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ashanth Education\Great Lakes Business Analytics\Capstone Project\Capstone Workings\Data Files\Ratios\"/>
    </mc:Choice>
  </mc:AlternateContent>
  <bookViews>
    <workbookView xWindow="0" yWindow="0" windowWidth="23040" windowHeight="8808" activeTab="1"/>
  </bookViews>
  <sheets>
    <sheet name="Sheet1" sheetId="1" r:id="rId1"/>
    <sheet name="Values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I476" i="1" l="1"/>
  <c r="DF476" i="1"/>
  <c r="AG471" i="1"/>
  <c r="BC471" i="1"/>
  <c r="CR466" i="1"/>
  <c r="AU466" i="1"/>
  <c r="BO461" i="1"/>
  <c r="AW456" i="1"/>
  <c r="CO476" i="1"/>
  <c r="CL476" i="1"/>
  <c r="M471" i="1"/>
  <c r="AE471" i="1"/>
  <c r="BX466" i="1"/>
  <c r="DE461" i="1"/>
  <c r="AU461" i="1"/>
  <c r="AC456" i="1"/>
  <c r="P476" i="1"/>
  <c r="AL476" i="1"/>
  <c r="AL471" i="1"/>
  <c r="AT471" i="1"/>
  <c r="X466" i="1"/>
  <c r="BE461" i="1"/>
  <c r="CX461" i="1"/>
  <c r="CN456" i="1"/>
  <c r="AH476" i="1"/>
  <c r="BA461" i="1"/>
  <c r="AL456" i="1"/>
  <c r="BF456" i="1"/>
  <c r="BA466" i="1"/>
  <c r="CM456" i="1"/>
  <c r="CQ476" i="1"/>
  <c r="CC471" i="1"/>
  <c r="CY471" i="1"/>
  <c r="CU466" i="1"/>
  <c r="Z466" i="1"/>
  <c r="X461" i="1"/>
  <c r="CS456" i="1"/>
  <c r="AM456" i="1"/>
  <c r="BW476" i="1"/>
  <c r="BI471" i="1"/>
  <c r="CE471" i="1"/>
  <c r="AM466" i="1"/>
  <c r="F466" i="1"/>
  <c r="CQ461" i="1"/>
  <c r="BY456" i="1"/>
  <c r="CK476" i="1"/>
  <c r="CH476" i="1"/>
  <c r="I471" i="1"/>
  <c r="W471" i="1"/>
  <c r="BT466" i="1"/>
  <c r="DA461" i="1"/>
  <c r="AQ461" i="1"/>
  <c r="Y456" i="1"/>
  <c r="BL476" i="1"/>
  <c r="CP466" i="1"/>
  <c r="CH456" i="1"/>
  <c r="G461" i="1"/>
  <c r="CM471" i="1"/>
  <c r="CG456" i="1"/>
  <c r="DF466" i="1"/>
  <c r="BA471" i="1"/>
  <c r="BU476" i="1"/>
  <c r="BZ476" i="1"/>
  <c r="AA471" i="1"/>
  <c r="K471" i="1"/>
  <c r="BL466" i="1"/>
  <c r="CS461" i="1"/>
  <c r="AI461" i="1"/>
  <c r="Q456" i="1"/>
  <c r="AK476" i="1"/>
  <c r="BF476" i="1"/>
  <c r="CH471" i="1"/>
  <c r="CD471" i="1"/>
  <c r="AR466" i="1"/>
  <c r="BY461" i="1"/>
  <c r="O461" i="1"/>
  <c r="DH456" i="1"/>
  <c r="CV476" i="1"/>
  <c r="F476" i="1"/>
  <c r="CV471" i="1"/>
  <c r="DA466" i="1"/>
  <c r="BC466" i="1"/>
  <c r="Y461" i="1"/>
  <c r="BR461" i="1"/>
  <c r="BH456" i="1"/>
  <c r="CG471" i="1"/>
  <c r="AJ461" i="1"/>
  <c r="F456" i="1"/>
  <c r="CC476" i="1"/>
  <c r="BP466" i="1"/>
  <c r="G456" i="1"/>
  <c r="S456" i="1"/>
  <c r="CP471" i="1"/>
  <c r="BJ476" i="1"/>
  <c r="CC461" i="1"/>
  <c r="AP476" i="1"/>
  <c r="BI461" i="1"/>
  <c r="BI476" i="1"/>
  <c r="I461" i="1"/>
  <c r="BC461" i="1"/>
  <c r="CT456" i="1"/>
  <c r="CW466" i="1"/>
  <c r="CP456" i="1"/>
  <c r="I476" i="1"/>
  <c r="AT476" i="1"/>
  <c r="BJ471" i="1"/>
  <c r="BF471" i="1"/>
  <c r="AF466" i="1"/>
  <c r="BM461" i="1"/>
  <c r="DF461" i="1"/>
  <c r="CV456" i="1"/>
  <c r="AA476" i="1"/>
  <c r="Z476" i="1"/>
  <c r="N471" i="1"/>
  <c r="R471" i="1"/>
  <c r="L466" i="1"/>
  <c r="AS461" i="1"/>
  <c r="CL461" i="1"/>
  <c r="CB456" i="1"/>
  <c r="BP476" i="1"/>
  <c r="Y476" i="1"/>
  <c r="BP471" i="1"/>
  <c r="BU466" i="1"/>
  <c r="CT466" i="1"/>
  <c r="H461" i="1"/>
  <c r="AL461" i="1"/>
  <c r="DG456" i="1"/>
  <c r="AD471" i="1"/>
  <c r="CT461" i="1"/>
  <c r="R456" i="1"/>
  <c r="AV476" i="1"/>
  <c r="BZ466" i="1"/>
  <c r="CS476" i="1"/>
  <c r="CP476" i="1"/>
  <c r="Q471" i="1"/>
  <c r="AM471" i="1"/>
  <c r="CB466" i="1"/>
  <c r="DI461" i="1"/>
  <c r="AY461" i="1"/>
  <c r="AG456" i="1"/>
  <c r="BM476" i="1"/>
  <c r="BV476" i="1"/>
  <c r="O471" i="1"/>
  <c r="DF471" i="1"/>
  <c r="BH466" i="1"/>
  <c r="CO461" i="1"/>
  <c r="AE461" i="1"/>
  <c r="I456" i="1"/>
  <c r="K476" i="1"/>
  <c r="V476" i="1"/>
  <c r="J471" i="1"/>
  <c r="F471" i="1"/>
  <c r="DC466" i="1"/>
  <c r="AO461" i="1"/>
  <c r="CH461" i="1"/>
  <c r="BX456" i="1"/>
  <c r="U476" i="1"/>
  <c r="DH461" i="1"/>
  <c r="V456" i="1"/>
  <c r="J456" i="1"/>
  <c r="BK466" i="1"/>
  <c r="AI456" i="1"/>
  <c r="CZ456" i="1"/>
  <c r="BW471" i="1"/>
  <c r="DD476" i="1"/>
  <c r="N476" i="1"/>
  <c r="DD471" i="1"/>
  <c r="DI466" i="1"/>
  <c r="CA466" i="1"/>
  <c r="AG461" i="1"/>
  <c r="BZ461" i="1"/>
  <c r="BP456" i="1"/>
  <c r="CJ476" i="1"/>
  <c r="BQ476" i="1"/>
  <c r="CJ471" i="1"/>
  <c r="CO466" i="1"/>
  <c r="S466" i="1"/>
  <c r="M461" i="1"/>
  <c r="BF461" i="1"/>
  <c r="AV456" i="1"/>
  <c r="AF476" i="1"/>
  <c r="AE476" i="1"/>
  <c r="AJ471" i="1"/>
  <c r="AO466" i="1"/>
  <c r="BN466" i="1"/>
  <c r="CF461" i="1"/>
  <c r="F461" i="1"/>
  <c r="CA456" i="1"/>
  <c r="DC471" i="1"/>
  <c r="CW456" i="1"/>
  <c r="AX476" i="1"/>
  <c r="CD476" i="1"/>
  <c r="CW461" i="1"/>
  <c r="AX456" i="1"/>
  <c r="AW476" i="1"/>
  <c r="AZ466" i="1"/>
  <c r="CT471" i="1"/>
  <c r="S461" i="1"/>
  <c r="AX471" i="1"/>
  <c r="DB461" i="1"/>
  <c r="CF471" i="1"/>
  <c r="BB461" i="1"/>
  <c r="P456" i="1"/>
  <c r="BG471" i="1"/>
  <c r="U461" i="1"/>
  <c r="AD456" i="1"/>
  <c r="AP456" i="1"/>
  <c r="CN623" i="1"/>
  <c r="Y620" i="1"/>
  <c r="AN623" i="1"/>
  <c r="AO627" i="1"/>
  <c r="AE627" i="1"/>
  <c r="DA624" i="1"/>
  <c r="AX626" i="1"/>
  <c r="CS627" i="1"/>
  <c r="CI627" i="1"/>
  <c r="AS627" i="1"/>
  <c r="AI627" i="1"/>
  <c r="BQ626" i="1"/>
  <c r="BG626" i="1"/>
  <c r="BX626" i="1"/>
  <c r="BB623" i="1"/>
  <c r="Q627" i="1"/>
  <c r="G627" i="1"/>
  <c r="BU626" i="1"/>
  <c r="BK626" i="1"/>
  <c r="CS625" i="1"/>
  <c r="CI625" i="1"/>
  <c r="CS466" i="1"/>
  <c r="AZ456" i="1"/>
  <c r="BX476" i="1"/>
  <c r="AS476" i="1"/>
  <c r="BX471" i="1"/>
  <c r="CC466" i="1"/>
  <c r="DB466" i="1"/>
  <c r="AF461" i="1"/>
  <c r="AT461" i="1"/>
  <c r="X456" i="1"/>
  <c r="BD476" i="1"/>
  <c r="AJ476" i="1"/>
  <c r="BD471" i="1"/>
  <c r="BI466" i="1"/>
  <c r="CH466" i="1"/>
  <c r="CZ461" i="1"/>
  <c r="Z461" i="1"/>
  <c r="CU456" i="1"/>
  <c r="CY476" i="1"/>
  <c r="CK471" i="1"/>
  <c r="DG471" i="1"/>
  <c r="I466" i="1"/>
  <c r="AH466" i="1"/>
  <c r="AR461" i="1"/>
  <c r="DA456" i="1"/>
  <c r="AU456" i="1"/>
  <c r="AH471" i="1"/>
  <c r="CJ456" i="1"/>
  <c r="CB471" i="1"/>
  <c r="L476" i="1"/>
  <c r="CR461" i="1"/>
  <c r="AQ476" i="1"/>
  <c r="AD476" i="1"/>
  <c r="V471" i="1"/>
  <c r="Z471" i="1"/>
  <c r="P466" i="1"/>
  <c r="AW461" i="1"/>
  <c r="CP461" i="1"/>
  <c r="CF456" i="1"/>
  <c r="CZ476" i="1"/>
  <c r="J476" i="1"/>
  <c r="CZ471" i="1"/>
  <c r="DE466" i="1"/>
  <c r="BO466" i="1"/>
  <c r="AC461" i="1"/>
  <c r="BV461" i="1"/>
  <c r="BL456" i="1"/>
  <c r="AZ476" i="1"/>
  <c r="X476" i="1"/>
  <c r="AZ471" i="1"/>
  <c r="BE466" i="1"/>
  <c r="CD466" i="1"/>
  <c r="CV461" i="1"/>
  <c r="V461" i="1"/>
  <c r="CQ456" i="1"/>
  <c r="BL471" i="1"/>
  <c r="AH461" i="1"/>
  <c r="CB476" i="1"/>
  <c r="CE476" i="1"/>
  <c r="N466" i="1"/>
  <c r="BN456" i="1"/>
  <c r="AB456" i="1"/>
  <c r="O466" i="1"/>
  <c r="AR476" i="1"/>
  <c r="BG476" i="1"/>
  <c r="AR471" i="1"/>
  <c r="AW466" i="1"/>
  <c r="BV466" i="1"/>
  <c r="CN461" i="1"/>
  <c r="N461" i="1"/>
  <c r="CI456" i="1"/>
  <c r="AY476" i="1"/>
  <c r="DE471" i="1"/>
  <c r="X471" i="1"/>
  <c r="AC466" i="1"/>
  <c r="BB466" i="1"/>
  <c r="BT461" i="1"/>
  <c r="AB461" i="1"/>
  <c r="BO456" i="1"/>
  <c r="BS476" i="1"/>
  <c r="BE471" i="1"/>
  <c r="CA471" i="1"/>
  <c r="AA466" i="1"/>
  <c r="H466" i="1"/>
  <c r="CM461" i="1"/>
  <c r="BU456" i="1"/>
  <c r="O456" i="1"/>
  <c r="DG466" i="1"/>
  <c r="AQ456" i="1"/>
  <c r="CV466" i="1"/>
  <c r="AI471" i="1"/>
  <c r="AM461" i="1"/>
  <c r="AK471" i="1"/>
  <c r="BN476" i="1"/>
  <c r="CG461" i="1"/>
  <c r="CL471" i="1"/>
  <c r="H456" i="1"/>
  <c r="BB471" i="1"/>
  <c r="CR456" i="1"/>
  <c r="CK466" i="1"/>
  <c r="AR456" i="1"/>
  <c r="DH476" i="1"/>
  <c r="BV456" i="1"/>
  <c r="BN461" i="1"/>
  <c r="G476" i="1"/>
  <c r="AC626" i="1"/>
  <c r="S626" i="1"/>
  <c r="CG625" i="1"/>
  <c r="BW625" i="1"/>
  <c r="DE624" i="1"/>
  <c r="CU624" i="1"/>
  <c r="CQ624" i="1"/>
  <c r="U627" i="1"/>
  <c r="BE625" i="1"/>
  <c r="AU625" i="1"/>
  <c r="DI624" i="1"/>
  <c r="CY624" i="1"/>
  <c r="AC624" i="1"/>
  <c r="S624" i="1"/>
  <c r="I623" i="1"/>
  <c r="Y624" i="1"/>
  <c r="CG624" i="1"/>
  <c r="BW624" i="1"/>
  <c r="AG624" i="1"/>
  <c r="W624" i="1"/>
  <c r="BE623" i="1"/>
  <c r="CN476" i="1"/>
  <c r="AE466" i="1"/>
  <c r="BT476" i="1"/>
  <c r="DG476" i="1"/>
  <c r="AP466" i="1"/>
  <c r="CM476" i="1"/>
  <c r="V466" i="1"/>
  <c r="CX476" i="1"/>
  <c r="W466" i="1"/>
  <c r="T466" i="1"/>
  <c r="R461" i="1"/>
  <c r="BM466" i="1"/>
  <c r="CY456" i="1"/>
  <c r="AS466" i="1"/>
  <c r="CE456" i="1"/>
  <c r="BW466" i="1"/>
  <c r="AE456" i="1"/>
  <c r="BQ471" i="1"/>
  <c r="CY466" i="1"/>
  <c r="AY466" i="1"/>
  <c r="W456" i="1"/>
  <c r="DD466" i="1"/>
  <c r="BE476" i="1"/>
  <c r="BD466" i="1"/>
  <c r="CU476" i="1"/>
  <c r="S471" i="1"/>
  <c r="AO476" i="1"/>
  <c r="CF476" i="1"/>
  <c r="CG476" i="1"/>
  <c r="CS623" i="1"/>
  <c r="AS623" i="1"/>
  <c r="AJ627" i="1"/>
  <c r="V626" i="1"/>
  <c r="CN627" i="1"/>
  <c r="AN627" i="1"/>
  <c r="BL626" i="1"/>
  <c r="AJ623" i="1"/>
  <c r="L627" i="1"/>
  <c r="BP626" i="1"/>
  <c r="CN625" i="1"/>
  <c r="Q461" i="1"/>
  <c r="BY466" i="1"/>
  <c r="L456" i="1"/>
  <c r="Y466" i="1"/>
  <c r="BK456" i="1"/>
  <c r="R476" i="1"/>
  <c r="Z456" i="1"/>
  <c r="AZ461" i="1"/>
  <c r="BA476" i="1"/>
  <c r="BU625" i="1"/>
  <c r="BK625" i="1"/>
  <c r="U625" i="1"/>
  <c r="K625" i="1"/>
  <c r="AS624" i="1"/>
  <c r="AI624" i="1"/>
  <c r="BN624" i="1"/>
  <c r="CK624" i="1"/>
  <c r="CW624" i="1"/>
  <c r="CM624" i="1"/>
  <c r="AW624" i="1"/>
  <c r="AM624" i="1"/>
  <c r="BU623" i="1"/>
  <c r="BK623" i="1"/>
  <c r="BY620" i="1"/>
  <c r="BH626" i="1"/>
  <c r="U624" i="1"/>
  <c r="K624" i="1"/>
  <c r="BY623" i="1"/>
  <c r="BO623" i="1"/>
  <c r="BP627" i="1"/>
  <c r="CX625" i="1"/>
  <c r="AG466" i="1"/>
  <c r="BS456" i="1"/>
  <c r="M466" i="1"/>
  <c r="AY456" i="1"/>
  <c r="CZ466" i="1"/>
  <c r="CW476" i="1"/>
  <c r="DH471" i="1"/>
  <c r="CR476" i="1"/>
  <c r="BQ456" i="1"/>
  <c r="BR471" i="1"/>
  <c r="I625" i="1"/>
  <c r="DC624" i="1"/>
  <c r="BM624" i="1"/>
  <c r="BC624" i="1"/>
  <c r="CK623" i="1"/>
  <c r="CA623" i="1"/>
  <c r="AG621" i="1"/>
  <c r="P627" i="1"/>
  <c r="AK624" i="1"/>
  <c r="AA624" i="1"/>
  <c r="CO623" i="1"/>
  <c r="CE623" i="1"/>
  <c r="CF627" i="1"/>
  <c r="BF626" i="1"/>
  <c r="DB627" i="1"/>
  <c r="T624" i="1"/>
  <c r="BM623" i="1"/>
  <c r="BC623" i="1"/>
  <c r="CJ627" i="1"/>
  <c r="BV626" i="1"/>
  <c r="DH626" i="1"/>
  <c r="CM466" i="1"/>
  <c r="BU461" i="1"/>
  <c r="DF456" i="1"/>
  <c r="AJ626" i="1"/>
  <c r="AF622" i="1"/>
  <c r="BL625" i="1"/>
  <c r="BH621" i="1"/>
  <c r="CN624" i="1"/>
  <c r="BQ621" i="1"/>
  <c r="DD621" i="1"/>
  <c r="U620" i="1"/>
  <c r="BS624" i="1"/>
  <c r="CB627" i="1"/>
  <c r="BB626" i="1"/>
  <c r="BF627" i="1"/>
  <c r="BZ626" i="1"/>
  <c r="DE617" i="1"/>
  <c r="AZ617" i="1"/>
  <c r="CG617" i="1"/>
  <c r="G624" i="1"/>
  <c r="AN625" i="1"/>
  <c r="CT625" i="1"/>
  <c r="CX626" i="1"/>
  <c r="AL624" i="1"/>
  <c r="CK617" i="1"/>
  <c r="AJ617" i="1"/>
  <c r="CS471" i="1"/>
  <c r="BH461" i="1"/>
  <c r="BY471" i="1"/>
  <c r="DG461" i="1"/>
  <c r="Y471" i="1"/>
  <c r="BG461" i="1"/>
  <c r="CX456" i="1"/>
  <c r="BH476" i="1"/>
  <c r="CL466" i="1"/>
  <c r="AN476" i="1"/>
  <c r="BR466" i="1"/>
  <c r="CI476" i="1"/>
  <c r="R466" i="1"/>
  <c r="BQ466" i="1"/>
  <c r="CY461" i="1"/>
  <c r="CA476" i="1"/>
  <c r="J466" i="1"/>
  <c r="AM476" i="1"/>
  <c r="CE466" i="1"/>
  <c r="BR476" i="1"/>
  <c r="CK461" i="1"/>
  <c r="AD466" i="1"/>
  <c r="U456" i="1"/>
  <c r="AV466" i="1"/>
  <c r="G466" i="1"/>
  <c r="BD456" i="1"/>
  <c r="X626" i="1"/>
  <c r="CB625" i="1"/>
  <c r="CZ624" i="1"/>
  <c r="BX621" i="1"/>
  <c r="AZ625" i="1"/>
  <c r="DD624" i="1"/>
  <c r="X624" i="1"/>
  <c r="CZ620" i="1"/>
  <c r="CB624" i="1"/>
  <c r="AB624" i="1"/>
  <c r="AZ623" i="1"/>
  <c r="BJ461" i="1"/>
  <c r="CX466" i="1"/>
  <c r="AI476" i="1"/>
  <c r="AX466" i="1"/>
  <c r="AQ471" i="1"/>
  <c r="AK461" i="1"/>
  <c r="O476" i="1"/>
  <c r="BW456" i="1"/>
  <c r="AJ466" i="1"/>
  <c r="DD627" i="1"/>
  <c r="AT627" i="1"/>
  <c r="BD627" i="1"/>
  <c r="BB625" i="1"/>
  <c r="CB626" i="1"/>
  <c r="M623" i="1"/>
  <c r="CL623" i="1"/>
  <c r="CA624" i="1"/>
  <c r="AB627" i="1"/>
  <c r="AX624" i="1"/>
  <c r="CF626" i="1"/>
  <c r="Q623" i="1"/>
  <c r="DD625" i="1"/>
  <c r="AO622" i="1"/>
  <c r="CB622" i="1"/>
  <c r="CW622" i="1"/>
  <c r="BD626" i="1"/>
  <c r="CS622" i="1"/>
  <c r="DH625" i="1"/>
  <c r="AS622" i="1"/>
  <c r="AB625" i="1"/>
  <c r="H476" i="1"/>
  <c r="BF466" i="1"/>
  <c r="DC476" i="1"/>
  <c r="AL466" i="1"/>
  <c r="W476" i="1"/>
  <c r="BS466" i="1"/>
  <c r="CF466" i="1"/>
  <c r="CD461" i="1"/>
  <c r="CR471" i="1"/>
  <c r="AA456" i="1"/>
  <c r="BG466" i="1"/>
  <c r="AR627" i="1"/>
  <c r="F625" i="1"/>
  <c r="CV626" i="1"/>
  <c r="AG623" i="1"/>
  <c r="P626" i="1"/>
  <c r="BE622" i="1"/>
  <c r="CR622" i="1"/>
  <c r="DF623" i="1"/>
  <c r="BT626" i="1"/>
  <c r="DI622" i="1"/>
  <c r="T626" i="1"/>
  <c r="BI622" i="1"/>
  <c r="AR625" i="1"/>
  <c r="CG621" i="1"/>
  <c r="P622" i="1"/>
  <c r="BI620" i="1"/>
  <c r="CV625" i="1"/>
  <c r="AG622" i="1"/>
  <c r="AV625" i="1"/>
  <c r="CK621" i="1"/>
  <c r="BT624" i="1"/>
  <c r="DB476" i="1"/>
  <c r="K466" i="1"/>
  <c r="AV461" i="1"/>
  <c r="BY622" i="1"/>
  <c r="Q621" i="1"/>
  <c r="DA621" i="1"/>
  <c r="CL627" i="1"/>
  <c r="Y621" i="1"/>
  <c r="Q626" i="1"/>
  <c r="BR627" i="1"/>
  <c r="Y625" i="1"/>
  <c r="DA623" i="1"/>
  <c r="CJ621" i="1"/>
  <c r="CF621" i="1"/>
  <c r="DH621" i="1"/>
  <c r="BA618" i="1"/>
  <c r="AG615" i="1"/>
  <c r="L615" i="1"/>
  <c r="BQ624" i="1"/>
  <c r="AO623" i="1"/>
  <c r="BT621" i="1"/>
  <c r="BP621" i="1"/>
  <c r="CR621" i="1"/>
  <c r="AK618" i="1"/>
  <c r="Q615" i="1"/>
  <c r="CZ614" i="1"/>
  <c r="DI623" i="1"/>
  <c r="AZ627" i="1"/>
  <c r="L471" i="1"/>
  <c r="DI456" i="1"/>
  <c r="CU471" i="1"/>
  <c r="CO456" i="1"/>
  <c r="AU471" i="1"/>
  <c r="AO456" i="1"/>
  <c r="BL461" i="1"/>
  <c r="M476" i="1"/>
  <c r="DD461" i="1"/>
  <c r="AU476" i="1"/>
  <c r="CJ461" i="1"/>
  <c r="BU471" i="1"/>
  <c r="DC461" i="1"/>
  <c r="DC456" i="1"/>
  <c r="S476" i="1"/>
  <c r="BM471" i="1"/>
  <c r="CU461" i="1"/>
  <c r="AS471" i="1"/>
  <c r="CA461" i="1"/>
  <c r="G471" i="1"/>
  <c r="AA461" i="1"/>
  <c r="BR456" i="1"/>
  <c r="BQ461" i="1"/>
  <c r="AB476" i="1"/>
  <c r="U471" i="1"/>
  <c r="CG466" i="1"/>
  <c r="CI623" i="1"/>
  <c r="CP627" i="1"/>
  <c r="CD624" i="1"/>
  <c r="K627" i="1"/>
  <c r="CL626" i="1"/>
  <c r="CT624" i="1"/>
  <c r="DA622" i="1"/>
  <c r="O624" i="1"/>
  <c r="CP623" i="1"/>
  <c r="DE622" i="1"/>
  <c r="BY476" i="1"/>
  <c r="AG476" i="1"/>
  <c r="P461" i="1"/>
  <c r="DA471" i="1"/>
  <c r="BP461" i="1"/>
  <c r="AK456" i="1"/>
  <c r="CD456" i="1"/>
  <c r="AK466" i="1"/>
  <c r="BZ456" i="1"/>
  <c r="BA456" i="1"/>
  <c r="BP625" i="1"/>
  <c r="DE621" i="1"/>
  <c r="P625" i="1"/>
  <c r="BE621" i="1"/>
  <c r="AN624" i="1"/>
  <c r="CC620" i="1"/>
  <c r="L621" i="1"/>
  <c r="F626" i="1"/>
  <c r="CR624" i="1"/>
  <c r="AC621" i="1"/>
  <c r="AR624" i="1"/>
  <c r="CG620" i="1"/>
  <c r="BP623" i="1"/>
  <c r="DE619" i="1"/>
  <c r="AN620" i="1"/>
  <c r="AF623" i="1"/>
  <c r="P624" i="1"/>
  <c r="BE620" i="1"/>
  <c r="BT623" i="1"/>
  <c r="BU627" i="1"/>
  <c r="BK627" i="1"/>
  <c r="DI471" i="1"/>
  <c r="BX461" i="1"/>
  <c r="CO471" i="1"/>
  <c r="BD461" i="1"/>
  <c r="AO471" i="1"/>
  <c r="BW461" i="1"/>
  <c r="K456" i="1"/>
  <c r="AH456" i="1"/>
  <c r="AQ466" i="1"/>
  <c r="BJ456" i="1"/>
  <c r="BG456" i="1"/>
  <c r="DH624" i="1"/>
  <c r="AS621" i="1"/>
  <c r="BH624" i="1"/>
  <c r="CW620" i="1"/>
  <c r="CF623" i="1"/>
  <c r="Q620" i="1"/>
  <c r="BD620" i="1"/>
  <c r="BV623" i="1"/>
  <c r="AF624" i="1"/>
  <c r="BU620" i="1"/>
  <c r="CJ623" i="1"/>
  <c r="CK627" i="1"/>
  <c r="CA627" i="1"/>
  <c r="CC626" i="1"/>
  <c r="CF619" i="1"/>
  <c r="BX622" i="1"/>
  <c r="BH623" i="1"/>
  <c r="CO627" i="1"/>
  <c r="CE627" i="1"/>
  <c r="I627" i="1"/>
  <c r="DC626" i="1"/>
  <c r="AI466" i="1"/>
  <c r="BT456" i="1"/>
  <c r="CJ626" i="1"/>
  <c r="BH625" i="1"/>
  <c r="H626" i="1"/>
  <c r="CJ624" i="1"/>
  <c r="AJ625" i="1"/>
  <c r="H624" i="1"/>
  <c r="G626" i="1"/>
  <c r="G622" i="1"/>
  <c r="O625" i="1"/>
  <c r="CQ623" i="1"/>
  <c r="AC625" i="1"/>
  <c r="AG626" i="1"/>
  <c r="CH627" i="1"/>
  <c r="N625" i="1"/>
  <c r="CW612" i="1"/>
  <c r="CH623" i="1"/>
  <c r="BG624" i="1"/>
  <c r="BZ627" i="1"/>
  <c r="BU624" i="1"/>
  <c r="BY625" i="1"/>
  <c r="V627" i="1"/>
  <c r="CX623" i="1"/>
  <c r="CG612" i="1"/>
  <c r="S623" i="1"/>
  <c r="CY623" i="1"/>
  <c r="AL625" i="1"/>
  <c r="I624" i="1"/>
  <c r="Q466" i="1"/>
  <c r="CJ466" i="1"/>
  <c r="AD461" i="1"/>
  <c r="CK456" i="1"/>
  <c r="CC456" i="1"/>
  <c r="AF456" i="1"/>
  <c r="CQ466" i="1"/>
  <c r="AK621" i="1"/>
  <c r="BM620" i="1"/>
  <c r="CN471" i="1"/>
  <c r="T461" i="1"/>
  <c r="N456" i="1"/>
  <c r="AY627" i="1"/>
  <c r="J624" i="1"/>
  <c r="CA626" i="1"/>
  <c r="CI622" i="1"/>
  <c r="DC625" i="1"/>
  <c r="AN461" i="1"/>
  <c r="BE456" i="1"/>
  <c r="AN456" i="1"/>
  <c r="CQ626" i="1"/>
  <c r="CY622" i="1"/>
  <c r="O626" i="1"/>
  <c r="W622" i="1"/>
  <c r="AQ625" i="1"/>
  <c r="AF471" i="1"/>
  <c r="U621" i="1"/>
  <c r="BL623" i="1"/>
  <c r="W626" i="1"/>
  <c r="CT627" i="1"/>
  <c r="BO625" i="1"/>
  <c r="CX624" i="1"/>
  <c r="CH626" i="1"/>
  <c r="AH625" i="1"/>
  <c r="AL626" i="1"/>
  <c r="DF622" i="1"/>
  <c r="BQ617" i="1"/>
  <c r="T617" i="1"/>
  <c r="AO617" i="1"/>
  <c r="CI626" i="1"/>
  <c r="DC619" i="1"/>
  <c r="CN616" i="1"/>
  <c r="I615" i="1"/>
  <c r="CR614" i="1"/>
  <c r="DI618" i="1"/>
  <c r="AB618" i="1"/>
  <c r="AV612" i="1"/>
  <c r="CL618" i="1"/>
  <c r="CJ611" i="1"/>
  <c r="BB617" i="1"/>
  <c r="BR624" i="1"/>
  <c r="CD616" i="1"/>
  <c r="BJ616" i="1"/>
  <c r="AU615" i="1"/>
  <c r="AQ608" i="1"/>
  <c r="CD625" i="1"/>
  <c r="U617" i="1"/>
  <c r="L616" i="1"/>
  <c r="AK614" i="1"/>
  <c r="P614" i="1"/>
  <c r="I618" i="1"/>
  <c r="BD617" i="1"/>
  <c r="CT621" i="1"/>
  <c r="CP615" i="1"/>
  <c r="BS619" i="1"/>
  <c r="BF614" i="1"/>
  <c r="AA619" i="1"/>
  <c r="AC471" i="1"/>
  <c r="BB456" i="1"/>
  <c r="CL456" i="1"/>
  <c r="DA627" i="1"/>
  <c r="CN622" i="1"/>
  <c r="Y627" i="1"/>
  <c r="CC627" i="1"/>
  <c r="BA626" i="1"/>
  <c r="CG623" i="1"/>
  <c r="AD625" i="1"/>
  <c r="BH627" i="1"/>
  <c r="AF626" i="1"/>
  <c r="X621" i="1"/>
  <c r="T621" i="1"/>
  <c r="AV621" i="1"/>
  <c r="CS617" i="1"/>
  <c r="BY614" i="1"/>
  <c r="BD614" i="1"/>
  <c r="CZ626" i="1"/>
  <c r="BX625" i="1"/>
  <c r="H621" i="1"/>
  <c r="DH620" i="1"/>
  <c r="AF621" i="1"/>
  <c r="CC617" i="1"/>
  <c r="BI614" i="1"/>
  <c r="AN614" i="1"/>
  <c r="AN626" i="1"/>
  <c r="L625" i="1"/>
  <c r="CV620" i="1"/>
  <c r="CR620" i="1"/>
  <c r="P621" i="1"/>
  <c r="BM617" i="1"/>
  <c r="AS614" i="1"/>
  <c r="X614" i="1"/>
  <c r="AA625" i="1"/>
  <c r="CQ619" i="1"/>
  <c r="I614" i="1"/>
  <c r="S622" i="1"/>
  <c r="M612" i="1"/>
  <c r="CV611" i="1"/>
  <c r="BA615" i="1"/>
  <c r="AF615" i="1"/>
  <c r="AY617" i="1"/>
  <c r="AU610" i="1"/>
  <c r="O617" i="1"/>
  <c r="K610" i="1"/>
  <c r="CY616" i="1"/>
  <c r="CU609" i="1"/>
  <c r="CP609" i="1"/>
  <c r="AY612" i="1"/>
  <c r="CR626" i="1"/>
  <c r="DI617" i="1"/>
  <c r="AK613" i="1"/>
  <c r="O621" i="1"/>
  <c r="BN623" i="1"/>
  <c r="CH622" i="1"/>
  <c r="CC614" i="1"/>
  <c r="BH614" i="1"/>
  <c r="CA616" i="1"/>
  <c r="BW609" i="1"/>
  <c r="BC456" i="1"/>
  <c r="BK476" i="1"/>
  <c r="AN471" i="1"/>
  <c r="BN471" i="1"/>
  <c r="BO471" i="1"/>
  <c r="AJ456" i="1"/>
  <c r="AX461" i="1"/>
  <c r="CG619" i="1"/>
  <c r="AX625" i="1"/>
  <c r="BT471" i="1"/>
  <c r="CW471" i="1"/>
  <c r="DI627" i="1"/>
  <c r="CG626" i="1"/>
  <c r="AG627" i="1"/>
  <c r="DI625" i="1"/>
  <c r="BI626" i="1"/>
  <c r="AG625" i="1"/>
  <c r="H471" i="1"/>
  <c r="AT466" i="1"/>
  <c r="AW627" i="1"/>
  <c r="U626" i="1"/>
  <c r="BY626" i="1"/>
  <c r="AW625" i="1"/>
  <c r="DA625" i="1"/>
  <c r="BY624" i="1"/>
  <c r="U623" i="1"/>
  <c r="BY621" i="1"/>
  <c r="CC624" i="1"/>
  <c r="K622" i="1"/>
  <c r="Q624" i="1"/>
  <c r="CY621" i="1"/>
  <c r="BI617" i="1"/>
  <c r="BW627" i="1"/>
  <c r="AZ621" i="1"/>
  <c r="CB621" i="1"/>
  <c r="U618" i="1"/>
  <c r="DE614" i="1"/>
  <c r="CJ614" i="1"/>
  <c r="AK625" i="1"/>
  <c r="AA622" i="1"/>
  <c r="BU614" i="1"/>
  <c r="AM623" i="1"/>
  <c r="BY612" i="1"/>
  <c r="BD612" i="1"/>
  <c r="I616" i="1"/>
  <c r="CR615" i="1"/>
  <c r="G618" i="1"/>
  <c r="DG610" i="1"/>
  <c r="CA617" i="1"/>
  <c r="BW610" i="1"/>
  <c r="BG617" i="1"/>
  <c r="BC610" i="1"/>
  <c r="AX610" i="1"/>
  <c r="G613" i="1"/>
  <c r="J626" i="1"/>
  <c r="AT622" i="1"/>
  <c r="CW613" i="1"/>
  <c r="CU621" i="1"/>
  <c r="DA611" i="1"/>
  <c r="CF611" i="1"/>
  <c r="AK615" i="1"/>
  <c r="P615" i="1"/>
  <c r="AI617" i="1"/>
  <c r="AE610" i="1"/>
  <c r="DC616" i="1"/>
  <c r="CY609" i="1"/>
  <c r="CI616" i="1"/>
  <c r="BK461" i="1"/>
  <c r="M456" i="1"/>
  <c r="AV624" i="1"/>
  <c r="CQ627" i="1"/>
  <c r="BX623" i="1"/>
  <c r="O627" i="1"/>
  <c r="BS627" i="1"/>
  <c r="AQ626" i="1"/>
  <c r="BW623" i="1"/>
  <c r="DE625" i="1"/>
  <c r="BR625" i="1"/>
  <c r="BU622" i="1"/>
  <c r="BL627" i="1"/>
  <c r="CW623" i="1"/>
  <c r="AT625" i="1"/>
  <c r="BO622" i="1"/>
  <c r="AK612" i="1"/>
  <c r="AE622" i="1"/>
  <c r="AK623" i="1"/>
  <c r="I622" i="1"/>
  <c r="DD626" i="1"/>
  <c r="DH627" i="1"/>
  <c r="CL624" i="1"/>
  <c r="AI622" i="1"/>
  <c r="U612" i="1"/>
  <c r="DC621" i="1"/>
  <c r="CC622" i="1"/>
  <c r="BA621" i="1"/>
  <c r="AR626" i="1"/>
  <c r="AV627" i="1"/>
  <c r="Z624" i="1"/>
  <c r="DG621" i="1"/>
  <c r="DI611" i="1"/>
  <c r="CE621" i="1"/>
  <c r="AS625" i="1"/>
  <c r="Y618" i="1"/>
  <c r="BY611" i="1"/>
  <c r="J621" i="1"/>
  <c r="DH618" i="1"/>
  <c r="CD626" i="1"/>
  <c r="M613" i="1"/>
  <c r="CV612" i="1"/>
  <c r="K615" i="1"/>
  <c r="G608" i="1"/>
  <c r="CE614" i="1"/>
  <c r="CA607" i="1"/>
  <c r="BK614" i="1"/>
  <c r="BG607" i="1"/>
  <c r="R621" i="1"/>
  <c r="AT615" i="1"/>
  <c r="AN621" i="1"/>
  <c r="CO614" i="1"/>
  <c r="CH621" i="1"/>
  <c r="M619" i="1"/>
  <c r="AF618" i="1"/>
  <c r="CA622" i="1"/>
  <c r="AO612" i="1"/>
  <c r="T612" i="1"/>
  <c r="AM614" i="1"/>
  <c r="AI607" i="1"/>
  <c r="CI466" i="1"/>
  <c r="AV471" i="1"/>
  <c r="J461" i="1"/>
  <c r="BO476" i="1"/>
  <c r="BI456" i="1"/>
  <c r="DB471" i="1"/>
  <c r="BM622" i="1"/>
  <c r="CO621" i="1"/>
  <c r="M621" i="1"/>
  <c r="AP461" i="1"/>
  <c r="U466" i="1"/>
  <c r="CY627" i="1"/>
  <c r="BW626" i="1"/>
  <c r="W627" i="1"/>
  <c r="CY625" i="1"/>
  <c r="AY626" i="1"/>
  <c r="W625" i="1"/>
  <c r="DE456" i="1"/>
  <c r="BS461" i="1"/>
  <c r="AM627" i="1"/>
  <c r="K626" i="1"/>
  <c r="BO626" i="1"/>
  <c r="AM625" i="1"/>
  <c r="CQ625" i="1"/>
  <c r="BC476" i="1"/>
  <c r="CW621" i="1"/>
  <c r="AU623" i="1"/>
  <c r="CS621" i="1"/>
  <c r="G620" i="1"/>
  <c r="DI619" i="1"/>
  <c r="CM619" i="1"/>
  <c r="BI623" i="1"/>
  <c r="BD621" i="1"/>
  <c r="M625" i="1"/>
  <c r="BN626" i="1"/>
  <c r="W623" i="1"/>
  <c r="BQ612" i="1"/>
  <c r="CQ622" i="1"/>
  <c r="DB626" i="1"/>
  <c r="AA620" i="1"/>
  <c r="AG612" i="1"/>
  <c r="AH627" i="1"/>
  <c r="BP619" i="1"/>
  <c r="AY619" i="1"/>
  <c r="BY613" i="1"/>
  <c r="BD613" i="1"/>
  <c r="BW615" i="1"/>
  <c r="BS608" i="1"/>
  <c r="AM615" i="1"/>
  <c r="AI608" i="1"/>
  <c r="S615" i="1"/>
  <c r="O608" i="1"/>
  <c r="CZ611" i="1"/>
  <c r="CH617" i="1"/>
  <c r="AI625" i="1"/>
  <c r="AS617" i="1"/>
  <c r="BJ626" i="1"/>
  <c r="AL620" i="1"/>
  <c r="CR618" i="1"/>
  <c r="BJ625" i="1"/>
  <c r="DA612" i="1"/>
  <c r="CF612" i="1"/>
  <c r="CY614" i="1"/>
  <c r="CU607" i="1"/>
  <c r="BO614" i="1"/>
  <c r="BK607" i="1"/>
  <c r="AW471" i="1"/>
  <c r="BZ471" i="1"/>
  <c r="BJ466" i="1"/>
  <c r="CK620" i="1"/>
  <c r="AK627" i="1"/>
  <c r="DE627" i="1"/>
  <c r="AO624" i="1"/>
  <c r="AC627" i="1"/>
  <c r="BJ623" i="1"/>
  <c r="DF624" i="1"/>
  <c r="CU625" i="1"/>
  <c r="H627" i="1"/>
  <c r="DH622" i="1"/>
  <c r="CH625" i="1"/>
  <c r="CM623" i="1"/>
  <c r="BC621" i="1"/>
  <c r="AD622" i="1"/>
  <c r="AB619" i="1"/>
  <c r="AP621" i="1"/>
  <c r="AZ626" i="1"/>
  <c r="AV622" i="1"/>
  <c r="AT623" i="1"/>
  <c r="BJ627" i="1"/>
  <c r="AM621" i="1"/>
  <c r="BF621" i="1"/>
  <c r="L619" i="1"/>
  <c r="BB620" i="1"/>
  <c r="CR625" i="1"/>
  <c r="CN621" i="1"/>
  <c r="CG622" i="1"/>
  <c r="V625" i="1"/>
  <c r="W621" i="1"/>
  <c r="CH620" i="1"/>
  <c r="CZ618" i="1"/>
  <c r="CH619" i="1"/>
  <c r="J627" i="1"/>
  <c r="BP617" i="1"/>
  <c r="BP618" i="1"/>
  <c r="CW616" i="1"/>
  <c r="BT616" i="1"/>
  <c r="AE620" i="1"/>
  <c r="CT620" i="1"/>
  <c r="AD620" i="1"/>
  <c r="CA612" i="1"/>
  <c r="BW605" i="1"/>
  <c r="AQ612" i="1"/>
  <c r="AM605" i="1"/>
  <c r="W612" i="1"/>
  <c r="S605" i="1"/>
  <c r="W617" i="1"/>
  <c r="S610" i="1"/>
  <c r="AJ621" i="1"/>
  <c r="BT614" i="1"/>
  <c r="CR617" i="1"/>
  <c r="M616" i="1"/>
  <c r="CV615" i="1"/>
  <c r="BJ622" i="1"/>
  <c r="AF619" i="1"/>
  <c r="O619" i="1"/>
  <c r="DC611" i="1"/>
  <c r="DA476" i="1"/>
  <c r="CX471" i="1"/>
  <c r="BQ620" i="1"/>
  <c r="AF627" i="1"/>
  <c r="AB471" i="1"/>
  <c r="CV624" i="1"/>
  <c r="BB476" i="1"/>
  <c r="R620" i="1"/>
  <c r="DC623" i="1"/>
  <c r="BH619" i="1"/>
  <c r="X619" i="1"/>
  <c r="AD623" i="1"/>
  <c r="DC612" i="1"/>
  <c r="CI617" i="1"/>
  <c r="AZ618" i="1"/>
  <c r="AH620" i="1"/>
  <c r="AA612" i="1"/>
  <c r="AT456" i="1"/>
  <c r="CP625" i="1"/>
  <c r="Z627" i="1"/>
  <c r="R625" i="1"/>
  <c r="DA616" i="1"/>
  <c r="BJ624" i="1"/>
  <c r="CG616" i="1"/>
  <c r="DB623" i="1"/>
  <c r="BM616" i="1"/>
  <c r="BA614" i="1"/>
  <c r="J623" i="1"/>
  <c r="BG619" i="1"/>
  <c r="AW623" i="1"/>
  <c r="CC613" i="1"/>
  <c r="K619" i="1"/>
  <c r="AQ616" i="1"/>
  <c r="AM609" i="1"/>
  <c r="W616" i="1"/>
  <c r="S609" i="1"/>
  <c r="AS456" i="1"/>
  <c r="L461" i="1"/>
  <c r="CE626" i="1"/>
  <c r="BC625" i="1"/>
  <c r="DG625" i="1"/>
  <c r="CE624" i="1"/>
  <c r="AE625" i="1"/>
  <c r="BO624" i="1"/>
  <c r="BA622" i="1"/>
  <c r="BQ623" i="1"/>
  <c r="BI621" i="1"/>
  <c r="AG620" i="1"/>
  <c r="X625" i="1"/>
  <c r="AB626" i="1"/>
  <c r="AE623" i="1"/>
  <c r="BO621" i="1"/>
  <c r="CC611" i="1"/>
  <c r="AQ621" i="1"/>
  <c r="DA620" i="1"/>
  <c r="CW627" i="1"/>
  <c r="BP624" i="1"/>
  <c r="BT625" i="1"/>
  <c r="O623" i="1"/>
  <c r="AU621" i="1"/>
  <c r="R627" i="1"/>
  <c r="S621" i="1"/>
  <c r="AO620" i="1"/>
  <c r="BI625" i="1"/>
  <c r="DH623" i="1"/>
  <c r="H625" i="1"/>
  <c r="DC622" i="1"/>
  <c r="AA621" i="1"/>
  <c r="CH624" i="1"/>
  <c r="DC620" i="1"/>
  <c r="CZ621" i="1"/>
  <c r="AW615" i="1"/>
  <c r="AP622" i="1"/>
  <c r="AG619" i="1"/>
  <c r="AV618" i="1"/>
  <c r="DG622" i="1"/>
  <c r="BE612" i="1"/>
  <c r="AJ612" i="1"/>
  <c r="BC614" i="1"/>
  <c r="AY607" i="1"/>
  <c r="S614" i="1"/>
  <c r="O607" i="1"/>
  <c r="DC613" i="1"/>
  <c r="CY606" i="1"/>
  <c r="DC618" i="1"/>
  <c r="F613" i="1"/>
  <c r="BA623" i="1"/>
  <c r="BA612" i="1"/>
  <c r="BT619" i="1"/>
  <c r="AG618" i="1"/>
  <c r="BX617" i="1"/>
  <c r="BW621" i="1"/>
  <c r="CG611" i="1"/>
  <c r="BN627" i="1"/>
  <c r="CE613" i="1"/>
  <c r="CA606" i="1"/>
  <c r="AU613" i="1"/>
  <c r="AQ606" i="1"/>
  <c r="AA613" i="1"/>
  <c r="DH466" i="1"/>
  <c r="CK619" i="1"/>
  <c r="Y622" i="1"/>
  <c r="K623" i="1"/>
  <c r="CK618" i="1"/>
  <c r="BC622" i="1"/>
  <c r="BM618" i="1"/>
  <c r="CG627" i="1"/>
  <c r="AS618" i="1"/>
  <c r="DB624" i="1"/>
  <c r="V620" i="1"/>
  <c r="DD612" i="1"/>
  <c r="CX618" i="1"/>
  <c r="N622" i="1"/>
  <c r="CO618" i="1"/>
  <c r="AT626" i="1"/>
  <c r="AM610" i="1"/>
  <c r="BP614" i="1"/>
  <c r="CN626" i="1"/>
  <c r="BK621" i="1"/>
  <c r="P617" i="1"/>
  <c r="AO615" i="1"/>
  <c r="T615" i="1"/>
  <c r="AW619" i="1"/>
  <c r="BH618" i="1"/>
  <c r="DH612" i="1"/>
  <c r="CL620" i="1"/>
  <c r="AR612" i="1"/>
  <c r="BV618" i="1"/>
  <c r="DD611" i="1"/>
  <c r="CX617" i="1"/>
  <c r="CD617" i="1"/>
  <c r="CA615" i="1"/>
  <c r="BW608" i="1"/>
  <c r="BY618" i="1"/>
  <c r="CR611" i="1"/>
  <c r="BW606" i="1"/>
  <c r="AQ614" i="1"/>
  <c r="BR614" i="1"/>
  <c r="BZ605" i="1"/>
  <c r="BU605" i="1"/>
  <c r="BM598" i="1"/>
  <c r="AH613" i="1"/>
  <c r="BE610" i="1"/>
  <c r="AW603" i="1"/>
  <c r="AV606" i="1"/>
  <c r="CX605" i="1"/>
  <c r="CS605" i="1"/>
  <c r="CK598" i="1"/>
  <c r="AJ600" i="1"/>
  <c r="CW617" i="1"/>
  <c r="Z623" i="1"/>
  <c r="K606" i="1"/>
  <c r="K614" i="1"/>
  <c r="F614" i="1"/>
  <c r="BJ605" i="1"/>
  <c r="BE605" i="1"/>
  <c r="AW598" i="1"/>
  <c r="N612" i="1"/>
  <c r="AO610" i="1"/>
  <c r="AG603" i="1"/>
  <c r="CN605" i="1"/>
  <c r="CH605" i="1"/>
  <c r="CC605" i="1"/>
  <c r="CT476" i="1"/>
  <c r="AD627" i="1"/>
  <c r="X620" i="1"/>
  <c r="AN622" i="1"/>
  <c r="BX615" i="1"/>
  <c r="X622" i="1"/>
  <c r="BH615" i="1"/>
  <c r="H622" i="1"/>
  <c r="AR615" i="1"/>
  <c r="CB619" i="1"/>
  <c r="AZ616" i="1"/>
  <c r="AE611" i="1"/>
  <c r="BS613" i="1"/>
  <c r="G623" i="1"/>
  <c r="CB615" i="1"/>
  <c r="BG610" i="1"/>
  <c r="W606" i="1"/>
  <c r="AF625" i="1"/>
  <c r="G621" i="1"/>
  <c r="AO614" i="1"/>
  <c r="CE622" i="1"/>
  <c r="AS612" i="1"/>
  <c r="X612" i="1"/>
  <c r="CG615" i="1"/>
  <c r="BL615" i="1"/>
  <c r="CE617" i="1"/>
  <c r="CA610" i="1"/>
  <c r="AU617" i="1"/>
  <c r="AQ610" i="1"/>
  <c r="AA617" i="1"/>
  <c r="W610" i="1"/>
  <c r="R610" i="1"/>
  <c r="CE612" i="1"/>
  <c r="P620" i="1"/>
  <c r="BP615" i="1"/>
  <c r="BW611" i="1"/>
  <c r="CA619" i="1"/>
  <c r="CU610" i="1"/>
  <c r="AP609" i="1"/>
  <c r="DF613" i="1"/>
  <c r="H607" i="1"/>
  <c r="BV617" i="1"/>
  <c r="BN607" i="1"/>
  <c r="BI607" i="1"/>
  <c r="BA600" i="1"/>
  <c r="DD601" i="1"/>
  <c r="CT614" i="1"/>
  <c r="CZ607" i="1"/>
  <c r="CO595" i="1"/>
  <c r="AZ624" i="1"/>
  <c r="DH614" i="1"/>
  <c r="AT619" i="1"/>
  <c r="AL617" i="1"/>
  <c r="BO610" i="1"/>
  <c r="Z609" i="1"/>
  <c r="AT613" i="1"/>
  <c r="AZ606" i="1"/>
  <c r="AH615" i="1"/>
  <c r="AX607" i="1"/>
  <c r="AS607" i="1"/>
  <c r="AK600" i="1"/>
  <c r="CN601" i="1"/>
  <c r="AH614" i="1"/>
  <c r="AN607" i="1"/>
  <c r="BA624" i="1"/>
  <c r="BX627" i="1"/>
  <c r="BC627" i="1"/>
  <c r="AB620" i="1"/>
  <c r="CU626" i="1"/>
  <c r="L620" i="1"/>
  <c r="AI626" i="1"/>
  <c r="CZ619" i="1"/>
  <c r="AY624" i="1"/>
  <c r="BR621" i="1"/>
  <c r="AE616" i="1"/>
  <c r="CE615" i="1"/>
  <c r="AT624" i="1"/>
  <c r="AZ619" i="1"/>
  <c r="BG615" i="1"/>
  <c r="DG614" i="1"/>
  <c r="DB615" i="1"/>
  <c r="BR626" i="1"/>
  <c r="BQ616" i="1"/>
  <c r="V624" i="1"/>
  <c r="BZ619" i="1"/>
  <c r="CB618" i="1"/>
  <c r="BH471" i="1"/>
  <c r="AB466" i="1"/>
  <c r="T471" i="1"/>
  <c r="CK626" i="1"/>
  <c r="BK471" i="1"/>
  <c r="Y626" i="1"/>
  <c r="AW622" i="1"/>
  <c r="BK624" i="1"/>
  <c r="DG624" i="1"/>
  <c r="CP622" i="1"/>
  <c r="BY617" i="1"/>
  <c r="BR622" i="1"/>
  <c r="CY605" i="1"/>
  <c r="CE610" i="1"/>
  <c r="CC616" i="1"/>
  <c r="CD619" i="1"/>
  <c r="W605" i="1"/>
  <c r="CZ623" i="1"/>
  <c r="S627" i="1"/>
  <c r="BZ623" i="1"/>
  <c r="CL621" i="1"/>
  <c r="CO622" i="1"/>
  <c r="Z621" i="1"/>
  <c r="AC622" i="1"/>
  <c r="BR620" i="1"/>
  <c r="BY619" i="1"/>
  <c r="AF614" i="1"/>
  <c r="AX616" i="1"/>
  <c r="AP614" i="1"/>
  <c r="BL621" i="1"/>
  <c r="BH613" i="1"/>
  <c r="BB613" i="1"/>
  <c r="DG613" i="1"/>
  <c r="DC606" i="1"/>
  <c r="CM613" i="1"/>
  <c r="BS471" i="1"/>
  <c r="BV471" i="1"/>
  <c r="W461" i="1"/>
  <c r="AO626" i="1"/>
  <c r="AA627" i="1"/>
  <c r="BQ625" i="1"/>
  <c r="AE624" i="1"/>
  <c r="CS624" i="1"/>
  <c r="CK622" i="1"/>
  <c r="T623" i="1"/>
  <c r="BG623" i="1"/>
  <c r="BX624" i="1"/>
  <c r="BT620" i="1"/>
  <c r="BM621" i="1"/>
  <c r="BQ622" i="1"/>
  <c r="CU620" i="1"/>
  <c r="BM619" i="1"/>
  <c r="BT618" i="1"/>
  <c r="AK619" i="1"/>
  <c r="L624" i="1"/>
  <c r="H620" i="1"/>
  <c r="DE620" i="1"/>
  <c r="DI621" i="1"/>
  <c r="CE620" i="1"/>
  <c r="AS619" i="1"/>
  <c r="BD618" i="1"/>
  <c r="Q619" i="1"/>
  <c r="BD623" i="1"/>
  <c r="F627" i="1"/>
  <c r="AS620" i="1"/>
  <c r="AW621" i="1"/>
  <c r="BO620" i="1"/>
  <c r="U619" i="1"/>
  <c r="AN618" i="1"/>
  <c r="DA618" i="1"/>
  <c r="CV621" i="1"/>
  <c r="AB615" i="1"/>
  <c r="DH617" i="1"/>
  <c r="AC616" i="1"/>
  <c r="H616" i="1"/>
  <c r="AH623" i="1"/>
  <c r="AV619" i="1"/>
  <c r="AE619" i="1"/>
  <c r="O612" i="1"/>
  <c r="CV614" i="1"/>
  <c r="CI611" i="1"/>
  <c r="T614" i="1"/>
  <c r="BO611" i="1"/>
  <c r="BK604" i="1"/>
  <c r="BO616" i="1"/>
  <c r="BK609" i="1"/>
  <c r="BE624" i="1"/>
  <c r="BK622" i="1"/>
  <c r="AF617" i="1"/>
  <c r="BE615" i="1"/>
  <c r="AJ615" i="1"/>
  <c r="BQ619" i="1"/>
  <c r="BX618" i="1"/>
  <c r="AJ613" i="1"/>
  <c r="V623" i="1"/>
  <c r="BX612" i="1"/>
  <c r="AD619" i="1"/>
  <c r="AF612" i="1"/>
  <c r="BF618" i="1"/>
  <c r="AN466" i="1"/>
  <c r="CZ627" i="1"/>
  <c r="BL622" i="1"/>
  <c r="CW619" i="1"/>
  <c r="H618" i="1"/>
  <c r="CC619" i="1"/>
  <c r="CV617" i="1"/>
  <c r="BV627" i="1"/>
  <c r="CF617" i="1"/>
  <c r="AV617" i="1"/>
  <c r="CN618" i="1"/>
  <c r="Z620" i="1"/>
  <c r="DG615" i="1"/>
  <c r="BX616" i="1"/>
  <c r="L618" i="1"/>
  <c r="CT616" i="1"/>
  <c r="CI606" i="1"/>
  <c r="Q622" i="1"/>
  <c r="BR623" i="1"/>
  <c r="DA614" i="1"/>
  <c r="BZ625" i="1"/>
  <c r="DE612" i="1"/>
  <c r="CJ612" i="1"/>
  <c r="AO616" i="1"/>
  <c r="T616" i="1"/>
  <c r="AM618" i="1"/>
  <c r="AI611" i="1"/>
  <c r="DG617" i="1"/>
  <c r="DC610" i="1"/>
  <c r="CM617" i="1"/>
  <c r="CI610" i="1"/>
  <c r="CD610" i="1"/>
  <c r="AM613" i="1"/>
  <c r="T620" i="1"/>
  <c r="DD617" i="1"/>
  <c r="G614" i="1"/>
  <c r="BG613" i="1"/>
  <c r="BR613" i="1"/>
  <c r="DB609" i="1"/>
  <c r="AP616" i="1"/>
  <c r="AV609" i="1"/>
  <c r="Y596" i="1"/>
  <c r="V608" i="1"/>
  <c r="Q608" i="1"/>
  <c r="I601" i="1"/>
  <c r="BL602" i="1"/>
  <c r="AD617" i="1"/>
  <c r="AJ610" i="1"/>
  <c r="AW596" i="1"/>
  <c r="AV623" i="1"/>
  <c r="AR617" i="1"/>
  <c r="AY613" i="1"/>
  <c r="CY612" i="1"/>
  <c r="AX612" i="1"/>
  <c r="CL609" i="1"/>
  <c r="CH615" i="1"/>
  <c r="CN608" i="1"/>
  <c r="I596" i="1"/>
  <c r="F608" i="1"/>
  <c r="DE607" i="1"/>
  <c r="CW600" i="1"/>
  <c r="AV602" i="1"/>
  <c r="BV616" i="1"/>
  <c r="CB609" i="1"/>
  <c r="P471" i="1"/>
  <c r="BC626" i="1"/>
  <c r="BM627" i="1"/>
  <c r="BP622" i="1"/>
  <c r="DE626" i="1"/>
  <c r="AZ622" i="1"/>
  <c r="AS626" i="1"/>
  <c r="AJ622" i="1"/>
  <c r="CA625" i="1"/>
  <c r="AG613" i="1"/>
  <c r="BS618" i="1"/>
  <c r="O618" i="1"/>
  <c r="BT627" i="1"/>
  <c r="BI612" i="1"/>
  <c r="CU617" i="1"/>
  <c r="AQ617" i="1"/>
  <c r="AL618" i="1"/>
  <c r="AB621" i="1"/>
  <c r="CT619" i="1"/>
  <c r="DE611" i="1"/>
  <c r="BZ622" i="1"/>
  <c r="AJ619" i="1"/>
  <c r="S619" i="1"/>
  <c r="AS613" i="1"/>
  <c r="X613" i="1"/>
  <c r="AQ615" i="1"/>
  <c r="AM608" i="1"/>
  <c r="G615" i="1"/>
  <c r="DG607" i="1"/>
  <c r="CQ614" i="1"/>
  <c r="CM607" i="1"/>
  <c r="F624" i="1"/>
  <c r="BN616" i="1"/>
  <c r="AZ613" i="1"/>
  <c r="CX620" i="1"/>
  <c r="AF613" i="1"/>
  <c r="BF619" i="1"/>
  <c r="G607" i="1"/>
  <c r="BR610" i="1"/>
  <c r="CK609" i="1"/>
  <c r="CC602" i="1"/>
  <c r="AB604" i="1"/>
  <c r="Z605" i="1"/>
  <c r="U605" i="1"/>
  <c r="M598" i="1"/>
  <c r="J611" i="1"/>
  <c r="DI609" i="1"/>
  <c r="DA602" i="1"/>
  <c r="BD604" i="1"/>
  <c r="CI620" i="1"/>
  <c r="AC619" i="1"/>
  <c r="L612" i="1"/>
  <c r="R617" i="1"/>
  <c r="CU606" i="1"/>
  <c r="AL610" i="1"/>
  <c r="BU609" i="1"/>
  <c r="BM602" i="1"/>
  <c r="L604" i="1"/>
  <c r="J605" i="1"/>
  <c r="DI604" i="1"/>
  <c r="DA597" i="1"/>
  <c r="CH610" i="1"/>
  <c r="CS609" i="1"/>
  <c r="CK602" i="1"/>
  <c r="CV627" i="1"/>
  <c r="AV626" i="1"/>
  <c r="AA626" i="1"/>
  <c r="BY616" i="1"/>
  <c r="BS625" i="1"/>
  <c r="DH619" i="1"/>
  <c r="G625" i="1"/>
  <c r="BB627" i="1"/>
  <c r="AH626" i="1"/>
  <c r="DF620" i="1"/>
  <c r="AA609" i="1"/>
  <c r="CA608" i="1"/>
  <c r="R623" i="1"/>
  <c r="AI619" i="1"/>
  <c r="BC608" i="1"/>
  <c r="R616" i="1"/>
  <c r="AH610" i="1"/>
  <c r="L623" i="1"/>
  <c r="AV616" i="1"/>
  <c r="AJ618" i="1"/>
  <c r="BI616" i="1"/>
  <c r="AN616" i="1"/>
  <c r="CU619" i="1"/>
  <c r="CE619" i="1"/>
  <c r="BK619" i="1"/>
  <c r="AU612" i="1"/>
  <c r="AQ605" i="1"/>
  <c r="K612" i="1"/>
  <c r="CQ471" i="1"/>
  <c r="M622" i="1"/>
  <c r="CB461" i="1"/>
  <c r="AJ624" i="1"/>
  <c r="CI461" i="1"/>
  <c r="BS626" i="1"/>
  <c r="AP627" i="1"/>
  <c r="BX619" i="1"/>
  <c r="CI621" i="1"/>
  <c r="CE625" i="1"/>
  <c r="AB617" i="1"/>
  <c r="AI613" i="1"/>
  <c r="CI612" i="1"/>
  <c r="BZ624" i="1"/>
  <c r="BD616" i="1"/>
  <c r="BK612" i="1"/>
  <c r="CE461" i="1"/>
  <c r="CV619" i="1"/>
  <c r="DI620" i="1"/>
  <c r="AP626" i="1"/>
  <c r="Y617" i="1"/>
  <c r="CC621" i="1"/>
  <c r="DI616" i="1"/>
  <c r="DA619" i="1"/>
  <c r="CK616" i="1"/>
  <c r="DA617" i="1"/>
  <c r="AC618" i="1"/>
  <c r="BJ620" i="1"/>
  <c r="V614" i="1"/>
  <c r="BY615" i="1"/>
  <c r="AC617" i="1"/>
  <c r="AJ614" i="1"/>
  <c r="BS611" i="1"/>
  <c r="BL613" i="1"/>
  <c r="AX627" i="1"/>
  <c r="BM456" i="1"/>
  <c r="DD456" i="1"/>
  <c r="Q476" i="1"/>
  <c r="AE626" i="1"/>
  <c r="AM622" i="1"/>
  <c r="BG625" i="1"/>
  <c r="BM626" i="1"/>
  <c r="CI624" i="1"/>
  <c r="AW620" i="1"/>
  <c r="CJ620" i="1"/>
  <c r="CP624" i="1"/>
  <c r="I621" i="1"/>
  <c r="AD624" i="1"/>
  <c r="CZ622" i="1"/>
  <c r="X623" i="1"/>
  <c r="BU619" i="1"/>
  <c r="BA616" i="1"/>
  <c r="AF616" i="1"/>
  <c r="AG616" i="1"/>
  <c r="BA620" i="1"/>
  <c r="P623" i="1"/>
  <c r="CJ622" i="1"/>
  <c r="H623" i="1"/>
  <c r="BE619" i="1"/>
  <c r="AK616" i="1"/>
  <c r="P616" i="1"/>
  <c r="Q616" i="1"/>
  <c r="BE627" i="1"/>
  <c r="DD622" i="1"/>
  <c r="BT622" i="1"/>
  <c r="CV622" i="1"/>
  <c r="AO619" i="1"/>
  <c r="U616" i="1"/>
  <c r="DD615" i="1"/>
  <c r="CK625" i="1"/>
  <c r="T622" i="1"/>
  <c r="CO615" i="1"/>
  <c r="BT615" i="1"/>
  <c r="CS613" i="1"/>
  <c r="BX613" i="1"/>
  <c r="BA617" i="1"/>
  <c r="H617" i="1"/>
  <c r="AQ619" i="1"/>
  <c r="J614" i="1"/>
  <c r="CU618" i="1"/>
  <c r="CD612" i="1"/>
  <c r="CA618" i="1"/>
  <c r="DF611" i="1"/>
  <c r="CL611" i="1"/>
  <c r="AA614" i="1"/>
  <c r="DF627" i="1"/>
  <c r="DF625" i="1"/>
  <c r="M615" i="1"/>
  <c r="CT626" i="1"/>
  <c r="Q613" i="1"/>
  <c r="CZ612" i="1"/>
  <c r="BE616" i="1"/>
  <c r="AJ616" i="1"/>
  <c r="BC618" i="1"/>
  <c r="AY611" i="1"/>
  <c r="S618" i="1"/>
  <c r="O611" i="1"/>
  <c r="DC617" i="1"/>
  <c r="CY610" i="1"/>
  <c r="T456" i="1"/>
  <c r="BN625" i="1"/>
  <c r="AK622" i="1"/>
  <c r="AK620" i="1"/>
  <c r="BI618" i="1"/>
  <c r="I620" i="1"/>
  <c r="AO618" i="1"/>
  <c r="CS619" i="1"/>
  <c r="Q618" i="1"/>
  <c r="BU615" i="1"/>
  <c r="CR613" i="1"/>
  <c r="BL612" i="1"/>
  <c r="DC608" i="1"/>
  <c r="CW614" i="1"/>
  <c r="P612" i="1"/>
  <c r="BB622" i="1"/>
  <c r="BB624" i="1"/>
  <c r="CS620" i="1"/>
  <c r="CM621" i="1"/>
  <c r="BM612" i="1"/>
  <c r="O620" i="1"/>
  <c r="AX620" i="1"/>
  <c r="CL619" i="1"/>
  <c r="DE613" i="1"/>
  <c r="CJ613" i="1"/>
  <c r="DC615" i="1"/>
  <c r="CY608" i="1"/>
  <c r="BS615" i="1"/>
  <c r="BO608" i="1"/>
  <c r="AY615" i="1"/>
  <c r="AU608" i="1"/>
  <c r="BH612" i="1"/>
  <c r="DB618" i="1"/>
  <c r="BU613" i="1"/>
  <c r="O622" i="1"/>
  <c r="DG606" i="1"/>
  <c r="BC606" i="1"/>
  <c r="BS607" i="1"/>
  <c r="BJ612" i="1"/>
  <c r="AS610" i="1"/>
  <c r="AK603" i="1"/>
  <c r="DD605" i="1"/>
  <c r="CL605" i="1"/>
  <c r="CG605" i="1"/>
  <c r="BY598" i="1"/>
  <c r="AL614" i="1"/>
  <c r="BQ610" i="1"/>
  <c r="BI603" i="1"/>
  <c r="CR606" i="1"/>
  <c r="N623" i="1"/>
  <c r="AE621" i="1"/>
  <c r="AU606" i="1"/>
  <c r="CU605" i="1"/>
  <c r="BC607" i="1"/>
  <c r="BH611" i="1"/>
  <c r="AC610" i="1"/>
  <c r="U603" i="1"/>
  <c r="AR605" i="1"/>
  <c r="BV605" i="1"/>
  <c r="BQ605" i="1"/>
  <c r="BI598" i="1"/>
  <c r="R613" i="1"/>
  <c r="BA610" i="1"/>
  <c r="AS603" i="1"/>
  <c r="CU623" i="1"/>
  <c r="AH624" i="1"/>
  <c r="AK626" i="1"/>
  <c r="I619" i="1"/>
  <c r="CC625" i="1"/>
  <c r="CW618" i="1"/>
  <c r="Q625" i="1"/>
  <c r="CG618" i="1"/>
  <c r="CJ619" i="1"/>
  <c r="L613" i="1"/>
  <c r="BZ611" i="1"/>
  <c r="K611" i="1"/>
  <c r="BS621" i="1"/>
  <c r="AN612" i="1"/>
  <c r="CQ610" i="1"/>
  <c r="G612" i="1"/>
  <c r="CT610" i="1"/>
  <c r="U622" i="1"/>
  <c r="CJ618" i="1"/>
  <c r="CV618" i="1"/>
  <c r="AK617" i="1"/>
  <c r="CZ616" i="1"/>
  <c r="BW620" i="1"/>
  <c r="J622" i="1"/>
  <c r="AX621" i="1"/>
  <c r="DG612" i="1"/>
  <c r="DC605" i="1"/>
  <c r="BW612" i="1"/>
  <c r="BS605" i="1"/>
  <c r="BC612" i="1"/>
  <c r="AY605" i="1"/>
  <c r="BC617" i="1"/>
  <c r="AY610" i="1"/>
  <c r="BL617" i="1"/>
  <c r="DD618" i="1"/>
  <c r="BN622" i="1"/>
  <c r="CY617" i="1"/>
  <c r="BW604" i="1"/>
  <c r="BB607" i="1"/>
  <c r="AW607" i="1"/>
  <c r="AO600" i="1"/>
  <c r="CR601" i="1"/>
  <c r="AX614" i="1"/>
  <c r="BD607" i="1"/>
  <c r="AX619" i="1"/>
  <c r="BZ607" i="1"/>
  <c r="BU607" i="1"/>
  <c r="BM600" i="1"/>
  <c r="L602" i="1"/>
  <c r="DD616" i="1"/>
  <c r="AR618" i="1"/>
  <c r="J618" i="1"/>
  <c r="BS617" i="1"/>
  <c r="BG604" i="1"/>
  <c r="AL607" i="1"/>
  <c r="AG607" i="1"/>
  <c r="Y600" i="1"/>
  <c r="CB601" i="1"/>
  <c r="CP613" i="1"/>
  <c r="CV606" i="1"/>
  <c r="J617" i="1"/>
  <c r="BJ607" i="1"/>
  <c r="BE607" i="1"/>
  <c r="CN466" i="1"/>
  <c r="CC623" i="1"/>
  <c r="CB623" i="1"/>
  <c r="BQ627" i="1"/>
  <c r="BE613" i="1"/>
  <c r="DI626" i="1"/>
  <c r="AO613" i="1"/>
  <c r="AW626" i="1"/>
  <c r="Y613" i="1"/>
  <c r="CS612" i="1"/>
  <c r="AG614" i="1"/>
  <c r="CY615" i="1"/>
  <c r="P613" i="1"/>
  <c r="Q612" i="1"/>
  <c r="BI613" i="1"/>
  <c r="W615" i="1"/>
  <c r="DC607" i="1"/>
  <c r="BT611" i="1"/>
  <c r="AP623" i="1"/>
  <c r="AW616" i="1"/>
  <c r="CZ615" i="1"/>
  <c r="U614" i="1"/>
  <c r="DD613" i="1"/>
  <c r="CO617" i="1"/>
  <c r="AN617" i="1"/>
  <c r="BZ620" i="1"/>
  <c r="AD615" i="1"/>
  <c r="AM619" i="1"/>
  <c r="CX613" i="1"/>
  <c r="CI471" i="1"/>
  <c r="DA626" i="1"/>
  <c r="BF625" i="1"/>
  <c r="CE605" i="1"/>
  <c r="K461" i="1"/>
  <c r="CR616" i="1"/>
  <c r="BL616" i="1"/>
  <c r="CM614" i="1"/>
  <c r="R612" i="1"/>
  <c r="DB456" i="1"/>
  <c r="CO624" i="1"/>
  <c r="AA623" i="1"/>
  <c r="BL620" i="1"/>
  <c r="CV613" i="1"/>
  <c r="AV620" i="1"/>
  <c r="CF613" i="1"/>
  <c r="AF620" i="1"/>
  <c r="BP613" i="1"/>
  <c r="AI621" i="1"/>
  <c r="BX614" i="1"/>
  <c r="BC609" i="1"/>
  <c r="CQ611" i="1"/>
  <c r="AM620" i="1"/>
  <c r="CZ613" i="1"/>
  <c r="CE608" i="1"/>
  <c r="X627" i="1"/>
  <c r="S620" i="1"/>
  <c r="AZ615" i="1"/>
  <c r="CB614" i="1"/>
  <c r="CJ625" i="1"/>
  <c r="BH617" i="1"/>
  <c r="BO613" i="1"/>
  <c r="K613" i="1"/>
  <c r="BN620" i="1"/>
  <c r="AE605" i="1"/>
  <c r="AZ602" i="1"/>
  <c r="AH608" i="1"/>
  <c r="AN619" i="1"/>
  <c r="O605" i="1"/>
  <c r="AJ602" i="1"/>
  <c r="R608" i="1"/>
  <c r="CO619" i="1"/>
  <c r="CC615" i="1"/>
  <c r="BU616" i="1"/>
  <c r="CW615" i="1"/>
  <c r="Y623" i="1"/>
  <c r="BL614" i="1"/>
  <c r="BR617" i="1"/>
  <c r="BJ615" i="1"/>
  <c r="CK615" i="1"/>
  <c r="AD612" i="1"/>
  <c r="CL610" i="1"/>
  <c r="AL605" i="1"/>
  <c r="Y615" i="1"/>
  <c r="BV611" i="1"/>
  <c r="BF610" i="1"/>
  <c r="V605" i="1"/>
  <c r="BS622" i="1"/>
  <c r="AL627" i="1"/>
  <c r="L614" i="1"/>
  <c r="AN613" i="1"/>
  <c r="F620" i="1"/>
  <c r="BP611" i="1"/>
  <c r="DD614" i="1"/>
  <c r="O610" i="1"/>
  <c r="CI609" i="1"/>
  <c r="BS616" i="1"/>
  <c r="BO609" i="1"/>
  <c r="BJ609" i="1"/>
  <c r="S612" i="1"/>
  <c r="AR620" i="1"/>
  <c r="AB613" i="1"/>
  <c r="AH612" i="1"/>
  <c r="AA611" i="1"/>
  <c r="CA609" i="1"/>
  <c r="CE604" i="1"/>
  <c r="BR611" i="1"/>
  <c r="BX604" i="1"/>
  <c r="CB610" i="1"/>
  <c r="DF606" i="1"/>
  <c r="DA606" i="1"/>
  <c r="CS599" i="1"/>
  <c r="AR601" i="1"/>
  <c r="BF612" i="1"/>
  <c r="BL605" i="1"/>
  <c r="CD611" i="1"/>
  <c r="CM622" i="1"/>
  <c r="BT612" i="1"/>
  <c r="S611" i="1"/>
  <c r="BS610" i="1"/>
  <c r="AU609" i="1"/>
  <c r="CP626" i="1"/>
  <c r="AW611" i="1"/>
  <c r="AO604" i="1"/>
  <c r="P610" i="1"/>
  <c r="CP606" i="1"/>
  <c r="CK606" i="1"/>
  <c r="CC599" i="1"/>
  <c r="CU604" i="1"/>
  <c r="CX611" i="1"/>
  <c r="BG627" i="1"/>
  <c r="AM626" i="1"/>
  <c r="BK613" i="1"/>
  <c r="CM612" i="1"/>
  <c r="BI615" i="1"/>
  <c r="I617" i="1"/>
  <c r="BO618" i="1"/>
  <c r="AL611" i="1"/>
  <c r="AU616" i="1"/>
  <c r="CD618" i="1"/>
  <c r="CC608" i="1"/>
  <c r="F616" i="1"/>
  <c r="CM615" i="1"/>
  <c r="R618" i="1"/>
  <c r="BM608" i="1"/>
  <c r="CW606" i="1"/>
  <c r="AG596" i="1"/>
  <c r="CO620" i="1"/>
  <c r="AV614" i="1"/>
  <c r="F617" i="1"/>
  <c r="DB614" i="1"/>
  <c r="AI610" i="1"/>
  <c r="J609" i="1"/>
  <c r="CL612" i="1"/>
  <c r="CR605" i="1"/>
  <c r="CX612" i="1"/>
  <c r="AH607" i="1"/>
  <c r="AC607" i="1"/>
  <c r="U600" i="1"/>
  <c r="BX601" i="1"/>
  <c r="BZ613" i="1"/>
  <c r="CF606" i="1"/>
  <c r="BB616" i="1"/>
  <c r="CQ615" i="1"/>
  <c r="AK599" i="1"/>
  <c r="AR609" i="1"/>
  <c r="BL603" i="1"/>
  <c r="CH606" i="1"/>
  <c r="CC606" i="1"/>
  <c r="BU599" i="1"/>
  <c r="T601" i="1"/>
  <c r="BG603" i="1"/>
  <c r="AD600" i="1"/>
  <c r="CK587" i="1"/>
  <c r="J600" i="1"/>
  <c r="BW600" i="1"/>
  <c r="AW594" i="1"/>
  <c r="DA584" i="1"/>
  <c r="DB622" i="1"/>
  <c r="AU605" i="1"/>
  <c r="BP602" i="1"/>
  <c r="AX608" i="1"/>
  <c r="CR599" i="1"/>
  <c r="CP604" i="1"/>
  <c r="CK604" i="1"/>
  <c r="CC597" i="1"/>
  <c r="AB599" i="1"/>
  <c r="BO601" i="1"/>
  <c r="AO595" i="1"/>
  <c r="CS585" i="1"/>
  <c r="BT600" i="1"/>
  <c r="CE598" i="1"/>
  <c r="BE592" i="1"/>
  <c r="DI582" i="1"/>
  <c r="CR623" i="1"/>
  <c r="AQ627" i="1"/>
  <c r="BG606" i="1"/>
  <c r="CI605" i="1"/>
  <c r="U613" i="1"/>
  <c r="BM614" i="1"/>
  <c r="AA616" i="1"/>
  <c r="DH613" i="1"/>
  <c r="AQ609" i="1"/>
  <c r="DE610" i="1"/>
  <c r="AO606" i="1"/>
  <c r="Q604" i="1"/>
  <c r="CI608" i="1"/>
  <c r="CO610" i="1"/>
  <c r="Y606" i="1"/>
  <c r="AK606" i="1"/>
  <c r="CP618" i="1"/>
  <c r="AY620" i="1"/>
  <c r="H612" i="1"/>
  <c r="BK610" i="1"/>
  <c r="G610" i="1"/>
  <c r="O609" i="1"/>
  <c r="BV619" i="1"/>
  <c r="AG611" i="1"/>
  <c r="Y604" i="1"/>
  <c r="BH609" i="1"/>
  <c r="BZ606" i="1"/>
  <c r="BU606" i="1"/>
  <c r="BM599" i="1"/>
  <c r="BO604" i="1"/>
  <c r="BF611" i="1"/>
  <c r="AX604" i="1"/>
  <c r="CW626" i="1"/>
  <c r="BJ619" i="1"/>
  <c r="DA596" i="1"/>
  <c r="AJ603" i="1"/>
  <c r="AR602" i="1"/>
  <c r="V606" i="1"/>
  <c r="Q606" i="1"/>
  <c r="I599" i="1"/>
  <c r="BL600" i="1"/>
  <c r="CY602" i="1"/>
  <c r="CT597" i="1"/>
  <c r="Y587" i="1"/>
  <c r="BZ597" i="1"/>
  <c r="K600" i="1"/>
  <c r="CO593" i="1"/>
  <c r="AO584" i="1"/>
  <c r="BA619" i="1"/>
  <c r="Z615" i="1"/>
  <c r="BB614" i="1"/>
  <c r="J606" i="1"/>
  <c r="P599" i="1"/>
  <c r="N621" i="1"/>
  <c r="CL617" i="1"/>
  <c r="Q597" i="1"/>
  <c r="BT598" i="1"/>
  <c r="DG600" i="1"/>
  <c r="CG594" i="1"/>
  <c r="AG585" i="1"/>
  <c r="AZ599" i="1"/>
  <c r="S598" i="1"/>
  <c r="CW591" i="1"/>
  <c r="AW582" i="1"/>
  <c r="BW622" i="1"/>
  <c r="AQ622" i="1"/>
  <c r="AQ613" i="1"/>
  <c r="AU614" i="1"/>
  <c r="V621" i="1"/>
  <c r="Y612" i="1"/>
  <c r="CQ613" i="1"/>
  <c r="BW618" i="1"/>
  <c r="K616" i="1"/>
  <c r="BQ608" i="1"/>
  <c r="AD614" i="1"/>
  <c r="CG601" i="1"/>
  <c r="BC615" i="1"/>
  <c r="BA608" i="1"/>
  <c r="CT611" i="1"/>
  <c r="BI604" i="1"/>
  <c r="DH610" i="1"/>
  <c r="DE618" i="1"/>
  <c r="CX627" i="1"/>
  <c r="W608" i="1"/>
  <c r="BW607" i="1"/>
  <c r="CY607" i="1"/>
  <c r="CX614" i="1"/>
  <c r="BY610" i="1"/>
  <c r="BQ603" i="1"/>
  <c r="T607" i="1"/>
  <c r="N606" i="1"/>
  <c r="AO621" i="1"/>
  <c r="BA625" i="1"/>
  <c r="CD620" i="1"/>
  <c r="DH616" i="1"/>
  <c r="CU627" i="1"/>
  <c r="BF623" i="1"/>
  <c r="AB616" i="1"/>
  <c r="BD615" i="1"/>
  <c r="BK618" i="1"/>
  <c r="CO626" i="1"/>
  <c r="AO625" i="1"/>
  <c r="T625" i="1"/>
  <c r="CN620" i="1"/>
  <c r="BL624" i="1"/>
  <c r="BX620" i="1"/>
  <c r="DD623" i="1"/>
  <c r="BH620" i="1"/>
  <c r="BI624" i="1"/>
  <c r="DB625" i="1"/>
  <c r="CQ616" i="1"/>
  <c r="AM616" i="1"/>
  <c r="AC623" i="1"/>
  <c r="F621" i="1"/>
  <c r="O616" i="1"/>
  <c r="BO615" i="1"/>
  <c r="DG626" i="1"/>
  <c r="CM625" i="1"/>
  <c r="BG611" i="1"/>
  <c r="Z618" i="1"/>
  <c r="CS611" i="1"/>
  <c r="AY621" i="1"/>
  <c r="BK606" i="1"/>
  <c r="G606" i="1"/>
  <c r="I612" i="1"/>
  <c r="J608" i="1"/>
  <c r="CL616" i="1"/>
  <c r="AC608" i="1"/>
  <c r="AP625" i="1"/>
  <c r="CX607" i="1"/>
  <c r="Z616" i="1"/>
  <c r="M608" i="1"/>
  <c r="AR622" i="1"/>
  <c r="L622" i="1"/>
  <c r="AI618" i="1"/>
  <c r="BK617" i="1"/>
  <c r="BI619" i="1"/>
  <c r="BU618" i="1"/>
  <c r="CX622" i="1"/>
  <c r="AP615" i="1"/>
  <c r="AZ614" i="1"/>
  <c r="N605" i="1"/>
  <c r="CW609" i="1"/>
  <c r="AG605" i="1"/>
  <c r="CB612" i="1"/>
  <c r="DB604" i="1"/>
  <c r="CG609" i="1"/>
  <c r="Q605" i="1"/>
  <c r="DD619" i="1"/>
  <c r="BA627" i="1"/>
  <c r="CU608" i="1"/>
  <c r="S608" i="1"/>
  <c r="CG613" i="1"/>
  <c r="AP624" i="1"/>
  <c r="BP612" i="1"/>
  <c r="CE607" i="1"/>
  <c r="AU607" i="1"/>
  <c r="AE614" i="1"/>
  <c r="AA607" i="1"/>
  <c r="BC619" i="1"/>
  <c r="Z614" i="1"/>
  <c r="AS615" i="1"/>
  <c r="CS616" i="1"/>
  <c r="AY618" i="1"/>
  <c r="V611" i="1"/>
  <c r="AY606" i="1"/>
  <c r="AX609" i="1"/>
  <c r="Y609" i="1"/>
  <c r="Q602" i="1"/>
  <c r="BT603" i="1"/>
  <c r="BR604" i="1"/>
  <c r="BM604" i="1"/>
  <c r="BE597" i="1"/>
  <c r="CT609" i="1"/>
  <c r="AW609" i="1"/>
  <c r="AO602" i="1"/>
  <c r="CR603" i="1"/>
  <c r="CK614" i="1"/>
  <c r="Y616" i="1"/>
  <c r="CQ617" i="1"/>
  <c r="BN610" i="1"/>
  <c r="AI606" i="1"/>
  <c r="R609" i="1"/>
  <c r="I609" i="1"/>
  <c r="DE601" i="1"/>
  <c r="BD603" i="1"/>
  <c r="BB604" i="1"/>
  <c r="AW604" i="1"/>
  <c r="AO597" i="1"/>
  <c r="BN609" i="1"/>
  <c r="AC476" i="1"/>
  <c r="BF622" i="1"/>
  <c r="AL621" i="1"/>
  <c r="AQ618" i="1"/>
  <c r="AQ607" i="1"/>
  <c r="AN615" i="1"/>
  <c r="CF616" i="1"/>
  <c r="BN611" i="1"/>
  <c r="CY613" i="1"/>
  <c r="CU615" i="1"/>
  <c r="BB612" i="1"/>
  <c r="BU601" i="1"/>
  <c r="DI596" i="1"/>
  <c r="AI615" i="1"/>
  <c r="X611" i="1"/>
  <c r="BE601" i="1"/>
  <c r="DD604" i="1"/>
  <c r="AF606" i="1"/>
  <c r="CC618" i="1"/>
  <c r="AW618" i="1"/>
  <c r="CD621" i="1"/>
  <c r="CH614" i="1"/>
  <c r="CE606" i="1"/>
  <c r="F610" i="1"/>
  <c r="BE609" i="1"/>
  <c r="AW602" i="1"/>
  <c r="CZ603" i="1"/>
  <c r="CX604" i="1"/>
  <c r="CS604" i="1"/>
  <c r="CK597" i="1"/>
  <c r="BB610" i="1"/>
  <c r="CC609" i="1"/>
  <c r="BU602" i="1"/>
  <c r="BG621" i="1"/>
  <c r="BN617" i="1"/>
  <c r="Z619" i="1"/>
  <c r="BV606" i="1"/>
  <c r="AF599" i="1"/>
  <c r="CT623" i="1"/>
  <c r="BJ621" i="1"/>
  <c r="AG597" i="1"/>
  <c r="CJ598" i="1"/>
  <c r="S601" i="1"/>
  <c r="CW594" i="1"/>
  <c r="AW585" i="1"/>
  <c r="CF599" i="1"/>
  <c r="AI598" i="1"/>
  <c r="I592" i="1"/>
  <c r="BM582" i="1"/>
  <c r="BU612" i="1"/>
  <c r="Z608" i="1"/>
  <c r="AT617" i="1"/>
  <c r="AS608" i="1"/>
  <c r="CD622" i="1"/>
  <c r="DB612" i="1"/>
  <c r="DH605" i="1"/>
  <c r="BF613" i="1"/>
  <c r="CH612" i="1"/>
  <c r="AA599" i="1"/>
  <c r="DE592" i="1"/>
  <c r="BE583" i="1"/>
  <c r="L610" i="1"/>
  <c r="AQ596" i="1"/>
  <c r="Q590" i="1"/>
  <c r="T476" i="1"/>
  <c r="BK620" i="1"/>
  <c r="W620" i="1"/>
  <c r="AM611" i="1"/>
  <c r="DG604" i="1"/>
  <c r="CY620" i="1"/>
  <c r="AR614" i="1"/>
  <c r="W609" i="1"/>
  <c r="BK611" i="1"/>
  <c r="CQ608" i="1"/>
  <c r="CW603" i="1"/>
  <c r="AG599" i="1"/>
  <c r="AB609" i="1"/>
  <c r="AE608" i="1"/>
  <c r="CG603" i="1"/>
  <c r="Q599" i="1"/>
  <c r="DE603" i="1"/>
  <c r="AJ604" i="1"/>
  <c r="Y614" i="1"/>
  <c r="BQ615" i="1"/>
  <c r="AE617" i="1"/>
  <c r="DF609" i="1"/>
  <c r="S606" i="1"/>
  <c r="DB608" i="1"/>
  <c r="CW608" i="1"/>
  <c r="CO601" i="1"/>
  <c r="AN603" i="1"/>
  <c r="AH622" i="1"/>
  <c r="DF618" i="1"/>
  <c r="Y597" i="1"/>
  <c r="AH609" i="1"/>
  <c r="Q609" i="1"/>
  <c r="I602" i="1"/>
  <c r="BU611" i="1"/>
  <c r="BZ610" i="1"/>
  <c r="CX608" i="1"/>
  <c r="BZ621" i="1"/>
  <c r="BX598" i="1"/>
  <c r="AH618" i="1"/>
  <c r="AN611" i="1"/>
  <c r="BY596" i="1"/>
  <c r="X598" i="1"/>
  <c r="BK600" i="1"/>
  <c r="AK594" i="1"/>
  <c r="CO584" i="1"/>
  <c r="BL598" i="1"/>
  <c r="CA597" i="1"/>
  <c r="BA591" i="1"/>
  <c r="DE581" i="1"/>
  <c r="AZ612" i="1"/>
  <c r="CP605" i="1"/>
  <c r="BU610" i="1"/>
  <c r="DI605" i="1"/>
  <c r="J620" i="1"/>
  <c r="AK611" i="1"/>
  <c r="AC604" i="1"/>
  <c r="BX609" i="1"/>
  <c r="AR600" i="1"/>
  <c r="BS598" i="1"/>
  <c r="AS592" i="1"/>
  <c r="CW582" i="1"/>
  <c r="CB607" i="1"/>
  <c r="CI595" i="1"/>
  <c r="BI589" i="1"/>
  <c r="AQ624" i="1"/>
  <c r="BE626" i="1"/>
  <c r="CO625" i="1"/>
  <c r="AQ623" i="1"/>
  <c r="BN613" i="1"/>
  <c r="CS618" i="1"/>
  <c r="DH611" i="1"/>
  <c r="CM606" i="1"/>
  <c r="CP611" i="1"/>
  <c r="AV613" i="1"/>
  <c r="BI601" i="1"/>
  <c r="CW596" i="1"/>
  <c r="AF603" i="1"/>
  <c r="AB612" i="1"/>
  <c r="AS601" i="1"/>
  <c r="CG596" i="1"/>
  <c r="Y602" i="1"/>
  <c r="CB603" i="1"/>
  <c r="CO611" i="1"/>
  <c r="AC613" i="1"/>
  <c r="CU614" i="1"/>
  <c r="AL622" i="1"/>
  <c r="BK605" i="1"/>
  <c r="AP608" i="1"/>
  <c r="AK608" i="1"/>
  <c r="AC601" i="1"/>
  <c r="CF602" i="1"/>
  <c r="DF617" i="1"/>
  <c r="BI627" i="1"/>
  <c r="S625" i="1"/>
  <c r="K621" i="1"/>
  <c r="K620" i="1"/>
  <c r="AR621" i="1"/>
  <c r="CB616" i="1"/>
  <c r="BT617" i="1"/>
  <c r="CV616" i="1"/>
  <c r="BI611" i="1"/>
  <c r="BM625" i="1"/>
  <c r="M624" i="1"/>
  <c r="CV623" i="1"/>
  <c r="AG617" i="1"/>
  <c r="DG627" i="1"/>
  <c r="Q617" i="1"/>
  <c r="AU627" i="1"/>
  <c r="DE616" i="1"/>
  <c r="BQ618" i="1"/>
  <c r="AX623" i="1"/>
  <c r="CM609" i="1"/>
  <c r="AI609" i="1"/>
  <c r="CU622" i="1"/>
  <c r="AT620" i="1"/>
  <c r="K609" i="1"/>
  <c r="BK608" i="1"/>
  <c r="AI620" i="1"/>
  <c r="DG619" i="1"/>
  <c r="N619" i="1"/>
  <c r="BS612" i="1"/>
  <c r="BD619" i="1"/>
  <c r="CD627" i="1"/>
  <c r="AE613" i="1"/>
  <c r="K618" i="1"/>
  <c r="CA613" i="1"/>
  <c r="DI607" i="1"/>
  <c r="CR609" i="1"/>
  <c r="U601" i="1"/>
  <c r="O613" i="1"/>
  <c r="CS607" i="1"/>
  <c r="AF609" i="1"/>
  <c r="DE476" i="1"/>
  <c r="CS615" i="1"/>
  <c r="BM615" i="1"/>
  <c r="F611" i="1"/>
  <c r="CE609" i="1"/>
  <c r="BH616" i="1"/>
  <c r="CZ617" i="1"/>
  <c r="AH616" i="1"/>
  <c r="O615" i="1"/>
  <c r="CR612" i="1"/>
  <c r="I605" i="1"/>
  <c r="CO602" i="1"/>
  <c r="Y598" i="1"/>
  <c r="BX611" i="1"/>
  <c r="CW604" i="1"/>
  <c r="BY602" i="1"/>
  <c r="AP471" i="1"/>
  <c r="CR619" i="1"/>
  <c r="R626" i="1"/>
  <c r="AT621" i="1"/>
  <c r="BO605" i="1"/>
  <c r="CA621" i="1"/>
  <c r="U615" i="1"/>
  <c r="S617" i="1"/>
  <c r="CM616" i="1"/>
  <c r="G605" i="1"/>
  <c r="CU611" i="1"/>
  <c r="CQ604" i="1"/>
  <c r="CU616" i="1"/>
  <c r="CQ609" i="1"/>
  <c r="X615" i="1"/>
  <c r="BP616" i="1"/>
  <c r="AU611" i="1"/>
  <c r="CE616" i="1"/>
  <c r="AP619" i="1"/>
  <c r="CT606" i="1"/>
  <c r="CO606" i="1"/>
  <c r="CG599" i="1"/>
  <c r="CY604" i="1"/>
  <c r="J612" i="1"/>
  <c r="P605" i="1"/>
  <c r="T611" i="1"/>
  <c r="N607" i="1"/>
  <c r="I607" i="1"/>
  <c r="DE599" i="1"/>
  <c r="BD601" i="1"/>
  <c r="BF624" i="1"/>
  <c r="DH615" i="1"/>
  <c r="CM610" i="1"/>
  <c r="AY616" i="1"/>
  <c r="CH618" i="1"/>
  <c r="CD606" i="1"/>
  <c r="BY606" i="1"/>
  <c r="BQ599" i="1"/>
  <c r="BS604" i="1"/>
  <c r="BL611" i="1"/>
  <c r="BH604" i="1"/>
  <c r="BL610" i="1"/>
  <c r="DB606" i="1"/>
  <c r="BS623" i="1"/>
  <c r="CY626" i="1"/>
  <c r="DF619" i="1"/>
  <c r="H619" i="1"/>
  <c r="CF625" i="1"/>
  <c r="BM613" i="1"/>
  <c r="CY618" i="1"/>
  <c r="AU618" i="1"/>
  <c r="CM626" i="1"/>
  <c r="AP618" i="1"/>
  <c r="CK596" i="1"/>
  <c r="T603" i="1"/>
  <c r="CR627" i="1"/>
  <c r="V617" i="1"/>
  <c r="BU596" i="1"/>
  <c r="DH602" i="1"/>
  <c r="DI600" i="1"/>
  <c r="BH602" i="1"/>
  <c r="AR616" i="1"/>
  <c r="CJ617" i="1"/>
  <c r="BZ615" i="1"/>
  <c r="AM617" i="1"/>
  <c r="F623" i="1"/>
  <c r="V607" i="1"/>
  <c r="Q607" i="1"/>
  <c r="I600" i="1"/>
  <c r="BL601" i="1"/>
  <c r="AD613" i="1"/>
  <c r="AJ606" i="1"/>
  <c r="BZ614" i="1"/>
  <c r="AT607" i="1"/>
  <c r="AO607" i="1"/>
  <c r="AG600" i="1"/>
  <c r="CN614" i="1"/>
  <c r="AX606" i="1"/>
  <c r="AC611" i="1"/>
  <c r="BQ606" i="1"/>
  <c r="BC604" i="1"/>
  <c r="BA611" i="1"/>
  <c r="AS604" i="1"/>
  <c r="AF610" i="1"/>
  <c r="BX600" i="1"/>
  <c r="CI598" i="1"/>
  <c r="BI592" i="1"/>
  <c r="I583" i="1"/>
  <c r="AJ608" i="1"/>
  <c r="CY595" i="1"/>
  <c r="BY589" i="1"/>
  <c r="Y580" i="1"/>
  <c r="AI614" i="1"/>
  <c r="U608" i="1"/>
  <c r="AZ610" i="1"/>
  <c r="AK601" i="1"/>
  <c r="J610" i="1"/>
  <c r="BI609" i="1"/>
  <c r="BA602" i="1"/>
  <c r="DD603" i="1"/>
  <c r="DB613" i="1"/>
  <c r="CQ596" i="1"/>
  <c r="BQ590" i="1"/>
  <c r="Q581" i="1"/>
  <c r="BC603" i="1"/>
  <c r="N600" i="1"/>
  <c r="CG587" i="1"/>
  <c r="R624" i="1"/>
  <c r="DC627" i="1"/>
  <c r="BE618" i="1"/>
  <c r="BE617" i="1"/>
  <c r="BD624" i="1"/>
  <c r="CL622" i="1"/>
  <c r="BK616" i="1"/>
  <c r="G616" i="1"/>
  <c r="CO616" i="1"/>
  <c r="BG608" i="1"/>
  <c r="AN608" i="1"/>
  <c r="J619" i="1"/>
  <c r="DG620" i="1"/>
  <c r="AA608" i="1"/>
  <c r="CF607" i="1"/>
  <c r="CT617" i="1"/>
  <c r="AW600" i="1"/>
  <c r="CZ601" i="1"/>
  <c r="AY622" i="1"/>
  <c r="AV615" i="1"/>
  <c r="AA610" i="1"/>
  <c r="S616" i="1"/>
  <c r="V618" i="1"/>
  <c r="BN606" i="1"/>
  <c r="BI606" i="1"/>
  <c r="BA599" i="1"/>
  <c r="AX622" i="1"/>
  <c r="AS611" i="1"/>
  <c r="AK604" i="1"/>
  <c r="DD609" i="1"/>
  <c r="CL606" i="1"/>
  <c r="CG606" i="1"/>
  <c r="BY599" i="1"/>
  <c r="DG616" i="1"/>
  <c r="AL619" i="1"/>
  <c r="CS608" i="1"/>
  <c r="AT618" i="1"/>
  <c r="AD616" i="1"/>
  <c r="CS610" i="1"/>
  <c r="CK603" i="1"/>
  <c r="CV607" i="1"/>
  <c r="BD599" i="1"/>
  <c r="W598" i="1"/>
  <c r="DA591" i="1"/>
  <c r="BA582" i="1"/>
  <c r="CZ605" i="1"/>
  <c r="AV608" i="1"/>
  <c r="M589" i="1"/>
  <c r="BX607" i="1"/>
  <c r="AE607" i="1"/>
  <c r="CK605" i="1"/>
  <c r="BM603" i="1"/>
  <c r="DA598" i="1"/>
  <c r="DF608" i="1"/>
  <c r="DA608" i="1"/>
  <c r="CS601" i="1"/>
  <c r="AR603" i="1"/>
  <c r="BT609" i="1"/>
  <c r="AE596" i="1"/>
  <c r="DI589" i="1"/>
  <c r="BI580" i="1"/>
  <c r="CU602" i="1"/>
  <c r="CD597" i="1"/>
  <c r="U587" i="1"/>
  <c r="Z626" i="1"/>
  <c r="BG622" i="1"/>
  <c r="CN617" i="1"/>
  <c r="L617" i="1"/>
  <c r="CF620" i="1"/>
  <c r="P618" i="1"/>
  <c r="W614" i="1"/>
  <c r="BW613" i="1"/>
  <c r="DI612" i="1"/>
  <c r="CQ605" i="1"/>
  <c r="H603" i="1"/>
  <c r="CT608" i="1"/>
  <c r="AW612" i="1"/>
  <c r="CA605" i="1"/>
  <c r="CV602" i="1"/>
  <c r="CD608" i="1"/>
  <c r="CO599" i="1"/>
  <c r="AN601" i="1"/>
  <c r="DB621" i="1"/>
  <c r="I626" i="1"/>
  <c r="N624" i="1"/>
  <c r="AY471" i="1"/>
  <c r="M614" i="1"/>
  <c r="CK613" i="1"/>
  <c r="AD609" i="1"/>
  <c r="DE623" i="1"/>
  <c r="BB611" i="1"/>
  <c r="G611" i="1"/>
  <c r="BX602" i="1"/>
  <c r="CF624" i="1"/>
  <c r="CN612" i="1"/>
  <c r="K608" i="1"/>
  <c r="CB599" i="1"/>
  <c r="T627" i="1"/>
  <c r="BU621" i="1"/>
  <c r="AY614" i="1"/>
  <c r="BG614" i="1"/>
  <c r="AE618" i="1"/>
  <c r="BA604" i="1"/>
  <c r="AC602" i="1"/>
  <c r="BQ597" i="1"/>
  <c r="BW617" i="1"/>
  <c r="BN619" i="1"/>
  <c r="M602" i="1"/>
  <c r="CX621" i="1"/>
  <c r="AR613" i="1"/>
  <c r="BJ610" i="1"/>
  <c r="AT610" i="1"/>
  <c r="T600" i="1"/>
  <c r="BO612" i="1"/>
  <c r="BY597" i="1"/>
  <c r="H604" i="1"/>
  <c r="BS609" i="1"/>
  <c r="V609" i="1"/>
  <c r="AB610" i="1"/>
  <c r="G603" i="1"/>
  <c r="DB619" i="1"/>
  <c r="Z607" i="1"/>
  <c r="DC603" i="1"/>
  <c r="O601" i="1"/>
  <c r="AQ620" i="1"/>
  <c r="V622" i="1"/>
  <c r="AH617" i="1"/>
  <c r="N616" i="1"/>
  <c r="BO627" i="1"/>
  <c r="J625" i="1"/>
  <c r="M597" i="1"/>
  <c r="AZ603" i="1"/>
  <c r="BC616" i="1"/>
  <c r="BJ608" i="1"/>
  <c r="CR607" i="1"/>
  <c r="AY602" i="1"/>
  <c r="BW614" i="1"/>
  <c r="BR606" i="1"/>
  <c r="AQ603" i="1"/>
  <c r="BG600" i="1"/>
  <c r="CW625" i="1"/>
  <c r="AU622" i="1"/>
  <c r="BV608" i="1"/>
  <c r="BF608" i="1"/>
  <c r="BV624" i="1"/>
  <c r="CQ607" i="1"/>
  <c r="CL615" i="1"/>
  <c r="DA605" i="1"/>
  <c r="BV615" i="1"/>
  <c r="I606" i="1"/>
  <c r="DE598" i="1"/>
  <c r="BZ616" i="1"/>
  <c r="CW610" i="1"/>
  <c r="CO603" i="1"/>
  <c r="Y619" i="1"/>
  <c r="CM608" i="1"/>
  <c r="CZ608" i="1"/>
  <c r="CP621" i="1"/>
  <c r="X601" i="1"/>
  <c r="BN605" i="1"/>
  <c r="BI605" i="1"/>
  <c r="BA598" i="1"/>
  <c r="DD599" i="1"/>
  <c r="AM602" i="1"/>
  <c r="AX596" i="1"/>
  <c r="BQ586" i="1"/>
  <c r="AN596" i="1"/>
  <c r="BC599" i="1"/>
  <c r="AC593" i="1"/>
  <c r="CG583" i="1"/>
  <c r="BL618" i="1"/>
  <c r="N610" i="1"/>
  <c r="AL608" i="1"/>
  <c r="CP617" i="1"/>
  <c r="BH598" i="1"/>
  <c r="BZ617" i="1"/>
  <c r="CF610" i="1"/>
  <c r="BI596" i="1"/>
  <c r="H598" i="1"/>
  <c r="AU600" i="1"/>
  <c r="U594" i="1"/>
  <c r="BY584" i="1"/>
  <c r="AF598" i="1"/>
  <c r="BK597" i="1"/>
  <c r="AK591" i="1"/>
  <c r="N627" i="1"/>
  <c r="BZ609" i="1"/>
  <c r="AE609" i="1"/>
  <c r="CV600" i="1"/>
  <c r="BQ601" i="1"/>
  <c r="BG612" i="1"/>
  <c r="CC607" i="1"/>
  <c r="BX608" i="1"/>
  <c r="CS600" i="1"/>
  <c r="DE608" i="1"/>
  <c r="CT615" i="1"/>
  <c r="BU583" i="1"/>
  <c r="CK580" i="1"/>
  <c r="BY603" i="1"/>
  <c r="CZ604" i="1"/>
  <c r="CC581" i="1"/>
  <c r="AC581" i="1"/>
  <c r="N626" i="1"/>
  <c r="CX610" i="1"/>
  <c r="AP605" i="1"/>
  <c r="U610" i="1"/>
  <c r="CJ597" i="1"/>
  <c r="CD614" i="1"/>
  <c r="CJ607" i="1"/>
  <c r="AL623" i="1"/>
  <c r="AP620" i="1"/>
  <c r="BW599" i="1"/>
  <c r="AW593" i="1"/>
  <c r="DA583" i="1"/>
  <c r="AP613" i="1"/>
  <c r="CM596" i="1"/>
  <c r="BM590" i="1"/>
  <c r="M581" i="1"/>
  <c r="Z612" i="1"/>
  <c r="AW610" i="1"/>
  <c r="CE597" i="1"/>
  <c r="BV603" i="1"/>
  <c r="AU602" i="1"/>
  <c r="BN596" i="1"/>
  <c r="BY586" i="1"/>
  <c r="BD596" i="1"/>
  <c r="AA602" i="1"/>
  <c r="Z596" i="1"/>
  <c r="BE586" i="1"/>
  <c r="P596" i="1"/>
  <c r="AB588" i="1"/>
  <c r="BF601" i="1"/>
  <c r="O588" i="1"/>
  <c r="CJ603" i="1"/>
  <c r="M605" i="1"/>
  <c r="BU595" i="1"/>
  <c r="CK592" i="1"/>
  <c r="K601" i="1"/>
  <c r="CO594" i="1"/>
  <c r="AO585" i="1"/>
  <c r="CJ594" i="1"/>
  <c r="CU600" i="1"/>
  <c r="BU594" i="1"/>
  <c r="U585" i="1"/>
  <c r="BP594" i="1"/>
  <c r="CV586" i="1"/>
  <c r="CH596" i="1"/>
  <c r="AL612" i="1"/>
  <c r="CK599" i="1"/>
  <c r="DA587" i="1"/>
  <c r="M585" i="1"/>
  <c r="S599" i="1"/>
  <c r="CW592" i="1"/>
  <c r="AW583" i="1"/>
  <c r="L601" i="1"/>
  <c r="DC598" i="1"/>
  <c r="CC592" i="1"/>
  <c r="AC583" i="1"/>
  <c r="CR596" i="1"/>
  <c r="DD584" i="1"/>
  <c r="AM594" i="1"/>
  <c r="CQ584" i="1"/>
  <c r="CG597" i="1"/>
  <c r="L603" i="1"/>
  <c r="AC580" i="1"/>
  <c r="CZ599" i="1"/>
  <c r="AA597" i="1"/>
  <c r="DE590" i="1"/>
  <c r="BE581" i="1"/>
  <c r="BZ618" i="1"/>
  <c r="CC595" i="1"/>
  <c r="AU584" i="1"/>
  <c r="P594" i="1"/>
  <c r="H584" i="1"/>
  <c r="AU593" i="1"/>
  <c r="BL595" i="1"/>
  <c r="CF584" i="1"/>
  <c r="AY623" i="1"/>
  <c r="AB623" i="1"/>
  <c r="M626" i="1"/>
  <c r="AZ620" i="1"/>
  <c r="BA613" i="1"/>
  <c r="CC612" i="1"/>
  <c r="AU626" i="1"/>
  <c r="M618" i="1"/>
  <c r="W619" i="1"/>
  <c r="CM618" i="1"/>
  <c r="AB622" i="1"/>
  <c r="CG614" i="1"/>
  <c r="W613" i="1"/>
  <c r="CU612" i="1"/>
  <c r="CN619" i="1"/>
  <c r="CK611" i="1"/>
  <c r="DG618" i="1"/>
  <c r="AR623" i="1"/>
  <c r="DG611" i="1"/>
  <c r="AS597" i="1"/>
  <c r="CF603" i="1"/>
  <c r="BY627" i="1"/>
  <c r="CA611" i="1"/>
  <c r="AC597" i="1"/>
  <c r="BP603" i="1"/>
  <c r="CW611" i="1"/>
  <c r="CT612" i="1"/>
  <c r="CH608" i="1"/>
  <c r="BR608" i="1"/>
  <c r="BQ614" i="1"/>
  <c r="AX611" i="1"/>
  <c r="Z610" i="1"/>
  <c r="F605" i="1"/>
  <c r="AS606" i="1"/>
  <c r="M609" i="1"/>
  <c r="AU596" i="1"/>
  <c r="AL598" i="1"/>
  <c r="M601" i="1"/>
  <c r="U607" i="1"/>
  <c r="F602" i="1"/>
  <c r="CS594" i="1"/>
  <c r="CB611" i="1"/>
  <c r="BG609" i="1"/>
  <c r="AT606" i="1"/>
  <c r="AD606" i="1"/>
  <c r="AC612" i="1"/>
  <c r="CP610" i="1"/>
  <c r="N609" i="1"/>
  <c r="AD626" i="1"/>
  <c r="CP614" i="1"/>
  <c r="BE608" i="1"/>
  <c r="CM595" i="1"/>
  <c r="BV596" i="1"/>
  <c r="CC598" i="1"/>
  <c r="BM606" i="1"/>
  <c r="BV599" i="1"/>
  <c r="AG594" i="1"/>
  <c r="CU613" i="1"/>
  <c r="S607" i="1"/>
  <c r="V619" i="1"/>
  <c r="BN618" i="1"/>
  <c r="T619" i="1"/>
  <c r="CA614" i="1"/>
  <c r="AD610" i="1"/>
  <c r="BP610" i="1"/>
  <c r="BB608" i="1"/>
  <c r="H611" i="1"/>
  <c r="BQ596" i="1"/>
  <c r="BN608" i="1"/>
  <c r="BI608" i="1"/>
  <c r="BA601" i="1"/>
  <c r="CL625" i="1"/>
  <c r="BB618" i="1"/>
  <c r="BJ606" i="1"/>
  <c r="AO611" i="1"/>
  <c r="L598" i="1"/>
  <c r="CX615" i="1"/>
  <c r="DD608" i="1"/>
  <c r="M596" i="1"/>
  <c r="BP597" i="1"/>
  <c r="DC599" i="1"/>
  <c r="CC593" i="1"/>
  <c r="AC584" i="1"/>
  <c r="AR597" i="1"/>
  <c r="O597" i="1"/>
  <c r="CS590" i="1"/>
  <c r="AS581" i="1"/>
  <c r="BS614" i="1"/>
  <c r="DB616" i="1"/>
  <c r="AG608" i="1"/>
  <c r="CV610" i="1"/>
  <c r="J615" i="1"/>
  <c r="CC610" i="1"/>
  <c r="BU603" i="1"/>
  <c r="AJ607" i="1"/>
  <c r="X599" i="1"/>
  <c r="G598" i="1"/>
  <c r="CK591" i="1"/>
  <c r="AK582" i="1"/>
  <c r="AN605" i="1"/>
  <c r="H606" i="1"/>
  <c r="DA588" i="1"/>
  <c r="CM627" i="1"/>
  <c r="DA615" i="1"/>
  <c r="BK615" i="1"/>
  <c r="AE615" i="1"/>
  <c r="P603" i="1"/>
  <c r="BG618" i="1"/>
  <c r="BU600" i="1"/>
  <c r="DI595" i="1"/>
  <c r="DI614" i="1"/>
  <c r="BD597" i="1"/>
  <c r="R615" i="1"/>
  <c r="BX610" i="1"/>
  <c r="BO607" i="1"/>
  <c r="AD611" i="1"/>
  <c r="DH597" i="1"/>
  <c r="K604" i="1"/>
  <c r="AH602" i="1"/>
  <c r="AA605" i="1"/>
  <c r="DA609" i="1"/>
  <c r="AK605" i="1"/>
  <c r="M603" i="1"/>
  <c r="DB610" i="1"/>
  <c r="DE609" i="1"/>
  <c r="CW602" i="1"/>
  <c r="AV604" i="1"/>
  <c r="CB597" i="1"/>
  <c r="AI597" i="1"/>
  <c r="I591" i="1"/>
  <c r="BM581" i="1"/>
  <c r="CY603" i="1"/>
  <c r="CT601" i="1"/>
  <c r="Y588" i="1"/>
  <c r="BZ601" i="1"/>
  <c r="M607" i="1"/>
  <c r="AO603" i="1"/>
  <c r="BE591" i="1"/>
  <c r="BU588" i="1"/>
  <c r="G600" i="1"/>
  <c r="CK593" i="1"/>
  <c r="AK584" i="1"/>
  <c r="CF593" i="1"/>
  <c r="CQ599" i="1"/>
  <c r="BQ593" i="1"/>
  <c r="Q584" i="1"/>
  <c r="BL593" i="1"/>
  <c r="CR585" i="1"/>
  <c r="AA595" i="1"/>
  <c r="CE585" i="1"/>
  <c r="V610" i="1"/>
  <c r="DI597" i="1"/>
  <c r="U586" i="1"/>
  <c r="AK583" i="1"/>
  <c r="CA598" i="1"/>
  <c r="BA592" i="1"/>
  <c r="DE582" i="1"/>
  <c r="X600" i="1"/>
  <c r="BG598" i="1"/>
  <c r="AG592" i="1"/>
  <c r="CK582" i="1"/>
  <c r="P595" i="1"/>
  <c r="BH584" i="1"/>
  <c r="CU593" i="1"/>
  <c r="DH603" i="1"/>
  <c r="AJ601" i="1"/>
  <c r="BV600" i="1"/>
  <c r="BL597" i="1"/>
  <c r="CI596" i="1"/>
  <c r="BI590" i="1"/>
  <c r="I581" i="1"/>
  <c r="DD610" i="1"/>
  <c r="BO596" i="1"/>
  <c r="AO590" i="1"/>
  <c r="CS580" i="1"/>
  <c r="L592" i="1"/>
  <c r="BP582" i="1"/>
  <c r="DC591" i="1"/>
  <c r="CQ618" i="1"/>
  <c r="BZ608" i="1"/>
  <c r="AZ608" i="1"/>
  <c r="BO602" i="1"/>
  <c r="AM604" i="1"/>
  <c r="BF603" i="1"/>
  <c r="BQ588" i="1"/>
  <c r="AL603" i="1"/>
  <c r="CM598" i="1"/>
  <c r="CN584" i="1"/>
  <c r="CE581" i="1"/>
  <c r="T591" i="1"/>
  <c r="BX581" i="1"/>
  <c r="G591" i="1"/>
  <c r="CR591" i="1"/>
  <c r="AR582" i="1"/>
  <c r="CE591" i="1"/>
  <c r="AE606" i="1"/>
  <c r="N615" i="1"/>
  <c r="L626" i="1"/>
  <c r="DA613" i="1"/>
  <c r="CS614" i="1"/>
  <c r="Q614" i="1"/>
  <c r="CS626" i="1"/>
  <c r="Z625" i="1"/>
  <c r="DA600" i="1"/>
  <c r="CK600" i="1"/>
  <c r="AC615" i="1"/>
  <c r="CN611" i="1"/>
  <c r="DE597" i="1"/>
  <c r="CO597" i="1"/>
  <c r="BG620" i="1"/>
  <c r="CK612" i="1"/>
  <c r="V613" i="1"/>
  <c r="AW613" i="1"/>
  <c r="R611" i="1"/>
  <c r="BR609" i="1"/>
  <c r="CD604" i="1"/>
  <c r="CO612" i="1"/>
  <c r="DF610" i="1"/>
  <c r="AL609" i="1"/>
  <c r="BN604" i="1"/>
  <c r="BV622" i="1"/>
  <c r="AQ611" i="1"/>
  <c r="BR619" i="1"/>
  <c r="F619" i="1"/>
  <c r="DF626" i="1"/>
  <c r="CL604" i="1"/>
  <c r="BQ609" i="1"/>
  <c r="DE604" i="1"/>
  <c r="U604" i="1"/>
  <c r="DI601" i="1"/>
  <c r="U590" i="1"/>
  <c r="AK587" i="1"/>
  <c r="BA596" i="1"/>
  <c r="M600" i="1"/>
  <c r="AC588" i="1"/>
  <c r="AS585" i="1"/>
  <c r="F622" i="1"/>
  <c r="DG608" i="1"/>
  <c r="Y611" i="1"/>
  <c r="I611" i="1"/>
  <c r="BO617" i="1"/>
  <c r="BF620" i="1"/>
  <c r="DI608" i="1"/>
  <c r="BV625" i="1"/>
  <c r="CK601" i="1"/>
  <c r="AW601" i="1"/>
  <c r="BM589" i="1"/>
  <c r="CC586" i="1"/>
  <c r="DH606" i="1"/>
  <c r="BE599" i="1"/>
  <c r="BU587" i="1"/>
  <c r="CK584" i="1"/>
  <c r="S613" i="1"/>
  <c r="BS606" i="1"/>
  <c r="CO608" i="1"/>
  <c r="AG609" i="1"/>
  <c r="H613" i="1"/>
  <c r="DC614" i="1"/>
  <c r="DF605" i="1"/>
  <c r="CS598" i="1"/>
  <c r="CK610" i="1"/>
  <c r="CC603" i="1"/>
  <c r="BP607" i="1"/>
  <c r="Z606" i="1"/>
  <c r="U606" i="1"/>
  <c r="M599" i="1"/>
  <c r="DC609" i="1"/>
  <c r="Q611" i="1"/>
  <c r="BE606" i="1"/>
  <c r="AG604" i="1"/>
  <c r="BM611" i="1"/>
  <c r="AG610" i="1"/>
  <c r="Y603" i="1"/>
  <c r="BH605" i="1"/>
  <c r="AJ598" i="1"/>
  <c r="BO597" i="1"/>
  <c r="AO591" i="1"/>
  <c r="CS581" i="1"/>
  <c r="AA604" i="1"/>
  <c r="J603" i="1"/>
  <c r="BE588" i="1"/>
  <c r="CT602" i="1"/>
  <c r="O614" i="1"/>
  <c r="DH609" i="1"/>
  <c r="Y601" i="1"/>
  <c r="BM596" i="1"/>
  <c r="AT608" i="1"/>
  <c r="AO608" i="1"/>
  <c r="AG601" i="1"/>
  <c r="CJ602" i="1"/>
  <c r="AF607" i="1"/>
  <c r="R622" i="1"/>
  <c r="AW589" i="1"/>
  <c r="AP617" i="1"/>
  <c r="AI602" i="1"/>
  <c r="AP596" i="1"/>
  <c r="BM586" i="1"/>
  <c r="I613" i="1"/>
  <c r="H615" i="1"/>
  <c r="U599" i="1"/>
  <c r="DI598" i="1"/>
  <c r="CF618" i="1"/>
  <c r="DC604" i="1"/>
  <c r="T602" i="1"/>
  <c r="DF607" i="1"/>
  <c r="CL608" i="1"/>
  <c r="BJ613" i="1"/>
  <c r="AQ599" i="1"/>
  <c r="BG596" i="1"/>
  <c r="BI610" i="1"/>
  <c r="Q610" i="1"/>
  <c r="AY597" i="1"/>
  <c r="BB602" i="1"/>
  <c r="T598" i="1"/>
  <c r="CA604" i="1"/>
  <c r="CS602" i="1"/>
  <c r="AC598" i="1"/>
  <c r="H608" i="1"/>
  <c r="BV607" i="1"/>
  <c r="BQ607" i="1"/>
  <c r="BI600" i="1"/>
  <c r="H602" i="1"/>
  <c r="AU604" i="1"/>
  <c r="CL603" i="1"/>
  <c r="BY588" i="1"/>
  <c r="BR603" i="1"/>
  <c r="BK601" i="1"/>
  <c r="AK595" i="1"/>
  <c r="CO585" i="1"/>
  <c r="CR597" i="1"/>
  <c r="T606" i="1"/>
  <c r="P606" i="1"/>
  <c r="DI581" i="1"/>
  <c r="BB603" i="1"/>
  <c r="BW597" i="1"/>
  <c r="AW591" i="1"/>
  <c r="DA581" i="1"/>
  <c r="P598" i="1"/>
  <c r="BC597" i="1"/>
  <c r="AC591" i="1"/>
  <c r="CG581" i="1"/>
  <c r="H593" i="1"/>
  <c r="BD583" i="1"/>
  <c r="CQ592" i="1"/>
  <c r="DE615" i="1"/>
  <c r="AZ600" i="1"/>
  <c r="BH599" i="1"/>
  <c r="AB601" i="1"/>
  <c r="BH610" i="1"/>
  <c r="AM596" i="1"/>
  <c r="M590" i="1"/>
  <c r="BQ580" i="1"/>
  <c r="X609" i="1"/>
  <c r="S596" i="1"/>
  <c r="CW589" i="1"/>
  <c r="AW580" i="1"/>
  <c r="BT591" i="1"/>
  <c r="T582" i="1"/>
  <c r="G617" i="1"/>
  <c r="CX606" i="1"/>
  <c r="BW603" i="1"/>
  <c r="CM600" i="1"/>
  <c r="CU603" i="1"/>
  <c r="CD601" i="1"/>
  <c r="U588" i="1"/>
  <c r="BJ601" i="1"/>
  <c r="CA603" i="1"/>
  <c r="DF600" i="1"/>
  <c r="DE587" i="1"/>
  <c r="CL600" i="1"/>
  <c r="CB589" i="1"/>
  <c r="AB580" i="1"/>
  <c r="BO589" i="1"/>
  <c r="BQ604" i="1"/>
  <c r="BU608" i="1"/>
  <c r="DC595" i="1"/>
  <c r="DB596" i="1"/>
  <c r="DC601" i="1"/>
  <c r="CD595" i="1"/>
  <c r="AC586" i="1"/>
  <c r="BX595" i="1"/>
  <c r="BM592" i="1"/>
  <c r="W594" i="1"/>
  <c r="AF597" i="1"/>
  <c r="CJ588" i="1"/>
  <c r="CD603" i="1"/>
  <c r="BW588" i="1"/>
  <c r="BD589" i="1"/>
  <c r="CH616" i="1"/>
  <c r="AQ589" i="1"/>
  <c r="BG605" i="1"/>
  <c r="CE618" i="1"/>
  <c r="BP620" i="1"/>
  <c r="AJ620" i="1"/>
  <c r="BG616" i="1"/>
  <c r="CI615" i="1"/>
  <c r="AU624" i="1"/>
  <c r="AA606" i="1"/>
  <c r="AK596" i="1"/>
  <c r="U596" i="1"/>
  <c r="BE614" i="1"/>
  <c r="AH621" i="1"/>
  <c r="AN604" i="1"/>
  <c r="X604" i="1"/>
  <c r="CD623" i="1"/>
  <c r="CI614" i="1"/>
  <c r="DF612" i="1"/>
  <c r="CI618" i="1"/>
  <c r="BF604" i="1"/>
  <c r="AK609" i="1"/>
  <c r="BY604" i="1"/>
  <c r="W618" i="1"/>
  <c r="CT622" i="1"/>
  <c r="U609" i="1"/>
  <c r="AC620" i="1"/>
  <c r="DD620" i="1"/>
  <c r="Z622" i="1"/>
  <c r="CP619" i="1"/>
  <c r="BU598" i="1"/>
  <c r="N620" i="1"/>
  <c r="CG604" i="1"/>
  <c r="BI602" i="1"/>
  <c r="CW597" i="1"/>
  <c r="BI599" i="1"/>
  <c r="BH603" i="1"/>
  <c r="BY580" i="1"/>
  <c r="CN600" i="1"/>
  <c r="L605" i="1"/>
  <c r="BP601" i="1"/>
  <c r="CP601" i="1"/>
  <c r="CZ625" i="1"/>
  <c r="AW617" i="1"/>
  <c r="BN621" i="1"/>
  <c r="BO619" i="1"/>
  <c r="I598" i="1"/>
  <c r="K617" i="1"/>
  <c r="Z617" i="1"/>
  <c r="DA601" i="1"/>
  <c r="AK597" i="1"/>
  <c r="U597" i="1"/>
  <c r="CZ602" i="1"/>
  <c r="M580" i="1"/>
  <c r="BT599" i="1"/>
  <c r="AV603" i="1"/>
  <c r="DH600" i="1"/>
  <c r="BB599" i="1"/>
  <c r="M627" i="1"/>
  <c r="AC614" i="1"/>
  <c r="AW614" i="1"/>
  <c r="CO613" i="1"/>
  <c r="BA597" i="1"/>
  <c r="AA615" i="1"/>
  <c r="DF615" i="1"/>
  <c r="BJ617" i="1"/>
  <c r="BE596" i="1"/>
  <c r="AW608" i="1"/>
  <c r="AO601" i="1"/>
  <c r="CR602" i="1"/>
  <c r="AX618" i="1"/>
  <c r="BE611" i="1"/>
  <c r="CC596" i="1"/>
  <c r="AY609" i="1"/>
  <c r="I604" i="1"/>
  <c r="AW599" i="1"/>
  <c r="AV610" i="1"/>
  <c r="DB607" i="1"/>
  <c r="CW607" i="1"/>
  <c r="CO600" i="1"/>
  <c r="AN602" i="1"/>
  <c r="BD605" i="1"/>
  <c r="BT606" i="1"/>
  <c r="DE588" i="1"/>
  <c r="CV605" i="1"/>
  <c r="CQ601" i="1"/>
  <c r="BQ595" i="1"/>
  <c r="Q586" i="1"/>
  <c r="BH622" i="1"/>
  <c r="CL614" i="1"/>
  <c r="AO596" i="1"/>
  <c r="CB602" i="1"/>
  <c r="AB602" i="1"/>
  <c r="F606" i="1"/>
  <c r="DE605" i="1"/>
  <c r="CW598" i="1"/>
  <c r="AV600" i="1"/>
  <c r="CI602" i="1"/>
  <c r="AL597" i="1"/>
  <c r="I587" i="1"/>
  <c r="AB597" i="1"/>
  <c r="CY599" i="1"/>
  <c r="BY593" i="1"/>
  <c r="Y584" i="1"/>
  <c r="AR619" i="1"/>
  <c r="T613" i="1"/>
  <c r="CJ608" i="1"/>
  <c r="X608" i="1"/>
  <c r="BB621" i="1"/>
  <c r="CH607" i="1"/>
  <c r="BR615" i="1"/>
  <c r="DA607" i="1"/>
  <c r="CX619" i="1"/>
  <c r="BP606" i="1"/>
  <c r="Q593" i="1"/>
  <c r="AG590" i="1"/>
  <c r="CW605" i="1"/>
  <c r="I603" i="1"/>
  <c r="Y591" i="1"/>
  <c r="AO588" i="1"/>
  <c r="CN615" i="1"/>
  <c r="W607" i="1"/>
  <c r="AR604" i="1"/>
  <c r="AP611" i="1"/>
  <c r="BP600" i="1"/>
  <c r="AH605" i="1"/>
  <c r="AC605" i="1"/>
  <c r="U598" i="1"/>
  <c r="BX599" i="1"/>
  <c r="G602" i="1"/>
  <c r="W599" i="1"/>
  <c r="BZ612" i="1"/>
  <c r="CN607" i="1"/>
  <c r="CR604" i="1"/>
  <c r="P581" i="1"/>
  <c r="CU601" i="1"/>
  <c r="CC587" i="1"/>
  <c r="BI587" i="1"/>
  <c r="CW599" i="1"/>
  <c r="BG601" i="1"/>
  <c r="AM601" i="1"/>
  <c r="AN587" i="1"/>
  <c r="BM601" i="1"/>
  <c r="AO593" i="1"/>
  <c r="S589" i="1"/>
  <c r="AI586" i="1"/>
  <c r="DG586" i="1"/>
  <c r="BP589" i="1"/>
  <c r="P580" i="1"/>
  <c r="BC589" i="1"/>
  <c r="DG579" i="1"/>
  <c r="BV588" i="1"/>
  <c r="AL571" i="1"/>
  <c r="DF582" i="1"/>
  <c r="BE582" i="1"/>
  <c r="CQ588" i="1"/>
  <c r="AX586" i="1"/>
  <c r="AF586" i="1"/>
  <c r="BS595" i="1"/>
  <c r="S586" i="1"/>
  <c r="DD586" i="1"/>
  <c r="CX596" i="1"/>
  <c r="CQ586" i="1"/>
  <c r="AZ589" i="1"/>
  <c r="AT614" i="1"/>
  <c r="AM589" i="1"/>
  <c r="X606" i="1"/>
  <c r="BB587" i="1"/>
  <c r="V571" i="1"/>
  <c r="AT582" i="1"/>
  <c r="CW581" i="1"/>
  <c r="BK588" i="1"/>
  <c r="CP585" i="1"/>
  <c r="P586" i="1"/>
  <c r="BC595" i="1"/>
  <c r="DG585" i="1"/>
  <c r="CN586" i="1"/>
  <c r="BR596" i="1"/>
  <c r="CA586" i="1"/>
  <c r="AJ589" i="1"/>
  <c r="CV609" i="1"/>
  <c r="DG623" i="1"/>
  <c r="CB620" i="1"/>
  <c r="CA620" i="1"/>
  <c r="CY619" i="1"/>
  <c r="AC599" i="1"/>
  <c r="BC605" i="1"/>
  <c r="AO605" i="1"/>
  <c r="Q603" i="1"/>
  <c r="BE598" i="1"/>
  <c r="CW601" i="1"/>
  <c r="P604" i="1"/>
  <c r="AG581" i="1"/>
  <c r="BF600" i="1"/>
  <c r="CN609" i="1"/>
  <c r="X602" i="1"/>
  <c r="Z604" i="1"/>
  <c r="BU580" i="1"/>
  <c r="BL619" i="1"/>
  <c r="BR607" i="1"/>
  <c r="F615" i="1"/>
  <c r="CK607" i="1"/>
  <c r="N618" i="1"/>
  <c r="AP612" i="1"/>
  <c r="AV605" i="1"/>
  <c r="AZ611" i="1"/>
  <c r="AF601" i="1"/>
  <c r="K599" i="1"/>
  <c r="CO592" i="1"/>
  <c r="AO583" i="1"/>
  <c r="BD609" i="1"/>
  <c r="AA596" i="1"/>
  <c r="DE589" i="1"/>
  <c r="BE580" i="1"/>
  <c r="AF605" i="1"/>
  <c r="I608" i="1"/>
  <c r="DH608" i="1"/>
  <c r="CJ595" i="1"/>
  <c r="CM601" i="1"/>
  <c r="BM595" i="1"/>
  <c r="M586" i="1"/>
  <c r="BH595" i="1"/>
  <c r="BS601" i="1"/>
  <c r="AS595" i="1"/>
  <c r="CW585" i="1"/>
  <c r="AN595" i="1"/>
  <c r="BT587" i="1"/>
  <c r="R599" i="1"/>
  <c r="BG587" i="1"/>
  <c r="CH604" i="1"/>
  <c r="X607" i="1"/>
  <c r="AG593" i="1"/>
  <c r="AW590" i="1"/>
  <c r="BC600" i="1"/>
  <c r="AC594" i="1"/>
  <c r="CG584" i="1"/>
  <c r="X594" i="1"/>
  <c r="AI600" i="1"/>
  <c r="I594" i="1"/>
  <c r="BM584" i="1"/>
  <c r="DH593" i="1"/>
  <c r="AJ586" i="1"/>
  <c r="BW595" i="1"/>
  <c r="AD607" i="1"/>
  <c r="AW597" i="1"/>
  <c r="BM585" i="1"/>
  <c r="CC582" i="1"/>
  <c r="BK598" i="1"/>
  <c r="AK592" i="1"/>
  <c r="CO582" i="1"/>
  <c r="CV599" i="1"/>
  <c r="AQ598" i="1"/>
  <c r="Q592" i="1"/>
  <c r="BU582" i="1"/>
  <c r="CN594" i="1"/>
  <c r="AR584" i="1"/>
  <c r="CE593" i="1"/>
  <c r="AE584" i="1"/>
  <c r="CN602" i="1"/>
  <c r="CB600" i="1"/>
  <c r="AH598" i="1"/>
  <c r="AH619" i="1"/>
  <c r="BS596" i="1"/>
  <c r="AS590" i="1"/>
  <c r="CW580" i="1"/>
  <c r="AR610" i="1"/>
  <c r="CZ591" i="1"/>
  <c r="BG583" i="1"/>
  <c r="CZ592" i="1"/>
  <c r="AZ583" i="1"/>
  <c r="CM592" i="1"/>
  <c r="AR594" i="1"/>
  <c r="T584" i="1"/>
  <c r="BG593" i="1"/>
  <c r="G584" i="1"/>
  <c r="BT586" i="1"/>
  <c r="AD596" i="1"/>
  <c r="BG586" i="1"/>
  <c r="V587" i="1"/>
  <c r="CP577" i="1"/>
  <c r="AP568" i="1"/>
  <c r="DH607" i="1"/>
  <c r="AN591" i="1"/>
  <c r="AQ583" i="1"/>
  <c r="CJ592" i="1"/>
  <c r="AJ583" i="1"/>
  <c r="BW592" i="1"/>
  <c r="L594" i="1"/>
  <c r="DH583" i="1"/>
  <c r="AQ593" i="1"/>
  <c r="CU583" i="1"/>
  <c r="BD586" i="1"/>
  <c r="DB595" i="1"/>
  <c r="AQ586" i="1"/>
  <c r="BN586" i="1"/>
  <c r="BZ577" i="1"/>
  <c r="Z568" i="1"/>
  <c r="BT605" i="1"/>
  <c r="CF590" i="1"/>
  <c r="AA583" i="1"/>
  <c r="BT592" i="1"/>
  <c r="T583" i="1"/>
  <c r="BG592" i="1"/>
  <c r="CJ593" i="1"/>
  <c r="CR583" i="1"/>
  <c r="AA593" i="1"/>
  <c r="CE583" i="1"/>
  <c r="AN586" i="1"/>
  <c r="CB595" i="1"/>
  <c r="AY625" i="1"/>
  <c r="BV621" i="1"/>
  <c r="AH606" i="1"/>
  <c r="R606" i="1"/>
  <c r="M620" i="1"/>
  <c r="BD611" i="1"/>
  <c r="CW595" i="1"/>
  <c r="AF602" i="1"/>
  <c r="AT609" i="1"/>
  <c r="AP607" i="1"/>
  <c r="O604" i="1"/>
  <c r="AE601" i="1"/>
  <c r="CI607" i="1"/>
  <c r="AX605" i="1"/>
  <c r="W602" i="1"/>
  <c r="AM599" i="1"/>
  <c r="BH600" i="1"/>
  <c r="CF614" i="1"/>
  <c r="Y605" i="1"/>
  <c r="DE602" i="1"/>
  <c r="AO598" i="1"/>
  <c r="CP608" i="1"/>
  <c r="CK608" i="1"/>
  <c r="CC601" i="1"/>
  <c r="AB603" i="1"/>
  <c r="H609" i="1"/>
  <c r="O596" i="1"/>
  <c r="CS589" i="1"/>
  <c r="AS580" i="1"/>
  <c r="CE602" i="1"/>
  <c r="AD597" i="1"/>
  <c r="DI586" i="1"/>
  <c r="AB600" i="1"/>
  <c r="BH601" i="1"/>
  <c r="BQ598" i="1"/>
  <c r="CG586" i="1"/>
  <c r="CW583" i="1"/>
  <c r="CQ598" i="1"/>
  <c r="BQ592" i="1"/>
  <c r="Q583" i="1"/>
  <c r="BD600" i="1"/>
  <c r="BW598" i="1"/>
  <c r="AW592" i="1"/>
  <c r="DA582" i="1"/>
  <c r="AV595" i="1"/>
  <c r="BX584" i="1"/>
  <c r="G594" i="1"/>
  <c r="BK584" i="1"/>
  <c r="BE602" i="1"/>
  <c r="AF604" i="1"/>
  <c r="AW581" i="1"/>
  <c r="N601" i="1"/>
  <c r="BG597" i="1"/>
  <c r="AG591" i="1"/>
  <c r="CK581" i="1"/>
  <c r="CN597" i="1"/>
  <c r="AM597" i="1"/>
  <c r="M591" i="1"/>
  <c r="BQ581" i="1"/>
  <c r="CN592" i="1"/>
  <c r="AN583" i="1"/>
  <c r="X617" i="1"/>
  <c r="CI604" i="1"/>
  <c r="DD600" i="1"/>
  <c r="CV608" i="1"/>
  <c r="DD606" i="1"/>
  <c r="BN615" i="1"/>
  <c r="AO589" i="1"/>
  <c r="BR612" i="1"/>
  <c r="AB606" i="1"/>
  <c r="BP609" i="1"/>
  <c r="U589" i="1"/>
  <c r="CR608" i="1"/>
  <c r="CV590" i="1"/>
  <c r="AV581" i="1"/>
  <c r="CI590" i="1"/>
  <c r="CP595" i="1"/>
  <c r="DA592" i="1"/>
  <c r="BP598" i="1"/>
  <c r="I589" i="1"/>
  <c r="CS588" i="1"/>
  <c r="BC590" i="1"/>
  <c r="G599" i="1"/>
  <c r="CH599" i="1"/>
  <c r="F599" i="1"/>
  <c r="CS606" i="1"/>
  <c r="AG595" i="1"/>
  <c r="M595" i="1"/>
  <c r="DB597" i="1"/>
  <c r="CC589" i="1"/>
  <c r="CS583" i="1"/>
  <c r="F587" i="1"/>
  <c r="P587" i="1"/>
  <c r="BS584" i="1"/>
  <c r="AB587" i="1"/>
  <c r="BF597" i="1"/>
  <c r="O587" i="1"/>
  <c r="BJ589" i="1"/>
  <c r="BB578" i="1"/>
  <c r="DB568" i="1"/>
  <c r="AS578" i="1"/>
  <c r="BH594" i="1"/>
  <c r="O584" i="1"/>
  <c r="CN593" i="1"/>
  <c r="CV583" i="1"/>
  <c r="AE593" i="1"/>
  <c r="AF595" i="1"/>
  <c r="BP584" i="1"/>
  <c r="DC593" i="1"/>
  <c r="BC584" i="1"/>
  <c r="L587" i="1"/>
  <c r="R597" i="1"/>
  <c r="DC586" i="1"/>
  <c r="DB588" i="1"/>
  <c r="AH578" i="1"/>
  <c r="CL568" i="1"/>
  <c r="AC578" i="1"/>
  <c r="AN593" i="1"/>
  <c r="CM583" i="1"/>
  <c r="BH593" i="1"/>
  <c r="CF583" i="1"/>
  <c r="O593" i="1"/>
  <c r="DD594" i="1"/>
  <c r="AZ584" i="1"/>
  <c r="CM593" i="1"/>
  <c r="AM584" i="1"/>
  <c r="CZ586" i="1"/>
  <c r="CP596" i="1"/>
  <c r="BS620" i="1"/>
  <c r="CF615" i="1"/>
  <c r="DF616" i="1"/>
  <c r="AT616" i="1"/>
  <c r="CF600" i="1"/>
  <c r="CI613" i="1"/>
  <c r="AG598" i="1"/>
  <c r="AB605" i="1"/>
  <c r="BW616" i="1"/>
  <c r="AP610" i="1"/>
  <c r="CX616" i="1"/>
  <c r="BS603" i="1"/>
  <c r="K607" i="1"/>
  <c r="CL607" i="1"/>
  <c r="CV604" i="1"/>
  <c r="CA601" i="1"/>
  <c r="CX599" i="1"/>
  <c r="CY611" i="1"/>
  <c r="BM607" i="1"/>
  <c r="L608" i="1"/>
  <c r="CC600" i="1"/>
  <c r="CH609" i="1"/>
  <c r="AS609" i="1"/>
  <c r="AK602" i="1"/>
  <c r="CN603" i="1"/>
  <c r="AV611" i="1"/>
  <c r="CA596" i="1"/>
  <c r="BA590" i="1"/>
  <c r="DE580" i="1"/>
  <c r="AM603" i="1"/>
  <c r="BF599" i="1"/>
  <c r="BQ587" i="1"/>
  <c r="AL599" i="1"/>
  <c r="DI599" i="1"/>
  <c r="DE600" i="1"/>
  <c r="Q589" i="1"/>
  <c r="AG586" i="1"/>
  <c r="AY599" i="1"/>
  <c r="Y593" i="1"/>
  <c r="CC583" i="1"/>
  <c r="T593" i="1"/>
  <c r="AE599" i="1"/>
  <c r="DI592" i="1"/>
  <c r="BI583" i="1"/>
  <c r="DD592" i="1"/>
  <c r="AF585" i="1"/>
  <c r="BS594" i="1"/>
  <c r="S585" i="1"/>
  <c r="BM609" i="1"/>
  <c r="AD618" i="1"/>
  <c r="CK583" i="1"/>
  <c r="DA580" i="1"/>
  <c r="O598" i="1"/>
  <c r="CS591" i="1"/>
  <c r="AS582" i="1"/>
  <c r="DH598" i="1"/>
  <c r="CY597" i="1"/>
  <c r="BY591" i="1"/>
  <c r="Y582" i="1"/>
  <c r="CZ593" i="1"/>
  <c r="CZ583" i="1"/>
  <c r="CJ615" i="1"/>
  <c r="AV599" i="1"/>
  <c r="CZ598" i="1"/>
  <c r="H600" i="1"/>
  <c r="AN609" i="1"/>
  <c r="W596" i="1"/>
  <c r="DA589" i="1"/>
  <c r="BA580" i="1"/>
  <c r="BP608" i="1"/>
  <c r="DG595" i="1"/>
  <c r="CG589" i="1"/>
  <c r="AG580" i="1"/>
  <c r="BD591" i="1"/>
  <c r="DH581" i="1"/>
  <c r="AQ591" i="1"/>
  <c r="AI612" i="1"/>
  <c r="AL606" i="1"/>
  <c r="K603" i="1"/>
  <c r="AA600" i="1"/>
  <c r="CE603" i="1"/>
  <c r="R601" i="1"/>
  <c r="DI587" i="1"/>
  <c r="DB600" i="1"/>
  <c r="AY596" i="1"/>
  <c r="AZ582" i="1"/>
  <c r="S581" i="1"/>
  <c r="BL590" i="1"/>
  <c r="L581" i="1"/>
  <c r="AY590" i="1"/>
  <c r="AF591" i="1"/>
  <c r="CJ581" i="1"/>
  <c r="S591" i="1"/>
  <c r="BL594" i="1"/>
  <c r="AF584" i="1"/>
  <c r="BS593" i="1"/>
  <c r="S584" i="1"/>
  <c r="AX579" i="1"/>
  <c r="BB575" i="1"/>
  <c r="DF565" i="1"/>
  <c r="CQ595" i="1"/>
  <c r="CR581" i="1"/>
  <c r="DG580" i="1"/>
  <c r="AV590" i="1"/>
  <c r="CZ580" i="1"/>
  <c r="AI590" i="1"/>
  <c r="P591" i="1"/>
  <c r="BT581" i="1"/>
  <c r="DG590" i="1"/>
  <c r="AF594" i="1"/>
  <c r="P584" i="1"/>
  <c r="BC593" i="1"/>
  <c r="DG583" i="1"/>
  <c r="AH579" i="1"/>
  <c r="AL575" i="1"/>
  <c r="CP565" i="1"/>
  <c r="AB607" i="1"/>
  <c r="AF581" i="1"/>
  <c r="CQ580" i="1"/>
  <c r="AF590" i="1"/>
  <c r="CJ580" i="1"/>
  <c r="S590" i="1"/>
  <c r="DD590" i="1"/>
  <c r="BD581" i="1"/>
  <c r="CQ590" i="1"/>
  <c r="DD593" i="1"/>
  <c r="DD583" i="1"/>
  <c r="AM593" i="1"/>
  <c r="CQ606" i="1"/>
  <c r="CB613" i="1"/>
  <c r="M611" i="1"/>
  <c r="DA610" i="1"/>
  <c r="CJ616" i="1"/>
  <c r="BV609" i="1"/>
  <c r="CT607" i="1"/>
  <c r="J616" i="1"/>
  <c r="BY601" i="1"/>
  <c r="AK607" i="1"/>
  <c r="BR602" i="1"/>
  <c r="DI594" i="1"/>
  <c r="BL606" i="1"/>
  <c r="AS605" i="1"/>
  <c r="R596" i="1"/>
  <c r="M593" i="1"/>
  <c r="CZ609" i="1"/>
  <c r="BC613" i="1"/>
  <c r="Q598" i="1"/>
  <c r="BT604" i="1"/>
  <c r="DD602" i="1"/>
  <c r="BB606" i="1"/>
  <c r="AW606" i="1"/>
  <c r="AO599" i="1"/>
  <c r="CR600" i="1"/>
  <c r="AA603" i="1"/>
  <c r="J599" i="1"/>
  <c r="BE587" i="1"/>
  <c r="CT598" i="1"/>
  <c r="AQ600" i="1"/>
  <c r="Q594" i="1"/>
  <c r="BU584" i="1"/>
  <c r="CF622" i="1"/>
  <c r="BT601" i="1"/>
  <c r="P600" i="1"/>
  <c r="BT596" i="1"/>
  <c r="P611" i="1"/>
  <c r="BC596" i="1"/>
  <c r="AC590" i="1"/>
  <c r="CG580" i="1"/>
  <c r="CJ609" i="1"/>
  <c r="AI596" i="1"/>
  <c r="I590" i="1"/>
  <c r="BM580" i="1"/>
  <c r="CJ591" i="1"/>
  <c r="AJ582" i="1"/>
  <c r="BW591" i="1"/>
  <c r="G619" i="1"/>
  <c r="BV610" i="1"/>
  <c r="AV597" i="1"/>
  <c r="CI603" i="1"/>
  <c r="X605" i="1"/>
  <c r="AZ605" i="1"/>
  <c r="CW588" i="1"/>
  <c r="CB604" i="1"/>
  <c r="AZ604" i="1"/>
  <c r="DB603" i="1"/>
  <c r="CC588" i="1"/>
  <c r="CH603" i="1"/>
  <c r="AZ590" i="1"/>
  <c r="DD580" i="1"/>
  <c r="F607" i="1"/>
  <c r="CH611" i="1"/>
  <c r="CY598" i="1"/>
  <c r="K596" i="1"/>
  <c r="CA602" i="1"/>
  <c r="V597" i="1"/>
  <c r="DE586" i="1"/>
  <c r="L597" i="1"/>
  <c r="BG602" i="1"/>
  <c r="CL596" i="1"/>
  <c r="CK586" i="1"/>
  <c r="CB596" i="1"/>
  <c r="BH588" i="1"/>
  <c r="BZ602" i="1"/>
  <c r="AK586" i="1"/>
  <c r="BA583" i="1"/>
  <c r="AQ604" i="1"/>
  <c r="L607" i="1"/>
  <c r="AP604" i="1"/>
  <c r="BO606" i="1"/>
  <c r="AY603" i="1"/>
  <c r="AE603" i="1"/>
  <c r="AF589" i="1"/>
  <c r="CP600" i="1"/>
  <c r="CK585" i="1"/>
  <c r="BQ585" i="1"/>
  <c r="AA587" i="1"/>
  <c r="CS586" i="1"/>
  <c r="AJ593" i="1"/>
  <c r="AV586" i="1"/>
  <c r="Z597" i="1"/>
  <c r="DD595" i="1"/>
  <c r="CR584" i="1"/>
  <c r="AA594" i="1"/>
  <c r="CE584" i="1"/>
  <c r="J580" i="1"/>
  <c r="J576" i="1"/>
  <c r="BN566" i="1"/>
  <c r="AA598" i="1"/>
  <c r="AB584" i="1"/>
  <c r="BO581" i="1"/>
  <c r="DH590" i="1"/>
  <c r="BH581" i="1"/>
  <c r="CU590" i="1"/>
  <c r="CB591" i="1"/>
  <c r="AB582" i="1"/>
  <c r="BO591" i="1"/>
  <c r="AZ595" i="1"/>
  <c r="CB584" i="1"/>
  <c r="K594" i="1"/>
  <c r="BO584" i="1"/>
  <c r="CT579" i="1"/>
  <c r="CX575" i="1"/>
  <c r="AX566" i="1"/>
  <c r="BS597" i="1"/>
  <c r="BT583" i="1"/>
  <c r="AY581" i="1"/>
  <c r="CR590" i="1"/>
  <c r="AR581" i="1"/>
  <c r="CE590" i="1"/>
  <c r="BL591" i="1"/>
  <c r="L582" i="1"/>
  <c r="AY591" i="1"/>
  <c r="T595" i="1"/>
  <c r="BL584" i="1"/>
  <c r="CY593" i="1"/>
  <c r="CQ621" i="1"/>
  <c r="CM611" i="1"/>
  <c r="F618" i="1"/>
  <c r="CP616" i="1"/>
  <c r="M617" i="1"/>
  <c r="AX613" i="1"/>
  <c r="AT611" i="1"/>
  <c r="BR605" i="1"/>
  <c r="CG608" i="1"/>
  <c r="BY609" i="1"/>
  <c r="DG596" i="1"/>
  <c r="BZ600" i="1"/>
  <c r="BA603" i="1"/>
  <c r="CG607" i="1"/>
  <c r="AT604" i="1"/>
  <c r="BA595" i="1"/>
  <c r="CD615" i="1"/>
  <c r="AA618" i="1"/>
  <c r="BE600" i="1"/>
  <c r="CS595" i="1"/>
  <c r="T604" i="1"/>
  <c r="J607" i="1"/>
  <c r="DI606" i="1"/>
  <c r="DA599" i="1"/>
  <c r="AZ601" i="1"/>
  <c r="CM603" i="1"/>
  <c r="AX601" i="1"/>
  <c r="M588" i="1"/>
  <c r="AD601" i="1"/>
  <c r="DC600" i="1"/>
  <c r="CC594" i="1"/>
  <c r="AC585" i="1"/>
  <c r="V612" i="1"/>
  <c r="N614" i="1"/>
  <c r="BD602" i="1"/>
  <c r="AF608" i="1"/>
  <c r="CF598" i="1"/>
  <c r="K597" i="1"/>
  <c r="CO590" i="1"/>
  <c r="AO581" i="1"/>
  <c r="BJ614" i="1"/>
  <c r="CU596" i="1"/>
  <c r="BU590" i="1"/>
  <c r="U581" i="1"/>
  <c r="AR592" i="1"/>
  <c r="CV582" i="1"/>
  <c r="AE592" i="1"/>
  <c r="BU617" i="1"/>
  <c r="BT597" i="1"/>
  <c r="BF617" i="1"/>
  <c r="AF611" i="1"/>
  <c r="BL607" i="1"/>
  <c r="CE595" i="1"/>
  <c r="BE589" i="1"/>
  <c r="DI579" i="1"/>
  <c r="CN606" i="1"/>
  <c r="Z613" i="1"/>
  <c r="AK589" i="1"/>
  <c r="AB611" i="1"/>
  <c r="H591" i="1"/>
  <c r="BL581" i="1"/>
  <c r="BV620" i="1"/>
  <c r="BJ604" i="1"/>
  <c r="AI601" i="1"/>
  <c r="AY598" i="1"/>
  <c r="AI603" i="1"/>
  <c r="AP599" i="1"/>
  <c r="BM587" i="1"/>
  <c r="V599" i="1"/>
  <c r="O603" i="1"/>
  <c r="BR598" i="1"/>
  <c r="AS587" i="1"/>
  <c r="AX598" i="1"/>
  <c r="P589" i="1"/>
  <c r="CZ606" i="1"/>
  <c r="DG588" i="1"/>
  <c r="BI597" i="1"/>
  <c r="AG606" i="1"/>
  <c r="BB598" i="1"/>
  <c r="DE593" i="1"/>
  <c r="AQ601" i="1"/>
  <c r="Q595" i="1"/>
  <c r="BU585" i="1"/>
  <c r="L595" i="1"/>
  <c r="Y590" i="1"/>
  <c r="CA592" i="1"/>
  <c r="R594" i="1"/>
  <c r="X588" i="1"/>
  <c r="AP601" i="1"/>
  <c r="K588" i="1"/>
  <c r="CV588" i="1"/>
  <c r="V604" i="1"/>
  <c r="CI588" i="1"/>
  <c r="AR591" i="1"/>
  <c r="CV581" i="1"/>
  <c r="AE591" i="1"/>
  <c r="CI581" i="1"/>
  <c r="DC580" i="1"/>
  <c r="N573" i="1"/>
  <c r="N590" i="1"/>
  <c r="BQ589" i="1"/>
  <c r="AU592" i="1"/>
  <c r="BJ593" i="1"/>
  <c r="H588" i="1"/>
  <c r="CH600" i="1"/>
  <c r="CY587" i="1"/>
  <c r="CF588" i="1"/>
  <c r="BN603" i="1"/>
  <c r="BS588" i="1"/>
  <c r="AB591" i="1"/>
  <c r="CF581" i="1"/>
  <c r="O591" i="1"/>
  <c r="BS581" i="1"/>
  <c r="BW580" i="1"/>
  <c r="DB572" i="1"/>
  <c r="BF589" i="1"/>
  <c r="DI588" i="1"/>
  <c r="O592" i="1"/>
  <c r="DB592" i="1"/>
  <c r="CV587" i="1"/>
  <c r="V600" i="1"/>
  <c r="CI587" i="1"/>
  <c r="BP588" i="1"/>
  <c r="DF602" i="1"/>
  <c r="BC588" i="1"/>
  <c r="L591" i="1"/>
  <c r="BP581" i="1"/>
  <c r="DC590" i="1"/>
  <c r="O606" i="1"/>
  <c r="AD621" i="1"/>
  <c r="BA606" i="1"/>
  <c r="BY608" i="1"/>
  <c r="CQ612" i="1"/>
  <c r="V615" i="1"/>
  <c r="CO607" i="1"/>
  <c r="P609" i="1"/>
  <c r="I597" i="1"/>
  <c r="AC600" i="1"/>
  <c r="AS588" i="1"/>
  <c r="BI585" i="1"/>
  <c r="BF615" i="1"/>
  <c r="AK598" i="1"/>
  <c r="BA586" i="1"/>
  <c r="BQ583" i="1"/>
  <c r="AS616" i="1"/>
  <c r="CP612" i="1"/>
  <c r="N611" i="1"/>
  <c r="BB605" i="1"/>
  <c r="DD598" i="1"/>
  <c r="BB619" i="1"/>
  <c r="AX615" i="1"/>
  <c r="DE596" i="1"/>
  <c r="BD598" i="1"/>
  <c r="CQ600" i="1"/>
  <c r="BQ594" i="1"/>
  <c r="Q585" i="1"/>
  <c r="T599" i="1"/>
  <c r="DG597" i="1"/>
  <c r="CG591" i="1"/>
  <c r="AG582" i="1"/>
  <c r="DG609" i="1"/>
  <c r="CD605" i="1"/>
  <c r="BC602" i="1"/>
  <c r="BS599" i="1"/>
  <c r="BO603" i="1"/>
  <c r="BJ600" i="1"/>
  <c r="CS587" i="1"/>
  <c r="AP600" i="1"/>
  <c r="AU603" i="1"/>
  <c r="CL599" i="1"/>
  <c r="BY587" i="1"/>
  <c r="BR599" i="1"/>
  <c r="AV589" i="1"/>
  <c r="F612" i="1"/>
  <c r="AI589" i="1"/>
  <c r="AO609" i="1"/>
  <c r="CO609" i="1"/>
  <c r="S597" i="1"/>
  <c r="AH601" i="1"/>
  <c r="AE602" i="1"/>
  <c r="AH596" i="1"/>
  <c r="BI586" i="1"/>
  <c r="X596" i="1"/>
  <c r="K602" i="1"/>
  <c r="CX595" i="1"/>
  <c r="AO586" i="1"/>
  <c r="CN595" i="1"/>
  <c r="L588" i="1"/>
  <c r="CX600" i="1"/>
  <c r="BV612" i="1"/>
  <c r="CN604" i="1"/>
  <c r="BY592" i="1"/>
  <c r="CO589" i="1"/>
  <c r="AM600" i="1"/>
  <c r="M594" i="1"/>
  <c r="BQ584" i="1"/>
  <c r="H594" i="1"/>
  <c r="S600" i="1"/>
  <c r="CW593" i="1"/>
  <c r="AW584" i="1"/>
  <c r="CR593" i="1"/>
  <c r="T586" i="1"/>
  <c r="BG595" i="1"/>
  <c r="CH595" i="1"/>
  <c r="BV614" i="1"/>
  <c r="CJ605" i="1"/>
  <c r="H605" i="1"/>
  <c r="BP590" i="1"/>
  <c r="R605" i="1"/>
  <c r="DB599" i="1"/>
  <c r="Z599" i="1"/>
  <c r="AJ609" i="1"/>
  <c r="BM594" i="1"/>
  <c r="AB595" i="1"/>
  <c r="H595" i="1"/>
  <c r="AS602" i="1"/>
  <c r="BO599" i="1"/>
  <c r="M583" i="1"/>
  <c r="CL595" i="1"/>
  <c r="O594" i="1"/>
  <c r="DD591" i="1"/>
  <c r="BD582" i="1"/>
  <c r="CQ591" i="1"/>
  <c r="AQ582" i="1"/>
  <c r="S582" i="1"/>
  <c r="BZ573" i="1"/>
  <c r="BB592" i="1"/>
  <c r="DE591" i="1"/>
  <c r="BO593" i="1"/>
  <c r="L596" i="1"/>
  <c r="BT588" i="1"/>
  <c r="R603" i="1"/>
  <c r="BG588" i="1"/>
  <c r="AN589" i="1"/>
  <c r="BD610" i="1"/>
  <c r="AA589" i="1"/>
  <c r="CN591" i="1"/>
  <c r="AN582" i="1"/>
  <c r="CA591" i="1"/>
  <c r="AA582" i="1"/>
  <c r="CQ581" i="1"/>
  <c r="BJ573" i="1"/>
  <c r="CT591" i="1"/>
  <c r="AS591" i="1"/>
  <c r="AI593" i="1"/>
  <c r="AL595" i="1"/>
  <c r="BD588" i="1"/>
  <c r="BJ602" i="1"/>
  <c r="AQ588" i="1"/>
  <c r="X589" i="1"/>
  <c r="P608" i="1"/>
  <c r="K589" i="1"/>
  <c r="BX591" i="1"/>
  <c r="X582" i="1"/>
  <c r="BK591" i="1"/>
  <c r="CQ620" i="1"/>
  <c r="DF621" i="1"/>
  <c r="BF606" i="1"/>
  <c r="AP606" i="1"/>
  <c r="CP620" i="1"/>
  <c r="AT605" i="1"/>
  <c r="Y610" i="1"/>
  <c r="BM605" i="1"/>
  <c r="BR616" i="1"/>
  <c r="BQ602" i="1"/>
  <c r="CG590" i="1"/>
  <c r="CW587" i="1"/>
  <c r="CO598" i="1"/>
  <c r="BY600" i="1"/>
  <c r="CO588" i="1"/>
  <c r="DE585" i="1"/>
  <c r="T618" i="1"/>
  <c r="CM604" i="1"/>
  <c r="DH601" i="1"/>
  <c r="CP607" i="1"/>
  <c r="BL599" i="1"/>
  <c r="BZ604" i="1"/>
  <c r="BU604" i="1"/>
  <c r="BM597" i="1"/>
  <c r="L599" i="1"/>
  <c r="AY601" i="1"/>
  <c r="Y595" i="1"/>
  <c r="CC585" i="1"/>
  <c r="AN600" i="1"/>
  <c r="BO598" i="1"/>
  <c r="AO592" i="1"/>
  <c r="CS582" i="1"/>
  <c r="BN612" i="1"/>
  <c r="N608" i="1"/>
  <c r="L606" i="1"/>
  <c r="DG601" i="1"/>
  <c r="W604" i="1"/>
  <c r="CX602" i="1"/>
  <c r="BA588" i="1"/>
  <c r="CD602" i="1"/>
  <c r="DG603" i="1"/>
  <c r="V602" i="1"/>
  <c r="AG588" i="1"/>
  <c r="DF601" i="1"/>
  <c r="DH589" i="1"/>
  <c r="BH580" i="1"/>
  <c r="CU589" i="1"/>
  <c r="CD609" i="1"/>
  <c r="R614" i="1"/>
  <c r="BG599" i="1"/>
  <c r="BW596" i="1"/>
  <c r="CQ602" i="1"/>
  <c r="BN597" i="1"/>
  <c r="Q587" i="1"/>
  <c r="AT597" i="1"/>
  <c r="BW602" i="1"/>
  <c r="N597" i="1"/>
  <c r="DA586" i="1"/>
  <c r="DH596" i="1"/>
  <c r="BX588" i="1"/>
  <c r="AH603" i="1"/>
  <c r="AV601" i="1"/>
  <c r="BE604" i="1"/>
  <c r="I595" i="1"/>
  <c r="Y592" i="1"/>
  <c r="CY600" i="1"/>
  <c r="BY594" i="1"/>
  <c r="Y585" i="1"/>
  <c r="BT594" i="1"/>
  <c r="CE600" i="1"/>
  <c r="BE594" i="1"/>
  <c r="DI584" i="1"/>
  <c r="AZ594" i="1"/>
  <c r="CF586" i="1"/>
  <c r="BB596" i="1"/>
  <c r="BS586" i="1"/>
  <c r="CV603" i="1"/>
  <c r="Y599" i="1"/>
  <c r="AO587" i="1"/>
  <c r="BE584" i="1"/>
  <c r="DG598" i="1"/>
  <c r="CG592" i="1"/>
  <c r="AG583" i="1"/>
  <c r="CJ600" i="1"/>
  <c r="CC580" i="1"/>
  <c r="DC587" i="1"/>
  <c r="BV584" i="1"/>
  <c r="CN585" i="1"/>
  <c r="W595" i="1"/>
  <c r="CA585" i="1"/>
  <c r="BH586" i="1"/>
  <c r="F596" i="1"/>
  <c r="AU586" i="1"/>
  <c r="DH588" i="1"/>
  <c r="T605" i="1"/>
  <c r="CU588" i="1"/>
  <c r="CH597" i="1"/>
  <c r="CX583" i="1"/>
  <c r="CD570" i="1"/>
  <c r="BR580" i="1"/>
  <c r="Q580" i="1"/>
  <c r="BW587" i="1"/>
  <c r="J584" i="1"/>
  <c r="BX585" i="1"/>
  <c r="G595" i="1"/>
  <c r="BK585" i="1"/>
  <c r="AR586" i="1"/>
  <c r="CG595" i="1"/>
  <c r="AE586" i="1"/>
  <c r="CR588" i="1"/>
  <c r="F604" i="1"/>
  <c r="CE588" i="1"/>
  <c r="AR596" i="1"/>
  <c r="CD582" i="1"/>
  <c r="BN570" i="1"/>
  <c r="H580" i="1"/>
  <c r="BD606" i="1"/>
  <c r="AQ587" i="1"/>
  <c r="BB583" i="1"/>
  <c r="BH585" i="1"/>
  <c r="CU594" i="1"/>
  <c r="AU585" i="1"/>
  <c r="AB586" i="1"/>
  <c r="BO595" i="1"/>
  <c r="O586" i="1"/>
  <c r="CB588" i="1"/>
  <c r="AX603" i="1"/>
  <c r="BD625" i="1"/>
  <c r="H614" i="1"/>
  <c r="AB614" i="1"/>
  <c r="BT613" i="1"/>
  <c r="CS596" i="1"/>
  <c r="AM612" i="1"/>
  <c r="AB608" i="1"/>
  <c r="CG600" i="1"/>
  <c r="Q596" i="1"/>
  <c r="BX605" i="1"/>
  <c r="CF601" i="1"/>
  <c r="AX602" i="1"/>
  <c r="DI615" i="1"/>
  <c r="H601" i="1"/>
  <c r="CN599" i="1"/>
  <c r="H596" i="1"/>
  <c r="I580" i="1"/>
  <c r="AU619" i="1"/>
  <c r="AD605" i="1"/>
  <c r="I610" i="1"/>
  <c r="AW605" i="1"/>
  <c r="BR618" i="1"/>
  <c r="U611" i="1"/>
  <c r="M604" i="1"/>
  <c r="L609" i="1"/>
  <c r="L600" i="1"/>
  <c r="BC598" i="1"/>
  <c r="AC592" i="1"/>
  <c r="CG582" i="1"/>
  <c r="P607" i="1"/>
  <c r="DB617" i="1"/>
  <c r="AS589" i="1"/>
  <c r="DF614" i="1"/>
  <c r="AJ611" i="1"/>
  <c r="BY605" i="1"/>
  <c r="CD596" i="1"/>
  <c r="AS593" i="1"/>
  <c r="AA601" i="1"/>
  <c r="DE594" i="1"/>
  <c r="BE585" i="1"/>
  <c r="CZ594" i="1"/>
  <c r="G601" i="1"/>
  <c r="CK594" i="1"/>
  <c r="AK585" i="1"/>
  <c r="CF594" i="1"/>
  <c r="H587" i="1"/>
  <c r="J597" i="1"/>
  <c r="CY586" i="1"/>
  <c r="CC604" i="1"/>
  <c r="CG602" i="1"/>
  <c r="CW590" i="1"/>
  <c r="I588" i="1"/>
  <c r="CU599" i="1"/>
  <c r="BU593" i="1"/>
  <c r="U584" i="1"/>
  <c r="BP593" i="1"/>
  <c r="CA599" i="1"/>
  <c r="BA593" i="1"/>
  <c r="DE583" i="1"/>
  <c r="AV593" i="1"/>
  <c r="CB585" i="1"/>
  <c r="K595" i="1"/>
  <c r="Y607" i="1"/>
  <c r="CR610" i="1"/>
  <c r="Y583" i="1"/>
  <c r="AO580" i="1"/>
  <c r="DC597" i="1"/>
  <c r="CC591" i="1"/>
  <c r="AC582" i="1"/>
  <c r="CB598" i="1"/>
  <c r="CI597" i="1"/>
  <c r="BI591" i="1"/>
  <c r="I582" i="1"/>
  <c r="BT593" i="1"/>
  <c r="CJ583" i="1"/>
  <c r="S593" i="1"/>
  <c r="AU588" i="1"/>
  <c r="CX609" i="1"/>
  <c r="J613" i="1"/>
  <c r="BA594" i="1"/>
  <c r="BQ591" i="1"/>
  <c r="CI600" i="1"/>
  <c r="BI594" i="1"/>
  <c r="I585" i="1"/>
  <c r="BD594" i="1"/>
  <c r="CO587" i="1"/>
  <c r="BG591" i="1"/>
  <c r="CH591" i="1"/>
  <c r="BP587" i="1"/>
  <c r="DF598" i="1"/>
  <c r="BC587" i="1"/>
  <c r="AJ588" i="1"/>
  <c r="CL601" i="1"/>
  <c r="W588" i="1"/>
  <c r="CJ590" i="1"/>
  <c r="AJ581" i="1"/>
  <c r="BW590" i="1"/>
  <c r="W581" i="1"/>
  <c r="BZ603" i="1"/>
  <c r="BF572" i="1"/>
  <c r="CD587" i="1"/>
  <c r="AC587" i="1"/>
  <c r="AA591" i="1"/>
  <c r="V591" i="1"/>
  <c r="AZ587" i="1"/>
  <c r="AT598" i="1"/>
  <c r="AM587" i="1"/>
  <c r="T588" i="1"/>
  <c r="Z601" i="1"/>
  <c r="G588" i="1"/>
  <c r="BT590" i="1"/>
  <c r="T581" i="1"/>
  <c r="BG590" i="1"/>
  <c r="G581" i="1"/>
  <c r="DB598" i="1"/>
  <c r="AP572" i="1"/>
  <c r="R587" i="1"/>
  <c r="BU586" i="1"/>
  <c r="CY590" i="1"/>
  <c r="BN590" i="1"/>
  <c r="AJ587" i="1"/>
  <c r="CL597" i="1"/>
  <c r="W587" i="1"/>
  <c r="DH587" i="1"/>
  <c r="BR600" i="1"/>
  <c r="CU587" i="1"/>
  <c r="AY608" i="1"/>
  <c r="AS598" i="1"/>
  <c r="CZ600" i="1"/>
  <c r="AL616" i="1"/>
  <c r="BY607" i="1"/>
  <c r="BE603" i="1"/>
  <c r="BU591" i="1"/>
  <c r="CK588" i="1"/>
  <c r="CS593" i="1"/>
  <c r="CW584" i="1"/>
  <c r="CC584" i="1"/>
  <c r="AM586" i="1"/>
  <c r="BY585" i="1"/>
  <c r="DH592" i="1"/>
  <c r="CD598" i="1"/>
  <c r="BX603" i="1"/>
  <c r="Q591" i="1"/>
  <c r="DA590" i="1"/>
  <c r="BK592" i="1"/>
  <c r="BH606" i="1"/>
  <c r="AZ609" i="1"/>
  <c r="CF591" i="1"/>
  <c r="DD582" i="1"/>
  <c r="CM594" i="1"/>
  <c r="V567" i="1"/>
  <c r="BP591" i="1"/>
  <c r="CN582" i="1"/>
  <c r="BW594" i="1"/>
  <c r="F567" i="1"/>
  <c r="AZ591" i="1"/>
  <c r="BX582" i="1"/>
  <c r="BH587" i="1"/>
  <c r="BO588" i="1"/>
  <c r="BB595" i="1"/>
  <c r="BZ581" i="1"/>
  <c r="AX570" i="1"/>
  <c r="CS579" i="1"/>
  <c r="BN602" i="1"/>
  <c r="K587" i="1"/>
  <c r="CT582" i="1"/>
  <c r="AR585" i="1"/>
  <c r="CE594" i="1"/>
  <c r="AE585" i="1"/>
  <c r="L586" i="1"/>
  <c r="AY595" i="1"/>
  <c r="DC585" i="1"/>
  <c r="BL588" i="1"/>
  <c r="CP602" i="1"/>
  <c r="AY588" i="1"/>
  <c r="CT594" i="1"/>
  <c r="DB580" i="1"/>
  <c r="AH570" i="1"/>
  <c r="CC579" i="1"/>
  <c r="AC570" i="1"/>
  <c r="CL580" i="1"/>
  <c r="AD570" i="1"/>
  <c r="BY579" i="1"/>
  <c r="Y570" i="1"/>
  <c r="DB579" i="1"/>
  <c r="J570" i="1"/>
  <c r="BE579" i="1"/>
  <c r="DI569" i="1"/>
  <c r="N579" i="1"/>
  <c r="AX569" i="1"/>
  <c r="CS578" i="1"/>
  <c r="AS569" i="1"/>
  <c r="F580" i="1"/>
  <c r="BH570" i="1"/>
  <c r="BS565" i="1"/>
  <c r="S556" i="1"/>
  <c r="BR565" i="1"/>
  <c r="R556" i="1"/>
  <c r="BE565" i="1"/>
  <c r="DI555" i="1"/>
  <c r="H578" i="1"/>
  <c r="BL568" i="1"/>
  <c r="BW563" i="1"/>
  <c r="W554" i="1"/>
  <c r="BV563" i="1"/>
  <c r="V554" i="1"/>
  <c r="BI563" i="1"/>
  <c r="I554" i="1"/>
  <c r="AF577" i="1"/>
  <c r="CJ567" i="1"/>
  <c r="CU562" i="1"/>
  <c r="BE569" i="1"/>
  <c r="Z579" i="1"/>
  <c r="BF569" i="1"/>
  <c r="DA578" i="1"/>
  <c r="BA569" i="1"/>
  <c r="DB578" i="1"/>
  <c r="AL569" i="1"/>
  <c r="CG578" i="1"/>
  <c r="AG569" i="1"/>
  <c r="V578" i="1"/>
  <c r="BZ568" i="1"/>
  <c r="Q578" i="1"/>
  <c r="BU568" i="1"/>
  <c r="AF579" i="1"/>
  <c r="CJ569" i="1"/>
  <c r="CU564" i="1"/>
  <c r="AU555" i="1"/>
  <c r="CT564" i="1"/>
  <c r="AT555" i="1"/>
  <c r="CG564" i="1"/>
  <c r="AG555" i="1"/>
  <c r="AJ577" i="1"/>
  <c r="CN567" i="1"/>
  <c r="CY562" i="1"/>
  <c r="AY553" i="1"/>
  <c r="CX562" i="1"/>
  <c r="AX553" i="1"/>
  <c r="AC606" i="1"/>
  <c r="CJ604" i="1"/>
  <c r="CE601" i="1"/>
  <c r="CM599" i="1"/>
  <c r="BT607" i="1"/>
  <c r="Y608" i="1"/>
  <c r="AR611" i="1"/>
  <c r="J596" i="1"/>
  <c r="AC596" i="1"/>
  <c r="DI591" i="1"/>
  <c r="CO591" i="1"/>
  <c r="AY593" i="1"/>
  <c r="F603" i="1"/>
  <c r="Y581" i="1"/>
  <c r="DI580" i="1"/>
  <c r="BB609" i="1"/>
  <c r="N604" i="1"/>
  <c r="AP603" i="1"/>
  <c r="CN580" i="1"/>
  <c r="AM598" i="1"/>
  <c r="CO586" i="1"/>
  <c r="BJ618" i="1"/>
  <c r="L590" i="1"/>
  <c r="L583" i="1"/>
  <c r="AH574" i="1"/>
  <c r="AH604" i="1"/>
  <c r="CZ589" i="1"/>
  <c r="CZ582" i="1"/>
  <c r="R574" i="1"/>
  <c r="CX601" i="1"/>
  <c r="CJ589" i="1"/>
  <c r="BD590" i="1"/>
  <c r="AQ590" i="1"/>
  <c r="CU580" i="1"/>
  <c r="CK595" i="1"/>
  <c r="Z572" i="1"/>
  <c r="BJ586" i="1"/>
  <c r="I586" i="1"/>
  <c r="BS590" i="1"/>
  <c r="DF589" i="1"/>
  <c r="T587" i="1"/>
  <c r="AH597" i="1"/>
  <c r="G587" i="1"/>
  <c r="CR587" i="1"/>
  <c r="F600" i="1"/>
  <c r="CE587" i="1"/>
  <c r="AN590" i="1"/>
  <c r="CR580" i="1"/>
  <c r="AA590" i="1"/>
  <c r="CE580" i="1"/>
  <c r="BN594" i="1"/>
  <c r="J572" i="1"/>
  <c r="DB585" i="1"/>
  <c r="DI571" i="1"/>
  <c r="AX594" i="1"/>
  <c r="F572" i="1"/>
  <c r="CL585" i="1"/>
  <c r="DE571" i="1"/>
  <c r="CL592" i="1"/>
  <c r="CP571" i="1"/>
  <c r="J585" i="1"/>
  <c r="CK571" i="1"/>
  <c r="CX587" i="1"/>
  <c r="Z571" i="1"/>
  <c r="BJ582" i="1"/>
  <c r="U571" i="1"/>
  <c r="N587" i="1"/>
  <c r="AJ572" i="1"/>
  <c r="DC571" i="1"/>
  <c r="CY557" i="1"/>
  <c r="CY571" i="1"/>
  <c r="CX557" i="1"/>
  <c r="AY571" i="1"/>
  <c r="CK557" i="1"/>
  <c r="CN579" i="1"/>
  <c r="AN570" i="1"/>
  <c r="AY565" i="1"/>
  <c r="DC555" i="1"/>
  <c r="AX565" i="1"/>
  <c r="DB555" i="1"/>
  <c r="AK565" i="1"/>
  <c r="CO555" i="1"/>
  <c r="H579" i="1"/>
  <c r="BL569" i="1"/>
  <c r="BW564" i="1"/>
  <c r="AG571" i="1"/>
  <c r="BF588" i="1"/>
  <c r="AH571" i="1"/>
  <c r="CP582" i="1"/>
  <c r="AC571" i="1"/>
  <c r="CT586" i="1"/>
  <c r="N571" i="1"/>
  <c r="N582" i="1"/>
  <c r="I571" i="1"/>
  <c r="DF581" i="1"/>
  <c r="BB570" i="1"/>
  <c r="CW579" i="1"/>
  <c r="AW570" i="1"/>
  <c r="R584" i="1"/>
  <c r="BL571" i="1"/>
  <c r="DG568" i="1"/>
  <c r="W557" i="1"/>
  <c r="DC568" i="1"/>
  <c r="V557" i="1"/>
  <c r="BC568" i="1"/>
  <c r="I557" i="1"/>
  <c r="L579" i="1"/>
  <c r="BP569" i="1"/>
  <c r="CA564" i="1"/>
  <c r="AA555" i="1"/>
  <c r="BZ564" i="1"/>
  <c r="Z555" i="1"/>
  <c r="BM564" i="1"/>
  <c r="DI603" i="1"/>
  <c r="BF605" i="1"/>
  <c r="BE595" i="1"/>
  <c r="BM593" i="1"/>
  <c r="DB620" i="1"/>
  <c r="CO605" i="1"/>
  <c r="F597" i="1"/>
  <c r="BI593" i="1"/>
  <c r="CF597" i="1"/>
  <c r="BU589" i="1"/>
  <c r="BA589" i="1"/>
  <c r="K591" i="1"/>
  <c r="AU601" i="1"/>
  <c r="R602" i="1"/>
  <c r="AT601" i="1"/>
  <c r="AC609" i="1"/>
  <c r="DF595" i="1"/>
  <c r="BY595" i="1"/>
  <c r="AL600" i="1"/>
  <c r="M592" i="1"/>
  <c r="BA584" i="1"/>
  <c r="AT589" i="1"/>
  <c r="CB587" i="1"/>
  <c r="CB580" i="1"/>
  <c r="CX571" i="1"/>
  <c r="CL588" i="1"/>
  <c r="BL587" i="1"/>
  <c r="BL580" i="1"/>
  <c r="CH571" i="1"/>
  <c r="Z588" i="1"/>
  <c r="AV587" i="1"/>
  <c r="CV589" i="1"/>
  <c r="CI589" i="1"/>
  <c r="AI580" i="1"/>
  <c r="F591" i="1"/>
  <c r="BR571" i="1"/>
  <c r="V584" i="1"/>
  <c r="BY583" i="1"/>
  <c r="AY589" i="1"/>
  <c r="BR587" i="1"/>
  <c r="BL586" i="1"/>
  <c r="N596" i="1"/>
  <c r="AY586" i="1"/>
  <c r="AF587" i="1"/>
  <c r="BV597" i="1"/>
  <c r="S587" i="1"/>
  <c r="CF589" i="1"/>
  <c r="AF580" i="1"/>
  <c r="BS589" i="1"/>
  <c r="S580" i="1"/>
  <c r="CP589" i="1"/>
  <c r="BB571" i="1"/>
  <c r="BN583" i="1"/>
  <c r="AW571" i="1"/>
  <c r="BZ589" i="1"/>
  <c r="AX571" i="1"/>
  <c r="AX583" i="1"/>
  <c r="AS571" i="1"/>
  <c r="J588" i="1"/>
  <c r="AD571" i="1"/>
  <c r="BZ582" i="1"/>
  <c r="Y571" i="1"/>
  <c r="V583" i="1"/>
  <c r="BR570" i="1"/>
  <c r="V580" i="1"/>
  <c r="BM570" i="1"/>
  <c r="CD584" i="1"/>
  <c r="CB571" i="1"/>
  <c r="BO569" i="1"/>
  <c r="AM557" i="1"/>
  <c r="BK569" i="1"/>
  <c r="AL557" i="1"/>
  <c r="K569" i="1"/>
  <c r="Y557" i="1"/>
  <c r="AB579" i="1"/>
  <c r="CF569" i="1"/>
  <c r="CQ564" i="1"/>
  <c r="AQ555" i="1"/>
  <c r="CP564" i="1"/>
  <c r="AP555" i="1"/>
  <c r="CC564" i="1"/>
  <c r="AC555" i="1"/>
  <c r="AZ578" i="1"/>
  <c r="DD568" i="1"/>
  <c r="K564" i="1"/>
  <c r="BY570" i="1"/>
  <c r="CH583" i="1"/>
  <c r="BZ570" i="1"/>
  <c r="BB580" i="1"/>
  <c r="BU570" i="1"/>
  <c r="R582" i="1"/>
  <c r="BF570" i="1"/>
  <c r="DA579" i="1"/>
  <c r="BA570" i="1"/>
  <c r="BZ579" i="1"/>
  <c r="CT569" i="1"/>
  <c r="AK579" i="1"/>
  <c r="CO569" i="1"/>
  <c r="CH581" i="1"/>
  <c r="DD570" i="1"/>
  <c r="BS566" i="1"/>
  <c r="BO556" i="1"/>
  <c r="BO566" i="1"/>
  <c r="BN556" i="1"/>
  <c r="O566" i="1"/>
  <c r="BA556" i="1"/>
  <c r="BD578" i="1"/>
  <c r="DH568" i="1"/>
  <c r="O564" i="1"/>
  <c r="BS554" i="1"/>
  <c r="N564" i="1"/>
  <c r="BR554" i="1"/>
  <c r="DE563" i="1"/>
  <c r="AS599" i="1"/>
  <c r="BA605" i="1"/>
  <c r="DI585" i="1"/>
  <c r="M584" i="1"/>
  <c r="CD607" i="1"/>
  <c r="T610" i="1"/>
  <c r="DI593" i="1"/>
  <c r="U591" i="1"/>
  <c r="O600" i="1"/>
  <c r="AG587" i="1"/>
  <c r="M587" i="1"/>
  <c r="CA588" i="1"/>
  <c r="U595" i="1"/>
  <c r="AR595" i="1"/>
  <c r="X595" i="1"/>
  <c r="U602" i="1"/>
  <c r="BE593" i="1"/>
  <c r="AK593" i="1"/>
  <c r="CY594" i="1"/>
  <c r="BQ582" i="1"/>
  <c r="M582" i="1"/>
  <c r="AJ595" i="1"/>
  <c r="AN585" i="1"/>
  <c r="CT599" i="1"/>
  <c r="BJ569" i="1"/>
  <c r="DH594" i="1"/>
  <c r="X585" i="1"/>
  <c r="AH599" i="1"/>
  <c r="AT569" i="1"/>
  <c r="CB594" i="1"/>
  <c r="H585" i="1"/>
  <c r="P588" i="1"/>
  <c r="R578" i="1"/>
  <c r="BW583" i="1"/>
  <c r="BX594" i="1"/>
  <c r="CJ586" i="1"/>
  <c r="DF577" i="1"/>
  <c r="DB577" i="1"/>
  <c r="CH577" i="1"/>
  <c r="R577" i="1"/>
  <c r="AB578" i="1"/>
  <c r="CP563" i="1"/>
  <c r="AF576" i="1"/>
  <c r="CT561" i="1"/>
  <c r="BD575" i="1"/>
  <c r="Z577" i="1"/>
  <c r="F577" i="1"/>
  <c r="AT576" i="1"/>
  <c r="BD577" i="1"/>
  <c r="N563" i="1"/>
  <c r="BH575" i="1"/>
  <c r="R561" i="1"/>
  <c r="I558" i="1"/>
  <c r="F585" i="1"/>
  <c r="CJ571" i="1"/>
  <c r="CU569" i="1"/>
  <c r="BE573" i="1"/>
  <c r="CM581" i="1"/>
  <c r="BF573" i="1"/>
  <c r="CD591" i="1"/>
  <c r="BA573" i="1"/>
  <c r="AU581" i="1"/>
  <c r="AL573" i="1"/>
  <c r="DF590" i="1"/>
  <c r="AG573" i="1"/>
  <c r="W580" i="1"/>
  <c r="BZ572" i="1"/>
  <c r="BB588" i="1"/>
  <c r="BU572" i="1"/>
  <c r="J594" i="1"/>
  <c r="CJ573" i="1"/>
  <c r="CU577" i="1"/>
  <c r="AU559" i="1"/>
  <c r="CQ577" i="1"/>
  <c r="AT559" i="1"/>
  <c r="AQ577" i="1"/>
  <c r="AG559" i="1"/>
  <c r="V585" i="1"/>
  <c r="CN571" i="1"/>
  <c r="G570" i="1"/>
  <c r="AY557" i="1"/>
  <c r="DG569" i="1"/>
  <c r="AX557" i="1"/>
  <c r="BG569" i="1"/>
  <c r="AK557" i="1"/>
  <c r="J582" i="1"/>
  <c r="H571" i="1"/>
  <c r="CY566" i="1"/>
  <c r="CG572" i="1"/>
  <c r="AM580" i="1"/>
  <c r="CH572" i="1"/>
  <c r="CH588" i="1"/>
  <c r="CC572" i="1"/>
  <c r="CZ610" i="1"/>
  <c r="BN572" i="1"/>
  <c r="F588" i="1"/>
  <c r="BI572" i="1"/>
  <c r="CP593" i="1"/>
  <c r="DB571" i="1"/>
  <c r="BF585" i="1"/>
  <c r="CW571" i="1"/>
  <c r="Z590" i="1"/>
  <c r="H573" i="1"/>
  <c r="CY574" i="1"/>
  <c r="BW558" i="1"/>
  <c r="J601" i="1"/>
  <c r="AH566" i="1"/>
  <c r="CB590" i="1"/>
  <c r="CZ581" i="1"/>
  <c r="CI593" i="1"/>
  <c r="R566" i="1"/>
  <c r="N566" i="1"/>
  <c r="CX565" i="1"/>
  <c r="Z598" i="1"/>
  <c r="AR566" i="1"/>
  <c r="DF551" i="1"/>
  <c r="AM578" i="1"/>
  <c r="CM577" i="1"/>
  <c r="AA575" i="1"/>
  <c r="AT599" i="1"/>
  <c r="CV596" i="1"/>
  <c r="CL593" i="1"/>
  <c r="CP592" i="1"/>
  <c r="G586" i="1"/>
  <c r="CT604" i="1"/>
  <c r="CO596" i="1"/>
  <c r="DE584" i="1"/>
  <c r="Q582" i="1"/>
  <c r="AU598" i="1"/>
  <c r="U592" i="1"/>
  <c r="BY582" i="1"/>
  <c r="BP599" i="1"/>
  <c r="Z600" i="1"/>
  <c r="CI586" i="1"/>
  <c r="AH582" i="1"/>
  <c r="AB585" i="1"/>
  <c r="BO594" i="1"/>
  <c r="O585" i="1"/>
  <c r="CZ585" i="1"/>
  <c r="AI595" i="1"/>
  <c r="CM585" i="1"/>
  <c r="AV588" i="1"/>
  <c r="AD602" i="1"/>
  <c r="AI588" i="1"/>
  <c r="AH594" i="1"/>
  <c r="Z580" i="1"/>
  <c r="R570" i="1"/>
  <c r="BM579" i="1"/>
  <c r="CP597" i="1"/>
  <c r="BC586" i="1"/>
  <c r="R598" i="1"/>
  <c r="L585" i="1"/>
  <c r="AY594" i="1"/>
  <c r="DC584" i="1"/>
  <c r="CJ585" i="1"/>
  <c r="S595" i="1"/>
  <c r="BW585" i="1"/>
  <c r="AF588" i="1"/>
  <c r="BV601" i="1"/>
  <c r="S588" i="1"/>
  <c r="BZ593" i="1"/>
  <c r="CP579" i="1"/>
  <c r="DF569" i="1"/>
  <c r="AW579" i="1"/>
  <c r="AV596" i="1"/>
  <c r="W586" i="1"/>
  <c r="BL596" i="1"/>
  <c r="CZ584" i="1"/>
  <c r="AI594" i="1"/>
  <c r="CM584" i="1"/>
  <c r="BT585" i="1"/>
  <c r="DG594" i="1"/>
  <c r="CM620" i="1"/>
  <c r="BT608" i="1"/>
  <c r="BQ613" i="1"/>
  <c r="AI623" i="1"/>
  <c r="AJ605" i="1"/>
  <c r="BH608" i="1"/>
  <c r="CB606" i="1"/>
  <c r="U582" i="1"/>
  <c r="J604" i="1"/>
  <c r="DI590" i="1"/>
  <c r="AN594" i="1"/>
  <c r="T594" i="1"/>
  <c r="BU597" i="1"/>
  <c r="AI599" i="1"/>
  <c r="O599" i="1"/>
  <c r="P585" i="1"/>
  <c r="CO580" i="1"/>
  <c r="BU581" i="1"/>
  <c r="BA581" i="1"/>
  <c r="BW619" i="1"/>
  <c r="AR606" i="1"/>
  <c r="W601" i="1"/>
  <c r="AF582" i="1"/>
  <c r="AM592" i="1"/>
  <c r="AM585" i="1"/>
  <c r="BO600" i="1"/>
  <c r="P582" i="1"/>
  <c r="W592" i="1"/>
  <c r="W585" i="1"/>
  <c r="DG599" i="1"/>
  <c r="DD581" i="1"/>
  <c r="G592" i="1"/>
  <c r="CJ582" i="1"/>
  <c r="AA586" i="1"/>
  <c r="DF585" i="1"/>
  <c r="BJ577" i="1"/>
  <c r="J568" i="1"/>
  <c r="S604" i="1"/>
  <c r="T590" i="1"/>
  <c r="K583" i="1"/>
  <c r="BD592" i="1"/>
  <c r="DH582" i="1"/>
  <c r="AQ592" i="1"/>
  <c r="BD593" i="1"/>
  <c r="CB583" i="1"/>
  <c r="K593" i="1"/>
  <c r="BO583" i="1"/>
  <c r="X586" i="1"/>
  <c r="BK595" i="1"/>
  <c r="K586" i="1"/>
  <c r="AT585" i="1"/>
  <c r="AT577" i="1"/>
  <c r="CX567" i="1"/>
  <c r="AO577" i="1"/>
  <c r="CS567" i="1"/>
  <c r="AP577" i="1"/>
  <c r="CT567" i="1"/>
  <c r="AK577" i="1"/>
  <c r="CO567" i="1"/>
  <c r="V577" i="1"/>
  <c r="BZ567" i="1"/>
  <c r="Q577" i="1"/>
  <c r="BU567" i="1"/>
  <c r="BJ576" i="1"/>
  <c r="J567" i="1"/>
  <c r="BE576" i="1"/>
  <c r="DI566" i="1"/>
  <c r="BT577" i="1"/>
  <c r="T568" i="1"/>
  <c r="AE563" i="1"/>
  <c r="CI553" i="1"/>
  <c r="AD563" i="1"/>
  <c r="CH553" i="1"/>
  <c r="Q563" i="1"/>
  <c r="BU553" i="1"/>
  <c r="BX575" i="1"/>
  <c r="X566" i="1"/>
  <c r="AI561" i="1"/>
  <c r="CM551" i="1"/>
  <c r="AH561" i="1"/>
  <c r="CL551" i="1"/>
  <c r="U561" i="1"/>
  <c r="BY551" i="1"/>
  <c r="CV574" i="1"/>
  <c r="AH589" i="1"/>
  <c r="BQ576" i="1"/>
  <c r="Q567" i="1"/>
  <c r="BR576" i="1"/>
  <c r="R567" i="1"/>
  <c r="BM576" i="1"/>
  <c r="M567" i="1"/>
  <c r="AX576" i="1"/>
  <c r="DB566" i="1"/>
  <c r="AS576" i="1"/>
  <c r="CW566" i="1"/>
  <c r="CL575" i="1"/>
  <c r="AL566" i="1"/>
  <c r="CG575" i="1"/>
  <c r="AG566" i="1"/>
  <c r="CV576" i="1"/>
  <c r="AV567" i="1"/>
  <c r="BG562" i="1"/>
  <c r="G553" i="1"/>
  <c r="BF562" i="1"/>
  <c r="F553" i="1"/>
  <c r="AS562" i="1"/>
  <c r="CW552" i="1"/>
  <c r="CZ574" i="1"/>
  <c r="CT589" i="1"/>
  <c r="BK560" i="1"/>
  <c r="CD589" i="1"/>
  <c r="BJ560" i="1"/>
  <c r="CL587" i="1"/>
  <c r="M606" i="1"/>
  <c r="DB611" i="1"/>
  <c r="CU598" i="1"/>
  <c r="DC596" i="1"/>
  <c r="BQ600" i="1"/>
  <c r="Q601" i="1"/>
  <c r="AG589" i="1"/>
  <c r="AW586" i="1"/>
  <c r="AS584" i="1"/>
  <c r="BI582" i="1"/>
  <c r="AO582" i="1"/>
  <c r="DC583" i="1"/>
  <c r="AZ598" i="1"/>
  <c r="BQ611" i="1"/>
  <c r="AB592" i="1"/>
  <c r="CN610" i="1"/>
  <c r="CG588" i="1"/>
  <c r="BM588" i="1"/>
  <c r="W590" i="1"/>
  <c r="CJ610" i="1"/>
  <c r="CJ596" i="1"/>
  <c r="AR589" i="1"/>
  <c r="BP580" i="1"/>
  <c r="AY592" i="1"/>
  <c r="CP594" i="1"/>
  <c r="AB589" i="1"/>
  <c r="AZ580" i="1"/>
  <c r="AI592" i="1"/>
  <c r="AD594" i="1"/>
  <c r="L589" i="1"/>
  <c r="AJ580" i="1"/>
  <c r="CF585" i="1"/>
  <c r="DG587" i="1"/>
  <c r="N593" i="1"/>
  <c r="BV579" i="1"/>
  <c r="CP569" i="1"/>
  <c r="AG579" i="1"/>
  <c r="BD595" i="1"/>
  <c r="CU585" i="1"/>
  <c r="BP595" i="1"/>
  <c r="CJ584" i="1"/>
  <c r="S594" i="1"/>
  <c r="BW584" i="1"/>
  <c r="BD585" i="1"/>
  <c r="CQ594" i="1"/>
  <c r="AQ585" i="1"/>
  <c r="DD587" i="1"/>
  <c r="BB600" i="1"/>
  <c r="CQ587" i="1"/>
  <c r="BF592" i="1"/>
  <c r="BB579" i="1"/>
  <c r="BZ569" i="1"/>
  <c r="Q579" i="1"/>
  <c r="BU569" i="1"/>
  <c r="AT579" i="1"/>
  <c r="BV569" i="1"/>
  <c r="M579" i="1"/>
  <c r="BQ569" i="1"/>
  <c r="V579" i="1"/>
  <c r="BB569" i="1"/>
  <c r="CW578" i="1"/>
  <c r="AW569" i="1"/>
  <c r="AL578" i="1"/>
  <c r="CP568" i="1"/>
  <c r="AG578" i="1"/>
  <c r="CK568" i="1"/>
  <c r="AV579" i="1"/>
  <c r="CZ569" i="1"/>
  <c r="G565" i="1"/>
  <c r="BK555" i="1"/>
  <c r="F565" i="1"/>
  <c r="BJ555" i="1"/>
  <c r="CW564" i="1"/>
  <c r="AW555" i="1"/>
  <c r="AZ577" i="1"/>
  <c r="DD567" i="1"/>
  <c r="K563" i="1"/>
  <c r="BO553" i="1"/>
  <c r="J563" i="1"/>
  <c r="BN553" i="1"/>
  <c r="DA562" i="1"/>
  <c r="BA553" i="1"/>
  <c r="BX576" i="1"/>
  <c r="X567" i="1"/>
  <c r="AI562" i="1"/>
  <c r="CW568" i="1"/>
  <c r="AX578" i="1"/>
  <c r="CX568" i="1"/>
  <c r="AO578" i="1"/>
  <c r="CS568" i="1"/>
  <c r="Z578" i="1"/>
  <c r="CD568" i="1"/>
  <c r="U578" i="1"/>
  <c r="BY568" i="1"/>
  <c r="BN577" i="1"/>
  <c r="N568" i="1"/>
  <c r="BI577" i="1"/>
  <c r="I568" i="1"/>
  <c r="BX578" i="1"/>
  <c r="X569" i="1"/>
  <c r="AI564" i="1"/>
  <c r="CM554" i="1"/>
  <c r="AH564" i="1"/>
  <c r="CL554" i="1"/>
  <c r="U564" i="1"/>
  <c r="BY554" i="1"/>
  <c r="CB576" i="1"/>
  <c r="AB567" i="1"/>
  <c r="AM562" i="1"/>
  <c r="CQ552" i="1"/>
  <c r="AL562" i="1"/>
  <c r="CP552" i="1"/>
  <c r="Y562" i="1"/>
  <c r="CS603" i="1"/>
  <c r="AK610" i="1"/>
  <c r="BU592" i="1"/>
  <c r="CC590" i="1"/>
  <c r="P602" i="1"/>
  <c r="CG598" i="1"/>
  <c r="CW586" i="1"/>
  <c r="I584" i="1"/>
  <c r="BX597" i="1"/>
  <c r="U580" i="1"/>
  <c r="CI619" i="1"/>
  <c r="AT612" i="1"/>
  <c r="G604" i="1"/>
  <c r="CQ603" i="1"/>
  <c r="CR589" i="1"/>
  <c r="BK596" i="1"/>
  <c r="AS586" i="1"/>
  <c r="Y586" i="1"/>
  <c r="CM587" i="1"/>
  <c r="AC589" i="1"/>
  <c r="CV593" i="1"/>
  <c r="DH586" i="1"/>
  <c r="AX599" i="1"/>
  <c r="K590" i="1"/>
  <c r="AP585" i="1"/>
  <c r="CR586" i="1"/>
  <c r="CP598" i="1"/>
  <c r="CY589" i="1"/>
  <c r="CH584" i="1"/>
  <c r="CB586" i="1"/>
  <c r="AD598" i="1"/>
  <c r="T585" i="1"/>
  <c r="AU587" i="1"/>
  <c r="CD590" i="1"/>
  <c r="CT578" i="1"/>
  <c r="AD569" i="1"/>
  <c r="BY578" i="1"/>
  <c r="P593" i="1"/>
  <c r="CA584" i="1"/>
  <c r="AV594" i="1"/>
  <c r="X584" i="1"/>
  <c r="BK593" i="1"/>
  <c r="AF596" i="1"/>
  <c r="CV584" i="1"/>
  <c r="AE594" i="1"/>
  <c r="CI584" i="1"/>
  <c r="AR587" i="1"/>
  <c r="N598" i="1"/>
  <c r="AE587" i="1"/>
  <c r="R590" i="1"/>
  <c r="BV578" i="1"/>
  <c r="N569" i="1"/>
  <c r="BI578" i="1"/>
  <c r="I569" i="1"/>
  <c r="BR578" i="1"/>
  <c r="J569" i="1"/>
  <c r="BE578" i="1"/>
  <c r="DI568" i="1"/>
  <c r="AP578" i="1"/>
  <c r="CT568" i="1"/>
  <c r="AK578" i="1"/>
  <c r="CO568" i="1"/>
  <c r="CD577" i="1"/>
  <c r="AD568" i="1"/>
  <c r="BY577" i="1"/>
  <c r="Y568" i="1"/>
  <c r="CN578" i="1"/>
  <c r="AN569" i="1"/>
  <c r="AY564" i="1"/>
  <c r="DC554" i="1"/>
  <c r="AX564" i="1"/>
  <c r="DB554" i="1"/>
  <c r="AK564" i="1"/>
  <c r="CO554" i="1"/>
  <c r="CR576" i="1"/>
  <c r="AR567" i="1"/>
  <c r="BC562" i="1"/>
  <c r="DG552" i="1"/>
  <c r="BB562" i="1"/>
  <c r="DF552" i="1"/>
  <c r="AO562" i="1"/>
  <c r="CS552" i="1"/>
  <c r="L576" i="1"/>
  <c r="BP566" i="1"/>
  <c r="CK577" i="1"/>
  <c r="AK568" i="1"/>
  <c r="CL577" i="1"/>
  <c r="AL568" i="1"/>
  <c r="CG577" i="1"/>
  <c r="AG568" i="1"/>
  <c r="BR577" i="1"/>
  <c r="R568" i="1"/>
  <c r="BM577" i="1"/>
  <c r="M568" i="1"/>
  <c r="DF576" i="1"/>
  <c r="BF567" i="1"/>
  <c r="DA576" i="1"/>
  <c r="BA567" i="1"/>
  <c r="L578" i="1"/>
  <c r="BP568" i="1"/>
  <c r="CA563" i="1"/>
  <c r="AA554" i="1"/>
  <c r="BZ563" i="1"/>
  <c r="Z554" i="1"/>
  <c r="BM563" i="1"/>
  <c r="M554" i="1"/>
  <c r="P576" i="1"/>
  <c r="BT566" i="1"/>
  <c r="CE561" i="1"/>
  <c r="AE552" i="1"/>
  <c r="CD561" i="1"/>
  <c r="AD552" i="1"/>
  <c r="BQ561" i="1"/>
  <c r="BV613" i="1"/>
  <c r="AC603" i="1"/>
  <c r="U583" i="1"/>
  <c r="CO581" i="1"/>
  <c r="BB615" i="1"/>
  <c r="AS596" i="1"/>
  <c r="BI584" i="1"/>
  <c r="BY581" i="1"/>
  <c r="AE597" i="1"/>
  <c r="DF597" i="1"/>
  <c r="AJ597" i="1"/>
  <c r="AG602" i="1"/>
  <c r="BW601" i="1"/>
  <c r="BC601" i="1"/>
  <c r="BD587" i="1"/>
  <c r="AK590" i="1"/>
  <c r="DI583" i="1"/>
  <c r="CO583" i="1"/>
  <c r="AY585" i="1"/>
  <c r="H610" i="1"/>
  <c r="AV598" i="1"/>
  <c r="BT584" i="1"/>
  <c r="CA594" i="1"/>
  <c r="CA587" i="1"/>
  <c r="DE578" i="1"/>
  <c r="BD584" i="1"/>
  <c r="BK594" i="1"/>
  <c r="BK587" i="1"/>
  <c r="CO578" i="1"/>
  <c r="AN584" i="1"/>
  <c r="AU594" i="1"/>
  <c r="AR583" i="1"/>
  <c r="BV568" i="1"/>
  <c r="AB593" i="1"/>
  <c r="AJ584" i="1"/>
  <c r="BJ596" i="1"/>
  <c r="BF568" i="1"/>
  <c r="BB568" i="1"/>
  <c r="AH568" i="1"/>
  <c r="BV567" i="1"/>
  <c r="CF568" i="1"/>
  <c r="AP554" i="1"/>
  <c r="CJ566" i="1"/>
  <c r="AT552" i="1"/>
  <c r="BJ611" i="1"/>
  <c r="CD567" i="1"/>
  <c r="BJ567" i="1"/>
  <c r="CX566" i="1"/>
  <c r="DH567" i="1"/>
  <c r="BR553" i="1"/>
  <c r="H566" i="1"/>
  <c r="AH600" i="1"/>
  <c r="BY555" i="1"/>
  <c r="CV578" i="1"/>
  <c r="AV569" i="1"/>
  <c r="BG564" i="1"/>
  <c r="Q571" i="1"/>
  <c r="AL587" i="1"/>
  <c r="R571" i="1"/>
  <c r="AD582" i="1"/>
  <c r="M571" i="1"/>
  <c r="BZ585" i="1"/>
  <c r="DB570" i="1"/>
  <c r="BF581" i="1"/>
  <c r="CW570" i="1"/>
  <c r="N581" i="1"/>
  <c r="AL570" i="1"/>
  <c r="CG579" i="1"/>
  <c r="AG570" i="1"/>
  <c r="BJ583" i="1"/>
  <c r="AV571" i="1"/>
  <c r="AU568" i="1"/>
  <c r="G557" i="1"/>
  <c r="AQ568" i="1"/>
  <c r="F557" i="1"/>
  <c r="CU567" i="1"/>
  <c r="CW556" i="1"/>
  <c r="CZ578" i="1"/>
  <c r="AZ569" i="1"/>
  <c r="BK564" i="1"/>
  <c r="K555" i="1"/>
  <c r="BJ564" i="1"/>
  <c r="J555" i="1"/>
  <c r="AW564" i="1"/>
  <c r="DA554" i="1"/>
  <c r="T578" i="1"/>
  <c r="BX568" i="1"/>
  <c r="CI563" i="1"/>
  <c r="AS570" i="1"/>
  <c r="BJ581" i="1"/>
  <c r="AT570" i="1"/>
  <c r="CO579" i="1"/>
  <c r="AO570" i="1"/>
  <c r="BF580" i="1"/>
  <c r="Z570" i="1"/>
  <c r="BU579" i="1"/>
  <c r="U570" i="1"/>
  <c r="AL579" i="1"/>
  <c r="BN569" i="1"/>
  <c r="DI578" i="1"/>
  <c r="BI569" i="1"/>
  <c r="BN580" i="1"/>
  <c r="BX570" i="1"/>
  <c r="CI565" i="1"/>
  <c r="AI556" i="1"/>
  <c r="AY584" i="1"/>
  <c r="G597" i="1"/>
  <c r="AB581" i="1"/>
  <c r="AI591" i="1"/>
  <c r="AI584" i="1"/>
  <c r="BM575" i="1"/>
  <c r="BI575" i="1"/>
  <c r="AO575" i="1"/>
  <c r="CC574" i="1"/>
  <c r="BC561" i="1"/>
  <c r="AO561" i="1"/>
  <c r="BG559" i="1"/>
  <c r="AS559" i="1"/>
  <c r="CO574" i="1"/>
  <c r="CK574" i="1"/>
  <c r="BQ574" i="1"/>
  <c r="DE573" i="1"/>
  <c r="DI613" i="1"/>
  <c r="CN598" i="1"/>
  <c r="AN598" i="1"/>
  <c r="CR598" i="1"/>
  <c r="CF608" i="1"/>
  <c r="G596" i="1"/>
  <c r="CK589" i="1"/>
  <c r="AK580" i="1"/>
  <c r="BK603" i="1"/>
  <c r="BL589" i="1"/>
  <c r="CY582" i="1"/>
  <c r="AN592" i="1"/>
  <c r="CR582" i="1"/>
  <c r="AA592" i="1"/>
  <c r="X593" i="1"/>
  <c r="BL583" i="1"/>
  <c r="CY592" i="1"/>
  <c r="AY583" i="1"/>
  <c r="H586" i="1"/>
  <c r="AU595" i="1"/>
  <c r="CY585" i="1"/>
  <c r="CL584" i="1"/>
  <c r="AD577" i="1"/>
  <c r="CH567" i="1"/>
  <c r="DC602" i="1"/>
  <c r="DD588" i="1"/>
  <c r="CI582" i="1"/>
  <c r="X592" i="1"/>
  <c r="CB582" i="1"/>
  <c r="K592" i="1"/>
  <c r="CV592" i="1"/>
  <c r="AV583" i="1"/>
  <c r="CI592" i="1"/>
  <c r="AI583" i="1"/>
  <c r="CV585" i="1"/>
  <c r="AE595" i="1"/>
  <c r="CI585" i="1"/>
  <c r="Z584" i="1"/>
  <c r="N577" i="1"/>
  <c r="BR567" i="1"/>
  <c r="AQ602" i="1"/>
  <c r="AR588" i="1"/>
  <c r="BS582" i="1"/>
  <c r="H592" i="1"/>
  <c r="BL582" i="1"/>
  <c r="CY591" i="1"/>
  <c r="CF592" i="1"/>
  <c r="AF583" i="1"/>
  <c r="BS592" i="1"/>
  <c r="CB617" i="1"/>
  <c r="AI605" i="1"/>
  <c r="DH599" i="1"/>
  <c r="CZ597" i="1"/>
  <c r="AE612" i="1"/>
  <c r="CT613" i="1"/>
  <c r="CV598" i="1"/>
  <c r="CF604" i="1"/>
  <c r="R607" i="1"/>
  <c r="BS600" i="1"/>
  <c r="AY600" i="1"/>
  <c r="AZ586" i="1"/>
  <c r="AS600" i="1"/>
  <c r="I593" i="1"/>
  <c r="CS592" i="1"/>
  <c r="BC594" i="1"/>
  <c r="P601" i="1"/>
  <c r="BH597" i="1"/>
  <c r="BX592" i="1"/>
  <c r="AX617" i="1"/>
  <c r="X610" i="1"/>
  <c r="X587" i="1"/>
  <c r="BS591" i="1"/>
  <c r="CQ582" i="1"/>
  <c r="AX582" i="1"/>
  <c r="BP586" i="1"/>
  <c r="BC591" i="1"/>
  <c r="CA582" i="1"/>
  <c r="CP581" i="1"/>
  <c r="DH585" i="1"/>
  <c r="AM591" i="1"/>
  <c r="CY584" i="1"/>
  <c r="BZ598" i="1"/>
  <c r="CQ583" i="1"/>
  <c r="R579" i="1"/>
  <c r="V575" i="1"/>
  <c r="BP605" i="1"/>
  <c r="CH602" i="1"/>
  <c r="BX580" i="1"/>
  <c r="CA580" i="1"/>
  <c r="P590" i="1"/>
  <c r="BT580" i="1"/>
  <c r="DG589" i="1"/>
  <c r="CN590" i="1"/>
  <c r="AN581" i="1"/>
  <c r="CA590" i="1"/>
  <c r="BX593" i="1"/>
  <c r="CN583" i="1"/>
  <c r="W593" i="1"/>
  <c r="CA583" i="1"/>
  <c r="DF578" i="1"/>
  <c r="F575" i="1"/>
  <c r="AP602" i="1"/>
  <c r="DE574" i="1"/>
  <c r="BR601" i="1"/>
  <c r="DF574" i="1"/>
  <c r="CH601" i="1"/>
  <c r="DA574" i="1"/>
  <c r="F601" i="1"/>
  <c r="CL574" i="1"/>
  <c r="CL598" i="1"/>
  <c r="CG574" i="1"/>
  <c r="CI583" i="1"/>
  <c r="V574" i="1"/>
  <c r="AT594" i="1"/>
  <c r="Q574" i="1"/>
  <c r="Z594" i="1"/>
  <c r="AF575" i="1"/>
  <c r="Z595" i="1"/>
  <c r="CU560" i="1"/>
  <c r="J595" i="1"/>
  <c r="CT560" i="1"/>
  <c r="R593" i="1"/>
  <c r="CG560" i="1"/>
  <c r="BJ591" i="1"/>
  <c r="AJ573" i="1"/>
  <c r="DC575" i="1"/>
  <c r="CY558" i="1"/>
  <c r="CY575" i="1"/>
  <c r="CX558" i="1"/>
  <c r="AY575" i="1"/>
  <c r="CK558" i="1"/>
  <c r="DF587" i="1"/>
  <c r="BH572" i="1"/>
  <c r="CQ572" i="1"/>
  <c r="AC574" i="1"/>
  <c r="K584" i="1"/>
  <c r="AD574" i="1"/>
  <c r="BZ594" i="1"/>
  <c r="Y574" i="1"/>
  <c r="AM583" i="1"/>
  <c r="J574" i="1"/>
  <c r="DB593" i="1"/>
  <c r="DI573" i="1"/>
  <c r="BW581" i="1"/>
  <c r="AX573" i="1"/>
  <c r="AX591" i="1"/>
  <c r="AS573" i="1"/>
  <c r="AD591" i="1"/>
  <c r="BH574" i="1"/>
  <c r="AP583" i="1"/>
  <c r="S560" i="1"/>
  <c r="Z583" i="1"/>
  <c r="R560" i="1"/>
  <c r="AH581" i="1"/>
  <c r="DI559" i="1"/>
  <c r="R588" i="1"/>
  <c r="BL572" i="1"/>
  <c r="DG572" i="1"/>
  <c r="W558" i="1"/>
  <c r="DC572" i="1"/>
  <c r="V558" i="1"/>
  <c r="AU620" i="1"/>
  <c r="X618" i="1"/>
  <c r="DG605" i="1"/>
  <c r="CD613" i="1"/>
  <c r="AN599" i="1"/>
  <c r="DE595" i="1"/>
  <c r="BT602" i="1"/>
  <c r="BT610" i="1"/>
  <c r="H599" i="1"/>
  <c r="BI581" i="1"/>
  <c r="AJ599" i="1"/>
  <c r="AB594" i="1"/>
  <c r="AZ607" i="1"/>
  <c r="CY596" i="1"/>
  <c r="CE596" i="1"/>
  <c r="CF582" i="1"/>
  <c r="W603" i="1"/>
  <c r="CX603" i="1"/>
  <c r="V603" i="1"/>
  <c r="BV604" i="1"/>
  <c r="BK602" i="1"/>
  <c r="DA594" i="1"/>
  <c r="L611" i="1"/>
  <c r="DC589" i="1"/>
  <c r="DC582" i="1"/>
  <c r="AO594" i="1"/>
  <c r="CB608" i="1"/>
  <c r="CM589" i="1"/>
  <c r="CM582" i="1"/>
  <c r="CG593" i="1"/>
  <c r="AN606" i="1"/>
  <c r="BW589" i="1"/>
  <c r="DH580" i="1"/>
  <c r="BS585" i="1"/>
  <c r="BR583" i="1"/>
  <c r="DB576" i="1"/>
  <c r="BB567" i="1"/>
  <c r="CI601" i="1"/>
  <c r="CJ587" i="1"/>
  <c r="BC582" i="1"/>
  <c r="CV591" i="1"/>
  <c r="AV582" i="1"/>
  <c r="CI591" i="1"/>
  <c r="BP592" i="1"/>
  <c r="P583" i="1"/>
  <c r="BC592" i="1"/>
  <c r="DG582" i="1"/>
  <c r="BP585" i="1"/>
  <c r="DC594" i="1"/>
  <c r="BC585" i="1"/>
  <c r="F583" i="1"/>
  <c r="CL576" i="1"/>
  <c r="AL567" i="1"/>
  <c r="CG576" i="1"/>
  <c r="AG567" i="1"/>
  <c r="CH576" i="1"/>
  <c r="AH567" i="1"/>
  <c r="CC576" i="1"/>
  <c r="AC567" i="1"/>
  <c r="BN576" i="1"/>
  <c r="N567" i="1"/>
  <c r="BI576" i="1"/>
  <c r="I567" i="1"/>
  <c r="DB575" i="1"/>
  <c r="BB566" i="1"/>
  <c r="CW575" i="1"/>
  <c r="AW566" i="1"/>
  <c r="H577" i="1"/>
  <c r="BL567" i="1"/>
  <c r="BW562" i="1"/>
  <c r="W553" i="1"/>
  <c r="BV562" i="1"/>
  <c r="V553" i="1"/>
  <c r="BI562" i="1"/>
  <c r="I553" i="1"/>
  <c r="L575" i="1"/>
  <c r="AD592" i="1"/>
  <c r="CA560" i="1"/>
  <c r="N592" i="1"/>
  <c r="BZ560" i="1"/>
  <c r="V590" i="1"/>
  <c r="BM560" i="1"/>
  <c r="CA575" i="1"/>
  <c r="AJ574" i="1"/>
  <c r="DC579" i="1"/>
  <c r="DI575" i="1"/>
  <c r="BI566" i="1"/>
  <c r="F576" i="1"/>
  <c r="BJ566" i="1"/>
  <c r="DE575" i="1"/>
  <c r="BE566" i="1"/>
  <c r="CP575" i="1"/>
  <c r="AP566" i="1"/>
  <c r="CK575" i="1"/>
  <c r="AK566" i="1"/>
  <c r="Z575" i="1"/>
  <c r="DD607" i="1"/>
  <c r="U575" i="1"/>
  <c r="DH604" i="1"/>
  <c r="AJ576" i="1"/>
  <c r="CN566" i="1"/>
  <c r="CY561" i="1"/>
  <c r="AY552" i="1"/>
  <c r="CX561" i="1"/>
  <c r="AX552" i="1"/>
  <c r="CK561" i="1"/>
  <c r="AK552" i="1"/>
  <c r="AN574" i="1"/>
  <c r="AT580" i="1"/>
  <c r="DC559" i="1"/>
  <c r="AD580" i="1"/>
  <c r="DB559" i="1"/>
  <c r="BO579" i="1"/>
  <c r="AM606" i="1"/>
  <c r="BC620" i="1"/>
  <c r="X603" i="1"/>
  <c r="DB605" i="1"/>
  <c r="BD622" i="1"/>
  <c r="CJ601" i="1"/>
  <c r="AF600" i="1"/>
  <c r="CZ596" i="1"/>
  <c r="CN613" i="1"/>
  <c r="T608" i="1"/>
  <c r="AV607" i="1"/>
  <c r="X591" i="1"/>
  <c r="BF607" i="1"/>
  <c r="AL602" i="1"/>
  <c r="BN601" i="1"/>
  <c r="AR580" i="1"/>
  <c r="CX598" i="1"/>
  <c r="CV595" i="1"/>
  <c r="BT595" i="1"/>
  <c r="BA609" i="1"/>
  <c r="W600" i="1"/>
  <c r="BA585" i="1"/>
  <c r="DF596" i="1"/>
  <c r="BO587" i="1"/>
  <c r="BO580" i="1"/>
  <c r="CS584" i="1"/>
  <c r="BZ596" i="1"/>
  <c r="AY587" i="1"/>
  <c r="AY580" i="1"/>
  <c r="AG584" i="1"/>
  <c r="AT596" i="1"/>
  <c r="AI587" i="1"/>
  <c r="AV580" i="1"/>
  <c r="G585" i="1"/>
  <c r="AD581" i="1"/>
  <c r="AP576" i="1"/>
  <c r="CT566" i="1"/>
  <c r="AU599" i="1"/>
  <c r="AV585" i="1"/>
  <c r="CU581" i="1"/>
  <c r="AJ591" i="1"/>
  <c r="CN581" i="1"/>
  <c r="W591" i="1"/>
  <c r="DH591" i="1"/>
  <c r="BH582" i="1"/>
  <c r="CU591" i="1"/>
  <c r="T597" i="1"/>
  <c r="DH584" i="1"/>
  <c r="AQ594" i="1"/>
  <c r="CU584" i="1"/>
  <c r="BV580" i="1"/>
  <c r="Z576" i="1"/>
  <c r="CD566" i="1"/>
  <c r="U576" i="1"/>
  <c r="BY566" i="1"/>
  <c r="V576" i="1"/>
  <c r="BZ566" i="1"/>
  <c r="Q576" i="1"/>
  <c r="BU566" i="1"/>
  <c r="DF575" i="1"/>
  <c r="BF566" i="1"/>
  <c r="DA575" i="1"/>
  <c r="BA566" i="1"/>
  <c r="AP575" i="1"/>
  <c r="CT565" i="1"/>
  <c r="AK575" i="1"/>
  <c r="CO565" i="1"/>
  <c r="AZ576" i="1"/>
  <c r="DD566" i="1"/>
  <c r="K562" i="1"/>
  <c r="BO552" i="1"/>
  <c r="J562" i="1"/>
  <c r="BN552" i="1"/>
  <c r="DA561" i="1"/>
  <c r="BA552" i="1"/>
  <c r="BD574" i="1"/>
  <c r="CH582" i="1"/>
  <c r="O560" i="1"/>
  <c r="BR582" i="1"/>
  <c r="N560" i="1"/>
  <c r="BZ580" i="1"/>
  <c r="DE559" i="1"/>
  <c r="CH593" i="1"/>
  <c r="CB573" i="1"/>
  <c r="BO577" i="1"/>
  <c r="AW575" i="1"/>
  <c r="DA565" i="1"/>
  <c r="AX575" i="1"/>
  <c r="DB565" i="1"/>
  <c r="AS575" i="1"/>
  <c r="CW565" i="1"/>
  <c r="AD575" i="1"/>
  <c r="AN610" i="1"/>
  <c r="Y575" i="1"/>
  <c r="AR607" i="1"/>
  <c r="BR574" i="1"/>
  <c r="BP596" i="1"/>
  <c r="BM574" i="1"/>
  <c r="AB596" i="1"/>
  <c r="CB575" i="1"/>
  <c r="AB566" i="1"/>
  <c r="AM561" i="1"/>
  <c r="CQ551" i="1"/>
  <c r="AL561" i="1"/>
  <c r="CP551" i="1"/>
  <c r="Y561" i="1"/>
  <c r="CX593" i="1"/>
  <c r="CF573" i="1"/>
  <c r="CE577" i="1"/>
  <c r="AQ559" i="1"/>
  <c r="CA577" i="1"/>
  <c r="AP559" i="1"/>
  <c r="AA577" i="1"/>
  <c r="CH613" i="1"/>
  <c r="CM605" i="1"/>
  <c r="F609" i="1"/>
  <c r="CG610" i="1"/>
  <c r="X616" i="1"/>
  <c r="AR598" i="1"/>
  <c r="CV597" i="1"/>
  <c r="DD597" i="1"/>
  <c r="K605" i="1"/>
  <c r="DG602" i="1"/>
  <c r="CM602" i="1"/>
  <c r="CN588" i="1"/>
  <c r="BA607" i="1"/>
  <c r="AW595" i="1"/>
  <c r="AC595" i="1"/>
  <c r="BJ598" i="1"/>
  <c r="BA587" i="1"/>
  <c r="AZ593" i="1"/>
  <c r="AF593" i="1"/>
  <c r="CO604" i="1"/>
  <c r="CM597" i="1"/>
  <c r="CV594" i="1"/>
  <c r="DG593" i="1"/>
  <c r="AA585" i="1"/>
  <c r="CX591" i="1"/>
  <c r="AJ594" i="1"/>
  <c r="CQ593" i="1"/>
  <c r="K585" i="1"/>
  <c r="AL591" i="1"/>
  <c r="CB593" i="1"/>
  <c r="CA593" i="1"/>
  <c r="BG585" i="1"/>
  <c r="CM586" i="1"/>
  <c r="M578" i="1"/>
  <c r="BP583" i="1"/>
  <c r="BW593" i="1"/>
  <c r="BW586" i="1"/>
  <c r="DA577" i="1"/>
  <c r="CW577" i="1"/>
  <c r="CC577" i="1"/>
  <c r="M577" i="1"/>
  <c r="CQ563" i="1"/>
  <c r="CC563" i="1"/>
  <c r="CU561" i="1"/>
  <c r="CG561" i="1"/>
  <c r="Y577" i="1"/>
  <c r="U577" i="1"/>
  <c r="DE576" i="1"/>
  <c r="AO576" i="1"/>
  <c r="O563" i="1"/>
  <c r="DE562" i="1"/>
  <c r="S561" i="1"/>
  <c r="U565" i="1"/>
  <c r="AK553" i="1"/>
  <c r="BH576" i="1"/>
  <c r="H567" i="1"/>
  <c r="S562" i="1"/>
  <c r="CG568" i="1"/>
  <c r="AD578" i="1"/>
  <c r="CH568" i="1"/>
  <c r="Y578" i="1"/>
  <c r="CC568" i="1"/>
  <c r="J578" i="1"/>
  <c r="BN568" i="1"/>
  <c r="DI577" i="1"/>
  <c r="BI568" i="1"/>
  <c r="AX577" i="1"/>
  <c r="DB567" i="1"/>
  <c r="AS577" i="1"/>
  <c r="CW567" i="1"/>
  <c r="BH578" i="1"/>
  <c r="H569" i="1"/>
  <c r="S564" i="1"/>
  <c r="BW554" i="1"/>
  <c r="R564" i="1"/>
  <c r="BV554" i="1"/>
  <c r="DI563" i="1"/>
  <c r="BI554" i="1"/>
  <c r="BL576" i="1"/>
  <c r="L567" i="1"/>
  <c r="W562" i="1"/>
  <c r="CA552" i="1"/>
  <c r="V562" i="1"/>
  <c r="BZ552" i="1"/>
  <c r="I562" i="1"/>
  <c r="BM552" i="1"/>
  <c r="CJ575" i="1"/>
  <c r="AJ566" i="1"/>
  <c r="BE577" i="1"/>
  <c r="DI567" i="1"/>
  <c r="BF577" i="1"/>
  <c r="F568" i="1"/>
  <c r="BA577" i="1"/>
  <c r="DE567" i="1"/>
  <c r="AL577" i="1"/>
  <c r="CP567" i="1"/>
  <c r="AG577" i="1"/>
  <c r="CK567" i="1"/>
  <c r="BZ576" i="1"/>
  <c r="Z567" i="1"/>
  <c r="BU576" i="1"/>
  <c r="U567" i="1"/>
  <c r="CJ577" i="1"/>
  <c r="AJ568" i="1"/>
  <c r="AU563" i="1"/>
  <c r="CY553" i="1"/>
  <c r="CD579" i="1"/>
  <c r="H583" i="1"/>
  <c r="BO590" i="1"/>
  <c r="CR594" i="1"/>
  <c r="BN579" i="1"/>
  <c r="M566" i="1"/>
  <c r="I566" i="1"/>
  <c r="CS565" i="1"/>
  <c r="BB597" i="1"/>
  <c r="DG551" i="1"/>
  <c r="BV594" i="1"/>
  <c r="AI578" i="1"/>
  <c r="BF590" i="1"/>
  <c r="AD599" i="1"/>
  <c r="BV598" i="1"/>
  <c r="W583" i="1"/>
  <c r="BR593" i="1"/>
  <c r="BZ592" i="1"/>
  <c r="AH611" i="1"/>
  <c r="CT618" i="1"/>
  <c r="CA600" i="1"/>
  <c r="CQ597" i="1"/>
  <c r="S603" i="1"/>
  <c r="CH598" i="1"/>
  <c r="AW587" i="1"/>
  <c r="BN598" i="1"/>
  <c r="AT600" i="1"/>
  <c r="L580" i="1"/>
  <c r="BK580" i="1"/>
  <c r="DD589" i="1"/>
  <c r="BD580" i="1"/>
  <c r="CQ589" i="1"/>
  <c r="BX590" i="1"/>
  <c r="X581" i="1"/>
  <c r="BK590" i="1"/>
  <c r="AR593" i="1"/>
  <c r="BX583" i="1"/>
  <c r="G593" i="1"/>
  <c r="BK583" i="1"/>
  <c r="CP578" i="1"/>
  <c r="CT574" i="1"/>
  <c r="DF599" i="1"/>
  <c r="F598" i="1"/>
  <c r="BL604" i="1"/>
  <c r="AU580" i="1"/>
  <c r="CN589" i="1"/>
  <c r="AN580" i="1"/>
  <c r="CA589" i="1"/>
  <c r="BH590" i="1"/>
  <c r="H581" i="1"/>
  <c r="AU590" i="1"/>
  <c r="L593" i="1"/>
  <c r="BH583" i="1"/>
  <c r="CU592" i="1"/>
  <c r="AU583" i="1"/>
  <c r="BZ578" i="1"/>
  <c r="CD574" i="1"/>
  <c r="BR597" i="1"/>
  <c r="BF596" i="1"/>
  <c r="N602" i="1"/>
  <c r="AE580" i="1"/>
  <c r="BX589" i="1"/>
  <c r="X580" i="1"/>
  <c r="BK589" i="1"/>
  <c r="AR590" i="1"/>
  <c r="CV580" i="1"/>
  <c r="AE590" i="1"/>
  <c r="G609" i="1"/>
  <c r="DI602" i="1"/>
  <c r="AR599" i="1"/>
  <c r="AZ597" i="1"/>
  <c r="BN614" i="1"/>
  <c r="BM610" i="1"/>
  <c r="CU597" i="1"/>
  <c r="AD604" i="1"/>
  <c r="BL609" i="1"/>
  <c r="AS594" i="1"/>
  <c r="Y594" i="1"/>
  <c r="CT595" i="1"/>
  <c r="BI588" i="1"/>
  <c r="BM583" i="1"/>
  <c r="AS583" i="1"/>
  <c r="Q600" i="1"/>
  <c r="AQ597" i="1"/>
  <c r="W597" i="1"/>
  <c r="X583" i="1"/>
  <c r="CJ599" i="1"/>
  <c r="Y589" i="1"/>
  <c r="AM582" i="1"/>
  <c r="AZ592" i="1"/>
  <c r="AZ585" i="1"/>
  <c r="BV576" i="1"/>
  <c r="W582" i="1"/>
  <c r="AJ592" i="1"/>
  <c r="AJ585" i="1"/>
  <c r="BF576" i="1"/>
  <c r="G582" i="1"/>
  <c r="T592" i="1"/>
  <c r="AF592" i="1"/>
  <c r="S592" i="1"/>
  <c r="BC581" i="1"/>
  <c r="AQ580" i="1"/>
  <c r="CL572" i="1"/>
  <c r="CX588" i="1"/>
  <c r="AW588" i="1"/>
  <c r="CM591" i="1"/>
  <c r="AP592" i="1"/>
  <c r="CF587" i="1"/>
  <c r="BN599" i="1"/>
  <c r="BS587" i="1"/>
  <c r="AZ588" i="1"/>
  <c r="AT602" i="1"/>
  <c r="AM588" i="1"/>
  <c r="CZ590" i="1"/>
  <c r="AZ581" i="1"/>
  <c r="CM590" i="1"/>
  <c r="AM581" i="1"/>
  <c r="K580" i="1"/>
  <c r="BV572" i="1"/>
  <c r="AL588" i="1"/>
  <c r="BQ572" i="1"/>
  <c r="G580" i="1"/>
  <c r="BR572" i="1"/>
  <c r="V588" i="1"/>
  <c r="BM572" i="1"/>
  <c r="AL601" i="1"/>
  <c r="AX572" i="1"/>
  <c r="AX587" i="1"/>
  <c r="AS572" i="1"/>
  <c r="BV592" i="1"/>
  <c r="CL571" i="1"/>
  <c r="CX584" i="1"/>
  <c r="CG571" i="1"/>
  <c r="BB589" i="1"/>
  <c r="CV572" i="1"/>
  <c r="AM574" i="1"/>
  <c r="BG558" i="1"/>
  <c r="AI574" i="1"/>
  <c r="BF558" i="1"/>
  <c r="CM573" i="1"/>
  <c r="AS558" i="1"/>
  <c r="BR581" i="1"/>
  <c r="CZ570" i="1"/>
  <c r="BC566" i="1"/>
  <c r="BK556" i="1"/>
  <c r="AY566" i="1"/>
  <c r="BJ556" i="1"/>
  <c r="DG565" i="1"/>
  <c r="AW556" i="1"/>
  <c r="BT579" i="1"/>
  <c r="T570" i="1"/>
  <c r="AE565" i="1"/>
  <c r="CS571" i="1"/>
  <c r="AD593" i="1"/>
  <c r="CT571" i="1"/>
  <c r="Z585" i="1"/>
  <c r="CO571" i="1"/>
  <c r="BR591" i="1"/>
  <c r="BZ571" i="1"/>
  <c r="BB584" i="1"/>
  <c r="BU571" i="1"/>
  <c r="CD586" i="1"/>
  <c r="J571" i="1"/>
  <c r="DB581" i="1"/>
  <c r="DI570" i="1"/>
  <c r="BF586" i="1"/>
  <c r="T572" i="1"/>
  <c r="AQ571" i="1"/>
  <c r="CI557" i="1"/>
  <c r="AM571" i="1"/>
  <c r="CH557" i="1"/>
  <c r="CQ570" i="1"/>
  <c r="BU557" i="1"/>
  <c r="BX579" i="1"/>
  <c r="X570" i="1"/>
  <c r="AI565" i="1"/>
  <c r="CM555" i="1"/>
  <c r="AH565" i="1"/>
  <c r="CL555" i="1"/>
  <c r="P619" i="1"/>
  <c r="AM607" i="1"/>
  <c r="DF604" i="1"/>
  <c r="AL615" i="1"/>
  <c r="CE611" i="1"/>
  <c r="AD608" i="1"/>
  <c r="BX606" i="1"/>
  <c r="S602" i="1"/>
  <c r="N613" i="1"/>
  <c r="AE598" i="1"/>
  <c r="K598" i="1"/>
  <c r="L584" i="1"/>
  <c r="CV601" i="1"/>
  <c r="BY590" i="1"/>
  <c r="BE590" i="1"/>
  <c r="AL613" i="1"/>
  <c r="BP604" i="1"/>
  <c r="AI604" i="1"/>
  <c r="AJ590" i="1"/>
  <c r="DI610" i="1"/>
  <c r="CT596" i="1"/>
  <c r="AP597" i="1"/>
  <c r="AE589" i="1"/>
  <c r="BL592" i="1"/>
  <c r="AA584" i="1"/>
  <c r="V596" i="1"/>
  <c r="O589" i="1"/>
  <c r="AV592" i="1"/>
  <c r="BS583" i="1"/>
  <c r="AQ595" i="1"/>
  <c r="DC588" i="1"/>
  <c r="S583" i="1"/>
  <c r="O595" i="1"/>
  <c r="AE583" i="1"/>
  <c r="BJ578" i="1"/>
  <c r="BN574" i="1"/>
  <c r="AJ596" i="1"/>
  <c r="BI595" i="1"/>
  <c r="CD599" i="1"/>
  <c r="O580" i="1"/>
  <c r="BH589" i="1"/>
  <c r="R619" i="1"/>
  <c r="AU589" i="1"/>
  <c r="AB590" i="1"/>
  <c r="CF580" i="1"/>
  <c r="O590" i="1"/>
  <c r="CB592" i="1"/>
  <c r="AB583" i="1"/>
  <c r="BO592" i="1"/>
  <c r="O583" i="1"/>
  <c r="AT578" i="1"/>
  <c r="AX574" i="1"/>
  <c r="AX595" i="1"/>
  <c r="AS574" i="1"/>
  <c r="AD595" i="1"/>
  <c r="AT574" i="1"/>
  <c r="AH595" i="1"/>
  <c r="AO574" i="1"/>
  <c r="CY583" i="1"/>
  <c r="Z574" i="1"/>
  <c r="BJ594" i="1"/>
  <c r="U574" i="1"/>
  <c r="DC581" i="1"/>
  <c r="BN573" i="1"/>
  <c r="F592" i="1"/>
  <c r="BI573" i="1"/>
  <c r="CP591" i="1"/>
  <c r="BX574" i="1"/>
  <c r="CD585" i="1"/>
  <c r="AI560" i="1"/>
  <c r="BN585" i="1"/>
  <c r="AH560" i="1"/>
  <c r="BV583" i="1"/>
  <c r="U560" i="1"/>
  <c r="CD588" i="1"/>
  <c r="CB572" i="1"/>
  <c r="BO573" i="1"/>
  <c r="AM558" i="1"/>
  <c r="BK573" i="1"/>
  <c r="AL558" i="1"/>
  <c r="K573" i="1"/>
  <c r="Y558" i="1"/>
  <c r="BR585" i="1"/>
  <c r="CZ571" i="1"/>
  <c r="BC570" i="1"/>
  <c r="BU573" i="1"/>
  <c r="O582" i="1"/>
  <c r="BV573" i="1"/>
  <c r="AL592" i="1"/>
  <c r="BQ573" i="1"/>
  <c r="CA581" i="1"/>
  <c r="BB573" i="1"/>
  <c r="BN591" i="1"/>
  <c r="AW573" i="1"/>
  <c r="BC580" i="1"/>
  <c r="CP572" i="1"/>
  <c r="J589" i="1"/>
  <c r="CK572" i="1"/>
  <c r="DB594" i="1"/>
  <c r="CZ573" i="1"/>
  <c r="BC578" i="1"/>
  <c r="BK559" i="1"/>
  <c r="AY578" i="1"/>
  <c r="BJ559" i="1"/>
  <c r="DC577" i="1"/>
  <c r="AW559" i="1"/>
  <c r="CH585" i="1"/>
  <c r="DD571" i="1"/>
  <c r="BS570" i="1"/>
  <c r="BO557" i="1"/>
  <c r="BO570" i="1"/>
  <c r="BN557" i="1"/>
  <c r="O570" i="1"/>
  <c r="BC611" i="1"/>
  <c r="Z611" i="1"/>
  <c r="DA604" i="1"/>
  <c r="AR608" i="1"/>
  <c r="W611" i="1"/>
  <c r="CT605" i="1"/>
  <c r="BS602" i="1"/>
  <c r="CI599" i="1"/>
  <c r="AB598" i="1"/>
  <c r="CU595" i="1"/>
  <c r="CA595" i="1"/>
  <c r="CB581" i="1"/>
  <c r="AE604" i="1"/>
  <c r="AK588" i="1"/>
  <c r="Q588" i="1"/>
  <c r="DE606" i="1"/>
  <c r="O602" i="1"/>
  <c r="CY601" i="1"/>
  <c r="CZ587" i="1"/>
  <c r="DA603" i="1"/>
  <c r="DA593" i="1"/>
  <c r="AM590" i="1"/>
  <c r="CU586" i="1"/>
  <c r="X590" i="1"/>
  <c r="AT593" i="1"/>
  <c r="G590" i="1"/>
  <c r="CE586" i="1"/>
  <c r="H590" i="1"/>
  <c r="Z592" i="1"/>
  <c r="CE589" i="1"/>
  <c r="BO586" i="1"/>
  <c r="BK582" i="1"/>
  <c r="BG594" i="1"/>
  <c r="BW582" i="1"/>
  <c r="G583" i="1"/>
  <c r="DF573" i="1"/>
  <c r="BV593" i="1"/>
  <c r="U593" i="1"/>
  <c r="CI594" i="1"/>
  <c r="BJ599" i="1"/>
  <c r="CZ588" i="1"/>
  <c r="AL604" i="1"/>
  <c r="CM588" i="1"/>
  <c r="BT589" i="1"/>
  <c r="T580" i="1"/>
  <c r="BG589" i="1"/>
  <c r="P592" i="1"/>
  <c r="BT582" i="1"/>
  <c r="DG591" i="1"/>
  <c r="BG582" i="1"/>
  <c r="AY582" i="1"/>
  <c r="CP573" i="1"/>
  <c r="J593" i="1"/>
  <c r="CK573" i="1"/>
  <c r="AU582" i="1"/>
  <c r="CL573" i="1"/>
  <c r="CX592" i="1"/>
  <c r="CG573" i="1"/>
  <c r="DG581" i="1"/>
  <c r="BR573" i="1"/>
  <c r="V592" i="1"/>
  <c r="BM573" i="1"/>
  <c r="CI580" i="1"/>
  <c r="DF572" i="1"/>
  <c r="BV589" i="1"/>
  <c r="DA572" i="1"/>
  <c r="J598" i="1"/>
  <c r="L574" i="1"/>
  <c r="K579" i="1"/>
  <c r="CA559" i="1"/>
  <c r="G579" i="1"/>
  <c r="BZ559" i="1"/>
  <c r="BK578" i="1"/>
  <c r="BM559" i="1"/>
  <c r="AP586" i="1"/>
  <c r="P572" i="1"/>
  <c r="AA571" i="1"/>
  <c r="CE557" i="1"/>
  <c r="W571" i="1"/>
  <c r="CD557" i="1"/>
  <c r="CA570" i="1"/>
  <c r="BQ557" i="1"/>
  <c r="AD583" i="1"/>
  <c r="AN571" i="1"/>
  <c r="O568" i="1"/>
  <c r="I573" i="1"/>
  <c r="CY580" i="1"/>
  <c r="J573" i="1"/>
  <c r="DB589" i="1"/>
  <c r="DI572" i="1"/>
  <c r="BG580" i="1"/>
  <c r="CT572" i="1"/>
  <c r="Z589" i="1"/>
  <c r="CO572" i="1"/>
  <c r="BX596" i="1"/>
  <c r="AD572" i="1"/>
  <c r="BZ586" i="1"/>
  <c r="Y572" i="1"/>
  <c r="BZ591" i="1"/>
  <c r="AN573" i="1"/>
  <c r="O576" i="1"/>
  <c r="DC558" i="1"/>
  <c r="K576" i="1"/>
  <c r="DB558" i="1"/>
  <c r="BO575" i="1"/>
  <c r="CO558" i="1"/>
  <c r="AT583" i="1"/>
  <c r="AR571" i="1"/>
  <c r="AE568" i="1"/>
  <c r="DG556" i="1"/>
  <c r="AA568" i="1"/>
  <c r="DF556" i="1"/>
  <c r="CE567" i="1"/>
  <c r="AI616" i="1"/>
  <c r="M610" i="1"/>
  <c r="CS597" i="1"/>
  <c r="DA595" i="1"/>
  <c r="BF609" i="1"/>
  <c r="N617" i="1"/>
  <c r="AE600" i="1"/>
  <c r="AU597" i="1"/>
  <c r="BF616" i="1"/>
  <c r="V598" i="1"/>
  <c r="AX597" i="1"/>
  <c r="CT603" i="1"/>
  <c r="Z603" i="1"/>
  <c r="DA585" i="1"/>
  <c r="CG585" i="1"/>
  <c r="CB605" i="1"/>
  <c r="CE599" i="1"/>
  <c r="BK599" i="1"/>
  <c r="BL585" i="1"/>
  <c r="BD608" i="1"/>
  <c r="BM591" i="1"/>
  <c r="BO585" i="1"/>
  <c r="BG584" i="1"/>
  <c r="CN587" i="1"/>
  <c r="AD579" i="1"/>
  <c r="AI585" i="1"/>
  <c r="AQ584" i="1"/>
  <c r="BX587" i="1"/>
  <c r="J579" i="1"/>
  <c r="DG584" i="1"/>
  <c r="BJ597" i="1"/>
  <c r="CR592" i="1"/>
  <c r="AP588" i="1"/>
  <c r="BH592" i="1"/>
  <c r="DC592" i="1"/>
  <c r="W584" i="1"/>
  <c r="CH587" i="1"/>
  <c r="BA568" i="1"/>
  <c r="AW568" i="1"/>
  <c r="AC568" i="1"/>
  <c r="BQ567" i="1"/>
  <c r="AQ554" i="1"/>
  <c r="AC554" i="1"/>
  <c r="AU552" i="1"/>
  <c r="AG552" i="1"/>
  <c r="CC567" i="1"/>
  <c r="BY567" i="1"/>
  <c r="BE567" i="1"/>
  <c r="CS566" i="1"/>
  <c r="BS553" i="1"/>
  <c r="BE553" i="1"/>
  <c r="BW551" i="1"/>
  <c r="AW560" i="1"/>
  <c r="AM573" i="1"/>
  <c r="T574" i="1"/>
  <c r="AQ579" i="1"/>
  <c r="CS575" i="1"/>
  <c r="AS566" i="1"/>
  <c r="CT575" i="1"/>
  <c r="AT566" i="1"/>
  <c r="CO575" i="1"/>
  <c r="AO566" i="1"/>
  <c r="BZ575" i="1"/>
  <c r="Z566" i="1"/>
  <c r="BU575" i="1"/>
  <c r="U566" i="1"/>
  <c r="J575" i="1"/>
  <c r="DB602" i="1"/>
  <c r="DI574" i="1"/>
  <c r="Z602" i="1"/>
  <c r="T576" i="1"/>
  <c r="BX566" i="1"/>
  <c r="CI561" i="1"/>
  <c r="AI552" i="1"/>
  <c r="CH561" i="1"/>
  <c r="AH552" i="1"/>
  <c r="BU561" i="1"/>
  <c r="U552" i="1"/>
  <c r="X574" i="1"/>
  <c r="BG579" i="1"/>
  <c r="CM559" i="1"/>
  <c r="BC579" i="1"/>
  <c r="CL559" i="1"/>
  <c r="DG578" i="1"/>
  <c r="BY559" i="1"/>
  <c r="R592" i="1"/>
  <c r="AV573" i="1"/>
  <c r="AU576" i="1"/>
  <c r="Q575" i="1"/>
  <c r="DF603" i="1"/>
  <c r="R575" i="1"/>
  <c r="R604" i="1"/>
  <c r="M575" i="1"/>
  <c r="AT603" i="1"/>
  <c r="DB574" i="1"/>
  <c r="V601" i="1"/>
  <c r="CW574" i="1"/>
  <c r="AX600" i="1"/>
  <c r="AL574" i="1"/>
  <c r="DF594" i="1"/>
  <c r="AG574" i="1"/>
  <c r="CL594" i="1"/>
  <c r="AV575" i="1"/>
  <c r="BB601" i="1"/>
  <c r="G561" i="1"/>
  <c r="CT600" i="1"/>
  <c r="CH575" i="1"/>
  <c r="AI581" i="1"/>
  <c r="AV591" i="1"/>
  <c r="AV584" i="1"/>
  <c r="BR575" i="1"/>
  <c r="BN575" i="1"/>
  <c r="AT575" i="1"/>
  <c r="CH574" i="1"/>
  <c r="CR575" i="1"/>
  <c r="BB561" i="1"/>
  <c r="CV573" i="1"/>
  <c r="BF559" i="1"/>
  <c r="P573" i="1"/>
  <c r="CP574" i="1"/>
  <c r="BV574" i="1"/>
  <c r="F574" i="1"/>
  <c r="P575" i="1"/>
  <c r="CD560" i="1"/>
  <c r="CE560" i="1"/>
  <c r="T573" i="1"/>
  <c r="CH558" i="1"/>
  <c r="BA557" i="1"/>
  <c r="BV582" i="1"/>
  <c r="X571" i="1"/>
  <c r="BG567" i="1"/>
  <c r="CW572" i="1"/>
  <c r="BS580" i="1"/>
  <c r="CX572" i="1"/>
  <c r="AP589" i="1"/>
  <c r="CS572" i="1"/>
  <c r="AA580" i="1"/>
  <c r="CD572" i="1"/>
  <c r="BR588" i="1"/>
  <c r="BY572" i="1"/>
  <c r="F595" i="1"/>
  <c r="N572" i="1"/>
  <c r="N586" i="1"/>
  <c r="I572" i="1"/>
  <c r="BK581" i="1"/>
  <c r="DG592" i="1"/>
  <c r="AA588" i="1"/>
  <c r="BH591" i="1"/>
  <c r="AE581" i="1"/>
  <c r="AA581" i="1"/>
  <c r="CM580" i="1"/>
  <c r="CD600" i="1"/>
  <c r="BN592" i="1"/>
  <c r="BW576" i="1"/>
  <c r="DF583" i="1"/>
  <c r="CM568" i="1"/>
  <c r="CT580" i="1"/>
  <c r="N603" i="1"/>
  <c r="DD596" i="1"/>
  <c r="BB591" i="1"/>
  <c r="CT588" i="1"/>
  <c r="CA573" i="1"/>
  <c r="F581" i="1"/>
  <c r="CZ565" i="1"/>
  <c r="AC559" i="1"/>
  <c r="CH589" i="1"/>
  <c r="DD572" i="1"/>
  <c r="BS574" i="1"/>
  <c r="BY574" i="1"/>
  <c r="P597" i="1"/>
  <c r="BZ574" i="1"/>
  <c r="X597" i="1"/>
  <c r="BU574" i="1"/>
  <c r="CN596" i="1"/>
  <c r="BF574" i="1"/>
  <c r="CF595" i="1"/>
  <c r="BA574" i="1"/>
  <c r="BO582" i="1"/>
  <c r="CT573" i="1"/>
  <c r="Z593" i="1"/>
  <c r="CO573" i="1"/>
  <c r="F593" i="1"/>
  <c r="DD574" i="1"/>
  <c r="BB590" i="1"/>
  <c r="BO560" i="1"/>
  <c r="AL590" i="1"/>
  <c r="BN560" i="1"/>
  <c r="AT588" i="1"/>
  <c r="BA560" i="1"/>
  <c r="CX589" i="1"/>
  <c r="DH572" i="1"/>
  <c r="CI574" i="1"/>
  <c r="BS558" i="1"/>
  <c r="CE574" i="1"/>
  <c r="BR558" i="1"/>
  <c r="AE574" i="1"/>
  <c r="BE558" i="1"/>
  <c r="CL586" i="1"/>
  <c r="AB572" i="1"/>
  <c r="BW571" i="1"/>
  <c r="DA573" i="1"/>
  <c r="CU582" i="1"/>
  <c r="DB573" i="1"/>
  <c r="BF593" i="1"/>
  <c r="CW573" i="1"/>
  <c r="AI582" i="1"/>
  <c r="CH573" i="1"/>
  <c r="CH592" i="1"/>
  <c r="CC573" i="1"/>
  <c r="K581" i="1"/>
  <c r="R573" i="1"/>
  <c r="AD590" i="1"/>
  <c r="M573" i="1"/>
  <c r="J590" i="1"/>
  <c r="AB574" i="1"/>
  <c r="BW579" i="1"/>
  <c r="CQ559" i="1"/>
  <c r="BS579" i="1"/>
  <c r="F571" i="1"/>
  <c r="AD585" i="1"/>
  <c r="BX586" i="1"/>
  <c r="BH607" i="1"/>
  <c r="CT570" i="1"/>
  <c r="CP570" i="1"/>
  <c r="BV570" i="1"/>
  <c r="F570" i="1"/>
  <c r="P571" i="1"/>
  <c r="CD556" i="1"/>
  <c r="T569" i="1"/>
  <c r="CH554" i="1"/>
  <c r="AR568" i="1"/>
  <c r="N570" i="1"/>
  <c r="CX569" i="1"/>
  <c r="AH569" i="1"/>
  <c r="AR570" i="1"/>
  <c r="DF555" i="1"/>
  <c r="AV568" i="1"/>
  <c r="F554" i="1"/>
  <c r="AG556" i="1"/>
  <c r="BD579" i="1"/>
  <c r="DH569" i="1"/>
  <c r="O565" i="1"/>
  <c r="CC571" i="1"/>
  <c r="J592" i="1"/>
  <c r="CD571" i="1"/>
  <c r="BR584" i="1"/>
  <c r="BY571" i="1"/>
  <c r="AX590" i="1"/>
  <c r="BJ571" i="1"/>
  <c r="CT583" i="1"/>
  <c r="BE571" i="1"/>
  <c r="BJ585" i="1"/>
  <c r="CX570" i="1"/>
  <c r="AP581" i="1"/>
  <c r="CS570" i="1"/>
  <c r="CX585" i="1"/>
  <c r="DH571" i="1"/>
  <c r="CI570" i="1"/>
  <c r="BS557" i="1"/>
  <c r="CE570" i="1"/>
  <c r="BR557" i="1"/>
  <c r="AE570" i="1"/>
  <c r="BE557" i="1"/>
  <c r="BH579" i="1"/>
  <c r="H570" i="1"/>
  <c r="S565" i="1"/>
  <c r="BW555" i="1"/>
  <c r="R565" i="1"/>
  <c r="BV555" i="1"/>
  <c r="DI564" i="1"/>
  <c r="BI555" i="1"/>
  <c r="CF578" i="1"/>
  <c r="AF569" i="1"/>
  <c r="AQ564" i="1"/>
  <c r="DE570" i="1"/>
  <c r="R586" i="1"/>
  <c r="DF570" i="1"/>
  <c r="BV581" i="1"/>
  <c r="DA570" i="1"/>
  <c r="BF584" i="1"/>
  <c r="CL570" i="1"/>
  <c r="AK567" i="1"/>
  <c r="K554" i="1"/>
  <c r="DA553" i="1"/>
  <c r="O552" i="1"/>
  <c r="DE551" i="1"/>
  <c r="AW567" i="1"/>
  <c r="AS567" i="1"/>
  <c r="AK574" i="1"/>
  <c r="CD573" i="1"/>
  <c r="BY573" i="1"/>
  <c r="CN574" i="1"/>
  <c r="AY560" i="1"/>
  <c r="BN564" i="1"/>
  <c r="N555" i="1"/>
  <c r="BA564" i="1"/>
  <c r="DE554" i="1"/>
  <c r="DH576" i="1"/>
  <c r="BH567" i="1"/>
  <c r="BS562" i="1"/>
  <c r="S553" i="1"/>
  <c r="BR562" i="1"/>
  <c r="R553" i="1"/>
  <c r="BE562" i="1"/>
  <c r="DI552" i="1"/>
  <c r="AB576" i="1"/>
  <c r="CF566" i="1"/>
  <c r="CQ561" i="1"/>
  <c r="CM552" i="1"/>
  <c r="AH562" i="1"/>
  <c r="CL552" i="1"/>
  <c r="U562" i="1"/>
  <c r="BY552" i="1"/>
  <c r="CV575" i="1"/>
  <c r="AV566" i="1"/>
  <c r="BG561" i="1"/>
  <c r="G552" i="1"/>
  <c r="BF561" i="1"/>
  <c r="F552" i="1"/>
  <c r="AS561" i="1"/>
  <c r="CW551" i="1"/>
  <c r="G548" i="1"/>
  <c r="BK538" i="1"/>
  <c r="K529" i="1"/>
  <c r="BO519" i="1"/>
  <c r="DF547" i="1"/>
  <c r="BF538" i="1"/>
  <c r="F529" i="1"/>
  <c r="H560" i="1"/>
  <c r="AI544" i="1"/>
  <c r="CM534" i="1"/>
  <c r="AM525" i="1"/>
  <c r="CR559" i="1"/>
  <c r="AD544" i="1"/>
  <c r="CH534" i="1"/>
  <c r="AH525" i="1"/>
  <c r="AY549" i="1"/>
  <c r="DC539" i="1"/>
  <c r="BC530" i="1"/>
  <c r="DC560" i="1"/>
  <c r="CF596" i="1"/>
  <c r="DB560" i="1"/>
  <c r="AL594" i="1"/>
  <c r="CO560" i="1"/>
  <c r="CQ579" i="1"/>
  <c r="BL574" i="1"/>
  <c r="DB583" i="1"/>
  <c r="W560" i="1"/>
  <c r="CL583" i="1"/>
  <c r="V560" i="1"/>
  <c r="CT581" i="1"/>
  <c r="I560" i="1"/>
  <c r="AU567" i="1"/>
  <c r="CA546" i="1"/>
  <c r="AA537" i="1"/>
  <c r="CE527" i="1"/>
  <c r="R581" i="1"/>
  <c r="BV546" i="1"/>
  <c r="V537" i="1"/>
  <c r="BZ527" i="1"/>
  <c r="CB554" i="1"/>
  <c r="DC542" i="1"/>
  <c r="BC533" i="1"/>
  <c r="DG523" i="1"/>
  <c r="BH554" i="1"/>
  <c r="CX542" i="1"/>
  <c r="AX533" i="1"/>
  <c r="DB523" i="1"/>
  <c r="O548" i="1"/>
  <c r="BS538" i="1"/>
  <c r="S529" i="1"/>
  <c r="CM560" i="1"/>
  <c r="CT593" i="1"/>
  <c r="CL560" i="1"/>
  <c r="DB591" i="1"/>
  <c r="BY560" i="1"/>
  <c r="BC577" i="1"/>
  <c r="AV574" i="1"/>
  <c r="BN581" i="1"/>
  <c r="G560" i="1"/>
  <c r="AX581" i="1"/>
  <c r="F560" i="1"/>
  <c r="CU579" i="1"/>
  <c r="CW559" i="1"/>
  <c r="BX565" i="1"/>
  <c r="BK546" i="1"/>
  <c r="K537" i="1"/>
  <c r="BO527" i="1"/>
  <c r="CY577" i="1"/>
  <c r="BF546" i="1"/>
  <c r="F537" i="1"/>
  <c r="BJ527" i="1"/>
  <c r="P554" i="1"/>
  <c r="CM542" i="1"/>
  <c r="AM533" i="1"/>
  <c r="CQ523" i="1"/>
  <c r="CZ553" i="1"/>
  <c r="CH542" i="1"/>
  <c r="AH533" i="1"/>
  <c r="CL523" i="1"/>
  <c r="DC547" i="1"/>
  <c r="BC538" i="1"/>
  <c r="DG528" i="1"/>
  <c r="K560" i="1"/>
  <c r="F582" i="1"/>
  <c r="J560" i="1"/>
  <c r="N580" i="1"/>
  <c r="AT595" i="1"/>
  <c r="CA551" i="1"/>
  <c r="V593" i="1"/>
  <c r="O577" i="1"/>
  <c r="V589" i="1"/>
  <c r="CZ595" i="1"/>
  <c r="BZ595" i="1"/>
  <c r="Q573" i="1"/>
  <c r="BJ572" i="1"/>
  <c r="BE572" i="1"/>
  <c r="BT573" i="1"/>
  <c r="AE559" i="1"/>
  <c r="DF563" i="1"/>
  <c r="BF554" i="1"/>
  <c r="CS563" i="1"/>
  <c r="AS554" i="1"/>
  <c r="AV576" i="1"/>
  <c r="CZ566" i="1"/>
  <c r="G562" i="1"/>
  <c r="BK552" i="1"/>
  <c r="F562" i="1"/>
  <c r="BJ552" i="1"/>
  <c r="CW561" i="1"/>
  <c r="AW552" i="1"/>
  <c r="BT575" i="1"/>
  <c r="T566" i="1"/>
  <c r="CA561" i="1"/>
  <c r="AA552" i="1"/>
  <c r="BZ561" i="1"/>
  <c r="Z552" i="1"/>
  <c r="BM561" i="1"/>
  <c r="M552" i="1"/>
  <c r="AJ575" i="1"/>
  <c r="CR595" i="1"/>
  <c r="CY560" i="1"/>
  <c r="BV595" i="1"/>
  <c r="CX560" i="1"/>
  <c r="CD593" i="1"/>
  <c r="CK560" i="1"/>
  <c r="AE579" i="1"/>
  <c r="AY547" i="1"/>
  <c r="DC537" i="1"/>
  <c r="BC528" i="1"/>
  <c r="DG518" i="1"/>
  <c r="AT547" i="1"/>
  <c r="CX537" i="1"/>
  <c r="AX528" i="1"/>
  <c r="BX557" i="1"/>
  <c r="CA543" i="1"/>
  <c r="AA534" i="1"/>
  <c r="CE524" i="1"/>
  <c r="BD557" i="1"/>
  <c r="BV543" i="1"/>
  <c r="V534" i="1"/>
  <c r="BZ524" i="1"/>
  <c r="CQ548" i="1"/>
  <c r="AQ539" i="1"/>
  <c r="CU529" i="1"/>
  <c r="AQ560" i="1"/>
  <c r="CH586" i="1"/>
  <c r="AP560" i="1"/>
  <c r="CP584" i="1"/>
  <c r="AC560" i="1"/>
  <c r="N595" i="1"/>
  <c r="DD573" i="1"/>
  <c r="BS578" i="1"/>
  <c r="BO559" i="1"/>
  <c r="BO578" i="1"/>
  <c r="BN559" i="1"/>
  <c r="O578" i="1"/>
  <c r="BA559" i="1"/>
  <c r="N584" i="1"/>
  <c r="O546" i="1"/>
  <c r="BS536" i="1"/>
  <c r="S527" i="1"/>
  <c r="CM570" i="1"/>
  <c r="J546" i="1"/>
  <c r="BN536" i="1"/>
  <c r="N527" i="1"/>
  <c r="AN552" i="1"/>
  <c r="AQ542" i="1"/>
  <c r="CU532" i="1"/>
  <c r="AU523" i="1"/>
  <c r="T552" i="1"/>
  <c r="AL542" i="1"/>
  <c r="CP532" i="1"/>
  <c r="AP523" i="1"/>
  <c r="BG547" i="1"/>
  <c r="G538" i="1"/>
  <c r="BK528" i="1"/>
  <c r="AA560" i="1"/>
  <c r="AT584" i="1"/>
  <c r="Z560" i="1"/>
  <c r="BB582" i="1"/>
  <c r="M560" i="1"/>
  <c r="AP594" i="1"/>
  <c r="CN573" i="1"/>
  <c r="G578" i="1"/>
  <c r="AY559" i="1"/>
  <c r="DG577" i="1"/>
  <c r="AX559" i="1"/>
  <c r="BG577" i="1"/>
  <c r="AK559" i="1"/>
  <c r="BK571" i="1"/>
  <c r="DC545" i="1"/>
  <c r="BC536" i="1"/>
  <c r="DG526" i="1"/>
  <c r="AY568" i="1"/>
  <c r="CX545" i="1"/>
  <c r="AX536" i="1"/>
  <c r="DB526" i="1"/>
  <c r="CF551" i="1"/>
  <c r="AA542" i="1"/>
  <c r="CE532" i="1"/>
  <c r="AE523" i="1"/>
  <c r="BV551" i="1"/>
  <c r="V542" i="1"/>
  <c r="BZ532" i="1"/>
  <c r="Z523" i="1"/>
  <c r="AQ547" i="1"/>
  <c r="CU537" i="1"/>
  <c r="AU528" i="1"/>
  <c r="BC559" i="1"/>
  <c r="S578" i="1"/>
  <c r="BB559" i="1"/>
  <c r="BW577" i="1"/>
  <c r="AO559" i="1"/>
  <c r="AP590" i="1"/>
  <c r="X573" i="1"/>
  <c r="CL558" i="1"/>
  <c r="AB571" i="1"/>
  <c r="CP556" i="1"/>
  <c r="AZ570" i="1"/>
  <c r="V572" i="1"/>
  <c r="DF571" i="1"/>
  <c r="Y567" i="1"/>
  <c r="BR566" i="1"/>
  <c r="BM566" i="1"/>
  <c r="CB567" i="1"/>
  <c r="AM553" i="1"/>
  <c r="F561" i="1"/>
  <c r="BF595" i="1"/>
  <c r="CW560" i="1"/>
  <c r="AH592" i="1"/>
  <c r="AZ573" i="1"/>
  <c r="BK576" i="1"/>
  <c r="K559" i="1"/>
  <c r="BG576" i="1"/>
  <c r="J559" i="1"/>
  <c r="G576" i="1"/>
  <c r="DA558" i="1"/>
  <c r="BN588" i="1"/>
  <c r="BX572" i="1"/>
  <c r="AY573" i="1"/>
  <c r="CE558" i="1"/>
  <c r="W575" i="1"/>
  <c r="CD558" i="1"/>
  <c r="CA574" i="1"/>
  <c r="BQ558" i="1"/>
  <c r="AD587" i="1"/>
  <c r="AN572" i="1"/>
  <c r="O572" i="1"/>
  <c r="DC557" i="1"/>
  <c r="K572" i="1"/>
  <c r="DB557" i="1"/>
  <c r="BO571" i="1"/>
  <c r="CO557" i="1"/>
  <c r="CJ560" i="1"/>
  <c r="BC544" i="1"/>
  <c r="DG534" i="1"/>
  <c r="BG525" i="1"/>
  <c r="BP560" i="1"/>
  <c r="AX544" i="1"/>
  <c r="DB534" i="1"/>
  <c r="BB525" i="1"/>
  <c r="AA550" i="1"/>
  <c r="CE540" i="1"/>
  <c r="AE531" i="1"/>
  <c r="CI521" i="1"/>
  <c r="V550" i="1"/>
  <c r="BZ540" i="1"/>
  <c r="Z531" i="1"/>
  <c r="AQ570" i="1"/>
  <c r="CU545" i="1"/>
  <c r="AU536" i="1"/>
  <c r="CY526" i="1"/>
  <c r="AU557" i="1"/>
  <c r="CQ569" i="1"/>
  <c r="AT557" i="1"/>
  <c r="AQ569" i="1"/>
  <c r="AG557" i="1"/>
  <c r="CX581" i="1"/>
  <c r="DH570" i="1"/>
  <c r="CI566" i="1"/>
  <c r="BS556" i="1"/>
  <c r="CE566" i="1"/>
  <c r="BR556" i="1"/>
  <c r="AE566" i="1"/>
  <c r="BE556" i="1"/>
  <c r="AZ555" i="1"/>
  <c r="S543" i="1"/>
  <c r="BW533" i="1"/>
  <c r="W524" i="1"/>
  <c r="AF555" i="1"/>
  <c r="N543" i="1"/>
  <c r="BR533" i="1"/>
  <c r="R524" i="1"/>
  <c r="CU548" i="1"/>
  <c r="AU539" i="1"/>
  <c r="CY529" i="1"/>
  <c r="AY520" i="1"/>
  <c r="CP548" i="1"/>
  <c r="AP539" i="1"/>
  <c r="CT529" i="1"/>
  <c r="L561" i="1"/>
  <c r="BK544" i="1"/>
  <c r="K535" i="1"/>
  <c r="BO525" i="1"/>
  <c r="AE557" i="1"/>
  <c r="AE569" i="1"/>
  <c r="AD557" i="1"/>
  <c r="CI568" i="1"/>
  <c r="Q557" i="1"/>
  <c r="AL581" i="1"/>
  <c r="CR570" i="1"/>
  <c r="W566" i="1"/>
  <c r="BC556" i="1"/>
  <c r="S566" i="1"/>
  <c r="CH590" i="1"/>
  <c r="AQ575" i="1"/>
  <c r="CQ574" i="1"/>
  <c r="M555" i="1"/>
  <c r="AJ578" i="1"/>
  <c r="CN568" i="1"/>
  <c r="CY563" i="1"/>
  <c r="BI570" i="1"/>
  <c r="BN582" i="1"/>
  <c r="BJ570" i="1"/>
  <c r="DE579" i="1"/>
  <c r="BE570" i="1"/>
  <c r="AT581" i="1"/>
  <c r="AP570" i="1"/>
  <c r="CK579" i="1"/>
  <c r="AK570" i="1"/>
  <c r="BF579" i="1"/>
  <c r="CD569" i="1"/>
  <c r="U579" i="1"/>
  <c r="BY569" i="1"/>
  <c r="AT573" i="1"/>
  <c r="CD594" i="1"/>
  <c r="H589" i="1"/>
  <c r="H582" i="1"/>
  <c r="AD573" i="1"/>
  <c r="Z573" i="1"/>
  <c r="F573" i="1"/>
  <c r="AT572" i="1"/>
  <c r="BD573" i="1"/>
  <c r="N559" i="1"/>
  <c r="BH571" i="1"/>
  <c r="R557" i="1"/>
  <c r="CF570" i="1"/>
  <c r="BB572" i="1"/>
  <c r="AH572" i="1"/>
  <c r="BV571" i="1"/>
  <c r="CF572" i="1"/>
  <c r="AP558" i="1"/>
  <c r="CJ570" i="1"/>
  <c r="AT556" i="1"/>
  <c r="CS556" i="1"/>
  <c r="AH580" i="1"/>
  <c r="BP570" i="1"/>
  <c r="CA565" i="1"/>
  <c r="AK572" i="1"/>
  <c r="AP598" i="1"/>
  <c r="AL572" i="1"/>
  <c r="DF586" i="1"/>
  <c r="AG572" i="1"/>
  <c r="V595" i="1"/>
  <c r="R572" i="1"/>
  <c r="AD586" i="1"/>
  <c r="M572" i="1"/>
  <c r="AH590" i="1"/>
  <c r="BF571" i="1"/>
  <c r="CD583" i="1"/>
  <c r="BA571" i="1"/>
  <c r="AH588" i="1"/>
  <c r="BP572" i="1"/>
  <c r="S573" i="1"/>
  <c r="AA558" i="1"/>
  <c r="O573" i="1"/>
  <c r="Z558" i="1"/>
  <c r="BS572" i="1"/>
  <c r="M558" i="1"/>
  <c r="AX580" i="1"/>
  <c r="BT570" i="1"/>
  <c r="CE565" i="1"/>
  <c r="AE556" i="1"/>
  <c r="CD565" i="1"/>
  <c r="AD556" i="1"/>
  <c r="BQ565" i="1"/>
  <c r="Q556" i="1"/>
  <c r="AN579" i="1"/>
  <c r="CR569" i="1"/>
  <c r="DC564" i="1"/>
  <c r="BM571" i="1"/>
  <c r="CT590" i="1"/>
  <c r="BN571" i="1"/>
  <c r="F584" i="1"/>
  <c r="BI571" i="1"/>
  <c r="AD589" i="1"/>
  <c r="AT571" i="1"/>
  <c r="AH583" i="1"/>
  <c r="AO571" i="1"/>
  <c r="AP584" i="1"/>
  <c r="CH570" i="1"/>
  <c r="CH580" i="1"/>
  <c r="CC570" i="1"/>
  <c r="AL585" i="1"/>
  <c r="CR571" i="1"/>
  <c r="W570" i="1"/>
  <c r="BC557" i="1"/>
  <c r="W589" i="1"/>
  <c r="CL581" i="1"/>
  <c r="DD585" i="1"/>
  <c r="AL596" i="1"/>
  <c r="G589" i="1"/>
  <c r="Z581" i="1"/>
  <c r="J581" i="1"/>
  <c r="AL580" i="1"/>
  <c r="BA579" i="1"/>
  <c r="AA567" i="1"/>
  <c r="CA566" i="1"/>
  <c r="AE564" i="1"/>
  <c r="Q564" i="1"/>
  <c r="BC563" i="1"/>
  <c r="BI579" i="1"/>
  <c r="AO579" i="1"/>
  <c r="CC578" i="1"/>
  <c r="BC565" i="1"/>
  <c r="AO565" i="1"/>
  <c r="BG563" i="1"/>
  <c r="CG565" i="1"/>
  <c r="CW553" i="1"/>
  <c r="P577" i="1"/>
  <c r="BT567" i="1"/>
  <c r="CE562" i="1"/>
  <c r="AO569" i="1"/>
  <c r="F579" i="1"/>
  <c r="AP569" i="1"/>
  <c r="CK578" i="1"/>
  <c r="AK569" i="1"/>
  <c r="CH578" i="1"/>
  <c r="V569" i="1"/>
  <c r="BQ578" i="1"/>
  <c r="Q569" i="1"/>
  <c r="F578" i="1"/>
  <c r="BJ568" i="1"/>
  <c r="DE577" i="1"/>
  <c r="BE568" i="1"/>
  <c r="P579" i="1"/>
  <c r="BT569" i="1"/>
  <c r="CE564" i="1"/>
  <c r="AE555" i="1"/>
  <c r="CD564" i="1"/>
  <c r="AD555" i="1"/>
  <c r="BQ564" i="1"/>
  <c r="Q555" i="1"/>
  <c r="T577" i="1"/>
  <c r="BX567" i="1"/>
  <c r="CI562" i="1"/>
  <c r="AI553" i="1"/>
  <c r="CH562" i="1"/>
  <c r="AH553" i="1"/>
  <c r="BU562" i="1"/>
  <c r="U553" i="1"/>
  <c r="AR576" i="1"/>
  <c r="CV566" i="1"/>
  <c r="DG561" i="1"/>
  <c r="BQ568" i="1"/>
  <c r="N578" i="1"/>
  <c r="BR568" i="1"/>
  <c r="I578" i="1"/>
  <c r="BM568" i="1"/>
  <c r="CX577" i="1"/>
  <c r="AX568" i="1"/>
  <c r="CZ577" i="1"/>
  <c r="BJ563" i="1"/>
  <c r="DD575" i="1"/>
  <c r="BN561" i="1"/>
  <c r="X575" i="1"/>
  <c r="CX576" i="1"/>
  <c r="CD576" i="1"/>
  <c r="BM569" i="1"/>
  <c r="DF568" i="1"/>
  <c r="DA568" i="1"/>
  <c r="L570" i="1"/>
  <c r="CA555" i="1"/>
  <c r="Z562" i="1"/>
  <c r="CD552" i="1"/>
  <c r="M562" i="1"/>
  <c r="BQ552" i="1"/>
  <c r="BT574" i="1"/>
  <c r="R585" i="1"/>
  <c r="AE560" i="1"/>
  <c r="DF584" i="1"/>
  <c r="AD560" i="1"/>
  <c r="J583" i="1"/>
  <c r="Q560" i="1"/>
  <c r="BF594" i="1"/>
  <c r="CR573" i="1"/>
  <c r="W578" i="1"/>
  <c r="CY559" i="1"/>
  <c r="CY579" i="1"/>
  <c r="CX559" i="1"/>
  <c r="AY579" i="1"/>
  <c r="CK559" i="1"/>
  <c r="CD592" i="1"/>
  <c r="BH573" i="1"/>
  <c r="CQ576" i="1"/>
  <c r="S559" i="1"/>
  <c r="CM576" i="1"/>
  <c r="R559" i="1"/>
  <c r="AM576" i="1"/>
  <c r="DI558" i="1"/>
  <c r="CN565" i="1"/>
  <c r="BW545" i="1"/>
  <c r="W536" i="1"/>
  <c r="CA526" i="1"/>
  <c r="AN565" i="1"/>
  <c r="BR545" i="1"/>
  <c r="R536" i="1"/>
  <c r="BV526" i="1"/>
  <c r="AU551" i="1"/>
  <c r="CY541" i="1"/>
  <c r="AY532" i="1"/>
  <c r="DC522" i="1"/>
  <c r="AP551" i="1"/>
  <c r="CT541" i="1"/>
  <c r="AT532" i="1"/>
  <c r="CX522" i="1"/>
  <c r="K547" i="1"/>
  <c r="BO537" i="1"/>
  <c r="O528" i="1"/>
  <c r="BO558" i="1"/>
  <c r="BO574" i="1"/>
  <c r="BN558" i="1"/>
  <c r="O574" i="1"/>
  <c r="BA558" i="1"/>
  <c r="BV586" i="1"/>
  <c r="X572" i="1"/>
  <c r="BG571" i="1"/>
  <c r="CM557" i="1"/>
  <c r="BC571" i="1"/>
  <c r="CL557" i="1"/>
  <c r="DG570" i="1"/>
  <c r="BY557" i="1"/>
  <c r="X560" i="1"/>
  <c r="AM544" i="1"/>
  <c r="CQ534" i="1"/>
  <c r="AQ525" i="1"/>
  <c r="DH559" i="1"/>
  <c r="AH544" i="1"/>
  <c r="CL534" i="1"/>
  <c r="AL525" i="1"/>
  <c r="K550" i="1"/>
  <c r="BO540" i="1"/>
  <c r="O531" i="1"/>
  <c r="BS521" i="1"/>
  <c r="F550" i="1"/>
  <c r="BJ540" i="1"/>
  <c r="J531" i="1"/>
  <c r="CM566" i="1"/>
  <c r="CE545" i="1"/>
  <c r="AE536" i="1"/>
  <c r="CI526" i="1"/>
  <c r="AY558" i="1"/>
  <c r="DG573" i="1"/>
  <c r="AX558" i="1"/>
  <c r="BG573" i="1"/>
  <c r="AK558" i="1"/>
  <c r="J586" i="1"/>
  <c r="H572" i="1"/>
  <c r="CY570" i="1"/>
  <c r="BW557" i="1"/>
  <c r="CU570" i="1"/>
  <c r="BV557" i="1"/>
  <c r="AU570" i="1"/>
  <c r="BI557" i="1"/>
  <c r="BP559" i="1"/>
  <c r="W544" i="1"/>
  <c r="CA534" i="1"/>
  <c r="AA525" i="1"/>
  <c r="AV559" i="1"/>
  <c r="R544" i="1"/>
  <c r="BV534" i="1"/>
  <c r="V525" i="1"/>
  <c r="CY549" i="1"/>
  <c r="AY540" i="1"/>
  <c r="DC530" i="1"/>
  <c r="BC521" i="1"/>
  <c r="CT549" i="1"/>
  <c r="AT540" i="1"/>
  <c r="CX530" i="1"/>
  <c r="AR565" i="1"/>
  <c r="BO545" i="1"/>
  <c r="O536" i="1"/>
  <c r="BS526" i="1"/>
  <c r="CA557" i="1"/>
  <c r="G571" i="1"/>
  <c r="BZ557" i="1"/>
  <c r="BK570" i="1"/>
  <c r="BL575" i="1"/>
  <c r="V561" i="1"/>
  <c r="BP573" i="1"/>
  <c r="Z559" i="1"/>
  <c r="CN572" i="1"/>
  <c r="BJ574" i="1"/>
  <c r="AP574" i="1"/>
  <c r="AS568" i="1"/>
  <c r="CL567" i="1"/>
  <c r="CG567" i="1"/>
  <c r="CV568" i="1"/>
  <c r="BG554" i="1"/>
  <c r="BR561" i="1"/>
  <c r="R552" i="1"/>
  <c r="BE561" i="1"/>
  <c r="BH596" i="1"/>
  <c r="H574" i="1"/>
  <c r="CY578" i="1"/>
  <c r="BW559" i="1"/>
  <c r="CU578" i="1"/>
  <c r="BV559" i="1"/>
  <c r="AU578" i="1"/>
  <c r="BI559" i="1"/>
  <c r="AT591" i="1"/>
  <c r="AF573" i="1"/>
  <c r="CM575" i="1"/>
  <c r="AM559" i="1"/>
  <c r="BK577" i="1"/>
  <c r="AL559" i="1"/>
  <c r="K577" i="1"/>
  <c r="Y559" i="1"/>
  <c r="BR589" i="1"/>
  <c r="CZ572" i="1"/>
  <c r="BC574" i="1"/>
  <c r="BK558" i="1"/>
  <c r="AY574" i="1"/>
  <c r="BJ558" i="1"/>
  <c r="DC573" i="1"/>
  <c r="AW558" i="1"/>
  <c r="T563" i="1"/>
  <c r="K545" i="1"/>
  <c r="BO535" i="1"/>
  <c r="O526" i="1"/>
  <c r="DD562" i="1"/>
  <c r="F545" i="1"/>
  <c r="BJ535" i="1"/>
  <c r="J526" i="1"/>
  <c r="CM550" i="1"/>
  <c r="AM541" i="1"/>
  <c r="CQ531" i="1"/>
  <c r="AQ522" i="1"/>
  <c r="CH550" i="1"/>
  <c r="AH541" i="1"/>
  <c r="CL531" i="1"/>
  <c r="AL522" i="1"/>
  <c r="BC546" i="1"/>
  <c r="DG536" i="1"/>
  <c r="BG527" i="1"/>
  <c r="DG557" i="1"/>
  <c r="AA572" i="1"/>
  <c r="DF557" i="1"/>
  <c r="CE571" i="1"/>
  <c r="CS557" i="1"/>
  <c r="AH584" i="1"/>
  <c r="BP571" i="1"/>
  <c r="S569" i="1"/>
  <c r="AA557" i="1"/>
  <c r="O569" i="1"/>
  <c r="Z557" i="1"/>
  <c r="BS568" i="1"/>
  <c r="M557" i="1"/>
  <c r="CN557" i="1"/>
  <c r="CE543" i="1"/>
  <c r="AE534" i="1"/>
  <c r="CI524" i="1"/>
  <c r="BT557" i="1"/>
  <c r="BZ543" i="1"/>
  <c r="Z534" i="1"/>
  <c r="CD524" i="1"/>
  <c r="BC549" i="1"/>
  <c r="DG539" i="1"/>
  <c r="BG530" i="1"/>
  <c r="G521" i="1"/>
  <c r="AX549" i="1"/>
  <c r="DB539" i="1"/>
  <c r="BB530" i="1"/>
  <c r="AZ563" i="1"/>
  <c r="S545" i="1"/>
  <c r="BW535" i="1"/>
  <c r="W526" i="1"/>
  <c r="CQ557" i="1"/>
  <c r="BS571" i="1"/>
  <c r="CP557" i="1"/>
  <c r="S571" i="1"/>
  <c r="CC557" i="1"/>
  <c r="BZ583" i="1"/>
  <c r="AZ571" i="1"/>
  <c r="BK568" i="1"/>
  <c r="K557" i="1"/>
  <c r="BG568" i="1"/>
  <c r="J557" i="1"/>
  <c r="G568" i="1"/>
  <c r="DA556" i="1"/>
  <c r="AB557" i="1"/>
  <c r="BO543" i="1"/>
  <c r="O534" i="1"/>
  <c r="BS524" i="1"/>
  <c r="H557" i="1"/>
  <c r="BJ543" i="1"/>
  <c r="J534" i="1"/>
  <c r="BN524" i="1"/>
  <c r="AM549" i="1"/>
  <c r="CQ539" i="1"/>
  <c r="AQ530" i="1"/>
  <c r="CU520" i="1"/>
  <c r="AH549" i="1"/>
  <c r="CL539" i="1"/>
  <c r="AL530" i="1"/>
  <c r="CR562" i="1"/>
  <c r="DG544" i="1"/>
  <c r="BG535" i="1"/>
  <c r="G526" i="1"/>
  <c r="O557" i="1"/>
  <c r="BW568" i="1"/>
  <c r="N557" i="1"/>
  <c r="W568" i="1"/>
  <c r="DE556" i="1"/>
  <c r="CD580" i="1"/>
  <c r="BG575" i="1"/>
  <c r="DG574" i="1"/>
  <c r="BW567" i="1"/>
  <c r="S567" i="1"/>
  <c r="BK565" i="1"/>
  <c r="AT586" i="1"/>
  <c r="BV585" i="1"/>
  <c r="N589" i="1"/>
  <c r="R583" i="1"/>
  <c r="BZ587" i="1"/>
  <c r="BK572" i="1"/>
  <c r="CU574" i="1"/>
  <c r="BV558" i="1"/>
  <c r="AU574" i="1"/>
  <c r="BI558" i="1"/>
  <c r="Z582" i="1"/>
  <c r="L571" i="1"/>
  <c r="K567" i="1"/>
  <c r="CA556" i="1"/>
  <c r="G567" i="1"/>
  <c r="BZ556" i="1"/>
  <c r="BK566" i="1"/>
  <c r="BM556" i="1"/>
  <c r="CJ579" i="1"/>
  <c r="AJ570" i="1"/>
  <c r="AU565" i="1"/>
  <c r="AQ556" i="1"/>
  <c r="CR565" i="1"/>
  <c r="AP556" i="1"/>
  <c r="CC565" i="1"/>
  <c r="AC556" i="1"/>
  <c r="AZ579" i="1"/>
  <c r="DD569" i="1"/>
  <c r="K565" i="1"/>
  <c r="BO555" i="1"/>
  <c r="J565" i="1"/>
  <c r="BN555" i="1"/>
  <c r="DA564" i="1"/>
  <c r="BA555" i="1"/>
  <c r="BO551" i="1"/>
  <c r="O542" i="1"/>
  <c r="BS532" i="1"/>
  <c r="S523" i="1"/>
  <c r="BJ551" i="1"/>
  <c r="J542" i="1"/>
  <c r="BN532" i="1"/>
  <c r="N523" i="1"/>
  <c r="CQ547" i="1"/>
  <c r="AQ538" i="1"/>
  <c r="CU528" i="1"/>
  <c r="AU519" i="1"/>
  <c r="CL547" i="1"/>
  <c r="AL538" i="1"/>
  <c r="CP528" i="1"/>
  <c r="CZ556" i="1"/>
  <c r="BG543" i="1"/>
  <c r="G534" i="1"/>
  <c r="BK524" i="1"/>
  <c r="G555" i="1"/>
  <c r="BF564" i="1"/>
  <c r="F555" i="1"/>
  <c r="AS564" i="1"/>
  <c r="CW554" i="1"/>
  <c r="P578" i="1"/>
  <c r="BT568" i="1"/>
  <c r="CE563" i="1"/>
  <c r="AE554" i="1"/>
  <c r="CD563" i="1"/>
  <c r="AD554" i="1"/>
  <c r="BQ563" i="1"/>
  <c r="Q554" i="1"/>
  <c r="AE550" i="1"/>
  <c r="CI540" i="1"/>
  <c r="AI531" i="1"/>
  <c r="CM521" i="1"/>
  <c r="Z550" i="1"/>
  <c r="CD540" i="1"/>
  <c r="AD531" i="1"/>
  <c r="CH521" i="1"/>
  <c r="BG546" i="1"/>
  <c r="G537" i="1"/>
  <c r="BK527" i="1"/>
  <c r="AM577" i="1"/>
  <c r="BB546" i="1"/>
  <c r="DF536" i="1"/>
  <c r="BF527" i="1"/>
  <c r="BX551" i="1"/>
  <c r="W542" i="1"/>
  <c r="CA532" i="1"/>
  <c r="AA523" i="1"/>
  <c r="CU554" i="1"/>
  <c r="AP564" i="1"/>
  <c r="CT554" i="1"/>
  <c r="AC564" i="1"/>
  <c r="CG554" i="1"/>
  <c r="DD577" i="1"/>
  <c r="BD568" i="1"/>
  <c r="BO563" i="1"/>
  <c r="O554" i="1"/>
  <c r="BN563" i="1"/>
  <c r="BQ560" i="1"/>
  <c r="CI558" i="1"/>
  <c r="AS563" i="1"/>
  <c r="CC552" i="1"/>
  <c r="CZ575" i="1"/>
  <c r="AZ566" i="1"/>
  <c r="BU577" i="1"/>
  <c r="U568" i="1"/>
  <c r="BV577" i="1"/>
  <c r="V568" i="1"/>
  <c r="BQ577" i="1"/>
  <c r="Q568" i="1"/>
  <c r="BB577" i="1"/>
  <c r="DF567" i="1"/>
  <c r="AW577" i="1"/>
  <c r="DA567" i="1"/>
  <c r="CP576" i="1"/>
  <c r="AP567" i="1"/>
  <c r="CK576" i="1"/>
  <c r="CE592" i="1"/>
  <c r="AH591" i="1"/>
  <c r="AN588" i="1"/>
  <c r="CF605" i="1"/>
  <c r="AU591" i="1"/>
  <c r="BZ590" i="1"/>
  <c r="BJ590" i="1"/>
  <c r="CL589" i="1"/>
  <c r="AH587" i="1"/>
  <c r="CA576" i="1"/>
  <c r="W576" i="1"/>
  <c r="CQ568" i="1"/>
  <c r="AM568" i="1"/>
  <c r="CU565" i="1"/>
  <c r="BN587" i="1"/>
  <c r="CP586" i="1"/>
  <c r="AL584" i="1"/>
  <c r="CE573" i="1"/>
  <c r="AA573" i="1"/>
  <c r="DC565" i="1"/>
  <c r="BC572" i="1"/>
  <c r="BE554" i="1"/>
  <c r="CB577" i="1"/>
  <c r="AB568" i="1"/>
  <c r="AM563" i="1"/>
  <c r="DA569" i="1"/>
  <c r="CL579" i="1"/>
  <c r="DB569" i="1"/>
  <c r="AS579" i="1"/>
  <c r="CW569" i="1"/>
  <c r="BJ579" i="1"/>
  <c r="CH569" i="1"/>
  <c r="Y579" i="1"/>
  <c r="CC569" i="1"/>
  <c r="CD578" i="1"/>
  <c r="R569" i="1"/>
  <c r="BM578" i="1"/>
  <c r="M569" i="1"/>
  <c r="CB579" i="1"/>
  <c r="AB570" i="1"/>
  <c r="AM565" i="1"/>
  <c r="CQ555" i="1"/>
  <c r="AL565" i="1"/>
  <c r="CP555" i="1"/>
  <c r="Y565" i="1"/>
  <c r="CC555" i="1"/>
  <c r="CF577" i="1"/>
  <c r="AF568" i="1"/>
  <c r="AQ563" i="1"/>
  <c r="CU553" i="1"/>
  <c r="AP563" i="1"/>
  <c r="CT553" i="1"/>
  <c r="AC563" i="1"/>
  <c r="CG553" i="1"/>
  <c r="DD576" i="1"/>
  <c r="BD567" i="1"/>
  <c r="BO562" i="1"/>
  <c r="Y569" i="1"/>
  <c r="CL578" i="1"/>
  <c r="Z569" i="1"/>
  <c r="BU578" i="1"/>
  <c r="U569" i="1"/>
  <c r="BN578" i="1"/>
  <c r="F569" i="1"/>
  <c r="BA578" i="1"/>
  <c r="DE568" i="1"/>
  <c r="CT577" i="1"/>
  <c r="AT568" i="1"/>
  <c r="CO577" i="1"/>
  <c r="AO568" i="1"/>
  <c r="DD578" i="1"/>
  <c r="BD569" i="1"/>
  <c r="BO564" i="1"/>
  <c r="O555" i="1"/>
  <c r="BF602" i="1"/>
  <c r="AK581" i="1"/>
  <c r="AM595" i="1"/>
  <c r="BK586" i="1"/>
  <c r="R600" i="1"/>
  <c r="CO570" i="1"/>
  <c r="CK570" i="1"/>
  <c r="BQ570" i="1"/>
  <c r="DE569" i="1"/>
  <c r="CE556" i="1"/>
  <c r="BQ556" i="1"/>
  <c r="CI554" i="1"/>
  <c r="BU554" i="1"/>
  <c r="M570" i="1"/>
  <c r="I570" i="1"/>
  <c r="CS569" i="1"/>
  <c r="AC569" i="1"/>
  <c r="DG555" i="1"/>
  <c r="CS555" i="1"/>
  <c r="G554" i="1"/>
  <c r="DI560" i="1"/>
  <c r="Z591" i="1"/>
  <c r="CF574" i="1"/>
  <c r="CX586" i="1"/>
  <c r="BA576" i="1"/>
  <c r="DE566" i="1"/>
  <c r="BB576" i="1"/>
  <c r="DF566" i="1"/>
  <c r="AW576" i="1"/>
  <c r="DA566" i="1"/>
  <c r="AH576" i="1"/>
  <c r="CL566" i="1"/>
  <c r="AC576" i="1"/>
  <c r="CG566" i="1"/>
  <c r="BV575" i="1"/>
  <c r="V566" i="1"/>
  <c r="BQ575" i="1"/>
  <c r="Q566" i="1"/>
  <c r="CF576" i="1"/>
  <c r="AF567" i="1"/>
  <c r="AQ562" i="1"/>
  <c r="CU552" i="1"/>
  <c r="AP562" i="1"/>
  <c r="CT552" i="1"/>
  <c r="AC562" i="1"/>
  <c r="CG552" i="1"/>
  <c r="CJ574" i="1"/>
  <c r="BF587" i="1"/>
  <c r="AU560" i="1"/>
  <c r="AP587" i="1"/>
  <c r="AT560" i="1"/>
  <c r="AX585" i="1"/>
  <c r="AG560" i="1"/>
  <c r="BJ595" i="1"/>
  <c r="DH573" i="1"/>
  <c r="CI578" i="1"/>
  <c r="CC575" i="1"/>
  <c r="AC566" i="1"/>
  <c r="CD575" i="1"/>
  <c r="AD566" i="1"/>
  <c r="BY575" i="1"/>
  <c r="Y566" i="1"/>
  <c r="BJ575" i="1"/>
  <c r="J566" i="1"/>
  <c r="AZ568" i="1"/>
  <c r="J554" i="1"/>
  <c r="BD566" i="1"/>
  <c r="N552" i="1"/>
  <c r="F594" i="1"/>
  <c r="AX567" i="1"/>
  <c r="AD567" i="1"/>
  <c r="AE582" i="1"/>
  <c r="BR592" i="1"/>
  <c r="AX592" i="1"/>
  <c r="N588" i="1"/>
  <c r="DB587" i="1"/>
  <c r="CP559" i="1"/>
  <c r="S579" i="1"/>
  <c r="CC559" i="1"/>
  <c r="DB586" i="1"/>
  <c r="AF572" i="1"/>
  <c r="CM571" i="1"/>
  <c r="CU557" i="1"/>
  <c r="CI571" i="1"/>
  <c r="CT557" i="1"/>
  <c r="AI571" i="1"/>
  <c r="CG557" i="1"/>
  <c r="CP583" i="1"/>
  <c r="BD571" i="1"/>
  <c r="CA568" i="1"/>
  <c r="BK557" i="1"/>
  <c r="AY570" i="1"/>
  <c r="BJ557" i="1"/>
  <c r="DC569" i="1"/>
  <c r="AW557" i="1"/>
  <c r="BF582" i="1"/>
  <c r="T571" i="1"/>
  <c r="AQ567" i="1"/>
  <c r="CI556" i="1"/>
  <c r="AM567" i="1"/>
  <c r="CH556" i="1"/>
  <c r="CQ566" i="1"/>
  <c r="BU556" i="1"/>
  <c r="H556" i="1"/>
  <c r="AI543" i="1"/>
  <c r="CM533" i="1"/>
  <c r="AM524" i="1"/>
  <c r="CR555" i="1"/>
  <c r="AD543" i="1"/>
  <c r="CH533" i="1"/>
  <c r="AH524" i="1"/>
  <c r="G549" i="1"/>
  <c r="BK539" i="1"/>
  <c r="K530" i="1"/>
  <c r="BO520" i="1"/>
  <c r="DF548" i="1"/>
  <c r="BF539" i="1"/>
  <c r="F530" i="1"/>
  <c r="BX561" i="1"/>
  <c r="CA544" i="1"/>
  <c r="AA535" i="1"/>
  <c r="CE525" i="1"/>
  <c r="AA556" i="1"/>
  <c r="BZ565" i="1"/>
  <c r="Z556" i="1"/>
  <c r="BM565" i="1"/>
  <c r="M556" i="1"/>
  <c r="AJ579" i="1"/>
  <c r="CN569" i="1"/>
  <c r="CY564" i="1"/>
  <c r="AY555" i="1"/>
  <c r="CX564" i="1"/>
  <c r="AX555" i="1"/>
  <c r="CK564" i="1"/>
  <c r="AK555" i="1"/>
  <c r="AY551" i="1"/>
  <c r="DC541" i="1"/>
  <c r="BC532" i="1"/>
  <c r="DG522" i="1"/>
  <c r="AT551" i="1"/>
  <c r="CX541" i="1"/>
  <c r="AX532" i="1"/>
  <c r="DB522" i="1"/>
  <c r="CA547" i="1"/>
  <c r="AA538" i="1"/>
  <c r="CE528" i="1"/>
  <c r="AE519" i="1"/>
  <c r="BV547" i="1"/>
  <c r="V538" i="1"/>
  <c r="BZ528" i="1"/>
  <c r="AN556" i="1"/>
  <c r="AQ543" i="1"/>
  <c r="CU533" i="1"/>
  <c r="AU524" i="1"/>
  <c r="K556" i="1"/>
  <c r="BJ565" i="1"/>
  <c r="J556" i="1"/>
  <c r="AW565" i="1"/>
  <c r="DA555" i="1"/>
  <c r="T579" i="1"/>
  <c r="BX569" i="1"/>
  <c r="CI564" i="1"/>
  <c r="AI555" i="1"/>
  <c r="CH564" i="1"/>
  <c r="AH555" i="1"/>
  <c r="BU564" i="1"/>
  <c r="U555" i="1"/>
  <c r="AI551" i="1"/>
  <c r="CM541" i="1"/>
  <c r="AM532" i="1"/>
  <c r="CQ522" i="1"/>
  <c r="AD551" i="1"/>
  <c r="CH541" i="1"/>
  <c r="AH532" i="1"/>
  <c r="CL522" i="1"/>
  <c r="BK547" i="1"/>
  <c r="K538" i="1"/>
  <c r="BO528" i="1"/>
  <c r="O519" i="1"/>
  <c r="BF547" i="1"/>
  <c r="F538" i="1"/>
  <c r="BJ528" i="1"/>
  <c r="CF555" i="1"/>
  <c r="AA543" i="1"/>
  <c r="CE533" i="1"/>
  <c r="AE524" i="1"/>
  <c r="AM555" i="1"/>
  <c r="CL564" i="1"/>
  <c r="AL555" i="1"/>
  <c r="BY564" i="1"/>
  <c r="L566" i="1"/>
  <c r="BV602" i="1"/>
  <c r="S577" i="1"/>
  <c r="BS576" i="1"/>
  <c r="G574" i="1"/>
  <c r="DH595" i="1"/>
  <c r="R595" i="1"/>
  <c r="BL608" i="1"/>
  <c r="CT587" i="1"/>
  <c r="AL593" i="1"/>
  <c r="AI577" i="1"/>
  <c r="AE577" i="1"/>
  <c r="AD559" i="1"/>
  <c r="CI576" i="1"/>
  <c r="Q559" i="1"/>
  <c r="BN584" i="1"/>
  <c r="BX571" i="1"/>
  <c r="AY569" i="1"/>
  <c r="AI557" i="1"/>
  <c r="AU569" i="1"/>
  <c r="AH557" i="1"/>
  <c r="CY568" i="1"/>
  <c r="U557" i="1"/>
  <c r="BB581" i="1"/>
  <c r="CV570" i="1"/>
  <c r="AM566" i="1"/>
  <c r="DC556" i="1"/>
  <c r="K568" i="1"/>
  <c r="DB556" i="1"/>
  <c r="BO567" i="1"/>
  <c r="CO556" i="1"/>
  <c r="R580" i="1"/>
  <c r="BL570" i="1"/>
  <c r="BW565" i="1"/>
  <c r="W556" i="1"/>
  <c r="BV565" i="1"/>
  <c r="V556" i="1"/>
  <c r="BI565" i="1"/>
  <c r="I556" i="1"/>
  <c r="BX553" i="1"/>
  <c r="CA542" i="1"/>
  <c r="AA533" i="1"/>
  <c r="CE523" i="1"/>
  <c r="BD553" i="1"/>
  <c r="BV542" i="1"/>
  <c r="V533" i="1"/>
  <c r="BZ523" i="1"/>
  <c r="AY548" i="1"/>
  <c r="DC538" i="1"/>
  <c r="BC529" i="1"/>
  <c r="DG519" i="1"/>
  <c r="AT548" i="1"/>
  <c r="CX538" i="1"/>
  <c r="AX529" i="1"/>
  <c r="AJ559" i="1"/>
  <c r="O544" i="1"/>
  <c r="BS534" i="1"/>
  <c r="S525" i="1"/>
  <c r="BS555" i="1"/>
  <c r="N565" i="1"/>
  <c r="BR555" i="1"/>
  <c r="DE564" i="1"/>
  <c r="BE555" i="1"/>
  <c r="CB578" i="1"/>
  <c r="AB569" i="1"/>
  <c r="AM564" i="1"/>
  <c r="CQ554" i="1"/>
  <c r="AL564" i="1"/>
  <c r="CP554" i="1"/>
  <c r="Y564" i="1"/>
  <c r="CC554" i="1"/>
  <c r="CQ550" i="1"/>
  <c r="AQ541" i="1"/>
  <c r="CU531" i="1"/>
  <c r="AU522" i="1"/>
  <c r="CL550" i="1"/>
  <c r="AL541" i="1"/>
  <c r="CP531" i="1"/>
  <c r="AP522" i="1"/>
  <c r="O547" i="1"/>
  <c r="BS537" i="1"/>
  <c r="S528" i="1"/>
  <c r="BW518" i="1"/>
  <c r="J547" i="1"/>
  <c r="BN537" i="1"/>
  <c r="N528" i="1"/>
  <c r="DD553" i="1"/>
  <c r="CI542" i="1"/>
  <c r="AI533" i="1"/>
  <c r="CM523" i="1"/>
  <c r="BC555" i="1"/>
  <c r="DB564" i="1"/>
  <c r="BB555" i="1"/>
  <c r="CO564" i="1"/>
  <c r="AO555" i="1"/>
  <c r="BL578" i="1"/>
  <c r="L569" i="1"/>
  <c r="W564" i="1"/>
  <c r="CA554" i="1"/>
  <c r="V564" i="1"/>
  <c r="BZ554" i="1"/>
  <c r="I564" i="1"/>
  <c r="BM554" i="1"/>
  <c r="CA550" i="1"/>
  <c r="AA541" i="1"/>
  <c r="CE531" i="1"/>
  <c r="AE522" i="1"/>
  <c r="BV550" i="1"/>
  <c r="V541" i="1"/>
  <c r="BZ531" i="1"/>
  <c r="Z522" i="1"/>
  <c r="DC546" i="1"/>
  <c r="BC537" i="1"/>
  <c r="DG527" i="1"/>
  <c r="J602" i="1"/>
  <c r="CX546" i="1"/>
  <c r="AX537" i="1"/>
  <c r="DB527" i="1"/>
  <c r="AR553" i="1"/>
  <c r="BS542" i="1"/>
  <c r="S533" i="1"/>
  <c r="BW523" i="1"/>
  <c r="CE554" i="1"/>
  <c r="Z564" i="1"/>
  <c r="CD554" i="1"/>
  <c r="M564" i="1"/>
  <c r="BQ554" i="1"/>
  <c r="CN577" i="1"/>
  <c r="CM558" i="1"/>
  <c r="BY558" i="1"/>
  <c r="CQ556" i="1"/>
  <c r="CC556" i="1"/>
  <c r="U572" i="1"/>
  <c r="Q572" i="1"/>
  <c r="BY576" i="1"/>
  <c r="N576" i="1"/>
  <c r="I576" i="1"/>
  <c r="X577" i="1"/>
  <c r="CM562" i="1"/>
  <c r="CH565" i="1"/>
  <c r="AH556" i="1"/>
  <c r="BU565" i="1"/>
  <c r="U556" i="1"/>
  <c r="X578" i="1"/>
  <c r="CB568" i="1"/>
  <c r="CM563" i="1"/>
  <c r="AM554" i="1"/>
  <c r="CL563" i="1"/>
  <c r="AL554" i="1"/>
  <c r="BY563" i="1"/>
  <c r="Y554" i="1"/>
  <c r="AV577" i="1"/>
  <c r="CZ567" i="1"/>
  <c r="G563" i="1"/>
  <c r="DG553" i="1"/>
  <c r="BB563" i="1"/>
  <c r="DF553" i="1"/>
  <c r="AO563" i="1"/>
  <c r="CS553" i="1"/>
  <c r="L577" i="1"/>
  <c r="BP567" i="1"/>
  <c r="CA562" i="1"/>
  <c r="AA553" i="1"/>
  <c r="BZ562" i="1"/>
  <c r="Z553" i="1"/>
  <c r="BM562" i="1"/>
  <c r="M553" i="1"/>
  <c r="AA549" i="1"/>
  <c r="CE539" i="1"/>
  <c r="AE530" i="1"/>
  <c r="CI520" i="1"/>
  <c r="V549" i="1"/>
  <c r="BZ539" i="1"/>
  <c r="Z530" i="1"/>
  <c r="CJ564" i="1"/>
  <c r="BC545" i="1"/>
  <c r="DG535" i="1"/>
  <c r="BG526" i="1"/>
  <c r="BP564" i="1"/>
  <c r="AX545" i="1"/>
  <c r="DB535" i="1"/>
  <c r="BB526" i="1"/>
  <c r="BS550" i="1"/>
  <c r="S541" i="1"/>
  <c r="BW531" i="1"/>
  <c r="W522" i="1"/>
  <c r="BW552" i="1"/>
  <c r="R562" i="1"/>
  <c r="BV552" i="1"/>
  <c r="DI561" i="1"/>
  <c r="BI552" i="1"/>
  <c r="CF575" i="1"/>
  <c r="AF566" i="1"/>
  <c r="AQ561" i="1"/>
  <c r="CU551" i="1"/>
  <c r="AP561" i="1"/>
  <c r="CT551" i="1"/>
  <c r="AC561" i="1"/>
  <c r="CG551" i="1"/>
  <c r="CU547" i="1"/>
  <c r="AU538" i="1"/>
  <c r="CY528" i="1"/>
  <c r="AY519" i="1"/>
  <c r="CP547" i="1"/>
  <c r="AP538" i="1"/>
  <c r="CT528" i="1"/>
  <c r="AZ559" i="1"/>
  <c r="S544" i="1"/>
  <c r="BW534" i="1"/>
  <c r="W525" i="1"/>
  <c r="AF559" i="1"/>
  <c r="N544" i="1"/>
  <c r="BR534" i="1"/>
  <c r="R525" i="1"/>
  <c r="AI549" i="1"/>
  <c r="CM539" i="1"/>
  <c r="AM530" i="1"/>
  <c r="CQ520" i="1"/>
  <c r="BG552" i="1"/>
  <c r="DF561" i="1"/>
  <c r="BF552" i="1"/>
  <c r="CS561" i="1"/>
  <c r="AS552" i="1"/>
  <c r="BP575" i="1"/>
  <c r="P566" i="1"/>
  <c r="AA561" i="1"/>
  <c r="CL590" i="1"/>
  <c r="AM575" i="1"/>
  <c r="CO559" i="1"/>
  <c r="CT592" i="1"/>
  <c r="BL573" i="1"/>
  <c r="DG576" i="1"/>
  <c r="AG575" i="1"/>
  <c r="CL613" i="1"/>
  <c r="AH575" i="1"/>
  <c r="V616" i="1"/>
  <c r="AC575" i="1"/>
  <c r="CF609" i="1"/>
  <c r="N575" i="1"/>
  <c r="BJ603" i="1"/>
  <c r="I575" i="1"/>
  <c r="CL602" i="1"/>
  <c r="BB574" i="1"/>
  <c r="BN595" i="1"/>
  <c r="AW574" i="1"/>
  <c r="K582" i="1"/>
  <c r="CK590" i="1"/>
  <c r="DB601" i="1"/>
  <c r="CY588" i="1"/>
  <c r="CY581" i="1"/>
  <c r="Y573" i="1"/>
  <c r="U573" i="1"/>
  <c r="DE572" i="1"/>
  <c r="AO572" i="1"/>
  <c r="O559" i="1"/>
  <c r="DE558" i="1"/>
  <c r="S557" i="1"/>
  <c r="DI556" i="1"/>
  <c r="BA572" i="1"/>
  <c r="AW572" i="1"/>
  <c r="AC572" i="1"/>
  <c r="BQ571" i="1"/>
  <c r="AQ558" i="1"/>
  <c r="AC558" i="1"/>
  <c r="AU556" i="1"/>
  <c r="CK562" i="1"/>
  <c r="Q552" i="1"/>
  <c r="AN575" i="1"/>
  <c r="H597" i="1"/>
  <c r="I577" i="1"/>
  <c r="BM567" i="1"/>
  <c r="J577" i="1"/>
  <c r="BN567" i="1"/>
  <c r="DI576" i="1"/>
  <c r="BI567" i="1"/>
  <c r="CT576" i="1"/>
  <c r="AT567" i="1"/>
  <c r="CO576" i="1"/>
  <c r="AO567" i="1"/>
  <c r="AD576" i="1"/>
  <c r="CH566" i="1"/>
  <c r="Y576" i="1"/>
  <c r="CC566" i="1"/>
  <c r="AN577" i="1"/>
  <c r="CR567" i="1"/>
  <c r="DC562" i="1"/>
  <c r="BC553" i="1"/>
  <c r="DB562" i="1"/>
  <c r="BB553" i="1"/>
  <c r="CO562" i="1"/>
  <c r="AO553" i="1"/>
  <c r="AR575" i="1"/>
  <c r="N599" i="1"/>
  <c r="DG560" i="1"/>
  <c r="BF598" i="1"/>
  <c r="DF560" i="1"/>
  <c r="CX594" i="1"/>
  <c r="CS560" i="1"/>
  <c r="CD581" i="1"/>
  <c r="BP574" i="1"/>
  <c r="BJ584" i="1"/>
  <c r="AK576" i="1"/>
  <c r="CO566" i="1"/>
  <c r="AL576" i="1"/>
  <c r="CP566" i="1"/>
  <c r="AG576" i="1"/>
  <c r="CK566" i="1"/>
  <c r="R576" i="1"/>
  <c r="BV566" i="1"/>
  <c r="M576" i="1"/>
  <c r="BQ566" i="1"/>
  <c r="BF575" i="1"/>
  <c r="F566" i="1"/>
  <c r="BA575" i="1"/>
  <c r="DE565" i="1"/>
  <c r="BP576" i="1"/>
  <c r="P567" i="1"/>
  <c r="AA562" i="1"/>
  <c r="CE552" i="1"/>
  <c r="AH586" i="1"/>
  <c r="AE588" i="1"/>
  <c r="CQ585" i="1"/>
  <c r="T589" i="1"/>
  <c r="N585" i="1"/>
  <c r="DB584" i="1"/>
  <c r="AL583" i="1"/>
  <c r="CX579" i="1"/>
  <c r="AP582" i="1"/>
  <c r="W567" i="1"/>
  <c r="BT578" i="1"/>
  <c r="AD564" i="1"/>
  <c r="CR577" i="1"/>
  <c r="DF579" i="1"/>
  <c r="CH579" i="1"/>
  <c r="CX578" i="1"/>
  <c r="CR579" i="1"/>
  <c r="BB565" i="1"/>
  <c r="CV577" i="1"/>
  <c r="BF563" i="1"/>
  <c r="BU558" i="1"/>
  <c r="AT587" i="1"/>
  <c r="AR572" i="1"/>
  <c r="AE572" i="1"/>
  <c r="M574" i="1"/>
  <c r="BC583" i="1"/>
  <c r="N574" i="1"/>
  <c r="N594" i="1"/>
  <c r="I574" i="1"/>
  <c r="CE582" i="1"/>
  <c r="CX573" i="1"/>
  <c r="AP593" i="1"/>
  <c r="CS573" i="1"/>
  <c r="AQ581" i="1"/>
  <c r="AH573" i="1"/>
  <c r="CP590" i="1"/>
  <c r="AC573" i="1"/>
  <c r="BV590" i="1"/>
  <c r="AR574" i="1"/>
  <c r="DF580" i="1"/>
  <c r="DG559" i="1"/>
  <c r="CP580" i="1"/>
  <c r="DF559" i="1"/>
  <c r="CE579" i="1"/>
  <c r="CS559" i="1"/>
  <c r="BJ587" i="1"/>
  <c r="AV572" i="1"/>
  <c r="AU572" i="1"/>
  <c r="G558" i="1"/>
  <c r="AQ572" i="1"/>
  <c r="F558" i="1"/>
  <c r="CU571" i="1"/>
  <c r="CW557" i="1"/>
  <c r="AX584" i="1"/>
  <c r="BT571" i="1"/>
  <c r="AI569" i="1"/>
  <c r="AO573" i="1"/>
  <c r="BG581" i="1"/>
  <c r="AP573" i="1"/>
  <c r="R591" i="1"/>
  <c r="AK573" i="1"/>
  <c r="O581" i="1"/>
  <c r="V573" i="1"/>
  <c r="AT590" i="1"/>
  <c r="BK563" i="1"/>
  <c r="AW563" i="1"/>
  <c r="BO561" i="1"/>
  <c r="BA561" i="1"/>
  <c r="CW576" i="1"/>
  <c r="CS576" i="1"/>
  <c r="I579" i="1"/>
  <c r="BF578" i="1"/>
  <c r="AW578" i="1"/>
  <c r="BL579" i="1"/>
  <c r="W565" i="1"/>
  <c r="S570" i="1"/>
  <c r="BB557" i="1"/>
  <c r="BW569" i="1"/>
  <c r="AO557" i="1"/>
  <c r="AR579" i="1"/>
  <c r="CV569" i="1"/>
  <c r="DG564" i="1"/>
  <c r="BG555" i="1"/>
  <c r="DF564" i="1"/>
  <c r="BF555" i="1"/>
  <c r="CS564" i="1"/>
  <c r="AS555" i="1"/>
  <c r="BP578" i="1"/>
  <c r="P569" i="1"/>
  <c r="AA564" i="1"/>
  <c r="W555" i="1"/>
  <c r="BV564" i="1"/>
  <c r="V555" i="1"/>
  <c r="BI564" i="1"/>
  <c r="I555" i="1"/>
  <c r="AF578" i="1"/>
  <c r="CJ568" i="1"/>
  <c r="CU563" i="1"/>
  <c r="AU554" i="1"/>
  <c r="CT563" i="1"/>
  <c r="AT554" i="1"/>
  <c r="CG563" i="1"/>
  <c r="AG554" i="1"/>
  <c r="AU550" i="1"/>
  <c r="CY540" i="1"/>
  <c r="AY531" i="1"/>
  <c r="DC521" i="1"/>
  <c r="AP550" i="1"/>
  <c r="CT540" i="1"/>
  <c r="AT531" i="1"/>
  <c r="CX521" i="1"/>
  <c r="BW546" i="1"/>
  <c r="W537" i="1"/>
  <c r="CA527" i="1"/>
  <c r="CA579" i="1"/>
  <c r="BR546" i="1"/>
  <c r="R537" i="1"/>
  <c r="BV527" i="1"/>
  <c r="X552" i="1"/>
  <c r="AM542" i="1"/>
  <c r="CQ532" i="1"/>
  <c r="AQ523" i="1"/>
  <c r="CQ553" i="1"/>
  <c r="AL563" i="1"/>
  <c r="CP553" i="1"/>
  <c r="Y563" i="1"/>
  <c r="CC553" i="1"/>
  <c r="CZ576" i="1"/>
  <c r="AZ567" i="1"/>
  <c r="BK562" i="1"/>
  <c r="K553" i="1"/>
  <c r="BJ562" i="1"/>
  <c r="J553" i="1"/>
  <c r="AW562" i="1"/>
  <c r="DA552" i="1"/>
  <c r="K549" i="1"/>
  <c r="BO539" i="1"/>
  <c r="O530" i="1"/>
  <c r="BS520" i="1"/>
  <c r="F549" i="1"/>
  <c r="BJ539" i="1"/>
  <c r="J530" i="1"/>
  <c r="X564" i="1"/>
  <c r="AM545" i="1"/>
  <c r="CQ535" i="1"/>
  <c r="AQ526" i="1"/>
  <c r="DH563" i="1"/>
  <c r="AH545" i="1"/>
  <c r="CL535" i="1"/>
  <c r="AL526" i="1"/>
  <c r="BC550" i="1"/>
  <c r="DG540" i="1"/>
  <c r="BG531" i="1"/>
  <c r="G522" i="1"/>
  <c r="CA553" i="1"/>
  <c r="V563" i="1"/>
  <c r="BZ553" i="1"/>
  <c r="I563" i="1"/>
  <c r="BM553" i="1"/>
  <c r="CJ576" i="1"/>
  <c r="AJ567" i="1"/>
  <c r="AU562" i="1"/>
  <c r="CY552" i="1"/>
  <c r="AT562" i="1"/>
  <c r="CX552" i="1"/>
  <c r="AG562" i="1"/>
  <c r="CK552" i="1"/>
  <c r="CY548" i="1"/>
  <c r="AY539" i="1"/>
  <c r="DC529" i="1"/>
  <c r="BC520" i="1"/>
  <c r="CT548" i="1"/>
  <c r="AT539" i="1"/>
  <c r="CX529" i="1"/>
  <c r="BP563" i="1"/>
  <c r="W545" i="1"/>
  <c r="CA535" i="1"/>
  <c r="AA526" i="1"/>
  <c r="AV563" i="1"/>
  <c r="R545" i="1"/>
  <c r="BV535" i="1"/>
  <c r="V526" i="1"/>
  <c r="AM550" i="1"/>
  <c r="CQ540" i="1"/>
  <c r="AQ531" i="1"/>
  <c r="CU521" i="1"/>
  <c r="DC552" i="1"/>
  <c r="AX562" i="1"/>
  <c r="DB552" i="1"/>
  <c r="AK562" i="1"/>
  <c r="W561" i="1"/>
  <c r="I561" i="1"/>
  <c r="AA559" i="1"/>
  <c r="M559" i="1"/>
  <c r="BI574" i="1"/>
  <c r="BE574" i="1"/>
  <c r="CS577" i="1"/>
  <c r="AH577" i="1"/>
  <c r="AC577" i="1"/>
  <c r="AR578" i="1"/>
  <c r="DG563" i="1"/>
  <c r="CI567" i="1"/>
  <c r="CT556" i="1"/>
  <c r="AI567" i="1"/>
  <c r="CG556" i="1"/>
  <c r="CJ578" i="1"/>
  <c r="AJ569" i="1"/>
  <c r="AU564" i="1"/>
  <c r="CY554" i="1"/>
  <c r="AT564" i="1"/>
  <c r="CX554" i="1"/>
  <c r="AG564" i="1"/>
  <c r="CK554" i="1"/>
  <c r="DH577" i="1"/>
  <c r="BH568" i="1"/>
  <c r="BS563" i="1"/>
  <c r="BO554" i="1"/>
  <c r="J564" i="1"/>
  <c r="BN554" i="1"/>
  <c r="DA563" i="1"/>
  <c r="BA554" i="1"/>
  <c r="BX577" i="1"/>
  <c r="X568" i="1"/>
  <c r="AI563" i="1"/>
  <c r="CM553" i="1"/>
  <c r="AH563" i="1"/>
  <c r="CL553" i="1"/>
  <c r="U563" i="1"/>
  <c r="BY553" i="1"/>
  <c r="CM549" i="1"/>
  <c r="AM540" i="1"/>
  <c r="CQ530" i="1"/>
  <c r="AQ521" i="1"/>
  <c r="CH549" i="1"/>
  <c r="AH540" i="1"/>
  <c r="CL530" i="1"/>
  <c r="BW578" i="1"/>
  <c r="K546" i="1"/>
  <c r="BO536" i="1"/>
  <c r="O527" i="1"/>
  <c r="AA570" i="1"/>
  <c r="F546" i="1"/>
  <c r="BJ536" i="1"/>
  <c r="J527" i="1"/>
  <c r="AA551" i="1"/>
  <c r="CE541" i="1"/>
  <c r="AE532" i="1"/>
  <c r="CI522" i="1"/>
  <c r="AE553" i="1"/>
  <c r="CD562" i="1"/>
  <c r="AD553" i="1"/>
  <c r="BQ562" i="1"/>
  <c r="Q553" i="1"/>
  <c r="AN576" i="1"/>
  <c r="CR566" i="1"/>
  <c r="DC561" i="1"/>
  <c r="BC552" i="1"/>
  <c r="DB561" i="1"/>
  <c r="BB552" i="1"/>
  <c r="CO561" i="1"/>
  <c r="AO552" i="1"/>
  <c r="BC548" i="1"/>
  <c r="DG538" i="1"/>
  <c r="BG529" i="1"/>
  <c r="G520" i="1"/>
  <c r="AX548" i="1"/>
  <c r="DB538" i="1"/>
  <c r="BB529" i="1"/>
  <c r="CN561" i="1"/>
  <c r="CE544" i="1"/>
  <c r="AE535" i="1"/>
  <c r="CI525" i="1"/>
  <c r="BT561" i="1"/>
  <c r="BZ544" i="1"/>
  <c r="Z535" i="1"/>
  <c r="CD525" i="1"/>
  <c r="CU549" i="1"/>
  <c r="AU540" i="1"/>
  <c r="CY530" i="1"/>
  <c r="AY521" i="1"/>
  <c r="O553" i="1"/>
  <c r="BN562" i="1"/>
  <c r="N553" i="1"/>
  <c r="BA562" i="1"/>
  <c r="DE552" i="1"/>
  <c r="X576" i="1"/>
  <c r="CB566" i="1"/>
  <c r="CM561" i="1"/>
  <c r="AM552" i="1"/>
  <c r="CL561" i="1"/>
  <c r="AL552" i="1"/>
  <c r="BY561" i="1"/>
  <c r="Y552" i="1"/>
  <c r="AM548" i="1"/>
  <c r="CQ538" i="1"/>
  <c r="AQ529" i="1"/>
  <c r="CU519" i="1"/>
  <c r="AH548" i="1"/>
  <c r="CL538" i="1"/>
  <c r="AL529" i="1"/>
  <c r="AB561" i="1"/>
  <c r="BO544" i="1"/>
  <c r="O535" i="1"/>
  <c r="BS525" i="1"/>
  <c r="H561" i="1"/>
  <c r="BJ544" i="1"/>
  <c r="J535" i="1"/>
  <c r="BN525" i="1"/>
  <c r="CE549" i="1"/>
  <c r="AE540" i="1"/>
  <c r="CI530" i="1"/>
  <c r="AI521" i="1"/>
  <c r="AQ552" i="1"/>
  <c r="CP561" i="1"/>
  <c r="AP552" i="1"/>
  <c r="CC561" i="1"/>
  <c r="AC552" i="1"/>
  <c r="DB590" i="1"/>
  <c r="BC575" i="1"/>
  <c r="CL582" i="1"/>
  <c r="BS567" i="1"/>
  <c r="CZ579" i="1"/>
  <c r="BR595" i="1"/>
  <c r="DF593" i="1"/>
  <c r="DA571" i="1"/>
  <c r="AP571" i="1"/>
  <c r="AK571" i="1"/>
  <c r="AZ572" i="1"/>
  <c r="K558" i="1"/>
  <c r="AT563" i="1"/>
  <c r="CX553" i="1"/>
  <c r="AG563" i="1"/>
  <c r="CK553" i="1"/>
  <c r="CN575" i="1"/>
  <c r="AN566" i="1"/>
  <c r="AY561" i="1"/>
  <c r="DC551" i="1"/>
  <c r="AX561" i="1"/>
  <c r="DB551" i="1"/>
  <c r="AK561" i="1"/>
  <c r="CO551" i="1"/>
  <c r="H575" i="1"/>
  <c r="BV591" i="1"/>
  <c r="O561" i="1"/>
  <c r="T609" i="1"/>
  <c r="N561" i="1"/>
  <c r="CX597" i="1"/>
  <c r="DE560" i="1"/>
  <c r="CP588" i="1"/>
  <c r="CB574" i="1"/>
  <c r="AL586" i="1"/>
  <c r="AM560" i="1"/>
  <c r="V586" i="1"/>
  <c r="AL560" i="1"/>
  <c r="AD584" i="1"/>
  <c r="Y560" i="1"/>
  <c r="CI569" i="1"/>
  <c r="CQ546" i="1"/>
  <c r="AQ537" i="1"/>
  <c r="CU527" i="1"/>
  <c r="BR590" i="1"/>
  <c r="CL546" i="1"/>
  <c r="AL537" i="1"/>
  <c r="CP527" i="1"/>
  <c r="AJ555" i="1"/>
  <c r="O543" i="1"/>
  <c r="BS533" i="1"/>
  <c r="S524" i="1"/>
  <c r="P555" i="1"/>
  <c r="J543" i="1"/>
  <c r="BN533" i="1"/>
  <c r="N524" i="1"/>
  <c r="AE548" i="1"/>
  <c r="CI538" i="1"/>
  <c r="AI529" i="1"/>
  <c r="CI559" i="1"/>
  <c r="AM579" i="1"/>
  <c r="CH559" i="1"/>
  <c r="CQ578" i="1"/>
  <c r="BU559" i="1"/>
  <c r="DF591" i="1"/>
  <c r="AR573" i="1"/>
  <c r="AE576" i="1"/>
  <c r="DG558" i="1"/>
  <c r="AA576" i="1"/>
  <c r="DF558" i="1"/>
  <c r="CE575" i="1"/>
  <c r="CS558" i="1"/>
  <c r="CZ564" i="1"/>
  <c r="BG545" i="1"/>
  <c r="G536" i="1"/>
  <c r="BK526" i="1"/>
  <c r="CF564" i="1"/>
  <c r="BB545" i="1"/>
  <c r="DF535" i="1"/>
  <c r="BF526" i="1"/>
  <c r="AE551" i="1"/>
  <c r="CI541" i="1"/>
  <c r="AI532" i="1"/>
  <c r="CM522" i="1"/>
  <c r="Z551" i="1"/>
  <c r="CD541" i="1"/>
  <c r="AD532" i="1"/>
  <c r="CH522" i="1"/>
  <c r="CY546" i="1"/>
  <c r="AY537" i="1"/>
  <c r="DC527" i="1"/>
  <c r="BS559" i="1"/>
  <c r="CE578" i="1"/>
  <c r="BR559" i="1"/>
  <c r="AE578" i="1"/>
  <c r="BE559" i="1"/>
  <c r="N591" i="1"/>
  <c r="AB573" i="1"/>
  <c r="BW575" i="1"/>
  <c r="CQ558" i="1"/>
  <c r="BS575" i="1"/>
  <c r="CP558" i="1"/>
  <c r="CE551" i="1"/>
  <c r="CJ606" i="1"/>
  <c r="M561" i="1"/>
  <c r="T596" i="1"/>
  <c r="CE547" i="1"/>
  <c r="AE538" i="1"/>
  <c r="CI528" i="1"/>
  <c r="AI519" i="1"/>
  <c r="BZ547" i="1"/>
  <c r="Z538" i="1"/>
  <c r="CD528" i="1"/>
  <c r="CR558" i="1"/>
  <c r="DG543" i="1"/>
  <c r="BG534" i="1"/>
  <c r="G525" i="1"/>
  <c r="BX558" i="1"/>
  <c r="DB543" i="1"/>
  <c r="BB534" i="1"/>
  <c r="DF524" i="1"/>
  <c r="S549" i="1"/>
  <c r="BW539" i="1"/>
  <c r="W530" i="1"/>
  <c r="AE561" i="1"/>
  <c r="CI551" i="1"/>
  <c r="AD561" i="1"/>
  <c r="CH551" i="1"/>
  <c r="Q561" i="1"/>
  <c r="AY604" i="1"/>
  <c r="G566" i="1"/>
  <c r="CK565" i="1"/>
  <c r="DC563" i="1"/>
  <c r="CO563" i="1"/>
  <c r="W563" i="1"/>
  <c r="AC579" i="1"/>
  <c r="CX580" i="1"/>
  <c r="AP580" i="1"/>
  <c r="BQ579" i="1"/>
  <c r="DB582" i="1"/>
  <c r="CM567" i="1"/>
  <c r="BG572" i="1"/>
  <c r="J558" i="1"/>
  <c r="G572" i="1"/>
  <c r="DA557" i="1"/>
  <c r="DD579" i="1"/>
  <c r="BD570" i="1"/>
  <c r="BO565" i="1"/>
  <c r="O556" i="1"/>
  <c r="BN565" i="1"/>
  <c r="N556" i="1"/>
  <c r="BA565" i="1"/>
  <c r="DE555" i="1"/>
  <c r="X579" i="1"/>
  <c r="CB569" i="1"/>
  <c r="CM564" i="1"/>
  <c r="CI555" i="1"/>
  <c r="AD565" i="1"/>
  <c r="CH555" i="1"/>
  <c r="Q565" i="1"/>
  <c r="BU555" i="1"/>
  <c r="CR578" i="1"/>
  <c r="AR569" i="1"/>
  <c r="BC564" i="1"/>
  <c r="DG554" i="1"/>
  <c r="BB564" i="1"/>
  <c r="DF554" i="1"/>
  <c r="AO564" i="1"/>
  <c r="CS554" i="1"/>
  <c r="DG550" i="1"/>
  <c r="BG541" i="1"/>
  <c r="G532" i="1"/>
  <c r="BK522" i="1"/>
  <c r="DB550" i="1"/>
  <c r="BB541" i="1"/>
  <c r="DF531" i="1"/>
  <c r="BF522" i="1"/>
  <c r="AE547" i="1"/>
  <c r="CI537" i="1"/>
  <c r="AI528" i="1"/>
  <c r="CM518" i="1"/>
  <c r="Z547" i="1"/>
  <c r="CD537" i="1"/>
  <c r="AD528" i="1"/>
  <c r="BL554" i="1"/>
  <c r="CY542" i="1"/>
  <c r="AY533" i="1"/>
  <c r="DC523" i="1"/>
  <c r="AY554" i="1"/>
  <c r="CX563" i="1"/>
  <c r="AX554" i="1"/>
  <c r="CK563" i="1"/>
  <c r="AK554" i="1"/>
  <c r="BH577" i="1"/>
  <c r="H568" i="1"/>
  <c r="S563" i="1"/>
  <c r="BW553" i="1"/>
  <c r="R563" i="1"/>
  <c r="BV553" i="1"/>
  <c r="DI562" i="1"/>
  <c r="BI553" i="1"/>
  <c r="BW549" i="1"/>
  <c r="W540" i="1"/>
  <c r="CA530" i="1"/>
  <c r="AA521" i="1"/>
  <c r="BR549" i="1"/>
  <c r="R540" i="1"/>
  <c r="BV530" i="1"/>
  <c r="DC570" i="1"/>
  <c r="CY545" i="1"/>
  <c r="AY536" i="1"/>
  <c r="DC526" i="1"/>
  <c r="CQ567" i="1"/>
  <c r="CT545" i="1"/>
  <c r="AT536" i="1"/>
  <c r="CX526" i="1"/>
  <c r="K551" i="1"/>
  <c r="BO541" i="1"/>
  <c r="O532" i="1"/>
  <c r="BS522" i="1"/>
  <c r="AI554" i="1"/>
  <c r="CH563" i="1"/>
  <c r="AH554" i="1"/>
  <c r="BU563" i="1"/>
  <c r="U554" i="1"/>
  <c r="AR577" i="1"/>
  <c r="CV567" i="1"/>
  <c r="DG562" i="1"/>
  <c r="BG553" i="1"/>
  <c r="DF562" i="1"/>
  <c r="BF553" i="1"/>
  <c r="CS562" i="1"/>
  <c r="AS553" i="1"/>
  <c r="BG549" i="1"/>
  <c r="G540" i="1"/>
  <c r="BK530" i="1"/>
  <c r="K521" i="1"/>
  <c r="BB549" i="1"/>
  <c r="DF539" i="1"/>
  <c r="BF530" i="1"/>
  <c r="DG567" i="1"/>
  <c r="CI545" i="1"/>
  <c r="AI536" i="1"/>
  <c r="CM526" i="1"/>
  <c r="CJ565" i="1"/>
  <c r="CD545" i="1"/>
  <c r="AD536" i="1"/>
  <c r="CH526" i="1"/>
  <c r="CY550" i="1"/>
  <c r="AY541" i="1"/>
  <c r="DC531" i="1"/>
  <c r="BC522" i="1"/>
  <c r="BK553" i="1"/>
  <c r="F563" i="1"/>
  <c r="BJ553" i="1"/>
  <c r="CW562" i="1"/>
  <c r="AW553" i="1"/>
  <c r="BT576" i="1"/>
  <c r="AF574" i="1"/>
  <c r="CM579" i="1"/>
  <c r="CU559" i="1"/>
  <c r="CI579" i="1"/>
  <c r="CT559" i="1"/>
  <c r="AI579" i="1"/>
  <c r="CG559" i="1"/>
  <c r="L565" i="1"/>
  <c r="AU546" i="1"/>
  <c r="CY536" i="1"/>
  <c r="AY527" i="1"/>
  <c r="BK575" i="1"/>
  <c r="AP546" i="1"/>
  <c r="CT536" i="1"/>
  <c r="AT527" i="1"/>
  <c r="BH553" i="1"/>
  <c r="BW542" i="1"/>
  <c r="W533" i="1"/>
  <c r="CA523" i="1"/>
  <c r="AN553" i="1"/>
  <c r="BR542" i="1"/>
  <c r="R533" i="1"/>
  <c r="BV523" i="1"/>
  <c r="CM547" i="1"/>
  <c r="AM538" i="1"/>
  <c r="CQ528" i="1"/>
  <c r="CM519" i="1"/>
  <c r="Z548" i="1"/>
  <c r="CD538" i="1"/>
  <c r="AD529" i="1"/>
  <c r="CH519" i="1"/>
  <c r="K548" i="1"/>
  <c r="BO538" i="1"/>
  <c r="O529" i="1"/>
  <c r="BS519" i="1"/>
  <c r="F548" i="1"/>
  <c r="BJ538" i="1"/>
  <c r="J529" i="1"/>
  <c r="BN519" i="1"/>
  <c r="AO550" i="1"/>
  <c r="CS540" i="1"/>
  <c r="AS531" i="1"/>
  <c r="CW521" i="1"/>
  <c r="BD531" i="1"/>
  <c r="AL512" i="1"/>
  <c r="CP502" i="1"/>
  <c r="AP493" i="1"/>
  <c r="U550" i="1"/>
  <c r="BY540" i="1"/>
  <c r="Y531" i="1"/>
  <c r="CC521" i="1"/>
  <c r="CF530" i="1"/>
  <c r="R512" i="1"/>
  <c r="BV502" i="1"/>
  <c r="V493" i="1"/>
  <c r="AC549" i="1"/>
  <c r="CG539" i="1"/>
  <c r="AG530" i="1"/>
  <c r="CK520" i="1"/>
  <c r="H527" i="1"/>
  <c r="Z511" i="1"/>
  <c r="CD501" i="1"/>
  <c r="BO576" i="1"/>
  <c r="AC546" i="1"/>
  <c r="CG536" i="1"/>
  <c r="AG527" i="1"/>
  <c r="CN556" i="1"/>
  <c r="BZ517" i="1"/>
  <c r="Z508" i="1"/>
  <c r="CD498" i="1"/>
  <c r="L556" i="1"/>
  <c r="CR538" i="1"/>
  <c r="DA513" i="1"/>
  <c r="BA504" i="1"/>
  <c r="DE494" i="1"/>
  <c r="BT537" i="1"/>
  <c r="CR513" i="1"/>
  <c r="AR504" i="1"/>
  <c r="CV494" i="1"/>
  <c r="BX556" i="1"/>
  <c r="BM516" i="1"/>
  <c r="M507" i="1"/>
  <c r="BQ497" i="1"/>
  <c r="T548" i="1"/>
  <c r="BD516" i="1"/>
  <c r="DH506" i="1"/>
  <c r="BH497" i="1"/>
  <c r="BH552" i="1"/>
  <c r="AS516" i="1"/>
  <c r="CW506" i="1"/>
  <c r="K519" i="1"/>
  <c r="BB547" i="1"/>
  <c r="DF537" i="1"/>
  <c r="BF528" i="1"/>
  <c r="F519" i="1"/>
  <c r="AM547" i="1"/>
  <c r="CQ537" i="1"/>
  <c r="AQ528" i="1"/>
  <c r="CU518" i="1"/>
  <c r="AH547" i="1"/>
  <c r="CL537" i="1"/>
  <c r="AL528" i="1"/>
  <c r="CP518" i="1"/>
  <c r="BQ549" i="1"/>
  <c r="Q540" i="1"/>
  <c r="BU530" i="1"/>
  <c r="U521" i="1"/>
  <c r="BH528" i="1"/>
  <c r="BN511" i="1"/>
  <c r="N502" i="1"/>
  <c r="BR492" i="1"/>
  <c r="AW549" i="1"/>
  <c r="DA539" i="1"/>
  <c r="BA530" i="1"/>
  <c r="DE520" i="1"/>
  <c r="CJ527" i="1"/>
  <c r="AT511" i="1"/>
  <c r="CX501" i="1"/>
  <c r="AX492" i="1"/>
  <c r="BE548" i="1"/>
  <c r="DI538" i="1"/>
  <c r="BI529" i="1"/>
  <c r="I520" i="1"/>
  <c r="L524" i="1"/>
  <c r="BB510" i="1"/>
  <c r="DF500" i="1"/>
  <c r="CR564" i="1"/>
  <c r="BE545" i="1"/>
  <c r="BX573" i="1"/>
  <c r="AY577" i="1"/>
  <c r="AI559" i="1"/>
  <c r="AU577" i="1"/>
  <c r="AH559" i="1"/>
  <c r="CY576" i="1"/>
  <c r="U559" i="1"/>
  <c r="BO568" i="1"/>
  <c r="CM545" i="1"/>
  <c r="AM536" i="1"/>
  <c r="CQ526" i="1"/>
  <c r="K566" i="1"/>
  <c r="CH545" i="1"/>
  <c r="AH536" i="1"/>
  <c r="CL526" i="1"/>
  <c r="BK551" i="1"/>
  <c r="K542" i="1"/>
  <c r="BO532" i="1"/>
  <c r="O523" i="1"/>
  <c r="BF551" i="1"/>
  <c r="F542" i="1"/>
  <c r="BJ532" i="1"/>
  <c r="J523" i="1"/>
  <c r="AA547" i="1"/>
  <c r="CE537" i="1"/>
  <c r="AE528" i="1"/>
  <c r="AA519" i="1"/>
  <c r="BR547" i="1"/>
  <c r="R538" i="1"/>
  <c r="BV528" i="1"/>
  <c r="V519" i="1"/>
  <c r="BC547" i="1"/>
  <c r="DG537" i="1"/>
  <c r="BG528" i="1"/>
  <c r="G519" i="1"/>
  <c r="AX547" i="1"/>
  <c r="DB537" i="1"/>
  <c r="BB528" i="1"/>
  <c r="DF518" i="1"/>
  <c r="CG549" i="1"/>
  <c r="AG540" i="1"/>
  <c r="CK530" i="1"/>
  <c r="AK521" i="1"/>
  <c r="P529" i="1"/>
  <c r="CD511" i="1"/>
  <c r="AD502" i="1"/>
  <c r="CH492" i="1"/>
  <c r="BM549" i="1"/>
  <c r="M540" i="1"/>
  <c r="BQ530" i="1"/>
  <c r="Q521" i="1"/>
  <c r="AR528" i="1"/>
  <c r="BJ511" i="1"/>
  <c r="J502" i="1"/>
  <c r="BN492" i="1"/>
  <c r="BU548" i="1"/>
  <c r="U539" i="1"/>
  <c r="BY529" i="1"/>
  <c r="Y520" i="1"/>
  <c r="BX524" i="1"/>
  <c r="BR510" i="1"/>
  <c r="R501" i="1"/>
  <c r="AZ565" i="1"/>
  <c r="BU545" i="1"/>
  <c r="U536" i="1"/>
  <c r="BY526" i="1"/>
  <c r="BP550" i="1"/>
  <c r="N517" i="1"/>
  <c r="BR507" i="1"/>
  <c r="R498" i="1"/>
  <c r="AV550" i="1"/>
  <c r="CF535" i="1"/>
  <c r="AO513" i="1"/>
  <c r="CS503" i="1"/>
  <c r="AS494" i="1"/>
  <c r="AF535" i="1"/>
  <c r="AF513" i="1"/>
  <c r="CJ503" i="1"/>
  <c r="AJ494" i="1"/>
  <c r="BX549" i="1"/>
  <c r="DE515" i="1"/>
  <c r="BE506" i="1"/>
  <c r="DI496" i="1"/>
  <c r="CJ545" i="1"/>
  <c r="CV515" i="1"/>
  <c r="AV506" i="1"/>
  <c r="CZ496" i="1"/>
  <c r="CJ548" i="1"/>
  <c r="CK515" i="1"/>
  <c r="AK506" i="1"/>
  <c r="AP595" i="1"/>
  <c r="CT546" i="1"/>
  <c r="AT537" i="1"/>
  <c r="CX527" i="1"/>
  <c r="AT592" i="1"/>
  <c r="CE546" i="1"/>
  <c r="AE537" i="1"/>
  <c r="CI527" i="1"/>
  <c r="BF583" i="1"/>
  <c r="BZ546" i="1"/>
  <c r="Z537" i="1"/>
  <c r="CD527" i="1"/>
  <c r="BJ580" i="1"/>
  <c r="DI548" i="1"/>
  <c r="BI539" i="1"/>
  <c r="I530" i="1"/>
  <c r="BM520" i="1"/>
  <c r="T526" i="1"/>
  <c r="DF510" i="1"/>
  <c r="BF501" i="1"/>
  <c r="F492" i="1"/>
  <c r="CO548" i="1"/>
  <c r="AO539" i="1"/>
  <c r="CS529" i="1"/>
  <c r="AS520" i="1"/>
  <c r="AV525" i="1"/>
  <c r="CL510" i="1"/>
  <c r="AL501" i="1"/>
  <c r="AL521" i="1"/>
  <c r="CW547" i="1"/>
  <c r="AW538" i="1"/>
  <c r="DA528" i="1"/>
  <c r="BA519" i="1"/>
  <c r="CB521" i="1"/>
  <c r="CT509" i="1"/>
  <c r="AT500" i="1"/>
  <c r="BD562" i="1"/>
  <c r="CW544" i="1"/>
  <c r="L573" i="1"/>
  <c r="K575" i="1"/>
  <c r="CA558" i="1"/>
  <c r="G575" i="1"/>
  <c r="BZ558" i="1"/>
  <c r="BK574" i="1"/>
  <c r="BM558" i="1"/>
  <c r="CF563" i="1"/>
  <c r="AA545" i="1"/>
  <c r="CE535" i="1"/>
  <c r="AE526" i="1"/>
  <c r="BL563" i="1"/>
  <c r="V545" i="1"/>
  <c r="BZ535" i="1"/>
  <c r="Z526" i="1"/>
  <c r="DC550" i="1"/>
  <c r="BC541" i="1"/>
  <c r="DG531" i="1"/>
  <c r="BG522" i="1"/>
  <c r="CX550" i="1"/>
  <c r="AX541" i="1"/>
  <c r="DB531" i="1"/>
  <c r="BB522" i="1"/>
  <c r="BS546" i="1"/>
  <c r="S537" i="1"/>
  <c r="BW527" i="1"/>
  <c r="BS518" i="1"/>
  <c r="F547" i="1"/>
  <c r="BJ537" i="1"/>
  <c r="J528" i="1"/>
  <c r="BN518" i="1"/>
  <c r="CU546" i="1"/>
  <c r="AU537" i="1"/>
  <c r="CY527" i="1"/>
  <c r="DF592" i="1"/>
  <c r="CP546" i="1"/>
  <c r="AP537" i="1"/>
  <c r="CT527" i="1"/>
  <c r="F590" i="1"/>
  <c r="U549" i="1"/>
  <c r="BY539" i="1"/>
  <c r="Y530" i="1"/>
  <c r="CC520" i="1"/>
  <c r="CF526" i="1"/>
  <c r="R511" i="1"/>
  <c r="BV501" i="1"/>
  <c r="V492" i="1"/>
  <c r="DE548" i="1"/>
  <c r="BE539" i="1"/>
  <c r="DI529" i="1"/>
  <c r="BI520" i="1"/>
  <c r="DH525" i="1"/>
  <c r="DB510" i="1"/>
  <c r="BB501" i="1"/>
  <c r="CD521" i="1"/>
  <c r="I548" i="1"/>
  <c r="BM538" i="1"/>
  <c r="M529" i="1"/>
  <c r="BQ519" i="1"/>
  <c r="AJ522" i="1"/>
  <c r="F510" i="1"/>
  <c r="BJ500" i="1"/>
  <c r="L563" i="1"/>
  <c r="I545" i="1"/>
  <c r="BM535" i="1"/>
  <c r="M526" i="1"/>
  <c r="AB548" i="1"/>
  <c r="BF516" i="1"/>
  <c r="F507" i="1"/>
  <c r="BJ497" i="1"/>
  <c r="H548" i="1"/>
  <c r="AB533" i="1"/>
  <c r="CG512" i="1"/>
  <c r="AG503" i="1"/>
  <c r="CK493" i="1"/>
  <c r="CV532" i="1"/>
  <c r="BX512" i="1"/>
  <c r="X503" i="1"/>
  <c r="CB493" i="1"/>
  <c r="BL546" i="1"/>
  <c r="AS515" i="1"/>
  <c r="CW505" i="1"/>
  <c r="AW496" i="1"/>
  <c r="AV543" i="1"/>
  <c r="AJ515" i="1"/>
  <c r="CN505" i="1"/>
  <c r="AN496" i="1"/>
  <c r="BH545" i="1"/>
  <c r="Y515" i="1"/>
  <c r="CC505" i="1"/>
  <c r="AQ574" i="1"/>
  <c r="AH546" i="1"/>
  <c r="CL536" i="1"/>
  <c r="AL527" i="1"/>
  <c r="BN593" i="1"/>
  <c r="S546" i="1"/>
  <c r="BW536" i="1"/>
  <c r="W527" i="1"/>
  <c r="AU571" i="1"/>
  <c r="Z561" i="1"/>
  <c r="S575" i="1"/>
  <c r="CC558" i="1"/>
  <c r="AN564" i="1"/>
  <c r="AQ545" i="1"/>
  <c r="CU535" i="1"/>
  <c r="AU526" i="1"/>
  <c r="T564" i="1"/>
  <c r="AL545" i="1"/>
  <c r="CP535" i="1"/>
  <c r="AP526" i="1"/>
  <c r="O551" i="1"/>
  <c r="BS541" i="1"/>
  <c r="S532" i="1"/>
  <c r="BW522" i="1"/>
  <c r="J551" i="1"/>
  <c r="BN541" i="1"/>
  <c r="N532" i="1"/>
  <c r="BR522" i="1"/>
  <c r="CI546" i="1"/>
  <c r="AI537" i="1"/>
  <c r="CM527" i="1"/>
  <c r="CU558" i="1"/>
  <c r="CI575" i="1"/>
  <c r="CT558" i="1"/>
  <c r="AI575" i="1"/>
  <c r="CG558" i="1"/>
  <c r="CP587" i="1"/>
  <c r="AY556" i="1"/>
  <c r="AK556" i="1"/>
  <c r="BC554" i="1"/>
  <c r="AO554" i="1"/>
  <c r="CK569" i="1"/>
  <c r="CG569" i="1"/>
  <c r="BE575" i="1"/>
  <c r="CX574" i="1"/>
  <c r="CS574" i="1"/>
  <c r="DH575" i="1"/>
  <c r="BS561" i="1"/>
  <c r="V565" i="1"/>
  <c r="BZ555" i="1"/>
  <c r="I565" i="1"/>
  <c r="BM555" i="1"/>
  <c r="BP577" i="1"/>
  <c r="P568" i="1"/>
  <c r="AA563" i="1"/>
  <c r="CE553" i="1"/>
  <c r="Z563" i="1"/>
  <c r="CD553" i="1"/>
  <c r="M563" i="1"/>
  <c r="BQ553" i="1"/>
  <c r="CN576" i="1"/>
  <c r="AN567" i="1"/>
  <c r="AY562" i="1"/>
  <c r="AU553" i="1"/>
  <c r="CT562" i="1"/>
  <c r="AT553" i="1"/>
  <c r="CG562" i="1"/>
  <c r="AG553" i="1"/>
  <c r="BD576" i="1"/>
  <c r="DH566" i="1"/>
  <c r="O562" i="1"/>
  <c r="BS552" i="1"/>
  <c r="N562" i="1"/>
  <c r="BR552" i="1"/>
  <c r="DE561" i="1"/>
  <c r="BE552" i="1"/>
  <c r="BS548" i="1"/>
  <c r="S539" i="1"/>
  <c r="BW529" i="1"/>
  <c r="W520" i="1"/>
  <c r="BN548" i="1"/>
  <c r="N539" i="1"/>
  <c r="BR529" i="1"/>
  <c r="AV562" i="1"/>
  <c r="CU544" i="1"/>
  <c r="AU535" i="1"/>
  <c r="CY525" i="1"/>
  <c r="AB562" i="1"/>
  <c r="CP544" i="1"/>
  <c r="AP535" i="1"/>
  <c r="CT525" i="1"/>
  <c r="G550" i="1"/>
  <c r="BK540" i="1"/>
  <c r="K531" i="1"/>
  <c r="BK561" i="1"/>
  <c r="K552" i="1"/>
  <c r="BJ561" i="1"/>
  <c r="J552" i="1"/>
  <c r="AW561" i="1"/>
  <c r="DA551" i="1"/>
  <c r="T575" i="1"/>
  <c r="AX593" i="1"/>
  <c r="CI560" i="1"/>
  <c r="AH593" i="1"/>
  <c r="CH560" i="1"/>
  <c r="AP591" i="1"/>
  <c r="BU560" i="1"/>
  <c r="CU576" i="1"/>
  <c r="AI547" i="1"/>
  <c r="CM537" i="1"/>
  <c r="AM528" i="1"/>
  <c r="CQ518" i="1"/>
  <c r="AD547" i="1"/>
  <c r="CH537" i="1"/>
  <c r="AH528" i="1"/>
  <c r="L557" i="1"/>
  <c r="BK543" i="1"/>
  <c r="K534" i="1"/>
  <c r="BO524" i="1"/>
  <c r="CV556" i="1"/>
  <c r="BF543" i="1"/>
  <c r="F534" i="1"/>
  <c r="BJ524" i="1"/>
  <c r="CA548" i="1"/>
  <c r="AA539" i="1"/>
  <c r="CE529" i="1"/>
  <c r="AU561" i="1"/>
  <c r="CY551" i="1"/>
  <c r="AT561" i="1"/>
  <c r="CX551" i="1"/>
  <c r="AG561" i="1"/>
  <c r="CK551" i="1"/>
  <c r="DH574" i="1"/>
  <c r="J591" i="1"/>
  <c r="BS560" i="1"/>
  <c r="CX590" i="1"/>
  <c r="BR560" i="1"/>
  <c r="DF588" i="1"/>
  <c r="BE560" i="1"/>
  <c r="BG574" i="1"/>
  <c r="S547" i="1"/>
  <c r="BW537" i="1"/>
  <c r="W528" i="1"/>
  <c r="CA518" i="1"/>
  <c r="N547" i="1"/>
  <c r="BR537" i="1"/>
  <c r="R528" i="1"/>
  <c r="BD556" i="1"/>
  <c r="AU543" i="1"/>
  <c r="CY533" i="1"/>
  <c r="AY524" i="1"/>
  <c r="AJ556" i="1"/>
  <c r="AP543" i="1"/>
  <c r="CT533" i="1"/>
  <c r="AT524" i="1"/>
  <c r="BK548" i="1"/>
  <c r="K539" i="1"/>
  <c r="BO529" i="1"/>
  <c r="BW560" i="1"/>
  <c r="BF591" i="1"/>
  <c r="BV560" i="1"/>
  <c r="BN589" i="1"/>
  <c r="BI560" i="1"/>
  <c r="O575" i="1"/>
  <c r="DA559" i="1"/>
  <c r="CV571" i="1"/>
  <c r="AM570" i="1"/>
  <c r="BG557" i="1"/>
  <c r="AI570" i="1"/>
  <c r="BF557" i="1"/>
  <c r="CM569" i="1"/>
  <c r="AS557" i="1"/>
  <c r="DH558" i="1"/>
  <c r="G544" i="1"/>
  <c r="BK534" i="1"/>
  <c r="K525" i="1"/>
  <c r="CN558" i="1"/>
  <c r="DF543" i="1"/>
  <c r="BF534" i="1"/>
  <c r="F525" i="1"/>
  <c r="CI549" i="1"/>
  <c r="AI540" i="1"/>
  <c r="CM530" i="1"/>
  <c r="AM521" i="1"/>
  <c r="CD549" i="1"/>
  <c r="AD540" i="1"/>
  <c r="CH530" i="1"/>
  <c r="BT564" i="1"/>
  <c r="AY545" i="1"/>
  <c r="DC535" i="1"/>
  <c r="BC526" i="1"/>
  <c r="AE567" i="1"/>
  <c r="CP545" i="1"/>
  <c r="AP536" i="1"/>
  <c r="CT526" i="1"/>
  <c r="AA566" i="1"/>
  <c r="CA545" i="1"/>
  <c r="AA536" i="1"/>
  <c r="CE526" i="1"/>
  <c r="BD565" i="1"/>
  <c r="BV545" i="1"/>
  <c r="V536" i="1"/>
  <c r="BZ526" i="1"/>
  <c r="BB521" i="1"/>
  <c r="DE547" i="1"/>
  <c r="BE538" i="1"/>
  <c r="DI528" i="1"/>
  <c r="BI519" i="1"/>
  <c r="DH521" i="1"/>
  <c r="DB509" i="1"/>
  <c r="BB500" i="1"/>
  <c r="R521" i="1"/>
  <c r="CK547" i="1"/>
  <c r="AK538" i="1"/>
  <c r="CO528" i="1"/>
  <c r="AO519" i="1"/>
  <c r="AF521" i="1"/>
  <c r="CH509" i="1"/>
  <c r="AH500" i="1"/>
  <c r="AD519" i="1"/>
  <c r="CS546" i="1"/>
  <c r="AS537" i="1"/>
  <c r="CW527" i="1"/>
  <c r="CY569" i="1"/>
  <c r="AL518" i="1"/>
  <c r="CP508" i="1"/>
  <c r="AP499" i="1"/>
  <c r="AN558" i="1"/>
  <c r="CS543" i="1"/>
  <c r="AS534" i="1"/>
  <c r="CW524" i="1"/>
  <c r="BD543" i="1"/>
  <c r="AL515" i="1"/>
  <c r="CP505" i="1"/>
  <c r="AP496" i="1"/>
  <c r="AJ543" i="1"/>
  <c r="BD528" i="1"/>
  <c r="BM511" i="1"/>
  <c r="M502" i="1"/>
  <c r="BQ492" i="1"/>
  <c r="T528" i="1"/>
  <c r="BD511" i="1"/>
  <c r="DH501" i="1"/>
  <c r="BH492" i="1"/>
  <c r="X540" i="1"/>
  <c r="Y514" i="1"/>
  <c r="CC504" i="1"/>
  <c r="AC495" i="1"/>
  <c r="BX538" i="1"/>
  <c r="P514" i="1"/>
  <c r="BT504" i="1"/>
  <c r="T495" i="1"/>
  <c r="AJ539" i="1"/>
  <c r="DI513" i="1"/>
  <c r="BI504" i="1"/>
  <c r="AF563" i="1"/>
  <c r="N545" i="1"/>
  <c r="BR535" i="1"/>
  <c r="R526" i="1"/>
  <c r="CB562" i="1"/>
  <c r="DC544" i="1"/>
  <c r="BC535" i="1"/>
  <c r="DG525" i="1"/>
  <c r="BH562" i="1"/>
  <c r="CX544" i="1"/>
  <c r="AX535" i="1"/>
  <c r="DB525" i="1"/>
  <c r="DF519" i="1"/>
  <c r="AC547" i="1"/>
  <c r="CG537" i="1"/>
  <c r="AG528" i="1"/>
  <c r="CK518" i="1"/>
  <c r="H519" i="1"/>
  <c r="Z509" i="1"/>
  <c r="CD499" i="1"/>
  <c r="BV519" i="1"/>
  <c r="I547" i="1"/>
  <c r="BM537" i="1"/>
  <c r="M528" i="1"/>
  <c r="J587" i="1"/>
  <c r="BF518" i="1"/>
  <c r="F509" i="1"/>
  <c r="BJ499" i="1"/>
  <c r="BS573" i="1"/>
  <c r="Q546" i="1"/>
  <c r="BU536" i="1"/>
  <c r="U527" i="1"/>
  <c r="H555" i="1"/>
  <c r="BN517" i="1"/>
  <c r="N508" i="1"/>
  <c r="BR498" i="1"/>
  <c r="AR555" i="1"/>
  <c r="BM557" i="1"/>
  <c r="AJ571" i="1"/>
  <c r="DC567" i="1"/>
  <c r="CY556" i="1"/>
  <c r="CY567" i="1"/>
  <c r="CX556" i="1"/>
  <c r="AY567" i="1"/>
  <c r="CK556" i="1"/>
  <c r="BT556" i="1"/>
  <c r="AY543" i="1"/>
  <c r="DC533" i="1"/>
  <c r="BC524" i="1"/>
  <c r="AZ556" i="1"/>
  <c r="AT543" i="1"/>
  <c r="CX533" i="1"/>
  <c r="AX524" i="1"/>
  <c r="W549" i="1"/>
  <c r="CA539" i="1"/>
  <c r="AA530" i="1"/>
  <c r="CE520" i="1"/>
  <c r="R549" i="1"/>
  <c r="BV539" i="1"/>
  <c r="V530" i="1"/>
  <c r="AF562" i="1"/>
  <c r="CQ544" i="1"/>
  <c r="AQ535" i="1"/>
  <c r="CU525" i="1"/>
  <c r="CR563" i="1"/>
  <c r="AD545" i="1"/>
  <c r="CH535" i="1"/>
  <c r="AH526" i="1"/>
  <c r="AJ563" i="1"/>
  <c r="O545" i="1"/>
  <c r="BS535" i="1"/>
  <c r="S526" i="1"/>
  <c r="P563" i="1"/>
  <c r="J545" i="1"/>
  <c r="BN535" i="1"/>
  <c r="N526" i="1"/>
  <c r="AH520" i="1"/>
  <c r="AS547" i="1"/>
  <c r="CW537" i="1"/>
  <c r="AW528" i="1"/>
  <c r="DA518" i="1"/>
  <c r="BT519" i="1"/>
  <c r="AP509" i="1"/>
  <c r="CT499" i="1"/>
  <c r="DB519" i="1"/>
  <c r="Y547" i="1"/>
  <c r="CC537" i="1"/>
  <c r="AC528" i="1"/>
  <c r="CG518" i="1"/>
  <c r="CV518" i="1"/>
  <c r="V509" i="1"/>
  <c r="BZ499" i="1"/>
  <c r="W577" i="1"/>
  <c r="AG546" i="1"/>
  <c r="CK536" i="1"/>
  <c r="AK527" i="1"/>
  <c r="AV557" i="1"/>
  <c r="CD517" i="1"/>
  <c r="AD508" i="1"/>
  <c r="CH498" i="1"/>
  <c r="DD555" i="1"/>
  <c r="AG543" i="1"/>
  <c r="CK533" i="1"/>
  <c r="AK524" i="1"/>
  <c r="P541" i="1"/>
  <c r="CD514" i="1"/>
  <c r="AD505" i="1"/>
  <c r="CH495" i="1"/>
  <c r="CZ540" i="1"/>
  <c r="P526" i="1"/>
  <c r="DE510" i="1"/>
  <c r="BE501" i="1"/>
  <c r="DI491" i="1"/>
  <c r="CJ525" i="1"/>
  <c r="CV510" i="1"/>
  <c r="AV501" i="1"/>
  <c r="CZ491" i="1"/>
  <c r="L537" i="1"/>
  <c r="BQ513" i="1"/>
  <c r="Q504" i="1"/>
  <c r="BU494" i="1"/>
  <c r="AJ536" i="1"/>
  <c r="BH513" i="1"/>
  <c r="H504" i="1"/>
  <c r="BL494" i="1"/>
  <c r="H536" i="1"/>
  <c r="AW513" i="1"/>
  <c r="DA503" i="1"/>
  <c r="CV560" i="1"/>
  <c r="BF544" i="1"/>
  <c r="F535" i="1"/>
  <c r="BJ525" i="1"/>
  <c r="AN560" i="1"/>
  <c r="AQ544" i="1"/>
  <c r="CU534" i="1"/>
  <c r="AU525" i="1"/>
  <c r="T560" i="1"/>
  <c r="AL544" i="1"/>
  <c r="CP534" i="1"/>
  <c r="AP525" i="1"/>
  <c r="CL518" i="1"/>
  <c r="BU546" i="1"/>
  <c r="U537" i="1"/>
  <c r="BY527" i="1"/>
  <c r="AN563" i="1"/>
  <c r="N518" i="1"/>
  <c r="BR508" i="1"/>
  <c r="R499" i="1"/>
  <c r="CH594" i="1"/>
  <c r="BA546" i="1"/>
  <c r="DE536" i="1"/>
  <c r="BE527" i="1"/>
  <c r="AR560" i="1"/>
  <c r="CX517" i="1"/>
  <c r="AX508" i="1"/>
  <c r="DB498" i="1"/>
  <c r="DH564" i="1"/>
  <c r="BI545" i="1"/>
  <c r="I536" i="1"/>
  <c r="BM526" i="1"/>
  <c r="T550" i="1"/>
  <c r="DF516" i="1"/>
  <c r="BF507" i="1"/>
  <c r="F498" i="1"/>
  <c r="DH552" i="1"/>
  <c r="Y555" i="1"/>
  <c r="CB570" i="1"/>
  <c r="CM565" i="1"/>
  <c r="AM556" i="1"/>
  <c r="CL565" i="1"/>
  <c r="AL556" i="1"/>
  <c r="BY565" i="1"/>
  <c r="Y556" i="1"/>
  <c r="AF554" i="1"/>
  <c r="CQ542" i="1"/>
  <c r="AQ533" i="1"/>
  <c r="CU523" i="1"/>
  <c r="L554" i="1"/>
  <c r="CL542" i="1"/>
  <c r="AL533" i="1"/>
  <c r="CP523" i="1"/>
  <c r="BO548" i="1"/>
  <c r="O539" i="1"/>
  <c r="BS529" i="1"/>
  <c r="S520" i="1"/>
  <c r="BJ548" i="1"/>
  <c r="J539" i="1"/>
  <c r="BN529" i="1"/>
  <c r="CV559" i="1"/>
  <c r="AE544" i="1"/>
  <c r="CI534" i="1"/>
  <c r="AI525" i="1"/>
  <c r="BD561" i="1"/>
  <c r="BV544" i="1"/>
  <c r="V535" i="1"/>
  <c r="BZ525" i="1"/>
  <c r="CZ560" i="1"/>
  <c r="BG544" i="1"/>
  <c r="G535" i="1"/>
  <c r="BK525" i="1"/>
  <c r="CF560" i="1"/>
  <c r="BB544" i="1"/>
  <c r="DF534" i="1"/>
  <c r="BF525" i="1"/>
  <c r="N519" i="1"/>
  <c r="CK546" i="1"/>
  <c r="AK537" i="1"/>
  <c r="CO527" i="1"/>
  <c r="CB565" i="1"/>
  <c r="AD518" i="1"/>
  <c r="CH508" i="1"/>
  <c r="AH499" i="1"/>
  <c r="CH518" i="1"/>
  <c r="BQ546" i="1"/>
  <c r="Q537" i="1"/>
  <c r="BU527" i="1"/>
  <c r="CF562" i="1"/>
  <c r="J518" i="1"/>
  <c r="BN508" i="1"/>
  <c r="N499" i="1"/>
  <c r="BP565" i="1"/>
  <c r="BY545" i="1"/>
  <c r="Y536" i="1"/>
  <c r="CC526" i="1"/>
  <c r="CF550" i="1"/>
  <c r="R517" i="1"/>
  <c r="BV507" i="1"/>
  <c r="V498" i="1"/>
  <c r="BP553" i="1"/>
  <c r="BY542" i="1"/>
  <c r="Y533" i="1"/>
  <c r="CC523" i="1"/>
  <c r="CF538" i="1"/>
  <c r="R514" i="1"/>
  <c r="BV504" i="1"/>
  <c r="V495" i="1"/>
  <c r="BL538" i="1"/>
  <c r="CF523" i="1"/>
  <c r="AS510" i="1"/>
  <c r="CW500" i="1"/>
  <c r="AW491" i="1"/>
  <c r="AV523" i="1"/>
  <c r="AJ510" i="1"/>
  <c r="CN500" i="1"/>
  <c r="AN491" i="1"/>
  <c r="AF534" i="1"/>
  <c r="DI512" i="1"/>
  <c r="BI503" i="1"/>
  <c r="I494" i="1"/>
  <c r="CZ533" i="1"/>
  <c r="CZ512" i="1"/>
  <c r="AZ503" i="1"/>
  <c r="DD493" i="1"/>
  <c r="BH533" i="1"/>
  <c r="CO512" i="1"/>
  <c r="AO503" i="1"/>
  <c r="BH558" i="1"/>
  <c r="CX543" i="1"/>
  <c r="AX534" i="1"/>
  <c r="DB524" i="1"/>
  <c r="DD557" i="1"/>
  <c r="CI543" i="1"/>
  <c r="AI534" i="1"/>
  <c r="BB556" i="1"/>
  <c r="CQ565" i="1"/>
  <c r="AO556" i="1"/>
  <c r="CR554" i="1"/>
  <c r="DG542" i="1"/>
  <c r="BG533" i="1"/>
  <c r="G524" i="1"/>
  <c r="BX554" i="1"/>
  <c r="DB542" i="1"/>
  <c r="BB533" i="1"/>
  <c r="DF523" i="1"/>
  <c r="CE548" i="1"/>
  <c r="AE539" i="1"/>
  <c r="CI529" i="1"/>
  <c r="AI520" i="1"/>
  <c r="BZ548" i="1"/>
  <c r="Z539" i="1"/>
  <c r="CD529" i="1"/>
  <c r="BD560" i="1"/>
  <c r="AU544" i="1"/>
  <c r="CY534" i="1"/>
  <c r="AY525" i="1"/>
  <c r="BG556" i="1"/>
  <c r="AI566" i="1"/>
  <c r="BF556" i="1"/>
  <c r="CY565" i="1"/>
  <c r="AS556" i="1"/>
  <c r="V581" i="1"/>
  <c r="DH565" i="1"/>
  <c r="AN578" i="1"/>
  <c r="DB563" i="1"/>
  <c r="BL577" i="1"/>
  <c r="BR579" i="1"/>
  <c r="AP579" i="1"/>
  <c r="CG570" i="1"/>
  <c r="V570" i="1"/>
  <c r="Q570" i="1"/>
  <c r="AF571" i="1"/>
  <c r="CU556" i="1"/>
  <c r="CL562" i="1"/>
  <c r="AL553" i="1"/>
  <c r="BY562" i="1"/>
  <c r="Y553" i="1"/>
  <c r="AB575" i="1"/>
  <c r="BR594" i="1"/>
  <c r="CQ560" i="1"/>
  <c r="BB594" i="1"/>
  <c r="CP560" i="1"/>
  <c r="BJ592" i="1"/>
  <c r="CC560" i="1"/>
  <c r="K578" i="1"/>
  <c r="AZ574" i="1"/>
  <c r="V582" i="1"/>
  <c r="BG560" i="1"/>
  <c r="R589" i="1"/>
  <c r="BF560" i="1"/>
  <c r="Z587" i="1"/>
  <c r="AS560" i="1"/>
  <c r="CE572" i="1"/>
  <c r="P574" i="1"/>
  <c r="AA579" i="1"/>
  <c r="CE559" i="1"/>
  <c r="W579" i="1"/>
  <c r="CD559" i="1"/>
  <c r="CA578" i="1"/>
  <c r="BQ559" i="1"/>
  <c r="DI551" i="1"/>
  <c r="AE546" i="1"/>
  <c r="CI536" i="1"/>
  <c r="AI527" i="1"/>
  <c r="W573" i="1"/>
  <c r="Z546" i="1"/>
  <c r="CD536" i="1"/>
  <c r="AD527" i="1"/>
  <c r="CZ552" i="1"/>
  <c r="BG542" i="1"/>
  <c r="G533" i="1"/>
  <c r="BK523" i="1"/>
  <c r="CF552" i="1"/>
  <c r="BB542" i="1"/>
  <c r="DF532" i="1"/>
  <c r="BF523" i="1"/>
  <c r="BW547" i="1"/>
  <c r="W538" i="1"/>
  <c r="CA528" i="1"/>
  <c r="W559" i="1"/>
  <c r="DC576" i="1"/>
  <c r="V559" i="1"/>
  <c r="BC576" i="1"/>
  <c r="I559" i="1"/>
  <c r="F589" i="1"/>
  <c r="CJ572" i="1"/>
  <c r="CU573" i="1"/>
  <c r="AU558" i="1"/>
  <c r="CQ573" i="1"/>
  <c r="AT558" i="1"/>
  <c r="AQ573" i="1"/>
  <c r="AG558" i="1"/>
  <c r="BL562" i="1"/>
  <c r="CY544" i="1"/>
  <c r="AY535" i="1"/>
  <c r="DC525" i="1"/>
  <c r="AR562" i="1"/>
  <c r="CT544" i="1"/>
  <c r="AT535" i="1"/>
  <c r="CX525" i="1"/>
  <c r="BW550" i="1"/>
  <c r="W541" i="1"/>
  <c r="CA531" i="1"/>
  <c r="AA522" i="1"/>
  <c r="BR550" i="1"/>
  <c r="R541" i="1"/>
  <c r="BV531" i="1"/>
  <c r="V522" i="1"/>
  <c r="AM546" i="1"/>
  <c r="CQ536" i="1"/>
  <c r="AQ527" i="1"/>
  <c r="G559" i="1"/>
  <c r="AQ576" i="1"/>
  <c r="F559" i="1"/>
  <c r="CU575" i="1"/>
  <c r="CW558" i="1"/>
  <c r="AX588" i="1"/>
  <c r="BT572" i="1"/>
  <c r="AI573" i="1"/>
  <c r="AE558" i="1"/>
  <c r="AE573" i="1"/>
  <c r="AD558" i="1"/>
  <c r="CI572" i="1"/>
  <c r="Q558" i="1"/>
  <c r="DD561" i="1"/>
  <c r="CI544" i="1"/>
  <c r="AI535" i="1"/>
  <c r="CM525" i="1"/>
  <c r="CJ561" i="1"/>
  <c r="CD544" i="1"/>
  <c r="AD535" i="1"/>
  <c r="CH525" i="1"/>
  <c r="BG550" i="1"/>
  <c r="G541" i="1"/>
  <c r="BK531" i="1"/>
  <c r="K522" i="1"/>
  <c r="BB550" i="1"/>
  <c r="DF540" i="1"/>
  <c r="BF531" i="1"/>
  <c r="CC551" i="1"/>
  <c r="W546" i="1"/>
  <c r="CA536" i="1"/>
  <c r="AA527" i="1"/>
  <c r="AI558" i="1"/>
  <c r="AU573" i="1"/>
  <c r="AH558" i="1"/>
  <c r="CY572" i="1"/>
  <c r="U558" i="1"/>
  <c r="BB585" i="1"/>
  <c r="BB593" i="1"/>
  <c r="BH569" i="1"/>
  <c r="BS564" i="1"/>
  <c r="S555" i="1"/>
  <c r="BR564" i="1"/>
  <c r="R555" i="1"/>
  <c r="BE564" i="1"/>
  <c r="DI554" i="1"/>
  <c r="S551" i="1"/>
  <c r="BW541" i="1"/>
  <c r="W532" i="1"/>
  <c r="CA522" i="1"/>
  <c r="N551" i="1"/>
  <c r="BR541" i="1"/>
  <c r="R532" i="1"/>
  <c r="BV522" i="1"/>
  <c r="AU547" i="1"/>
  <c r="CY537" i="1"/>
  <c r="AY528" i="1"/>
  <c r="DC518" i="1"/>
  <c r="AP547" i="1"/>
  <c r="CT537" i="1"/>
  <c r="AT528" i="1"/>
  <c r="T555" i="1"/>
  <c r="K543" i="1"/>
  <c r="BO533" i="1"/>
  <c r="O524" i="1"/>
  <c r="CF556" i="1"/>
  <c r="BB543" i="1"/>
  <c r="DF533" i="1"/>
  <c r="BF524" i="1"/>
  <c r="X556" i="1"/>
  <c r="AM543" i="1"/>
  <c r="CQ533" i="1"/>
  <c r="AQ524" i="1"/>
  <c r="DH555" i="1"/>
  <c r="AH543" i="1"/>
  <c r="CL533" i="1"/>
  <c r="AL524" i="1"/>
  <c r="AJ565" i="1"/>
  <c r="BQ545" i="1"/>
  <c r="Q536" i="1"/>
  <c r="BU526" i="1"/>
  <c r="AZ550" i="1"/>
  <c r="J517" i="1"/>
  <c r="BN507" i="1"/>
  <c r="N498" i="1"/>
  <c r="BL564" i="1"/>
  <c r="AW545" i="1"/>
  <c r="DA535" i="1"/>
  <c r="BA526" i="1"/>
  <c r="CB549" i="1"/>
  <c r="CT516" i="1"/>
  <c r="AT507" i="1"/>
  <c r="CX497" i="1"/>
  <c r="CR560" i="1"/>
  <c r="BE544" i="1"/>
  <c r="DI534" i="1"/>
  <c r="BI525" i="1"/>
  <c r="DH545" i="1"/>
  <c r="DB515" i="1"/>
  <c r="BB506" i="1"/>
  <c r="DF496" i="1"/>
  <c r="DE550" i="1"/>
  <c r="BE541" i="1"/>
  <c r="DI531" i="1"/>
  <c r="BI522" i="1"/>
  <c r="DH533" i="1"/>
  <c r="DB512" i="1"/>
  <c r="BB503" i="1"/>
  <c r="DF493" i="1"/>
  <c r="CP492" i="1"/>
  <c r="DH518" i="1"/>
  <c r="Y509" i="1"/>
  <c r="CC499" i="1"/>
  <c r="AC490" i="1"/>
  <c r="BX518" i="1"/>
  <c r="P509" i="1"/>
  <c r="BT499" i="1"/>
  <c r="T490" i="1"/>
  <c r="BH529" i="1"/>
  <c r="CO511" i="1"/>
  <c r="AO502" i="1"/>
  <c r="CS492" i="1"/>
  <c r="X529" i="1"/>
  <c r="CF511" i="1"/>
  <c r="AF502" i="1"/>
  <c r="CJ492" i="1"/>
  <c r="CJ528" i="1"/>
  <c r="BU511" i="1"/>
  <c r="U502" i="1"/>
  <c r="CJ553" i="1"/>
  <c r="CD542" i="1"/>
  <c r="AD533" i="1"/>
  <c r="CH523" i="1"/>
  <c r="AB553" i="1"/>
  <c r="BO542" i="1"/>
  <c r="O533" i="1"/>
  <c r="BS523" i="1"/>
  <c r="H553" i="1"/>
  <c r="BJ542" i="1"/>
  <c r="J533" i="1"/>
  <c r="BN523" i="1"/>
  <c r="AN562" i="1"/>
  <c r="CS544" i="1"/>
  <c r="AS535" i="1"/>
  <c r="CW525" i="1"/>
  <c r="BD547" i="1"/>
  <c r="AL516" i="1"/>
  <c r="CP506" i="1"/>
  <c r="AP497" i="1"/>
  <c r="BP561" i="1"/>
  <c r="BY544" i="1"/>
  <c r="Y535" i="1"/>
  <c r="CC525" i="1"/>
  <c r="CF546" i="1"/>
  <c r="R516" i="1"/>
  <c r="BV506" i="1"/>
  <c r="V497" i="1"/>
  <c r="CV557" i="1"/>
  <c r="CG543" i="1"/>
  <c r="AG534" i="1"/>
  <c r="CK524" i="1"/>
  <c r="H543" i="1"/>
  <c r="Z515" i="1"/>
  <c r="CD505" i="1"/>
  <c r="AD496" i="1"/>
  <c r="AC550" i="1"/>
  <c r="N583" i="1"/>
  <c r="CZ568" i="1"/>
  <c r="G564" i="1"/>
  <c r="BK554" i="1"/>
  <c r="F564" i="1"/>
  <c r="BJ554" i="1"/>
  <c r="CW563" i="1"/>
  <c r="AW554" i="1"/>
  <c r="BK550" i="1"/>
  <c r="K541" i="1"/>
  <c r="BO531" i="1"/>
  <c r="O522" i="1"/>
  <c r="BF550" i="1"/>
  <c r="F541" i="1"/>
  <c r="BJ531" i="1"/>
  <c r="J522" i="1"/>
  <c r="CM546" i="1"/>
  <c r="AM537" i="1"/>
  <c r="CQ527" i="1"/>
  <c r="AD588" i="1"/>
  <c r="CH546" i="1"/>
  <c r="AH537" i="1"/>
  <c r="CL527" i="1"/>
  <c r="CJ552" i="1"/>
  <c r="BC542" i="1"/>
  <c r="DG532" i="1"/>
  <c r="BG523" i="1"/>
  <c r="AR554" i="1"/>
  <c r="CT542" i="1"/>
  <c r="AT533" i="1"/>
  <c r="CX523" i="1"/>
  <c r="CN553" i="1"/>
  <c r="CE542" i="1"/>
  <c r="AE533" i="1"/>
  <c r="CI523" i="1"/>
  <c r="BT553" i="1"/>
  <c r="BZ542" i="1"/>
  <c r="Z533" i="1"/>
  <c r="CD523" i="1"/>
  <c r="CZ562" i="1"/>
  <c r="DI544" i="1"/>
  <c r="BI535" i="1"/>
  <c r="I526" i="1"/>
  <c r="L548" i="1"/>
  <c r="BB516" i="1"/>
  <c r="DF506" i="1"/>
  <c r="BF497" i="1"/>
  <c r="X562" i="1"/>
  <c r="CO544" i="1"/>
  <c r="AO535" i="1"/>
  <c r="CS525" i="1"/>
  <c r="AN547" i="1"/>
  <c r="AH516" i="1"/>
  <c r="CL506" i="1"/>
  <c r="AL497" i="1"/>
  <c r="BD558" i="1"/>
  <c r="CW543" i="1"/>
  <c r="AW534" i="1"/>
  <c r="DA524" i="1"/>
  <c r="BT543" i="1"/>
  <c r="AP515" i="1"/>
  <c r="CT505" i="1"/>
  <c r="AT496" i="1"/>
  <c r="AS550" i="1"/>
  <c r="CW540" i="1"/>
  <c r="AW531" i="1"/>
  <c r="DA521" i="1"/>
  <c r="BT531" i="1"/>
  <c r="AP512" i="1"/>
  <c r="CT502" i="1"/>
  <c r="AT493" i="1"/>
  <c r="AH491" i="1"/>
  <c r="M518" i="1"/>
  <c r="BQ508" i="1"/>
  <c r="Q499" i="1"/>
  <c r="CR561" i="1"/>
  <c r="DH517" i="1"/>
  <c r="BH508" i="1"/>
  <c r="H499" i="1"/>
  <c r="AR547" i="1"/>
  <c r="T527" i="1"/>
  <c r="AC511" i="1"/>
  <c r="CG501" i="1"/>
  <c r="AG492" i="1"/>
  <c r="CN526" i="1"/>
  <c r="T511" i="1"/>
  <c r="BX501" i="1"/>
  <c r="X492" i="1"/>
  <c r="AV526" i="1"/>
  <c r="I511" i="1"/>
  <c r="BM501" i="1"/>
  <c r="BR551" i="1"/>
  <c r="R542" i="1"/>
  <c r="BV532" i="1"/>
  <c r="V523" i="1"/>
  <c r="BC551" i="1"/>
  <c r="DG541" i="1"/>
  <c r="BG532" i="1"/>
  <c r="G523" i="1"/>
  <c r="AX551" i="1"/>
  <c r="DB541" i="1"/>
  <c r="BB532" i="1"/>
  <c r="DF522" i="1"/>
  <c r="DD559" i="1"/>
  <c r="AG544" i="1"/>
  <c r="CK534" i="1"/>
  <c r="AK525" i="1"/>
  <c r="P545" i="1"/>
  <c r="CD515" i="1"/>
  <c r="AD506" i="1"/>
  <c r="CH496" i="1"/>
  <c r="AB559" i="1"/>
  <c r="M544" i="1"/>
  <c r="BQ534" i="1"/>
  <c r="Q525" i="1"/>
  <c r="AR544" i="1"/>
  <c r="BJ515" i="1"/>
  <c r="J506" i="1"/>
  <c r="BN496" i="1"/>
  <c r="BH555" i="1"/>
  <c r="U543" i="1"/>
  <c r="BY533" i="1"/>
  <c r="Y524" i="1"/>
  <c r="BX540" i="1"/>
  <c r="BR514" i="1"/>
  <c r="R505" i="1"/>
  <c r="BV495" i="1"/>
  <c r="BU549" i="1"/>
  <c r="BP579" i="1"/>
  <c r="AN568" i="1"/>
  <c r="AY563" i="1"/>
  <c r="DC553" i="1"/>
  <c r="AX563" i="1"/>
  <c r="DB553" i="1"/>
  <c r="AK563" i="1"/>
  <c r="CO553" i="1"/>
  <c r="DC549" i="1"/>
  <c r="BC540" i="1"/>
  <c r="DG530" i="1"/>
  <c r="BG521" i="1"/>
  <c r="CX549" i="1"/>
  <c r="AX540" i="1"/>
  <c r="DB530" i="1"/>
  <c r="CS551" i="1"/>
  <c r="AA546" i="1"/>
  <c r="CE536" i="1"/>
  <c r="AE527" i="1"/>
  <c r="BO572" i="1"/>
  <c r="V546" i="1"/>
  <c r="BZ536" i="1"/>
  <c r="Z527" i="1"/>
  <c r="AQ551" i="1"/>
  <c r="CU541" i="1"/>
  <c r="AU532" i="1"/>
  <c r="CY522" i="1"/>
  <c r="DH551" i="1"/>
  <c r="AH542" i="1"/>
  <c r="CL532" i="1"/>
  <c r="AL523" i="1"/>
  <c r="BS551" i="1"/>
  <c r="S542" i="1"/>
  <c r="BW532" i="1"/>
  <c r="W523" i="1"/>
  <c r="BN551" i="1"/>
  <c r="N542" i="1"/>
  <c r="BR532" i="1"/>
  <c r="R523" i="1"/>
  <c r="BL560" i="1"/>
  <c r="AW544" i="1"/>
  <c r="DA534" i="1"/>
  <c r="BA525" i="1"/>
  <c r="CB545" i="1"/>
  <c r="CT515" i="1"/>
  <c r="AT506" i="1"/>
  <c r="CX496" i="1"/>
  <c r="CN559" i="1"/>
  <c r="AC544" i="1"/>
  <c r="CG534" i="1"/>
  <c r="AG525" i="1"/>
  <c r="DD544" i="1"/>
  <c r="BZ515" i="1"/>
  <c r="Z506" i="1"/>
  <c r="CD496" i="1"/>
  <c r="P556" i="1"/>
  <c r="AK543" i="1"/>
  <c r="CO533" i="1"/>
  <c r="AO524" i="1"/>
  <c r="AF541" i="1"/>
  <c r="CH514" i="1"/>
  <c r="AH505" i="1"/>
  <c r="CL495" i="1"/>
  <c r="CK549" i="1"/>
  <c r="AK540" i="1"/>
  <c r="CO530" i="1"/>
  <c r="AO521" i="1"/>
  <c r="AF529" i="1"/>
  <c r="CH511" i="1"/>
  <c r="AH502" i="1"/>
  <c r="CL492" i="1"/>
  <c r="BF490" i="1"/>
  <c r="BE517" i="1"/>
  <c r="DI507" i="1"/>
  <c r="BI498" i="1"/>
  <c r="AR552" i="1"/>
  <c r="AV517" i="1"/>
  <c r="CZ507" i="1"/>
  <c r="AZ498" i="1"/>
  <c r="CV537" i="1"/>
  <c r="CJ524" i="1"/>
  <c r="BU510" i="1"/>
  <c r="U501" i="1"/>
  <c r="BY491" i="1"/>
  <c r="AZ524" i="1"/>
  <c r="BL510" i="1"/>
  <c r="L501" i="1"/>
  <c r="BP491" i="1"/>
  <c r="H524" i="1"/>
  <c r="BA510" i="1"/>
  <c r="DE500" i="1"/>
  <c r="F551" i="1"/>
  <c r="BJ541" i="1"/>
  <c r="J532" i="1"/>
  <c r="BN522" i="1"/>
  <c r="CU550" i="1"/>
  <c r="AU541" i="1"/>
  <c r="CY531" i="1"/>
  <c r="N554" i="1"/>
  <c r="BA563" i="1"/>
  <c r="DE553" i="1"/>
  <c r="O550" i="1"/>
  <c r="BS540" i="1"/>
  <c r="S531" i="1"/>
  <c r="BW521" i="1"/>
  <c r="J550" i="1"/>
  <c r="BN540" i="1"/>
  <c r="N531" i="1"/>
  <c r="BR521" i="1"/>
  <c r="AQ546" i="1"/>
  <c r="CU536" i="1"/>
  <c r="AU527" i="1"/>
  <c r="DC574" i="1"/>
  <c r="AL546" i="1"/>
  <c r="CP536" i="1"/>
  <c r="AP527" i="1"/>
  <c r="BG551" i="1"/>
  <c r="G542" i="1"/>
  <c r="BK532" i="1"/>
  <c r="K523" i="1"/>
  <c r="S554" i="1"/>
  <c r="BR563" i="1"/>
  <c r="R554" i="1"/>
  <c r="BE563" i="1"/>
  <c r="DI553" i="1"/>
  <c r="CN570" i="1"/>
  <c r="AX556" i="1"/>
  <c r="CR568" i="1"/>
  <c r="BB554" i="1"/>
  <c r="L568" i="1"/>
  <c r="CL569" i="1"/>
  <c r="BR569" i="1"/>
  <c r="DI565" i="1"/>
  <c r="BN600" i="1"/>
  <c r="CP599" i="1"/>
  <c r="BH566" i="1"/>
  <c r="S552" i="1"/>
  <c r="AX560" i="1"/>
  <c r="F586" i="1"/>
  <c r="AK560" i="1"/>
  <c r="AL589" i="1"/>
  <c r="CR572" i="1"/>
  <c r="W574" i="1"/>
  <c r="BC558" i="1"/>
  <c r="S574" i="1"/>
  <c r="BB558" i="1"/>
  <c r="BW573" i="1"/>
  <c r="AO558" i="1"/>
  <c r="Z586" i="1"/>
  <c r="L572" i="1"/>
  <c r="K571" i="1"/>
  <c r="S558" i="1"/>
  <c r="CM572" i="1"/>
  <c r="R558" i="1"/>
  <c r="AM572" i="1"/>
  <c r="DI557" i="1"/>
  <c r="CT584" i="1"/>
  <c r="CF571" i="1"/>
  <c r="CE569" i="1"/>
  <c r="AQ557" i="1"/>
  <c r="CA569" i="1"/>
  <c r="AP557" i="1"/>
  <c r="AA569" i="1"/>
  <c r="AC557" i="1"/>
  <c r="AV558" i="1"/>
  <c r="CU543" i="1"/>
  <c r="AU534" i="1"/>
  <c r="CY524" i="1"/>
  <c r="AB558" i="1"/>
  <c r="CP543" i="1"/>
  <c r="AP534" i="1"/>
  <c r="CT524" i="1"/>
  <c r="BS549" i="1"/>
  <c r="S540" i="1"/>
  <c r="BW530" i="1"/>
  <c r="W521" i="1"/>
  <c r="BN549" i="1"/>
  <c r="N540" i="1"/>
  <c r="BR530" i="1"/>
  <c r="H564" i="1"/>
  <c r="AI545" i="1"/>
  <c r="CM535" i="1"/>
  <c r="AM526" i="1"/>
  <c r="CM556" i="1"/>
  <c r="BC567" i="1"/>
  <c r="CL556" i="1"/>
  <c r="DG566" i="1"/>
  <c r="BY556" i="1"/>
  <c r="CV579" i="1"/>
  <c r="AV570" i="1"/>
  <c r="BG565" i="1"/>
  <c r="G556" i="1"/>
  <c r="BF565" i="1"/>
  <c r="F556" i="1"/>
  <c r="AS565" i="1"/>
  <c r="CW555" i="1"/>
  <c r="L553" i="1"/>
  <c r="BK542" i="1"/>
  <c r="K533" i="1"/>
  <c r="BO523" i="1"/>
  <c r="CV552" i="1"/>
  <c r="BF542" i="1"/>
  <c r="F533" i="1"/>
  <c r="BJ523" i="1"/>
  <c r="AI548" i="1"/>
  <c r="CM538" i="1"/>
  <c r="AM529" i="1"/>
  <c r="CQ519" i="1"/>
  <c r="AD548" i="1"/>
  <c r="CH538" i="1"/>
  <c r="AH529" i="1"/>
  <c r="CB558" i="1"/>
  <c r="DC543" i="1"/>
  <c r="BC534" i="1"/>
  <c r="DG524" i="1"/>
  <c r="BW556" i="1"/>
  <c r="CU566" i="1"/>
  <c r="BV556" i="1"/>
  <c r="AU566" i="1"/>
  <c r="BI556" i="1"/>
  <c r="CF579" i="1"/>
  <c r="AF570" i="1"/>
  <c r="AQ565" i="1"/>
  <c r="CU555" i="1"/>
  <c r="AP565" i="1"/>
  <c r="CT555" i="1"/>
  <c r="AC565" i="1"/>
  <c r="CG555" i="1"/>
  <c r="BD552" i="1"/>
  <c r="AU542" i="1"/>
  <c r="CY532" i="1"/>
  <c r="AY523" i="1"/>
  <c r="AJ552" i="1"/>
  <c r="AP542" i="1"/>
  <c r="CT532" i="1"/>
  <c r="AT523" i="1"/>
  <c r="S548" i="1"/>
  <c r="BW538" i="1"/>
  <c r="W529" i="1"/>
  <c r="CA519" i="1"/>
  <c r="N548" i="1"/>
  <c r="BR538" i="1"/>
  <c r="R529" i="1"/>
  <c r="P558" i="1"/>
  <c r="CM543" i="1"/>
  <c r="AM534" i="1"/>
  <c r="CQ524" i="1"/>
  <c r="CY555" i="1"/>
  <c r="AT565" i="1"/>
  <c r="CX555" i="1"/>
  <c r="AG565" i="1"/>
  <c r="CK555" i="1"/>
  <c r="DH578" i="1"/>
  <c r="AB577" i="1"/>
  <c r="T567" i="1"/>
  <c r="AE562" i="1"/>
  <c r="CI552" i="1"/>
  <c r="AD562" i="1"/>
  <c r="CH552" i="1"/>
  <c r="Q562" i="1"/>
  <c r="BU552" i="1"/>
  <c r="CI548" i="1"/>
  <c r="AI539" i="1"/>
  <c r="CM529" i="1"/>
  <c r="AM520" i="1"/>
  <c r="CD548" i="1"/>
  <c r="AD539" i="1"/>
  <c r="CH529" i="1"/>
  <c r="DH562" i="1"/>
  <c r="G545" i="1"/>
  <c r="BK535" i="1"/>
  <c r="K526" i="1"/>
  <c r="CN562" i="1"/>
  <c r="DF544" i="1"/>
  <c r="BF535" i="1"/>
  <c r="F526" i="1"/>
  <c r="W550" i="1"/>
  <c r="CA540" i="1"/>
  <c r="AA531" i="1"/>
  <c r="CE521" i="1"/>
  <c r="BN550" i="1"/>
  <c r="N541" i="1"/>
  <c r="BR531" i="1"/>
  <c r="R522" i="1"/>
  <c r="AY550" i="1"/>
  <c r="DC540" i="1"/>
  <c r="BC531" i="1"/>
  <c r="DG521" i="1"/>
  <c r="AT550" i="1"/>
  <c r="CX540" i="1"/>
  <c r="AX531" i="1"/>
  <c r="DB521" i="1"/>
  <c r="CN555" i="1"/>
  <c r="AC543" i="1"/>
  <c r="CG533" i="1"/>
  <c r="AG524" i="1"/>
  <c r="DD540" i="1"/>
  <c r="BZ514" i="1"/>
  <c r="Z505" i="1"/>
  <c r="CD495" i="1"/>
  <c r="L555" i="1"/>
  <c r="I543" i="1"/>
  <c r="BM533" i="1"/>
  <c r="M524" i="1"/>
  <c r="AB540" i="1"/>
  <c r="BF514" i="1"/>
  <c r="F505" i="1"/>
  <c r="BJ495" i="1"/>
  <c r="BQ551" i="1"/>
  <c r="Q542" i="1"/>
  <c r="BU532" i="1"/>
  <c r="U523" i="1"/>
  <c r="BH536" i="1"/>
  <c r="BN513" i="1"/>
  <c r="N504" i="1"/>
  <c r="BR494" i="1"/>
  <c r="BQ548" i="1"/>
  <c r="Q539" i="1"/>
  <c r="BU529" i="1"/>
  <c r="U520" i="1"/>
  <c r="BH524" i="1"/>
  <c r="BN510" i="1"/>
  <c r="N501" i="1"/>
  <c r="BR491" i="1"/>
  <c r="AZ551" i="1"/>
  <c r="AK516" i="1"/>
  <c r="CO506" i="1"/>
  <c r="AO497" i="1"/>
  <c r="P547" i="1"/>
  <c r="AB516" i="1"/>
  <c r="CF506" i="1"/>
  <c r="AF497" i="1"/>
  <c r="CT493" i="1"/>
  <c r="H520" i="1"/>
  <c r="BA509" i="1"/>
  <c r="DE499" i="1"/>
  <c r="BE490" i="1"/>
  <c r="CB519" i="1"/>
  <c r="AR509" i="1"/>
  <c r="CV499" i="1"/>
  <c r="R493" i="1"/>
  <c r="AJ519" i="1"/>
  <c r="AG509" i="1"/>
  <c r="CK499" i="1"/>
  <c r="CP549" i="1"/>
  <c r="AP540" i="1"/>
  <c r="CT530" i="1"/>
  <c r="AT521" i="1"/>
  <c r="CA549" i="1"/>
  <c r="AA540" i="1"/>
  <c r="CE530" i="1"/>
  <c r="AE521" i="1"/>
  <c r="BV549" i="1"/>
  <c r="V540" i="1"/>
  <c r="BZ530" i="1"/>
  <c r="Z521" i="1"/>
  <c r="CR552" i="1"/>
  <c r="BE542" i="1"/>
  <c r="DI532" i="1"/>
  <c r="BI523" i="1"/>
  <c r="DH537" i="1"/>
  <c r="DB513" i="1"/>
  <c r="BB504" i="1"/>
  <c r="DF494" i="1"/>
  <c r="P552" i="1"/>
  <c r="AK542" i="1"/>
  <c r="CO532" i="1"/>
  <c r="AO523" i="1"/>
  <c r="AF537" i="1"/>
  <c r="CH513" i="1"/>
  <c r="AH504" i="1"/>
  <c r="CL494" i="1"/>
  <c r="CS550" i="1"/>
  <c r="AS541" i="1"/>
  <c r="CW531" i="1"/>
  <c r="AW522" i="1"/>
  <c r="BL533" i="1"/>
  <c r="CP512" i="1"/>
  <c r="AP503" i="1"/>
  <c r="AH521" i="1"/>
  <c r="CS547" i="1"/>
  <c r="H576" i="1"/>
  <c r="BL566" i="1"/>
  <c r="BW561" i="1"/>
  <c r="W552" i="1"/>
  <c r="BV561" i="1"/>
  <c r="V552" i="1"/>
  <c r="BI561" i="1"/>
  <c r="I552" i="1"/>
  <c r="W548" i="1"/>
  <c r="CA538" i="1"/>
  <c r="AA529" i="1"/>
  <c r="CE519" i="1"/>
  <c r="R548" i="1"/>
  <c r="BV538" i="1"/>
  <c r="V529" i="1"/>
  <c r="BT560" i="1"/>
  <c r="AY544" i="1"/>
  <c r="DC534" i="1"/>
  <c r="BC525" i="1"/>
  <c r="AZ560" i="1"/>
  <c r="AT544" i="1"/>
  <c r="CX534" i="1"/>
  <c r="AX525" i="1"/>
  <c r="BO549" i="1"/>
  <c r="O540" i="1"/>
  <c r="BS530" i="1"/>
  <c r="S521" i="1"/>
  <c r="DF549" i="1"/>
  <c r="BF540" i="1"/>
  <c r="F531" i="1"/>
  <c r="BJ521" i="1"/>
  <c r="CQ549" i="1"/>
  <c r="AQ540" i="1"/>
  <c r="CU530" i="1"/>
  <c r="AU521" i="1"/>
  <c r="CL549" i="1"/>
  <c r="AL540" i="1"/>
  <c r="CP530" i="1"/>
  <c r="AP521" i="1"/>
  <c r="AZ553" i="1"/>
  <c r="BU542" i="1"/>
  <c r="U533" i="1"/>
  <c r="BY523" i="1"/>
  <c r="BP538" i="1"/>
  <c r="N514" i="1"/>
  <c r="BR504" i="1"/>
  <c r="R495" i="1"/>
  <c r="CB552" i="1"/>
  <c r="BA542" i="1"/>
  <c r="DE532" i="1"/>
  <c r="BE523" i="1"/>
  <c r="CR537" i="1"/>
  <c r="CX513" i="1"/>
  <c r="AX504" i="1"/>
  <c r="DB494" i="1"/>
  <c r="DI550" i="1"/>
  <c r="BI541" i="1"/>
  <c r="I532" i="1"/>
  <c r="BM522" i="1"/>
  <c r="T534" i="1"/>
  <c r="DF512" i="1"/>
  <c r="BF503" i="1"/>
  <c r="BN521" i="1"/>
  <c r="DI547" i="1"/>
  <c r="BI538" i="1"/>
  <c r="I529" i="1"/>
  <c r="BM519" i="1"/>
  <c r="T522" i="1"/>
  <c r="DF509" i="1"/>
  <c r="BF500" i="1"/>
  <c r="F491" i="1"/>
  <c r="AN548" i="1"/>
  <c r="CC515" i="1"/>
  <c r="AC506" i="1"/>
  <c r="CG496" i="1"/>
  <c r="CF544" i="1"/>
  <c r="BT515" i="1"/>
  <c r="T506" i="1"/>
  <c r="BX496" i="1"/>
  <c r="CL491" i="1"/>
  <c r="AO518" i="1"/>
  <c r="CS508" i="1"/>
  <c r="AS499" i="1"/>
  <c r="AQ566" i="1"/>
  <c r="AF518" i="1"/>
  <c r="CJ508" i="1"/>
  <c r="AJ499" i="1"/>
  <c r="AT491" i="1"/>
  <c r="U518" i="1"/>
  <c r="BY508" i="1"/>
  <c r="DG520" i="1"/>
  <c r="AD549" i="1"/>
  <c r="CH539" i="1"/>
  <c r="AH530" i="1"/>
  <c r="CL520" i="1"/>
  <c r="O549" i="1"/>
  <c r="BS539" i="1"/>
  <c r="S530" i="1"/>
  <c r="BW520" i="1"/>
  <c r="J549" i="1"/>
  <c r="BN539" i="1"/>
  <c r="N530" i="1"/>
  <c r="BR520" i="1"/>
  <c r="AS551" i="1"/>
  <c r="CW541" i="1"/>
  <c r="AW532" i="1"/>
  <c r="DA522" i="1"/>
  <c r="BT535" i="1"/>
  <c r="AP513" i="1"/>
  <c r="CT503" i="1"/>
  <c r="AT494" i="1"/>
  <c r="Y551" i="1"/>
  <c r="CC541" i="1"/>
  <c r="AC532" i="1"/>
  <c r="CG522" i="1"/>
  <c r="CV534" i="1"/>
  <c r="V513" i="1"/>
  <c r="BZ503" i="1"/>
  <c r="Z494" i="1"/>
  <c r="AG550" i="1"/>
  <c r="CK540" i="1"/>
  <c r="AK531" i="1"/>
  <c r="CO521" i="1"/>
  <c r="X531" i="1"/>
  <c r="AD512" i="1"/>
  <c r="CH502" i="1"/>
  <c r="N520" i="1"/>
  <c r="AG547" i="1"/>
  <c r="AZ575" i="1"/>
  <c r="CP603" i="1"/>
  <c r="K561" i="1"/>
  <c r="AD603" i="1"/>
  <c r="J561" i="1"/>
  <c r="AZ596" i="1"/>
  <c r="DA560" i="1"/>
  <c r="BB586" i="1"/>
  <c r="BO547" i="1"/>
  <c r="O538" i="1"/>
  <c r="BS528" i="1"/>
  <c r="S519" i="1"/>
  <c r="BJ547" i="1"/>
  <c r="J538" i="1"/>
  <c r="BN528" i="1"/>
  <c r="AF558" i="1"/>
  <c r="CQ543" i="1"/>
  <c r="AQ534" i="1"/>
  <c r="CU524" i="1"/>
  <c r="L558" i="1"/>
  <c r="CL543" i="1"/>
  <c r="AL534" i="1"/>
  <c r="CP524" i="1"/>
  <c r="DG548" i="1"/>
  <c r="BG539" i="1"/>
  <c r="G530" i="1"/>
  <c r="BO521" i="1"/>
  <c r="AT549" i="1"/>
  <c r="CX539" i="1"/>
  <c r="AX530" i="1"/>
  <c r="DB520" i="1"/>
  <c r="AE549" i="1"/>
  <c r="CI539" i="1"/>
  <c r="AI530" i="1"/>
  <c r="CM520" i="1"/>
  <c r="Z549" i="1"/>
  <c r="CD539" i="1"/>
  <c r="AD530" i="1"/>
  <c r="CH520" i="1"/>
  <c r="BI551" i="1"/>
  <c r="I542" i="1"/>
  <c r="BM532" i="1"/>
  <c r="M523" i="1"/>
  <c r="AB536" i="1"/>
  <c r="BF513" i="1"/>
  <c r="F504" i="1"/>
  <c r="BJ494" i="1"/>
  <c r="AO551" i="1"/>
  <c r="CS541" i="1"/>
  <c r="AS532" i="1"/>
  <c r="CW522" i="1"/>
  <c r="BD535" i="1"/>
  <c r="AL513" i="1"/>
  <c r="CP503" i="1"/>
  <c r="AP494" i="1"/>
  <c r="AW550" i="1"/>
  <c r="DA540" i="1"/>
  <c r="BA531" i="1"/>
  <c r="DE521" i="1"/>
  <c r="CJ531" i="1"/>
  <c r="AT512" i="1"/>
  <c r="CX502" i="1"/>
  <c r="AT520" i="1"/>
  <c r="AW547" i="1"/>
  <c r="DA537" i="1"/>
  <c r="BA528" i="1"/>
  <c r="DE518" i="1"/>
  <c r="CJ519" i="1"/>
  <c r="AT509" i="1"/>
  <c r="CX499" i="1"/>
  <c r="AX490" i="1"/>
  <c r="AB545" i="1"/>
  <c r="Q515" i="1"/>
  <c r="BU505" i="1"/>
  <c r="U496" i="1"/>
  <c r="AR542" i="1"/>
  <c r="H515" i="1"/>
  <c r="BL505" i="1"/>
  <c r="L496" i="1"/>
  <c r="CP490" i="1"/>
  <c r="CG517" i="1"/>
  <c r="AG508" i="1"/>
  <c r="CK498" i="1"/>
  <c r="BH556" i="1"/>
  <c r="BX517" i="1"/>
  <c r="X508" i="1"/>
  <c r="CB498" i="1"/>
  <c r="BR490" i="1"/>
  <c r="BM517" i="1"/>
  <c r="M508" i="1"/>
  <c r="AE520" i="1"/>
  <c r="BV548" i="1"/>
  <c r="V539" i="1"/>
  <c r="BZ529" i="1"/>
  <c r="Z520" i="1"/>
  <c r="BG548" i="1"/>
  <c r="G539" i="1"/>
  <c r="BK529" i="1"/>
  <c r="K520" i="1"/>
  <c r="BB548" i="1"/>
  <c r="CM524" i="1"/>
  <c r="N546" i="1"/>
  <c r="BR536" i="1"/>
  <c r="R527" i="1"/>
  <c r="BW570" i="1"/>
  <c r="AW548" i="1"/>
  <c r="DA538" i="1"/>
  <c r="BA529" i="1"/>
  <c r="DE519" i="1"/>
  <c r="CJ523" i="1"/>
  <c r="AT510" i="1"/>
  <c r="CX500" i="1"/>
  <c r="AX491" i="1"/>
  <c r="AC548" i="1"/>
  <c r="CG538" i="1"/>
  <c r="AG529" i="1"/>
  <c r="CK519" i="1"/>
  <c r="H523" i="1"/>
  <c r="Z510" i="1"/>
  <c r="CD500" i="1"/>
  <c r="R520" i="1"/>
  <c r="AK547" i="1"/>
  <c r="CO537" i="1"/>
  <c r="AO528" i="1"/>
  <c r="CS518" i="1"/>
  <c r="AN519" i="1"/>
  <c r="AH509" i="1"/>
  <c r="CL499" i="1"/>
  <c r="P560" i="1"/>
  <c r="CO552" i="1"/>
  <c r="P570" i="1"/>
  <c r="AA565" i="1"/>
  <c r="CE555" i="1"/>
  <c r="Z565" i="1"/>
  <c r="CD555" i="1"/>
  <c r="M565" i="1"/>
  <c r="BQ555" i="1"/>
  <c r="CV551" i="1"/>
  <c r="AE542" i="1"/>
  <c r="CI532" i="1"/>
  <c r="AI523" i="1"/>
  <c r="CD551" i="1"/>
  <c r="Z542" i="1"/>
  <c r="CD532" i="1"/>
  <c r="AD523" i="1"/>
  <c r="DG547" i="1"/>
  <c r="BG538" i="1"/>
  <c r="G529" i="1"/>
  <c r="BK519" i="1"/>
  <c r="DB547" i="1"/>
  <c r="BB538" i="1"/>
  <c r="DF528" i="1"/>
  <c r="BH557" i="1"/>
  <c r="BW543" i="1"/>
  <c r="W534" i="1"/>
  <c r="CA524" i="1"/>
  <c r="P559" i="1"/>
  <c r="J544" i="1"/>
  <c r="BN534" i="1"/>
  <c r="N525" i="1"/>
  <c r="BL558" i="1"/>
  <c r="CY543" i="1"/>
  <c r="AY534" i="1"/>
  <c r="DC524" i="1"/>
  <c r="AR558" i="1"/>
  <c r="CT543" i="1"/>
  <c r="AT534" i="1"/>
  <c r="CX524" i="1"/>
  <c r="CM574" i="1"/>
  <c r="Y546" i="1"/>
  <c r="CC536" i="1"/>
  <c r="AC527" i="1"/>
  <c r="AB556" i="1"/>
  <c r="BV517" i="1"/>
  <c r="V508" i="1"/>
  <c r="BZ498" i="1"/>
  <c r="AE571" i="1"/>
  <c r="DI545" i="1"/>
  <c r="BI536" i="1"/>
  <c r="I527" i="1"/>
  <c r="AF553" i="1"/>
  <c r="BB517" i="1"/>
  <c r="DF507" i="1"/>
  <c r="BF498" i="1"/>
  <c r="AB563" i="1"/>
  <c r="M545" i="1"/>
  <c r="BQ535" i="1"/>
  <c r="Q526" i="1"/>
  <c r="AR548" i="1"/>
  <c r="BJ516" i="1"/>
  <c r="J507" i="1"/>
  <c r="BN497" i="1"/>
  <c r="BM551" i="1"/>
  <c r="M542" i="1"/>
  <c r="BQ532" i="1"/>
  <c r="Q523" i="1"/>
  <c r="AR536" i="1"/>
  <c r="BJ513" i="1"/>
  <c r="J504" i="1"/>
  <c r="BN494" i="1"/>
  <c r="X536" i="1"/>
  <c r="AR521" i="1"/>
  <c r="CK509" i="1"/>
  <c r="AK500" i="1"/>
  <c r="CO490" i="1"/>
  <c r="H521" i="1"/>
  <c r="CB509" i="1"/>
  <c r="AB500" i="1"/>
  <c r="CF490" i="1"/>
  <c r="CV531" i="1"/>
  <c r="AW512" i="1"/>
  <c r="DA502" i="1"/>
  <c r="BA493" i="1"/>
  <c r="BL531" i="1"/>
  <c r="AN512" i="1"/>
  <c r="CR502" i="1"/>
  <c r="AR493" i="1"/>
  <c r="T531" i="1"/>
  <c r="AC512" i="1"/>
  <c r="CG502" i="1"/>
  <c r="T556" i="1"/>
  <c r="AL543" i="1"/>
  <c r="CP533" i="1"/>
  <c r="AP524" i="1"/>
  <c r="BP555" i="1"/>
  <c r="W543" i="1"/>
  <c r="CA533" i="1"/>
  <c r="AA524" i="1"/>
  <c r="AV555" i="1"/>
  <c r="R543" i="1"/>
  <c r="BV533" i="1"/>
  <c r="V524" i="1"/>
  <c r="CB564" i="1"/>
  <c r="BA545" i="1"/>
  <c r="DE535" i="1"/>
  <c r="BE526" i="1"/>
  <c r="CR549" i="1"/>
  <c r="CX516" i="1"/>
  <c r="AX507" i="1"/>
  <c r="DB497" i="1"/>
  <c r="DD563" i="1"/>
  <c r="AG545" i="1"/>
  <c r="CK535" i="1"/>
  <c r="AK526" i="1"/>
  <c r="P549" i="1"/>
  <c r="CD516" i="1"/>
  <c r="AD507" i="1"/>
  <c r="CH497" i="1"/>
  <c r="AF560" i="1"/>
  <c r="AO544" i="1"/>
  <c r="CS534" i="1"/>
  <c r="AS525" i="1"/>
  <c r="AV545" i="1"/>
  <c r="CL515" i="1"/>
  <c r="AL506" i="1"/>
  <c r="CP496" i="1"/>
  <c r="CO550" i="1"/>
  <c r="DA541" i="1"/>
  <c r="BA532" i="1"/>
  <c r="DE522" i="1"/>
  <c r="CJ535" i="1"/>
  <c r="AT513" i="1"/>
  <c r="CX503" i="1"/>
  <c r="AX494" i="1"/>
  <c r="BP535" i="1"/>
  <c r="CJ520" i="1"/>
  <c r="BU509" i="1"/>
  <c r="U500" i="1"/>
  <c r="BY490" i="1"/>
  <c r="AZ520" i="1"/>
  <c r="BL509" i="1"/>
  <c r="L500" i="1"/>
  <c r="BP490" i="1"/>
  <c r="AJ531" i="1"/>
  <c r="AG512" i="1"/>
  <c r="CK502" i="1"/>
  <c r="AK493" i="1"/>
  <c r="DD530" i="1"/>
  <c r="X512" i="1"/>
  <c r="CB502" i="1"/>
  <c r="AB493" i="1"/>
  <c r="BL530" i="1"/>
  <c r="M512" i="1"/>
  <c r="BQ502" i="1"/>
  <c r="BL555" i="1"/>
  <c r="V543" i="1"/>
  <c r="BZ533" i="1"/>
  <c r="Z524" i="1"/>
  <c r="DH554" i="1"/>
  <c r="G543" i="1"/>
  <c r="BK533" i="1"/>
  <c r="K524" i="1"/>
  <c r="CN554" i="1"/>
  <c r="DF542" i="1"/>
  <c r="BF533" i="1"/>
  <c r="F524" i="1"/>
  <c r="P564" i="1"/>
  <c r="AK545" i="1"/>
  <c r="CO535" i="1"/>
  <c r="AO526" i="1"/>
  <c r="AF549" i="1"/>
  <c r="CH516" i="1"/>
  <c r="AH507" i="1"/>
  <c r="CL497" i="1"/>
  <c r="AR563" i="1"/>
  <c r="Q545" i="1"/>
  <c r="BU535" i="1"/>
  <c r="U526" i="1"/>
  <c r="BH548" i="1"/>
  <c r="BN516" i="1"/>
  <c r="N507" i="1"/>
  <c r="BR497" i="1"/>
  <c r="BX559" i="1"/>
  <c r="Y544" i="1"/>
  <c r="CC534" i="1"/>
  <c r="AC525" i="1"/>
  <c r="CN544" i="1"/>
  <c r="BV515" i="1"/>
  <c r="V506" i="1"/>
  <c r="BZ496" i="1"/>
  <c r="BY550" i="1"/>
  <c r="Y541" i="1"/>
  <c r="CC531" i="1"/>
  <c r="AC522" i="1"/>
  <c r="CN532" i="1"/>
  <c r="BV512" i="1"/>
  <c r="V503" i="1"/>
  <c r="BZ493" i="1"/>
  <c r="CP491" i="1"/>
  <c r="AS518" i="1"/>
  <c r="CW508" i="1"/>
  <c r="AW499" i="1"/>
  <c r="CE568" i="1"/>
  <c r="AJ518" i="1"/>
  <c r="CN508" i="1"/>
  <c r="AN499" i="1"/>
  <c r="AV553" i="1"/>
  <c r="AN528" i="1"/>
  <c r="BI511" i="1"/>
  <c r="I502" i="1"/>
  <c r="BM492" i="1"/>
  <c r="DH527" i="1"/>
  <c r="AZ511" i="1"/>
  <c r="DD501" i="1"/>
  <c r="CD550" i="1"/>
  <c r="AD541" i="1"/>
  <c r="CH531" i="1"/>
  <c r="AH522" i="1"/>
  <c r="BO550" i="1"/>
  <c r="O541" i="1"/>
  <c r="BS531" i="1"/>
  <c r="S522" i="1"/>
  <c r="BJ550" i="1"/>
  <c r="J541" i="1"/>
  <c r="BN531" i="1"/>
  <c r="N522" i="1"/>
  <c r="AV556" i="1"/>
  <c r="AS543" i="1"/>
  <c r="CW533" i="1"/>
  <c r="AW524" i="1"/>
  <c r="BL541" i="1"/>
  <c r="CP514" i="1"/>
  <c r="AP505" i="1"/>
  <c r="CT495" i="1"/>
  <c r="BX555" i="1"/>
  <c r="Y543" i="1"/>
  <c r="CC533" i="1"/>
  <c r="AC524" i="1"/>
  <c r="CN540" i="1"/>
  <c r="BV514" i="1"/>
  <c r="V505" i="1"/>
  <c r="BZ495" i="1"/>
  <c r="DD551" i="1"/>
  <c r="AG542" i="1"/>
  <c r="CK532" i="1"/>
  <c r="AK523" i="1"/>
  <c r="P537" i="1"/>
  <c r="CD513" i="1"/>
  <c r="AD504" i="1"/>
  <c r="CH494" i="1"/>
  <c r="CG548" i="1"/>
  <c r="AG539" i="1"/>
  <c r="CK529" i="1"/>
  <c r="AK520" i="1"/>
  <c r="P525" i="1"/>
  <c r="BQ536" i="1"/>
  <c r="Q527" i="1"/>
  <c r="AZ554" i="1"/>
  <c r="BJ517" i="1"/>
  <c r="J508" i="1"/>
  <c r="BN498" i="1"/>
  <c r="CB553" i="1"/>
  <c r="P538" i="1"/>
  <c r="CK513" i="1"/>
  <c r="AK504" i="1"/>
  <c r="CO494" i="1"/>
  <c r="H537" i="1"/>
  <c r="CB513" i="1"/>
  <c r="AB504" i="1"/>
  <c r="CF494" i="1"/>
  <c r="P553" i="1"/>
  <c r="AW516" i="1"/>
  <c r="DA506" i="1"/>
  <c r="BA497" i="1"/>
  <c r="BL547" i="1"/>
  <c r="AN516" i="1"/>
  <c r="CR506" i="1"/>
  <c r="AR497" i="1"/>
  <c r="T551" i="1"/>
  <c r="AC516" i="1"/>
  <c r="CG506" i="1"/>
  <c r="CY518" i="1"/>
  <c r="AL547" i="1"/>
  <c r="CP537" i="1"/>
  <c r="AP528" i="1"/>
  <c r="CT518" i="1"/>
  <c r="W547" i="1"/>
  <c r="CA537" i="1"/>
  <c r="AA528" i="1"/>
  <c r="CE518" i="1"/>
  <c r="R547" i="1"/>
  <c r="BV537" i="1"/>
  <c r="V528" i="1"/>
  <c r="BZ518" i="1"/>
  <c r="BA549" i="1"/>
  <c r="DE539" i="1"/>
  <c r="BE530" i="1"/>
  <c r="DI520" i="1"/>
  <c r="CZ527" i="1"/>
  <c r="AX511" i="1"/>
  <c r="DB501" i="1"/>
  <c r="BB492" i="1"/>
  <c r="AG549" i="1"/>
  <c r="CK539" i="1"/>
  <c r="AK530" i="1"/>
  <c r="CO520" i="1"/>
  <c r="X527" i="1"/>
  <c r="AD511" i="1"/>
  <c r="CH501" i="1"/>
  <c r="AH492" i="1"/>
  <c r="AO548" i="1"/>
  <c r="CS538" i="1"/>
  <c r="AS529" i="1"/>
  <c r="CW519" i="1"/>
  <c r="BD523" i="1"/>
  <c r="AL510" i="1"/>
  <c r="CP500" i="1"/>
  <c r="AF564" i="1"/>
  <c r="AO545" i="1"/>
  <c r="CS535" i="1"/>
  <c r="AS526" i="1"/>
  <c r="AV549" i="1"/>
  <c r="CL516" i="1"/>
  <c r="AL507" i="1"/>
  <c r="CP497" i="1"/>
  <c r="AB549" i="1"/>
  <c r="AV534" i="1"/>
  <c r="I513" i="1"/>
  <c r="BM503" i="1"/>
  <c r="M494" i="1"/>
  <c r="L534" i="1"/>
  <c r="DD512" i="1"/>
  <c r="BD503" i="1"/>
  <c r="DH493" i="1"/>
  <c r="X548" i="1"/>
  <c r="BY515" i="1"/>
  <c r="Y506" i="1"/>
  <c r="CC496" i="1"/>
  <c r="BP544" i="1"/>
  <c r="BP515" i="1"/>
  <c r="P506" i="1"/>
  <c r="AZ564" i="1"/>
  <c r="AT545" i="1"/>
  <c r="CX535" i="1"/>
  <c r="AX526" i="1"/>
  <c r="CV563" i="1"/>
  <c r="AE545" i="1"/>
  <c r="CI535" i="1"/>
  <c r="AI526" i="1"/>
  <c r="CB563" i="1"/>
  <c r="Z545" i="1"/>
  <c r="CD535" i="1"/>
  <c r="AD526" i="1"/>
  <c r="BN520" i="1"/>
  <c r="BI547" i="1"/>
  <c r="I538" i="1"/>
  <c r="BM528" i="1"/>
  <c r="M519" i="1"/>
  <c r="AB520" i="1"/>
  <c r="BF509" i="1"/>
  <c r="F500" i="1"/>
  <c r="AD520" i="1"/>
  <c r="AO547" i="1"/>
  <c r="CS537" i="1"/>
  <c r="AS528" i="1"/>
  <c r="CW518" i="1"/>
  <c r="BD519" i="1"/>
  <c r="AL509" i="1"/>
  <c r="CP499" i="1"/>
  <c r="BV587" i="1"/>
  <c r="AW546" i="1"/>
  <c r="DA536" i="1"/>
  <c r="BA527" i="1"/>
  <c r="CJ559" i="1"/>
  <c r="CT517" i="1"/>
  <c r="AT508" i="1"/>
  <c r="CX498" i="1"/>
  <c r="BL556" i="1"/>
  <c r="AW543" i="1"/>
  <c r="DA533" i="1"/>
  <c r="BA524" i="1"/>
  <c r="CB541" i="1"/>
  <c r="CT514" i="1"/>
  <c r="DI535" i="1"/>
  <c r="BI526" i="1"/>
  <c r="DH549" i="1"/>
  <c r="DB516" i="1"/>
  <c r="BB507" i="1"/>
  <c r="DF497" i="1"/>
  <c r="CN549" i="1"/>
  <c r="DH534" i="1"/>
  <c r="Y513" i="1"/>
  <c r="CC503" i="1"/>
  <c r="AC494" i="1"/>
  <c r="BX534" i="1"/>
  <c r="P513" i="1"/>
  <c r="BT503" i="1"/>
  <c r="T494" i="1"/>
  <c r="CZ548" i="1"/>
  <c r="CO515" i="1"/>
  <c r="AO506" i="1"/>
  <c r="CS496" i="1"/>
  <c r="X545" i="1"/>
  <c r="CF515" i="1"/>
  <c r="AF506" i="1"/>
  <c r="CJ496" i="1"/>
  <c r="CV547" i="1"/>
  <c r="BU515" i="1"/>
  <c r="U506" i="1"/>
  <c r="CT585" i="1"/>
  <c r="CD546" i="1"/>
  <c r="AD537" i="1"/>
  <c r="CH527" i="1"/>
  <c r="CX582" i="1"/>
  <c r="BO546" i="1"/>
  <c r="O537" i="1"/>
  <c r="BS527" i="1"/>
  <c r="BG578" i="1"/>
  <c r="BJ546" i="1"/>
  <c r="J537" i="1"/>
  <c r="BN527" i="1"/>
  <c r="CI577" i="1"/>
  <c r="CS548" i="1"/>
  <c r="AS539" i="1"/>
  <c r="CW529" i="1"/>
  <c r="AW520" i="1"/>
  <c r="BL525" i="1"/>
  <c r="CP510" i="1"/>
  <c r="AP501" i="1"/>
  <c r="CT491" i="1"/>
  <c r="BY548" i="1"/>
  <c r="Y539" i="1"/>
  <c r="CC529" i="1"/>
  <c r="AC520" i="1"/>
  <c r="CN524" i="1"/>
  <c r="BV510" i="1"/>
  <c r="V501" i="1"/>
  <c r="F521" i="1"/>
  <c r="CG547" i="1"/>
  <c r="AG538" i="1"/>
  <c r="CK528" i="1"/>
  <c r="AK519" i="1"/>
  <c r="P521" i="1"/>
  <c r="CD509" i="1"/>
  <c r="AD500" i="1"/>
  <c r="CV561" i="1"/>
  <c r="CG544" i="1"/>
  <c r="AG535" i="1"/>
  <c r="CK525" i="1"/>
  <c r="H547" i="1"/>
  <c r="Z516" i="1"/>
  <c r="CD506" i="1"/>
  <c r="AD497" i="1"/>
  <c r="CR546" i="1"/>
  <c r="H532" i="1"/>
  <c r="BA512" i="1"/>
  <c r="DE502" i="1"/>
  <c r="BE493" i="1"/>
  <c r="CB531" i="1"/>
  <c r="AR512" i="1"/>
  <c r="CV502" i="1"/>
  <c r="AV493" i="1"/>
  <c r="CZ544" i="1"/>
  <c r="M515" i="1"/>
  <c r="BQ505" i="1"/>
  <c r="Q496" i="1"/>
  <c r="AB542" i="1"/>
  <c r="DH514" i="1"/>
  <c r="BH505" i="1"/>
  <c r="L562" i="1"/>
  <c r="CL544" i="1"/>
  <c r="AL535" i="1"/>
  <c r="CP525" i="1"/>
  <c r="BH561" i="1"/>
  <c r="BW544" i="1"/>
  <c r="W535" i="1"/>
  <c r="CA525" i="1"/>
  <c r="AN561" i="1"/>
  <c r="BR544" i="1"/>
  <c r="R535" i="1"/>
  <c r="BV525" i="1"/>
  <c r="AY522" i="1"/>
  <c r="CD543" i="1"/>
  <c r="AD534" i="1"/>
  <c r="CH524" i="1"/>
  <c r="CQ571" i="1"/>
  <c r="I546" i="1"/>
  <c r="BM536" i="1"/>
  <c r="M527" i="1"/>
  <c r="CR553" i="1"/>
  <c r="BF517" i="1"/>
  <c r="F508" i="1"/>
  <c r="BJ498" i="1"/>
  <c r="CA567" i="1"/>
  <c r="CS545" i="1"/>
  <c r="AS536" i="1"/>
  <c r="CW526" i="1"/>
  <c r="BD551" i="1"/>
  <c r="AL517" i="1"/>
  <c r="CP507" i="1"/>
  <c r="AP498" i="1"/>
  <c r="BT562" i="1"/>
  <c r="DA544" i="1"/>
  <c r="BA535" i="1"/>
  <c r="DE525" i="1"/>
  <c r="CJ547" i="1"/>
  <c r="AT516" i="1"/>
  <c r="CX506" i="1"/>
  <c r="AX497" i="1"/>
  <c r="AW551" i="1"/>
  <c r="AV578" i="1"/>
  <c r="CF567" i="1"/>
  <c r="CQ562" i="1"/>
  <c r="AQ553" i="1"/>
  <c r="CP562" i="1"/>
  <c r="AP553" i="1"/>
  <c r="CC562" i="1"/>
  <c r="AC553" i="1"/>
  <c r="AQ549" i="1"/>
  <c r="CU539" i="1"/>
  <c r="AU530" i="1"/>
  <c r="CY520" i="1"/>
  <c r="AL549" i="1"/>
  <c r="CP539" i="1"/>
  <c r="AP530" i="1"/>
  <c r="BH565" i="1"/>
  <c r="BS545" i="1"/>
  <c r="S536" i="1"/>
  <c r="BW526" i="1"/>
  <c r="X565" i="1"/>
  <c r="BN545" i="1"/>
  <c r="N536" i="1"/>
  <c r="BR526" i="1"/>
  <c r="CI550" i="1"/>
  <c r="AI541" i="1"/>
  <c r="CM531" i="1"/>
  <c r="AM522" i="1"/>
  <c r="V551" i="1"/>
  <c r="BZ541" i="1"/>
  <c r="Z532" i="1"/>
  <c r="CD522" i="1"/>
  <c r="G551" i="1"/>
  <c r="BK541" i="1"/>
  <c r="K532" i="1"/>
  <c r="BO522" i="1"/>
  <c r="DF550" i="1"/>
  <c r="BF541" i="1"/>
  <c r="F532" i="1"/>
  <c r="BJ522" i="1"/>
  <c r="X558" i="1"/>
  <c r="CO543" i="1"/>
  <c r="AO534" i="1"/>
  <c r="CS524" i="1"/>
  <c r="AN543" i="1"/>
  <c r="AH515" i="1"/>
  <c r="CL505" i="1"/>
  <c r="AL496" i="1"/>
  <c r="AZ557" i="1"/>
  <c r="BU543" i="1"/>
  <c r="U534" i="1"/>
  <c r="BY524" i="1"/>
  <c r="BP542" i="1"/>
  <c r="N515" i="1"/>
  <c r="BR505" i="1"/>
  <c r="R496" i="1"/>
  <c r="CF553" i="1"/>
  <c r="CC542" i="1"/>
  <c r="AC533" i="1"/>
  <c r="CG523" i="1"/>
  <c r="CV538" i="1"/>
  <c r="V514" i="1"/>
  <c r="BZ504" i="1"/>
  <c r="Z495" i="1"/>
  <c r="Y549" i="1"/>
  <c r="CC539" i="1"/>
  <c r="AC530" i="1"/>
  <c r="CG520" i="1"/>
  <c r="CV526" i="1"/>
  <c r="V511" i="1"/>
  <c r="BZ501" i="1"/>
  <c r="Z492" i="1"/>
  <c r="CJ563" i="1"/>
  <c r="CW516" i="1"/>
  <c r="AW507" i="1"/>
  <c r="DA497" i="1"/>
  <c r="BD549" i="1"/>
  <c r="CN516" i="1"/>
  <c r="AN507" i="1"/>
  <c r="CR497" i="1"/>
  <c r="AV528" i="1"/>
  <c r="AV522" i="1"/>
  <c r="I510" i="1"/>
  <c r="BM500" i="1"/>
  <c r="M491" i="1"/>
  <c r="L522" i="1"/>
  <c r="DD509" i="1"/>
  <c r="BD500" i="1"/>
  <c r="DH490" i="1"/>
  <c r="BX521" i="1"/>
  <c r="CS509" i="1"/>
  <c r="AS500" i="1"/>
  <c r="AX550" i="1"/>
  <c r="DB540" i="1"/>
  <c r="BB531" i="1"/>
  <c r="DF521" i="1"/>
  <c r="AI550" i="1"/>
  <c r="CM540" i="1"/>
  <c r="AM531" i="1"/>
  <c r="CQ521" i="1"/>
  <c r="AD550" i="1"/>
  <c r="CH540" i="1"/>
  <c r="AH531" i="1"/>
  <c r="CL521" i="1"/>
  <c r="AB555" i="1"/>
  <c r="M543" i="1"/>
  <c r="BQ533" i="1"/>
  <c r="Q524" i="1"/>
  <c r="AR540" i="1"/>
  <c r="BJ514" i="1"/>
  <c r="J505" i="1"/>
  <c r="BN495" i="1"/>
  <c r="BD554" i="1"/>
  <c r="CW542" i="1"/>
  <c r="AW533" i="1"/>
  <c r="DA523" i="1"/>
  <c r="BT539" i="1"/>
  <c r="AP514" i="1"/>
  <c r="CT504" i="1"/>
  <c r="AT495" i="1"/>
  <c r="BA551" i="1"/>
  <c r="DE541" i="1"/>
  <c r="BE532" i="1"/>
  <c r="DI522" i="1"/>
  <c r="CZ535" i="1"/>
  <c r="AX513" i="1"/>
  <c r="DB503" i="1"/>
  <c r="BB494" i="1"/>
  <c r="BA548" i="1"/>
  <c r="BM539" i="1"/>
  <c r="M530" i="1"/>
  <c r="BQ520" i="1"/>
  <c r="AJ526" i="1"/>
  <c r="F511" i="1"/>
  <c r="BJ501" i="1"/>
  <c r="J492" i="1"/>
  <c r="AB560" i="1"/>
  <c r="CG516" i="1"/>
  <c r="AG507" i="1"/>
  <c r="CK497" i="1"/>
  <c r="CV548" i="1"/>
  <c r="BX516" i="1"/>
  <c r="X507" i="1"/>
  <c r="CB497" i="1"/>
  <c r="H526" i="1"/>
  <c r="CN521" i="1"/>
  <c r="CW509" i="1"/>
  <c r="AW500" i="1"/>
  <c r="DA490" i="1"/>
  <c r="BD521" i="1"/>
  <c r="CN509" i="1"/>
  <c r="AN500" i="1"/>
  <c r="CR490" i="1"/>
  <c r="L521" i="1"/>
  <c r="CC509" i="1"/>
  <c r="AC500" i="1"/>
  <c r="AH550" i="1"/>
  <c r="CL540" i="1"/>
  <c r="AL531" i="1"/>
  <c r="CP521" i="1"/>
  <c r="S550" i="1"/>
  <c r="BW540" i="1"/>
  <c r="W531" i="1"/>
  <c r="CA521" i="1"/>
  <c r="N550" i="1"/>
  <c r="BR540" i="1"/>
  <c r="R531" i="1"/>
  <c r="BV521" i="1"/>
  <c r="BT554" i="1"/>
  <c r="DA542" i="1"/>
  <c r="BA533" i="1"/>
  <c r="DE523" i="1"/>
  <c r="CJ539" i="1"/>
  <c r="AT514" i="1"/>
  <c r="CX504" i="1"/>
  <c r="AX495" i="1"/>
  <c r="CV553" i="1"/>
  <c r="CG542" i="1"/>
  <c r="AG533" i="1"/>
  <c r="CK523" i="1"/>
  <c r="H539" i="1"/>
  <c r="Z514" i="1"/>
  <c r="CD504" i="1"/>
  <c r="AD495" i="1"/>
  <c r="AK551" i="1"/>
  <c r="CO541" i="1"/>
  <c r="AO532" i="1"/>
  <c r="CS522" i="1"/>
  <c r="AN535" i="1"/>
  <c r="AH513" i="1"/>
  <c r="CL503" i="1"/>
  <c r="AL494" i="1"/>
  <c r="AK548" i="1"/>
  <c r="CO538" i="1"/>
  <c r="AO529" i="1"/>
  <c r="CS519" i="1"/>
  <c r="AN523" i="1"/>
  <c r="AH510" i="1"/>
  <c r="CL500" i="1"/>
  <c r="AL491" i="1"/>
  <c r="DD549" i="1"/>
  <c r="DI515" i="1"/>
  <c r="BI506" i="1"/>
  <c r="I497" i="1"/>
  <c r="CZ545" i="1"/>
  <c r="CZ515" i="1"/>
  <c r="AZ506" i="1"/>
  <c r="DD496" i="1"/>
  <c r="BZ492" i="1"/>
  <c r="CR518" i="1"/>
  <c r="U509" i="1"/>
  <c r="BY499" i="1"/>
  <c r="Y490" i="1"/>
  <c r="BP518" i="1"/>
  <c r="L509" i="1"/>
  <c r="DC519" i="1"/>
  <c r="AP548" i="1"/>
  <c r="CT538" i="1"/>
  <c r="AT529" i="1"/>
  <c r="CX519" i="1"/>
  <c r="AA548" i="1"/>
  <c r="CE538" i="1"/>
  <c r="AE529" i="1"/>
  <c r="CI519" i="1"/>
  <c r="V548" i="1"/>
  <c r="BZ538" i="1"/>
  <c r="Z529" i="1"/>
  <c r="CD519" i="1"/>
  <c r="BE550" i="1"/>
  <c r="DI540" i="1"/>
  <c r="BI531" i="1"/>
  <c r="I522" i="1"/>
  <c r="L532" i="1"/>
  <c r="BB512" i="1"/>
  <c r="DF502" i="1"/>
  <c r="BF493" i="1"/>
  <c r="AK550" i="1"/>
  <c r="CO540" i="1"/>
  <c r="AO531" i="1"/>
  <c r="CS521" i="1"/>
  <c r="AN531" i="1"/>
  <c r="AH512" i="1"/>
  <c r="CL502" i="1"/>
  <c r="AL493" i="1"/>
  <c r="AS549" i="1"/>
  <c r="CW539" i="1"/>
  <c r="AW530" i="1"/>
  <c r="DA520" i="1"/>
  <c r="BT527" i="1"/>
  <c r="AP511" i="1"/>
  <c r="CT501" i="1"/>
  <c r="AH585" i="1"/>
  <c r="AS546" i="1"/>
  <c r="CW536" i="1"/>
  <c r="AW527" i="1"/>
  <c r="X559" i="1"/>
  <c r="CC543" i="1"/>
  <c r="AC534" i="1"/>
  <c r="CG524" i="1"/>
  <c r="CV542" i="1"/>
  <c r="V515" i="1"/>
  <c r="BZ505" i="1"/>
  <c r="Z496" i="1"/>
  <c r="CB542" i="1"/>
  <c r="CV527" i="1"/>
  <c r="AW511" i="1"/>
  <c r="DA501" i="1"/>
  <c r="BA492" i="1"/>
  <c r="BL527" i="1"/>
  <c r="AN511" i="1"/>
  <c r="CR501" i="1"/>
  <c r="AR492" i="1"/>
  <c r="AZ539" i="1"/>
  <c r="I514" i="1"/>
  <c r="BM504" i="1"/>
  <c r="M495" i="1"/>
  <c r="L538" i="1"/>
  <c r="DD513" i="1"/>
  <c r="BD504" i="1"/>
  <c r="DH494" i="1"/>
  <c r="AV538" i="1"/>
  <c r="CS513" i="1"/>
  <c r="AS504" i="1"/>
  <c r="BX562" i="1"/>
  <c r="DB544" i="1"/>
  <c r="BB535" i="1"/>
  <c r="DF525" i="1"/>
  <c r="P562" i="1"/>
  <c r="CM544" i="1"/>
  <c r="AM535" i="1"/>
  <c r="CQ525" i="1"/>
  <c r="CZ561" i="1"/>
  <c r="CH544" i="1"/>
  <c r="AH535" i="1"/>
  <c r="CL525" i="1"/>
  <c r="BZ519" i="1"/>
  <c r="M547" i="1"/>
  <c r="BQ537" i="1"/>
  <c r="Q528" i="1"/>
  <c r="AN597" i="1"/>
  <c r="BL518" i="1"/>
  <c r="J509" i="1"/>
  <c r="BN499" i="1"/>
  <c r="AP519" i="1"/>
  <c r="CW546" i="1"/>
  <c r="AW537" i="1"/>
  <c r="DA527" i="1"/>
  <c r="AI572" i="1"/>
  <c r="AP518" i="1"/>
  <c r="CT508" i="1"/>
  <c r="AT499" i="1"/>
  <c r="K570" i="1"/>
  <c r="DE545" i="1"/>
  <c r="BE536" i="1"/>
  <c r="DI526" i="1"/>
  <c r="BX552" i="1"/>
  <c r="AX517" i="1"/>
  <c r="DB507" i="1"/>
  <c r="BB498" i="1"/>
  <c r="CJ554" i="1"/>
  <c r="DE542" i="1"/>
  <c r="BE533" i="1"/>
  <c r="DI523" i="1"/>
  <c r="CZ539" i="1"/>
  <c r="AX514" i="1"/>
  <c r="DB504" i="1"/>
  <c r="BB495" i="1"/>
  <c r="CF539" i="1"/>
  <c r="CZ524" i="1"/>
  <c r="BY510" i="1"/>
  <c r="Y501" i="1"/>
  <c r="CC491" i="1"/>
  <c r="BP524" i="1"/>
  <c r="BP510" i="1"/>
  <c r="P501" i="1"/>
  <c r="BT491" i="1"/>
  <c r="AZ535" i="1"/>
  <c r="AK513" i="1"/>
  <c r="CO503" i="1"/>
  <c r="AO494" i="1"/>
  <c r="P535" i="1"/>
  <c r="AB513" i="1"/>
  <c r="CF503" i="1"/>
  <c r="DD554" i="1"/>
  <c r="F543" i="1"/>
  <c r="BJ533" i="1"/>
  <c r="J524" i="1"/>
  <c r="AV554" i="1"/>
  <c r="CU542" i="1"/>
  <c r="AU533" i="1"/>
  <c r="CY523" i="1"/>
  <c r="AB554" i="1"/>
  <c r="CP542" i="1"/>
  <c r="AP533" i="1"/>
  <c r="CT523" i="1"/>
  <c r="BH563" i="1"/>
  <c r="U545" i="1"/>
  <c r="BY535" i="1"/>
  <c r="Y526" i="1"/>
  <c r="BX548" i="1"/>
  <c r="BR516" i="1"/>
  <c r="R507" i="1"/>
  <c r="BV497" i="1"/>
  <c r="CJ562" i="1"/>
  <c r="DE544" i="1"/>
  <c r="BE535" i="1"/>
  <c r="DI525" i="1"/>
  <c r="CZ547" i="1"/>
  <c r="AX516" i="1"/>
  <c r="DB506" i="1"/>
  <c r="BB497" i="1"/>
  <c r="L559" i="1"/>
  <c r="I544" i="1"/>
  <c r="BM534" i="1"/>
  <c r="M525" i="1"/>
  <c r="AB544" i="1"/>
  <c r="BF515" i="1"/>
  <c r="F506" i="1"/>
  <c r="BJ496" i="1"/>
  <c r="BI550" i="1"/>
  <c r="I541" i="1"/>
  <c r="BM531" i="1"/>
  <c r="M522" i="1"/>
  <c r="AB532" i="1"/>
  <c r="Q543" i="1"/>
  <c r="BU533" i="1"/>
  <c r="U524" i="1"/>
  <c r="BH540" i="1"/>
  <c r="BN514" i="1"/>
  <c r="N505" i="1"/>
  <c r="BR495" i="1"/>
  <c r="AN540" i="1"/>
  <c r="BH525" i="1"/>
  <c r="CO510" i="1"/>
  <c r="AO501" i="1"/>
  <c r="CS491" i="1"/>
  <c r="X525" i="1"/>
  <c r="CF510" i="1"/>
  <c r="AF501" i="1"/>
  <c r="CJ491" i="1"/>
  <c r="AN536" i="1"/>
  <c r="BA513" i="1"/>
  <c r="DE503" i="1"/>
  <c r="BE494" i="1"/>
  <c r="CB535" i="1"/>
  <c r="AR513" i="1"/>
  <c r="CV503" i="1"/>
  <c r="AV494" i="1"/>
  <c r="AJ535" i="1"/>
  <c r="AG513" i="1"/>
  <c r="CK503" i="1"/>
  <c r="AJ560" i="1"/>
  <c r="AP544" i="1"/>
  <c r="CT534" i="1"/>
  <c r="AT525" i="1"/>
  <c r="CF559" i="1"/>
  <c r="AA544" i="1"/>
  <c r="CE534" i="1"/>
  <c r="AE525" i="1"/>
  <c r="BL559" i="1"/>
  <c r="V544" i="1"/>
  <c r="BZ534" i="1"/>
  <c r="Z525" i="1"/>
  <c r="BZ599" i="1"/>
  <c r="BE546" i="1"/>
  <c r="DI536" i="1"/>
  <c r="BI527" i="1"/>
  <c r="DD560" i="1"/>
  <c r="DB517" i="1"/>
  <c r="BB508" i="1"/>
  <c r="DF498" i="1"/>
  <c r="DC578" i="1"/>
  <c r="AK546" i="1"/>
  <c r="CO536" i="1"/>
  <c r="AO527" i="1"/>
  <c r="DH557" i="1"/>
  <c r="CH517" i="1"/>
  <c r="AH508" i="1"/>
  <c r="CL498" i="1"/>
  <c r="AV564" i="1"/>
  <c r="AS545" i="1"/>
  <c r="CW535" i="1"/>
  <c r="AW526" i="1"/>
  <c r="BL549" i="1"/>
  <c r="CP516" i="1"/>
  <c r="AP507" i="1"/>
  <c r="CT497" i="1"/>
  <c r="AV552" i="1"/>
  <c r="AS542" i="1"/>
  <c r="CW532" i="1"/>
  <c r="AW523" i="1"/>
  <c r="BL537" i="1"/>
  <c r="CP513" i="1"/>
  <c r="AP504" i="1"/>
  <c r="CT494" i="1"/>
  <c r="AR537" i="1"/>
  <c r="BL522" i="1"/>
  <c r="M510" i="1"/>
  <c r="BQ500" i="1"/>
  <c r="Q491" i="1"/>
  <c r="AB522" i="1"/>
  <c r="DH509" i="1"/>
  <c r="BH500" i="1"/>
  <c r="H491" i="1"/>
  <c r="L533" i="1"/>
  <c r="CC512" i="1"/>
  <c r="AC503" i="1"/>
  <c r="CG493" i="1"/>
  <c r="CF532" i="1"/>
  <c r="BT512" i="1"/>
  <c r="T503" i="1"/>
  <c r="BP552" i="1"/>
  <c r="AX542" i="1"/>
  <c r="DB532" i="1"/>
  <c r="BB523" i="1"/>
  <c r="H552" i="1"/>
  <c r="AI542" i="1"/>
  <c r="CM532" i="1"/>
  <c r="AM523" i="1"/>
  <c r="CR551" i="1"/>
  <c r="AD542" i="1"/>
  <c r="CH532" i="1"/>
  <c r="AH523" i="1"/>
  <c r="T561" i="1"/>
  <c r="CJ557" i="1"/>
  <c r="AP541" i="1"/>
  <c r="CT531" i="1"/>
  <c r="AT522" i="1"/>
  <c r="BP557" i="1"/>
  <c r="BY543" i="1"/>
  <c r="Y534" i="1"/>
  <c r="CC524" i="1"/>
  <c r="CF542" i="1"/>
  <c r="R515" i="1"/>
  <c r="BV505" i="1"/>
  <c r="V496" i="1"/>
  <c r="CR556" i="1"/>
  <c r="BE543" i="1"/>
  <c r="DI533" i="1"/>
  <c r="BI524" i="1"/>
  <c r="DH541" i="1"/>
  <c r="DB514" i="1"/>
  <c r="BB505" i="1"/>
  <c r="DF495" i="1"/>
  <c r="T553" i="1"/>
  <c r="BM542" i="1"/>
  <c r="M533" i="1"/>
  <c r="BQ523" i="1"/>
  <c r="AJ538" i="1"/>
  <c r="F514" i="1"/>
  <c r="BJ504" i="1"/>
  <c r="J495" i="1"/>
  <c r="I549" i="1"/>
  <c r="CR574" i="1"/>
  <c r="BZ588" i="1"/>
  <c r="BC560" i="1"/>
  <c r="BJ588" i="1"/>
  <c r="BB560" i="1"/>
  <c r="BR586" i="1"/>
  <c r="AO560" i="1"/>
  <c r="S572" i="1"/>
  <c r="DG546" i="1"/>
  <c r="BG537" i="1"/>
  <c r="G528" i="1"/>
  <c r="BK518" i="1"/>
  <c r="DB546" i="1"/>
  <c r="BB537" i="1"/>
  <c r="DF527" i="1"/>
  <c r="CV555" i="1"/>
  <c r="AE543" i="1"/>
  <c r="CI533" i="1"/>
  <c r="AI524" i="1"/>
  <c r="CB555" i="1"/>
  <c r="Z543" i="1"/>
  <c r="CD533" i="1"/>
  <c r="AD524" i="1"/>
  <c r="AU548" i="1"/>
  <c r="CY538" i="1"/>
  <c r="AY529" i="1"/>
  <c r="AU520" i="1"/>
  <c r="CL548" i="1"/>
  <c r="AL539" i="1"/>
  <c r="CP529" i="1"/>
  <c r="AP520" i="1"/>
  <c r="BW548" i="1"/>
  <c r="W539" i="1"/>
  <c r="CA529" i="1"/>
  <c r="AA520" i="1"/>
  <c r="BR548" i="1"/>
  <c r="R539" i="1"/>
  <c r="BV529" i="1"/>
  <c r="V520" i="1"/>
  <c r="DA550" i="1"/>
  <c r="BA541" i="1"/>
  <c r="DE531" i="1"/>
  <c r="BE522" i="1"/>
  <c r="CR533" i="1"/>
  <c r="CX512" i="1"/>
  <c r="AX503" i="1"/>
  <c r="DB493" i="1"/>
  <c r="CG550" i="1"/>
  <c r="AG541" i="1"/>
  <c r="CK531" i="1"/>
  <c r="AK522" i="1"/>
  <c r="P533" i="1"/>
  <c r="CD512" i="1"/>
  <c r="AD503" i="1"/>
  <c r="CH493" i="1"/>
  <c r="CO549" i="1"/>
  <c r="AO540" i="1"/>
  <c r="CS530" i="1"/>
  <c r="AS521" i="1"/>
  <c r="AV529" i="1"/>
  <c r="CL511" i="1"/>
  <c r="AL502" i="1"/>
  <c r="Z519" i="1"/>
  <c r="CO546" i="1"/>
  <c r="AO537" i="1"/>
  <c r="CS527" i="1"/>
  <c r="BK567" i="1"/>
  <c r="AH518" i="1"/>
  <c r="CL508" i="1"/>
  <c r="AL499" i="1"/>
  <c r="BL565" i="1"/>
  <c r="DD541" i="1"/>
  <c r="BI514" i="1"/>
  <c r="I505" i="1"/>
  <c r="BM495" i="1"/>
  <c r="DH539" i="1"/>
  <c r="AZ514" i="1"/>
  <c r="DD504" i="1"/>
  <c r="BD495" i="1"/>
  <c r="CM578" i="1"/>
  <c r="U517" i="1"/>
  <c r="BY507" i="1"/>
  <c r="Y498" i="1"/>
  <c r="BH550" i="1"/>
  <c r="L517" i="1"/>
  <c r="BP507" i="1"/>
  <c r="P498" i="1"/>
  <c r="DD564" i="1"/>
  <c r="DE516" i="1"/>
  <c r="BE507" i="1"/>
  <c r="BW519" i="1"/>
  <c r="J548" i="1"/>
  <c r="BN538" i="1"/>
  <c r="N529" i="1"/>
  <c r="BR519" i="1"/>
  <c r="CY547" i="1"/>
  <c r="AY538" i="1"/>
  <c r="DC528" i="1"/>
  <c r="BC519" i="1"/>
  <c r="CT547" i="1"/>
  <c r="AT538" i="1"/>
  <c r="CX528" i="1"/>
  <c r="AX519" i="1"/>
  <c r="Y550" i="1"/>
  <c r="CC540" i="1"/>
  <c r="AC531" i="1"/>
  <c r="CG521" i="1"/>
  <c r="CV530" i="1"/>
  <c r="V512" i="1"/>
  <c r="BZ502" i="1"/>
  <c r="Z493" i="1"/>
  <c r="DI549" i="1"/>
  <c r="BI540" i="1"/>
  <c r="I531" i="1"/>
  <c r="BM521" i="1"/>
  <c r="T530" i="1"/>
  <c r="DF511" i="1"/>
  <c r="BF502" i="1"/>
  <c r="F493" i="1"/>
  <c r="M549" i="1"/>
  <c r="BQ539" i="1"/>
  <c r="Q530" i="1"/>
  <c r="BU520" i="1"/>
  <c r="AZ526" i="1"/>
  <c r="J511" i="1"/>
  <c r="BN501" i="1"/>
  <c r="AY572" i="1"/>
  <c r="M546" i="1"/>
  <c r="Y537" i="1"/>
  <c r="CC527" i="1"/>
  <c r="CZ563" i="1"/>
  <c r="R518" i="1"/>
  <c r="BV508" i="1"/>
  <c r="V499" i="1"/>
  <c r="X563" i="1"/>
  <c r="AB541" i="1"/>
  <c r="AS514" i="1"/>
  <c r="CW504" i="1"/>
  <c r="AW495" i="1"/>
  <c r="AV539" i="1"/>
  <c r="AJ514" i="1"/>
  <c r="CN504" i="1"/>
  <c r="AN495" i="1"/>
  <c r="DC566" i="1"/>
  <c r="DI516" i="1"/>
  <c r="BI507" i="1"/>
  <c r="I498" i="1"/>
  <c r="CZ549" i="1"/>
  <c r="CZ516" i="1"/>
  <c r="AZ507" i="1"/>
  <c r="DD497" i="1"/>
  <c r="DH561" i="1"/>
  <c r="CO516" i="1"/>
  <c r="AO507" i="1"/>
  <c r="BG519" i="1"/>
  <c r="CX547" i="1"/>
  <c r="AX538" i="1"/>
  <c r="DB528" i="1"/>
  <c r="BB519" i="1"/>
  <c r="CI547" i="1"/>
  <c r="AI538" i="1"/>
  <c r="CM528" i="1"/>
  <c r="AM519" i="1"/>
  <c r="CD547" i="1"/>
  <c r="AD538" i="1"/>
  <c r="CH528" i="1"/>
  <c r="AH519" i="1"/>
  <c r="I550" i="1"/>
  <c r="BM540" i="1"/>
  <c r="M531" i="1"/>
  <c r="BQ521" i="1"/>
  <c r="AJ530" i="1"/>
  <c r="F512" i="1"/>
  <c r="BJ502" i="1"/>
  <c r="J493" i="1"/>
  <c r="CS549" i="1"/>
  <c r="AS540" i="1"/>
  <c r="CW530" i="1"/>
  <c r="AW521" i="1"/>
  <c r="BL529" i="1"/>
  <c r="CP511" i="1"/>
  <c r="AP502" i="1"/>
  <c r="CT492" i="1"/>
  <c r="DA548" i="1"/>
  <c r="BA539" i="1"/>
  <c r="DE529" i="1"/>
  <c r="BE520" i="1"/>
  <c r="CR525" i="1"/>
  <c r="CX510" i="1"/>
  <c r="AX501" i="1"/>
  <c r="BC569" i="1"/>
  <c r="DA545" i="1"/>
  <c r="BA536" i="1"/>
  <c r="DE526" i="1"/>
  <c r="L552" i="1"/>
  <c r="AT517" i="1"/>
  <c r="CX507" i="1"/>
  <c r="AX498" i="1"/>
  <c r="BP551" i="1"/>
  <c r="AB537" i="1"/>
  <c r="BU513" i="1"/>
  <c r="U504" i="1"/>
  <c r="BY494" i="1"/>
  <c r="AZ536" i="1"/>
  <c r="BL513" i="1"/>
  <c r="L504" i="1"/>
  <c r="BP494" i="1"/>
  <c r="AJ551" i="1"/>
  <c r="AG516" i="1"/>
  <c r="CK506" i="1"/>
  <c r="AK497" i="1"/>
  <c r="DD546" i="1"/>
  <c r="X516" i="1"/>
  <c r="CB506" i="1"/>
  <c r="BS569" i="1"/>
  <c r="DF545" i="1"/>
  <c r="BF536" i="1"/>
  <c r="F527" i="1"/>
  <c r="W569" i="1"/>
  <c r="CQ545" i="1"/>
  <c r="AQ536" i="1"/>
  <c r="CU526" i="1"/>
  <c r="BW566" i="1"/>
  <c r="CL545" i="1"/>
  <c r="AL536" i="1"/>
  <c r="CP526" i="1"/>
  <c r="F522" i="1"/>
  <c r="Q548" i="1"/>
  <c r="BU538" i="1"/>
  <c r="U529" i="1"/>
  <c r="BY519" i="1"/>
  <c r="BP522" i="1"/>
  <c r="N510" i="1"/>
  <c r="BR500" i="1"/>
  <c r="AX521" i="1"/>
  <c r="DA547" i="1"/>
  <c r="BA538" i="1"/>
  <c r="DE528" i="1"/>
  <c r="BE519" i="1"/>
  <c r="CR521" i="1"/>
  <c r="CX509" i="1"/>
  <c r="AX500" i="1"/>
  <c r="BJ519" i="1"/>
  <c r="DI546" i="1"/>
  <c r="BI537" i="1"/>
  <c r="I528" i="1"/>
  <c r="AU579" i="1"/>
  <c r="BB518" i="1"/>
  <c r="DF508" i="1"/>
  <c r="BF499" i="1"/>
  <c r="CZ558" i="1"/>
  <c r="DI543" i="1"/>
  <c r="BI534" i="1"/>
  <c r="I525" i="1"/>
  <c r="L544" i="1"/>
  <c r="AO541" i="1"/>
  <c r="CS531" i="1"/>
  <c r="AS522" i="1"/>
  <c r="AV533" i="1"/>
  <c r="CL512" i="1"/>
  <c r="AL503" i="1"/>
  <c r="CP493" i="1"/>
  <c r="AD492" i="1"/>
  <c r="BI518" i="1"/>
  <c r="I509" i="1"/>
  <c r="BM499" i="1"/>
  <c r="AA578" i="1"/>
  <c r="AZ518" i="1"/>
  <c r="DD508" i="1"/>
  <c r="BD499" i="1"/>
  <c r="CV562" i="1"/>
  <c r="CZ528" i="1"/>
  <c r="BY511" i="1"/>
  <c r="Y502" i="1"/>
  <c r="CC492" i="1"/>
  <c r="BP528" i="1"/>
  <c r="BP511" i="1"/>
  <c r="P502" i="1"/>
  <c r="BT492" i="1"/>
  <c r="X528" i="1"/>
  <c r="BE511" i="1"/>
  <c r="DI501" i="1"/>
  <c r="X553" i="1"/>
  <c r="BN542" i="1"/>
  <c r="N533" i="1"/>
  <c r="BR523" i="1"/>
  <c r="BT552" i="1"/>
  <c r="AY542" i="1"/>
  <c r="DC532" i="1"/>
  <c r="BC523" i="1"/>
  <c r="AZ552" i="1"/>
  <c r="AT542" i="1"/>
  <c r="CX532" i="1"/>
  <c r="AX523" i="1"/>
  <c r="CF561" i="1"/>
  <c r="CC544" i="1"/>
  <c r="AC535" i="1"/>
  <c r="CG525" i="1"/>
  <c r="CV546" i="1"/>
  <c r="V516" i="1"/>
  <c r="BZ506" i="1"/>
  <c r="Z497" i="1"/>
  <c r="DH560" i="1"/>
  <c r="BI544" i="1"/>
  <c r="I535" i="1"/>
  <c r="BM525" i="1"/>
  <c r="T546" i="1"/>
  <c r="DF515" i="1"/>
  <c r="BF506" i="1"/>
  <c r="F497" i="1"/>
  <c r="AJ557" i="1"/>
  <c r="BQ543" i="1"/>
  <c r="Q534" i="1"/>
  <c r="BU524" i="1"/>
  <c r="AZ542" i="1"/>
  <c r="J515" i="1"/>
  <c r="BN505" i="1"/>
  <c r="N496" i="1"/>
  <c r="M550" i="1"/>
  <c r="BQ540" i="1"/>
  <c r="Q531" i="1"/>
  <c r="BU521" i="1"/>
  <c r="AZ530" i="1"/>
  <c r="J512" i="1"/>
  <c r="BN502" i="1"/>
  <c r="N493" i="1"/>
  <c r="CX490" i="1"/>
  <c r="CK517" i="1"/>
  <c r="AK508" i="1"/>
  <c r="CO498" i="1"/>
  <c r="P557" i="1"/>
  <c r="CB517" i="1"/>
  <c r="AB508" i="1"/>
  <c r="CF498" i="1"/>
  <c r="BT542" i="1"/>
  <c r="DD525" i="1"/>
  <c r="DA510" i="1"/>
  <c r="BA501" i="1"/>
  <c r="DE491" i="1"/>
  <c r="BT525" i="1"/>
  <c r="CR510" i="1"/>
  <c r="AR501" i="1"/>
  <c r="R550" i="1"/>
  <c r="BV540" i="1"/>
  <c r="V531" i="1"/>
  <c r="BZ521" i="1"/>
  <c r="DG549" i="1"/>
  <c r="BG540" i="1"/>
  <c r="G531" i="1"/>
  <c r="BK521" i="1"/>
  <c r="DB549" i="1"/>
  <c r="BB540" i="1"/>
  <c r="DF530" i="1"/>
  <c r="BF521" i="1"/>
  <c r="H554" i="1"/>
  <c r="CK542" i="1"/>
  <c r="AK533" i="1"/>
  <c r="CO523" i="1"/>
  <c r="X539" i="1"/>
  <c r="AD514" i="1"/>
  <c r="CH504" i="1"/>
  <c r="AH495" i="1"/>
  <c r="AJ553" i="1"/>
  <c r="BQ542" i="1"/>
  <c r="Q533" i="1"/>
  <c r="BU523" i="1"/>
  <c r="AZ538" i="1"/>
  <c r="J514" i="1"/>
  <c r="BN504" i="1"/>
  <c r="N495" i="1"/>
  <c r="U551" i="1"/>
  <c r="BY541" i="1"/>
  <c r="Y532" i="1"/>
  <c r="CC522" i="1"/>
  <c r="CF534" i="1"/>
  <c r="R513" i="1"/>
  <c r="BV503" i="1"/>
  <c r="V494" i="1"/>
  <c r="U548" i="1"/>
  <c r="BY538" i="1"/>
  <c r="Y529" i="1"/>
  <c r="CC519" i="1"/>
  <c r="CF522" i="1"/>
  <c r="CG540" i="1"/>
  <c r="AG531" i="1"/>
  <c r="CK521" i="1"/>
  <c r="H531" i="1"/>
  <c r="Z512" i="1"/>
  <c r="CD502" i="1"/>
  <c r="AD493" i="1"/>
  <c r="N491" i="1"/>
  <c r="DA517" i="1"/>
  <c r="BA508" i="1"/>
  <c r="DE498" i="1"/>
  <c r="BD559" i="1"/>
  <c r="CR517" i="1"/>
  <c r="AR508" i="1"/>
  <c r="CV498" i="1"/>
  <c r="DH544" i="1"/>
  <c r="BL526" i="1"/>
  <c r="M511" i="1"/>
  <c r="BQ501" i="1"/>
  <c r="Q492" i="1"/>
  <c r="AB526" i="1"/>
  <c r="DH510" i="1"/>
  <c r="BH501" i="1"/>
  <c r="H492" i="1"/>
  <c r="CN525" i="1"/>
  <c r="CW510" i="1"/>
  <c r="AW501" i="1"/>
  <c r="BB551" i="1"/>
  <c r="DF541" i="1"/>
  <c r="BF532" i="1"/>
  <c r="F523" i="1"/>
  <c r="AM551" i="1"/>
  <c r="CQ541" i="1"/>
  <c r="AQ532" i="1"/>
  <c r="CU522" i="1"/>
  <c r="AH551" i="1"/>
  <c r="CL541" i="1"/>
  <c r="AL532" i="1"/>
  <c r="CP522" i="1"/>
  <c r="AR559" i="1"/>
  <c r="Q544" i="1"/>
  <c r="BU534" i="1"/>
  <c r="U525" i="1"/>
  <c r="BH544" i="1"/>
  <c r="BN515" i="1"/>
  <c r="N506" i="1"/>
  <c r="BR496" i="1"/>
  <c r="BT558" i="1"/>
  <c r="DA543" i="1"/>
  <c r="BA534" i="1"/>
  <c r="DE524" i="1"/>
  <c r="CJ543" i="1"/>
  <c r="AT515" i="1"/>
  <c r="CX505" i="1"/>
  <c r="AX496" i="1"/>
  <c r="CZ554" i="1"/>
  <c r="DI542" i="1"/>
  <c r="BI533" i="1"/>
  <c r="I524" i="1"/>
  <c r="L540" i="1"/>
  <c r="BB514" i="1"/>
  <c r="DF504" i="1"/>
  <c r="BF495" i="1"/>
  <c r="BE549" i="1"/>
  <c r="DI539" i="1"/>
  <c r="BI530" i="1"/>
  <c r="I521" i="1"/>
  <c r="L528" i="1"/>
  <c r="BB511" i="1"/>
  <c r="DF501" i="1"/>
  <c r="BF492" i="1"/>
  <c r="BZ584" i="1"/>
  <c r="Y517" i="1"/>
  <c r="CC507" i="1"/>
  <c r="AC498" i="1"/>
  <c r="BX550" i="1"/>
  <c r="P517" i="1"/>
  <c r="BT507" i="1"/>
  <c r="T498" i="1"/>
  <c r="T533" i="1"/>
  <c r="BP523" i="1"/>
  <c r="AO510" i="1"/>
  <c r="CS500" i="1"/>
  <c r="AS491" i="1"/>
  <c r="AF523" i="1"/>
  <c r="AF510" i="1"/>
  <c r="CJ500" i="1"/>
  <c r="BJ549" i="1"/>
  <c r="J540" i="1"/>
  <c r="BN530" i="1"/>
  <c r="N521" i="1"/>
  <c r="AU549" i="1"/>
  <c r="CY539" i="1"/>
  <c r="AY530" i="1"/>
  <c r="DC520" i="1"/>
  <c r="AP549" i="1"/>
  <c r="CT539" i="1"/>
  <c r="AT530" i="1"/>
  <c r="CX520" i="1"/>
  <c r="CP550" i="1"/>
  <c r="DF538" i="1"/>
  <c r="BF529" i="1"/>
  <c r="F520" i="1"/>
  <c r="CK550" i="1"/>
  <c r="AK541" i="1"/>
  <c r="CO531" i="1"/>
  <c r="AO522" i="1"/>
  <c r="AF533" i="1"/>
  <c r="CH512" i="1"/>
  <c r="AH503" i="1"/>
  <c r="CL493" i="1"/>
  <c r="BQ550" i="1"/>
  <c r="Q541" i="1"/>
  <c r="BU531" i="1"/>
  <c r="U522" i="1"/>
  <c r="BH532" i="1"/>
  <c r="BN512" i="1"/>
  <c r="N503" i="1"/>
  <c r="BR493" i="1"/>
  <c r="BY549" i="1"/>
  <c r="Y540" i="1"/>
  <c r="CC530" i="1"/>
  <c r="AC521" i="1"/>
  <c r="CN528" i="1"/>
  <c r="BV511" i="1"/>
  <c r="V502" i="1"/>
  <c r="CX518" i="1"/>
  <c r="BY546" i="1"/>
  <c r="BD572" i="1"/>
  <c r="CA572" i="1"/>
  <c r="O558" i="1"/>
  <c r="BW572" i="1"/>
  <c r="N558" i="1"/>
  <c r="W572" i="1"/>
  <c r="DE557" i="1"/>
  <c r="AR561" i="1"/>
  <c r="BS544" i="1"/>
  <c r="S535" i="1"/>
  <c r="BW525" i="1"/>
  <c r="X561" i="1"/>
  <c r="BN544" i="1"/>
  <c r="N535" i="1"/>
  <c r="BR525" i="1"/>
  <c r="AQ550" i="1"/>
  <c r="CU540" i="1"/>
  <c r="AU531" i="1"/>
  <c r="CY521" i="1"/>
  <c r="AL550" i="1"/>
  <c r="CP540" i="1"/>
  <c r="AP531" i="1"/>
  <c r="AI576" i="1"/>
  <c r="G546" i="1"/>
  <c r="BK536" i="1"/>
  <c r="K527" i="1"/>
  <c r="CE576" i="1"/>
  <c r="AX546" i="1"/>
  <c r="DB536" i="1"/>
  <c r="BB527" i="1"/>
  <c r="DG575" i="1"/>
  <c r="AI546" i="1"/>
  <c r="CM536" i="1"/>
  <c r="AM527" i="1"/>
  <c r="CI573" i="1"/>
  <c r="AD546" i="1"/>
  <c r="CH536" i="1"/>
  <c r="AH527" i="1"/>
  <c r="G573" i="1"/>
  <c r="BM548" i="1"/>
  <c r="M539" i="1"/>
  <c r="BQ529" i="1"/>
  <c r="Q520" i="1"/>
  <c r="AR524" i="1"/>
  <c r="BJ510" i="1"/>
  <c r="J501" i="1"/>
  <c r="BN491" i="1"/>
  <c r="AS548" i="1"/>
  <c r="CW538" i="1"/>
  <c r="AW529" i="1"/>
  <c r="DA519" i="1"/>
  <c r="BT523" i="1"/>
  <c r="AP510" i="1"/>
  <c r="CT500" i="1"/>
  <c r="AX520" i="1"/>
  <c r="BA547" i="1"/>
  <c r="DE537" i="1"/>
  <c r="BE528" i="1"/>
  <c r="DI518" i="1"/>
  <c r="CZ519" i="1"/>
  <c r="AX509" i="1"/>
  <c r="DB499" i="1"/>
  <c r="CB560" i="1"/>
  <c r="BA544" i="1"/>
  <c r="DE534" i="1"/>
  <c r="BE525" i="1"/>
  <c r="CR545" i="1"/>
  <c r="CX515" i="1"/>
  <c r="AX506" i="1"/>
  <c r="DB496" i="1"/>
  <c r="BX545" i="1"/>
  <c r="CR530" i="1"/>
  <c r="U512" i="1"/>
  <c r="BY502" i="1"/>
  <c r="Y493" i="1"/>
  <c r="BH530" i="1"/>
  <c r="L512" i="1"/>
  <c r="BP502" i="1"/>
  <c r="P493" i="1"/>
  <c r="AZ543" i="1"/>
  <c r="CK514" i="1"/>
  <c r="AK505" i="1"/>
  <c r="CO495" i="1"/>
  <c r="H541" i="1"/>
  <c r="CB514" i="1"/>
  <c r="AB505" i="1"/>
  <c r="CF495" i="1"/>
  <c r="AV542" i="1"/>
  <c r="BQ514" i="1"/>
  <c r="Q505" i="1"/>
  <c r="BT565" i="1"/>
  <c r="BZ545" i="1"/>
  <c r="Z536" i="1"/>
  <c r="CD526" i="1"/>
  <c r="AB565" i="1"/>
  <c r="BK545" i="1"/>
  <c r="K536" i="1"/>
  <c r="BO526" i="1"/>
  <c r="CV564" i="1"/>
  <c r="BF545" i="1"/>
  <c r="F536" i="1"/>
  <c r="BJ526" i="1"/>
  <c r="V521" i="1"/>
  <c r="CO547" i="1"/>
  <c r="AO538" i="1"/>
  <c r="CS528" i="1"/>
  <c r="AS519" i="1"/>
  <c r="AV521" i="1"/>
  <c r="CL509" i="1"/>
  <c r="AL500" i="1"/>
  <c r="CP520" i="1"/>
  <c r="BU547" i="1"/>
  <c r="U538" i="1"/>
  <c r="BY528" i="1"/>
  <c r="Y519" i="1"/>
  <c r="BX520" i="1"/>
  <c r="BR509" i="1"/>
  <c r="R500" i="1"/>
  <c r="DB518" i="1"/>
  <c r="CC546" i="1"/>
  <c r="AC537" i="1"/>
  <c r="CG527" i="1"/>
  <c r="BH564" i="1"/>
  <c r="V518" i="1"/>
  <c r="BZ508" i="1"/>
  <c r="Z499" i="1"/>
  <c r="CF557" i="1"/>
  <c r="AK544" i="1"/>
  <c r="CO534" i="1"/>
  <c r="AO525" i="1"/>
  <c r="AF545" i="1"/>
  <c r="CH515" i="1"/>
  <c r="AH506" i="1"/>
  <c r="CL496" i="1"/>
  <c r="L545" i="1"/>
  <c r="AF530" i="1"/>
  <c r="DI511" i="1"/>
  <c r="BI502" i="1"/>
  <c r="I493" i="1"/>
  <c r="CZ529" i="1"/>
  <c r="CZ511" i="1"/>
  <c r="AZ502" i="1"/>
  <c r="DD492" i="1"/>
  <c r="BL542" i="1"/>
  <c r="BU514" i="1"/>
  <c r="U505" i="1"/>
  <c r="BY495" i="1"/>
  <c r="AZ540" i="1"/>
  <c r="BL514" i="1"/>
  <c r="L505" i="1"/>
  <c r="BP495" i="1"/>
  <c r="BX541" i="1"/>
  <c r="BA514" i="1"/>
  <c r="DE504" i="1"/>
  <c r="H565" i="1"/>
  <c r="BJ545" i="1"/>
  <c r="J536" i="1"/>
  <c r="BN526" i="1"/>
  <c r="BD564" i="1"/>
  <c r="AU545" i="1"/>
  <c r="CY535" i="1"/>
  <c r="AY526" i="1"/>
  <c r="AJ564" i="1"/>
  <c r="AP545" i="1"/>
  <c r="CT535" i="1"/>
  <c r="AT526" i="1"/>
  <c r="CT520" i="1"/>
  <c r="BY547" i="1"/>
  <c r="Y538" i="1"/>
  <c r="CC528" i="1"/>
  <c r="AC519" i="1"/>
  <c r="CN520" i="1"/>
  <c r="BV509" i="1"/>
  <c r="V500" i="1"/>
  <c r="BJ520" i="1"/>
  <c r="BE547" i="1"/>
  <c r="DI537" i="1"/>
  <c r="BI528" i="1"/>
  <c r="I519" i="1"/>
  <c r="L520" i="1"/>
  <c r="BB509" i="1"/>
  <c r="DF499" i="1"/>
  <c r="BV518" i="1"/>
  <c r="BM546" i="1"/>
  <c r="M537" i="1"/>
  <c r="BQ527" i="1"/>
  <c r="T562" i="1"/>
  <c r="F518" i="1"/>
  <c r="BJ508" i="1"/>
  <c r="J499" i="1"/>
  <c r="T557" i="1"/>
  <c r="BM543" i="1"/>
  <c r="M534" i="1"/>
  <c r="BQ524" i="1"/>
  <c r="AJ542" i="1"/>
  <c r="F515" i="1"/>
  <c r="BJ505" i="1"/>
  <c r="J496" i="1"/>
  <c r="P542" i="1"/>
  <c r="AJ527" i="1"/>
  <c r="AG511" i="1"/>
  <c r="CK501" i="1"/>
  <c r="AK492" i="1"/>
  <c r="DD526" i="1"/>
  <c r="X511" i="1"/>
  <c r="CB501" i="1"/>
  <c r="AB492" i="1"/>
  <c r="CB538" i="1"/>
  <c r="CW513" i="1"/>
  <c r="AW504" i="1"/>
  <c r="DA494" i="1"/>
  <c r="BD537" i="1"/>
  <c r="CN513" i="1"/>
  <c r="AN504" i="1"/>
  <c r="AN557" i="1"/>
  <c r="BR543" i="1"/>
  <c r="R534" i="1"/>
  <c r="BV524" i="1"/>
  <c r="CJ556" i="1"/>
  <c r="BC543" i="1"/>
  <c r="DG533" i="1"/>
  <c r="BG524" i="1"/>
  <c r="BP556" i="1"/>
  <c r="AX543" i="1"/>
  <c r="DB533" i="1"/>
  <c r="BB524" i="1"/>
  <c r="DD565" i="1"/>
  <c r="CG545" i="1"/>
  <c r="AG536" i="1"/>
  <c r="CK526" i="1"/>
  <c r="H551" i="1"/>
  <c r="Z517" i="1"/>
  <c r="CD507" i="1"/>
  <c r="AD498" i="1"/>
  <c r="T565" i="1"/>
  <c r="BM545" i="1"/>
  <c r="M536" i="1"/>
  <c r="BQ526" i="1"/>
  <c r="AJ550" i="1"/>
  <c r="F517" i="1"/>
  <c r="BJ507" i="1"/>
  <c r="J498" i="1"/>
  <c r="AZ561" i="1"/>
  <c r="BU544" i="1"/>
  <c r="U535" i="1"/>
  <c r="BY525" i="1"/>
  <c r="BP546" i="1"/>
  <c r="N516" i="1"/>
  <c r="BR506" i="1"/>
  <c r="R497" i="1"/>
  <c r="Q551" i="1"/>
  <c r="BU541" i="1"/>
  <c r="U532" i="1"/>
  <c r="BY522" i="1"/>
  <c r="BP534" i="1"/>
  <c r="DE538" i="1"/>
  <c r="BE529" i="1"/>
  <c r="DI519" i="1"/>
  <c r="CZ523" i="1"/>
  <c r="AX510" i="1"/>
  <c r="DB500" i="1"/>
  <c r="BB491" i="1"/>
  <c r="CB550" i="1"/>
  <c r="U516" i="1"/>
  <c r="BY506" i="1"/>
  <c r="Y497" i="1"/>
  <c r="BH546" i="1"/>
  <c r="L516" i="1"/>
  <c r="BP506" i="1"/>
  <c r="P497" i="1"/>
  <c r="AH493" i="1"/>
  <c r="AZ519" i="1"/>
  <c r="AK509" i="1"/>
  <c r="CO499" i="1"/>
  <c r="AO490" i="1"/>
  <c r="P519" i="1"/>
  <c r="AB509" i="1"/>
  <c r="CF499" i="1"/>
  <c r="BJ492" i="1"/>
  <c r="CB518" i="1"/>
  <c r="Q509" i="1"/>
  <c r="BU499" i="1"/>
  <c r="BZ549" i="1"/>
  <c r="Z540" i="1"/>
  <c r="CD530" i="1"/>
  <c r="AD521" i="1"/>
  <c r="BK549" i="1"/>
  <c r="K540" i="1"/>
  <c r="BO530" i="1"/>
  <c r="O521" i="1"/>
  <c r="BF549" i="1"/>
  <c r="F540" i="1"/>
  <c r="BJ530" i="1"/>
  <c r="J521" i="1"/>
  <c r="AF552" i="1"/>
  <c r="AO542" i="1"/>
  <c r="CS532" i="1"/>
  <c r="AS523" i="1"/>
  <c r="AV537" i="1"/>
  <c r="CL513" i="1"/>
  <c r="AL504" i="1"/>
  <c r="CP494" i="1"/>
  <c r="BU551" i="1"/>
  <c r="U542" i="1"/>
  <c r="BY532" i="1"/>
  <c r="Y523" i="1"/>
  <c r="BX536" i="1"/>
  <c r="BR513" i="1"/>
  <c r="R504" i="1"/>
  <c r="BV494" i="1"/>
  <c r="CC550" i="1"/>
  <c r="AC541" i="1"/>
  <c r="CG531" i="1"/>
  <c r="AG522" i="1"/>
  <c r="DD532" i="1"/>
  <c r="BZ512" i="1"/>
  <c r="Z503" i="1"/>
  <c r="DF520" i="1"/>
  <c r="CC547" i="1"/>
  <c r="AC538" i="1"/>
  <c r="CG528" i="1"/>
  <c r="AG519" i="1"/>
  <c r="DD520" i="1"/>
  <c r="BZ509" i="1"/>
  <c r="Z500" i="1"/>
  <c r="CD490" i="1"/>
  <c r="CB546" i="1"/>
  <c r="AW515" i="1"/>
  <c r="DA505" i="1"/>
  <c r="BA496" i="1"/>
  <c r="BL543" i="1"/>
  <c r="AN515" i="1"/>
  <c r="CR505" i="1"/>
  <c r="AR496" i="1"/>
  <c r="AD491" i="1"/>
  <c r="I518" i="1"/>
  <c r="BM508" i="1"/>
  <c r="M499" i="1"/>
  <c r="AF561" i="1"/>
  <c r="DD517" i="1"/>
  <c r="BD508" i="1"/>
  <c r="AQ519" i="1"/>
  <c r="CH547" i="1"/>
  <c r="AH538" i="1"/>
  <c r="CL528" i="1"/>
  <c r="AL519" i="1"/>
  <c r="BS547" i="1"/>
  <c r="S538" i="1"/>
  <c r="BW528" i="1"/>
  <c r="W519" i="1"/>
  <c r="BN547" i="1"/>
  <c r="N538" i="1"/>
  <c r="BR528" i="1"/>
  <c r="R519" i="1"/>
  <c r="CW549" i="1"/>
  <c r="AW540" i="1"/>
  <c r="DA530" i="1"/>
  <c r="BA521" i="1"/>
  <c r="CB529" i="1"/>
  <c r="CT511" i="1"/>
  <c r="AT502" i="1"/>
  <c r="CX492" i="1"/>
  <c r="CC549" i="1"/>
  <c r="AC540" i="1"/>
  <c r="CG530" i="1"/>
  <c r="AG521" i="1"/>
  <c r="DD528" i="1"/>
  <c r="BZ511" i="1"/>
  <c r="Z502" i="1"/>
  <c r="CD492" i="1"/>
  <c r="CK548" i="1"/>
  <c r="AK539" i="1"/>
  <c r="CO529" i="1"/>
  <c r="AO520" i="1"/>
  <c r="AF525" i="1"/>
  <c r="CH510" i="1"/>
  <c r="AH501" i="1"/>
  <c r="BG566" i="1"/>
  <c r="CK545" i="1"/>
  <c r="AK536" i="1"/>
  <c r="CO526" i="1"/>
  <c r="X551" i="1"/>
  <c r="AD517" i="1"/>
  <c r="AS538" i="1"/>
  <c r="CW528" i="1"/>
  <c r="AW519" i="1"/>
  <c r="BL521" i="1"/>
  <c r="CP509" i="1"/>
  <c r="AP500" i="1"/>
  <c r="CT490" i="1"/>
  <c r="BP547" i="1"/>
  <c r="BM515" i="1"/>
  <c r="M506" i="1"/>
  <c r="BQ496" i="1"/>
  <c r="T544" i="1"/>
  <c r="BD515" i="1"/>
  <c r="DH505" i="1"/>
  <c r="BH496" i="1"/>
  <c r="BF491" i="1"/>
  <c r="Y518" i="1"/>
  <c r="CC508" i="1"/>
  <c r="AC499" i="1"/>
  <c r="BT563" i="1"/>
  <c r="P518" i="1"/>
  <c r="BT508" i="1"/>
  <c r="T499" i="1"/>
  <c r="Z491" i="1"/>
  <c r="DI517" i="1"/>
  <c r="BI508" i="1"/>
  <c r="CA520" i="1"/>
  <c r="N549" i="1"/>
  <c r="BR539" i="1"/>
  <c r="R530" i="1"/>
  <c r="BV520" i="1"/>
  <c r="DC548" i="1"/>
  <c r="BC539" i="1"/>
  <c r="DG529" i="1"/>
  <c r="BG520" i="1"/>
  <c r="CX548" i="1"/>
  <c r="AX539" i="1"/>
  <c r="DB529" i="1"/>
  <c r="BB520" i="1"/>
  <c r="AC551" i="1"/>
  <c r="CG541" i="1"/>
  <c r="AG532" i="1"/>
  <c r="CK522" i="1"/>
  <c r="H535" i="1"/>
  <c r="Z513" i="1"/>
  <c r="CD503" i="1"/>
  <c r="AD494" i="1"/>
  <c r="I551" i="1"/>
  <c r="BM541" i="1"/>
  <c r="M532" i="1"/>
  <c r="BQ522" i="1"/>
  <c r="AJ534" i="1"/>
  <c r="F513" i="1"/>
  <c r="BJ503" i="1"/>
  <c r="J494" i="1"/>
  <c r="Q550" i="1"/>
  <c r="BU540" i="1"/>
  <c r="U531" i="1"/>
  <c r="BY521" i="1"/>
  <c r="BP530" i="1"/>
  <c r="N512" i="1"/>
  <c r="BR502" i="1"/>
  <c r="CL519" i="1"/>
  <c r="Q547" i="1"/>
  <c r="BU537" i="1"/>
  <c r="U528" i="1"/>
  <c r="BY518" i="1"/>
  <c r="BT518" i="1"/>
  <c r="N509" i="1"/>
  <c r="BR499" i="1"/>
  <c r="V594" i="1"/>
  <c r="BP543" i="1"/>
  <c r="CO514" i="1"/>
  <c r="AO505" i="1"/>
  <c r="CS495" i="1"/>
  <c r="X541" i="1"/>
  <c r="CF514" i="1"/>
  <c r="AF505" i="1"/>
  <c r="CJ495" i="1"/>
  <c r="BB490" i="1"/>
  <c r="BA517" i="1"/>
  <c r="DE507" i="1"/>
  <c r="BE498" i="1"/>
  <c r="CJ551" i="1"/>
  <c r="AR517" i="1"/>
  <c r="CV507" i="1"/>
  <c r="CI518" i="1"/>
  <c r="V547" i="1"/>
  <c r="BZ537" i="1"/>
  <c r="Z528" i="1"/>
  <c r="CD518" i="1"/>
  <c r="G547" i="1"/>
  <c r="BK537" i="1"/>
  <c r="K528" i="1"/>
  <c r="BO518" i="1"/>
  <c r="DF546" i="1"/>
  <c r="BF537" i="1"/>
  <c r="F528" i="1"/>
  <c r="BJ518" i="1"/>
  <c r="AT519" i="1"/>
  <c r="BM544" i="1"/>
  <c r="M535" i="1"/>
  <c r="BQ525" i="1"/>
  <c r="AJ546" i="1"/>
  <c r="F516" i="1"/>
  <c r="BJ506" i="1"/>
  <c r="J497" i="1"/>
  <c r="AV560" i="1"/>
  <c r="AS544" i="1"/>
  <c r="CW534" i="1"/>
  <c r="AW525" i="1"/>
  <c r="BL545" i="1"/>
  <c r="CP515" i="1"/>
  <c r="AP506" i="1"/>
  <c r="CT496" i="1"/>
  <c r="CB556" i="1"/>
  <c r="BA543" i="1"/>
  <c r="DE533" i="1"/>
  <c r="BE524" i="1"/>
  <c r="CR541" i="1"/>
  <c r="CX514" i="1"/>
  <c r="AX505" i="1"/>
  <c r="DB495" i="1"/>
  <c r="DA549" i="1"/>
  <c r="BA540" i="1"/>
  <c r="DE530" i="1"/>
  <c r="BE521" i="1"/>
  <c r="CR529" i="1"/>
  <c r="AW535" i="1"/>
  <c r="DA525" i="1"/>
  <c r="BT547" i="1"/>
  <c r="AP516" i="1"/>
  <c r="CT506" i="1"/>
  <c r="AT497" i="1"/>
  <c r="AZ547" i="1"/>
  <c r="BT532" i="1"/>
  <c r="BQ512" i="1"/>
  <c r="Q503" i="1"/>
  <c r="BU493" i="1"/>
  <c r="AJ532" i="1"/>
  <c r="BH512" i="1"/>
  <c r="H503" i="1"/>
  <c r="BL493" i="1"/>
  <c r="CN545" i="1"/>
  <c r="AC515" i="1"/>
  <c r="CG505" i="1"/>
  <c r="AG496" i="1"/>
  <c r="CN542" i="1"/>
  <c r="T515" i="1"/>
  <c r="BX505" i="1"/>
  <c r="X496" i="1"/>
  <c r="CJ544" i="1"/>
  <c r="I515" i="1"/>
  <c r="BM505" i="1"/>
  <c r="DG571" i="1"/>
  <c r="R546" i="1"/>
  <c r="BV536" i="1"/>
  <c r="V527" i="1"/>
  <c r="CY573" i="1"/>
  <c r="DG545" i="1"/>
  <c r="BG536" i="1"/>
  <c r="G527" i="1"/>
  <c r="G569" i="1"/>
  <c r="DB545" i="1"/>
  <c r="BB536" i="1"/>
  <c r="DF526" i="1"/>
  <c r="AI568" i="1"/>
  <c r="AG548" i="1"/>
  <c r="CK538" i="1"/>
  <c r="AK529" i="1"/>
  <c r="CO519" i="1"/>
  <c r="X523" i="1"/>
  <c r="AD510" i="1"/>
  <c r="CH500" i="1"/>
  <c r="CT521" i="1"/>
  <c r="M548" i="1"/>
  <c r="BQ538" i="1"/>
  <c r="Q529" i="1"/>
  <c r="BU519" i="1"/>
  <c r="AZ522" i="1"/>
  <c r="J510" i="1"/>
  <c r="BN500" i="1"/>
  <c r="CP519" i="1"/>
  <c r="U547" i="1"/>
  <c r="BY537" i="1"/>
  <c r="Y528" i="1"/>
  <c r="CC518" i="1"/>
  <c r="CF518" i="1"/>
  <c r="R509" i="1"/>
  <c r="BV499" i="1"/>
  <c r="BH559" i="1"/>
  <c r="U544" i="1"/>
  <c r="BY534" i="1"/>
  <c r="Y525" i="1"/>
  <c r="BX544" i="1"/>
  <c r="BR515" i="1"/>
  <c r="R506" i="1"/>
  <c r="BV496" i="1"/>
  <c r="BD544" i="1"/>
  <c r="BX529" i="1"/>
  <c r="CS511" i="1"/>
  <c r="AS502" i="1"/>
  <c r="CW492" i="1"/>
  <c r="AN529" i="1"/>
  <c r="CJ511" i="1"/>
  <c r="AJ502" i="1"/>
  <c r="CN492" i="1"/>
  <c r="CN541" i="1"/>
  <c r="BE514" i="1"/>
  <c r="DI504" i="1"/>
  <c r="BI495" i="1"/>
  <c r="CR539" i="1"/>
  <c r="AV514" i="1"/>
  <c r="CZ504" i="1"/>
  <c r="CB559" i="1"/>
  <c r="Z544" i="1"/>
  <c r="CD534" i="1"/>
  <c r="AD525" i="1"/>
  <c r="T559" i="1"/>
  <c r="K544" i="1"/>
  <c r="BO534" i="1"/>
  <c r="O525" i="1"/>
  <c r="DD558" i="1"/>
  <c r="F544" i="1"/>
  <c r="BJ534" i="1"/>
  <c r="J525" i="1"/>
  <c r="BK579" i="1"/>
  <c r="AO546" i="1"/>
  <c r="CS536" i="1"/>
  <c r="AS527" i="1"/>
  <c r="BP558" i="1"/>
  <c r="CL517" i="1"/>
  <c r="AL508" i="1"/>
  <c r="CP498" i="1"/>
  <c r="AA574" i="1"/>
  <c r="U546" i="1"/>
  <c r="BY536" i="1"/>
  <c r="Y527" i="1"/>
  <c r="BT555" i="1"/>
  <c r="BR517" i="1"/>
  <c r="R508" i="1"/>
  <c r="BV498" i="1"/>
  <c r="CN563" i="1"/>
  <c r="AC545" i="1"/>
  <c r="CG535" i="1"/>
  <c r="AG526" i="1"/>
  <c r="DD548" i="1"/>
  <c r="BZ516" i="1"/>
  <c r="Z507" i="1"/>
  <c r="CD497" i="1"/>
  <c r="CN551" i="1"/>
  <c r="AC542" i="1"/>
  <c r="CG532" i="1"/>
  <c r="AG523" i="1"/>
  <c r="DD536" i="1"/>
  <c r="AR520" i="1"/>
  <c r="V507" i="1"/>
  <c r="BZ497" i="1"/>
  <c r="BT548" i="1"/>
  <c r="CN533" i="1"/>
  <c r="CW512" i="1"/>
  <c r="AW503" i="1"/>
  <c r="DA493" i="1"/>
  <c r="BD533" i="1"/>
  <c r="CN512" i="1"/>
  <c r="AN503" i="1"/>
  <c r="CR493" i="1"/>
  <c r="AJ547" i="1"/>
  <c r="BI515" i="1"/>
  <c r="I506" i="1"/>
  <c r="BM496" i="1"/>
  <c r="DH543" i="1"/>
  <c r="AF498" i="1"/>
  <c r="Q517" i="1"/>
  <c r="CG498" i="1"/>
  <c r="CZ555" i="1"/>
  <c r="BT517" i="1"/>
  <c r="T508" i="1"/>
  <c r="BX498" i="1"/>
  <c r="AZ541" i="1"/>
  <c r="BP531" i="1"/>
  <c r="AO512" i="1"/>
  <c r="CS502" i="1"/>
  <c r="AS493" i="1"/>
  <c r="AF531" i="1"/>
  <c r="AF512" i="1"/>
  <c r="CJ502" i="1"/>
  <c r="AJ493" i="1"/>
  <c r="BC509" i="1"/>
  <c r="BF485" i="1"/>
  <c r="DF474" i="1"/>
  <c r="BN463" i="1"/>
  <c r="F452" i="1"/>
  <c r="BJ442" i="1"/>
  <c r="J433" i="1"/>
  <c r="X555" i="1"/>
  <c r="CW489" i="1"/>
  <c r="AW480" i="1"/>
  <c r="CS468" i="1"/>
  <c r="BA457" i="1"/>
  <c r="DA446" i="1"/>
  <c r="BA437" i="1"/>
  <c r="AY500" i="1"/>
  <c r="AD483" i="1"/>
  <c r="CT472" i="1"/>
  <c r="AH460" i="1"/>
  <c r="CX449" i="1"/>
  <c r="AX440" i="1"/>
  <c r="DB430" i="1"/>
  <c r="CJ518" i="1"/>
  <c r="CK487" i="1"/>
  <c r="AK478" i="1"/>
  <c r="CS465" i="1"/>
  <c r="AK454" i="1"/>
  <c r="CO444" i="1"/>
  <c r="AO435" i="1"/>
  <c r="DG505" i="1"/>
  <c r="AM497" i="1"/>
  <c r="BB482" i="1"/>
  <c r="CX470" i="1"/>
  <c r="BF459" i="1"/>
  <c r="DF448" i="1"/>
  <c r="T507" i="1"/>
  <c r="CB534" i="1"/>
  <c r="BU503" i="1"/>
  <c r="M492" i="1"/>
  <c r="L526" i="1"/>
  <c r="DD510" i="1"/>
  <c r="BD501" i="1"/>
  <c r="DH491" i="1"/>
  <c r="AR545" i="1"/>
  <c r="U515" i="1"/>
  <c r="BY505" i="1"/>
  <c r="Y496" i="1"/>
  <c r="BH542" i="1"/>
  <c r="L515" i="1"/>
  <c r="BP505" i="1"/>
  <c r="P496" i="1"/>
  <c r="K514" i="1"/>
  <c r="AL488" i="1"/>
  <c r="CP478" i="1"/>
  <c r="AX467" i="1"/>
  <c r="CP454" i="1"/>
  <c r="AP445" i="1"/>
  <c r="CT435" i="1"/>
  <c r="AT426" i="1"/>
  <c r="AU500" i="1"/>
  <c r="AC483" i="1"/>
  <c r="CC472" i="1"/>
  <c r="AG460" i="1"/>
  <c r="CG449" i="1"/>
  <c r="AG440" i="1"/>
  <c r="CA511" i="1"/>
  <c r="J486" i="1"/>
  <c r="BZ475" i="1"/>
  <c r="R464" i="1"/>
  <c r="CD452" i="1"/>
  <c r="AD443" i="1"/>
  <c r="CH433" i="1"/>
  <c r="AH424" i="1"/>
  <c r="DC491" i="1"/>
  <c r="Q481" i="1"/>
  <c r="BM469" i="1"/>
  <c r="U458" i="1"/>
  <c r="BU447" i="1"/>
  <c r="U438" i="1"/>
  <c r="AE517" i="1"/>
  <c r="BO508" i="1"/>
  <c r="AH485" i="1"/>
  <c r="CH474" i="1"/>
  <c r="Z463" i="1"/>
  <c r="CL451" i="1"/>
  <c r="AL442" i="1"/>
  <c r="CP432" i="1"/>
  <c r="DH548" i="1"/>
  <c r="BY489" i="1"/>
  <c r="Y480" i="1"/>
  <c r="CK468" i="1"/>
  <c r="AC457" i="1"/>
  <c r="CC446" i="1"/>
  <c r="AC437" i="1"/>
  <c r="BK513" i="1"/>
  <c r="BC505" i="1"/>
  <c r="BF484" i="1"/>
  <c r="DF473" i="1"/>
  <c r="BN462" i="1"/>
  <c r="X504" i="1"/>
  <c r="AR529" i="1"/>
  <c r="AK502" i="1"/>
  <c r="AO491" i="1"/>
  <c r="P523" i="1"/>
  <c r="AB510" i="1"/>
  <c r="CF500" i="1"/>
  <c r="AF491" i="1"/>
  <c r="AR541" i="1"/>
  <c r="AW514" i="1"/>
  <c r="DA504" i="1"/>
  <c r="BA495" i="1"/>
  <c r="BL539" i="1"/>
  <c r="AN514" i="1"/>
  <c r="CR504" i="1"/>
  <c r="AR495" i="1"/>
  <c r="BH560" i="1"/>
  <c r="BN487" i="1"/>
  <c r="N478" i="1"/>
  <c r="BV465" i="1"/>
  <c r="N454" i="1"/>
  <c r="BR444" i="1"/>
  <c r="R435" i="1"/>
  <c r="BV425" i="1"/>
  <c r="AY497" i="1"/>
  <c r="BE482" i="1"/>
  <c r="DA470" i="1"/>
  <c r="BI459" i="1"/>
  <c r="DI448" i="1"/>
  <c r="BI439" i="1"/>
  <c r="CE508" i="1"/>
  <c r="AL485" i="1"/>
  <c r="DB474" i="1"/>
  <c r="AT463" i="1"/>
  <c r="DF451" i="1"/>
  <c r="BF442" i="1"/>
  <c r="F433" i="1"/>
  <c r="CN552" i="1"/>
  <c r="CS489" i="1"/>
  <c r="AS480" i="1"/>
  <c r="CO468" i="1"/>
  <c r="AW457" i="1"/>
  <c r="CW446" i="1"/>
  <c r="AW437" i="1"/>
  <c r="AI514" i="1"/>
  <c r="BS505" i="1"/>
  <c r="BJ484" i="1"/>
  <c r="F474" i="1"/>
  <c r="BB462" i="1"/>
  <c r="J451" i="1"/>
  <c r="BN441" i="1"/>
  <c r="N432" i="1"/>
  <c r="T537" i="1"/>
  <c r="DA488" i="1"/>
  <c r="BA479" i="1"/>
  <c r="I468" i="1"/>
  <c r="BA455" i="1"/>
  <c r="DE445" i="1"/>
  <c r="BE436" i="1"/>
  <c r="BO510" i="1"/>
  <c r="BG502" i="1"/>
  <c r="CH483" i="1"/>
  <c r="AD473" i="1"/>
  <c r="CL460" i="1"/>
  <c r="U510" i="1"/>
  <c r="CF504" i="1"/>
  <c r="DA508" i="1"/>
  <c r="CR508" i="1"/>
  <c r="N482" i="1"/>
  <c r="R439" i="1"/>
  <c r="DE475" i="1"/>
  <c r="I434" i="1"/>
  <c r="DF455" i="1"/>
  <c r="DG504" i="1"/>
  <c r="CW450" i="1"/>
  <c r="BJ488" i="1"/>
  <c r="BN445" i="1"/>
  <c r="AX425" i="1"/>
  <c r="AG482" i="1"/>
  <c r="AK459" i="1"/>
  <c r="AK439" i="1"/>
  <c r="O515" i="1"/>
  <c r="N477" i="1"/>
  <c r="AH454" i="1"/>
  <c r="CL444" i="1"/>
  <c r="AL435" i="1"/>
  <c r="CP425" i="1"/>
  <c r="CC479" i="1"/>
  <c r="BA436" i="1"/>
  <c r="CJ486" i="1"/>
  <c r="AJ477" i="1"/>
  <c r="CB464" i="1"/>
  <c r="AJ453" i="1"/>
  <c r="CN443" i="1"/>
  <c r="AN434" i="1"/>
  <c r="CR424" i="1"/>
  <c r="DG462" i="1"/>
  <c r="AM427" i="1"/>
  <c r="M416" i="1"/>
  <c r="BQ406" i="1"/>
  <c r="Q397" i="1"/>
  <c r="CG480" i="1"/>
  <c r="BY438" i="1"/>
  <c r="AN487" i="1"/>
  <c r="CR477" i="1"/>
  <c r="AV465" i="1"/>
  <c r="CR453" i="1"/>
  <c r="AR444" i="1"/>
  <c r="CV434" i="1"/>
  <c r="AV425" i="1"/>
  <c r="AA465" i="1"/>
  <c r="S428" i="1"/>
  <c r="BE416" i="1"/>
  <c r="DI406" i="1"/>
  <c r="BI397" i="1"/>
  <c r="CO478" i="1"/>
  <c r="BM435" i="1"/>
  <c r="BL486" i="1"/>
  <c r="L477" i="1"/>
  <c r="BT464" i="1"/>
  <c r="L453" i="1"/>
  <c r="BP443" i="1"/>
  <c r="P434" i="1"/>
  <c r="BT424" i="1"/>
  <c r="O462" i="1"/>
  <c r="BZ513" i="1"/>
  <c r="Z504" i="1"/>
  <c r="CD494" i="1"/>
  <c r="CJ536" i="1"/>
  <c r="DD521" i="1"/>
  <c r="DA509" i="1"/>
  <c r="BA500" i="1"/>
  <c r="DE490" i="1"/>
  <c r="BT521" i="1"/>
  <c r="CR509" i="1"/>
  <c r="AR500" i="1"/>
  <c r="CV490" i="1"/>
  <c r="BD532" i="1"/>
  <c r="BM512" i="1"/>
  <c r="M503" i="1"/>
  <c r="BQ493" i="1"/>
  <c r="T532" i="1"/>
  <c r="AN492" i="1"/>
  <c r="Y511" i="1"/>
  <c r="CK495" i="1"/>
  <c r="CV540" i="1"/>
  <c r="BX514" i="1"/>
  <c r="X505" i="1"/>
  <c r="CB495" i="1"/>
  <c r="BN493" i="1"/>
  <c r="CF519" i="1"/>
  <c r="AS509" i="1"/>
  <c r="CW499" i="1"/>
  <c r="AW490" i="1"/>
  <c r="AV519" i="1"/>
  <c r="AJ509" i="1"/>
  <c r="CN499" i="1"/>
  <c r="AN490" i="1"/>
  <c r="BS497" i="1"/>
  <c r="BJ482" i="1"/>
  <c r="F472" i="1"/>
  <c r="BN459" i="1"/>
  <c r="J449" i="1"/>
  <c r="BN439" i="1"/>
  <c r="N430" i="1"/>
  <c r="AA515" i="1"/>
  <c r="DA486" i="1"/>
  <c r="BA477" i="1"/>
  <c r="CS464" i="1"/>
  <c r="BA453" i="1"/>
  <c r="DE443" i="1"/>
  <c r="BE434" i="1"/>
  <c r="CH489" i="1"/>
  <c r="AH480" i="1"/>
  <c r="CT468" i="1"/>
  <c r="AL457" i="1"/>
  <c r="DB446" i="1"/>
  <c r="BB437" i="1"/>
  <c r="DF427" i="1"/>
  <c r="CI506" i="1"/>
  <c r="CO484" i="1"/>
  <c r="AK474" i="1"/>
  <c r="CW462" i="1"/>
  <c r="AO451" i="1"/>
  <c r="CS441" i="1"/>
  <c r="AS432" i="1"/>
  <c r="S494" i="1"/>
  <c r="DF488" i="1"/>
  <c r="BF479" i="1"/>
  <c r="DB467" i="1"/>
  <c r="BF455" i="1"/>
  <c r="F446" i="1"/>
  <c r="CN497" i="1"/>
  <c r="BY516" i="1"/>
  <c r="BQ498" i="1"/>
  <c r="BL553" i="1"/>
  <c r="BD517" i="1"/>
  <c r="DH507" i="1"/>
  <c r="BH498" i="1"/>
  <c r="L539" i="1"/>
  <c r="DH530" i="1"/>
  <c r="Y512" i="1"/>
  <c r="CC502" i="1"/>
  <c r="AC493" i="1"/>
  <c r="BX530" i="1"/>
  <c r="P512" i="1"/>
  <c r="BT502" i="1"/>
  <c r="T493" i="1"/>
  <c r="CU508" i="1"/>
  <c r="AP485" i="1"/>
  <c r="CP474" i="1"/>
  <c r="AX463" i="1"/>
  <c r="CT451" i="1"/>
  <c r="AT442" i="1"/>
  <c r="CX432" i="1"/>
  <c r="X550" i="1"/>
  <c r="CG489" i="1"/>
  <c r="AG480" i="1"/>
  <c r="CC468" i="1"/>
  <c r="AK457" i="1"/>
  <c r="CK446" i="1"/>
  <c r="AK437" i="1"/>
  <c r="CQ499" i="1"/>
  <c r="N483" i="1"/>
  <c r="CD472" i="1"/>
  <c r="R460" i="1"/>
  <c r="CH449" i="1"/>
  <c r="AH440" i="1"/>
  <c r="CL430" i="1"/>
  <c r="G518" i="1"/>
  <c r="BU487" i="1"/>
  <c r="U478" i="1"/>
  <c r="CC465" i="1"/>
  <c r="U454" i="1"/>
  <c r="BY444" i="1"/>
  <c r="Y435" i="1"/>
  <c r="AU505" i="1"/>
  <c r="CE496" i="1"/>
  <c r="AL482" i="1"/>
  <c r="CH470" i="1"/>
  <c r="AP459" i="1"/>
  <c r="CP448" i="1"/>
  <c r="AP439" i="1"/>
  <c r="CT429" i="1"/>
  <c r="AM514" i="1"/>
  <c r="CC486" i="1"/>
  <c r="AC477" i="1"/>
  <c r="CK464" i="1"/>
  <c r="AC453" i="1"/>
  <c r="CG443" i="1"/>
  <c r="AG434" i="1"/>
  <c r="CA501" i="1"/>
  <c r="BS493" i="1"/>
  <c r="BJ481" i="1"/>
  <c r="DF469" i="1"/>
  <c r="BN458" i="1"/>
  <c r="BD496" i="1"/>
  <c r="AO515" i="1"/>
  <c r="CS497" i="1"/>
  <c r="X549" i="1"/>
  <c r="CF516" i="1"/>
  <c r="AF507" i="1"/>
  <c r="CJ497" i="1"/>
  <c r="AB527" i="1"/>
  <c r="H528" i="1"/>
  <c r="BA511" i="1"/>
  <c r="DE501" i="1"/>
  <c r="BE492" i="1"/>
  <c r="CB527" i="1"/>
  <c r="AR511" i="1"/>
  <c r="CV501" i="1"/>
  <c r="AV492" i="1"/>
  <c r="CY505" i="1"/>
  <c r="BR484" i="1"/>
  <c r="N474" i="1"/>
  <c r="BZ462" i="1"/>
  <c r="R451" i="1"/>
  <c r="BV441" i="1"/>
  <c r="V432" i="1"/>
  <c r="AN538" i="1"/>
  <c r="DI488" i="1"/>
  <c r="BI479" i="1"/>
  <c r="DE467" i="1"/>
  <c r="BI455" i="1"/>
  <c r="I446" i="1"/>
  <c r="BM436" i="1"/>
  <c r="CU496" i="1"/>
  <c r="AP482" i="1"/>
  <c r="DB470" i="1"/>
  <c r="AT459" i="1"/>
  <c r="F449" i="1"/>
  <c r="BJ439" i="1"/>
  <c r="J430" i="1"/>
  <c r="K515" i="1"/>
  <c r="CW486" i="1"/>
  <c r="AW477" i="1"/>
  <c r="DE464" i="1"/>
  <c r="AW453" i="1"/>
  <c r="DA443" i="1"/>
  <c r="BA434" i="1"/>
  <c r="AY502" i="1"/>
  <c r="CI493" i="1"/>
  <c r="BN481" i="1"/>
  <c r="F470" i="1"/>
  <c r="BR458" i="1"/>
  <c r="N448" i="1"/>
  <c r="BR438" i="1"/>
  <c r="R429" i="1"/>
  <c r="AQ511" i="1"/>
  <c r="DE485" i="1"/>
  <c r="BA475" i="1"/>
  <c r="I464" i="1"/>
  <c r="BE452" i="1"/>
  <c r="DI442" i="1"/>
  <c r="BI433" i="1"/>
  <c r="CE498" i="1"/>
  <c r="BW490" i="1"/>
  <c r="CL480" i="1"/>
  <c r="AD469" i="1"/>
  <c r="CP457" i="1"/>
  <c r="DE492" i="1"/>
  <c r="CV492" i="1"/>
  <c r="M497" i="1"/>
  <c r="DH496" i="1"/>
  <c r="AL468" i="1"/>
  <c r="AH427" i="1"/>
  <c r="I462" i="1"/>
  <c r="DB486" i="1"/>
  <c r="R444" i="1"/>
  <c r="DI481" i="1"/>
  <c r="I439" i="1"/>
  <c r="BV475" i="1"/>
  <c r="BB438" i="1"/>
  <c r="CI510" i="1"/>
  <c r="AK475" i="1"/>
  <c r="AO452" i="1"/>
  <c r="AS433" i="1"/>
  <c r="R490" i="1"/>
  <c r="N469" i="1"/>
  <c r="AL451" i="1"/>
  <c r="CP441" i="1"/>
  <c r="AP432" i="1"/>
  <c r="AJ541" i="1"/>
  <c r="AK464" i="1"/>
  <c r="CM516" i="1"/>
  <c r="CN483" i="1"/>
  <c r="AJ473" i="1"/>
  <c r="CR460" i="1"/>
  <c r="AN450" i="1"/>
  <c r="CR440" i="1"/>
  <c r="AR431" i="1"/>
  <c r="BW497" i="1"/>
  <c r="AQ449" i="1"/>
  <c r="BQ422" i="1"/>
  <c r="Q413" i="1"/>
  <c r="BU403" i="1"/>
  <c r="U394" i="1"/>
  <c r="Q467" i="1"/>
  <c r="CB528" i="1"/>
  <c r="AR484" i="1"/>
  <c r="CR473" i="1"/>
  <c r="AZ462" i="1"/>
  <c r="CV450" i="1"/>
  <c r="AV441" i="1"/>
  <c r="CZ431" i="1"/>
  <c r="BK506" i="1"/>
  <c r="DG450" i="1"/>
  <c r="DI422" i="1"/>
  <c r="BI413" i="1"/>
  <c r="I404" i="1"/>
  <c r="BM394" i="1"/>
  <c r="DI463" i="1"/>
  <c r="G515" i="1"/>
  <c r="BP483" i="1"/>
  <c r="L473" i="1"/>
  <c r="BT460" i="1"/>
  <c r="P450" i="1"/>
  <c r="BT440" i="1"/>
  <c r="T431" i="1"/>
  <c r="O494" i="1"/>
  <c r="BC448" i="1"/>
  <c r="CD510" i="1"/>
  <c r="AD501" i="1"/>
  <c r="CH491" i="1"/>
  <c r="AJ554" i="1"/>
  <c r="BA516" i="1"/>
  <c r="DE506" i="1"/>
  <c r="BE497" i="1"/>
  <c r="CB547" i="1"/>
  <c r="AR516" i="1"/>
  <c r="CV506" i="1"/>
  <c r="AV497" i="1"/>
  <c r="AJ521" i="1"/>
  <c r="BT520" i="1"/>
  <c r="BQ509" i="1"/>
  <c r="Q500" i="1"/>
  <c r="BU490" i="1"/>
  <c r="P510" i="1"/>
  <c r="T543" i="1"/>
  <c r="AG505" i="1"/>
  <c r="CO492" i="1"/>
  <c r="H529" i="1"/>
  <c r="CB511" i="1"/>
  <c r="AB502" i="1"/>
  <c r="CF492" i="1"/>
  <c r="AR549" i="1"/>
  <c r="CW515" i="1"/>
  <c r="AW506" i="1"/>
  <c r="DA496" i="1"/>
  <c r="BD545" i="1"/>
  <c r="CN515" i="1"/>
  <c r="AN506" i="1"/>
  <c r="CR496" i="1"/>
  <c r="G517" i="1"/>
  <c r="J489" i="1"/>
  <c r="BN479" i="1"/>
  <c r="V468" i="1"/>
  <c r="BN455" i="1"/>
  <c r="N446" i="1"/>
  <c r="BR436" i="1"/>
  <c r="R427" i="1"/>
  <c r="AQ503" i="1"/>
  <c r="DE483" i="1"/>
  <c r="BA473" i="1"/>
  <c r="DI460" i="1"/>
  <c r="BE450" i="1"/>
  <c r="DI440" i="1"/>
  <c r="CU516" i="1"/>
  <c r="CL486" i="1"/>
  <c r="AL477" i="1"/>
  <c r="CT464" i="1"/>
  <c r="BB453" i="1"/>
  <c r="DF443" i="1"/>
  <c r="BF434" i="1"/>
  <c r="F425" i="1"/>
  <c r="CY494" i="1"/>
  <c r="CS481" i="1"/>
  <c r="AK470" i="1"/>
  <c r="CW458" i="1"/>
  <c r="AS448" i="1"/>
  <c r="CW438" i="1"/>
  <c r="T525" i="1"/>
  <c r="BK511" i="1"/>
  <c r="F486" i="1"/>
  <c r="BF475" i="1"/>
  <c r="DB463" i="1"/>
  <c r="BJ452" i="1"/>
  <c r="CJ529" i="1"/>
  <c r="CV491" i="1"/>
  <c r="CG510" i="1"/>
  <c r="BU495" i="1"/>
  <c r="AJ540" i="1"/>
  <c r="BH514" i="1"/>
  <c r="H505" i="1"/>
  <c r="BL495" i="1"/>
  <c r="DF492" i="1"/>
  <c r="T519" i="1"/>
  <c r="AC509" i="1"/>
  <c r="CG499" i="1"/>
  <c r="AG490" i="1"/>
  <c r="CN518" i="1"/>
  <c r="T509" i="1"/>
  <c r="BX499" i="1"/>
  <c r="X490" i="1"/>
  <c r="G497" i="1"/>
  <c r="AT482" i="1"/>
  <c r="DF470" i="1"/>
  <c r="AX459" i="1"/>
  <c r="CX448" i="1"/>
  <c r="AX439" i="1"/>
  <c r="DB429" i="1"/>
  <c r="BS514" i="1"/>
  <c r="CK486" i="1"/>
  <c r="AK477" i="1"/>
  <c r="CC464" i="1"/>
  <c r="AK453" i="1"/>
  <c r="CO443" i="1"/>
  <c r="AO434" i="1"/>
  <c r="BR489" i="1"/>
  <c r="R480" i="1"/>
  <c r="CD468" i="1"/>
  <c r="V457" i="1"/>
  <c r="CL446" i="1"/>
  <c r="AL437" i="1"/>
  <c r="CP427" i="1"/>
  <c r="W506" i="1"/>
  <c r="BY484" i="1"/>
  <c r="U474" i="1"/>
  <c r="CG462" i="1"/>
  <c r="Y451" i="1"/>
  <c r="CC441" i="1"/>
  <c r="AC432" i="1"/>
  <c r="BK493" i="1"/>
  <c r="CP488" i="1"/>
  <c r="AP479" i="1"/>
  <c r="CL467" i="1"/>
  <c r="AP455" i="1"/>
  <c r="CT445" i="1"/>
  <c r="AT436" i="1"/>
  <c r="CX426" i="1"/>
  <c r="BC502" i="1"/>
  <c r="CG483" i="1"/>
  <c r="AC473" i="1"/>
  <c r="CK460" i="1"/>
  <c r="AG450" i="1"/>
  <c r="CK440" i="1"/>
  <c r="S568" i="1"/>
  <c r="L490" i="1"/>
  <c r="J488" i="1"/>
  <c r="BN478" i="1"/>
  <c r="F467" i="1"/>
  <c r="AV518" i="1"/>
  <c r="CD493" i="1"/>
  <c r="AW509" i="1"/>
  <c r="CW494" i="1"/>
  <c r="AN537" i="1"/>
  <c r="CJ513" i="1"/>
  <c r="AJ504" i="1"/>
  <c r="CN494" i="1"/>
  <c r="R491" i="1"/>
  <c r="DE517" i="1"/>
  <c r="BE508" i="1"/>
  <c r="DI498" i="1"/>
  <c r="L560" i="1"/>
  <c r="CV517" i="1"/>
  <c r="AV508" i="1"/>
  <c r="CZ498" i="1"/>
  <c r="BP545" i="1"/>
  <c r="K494" i="1"/>
  <c r="BV481" i="1"/>
  <c r="AD470" i="1"/>
  <c r="BZ458" i="1"/>
  <c r="V448" i="1"/>
  <c r="BZ438" i="1"/>
  <c r="Z429" i="1"/>
  <c r="BW511" i="1"/>
  <c r="I486" i="1"/>
  <c r="BI475" i="1"/>
  <c r="DE463" i="1"/>
  <c r="BM452" i="1"/>
  <c r="M443" i="1"/>
  <c r="BQ433" i="1"/>
  <c r="CT488" i="1"/>
  <c r="AT479" i="1"/>
  <c r="DF467" i="1"/>
  <c r="BJ455" i="1"/>
  <c r="J446" i="1"/>
  <c r="BN436" i="1"/>
  <c r="N427" i="1"/>
  <c r="AA503" i="1"/>
  <c r="DA483" i="1"/>
  <c r="AW473" i="1"/>
  <c r="DE460" i="1"/>
  <c r="BA450" i="1"/>
  <c r="DE440" i="1"/>
  <c r="BE431" i="1"/>
  <c r="BO490" i="1"/>
  <c r="N488" i="1"/>
  <c r="BR478" i="1"/>
  <c r="J467" i="1"/>
  <c r="BR454" i="1"/>
  <c r="R445" i="1"/>
  <c r="BV435" i="1"/>
  <c r="V426" i="1"/>
  <c r="BG499" i="1"/>
  <c r="DI482" i="1"/>
  <c r="BE472" i="1"/>
  <c r="I460" i="1"/>
  <c r="BI449" i="1"/>
  <c r="I440" i="1"/>
  <c r="BH543" i="1"/>
  <c r="AJ537" i="1"/>
  <c r="AL487" i="1"/>
  <c r="CP477" i="1"/>
  <c r="AT465" i="1"/>
  <c r="AB501" i="1"/>
  <c r="T520" i="1"/>
  <c r="BH537" i="1"/>
  <c r="BP536" i="1"/>
  <c r="AM517" i="1"/>
  <c r="AP453" i="1"/>
  <c r="BC494" i="1"/>
  <c r="AG448" i="1"/>
  <c r="Z474" i="1"/>
  <c r="AH432" i="1"/>
  <c r="M468" i="1"/>
  <c r="AM511" i="1"/>
  <c r="CP460" i="1"/>
  <c r="BJ432" i="1"/>
  <c r="R510" i="1"/>
  <c r="BV500" i="1"/>
  <c r="V491" i="1"/>
  <c r="L549" i="1"/>
  <c r="CS515" i="1"/>
  <c r="AS506" i="1"/>
  <c r="CW496" i="1"/>
  <c r="AN545" i="1"/>
  <c r="CJ515" i="1"/>
  <c r="AJ506" i="1"/>
  <c r="CN496" i="1"/>
  <c r="N492" i="1"/>
  <c r="BE518" i="1"/>
  <c r="DI508" i="1"/>
  <c r="BI499" i="1"/>
  <c r="CQ575" i="1"/>
  <c r="CF507" i="1"/>
  <c r="CZ536" i="1"/>
  <c r="M504" i="1"/>
  <c r="AC492" i="1"/>
  <c r="BX526" i="1"/>
  <c r="P511" i="1"/>
  <c r="BT501" i="1"/>
  <c r="T492" i="1"/>
  <c r="P546" i="1"/>
  <c r="AK515" i="1"/>
  <c r="CO505" i="1"/>
  <c r="AO496" i="1"/>
  <c r="P543" i="1"/>
  <c r="AB515" i="1"/>
  <c r="CF505" i="1"/>
  <c r="AF496" i="1"/>
  <c r="BW514" i="1"/>
  <c r="BB488" i="1"/>
  <c r="DF478" i="1"/>
  <c r="BN467" i="1"/>
  <c r="DF454" i="1"/>
  <c r="BF445" i="1"/>
  <c r="F436" i="1"/>
  <c r="BJ426" i="1"/>
  <c r="DG500" i="1"/>
  <c r="AS483" i="1"/>
  <c r="CS472" i="1"/>
  <c r="AW460" i="1"/>
  <c r="CW449" i="1"/>
  <c r="AW440" i="1"/>
  <c r="AY512" i="1"/>
  <c r="Z486" i="1"/>
  <c r="CP475" i="1"/>
  <c r="AH464" i="1"/>
  <c r="CT452" i="1"/>
  <c r="AT443" i="1"/>
  <c r="CX433" i="1"/>
  <c r="AX424" i="1"/>
  <c r="BK492" i="1"/>
  <c r="AG481" i="1"/>
  <c r="CC469" i="1"/>
  <c r="AK458" i="1"/>
  <c r="CK447" i="1"/>
  <c r="AK438" i="1"/>
  <c r="CQ517" i="1"/>
  <c r="W509" i="1"/>
  <c r="AX485" i="1"/>
  <c r="CX474" i="1"/>
  <c r="AP463" i="1"/>
  <c r="DB451" i="1"/>
  <c r="AJ520" i="1"/>
  <c r="CB490" i="1"/>
  <c r="BM509" i="1"/>
  <c r="I495" i="1"/>
  <c r="CZ537" i="1"/>
  <c r="CZ513" i="1"/>
  <c r="AZ504" i="1"/>
  <c r="DD494" i="1"/>
  <c r="AP491" i="1"/>
  <c r="Q518" i="1"/>
  <c r="BU508" i="1"/>
  <c r="U499" i="1"/>
  <c r="AZ562" i="1"/>
  <c r="H518" i="1"/>
  <c r="BL508" i="1"/>
  <c r="L499" i="1"/>
  <c r="DD547" i="1"/>
  <c r="BW494" i="1"/>
  <c r="CL481" i="1"/>
  <c r="AT470" i="1"/>
  <c r="CP458" i="1"/>
  <c r="AL448" i="1"/>
  <c r="CP438" i="1"/>
  <c r="AP429" i="1"/>
  <c r="AE512" i="1"/>
  <c r="Y486" i="1"/>
  <c r="BY475" i="1"/>
  <c r="Q464" i="1"/>
  <c r="CC452" i="1"/>
  <c r="AC443" i="1"/>
  <c r="CG433" i="1"/>
  <c r="F489" i="1"/>
  <c r="BJ479" i="1"/>
  <c r="R468" i="1"/>
  <c r="BZ455" i="1"/>
  <c r="Z446" i="1"/>
  <c r="CD436" i="1"/>
  <c r="AD427" i="1"/>
  <c r="CM503" i="1"/>
  <c r="M484" i="1"/>
  <c r="BM473" i="1"/>
  <c r="U462" i="1"/>
  <c r="BQ450" i="1"/>
  <c r="Q441" i="1"/>
  <c r="BU431" i="1"/>
  <c r="W491" i="1"/>
  <c r="AD488" i="1"/>
  <c r="CH478" i="1"/>
  <c r="Z467" i="1"/>
  <c r="CH454" i="1"/>
  <c r="AH445" i="1"/>
  <c r="CL435" i="1"/>
  <c r="AL426" i="1"/>
  <c r="O500" i="1"/>
  <c r="U483" i="1"/>
  <c r="BU472" i="1"/>
  <c r="Y460" i="1"/>
  <c r="BY449" i="1"/>
  <c r="Y440" i="1"/>
  <c r="CV545" i="1"/>
  <c r="CJ546" i="1"/>
  <c r="BB487" i="1"/>
  <c r="DF477" i="1"/>
  <c r="BJ465" i="1"/>
  <c r="H516" i="1"/>
  <c r="CL490" i="1"/>
  <c r="AC508" i="1"/>
  <c r="AK494" i="1"/>
  <c r="DD534" i="1"/>
  <c r="X513" i="1"/>
  <c r="CB503" i="1"/>
  <c r="AB494" i="1"/>
  <c r="AP490" i="1"/>
  <c r="AS517" i="1"/>
  <c r="CW507" i="1"/>
  <c r="AW498" i="1"/>
  <c r="AV551" i="1"/>
  <c r="AJ517" i="1"/>
  <c r="CN507" i="1"/>
  <c r="AN498" i="1"/>
  <c r="P536" i="1"/>
  <c r="CB551" i="1"/>
  <c r="Y542" i="1"/>
  <c r="CC532" i="1"/>
  <c r="AC523" i="1"/>
  <c r="CN536" i="1"/>
  <c r="BV513" i="1"/>
  <c r="V504" i="1"/>
  <c r="BZ494" i="1"/>
  <c r="BE551" i="1"/>
  <c r="DI541" i="1"/>
  <c r="BI532" i="1"/>
  <c r="I523" i="1"/>
  <c r="L536" i="1"/>
  <c r="BB513" i="1"/>
  <c r="DF503" i="1"/>
  <c r="BF494" i="1"/>
  <c r="BM550" i="1"/>
  <c r="M541" i="1"/>
  <c r="BQ531" i="1"/>
  <c r="Q522" i="1"/>
  <c r="AR532" i="1"/>
  <c r="BJ512" i="1"/>
  <c r="J503" i="1"/>
  <c r="BZ520" i="1"/>
  <c r="BM547" i="1"/>
  <c r="M538" i="1"/>
  <c r="BQ528" i="1"/>
  <c r="Q519" i="1"/>
  <c r="BI542" i="1"/>
  <c r="I533" i="1"/>
  <c r="BM523" i="1"/>
  <c r="T538" i="1"/>
  <c r="DF513" i="1"/>
  <c r="BF504" i="1"/>
  <c r="F495" i="1"/>
  <c r="DD537" i="1"/>
  <c r="T523" i="1"/>
  <c r="AC510" i="1"/>
  <c r="CG500" i="1"/>
  <c r="AG491" i="1"/>
  <c r="CN522" i="1"/>
  <c r="T510" i="1"/>
  <c r="BX500" i="1"/>
  <c r="X491" i="1"/>
  <c r="BX533" i="1"/>
  <c r="CS512" i="1"/>
  <c r="AS503" i="1"/>
  <c r="CW493" i="1"/>
  <c r="AN533" i="1"/>
  <c r="CJ512" i="1"/>
  <c r="AJ503" i="1"/>
  <c r="CN493" i="1"/>
  <c r="CZ532" i="1"/>
  <c r="BY512" i="1"/>
  <c r="Y503" i="1"/>
  <c r="CZ557" i="1"/>
  <c r="CH543" i="1"/>
  <c r="AH534" i="1"/>
  <c r="CL524" i="1"/>
  <c r="AR557" i="1"/>
  <c r="BS543" i="1"/>
  <c r="S534" i="1"/>
  <c r="BW524" i="1"/>
  <c r="X557" i="1"/>
  <c r="BN543" i="1"/>
  <c r="N534" i="1"/>
  <c r="BR524" i="1"/>
  <c r="CU568" i="1"/>
  <c r="CW545" i="1"/>
  <c r="AW536" i="1"/>
  <c r="DA526" i="1"/>
  <c r="BT551" i="1"/>
  <c r="AP517" i="1"/>
  <c r="CT507" i="1"/>
  <c r="AT498" i="1"/>
  <c r="CF565" i="1"/>
  <c r="CC545" i="1"/>
  <c r="AC536" i="1"/>
  <c r="CG526" i="1"/>
  <c r="CV550" i="1"/>
  <c r="V517" i="1"/>
  <c r="BZ507" i="1"/>
  <c r="Z498" i="1"/>
  <c r="H562" i="1"/>
  <c r="CK544" i="1"/>
  <c r="AK535" i="1"/>
  <c r="CO525" i="1"/>
  <c r="X547" i="1"/>
  <c r="AD516" i="1"/>
  <c r="CH506" i="1"/>
  <c r="AH497" i="1"/>
  <c r="AG551" i="1"/>
  <c r="CK541" i="1"/>
  <c r="AK532" i="1"/>
  <c r="CO522" i="1"/>
  <c r="X535" i="1"/>
  <c r="AD513" i="1"/>
  <c r="CH503" i="1"/>
  <c r="AH494" i="1"/>
  <c r="F494" i="1"/>
  <c r="X520" i="1"/>
  <c r="BE509" i="1"/>
  <c r="DI499" i="1"/>
  <c r="BI490" i="1"/>
  <c r="CR519" i="1"/>
  <c r="AV509" i="1"/>
  <c r="CZ499" i="1"/>
  <c r="AZ490" i="1"/>
  <c r="CB530" i="1"/>
  <c r="Q512" i="1"/>
  <c r="BU502" i="1"/>
  <c r="U493" i="1"/>
  <c r="AR530" i="1"/>
  <c r="H512" i="1"/>
  <c r="BL502" i="1"/>
  <c r="AL551" i="1"/>
  <c r="CP541" i="1"/>
  <c r="AP532" i="1"/>
  <c r="CT522" i="1"/>
  <c r="W551" i="1"/>
  <c r="CA541" i="1"/>
  <c r="AA532" i="1"/>
  <c r="CE522" i="1"/>
  <c r="R551" i="1"/>
  <c r="BV541" i="1"/>
  <c r="V532" i="1"/>
  <c r="BZ522" i="1"/>
  <c r="CJ558" i="1"/>
  <c r="DE543" i="1"/>
  <c r="BE534" i="1"/>
  <c r="DI524" i="1"/>
  <c r="CZ543" i="1"/>
  <c r="AX515" i="1"/>
  <c r="DB505" i="1"/>
  <c r="BB496" i="1"/>
  <c r="H558" i="1"/>
  <c r="CK543" i="1"/>
  <c r="AK534" i="1"/>
  <c r="CO524" i="1"/>
  <c r="X543" i="1"/>
  <c r="AD515" i="1"/>
  <c r="CH505" i="1"/>
  <c r="AH496" i="1"/>
  <c r="AN554" i="1"/>
  <c r="CS542" i="1"/>
  <c r="AS533" i="1"/>
  <c r="CW523" i="1"/>
  <c r="BD539" i="1"/>
  <c r="AL514" i="1"/>
  <c r="CP504" i="1"/>
  <c r="AP495" i="1"/>
  <c r="AO549" i="1"/>
  <c r="CS539" i="1"/>
  <c r="AS530" i="1"/>
  <c r="CW520" i="1"/>
  <c r="BD527" i="1"/>
  <c r="AH514" i="1"/>
  <c r="CL504" i="1"/>
  <c r="AL495" i="1"/>
  <c r="T539" i="1"/>
  <c r="AN524" i="1"/>
  <c r="BI510" i="1"/>
  <c r="I501" i="1"/>
  <c r="BM491" i="1"/>
  <c r="DH523" i="1"/>
  <c r="AZ510" i="1"/>
  <c r="DD500" i="1"/>
  <c r="BD491" i="1"/>
  <c r="CR534" i="1"/>
  <c r="U513" i="1"/>
  <c r="BY503" i="1"/>
  <c r="Y494" i="1"/>
  <c r="BH534" i="1"/>
  <c r="BH493" i="1"/>
  <c r="AS512" i="1"/>
  <c r="AS496" i="1"/>
  <c r="AF543" i="1"/>
  <c r="AF515" i="1"/>
  <c r="CJ505" i="1"/>
  <c r="AJ496" i="1"/>
  <c r="CM514" i="1"/>
  <c r="P522" i="1"/>
  <c r="DE509" i="1"/>
  <c r="BE500" i="1"/>
  <c r="DI490" i="1"/>
  <c r="CJ521" i="1"/>
  <c r="CV509" i="1"/>
  <c r="AV500" i="1"/>
  <c r="CZ490" i="1"/>
  <c r="DG499" i="1"/>
  <c r="R483" i="1"/>
  <c r="BR472" i="1"/>
  <c r="V460" i="1"/>
  <c r="BV449" i="1"/>
  <c r="V440" i="1"/>
  <c r="BZ430" i="1"/>
  <c r="BO517" i="1"/>
  <c r="BI487" i="1"/>
  <c r="I478" i="1"/>
  <c r="BA465" i="1"/>
  <c r="I454" i="1"/>
  <c r="BM444" i="1"/>
  <c r="M435" i="1"/>
  <c r="DC490" i="1"/>
  <c r="CT480" i="1"/>
  <c r="BB469" i="1"/>
  <c r="CX457" i="1"/>
  <c r="BJ447" i="1"/>
  <c r="J438" i="1"/>
  <c r="BN428" i="1"/>
  <c r="S509" i="1"/>
  <c r="AW485" i="1"/>
  <c r="CW474" i="1"/>
  <c r="BE463" i="1"/>
  <c r="DA451" i="1"/>
  <c r="BA442" i="1"/>
  <c r="DE432" i="1"/>
  <c r="BG496" i="1"/>
  <c r="BN489" i="1"/>
  <c r="N480" i="1"/>
  <c r="BJ468" i="1"/>
  <c r="R457" i="1"/>
  <c r="BR446" i="1"/>
  <c r="DH498" i="1"/>
  <c r="CS517" i="1"/>
  <c r="Y499" i="1"/>
  <c r="H563" i="1"/>
  <c r="L518" i="1"/>
  <c r="BP508" i="1"/>
  <c r="P499" i="1"/>
  <c r="BL548" i="1"/>
  <c r="AR533" i="1"/>
  <c r="CK512" i="1"/>
  <c r="AK503" i="1"/>
  <c r="CO493" i="1"/>
  <c r="H533" i="1"/>
  <c r="CB512" i="1"/>
  <c r="AB503" i="1"/>
  <c r="CF493" i="1"/>
  <c r="AE511" i="1"/>
  <c r="DB485" i="1"/>
  <c r="AX475" i="1"/>
  <c r="F464" i="1"/>
  <c r="BB452" i="1"/>
  <c r="DF442" i="1"/>
  <c r="BF433" i="1"/>
  <c r="F424" i="1"/>
  <c r="CY490" i="1"/>
  <c r="CS480" i="1"/>
  <c r="AK469" i="1"/>
  <c r="CW457" i="1"/>
  <c r="AS447" i="1"/>
  <c r="CW437" i="1"/>
  <c r="AA502" i="1"/>
  <c r="BZ483" i="1"/>
  <c r="AL473" i="1"/>
  <c r="CD460" i="1"/>
  <c r="AP450" i="1"/>
  <c r="CT440" i="1"/>
  <c r="AT431" i="1"/>
  <c r="CV525" i="1"/>
  <c r="AC488" i="1"/>
  <c r="CG478" i="1"/>
  <c r="Y467" i="1"/>
  <c r="CG454" i="1"/>
  <c r="AG445" i="1"/>
  <c r="CK435" i="1"/>
  <c r="CI507" i="1"/>
  <c r="O499" i="1"/>
  <c r="CX482" i="1"/>
  <c r="AT472" i="1"/>
  <c r="DB459" i="1"/>
  <c r="AX449" i="1"/>
  <c r="DB439" i="1"/>
  <c r="BB430" i="1"/>
  <c r="CA516" i="1"/>
  <c r="AK487" i="1"/>
  <c r="CO477" i="1"/>
  <c r="AS465" i="1"/>
  <c r="CO453" i="1"/>
  <c r="AO444" i="1"/>
  <c r="CS434" i="1"/>
  <c r="K504" i="1"/>
  <c r="DG495" i="1"/>
  <c r="R482" i="1"/>
  <c r="BN470" i="1"/>
  <c r="V459" i="1"/>
  <c r="BX497" i="1"/>
  <c r="BI516" i="1"/>
  <c r="BA498" i="1"/>
  <c r="BL551" i="1"/>
  <c r="AN517" i="1"/>
  <c r="CR507" i="1"/>
  <c r="AR498" i="1"/>
  <c r="CB536" i="1"/>
  <c r="AV530" i="1"/>
  <c r="I512" i="1"/>
  <c r="BM502" i="1"/>
  <c r="M493" i="1"/>
  <c r="L530" i="1"/>
  <c r="DD511" i="1"/>
  <c r="BD502" i="1"/>
  <c r="DH492" i="1"/>
  <c r="AI508" i="1"/>
  <c r="Z485" i="1"/>
  <c r="BZ474" i="1"/>
  <c r="AH463" i="1"/>
  <c r="CD451" i="1"/>
  <c r="AD442" i="1"/>
  <c r="CH432" i="1"/>
  <c r="CN547" i="1"/>
  <c r="BQ489" i="1"/>
  <c r="Q480" i="1"/>
  <c r="BM468" i="1"/>
  <c r="U457" i="1"/>
  <c r="BU446" i="1"/>
  <c r="U437" i="1"/>
  <c r="AE499" i="1"/>
  <c r="DB482" i="1"/>
  <c r="BN472" i="1"/>
  <c r="DF459" i="1"/>
  <c r="BR449" i="1"/>
  <c r="R440" i="1"/>
  <c r="BV430" i="1"/>
  <c r="AY517" i="1"/>
  <c r="BE487" i="1"/>
  <c r="DI477" i="1"/>
  <c r="BM465" i="1"/>
  <c r="DI453" i="1"/>
  <c r="BI444" i="1"/>
  <c r="I435" i="1"/>
  <c r="CM504" i="1"/>
  <c r="S496" i="1"/>
  <c r="V482" i="1"/>
  <c r="BR470" i="1"/>
  <c r="Z459" i="1"/>
  <c r="BZ448" i="1"/>
  <c r="Z439" i="1"/>
  <c r="CD429" i="1"/>
  <c r="CE513" i="1"/>
  <c r="BM486" i="1"/>
  <c r="M477" i="1"/>
  <c r="BU464" i="1"/>
  <c r="M453" i="1"/>
  <c r="BQ443" i="1"/>
  <c r="Q434" i="1"/>
  <c r="O501" i="1"/>
  <c r="G493" i="1"/>
  <c r="AT481" i="1"/>
  <c r="CP469" i="1"/>
  <c r="AX458" i="1"/>
  <c r="AO495" i="1"/>
  <c r="AF495" i="1"/>
  <c r="BA499" i="1"/>
  <c r="AR499" i="1"/>
  <c r="BZ470" i="1"/>
  <c r="BV429" i="1"/>
  <c r="AW464" i="1"/>
  <c r="AL489" i="1"/>
  <c r="BF446" i="1"/>
  <c r="AS484" i="1"/>
  <c r="AW441" i="1"/>
  <c r="J479" i="1"/>
  <c r="BV439" i="1"/>
  <c r="BG515" i="1"/>
  <c r="BI477" i="1"/>
  <c r="BI453" i="1"/>
  <c r="BM434" i="1"/>
  <c r="CM494" i="1"/>
  <c r="AH470" i="1"/>
  <c r="CX451" i="1"/>
  <c r="AX442" i="1"/>
  <c r="DB432" i="1"/>
  <c r="CJ550" i="1"/>
  <c r="CS467" i="1"/>
  <c r="BD530" i="1"/>
  <c r="AV484" i="1"/>
  <c r="CV473" i="1"/>
  <c r="AN462" i="1"/>
  <c r="CZ450" i="1"/>
  <c r="AZ441" i="1"/>
  <c r="DD431" i="1"/>
  <c r="S507" i="1"/>
  <c r="CE451" i="1"/>
  <c r="Y423" i="1"/>
  <c r="CC413" i="1"/>
  <c r="AC404" i="1"/>
  <c r="CG394" i="1"/>
  <c r="BE469" i="1"/>
  <c r="BX547" i="1"/>
  <c r="DD484" i="1"/>
  <c r="AZ474" i="1"/>
  <c r="H463" i="1"/>
  <c r="BD451" i="1"/>
  <c r="DH441" i="1"/>
  <c r="BH432" i="1"/>
  <c r="G516" i="1"/>
  <c r="AQ453" i="1"/>
  <c r="BQ423" i="1"/>
  <c r="Q414" i="1"/>
  <c r="BU404" i="1"/>
  <c r="U395" i="1"/>
  <c r="BM467" i="1"/>
  <c r="AR523" i="1"/>
  <c r="X484" i="1"/>
  <c r="BX473" i="1"/>
  <c r="AF462" i="1"/>
  <c r="CB450" i="1"/>
  <c r="AB441" i="1"/>
  <c r="CF431" i="1"/>
  <c r="BO503" i="1"/>
  <c r="CQ450" i="1"/>
  <c r="AL511" i="1"/>
  <c r="CP501" i="1"/>
  <c r="AP492" i="1"/>
  <c r="AM569" i="1"/>
  <c r="I517" i="1"/>
  <c r="BM507" i="1"/>
  <c r="M498" i="1"/>
  <c r="L550" i="1"/>
  <c r="DD516" i="1"/>
  <c r="BD507" i="1"/>
  <c r="DH497" i="1"/>
  <c r="CJ530" i="1"/>
  <c r="DH522" i="1"/>
  <c r="Y510" i="1"/>
  <c r="CC500" i="1"/>
  <c r="AC491" i="1"/>
  <c r="BD512" i="1"/>
  <c r="BH549" i="1"/>
  <c r="BA506" i="1"/>
  <c r="AW493" i="1"/>
  <c r="AV531" i="1"/>
  <c r="AJ512" i="1"/>
  <c r="CN502" i="1"/>
  <c r="AN493" i="1"/>
  <c r="CV554" i="1"/>
  <c r="BE516" i="1"/>
  <c r="DI506" i="1"/>
  <c r="BI497" i="1"/>
  <c r="CR547" i="1"/>
  <c r="AV516" i="1"/>
  <c r="CZ506" i="1"/>
  <c r="AZ497" i="1"/>
  <c r="CV521" i="1"/>
  <c r="BV489" i="1"/>
  <c r="V480" i="1"/>
  <c r="CH468" i="1"/>
  <c r="Z457" i="1"/>
  <c r="BZ446" i="1"/>
  <c r="Z437" i="1"/>
  <c r="CD427" i="1"/>
  <c r="CE505" i="1"/>
  <c r="BM484" i="1"/>
  <c r="I474" i="1"/>
  <c r="BE462" i="1"/>
  <c r="M451" i="1"/>
  <c r="BQ441" i="1"/>
  <c r="H542" i="1"/>
  <c r="AT487" i="1"/>
  <c r="CX477" i="1"/>
  <c r="BB465" i="1"/>
  <c r="J454" i="1"/>
  <c r="BN444" i="1"/>
  <c r="N435" i="1"/>
  <c r="BR425" i="1"/>
  <c r="AI497" i="1"/>
  <c r="BA482" i="1"/>
  <c r="CW470" i="1"/>
  <c r="BE459" i="1"/>
  <c r="DE448" i="1"/>
  <c r="BE439" i="1"/>
  <c r="BT534" i="1"/>
  <c r="BK515" i="1"/>
  <c r="BR486" i="1"/>
  <c r="R477" i="1"/>
  <c r="BJ464" i="1"/>
  <c r="R453" i="1"/>
  <c r="BV443" i="1"/>
  <c r="L493" i="1"/>
  <c r="DA511" i="1"/>
  <c r="AC496" i="1"/>
  <c r="BX542" i="1"/>
  <c r="P515" i="1"/>
  <c r="BT505" i="1"/>
  <c r="T496" i="1"/>
  <c r="AA514" i="1"/>
  <c r="BH521" i="1"/>
  <c r="CO509" i="1"/>
  <c r="AO500" i="1"/>
  <c r="CS490" i="1"/>
  <c r="X521" i="1"/>
  <c r="CF509" i="1"/>
  <c r="AF500" i="1"/>
  <c r="CJ490" i="1"/>
  <c r="AU499" i="1"/>
  <c r="DF482" i="1"/>
  <c r="BB472" i="1"/>
  <c r="F460" i="1"/>
  <c r="BF449" i="1"/>
  <c r="F440" i="1"/>
  <c r="BJ430" i="1"/>
  <c r="DG516" i="1"/>
  <c r="AS487" i="1"/>
  <c r="CW477" i="1"/>
  <c r="AK465" i="1"/>
  <c r="CW453" i="1"/>
  <c r="AW444" i="1"/>
  <c r="DA434" i="1"/>
  <c r="AQ490" i="1"/>
  <c r="CD480" i="1"/>
  <c r="AL469" i="1"/>
  <c r="CH457" i="1"/>
  <c r="AT447" i="1"/>
  <c r="CX437" i="1"/>
  <c r="AX428" i="1"/>
  <c r="BK508" i="1"/>
  <c r="AG485" i="1"/>
  <c r="CG474" i="1"/>
  <c r="AO463" i="1"/>
  <c r="CK451" i="1"/>
  <c r="AK442" i="1"/>
  <c r="CO432" i="1"/>
  <c r="CY495" i="1"/>
  <c r="AX489" i="1"/>
  <c r="DB479" i="1"/>
  <c r="AT468" i="1"/>
  <c r="DB455" i="1"/>
  <c r="BB446" i="1"/>
  <c r="DF436" i="1"/>
  <c r="BF427" i="1"/>
  <c r="CQ504" i="1"/>
  <c r="AO484" i="1"/>
  <c r="CO473" i="1"/>
  <c r="AW462" i="1"/>
  <c r="CS450" i="1"/>
  <c r="AS441" i="1"/>
  <c r="CW431" i="1"/>
  <c r="AA492" i="1"/>
  <c r="BV488" i="1"/>
  <c r="V479" i="1"/>
  <c r="BR467" i="1"/>
  <c r="AV527" i="1"/>
  <c r="CF491" i="1"/>
  <c r="BQ510" i="1"/>
  <c r="BE495" i="1"/>
  <c r="CB539" i="1"/>
  <c r="AR514" i="1"/>
  <c r="CV504" i="1"/>
  <c r="AV495" i="1"/>
  <c r="AT492" i="1"/>
  <c r="BQ518" i="1"/>
  <c r="M509" i="1"/>
  <c r="BQ499" i="1"/>
  <c r="AL582" i="1"/>
  <c r="BD518" i="1"/>
  <c r="DH508" i="1"/>
  <c r="BH499" i="1"/>
  <c r="AF565" i="1"/>
  <c r="AY496" i="1"/>
  <c r="AD482" i="1"/>
  <c r="CP470" i="1"/>
  <c r="AH459" i="1"/>
  <c r="CH448" i="1"/>
  <c r="AH439" i="1"/>
  <c r="CL429" i="1"/>
  <c r="G514" i="1"/>
  <c r="BU486" i="1"/>
  <c r="U477" i="1"/>
  <c r="BM464" i="1"/>
  <c r="U453" i="1"/>
  <c r="BY443" i="1"/>
  <c r="Y434" i="1"/>
  <c r="BB489" i="1"/>
  <c r="DF479" i="1"/>
  <c r="BN468" i="1"/>
  <c r="F457" i="1"/>
  <c r="BV446" i="1"/>
  <c r="V437" i="1"/>
  <c r="BZ427" i="1"/>
  <c r="BO505" i="1"/>
  <c r="BI484" i="1"/>
  <c r="DI473" i="1"/>
  <c r="BQ462" i="1"/>
  <c r="I451" i="1"/>
  <c r="BM441" i="1"/>
  <c r="M432" i="1"/>
  <c r="DC492" i="1"/>
  <c r="BZ488" i="1"/>
  <c r="Z479" i="1"/>
  <c r="BV467" i="1"/>
  <c r="Z455" i="1"/>
  <c r="CD445" i="1"/>
  <c r="AD436" i="1"/>
  <c r="CH426" i="1"/>
  <c r="CU501" i="1"/>
  <c r="BQ483" i="1"/>
  <c r="M473" i="1"/>
  <c r="BU460" i="1"/>
  <c r="Q450" i="1"/>
  <c r="BU440" i="1"/>
  <c r="DD556" i="1"/>
  <c r="CZ489" i="1"/>
  <c r="CX487" i="1"/>
  <c r="AX478" i="1"/>
  <c r="DF465" i="1"/>
  <c r="CB510" i="1"/>
  <c r="BT529" i="1"/>
  <c r="P550" i="1"/>
  <c r="L546" i="1"/>
  <c r="BS517" i="1"/>
  <c r="CD455" i="1"/>
  <c r="DC503" i="1"/>
  <c r="BU450" i="1"/>
  <c r="BB477" i="1"/>
  <c r="BV434" i="1"/>
  <c r="BA470" i="1"/>
  <c r="BH527" i="1"/>
  <c r="N464" i="1"/>
  <c r="CD433" i="1"/>
  <c r="CM491" i="1"/>
  <c r="BY469" i="1"/>
  <c r="BQ447" i="1"/>
  <c r="O517" i="1"/>
  <c r="AT485" i="1"/>
  <c r="BB463" i="1"/>
  <c r="DB448" i="1"/>
  <c r="BB439" i="1"/>
  <c r="DF429" i="1"/>
  <c r="CI514" i="1"/>
  <c r="I453" i="1"/>
  <c r="CQ497" i="1"/>
  <c r="AZ481" i="1"/>
  <c r="CV469" i="1"/>
  <c r="BD458" i="1"/>
  <c r="DD447" i="1"/>
  <c r="BD438" i="1"/>
  <c r="DH428" i="1"/>
  <c r="BK482" i="1"/>
  <c r="CU439" i="1"/>
  <c r="AC420" i="1"/>
  <c r="CG410" i="1"/>
  <c r="AG401" i="1"/>
  <c r="CK391" i="1"/>
  <c r="AG455" i="1"/>
  <c r="S502" i="1"/>
  <c r="DH481" i="1"/>
  <c r="AZ470" i="1"/>
  <c r="H459" i="1"/>
  <c r="BH448" i="1"/>
  <c r="H439" i="1"/>
  <c r="BL429" i="1"/>
  <c r="CI484" i="1"/>
  <c r="BG441" i="1"/>
  <c r="BU420" i="1"/>
  <c r="U411" i="1"/>
  <c r="BY401" i="1"/>
  <c r="AA511" i="1"/>
  <c r="U452" i="1"/>
  <c r="K496" i="1"/>
  <c r="AB481" i="1"/>
  <c r="CN469" i="1"/>
  <c r="AF458" i="1"/>
  <c r="CF447" i="1"/>
  <c r="AF438" i="1"/>
  <c r="CJ428" i="1"/>
  <c r="BW481" i="1"/>
  <c r="DG438" i="1"/>
  <c r="AP508" i="1"/>
  <c r="CT498" i="1"/>
  <c r="AZ558" i="1"/>
  <c r="BP539" i="1"/>
  <c r="M514" i="1"/>
  <c r="BQ504" i="1"/>
  <c r="Q495" i="1"/>
  <c r="AB538" i="1"/>
  <c r="DH513" i="1"/>
  <c r="BH504" i="1"/>
  <c r="H495" i="1"/>
  <c r="BT559" i="1"/>
  <c r="CC516" i="1"/>
  <c r="AC507" i="1"/>
  <c r="CG497" i="1"/>
  <c r="CF548" i="1"/>
  <c r="BT500" i="1"/>
  <c r="AF522" i="1"/>
  <c r="BI500" i="1"/>
  <c r="BA490" i="1"/>
  <c r="BL519" i="1"/>
  <c r="AN509" i="1"/>
  <c r="CR499" i="1"/>
  <c r="AR490" i="1"/>
  <c r="BT536" i="1"/>
  <c r="BI513" i="1"/>
  <c r="I504" i="1"/>
  <c r="BM494" i="1"/>
  <c r="DH535" i="1"/>
  <c r="AZ513" i="1"/>
  <c r="DD503" i="1"/>
  <c r="BD494" i="1"/>
  <c r="S516" i="1"/>
  <c r="BZ486" i="1"/>
  <c r="Z477" i="1"/>
  <c r="CH464" i="1"/>
  <c r="Z453" i="1"/>
  <c r="CD443" i="1"/>
  <c r="AD434" i="1"/>
  <c r="CH424" i="1"/>
  <c r="CU493" i="1"/>
  <c r="BQ481" i="1"/>
  <c r="I470" i="1"/>
  <c r="BU458" i="1"/>
  <c r="Q448" i="1"/>
  <c r="BU438" i="1"/>
  <c r="W505" i="1"/>
  <c r="AX484" i="1"/>
  <c r="J474" i="1"/>
  <c r="BF462" i="1"/>
  <c r="N451" i="1"/>
  <c r="BR441" i="1"/>
  <c r="R432" i="1"/>
  <c r="CF537" i="1"/>
  <c r="DE488" i="1"/>
  <c r="BE479" i="1"/>
  <c r="DA467" i="1"/>
  <c r="BE455" i="1"/>
  <c r="DI445" i="1"/>
  <c r="BI436" i="1"/>
  <c r="CE510" i="1"/>
  <c r="K502" i="1"/>
  <c r="BV483" i="1"/>
  <c r="R473" i="1"/>
  <c r="BZ460" i="1"/>
  <c r="V450" i="1"/>
  <c r="CV511" i="1"/>
  <c r="T547" i="1"/>
  <c r="DI505" i="1"/>
  <c r="AG493" i="1"/>
  <c r="CN530" i="1"/>
  <c r="T512" i="1"/>
  <c r="BX502" i="1"/>
  <c r="X493" i="1"/>
  <c r="CZ551" i="1"/>
  <c r="AO516" i="1"/>
  <c r="CS506" i="1"/>
  <c r="AS497" i="1"/>
  <c r="AF547" i="1"/>
  <c r="AF516" i="1"/>
  <c r="CJ506" i="1"/>
  <c r="AJ497" i="1"/>
  <c r="BH519" i="1"/>
  <c r="BF489" i="1"/>
  <c r="F480" i="1"/>
  <c r="BR468" i="1"/>
  <c r="J457" i="1"/>
  <c r="BJ446" i="1"/>
  <c r="J437" i="1"/>
  <c r="BN427" i="1"/>
  <c r="S505" i="1"/>
  <c r="AW484" i="1"/>
  <c r="CW473" i="1"/>
  <c r="AO462" i="1"/>
  <c r="DA450" i="1"/>
  <c r="BA441" i="1"/>
  <c r="BL532" i="1"/>
  <c r="AD487" i="1"/>
  <c r="CH477" i="1"/>
  <c r="AL465" i="1"/>
  <c r="CX453" i="1"/>
  <c r="AX444" i="1"/>
  <c r="DB434" i="1"/>
  <c r="BB425" i="1"/>
  <c r="CA496" i="1"/>
  <c r="AK482" i="1"/>
  <c r="CG470" i="1"/>
  <c r="AO459" i="1"/>
  <c r="CO448" i="1"/>
  <c r="AO439" i="1"/>
  <c r="AF532" i="1"/>
  <c r="AQ514" i="1"/>
  <c r="BB486" i="1"/>
  <c r="DB475" i="1"/>
  <c r="AT464" i="1"/>
  <c r="DF452" i="1"/>
  <c r="BF443" i="1"/>
  <c r="F434" i="1"/>
  <c r="BJ424" i="1"/>
  <c r="DG492" i="1"/>
  <c r="AS481" i="1"/>
  <c r="DE469" i="1"/>
  <c r="AW458" i="1"/>
  <c r="CW447" i="1"/>
  <c r="AW438" i="1"/>
  <c r="AI518" i="1"/>
  <c r="AA510" i="1"/>
  <c r="BZ485" i="1"/>
  <c r="V475" i="1"/>
  <c r="CH463" i="1"/>
  <c r="CZ508" i="1"/>
  <c r="H540" i="1"/>
  <c r="BY504" i="1"/>
  <c r="BI492" i="1"/>
  <c r="CR527" i="1"/>
  <c r="AV511" i="1"/>
  <c r="CZ501" i="1"/>
  <c r="AZ492" i="1"/>
  <c r="CF547" i="1"/>
  <c r="BQ515" i="1"/>
  <c r="Q506" i="1"/>
  <c r="BU496" i="1"/>
  <c r="AJ544" i="1"/>
  <c r="BH515" i="1"/>
  <c r="H506" i="1"/>
  <c r="BL496" i="1"/>
  <c r="CQ515" i="1"/>
  <c r="CH488" i="1"/>
  <c r="AH479" i="1"/>
  <c r="CT467" i="1"/>
  <c r="AH455" i="1"/>
  <c r="CL445" i="1"/>
  <c r="AL436" i="1"/>
  <c r="CP426" i="1"/>
  <c r="W502" i="1"/>
  <c r="BY483" i="1"/>
  <c r="U473" i="1"/>
  <c r="CC460" i="1"/>
  <c r="Y450" i="1"/>
  <c r="CC440" i="1"/>
  <c r="BG514" i="1"/>
  <c r="BF486" i="1"/>
  <c r="F477" i="1"/>
  <c r="BN464" i="1"/>
  <c r="V453" i="1"/>
  <c r="BZ443" i="1"/>
  <c r="Z434" i="1"/>
  <c r="CD424" i="1"/>
  <c r="CE493" i="1"/>
  <c r="BM481" i="1"/>
  <c r="DI469" i="1"/>
  <c r="BQ458" i="1"/>
  <c r="M448" i="1"/>
  <c r="BQ438" i="1"/>
  <c r="AV520" i="1"/>
  <c r="AQ510" i="1"/>
  <c r="CD485" i="1"/>
  <c r="Z475" i="1"/>
  <c r="BV463" i="1"/>
  <c r="AD452" i="1"/>
  <c r="CH442" i="1"/>
  <c r="AH433" i="1"/>
  <c r="DH579" i="1"/>
  <c r="Q490" i="1"/>
  <c r="BU480" i="1"/>
  <c r="AC469" i="1"/>
  <c r="BY457" i="1"/>
  <c r="U447" i="1"/>
  <c r="BY437" i="1"/>
  <c r="AM515" i="1"/>
  <c r="AE507" i="1"/>
  <c r="DB484" i="1"/>
  <c r="AX474" i="1"/>
  <c r="F463" i="1"/>
  <c r="CR522" i="1"/>
  <c r="BD509" i="1"/>
  <c r="BY513" i="1"/>
  <c r="BP513" i="1"/>
  <c r="CP486" i="1"/>
  <c r="CT443" i="1"/>
  <c r="CG481" i="1"/>
  <c r="CK438" i="1"/>
  <c r="BV462" i="1"/>
  <c r="P540" i="1"/>
  <c r="BU455" i="1"/>
  <c r="BW502" i="1"/>
  <c r="AL450" i="1"/>
  <c r="CL427" i="1"/>
  <c r="CH507" i="1"/>
  <c r="AH498" i="1"/>
  <c r="DH550" i="1"/>
  <c r="BD536" i="1"/>
  <c r="BE513" i="1"/>
  <c r="DI503" i="1"/>
  <c r="BI494" i="1"/>
  <c r="CR535" i="1"/>
  <c r="AV513" i="1"/>
  <c r="CZ503" i="1"/>
  <c r="AZ494" i="1"/>
  <c r="BL550" i="1"/>
  <c r="Q516" i="1"/>
  <c r="BU506" i="1"/>
  <c r="U497" i="1"/>
  <c r="AR546" i="1"/>
  <c r="AZ499" i="1"/>
  <c r="AK518" i="1"/>
  <c r="AO499" i="1"/>
  <c r="AV565" i="1"/>
  <c r="AB518" i="1"/>
  <c r="CF508" i="1"/>
  <c r="AF499" i="1"/>
  <c r="CZ550" i="1"/>
  <c r="DD533" i="1"/>
  <c r="DA512" i="1"/>
  <c r="BA503" i="1"/>
  <c r="DE493" i="1"/>
  <c r="BT533" i="1"/>
  <c r="CR512" i="1"/>
  <c r="AR503" i="1"/>
  <c r="CV493" i="1"/>
  <c r="CQ511" i="1"/>
  <c r="N486" i="1"/>
  <c r="BN475" i="1"/>
  <c r="V464" i="1"/>
  <c r="BR452" i="1"/>
  <c r="R443" i="1"/>
  <c r="BV433" i="1"/>
  <c r="V424" i="1"/>
  <c r="BG491" i="1"/>
  <c r="DI480" i="1"/>
  <c r="BA469" i="1"/>
  <c r="I458" i="1"/>
  <c r="BI447" i="1"/>
  <c r="I438" i="1"/>
  <c r="CM502" i="1"/>
  <c r="CP483" i="1"/>
  <c r="BB473" i="1"/>
  <c r="CT460" i="1"/>
  <c r="BF450" i="1"/>
  <c r="F441" i="1"/>
  <c r="BJ431" i="1"/>
  <c r="AF528" i="1"/>
  <c r="AS488" i="1"/>
  <c r="CW478" i="1"/>
  <c r="AO467" i="1"/>
  <c r="CW454" i="1"/>
  <c r="AW445" i="1"/>
  <c r="DA435" i="1"/>
  <c r="AQ508" i="1"/>
  <c r="CA499" i="1"/>
  <c r="J483" i="1"/>
  <c r="BJ472" i="1"/>
  <c r="N460" i="1"/>
  <c r="BN449" i="1"/>
  <c r="BH509" i="1"/>
  <c r="CJ540" i="1"/>
  <c r="CO504" i="1"/>
  <c r="BY492" i="1"/>
  <c r="AZ528" i="1"/>
  <c r="BL511" i="1"/>
  <c r="L502" i="1"/>
  <c r="BP492" i="1"/>
  <c r="BD548" i="1"/>
  <c r="CG515" i="1"/>
  <c r="AG506" i="1"/>
  <c r="CK496" i="1"/>
  <c r="CV544" i="1"/>
  <c r="BX515" i="1"/>
  <c r="X506" i="1"/>
  <c r="CB496" i="1"/>
  <c r="AY516" i="1"/>
  <c r="CX488" i="1"/>
  <c r="AX479" i="1"/>
  <c r="F468" i="1"/>
  <c r="AX455" i="1"/>
  <c r="DB445" i="1"/>
  <c r="BB436" i="1"/>
  <c r="DF426" i="1"/>
  <c r="CI502" i="1"/>
  <c r="CO483" i="1"/>
  <c r="AK473" i="1"/>
  <c r="CS460" i="1"/>
  <c r="AO450" i="1"/>
  <c r="CS440" i="1"/>
  <c r="CA515" i="1"/>
  <c r="BV486" i="1"/>
  <c r="V477" i="1"/>
  <c r="CD464" i="1"/>
  <c r="AL453" i="1"/>
  <c r="CP443" i="1"/>
  <c r="AP434" i="1"/>
  <c r="CT424" i="1"/>
  <c r="AM494" i="1"/>
  <c r="CC481" i="1"/>
  <c r="U470" i="1"/>
  <c r="CG458" i="1"/>
  <c r="AC448" i="1"/>
  <c r="CG438" i="1"/>
  <c r="CJ522" i="1"/>
  <c r="DC510" i="1"/>
  <c r="CT485" i="1"/>
  <c r="AP475" i="1"/>
  <c r="CL463" i="1"/>
  <c r="AT452" i="1"/>
  <c r="CX442" i="1"/>
  <c r="AX433" i="1"/>
  <c r="DB423" i="1"/>
  <c r="BS490" i="1"/>
  <c r="CK480" i="1"/>
  <c r="AS469" i="1"/>
  <c r="CO457" i="1"/>
  <c r="AK447" i="1"/>
  <c r="CO437" i="1"/>
  <c r="CY515" i="1"/>
  <c r="CQ507" i="1"/>
  <c r="N485" i="1"/>
  <c r="BN474" i="1"/>
  <c r="V463" i="1"/>
  <c r="BL506" i="1"/>
  <c r="P534" i="1"/>
  <c r="BE503" i="1"/>
  <c r="DA491" i="1"/>
  <c r="BD525" i="1"/>
  <c r="CN510" i="1"/>
  <c r="AN501" i="1"/>
  <c r="CR491" i="1"/>
  <c r="BT544" i="1"/>
  <c r="DI514" i="1"/>
  <c r="BI505" i="1"/>
  <c r="I496" i="1"/>
  <c r="CZ541" i="1"/>
  <c r="CZ514" i="1"/>
  <c r="AZ505" i="1"/>
  <c r="DD495" i="1"/>
  <c r="BC513" i="1"/>
  <c r="AK549" i="1"/>
  <c r="CO539" i="1"/>
  <c r="AO530" i="1"/>
  <c r="CS520" i="1"/>
  <c r="AN527" i="1"/>
  <c r="AH511" i="1"/>
  <c r="CL501" i="1"/>
  <c r="AL492" i="1"/>
  <c r="Q549" i="1"/>
  <c r="BU539" i="1"/>
  <c r="U530" i="1"/>
  <c r="BY520" i="1"/>
  <c r="BP526" i="1"/>
  <c r="N511" i="1"/>
  <c r="BR501" i="1"/>
  <c r="R492" i="1"/>
  <c r="Y548" i="1"/>
  <c r="CC538" i="1"/>
  <c r="AC529" i="1"/>
  <c r="CG519" i="1"/>
  <c r="CV522" i="1"/>
  <c r="V510" i="1"/>
  <c r="BZ500" i="1"/>
  <c r="BX563" i="1"/>
  <c r="Y545" i="1"/>
  <c r="CC535" i="1"/>
  <c r="AC526" i="1"/>
  <c r="CN548" i="1"/>
  <c r="U540" i="1"/>
  <c r="BY530" i="1"/>
  <c r="Y521" i="1"/>
  <c r="BX528" i="1"/>
  <c r="BR511" i="1"/>
  <c r="R502" i="1"/>
  <c r="BV492" i="1"/>
  <c r="AL490" i="1"/>
  <c r="AO517" i="1"/>
  <c r="CS507" i="1"/>
  <c r="AS498" i="1"/>
  <c r="AF551" i="1"/>
  <c r="AF517" i="1"/>
  <c r="CJ507" i="1"/>
  <c r="AJ498" i="1"/>
  <c r="BH535" i="1"/>
  <c r="X524" i="1"/>
  <c r="BE510" i="1"/>
  <c r="DI500" i="1"/>
  <c r="BI491" i="1"/>
  <c r="CR523" i="1"/>
  <c r="AV510" i="1"/>
  <c r="CZ500" i="1"/>
  <c r="AZ491" i="1"/>
  <c r="AZ523" i="1"/>
  <c r="AK510" i="1"/>
  <c r="CO500" i="1"/>
  <c r="CT550" i="1"/>
  <c r="AT541" i="1"/>
  <c r="CX531" i="1"/>
  <c r="AX522" i="1"/>
  <c r="CE550" i="1"/>
  <c r="AE541" i="1"/>
  <c r="CI531" i="1"/>
  <c r="AI522" i="1"/>
  <c r="BZ550" i="1"/>
  <c r="Z541" i="1"/>
  <c r="CD531" i="1"/>
  <c r="AD522" i="1"/>
  <c r="DH556" i="1"/>
  <c r="BI543" i="1"/>
  <c r="I534" i="1"/>
  <c r="BM524" i="1"/>
  <c r="T542" i="1"/>
  <c r="DF514" i="1"/>
  <c r="BF505" i="1"/>
  <c r="F496" i="1"/>
  <c r="AF556" i="1"/>
  <c r="AO543" i="1"/>
  <c r="CS533" i="1"/>
  <c r="AS524" i="1"/>
  <c r="AV541" i="1"/>
  <c r="CL514" i="1"/>
  <c r="AL505" i="1"/>
  <c r="CP495" i="1"/>
  <c r="BL552" i="1"/>
  <c r="AW542" i="1"/>
  <c r="DA532" i="1"/>
  <c r="BA523" i="1"/>
  <c r="CB537" i="1"/>
  <c r="CT513" i="1"/>
  <c r="AT504" i="1"/>
  <c r="CX494" i="1"/>
  <c r="CW548" i="1"/>
  <c r="AW539" i="1"/>
  <c r="DA529" i="1"/>
  <c r="BA520" i="1"/>
  <c r="CB525" i="1"/>
  <c r="CT510" i="1"/>
  <c r="AT501" i="1"/>
  <c r="CX491" i="1"/>
  <c r="AF557" i="1"/>
  <c r="BQ516" i="1"/>
  <c r="Q507" i="1"/>
  <c r="BU497" i="1"/>
  <c r="AJ548" i="1"/>
  <c r="BH516" i="1"/>
  <c r="H507" i="1"/>
  <c r="BL497" i="1"/>
  <c r="BX523" i="1"/>
  <c r="AB521" i="1"/>
  <c r="CG509" i="1"/>
  <c r="AG500" i="1"/>
  <c r="CK490" i="1"/>
  <c r="CV520" i="1"/>
  <c r="BX509" i="1"/>
  <c r="BK520" i="1"/>
  <c r="DB548" i="1"/>
  <c r="BB539" i="1"/>
  <c r="DF529" i="1"/>
  <c r="BF520" i="1"/>
  <c r="CM548" i="1"/>
  <c r="AM539" i="1"/>
  <c r="CQ529" i="1"/>
  <c r="AQ520" i="1"/>
  <c r="CH548" i="1"/>
  <c r="AH539" i="1"/>
  <c r="CL529" i="1"/>
  <c r="AL520" i="1"/>
  <c r="M551" i="1"/>
  <c r="BQ541" i="1"/>
  <c r="Q532" i="1"/>
  <c r="BU522" i="1"/>
  <c r="AZ534" i="1"/>
  <c r="J513" i="1"/>
  <c r="BN503" i="1"/>
  <c r="N494" i="1"/>
  <c r="CW550" i="1"/>
  <c r="AW541" i="1"/>
  <c r="DA531" i="1"/>
  <c r="BA522" i="1"/>
  <c r="CB533" i="1"/>
  <c r="CT512" i="1"/>
  <c r="AT503" i="1"/>
  <c r="CX493" i="1"/>
  <c r="DE549" i="1"/>
  <c r="BE540" i="1"/>
  <c r="DI530" i="1"/>
  <c r="BI521" i="1"/>
  <c r="DH529" i="1"/>
  <c r="DB511" i="1"/>
  <c r="BB502" i="1"/>
  <c r="BF519" i="1"/>
  <c r="DE546" i="1"/>
  <c r="BE537" i="1"/>
  <c r="DI527" i="1"/>
  <c r="G577" i="1"/>
  <c r="AX518" i="1"/>
  <c r="CX511" i="1"/>
  <c r="AX502" i="1"/>
  <c r="DB492" i="1"/>
  <c r="BZ490" i="1"/>
  <c r="BU517" i="1"/>
  <c r="U508" i="1"/>
  <c r="BY498" i="1"/>
  <c r="CF554" i="1"/>
  <c r="BL517" i="1"/>
  <c r="L508" i="1"/>
  <c r="BP498" i="1"/>
  <c r="AF540" i="1"/>
  <c r="AR525" i="1"/>
  <c r="CK510" i="1"/>
  <c r="AK501" i="1"/>
  <c r="CO491" i="1"/>
  <c r="CR514" i="1"/>
  <c r="AY576" i="1"/>
  <c r="BU507" i="1"/>
  <c r="DI493" i="1"/>
  <c r="CJ533" i="1"/>
  <c r="CV512" i="1"/>
  <c r="AV503" i="1"/>
  <c r="CZ493" i="1"/>
  <c r="CA571" i="1"/>
  <c r="M517" i="1"/>
  <c r="BQ507" i="1"/>
  <c r="Q498" i="1"/>
  <c r="AB550" i="1"/>
  <c r="DH516" i="1"/>
  <c r="BH507" i="1"/>
  <c r="H498" i="1"/>
  <c r="AR531" i="1"/>
  <c r="BG490" i="1"/>
  <c r="CH480" i="1"/>
  <c r="AP469" i="1"/>
  <c r="CL457" i="1"/>
  <c r="AH447" i="1"/>
  <c r="CL437" i="1"/>
  <c r="AL428" i="1"/>
  <c r="O508" i="1"/>
  <c r="U485" i="1"/>
  <c r="BU474" i="1"/>
  <c r="M463" i="1"/>
  <c r="BY451" i="1"/>
  <c r="Y442" i="1"/>
  <c r="CC432" i="1"/>
  <c r="DF487" i="1"/>
  <c r="BF478" i="1"/>
  <c r="N467" i="1"/>
  <c r="BV454" i="1"/>
  <c r="V445" i="1"/>
  <c r="BZ435" i="1"/>
  <c r="Z426" i="1"/>
  <c r="BW499" i="1"/>
  <c r="I483" i="1"/>
  <c r="BI472" i="1"/>
  <c r="M460" i="1"/>
  <c r="BM449" i="1"/>
  <c r="M440" i="1"/>
  <c r="P544" i="1"/>
  <c r="X530" i="1"/>
  <c r="Z487" i="1"/>
  <c r="CD477" i="1"/>
  <c r="R465" i="1"/>
  <c r="CD453" i="1"/>
  <c r="AD444" i="1"/>
  <c r="AF494" i="1"/>
  <c r="Q513" i="1"/>
  <c r="CO496" i="1"/>
  <c r="H545" i="1"/>
  <c r="CB515" i="1"/>
  <c r="AB506" i="1"/>
  <c r="CF496" i="1"/>
  <c r="BO516" i="1"/>
  <c r="CV523" i="1"/>
  <c r="AW510" i="1"/>
  <c r="DA500" i="1"/>
  <c r="BA491" i="1"/>
  <c r="BL523" i="1"/>
  <c r="AN510" i="1"/>
  <c r="CR500" i="1"/>
  <c r="AR491" i="1"/>
  <c r="CI501" i="1"/>
  <c r="BN483" i="1"/>
  <c r="J473" i="1"/>
  <c r="BR460" i="1"/>
  <c r="N450" i="1"/>
  <c r="BR440" i="1"/>
  <c r="R431" i="1"/>
  <c r="CF521" i="1"/>
  <c r="DE487" i="1"/>
  <c r="BE478" i="1"/>
  <c r="CW465" i="1"/>
  <c r="BE454" i="1"/>
  <c r="DI444" i="1"/>
  <c r="BI435" i="1"/>
  <c r="CE492" i="1"/>
  <c r="AL481" i="1"/>
  <c r="CX469" i="1"/>
  <c r="AP458" i="1"/>
  <c r="DF447" i="1"/>
  <c r="BF438" i="1"/>
  <c r="F429" i="1"/>
  <c r="CY510" i="1"/>
  <c r="CS485" i="1"/>
  <c r="AO475" i="1"/>
  <c r="DA463" i="1"/>
  <c r="AS452" i="1"/>
  <c r="CW442" i="1"/>
  <c r="AW433" i="1"/>
  <c r="AI498" i="1"/>
  <c r="F490" i="1"/>
  <c r="BJ480" i="1"/>
  <c r="DF468" i="1"/>
  <c r="BN457" i="1"/>
  <c r="J447" i="1"/>
  <c r="BN437" i="1"/>
  <c r="N428" i="1"/>
  <c r="AA507" i="1"/>
  <c r="DA484" i="1"/>
  <c r="AW474" i="1"/>
  <c r="DI462" i="1"/>
  <c r="BA451" i="1"/>
  <c r="DE441" i="1"/>
  <c r="BE432" i="1"/>
  <c r="BO494" i="1"/>
  <c r="AD489" i="1"/>
  <c r="CH479" i="1"/>
  <c r="Z468" i="1"/>
  <c r="CH455" i="1"/>
  <c r="CZ492" i="1"/>
  <c r="CK511" i="1"/>
  <c r="M496" i="1"/>
  <c r="L542" i="1"/>
  <c r="DD514" i="1"/>
  <c r="BD505" i="1"/>
  <c r="DH495" i="1"/>
  <c r="BS513" i="1"/>
  <c r="CZ520" i="1"/>
  <c r="BY509" i="1"/>
  <c r="Y500" i="1"/>
  <c r="CC490" i="1"/>
  <c r="BP520" i="1"/>
  <c r="BP509" i="1"/>
  <c r="P500" i="1"/>
  <c r="BT490" i="1"/>
  <c r="CM498" i="1"/>
  <c r="CP482" i="1"/>
  <c r="AL472" i="1"/>
  <c r="CT459" i="1"/>
  <c r="AP449" i="1"/>
  <c r="CT439" i="1"/>
  <c r="AT430" i="1"/>
  <c r="AU516" i="1"/>
  <c r="AC487" i="1"/>
  <c r="CG477" i="1"/>
  <c r="U465" i="1"/>
  <c r="CG453" i="1"/>
  <c r="AG444" i="1"/>
  <c r="CK434" i="1"/>
  <c r="J490" i="1"/>
  <c r="BN480" i="1"/>
  <c r="V469" i="1"/>
  <c r="BR457" i="1"/>
  <c r="AD447" i="1"/>
  <c r="CH437" i="1"/>
  <c r="AH428" i="1"/>
  <c r="DC507" i="1"/>
  <c r="Q485" i="1"/>
  <c r="BQ474" i="1"/>
  <c r="Y463" i="1"/>
  <c r="BU451" i="1"/>
  <c r="U442" i="1"/>
  <c r="BY432" i="1"/>
  <c r="AM495" i="1"/>
  <c r="AH489" i="1"/>
  <c r="CL479" i="1"/>
  <c r="AD468" i="1"/>
  <c r="CL455" i="1"/>
  <c r="AL446" i="1"/>
  <c r="CP436" i="1"/>
  <c r="AP427" i="1"/>
  <c r="AE504" i="1"/>
  <c r="Y484" i="1"/>
  <c r="BY473" i="1"/>
  <c r="AG462" i="1"/>
  <c r="CC450" i="1"/>
  <c r="AC441" i="1"/>
  <c r="CG431" i="1"/>
  <c r="BS491" i="1"/>
  <c r="BF488" i="1"/>
  <c r="F479" i="1"/>
  <c r="BB467" i="1"/>
  <c r="H525" i="1"/>
  <c r="P539" i="1"/>
  <c r="DB491" i="1"/>
  <c r="O571" i="1"/>
  <c r="CJ555" i="1"/>
  <c r="R459" i="1"/>
  <c r="AY513" i="1"/>
  <c r="DI452" i="1"/>
  <c r="CP479" i="1"/>
  <c r="F437" i="1"/>
  <c r="CS473" i="1"/>
  <c r="DA431" i="1"/>
  <c r="BF467" i="1"/>
  <c r="CX434" i="1"/>
  <c r="BK496" i="1"/>
  <c r="CS470" i="1"/>
  <c r="CK448" i="1"/>
  <c r="BX531" i="1"/>
  <c r="BN486" i="1"/>
  <c r="BV464" i="1"/>
  <c r="BJ449" i="1"/>
  <c r="J440" i="1"/>
  <c r="BN430" i="1"/>
  <c r="S517" i="1"/>
  <c r="AW455" i="1"/>
  <c r="BO502" i="1"/>
  <c r="H482" i="1"/>
  <c r="BD470" i="1"/>
  <c r="L459" i="1"/>
  <c r="BL448" i="1"/>
  <c r="L439" i="1"/>
  <c r="BP429" i="1"/>
  <c r="CY484" i="1"/>
  <c r="AE442" i="1"/>
  <c r="CO420" i="1"/>
  <c r="AO411" i="1"/>
  <c r="CS401" i="1"/>
  <c r="AS392" i="1"/>
  <c r="AC458" i="1"/>
  <c r="CU506" i="1"/>
  <c r="BP482" i="1"/>
  <c r="L472" i="1"/>
  <c r="BT459" i="1"/>
  <c r="P449" i="1"/>
  <c r="BT439" i="1"/>
  <c r="T430" i="1"/>
  <c r="S487" i="1"/>
  <c r="CU443" i="1"/>
  <c r="AC421" i="1"/>
  <c r="CG411" i="1"/>
  <c r="AG402" i="1"/>
  <c r="CK392" i="1"/>
  <c r="BI454" i="1"/>
  <c r="CM500" i="1"/>
  <c r="CN481" i="1"/>
  <c r="AV470" i="1"/>
  <c r="CR458" i="1"/>
  <c r="AN448" i="1"/>
  <c r="CR438" i="1"/>
  <c r="AR429" i="1"/>
  <c r="G484" i="1"/>
  <c r="AQ441" i="1"/>
  <c r="DB508" i="1"/>
  <c r="BB499" i="1"/>
  <c r="K574" i="1"/>
  <c r="CR542" i="1"/>
  <c r="BY514" i="1"/>
  <c r="Y505" i="1"/>
  <c r="CC495" i="1"/>
  <c r="BP540" i="1"/>
  <c r="BP514" i="1"/>
  <c r="P505" i="1"/>
  <c r="BT495" i="1"/>
  <c r="AD490" i="1"/>
  <c r="AK517" i="1"/>
  <c r="CO507" i="1"/>
  <c r="AO498" i="1"/>
  <c r="P551" i="1"/>
  <c r="DH502" i="1"/>
  <c r="DH526" i="1"/>
  <c r="CC501" i="1"/>
  <c r="I491" i="1"/>
  <c r="CZ521" i="1"/>
  <c r="CZ509" i="1"/>
  <c r="AZ500" i="1"/>
  <c r="DD490" i="1"/>
  <c r="CV539" i="1"/>
  <c r="Q514" i="1"/>
  <c r="BU504" i="1"/>
  <c r="U495" i="1"/>
  <c r="AR538" i="1"/>
  <c r="H514" i="1"/>
  <c r="BL504" i="1"/>
  <c r="L495" i="1"/>
  <c r="CZ534" i="1"/>
  <c r="AH487" i="1"/>
  <c r="CL477" i="1"/>
  <c r="AP465" i="1"/>
  <c r="CL453" i="1"/>
  <c r="AL444" i="1"/>
  <c r="CP434" i="1"/>
  <c r="AP425" i="1"/>
  <c r="AE496" i="1"/>
  <c r="Y482" i="1"/>
  <c r="BU470" i="1"/>
  <c r="AC459" i="1"/>
  <c r="CC448" i="1"/>
  <c r="AC439" i="1"/>
  <c r="BK507" i="1"/>
  <c r="F485" i="1"/>
  <c r="BV474" i="1"/>
  <c r="N463" i="1"/>
  <c r="BZ451" i="1"/>
  <c r="Z442" i="1"/>
  <c r="CD432" i="1"/>
  <c r="AB547" i="1"/>
  <c r="BM489" i="1"/>
  <c r="M480" i="1"/>
  <c r="BI468" i="1"/>
  <c r="Q457" i="1"/>
  <c r="BQ446" i="1"/>
  <c r="Q437" i="1"/>
  <c r="O513" i="1"/>
  <c r="AY504" i="1"/>
  <c r="AD484" i="1"/>
  <c r="CD473" i="1"/>
  <c r="V462" i="1"/>
  <c r="CH450" i="1"/>
  <c r="AF514" i="1"/>
  <c r="H559" i="1"/>
  <c r="Y507" i="1"/>
  <c r="CS493" i="1"/>
  <c r="X533" i="1"/>
  <c r="CF512" i="1"/>
  <c r="AF503" i="1"/>
  <c r="CJ493" i="1"/>
  <c r="AR564" i="1"/>
  <c r="DA516" i="1"/>
  <c r="BA507" i="1"/>
  <c r="DE497" i="1"/>
  <c r="BT549" i="1"/>
  <c r="CR516" i="1"/>
  <c r="AR507" i="1"/>
  <c r="CV497" i="1"/>
  <c r="DH528" i="1"/>
  <c r="N490" i="1"/>
  <c r="BR480" i="1"/>
  <c r="Z469" i="1"/>
  <c r="BV457" i="1"/>
  <c r="R447" i="1"/>
  <c r="BV437" i="1"/>
  <c r="V428" i="1"/>
  <c r="BG507" i="1"/>
  <c r="DI484" i="1"/>
  <c r="BE474" i="1"/>
  <c r="DA462" i="1"/>
  <c r="BI451" i="1"/>
  <c r="I442" i="1"/>
  <c r="BM432" i="1"/>
  <c r="CP487" i="1"/>
  <c r="AP478" i="1"/>
  <c r="CX465" i="1"/>
  <c r="BF454" i="1"/>
  <c r="F445" i="1"/>
  <c r="BJ435" i="1"/>
  <c r="J426" i="1"/>
  <c r="K499" i="1"/>
  <c r="CW482" i="1"/>
  <c r="AS472" i="1"/>
  <c r="DA459" i="1"/>
  <c r="AW449" i="1"/>
  <c r="DA439" i="1"/>
  <c r="CF541" i="1"/>
  <c r="CB520" i="1"/>
  <c r="J487" i="1"/>
  <c r="BN477" i="1"/>
  <c r="DF464" i="1"/>
  <c r="BN453" i="1"/>
  <c r="N444" i="1"/>
  <c r="BR434" i="1"/>
  <c r="R425" i="1"/>
  <c r="AQ495" i="1"/>
  <c r="DE481" i="1"/>
  <c r="BM470" i="1"/>
  <c r="DI458" i="1"/>
  <c r="BE448" i="1"/>
  <c r="DI438" i="1"/>
  <c r="CZ526" i="1"/>
  <c r="CE512" i="1"/>
  <c r="AH486" i="1"/>
  <c r="CH475" i="1"/>
  <c r="AP464" i="1"/>
  <c r="AJ511" i="1"/>
  <c r="AV546" i="1"/>
  <c r="CS505" i="1"/>
  <c r="Q493" i="1"/>
  <c r="AB530" i="1"/>
  <c r="DH511" i="1"/>
  <c r="BH502" i="1"/>
  <c r="H493" i="1"/>
  <c r="CR550" i="1"/>
  <c r="Y516" i="1"/>
  <c r="CC506" i="1"/>
  <c r="AC497" i="1"/>
  <c r="BX546" i="1"/>
  <c r="P516" i="1"/>
  <c r="BT506" i="1"/>
  <c r="T497" i="1"/>
  <c r="AA518" i="1"/>
  <c r="AP489" i="1"/>
  <c r="CT479" i="1"/>
  <c r="BB468" i="1"/>
  <c r="CT455" i="1"/>
  <c r="AT446" i="1"/>
  <c r="CX436" i="1"/>
  <c r="AX427" i="1"/>
  <c r="BK504" i="1"/>
  <c r="AG484" i="1"/>
  <c r="CG473" i="1"/>
  <c r="Y462" i="1"/>
  <c r="CK450" i="1"/>
  <c r="AK441" i="1"/>
  <c r="L523" i="1"/>
  <c r="N487" i="1"/>
  <c r="BR477" i="1"/>
  <c r="V465" i="1"/>
  <c r="CH453" i="1"/>
  <c r="AH444" i="1"/>
  <c r="CL434" i="1"/>
  <c r="AL425" i="1"/>
  <c r="O496" i="1"/>
  <c r="U482" i="1"/>
  <c r="BQ470" i="1"/>
  <c r="Y459" i="1"/>
  <c r="BY448" i="1"/>
  <c r="Y439" i="1"/>
  <c r="CV529" i="1"/>
  <c r="W513" i="1"/>
  <c r="AL486" i="1"/>
  <c r="CL475" i="1"/>
  <c r="AD464" i="1"/>
  <c r="CP452" i="1"/>
  <c r="AP443" i="1"/>
  <c r="CT433" i="1"/>
  <c r="AT424" i="1"/>
  <c r="AU492" i="1"/>
  <c r="AC481" i="1"/>
  <c r="CO469" i="1"/>
  <c r="AG458" i="1"/>
  <c r="CG447" i="1"/>
  <c r="AG438" i="1"/>
  <c r="CA517" i="1"/>
  <c r="BS509" i="1"/>
  <c r="BJ485" i="1"/>
  <c r="F475" i="1"/>
  <c r="BR463" i="1"/>
  <c r="H544" i="1"/>
  <c r="CR511" i="1"/>
  <c r="I516" i="1"/>
  <c r="DD515" i="1"/>
  <c r="Z489" i="1"/>
  <c r="AD446" i="1"/>
  <c r="Q484" i="1"/>
  <c r="U441" i="1"/>
  <c r="F465" i="1"/>
  <c r="V425" i="1"/>
  <c r="I459" i="1"/>
  <c r="S512" i="1"/>
  <c r="BZ452" i="1"/>
  <c r="DF428" i="1"/>
  <c r="CO485" i="1"/>
  <c r="CW463" i="1"/>
  <c r="CS442" i="1"/>
  <c r="S498" i="1"/>
  <c r="BV480" i="1"/>
  <c r="BZ457" i="1"/>
  <c r="BN446" i="1"/>
  <c r="N437" i="1"/>
  <c r="BR427" i="1"/>
  <c r="CO486" i="1"/>
  <c r="BM443" i="1"/>
  <c r="BL488" i="1"/>
  <c r="L479" i="1"/>
  <c r="BH467" i="1"/>
  <c r="L455" i="1"/>
  <c r="BP445" i="1"/>
  <c r="P436" i="1"/>
  <c r="BT426" i="1"/>
  <c r="CA470" i="1"/>
  <c r="CU430" i="1"/>
  <c r="CS417" i="1"/>
  <c r="AS408" i="1"/>
  <c r="CW398" i="1"/>
  <c r="CS487" i="1"/>
  <c r="CK445" i="1"/>
  <c r="P489" i="1"/>
  <c r="BT479" i="1"/>
  <c r="L468" i="1"/>
  <c r="BT455" i="1"/>
  <c r="T446" i="1"/>
  <c r="BX436" i="1"/>
  <c r="X427" i="1"/>
  <c r="CA474" i="1"/>
  <c r="G432" i="1"/>
  <c r="AG418" i="1"/>
  <c r="CK408" i="1"/>
  <c r="AK399" i="1"/>
  <c r="DA485" i="1"/>
  <c r="BY442" i="1"/>
  <c r="AN488" i="1"/>
  <c r="CR478" i="1"/>
  <c r="AZ467" i="1"/>
  <c r="CR454" i="1"/>
  <c r="AR445" i="1"/>
  <c r="CV435" i="1"/>
  <c r="AV426" i="1"/>
  <c r="AU470" i="1"/>
  <c r="BV516" i="1"/>
  <c r="DF505" i="1"/>
  <c r="BF496" i="1"/>
  <c r="CV543" i="1"/>
  <c r="L529" i="1"/>
  <c r="CC511" i="1"/>
  <c r="AC502" i="1"/>
  <c r="CG492" i="1"/>
  <c r="CF528" i="1"/>
  <c r="BT511" i="1"/>
  <c r="T502" i="1"/>
  <c r="BX492" i="1"/>
  <c r="L541" i="1"/>
  <c r="AO514" i="1"/>
  <c r="CS504" i="1"/>
  <c r="AS495" i="1"/>
  <c r="AF539" i="1"/>
  <c r="CV495" i="1"/>
  <c r="CG514" i="1"/>
  <c r="BM497" i="1"/>
  <c r="DH547" i="1"/>
  <c r="AZ516" i="1"/>
  <c r="DD506" i="1"/>
  <c r="BD497" i="1"/>
  <c r="BD522" i="1"/>
  <c r="CR526" i="1"/>
  <c r="U511" i="1"/>
  <c r="BY501" i="1"/>
  <c r="Y492" i="1"/>
  <c r="BH526" i="1"/>
  <c r="L511" i="1"/>
  <c r="BP501" i="1"/>
  <c r="P492" i="1"/>
  <c r="CE504" i="1"/>
  <c r="AL484" i="1"/>
  <c r="CL473" i="1"/>
  <c r="AT462" i="1"/>
  <c r="CP450" i="1"/>
  <c r="AP441" i="1"/>
  <c r="CT431" i="1"/>
  <c r="BP533" i="1"/>
  <c r="CC488" i="1"/>
  <c r="AC479" i="1"/>
  <c r="BY467" i="1"/>
  <c r="AC455" i="1"/>
  <c r="CG445" i="1"/>
  <c r="AG436" i="1"/>
  <c r="CA495" i="1"/>
  <c r="J482" i="1"/>
  <c r="BV470" i="1"/>
  <c r="N459" i="1"/>
  <c r="CD448" i="1"/>
  <c r="AD439" i="1"/>
  <c r="CH429" i="1"/>
  <c r="CU513" i="1"/>
  <c r="BQ486" i="1"/>
  <c r="Q477" i="1"/>
  <c r="BY464" i="1"/>
  <c r="Q453" i="1"/>
  <c r="BU443" i="1"/>
  <c r="U434" i="1"/>
  <c r="AE501" i="1"/>
  <c r="BO492" i="1"/>
  <c r="AH481" i="1"/>
  <c r="CD469" i="1"/>
  <c r="AL458" i="1"/>
  <c r="CL447" i="1"/>
  <c r="AV502" i="1"/>
  <c r="AB525" i="1"/>
  <c r="AG501" i="1"/>
  <c r="CW490" i="1"/>
  <c r="AN521" i="1"/>
  <c r="CJ509" i="1"/>
  <c r="AJ500" i="1"/>
  <c r="CN490" i="1"/>
  <c r="DH538" i="1"/>
  <c r="DE513" i="1"/>
  <c r="BE504" i="1"/>
  <c r="DI494" i="1"/>
  <c r="CJ537" i="1"/>
  <c r="CV513" i="1"/>
  <c r="AV504" i="1"/>
  <c r="CZ494" i="1"/>
  <c r="AZ525" i="1"/>
  <c r="R487" i="1"/>
  <c r="BV477" i="1"/>
  <c r="Z465" i="1"/>
  <c r="BV453" i="1"/>
  <c r="V444" i="1"/>
  <c r="BZ434" i="1"/>
  <c r="Z425" i="1"/>
  <c r="BW495" i="1"/>
  <c r="I482" i="1"/>
  <c r="BE470" i="1"/>
  <c r="M459" i="1"/>
  <c r="BM448" i="1"/>
  <c r="M439" i="1"/>
  <c r="DC506" i="1"/>
  <c r="CT484" i="1"/>
  <c r="BF474" i="1"/>
  <c r="DB462" i="1"/>
  <c r="BJ451" i="1"/>
  <c r="J442" i="1"/>
  <c r="BN432" i="1"/>
  <c r="CR544" i="1"/>
  <c r="AW489" i="1"/>
  <c r="DA479" i="1"/>
  <c r="AS468" i="1"/>
  <c r="DA455" i="1"/>
  <c r="BA446" i="1"/>
  <c r="DE436" i="1"/>
  <c r="BG512" i="1"/>
  <c r="CQ503" i="1"/>
  <c r="N484" i="1"/>
  <c r="BN473" i="1"/>
  <c r="F462" i="1"/>
  <c r="BR450" i="1"/>
  <c r="R441" i="1"/>
  <c r="BV431" i="1"/>
  <c r="H530" i="1"/>
  <c r="BE488" i="1"/>
  <c r="DI478" i="1"/>
  <c r="BQ467" i="1"/>
  <c r="DI454" i="1"/>
  <c r="BI445" i="1"/>
  <c r="I436" i="1"/>
  <c r="CM508" i="1"/>
  <c r="CE500" i="1"/>
  <c r="AL483" i="1"/>
  <c r="CL472" i="1"/>
  <c r="AP460" i="1"/>
  <c r="H500" i="1"/>
  <c r="CV519" i="1"/>
  <c r="DA499" i="1"/>
  <c r="CL591" i="1"/>
  <c r="BH518" i="1"/>
  <c r="H509" i="1"/>
  <c r="BL499" i="1"/>
  <c r="CU572" i="1"/>
  <c r="T535" i="1"/>
  <c r="AC513" i="1"/>
  <c r="CG503" i="1"/>
  <c r="AG494" i="1"/>
  <c r="CN534" i="1"/>
  <c r="T513" i="1"/>
  <c r="BX503" i="1"/>
  <c r="X494" i="1"/>
  <c r="CI513" i="1"/>
  <c r="AT486" i="1"/>
  <c r="CT475" i="1"/>
  <c r="BB464" i="1"/>
  <c r="CX452" i="1"/>
  <c r="AX443" i="1"/>
  <c r="DB433" i="1"/>
  <c r="BB424" i="1"/>
  <c r="CA492" i="1"/>
  <c r="AK481" i="1"/>
  <c r="CG469" i="1"/>
  <c r="AO458" i="1"/>
  <c r="CO447" i="1"/>
  <c r="AO438" i="1"/>
  <c r="DG503" i="1"/>
  <c r="R484" i="1"/>
  <c r="CH473" i="1"/>
  <c r="Z462" i="1"/>
  <c r="CL450" i="1"/>
  <c r="AL441" i="1"/>
  <c r="CP431" i="1"/>
  <c r="DH532" i="1"/>
  <c r="BY488" i="1"/>
  <c r="Y479" i="1"/>
  <c r="BU467" i="1"/>
  <c r="Y455" i="1"/>
  <c r="CC445" i="1"/>
  <c r="AC436" i="1"/>
  <c r="BK509" i="1"/>
  <c r="CU500" i="1"/>
  <c r="AP483" i="1"/>
  <c r="CP472" i="1"/>
  <c r="AT460" i="1"/>
  <c r="CT449" i="1"/>
  <c r="AT440" i="1"/>
  <c r="CX430" i="1"/>
  <c r="BC518" i="1"/>
  <c r="CG487" i="1"/>
  <c r="AG478" i="1"/>
  <c r="CO465" i="1"/>
  <c r="AG454" i="1"/>
  <c r="CK444" i="1"/>
  <c r="AK435" i="1"/>
  <c r="CQ505" i="1"/>
  <c r="CI497" i="1"/>
  <c r="BN482" i="1"/>
  <c r="J472" i="1"/>
  <c r="BR459" i="1"/>
  <c r="BY500" i="1"/>
  <c r="DH499" i="1"/>
  <c r="Y504" i="1"/>
  <c r="P504" i="1"/>
  <c r="AP477" i="1"/>
  <c r="AT434" i="1"/>
  <c r="Y470" i="1"/>
  <c r="CI505" i="1"/>
  <c r="AD451" i="1"/>
  <c r="Q489" i="1"/>
  <c r="U446" i="1"/>
  <c r="CL483" i="1"/>
  <c r="F442" i="1"/>
  <c r="BB515" i="1"/>
  <c r="AT505" i="1"/>
  <c r="CX495" i="1"/>
  <c r="BH541" i="1"/>
  <c r="CB526" i="1"/>
  <c r="Q511" i="1"/>
  <c r="BU501" i="1"/>
  <c r="U492" i="1"/>
  <c r="AR526" i="1"/>
  <c r="H511" i="1"/>
  <c r="BL501" i="1"/>
  <c r="L492" i="1"/>
  <c r="CN537" i="1"/>
  <c r="CG513" i="1"/>
  <c r="AG504" i="1"/>
  <c r="CK494" i="1"/>
  <c r="CV536" i="1"/>
  <c r="CB494" i="1"/>
  <c r="BM513" i="1"/>
  <c r="DE496" i="1"/>
  <c r="BT545" i="1"/>
  <c r="CR515" i="1"/>
  <c r="AR506" i="1"/>
  <c r="CV496" i="1"/>
  <c r="W517" i="1"/>
  <c r="BD524" i="1"/>
  <c r="BM510" i="1"/>
  <c r="M501" i="1"/>
  <c r="BQ491" i="1"/>
  <c r="T524" i="1"/>
  <c r="BD510" i="1"/>
  <c r="DH500" i="1"/>
  <c r="BH491" i="1"/>
  <c r="AQ502" i="1"/>
  <c r="CD483" i="1"/>
  <c r="Z473" i="1"/>
  <c r="CH460" i="1"/>
  <c r="AD450" i="1"/>
  <c r="CH440" i="1"/>
  <c r="AH431" i="1"/>
  <c r="P524" i="1"/>
  <c r="Q488" i="1"/>
  <c r="BU478" i="1"/>
  <c r="M467" i="1"/>
  <c r="BU454" i="1"/>
  <c r="U445" i="1"/>
  <c r="BY435" i="1"/>
  <c r="AM493" i="1"/>
  <c r="BB481" i="1"/>
  <c r="J470" i="1"/>
  <c r="BF458" i="1"/>
  <c r="R448" i="1"/>
  <c r="BV438" i="1"/>
  <c r="V429" i="1"/>
  <c r="BG511" i="1"/>
  <c r="DI485" i="1"/>
  <c r="BE475" i="1"/>
  <c r="M464" i="1"/>
  <c r="BI452" i="1"/>
  <c r="I443" i="1"/>
  <c r="BM433" i="1"/>
  <c r="CU498" i="1"/>
  <c r="AA490" i="1"/>
  <c r="BZ480" i="1"/>
  <c r="R469" i="1"/>
  <c r="CD457" i="1"/>
  <c r="Z447" i="1"/>
  <c r="X500" i="1"/>
  <c r="BD520" i="1"/>
  <c r="M500" i="1"/>
  <c r="AK490" i="1"/>
  <c r="DD518" i="1"/>
  <c r="X509" i="1"/>
  <c r="CB499" i="1"/>
  <c r="AB490" i="1"/>
  <c r="CV535" i="1"/>
  <c r="AS513" i="1"/>
  <c r="CW503" i="1"/>
  <c r="AW494" i="1"/>
  <c r="AV535" i="1"/>
  <c r="AJ513" i="1"/>
  <c r="CN503" i="1"/>
  <c r="AN494" i="1"/>
  <c r="DC514" i="1"/>
  <c r="BJ486" i="1"/>
  <c r="J477" i="1"/>
  <c r="BR464" i="1"/>
  <c r="J453" i="1"/>
  <c r="BN443" i="1"/>
  <c r="N434" i="1"/>
  <c r="BR424" i="1"/>
  <c r="AI493" i="1"/>
  <c r="BA481" i="1"/>
  <c r="CW469" i="1"/>
  <c r="BE458" i="1"/>
  <c r="DE447" i="1"/>
  <c r="BE438" i="1"/>
  <c r="BO504" i="1"/>
  <c r="AH484" i="1"/>
  <c r="CX473" i="1"/>
  <c r="AP462" i="1"/>
  <c r="DB450" i="1"/>
  <c r="BB441" i="1"/>
  <c r="DF431" i="1"/>
  <c r="AR535" i="1"/>
  <c r="CO488" i="1"/>
  <c r="AO479" i="1"/>
  <c r="CK467" i="1"/>
  <c r="AO455" i="1"/>
  <c r="CS445" i="1"/>
  <c r="AS436" i="1"/>
  <c r="S510" i="1"/>
  <c r="BC501" i="1"/>
  <c r="BF483" i="1"/>
  <c r="DF472" i="1"/>
  <c r="BJ460" i="1"/>
  <c r="F450" i="1"/>
  <c r="BJ440" i="1"/>
  <c r="J431" i="1"/>
  <c r="BL520" i="1"/>
  <c r="CW487" i="1"/>
  <c r="AW478" i="1"/>
  <c r="DE465" i="1"/>
  <c r="AW454" i="1"/>
  <c r="DA444" i="1"/>
  <c r="BA435" i="1"/>
  <c r="AY506" i="1"/>
  <c r="AQ498" i="1"/>
  <c r="CD482" i="1"/>
  <c r="Z472" i="1"/>
  <c r="CH459" i="1"/>
  <c r="CR498" i="1"/>
  <c r="CC517" i="1"/>
  <c r="I499" i="1"/>
  <c r="BX560" i="1"/>
  <c r="CZ517" i="1"/>
  <c r="AZ508" i="1"/>
  <c r="DD498" i="1"/>
  <c r="X546" i="1"/>
  <c r="CJ532" i="1"/>
  <c r="BU512" i="1"/>
  <c r="U503" i="1"/>
  <c r="BY493" i="1"/>
  <c r="AZ532" i="1"/>
  <c r="BL512" i="1"/>
  <c r="L503" i="1"/>
  <c r="BP493" i="1"/>
  <c r="BW510" i="1"/>
  <c r="DA546" i="1"/>
  <c r="BA537" i="1"/>
  <c r="DE527" i="1"/>
  <c r="BW574" i="1"/>
  <c r="AT518" i="1"/>
  <c r="CX508" i="1"/>
  <c r="AX499" i="1"/>
  <c r="J519" i="1"/>
  <c r="CG546" i="1"/>
  <c r="AG537" i="1"/>
  <c r="CK527" i="1"/>
  <c r="P565" i="1"/>
  <c r="Z518" i="1"/>
  <c r="CD508" i="1"/>
  <c r="AD499" i="1"/>
  <c r="O567" i="1"/>
  <c r="CO545" i="1"/>
  <c r="AO536" i="1"/>
  <c r="CS526" i="1"/>
  <c r="AN551" i="1"/>
  <c r="AH517" i="1"/>
  <c r="CL507" i="1"/>
  <c r="AL498" i="1"/>
  <c r="X554" i="1"/>
  <c r="CO542" i="1"/>
  <c r="AO533" i="1"/>
  <c r="CS523" i="1"/>
  <c r="AN539" i="1"/>
  <c r="CK537" i="1"/>
  <c r="AK528" i="1"/>
  <c r="CO518" i="1"/>
  <c r="X519" i="1"/>
  <c r="AD509" i="1"/>
  <c r="CH499" i="1"/>
  <c r="AH490" i="1"/>
  <c r="AN544" i="1"/>
  <c r="DE514" i="1"/>
  <c r="BE505" i="1"/>
  <c r="DI495" i="1"/>
  <c r="CJ541" i="1"/>
  <c r="CV514" i="1"/>
  <c r="AV505" i="1"/>
  <c r="CZ495" i="1"/>
  <c r="BV490" i="1"/>
  <c r="BQ517" i="1"/>
  <c r="Q508" i="1"/>
  <c r="BU498" i="1"/>
  <c r="T554" i="1"/>
  <c r="BH517" i="1"/>
  <c r="H508" i="1"/>
  <c r="BL498" i="1"/>
  <c r="AT490" i="1"/>
  <c r="AW517" i="1"/>
  <c r="DA507" i="1"/>
  <c r="O520" i="1"/>
  <c r="BF548" i="1"/>
  <c r="F539" i="1"/>
  <c r="BJ529" i="1"/>
  <c r="J520" i="1"/>
  <c r="AQ548" i="1"/>
  <c r="CU538" i="1"/>
  <c r="AU529" i="1"/>
  <c r="CY519" i="1"/>
  <c r="AL548" i="1"/>
  <c r="CP538" i="1"/>
  <c r="AP529" i="1"/>
  <c r="CT519" i="1"/>
  <c r="BU550" i="1"/>
  <c r="U541" i="1"/>
  <c r="BY531" i="1"/>
  <c r="Y522" i="1"/>
  <c r="BX532" i="1"/>
  <c r="BR512" i="1"/>
  <c r="R503" i="1"/>
  <c r="BV493" i="1"/>
  <c r="BA550" i="1"/>
  <c r="DE540" i="1"/>
  <c r="BE531" i="1"/>
  <c r="DI521" i="1"/>
  <c r="CZ531" i="1"/>
  <c r="AX512" i="1"/>
  <c r="DB502" i="1"/>
  <c r="BB493" i="1"/>
  <c r="BI549" i="1"/>
  <c r="I540" i="1"/>
  <c r="BM530" i="1"/>
  <c r="M521" i="1"/>
  <c r="AB528" i="1"/>
  <c r="BF511" i="1"/>
  <c r="F502" i="1"/>
  <c r="BR518" i="1"/>
  <c r="BI546" i="1"/>
  <c r="I537" i="1"/>
  <c r="BM527" i="1"/>
  <c r="BL561" i="1"/>
  <c r="DF517" i="1"/>
  <c r="BF508" i="1"/>
  <c r="F499" i="1"/>
  <c r="CN560" i="1"/>
  <c r="BD540" i="1"/>
  <c r="AC514" i="1"/>
  <c r="CG504" i="1"/>
  <c r="AG495" i="1"/>
  <c r="CN538" i="1"/>
  <c r="T514" i="1"/>
  <c r="BX504" i="1"/>
  <c r="X495" i="1"/>
  <c r="BP562" i="1"/>
  <c r="CS516" i="1"/>
  <c r="AS507" i="1"/>
  <c r="CW497" i="1"/>
  <c r="AN549" i="1"/>
  <c r="CJ516" i="1"/>
  <c r="AJ507" i="1"/>
  <c r="O579" i="1"/>
  <c r="BN546" i="1"/>
  <c r="N537" i="1"/>
  <c r="BR527" i="1"/>
  <c r="AQ578" i="1"/>
  <c r="AY546" i="1"/>
  <c r="DC536" i="1"/>
  <c r="BC527" i="1"/>
  <c r="S576" i="1"/>
  <c r="AT546" i="1"/>
  <c r="CX536" i="1"/>
  <c r="AX527" i="1"/>
  <c r="AU575" i="1"/>
  <c r="CC548" i="1"/>
  <c r="AC539" i="1"/>
  <c r="CG529" i="1"/>
  <c r="AG520" i="1"/>
  <c r="DD524" i="1"/>
  <c r="BZ510" i="1"/>
  <c r="Z501" i="1"/>
  <c r="CD491" i="1"/>
  <c r="BI548" i="1"/>
  <c r="I539" i="1"/>
  <c r="BM529" i="1"/>
  <c r="M520" i="1"/>
  <c r="AB524" i="1"/>
  <c r="BF510" i="1"/>
  <c r="F501" i="1"/>
  <c r="CD520" i="1"/>
  <c r="BQ547" i="1"/>
  <c r="Q538" i="1"/>
  <c r="BU528" i="1"/>
  <c r="U519" i="1"/>
  <c r="BH520" i="1"/>
  <c r="BN509" i="1"/>
  <c r="N500" i="1"/>
  <c r="AJ561" i="1"/>
  <c r="BQ544" i="1"/>
  <c r="Q535" i="1"/>
  <c r="BU525" i="1"/>
  <c r="AZ546" i="1"/>
  <c r="J516" i="1"/>
  <c r="BJ509" i="1"/>
  <c r="J500" i="1"/>
  <c r="BN490" i="1"/>
  <c r="DD545" i="1"/>
  <c r="AG515" i="1"/>
  <c r="CK505" i="1"/>
  <c r="AK496" i="1"/>
  <c r="DD542" i="1"/>
  <c r="X515" i="1"/>
  <c r="CB505" i="1"/>
  <c r="AB496" i="1"/>
  <c r="J491" i="1"/>
  <c r="CW517" i="1"/>
  <c r="AW508" i="1"/>
  <c r="DA498" i="1"/>
  <c r="CV558" i="1"/>
  <c r="AR505" i="1"/>
  <c r="CF531" i="1"/>
  <c r="CW502" i="1"/>
  <c r="BU491" i="1"/>
  <c r="AJ524" i="1"/>
  <c r="BH510" i="1"/>
  <c r="H501" i="1"/>
  <c r="BL491" i="1"/>
  <c r="DH542" i="1"/>
  <c r="CC514" i="1"/>
  <c r="AC505" i="1"/>
  <c r="CG495" i="1"/>
  <c r="CF540" i="1"/>
  <c r="BT514" i="1"/>
  <c r="T505" i="1"/>
  <c r="BX495" i="1"/>
  <c r="AI512" i="1"/>
  <c r="CT487" i="1"/>
  <c r="AT478" i="1"/>
  <c r="DB465" i="1"/>
  <c r="AT454" i="1"/>
  <c r="CX444" i="1"/>
  <c r="AX435" i="1"/>
  <c r="DB425" i="1"/>
  <c r="BS498" i="1"/>
  <c r="CK482" i="1"/>
  <c r="AG472" i="1"/>
  <c r="CO459" i="1"/>
  <c r="AK449" i="1"/>
  <c r="CO439" i="1"/>
  <c r="CY509" i="1"/>
  <c r="BR485" i="1"/>
  <c r="AD475" i="1"/>
  <c r="BZ463" i="1"/>
  <c r="AH452" i="1"/>
  <c r="CL442" i="1"/>
  <c r="AL433" i="1"/>
  <c r="CP423" i="1"/>
  <c r="W490" i="1"/>
  <c r="BY480" i="1"/>
  <c r="Q469" i="1"/>
  <c r="CC457" i="1"/>
  <c r="Y447" i="1"/>
  <c r="CC437" i="1"/>
  <c r="BC515" i="1"/>
  <c r="CM506" i="1"/>
  <c r="CP484" i="1"/>
  <c r="AL474" i="1"/>
  <c r="CH462" i="1"/>
  <c r="AP451" i="1"/>
  <c r="BT516" i="1"/>
  <c r="DF490" i="1"/>
  <c r="AS508" i="1"/>
  <c r="BA494" i="1"/>
  <c r="BL535" i="1"/>
  <c r="AN513" i="1"/>
  <c r="CR503" i="1"/>
  <c r="AR494" i="1"/>
  <c r="BJ490" i="1"/>
  <c r="BI517" i="1"/>
  <c r="I508" i="1"/>
  <c r="BM498" i="1"/>
  <c r="DD552" i="1"/>
  <c r="AZ517" i="1"/>
  <c r="DD507" i="1"/>
  <c r="BD498" i="1"/>
  <c r="BD538" i="1"/>
  <c r="AI492" i="1"/>
  <c r="Z481" i="1"/>
  <c r="CL469" i="1"/>
  <c r="AD458" i="1"/>
  <c r="CD447" i="1"/>
  <c r="AD438" i="1"/>
  <c r="CH428" i="1"/>
  <c r="CU509" i="1"/>
  <c r="BQ485" i="1"/>
  <c r="M475" i="1"/>
  <c r="BI463" i="1"/>
  <c r="Q452" i="1"/>
  <c r="BU442" i="1"/>
  <c r="U433" i="1"/>
  <c r="AX488" i="1"/>
  <c r="DB478" i="1"/>
  <c r="BJ467" i="1"/>
  <c r="N455" i="1"/>
  <c r="BR445" i="1"/>
  <c r="R436" i="1"/>
  <c r="BV426" i="1"/>
  <c r="AY501" i="1"/>
  <c r="BE483" i="1"/>
  <c r="DE472" i="1"/>
  <c r="BI460" i="1"/>
  <c r="DI449" i="1"/>
  <c r="BI440" i="1"/>
  <c r="AB551" i="1"/>
  <c r="AF490" i="1"/>
  <c r="BV487" i="1"/>
  <c r="V478" i="1"/>
  <c r="BN465" i="1"/>
  <c r="V454" i="1"/>
  <c r="BZ444" i="1"/>
  <c r="Z435" i="1"/>
  <c r="CD425" i="1"/>
  <c r="CE497" i="1"/>
  <c r="BM482" i="1"/>
  <c r="I472" i="1"/>
  <c r="BQ459" i="1"/>
  <c r="M449" i="1"/>
  <c r="BQ439" i="1"/>
  <c r="AV536" i="1"/>
  <c r="BC517" i="1"/>
  <c r="CT486" i="1"/>
  <c r="AT477" i="1"/>
  <c r="DB464" i="1"/>
  <c r="BX513" i="1"/>
  <c r="BD555" i="1"/>
  <c r="I507" i="1"/>
  <c r="CC493" i="1"/>
  <c r="BP532" i="1"/>
  <c r="BP512" i="1"/>
  <c r="P503" i="1"/>
  <c r="BT493" i="1"/>
  <c r="AV561" i="1"/>
  <c r="CK516" i="1"/>
  <c r="AK507" i="1"/>
  <c r="CO497" i="1"/>
  <c r="H549" i="1"/>
  <c r="CB516" i="1"/>
  <c r="AB507" i="1"/>
  <c r="CF497" i="1"/>
  <c r="BT526" i="1"/>
  <c r="DB489" i="1"/>
  <c r="BB480" i="1"/>
  <c r="J469" i="1"/>
  <c r="BF457" i="1"/>
  <c r="DF446" i="1"/>
  <c r="BF437" i="1"/>
  <c r="F428" i="1"/>
  <c r="CY506" i="1"/>
  <c r="CS484" i="1"/>
  <c r="AO474" i="1"/>
  <c r="CK462" i="1"/>
  <c r="AS451" i="1"/>
  <c r="CW441" i="1"/>
  <c r="AV490" i="1"/>
  <c r="BZ487" i="1"/>
  <c r="Z478" i="1"/>
  <c r="CH465" i="1"/>
  <c r="AP454" i="1"/>
  <c r="CT444" i="1"/>
  <c r="AT435" i="1"/>
  <c r="CX425" i="1"/>
  <c r="BC498" i="1"/>
  <c r="CG482" i="1"/>
  <c r="AC472" i="1"/>
  <c r="CK459" i="1"/>
  <c r="AG449" i="1"/>
  <c r="CK439" i="1"/>
  <c r="AR539" i="1"/>
  <c r="CY517" i="1"/>
  <c r="CX486" i="1"/>
  <c r="AX477" i="1"/>
  <c r="CP464" i="1"/>
  <c r="AX453" i="1"/>
  <c r="DB443" i="1"/>
  <c r="BB434" i="1"/>
  <c r="DF424" i="1"/>
  <c r="CI494" i="1"/>
  <c r="CO481" i="1"/>
  <c r="AW470" i="1"/>
  <c r="CS458" i="1"/>
  <c r="AO448" i="1"/>
  <c r="CS438" i="1"/>
  <c r="BL524" i="1"/>
  <c r="DG511" i="1"/>
  <c r="R486" i="1"/>
  <c r="BR475" i="1"/>
  <c r="Z464" i="1"/>
  <c r="AJ491" i="1"/>
  <c r="AB514" i="1"/>
  <c r="AW518" i="1"/>
  <c r="AN518" i="1"/>
  <c r="CQ495" i="1"/>
  <c r="BR448" i="1"/>
  <c r="BE486" i="1"/>
  <c r="BI443" i="1"/>
  <c r="AX468" i="1"/>
  <c r="BJ427" i="1"/>
  <c r="BA462" i="1"/>
  <c r="AQ492" i="1"/>
  <c r="J455" i="1"/>
  <c r="V430" i="1"/>
  <c r="DI486" i="1"/>
  <c r="M465" i="1"/>
  <c r="I444" i="1"/>
  <c r="CU502" i="1"/>
  <c r="CP481" i="1"/>
  <c r="CT458" i="1"/>
  <c r="V447" i="1"/>
  <c r="BZ437" i="1"/>
  <c r="Z428" i="1"/>
  <c r="Y489" i="1"/>
  <c r="DA445" i="1"/>
  <c r="T489" i="1"/>
  <c r="BX479" i="1"/>
  <c r="P468" i="1"/>
  <c r="BX455" i="1"/>
  <c r="X446" i="1"/>
  <c r="CB436" i="1"/>
  <c r="AB427" i="1"/>
  <c r="AE474" i="1"/>
  <c r="CI432" i="1"/>
  <c r="BA418" i="1"/>
  <c r="DE408" i="1"/>
  <c r="BE399" i="1"/>
  <c r="BC490" i="1"/>
  <c r="U448" i="1"/>
  <c r="CB489" i="1"/>
  <c r="AB480" i="1"/>
  <c r="BX468" i="1"/>
  <c r="AF457" i="1"/>
  <c r="CF446" i="1"/>
  <c r="AF437" i="1"/>
  <c r="CJ427" i="1"/>
  <c r="BW477" i="1"/>
  <c r="AU434" i="1"/>
  <c r="CS418" i="1"/>
  <c r="AS409" i="1"/>
  <c r="CW399" i="1"/>
  <c r="AK488" i="1"/>
  <c r="I445" i="1"/>
  <c r="CZ488" i="1"/>
  <c r="AZ479" i="1"/>
  <c r="H468" i="1"/>
  <c r="AZ455" i="1"/>
  <c r="DD445" i="1"/>
  <c r="BD436" i="1"/>
  <c r="DH426" i="1"/>
  <c r="AQ473" i="1"/>
  <c r="CP517" i="1"/>
  <c r="BN506" i="1"/>
  <c r="N497" i="1"/>
  <c r="AF546" i="1"/>
  <c r="AZ531" i="1"/>
  <c r="AK512" i="1"/>
  <c r="CO502" i="1"/>
  <c r="AO493" i="1"/>
  <c r="P531" i="1"/>
  <c r="AB512" i="1"/>
  <c r="CF502" i="1"/>
  <c r="AF493" i="1"/>
  <c r="X544" i="1"/>
  <c r="DA514" i="1"/>
  <c r="BA505" i="1"/>
  <c r="DE495" i="1"/>
  <c r="BT541" i="1"/>
  <c r="L497" i="1"/>
  <c r="DA515" i="1"/>
  <c r="U498" i="1"/>
  <c r="AR550" i="1"/>
  <c r="H517" i="1"/>
  <c r="BL507" i="1"/>
  <c r="L498" i="1"/>
  <c r="DD531" i="1"/>
  <c r="AB529" i="1"/>
  <c r="CG511" i="1"/>
  <c r="AG502" i="1"/>
  <c r="CK492" i="1"/>
  <c r="CV528" i="1"/>
  <c r="BX511" i="1"/>
  <c r="X502" i="1"/>
  <c r="CB492" i="1"/>
  <c r="O507" i="1"/>
  <c r="CX484" i="1"/>
  <c r="AT474" i="1"/>
  <c r="DF462" i="1"/>
  <c r="AX451" i="1"/>
  <c r="DB441" i="1"/>
  <c r="BB432" i="1"/>
  <c r="L543" i="1"/>
  <c r="AK489" i="1"/>
  <c r="CO479" i="1"/>
  <c r="AG468" i="1"/>
  <c r="CO455" i="1"/>
  <c r="AO446" i="1"/>
  <c r="CS436" i="1"/>
  <c r="K498" i="1"/>
  <c r="BV482" i="1"/>
  <c r="AH472" i="1"/>
  <c r="BZ459" i="1"/>
  <c r="AL449" i="1"/>
  <c r="CP439" i="1"/>
  <c r="AP430" i="1"/>
  <c r="AE516" i="1"/>
  <c r="Y487" i="1"/>
  <c r="CC477" i="1"/>
  <c r="AG465" i="1"/>
  <c r="CC453" i="1"/>
  <c r="AC444" i="1"/>
  <c r="CG434" i="1"/>
  <c r="BS503" i="1"/>
  <c r="DC494" i="1"/>
  <c r="CT481" i="1"/>
  <c r="AL470" i="1"/>
  <c r="CX458" i="1"/>
  <c r="AT448" i="1"/>
  <c r="CJ504" i="1"/>
  <c r="DD529" i="1"/>
  <c r="BA502" i="1"/>
  <c r="BE491" i="1"/>
  <c r="CB523" i="1"/>
  <c r="AR510" i="1"/>
  <c r="CV500" i="1"/>
  <c r="AV491" i="1"/>
  <c r="AF542" i="1"/>
  <c r="BM514" i="1"/>
  <c r="M505" i="1"/>
  <c r="BQ495" i="1"/>
  <c r="T540" i="1"/>
  <c r="BD514" i="1"/>
  <c r="DH504" i="1"/>
  <c r="BH495" i="1"/>
  <c r="BL490" i="1"/>
  <c r="CD487" i="1"/>
  <c r="AD478" i="1"/>
  <c r="CL465" i="1"/>
  <c r="AD454" i="1"/>
  <c r="CH444" i="1"/>
  <c r="AH435" i="1"/>
  <c r="CL425" i="1"/>
  <c r="G498" i="1"/>
  <c r="BU482" i="1"/>
  <c r="Q472" i="1"/>
  <c r="BY459" i="1"/>
  <c r="U449" i="1"/>
  <c r="BY439" i="1"/>
  <c r="AM509" i="1"/>
  <c r="BB485" i="1"/>
  <c r="N475" i="1"/>
  <c r="BJ463" i="1"/>
  <c r="R452" i="1"/>
  <c r="BV442" i="1"/>
  <c r="V433" i="1"/>
  <c r="AJ562" i="1"/>
  <c r="DI489" i="1"/>
  <c r="BI480" i="1"/>
  <c r="DE468" i="1"/>
  <c r="BM457" i="1"/>
  <c r="I447" i="1"/>
  <c r="BM437" i="1"/>
  <c r="CU514" i="1"/>
  <c r="AA506" i="1"/>
  <c r="BZ484" i="1"/>
  <c r="V474" i="1"/>
  <c r="BR462" i="1"/>
  <c r="Z451" i="1"/>
  <c r="CD441" i="1"/>
  <c r="AD432" i="1"/>
  <c r="BH539" i="1"/>
  <c r="M489" i="1"/>
  <c r="BQ479" i="1"/>
  <c r="Y468" i="1"/>
  <c r="BQ455" i="1"/>
  <c r="Q446" i="1"/>
  <c r="BU436" i="1"/>
  <c r="W511" i="1"/>
  <c r="O503" i="1"/>
  <c r="CX483" i="1"/>
  <c r="AT473" i="1"/>
  <c r="DB460" i="1"/>
  <c r="CN501" i="1"/>
  <c r="BT524" i="1"/>
  <c r="Q501" i="1"/>
  <c r="CG490" i="1"/>
  <c r="CF520" i="1"/>
  <c r="BT509" i="1"/>
  <c r="T500" i="1"/>
  <c r="BX490" i="1"/>
  <c r="AF538" i="1"/>
  <c r="CO513" i="1"/>
  <c r="AO504" i="1"/>
  <c r="CS494" i="1"/>
  <c r="X537" i="1"/>
  <c r="CF513" i="1"/>
  <c r="AF504" i="1"/>
  <c r="CJ494" i="1"/>
  <c r="BG518" i="1"/>
  <c r="DF486" i="1"/>
  <c r="BF477" i="1"/>
  <c r="J465" i="1"/>
  <c r="BF453" i="1"/>
  <c r="F444" i="1"/>
  <c r="BJ434" i="1"/>
  <c r="J425" i="1"/>
  <c r="K495" i="1"/>
  <c r="CW481" i="1"/>
  <c r="AO470" i="1"/>
  <c r="DA458" i="1"/>
  <c r="AW448" i="1"/>
  <c r="DA438" i="1"/>
  <c r="AQ506" i="1"/>
  <c r="CD484" i="1"/>
  <c r="AP474" i="1"/>
  <c r="CL462" i="1"/>
  <c r="AT451" i="1"/>
  <c r="CX441" i="1"/>
  <c r="AX432" i="1"/>
  <c r="BD542" i="1"/>
  <c r="AG489" i="1"/>
  <c r="CK479" i="1"/>
  <c r="AC468" i="1"/>
  <c r="CK455" i="1"/>
  <c r="AK446" i="1"/>
  <c r="CO436" i="1"/>
  <c r="CY511" i="1"/>
  <c r="AE503" i="1"/>
  <c r="DB483" i="1"/>
  <c r="AX473" i="1"/>
  <c r="DF460" i="1"/>
  <c r="BB450" i="1"/>
  <c r="DF440" i="1"/>
  <c r="BF431" i="1"/>
  <c r="BX527" i="1"/>
  <c r="AO488" i="1"/>
  <c r="CS478" i="1"/>
  <c r="BA467" i="1"/>
  <c r="CS454" i="1"/>
  <c r="AS445" i="1"/>
  <c r="CW435" i="1"/>
  <c r="AA508" i="1"/>
  <c r="S500" i="1"/>
  <c r="V483" i="1"/>
  <c r="BV472" i="1"/>
  <c r="Z460" i="1"/>
  <c r="AW505" i="1"/>
  <c r="AR502" i="1"/>
  <c r="BM506" i="1"/>
  <c r="BD506" i="1"/>
  <c r="CD479" i="1"/>
  <c r="CH436" i="1"/>
  <c r="BQ473" i="1"/>
  <c r="K518" i="1"/>
  <c r="BR453" i="1"/>
  <c r="BG495" i="1"/>
  <c r="BI448" i="1"/>
  <c r="V486" i="1"/>
  <c r="Z443" i="1"/>
  <c r="AD424" i="1"/>
  <c r="M481" i="1"/>
  <c r="Q458" i="1"/>
  <c r="Q438" i="1"/>
  <c r="G509" i="1"/>
  <c r="CT474" i="1"/>
  <c r="BZ453" i="1"/>
  <c r="Z444" i="1"/>
  <c r="CD434" i="1"/>
  <c r="AD425" i="1"/>
  <c r="AO477" i="1"/>
  <c r="M434" i="1"/>
  <c r="X486" i="1"/>
  <c r="BX475" i="1"/>
  <c r="P464" i="1"/>
  <c r="CB452" i="1"/>
  <c r="AB443" i="1"/>
  <c r="CF433" i="1"/>
  <c r="AF424" i="1"/>
  <c r="AY459" i="1"/>
  <c r="S426" i="1"/>
  <c r="BE415" i="1"/>
  <c r="DI405" i="1"/>
  <c r="BI396" i="1"/>
  <c r="AS478" i="1"/>
  <c r="AK436" i="1"/>
  <c r="CF486" i="1"/>
  <c r="AF477" i="1"/>
  <c r="CN464" i="1"/>
  <c r="AF453" i="1"/>
  <c r="CJ443" i="1"/>
  <c r="AJ434" i="1"/>
  <c r="CN424" i="1"/>
  <c r="CQ462" i="1"/>
  <c r="DC426" i="1"/>
  <c r="CW415" i="1"/>
  <c r="AW406" i="1"/>
  <c r="DA396" i="1"/>
  <c r="CS475" i="1"/>
  <c r="Y433" i="1"/>
  <c r="DD485" i="1"/>
  <c r="AZ475" i="1"/>
  <c r="H464" i="1"/>
  <c r="BD452" i="1"/>
  <c r="DH442" i="1"/>
  <c r="BH433" i="1"/>
  <c r="H424" i="1"/>
  <c r="S459" i="1"/>
  <c r="N513" i="1"/>
  <c r="BR503" i="1"/>
  <c r="R494" i="1"/>
  <c r="AX493" i="1"/>
  <c r="BP519" i="1"/>
  <c r="AO509" i="1"/>
  <c r="CS499" i="1"/>
  <c r="AS490" i="1"/>
  <c r="AF519" i="1"/>
  <c r="AF509" i="1"/>
  <c r="CJ499" i="1"/>
  <c r="AJ490" i="1"/>
  <c r="P530" i="1"/>
  <c r="DE511" i="1"/>
  <c r="BE502" i="1"/>
  <c r="DI492" i="1"/>
  <c r="BX522" i="1"/>
  <c r="T491" i="1"/>
  <c r="DI509" i="1"/>
  <c r="Y495" i="1"/>
  <c r="BH538" i="1"/>
  <c r="L514" i="1"/>
  <c r="BP504" i="1"/>
  <c r="P495" i="1"/>
  <c r="BV491" i="1"/>
  <c r="AG518" i="1"/>
  <c r="CK508" i="1"/>
  <c r="AK499" i="1"/>
  <c r="CN564" i="1"/>
  <c r="X518" i="1"/>
  <c r="CB508" i="1"/>
  <c r="AB499" i="1"/>
  <c r="AN550" i="1"/>
  <c r="AE495" i="1"/>
  <c r="DB481" i="1"/>
  <c r="BJ470" i="1"/>
  <c r="DF458" i="1"/>
  <c r="BB448" i="1"/>
  <c r="DF438" i="1"/>
  <c r="BF429" i="1"/>
  <c r="CQ512" i="1"/>
  <c r="AO486" i="1"/>
  <c r="CO475" i="1"/>
  <c r="AG464" i="1"/>
  <c r="CS452" i="1"/>
  <c r="AS443" i="1"/>
  <c r="CW433" i="1"/>
  <c r="V489" i="1"/>
  <c r="BZ479" i="1"/>
  <c r="AH468" i="1"/>
  <c r="CP455" i="1"/>
  <c r="AP446" i="1"/>
  <c r="CT436" i="1"/>
  <c r="AT427" i="1"/>
  <c r="AU504" i="1"/>
  <c r="AC484" i="1"/>
  <c r="CC473" i="1"/>
  <c r="AK462" i="1"/>
  <c r="CG450" i="1"/>
  <c r="AG441" i="1"/>
  <c r="CK431" i="1"/>
  <c r="CI491" i="1"/>
  <c r="AT488" i="1"/>
  <c r="CX478" i="1"/>
  <c r="AP467" i="1"/>
  <c r="CX454" i="1"/>
  <c r="AX445" i="1"/>
  <c r="BT496" i="1"/>
  <c r="BE515" i="1"/>
  <c r="DI497" i="1"/>
  <c r="CJ549" i="1"/>
  <c r="CV516" i="1"/>
  <c r="AV507" i="1"/>
  <c r="CZ497" i="1"/>
  <c r="BP529" i="1"/>
  <c r="BT528" i="1"/>
  <c r="BQ511" i="1"/>
  <c r="Q502" i="1"/>
  <c r="BU492" i="1"/>
  <c r="AJ528" i="1"/>
  <c r="BH511" i="1"/>
  <c r="H502" i="1"/>
  <c r="BL492" i="1"/>
  <c r="BG506" i="1"/>
  <c r="CH484" i="1"/>
  <c r="AD474" i="1"/>
  <c r="CP462" i="1"/>
  <c r="AH451" i="1"/>
  <c r="CL441" i="1"/>
  <c r="AL432" i="1"/>
  <c r="CB540" i="1"/>
  <c r="U489" i="1"/>
  <c r="BY479" i="1"/>
  <c r="Q468" i="1"/>
  <c r="BY455" i="1"/>
  <c r="Y446" i="1"/>
  <c r="CC436" i="1"/>
  <c r="BC497" i="1"/>
  <c r="BF482" i="1"/>
  <c r="R472" i="1"/>
  <c r="BJ459" i="1"/>
  <c r="V449" i="1"/>
  <c r="BZ439" i="1"/>
  <c r="Z430" i="1"/>
  <c r="BW515" i="1"/>
  <c r="I487" i="1"/>
  <c r="BM477" i="1"/>
  <c r="Q465" i="1"/>
  <c r="BM453" i="1"/>
  <c r="M444" i="1"/>
  <c r="BQ434" i="1"/>
  <c r="G503" i="1"/>
  <c r="AQ494" i="1"/>
  <c r="CD481" i="1"/>
  <c r="V470" i="1"/>
  <c r="CH458" i="1"/>
  <c r="AD448" i="1"/>
  <c r="CH438" i="1"/>
  <c r="AH429" i="1"/>
  <c r="DC511" i="1"/>
  <c r="Q486" i="1"/>
  <c r="BQ475" i="1"/>
  <c r="Y464" i="1"/>
  <c r="BU452" i="1"/>
  <c r="U443" i="1"/>
  <c r="BY433" i="1"/>
  <c r="AM499" i="1"/>
  <c r="AE491" i="1"/>
  <c r="DB480" i="1"/>
  <c r="AT469" i="1"/>
  <c r="DF457" i="1"/>
  <c r="AJ495" i="1"/>
  <c r="U514" i="1"/>
  <c r="AG497" i="1"/>
  <c r="CN546" i="1"/>
  <c r="T516" i="1"/>
  <c r="BX506" i="1"/>
  <c r="X497" i="1"/>
  <c r="AQ518" i="1"/>
  <c r="BX525" i="1"/>
  <c r="CS510" i="1"/>
  <c r="AS501" i="1"/>
  <c r="CW491" i="1"/>
  <c r="AN525" i="1"/>
  <c r="CJ510" i="1"/>
  <c r="AJ501" i="1"/>
  <c r="CN491" i="1"/>
  <c r="BK503" i="1"/>
  <c r="F484" i="1"/>
  <c r="BF473" i="1"/>
  <c r="N462" i="1"/>
  <c r="BJ450" i="1"/>
  <c r="J441" i="1"/>
  <c r="BN431" i="1"/>
  <c r="CR528" i="1"/>
  <c r="AW488" i="1"/>
  <c r="DA478" i="1"/>
  <c r="AS467" i="1"/>
  <c r="DA454" i="1"/>
  <c r="BA445" i="1"/>
  <c r="DE435" i="1"/>
  <c r="BG494" i="1"/>
  <c r="CH481" i="1"/>
  <c r="AP470" i="1"/>
  <c r="CL458" i="1"/>
  <c r="AX448" i="1"/>
  <c r="DB438" i="1"/>
  <c r="BB429" i="1"/>
  <c r="CA512" i="1"/>
  <c r="AK486" i="1"/>
  <c r="CK475" i="1"/>
  <c r="AS464" i="1"/>
  <c r="CO452" i="1"/>
  <c r="AO443" i="1"/>
  <c r="CS433" i="1"/>
  <c r="K500" i="1"/>
  <c r="AU491" i="1"/>
  <c r="DF480" i="1"/>
  <c r="AX469" i="1"/>
  <c r="F458" i="1"/>
  <c r="BF447" i="1"/>
  <c r="F438" i="1"/>
  <c r="BJ428" i="1"/>
  <c r="DG508" i="1"/>
  <c r="AS485" i="1"/>
  <c r="CS474" i="1"/>
  <c r="BA463" i="1"/>
  <c r="CW451" i="1"/>
  <c r="AW442" i="1"/>
  <c r="DA432" i="1"/>
  <c r="AQ496" i="1"/>
  <c r="BZ489" i="1"/>
  <c r="Z480" i="1"/>
  <c r="BV468" i="1"/>
  <c r="AD457" i="1"/>
  <c r="BQ490" i="1"/>
  <c r="BH490" i="1"/>
  <c r="CC494" i="1"/>
  <c r="BT494" i="1"/>
  <c r="CX464" i="1"/>
  <c r="CX424" i="1"/>
  <c r="CK458" i="1"/>
  <c r="BN484" i="1"/>
  <c r="CH441" i="1"/>
  <c r="BU479" i="1"/>
  <c r="BY436" i="1"/>
  <c r="AH473" i="1"/>
  <c r="AH437" i="1"/>
  <c r="BF512" i="1"/>
  <c r="F503" i="1"/>
  <c r="BJ493" i="1"/>
  <c r="BJ491" i="1"/>
  <c r="AC518" i="1"/>
  <c r="CG508" i="1"/>
  <c r="AG499" i="1"/>
  <c r="AB564" i="1"/>
  <c r="T518" i="1"/>
  <c r="BX508" i="1"/>
  <c r="X499" i="1"/>
  <c r="CF549" i="1"/>
  <c r="CF527" i="1"/>
  <c r="AS511" i="1"/>
  <c r="CW501" i="1"/>
  <c r="AW492" i="1"/>
  <c r="AB517" i="1"/>
  <c r="BZ491" i="1"/>
  <c r="CO508" i="1"/>
  <c r="BQ494" i="1"/>
  <c r="T536" i="1"/>
  <c r="BD513" i="1"/>
  <c r="DH503" i="1"/>
  <c r="BH494" i="1"/>
  <c r="CH490" i="1"/>
  <c r="BY517" i="1"/>
  <c r="Y508" i="1"/>
  <c r="CC498" i="1"/>
  <c r="AN555" i="1"/>
  <c r="BP517" i="1"/>
  <c r="P508" i="1"/>
  <c r="BT498" i="1"/>
  <c r="CR540" i="1"/>
  <c r="CU492" i="1"/>
  <c r="AP481" i="1"/>
  <c r="DB469" i="1"/>
  <c r="AT458" i="1"/>
  <c r="CT447" i="1"/>
  <c r="AT438" i="1"/>
  <c r="CX428" i="1"/>
  <c r="BC510" i="1"/>
  <c r="CG485" i="1"/>
  <c r="AC475" i="1"/>
  <c r="BY463" i="1"/>
  <c r="AG452" i="1"/>
  <c r="CK442" i="1"/>
  <c r="AK433" i="1"/>
  <c r="BN488" i="1"/>
  <c r="N479" i="1"/>
  <c r="BZ467" i="1"/>
  <c r="AD455" i="1"/>
  <c r="CH445" i="1"/>
  <c r="AH436" i="1"/>
  <c r="CL426" i="1"/>
  <c r="G502" i="1"/>
  <c r="BU483" i="1"/>
  <c r="Q473" i="1"/>
  <c r="BY460" i="1"/>
  <c r="U450" i="1"/>
  <c r="BY440" i="1"/>
  <c r="AN559" i="1"/>
  <c r="DD489" i="1"/>
  <c r="CL487" i="1"/>
  <c r="AL478" i="1"/>
  <c r="CD465" i="1"/>
  <c r="AL454" i="1"/>
  <c r="CP444" i="1"/>
  <c r="AZ495" i="1"/>
  <c r="AK514" i="1"/>
  <c r="AW497" i="1"/>
  <c r="AV547" i="1"/>
  <c r="AJ516" i="1"/>
  <c r="CN506" i="1"/>
  <c r="AN497" i="1"/>
  <c r="P520" i="1"/>
  <c r="AF526" i="1"/>
  <c r="DI510" i="1"/>
  <c r="BI501" i="1"/>
  <c r="I492" i="1"/>
  <c r="CZ525" i="1"/>
  <c r="CZ510" i="1"/>
  <c r="AZ501" i="1"/>
  <c r="DD491" i="1"/>
  <c r="S504" i="1"/>
  <c r="V484" i="1"/>
  <c r="BV473" i="1"/>
  <c r="AD462" i="1"/>
  <c r="BZ450" i="1"/>
  <c r="Z441" i="1"/>
  <c r="CD431" i="1"/>
  <c r="AB531" i="1"/>
  <c r="BM488" i="1"/>
  <c r="M479" i="1"/>
  <c r="BI467" i="1"/>
  <c r="M455" i="1"/>
  <c r="BQ445" i="1"/>
  <c r="Q436" i="1"/>
  <c r="O495" i="1"/>
  <c r="CX481" i="1"/>
  <c r="BF470" i="1"/>
  <c r="DB458" i="1"/>
  <c r="BN448" i="1"/>
  <c r="N439" i="1"/>
  <c r="BR429" i="1"/>
  <c r="AI513" i="1"/>
  <c r="BA486" i="1"/>
  <c r="DA475" i="1"/>
  <c r="BI464" i="1"/>
  <c r="DE452" i="1"/>
  <c r="BE443" i="1"/>
  <c r="DI433" i="1"/>
  <c r="BW500" i="1"/>
  <c r="DG491" i="1"/>
  <c r="R481" i="1"/>
  <c r="BN469" i="1"/>
  <c r="V458" i="1"/>
  <c r="BV447" i="1"/>
  <c r="V438" i="1"/>
  <c r="BZ428" i="1"/>
  <c r="BO509" i="1"/>
  <c r="BI485" i="1"/>
  <c r="DI474" i="1"/>
  <c r="BQ463" i="1"/>
  <c r="I452" i="1"/>
  <c r="BM442" i="1"/>
  <c r="M433" i="1"/>
  <c r="DC496" i="1"/>
  <c r="CP489" i="1"/>
  <c r="AP480" i="1"/>
  <c r="CL468" i="1"/>
  <c r="AT457" i="1"/>
  <c r="P494" i="1"/>
  <c r="DE512" i="1"/>
  <c r="BY496" i="1"/>
  <c r="AZ544" i="1"/>
  <c r="BL515" i="1"/>
  <c r="L506" i="1"/>
  <c r="BP496" i="1"/>
  <c r="DG515" i="1"/>
  <c r="AJ523" i="1"/>
  <c r="AG510" i="1"/>
  <c r="CK500" i="1"/>
  <c r="AK491" i="1"/>
  <c r="DD522" i="1"/>
  <c r="X510" i="1"/>
  <c r="CB500" i="1"/>
  <c r="AB491" i="1"/>
  <c r="W501" i="1"/>
  <c r="CA491" i="1"/>
  <c r="J481" i="1"/>
  <c r="BV469" i="1"/>
  <c r="N458" i="1"/>
  <c r="BN447" i="1"/>
  <c r="N438" i="1"/>
  <c r="BR428" i="1"/>
  <c r="AI509" i="1"/>
  <c r="BA485" i="1"/>
  <c r="DA474" i="1"/>
  <c r="AS463" i="1"/>
  <c r="DE451" i="1"/>
  <c r="BE442" i="1"/>
  <c r="DI432" i="1"/>
  <c r="AH488" i="1"/>
  <c r="CL478" i="1"/>
  <c r="AT467" i="1"/>
  <c r="DB454" i="1"/>
  <c r="BB445" i="1"/>
  <c r="DF435" i="1"/>
  <c r="BF426" i="1"/>
  <c r="CQ500" i="1"/>
  <c r="AO483" i="1"/>
  <c r="CO472" i="1"/>
  <c r="AS460" i="1"/>
  <c r="CS449" i="1"/>
  <c r="AS440" i="1"/>
  <c r="CR548" i="1"/>
  <c r="T549" i="1"/>
  <c r="BF487" i="1"/>
  <c r="F478" i="1"/>
  <c r="AX465" i="1"/>
  <c r="F454" i="1"/>
  <c r="BJ444" i="1"/>
  <c r="J435" i="1"/>
  <c r="BN425" i="1"/>
  <c r="S497" i="1"/>
  <c r="AW482" i="1"/>
  <c r="DI470" i="1"/>
  <c r="BA459" i="1"/>
  <c r="DA448" i="1"/>
  <c r="BA439" i="1"/>
  <c r="H534" i="1"/>
  <c r="AI516" i="1"/>
  <c r="CD486" i="1"/>
  <c r="AD477" i="1"/>
  <c r="CL464" i="1"/>
  <c r="H496" i="1"/>
  <c r="BP516" i="1"/>
  <c r="AZ527" i="1"/>
  <c r="P527" i="1"/>
  <c r="AM505" i="1"/>
  <c r="DF450" i="1"/>
  <c r="CS488" i="1"/>
  <c r="CW445" i="1"/>
  <c r="CL470" i="1"/>
  <c r="CX429" i="1"/>
  <c r="CO464" i="1"/>
  <c r="CQ501" i="1"/>
  <c r="BB458" i="1"/>
  <c r="AP431" i="1"/>
  <c r="Y488" i="1"/>
  <c r="AK467" i="1"/>
  <c r="AC445" i="1"/>
  <c r="BS507" i="1"/>
  <c r="F483" i="1"/>
  <c r="J460" i="1"/>
  <c r="CH447" i="1"/>
  <c r="AH438" i="1"/>
  <c r="CL428" i="1"/>
  <c r="CM495" i="1"/>
  <c r="AK448" i="1"/>
  <c r="CF489" i="1"/>
  <c r="AF480" i="1"/>
  <c r="CB468" i="1"/>
  <c r="AJ457" i="1"/>
  <c r="CJ446" i="1"/>
  <c r="AJ437" i="1"/>
  <c r="CN427" i="1"/>
  <c r="CM477" i="1"/>
  <c r="S435" i="1"/>
  <c r="I419" i="1"/>
  <c r="BM409" i="1"/>
  <c r="M400" i="1"/>
  <c r="DC499" i="1"/>
  <c r="BI450" i="1"/>
  <c r="BW492" i="1"/>
  <c r="CN480" i="1"/>
  <c r="AF469" i="1"/>
  <c r="CR457" i="1"/>
  <c r="AN447" i="1"/>
  <c r="CW455" i="1"/>
  <c r="N453" i="1"/>
  <c r="CK473" i="1"/>
  <c r="BH463" i="1"/>
  <c r="CB548" i="1"/>
  <c r="AW405" i="1"/>
  <c r="T486" i="1"/>
  <c r="X443" i="1"/>
  <c r="AB424" i="1"/>
  <c r="CI425" i="1"/>
  <c r="CO405" i="1"/>
  <c r="BE473" i="1"/>
  <c r="AR485" i="1"/>
  <c r="AZ463" i="1"/>
  <c r="AV442" i="1"/>
  <c r="BD534" i="1"/>
  <c r="AE429" i="1"/>
  <c r="I417" i="1"/>
  <c r="BM407" i="1"/>
  <c r="AN508" i="1"/>
  <c r="AF527" i="1"/>
  <c r="DH546" i="1"/>
  <c r="CB543" i="1"/>
  <c r="AE515" i="1"/>
  <c r="R455" i="1"/>
  <c r="BO501" i="1"/>
  <c r="I450" i="1"/>
  <c r="DF475" i="1"/>
  <c r="J434" i="1"/>
  <c r="CS469" i="1"/>
  <c r="AY518" i="1"/>
  <c r="BF463" i="1"/>
  <c r="BN433" i="1"/>
  <c r="AA491" i="1"/>
  <c r="BI469" i="1"/>
  <c r="BA447" i="1"/>
  <c r="BG516" i="1"/>
  <c r="AD485" i="1"/>
  <c r="AL463" i="1"/>
  <c r="CL448" i="1"/>
  <c r="AL439" i="1"/>
  <c r="CP429" i="1"/>
  <c r="AU512" i="1"/>
  <c r="BA452" i="1"/>
  <c r="BW496" i="1"/>
  <c r="AJ481" i="1"/>
  <c r="CF469" i="1"/>
  <c r="AN458" i="1"/>
  <c r="CN447" i="1"/>
  <c r="AN438" i="1"/>
  <c r="CR428" i="1"/>
  <c r="DC481" i="1"/>
  <c r="AI439" i="1"/>
  <c r="M420" i="1"/>
  <c r="BQ410" i="1"/>
  <c r="Q401" i="1"/>
  <c r="BU391" i="1"/>
  <c r="BY454" i="1"/>
  <c r="DC500" i="1"/>
  <c r="CR481" i="1"/>
  <c r="AJ470" i="1"/>
  <c r="CV458" i="1"/>
  <c r="AR448" i="1"/>
  <c r="CV438" i="1"/>
  <c r="AV429" i="1"/>
  <c r="W484" i="1"/>
  <c r="CY440" i="1"/>
  <c r="BE420" i="1"/>
  <c r="DI410" i="1"/>
  <c r="BI401" i="1"/>
  <c r="CQ508" i="1"/>
  <c r="BM451" i="1"/>
  <c r="CU494" i="1"/>
  <c r="L481" i="1"/>
  <c r="BX469" i="1"/>
  <c r="P458" i="1"/>
  <c r="BP447" i="1"/>
  <c r="P438" i="1"/>
  <c r="BT428" i="1"/>
  <c r="K481" i="1"/>
  <c r="AU438" i="1"/>
  <c r="CS419" i="1"/>
  <c r="AS410" i="1"/>
  <c r="CW400" i="1"/>
  <c r="BX493" i="1"/>
  <c r="AV515" i="1"/>
  <c r="CB522" i="1"/>
  <c r="AR522" i="1"/>
  <c r="BO500" i="1"/>
  <c r="CL449" i="1"/>
  <c r="BY487" i="1"/>
  <c r="CC444" i="1"/>
  <c r="BR469" i="1"/>
  <c r="CD428" i="1"/>
  <c r="BU463" i="1"/>
  <c r="O497" i="1"/>
  <c r="AH457" i="1"/>
  <c r="CH430" i="1"/>
  <c r="BQ487" i="1"/>
  <c r="BY465" i="1"/>
  <c r="BU444" i="1"/>
  <c r="AE505" i="1"/>
  <c r="AX482" i="1"/>
  <c r="BB459" i="1"/>
  <c r="BB447" i="1"/>
  <c r="DF437" i="1"/>
  <c r="BF428" i="1"/>
  <c r="K491" i="1"/>
  <c r="Q447" i="1"/>
  <c r="AZ489" i="1"/>
  <c r="DD479" i="1"/>
  <c r="AV468" i="1"/>
  <c r="DD455" i="1"/>
  <c r="BD446" i="1"/>
  <c r="DH436" i="1"/>
  <c r="BH427" i="1"/>
  <c r="AY475" i="1"/>
  <c r="DC433" i="1"/>
  <c r="CG418" i="1"/>
  <c r="AG409" i="1"/>
  <c r="CK399" i="1"/>
  <c r="AA495" i="1"/>
  <c r="AO449" i="1"/>
  <c r="AI490" i="1"/>
  <c r="BH480" i="1"/>
  <c r="DD468" i="1"/>
  <c r="BL457" i="1"/>
  <c r="H447" i="1"/>
  <c r="BL437" i="1"/>
  <c r="L428" i="1"/>
  <c r="CQ478" i="1"/>
  <c r="BO435" i="1"/>
  <c r="U419" i="1"/>
  <c r="BY409" i="1"/>
  <c r="Y400" i="1"/>
  <c r="BE489" i="1"/>
  <c r="AC446" i="1"/>
  <c r="AB489" i="1"/>
  <c r="CF479" i="1"/>
  <c r="AN468" i="1"/>
  <c r="CF455" i="1"/>
  <c r="AF446" i="1"/>
  <c r="CJ436" i="1"/>
  <c r="AJ427" i="1"/>
  <c r="BK474" i="1"/>
  <c r="K433" i="1"/>
  <c r="BI418" i="1"/>
  <c r="I409" i="1"/>
  <c r="DH531" i="1"/>
  <c r="AP457" i="1"/>
  <c r="AD435" i="1"/>
  <c r="V434" i="1"/>
  <c r="CN519" i="1"/>
  <c r="BR439" i="1"/>
  <c r="G499" i="1"/>
  <c r="P448" i="1"/>
  <c r="BC440" i="1"/>
  <c r="DA391" i="1"/>
  <c r="BP470" i="1"/>
  <c r="CB429" i="1"/>
  <c r="AK411" i="1"/>
  <c r="AE497" i="1"/>
  <c r="CV447" i="1"/>
  <c r="BO439" i="1"/>
  <c r="BU397" i="1"/>
  <c r="BY478" i="1"/>
  <c r="DI435" i="1"/>
  <c r="BX486" i="1"/>
  <c r="X477" i="1"/>
  <c r="CF464" i="1"/>
  <c r="AN453" i="1"/>
  <c r="CR443" i="1"/>
  <c r="AR434" i="1"/>
  <c r="CV424" i="1"/>
  <c r="S463" i="1"/>
  <c r="O427" i="1"/>
  <c r="DE415" i="1"/>
  <c r="BE406" i="1"/>
  <c r="Q474" i="1"/>
  <c r="CX467" i="1"/>
  <c r="CN531" i="1"/>
  <c r="CB472" i="1"/>
  <c r="CJ430" i="1"/>
  <c r="BI412" i="1"/>
  <c r="AQ516" i="1"/>
  <c r="AJ450" i="1"/>
  <c r="AR428" i="1"/>
  <c r="CI436" i="1"/>
  <c r="DE409" i="1"/>
  <c r="AE492" i="1"/>
  <c r="BH489" i="1"/>
  <c r="BT468" i="1"/>
  <c r="BL446" i="1"/>
  <c r="BP427" i="1"/>
  <c r="AE434" i="1"/>
  <c r="CO418" i="1"/>
  <c r="AO409" i="1"/>
  <c r="CS399" i="1"/>
  <c r="BC573" i="1"/>
  <c r="T558" i="1"/>
  <c r="Q494" i="1"/>
  <c r="H494" i="1"/>
  <c r="AL464" i="1"/>
  <c r="AL424" i="1"/>
  <c r="Y458" i="1"/>
  <c r="DF483" i="1"/>
  <c r="V441" i="1"/>
  <c r="I479" i="1"/>
  <c r="M436" i="1"/>
  <c r="BZ472" i="1"/>
  <c r="R437" i="1"/>
  <c r="AY505" i="1"/>
  <c r="DE473" i="1"/>
  <c r="DI450" i="1"/>
  <c r="I432" i="1"/>
  <c r="CL488" i="1"/>
  <c r="CH467" i="1"/>
  <c r="BN450" i="1"/>
  <c r="N441" i="1"/>
  <c r="BR431" i="1"/>
  <c r="AZ529" i="1"/>
  <c r="U460" i="1"/>
  <c r="CU510" i="1"/>
  <c r="L483" i="1"/>
  <c r="BL472" i="1"/>
  <c r="P460" i="1"/>
  <c r="BP449" i="1"/>
  <c r="P440" i="1"/>
  <c r="BT430" i="1"/>
  <c r="K489" i="1"/>
  <c r="AU446" i="1"/>
  <c r="CS421" i="1"/>
  <c r="AS412" i="1"/>
  <c r="CW402" i="1"/>
  <c r="AW393" i="1"/>
  <c r="BM463" i="1"/>
  <c r="W515" i="1"/>
  <c r="BT483" i="1"/>
  <c r="P473" i="1"/>
  <c r="BX460" i="1"/>
  <c r="T450" i="1"/>
  <c r="BX440" i="1"/>
  <c r="X431" i="1"/>
  <c r="CA494" i="1"/>
  <c r="G448" i="1"/>
  <c r="AG422" i="1"/>
  <c r="CK412" i="1"/>
  <c r="AK403" i="1"/>
  <c r="CO393" i="1"/>
  <c r="CS459" i="1"/>
  <c r="O509" i="1"/>
  <c r="CR482" i="1"/>
  <c r="AN472" i="1"/>
  <c r="CV459" i="1"/>
  <c r="AR449" i="1"/>
  <c r="CV439" i="1"/>
  <c r="AV430" i="1"/>
  <c r="W488" i="1"/>
  <c r="BG445" i="1"/>
  <c r="BU421" i="1"/>
  <c r="U412" i="1"/>
  <c r="BY402" i="1"/>
  <c r="AZ515" i="1"/>
  <c r="AR534" i="1"/>
  <c r="V490" i="1"/>
  <c r="CN550" i="1"/>
  <c r="CF533" i="1"/>
  <c r="DB457" i="1"/>
  <c r="CA508" i="1"/>
  <c r="CO451" i="1"/>
  <c r="BV478" i="1"/>
  <c r="CP435" i="1"/>
  <c r="BY472" i="1"/>
  <c r="BD546" i="1"/>
  <c r="AH465" i="1"/>
  <c r="AL434" i="1"/>
  <c r="W494" i="1"/>
  <c r="AG470" i="1"/>
  <c r="Y448" i="1"/>
  <c r="X522" i="1"/>
  <c r="DF485" i="1"/>
  <c r="J464" i="1"/>
  <c r="AD449" i="1"/>
  <c r="CH439" i="1"/>
  <c r="AH430" i="1"/>
  <c r="DC515" i="1"/>
  <c r="AC454" i="1"/>
  <c r="AA500" i="1"/>
  <c r="CF481" i="1"/>
  <c r="X470" i="1"/>
  <c r="CJ458" i="1"/>
  <c r="AF448" i="1"/>
  <c r="CJ438" i="1"/>
  <c r="AJ429" i="1"/>
  <c r="CE483" i="1"/>
  <c r="K441" i="1"/>
  <c r="BI420" i="1"/>
  <c r="I411" i="1"/>
  <c r="BM401" i="1"/>
  <c r="M392" i="1"/>
  <c r="I457" i="1"/>
  <c r="BG504" i="1"/>
  <c r="AJ482" i="1"/>
  <c r="CF470" i="1"/>
  <c r="AN459" i="1"/>
  <c r="CN448" i="1"/>
  <c r="AN439" i="1"/>
  <c r="CR429" i="1"/>
  <c r="DC485" i="1"/>
  <c r="CA442" i="1"/>
  <c r="DA420" i="1"/>
  <c r="BA411" i="1"/>
  <c r="DE401" i="1"/>
  <c r="BE392" i="1"/>
  <c r="AO453" i="1"/>
  <c r="AY498" i="1"/>
  <c r="BH481" i="1"/>
  <c r="P470" i="1"/>
  <c r="BL458" i="1"/>
  <c r="H448" i="1"/>
  <c r="BL438" i="1"/>
  <c r="L429" i="1"/>
  <c r="CQ482" i="1"/>
  <c r="W440" i="1"/>
  <c r="AK420" i="1"/>
  <c r="CO410" i="1"/>
  <c r="AF550" i="1"/>
  <c r="CL489" i="1"/>
  <c r="BR465" i="1"/>
  <c r="AH453" i="1"/>
  <c r="AK443" i="1"/>
  <c r="CD446" i="1"/>
  <c r="U444" i="1"/>
  <c r="AB455" i="1"/>
  <c r="BC472" i="1"/>
  <c r="I399" i="1"/>
  <c r="CJ479" i="1"/>
  <c r="CN436" i="1"/>
  <c r="AW418" i="1"/>
  <c r="AG443" i="1"/>
  <c r="DH454" i="1"/>
  <c r="DG470" i="1"/>
  <c r="BQ400" i="1"/>
  <c r="CK485" i="1"/>
  <c r="Q443" i="1"/>
  <c r="AZ488" i="1"/>
  <c r="DD478" i="1"/>
  <c r="BL467" i="1"/>
  <c r="P455" i="1"/>
  <c r="BT445" i="1"/>
  <c r="T436" i="1"/>
  <c r="BX426" i="1"/>
  <c r="G472" i="1"/>
  <c r="BW430" i="1"/>
  <c r="CG417" i="1"/>
  <c r="AG408" i="1"/>
  <c r="CK398" i="1"/>
  <c r="AK389" i="1"/>
  <c r="DI390" i="1"/>
  <c r="CW378" i="1"/>
  <c r="AW369" i="1"/>
  <c r="CQ459" i="1"/>
  <c r="I426" i="1"/>
  <c r="AZ415" i="1"/>
  <c r="DD405" i="1"/>
  <c r="BD396" i="1"/>
  <c r="DH386" i="1"/>
  <c r="BH377" i="1"/>
  <c r="BK514" i="1"/>
  <c r="DG452" i="1"/>
  <c r="BG423" i="1"/>
  <c r="G414" i="1"/>
  <c r="BK404" i="1"/>
  <c r="K395" i="1"/>
  <c r="Y387" i="1"/>
  <c r="I376" i="1"/>
  <c r="BO491" i="1"/>
  <c r="CQ447" i="1"/>
  <c r="AB422" i="1"/>
  <c r="CF412" i="1"/>
  <c r="AF403" i="1"/>
  <c r="CJ393" i="1"/>
  <c r="AJ384" i="1"/>
  <c r="CN374" i="1"/>
  <c r="AY485" i="1"/>
  <c r="BP500" i="1"/>
  <c r="DF434" i="1"/>
  <c r="CC489" i="1"/>
  <c r="AR551" i="1"/>
  <c r="K506" i="1"/>
  <c r="AH434" i="1"/>
  <c r="CF485" i="1"/>
  <c r="CJ442" i="1"/>
  <c r="AE425" i="1"/>
  <c r="DI475" i="1"/>
  <c r="AR464" i="1"/>
  <c r="AR424" i="1"/>
  <c r="DE405" i="1"/>
  <c r="BH485" i="1"/>
  <c r="BL442" i="1"/>
  <c r="CM424" i="1"/>
  <c r="CS395" i="1"/>
  <c r="U472" i="1"/>
  <c r="BM431" i="1"/>
  <c r="AN485" i="1"/>
  <c r="DD474" i="1"/>
  <c r="AV463" i="1"/>
  <c r="DH451" i="1"/>
  <c r="BH442" i="1"/>
  <c r="H433" i="1"/>
  <c r="BP541" i="1"/>
  <c r="AY455" i="1"/>
  <c r="AY424" i="1"/>
  <c r="BU414" i="1"/>
  <c r="U405" i="1"/>
  <c r="BY395" i="1"/>
  <c r="Y386" i="1"/>
  <c r="CS386" i="1"/>
  <c r="CK375" i="1"/>
  <c r="BC489" i="1"/>
  <c r="AA446" i="1"/>
  <c r="CN421" i="1"/>
  <c r="AN412" i="1"/>
  <c r="CR402" i="1"/>
  <c r="AR393" i="1"/>
  <c r="CV383" i="1"/>
  <c r="AV374" i="1"/>
  <c r="CM483" i="1"/>
  <c r="BK440" i="1"/>
  <c r="AU420" i="1"/>
  <c r="CY410" i="1"/>
  <c r="AY401" i="1"/>
  <c r="DC391" i="1"/>
  <c r="I383" i="1"/>
  <c r="AW446" i="1"/>
  <c r="AP448" i="1"/>
  <c r="BY450" i="1"/>
  <c r="CV457" i="1"/>
  <c r="W480" i="1"/>
  <c r="BY400" i="1"/>
  <c r="AV481" i="1"/>
  <c r="CN440" i="1"/>
  <c r="K497" i="1"/>
  <c r="AW422" i="1"/>
  <c r="BA403" i="1"/>
  <c r="BA460" i="1"/>
  <c r="DH482" i="1"/>
  <c r="H460" i="1"/>
  <c r="H440" i="1"/>
  <c r="CI488" i="1"/>
  <c r="CU426" i="1"/>
  <c r="CS415" i="1"/>
  <c r="AS406" i="1"/>
  <c r="CR494" i="1"/>
  <c r="DH515" i="1"/>
  <c r="L525" i="1"/>
  <c r="CF524" i="1"/>
  <c r="DC502" i="1"/>
  <c r="AT450" i="1"/>
  <c r="AG488" i="1"/>
  <c r="AK445" i="1"/>
  <c r="Z470" i="1"/>
  <c r="AL429" i="1"/>
  <c r="AC464" i="1"/>
  <c r="BC499" i="1"/>
  <c r="CT457" i="1"/>
  <c r="Z431" i="1"/>
  <c r="I488" i="1"/>
  <c r="U467" i="1"/>
  <c r="M445" i="1"/>
  <c r="G507" i="1"/>
  <c r="CT482" i="1"/>
  <c r="CX459" i="1"/>
  <c r="BR447" i="1"/>
  <c r="R438" i="1"/>
  <c r="BV428" i="1"/>
  <c r="AY493" i="1"/>
  <c r="CC447" i="1"/>
  <c r="BP489" i="1"/>
  <c r="P480" i="1"/>
  <c r="BL468" i="1"/>
  <c r="T457" i="1"/>
  <c r="BT446" i="1"/>
  <c r="T437" i="1"/>
  <c r="BX427" i="1"/>
  <c r="AA477" i="1"/>
  <c r="BK434" i="1"/>
  <c r="CW418" i="1"/>
  <c r="AW409" i="1"/>
  <c r="DA399" i="1"/>
  <c r="BO497" i="1"/>
  <c r="DA449" i="1"/>
  <c r="BC491" i="1"/>
  <c r="BX480" i="1"/>
  <c r="P469" i="1"/>
  <c r="CB457" i="1"/>
  <c r="X447" i="1"/>
  <c r="CB437" i="1"/>
  <c r="AB428" i="1"/>
  <c r="AY479" i="1"/>
  <c r="W436" i="1"/>
  <c r="AK419" i="1"/>
  <c r="CO409" i="1"/>
  <c r="AO400" i="1"/>
  <c r="M490" i="1"/>
  <c r="CO446" i="1"/>
  <c r="AR489" i="1"/>
  <c r="CV479" i="1"/>
  <c r="BD468" i="1"/>
  <c r="CV455" i="1"/>
  <c r="AV446" i="1"/>
  <c r="CZ436" i="1"/>
  <c r="AZ427" i="1"/>
  <c r="S475" i="1"/>
  <c r="BW433" i="1"/>
  <c r="BY418" i="1"/>
  <c r="Y409" i="1"/>
  <c r="CC399" i="1"/>
  <c r="AN532" i="1"/>
  <c r="BX510" i="1"/>
  <c r="CS514" i="1"/>
  <c r="CJ514" i="1"/>
  <c r="F488" i="1"/>
  <c r="J445" i="1"/>
  <c r="DA482" i="1"/>
  <c r="DE439" i="1"/>
  <c r="CP463" i="1"/>
  <c r="DF423" i="1"/>
  <c r="CS457" i="1"/>
  <c r="AU507" i="1"/>
  <c r="BF451" i="1"/>
  <c r="AT428" i="1"/>
  <c r="AC485" i="1"/>
  <c r="AK463" i="1"/>
  <c r="AG442" i="1"/>
  <c r="CI495" i="1"/>
  <c r="J480" i="1"/>
  <c r="N457" i="1"/>
  <c r="AH446" i="1"/>
  <c r="CL436" i="1"/>
  <c r="AL427" i="1"/>
  <c r="BU485" i="1"/>
  <c r="AS442" i="1"/>
  <c r="AF488" i="1"/>
  <c r="CJ478" i="1"/>
  <c r="AB467" i="1"/>
  <c r="CJ454" i="1"/>
  <c r="AJ445" i="1"/>
  <c r="CN435" i="1"/>
  <c r="AN426" i="1"/>
  <c r="BG469" i="1"/>
  <c r="AI430" i="1"/>
  <c r="BM417" i="1"/>
  <c r="M408" i="1"/>
  <c r="BQ398" i="1"/>
  <c r="BY486" i="1"/>
  <c r="BQ444" i="1"/>
  <c r="CN488" i="1"/>
  <c r="AN479" i="1"/>
  <c r="CJ467" i="1"/>
  <c r="AN455" i="1"/>
  <c r="CR445" i="1"/>
  <c r="AR436" i="1"/>
  <c r="CV426" i="1"/>
  <c r="BG473" i="1"/>
  <c r="O431" i="1"/>
  <c r="DE417" i="1"/>
  <c r="BE408" i="1"/>
  <c r="DI398" i="1"/>
  <c r="CG484" i="1"/>
  <c r="BE441" i="1"/>
  <c r="H488" i="1"/>
  <c r="BL478" i="1"/>
  <c r="T467" i="1"/>
  <c r="BL454" i="1"/>
  <c r="L445" i="1"/>
  <c r="BP435" i="1"/>
  <c r="P426" i="1"/>
  <c r="AA469" i="1"/>
  <c r="CQ429" i="1"/>
  <c r="AO417" i="1"/>
  <c r="CS407" i="1"/>
  <c r="DD502" i="1"/>
  <c r="AP437" i="1"/>
  <c r="CU497" i="1"/>
  <c r="BZ424" i="1"/>
  <c r="CM510" i="1"/>
  <c r="CT434" i="1"/>
  <c r="AN486" i="1"/>
  <c r="AR443" i="1"/>
  <c r="AY426" i="1"/>
  <c r="DE478" i="1"/>
  <c r="DD464" i="1"/>
  <c r="DD424" i="1"/>
  <c r="BM406" i="1"/>
  <c r="P486" i="1"/>
  <c r="T443" i="1"/>
  <c r="DG425" i="1"/>
  <c r="DI395" i="1"/>
  <c r="CG472" i="1"/>
  <c r="CS431" i="1"/>
  <c r="BD485" i="1"/>
  <c r="P475" i="1"/>
  <c r="BL463" i="1"/>
  <c r="T452" i="1"/>
  <c r="BX442" i="1"/>
  <c r="X433" i="1"/>
  <c r="L551" i="1"/>
  <c r="AA457" i="1"/>
  <c r="CE424" i="1"/>
  <c r="CK414" i="1"/>
  <c r="AK405" i="1"/>
  <c r="CO395" i="1"/>
  <c r="AO386" i="1"/>
  <c r="I387" i="1"/>
  <c r="DA375" i="1"/>
  <c r="K490" i="1"/>
  <c r="CM446" i="1"/>
  <c r="DD421" i="1"/>
  <c r="BD412" i="1"/>
  <c r="DH402" i="1"/>
  <c r="BH393" i="1"/>
  <c r="H384" i="1"/>
  <c r="BL374" i="1"/>
  <c r="AU484" i="1"/>
  <c r="S441" i="1"/>
  <c r="BK420" i="1"/>
  <c r="K411" i="1"/>
  <c r="BO401" i="1"/>
  <c r="O392" i="1"/>
  <c r="AG383" i="1"/>
  <c r="M373" i="1"/>
  <c r="BW478" i="1"/>
  <c r="DG435" i="1"/>
  <c r="AF419" i="1"/>
  <c r="CJ409" i="1"/>
  <c r="AJ400" i="1"/>
  <c r="CN390" i="1"/>
  <c r="AN381" i="1"/>
  <c r="CR371" i="1"/>
  <c r="DG472" i="1"/>
  <c r="AK495" i="1"/>
  <c r="AS459" i="1"/>
  <c r="AG437" i="1"/>
  <c r="BM474" i="1"/>
  <c r="AP468" i="1"/>
  <c r="X534" i="1"/>
  <c r="CR472" i="1"/>
  <c r="CZ430" i="1"/>
  <c r="BY412" i="1"/>
  <c r="BK517" i="1"/>
  <c r="AZ450" i="1"/>
  <c r="AA449" i="1"/>
  <c r="Q394" i="1"/>
  <c r="BT472" i="1"/>
  <c r="CB430" i="1"/>
  <c r="BA412" i="1"/>
  <c r="AK392" i="1"/>
  <c r="DA457" i="1"/>
  <c r="O505" i="1"/>
  <c r="AR482" i="1"/>
  <c r="DD470" i="1"/>
  <c r="AV459" i="1"/>
  <c r="H449" i="1"/>
  <c r="BL439" i="1"/>
  <c r="L430" i="1"/>
  <c r="CQ486" i="1"/>
  <c r="BO443" i="1"/>
  <c r="U421" i="1"/>
  <c r="BY411" i="1"/>
  <c r="Y402" i="1"/>
  <c r="CC392" i="1"/>
  <c r="AC383" i="1"/>
  <c r="CW382" i="1"/>
  <c r="CO372" i="1"/>
  <c r="BS477" i="1"/>
  <c r="AQ434" i="1"/>
  <c r="CR418" i="1"/>
  <c r="AR409" i="1"/>
  <c r="CV399" i="1"/>
  <c r="AV390" i="1"/>
  <c r="CZ380" i="1"/>
  <c r="AZ371" i="1"/>
  <c r="BO469" i="1"/>
  <c r="G430" i="1"/>
  <c r="AY417" i="1"/>
  <c r="DC407" i="1"/>
  <c r="BC398" i="1"/>
  <c r="Y392" i="1"/>
  <c r="BA379" i="1"/>
  <c r="BD478" i="1"/>
  <c r="H455" i="1"/>
  <c r="AS393" i="1"/>
  <c r="DD429" i="1"/>
  <c r="I401" i="1"/>
  <c r="CJ498" i="1"/>
  <c r="CD488" i="1"/>
  <c r="BB478" i="1"/>
  <c r="AS453" i="1"/>
  <c r="CH451" i="1"/>
  <c r="AG467" i="1"/>
  <c r="X462" i="1"/>
  <c r="CI504" i="1"/>
  <c r="M404" i="1"/>
  <c r="CN484" i="1"/>
  <c r="CR441" i="1"/>
  <c r="BA423" i="1"/>
  <c r="CK465" i="1"/>
  <c r="P462" i="1"/>
  <c r="AA501" i="1"/>
  <c r="CS403" i="1"/>
  <c r="BI493" i="1"/>
  <c r="BQ457" i="1"/>
  <c r="BE435" i="1"/>
  <c r="BI473" i="1"/>
  <c r="AL467" i="1"/>
  <c r="L527" i="1"/>
  <c r="AV472" i="1"/>
  <c r="BD430" i="1"/>
  <c r="AC412" i="1"/>
  <c r="DG513" i="1"/>
  <c r="DH449" i="1"/>
  <c r="AY447" i="1"/>
  <c r="BY393" i="1"/>
  <c r="X472" i="1"/>
  <c r="AF430" i="1"/>
  <c r="DI411" i="1"/>
  <c r="AH477" i="1"/>
  <c r="DH460" i="1"/>
  <c r="BL441" i="1"/>
  <c r="BC496" i="1"/>
  <c r="BT489" i="1"/>
  <c r="CN446" i="1"/>
  <c r="CA434" i="1"/>
  <c r="AC395" i="1"/>
  <c r="AG386" i="1"/>
  <c r="CA487" i="1"/>
  <c r="AR421" i="1"/>
  <c r="AV402" i="1"/>
  <c r="AZ383" i="1"/>
  <c r="G482" i="1"/>
  <c r="DC419" i="1"/>
  <c r="DG400" i="1"/>
  <c r="BA382" i="1"/>
  <c r="O475" i="1"/>
  <c r="BX418" i="1"/>
  <c r="CB399" i="1"/>
  <c r="CF380" i="1"/>
  <c r="AY469" i="1"/>
  <c r="CS448" i="1"/>
  <c r="DA468" i="1"/>
  <c r="BW507" i="1"/>
  <c r="BL428" i="1"/>
  <c r="BO498" i="1"/>
  <c r="CE439" i="1"/>
  <c r="AR469" i="1"/>
  <c r="M410" i="1"/>
  <c r="AS454" i="1"/>
  <c r="CJ481" i="1"/>
  <c r="CN458" i="1"/>
  <c r="DD438" i="1"/>
  <c r="BC484" i="1"/>
  <c r="BM420" i="1"/>
  <c r="BQ401" i="1"/>
  <c r="BU382" i="1"/>
  <c r="AC372" i="1"/>
  <c r="DG431" i="1"/>
  <c r="CJ408" i="1"/>
  <c r="CN389" i="1"/>
  <c r="CR370" i="1"/>
  <c r="CQ428" i="1"/>
  <c r="AQ407" i="1"/>
  <c r="DE390" i="1"/>
  <c r="Q374" i="1"/>
  <c r="CM482" i="1"/>
  <c r="S440" i="1"/>
  <c r="AJ420" i="1"/>
  <c r="CN410" i="1"/>
  <c r="AN401" i="1"/>
  <c r="CR391" i="1"/>
  <c r="AR382" i="1"/>
  <c r="CV372" i="1"/>
  <c r="CE477" i="1"/>
  <c r="K435" i="1"/>
  <c r="G419" i="1"/>
  <c r="BK409" i="1"/>
  <c r="K400" i="1"/>
  <c r="Q390" i="1"/>
  <c r="AC378" i="1"/>
  <c r="BD550" i="1"/>
  <c r="DG455" i="1"/>
  <c r="CC424" i="1"/>
  <c r="CJ414" i="1"/>
  <c r="AJ405" i="1"/>
  <c r="CN395" i="1"/>
  <c r="AN386" i="1"/>
  <c r="CR376" i="1"/>
  <c r="CU503" i="1"/>
  <c r="AM450" i="1"/>
  <c r="CQ422" i="1"/>
  <c r="AQ413" i="1"/>
  <c r="CU403" i="1"/>
  <c r="AU394" i="1"/>
  <c r="BQ380" i="1"/>
  <c r="M371" i="1"/>
  <c r="CU468" i="1"/>
  <c r="DE429" i="1"/>
  <c r="AV417" i="1"/>
  <c r="CZ407" i="1"/>
  <c r="AZ398" i="1"/>
  <c r="DD388" i="1"/>
  <c r="BD379" i="1"/>
  <c r="DH369" i="1"/>
  <c r="AA463" i="1"/>
  <c r="AY427" i="1"/>
  <c r="S416" i="1"/>
  <c r="BW406" i="1"/>
  <c r="W397" i="1"/>
  <c r="CA387" i="1"/>
  <c r="AY383" i="1"/>
  <c r="DC373" i="1"/>
  <c r="AG429" i="1"/>
  <c r="BR388" i="1"/>
  <c r="AL364" i="1"/>
  <c r="CP354" i="1"/>
  <c r="AP345" i="1"/>
  <c r="CT335" i="1"/>
  <c r="AT326" i="1"/>
  <c r="CX316" i="1"/>
  <c r="DA425" i="1"/>
  <c r="DB386" i="1"/>
  <c r="CW363" i="1"/>
  <c r="AW354" i="1"/>
  <c r="DA344" i="1"/>
  <c r="BA335" i="1"/>
  <c r="O383" i="1"/>
  <c r="BS373" i="1"/>
  <c r="AC424" i="1"/>
  <c r="N386" i="1"/>
  <c r="BZ363" i="1"/>
  <c r="Z354" i="1"/>
  <c r="CD344" i="1"/>
  <c r="AD335" i="1"/>
  <c r="CH325" i="1"/>
  <c r="AH316" i="1"/>
  <c r="AP422" i="1"/>
  <c r="AX384" i="1"/>
  <c r="AG363" i="1"/>
  <c r="CK353" i="1"/>
  <c r="AK344" i="1"/>
  <c r="CO334" i="1"/>
  <c r="AM382" i="1"/>
  <c r="CB507" i="1"/>
  <c r="N442" i="1"/>
  <c r="CQ516" i="1"/>
  <c r="J427" i="1"/>
  <c r="AY490" i="1"/>
  <c r="J436" i="1"/>
  <c r="BH487" i="1"/>
  <c r="BL444" i="1"/>
  <c r="CM428" i="1"/>
  <c r="CC483" i="1"/>
  <c r="H467" i="1"/>
  <c r="T426" i="1"/>
  <c r="CG407" i="1"/>
  <c r="AJ487" i="1"/>
  <c r="AN444" i="1"/>
  <c r="AQ428" i="1"/>
  <c r="BA396" i="1"/>
  <c r="DA473" i="1"/>
  <c r="BA432" i="1"/>
  <c r="CJ485" i="1"/>
  <c r="AV475" i="1"/>
  <c r="CR463" i="1"/>
  <c r="AZ452" i="1"/>
  <c r="DD442" i="1"/>
  <c r="BD433" i="1"/>
  <c r="DH423" i="1"/>
  <c r="AU458" i="1"/>
  <c r="AM425" i="1"/>
  <c r="M415" i="1"/>
  <c r="BQ405" i="1"/>
  <c r="Q396" i="1"/>
  <c r="BU386" i="1"/>
  <c r="BA387" i="1"/>
  <c r="AC376" i="1"/>
  <c r="BK494" i="1"/>
  <c r="DG447" i="1"/>
  <c r="AF422" i="1"/>
  <c r="CJ412" i="1"/>
  <c r="AJ403" i="1"/>
  <c r="CN393" i="1"/>
  <c r="AN384" i="1"/>
  <c r="CR374" i="1"/>
  <c r="BO485" i="1"/>
  <c r="AM442" i="1"/>
  <c r="CQ420" i="1"/>
  <c r="AQ411" i="1"/>
  <c r="CU401" i="1"/>
  <c r="AU392" i="1"/>
  <c r="BU383" i="1"/>
  <c r="AS373" i="1"/>
  <c r="CQ479" i="1"/>
  <c r="W437" i="1"/>
  <c r="BL419" i="1"/>
  <c r="L410" i="1"/>
  <c r="BP400" i="1"/>
  <c r="P391" i="1"/>
  <c r="BT381" i="1"/>
  <c r="T372" i="1"/>
  <c r="R428" i="1"/>
  <c r="AJ489" i="1"/>
  <c r="CN468" i="1"/>
  <c r="CV465" i="1"/>
  <c r="BL445" i="1"/>
  <c r="Y481" i="1"/>
  <c r="AB425" i="1"/>
  <c r="CN517" i="1"/>
  <c r="AB543" i="1"/>
  <c r="AD479" i="1"/>
  <c r="CT465" i="1"/>
  <c r="BU448" i="1"/>
  <c r="AT449" i="1"/>
  <c r="CO454" i="1"/>
  <c r="CZ458" i="1"/>
  <c r="AM484" i="1"/>
  <c r="CC401" i="1"/>
  <c r="AZ482" i="1"/>
  <c r="BD439" i="1"/>
  <c r="M421" i="1"/>
  <c r="DA453" i="1"/>
  <c r="CB458" i="1"/>
  <c r="V488" i="1"/>
  <c r="BZ478" i="1"/>
  <c r="AH467" i="1"/>
  <c r="BZ454" i="1"/>
  <c r="Z445" i="1"/>
  <c r="CD435" i="1"/>
  <c r="AD426" i="1"/>
  <c r="CM499" i="1"/>
  <c r="M483" i="1"/>
  <c r="BM472" i="1"/>
  <c r="Q460" i="1"/>
  <c r="BQ449" i="1"/>
  <c r="Q440" i="1"/>
  <c r="O511" i="1"/>
  <c r="CX485" i="1"/>
  <c r="BJ475" i="1"/>
  <c r="DF463" i="1"/>
  <c r="BN452" i="1"/>
  <c r="N443" i="1"/>
  <c r="BR433" i="1"/>
  <c r="R424" i="1"/>
  <c r="AQ491" i="1"/>
  <c r="DE480" i="1"/>
  <c r="AW469" i="1"/>
  <c r="DI457" i="1"/>
  <c r="BE447" i="1"/>
  <c r="DI437" i="1"/>
  <c r="BW516" i="1"/>
  <c r="DG507" i="1"/>
  <c r="R485" i="1"/>
  <c r="BR474" i="1"/>
  <c r="J463" i="1"/>
  <c r="BV451" i="1"/>
  <c r="V442" i="1"/>
  <c r="BZ432" i="1"/>
  <c r="BT546" i="1"/>
  <c r="BI489" i="1"/>
  <c r="I480" i="1"/>
  <c r="BU468" i="1"/>
  <c r="M457" i="1"/>
  <c r="BM446" i="1"/>
  <c r="M437" i="1"/>
  <c r="DC512" i="1"/>
  <c r="CU504" i="1"/>
  <c r="AP484" i="1"/>
  <c r="CP473" i="1"/>
  <c r="AX462" i="1"/>
  <c r="CW514" i="1"/>
  <c r="P507" i="1"/>
  <c r="AK511" i="1"/>
  <c r="AB511" i="1"/>
  <c r="BB484" i="1"/>
  <c r="BF441" i="1"/>
  <c r="AS479" i="1"/>
  <c r="AW436" i="1"/>
  <c r="AD459" i="1"/>
  <c r="BC514" i="1"/>
  <c r="AG453" i="1"/>
  <c r="W493" i="1"/>
  <c r="DB447" i="1"/>
  <c r="BR426" i="1"/>
  <c r="BA483" i="1"/>
  <c r="BE460" i="1"/>
  <c r="BE440" i="1"/>
  <c r="CJ489" i="1"/>
  <c r="AH478" i="1"/>
  <c r="CT454" i="1"/>
  <c r="AT445" i="1"/>
  <c r="CX435" i="1"/>
  <c r="AX426" i="1"/>
  <c r="M482" i="1"/>
  <c r="CO438" i="1"/>
  <c r="AR487" i="1"/>
  <c r="CV477" i="1"/>
  <c r="AJ465" i="1"/>
  <c r="CV453" i="1"/>
  <c r="AV444" i="1"/>
  <c r="CZ434" i="1"/>
  <c r="AZ425" i="1"/>
  <c r="AQ465" i="1"/>
  <c r="BG428" i="1"/>
  <c r="BY416" i="1"/>
  <c r="Y407" i="1"/>
  <c r="CC397" i="1"/>
  <c r="Q483" i="1"/>
  <c r="I441" i="1"/>
  <c r="CZ487" i="1"/>
  <c r="AZ478" i="1"/>
  <c r="DH465" i="1"/>
  <c r="AZ454" i="1"/>
  <c r="DD444" i="1"/>
  <c r="DA436" i="1"/>
  <c r="BR443" i="1"/>
  <c r="Q432" i="1"/>
  <c r="P452" i="1"/>
  <c r="K457" i="1"/>
  <c r="DA395" i="1"/>
  <c r="BT475" i="1"/>
  <c r="AZ438" i="1"/>
  <c r="AU482" i="1"/>
  <c r="I420" i="1"/>
  <c r="M401" i="1"/>
  <c r="CK449" i="1"/>
  <c r="BT480" i="1"/>
  <c r="BX457" i="1"/>
  <c r="BX437" i="1"/>
  <c r="AI479" i="1"/>
  <c r="BG424" i="1"/>
  <c r="BY414" i="1"/>
  <c r="Y405" i="1"/>
  <c r="BX537" i="1"/>
  <c r="AF511" i="1"/>
  <c r="BA515" i="1"/>
  <c r="AR515" i="1"/>
  <c r="BR488" i="1"/>
  <c r="BV445" i="1"/>
  <c r="BI483" i="1"/>
  <c r="BM440" i="1"/>
  <c r="AX464" i="1"/>
  <c r="BN424" i="1"/>
  <c r="BA458" i="1"/>
  <c r="CI509" i="1"/>
  <c r="N452" i="1"/>
  <c r="CP428" i="1"/>
  <c r="BY485" i="1"/>
  <c r="CG463" i="1"/>
  <c r="CC442" i="1"/>
  <c r="BK497" i="1"/>
  <c r="BF480" i="1"/>
  <c r="BJ457" i="1"/>
  <c r="AX446" i="1"/>
  <c r="DB436" i="1"/>
  <c r="BB427" i="1"/>
  <c r="AC486" i="1"/>
  <c r="DE442" i="1"/>
  <c r="AV488" i="1"/>
  <c r="CZ478" i="1"/>
  <c r="AR467" i="1"/>
  <c r="CZ454" i="1"/>
  <c r="AZ445" i="1"/>
  <c r="DD435" i="1"/>
  <c r="BD426" i="1"/>
  <c r="O470" i="1"/>
  <c r="BO430" i="1"/>
  <c r="CC417" i="1"/>
  <c r="AC408" i="1"/>
  <c r="CG398" i="1"/>
  <c r="AG487" i="1"/>
  <c r="Y445" i="1"/>
  <c r="DD488" i="1"/>
  <c r="BD479" i="1"/>
  <c r="CZ467" i="1"/>
  <c r="BD455" i="1"/>
  <c r="DH445" i="1"/>
  <c r="BH436" i="1"/>
  <c r="H427" i="1"/>
  <c r="O474" i="1"/>
  <c r="AY431" i="1"/>
  <c r="Q418" i="1"/>
  <c r="BU408" i="1"/>
  <c r="U399" i="1"/>
  <c r="AO485" i="1"/>
  <c r="M442" i="1"/>
  <c r="X488" i="1"/>
  <c r="CB478" i="1"/>
  <c r="AJ467" i="1"/>
  <c r="CB454" i="1"/>
  <c r="AB445" i="1"/>
  <c r="CF435" i="1"/>
  <c r="AF426" i="1"/>
  <c r="CM469" i="1"/>
  <c r="S430" i="1"/>
  <c r="BE417" i="1"/>
  <c r="DI407" i="1"/>
  <c r="BI398" i="1"/>
  <c r="BI512" i="1"/>
  <c r="CZ505" i="1"/>
  <c r="Q510" i="1"/>
  <c r="H510" i="1"/>
  <c r="AH483" i="1"/>
  <c r="AL440" i="1"/>
  <c r="Y478" i="1"/>
  <c r="AC435" i="1"/>
  <c r="J458" i="1"/>
  <c r="CE509" i="1"/>
  <c r="M452" i="1"/>
  <c r="CD489" i="1"/>
  <c r="CH446" i="1"/>
  <c r="F426" i="1"/>
  <c r="CS482" i="1"/>
  <c r="CW459" i="1"/>
  <c r="CW439" i="1"/>
  <c r="CN527" i="1"/>
  <c r="BZ477" i="1"/>
  <c r="BN454" i="1"/>
  <c r="N445" i="1"/>
  <c r="BR435" i="1"/>
  <c r="R426" i="1"/>
  <c r="CW480" i="1"/>
  <c r="BU437" i="1"/>
  <c r="L487" i="1"/>
  <c r="BP477" i="1"/>
  <c r="DH464" i="1"/>
  <c r="BP453" i="1"/>
  <c r="P444" i="1"/>
  <c r="BT434" i="1"/>
  <c r="T425" i="1"/>
  <c r="W464" i="1"/>
  <c r="CY427" i="1"/>
  <c r="AS416" i="1"/>
  <c r="CW406" i="1"/>
  <c r="AW397" i="1"/>
  <c r="DA481" i="1"/>
  <c r="CS439" i="1"/>
  <c r="BT487" i="1"/>
  <c r="T478" i="1"/>
  <c r="CB465" i="1"/>
  <c r="T454" i="1"/>
  <c r="BX444" i="1"/>
  <c r="X435" i="1"/>
  <c r="CB425" i="1"/>
  <c r="BO467" i="1"/>
  <c r="CE428" i="1"/>
  <c r="CK416" i="1"/>
  <c r="AK407" i="1"/>
  <c r="CO397" i="1"/>
  <c r="DI479" i="1"/>
  <c r="CG436" i="1"/>
  <c r="CR486" i="1"/>
  <c r="AR477" i="1"/>
  <c r="CZ464" i="1"/>
  <c r="AR453" i="1"/>
  <c r="CV443" i="1"/>
  <c r="AV434" i="1"/>
  <c r="CZ424" i="1"/>
  <c r="AI463" i="1"/>
  <c r="BC427" i="1"/>
  <c r="U416" i="1"/>
  <c r="BY406" i="1"/>
  <c r="CR557" i="1"/>
  <c r="AM506" i="1"/>
  <c r="M472" i="1"/>
  <c r="BO493" i="1"/>
  <c r="CP485" i="1"/>
  <c r="R430" i="1"/>
  <c r="BP481" i="1"/>
  <c r="BT438" i="1"/>
  <c r="AS420" i="1"/>
  <c r="CS455" i="1"/>
  <c r="X459" i="1"/>
  <c r="AQ485" i="1"/>
  <c r="CO401" i="1"/>
  <c r="AR481" i="1"/>
  <c r="AV438" i="1"/>
  <c r="U420" i="1"/>
  <c r="BI394" i="1"/>
  <c r="AW467" i="1"/>
  <c r="AN526" i="1"/>
  <c r="AJ484" i="1"/>
  <c r="CZ473" i="1"/>
  <c r="AR462" i="1"/>
  <c r="DD450" i="1"/>
  <c r="BD441" i="1"/>
  <c r="DH431" i="1"/>
  <c r="CE507" i="1"/>
  <c r="AI451" i="1"/>
  <c r="M423" i="1"/>
  <c r="BQ413" i="1"/>
  <c r="Q404" i="1"/>
  <c r="U451" i="1"/>
  <c r="CD450" i="1"/>
  <c r="CG460" i="1"/>
  <c r="AF460" i="1"/>
  <c r="BW489" i="1"/>
  <c r="I403" i="1"/>
  <c r="CJ483" i="1"/>
  <c r="BP442" i="1"/>
  <c r="AN546" i="1"/>
  <c r="BO424" i="1"/>
  <c r="AC405" i="1"/>
  <c r="DA469" i="1"/>
  <c r="CJ484" i="1"/>
  <c r="CR462" i="1"/>
  <c r="CN441" i="1"/>
  <c r="K513" i="1"/>
  <c r="K428" i="1"/>
  <c r="BA416" i="1"/>
  <c r="DE406" i="1"/>
  <c r="BP499" i="1"/>
  <c r="AR518" i="1"/>
  <c r="BL534" i="1"/>
  <c r="AB534" i="1"/>
  <c r="BO512" i="1"/>
  <c r="CH452" i="1"/>
  <c r="O492" i="1"/>
  <c r="BY447" i="1"/>
  <c r="BR473" i="1"/>
  <c r="BZ431" i="1"/>
  <c r="BE467" i="1"/>
  <c r="DC508" i="1"/>
  <c r="AD460" i="1"/>
  <c r="AT432" i="1"/>
  <c r="AC489" i="1"/>
  <c r="AO468" i="1"/>
  <c r="AG446" i="1"/>
  <c r="CI511" i="1"/>
  <c r="J484" i="1"/>
  <c r="R462" i="1"/>
  <c r="Z448" i="1"/>
  <c r="CD438" i="1"/>
  <c r="AD429" i="1"/>
  <c r="CY502" i="1"/>
  <c r="M450" i="1"/>
  <c r="CY491" i="1"/>
  <c r="CB480" i="1"/>
  <c r="T469" i="1"/>
  <c r="CF457" i="1"/>
  <c r="AB447" i="1"/>
  <c r="CF437" i="1"/>
  <c r="AF428" i="1"/>
  <c r="BO479" i="1"/>
  <c r="CY436" i="1"/>
  <c r="BE419" i="1"/>
  <c r="DI409" i="1"/>
  <c r="BI400" i="1"/>
  <c r="K507" i="1"/>
  <c r="AK452" i="1"/>
  <c r="AA496" i="1"/>
  <c r="AF481" i="1"/>
  <c r="CB469" i="1"/>
  <c r="AJ458" i="1"/>
  <c r="CJ447" i="1"/>
  <c r="AJ438" i="1"/>
  <c r="CN428" i="1"/>
  <c r="CM481" i="1"/>
  <c r="BK438" i="1"/>
  <c r="CW419" i="1"/>
  <c r="AW410" i="1"/>
  <c r="DA400" i="1"/>
  <c r="AQ499" i="1"/>
  <c r="Y449" i="1"/>
  <c r="U490" i="1"/>
  <c r="BD480" i="1"/>
  <c r="L469" i="1"/>
  <c r="BH457" i="1"/>
  <c r="DH446" i="1"/>
  <c r="BH437" i="1"/>
  <c r="H428" i="1"/>
  <c r="CA478" i="1"/>
  <c r="G436" i="1"/>
  <c r="AG419" i="1"/>
  <c r="CK409" i="1"/>
  <c r="AK400" i="1"/>
  <c r="Z490" i="1"/>
  <c r="H513" i="1"/>
  <c r="AC517" i="1"/>
  <c r="T517" i="1"/>
  <c r="O491" i="1"/>
  <c r="AX447" i="1"/>
  <c r="AK485" i="1"/>
  <c r="AO442" i="1"/>
  <c r="AD467" i="1"/>
  <c r="AP426" i="1"/>
  <c r="AC460" i="1"/>
  <c r="BX539" i="1"/>
  <c r="CT453" i="1"/>
  <c r="BN429" i="1"/>
  <c r="AW486" i="1"/>
  <c r="BE464" i="1"/>
  <c r="BA443" i="1"/>
  <c r="BG500" i="1"/>
  <c r="AD481" i="1"/>
  <c r="AH458" i="1"/>
  <c r="CT446" i="1"/>
  <c r="AT437" i="1"/>
  <c r="CX427" i="1"/>
  <c r="DI487" i="1"/>
  <c r="CG444" i="1"/>
  <c r="CR488" i="1"/>
  <c r="AR479" i="1"/>
  <c r="CN467" i="1"/>
  <c r="AR455" i="1"/>
  <c r="CV445" i="1"/>
  <c r="AV436" i="1"/>
  <c r="CZ426" i="1"/>
  <c r="K473" i="1"/>
  <c r="BO431" i="1"/>
  <c r="U418" i="1"/>
  <c r="BY408" i="1"/>
  <c r="Y399" i="1"/>
  <c r="I489" i="1"/>
  <c r="DE446" i="1"/>
  <c r="AV489" i="1"/>
  <c r="CZ479" i="1"/>
  <c r="AR468" i="1"/>
  <c r="CZ455" i="1"/>
  <c r="AZ446" i="1"/>
  <c r="DD436" i="1"/>
  <c r="BD427" i="1"/>
  <c r="CU475" i="1"/>
  <c r="AA433" i="1"/>
  <c r="BM418" i="1"/>
  <c r="M409" i="1"/>
  <c r="BQ399" i="1"/>
  <c r="Q487" i="1"/>
  <c r="CS443" i="1"/>
  <c r="BT488" i="1"/>
  <c r="T479" i="1"/>
  <c r="CF467" i="1"/>
  <c r="T455" i="1"/>
  <c r="BX445" i="1"/>
  <c r="X436" i="1"/>
  <c r="CB426" i="1"/>
  <c r="W472" i="1"/>
  <c r="G431" i="1"/>
  <c r="DA417" i="1"/>
  <c r="BA408" i="1"/>
  <c r="AZ512" i="1"/>
  <c r="CP446" i="1"/>
  <c r="CH425" i="1"/>
  <c r="AX429" i="1"/>
  <c r="CY499" i="1"/>
  <c r="AD437" i="1"/>
  <c r="CB488" i="1"/>
  <c r="CF445" i="1"/>
  <c r="W431" i="1"/>
  <c r="BA488" i="1"/>
  <c r="AB468" i="1"/>
  <c r="AN427" i="1"/>
  <c r="DA408" i="1"/>
  <c r="BD488" i="1"/>
  <c r="BH445" i="1"/>
  <c r="CE430" i="1"/>
  <c r="CW396" i="1"/>
  <c r="Q475" i="1"/>
  <c r="BU433" i="1"/>
  <c r="L486" i="1"/>
  <c r="CB475" i="1"/>
  <c r="T464" i="1"/>
  <c r="CF452" i="1"/>
  <c r="AF443" i="1"/>
  <c r="CJ433" i="1"/>
  <c r="AJ424" i="1"/>
  <c r="BO459" i="1"/>
  <c r="CY425" i="1"/>
  <c r="AS415" i="1"/>
  <c r="CW405" i="1"/>
  <c r="AW396" i="1"/>
  <c r="DA386" i="1"/>
  <c r="CS387" i="1"/>
  <c r="BI376" i="1"/>
  <c r="AI499" i="1"/>
  <c r="W449" i="1"/>
  <c r="BL422" i="1"/>
  <c r="L413" i="1"/>
  <c r="BP403" i="1"/>
  <c r="P394" i="1"/>
  <c r="BT384" i="1"/>
  <c r="T375" i="1"/>
  <c r="CI486" i="1"/>
  <c r="BG443" i="1"/>
  <c r="S421" i="1"/>
  <c r="BW411" i="1"/>
  <c r="W402" i="1"/>
  <c r="CA392" i="1"/>
  <c r="I384" i="1"/>
  <c r="BY373" i="1"/>
  <c r="G481" i="1"/>
  <c r="AQ438" i="1"/>
  <c r="CR419" i="1"/>
  <c r="AR410" i="1"/>
  <c r="CV400" i="1"/>
  <c r="AV391" i="1"/>
  <c r="CZ381" i="1"/>
  <c r="AZ372" i="1"/>
  <c r="AQ475" i="1"/>
  <c r="CK504" i="1"/>
  <c r="CK470" i="1"/>
  <c r="CG446" i="1"/>
  <c r="AO480" i="1"/>
  <c r="R474" i="1"/>
  <c r="CL424" i="1"/>
  <c r="AB475" i="1"/>
  <c r="AJ433" i="1"/>
  <c r="I415" i="1"/>
  <c r="BI434" i="1"/>
  <c r="CN452" i="1"/>
  <c r="CU459" i="1"/>
  <c r="BE396" i="1"/>
  <c r="DH474" i="1"/>
  <c r="L433" i="1"/>
  <c r="CO414" i="1"/>
  <c r="CW392" i="1"/>
  <c r="AK460" i="1"/>
  <c r="CQ509" i="1"/>
  <c r="DD482" i="1"/>
  <c r="BP472" i="1"/>
  <c r="DH459" i="1"/>
  <c r="BT449" i="1"/>
  <c r="T440" i="1"/>
  <c r="BX430" i="1"/>
  <c r="AA489" i="1"/>
  <c r="DC445" i="1"/>
  <c r="CG421" i="1"/>
  <c r="AG412" i="1"/>
  <c r="CK402" i="1"/>
  <c r="AK393" i="1"/>
  <c r="CO383" i="1"/>
  <c r="CC383" i="1"/>
  <c r="AW373" i="1"/>
  <c r="DG479" i="1"/>
  <c r="CE436" i="1"/>
  <c r="AZ419" i="1"/>
  <c r="DD409" i="1"/>
  <c r="BD400" i="1"/>
  <c r="DH390" i="1"/>
  <c r="BH381" i="1"/>
  <c r="H372" i="1"/>
  <c r="S473" i="1"/>
  <c r="AA431" i="1"/>
  <c r="G418" i="1"/>
  <c r="BK408" i="1"/>
  <c r="K399" i="1"/>
  <c r="BO389" i="1"/>
  <c r="I380" i="1"/>
  <c r="AQ512" i="1"/>
  <c r="CT438" i="1"/>
  <c r="O493" i="1"/>
  <c r="AR447" i="1"/>
  <c r="BG437" i="1"/>
  <c r="AY509" i="1"/>
  <c r="CR469" i="1"/>
  <c r="L436" i="1"/>
  <c r="AM472" i="1"/>
  <c r="BY417" i="1"/>
  <c r="CC398" i="1"/>
  <c r="AK440" i="1"/>
  <c r="AF478" i="1"/>
  <c r="AF454" i="1"/>
  <c r="AJ435" i="1"/>
  <c r="G468" i="1"/>
  <c r="DE422" i="1"/>
  <c r="BE413" i="1"/>
  <c r="DI403" i="1"/>
  <c r="CC513" i="1"/>
  <c r="BH506" i="1"/>
  <c r="CC510" i="1"/>
  <c r="BT510" i="1"/>
  <c r="CT483" i="1"/>
  <c r="CX440" i="1"/>
  <c r="CK478" i="1"/>
  <c r="CO435" i="1"/>
  <c r="BV458" i="1"/>
  <c r="O512" i="1"/>
  <c r="BY452" i="1"/>
  <c r="CM490" i="1"/>
  <c r="AP447" i="1"/>
  <c r="BB426" i="1"/>
  <c r="AK483" i="1"/>
  <c r="AO460" i="1"/>
  <c r="AO440" i="1"/>
  <c r="AX589" i="1"/>
  <c r="R478" i="1"/>
  <c r="CD454" i="1"/>
  <c r="AD445" i="1"/>
  <c r="CH435" i="1"/>
  <c r="AH426" i="1"/>
  <c r="BE481" i="1"/>
  <c r="AC438" i="1"/>
  <c r="AB487" i="1"/>
  <c r="CF477" i="1"/>
  <c r="T465" i="1"/>
  <c r="CF453" i="1"/>
  <c r="AF444" i="1"/>
  <c r="CJ434" i="1"/>
  <c r="AJ425" i="1"/>
  <c r="CI464" i="1"/>
  <c r="AA428" i="1"/>
  <c r="BI416" i="1"/>
  <c r="I407" i="1"/>
  <c r="BM397" i="1"/>
  <c r="BI482" i="1"/>
  <c r="BA440" i="1"/>
  <c r="CJ487" i="1"/>
  <c r="AJ478" i="1"/>
  <c r="CR465" i="1"/>
  <c r="AJ454" i="1"/>
  <c r="CN444" i="1"/>
  <c r="AN435" i="1"/>
  <c r="CR425" i="1"/>
  <c r="W468" i="1"/>
  <c r="G429" i="1"/>
  <c r="DA416" i="1"/>
  <c r="BA407" i="1"/>
  <c r="DE397" i="1"/>
  <c r="BQ480" i="1"/>
  <c r="AO437" i="1"/>
  <c r="DH486" i="1"/>
  <c r="BH477" i="1"/>
  <c r="L465" i="1"/>
  <c r="BH453" i="1"/>
  <c r="H444" i="1"/>
  <c r="BL434" i="1"/>
  <c r="L425" i="1"/>
  <c r="CU463" i="1"/>
  <c r="CI427" i="1"/>
  <c r="AK416" i="1"/>
  <c r="CO406" i="1"/>
  <c r="AO397" i="1"/>
  <c r="I503" i="1"/>
  <c r="X501" i="1"/>
  <c r="AS505" i="1"/>
  <c r="AJ505" i="1"/>
  <c r="BJ478" i="1"/>
  <c r="BN435" i="1"/>
  <c r="AW472" i="1"/>
  <c r="BG510" i="1"/>
  <c r="AX452" i="1"/>
  <c r="CI490" i="1"/>
  <c r="AO447" i="1"/>
  <c r="DF484" i="1"/>
  <c r="BR442" i="1"/>
  <c r="CZ559" i="1"/>
  <c r="BE480" i="1"/>
  <c r="BI457" i="1"/>
  <c r="BI437" i="1"/>
  <c r="BW506" i="1"/>
  <c r="AH474" i="1"/>
  <c r="AT453" i="1"/>
  <c r="CX443" i="1"/>
  <c r="AX434" i="1"/>
  <c r="DB424" i="1"/>
  <c r="DE474" i="1"/>
  <c r="CW432" i="1"/>
  <c r="CV485" i="1"/>
  <c r="AR475" i="1"/>
  <c r="CN463" i="1"/>
  <c r="AV452" i="1"/>
  <c r="CZ442" i="1"/>
  <c r="AZ433" i="1"/>
  <c r="DD423" i="1"/>
  <c r="AE458" i="1"/>
  <c r="BK425" i="1"/>
  <c r="Y415" i="1"/>
  <c r="CC405" i="1"/>
  <c r="AC396" i="1"/>
  <c r="Y477" i="1"/>
  <c r="Q435" i="1"/>
  <c r="AZ486" i="1"/>
  <c r="CZ475" i="1"/>
  <c r="BH464" i="1"/>
  <c r="DD452" i="1"/>
  <c r="BD443" i="1"/>
  <c r="DH433" i="1"/>
  <c r="BH424" i="1"/>
  <c r="BC460" i="1"/>
  <c r="AQ426" i="1"/>
  <c r="BQ415" i="1"/>
  <c r="Q406" i="1"/>
  <c r="BU396" i="1"/>
  <c r="BY474" i="1"/>
  <c r="AG432" i="1"/>
  <c r="BX485" i="1"/>
  <c r="T475" i="1"/>
  <c r="CF463" i="1"/>
  <c r="X452" i="1"/>
  <c r="CB442" i="1"/>
  <c r="AB433" i="1"/>
  <c r="CF558" i="1"/>
  <c r="DC457" i="1"/>
  <c r="O425" i="1"/>
  <c r="DE414" i="1"/>
  <c r="BE405" i="1"/>
  <c r="U507" i="1"/>
  <c r="Y474" i="1"/>
  <c r="Q449" i="1"/>
  <c r="BI481" i="1"/>
  <c r="AL475" i="1"/>
  <c r="AT425" i="1"/>
  <c r="CN475" i="1"/>
  <c r="CV433" i="1"/>
  <c r="BU415" i="1"/>
  <c r="CW436" i="1"/>
  <c r="AV453" i="1"/>
  <c r="AY463" i="1"/>
  <c r="M397" i="1"/>
  <c r="BP475" i="1"/>
  <c r="BX433" i="1"/>
  <c r="AW415" i="1"/>
  <c r="I393" i="1"/>
  <c r="CW460" i="1"/>
  <c r="G511" i="1"/>
  <c r="P483" i="1"/>
  <c r="CF472" i="1"/>
  <c r="T460" i="1"/>
  <c r="CJ449" i="1"/>
  <c r="AJ440" i="1"/>
  <c r="CN430" i="1"/>
  <c r="CM489" i="1"/>
  <c r="BK446" i="1"/>
  <c r="CW421" i="1"/>
  <c r="AW412" i="1"/>
  <c r="DA402" i="1"/>
  <c r="BA393" i="1"/>
  <c r="DE383" i="1"/>
  <c r="CW383" i="1"/>
  <c r="BM373" i="1"/>
  <c r="BO480" i="1"/>
  <c r="AM437" i="1"/>
  <c r="BP419" i="1"/>
  <c r="P410" i="1"/>
  <c r="BT400" i="1"/>
  <c r="T391" i="1"/>
  <c r="BX381" i="1"/>
  <c r="X372" i="1"/>
  <c r="CE473" i="1"/>
  <c r="BW431" i="1"/>
  <c r="W418" i="1"/>
  <c r="CA408" i="1"/>
  <c r="AA399" i="1"/>
  <c r="CE389" i="1"/>
  <c r="Y380" i="1"/>
  <c r="CC370" i="1"/>
  <c r="AU467" i="1"/>
  <c r="DA428" i="1"/>
  <c r="CV416" i="1"/>
  <c r="AV407" i="1"/>
  <c r="CZ397" i="1"/>
  <c r="AZ388" i="1"/>
  <c r="DD378" i="1"/>
  <c r="BD369" i="1"/>
  <c r="BK460" i="1"/>
  <c r="AB495" i="1"/>
  <c r="V485" i="1"/>
  <c r="CT473" i="1"/>
  <c r="BQ451" i="1"/>
  <c r="CT450" i="1"/>
  <c r="BI462" i="1"/>
  <c r="AV460" i="1"/>
  <c r="BK490" i="1"/>
  <c r="Y403" i="1"/>
  <c r="CZ483" i="1"/>
  <c r="DD440" i="1"/>
  <c r="BM422" i="1"/>
  <c r="AC462" i="1"/>
  <c r="X460" i="1"/>
  <c r="AQ489" i="1"/>
  <c r="DE402" i="1"/>
  <c r="DA489" i="1"/>
  <c r="AG447" i="1"/>
  <c r="BD489" i="1"/>
  <c r="DH479" i="1"/>
  <c r="BP468" i="1"/>
  <c r="H457" i="1"/>
  <c r="BX446" i="1"/>
  <c r="X437" i="1"/>
  <c r="CB427" i="1"/>
  <c r="AQ477" i="1"/>
  <c r="O434" i="1"/>
  <c r="CK418" i="1"/>
  <c r="AK409" i="1"/>
  <c r="CO399" i="1"/>
  <c r="AO390" i="1"/>
  <c r="CS380" i="1"/>
  <c r="DA379" i="1"/>
  <c r="BA370" i="1"/>
  <c r="W465" i="1"/>
  <c r="Q428" i="1"/>
  <c r="BD416" i="1"/>
  <c r="DH406" i="1"/>
  <c r="BH397" i="1"/>
  <c r="H388" i="1"/>
  <c r="BL378" i="1"/>
  <c r="L369" i="1"/>
  <c r="CE457" i="1"/>
  <c r="AI425" i="1"/>
  <c r="K415" i="1"/>
  <c r="BO405" i="1"/>
  <c r="O396" i="1"/>
  <c r="BQ388" i="1"/>
  <c r="BU484" i="1"/>
  <c r="BH435" i="1"/>
  <c r="CF430" i="1"/>
  <c r="BK505" i="1"/>
  <c r="CE443" i="1"/>
  <c r="CG494" i="1"/>
  <c r="N470" i="1"/>
  <c r="CX445" i="1"/>
  <c r="BF439" i="1"/>
  <c r="AW434" i="1"/>
  <c r="AH442" i="1"/>
  <c r="CF525" i="1"/>
  <c r="CJ450" i="1"/>
  <c r="S451" i="1"/>
  <c r="BQ394" i="1"/>
  <c r="AJ474" i="1"/>
  <c r="AR432" i="1"/>
  <c r="DE413" i="1"/>
  <c r="BU518" i="1"/>
  <c r="BL450" i="1"/>
  <c r="AE450" i="1"/>
  <c r="AS394" i="1"/>
  <c r="AZ493" i="1"/>
  <c r="AT483" i="1"/>
  <c r="N472" i="1"/>
  <c r="BM450" i="1"/>
  <c r="AX450" i="1"/>
  <c r="BM459" i="1"/>
  <c r="DD459" i="1"/>
  <c r="BC488" i="1"/>
  <c r="CG402" i="1"/>
  <c r="BD483" i="1"/>
  <c r="BH440" i="1"/>
  <c r="Q422" i="1"/>
  <c r="AG459" i="1"/>
  <c r="CF459" i="1"/>
  <c r="BO487" i="1"/>
  <c r="BI402" i="1"/>
  <c r="CK452" i="1"/>
  <c r="G500" i="1"/>
  <c r="U423" i="1"/>
  <c r="BM403" i="1"/>
  <c r="T480" i="1"/>
  <c r="AN437" i="1"/>
  <c r="DA418" i="1"/>
  <c r="BE390" i="1"/>
  <c r="M380" i="1"/>
  <c r="CI465" i="1"/>
  <c r="BT416" i="1"/>
  <c r="BX397" i="1"/>
  <c r="CB378" i="1"/>
  <c r="AM458" i="1"/>
  <c r="AA415" i="1"/>
  <c r="AE396" i="1"/>
  <c r="AC377" i="1"/>
  <c r="BO452" i="1"/>
  <c r="CZ413" i="1"/>
  <c r="DD394" i="1"/>
  <c r="DH375" i="1"/>
  <c r="BH522" i="1"/>
  <c r="CT432" i="1"/>
  <c r="S514" i="1"/>
  <c r="AI494" i="1"/>
  <c r="O438" i="1"/>
  <c r="DH469" i="1"/>
  <c r="CC410" i="1"/>
  <c r="AJ447" i="1"/>
  <c r="BE397" i="1"/>
  <c r="AW435" i="1"/>
  <c r="H477" i="1"/>
  <c r="X453" i="1"/>
  <c r="AB434" i="1"/>
  <c r="BK462" i="1"/>
  <c r="CO415" i="1"/>
  <c r="CS396" i="1"/>
  <c r="BA388" i="1"/>
  <c r="AU506" i="1"/>
  <c r="DH422" i="1"/>
  <c r="H404" i="1"/>
  <c r="L385" i="1"/>
  <c r="BK488" i="1"/>
  <c r="BO421" i="1"/>
  <c r="BS402" i="1"/>
  <c r="BU384" i="1"/>
  <c r="CG371" i="1"/>
  <c r="S472" i="1"/>
  <c r="DI430" i="1"/>
  <c r="CZ417" i="1"/>
  <c r="AZ408" i="1"/>
  <c r="DD398" i="1"/>
  <c r="BD389" i="1"/>
  <c r="DH379" i="1"/>
  <c r="BH370" i="1"/>
  <c r="CU465" i="1"/>
  <c r="BC428" i="1"/>
  <c r="BW416" i="1"/>
  <c r="W407" i="1"/>
  <c r="CA397" i="1"/>
  <c r="DE386" i="1"/>
  <c r="CS375" i="1"/>
  <c r="CI489" i="1"/>
  <c r="BG446" i="1"/>
  <c r="CV421" i="1"/>
  <c r="AV412" i="1"/>
  <c r="CZ402" i="1"/>
  <c r="AZ393" i="1"/>
  <c r="DD383" i="1"/>
  <c r="BD374" i="1"/>
  <c r="O484" i="1"/>
  <c r="CQ440" i="1"/>
  <c r="BC420" i="1"/>
  <c r="DG410" i="1"/>
  <c r="BG401" i="1"/>
  <c r="M390" i="1"/>
  <c r="Y378" i="1"/>
  <c r="P548" i="1"/>
  <c r="BS457" i="1"/>
  <c r="AC425" i="1"/>
  <c r="H415" i="1"/>
  <c r="BL405" i="1"/>
  <c r="L396" i="1"/>
  <c r="BP386" i="1"/>
  <c r="P377" i="1"/>
  <c r="G508" i="1"/>
  <c r="DC451" i="1"/>
  <c r="AE423" i="1"/>
  <c r="CI413" i="1"/>
  <c r="AI404" i="1"/>
  <c r="CM394" i="1"/>
  <c r="AM385" i="1"/>
  <c r="K381" i="1"/>
  <c r="BO371" i="1"/>
  <c r="J417" i="1"/>
  <c r="R379" i="1"/>
  <c r="DB361" i="1"/>
  <c r="BB352" i="1"/>
  <c r="DF342" i="1"/>
  <c r="BF333" i="1"/>
  <c r="F324" i="1"/>
  <c r="BJ314" i="1"/>
  <c r="AT415" i="1"/>
  <c r="BB377" i="1"/>
  <c r="BI361" i="1"/>
  <c r="I352" i="1"/>
  <c r="BM342" i="1"/>
  <c r="M333" i="1"/>
  <c r="CE380" i="1"/>
  <c r="AE371" i="1"/>
  <c r="BJ414" i="1"/>
  <c r="BR376" i="1"/>
  <c r="AL361" i="1"/>
  <c r="CP351" i="1"/>
  <c r="AP342" i="1"/>
  <c r="CT332" i="1"/>
  <c r="AT323" i="1"/>
  <c r="CX313" i="1"/>
  <c r="CT412" i="1"/>
  <c r="DB374" i="1"/>
  <c r="CW360" i="1"/>
  <c r="AW351" i="1"/>
  <c r="DA341" i="1"/>
  <c r="AM392" i="1"/>
  <c r="DC379" i="1"/>
  <c r="CW511" i="1"/>
  <c r="DE479" i="1"/>
  <c r="CS453" i="1"/>
  <c r="CW483" i="1"/>
  <c r="CD478" i="1"/>
  <c r="BN426" i="1"/>
  <c r="H478" i="1"/>
  <c r="L435" i="1"/>
  <c r="CO416" i="1"/>
  <c r="BU441" i="1"/>
  <c r="BP454" i="1"/>
  <c r="AQ469" i="1"/>
  <c r="AG398" i="1"/>
  <c r="CN477" i="1"/>
  <c r="CR434" i="1"/>
  <c r="BQ416" i="1"/>
  <c r="AO393" i="1"/>
  <c r="BY462" i="1"/>
  <c r="AU513" i="1"/>
  <c r="AV483" i="1"/>
  <c r="H473" i="1"/>
  <c r="AZ460" i="1"/>
  <c r="L450" i="1"/>
  <c r="BP440" i="1"/>
  <c r="P431" i="1"/>
  <c r="BG493" i="1"/>
  <c r="CE447" i="1"/>
  <c r="Y422" i="1"/>
  <c r="CC412" i="1"/>
  <c r="AC403" i="1"/>
  <c r="CG393" i="1"/>
  <c r="AG384" i="1"/>
  <c r="AK384" i="1"/>
  <c r="CS373" i="1"/>
  <c r="CI481" i="1"/>
  <c r="BG438" i="1"/>
  <c r="CV419" i="1"/>
  <c r="AV410" i="1"/>
  <c r="CZ400" i="1"/>
  <c r="AZ391" i="1"/>
  <c r="DD381" i="1"/>
  <c r="BD372" i="1"/>
  <c r="CY474" i="1"/>
  <c r="CQ432" i="1"/>
  <c r="BC418" i="1"/>
  <c r="DG408" i="1"/>
  <c r="BG399" i="1"/>
  <c r="G390" i="1"/>
  <c r="BE380" i="1"/>
  <c r="DI370" i="1"/>
  <c r="BO468" i="1"/>
  <c r="BI429" i="1"/>
  <c r="X417" i="1"/>
  <c r="CB407" i="1"/>
  <c r="AB398" i="1"/>
  <c r="CF388" i="1"/>
  <c r="AF379" i="1"/>
  <c r="CJ369" i="1"/>
  <c r="BR430" i="1"/>
  <c r="AN446" i="1"/>
  <c r="CC462" i="1"/>
  <c r="H426" i="1"/>
  <c r="DH425" i="1"/>
  <c r="T487" i="1"/>
  <c r="AY430" i="1"/>
  <c r="CF536" i="1"/>
  <c r="BJ458" i="1"/>
  <c r="AX436" i="1"/>
  <c r="CH434" i="1"/>
  <c r="AJ529" i="1"/>
  <c r="CX439" i="1"/>
  <c r="AU501" i="1"/>
  <c r="AV448" i="1"/>
  <c r="BW441" i="1"/>
  <c r="AC392" i="1"/>
  <c r="CV470" i="1"/>
  <c r="DH429" i="1"/>
  <c r="BQ411" i="1"/>
  <c r="BS499" i="1"/>
  <c r="X448" i="1"/>
  <c r="CL485" i="1"/>
  <c r="AH475" i="1"/>
  <c r="CT463" i="1"/>
  <c r="AL452" i="1"/>
  <c r="CP442" i="1"/>
  <c r="AP433" i="1"/>
  <c r="CT423" i="1"/>
  <c r="AM490" i="1"/>
  <c r="CC480" i="1"/>
  <c r="U469" i="1"/>
  <c r="CG457" i="1"/>
  <c r="AC447" i="1"/>
  <c r="CG437" i="1"/>
  <c r="BS501" i="1"/>
  <c r="BJ483" i="1"/>
  <c r="V473" i="1"/>
  <c r="BN460" i="1"/>
  <c r="Z450" i="1"/>
  <c r="CD440" i="1"/>
  <c r="AD431" i="1"/>
  <c r="BH523" i="1"/>
  <c r="M488" i="1"/>
  <c r="BQ478" i="1"/>
  <c r="I467" i="1"/>
  <c r="BQ454" i="1"/>
  <c r="Q445" i="1"/>
  <c r="BU435" i="1"/>
  <c r="W507" i="1"/>
  <c r="BG498" i="1"/>
  <c r="CH482" i="1"/>
  <c r="AD472" i="1"/>
  <c r="CL459" i="1"/>
  <c r="AH449" i="1"/>
  <c r="CL439" i="1"/>
  <c r="AL430" i="1"/>
  <c r="O516" i="1"/>
  <c r="U487" i="1"/>
  <c r="BY477" i="1"/>
  <c r="AC465" i="1"/>
  <c r="BY453" i="1"/>
  <c r="Y444" i="1"/>
  <c r="CC434" i="1"/>
  <c r="BC503" i="1"/>
  <c r="AU495" i="1"/>
  <c r="DF481" i="1"/>
  <c r="AX470" i="1"/>
  <c r="F459" i="1"/>
  <c r="CC497" i="1"/>
  <c r="BT497" i="1"/>
  <c r="CO501" i="1"/>
  <c r="CF501" i="1"/>
  <c r="DB473" i="1"/>
  <c r="F432" i="1"/>
  <c r="CO467" i="1"/>
  <c r="AI496" i="1"/>
  <c r="CT448" i="1"/>
  <c r="CG486" i="1"/>
  <c r="CK443" i="1"/>
  <c r="AX481" i="1"/>
  <c r="CP440" i="1"/>
  <c r="AJ525" i="1"/>
  <c r="CC478" i="1"/>
  <c r="CC454" i="1"/>
  <c r="CG435" i="1"/>
  <c r="BK499" i="1"/>
  <c r="BF472" i="1"/>
  <c r="BF452" i="1"/>
  <c r="F443" i="1"/>
  <c r="BJ433" i="1"/>
  <c r="J424" i="1"/>
  <c r="AC470" i="1"/>
  <c r="AZ549" i="1"/>
  <c r="DH484" i="1"/>
  <c r="BD474" i="1"/>
  <c r="CZ462" i="1"/>
  <c r="BH451" i="1"/>
  <c r="H442" i="1"/>
  <c r="BL432" i="1"/>
  <c r="BS516" i="1"/>
  <c r="O454" i="1"/>
  <c r="CK423" i="1"/>
  <c r="AK414" i="1"/>
  <c r="CO404" i="1"/>
  <c r="AO395" i="1"/>
  <c r="I473" i="1"/>
  <c r="DI431" i="1"/>
  <c r="BL485" i="1"/>
  <c r="H475" i="1"/>
  <c r="BT463" i="1"/>
  <c r="L452" i="1"/>
  <c r="AF544" i="1"/>
  <c r="AI504" i="1"/>
  <c r="R434" i="1"/>
  <c r="BP485" i="1"/>
  <c r="BT442" i="1"/>
  <c r="DC424" i="1"/>
  <c r="AW475" i="1"/>
  <c r="AB464" i="1"/>
  <c r="CB433" i="1"/>
  <c r="AI459" i="1"/>
  <c r="AK415" i="1"/>
  <c r="AO396" i="1"/>
  <c r="BY431" i="1"/>
  <c r="CR474" i="1"/>
  <c r="CV451" i="1"/>
  <c r="CZ432" i="1"/>
  <c r="BO455" i="1"/>
  <c r="CK421" i="1"/>
  <c r="AK412" i="1"/>
  <c r="CO402" i="1"/>
  <c r="AC504" i="1"/>
  <c r="CJ501" i="1"/>
  <c r="DE505" i="1"/>
  <c r="CV505" i="1"/>
  <c r="R479" i="1"/>
  <c r="V436" i="1"/>
  <c r="DI472" i="1"/>
  <c r="AM513" i="1"/>
  <c r="F453" i="1"/>
  <c r="S493" i="1"/>
  <c r="DA447" i="1"/>
  <c r="BN485" i="1"/>
  <c r="J443" i="1"/>
  <c r="N424" i="1"/>
  <c r="DA480" i="1"/>
  <c r="DE457" i="1"/>
  <c r="DE437" i="1"/>
  <c r="AY508" i="1"/>
  <c r="CD474" i="1"/>
  <c r="BJ453" i="1"/>
  <c r="J444" i="1"/>
  <c r="BN434" i="1"/>
  <c r="N425" i="1"/>
  <c r="BM475" i="1"/>
  <c r="BE433" i="1"/>
  <c r="H486" i="1"/>
  <c r="BH475" i="1"/>
  <c r="DD463" i="1"/>
  <c r="BL452" i="1"/>
  <c r="L443" i="1"/>
  <c r="BP433" i="1"/>
  <c r="P424" i="1"/>
  <c r="CQ458" i="1"/>
  <c r="CQ425" i="1"/>
  <c r="AO415" i="1"/>
  <c r="CS405" i="1"/>
  <c r="AS396" i="1"/>
  <c r="CK477" i="1"/>
  <c r="CC435" i="1"/>
  <c r="BP486" i="1"/>
  <c r="P477" i="1"/>
  <c r="BX464" i="1"/>
  <c r="P453" i="1"/>
  <c r="BT443" i="1"/>
  <c r="T434" i="1"/>
  <c r="BX424" i="1"/>
  <c r="AE462" i="1"/>
  <c r="BW426" i="1"/>
  <c r="CG415" i="1"/>
  <c r="AG406" i="1"/>
  <c r="CK396" i="1"/>
  <c r="AG475" i="1"/>
  <c r="BQ432" i="1"/>
  <c r="CN485" i="1"/>
  <c r="AJ475" i="1"/>
  <c r="CV463" i="1"/>
  <c r="AN452" i="1"/>
  <c r="CR442" i="1"/>
  <c r="AR433" i="1"/>
  <c r="CV423" i="1"/>
  <c r="BK458" i="1"/>
  <c r="AU425" i="1"/>
  <c r="Q415" i="1"/>
  <c r="BU405" i="1"/>
  <c r="U396" i="1"/>
  <c r="BI496" i="1"/>
  <c r="AZ496" i="1"/>
  <c r="BU500" i="1"/>
  <c r="BL500" i="1"/>
  <c r="CH472" i="1"/>
  <c r="CP430" i="1"/>
  <c r="BQ465" i="1"/>
  <c r="BK491" i="1"/>
  <c r="BZ447" i="1"/>
  <c r="BM485" i="1"/>
  <c r="BQ442" i="1"/>
  <c r="AD480" i="1"/>
  <c r="AD440" i="1"/>
  <c r="CU517" i="1"/>
  <c r="Q478" i="1"/>
  <c r="Q454" i="1"/>
  <c r="U435" i="1"/>
  <c r="W497" i="1"/>
  <c r="CT470" i="1"/>
  <c r="Z452" i="1"/>
  <c r="CD442" i="1"/>
  <c r="AD433" i="1"/>
  <c r="BG570" i="1"/>
  <c r="I469" i="1"/>
  <c r="DD539" i="1"/>
  <c r="CB484" i="1"/>
  <c r="X474" i="1"/>
  <c r="BT462" i="1"/>
  <c r="AB451" i="1"/>
  <c r="CF441" i="1"/>
  <c r="AF432" i="1"/>
  <c r="CU511" i="1"/>
  <c r="CY452" i="1"/>
  <c r="BE423" i="1"/>
  <c r="DI413" i="1"/>
  <c r="BI404" i="1"/>
  <c r="I395" i="1"/>
  <c r="BY470" i="1"/>
  <c r="AW431" i="1"/>
  <c r="AF485" i="1"/>
  <c r="CF474" i="1"/>
  <c r="AN463" i="1"/>
  <c r="CJ451" i="1"/>
  <c r="AJ442" i="1"/>
  <c r="CN432" i="1"/>
  <c r="AR527" i="1"/>
  <c r="BK454" i="1"/>
  <c r="DG423" i="1"/>
  <c r="AW414" i="1"/>
  <c r="DA404" i="1"/>
  <c r="BA395" i="1"/>
  <c r="CG468" i="1"/>
  <c r="CR532" i="1"/>
  <c r="BD484" i="1"/>
  <c r="DD473" i="1"/>
  <c r="BL462" i="1"/>
  <c r="DH450" i="1"/>
  <c r="BH441" i="1"/>
  <c r="H432" i="1"/>
  <c r="AM508" i="1"/>
  <c r="G452" i="1"/>
  <c r="AG423" i="1"/>
  <c r="CK413" i="1"/>
  <c r="AK404" i="1"/>
  <c r="AZ548" i="1"/>
  <c r="AC451" i="1"/>
  <c r="DH536" i="1"/>
  <c r="Q470" i="1"/>
  <c r="CX463" i="1"/>
  <c r="AQ515" i="1"/>
  <c r="H470" i="1"/>
  <c r="T429" i="1"/>
  <c r="CW410" i="1"/>
  <c r="AM503" i="1"/>
  <c r="BX448" i="1"/>
  <c r="O442" i="1"/>
  <c r="BO513" i="1"/>
  <c r="DD469" i="1"/>
  <c r="CZ428" i="1"/>
  <c r="BY410" i="1"/>
  <c r="CS391" i="1"/>
  <c r="DE454" i="1"/>
  <c r="BK501" i="1"/>
  <c r="CZ481" i="1"/>
  <c r="BH470" i="1"/>
  <c r="DD458" i="1"/>
  <c r="BP448" i="1"/>
  <c r="P439" i="1"/>
  <c r="BT429" i="1"/>
  <c r="K485" i="1"/>
  <c r="CM441" i="1"/>
  <c r="CC420" i="1"/>
  <c r="AC411" i="1"/>
  <c r="CG401" i="1"/>
  <c r="Y432" i="1"/>
  <c r="AD441" i="1"/>
  <c r="K512" i="1"/>
  <c r="CF449" i="1"/>
  <c r="DG446" i="1"/>
  <c r="BM393" i="1"/>
  <c r="AF473" i="1"/>
  <c r="CR437" i="1"/>
  <c r="G480" i="1"/>
  <c r="BA419" i="1"/>
  <c r="BE400" i="1"/>
  <c r="AW447" i="1"/>
  <c r="H480" i="1"/>
  <c r="L457" i="1"/>
  <c r="L437" i="1"/>
  <c r="CE475" i="1"/>
  <c r="BM423" i="1"/>
  <c r="M414" i="1"/>
  <c r="BQ404" i="1"/>
  <c r="BA518" i="1"/>
  <c r="CV508" i="1"/>
  <c r="M513" i="1"/>
  <c r="DH512" i="1"/>
  <c r="AD486" i="1"/>
  <c r="AH443" i="1"/>
  <c r="U481" i="1"/>
  <c r="Y438" i="1"/>
  <c r="J462" i="1"/>
  <c r="BT530" i="1"/>
  <c r="I455" i="1"/>
  <c r="AI500" i="1"/>
  <c r="CD449" i="1"/>
  <c r="BV427" i="1"/>
  <c r="BE484" i="1"/>
  <c r="BM462" i="1"/>
  <c r="BI441" i="1"/>
  <c r="CM492" i="1"/>
  <c r="AL479" i="1"/>
  <c r="AL455" i="1"/>
  <c r="CP445" i="1"/>
  <c r="AP436" i="1"/>
  <c r="CT426" i="1"/>
  <c r="CS483" i="1"/>
  <c r="BQ440" i="1"/>
  <c r="CN487" i="1"/>
  <c r="AN478" i="1"/>
  <c r="CF465" i="1"/>
  <c r="AN454" i="1"/>
  <c r="CR444" i="1"/>
  <c r="AR435" i="1"/>
  <c r="CV425" i="1"/>
  <c r="CE467" i="1"/>
  <c r="AU429" i="1"/>
  <c r="Q417" i="1"/>
  <c r="BU407" i="1"/>
  <c r="U398" i="1"/>
  <c r="CW484" i="1"/>
  <c r="CO442" i="1"/>
  <c r="AR488" i="1"/>
  <c r="CV478" i="1"/>
  <c r="AN467" i="1"/>
  <c r="CV454" i="1"/>
  <c r="AV445" i="1"/>
  <c r="CZ435" i="1"/>
  <c r="AZ426" i="1"/>
  <c r="BK470" i="1"/>
  <c r="AA430" i="1"/>
  <c r="BI417" i="1"/>
  <c r="I408" i="1"/>
  <c r="BM398" i="1"/>
  <c r="DE482" i="1"/>
  <c r="CC439" i="1"/>
  <c r="BP487" i="1"/>
  <c r="P478" i="1"/>
  <c r="BX465" i="1"/>
  <c r="P454" i="1"/>
  <c r="BT444" i="1"/>
  <c r="T435" i="1"/>
  <c r="BX425" i="1"/>
  <c r="AY467" i="1"/>
  <c r="DC428" i="1"/>
  <c r="CW416" i="1"/>
  <c r="AW407" i="1"/>
  <c r="DA397" i="1"/>
  <c r="CK507" i="1"/>
  <c r="BL503" i="1"/>
  <c r="CG507" i="1"/>
  <c r="BX507" i="1"/>
  <c r="CX480" i="1"/>
  <c r="DB437" i="1"/>
  <c r="CK474" i="1"/>
  <c r="CS432" i="1"/>
  <c r="CL454" i="1"/>
  <c r="AE500" i="1"/>
  <c r="CC449" i="1"/>
  <c r="AP487" i="1"/>
  <c r="AT444" i="1"/>
  <c r="CP424" i="1"/>
  <c r="BY481" i="1"/>
  <c r="CC458" i="1"/>
  <c r="CC438" i="1"/>
  <c r="AU511" i="1"/>
  <c r="BB475" i="1"/>
  <c r="DF453" i="1"/>
  <c r="BF444" i="1"/>
  <c r="F435" i="1"/>
  <c r="BJ425" i="1"/>
  <c r="BI478" i="1"/>
  <c r="AG435" i="1"/>
  <c r="BD486" i="1"/>
  <c r="DD475" i="1"/>
  <c r="AV464" i="1"/>
  <c r="DH452" i="1"/>
  <c r="BH443" i="1"/>
  <c r="H434" i="1"/>
  <c r="BL424" i="1"/>
  <c r="BS460" i="1"/>
  <c r="CE426" i="1"/>
  <c r="CK415" i="1"/>
  <c r="AK406" i="1"/>
  <c r="CO396" i="1"/>
  <c r="BM479" i="1"/>
  <c r="BE437" i="1"/>
  <c r="H487" i="1"/>
  <c r="BL477" i="1"/>
  <c r="P465" i="1"/>
  <c r="BL453" i="1"/>
  <c r="L444" i="1"/>
  <c r="BP434" i="1"/>
  <c r="P425" i="1"/>
  <c r="G464" i="1"/>
  <c r="BK427" i="1"/>
  <c r="Y416" i="1"/>
  <c r="CC406" i="1"/>
  <c r="AC397" i="1"/>
  <c r="BU477" i="1"/>
  <c r="AS434" i="1"/>
  <c r="AF486" i="1"/>
  <c r="CF475" i="1"/>
  <c r="AN464" i="1"/>
  <c r="CJ452" i="1"/>
  <c r="AJ443" i="1"/>
  <c r="CN433" i="1"/>
  <c r="AN424" i="1"/>
  <c r="AM460" i="1"/>
  <c r="AI426" i="1"/>
  <c r="BM415" i="1"/>
  <c r="M406" i="1"/>
  <c r="BU516" i="1"/>
  <c r="CC484" i="1"/>
  <c r="BU459" i="1"/>
  <c r="AG486" i="1"/>
  <c r="N481" i="1"/>
  <c r="CH427" i="1"/>
  <c r="AB479" i="1"/>
  <c r="AF436" i="1"/>
  <c r="DI417" i="1"/>
  <c r="AS446" i="1"/>
  <c r="CJ455" i="1"/>
  <c r="AI475" i="1"/>
  <c r="BA399" i="1"/>
  <c r="DH478" i="1"/>
  <c r="H436" i="1"/>
  <c r="CK417" i="1"/>
  <c r="BU393" i="1"/>
  <c r="CS463" i="1"/>
  <c r="CI515" i="1"/>
  <c r="CB483" i="1"/>
  <c r="AN473" i="1"/>
  <c r="CF460" i="1"/>
  <c r="AR450" i="1"/>
  <c r="CV440" i="1"/>
  <c r="AV431" i="1"/>
  <c r="AE498" i="1"/>
  <c r="CY448" i="1"/>
  <c r="BE422" i="1"/>
  <c r="DI412" i="1"/>
  <c r="BI403" i="1"/>
  <c r="I394" i="1"/>
  <c r="BM384" i="1"/>
  <c r="BY384" i="1"/>
  <c r="U374" i="1"/>
  <c r="DC482" i="1"/>
  <c r="CA439" i="1"/>
  <c r="X420" i="1"/>
  <c r="CB410" i="1"/>
  <c r="AB401" i="1"/>
  <c r="CF391" i="1"/>
  <c r="AF382" i="1"/>
  <c r="CJ372" i="1"/>
  <c r="AI477" i="1"/>
  <c r="G434" i="1"/>
  <c r="CI418" i="1"/>
  <c r="AI409" i="1"/>
  <c r="CM399" i="1"/>
  <c r="AM390" i="1"/>
  <c r="CW380" i="1"/>
  <c r="AK371" i="1"/>
  <c r="CI469" i="1"/>
  <c r="Q430" i="1"/>
  <c r="BD417" i="1"/>
  <c r="DH407" i="1"/>
  <c r="BH398" i="1"/>
  <c r="H389" i="1"/>
  <c r="BL379" i="1"/>
  <c r="L370" i="1"/>
  <c r="O464" i="1"/>
  <c r="CB504" i="1"/>
  <c r="S508" i="1"/>
  <c r="AT484" i="1"/>
  <c r="AS457" i="1"/>
  <c r="AD453" i="1"/>
  <c r="AS474" i="1"/>
  <c r="BX463" i="1"/>
  <c r="CN423" i="1"/>
  <c r="BM405" i="1"/>
  <c r="AJ486" i="1"/>
  <c r="AN443" i="1"/>
  <c r="K426" i="1"/>
  <c r="M474" i="1"/>
  <c r="BP463" i="1"/>
  <c r="DD543" i="1"/>
  <c r="AO405" i="1"/>
  <c r="CI498" i="1"/>
  <c r="BU449" i="1"/>
  <c r="CU490" i="1"/>
  <c r="BP480" i="1"/>
  <c r="X469" i="1"/>
  <c r="BT457" i="1"/>
  <c r="AF447" i="1"/>
  <c r="CJ437" i="1"/>
  <c r="AJ428" i="1"/>
  <c r="CE479" i="1"/>
  <c r="BC436" i="1"/>
  <c r="AS419" i="1"/>
  <c r="CW409" i="1"/>
  <c r="AW400" i="1"/>
  <c r="DA390" i="1"/>
  <c r="BA381" i="1"/>
  <c r="BI380" i="1"/>
  <c r="I371" i="1"/>
  <c r="CE468" i="1"/>
  <c r="AK429" i="1"/>
  <c r="L417" i="1"/>
  <c r="BP407" i="1"/>
  <c r="P398" i="1"/>
  <c r="BT388" i="1"/>
  <c r="T379" i="1"/>
  <c r="BX369" i="1"/>
  <c r="O460" i="1"/>
  <c r="BC426" i="1"/>
  <c r="BW415" i="1"/>
  <c r="W406" i="1"/>
  <c r="CA396" i="1"/>
  <c r="AS389" i="1"/>
  <c r="AS489" i="1"/>
  <c r="Z484" i="1"/>
  <c r="AT429" i="1"/>
  <c r="CR480" i="1"/>
  <c r="CV437" i="1"/>
  <c r="BU419" i="1"/>
  <c r="CW452" i="1"/>
  <c r="AZ458" i="1"/>
  <c r="AN431" i="1"/>
  <c r="BS448" i="1"/>
  <c r="DA412" i="1"/>
  <c r="DE393" i="1"/>
  <c r="AI510" i="1"/>
  <c r="BD472" i="1"/>
  <c r="BH449" i="1"/>
  <c r="BL430" i="1"/>
  <c r="O446" i="1"/>
  <c r="BQ420" i="1"/>
  <c r="Q411" i="1"/>
  <c r="BU401" i="1"/>
  <c r="Q497" i="1"/>
  <c r="H497" i="1"/>
  <c r="AC501" i="1"/>
  <c r="T501" i="1"/>
  <c r="AP473" i="1"/>
  <c r="AX431" i="1"/>
  <c r="AC467" i="1"/>
  <c r="CY493" i="1"/>
  <c r="AH448" i="1"/>
  <c r="U486" i="1"/>
  <c r="Y443" i="1"/>
  <c r="CP480" i="1"/>
  <c r="BZ440" i="1"/>
  <c r="CZ522" i="1"/>
  <c r="BM478" i="1"/>
  <c r="BM454" i="1"/>
  <c r="BQ435" i="1"/>
  <c r="DC498" i="1"/>
  <c r="AP472" i="1"/>
  <c r="AP452" i="1"/>
  <c r="CT442" i="1"/>
  <c r="AT433" i="1"/>
  <c r="CX423" i="1"/>
  <c r="BU469" i="1"/>
  <c r="CB544" i="1"/>
  <c r="CR484" i="1"/>
  <c r="AN474" i="1"/>
  <c r="CJ462" i="1"/>
  <c r="AR451" i="1"/>
  <c r="CV441" i="1"/>
  <c r="AV432" i="1"/>
  <c r="AE514" i="1"/>
  <c r="BG453" i="1"/>
  <c r="BU423" i="1"/>
  <c r="U414" i="1"/>
  <c r="BY404" i="1"/>
  <c r="Y395" i="1"/>
  <c r="BA472" i="1"/>
  <c r="CC431" i="1"/>
  <c r="AV485" i="1"/>
  <c r="CV474" i="1"/>
  <c r="BD463" i="1"/>
  <c r="CZ451" i="1"/>
  <c r="AZ442" i="1"/>
  <c r="DD432" i="1"/>
  <c r="CR536" i="1"/>
  <c r="S455" i="1"/>
  <c r="AI424" i="1"/>
  <c r="BM414" i="1"/>
  <c r="M405" i="1"/>
  <c r="BQ395" i="1"/>
  <c r="AO469" i="1"/>
  <c r="BP537" i="1"/>
  <c r="BT484" i="1"/>
  <c r="P474" i="1"/>
  <c r="CB462" i="1"/>
  <c r="T451" i="1"/>
  <c r="BX441" i="1"/>
  <c r="X432" i="1"/>
  <c r="CA510" i="1"/>
  <c r="BS452" i="1"/>
  <c r="AW423" i="1"/>
  <c r="DA413" i="1"/>
  <c r="BA404" i="1"/>
  <c r="DE394" i="1"/>
  <c r="CK491" i="1"/>
  <c r="CB491" i="1"/>
  <c r="CW495" i="1"/>
  <c r="CN495" i="1"/>
  <c r="R467" i="1"/>
  <c r="N426" i="1"/>
  <c r="DE459" i="1"/>
  <c r="CH485" i="1"/>
  <c r="DB442" i="1"/>
  <c r="CO480" i="1"/>
  <c r="CS437" i="1"/>
  <c r="BB474" i="1"/>
  <c r="CT437" i="1"/>
  <c r="AU508" i="1"/>
  <c r="CC474" i="1"/>
  <c r="CG451" i="1"/>
  <c r="CK432" i="1"/>
  <c r="BJ489" i="1"/>
  <c r="BF468" i="1"/>
  <c r="F451" i="1"/>
  <c r="BJ441" i="1"/>
  <c r="J432" i="1"/>
  <c r="BL536" i="1"/>
  <c r="Q463" i="1"/>
  <c r="AY514" i="1"/>
  <c r="BH483" i="1"/>
  <c r="DH472" i="1"/>
  <c r="BL460" i="1"/>
  <c r="H450" i="1"/>
  <c r="BL440" i="1"/>
  <c r="L431" i="1"/>
  <c r="CY492" i="1"/>
  <c r="W448" i="1"/>
  <c r="AK422" i="1"/>
  <c r="CO412" i="1"/>
  <c r="AO403" i="1"/>
  <c r="CS393" i="1"/>
  <c r="AO465" i="1"/>
  <c r="AB519" i="1"/>
  <c r="L484" i="1"/>
  <c r="BL473" i="1"/>
  <c r="T462" i="1"/>
  <c r="BP450" i="1"/>
  <c r="P441" i="1"/>
  <c r="BT431" i="1"/>
  <c r="CM501" i="1"/>
  <c r="CM449" i="1"/>
  <c r="CC422" i="1"/>
  <c r="AC413" i="1"/>
  <c r="CG403" i="1"/>
  <c r="AG394" i="1"/>
  <c r="CO462" i="1"/>
  <c r="BW512" i="1"/>
  <c r="AJ483" i="1"/>
  <c r="CJ472" i="1"/>
  <c r="AN460" i="1"/>
  <c r="CN449" i="1"/>
  <c r="AN440" i="1"/>
  <c r="CR430" i="1"/>
  <c r="DC489" i="1"/>
  <c r="AI447" i="1"/>
  <c r="M422" i="1"/>
  <c r="BQ412" i="1"/>
  <c r="Q403" i="1"/>
  <c r="L507" i="1"/>
  <c r="BH551" i="1"/>
  <c r="CH486" i="1"/>
  <c r="BM458" i="1"/>
  <c r="CP453" i="1"/>
  <c r="DA477" i="1"/>
  <c r="AF464" i="1"/>
  <c r="AV424" i="1"/>
  <c r="U406" i="1"/>
  <c r="CV486" i="1"/>
  <c r="CZ443" i="1"/>
  <c r="AE427" i="1"/>
  <c r="I477" i="1"/>
  <c r="X464" i="1"/>
  <c r="X424" i="1"/>
  <c r="DA405" i="1"/>
  <c r="S501" i="1"/>
  <c r="AC450" i="1"/>
  <c r="K492" i="1"/>
  <c r="CF480" i="1"/>
  <c r="AN469" i="1"/>
  <c r="CJ457" i="1"/>
  <c r="AV447" i="1"/>
  <c r="CZ437" i="1"/>
  <c r="AZ428" i="1"/>
  <c r="AM480" i="1"/>
  <c r="K437" i="1"/>
  <c r="BI419" i="1"/>
  <c r="I410" i="1"/>
  <c r="BM400" i="1"/>
  <c r="M391" i="1"/>
  <c r="BQ381" i="1"/>
  <c r="CG380" i="1"/>
  <c r="Y371" i="1"/>
  <c r="AM469" i="1"/>
  <c r="BQ429" i="1"/>
  <c r="AB417" i="1"/>
  <c r="CF407" i="1"/>
  <c r="AF398" i="1"/>
  <c r="CJ388" i="1"/>
  <c r="AJ379" i="1"/>
  <c r="CN369" i="1"/>
  <c r="CA460" i="1"/>
  <c r="CI426" i="1"/>
  <c r="CM415" i="1"/>
  <c r="AM406" i="1"/>
  <c r="CQ396" i="1"/>
  <c r="BM389" i="1"/>
  <c r="CO377" i="1"/>
  <c r="AV524" i="1"/>
  <c r="DC454" i="1"/>
  <c r="Y424" i="1"/>
  <c r="BH414" i="1"/>
  <c r="H405" i="1"/>
  <c r="BL395" i="1"/>
  <c r="L386" i="1"/>
  <c r="BP376" i="1"/>
  <c r="CE499" i="1"/>
  <c r="Y491" i="1"/>
  <c r="BF465" i="1"/>
  <c r="AP442" i="1"/>
  <c r="CD437" i="1"/>
  <c r="BU432" i="1"/>
  <c r="AT441" i="1"/>
  <c r="AE513" i="1"/>
  <c r="CV449" i="1"/>
  <c r="BO447" i="1"/>
  <c r="CC393" i="1"/>
  <c r="AV473" i="1"/>
  <c r="BD431" i="1"/>
  <c r="M413" i="1"/>
  <c r="BC511" i="1"/>
  <c r="BX449" i="1"/>
  <c r="CA446" i="1"/>
  <c r="AC398" i="1"/>
  <c r="BA480" i="1"/>
  <c r="CK437" i="1"/>
  <c r="P487" i="1"/>
  <c r="BT477" i="1"/>
  <c r="X465" i="1"/>
  <c r="CJ453" i="1"/>
  <c r="AJ444" i="1"/>
  <c r="CN434" i="1"/>
  <c r="AN425" i="1"/>
  <c r="CY464" i="1"/>
  <c r="DG427" i="1"/>
  <c r="AW416" i="1"/>
  <c r="DA406" i="1"/>
  <c r="BA397" i="1"/>
  <c r="DE387" i="1"/>
  <c r="AC389" i="1"/>
  <c r="BM377" i="1"/>
  <c r="CU515" i="1"/>
  <c r="AM453" i="1"/>
  <c r="BP423" i="1"/>
  <c r="P414" i="1"/>
  <c r="BT404" i="1"/>
  <c r="T395" i="1"/>
  <c r="BX385" i="1"/>
  <c r="X376" i="1"/>
  <c r="AA493" i="1"/>
  <c r="BW447" i="1"/>
  <c r="W422" i="1"/>
  <c r="CA412" i="1"/>
  <c r="AA403" i="1"/>
  <c r="CE393" i="1"/>
  <c r="AW385" i="1"/>
  <c r="BB479" i="1"/>
  <c r="AG417" i="1"/>
  <c r="AE446" i="1"/>
  <c r="DH470" i="1"/>
  <c r="DI419" i="1"/>
  <c r="BX494" i="1"/>
  <c r="J429" i="1"/>
  <c r="CK483" i="1"/>
  <c r="CY514" i="1"/>
  <c r="AA494" i="1"/>
  <c r="CL432" i="1"/>
  <c r="AF484" i="1"/>
  <c r="AJ441" i="1"/>
  <c r="I423" i="1"/>
  <c r="CW468" i="1"/>
  <c r="CV462" i="1"/>
  <c r="BW513" i="1"/>
  <c r="BE404" i="1"/>
  <c r="H484" i="1"/>
  <c r="L441" i="1"/>
  <c r="CO422" i="1"/>
  <c r="AJ558" i="1"/>
  <c r="CD463" i="1"/>
  <c r="BN440" i="1"/>
  <c r="BZ436" i="1"/>
  <c r="BQ431" i="1"/>
  <c r="DB440" i="1"/>
  <c r="CA509" i="1"/>
  <c r="AZ449" i="1"/>
  <c r="CM445" i="1"/>
  <c r="AG393" i="1"/>
  <c r="DD472" i="1"/>
  <c r="H431" i="1"/>
  <c r="BU412" i="1"/>
  <c r="CY507" i="1"/>
  <c r="AB449" i="1"/>
  <c r="CY444" i="1"/>
  <c r="BP497" i="1"/>
  <c r="BB451" i="1"/>
  <c r="CK403" i="1"/>
  <c r="BQ464" i="1"/>
  <c r="BW491" i="1"/>
  <c r="CF468" i="1"/>
  <c r="CR427" i="1"/>
  <c r="BA409" i="1"/>
  <c r="CG385" i="1"/>
  <c r="AO375" i="1"/>
  <c r="AY444" i="1"/>
  <c r="CV411" i="1"/>
  <c r="CZ392" i="1"/>
  <c r="DD373" i="1"/>
  <c r="CI438" i="1"/>
  <c r="BC410" i="1"/>
  <c r="BG391" i="1"/>
  <c r="BE372" i="1"/>
  <c r="BS433" i="1"/>
  <c r="X409" i="1"/>
  <c r="AB390" i="1"/>
  <c r="AF371" i="1"/>
  <c r="DD538" i="1"/>
  <c r="CA513" i="1"/>
  <c r="CD462" i="1"/>
  <c r="AZ469" i="1"/>
  <c r="AK410" i="1"/>
  <c r="L448" i="1"/>
  <c r="O504" i="1"/>
  <c r="AN428" i="1"/>
  <c r="CC391" i="1"/>
  <c r="AQ500" i="1"/>
  <c r="AR470" i="1"/>
  <c r="AZ448" i="1"/>
  <c r="BD429" i="1"/>
  <c r="AA441" i="1"/>
  <c r="M411" i="1"/>
  <c r="Q392" i="1"/>
  <c r="Q382" i="1"/>
  <c r="BW474" i="1"/>
  <c r="AF418" i="1"/>
  <c r="AJ399" i="1"/>
  <c r="AN380" i="1"/>
  <c r="AA467" i="1"/>
  <c r="CQ416" i="1"/>
  <c r="CU397" i="1"/>
  <c r="CS378" i="1"/>
  <c r="AS369" i="1"/>
  <c r="AI460" i="1"/>
  <c r="AG426" i="1"/>
  <c r="BL415" i="1"/>
  <c r="L406" i="1"/>
  <c r="BP396" i="1"/>
  <c r="P387" i="1"/>
  <c r="BT377" i="1"/>
  <c r="AM516" i="1"/>
  <c r="G454" i="1"/>
  <c r="CI423" i="1"/>
  <c r="AI414" i="1"/>
  <c r="CM404" i="1"/>
  <c r="AM395" i="1"/>
  <c r="CK383" i="1"/>
  <c r="BE373" i="1"/>
  <c r="AI480" i="1"/>
  <c r="G437" i="1"/>
  <c r="BH419" i="1"/>
  <c r="H410" i="1"/>
  <c r="BL400" i="1"/>
  <c r="L391" i="1"/>
  <c r="BP381" i="1"/>
  <c r="P372" i="1"/>
  <c r="AY473" i="1"/>
  <c r="AQ431" i="1"/>
  <c r="O418" i="1"/>
  <c r="BS408" i="1"/>
  <c r="S399" i="1"/>
  <c r="CW386" i="1"/>
  <c r="CO375" i="1"/>
  <c r="BS489" i="1"/>
  <c r="BK447" i="1"/>
  <c r="T422" i="1"/>
  <c r="BX412" i="1"/>
  <c r="X403" i="1"/>
  <c r="CB393" i="1"/>
  <c r="AB384" i="1"/>
  <c r="CF374" i="1"/>
  <c r="S485" i="1"/>
  <c r="BC442" i="1"/>
  <c r="CU420" i="1"/>
  <c r="AU411" i="1"/>
  <c r="CY401" i="1"/>
  <c r="AY392" i="1"/>
  <c r="BK389" i="1"/>
  <c r="CA378" i="1"/>
  <c r="AA369" i="1"/>
  <c r="BN407" i="1"/>
  <c r="BV369" i="1"/>
  <c r="BN359" i="1"/>
  <c r="N350" i="1"/>
  <c r="BR340" i="1"/>
  <c r="R331" i="1"/>
  <c r="BV321" i="1"/>
  <c r="X542" i="1"/>
  <c r="CX405" i="1"/>
  <c r="BU368" i="1"/>
  <c r="U359" i="1"/>
  <c r="BY349" i="1"/>
  <c r="Y340" i="1"/>
  <c r="DC388" i="1"/>
  <c r="AQ378" i="1"/>
  <c r="CU368" i="1"/>
  <c r="J405" i="1"/>
  <c r="AX368" i="1"/>
  <c r="DB358" i="1"/>
  <c r="BB349" i="1"/>
  <c r="DF339" i="1"/>
  <c r="BF330" i="1"/>
  <c r="F321" i="1"/>
  <c r="BW488" i="1"/>
  <c r="AT403" i="1"/>
  <c r="DI367" i="1"/>
  <c r="BI358" i="1"/>
  <c r="I349" i="1"/>
  <c r="BM339" i="1"/>
  <c r="CY387" i="1"/>
  <c r="BO377" i="1"/>
  <c r="CN511" i="1"/>
  <c r="DI436" i="1"/>
  <c r="BK495" i="1"/>
  <c r="DA460" i="1"/>
  <c r="F455" i="1"/>
  <c r="BY482" i="1"/>
  <c r="AZ465" i="1"/>
  <c r="BP425" i="1"/>
  <c r="AO407" i="1"/>
  <c r="L488" i="1"/>
  <c r="P445" i="1"/>
  <c r="BS429" i="1"/>
  <c r="CK481" i="1"/>
  <c r="AR465" i="1"/>
  <c r="AR425" i="1"/>
  <c r="Q407" i="1"/>
  <c r="CU505" i="1"/>
  <c r="AW451" i="1"/>
  <c r="AY494" i="1"/>
  <c r="H481" i="1"/>
  <c r="BT469" i="1"/>
  <c r="L458" i="1"/>
  <c r="CB447" i="1"/>
  <c r="AB438" i="1"/>
  <c r="CF428" i="1"/>
  <c r="BG481" i="1"/>
  <c r="AE438" i="1"/>
  <c r="CO419" i="1"/>
  <c r="AO410" i="1"/>
  <c r="CS400" i="1"/>
  <c r="AS391" i="1"/>
  <c r="CW381" i="1"/>
  <c r="Q381" i="1"/>
  <c r="BE371" i="1"/>
  <c r="BG470" i="1"/>
  <c r="Y430" i="1"/>
  <c r="BH417" i="1"/>
  <c r="H408" i="1"/>
  <c r="BL398" i="1"/>
  <c r="L389" i="1"/>
  <c r="BP379" i="1"/>
  <c r="P370" i="1"/>
  <c r="K463" i="1"/>
  <c r="AQ427" i="1"/>
  <c r="O416" i="1"/>
  <c r="BS406" i="1"/>
  <c r="S397" i="1"/>
  <c r="DE389" i="1"/>
  <c r="Q378" i="1"/>
  <c r="AR543" i="1"/>
  <c r="AM457" i="1"/>
  <c r="CK424" i="1"/>
  <c r="CN414" i="1"/>
  <c r="AN405" i="1"/>
  <c r="CR395" i="1"/>
  <c r="AR386" i="1"/>
  <c r="CV376" i="1"/>
  <c r="CN514" i="1"/>
  <c r="BW504" i="1"/>
  <c r="AQ433" i="1"/>
  <c r="BB455" i="1"/>
  <c r="CK407" i="1"/>
  <c r="AM429" i="1"/>
  <c r="AB465" i="1"/>
  <c r="BU417" i="1"/>
  <c r="DB490" i="1"/>
  <c r="K511" i="1"/>
  <c r="AG473" i="1"/>
  <c r="DC495" i="1"/>
  <c r="AX486" i="1"/>
  <c r="AX430" i="1"/>
  <c r="CV481" i="1"/>
  <c r="CZ438" i="1"/>
  <c r="BY420" i="1"/>
  <c r="BU457" i="1"/>
  <c r="BD459" i="1"/>
  <c r="BK486" i="1"/>
  <c r="Q402" i="1"/>
  <c r="BX481" i="1"/>
  <c r="CB438" i="1"/>
  <c r="AX483" i="1"/>
  <c r="CX472" i="1"/>
  <c r="BB460" i="1"/>
  <c r="DB449" i="1"/>
  <c r="BB440" i="1"/>
  <c r="DF430" i="1"/>
  <c r="AR519" i="1"/>
  <c r="CO487" i="1"/>
  <c r="AO478" i="1"/>
  <c r="CG465" i="1"/>
  <c r="AO454" i="1"/>
  <c r="CS444" i="1"/>
  <c r="AS435" i="1"/>
  <c r="S492" i="1"/>
  <c r="V481" i="1"/>
  <c r="CH469" i="1"/>
  <c r="Z458" i="1"/>
  <c r="CP447" i="1"/>
  <c r="AP438" i="1"/>
  <c r="CT428" i="1"/>
  <c r="AM510" i="1"/>
  <c r="CC485" i="1"/>
  <c r="Y475" i="1"/>
  <c r="CK463" i="1"/>
  <c r="AC452" i="1"/>
  <c r="CG442" i="1"/>
  <c r="AG433" i="1"/>
  <c r="CA497" i="1"/>
  <c r="CT489" i="1"/>
  <c r="AT480" i="1"/>
  <c r="CP468" i="1"/>
  <c r="AX457" i="1"/>
  <c r="CX446" i="1"/>
  <c r="AX437" i="1"/>
  <c r="DB427" i="1"/>
  <c r="BS506" i="1"/>
  <c r="CK484" i="1"/>
  <c r="AG474" i="1"/>
  <c r="CS462" i="1"/>
  <c r="AK451" i="1"/>
  <c r="CO441" i="1"/>
  <c r="AO432" i="1"/>
  <c r="DG493" i="1"/>
  <c r="N489" i="1"/>
  <c r="BR479" i="1"/>
  <c r="J468" i="1"/>
  <c r="BR455" i="1"/>
  <c r="BP548" i="1"/>
  <c r="CR524" i="1"/>
  <c r="AO492" i="1"/>
  <c r="AF492" i="1"/>
  <c r="BJ462" i="1"/>
  <c r="DD535" i="1"/>
  <c r="AS455" i="1"/>
  <c r="Z482" i="1"/>
  <c r="AT439" i="1"/>
  <c r="AG477" i="1"/>
  <c r="AK434" i="1"/>
  <c r="CT469" i="1"/>
  <c r="N436" i="1"/>
  <c r="AI501" i="1"/>
  <c r="DA472" i="1"/>
  <c r="DE449" i="1"/>
  <c r="BT550" i="1"/>
  <c r="CH487" i="1"/>
  <c r="CP465" i="1"/>
  <c r="R450" i="1"/>
  <c r="BV440" i="1"/>
  <c r="V431" i="1"/>
  <c r="AN522" i="1"/>
  <c r="AS458" i="1"/>
  <c r="AM507" i="1"/>
  <c r="BT482" i="1"/>
  <c r="P472" i="1"/>
  <c r="BX459" i="1"/>
  <c r="T449" i="1"/>
  <c r="BX439" i="1"/>
  <c r="X430" i="1"/>
  <c r="AI487" i="1"/>
  <c r="BS444" i="1"/>
  <c r="AW421" i="1"/>
  <c r="DA411" i="1"/>
  <c r="BA402" i="1"/>
  <c r="DE392" i="1"/>
  <c r="BQ460" i="1"/>
  <c r="BS511" i="1"/>
  <c r="X483" i="1"/>
  <c r="BX472" i="1"/>
  <c r="AB460" i="1"/>
  <c r="CB449" i="1"/>
  <c r="CW479" i="1"/>
  <c r="BZ473" i="1"/>
  <c r="BV424" i="1"/>
  <c r="L475" i="1"/>
  <c r="T433" i="1"/>
  <c r="CW414" i="1"/>
  <c r="DA433" i="1"/>
  <c r="BX452" i="1"/>
  <c r="DD428" i="1"/>
  <c r="S439" i="1"/>
  <c r="BM410" i="1"/>
  <c r="CE501" i="1"/>
  <c r="AM491" i="1"/>
  <c r="AB469" i="1"/>
  <c r="T447" i="1"/>
  <c r="X428" i="1"/>
  <c r="BS436" i="1"/>
  <c r="AW419" i="1"/>
  <c r="DA409" i="1"/>
  <c r="BA400" i="1"/>
  <c r="AS492" i="1"/>
  <c r="AJ492" i="1"/>
  <c r="BE496" i="1"/>
  <c r="AV496" i="1"/>
  <c r="CD467" i="1"/>
  <c r="BZ426" i="1"/>
  <c r="BM460" i="1"/>
  <c r="AP486" i="1"/>
  <c r="BJ443" i="1"/>
  <c r="AW481" i="1"/>
  <c r="BA438" i="1"/>
  <c r="J475" i="1"/>
  <c r="AL438" i="1"/>
  <c r="W510" i="1"/>
  <c r="U475" i="1"/>
  <c r="Y452" i="1"/>
  <c r="AC433" i="1"/>
  <c r="DF489" i="1"/>
  <c r="DB468" i="1"/>
  <c r="V451" i="1"/>
  <c r="BZ441" i="1"/>
  <c r="Z432" i="1"/>
  <c r="CZ538" i="1"/>
  <c r="CC463" i="1"/>
  <c r="BS515" i="1"/>
  <c r="BX483" i="1"/>
  <c r="T473" i="1"/>
  <c r="CB460" i="1"/>
  <c r="X450" i="1"/>
  <c r="CB440" i="1"/>
  <c r="AB431" i="1"/>
  <c r="AI495" i="1"/>
  <c r="CI448" i="1"/>
  <c r="BA422" i="1"/>
  <c r="DE412" i="1"/>
  <c r="BE403" i="1"/>
  <c r="DI393" i="1"/>
  <c r="DA465" i="1"/>
  <c r="DD523" i="1"/>
  <c r="AB484" i="1"/>
  <c r="CB473" i="1"/>
  <c r="AJ462" i="1"/>
  <c r="CF450" i="1"/>
  <c r="AF441" i="1"/>
  <c r="CJ431" i="1"/>
  <c r="W504" i="1"/>
  <c r="AU450" i="1"/>
  <c r="CS422" i="1"/>
  <c r="AS413" i="1"/>
  <c r="CW403" i="1"/>
  <c r="AW394" i="1"/>
  <c r="AW463" i="1"/>
  <c r="CQ513" i="1"/>
  <c r="AZ483" i="1"/>
  <c r="CZ472" i="1"/>
  <c r="BD460" i="1"/>
  <c r="DD449" i="1"/>
  <c r="BD440" i="1"/>
  <c r="DH430" i="1"/>
  <c r="CE491" i="1"/>
  <c r="CU447" i="1"/>
  <c r="AC422" i="1"/>
  <c r="CG412" i="1"/>
  <c r="AG403" i="1"/>
  <c r="CK393" i="1"/>
  <c r="CR543" i="1"/>
  <c r="AU515" i="1"/>
  <c r="U491" i="1"/>
  <c r="L491" i="1"/>
  <c r="AL460" i="1"/>
  <c r="W518" i="1"/>
  <c r="Y454" i="1"/>
  <c r="F481" i="1"/>
  <c r="Z438" i="1"/>
  <c r="I475" i="1"/>
  <c r="Q433" i="1"/>
  <c r="BZ468" i="1"/>
  <c r="BF435" i="1"/>
  <c r="CY498" i="1"/>
  <c r="AO472" i="1"/>
  <c r="AS449" i="1"/>
  <c r="T541" i="1"/>
  <c r="V487" i="1"/>
  <c r="AD465" i="1"/>
  <c r="CP449" i="1"/>
  <c r="AP440" i="1"/>
  <c r="CT430" i="1"/>
  <c r="AM518" i="1"/>
  <c r="Y457" i="1"/>
  <c r="DC504" i="1"/>
  <c r="AN482" i="1"/>
  <c r="CJ470" i="1"/>
  <c r="AR459" i="1"/>
  <c r="CR448" i="1"/>
  <c r="AR439" i="1"/>
  <c r="CV429" i="1"/>
  <c r="O486" i="1"/>
  <c r="AY443" i="1"/>
  <c r="Q421" i="1"/>
  <c r="BU411" i="1"/>
  <c r="U402" i="1"/>
  <c r="BY392" i="1"/>
  <c r="AW459" i="1"/>
  <c r="AE509" i="1"/>
  <c r="CV482" i="1"/>
  <c r="AR472" i="1"/>
  <c r="CZ459" i="1"/>
  <c r="AV449" i="1"/>
  <c r="CZ439" i="1"/>
  <c r="AZ430" i="1"/>
  <c r="AM488" i="1"/>
  <c r="K445" i="1"/>
  <c r="BI421" i="1"/>
  <c r="I412" i="1"/>
  <c r="BM402" i="1"/>
  <c r="M393" i="1"/>
  <c r="CC455" i="1"/>
  <c r="W503" i="1"/>
  <c r="P482" i="1"/>
  <c r="CB470" i="1"/>
  <c r="T459" i="1"/>
  <c r="BT448" i="1"/>
  <c r="T439" i="1"/>
  <c r="BX429" i="1"/>
  <c r="AA485" i="1"/>
  <c r="BK442" i="1"/>
  <c r="CW420" i="1"/>
  <c r="AW411" i="1"/>
  <c r="L513" i="1"/>
  <c r="AF524" i="1"/>
  <c r="J478" i="1"/>
  <c r="BZ464" i="1"/>
  <c r="I448" i="1"/>
  <c r="N449" i="1"/>
  <c r="BU453" i="1"/>
  <c r="BT458" i="1"/>
  <c r="S483" i="1"/>
  <c r="AW401" i="1"/>
  <c r="T482" i="1"/>
  <c r="X439" i="1"/>
  <c r="CK420" i="1"/>
  <c r="CG452" i="1"/>
  <c r="AV458" i="1"/>
  <c r="AE482" i="1"/>
  <c r="CK401" i="1"/>
  <c r="U488" i="1"/>
  <c r="BE445" i="1"/>
  <c r="H489" i="1"/>
  <c r="BL479" i="1"/>
  <c r="T468" i="1"/>
  <c r="CB455" i="1"/>
  <c r="AB446" i="1"/>
  <c r="CF436" i="1"/>
  <c r="AF427" i="1"/>
  <c r="AU474" i="1"/>
  <c r="AM432" i="1"/>
  <c r="AO418" i="1"/>
  <c r="CS408" i="1"/>
  <c r="G506" i="1"/>
  <c r="DB488" i="1"/>
  <c r="CH431" i="1"/>
  <c r="AB483" i="1"/>
  <c r="AF440" i="1"/>
  <c r="DI421" i="1"/>
  <c r="U464" i="1"/>
  <c r="CN460" i="1"/>
  <c r="P433" i="1"/>
  <c r="CE455" i="1"/>
  <c r="CC414" i="1"/>
  <c r="CG395" i="1"/>
  <c r="AN542" i="1"/>
  <c r="AF474" i="1"/>
  <c r="AJ451" i="1"/>
  <c r="AN432" i="1"/>
  <c r="AA453" i="1"/>
  <c r="Y421" i="1"/>
  <c r="CC411" i="1"/>
  <c r="AC402" i="1"/>
  <c r="BE499" i="1"/>
  <c r="AV499" i="1"/>
  <c r="BQ503" i="1"/>
  <c r="BH503" i="1"/>
  <c r="CD475" i="1"/>
  <c r="CL433" i="1"/>
  <c r="BQ469" i="1"/>
  <c r="AU503" i="1"/>
  <c r="BV450" i="1"/>
  <c r="BI488" i="1"/>
  <c r="BM445" i="1"/>
  <c r="Z483" i="1"/>
  <c r="CT441" i="1"/>
  <c r="CV541" i="1"/>
  <c r="CG479" i="1"/>
  <c r="CG455" i="1"/>
  <c r="CK436" i="1"/>
  <c r="CA503" i="1"/>
  <c r="BJ473" i="1"/>
  <c r="DB452" i="1"/>
  <c r="BB443" i="1"/>
  <c r="DF433" i="1"/>
  <c r="BF424" i="1"/>
  <c r="Y473" i="1"/>
  <c r="CO431" i="1"/>
  <c r="AZ485" i="1"/>
  <c r="CZ474" i="1"/>
  <c r="AR463" i="1"/>
  <c r="DD451" i="1"/>
  <c r="BD442" i="1"/>
  <c r="DH432" i="1"/>
  <c r="AB539" i="1"/>
  <c r="CU455" i="1"/>
  <c r="BW424" i="1"/>
  <c r="CG414" i="1"/>
  <c r="AG405" i="1"/>
  <c r="CK395" i="1"/>
  <c r="CO474" i="1"/>
  <c r="AO433" i="1"/>
  <c r="DH485" i="1"/>
  <c r="BD475" i="1"/>
  <c r="L464" i="1"/>
  <c r="BH452" i="1"/>
  <c r="H443" i="1"/>
  <c r="BL433" i="1"/>
  <c r="L424" i="1"/>
  <c r="CA458" i="1"/>
  <c r="BC425" i="1"/>
  <c r="U415" i="1"/>
  <c r="BY405" i="1"/>
  <c r="Y396" i="1"/>
  <c r="CW472" i="1"/>
  <c r="AS431" i="1"/>
  <c r="AB485" i="1"/>
  <c r="CB474" i="1"/>
  <c r="AJ463" i="1"/>
  <c r="CF451" i="1"/>
  <c r="AF442" i="1"/>
  <c r="CJ432" i="1"/>
  <c r="DH524" i="1"/>
  <c r="DG454" i="1"/>
  <c r="AA424" i="1"/>
  <c r="BI414" i="1"/>
  <c r="I405" i="1"/>
  <c r="BM395" i="1"/>
  <c r="U494" i="1"/>
  <c r="L494" i="1"/>
  <c r="AG498" i="1"/>
  <c r="X498" i="1"/>
  <c r="BF469" i="1"/>
  <c r="BB428" i="1"/>
  <c r="AC463" i="1"/>
  <c r="R488" i="1"/>
  <c r="AL445" i="1"/>
  <c r="Y483" i="1"/>
  <c r="AC440" i="1"/>
  <c r="CT477" i="1"/>
  <c r="J439" i="1"/>
  <c r="S513" i="1"/>
  <c r="CW475" i="1"/>
  <c r="DA452" i="1"/>
  <c r="DE433" i="1"/>
  <c r="AY492" i="1"/>
  <c r="BZ469" i="1"/>
  <c r="BR451" i="1"/>
  <c r="R442" i="1"/>
  <c r="BV432" i="1"/>
  <c r="H546" i="1"/>
  <c r="BE465" i="1"/>
  <c r="DH520" i="1"/>
  <c r="P484" i="1"/>
  <c r="BP473" i="1"/>
  <c r="H462" i="1"/>
  <c r="BT450" i="1"/>
  <c r="T441" i="1"/>
  <c r="BX431" i="1"/>
  <c r="AU502" i="1"/>
  <c r="BK450" i="1"/>
  <c r="CW422" i="1"/>
  <c r="AW413" i="1"/>
  <c r="DA403" i="1"/>
  <c r="BA394" i="1"/>
  <c r="AK468" i="1"/>
  <c r="X538" i="1"/>
  <c r="BX484" i="1"/>
  <c r="T474" i="1"/>
  <c r="CF462" i="1"/>
  <c r="X451" i="1"/>
  <c r="CB441" i="1"/>
  <c r="AB432" i="1"/>
  <c r="AI511" i="1"/>
  <c r="W452" i="1"/>
  <c r="AK423" i="1"/>
  <c r="CO413" i="1"/>
  <c r="AO404" i="1"/>
  <c r="CS394" i="1"/>
  <c r="Y465" i="1"/>
  <c r="AU517" i="1"/>
  <c r="CV483" i="1"/>
  <c r="AR473" i="1"/>
  <c r="CZ460" i="1"/>
  <c r="AV450" i="1"/>
  <c r="CZ440" i="1"/>
  <c r="AZ431" i="1"/>
  <c r="CQ498" i="1"/>
  <c r="BW449" i="1"/>
  <c r="BY422" i="1"/>
  <c r="Y413" i="1"/>
  <c r="CC403" i="1"/>
  <c r="BL516" i="1"/>
  <c r="CG441" i="1"/>
  <c r="CE516" i="1"/>
  <c r="AO464" i="1"/>
  <c r="R458" i="1"/>
  <c r="AW487" i="1"/>
  <c r="BX467" i="1"/>
  <c r="CJ426" i="1"/>
  <c r="BI408" i="1"/>
  <c r="AF489" i="1"/>
  <c r="AJ446" i="1"/>
  <c r="BS432" i="1"/>
  <c r="BI486" i="1"/>
  <c r="BP467" i="1"/>
  <c r="BL426" i="1"/>
  <c r="AK408" i="1"/>
  <c r="BS510" i="1"/>
  <c r="BQ452" i="1"/>
  <c r="CM496" i="1"/>
  <c r="AN481" i="1"/>
  <c r="CZ469" i="1"/>
  <c r="AR458" i="1"/>
  <c r="DH447" i="1"/>
  <c r="BH438" i="1"/>
  <c r="H429" i="1"/>
  <c r="CA482" i="1"/>
  <c r="AY439" i="1"/>
  <c r="Q420" i="1"/>
  <c r="BU410" i="1"/>
  <c r="U401" i="1"/>
  <c r="BY391" i="1"/>
  <c r="Y382" i="1"/>
  <c r="BI381" i="1"/>
  <c r="CK371" i="1"/>
  <c r="CU472" i="1"/>
  <c r="CK430" i="1"/>
  <c r="CN417" i="1"/>
  <c r="AN408" i="1"/>
  <c r="CR398" i="1"/>
  <c r="AR389" i="1"/>
  <c r="CV379" i="1"/>
  <c r="AV370" i="1"/>
  <c r="AE464" i="1"/>
  <c r="DC427" i="1"/>
  <c r="AU416" i="1"/>
  <c r="CY406" i="1"/>
  <c r="AY397" i="1"/>
  <c r="AS390" i="1"/>
  <c r="AW378" i="1"/>
  <c r="DA368" i="1"/>
  <c r="BG458" i="1"/>
  <c r="AS425" i="1"/>
  <c r="P415" i="1"/>
  <c r="BT405" i="1"/>
  <c r="T396" i="1"/>
  <c r="BX386" i="1"/>
  <c r="X377" i="1"/>
  <c r="AA509" i="1"/>
  <c r="CS501" i="1"/>
  <c r="DB477" i="1"/>
  <c r="CP451" i="1"/>
  <c r="BB442" i="1"/>
  <c r="AS437" i="1"/>
  <c r="CH443" i="1"/>
  <c r="AW432" i="1"/>
  <c r="AF452" i="1"/>
  <c r="BW457" i="1"/>
  <c r="M396" i="1"/>
  <c r="CJ475" i="1"/>
  <c r="CR433" i="1"/>
  <c r="BA415" i="1"/>
  <c r="DE431" i="1"/>
  <c r="H452" i="1"/>
  <c r="AQ457" i="1"/>
  <c r="DE398" i="1"/>
  <c r="CO482" i="1"/>
  <c r="U440" i="1"/>
  <c r="CB487" i="1"/>
  <c r="AB478" i="1"/>
  <c r="CJ465" i="1"/>
  <c r="AR454" i="1"/>
  <c r="CV444" i="1"/>
  <c r="AV435" i="1"/>
  <c r="CZ425" i="1"/>
  <c r="BC468" i="1"/>
  <c r="W429" i="1"/>
  <c r="DI416" i="1"/>
  <c r="BI407" i="1"/>
  <c r="I398" i="1"/>
  <c r="BM388" i="1"/>
  <c r="DI389" i="1"/>
  <c r="U378" i="1"/>
  <c r="CF545" i="1"/>
  <c r="CA455" i="1"/>
  <c r="BM424" i="1"/>
  <c r="CB414" i="1"/>
  <c r="AB405" i="1"/>
  <c r="CF395" i="1"/>
  <c r="AF386" i="1"/>
  <c r="CJ376" i="1"/>
  <c r="CA502" i="1"/>
  <c r="G450" i="1"/>
  <c r="CI422" i="1"/>
  <c r="AI413" i="1"/>
  <c r="CM403" i="1"/>
  <c r="AM394" i="1"/>
  <c r="AC386" i="1"/>
  <c r="BE468" i="1"/>
  <c r="AH462" i="1"/>
  <c r="AI505" i="1"/>
  <c r="AJ469" i="1"/>
  <c r="AV428" i="1"/>
  <c r="U410" i="1"/>
  <c r="AU497" i="1"/>
  <c r="CZ447" i="1"/>
  <c r="BP426" i="1"/>
  <c r="BG430" i="1"/>
  <c r="Y408" i="1"/>
  <c r="BM483" i="1"/>
  <c r="CF487" i="1"/>
  <c r="CN465" i="1"/>
  <c r="CJ444" i="1"/>
  <c r="CN425" i="1"/>
  <c r="CU431" i="1"/>
  <c r="AC418" i="1"/>
  <c r="CG408" i="1"/>
  <c r="AG399" i="1"/>
  <c r="AB546" i="1"/>
  <c r="CI517" i="1"/>
  <c r="CG491" i="1"/>
  <c r="BX491" i="1"/>
  <c r="CX460" i="1"/>
  <c r="BD526" i="1"/>
  <c r="CK454" i="1"/>
  <c r="BR481" i="1"/>
  <c r="CL438" i="1"/>
  <c r="BU475" i="1"/>
  <c r="CC433" i="1"/>
  <c r="AH469" i="1"/>
  <c r="DB435" i="1"/>
  <c r="CA500" i="1"/>
  <c r="CK472" i="1"/>
  <c r="CO449" i="1"/>
  <c r="AF548" i="1"/>
  <c r="BR487" i="1"/>
  <c r="BZ465" i="1"/>
  <c r="DF449" i="1"/>
  <c r="BF440" i="1"/>
  <c r="F431" i="1"/>
  <c r="DD519" i="1"/>
  <c r="CK457" i="1"/>
  <c r="S506" i="1"/>
  <c r="BD482" i="1"/>
  <c r="CZ470" i="1"/>
  <c r="BH459" i="1"/>
  <c r="DH448" i="1"/>
  <c r="BH439" i="1"/>
  <c r="H430" i="1"/>
  <c r="CA486" i="1"/>
  <c r="G444" i="1"/>
  <c r="AG421" i="1"/>
  <c r="CK411" i="1"/>
  <c r="AK402" i="1"/>
  <c r="CO392" i="1"/>
  <c r="DI459" i="1"/>
  <c r="AY510" i="1"/>
  <c r="H483" i="1"/>
  <c r="BH472" i="1"/>
  <c r="L460" i="1"/>
  <c r="BL449" i="1"/>
  <c r="L440" i="1"/>
  <c r="BP430" i="1"/>
  <c r="CY488" i="1"/>
  <c r="BW445" i="1"/>
  <c r="BY421" i="1"/>
  <c r="Y412" i="1"/>
  <c r="CC402" i="1"/>
  <c r="AC393" i="1"/>
  <c r="BE457" i="1"/>
  <c r="AQ504" i="1"/>
  <c r="AF482" i="1"/>
  <c r="CR470" i="1"/>
  <c r="AJ459" i="1"/>
  <c r="CJ448" i="1"/>
  <c r="AJ439" i="1"/>
  <c r="CN429" i="1"/>
  <c r="CM485" i="1"/>
  <c r="S443" i="1"/>
  <c r="I421" i="1"/>
  <c r="BM411" i="1"/>
  <c r="M402" i="1"/>
  <c r="DD505" i="1"/>
  <c r="CV524" i="1"/>
  <c r="CF543" i="1"/>
  <c r="AN541" i="1"/>
  <c r="CU512" i="1"/>
  <c r="BJ454" i="1"/>
  <c r="AA499" i="1"/>
  <c r="BA449" i="1"/>
  <c r="AT475" i="1"/>
  <c r="BB433" i="1"/>
  <c r="AG469" i="1"/>
  <c r="K516" i="1"/>
  <c r="CX462" i="1"/>
  <c r="R433" i="1"/>
  <c r="DE489" i="1"/>
  <c r="M469" i="1"/>
  <c r="DI446" i="1"/>
  <c r="CE514" i="1"/>
  <c r="CL484" i="1"/>
  <c r="CT462" i="1"/>
  <c r="BV448" i="1"/>
  <c r="V439" i="1"/>
  <c r="BZ429" i="1"/>
  <c r="G510" i="1"/>
  <c r="CS451" i="1"/>
  <c r="BC495" i="1"/>
  <c r="T481" i="1"/>
  <c r="BP469" i="1"/>
  <c r="X458" i="1"/>
  <c r="BX447" i="1"/>
  <c r="X438" i="1"/>
  <c r="CB428" i="1"/>
  <c r="AQ481" i="1"/>
  <c r="CA438" i="1"/>
  <c r="DA419" i="1"/>
  <c r="BA410" i="1"/>
  <c r="DE400" i="1"/>
  <c r="W514" i="1"/>
  <c r="M454" i="1"/>
  <c r="CI499" i="1"/>
  <c r="CB481" i="1"/>
  <c r="T470" i="1"/>
  <c r="CF458" i="1"/>
  <c r="AB448" i="1"/>
  <c r="CF438" i="1"/>
  <c r="AF429" i="1"/>
  <c r="BO483" i="1"/>
  <c r="AM440" i="1"/>
  <c r="AO420" i="1"/>
  <c r="CS410" i="1"/>
  <c r="AS401" i="1"/>
  <c r="BC506" i="1"/>
  <c r="DE450" i="1"/>
  <c r="CA493" i="1"/>
  <c r="CZ480" i="1"/>
  <c r="BH469" i="1"/>
  <c r="DD457" i="1"/>
  <c r="AZ447" i="1"/>
  <c r="DD437" i="1"/>
  <c r="BD428" i="1"/>
  <c r="BC480" i="1"/>
  <c r="CM437" i="1"/>
  <c r="CC419" i="1"/>
  <c r="AC410" i="1"/>
  <c r="BQ506" i="1"/>
  <c r="AL480" i="1"/>
  <c r="Z454" i="1"/>
  <c r="CL443" i="1"/>
  <c r="BM438" i="1"/>
  <c r="AP444" i="1"/>
  <c r="BY434" i="1"/>
  <c r="CR452" i="1"/>
  <c r="G460" i="1"/>
  <c r="BY396" i="1"/>
  <c r="AV477" i="1"/>
  <c r="AZ434" i="1"/>
  <c r="I416" i="1"/>
  <c r="CK433" i="1"/>
  <c r="BT452" i="1"/>
  <c r="CE459" i="1"/>
  <c r="AW399" i="1"/>
  <c r="AW483" i="1"/>
  <c r="CG440" i="1"/>
  <c r="CR487" i="1"/>
  <c r="AR478" i="1"/>
  <c r="CZ465" i="1"/>
  <c r="BH454" i="1"/>
  <c r="H445" i="1"/>
  <c r="BL435" i="1"/>
  <c r="L426" i="1"/>
  <c r="K469" i="1"/>
  <c r="BC429" i="1"/>
  <c r="U417" i="1"/>
  <c r="BY407" i="1"/>
  <c r="Y398" i="1"/>
  <c r="CC388" i="1"/>
  <c r="AC390" i="1"/>
  <c r="AK378" i="1"/>
  <c r="CV565" i="1"/>
  <c r="BC457" i="1"/>
  <c r="CS424" i="1"/>
  <c r="CR414" i="1"/>
  <c r="AR405" i="1"/>
  <c r="CV395" i="1"/>
  <c r="AV386" i="1"/>
  <c r="CZ376" i="1"/>
  <c r="K505" i="1"/>
  <c r="BS450" i="1"/>
  <c r="CY422" i="1"/>
  <c r="AY413" i="1"/>
  <c r="DC403" i="1"/>
  <c r="BC394" i="1"/>
  <c r="AW386" i="1"/>
  <c r="BA375" i="1"/>
  <c r="S488" i="1"/>
  <c r="BC445" i="1"/>
  <c r="BT421" i="1"/>
  <c r="T412" i="1"/>
  <c r="BX402" i="1"/>
  <c r="X393" i="1"/>
  <c r="CB383" i="1"/>
  <c r="AB374" i="1"/>
  <c r="K483" i="1"/>
  <c r="P491" i="1"/>
  <c r="BF425" i="1"/>
  <c r="AC480" i="1"/>
  <c r="CM507" i="1"/>
  <c r="AT489" i="1"/>
  <c r="CX431" i="1"/>
  <c r="AR483" i="1"/>
  <c r="AV440" i="1"/>
  <c r="U422" i="1"/>
  <c r="CG464" i="1"/>
  <c r="DD460" i="1"/>
  <c r="AY499" i="1"/>
  <c r="BQ403" i="1"/>
  <c r="T483" i="1"/>
  <c r="X440" i="1"/>
  <c r="DA421" i="1"/>
  <c r="Q395" i="1"/>
  <c r="Y469" i="1"/>
  <c r="BL540" i="1"/>
  <c r="CF484" i="1"/>
  <c r="AR474" i="1"/>
  <c r="CN462" i="1"/>
  <c r="AV451" i="1"/>
  <c r="CZ441" i="1"/>
  <c r="AZ432" i="1"/>
  <c r="CQ514" i="1"/>
  <c r="K453" i="1"/>
  <c r="BI423" i="1"/>
  <c r="I414" i="1"/>
  <c r="BM404" i="1"/>
  <c r="M395" i="1"/>
  <c r="BQ385" i="1"/>
  <c r="M386" i="1"/>
  <c r="Y375" i="1"/>
  <c r="O487" i="1"/>
  <c r="CQ443" i="1"/>
  <c r="AB421" i="1"/>
  <c r="CF411" i="1"/>
  <c r="AF402" i="1"/>
  <c r="CJ392" i="1"/>
  <c r="AJ383" i="1"/>
  <c r="CN373" i="1"/>
  <c r="AY481" i="1"/>
  <c r="W438" i="1"/>
  <c r="CM419" i="1"/>
  <c r="AM410" i="1"/>
  <c r="CQ400" i="1"/>
  <c r="AQ391" i="1"/>
  <c r="AG382" i="1"/>
  <c r="F427" i="1"/>
  <c r="AW443" i="1"/>
  <c r="AO412" i="1"/>
  <c r="CZ448" i="1"/>
  <c r="BI410" i="1"/>
  <c r="CS498" i="1"/>
  <c r="CO463" i="1"/>
  <c r="CO440" i="1"/>
  <c r="AS477" i="1"/>
  <c r="R470" i="1"/>
  <c r="AV548" i="1"/>
  <c r="CF473" i="1"/>
  <c r="CN431" i="1"/>
  <c r="BM413" i="1"/>
  <c r="CZ542" i="1"/>
  <c r="AN451" i="1"/>
  <c r="CI452" i="1"/>
  <c r="DI394" i="1"/>
  <c r="BH473" i="1"/>
  <c r="BP431" i="1"/>
  <c r="AO413" i="1"/>
  <c r="CN543" i="1"/>
  <c r="BX564" i="1"/>
  <c r="BA478" i="1"/>
  <c r="BW503" i="1"/>
  <c r="AP488" i="1"/>
  <c r="BB431" i="1"/>
  <c r="CZ482" i="1"/>
  <c r="DD439" i="1"/>
  <c r="CC421" i="1"/>
  <c r="DE462" i="1"/>
  <c r="BH460" i="1"/>
  <c r="AM492" i="1"/>
  <c r="U403" i="1"/>
  <c r="CB482" i="1"/>
  <c r="CF439" i="1"/>
  <c r="BE421" i="1"/>
  <c r="BJ487" i="1"/>
  <c r="CW464" i="1"/>
  <c r="BH484" i="1"/>
  <c r="CJ460" i="1"/>
  <c r="CS447" i="1"/>
  <c r="X457" i="1"/>
  <c r="DC477" i="1"/>
  <c r="DE399" i="1"/>
  <c r="DI380" i="1"/>
  <c r="BQ370" i="1"/>
  <c r="AW428" i="1"/>
  <c r="T407" i="1"/>
  <c r="X388" i="1"/>
  <c r="AB369" i="1"/>
  <c r="BO425" i="1"/>
  <c r="CE405" i="1"/>
  <c r="CK388" i="1"/>
  <c r="BK510" i="1"/>
  <c r="AV423" i="1"/>
  <c r="AZ404" i="1"/>
  <c r="BD385" i="1"/>
  <c r="AE490" i="1"/>
  <c r="DB453" i="1"/>
  <c r="DF432" i="1"/>
  <c r="F439" i="1"/>
  <c r="BH447" i="1"/>
  <c r="CM511" i="1"/>
  <c r="P429" i="1"/>
  <c r="BG492" i="1"/>
  <c r="AA437" i="1"/>
  <c r="M478" i="1"/>
  <c r="BH486" i="1"/>
  <c r="BP464" i="1"/>
  <c r="CB443" i="1"/>
  <c r="CF424" i="1"/>
  <c r="CM426" i="1"/>
  <c r="AO406" i="1"/>
  <c r="AS387" i="1"/>
  <c r="DE376" i="1"/>
  <c r="DC450" i="1"/>
  <c r="BH413" i="1"/>
  <c r="BL394" i="1"/>
  <c r="BP375" i="1"/>
  <c r="AI445" i="1"/>
  <c r="O412" i="1"/>
  <c r="S393" i="1"/>
  <c r="BE376" i="1"/>
  <c r="CA498" i="1"/>
  <c r="BS449" i="1"/>
  <c r="BX422" i="1"/>
  <c r="X413" i="1"/>
  <c r="CB403" i="1"/>
  <c r="AB394" i="1"/>
  <c r="CF384" i="1"/>
  <c r="AF375" i="1"/>
  <c r="AA487" i="1"/>
  <c r="BK444" i="1"/>
  <c r="AU421" i="1"/>
  <c r="CY411" i="1"/>
  <c r="AY402" i="1"/>
  <c r="DC392" i="1"/>
  <c r="BU380" i="1"/>
  <c r="Q371" i="1"/>
  <c r="AY468" i="1"/>
  <c r="BA429" i="1"/>
  <c r="T417" i="1"/>
  <c r="BX407" i="1"/>
  <c r="X398" i="1"/>
  <c r="CB388" i="1"/>
  <c r="AB379" i="1"/>
  <c r="CF369" i="1"/>
  <c r="DG460" i="1"/>
  <c r="BS426" i="1"/>
  <c r="CE415" i="1"/>
  <c r="AE406" i="1"/>
  <c r="CI396" i="1"/>
  <c r="CG383" i="1"/>
  <c r="BA373" i="1"/>
  <c r="S480" i="1"/>
  <c r="K438" i="1"/>
  <c r="CJ419" i="1"/>
  <c r="AJ410" i="1"/>
  <c r="CN400" i="1"/>
  <c r="AN391" i="1"/>
  <c r="CR381" i="1"/>
  <c r="AR372" i="1"/>
  <c r="BC474" i="1"/>
  <c r="DG432" i="1"/>
  <c r="BG418" i="1"/>
  <c r="G409" i="1"/>
  <c r="BK399" i="1"/>
  <c r="K390" i="1"/>
  <c r="AE386" i="1"/>
  <c r="AM376" i="1"/>
  <c r="O465" i="1"/>
  <c r="N398" i="1"/>
  <c r="BZ366" i="1"/>
  <c r="Z357" i="1"/>
  <c r="CD347" i="1"/>
  <c r="AD338" i="1"/>
  <c r="CH328" i="1"/>
  <c r="AH319" i="1"/>
  <c r="CM460" i="1"/>
  <c r="AX396" i="1"/>
  <c r="AG366" i="1"/>
  <c r="CK356" i="1"/>
  <c r="AK347" i="1"/>
  <c r="CO337" i="1"/>
  <c r="CM385" i="1"/>
  <c r="DG375" i="1"/>
  <c r="G455" i="1"/>
  <c r="BN395" i="1"/>
  <c r="J366" i="1"/>
  <c r="BN356" i="1"/>
  <c r="N347" i="1"/>
  <c r="BR337" i="1"/>
  <c r="R328" i="1"/>
  <c r="BV318" i="1"/>
  <c r="AQ448" i="1"/>
  <c r="CX393" i="1"/>
  <c r="BU365" i="1"/>
  <c r="U356" i="1"/>
  <c r="BY346" i="1"/>
  <c r="Y337" i="1"/>
  <c r="CI384" i="1"/>
  <c r="M516" i="1"/>
  <c r="J485" i="1"/>
  <c r="CP459" i="1"/>
  <c r="BJ448" i="1"/>
  <c r="DA440" i="1"/>
  <c r="BJ445" i="1"/>
  <c r="AW439" i="1"/>
  <c r="H454" i="1"/>
  <c r="DC465" i="1"/>
  <c r="CS397" i="1"/>
  <c r="BP478" i="1"/>
  <c r="BT435" i="1"/>
  <c r="AC417" i="1"/>
  <c r="BI438" i="1"/>
  <c r="CN453" i="1"/>
  <c r="K465" i="1"/>
  <c r="DI399" i="1"/>
  <c r="BQ484" i="1"/>
  <c r="DA441" i="1"/>
  <c r="T488" i="1"/>
  <c r="BX478" i="1"/>
  <c r="AF467" i="1"/>
  <c r="CN454" i="1"/>
  <c r="AN445" i="1"/>
  <c r="CR435" i="1"/>
  <c r="AR426" i="1"/>
  <c r="AE470" i="1"/>
  <c r="K430" i="1"/>
  <c r="BA417" i="1"/>
  <c r="DE407" i="1"/>
  <c r="BE398" i="1"/>
  <c r="DI388" i="1"/>
  <c r="BQ390" i="1"/>
  <c r="BQ378" i="1"/>
  <c r="Q369" i="1"/>
  <c r="BW458" i="1"/>
  <c r="BA425" i="1"/>
  <c r="T415" i="1"/>
  <c r="BX405" i="1"/>
  <c r="X396" i="1"/>
  <c r="CB386" i="1"/>
  <c r="AB377" i="1"/>
  <c r="CM509" i="1"/>
  <c r="CM451" i="1"/>
  <c r="AA423" i="1"/>
  <c r="CE413" i="1"/>
  <c r="AE404" i="1"/>
  <c r="CI394" i="1"/>
  <c r="CO386" i="1"/>
  <c r="CG375" i="1"/>
  <c r="AM489" i="1"/>
  <c r="BW446" i="1"/>
  <c r="CZ421" i="1"/>
  <c r="AZ412" i="1"/>
  <c r="DD402" i="1"/>
  <c r="BD393" i="1"/>
  <c r="DH383" i="1"/>
  <c r="BH374" i="1"/>
  <c r="Z449" i="1"/>
  <c r="CP437" i="1"/>
  <c r="CQ492" i="1"/>
  <c r="BA484" i="1"/>
  <c r="BH488" i="1"/>
  <c r="BQ407" i="1"/>
  <c r="X444" i="1"/>
  <c r="U408" i="1"/>
  <c r="CB557" i="1"/>
  <c r="AW452" i="1"/>
  <c r="BS577" i="1"/>
  <c r="CC470" i="1"/>
  <c r="BF464" i="1"/>
  <c r="BK516" i="1"/>
  <c r="AN470" i="1"/>
  <c r="AZ429" i="1"/>
  <c r="Y411" i="1"/>
  <c r="CA505" i="1"/>
  <c r="DD448" i="1"/>
  <c r="AI443" i="1"/>
  <c r="BU392" i="1"/>
  <c r="AF470" i="1"/>
  <c r="AB429" i="1"/>
  <c r="AY483" i="1"/>
  <c r="BE401" i="1"/>
  <c r="CR531" i="1"/>
  <c r="M447" i="1"/>
  <c r="BO506" i="1"/>
  <c r="CW467" i="1"/>
  <c r="BV460" i="1"/>
  <c r="BK500" i="1"/>
  <c r="DH468" i="1"/>
  <c r="P428" i="1"/>
  <c r="CS409" i="1"/>
  <c r="G495" i="1"/>
  <c r="BT447" i="1"/>
  <c r="DC437" i="1"/>
  <c r="DG496" i="1"/>
  <c r="CZ468" i="1"/>
  <c r="CV427" i="1"/>
  <c r="BU409" i="1"/>
  <c r="CX438" i="1"/>
  <c r="BD450" i="1"/>
  <c r="L432" i="1"/>
  <c r="K449" i="1"/>
  <c r="AF487" i="1"/>
  <c r="AZ444" i="1"/>
  <c r="AI428" i="1"/>
  <c r="BU394" i="1"/>
  <c r="BE385" i="1"/>
  <c r="AM485" i="1"/>
  <c r="CJ420" i="1"/>
  <c r="CN401" i="1"/>
  <c r="CR382" i="1"/>
  <c r="BW479" i="1"/>
  <c r="AQ419" i="1"/>
  <c r="AU400" i="1"/>
  <c r="BY381" i="1"/>
  <c r="CE472" i="1"/>
  <c r="L418" i="1"/>
  <c r="P399" i="1"/>
  <c r="T380" i="1"/>
  <c r="K467" i="1"/>
  <c r="AS439" i="1"/>
  <c r="U463" i="1"/>
  <c r="I485" i="1"/>
  <c r="X426" i="1"/>
  <c r="BX488" i="1"/>
  <c r="CM430" i="1"/>
  <c r="DD465" i="1"/>
  <c r="CC407" i="1"/>
  <c r="DI451" i="1"/>
  <c r="X481" i="1"/>
  <c r="AB458" i="1"/>
  <c r="AR438" i="1"/>
  <c r="O482" i="1"/>
  <c r="DE419" i="1"/>
  <c r="DI400" i="1"/>
  <c r="I382" i="1"/>
  <c r="BU371" i="1"/>
  <c r="BE430" i="1"/>
  <c r="X408" i="1"/>
  <c r="AB389" i="1"/>
  <c r="AF370" i="1"/>
  <c r="BW427" i="1"/>
  <c r="CI406" i="1"/>
  <c r="U390" i="1"/>
  <c r="BI373" i="1"/>
  <c r="AY480" i="1"/>
  <c r="CI437" i="1"/>
  <c r="CB419" i="1"/>
  <c r="AB410" i="1"/>
  <c r="CF400" i="1"/>
  <c r="AF391" i="1"/>
  <c r="CJ381" i="1"/>
  <c r="AJ372" i="1"/>
  <c r="CI474" i="1"/>
  <c r="CA432" i="1"/>
  <c r="AY418" i="1"/>
  <c r="DC408" i="1"/>
  <c r="BC399" i="1"/>
  <c r="AO389" i="1"/>
  <c r="BU377" i="1"/>
  <c r="K517" i="1"/>
  <c r="BS453" i="1"/>
  <c r="BX423" i="1"/>
  <c r="X414" i="1"/>
  <c r="CB404" i="1"/>
  <c r="AB395" i="1"/>
  <c r="CF385" i="1"/>
  <c r="AF376" i="1"/>
  <c r="AU494" i="1"/>
  <c r="DC447" i="1"/>
  <c r="AE422" i="1"/>
  <c r="CI412" i="1"/>
  <c r="AI403" i="1"/>
  <c r="CM393" i="1"/>
  <c r="DE379" i="1"/>
  <c r="BE370" i="1"/>
  <c r="CY465" i="1"/>
  <c r="CK428" i="1"/>
  <c r="CN416" i="1"/>
  <c r="AN407" i="1"/>
  <c r="CR397" i="1"/>
  <c r="AR388" i="1"/>
  <c r="CV378" i="1"/>
  <c r="AV369" i="1"/>
  <c r="AE460" i="1"/>
  <c r="AE426" i="1"/>
  <c r="BK415" i="1"/>
  <c r="K406" i="1"/>
  <c r="BO396" i="1"/>
  <c r="O387" i="1"/>
  <c r="CQ382" i="1"/>
  <c r="AQ373" i="1"/>
  <c r="BI424" i="1"/>
  <c r="AD386" i="1"/>
  <c r="CD363" i="1"/>
  <c r="AD354" i="1"/>
  <c r="CH344" i="1"/>
  <c r="AH335" i="1"/>
  <c r="CL325" i="1"/>
  <c r="AL316" i="1"/>
  <c r="BF422" i="1"/>
  <c r="BN384" i="1"/>
  <c r="AK363" i="1"/>
  <c r="CO353" i="1"/>
  <c r="AO344" i="1"/>
  <c r="CS334" i="1"/>
  <c r="BG382" i="1"/>
  <c r="G373" i="1"/>
  <c r="BV421" i="1"/>
  <c r="CD383" i="1"/>
  <c r="N363" i="1"/>
  <c r="BR353" i="1"/>
  <c r="R344" i="1"/>
  <c r="BV334" i="1"/>
  <c r="V325" i="1"/>
  <c r="BZ315" i="1"/>
  <c r="DF419" i="1"/>
  <c r="J382" i="1"/>
  <c r="BY362" i="1"/>
  <c r="Y353" i="1"/>
  <c r="CC343" i="1"/>
  <c r="AC334" i="1"/>
  <c r="CE381" i="1"/>
  <c r="AB498" i="1"/>
  <c r="BR432" i="1"/>
  <c r="AO487" i="1"/>
  <c r="AV532" i="1"/>
  <c r="AM501" i="1"/>
  <c r="BZ433" i="1"/>
  <c r="T485" i="1"/>
  <c r="X442" i="1"/>
  <c r="K424" i="1"/>
  <c r="BU473" i="1"/>
  <c r="CJ463" i="1"/>
  <c r="AE575" i="1"/>
  <c r="AS405" i="1"/>
  <c r="CZ484" i="1"/>
  <c r="DD441" i="1"/>
  <c r="CC423" i="1"/>
  <c r="CC395" i="1"/>
  <c r="DE470" i="1"/>
  <c r="L564" i="1"/>
  <c r="X485" i="1"/>
  <c r="CN474" i="1"/>
  <c r="AF463" i="1"/>
  <c r="CR451" i="1"/>
  <c r="AR442" i="1"/>
  <c r="CV432" i="1"/>
  <c r="P532" i="1"/>
  <c r="CQ454" i="1"/>
  <c r="S424" i="1"/>
  <c r="BE414" i="1"/>
  <c r="DI404" i="1"/>
  <c r="BI395" i="1"/>
  <c r="I386" i="1"/>
  <c r="BY386" i="1"/>
  <c r="BU375" i="1"/>
  <c r="CU488" i="1"/>
  <c r="BS445" i="1"/>
  <c r="BX421" i="1"/>
  <c r="X412" i="1"/>
  <c r="CB402" i="1"/>
  <c r="AB393" i="1"/>
  <c r="CF383" i="1"/>
  <c r="AF374" i="1"/>
  <c r="AA483" i="1"/>
  <c r="DC439" i="1"/>
  <c r="AE420" i="1"/>
  <c r="CI410" i="1"/>
  <c r="AI401" i="1"/>
  <c r="CM391" i="1"/>
  <c r="CS382" i="1"/>
  <c r="CK372" i="1"/>
  <c r="BC477" i="1"/>
  <c r="CM434" i="1"/>
  <c r="DD418" i="1"/>
  <c r="BD409" i="1"/>
  <c r="DH399" i="1"/>
  <c r="BH390" i="1"/>
  <c r="H381" i="1"/>
  <c r="BL371" i="1"/>
  <c r="I463" i="1"/>
  <c r="CN479" i="1"/>
  <c r="AV457" i="1"/>
  <c r="BT436" i="1"/>
  <c r="DC516" i="1"/>
  <c r="BH450" i="1"/>
  <c r="BG449" i="1"/>
  <c r="Y394" i="1"/>
  <c r="BK483" i="1"/>
  <c r="AR401" i="1"/>
  <c r="CU477" i="1"/>
  <c r="DC399" i="1"/>
  <c r="AQ470" i="1"/>
  <c r="BX398" i="1"/>
  <c r="CU481" i="1"/>
  <c r="CM425" i="1"/>
  <c r="AA412" i="1"/>
  <c r="BS399" i="1"/>
  <c r="Y385" i="1"/>
  <c r="AW371" i="1"/>
  <c r="AA454" i="1"/>
  <c r="BL420" i="1"/>
  <c r="DD407" i="1"/>
  <c r="AR395" i="1"/>
  <c r="BT382" i="1"/>
  <c r="H370" i="1"/>
  <c r="BK448" i="1"/>
  <c r="S419" i="1"/>
  <c r="BK406" i="1"/>
  <c r="DC393" i="1"/>
  <c r="CS376" i="1"/>
  <c r="AM481" i="1"/>
  <c r="M429" i="1"/>
  <c r="CB413" i="1"/>
  <c r="P401" i="1"/>
  <c r="BH388" i="1"/>
  <c r="BD454" i="1"/>
  <c r="AB440" i="1"/>
  <c r="M458" i="1"/>
  <c r="AU486" i="1"/>
  <c r="DF491" i="1"/>
  <c r="BC493" i="1"/>
  <c r="CP467" i="1"/>
  <c r="BB454" i="1"/>
  <c r="CW443" i="1"/>
  <c r="F447" i="1"/>
  <c r="AO445" i="1"/>
  <c r="BH455" i="1"/>
  <c r="BW473" i="1"/>
  <c r="AO399" i="1"/>
  <c r="L480" i="1"/>
  <c r="P437" i="1"/>
  <c r="CC418" i="1"/>
  <c r="BA444" i="1"/>
  <c r="AJ455" i="1"/>
  <c r="CI472" i="1"/>
  <c r="Q399" i="1"/>
  <c r="AV512" i="1"/>
  <c r="BQ437" i="1"/>
  <c r="CY497" i="1"/>
  <c r="Q462" i="1"/>
  <c r="V455" i="1"/>
  <c r="AG483" i="1"/>
  <c r="BP465" i="1"/>
  <c r="CF425" i="1"/>
  <c r="BE407" i="1"/>
  <c r="AB488" i="1"/>
  <c r="AF445" i="1"/>
  <c r="CY429" i="1"/>
  <c r="AS482" i="1"/>
  <c r="BH465" i="1"/>
  <c r="BH425" i="1"/>
  <c r="AG407" i="1"/>
  <c r="BK512" i="1"/>
  <c r="DH440" i="1"/>
  <c r="CY508" i="1"/>
  <c r="BI422" i="1"/>
  <c r="CV484" i="1"/>
  <c r="L442" i="1"/>
  <c r="BY423" i="1"/>
  <c r="CS392" i="1"/>
  <c r="Q383" i="1"/>
  <c r="AA478" i="1"/>
  <c r="DH418" i="1"/>
  <c r="H400" i="1"/>
  <c r="L381" i="1"/>
  <c r="W470" i="1"/>
  <c r="BO417" i="1"/>
  <c r="BS398" i="1"/>
  <c r="BQ379" i="1"/>
  <c r="CQ463" i="1"/>
  <c r="AJ416" i="1"/>
  <c r="AN397" i="1"/>
  <c r="AR378" i="1"/>
  <c r="BP503" i="1"/>
  <c r="CL474" i="1"/>
  <c r="CS446" i="1"/>
  <c r="AG451" i="1"/>
  <c r="CI480" i="1"/>
  <c r="BL481" i="1"/>
  <c r="Y420" i="1"/>
  <c r="CN457" i="1"/>
  <c r="AO401" i="1"/>
  <c r="CW444" i="1"/>
  <c r="AV479" i="1"/>
  <c r="BL455" i="1"/>
  <c r="BP436" i="1"/>
  <c r="CM473" i="1"/>
  <c r="Y418" i="1"/>
  <c r="AC399" i="1"/>
  <c r="CG391" i="1"/>
  <c r="CS369" i="1"/>
  <c r="DA426" i="1"/>
  <c r="AV406" i="1"/>
  <c r="AZ387" i="1"/>
  <c r="CZ530" i="1"/>
  <c r="O424" i="1"/>
  <c r="DG404" i="1"/>
  <c r="CK387" i="1"/>
  <c r="DA372" i="1"/>
  <c r="K478" i="1"/>
  <c r="AU435" i="1"/>
  <c r="P419" i="1"/>
  <c r="BT409" i="1"/>
  <c r="T400" i="1"/>
  <c r="BX390" i="1"/>
  <c r="X381" i="1"/>
  <c r="CB371" i="1"/>
  <c r="AU472" i="1"/>
  <c r="CQ430" i="1"/>
  <c r="CQ417" i="1"/>
  <c r="AQ408" i="1"/>
  <c r="CU398" i="1"/>
  <c r="BI388" i="1"/>
  <c r="I377" i="1"/>
  <c r="BO507" i="1"/>
  <c r="AE451" i="1"/>
  <c r="L423" i="1"/>
  <c r="BP413" i="1"/>
  <c r="P404" i="1"/>
  <c r="BT394" i="1"/>
  <c r="T385" i="1"/>
  <c r="BX375" i="1"/>
  <c r="CQ488" i="1"/>
  <c r="BO445" i="1"/>
  <c r="BW421" i="1"/>
  <c r="W412" i="1"/>
  <c r="CA402" i="1"/>
  <c r="CW391" i="1"/>
  <c r="AS379" i="1"/>
  <c r="CW369" i="1"/>
  <c r="BK463" i="1"/>
  <c r="BQ427" i="1"/>
  <c r="AB416" i="1"/>
  <c r="CF406" i="1"/>
  <c r="AF397" i="1"/>
  <c r="CJ387" i="1"/>
  <c r="AJ378" i="1"/>
  <c r="DH553" i="1"/>
  <c r="CU457" i="1"/>
  <c r="K425" i="1"/>
  <c r="DC414" i="1"/>
  <c r="BC405" i="1"/>
  <c r="DG395" i="1"/>
  <c r="BG386" i="1"/>
  <c r="AE382" i="1"/>
  <c r="CI372" i="1"/>
  <c r="CL421" i="1"/>
  <c r="CT383" i="1"/>
  <c r="R363" i="1"/>
  <c r="BV353" i="1"/>
  <c r="V344" i="1"/>
  <c r="BZ334" i="1"/>
  <c r="Z325" i="1"/>
  <c r="CD315" i="1"/>
  <c r="R420" i="1"/>
  <c r="Z382" i="1"/>
  <c r="CC362" i="1"/>
  <c r="AC353" i="1"/>
  <c r="CG343" i="1"/>
  <c r="AG334" i="1"/>
  <c r="CY381" i="1"/>
  <c r="AY372" i="1"/>
  <c r="AH419" i="1"/>
  <c r="AP381" i="1"/>
  <c r="BF362" i="1"/>
  <c r="F353" i="1"/>
  <c r="BJ343" i="1"/>
  <c r="J334" i="1"/>
  <c r="BN324" i="1"/>
  <c r="N315" i="1"/>
  <c r="BR417" i="1"/>
  <c r="BZ379" i="1"/>
  <c r="M362" i="1"/>
  <c r="BQ352" i="1"/>
  <c r="Q343" i="1"/>
  <c r="BU333" i="1"/>
  <c r="S381" i="1"/>
  <c r="AN534" i="1"/>
  <c r="AZ545" i="1"/>
  <c r="CS477" i="1"/>
  <c r="K503" i="1"/>
  <c r="Z488" i="1"/>
  <c r="AL431" i="1"/>
  <c r="CJ482" i="1"/>
  <c r="CN439" i="1"/>
  <c r="BM421" i="1"/>
  <c r="AS462" i="1"/>
  <c r="AR460" i="1"/>
  <c r="O490" i="1"/>
  <c r="DI402" i="1"/>
  <c r="BL482" i="1"/>
  <c r="BP439" i="1"/>
  <c r="AO421" i="1"/>
  <c r="CO394" i="1"/>
  <c r="BQ468" i="1"/>
  <c r="CN535" i="1"/>
  <c r="BP484" i="1"/>
  <c r="AB474" i="1"/>
  <c r="BX462" i="1"/>
  <c r="AF451" i="1"/>
  <c r="CJ441" i="1"/>
  <c r="AJ432" i="1"/>
  <c r="BC512" i="1"/>
  <c r="BC452" i="1"/>
  <c r="AS423" i="1"/>
  <c r="CW413" i="1"/>
  <c r="AW404" i="1"/>
  <c r="DA394" i="1"/>
  <c r="BA385" i="1"/>
  <c r="CS385" i="1"/>
  <c r="I375" i="1"/>
  <c r="BG486" i="1"/>
  <c r="AE443" i="1"/>
  <c r="L421" i="1"/>
  <c r="BP411" i="1"/>
  <c r="P402" i="1"/>
  <c r="BT392" i="1"/>
  <c r="T383" i="1"/>
  <c r="BX373" i="1"/>
  <c r="CQ480" i="1"/>
  <c r="BO437" i="1"/>
  <c r="BW419" i="1"/>
  <c r="W410" i="1"/>
  <c r="CA400" i="1"/>
  <c r="AA391" i="1"/>
  <c r="M382" i="1"/>
  <c r="Y372" i="1"/>
  <c r="CY473" i="1"/>
  <c r="AY432" i="1"/>
  <c r="AR418" i="1"/>
  <c r="AU493" i="1"/>
  <c r="CA429" i="1"/>
  <c r="CI468" i="1"/>
  <c r="BX477" i="1"/>
  <c r="AS422" i="1"/>
  <c r="T504" i="1"/>
  <c r="BJ438" i="1"/>
  <c r="BS502" i="1"/>
  <c r="AH425" i="1"/>
  <c r="CY513" i="1"/>
  <c r="V435" i="1"/>
  <c r="BT486" i="1"/>
  <c r="BX443" i="1"/>
  <c r="G427" i="1"/>
  <c r="U480" i="1"/>
  <c r="AF465" i="1"/>
  <c r="AF425" i="1"/>
  <c r="CS406" i="1"/>
  <c r="AV486" i="1"/>
  <c r="AZ443" i="1"/>
  <c r="BO426" i="1"/>
  <c r="CW498" i="1"/>
  <c r="R475" i="1"/>
  <c r="J450" i="1"/>
  <c r="AX441" i="1"/>
  <c r="AO436" i="1"/>
  <c r="AL443" i="1"/>
  <c r="BI431" i="1"/>
  <c r="CN451" i="1"/>
  <c r="AI455" i="1"/>
  <c r="BU395" i="1"/>
  <c r="AN475" i="1"/>
  <c r="AV433" i="1"/>
  <c r="DI414" i="1"/>
  <c r="AB552" i="1"/>
  <c r="BP451" i="1"/>
  <c r="AU454" i="1"/>
  <c r="BY497" i="1"/>
  <c r="BJ469" i="1"/>
  <c r="AG413" i="1"/>
  <c r="CC394" i="1"/>
  <c r="BA392" i="1"/>
  <c r="T472" i="1"/>
  <c r="AB430" i="1"/>
  <c r="CO411" i="1"/>
  <c r="BI387" i="1"/>
  <c r="Q377" i="1"/>
  <c r="BK451" i="1"/>
  <c r="BX413" i="1"/>
  <c r="CB394" i="1"/>
  <c r="CF375" i="1"/>
  <c r="CU445" i="1"/>
  <c r="AE412" i="1"/>
  <c r="AI393" i="1"/>
  <c r="AG374" i="1"/>
  <c r="CE440" i="1"/>
  <c r="DD410" i="1"/>
  <c r="DH391" i="1"/>
  <c r="H373" i="1"/>
  <c r="AG514" i="1"/>
  <c r="AG457" i="1"/>
  <c r="CX479" i="1"/>
  <c r="BT478" i="1"/>
  <c r="AW417" i="1"/>
  <c r="X455" i="1"/>
  <c r="CS398" i="1"/>
  <c r="AZ435" i="1"/>
  <c r="BE393" i="1"/>
  <c r="BO514" i="1"/>
  <c r="X473" i="1"/>
  <c r="AB450" i="1"/>
  <c r="AF431" i="1"/>
  <c r="AM448" i="1"/>
  <c r="CS412" i="1"/>
  <c r="CW393" i="1"/>
  <c r="BE384" i="1"/>
  <c r="AQ482" i="1"/>
  <c r="H420" i="1"/>
  <c r="L401" i="1"/>
  <c r="P382" i="1"/>
  <c r="BG475" i="1"/>
  <c r="BS418" i="1"/>
  <c r="BW399" i="1"/>
  <c r="BY380" i="1"/>
  <c r="DE369" i="1"/>
  <c r="AE463" i="1"/>
  <c r="BA427" i="1"/>
  <c r="T416" i="1"/>
  <c r="BX406" i="1"/>
  <c r="X397" i="1"/>
  <c r="CB387" i="1"/>
  <c r="AB378" i="1"/>
  <c r="BH547" i="1"/>
  <c r="BO457" i="1"/>
  <c r="CY424" i="1"/>
  <c r="CU414" i="1"/>
  <c r="AU405" i="1"/>
  <c r="CY395" i="1"/>
  <c r="BQ384" i="1"/>
  <c r="M374" i="1"/>
  <c r="BW482" i="1"/>
  <c r="AU439" i="1"/>
  <c r="P420" i="1"/>
  <c r="BT410" i="1"/>
  <c r="T401" i="1"/>
  <c r="BX391" i="1"/>
  <c r="X382" i="1"/>
  <c r="CB372" i="1"/>
  <c r="CM475" i="1"/>
  <c r="CE433" i="1"/>
  <c r="CA418" i="1"/>
  <c r="AA409" i="1"/>
  <c r="CE399" i="1"/>
  <c r="CC387" i="1"/>
  <c r="AW376" i="1"/>
  <c r="BG497" i="1"/>
  <c r="CY449" i="1"/>
  <c r="CF422" i="1"/>
  <c r="AF413" i="1"/>
  <c r="CJ403" i="1"/>
  <c r="AJ394" i="1"/>
  <c r="CN384" i="1"/>
  <c r="AN375" i="1"/>
  <c r="BG487" i="1"/>
  <c r="CQ444" i="1"/>
  <c r="BC421" i="1"/>
  <c r="DG411" i="1"/>
  <c r="BG402" i="1"/>
  <c r="G393" i="1"/>
  <c r="CE390" i="1"/>
  <c r="AI379" i="1"/>
  <c r="CM369" i="1"/>
  <c r="DB409" i="1"/>
  <c r="F372" i="1"/>
  <c r="V360" i="1"/>
  <c r="BZ350" i="1"/>
  <c r="Z341" i="1"/>
  <c r="CD331" i="1"/>
  <c r="AD322" i="1"/>
  <c r="CH312" i="1"/>
  <c r="AH408" i="1"/>
  <c r="AP370" i="1"/>
  <c r="CG359" i="1"/>
  <c r="AG350" i="1"/>
  <c r="CK340" i="1"/>
  <c r="O390" i="1"/>
  <c r="DC378" i="1"/>
  <c r="BC369" i="1"/>
  <c r="AX407" i="1"/>
  <c r="BF369" i="1"/>
  <c r="BJ359" i="1"/>
  <c r="J350" i="1"/>
  <c r="BN340" i="1"/>
  <c r="N331" i="1"/>
  <c r="BR321" i="1"/>
  <c r="CB532" i="1"/>
  <c r="CH405" i="1"/>
  <c r="BQ368" i="1"/>
  <c r="Q359" i="1"/>
  <c r="BU349" i="1"/>
  <c r="U340" i="1"/>
  <c r="CA388" i="1"/>
  <c r="W378" i="1"/>
  <c r="BD529" i="1"/>
  <c r="BE446" i="1"/>
  <c r="AA504" i="1"/>
  <c r="CG467" i="1"/>
  <c r="BF460" i="1"/>
  <c r="W498" i="1"/>
  <c r="CR468" i="1"/>
  <c r="DD427" i="1"/>
  <c r="CC409" i="1"/>
  <c r="CQ493" i="1"/>
  <c r="BD447" i="1"/>
  <c r="AQ437" i="1"/>
  <c r="BS494" i="1"/>
  <c r="CJ468" i="1"/>
  <c r="CF427" i="1"/>
  <c r="BE409" i="1"/>
  <c r="BM391" i="1"/>
  <c r="CK453" i="1"/>
  <c r="W499" i="1"/>
  <c r="BT481" i="1"/>
  <c r="AB470" i="1"/>
  <c r="BX458" i="1"/>
  <c r="AJ448" i="1"/>
  <c r="CN438" i="1"/>
  <c r="AN429" i="1"/>
  <c r="CU483" i="1"/>
  <c r="BS440" i="1"/>
  <c r="AW420" i="1"/>
  <c r="DA410" i="1"/>
  <c r="BA401" i="1"/>
  <c r="DE391" i="1"/>
  <c r="BE382" i="1"/>
  <c r="DA381" i="1"/>
  <c r="M372" i="1"/>
  <c r="K474" i="1"/>
  <c r="AU431" i="1"/>
  <c r="P418" i="1"/>
  <c r="BT408" i="1"/>
  <c r="T399" i="1"/>
  <c r="BX389" i="1"/>
  <c r="X380" i="1"/>
  <c r="CB370" i="1"/>
  <c r="AY465" i="1"/>
  <c r="BK428" i="1"/>
  <c r="CA416" i="1"/>
  <c r="AA407" i="1"/>
  <c r="CE397" i="1"/>
  <c r="CG390" i="1"/>
  <c r="CC378" i="1"/>
  <c r="AC369" i="1"/>
  <c r="CA459" i="1"/>
  <c r="DE425" i="1"/>
  <c r="AV415" i="1"/>
  <c r="CZ405" i="1"/>
  <c r="AZ396" i="1"/>
  <c r="DD386" i="1"/>
  <c r="BD377" i="1"/>
  <c r="BD492" i="1"/>
  <c r="BE444" i="1"/>
  <c r="CQ474" i="1"/>
  <c r="DI418" i="1"/>
  <c r="CG400" i="1"/>
  <c r="P479" i="1"/>
  <c r="AJ436" i="1"/>
  <c r="CW417" i="1"/>
  <c r="Y391" i="1"/>
  <c r="AO426" i="1"/>
  <c r="T387" i="1"/>
  <c r="BW423" i="1"/>
  <c r="AW387" i="1"/>
  <c r="AR422" i="1"/>
  <c r="AZ384" i="1"/>
  <c r="AE452" i="1"/>
  <c r="K420" i="1"/>
  <c r="BC407" i="1"/>
  <c r="CU394" i="1"/>
  <c r="AG379" i="1"/>
  <c r="AQ493" i="1"/>
  <c r="AE435" i="1"/>
  <c r="CN415" i="1"/>
  <c r="AB403" i="1"/>
  <c r="BT390" i="1"/>
  <c r="CV377" i="1"/>
  <c r="AI485" i="1"/>
  <c r="BC430" i="1"/>
  <c r="AU414" i="1"/>
  <c r="CM401" i="1"/>
  <c r="AK386" i="1"/>
  <c r="Q372" i="1"/>
  <c r="CM458" i="1"/>
  <c r="CB421" i="1"/>
  <c r="DD408" i="1"/>
  <c r="AR396" i="1"/>
  <c r="AV399" i="1"/>
  <c r="CE494" i="1"/>
  <c r="T427" i="1"/>
  <c r="T448" i="1"/>
  <c r="CO391" i="1"/>
  <c r="DH398" i="1"/>
  <c r="BO397" i="1"/>
  <c r="AJ396" i="1"/>
  <c r="AM424" i="1"/>
  <c r="CE398" i="1"/>
  <c r="BY370" i="1"/>
  <c r="CN419" i="1"/>
  <c r="BD394" i="1"/>
  <c r="AJ369" i="1"/>
  <c r="AU418" i="1"/>
  <c r="BA391" i="1"/>
  <c r="AQ478" i="1"/>
  <c r="DD412" i="1"/>
  <c r="BT387" i="1"/>
  <c r="H375" i="1"/>
  <c r="CA472" i="1"/>
  <c r="CI424" i="1"/>
  <c r="CA411" i="1"/>
  <c r="O399" i="1"/>
  <c r="AQ386" i="1"/>
  <c r="DG378" i="1"/>
  <c r="DG457" i="1"/>
  <c r="AH383" i="1"/>
  <c r="CT359" i="1"/>
  <c r="AH347" i="1"/>
  <c r="BJ334" i="1"/>
  <c r="DB321" i="1"/>
  <c r="AM451" i="1"/>
  <c r="BR381" i="1"/>
  <c r="BA359" i="1"/>
  <c r="CS346" i="1"/>
  <c r="Q334" i="1"/>
  <c r="BW378" i="1"/>
  <c r="CY447" i="1"/>
  <c r="CH380" i="1"/>
  <c r="AD359" i="1"/>
  <c r="BV346" i="1"/>
  <c r="CX333" i="1"/>
  <c r="AL321" i="1"/>
  <c r="AE441" i="1"/>
  <c r="N379" i="1"/>
  <c r="CO358" i="1"/>
  <c r="AC346" i="1"/>
  <c r="BE333" i="1"/>
  <c r="CU377" i="1"/>
  <c r="AE485" i="1"/>
  <c r="CH400" i="1"/>
  <c r="AP367" i="1"/>
  <c r="CT357" i="1"/>
  <c r="AT348" i="1"/>
  <c r="CX338" i="1"/>
  <c r="AX329" i="1"/>
  <c r="DB319" i="1"/>
  <c r="AQ464" i="1"/>
  <c r="AL397" i="1"/>
  <c r="BE366" i="1"/>
  <c r="DI356" i="1"/>
  <c r="BI347" i="1"/>
  <c r="I338" i="1"/>
  <c r="CE374" i="1"/>
  <c r="CH355" i="1"/>
  <c r="CP317" i="1"/>
  <c r="AK354" i="1"/>
  <c r="BE328" i="1"/>
  <c r="DI318" i="1"/>
  <c r="AM455" i="1"/>
  <c r="BV395" i="1"/>
  <c r="L366" i="1"/>
  <c r="BP356" i="1"/>
  <c r="P347" i="1"/>
  <c r="BT337" i="1"/>
  <c r="T328" i="1"/>
  <c r="BX318" i="1"/>
  <c r="CT398" i="1"/>
  <c r="AY338" i="1"/>
  <c r="Y309" i="1"/>
  <c r="CC299" i="1"/>
  <c r="AC290" i="1"/>
  <c r="CG280" i="1"/>
  <c r="AG271" i="1"/>
  <c r="CK261" i="1"/>
  <c r="AK252" i="1"/>
  <c r="CO242" i="1"/>
  <c r="AO233" i="1"/>
  <c r="CS223" i="1"/>
  <c r="AS214" i="1"/>
  <c r="CW204" i="1"/>
  <c r="AW195" i="1"/>
  <c r="DA185" i="1"/>
  <c r="AO511" i="1"/>
  <c r="CG439" i="1"/>
  <c r="BO463" i="1"/>
  <c r="BU416" i="1"/>
  <c r="BM399" i="1"/>
  <c r="BH478" i="1"/>
  <c r="CB435" i="1"/>
  <c r="AK417" i="1"/>
  <c r="AW390" i="1"/>
  <c r="U425" i="1"/>
  <c r="BL386" i="1"/>
  <c r="K423" i="1"/>
  <c r="BQ386" i="1"/>
  <c r="CJ421" i="1"/>
  <c r="CR383" i="1"/>
  <c r="K451" i="1"/>
  <c r="CY419" i="1"/>
  <c r="AM407" i="1"/>
  <c r="BO394" i="1"/>
  <c r="Q379" i="1"/>
  <c r="DG490" i="1"/>
  <c r="K434" i="1"/>
  <c r="BX415" i="1"/>
  <c r="L403" i="1"/>
  <c r="AN390" i="1"/>
  <c r="CF377" i="1"/>
  <c r="CA484" i="1"/>
  <c r="CU429" i="1"/>
  <c r="AE414" i="1"/>
  <c r="BW401" i="1"/>
  <c r="DA385" i="1"/>
  <c r="DE371" i="1"/>
  <c r="AA458" i="1"/>
  <c r="AV421" i="1"/>
  <c r="CN408" i="1"/>
  <c r="AB396" i="1"/>
  <c r="BD383" i="1"/>
  <c r="CV370" i="1"/>
  <c r="BK452" i="1"/>
  <c r="S420" i="1"/>
  <c r="BK407" i="1"/>
  <c r="DC394" i="1"/>
  <c r="AU388" i="1"/>
  <c r="CQ374" i="1"/>
  <c r="BV417" i="1"/>
  <c r="AL368" i="1"/>
  <c r="CD355" i="1"/>
  <c r="R343" i="1"/>
  <c r="AT330" i="1"/>
  <c r="CL317" i="1"/>
  <c r="DF415" i="1"/>
  <c r="CW367" i="1"/>
  <c r="AK355" i="1"/>
  <c r="CC342" i="1"/>
  <c r="DC387" i="1"/>
  <c r="BG374" i="1"/>
  <c r="R415" i="1"/>
  <c r="BZ367" i="1"/>
  <c r="N355" i="1"/>
  <c r="BF342" i="1"/>
  <c r="CH329" i="1"/>
  <c r="V317" i="1"/>
  <c r="BB413" i="1"/>
  <c r="AG367" i="1"/>
  <c r="BY354" i="1"/>
  <c r="M342" i="1"/>
  <c r="CY386" i="1"/>
  <c r="AM374" i="1"/>
  <c r="BY428" i="1"/>
  <c r="AL388" i="1"/>
  <c r="AD364" i="1"/>
  <c r="CH354" i="1"/>
  <c r="AH345" i="1"/>
  <c r="CL335" i="1"/>
  <c r="AL326" i="1"/>
  <c r="CP316" i="1"/>
  <c r="CL422" i="1"/>
  <c r="CT384" i="1"/>
  <c r="AS363" i="1"/>
  <c r="CW353" i="1"/>
  <c r="AW344" i="1"/>
  <c r="DA334" i="1"/>
  <c r="AT418" i="1"/>
  <c r="AL343" i="1"/>
  <c r="BN412" i="1"/>
  <c r="CS341" i="1"/>
  <c r="AS325" i="1"/>
  <c r="CW315" i="1"/>
  <c r="R421" i="1"/>
  <c r="Z383" i="1"/>
  <c r="DD362" i="1"/>
  <c r="BD353" i="1"/>
  <c r="DH343" i="1"/>
  <c r="BH334" i="1"/>
  <c r="H325" i="1"/>
  <c r="BL315" i="1"/>
  <c r="CY363" i="1"/>
  <c r="DG325" i="1"/>
  <c r="M306" i="1"/>
  <c r="BQ296" i="1"/>
  <c r="Q287" i="1"/>
  <c r="BU277" i="1"/>
  <c r="U268" i="1"/>
  <c r="BY258" i="1"/>
  <c r="Y249" i="1"/>
  <c r="CC239" i="1"/>
  <c r="AC230" i="1"/>
  <c r="CG220" i="1"/>
  <c r="AG211" i="1"/>
  <c r="CK201" i="1"/>
  <c r="AK192" i="1"/>
  <c r="CO182" i="1"/>
  <c r="CE363" i="1"/>
  <c r="CM325" i="1"/>
  <c r="DB405" i="1"/>
  <c r="Z340" i="1"/>
  <c r="CT404" i="1"/>
  <c r="DA339" i="1"/>
  <c r="CW324" i="1"/>
  <c r="AW315" i="1"/>
  <c r="DE453" i="1"/>
  <c r="BG509" i="1"/>
  <c r="CG423" i="1"/>
  <c r="U404" i="1"/>
  <c r="AJ480" i="1"/>
  <c r="BD437" i="1"/>
  <c r="M419" i="1"/>
  <c r="U381" i="1"/>
  <c r="CC428" i="1"/>
  <c r="AN388" i="1"/>
  <c r="CU425" i="1"/>
  <c r="DE388" i="1"/>
  <c r="BL423" i="1"/>
  <c r="BT385" i="1"/>
  <c r="AY453" i="1"/>
  <c r="BG420" i="1"/>
  <c r="CY407" i="1"/>
  <c r="W395" i="1"/>
  <c r="CC379" i="1"/>
  <c r="BC500" i="1"/>
  <c r="AY436" i="1"/>
  <c r="AF416" i="1"/>
  <c r="BX403" i="1"/>
  <c r="CZ390" i="1"/>
  <c r="AN378" i="1"/>
  <c r="K487" i="1"/>
  <c r="K431" i="1"/>
  <c r="CQ414" i="1"/>
  <c r="AE402" i="1"/>
  <c r="CC386" i="1"/>
  <c r="BM372" i="1"/>
  <c r="BO460" i="1"/>
  <c r="DH421" i="1"/>
  <c r="AV409" i="1"/>
  <c r="CN396" i="1"/>
  <c r="L384" i="1"/>
  <c r="BD371" i="1"/>
  <c r="CY454" i="1"/>
  <c r="CE420" i="1"/>
  <c r="S408" i="1"/>
  <c r="BK395" i="1"/>
  <c r="AE389" i="1"/>
  <c r="H397" i="1"/>
  <c r="BI465" i="1"/>
  <c r="BC432" i="1"/>
  <c r="AV443" i="1"/>
  <c r="M387" i="1"/>
  <c r="AF394" i="1"/>
  <c r="CQ392" i="1"/>
  <c r="BL391" i="1"/>
  <c r="AY422" i="1"/>
  <c r="AE397" i="1"/>
  <c r="I369" i="1"/>
  <c r="X418" i="1"/>
  <c r="DH392" i="1"/>
  <c r="BS508" i="1"/>
  <c r="CI416" i="1"/>
  <c r="BE389" i="1"/>
  <c r="K470" i="1"/>
  <c r="AN411" i="1"/>
  <c r="CV386" i="1"/>
  <c r="AJ374" i="1"/>
  <c r="BK468" i="1"/>
  <c r="BK423" i="1"/>
  <c r="DC410" i="1"/>
  <c r="AA398" i="1"/>
  <c r="BS385" i="1"/>
  <c r="AE378" i="1"/>
  <c r="CI443" i="1"/>
  <c r="AL380" i="1"/>
  <c r="R359" i="1"/>
  <c r="AT346" i="1"/>
  <c r="CL333" i="1"/>
  <c r="Z321" i="1"/>
  <c r="O437" i="1"/>
  <c r="BV378" i="1"/>
  <c r="CC358" i="1"/>
  <c r="DE345" i="1"/>
  <c r="AS333" i="1"/>
  <c r="CY377" i="1"/>
  <c r="CA433" i="1"/>
  <c r="CL377" i="1"/>
  <c r="BF358" i="1"/>
  <c r="CH345" i="1"/>
  <c r="V333" i="1"/>
  <c r="BN320" i="1"/>
  <c r="Y429" i="1"/>
  <c r="R376" i="1"/>
  <c r="M358" i="1"/>
  <c r="AO345" i="1"/>
  <c r="CG332" i="1"/>
  <c r="S377" i="1"/>
  <c r="CI475" i="1"/>
  <c r="AT398" i="1"/>
  <c r="CH366" i="1"/>
  <c r="AH357" i="1"/>
  <c r="CL347" i="1"/>
  <c r="AL338" i="1"/>
  <c r="CP328" i="1"/>
  <c r="AP319" i="1"/>
  <c r="BG452" i="1"/>
  <c r="DB394" i="1"/>
  <c r="CI440" i="1"/>
  <c r="AV498" i="1"/>
  <c r="K510" i="1"/>
  <c r="F473" i="1"/>
  <c r="BV459" i="1"/>
  <c r="CO445" i="1"/>
  <c r="J448" i="1"/>
  <c r="BE449" i="1"/>
  <c r="BP457" i="1"/>
  <c r="DG478" i="1"/>
  <c r="AS400" i="1"/>
  <c r="P481" i="1"/>
  <c r="T438" i="1"/>
  <c r="CG419" i="1"/>
  <c r="BQ448" i="1"/>
  <c r="AR457" i="1"/>
  <c r="O478" i="1"/>
  <c r="BM493" i="1"/>
  <c r="CO433" i="1"/>
  <c r="DC449" i="1"/>
  <c r="BY413" i="1"/>
  <c r="AS398" i="1"/>
  <c r="CJ477" i="1"/>
  <c r="DD434" i="1"/>
  <c r="BM416" i="1"/>
  <c r="CW389" i="1"/>
  <c r="BE379" i="1"/>
  <c r="AU463" i="1"/>
  <c r="H416" i="1"/>
  <c r="L397" i="1"/>
  <c r="P378" i="1"/>
  <c r="AQ455" i="1"/>
  <c r="BS414" i="1"/>
  <c r="BW395" i="1"/>
  <c r="BU376" i="1"/>
  <c r="AA450" i="1"/>
  <c r="AN413" i="1"/>
  <c r="AR394" i="1"/>
  <c r="AV375" i="1"/>
  <c r="L510" i="1"/>
  <c r="BP549" i="1"/>
  <c r="W495" i="1"/>
  <c r="P488" i="1"/>
  <c r="DG429" i="1"/>
  <c r="BT467" i="1"/>
  <c r="AO408" i="1"/>
  <c r="CZ444" i="1"/>
  <c r="BQ396" i="1"/>
  <c r="I433" i="1"/>
  <c r="BL475" i="1"/>
  <c r="BP452" i="1"/>
  <c r="BT433" i="1"/>
  <c r="DG458" i="1"/>
  <c r="AC415" i="1"/>
  <c r="AG396" i="1"/>
  <c r="BU387" i="1"/>
  <c r="CY496" i="1"/>
  <c r="AV422" i="1"/>
  <c r="AZ403" i="1"/>
  <c r="BD384" i="1"/>
  <c r="W486" i="1"/>
  <c r="DG420" i="1"/>
  <c r="G402" i="1"/>
  <c r="CS383" i="1"/>
  <c r="U371" i="1"/>
  <c r="W469" i="1"/>
  <c r="CO429" i="1"/>
  <c r="AN417" i="1"/>
  <c r="CR407" i="1"/>
  <c r="AR398" i="1"/>
  <c r="CV388" i="1"/>
  <c r="AV379" i="1"/>
  <c r="CZ369" i="1"/>
  <c r="BG463" i="1"/>
  <c r="AI427" i="1"/>
  <c r="K416" i="1"/>
  <c r="BO406" i="1"/>
  <c r="O397" i="1"/>
  <c r="U386" i="1"/>
  <c r="AG375" i="1"/>
  <c r="AU487" i="1"/>
  <c r="S444" i="1"/>
  <c r="AJ421" i="1"/>
  <c r="CN411" i="1"/>
  <c r="AN402" i="1"/>
  <c r="CR392" i="1"/>
  <c r="AR383" i="1"/>
  <c r="CV373" i="1"/>
  <c r="CE481" i="1"/>
  <c r="BC438" i="1"/>
  <c r="CU419" i="1"/>
  <c r="AU410" i="1"/>
  <c r="CY400" i="1"/>
  <c r="AG389" i="1"/>
  <c r="BQ377" i="1"/>
  <c r="BC516" i="1"/>
  <c r="BW454" i="1"/>
  <c r="I424" i="1"/>
  <c r="AZ414" i="1"/>
  <c r="DD404" i="1"/>
  <c r="BD395" i="1"/>
  <c r="DH385" i="1"/>
  <c r="BH376" i="1"/>
  <c r="BK498" i="1"/>
  <c r="BO449" i="1"/>
  <c r="BW422" i="1"/>
  <c r="W413" i="1"/>
  <c r="CA403" i="1"/>
  <c r="AA394" i="1"/>
  <c r="CE384" i="1"/>
  <c r="BC380" i="1"/>
  <c r="DG370" i="1"/>
  <c r="BZ414" i="1"/>
  <c r="CH376" i="1"/>
  <c r="AP361" i="1"/>
  <c r="CT351" i="1"/>
  <c r="AT342" i="1"/>
  <c r="CX332" i="1"/>
  <c r="AX323" i="1"/>
  <c r="DB313" i="1"/>
  <c r="F413" i="1"/>
  <c r="N375" i="1"/>
  <c r="DA360" i="1"/>
  <c r="BA351" i="1"/>
  <c r="DE341" i="1"/>
  <c r="K393" i="1"/>
  <c r="S380" i="1"/>
  <c r="BW370" i="1"/>
  <c r="V412" i="1"/>
  <c r="AD374" i="1"/>
  <c r="CD360" i="1"/>
  <c r="AD351" i="1"/>
  <c r="CH341" i="1"/>
  <c r="AH332" i="1"/>
  <c r="CL322" i="1"/>
  <c r="AL313" i="1"/>
  <c r="BF410" i="1"/>
  <c r="BN372" i="1"/>
  <c r="AK360" i="1"/>
  <c r="CO350" i="1"/>
  <c r="AO341" i="1"/>
  <c r="CU390" i="1"/>
  <c r="AQ379" i="1"/>
  <c r="AW502" i="1"/>
  <c r="AW468" i="1"/>
  <c r="AS444" i="1"/>
  <c r="U479" i="1"/>
  <c r="DB472" i="1"/>
  <c r="Z424" i="1"/>
  <c r="BT474" i="1"/>
  <c r="CB432" i="1"/>
  <c r="BA414" i="1"/>
  <c r="AK432" i="1"/>
  <c r="AB452" i="1"/>
  <c r="BG457" i="1"/>
  <c r="CW395" i="1"/>
  <c r="AV474" i="1"/>
  <c r="BD432" i="1"/>
  <c r="AC414" i="1"/>
  <c r="CG392" i="1"/>
  <c r="CC459" i="1"/>
  <c r="BW508" i="1"/>
  <c r="CN482" i="1"/>
  <c r="AZ472" i="1"/>
  <c r="CR459" i="1"/>
  <c r="BD449" i="1"/>
  <c r="DH439" i="1"/>
  <c r="BH430" i="1"/>
  <c r="BS488" i="1"/>
  <c r="AQ445" i="1"/>
  <c r="BQ421" i="1"/>
  <c r="Q412" i="1"/>
  <c r="BU402" i="1"/>
  <c r="U393" i="1"/>
  <c r="BY383" i="1"/>
  <c r="BE383" i="1"/>
  <c r="AG373" i="1"/>
  <c r="AU479" i="1"/>
  <c r="S436" i="1"/>
  <c r="AJ419" i="1"/>
  <c r="CN409" i="1"/>
  <c r="AN400" i="1"/>
  <c r="CR390" i="1"/>
  <c r="AR381" i="1"/>
  <c r="CV371" i="1"/>
  <c r="BK472" i="1"/>
  <c r="CY430" i="1"/>
  <c r="CU417" i="1"/>
  <c r="AU408" i="1"/>
  <c r="CY398" i="1"/>
  <c r="AY389" i="1"/>
  <c r="CW379" i="1"/>
  <c r="AW370" i="1"/>
  <c r="G465" i="1"/>
  <c r="AO428" i="1"/>
  <c r="BP416" i="1"/>
  <c r="P407" i="1"/>
  <c r="BT397" i="1"/>
  <c r="T388" i="1"/>
  <c r="BX378" i="1"/>
  <c r="X369" i="1"/>
  <c r="BA487" i="1"/>
  <c r="CR436" i="1"/>
  <c r="AE478" i="1"/>
  <c r="AS418" i="1"/>
  <c r="CR483" i="1"/>
  <c r="H441" i="1"/>
  <c r="BU422" i="1"/>
  <c r="CC384" i="1"/>
  <c r="AI440" i="1"/>
  <c r="CV391" i="1"/>
  <c r="BS434" i="1"/>
  <c r="BC390" i="1"/>
  <c r="AW430" i="1"/>
  <c r="X389" i="1"/>
  <c r="AQ459" i="1"/>
  <c r="CA421" i="1"/>
  <c r="O409" i="1"/>
  <c r="AQ396" i="1"/>
  <c r="I381" i="1"/>
  <c r="H522" i="1"/>
  <c r="W441" i="1"/>
  <c r="AZ417" i="1"/>
  <c r="CR404" i="1"/>
  <c r="P392" i="1"/>
  <c r="BH379" i="1"/>
  <c r="CI496" i="1"/>
  <c r="BG435" i="1"/>
  <c r="G416" i="1"/>
  <c r="AY403" i="1"/>
  <c r="AK388" i="1"/>
  <c r="CG373" i="1"/>
  <c r="O467" i="1"/>
  <c r="X423" i="1"/>
  <c r="BP410" i="1"/>
  <c r="DH397" i="1"/>
  <c r="BY441" i="1"/>
  <c r="AM468" i="1"/>
  <c r="BG489" i="1"/>
  <c r="AV482" i="1"/>
  <c r="CA425" i="1"/>
  <c r="BT513" i="1"/>
  <c r="F448" i="1"/>
  <c r="DB426" i="1"/>
  <c r="F430" i="1"/>
  <c r="AI502" i="1"/>
  <c r="BJ437" i="1"/>
  <c r="DH488" i="1"/>
  <c r="H446" i="1"/>
  <c r="W432" i="1"/>
  <c r="BU489" i="1"/>
  <c r="BH468" i="1"/>
  <c r="BT427" i="1"/>
  <c r="AC409" i="1"/>
  <c r="CJ488" i="1"/>
  <c r="CN445" i="1"/>
  <c r="AM431" i="1"/>
  <c r="AG517" i="1"/>
  <c r="BV485" i="1"/>
  <c r="AX460" i="1"/>
  <c r="R449" i="1"/>
  <c r="M441" i="1"/>
  <c r="BZ445" i="1"/>
  <c r="DI439" i="1"/>
  <c r="X454" i="1"/>
  <c r="S467" i="1"/>
  <c r="DI397" i="1"/>
  <c r="CF478" i="1"/>
  <c r="CJ435" i="1"/>
  <c r="AS417" i="1"/>
  <c r="Q439" i="1"/>
  <c r="DD453" i="1"/>
  <c r="BW465" i="1"/>
  <c r="BD493" i="1"/>
  <c r="CQ491" i="1"/>
  <c r="CG422" i="1"/>
  <c r="Y404" i="1"/>
  <c r="AG395" i="1"/>
  <c r="BH474" i="1"/>
  <c r="BP432" i="1"/>
  <c r="Y414" i="1"/>
  <c r="Q388" i="1"/>
  <c r="CC377" i="1"/>
  <c r="CY453" i="1"/>
  <c r="AF414" i="1"/>
  <c r="AJ395" i="1"/>
  <c r="AN376" i="1"/>
  <c r="AE448" i="1"/>
  <c r="CQ412" i="1"/>
  <c r="CU393" i="1"/>
  <c r="CS374" i="1"/>
  <c r="O443" i="1"/>
  <c r="BL411" i="1"/>
  <c r="BP392" i="1"/>
  <c r="BT373" i="1"/>
  <c r="BT540" i="1"/>
  <c r="BY468" i="1"/>
  <c r="BV484" i="1"/>
  <c r="DH480" i="1"/>
  <c r="CK419" i="1"/>
  <c r="BP458" i="1"/>
  <c r="AC401" i="1"/>
  <c r="CN437" i="1"/>
  <c r="AC394" i="1"/>
  <c r="BP521" i="1"/>
  <c r="CJ473" i="1"/>
  <c r="CN450" i="1"/>
  <c r="CR431" i="1"/>
  <c r="CA450" i="1"/>
  <c r="BA413" i="1"/>
  <c r="BE394" i="1"/>
  <c r="AG385" i="1"/>
  <c r="CE484" i="1"/>
  <c r="BT420" i="1"/>
  <c r="BX401" i="1"/>
  <c r="CB382" i="1"/>
  <c r="K479" i="1"/>
  <c r="AA419" i="1"/>
  <c r="AE400" i="1"/>
  <c r="BE381" i="1"/>
  <c r="BM370" i="1"/>
  <c r="BS465" i="1"/>
  <c r="BU428" i="1"/>
  <c r="CF416" i="1"/>
  <c r="AF407" i="1"/>
  <c r="CJ397" i="1"/>
  <c r="AJ388" i="1"/>
  <c r="CN378" i="1"/>
  <c r="AN369" i="1"/>
  <c r="DC459" i="1"/>
  <c r="O426" i="1"/>
  <c r="BC415" i="1"/>
  <c r="DG405" i="1"/>
  <c r="BG396" i="1"/>
  <c r="AS385" i="1"/>
  <c r="BY374" i="1"/>
  <c r="G485" i="1"/>
  <c r="CI441" i="1"/>
  <c r="CB420" i="1"/>
  <c r="AB411" i="1"/>
  <c r="CF401" i="1"/>
  <c r="AF392" i="1"/>
  <c r="CJ382" i="1"/>
  <c r="AJ373" i="1"/>
  <c r="AQ479" i="1"/>
  <c r="O436" i="1"/>
  <c r="AI419" i="1"/>
  <c r="CM409" i="1"/>
  <c r="AM400" i="1"/>
  <c r="BE388" i="1"/>
  <c r="DI376" i="1"/>
  <c r="DG506" i="1"/>
  <c r="AI452" i="1"/>
  <c r="AN423" i="1"/>
  <c r="CR413" i="1"/>
  <c r="AR404" i="1"/>
  <c r="CV394" i="1"/>
  <c r="AV385" i="1"/>
  <c r="CZ375" i="1"/>
  <c r="CU489" i="1"/>
  <c r="AA447" i="1"/>
  <c r="K422" i="1"/>
  <c r="BO412" i="1"/>
  <c r="O403" i="1"/>
  <c r="BS393" i="1"/>
  <c r="G392" i="1"/>
  <c r="CU379" i="1"/>
  <c r="AU370" i="1"/>
  <c r="AL412" i="1"/>
  <c r="AT374" i="1"/>
  <c r="CH360" i="1"/>
  <c r="AH351" i="1"/>
  <c r="CL341" i="1"/>
  <c r="AL332" i="1"/>
  <c r="CP322" i="1"/>
  <c r="AP313" i="1"/>
  <c r="BV410" i="1"/>
  <c r="CD372" i="1"/>
  <c r="AO360" i="1"/>
  <c r="CS350" i="1"/>
  <c r="AS341" i="1"/>
  <c r="AI391" i="1"/>
  <c r="BK379" i="1"/>
  <c r="K370" i="1"/>
  <c r="CL409" i="1"/>
  <c r="CT371" i="1"/>
  <c r="R360" i="1"/>
  <c r="BV350" i="1"/>
  <c r="V341" i="1"/>
  <c r="BZ331" i="1"/>
  <c r="Z322" i="1"/>
  <c r="CD312" i="1"/>
  <c r="R408" i="1"/>
  <c r="Z370" i="1"/>
  <c r="CC359" i="1"/>
  <c r="AC350" i="1"/>
  <c r="CG340" i="1"/>
  <c r="CA389" i="1"/>
  <c r="CI378" i="1"/>
  <c r="DA492" i="1"/>
  <c r="DE455" i="1"/>
  <c r="CW434" i="1"/>
  <c r="AS473" i="1"/>
  <c r="V467" i="1"/>
  <c r="CB524" i="1"/>
  <c r="AF472" i="1"/>
  <c r="AN430" i="1"/>
  <c r="M412" i="1"/>
  <c r="CM512" i="1"/>
  <c r="CR449" i="1"/>
  <c r="CQ446" i="1"/>
  <c r="BI393" i="1"/>
  <c r="H472" i="1"/>
  <c r="P430" i="1"/>
  <c r="CS411" i="1"/>
  <c r="U392" i="1"/>
  <c r="AO457" i="1"/>
  <c r="CY503" i="1"/>
  <c r="AB482" i="1"/>
  <c r="CN470" i="1"/>
  <c r="AF459" i="1"/>
  <c r="CV448" i="1"/>
  <c r="AV439" i="1"/>
  <c r="CZ429" i="1"/>
  <c r="AE486" i="1"/>
  <c r="DG442" i="1"/>
  <c r="DI420" i="1"/>
  <c r="BI411" i="1"/>
  <c r="I402" i="1"/>
  <c r="BM392" i="1"/>
  <c r="M383" i="1"/>
  <c r="CC382" i="1"/>
  <c r="BY372" i="1"/>
  <c r="G477" i="1"/>
  <c r="CI433" i="1"/>
  <c r="CB418" i="1"/>
  <c r="AB409" i="1"/>
  <c r="CF399" i="1"/>
  <c r="AF390" i="1"/>
  <c r="CJ380" i="1"/>
  <c r="AJ371" i="1"/>
  <c r="DG468" i="1"/>
  <c r="CE429" i="1"/>
  <c r="AI417" i="1"/>
  <c r="CM407" i="1"/>
  <c r="AM398" i="1"/>
  <c r="BQ391" i="1"/>
  <c r="AK379" i="1"/>
  <c r="CO369" i="1"/>
  <c r="BW462" i="1"/>
  <c r="U427" i="1"/>
  <c r="DH415" i="1"/>
  <c r="BF436" i="1"/>
  <c r="BE485" i="1"/>
  <c r="M417" i="1"/>
  <c r="BX453" i="1"/>
  <c r="CW412" i="1"/>
  <c r="AO508" i="1"/>
  <c r="AS475" i="1"/>
  <c r="AK450" i="1"/>
  <c r="Q482" i="1"/>
  <c r="CX475" i="1"/>
  <c r="BZ425" i="1"/>
  <c r="T477" i="1"/>
  <c r="X434" i="1"/>
  <c r="DA415" i="1"/>
  <c r="M438" i="1"/>
  <c r="CB453" i="1"/>
  <c r="BS464" i="1"/>
  <c r="AS397" i="1"/>
  <c r="CV475" i="1"/>
  <c r="DD433" i="1"/>
  <c r="CC415" i="1"/>
  <c r="CN498" i="1"/>
  <c r="Z433" i="1"/>
  <c r="DA487" i="1"/>
  <c r="CJ534" i="1"/>
  <c r="CY501" i="1"/>
  <c r="CP433" i="1"/>
  <c r="AJ485" i="1"/>
  <c r="AN442" i="1"/>
  <c r="AQ424" i="1"/>
  <c r="AC474" i="1"/>
  <c r="CZ463" i="1"/>
  <c r="CZ423" i="1"/>
  <c r="BI405" i="1"/>
  <c r="L485" i="1"/>
  <c r="P442" i="1"/>
  <c r="CY423" i="1"/>
  <c r="BU462" i="1"/>
  <c r="BX543" i="1"/>
  <c r="AZ533" i="1"/>
  <c r="AB473" i="1"/>
  <c r="BI458" i="1"/>
  <c r="BL459" i="1"/>
  <c r="AY487" i="1"/>
  <c r="AO402" i="1"/>
  <c r="CK382" i="1"/>
  <c r="AS372" i="1"/>
  <c r="BO432" i="1"/>
  <c r="CZ408" i="1"/>
  <c r="DD389" i="1"/>
  <c r="DH370" i="1"/>
  <c r="S429" i="1"/>
  <c r="BG407" i="1"/>
  <c r="U391" i="1"/>
  <c r="BI369" i="1"/>
  <c r="BM426" i="1"/>
  <c r="AB406" i="1"/>
  <c r="AF387" i="1"/>
  <c r="L519" i="1"/>
  <c r="AX487" i="1"/>
  <c r="CX450" i="1"/>
  <c r="R446" i="1"/>
  <c r="BT454" i="1"/>
  <c r="BA398" i="1"/>
  <c r="AB436" i="1"/>
  <c r="CW440" i="1"/>
  <c r="BS468" i="1"/>
  <c r="Y485" i="1"/>
  <c r="AJ488" i="1"/>
  <c r="AV467" i="1"/>
  <c r="BD445" i="1"/>
  <c r="BH426" i="1"/>
  <c r="AQ430" i="1"/>
  <c r="Q408" i="1"/>
  <c r="U389" i="1"/>
  <c r="CG378" i="1"/>
  <c r="AE459" i="1"/>
  <c r="AJ415" i="1"/>
  <c r="AN396" i="1"/>
  <c r="AR377" i="1"/>
  <c r="AU452" i="1"/>
  <c r="CU413" i="1"/>
  <c r="CY394" i="1"/>
  <c r="M377" i="1"/>
  <c r="W508" i="1"/>
  <c r="DG451" i="1"/>
  <c r="AF423" i="1"/>
  <c r="CJ413" i="1"/>
  <c r="AJ404" i="1"/>
  <c r="CN394" i="1"/>
  <c r="AN385" i="1"/>
  <c r="CR375" i="1"/>
  <c r="BO489" i="1"/>
  <c r="CY446" i="1"/>
  <c r="DG421" i="1"/>
  <c r="BG412" i="1"/>
  <c r="G403" i="1"/>
  <c r="BK393" i="1"/>
  <c r="AW381" i="1"/>
  <c r="CC371" i="1"/>
  <c r="CM470" i="1"/>
  <c r="BU430" i="1"/>
  <c r="CF417" i="1"/>
  <c r="AF408" i="1"/>
  <c r="CJ398" i="1"/>
  <c r="AJ389" i="1"/>
  <c r="CN379" i="1"/>
  <c r="AN370" i="1"/>
  <c r="DC463" i="1"/>
  <c r="CM427" i="1"/>
  <c r="AM416" i="1"/>
  <c r="CQ406" i="1"/>
  <c r="AQ397" i="1"/>
  <c r="BI384" i="1"/>
  <c r="I374" i="1"/>
  <c r="BG482" i="1"/>
  <c r="AY440" i="1"/>
  <c r="AR420" i="1"/>
  <c r="CV410" i="1"/>
  <c r="AV401" i="1"/>
  <c r="CZ391" i="1"/>
  <c r="AZ382" i="1"/>
  <c r="DD372" i="1"/>
  <c r="G478" i="1"/>
  <c r="AQ435" i="1"/>
  <c r="O419" i="1"/>
  <c r="BS409" i="1"/>
  <c r="S400" i="1"/>
  <c r="BW390" i="1"/>
  <c r="G387" i="1"/>
  <c r="CY376" i="1"/>
  <c r="BO474" i="1"/>
  <c r="BB400" i="1"/>
  <c r="AH367" i="1"/>
  <c r="CL357" i="1"/>
  <c r="AL348" i="1"/>
  <c r="CP338" i="1"/>
  <c r="AP329" i="1"/>
  <c r="CT319" i="1"/>
  <c r="AI470" i="1"/>
  <c r="CL398" i="1"/>
  <c r="CS366" i="1"/>
  <c r="AS357" i="1"/>
  <c r="CW347" i="1"/>
  <c r="AW338" i="1"/>
  <c r="BO386" i="1"/>
  <c r="BO376" i="1"/>
  <c r="BG464" i="1"/>
  <c r="DB397" i="1"/>
  <c r="BV366" i="1"/>
  <c r="V357" i="1"/>
  <c r="BZ347" i="1"/>
  <c r="Z338" i="1"/>
  <c r="CD328" i="1"/>
  <c r="AD319" i="1"/>
  <c r="CQ457" i="1"/>
  <c r="AH396" i="1"/>
  <c r="AC366" i="1"/>
  <c r="CG356" i="1"/>
  <c r="AG347" i="1"/>
  <c r="CK337" i="1"/>
  <c r="BK385" i="1"/>
  <c r="AB497" i="1"/>
  <c r="CA507" i="1"/>
  <c r="AX472" i="1"/>
  <c r="J459" i="1"/>
  <c r="BY445" i="1"/>
  <c r="CX447" i="1"/>
  <c r="CW448" i="1"/>
  <c r="AZ457" i="1"/>
  <c r="AU478" i="1"/>
  <c r="AC400" i="1"/>
  <c r="DD480" i="1"/>
  <c r="DH437" i="1"/>
  <c r="BQ419" i="1"/>
  <c r="DI447" i="1"/>
  <c r="AB457" i="1"/>
  <c r="BG477" i="1"/>
  <c r="Y401" i="1"/>
  <c r="DE486" i="1"/>
  <c r="AK444" i="1"/>
  <c r="CF488" i="1"/>
  <c r="AF479" i="1"/>
  <c r="CR467" i="1"/>
  <c r="AV455" i="1"/>
  <c r="CZ445" i="1"/>
  <c r="AZ436" i="1"/>
  <c r="DD426" i="1"/>
  <c r="AA473" i="1"/>
  <c r="AE431" i="1"/>
  <c r="I418" i="1"/>
  <c r="BM408" i="1"/>
  <c r="M399" i="1"/>
  <c r="BQ389" i="1"/>
  <c r="AW391" i="1"/>
  <c r="Y379" i="1"/>
  <c r="CC369" i="1"/>
  <c r="AA462" i="1"/>
  <c r="BU426" i="1"/>
  <c r="CF415" i="1"/>
  <c r="AF406" i="1"/>
  <c r="CJ396" i="1"/>
  <c r="AJ387" i="1"/>
  <c r="CN377" i="1"/>
  <c r="AZ521" i="1"/>
  <c r="W454" i="1"/>
  <c r="CM423" i="1"/>
  <c r="AM414" i="1"/>
  <c r="CQ404" i="1"/>
  <c r="AQ395" i="1"/>
  <c r="BQ387" i="1"/>
  <c r="AO376" i="1"/>
  <c r="AM496" i="1"/>
  <c r="G449" i="1"/>
  <c r="BH422" i="1"/>
  <c r="H413" i="1"/>
  <c r="BL403" i="1"/>
  <c r="L394" i="1"/>
  <c r="BP384" i="1"/>
  <c r="P375" i="1"/>
  <c r="AA498" i="1"/>
  <c r="AL447" i="1"/>
  <c r="BU399" i="1"/>
  <c r="BU445" i="1"/>
  <c r="AS486" i="1"/>
  <c r="CB467" i="1"/>
  <c r="CN426" i="1"/>
  <c r="AW408" i="1"/>
  <c r="I379" i="1"/>
  <c r="BP415" i="1"/>
  <c r="BX377" i="1"/>
  <c r="W414" i="1"/>
  <c r="Y376" i="1"/>
  <c r="CV412" i="1"/>
  <c r="DD374" i="1"/>
  <c r="AA439" i="1"/>
  <c r="DC416" i="1"/>
  <c r="AQ404" i="1"/>
  <c r="BE391" i="1"/>
  <c r="U376" i="1"/>
  <c r="BG478" i="1"/>
  <c r="CK426" i="1"/>
  <c r="CB412" i="1"/>
  <c r="P400" i="1"/>
  <c r="AR387" i="1"/>
  <c r="CJ374" i="1"/>
  <c r="BC470" i="1"/>
  <c r="DC423" i="1"/>
  <c r="AI411" i="1"/>
  <c r="CA398" i="1"/>
  <c r="DE381" i="1"/>
  <c r="DI368" i="1"/>
  <c r="CI445" i="1"/>
  <c r="AZ418" i="1"/>
  <c r="CR405" i="1"/>
  <c r="AF393" i="1"/>
  <c r="CZ389" i="1"/>
  <c r="AF468" i="1"/>
  <c r="DG512" i="1"/>
  <c r="X429" i="1"/>
  <c r="CC381" i="1"/>
  <c r="H380" i="1"/>
  <c r="BM378" i="1"/>
  <c r="AN377" i="1"/>
  <c r="CA417" i="1"/>
  <c r="BG392" i="1"/>
  <c r="BC481" i="1"/>
  <c r="AZ413" i="1"/>
  <c r="AF388" i="1"/>
  <c r="BS474" i="1"/>
  <c r="G412" i="1"/>
  <c r="U383" i="1"/>
  <c r="CE448" i="1"/>
  <c r="BP406" i="1"/>
  <c r="BH384" i="1"/>
  <c r="CZ371" i="1"/>
  <c r="AI457" i="1"/>
  <c r="W421" i="1"/>
  <c r="BO408" i="1"/>
  <c r="CQ395" i="1"/>
  <c r="S390" i="1"/>
  <c r="CU375" i="1"/>
  <c r="Z421" i="1"/>
  <c r="CP370" i="1"/>
  <c r="CH356" i="1"/>
  <c r="F344" i="1"/>
  <c r="AX331" i="1"/>
  <c r="CP318" i="1"/>
  <c r="BJ419" i="1"/>
  <c r="V369" i="1"/>
  <c r="AO356" i="1"/>
  <c r="BQ343" i="1"/>
  <c r="BG389" i="1"/>
  <c r="BK375" i="1"/>
  <c r="BZ418" i="1"/>
  <c r="CD368" i="1"/>
  <c r="R356" i="1"/>
  <c r="AT343" i="1"/>
  <c r="CL330" i="1"/>
  <c r="Z318" i="1"/>
  <c r="F417" i="1"/>
  <c r="AK368" i="1"/>
  <c r="CC355" i="1"/>
  <c r="DE342" i="1"/>
  <c r="AM388" i="1"/>
  <c r="K375" i="1"/>
  <c r="CQ437" i="1"/>
  <c r="AH391" i="1"/>
  <c r="DF364" i="1"/>
  <c r="BF355" i="1"/>
  <c r="F346" i="1"/>
  <c r="BJ336" i="1"/>
  <c r="J327" i="1"/>
  <c r="BN317" i="1"/>
  <c r="CC427" i="1"/>
  <c r="CP387" i="1"/>
  <c r="Q364" i="1"/>
  <c r="BU354" i="1"/>
  <c r="U345" i="1"/>
  <c r="BY335" i="1"/>
  <c r="DG441" i="1"/>
  <c r="AH346" i="1"/>
  <c r="I425" i="1"/>
  <c r="CO344" i="1"/>
  <c r="Q326" i="1"/>
  <c r="BU316" i="1"/>
  <c r="AS424" i="1"/>
  <c r="V386" i="1"/>
  <c r="CB363" i="1"/>
  <c r="AB354" i="1"/>
  <c r="CF344" i="1"/>
  <c r="AF335" i="1"/>
  <c r="CJ325" i="1"/>
  <c r="AJ316" i="1"/>
  <c r="CU366" i="1"/>
  <c r="DC328" i="1"/>
  <c r="CO306" i="1"/>
  <c r="AO297" i="1"/>
  <c r="CS287" i="1"/>
  <c r="AS278" i="1"/>
  <c r="CW268" i="1"/>
  <c r="AW259" i="1"/>
  <c r="DA249" i="1"/>
  <c r="BA240" i="1"/>
  <c r="DE230" i="1"/>
  <c r="BE221" i="1"/>
  <c r="DI211" i="1"/>
  <c r="BI202" i="1"/>
  <c r="I193" i="1"/>
  <c r="BM183" i="1"/>
  <c r="BZ482" i="1"/>
  <c r="DB444" i="1"/>
  <c r="AG397" i="1"/>
  <c r="U436" i="1"/>
  <c r="DI483" i="1"/>
  <c r="P467" i="1"/>
  <c r="AB426" i="1"/>
  <c r="CO407" i="1"/>
  <c r="BA378" i="1"/>
  <c r="DH414" i="1"/>
  <c r="L377" i="1"/>
  <c r="BO413" i="1"/>
  <c r="BQ375" i="1"/>
  <c r="AJ412" i="1"/>
  <c r="AR374" i="1"/>
  <c r="BS438" i="1"/>
  <c r="CM416" i="1"/>
  <c r="K404" i="1"/>
  <c r="AK391" i="1"/>
  <c r="DI375" i="1"/>
  <c r="AM477" i="1"/>
  <c r="BE426" i="1"/>
  <c r="BL412" i="1"/>
  <c r="CN399" i="1"/>
  <c r="AB387" i="1"/>
  <c r="BT374" i="1"/>
  <c r="AI469" i="1"/>
  <c r="CE423" i="1"/>
  <c r="S411" i="1"/>
  <c r="AU398" i="1"/>
  <c r="CK381" i="1"/>
  <c r="CS368" i="1"/>
  <c r="BO444" i="1"/>
  <c r="AJ418" i="1"/>
  <c r="CB405" i="1"/>
  <c r="DD392" i="1"/>
  <c r="AR380" i="1"/>
  <c r="AU510" i="1"/>
  <c r="BG439" i="1"/>
  <c r="G417" i="1"/>
  <c r="AY404" i="1"/>
  <c r="CA391" i="1"/>
  <c r="AM384" i="1"/>
  <c r="CE371" i="1"/>
  <c r="BR404" i="1"/>
  <c r="Z365" i="1"/>
  <c r="BR352" i="1"/>
  <c r="CT339" i="1"/>
  <c r="AH327" i="1"/>
  <c r="BZ314" i="1"/>
  <c r="DB402" i="1"/>
  <c r="CK364" i="1"/>
  <c r="Y352" i="1"/>
  <c r="BA339" i="1"/>
  <c r="DG383" i="1"/>
  <c r="AU371" i="1"/>
  <c r="N402" i="1"/>
  <c r="BN364" i="1"/>
  <c r="DF351" i="1"/>
  <c r="AD339" i="1"/>
  <c r="BV326" i="1"/>
  <c r="J314" i="1"/>
  <c r="AX400" i="1"/>
  <c r="U364" i="1"/>
  <c r="BM351" i="1"/>
  <c r="CO338" i="1"/>
  <c r="AA383" i="1"/>
  <c r="DC371" i="1"/>
  <c r="CH416" i="1"/>
  <c r="CP378" i="1"/>
  <c r="CT361" i="1"/>
  <c r="AT352" i="1"/>
  <c r="CX342" i="1"/>
  <c r="AX333" i="1"/>
  <c r="DB323" i="1"/>
  <c r="BB314" i="1"/>
  <c r="AL413" i="1"/>
  <c r="AT375" i="1"/>
  <c r="DI360" i="1"/>
  <c r="BI351" i="1"/>
  <c r="I342" i="1"/>
  <c r="BM332" i="1"/>
  <c r="BB380" i="1"/>
  <c r="CP333" i="1"/>
  <c r="BV374" i="1"/>
  <c r="BI332" i="1"/>
  <c r="DI322" i="1"/>
  <c r="BI313" i="1"/>
  <c r="BV411" i="1"/>
  <c r="CD373" i="1"/>
  <c r="BP360" i="1"/>
  <c r="P351" i="1"/>
  <c r="BT341" i="1"/>
  <c r="T332" i="1"/>
  <c r="BX322" i="1"/>
  <c r="X313" i="1"/>
  <c r="AY354" i="1"/>
  <c r="BG316" i="1"/>
  <c r="CC303" i="1"/>
  <c r="AC294" i="1"/>
  <c r="CG284" i="1"/>
  <c r="AG275" i="1"/>
  <c r="CK265" i="1"/>
  <c r="AK256" i="1"/>
  <c r="CO246" i="1"/>
  <c r="AO237" i="1"/>
  <c r="CS227" i="1"/>
  <c r="AS218" i="1"/>
  <c r="CW208" i="1"/>
  <c r="AW199" i="1"/>
  <c r="DA189" i="1"/>
  <c r="BA180" i="1"/>
  <c r="AE354" i="1"/>
  <c r="BW388" i="1"/>
  <c r="BV368" i="1"/>
  <c r="CD330" i="1"/>
  <c r="AS368" i="1"/>
  <c r="DI331" i="1"/>
  <c r="BI322" i="1"/>
  <c r="DD499" i="1"/>
  <c r="J452" i="1"/>
  <c r="AS404" i="1"/>
  <c r="U468" i="1"/>
  <c r="G494" i="1"/>
  <c r="CV468" i="1"/>
  <c r="DH427" i="1"/>
  <c r="BQ409" i="1"/>
  <c r="AC380" i="1"/>
  <c r="CJ416" i="1"/>
  <c r="CR378" i="1"/>
  <c r="AQ415" i="1"/>
  <c r="AS377" i="1"/>
  <c r="L414" i="1"/>
  <c r="T376" i="1"/>
  <c r="DG440" i="1"/>
  <c r="AU417" i="1"/>
  <c r="BW404" i="1"/>
  <c r="K392" i="1"/>
  <c r="BQ376" i="1"/>
  <c r="CA479" i="1"/>
  <c r="BY427" i="1"/>
  <c r="T413" i="1"/>
  <c r="AV400" i="1"/>
  <c r="CN387" i="1"/>
  <c r="AB375" i="1"/>
  <c r="CQ472" i="1"/>
  <c r="CQ424" i="1"/>
  <c r="CE411" i="1"/>
  <c r="DG398" i="1"/>
  <c r="BM382" i="1"/>
  <c r="BA369" i="1"/>
  <c r="DC446" i="1"/>
  <c r="CV418" i="1"/>
  <c r="AJ406" i="1"/>
  <c r="BL393" i="1"/>
  <c r="DD380" i="1"/>
  <c r="CN523" i="1"/>
  <c r="CU441" i="1"/>
  <c r="BS417" i="1"/>
  <c r="G405" i="1"/>
  <c r="AI392" i="1"/>
  <c r="K385" i="1"/>
  <c r="BL387" i="1"/>
  <c r="AR427" i="1"/>
  <c r="CC475" i="1"/>
  <c r="AZ424" i="1"/>
  <c r="BY376" i="1"/>
  <c r="AJ375" i="1"/>
  <c r="CO373" i="1"/>
  <c r="BP372" i="1"/>
  <c r="AA416" i="1"/>
  <c r="BI390" i="1"/>
  <c r="CI473" i="1"/>
  <c r="DD411" i="1"/>
  <c r="BT386" i="1"/>
  <c r="CE465" i="1"/>
  <c r="BK410" i="1"/>
  <c r="DE380" i="1"/>
  <c r="AA442" i="1"/>
  <c r="P405" i="1"/>
  <c r="CJ383" i="1"/>
  <c r="H371" i="1"/>
  <c r="S453" i="1"/>
  <c r="AY420" i="1"/>
  <c r="CA407" i="1"/>
  <c r="O395" i="1"/>
  <c r="CM388" i="1"/>
  <c r="DG374" i="1"/>
  <c r="AD418" i="1"/>
  <c r="BR368" i="1"/>
  <c r="CT355" i="1"/>
  <c r="AH343" i="1"/>
  <c r="BZ330" i="1"/>
  <c r="DB317" i="1"/>
  <c r="BN416" i="1"/>
  <c r="Y368" i="1"/>
  <c r="BA355" i="1"/>
  <c r="CS342" i="1"/>
  <c r="AQ388" i="1"/>
  <c r="BW374" i="1"/>
  <c r="CD415" i="1"/>
  <c r="DF367" i="1"/>
  <c r="AD355" i="1"/>
  <c r="BV342" i="1"/>
  <c r="J330" i="1"/>
  <c r="AL317" i="1"/>
  <c r="J414" i="1"/>
  <c r="BM367" i="1"/>
  <c r="CO354" i="1"/>
  <c r="AC342" i="1"/>
  <c r="AM387" i="1"/>
  <c r="BC374" i="1"/>
  <c r="CS429" i="1"/>
  <c r="CX388" i="1"/>
  <c r="AT364" i="1"/>
  <c r="CX354" i="1"/>
  <c r="AX345" i="1"/>
  <c r="DB335" i="1"/>
  <c r="BB326" i="1"/>
  <c r="DF316" i="1"/>
  <c r="AT423" i="1"/>
  <c r="BA420" i="1"/>
  <c r="CJ517" i="1"/>
  <c r="V452" i="1"/>
  <c r="N431" i="1"/>
  <c r="DB431" i="1"/>
  <c r="DG509" i="1"/>
  <c r="BN438" i="1"/>
  <c r="CE490" i="1"/>
  <c r="L447" i="1"/>
  <c r="AM436" i="1"/>
  <c r="CA504" i="1"/>
  <c r="BL469" i="1"/>
  <c r="BX428" i="1"/>
  <c r="AG410" i="1"/>
  <c r="CR489" i="1"/>
  <c r="CR446" i="1"/>
  <c r="AY435" i="1"/>
  <c r="CX468" i="1"/>
  <c r="DF441" i="1"/>
  <c r="AK394" i="1"/>
  <c r="AA516" i="1"/>
  <c r="I481" i="1"/>
  <c r="AN465" i="1"/>
  <c r="BD425" i="1"/>
  <c r="M407" i="1"/>
  <c r="U385" i="1"/>
  <c r="CG374" i="1"/>
  <c r="K442" i="1"/>
  <c r="AJ411" i="1"/>
  <c r="AN392" i="1"/>
  <c r="AR373" i="1"/>
  <c r="AU436" i="1"/>
  <c r="CU409" i="1"/>
  <c r="CY390" i="1"/>
  <c r="CW371" i="1"/>
  <c r="AK431" i="1"/>
  <c r="BP408" i="1"/>
  <c r="BT389" i="1"/>
  <c r="BX370" i="1"/>
  <c r="X514" i="1"/>
  <c r="G505" i="1"/>
  <c r="CX455" i="1"/>
  <c r="L467" i="1"/>
  <c r="DA407" i="1"/>
  <c r="CB445" i="1"/>
  <c r="U484" i="1"/>
  <c r="DD425" i="1"/>
  <c r="AE508" i="1"/>
  <c r="BS495" i="1"/>
  <c r="CJ469" i="1"/>
  <c r="CR447" i="1"/>
  <c r="CV428" i="1"/>
  <c r="CQ438" i="1"/>
  <c r="BE410" i="1"/>
  <c r="BI391" i="1"/>
  <c r="AO381" i="1"/>
  <c r="AI472" i="1"/>
  <c r="BX417" i="1"/>
  <c r="CB398" i="1"/>
  <c r="CF379" i="1"/>
  <c r="BW463" i="1"/>
  <c r="AE416" i="1"/>
  <c r="AI397" i="1"/>
  <c r="AG378" i="1"/>
  <c r="AR556" i="1"/>
  <c r="CY457" i="1"/>
  <c r="M425" i="1"/>
  <c r="DD414" i="1"/>
  <c r="BD405" i="1"/>
  <c r="DH395" i="1"/>
  <c r="BH386" i="1"/>
  <c r="H377" i="1"/>
  <c r="CQ506" i="1"/>
  <c r="BW451" i="1"/>
  <c r="W423" i="1"/>
  <c r="CA413" i="1"/>
  <c r="AA404" i="1"/>
  <c r="CE394" i="1"/>
  <c r="DI382" i="1"/>
  <c r="CW372" i="1"/>
  <c r="CY477" i="1"/>
  <c r="BW434" i="1"/>
  <c r="CZ418" i="1"/>
  <c r="AZ409" i="1"/>
  <c r="DD399" i="1"/>
  <c r="BD390" i="1"/>
  <c r="DH380" i="1"/>
  <c r="BH371" i="1"/>
  <c r="CU469" i="1"/>
  <c r="W430" i="1"/>
  <c r="BG417" i="1"/>
  <c r="G408" i="1"/>
  <c r="BK398" i="1"/>
  <c r="Q386" i="1"/>
  <c r="AC375" i="1"/>
  <c r="AE487" i="1"/>
  <c r="W445" i="1"/>
  <c r="BL421" i="1"/>
  <c r="L412" i="1"/>
  <c r="BP402" i="1"/>
  <c r="P393" i="1"/>
  <c r="BT383" i="1"/>
  <c r="T374" i="1"/>
  <c r="CI482" i="1"/>
  <c r="O440" i="1"/>
  <c r="AI420" i="1"/>
  <c r="CM410" i="1"/>
  <c r="AM401" i="1"/>
  <c r="CQ391" i="1"/>
  <c r="BS388" i="1"/>
  <c r="O378" i="1"/>
  <c r="AA513" i="1"/>
  <c r="Z405" i="1"/>
  <c r="BB368" i="1"/>
  <c r="DF358" i="1"/>
  <c r="BF349" i="1"/>
  <c r="F340" i="1"/>
  <c r="BJ330" i="1"/>
  <c r="J321" i="1"/>
  <c r="AE489" i="1"/>
  <c r="BJ403" i="1"/>
  <c r="I368" i="1"/>
  <c r="BM358" i="1"/>
  <c r="M349" i="1"/>
  <c r="BQ339" i="1"/>
  <c r="W388" i="1"/>
  <c r="CI377" i="1"/>
  <c r="CU491" i="1"/>
  <c r="BZ402" i="1"/>
  <c r="CP367" i="1"/>
  <c r="AP358" i="1"/>
  <c r="CT348" i="1"/>
  <c r="AT339" i="1"/>
  <c r="CX329" i="1"/>
  <c r="AX320" i="1"/>
  <c r="W479" i="1"/>
  <c r="F401" i="1"/>
  <c r="AW367" i="1"/>
  <c r="DA357" i="1"/>
  <c r="BA348" i="1"/>
  <c r="DE338" i="1"/>
  <c r="S387" i="1"/>
  <c r="DG376" i="1"/>
  <c r="AN502" i="1"/>
  <c r="BW498" i="1"/>
  <c r="F482" i="1"/>
  <c r="U455" i="1"/>
  <c r="BV452" i="1"/>
  <c r="CO470" i="1"/>
  <c r="L463" i="1"/>
  <c r="AF520" i="1"/>
  <c r="DE404" i="1"/>
  <c r="CB485" i="1"/>
  <c r="CF442" i="1"/>
  <c r="CU424" i="1"/>
  <c r="BI470" i="1"/>
  <c r="DH462" i="1"/>
  <c r="AY515" i="1"/>
  <c r="CG404" i="1"/>
  <c r="AU496" i="1"/>
  <c r="I449" i="1"/>
  <c r="H490" i="1"/>
  <c r="AZ480" i="1"/>
  <c r="H469" i="1"/>
  <c r="BD457" i="1"/>
  <c r="P447" i="1"/>
  <c r="BT437" i="1"/>
  <c r="T428" i="1"/>
  <c r="S479" i="1"/>
  <c r="CU435" i="1"/>
  <c r="AC419" i="1"/>
  <c r="CG409" i="1"/>
  <c r="AG400" i="1"/>
  <c r="CK390" i="1"/>
  <c r="AK381" i="1"/>
  <c r="AS380" i="1"/>
  <c r="CW370" i="1"/>
  <c r="S468" i="1"/>
  <c r="DI428" i="1"/>
  <c r="CZ416" i="1"/>
  <c r="AZ407" i="1"/>
  <c r="DD397" i="1"/>
  <c r="BD388" i="1"/>
  <c r="DH378" i="1"/>
  <c r="BH369" i="1"/>
  <c r="BG459" i="1"/>
  <c r="W426" i="1"/>
  <c r="BG415" i="1"/>
  <c r="G406" i="1"/>
  <c r="BK396" i="1"/>
  <c r="Y389" i="1"/>
  <c r="BI377" i="1"/>
  <c r="AI515" i="1"/>
  <c r="CI453" i="1"/>
  <c r="CB423" i="1"/>
  <c r="AB414" i="1"/>
  <c r="CF404" i="1"/>
  <c r="AF395" i="1"/>
  <c r="CJ385" i="1"/>
  <c r="AJ376" i="1"/>
  <c r="AN520" i="1"/>
  <c r="AH482" i="1"/>
  <c r="BQ418" i="1"/>
  <c r="I400" i="1"/>
  <c r="DA393" i="1"/>
  <c r="BD473" i="1"/>
  <c r="BL431" i="1"/>
  <c r="U413" i="1"/>
  <c r="CW384" i="1"/>
  <c r="AN420" i="1"/>
  <c r="AV382" i="1"/>
  <c r="CY418" i="1"/>
  <c r="M381" i="1"/>
  <c r="BT417" i="1"/>
  <c r="CB379" i="1"/>
  <c r="CE445" i="1"/>
  <c r="BO418" i="1"/>
  <c r="CQ405" i="1"/>
  <c r="AE393" i="1"/>
  <c r="CK377" i="1"/>
  <c r="AY484" i="1"/>
  <c r="I430" i="1"/>
  <c r="AN414" i="1"/>
  <c r="BP401" i="1"/>
  <c r="DH388" i="1"/>
  <c r="AV376" i="1"/>
  <c r="CI478" i="1"/>
  <c r="AA427" i="1"/>
  <c r="CY412" i="1"/>
  <c r="W400" i="1"/>
  <c r="U384" i="1"/>
  <c r="BU370" i="1"/>
  <c r="CA451" i="1"/>
  <c r="L420" i="1"/>
  <c r="BD407" i="1"/>
  <c r="CF394" i="1"/>
  <c r="DF445" i="1"/>
  <c r="AK398" i="1"/>
  <c r="CO421" i="1"/>
  <c r="AZ459" i="1"/>
  <c r="AG415" i="1"/>
  <c r="CO517" i="1"/>
  <c r="CW485" i="1"/>
  <c r="CO460" i="1"/>
  <c r="CS486" i="1"/>
  <c r="BZ481" i="1"/>
  <c r="J428" i="1"/>
  <c r="BH479" i="1"/>
  <c r="BL436" i="1"/>
  <c r="AK418" i="1"/>
  <c r="BM447" i="1"/>
  <c r="P457" i="1"/>
  <c r="K477" i="1"/>
  <c r="CG399" i="1"/>
  <c r="AJ479" i="1"/>
  <c r="AN436" i="1"/>
  <c r="M418" i="1"/>
  <c r="AJ508" i="1"/>
  <c r="BZ442" i="1"/>
  <c r="T521" i="1"/>
  <c r="Z427" i="1"/>
  <c r="G491" i="1"/>
  <c r="Z436" i="1"/>
  <c r="BX487" i="1"/>
  <c r="CB444" i="1"/>
  <c r="O429" i="1"/>
  <c r="AK484" i="1"/>
  <c r="X467" i="1"/>
  <c r="AJ426" i="1"/>
  <c r="CW407" i="1"/>
  <c r="AZ487" i="1"/>
  <c r="BD444" i="1"/>
  <c r="BW428" i="1"/>
  <c r="CT427" i="1"/>
  <c r="BF432" i="1"/>
  <c r="CC467" i="1"/>
  <c r="CF483" i="1"/>
  <c r="CK469" i="1"/>
  <c r="DD462" i="1"/>
  <c r="AA517" i="1"/>
  <c r="CC404" i="1"/>
  <c r="AS383" i="1"/>
  <c r="DE372" i="1"/>
  <c r="DC434" i="1"/>
  <c r="BH409" i="1"/>
  <c r="BL390" i="1"/>
  <c r="BP371" i="1"/>
  <c r="AM430" i="1"/>
  <c r="O408" i="1"/>
  <c r="S389" i="1"/>
  <c r="Q370" i="1"/>
  <c r="CG427" i="1"/>
  <c r="CN406" i="1"/>
  <c r="CR387" i="1"/>
  <c r="CV368" i="1"/>
  <c r="AV544" i="1"/>
  <c r="AL462" i="1"/>
  <c r="BF448" i="1"/>
  <c r="H458" i="1"/>
  <c r="CO400" i="1"/>
  <c r="BP438" i="1"/>
  <c r="AS450" i="1"/>
  <c r="CU479" i="1"/>
  <c r="BM487" i="1"/>
  <c r="CV488" i="1"/>
  <c r="DH467" i="1"/>
  <c r="L446" i="1"/>
  <c r="P427" i="1"/>
  <c r="CE431" i="1"/>
  <c r="CC408" i="1"/>
  <c r="CG389" i="1"/>
  <c r="AO379" i="1"/>
  <c r="CM462" i="1"/>
  <c r="CV415" i="1"/>
  <c r="CZ396" i="1"/>
  <c r="DD377" i="1"/>
  <c r="CI454" i="1"/>
  <c r="BC414" i="1"/>
  <c r="BG395" i="1"/>
  <c r="BY377" i="1"/>
  <c r="BW517" i="1"/>
  <c r="AQ454" i="1"/>
  <c r="CW423" i="1"/>
  <c r="AR414" i="1"/>
  <c r="CV404" i="1"/>
  <c r="AV395" i="1"/>
  <c r="CZ385" i="1"/>
  <c r="AZ376" i="1"/>
  <c r="AQ497" i="1"/>
  <c r="AI449" i="1"/>
  <c r="BO422" i="1"/>
  <c r="O413" i="1"/>
  <c r="BS403" i="1"/>
  <c r="S394" i="1"/>
  <c r="AC382" i="1"/>
  <c r="AK372" i="1"/>
  <c r="AQ474" i="1"/>
  <c r="AI432" i="1"/>
  <c r="AN418" i="1"/>
  <c r="CR408" i="1"/>
  <c r="AR399" i="1"/>
  <c r="CV389" i="1"/>
  <c r="AV380" i="1"/>
  <c r="CZ370" i="1"/>
  <c r="BG467" i="1"/>
  <c r="DG428" i="1"/>
  <c r="CY416" i="1"/>
  <c r="AY407" i="1"/>
  <c r="DC397" i="1"/>
  <c r="AO385" i="1"/>
  <c r="BU374" i="1"/>
  <c r="CU484" i="1"/>
  <c r="CM442" i="1"/>
  <c r="DD420" i="1"/>
  <c r="BD411" i="1"/>
  <c r="DH401" i="1"/>
  <c r="BH392" i="1"/>
  <c r="H383" i="1"/>
  <c r="BL373" i="1"/>
  <c r="AU480" i="1"/>
  <c r="CE437" i="1"/>
  <c r="CA419" i="1"/>
  <c r="AA410" i="1"/>
  <c r="CE400" i="1"/>
  <c r="AE391" i="1"/>
  <c r="CM387" i="1"/>
  <c r="BG377" i="1"/>
  <c r="AY486" i="1"/>
  <c r="CP402" i="1"/>
  <c r="CT367" i="1"/>
  <c r="AT358" i="1"/>
  <c r="CX348" i="1"/>
  <c r="AX339" i="1"/>
  <c r="DB329" i="1"/>
  <c r="BB320" i="1"/>
  <c r="CI479" i="1"/>
  <c r="V401" i="1"/>
  <c r="BA367" i="1"/>
  <c r="DE357" i="1"/>
  <c r="BE348" i="1"/>
  <c r="DI338" i="1"/>
  <c r="AQ387" i="1"/>
  <c r="W377" i="1"/>
  <c r="O481" i="1"/>
  <c r="AL400" i="1"/>
  <c r="AD367" i="1"/>
  <c r="CH357" i="1"/>
  <c r="AH348" i="1"/>
  <c r="CL338" i="1"/>
  <c r="AL329" i="1"/>
  <c r="CP319" i="1"/>
  <c r="AM467" i="1"/>
  <c r="BV398" i="1"/>
  <c r="CO366" i="1"/>
  <c r="AO357" i="1"/>
  <c r="CS347" i="1"/>
  <c r="AS338" i="1"/>
  <c r="AM386" i="1"/>
  <c r="AU376" i="1"/>
  <c r="CR492" i="1"/>
  <c r="CL482" i="1"/>
  <c r="BB470" i="1"/>
  <c r="AW450" i="1"/>
  <c r="AH450" i="1"/>
  <c r="DE458" i="1"/>
  <c r="CN459" i="1"/>
  <c r="CU487" i="1"/>
  <c r="BQ402" i="1"/>
  <c r="AN483" i="1"/>
  <c r="AR440" i="1"/>
  <c r="DE421" i="1"/>
  <c r="BY458" i="1"/>
  <c r="BP459" i="1"/>
  <c r="DG486" i="1"/>
  <c r="AS402" i="1"/>
  <c r="AO489" i="1"/>
  <c r="BY446" i="1"/>
  <c r="AN489" i="1"/>
  <c r="CR479" i="1"/>
  <c r="AZ468" i="1"/>
  <c r="DH455" i="1"/>
  <c r="BH446" i="1"/>
  <c r="H437" i="1"/>
  <c r="BL427" i="1"/>
  <c r="BO475" i="1"/>
  <c r="BG433" i="1"/>
  <c r="BU418" i="1"/>
  <c r="U409" i="1"/>
  <c r="BY399" i="1"/>
  <c r="Y390" i="1"/>
  <c r="CC380" i="1"/>
  <c r="CK379" i="1"/>
  <c r="AK370" i="1"/>
  <c r="BO464" i="1"/>
  <c r="CO427" i="1"/>
  <c r="AN416" i="1"/>
  <c r="CR406" i="1"/>
  <c r="AR397" i="1"/>
  <c r="CV387" i="1"/>
  <c r="AV378" i="1"/>
  <c r="CZ368" i="1"/>
  <c r="S457" i="1"/>
  <c r="DG424" i="1"/>
  <c r="CY414" i="1"/>
  <c r="AY405" i="1"/>
  <c r="DC395" i="1"/>
  <c r="AS388" i="1"/>
  <c r="DA376" i="1"/>
  <c r="CM505" i="1"/>
  <c r="AU451" i="1"/>
  <c r="P423" i="1"/>
  <c r="BT413" i="1"/>
  <c r="DD487" i="1"/>
  <c r="BD467" i="1"/>
  <c r="Q398" i="1"/>
  <c r="CB434" i="1"/>
  <c r="AW403" i="1"/>
  <c r="AF508" i="1"/>
  <c r="BA433" i="1"/>
  <c r="DB487" i="1"/>
  <c r="U459" i="1"/>
  <c r="R454" i="1"/>
  <c r="Q479" i="1"/>
  <c r="BL464" i="1"/>
  <c r="CB424" i="1"/>
  <c r="BA406" i="1"/>
  <c r="X487" i="1"/>
  <c r="AB444" i="1"/>
  <c r="CQ427" i="1"/>
  <c r="AC478" i="1"/>
  <c r="BD464" i="1"/>
  <c r="BD424" i="1"/>
  <c r="AC406" i="1"/>
  <c r="DI502" i="1"/>
  <c r="DI468" i="1"/>
  <c r="DE444" i="1"/>
  <c r="AK479" i="1"/>
  <c r="N473" i="1"/>
  <c r="AP424" i="1"/>
  <c r="CJ474" i="1"/>
  <c r="CR432" i="1"/>
  <c r="BQ414" i="1"/>
  <c r="CG432" i="1"/>
  <c r="AR452" i="1"/>
  <c r="O458" i="1"/>
  <c r="I396" i="1"/>
  <c r="BL474" i="1"/>
  <c r="BT432" i="1"/>
  <c r="AS414" i="1"/>
  <c r="BU439" i="1"/>
  <c r="AZ473" i="1"/>
  <c r="H451" i="1"/>
  <c r="AJ431" i="1"/>
  <c r="AI506" i="1"/>
  <c r="X449" i="1"/>
  <c r="W444" i="1"/>
  <c r="DI396" i="1"/>
  <c r="BU388" i="1"/>
  <c r="CI508" i="1"/>
  <c r="T423" i="1"/>
  <c r="X404" i="1"/>
  <c r="AB385" i="1"/>
  <c r="S489" i="1"/>
  <c r="CE421" i="1"/>
  <c r="CI402" i="1"/>
  <c r="CO384" i="1"/>
  <c r="AU483" i="1"/>
  <c r="AZ420" i="1"/>
  <c r="BD401" i="1"/>
  <c r="BH382" i="1"/>
  <c r="AM478" i="1"/>
  <c r="AO482" i="1"/>
  <c r="M485" i="1"/>
  <c r="V427" i="1"/>
  <c r="BX435" i="1"/>
  <c r="DI443" i="1"/>
  <c r="CY472" i="1"/>
  <c r="AV478" i="1"/>
  <c r="Y417" i="1"/>
  <c r="AG463" i="1"/>
  <c r="BL483" i="1"/>
  <c r="BP460" i="1"/>
  <c r="CF440" i="1"/>
  <c r="CU495" i="1"/>
  <c r="AO422" i="1"/>
  <c r="AS403" i="1"/>
  <c r="AW384" i="1"/>
  <c r="DI373" i="1"/>
  <c r="O439" i="1"/>
  <c r="BL410" i="1"/>
  <c r="BP391" i="1"/>
  <c r="BT372" i="1"/>
  <c r="AY433" i="1"/>
  <c r="S409" i="1"/>
  <c r="W390" i="1"/>
  <c r="CC374" i="1"/>
  <c r="W485" i="1"/>
  <c r="BG442" i="1"/>
  <c r="CV420" i="1"/>
  <c r="AV411" i="1"/>
  <c r="CZ401" i="1"/>
  <c r="AZ392" i="1"/>
  <c r="DD382" i="1"/>
  <c r="BD373" i="1"/>
  <c r="O480" i="1"/>
  <c r="AY437" i="1"/>
  <c r="BS419" i="1"/>
  <c r="S410" i="1"/>
  <c r="BW400" i="1"/>
  <c r="CW390" i="1"/>
  <c r="CO378" i="1"/>
  <c r="AO369" i="1"/>
  <c r="DC458" i="1"/>
  <c r="CW425" i="1"/>
  <c r="AR415" i="1"/>
  <c r="CV405" i="1"/>
  <c r="AV396" i="1"/>
  <c r="CZ386" i="1"/>
  <c r="AZ377" i="1"/>
  <c r="AQ513" i="1"/>
  <c r="CA452" i="1"/>
  <c r="AY423" i="1"/>
  <c r="DC413" i="1"/>
  <c r="BC404" i="1"/>
  <c r="DG394" i="1"/>
  <c r="AS381" i="1"/>
  <c r="BY371" i="1"/>
  <c r="AY472" i="1"/>
  <c r="U431" i="1"/>
  <c r="DH417" i="1"/>
  <c r="BH408" i="1"/>
  <c r="H399" i="1"/>
  <c r="BL389" i="1"/>
  <c r="L380" i="1"/>
  <c r="BP370" i="1"/>
  <c r="BO465" i="1"/>
  <c r="BS428" i="1"/>
  <c r="CE416" i="1"/>
  <c r="AE407" i="1"/>
  <c r="CI397" i="1"/>
  <c r="AI388" i="1"/>
  <c r="G384" i="1"/>
  <c r="BK374" i="1"/>
  <c r="BW436" i="1"/>
  <c r="DF390" i="1"/>
  <c r="CX364" i="1"/>
  <c r="AX355" i="1"/>
  <c r="DB345" i="1"/>
  <c r="BB336" i="1"/>
  <c r="DF326" i="1"/>
  <c r="BF317" i="1"/>
  <c r="BY430" i="1"/>
  <c r="AL389" i="1"/>
  <c r="BE364" i="1"/>
  <c r="DI354" i="1"/>
  <c r="BI345" i="1"/>
  <c r="I336" i="1"/>
  <c r="CA383" i="1"/>
  <c r="AA374" i="1"/>
  <c r="DE428" i="1"/>
  <c r="BB388" i="1"/>
  <c r="AH364" i="1"/>
  <c r="CL354" i="1"/>
  <c r="AL345" i="1"/>
  <c r="CP335" i="1"/>
  <c r="AP326" i="1"/>
  <c r="CT316" i="1"/>
  <c r="BU425" i="1"/>
  <c r="CL386" i="1"/>
  <c r="CS363" i="1"/>
  <c r="AS354" i="1"/>
  <c r="CW344" i="1"/>
  <c r="AW335" i="1"/>
  <c r="CY382" i="1"/>
  <c r="X517" i="1"/>
  <c r="BN451" i="1"/>
  <c r="BF430" i="1"/>
  <c r="CL431" i="1"/>
  <c r="AU509" i="1"/>
  <c r="AX438" i="1"/>
  <c r="DH489" i="1"/>
  <c r="CZ446" i="1"/>
  <c r="CE435" i="1"/>
  <c r="AM502" i="1"/>
  <c r="AV469" i="1"/>
  <c r="BH428" i="1"/>
  <c r="Q410" i="1"/>
  <c r="BX489" i="1"/>
  <c r="CB446" i="1"/>
  <c r="CQ434" i="1"/>
  <c r="Y397" i="1"/>
  <c r="BE477" i="1"/>
  <c r="CO434" i="1"/>
  <c r="AR486" i="1"/>
  <c r="DH475" i="1"/>
  <c r="AZ464" i="1"/>
  <c r="H453" i="1"/>
  <c r="BL443" i="1"/>
  <c r="L434" i="1"/>
  <c r="BP424" i="1"/>
  <c r="CI460" i="1"/>
  <c r="BG426" i="1"/>
  <c r="BY415" i="1"/>
  <c r="Y406" i="1"/>
  <c r="CC396" i="1"/>
  <c r="AC387" i="1"/>
  <c r="AC388" i="1"/>
  <c r="CO376" i="1"/>
  <c r="G504" i="1"/>
  <c r="AQ450" i="1"/>
  <c r="CR422" i="1"/>
  <c r="AR413" i="1"/>
  <c r="CV403" i="1"/>
  <c r="AV394" i="1"/>
  <c r="CZ384" i="1"/>
  <c r="AZ375" i="1"/>
  <c r="DC487" i="1"/>
  <c r="CA444" i="1"/>
  <c r="AY421" i="1"/>
  <c r="DC411" i="1"/>
  <c r="BC402" i="1"/>
  <c r="DG392" i="1"/>
  <c r="BA384" i="1"/>
  <c r="DE373" i="1"/>
  <c r="AA482" i="1"/>
  <c r="BK439" i="1"/>
  <c r="T420" i="1"/>
  <c r="BX410" i="1"/>
  <c r="X401" i="1"/>
  <c r="CB391" i="1"/>
  <c r="AB382" i="1"/>
  <c r="CF372" i="1"/>
  <c r="F469" i="1"/>
  <c r="BI446" i="1"/>
  <c r="AR480" i="1"/>
  <c r="BP455" i="1"/>
  <c r="CC443" i="1"/>
  <c r="AF455" i="1"/>
  <c r="BS472" i="1"/>
  <c r="DA398" i="1"/>
  <c r="BM369" i="1"/>
  <c r="P406" i="1"/>
  <c r="CY516" i="1"/>
  <c r="CA404" i="1"/>
  <c r="DC493" i="1"/>
  <c r="AV403" i="1"/>
  <c r="DG494" i="1"/>
  <c r="K429" i="1"/>
  <c r="CQ413" i="1"/>
  <c r="O401" i="1"/>
  <c r="AO387" i="1"/>
  <c r="I373" i="1"/>
  <c r="CE460" i="1"/>
  <c r="X422" i="1"/>
  <c r="BP409" i="1"/>
  <c r="CR396" i="1"/>
  <c r="AF384" i="1"/>
  <c r="BX371" i="1"/>
  <c r="BC454" i="1"/>
  <c r="CI420" i="1"/>
  <c r="W408" i="1"/>
  <c r="AY395" i="1"/>
  <c r="BE378" i="1"/>
  <c r="CQ487" i="1"/>
  <c r="CE432" i="1"/>
  <c r="AN415" i="1"/>
  <c r="CF402" i="1"/>
  <c r="DH389" i="1"/>
  <c r="AZ380" i="1"/>
  <c r="CV446" i="1"/>
  <c r="DG497" i="1"/>
  <c r="G440" i="1"/>
  <c r="BC473" i="1"/>
  <c r="CQ464" i="1"/>
  <c r="O459" i="1"/>
  <c r="S477" i="1"/>
  <c r="BC411" i="1"/>
  <c r="Y384" i="1"/>
  <c r="BW450" i="1"/>
  <c r="AB407" i="1"/>
  <c r="CV381" i="1"/>
  <c r="DG444" i="1"/>
  <c r="CM405" i="1"/>
  <c r="Q376" i="1"/>
  <c r="AK427" i="1"/>
  <c r="AR400" i="1"/>
  <c r="AV381" i="1"/>
  <c r="CJ542" i="1"/>
  <c r="BW443" i="1"/>
  <c r="K418" i="1"/>
  <c r="AM405" i="1"/>
  <c r="CE392" i="1"/>
  <c r="BW385" i="1"/>
  <c r="BS372" i="1"/>
  <c r="CH408" i="1"/>
  <c r="AD366" i="1"/>
  <c r="BF353" i="1"/>
  <c r="CX340" i="1"/>
  <c r="AL328" i="1"/>
  <c r="BN315" i="1"/>
  <c r="N407" i="1"/>
  <c r="CO365" i="1"/>
  <c r="M353" i="1"/>
  <c r="BE340" i="1"/>
  <c r="AA385" i="1"/>
  <c r="AI372" i="1"/>
  <c r="AD406" i="1"/>
  <c r="BR365" i="1"/>
  <c r="CT352" i="1"/>
  <c r="AH340" i="1"/>
  <c r="BZ327" i="1"/>
  <c r="DB314" i="1"/>
  <c r="BN404" i="1"/>
  <c r="Y365" i="1"/>
  <c r="BA352" i="1"/>
  <c r="CS339" i="1"/>
  <c r="AE384" i="1"/>
  <c r="CA372" i="1"/>
  <c r="CD419" i="1"/>
  <c r="CL381" i="1"/>
  <c r="BR362" i="1"/>
  <c r="R353" i="1"/>
  <c r="BV343" i="1"/>
  <c r="V334" i="1"/>
  <c r="BZ324" i="1"/>
  <c r="Z315" i="1"/>
  <c r="AH416" i="1"/>
  <c r="AP378" i="1"/>
  <c r="CG361" i="1"/>
  <c r="AG352" i="1"/>
  <c r="CK342" i="1"/>
  <c r="AK333" i="1"/>
  <c r="AL392" i="1"/>
  <c r="CL336" i="1"/>
  <c r="BF386" i="1"/>
  <c r="AO335" i="1"/>
  <c r="CG323" i="1"/>
  <c r="AG314" i="1"/>
  <c r="BR414" i="1"/>
  <c r="BZ376" i="1"/>
  <c r="AN361" i="1"/>
  <c r="CR351" i="1"/>
  <c r="AR342" i="1"/>
  <c r="CV332" i="1"/>
  <c r="AV323" i="1"/>
  <c r="CZ313" i="1"/>
  <c r="AU357" i="1"/>
  <c r="BC319" i="1"/>
  <c r="BA304" i="1"/>
  <c r="DE294" i="1"/>
  <c r="BE285" i="1"/>
  <c r="DI275" i="1"/>
  <c r="BI266" i="1"/>
  <c r="I257" i="1"/>
  <c r="BM247" i="1"/>
  <c r="M238" i="1"/>
  <c r="BQ228" i="1"/>
  <c r="Q219" i="1"/>
  <c r="BU209" i="1"/>
  <c r="U200" i="1"/>
  <c r="BY190" i="1"/>
  <c r="Y181" i="1"/>
  <c r="BB457" i="1"/>
  <c r="I437" i="1"/>
  <c r="DH477" i="1"/>
  <c r="AB453" i="1"/>
  <c r="AO441" i="1"/>
  <c r="DE410" i="1"/>
  <c r="CK488" i="1"/>
  <c r="BP437" i="1"/>
  <c r="AA481" i="1"/>
  <c r="Q419" i="1"/>
  <c r="AF450" i="1"/>
  <c r="AS399" i="1"/>
  <c r="BL406" i="1"/>
  <c r="S405" i="1"/>
  <c r="CR403" i="1"/>
  <c r="AD428" i="1"/>
  <c r="CF426" i="1"/>
  <c r="CZ485" i="1"/>
  <c r="BS425" i="1"/>
  <c r="BO448" i="1"/>
  <c r="CY442" i="1"/>
  <c r="CY489" i="1"/>
  <c r="P403" i="1"/>
  <c r="CQ484" i="1"/>
  <c r="CQ401" i="1"/>
  <c r="CU464" i="1"/>
  <c r="BP397" i="1"/>
  <c r="BS458" i="1"/>
  <c r="W396" i="1"/>
  <c r="CA435" i="1"/>
  <c r="CF390" i="1"/>
  <c r="DG430" i="1"/>
  <c r="BC389" i="1"/>
  <c r="CD395" i="1"/>
  <c r="BV337" i="1"/>
  <c r="J394" i="1"/>
  <c r="AC337" i="1"/>
  <c r="Z393" i="1"/>
  <c r="F337" i="1"/>
  <c r="BJ391" i="1"/>
  <c r="BQ336" i="1"/>
  <c r="BB449" i="1"/>
  <c r="CB561" i="1"/>
  <c r="X475" i="1"/>
  <c r="AZ451" i="1"/>
  <c r="BM439" i="1"/>
  <c r="AB454" i="1"/>
  <c r="CU467" i="1"/>
  <c r="CW397" i="1"/>
  <c r="AF536" i="1"/>
  <c r="L405" i="1"/>
  <c r="AM500" i="1"/>
  <c r="BW403" i="1"/>
  <c r="DC486" i="1"/>
  <c r="AR402" i="1"/>
  <c r="M487" i="1"/>
  <c r="BA464" i="1"/>
  <c r="AK374" i="1"/>
  <c r="BA371" i="1"/>
  <c r="AM415" i="1"/>
  <c r="BS469" i="1"/>
  <c r="CV385" i="1"/>
  <c r="BW409" i="1"/>
  <c r="AE439" i="1"/>
  <c r="Y441" i="1"/>
  <c r="CK405" i="1"/>
  <c r="DA464" i="1"/>
  <c r="L427" i="1"/>
  <c r="CM433" i="1"/>
  <c r="BQ408" i="1"/>
  <c r="I484" i="1"/>
  <c r="AB435" i="1"/>
  <c r="DC469" i="1"/>
  <c r="CG416" i="1"/>
  <c r="CJ440" i="1"/>
  <c r="BQ397" i="1"/>
  <c r="CJ404" i="1"/>
  <c r="AQ403" i="1"/>
  <c r="L402" i="1"/>
  <c r="CO489" i="1"/>
  <c r="DG482" i="1"/>
  <c r="T484" i="1"/>
  <c r="DA422" i="1"/>
  <c r="BC441" i="1"/>
  <c r="CM435" i="1"/>
  <c r="BK487" i="1"/>
  <c r="BH402" i="1"/>
  <c r="BC482" i="1"/>
  <c r="AE401" i="1"/>
  <c r="BG462" i="1"/>
  <c r="DH396" i="1"/>
  <c r="K455" i="1"/>
  <c r="BO395" i="1"/>
  <c r="AM433" i="1"/>
  <c r="T390" i="1"/>
  <c r="CM429" i="1"/>
  <c r="CU388" i="1"/>
  <c r="AP393" i="1"/>
  <c r="J337" i="1"/>
  <c r="BZ391" i="1"/>
  <c r="BU336" i="1"/>
  <c r="CP390" i="1"/>
  <c r="AX336" i="1"/>
  <c r="V389" i="1"/>
  <c r="DI335" i="1"/>
  <c r="DF439" i="1"/>
  <c r="BG508" i="1"/>
  <c r="CN472" i="1"/>
  <c r="L449" i="1"/>
  <c r="Y437" i="1"/>
  <c r="BT453" i="1"/>
  <c r="AM464" i="1"/>
  <c r="AK397" i="1"/>
  <c r="BG513" i="1"/>
  <c r="BD404" i="1"/>
  <c r="CQ490" i="1"/>
  <c r="K403" i="1"/>
  <c r="BO484" i="1"/>
  <c r="DH444" i="1"/>
  <c r="DE508" i="1"/>
  <c r="U439" i="1"/>
  <c r="AU462" i="1"/>
  <c r="AO416" i="1"/>
  <c r="CG396" i="1"/>
  <c r="AK455" i="1"/>
  <c r="CF529" i="1"/>
  <c r="W425" i="1"/>
  <c r="CW404" i="1"/>
  <c r="I413" i="1"/>
  <c r="AG392" i="1"/>
  <c r="AZ399" i="1"/>
  <c r="G398" i="1"/>
  <c r="CF396" i="1"/>
  <c r="Q442" i="1"/>
  <c r="CO417" i="1"/>
  <c r="CN478" i="1"/>
  <c r="BQ417" i="1"/>
  <c r="CG425" i="1"/>
  <c r="AQ423" i="1"/>
  <c r="BG474" i="1"/>
  <c r="BL399" i="1"/>
  <c r="CQ468" i="1"/>
  <c r="AI398" i="1"/>
  <c r="CU448" i="1"/>
  <c r="H394" i="1"/>
  <c r="AA443" i="1"/>
  <c r="CS390" i="1"/>
  <c r="AW426" i="1"/>
  <c r="X387" i="1"/>
  <c r="CU423" i="1"/>
  <c r="CY385" i="1"/>
  <c r="BF381" i="1"/>
  <c r="N334" i="1"/>
  <c r="CP379" i="1"/>
  <c r="BY333" i="1"/>
  <c r="DF378" i="1"/>
  <c r="BB333" i="1"/>
  <c r="AL377" i="1"/>
  <c r="I333" i="1"/>
  <c r="AW465" i="1"/>
  <c r="AV480" i="1"/>
  <c r="DH457" i="1"/>
  <c r="AB437" i="1"/>
  <c r="S518" i="1"/>
  <c r="BX450" i="1"/>
  <c r="O450" i="1"/>
  <c r="AO394" i="1"/>
  <c r="S484" i="1"/>
  <c r="BH401" i="1"/>
  <c r="BC478" i="1"/>
  <c r="O400" i="1"/>
  <c r="DC470" i="1"/>
  <c r="CN398" i="1"/>
  <c r="BV455" i="1"/>
  <c r="BP488" i="1"/>
  <c r="AY460" i="1"/>
  <c r="AY448" i="1"/>
  <c r="BO410" i="1"/>
  <c r="CA447" i="1"/>
  <c r="T381" i="1"/>
  <c r="CY404" i="1"/>
  <c r="CO425" i="1"/>
  <c r="DD370" i="1"/>
  <c r="DD417" i="1"/>
  <c r="O405" i="1"/>
  <c r="BH375" i="1"/>
  <c r="AN419" i="1"/>
  <c r="AI431" i="1"/>
  <c r="O382" i="1"/>
  <c r="AT350" i="1"/>
  <c r="BV394" i="1"/>
  <c r="CI381" i="1"/>
  <c r="CH349" i="1"/>
  <c r="R392" i="1"/>
  <c r="DG380" i="1"/>
  <c r="AD360" i="1"/>
  <c r="AL322" i="1"/>
  <c r="AS359" i="1"/>
  <c r="AD365" i="1"/>
  <c r="AS321" i="1"/>
  <c r="DD358" i="1"/>
  <c r="H321" i="1"/>
  <c r="M302" i="1"/>
  <c r="U264" i="1"/>
  <c r="AC226" i="1"/>
  <c r="AK188" i="1"/>
  <c r="H435" i="1"/>
  <c r="X445" i="1"/>
  <c r="CS388" i="1"/>
  <c r="H396" i="1"/>
  <c r="BS394" i="1"/>
  <c r="AN393" i="1"/>
  <c r="G423" i="1"/>
  <c r="CQ397" i="1"/>
  <c r="BU369" i="1"/>
  <c r="CJ418" i="1"/>
  <c r="BP393" i="1"/>
  <c r="O518" i="1"/>
  <c r="AQ417" i="1"/>
  <c r="AG390" i="1"/>
  <c r="BS473" i="1"/>
  <c r="CZ411" i="1"/>
  <c r="CF386" i="1"/>
  <c r="DC467" i="1"/>
  <c r="BW410" i="1"/>
  <c r="BC385" i="1"/>
  <c r="AU441" i="1"/>
  <c r="CP358" i="1"/>
  <c r="BV333" i="1"/>
  <c r="CE434" i="1"/>
  <c r="AW358" i="1"/>
  <c r="AC333" i="1"/>
  <c r="AO431" i="1"/>
  <c r="Z358" i="1"/>
  <c r="F333" i="1"/>
  <c r="DI427" i="1"/>
  <c r="CK357" i="1"/>
  <c r="CY392" i="1"/>
  <c r="AU473" i="1"/>
  <c r="BR366" i="1"/>
  <c r="BV347" i="1"/>
  <c r="BZ328" i="1"/>
  <c r="S450" i="1"/>
  <c r="CG365" i="1"/>
  <c r="CK346" i="1"/>
  <c r="CI371" i="1"/>
  <c r="CT314" i="1"/>
  <c r="CG327" i="1"/>
  <c r="BC443" i="1"/>
  <c r="AN365" i="1"/>
  <c r="AR346" i="1"/>
  <c r="AV327" i="1"/>
  <c r="F387" i="1"/>
  <c r="BA308" i="1"/>
  <c r="BE289" i="1"/>
  <c r="BI270" i="1"/>
  <c r="BM251" i="1"/>
  <c r="BQ232" i="1"/>
  <c r="BU213" i="1"/>
  <c r="BY194" i="1"/>
  <c r="AH386" i="1"/>
  <c r="BO515" i="1"/>
  <c r="AU498" i="1"/>
  <c r="AG327" i="1"/>
  <c r="BV479" i="1"/>
  <c r="T442" i="1"/>
  <c r="CN489" i="1"/>
  <c r="AI435" i="1"/>
  <c r="BK467" i="1"/>
  <c r="CY458" i="1"/>
  <c r="W453" i="1"/>
  <c r="W474" i="1"/>
  <c r="G411" i="1"/>
  <c r="BQ383" i="1"/>
  <c r="BC449" i="1"/>
  <c r="CJ406" i="1"/>
  <c r="AZ381" i="1"/>
  <c r="CM443" i="1"/>
  <c r="AQ405" i="1"/>
  <c r="BY375" i="1"/>
  <c r="CC426" i="1"/>
  <c r="CZ399" i="1"/>
  <c r="BP374" i="1"/>
  <c r="W424" i="1"/>
  <c r="BW398" i="1"/>
  <c r="BH406" i="1"/>
  <c r="L489" i="1"/>
  <c r="I406" i="1"/>
  <c r="CM411" i="1"/>
  <c r="AE436" i="1"/>
  <c r="AW375" i="1"/>
  <c r="AB399" i="1"/>
  <c r="S423" i="1"/>
  <c r="BX519" i="1"/>
  <c r="AR392" i="1"/>
  <c r="AQ483" i="1"/>
  <c r="K414" i="1"/>
  <c r="CE388" i="1"/>
  <c r="L535" i="1"/>
  <c r="AD362" i="1"/>
  <c r="CX336" i="1"/>
  <c r="G496" i="1"/>
  <c r="CO361" i="1"/>
  <c r="BE336" i="1"/>
  <c r="AQ501" i="1"/>
  <c r="BR361" i="1"/>
  <c r="AH336" i="1"/>
  <c r="BK481" i="1"/>
  <c r="Y361" i="1"/>
  <c r="CS335" i="1"/>
  <c r="CE369" i="1"/>
  <c r="DB369" i="1"/>
  <c r="V350" i="1"/>
  <c r="Z331" i="1"/>
  <c r="AD312" i="1"/>
  <c r="DF375" i="1"/>
  <c r="U361" i="1"/>
  <c r="BY351" i="1"/>
  <c r="Y342" i="1"/>
  <c r="CC332" i="1"/>
  <c r="CP382" i="1"/>
  <c r="AX334" i="1"/>
  <c r="F377" i="1"/>
  <c r="DE332" i="1"/>
  <c r="U323" i="1"/>
  <c r="BY313" i="1"/>
  <c r="AD412" i="1"/>
  <c r="AL374" i="1"/>
  <c r="CF360" i="1"/>
  <c r="AF351" i="1"/>
  <c r="CJ341" i="1"/>
  <c r="AJ332" i="1"/>
  <c r="CN322" i="1"/>
  <c r="AN313" i="1"/>
  <c r="G355" i="1"/>
  <c r="O317" i="1"/>
  <c r="CS303" i="1"/>
  <c r="AS294" i="1"/>
  <c r="CW284" i="1"/>
  <c r="AW275" i="1"/>
  <c r="DA265" i="1"/>
  <c r="BA256" i="1"/>
  <c r="DE246" i="1"/>
  <c r="BE237" i="1"/>
  <c r="DI227" i="1"/>
  <c r="BI218" i="1"/>
  <c r="I209" i="1"/>
  <c r="BM199" i="1"/>
  <c r="M190" i="1"/>
  <c r="BQ180" i="1"/>
  <c r="AQ507" i="1"/>
  <c r="CZ486" i="1"/>
  <c r="BL465" i="1"/>
  <c r="CF443" i="1"/>
  <c r="U432" i="1"/>
  <c r="AJ452" i="1"/>
  <c r="CM457" i="1"/>
  <c r="DE395" i="1"/>
  <c r="W492" i="1"/>
  <c r="T403" i="1"/>
  <c r="DG484" i="1"/>
  <c r="CE401" i="1"/>
  <c r="AE479" i="1"/>
  <c r="AZ400" i="1"/>
  <c r="G486" i="1"/>
  <c r="DG426" i="1"/>
  <c r="CM412" i="1"/>
  <c r="AA400" i="1"/>
  <c r="DE385" i="1"/>
  <c r="DI371" i="1"/>
  <c r="W457" i="1"/>
  <c r="T421" i="1"/>
  <c r="BL408" i="1"/>
  <c r="DD395" i="1"/>
  <c r="AB383" i="1"/>
  <c r="BT370" i="1"/>
  <c r="CY450" i="1"/>
  <c r="CE419" i="1"/>
  <c r="S407" i="1"/>
  <c r="BK394" i="1"/>
  <c r="BA377" i="1"/>
  <c r="CA483" i="1"/>
  <c r="AG430" i="1"/>
  <c r="AJ414" i="1"/>
  <c r="CB401" i="1"/>
  <c r="P389" i="1"/>
  <c r="AR376" i="1"/>
  <c r="AA479" i="1"/>
  <c r="CE427" i="1"/>
  <c r="G413" i="1"/>
  <c r="AY400" i="1"/>
  <c r="CQ387" i="1"/>
  <c r="AM380" i="1"/>
  <c r="CA481" i="1"/>
  <c r="Z389" i="1"/>
  <c r="Z361" i="1"/>
  <c r="BR348" i="1"/>
  <c r="F336" i="1"/>
  <c r="AH323" i="1"/>
  <c r="G475" i="1"/>
  <c r="BJ387" i="1"/>
  <c r="CK360" i="1"/>
  <c r="Y348" i="1"/>
  <c r="BQ335" i="1"/>
  <c r="DG379" i="1"/>
  <c r="DG473" i="1"/>
  <c r="BZ386" i="1"/>
  <c r="BN360" i="1"/>
  <c r="DF347" i="1"/>
  <c r="AT335" i="1"/>
  <c r="BV322" i="1"/>
  <c r="BO462" i="1"/>
  <c r="F385" i="1"/>
  <c r="U360" i="1"/>
  <c r="BM347" i="1"/>
  <c r="DE334" i="1"/>
  <c r="AA379" i="1"/>
  <c r="DG368" i="1"/>
  <c r="CX404" i="1"/>
  <c r="AT368" i="1"/>
  <c r="CX358" i="1"/>
  <c r="AX349" i="1"/>
  <c r="DB339" i="1"/>
  <c r="BB330" i="1"/>
  <c r="DF320" i="1"/>
  <c r="K488" i="1"/>
  <c r="BB401" i="1"/>
  <c r="BI367" i="1"/>
  <c r="I358" i="1"/>
  <c r="BM348" i="1"/>
  <c r="M339" i="1"/>
  <c r="CU378" i="1"/>
  <c r="CX359" i="1"/>
  <c r="DF321" i="1"/>
  <c r="BA358" i="1"/>
  <c r="BI329" i="1"/>
  <c r="I320" i="1"/>
  <c r="AI474" i="1"/>
  <c r="CL399" i="1"/>
  <c r="P367" i="1"/>
  <c r="BT357" i="1"/>
  <c r="T348" i="1"/>
  <c r="BX338" i="1"/>
  <c r="X329" i="1"/>
  <c r="CB319" i="1"/>
  <c r="BB415" i="1"/>
  <c r="BO342" i="1"/>
  <c r="AC310" i="1"/>
  <c r="CG300" i="1"/>
  <c r="AG291" i="1"/>
  <c r="CK281" i="1"/>
  <c r="AK272" i="1"/>
  <c r="CO262" i="1"/>
  <c r="AO253" i="1"/>
  <c r="CS243" i="1"/>
  <c r="AS234" i="1"/>
  <c r="CW224" i="1"/>
  <c r="AW215" i="1"/>
  <c r="DA205" i="1"/>
  <c r="BA196" i="1"/>
  <c r="DE186" i="1"/>
  <c r="CD414" i="1"/>
  <c r="AU342" i="1"/>
  <c r="CI375" i="1"/>
  <c r="CL356" i="1"/>
  <c r="CT318" i="1"/>
  <c r="BI356" i="1"/>
  <c r="X385" i="1"/>
  <c r="Q409" i="1"/>
  <c r="Y453" i="1"/>
  <c r="AI483" i="1"/>
  <c r="DA371" i="1"/>
  <c r="BL370" i="1"/>
  <c r="M369" i="1"/>
  <c r="DC513" i="1"/>
  <c r="BO414" i="1"/>
  <c r="AO388" i="1"/>
  <c r="BC465" i="1"/>
  <c r="AN410" i="1"/>
  <c r="DH384" i="1"/>
  <c r="AA459" i="1"/>
  <c r="CY408" i="1"/>
  <c r="AC379" i="1"/>
  <c r="AI436" i="1"/>
  <c r="BD403" i="1"/>
  <c r="CV382" i="1"/>
  <c r="AJ370" i="1"/>
  <c r="W450" i="1"/>
  <c r="BK419" i="1"/>
  <c r="DC406" i="1"/>
  <c r="AQ394" i="1"/>
  <c r="BS387" i="1"/>
  <c r="AE374" i="1"/>
  <c r="AH415" i="1"/>
  <c r="CD367" i="1"/>
  <c r="R355" i="1"/>
  <c r="BJ342" i="1"/>
  <c r="CL329" i="1"/>
  <c r="Z317" i="1"/>
  <c r="BR413" i="1"/>
  <c r="AK367" i="1"/>
  <c r="CC354" i="1"/>
  <c r="Q342" i="1"/>
  <c r="W387" i="1"/>
  <c r="CY373" i="1"/>
  <c r="CH412" i="1"/>
  <c r="N367" i="1"/>
  <c r="BF354" i="1"/>
  <c r="CX341" i="1"/>
  <c r="V329" i="1"/>
  <c r="BN316" i="1"/>
  <c r="N411" i="1"/>
  <c r="BY366" i="1"/>
  <c r="M354" i="1"/>
  <c r="BE341" i="1"/>
  <c r="S386" i="1"/>
  <c r="CU373" i="1"/>
  <c r="Q425" i="1"/>
  <c r="BJ386" i="1"/>
  <c r="CL363" i="1"/>
  <c r="AL354" i="1"/>
  <c r="CP344" i="1"/>
  <c r="AP335" i="1"/>
  <c r="CT325" i="1"/>
  <c r="AT316" i="1"/>
  <c r="F421" i="1"/>
  <c r="N383" i="1"/>
  <c r="DA362" i="1"/>
  <c r="BA353" i="1"/>
  <c r="DE343" i="1"/>
  <c r="BE334" i="1"/>
  <c r="AH411" i="1"/>
  <c r="BJ341" i="1"/>
  <c r="BB405" i="1"/>
  <c r="M340" i="1"/>
  <c r="DA324" i="1"/>
  <c r="BA315" i="1"/>
  <c r="AP419" i="1"/>
  <c r="AX381" i="1"/>
  <c r="BH362" i="1"/>
  <c r="H353" i="1"/>
  <c r="BL343" i="1"/>
  <c r="L334" i="1"/>
  <c r="BP324" i="1"/>
  <c r="P315" i="1"/>
  <c r="S362" i="1"/>
  <c r="AA324" i="1"/>
  <c r="BU305" i="1"/>
  <c r="U296" i="1"/>
  <c r="BY286" i="1"/>
  <c r="Y277" i="1"/>
  <c r="CC267" i="1"/>
  <c r="AC258" i="1"/>
  <c r="CG248" i="1"/>
  <c r="AG239" i="1"/>
  <c r="CK229" i="1"/>
  <c r="AK220" i="1"/>
  <c r="CO210" i="1"/>
  <c r="AO201" i="1"/>
  <c r="CS191" i="1"/>
  <c r="AS182" i="1"/>
  <c r="BQ477" i="1"/>
  <c r="DF425" i="1"/>
  <c r="AG439" i="1"/>
  <c r="AB477" i="1"/>
  <c r="M462" i="1"/>
  <c r="AJ460" i="1"/>
  <c r="S491" i="1"/>
  <c r="M403" i="1"/>
  <c r="CC373" i="1"/>
  <c r="AF410" i="1"/>
  <c r="AN372" i="1"/>
  <c r="CQ408" i="1"/>
  <c r="CS370" i="1"/>
  <c r="BL407" i="1"/>
  <c r="BT369" i="1"/>
  <c r="O432" i="1"/>
  <c r="W415" i="1"/>
  <c r="BO402" i="1"/>
  <c r="Q389" i="1"/>
  <c r="AS374" i="1"/>
  <c r="G469" i="1"/>
  <c r="BH423" i="1"/>
  <c r="CZ410" i="1"/>
  <c r="AN398" i="1"/>
  <c r="BP385" i="1"/>
  <c r="DH372" i="1"/>
  <c r="W462" i="1"/>
  <c r="O422" i="1"/>
  <c r="BG409" i="1"/>
  <c r="CY396" i="1"/>
  <c r="CO379" i="1"/>
  <c r="AE502" i="1"/>
  <c r="BW438" i="1"/>
  <c r="BX416" i="1"/>
  <c r="L404" i="1"/>
  <c r="BD391" i="1"/>
  <c r="CF378" i="1"/>
  <c r="CA488" i="1"/>
  <c r="BO433" i="1"/>
  <c r="AU415" i="1"/>
  <c r="CM402" i="1"/>
  <c r="AA390" i="1"/>
  <c r="CA382" i="1"/>
  <c r="O370" i="1"/>
  <c r="BZ398" i="1"/>
  <c r="BN363" i="1"/>
  <c r="DF350" i="1"/>
  <c r="AT338" i="1"/>
  <c r="BV325" i="1"/>
  <c r="J313" i="1"/>
  <c r="F397" i="1"/>
  <c r="U363" i="1"/>
  <c r="BM350" i="1"/>
  <c r="DE337" i="1"/>
  <c r="AQ382" i="1"/>
  <c r="CI369" i="1"/>
  <c r="V396" i="1"/>
  <c r="DB362" i="1"/>
  <c r="AP350" i="1"/>
  <c r="CH337" i="1"/>
  <c r="F325" i="1"/>
  <c r="AX312" i="1"/>
  <c r="BF394" i="1"/>
  <c r="BI362" i="1"/>
  <c r="DA349" i="1"/>
  <c r="AO337" i="1"/>
  <c r="BO381" i="1"/>
  <c r="CI370" i="1"/>
  <c r="F412" i="1"/>
  <c r="N374" i="1"/>
  <c r="BZ360" i="1"/>
  <c r="Z351" i="1"/>
  <c r="CD341" i="1"/>
  <c r="AD332" i="1"/>
  <c r="CH322" i="1"/>
  <c r="AH313" i="1"/>
  <c r="BN408" i="1"/>
  <c r="BV370" i="1"/>
  <c r="CO359" i="1"/>
  <c r="AO350" i="1"/>
  <c r="CS340" i="1"/>
  <c r="BC386" i="1"/>
  <c r="F367" i="1"/>
  <c r="N329" i="1"/>
  <c r="BM365" i="1"/>
  <c r="AK331" i="1"/>
  <c r="CO321" i="1"/>
  <c r="AO312" i="1"/>
  <c r="CX406" i="1"/>
  <c r="DF368" i="1"/>
  <c r="AV359" i="1"/>
  <c r="CZ349" i="1"/>
  <c r="AZ340" i="1"/>
  <c r="DD330" i="1"/>
  <c r="BD321" i="1"/>
  <c r="W516" i="1"/>
  <c r="CA349" i="1"/>
  <c r="F312" i="1"/>
  <c r="BI302" i="1"/>
  <c r="I293" i="1"/>
  <c r="BM283" i="1"/>
  <c r="M274" i="1"/>
  <c r="BQ264" i="1"/>
  <c r="Q255" i="1"/>
  <c r="BU245" i="1"/>
  <c r="U236" i="1"/>
  <c r="BY226" i="1"/>
  <c r="Y217" i="1"/>
  <c r="CC207" i="1"/>
  <c r="AC198" i="1"/>
  <c r="CG188" i="1"/>
  <c r="AM504" i="1"/>
  <c r="BG349" i="1"/>
  <c r="CU382" i="1"/>
  <c r="CX363" i="1"/>
  <c r="DF325" i="1"/>
  <c r="BU363" i="1"/>
  <c r="CO330" i="1"/>
  <c r="AO321" i="1"/>
  <c r="AD430" i="1"/>
  <c r="N433" i="1"/>
  <c r="M470" i="1"/>
  <c r="AN484" i="1"/>
  <c r="AS470" i="1"/>
  <c r="P463" i="1"/>
  <c r="BT522" i="1"/>
  <c r="CS404" i="1"/>
  <c r="BE375" i="1"/>
  <c r="H412" i="1"/>
  <c r="P374" i="1"/>
  <c r="BS410" i="1"/>
  <c r="BU372" i="1"/>
  <c r="AN409" i="1"/>
  <c r="AV371" i="1"/>
  <c r="BC434" i="1"/>
  <c r="CI415" i="1"/>
  <c r="W403" i="1"/>
  <c r="DA389" i="1"/>
  <c r="DE374" i="1"/>
  <c r="BO472" i="1"/>
  <c r="AW424" i="1"/>
  <c r="BH411" i="1"/>
  <c r="CZ398" i="1"/>
  <c r="X386" i="1"/>
  <c r="BP373" i="1"/>
  <c r="BK464" i="1"/>
  <c r="CA422" i="1"/>
  <c r="O410" i="1"/>
  <c r="BG397" i="1"/>
  <c r="AW380" i="1"/>
  <c r="CE511" i="1"/>
  <c r="G441" i="1"/>
  <c r="AF417" i="1"/>
  <c r="BX404" i="1"/>
  <c r="L392" i="1"/>
  <c r="AN379" i="1"/>
  <c r="CM493" i="1"/>
  <c r="DC435" i="1"/>
  <c r="DG415" i="1"/>
  <c r="AU403" i="1"/>
  <c r="CM390" i="1"/>
  <c r="AI383" i="1"/>
  <c r="AN373" i="1"/>
  <c r="BI409" i="1"/>
  <c r="CR475" i="1"/>
  <c r="BI415" i="1"/>
  <c r="CB422" i="1"/>
  <c r="AI421" i="1"/>
  <c r="DH419" i="1"/>
  <c r="CA448" i="1"/>
  <c r="CE406" i="1"/>
  <c r="BI378" i="1"/>
  <c r="CA431" i="1"/>
  <c r="BD402" i="1"/>
  <c r="T377" i="1"/>
  <c r="CA428" i="1"/>
  <c r="K401" i="1"/>
  <c r="AS371" i="1"/>
  <c r="CN420" i="1"/>
  <c r="BT395" i="1"/>
  <c r="H379" i="1"/>
  <c r="AI489" i="1"/>
  <c r="W434" i="1"/>
  <c r="CA415" i="1"/>
  <c r="DC402" i="1"/>
  <c r="AQ390" i="1"/>
  <c r="DG382" i="1"/>
  <c r="AE370" i="1"/>
  <c r="AH399" i="1"/>
  <c r="CT363" i="1"/>
  <c r="R351" i="1"/>
  <c r="BJ338" i="1"/>
  <c r="DB325" i="1"/>
  <c r="Z313" i="1"/>
  <c r="BR397" i="1"/>
  <c r="BA363" i="1"/>
  <c r="CC350" i="1"/>
  <c r="Q338" i="1"/>
  <c r="BW382" i="1"/>
  <c r="CY369" i="1"/>
  <c r="CH396" i="1"/>
  <c r="AD363" i="1"/>
  <c r="BF350" i="1"/>
  <c r="CX337" i="1"/>
  <c r="AL325" i="1"/>
  <c r="BN312" i="1"/>
  <c r="N395" i="1"/>
  <c r="CO362" i="1"/>
  <c r="M350" i="1"/>
  <c r="BE337" i="1"/>
  <c r="CU381" i="1"/>
  <c r="CY370" i="1"/>
  <c r="BR412" i="1"/>
  <c r="BZ374" i="1"/>
  <c r="CP360" i="1"/>
  <c r="AP351" i="1"/>
  <c r="CT341" i="1"/>
  <c r="AT332" i="1"/>
  <c r="CX322" i="1"/>
  <c r="AX313" i="1"/>
  <c r="V409" i="1"/>
  <c r="AD371" i="1"/>
  <c r="DE359" i="1"/>
  <c r="BE350" i="1"/>
  <c r="DI340" i="1"/>
  <c r="AI387" i="1"/>
  <c r="BR367" i="1"/>
  <c r="BZ329" i="1"/>
  <c r="U366" i="1"/>
  <c r="BA331" i="1"/>
  <c r="DE321" i="1"/>
  <c r="BE312" i="1"/>
  <c r="BF407" i="1"/>
  <c r="BN369" i="1"/>
  <c r="BL359" i="1"/>
  <c r="L350" i="1"/>
  <c r="BP340" i="1"/>
  <c r="P331" i="1"/>
  <c r="BT321" i="1"/>
  <c r="T312" i="1"/>
  <c r="AI350" i="1"/>
  <c r="AQ312" i="1"/>
  <c r="BY302" i="1"/>
  <c r="Y293" i="1"/>
  <c r="CC283" i="1"/>
  <c r="AC274" i="1"/>
  <c r="CG264" i="1"/>
  <c r="AG255" i="1"/>
  <c r="CK245" i="1"/>
  <c r="AK236" i="1"/>
  <c r="CO226" i="1"/>
  <c r="AO217" i="1"/>
  <c r="CS207" i="1"/>
  <c r="AS198" i="1"/>
  <c r="CW188" i="1"/>
  <c r="AW179" i="1"/>
  <c r="R489" i="1"/>
  <c r="CR464" i="1"/>
  <c r="BH444" i="1"/>
  <c r="CJ424" i="1"/>
  <c r="AC391" i="1"/>
  <c r="DG396" i="1"/>
  <c r="G424" i="1"/>
  <c r="AS370" i="1"/>
  <c r="AN394" i="1"/>
  <c r="AE418" i="1"/>
  <c r="W477" i="1"/>
  <c r="BD387" i="1"/>
  <c r="BK411" i="1"/>
  <c r="AE453" i="1"/>
  <c r="AT334" i="1"/>
  <c r="AK359" i="1"/>
  <c r="W443" i="1"/>
  <c r="CH333" i="1"/>
  <c r="BY358" i="1"/>
  <c r="CU482" i="1"/>
  <c r="AD348" i="1"/>
  <c r="BS459" i="1"/>
  <c r="AS347" i="1"/>
  <c r="AD317" i="1"/>
  <c r="DC452" i="1"/>
  <c r="DD346" i="1"/>
  <c r="BF396" i="1"/>
  <c r="M290" i="1"/>
  <c r="U252" i="1"/>
  <c r="AC214" i="1"/>
  <c r="CH395" i="1"/>
  <c r="R314" i="1"/>
  <c r="DA321" i="1"/>
  <c r="BN442" i="1"/>
  <c r="P528" i="1"/>
  <c r="BD465" i="1"/>
  <c r="AC407" i="1"/>
  <c r="AV414" i="1"/>
  <c r="DG412" i="1"/>
  <c r="CB411" i="1"/>
  <c r="G438" i="1"/>
  <c r="CY403" i="1"/>
  <c r="CC375" i="1"/>
  <c r="Y426" i="1"/>
  <c r="BX399" i="1"/>
  <c r="AN374" i="1"/>
  <c r="BO423" i="1"/>
  <c r="AE398" i="1"/>
  <c r="BT538" i="1"/>
  <c r="T418" i="1"/>
  <c r="CN392" i="1"/>
  <c r="BW505" i="1"/>
  <c r="CU416" i="1"/>
  <c r="BK391" i="1"/>
  <c r="W376" i="1"/>
  <c r="DF422" i="1"/>
  <c r="BR372" i="1"/>
  <c r="J357" i="1"/>
  <c r="BB344" i="1"/>
  <c r="CT331" i="1"/>
  <c r="R319" i="1"/>
  <c r="AL421" i="1"/>
  <c r="DB370" i="1"/>
  <c r="BU356" i="1"/>
  <c r="I344" i="1"/>
  <c r="AU390" i="1"/>
  <c r="CQ375" i="1"/>
  <c r="BB420" i="1"/>
  <c r="N370" i="1"/>
  <c r="AX356" i="1"/>
  <c r="CP343" i="1"/>
  <c r="AD331" i="1"/>
  <c r="BF318" i="1"/>
  <c r="CL418" i="1"/>
  <c r="CG368" i="1"/>
  <c r="DI355" i="1"/>
  <c r="AW343" i="1"/>
  <c r="CY388" i="1"/>
  <c r="AQ375" i="1"/>
  <c r="BO442" i="1"/>
  <c r="BB392" i="1"/>
  <c r="AH365" i="1"/>
  <c r="CL355" i="1"/>
  <c r="AL346" i="1"/>
  <c r="CP336" i="1"/>
  <c r="AP327" i="1"/>
  <c r="CT317" i="1"/>
  <c r="M430" i="1"/>
  <c r="F389" i="1"/>
  <c r="AW364" i="1"/>
  <c r="DA354" i="1"/>
  <c r="BA345" i="1"/>
  <c r="DE335" i="1"/>
  <c r="DC460" i="1"/>
  <c r="BB347" i="1"/>
  <c r="CA437" i="1"/>
  <c r="DI345" i="1"/>
  <c r="AW326" i="1"/>
  <c r="DA316" i="1"/>
  <c r="CG426" i="1"/>
  <c r="AP387" i="1"/>
  <c r="DH363" i="1"/>
  <c r="BH354" i="1"/>
  <c r="H345" i="1"/>
  <c r="BL335" i="1"/>
  <c r="L326" i="1"/>
  <c r="BP316" i="1"/>
  <c r="K368" i="1"/>
  <c r="S330" i="1"/>
  <c r="Q307" i="1"/>
  <c r="BU297" i="1"/>
  <c r="U288" i="1"/>
  <c r="BY278" i="1"/>
  <c r="Y269" i="1"/>
  <c r="CC259" i="1"/>
  <c r="AC250" i="1"/>
  <c r="CG240" i="1"/>
  <c r="AG231" i="1"/>
  <c r="CK221" i="1"/>
  <c r="AK212" i="1"/>
  <c r="CO202" i="1"/>
  <c r="AO193" i="1"/>
  <c r="CS183" i="1"/>
  <c r="CU367" i="1"/>
  <c r="DC329" i="1"/>
  <c r="BJ422" i="1"/>
  <c r="AP344" i="1"/>
  <c r="BB421" i="1"/>
  <c r="M344" i="1"/>
  <c r="DA325" i="1"/>
  <c r="BA316" i="1"/>
  <c r="V422" i="1"/>
  <c r="AD384" i="1"/>
  <c r="AB363" i="1"/>
  <c r="CF353" i="1"/>
  <c r="AF344" i="1"/>
  <c r="CJ334" i="1"/>
  <c r="AJ325" i="1"/>
  <c r="CN315" i="1"/>
  <c r="AQ364" i="1"/>
  <c r="DC441" i="1"/>
  <c r="BY387" i="1"/>
  <c r="AY393" i="1"/>
  <c r="CE422" i="1"/>
  <c r="Y369" i="1"/>
  <c r="T393" i="1"/>
  <c r="K417" i="1"/>
  <c r="BW470" i="1"/>
  <c r="AJ386" i="1"/>
  <c r="AQ410" i="1"/>
  <c r="AI434" i="1"/>
  <c r="Z333" i="1"/>
  <c r="Q358" i="1"/>
  <c r="CK427" i="1"/>
  <c r="BN332" i="1"/>
  <c r="BE357" i="1"/>
  <c r="CY463" i="1"/>
  <c r="AP347" i="1"/>
  <c r="AU445" i="1"/>
  <c r="BE346" i="1"/>
  <c r="BZ313" i="1"/>
  <c r="CE438" i="1"/>
  <c r="L346" i="1"/>
  <c r="AH382" i="1"/>
  <c r="Y289" i="1"/>
  <c r="AG251" i="1"/>
  <c r="AO213" i="1"/>
  <c r="F391" i="1"/>
  <c r="CQ369" i="1"/>
  <c r="DB312" i="1"/>
  <c r="BM327" i="1"/>
  <c r="CM480" i="1"/>
  <c r="Z387" i="1"/>
  <c r="CB360" i="1"/>
  <c r="P348" i="1"/>
  <c r="BH335" i="1"/>
  <c r="CJ322" i="1"/>
  <c r="BF412" i="1"/>
  <c r="CA337" i="1"/>
  <c r="DI308" i="1"/>
  <c r="BI299" i="1"/>
  <c r="I290" i="1"/>
  <c r="BM280" i="1"/>
  <c r="M271" i="1"/>
  <c r="BQ261" i="1"/>
  <c r="Q252" i="1"/>
  <c r="BU242" i="1"/>
  <c r="U233" i="1"/>
  <c r="BY223" i="1"/>
  <c r="Y214" i="1"/>
  <c r="CC204" i="1"/>
  <c r="AC195" i="1"/>
  <c r="CG185" i="1"/>
  <c r="V395" i="1"/>
  <c r="AU377" i="1"/>
  <c r="CP357" i="1"/>
  <c r="CX319" i="1"/>
  <c r="DE356" i="1"/>
  <c r="U329" i="1"/>
  <c r="BY319" i="1"/>
  <c r="CE470" i="1"/>
  <c r="AL398" i="1"/>
  <c r="CF366" i="1"/>
  <c r="AF357" i="1"/>
  <c r="CJ347" i="1"/>
  <c r="AJ338" i="1"/>
  <c r="CN328" i="1"/>
  <c r="AN319" i="1"/>
  <c r="BJ409" i="1"/>
  <c r="O341" i="1"/>
  <c r="CS309" i="1"/>
  <c r="AS300" i="1"/>
  <c r="CW290" i="1"/>
  <c r="AW281" i="1"/>
  <c r="DA271" i="1"/>
  <c r="BA262" i="1"/>
  <c r="DE252" i="1"/>
  <c r="BE243" i="1"/>
  <c r="DI233" i="1"/>
  <c r="BI224" i="1"/>
  <c r="I215" i="1"/>
  <c r="BM205" i="1"/>
  <c r="M196" i="1"/>
  <c r="BQ186" i="1"/>
  <c r="CL408" i="1"/>
  <c r="DF418" i="1"/>
  <c r="BB343" i="1"/>
  <c r="CX417" i="1"/>
  <c r="Y343" i="1"/>
  <c r="CC325" i="1"/>
  <c r="AC316" i="1"/>
  <c r="BV423" i="1"/>
  <c r="CD385" i="1"/>
  <c r="BP363" i="1"/>
  <c r="P354" i="1"/>
  <c r="BT344" i="1"/>
  <c r="T335" i="1"/>
  <c r="G513" i="1"/>
  <c r="BY394" i="1"/>
  <c r="BY385" i="1"/>
  <c r="CS381" i="1"/>
  <c r="CE418" i="1"/>
  <c r="BS485" i="1"/>
  <c r="T389" i="1"/>
  <c r="K413" i="1"/>
  <c r="CU452" i="1"/>
  <c r="AJ382" i="1"/>
  <c r="AQ406" i="1"/>
  <c r="CX412" i="1"/>
  <c r="Z329" i="1"/>
  <c r="Q354" i="1"/>
  <c r="AT410" i="1"/>
  <c r="BN328" i="1"/>
  <c r="BE353" i="1"/>
  <c r="BZ422" i="1"/>
  <c r="AT344" i="1"/>
  <c r="AD419" i="1"/>
  <c r="BI343" i="1"/>
  <c r="AP398" i="1"/>
  <c r="BN417" i="1"/>
  <c r="P343" i="1"/>
  <c r="AQ360" i="1"/>
  <c r="AC286" i="1"/>
  <c r="AK248" i="1"/>
  <c r="AS210" i="1"/>
  <c r="BZ369" i="1"/>
  <c r="CG430" i="1"/>
  <c r="BQ428" i="1"/>
  <c r="AC326" i="1"/>
  <c r="CE454" i="1"/>
  <c r="J383" i="1"/>
  <c r="CN359" i="1"/>
  <c r="L347" i="1"/>
  <c r="BD334" i="1"/>
  <c r="CV321" i="1"/>
  <c r="CX395" i="1"/>
  <c r="CE334" i="1"/>
  <c r="AG308" i="1"/>
  <c r="CK298" i="1"/>
  <c r="AK289" i="1"/>
  <c r="CO279" i="1"/>
  <c r="AO270" i="1"/>
  <c r="CS260" i="1"/>
  <c r="AS251" i="1"/>
  <c r="CW241" i="1"/>
  <c r="AW232" i="1"/>
  <c r="DA222" i="1"/>
  <c r="BA213" i="1"/>
  <c r="DE203" i="1"/>
  <c r="BE194" i="1"/>
  <c r="DI184" i="1"/>
  <c r="AL383" i="1"/>
  <c r="AY374" i="1"/>
  <c r="CT354" i="1"/>
  <c r="DB316" i="1"/>
  <c r="DI353" i="1"/>
  <c r="AW328" i="1"/>
  <c r="DA318" i="1"/>
  <c r="S454" i="1"/>
  <c r="AP395" i="1"/>
  <c r="DH365" i="1"/>
  <c r="BH356" i="1"/>
  <c r="H347" i="1"/>
  <c r="BL337" i="1"/>
  <c r="L328" i="1"/>
  <c r="BP318" i="1"/>
  <c r="BZ397" i="1"/>
  <c r="S338" i="1"/>
  <c r="Q309" i="1"/>
  <c r="BU299" i="1"/>
  <c r="U290" i="1"/>
  <c r="BY280" i="1"/>
  <c r="Y271" i="1"/>
  <c r="CC261" i="1"/>
  <c r="AC252" i="1"/>
  <c r="CG242" i="1"/>
  <c r="AG233" i="1"/>
  <c r="CK223" i="1"/>
  <c r="AK214" i="1"/>
  <c r="CO204" i="1"/>
  <c r="AO195" i="1"/>
  <c r="CS185" i="1"/>
  <c r="DB396" i="1"/>
  <c r="R407" i="1"/>
  <c r="BF340" i="1"/>
  <c r="J406" i="1"/>
  <c r="AC340" i="1"/>
  <c r="DE324" i="1"/>
  <c r="BE315" i="1"/>
  <c r="BZ420" i="1"/>
  <c r="CH382" i="1"/>
  <c r="CR362" i="1"/>
  <c r="AR353" i="1"/>
  <c r="CV343" i="1"/>
  <c r="AV334" i="1"/>
  <c r="CZ324" i="1"/>
  <c r="AZ315" i="1"/>
  <c r="CU362" i="1"/>
  <c r="DC324" i="1"/>
  <c r="CO305" i="1"/>
  <c r="AO296" i="1"/>
  <c r="CS286" i="1"/>
  <c r="AS277" i="1"/>
  <c r="CW267" i="1"/>
  <c r="AW258" i="1"/>
  <c r="DA248" i="1"/>
  <c r="BA239" i="1"/>
  <c r="DE229" i="1"/>
  <c r="BE220" i="1"/>
  <c r="DI210" i="1"/>
  <c r="AW190" i="1"/>
  <c r="BS332" i="1"/>
  <c r="CR306" i="1"/>
  <c r="AR297" i="1"/>
  <c r="CV287" i="1"/>
  <c r="AV278" i="1"/>
  <c r="CZ268" i="1"/>
  <c r="AZ259" i="1"/>
  <c r="DD249" i="1"/>
  <c r="BD240" i="1"/>
  <c r="DH230" i="1"/>
  <c r="BH221" i="1"/>
  <c r="H212" i="1"/>
  <c r="BL202" i="1"/>
  <c r="L193" i="1"/>
  <c r="BP183" i="1"/>
  <c r="AA366" i="1"/>
  <c r="AI328" i="1"/>
  <c r="BW306" i="1"/>
  <c r="W297" i="1"/>
  <c r="CA287" i="1"/>
  <c r="AA278" i="1"/>
  <c r="CE268" i="1"/>
  <c r="AE259" i="1"/>
  <c r="CI249" i="1"/>
  <c r="AI240" i="1"/>
  <c r="CM230" i="1"/>
  <c r="AM221" i="1"/>
  <c r="CQ211" i="1"/>
  <c r="AQ202" i="1"/>
  <c r="CU192" i="1"/>
  <c r="DA184" i="1"/>
  <c r="AQ325" i="1"/>
  <c r="BD305" i="1"/>
  <c r="DH295" i="1"/>
  <c r="BH286" i="1"/>
  <c r="H277" i="1"/>
  <c r="BT470" i="1"/>
  <c r="CF448" i="1"/>
  <c r="BP399" i="1"/>
  <c r="CV396" i="1"/>
  <c r="G399" i="1"/>
  <c r="DD419" i="1"/>
  <c r="AZ369" i="1"/>
  <c r="AQ393" i="1"/>
  <c r="P413" i="1"/>
  <c r="AI473" i="1"/>
  <c r="BW386" i="1"/>
  <c r="F360" i="1"/>
  <c r="CA453" i="1"/>
  <c r="AW334" i="1"/>
  <c r="AT359" i="1"/>
  <c r="BS443" i="1"/>
  <c r="CK333" i="1"/>
  <c r="BF367" i="1"/>
  <c r="BN329" i="1"/>
  <c r="BU366" i="1"/>
  <c r="AM375" i="1"/>
  <c r="BU328" i="1"/>
  <c r="AB366" i="1"/>
  <c r="AJ328" i="1"/>
  <c r="AO309" i="1"/>
  <c r="AW271" i="1"/>
  <c r="BE233" i="1"/>
  <c r="BM195" i="1"/>
  <c r="CQ338" i="1"/>
  <c r="AD353" i="1"/>
  <c r="DE352" i="1"/>
  <c r="BY318" i="1"/>
  <c r="CT413" i="1"/>
  <c r="BH367" i="1"/>
  <c r="CJ354" i="1"/>
  <c r="X342" i="1"/>
  <c r="BP329" i="1"/>
  <c r="CR316" i="1"/>
  <c r="CQ357" i="1"/>
  <c r="CY319" i="1"/>
  <c r="BM304" i="1"/>
  <c r="M295" i="1"/>
  <c r="BQ285" i="1"/>
  <c r="Q276" i="1"/>
  <c r="BU266" i="1"/>
  <c r="U257" i="1"/>
  <c r="BY247" i="1"/>
  <c r="Y238" i="1"/>
  <c r="CC228" i="1"/>
  <c r="AC219" i="1"/>
  <c r="CG209" i="1"/>
  <c r="AG200" i="1"/>
  <c r="CK190" i="1"/>
  <c r="AK181" i="1"/>
  <c r="BW357" i="1"/>
  <c r="AP405" i="1"/>
  <c r="J340" i="1"/>
  <c r="CX401" i="1"/>
  <c r="Y339" i="1"/>
  <c r="CC324" i="1"/>
  <c r="AC315" i="1"/>
  <c r="BB418" i="1"/>
  <c r="BJ380" i="1"/>
  <c r="AJ362" i="1"/>
  <c r="CN352" i="1"/>
  <c r="AN343" i="1"/>
  <c r="CR333" i="1"/>
  <c r="AR324" i="1"/>
  <c r="CV314" i="1"/>
  <c r="AE361" i="1"/>
  <c r="AM323" i="1"/>
  <c r="AW305" i="1"/>
  <c r="DA295" i="1"/>
  <c r="BA286" i="1"/>
  <c r="DE276" i="1"/>
  <c r="BE267" i="1"/>
  <c r="DI257" i="1"/>
  <c r="BI248" i="1"/>
  <c r="I239" i="1"/>
  <c r="BM229" i="1"/>
  <c r="M220" i="1"/>
  <c r="BQ210" i="1"/>
  <c r="Q201" i="1"/>
  <c r="BU191" i="1"/>
  <c r="U182" i="1"/>
  <c r="BO382" i="1"/>
  <c r="BR363" i="1"/>
  <c r="BZ325" i="1"/>
  <c r="AO363" i="1"/>
  <c r="CG330" i="1"/>
  <c r="AG321" i="1"/>
  <c r="AU514" i="1"/>
  <c r="CT405" i="1"/>
  <c r="BT368" i="1"/>
  <c r="T359" i="1"/>
  <c r="BX349" i="1"/>
  <c r="X340" i="1"/>
  <c r="CB330" i="1"/>
  <c r="AB321" i="1"/>
  <c r="K480" i="1"/>
  <c r="K348" i="1"/>
  <c r="BQ311" i="1"/>
  <c r="Q302" i="1"/>
  <c r="BU292" i="1"/>
  <c r="U283" i="1"/>
  <c r="BY273" i="1"/>
  <c r="Y264" i="1"/>
  <c r="CC254" i="1"/>
  <c r="AC245" i="1"/>
  <c r="CG235" i="1"/>
  <c r="AG226" i="1"/>
  <c r="CK216" i="1"/>
  <c r="AK207" i="1"/>
  <c r="BF384" i="1"/>
  <c r="AE314" i="1"/>
  <c r="T303" i="1"/>
  <c r="BX293" i="1"/>
  <c r="X284" i="1"/>
  <c r="CB274" i="1"/>
  <c r="AB265" i="1"/>
  <c r="CF255" i="1"/>
  <c r="AF246" i="1"/>
  <c r="CJ236" i="1"/>
  <c r="AJ227" i="1"/>
  <c r="CN217" i="1"/>
  <c r="AN208" i="1"/>
  <c r="CR198" i="1"/>
  <c r="AR189" i="1"/>
  <c r="CV480" i="1"/>
  <c r="CW429" i="1"/>
  <c r="BE424" i="1"/>
  <c r="K408" i="1"/>
  <c r="BS437" i="1"/>
  <c r="BD378" i="1"/>
  <c r="AU402" i="1"/>
  <c r="AJ422" i="1"/>
  <c r="BT371" i="1"/>
  <c r="CA395" i="1"/>
  <c r="AD370" i="1"/>
  <c r="BJ318" i="1"/>
  <c r="BA343" i="1"/>
  <c r="BN368" i="1"/>
  <c r="CX317" i="1"/>
  <c r="CO342" i="1"/>
  <c r="BZ390" i="1"/>
  <c r="AT336" i="1"/>
  <c r="AD387" i="1"/>
  <c r="BI335" i="1"/>
  <c r="AC344" i="1"/>
  <c r="BN385" i="1"/>
  <c r="P335" i="1"/>
  <c r="AQ328" i="1"/>
  <c r="AC278" i="1"/>
  <c r="AK240" i="1"/>
  <c r="AS202" i="1"/>
  <c r="W328" i="1"/>
  <c r="AK342" i="1"/>
  <c r="DI315" i="1"/>
  <c r="P432" i="1"/>
  <c r="BU413" i="1"/>
  <c r="CR439" i="1"/>
  <c r="BI383" i="1"/>
  <c r="CB390" i="1"/>
  <c r="AI389" i="1"/>
  <c r="DH387" i="1"/>
  <c r="AE421" i="1"/>
  <c r="K396" i="1"/>
  <c r="AM512" i="1"/>
  <c r="DH416" i="1"/>
  <c r="CN391" i="1"/>
  <c r="G490" i="1"/>
  <c r="BO415" i="1"/>
  <c r="CW387" i="1"/>
  <c r="CE464" i="1"/>
  <c r="T410" i="1"/>
  <c r="DD384" i="1"/>
  <c r="K459" i="1"/>
  <c r="CU408" i="1"/>
  <c r="G391" i="1"/>
  <c r="AM372" i="1"/>
  <c r="DF406" i="1"/>
  <c r="CL365" i="1"/>
  <c r="Z353" i="1"/>
  <c r="BB340" i="1"/>
  <c r="CT327" i="1"/>
  <c r="AH315" i="1"/>
  <c r="AL405" i="1"/>
  <c r="AS365" i="1"/>
  <c r="CK352" i="1"/>
  <c r="I340" i="1"/>
  <c r="BS384" i="1"/>
  <c r="DG371" i="1"/>
  <c r="BB404" i="1"/>
  <c r="V365" i="1"/>
  <c r="BN352" i="1"/>
  <c r="CP339" i="1"/>
  <c r="AD327" i="1"/>
  <c r="BV314" i="1"/>
  <c r="CL402" i="1"/>
  <c r="CG364" i="1"/>
  <c r="U352" i="1"/>
  <c r="AW339" i="1"/>
  <c r="CM383" i="1"/>
  <c r="AU372" i="1"/>
  <c r="BJ418" i="1"/>
  <c r="BR380" i="1"/>
  <c r="AL362" i="1"/>
  <c r="CP352" i="1"/>
  <c r="AP343" i="1"/>
  <c r="CT333" i="1"/>
  <c r="AT324" i="1"/>
  <c r="CX314" i="1"/>
  <c r="N415" i="1"/>
  <c r="V377" i="1"/>
  <c r="BA361" i="1"/>
  <c r="DE351" i="1"/>
  <c r="BE342" i="1"/>
  <c r="DI332" i="1"/>
  <c r="BN387" i="1"/>
  <c r="BR335" i="1"/>
  <c r="CH381" i="1"/>
  <c r="U334" i="1"/>
  <c r="BA323" i="1"/>
  <c r="DE313" i="1"/>
  <c r="AX413" i="1"/>
  <c r="BF375" i="1"/>
  <c r="H361" i="1"/>
  <c r="BL351" i="1"/>
  <c r="L342" i="1"/>
  <c r="BP332" i="1"/>
  <c r="P323" i="1"/>
  <c r="BT313" i="1"/>
  <c r="AA356" i="1"/>
  <c r="AI318" i="1"/>
  <c r="U304" i="1"/>
  <c r="BY294" i="1"/>
  <c r="Y285" i="1"/>
  <c r="CC275" i="1"/>
  <c r="AC266" i="1"/>
  <c r="CG256" i="1"/>
  <c r="AG247" i="1"/>
  <c r="CK237" i="1"/>
  <c r="AK228" i="1"/>
  <c r="CO218" i="1"/>
  <c r="AO209" i="1"/>
  <c r="CS199" i="1"/>
  <c r="AS190" i="1"/>
  <c r="CW180" i="1"/>
  <c r="G356" i="1"/>
  <c r="W392" i="1"/>
  <c r="R375" i="1"/>
  <c r="BF332" i="1"/>
  <c r="J374" i="1"/>
  <c r="BE332" i="1"/>
  <c r="DE322" i="1"/>
  <c r="BE313" i="1"/>
  <c r="AL410" i="1"/>
  <c r="AT372" i="1"/>
  <c r="AF360" i="1"/>
  <c r="CJ350" i="1"/>
  <c r="AJ341" i="1"/>
  <c r="CN331" i="1"/>
  <c r="AN322" i="1"/>
  <c r="CR312" i="1"/>
  <c r="CJ538" i="1"/>
  <c r="AN477" i="1"/>
  <c r="AJ423" i="1"/>
  <c r="BP420" i="1"/>
  <c r="CU406" i="1"/>
  <c r="CU432" i="1"/>
  <c r="AJ377" i="1"/>
  <c r="AA401" i="1"/>
  <c r="P421" i="1"/>
  <c r="AZ370" i="1"/>
  <c r="BG394" i="1"/>
  <c r="F368" i="1"/>
  <c r="AP317" i="1"/>
  <c r="AG342" i="1"/>
  <c r="AT367" i="1"/>
  <c r="CD316" i="1"/>
  <c r="BU341" i="1"/>
  <c r="R387" i="1"/>
  <c r="BF335" i="1"/>
  <c r="BZ383" i="1"/>
  <c r="BU334" i="1"/>
  <c r="BY340" i="1"/>
  <c r="F382" i="1"/>
  <c r="AB334" i="1"/>
  <c r="CM324" i="1"/>
  <c r="AO277" i="1"/>
  <c r="AW239" i="1"/>
  <c r="BE201" i="1"/>
  <c r="CA350" i="1"/>
  <c r="N365" i="1"/>
  <c r="CO364" i="1"/>
  <c r="BU321" i="1"/>
  <c r="BN421" i="1"/>
  <c r="Z371" i="1"/>
  <c r="CR356" i="1"/>
  <c r="P344" i="1"/>
  <c r="BH331" i="1"/>
  <c r="CZ318" i="1"/>
  <c r="CI363" i="1"/>
  <c r="CQ325" i="1"/>
  <c r="I306" i="1"/>
  <c r="BM296" i="1"/>
  <c r="M287" i="1"/>
  <c r="BQ277" i="1"/>
  <c r="Q268" i="1"/>
  <c r="BU258" i="1"/>
  <c r="U249" i="1"/>
  <c r="BY239" i="1"/>
  <c r="Y230" i="1"/>
  <c r="CC220" i="1"/>
  <c r="AC211" i="1"/>
  <c r="CG201" i="1"/>
  <c r="AG192" i="1"/>
  <c r="CK182" i="1"/>
  <c r="BO363" i="1"/>
  <c r="AE437" i="1"/>
  <c r="DF345" i="1"/>
  <c r="AW427" i="1"/>
  <c r="Q345" i="1"/>
  <c r="Y326" i="1"/>
  <c r="CC316" i="1"/>
  <c r="DE424" i="1"/>
  <c r="BB386" i="1"/>
  <c r="CJ363" i="1"/>
  <c r="AJ354" i="1"/>
  <c r="CN344" i="1"/>
  <c r="AN335" i="1"/>
  <c r="CR325" i="1"/>
  <c r="AR316" i="1"/>
  <c r="W367" i="1"/>
  <c r="AE329" i="1"/>
  <c r="CW306" i="1"/>
  <c r="AW297" i="1"/>
  <c r="DA287" i="1"/>
  <c r="BA278" i="1"/>
  <c r="DE268" i="1"/>
  <c r="BE259" i="1"/>
  <c r="DI249" i="1"/>
  <c r="BI240" i="1"/>
  <c r="I231" i="1"/>
  <c r="BM221" i="1"/>
  <c r="M212" i="1"/>
  <c r="BQ202" i="1"/>
  <c r="Q193" i="1"/>
  <c r="BU183" i="1"/>
  <c r="AE390" i="1"/>
  <c r="BN371" i="1"/>
  <c r="BR331" i="1"/>
  <c r="BF370" i="1"/>
  <c r="AC332" i="1"/>
  <c r="CG322" i="1"/>
  <c r="AG313" i="1"/>
  <c r="CL411" i="1"/>
  <c r="CT373" i="1"/>
  <c r="BT360" i="1"/>
  <c r="T351" i="1"/>
  <c r="BX341" i="1"/>
  <c r="X332" i="1"/>
  <c r="CD430" i="1"/>
  <c r="BH462" i="1"/>
  <c r="AZ411" i="1"/>
  <c r="CF408" i="1"/>
  <c r="CU402" i="1"/>
  <c r="Q424" i="1"/>
  <c r="AZ373" i="1"/>
  <c r="AA397" i="1"/>
  <c r="P417" i="1"/>
  <c r="AY491" i="1"/>
  <c r="BG390" i="1"/>
  <c r="F364" i="1"/>
  <c r="BF313" i="1"/>
  <c r="AG338" i="1"/>
  <c r="AT363" i="1"/>
  <c r="CT312" i="1"/>
  <c r="BU337" i="1"/>
  <c r="AH375" i="1"/>
  <c r="BJ332" i="1"/>
  <c r="CP371" i="1"/>
  <c r="K388" i="1"/>
  <c r="BQ331" i="1"/>
  <c r="V370" i="1"/>
  <c r="AF331" i="1"/>
  <c r="DC312" i="1"/>
  <c r="AS274" i="1"/>
  <c r="BA236" i="1"/>
  <c r="BI198" i="1"/>
  <c r="AQ345" i="1"/>
  <c r="CH359" i="1"/>
  <c r="BE359" i="1"/>
  <c r="AK320" i="1"/>
  <c r="F418" i="1"/>
  <c r="AV368" i="1"/>
  <c r="CN355" i="1"/>
  <c r="AB343" i="1"/>
  <c r="BD330" i="1"/>
  <c r="CV317" i="1"/>
  <c r="CM360" i="1"/>
  <c r="CU322" i="1"/>
  <c r="AK305" i="1"/>
  <c r="CO295" i="1"/>
  <c r="AO286" i="1"/>
  <c r="CS276" i="1"/>
  <c r="AS267" i="1"/>
  <c r="CW257" i="1"/>
  <c r="AW248" i="1"/>
  <c r="DA238" i="1"/>
  <c r="BA229" i="1"/>
  <c r="DE219" i="1"/>
  <c r="BE210" i="1"/>
  <c r="DI200" i="1"/>
  <c r="BI191" i="1"/>
  <c r="I182" i="1"/>
  <c r="BS360" i="1"/>
  <c r="Z417" i="1"/>
  <c r="F343" i="1"/>
  <c r="CH413" i="1"/>
  <c r="U342" i="1"/>
  <c r="BA325" i="1"/>
  <c r="DE315" i="1"/>
  <c r="AX421" i="1"/>
  <c r="BF383" i="1"/>
  <c r="H363" i="1"/>
  <c r="BL353" i="1"/>
  <c r="L344" i="1"/>
  <c r="BP334" i="1"/>
  <c r="P325" i="1"/>
  <c r="BT315" i="1"/>
  <c r="AA364" i="1"/>
  <c r="AI326" i="1"/>
  <c r="U306" i="1"/>
  <c r="BY296" i="1"/>
  <c r="Y287" i="1"/>
  <c r="CC277" i="1"/>
  <c r="AC268" i="1"/>
  <c r="CG258" i="1"/>
  <c r="AG249" i="1"/>
  <c r="CK239" i="1"/>
  <c r="AK230" i="1"/>
  <c r="CO220" i="1"/>
  <c r="AO211" i="1"/>
  <c r="CS201" i="1"/>
  <c r="AS192" i="1"/>
  <c r="CW182" i="1"/>
  <c r="CU385" i="1"/>
  <c r="BN366" i="1"/>
  <c r="BV328" i="1"/>
  <c r="AK366" i="1"/>
  <c r="BE331" i="1"/>
  <c r="DI321" i="1"/>
  <c r="BI312" i="1"/>
  <c r="CP408" i="1"/>
  <c r="CX370" i="1"/>
  <c r="CV359" i="1"/>
  <c r="AV350" i="1"/>
  <c r="CZ340" i="1"/>
  <c r="AZ331" i="1"/>
  <c r="DD321" i="1"/>
  <c r="BD312" i="1"/>
  <c r="G351" i="1"/>
  <c r="O313" i="1"/>
  <c r="CS302" i="1"/>
  <c r="AS293" i="1"/>
  <c r="CW283" i="1"/>
  <c r="AW274" i="1"/>
  <c r="DA264" i="1"/>
  <c r="BA255" i="1"/>
  <c r="DE245" i="1"/>
  <c r="BE236" i="1"/>
  <c r="DI226" i="1"/>
  <c r="BI217" i="1"/>
  <c r="I208" i="1"/>
  <c r="BW448" i="1"/>
  <c r="AA317" i="1"/>
  <c r="CV303" i="1"/>
  <c r="AV294" i="1"/>
  <c r="CZ284" i="1"/>
  <c r="AZ275" i="1"/>
  <c r="DD265" i="1"/>
  <c r="BD256" i="1"/>
  <c r="DH246" i="1"/>
  <c r="BH237" i="1"/>
  <c r="H228" i="1"/>
  <c r="BL218" i="1"/>
  <c r="L209" i="1"/>
  <c r="BP199" i="1"/>
  <c r="P190" i="1"/>
  <c r="BT180" i="1"/>
  <c r="AQ354" i="1"/>
  <c r="AY316" i="1"/>
  <c r="CA303" i="1"/>
  <c r="AA294" i="1"/>
  <c r="CE284" i="1"/>
  <c r="AE275" i="1"/>
  <c r="CI265" i="1"/>
  <c r="AI256" i="1"/>
  <c r="CM246" i="1"/>
  <c r="AM237" i="1"/>
  <c r="CQ227" i="1"/>
  <c r="AQ218" i="1"/>
  <c r="CU208" i="1"/>
  <c r="AU199" i="1"/>
  <c r="CY189" i="1"/>
  <c r="AA365" i="1"/>
  <c r="DH311" i="1"/>
  <c r="BH302" i="1"/>
  <c r="H293" i="1"/>
  <c r="BL283" i="1"/>
  <c r="L274" i="1"/>
  <c r="BC444" i="1"/>
  <c r="CS420" i="1"/>
  <c r="AY429" i="1"/>
  <c r="CM455" i="1"/>
  <c r="AK380" i="1"/>
  <c r="AF404" i="1"/>
  <c r="S433" i="1"/>
  <c r="U373" i="1"/>
  <c r="AV397" i="1"/>
  <c r="AM421" i="1"/>
  <c r="G376" i="1"/>
  <c r="AL344" i="1"/>
  <c r="CH369" i="1"/>
  <c r="CA375" i="1"/>
  <c r="BZ343" i="1"/>
  <c r="BA368" i="1"/>
  <c r="AA375" i="1"/>
  <c r="BV355" i="1"/>
  <c r="CD317" i="1"/>
  <c r="X532" i="1"/>
  <c r="BR483" i="1"/>
  <c r="AO419" i="1"/>
  <c r="CK400" i="1"/>
  <c r="CD444" i="1"/>
  <c r="AS438" i="1"/>
  <c r="AO392" i="1"/>
  <c r="BP387" i="1"/>
  <c r="DI387" i="1"/>
  <c r="CV384" i="1"/>
  <c r="BV436" i="1"/>
  <c r="CV487" i="1"/>
  <c r="DH463" i="1"/>
  <c r="CG405" i="1"/>
  <c r="CZ412" i="1"/>
  <c r="BG411" i="1"/>
  <c r="AE447" i="1"/>
  <c r="BT393" i="1"/>
  <c r="W442" i="1"/>
  <c r="AQ392" i="1"/>
  <c r="AG428" i="1"/>
  <c r="P388" i="1"/>
  <c r="AY425" i="1"/>
  <c r="DE382" i="1"/>
  <c r="X419" i="1"/>
  <c r="AF381" i="1"/>
  <c r="CY417" i="1"/>
  <c r="AY385" i="1"/>
  <c r="N366" i="1"/>
  <c r="V328" i="1"/>
  <c r="BY365" i="1"/>
  <c r="DG384" i="1"/>
  <c r="BB365" i="1"/>
  <c r="BJ327" i="1"/>
  <c r="I365" i="1"/>
  <c r="O384" i="1"/>
  <c r="AH441" i="1"/>
  <c r="BX451" i="1"/>
  <c r="AF433" i="1"/>
  <c r="CM453" i="1"/>
  <c r="BL487" i="1"/>
  <c r="CF444" i="1"/>
  <c r="CU428" i="1"/>
  <c r="AW388" i="1"/>
  <c r="O455" i="1"/>
  <c r="BP395" i="1"/>
  <c r="AY449" i="1"/>
  <c r="W394" i="1"/>
  <c r="AI444" i="1"/>
  <c r="CV392" i="1"/>
  <c r="AP428" i="1"/>
  <c r="CV460" i="1"/>
  <c r="CR410" i="1"/>
  <c r="T408" i="1"/>
  <c r="CE402" i="1"/>
  <c r="CO423" i="1"/>
  <c r="T373" i="1"/>
  <c r="K397" i="1"/>
  <c r="DD416" i="1"/>
  <c r="H479" i="1"/>
  <c r="CF517" i="1"/>
  <c r="CD458" i="1"/>
  <c r="CO408" i="1"/>
  <c r="CC487" i="1"/>
  <c r="BE512" i="1"/>
  <c r="CT478" i="1"/>
  <c r="DE416" i="1"/>
  <c r="AW398" i="1"/>
  <c r="BQ482" i="1"/>
  <c r="AJ545" i="1"/>
  <c r="AW389" i="1"/>
  <c r="CN385" i="1"/>
  <c r="BU385" i="1"/>
  <c r="P383" i="1"/>
  <c r="BJ429" i="1"/>
  <c r="CJ480" i="1"/>
  <c r="AB462" i="1"/>
  <c r="DE403" i="1"/>
  <c r="T411" i="1"/>
  <c r="CE409" i="1"/>
  <c r="CU444" i="1"/>
  <c r="H393" i="1"/>
  <c r="CM439" i="1"/>
  <c r="I392" i="1"/>
  <c r="M427" i="1"/>
  <c r="BH387" i="1"/>
  <c r="AE424" i="1"/>
  <c r="U382" i="1"/>
  <c r="BP418" i="1"/>
  <c r="BX380" i="1"/>
  <c r="AM417" i="1"/>
  <c r="BW384" i="1"/>
  <c r="BF365" i="1"/>
  <c r="BN327" i="1"/>
  <c r="M365" i="1"/>
  <c r="AI384" i="1"/>
  <c r="CT364" i="1"/>
  <c r="DB326" i="1"/>
  <c r="BA364" i="1"/>
  <c r="BG383" i="1"/>
  <c r="BJ436" i="1"/>
  <c r="AJ449" i="1"/>
  <c r="CV430" i="1"/>
  <c r="AM444" i="1"/>
  <c r="DD486" i="1"/>
  <c r="T444" i="1"/>
  <c r="CA427" i="1"/>
  <c r="CO387" i="1"/>
  <c r="CE452" i="1"/>
  <c r="DH394" i="1"/>
  <c r="K447" i="1"/>
  <c r="BO393" i="1"/>
  <c r="CY441" i="1"/>
  <c r="BD435" i="1"/>
  <c r="BF481" i="1"/>
  <c r="BV444" i="1"/>
  <c r="DE396" i="1"/>
  <c r="DE434" i="1"/>
  <c r="CZ502" i="1"/>
  <c r="CL452" i="1"/>
  <c r="Q405" i="1"/>
  <c r="AK472" i="1"/>
  <c r="CG475" i="1"/>
  <c r="BH482" i="1"/>
  <c r="AK382" i="1"/>
  <c r="BD380" i="1"/>
  <c r="DI378" i="1"/>
  <c r="CJ377" i="1"/>
  <c r="CK441" i="1"/>
  <c r="AV454" i="1"/>
  <c r="DD454" i="1"/>
  <c r="BU398" i="1"/>
  <c r="CN405" i="1"/>
  <c r="AU404" i="1"/>
  <c r="G433" i="1"/>
  <c r="L390" i="1"/>
  <c r="BW429" i="1"/>
  <c r="CG387" i="1"/>
  <c r="BD422" i="1"/>
  <c r="BL384" i="1"/>
  <c r="K421" i="1"/>
  <c r="CK378" i="1"/>
  <c r="BT415" i="1"/>
  <c r="CB377" i="1"/>
  <c r="AQ414" i="1"/>
  <c r="BW381" i="1"/>
  <c r="BJ362" i="1"/>
  <c r="BR324" i="1"/>
  <c r="Q362" i="1"/>
  <c r="AM381" i="1"/>
  <c r="CX361" i="1"/>
  <c r="DF323" i="1"/>
  <c r="BE361" i="1"/>
  <c r="BK380" i="1"/>
  <c r="BU488" i="1"/>
  <c r="AZ437" i="1"/>
  <c r="BS480" i="1"/>
  <c r="DE418" i="1"/>
  <c r="DH483" i="1"/>
  <c r="X441" i="1"/>
  <c r="CK422" i="1"/>
  <c r="CS384" i="1"/>
  <c r="CU440" i="1"/>
  <c r="H392" i="1"/>
  <c r="AA435" i="1"/>
  <c r="BS390" i="1"/>
  <c r="CC430" i="1"/>
  <c r="AN389" i="1"/>
  <c r="CN455" i="1"/>
  <c r="CJ445" i="1"/>
  <c r="BT396" i="1"/>
  <c r="CZ393" i="1"/>
  <c r="DG397" i="1"/>
  <c r="L419" i="1"/>
  <c r="X526" i="1"/>
  <c r="BA390" i="1"/>
  <c r="AB412" i="1"/>
  <c r="CW488" i="1"/>
  <c r="BK416" i="1"/>
  <c r="CW376" i="1"/>
  <c r="CE425" i="1"/>
  <c r="DH393" i="1"/>
  <c r="CM414" i="1"/>
  <c r="BG369" i="1"/>
  <c r="CL337" i="1"/>
  <c r="BM362" i="1"/>
  <c r="W369" i="1"/>
  <c r="V337" i="1"/>
  <c r="DA361" i="1"/>
  <c r="AM370" i="1"/>
  <c r="CH350" i="1"/>
  <c r="CP312" i="1"/>
  <c r="CW349" i="1"/>
  <c r="AL327" i="1"/>
  <c r="AN530" i="1"/>
  <c r="BD349" i="1"/>
  <c r="AA468" i="1"/>
  <c r="BQ292" i="1"/>
  <c r="BY254" i="1"/>
  <c r="CG216" i="1"/>
  <c r="AE465" i="1"/>
  <c r="CA462" i="1"/>
  <c r="BW469" i="1"/>
  <c r="DE368" i="1"/>
  <c r="AY507" i="1"/>
  <c r="CE488" i="1"/>
  <c r="BS492" i="1"/>
  <c r="BK413" i="1"/>
  <c r="U387" i="1"/>
  <c r="S460" i="1"/>
  <c r="AJ409" i="1"/>
  <c r="P384" i="1"/>
  <c r="CU453" i="1"/>
  <c r="CU407" i="1"/>
  <c r="AO378" i="1"/>
  <c r="S432" i="1"/>
  <c r="AZ402" i="1"/>
  <c r="AF377" i="1"/>
  <c r="AA429" i="1"/>
  <c r="W401" i="1"/>
  <c r="AA381" i="1"/>
  <c r="V392" i="1"/>
  <c r="AP349" i="1"/>
  <c r="V324" i="1"/>
  <c r="BF390" i="1"/>
  <c r="DA348" i="1"/>
  <c r="CU380" i="1"/>
  <c r="BV389" i="1"/>
  <c r="CD348" i="1"/>
  <c r="BJ323" i="1"/>
  <c r="DF387" i="1"/>
  <c r="AK348" i="1"/>
  <c r="O380" i="1"/>
  <c r="AH407" i="1"/>
  <c r="BF359" i="1"/>
  <c r="BJ340" i="1"/>
  <c r="BN321" i="1"/>
  <c r="CP403" i="1"/>
  <c r="BU358" i="1"/>
  <c r="BY339" i="1"/>
  <c r="AH362" i="1"/>
  <c r="CO360" i="1"/>
  <c r="BU320" i="1"/>
  <c r="V402" i="1"/>
  <c r="AB358" i="1"/>
  <c r="AF339" i="1"/>
  <c r="AJ320" i="1"/>
  <c r="DC344" i="1"/>
  <c r="AO301" i="1"/>
  <c r="AS282" i="1"/>
  <c r="AW263" i="1"/>
  <c r="BA244" i="1"/>
  <c r="BE225" i="1"/>
  <c r="BI206" i="1"/>
  <c r="BM187" i="1"/>
  <c r="CI344" i="1"/>
  <c r="V359" i="1"/>
  <c r="CW358" i="1"/>
  <c r="U320" i="1"/>
  <c r="BA468" i="1"/>
  <c r="AV462" i="1"/>
  <c r="AN457" i="1"/>
  <c r="Q400" i="1"/>
  <c r="AJ407" i="1"/>
  <c r="CU405" i="1"/>
  <c r="BP404" i="1"/>
  <c r="DC429" i="1"/>
  <c r="BK401" i="1"/>
  <c r="AO373" i="1"/>
  <c r="BT422" i="1"/>
  <c r="AJ397" i="1"/>
  <c r="DD371" i="1"/>
  <c r="AA421" i="1"/>
  <c r="CU395" i="1"/>
  <c r="G489" i="1"/>
  <c r="CJ415" i="1"/>
  <c r="AZ390" i="1"/>
  <c r="BK484" i="1"/>
  <c r="BG414" i="1"/>
  <c r="W389" i="1"/>
  <c r="L378" i="1"/>
  <c r="AB486" i="1"/>
  <c r="CI449" i="1"/>
  <c r="DC438" i="1"/>
  <c r="CQ409" i="1"/>
  <c r="CE444" i="1"/>
  <c r="AF380" i="1"/>
  <c r="W404" i="1"/>
  <c r="AO424" i="1"/>
  <c r="BH380" i="1"/>
  <c r="CA440" i="1"/>
  <c r="BO404" i="1"/>
  <c r="BC384" i="1"/>
  <c r="CL405" i="1"/>
  <c r="CH352" i="1"/>
  <c r="AX327" i="1"/>
  <c r="R404" i="1"/>
  <c r="AO352" i="1"/>
  <c r="S384" i="1"/>
  <c r="AH403" i="1"/>
  <c r="R352" i="1"/>
  <c r="CL326" i="1"/>
  <c r="BR401" i="1"/>
  <c r="CC351" i="1"/>
  <c r="AQ383" i="1"/>
  <c r="AP417" i="1"/>
  <c r="F362" i="1"/>
  <c r="J343" i="1"/>
  <c r="N324" i="1"/>
  <c r="CX413" i="1"/>
  <c r="AG368" i="1"/>
  <c r="CK358" i="1"/>
  <c r="AK349" i="1"/>
  <c r="CO339" i="1"/>
  <c r="CQ381" i="1"/>
  <c r="CT362" i="1"/>
  <c r="DB324" i="1"/>
  <c r="AW361" i="1"/>
  <c r="AG330" i="1"/>
  <c r="CK320" i="1"/>
  <c r="BG488" i="1"/>
  <c r="CH402" i="1"/>
  <c r="CR367" i="1"/>
  <c r="AR358" i="1"/>
  <c r="CV348" i="1"/>
  <c r="AV339" i="1"/>
  <c r="CZ329" i="1"/>
  <c r="AZ320" i="1"/>
  <c r="CO430" i="1"/>
  <c r="BK345" i="1"/>
  <c r="DE310" i="1"/>
  <c r="BE301" i="1"/>
  <c r="DI291" i="1"/>
  <c r="BI282" i="1"/>
  <c r="I273" i="1"/>
  <c r="BM263" i="1"/>
  <c r="M254" i="1"/>
  <c r="BQ244" i="1"/>
  <c r="Q235" i="1"/>
  <c r="BU225" i="1"/>
  <c r="U216" i="1"/>
  <c r="BY206" i="1"/>
  <c r="Y197" i="1"/>
  <c r="CC187" i="1"/>
  <c r="AO429" i="1"/>
  <c r="CT425" i="1"/>
  <c r="DD443" i="1"/>
  <c r="BL425" i="1"/>
  <c r="W427" i="1"/>
  <c r="BT485" i="1"/>
  <c r="CN442" i="1"/>
  <c r="G425" i="1"/>
  <c r="BE386" i="1"/>
  <c r="AU447" i="1"/>
  <c r="BX393" i="1"/>
  <c r="CE441" i="1"/>
  <c r="AE392" i="1"/>
  <c r="BO436" i="1"/>
  <c r="DD390" i="1"/>
  <c r="CA464" i="1"/>
  <c r="AI422" i="1"/>
  <c r="CA409" i="1"/>
  <c r="DC396" i="1"/>
  <c r="CO381" i="1"/>
  <c r="CW368" i="1"/>
  <c r="BK443" i="1"/>
  <c r="H418" i="1"/>
  <c r="AZ405" i="1"/>
  <c r="CB392" i="1"/>
  <c r="P380" i="1"/>
  <c r="AE506" i="1"/>
  <c r="CU437" i="1"/>
  <c r="BS416" i="1"/>
  <c r="G404" i="1"/>
  <c r="M389" i="1"/>
  <c r="AO374" i="1"/>
  <c r="BC469" i="1"/>
  <c r="CJ423" i="1"/>
  <c r="X411" i="1"/>
  <c r="BP398" i="1"/>
  <c r="CR385" i="1"/>
  <c r="AF373" i="1"/>
  <c r="CM463" i="1"/>
  <c r="BG422" i="1"/>
  <c r="CY409" i="1"/>
  <c r="AM397" i="1"/>
  <c r="BO384" i="1"/>
  <c r="AA377" i="1"/>
  <c r="BA430" i="1"/>
  <c r="V376" i="1"/>
  <c r="N358" i="1"/>
  <c r="BF345" i="1"/>
  <c r="CH332" i="1"/>
  <c r="V320" i="1"/>
  <c r="Q427" i="1"/>
  <c r="BF374" i="1"/>
  <c r="BY357" i="1"/>
  <c r="M345" i="1"/>
  <c r="BC392" i="1"/>
  <c r="CU376" i="1"/>
  <c r="AW425" i="1"/>
  <c r="BV373" i="1"/>
  <c r="BB357" i="1"/>
  <c r="CT344" i="1"/>
  <c r="R332" i="1"/>
  <c r="BJ319" i="1"/>
  <c r="DB422" i="1"/>
  <c r="DF371" i="1"/>
  <c r="I357" i="1"/>
  <c r="BA344" i="1"/>
  <c r="BO390" i="1"/>
  <c r="O376" i="1"/>
  <c r="AY454" i="1"/>
  <c r="AX395" i="1"/>
  <c r="F366" i="1"/>
  <c r="BJ356" i="1"/>
  <c r="J347" i="1"/>
  <c r="BN337" i="1"/>
  <c r="N328" i="1"/>
  <c r="BR318" i="1"/>
  <c r="BW440" i="1"/>
  <c r="DF391" i="1"/>
  <c r="U365" i="1"/>
  <c r="BY355" i="1"/>
  <c r="Y346" i="1"/>
  <c r="CC336" i="1"/>
  <c r="AU369" i="1"/>
  <c r="AX350" i="1"/>
  <c r="BF312" i="1"/>
  <c r="DE348" i="1"/>
  <c r="U327" i="1"/>
  <c r="BY317" i="1"/>
  <c r="DG433" i="1"/>
  <c r="AL390" i="1"/>
  <c r="CF364" i="1"/>
  <c r="AF355" i="1"/>
  <c r="CJ345" i="1"/>
  <c r="AJ336" i="1"/>
  <c r="CN326" i="1"/>
  <c r="AN317" i="1"/>
  <c r="BJ377" i="1"/>
  <c r="O333" i="1"/>
  <c r="CS307" i="1"/>
  <c r="AS298" i="1"/>
  <c r="CW288" i="1"/>
  <c r="AW279" i="1"/>
  <c r="DA269" i="1"/>
  <c r="BA260" i="1"/>
  <c r="DE250" i="1"/>
  <c r="BE241" i="1"/>
  <c r="DI231" i="1"/>
  <c r="BI222" i="1"/>
  <c r="I213" i="1"/>
  <c r="BM203" i="1"/>
  <c r="M194" i="1"/>
  <c r="BQ184" i="1"/>
  <c r="CL376" i="1"/>
  <c r="CY332" i="1"/>
  <c r="BO458" i="1"/>
  <c r="AL347" i="1"/>
  <c r="AI454" i="1"/>
  <c r="I347" i="1"/>
  <c r="CB375" i="1"/>
  <c r="DG434" i="1"/>
  <c r="BD481" i="1"/>
  <c r="AG420" i="1"/>
  <c r="M431" i="1"/>
  <c r="AE428" i="1"/>
  <c r="BY425" i="1"/>
  <c r="AA455" i="1"/>
  <c r="AA408" i="1"/>
  <c r="U380" i="1"/>
  <c r="AA438" i="1"/>
  <c r="DD403" i="1"/>
  <c r="CJ378" i="1"/>
  <c r="BK432" i="1"/>
  <c r="BK402" i="1"/>
  <c r="DI372" i="1"/>
  <c r="AZ422" i="1"/>
  <c r="P397" i="1"/>
  <c r="CJ379" i="1"/>
  <c r="CY500" i="1"/>
  <c r="S437" i="1"/>
  <c r="AY416" i="1"/>
  <c r="CQ403" i="1"/>
  <c r="O391" i="1"/>
  <c r="CE383" i="1"/>
  <c r="S371" i="1"/>
  <c r="AD402" i="1"/>
  <c r="BR364" i="1"/>
  <c r="F352" i="1"/>
  <c r="AH339" i="1"/>
  <c r="BZ326" i="1"/>
  <c r="N314" i="1"/>
  <c r="BN400" i="1"/>
  <c r="Y364" i="1"/>
  <c r="BQ351" i="1"/>
  <c r="CS338" i="1"/>
  <c r="AU383" i="1"/>
  <c r="CM370" i="1"/>
  <c r="CD399" i="1"/>
  <c r="DF363" i="1"/>
  <c r="AT351" i="1"/>
  <c r="BV338" i="1"/>
  <c r="J326" i="1"/>
  <c r="BB313" i="1"/>
  <c r="J398" i="1"/>
  <c r="BM363" i="1"/>
  <c r="DE350" i="1"/>
  <c r="AC338" i="1"/>
  <c r="BS382" i="1"/>
  <c r="BG371" i="1"/>
  <c r="DF414" i="1"/>
  <c r="J377" i="1"/>
  <c r="AX361" i="1"/>
  <c r="DB351" i="1"/>
  <c r="BB342" i="1"/>
  <c r="DF332" i="1"/>
  <c r="BF323" i="1"/>
  <c r="F314" i="1"/>
  <c r="BJ411" i="1"/>
  <c r="BR373" i="1"/>
  <c r="BM360" i="1"/>
  <c r="M351" i="1"/>
  <c r="BQ341" i="1"/>
  <c r="S391" i="1"/>
  <c r="AP373" i="1"/>
  <c r="J332" i="1"/>
  <c r="BI368" i="1"/>
  <c r="I332" i="1"/>
  <c r="BM322" i="1"/>
  <c r="M313" i="1"/>
  <c r="CT409" i="1"/>
  <c r="DB371" i="1"/>
  <c r="T360" i="1"/>
  <c r="BX350" i="1"/>
  <c r="X341" i="1"/>
  <c r="CB331" i="1"/>
  <c r="AB322" i="1"/>
  <c r="CF312" i="1"/>
  <c r="BW352" i="1"/>
  <c r="CE314" i="1"/>
  <c r="AG303" i="1"/>
  <c r="CK293" i="1"/>
  <c r="AK284" i="1"/>
  <c r="CO274" i="1"/>
  <c r="AO265" i="1"/>
  <c r="CS255" i="1"/>
  <c r="AS246" i="1"/>
  <c r="CW236" i="1"/>
  <c r="AW227" i="1"/>
  <c r="DA217" i="1"/>
  <c r="BA208" i="1"/>
  <c r="DE198" i="1"/>
  <c r="BE189" i="1"/>
  <c r="DI179" i="1"/>
  <c r="BE451" i="1"/>
  <c r="AZ477" i="1"/>
  <c r="DH453" i="1"/>
  <c r="AF434" i="1"/>
  <c r="AA512" i="1"/>
  <c r="CZ449" i="1"/>
  <c r="S447" i="1"/>
  <c r="BQ393" i="1"/>
  <c r="W481" i="1"/>
  <c r="CJ400" i="1"/>
  <c r="AM474" i="1"/>
  <c r="AQ399" i="1"/>
  <c r="DG467" i="1"/>
  <c r="L398" i="1"/>
  <c r="AI481" i="1"/>
  <c r="BG425" i="1"/>
  <c r="K412" i="1"/>
  <c r="AM399" i="1"/>
  <c r="DE384" i="1"/>
  <c r="AG371" i="1"/>
  <c r="G453" i="1"/>
  <c r="AV420" i="1"/>
  <c r="CN407" i="1"/>
  <c r="L395" i="1"/>
  <c r="BD382" i="1"/>
  <c r="CV369" i="1"/>
  <c r="AQ447" i="1"/>
  <c r="DG418" i="1"/>
  <c r="AU406" i="1"/>
  <c r="BW393" i="1"/>
  <c r="CC376" i="1"/>
  <c r="CE480" i="1"/>
  <c r="BE428" i="1"/>
  <c r="BL413" i="1"/>
  <c r="DD400" i="1"/>
  <c r="AB388" i="1"/>
  <c r="BT375" i="1"/>
  <c r="K475" i="1"/>
  <c r="DC425" i="1"/>
  <c r="AI412" i="1"/>
  <c r="CA399" i="1"/>
  <c r="DC386" i="1"/>
  <c r="BO379" i="1"/>
  <c r="BC467" i="1"/>
  <c r="BV385" i="1"/>
  <c r="BB360" i="1"/>
  <c r="CT347" i="1"/>
  <c r="R335" i="1"/>
  <c r="BJ322" i="1"/>
  <c r="W463" i="1"/>
  <c r="DF383" i="1"/>
  <c r="I360" i="1"/>
  <c r="BA347" i="1"/>
  <c r="CC334" i="1"/>
  <c r="AE379" i="1"/>
  <c r="AU457" i="1"/>
  <c r="R383" i="1"/>
  <c r="CP359" i="1"/>
  <c r="AD347" i="1"/>
  <c r="BF334" i="1"/>
  <c r="CX321" i="1"/>
  <c r="CE450" i="1"/>
  <c r="BB381" i="1"/>
  <c r="AW359" i="1"/>
  <c r="CO346" i="1"/>
  <c r="M334" i="1"/>
  <c r="BC378" i="1"/>
  <c r="DG498" i="1"/>
  <c r="BJ402" i="1"/>
  <c r="CL367" i="1"/>
  <c r="AL358" i="1"/>
  <c r="CP348" i="1"/>
  <c r="AP339" i="1"/>
  <c r="CT329" i="1"/>
  <c r="AT320" i="1"/>
  <c r="BO478" i="1"/>
  <c r="N399" i="1"/>
  <c r="DA366" i="1"/>
  <c r="BA357" i="1"/>
  <c r="DE347" i="1"/>
  <c r="BE338" i="1"/>
  <c r="BG376" i="1"/>
  <c r="BJ357" i="1"/>
  <c r="BR319" i="1"/>
  <c r="M356" i="1"/>
  <c r="DA328" i="1"/>
  <c r="BA319" i="1"/>
  <c r="AY462" i="1"/>
  <c r="AX397" i="1"/>
  <c r="BH366" i="1"/>
  <c r="H357" i="1"/>
  <c r="BL347" i="1"/>
  <c r="L338" i="1"/>
  <c r="BP328" i="1"/>
  <c r="P319" i="1"/>
  <c r="DF405" i="1"/>
  <c r="AA340" i="1"/>
  <c r="BU309" i="1"/>
  <c r="U300" i="1"/>
  <c r="BY290" i="1"/>
  <c r="Y281" i="1"/>
  <c r="CC271" i="1"/>
  <c r="AC262" i="1"/>
  <c r="CG252" i="1"/>
  <c r="AG243" i="1"/>
  <c r="CK233" i="1"/>
  <c r="AK224" i="1"/>
  <c r="CO214" i="1"/>
  <c r="AO205" i="1"/>
  <c r="CS195" i="1"/>
  <c r="AS186" i="1"/>
  <c r="AD405" i="1"/>
  <c r="G340" i="1"/>
  <c r="AU373" i="1"/>
  <c r="AX354" i="1"/>
  <c r="BF316" i="1"/>
  <c r="U354" i="1"/>
  <c r="BA328" i="1"/>
  <c r="DE318" i="1"/>
  <c r="DE484" i="1"/>
  <c r="BL484" i="1"/>
  <c r="X463" i="1"/>
  <c r="AR441" i="1"/>
  <c r="H550" i="1"/>
  <c r="CB451" i="1"/>
  <c r="AE454" i="1"/>
  <c r="AS395" i="1"/>
  <c r="AI488" i="1"/>
  <c r="BL402" i="1"/>
  <c r="BS482" i="1"/>
  <c r="S401" i="1"/>
  <c r="CA475" i="1"/>
  <c r="CR399" i="1"/>
  <c r="AE484" i="1"/>
  <c r="CA426" i="1"/>
  <c r="BW412" i="1"/>
  <c r="CY399" i="1"/>
  <c r="CK385" i="1"/>
  <c r="CS371" i="1"/>
  <c r="AU455" i="1"/>
  <c r="DH420" i="1"/>
  <c r="AV408" i="1"/>
  <c r="BX395" i="1"/>
  <c r="L383" i="1"/>
  <c r="BD370" i="1"/>
  <c r="CE449" i="1"/>
  <c r="BO419" i="1"/>
  <c r="DG406" i="1"/>
  <c r="AE394" i="1"/>
  <c r="AK377" i="1"/>
  <c r="O483" i="1"/>
  <c r="BY429" i="1"/>
  <c r="T414" i="1"/>
  <c r="BL401" i="1"/>
  <c r="CN388" i="1"/>
  <c r="AB376" i="1"/>
  <c r="BS478" i="1"/>
  <c r="S427" i="1"/>
  <c r="CU412" i="1"/>
  <c r="AI400" i="1"/>
  <c r="BK387" i="1"/>
  <c r="CJ401" i="1"/>
  <c r="Q444" i="1"/>
  <c r="P446" i="1"/>
  <c r="CV452" i="1"/>
  <c r="BM396" i="1"/>
  <c r="CF403" i="1"/>
  <c r="AM402" i="1"/>
  <c r="H401" i="1"/>
  <c r="BO427" i="1"/>
  <c r="AQ400" i="1"/>
  <c r="U372" i="1"/>
  <c r="AZ421" i="1"/>
  <c r="P396" i="1"/>
  <c r="CJ370" i="1"/>
  <c r="G420" i="1"/>
  <c r="CA394" i="1"/>
  <c r="AI484" i="1"/>
  <c r="BP414" i="1"/>
  <c r="AF389" i="1"/>
  <c r="CJ375" i="1"/>
  <c r="BW475" i="1"/>
  <c r="BK426" i="1"/>
  <c r="AY412" i="1"/>
  <c r="CQ399" i="1"/>
  <c r="AE387" i="1"/>
  <c r="CE379" i="1"/>
  <c r="CQ469" i="1"/>
  <c r="CP386" i="1"/>
  <c r="BR360" i="1"/>
  <c r="F348" i="1"/>
  <c r="AX335" i="1"/>
  <c r="BZ322" i="1"/>
  <c r="BK465" i="1"/>
  <c r="V385" i="1"/>
  <c r="Y360" i="1"/>
  <c r="BQ347" i="1"/>
  <c r="DI334" i="1"/>
  <c r="AU379" i="1"/>
  <c r="CI459" i="1"/>
  <c r="AL384" i="1"/>
  <c r="DF359" i="1"/>
  <c r="AT347" i="1"/>
  <c r="CL334" i="1"/>
  <c r="J322" i="1"/>
  <c r="O453" i="1"/>
  <c r="BV382" i="1"/>
  <c r="BM359" i="1"/>
  <c r="DE346" i="1"/>
  <c r="AS334" i="1"/>
  <c r="BS378" i="1"/>
  <c r="BC508" i="1"/>
  <c r="R403" i="1"/>
  <c r="DB367" i="1"/>
  <c r="BB358" i="1"/>
  <c r="DF348" i="1"/>
  <c r="BF339" i="1"/>
  <c r="F330" i="1"/>
  <c r="BJ320" i="1"/>
  <c r="DC480" i="1"/>
  <c r="BZ399" i="1"/>
  <c r="M367" i="1"/>
  <c r="BQ357" i="1"/>
  <c r="Q348" i="1"/>
  <c r="BU338" i="1"/>
  <c r="O377" i="1"/>
  <c r="R358" i="1"/>
  <c r="Z320" i="1"/>
  <c r="BY356" i="1"/>
  <c r="M329" i="1"/>
  <c r="BQ319" i="1"/>
  <c r="CM464" i="1"/>
  <c r="F398" i="1"/>
  <c r="BX366" i="1"/>
  <c r="X357" i="1"/>
  <c r="CB347" i="1"/>
  <c r="AB338" i="1"/>
  <c r="CF328" i="1"/>
  <c r="AF319" i="1"/>
  <c r="AP408" i="1"/>
  <c r="CM340" i="1"/>
  <c r="CK309" i="1"/>
  <c r="AK300" i="1"/>
  <c r="CO290" i="1"/>
  <c r="AO281" i="1"/>
  <c r="CS271" i="1"/>
  <c r="AS262" i="1"/>
  <c r="CW252" i="1"/>
  <c r="AW243" i="1"/>
  <c r="DA233" i="1"/>
  <c r="BA224" i="1"/>
  <c r="DE214" i="1"/>
  <c r="BE205" i="1"/>
  <c r="DI195" i="1"/>
  <c r="BI186" i="1"/>
  <c r="BR407" i="1"/>
  <c r="CG459" i="1"/>
  <c r="DH424" i="1"/>
  <c r="AY428" i="1"/>
  <c r="AE493" i="1"/>
  <c r="CY469" i="1"/>
  <c r="BK455" i="1"/>
  <c r="W411" i="1"/>
  <c r="K450" i="1"/>
  <c r="CF381" i="1"/>
  <c r="BG405" i="1"/>
  <c r="DI426" i="1"/>
  <c r="CV374" i="1"/>
  <c r="CM398" i="1"/>
  <c r="BZ382" i="1"/>
  <c r="CL321" i="1"/>
  <c r="BM346" i="1"/>
  <c r="V380" i="1"/>
  <c r="V321" i="1"/>
  <c r="DA345" i="1"/>
  <c r="V400" i="1"/>
  <c r="CH338" i="1"/>
  <c r="CD396" i="1"/>
  <c r="CW337" i="1"/>
  <c r="CC353" i="1"/>
  <c r="J395" i="1"/>
  <c r="BD337" i="1"/>
  <c r="CQ337" i="1"/>
  <c r="BQ280" i="1"/>
  <c r="BY242" i="1"/>
  <c r="CG204" i="1"/>
  <c r="BW337" i="1"/>
  <c r="CK351" i="1"/>
  <c r="Y317" i="1"/>
  <c r="L451" i="1"/>
  <c r="AY451" i="1"/>
  <c r="BP444" i="1"/>
  <c r="AG388" i="1"/>
  <c r="AZ395" i="1"/>
  <c r="G394" i="1"/>
  <c r="CF392" i="1"/>
  <c r="CU422" i="1"/>
  <c r="BK397" i="1"/>
  <c r="BE369" i="1"/>
  <c r="BT418" i="1"/>
  <c r="AJ393" i="1"/>
  <c r="CE515" i="1"/>
  <c r="AA417" i="1"/>
  <c r="CS389" i="1"/>
  <c r="G473" i="1"/>
  <c r="CJ411" i="1"/>
  <c r="AZ386" i="1"/>
  <c r="AQ467" i="1"/>
  <c r="BG410" i="1"/>
  <c r="W385" i="1"/>
  <c r="K373" i="1"/>
  <c r="BJ410" i="1"/>
  <c r="BJ366" i="1"/>
  <c r="DB353" i="1"/>
  <c r="AP341" i="1"/>
  <c r="BR328" i="1"/>
  <c r="F316" i="1"/>
  <c r="CT408" i="1"/>
  <c r="Q366" i="1"/>
  <c r="BI353" i="1"/>
  <c r="DA340" i="1"/>
  <c r="BO385" i="1"/>
  <c r="CE372" i="1"/>
  <c r="F408" i="1"/>
  <c r="CX365" i="1"/>
  <c r="AL353" i="1"/>
  <c r="CD340" i="1"/>
  <c r="DF327" i="1"/>
  <c r="AT315" i="1"/>
  <c r="AP406" i="1"/>
  <c r="BE365" i="1"/>
  <c r="CW352" i="1"/>
  <c r="AK340" i="1"/>
  <c r="BK384" i="1"/>
  <c r="DG372" i="1"/>
  <c r="CX420" i="1"/>
  <c r="DF382" i="1"/>
  <c r="CX362" i="1"/>
  <c r="AX353" i="1"/>
  <c r="DB343" i="1"/>
  <c r="BB334" i="1"/>
  <c r="DF324" i="1"/>
  <c r="BF315" i="1"/>
  <c r="BB417" i="1"/>
  <c r="BJ379" i="1"/>
  <c r="I362" i="1"/>
  <c r="BM352" i="1"/>
  <c r="M343" i="1"/>
  <c r="BQ333" i="1"/>
  <c r="J397" i="1"/>
  <c r="DF337" i="1"/>
  <c r="AD391" i="1"/>
  <c r="BI336" i="1"/>
  <c r="I324" i="1"/>
  <c r="BM314" i="1"/>
  <c r="CL415" i="1"/>
  <c r="CT377" i="1"/>
  <c r="BT361" i="1"/>
  <c r="T352" i="1"/>
  <c r="BX342" i="1"/>
  <c r="X333" i="1"/>
  <c r="CB323" i="1"/>
  <c r="AB314" i="1"/>
  <c r="BO358" i="1"/>
  <c r="BW320" i="1"/>
  <c r="CG304" i="1"/>
  <c r="AG295" i="1"/>
  <c r="CK285" i="1"/>
  <c r="AK276" i="1"/>
  <c r="CO266" i="1"/>
  <c r="AO257" i="1"/>
  <c r="CS247" i="1"/>
  <c r="AS238" i="1"/>
  <c r="CW228" i="1"/>
  <c r="AW219" i="1"/>
  <c r="DA209" i="1"/>
  <c r="BA200" i="1"/>
  <c r="DE190" i="1"/>
  <c r="BE181" i="1"/>
  <c r="AU358" i="1"/>
  <c r="BC320" i="1"/>
  <c r="BR384" i="1"/>
  <c r="CT334" i="1"/>
  <c r="BJ383" i="1"/>
  <c r="BQ334" i="1"/>
  <c r="BM323" i="1"/>
  <c r="M314" i="1"/>
  <c r="BZ412" i="1"/>
  <c r="CH374" i="1"/>
  <c r="CR360" i="1"/>
  <c r="AR351" i="1"/>
  <c r="CV341" i="1"/>
  <c r="AV332" i="1"/>
  <c r="CZ322" i="1"/>
  <c r="AZ313" i="1"/>
  <c r="AP435" i="1"/>
  <c r="CN486" i="1"/>
  <c r="S452" i="1"/>
  <c r="AM441" i="1"/>
  <c r="DG409" i="1"/>
  <c r="AM445" i="1"/>
  <c r="BL380" i="1"/>
  <c r="AM404" i="1"/>
  <c r="BU424" i="1"/>
  <c r="CB373" i="1"/>
  <c r="BS397" i="1"/>
  <c r="DB377" i="1"/>
  <c r="BR320" i="1"/>
  <c r="AS345" i="1"/>
  <c r="AX375" i="1"/>
  <c r="DF319" i="1"/>
  <c r="CG344" i="1"/>
  <c r="BR396" i="1"/>
  <c r="CT337" i="1"/>
  <c r="V393" i="1"/>
  <c r="DI336" i="1"/>
  <c r="U350" i="1"/>
  <c r="BF391" i="1"/>
  <c r="BP336" i="1"/>
  <c r="AI334" i="1"/>
  <c r="CC279" i="1"/>
  <c r="CK241" i="1"/>
  <c r="CS203" i="1"/>
  <c r="AY355" i="1"/>
  <c r="CH372" i="1"/>
  <c r="BZ371" i="1"/>
  <c r="CO322" i="1"/>
  <c r="BA426" i="1"/>
  <c r="V374" i="1"/>
  <c r="BP357" i="1"/>
  <c r="DH344" i="1"/>
  <c r="AF332" i="1"/>
  <c r="BX319" i="1"/>
  <c r="AM367" i="1"/>
  <c r="AA328" i="1"/>
  <c r="BU306" i="1"/>
  <c r="U297" i="1"/>
  <c r="BY287" i="1"/>
  <c r="Y278" i="1"/>
  <c r="CC268" i="1"/>
  <c r="AC259" i="1"/>
  <c r="CG249" i="1"/>
  <c r="AG240" i="1"/>
  <c r="CK230" i="1"/>
  <c r="AK221" i="1"/>
  <c r="CO211" i="1"/>
  <c r="AO202" i="1"/>
  <c r="CS192" i="1"/>
  <c r="AS183" i="1"/>
  <c r="DC365" i="1"/>
  <c r="BW484" i="1"/>
  <c r="AP348" i="1"/>
  <c r="CU470" i="1"/>
  <c r="BE347" i="1"/>
  <c r="CK326" i="1"/>
  <c r="AK317" i="1"/>
  <c r="CC429" i="1"/>
  <c r="CP388" i="1"/>
  <c r="AR364" i="1"/>
  <c r="CV354" i="1"/>
  <c r="AV345" i="1"/>
  <c r="CZ335" i="1"/>
  <c r="AZ326" i="1"/>
  <c r="DD316" i="1"/>
  <c r="BR371" i="1"/>
  <c r="BS331" i="1"/>
  <c r="BE307" i="1"/>
  <c r="DI297" i="1"/>
  <c r="BI288" i="1"/>
  <c r="I279" i="1"/>
  <c r="BM269" i="1"/>
  <c r="M260" i="1"/>
  <c r="BQ250" i="1"/>
  <c r="Q241" i="1"/>
  <c r="BU231" i="1"/>
  <c r="U222" i="1"/>
  <c r="BY212" i="1"/>
  <c r="Y203" i="1"/>
  <c r="CC193" i="1"/>
  <c r="AC184" i="1"/>
  <c r="CT370" i="1"/>
  <c r="J381" i="1"/>
  <c r="DF333" i="1"/>
  <c r="DF379" i="1"/>
  <c r="CC333" i="1"/>
  <c r="AO323" i="1"/>
  <c r="CS313" i="1"/>
  <c r="V414" i="1"/>
  <c r="AD376" i="1"/>
  <c r="AB361" i="1"/>
  <c r="CF351" i="1"/>
  <c r="AF342" i="1"/>
  <c r="CJ332" i="1"/>
  <c r="F487" i="1"/>
  <c r="L474" i="1"/>
  <c r="CZ420" i="1"/>
  <c r="AB418" i="1"/>
  <c r="S406" i="1"/>
  <c r="AO430" i="1"/>
  <c r="BL376" i="1"/>
  <c r="BC400" i="1"/>
  <c r="AB420" i="1"/>
  <c r="CB369" i="1"/>
  <c r="CI393" i="1"/>
  <c r="R367" i="1"/>
  <c r="BR316" i="1"/>
  <c r="BI341" i="1"/>
  <c r="BF366" i="1"/>
  <c r="DF315" i="1"/>
  <c r="CW340" i="1"/>
  <c r="CH384" i="1"/>
  <c r="CX334" i="1"/>
  <c r="AL381" i="1"/>
  <c r="I334" i="1"/>
  <c r="AK338" i="1"/>
  <c r="BV379" i="1"/>
  <c r="BT333" i="1"/>
  <c r="AY322" i="1"/>
  <c r="CG276" i="1"/>
  <c r="CO238" i="1"/>
  <c r="CW200" i="1"/>
  <c r="O350" i="1"/>
  <c r="BF364" i="1"/>
  <c r="AC364" i="1"/>
  <c r="BE321" i="1"/>
  <c r="DF420" i="1"/>
  <c r="BR370" i="1"/>
  <c r="BL356" i="1"/>
  <c r="DD343" i="1"/>
  <c r="AR331" i="1"/>
  <c r="BT318" i="1"/>
  <c r="W363" i="1"/>
  <c r="AE325" i="1"/>
  <c r="CW305" i="1"/>
  <c r="AW296" i="1"/>
  <c r="DA286" i="1"/>
  <c r="BA277" i="1"/>
  <c r="DE267" i="1"/>
  <c r="BE258" i="1"/>
  <c r="DI248" i="1"/>
  <c r="BI239" i="1"/>
  <c r="I230" i="1"/>
  <c r="BM220" i="1"/>
  <c r="M211" i="1"/>
  <c r="BQ201" i="1"/>
  <c r="Q192" i="1"/>
  <c r="BU182" i="1"/>
  <c r="DG362" i="1"/>
  <c r="BM429" i="1"/>
  <c r="AT345" i="1"/>
  <c r="AD423" i="1"/>
  <c r="BI344" i="1"/>
  <c r="I326" i="1"/>
  <c r="BM316" i="1"/>
  <c r="CL423" i="1"/>
  <c r="CT385" i="1"/>
  <c r="BT363" i="1"/>
  <c r="T354" i="1"/>
  <c r="BX344" i="1"/>
  <c r="X335" i="1"/>
  <c r="CB325" i="1"/>
  <c r="AB316" i="1"/>
  <c r="BO366" i="1"/>
  <c r="BW328" i="1"/>
  <c r="CG306" i="1"/>
  <c r="AG297" i="1"/>
  <c r="CK287" i="1"/>
  <c r="AK278" i="1"/>
  <c r="CO268" i="1"/>
  <c r="AO259" i="1"/>
  <c r="CS249" i="1"/>
  <c r="AS240" i="1"/>
  <c r="CW230" i="1"/>
  <c r="AW221" i="1"/>
  <c r="DA211" i="1"/>
  <c r="BA202" i="1"/>
  <c r="DE192" i="1"/>
  <c r="BE183" i="1"/>
  <c r="K389" i="1"/>
  <c r="Z369" i="1"/>
  <c r="F331" i="1"/>
  <c r="BY368" i="1"/>
  <c r="M332" i="1"/>
  <c r="BQ322" i="1"/>
  <c r="Q313" i="1"/>
  <c r="Z411" i="1"/>
  <c r="AH373" i="1"/>
  <c r="BD360" i="1"/>
  <c r="DH350" i="1"/>
  <c r="BH341" i="1"/>
  <c r="H332" i="1"/>
  <c r="BL322" i="1"/>
  <c r="L313" i="1"/>
  <c r="AU353" i="1"/>
  <c r="BC315" i="1"/>
  <c r="BA303" i="1"/>
  <c r="DE293" i="1"/>
  <c r="BE284" i="1"/>
  <c r="DI274" i="1"/>
  <c r="BI265" i="1"/>
  <c r="I256" i="1"/>
  <c r="BM246" i="1"/>
  <c r="M237" i="1"/>
  <c r="BQ227" i="1"/>
  <c r="Q218" i="1"/>
  <c r="BU208" i="1"/>
  <c r="DA180" i="1"/>
  <c r="G320" i="1"/>
  <c r="BD304" i="1"/>
  <c r="DH294" i="1"/>
  <c r="BH285" i="1"/>
  <c r="H276" i="1"/>
  <c r="BL266" i="1"/>
  <c r="L257" i="1"/>
  <c r="BP247" i="1"/>
  <c r="P238" i="1"/>
  <c r="BT228" i="1"/>
  <c r="T219" i="1"/>
  <c r="BX209" i="1"/>
  <c r="X200" i="1"/>
  <c r="CB190" i="1"/>
  <c r="AB181" i="1"/>
  <c r="CE356" i="1"/>
  <c r="CM318" i="1"/>
  <c r="AI304" i="1"/>
  <c r="CM294" i="1"/>
  <c r="AM285" i="1"/>
  <c r="CQ275" i="1"/>
  <c r="AQ266" i="1"/>
  <c r="CU256" i="1"/>
  <c r="AU247" i="1"/>
  <c r="CY237" i="1"/>
  <c r="AY228" i="1"/>
  <c r="DC218" i="1"/>
  <c r="BC209" i="1"/>
  <c r="DG199" i="1"/>
  <c r="BG190" i="1"/>
  <c r="R382" i="1"/>
  <c r="O314" i="1"/>
  <c r="P303" i="1"/>
  <c r="BT293" i="1"/>
  <c r="T284" i="1"/>
  <c r="BX274" i="1"/>
  <c r="AF449" i="1"/>
  <c r="AU442" i="1"/>
  <c r="AU468" i="1"/>
  <c r="CY478" i="1"/>
  <c r="AS384" i="1"/>
  <c r="AR407" i="1"/>
  <c r="W446" i="1"/>
  <c r="AG376" i="1"/>
  <c r="BH400" i="1"/>
  <c r="AQ425" i="1"/>
  <c r="S379" i="1"/>
  <c r="AX347" i="1"/>
  <c r="CL382" i="1"/>
  <c r="CM378" i="1"/>
  <c r="CL346" i="1"/>
  <c r="AH380" i="1"/>
  <c r="G378" i="1"/>
  <c r="F358" i="1"/>
  <c r="N320" i="1"/>
  <c r="U357" i="1"/>
  <c r="AP356" i="1"/>
  <c r="U319" i="1"/>
  <c r="CF356" i="1"/>
  <c r="CN318" i="1"/>
  <c r="CS299" i="1"/>
  <c r="DA261" i="1"/>
  <c r="DI223" i="1"/>
  <c r="M186" i="1"/>
  <c r="CU319" i="1"/>
  <c r="AH334" i="1"/>
  <c r="DI333" i="1"/>
  <c r="AS314" i="1"/>
  <c r="AX401" i="1"/>
  <c r="AF364" i="1"/>
  <c r="BX351" i="1"/>
  <c r="L339" i="1"/>
  <c r="AN326" i="1"/>
  <c r="CF313" i="1"/>
  <c r="AQ348" i="1"/>
  <c r="BY311" i="1"/>
  <c r="Y302" i="1"/>
  <c r="CC292" i="1"/>
  <c r="AC283" i="1"/>
  <c r="CG273" i="1"/>
  <c r="AG264" i="1"/>
  <c r="CK254" i="1"/>
  <c r="AK245" i="1"/>
  <c r="CO235" i="1"/>
  <c r="AO226" i="1"/>
  <c r="CS216" i="1"/>
  <c r="AS207" i="1"/>
  <c r="CW197" i="1"/>
  <c r="AW188" i="1"/>
  <c r="AQ472" i="1"/>
  <c r="AQ389" i="1"/>
  <c r="BF368" i="1"/>
  <c r="BN330" i="1"/>
  <c r="BU367" i="1"/>
  <c r="CO331" i="1"/>
  <c r="AO322" i="1"/>
  <c r="CS312" i="1"/>
  <c r="DF408" i="1"/>
  <c r="J371" i="1"/>
  <c r="CZ359" i="1"/>
  <c r="AZ350" i="1"/>
  <c r="DD340" i="1"/>
  <c r="BD331" i="1"/>
  <c r="DH321" i="1"/>
  <c r="BH312" i="1"/>
  <c r="CI351" i="1"/>
  <c r="CQ313" i="1"/>
  <c r="I303" i="1"/>
  <c r="BM293" i="1"/>
  <c r="M284" i="1"/>
  <c r="BQ274" i="1"/>
  <c r="Q265" i="1"/>
  <c r="BU255" i="1"/>
  <c r="U246" i="1"/>
  <c r="BY236" i="1"/>
  <c r="Y227" i="1"/>
  <c r="CC217" i="1"/>
  <c r="AC208" i="1"/>
  <c r="CG198" i="1"/>
  <c r="AG189" i="1"/>
  <c r="CK179" i="1"/>
  <c r="O373" i="1"/>
  <c r="R354" i="1"/>
  <c r="Z316" i="1"/>
  <c r="CS353" i="1"/>
  <c r="AS328" i="1"/>
  <c r="CW318" i="1"/>
  <c r="AI458" i="1"/>
  <c r="AT396" i="1"/>
  <c r="AF366" i="1"/>
  <c r="CJ356" i="1"/>
  <c r="AJ347" i="1"/>
  <c r="CN337" i="1"/>
  <c r="AN328" i="1"/>
  <c r="CR318" i="1"/>
  <c r="BB399" i="1"/>
  <c r="BO338" i="1"/>
  <c r="AC309" i="1"/>
  <c r="CG299" i="1"/>
  <c r="AG290" i="1"/>
  <c r="CK280" i="1"/>
  <c r="AK271" i="1"/>
  <c r="CO261" i="1"/>
  <c r="AO252" i="1"/>
  <c r="CS242" i="1"/>
  <c r="AS233" i="1"/>
  <c r="CW223" i="1"/>
  <c r="AW214" i="1"/>
  <c r="I204" i="1"/>
  <c r="AY351" i="1"/>
  <c r="AF310" i="1"/>
  <c r="CJ300" i="1"/>
  <c r="AJ291" i="1"/>
  <c r="CN281" i="1"/>
  <c r="AN272" i="1"/>
  <c r="CR262" i="1"/>
  <c r="AR253" i="1"/>
  <c r="CV243" i="1"/>
  <c r="AV234" i="1"/>
  <c r="CZ224" i="1"/>
  <c r="AZ215" i="1"/>
  <c r="DD205" i="1"/>
  <c r="BD196" i="1"/>
  <c r="DH186" i="1"/>
  <c r="L438" i="1"/>
  <c r="CZ388" i="1"/>
  <c r="AB386" i="1"/>
  <c r="BC395" i="1"/>
  <c r="AV416" i="1"/>
  <c r="BW487" i="1"/>
  <c r="Q387" i="1"/>
  <c r="BL409" i="1"/>
  <c r="BG455" i="1"/>
  <c r="CQ389" i="1"/>
  <c r="BB356" i="1"/>
  <c r="DB418" i="1"/>
  <c r="AA389" i="1"/>
  <c r="CP355" i="1"/>
  <c r="AX416" i="1"/>
  <c r="O388" i="1"/>
  <c r="CP364" i="1"/>
  <c r="CX326" i="1"/>
  <c r="DE363" i="1"/>
  <c r="BG432" i="1"/>
  <c r="DE325" i="1"/>
  <c r="BL363" i="1"/>
  <c r="BT325" i="1"/>
  <c r="BY306" i="1"/>
  <c r="CG268" i="1"/>
  <c r="CO230" i="1"/>
  <c r="CW192" i="1"/>
  <c r="AX415" i="1"/>
  <c r="AC330" i="1"/>
  <c r="DI464" i="1"/>
  <c r="BP554" i="1"/>
  <c r="Q459" i="1"/>
  <c r="G488" i="1"/>
  <c r="Q373" i="1"/>
  <c r="CF371" i="1"/>
  <c r="AG370" i="1"/>
  <c r="H369" i="1"/>
  <c r="G415" i="1"/>
  <c r="DA388" i="1"/>
  <c r="CQ467" i="1"/>
  <c r="CJ410" i="1"/>
  <c r="AZ385" i="1"/>
  <c r="AU460" i="1"/>
  <c r="AQ409" i="1"/>
  <c r="BY379" i="1"/>
  <c r="BC437" i="1"/>
  <c r="CZ403" i="1"/>
  <c r="BP378" i="1"/>
  <c r="AU432" i="1"/>
  <c r="BW402" i="1"/>
  <c r="BK382" i="1"/>
  <c r="K369" i="1"/>
  <c r="BJ394" i="1"/>
  <c r="BZ362" i="1"/>
  <c r="DB349" i="1"/>
  <c r="AP337" i="1"/>
  <c r="CH324" i="1"/>
  <c r="DG514" i="1"/>
  <c r="CT392" i="1"/>
  <c r="AG362" i="1"/>
  <c r="BI349" i="1"/>
  <c r="DA336" i="1"/>
  <c r="BC381" i="1"/>
  <c r="BP525" i="1"/>
  <c r="F392" i="1"/>
  <c r="J362" i="1"/>
  <c r="AL349" i="1"/>
  <c r="CD336" i="1"/>
  <c r="R324" i="1"/>
  <c r="AI486" i="1"/>
  <c r="AP390" i="1"/>
  <c r="BU361" i="1"/>
  <c r="CW348" i="1"/>
  <c r="AK336" i="1"/>
  <c r="CA380" i="1"/>
  <c r="G370" i="1"/>
  <c r="J409" i="1"/>
  <c r="R371" i="1"/>
  <c r="DB359" i="1"/>
  <c r="BB350" i="1"/>
  <c r="DF340" i="1"/>
  <c r="BF331" i="1"/>
  <c r="F322" i="1"/>
  <c r="BJ312" i="1"/>
  <c r="BR405" i="1"/>
  <c r="BM368" i="1"/>
  <c r="M359" i="1"/>
  <c r="BQ349" i="1"/>
  <c r="Q340" i="1"/>
  <c r="G383" i="1"/>
  <c r="J364" i="1"/>
  <c r="R326" i="1"/>
  <c r="BQ362" i="1"/>
  <c r="BM330" i="1"/>
  <c r="M321" i="1"/>
  <c r="BK502" i="1"/>
  <c r="DB403" i="1"/>
  <c r="T368" i="1"/>
  <c r="BX358" i="1"/>
  <c r="X349" i="1"/>
  <c r="CB339" i="1"/>
  <c r="AB330" i="1"/>
  <c r="CF320" i="1"/>
  <c r="AE449" i="1"/>
  <c r="CE346" i="1"/>
  <c r="AG311" i="1"/>
  <c r="CK301" i="1"/>
  <c r="AK292" i="1"/>
  <c r="CO282" i="1"/>
  <c r="AO273" i="1"/>
  <c r="CS263" i="1"/>
  <c r="AS254" i="1"/>
  <c r="CW244" i="1"/>
  <c r="AW235" i="1"/>
  <c r="DA225" i="1"/>
  <c r="BA216" i="1"/>
  <c r="DE206" i="1"/>
  <c r="BE197" i="1"/>
  <c r="DI187" i="1"/>
  <c r="AI446" i="1"/>
  <c r="BK346" i="1"/>
  <c r="CY379" i="1"/>
  <c r="DB360" i="1"/>
  <c r="F323" i="1"/>
  <c r="BY360" i="1"/>
  <c r="M330" i="1"/>
  <c r="BQ320" i="1"/>
  <c r="BK485" i="1"/>
  <c r="CP400" i="1"/>
  <c r="AR367" i="1"/>
  <c r="CV357" i="1"/>
  <c r="AV348" i="1"/>
  <c r="CZ338" i="1"/>
  <c r="AZ329" i="1"/>
  <c r="DD319" i="1"/>
  <c r="AD417" i="1"/>
  <c r="CQ442" i="1"/>
  <c r="BH434" i="1"/>
  <c r="AR385" i="1"/>
  <c r="BX382" i="1"/>
  <c r="AI394" i="1"/>
  <c r="AB415" i="1"/>
  <c r="CY482" i="1"/>
  <c r="BI385" i="1"/>
  <c r="AR408" i="1"/>
  <c r="CI450" i="1"/>
  <c r="G388" i="1"/>
  <c r="AH355" i="1"/>
  <c r="Z414" i="1"/>
  <c r="BO387" i="1"/>
  <c r="BV354" i="1"/>
  <c r="BZ411" i="1"/>
  <c r="BK386" i="1"/>
  <c r="DB363" i="1"/>
  <c r="F326" i="1"/>
  <c r="M363" i="1"/>
  <c r="BV413" i="1"/>
  <c r="M325" i="1"/>
  <c r="BX362" i="1"/>
  <c r="CF324" i="1"/>
  <c r="CK305" i="1"/>
  <c r="CS267" i="1"/>
  <c r="DA229" i="1"/>
  <c r="DI191" i="1"/>
  <c r="CE331" i="1"/>
  <c r="R346" i="1"/>
  <c r="CS345" i="1"/>
  <c r="CW316" i="1"/>
  <c r="R409" i="1"/>
  <c r="AN366" i="1"/>
  <c r="BP353" i="1"/>
  <c r="DH340" i="1"/>
  <c r="AV328" i="1"/>
  <c r="BX315" i="1"/>
  <c r="AI354" i="1"/>
  <c r="AQ316" i="1"/>
  <c r="BY303" i="1"/>
  <c r="Y294" i="1"/>
  <c r="CC284" i="1"/>
  <c r="AC275" i="1"/>
  <c r="CG265" i="1"/>
  <c r="AG256" i="1"/>
  <c r="CK246" i="1"/>
  <c r="AK237" i="1"/>
  <c r="CO227" i="1"/>
  <c r="AO218" i="1"/>
  <c r="CS208" i="1"/>
  <c r="AS199" i="1"/>
  <c r="CW189" i="1"/>
  <c r="AW180" i="1"/>
  <c r="O354" i="1"/>
  <c r="R391" i="1"/>
  <c r="BF336" i="1"/>
  <c r="BZ387" i="1"/>
  <c r="BU335" i="1"/>
  <c r="CO323" i="1"/>
  <c r="AO314" i="1"/>
  <c r="CX414" i="1"/>
  <c r="DF376" i="1"/>
  <c r="AV361" i="1"/>
  <c r="CZ351" i="1"/>
  <c r="AZ342" i="1"/>
  <c r="DD332" i="1"/>
  <c r="BD323" i="1"/>
  <c r="DH313" i="1"/>
  <c r="CA357" i="1"/>
  <c r="CI319" i="1"/>
  <c r="BI304" i="1"/>
  <c r="I295" i="1"/>
  <c r="BM285" i="1"/>
  <c r="M276" i="1"/>
  <c r="BQ266" i="1"/>
  <c r="Q257" i="1"/>
  <c r="BU247" i="1"/>
  <c r="U238" i="1"/>
  <c r="BY228" i="1"/>
  <c r="Y219" i="1"/>
  <c r="CC209" i="1"/>
  <c r="AC200" i="1"/>
  <c r="CG190" i="1"/>
  <c r="AG181" i="1"/>
  <c r="G379" i="1"/>
  <c r="J360" i="1"/>
  <c r="R322" i="1"/>
  <c r="CK359" i="1"/>
  <c r="CS329" i="1"/>
  <c r="AS320" i="1"/>
  <c r="DG481" i="1"/>
  <c r="AL402" i="1"/>
  <c r="CF367" i="1"/>
  <c r="AF358" i="1"/>
  <c r="CJ348" i="1"/>
  <c r="AJ339" i="1"/>
  <c r="CN329" i="1"/>
  <c r="CO458" i="1"/>
  <c r="O510" i="1"/>
  <c r="BH373" i="1"/>
  <c r="CN370" i="1"/>
  <c r="CC389" i="1"/>
  <c r="AR411" i="1"/>
  <c r="AQ463" i="1"/>
  <c r="AG380" i="1"/>
  <c r="BH404" i="1"/>
  <c r="CI434" i="1"/>
  <c r="S383" i="1"/>
  <c r="AX351" i="1"/>
  <c r="Z398" i="1"/>
  <c r="CM382" i="1"/>
  <c r="CL350" i="1"/>
  <c r="BZ395" i="1"/>
  <c r="G382" i="1"/>
  <c r="DF360" i="1"/>
  <c r="J323" i="1"/>
  <c r="Q360" i="1"/>
  <c r="Z368" i="1"/>
  <c r="Q322" i="1"/>
  <c r="CB359" i="1"/>
  <c r="CJ321" i="1"/>
  <c r="CO302" i="1"/>
  <c r="CW264" i="1"/>
  <c r="DE226" i="1"/>
  <c r="I189" i="1"/>
  <c r="AU326" i="1"/>
  <c r="CL340" i="1"/>
  <c r="BI340" i="1"/>
  <c r="BM315" i="1"/>
  <c r="DF404" i="1"/>
  <c r="AJ365" i="1"/>
  <c r="CB352" i="1"/>
  <c r="DD339" i="1"/>
  <c r="AR327" i="1"/>
  <c r="CJ314" i="1"/>
  <c r="AM351" i="1"/>
  <c r="AU313" i="1"/>
  <c r="DA302" i="1"/>
  <c r="BA293" i="1"/>
  <c r="DE283" i="1"/>
  <c r="BE274" i="1"/>
  <c r="DI264" i="1"/>
  <c r="BI255" i="1"/>
  <c r="I246" i="1"/>
  <c r="BM236" i="1"/>
  <c r="M227" i="1"/>
  <c r="BQ217" i="1"/>
  <c r="Q208" i="1"/>
  <c r="BU198" i="1"/>
  <c r="U189" i="1"/>
  <c r="BY179" i="1"/>
  <c r="S351" i="1"/>
  <c r="AH379" i="1"/>
  <c r="BJ333" i="1"/>
  <c r="CP375" i="1"/>
  <c r="BY332" i="1"/>
  <c r="M323" i="1"/>
  <c r="BQ313" i="1"/>
  <c r="DB411" i="1"/>
  <c r="F374" i="1"/>
  <c r="BX360" i="1"/>
  <c r="X351" i="1"/>
  <c r="CB341" i="1"/>
  <c r="AB332" i="1"/>
  <c r="CF322" i="1"/>
  <c r="AF313" i="1"/>
  <c r="CE354" i="1"/>
  <c r="CM316" i="1"/>
  <c r="CK303" i="1"/>
  <c r="AK294" i="1"/>
  <c r="CO284" i="1"/>
  <c r="AO275" i="1"/>
  <c r="CS265" i="1"/>
  <c r="AS256" i="1"/>
  <c r="CW246" i="1"/>
  <c r="AW237" i="1"/>
  <c r="DA227" i="1"/>
  <c r="BA218" i="1"/>
  <c r="DE208" i="1"/>
  <c r="BE199" i="1"/>
  <c r="DI189" i="1"/>
  <c r="BI180" i="1"/>
  <c r="K376" i="1"/>
  <c r="N357" i="1"/>
  <c r="V319" i="1"/>
  <c r="CO356" i="1"/>
  <c r="Q329" i="1"/>
  <c r="BU319" i="1"/>
  <c r="S470" i="1"/>
  <c r="AP399" i="1"/>
  <c r="DH366" i="1"/>
  <c r="BH357" i="1"/>
  <c r="H348" i="1"/>
  <c r="BL338" i="1"/>
  <c r="L329" i="1"/>
  <c r="BP319" i="1"/>
  <c r="AL411" i="1"/>
  <c r="BK341" i="1"/>
  <c r="DE309" i="1"/>
  <c r="BE300" i="1"/>
  <c r="DI290" i="1"/>
  <c r="BI281" i="1"/>
  <c r="I272" i="1"/>
  <c r="BM262" i="1"/>
  <c r="M253" i="1"/>
  <c r="BQ243" i="1"/>
  <c r="Q234" i="1"/>
  <c r="BU224" i="1"/>
  <c r="U215" i="1"/>
  <c r="BY205" i="1"/>
  <c r="AQ357" i="1"/>
  <c r="DH310" i="1"/>
  <c r="BH301" i="1"/>
  <c r="H292" i="1"/>
  <c r="BL282" i="1"/>
  <c r="L273" i="1"/>
  <c r="BP263" i="1"/>
  <c r="P254" i="1"/>
  <c r="BT244" i="1"/>
  <c r="T235" i="1"/>
  <c r="BX225" i="1"/>
  <c r="X216" i="1"/>
  <c r="CB206" i="1"/>
  <c r="AB197" i="1"/>
  <c r="CF187" i="1"/>
  <c r="BE425" i="1"/>
  <c r="CU344" i="1"/>
  <c r="CM310" i="1"/>
  <c r="AM301" i="1"/>
  <c r="CQ291" i="1"/>
  <c r="AQ282" i="1"/>
  <c r="CU272" i="1"/>
  <c r="AU263" i="1"/>
  <c r="CY253" i="1"/>
  <c r="AY244" i="1"/>
  <c r="DC234" i="1"/>
  <c r="BC225" i="1"/>
  <c r="DG215" i="1"/>
  <c r="BG206" i="1"/>
  <c r="G197" i="1"/>
  <c r="BI201" i="1"/>
  <c r="AY347" i="1"/>
  <c r="BT309" i="1"/>
  <c r="T300" i="1"/>
  <c r="BX290" i="1"/>
  <c r="X281" i="1"/>
  <c r="CB271" i="1"/>
  <c r="AG411" i="1"/>
  <c r="DA382" i="1"/>
  <c r="AO391" i="1"/>
  <c r="O421" i="1"/>
  <c r="DC509" i="1"/>
  <c r="BH391" i="1"/>
  <c r="AY415" i="1"/>
  <c r="S464" i="1"/>
  <c r="BX384" i="1"/>
  <c r="CE408" i="1"/>
  <c r="AT422" i="1"/>
  <c r="BN331" i="1"/>
  <c r="BE356" i="1"/>
  <c r="CT419" i="1"/>
  <c r="DB330" i="1"/>
  <c r="CS355" i="1"/>
  <c r="AA440" i="1"/>
  <c r="V346" i="1"/>
  <c r="I490" i="1"/>
  <c r="N429" i="1"/>
  <c r="CC451" i="1"/>
  <c r="AN480" i="1"/>
  <c r="DG517" i="1"/>
  <c r="CZ453" i="1"/>
  <c r="DI369" i="1"/>
  <c r="AV540" i="1"/>
  <c r="K501" i="1"/>
  <c r="CM487" i="1"/>
  <c r="T445" i="1"/>
  <c r="BK429" i="1"/>
  <c r="P443" i="1"/>
  <c r="CK386" i="1"/>
  <c r="DD393" i="1"/>
  <c r="BK392" i="1"/>
  <c r="L422" i="1"/>
  <c r="T384" i="1"/>
  <c r="CM420" i="1"/>
  <c r="DI379" i="1"/>
  <c r="BL416" i="1"/>
  <c r="BT378" i="1"/>
  <c r="S415" i="1"/>
  <c r="CS372" i="1"/>
  <c r="CB409" i="1"/>
  <c r="CJ371" i="1"/>
  <c r="AY408" i="1"/>
  <c r="CE375" i="1"/>
  <c r="BR356" i="1"/>
  <c r="BZ318" i="1"/>
  <c r="Y356" i="1"/>
  <c r="AU375" i="1"/>
  <c r="DF355" i="1"/>
  <c r="J318" i="1"/>
  <c r="BM355" i="1"/>
  <c r="AK498" i="1"/>
  <c r="Y436" i="1"/>
  <c r="CA454" i="1"/>
  <c r="CS414" i="1"/>
  <c r="CO398" i="1"/>
  <c r="L478" i="1"/>
  <c r="AF435" i="1"/>
  <c r="CS416" i="1"/>
  <c r="CO389" i="1"/>
  <c r="AG424" i="1"/>
  <c r="P386" i="1"/>
  <c r="BS422" i="1"/>
  <c r="DI385" i="1"/>
  <c r="AN421" i="1"/>
  <c r="AV383" i="1"/>
  <c r="CG448" i="1"/>
  <c r="BS500" i="1"/>
  <c r="CZ372" i="1"/>
  <c r="AB370" i="1"/>
  <c r="BI389" i="1"/>
  <c r="L411" i="1"/>
  <c r="CI462" i="1"/>
  <c r="Q380" i="1"/>
  <c r="AB404" i="1"/>
  <c r="CS402" i="1"/>
  <c r="DA442" i="1"/>
  <c r="BQ488" i="1"/>
  <c r="BL489" i="1"/>
  <c r="CV467" i="1"/>
  <c r="BM480" i="1"/>
  <c r="CD426" i="1"/>
  <c r="AC442" i="1"/>
  <c r="DD477" i="1"/>
  <c r="DD483" i="1"/>
  <c r="BL451" i="1"/>
  <c r="AE518" i="1"/>
  <c r="BO495" i="1"/>
  <c r="CI485" i="1"/>
  <c r="CA480" i="1"/>
  <c r="H438" i="1"/>
  <c r="BM419" i="1"/>
  <c r="AN441" i="1"/>
  <c r="DI384" i="1"/>
  <c r="X392" i="1"/>
  <c r="CI390" i="1"/>
  <c r="BD421" i="1"/>
  <c r="BL383" i="1"/>
  <c r="AA420" i="1"/>
  <c r="AW379" i="1"/>
  <c r="DD415" i="1"/>
  <c r="H378" i="1"/>
  <c r="BK414" i="1"/>
  <c r="AG372" i="1"/>
  <c r="P409" i="1"/>
  <c r="X371" i="1"/>
  <c r="CQ407" i="1"/>
  <c r="S375" i="1"/>
  <c r="F356" i="1"/>
  <c r="N318" i="1"/>
  <c r="BQ355" i="1"/>
  <c r="CM374" i="1"/>
  <c r="AT355" i="1"/>
  <c r="BB317" i="1"/>
  <c r="DE354" i="1"/>
  <c r="DD550" i="1"/>
  <c r="BA431" i="1"/>
  <c r="AA445" i="1"/>
  <c r="BE412" i="1"/>
  <c r="M398" i="1"/>
  <c r="BD477" i="1"/>
  <c r="BX434" i="1"/>
  <c r="AG416" i="1"/>
  <c r="I389" i="1"/>
  <c r="AZ423" i="1"/>
  <c r="BH385" i="1"/>
  <c r="G422" i="1"/>
  <c r="AC385" i="1"/>
  <c r="CF420" i="1"/>
  <c r="DA437" i="1"/>
  <c r="AT455" i="1"/>
  <c r="CS435" i="1"/>
  <c r="CB477" i="1"/>
  <c r="CZ452" i="1"/>
  <c r="G501" i="1"/>
  <c r="BQ472" i="1"/>
  <c r="CR485" i="1"/>
  <c r="T463" i="1"/>
  <c r="BH431" i="1"/>
  <c r="CB439" i="1"/>
  <c r="AE475" i="1"/>
  <c r="CM467" i="1"/>
  <c r="CU460" i="1"/>
  <c r="BP527" i="1"/>
  <c r="CY468" i="1"/>
  <c r="U400" i="1"/>
  <c r="DH435" i="1"/>
  <c r="CO390" i="1"/>
  <c r="CR386" i="1"/>
  <c r="DI386" i="1"/>
  <c r="BH418" i="1"/>
  <c r="BP380" i="1"/>
  <c r="AE417" i="1"/>
  <c r="BA376" i="1"/>
  <c r="DH412" i="1"/>
  <c r="L375" i="1"/>
  <c r="BO411" i="1"/>
  <c r="AK369" i="1"/>
  <c r="T406" i="1"/>
  <c r="BG517" i="1"/>
  <c r="CU404" i="1"/>
  <c r="W372" i="1"/>
  <c r="J353" i="1"/>
  <c r="R315" i="1"/>
  <c r="BU352" i="1"/>
  <c r="CQ371" i="1"/>
  <c r="AX352" i="1"/>
  <c r="BF314" i="1"/>
  <c r="DI351" i="1"/>
  <c r="CN529" i="1"/>
  <c r="BB483" i="1"/>
  <c r="Y419" i="1"/>
  <c r="BU400" i="1"/>
  <c r="M394" i="1"/>
  <c r="BT473" i="1"/>
  <c r="CB431" i="1"/>
  <c r="AK413" i="1"/>
  <c r="M385" i="1"/>
  <c r="BD420" i="1"/>
  <c r="BL382" i="1"/>
  <c r="K419" i="1"/>
  <c r="AG381" i="1"/>
  <c r="CJ417" i="1"/>
  <c r="CR379" i="1"/>
  <c r="AV437" i="1"/>
  <c r="DC430" i="1"/>
  <c r="BO453" i="1"/>
  <c r="BS470" i="1"/>
  <c r="Y383" i="1"/>
  <c r="AN406" i="1"/>
  <c r="G442" i="1"/>
  <c r="AS375" i="1"/>
  <c r="BD399" i="1"/>
  <c r="L470" i="1"/>
  <c r="AF415" i="1"/>
  <c r="BM428" i="1"/>
  <c r="AY399" i="1"/>
  <c r="T378" i="1"/>
  <c r="AA402" i="1"/>
  <c r="AL396" i="1"/>
  <c r="J325" i="1"/>
  <c r="DE349" i="1"/>
  <c r="CL393" i="1"/>
  <c r="AX324" i="1"/>
  <c r="AO349" i="1"/>
  <c r="AD410" i="1"/>
  <c r="AH341" i="1"/>
  <c r="CL406" i="1"/>
  <c r="AW340" i="1"/>
  <c r="CK363" i="1"/>
  <c r="R405" i="1"/>
  <c r="DH339" i="1"/>
  <c r="CY347" i="1"/>
  <c r="Q283" i="1"/>
  <c r="Y245" i="1"/>
  <c r="AG207" i="1"/>
  <c r="V446" i="1"/>
  <c r="DH487" i="1"/>
  <c r="CI429" i="1"/>
  <c r="K458" i="1"/>
  <c r="AA451" i="1"/>
  <c r="K446" i="1"/>
  <c r="G470" i="1"/>
  <c r="AY410" i="1"/>
  <c r="CO382" i="1"/>
  <c r="O447" i="1"/>
  <c r="X406" i="1"/>
  <c r="CR380" i="1"/>
  <c r="AY441" i="1"/>
  <c r="CI404" i="1"/>
  <c r="M375" i="1"/>
  <c r="BI425" i="1"/>
  <c r="AN399" i="1"/>
  <c r="DH373" i="1"/>
  <c r="AU423" i="1"/>
  <c r="K398" i="1"/>
  <c r="DC377" i="1"/>
  <c r="CD379" i="1"/>
  <c r="AD346" i="1"/>
  <c r="CX320" i="1"/>
  <c r="J378" i="1"/>
  <c r="CO345" i="1"/>
  <c r="BS377" i="1"/>
  <c r="Z377" i="1"/>
  <c r="BR345" i="1"/>
  <c r="AH320" i="1"/>
  <c r="BJ375" i="1"/>
  <c r="Y345" i="1"/>
  <c r="CQ376" i="1"/>
  <c r="CL397" i="1"/>
  <c r="R357" i="1"/>
  <c r="V338" i="1"/>
  <c r="Z319" i="1"/>
  <c r="AP394" i="1"/>
  <c r="AG356" i="1"/>
  <c r="AK337" i="1"/>
  <c r="CL352" i="1"/>
  <c r="AO351" i="1"/>
  <c r="AG318" i="1"/>
  <c r="BZ392" i="1"/>
  <c r="CR355" i="1"/>
  <c r="CV336" i="1"/>
  <c r="CZ317" i="1"/>
  <c r="BC335" i="1"/>
  <c r="DE298" i="1"/>
  <c r="DI279" i="1"/>
  <c r="I261" i="1"/>
  <c r="M242" i="1"/>
  <c r="Q223" i="1"/>
  <c r="U204" i="1"/>
  <c r="Y185" i="1"/>
  <c r="AI335" i="1"/>
  <c r="BZ349" i="1"/>
  <c r="AW349" i="1"/>
  <c r="CK317" i="1"/>
  <c r="BD462" i="1"/>
  <c r="DC505" i="1"/>
  <c r="DD446" i="1"/>
  <c r="BU390" i="1"/>
  <c r="CN397" i="1"/>
  <c r="AU396" i="1"/>
  <c r="P395" i="1"/>
  <c r="BS423" i="1"/>
  <c r="AY398" i="1"/>
  <c r="AC370" i="1"/>
  <c r="AR419" i="1"/>
  <c r="X394" i="1"/>
  <c r="BD563" i="1"/>
  <c r="DC417" i="1"/>
  <c r="I391" i="1"/>
  <c r="DG475" i="1"/>
  <c r="BH412" i="1"/>
  <c r="AN387" i="1"/>
  <c r="AM470" i="1"/>
  <c r="AE411" i="1"/>
  <c r="K386" i="1"/>
  <c r="H538" i="1"/>
  <c r="AJ464" i="1"/>
  <c r="AB413" i="1"/>
  <c r="BH410" i="1"/>
  <c r="BC403" i="1"/>
  <c r="AK425" i="1"/>
  <c r="H374" i="1"/>
  <c r="CM397" i="1"/>
  <c r="CB417" i="1"/>
  <c r="AV377" i="1"/>
  <c r="BG429" i="1"/>
  <c r="BC401" i="1"/>
  <c r="AQ381" i="1"/>
  <c r="CH392" i="1"/>
  <c r="BV349" i="1"/>
  <c r="AL324" i="1"/>
  <c r="N391" i="1"/>
  <c r="AC349" i="1"/>
  <c r="G381" i="1"/>
  <c r="AD390" i="1"/>
  <c r="F349" i="1"/>
  <c r="BZ323" i="1"/>
  <c r="BN388" i="1"/>
  <c r="BQ348" i="1"/>
  <c r="AE380" i="1"/>
  <c r="CT407" i="1"/>
  <c r="BV359" i="1"/>
  <c r="BZ340" i="1"/>
  <c r="CD321" i="1"/>
  <c r="AX404" i="1"/>
  <c r="CW365" i="1"/>
  <c r="AW356" i="1"/>
  <c r="DA346" i="1"/>
  <c r="BA337" i="1"/>
  <c r="AQ372" i="1"/>
  <c r="AT353" i="1"/>
  <c r="BB315" i="1"/>
  <c r="DA351" i="1"/>
  <c r="CW327" i="1"/>
  <c r="AW318" i="1"/>
  <c r="CQ445" i="1"/>
  <c r="AH393" i="1"/>
  <c r="BD365" i="1"/>
  <c r="DH355" i="1"/>
  <c r="BH346" i="1"/>
  <c r="H337" i="1"/>
  <c r="BL327" i="1"/>
  <c r="L318" i="1"/>
  <c r="AT389" i="1"/>
  <c r="K336" i="1"/>
  <c r="BQ308" i="1"/>
  <c r="Q299" i="1"/>
  <c r="BU289" i="1"/>
  <c r="U280" i="1"/>
  <c r="BY270" i="1"/>
  <c r="Y261" i="1"/>
  <c r="CC251" i="1"/>
  <c r="AC242" i="1"/>
  <c r="CG232" i="1"/>
  <c r="AG223" i="1"/>
  <c r="CK213" i="1"/>
  <c r="AK204" i="1"/>
  <c r="CO194" i="1"/>
  <c r="AO185" i="1"/>
  <c r="AN505" i="1"/>
  <c r="CZ518" i="1"/>
  <c r="BS427" i="1"/>
  <c r="U407" i="1"/>
  <c r="AK396" i="1"/>
  <c r="AF475" i="1"/>
  <c r="AN433" i="1"/>
  <c r="DA414" i="1"/>
  <c r="AG387" i="1"/>
  <c r="P422" i="1"/>
  <c r="X384" i="1"/>
  <c r="CA420" i="1"/>
  <c r="BA383" i="1"/>
  <c r="AV419" i="1"/>
  <c r="BD381" i="1"/>
  <c r="O448" i="1"/>
  <c r="W419" i="1"/>
  <c r="AY406" i="1"/>
  <c r="CQ393" i="1"/>
  <c r="AS378" i="1"/>
  <c r="CM486" i="1"/>
  <c r="AC431" i="1"/>
  <c r="CZ414" i="1"/>
  <c r="X402" i="1"/>
  <c r="BP389" i="1"/>
  <c r="DH376" i="1"/>
  <c r="S481" i="1"/>
  <c r="AU428" i="1"/>
  <c r="BG413" i="1"/>
  <c r="CI400" i="1"/>
  <c r="DA384" i="1"/>
  <c r="AC371" i="1"/>
  <c r="K454" i="1"/>
  <c r="BX420" i="1"/>
  <c r="L408" i="1"/>
  <c r="AN395" i="1"/>
  <c r="CF382" i="1"/>
  <c r="T370" i="1"/>
  <c r="DG448" i="1"/>
  <c r="AU419" i="1"/>
  <c r="CM406" i="1"/>
  <c r="K394" i="1"/>
  <c r="AY387" i="1"/>
  <c r="O374" i="1"/>
  <c r="N414" i="1"/>
  <c r="BN367" i="1"/>
  <c r="DF354" i="1"/>
  <c r="AD342" i="1"/>
  <c r="BV329" i="1"/>
  <c r="J317" i="1"/>
  <c r="AX412" i="1"/>
  <c r="U367" i="1"/>
  <c r="BM354" i="1"/>
  <c r="CO341" i="1"/>
  <c r="DG386" i="1"/>
  <c r="CI373" i="1"/>
  <c r="BN411" i="1"/>
  <c r="DB366" i="1"/>
  <c r="AP354" i="1"/>
  <c r="BR341" i="1"/>
  <c r="F329" i="1"/>
  <c r="AX316" i="1"/>
  <c r="CX409" i="1"/>
  <c r="BI366" i="1"/>
  <c r="DA353" i="1"/>
  <c r="Y341" i="1"/>
  <c r="DC385" i="1"/>
  <c r="CE373" i="1"/>
  <c r="DA423" i="1"/>
  <c r="DB385" i="1"/>
  <c r="BV363" i="1"/>
  <c r="V354" i="1"/>
  <c r="BZ344" i="1"/>
  <c r="Z335" i="1"/>
  <c r="CD325" i="1"/>
  <c r="AD316" i="1"/>
  <c r="AX420" i="1"/>
  <c r="BF382" i="1"/>
  <c r="CK362" i="1"/>
  <c r="AK353" i="1"/>
  <c r="CO343" i="1"/>
  <c r="AO334" i="1"/>
  <c r="CX408" i="1"/>
  <c r="DB340" i="1"/>
  <c r="N403" i="1"/>
  <c r="BE339" i="1"/>
  <c r="CK324" i="1"/>
  <c r="AK315" i="1"/>
  <c r="CH418" i="1"/>
  <c r="CP380" i="1"/>
  <c r="AR362" i="1"/>
  <c r="CV352" i="1"/>
  <c r="AV343" i="1"/>
  <c r="CZ333" i="1"/>
  <c r="AZ324" i="1"/>
  <c r="DD314" i="1"/>
  <c r="BK361" i="1"/>
  <c r="BS323" i="1"/>
  <c r="BE305" i="1"/>
  <c r="DI295" i="1"/>
  <c r="BI286" i="1"/>
  <c r="I277" i="1"/>
  <c r="BM267" i="1"/>
  <c r="M258" i="1"/>
  <c r="BQ248" i="1"/>
  <c r="Q239" i="1"/>
  <c r="BU229" i="1"/>
  <c r="U220" i="1"/>
  <c r="BY210" i="1"/>
  <c r="Y201" i="1"/>
  <c r="CC191" i="1"/>
  <c r="AC182" i="1"/>
  <c r="AQ361" i="1"/>
  <c r="AY323" i="1"/>
  <c r="BB396" i="1"/>
  <c r="CP337" i="1"/>
  <c r="AT395" i="1"/>
  <c r="T404" i="1"/>
  <c r="DH519" i="1"/>
  <c r="X468" i="1"/>
  <c r="BH458" i="1"/>
  <c r="AK401" i="1"/>
  <c r="BD408" i="1"/>
  <c r="K407" i="1"/>
  <c r="CJ405" i="1"/>
  <c r="BK430" i="1"/>
  <c r="DG401" i="1"/>
  <c r="CK373" i="1"/>
  <c r="CZ422" i="1"/>
  <c r="CF397" i="1"/>
  <c r="AV372" i="1"/>
  <c r="BG421" i="1"/>
  <c r="AM396" i="1"/>
  <c r="CI492" i="1"/>
  <c r="L416" i="1"/>
  <c r="CV390" i="1"/>
  <c r="BX376" i="1"/>
  <c r="CM479" i="1"/>
  <c r="G428" i="1"/>
  <c r="AM413" i="1"/>
  <c r="BO400" i="1"/>
  <c r="DG387" i="1"/>
  <c r="BS380" i="1"/>
  <c r="K484" i="1"/>
  <c r="CL389" i="1"/>
  <c r="BF361" i="1"/>
  <c r="CH348" i="1"/>
  <c r="V336" i="1"/>
  <c r="BN323" i="1"/>
  <c r="AU477" i="1"/>
  <c r="R388" i="1"/>
  <c r="M361" i="1"/>
  <c r="AO348" i="1"/>
  <c r="CG335" i="1"/>
  <c r="AI380" i="1"/>
  <c r="CE478" i="1"/>
  <c r="AH387" i="1"/>
  <c r="CT360" i="1"/>
  <c r="R348" i="1"/>
  <c r="BJ335" i="1"/>
  <c r="DB322" i="1"/>
  <c r="DC464" i="1"/>
  <c r="BR385" i="1"/>
  <c r="BA360" i="1"/>
  <c r="CC347" i="1"/>
  <c r="Q335" i="1"/>
  <c r="BG379" i="1"/>
  <c r="S369" i="1"/>
  <c r="BF405" i="1"/>
  <c r="BJ368" i="1"/>
  <c r="J359" i="1"/>
  <c r="BN349" i="1"/>
  <c r="N340" i="1"/>
  <c r="BR330" i="1"/>
  <c r="R321" i="1"/>
  <c r="AI491" i="1"/>
  <c r="J402" i="1"/>
  <c r="BY367" i="1"/>
  <c r="Y358" i="1"/>
  <c r="CC348" i="1"/>
  <c r="AC339" i="1"/>
  <c r="BC379" i="1"/>
  <c r="BF360" i="1"/>
  <c r="BN322" i="1"/>
  <c r="I359" i="1"/>
  <c r="BY329" i="1"/>
  <c r="Y320" i="1"/>
  <c r="G479" i="1"/>
  <c r="AT400" i="1"/>
  <c r="AF367" i="1"/>
  <c r="CJ357" i="1"/>
  <c r="AJ348" i="1"/>
  <c r="CN338" i="1"/>
  <c r="AN329" i="1"/>
  <c r="CR319" i="1"/>
  <c r="CP417" i="1"/>
  <c r="W343" i="1"/>
  <c r="AS310" i="1"/>
  <c r="CW300" i="1"/>
  <c r="AW291" i="1"/>
  <c r="DA281" i="1"/>
  <c r="BA272" i="1"/>
  <c r="DE262" i="1"/>
  <c r="BE253" i="1"/>
  <c r="DI243" i="1"/>
  <c r="BI234" i="1"/>
  <c r="I225" i="1"/>
  <c r="BM215" i="1"/>
  <c r="M206" i="1"/>
  <c r="BQ196" i="1"/>
  <c r="Q187" i="1"/>
  <c r="N417" i="1"/>
  <c r="CC482" i="1"/>
  <c r="BD434" i="1"/>
  <c r="CM465" i="1"/>
  <c r="DI415" i="1"/>
  <c r="AF483" i="1"/>
  <c r="AZ440" i="1"/>
  <c r="I422" i="1"/>
  <c r="Q384" i="1"/>
  <c r="CY437" i="1"/>
  <c r="AJ391" i="1"/>
  <c r="AE432" i="1"/>
  <c r="CU389" i="1"/>
  <c r="AC429" i="1"/>
  <c r="BP388" i="1"/>
  <c r="CI458" i="1"/>
  <c r="BK421" i="1"/>
  <c r="CM408" i="1"/>
  <c r="AA396" i="1"/>
  <c r="CO380" i="1"/>
  <c r="CA514" i="1"/>
  <c r="BO440" i="1"/>
  <c r="AJ417" i="1"/>
  <c r="BL404" i="1"/>
  <c r="DD391" i="1"/>
  <c r="AR379" i="1"/>
  <c r="G492" i="1"/>
  <c r="CY434" i="1"/>
  <c r="CU415" i="1"/>
  <c r="S403" i="1"/>
  <c r="M388" i="1"/>
  <c r="BQ373" i="1"/>
  <c r="AM465" i="1"/>
  <c r="H423" i="1"/>
  <c r="AZ410" i="1"/>
  <c r="CB397" i="1"/>
  <c r="P385" i="1"/>
  <c r="BH372" i="1"/>
  <c r="BW459" i="1"/>
  <c r="CI421" i="1"/>
  <c r="W409" i="1"/>
  <c r="AY396" i="1"/>
  <c r="AM391" i="1"/>
  <c r="BC376" i="1"/>
  <c r="BN423" i="1"/>
  <c r="Z373" i="1"/>
  <c r="AP357" i="1"/>
  <c r="BR344" i="1"/>
  <c r="F332" i="1"/>
  <c r="AX319" i="1"/>
  <c r="CX421" i="1"/>
  <c r="BJ371" i="1"/>
  <c r="DA356" i="1"/>
  <c r="Y344" i="1"/>
  <c r="CA390" i="1"/>
  <c r="S376" i="1"/>
  <c r="J421" i="1"/>
  <c r="BZ370" i="1"/>
  <c r="CD356" i="1"/>
  <c r="DF343" i="1"/>
  <c r="AT331" i="1"/>
  <c r="CL318" i="1"/>
  <c r="AT419" i="1"/>
  <c r="F369" i="1"/>
  <c r="AK356" i="1"/>
  <c r="BM343" i="1"/>
  <c r="O389" i="1"/>
  <c r="BG375" i="1"/>
  <c r="DC444" i="1"/>
  <c r="J393" i="1"/>
  <c r="AX365" i="1"/>
  <c r="DB355" i="1"/>
  <c r="BB346" i="1"/>
  <c r="DF336" i="1"/>
  <c r="BF327" i="1"/>
  <c r="F318" i="1"/>
  <c r="AG431" i="1"/>
  <c r="BR389" i="1"/>
  <c r="BM364" i="1"/>
  <c r="M355" i="1"/>
  <c r="BQ345" i="1"/>
  <c r="Q336" i="1"/>
  <c r="AY470" i="1"/>
  <c r="J348" i="1"/>
  <c r="W447" i="1"/>
  <c r="BQ346" i="1"/>
  <c r="BM326" i="1"/>
  <c r="M317" i="1"/>
  <c r="DA427" i="1"/>
  <c r="DB387" i="1"/>
  <c r="T364" i="1"/>
  <c r="BX354" i="1"/>
  <c r="X345" i="1"/>
  <c r="CB335" i="1"/>
  <c r="AB326" i="1"/>
  <c r="CF316" i="1"/>
  <c r="BW368" i="1"/>
  <c r="CE330" i="1"/>
  <c r="AG307" i="1"/>
  <c r="CK297" i="1"/>
  <c r="AK288" i="1"/>
  <c r="CO278" i="1"/>
  <c r="AO269" i="1"/>
  <c r="CS259" i="1"/>
  <c r="AS250" i="1"/>
  <c r="CW240" i="1"/>
  <c r="AW231" i="1"/>
  <c r="DA221" i="1"/>
  <c r="BA212" i="1"/>
  <c r="DE202" i="1"/>
  <c r="BE193" i="1"/>
  <c r="DI183" i="1"/>
  <c r="BC368" i="1"/>
  <c r="BK330" i="1"/>
  <c r="DI425" i="1"/>
  <c r="DB344" i="1"/>
  <c r="CS423" i="1"/>
  <c r="BY344" i="1"/>
  <c r="M326" i="1"/>
  <c r="BQ316" i="1"/>
  <c r="AI517" i="1"/>
  <c r="BP441" i="1"/>
  <c r="AU518" i="1"/>
  <c r="Q423" i="1"/>
  <c r="H485" i="1"/>
  <c r="AB442" i="1"/>
  <c r="CQ423" i="1"/>
  <c r="CW385" i="1"/>
  <c r="G445" i="1"/>
  <c r="L393" i="1"/>
  <c r="AQ439" i="1"/>
  <c r="BW391" i="1"/>
  <c r="AA434" i="1"/>
  <c r="AR390" i="1"/>
  <c r="CY462" i="1"/>
  <c r="S422" i="1"/>
  <c r="AU409" i="1"/>
  <c r="CM396" i="1"/>
  <c r="BU381" i="1"/>
  <c r="DH540" i="1"/>
  <c r="DC442" i="1"/>
  <c r="CV417" i="1"/>
  <c r="T405" i="1"/>
  <c r="BL392" i="1"/>
  <c r="DD379" i="1"/>
  <c r="BG501" i="1"/>
  <c r="AI437" i="1"/>
  <c r="BC416" i="1"/>
  <c r="CE403" i="1"/>
  <c r="CW388" i="1"/>
  <c r="Y374" i="1"/>
  <c r="AI468" i="1"/>
  <c r="BT423" i="1"/>
  <c r="H411" i="1"/>
  <c r="AJ398" i="1"/>
  <c r="CB385" i="1"/>
  <c r="P373" i="1"/>
  <c r="BS462" i="1"/>
  <c r="AQ422" i="1"/>
  <c r="CI409" i="1"/>
  <c r="G397" i="1"/>
  <c r="AA393" i="1"/>
  <c r="AJ392" i="1"/>
  <c r="CK489" i="1"/>
  <c r="I397" i="1"/>
  <c r="CZ433" i="1"/>
  <c r="I388" i="1"/>
  <c r="CJ384" i="1"/>
  <c r="AC384" i="1"/>
  <c r="L382" i="1"/>
  <c r="AM419" i="1"/>
  <c r="DG393" i="1"/>
  <c r="DG487" i="1"/>
  <c r="L415" i="1"/>
  <c r="CF389" i="1"/>
  <c r="AM482" i="1"/>
  <c r="BW413" i="1"/>
  <c r="Q385" i="1"/>
  <c r="AE455" i="1"/>
  <c r="AB408" i="1"/>
  <c r="AF385" i="1"/>
  <c r="BX372" i="1"/>
  <c r="CQ460" i="1"/>
  <c r="CY421" i="1"/>
  <c r="AM409" i="1"/>
  <c r="CE396" i="1"/>
  <c r="BS391" i="1"/>
  <c r="BS376" i="1"/>
  <c r="CC425" i="1"/>
  <c r="CL373" i="1"/>
  <c r="BF357" i="1"/>
  <c r="CX344" i="1"/>
  <c r="V332" i="1"/>
  <c r="BN319" i="1"/>
  <c r="N423" i="1"/>
  <c r="R372" i="1"/>
  <c r="M357" i="1"/>
  <c r="BE344" i="1"/>
  <c r="DG390" i="1"/>
  <c r="AI376" i="1"/>
  <c r="AD422" i="1"/>
  <c r="AH371" i="1"/>
  <c r="CT356" i="1"/>
  <c r="AH344" i="1"/>
  <c r="BJ331" i="1"/>
  <c r="DB318" i="1"/>
  <c r="BN420" i="1"/>
  <c r="BR369" i="1"/>
  <c r="BA356" i="1"/>
  <c r="CS343" i="1"/>
  <c r="AU389" i="1"/>
  <c r="BW375" i="1"/>
  <c r="AM447" i="1"/>
  <c r="BV393" i="1"/>
  <c r="BN365" i="1"/>
  <c r="N356" i="1"/>
  <c r="BR346" i="1"/>
  <c r="R337" i="1"/>
  <c r="BV327" i="1"/>
  <c r="V318" i="1"/>
  <c r="BK433" i="1"/>
  <c r="Z390" i="1"/>
  <c r="CC364" i="1"/>
  <c r="AC355" i="1"/>
  <c r="CG345" i="1"/>
  <c r="AG336" i="1"/>
  <c r="CY479" i="1"/>
  <c r="BV348" i="1"/>
  <c r="BS475" i="1"/>
  <c r="Y347" i="1"/>
  <c r="CC326" i="1"/>
  <c r="AC317" i="1"/>
  <c r="Q429" i="1"/>
  <c r="BJ388" i="1"/>
  <c r="AJ364" i="1"/>
  <c r="CN354" i="1"/>
  <c r="AN345" i="1"/>
  <c r="CR335" i="1"/>
  <c r="AR326" i="1"/>
  <c r="CV316" i="1"/>
  <c r="AX370" i="1"/>
  <c r="AM331" i="1"/>
  <c r="AW307" i="1"/>
  <c r="DA297" i="1"/>
  <c r="BA288" i="1"/>
  <c r="DE278" i="1"/>
  <c r="BE269" i="1"/>
  <c r="DI259" i="1"/>
  <c r="BI250" i="1"/>
  <c r="I241" i="1"/>
  <c r="BM231" i="1"/>
  <c r="M222" i="1"/>
  <c r="BQ212" i="1"/>
  <c r="Q203" i="1"/>
  <c r="BU193" i="1"/>
  <c r="U184" i="1"/>
  <c r="AZ509" i="1"/>
  <c r="AX454" i="1"/>
  <c r="CG406" i="1"/>
  <c r="AW479" i="1"/>
  <c r="BL447" i="1"/>
  <c r="AV398" i="1"/>
  <c r="CB395" i="1"/>
  <c r="BO398" i="1"/>
  <c r="BX419" i="1"/>
  <c r="DH368" i="1"/>
  <c r="AG391" i="1"/>
  <c r="CN412" i="1"/>
  <c r="CY470" i="1"/>
  <c r="AA386" i="1"/>
  <c r="CD359" i="1"/>
  <c r="BO446" i="1"/>
  <c r="DE333" i="1"/>
  <c r="N359" i="1"/>
  <c r="BG436" i="1"/>
  <c r="AO333" i="1"/>
  <c r="Z367" i="1"/>
  <c r="AH329" i="1"/>
  <c r="AO366" i="1"/>
  <c r="S374" i="1"/>
  <c r="AO328" i="1"/>
  <c r="CZ365" i="1"/>
  <c r="DH327" i="1"/>
  <c r="I309" i="1"/>
  <c r="Q271" i="1"/>
  <c r="Y233" i="1"/>
  <c r="AG195" i="1"/>
  <c r="G371" i="1"/>
  <c r="AW331" i="1"/>
  <c r="V472" i="1"/>
  <c r="CW394" i="1"/>
  <c r="BU481" i="1"/>
  <c r="BT425" i="1"/>
  <c r="CS377" i="1"/>
  <c r="BD376" i="1"/>
  <c r="DI374" i="1"/>
  <c r="CJ373" i="1"/>
  <c r="BG416" i="1"/>
  <c r="Q391" i="1"/>
  <c r="BK475" i="1"/>
  <c r="AF412" i="1"/>
  <c r="L387" i="1"/>
  <c r="CA468" i="1"/>
  <c r="CQ410" i="1"/>
  <c r="BM381" i="1"/>
  <c r="DG443" i="1"/>
  <c r="AV405" i="1"/>
  <c r="AB380" i="1"/>
  <c r="CY438" i="1"/>
  <c r="S404" i="1"/>
  <c r="W384" i="1"/>
  <c r="DC369" i="1"/>
  <c r="BF397" i="1"/>
  <c r="AX363" i="1"/>
  <c r="CP350" i="1"/>
  <c r="N338" i="1"/>
  <c r="BF325" i="1"/>
  <c r="CX312" i="1"/>
  <c r="CP395" i="1"/>
  <c r="DI362" i="1"/>
  <c r="AW350" i="1"/>
  <c r="BY337" i="1"/>
  <c r="AA382" i="1"/>
  <c r="BS369" i="1"/>
  <c r="DF394" i="1"/>
  <c r="CL362" i="1"/>
  <c r="Z350" i="1"/>
  <c r="BB337" i="1"/>
  <c r="CT324" i="1"/>
  <c r="AH312" i="1"/>
  <c r="AL393" i="1"/>
  <c r="AS362" i="1"/>
  <c r="CK349" i="1"/>
  <c r="I337" i="1"/>
  <c r="AY381" i="1"/>
  <c r="BS370" i="1"/>
  <c r="AX411" i="1"/>
  <c r="BF373" i="1"/>
  <c r="BJ360" i="1"/>
  <c r="J351" i="1"/>
  <c r="BN341" i="1"/>
  <c r="N332" i="1"/>
  <c r="BR322" i="1"/>
  <c r="R313" i="1"/>
  <c r="DF407" i="1"/>
  <c r="J370" i="1"/>
  <c r="BY359" i="1"/>
  <c r="Y350" i="1"/>
  <c r="CC340" i="1"/>
  <c r="CA385" i="1"/>
  <c r="AX366" i="1"/>
  <c r="BF328" i="1"/>
  <c r="DE364" i="1"/>
  <c r="U331" i="1"/>
  <c r="BY321" i="1"/>
  <c r="Y312" i="1"/>
  <c r="AL406" i="1"/>
  <c r="CF368" i="1"/>
  <c r="AF359" i="1"/>
  <c r="CJ349" i="1"/>
  <c r="AJ340" i="1"/>
  <c r="CN330" i="1"/>
  <c r="AN321" i="1"/>
  <c r="W487" i="1"/>
  <c r="O349" i="1"/>
  <c r="CS311" i="1"/>
  <c r="AS302" i="1"/>
  <c r="CW292" i="1"/>
  <c r="AW283" i="1"/>
  <c r="DA273" i="1"/>
  <c r="BA264" i="1"/>
  <c r="DE254" i="1"/>
  <c r="BE245" i="1"/>
  <c r="DI235" i="1"/>
  <c r="BI226" i="1"/>
  <c r="I217" i="1"/>
  <c r="BM207" i="1"/>
  <c r="M198" i="1"/>
  <c r="BQ188" i="1"/>
  <c r="AA484" i="1"/>
  <c r="CY348" i="1"/>
  <c r="AI382" i="1"/>
  <c r="AL363" i="1"/>
  <c r="AT325" i="1"/>
  <c r="I363" i="1"/>
  <c r="BY330" i="1"/>
  <c r="Y321" i="1"/>
  <c r="BW509" i="1"/>
  <c r="Z403" i="1"/>
  <c r="DD367" i="1"/>
  <c r="BD358" i="1"/>
  <c r="DH348" i="1"/>
  <c r="BH339" i="1"/>
  <c r="H330" i="1"/>
  <c r="BL320" i="1"/>
  <c r="BU429" i="1"/>
  <c r="CB448" i="1"/>
  <c r="DH443" i="1"/>
  <c r="CR394" i="1"/>
  <c r="T392" i="1"/>
  <c r="AU397" i="1"/>
  <c r="BD418" i="1"/>
  <c r="DG510" i="1"/>
  <c r="BY389" i="1"/>
  <c r="BT411" i="1"/>
  <c r="DG464" i="1"/>
  <c r="G385" i="1"/>
  <c r="BJ358" i="1"/>
  <c r="BE429" i="1"/>
  <c r="CK332" i="1"/>
  <c r="CX357" i="1"/>
  <c r="BA424" i="1"/>
  <c r="BC391" i="1"/>
  <c r="AL366" i="1"/>
  <c r="AT328" i="1"/>
  <c r="BA365" i="1"/>
  <c r="BO370" i="1"/>
  <c r="BA327" i="1"/>
  <c r="H365" i="1"/>
  <c r="P327" i="1"/>
  <c r="U308" i="1"/>
  <c r="AC270" i="1"/>
  <c r="AK232" i="1"/>
  <c r="AS194" i="1"/>
  <c r="BC336" i="1"/>
  <c r="CT350" i="1"/>
  <c r="BQ350" i="1"/>
  <c r="M318" i="1"/>
  <c r="N412" i="1"/>
  <c r="L367" i="1"/>
  <c r="BD354" i="1"/>
  <c r="CF341" i="1"/>
  <c r="T329" i="1"/>
  <c r="BL316" i="1"/>
  <c r="BW356" i="1"/>
  <c r="CE318" i="1"/>
  <c r="AG304" i="1"/>
  <c r="CK294" i="1"/>
  <c r="AK285" i="1"/>
  <c r="CO275" i="1"/>
  <c r="AO266" i="1"/>
  <c r="CS256" i="1"/>
  <c r="AS247" i="1"/>
  <c r="CW237" i="1"/>
  <c r="AW228" i="1"/>
  <c r="DA218" i="1"/>
  <c r="BA209" i="1"/>
  <c r="DE199" i="1"/>
  <c r="BE190" i="1"/>
  <c r="DI180" i="1"/>
  <c r="BC356" i="1"/>
  <c r="BR400" i="1"/>
  <c r="CT338" i="1"/>
  <c r="V397" i="1"/>
  <c r="DI337" i="1"/>
  <c r="AW324" i="1"/>
  <c r="DA314" i="1"/>
  <c r="AH417" i="1"/>
  <c r="AP379" i="1"/>
  <c r="DH361" i="1"/>
  <c r="BH352" i="1"/>
  <c r="H343" i="1"/>
  <c r="BL333" i="1"/>
  <c r="L324" i="1"/>
  <c r="BP314" i="1"/>
  <c r="K360" i="1"/>
  <c r="S322" i="1"/>
  <c r="Q305" i="1"/>
  <c r="BU295" i="1"/>
  <c r="U286" i="1"/>
  <c r="BY276" i="1"/>
  <c r="Y267" i="1"/>
  <c r="CC257" i="1"/>
  <c r="AC248" i="1"/>
  <c r="CG238" i="1"/>
  <c r="AG229" i="1"/>
  <c r="CK219" i="1"/>
  <c r="AK210" i="1"/>
  <c r="CO200" i="1"/>
  <c r="AO191" i="1"/>
  <c r="CS181" i="1"/>
  <c r="AU381" i="1"/>
  <c r="AX362" i="1"/>
  <c r="BF324" i="1"/>
  <c r="U362" i="1"/>
  <c r="BA330" i="1"/>
  <c r="DE320" i="1"/>
  <c r="AY495" i="1"/>
  <c r="BZ404" i="1"/>
  <c r="AN368" i="1"/>
  <c r="CR358" i="1"/>
  <c r="AR349" i="1"/>
  <c r="CV339" i="1"/>
  <c r="AV330" i="1"/>
  <c r="DE420" i="1"/>
  <c r="T432" i="1"/>
  <c r="DH382" i="1"/>
  <c r="AJ380" i="1"/>
  <c r="AU393" i="1"/>
  <c r="BD414" i="1"/>
  <c r="DC479" i="1"/>
  <c r="AO384" i="1"/>
  <c r="BT407" i="1"/>
  <c r="CM447" i="1"/>
  <c r="CQ386" i="1"/>
  <c r="BJ354" i="1"/>
  <c r="AD411" i="1"/>
  <c r="AU386" i="1"/>
  <c r="CX353" i="1"/>
  <c r="CD408" i="1"/>
  <c r="AQ385" i="1"/>
  <c r="AP363" i="1"/>
  <c r="AX325" i="1"/>
  <c r="BE362" i="1"/>
  <c r="V404" i="1"/>
  <c r="BE324" i="1"/>
  <c r="L362" i="1"/>
  <c r="T324" i="1"/>
  <c r="Y305" i="1"/>
  <c r="AG267" i="1"/>
  <c r="AO229" i="1"/>
  <c r="AW191" i="1"/>
  <c r="S331" i="1"/>
  <c r="BJ345" i="1"/>
  <c r="AG345" i="1"/>
  <c r="CG316" i="1"/>
  <c r="BJ408" i="1"/>
  <c r="H366" i="1"/>
  <c r="AZ353" i="1"/>
  <c r="CR340" i="1"/>
  <c r="P328" i="1"/>
  <c r="BH315" i="1"/>
  <c r="CA353" i="1"/>
  <c r="CI315" i="1"/>
  <c r="BI303" i="1"/>
  <c r="I294" i="1"/>
  <c r="BM284" i="1"/>
  <c r="M275" i="1"/>
  <c r="BQ265" i="1"/>
  <c r="Q256" i="1"/>
  <c r="BU246" i="1"/>
  <c r="U237" i="1"/>
  <c r="BY227" i="1"/>
  <c r="Y218" i="1"/>
  <c r="CC208" i="1"/>
  <c r="AC199" i="1"/>
  <c r="CG189" i="1"/>
  <c r="AG180" i="1"/>
  <c r="BG353" i="1"/>
  <c r="CH388" i="1"/>
  <c r="CX335" i="1"/>
  <c r="AL385" i="1"/>
  <c r="I335" i="1"/>
  <c r="BY323" i="1"/>
  <c r="Y314" i="1"/>
  <c r="AL414" i="1"/>
  <c r="AT376" i="1"/>
  <c r="AF361" i="1"/>
  <c r="CJ351" i="1"/>
  <c r="AJ342" i="1"/>
  <c r="CN332" i="1"/>
  <c r="AN323" i="1"/>
  <c r="CR313" i="1"/>
  <c r="O357" i="1"/>
  <c r="W319" i="1"/>
  <c r="AS304" i="1"/>
  <c r="CW294" i="1"/>
  <c r="AW285" i="1"/>
  <c r="DA275" i="1"/>
  <c r="BA266" i="1"/>
  <c r="DE256" i="1"/>
  <c r="BE247" i="1"/>
  <c r="DI237" i="1"/>
  <c r="BI228" i="1"/>
  <c r="I219" i="1"/>
  <c r="BM209" i="1"/>
  <c r="M200" i="1"/>
  <c r="BQ190" i="1"/>
  <c r="Q181" i="1"/>
  <c r="AY378" i="1"/>
  <c r="BB359" i="1"/>
  <c r="BJ321" i="1"/>
  <c r="Y359" i="1"/>
  <c r="CC329" i="1"/>
  <c r="AC320" i="1"/>
  <c r="BS479" i="1"/>
  <c r="CD401" i="1"/>
  <c r="BP367" i="1"/>
  <c r="P358" i="1"/>
  <c r="BT348" i="1"/>
  <c r="T339" i="1"/>
  <c r="BX329" i="1"/>
  <c r="X320" i="1"/>
  <c r="CL420" i="1"/>
  <c r="CY343" i="1"/>
  <c r="BM310" i="1"/>
  <c r="M301" i="1"/>
  <c r="BQ291" i="1"/>
  <c r="Q282" i="1"/>
  <c r="BU272" i="1"/>
  <c r="U263" i="1"/>
  <c r="BY253" i="1"/>
  <c r="Y244" i="1"/>
  <c r="CC234" i="1"/>
  <c r="AC225" i="1"/>
  <c r="CG215" i="1"/>
  <c r="AG206" i="1"/>
  <c r="O362" i="1"/>
  <c r="BP311" i="1"/>
  <c r="P302" i="1"/>
  <c r="BT292" i="1"/>
  <c r="T283" i="1"/>
  <c r="BX273" i="1"/>
  <c r="X264" i="1"/>
  <c r="CB254" i="1"/>
  <c r="AB245" i="1"/>
  <c r="CF235" i="1"/>
  <c r="AF226" i="1"/>
  <c r="CJ216" i="1"/>
  <c r="AJ207" i="1"/>
  <c r="CN197" i="1"/>
  <c r="AN188" i="1"/>
  <c r="BK457" i="1"/>
  <c r="AE347" i="1"/>
  <c r="AU311" i="1"/>
  <c r="CY301" i="1"/>
  <c r="AY292" i="1"/>
  <c r="DC282" i="1"/>
  <c r="BC273" i="1"/>
  <c r="DG263" i="1"/>
  <c r="BG254" i="1"/>
  <c r="G245" i="1"/>
  <c r="BK235" i="1"/>
  <c r="K226" i="1"/>
  <c r="BO216" i="1"/>
  <c r="O207" i="1"/>
  <c r="BS197" i="1"/>
  <c r="CW203" i="1"/>
  <c r="DG350" i="1"/>
  <c r="AB310" i="1"/>
  <c r="CF300" i="1"/>
  <c r="AF291" i="1"/>
  <c r="CJ281" i="1"/>
  <c r="AJ272" i="1"/>
  <c r="BH429" i="1"/>
  <c r="AW392" i="1"/>
  <c r="W398" i="1"/>
  <c r="BS424" i="1"/>
  <c r="CO370" i="1"/>
  <c r="CJ394" i="1"/>
  <c r="BK418" i="1"/>
  <c r="DC478" i="1"/>
  <c r="CZ387" i="1"/>
  <c r="CQ411" i="1"/>
  <c r="AQ460" i="1"/>
  <c r="CP334" i="1"/>
  <c r="BQ359" i="1"/>
  <c r="AI450" i="1"/>
  <c r="Z334" i="1"/>
  <c r="DE358" i="1"/>
  <c r="BS487" i="1"/>
  <c r="BJ348" i="1"/>
  <c r="O469" i="1"/>
  <c r="BY347" i="1"/>
  <c r="AX318" i="1"/>
  <c r="CA457" i="1"/>
  <c r="AF347" i="1"/>
  <c r="AD401" i="1"/>
  <c r="AS290" i="1"/>
  <c r="BA252" i="1"/>
  <c r="BI214" i="1"/>
  <c r="BF400" i="1"/>
  <c r="AA372" i="1"/>
  <c r="AL315" i="1"/>
  <c r="U328" i="1"/>
  <c r="CY487" i="1"/>
  <c r="AT388" i="1"/>
  <c r="T361" i="1"/>
  <c r="BL348" i="1"/>
  <c r="CN335" i="1"/>
  <c r="AB323" i="1"/>
  <c r="BR419" i="1"/>
  <c r="CU338" i="1"/>
  <c r="AK309" i="1"/>
  <c r="CO299" i="1"/>
  <c r="AO290" i="1"/>
  <c r="CS280" i="1"/>
  <c r="AS271" i="1"/>
  <c r="CW261" i="1"/>
  <c r="AW252" i="1"/>
  <c r="DA242" i="1"/>
  <c r="BA233" i="1"/>
  <c r="DE223" i="1"/>
  <c r="BE214" i="1"/>
  <c r="DI204" i="1"/>
  <c r="BI195" i="1"/>
  <c r="I186" i="1"/>
  <c r="CX399" i="1"/>
  <c r="BO378" i="1"/>
  <c r="F359" i="1"/>
  <c r="N321" i="1"/>
  <c r="U358" i="1"/>
  <c r="BA329" i="1"/>
  <c r="DE319" i="1"/>
  <c r="BC475" i="1"/>
  <c r="BF399" i="1"/>
  <c r="H367" i="1"/>
  <c r="BL357" i="1"/>
  <c r="L348" i="1"/>
  <c r="BP338" i="1"/>
  <c r="P329" i="1"/>
  <c r="BT319" i="1"/>
  <c r="AH414" i="1"/>
  <c r="AI342" i="1"/>
  <c r="U310" i="1"/>
  <c r="BY300" i="1"/>
  <c r="Y291" i="1"/>
  <c r="CC281" i="1"/>
  <c r="AC272" i="1"/>
  <c r="CG262" i="1"/>
  <c r="AG253" i="1"/>
  <c r="CK243" i="1"/>
  <c r="AK234" i="1"/>
  <c r="CO224" i="1"/>
  <c r="AO215" i="1"/>
  <c r="CS205" i="1"/>
  <c r="AS196" i="1"/>
  <c r="CW186" i="1"/>
  <c r="BJ413" i="1"/>
  <c r="CD423" i="1"/>
  <c r="BV344" i="1"/>
  <c r="BV422" i="1"/>
  <c r="AS344" i="1"/>
  <c r="DI325" i="1"/>
  <c r="BI316" i="1"/>
  <c r="CS425" i="1"/>
  <c r="CX386" i="1"/>
  <c r="CV363" i="1"/>
  <c r="AV354" i="1"/>
  <c r="CZ344" i="1"/>
  <c r="AZ335" i="1"/>
  <c r="DD325" i="1"/>
  <c r="BD316" i="1"/>
  <c r="G367" i="1"/>
  <c r="O329" i="1"/>
  <c r="CS306" i="1"/>
  <c r="AS297" i="1"/>
  <c r="CW287" i="1"/>
  <c r="AW278" i="1"/>
  <c r="DA268" i="1"/>
  <c r="BA259" i="1"/>
  <c r="DE249" i="1"/>
  <c r="BE240" i="1"/>
  <c r="DI230" i="1"/>
  <c r="BI221" i="1"/>
  <c r="I212" i="1"/>
  <c r="BM194" i="1"/>
  <c r="O338" i="1"/>
  <c r="CV307" i="1"/>
  <c r="AV298" i="1"/>
  <c r="CZ288" i="1"/>
  <c r="AZ279" i="1"/>
  <c r="DD269" i="1"/>
  <c r="BD260" i="1"/>
  <c r="DH250" i="1"/>
  <c r="BH241" i="1"/>
  <c r="H232" i="1"/>
  <c r="BL222" i="1"/>
  <c r="L213" i="1"/>
  <c r="BP203" i="1"/>
  <c r="P194" i="1"/>
  <c r="BT184" i="1"/>
  <c r="BY419" i="1"/>
  <c r="K427" i="1"/>
  <c r="BS454" i="1"/>
  <c r="CS379" i="1"/>
  <c r="CN403" i="1"/>
  <c r="DC431" i="1"/>
  <c r="CC372" i="1"/>
  <c r="DD396" i="1"/>
  <c r="G421" i="1"/>
  <c r="BO375" i="1"/>
  <c r="CT343" i="1"/>
  <c r="CK368" i="1"/>
  <c r="AE375" i="1"/>
  <c r="AD343" i="1"/>
  <c r="U368" i="1"/>
  <c r="CY374" i="1"/>
  <c r="AP355" i="1"/>
  <c r="AX317" i="1"/>
  <c r="BE354" i="1"/>
  <c r="BZ345" i="1"/>
  <c r="BE316" i="1"/>
  <c r="L354" i="1"/>
  <c r="T316" i="1"/>
  <c r="Y297" i="1"/>
  <c r="AG259" i="1"/>
  <c r="AO221" i="1"/>
  <c r="AW183" i="1"/>
  <c r="BN342" i="1"/>
  <c r="BE325" i="1"/>
  <c r="DE477" i="1"/>
  <c r="DC453" i="1"/>
  <c r="BX482" i="1"/>
  <c r="BA421" i="1"/>
  <c r="BK435" i="1"/>
  <c r="BS430" i="1"/>
  <c r="I428" i="1"/>
  <c r="W458" i="1"/>
  <c r="BW408" i="1"/>
  <c r="BA380" i="1"/>
  <c r="DG439" i="1"/>
  <c r="AV404" i="1"/>
  <c r="L379" i="1"/>
  <c r="AM434" i="1"/>
  <c r="DG402" i="1"/>
  <c r="AK373" i="1"/>
  <c r="CV422" i="1"/>
  <c r="BL397" i="1"/>
  <c r="AB372" i="1"/>
  <c r="BS421" i="1"/>
  <c r="AI396" i="1"/>
  <c r="BK378" i="1"/>
  <c r="CU450" i="1"/>
  <c r="N382" i="1"/>
  <c r="AX359" i="1"/>
  <c r="CP346" i="1"/>
  <c r="AD334" i="1"/>
  <c r="BF321" i="1"/>
  <c r="AA444" i="1"/>
  <c r="AX380" i="1"/>
  <c r="DI358" i="1"/>
  <c r="AW346" i="1"/>
  <c r="CO333" i="1"/>
  <c r="AA378" i="1"/>
  <c r="CM440" i="1"/>
  <c r="BN379" i="1"/>
  <c r="CL358" i="1"/>
  <c r="Z346" i="1"/>
  <c r="BR333" i="1"/>
  <c r="CT320" i="1"/>
  <c r="S434" i="1"/>
  <c r="CX377" i="1"/>
  <c r="AS358" i="1"/>
  <c r="CK345" i="1"/>
  <c r="Y333" i="1"/>
  <c r="AY377" i="1"/>
  <c r="BG480" i="1"/>
  <c r="BN399" i="1"/>
  <c r="J367" i="1"/>
  <c r="BN357" i="1"/>
  <c r="N348" i="1"/>
  <c r="BR338" i="1"/>
  <c r="R329" i="1"/>
  <c r="BV319" i="1"/>
  <c r="AE457" i="1"/>
  <c r="R396" i="1"/>
  <c r="Y366" i="1"/>
  <c r="CC356" i="1"/>
  <c r="AC347" i="1"/>
  <c r="CG337" i="1"/>
  <c r="BK373" i="1"/>
  <c r="BN354" i="1"/>
  <c r="BV316" i="1"/>
  <c r="Q353" i="1"/>
  <c r="Y328" i="1"/>
  <c r="CC318" i="1"/>
  <c r="BO450" i="1"/>
  <c r="BB394" i="1"/>
  <c r="CJ365" i="1"/>
  <c r="AJ356" i="1"/>
  <c r="CN346" i="1"/>
  <c r="AN337" i="1"/>
  <c r="CR327" i="1"/>
  <c r="AR318" i="1"/>
  <c r="R394" i="1"/>
  <c r="AE337" i="1"/>
  <c r="CW308" i="1"/>
  <c r="AW299" i="1"/>
  <c r="DA289" i="1"/>
  <c r="BA280" i="1"/>
  <c r="DE270" i="1"/>
  <c r="BE261" i="1"/>
  <c r="DI251" i="1"/>
  <c r="BI242" i="1"/>
  <c r="I233" i="1"/>
  <c r="BM223" i="1"/>
  <c r="M214" i="1"/>
  <c r="BQ204" i="1"/>
  <c r="Q195" i="1"/>
  <c r="BU185" i="1"/>
  <c r="AT393" i="1"/>
  <c r="K337" i="1"/>
  <c r="AY370" i="1"/>
  <c r="BB351" i="1"/>
  <c r="BJ313" i="1"/>
  <c r="Y351" i="1"/>
  <c r="CC327" i="1"/>
  <c r="AC318" i="1"/>
  <c r="S438" i="1"/>
  <c r="AP391" i="1"/>
  <c r="DH364" i="1"/>
  <c r="BH355" i="1"/>
  <c r="H346" i="1"/>
  <c r="BL336" i="1"/>
  <c r="L327" i="1"/>
  <c r="BP317" i="1"/>
  <c r="AL379" i="1"/>
  <c r="CW411" i="1"/>
  <c r="Q416" i="1"/>
  <c r="CU421" i="1"/>
  <c r="CU449" i="1"/>
  <c r="BY378" i="1"/>
  <c r="BT402" i="1"/>
  <c r="AI429" i="1"/>
  <c r="BI371" i="1"/>
  <c r="CJ395" i="1"/>
  <c r="CQ419" i="1"/>
  <c r="AU374" i="1"/>
  <c r="BZ342" i="1"/>
  <c r="BQ367" i="1"/>
  <c r="K374" i="1"/>
  <c r="J342" i="1"/>
  <c r="DE366" i="1"/>
  <c r="G374" i="1"/>
  <c r="BB354" i="1"/>
  <c r="BJ316" i="1"/>
  <c r="BQ353" i="1"/>
  <c r="R342" i="1"/>
  <c r="BQ315" i="1"/>
  <c r="X353" i="1"/>
  <c r="AF315" i="1"/>
  <c r="AK296" i="1"/>
  <c r="AS258" i="1"/>
  <c r="BA220" i="1"/>
  <c r="BI182" i="1"/>
  <c r="K384" i="1"/>
  <c r="V327" i="1"/>
  <c r="Q331" i="1"/>
  <c r="Y313" i="1"/>
  <c r="BZ396" i="1"/>
  <c r="L363" i="1"/>
  <c r="BD350" i="1"/>
  <c r="CV337" i="1"/>
  <c r="T325" i="1"/>
  <c r="BL312" i="1"/>
  <c r="CM344" i="1"/>
  <c r="CK310" i="1"/>
  <c r="AK301" i="1"/>
  <c r="CO291" i="1"/>
  <c r="AO282" i="1"/>
  <c r="CS272" i="1"/>
  <c r="AS263" i="1"/>
  <c r="CW253" i="1"/>
  <c r="AW244" i="1"/>
  <c r="DA234" i="1"/>
  <c r="BA225" i="1"/>
  <c r="DE215" i="1"/>
  <c r="BE206" i="1"/>
  <c r="DI196" i="1"/>
  <c r="BI187" i="1"/>
  <c r="BR423" i="1"/>
  <c r="BG384" i="1"/>
  <c r="DB364" i="1"/>
  <c r="F327" i="1"/>
  <c r="M364" i="1"/>
  <c r="DA330" i="1"/>
  <c r="BA321" i="1"/>
  <c r="AJ549" i="1"/>
  <c r="AX405" i="1"/>
  <c r="BH368" i="1"/>
  <c r="H359" i="1"/>
  <c r="BL349" i="1"/>
  <c r="L340" i="1"/>
  <c r="BP330" i="1"/>
  <c r="P321" i="1"/>
  <c r="DC472" i="1"/>
  <c r="AA348" i="1"/>
  <c r="BU311" i="1"/>
  <c r="U302" i="1"/>
  <c r="BY292" i="1"/>
  <c r="Y283" i="1"/>
  <c r="CC273" i="1"/>
  <c r="AC264" i="1"/>
  <c r="CG254" i="1"/>
  <c r="AG245" i="1"/>
  <c r="CK235" i="1"/>
  <c r="AK226" i="1"/>
  <c r="CO216" i="1"/>
  <c r="AO207" i="1"/>
  <c r="CS197" i="1"/>
  <c r="AS188" i="1"/>
  <c r="DG469" i="1"/>
  <c r="BK369" i="1"/>
  <c r="BN350" i="1"/>
  <c r="BV312" i="1"/>
  <c r="AK350" i="1"/>
  <c r="BE327" i="1"/>
  <c r="DI317" i="1"/>
  <c r="K444" i="1"/>
  <c r="CP392" i="1"/>
  <c r="AR365" i="1"/>
  <c r="CV355" i="1"/>
  <c r="AV346" i="1"/>
  <c r="CZ336" i="1"/>
  <c r="AZ327" i="1"/>
  <c r="DD481" i="1"/>
  <c r="AG404" i="1"/>
  <c r="G410" i="1"/>
  <c r="CU433" i="1"/>
  <c r="CO374" i="1"/>
  <c r="BT398" i="1"/>
  <c r="BK422" i="1"/>
  <c r="AQ509" i="1"/>
  <c r="CJ391" i="1"/>
  <c r="CQ415" i="1"/>
  <c r="BK370" i="1"/>
  <c r="BZ338" i="1"/>
  <c r="BQ363" i="1"/>
  <c r="AA370" i="1"/>
  <c r="J338" i="1"/>
  <c r="DE362" i="1"/>
  <c r="K371" i="1"/>
  <c r="DI465" i="1"/>
  <c r="BL480" i="1"/>
  <c r="T458" i="1"/>
  <c r="AR437" i="1"/>
  <c r="DH473" i="1"/>
  <c r="BG465" i="1"/>
  <c r="AC427" i="1"/>
  <c r="AU424" i="1"/>
  <c r="CN422" i="1"/>
  <c r="BB444" i="1"/>
  <c r="M486" i="1"/>
  <c r="BI474" i="1"/>
  <c r="T424" i="1"/>
  <c r="AS376" i="1"/>
  <c r="DH374" i="1"/>
  <c r="CW375" i="1"/>
  <c r="BP412" i="1"/>
  <c r="BX374" i="1"/>
  <c r="AM411" i="1"/>
  <c r="BI370" i="1"/>
  <c r="L407" i="1"/>
  <c r="T369" i="1"/>
  <c r="BW405" i="1"/>
  <c r="CI477" i="1"/>
  <c r="AB400" i="1"/>
  <c r="O472" i="1"/>
  <c r="DC398" i="1"/>
  <c r="BS455" i="1"/>
  <c r="R347" i="1"/>
  <c r="DC448" i="1"/>
  <c r="CC346" i="1"/>
  <c r="BK445" i="1"/>
  <c r="BF346" i="1"/>
  <c r="CU438" i="1"/>
  <c r="M346" i="1"/>
  <c r="BJ474" i="1"/>
  <c r="V443" i="1"/>
  <c r="BE395" i="1"/>
  <c r="L547" i="1"/>
  <c r="AC482" i="1"/>
  <c r="BT465" i="1"/>
  <c r="CJ425" i="1"/>
  <c r="AS407" i="1"/>
  <c r="DI377" i="1"/>
  <c r="BL414" i="1"/>
  <c r="BT376" i="1"/>
  <c r="S413" i="1"/>
  <c r="U375" i="1"/>
  <c r="CR411" i="1"/>
  <c r="CZ373" i="1"/>
  <c r="BP479" i="1"/>
  <c r="BY403" i="1"/>
  <c r="AY409" i="1"/>
  <c r="AI433" i="1"/>
  <c r="BI374" i="1"/>
  <c r="BD398" i="1"/>
  <c r="AU422" i="1"/>
  <c r="BS504" i="1"/>
  <c r="BT391" i="1"/>
  <c r="AZ439" i="1"/>
  <c r="P490" i="1"/>
  <c r="DD467" i="1"/>
  <c r="BP446" i="1"/>
  <c r="CR426" i="1"/>
  <c r="BA454" i="1"/>
  <c r="X478" i="1"/>
  <c r="CF454" i="1"/>
  <c r="DH434" i="1"/>
  <c r="BP462" i="1"/>
  <c r="BW453" i="1"/>
  <c r="CF423" i="1"/>
  <c r="AM422" i="1"/>
  <c r="H421" i="1"/>
  <c r="CQ496" i="1"/>
  <c r="BE453" i="1"/>
  <c r="BU465" i="1"/>
  <c r="AQ505" i="1"/>
  <c r="BQ374" i="1"/>
  <c r="AB373" i="1"/>
  <c r="AK375" i="1"/>
  <c r="DH411" i="1"/>
  <c r="L374" i="1"/>
  <c r="CE410" i="1"/>
  <c r="DA369" i="1"/>
  <c r="BD406" i="1"/>
  <c r="BX535" i="1"/>
  <c r="K405" i="1"/>
  <c r="CM474" i="1"/>
  <c r="BT399" i="1"/>
  <c r="S469" i="1"/>
  <c r="AQ398" i="1"/>
  <c r="S446" i="1"/>
  <c r="BJ346" i="1"/>
  <c r="BC439" i="1"/>
  <c r="Q346" i="1"/>
  <c r="K436" i="1"/>
  <c r="CX345" i="1"/>
  <c r="AS430" i="1"/>
  <c r="BE345" i="1"/>
  <c r="R463" i="1"/>
  <c r="CL440" i="1"/>
  <c r="Q393" i="1"/>
  <c r="CE506" i="1"/>
  <c r="CS479" i="1"/>
  <c r="H465" i="1"/>
  <c r="X425" i="1"/>
  <c r="CK406" i="1"/>
  <c r="AW377" i="1"/>
  <c r="DD413" i="1"/>
  <c r="H376" i="1"/>
  <c r="BK412" i="1"/>
  <c r="BM374" i="1"/>
  <c r="AF411" i="1"/>
  <c r="BC464" i="1"/>
  <c r="DF444" i="1"/>
  <c r="T453" i="1"/>
  <c r="CF434" i="1"/>
  <c r="CY460" i="1"/>
  <c r="BR482" i="1"/>
  <c r="AB463" i="1"/>
  <c r="CV442" i="1"/>
  <c r="CM517" i="1"/>
  <c r="BO451" i="1"/>
  <c r="AK421" i="1"/>
  <c r="AV418" i="1"/>
  <c r="DG416" i="1"/>
  <c r="CB415" i="1"/>
  <c r="AD463" i="1"/>
  <c r="X479" i="1"/>
  <c r="BI442" i="1"/>
  <c r="CQ470" i="1"/>
  <c r="AG369" i="1"/>
  <c r="W512" i="1"/>
  <c r="AO372" i="1"/>
  <c r="H409" i="1"/>
  <c r="P371" i="1"/>
  <c r="CI407" i="1"/>
  <c r="O498" i="1"/>
  <c r="BH403" i="1"/>
  <c r="BC486" i="1"/>
  <c r="O402" i="1"/>
  <c r="DG459" i="1"/>
  <c r="BX396" i="1"/>
  <c r="AM454" i="1"/>
  <c r="AU395" i="1"/>
  <c r="AX419" i="1"/>
  <c r="BN343" i="1"/>
  <c r="CH417" i="1"/>
  <c r="U343" i="1"/>
  <c r="CX416" i="1"/>
  <c r="DB342" i="1"/>
  <c r="AD415" i="1"/>
  <c r="BI342" i="1"/>
  <c r="BA489" i="1"/>
  <c r="DB428" i="1"/>
  <c r="Q451" i="1"/>
  <c r="X480" i="1"/>
  <c r="I465" i="1"/>
  <c r="L462" i="1"/>
  <c r="DG502" i="1"/>
  <c r="CO403" i="1"/>
  <c r="BA374" i="1"/>
  <c r="DH410" i="1"/>
  <c r="L373" i="1"/>
  <c r="BO409" i="1"/>
  <c r="BQ371" i="1"/>
  <c r="AJ408" i="1"/>
  <c r="AR370" i="1"/>
  <c r="DC473" i="1"/>
  <c r="BA389" i="1"/>
  <c r="AA395" i="1"/>
  <c r="AM423" i="1"/>
  <c r="CK369" i="1"/>
  <c r="CF393" i="1"/>
  <c r="BW417" i="1"/>
  <c r="AA474" i="1"/>
  <c r="CV408" i="1"/>
  <c r="CK410" i="1"/>
  <c r="CI442" i="1"/>
  <c r="CR400" i="1"/>
  <c r="CG369" i="1"/>
  <c r="AM486" i="1"/>
  <c r="BS389" i="1"/>
  <c r="DF362" i="1"/>
  <c r="BB312" i="1"/>
  <c r="AS337" i="1"/>
  <c r="AP362" i="1"/>
  <c r="S503" i="1"/>
  <c r="CG336" i="1"/>
  <c r="AL372" i="1"/>
  <c r="CL331" i="1"/>
  <c r="CT368" i="1"/>
  <c r="AA384" i="1"/>
  <c r="CS330" i="1"/>
  <c r="AZ368" i="1"/>
  <c r="BH330" i="1"/>
  <c r="BM311" i="1"/>
  <c r="BU273" i="1"/>
  <c r="CC235" i="1"/>
  <c r="CK197" i="1"/>
  <c r="AZ453" i="1"/>
  <c r="BX454" i="1"/>
  <c r="AO398" i="1"/>
  <c r="BH405" i="1"/>
  <c r="O404" i="1"/>
  <c r="CN402" i="1"/>
  <c r="CI428" i="1"/>
  <c r="DC400" i="1"/>
  <c r="CG372" i="1"/>
  <c r="H422" i="1"/>
  <c r="CB396" i="1"/>
  <c r="AR371" i="1"/>
  <c r="BS420" i="1"/>
  <c r="AI395" i="1"/>
  <c r="BW486" i="1"/>
  <c r="X415" i="1"/>
  <c r="CR389" i="1"/>
  <c r="W482" i="1"/>
  <c r="CY413" i="1"/>
  <c r="BO388" i="1"/>
  <c r="CE503" i="1"/>
  <c r="N362" i="1"/>
  <c r="CH336" i="1"/>
  <c r="CU486" i="1"/>
  <c r="BY361" i="1"/>
  <c r="AO336" i="1"/>
  <c r="AA488" i="1"/>
  <c r="BB361" i="1"/>
  <c r="R336" i="1"/>
  <c r="AY474" i="1"/>
  <c r="I361" i="1"/>
  <c r="CC335" i="1"/>
  <c r="BO369" i="1"/>
  <c r="AP369" i="1"/>
  <c r="F350" i="1"/>
  <c r="J331" i="1"/>
  <c r="AB523" i="1"/>
  <c r="Q368" i="1"/>
  <c r="U349" i="1"/>
  <c r="AE381" i="1"/>
  <c r="AP324" i="1"/>
  <c r="Q330" i="1"/>
  <c r="S486" i="1"/>
  <c r="CB367" i="1"/>
  <c r="CF348" i="1"/>
  <c r="CJ329" i="1"/>
  <c r="M426" i="1"/>
  <c r="CO310" i="1"/>
  <c r="CS291" i="1"/>
  <c r="CW272" i="1"/>
  <c r="DA253" i="1"/>
  <c r="DE234" i="1"/>
  <c r="DI215" i="1"/>
  <c r="I197" i="1"/>
  <c r="BQ424" i="1"/>
  <c r="S378" i="1"/>
  <c r="AD321" i="1"/>
  <c r="BU329" i="1"/>
  <c r="CX489" i="1"/>
  <c r="P485" i="1"/>
  <c r="BA448" i="1"/>
  <c r="BK478" i="1"/>
  <c r="CG370" i="1"/>
  <c r="AR369" i="1"/>
  <c r="CY512" i="1"/>
  <c r="BC504" i="1"/>
  <c r="S414" i="1"/>
  <c r="DA387" i="1"/>
  <c r="CA463" i="1"/>
  <c r="CV409" i="1"/>
  <c r="CB384" i="1"/>
  <c r="AY457" i="1"/>
  <c r="BC408" i="1"/>
  <c r="DA378" i="1"/>
  <c r="BG434" i="1"/>
  <c r="H403" i="1"/>
  <c r="CR377" i="1"/>
  <c r="AU430" i="1"/>
  <c r="CI401" i="1"/>
  <c r="CM381" i="1"/>
  <c r="CZ427" i="1"/>
  <c r="AA426" i="1"/>
  <c r="O444" i="1"/>
  <c r="AI465" i="1"/>
  <c r="DI381" i="1"/>
  <c r="BP405" i="1"/>
  <c r="K439" i="1"/>
  <c r="BE374" i="1"/>
  <c r="CF398" i="1"/>
  <c r="CI512" i="1"/>
  <c r="W417" i="1"/>
  <c r="DG391" i="1"/>
  <c r="CU371" i="1"/>
  <c r="AP365" i="1"/>
  <c r="V340" i="1"/>
  <c r="CP314" i="1"/>
  <c r="DA364" i="1"/>
  <c r="CG339" i="1"/>
  <c r="BK371" i="1"/>
  <c r="CD364" i="1"/>
  <c r="BJ339" i="1"/>
  <c r="Z314" i="1"/>
  <c r="AK364" i="1"/>
  <c r="Q339" i="1"/>
  <c r="O372" i="1"/>
  <c r="AX379" i="1"/>
  <c r="BJ352" i="1"/>
  <c r="BN333" i="1"/>
  <c r="BR314" i="1"/>
  <c r="BB385" i="1"/>
  <c r="BI363" i="1"/>
  <c r="I354" i="1"/>
  <c r="BM344" i="1"/>
  <c r="M335" i="1"/>
  <c r="CH420" i="1"/>
  <c r="CX343" i="1"/>
  <c r="DB414" i="1"/>
  <c r="BA342" i="1"/>
  <c r="BI325" i="1"/>
  <c r="I316" i="1"/>
  <c r="CD421" i="1"/>
  <c r="CL383" i="1"/>
  <c r="P363" i="1"/>
  <c r="BT353" i="1"/>
  <c r="T344" i="1"/>
  <c r="BX334" i="1"/>
  <c r="X325" i="1"/>
  <c r="CB315" i="1"/>
  <c r="BG364" i="1"/>
  <c r="BO326" i="1"/>
  <c r="AC306" i="1"/>
  <c r="CG296" i="1"/>
  <c r="AG287" i="1"/>
  <c r="CK277" i="1"/>
  <c r="AK268" i="1"/>
  <c r="CO258" i="1"/>
  <c r="AO249" i="1"/>
  <c r="CS239" i="1"/>
  <c r="AS230" i="1"/>
  <c r="CW220" i="1"/>
  <c r="AW211" i="1"/>
  <c r="DA201" i="1"/>
  <c r="BA192" i="1"/>
  <c r="DE182" i="1"/>
  <c r="CD439" i="1"/>
  <c r="BB435" i="1"/>
  <c r="AO481" i="1"/>
  <c r="CB486" i="1"/>
  <c r="AO473" i="1"/>
  <c r="CB463" i="1"/>
  <c r="CR423" i="1"/>
  <c r="BA405" i="1"/>
  <c r="M376" i="1"/>
  <c r="BT412" i="1"/>
  <c r="CB374" i="1"/>
  <c r="AA411" i="1"/>
  <c r="AC373" i="1"/>
  <c r="CZ409" i="1"/>
  <c r="DH371" i="1"/>
  <c r="BW435" i="1"/>
  <c r="CY415" i="1"/>
  <c r="AM403" i="1"/>
  <c r="AK390" i="1"/>
  <c r="Q375" i="1"/>
  <c r="W473" i="1"/>
  <c r="DI424" i="1"/>
  <c r="BX411" i="1"/>
  <c r="L399" i="1"/>
  <c r="BD386" i="1"/>
  <c r="CF373" i="1"/>
  <c r="S465" i="1"/>
  <c r="DG422" i="1"/>
  <c r="AE410" i="1"/>
  <c r="BW397" i="1"/>
  <c r="CK380" i="1"/>
  <c r="O514" i="1"/>
  <c r="BS441" i="1"/>
  <c r="BL417" i="1"/>
  <c r="CN404" i="1"/>
  <c r="AB392" i="1"/>
  <c r="BT379" i="1"/>
  <c r="W496" i="1"/>
  <c r="BK436" i="1"/>
  <c r="AI416" i="1"/>
  <c r="BK403" i="1"/>
  <c r="DC390" i="1"/>
  <c r="BO383" i="1"/>
  <c r="CQ370" i="1"/>
  <c r="BV401" i="1"/>
  <c r="BB364" i="1"/>
  <c r="CD351" i="1"/>
  <c r="R339" i="1"/>
  <c r="BJ326" i="1"/>
  <c r="CL313" i="1"/>
  <c r="DF399" i="1"/>
  <c r="I364" i="1"/>
  <c r="AK351" i="1"/>
  <c r="CC338" i="1"/>
  <c r="AE383" i="1"/>
  <c r="BG370" i="1"/>
  <c r="R399" i="1"/>
  <c r="CP363" i="1"/>
  <c r="N351" i="1"/>
  <c r="BF338" i="1"/>
  <c r="CX325" i="1"/>
  <c r="V313" i="1"/>
  <c r="BB397" i="1"/>
  <c r="AW363" i="1"/>
  <c r="BY350" i="1"/>
  <c r="M338" i="1"/>
  <c r="BC382" i="1"/>
  <c r="AQ371" i="1"/>
  <c r="AT414" i="1"/>
  <c r="BB376" i="1"/>
  <c r="AH361" i="1"/>
  <c r="CL351" i="1"/>
  <c r="AL342" i="1"/>
  <c r="CP332" i="1"/>
  <c r="AP323" i="1"/>
  <c r="CT313" i="1"/>
  <c r="DB410" i="1"/>
  <c r="F373" i="1"/>
  <c r="AW360" i="1"/>
  <c r="DA350" i="1"/>
  <c r="BA341" i="1"/>
  <c r="DC389" i="1"/>
  <c r="DF370" i="1"/>
  <c r="BB331" i="1"/>
  <c r="DA367" i="1"/>
  <c r="CW331" i="1"/>
  <c r="AW322" i="1"/>
  <c r="DA312" i="1"/>
  <c r="AH409" i="1"/>
  <c r="AP371" i="1"/>
  <c r="DH359" i="1"/>
  <c r="BH350" i="1"/>
  <c r="H341" i="1"/>
  <c r="BL331" i="1"/>
  <c r="L322" i="1"/>
  <c r="BP312" i="1"/>
  <c r="K352" i="1"/>
  <c r="S314" i="1"/>
  <c r="Q303" i="1"/>
  <c r="BU293" i="1"/>
  <c r="U284" i="1"/>
  <c r="BY274" i="1"/>
  <c r="Y265" i="1"/>
  <c r="CC255" i="1"/>
  <c r="AC246" i="1"/>
  <c r="CG236" i="1"/>
  <c r="AG227" i="1"/>
  <c r="CK217" i="1"/>
  <c r="AK208" i="1"/>
  <c r="CO198" i="1"/>
  <c r="AO189" i="1"/>
  <c r="CS179" i="1"/>
  <c r="CU351" i="1"/>
  <c r="BG385" i="1"/>
  <c r="AH366" i="1"/>
  <c r="AP328" i="1"/>
  <c r="DI365" i="1"/>
  <c r="BX394" i="1"/>
  <c r="AL459" i="1"/>
  <c r="CW408" i="1"/>
  <c r="BX438" i="1"/>
  <c r="AO382" i="1"/>
  <c r="BH389" i="1"/>
  <c r="BM390" i="1"/>
  <c r="CN386" i="1"/>
  <c r="DC420" i="1"/>
  <c r="BS395" i="1"/>
  <c r="AA505" i="1"/>
  <c r="CB416" i="1"/>
  <c r="AR391" i="1"/>
  <c r="AE488" i="1"/>
  <c r="AI415" i="1"/>
  <c r="AK387" i="1"/>
  <c r="DC462" i="1"/>
  <c r="CR409" i="1"/>
  <c r="T386" i="1"/>
  <c r="AV373" i="1"/>
  <c r="AU464" i="1"/>
  <c r="CM422" i="1"/>
  <c r="K410" i="1"/>
  <c r="BC397" i="1"/>
  <c r="CU384" i="1"/>
  <c r="AQ377" i="1"/>
  <c r="CY431" i="1"/>
  <c r="AP377" i="1"/>
  <c r="AD358" i="1"/>
  <c r="BV345" i="1"/>
  <c r="J333" i="1"/>
  <c r="AL320" i="1"/>
  <c r="AK428" i="1"/>
  <c r="BZ375" i="1"/>
  <c r="CO357" i="1"/>
  <c r="AC345" i="1"/>
  <c r="BU332" i="1"/>
  <c r="G377" i="1"/>
  <c r="BQ426" i="1"/>
  <c r="CP374" i="1"/>
  <c r="BR357" i="1"/>
  <c r="F345" i="1"/>
  <c r="AX332" i="1"/>
  <c r="BZ319" i="1"/>
  <c r="BJ423" i="1"/>
  <c r="V373" i="1"/>
  <c r="Y357" i="1"/>
  <c r="BQ344" i="1"/>
  <c r="W391" i="1"/>
  <c r="AE376" i="1"/>
  <c r="W459" i="1"/>
  <c r="F396" i="1"/>
  <c r="V366" i="1"/>
  <c r="BZ356" i="1"/>
  <c r="Z347" i="1"/>
  <c r="CD337" i="1"/>
  <c r="AD328" i="1"/>
  <c r="CH318" i="1"/>
  <c r="G443" i="1"/>
  <c r="BN392" i="1"/>
  <c r="AK365" i="1"/>
  <c r="CO355" i="1"/>
  <c r="AO346" i="1"/>
  <c r="CS336" i="1"/>
  <c r="DG369" i="1"/>
  <c r="F351" i="1"/>
  <c r="N313" i="1"/>
  <c r="BM349" i="1"/>
  <c r="AK327" i="1"/>
  <c r="CO317" i="1"/>
  <c r="AQ436" i="1"/>
  <c r="CX390" i="1"/>
  <c r="CV364" i="1"/>
  <c r="AV355" i="1"/>
  <c r="CZ345" i="1"/>
  <c r="AZ336" i="1"/>
  <c r="DD326" i="1"/>
  <c r="BD317" i="1"/>
  <c r="CX379" i="1"/>
  <c r="CA333" i="1"/>
  <c r="DI307" i="1"/>
  <c r="BI298" i="1"/>
  <c r="I289" i="1"/>
  <c r="BM279" i="1"/>
  <c r="M270" i="1"/>
  <c r="BQ260" i="1"/>
  <c r="Q251" i="1"/>
  <c r="BU241" i="1"/>
  <c r="U232" i="1"/>
  <c r="BY222" i="1"/>
  <c r="Y213" i="1"/>
  <c r="CC203" i="1"/>
  <c r="AC194" i="1"/>
  <c r="CG184" i="1"/>
  <c r="BI509" i="1"/>
  <c r="BJ477" i="1"/>
  <c r="AC416" i="1"/>
  <c r="BY397" i="1"/>
  <c r="Y393" i="1"/>
  <c r="CV472" i="1"/>
  <c r="DD430" i="1"/>
  <c r="BM412" i="1"/>
  <c r="M384" i="1"/>
  <c r="CF419" i="1"/>
  <c r="CN381" i="1"/>
  <c r="AM418" i="1"/>
  <c r="AO380" i="1"/>
  <c r="H417" i="1"/>
  <c r="P379" i="1"/>
  <c r="S445" i="1"/>
  <c r="AI418" i="1"/>
  <c r="CA405" i="1"/>
  <c r="O393" i="1"/>
  <c r="BE377" i="1"/>
  <c r="CQ483" i="1"/>
  <c r="CG429" i="1"/>
  <c r="H414" i="1"/>
  <c r="AZ401" i="1"/>
  <c r="CR388" i="1"/>
  <c r="P376" i="1"/>
  <c r="W478" i="1"/>
  <c r="CY426" i="1"/>
  <c r="BS412" i="1"/>
  <c r="G400" i="1"/>
  <c r="DA383" i="1"/>
  <c r="AO370" i="1"/>
  <c r="O451" i="1"/>
  <c r="CZ419" i="1"/>
  <c r="X407" i="1"/>
  <c r="BP394" i="1"/>
  <c r="DH381" i="1"/>
  <c r="AF369" i="1"/>
  <c r="G446" i="1"/>
  <c r="BW418" i="1"/>
  <c r="CY405" i="1"/>
  <c r="AM393" i="1"/>
  <c r="AY386" i="1"/>
  <c r="AA373" i="1"/>
  <c r="R411" i="1"/>
  <c r="CP366" i="1"/>
  <c r="N354" i="1"/>
  <c r="BF341" i="1"/>
  <c r="CX328" i="1"/>
  <c r="V316" i="1"/>
  <c r="BB409" i="1"/>
  <c r="AW366" i="1"/>
  <c r="BY353" i="1"/>
  <c r="M341" i="1"/>
  <c r="DG385" i="1"/>
  <c r="CU372" i="1"/>
  <c r="BR408" i="1"/>
  <c r="Z366" i="1"/>
  <c r="BB353" i="1"/>
  <c r="CT340" i="1"/>
  <c r="AH328" i="1"/>
  <c r="BJ315" i="1"/>
  <c r="DB406" i="1"/>
  <c r="CK365" i="1"/>
  <c r="I353" i="1"/>
  <c r="BA340" i="1"/>
  <c r="DC384" i="1"/>
  <c r="S373" i="1"/>
  <c r="BF421" i="1"/>
  <c r="BN383" i="1"/>
  <c r="J363" i="1"/>
  <c r="BN353" i="1"/>
  <c r="N344" i="1"/>
  <c r="BR334" i="1"/>
  <c r="R325" i="1"/>
  <c r="BV315" i="1"/>
  <c r="J418" i="1"/>
  <c r="R380" i="1"/>
  <c r="Y362" i="1"/>
  <c r="CC352" i="1"/>
  <c r="AC343" i="1"/>
  <c r="CG333" i="1"/>
  <c r="AX399" i="1"/>
  <c r="BN338" i="1"/>
  <c r="BR393" i="1"/>
  <c r="Q337" i="1"/>
  <c r="Y324" i="1"/>
  <c r="CC314" i="1"/>
  <c r="AT416" i="1"/>
  <c r="BB378" i="1"/>
  <c r="CJ361" i="1"/>
  <c r="AJ352" i="1"/>
  <c r="CN342" i="1"/>
  <c r="AN333" i="1"/>
  <c r="CR323" i="1"/>
  <c r="AR314" i="1"/>
  <c r="W359" i="1"/>
  <c r="AE321" i="1"/>
  <c r="CW304" i="1"/>
  <c r="AW295" i="1"/>
  <c r="DA285" i="1"/>
  <c r="BA276" i="1"/>
  <c r="DE266" i="1"/>
  <c r="BE257" i="1"/>
  <c r="DI247" i="1"/>
  <c r="BI238" i="1"/>
  <c r="I229" i="1"/>
  <c r="BM219" i="1"/>
  <c r="M210" i="1"/>
  <c r="BQ200" i="1"/>
  <c r="Q191" i="1"/>
  <c r="BU181" i="1"/>
  <c r="DG358" i="1"/>
  <c r="K321" i="1"/>
  <c r="DF386" i="1"/>
  <c r="BB335" i="1"/>
  <c r="CX385" i="1"/>
  <c r="Y335" i="1"/>
  <c r="CC323" i="1"/>
  <c r="CR495" i="1"/>
  <c r="BO496" i="1"/>
  <c r="AO423" i="1"/>
  <c r="CK404" i="1"/>
  <c r="AW395" i="1"/>
  <c r="BX474" i="1"/>
  <c r="CF432" i="1"/>
  <c r="AO414" i="1"/>
  <c r="BA386" i="1"/>
  <c r="BH421" i="1"/>
  <c r="BP383" i="1"/>
  <c r="O420" i="1"/>
  <c r="BY382" i="1"/>
  <c r="CN418" i="1"/>
  <c r="CV380" i="1"/>
  <c r="BG447" i="1"/>
  <c r="CU418" i="1"/>
  <c r="AI406" i="1"/>
  <c r="CA393" i="1"/>
  <c r="M378" i="1"/>
  <c r="AA486" i="1"/>
  <c r="DA430" i="1"/>
  <c r="BT414" i="1"/>
  <c r="H402" i="1"/>
  <c r="AZ389" i="1"/>
  <c r="CB376" i="1"/>
  <c r="BK480" i="1"/>
  <c r="O428" i="1"/>
  <c r="AA413" i="1"/>
  <c r="BS400" i="1"/>
  <c r="CG384" i="1"/>
  <c r="DA370" i="1"/>
  <c r="BC453" i="1"/>
  <c r="BH420" i="1"/>
  <c r="CJ407" i="1"/>
  <c r="X395" i="1"/>
  <c r="BP382" i="1"/>
  <c r="CR369" i="1"/>
  <c r="AU448" i="1"/>
  <c r="AE419" i="1"/>
  <c r="BG406" i="1"/>
  <c r="CY393" i="1"/>
  <c r="AA387" i="1"/>
  <c r="CN382" i="1"/>
  <c r="CV489" i="1"/>
  <c r="AC434" i="1"/>
  <c r="W460" i="1"/>
  <c r="BW501" i="1"/>
  <c r="AQ487" i="1"/>
  <c r="BS481" i="1"/>
  <c r="BS486" i="1"/>
  <c r="DC412" i="1"/>
  <c r="AS386" i="1"/>
  <c r="CI457" i="1"/>
  <c r="CB408" i="1"/>
  <c r="BH383" i="1"/>
  <c r="BG451" i="1"/>
  <c r="AI407" i="1"/>
  <c r="CG377" i="1"/>
  <c r="BM430" i="1"/>
  <c r="CR401" i="1"/>
  <c r="T382" i="1"/>
  <c r="BL369" i="1"/>
  <c r="BS446" i="1"/>
  <c r="CM418" i="1"/>
  <c r="AA406" i="1"/>
  <c r="BC393" i="1"/>
  <c r="BS386" i="1"/>
  <c r="BG373" i="1"/>
  <c r="CD411" i="1"/>
  <c r="DF366" i="1"/>
  <c r="AT354" i="1"/>
  <c r="BV341" i="1"/>
  <c r="J329" i="1"/>
  <c r="BB316" i="1"/>
  <c r="J410" i="1"/>
  <c r="BM366" i="1"/>
  <c r="DE353" i="1"/>
  <c r="AC341" i="1"/>
  <c r="W386" i="1"/>
  <c r="W373" i="1"/>
  <c r="Z409" i="1"/>
  <c r="AP366" i="1"/>
  <c r="CH353" i="1"/>
  <c r="F341" i="1"/>
  <c r="AX328" i="1"/>
  <c r="CP315" i="1"/>
  <c r="BJ407" i="1"/>
  <c r="DA365" i="1"/>
  <c r="AO353" i="1"/>
  <c r="BQ340" i="1"/>
  <c r="S385" i="1"/>
  <c r="AI373" i="1"/>
  <c r="N422" i="1"/>
  <c r="V384" i="1"/>
  <c r="Z363" i="1"/>
  <c r="CD353" i="1"/>
  <c r="AD344" i="1"/>
  <c r="CH334" i="1"/>
  <c r="AH325" i="1"/>
  <c r="CL315" i="1"/>
  <c r="BV418" i="1"/>
  <c r="CD380" i="1"/>
  <c r="AO362" i="1"/>
  <c r="CS352" i="1"/>
  <c r="AS343" i="1"/>
  <c r="CW333" i="1"/>
  <c r="CL401" i="1"/>
  <c r="V339" i="1"/>
  <c r="DF395" i="1"/>
  <c r="CC337" i="1"/>
  <c r="AO324" i="1"/>
  <c r="CS314" i="1"/>
  <c r="DF416" i="1"/>
  <c r="J379" i="1"/>
  <c r="CZ361" i="1"/>
  <c r="AZ352" i="1"/>
  <c r="DD342" i="1"/>
  <c r="BD333" i="1"/>
  <c r="DH323" i="1"/>
  <c r="BH314" i="1"/>
  <c r="CI359" i="1"/>
  <c r="CQ321" i="1"/>
  <c r="I305" i="1"/>
  <c r="BM295" i="1"/>
  <c r="M286" i="1"/>
  <c r="BQ276" i="1"/>
  <c r="Q267" i="1"/>
  <c r="BU257" i="1"/>
  <c r="U248" i="1"/>
  <c r="BY238" i="1"/>
  <c r="Y229" i="1"/>
  <c r="CC219" i="1"/>
  <c r="AC210" i="1"/>
  <c r="CG200" i="1"/>
  <c r="AG191" i="1"/>
  <c r="CK181" i="1"/>
  <c r="BU434" i="1"/>
  <c r="AK480" i="1"/>
  <c r="BD487" i="1"/>
  <c r="CJ464" i="1"/>
  <c r="BW437" i="1"/>
  <c r="BC462" i="1"/>
  <c r="DC475" i="1"/>
  <c r="DI383" i="1"/>
  <c r="CZ406" i="1"/>
  <c r="AU444" i="1"/>
  <c r="DE375" i="1"/>
  <c r="L400" i="1"/>
  <c r="BC424" i="1"/>
  <c r="CQ378" i="1"/>
  <c r="DF346" i="1"/>
  <c r="F381" i="1"/>
  <c r="BG378" i="1"/>
  <c r="AP346" i="1"/>
  <c r="BF378" i="1"/>
  <c r="CE377" i="1"/>
  <c r="CD357" i="1"/>
  <c r="CL319" i="1"/>
  <c r="CS356" i="1"/>
  <c r="V355" i="1"/>
  <c r="CS318" i="1"/>
  <c r="AZ356" i="1"/>
  <c r="BH318" i="1"/>
  <c r="BM299" i="1"/>
  <c r="BU261" i="1"/>
  <c r="CC223" i="1"/>
  <c r="CK185" i="1"/>
  <c r="J352" i="1"/>
  <c r="BY326" i="1"/>
  <c r="N440" i="1"/>
  <c r="BX432" i="1"/>
  <c r="AV487" i="1"/>
  <c r="BO428" i="1"/>
  <c r="BG454" i="1"/>
  <c r="CQ448" i="1"/>
  <c r="CA443" i="1"/>
  <c r="AE468" i="1"/>
  <c r="AI410" i="1"/>
  <c r="BQ382" i="1"/>
  <c r="CY445" i="1"/>
  <c r="H406" i="1"/>
  <c r="CB380" i="1"/>
  <c r="AE440" i="1"/>
  <c r="BS404" i="1"/>
  <c r="DA374" i="1"/>
  <c r="DA424" i="1"/>
  <c r="X399" i="1"/>
  <c r="CR373" i="1"/>
  <c r="O423" i="1"/>
  <c r="CY397" i="1"/>
  <c r="AY379" i="1"/>
  <c r="CE462" i="1"/>
  <c r="J385" i="1"/>
  <c r="AL360" i="1"/>
  <c r="BN347" i="1"/>
  <c r="DF334" i="1"/>
  <c r="AT322" i="1"/>
  <c r="AY458" i="1"/>
  <c r="AT383" i="1"/>
  <c r="CW359" i="1"/>
  <c r="U347" i="1"/>
  <c r="BM334" i="1"/>
  <c r="O379" i="1"/>
  <c r="BW452" i="1"/>
  <c r="BJ382" i="1"/>
  <c r="BZ359" i="1"/>
  <c r="DB346" i="1"/>
  <c r="AP334" i="1"/>
  <c r="CH321" i="1"/>
  <c r="DG445" i="1"/>
  <c r="CT380" i="1"/>
  <c r="AG359" i="1"/>
  <c r="BI346" i="1"/>
  <c r="DA333" i="1"/>
  <c r="AM378" i="1"/>
  <c r="DG489" i="1"/>
  <c r="DB401" i="1"/>
  <c r="BV367" i="1"/>
  <c r="V358" i="1"/>
  <c r="BZ348" i="1"/>
  <c r="Z339" i="1"/>
  <c r="CD329" i="1"/>
  <c r="AD320" i="1"/>
  <c r="CQ473" i="1"/>
  <c r="BF398" i="1"/>
  <c r="CK366" i="1"/>
  <c r="AK357" i="1"/>
  <c r="CO347" i="1"/>
  <c r="AO338" i="1"/>
  <c r="CY375" i="1"/>
  <c r="DB356" i="1"/>
  <c r="F319" i="1"/>
  <c r="BE355" i="1"/>
  <c r="CK328" i="1"/>
  <c r="AK319" i="1"/>
  <c r="K460" i="1"/>
  <c r="CP396" i="1"/>
  <c r="AR366" i="1"/>
  <c r="CV356" i="1"/>
  <c r="AV347" i="1"/>
  <c r="CZ337" i="1"/>
  <c r="AZ328" i="1"/>
  <c r="DD318" i="1"/>
  <c r="BR403" i="1"/>
  <c r="BS339" i="1"/>
  <c r="BE309" i="1"/>
  <c r="DI299" i="1"/>
  <c r="BI290" i="1"/>
  <c r="I281" i="1"/>
  <c r="BM271" i="1"/>
  <c r="M262" i="1"/>
  <c r="BQ252" i="1"/>
  <c r="Q243" i="1"/>
  <c r="BU233" i="1"/>
  <c r="U224" i="1"/>
  <c r="BY214" i="1"/>
  <c r="Y205" i="1"/>
  <c r="CC195" i="1"/>
  <c r="AC186" i="1"/>
  <c r="CT402" i="1"/>
  <c r="AY339" i="1"/>
  <c r="CM372" i="1"/>
  <c r="CP353" i="1"/>
  <c r="CX315" i="1"/>
  <c r="BM353" i="1"/>
  <c r="AK328" i="1"/>
  <c r="CO318" i="1"/>
  <c r="BS447" i="1"/>
  <c r="CD393" i="1"/>
  <c r="BP365" i="1"/>
  <c r="P356" i="1"/>
  <c r="BT346" i="1"/>
  <c r="T337" i="1"/>
  <c r="BX327" i="1"/>
  <c r="X318" i="1"/>
  <c r="CL388" i="1"/>
  <c r="AJ430" i="1"/>
  <c r="AU427" i="1"/>
  <c r="BC446" i="1"/>
  <c r="BW467" i="1"/>
  <c r="AW382" i="1"/>
  <c r="CF405" i="1"/>
  <c r="BW439" i="1"/>
  <c r="CK374" i="1"/>
  <c r="CV398" i="1"/>
  <c r="DC422" i="1"/>
  <c r="BW377" i="1"/>
  <c r="CL345" i="1"/>
  <c r="AH376" i="1"/>
  <c r="AM377" i="1"/>
  <c r="V345" i="1"/>
  <c r="CH373" i="1"/>
  <c r="BK376" i="1"/>
  <c r="CP356" i="1"/>
  <c r="CX318" i="1"/>
  <c r="DE355" i="1"/>
  <c r="BR351" i="1"/>
  <c r="DE317" i="1"/>
  <c r="BL355" i="1"/>
  <c r="BT317" i="1"/>
  <c r="BY298" i="1"/>
  <c r="CG260" i="1"/>
  <c r="CO222" i="1"/>
  <c r="CW184" i="1"/>
  <c r="CQ390" i="1"/>
  <c r="CX331" i="1"/>
  <c r="AK332" i="1"/>
  <c r="DA313" i="1"/>
  <c r="BV399" i="1"/>
  <c r="DD363" i="1"/>
  <c r="AB351" i="1"/>
  <c r="BT338" i="1"/>
  <c r="H326" i="1"/>
  <c r="AJ313" i="1"/>
  <c r="W347" i="1"/>
  <c r="AS311" i="1"/>
  <c r="CW301" i="1"/>
  <c r="AW292" i="1"/>
  <c r="DA282" i="1"/>
  <c r="BA273" i="1"/>
  <c r="DE263" i="1"/>
  <c r="BE254" i="1"/>
  <c r="DI244" i="1"/>
  <c r="BI235" i="1"/>
  <c r="I226" i="1"/>
  <c r="BM216" i="1"/>
  <c r="M207" i="1"/>
  <c r="BQ197" i="1"/>
  <c r="Q188" i="1"/>
  <c r="AU453" i="1"/>
  <c r="BW387" i="1"/>
  <c r="AL367" i="1"/>
  <c r="AT329" i="1"/>
  <c r="BA366" i="1"/>
  <c r="BI331" i="1"/>
  <c r="I322" i="1"/>
  <c r="BM312" i="1"/>
  <c r="CL407" i="1"/>
  <c r="CT369" i="1"/>
  <c r="BT359" i="1"/>
  <c r="T350" i="1"/>
  <c r="BX340" i="1"/>
  <c r="X331" i="1"/>
  <c r="CB321" i="1"/>
  <c r="AB312" i="1"/>
  <c r="BO350" i="1"/>
  <c r="BW312" i="1"/>
  <c r="CG302" i="1"/>
  <c r="AG293" i="1"/>
  <c r="AO255" i="1"/>
  <c r="AW217" i="1"/>
  <c r="BE179" i="1"/>
  <c r="BY352" i="1"/>
  <c r="Z395" i="1"/>
  <c r="BH337" i="1"/>
  <c r="BG419" i="1"/>
  <c r="BG427" i="1"/>
  <c r="BW373" i="1"/>
  <c r="AL341" i="1"/>
  <c r="DB315" i="1"/>
  <c r="BP352" i="1"/>
  <c r="CS219" i="1"/>
  <c r="DE330" i="1"/>
  <c r="AN350" i="1"/>
  <c r="AA344" i="1"/>
  <c r="Y282" i="1"/>
  <c r="AG244" i="1"/>
  <c r="AO206" i="1"/>
  <c r="CY383" i="1"/>
  <c r="CK330" i="1"/>
  <c r="AR368" i="1"/>
  <c r="AZ330" i="1"/>
  <c r="BE311" i="1"/>
  <c r="BM273" i="1"/>
  <c r="BU235" i="1"/>
  <c r="CC197" i="1"/>
  <c r="DF349" i="1"/>
  <c r="CS317" i="1"/>
  <c r="CF355" i="1"/>
  <c r="CN317" i="1"/>
  <c r="CC298" i="1"/>
  <c r="CK260" i="1"/>
  <c r="CS222" i="1"/>
  <c r="AB309" i="1"/>
  <c r="AJ271" i="1"/>
  <c r="AR233" i="1"/>
  <c r="AZ195" i="1"/>
  <c r="G309" i="1"/>
  <c r="O271" i="1"/>
  <c r="W233" i="1"/>
  <c r="AE195" i="1"/>
  <c r="AR298" i="1"/>
  <c r="CE502" i="1"/>
  <c r="CQ451" i="1"/>
  <c r="X375" i="1"/>
  <c r="DI346" i="1"/>
  <c r="AP401" i="1"/>
  <c r="CW354" i="1"/>
  <c r="CW280" i="1"/>
  <c r="AD382" i="1"/>
  <c r="DB375" i="1"/>
  <c r="P320" i="1"/>
  <c r="BA297" i="1"/>
  <c r="BI259" i="1"/>
  <c r="BQ221" i="1"/>
  <c r="BY183" i="1"/>
  <c r="CQ489" i="1"/>
  <c r="CM432" i="1"/>
  <c r="CB345" i="1"/>
  <c r="AP376" i="1"/>
  <c r="CO288" i="1"/>
  <c r="CW250" i="1"/>
  <c r="DE212" i="1"/>
  <c r="BR375" i="1"/>
  <c r="CW334" i="1"/>
  <c r="AX377" i="1"/>
  <c r="L333" i="1"/>
  <c r="BS319" i="1"/>
  <c r="I276" i="1"/>
  <c r="Q238" i="1"/>
  <c r="M185" i="1"/>
  <c r="BL286" i="1"/>
  <c r="BT248" i="1"/>
  <c r="CB210" i="1"/>
  <c r="CG381" i="1"/>
  <c r="AB391" i="1"/>
  <c r="AI408" i="1"/>
  <c r="N418" i="1"/>
  <c r="CT345" i="1"/>
  <c r="BF423" i="1"/>
  <c r="CK249" i="1"/>
  <c r="CG320" i="1"/>
  <c r="BE402" i="1"/>
  <c r="BG431" i="1"/>
  <c r="H398" i="1"/>
  <c r="CU499" i="1"/>
  <c r="AE415" i="1"/>
  <c r="J369" i="1"/>
  <c r="AT318" i="1"/>
  <c r="AK343" i="1"/>
  <c r="AH368" i="1"/>
  <c r="CH317" i="1"/>
  <c r="BY342" i="1"/>
  <c r="N390" i="1"/>
  <c r="AD336" i="1"/>
  <c r="BV386" i="1"/>
  <c r="AS335" i="1"/>
  <c r="BU343" i="1"/>
  <c r="DF384" i="1"/>
  <c r="DD334" i="1"/>
  <c r="CI327" i="1"/>
  <c r="M278" i="1"/>
  <c r="U240" i="1"/>
  <c r="AC202" i="1"/>
  <c r="BO327" i="1"/>
  <c r="CC341" i="1"/>
  <c r="CT381" i="1"/>
  <c r="X334" i="1"/>
  <c r="CK397" i="1"/>
  <c r="BO488" i="1"/>
  <c r="X383" i="1"/>
  <c r="CS354" i="1"/>
  <c r="AK426" i="1"/>
  <c r="CP407" i="1"/>
  <c r="CO286" i="1"/>
  <c r="BS439" i="1"/>
  <c r="BV383" i="1"/>
  <c r="H322" i="1"/>
  <c r="DA298" i="1"/>
  <c r="DI260" i="1"/>
  <c r="M223" i="1"/>
  <c r="U185" i="1"/>
  <c r="BJ317" i="1"/>
  <c r="CU458" i="1"/>
  <c r="X347" i="1"/>
  <c r="J400" i="1"/>
  <c r="AK290" i="1"/>
  <c r="AS252" i="1"/>
  <c r="BA214" i="1"/>
  <c r="AL399" i="1"/>
  <c r="CO340" i="1"/>
  <c r="AP383" i="1"/>
  <c r="BL334" i="1"/>
  <c r="I372" i="1"/>
  <c r="DC409" i="1"/>
  <c r="CT399" i="1"/>
  <c r="BB325" i="1"/>
  <c r="F342" i="1"/>
  <c r="U341" i="1"/>
  <c r="N408" i="1"/>
  <c r="CU350" i="1"/>
  <c r="DA245" i="1"/>
  <c r="AM364" i="1"/>
  <c r="AD407" i="1"/>
  <c r="CU442" i="1"/>
  <c r="CZ358" i="1"/>
  <c r="CF333" i="1"/>
  <c r="J384" i="1"/>
  <c r="BY307" i="1"/>
  <c r="CC288" i="1"/>
  <c r="CG269" i="1"/>
  <c r="CK250" i="1"/>
  <c r="CO231" i="1"/>
  <c r="CS212" i="1"/>
  <c r="CW193" i="1"/>
  <c r="CP373" i="1"/>
  <c r="BF352" i="1"/>
  <c r="BU351" i="1"/>
  <c r="AO318" i="1"/>
  <c r="DF392" i="1"/>
  <c r="CZ355" i="1"/>
  <c r="DD336" i="1"/>
  <c r="DH317" i="1"/>
  <c r="CI335" i="1"/>
  <c r="I299" i="1"/>
  <c r="M280" i="1"/>
  <c r="Q261" i="1"/>
  <c r="U242" i="1"/>
  <c r="Y223" i="1"/>
  <c r="AC204" i="1"/>
  <c r="AG185" i="1"/>
  <c r="BV397" i="1"/>
  <c r="BN396" i="1"/>
  <c r="AS324" i="1"/>
  <c r="AL418" i="1"/>
  <c r="AF362" i="1"/>
  <c r="AJ343" i="1"/>
  <c r="AN324" i="1"/>
  <c r="BG360" i="1"/>
  <c r="AC305" i="1"/>
  <c r="AG286" i="1"/>
  <c r="AK267" i="1"/>
  <c r="AO248" i="1"/>
  <c r="AS229" i="1"/>
  <c r="AW210" i="1"/>
  <c r="BG329" i="1"/>
  <c r="CJ296" i="1"/>
  <c r="CN277" i="1"/>
  <c r="CR258" i="1"/>
  <c r="CV239" i="1"/>
  <c r="CZ220" i="1"/>
  <c r="DD201" i="1"/>
  <c r="DH182" i="1"/>
  <c r="CY325" i="1"/>
  <c r="BO296" i="1"/>
  <c r="BS277" i="1"/>
  <c r="BW258" i="1"/>
  <c r="CA239" i="1"/>
  <c r="CE220" i="1"/>
  <c r="CI201" i="1"/>
  <c r="BM182" i="1"/>
  <c r="CV304" i="1"/>
  <c r="CZ285" i="1"/>
  <c r="CF429" i="1"/>
  <c r="P390" i="1"/>
  <c r="CI395" i="1"/>
  <c r="AY489" i="1"/>
  <c r="DH409" i="1"/>
  <c r="AY390" i="1"/>
  <c r="CD420" i="1"/>
  <c r="AH356" i="1"/>
  <c r="BG388" i="1"/>
  <c r="Z327" i="1"/>
  <c r="CK354" i="1"/>
  <c r="CT346" i="1"/>
  <c r="CK316" i="1"/>
  <c r="AR354" i="1"/>
  <c r="AZ316" i="1"/>
  <c r="BE297" i="1"/>
  <c r="BM259" i="1"/>
  <c r="BU221" i="1"/>
  <c r="CC183" i="1"/>
  <c r="K387" i="1"/>
  <c r="BJ329" i="1"/>
  <c r="CC331" i="1"/>
  <c r="BU313" i="1"/>
  <c r="CT397" i="1"/>
  <c r="BH363" i="1"/>
  <c r="CZ350" i="1"/>
  <c r="X338" i="1"/>
  <c r="BP325" i="1"/>
  <c r="DH312" i="1"/>
  <c r="DG345" i="1"/>
  <c r="M311" i="1"/>
  <c r="BQ301" i="1"/>
  <c r="Q292" i="1"/>
  <c r="BU282" i="1"/>
  <c r="U273" i="1"/>
  <c r="BY263" i="1"/>
  <c r="Y254" i="1"/>
  <c r="CC244" i="1"/>
  <c r="AC235" i="1"/>
  <c r="CG225" i="1"/>
  <c r="AG216" i="1"/>
  <c r="CK206" i="1"/>
  <c r="AK197" i="1"/>
  <c r="CO187" i="1"/>
  <c r="AY434" i="1"/>
  <c r="O386" i="1"/>
  <c r="R366" i="1"/>
  <c r="Z328" i="1"/>
  <c r="AG365" i="1"/>
  <c r="AC331" i="1"/>
  <c r="CG321" i="1"/>
  <c r="AG312" i="1"/>
  <c r="BR406" i="1"/>
  <c r="CN368" i="1"/>
  <c r="AN359" i="1"/>
  <c r="CR349" i="1"/>
  <c r="AR340" i="1"/>
  <c r="CV330" i="1"/>
  <c r="AV321" i="1"/>
  <c r="AA497" i="1"/>
  <c r="AU349" i="1"/>
  <c r="DA311" i="1"/>
  <c r="BA302" i="1"/>
  <c r="DE292" i="1"/>
  <c r="BE283" i="1"/>
  <c r="DI273" i="1"/>
  <c r="BI264" i="1"/>
  <c r="I255" i="1"/>
  <c r="BM245" i="1"/>
  <c r="M236" i="1"/>
  <c r="BQ226" i="1"/>
  <c r="Q217" i="1"/>
  <c r="BU207" i="1"/>
  <c r="U198" i="1"/>
  <c r="BY188" i="1"/>
  <c r="DC488" i="1"/>
  <c r="CE370" i="1"/>
  <c r="CH351" i="1"/>
  <c r="CP313" i="1"/>
  <c r="BE351" i="1"/>
  <c r="CK327" i="1"/>
  <c r="AK318" i="1"/>
  <c r="CM448" i="1"/>
  <c r="F394" i="1"/>
  <c r="BX365" i="1"/>
  <c r="X356" i="1"/>
  <c r="CB346" i="1"/>
  <c r="AB337" i="1"/>
  <c r="CF327" i="1"/>
  <c r="AF318" i="1"/>
  <c r="DF389" i="1"/>
  <c r="AA336" i="1"/>
  <c r="BU308" i="1"/>
  <c r="U299" i="1"/>
  <c r="BY289" i="1"/>
  <c r="Y280" i="1"/>
  <c r="CC270" i="1"/>
  <c r="AC261" i="1"/>
  <c r="CG251" i="1"/>
  <c r="AG242" i="1"/>
  <c r="CK232" i="1"/>
  <c r="AK223" i="1"/>
  <c r="CO213" i="1"/>
  <c r="BY201" i="1"/>
  <c r="BO347" i="1"/>
  <c r="BX309" i="1"/>
  <c r="X300" i="1"/>
  <c r="CB290" i="1"/>
  <c r="AB281" i="1"/>
  <c r="CF271" i="1"/>
  <c r="AF262" i="1"/>
  <c r="CJ252" i="1"/>
  <c r="AJ243" i="1"/>
  <c r="CN233" i="1"/>
  <c r="AN224" i="1"/>
  <c r="CR214" i="1"/>
  <c r="AR205" i="1"/>
  <c r="CV195" i="1"/>
  <c r="AV186" i="1"/>
  <c r="BP428" i="1"/>
  <c r="AZ379" i="1"/>
  <c r="CF376" i="1"/>
  <c r="AA392" i="1"/>
  <c r="AJ413" i="1"/>
  <c r="G474" i="1"/>
  <c r="CG382" i="1"/>
  <c r="AZ406" i="1"/>
  <c r="K443" i="1"/>
  <c r="AE385" i="1"/>
  <c r="AP353" i="1"/>
  <c r="BF406" i="1"/>
  <c r="CM384" i="1"/>
  <c r="CD352" i="1"/>
  <c r="DF403" i="1"/>
  <c r="DC383" i="1"/>
  <c r="BB362" i="1"/>
  <c r="BJ324" i="1"/>
  <c r="BQ361" i="1"/>
  <c r="DB389" i="1"/>
  <c r="BQ323" i="1"/>
  <c r="X361" i="1"/>
  <c r="AF323" i="1"/>
  <c r="AK304" i="1"/>
  <c r="AS266" i="1"/>
  <c r="BA228" i="1"/>
  <c r="BI190" i="1"/>
  <c r="BF377" i="1"/>
  <c r="I329" i="1"/>
  <c r="N447" i="1"/>
  <c r="BP474" i="1"/>
  <c r="DE438" i="1"/>
  <c r="AI467" i="1"/>
  <c r="CJ526" i="1"/>
  <c r="DC497" i="1"/>
  <c r="AQ486" i="1"/>
  <c r="DG488" i="1"/>
  <c r="AU413" i="1"/>
  <c r="CG386" i="1"/>
  <c r="BK459" i="1"/>
  <c r="T409" i="1"/>
  <c r="CN383" i="1"/>
  <c r="AI453" i="1"/>
  <c r="CE407" i="1"/>
  <c r="I378" i="1"/>
  <c r="BK431" i="1"/>
  <c r="AJ402" i="1"/>
  <c r="DD376" i="1"/>
  <c r="CY428" i="1"/>
  <c r="G401" i="1"/>
  <c r="CY380" i="1"/>
  <c r="AE494" i="1"/>
  <c r="BN391" i="1"/>
  <c r="CL361" i="1"/>
  <c r="Z349" i="1"/>
  <c r="BR336" i="1"/>
  <c r="CT323" i="1"/>
  <c r="BG484" i="1"/>
  <c r="CX389" i="1"/>
  <c r="AS361" i="1"/>
  <c r="CK348" i="1"/>
  <c r="Y336" i="1"/>
  <c r="BO380" i="1"/>
  <c r="CQ485" i="1"/>
  <c r="J389" i="1"/>
  <c r="V361" i="1"/>
  <c r="BN348" i="1"/>
  <c r="DF335" i="1"/>
  <c r="AD323" i="1"/>
  <c r="K472" i="1"/>
  <c r="AT387" i="1"/>
  <c r="CG360" i="1"/>
  <c r="U348" i="1"/>
  <c r="BM335" i="1"/>
  <c r="CM379" i="1"/>
  <c r="AY369" i="1"/>
  <c r="BZ406" i="1"/>
  <c r="CP368" i="1"/>
  <c r="AP359" i="1"/>
  <c r="CT349" i="1"/>
  <c r="AT340" i="1"/>
  <c r="CX330" i="1"/>
  <c r="AX321" i="1"/>
  <c r="AE510" i="1"/>
  <c r="AD403" i="1"/>
  <c r="DE367" i="1"/>
  <c r="BE358" i="1"/>
  <c r="DI348" i="1"/>
  <c r="BI339" i="1"/>
  <c r="BW380" i="1"/>
  <c r="BZ361" i="1"/>
  <c r="CH323" i="1"/>
  <c r="AC360" i="1"/>
  <c r="DE329" i="1"/>
  <c r="BE320" i="1"/>
  <c r="CI483" i="1"/>
  <c r="BN401" i="1"/>
  <c r="BL367" i="1"/>
  <c r="L358" i="1"/>
  <c r="BP348" i="1"/>
  <c r="P339" i="1"/>
  <c r="BT329" i="1"/>
  <c r="T320" i="1"/>
  <c r="BN422" i="1"/>
  <c r="AQ344" i="1"/>
  <c r="BY310" i="1"/>
  <c r="Y301" i="1"/>
  <c r="CC291" i="1"/>
  <c r="AC282" i="1"/>
  <c r="CG272" i="1"/>
  <c r="AG263" i="1"/>
  <c r="CK253" i="1"/>
  <c r="AK244" i="1"/>
  <c r="CO234" i="1"/>
  <c r="AO225" i="1"/>
  <c r="CS215" i="1"/>
  <c r="AS206" i="1"/>
  <c r="CW196" i="1"/>
  <c r="AW187" i="1"/>
  <c r="CP421" i="1"/>
  <c r="W344" i="1"/>
  <c r="BK377" i="1"/>
  <c r="BN358" i="1"/>
  <c r="BV320" i="1"/>
  <c r="AK358" i="1"/>
  <c r="BE329" i="1"/>
  <c r="DI319" i="1"/>
  <c r="CA473" i="1"/>
  <c r="BB398" i="1"/>
  <c r="CJ366" i="1"/>
  <c r="AJ357" i="1"/>
  <c r="CN347" i="1"/>
  <c r="AN338" i="1"/>
  <c r="CR328" i="1"/>
  <c r="AR319" i="1"/>
  <c r="CH407" i="1"/>
  <c r="BI392" i="1"/>
  <c r="H425" i="1"/>
  <c r="CV375" i="1"/>
  <c r="X373" i="1"/>
  <c r="CC390" i="1"/>
  <c r="P412" i="1"/>
  <c r="O468" i="1"/>
  <c r="Y381" i="1"/>
  <c r="AF405" i="1"/>
  <c r="AM438" i="1"/>
  <c r="CU383" i="1"/>
  <c r="V352" i="1"/>
  <c r="CH401" i="1"/>
  <c r="BK383" i="1"/>
  <c r="BJ351" i="1"/>
  <c r="AD399" i="1"/>
  <c r="CI382" i="1"/>
  <c r="BN361" i="1"/>
  <c r="BV323" i="1"/>
  <c r="CC360" i="1"/>
  <c r="CD375" i="1"/>
  <c r="CC322" i="1"/>
  <c r="AJ360" i="1"/>
  <c r="AR322" i="1"/>
  <c r="AW303" i="1"/>
  <c r="BE265" i="1"/>
  <c r="BM227" i="1"/>
  <c r="BU189" i="1"/>
  <c r="DG326" i="1"/>
  <c r="AT341" i="1"/>
  <c r="Q341" i="1"/>
  <c r="CC315" i="1"/>
  <c r="V406" i="1"/>
  <c r="AZ365" i="1"/>
  <c r="CR352" i="1"/>
  <c r="AF340" i="1"/>
  <c r="BH327" i="1"/>
  <c r="CZ314" i="1"/>
  <c r="CY351" i="1"/>
  <c r="DG313" i="1"/>
  <c r="M303" i="1"/>
  <c r="BQ293" i="1"/>
  <c r="Q284" i="1"/>
  <c r="BU274" i="1"/>
  <c r="U265" i="1"/>
  <c r="BY255" i="1"/>
  <c r="Y246" i="1"/>
  <c r="CC236" i="1"/>
  <c r="AC227" i="1"/>
  <c r="CG217" i="1"/>
  <c r="AG208" i="1"/>
  <c r="CK198" i="1"/>
  <c r="AK189" i="1"/>
  <c r="CO179" i="1"/>
  <c r="CE351" i="1"/>
  <c r="BV381" i="1"/>
  <c r="R334" i="1"/>
  <c r="Z378" i="1"/>
  <c r="AG333" i="1"/>
  <c r="AC323" i="1"/>
  <c r="CG313" i="1"/>
  <c r="BJ412" i="1"/>
  <c r="BR374" i="1"/>
  <c r="CN360" i="1"/>
  <c r="AN351" i="1"/>
  <c r="CR341" i="1"/>
  <c r="AR332" i="1"/>
  <c r="CV322" i="1"/>
  <c r="AV313" i="1"/>
  <c r="AM355" i="1"/>
  <c r="AU317" i="1"/>
  <c r="DA303" i="1"/>
  <c r="BA294" i="1"/>
  <c r="DE284" i="1"/>
  <c r="BE275" i="1"/>
  <c r="DI265" i="1"/>
  <c r="BI256" i="1"/>
  <c r="I247" i="1"/>
  <c r="BM237" i="1"/>
  <c r="M228" i="1"/>
  <c r="BQ218" i="1"/>
  <c r="Q209" i="1"/>
  <c r="BU199" i="1"/>
  <c r="U190" i="1"/>
  <c r="BY180" i="1"/>
  <c r="BW376" i="1"/>
  <c r="BZ357" i="1"/>
  <c r="CH319" i="1"/>
  <c r="AW357" i="1"/>
  <c r="AG329" i="1"/>
  <c r="CK319" i="1"/>
  <c r="BG472" i="1"/>
  <c r="DB399" i="1"/>
  <c r="T367" i="1"/>
  <c r="BX357" i="1"/>
  <c r="X348" i="1"/>
  <c r="CB338" i="1"/>
  <c r="AB329" i="1"/>
  <c r="CJ459" i="1"/>
  <c r="CU451" i="1"/>
  <c r="AE480" i="1"/>
  <c r="BW483" i="1"/>
  <c r="BM385" i="1"/>
  <c r="P408" i="1"/>
  <c r="S449" i="1"/>
  <c r="U377" i="1"/>
  <c r="AF401" i="1"/>
  <c r="CQ426" i="1"/>
  <c r="G380" i="1"/>
  <c r="V348" i="1"/>
  <c r="CH385" i="1"/>
  <c r="CA379" i="1"/>
  <c r="BJ347" i="1"/>
  <c r="AD383" i="1"/>
  <c r="CY378" i="1"/>
  <c r="BR358" i="1"/>
  <c r="BZ320" i="1"/>
  <c r="CG357" i="1"/>
  <c r="CD358" i="1"/>
  <c r="CG319" i="1"/>
  <c r="AN357" i="1"/>
  <c r="AV319" i="1"/>
  <c r="BA300" i="1"/>
  <c r="BI262" i="1"/>
  <c r="BQ224" i="1"/>
  <c r="BY186" i="1"/>
  <c r="BW321" i="1"/>
  <c r="J336" i="1"/>
  <c r="CK335" i="1"/>
  <c r="BI314" i="1"/>
  <c r="F402" i="1"/>
  <c r="BL364" i="1"/>
  <c r="CN351" i="1"/>
  <c r="AB339" i="1"/>
  <c r="BT326" i="1"/>
  <c r="CV313" i="1"/>
  <c r="DC348" i="1"/>
  <c r="CO311" i="1"/>
  <c r="AO302" i="1"/>
  <c r="CS292" i="1"/>
  <c r="AS283" i="1"/>
  <c r="CW273" i="1"/>
  <c r="AW264" i="1"/>
  <c r="DA254" i="1"/>
  <c r="BA245" i="1"/>
  <c r="DE235" i="1"/>
  <c r="BE226" i="1"/>
  <c r="DI216" i="1"/>
  <c r="BI207" i="1"/>
  <c r="I198" i="1"/>
  <c r="BM188" i="1"/>
  <c r="CQ481" i="1"/>
  <c r="BK390" i="1"/>
  <c r="CL369" i="1"/>
  <c r="V331" i="1"/>
  <c r="AC368" i="1"/>
  <c r="DE331" i="1"/>
  <c r="BE322" i="1"/>
  <c r="DI312" i="1"/>
  <c r="BN409" i="1"/>
  <c r="BV371" i="1"/>
  <c r="L360" i="1"/>
  <c r="BP350" i="1"/>
  <c r="P341" i="1"/>
  <c r="BT331" i="1"/>
  <c r="T322" i="1"/>
  <c r="BX312" i="1"/>
  <c r="AQ352" i="1"/>
  <c r="AY314" i="1"/>
  <c r="Y303" i="1"/>
  <c r="CC293" i="1"/>
  <c r="AC284" i="1"/>
  <c r="CG274" i="1"/>
  <c r="AG265" i="1"/>
  <c r="CK255" i="1"/>
  <c r="AK246" i="1"/>
  <c r="CO236" i="1"/>
  <c r="AO227" i="1"/>
  <c r="CS217" i="1"/>
  <c r="AS208" i="1"/>
  <c r="CW198" i="1"/>
  <c r="AW189" i="1"/>
  <c r="DA179" i="1"/>
  <c r="CA373" i="1"/>
  <c r="CD354" i="1"/>
  <c r="CL316" i="1"/>
  <c r="BA354" i="1"/>
  <c r="BI328" i="1"/>
  <c r="I319" i="1"/>
  <c r="BW460" i="1"/>
  <c r="DF396" i="1"/>
  <c r="AV366" i="1"/>
  <c r="CZ356" i="1"/>
  <c r="AZ347" i="1"/>
  <c r="DD337" i="1"/>
  <c r="BD328" i="1"/>
  <c r="DH318" i="1"/>
  <c r="CP401" i="1"/>
  <c r="W339" i="1"/>
  <c r="AS309" i="1"/>
  <c r="CW299" i="1"/>
  <c r="AW290" i="1"/>
  <c r="DA280" i="1"/>
  <c r="BA271" i="1"/>
  <c r="DE261" i="1"/>
  <c r="BE252" i="1"/>
  <c r="DI242" i="1"/>
  <c r="BI233" i="1"/>
  <c r="I224" i="1"/>
  <c r="BM214" i="1"/>
  <c r="BU204" i="1"/>
  <c r="BS352" i="1"/>
  <c r="AV310" i="1"/>
  <c r="CZ300" i="1"/>
  <c r="AZ291" i="1"/>
  <c r="DD281" i="1"/>
  <c r="BD272" i="1"/>
  <c r="DH262" i="1"/>
  <c r="CK283" i="1"/>
  <c r="CS245" i="1"/>
  <c r="DA207" i="1"/>
  <c r="CY371" i="1"/>
  <c r="M328" i="1"/>
  <c r="DD365" i="1"/>
  <c r="H328" i="1"/>
  <c r="AM446" i="1"/>
  <c r="CK370" i="1"/>
  <c r="DB341" i="1"/>
  <c r="M366" i="1"/>
  <c r="DI352" i="1"/>
  <c r="BX314" i="1"/>
  <c r="DA181" i="1"/>
  <c r="I313" i="1"/>
  <c r="BP337" i="1"/>
  <c r="BU310" i="1"/>
  <c r="CC272" i="1"/>
  <c r="CK234" i="1"/>
  <c r="CS196" i="1"/>
  <c r="AP364" i="1"/>
  <c r="AK321" i="1"/>
  <c r="CV358" i="1"/>
  <c r="DD320" i="1"/>
  <c r="DI301" i="1"/>
  <c r="M264" i="1"/>
  <c r="U226" i="1"/>
  <c r="AC188" i="1"/>
  <c r="AQ517" i="1"/>
  <c r="CA441" i="1"/>
  <c r="AF346" i="1"/>
  <c r="CT382" i="1"/>
  <c r="AC289" i="1"/>
  <c r="AK251" i="1"/>
  <c r="AS213" i="1"/>
  <c r="CF299" i="1"/>
  <c r="CN261" i="1"/>
  <c r="CV223" i="1"/>
  <c r="DD185" i="1"/>
  <c r="BK299" i="1"/>
  <c r="BS261" i="1"/>
  <c r="CA223" i="1"/>
  <c r="AW194" i="1"/>
  <c r="CV288" i="1"/>
  <c r="CQ475" i="1"/>
  <c r="H382" i="1"/>
  <c r="AE399" i="1"/>
  <c r="DB381" i="1"/>
  <c r="J339" i="1"/>
  <c r="AD396" i="1"/>
  <c r="DE242" i="1"/>
  <c r="V381" i="1"/>
  <c r="H358" i="1"/>
  <c r="BG368" i="1"/>
  <c r="DE287" i="1"/>
  <c r="I250" i="1"/>
  <c r="Q212" i="1"/>
  <c r="S367" i="1"/>
  <c r="BY348" i="1"/>
  <c r="F390" i="1"/>
  <c r="AB336" i="1"/>
  <c r="CM332" i="1"/>
  <c r="AO279" i="1"/>
  <c r="AW241" i="1"/>
  <c r="BE203" i="1"/>
  <c r="CL385" i="1"/>
  <c r="BU323" i="1"/>
  <c r="BH361" i="1"/>
  <c r="BP323" i="1"/>
  <c r="BE304" i="1"/>
  <c r="BM266" i="1"/>
  <c r="BU228" i="1"/>
  <c r="BG325" i="1"/>
  <c r="L277" i="1"/>
  <c r="T239" i="1"/>
  <c r="AB201" i="1"/>
  <c r="CK389" i="1"/>
  <c r="DG414" i="1"/>
  <c r="BR420" i="1"/>
  <c r="BV330" i="1"/>
  <c r="BI426" i="1"/>
  <c r="BP344" i="1"/>
  <c r="CS211" i="1"/>
  <c r="BL557" i="1"/>
  <c r="BX409" i="1"/>
  <c r="AI402" i="1"/>
  <c r="CR372" i="1"/>
  <c r="BH416" i="1"/>
  <c r="CY389" i="1"/>
  <c r="AL356" i="1"/>
  <c r="AP418" i="1"/>
  <c r="CI388" i="1"/>
  <c r="BZ355" i="1"/>
  <c r="CP415" i="1"/>
  <c r="CE387" i="1"/>
  <c r="BZ364" i="1"/>
  <c r="CH326" i="1"/>
  <c r="CO363" i="1"/>
  <c r="Y427" i="1"/>
  <c r="CO325" i="1"/>
  <c r="AV363" i="1"/>
  <c r="BD325" i="1"/>
  <c r="BI306" i="1"/>
  <c r="BQ268" i="1"/>
  <c r="BY230" i="1"/>
  <c r="CG192" i="1"/>
  <c r="J413" i="1"/>
  <c r="AO325" i="1"/>
  <c r="BT362" i="1"/>
  <c r="CB324" i="1"/>
  <c r="CO388" i="1"/>
  <c r="H390" i="1"/>
  <c r="O407" i="1"/>
  <c r="AP413" i="1"/>
  <c r="DF344" i="1"/>
  <c r="DB419" i="1"/>
  <c r="CW248" i="1"/>
  <c r="AM435" i="1"/>
  <c r="DD359" i="1"/>
  <c r="BV400" i="1"/>
  <c r="BA289" i="1"/>
  <c r="BI251" i="1"/>
  <c r="BQ213" i="1"/>
  <c r="BZ385" i="1"/>
  <c r="BQ354" i="1"/>
  <c r="DB395" i="1"/>
  <c r="CB337" i="1"/>
  <c r="CE338" i="1"/>
  <c r="CO280" i="1"/>
  <c r="CW242" i="1"/>
  <c r="DE204" i="1"/>
  <c r="BF409" i="1"/>
  <c r="Q325" i="1"/>
  <c r="DH362" i="1"/>
  <c r="CM515" i="1"/>
  <c r="BS415" i="1"/>
  <c r="CQ439" i="1"/>
  <c r="N326" i="1"/>
  <c r="AS350" i="1"/>
  <c r="BN313" i="1"/>
  <c r="AH330" i="1"/>
  <c r="AB350" i="1"/>
  <c r="AO293" i="1"/>
  <c r="BE217" i="1"/>
  <c r="CE378" i="1"/>
  <c r="CK329" i="1"/>
  <c r="BJ392" i="1"/>
  <c r="AZ349" i="1"/>
  <c r="AF324" i="1"/>
  <c r="CQ341" i="1"/>
  <c r="BM300" i="1"/>
  <c r="BQ281" i="1"/>
  <c r="BU262" i="1"/>
  <c r="BY243" i="1"/>
  <c r="CC224" i="1"/>
  <c r="CG205" i="1"/>
  <c r="CK186" i="1"/>
  <c r="BK381" i="1"/>
  <c r="J324" i="1"/>
  <c r="Y330" i="1"/>
  <c r="AM487" i="1"/>
  <c r="CJ367" i="1"/>
  <c r="CN348" i="1"/>
  <c r="CR329" i="1"/>
  <c r="BA428" i="1"/>
  <c r="CW310" i="1"/>
  <c r="DA291" i="1"/>
  <c r="DE272" i="1"/>
  <c r="DI253" i="1"/>
  <c r="I235" i="1"/>
  <c r="M216" i="1"/>
  <c r="Q197" i="1"/>
  <c r="DE426" i="1"/>
  <c r="BR347" i="1"/>
  <c r="AO347" i="1"/>
  <c r="AG317" i="1"/>
  <c r="CT389" i="1"/>
  <c r="T355" i="1"/>
  <c r="X336" i="1"/>
  <c r="AB317" i="1"/>
  <c r="K332" i="1"/>
  <c r="Q298" i="1"/>
  <c r="U279" i="1"/>
  <c r="Y260" i="1"/>
  <c r="AC241" i="1"/>
  <c r="AG222" i="1"/>
  <c r="BI197" i="1"/>
  <c r="BT308" i="1"/>
  <c r="BX289" i="1"/>
  <c r="CB270" i="1"/>
  <c r="CF251" i="1"/>
  <c r="CJ232" i="1"/>
  <c r="CN213" i="1"/>
  <c r="CR194" i="1"/>
  <c r="CD386" i="1"/>
  <c r="AY308" i="1"/>
  <c r="BC289" i="1"/>
  <c r="BG270" i="1"/>
  <c r="BK251" i="1"/>
  <c r="BO232" i="1"/>
  <c r="BS213" i="1"/>
  <c r="BW194" i="1"/>
  <c r="CQ334" i="1"/>
  <c r="CJ297" i="1"/>
  <c r="CN278" i="1"/>
  <c r="L482" i="1"/>
  <c r="CS426" i="1"/>
  <c r="CM438" i="1"/>
  <c r="CQ402" i="1"/>
  <c r="L372" i="1"/>
  <c r="AX371" i="1"/>
  <c r="CW343" i="1"/>
  <c r="AP318" i="1"/>
  <c r="CT391" i="1"/>
  <c r="CW428" i="1"/>
  <c r="AK345" i="1"/>
  <c r="CK429" i="1"/>
  <c r="BM425" i="1"/>
  <c r="CV344" i="1"/>
  <c r="BC367" i="1"/>
  <c r="DI287" i="1"/>
  <c r="M250" i="1"/>
  <c r="U212" i="1"/>
  <c r="BJ381" i="1"/>
  <c r="BK477" i="1"/>
  <c r="AE473" i="1"/>
  <c r="DE326" i="1"/>
  <c r="DC468" i="1"/>
  <c r="AX385" i="1"/>
  <c r="AV360" i="1"/>
  <c r="BX347" i="1"/>
  <c r="L335" i="1"/>
  <c r="BD322" i="1"/>
  <c r="AT405" i="1"/>
  <c r="BG336" i="1"/>
  <c r="CC308" i="1"/>
  <c r="AC299" i="1"/>
  <c r="CG289" i="1"/>
  <c r="AG280" i="1"/>
  <c r="CK270" i="1"/>
  <c r="AK261" i="1"/>
  <c r="CO251" i="1"/>
  <c r="AO242" i="1"/>
  <c r="CS232" i="1"/>
  <c r="AS223" i="1"/>
  <c r="CW213" i="1"/>
  <c r="AW204" i="1"/>
  <c r="DA194" i="1"/>
  <c r="BA185" i="1"/>
  <c r="AX390" i="1"/>
  <c r="AA376" i="1"/>
  <c r="BV356" i="1"/>
  <c r="CD318" i="1"/>
  <c r="CK355" i="1"/>
  <c r="CS328" i="1"/>
  <c r="AS319" i="1"/>
  <c r="DG465" i="1"/>
  <c r="R397" i="1"/>
  <c r="AZ366" i="1"/>
  <c r="DD356" i="1"/>
  <c r="BD347" i="1"/>
  <c r="DH337" i="1"/>
  <c r="BH328" i="1"/>
  <c r="H319" i="1"/>
  <c r="CL404" i="1"/>
  <c r="CY339" i="1"/>
  <c r="BM309" i="1"/>
  <c r="M300" i="1"/>
  <c r="BQ290" i="1"/>
  <c r="Q281" i="1"/>
  <c r="BU271" i="1"/>
  <c r="U262" i="1"/>
  <c r="BY252" i="1"/>
  <c r="Y243" i="1"/>
  <c r="CC233" i="1"/>
  <c r="AC224" i="1"/>
  <c r="CG214" i="1"/>
  <c r="AG205" i="1"/>
  <c r="CK195" i="1"/>
  <c r="AK186" i="1"/>
  <c r="J404" i="1"/>
  <c r="AD414" i="1"/>
  <c r="AH342" i="1"/>
  <c r="V413" i="1"/>
  <c r="DI341" i="1"/>
  <c r="AW325" i="1"/>
  <c r="DA315" i="1"/>
  <c r="BB422" i="1"/>
  <c r="BJ384" i="1"/>
  <c r="AJ363" i="1"/>
  <c r="CN353" i="1"/>
  <c r="AN344" i="1"/>
  <c r="CR334" i="1"/>
  <c r="AR325" i="1"/>
  <c r="CV315" i="1"/>
  <c r="BW364" i="1"/>
  <c r="CE326" i="1"/>
  <c r="AG306" i="1"/>
  <c r="CK296" i="1"/>
  <c r="AK287" i="1"/>
  <c r="CO277" i="1"/>
  <c r="AO268" i="1"/>
  <c r="CS258" i="1"/>
  <c r="AS249" i="1"/>
  <c r="CW239" i="1"/>
  <c r="AW230" i="1"/>
  <c r="DA220" i="1"/>
  <c r="BA211" i="1"/>
  <c r="Y192" i="1"/>
  <c r="DG334" i="1"/>
  <c r="AJ307" i="1"/>
  <c r="CN297" i="1"/>
  <c r="AN288" i="1"/>
  <c r="CR278" i="1"/>
  <c r="AR269" i="1"/>
  <c r="CV259" i="1"/>
  <c r="AV250" i="1"/>
  <c r="CZ240" i="1"/>
  <c r="AZ231" i="1"/>
  <c r="DD221" i="1"/>
  <c r="BD212" i="1"/>
  <c r="DH202" i="1"/>
  <c r="BH193" i="1"/>
  <c r="H184" i="1"/>
  <c r="Y410" i="1"/>
  <c r="DC415" i="1"/>
  <c r="BO441" i="1"/>
  <c r="CG376" i="1"/>
  <c r="CB400" i="1"/>
  <c r="S425" i="1"/>
  <c r="BQ369" i="1"/>
  <c r="CR393" i="1"/>
  <c r="CI417" i="1"/>
  <c r="BC372" i="1"/>
  <c r="CH340" i="1"/>
  <c r="BI365" i="1"/>
  <c r="S372" i="1"/>
  <c r="R340" i="1"/>
  <c r="CW364" i="1"/>
  <c r="BK372" i="1"/>
  <c r="DF352" i="1"/>
  <c r="J315" i="1"/>
  <c r="Q352" i="1"/>
  <c r="Z336" i="1"/>
  <c r="Q314" i="1"/>
  <c r="CB351" i="1"/>
  <c r="CJ313" i="1"/>
  <c r="CO294" i="1"/>
  <c r="CW256" i="1"/>
  <c r="DE218" i="1"/>
  <c r="I181" i="1"/>
  <c r="N333" i="1"/>
  <c r="AK324" i="1"/>
  <c r="DI434" i="1"/>
  <c r="AG414" i="1"/>
  <c r="CZ477" i="1"/>
  <c r="CC416" i="1"/>
  <c r="DE423" i="1"/>
  <c r="BC422" i="1"/>
  <c r="X421" i="1"/>
  <c r="BC450" i="1"/>
  <c r="G407" i="1"/>
  <c r="DE378" i="1"/>
  <c r="BC433" i="1"/>
  <c r="CJ402" i="1"/>
  <c r="BP377" i="1"/>
  <c r="BO429" i="1"/>
  <c r="AQ401" i="1"/>
  <c r="CO371" i="1"/>
  <c r="AF421" i="1"/>
  <c r="CZ395" i="1"/>
  <c r="CF370" i="1"/>
  <c r="DG419" i="1"/>
  <c r="BW394" i="1"/>
  <c r="CM377" i="1"/>
  <c r="G439" i="1"/>
  <c r="BJ378" i="1"/>
  <c r="BZ358" i="1"/>
  <c r="N346" i="1"/>
  <c r="AP333" i="1"/>
  <c r="CH320" i="1"/>
  <c r="AQ432" i="1"/>
  <c r="CT376" i="1"/>
  <c r="AG358" i="1"/>
  <c r="BY345" i="1"/>
  <c r="DA332" i="1"/>
  <c r="BC377" i="1"/>
  <c r="U430" i="1"/>
  <c r="F376" i="1"/>
  <c r="J358" i="1"/>
  <c r="BB345" i="1"/>
  <c r="CD332" i="1"/>
  <c r="R320" i="1"/>
  <c r="CO426" i="1"/>
  <c r="AP374" i="1"/>
  <c r="BU357" i="1"/>
  <c r="I345" i="1"/>
  <c r="CI391" i="1"/>
  <c r="CA376" i="1"/>
  <c r="BW468" i="1"/>
  <c r="Z397" i="1"/>
  <c r="BB366" i="1"/>
  <c r="DF356" i="1"/>
  <c r="BF347" i="1"/>
  <c r="F338" i="1"/>
  <c r="BJ328" i="1"/>
  <c r="J319" i="1"/>
  <c r="CI447" i="1"/>
  <c r="CH393" i="1"/>
  <c r="BQ365" i="1"/>
  <c r="Q356" i="1"/>
  <c r="BU346" i="1"/>
  <c r="U337" i="1"/>
  <c r="W371" i="1"/>
  <c r="Z352" i="1"/>
  <c r="AH314" i="1"/>
  <c r="CG350" i="1"/>
  <c r="BQ327" i="1"/>
  <c r="Q318" i="1"/>
  <c r="O441" i="1"/>
  <c r="N392" i="1"/>
  <c r="X365" i="1"/>
  <c r="CB355" i="1"/>
  <c r="AB346" i="1"/>
  <c r="CF336" i="1"/>
  <c r="AF327" i="1"/>
  <c r="CJ317" i="1"/>
  <c r="BV384" i="1"/>
  <c r="CU334" i="1"/>
  <c r="AK308" i="1"/>
  <c r="CO298" i="1"/>
  <c r="AO289" i="1"/>
  <c r="CS279" i="1"/>
  <c r="AS270" i="1"/>
  <c r="CW260" i="1"/>
  <c r="AW251" i="1"/>
  <c r="DA241" i="1"/>
  <c r="BA232" i="1"/>
  <c r="DE222" i="1"/>
  <c r="BE213" i="1"/>
  <c r="DI203" i="1"/>
  <c r="BI194" i="1"/>
  <c r="I185" i="1"/>
  <c r="CX383" i="1"/>
  <c r="CA334" i="1"/>
  <c r="G487" i="1"/>
  <c r="N349" i="1"/>
  <c r="CE482" i="1"/>
  <c r="CO348" i="1"/>
  <c r="Q327" i="1"/>
  <c r="BU317" i="1"/>
  <c r="DI429" i="1"/>
  <c r="DF388" i="1"/>
  <c r="AV364" i="1"/>
  <c r="CZ354" i="1"/>
  <c r="AZ345" i="1"/>
  <c r="DD335" i="1"/>
  <c r="BD326" i="1"/>
  <c r="DH316" i="1"/>
  <c r="CP369" i="1"/>
  <c r="DG501" i="1"/>
  <c r="BU406" i="1"/>
  <c r="AU412" i="1"/>
  <c r="CQ436" i="1"/>
  <c r="BM375" i="1"/>
  <c r="BH399" i="1"/>
  <c r="AI423" i="1"/>
  <c r="T529" i="1"/>
  <c r="BX392" i="1"/>
  <c r="BO416" i="1"/>
  <c r="AI371" i="1"/>
  <c r="BN339" i="1"/>
  <c r="AO364" i="1"/>
  <c r="DC370" i="1"/>
  <c r="DB338" i="1"/>
  <c r="CC363" i="1"/>
  <c r="BW371" i="1"/>
  <c r="N352" i="1"/>
  <c r="V314" i="1"/>
  <c r="AC351" i="1"/>
  <c r="BV332" i="1"/>
  <c r="AC313" i="1"/>
  <c r="CN350" i="1"/>
  <c r="CV312" i="1"/>
  <c r="DA293" i="1"/>
  <c r="DI255" i="1"/>
  <c r="M218" i="1"/>
  <c r="U180" i="1"/>
  <c r="AM379" i="1"/>
  <c r="AX322" i="1"/>
  <c r="DA329" i="1"/>
  <c r="BA312" i="1"/>
  <c r="R393" i="1"/>
  <c r="AN362" i="1"/>
  <c r="CF349" i="1"/>
  <c r="DH336" i="1"/>
  <c r="AV324" i="1"/>
  <c r="CM484" i="1"/>
  <c r="AY342" i="1"/>
  <c r="Y310" i="1"/>
  <c r="CC300" i="1"/>
  <c r="AC291" i="1"/>
  <c r="CG281" i="1"/>
  <c r="AG272" i="1"/>
  <c r="CK262" i="1"/>
  <c r="AK253" i="1"/>
  <c r="CO243" i="1"/>
  <c r="AO234" i="1"/>
  <c r="CS224" i="1"/>
  <c r="AS215" i="1"/>
  <c r="CW205" i="1"/>
  <c r="AW196" i="1"/>
  <c r="DA186" i="1"/>
  <c r="R414" i="1"/>
  <c r="S382" i="1"/>
  <c r="BN362" i="1"/>
  <c r="BV324" i="1"/>
  <c r="CC361" i="1"/>
  <c r="AO330" i="1"/>
  <c r="CS320" i="1"/>
  <c r="CA489" i="1"/>
  <c r="J403" i="1"/>
  <c r="CZ367" i="1"/>
  <c r="AZ358" i="1"/>
  <c r="DD348" i="1"/>
  <c r="BD339" i="1"/>
  <c r="DH329" i="1"/>
  <c r="BH320" i="1"/>
  <c r="G435" i="1"/>
  <c r="CQ345" i="1"/>
  <c r="I311" i="1"/>
  <c r="BM301" i="1"/>
  <c r="M292" i="1"/>
  <c r="BQ282" i="1"/>
  <c r="Q273" i="1"/>
  <c r="BU263" i="1"/>
  <c r="U254" i="1"/>
  <c r="BY244" i="1"/>
  <c r="Y235" i="1"/>
  <c r="CC225" i="1"/>
  <c r="AC216" i="1"/>
  <c r="CG206" i="1"/>
  <c r="AG197" i="1"/>
  <c r="CK187" i="1"/>
  <c r="K432" i="1"/>
  <c r="CM472" i="1"/>
  <c r="Z348" i="1"/>
  <c r="BG468" i="1"/>
  <c r="DA347" i="1"/>
  <c r="CW326" i="1"/>
  <c r="AW317" i="1"/>
  <c r="BO434" i="1"/>
  <c r="BB390" i="1"/>
  <c r="CJ364" i="1"/>
  <c r="AJ355" i="1"/>
  <c r="CN345" i="1"/>
  <c r="AN336" i="1"/>
  <c r="CR326" i="1"/>
  <c r="DH438" i="1"/>
  <c r="CK394" i="1"/>
  <c r="BK400" i="1"/>
  <c r="AU426" i="1"/>
  <c r="BM371" i="1"/>
  <c r="BH395" i="1"/>
  <c r="AY419" i="1"/>
  <c r="CY481" i="1"/>
  <c r="BX388" i="1"/>
  <c r="CE412" i="1"/>
  <c r="AA472" i="1"/>
  <c r="BN335" i="1"/>
  <c r="BE360" i="1"/>
  <c r="S462" i="1"/>
  <c r="DB334" i="1"/>
  <c r="CS359" i="1"/>
  <c r="DC517" i="1"/>
  <c r="R349" i="1"/>
  <c r="AM483" i="1"/>
  <c r="AG348" i="1"/>
  <c r="CL320" i="1"/>
  <c r="W467" i="1"/>
  <c r="CR347" i="1"/>
  <c r="CD410" i="1"/>
  <c r="DE290" i="1"/>
  <c r="I253" i="1"/>
  <c r="Q215" i="1"/>
  <c r="DF409" i="1"/>
  <c r="DG373" i="1"/>
  <c r="N317" i="1"/>
  <c r="BQ328" i="1"/>
  <c r="CA490" i="1"/>
  <c r="BN389" i="1"/>
  <c r="AJ361" i="1"/>
  <c r="CB348" i="1"/>
  <c r="P336" i="1"/>
  <c r="AR323" i="1"/>
  <c r="DF421" i="1"/>
  <c r="BC339" i="1"/>
  <c r="BA309" i="1"/>
  <c r="DE299" i="1"/>
  <c r="BE290" i="1"/>
  <c r="DI280" i="1"/>
  <c r="BI271" i="1"/>
  <c r="I262" i="1"/>
  <c r="BM252" i="1"/>
  <c r="M243" i="1"/>
  <c r="BQ233" i="1"/>
  <c r="Q224" i="1"/>
  <c r="BU214" i="1"/>
  <c r="U205" i="1"/>
  <c r="BY195" i="1"/>
  <c r="Y186" i="1"/>
  <c r="AH402" i="1"/>
  <c r="W379" i="1"/>
  <c r="BR359" i="1"/>
  <c r="BZ321" i="1"/>
  <c r="CG358" i="1"/>
  <c r="BQ329" i="1"/>
  <c r="Q320" i="1"/>
  <c r="CQ477" i="1"/>
  <c r="N400" i="1"/>
  <c r="X367" i="1"/>
  <c r="CB357" i="1"/>
  <c r="AB348" i="1"/>
  <c r="CF338" i="1"/>
  <c r="AF329" i="1"/>
  <c r="CJ319" i="1"/>
  <c r="BV416" i="1"/>
  <c r="CU342" i="1"/>
  <c r="AK310" i="1"/>
  <c r="CO300" i="1"/>
  <c r="AO291" i="1"/>
  <c r="CS281" i="1"/>
  <c r="AS272" i="1"/>
  <c r="CW262" i="1"/>
  <c r="AW253" i="1"/>
  <c r="DA243" i="1"/>
  <c r="BA234" i="1"/>
  <c r="DE224" i="1"/>
  <c r="BE215" i="1"/>
  <c r="DI205" i="1"/>
  <c r="BI196" i="1"/>
  <c r="I187" i="1"/>
  <c r="CX415" i="1"/>
  <c r="AS428" i="1"/>
  <c r="AD345" i="1"/>
  <c r="AC426" i="1"/>
  <c r="DE344" i="1"/>
  <c r="U326" i="1"/>
  <c r="BY316" i="1"/>
  <c r="I427" i="1"/>
  <c r="BF387" i="1"/>
  <c r="H364" i="1"/>
  <c r="BL354" i="1"/>
  <c r="L345" i="1"/>
  <c r="BP335" i="1"/>
  <c r="P326" i="1"/>
  <c r="BT316" i="1"/>
  <c r="BS367" i="1"/>
  <c r="CA329" i="1"/>
  <c r="DI306" i="1"/>
  <c r="BI297" i="1"/>
  <c r="I288" i="1"/>
  <c r="BM278" i="1"/>
  <c r="M269" i="1"/>
  <c r="BQ259" i="1"/>
  <c r="Q250" i="1"/>
  <c r="BU240" i="1"/>
  <c r="U231" i="1"/>
  <c r="BY221" i="1"/>
  <c r="Y212" i="1"/>
  <c r="U195" i="1"/>
  <c r="DG338" i="1"/>
  <c r="H308" i="1"/>
  <c r="BL298" i="1"/>
  <c r="L289" i="1"/>
  <c r="BP279" i="1"/>
  <c r="P270" i="1"/>
  <c r="BT260" i="1"/>
  <c r="T251" i="1"/>
  <c r="BX241" i="1"/>
  <c r="X232" i="1"/>
  <c r="CB222" i="1"/>
  <c r="AB213" i="1"/>
  <c r="CF203" i="1"/>
  <c r="AF194" i="1"/>
  <c r="CJ184" i="1"/>
  <c r="AD377" i="1"/>
  <c r="G333" i="1"/>
  <c r="CQ307" i="1"/>
  <c r="AQ298" i="1"/>
  <c r="CU288" i="1"/>
  <c r="AU279" i="1"/>
  <c r="CY269" i="1"/>
  <c r="AY260" i="1"/>
  <c r="DC250" i="1"/>
  <c r="BC241" i="1"/>
  <c r="DG231" i="1"/>
  <c r="BG222" i="1"/>
  <c r="G213" i="1"/>
  <c r="BK203" i="1"/>
  <c r="K194" i="1"/>
  <c r="BY189" i="1"/>
  <c r="BO331" i="1"/>
  <c r="BX306" i="1"/>
  <c r="X297" i="1"/>
  <c r="CB287" i="1"/>
  <c r="AB278" i="1"/>
  <c r="N465" i="1"/>
  <c r="BX470" i="1"/>
  <c r="BL418" i="1"/>
  <c r="CR415" i="1"/>
  <c r="AE405" i="1"/>
  <c r="CS428" i="1"/>
  <c r="CN375" i="1"/>
  <c r="BO399" i="1"/>
  <c r="BD419" i="1"/>
  <c r="DD368" i="1"/>
  <c r="CU392" i="1"/>
  <c r="AT366" i="1"/>
  <c r="CT315" i="1"/>
  <c r="BU340" i="1"/>
  <c r="CH365" i="1"/>
  <c r="AD315" i="1"/>
  <c r="DI339" i="1"/>
  <c r="AT382" i="1"/>
  <c r="AL334" i="1"/>
  <c r="DB378" i="1"/>
  <c r="BA333" i="1"/>
  <c r="DA335" i="1"/>
  <c r="AH377" i="1"/>
  <c r="H333" i="1"/>
  <c r="K320" i="1"/>
  <c r="U276" i="1"/>
  <c r="AC238" i="1"/>
  <c r="AK200" i="1"/>
  <c r="AM348" i="1"/>
  <c r="CD362" i="1"/>
  <c r="BA362" i="1"/>
  <c r="I321" i="1"/>
  <c r="AT420" i="1"/>
  <c r="AX369" i="1"/>
  <c r="AV356" i="1"/>
  <c r="CN343" i="1"/>
  <c r="L331" i="1"/>
  <c r="BD318" i="1"/>
  <c r="BO362" i="1"/>
  <c r="BW324" i="1"/>
  <c r="CG305" i="1"/>
  <c r="AG296" i="1"/>
  <c r="CK286" i="1"/>
  <c r="AK277" i="1"/>
  <c r="CO267" i="1"/>
  <c r="AO258" i="1"/>
  <c r="CS248" i="1"/>
  <c r="AS239" i="1"/>
  <c r="CW229" i="1"/>
  <c r="AW220" i="1"/>
  <c r="DA210" i="1"/>
  <c r="BA201" i="1"/>
  <c r="DE191" i="1"/>
  <c r="BE182" i="1"/>
  <c r="AU362" i="1"/>
  <c r="CO424" i="1"/>
  <c r="CL344" i="1"/>
  <c r="CT420" i="1"/>
  <c r="DA343" i="1"/>
  <c r="CW325" i="1"/>
  <c r="AW316" i="1"/>
  <c r="Z423" i="1"/>
  <c r="AH385" i="1"/>
  <c r="BD363" i="1"/>
  <c r="DH353" i="1"/>
  <c r="BH344" i="1"/>
  <c r="H335" i="1"/>
  <c r="BL325" i="1"/>
  <c r="L316" i="1"/>
  <c r="DG365" i="1"/>
  <c r="K328" i="1"/>
  <c r="BQ306" i="1"/>
  <c r="Q297" i="1"/>
  <c r="BU287" i="1"/>
  <c r="U278" i="1"/>
  <c r="BY268" i="1"/>
  <c r="Y259" i="1"/>
  <c r="CC249" i="1"/>
  <c r="AC240" i="1"/>
  <c r="CG230" i="1"/>
  <c r="AG221" i="1"/>
  <c r="CK211" i="1"/>
  <c r="AK202" i="1"/>
  <c r="CO192" i="1"/>
  <c r="AO183" i="1"/>
  <c r="AE388" i="1"/>
  <c r="AP368" i="1"/>
  <c r="AX330" i="1"/>
  <c r="M368" i="1"/>
  <c r="DA331" i="1"/>
  <c r="BA322" i="1"/>
  <c r="DE312" i="1"/>
  <c r="BR410" i="1"/>
  <c r="BZ372" i="1"/>
  <c r="AN360" i="1"/>
  <c r="CR350" i="1"/>
  <c r="AR341" i="1"/>
  <c r="CV331" i="1"/>
  <c r="AV322" i="1"/>
  <c r="CZ312" i="1"/>
  <c r="CM352" i="1"/>
  <c r="CU314" i="1"/>
  <c r="AK303" i="1"/>
  <c r="CO293" i="1"/>
  <c r="AO284" i="1"/>
  <c r="CS274" i="1"/>
  <c r="AS265" i="1"/>
  <c r="CW255" i="1"/>
  <c r="AW246" i="1"/>
  <c r="DA236" i="1"/>
  <c r="BA227" i="1"/>
  <c r="DE217" i="1"/>
  <c r="BE208" i="1"/>
  <c r="AO180" i="1"/>
  <c r="S319" i="1"/>
  <c r="AN304" i="1"/>
  <c r="CR294" i="1"/>
  <c r="AR285" i="1"/>
  <c r="CV275" i="1"/>
  <c r="AV266" i="1"/>
  <c r="CZ256" i="1"/>
  <c r="AZ247" i="1"/>
  <c r="DD237" i="1"/>
  <c r="BD228" i="1"/>
  <c r="DH218" i="1"/>
  <c r="BH209" i="1"/>
  <c r="H200" i="1"/>
  <c r="BL190" i="1"/>
  <c r="CO450" i="1"/>
  <c r="AO371" i="1"/>
  <c r="CV533" i="1"/>
  <c r="AY414" i="1"/>
  <c r="AI464" i="1"/>
  <c r="CR384" i="1"/>
  <c r="CI408" i="1"/>
  <c r="O435" i="1"/>
  <c r="DH377" i="1"/>
  <c r="K402" i="1"/>
  <c r="R395" i="1"/>
  <c r="CX324" i="1"/>
  <c r="CO349" i="1"/>
  <c r="BR392" i="1"/>
  <c r="AH324" i="1"/>
  <c r="Y349" i="1"/>
  <c r="BV409" i="1"/>
  <c r="R341" i="1"/>
  <c r="Z406" i="1"/>
  <c r="AG340" i="1"/>
  <c r="Y363" i="1"/>
  <c r="BJ404" i="1"/>
  <c r="CR339" i="1"/>
  <c r="AM347" i="1"/>
  <c r="DE282" i="1"/>
  <c r="I245" i="1"/>
  <c r="Q207" i="1"/>
  <c r="S347" i="1"/>
  <c r="AG361" i="1"/>
  <c r="AS318" i="1"/>
  <c r="H474" i="1"/>
  <c r="CV431" i="1"/>
  <c r="AN449" i="1"/>
  <c r="DI392" i="1"/>
  <c r="X400" i="1"/>
  <c r="CI398" i="1"/>
  <c r="BD397" i="1"/>
  <c r="AA425" i="1"/>
  <c r="W399" i="1"/>
  <c r="DE370" i="1"/>
  <c r="AF420" i="1"/>
  <c r="CZ394" i="1"/>
  <c r="BP369" i="1"/>
  <c r="CQ418" i="1"/>
  <c r="BG393" i="1"/>
  <c r="BK479" i="1"/>
  <c r="AV413" i="1"/>
  <c r="L388" i="1"/>
  <c r="CU473" i="1"/>
  <c r="S412" i="1"/>
  <c r="CM386" i="1"/>
  <c r="CM373" i="1"/>
  <c r="BF413" i="1"/>
  <c r="AX367" i="1"/>
  <c r="BZ354" i="1"/>
  <c r="N342" i="1"/>
  <c r="BF329" i="1"/>
  <c r="CH316" i="1"/>
  <c r="CP411" i="1"/>
  <c r="DI366" i="1"/>
  <c r="AG354" i="1"/>
  <c r="BY341" i="1"/>
  <c r="CI386" i="1"/>
  <c r="BC373" i="1"/>
  <c r="DF410" i="1"/>
  <c r="CL366" i="1"/>
  <c r="J354" i="1"/>
  <c r="BB341" i="1"/>
  <c r="CT328" i="1"/>
  <c r="R316" i="1"/>
  <c r="AL409" i="1"/>
  <c r="AS366" i="1"/>
  <c r="BU353" i="1"/>
  <c r="I341" i="1"/>
  <c r="CE385" i="1"/>
  <c r="BO373" i="1"/>
  <c r="AH423" i="1"/>
  <c r="AP385" i="1"/>
  <c r="BF363" i="1"/>
  <c r="F354" i="1"/>
  <c r="BJ344" i="1"/>
  <c r="J335" i="1"/>
  <c r="BN325" i="1"/>
  <c r="N316" i="1"/>
  <c r="CP419" i="1"/>
  <c r="CX381" i="1"/>
  <c r="BU362" i="1"/>
  <c r="U353" i="1"/>
  <c r="BY343" i="1"/>
  <c r="Y334" i="1"/>
  <c r="BJ406" i="1"/>
  <c r="AP340" i="1"/>
  <c r="CD400" i="1"/>
  <c r="CW338" i="1"/>
  <c r="BU324" i="1"/>
  <c r="U315" i="1"/>
  <c r="V418" i="1"/>
  <c r="AD380" i="1"/>
  <c r="AB362" i="1"/>
  <c r="CF352" i="1"/>
  <c r="AF343" i="1"/>
  <c r="CJ333" i="1"/>
  <c r="AJ324" i="1"/>
  <c r="CN314" i="1"/>
  <c r="DC360" i="1"/>
  <c r="G323" i="1"/>
  <c r="AO305" i="1"/>
  <c r="CS295" i="1"/>
  <c r="AS286" i="1"/>
  <c r="CW276" i="1"/>
  <c r="AW267" i="1"/>
  <c r="DA257" i="1"/>
  <c r="BA248" i="1"/>
  <c r="DE238" i="1"/>
  <c r="BE229" i="1"/>
  <c r="DI219" i="1"/>
  <c r="BI210" i="1"/>
  <c r="I201" i="1"/>
  <c r="BM191" i="1"/>
  <c r="M182" i="1"/>
  <c r="CI360" i="1"/>
  <c r="CQ322" i="1"/>
  <c r="N394" i="1"/>
  <c r="AD337" i="1"/>
  <c r="F393" i="1"/>
  <c r="DE336" i="1"/>
  <c r="U324" i="1"/>
  <c r="BY314" i="1"/>
  <c r="J415" i="1"/>
  <c r="R377" i="1"/>
  <c r="AZ361" i="1"/>
  <c r="DD351" i="1"/>
  <c r="BD342" i="1"/>
  <c r="DH332" i="1"/>
  <c r="BH323" i="1"/>
  <c r="H314" i="1"/>
  <c r="BR437" i="1"/>
  <c r="BQ436" i="1"/>
  <c r="S511" i="1"/>
  <c r="DG483" i="1"/>
  <c r="AE413" i="1"/>
  <c r="AQ458" i="1"/>
  <c r="BX383" i="1"/>
  <c r="BO407" i="1"/>
  <c r="CS430" i="1"/>
  <c r="CN376" i="1"/>
  <c r="CU400" i="1"/>
  <c r="AT390" i="1"/>
  <c r="CD323" i="1"/>
  <c r="BU348" i="1"/>
  <c r="CT387" i="1"/>
  <c r="N323" i="1"/>
  <c r="DI347" i="1"/>
  <c r="N406" i="1"/>
  <c r="AD340" i="1"/>
  <c r="BV402" i="1"/>
  <c r="AS339" i="1"/>
  <c r="BU359" i="1"/>
  <c r="DF400" i="1"/>
  <c r="DD338" i="1"/>
  <c r="CI343" i="1"/>
  <c r="M282" i="1"/>
  <c r="U244" i="1"/>
  <c r="AC206" i="1"/>
  <c r="W360" i="1"/>
  <c r="CD391" i="1"/>
  <c r="BV390" i="1"/>
  <c r="DI323" i="1"/>
  <c r="AU433" i="1"/>
  <c r="CD377" i="1"/>
  <c r="AN358" i="1"/>
  <c r="CF345" i="1"/>
  <c r="T333" i="1"/>
  <c r="AV320" i="1"/>
  <c r="BN374" i="1"/>
  <c r="BO330" i="1"/>
  <c r="AC307" i="1"/>
  <c r="CG297" i="1"/>
  <c r="AG288" i="1"/>
  <c r="CK278" i="1"/>
  <c r="AK269" i="1"/>
  <c r="CO259" i="1"/>
  <c r="AO250" i="1"/>
  <c r="CS240" i="1"/>
  <c r="AS231" i="1"/>
  <c r="CW221" i="1"/>
  <c r="AW212" i="1"/>
  <c r="DA202" i="1"/>
  <c r="BA193" i="1"/>
  <c r="DE183" i="1"/>
  <c r="AM368" i="1"/>
  <c r="AI370" i="1"/>
  <c r="CD350" i="1"/>
  <c r="CL312" i="1"/>
  <c r="CS349" i="1"/>
  <c r="AS327" i="1"/>
  <c r="CW317" i="1"/>
  <c r="BK437" i="1"/>
  <c r="Z391" i="1"/>
  <c r="DD364" i="1"/>
  <c r="BD355" i="1"/>
  <c r="DH345" i="1"/>
  <c r="BH336" i="1"/>
  <c r="H327" i="1"/>
  <c r="BL317" i="1"/>
  <c r="N381" i="1"/>
  <c r="DG333" i="1"/>
  <c r="M308" i="1"/>
  <c r="BQ298" i="1"/>
  <c r="Q289" i="1"/>
  <c r="BU279" i="1"/>
  <c r="U270" i="1"/>
  <c r="BY260" i="1"/>
  <c r="Y251" i="1"/>
  <c r="CC241" i="1"/>
  <c r="AC232" i="1"/>
  <c r="CG222" i="1"/>
  <c r="AG213" i="1"/>
  <c r="CK203" i="1"/>
  <c r="AK194" i="1"/>
  <c r="CO184" i="1"/>
  <c r="AP380" i="1"/>
  <c r="BJ390" i="1"/>
  <c r="AP336" i="1"/>
  <c r="BB389" i="1"/>
  <c r="M336" i="1"/>
  <c r="DA323" i="1"/>
  <c r="BA314" i="1"/>
  <c r="BJ416" i="1"/>
  <c r="BR378" i="1"/>
  <c r="CN361" i="1"/>
  <c r="AN352" i="1"/>
  <c r="CR342" i="1"/>
  <c r="AR333" i="1"/>
  <c r="AM498" i="1"/>
  <c r="AZ484" i="1"/>
  <c r="BW442" i="1"/>
  <c r="CQ431" i="1"/>
  <c r="AE409" i="1"/>
  <c r="AQ442" i="1"/>
  <c r="BX379" i="1"/>
  <c r="BO403" i="1"/>
  <c r="BD423" i="1"/>
  <c r="CN372" i="1"/>
  <c r="CU396" i="1"/>
  <c r="DF374" i="1"/>
  <c r="CD319" i="1"/>
  <c r="BU344" i="1"/>
  <c r="BB372" i="1"/>
  <c r="N319" i="1"/>
  <c r="DI343" i="1"/>
  <c r="AD394" i="1"/>
  <c r="AH337" i="1"/>
  <c r="CL390" i="1"/>
  <c r="AW336" i="1"/>
  <c r="CK347" i="1"/>
  <c r="R389" i="1"/>
  <c r="DH335" i="1"/>
  <c r="CY331" i="1"/>
  <c r="Q279" i="1"/>
  <c r="Y241" i="1"/>
  <c r="AG203" i="1"/>
  <c r="CQ354" i="1"/>
  <c r="AT370" i="1"/>
  <c r="AL369" i="1"/>
  <c r="BY322" i="1"/>
  <c r="M424" i="1"/>
  <c r="BN373" i="1"/>
  <c r="AZ357" i="1"/>
  <c r="CB344" i="1"/>
  <c r="P332" i="1"/>
  <c r="BH319" i="1"/>
  <c r="S366" i="1"/>
  <c r="BS327" i="1"/>
  <c r="BE306" i="1"/>
  <c r="DI296" i="1"/>
  <c r="BI287" i="1"/>
  <c r="I278" i="1"/>
  <c r="BM268" i="1"/>
  <c r="M259" i="1"/>
  <c r="BQ249" i="1"/>
  <c r="Q240" i="1"/>
  <c r="BU230" i="1"/>
  <c r="U221" i="1"/>
  <c r="BY211" i="1"/>
  <c r="Y202" i="1"/>
  <c r="CC192" i="1"/>
  <c r="AC183" i="1"/>
  <c r="AQ365" i="1"/>
  <c r="W475" i="1"/>
  <c r="CH347" i="1"/>
  <c r="CY451" i="1"/>
  <c r="CW346" i="1"/>
  <c r="BU326" i="1"/>
  <c r="U317" i="1"/>
  <c r="BI428" i="1"/>
  <c r="AD388" i="1"/>
  <c r="AB364" i="1"/>
  <c r="CF354" i="1"/>
  <c r="AF345" i="1"/>
  <c r="CJ335" i="1"/>
  <c r="AJ326" i="1"/>
  <c r="CN316" i="1"/>
  <c r="AD369" i="1"/>
  <c r="G331" i="1"/>
  <c r="AO307" i="1"/>
  <c r="CS297" i="1"/>
  <c r="AS288" i="1"/>
  <c r="CW278" i="1"/>
  <c r="AW269" i="1"/>
  <c r="DA259" i="1"/>
  <c r="BA250" i="1"/>
  <c r="DE240" i="1"/>
  <c r="BE231" i="1"/>
  <c r="DI221" i="1"/>
  <c r="BI212" i="1"/>
  <c r="I203" i="1"/>
  <c r="BM193" i="1"/>
  <c r="M184" i="1"/>
  <c r="CI368" i="1"/>
  <c r="BZ378" i="1"/>
  <c r="AT333" i="1"/>
  <c r="BR377" i="1"/>
  <c r="Q333" i="1"/>
  <c r="Y323" i="1"/>
  <c r="CC313" i="1"/>
  <c r="BN413" i="1"/>
  <c r="BV375" i="1"/>
  <c r="L361" i="1"/>
  <c r="BP351" i="1"/>
  <c r="P342" i="1"/>
  <c r="BT332" i="1"/>
  <c r="T323" i="1"/>
  <c r="BX313" i="1"/>
  <c r="CI355" i="1"/>
  <c r="CQ317" i="1"/>
  <c r="I304" i="1"/>
  <c r="BM294" i="1"/>
  <c r="M285" i="1"/>
  <c r="BQ275" i="1"/>
  <c r="Q266" i="1"/>
  <c r="BU256" i="1"/>
  <c r="U247" i="1"/>
  <c r="BY237" i="1"/>
  <c r="Y228" i="1"/>
  <c r="CC218" i="1"/>
  <c r="AC209" i="1"/>
  <c r="AK183" i="1"/>
  <c r="S323" i="1"/>
  <c r="L305" i="1"/>
  <c r="BP295" i="1"/>
  <c r="P286" i="1"/>
  <c r="BT276" i="1"/>
  <c r="T267" i="1"/>
  <c r="BX257" i="1"/>
  <c r="X248" i="1"/>
  <c r="CB238" i="1"/>
  <c r="AB229" i="1"/>
  <c r="CF219" i="1"/>
  <c r="AF210" i="1"/>
  <c r="CJ200" i="1"/>
  <c r="AJ191" i="1"/>
  <c r="CN181" i="1"/>
  <c r="O359" i="1"/>
  <c r="W321" i="1"/>
  <c r="CU304" i="1"/>
  <c r="AU295" i="1"/>
  <c r="CY285" i="1"/>
  <c r="AY276" i="1"/>
  <c r="DC266" i="1"/>
  <c r="BC257" i="1"/>
  <c r="DG247" i="1"/>
  <c r="BG238" i="1"/>
  <c r="G229" i="1"/>
  <c r="BK219" i="1"/>
  <c r="K210" i="1"/>
  <c r="BO200" i="1"/>
  <c r="O191" i="1"/>
  <c r="J420" i="1"/>
  <c r="BC316" i="1"/>
  <c r="CB303" i="1"/>
  <c r="AB294" i="1"/>
  <c r="CF284" i="1"/>
  <c r="AF275" i="1"/>
  <c r="K508" i="1"/>
  <c r="BW485" i="1"/>
  <c r="T371" i="1"/>
  <c r="BL528" i="1"/>
  <c r="CG388" i="1"/>
  <c r="BD410" i="1"/>
  <c r="CM459" i="1"/>
  <c r="BI379" i="1"/>
  <c r="BT403" i="1"/>
  <c r="CM431" i="1"/>
  <c r="AU382" i="1"/>
  <c r="BJ350" i="1"/>
  <c r="AD395" i="1"/>
  <c r="K382" i="1"/>
  <c r="CX349" i="1"/>
  <c r="CD392" i="1"/>
  <c r="AI381" i="1"/>
  <c r="AT360" i="1"/>
  <c r="BB322" i="1"/>
  <c r="BI359" i="1"/>
  <c r="CP365" i="1"/>
  <c r="BI321" i="1"/>
  <c r="P359" i="1"/>
  <c r="X321" i="1"/>
  <c r="AC302" i="1"/>
  <c r="AK264" i="1"/>
  <c r="AS226" i="1"/>
  <c r="BA188" i="1"/>
  <c r="BS324" i="1"/>
  <c r="F339" i="1"/>
  <c r="CG338" i="1"/>
  <c r="Q315" i="1"/>
  <c r="AT404" i="1"/>
  <c r="T365" i="1"/>
  <c r="AV352" i="1"/>
  <c r="CN339" i="1"/>
  <c r="AB327" i="1"/>
  <c r="BD314" i="1"/>
  <c r="CE350" i="1"/>
  <c r="CM312" i="1"/>
  <c r="CK302" i="1"/>
  <c r="AK293" i="1"/>
  <c r="CO283" i="1"/>
  <c r="AO274" i="1"/>
  <c r="CS264" i="1"/>
  <c r="AS255" i="1"/>
  <c r="CW245" i="1"/>
  <c r="AW236" i="1"/>
  <c r="DA226" i="1"/>
  <c r="BA217" i="1"/>
  <c r="DE207" i="1"/>
  <c r="BE198" i="1"/>
  <c r="DI188" i="1"/>
  <c r="BI179" i="1"/>
  <c r="BK350" i="1"/>
  <c r="CX376" i="1"/>
  <c r="DB332" i="1"/>
  <c r="BB373" i="1"/>
  <c r="BA332" i="1"/>
  <c r="DA322" i="1"/>
  <c r="BA313" i="1"/>
  <c r="AP411" i="1"/>
  <c r="AX373" i="1"/>
  <c r="BH360" i="1"/>
  <c r="H351" i="1"/>
  <c r="BL341" i="1"/>
  <c r="L332" i="1"/>
  <c r="BP322" i="1"/>
  <c r="P313" i="1"/>
  <c r="S354" i="1"/>
  <c r="AA316" i="1"/>
  <c r="BU303" i="1"/>
  <c r="U294" i="1"/>
  <c r="BY284" i="1"/>
  <c r="Y275" i="1"/>
  <c r="CC265" i="1"/>
  <c r="AC256" i="1"/>
  <c r="CG246" i="1"/>
  <c r="AG237" i="1"/>
  <c r="CK227" i="1"/>
  <c r="AK218" i="1"/>
  <c r="CO208" i="1"/>
  <c r="AO199" i="1"/>
  <c r="CS189" i="1"/>
  <c r="AS180" i="1"/>
  <c r="BC375" i="1"/>
  <c r="BF356" i="1"/>
  <c r="BN318" i="1"/>
  <c r="AC356" i="1"/>
  <c r="DE328" i="1"/>
  <c r="BE319" i="1"/>
  <c r="CI467" i="1"/>
  <c r="CH398" i="1"/>
  <c r="CR366" i="1"/>
  <c r="AR357" i="1"/>
  <c r="CV347" i="1"/>
  <c r="AV338" i="1"/>
  <c r="CZ328" i="1"/>
  <c r="AZ319" i="1"/>
  <c r="DB408" i="1"/>
  <c r="DC340" i="1"/>
  <c r="CO309" i="1"/>
  <c r="AO300" i="1"/>
  <c r="CS290" i="1"/>
  <c r="AS281" i="1"/>
  <c r="CW271" i="1"/>
  <c r="AW262" i="1"/>
  <c r="DA252" i="1"/>
  <c r="BA243" i="1"/>
  <c r="DE233" i="1"/>
  <c r="BE224" i="1"/>
  <c r="DI214" i="1"/>
  <c r="BI205" i="1"/>
  <c r="W356" i="1"/>
  <c r="CR310" i="1"/>
  <c r="AR301" i="1"/>
  <c r="CV291" i="1"/>
  <c r="AV282" i="1"/>
  <c r="CZ272" i="1"/>
  <c r="AZ263" i="1"/>
  <c r="DD253" i="1"/>
  <c r="BD244" i="1"/>
  <c r="DH234" i="1"/>
  <c r="BH225" i="1"/>
  <c r="H216" i="1"/>
  <c r="BL206" i="1"/>
  <c r="L197" i="1"/>
  <c r="BP187" i="1"/>
  <c r="CV179" i="1"/>
  <c r="AU351" i="1"/>
  <c r="BC313" i="1"/>
  <c r="DC302" i="1"/>
  <c r="BC293" i="1"/>
  <c r="DG283" i="1"/>
  <c r="BG274" i="1"/>
  <c r="G265" i="1"/>
  <c r="BK255" i="1"/>
  <c r="K246" i="1"/>
  <c r="BO236" i="1"/>
  <c r="O227" i="1"/>
  <c r="BS217" i="1"/>
  <c r="S208" i="1"/>
  <c r="BW198" i="1"/>
  <c r="W189" i="1"/>
  <c r="AI359" i="1"/>
  <c r="AF311" i="1"/>
  <c r="CJ301" i="1"/>
  <c r="AJ292" i="1"/>
  <c r="CN282" i="1"/>
  <c r="AN273" i="1"/>
  <c r="Q455" i="1"/>
  <c r="DI408" i="1"/>
  <c r="CI414" i="1"/>
  <c r="AU440" i="1"/>
  <c r="AK376" i="1"/>
  <c r="AF400" i="1"/>
  <c r="BK424" i="1"/>
  <c r="U369" i="1"/>
  <c r="AV393" i="1"/>
  <c r="BC417" i="1"/>
  <c r="G372" i="1"/>
  <c r="AL340" i="1"/>
  <c r="AC365" i="1"/>
  <c r="CA371" i="1"/>
  <c r="BZ339" i="1"/>
  <c r="BQ364" i="1"/>
  <c r="AE372" i="1"/>
  <c r="BZ352" i="1"/>
  <c r="CH314" i="1"/>
  <c r="CO351" i="1"/>
  <c r="F335" i="1"/>
  <c r="CO313" i="1"/>
  <c r="AV351" i="1"/>
  <c r="BD313" i="1"/>
  <c r="BI294" i="1"/>
  <c r="BQ256" i="1"/>
  <c r="BY218" i="1"/>
  <c r="CG180" i="1"/>
  <c r="O381" i="1"/>
  <c r="Z324" i="1"/>
  <c r="AS330" i="1"/>
  <c r="BQ312" i="1"/>
  <c r="AL394" i="1"/>
  <c r="BD362" i="1"/>
  <c r="CV349" i="1"/>
  <c r="AJ337" i="1"/>
  <c r="BL324" i="1"/>
  <c r="CA506" i="1"/>
  <c r="G343" i="1"/>
  <c r="AO310" i="1"/>
  <c r="CS300" i="1"/>
  <c r="AS291" i="1"/>
  <c r="CW281" i="1"/>
  <c r="AW272" i="1"/>
  <c r="DA262" i="1"/>
  <c r="BA253" i="1"/>
  <c r="DE243" i="1"/>
  <c r="BE234" i="1"/>
  <c r="DI224" i="1"/>
  <c r="BI215" i="1"/>
  <c r="I206" i="1"/>
  <c r="BM196" i="1"/>
  <c r="M187" i="1"/>
  <c r="BF416" i="1"/>
  <c r="CE382" i="1"/>
  <c r="V363" i="1"/>
  <c r="AD325" i="1"/>
  <c r="AK362" i="1"/>
  <c r="BE330" i="1"/>
  <c r="DI320" i="1"/>
  <c r="CM497" i="1"/>
  <c r="BV403" i="1"/>
  <c r="L368" i="1"/>
  <c r="BP358" i="1"/>
  <c r="DH325" i="1"/>
  <c r="I307" i="1"/>
  <c r="Q269" i="1"/>
  <c r="Y231" i="1"/>
  <c r="AG193" i="1"/>
  <c r="Z332" i="1"/>
  <c r="AW313" i="1"/>
  <c r="AJ351" i="1"/>
  <c r="CF319" i="1"/>
  <c r="S342" i="1"/>
  <c r="BU300" i="1"/>
  <c r="BY281" i="1"/>
  <c r="CC262" i="1"/>
  <c r="CG243" i="1"/>
  <c r="CK224" i="1"/>
  <c r="CO205" i="1"/>
  <c r="T311" i="1"/>
  <c r="X292" i="1"/>
  <c r="AB273" i="1"/>
  <c r="AF254" i="1"/>
  <c r="AJ235" i="1"/>
  <c r="AN216" i="1"/>
  <c r="AR197" i="1"/>
  <c r="AC430" i="1"/>
  <c r="DC310" i="1"/>
  <c r="DG291" i="1"/>
  <c r="G273" i="1"/>
  <c r="K254" i="1"/>
  <c r="O235" i="1"/>
  <c r="S216" i="1"/>
  <c r="W197" i="1"/>
  <c r="W348" i="1"/>
  <c r="AJ300" i="1"/>
  <c r="AN281" i="1"/>
  <c r="CN266" i="1"/>
  <c r="AN257" i="1"/>
  <c r="CR247" i="1"/>
  <c r="AR238" i="1"/>
  <c r="CV228" i="1"/>
  <c r="AV219" i="1"/>
  <c r="CZ209" i="1"/>
  <c r="AZ200" i="1"/>
  <c r="DD190" i="1"/>
  <c r="BD181" i="1"/>
  <c r="AQ358" i="1"/>
  <c r="AY320" i="1"/>
  <c r="CA304" i="1"/>
  <c r="AA295" i="1"/>
  <c r="CE285" i="1"/>
  <c r="AE276" i="1"/>
  <c r="CI266" i="1"/>
  <c r="AI257" i="1"/>
  <c r="CM247" i="1"/>
  <c r="AM238" i="1"/>
  <c r="CQ228" i="1"/>
  <c r="AQ219" i="1"/>
  <c r="CU209" i="1"/>
  <c r="AU200" i="1"/>
  <c r="CY190" i="1"/>
  <c r="BQ183" i="1"/>
  <c r="BO323" i="1"/>
  <c r="T305" i="1"/>
  <c r="BX295" i="1"/>
  <c r="X286" i="1"/>
  <c r="CB276" i="1"/>
  <c r="AB267" i="1"/>
  <c r="CF257" i="1"/>
  <c r="AF248" i="1"/>
  <c r="CJ238" i="1"/>
  <c r="AJ229" i="1"/>
  <c r="CN219" i="1"/>
  <c r="AN210" i="1"/>
  <c r="CR200" i="1"/>
  <c r="AR191" i="1"/>
  <c r="CV181" i="1"/>
  <c r="AU359" i="1"/>
  <c r="BC321" i="1"/>
  <c r="DC304" i="1"/>
  <c r="BC295" i="1"/>
  <c r="DG285" i="1"/>
  <c r="BG276" i="1"/>
  <c r="G267" i="1"/>
  <c r="BK257" i="1"/>
  <c r="K248" i="1"/>
  <c r="BO238" i="1"/>
  <c r="O229" i="1"/>
  <c r="BS219" i="1"/>
  <c r="S210" i="1"/>
  <c r="BW200" i="1"/>
  <c r="BU200" i="1"/>
  <c r="AE346" i="1"/>
  <c r="AV309" i="1"/>
  <c r="CZ299" i="1"/>
  <c r="AZ290" i="1"/>
  <c r="DD280" i="1"/>
  <c r="BD271" i="1"/>
  <c r="DH261" i="1"/>
  <c r="BH252" i="1"/>
  <c r="H243" i="1"/>
  <c r="BL233" i="1"/>
  <c r="L224" i="1"/>
  <c r="BP214" i="1"/>
  <c r="P205" i="1"/>
  <c r="BT195" i="1"/>
  <c r="T186" i="1"/>
  <c r="BJ401" i="1"/>
  <c r="O339" i="1"/>
  <c r="AQ309" i="1"/>
  <c r="CU299" i="1"/>
  <c r="AU290" i="1"/>
  <c r="CY280" i="1"/>
  <c r="AY271" i="1"/>
  <c r="DC261" i="1"/>
  <c r="BC252" i="1"/>
  <c r="DG242" i="1"/>
  <c r="BG233" i="1"/>
  <c r="G224" i="1"/>
  <c r="BK214" i="1"/>
  <c r="K205" i="1"/>
  <c r="BO195" i="1"/>
  <c r="O186" i="1"/>
  <c r="DG187" i="1"/>
  <c r="G326" i="1"/>
  <c r="BV277" i="1"/>
  <c r="CD239" i="1"/>
  <c r="CL201" i="1"/>
  <c r="BJ175" i="1"/>
  <c r="J166" i="1"/>
  <c r="H323" i="1"/>
  <c r="M304" i="1"/>
  <c r="U266" i="1"/>
  <c r="AC228" i="1"/>
  <c r="AK190" i="1"/>
  <c r="AP320" i="1"/>
  <c r="CU474" i="1"/>
  <c r="AN348" i="1"/>
  <c r="P318" i="1"/>
  <c r="BS335" i="1"/>
  <c r="DI298" i="1"/>
  <c r="I280" i="1"/>
  <c r="M261" i="1"/>
  <c r="Q242" i="1"/>
  <c r="U223" i="1"/>
  <c r="M201" i="1"/>
  <c r="BH309" i="1"/>
  <c r="BL290" i="1"/>
  <c r="BP271" i="1"/>
  <c r="BT252" i="1"/>
  <c r="BX233" i="1"/>
  <c r="CB214" i="1"/>
  <c r="CF195" i="1"/>
  <c r="DB400" i="1"/>
  <c r="AM309" i="1"/>
  <c r="AQ290" i="1"/>
  <c r="AU271" i="1"/>
  <c r="AY252" i="1"/>
  <c r="BC233" i="1"/>
  <c r="BG214" i="1"/>
  <c r="BK195" i="1"/>
  <c r="BO339" i="1"/>
  <c r="BX298" i="1"/>
  <c r="CB279" i="1"/>
  <c r="L266" i="1"/>
  <c r="BP256" i="1"/>
  <c r="P247" i="1"/>
  <c r="BT237" i="1"/>
  <c r="T228" i="1"/>
  <c r="BX218" i="1"/>
  <c r="X209" i="1"/>
  <c r="CB199" i="1"/>
  <c r="AB190" i="1"/>
  <c r="CF180" i="1"/>
  <c r="AU355" i="1"/>
  <c r="BC317" i="1"/>
  <c r="DC303" i="1"/>
  <c r="BC294" i="1"/>
  <c r="DG284" i="1"/>
  <c r="BG275" i="1"/>
  <c r="G266" i="1"/>
  <c r="BK256" i="1"/>
  <c r="K247" i="1"/>
  <c r="BO237" i="1"/>
  <c r="O228" i="1"/>
  <c r="BS218" i="1"/>
  <c r="S209" i="1"/>
  <c r="BW199" i="1"/>
  <c r="W190" i="1"/>
  <c r="BU180" i="1"/>
  <c r="BO319" i="1"/>
  <c r="AV304" i="1"/>
  <c r="CZ294" i="1"/>
  <c r="AZ285" i="1"/>
  <c r="DD275" i="1"/>
  <c r="BD266" i="1"/>
  <c r="DH256" i="1"/>
  <c r="BH247" i="1"/>
  <c r="H238" i="1"/>
  <c r="BL228" i="1"/>
  <c r="L219" i="1"/>
  <c r="BP209" i="1"/>
  <c r="P200" i="1"/>
  <c r="BT190" i="1"/>
  <c r="T181" i="1"/>
  <c r="AY356" i="1"/>
  <c r="BG318" i="1"/>
  <c r="AA304" i="1"/>
  <c r="CE294" i="1"/>
  <c r="AE285" i="1"/>
  <c r="CI275" i="1"/>
  <c r="AI266" i="1"/>
  <c r="CM256" i="1"/>
  <c r="AM247" i="1"/>
  <c r="CQ237" i="1"/>
  <c r="AQ228" i="1"/>
  <c r="CU218" i="1"/>
  <c r="AU209" i="1"/>
  <c r="CY199" i="1"/>
  <c r="BY197" i="1"/>
  <c r="AE342" i="1"/>
  <c r="BX308" i="1"/>
  <c r="X299" i="1"/>
  <c r="CB289" i="1"/>
  <c r="AB280" i="1"/>
  <c r="CF270" i="1"/>
  <c r="AF261" i="1"/>
  <c r="CJ251" i="1"/>
  <c r="AJ242" i="1"/>
  <c r="CN232" i="1"/>
  <c r="AN223" i="1"/>
  <c r="CR213" i="1"/>
  <c r="AR204" i="1"/>
  <c r="CV194" i="1"/>
  <c r="AV185" i="1"/>
  <c r="BZ389" i="1"/>
  <c r="S336" i="1"/>
  <c r="BS308" i="1"/>
  <c r="S299" i="1"/>
  <c r="BW289" i="1"/>
  <c r="W280" i="1"/>
  <c r="CA270" i="1"/>
  <c r="AA261" i="1"/>
  <c r="CE251" i="1"/>
  <c r="AE242" i="1"/>
  <c r="CI232" i="1"/>
  <c r="AI223" i="1"/>
  <c r="CM213" i="1"/>
  <c r="AM204" i="1"/>
  <c r="AZ322" i="1"/>
  <c r="BE303" i="1"/>
  <c r="BM265" i="1"/>
  <c r="BU227" i="1"/>
  <c r="CC189" i="1"/>
  <c r="DF317" i="1"/>
  <c r="AU465" i="1"/>
  <c r="CF347" i="1"/>
  <c r="DD317" i="1"/>
  <c r="G335" i="1"/>
  <c r="CS298" i="1"/>
  <c r="CW279" i="1"/>
  <c r="DA260" i="1"/>
  <c r="DE241" i="1"/>
  <c r="DI222" i="1"/>
  <c r="BE200" i="1"/>
  <c r="AR309" i="1"/>
  <c r="AV290" i="1"/>
  <c r="AZ271" i="1"/>
  <c r="BD252" i="1"/>
  <c r="BH233" i="1"/>
  <c r="BL214" i="1"/>
  <c r="BP195" i="1"/>
  <c r="BN398" i="1"/>
  <c r="W309" i="1"/>
  <c r="AA290" i="1"/>
  <c r="AE271" i="1"/>
  <c r="AI252" i="1"/>
  <c r="AM233" i="1"/>
  <c r="AQ214" i="1"/>
  <c r="AU195" i="1"/>
  <c r="CA338" i="1"/>
  <c r="BH298" i="1"/>
  <c r="BL279" i="1"/>
  <c r="CZ265" i="1"/>
  <c r="AZ256" i="1"/>
  <c r="DD246" i="1"/>
  <c r="BD237" i="1"/>
  <c r="DH227" i="1"/>
  <c r="BH218" i="1"/>
  <c r="H209" i="1"/>
  <c r="BL199" i="1"/>
  <c r="L190" i="1"/>
  <c r="BP180" i="1"/>
  <c r="CM354" i="1"/>
  <c r="CU316" i="1"/>
  <c r="CM303" i="1"/>
  <c r="AM294" i="1"/>
  <c r="CQ284" i="1"/>
  <c r="AQ275" i="1"/>
  <c r="CU265" i="1"/>
  <c r="AU256" i="1"/>
  <c r="CY246" i="1"/>
  <c r="AY237" i="1"/>
  <c r="DC227" i="1"/>
  <c r="H355" i="1"/>
  <c r="P317" i="1"/>
  <c r="U298" i="1"/>
  <c r="AC260" i="1"/>
  <c r="AK222" i="1"/>
  <c r="AS184" i="1"/>
  <c r="AP382" i="1"/>
  <c r="CH414" i="1"/>
  <c r="AV342" i="1"/>
  <c r="T315" i="1"/>
  <c r="CI323" i="1"/>
  <c r="I296" i="1"/>
  <c r="M277" i="1"/>
  <c r="Q258" i="1"/>
  <c r="U239" i="1"/>
  <c r="Y220" i="1"/>
  <c r="AC189" i="1"/>
  <c r="BL306" i="1"/>
  <c r="BP287" i="1"/>
  <c r="BT268" i="1"/>
  <c r="BX249" i="1"/>
  <c r="CB230" i="1"/>
  <c r="CF211" i="1"/>
  <c r="CJ192" i="1"/>
  <c r="G365" i="1"/>
  <c r="AQ306" i="1"/>
  <c r="AU287" i="1"/>
  <c r="AY268" i="1"/>
  <c r="BC249" i="1"/>
  <c r="BG230" i="1"/>
  <c r="BK211" i="1"/>
  <c r="BO192" i="1"/>
  <c r="CE323" i="1"/>
  <c r="CB295" i="1"/>
  <c r="CF276" i="1"/>
  <c r="BP264" i="1"/>
  <c r="P255" i="1"/>
  <c r="BT245" i="1"/>
  <c r="T236" i="1"/>
  <c r="BX226" i="1"/>
  <c r="X217" i="1"/>
  <c r="CB207" i="1"/>
  <c r="AB198" i="1"/>
  <c r="CF188" i="1"/>
  <c r="DC501" i="1"/>
  <c r="BC349" i="1"/>
  <c r="DC311" i="1"/>
  <c r="BC302" i="1"/>
  <c r="DG292" i="1"/>
  <c r="BG283" i="1"/>
  <c r="G274" i="1"/>
  <c r="BK264" i="1"/>
  <c r="K255" i="1"/>
  <c r="BO245" i="1"/>
  <c r="O236" i="1"/>
  <c r="BS226" i="1"/>
  <c r="S217" i="1"/>
  <c r="BW207" i="1"/>
  <c r="W198" i="1"/>
  <c r="CA188" i="1"/>
  <c r="AH370" i="1"/>
  <c r="AQ313" i="1"/>
  <c r="CZ302" i="1"/>
  <c r="AZ293" i="1"/>
  <c r="DD283" i="1"/>
  <c r="BD274" i="1"/>
  <c r="DH264" i="1"/>
  <c r="BH255" i="1"/>
  <c r="H246" i="1"/>
  <c r="BL236" i="1"/>
  <c r="L227" i="1"/>
  <c r="BP217" i="1"/>
  <c r="P208" i="1"/>
  <c r="BT198" i="1"/>
  <c r="T189" i="1"/>
  <c r="BX179" i="1"/>
  <c r="BG350" i="1"/>
  <c r="BO312" i="1"/>
  <c r="CE302" i="1"/>
  <c r="AE293" i="1"/>
  <c r="CI283" i="1"/>
  <c r="AI274" i="1"/>
  <c r="CM264" i="1"/>
  <c r="AM255" i="1"/>
  <c r="CQ245" i="1"/>
  <c r="AQ236" i="1"/>
  <c r="CU226" i="1"/>
  <c r="AU217" i="1"/>
  <c r="CY207" i="1"/>
  <c r="AY198" i="1"/>
  <c r="O216" i="1"/>
  <c r="AM360" i="1"/>
  <c r="CZ282" i="1"/>
  <c r="DH244" i="1"/>
  <c r="L207" i="1"/>
  <c r="AQ346" i="1"/>
  <c r="CE282" i="1"/>
  <c r="CM244" i="1"/>
  <c r="CU206" i="1"/>
  <c r="AU334" i="1"/>
  <c r="CB297" i="1"/>
  <c r="CF278" i="1"/>
  <c r="CJ259" i="1"/>
  <c r="CN240" i="1"/>
  <c r="CR221" i="1"/>
  <c r="CV202" i="1"/>
  <c r="CZ183" i="1"/>
  <c r="AA330" i="1"/>
  <c r="BW297" i="1"/>
  <c r="CA278" i="1"/>
  <c r="CE259" i="1"/>
  <c r="CI240" i="1"/>
  <c r="CM221" i="1"/>
  <c r="DG202" i="1"/>
  <c r="AU190" i="1"/>
  <c r="BS191" i="1"/>
  <c r="AH307" i="1"/>
  <c r="CX256" i="1"/>
  <c r="DB205" i="1"/>
  <c r="BB173" i="1"/>
  <c r="CX161" i="1"/>
  <c r="AX152" i="1"/>
  <c r="DB142" i="1"/>
  <c r="BB133" i="1"/>
  <c r="AY511" i="1"/>
  <c r="G349" i="1"/>
  <c r="CQ311" i="1"/>
  <c r="AQ302" i="1"/>
  <c r="CU292" i="1"/>
  <c r="AU283" i="1"/>
  <c r="CY273" i="1"/>
  <c r="AY264" i="1"/>
  <c r="DC254" i="1"/>
  <c r="BC245" i="1"/>
  <c r="DG235" i="1"/>
  <c r="BG226" i="1"/>
  <c r="G217" i="1"/>
  <c r="BK207" i="1"/>
  <c r="K198" i="1"/>
  <c r="BO188" i="1"/>
  <c r="BK354" i="1"/>
  <c r="BX310" i="1"/>
  <c r="X301" i="1"/>
  <c r="CB291" i="1"/>
  <c r="AB282" i="1"/>
  <c r="CF272" i="1"/>
  <c r="DH458" i="1"/>
  <c r="BI399" i="1"/>
  <c r="AI405" i="1"/>
  <c r="AQ429" i="1"/>
  <c r="Y373" i="1"/>
  <c r="T397" i="1"/>
  <c r="CY420" i="1"/>
  <c r="AY488" i="1"/>
  <c r="AJ390" i="1"/>
  <c r="AA414" i="1"/>
  <c r="CY368" i="1"/>
  <c r="Z337" i="1"/>
  <c r="DE361" i="1"/>
  <c r="CQ510" i="1"/>
  <c r="BN336" i="1"/>
  <c r="AO361" i="1"/>
  <c r="CU369" i="1"/>
  <c r="AL350" i="1"/>
  <c r="AT312" i="1"/>
  <c r="BA349" i="1"/>
  <c r="BJ325" i="1"/>
  <c r="K493" i="1"/>
  <c r="H349" i="1"/>
  <c r="CI439" i="1"/>
  <c r="U292" i="1"/>
  <c r="AC254" i="1"/>
  <c r="AK216" i="1"/>
  <c r="CM436" i="1"/>
  <c r="AQ376" i="1"/>
  <c r="BB319" i="1"/>
  <c r="Y329" i="1"/>
  <c r="CR520" i="1"/>
  <c r="CH390" i="1"/>
  <c r="CF361" i="1"/>
  <c r="T349" i="1"/>
  <c r="AV336" i="1"/>
  <c r="CN323" i="1"/>
  <c r="AU437" i="1"/>
  <c r="BW340" i="1"/>
  <c r="CG309" i="1"/>
  <c r="AG300" i="1"/>
  <c r="CK290" i="1"/>
  <c r="AK281" i="1"/>
  <c r="CO271" i="1"/>
  <c r="AO262" i="1"/>
  <c r="CS252" i="1"/>
  <c r="AS243" i="1"/>
  <c r="CW233" i="1"/>
  <c r="AW224" i="1"/>
  <c r="DA214" i="1"/>
  <c r="BA205" i="1"/>
  <c r="DE195" i="1"/>
  <c r="BE186" i="1"/>
  <c r="F407" i="1"/>
  <c r="AQ380" i="1"/>
  <c r="CL360" i="1"/>
  <c r="CT322" i="1"/>
  <c r="DA359" i="1"/>
  <c r="CW329" i="1"/>
  <c r="AW320" i="1"/>
  <c r="BO482" i="1"/>
  <c r="AH401" i="1"/>
  <c r="BD367" i="1"/>
  <c r="DH357" i="1"/>
  <c r="BT323" i="1"/>
  <c r="BY304" i="1"/>
  <c r="CG266" i="1"/>
  <c r="CO228" i="1"/>
  <c r="CW190" i="1"/>
  <c r="CD322" i="1"/>
  <c r="AQ484" i="1"/>
  <c r="CZ348" i="1"/>
  <c r="BL318" i="1"/>
  <c r="AU337" i="1"/>
  <c r="BA299" i="1"/>
  <c r="BE280" i="1"/>
  <c r="BI261" i="1"/>
  <c r="BM242" i="1"/>
  <c r="BQ223" i="1"/>
  <c r="CS202" i="1"/>
  <c r="DD309" i="1"/>
  <c r="DH290" i="1"/>
  <c r="H272" i="1"/>
  <c r="L253" i="1"/>
  <c r="P234" i="1"/>
  <c r="T215" i="1"/>
  <c r="X196" i="1"/>
  <c r="J408" i="1"/>
  <c r="CI309" i="1"/>
  <c r="CM290" i="1"/>
  <c r="CQ271" i="1"/>
  <c r="CU252" i="1"/>
  <c r="CY233" i="1"/>
  <c r="DC214" i="1"/>
  <c r="DG195" i="1"/>
  <c r="DC341" i="1"/>
  <c r="P299" i="1"/>
  <c r="T280" i="1"/>
  <c r="AB266" i="1"/>
  <c r="CF256" i="1"/>
  <c r="AF247" i="1"/>
  <c r="CJ237" i="1"/>
  <c r="AJ228" i="1"/>
  <c r="CN218" i="1"/>
  <c r="AN209" i="1"/>
  <c r="CR199" i="1"/>
  <c r="AR190" i="1"/>
  <c r="CV180" i="1"/>
  <c r="DG355" i="1"/>
  <c r="K318" i="1"/>
  <c r="O304" i="1"/>
  <c r="BS294" i="1"/>
  <c r="S285" i="1"/>
  <c r="BW275" i="1"/>
  <c r="W266" i="1"/>
  <c r="CA256" i="1"/>
  <c r="AA247" i="1"/>
  <c r="CE237" i="1"/>
  <c r="AE228" i="1"/>
  <c r="CI218" i="1"/>
  <c r="AI209" i="1"/>
  <c r="CM199" i="1"/>
  <c r="AM190" i="1"/>
  <c r="AK274" i="1"/>
  <c r="AS236" i="1"/>
  <c r="BA198" i="1"/>
  <c r="DB352" i="1"/>
  <c r="BQ318" i="1"/>
  <c r="BD356" i="1"/>
  <c r="AW402" i="1"/>
  <c r="DA377" i="1"/>
  <c r="H395" i="1"/>
  <c r="CC366" i="1"/>
  <c r="AY373" i="1"/>
  <c r="CH339" i="1"/>
  <c r="CC295" i="1"/>
  <c r="BC383" i="1"/>
  <c r="BF395" i="1"/>
  <c r="DH324" i="1"/>
  <c r="U301" i="1"/>
  <c r="AC263" i="1"/>
  <c r="AK225" i="1"/>
  <c r="AS187" i="1"/>
  <c r="AX326" i="1"/>
  <c r="CI516" i="1"/>
  <c r="AV349" i="1"/>
  <c r="BC463" i="1"/>
  <c r="BI292" i="1"/>
  <c r="BQ254" i="1"/>
  <c r="BY216" i="1"/>
  <c r="BG460" i="1"/>
  <c r="CC349" i="1"/>
  <c r="AD392" i="1"/>
  <c r="CJ336" i="1"/>
  <c r="AY334" i="1"/>
  <c r="CG279" i="1"/>
  <c r="CO241" i="1"/>
  <c r="CW199" i="1"/>
  <c r="AF290" i="1"/>
  <c r="AN252" i="1"/>
  <c r="AV214" i="1"/>
  <c r="Z396" i="1"/>
  <c r="K290" i="1"/>
  <c r="S252" i="1"/>
  <c r="AA214" i="1"/>
  <c r="DC337" i="1"/>
  <c r="AV279" i="1"/>
  <c r="K462" i="1"/>
  <c r="DC405" i="1"/>
  <c r="BB384" i="1"/>
  <c r="BB321" i="1"/>
  <c r="CX397" i="1"/>
  <c r="CJ337" i="1"/>
  <c r="I205" i="1"/>
  <c r="AW323" i="1"/>
  <c r="AJ345" i="1"/>
  <c r="AU329" i="1"/>
  <c r="BE278" i="1"/>
  <c r="BM240" i="1"/>
  <c r="BU202" i="1"/>
  <c r="O369" i="1"/>
  <c r="M327" i="1"/>
  <c r="BX364" i="1"/>
  <c r="CF326" i="1"/>
  <c r="CK307" i="1"/>
  <c r="CS269" i="1"/>
  <c r="DA231" i="1"/>
  <c r="DI193" i="1"/>
  <c r="V335" i="1"/>
  <c r="U314" i="1"/>
  <c r="H352" i="1"/>
  <c r="P314" i="1"/>
  <c r="DI294" i="1"/>
  <c r="M257" i="1"/>
  <c r="U219" i="1"/>
  <c r="BH305" i="1"/>
  <c r="BP267" i="1"/>
  <c r="BX229" i="1"/>
  <c r="CF191" i="1"/>
  <c r="BW420" i="1"/>
  <c r="AQ462" i="1"/>
  <c r="AH331" i="1"/>
  <c r="AW355" i="1"/>
  <c r="DI344" i="1"/>
  <c r="AI366" i="1"/>
  <c r="O366" i="1"/>
  <c r="CN473" i="1"/>
  <c r="AE408" i="1"/>
  <c r="AC374" i="1"/>
  <c r="DC421" i="1"/>
  <c r="X391" i="1"/>
  <c r="AY375" i="1"/>
  <c r="CD343" i="1"/>
  <c r="BE368" i="1"/>
  <c r="O375" i="1"/>
  <c r="N343" i="1"/>
  <c r="CS367" i="1"/>
  <c r="CI374" i="1"/>
  <c r="Z355" i="1"/>
  <c r="AH317" i="1"/>
  <c r="AO354" i="1"/>
  <c r="N345" i="1"/>
  <c r="AO316" i="1"/>
  <c r="CZ353" i="1"/>
  <c r="DH315" i="1"/>
  <c r="I297" i="1"/>
  <c r="Q259" i="1"/>
  <c r="Y221" i="1"/>
  <c r="AG183" i="1"/>
  <c r="DF341" i="1"/>
  <c r="CS315" i="1"/>
  <c r="T353" i="1"/>
  <c r="AB315" i="1"/>
  <c r="I385" i="1"/>
  <c r="CM413" i="1"/>
  <c r="CT415" i="1"/>
  <c r="BB329" i="1"/>
  <c r="BR421" i="1"/>
  <c r="CB343" i="1"/>
  <c r="DE210" i="1"/>
  <c r="AS326" i="1"/>
  <c r="AR347" i="1"/>
  <c r="AM335" i="1"/>
  <c r="DE279" i="1"/>
  <c r="I242" i="1"/>
  <c r="Q204" i="1"/>
  <c r="G375" i="1"/>
  <c r="BM328" i="1"/>
  <c r="T366" i="1"/>
  <c r="AB328" i="1"/>
  <c r="AG309" i="1"/>
  <c r="AO271" i="1"/>
  <c r="AW233" i="1"/>
  <c r="BE195" i="1"/>
  <c r="N341" i="1"/>
  <c r="BU315" i="1"/>
  <c r="BH353" i="1"/>
  <c r="DI467" i="1"/>
  <c r="AA470" i="1"/>
  <c r="X379" i="1"/>
  <c r="DI350" i="1"/>
  <c r="Z413" i="1"/>
  <c r="CH409" i="1"/>
  <c r="CG366" i="1"/>
  <c r="CF340" i="1"/>
  <c r="CS283" i="1"/>
  <c r="DI207" i="1"/>
  <c r="AL408" i="1"/>
  <c r="I325" i="1"/>
  <c r="N380" i="1"/>
  <c r="AN346" i="1"/>
  <c r="DH320" i="1"/>
  <c r="AQ332" i="1"/>
  <c r="Y298" i="1"/>
  <c r="AC279" i="1"/>
  <c r="AG260" i="1"/>
  <c r="AK241" i="1"/>
  <c r="AO222" i="1"/>
  <c r="AS203" i="1"/>
  <c r="AW184" i="1"/>
  <c r="K372" i="1"/>
  <c r="BN314" i="1"/>
  <c r="CO327" i="1"/>
  <c r="BW444" i="1"/>
  <c r="AV365" i="1"/>
  <c r="AZ346" i="1"/>
  <c r="BD327" i="1"/>
  <c r="Z388" i="1"/>
  <c r="BI308" i="1"/>
  <c r="BM289" i="1"/>
  <c r="BQ270" i="1"/>
  <c r="BU251" i="1"/>
  <c r="BY232" i="1"/>
  <c r="CC213" i="1"/>
  <c r="CG194" i="1"/>
  <c r="BB387" i="1"/>
  <c r="R338" i="1"/>
  <c r="CS337" i="1"/>
  <c r="CW314" i="1"/>
  <c r="AT380" i="1"/>
  <c r="CJ352" i="1"/>
  <c r="CN333" i="1"/>
  <c r="CR314" i="1"/>
  <c r="BO322" i="1"/>
  <c r="CG295" i="1"/>
  <c r="CK276" i="1"/>
  <c r="CO257" i="1"/>
  <c r="CS238" i="1"/>
  <c r="CW219" i="1"/>
  <c r="I188" i="1"/>
  <c r="AF306" i="1"/>
  <c r="AJ287" i="1"/>
  <c r="AN268" i="1"/>
  <c r="AR249" i="1"/>
  <c r="AV230" i="1"/>
  <c r="AZ211" i="1"/>
  <c r="BD192" i="1"/>
  <c r="CQ363" i="1"/>
  <c r="K306" i="1"/>
  <c r="O287" i="1"/>
  <c r="S268" i="1"/>
  <c r="W249" i="1"/>
  <c r="AA230" i="1"/>
  <c r="AE211" i="1"/>
  <c r="AI192" i="1"/>
  <c r="O322" i="1"/>
  <c r="AV295" i="1"/>
  <c r="AZ276" i="1"/>
  <c r="AF439" i="1"/>
  <c r="AV387" i="1"/>
  <c r="CR416" i="1"/>
  <c r="BE387" i="1"/>
  <c r="BC458" i="1"/>
  <c r="CX356" i="1"/>
  <c r="CM389" i="1"/>
  <c r="Z418" i="1"/>
  <c r="R365" i="1"/>
  <c r="AX388" i="1"/>
  <c r="CO335" i="1"/>
  <c r="AW345" i="1"/>
  <c r="CH386" i="1"/>
  <c r="AV335" i="1"/>
  <c r="BK329" i="1"/>
  <c r="BI278" i="1"/>
  <c r="BQ240" i="1"/>
  <c r="BY202" i="1"/>
  <c r="K353" i="1"/>
  <c r="BB367" i="1"/>
  <c r="Y367" i="1"/>
  <c r="AC322" i="1"/>
  <c r="AP423" i="1"/>
  <c r="DF372" i="1"/>
  <c r="T357" i="1"/>
  <c r="BL344" i="1"/>
  <c r="DD331" i="1"/>
  <c r="AB319" i="1"/>
  <c r="BK365" i="1"/>
  <c r="G327" i="1"/>
  <c r="AO306" i="1"/>
  <c r="CS296" i="1"/>
  <c r="AS287" i="1"/>
  <c r="CW277" i="1"/>
  <c r="AW268" i="1"/>
  <c r="DA258" i="1"/>
  <c r="BA249" i="1"/>
  <c r="DE239" i="1"/>
  <c r="BE230" i="1"/>
  <c r="DI220" i="1"/>
  <c r="BI211" i="1"/>
  <c r="I202" i="1"/>
  <c r="BM192" i="1"/>
  <c r="M183" i="1"/>
  <c r="CI364" i="1"/>
  <c r="CA465" i="1"/>
  <c r="V347" i="1"/>
  <c r="AY442" i="1"/>
  <c r="AK346" i="1"/>
  <c r="BE326" i="1"/>
  <c r="DI316" i="1"/>
  <c r="AO427" i="1"/>
  <c r="BV387" i="1"/>
  <c r="L364" i="1"/>
  <c r="BP354" i="1"/>
  <c r="P345" i="1"/>
  <c r="BT335" i="1"/>
  <c r="T326" i="1"/>
  <c r="BX316" i="1"/>
  <c r="AQ368" i="1"/>
  <c r="AY330" i="1"/>
  <c r="Y307" i="1"/>
  <c r="CC297" i="1"/>
  <c r="AC288" i="1"/>
  <c r="CG278" i="1"/>
  <c r="AG269" i="1"/>
  <c r="CK259" i="1"/>
  <c r="AK250" i="1"/>
  <c r="CO240" i="1"/>
  <c r="AO231" i="1"/>
  <c r="CS221" i="1"/>
  <c r="AS212" i="1"/>
  <c r="CW202" i="1"/>
  <c r="AW193" i="1"/>
  <c r="DA183" i="1"/>
  <c r="W368" i="1"/>
  <c r="AL376" i="1"/>
  <c r="CL332" i="1"/>
  <c r="AD375" i="1"/>
  <c r="BQ332" i="1"/>
  <c r="I323" i="1"/>
  <c r="BM313" i="1"/>
  <c r="DF412" i="1"/>
  <c r="J375" i="1"/>
  <c r="CZ360" i="1"/>
  <c r="AZ351" i="1"/>
  <c r="DD341" i="1"/>
  <c r="BD332" i="1"/>
  <c r="DH322" i="1"/>
  <c r="BH313" i="1"/>
  <c r="W355" i="1"/>
  <c r="AE317" i="1"/>
  <c r="CW303" i="1"/>
  <c r="AW294" i="1"/>
  <c r="DA284" i="1"/>
  <c r="BA275" i="1"/>
  <c r="DE265" i="1"/>
  <c r="BE256" i="1"/>
  <c r="DI246" i="1"/>
  <c r="BI237" i="1"/>
  <c r="I228" i="1"/>
  <c r="BM218" i="1"/>
  <c r="M209" i="1"/>
  <c r="CC182" i="1"/>
  <c r="AU322" i="1"/>
  <c r="CZ304" i="1"/>
  <c r="AZ295" i="1"/>
  <c r="DD285" i="1"/>
  <c r="BD276" i="1"/>
  <c r="DH266" i="1"/>
  <c r="BH257" i="1"/>
  <c r="H248" i="1"/>
  <c r="BL238" i="1"/>
  <c r="L229" i="1"/>
  <c r="BP219" i="1"/>
  <c r="P210" i="1"/>
  <c r="BT200" i="1"/>
  <c r="T191" i="1"/>
  <c r="BG503" i="1"/>
  <c r="DA380" i="1"/>
  <c r="DE377" i="1"/>
  <c r="BK417" i="1"/>
  <c r="CU480" i="1"/>
  <c r="DD387" i="1"/>
  <c r="CU411" i="1"/>
  <c r="S448" i="1"/>
  <c r="P381" i="1"/>
  <c r="W405" i="1"/>
  <c r="V408" i="1"/>
  <c r="F328" i="1"/>
  <c r="DA352" i="1"/>
  <c r="BV405" i="1"/>
  <c r="AT327" i="1"/>
  <c r="AK352" i="1"/>
  <c r="R419" i="1"/>
  <c r="BF343" i="1"/>
  <c r="BZ415" i="1"/>
  <c r="BU342" i="1"/>
  <c r="R384" i="1"/>
  <c r="F414" i="1"/>
  <c r="AB342" i="1"/>
  <c r="CM356" i="1"/>
  <c r="AO285" i="1"/>
  <c r="AW247" i="1"/>
  <c r="BE209" i="1"/>
  <c r="BS356" i="1"/>
  <c r="AX376" i="1"/>
  <c r="BM319" i="1"/>
  <c r="AB535" i="1"/>
  <c r="CR450" i="1"/>
  <c r="L454" i="1"/>
  <c r="CG397" i="1"/>
  <c r="CZ404" i="1"/>
  <c r="BG403" i="1"/>
  <c r="AB402" i="1"/>
  <c r="W428" i="1"/>
  <c r="CM400" i="1"/>
  <c r="BQ372" i="1"/>
  <c r="CF421" i="1"/>
  <c r="BL396" i="1"/>
  <c r="AB371" i="1"/>
  <c r="AM420" i="1"/>
  <c r="S395" i="1"/>
  <c r="K486" i="1"/>
  <c r="CV414" i="1"/>
  <c r="CB389" i="1"/>
  <c r="BO481" i="1"/>
  <c r="BS413" i="1"/>
  <c r="AY388" i="1"/>
  <c r="CA374" i="1"/>
  <c r="BB416" i="1"/>
  <c r="V368" i="1"/>
  <c r="BN355" i="1"/>
  <c r="CP342" i="1"/>
  <c r="AD330" i="1"/>
  <c r="BV317" i="1"/>
  <c r="CL414" i="1"/>
  <c r="CG367" i="1"/>
  <c r="U355" i="1"/>
  <c r="AW342" i="1"/>
  <c r="CI387" i="1"/>
  <c r="AQ374" i="1"/>
  <c r="DB413" i="1"/>
  <c r="BJ367" i="1"/>
  <c r="DB354" i="1"/>
  <c r="Z342" i="1"/>
  <c r="BR329" i="1"/>
  <c r="F317" i="1"/>
  <c r="AH412" i="1"/>
  <c r="Q367" i="1"/>
  <c r="BI354" i="1"/>
  <c r="CK341" i="1"/>
  <c r="CE386" i="1"/>
  <c r="W374" i="1"/>
  <c r="BE427" i="1"/>
  <c r="CD387" i="1"/>
  <c r="N364" i="1"/>
  <c r="BR354" i="1"/>
  <c r="R345" i="1"/>
  <c r="BV335" i="1"/>
  <c r="V326" i="1"/>
  <c r="BZ316" i="1"/>
  <c r="Z422" i="1"/>
  <c r="AH384" i="1"/>
  <c r="AC363" i="1"/>
  <c r="CG353" i="1"/>
  <c r="AG344" i="1"/>
  <c r="CK334" i="1"/>
  <c r="F416" i="1"/>
  <c r="CD342" i="1"/>
  <c r="Z410" i="1"/>
  <c r="AG341" i="1"/>
  <c r="AC325" i="1"/>
  <c r="CG315" i="1"/>
  <c r="BJ420" i="1"/>
  <c r="BR382" i="1"/>
  <c r="CN362" i="1"/>
  <c r="AN353" i="1"/>
  <c r="CR343" i="1"/>
  <c r="AR334" i="1"/>
  <c r="CV324" i="1"/>
  <c r="AV315" i="1"/>
  <c r="AM363" i="1"/>
  <c r="AU325" i="1"/>
  <c r="DA305" i="1"/>
  <c r="BA296" i="1"/>
  <c r="DE286" i="1"/>
  <c r="BE277" i="1"/>
  <c r="DI267" i="1"/>
  <c r="BI258" i="1"/>
  <c r="I249" i="1"/>
  <c r="BM239" i="1"/>
  <c r="M230" i="1"/>
  <c r="BQ220" i="1"/>
  <c r="Q211" i="1"/>
  <c r="BU201" i="1"/>
  <c r="U192" i="1"/>
  <c r="BY182" i="1"/>
  <c r="S363" i="1"/>
  <c r="AA325" i="1"/>
  <c r="BN403" i="1"/>
  <c r="BR339" i="1"/>
  <c r="BF402" i="1"/>
  <c r="AO339" i="1"/>
  <c r="CG324" i="1"/>
  <c r="AG315" i="1"/>
  <c r="AX417" i="1"/>
  <c r="BF379" i="1"/>
  <c r="H362" i="1"/>
  <c r="BL352" i="1"/>
  <c r="L343" i="1"/>
  <c r="BP333" i="1"/>
  <c r="P324" i="1"/>
  <c r="BT314" i="1"/>
  <c r="CD459" i="1"/>
  <c r="AG479" i="1"/>
  <c r="AG377" i="1"/>
  <c r="AW374" i="1"/>
  <c r="AQ416" i="1"/>
  <c r="DC474" i="1"/>
  <c r="CJ386" i="1"/>
  <c r="CA410" i="1"/>
  <c r="AU443" i="1"/>
  <c r="CZ379" i="1"/>
  <c r="DG403" i="1"/>
  <c r="AX403" i="1"/>
  <c r="CP326" i="1"/>
  <c r="CG351" i="1"/>
  <c r="CX400" i="1"/>
  <c r="Z326" i="1"/>
  <c r="Q351" i="1"/>
  <c r="BN415" i="1"/>
  <c r="BR342" i="1"/>
  <c r="R412" i="1"/>
  <c r="CG341" i="1"/>
  <c r="CX369" i="1"/>
  <c r="BB410" i="1"/>
  <c r="AN341" i="1"/>
  <c r="AE353" i="1"/>
  <c r="BA284" i="1"/>
  <c r="BI246" i="1"/>
  <c r="BQ208" i="1"/>
  <c r="CY364" i="1"/>
  <c r="BZ410" i="1"/>
  <c r="BR409" i="1"/>
  <c r="Y325" i="1"/>
  <c r="AE445" i="1"/>
  <c r="BZ380" i="1"/>
  <c r="AB359" i="1"/>
  <c r="BD346" i="1"/>
  <c r="CV333" i="1"/>
  <c r="AJ321" i="1"/>
  <c r="AX386" i="1"/>
  <c r="DC332" i="1"/>
  <c r="CO307" i="1"/>
  <c r="AO298" i="1"/>
  <c r="CS288" i="1"/>
  <c r="AS279" i="1"/>
  <c r="CW269" i="1"/>
  <c r="AW260" i="1"/>
  <c r="DA250" i="1"/>
  <c r="BA241" i="1"/>
  <c r="DE231" i="1"/>
  <c r="BE222" i="1"/>
  <c r="DI212" i="1"/>
  <c r="BI203" i="1"/>
  <c r="I194" i="1"/>
  <c r="BM184" i="1"/>
  <c r="Z376" i="1"/>
  <c r="BW372" i="1"/>
  <c r="N353" i="1"/>
  <c r="V315" i="1"/>
  <c r="AC352" i="1"/>
  <c r="DE327" i="1"/>
  <c r="BE318" i="1"/>
  <c r="G447" i="1"/>
  <c r="BN393" i="1"/>
  <c r="BL365" i="1"/>
  <c r="L356" i="1"/>
  <c r="BP346" i="1"/>
  <c r="P337" i="1"/>
  <c r="BT327" i="1"/>
  <c r="T318" i="1"/>
  <c r="BN390" i="1"/>
  <c r="AQ336" i="1"/>
  <c r="BY308" i="1"/>
  <c r="Y299" i="1"/>
  <c r="CC289" i="1"/>
  <c r="AC280" i="1"/>
  <c r="CG270" i="1"/>
  <c r="AG261" i="1"/>
  <c r="CK251" i="1"/>
  <c r="AK242" i="1"/>
  <c r="CO232" i="1"/>
  <c r="AO223" i="1"/>
  <c r="CS213" i="1"/>
  <c r="AS204" i="1"/>
  <c r="CW194" i="1"/>
  <c r="AW185" i="1"/>
  <c r="CP389" i="1"/>
  <c r="F400" i="1"/>
  <c r="CD338" i="1"/>
  <c r="DB398" i="1"/>
  <c r="BA338" i="1"/>
  <c r="BI324" i="1"/>
  <c r="I315" i="1"/>
  <c r="CX418" i="1"/>
  <c r="DF380" i="1"/>
  <c r="AV362" i="1"/>
  <c r="CZ352" i="1"/>
  <c r="AZ343" i="1"/>
  <c r="DD333" i="1"/>
  <c r="BA474" i="1"/>
  <c r="L531" i="1"/>
  <c r="CY485" i="1"/>
  <c r="AM473" i="1"/>
  <c r="AQ412" i="1"/>
  <c r="CM454" i="1"/>
  <c r="CZ382" i="1"/>
  <c r="CA406" i="1"/>
  <c r="AS429" i="1"/>
  <c r="L376" i="1"/>
  <c r="DG399" i="1"/>
  <c r="AX387" i="1"/>
  <c r="DF322" i="1"/>
  <c r="CG347" i="1"/>
  <c r="CX384" i="1"/>
  <c r="AP322" i="1"/>
  <c r="Q347" i="1"/>
  <c r="CD403" i="1"/>
  <c r="BV339" i="1"/>
  <c r="AH400" i="1"/>
  <c r="CK338" i="1"/>
  <c r="AG357" i="1"/>
  <c r="BR398" i="1"/>
  <c r="AR338" i="1"/>
  <c r="AU341" i="1"/>
  <c r="BE281" i="1"/>
  <c r="BM243" i="1"/>
  <c r="BU205" i="1"/>
  <c r="BO359" i="1"/>
  <c r="AP389" i="1"/>
  <c r="AH388" i="1"/>
  <c r="CS323" i="1"/>
  <c r="Y431" i="1"/>
  <c r="BJ376" i="1"/>
  <c r="X358" i="1"/>
  <c r="BP345" i="1"/>
  <c r="CR332" i="1"/>
  <c r="AF320" i="1"/>
  <c r="Z372" i="1"/>
  <c r="DG329" i="1"/>
  <c r="M307" i="1"/>
  <c r="BQ297" i="1"/>
  <c r="Q288" i="1"/>
  <c r="BU278" i="1"/>
  <c r="U269" i="1"/>
  <c r="BY259" i="1"/>
  <c r="Y250" i="1"/>
  <c r="CC240" i="1"/>
  <c r="AC231" i="1"/>
  <c r="CG221" i="1"/>
  <c r="AG212" i="1"/>
  <c r="CK202" i="1"/>
  <c r="AK193" i="1"/>
  <c r="CO183" i="1"/>
  <c r="CE367" i="1"/>
  <c r="CA369" i="1"/>
  <c r="R350" i="1"/>
  <c r="BZ551" i="1"/>
  <c r="AG349" i="1"/>
  <c r="AC327" i="1"/>
  <c r="CG317" i="1"/>
  <c r="W435" i="1"/>
  <c r="BR390" i="1"/>
  <c r="CN364" i="1"/>
  <c r="AN355" i="1"/>
  <c r="CR345" i="1"/>
  <c r="AR336" i="1"/>
  <c r="CV326" i="1"/>
  <c r="AV317" i="1"/>
  <c r="CD378" i="1"/>
  <c r="AU333" i="1"/>
  <c r="DA307" i="1"/>
  <c r="BA298" i="1"/>
  <c r="DE288" i="1"/>
  <c r="BE279" i="1"/>
  <c r="DI269" i="1"/>
  <c r="BI260" i="1"/>
  <c r="I251" i="1"/>
  <c r="BM241" i="1"/>
  <c r="M232" i="1"/>
  <c r="BQ222" i="1"/>
  <c r="Q213" i="1"/>
  <c r="BU203" i="1"/>
  <c r="U194" i="1"/>
  <c r="BY184" i="1"/>
  <c r="DF377" i="1"/>
  <c r="V388" i="1"/>
  <c r="CH335" i="1"/>
  <c r="N387" i="1"/>
  <c r="BE335" i="1"/>
  <c r="CK323" i="1"/>
  <c r="AK314" i="1"/>
  <c r="DB415" i="1"/>
  <c r="F378" i="1"/>
  <c r="BX361" i="1"/>
  <c r="X352" i="1"/>
  <c r="CB342" i="1"/>
  <c r="AB333" i="1"/>
  <c r="CF323" i="1"/>
  <c r="AF314" i="1"/>
  <c r="S358" i="1"/>
  <c r="AA320" i="1"/>
  <c r="BU304" i="1"/>
  <c r="U295" i="1"/>
  <c r="BY285" i="1"/>
  <c r="Y276" i="1"/>
  <c r="CC266" i="1"/>
  <c r="AC257" i="1"/>
  <c r="CG247" i="1"/>
  <c r="AG238" i="1"/>
  <c r="CK228" i="1"/>
  <c r="AK219" i="1"/>
  <c r="CO209" i="1"/>
  <c r="BY185" i="1"/>
  <c r="AE326" i="1"/>
  <c r="BX305" i="1"/>
  <c r="X296" i="1"/>
  <c r="CB286" i="1"/>
  <c r="AB277" i="1"/>
  <c r="CF267" i="1"/>
  <c r="AF258" i="1"/>
  <c r="CJ248" i="1"/>
  <c r="AJ239" i="1"/>
  <c r="CN229" i="1"/>
  <c r="AN220" i="1"/>
  <c r="CR210" i="1"/>
  <c r="AR201" i="1"/>
  <c r="CV191" i="1"/>
  <c r="AV182" i="1"/>
  <c r="BC361" i="1"/>
  <c r="BK323" i="1"/>
  <c r="BC305" i="1"/>
  <c r="DG295" i="1"/>
  <c r="BG286" i="1"/>
  <c r="G277" i="1"/>
  <c r="BK267" i="1"/>
  <c r="K258" i="1"/>
  <c r="BO248" i="1"/>
  <c r="O239" i="1"/>
  <c r="BS229" i="1"/>
  <c r="S220" i="1"/>
  <c r="BW210" i="1"/>
  <c r="W201" i="1"/>
  <c r="CA191" i="1"/>
  <c r="Y180" i="1"/>
  <c r="DG318" i="1"/>
  <c r="AJ304" i="1"/>
  <c r="CN294" i="1"/>
  <c r="AN285" i="1"/>
  <c r="CR275" i="1"/>
  <c r="BE411" i="1"/>
  <c r="CJ429" i="1"/>
  <c r="BT380" i="1"/>
  <c r="CZ377" i="1"/>
  <c r="BW392" i="1"/>
  <c r="CF413" i="1"/>
  <c r="AA475" i="1"/>
  <c r="AO383" i="1"/>
  <c r="CV406" i="1"/>
  <c r="AE444" i="1"/>
  <c r="CQ385" i="1"/>
  <c r="CL353" i="1"/>
  <c r="BZ407" i="1"/>
  <c r="AU385" i="1"/>
  <c r="V353" i="1"/>
  <c r="V405" i="1"/>
  <c r="AU384" i="1"/>
  <c r="CH362" i="1"/>
  <c r="CP324" i="1"/>
  <c r="CW361" i="1"/>
  <c r="BZ394" i="1"/>
  <c r="CW323" i="1"/>
  <c r="BD361" i="1"/>
  <c r="BL323" i="1"/>
  <c r="BQ304" i="1"/>
  <c r="BY266" i="1"/>
  <c r="CG228" i="1"/>
  <c r="CO190" i="1"/>
  <c r="AQ329" i="1"/>
  <c r="CH343" i="1"/>
  <c r="BE343" i="1"/>
  <c r="AK316" i="1"/>
  <c r="AP407" i="1"/>
  <c r="CV365" i="1"/>
  <c r="AJ353" i="1"/>
  <c r="BL340" i="1"/>
  <c r="DD327" i="1"/>
  <c r="AR315" i="1"/>
  <c r="O353" i="1"/>
  <c r="W315" i="1"/>
  <c r="AS303" i="1"/>
  <c r="CW293" i="1"/>
  <c r="AW284" i="1"/>
  <c r="DA274" i="1"/>
  <c r="BA265" i="1"/>
  <c r="DE255" i="1"/>
  <c r="BE246" i="1"/>
  <c r="DI236" i="1"/>
  <c r="BI227" i="1"/>
  <c r="I218" i="1"/>
  <c r="BM208" i="1"/>
  <c r="M199" i="1"/>
  <c r="BQ189" i="1"/>
  <c r="Q180" i="1"/>
  <c r="CY352" i="1"/>
  <c r="AT386" i="1"/>
  <c r="AL335" i="1"/>
  <c r="DB382" i="1"/>
  <c r="BA334" i="1"/>
  <c r="BI323" i="1"/>
  <c r="I314" i="1"/>
  <c r="CD413" i="1"/>
  <c r="CL375" i="1"/>
  <c r="P361" i="1"/>
  <c r="BT351" i="1"/>
  <c r="T342" i="1"/>
  <c r="BX332" i="1"/>
  <c r="X323" i="1"/>
  <c r="CB313" i="1"/>
  <c r="BG356" i="1"/>
  <c r="BO318" i="1"/>
  <c r="AC304" i="1"/>
  <c r="CG294" i="1"/>
  <c r="AG285" i="1"/>
  <c r="CK275" i="1"/>
  <c r="AK266" i="1"/>
  <c r="CO256" i="1"/>
  <c r="AO247" i="1"/>
  <c r="CS237" i="1"/>
  <c r="AS228" i="1"/>
  <c r="CW218" i="1"/>
  <c r="AW209" i="1"/>
  <c r="DA199" i="1"/>
  <c r="BA190" i="1"/>
  <c r="DE180" i="1"/>
  <c r="CQ377" i="1"/>
  <c r="CT358" i="1"/>
  <c r="DB320" i="1"/>
  <c r="BQ358" i="1"/>
  <c r="BM329" i="1"/>
  <c r="M320" i="1"/>
  <c r="AE477" i="1"/>
  <c r="R401" i="1"/>
  <c r="AZ367" i="1"/>
  <c r="DD357" i="1"/>
  <c r="BD348" i="1"/>
  <c r="DH338" i="1"/>
  <c r="BH329" i="1"/>
  <c r="H320" i="1"/>
  <c r="AX418" i="1"/>
  <c r="AM343" i="1"/>
  <c r="AW310" i="1"/>
  <c r="DA300" i="1"/>
  <c r="BA291" i="1"/>
  <c r="DE281" i="1"/>
  <c r="BE272" i="1"/>
  <c r="DI262" i="1"/>
  <c r="BI253" i="1"/>
  <c r="I244" i="1"/>
  <c r="BM234" i="1"/>
  <c r="M225" i="1"/>
  <c r="BQ215" i="1"/>
  <c r="Q206" i="1"/>
  <c r="CY360" i="1"/>
  <c r="AZ311" i="1"/>
  <c r="DD301" i="1"/>
  <c r="BD292" i="1"/>
  <c r="DH282" i="1"/>
  <c r="BH273" i="1"/>
  <c r="H264" i="1"/>
  <c r="BL254" i="1"/>
  <c r="L245" i="1"/>
  <c r="BP235" i="1"/>
  <c r="P226" i="1"/>
  <c r="BT216" i="1"/>
  <c r="T207" i="1"/>
  <c r="BX197" i="1"/>
  <c r="X188" i="1"/>
  <c r="CZ457" i="1"/>
  <c r="CV407" i="1"/>
  <c r="X405" i="1"/>
  <c r="CA401" i="1"/>
  <c r="CJ422" i="1"/>
  <c r="AF372" i="1"/>
  <c r="G396" i="1"/>
  <c r="CZ415" i="1"/>
  <c r="CE485" i="1"/>
  <c r="AM389" i="1"/>
  <c r="CP362" i="1"/>
  <c r="AL312" i="1"/>
  <c r="M337" i="1"/>
  <c r="Z362" i="1"/>
  <c r="BW493" i="1"/>
  <c r="BA336" i="1"/>
  <c r="CD371" i="1"/>
  <c r="BV331" i="1"/>
  <c r="CC368" i="1"/>
  <c r="BS383" i="1"/>
  <c r="CC330" i="1"/>
  <c r="AJ368" i="1"/>
  <c r="AR330" i="1"/>
  <c r="AW311" i="1"/>
  <c r="BE273" i="1"/>
  <c r="BM235" i="1"/>
  <c r="BU197" i="1"/>
  <c r="BG380" i="1"/>
  <c r="CO332" i="1"/>
  <c r="I500" i="1"/>
  <c r="CS413" i="1"/>
  <c r="BQ392" i="1"/>
  <c r="AR430" i="1"/>
  <c r="AK383" i="1"/>
  <c r="AB381" i="1"/>
  <c r="CG379" i="1"/>
  <c r="BH378" i="1"/>
  <c r="S418" i="1"/>
  <c r="CM392" i="1"/>
  <c r="AE483" i="1"/>
  <c r="CV413" i="1"/>
  <c r="BL388" i="1"/>
  <c r="BO477" i="1"/>
  <c r="BC412" i="1"/>
  <c r="BM383" i="1"/>
  <c r="BG450" i="1"/>
  <c r="H407" i="1"/>
  <c r="CB381" i="1"/>
  <c r="AY445" i="1"/>
  <c r="CI405" i="1"/>
  <c r="G386" i="1"/>
  <c r="CA370" i="1"/>
  <c r="J401" i="1"/>
  <c r="V364" i="1"/>
  <c r="BN351" i="1"/>
  <c r="DF338" i="1"/>
  <c r="AD326" i="1"/>
  <c r="BV313" i="1"/>
  <c r="AT399" i="1"/>
  <c r="CG363" i="1"/>
  <c r="U351" i="1"/>
  <c r="BM338" i="1"/>
  <c r="DC382" i="1"/>
  <c r="AQ370" i="1"/>
  <c r="BJ398" i="1"/>
  <c r="BJ363" i="1"/>
  <c r="DB350" i="1"/>
  <c r="AP338" i="1"/>
  <c r="BR325" i="1"/>
  <c r="F313" i="1"/>
  <c r="CT396" i="1"/>
  <c r="Q363" i="1"/>
  <c r="BI350" i="1"/>
  <c r="DA337" i="1"/>
  <c r="W382" i="1"/>
  <c r="AA371" i="1"/>
  <c r="CL413" i="1"/>
  <c r="CT375" i="1"/>
  <c r="R361" i="1"/>
  <c r="BV351" i="1"/>
  <c r="V342" i="1"/>
  <c r="BZ332" i="1"/>
  <c r="Z323" i="1"/>
  <c r="CD313" i="1"/>
  <c r="AP410" i="1"/>
  <c r="AX372" i="1"/>
  <c r="AG360" i="1"/>
  <c r="CK350" i="1"/>
  <c r="AK341" i="1"/>
  <c r="CQ388" i="1"/>
  <c r="CL368" i="1"/>
  <c r="CT330" i="1"/>
  <c r="AO367" i="1"/>
  <c r="CG331" i="1"/>
  <c r="AG322" i="1"/>
  <c r="CK312" i="1"/>
  <c r="BZ408" i="1"/>
  <c r="CH370" i="1"/>
  <c r="CR359" i="1"/>
  <c r="AR350" i="1"/>
  <c r="CV340" i="1"/>
  <c r="AV331" i="1"/>
  <c r="CZ321" i="1"/>
  <c r="AZ312" i="1"/>
  <c r="BC351" i="1"/>
  <c r="BK313" i="1"/>
  <c r="DE302" i="1"/>
  <c r="BE293" i="1"/>
  <c r="DI283" i="1"/>
  <c r="BI274" i="1"/>
  <c r="I265" i="1"/>
  <c r="BM255" i="1"/>
  <c r="M246" i="1"/>
  <c r="BQ236" i="1"/>
  <c r="Q227" i="1"/>
  <c r="BU217" i="1"/>
  <c r="U208" i="1"/>
  <c r="BY198" i="1"/>
  <c r="Y189" i="1"/>
  <c r="CC179" i="1"/>
  <c r="AI351" i="1"/>
  <c r="CA384" i="1"/>
  <c r="BZ365" i="1"/>
  <c r="CH327" i="1"/>
  <c r="AW365" i="1"/>
  <c r="AG331" i="1"/>
  <c r="CK321" i="1"/>
  <c r="AK312" i="1"/>
  <c r="BN405" i="1"/>
  <c r="BL368" i="1"/>
  <c r="L359" i="1"/>
  <c r="BP349" i="1"/>
  <c r="P340" i="1"/>
  <c r="BT330" i="1"/>
  <c r="T321" i="1"/>
  <c r="AM475" i="1"/>
  <c r="CI503" i="1"/>
  <c r="BD453" i="1"/>
  <c r="AN404" i="1"/>
  <c r="BT401" i="1"/>
  <c r="BG400" i="1"/>
  <c r="BP421" i="1"/>
  <c r="L371" i="1"/>
  <c r="CQ394" i="1"/>
  <c r="CF414" i="1"/>
  <c r="DG480" i="1"/>
  <c r="S388" i="1"/>
  <c r="BV361" i="1"/>
  <c r="S482" i="1"/>
  <c r="CW335" i="1"/>
  <c r="F361" i="1"/>
  <c r="CA469" i="1"/>
  <c r="AG335" i="1"/>
  <c r="BZ368" i="1"/>
  <c r="CH330" i="1"/>
  <c r="CO367" i="1"/>
  <c r="K380" i="1"/>
  <c r="CO329" i="1"/>
  <c r="AV367" i="1"/>
  <c r="BD329" i="1"/>
  <c r="BI310" i="1"/>
  <c r="BQ272" i="1"/>
  <c r="BY234" i="1"/>
  <c r="CG196" i="1"/>
  <c r="AA341" i="1"/>
  <c r="BR355" i="1"/>
  <c r="AO355" i="1"/>
  <c r="AG319" i="1"/>
  <c r="BV415" i="1"/>
  <c r="CN367" i="1"/>
  <c r="AB355" i="1"/>
  <c r="BT342" i="1"/>
  <c r="CV329" i="1"/>
  <c r="AJ317" i="1"/>
  <c r="G359" i="1"/>
  <c r="O321" i="1"/>
  <c r="CS304" i="1"/>
  <c r="AS295" i="1"/>
  <c r="CW285" i="1"/>
  <c r="AW276" i="1"/>
  <c r="DA266" i="1"/>
  <c r="BA257" i="1"/>
  <c r="DE247" i="1"/>
  <c r="BE238" i="1"/>
  <c r="DI228" i="1"/>
  <c r="BI219" i="1"/>
  <c r="I210" i="1"/>
  <c r="BM200" i="1"/>
  <c r="M191" i="1"/>
  <c r="BQ181" i="1"/>
  <c r="CQ358" i="1"/>
  <c r="N410" i="1"/>
  <c r="AD341" i="1"/>
  <c r="BV406" i="1"/>
  <c r="AS340" i="1"/>
  <c r="DI324" i="1"/>
  <c r="BI315" i="1"/>
  <c r="BV419" i="1"/>
  <c r="CD381" i="1"/>
  <c r="BP362" i="1"/>
  <c r="P353" i="1"/>
  <c r="BT343" i="1"/>
  <c r="T334" i="1"/>
  <c r="BX324" i="1"/>
  <c r="X315" i="1"/>
  <c r="AY362" i="1"/>
  <c r="BG324" i="1"/>
  <c r="CC305" i="1"/>
  <c r="AC296" i="1"/>
  <c r="CG286" i="1"/>
  <c r="AG277" i="1"/>
  <c r="CK267" i="1"/>
  <c r="AK258" i="1"/>
  <c r="CO248" i="1"/>
  <c r="AO239" i="1"/>
  <c r="CS229" i="1"/>
  <c r="AS220" i="1"/>
  <c r="CW210" i="1"/>
  <c r="AW201" i="1"/>
  <c r="DA191" i="1"/>
  <c r="BA182" i="1"/>
  <c r="CI383" i="1"/>
  <c r="CL364" i="1"/>
  <c r="CT326" i="1"/>
  <c r="BI364" i="1"/>
  <c r="I331" i="1"/>
  <c r="BM321" i="1"/>
  <c r="M312" i="1"/>
  <c r="J407" i="1"/>
  <c r="R369" i="1"/>
  <c r="AZ359" i="1"/>
  <c r="DD349" i="1"/>
  <c r="BD340" i="1"/>
  <c r="DH330" i="1"/>
  <c r="AB439" i="1"/>
  <c r="BT441" i="1"/>
  <c r="BD392" i="1"/>
  <c r="CJ389" i="1"/>
  <c r="BW396" i="1"/>
  <c r="BP417" i="1"/>
  <c r="S499" i="1"/>
  <c r="BY388" i="1"/>
  <c r="CF410" i="1"/>
  <c r="G462" i="1"/>
  <c r="BS392" i="1"/>
  <c r="BV357" i="1"/>
  <c r="BZ423" i="1"/>
  <c r="BO391" i="1"/>
  <c r="F357" i="1"/>
  <c r="V421" i="1"/>
  <c r="DG389" i="1"/>
  <c r="CD365" i="1"/>
  <c r="CL327" i="1"/>
  <c r="CS364" i="1"/>
  <c r="AU489" i="1"/>
  <c r="CS326" i="1"/>
  <c r="AZ364" i="1"/>
  <c r="BH326" i="1"/>
  <c r="BM307" i="1"/>
  <c r="BU269" i="1"/>
  <c r="CC231" i="1"/>
  <c r="CK193" i="1"/>
  <c r="CU335" i="1"/>
  <c r="AH350" i="1"/>
  <c r="DI349" i="1"/>
  <c r="DA317" i="1"/>
  <c r="BF411" i="1"/>
  <c r="CZ366" i="1"/>
  <c r="X354" i="1"/>
  <c r="BP341" i="1"/>
  <c r="DH328" i="1"/>
  <c r="AF316" i="1"/>
  <c r="K356" i="1"/>
  <c r="S318" i="1"/>
  <c r="Q304" i="1"/>
  <c r="BU294" i="1"/>
  <c r="U285" i="1"/>
  <c r="BY275" i="1"/>
  <c r="Y266" i="1"/>
  <c r="CC256" i="1"/>
  <c r="AC247" i="1"/>
  <c r="CG237" i="1"/>
  <c r="AG228" i="1"/>
  <c r="CK218" i="1"/>
  <c r="AK209" i="1"/>
  <c r="CO199" i="1"/>
  <c r="AO190" i="1"/>
  <c r="CS180" i="1"/>
  <c r="CU355" i="1"/>
  <c r="AD398" i="1"/>
  <c r="AH338" i="1"/>
  <c r="CL394" i="1"/>
  <c r="AW337" i="1"/>
  <c r="AG324" i="1"/>
  <c r="CK314" i="1"/>
  <c r="BZ416" i="1"/>
  <c r="CH378" i="1"/>
  <c r="CR361" i="1"/>
  <c r="AR352" i="1"/>
  <c r="CV342" i="1"/>
  <c r="AV333" i="1"/>
  <c r="CZ323" i="1"/>
  <c r="AZ314" i="1"/>
  <c r="BC359" i="1"/>
  <c r="BK321" i="1"/>
  <c r="DE304" i="1"/>
  <c r="BE295" i="1"/>
  <c r="DI285" i="1"/>
  <c r="BI276" i="1"/>
  <c r="I267" i="1"/>
  <c r="BM257" i="1"/>
  <c r="M248" i="1"/>
  <c r="BQ238" i="1"/>
  <c r="Q229" i="1"/>
  <c r="BU219" i="1"/>
  <c r="U210" i="1"/>
  <c r="BY200" i="1"/>
  <c r="Y191" i="1"/>
  <c r="CC181" i="1"/>
  <c r="CM380" i="1"/>
  <c r="CP361" i="1"/>
  <c r="CX323" i="1"/>
  <c r="BM361" i="1"/>
  <c r="AK330" i="1"/>
  <c r="CO320" i="1"/>
  <c r="O489" i="1"/>
  <c r="N404" i="1"/>
  <c r="X368" i="1"/>
  <c r="CB358" i="1"/>
  <c r="AB349" i="1"/>
  <c r="CF339" i="1"/>
  <c r="AF330" i="1"/>
  <c r="CJ320" i="1"/>
  <c r="S442" i="1"/>
  <c r="AI346" i="1"/>
  <c r="U311" i="1"/>
  <c r="BY301" i="1"/>
  <c r="Y292" i="1"/>
  <c r="CC282" i="1"/>
  <c r="AC273" i="1"/>
  <c r="CG263" i="1"/>
  <c r="AG254" i="1"/>
  <c r="CK244" i="1"/>
  <c r="AK235" i="1"/>
  <c r="CO225" i="1"/>
  <c r="AO216" i="1"/>
  <c r="CS206" i="1"/>
  <c r="CQ366" i="1"/>
  <c r="BC312" i="1"/>
  <c r="CB302" i="1"/>
  <c r="AB293" i="1"/>
  <c r="CF283" i="1"/>
  <c r="AF274" i="1"/>
  <c r="CJ264" i="1"/>
  <c r="AJ255" i="1"/>
  <c r="CN245" i="1"/>
  <c r="AN236" i="1"/>
  <c r="CR226" i="1"/>
  <c r="AR217" i="1"/>
  <c r="CV207" i="1"/>
  <c r="AV198" i="1"/>
  <c r="CZ188" i="1"/>
  <c r="AZ179" i="1"/>
  <c r="BS349" i="1"/>
  <c r="DG311" i="1"/>
  <c r="BG302" i="1"/>
  <c r="G293" i="1"/>
  <c r="BK283" i="1"/>
  <c r="K274" i="1"/>
  <c r="BO264" i="1"/>
  <c r="O255" i="1"/>
  <c r="BS245" i="1"/>
  <c r="S236" i="1"/>
  <c r="BW226" i="1"/>
  <c r="W217" i="1"/>
  <c r="CA207" i="1"/>
  <c r="AA198" i="1"/>
  <c r="CE188" i="1"/>
  <c r="CE355" i="1"/>
  <c r="CN310" i="1"/>
  <c r="AN301" i="1"/>
  <c r="CR291" i="1"/>
  <c r="AR282" i="1"/>
  <c r="CV272" i="1"/>
  <c r="BL470" i="1"/>
  <c r="CW401" i="1"/>
  <c r="BW407" i="1"/>
  <c r="S431" i="1"/>
  <c r="DA373" i="1"/>
  <c r="CV397" i="1"/>
  <c r="CM421" i="1"/>
  <c r="S495" i="1"/>
  <c r="H391" i="1"/>
  <c r="O415" i="1"/>
  <c r="BW369" i="1"/>
  <c r="DB337" i="1"/>
  <c r="CS362" i="1"/>
  <c r="AM369" i="1"/>
  <c r="AL337" i="1"/>
  <c r="AC362" i="1"/>
  <c r="BC370" i="1"/>
  <c r="CX350" i="1"/>
  <c r="DF312" i="1"/>
  <c r="I350" i="1"/>
  <c r="CX327" i="1"/>
  <c r="I312" i="1"/>
  <c r="BT349" i="1"/>
  <c r="CA477" i="1"/>
  <c r="CG292" i="1"/>
  <c r="CO254" i="1"/>
  <c r="CW216" i="1"/>
  <c r="CE474" i="1"/>
  <c r="DC376" i="1"/>
  <c r="J320" i="1"/>
  <c r="AO329" i="1"/>
  <c r="DI311" i="1"/>
  <c r="DB391" i="1"/>
  <c r="CV361" i="1"/>
  <c r="AJ349" i="1"/>
  <c r="CB336" i="1"/>
  <c r="DD323" i="1"/>
  <c r="CU446" i="1"/>
  <c r="AE341" i="1"/>
  <c r="CW309" i="1"/>
  <c r="AW300" i="1"/>
  <c r="DA290" i="1"/>
  <c r="BA281" i="1"/>
  <c r="DE271" i="1"/>
  <c r="BE262" i="1"/>
  <c r="DI252" i="1"/>
  <c r="BI243" i="1"/>
  <c r="I234" i="1"/>
  <c r="BM224" i="1"/>
  <c r="M215" i="1"/>
  <c r="BQ205" i="1"/>
  <c r="Q196" i="1"/>
  <c r="BU186" i="1"/>
  <c r="AT409" i="1"/>
  <c r="DC380" i="1"/>
  <c r="AT361" i="1"/>
  <c r="BB323" i="1"/>
  <c r="BI360" i="1"/>
  <c r="I330" i="1"/>
  <c r="BM320" i="1"/>
  <c r="DC484" i="1"/>
  <c r="CT401" i="1"/>
  <c r="BT367" i="1"/>
  <c r="T358" i="1"/>
  <c r="BX348" i="1"/>
  <c r="X339" i="1"/>
  <c r="CB329" i="1"/>
  <c r="AB320" i="1"/>
  <c r="CH423" i="1"/>
  <c r="BW344" i="1"/>
  <c r="CG310" i="1"/>
  <c r="AG301" i="1"/>
  <c r="CK291" i="1"/>
  <c r="AK282" i="1"/>
  <c r="CO272" i="1"/>
  <c r="AO263" i="1"/>
  <c r="CS253" i="1"/>
  <c r="AS244" i="1"/>
  <c r="CW234" i="1"/>
  <c r="AW225" i="1"/>
  <c r="DA215" i="1"/>
  <c r="BA206" i="1"/>
  <c r="DE196" i="1"/>
  <c r="BE187" i="1"/>
  <c r="F423" i="1"/>
  <c r="CQ453" i="1"/>
  <c r="F347" i="1"/>
  <c r="BK449" i="1"/>
  <c r="CG346" i="1"/>
  <c r="BQ326" i="1"/>
  <c r="Q317" i="1"/>
  <c r="BQ430" i="1"/>
  <c r="AH389" i="1"/>
  <c r="BD364" i="1"/>
  <c r="DH354" i="1"/>
  <c r="BH345" i="1"/>
  <c r="H336" i="1"/>
  <c r="BL326" i="1"/>
  <c r="L317" i="1"/>
  <c r="F371" i="1"/>
  <c r="BC331" i="1"/>
  <c r="BA307" i="1"/>
  <c r="DE297" i="1"/>
  <c r="BE288" i="1"/>
  <c r="DI278" i="1"/>
  <c r="BI269" i="1"/>
  <c r="I260" i="1"/>
  <c r="BM250" i="1"/>
  <c r="M241" i="1"/>
  <c r="BQ231" i="1"/>
  <c r="Q222" i="1"/>
  <c r="BU212" i="1"/>
  <c r="DA196" i="1"/>
  <c r="AQ341" i="1"/>
  <c r="BD308" i="1"/>
  <c r="DH298" i="1"/>
  <c r="BH289" i="1"/>
  <c r="H280" i="1"/>
  <c r="BL270" i="1"/>
  <c r="L261" i="1"/>
  <c r="BP251" i="1"/>
  <c r="P242" i="1"/>
  <c r="BT232" i="1"/>
  <c r="T223" i="1"/>
  <c r="BX213" i="1"/>
  <c r="X204" i="1"/>
  <c r="CB194" i="1"/>
  <c r="AB185" i="1"/>
  <c r="CL412" i="1"/>
  <c r="CY341" i="1"/>
  <c r="K310" i="1"/>
  <c r="BO300" i="1"/>
  <c r="O291" i="1"/>
  <c r="BS281" i="1"/>
  <c r="S272" i="1"/>
  <c r="BW262" i="1"/>
  <c r="W253" i="1"/>
  <c r="CA243" i="1"/>
  <c r="AA234" i="1"/>
  <c r="CE224" i="1"/>
  <c r="AE215" i="1"/>
  <c r="CI205" i="1"/>
  <c r="AI196" i="1"/>
  <c r="BM198" i="1"/>
  <c r="AY343" i="1"/>
  <c r="CV308" i="1"/>
  <c r="AV299" i="1"/>
  <c r="CZ289" i="1"/>
  <c r="AZ280" i="1"/>
  <c r="BD490" i="1"/>
  <c r="CG488" i="1"/>
  <c r="BU379" i="1"/>
  <c r="CK376" i="1"/>
  <c r="O417" i="1"/>
  <c r="O479" i="1"/>
  <c r="BX387" i="1"/>
  <c r="AY411" i="1"/>
  <c r="AQ446" i="1"/>
  <c r="CN380" i="1"/>
  <c r="CE404" i="1"/>
  <c r="AT406" i="1"/>
  <c r="CD327" i="1"/>
  <c r="BE352" i="1"/>
  <c r="CT403" i="1"/>
  <c r="N327" i="1"/>
  <c r="CS351" i="1"/>
  <c r="DB417" i="1"/>
  <c r="Z343" i="1"/>
  <c r="BF414" i="1"/>
  <c r="AO342" i="1"/>
  <c r="AT379" i="1"/>
  <c r="CP412" i="1"/>
  <c r="CZ341" i="1"/>
  <c r="BS355" i="1"/>
  <c r="I285" i="1"/>
  <c r="Q247" i="1"/>
  <c r="Y209" i="1"/>
  <c r="CA366" i="1"/>
  <c r="CL417" i="1"/>
  <c r="CD416" i="1"/>
  <c r="BU325" i="1"/>
  <c r="DG449" i="1"/>
  <c r="AH381" i="1"/>
  <c r="AR359" i="1"/>
  <c r="CJ346" i="1"/>
  <c r="H334" i="1"/>
  <c r="AZ321" i="1"/>
  <c r="V391" i="1"/>
  <c r="BK333" i="1"/>
  <c r="DE307" i="1"/>
  <c r="BE298" i="1"/>
  <c r="DI288" i="1"/>
  <c r="BI279" i="1"/>
  <c r="I270" i="1"/>
  <c r="BM260" i="1"/>
  <c r="M251" i="1"/>
  <c r="BQ241" i="1"/>
  <c r="Q232" i="1"/>
  <c r="BU222" i="1"/>
  <c r="U213" i="1"/>
  <c r="BY203" i="1"/>
  <c r="Y194" i="1"/>
  <c r="CC184" i="1"/>
  <c r="BN378" i="1"/>
  <c r="AE373" i="1"/>
  <c r="BZ353" i="1"/>
  <c r="CH315" i="1"/>
  <c r="CO352" i="1"/>
  <c r="Q328" i="1"/>
  <c r="BU318" i="1"/>
  <c r="AU449" i="1"/>
  <c r="V394" i="1"/>
  <c r="CB365" i="1"/>
  <c r="AZ354" i="1"/>
  <c r="BH316" i="1"/>
  <c r="BM297" i="1"/>
  <c r="BU259" i="1"/>
  <c r="CC221" i="1"/>
  <c r="CK183" i="1"/>
  <c r="CT372" i="1"/>
  <c r="AT412" i="1"/>
  <c r="CN341" i="1"/>
  <c r="DH314" i="1"/>
  <c r="W323" i="1"/>
  <c r="CW295" i="1"/>
  <c r="DA276" i="1"/>
  <c r="DE257" i="1"/>
  <c r="DI238" i="1"/>
  <c r="I220" i="1"/>
  <c r="BU188" i="1"/>
  <c r="AV306" i="1"/>
  <c r="AZ287" i="1"/>
  <c r="BD268" i="1"/>
  <c r="BH249" i="1"/>
  <c r="BL230" i="1"/>
  <c r="BP211" i="1"/>
  <c r="BT192" i="1"/>
  <c r="AY364" i="1"/>
  <c r="AA306" i="1"/>
  <c r="AE287" i="1"/>
  <c r="AI268" i="1"/>
  <c r="AM249" i="1"/>
  <c r="AQ230" i="1"/>
  <c r="AU211" i="1"/>
  <c r="AY192" i="1"/>
  <c r="DG322" i="1"/>
  <c r="BL295" i="1"/>
  <c r="BP276" i="1"/>
  <c r="AZ264" i="1"/>
  <c r="DD254" i="1"/>
  <c r="BD245" i="1"/>
  <c r="DH235" i="1"/>
  <c r="BH226" i="1"/>
  <c r="H217" i="1"/>
  <c r="BL207" i="1"/>
  <c r="L198" i="1"/>
  <c r="BP188" i="1"/>
  <c r="BS483" i="1"/>
  <c r="CU348" i="1"/>
  <c r="CM311" i="1"/>
  <c r="AM302" i="1"/>
  <c r="CQ292" i="1"/>
  <c r="AQ283" i="1"/>
  <c r="CU273" i="1"/>
  <c r="AU264" i="1"/>
  <c r="CY254" i="1"/>
  <c r="AY245" i="1"/>
  <c r="DC235" i="1"/>
  <c r="BC226" i="1"/>
  <c r="DG216" i="1"/>
  <c r="BG207" i="1"/>
  <c r="G198" i="1"/>
  <c r="BK188" i="1"/>
  <c r="AY367" i="1"/>
  <c r="CI312" i="1"/>
  <c r="CJ302" i="1"/>
  <c r="AJ293" i="1"/>
  <c r="CN283" i="1"/>
  <c r="AN274" i="1"/>
  <c r="CR264" i="1"/>
  <c r="AR255" i="1"/>
  <c r="CV245" i="1"/>
  <c r="AV236" i="1"/>
  <c r="CZ226" i="1"/>
  <c r="AZ217" i="1"/>
  <c r="DD207" i="1"/>
  <c r="BD198" i="1"/>
  <c r="DH188" i="1"/>
  <c r="BH179" i="1"/>
  <c r="CY349" i="1"/>
  <c r="O312" i="1"/>
  <c r="BO302" i="1"/>
  <c r="O293" i="1"/>
  <c r="BS283" i="1"/>
  <c r="S274" i="1"/>
  <c r="BW264" i="1"/>
  <c r="W255" i="1"/>
  <c r="CA245" i="1"/>
  <c r="AA236" i="1"/>
  <c r="CE226" i="1"/>
  <c r="AE217" i="1"/>
  <c r="CI207" i="1"/>
  <c r="AI198" i="1"/>
  <c r="U191" i="1"/>
  <c r="BW333" i="1"/>
  <c r="H307" i="1"/>
  <c r="BL297" i="1"/>
  <c r="L288" i="1"/>
  <c r="BP278" i="1"/>
  <c r="P269" i="1"/>
  <c r="BT259" i="1"/>
  <c r="T250" i="1"/>
  <c r="BX240" i="1"/>
  <c r="X231" i="1"/>
  <c r="CB221" i="1"/>
  <c r="AB212" i="1"/>
  <c r="CF202" i="1"/>
  <c r="AF193" i="1"/>
  <c r="CJ183" i="1"/>
  <c r="BK367" i="1"/>
  <c r="BS329" i="1"/>
  <c r="DG306" i="1"/>
  <c r="BG297" i="1"/>
  <c r="G288" i="1"/>
  <c r="BK278" i="1"/>
  <c r="K269" i="1"/>
  <c r="BO259" i="1"/>
  <c r="O250" i="1"/>
  <c r="BS240" i="1"/>
  <c r="S231" i="1"/>
  <c r="BW221" i="1"/>
  <c r="W212" i="1"/>
  <c r="CA202" i="1"/>
  <c r="AA193" i="1"/>
  <c r="CE183" i="1"/>
  <c r="AY184" i="1"/>
  <c r="N306" i="1"/>
  <c r="V268" i="1"/>
  <c r="AD230" i="1"/>
  <c r="AL192" i="1"/>
  <c r="V173" i="1"/>
  <c r="BD351" i="1"/>
  <c r="BL313" i="1"/>
  <c r="BQ294" i="1"/>
  <c r="BY256" i="1"/>
  <c r="CG218" i="1"/>
  <c r="CO180" i="1"/>
  <c r="DI357" i="1"/>
  <c r="BJ400" i="1"/>
  <c r="CR338" i="1"/>
  <c r="AR313" i="1"/>
  <c r="BW316" i="1"/>
  <c r="AG294" i="1"/>
  <c r="AK275" i="1"/>
  <c r="AO256" i="1"/>
  <c r="AS237" i="1"/>
  <c r="AW218" i="1"/>
  <c r="Q182" i="1"/>
  <c r="CJ304" i="1"/>
  <c r="CN285" i="1"/>
  <c r="CR266" i="1"/>
  <c r="CV247" i="1"/>
  <c r="CZ228" i="1"/>
  <c r="DD209" i="1"/>
  <c r="DH190" i="1"/>
  <c r="CY357" i="1"/>
  <c r="BO304" i="1"/>
  <c r="BS285" i="1"/>
  <c r="BW266" i="1"/>
  <c r="CA247" i="1"/>
  <c r="CE228" i="1"/>
  <c r="CI209" i="1"/>
  <c r="CM190" i="1"/>
  <c r="AI315" i="1"/>
  <c r="CZ293" i="1"/>
  <c r="DD274" i="1"/>
  <c r="CB263" i="1"/>
  <c r="AB254" i="1"/>
  <c r="CF244" i="1"/>
  <c r="AF235" i="1"/>
  <c r="CJ225" i="1"/>
  <c r="AJ216" i="1"/>
  <c r="CN206" i="1"/>
  <c r="AN197" i="1"/>
  <c r="CR187" i="1"/>
  <c r="AA436" i="1"/>
  <c r="CY345" i="1"/>
  <c r="K311" i="1"/>
  <c r="BO301" i="1"/>
  <c r="O292" i="1"/>
  <c r="BS282" i="1"/>
  <c r="S273" i="1"/>
  <c r="BW263" i="1"/>
  <c r="W254" i="1"/>
  <c r="CA244" i="1"/>
  <c r="AA235" i="1"/>
  <c r="CE225" i="1"/>
  <c r="AE216" i="1"/>
  <c r="CI206" i="1"/>
  <c r="AI197" i="1"/>
  <c r="CM187" i="1"/>
  <c r="BG361" i="1"/>
  <c r="BH311" i="1"/>
  <c r="H302" i="1"/>
  <c r="BL292" i="1"/>
  <c r="L283" i="1"/>
  <c r="BP273" i="1"/>
  <c r="P264" i="1"/>
  <c r="BT254" i="1"/>
  <c r="T245" i="1"/>
  <c r="BX235" i="1"/>
  <c r="X226" i="1"/>
  <c r="CB216" i="1"/>
  <c r="AB207" i="1"/>
  <c r="CF197" i="1"/>
  <c r="AF188" i="1"/>
  <c r="CM452" i="1"/>
  <c r="DC346" i="1"/>
  <c r="AM311" i="1"/>
  <c r="CQ301" i="1"/>
  <c r="AQ292" i="1"/>
  <c r="CU282" i="1"/>
  <c r="AU273" i="1"/>
  <c r="CY263" i="1"/>
  <c r="AY254" i="1"/>
  <c r="DC244" i="1"/>
  <c r="BC235" i="1"/>
  <c r="DG225" i="1"/>
  <c r="BG216" i="1"/>
  <c r="G207" i="1"/>
  <c r="BK197" i="1"/>
  <c r="Y188" i="1"/>
  <c r="BW329" i="1"/>
  <c r="AJ306" i="1"/>
  <c r="CN296" i="1"/>
  <c r="AN287" i="1"/>
  <c r="CR277" i="1"/>
  <c r="AR268" i="1"/>
  <c r="CV258" i="1"/>
  <c r="AV249" i="1"/>
  <c r="CZ239" i="1"/>
  <c r="AZ230" i="1"/>
  <c r="DD220" i="1"/>
  <c r="BD211" i="1"/>
  <c r="DH201" i="1"/>
  <c r="BH192" i="1"/>
  <c r="H183" i="1"/>
  <c r="BO364" i="1"/>
  <c r="BW326" i="1"/>
  <c r="AE306" i="1"/>
  <c r="CI296" i="1"/>
  <c r="AI287" i="1"/>
  <c r="CM277" i="1"/>
  <c r="AM268" i="1"/>
  <c r="CQ258" i="1"/>
  <c r="AQ249" i="1"/>
  <c r="CU239" i="1"/>
  <c r="AU230" i="1"/>
  <c r="CY220" i="1"/>
  <c r="AY211" i="1"/>
  <c r="CV350" i="1"/>
  <c r="DD312" i="1"/>
  <c r="DI293" i="1"/>
  <c r="M256" i="1"/>
  <c r="U218" i="1"/>
  <c r="AC180" i="1"/>
  <c r="BU355" i="1"/>
  <c r="V398" i="1"/>
  <c r="AF338" i="1"/>
  <c r="AB313" i="1"/>
  <c r="K316" i="1"/>
  <c r="Q294" i="1"/>
  <c r="U275" i="1"/>
  <c r="Y256" i="1"/>
  <c r="AC237" i="1"/>
  <c r="AG218" i="1"/>
  <c r="BI181" i="1"/>
  <c r="BT304" i="1"/>
  <c r="BX285" i="1"/>
  <c r="CB266" i="1"/>
  <c r="CF247" i="1"/>
  <c r="CJ228" i="1"/>
  <c r="CN209" i="1"/>
  <c r="CR190" i="1"/>
  <c r="AM357" i="1"/>
  <c r="AY304" i="1"/>
  <c r="BC285" i="1"/>
  <c r="BG266" i="1"/>
  <c r="BK247" i="1"/>
  <c r="BO228" i="1"/>
  <c r="BS209" i="1"/>
  <c r="BW190" i="1"/>
  <c r="CA314" i="1"/>
  <c r="CJ293" i="1"/>
  <c r="CN274" i="1"/>
  <c r="BL263" i="1"/>
  <c r="L254" i="1"/>
  <c r="BP244" i="1"/>
  <c r="P235" i="1"/>
  <c r="BT225" i="1"/>
  <c r="T216" i="1"/>
  <c r="BX206" i="1"/>
  <c r="X197" i="1"/>
  <c r="CB187" i="1"/>
  <c r="I429" i="1"/>
  <c r="AM345" i="1"/>
  <c r="CY310" i="1"/>
  <c r="AY301" i="1"/>
  <c r="DC291" i="1"/>
  <c r="BC282" i="1"/>
  <c r="DG272" i="1"/>
  <c r="BG263" i="1"/>
  <c r="G254" i="1"/>
  <c r="BK244" i="1"/>
  <c r="K235" i="1"/>
  <c r="BO225" i="1"/>
  <c r="BL345" i="1"/>
  <c r="DF373" i="1"/>
  <c r="BY288" i="1"/>
  <c r="CG250" i="1"/>
  <c r="CO212" i="1"/>
  <c r="AD373" i="1"/>
  <c r="AK334" i="1"/>
  <c r="CP376" i="1"/>
  <c r="CZ332" i="1"/>
  <c r="J416" i="1"/>
  <c r="AG310" i="1"/>
  <c r="AK291" i="1"/>
  <c r="AO272" i="1"/>
  <c r="AS253" i="1"/>
  <c r="AW234" i="1"/>
  <c r="BA215" i="1"/>
  <c r="CE359" i="1"/>
  <c r="CN301" i="1"/>
  <c r="CR282" i="1"/>
  <c r="CV263" i="1"/>
  <c r="CZ244" i="1"/>
  <c r="DD225" i="1"/>
  <c r="DH206" i="1"/>
  <c r="H188" i="1"/>
  <c r="K346" i="1"/>
  <c r="BS301" i="1"/>
  <c r="BW282" i="1"/>
  <c r="CA263" i="1"/>
  <c r="CE244" i="1"/>
  <c r="CI225" i="1"/>
  <c r="CM206" i="1"/>
  <c r="CC202" i="1"/>
  <c r="CZ309" i="1"/>
  <c r="DD290" i="1"/>
  <c r="DH271" i="1"/>
  <c r="AB262" i="1"/>
  <c r="CF252" i="1"/>
  <c r="AF243" i="1"/>
  <c r="CJ233" i="1"/>
  <c r="AJ224" i="1"/>
  <c r="CN214" i="1"/>
  <c r="AN205" i="1"/>
  <c r="CR195" i="1"/>
  <c r="AR186" i="1"/>
  <c r="N405" i="1"/>
  <c r="DG339" i="1"/>
  <c r="BO309" i="1"/>
  <c r="O300" i="1"/>
  <c r="BS290" i="1"/>
  <c r="S281" i="1"/>
  <c r="BW271" i="1"/>
  <c r="W262" i="1"/>
  <c r="CA252" i="1"/>
  <c r="AA243" i="1"/>
  <c r="CE233" i="1"/>
  <c r="AE224" i="1"/>
  <c r="CI214" i="1"/>
  <c r="AI205" i="1"/>
  <c r="CM195" i="1"/>
  <c r="U203" i="1"/>
  <c r="BW349" i="1"/>
  <c r="H310" i="1"/>
  <c r="BL300" i="1"/>
  <c r="L291" i="1"/>
  <c r="BP281" i="1"/>
  <c r="P272" i="1"/>
  <c r="BT262" i="1"/>
  <c r="T253" i="1"/>
  <c r="BX243" i="1"/>
  <c r="X234" i="1"/>
  <c r="CB224" i="1"/>
  <c r="AB215" i="1"/>
  <c r="CF205" i="1"/>
  <c r="AF196" i="1"/>
  <c r="CJ186" i="1"/>
  <c r="AD409" i="1"/>
  <c r="G341" i="1"/>
  <c r="CQ309" i="1"/>
  <c r="AQ300" i="1"/>
  <c r="CU290" i="1"/>
  <c r="AU281" i="1"/>
  <c r="CY271" i="1"/>
  <c r="AY262" i="1"/>
  <c r="DC252" i="1"/>
  <c r="BC243" i="1"/>
  <c r="DG233" i="1"/>
  <c r="BG224" i="1"/>
  <c r="G215" i="1"/>
  <c r="BK205" i="1"/>
  <c r="K196" i="1"/>
  <c r="BS206" i="1"/>
  <c r="AR311" i="1"/>
  <c r="AZ273" i="1"/>
  <c r="BH235" i="1"/>
  <c r="BP197" i="1"/>
  <c r="W311" i="1"/>
  <c r="AE273" i="1"/>
  <c r="AM235" i="1"/>
  <c r="AU197" i="1"/>
  <c r="CZ311" i="1"/>
  <c r="DD292" i="1"/>
  <c r="DH273" i="1"/>
  <c r="H255" i="1"/>
  <c r="L236" i="1"/>
  <c r="P217" i="1"/>
  <c r="T198" i="1"/>
  <c r="AQ488" i="1"/>
  <c r="CU311" i="1"/>
  <c r="CY292" i="1"/>
  <c r="DC273" i="1"/>
  <c r="DG254" i="1"/>
  <c r="G236" i="1"/>
  <c r="K217" i="1"/>
  <c r="CU199" i="1"/>
  <c r="S187" i="1"/>
  <c r="CQ184" i="1"/>
  <c r="CP294" i="1"/>
  <c r="CT243" i="1"/>
  <c r="BF193" i="1"/>
  <c r="AP170" i="1"/>
  <c r="BJ159" i="1"/>
  <c r="J150" i="1"/>
  <c r="BN140" i="1"/>
  <c r="N131" i="1"/>
  <c r="AL403" i="1"/>
  <c r="BK339" i="1"/>
  <c r="BC309" i="1"/>
  <c r="DG299" i="1"/>
  <c r="BG290" i="1"/>
  <c r="G281" i="1"/>
  <c r="BK271" i="1"/>
  <c r="K262" i="1"/>
  <c r="BO252" i="1"/>
  <c r="O243" i="1"/>
  <c r="BS233" i="1"/>
  <c r="S224" i="1"/>
  <c r="BW214" i="1"/>
  <c r="W205" i="1"/>
  <c r="CA195" i="1"/>
  <c r="Y196" i="1"/>
  <c r="AM340" i="1"/>
  <c r="AJ308" i="1"/>
  <c r="CN298" i="1"/>
  <c r="AN289" i="1"/>
  <c r="CR279" i="1"/>
  <c r="AX480" i="1"/>
  <c r="M446" i="1"/>
  <c r="U370" i="1"/>
  <c r="AY503" i="1"/>
  <c r="DG413" i="1"/>
  <c r="O463" i="1"/>
  <c r="AV384" i="1"/>
  <c r="AM408" i="1"/>
  <c r="CY433" i="1"/>
  <c r="BL377" i="1"/>
  <c r="BS401" i="1"/>
  <c r="DB393" i="1"/>
  <c r="BB324" i="1"/>
  <c r="AS349" i="1"/>
  <c r="AX391" i="1"/>
  <c r="CP323" i="1"/>
  <c r="CG348" i="1"/>
  <c r="BB408" i="1"/>
  <c r="CP340" i="1"/>
  <c r="F405" i="1"/>
  <c r="DE339" i="1"/>
  <c r="DI361" i="1"/>
  <c r="AP403" i="1"/>
  <c r="BL339" i="1"/>
  <c r="S346" i="1"/>
  <c r="BY282" i="1"/>
  <c r="CG244" i="1"/>
  <c r="CO206" i="1"/>
  <c r="DC361" i="1"/>
  <c r="CP398" i="1"/>
  <c r="CH397" i="1"/>
  <c r="BA324" i="1"/>
  <c r="CI435" i="1"/>
  <c r="AL378" i="1"/>
  <c r="BT358" i="1"/>
  <c r="CV345" i="1"/>
  <c r="AJ333" i="1"/>
  <c r="CB320" i="1"/>
  <c r="DB376" i="1"/>
  <c r="W331" i="1"/>
  <c r="AS307" i="1"/>
  <c r="CW297" i="1"/>
  <c r="AW288" i="1"/>
  <c r="DA278" i="1"/>
  <c r="BA269" i="1"/>
  <c r="DE259" i="1"/>
  <c r="BE250" i="1"/>
  <c r="DI240" i="1"/>
  <c r="BI231" i="1"/>
  <c r="I222" i="1"/>
  <c r="BM212" i="1"/>
  <c r="M203" i="1"/>
  <c r="BQ193" i="1"/>
  <c r="Q184" i="1"/>
  <c r="N369" i="1"/>
  <c r="CU370" i="1"/>
  <c r="AL351" i="1"/>
  <c r="AT313" i="1"/>
  <c r="BA350" i="1"/>
  <c r="BI327" i="1"/>
  <c r="I318" i="1"/>
  <c r="CY439" i="1"/>
  <c r="CL391" i="1"/>
  <c r="P365" i="1"/>
  <c r="L352" i="1"/>
  <c r="T314" i="1"/>
  <c r="Y295" i="1"/>
  <c r="AG257" i="1"/>
  <c r="AO219" i="1"/>
  <c r="AW181" i="1"/>
  <c r="AS360" i="1"/>
  <c r="CX402" i="1"/>
  <c r="AZ339" i="1"/>
  <c r="CN313" i="1"/>
  <c r="AY318" i="1"/>
  <c r="CC294" i="1"/>
  <c r="CG275" i="1"/>
  <c r="CK256" i="1"/>
  <c r="CO237" i="1"/>
  <c r="CS218" i="1"/>
  <c r="CW183" i="1"/>
  <c r="AB305" i="1"/>
  <c r="AF286" i="1"/>
  <c r="AJ267" i="1"/>
  <c r="AN248" i="1"/>
  <c r="AR229" i="1"/>
  <c r="AV210" i="1"/>
  <c r="AZ191" i="1"/>
  <c r="CA359" i="1"/>
  <c r="G305" i="1"/>
  <c r="K286" i="1"/>
  <c r="O267" i="1"/>
  <c r="S248" i="1"/>
  <c r="W229" i="1"/>
  <c r="AA210" i="1"/>
  <c r="AE191" i="1"/>
  <c r="K317" i="1"/>
  <c r="AR294" i="1"/>
  <c r="AV275" i="1"/>
  <c r="CR263" i="1"/>
  <c r="AR254" i="1"/>
  <c r="CV244" i="1"/>
  <c r="AV235" i="1"/>
  <c r="CZ225" i="1"/>
  <c r="AZ216" i="1"/>
  <c r="DD206" i="1"/>
  <c r="BD197" i="1"/>
  <c r="DH187" i="1"/>
  <c r="CA445" i="1"/>
  <c r="BG346" i="1"/>
  <c r="AA311" i="1"/>
  <c r="CE301" i="1"/>
  <c r="AE292" i="1"/>
  <c r="CI282" i="1"/>
  <c r="AI273" i="1"/>
  <c r="CM263" i="1"/>
  <c r="AM254" i="1"/>
  <c r="CQ244" i="1"/>
  <c r="AQ235" i="1"/>
  <c r="CU225" i="1"/>
  <c r="AU216" i="1"/>
  <c r="CY206" i="1"/>
  <c r="AY197" i="1"/>
  <c r="DC187" i="1"/>
  <c r="CO264" i="1"/>
  <c r="CW226" i="1"/>
  <c r="DE188" i="1"/>
  <c r="F315" i="1"/>
  <c r="BK453" i="1"/>
  <c r="DH346" i="1"/>
  <c r="CG413" i="1"/>
  <c r="CV401" i="1"/>
  <c r="DC418" i="1"/>
  <c r="AM373" i="1"/>
  <c r="CT353" i="1"/>
  <c r="DI314" i="1"/>
  <c r="CK257" i="1"/>
  <c r="BN326" i="1"/>
  <c r="CZ362" i="1"/>
  <c r="AV312" i="1"/>
  <c r="BY291" i="1"/>
  <c r="CG253" i="1"/>
  <c r="CO215" i="1"/>
  <c r="AD421" i="1"/>
  <c r="BE363" i="1"/>
  <c r="CP404" i="1"/>
  <c r="CZ339" i="1"/>
  <c r="BS347" i="1"/>
  <c r="I283" i="1"/>
  <c r="Q245" i="1"/>
  <c r="Y207" i="1"/>
  <c r="DC368" i="1"/>
  <c r="AO327" i="1"/>
  <c r="AB365" i="1"/>
  <c r="AJ327" i="1"/>
  <c r="Y308" i="1"/>
  <c r="AG270" i="1"/>
  <c r="AO232" i="1"/>
  <c r="AA345" i="1"/>
  <c r="CJ280" i="1"/>
  <c r="CR242" i="1"/>
  <c r="CZ204" i="1"/>
  <c r="CI337" i="1"/>
  <c r="BO280" i="1"/>
  <c r="BW242" i="1"/>
  <c r="CE204" i="1"/>
  <c r="CR307" i="1"/>
  <c r="BI432" i="1"/>
  <c r="BS411" i="1"/>
  <c r="CW427" i="1"/>
  <c r="N322" i="1"/>
  <c r="AS346" i="1"/>
  <c r="Y338" i="1"/>
  <c r="G339" i="1"/>
  <c r="CM357" i="1"/>
  <c r="CO428" i="1"/>
  <c r="CB332" i="1"/>
  <c r="DA306" i="1"/>
  <c r="DI268" i="1"/>
  <c r="M231" i="1"/>
  <c r="U193" i="1"/>
  <c r="BJ349" i="1"/>
  <c r="BQ317" i="1"/>
  <c r="X355" i="1"/>
  <c r="AF317" i="1"/>
  <c r="AK298" i="1"/>
  <c r="AS260" i="1"/>
  <c r="BA222" i="1"/>
  <c r="BI184" i="1"/>
  <c r="CD384" i="1"/>
  <c r="AP415" i="1"/>
  <c r="BL342" i="1"/>
  <c r="BK357" i="1"/>
  <c r="BI285" i="1"/>
  <c r="BQ247" i="1"/>
  <c r="BY209" i="1"/>
  <c r="H296" i="1"/>
  <c r="P258" i="1"/>
  <c r="X220" i="1"/>
  <c r="BI406" i="1"/>
  <c r="CQ502" i="1"/>
  <c r="AR384" i="1"/>
  <c r="I356" i="1"/>
  <c r="BC435" i="1"/>
  <c r="J422" i="1"/>
  <c r="CC287" i="1"/>
  <c r="AP414" i="1"/>
  <c r="CB459" i="1"/>
  <c r="DD406" i="1"/>
  <c r="AR423" i="1"/>
  <c r="BS396" i="1"/>
  <c r="O488" i="1"/>
  <c r="F420" i="1"/>
  <c r="DF330" i="1"/>
  <c r="CW355" i="1"/>
  <c r="BF417" i="1"/>
  <c r="AP330" i="1"/>
  <c r="AG355" i="1"/>
  <c r="O433" i="1"/>
  <c r="CD345" i="1"/>
  <c r="AO425" i="1"/>
  <c r="CS344" i="1"/>
  <c r="BZ419" i="1"/>
  <c r="CX422" i="1"/>
  <c r="AZ344" i="1"/>
  <c r="CA365" i="1"/>
  <c r="BM287" i="1"/>
  <c r="BU249" i="1"/>
  <c r="CC211" i="1"/>
  <c r="BG365" i="1"/>
  <c r="DF411" i="1"/>
  <c r="CL419" i="1"/>
  <c r="BX343" i="1"/>
  <c r="BD541" i="1"/>
  <c r="BC419" i="1"/>
  <c r="CQ455" i="1"/>
  <c r="N330" i="1"/>
  <c r="AC354" i="1"/>
  <c r="Q344" i="1"/>
  <c r="CE362" i="1"/>
  <c r="J372" i="1"/>
  <c r="BC459" i="1"/>
  <c r="BT334" i="1"/>
  <c r="AW308" i="1"/>
  <c r="BE270" i="1"/>
  <c r="BM232" i="1"/>
  <c r="BU194" i="1"/>
  <c r="BB355" i="1"/>
  <c r="M319" i="1"/>
  <c r="BX356" i="1"/>
  <c r="CF318" i="1"/>
  <c r="CK299" i="1"/>
  <c r="CS261" i="1"/>
  <c r="DA223" i="1"/>
  <c r="DI185" i="1"/>
  <c r="AX408" i="1"/>
  <c r="AH421" i="1"/>
  <c r="H344" i="1"/>
  <c r="CW374" i="1"/>
  <c r="H386" i="1"/>
  <c r="AE403" i="1"/>
  <c r="AP397" i="1"/>
  <c r="BF351" i="1"/>
  <c r="BU350" i="1"/>
  <c r="BU312" i="1"/>
  <c r="AJ312" i="1"/>
  <c r="AW255" i="1"/>
  <c r="BM179" i="1"/>
  <c r="CP321" i="1"/>
  <c r="U312" i="1"/>
  <c r="X362" i="1"/>
  <c r="CR336" i="1"/>
  <c r="CQ465" i="1"/>
  <c r="I310" i="1"/>
  <c r="M291" i="1"/>
  <c r="Q272" i="1"/>
  <c r="U253" i="1"/>
  <c r="Y234" i="1"/>
  <c r="AC215" i="1"/>
  <c r="AG196" i="1"/>
  <c r="CH411" i="1"/>
  <c r="DF361" i="1"/>
  <c r="Q361" i="1"/>
  <c r="CC320" i="1"/>
  <c r="BB402" i="1"/>
  <c r="AJ358" i="1"/>
  <c r="AN339" i="1"/>
  <c r="AR320" i="1"/>
  <c r="AE345" i="1"/>
  <c r="AW301" i="1"/>
  <c r="BA282" i="1"/>
  <c r="BE263" i="1"/>
  <c r="BI244" i="1"/>
  <c r="BM225" i="1"/>
  <c r="BQ206" i="1"/>
  <c r="BU187" i="1"/>
  <c r="AM463" i="1"/>
  <c r="G459" i="1"/>
  <c r="CG326" i="1"/>
  <c r="AA432" i="1"/>
  <c r="BT364" i="1"/>
  <c r="BX345" i="1"/>
  <c r="CB326" i="1"/>
  <c r="AT373" i="1"/>
  <c r="BQ307" i="1"/>
  <c r="BU288" i="1"/>
  <c r="BY269" i="1"/>
  <c r="CC250" i="1"/>
  <c r="CG231" i="1"/>
  <c r="CK212" i="1"/>
  <c r="O342" i="1"/>
  <c r="T299" i="1"/>
  <c r="X280" i="1"/>
  <c r="AB261" i="1"/>
  <c r="AF242" i="1"/>
  <c r="AJ223" i="1"/>
  <c r="AN204" i="1"/>
  <c r="AR185" i="1"/>
  <c r="AU335" i="1"/>
  <c r="DC298" i="1"/>
  <c r="DG279" i="1"/>
  <c r="G261" i="1"/>
  <c r="K242" i="1"/>
  <c r="O223" i="1"/>
  <c r="S204" i="1"/>
  <c r="I192" i="1"/>
  <c r="AF307" i="1"/>
  <c r="AJ288" i="1"/>
  <c r="Y472" i="1"/>
  <c r="W433" i="1"/>
  <c r="BG408" i="1"/>
  <c r="CZ378" i="1"/>
  <c r="BP422" i="1"/>
  <c r="S396" i="1"/>
  <c r="DF318" i="1"/>
  <c r="CX368" i="1"/>
  <c r="AG343" i="1"/>
  <c r="BZ336" i="1"/>
  <c r="AG364" i="1"/>
  <c r="BC451" i="1"/>
  <c r="AG326" i="1"/>
  <c r="CR363" i="1"/>
  <c r="CZ325" i="1"/>
  <c r="DE306" i="1"/>
  <c r="I269" i="1"/>
  <c r="Q231" i="1"/>
  <c r="Y193" i="1"/>
  <c r="O334" i="1"/>
  <c r="BF348" i="1"/>
  <c r="AC348" i="1"/>
  <c r="BE317" i="1"/>
  <c r="CX410" i="1"/>
  <c r="BT366" i="1"/>
  <c r="H354" i="1"/>
  <c r="AZ341" i="1"/>
  <c r="CB328" i="1"/>
  <c r="P316" i="1"/>
  <c r="BC355" i="1"/>
  <c r="BK317" i="1"/>
  <c r="DE303" i="1"/>
  <c r="BE294" i="1"/>
  <c r="DI284" i="1"/>
  <c r="BI275" i="1"/>
  <c r="I266" i="1"/>
  <c r="BM256" i="1"/>
  <c r="M247" i="1"/>
  <c r="BQ237" i="1"/>
  <c r="Q228" i="1"/>
  <c r="BU218" i="1"/>
  <c r="U209" i="1"/>
  <c r="BY199" i="1"/>
  <c r="Y190" i="1"/>
  <c r="CC180" i="1"/>
  <c r="AI355" i="1"/>
  <c r="CT395" i="1"/>
  <c r="BZ337" i="1"/>
  <c r="AX392" i="1"/>
  <c r="CO336" i="1"/>
  <c r="Q324" i="1"/>
  <c r="BU314" i="1"/>
  <c r="N416" i="1"/>
  <c r="V378" i="1"/>
  <c r="CB361" i="1"/>
  <c r="AB352" i="1"/>
  <c r="CF342" i="1"/>
  <c r="AF333" i="1"/>
  <c r="CJ323" i="1"/>
  <c r="AJ314" i="1"/>
  <c r="CU358" i="1"/>
  <c r="DC320" i="1"/>
  <c r="CO304" i="1"/>
  <c r="AO295" i="1"/>
  <c r="CS285" i="1"/>
  <c r="AS276" i="1"/>
  <c r="CW266" i="1"/>
  <c r="AW257" i="1"/>
  <c r="DA247" i="1"/>
  <c r="BA238" i="1"/>
  <c r="DE228" i="1"/>
  <c r="BE219" i="1"/>
  <c r="DI209" i="1"/>
  <c r="BI200" i="1"/>
  <c r="I191" i="1"/>
  <c r="BM181" i="1"/>
  <c r="AA380" i="1"/>
  <c r="AD361" i="1"/>
  <c r="AL323" i="1"/>
  <c r="DE360" i="1"/>
  <c r="U330" i="1"/>
  <c r="BY320" i="1"/>
  <c r="CE486" i="1"/>
  <c r="BF403" i="1"/>
  <c r="H368" i="1"/>
  <c r="BL358" i="1"/>
  <c r="L349" i="1"/>
  <c r="BP339" i="1"/>
  <c r="P330" i="1"/>
  <c r="BT320" i="1"/>
  <c r="BW432" i="1"/>
  <c r="CA345" i="1"/>
  <c r="DI310" i="1"/>
  <c r="BI301" i="1"/>
  <c r="I292" i="1"/>
  <c r="BM282" i="1"/>
  <c r="M273" i="1"/>
  <c r="BQ263" i="1"/>
  <c r="Q254" i="1"/>
  <c r="BU244" i="1"/>
  <c r="U235" i="1"/>
  <c r="BY225" i="1"/>
  <c r="Y216" i="1"/>
  <c r="CC206" i="1"/>
  <c r="BW365" i="1"/>
  <c r="J312" i="1"/>
  <c r="BL302" i="1"/>
  <c r="L293" i="1"/>
  <c r="BP283" i="1"/>
  <c r="P274" i="1"/>
  <c r="BT264" i="1"/>
  <c r="T255" i="1"/>
  <c r="BX245" i="1"/>
  <c r="X236" i="1"/>
  <c r="CB226" i="1"/>
  <c r="AB217" i="1"/>
  <c r="CF207" i="1"/>
  <c r="AF198" i="1"/>
  <c r="CJ188" i="1"/>
  <c r="BD469" i="1"/>
  <c r="AR417" i="1"/>
  <c r="BX414" i="1"/>
  <c r="DC404" i="1"/>
  <c r="DE427" i="1"/>
  <c r="AR375" i="1"/>
  <c r="AI399" i="1"/>
  <c r="H419" i="1"/>
  <c r="AJ533" i="1"/>
  <c r="BO392" i="1"/>
  <c r="DB365" i="1"/>
  <c r="AX315" i="1"/>
  <c r="AO340" i="1"/>
  <c r="AL365" i="1"/>
  <c r="CL314" i="1"/>
  <c r="CC339" i="1"/>
  <c r="Z381" i="1"/>
  <c r="F334" i="1"/>
  <c r="CH377" i="1"/>
  <c r="U333" i="1"/>
  <c r="CG334" i="1"/>
  <c r="N376" i="1"/>
  <c r="CF332" i="1"/>
  <c r="CU318" i="1"/>
  <c r="CS275" i="1"/>
  <c r="DA237" i="1"/>
  <c r="DI199" i="1"/>
  <c r="CA318" i="1"/>
  <c r="BM337" i="1"/>
  <c r="DA495" i="1"/>
  <c r="AM452" i="1"/>
  <c r="BY398" i="1"/>
  <c r="P435" i="1"/>
  <c r="BU389" i="1"/>
  <c r="DD385" i="1"/>
  <c r="CO385" i="1"/>
  <c r="AF383" i="1"/>
  <c r="CI419" i="1"/>
  <c r="AY394" i="1"/>
  <c r="W489" i="1"/>
  <c r="BH415" i="1"/>
  <c r="X390" i="1"/>
  <c r="BG483" i="1"/>
  <c r="O414" i="1"/>
  <c r="CC385" i="1"/>
  <c r="G457" i="1"/>
  <c r="BX408" i="1"/>
  <c r="AN383" i="1"/>
  <c r="AQ451" i="1"/>
  <c r="AU407" i="1"/>
  <c r="AA388" i="1"/>
  <c r="AY371" i="1"/>
  <c r="F404" i="1"/>
  <c r="J365" i="1"/>
  <c r="AL352" i="1"/>
  <c r="CD339" i="1"/>
  <c r="R327" i="1"/>
  <c r="AT314" i="1"/>
  <c r="AP402" i="1"/>
  <c r="BU364" i="1"/>
  <c r="CW351" i="1"/>
  <c r="AK339" i="1"/>
  <c r="CQ383" i="1"/>
  <c r="O371" i="1"/>
  <c r="BF401" i="1"/>
  <c r="AX364" i="1"/>
  <c r="BZ351" i="1"/>
  <c r="N339" i="1"/>
  <c r="BF326" i="1"/>
  <c r="CH313" i="1"/>
  <c r="CP399" i="1"/>
  <c r="DI363" i="1"/>
  <c r="AG351" i="1"/>
  <c r="BY338" i="1"/>
  <c r="K383" i="1"/>
  <c r="CM371" i="1"/>
  <c r="V416" i="1"/>
  <c r="AD378" i="1"/>
  <c r="CD361" i="1"/>
  <c r="AD352" i="1"/>
  <c r="CH342" i="1"/>
  <c r="AH333" i="1"/>
  <c r="CL323" i="1"/>
  <c r="AL314" i="1"/>
  <c r="CD412" i="1"/>
  <c r="CL374" i="1"/>
  <c r="CS360" i="1"/>
  <c r="AS351" i="1"/>
  <c r="CW341" i="1"/>
  <c r="AW332" i="1"/>
  <c r="N378" i="1"/>
  <c r="AD333" i="1"/>
  <c r="AH372" i="1"/>
  <c r="AO332" i="1"/>
  <c r="CS322" i="1"/>
  <c r="AS313" i="1"/>
  <c r="J411" i="1"/>
  <c r="R373" i="1"/>
  <c r="AZ360" i="1"/>
  <c r="DD350" i="1"/>
  <c r="BD341" i="1"/>
  <c r="DH331" i="1"/>
  <c r="BH322" i="1"/>
  <c r="H313" i="1"/>
  <c r="CQ353" i="1"/>
  <c r="CY315" i="1"/>
  <c r="BM303" i="1"/>
  <c r="M294" i="1"/>
  <c r="BQ284" i="1"/>
  <c r="Q275" i="1"/>
  <c r="BU265" i="1"/>
  <c r="U256" i="1"/>
  <c r="BY246" i="1"/>
  <c r="Y237" i="1"/>
  <c r="CC227" i="1"/>
  <c r="AC218" i="1"/>
  <c r="CG208" i="1"/>
  <c r="AG199" i="1"/>
  <c r="CK189" i="1"/>
  <c r="AK180" i="1"/>
  <c r="BW353" i="1"/>
  <c r="CU387" i="1"/>
  <c r="J368" i="1"/>
  <c r="R330" i="1"/>
  <c r="CK367" i="1"/>
  <c r="CS331" i="1"/>
  <c r="AS322" i="1"/>
  <c r="CW312" i="1"/>
  <c r="DB407" i="1"/>
  <c r="F370" i="1"/>
  <c r="BX359" i="1"/>
  <c r="X350" i="1"/>
  <c r="CB340" i="1"/>
  <c r="AB331" i="1"/>
  <c r="CF321" i="1"/>
  <c r="AF312" i="1"/>
  <c r="Z440" i="1"/>
  <c r="CV464" i="1"/>
  <c r="CN413" i="1"/>
  <c r="P411" i="1"/>
  <c r="CI403" i="1"/>
  <c r="BQ425" i="1"/>
  <c r="X374" i="1"/>
  <c r="O398" i="1"/>
  <c r="CR417" i="1"/>
  <c r="AI503" i="1"/>
  <c r="AU391" i="1"/>
  <c r="CH364" i="1"/>
  <c r="AD314" i="1"/>
  <c r="U339" i="1"/>
  <c r="R364" i="1"/>
  <c r="BR313" i="1"/>
  <c r="BI338" i="1"/>
  <c r="BV377" i="1"/>
  <c r="R333" i="1"/>
  <c r="Z374" i="1"/>
  <c r="CI392" i="1"/>
  <c r="Y332" i="1"/>
  <c r="BJ372" i="1"/>
  <c r="CR331" i="1"/>
  <c r="AM315" i="1"/>
  <c r="DE274" i="1"/>
  <c r="I237" i="1"/>
  <c r="Q199" i="1"/>
  <c r="DC345" i="1"/>
  <c r="AP360" i="1"/>
  <c r="M360" i="1"/>
  <c r="BA320" i="1"/>
  <c r="BR418" i="1"/>
  <c r="CB368" i="1"/>
  <c r="DD355" i="1"/>
  <c r="AR343" i="1"/>
  <c r="CJ330" i="1"/>
  <c r="H318" i="1"/>
  <c r="AU361" i="1"/>
  <c r="BC323" i="1"/>
  <c r="BA305" i="1"/>
  <c r="DE295" i="1"/>
  <c r="BE286" i="1"/>
  <c r="DI276" i="1"/>
  <c r="BI267" i="1"/>
  <c r="I258" i="1"/>
  <c r="BM248" i="1"/>
  <c r="M239" i="1"/>
  <c r="BQ229" i="1"/>
  <c r="Q220" i="1"/>
  <c r="BU210" i="1"/>
  <c r="U201" i="1"/>
  <c r="BY191" i="1"/>
  <c r="Y182" i="1"/>
  <c r="AA361" i="1"/>
  <c r="BN419" i="1"/>
  <c r="BR343" i="1"/>
  <c r="R416" i="1"/>
  <c r="CG342" i="1"/>
  <c r="BQ325" i="1"/>
  <c r="Q316" i="1"/>
  <c r="F422" i="1"/>
  <c r="N384" i="1"/>
  <c r="X363" i="1"/>
  <c r="CB353" i="1"/>
  <c r="AB344" i="1"/>
  <c r="CF334" i="1"/>
  <c r="AF325" i="1"/>
  <c r="CJ315" i="1"/>
  <c r="CM364" i="1"/>
  <c r="CU326" i="1"/>
  <c r="AK306" i="1"/>
  <c r="CO296" i="1"/>
  <c r="AO287" i="1"/>
  <c r="CS277" i="1"/>
  <c r="AS268" i="1"/>
  <c r="CW258" i="1"/>
  <c r="AW249" i="1"/>
  <c r="DA239" i="1"/>
  <c r="BA230" i="1"/>
  <c r="DE220" i="1"/>
  <c r="BE211" i="1"/>
  <c r="DI201" i="1"/>
  <c r="BI192" i="1"/>
  <c r="I183" i="1"/>
  <c r="CA386" i="1"/>
  <c r="V367" i="1"/>
  <c r="AD329" i="1"/>
  <c r="CW366" i="1"/>
  <c r="BU331" i="1"/>
  <c r="U322" i="1"/>
  <c r="BY312" i="1"/>
  <c r="AX409" i="1"/>
  <c r="BF371" i="1"/>
  <c r="H360" i="1"/>
  <c r="BL350" i="1"/>
  <c r="L341" i="1"/>
  <c r="BP331" i="1"/>
  <c r="X482" i="1"/>
  <c r="P451" i="1"/>
  <c r="DD401" i="1"/>
  <c r="AF399" i="1"/>
  <c r="CI399" i="1"/>
  <c r="CR420" i="1"/>
  <c r="X370" i="1"/>
  <c r="O394" i="1"/>
  <c r="DH413" i="1"/>
  <c r="AY477" i="1"/>
  <c r="AU387" i="1"/>
  <c r="CX360" i="1"/>
  <c r="CY467" i="1"/>
  <c r="U335" i="1"/>
  <c r="AH360" i="1"/>
  <c r="BC455" i="1"/>
  <c r="BI334" i="1"/>
  <c r="N368" i="1"/>
  <c r="V330" i="1"/>
  <c r="AC367" i="1"/>
  <c r="CA377" i="1"/>
  <c r="AC329" i="1"/>
  <c r="CN366" i="1"/>
  <c r="CV328" i="1"/>
  <c r="DA309" i="1"/>
  <c r="DI271" i="1"/>
  <c r="M234" i="1"/>
  <c r="U196" i="1"/>
  <c r="BS340" i="1"/>
  <c r="F355" i="1"/>
  <c r="CG354" i="1"/>
  <c r="Q319" i="1"/>
  <c r="BB414" i="1"/>
  <c r="BX367" i="1"/>
  <c r="L355" i="1"/>
  <c r="AN342" i="1"/>
  <c r="CF329" i="1"/>
  <c r="T317" i="1"/>
  <c r="AY358" i="1"/>
  <c r="BG320" i="1"/>
  <c r="CC304" i="1"/>
  <c r="AC295" i="1"/>
  <c r="CG285" i="1"/>
  <c r="AG276" i="1"/>
  <c r="CK266" i="1"/>
  <c r="AK257" i="1"/>
  <c r="CO247" i="1"/>
  <c r="AO238" i="1"/>
  <c r="CS228" i="1"/>
  <c r="AS219" i="1"/>
  <c r="CW209" i="1"/>
  <c r="AW200" i="1"/>
  <c r="DA190" i="1"/>
  <c r="BA181" i="1"/>
  <c r="AE358" i="1"/>
  <c r="CD407" i="1"/>
  <c r="BV340" i="1"/>
  <c r="AH404" i="1"/>
  <c r="CK339" i="1"/>
  <c r="CS324" i="1"/>
  <c r="AS315" i="1"/>
  <c r="J419" i="1"/>
  <c r="R381" i="1"/>
  <c r="AZ362" i="1"/>
  <c r="DD352" i="1"/>
  <c r="BD343" i="1"/>
  <c r="DH333" i="1"/>
  <c r="BH324" i="1"/>
  <c r="H315" i="1"/>
  <c r="CQ361" i="1"/>
  <c r="CY323" i="1"/>
  <c r="BM305" i="1"/>
  <c r="M296" i="1"/>
  <c r="BQ286" i="1"/>
  <c r="Q277" i="1"/>
  <c r="BU267" i="1"/>
  <c r="U258" i="1"/>
  <c r="BY248" i="1"/>
  <c r="Y239" i="1"/>
  <c r="CC229" i="1"/>
  <c r="AC220" i="1"/>
  <c r="CG210" i="1"/>
  <c r="AG201" i="1"/>
  <c r="CK191" i="1"/>
  <c r="AK182" i="1"/>
  <c r="W383" i="1"/>
  <c r="Z364" i="1"/>
  <c r="AH326" i="1"/>
  <c r="DA363" i="1"/>
  <c r="CW330" i="1"/>
  <c r="AW321" i="1"/>
  <c r="CN539" i="1"/>
  <c r="BB406" i="1"/>
  <c r="CJ368" i="1"/>
  <c r="AJ359" i="1"/>
  <c r="CN349" i="1"/>
  <c r="AN340" i="1"/>
  <c r="CR330" i="1"/>
  <c r="AR321" i="1"/>
  <c r="BK489" i="1"/>
  <c r="BW348" i="1"/>
  <c r="CG311" i="1"/>
  <c r="AG302" i="1"/>
  <c r="CK292" i="1"/>
  <c r="AK283" i="1"/>
  <c r="CO273" i="1"/>
  <c r="AO264" i="1"/>
  <c r="CS254" i="1"/>
  <c r="AS245" i="1"/>
  <c r="CW235" i="1"/>
  <c r="AW226" i="1"/>
  <c r="DA216" i="1"/>
  <c r="BA207" i="1"/>
  <c r="DF393" i="1"/>
  <c r="CQ314" i="1"/>
  <c r="AJ303" i="1"/>
  <c r="CN293" i="1"/>
  <c r="AN284" i="1"/>
  <c r="CR274" i="1"/>
  <c r="AR265" i="1"/>
  <c r="CV255" i="1"/>
  <c r="AV246" i="1"/>
  <c r="CZ236" i="1"/>
  <c r="AZ227" i="1"/>
  <c r="DD217" i="1"/>
  <c r="BD208" i="1"/>
  <c r="DH198" i="1"/>
  <c r="BH189" i="1"/>
  <c r="H180" i="1"/>
  <c r="DG351" i="1"/>
  <c r="K314" i="1"/>
  <c r="O303" i="1"/>
  <c r="BS293" i="1"/>
  <c r="S284" i="1"/>
  <c r="BW274" i="1"/>
  <c r="W265" i="1"/>
  <c r="CA255" i="1"/>
  <c r="AA246" i="1"/>
  <c r="CE236" i="1"/>
  <c r="AE227" i="1"/>
  <c r="CI217" i="1"/>
  <c r="AI208" i="1"/>
  <c r="CM198" i="1"/>
  <c r="AM189" i="1"/>
  <c r="BC360" i="1"/>
  <c r="AV311" i="1"/>
  <c r="CZ301" i="1"/>
  <c r="AZ292" i="1"/>
  <c r="DD282" i="1"/>
  <c r="BD273" i="1"/>
  <c r="DA392" i="1"/>
  <c r="AS411" i="1"/>
  <c r="S417" i="1"/>
  <c r="AQ443" i="1"/>
  <c r="Y377" i="1"/>
  <c r="DH400" i="1"/>
  <c r="G426" i="1"/>
  <c r="I370" i="1"/>
  <c r="T394" i="1"/>
  <c r="AA418" i="1"/>
  <c r="CY372" i="1"/>
  <c r="J341" i="1"/>
  <c r="DE365" i="1"/>
  <c r="BO372" i="1"/>
  <c r="AX340" i="1"/>
  <c r="AO365" i="1"/>
  <c r="CQ372" i="1"/>
  <c r="AH353" i="1"/>
  <c r="AP315" i="1"/>
  <c r="AW352" i="1"/>
  <c r="AT337" i="1"/>
  <c r="AW314" i="1"/>
  <c r="DH351" i="1"/>
  <c r="L314" i="1"/>
  <c r="Q295" i="1"/>
  <c r="Y257" i="1"/>
  <c r="AG219" i="1"/>
  <c r="AO181" i="1"/>
  <c r="CA381" i="1"/>
  <c r="CL324" i="1"/>
  <c r="BI330" i="1"/>
  <c r="CG312" i="1"/>
  <c r="CX394" i="1"/>
  <c r="CJ362" i="1"/>
  <c r="H350" i="1"/>
  <c r="AZ337" i="1"/>
  <c r="CR324" i="1"/>
  <c r="P312" i="1"/>
  <c r="BS343" i="1"/>
  <c r="BE310" i="1"/>
  <c r="DI300" i="1"/>
  <c r="BI291" i="1"/>
  <c r="I282" i="1"/>
  <c r="BM272" i="1"/>
  <c r="M263" i="1"/>
  <c r="BQ253" i="1"/>
  <c r="Q244" i="1"/>
  <c r="BU234" i="1"/>
  <c r="U225" i="1"/>
  <c r="BY215" i="1"/>
  <c r="Y206" i="1"/>
  <c r="CC196" i="1"/>
  <c r="AC187" i="1"/>
  <c r="CT418" i="1"/>
  <c r="AM383" i="1"/>
  <c r="CH363" i="1"/>
  <c r="CP325" i="1"/>
  <c r="CW362" i="1"/>
  <c r="BU330" i="1"/>
  <c r="U321" i="1"/>
  <c r="AI507" i="1"/>
  <c r="AD404" i="1"/>
  <c r="AB368" i="1"/>
  <c r="CF358" i="1"/>
  <c r="AF349" i="1"/>
  <c r="CJ339" i="1"/>
  <c r="AJ330" i="1"/>
  <c r="CN320" i="1"/>
  <c r="DG453" i="1"/>
  <c r="G347" i="1"/>
  <c r="AO311" i="1"/>
  <c r="CS301" i="1"/>
  <c r="AS292" i="1"/>
  <c r="CW282" i="1"/>
  <c r="AW273" i="1"/>
  <c r="DA263" i="1"/>
  <c r="BA254" i="1"/>
  <c r="DE244" i="1"/>
  <c r="BE235" i="1"/>
  <c r="DI225" i="1"/>
  <c r="BI216" i="1"/>
  <c r="I207" i="1"/>
  <c r="BM197" i="1"/>
  <c r="M188" i="1"/>
  <c r="G451" i="1"/>
  <c r="BS496" i="1"/>
  <c r="AT349" i="1"/>
  <c r="BC487" i="1"/>
  <c r="Q349" i="1"/>
  <c r="Y327" i="1"/>
  <c r="CC317" i="1"/>
  <c r="AM439" i="1"/>
  <c r="BV391" i="1"/>
  <c r="L365" i="1"/>
  <c r="BP355" i="1"/>
  <c r="P346" i="1"/>
  <c r="BT336" i="1"/>
  <c r="T327" i="1"/>
  <c r="BX317" i="1"/>
  <c r="BF380" i="1"/>
  <c r="CQ333" i="1"/>
  <c r="I308" i="1"/>
  <c r="BM298" i="1"/>
  <c r="M289" i="1"/>
  <c r="BQ279" i="1"/>
  <c r="Q270" i="1"/>
  <c r="BU260" i="1"/>
  <c r="U251" i="1"/>
  <c r="BY241" i="1"/>
  <c r="Y232" i="1"/>
  <c r="CC222" i="1"/>
  <c r="AC213" i="1"/>
  <c r="AK199" i="1"/>
  <c r="BC344" i="1"/>
  <c r="L309" i="1"/>
  <c r="BP299" i="1"/>
  <c r="P290" i="1"/>
  <c r="BT280" i="1"/>
  <c r="T271" i="1"/>
  <c r="BX261" i="1"/>
  <c r="X252" i="1"/>
  <c r="CB242" i="1"/>
  <c r="AB233" i="1"/>
  <c r="CF223" i="1"/>
  <c r="AF214" i="1"/>
  <c r="CJ204" i="1"/>
  <c r="AJ195" i="1"/>
  <c r="CN185" i="1"/>
  <c r="CY480" i="1"/>
  <c r="DD369" i="1"/>
  <c r="BO511" i="1"/>
  <c r="U388" i="1"/>
  <c r="X410" i="1"/>
  <c r="G458" i="1"/>
  <c r="M379" i="1"/>
  <c r="AN403" i="1"/>
  <c r="CA430" i="1"/>
  <c r="DC381" i="1"/>
  <c r="AD350" i="1"/>
  <c r="BB393" i="1"/>
  <c r="BS381" i="1"/>
  <c r="BR349" i="1"/>
  <c r="DB390" i="1"/>
  <c r="CQ380" i="1"/>
  <c r="N360" i="1"/>
  <c r="V322" i="1"/>
  <c r="AC359" i="1"/>
  <c r="BV364" i="1"/>
  <c r="AC321" i="1"/>
  <c r="CN358" i="1"/>
  <c r="CV320" i="1"/>
  <c r="DA301" i="1"/>
  <c r="DI263" i="1"/>
  <c r="M226" i="1"/>
  <c r="U188" i="1"/>
  <c r="BJ361" i="1"/>
  <c r="CS327" i="1"/>
  <c r="DI441" i="1"/>
  <c r="BT451" i="1"/>
  <c r="BC507" i="1"/>
  <c r="CI444" i="1"/>
  <c r="CM478" i="1"/>
  <c r="CI470" i="1"/>
  <c r="AY464" i="1"/>
  <c r="BG479" i="1"/>
  <c r="CI411" i="1"/>
  <c r="CK384" i="1"/>
  <c r="AY452" i="1"/>
  <c r="BH407" i="1"/>
  <c r="AN382" i="1"/>
  <c r="CI446" i="1"/>
  <c r="O406" i="1"/>
  <c r="BM376" i="1"/>
  <c r="Y428" i="1"/>
  <c r="BX400" i="1"/>
  <c r="BD375" i="1"/>
  <c r="BW425" i="1"/>
  <c r="AU399" i="1"/>
  <c r="W380" i="1"/>
  <c r="AM479" i="1"/>
  <c r="F388" i="1"/>
  <c r="J361" i="1"/>
  <c r="BB348" i="1"/>
  <c r="CD335" i="1"/>
  <c r="R323" i="1"/>
  <c r="BW472" i="1"/>
  <c r="AP386" i="1"/>
  <c r="BU360" i="1"/>
  <c r="I348" i="1"/>
  <c r="AK335" i="1"/>
  <c r="CQ379" i="1"/>
  <c r="AE469" i="1"/>
  <c r="BF385" i="1"/>
  <c r="AX360" i="1"/>
  <c r="CP347" i="1"/>
  <c r="N335" i="1"/>
  <c r="BF322" i="1"/>
  <c r="AA460" i="1"/>
  <c r="CP383" i="1"/>
  <c r="DI359" i="1"/>
  <c r="AW347" i="1"/>
  <c r="BY334" i="1"/>
  <c r="K379" i="1"/>
  <c r="P561" i="1"/>
  <c r="AL404" i="1"/>
  <c r="AD368" i="1"/>
  <c r="CH358" i="1"/>
  <c r="AH349" i="1"/>
  <c r="CL339" i="1"/>
  <c r="AL330" i="1"/>
  <c r="CP320" i="1"/>
  <c r="CA485" i="1"/>
  <c r="CT400" i="1"/>
  <c r="AS367" i="1"/>
  <c r="CW357" i="1"/>
  <c r="AW348" i="1"/>
  <c r="DA338" i="1"/>
  <c r="AI378" i="1"/>
  <c r="AL359" i="1"/>
  <c r="AT321" i="1"/>
  <c r="CS357" i="1"/>
  <c r="AS329" i="1"/>
  <c r="CW319" i="1"/>
  <c r="BK469" i="1"/>
  <c r="Z399" i="1"/>
  <c r="DD366" i="1"/>
  <c r="BD357" i="1"/>
  <c r="DH347" i="1"/>
  <c r="BH338" i="1"/>
  <c r="H329" i="1"/>
  <c r="BL319" i="1"/>
  <c r="N413" i="1"/>
  <c r="DG341" i="1"/>
  <c r="M310" i="1"/>
  <c r="BQ300" i="1"/>
  <c r="Q291" i="1"/>
  <c r="BU281" i="1"/>
  <c r="U272" i="1"/>
  <c r="BY262" i="1"/>
  <c r="Y253" i="1"/>
  <c r="CC243" i="1"/>
  <c r="AC234" i="1"/>
  <c r="CG224" i="1"/>
  <c r="AG215" i="1"/>
  <c r="CK205" i="1"/>
  <c r="AK196" i="1"/>
  <c r="CO186" i="1"/>
  <c r="AP412" i="1"/>
  <c r="CM341" i="1"/>
  <c r="W375" i="1"/>
  <c r="Z356" i="1"/>
  <c r="AH318" i="1"/>
  <c r="DA355" i="1"/>
  <c r="CW328" i="1"/>
  <c r="AW319" i="1"/>
  <c r="O457" i="1"/>
  <c r="N396" i="1"/>
  <c r="X366" i="1"/>
  <c r="CB356" i="1"/>
  <c r="AB347" i="1"/>
  <c r="CF337" i="1"/>
  <c r="AF328" i="1"/>
  <c r="CJ318" i="1"/>
  <c r="AH398" i="1"/>
  <c r="AB472" i="1"/>
  <c r="CE463" i="1"/>
  <c r="CE489" i="1"/>
  <c r="AU488" i="1"/>
  <c r="BM386" i="1"/>
  <c r="DH408" i="1"/>
  <c r="O452" i="1"/>
  <c r="CW377" i="1"/>
  <c r="T402" i="1"/>
  <c r="AM428" i="1"/>
  <c r="CI380" i="1"/>
  <c r="J349" i="1"/>
  <c r="CD388" i="1"/>
  <c r="AY380" i="1"/>
  <c r="AX348" i="1"/>
  <c r="Z386" i="1"/>
  <c r="BW379" i="1"/>
  <c r="Z359" i="1"/>
  <c r="AH321" i="1"/>
  <c r="AO358" i="1"/>
  <c r="N361" i="1"/>
  <c r="AO320" i="1"/>
  <c r="CZ357" i="1"/>
  <c r="DH319" i="1"/>
  <c r="I301" i="1"/>
  <c r="Q263" i="1"/>
  <c r="Y225" i="1"/>
  <c r="AG187" i="1"/>
  <c r="AE322" i="1"/>
  <c r="BV336" i="1"/>
  <c r="AS336" i="1"/>
  <c r="CO314" i="1"/>
  <c r="BR402" i="1"/>
  <c r="CB364" i="1"/>
  <c r="P352" i="1"/>
  <c r="AR339" i="1"/>
  <c r="CJ326" i="1"/>
  <c r="X314" i="1"/>
  <c r="BK349" i="1"/>
  <c r="DE311" i="1"/>
  <c r="BE302" i="1"/>
  <c r="DI292" i="1"/>
  <c r="BI283" i="1"/>
  <c r="I274" i="1"/>
  <c r="BM264" i="1"/>
  <c r="M255" i="1"/>
  <c r="BQ245" i="1"/>
  <c r="Q236" i="1"/>
  <c r="BU226" i="1"/>
  <c r="U217" i="1"/>
  <c r="BY207" i="1"/>
  <c r="Y198" i="1"/>
  <c r="CC188" i="1"/>
  <c r="CQ494" i="1"/>
  <c r="CE391" i="1"/>
  <c r="V372" i="1"/>
  <c r="CH331" i="1"/>
  <c r="CO368" i="1"/>
  <c r="Q332" i="1"/>
  <c r="BU322" i="1"/>
  <c r="U313" i="1"/>
  <c r="V410" i="1"/>
  <c r="AD372" i="1"/>
  <c r="AB360" i="1"/>
  <c r="CF350" i="1"/>
  <c r="AF341" i="1"/>
  <c r="CJ331" i="1"/>
  <c r="AJ322" i="1"/>
  <c r="CN312" i="1"/>
  <c r="DC352" i="1"/>
  <c r="G315" i="1"/>
  <c r="AO303" i="1"/>
  <c r="CS293" i="1"/>
  <c r="AS284" i="1"/>
  <c r="CW274" i="1"/>
  <c r="AW265" i="1"/>
  <c r="DA255" i="1"/>
  <c r="BA246" i="1"/>
  <c r="DE236" i="1"/>
  <c r="BE227" i="1"/>
  <c r="DI217" i="1"/>
  <c r="BI208" i="1"/>
  <c r="I199" i="1"/>
  <c r="BM189" i="1"/>
  <c r="M180" i="1"/>
  <c r="AI374" i="1"/>
  <c r="AL355" i="1"/>
  <c r="AT317" i="1"/>
  <c r="I355" i="1"/>
  <c r="BY328" i="1"/>
  <c r="Y319" i="1"/>
  <c r="G463" i="1"/>
  <c r="BN397" i="1"/>
  <c r="BL366" i="1"/>
  <c r="L357" i="1"/>
  <c r="BP347" i="1"/>
  <c r="P338" i="1"/>
  <c r="BT328" i="1"/>
  <c r="CE487" i="1"/>
  <c r="AC423" i="1"/>
  <c r="DG436" i="1"/>
  <c r="AM462" i="1"/>
  <c r="AC381" i="1"/>
  <c r="DH404" i="1"/>
  <c r="CA436" i="1"/>
  <c r="CW373" i="1"/>
  <c r="T398" i="1"/>
  <c r="AA422" i="1"/>
  <c r="CI376" i="1"/>
  <c r="J345" i="1"/>
  <c r="AL373" i="1"/>
  <c r="AY376" i="1"/>
  <c r="AX344" i="1"/>
  <c r="CL370" i="1"/>
  <c r="CM375" i="1"/>
  <c r="AD356" i="1"/>
  <c r="AL318" i="1"/>
  <c r="AS355" i="1"/>
  <c r="AD349" i="1"/>
  <c r="AS317" i="1"/>
  <c r="DD354" i="1"/>
  <c r="H317" i="1"/>
  <c r="M298" i="1"/>
  <c r="U260" i="1"/>
  <c r="AC222" i="1"/>
  <c r="AK184" i="1"/>
  <c r="BW389" i="1"/>
  <c r="AL331" i="1"/>
  <c r="U332" i="1"/>
  <c r="CK313" i="1"/>
  <c r="J399" i="1"/>
  <c r="BX363" i="1"/>
  <c r="L351" i="1"/>
  <c r="BD338" i="1"/>
  <c r="CF325" i="1"/>
  <c r="T313" i="1"/>
  <c r="BO346" i="1"/>
  <c r="AC311" i="1"/>
  <c r="CG301" i="1"/>
  <c r="AG292" i="1"/>
  <c r="CK282" i="1"/>
  <c r="AK273" i="1"/>
  <c r="CO263" i="1"/>
  <c r="AO254" i="1"/>
  <c r="CS244" i="1"/>
  <c r="AS235" i="1"/>
  <c r="CW225" i="1"/>
  <c r="AW216" i="1"/>
  <c r="DA206" i="1"/>
  <c r="BA197" i="1"/>
  <c r="DE187" i="1"/>
  <c r="CY443" i="1"/>
  <c r="CU386" i="1"/>
  <c r="CD366" i="1"/>
  <c r="CL328" i="1"/>
  <c r="CS365" i="1"/>
  <c r="AS331" i="1"/>
  <c r="CW321" i="1"/>
  <c r="AW312" i="1"/>
  <c r="Z407" i="1"/>
  <c r="AH369" i="1"/>
  <c r="BD359" i="1"/>
  <c r="DH349" i="1"/>
  <c r="BH340" i="1"/>
  <c r="H331" i="1"/>
  <c r="BL321" i="1"/>
  <c r="L312" i="1"/>
  <c r="DG349" i="1"/>
  <c r="S312" i="1"/>
  <c r="BQ302" i="1"/>
  <c r="Q293" i="1"/>
  <c r="BU283" i="1"/>
  <c r="U274" i="1"/>
  <c r="BY264" i="1"/>
  <c r="Y255" i="1"/>
  <c r="CC245" i="1"/>
  <c r="AC236" i="1"/>
  <c r="CG226" i="1"/>
  <c r="AG217" i="1"/>
  <c r="CK207" i="1"/>
  <c r="AK198" i="1"/>
  <c r="CO188" i="1"/>
  <c r="AZ537" i="1"/>
  <c r="AM371" i="1"/>
  <c r="AP352" i="1"/>
  <c r="AX314" i="1"/>
  <c r="M352" i="1"/>
  <c r="DA327" i="1"/>
  <c r="BA318" i="1"/>
  <c r="W451" i="1"/>
  <c r="BR394" i="1"/>
  <c r="CN365" i="1"/>
  <c r="AN356" i="1"/>
  <c r="CR346" i="1"/>
  <c r="AR337" i="1"/>
  <c r="CV327" i="1"/>
  <c r="AV318" i="1"/>
  <c r="AP392" i="1"/>
  <c r="CM336" i="1"/>
  <c r="CK308" i="1"/>
  <c r="AK299" i="1"/>
  <c r="CO289" i="1"/>
  <c r="AO280" i="1"/>
  <c r="CS270" i="1"/>
  <c r="AS261" i="1"/>
  <c r="CW251" i="1"/>
  <c r="AW242" i="1"/>
  <c r="DA232" i="1"/>
  <c r="BA223" i="1"/>
  <c r="DE213" i="1"/>
  <c r="AG202" i="1"/>
  <c r="BC348" i="1"/>
  <c r="CN309" i="1"/>
  <c r="AN300" i="1"/>
  <c r="CR290" i="1"/>
  <c r="AR281" i="1"/>
  <c r="CV271" i="1"/>
  <c r="AV262" i="1"/>
  <c r="CZ252" i="1"/>
  <c r="AZ243" i="1"/>
  <c r="DD233" i="1"/>
  <c r="BD224" i="1"/>
  <c r="DH214" i="1"/>
  <c r="BH205" i="1"/>
  <c r="H196" i="1"/>
  <c r="BL186" i="1"/>
  <c r="BZ405" i="1"/>
  <c r="S340" i="1"/>
  <c r="BS309" i="1"/>
  <c r="S300" i="1"/>
  <c r="BW290" i="1"/>
  <c r="W281" i="1"/>
  <c r="CA271" i="1"/>
  <c r="AA262" i="1"/>
  <c r="CE252" i="1"/>
  <c r="AE243" i="1"/>
  <c r="CI233" i="1"/>
  <c r="AI224" i="1"/>
  <c r="CM214" i="1"/>
  <c r="AM205" i="1"/>
  <c r="CQ195" i="1"/>
  <c r="CK196" i="1"/>
  <c r="K341" i="1"/>
  <c r="AZ308" i="1"/>
  <c r="DD298" i="1"/>
  <c r="BD289" i="1"/>
  <c r="DH279" i="1"/>
  <c r="BQ453" i="1"/>
  <c r="BM455" i="1"/>
  <c r="BI372" i="1"/>
  <c r="BY369" i="1"/>
  <c r="CE414" i="1"/>
  <c r="AE467" i="1"/>
  <c r="AJ385" i="1"/>
  <c r="K409" i="1"/>
  <c r="CU436" i="1"/>
  <c r="AZ378" i="1"/>
  <c r="AQ402" i="1"/>
  <c r="CX396" i="1"/>
  <c r="AP325" i="1"/>
  <c r="Q350" i="1"/>
  <c r="AT394" i="1"/>
  <c r="CD324" i="1"/>
  <c r="BE349" i="1"/>
  <c r="CP410" i="1"/>
  <c r="AX341" i="1"/>
  <c r="AT407" i="1"/>
  <c r="BM340" i="1"/>
  <c r="AS364" i="1"/>
  <c r="CD405" i="1"/>
  <c r="T340" i="1"/>
  <c r="BG348" i="1"/>
  <c r="AG283" i="1"/>
  <c r="AO245" i="1"/>
  <c r="AW207" i="1"/>
  <c r="BK362" i="1"/>
  <c r="Z401" i="1"/>
  <c r="R400" i="1"/>
  <c r="BQ324" i="1"/>
  <c r="BG440" i="1"/>
  <c r="CX378" i="1"/>
  <c r="CJ358" i="1"/>
  <c r="X346" i="1"/>
  <c r="AZ333" i="1"/>
  <c r="CR320" i="1"/>
  <c r="BZ381" i="1"/>
  <c r="CI331" i="1"/>
  <c r="BI307" i="1"/>
  <c r="I298" i="1"/>
  <c r="BM288" i="1"/>
  <c r="M279" i="1"/>
  <c r="BQ269" i="1"/>
  <c r="Q260" i="1"/>
  <c r="BU250" i="1"/>
  <c r="U241" i="1"/>
  <c r="BY231" i="1"/>
  <c r="Y222" i="1"/>
  <c r="CC212" i="1"/>
  <c r="AC203" i="1"/>
  <c r="CG193" i="1"/>
  <c r="AG184" i="1"/>
  <c r="BB371" i="1"/>
  <c r="BC371" i="1"/>
  <c r="CX351" i="1"/>
  <c r="DF313" i="1"/>
  <c r="I351" i="1"/>
  <c r="BY327" i="1"/>
  <c r="Y318" i="1"/>
  <c r="AI442" i="1"/>
  <c r="AT392" i="1"/>
  <c r="AF365" i="1"/>
  <c r="CJ355" i="1"/>
  <c r="AJ346" i="1"/>
  <c r="CN336" i="1"/>
  <c r="AN327" i="1"/>
  <c r="CR317" i="1"/>
  <c r="CP385" i="1"/>
  <c r="W335" i="1"/>
  <c r="AS308" i="1"/>
  <c r="CW298" i="1"/>
  <c r="AW289" i="1"/>
  <c r="DA279" i="1"/>
  <c r="BA270" i="1"/>
  <c r="DE260" i="1"/>
  <c r="BE251" i="1"/>
  <c r="DI241" i="1"/>
  <c r="BI232" i="1"/>
  <c r="I223" i="1"/>
  <c r="BM213" i="1"/>
  <c r="M204" i="1"/>
  <c r="BQ194" i="1"/>
  <c r="Q185" i="1"/>
  <c r="N385" i="1"/>
  <c r="AH395" i="1"/>
  <c r="BJ337" i="1"/>
  <c r="Z394" i="1"/>
  <c r="AG337" i="1"/>
  <c r="AC324" i="1"/>
  <c r="CG314" i="1"/>
  <c r="CD417" i="1"/>
  <c r="CL379" i="1"/>
  <c r="P362" i="1"/>
  <c r="BT352" i="1"/>
  <c r="T343" i="1"/>
  <c r="BX333" i="1"/>
  <c r="X324" i="1"/>
  <c r="CB314" i="1"/>
  <c r="CY359" i="1"/>
  <c r="DG321" i="1"/>
  <c r="M305" i="1"/>
  <c r="BQ295" i="1"/>
  <c r="Q286" i="1"/>
  <c r="BU276" i="1"/>
  <c r="U267" i="1"/>
  <c r="BY257" i="1"/>
  <c r="Y248" i="1"/>
  <c r="CC238" i="1"/>
  <c r="AC229" i="1"/>
  <c r="CG219" i="1"/>
  <c r="AG210" i="1"/>
  <c r="BA187" i="1"/>
  <c r="BS328" i="1"/>
  <c r="P306" i="1"/>
  <c r="BT296" i="1"/>
  <c r="T287" i="1"/>
  <c r="BX277" i="1"/>
  <c r="X268" i="1"/>
  <c r="CB258" i="1"/>
  <c r="AB249" i="1"/>
  <c r="CF239" i="1"/>
  <c r="AF230" i="1"/>
  <c r="CJ220" i="1"/>
  <c r="AJ211" i="1"/>
  <c r="CN201" i="1"/>
  <c r="AN192" i="1"/>
  <c r="CR182" i="1"/>
  <c r="CT374" i="1"/>
  <c r="AY332" i="1"/>
  <c r="CA307" i="1"/>
  <c r="AA298" i="1"/>
  <c r="CE288" i="1"/>
  <c r="AE279" i="1"/>
  <c r="CI269" i="1"/>
  <c r="AI260" i="1"/>
  <c r="CM250" i="1"/>
  <c r="AM241" i="1"/>
  <c r="CQ231" i="1"/>
  <c r="AQ222" i="1"/>
  <c r="CU212" i="1"/>
  <c r="AU203" i="1"/>
  <c r="CY193" i="1"/>
  <c r="M189" i="1"/>
  <c r="CQ330" i="1"/>
  <c r="BH306" i="1"/>
  <c r="H297" i="1"/>
  <c r="BL287" i="1"/>
  <c r="L278" i="1"/>
  <c r="BZ449" i="1"/>
  <c r="AJ468" i="1"/>
  <c r="X416" i="1"/>
  <c r="BD413" i="1"/>
  <c r="BG404" i="1"/>
  <c r="AS427" i="1"/>
  <c r="CZ374" i="1"/>
  <c r="CQ398" i="1"/>
  <c r="CF418" i="1"/>
  <c r="S515" i="1"/>
  <c r="S392" i="1"/>
  <c r="BV365" i="1"/>
  <c r="DF314" i="1"/>
  <c r="CW339" i="1"/>
  <c r="F365" i="1"/>
  <c r="AP314" i="1"/>
  <c r="AG339" i="1"/>
  <c r="F380" i="1"/>
  <c r="CD333" i="1"/>
  <c r="BN376" i="1"/>
  <c r="CS332" i="1"/>
  <c r="BM333" i="1"/>
  <c r="CX374" i="1"/>
  <c r="AZ332" i="1"/>
  <c r="CA317" i="1"/>
  <c r="BM275" i="1"/>
  <c r="BU237" i="1"/>
  <c r="CC199" i="1"/>
  <c r="CE347" i="1"/>
  <c r="R362" i="1"/>
  <c r="CS361" i="1"/>
  <c r="CW320" i="1"/>
  <c r="Z419" i="1"/>
  <c r="CR368" i="1"/>
  <c r="AF356" i="1"/>
  <c r="BH343" i="1"/>
  <c r="CZ330" i="1"/>
  <c r="AN318" i="1"/>
  <c r="DG361" i="1"/>
  <c r="K324" i="1"/>
  <c r="BQ305" i="1"/>
  <c r="Q296" i="1"/>
  <c r="BU286" i="1"/>
  <c r="U277" i="1"/>
  <c r="BY267" i="1"/>
  <c r="Y258" i="1"/>
  <c r="CC248" i="1"/>
  <c r="AC239" i="1"/>
  <c r="CG229" i="1"/>
  <c r="AG220" i="1"/>
  <c r="CK210" i="1"/>
  <c r="AK201" i="1"/>
  <c r="CO191" i="1"/>
  <c r="AO182" i="1"/>
  <c r="CM361" i="1"/>
  <c r="DB421" i="1"/>
  <c r="Z344" i="1"/>
  <c r="BF418" i="1"/>
  <c r="AO343" i="1"/>
  <c r="CG325" i="1"/>
  <c r="AG316" i="1"/>
  <c r="BR422" i="1"/>
  <c r="BZ384" i="1"/>
  <c r="AN363" i="1"/>
  <c r="DD344" i="1"/>
  <c r="CI367" i="1"/>
  <c r="M288" i="1"/>
  <c r="U250" i="1"/>
  <c r="AC212" i="1"/>
  <c r="AY391" i="1"/>
  <c r="AS332" i="1"/>
  <c r="BB374" i="1"/>
  <c r="AN332" i="1"/>
  <c r="BZ413" i="1"/>
  <c r="Q310" i="1"/>
  <c r="U291" i="1"/>
  <c r="Y272" i="1"/>
  <c r="AC253" i="1"/>
  <c r="AG234" i="1"/>
  <c r="AK215" i="1"/>
  <c r="BK358" i="1"/>
  <c r="BX301" i="1"/>
  <c r="CB282" i="1"/>
  <c r="CF263" i="1"/>
  <c r="CJ244" i="1"/>
  <c r="CN225" i="1"/>
  <c r="CR206" i="1"/>
  <c r="CV187" i="1"/>
  <c r="BC345" i="1"/>
  <c r="BC301" i="1"/>
  <c r="BG282" i="1"/>
  <c r="BK263" i="1"/>
  <c r="BO244" i="1"/>
  <c r="BS225" i="1"/>
  <c r="BW206" i="1"/>
  <c r="Q202" i="1"/>
  <c r="CJ309" i="1"/>
  <c r="CN290" i="1"/>
  <c r="CR271" i="1"/>
  <c r="L262" i="1"/>
  <c r="BP252" i="1"/>
  <c r="P243" i="1"/>
  <c r="BT233" i="1"/>
  <c r="T224" i="1"/>
  <c r="BX214" i="1"/>
  <c r="X205" i="1"/>
  <c r="CB195" i="1"/>
  <c r="AB186" i="1"/>
  <c r="CD402" i="1"/>
  <c r="AU339" i="1"/>
  <c r="AY309" i="1"/>
  <c r="DC299" i="1"/>
  <c r="BC290" i="1"/>
  <c r="DG280" i="1"/>
  <c r="BG271" i="1"/>
  <c r="G262" i="1"/>
  <c r="BK252" i="1"/>
  <c r="K243" i="1"/>
  <c r="BO233" i="1"/>
  <c r="O224" i="1"/>
  <c r="BS214" i="1"/>
  <c r="S205" i="1"/>
  <c r="BW195" i="1"/>
  <c r="BM202" i="1"/>
  <c r="CI348" i="1"/>
  <c r="CV309" i="1"/>
  <c r="AV300" i="1"/>
  <c r="CZ290" i="1"/>
  <c r="AZ281" i="1"/>
  <c r="DD271" i="1"/>
  <c r="BD262" i="1"/>
  <c r="DH252" i="1"/>
  <c r="BH243" i="1"/>
  <c r="H234" i="1"/>
  <c r="BL224" i="1"/>
  <c r="L215" i="1"/>
  <c r="BP205" i="1"/>
  <c r="P196" i="1"/>
  <c r="BT186" i="1"/>
  <c r="CT406" i="1"/>
  <c r="AY340" i="1"/>
  <c r="CA309" i="1"/>
  <c r="AA300" i="1"/>
  <c r="CE290" i="1"/>
  <c r="AE281" i="1"/>
  <c r="CI271" i="1"/>
  <c r="AI262" i="1"/>
  <c r="CM252" i="1"/>
  <c r="AM243" i="1"/>
  <c r="CQ233" i="1"/>
  <c r="AQ224" i="1"/>
  <c r="CU214" i="1"/>
  <c r="AU205" i="1"/>
  <c r="CY195" i="1"/>
  <c r="BY181" i="1"/>
  <c r="CY320" i="1"/>
  <c r="BX304" i="1"/>
  <c r="X295" i="1"/>
  <c r="CB285" i="1"/>
  <c r="AB276" i="1"/>
  <c r="CF266" i="1"/>
  <c r="AF257" i="1"/>
  <c r="CJ247" i="1"/>
  <c r="AJ238" i="1"/>
  <c r="CN228" i="1"/>
  <c r="AN219" i="1"/>
  <c r="CR209" i="1"/>
  <c r="AR200" i="1"/>
  <c r="CV190" i="1"/>
  <c r="AV181" i="1"/>
  <c r="K358" i="1"/>
  <c r="S320" i="1"/>
  <c r="BS304" i="1"/>
  <c r="S295" i="1"/>
  <c r="BW285" i="1"/>
  <c r="W276" i="1"/>
  <c r="CA266" i="1"/>
  <c r="AA257" i="1"/>
  <c r="CE247" i="1"/>
  <c r="AE238" i="1"/>
  <c r="CI228" i="1"/>
  <c r="AI219" i="1"/>
  <c r="CM209" i="1"/>
  <c r="AM200" i="1"/>
  <c r="CQ190" i="1"/>
  <c r="AQ181" i="1"/>
  <c r="AI181" i="1"/>
  <c r="BR296" i="1"/>
  <c r="BZ258" i="1"/>
  <c r="CH220" i="1"/>
  <c r="CP182" i="1"/>
  <c r="CL170" i="1"/>
  <c r="DH341" i="1"/>
  <c r="CY355" i="1"/>
  <c r="Q285" i="1"/>
  <c r="Y247" i="1"/>
  <c r="AG209" i="1"/>
  <c r="AE377" i="1"/>
  <c r="AW329" i="1"/>
  <c r="AJ367" i="1"/>
  <c r="AR329" i="1"/>
  <c r="BR387" i="1"/>
  <c r="BE308" i="1"/>
  <c r="BI289" i="1"/>
  <c r="BM270" i="1"/>
  <c r="BQ251" i="1"/>
  <c r="BU232" i="1"/>
  <c r="BY213" i="1"/>
  <c r="CQ346" i="1"/>
  <c r="H300" i="1"/>
  <c r="L281" i="1"/>
  <c r="P262" i="1"/>
  <c r="T243" i="1"/>
  <c r="X224" i="1"/>
  <c r="AB205" i="1"/>
  <c r="AF186" i="1"/>
  <c r="DC338" i="1"/>
  <c r="CQ299" i="1"/>
  <c r="CU280" i="1"/>
  <c r="CY261" i="1"/>
  <c r="DC242" i="1"/>
  <c r="DG223" i="1"/>
  <c r="G205" i="1"/>
  <c r="BQ195" i="1"/>
  <c r="T308" i="1"/>
  <c r="X289" i="1"/>
  <c r="CN270" i="1"/>
  <c r="AN261" i="1"/>
  <c r="CR251" i="1"/>
  <c r="AR242" i="1"/>
  <c r="CV232" i="1"/>
  <c r="AV223" i="1"/>
  <c r="CZ213" i="1"/>
  <c r="AZ204" i="1"/>
  <c r="DD194" i="1"/>
  <c r="BD185" i="1"/>
  <c r="CT390" i="1"/>
  <c r="AY336" i="1"/>
  <c r="CA308" i="1"/>
  <c r="AA299" i="1"/>
  <c r="CE289" i="1"/>
  <c r="AE280" i="1"/>
  <c r="CI270" i="1"/>
  <c r="AI261" i="1"/>
  <c r="CM251" i="1"/>
  <c r="AM242" i="1"/>
  <c r="CQ232" i="1"/>
  <c r="AQ223" i="1"/>
  <c r="CU213" i="1"/>
  <c r="AU204" i="1"/>
  <c r="CY194" i="1"/>
  <c r="BQ199" i="1"/>
  <c r="CY344" i="1"/>
  <c r="T309" i="1"/>
  <c r="BX299" i="1"/>
  <c r="X290" i="1"/>
  <c r="CB280" i="1"/>
  <c r="AB271" i="1"/>
  <c r="CF261" i="1"/>
  <c r="AF252" i="1"/>
  <c r="CJ242" i="1"/>
  <c r="AJ233" i="1"/>
  <c r="CN223" i="1"/>
  <c r="AN214" i="1"/>
  <c r="CR204" i="1"/>
  <c r="AR195" i="1"/>
  <c r="CV185" i="1"/>
  <c r="F395" i="1"/>
  <c r="BC337" i="1"/>
  <c r="DC308" i="1"/>
  <c r="BC299" i="1"/>
  <c r="DG289" i="1"/>
  <c r="BG280" i="1"/>
  <c r="G271" i="1"/>
  <c r="BK261" i="1"/>
  <c r="K252" i="1"/>
  <c r="BO242" i="1"/>
  <c r="O233" i="1"/>
  <c r="BS223" i="1"/>
  <c r="S214" i="1"/>
  <c r="BW204" i="1"/>
  <c r="W195" i="1"/>
  <c r="S458" i="1"/>
  <c r="AQ317" i="1"/>
  <c r="CZ303" i="1"/>
  <c r="AZ294" i="1"/>
  <c r="DD284" i="1"/>
  <c r="BD275" i="1"/>
  <c r="DH265" i="1"/>
  <c r="BH256" i="1"/>
  <c r="H247" i="1"/>
  <c r="BL237" i="1"/>
  <c r="L228" i="1"/>
  <c r="BP218" i="1"/>
  <c r="P209" i="1"/>
  <c r="BT199" i="1"/>
  <c r="T190" i="1"/>
  <c r="BX180" i="1"/>
  <c r="O355" i="1"/>
  <c r="W317" i="1"/>
  <c r="CU303" i="1"/>
  <c r="AU294" i="1"/>
  <c r="CY284" i="1"/>
  <c r="AY275" i="1"/>
  <c r="DC265" i="1"/>
  <c r="BC256" i="1"/>
  <c r="DG246" i="1"/>
  <c r="BG237" i="1"/>
  <c r="G228" i="1"/>
  <c r="BK218" i="1"/>
  <c r="K209" i="1"/>
  <c r="AV341" i="1"/>
  <c r="BK353" i="1"/>
  <c r="BI284" i="1"/>
  <c r="BQ246" i="1"/>
  <c r="BY208" i="1"/>
  <c r="CU374" i="1"/>
  <c r="CO328" i="1"/>
  <c r="CB366" i="1"/>
  <c r="CJ328" i="1"/>
  <c r="AD385" i="1"/>
  <c r="AO308" i="1"/>
  <c r="AS289" i="1"/>
  <c r="AW270" i="1"/>
  <c r="BA251" i="1"/>
  <c r="BE232" i="1"/>
  <c r="BI213" i="1"/>
  <c r="O346" i="1"/>
  <c r="CV299" i="1"/>
  <c r="CZ280" i="1"/>
  <c r="DD261" i="1"/>
  <c r="DH242" i="1"/>
  <c r="H224" i="1"/>
  <c r="L205" i="1"/>
  <c r="P186" i="1"/>
  <c r="AQ338" i="1"/>
  <c r="CA299" i="1"/>
  <c r="CE280" i="1"/>
  <c r="CI261" i="1"/>
  <c r="CM242" i="1"/>
  <c r="CQ223" i="1"/>
  <c r="CU204" i="1"/>
  <c r="DI194" i="1"/>
  <c r="DH307" i="1"/>
  <c r="H289" i="1"/>
  <c r="BX270" i="1"/>
  <c r="X261" i="1"/>
  <c r="CB251" i="1"/>
  <c r="AB242" i="1"/>
  <c r="CF232" i="1"/>
  <c r="AF223" i="1"/>
  <c r="CJ213" i="1"/>
  <c r="AJ204" i="1"/>
  <c r="CN194" i="1"/>
  <c r="AN185" i="1"/>
  <c r="BF388" i="1"/>
  <c r="CQ335" i="1"/>
  <c r="BK308" i="1"/>
  <c r="K299" i="1"/>
  <c r="BO289" i="1"/>
  <c r="O280" i="1"/>
  <c r="BS270" i="1"/>
  <c r="S261" i="1"/>
  <c r="BW251" i="1"/>
  <c r="W242" i="1"/>
  <c r="CA232" i="1"/>
  <c r="AA223" i="1"/>
  <c r="L336" i="1"/>
  <c r="AA332" i="1"/>
  <c r="Y279" i="1"/>
  <c r="AG241" i="1"/>
  <c r="AO203" i="1"/>
  <c r="AX383" i="1"/>
  <c r="BE323" i="1"/>
  <c r="AR361" i="1"/>
  <c r="BT324" i="1"/>
  <c r="CA361" i="1"/>
  <c r="BI305" i="1"/>
  <c r="BM286" i="1"/>
  <c r="BQ267" i="1"/>
  <c r="BU248" i="1"/>
  <c r="BY229" i="1"/>
  <c r="CC210" i="1"/>
  <c r="DG330" i="1"/>
  <c r="L297" i="1"/>
  <c r="P278" i="1"/>
  <c r="T259" i="1"/>
  <c r="X240" i="1"/>
  <c r="AB221" i="1"/>
  <c r="AF202" i="1"/>
  <c r="AJ183" i="1"/>
  <c r="O327" i="1"/>
  <c r="CU296" i="1"/>
  <c r="CY277" i="1"/>
  <c r="DC258" i="1"/>
  <c r="DG239" i="1"/>
  <c r="G221" i="1"/>
  <c r="K202" i="1"/>
  <c r="CG183" i="1"/>
  <c r="X305" i="1"/>
  <c r="AB286" i="1"/>
  <c r="AN269" i="1"/>
  <c r="CR259" i="1"/>
  <c r="AR250" i="1"/>
  <c r="CV240" i="1"/>
  <c r="AV231" i="1"/>
  <c r="CZ221" i="1"/>
  <c r="AZ212" i="1"/>
  <c r="DD202" i="1"/>
  <c r="BD193" i="1"/>
  <c r="DH183" i="1"/>
  <c r="AY368" i="1"/>
  <c r="BG330" i="1"/>
  <c r="AA307" i="1"/>
  <c r="CE297" i="1"/>
  <c r="AE288" i="1"/>
  <c r="CI278" i="1"/>
  <c r="AI269" i="1"/>
  <c r="CM259" i="1"/>
  <c r="AM250" i="1"/>
  <c r="CQ240" i="1"/>
  <c r="AQ231" i="1"/>
  <c r="CU221" i="1"/>
  <c r="AU212" i="1"/>
  <c r="CY202" i="1"/>
  <c r="AY193" i="1"/>
  <c r="BY193" i="1"/>
  <c r="CY336" i="1"/>
  <c r="BX307" i="1"/>
  <c r="X298" i="1"/>
  <c r="CB288" i="1"/>
  <c r="AB279" i="1"/>
  <c r="CF269" i="1"/>
  <c r="AF260" i="1"/>
  <c r="CJ250" i="1"/>
  <c r="AJ241" i="1"/>
  <c r="CN231" i="1"/>
  <c r="AN222" i="1"/>
  <c r="CR212" i="1"/>
  <c r="AR203" i="1"/>
  <c r="CV193" i="1"/>
  <c r="AV184" i="1"/>
  <c r="AL371" i="1"/>
  <c r="BK331" i="1"/>
  <c r="BC307" i="1"/>
  <c r="DG297" i="1"/>
  <c r="BG288" i="1"/>
  <c r="G279" i="1"/>
  <c r="BK269" i="1"/>
  <c r="K260" i="1"/>
  <c r="BO250" i="1"/>
  <c r="O241" i="1"/>
  <c r="BS231" i="1"/>
  <c r="S222" i="1"/>
  <c r="BW212" i="1"/>
  <c r="W203" i="1"/>
  <c r="CA193" i="1"/>
  <c r="S197" i="1"/>
  <c r="CV301" i="1"/>
  <c r="DD263" i="1"/>
  <c r="H226" i="1"/>
  <c r="P188" i="1"/>
  <c r="CA301" i="1"/>
  <c r="CI263" i="1"/>
  <c r="CQ225" i="1"/>
  <c r="CG191" i="1"/>
  <c r="X307" i="1"/>
  <c r="AB288" i="1"/>
  <c r="AF269" i="1"/>
  <c r="AJ250" i="1"/>
  <c r="AN231" i="1"/>
  <c r="AR212" i="1"/>
  <c r="AV193" i="1"/>
  <c r="S368" i="1"/>
  <c r="S307" i="1"/>
  <c r="W288" i="1"/>
  <c r="AA269" i="1"/>
  <c r="AE250" i="1"/>
  <c r="AI231" i="1"/>
  <c r="AM212" i="1"/>
  <c r="BS196" i="1"/>
  <c r="G184" i="1"/>
  <c r="CA180" i="1"/>
  <c r="CL281" i="1"/>
  <c r="AX231" i="1"/>
  <c r="J181" i="1"/>
  <c r="N167" i="1"/>
  <c r="V157" i="1"/>
  <c r="BZ147" i="1"/>
  <c r="Z138" i="1"/>
  <c r="CD128" i="1"/>
  <c r="DG367" i="1"/>
  <c r="K330" i="1"/>
  <c r="O307" i="1"/>
  <c r="BS297" i="1"/>
  <c r="S288" i="1"/>
  <c r="BW278" i="1"/>
  <c r="W269" i="1"/>
  <c r="CA259" i="1"/>
  <c r="AA250" i="1"/>
  <c r="CE240" i="1"/>
  <c r="AE231" i="1"/>
  <c r="CI221" i="1"/>
  <c r="AI212" i="1"/>
  <c r="CM202" i="1"/>
  <c r="AM193" i="1"/>
  <c r="CC186" i="1"/>
  <c r="CE327" i="1"/>
  <c r="CZ305" i="1"/>
  <c r="AZ296" i="1"/>
  <c r="DD286" i="1"/>
  <c r="BD277" i="1"/>
  <c r="DI455" i="1"/>
  <c r="CR455" i="1"/>
  <c r="CB406" i="1"/>
  <c r="DH403" i="1"/>
  <c r="AU401" i="1"/>
  <c r="AN422" i="1"/>
  <c r="CN371" i="1"/>
  <c r="CE395" i="1"/>
  <c r="BD415" i="1"/>
  <c r="DC483" i="1"/>
  <c r="G389" i="1"/>
  <c r="AT362" i="1"/>
  <c r="BG505" i="1"/>
  <c r="CK336" i="1"/>
  <c r="CH361" i="1"/>
  <c r="CY483" i="1"/>
  <c r="U336" i="1"/>
  <c r="BJ370" i="1"/>
  <c r="AP331" i="1"/>
  <c r="AW368" i="1"/>
  <c r="AY382" i="1"/>
  <c r="AW330" i="1"/>
  <c r="DH367" i="1"/>
  <c r="L330" i="1"/>
  <c r="Q311" i="1"/>
  <c r="Y273" i="1"/>
  <c r="AG235" i="1"/>
  <c r="AO197" i="1"/>
  <c r="DG342" i="1"/>
  <c r="AT357" i="1"/>
  <c r="Q357" i="1"/>
  <c r="CC319" i="1"/>
  <c r="AD416" i="1"/>
  <c r="P368" i="1"/>
  <c r="AR355" i="1"/>
  <c r="CJ342" i="1"/>
  <c r="X330" i="1"/>
  <c r="AZ317" i="1"/>
  <c r="BS359" i="1"/>
  <c r="CA321" i="1"/>
  <c r="DI304" i="1"/>
  <c r="BI295" i="1"/>
  <c r="I286" i="1"/>
  <c r="BM276" i="1"/>
  <c r="M267" i="1"/>
  <c r="BQ257" i="1"/>
  <c r="Q248" i="1"/>
  <c r="BU238" i="1"/>
  <c r="U229" i="1"/>
  <c r="BY219" i="1"/>
  <c r="Y210" i="1"/>
  <c r="CC200" i="1"/>
  <c r="AC191" i="1"/>
  <c r="CG181" i="1"/>
  <c r="AY359" i="1"/>
  <c r="BB412" i="1"/>
  <c r="CP341" i="1"/>
  <c r="F409" i="1"/>
  <c r="DE340" i="1"/>
  <c r="U325" i="1"/>
  <c r="BY315" i="1"/>
  <c r="AD420" i="1"/>
  <c r="AL382" i="1"/>
  <c r="CF362" i="1"/>
  <c r="BP342" i="1"/>
  <c r="AI358" i="1"/>
  <c r="CC285" i="1"/>
  <c r="CK247" i="1"/>
  <c r="CS209" i="1"/>
  <c r="BS379" i="1"/>
  <c r="DI329" i="1"/>
  <c r="CV367" i="1"/>
  <c r="DD329" i="1"/>
  <c r="CD394" i="1"/>
  <c r="DA308" i="1"/>
  <c r="DE289" i="1"/>
  <c r="DI270" i="1"/>
  <c r="I252" i="1"/>
  <c r="M233" i="1"/>
  <c r="Q214" i="1"/>
  <c r="AA349" i="1"/>
  <c r="BD300" i="1"/>
  <c r="BH281" i="1"/>
  <c r="BL262" i="1"/>
  <c r="BP243" i="1"/>
  <c r="BT224" i="1"/>
  <c r="BX205" i="1"/>
  <c r="CB186" i="1"/>
  <c r="CE340" i="1"/>
  <c r="AI300" i="1"/>
  <c r="AM281" i="1"/>
  <c r="AQ262" i="1"/>
  <c r="AU243" i="1"/>
  <c r="AY224" i="1"/>
  <c r="BC205" i="1"/>
  <c r="AS197" i="1"/>
  <c r="BP308" i="1"/>
  <c r="BT289" i="1"/>
  <c r="DD270" i="1"/>
  <c r="BD261" i="1"/>
  <c r="DH251" i="1"/>
  <c r="BH242" i="1"/>
  <c r="H233" i="1"/>
  <c r="BL223" i="1"/>
  <c r="L214" i="1"/>
  <c r="BP204" i="1"/>
  <c r="P195" i="1"/>
  <c r="BT185" i="1"/>
  <c r="AD393" i="1"/>
  <c r="G337" i="1"/>
  <c r="CQ308" i="1"/>
  <c r="AQ299" i="1"/>
  <c r="CU289" i="1"/>
  <c r="AU280" i="1"/>
  <c r="CY270" i="1"/>
  <c r="AY261" i="1"/>
  <c r="DC251" i="1"/>
  <c r="BC242" i="1"/>
  <c r="DG232" i="1"/>
  <c r="BG223" i="1"/>
  <c r="G214" i="1"/>
  <c r="BK204" i="1"/>
  <c r="K195" i="1"/>
  <c r="Y200" i="1"/>
  <c r="BW345" i="1"/>
  <c r="AJ309" i="1"/>
  <c r="CN299" i="1"/>
  <c r="AN290" i="1"/>
  <c r="CR280" i="1"/>
  <c r="AR271" i="1"/>
  <c r="CV261" i="1"/>
  <c r="AV252" i="1"/>
  <c r="CZ242" i="1"/>
  <c r="AZ233" i="1"/>
  <c r="DD223" i="1"/>
  <c r="BD214" i="1"/>
  <c r="DH204" i="1"/>
  <c r="BH195" i="1"/>
  <c r="H186" i="1"/>
  <c r="AT397" i="1"/>
  <c r="K338" i="1"/>
  <c r="O309" i="1"/>
  <c r="BS299" i="1"/>
  <c r="S290" i="1"/>
  <c r="BW280" i="1"/>
  <c r="W271" i="1"/>
  <c r="CA261" i="1"/>
  <c r="AA252" i="1"/>
  <c r="CE242" i="1"/>
  <c r="AE233" i="1"/>
  <c r="CI223" i="1"/>
  <c r="AI214" i="1"/>
  <c r="CM204" i="1"/>
  <c r="AM195" i="1"/>
  <c r="CM513" i="1"/>
  <c r="DC317" i="1"/>
  <c r="L304" i="1"/>
  <c r="BP294" i="1"/>
  <c r="P285" i="1"/>
  <c r="BT275" i="1"/>
  <c r="T266" i="1"/>
  <c r="BX256" i="1"/>
  <c r="X247" i="1"/>
  <c r="CB237" i="1"/>
  <c r="AB228" i="1"/>
  <c r="CF218" i="1"/>
  <c r="AF209" i="1"/>
  <c r="BH253" i="1"/>
  <c r="BP215" i="1"/>
  <c r="V415" i="1"/>
  <c r="AE291" i="1"/>
  <c r="AM253" i="1"/>
  <c r="AU215" i="1"/>
  <c r="AM344" i="1"/>
  <c r="BP280" i="1"/>
  <c r="U379" i="1"/>
  <c r="AM412" i="1"/>
  <c r="AP409" i="1"/>
  <c r="CP327" i="1"/>
  <c r="CT416" i="1"/>
  <c r="BH342" i="1"/>
  <c r="CK209" i="1"/>
  <c r="CK325" i="1"/>
  <c r="CZ346" i="1"/>
  <c r="S334" i="1"/>
  <c r="BY279" i="1"/>
  <c r="CG241" i="1"/>
  <c r="CO203" i="1"/>
  <c r="CQ373" i="1"/>
  <c r="AG328" i="1"/>
  <c r="CR365" i="1"/>
  <c r="CZ327" i="1"/>
  <c r="DE308" i="1"/>
  <c r="I271" i="1"/>
  <c r="Q233" i="1"/>
  <c r="Y195" i="1"/>
  <c r="CX339" i="1"/>
  <c r="AO315" i="1"/>
  <c r="AB353" i="1"/>
  <c r="AJ315" i="1"/>
  <c r="Y296" i="1"/>
  <c r="AG258" i="1"/>
  <c r="AO220" i="1"/>
  <c r="CB306" i="1"/>
  <c r="CJ268" i="1"/>
  <c r="CR230" i="1"/>
  <c r="CZ192" i="1"/>
  <c r="AE430" i="1"/>
  <c r="AU490" i="1"/>
  <c r="BF337" i="1"/>
  <c r="CK361" i="1"/>
  <c r="CG349" i="1"/>
  <c r="CE458" i="1"/>
  <c r="CI455" i="1"/>
  <c r="AK395" i="1"/>
  <c r="CE417" i="1"/>
  <c r="AO377" i="1"/>
  <c r="AM426" i="1"/>
  <c r="AZ394" i="1"/>
  <c r="K377" i="1"/>
  <c r="Z345" i="1"/>
  <c r="CX373" i="1"/>
  <c r="CE376" i="1"/>
  <c r="BN344" i="1"/>
  <c r="AT371" i="1"/>
  <c r="DC375" i="1"/>
  <c r="AT356" i="1"/>
  <c r="BB318" i="1"/>
  <c r="BI355" i="1"/>
  <c r="CP349" i="1"/>
  <c r="BI317" i="1"/>
  <c r="P355" i="1"/>
  <c r="X317" i="1"/>
  <c r="AC298" i="1"/>
  <c r="AK260" i="1"/>
  <c r="AS222" i="1"/>
  <c r="BA184" i="1"/>
  <c r="CD346" i="1"/>
  <c r="I317" i="1"/>
  <c r="AN354" i="1"/>
  <c r="AV316" i="1"/>
  <c r="CY402" i="1"/>
  <c r="W420" i="1"/>
  <c r="CM488" i="1"/>
  <c r="BZ335" i="1"/>
  <c r="CI500" i="1"/>
  <c r="AZ348" i="1"/>
  <c r="CC215" i="1"/>
  <c r="CG328" i="1"/>
  <c r="CR348" i="1"/>
  <c r="K340" i="1"/>
  <c r="U281" i="1"/>
  <c r="AC243" i="1"/>
  <c r="AK205" i="1"/>
  <c r="CI379" i="1"/>
  <c r="CG329" i="1"/>
  <c r="AN367" i="1"/>
  <c r="AV329" i="1"/>
  <c r="BA310" i="1"/>
  <c r="BI272" i="1"/>
  <c r="BQ234" i="1"/>
  <c r="BY196" i="1"/>
  <c r="CP345" i="1"/>
  <c r="CO316" i="1"/>
  <c r="CB354" i="1"/>
  <c r="CG420" i="1"/>
  <c r="BH531" i="1"/>
  <c r="BL385" i="1"/>
  <c r="AC357" i="1"/>
  <c r="CA449" i="1"/>
  <c r="O485" i="1"/>
  <c r="BQ288" i="1"/>
  <c r="AE369" i="1"/>
  <c r="F386" i="1"/>
  <c r="BT322" i="1"/>
  <c r="AS299" i="1"/>
  <c r="BA261" i="1"/>
  <c r="BI223" i="1"/>
  <c r="BQ185" i="1"/>
  <c r="AL319" i="1"/>
  <c r="AQ468" i="1"/>
  <c r="BT347" i="1"/>
  <c r="V407" i="1"/>
  <c r="CG290" i="1"/>
  <c r="CO252" i="1"/>
  <c r="CW214" i="1"/>
  <c r="AX406" i="1"/>
  <c r="BQ342" i="1"/>
  <c r="R385" i="1"/>
  <c r="DH334" i="1"/>
  <c r="AM327" i="1"/>
  <c r="DE277" i="1"/>
  <c r="I240" i="1"/>
  <c r="CK192" i="1"/>
  <c r="BD288" i="1"/>
  <c r="BL250" i="1"/>
  <c r="BT212" i="1"/>
  <c r="BO368" i="1"/>
  <c r="AI288" i="1"/>
  <c r="AQ250" i="1"/>
  <c r="AY212" i="1"/>
  <c r="BC328" i="1"/>
  <c r="BT277" i="1"/>
  <c r="AR406" i="1"/>
  <c r="BC396" i="1"/>
  <c r="AH363" i="1"/>
  <c r="BS512" i="1"/>
  <c r="BB369" i="1"/>
  <c r="BX330" i="1"/>
  <c r="DA197" i="1"/>
  <c r="CS319" i="1"/>
  <c r="CZ342" i="1"/>
  <c r="AI322" i="1"/>
  <c r="CC276" i="1"/>
  <c r="CK238" i="1"/>
  <c r="CS200" i="1"/>
  <c r="CP414" i="1"/>
  <c r="AK325" i="1"/>
  <c r="CV362" i="1"/>
  <c r="DD324" i="1"/>
  <c r="DI305" i="1"/>
  <c r="M268" i="1"/>
  <c r="U230" i="1"/>
  <c r="AC192" i="1"/>
  <c r="J328" i="1"/>
  <c r="AS312" i="1"/>
  <c r="AF350" i="1"/>
  <c r="AN312" i="1"/>
  <c r="AC293" i="1"/>
  <c r="AK255" i="1"/>
  <c r="AS217" i="1"/>
  <c r="CF303" i="1"/>
  <c r="CN265" i="1"/>
  <c r="CV227" i="1"/>
  <c r="DD189" i="1"/>
  <c r="AM305" i="1"/>
  <c r="AU267" i="1"/>
  <c r="BC229" i="1"/>
  <c r="BK191" i="1"/>
  <c r="BX294" i="1"/>
  <c r="AV427" i="1"/>
  <c r="CR412" i="1"/>
  <c r="AI441" i="1"/>
  <c r="AY384" i="1"/>
  <c r="V362" i="1"/>
  <c r="AK323" i="1"/>
  <c r="M266" i="1"/>
  <c r="V343" i="1"/>
  <c r="CF365" i="1"/>
  <c r="L315" i="1"/>
  <c r="CG293" i="1"/>
  <c r="CO255" i="1"/>
  <c r="CW217" i="1"/>
  <c r="DE179" i="1"/>
  <c r="BN380" i="1"/>
  <c r="R413" i="1"/>
  <c r="CQ329" i="1"/>
  <c r="DB373" i="1"/>
  <c r="O361" i="1"/>
  <c r="BE248" i="1"/>
  <c r="CZ296" i="1"/>
  <c r="L221" i="1"/>
  <c r="CE296" i="1"/>
  <c r="CU220" i="1"/>
  <c r="L286" i="1"/>
  <c r="CF240" i="1"/>
  <c r="CN202" i="1"/>
  <c r="CY329" i="1"/>
  <c r="BS278" i="1"/>
  <c r="CA240" i="1"/>
  <c r="CI202" i="1"/>
  <c r="BH307" i="1"/>
  <c r="BP269" i="1"/>
  <c r="BX231" i="1"/>
  <c r="CF193" i="1"/>
  <c r="AM307" i="1"/>
  <c r="AU269" i="1"/>
  <c r="BC231" i="1"/>
  <c r="BK193" i="1"/>
  <c r="CN292" i="1"/>
  <c r="CV254" i="1"/>
  <c r="DD216" i="1"/>
  <c r="CU478" i="1"/>
  <c r="CI292" i="1"/>
  <c r="CQ254" i="1"/>
  <c r="CY216" i="1"/>
  <c r="BF408" i="1"/>
  <c r="AH211" i="1"/>
  <c r="DG317" i="1"/>
  <c r="AH358" i="1"/>
  <c r="BO354" i="1"/>
  <c r="CS246" i="1"/>
  <c r="AJ295" i="1"/>
  <c r="AZ219" i="1"/>
  <c r="O295" i="1"/>
  <c r="AE219" i="1"/>
  <c r="AZ284" i="1"/>
  <c r="DH239" i="1"/>
  <c r="L202" i="1"/>
  <c r="DC326" i="1"/>
  <c r="CU277" i="1"/>
  <c r="DC239" i="1"/>
  <c r="G202" i="1"/>
  <c r="CJ306" i="1"/>
  <c r="CR268" i="1"/>
  <c r="CZ230" i="1"/>
  <c r="DH192" i="1"/>
  <c r="BO306" i="1"/>
  <c r="BW268" i="1"/>
  <c r="CE230" i="1"/>
  <c r="CM192" i="1"/>
  <c r="L292" i="1"/>
  <c r="T254" i="1"/>
  <c r="AB216" i="1"/>
  <c r="BC431" i="1"/>
  <c r="G292" i="1"/>
  <c r="O254" i="1"/>
  <c r="W216" i="1"/>
  <c r="I275" i="1"/>
  <c r="AO319" i="1"/>
  <c r="BQ303" i="1"/>
  <c r="CG227" i="1"/>
  <c r="X276" i="1"/>
  <c r="AN200" i="1"/>
  <c r="DG275" i="1"/>
  <c r="S200" i="1"/>
  <c r="AJ268" i="1"/>
  <c r="AR230" i="1"/>
  <c r="AZ192" i="1"/>
  <c r="W306" i="1"/>
  <c r="AE268" i="1"/>
  <c r="AM230" i="1"/>
  <c r="CC269" i="1"/>
  <c r="DI313" i="1"/>
  <c r="CK300" i="1"/>
  <c r="DA224" i="1"/>
  <c r="AR273" i="1"/>
  <c r="BH197" i="1"/>
  <c r="W273" i="1"/>
  <c r="AM197" i="1"/>
  <c r="DD266" i="1"/>
  <c r="H229" i="1"/>
  <c r="P191" i="1"/>
  <c r="CQ304" i="1"/>
  <c r="CY266" i="1"/>
  <c r="DG228" i="1"/>
  <c r="K191" i="1"/>
  <c r="CN295" i="1"/>
  <c r="CV257" i="1"/>
  <c r="DD219" i="1"/>
  <c r="H182" i="1"/>
  <c r="BS295" i="1"/>
  <c r="CA257" i="1"/>
  <c r="CI219" i="1"/>
  <c r="BW187" i="1"/>
  <c r="AM443" i="1"/>
  <c r="BS364" i="1"/>
  <c r="BL245" i="1"/>
  <c r="W349" i="1"/>
  <c r="BG245" i="1"/>
  <c r="CY180" i="1"/>
  <c r="BN176" i="1"/>
  <c r="CP135" i="1"/>
  <c r="CE304" i="1"/>
  <c r="CM266" i="1"/>
  <c r="CU228" i="1"/>
  <c r="DC190" i="1"/>
  <c r="L294" i="1"/>
  <c r="DG474" i="1"/>
  <c r="CF409" i="1"/>
  <c r="O430" i="1"/>
  <c r="W381" i="1"/>
  <c r="CL359" i="1"/>
  <c r="DA320" i="1"/>
  <c r="CC263" i="1"/>
  <c r="AX338" i="1"/>
  <c r="CR364" i="1"/>
  <c r="AN314" i="1"/>
  <c r="U293" i="1"/>
  <c r="AC255" i="1"/>
  <c r="AK217" i="1"/>
  <c r="AS179" i="1"/>
  <c r="N371" i="1"/>
  <c r="CH410" i="1"/>
  <c r="AQ320" i="1"/>
  <c r="BV360" i="1"/>
  <c r="AQ356" i="1"/>
  <c r="AK247" i="1"/>
  <c r="CF295" i="1"/>
  <c r="CV219" i="1"/>
  <c r="BK295" i="1"/>
  <c r="CA219" i="1"/>
  <c r="CV284" i="1"/>
  <c r="T240" i="1"/>
  <c r="AB202" i="1"/>
  <c r="BK327" i="1"/>
  <c r="G278" i="1"/>
  <c r="O240" i="1"/>
  <c r="W202" i="1"/>
  <c r="CA362" i="1"/>
  <c r="CZ306" i="1"/>
  <c r="L295" i="1"/>
  <c r="AB283" i="1"/>
  <c r="DH268" i="1"/>
  <c r="T257" i="1"/>
  <c r="AJ245" i="1"/>
  <c r="L231" i="1"/>
  <c r="AB219" i="1"/>
  <c r="AR207" i="1"/>
  <c r="T193" i="1"/>
  <c r="AJ181" i="1"/>
  <c r="BK347" i="1"/>
  <c r="CE306" i="1"/>
  <c r="CU294" i="1"/>
  <c r="G283" i="1"/>
  <c r="CM268" i="1"/>
  <c r="DC256" i="1"/>
  <c r="O245" i="1"/>
  <c r="CU230" i="1"/>
  <c r="G219" i="1"/>
  <c r="W207" i="1"/>
  <c r="DC192" i="1"/>
  <c r="S343" i="1"/>
  <c r="AZ306" i="1"/>
  <c r="AB292" i="1"/>
  <c r="AR280" i="1"/>
  <c r="BH268" i="1"/>
  <c r="AJ254" i="1"/>
  <c r="AZ242" i="1"/>
  <c r="BP230" i="1"/>
  <c r="AR216" i="1"/>
  <c r="BH204" i="1"/>
  <c r="H195" i="1"/>
  <c r="BL185" i="1"/>
  <c r="J392" i="1"/>
  <c r="CE336" i="1"/>
  <c r="CI308" i="1"/>
  <c r="AI299" i="1"/>
  <c r="CM289" i="1"/>
  <c r="AM280" i="1"/>
  <c r="CQ270" i="1"/>
  <c r="AQ261" i="1"/>
  <c r="CU251" i="1"/>
  <c r="AU242" i="1"/>
  <c r="CY232" i="1"/>
  <c r="AY223" i="1"/>
  <c r="DC213" i="1"/>
  <c r="BC204" i="1"/>
  <c r="DG194" i="1"/>
  <c r="BG185" i="1"/>
  <c r="CM186" i="1"/>
  <c r="BK316" i="1"/>
  <c r="AH275" i="1"/>
  <c r="AP237" i="1"/>
  <c r="AX199" i="1"/>
  <c r="DB174" i="1"/>
  <c r="BB165" i="1"/>
  <c r="BX320" i="1"/>
  <c r="CC301" i="1"/>
  <c r="CK263" i="1"/>
  <c r="CS225" i="1"/>
  <c r="DA187" i="1"/>
  <c r="DG477" i="1"/>
  <c r="DC436" i="1"/>
  <c r="DD345" i="1"/>
  <c r="CZ316" i="1"/>
  <c r="CU330" i="1"/>
  <c r="CO297" i="1"/>
  <c r="CS278" i="1"/>
  <c r="CW259" i="1"/>
  <c r="DA240" i="1"/>
  <c r="DE221" i="1"/>
  <c r="AO196" i="1"/>
  <c r="AN308" i="1"/>
  <c r="AR289" i="1"/>
  <c r="AV270" i="1"/>
  <c r="AZ251" i="1"/>
  <c r="BD232" i="1"/>
  <c r="BH213" i="1"/>
  <c r="BL194" i="1"/>
  <c r="DF381" i="1"/>
  <c r="S308" i="1"/>
  <c r="W289" i="1"/>
  <c r="AA270" i="1"/>
  <c r="AE251" i="1"/>
  <c r="AI232" i="1"/>
  <c r="AM213" i="1"/>
  <c r="AQ194" i="1"/>
  <c r="AA333" i="1"/>
  <c r="BD297" i="1"/>
  <c r="BH278" i="1"/>
  <c r="BD265" i="1"/>
  <c r="DH255" i="1"/>
  <c r="BH246" i="1"/>
  <c r="H237" i="1"/>
  <c r="BL227" i="1"/>
  <c r="L218" i="1"/>
  <c r="BP208" i="1"/>
  <c r="P199" i="1"/>
  <c r="BT189" i="1"/>
  <c r="T180" i="1"/>
  <c r="G353" i="1"/>
  <c r="O315" i="1"/>
  <c r="AQ303" i="1"/>
  <c r="CU293" i="1"/>
  <c r="AU284" i="1"/>
  <c r="CY274" i="1"/>
  <c r="AY265" i="1"/>
  <c r="DC255" i="1"/>
  <c r="BC246" i="1"/>
  <c r="DG236" i="1"/>
  <c r="BG227" i="1"/>
  <c r="G218" i="1"/>
  <c r="BK208" i="1"/>
  <c r="K199" i="1"/>
  <c r="BO189" i="1"/>
  <c r="BI430" i="1"/>
  <c r="CY316" i="1"/>
  <c r="CN303" i="1"/>
  <c r="AN294" i="1"/>
  <c r="CR284" i="1"/>
  <c r="AR275" i="1"/>
  <c r="CV265" i="1"/>
  <c r="AV256" i="1"/>
  <c r="CZ246" i="1"/>
  <c r="AZ237" i="1"/>
  <c r="DD227" i="1"/>
  <c r="BD218" i="1"/>
  <c r="DH208" i="1"/>
  <c r="BH199" i="1"/>
  <c r="H190" i="1"/>
  <c r="BL180" i="1"/>
  <c r="K354" i="1"/>
  <c r="S316" i="1"/>
  <c r="BS303" i="1"/>
  <c r="S294" i="1"/>
  <c r="BW284" i="1"/>
  <c r="W275" i="1"/>
  <c r="CA265" i="1"/>
  <c r="AA256" i="1"/>
  <c r="CE246" i="1"/>
  <c r="AE237" i="1"/>
  <c r="CI227" i="1"/>
  <c r="AI218" i="1"/>
  <c r="CM208" i="1"/>
  <c r="AM199" i="1"/>
  <c r="AK195" i="1"/>
  <c r="S339" i="1"/>
  <c r="L308" i="1"/>
  <c r="BP298" i="1"/>
  <c r="P289" i="1"/>
  <c r="BT279" i="1"/>
  <c r="T270" i="1"/>
  <c r="BX260" i="1"/>
  <c r="X251" i="1"/>
  <c r="CB241" i="1"/>
  <c r="AB232" i="1"/>
  <c r="CF222" i="1"/>
  <c r="AF213" i="1"/>
  <c r="CJ203" i="1"/>
  <c r="AJ194" i="1"/>
  <c r="CN184" i="1"/>
  <c r="Z380" i="1"/>
  <c r="CI333" i="1"/>
  <c r="G308" i="1"/>
  <c r="BK298" i="1"/>
  <c r="K289" i="1"/>
  <c r="BO279" i="1"/>
  <c r="O270" i="1"/>
  <c r="BS260" i="1"/>
  <c r="S251" i="1"/>
  <c r="BW241" i="1"/>
  <c r="W232" i="1"/>
  <c r="CA222" i="1"/>
  <c r="AA213" i="1"/>
  <c r="CE203" i="1"/>
  <c r="L320" i="1"/>
  <c r="Q301" i="1"/>
  <c r="Y263" i="1"/>
  <c r="AG225" i="1"/>
  <c r="AO187" i="1"/>
  <c r="K440" i="1"/>
  <c r="AW429" i="1"/>
  <c r="AR345" i="1"/>
  <c r="CJ316" i="1"/>
  <c r="AI330" i="1"/>
  <c r="BY297" i="1"/>
  <c r="CC278" i="1"/>
  <c r="CG259" i="1"/>
  <c r="CK240" i="1"/>
  <c r="CO221" i="1"/>
  <c r="CG195" i="1"/>
  <c r="X308" i="1"/>
  <c r="AB289" i="1"/>
  <c r="AF270" i="1"/>
  <c r="AJ251" i="1"/>
  <c r="AN232" i="1"/>
  <c r="AR213" i="1"/>
  <c r="AV194" i="1"/>
  <c r="BR379" i="1"/>
  <c r="DG307" i="1"/>
  <c r="G289" i="1"/>
  <c r="K270" i="1"/>
  <c r="O251" i="1"/>
  <c r="S232" i="1"/>
  <c r="W213" i="1"/>
  <c r="AA194" i="1"/>
  <c r="BC332" i="1"/>
  <c r="AN297" i="1"/>
  <c r="AR278" i="1"/>
  <c r="AN265" i="1"/>
  <c r="CR255" i="1"/>
  <c r="AR246" i="1"/>
  <c r="CV236" i="1"/>
  <c r="AV227" i="1"/>
  <c r="CZ217" i="1"/>
  <c r="AZ208" i="1"/>
  <c r="DD198" i="1"/>
  <c r="BD189" i="1"/>
  <c r="DH179" i="1"/>
  <c r="AY352" i="1"/>
  <c r="BG314" i="1"/>
  <c r="AA303" i="1"/>
  <c r="CE293" i="1"/>
  <c r="AE284" i="1"/>
  <c r="CI274" i="1"/>
  <c r="AI265" i="1"/>
  <c r="CM255" i="1"/>
  <c r="AM246" i="1"/>
  <c r="CQ236" i="1"/>
  <c r="AQ227" i="1"/>
  <c r="BX352" i="1"/>
  <c r="CF314" i="1"/>
  <c r="CK295" i="1"/>
  <c r="CS257" i="1"/>
  <c r="DA219" i="1"/>
  <c r="DI181" i="1"/>
  <c r="CG362" i="1"/>
  <c r="AH405" i="1"/>
  <c r="H340" i="1"/>
  <c r="DD313" i="1"/>
  <c r="G319" i="1"/>
  <c r="CS294" i="1"/>
  <c r="CW275" i="1"/>
  <c r="DA256" i="1"/>
  <c r="DE237" i="1"/>
  <c r="DI218" i="1"/>
  <c r="BE184" i="1"/>
  <c r="AR305" i="1"/>
  <c r="AV286" i="1"/>
  <c r="AZ267" i="1"/>
  <c r="BD248" i="1"/>
  <c r="BH229" i="1"/>
  <c r="BL210" i="1"/>
  <c r="BP191" i="1"/>
  <c r="AI360" i="1"/>
  <c r="W305" i="1"/>
  <c r="AA286" i="1"/>
  <c r="AE267" i="1"/>
  <c r="AI248" i="1"/>
  <c r="AM229" i="1"/>
  <c r="AQ210" i="1"/>
  <c r="AU191" i="1"/>
  <c r="BW317" i="1"/>
  <c r="BH294" i="1"/>
  <c r="BL275" i="1"/>
  <c r="DH263" i="1"/>
  <c r="BH254" i="1"/>
  <c r="H245" i="1"/>
  <c r="BL235" i="1"/>
  <c r="L226" i="1"/>
  <c r="BP216" i="1"/>
  <c r="P207" i="1"/>
  <c r="BT197" i="1"/>
  <c r="T188" i="1"/>
  <c r="W455" i="1"/>
  <c r="O347" i="1"/>
  <c r="AQ311" i="1"/>
  <c r="CU301" i="1"/>
  <c r="AU292" i="1"/>
  <c r="CY282" i="1"/>
  <c r="AY273" i="1"/>
  <c r="DC263" i="1"/>
  <c r="BC254" i="1"/>
  <c r="DG244" i="1"/>
  <c r="BG235" i="1"/>
  <c r="G226" i="1"/>
  <c r="BS365" i="1"/>
  <c r="CA327" i="1"/>
  <c r="BG306" i="1"/>
  <c r="G297" i="1"/>
  <c r="BK287" i="1"/>
  <c r="K278" i="1"/>
  <c r="BO268" i="1"/>
  <c r="O259" i="1"/>
  <c r="BS249" i="1"/>
  <c r="S240" i="1"/>
  <c r="BW230" i="1"/>
  <c r="W221" i="1"/>
  <c r="CA211" i="1"/>
  <c r="AA202" i="1"/>
  <c r="CE192" i="1"/>
  <c r="AO184" i="1"/>
  <c r="BC324" i="1"/>
  <c r="AN305" i="1"/>
  <c r="CR295" i="1"/>
  <c r="AR286" i="1"/>
  <c r="CV276" i="1"/>
  <c r="AB459" i="1"/>
  <c r="AR446" i="1"/>
  <c r="AB397" i="1"/>
  <c r="BH394" i="1"/>
  <c r="S398" i="1"/>
  <c r="AB419" i="1"/>
  <c r="T545" i="1"/>
  <c r="BY390" i="1"/>
  <c r="AR412" i="1"/>
  <c r="CE469" i="1"/>
  <c r="CI385" i="1"/>
  <c r="AH359" i="1"/>
  <c r="CQ441" i="1"/>
  <c r="BI333" i="1"/>
  <c r="BV358" i="1"/>
  <c r="CI431" i="1"/>
  <c r="CW332" i="1"/>
  <c r="CX366" i="1"/>
  <c r="DF328" i="1"/>
  <c r="I366" i="1"/>
  <c r="DC372" i="1"/>
  <c r="I328" i="1"/>
  <c r="BT365" i="1"/>
  <c r="CB327" i="1"/>
  <c r="CG308" i="1"/>
  <c r="CO270" i="1"/>
  <c r="CW232" i="1"/>
  <c r="DE194" i="1"/>
  <c r="AE338" i="1"/>
  <c r="BV352" i="1"/>
  <c r="AS352" i="1"/>
  <c r="BI318" i="1"/>
  <c r="AH413" i="1"/>
  <c r="AB367" i="1"/>
  <c r="BT354" i="1"/>
  <c r="H342" i="1"/>
  <c r="AJ329" i="1"/>
  <c r="CB316" i="1"/>
  <c r="AE357" i="1"/>
  <c r="AM319" i="1"/>
  <c r="AW304" i="1"/>
  <c r="DA294" i="1"/>
  <c r="BA285" i="1"/>
  <c r="DE275" i="1"/>
  <c r="BE266" i="1"/>
  <c r="DI256" i="1"/>
  <c r="BI247" i="1"/>
  <c r="I238" i="1"/>
  <c r="BM228" i="1"/>
  <c r="M219" i="1"/>
  <c r="BQ209" i="1"/>
  <c r="Q200" i="1"/>
  <c r="BU190" i="1"/>
  <c r="U181" i="1"/>
  <c r="K357" i="1"/>
  <c r="DF402" i="1"/>
  <c r="BB339" i="1"/>
  <c r="BJ399" i="1"/>
  <c r="BQ338" i="1"/>
  <c r="BM324" i="1"/>
  <c r="M315" i="1"/>
  <c r="CT417" i="1"/>
  <c r="DB379" i="1"/>
  <c r="T362" i="1"/>
  <c r="AB340" i="1"/>
  <c r="CM348" i="1"/>
  <c r="AO283" i="1"/>
  <c r="AW245" i="1"/>
  <c r="BE207" i="1"/>
  <c r="S370" i="1"/>
  <c r="BU327" i="1"/>
  <c r="BH365" i="1"/>
  <c r="BP327" i="1"/>
  <c r="CH375" i="1"/>
  <c r="CG307" i="1"/>
  <c r="CK288" i="1"/>
  <c r="CO269" i="1"/>
  <c r="CS250" i="1"/>
  <c r="CW231" i="1"/>
  <c r="DA212" i="1"/>
  <c r="CQ342" i="1"/>
  <c r="AJ299" i="1"/>
  <c r="AN280" i="1"/>
  <c r="AR261" i="1"/>
  <c r="AV242" i="1"/>
  <c r="AZ223" i="1"/>
  <c r="BD204" i="1"/>
  <c r="BH185" i="1"/>
  <c r="DG335" i="1"/>
  <c r="O299" i="1"/>
  <c r="S280" i="1"/>
  <c r="W261" i="1"/>
  <c r="AA242" i="1"/>
  <c r="AE223" i="1"/>
  <c r="AI204" i="1"/>
  <c r="BU192" i="1"/>
  <c r="AV307" i="1"/>
  <c r="AZ288" i="1"/>
  <c r="AR270" i="1"/>
  <c r="CV260" i="1"/>
  <c r="AV251" i="1"/>
  <c r="CZ241" i="1"/>
  <c r="AZ232" i="1"/>
  <c r="DD222" i="1"/>
  <c r="BD213" i="1"/>
  <c r="DH203" i="1"/>
  <c r="BH194" i="1"/>
  <c r="H185" i="1"/>
  <c r="CH383" i="1"/>
  <c r="BW334" i="1"/>
  <c r="AE308" i="1"/>
  <c r="CI298" i="1"/>
  <c r="AI289" i="1"/>
  <c r="CM279" i="1"/>
  <c r="AM270" i="1"/>
  <c r="CQ260" i="1"/>
  <c r="AQ251" i="1"/>
  <c r="CU241" i="1"/>
  <c r="AU232" i="1"/>
  <c r="CY222" i="1"/>
  <c r="AY213" i="1"/>
  <c r="DC203" i="1"/>
  <c r="BC194" i="1"/>
  <c r="CO197" i="1"/>
  <c r="BK342" i="1"/>
  <c r="CB308" i="1"/>
  <c r="AB299" i="1"/>
  <c r="CF289" i="1"/>
  <c r="AF280" i="1"/>
  <c r="CJ270" i="1"/>
  <c r="AJ261" i="1"/>
  <c r="CN251" i="1"/>
  <c r="AN242" i="1"/>
  <c r="CR232" i="1"/>
  <c r="AR223" i="1"/>
  <c r="CV213" i="1"/>
  <c r="AV204" i="1"/>
  <c r="CZ194" i="1"/>
  <c r="AZ185" i="1"/>
  <c r="CX387" i="1"/>
  <c r="CA335" i="1"/>
  <c r="BG308" i="1"/>
  <c r="G299" i="1"/>
  <c r="BK289" i="1"/>
  <c r="K280" i="1"/>
  <c r="BO270" i="1"/>
  <c r="O261" i="1"/>
  <c r="BS251" i="1"/>
  <c r="S242" i="1"/>
  <c r="BW232" i="1"/>
  <c r="W223" i="1"/>
  <c r="CA213" i="1"/>
  <c r="AA204" i="1"/>
  <c r="CE194" i="1"/>
  <c r="CP405" i="1"/>
  <c r="BO315" i="1"/>
  <c r="BD303" i="1"/>
  <c r="DH293" i="1"/>
  <c r="BH284" i="1"/>
  <c r="H275" i="1"/>
  <c r="BL265" i="1"/>
  <c r="L256" i="1"/>
  <c r="BP246" i="1"/>
  <c r="P237" i="1"/>
  <c r="BT227" i="1"/>
  <c r="T218" i="1"/>
  <c r="BX208" i="1"/>
  <c r="X199" i="1"/>
  <c r="CB189" i="1"/>
  <c r="AB180" i="1"/>
  <c r="AM353" i="1"/>
  <c r="AU315" i="1"/>
  <c r="AY303" i="1"/>
  <c r="DC293" i="1"/>
  <c r="BC284" i="1"/>
  <c r="DG274" i="1"/>
  <c r="BG265" i="1"/>
  <c r="G256" i="1"/>
  <c r="BK246" i="1"/>
  <c r="K237" i="1"/>
  <c r="BO227" i="1"/>
  <c r="O218" i="1"/>
  <c r="BS208" i="1"/>
  <c r="S199" i="1"/>
  <c r="BW189" i="1"/>
  <c r="W180" i="1"/>
  <c r="CA179" i="1"/>
  <c r="CT291" i="1"/>
  <c r="DB253" i="1"/>
  <c r="F216" i="1"/>
  <c r="N179" i="1"/>
  <c r="BR169" i="1"/>
  <c r="AF337" i="1"/>
  <c r="DC336" i="1"/>
  <c r="AS280" i="1"/>
  <c r="BA242" i="1"/>
  <c r="BI204" i="1"/>
  <c r="AT402" i="1"/>
  <c r="BY324" i="1"/>
  <c r="BL362" i="1"/>
  <c r="AB325" i="1"/>
  <c r="K364" i="1"/>
  <c r="Q306" i="1"/>
  <c r="U287" i="1"/>
  <c r="Y268" i="1"/>
  <c r="AC249" i="1"/>
  <c r="AG230" i="1"/>
  <c r="AK211" i="1"/>
  <c r="AE334" i="1"/>
  <c r="BX297" i="1"/>
  <c r="CB278" i="1"/>
  <c r="CF259" i="1"/>
  <c r="CJ240" i="1"/>
  <c r="CN221" i="1"/>
  <c r="CR202" i="1"/>
  <c r="CV183" i="1"/>
  <c r="BC329" i="1"/>
  <c r="BC297" i="1"/>
  <c r="BG278" i="1"/>
  <c r="BK259" i="1"/>
  <c r="BO240" i="1"/>
  <c r="BS221" i="1"/>
  <c r="BW202" i="1"/>
  <c r="Q186" i="1"/>
  <c r="CJ305" i="1"/>
  <c r="CN286" i="1"/>
  <c r="BT269" i="1"/>
  <c r="T260" i="1"/>
  <c r="BX250" i="1"/>
  <c r="X241" i="1"/>
  <c r="CB231" i="1"/>
  <c r="AB222" i="1"/>
  <c r="CF212" i="1"/>
  <c r="AF203" i="1"/>
  <c r="CJ193" i="1"/>
  <c r="AJ184" i="1"/>
  <c r="CX371" i="1"/>
  <c r="CA331" i="1"/>
  <c r="BG307" i="1"/>
  <c r="G298" i="1"/>
  <c r="BK288" i="1"/>
  <c r="K279" i="1"/>
  <c r="BO269" i="1"/>
  <c r="O260" i="1"/>
  <c r="BS250" i="1"/>
  <c r="S241" i="1"/>
  <c r="BW231" i="1"/>
  <c r="W222" i="1"/>
  <c r="CA212" i="1"/>
  <c r="AA203" i="1"/>
  <c r="CE193" i="1"/>
  <c r="CS194" i="1"/>
  <c r="BK338" i="1"/>
  <c r="DD307" i="1"/>
  <c r="BD298" i="1"/>
  <c r="DH288" i="1"/>
  <c r="BH279" i="1"/>
  <c r="H270" i="1"/>
  <c r="BL260" i="1"/>
  <c r="L251" i="1"/>
  <c r="BP241" i="1"/>
  <c r="P232" i="1"/>
  <c r="BT222" i="1"/>
  <c r="T213" i="1"/>
  <c r="BX203" i="1"/>
  <c r="X194" i="1"/>
  <c r="CB184" i="1"/>
  <c r="J376" i="1"/>
  <c r="CE332" i="1"/>
  <c r="CI307" i="1"/>
  <c r="AI298" i="1"/>
  <c r="CM288" i="1"/>
  <c r="AM279" i="1"/>
  <c r="CQ269" i="1"/>
  <c r="AQ260" i="1"/>
  <c r="CU250" i="1"/>
  <c r="AU241" i="1"/>
  <c r="CY231" i="1"/>
  <c r="AY222" i="1"/>
  <c r="DC212" i="1"/>
  <c r="BC203" i="1"/>
  <c r="DG193" i="1"/>
  <c r="DG366" i="1"/>
  <c r="BS312" i="1"/>
  <c r="CF302" i="1"/>
  <c r="AF293" i="1"/>
  <c r="CJ283" i="1"/>
  <c r="AJ274" i="1"/>
  <c r="CN264" i="1"/>
  <c r="AN255" i="1"/>
  <c r="CR245" i="1"/>
  <c r="AR236" i="1"/>
  <c r="CV226" i="1"/>
  <c r="AV217" i="1"/>
  <c r="CZ207" i="1"/>
  <c r="AZ198" i="1"/>
  <c r="DD188" i="1"/>
  <c r="BD179" i="1"/>
  <c r="AQ350" i="1"/>
  <c r="AY312" i="1"/>
  <c r="CA302" i="1"/>
  <c r="AA293" i="1"/>
  <c r="CE283" i="1"/>
  <c r="AE274" i="1"/>
  <c r="CI264" i="1"/>
  <c r="AI255" i="1"/>
  <c r="CM245" i="1"/>
  <c r="AM236" i="1"/>
  <c r="CQ226" i="1"/>
  <c r="AQ217" i="1"/>
  <c r="CU207" i="1"/>
  <c r="BX336" i="1"/>
  <c r="BO334" i="1"/>
  <c r="CK279" i="1"/>
  <c r="CS241" i="1"/>
  <c r="DA203" i="1"/>
  <c r="CX392" i="1"/>
  <c r="M324" i="1"/>
  <c r="DD361" i="1"/>
  <c r="L325" i="1"/>
  <c r="BC363" i="1"/>
  <c r="DE305" i="1"/>
  <c r="DI286" i="1"/>
  <c r="I268" i="1"/>
  <c r="M249" i="1"/>
  <c r="Q230" i="1"/>
  <c r="U211" i="1"/>
  <c r="AQ333" i="1"/>
  <c r="BH297" i="1"/>
  <c r="BL278" i="1"/>
  <c r="BP259" i="1"/>
  <c r="BT240" i="1"/>
  <c r="BX221" i="1"/>
  <c r="CB202" i="1"/>
  <c r="CF183" i="1"/>
  <c r="CU328" i="1"/>
  <c r="AM297" i="1"/>
  <c r="AQ278" i="1"/>
  <c r="AU259" i="1"/>
  <c r="AY240" i="1"/>
  <c r="BC221" i="1"/>
  <c r="BG202" i="1"/>
  <c r="BI185" i="1"/>
  <c r="BT305" i="1"/>
  <c r="BX286" i="1"/>
  <c r="BD269" i="1"/>
  <c r="DH259" i="1"/>
  <c r="BH250" i="1"/>
  <c r="H241" i="1"/>
  <c r="BL231" i="1"/>
  <c r="L222" i="1"/>
  <c r="BP212" i="1"/>
  <c r="P203" i="1"/>
  <c r="BT193" i="1"/>
  <c r="T184" i="1"/>
  <c r="BJ369" i="1"/>
  <c r="O331" i="1"/>
  <c r="AQ307" i="1"/>
  <c r="CU297" i="1"/>
  <c r="AU288" i="1"/>
  <c r="CY278" i="1"/>
  <c r="AY269" i="1"/>
  <c r="DC259" i="1"/>
  <c r="BC250" i="1"/>
  <c r="DG240" i="1"/>
  <c r="BG231" i="1"/>
  <c r="G222" i="1"/>
  <c r="AN331" i="1"/>
  <c r="AE313" i="1"/>
  <c r="BA274" i="1"/>
  <c r="BI236" i="1"/>
  <c r="BQ198" i="1"/>
  <c r="BJ353" i="1"/>
  <c r="CG318" i="1"/>
  <c r="BT356" i="1"/>
  <c r="AF322" i="1"/>
  <c r="AA352" i="1"/>
  <c r="U303" i="1"/>
  <c r="Y284" i="1"/>
  <c r="AC265" i="1"/>
  <c r="AG246" i="1"/>
  <c r="AK227" i="1"/>
  <c r="AO208" i="1"/>
  <c r="AU318" i="1"/>
  <c r="CB294" i="1"/>
  <c r="CF275" i="1"/>
  <c r="CJ256" i="1"/>
  <c r="CN237" i="1"/>
  <c r="CR218" i="1"/>
  <c r="CV199" i="1"/>
  <c r="CZ180" i="1"/>
  <c r="BS317" i="1"/>
  <c r="BG294" i="1"/>
  <c r="BK275" i="1"/>
  <c r="BO256" i="1"/>
  <c r="BS237" i="1"/>
  <c r="BW218" i="1"/>
  <c r="CA199" i="1"/>
  <c r="BO367" i="1"/>
  <c r="CN302" i="1"/>
  <c r="CR283" i="1"/>
  <c r="T268" i="1"/>
  <c r="BX258" i="1"/>
  <c r="X249" i="1"/>
  <c r="CB239" i="1"/>
  <c r="AB230" i="1"/>
  <c r="CF220" i="1"/>
  <c r="AF211" i="1"/>
  <c r="CJ201" i="1"/>
  <c r="AJ192" i="1"/>
  <c r="CN182" i="1"/>
  <c r="CA363" i="1"/>
  <c r="CI325" i="1"/>
  <c r="G306" i="1"/>
  <c r="BK296" i="1"/>
  <c r="K287" i="1"/>
  <c r="BO277" i="1"/>
  <c r="O268" i="1"/>
  <c r="BS258" i="1"/>
  <c r="S249" i="1"/>
  <c r="BW239" i="1"/>
  <c r="W230" i="1"/>
  <c r="CA220" i="1"/>
  <c r="AA211" i="1"/>
  <c r="CE201" i="1"/>
  <c r="AE192" i="1"/>
  <c r="DA188" i="1"/>
  <c r="CA330" i="1"/>
  <c r="BD306" i="1"/>
  <c r="DH296" i="1"/>
  <c r="BH287" i="1"/>
  <c r="H278" i="1"/>
  <c r="BL268" i="1"/>
  <c r="L259" i="1"/>
  <c r="BP249" i="1"/>
  <c r="P240" i="1"/>
  <c r="BT230" i="1"/>
  <c r="T221" i="1"/>
  <c r="BX211" i="1"/>
  <c r="X202" i="1"/>
  <c r="CB192" i="1"/>
  <c r="AB183" i="1"/>
  <c r="CE364" i="1"/>
  <c r="CM326" i="1"/>
  <c r="AI306" i="1"/>
  <c r="CM296" i="1"/>
  <c r="AM287" i="1"/>
  <c r="CQ277" i="1"/>
  <c r="AQ268" i="1"/>
  <c r="CU258" i="1"/>
  <c r="AU249" i="1"/>
  <c r="CY239" i="1"/>
  <c r="AY230" i="1"/>
  <c r="DC220" i="1"/>
  <c r="BC211" i="1"/>
  <c r="DG201" i="1"/>
  <c r="BG192" i="1"/>
  <c r="AU192" i="1"/>
  <c r="T297" i="1"/>
  <c r="AB259" i="1"/>
  <c r="AJ221" i="1"/>
  <c r="AR183" i="1"/>
  <c r="DC296" i="1"/>
  <c r="G259" i="1"/>
  <c r="O221" i="1"/>
  <c r="AG182" i="1"/>
  <c r="CN304" i="1"/>
  <c r="CR285" i="1"/>
  <c r="CV266" i="1"/>
  <c r="CZ247" i="1"/>
  <c r="DD228" i="1"/>
  <c r="DH209" i="1"/>
  <c r="H191" i="1"/>
  <c r="BW358" i="1"/>
  <c r="CI304" i="1"/>
  <c r="CM285" i="1"/>
  <c r="CQ266" i="1"/>
  <c r="CU247" i="1"/>
  <c r="CY228" i="1"/>
  <c r="DC209" i="1"/>
  <c r="S195" i="1"/>
  <c r="AU182" i="1"/>
  <c r="BZ377" i="1"/>
  <c r="CT275" i="1"/>
  <c r="CX224" i="1"/>
  <c r="Z178" i="1"/>
  <c r="AP384" i="1"/>
  <c r="CM334" i="1"/>
  <c r="AI308" i="1"/>
  <c r="CM298" i="1"/>
  <c r="AM289" i="1"/>
  <c r="CQ279" i="1"/>
  <c r="AQ270" i="1"/>
  <c r="CU260" i="1"/>
  <c r="AU251" i="1"/>
  <c r="CY241" i="1"/>
  <c r="AY232" i="1"/>
  <c r="DC222" i="1"/>
  <c r="BC213" i="1"/>
  <c r="DG203" i="1"/>
  <c r="BG194" i="1"/>
  <c r="BA191" i="1"/>
  <c r="DC333" i="1"/>
  <c r="P307" i="1"/>
  <c r="BT297" i="1"/>
  <c r="T288" i="1"/>
  <c r="BX278" i="1"/>
  <c r="AC449" i="1"/>
  <c r="CB479" i="1"/>
  <c r="BI427" i="1"/>
  <c r="DD422" i="1"/>
  <c r="BS407" i="1"/>
  <c r="CQ435" i="1"/>
  <c r="X378" i="1"/>
  <c r="DC401" i="1"/>
  <c r="CR421" i="1"/>
  <c r="AN371" i="1"/>
  <c r="AE395" i="1"/>
  <c r="CH368" i="1"/>
  <c r="AD318" i="1"/>
  <c r="DI342" i="1"/>
  <c r="R368" i="1"/>
  <c r="BR317" i="1"/>
  <c r="AS342" i="1"/>
  <c r="BF389" i="1"/>
  <c r="N336" i="1"/>
  <c r="J386" i="1"/>
  <c r="AC335" i="1"/>
  <c r="I343" i="1"/>
  <c r="AT384" i="1"/>
  <c r="CN334" i="1"/>
  <c r="W327" i="1"/>
  <c r="DA277" i="1"/>
  <c r="DI239" i="1"/>
  <c r="M202" i="1"/>
  <c r="BC352" i="1"/>
  <c r="CT366" i="1"/>
  <c r="BQ366" i="1"/>
  <c r="M322" i="1"/>
  <c r="CH422" i="1"/>
  <c r="CL371" i="1"/>
  <c r="DH356" i="1"/>
  <c r="AV344" i="1"/>
  <c r="BX331" i="1"/>
  <c r="L319" i="1"/>
  <c r="DC364" i="1"/>
  <c r="AY326" i="1"/>
  <c r="Y306" i="1"/>
  <c r="CC296" i="1"/>
  <c r="AC287" i="1"/>
  <c r="CG277" i="1"/>
  <c r="AG268" i="1"/>
  <c r="CK258" i="1"/>
  <c r="AK249" i="1"/>
  <c r="CO239" i="1"/>
  <c r="AO230" i="1"/>
  <c r="CS220" i="1"/>
  <c r="AS211" i="1"/>
  <c r="CW201" i="1"/>
  <c r="AW192" i="1"/>
  <c r="DA182" i="1"/>
  <c r="W364" i="1"/>
  <c r="CE446" i="1"/>
  <c r="BN346" i="1"/>
  <c r="DC432" i="1"/>
  <c r="CC345" i="1"/>
  <c r="AO326" i="1"/>
  <c r="CS316" i="1"/>
  <c r="U426" i="1"/>
  <c r="J387" i="1"/>
  <c r="CZ363" i="1"/>
  <c r="AN347" i="1"/>
  <c r="AX402" i="1"/>
  <c r="BA290" i="1"/>
  <c r="BI252" i="1"/>
  <c r="BQ214" i="1"/>
  <c r="BZ401" i="1"/>
  <c r="AW341" i="1"/>
  <c r="DB383" i="1"/>
  <c r="CB334" i="1"/>
  <c r="BS451" i="1"/>
  <c r="AK311" i="1"/>
  <c r="AO292" i="1"/>
  <c r="AS273" i="1"/>
  <c r="AW254" i="1"/>
  <c r="BA235" i="1"/>
  <c r="BE216" i="1"/>
  <c r="G368" i="1"/>
  <c r="CR302" i="1"/>
  <c r="CV283" i="1"/>
  <c r="CZ264" i="1"/>
  <c r="DD245" i="1"/>
  <c r="DH226" i="1"/>
  <c r="H208" i="1"/>
  <c r="L189" i="1"/>
  <c r="AA350" i="1"/>
  <c r="BW302" i="1"/>
  <c r="CA283" i="1"/>
  <c r="CE264" i="1"/>
  <c r="CI245" i="1"/>
  <c r="CM226" i="1"/>
  <c r="CQ207" i="1"/>
  <c r="CU188" i="1"/>
  <c r="DD310" i="1"/>
  <c r="DH291" i="1"/>
  <c r="H273" i="1"/>
  <c r="BX262" i="1"/>
  <c r="X253" i="1"/>
  <c r="CB243" i="1"/>
  <c r="AB234" i="1"/>
  <c r="CF224" i="1"/>
  <c r="AF215" i="1"/>
  <c r="CJ205" i="1"/>
  <c r="AJ196" i="1"/>
  <c r="CN186" i="1"/>
  <c r="Z412" i="1"/>
  <c r="CI341" i="1"/>
  <c r="G310" i="1"/>
  <c r="BK300" i="1"/>
  <c r="K291" i="1"/>
  <c r="BO281" i="1"/>
  <c r="O272" i="1"/>
  <c r="BS262" i="1"/>
  <c r="S253" i="1"/>
  <c r="BW243" i="1"/>
  <c r="W234" i="1"/>
  <c r="CA224" i="1"/>
  <c r="AA215" i="1"/>
  <c r="CE205" i="1"/>
  <c r="AE196" i="1"/>
  <c r="DA204" i="1"/>
  <c r="AA353" i="1"/>
  <c r="BD310" i="1"/>
  <c r="DH300" i="1"/>
  <c r="BH291" i="1"/>
  <c r="H282" i="1"/>
  <c r="BL272" i="1"/>
  <c r="L263" i="1"/>
  <c r="BP253" i="1"/>
  <c r="P244" i="1"/>
  <c r="BT234" i="1"/>
  <c r="T225" i="1"/>
  <c r="BX215" i="1"/>
  <c r="X206" i="1"/>
  <c r="CB196" i="1"/>
  <c r="AB187" i="1"/>
  <c r="AP416" i="1"/>
  <c r="CM342" i="1"/>
  <c r="AI310" i="1"/>
  <c r="CM300" i="1"/>
  <c r="AM291" i="1"/>
  <c r="CQ281" i="1"/>
  <c r="AQ272" i="1"/>
  <c r="CU262" i="1"/>
  <c r="AU253" i="1"/>
  <c r="CY243" i="1"/>
  <c r="AY234" i="1"/>
  <c r="DC224" i="1"/>
  <c r="BC215" i="1"/>
  <c r="DG205" i="1"/>
  <c r="BG196" i="1"/>
  <c r="I184" i="1"/>
  <c r="W324" i="1"/>
  <c r="AF305" i="1"/>
  <c r="CJ295" i="1"/>
  <c r="AJ286" i="1"/>
  <c r="CN276" i="1"/>
  <c r="AN267" i="1"/>
  <c r="CR257" i="1"/>
  <c r="AR248" i="1"/>
  <c r="CV238" i="1"/>
  <c r="AV229" i="1"/>
  <c r="CZ219" i="1"/>
  <c r="AZ210" i="1"/>
  <c r="DD200" i="1"/>
  <c r="BD191" i="1"/>
  <c r="DH181" i="1"/>
  <c r="AY360" i="1"/>
  <c r="BG322" i="1"/>
  <c r="AA305" i="1"/>
  <c r="CE295" i="1"/>
  <c r="AE286" i="1"/>
  <c r="CI276" i="1"/>
  <c r="AI267" i="1"/>
  <c r="CM257" i="1"/>
  <c r="AM248" i="1"/>
  <c r="CQ238" i="1"/>
  <c r="AQ229" i="1"/>
  <c r="CU219" i="1"/>
  <c r="AU210" i="1"/>
  <c r="CY200" i="1"/>
  <c r="AY191" i="1"/>
  <c r="DC181" i="1"/>
  <c r="K182" i="1"/>
  <c r="DF298" i="1"/>
  <c r="J261" i="1"/>
  <c r="R223" i="1"/>
  <c r="Z185" i="1"/>
  <c r="AT171" i="1"/>
  <c r="AR344" i="1"/>
  <c r="AU365" i="1"/>
  <c r="BE287" i="1"/>
  <c r="BM249" i="1"/>
  <c r="BU211" i="1"/>
  <c r="BC387" i="1"/>
  <c r="CK331" i="1"/>
  <c r="N372" i="1"/>
  <c r="CF331" i="1"/>
  <c r="BN406" i="1"/>
  <c r="BY309" i="1"/>
  <c r="CC290" i="1"/>
  <c r="CG271" i="1"/>
  <c r="CK252" i="1"/>
  <c r="CO233" i="1"/>
  <c r="CS214" i="1"/>
  <c r="DG354" i="1"/>
  <c r="AB301" i="1"/>
  <c r="AF282" i="1"/>
  <c r="AJ263" i="1"/>
  <c r="AN244" i="1"/>
  <c r="AR225" i="1"/>
  <c r="AV206" i="1"/>
  <c r="AZ187" i="1"/>
  <c r="CA343" i="1"/>
  <c r="G301" i="1"/>
  <c r="K282" i="1"/>
  <c r="O263" i="1"/>
  <c r="S244" i="1"/>
  <c r="W225" i="1"/>
  <c r="AA206" i="1"/>
  <c r="AO200" i="1"/>
  <c r="AN309" i="1"/>
  <c r="AR290" i="1"/>
  <c r="AV271" i="1"/>
  <c r="CZ261" i="1"/>
  <c r="AZ252" i="1"/>
  <c r="DD242" i="1"/>
  <c r="BD233" i="1"/>
  <c r="DH223" i="1"/>
  <c r="BH214" i="1"/>
  <c r="H205" i="1"/>
  <c r="BL195" i="1"/>
  <c r="L186" i="1"/>
  <c r="AP400" i="1"/>
  <c r="CM338" i="1"/>
  <c r="AI309" i="1"/>
  <c r="CM299" i="1"/>
  <c r="AM290" i="1"/>
  <c r="CQ280" i="1"/>
  <c r="AQ271" i="1"/>
  <c r="CU261" i="1"/>
  <c r="AU252" i="1"/>
  <c r="CY242" i="1"/>
  <c r="AY233" i="1"/>
  <c r="DC223" i="1"/>
  <c r="BC214" i="1"/>
  <c r="DG204" i="1"/>
  <c r="BG195" i="1"/>
  <c r="DE201" i="1"/>
  <c r="G348" i="1"/>
  <c r="CF309" i="1"/>
  <c r="AF300" i="1"/>
  <c r="CJ290" i="1"/>
  <c r="AJ281" i="1"/>
  <c r="CN271" i="1"/>
  <c r="AN262" i="1"/>
  <c r="CR252" i="1"/>
  <c r="AR243" i="1"/>
  <c r="CV233" i="1"/>
  <c r="AV224" i="1"/>
  <c r="CZ214" i="1"/>
  <c r="AZ205" i="1"/>
  <c r="DD195" i="1"/>
  <c r="BD186" i="1"/>
  <c r="BF404" i="1"/>
  <c r="CQ339" i="1"/>
  <c r="BK309" i="1"/>
  <c r="K300" i="1"/>
  <c r="BO290" i="1"/>
  <c r="O281" i="1"/>
  <c r="BS271" i="1"/>
  <c r="S262" i="1"/>
  <c r="BW252" i="1"/>
  <c r="W243" i="1"/>
  <c r="CA233" i="1"/>
  <c r="AA224" i="1"/>
  <c r="CE214" i="1"/>
  <c r="AE205" i="1"/>
  <c r="CI195" i="1"/>
  <c r="M181" i="1"/>
  <c r="W320" i="1"/>
  <c r="BH304" i="1"/>
  <c r="H295" i="1"/>
  <c r="BL285" i="1"/>
  <c r="L276" i="1"/>
  <c r="BP266" i="1"/>
  <c r="P257" i="1"/>
  <c r="BT247" i="1"/>
  <c r="T238" i="1"/>
  <c r="BX228" i="1"/>
  <c r="X219" i="1"/>
  <c r="CB209" i="1"/>
  <c r="AB200" i="1"/>
  <c r="CF190" i="1"/>
  <c r="AF181" i="1"/>
  <c r="BC357" i="1"/>
  <c r="BK319" i="1"/>
  <c r="BC304" i="1"/>
  <c r="DG294" i="1"/>
  <c r="BG285" i="1"/>
  <c r="G276" i="1"/>
  <c r="BK266" i="1"/>
  <c r="K257" i="1"/>
  <c r="BO247" i="1"/>
  <c r="O238" i="1"/>
  <c r="BS228" i="1"/>
  <c r="S219" i="1"/>
  <c r="BW209" i="1"/>
  <c r="CJ343" i="1"/>
  <c r="G363" i="1"/>
  <c r="CW286" i="1"/>
  <c r="DE248" i="1"/>
  <c r="I211" i="1"/>
  <c r="AQ384" i="1"/>
  <c r="Y331" i="1"/>
  <c r="CD369" i="1"/>
  <c r="T331" i="1"/>
  <c r="Z404" i="1"/>
  <c r="BI309" i="1"/>
  <c r="BM290" i="1"/>
  <c r="BQ271" i="1"/>
  <c r="BU252" i="1"/>
  <c r="BY233" i="1"/>
  <c r="CC214" i="1"/>
  <c r="CM353" i="1"/>
  <c r="L301" i="1"/>
  <c r="P282" i="1"/>
  <c r="T263" i="1"/>
  <c r="X244" i="1"/>
  <c r="AB225" i="1"/>
  <c r="AF206" i="1"/>
  <c r="AJ187" i="1"/>
  <c r="O343" i="1"/>
  <c r="CU300" i="1"/>
  <c r="CY281" i="1"/>
  <c r="DC262" i="1"/>
  <c r="DG243" i="1"/>
  <c r="G225" i="1"/>
  <c r="K206" i="1"/>
  <c r="CG199" i="1"/>
  <c r="X309" i="1"/>
  <c r="AB290" i="1"/>
  <c r="AF271" i="1"/>
  <c r="CJ261" i="1"/>
  <c r="AJ252" i="1"/>
  <c r="CN242" i="1"/>
  <c r="AN233" i="1"/>
  <c r="CR223" i="1"/>
  <c r="AR214" i="1"/>
  <c r="CV204" i="1"/>
  <c r="AV195" i="1"/>
  <c r="CZ185" i="1"/>
  <c r="DF397" i="1"/>
  <c r="AA338" i="1"/>
  <c r="S309" i="1"/>
  <c r="BW299" i="1"/>
  <c r="W290" i="1"/>
  <c r="CA280" i="1"/>
  <c r="AA271" i="1"/>
  <c r="CE261" i="1"/>
  <c r="AE252" i="1"/>
  <c r="CI242" i="1"/>
  <c r="AI233" i="1"/>
  <c r="CM223" i="1"/>
  <c r="AZ338" i="1"/>
  <c r="CA341" i="1"/>
  <c r="BM281" i="1"/>
  <c r="BU243" i="1"/>
  <c r="CC205" i="1"/>
  <c r="AP421" i="1"/>
  <c r="CS325" i="1"/>
  <c r="CF363" i="1"/>
  <c r="CN325" i="1"/>
  <c r="AY366" i="1"/>
  <c r="CC306" i="1"/>
  <c r="CG287" i="1"/>
  <c r="CK268" i="1"/>
  <c r="CO249" i="1"/>
  <c r="CS230" i="1"/>
  <c r="CW211" i="1"/>
  <c r="AQ337" i="1"/>
  <c r="AF298" i="1"/>
  <c r="AJ279" i="1"/>
  <c r="AN260" i="1"/>
  <c r="AR241" i="1"/>
  <c r="AV222" i="1"/>
  <c r="AZ203" i="1"/>
  <c r="BD184" i="1"/>
  <c r="CQ331" i="1"/>
  <c r="K298" i="1"/>
  <c r="O279" i="1"/>
  <c r="S260" i="1"/>
  <c r="W241" i="1"/>
  <c r="AA222" i="1"/>
  <c r="AE203" i="1"/>
  <c r="BE188" i="1"/>
  <c r="AR306" i="1"/>
  <c r="AV287" i="1"/>
  <c r="CZ269" i="1"/>
  <c r="AZ260" i="1"/>
  <c r="DD250" i="1"/>
  <c r="BD241" i="1"/>
  <c r="DH231" i="1"/>
  <c r="BH222" i="1"/>
  <c r="H213" i="1"/>
  <c r="BL203" i="1"/>
  <c r="L194" i="1"/>
  <c r="BP184" i="1"/>
  <c r="BV376" i="1"/>
  <c r="CU332" i="1"/>
  <c r="CM307" i="1"/>
  <c r="AM298" i="1"/>
  <c r="CQ288" i="1"/>
  <c r="AQ279" i="1"/>
  <c r="CU269" i="1"/>
  <c r="AU260" i="1"/>
  <c r="CY250" i="1"/>
  <c r="AY241" i="1"/>
  <c r="DC231" i="1"/>
  <c r="BC222" i="1"/>
  <c r="DG212" i="1"/>
  <c r="BG203" i="1"/>
  <c r="G194" i="1"/>
  <c r="I196" i="1"/>
  <c r="W340" i="1"/>
  <c r="AF308" i="1"/>
  <c r="CJ298" i="1"/>
  <c r="AJ289" i="1"/>
  <c r="CN279" i="1"/>
  <c r="AN270" i="1"/>
  <c r="CR260" i="1"/>
  <c r="AR251" i="1"/>
  <c r="CV241" i="1"/>
  <c r="AV232" i="1"/>
  <c r="CZ222" i="1"/>
  <c r="AZ213" i="1"/>
  <c r="DD203" i="1"/>
  <c r="BD194" i="1"/>
  <c r="DH184" i="1"/>
  <c r="CL380" i="1"/>
  <c r="CY333" i="1"/>
  <c r="K308" i="1"/>
  <c r="BO298" i="1"/>
  <c r="O289" i="1"/>
  <c r="BS279" i="1"/>
  <c r="S270" i="1"/>
  <c r="BW260" i="1"/>
  <c r="W251" i="1"/>
  <c r="CA241" i="1"/>
  <c r="AA232" i="1"/>
  <c r="CE222" i="1"/>
  <c r="AE213" i="1"/>
  <c r="CI203" i="1"/>
  <c r="AI194" i="1"/>
  <c r="BG199" i="1"/>
  <c r="AF304" i="1"/>
  <c r="AN266" i="1"/>
  <c r="AV228" i="1"/>
  <c r="BD190" i="1"/>
  <c r="K304" i="1"/>
  <c r="S266" i="1"/>
  <c r="AA228" i="1"/>
  <c r="M197" i="1"/>
  <c r="AR308" i="1"/>
  <c r="AV289" i="1"/>
  <c r="AZ270" i="1"/>
  <c r="BD251" i="1"/>
  <c r="BH232" i="1"/>
  <c r="BL213" i="1"/>
  <c r="BP194" i="1"/>
  <c r="DB384" i="1"/>
  <c r="AM308" i="1"/>
  <c r="AQ289" i="1"/>
  <c r="AU270" i="1"/>
  <c r="AY251" i="1"/>
  <c r="BC232" i="1"/>
  <c r="BG213" i="1"/>
  <c r="BG197" i="1"/>
  <c r="CI184" i="1"/>
  <c r="CA181" i="1"/>
  <c r="AP285" i="1"/>
  <c r="AT234" i="1"/>
  <c r="F184" i="1"/>
  <c r="DF167" i="1"/>
  <c r="CH157" i="1"/>
  <c r="AH148" i="1"/>
  <c r="CL138" i="1"/>
  <c r="AL129" i="1"/>
  <c r="AA195" i="1"/>
  <c r="DD299" i="1"/>
  <c r="H262" i="1"/>
  <c r="P224" i="1"/>
  <c r="X186" i="1"/>
  <c r="CI299" i="1"/>
  <c r="CQ261" i="1"/>
  <c r="CY223" i="1"/>
  <c r="AE204" i="1"/>
  <c r="AB195" i="1"/>
  <c r="G195" i="1"/>
  <c r="CR253" i="1"/>
  <c r="CT422" i="1"/>
  <c r="CM253" i="1"/>
  <c r="AU186" i="1"/>
  <c r="BJ190" i="1"/>
  <c r="DF155" i="1"/>
  <c r="F137" i="1"/>
  <c r="CL122" i="1"/>
  <c r="AL113" i="1"/>
  <c r="CP103" i="1"/>
  <c r="AP94" i="1"/>
  <c r="CT84" i="1"/>
  <c r="AT75" i="1"/>
  <c r="F415" i="1"/>
  <c r="AD291" i="1"/>
  <c r="AL253" i="1"/>
  <c r="AT215" i="1"/>
  <c r="DA178" i="1"/>
  <c r="BA169" i="1"/>
  <c r="DE159" i="1"/>
  <c r="BE150" i="1"/>
  <c r="DI140" i="1"/>
  <c r="BI131" i="1"/>
  <c r="I122" i="1"/>
  <c r="BM112" i="1"/>
  <c r="M103" i="1"/>
  <c r="BQ93" i="1"/>
  <c r="Q84" i="1"/>
  <c r="BU74" i="1"/>
  <c r="DG360" i="1"/>
  <c r="AT286" i="1"/>
  <c r="BB248" i="1"/>
  <c r="BJ210" i="1"/>
  <c r="CD177" i="1"/>
  <c r="AD168" i="1"/>
  <c r="CH158" i="1"/>
  <c r="AH149" i="1"/>
  <c r="CL139" i="1"/>
  <c r="AL130" i="1"/>
  <c r="CP120" i="1"/>
  <c r="AP111" i="1"/>
  <c r="CT101" i="1"/>
  <c r="AT92" i="1"/>
  <c r="CX82" i="1"/>
  <c r="AX73" i="1"/>
  <c r="AQ351" i="1"/>
  <c r="DF283" i="1"/>
  <c r="J246" i="1"/>
  <c r="R208" i="1"/>
  <c r="Q177" i="1"/>
  <c r="BU167" i="1"/>
  <c r="U158" i="1"/>
  <c r="BY148" i="1"/>
  <c r="Y139" i="1"/>
  <c r="CC129" i="1"/>
  <c r="AC120" i="1"/>
  <c r="CG110" i="1"/>
  <c r="AG101" i="1"/>
  <c r="CK91" i="1"/>
  <c r="AK82" i="1"/>
  <c r="CO72" i="1"/>
  <c r="G358" i="1"/>
  <c r="BV285" i="1"/>
  <c r="CD247" i="1"/>
  <c r="CL209" i="1"/>
  <c r="BJ177" i="1"/>
  <c r="J168" i="1"/>
  <c r="BN158" i="1"/>
  <c r="N149" i="1"/>
  <c r="BR139" i="1"/>
  <c r="R130" i="1"/>
  <c r="BV120" i="1"/>
  <c r="V111" i="1"/>
  <c r="BZ101" i="1"/>
  <c r="Z92" i="1"/>
  <c r="CD82" i="1"/>
  <c r="AD73" i="1"/>
  <c r="AU348" i="1"/>
  <c r="AD283" i="1"/>
  <c r="AL245" i="1"/>
  <c r="AT207" i="1"/>
  <c r="DA176" i="1"/>
  <c r="BA167" i="1"/>
  <c r="DE157" i="1"/>
  <c r="BE148" i="1"/>
  <c r="DI138" i="1"/>
  <c r="BI129" i="1"/>
  <c r="I120" i="1"/>
  <c r="BM110" i="1"/>
  <c r="M101" i="1"/>
  <c r="BQ91" i="1"/>
  <c r="Q82" i="1"/>
  <c r="AQ188" i="1"/>
  <c r="DG328" i="1"/>
  <c r="AT278" i="1"/>
  <c r="BB240" i="1"/>
  <c r="BJ202" i="1"/>
  <c r="CD175" i="1"/>
  <c r="AD166" i="1"/>
  <c r="CH156" i="1"/>
  <c r="AH147" i="1"/>
  <c r="S213" i="1"/>
  <c r="CY340" i="1"/>
  <c r="DD279" i="1"/>
  <c r="H242" i="1"/>
  <c r="P204" i="1"/>
  <c r="BG334" i="1"/>
  <c r="CI279" i="1"/>
  <c r="CQ241" i="1"/>
  <c r="CY203" i="1"/>
  <c r="BW325" i="1"/>
  <c r="L296" i="1"/>
  <c r="P277" i="1"/>
  <c r="T258" i="1"/>
  <c r="X239" i="1"/>
  <c r="AB220" i="1"/>
  <c r="AF201" i="1"/>
  <c r="AJ182" i="1"/>
  <c r="CA323" i="1"/>
  <c r="G296" i="1"/>
  <c r="K277" i="1"/>
  <c r="O258" i="1"/>
  <c r="S239" i="1"/>
  <c r="W220" i="1"/>
  <c r="DC201" i="1"/>
  <c r="AQ189" i="1"/>
  <c r="AI188" i="1"/>
  <c r="R303" i="1"/>
  <c r="CH252" i="1"/>
  <c r="AT202" i="1"/>
  <c r="AX172" i="1"/>
  <c r="V161" i="1"/>
  <c r="BZ151" i="1"/>
  <c r="Z142" i="1"/>
  <c r="CD132" i="1"/>
  <c r="AD123" i="1"/>
  <c r="CH113" i="1"/>
  <c r="AH104" i="1"/>
  <c r="CL94" i="1"/>
  <c r="AL85" i="1"/>
  <c r="CP75" i="1"/>
  <c r="AP66" i="1"/>
  <c r="F293" i="1"/>
  <c r="N255" i="1"/>
  <c r="V217" i="1"/>
  <c r="AU179" i="1"/>
  <c r="CW169" i="1"/>
  <c r="AW160" i="1"/>
  <c r="DA150" i="1"/>
  <c r="BA141" i="1"/>
  <c r="DE131" i="1"/>
  <c r="BE122" i="1"/>
  <c r="DI112" i="1"/>
  <c r="BI103" i="1"/>
  <c r="I94" i="1"/>
  <c r="BM84" i="1"/>
  <c r="M75" i="1"/>
  <c r="AL375" i="1"/>
  <c r="V288" i="1"/>
  <c r="AD250" i="1"/>
  <c r="AL212" i="1"/>
  <c r="V178" i="1"/>
  <c r="BZ168" i="1"/>
  <c r="Z159" i="1"/>
  <c r="CD149" i="1"/>
  <c r="AD140" i="1"/>
  <c r="CH130" i="1"/>
  <c r="AH121" i="1"/>
  <c r="CL111" i="1"/>
  <c r="AL102" i="1"/>
  <c r="CP92" i="1"/>
  <c r="AP83" i="1"/>
  <c r="CT73" i="1"/>
  <c r="BC358" i="1"/>
  <c r="CH285" i="1"/>
  <c r="CP247" i="1"/>
  <c r="CX209" i="1"/>
  <c r="BM177" i="1"/>
  <c r="M168" i="1"/>
  <c r="BQ158" i="1"/>
  <c r="Q149" i="1"/>
  <c r="BU139" i="1"/>
  <c r="BK212" i="1"/>
  <c r="CM337" i="1"/>
  <c r="AR279" i="1"/>
  <c r="AZ241" i="1"/>
  <c r="BH203" i="1"/>
  <c r="S332" i="1"/>
  <c r="W279" i="1"/>
  <c r="AE241" i="1"/>
  <c r="AM203" i="1"/>
  <c r="CY324" i="1"/>
  <c r="CZ295" i="1"/>
  <c r="DD276" i="1"/>
  <c r="DH257" i="1"/>
  <c r="H239" i="1"/>
  <c r="L220" i="1"/>
  <c r="P201" i="1"/>
  <c r="T182" i="1"/>
  <c r="O323" i="1"/>
  <c r="CU295" i="1"/>
  <c r="CY276" i="1"/>
  <c r="DC257" i="1"/>
  <c r="DG238" i="1"/>
  <c r="G220" i="1"/>
  <c r="CM201" i="1"/>
  <c r="AA189" i="1"/>
  <c r="CA187" i="1"/>
  <c r="BJ302" i="1"/>
  <c r="V252" i="1"/>
  <c r="Z201" i="1"/>
  <c r="AH172" i="1"/>
  <c r="F161" i="1"/>
  <c r="BJ151" i="1"/>
  <c r="J142" i="1"/>
  <c r="BN132" i="1"/>
  <c r="N123" i="1"/>
  <c r="BR113" i="1"/>
  <c r="R104" i="1"/>
  <c r="BV94" i="1"/>
  <c r="V85" i="1"/>
  <c r="BZ75" i="1"/>
  <c r="K509" i="1"/>
  <c r="AX292" i="1"/>
  <c r="BF254" i="1"/>
  <c r="BN216" i="1"/>
  <c r="AC179" i="1"/>
  <c r="CG169" i="1"/>
  <c r="AG160" i="1"/>
  <c r="CK150" i="1"/>
  <c r="AK141" i="1"/>
  <c r="CO131" i="1"/>
  <c r="AO122" i="1"/>
  <c r="CS112" i="1"/>
  <c r="AS103" i="1"/>
  <c r="CW93" i="1"/>
  <c r="AW84" i="1"/>
  <c r="DA74" i="1"/>
  <c r="BG367" i="1"/>
  <c r="BN287" i="1"/>
  <c r="BV249" i="1"/>
  <c r="CD211" i="1"/>
  <c r="F178" i="1"/>
  <c r="BJ168" i="1"/>
  <c r="J159" i="1"/>
  <c r="BN149" i="1"/>
  <c r="N140" i="1"/>
  <c r="BR130" i="1"/>
  <c r="R121" i="1"/>
  <c r="BV111" i="1"/>
  <c r="V102" i="1"/>
  <c r="BZ92" i="1"/>
  <c r="Z83" i="1"/>
  <c r="CD73" i="1"/>
  <c r="O356" i="1"/>
  <c r="V285" i="1"/>
  <c r="AD247" i="1"/>
  <c r="AL209" i="1"/>
  <c r="AW177" i="1"/>
  <c r="DA167" i="1"/>
  <c r="BA158" i="1"/>
  <c r="DE148" i="1"/>
  <c r="BE139" i="1"/>
  <c r="DI129" i="1"/>
  <c r="BI120" i="1"/>
  <c r="I111" i="1"/>
  <c r="BM101" i="1"/>
  <c r="M92" i="1"/>
  <c r="BQ82" i="1"/>
  <c r="Q73" i="1"/>
  <c r="AQ363" i="1"/>
  <c r="CP286" i="1"/>
  <c r="CX248" i="1"/>
  <c r="DF210" i="1"/>
  <c r="CP177" i="1"/>
  <c r="AP168" i="1"/>
  <c r="CT158" i="1"/>
  <c r="AT149" i="1"/>
  <c r="CX139" i="1"/>
  <c r="AX130" i="1"/>
  <c r="DB120" i="1"/>
  <c r="BB111" i="1"/>
  <c r="DF101" i="1"/>
  <c r="BF92" i="1"/>
  <c r="F83" i="1"/>
  <c r="BJ73" i="1"/>
  <c r="S353" i="1"/>
  <c r="AX284" i="1"/>
  <c r="AM214" i="1"/>
  <c r="AI347" i="1"/>
  <c r="T281" i="1"/>
  <c r="AB243" i="1"/>
  <c r="AJ205" i="1"/>
  <c r="AE339" i="1"/>
  <c r="DC280" i="1"/>
  <c r="G243" i="1"/>
  <c r="O205" i="1"/>
  <c r="CY328" i="1"/>
  <c r="BX296" i="1"/>
  <c r="CB277" i="1"/>
  <c r="CF258" i="1"/>
  <c r="CJ239" i="1"/>
  <c r="CN220" i="1"/>
  <c r="CR201" i="1"/>
  <c r="CV182" i="1"/>
  <c r="K326" i="1"/>
  <c r="BS296" i="1"/>
  <c r="BW277" i="1"/>
  <c r="CA258" i="1"/>
  <c r="CE239" i="1"/>
  <c r="CI220" i="1"/>
  <c r="AU202" i="1"/>
  <c r="CM189" i="1"/>
  <c r="AE189" i="1"/>
  <c r="CX304" i="1"/>
  <c r="BJ254" i="1"/>
  <c r="BN203" i="1"/>
  <c r="CT172" i="1"/>
  <c r="BB161" i="1"/>
  <c r="DF151" i="1"/>
  <c r="BF142" i="1"/>
  <c r="F133" i="1"/>
  <c r="BJ123" i="1"/>
  <c r="J114" i="1"/>
  <c r="BN104" i="1"/>
  <c r="N95" i="1"/>
  <c r="BR85" i="1"/>
  <c r="R76" i="1"/>
  <c r="BV66" i="1"/>
  <c r="Z294" i="1"/>
  <c r="AH256" i="1"/>
  <c r="AP218" i="1"/>
  <c r="AX180" i="1"/>
  <c r="Y170" i="1"/>
  <c r="CC160" i="1"/>
  <c r="AC151" i="1"/>
  <c r="CG141" i="1"/>
  <c r="AG132" i="1"/>
  <c r="CK122" i="1"/>
  <c r="AK113" i="1"/>
  <c r="CO103" i="1"/>
  <c r="AO94" i="1"/>
  <c r="CS84" i="1"/>
  <c r="AS75" i="1"/>
  <c r="AT401" i="1"/>
  <c r="AP289" i="1"/>
  <c r="AX251" i="1"/>
  <c r="BF213" i="1"/>
  <c r="BB178" i="1"/>
  <c r="DF168" i="1"/>
  <c r="BF159" i="1"/>
  <c r="F150" i="1"/>
  <c r="BJ140" i="1"/>
  <c r="J131" i="1"/>
  <c r="BN121" i="1"/>
  <c r="N112" i="1"/>
  <c r="BR102" i="1"/>
  <c r="R93" i="1"/>
  <c r="BV83" i="1"/>
  <c r="V74" i="1"/>
  <c r="AA363" i="1"/>
  <c r="DB286" i="1"/>
  <c r="F249" i="1"/>
  <c r="N211" i="1"/>
  <c r="CS177" i="1"/>
  <c r="AS168" i="1"/>
  <c r="CW158" i="1"/>
  <c r="AW149" i="1"/>
  <c r="DA139" i="1"/>
  <c r="BA130" i="1"/>
  <c r="DE120" i="1"/>
  <c r="BE111" i="1"/>
  <c r="DI101" i="1"/>
  <c r="BI92" i="1"/>
  <c r="I83" i="1"/>
  <c r="BM73" i="1"/>
  <c r="CL384" i="1"/>
  <c r="BR288" i="1"/>
  <c r="BZ250" i="1"/>
  <c r="CH212" i="1"/>
  <c r="AH178" i="1"/>
  <c r="CL168" i="1"/>
  <c r="AL159" i="1"/>
  <c r="CP149" i="1"/>
  <c r="AP140" i="1"/>
  <c r="CT130" i="1"/>
  <c r="AT121" i="1"/>
  <c r="CX111" i="1"/>
  <c r="AX102" i="1"/>
  <c r="DB92" i="1"/>
  <c r="BB83" i="1"/>
  <c r="DF73" i="1"/>
  <c r="AE360" i="1"/>
  <c r="Z286" i="1"/>
  <c r="AH248" i="1"/>
  <c r="AP210" i="1"/>
  <c r="BY177" i="1"/>
  <c r="H244" i="1"/>
  <c r="P206" i="1"/>
  <c r="BG342" i="1"/>
  <c r="CI281" i="1"/>
  <c r="CQ243" i="1"/>
  <c r="CY205" i="1"/>
  <c r="H309" i="1"/>
  <c r="BM490" i="1"/>
  <c r="DG417" i="1"/>
  <c r="AM449" i="1"/>
  <c r="BB328" i="1"/>
  <c r="CG352" i="1"/>
  <c r="DA342" i="1"/>
  <c r="DG357" i="1"/>
  <c r="AI367" i="1"/>
  <c r="AQ452" i="1"/>
  <c r="AN334" i="1"/>
  <c r="Q308" i="1"/>
  <c r="Y270" i="1"/>
  <c r="AG232" i="1"/>
  <c r="AO194" i="1"/>
  <c r="AH354" i="1"/>
  <c r="CK318" i="1"/>
  <c r="AR356" i="1"/>
  <c r="AZ318" i="1"/>
  <c r="BE299" i="1"/>
  <c r="BM261" i="1"/>
  <c r="BU223" i="1"/>
  <c r="CC185" i="1"/>
  <c r="BZ403" i="1"/>
  <c r="N420" i="1"/>
  <c r="CF343" i="1"/>
  <c r="AI362" i="1"/>
  <c r="CC286" i="1"/>
  <c r="CK248" i="1"/>
  <c r="CS210" i="1"/>
  <c r="AB297" i="1"/>
  <c r="AJ259" i="1"/>
  <c r="AR221" i="1"/>
  <c r="AZ183" i="1"/>
  <c r="BU373" i="1"/>
  <c r="BP390" i="1"/>
  <c r="AW362" i="1"/>
  <c r="W370" i="1"/>
  <c r="CD326" i="1"/>
  <c r="BA292" i="1"/>
  <c r="BR323" i="1"/>
  <c r="AJ472" i="1"/>
  <c r="AZ416" i="1"/>
  <c r="U429" i="1"/>
  <c r="CU399" i="1"/>
  <c r="P369" i="1"/>
  <c r="M428" i="1"/>
  <c r="BR332" i="1"/>
  <c r="BI357" i="1"/>
  <c r="AX423" i="1"/>
  <c r="DF331" i="1"/>
  <c r="CW356" i="1"/>
  <c r="K452" i="1"/>
  <c r="CX346" i="1"/>
  <c r="AI438" i="1"/>
  <c r="I346" i="1"/>
  <c r="CU507" i="1"/>
  <c r="BS431" i="1"/>
  <c r="BT345" i="1"/>
  <c r="V375" i="1"/>
  <c r="CG288" i="1"/>
  <c r="CO250" i="1"/>
  <c r="CW212" i="1"/>
  <c r="AX374" i="1"/>
  <c r="CM444" i="1"/>
  <c r="AG425" i="1"/>
  <c r="CR344" i="1"/>
  <c r="CE366" i="1"/>
  <c r="CU427" i="1"/>
  <c r="BC485" i="1"/>
  <c r="AL336" i="1"/>
  <c r="BQ360" i="1"/>
  <c r="CS348" i="1"/>
  <c r="Z420" i="1"/>
  <c r="BB419" i="1"/>
  <c r="W500" i="1"/>
  <c r="AF336" i="1"/>
  <c r="BQ309" i="1"/>
  <c r="BY271" i="1"/>
  <c r="CG233" i="1"/>
  <c r="CO195" i="1"/>
  <c r="Z360" i="1"/>
  <c r="AG320" i="1"/>
  <c r="CR357" i="1"/>
  <c r="CZ319" i="1"/>
  <c r="DE300" i="1"/>
  <c r="I263" i="1"/>
  <c r="Q225" i="1"/>
  <c r="Y187" i="1"/>
  <c r="DE430" i="1"/>
  <c r="AC428" i="1"/>
  <c r="AB345" i="1"/>
  <c r="AK385" i="1"/>
  <c r="AV392" i="1"/>
  <c r="BC409" i="1"/>
  <c r="CP422" i="1"/>
  <c r="CH346" i="1"/>
  <c r="AK430" i="1"/>
  <c r="BY250" i="1"/>
  <c r="AP312" i="1"/>
  <c r="BL360" i="1"/>
  <c r="R410" i="1"/>
  <c r="CW289" i="1"/>
  <c r="DE251" i="1"/>
  <c r="I214" i="1"/>
  <c r="CL392" i="1"/>
  <c r="AS356" i="1"/>
  <c r="CD397" i="1"/>
  <c r="T338" i="1"/>
  <c r="BG340" i="1"/>
  <c r="AG281" i="1"/>
  <c r="AO243" i="1"/>
  <c r="AW205" i="1"/>
  <c r="BR416" i="1"/>
  <c r="BM325" i="1"/>
  <c r="AZ363" i="1"/>
  <c r="BH325" i="1"/>
  <c r="AW306" i="1"/>
  <c r="BE268" i="1"/>
  <c r="BM230" i="1"/>
  <c r="CE335" i="1"/>
  <c r="DH278" i="1"/>
  <c r="L241" i="1"/>
  <c r="T203" i="1"/>
  <c r="BW330" i="1"/>
  <c r="CM278" i="1"/>
  <c r="CU240" i="1"/>
  <c r="DC202" i="1"/>
  <c r="L306" i="1"/>
  <c r="CE517" i="1"/>
  <c r="S402" i="1"/>
  <c r="AR416" i="1"/>
  <c r="BR312" i="1"/>
  <c r="CW336" i="1"/>
  <c r="CY384" i="1"/>
  <c r="CC311" i="1"/>
  <c r="BO343" i="1"/>
  <c r="CP416" i="1"/>
  <c r="AN330" i="1"/>
  <c r="U305" i="1"/>
  <c r="AC267" i="1"/>
  <c r="AK229" i="1"/>
  <c r="AS191" i="1"/>
  <c r="AX342" i="1"/>
  <c r="CO315" i="1"/>
  <c r="AV353" i="1"/>
  <c r="BD315" i="1"/>
  <c r="BI296" i="1"/>
  <c r="BQ258" i="1"/>
  <c r="BY220" i="1"/>
  <c r="CG182" i="1"/>
  <c r="CC365" i="1"/>
  <c r="AD408" i="1"/>
  <c r="CJ340" i="1"/>
  <c r="AY350" i="1"/>
  <c r="CG283" i="1"/>
  <c r="CO245" i="1"/>
  <c r="CW207" i="1"/>
  <c r="AF294" i="1"/>
  <c r="AN256" i="1"/>
  <c r="AV218" i="1"/>
  <c r="AF182" i="1"/>
  <c r="CQ295" i="1"/>
  <c r="CY257" i="1"/>
  <c r="DG219" i="1"/>
  <c r="BQ179" i="1"/>
  <c r="X285" i="1"/>
  <c r="AF378" i="1"/>
  <c r="AE472" i="1"/>
  <c r="CQ384" i="1"/>
  <c r="AH352" i="1"/>
  <c r="AD324" i="1"/>
  <c r="CV360" i="1"/>
  <c r="U228" i="1"/>
  <c r="CW342" i="1"/>
  <c r="DH352" i="1"/>
  <c r="BG352" i="1"/>
  <c r="AG284" i="1"/>
  <c r="AO246" i="1"/>
  <c r="AW208" i="1"/>
  <c r="AM352" i="1"/>
  <c r="CS333" i="1"/>
  <c r="Z375" i="1"/>
  <c r="BQ278" i="1"/>
  <c r="CW322" i="1"/>
  <c r="AS305" i="1"/>
  <c r="BI229" i="1"/>
  <c r="DD277" i="1"/>
  <c r="P202" i="1"/>
  <c r="CI277" i="1"/>
  <c r="CY201" i="1"/>
  <c r="X269" i="1"/>
  <c r="AF231" i="1"/>
  <c r="AN193" i="1"/>
  <c r="K307" i="1"/>
  <c r="S269" i="1"/>
  <c r="AA231" i="1"/>
  <c r="AI193" i="1"/>
  <c r="H298" i="1"/>
  <c r="P260" i="1"/>
  <c r="X222" i="1"/>
  <c r="AF184" i="1"/>
  <c r="CQ297" i="1"/>
  <c r="CY259" i="1"/>
  <c r="DG221" i="1"/>
  <c r="AY363" i="1"/>
  <c r="AN283" i="1"/>
  <c r="AV245" i="1"/>
  <c r="BD207" i="1"/>
  <c r="BO348" i="1"/>
  <c r="AI283" i="1"/>
  <c r="AQ245" i="1"/>
  <c r="AY207" i="1"/>
  <c r="S365" i="1"/>
  <c r="CX177" i="1"/>
  <c r="BU275" i="1"/>
  <c r="DA319" i="1"/>
  <c r="CG303" i="1"/>
  <c r="CW227" i="1"/>
  <c r="AN276" i="1"/>
  <c r="BD200" i="1"/>
  <c r="S276" i="1"/>
  <c r="AI200" i="1"/>
  <c r="AZ268" i="1"/>
  <c r="BH230" i="1"/>
  <c r="BP192" i="1"/>
  <c r="AM306" i="1"/>
  <c r="AU268" i="1"/>
  <c r="BC230" i="1"/>
  <c r="BK192" i="1"/>
  <c r="AJ297" i="1"/>
  <c r="AR259" i="1"/>
  <c r="AZ221" i="1"/>
  <c r="BH183" i="1"/>
  <c r="O297" i="1"/>
  <c r="W259" i="1"/>
  <c r="AE221" i="1"/>
  <c r="BG357" i="1"/>
  <c r="BP282" i="1"/>
  <c r="BX244" i="1"/>
  <c r="CF206" i="1"/>
  <c r="BS345" i="1"/>
  <c r="BK282" i="1"/>
  <c r="BS244" i="1"/>
  <c r="CA206" i="1"/>
  <c r="Q237" i="1"/>
  <c r="AB357" i="1"/>
  <c r="BU284" i="1"/>
  <c r="CK208" i="1"/>
  <c r="AB257" i="1"/>
  <c r="AR181" i="1"/>
  <c r="G257" i="1"/>
  <c r="BR391" i="1"/>
  <c r="CN258" i="1"/>
  <c r="CV220" i="1"/>
  <c r="DD182" i="1"/>
  <c r="CA296" i="1"/>
  <c r="CI258" i="1"/>
  <c r="CQ220" i="1"/>
  <c r="CK231" i="1"/>
  <c r="CV351" i="1"/>
  <c r="CO281" i="1"/>
  <c r="DE205" i="1"/>
  <c r="AV254" i="1"/>
  <c r="BO438" i="1"/>
  <c r="AA254" i="1"/>
  <c r="K349" i="1"/>
  <c r="BD257" i="1"/>
  <c r="BL219" i="1"/>
  <c r="BT181" i="1"/>
  <c r="AQ295" i="1"/>
  <c r="AY257" i="1"/>
  <c r="BG219" i="1"/>
  <c r="Y184" i="1"/>
  <c r="AN286" i="1"/>
  <c r="AV248" i="1"/>
  <c r="BD210" i="1"/>
  <c r="DG359" i="1"/>
  <c r="S286" i="1"/>
  <c r="AA248" i="1"/>
  <c r="AI210" i="1"/>
  <c r="AV292" i="1"/>
  <c r="AA292" i="1"/>
  <c r="AZ302" i="1"/>
  <c r="BP226" i="1"/>
  <c r="AU302" i="1"/>
  <c r="BK226" i="1"/>
  <c r="BS342" i="1"/>
  <c r="AH164" i="1"/>
  <c r="BX181" i="1"/>
  <c r="AE295" i="1"/>
  <c r="AM257" i="1"/>
  <c r="AU219" i="1"/>
  <c r="BN410" i="1"/>
  <c r="BP284" i="1"/>
  <c r="CV549" i="1"/>
  <c r="BW455" i="1"/>
  <c r="BG381" i="1"/>
  <c r="V349" i="1"/>
  <c r="CT321" i="1"/>
  <c r="BH358" i="1"/>
  <c r="CK225" i="1"/>
  <c r="U338" i="1"/>
  <c r="AF352" i="1"/>
  <c r="S350" i="1"/>
  <c r="BY283" i="1"/>
  <c r="CG245" i="1"/>
  <c r="CO207" i="1"/>
  <c r="DC349" i="1"/>
  <c r="AG332" i="1"/>
  <c r="CP372" i="1"/>
  <c r="AC276" i="1"/>
  <c r="BI320" i="1"/>
  <c r="Y304" i="1"/>
  <c r="AO228" i="1"/>
  <c r="CJ276" i="1"/>
  <c r="CZ200" i="1"/>
  <c r="BO276" i="1"/>
  <c r="CE200" i="1"/>
  <c r="BP268" i="1"/>
  <c r="BX230" i="1"/>
  <c r="CF192" i="1"/>
  <c r="BC306" i="1"/>
  <c r="BK268" i="1"/>
  <c r="BS230" i="1"/>
  <c r="CA192" i="1"/>
  <c r="K333" i="1"/>
  <c r="BL304" i="1"/>
  <c r="CB292" i="1"/>
  <c r="BD278" i="1"/>
  <c r="BT266" i="1"/>
  <c r="CJ254" i="1"/>
  <c r="BL240" i="1"/>
  <c r="CB228" i="1"/>
  <c r="CR216" i="1"/>
  <c r="BT202" i="1"/>
  <c r="CJ190" i="1"/>
  <c r="AI462" i="1"/>
  <c r="BO328" i="1"/>
  <c r="AQ304" i="1"/>
  <c r="BG292" i="1"/>
  <c r="AI278" i="1"/>
  <c r="AY266" i="1"/>
  <c r="BO254" i="1"/>
  <c r="AQ240" i="1"/>
  <c r="BG228" i="1"/>
  <c r="BW216" i="1"/>
  <c r="AY202" i="1"/>
  <c r="AG198" i="1"/>
  <c r="AU330" i="1"/>
  <c r="CB301" i="1"/>
  <c r="CR289" i="1"/>
  <c r="DH277" i="1"/>
  <c r="CJ263" i="1"/>
  <c r="CZ251" i="1"/>
  <c r="L240" i="1"/>
  <c r="CR225" i="1"/>
  <c r="DH213" i="1"/>
  <c r="T202" i="1"/>
  <c r="BX192" i="1"/>
  <c r="X183" i="1"/>
  <c r="W365" i="1"/>
  <c r="AE327" i="1"/>
  <c r="AU306" i="1"/>
  <c r="CY296" i="1"/>
  <c r="AY287" i="1"/>
  <c r="DC277" i="1"/>
  <c r="BC268" i="1"/>
  <c r="DG258" i="1"/>
  <c r="BG249" i="1"/>
  <c r="G240" i="1"/>
  <c r="BK230" i="1"/>
  <c r="K221" i="1"/>
  <c r="BO211" i="1"/>
  <c r="O202" i="1"/>
  <c r="BS192" i="1"/>
  <c r="S183" i="1"/>
  <c r="BW183" i="1"/>
  <c r="CD303" i="1"/>
  <c r="CL265" i="1"/>
  <c r="CT227" i="1"/>
  <c r="DB189" i="1"/>
  <c r="BN172" i="1"/>
  <c r="P349" i="1"/>
  <c r="BG444" i="1"/>
  <c r="AC292" i="1"/>
  <c r="AK254" i="1"/>
  <c r="AS216" i="1"/>
  <c r="BK441" i="1"/>
  <c r="BI348" i="1"/>
  <c r="J391" i="1"/>
  <c r="BD336" i="1"/>
  <c r="X312" i="1"/>
  <c r="K312" i="1"/>
  <c r="M293" i="1"/>
  <c r="Q274" i="1"/>
  <c r="U255" i="1"/>
  <c r="Y236" i="1"/>
  <c r="AC217" i="1"/>
  <c r="DB412" i="1"/>
  <c r="BP303" i="1"/>
  <c r="BT284" i="1"/>
  <c r="BX265" i="1"/>
  <c r="CB246" i="1"/>
  <c r="CF227" i="1"/>
  <c r="CJ208" i="1"/>
  <c r="CN189" i="1"/>
  <c r="W353" i="1"/>
  <c r="AU303" i="1"/>
  <c r="AY284" i="1"/>
  <c r="BC265" i="1"/>
  <c r="BG246" i="1"/>
  <c r="BK227" i="1"/>
  <c r="BO208" i="1"/>
  <c r="BS189" i="1"/>
  <c r="CB311" i="1"/>
  <c r="CF292" i="1"/>
  <c r="CJ273" i="1"/>
  <c r="P263" i="1"/>
  <c r="BT253" i="1"/>
  <c r="T244" i="1"/>
  <c r="BX234" i="1"/>
  <c r="X225" i="1"/>
  <c r="CB215" i="1"/>
  <c r="AB206" i="1"/>
  <c r="CF196" i="1"/>
  <c r="AF187" i="1"/>
  <c r="AL419" i="1"/>
  <c r="BK343" i="1"/>
  <c r="BC310" i="1"/>
  <c r="DG300" i="1"/>
  <c r="BG291" i="1"/>
  <c r="G282" i="1"/>
  <c r="BK272" i="1"/>
  <c r="K263" i="1"/>
  <c r="BO253" i="1"/>
  <c r="O244" i="1"/>
  <c r="BS234" i="1"/>
  <c r="S225" i="1"/>
  <c r="BW215" i="1"/>
  <c r="W206" i="1"/>
  <c r="CA196" i="1"/>
  <c r="AA187" i="1"/>
  <c r="CI356" i="1"/>
  <c r="CZ310" i="1"/>
  <c r="AZ301" i="1"/>
  <c r="DD291" i="1"/>
  <c r="BD282" i="1"/>
  <c r="DH272" i="1"/>
  <c r="BH263" i="1"/>
  <c r="H254" i="1"/>
  <c r="BL244" i="1"/>
  <c r="L235" i="1"/>
  <c r="BP225" i="1"/>
  <c r="P216" i="1"/>
  <c r="BT206" i="1"/>
  <c r="T197" i="1"/>
  <c r="BX187" i="1"/>
  <c r="BB423" i="1"/>
  <c r="BO344" i="1"/>
  <c r="CE310" i="1"/>
  <c r="AE301" i="1"/>
  <c r="CI291" i="1"/>
  <c r="AI282" i="1"/>
  <c r="CM272" i="1"/>
  <c r="AM263" i="1"/>
  <c r="CQ253" i="1"/>
  <c r="AQ244" i="1"/>
  <c r="CU234" i="1"/>
  <c r="AU225" i="1"/>
  <c r="CY215" i="1"/>
  <c r="AY206" i="1"/>
  <c r="DC196" i="1"/>
  <c r="CO185" i="1"/>
  <c r="BK326" i="1"/>
  <c r="CB305" i="1"/>
  <c r="AB296" i="1"/>
  <c r="CF286" i="1"/>
  <c r="AF277" i="1"/>
  <c r="CJ267" i="1"/>
  <c r="AJ258" i="1"/>
  <c r="CN248" i="1"/>
  <c r="AN239" i="1"/>
  <c r="CR229" i="1"/>
  <c r="AR220" i="1"/>
  <c r="CV210" i="1"/>
  <c r="AV201" i="1"/>
  <c r="CZ191" i="1"/>
  <c r="AZ182" i="1"/>
  <c r="AA362" i="1"/>
  <c r="AI324" i="1"/>
  <c r="BW305" i="1"/>
  <c r="W296" i="1"/>
  <c r="CA286" i="1"/>
  <c r="AA277" i="1"/>
  <c r="CE267" i="1"/>
  <c r="AE258" i="1"/>
  <c r="CI248" i="1"/>
  <c r="AI239" i="1"/>
  <c r="CM229" i="1"/>
  <c r="AM220" i="1"/>
  <c r="CQ210" i="1"/>
  <c r="BH348" i="1"/>
  <c r="AT421" i="1"/>
  <c r="BU291" i="1"/>
  <c r="CC253" i="1"/>
  <c r="CK215" i="1"/>
  <c r="BV420" i="1"/>
  <c r="U346" i="1"/>
  <c r="BZ388" i="1"/>
  <c r="CV335" i="1"/>
  <c r="CZ546" i="1"/>
  <c r="CW311" i="1"/>
  <c r="DA292" i="1"/>
  <c r="DE273" i="1"/>
  <c r="DI254" i="1"/>
  <c r="I236" i="1"/>
  <c r="M217" i="1"/>
  <c r="BB403" i="1"/>
  <c r="AZ303" i="1"/>
  <c r="BD284" i="1"/>
  <c r="BH265" i="1"/>
  <c r="BL246" i="1"/>
  <c r="BP227" i="1"/>
  <c r="BT208" i="1"/>
  <c r="BX189" i="1"/>
  <c r="BO352" i="1"/>
  <c r="AE303" i="1"/>
  <c r="AI284" i="1"/>
  <c r="AM265" i="1"/>
  <c r="AQ246" i="1"/>
  <c r="AU227" i="1"/>
  <c r="AY208" i="1"/>
  <c r="BC189" i="1"/>
  <c r="BL311" i="1"/>
  <c r="BP292" i="1"/>
  <c r="BT273" i="1"/>
  <c r="DD262" i="1"/>
  <c r="BD253" i="1"/>
  <c r="DH243" i="1"/>
  <c r="BH234" i="1"/>
  <c r="H225" i="1"/>
  <c r="BL215" i="1"/>
  <c r="L206" i="1"/>
  <c r="BP196" i="1"/>
  <c r="P187" i="1"/>
  <c r="DB416" i="1"/>
  <c r="DC342" i="1"/>
  <c r="AM310" i="1"/>
  <c r="CQ300" i="1"/>
  <c r="AQ291" i="1"/>
  <c r="CU281" i="1"/>
  <c r="AU272" i="1"/>
  <c r="CY262" i="1"/>
  <c r="AY253" i="1"/>
  <c r="DC243" i="1"/>
  <c r="BC234" i="1"/>
  <c r="DG224" i="1"/>
  <c r="X343" i="1"/>
  <c r="BW360" i="1"/>
  <c r="AK286" i="1"/>
  <c r="AS248" i="1"/>
  <c r="BA210" i="1"/>
  <c r="DG381" i="1"/>
  <c r="BQ330" i="1"/>
  <c r="BD368" i="1"/>
  <c r="BL330" i="1"/>
  <c r="N397" i="1"/>
  <c r="M309" i="1"/>
  <c r="Q290" i="1"/>
  <c r="U271" i="1"/>
  <c r="Y252" i="1"/>
  <c r="AC233" i="1"/>
  <c r="AG214" i="1"/>
  <c r="AE350" i="1"/>
  <c r="BT300" i="1"/>
  <c r="BX281" i="1"/>
  <c r="CB262" i="1"/>
  <c r="CF243" i="1"/>
  <c r="CJ224" i="1"/>
  <c r="CN205" i="1"/>
  <c r="CR186" i="1"/>
  <c r="AM341" i="1"/>
  <c r="AY300" i="1"/>
  <c r="BC281" i="1"/>
  <c r="BG262" i="1"/>
  <c r="BK243" i="1"/>
  <c r="BO224" i="1"/>
  <c r="BS205" i="1"/>
  <c r="DE197" i="1"/>
  <c r="CF308" i="1"/>
  <c r="CJ289" i="1"/>
  <c r="P271" i="1"/>
  <c r="BT261" i="1"/>
  <c r="T252" i="1"/>
  <c r="BX242" i="1"/>
  <c r="X233" i="1"/>
  <c r="CB223" i="1"/>
  <c r="AB214" i="1"/>
  <c r="CF204" i="1"/>
  <c r="AF195" i="1"/>
  <c r="CJ185" i="1"/>
  <c r="BR395" i="1"/>
  <c r="BS337" i="1"/>
  <c r="DG308" i="1"/>
  <c r="BG299" i="1"/>
  <c r="G290" i="1"/>
  <c r="BK280" i="1"/>
  <c r="K271" i="1"/>
  <c r="BO261" i="1"/>
  <c r="O252" i="1"/>
  <c r="BS242" i="1"/>
  <c r="S233" i="1"/>
  <c r="L181" i="1"/>
  <c r="S356" i="1"/>
  <c r="AA318" i="1"/>
  <c r="S304" i="1"/>
  <c r="BW294" i="1"/>
  <c r="W285" i="1"/>
  <c r="CA275" i="1"/>
  <c r="AA266" i="1"/>
  <c r="CE256" i="1"/>
  <c r="AE247" i="1"/>
  <c r="CI237" i="1"/>
  <c r="AI228" i="1"/>
  <c r="CM218" i="1"/>
  <c r="AM209" i="1"/>
  <c r="CQ199" i="1"/>
  <c r="AQ190" i="1"/>
  <c r="BV372" i="1"/>
  <c r="BG313" i="1"/>
  <c r="DD302" i="1"/>
  <c r="BD293" i="1"/>
  <c r="DH283" i="1"/>
  <c r="BH274" i="1"/>
  <c r="CJ439" i="1"/>
  <c r="CY432" i="1"/>
  <c r="DC455" i="1"/>
  <c r="BO473" i="1"/>
  <c r="AW383" i="1"/>
  <c r="BT406" i="1"/>
  <c r="BS442" i="1"/>
  <c r="BI375" i="1"/>
  <c r="CJ399" i="1"/>
  <c r="CA423" i="1"/>
  <c r="AU378" i="1"/>
  <c r="BZ346" i="1"/>
  <c r="AD379" i="1"/>
  <c r="K378" i="1"/>
  <c r="J346" i="1"/>
  <c r="CD376" i="1"/>
  <c r="AI377" i="1"/>
  <c r="AX357" i="1"/>
  <c r="BF319" i="1"/>
  <c r="BM356" i="1"/>
  <c r="DF353" i="1"/>
  <c r="BM318" i="1"/>
  <c r="T356" i="1"/>
  <c r="AB318" i="1"/>
  <c r="AG299" i="1"/>
  <c r="AO261" i="1"/>
  <c r="AW223" i="1"/>
  <c r="BE185" i="1"/>
  <c r="AI319" i="1"/>
  <c r="BZ333" i="1"/>
  <c r="AW333" i="1"/>
  <c r="AC314" i="1"/>
  <c r="AD400" i="1"/>
  <c r="P364" i="1"/>
  <c r="BH351" i="1"/>
  <c r="CJ338" i="1"/>
  <c r="X326" i="1"/>
  <c r="BP313" i="1"/>
  <c r="CI347" i="1"/>
  <c r="BI311" i="1"/>
  <c r="I302" i="1"/>
  <c r="BM292" i="1"/>
  <c r="M283" i="1"/>
  <c r="BQ273" i="1"/>
  <c r="Q264" i="1"/>
  <c r="BU254" i="1"/>
  <c r="U245" i="1"/>
  <c r="BY235" i="1"/>
  <c r="Y226" i="1"/>
  <c r="CC216" i="1"/>
  <c r="AC207" i="1"/>
  <c r="CG197" i="1"/>
  <c r="AG188" i="1"/>
  <c r="CU462" i="1"/>
  <c r="BC388" i="1"/>
  <c r="CX367" i="1"/>
  <c r="DF329" i="1"/>
  <c r="I367" i="1"/>
  <c r="BY331" i="1"/>
  <c r="Y322" i="1"/>
  <c r="CC312" i="1"/>
  <c r="AT408" i="1"/>
  <c r="BB370" i="1"/>
  <c r="CJ359" i="1"/>
  <c r="CF330" i="1"/>
  <c r="CK311" i="1"/>
  <c r="CS273" i="1"/>
  <c r="DA235" i="1"/>
  <c r="DI197" i="1"/>
  <c r="V351" i="1"/>
  <c r="U318" i="1"/>
  <c r="H356" i="1"/>
  <c r="P322" i="1"/>
  <c r="BS351" i="1"/>
  <c r="DI302" i="1"/>
  <c r="I284" i="1"/>
  <c r="M265" i="1"/>
  <c r="Q246" i="1"/>
  <c r="U227" i="1"/>
  <c r="Y208" i="1"/>
  <c r="CM317" i="1"/>
  <c r="BL294" i="1"/>
  <c r="BP275" i="1"/>
  <c r="BT256" i="1"/>
  <c r="BX237" i="1"/>
  <c r="CB218" i="1"/>
  <c r="CF199" i="1"/>
  <c r="CJ180" i="1"/>
  <c r="G317" i="1"/>
  <c r="AQ294" i="1"/>
  <c r="AU275" i="1"/>
  <c r="AY256" i="1"/>
  <c r="BC237" i="1"/>
  <c r="BG218" i="1"/>
  <c r="BK199" i="1"/>
  <c r="AU366" i="1"/>
  <c r="BX302" i="1"/>
  <c r="CB283" i="1"/>
  <c r="DH267" i="1"/>
  <c r="BH258" i="1"/>
  <c r="H249" i="1"/>
  <c r="BL239" i="1"/>
  <c r="L230" i="1"/>
  <c r="BP220" i="1"/>
  <c r="P211" i="1"/>
  <c r="BT201" i="1"/>
  <c r="T192" i="1"/>
  <c r="BX182" i="1"/>
  <c r="O363" i="1"/>
  <c r="W325" i="1"/>
  <c r="CU305" i="1"/>
  <c r="AU296" i="1"/>
  <c r="CY286" i="1"/>
  <c r="AY277" i="1"/>
  <c r="DC267" i="1"/>
  <c r="BC258" i="1"/>
  <c r="DG248" i="1"/>
  <c r="BG239" i="1"/>
  <c r="G230" i="1"/>
  <c r="BK220" i="1"/>
  <c r="K211" i="1"/>
  <c r="BO201" i="1"/>
  <c r="O192" i="1"/>
  <c r="AO188" i="1"/>
  <c r="CM329" i="1"/>
  <c r="AN306" i="1"/>
  <c r="CR296" i="1"/>
  <c r="AR287" i="1"/>
  <c r="CV277" i="1"/>
  <c r="AV268" i="1"/>
  <c r="CZ258" i="1"/>
  <c r="AZ249" i="1"/>
  <c r="DD239" i="1"/>
  <c r="BD230" i="1"/>
  <c r="DH220" i="1"/>
  <c r="BH211" i="1"/>
  <c r="H202" i="1"/>
  <c r="BL192" i="1"/>
  <c r="L183" i="1"/>
  <c r="S364" i="1"/>
  <c r="AA326" i="1"/>
  <c r="S306" i="1"/>
  <c r="BW296" i="1"/>
  <c r="W287" i="1"/>
  <c r="CA277" i="1"/>
  <c r="AA268" i="1"/>
  <c r="CE258" i="1"/>
  <c r="AE249" i="1"/>
  <c r="CI239" i="1"/>
  <c r="AI230" i="1"/>
  <c r="CM220" i="1"/>
  <c r="AM211" i="1"/>
  <c r="CQ201" i="1"/>
  <c r="AQ192" i="1"/>
  <c r="DC353" i="1"/>
  <c r="BP310" i="1"/>
  <c r="P301" i="1"/>
  <c r="BT291" i="1"/>
  <c r="T282" i="1"/>
  <c r="BX272" i="1"/>
  <c r="X263" i="1"/>
  <c r="CB253" i="1"/>
  <c r="AB244" i="1"/>
  <c r="CF234" i="1"/>
  <c r="AF225" i="1"/>
  <c r="CJ215" i="1"/>
  <c r="AJ206" i="1"/>
  <c r="CN196" i="1"/>
  <c r="AN187" i="1"/>
  <c r="BF420" i="1"/>
  <c r="CQ343" i="1"/>
  <c r="BK310" i="1"/>
  <c r="K301" i="1"/>
  <c r="BO291" i="1"/>
  <c r="O282" i="1"/>
  <c r="BS272" i="1"/>
  <c r="S263" i="1"/>
  <c r="BW253" i="1"/>
  <c r="W244" i="1"/>
  <c r="CA234" i="1"/>
  <c r="AA225" i="1"/>
  <c r="CE215" i="1"/>
  <c r="AE206" i="1"/>
  <c r="CI196" i="1"/>
  <c r="AI187" i="1"/>
  <c r="AA192" i="1"/>
  <c r="DG344" i="1"/>
  <c r="AT282" i="1"/>
  <c r="BB244" i="1"/>
  <c r="BJ206" i="1"/>
  <c r="CD176" i="1"/>
  <c r="AD167" i="1"/>
  <c r="CJ327" i="1"/>
  <c r="CO308" i="1"/>
  <c r="CW270" i="1"/>
  <c r="DE232" i="1"/>
  <c r="I195" i="1"/>
  <c r="AL339" i="1"/>
  <c r="Y315" i="1"/>
  <c r="L353" i="1"/>
  <c r="BD320" i="1"/>
  <c r="O345" i="1"/>
  <c r="AS301" i="1"/>
  <c r="AW282" i="1"/>
  <c r="BA263" i="1"/>
  <c r="BE244" i="1"/>
  <c r="BI225" i="1"/>
  <c r="BM206" i="1"/>
  <c r="CV311" i="1"/>
  <c r="CZ292" i="1"/>
  <c r="DD273" i="1"/>
  <c r="DH254" i="1"/>
  <c r="H236" i="1"/>
  <c r="L217" i="1"/>
  <c r="P198" i="1"/>
  <c r="DG485" i="1"/>
  <c r="CA311" i="1"/>
  <c r="CE292" i="1"/>
  <c r="CI273" i="1"/>
  <c r="CM254" i="1"/>
  <c r="CQ235" i="1"/>
  <c r="CU216" i="1"/>
  <c r="CY197" i="1"/>
  <c r="AQ353" i="1"/>
  <c r="H301" i="1"/>
  <c r="L282" i="1"/>
  <c r="AF267" i="1"/>
  <c r="CJ257" i="1"/>
  <c r="AJ248" i="1"/>
  <c r="CN238" i="1"/>
  <c r="AN229" i="1"/>
  <c r="CR219" i="1"/>
  <c r="AR210" i="1"/>
  <c r="CV200" i="1"/>
  <c r="AV191" i="1"/>
  <c r="CZ181" i="1"/>
  <c r="S360" i="1"/>
  <c r="AA322" i="1"/>
  <c r="S305" i="1"/>
  <c r="BW295" i="1"/>
  <c r="W286" i="1"/>
  <c r="CA276" i="1"/>
  <c r="AA267" i="1"/>
  <c r="CE257" i="1"/>
  <c r="AE248" i="1"/>
  <c r="CI238" i="1"/>
  <c r="AI229" i="1"/>
  <c r="CM219" i="1"/>
  <c r="AM210" i="1"/>
  <c r="CQ200" i="1"/>
  <c r="AQ191" i="1"/>
  <c r="AS185" i="1"/>
  <c r="DC325" i="1"/>
  <c r="BP305" i="1"/>
  <c r="P296" i="1"/>
  <c r="BT286" i="1"/>
  <c r="T277" i="1"/>
  <c r="BX267" i="1"/>
  <c r="X258" i="1"/>
  <c r="CB248" i="1"/>
  <c r="AB239" i="1"/>
  <c r="CF229" i="1"/>
  <c r="AF220" i="1"/>
  <c r="CJ210" i="1"/>
  <c r="AJ201" i="1"/>
  <c r="CN191" i="1"/>
  <c r="AN182" i="1"/>
  <c r="W361" i="1"/>
  <c r="AE323" i="1"/>
  <c r="AU305" i="1"/>
  <c r="CY295" i="1"/>
  <c r="AY286" i="1"/>
  <c r="DC276" i="1"/>
  <c r="BC267" i="1"/>
  <c r="DG257" i="1"/>
  <c r="BG248" i="1"/>
  <c r="G239" i="1"/>
  <c r="BK229" i="1"/>
  <c r="K220" i="1"/>
  <c r="BO210" i="1"/>
  <c r="O201" i="1"/>
  <c r="AW202" i="1"/>
  <c r="BS348" i="1"/>
  <c r="CR309" i="1"/>
  <c r="AR300" i="1"/>
  <c r="CV290" i="1"/>
  <c r="AV281" i="1"/>
  <c r="CZ271" i="1"/>
  <c r="AZ262" i="1"/>
  <c r="DD252" i="1"/>
  <c r="BD243" i="1"/>
  <c r="DH233" i="1"/>
  <c r="BH224" i="1"/>
  <c r="H215" i="1"/>
  <c r="BL205" i="1"/>
  <c r="L196" i="1"/>
  <c r="BP186" i="1"/>
  <c r="BV408" i="1"/>
  <c r="CU340" i="1"/>
  <c r="CM309" i="1"/>
  <c r="AM300" i="1"/>
  <c r="CQ290" i="1"/>
  <c r="AQ281" i="1"/>
  <c r="CU271" i="1"/>
  <c r="AU262" i="1"/>
  <c r="CY252" i="1"/>
  <c r="AY243" i="1"/>
  <c r="DC233" i="1"/>
  <c r="BC224" i="1"/>
  <c r="DG214" i="1"/>
  <c r="BG205" i="1"/>
  <c r="X327" i="1"/>
  <c r="AC308" i="1"/>
  <c r="AK270" i="1"/>
  <c r="AS232" i="1"/>
  <c r="BA194" i="1"/>
  <c r="DB336" i="1"/>
  <c r="BQ314" i="1"/>
  <c r="BD352" i="1"/>
  <c r="AN320" i="1"/>
  <c r="BG344" i="1"/>
  <c r="AC301" i="1"/>
  <c r="AG282" i="1"/>
  <c r="AK263" i="1"/>
  <c r="AO244" i="1"/>
  <c r="AS225" i="1"/>
  <c r="AW206" i="1"/>
  <c r="CF311" i="1"/>
  <c r="CJ292" i="1"/>
  <c r="CN273" i="1"/>
  <c r="CR254" i="1"/>
  <c r="CV235" i="1"/>
  <c r="CZ216" i="1"/>
  <c r="DD197" i="1"/>
  <c r="G467" i="1"/>
  <c r="BK311" i="1"/>
  <c r="BO292" i="1"/>
  <c r="BS273" i="1"/>
  <c r="BW254" i="1"/>
  <c r="CA235" i="1"/>
  <c r="CE216" i="1"/>
  <c r="CI197" i="1"/>
  <c r="W352" i="1"/>
  <c r="CV300" i="1"/>
  <c r="CZ281" i="1"/>
  <c r="P267" i="1"/>
  <c r="BT257" i="1"/>
  <c r="T248" i="1"/>
  <c r="BX238" i="1"/>
  <c r="X229" i="1"/>
  <c r="CB219" i="1"/>
  <c r="AB210" i="1"/>
  <c r="CF200" i="1"/>
  <c r="AF191" i="1"/>
  <c r="CJ181" i="1"/>
  <c r="BK359" i="1"/>
  <c r="BS321" i="1"/>
  <c r="DG304" i="1"/>
  <c r="BG295" i="1"/>
  <c r="G286" i="1"/>
  <c r="BK276" i="1"/>
  <c r="K267" i="1"/>
  <c r="BO257" i="1"/>
  <c r="O248" i="1"/>
  <c r="BS238" i="1"/>
  <c r="S229" i="1"/>
  <c r="BW219" i="1"/>
  <c r="CR321" i="1"/>
  <c r="CW302" i="1"/>
  <c r="DE264" i="1"/>
  <c r="I227" i="1"/>
  <c r="Q189" i="1"/>
  <c r="BR315" i="1"/>
  <c r="CY455" i="1"/>
  <c r="T347" i="1"/>
  <c r="BH317" i="1"/>
  <c r="AE333" i="1"/>
  <c r="AW298" i="1"/>
  <c r="BA279" i="1"/>
  <c r="BE260" i="1"/>
  <c r="BI241" i="1"/>
  <c r="BM222" i="1"/>
  <c r="CC198" i="1"/>
  <c r="CZ308" i="1"/>
  <c r="DD289" i="1"/>
  <c r="DH270" i="1"/>
  <c r="H252" i="1"/>
  <c r="L233" i="1"/>
  <c r="P214" i="1"/>
  <c r="T195" i="1"/>
  <c r="BB391" i="1"/>
  <c r="CE308" i="1"/>
  <c r="CI289" i="1"/>
  <c r="CM270" i="1"/>
  <c r="CQ251" i="1"/>
  <c r="CU232" i="1"/>
  <c r="CY213" i="1"/>
  <c r="DC194" i="1"/>
  <c r="AM336" i="1"/>
  <c r="L298" i="1"/>
  <c r="P279" i="1"/>
  <c r="CJ265" i="1"/>
  <c r="AJ256" i="1"/>
  <c r="CN246" i="1"/>
  <c r="AN237" i="1"/>
  <c r="CR227" i="1"/>
  <c r="AR218" i="1"/>
  <c r="CV208" i="1"/>
  <c r="AV199" i="1"/>
  <c r="CZ189" i="1"/>
  <c r="AZ180" i="1"/>
  <c r="AA354" i="1"/>
  <c r="AI316" i="1"/>
  <c r="BW303" i="1"/>
  <c r="W294" i="1"/>
  <c r="CA284" i="1"/>
  <c r="AA275" i="1"/>
  <c r="CE265" i="1"/>
  <c r="AE256" i="1"/>
  <c r="CI246" i="1"/>
  <c r="AI237" i="1"/>
  <c r="CM227" i="1"/>
  <c r="AM218" i="1"/>
  <c r="CQ208" i="1"/>
  <c r="AQ199" i="1"/>
  <c r="CU189" i="1"/>
  <c r="BA179" i="1"/>
  <c r="O318" i="1"/>
  <c r="P304" i="1"/>
  <c r="BT294" i="1"/>
  <c r="T285" i="1"/>
  <c r="BX275" i="1"/>
  <c r="X266" i="1"/>
  <c r="CB256" i="1"/>
  <c r="AB247" i="1"/>
  <c r="CF237" i="1"/>
  <c r="AF228" i="1"/>
  <c r="CJ218" i="1"/>
  <c r="AJ209" i="1"/>
  <c r="CN199" i="1"/>
  <c r="AN190" i="1"/>
  <c r="CR180" i="1"/>
  <c r="AE355" i="1"/>
  <c r="AM317" i="1"/>
  <c r="CY303" i="1"/>
  <c r="AY294" i="1"/>
  <c r="DC284" i="1"/>
  <c r="BC275" i="1"/>
  <c r="DG265" i="1"/>
  <c r="BG256" i="1"/>
  <c r="G247" i="1"/>
  <c r="BK237" i="1"/>
  <c r="K228" i="1"/>
  <c r="BO218" i="1"/>
  <c r="O209" i="1"/>
  <c r="BS199" i="1"/>
  <c r="BE196" i="1"/>
  <c r="BI189" i="1"/>
  <c r="BX287" i="1"/>
  <c r="CF249" i="1"/>
  <c r="CN211" i="1"/>
  <c r="AM365" i="1"/>
  <c r="BC287" i="1"/>
  <c r="BK249" i="1"/>
  <c r="BS211" i="1"/>
  <c r="DG346" i="1"/>
  <c r="L300" i="1"/>
  <c r="P281" i="1"/>
  <c r="T262" i="1"/>
  <c r="X243" i="1"/>
  <c r="AB224" i="1"/>
  <c r="AF205" i="1"/>
  <c r="AJ186" i="1"/>
  <c r="CA339" i="1"/>
  <c r="G300" i="1"/>
  <c r="K281" i="1"/>
  <c r="O262" i="1"/>
  <c r="S243" i="1"/>
  <c r="W224" i="1"/>
  <c r="AA205" i="1"/>
  <c r="CU191" i="1"/>
  <c r="Q431" i="1"/>
  <c r="CY318" i="1"/>
  <c r="CP262" i="1"/>
  <c r="BB212" i="1"/>
  <c r="N175" i="1"/>
  <c r="AE363" i="1"/>
  <c r="AM325" i="1"/>
  <c r="CY305" i="1"/>
  <c r="AY296" i="1"/>
  <c r="DC286" i="1"/>
  <c r="BC277" i="1"/>
  <c r="DG267" i="1"/>
  <c r="BG258" i="1"/>
  <c r="G249" i="1"/>
  <c r="BK239" i="1"/>
  <c r="K230" i="1"/>
  <c r="BO220" i="1"/>
  <c r="O211" i="1"/>
  <c r="BS201" i="1"/>
  <c r="S192" i="1"/>
  <c r="DE181" i="1"/>
  <c r="AQ321" i="1"/>
  <c r="CF304" i="1"/>
  <c r="AF295" i="1"/>
  <c r="CJ285" i="1"/>
  <c r="AJ276" i="1"/>
  <c r="BG485" i="1"/>
  <c r="CV436" i="1"/>
  <c r="CF387" i="1"/>
  <c r="H385" i="1"/>
  <c r="G395" i="1"/>
  <c r="P416" i="1"/>
  <c r="CU485" i="1"/>
  <c r="BI386" i="1"/>
  <c r="AF409" i="1"/>
  <c r="CE453" i="1"/>
  <c r="DG388" i="1"/>
  <c r="V356" i="1"/>
  <c r="V417" i="1"/>
  <c r="BK388" i="1"/>
  <c r="BJ355" i="1"/>
  <c r="BV414" i="1"/>
  <c r="BG387" i="1"/>
  <c r="BJ364" i="1"/>
  <c r="BR326" i="1"/>
  <c r="BY363" i="1"/>
  <c r="R423" i="1"/>
  <c r="BY325" i="1"/>
  <c r="AF363" i="1"/>
  <c r="AN325" i="1"/>
  <c r="AS306" i="1"/>
  <c r="BA268" i="1"/>
  <c r="BI230" i="1"/>
  <c r="BQ192" i="1"/>
  <c r="BG333" i="1"/>
  <c r="CX347" i="1"/>
  <c r="BU347" i="1"/>
  <c r="AO317" i="1"/>
  <c r="CD409" i="1"/>
  <c r="BD366" i="1"/>
  <c r="CV353" i="1"/>
  <c r="T341" i="1"/>
  <c r="BL328" i="1"/>
  <c r="DD315" i="1"/>
  <c r="CU354" i="1"/>
  <c r="DC316" i="1"/>
  <c r="CO303" i="1"/>
  <c r="AO294" i="1"/>
  <c r="CS284" i="1"/>
  <c r="AS275" i="1"/>
  <c r="CW265" i="1"/>
  <c r="AW256" i="1"/>
  <c r="DA246" i="1"/>
  <c r="BA237" i="1"/>
  <c r="DE227" i="1"/>
  <c r="BE218" i="1"/>
  <c r="DI208" i="1"/>
  <c r="BI199" i="1"/>
  <c r="I190" i="1"/>
  <c r="BM180" i="1"/>
  <c r="CA354" i="1"/>
  <c r="BF393" i="1"/>
  <c r="N337" i="1"/>
  <c r="J390" i="1"/>
  <c r="AC336" i="1"/>
  <c r="DE323" i="1"/>
  <c r="BE314" i="1"/>
  <c r="BF415" i="1"/>
  <c r="BN377" i="1"/>
  <c r="BL361" i="1"/>
  <c r="CR337" i="1"/>
  <c r="AM339" i="1"/>
  <c r="DE280" i="1"/>
  <c r="I243" i="1"/>
  <c r="Q205" i="1"/>
  <c r="CT411" i="1"/>
  <c r="AG325" i="1"/>
  <c r="T363" i="1"/>
  <c r="BX325" i="1"/>
  <c r="CQ365" i="1"/>
  <c r="BM306" i="1"/>
  <c r="BQ287" i="1"/>
  <c r="BU268" i="1"/>
  <c r="BY249" i="1"/>
  <c r="CC230" i="1"/>
  <c r="CG211" i="1"/>
  <c r="BS336" i="1"/>
  <c r="P298" i="1"/>
  <c r="T279" i="1"/>
  <c r="X260" i="1"/>
  <c r="AB241" i="1"/>
  <c r="AF222" i="1"/>
  <c r="AJ203" i="1"/>
  <c r="AN184" i="1"/>
  <c r="AE331" i="1"/>
  <c r="CY297" i="1"/>
  <c r="DC278" i="1"/>
  <c r="DG259" i="1"/>
  <c r="G241" i="1"/>
  <c r="K222" i="1"/>
  <c r="O203" i="1"/>
  <c r="CW187" i="1"/>
  <c r="AB306" i="1"/>
  <c r="AF287" i="1"/>
  <c r="CJ269" i="1"/>
  <c r="AJ260" i="1"/>
  <c r="CN250" i="1"/>
  <c r="AN241" i="1"/>
  <c r="CR231" i="1"/>
  <c r="AR222" i="1"/>
  <c r="CV212" i="1"/>
  <c r="AV203" i="1"/>
  <c r="CZ193" i="1"/>
  <c r="AZ184" i="1"/>
  <c r="AH374" i="1"/>
  <c r="AI332" i="1"/>
  <c r="BW307" i="1"/>
  <c r="W298" i="1"/>
  <c r="CA288" i="1"/>
  <c r="AA279" i="1"/>
  <c r="CE269" i="1"/>
  <c r="AE260" i="1"/>
  <c r="CI250" i="1"/>
  <c r="AI241" i="1"/>
  <c r="CM231" i="1"/>
  <c r="AM222" i="1"/>
  <c r="CQ212" i="1"/>
  <c r="AQ203" i="1"/>
  <c r="CU193" i="1"/>
  <c r="BA195" i="1"/>
  <c r="AI339" i="1"/>
  <c r="P308" i="1"/>
  <c r="BT298" i="1"/>
  <c r="T289" i="1"/>
  <c r="BX279" i="1"/>
  <c r="X270" i="1"/>
  <c r="CB260" i="1"/>
  <c r="AB251" i="1"/>
  <c r="CF241" i="1"/>
  <c r="AF232" i="1"/>
  <c r="CJ222" i="1"/>
  <c r="AJ213" i="1"/>
  <c r="CN203" i="1"/>
  <c r="AN194" i="1"/>
  <c r="CR184" i="1"/>
  <c r="AX378" i="1"/>
  <c r="AM333" i="1"/>
  <c r="CY307" i="1"/>
  <c r="AY298" i="1"/>
  <c r="DC288" i="1"/>
  <c r="BC279" i="1"/>
  <c r="DG269" i="1"/>
  <c r="BG260" i="1"/>
  <c r="G251" i="1"/>
  <c r="BK241" i="1"/>
  <c r="K232" i="1"/>
  <c r="BO222" i="1"/>
  <c r="O213" i="1"/>
  <c r="BS203" i="1"/>
  <c r="S194" i="1"/>
  <c r="BS368" i="1"/>
  <c r="AA313" i="1"/>
  <c r="CV302" i="1"/>
  <c r="AV293" i="1"/>
  <c r="CZ283" i="1"/>
  <c r="AZ274" i="1"/>
  <c r="DD264" i="1"/>
  <c r="BD255" i="1"/>
  <c r="DH245" i="1"/>
  <c r="BH236" i="1"/>
  <c r="H227" i="1"/>
  <c r="BL217" i="1"/>
  <c r="L208" i="1"/>
  <c r="BP198" i="1"/>
  <c r="P189" i="1"/>
  <c r="BT179" i="1"/>
  <c r="DC350" i="1"/>
  <c r="G313" i="1"/>
  <c r="CQ302" i="1"/>
  <c r="AQ293" i="1"/>
  <c r="CU283" i="1"/>
  <c r="AU274" i="1"/>
  <c r="CY264" i="1"/>
  <c r="AY255" i="1"/>
  <c r="DC245" i="1"/>
  <c r="BC236" i="1"/>
  <c r="DG226" i="1"/>
  <c r="BG217" i="1"/>
  <c r="G208" i="1"/>
  <c r="BK198" i="1"/>
  <c r="K189" i="1"/>
  <c r="BO179" i="1"/>
  <c r="CH403" i="1"/>
  <c r="BF289" i="1"/>
  <c r="BN251" i="1"/>
  <c r="BV213" i="1"/>
  <c r="BF178" i="1"/>
  <c r="F169" i="1"/>
  <c r="CV334" i="1"/>
  <c r="BC327" i="1"/>
  <c r="DI277" i="1"/>
  <c r="M240" i="1"/>
  <c r="U202" i="1"/>
  <c r="CH367" i="1"/>
  <c r="AK322" i="1"/>
  <c r="X360" i="1"/>
  <c r="H324" i="1"/>
  <c r="AM359" i="1"/>
  <c r="DA304" i="1"/>
  <c r="DE285" i="1"/>
  <c r="DI266" i="1"/>
  <c r="I248" i="1"/>
  <c r="M229" i="1"/>
  <c r="Q210" i="1"/>
  <c r="CU327" i="1"/>
  <c r="BD296" i="1"/>
  <c r="BH277" i="1"/>
  <c r="BL258" i="1"/>
  <c r="BP239" i="1"/>
  <c r="BT220" i="1"/>
  <c r="BX201" i="1"/>
  <c r="CB182" i="1"/>
  <c r="CE324" i="1"/>
  <c r="AI296" i="1"/>
  <c r="AM277" i="1"/>
  <c r="AQ258" i="1"/>
  <c r="AU239" i="1"/>
  <c r="AY220" i="1"/>
  <c r="BC201" i="1"/>
  <c r="AS181" i="1"/>
  <c r="BP304" i="1"/>
  <c r="BT285" i="1"/>
  <c r="H269" i="1"/>
  <c r="BL259" i="1"/>
  <c r="L250" i="1"/>
  <c r="BP240" i="1"/>
  <c r="P231" i="1"/>
  <c r="BT221" i="1"/>
  <c r="T212" i="1"/>
  <c r="BX202" i="1"/>
  <c r="X193" i="1"/>
  <c r="CB183" i="1"/>
  <c r="AE367" i="1"/>
  <c r="AM329" i="1"/>
  <c r="CY306" i="1"/>
  <c r="AY297" i="1"/>
  <c r="DC287" i="1"/>
  <c r="BC278" i="1"/>
  <c r="DG268" i="1"/>
  <c r="BG259" i="1"/>
  <c r="G250" i="1"/>
  <c r="BK240" i="1"/>
  <c r="K231" i="1"/>
  <c r="BO221" i="1"/>
  <c r="O212" i="1"/>
  <c r="BS202" i="1"/>
  <c r="S193" i="1"/>
  <c r="BE192" i="1"/>
  <c r="AY335" i="1"/>
  <c r="AR307" i="1"/>
  <c r="CV297" i="1"/>
  <c r="AV288" i="1"/>
  <c r="CZ278" i="1"/>
  <c r="AZ269" i="1"/>
  <c r="DD259" i="1"/>
  <c r="BD250" i="1"/>
  <c r="DH240" i="1"/>
  <c r="BH231" i="1"/>
  <c r="H222" i="1"/>
  <c r="BL212" i="1"/>
  <c r="L203" i="1"/>
  <c r="BP193" i="1"/>
  <c r="P184" i="1"/>
  <c r="AI368" i="1"/>
  <c r="AQ330" i="1"/>
  <c r="W307" i="1"/>
  <c r="CA297" i="1"/>
  <c r="AA288" i="1"/>
  <c r="CE278" i="1"/>
  <c r="AE269" i="1"/>
  <c r="CI259" i="1"/>
  <c r="AI250" i="1"/>
  <c r="CM240" i="1"/>
  <c r="AM231" i="1"/>
  <c r="CQ221" i="1"/>
  <c r="AQ212" i="1"/>
  <c r="CU202" i="1"/>
  <c r="AU193" i="1"/>
  <c r="AE362" i="1"/>
  <c r="BT311" i="1"/>
  <c r="T302" i="1"/>
  <c r="BX292" i="1"/>
  <c r="X283" i="1"/>
  <c r="CB273" i="1"/>
  <c r="AB264" i="1"/>
  <c r="CF254" i="1"/>
  <c r="AF245" i="1"/>
  <c r="CJ235" i="1"/>
  <c r="AJ226" i="1"/>
  <c r="CN216" i="1"/>
  <c r="AN207" i="1"/>
  <c r="CR197" i="1"/>
  <c r="AR188" i="1"/>
  <c r="AU469" i="1"/>
  <c r="DG347" i="1"/>
  <c r="BO311" i="1"/>
  <c r="O302" i="1"/>
  <c r="BS292" i="1"/>
  <c r="S283" i="1"/>
  <c r="BW273" i="1"/>
  <c r="W264" i="1"/>
  <c r="CA254" i="1"/>
  <c r="AA245" i="1"/>
  <c r="CE235" i="1"/>
  <c r="AE226" i="1"/>
  <c r="CI216" i="1"/>
  <c r="AI207" i="1"/>
  <c r="AJ334" i="1"/>
  <c r="O325" i="1"/>
  <c r="AW277" i="1"/>
  <c r="BE239" i="1"/>
  <c r="BM201" i="1"/>
  <c r="AT365" i="1"/>
  <c r="CC321" i="1"/>
  <c r="BP359" i="1"/>
  <c r="CV323" i="1"/>
  <c r="CE358" i="1"/>
  <c r="CK304" i="1"/>
  <c r="CO285" i="1"/>
  <c r="CS266" i="1"/>
  <c r="CW247" i="1"/>
  <c r="DA228" i="1"/>
  <c r="DE209" i="1"/>
  <c r="S327" i="1"/>
  <c r="AN296" i="1"/>
  <c r="AR277" i="1"/>
  <c r="AV258" i="1"/>
  <c r="AZ239" i="1"/>
  <c r="BD220" i="1"/>
  <c r="BH201" i="1"/>
  <c r="BL182" i="1"/>
  <c r="S324" i="1"/>
  <c r="S296" i="1"/>
  <c r="W277" i="1"/>
  <c r="AA258" i="1"/>
  <c r="AE239" i="1"/>
  <c r="AI220" i="1"/>
  <c r="AM201" i="1"/>
  <c r="CK180" i="1"/>
  <c r="AZ304" i="1"/>
  <c r="BD285" i="1"/>
  <c r="CV268" i="1"/>
  <c r="AV259" i="1"/>
  <c r="CZ249" i="1"/>
  <c r="AZ240" i="1"/>
  <c r="DD230" i="1"/>
  <c r="BD221" i="1"/>
  <c r="DH211" i="1"/>
  <c r="BH202" i="1"/>
  <c r="H193" i="1"/>
  <c r="BL183" i="1"/>
  <c r="BW366" i="1"/>
  <c r="CE328" i="1"/>
  <c r="CI306" i="1"/>
  <c r="AI297" i="1"/>
  <c r="CM287" i="1"/>
  <c r="AM278" i="1"/>
  <c r="CQ268" i="1"/>
  <c r="AQ259" i="1"/>
  <c r="CU249" i="1"/>
  <c r="AU240" i="1"/>
  <c r="CY230" i="1"/>
  <c r="AY221" i="1"/>
  <c r="DD328" i="1"/>
  <c r="DI309" i="1"/>
  <c r="M272" i="1"/>
  <c r="U234" i="1"/>
  <c r="AC196" i="1"/>
  <c r="J344" i="1"/>
  <c r="AS316" i="1"/>
  <c r="AF354" i="1"/>
  <c r="L321" i="1"/>
  <c r="BC347" i="1"/>
  <c r="DE301" i="1"/>
  <c r="DI282" i="1"/>
  <c r="I264" i="1"/>
  <c r="M245" i="1"/>
  <c r="Q226" i="1"/>
  <c r="U207" i="1"/>
  <c r="BW313" i="1"/>
  <c r="BH293" i="1"/>
  <c r="BL274" i="1"/>
  <c r="BP255" i="1"/>
  <c r="BT236" i="1"/>
  <c r="BX217" i="1"/>
  <c r="CB198" i="1"/>
  <c r="CF179" i="1"/>
  <c r="CU312" i="1"/>
  <c r="AM293" i="1"/>
  <c r="AQ274" i="1"/>
  <c r="AU255" i="1"/>
  <c r="AY236" i="1"/>
  <c r="BC217" i="1"/>
  <c r="BG198" i="1"/>
  <c r="O358" i="1"/>
  <c r="BT301" i="1"/>
  <c r="BX282" i="1"/>
  <c r="BL267" i="1"/>
  <c r="L258" i="1"/>
  <c r="BP248" i="1"/>
  <c r="P239" i="1"/>
  <c r="BT229" i="1"/>
  <c r="T220" i="1"/>
  <c r="BX210" i="1"/>
  <c r="X201" i="1"/>
  <c r="CB191" i="1"/>
  <c r="AB182" i="1"/>
  <c r="AM361" i="1"/>
  <c r="AU323" i="1"/>
  <c r="AY305" i="1"/>
  <c r="DC295" i="1"/>
  <c r="BC286" i="1"/>
  <c r="DG276" i="1"/>
  <c r="BG267" i="1"/>
  <c r="G258" i="1"/>
  <c r="BK248" i="1"/>
  <c r="K239" i="1"/>
  <c r="BO229" i="1"/>
  <c r="O220" i="1"/>
  <c r="BS210" i="1"/>
  <c r="S201" i="1"/>
  <c r="BW191" i="1"/>
  <c r="BM186" i="1"/>
  <c r="AY327" i="1"/>
  <c r="CV305" i="1"/>
  <c r="AV296" i="1"/>
  <c r="CZ286" i="1"/>
  <c r="AZ277" i="1"/>
  <c r="DD267" i="1"/>
  <c r="BD258" i="1"/>
  <c r="DH248" i="1"/>
  <c r="BH239" i="1"/>
  <c r="H230" i="1"/>
  <c r="BL220" i="1"/>
  <c r="L211" i="1"/>
  <c r="BP201" i="1"/>
  <c r="P192" i="1"/>
  <c r="BT182" i="1"/>
  <c r="AQ362" i="1"/>
  <c r="AY324" i="1"/>
  <c r="CA305" i="1"/>
  <c r="AA296" i="1"/>
  <c r="CE286" i="1"/>
  <c r="AE277" i="1"/>
  <c r="CI267" i="1"/>
  <c r="AI258" i="1"/>
  <c r="CM248" i="1"/>
  <c r="AM239" i="1"/>
  <c r="CQ229" i="1"/>
  <c r="AQ220" i="1"/>
  <c r="CU210" i="1"/>
  <c r="AU201" i="1"/>
  <c r="BQ203" i="1"/>
  <c r="G190" i="1"/>
  <c r="CJ294" i="1"/>
  <c r="CR256" i="1"/>
  <c r="CZ218" i="1"/>
  <c r="DH180" i="1"/>
  <c r="BO294" i="1"/>
  <c r="BW256" i="1"/>
  <c r="CE218" i="1"/>
  <c r="AL415" i="1"/>
  <c r="BT303" i="1"/>
  <c r="BX284" i="1"/>
  <c r="CB265" i="1"/>
  <c r="CF246" i="1"/>
  <c r="CJ227" i="1"/>
  <c r="CN208" i="1"/>
  <c r="CR189" i="1"/>
  <c r="CY353" i="1"/>
  <c r="BO303" i="1"/>
  <c r="BS284" i="1"/>
  <c r="BW265" i="1"/>
  <c r="CA246" i="1"/>
  <c r="CE227" i="1"/>
  <c r="CI208" i="1"/>
  <c r="AE194" i="1"/>
  <c r="BW181" i="1"/>
  <c r="CQ356" i="1"/>
  <c r="AL272" i="1"/>
  <c r="DB221" i="1"/>
  <c r="BB177" i="1"/>
  <c r="CT164" i="1"/>
  <c r="AT155" i="1"/>
  <c r="CX145" i="1"/>
  <c r="AX136" i="1"/>
  <c r="BW223" i="1"/>
  <c r="CK200" i="1"/>
  <c r="BD290" i="1"/>
  <c r="BL252" i="1"/>
  <c r="BT214" i="1"/>
  <c r="CH399" i="1"/>
  <c r="AI290" i="1"/>
  <c r="AQ252" i="1"/>
  <c r="AY214" i="1"/>
  <c r="DH308" i="1"/>
  <c r="CM308" i="1"/>
  <c r="CF310" i="1"/>
  <c r="CV234" i="1"/>
  <c r="CA310" i="1"/>
  <c r="CQ234" i="1"/>
  <c r="CQ183" i="1"/>
  <c r="CP171" i="1"/>
  <c r="AD151" i="1"/>
  <c r="AH132" i="1"/>
  <c r="AX120" i="1"/>
  <c r="DB110" i="1"/>
  <c r="BB101" i="1"/>
  <c r="DF91" i="1"/>
  <c r="BF82" i="1"/>
  <c r="F73" i="1"/>
  <c r="BC342" i="1"/>
  <c r="CH281" i="1"/>
  <c r="CP243" i="1"/>
  <c r="CX205" i="1"/>
  <c r="BM176" i="1"/>
  <c r="M167" i="1"/>
  <c r="BQ157" i="1"/>
  <c r="Q148" i="1"/>
  <c r="BU138" i="1"/>
  <c r="U129" i="1"/>
  <c r="BY119" i="1"/>
  <c r="Y110" i="1"/>
  <c r="CC100" i="1"/>
  <c r="AC91" i="1"/>
  <c r="CG81" i="1"/>
  <c r="BS187" i="1"/>
  <c r="K323" i="1"/>
  <c r="CX276" i="1"/>
  <c r="DF238" i="1"/>
  <c r="J201" i="1"/>
  <c r="AP175" i="1"/>
  <c r="CT165" i="1"/>
  <c r="AT156" i="1"/>
  <c r="CX146" i="1"/>
  <c r="AX137" i="1"/>
  <c r="DB127" i="1"/>
  <c r="BB118" i="1"/>
  <c r="DF108" i="1"/>
  <c r="BF99" i="1"/>
  <c r="F90" i="1"/>
  <c r="BJ80" i="1"/>
  <c r="J71" i="1"/>
  <c r="AY313" i="1"/>
  <c r="BF274" i="1"/>
  <c r="BN236" i="1"/>
  <c r="BV198" i="1"/>
  <c r="CG174" i="1"/>
  <c r="AG165" i="1"/>
  <c r="CK155" i="1"/>
  <c r="AK146" i="1"/>
  <c r="CO136" i="1"/>
  <c r="AO127" i="1"/>
  <c r="CS117" i="1"/>
  <c r="AS108" i="1"/>
  <c r="CW98" i="1"/>
  <c r="AW89" i="1"/>
  <c r="DA79" i="1"/>
  <c r="AE187" i="1"/>
  <c r="O320" i="1"/>
  <c r="V276" i="1"/>
  <c r="AD238" i="1"/>
  <c r="AL200" i="1"/>
  <c r="V175" i="1"/>
  <c r="BZ165" i="1"/>
  <c r="Z156" i="1"/>
  <c r="CD146" i="1"/>
  <c r="AD137" i="1"/>
  <c r="CH127" i="1"/>
  <c r="AH118" i="1"/>
  <c r="CL108" i="1"/>
  <c r="AL99" i="1"/>
  <c r="CP89" i="1"/>
  <c r="AP80" i="1"/>
  <c r="CT70" i="1"/>
  <c r="BZ311" i="1"/>
  <c r="CH273" i="1"/>
  <c r="CP235" i="1"/>
  <c r="CX197" i="1"/>
  <c r="BM174" i="1"/>
  <c r="M165" i="1"/>
  <c r="BQ155" i="1"/>
  <c r="Q146" i="1"/>
  <c r="BU136" i="1"/>
  <c r="U127" i="1"/>
  <c r="BY117" i="1"/>
  <c r="Y108" i="1"/>
  <c r="CC98" i="1"/>
  <c r="AC89" i="1"/>
  <c r="CG79" i="1"/>
  <c r="CA184" i="1"/>
  <c r="CP306" i="1"/>
  <c r="CX268" i="1"/>
  <c r="DF230" i="1"/>
  <c r="J193" i="1"/>
  <c r="AP173" i="1"/>
  <c r="CT163" i="1"/>
  <c r="AT154" i="1"/>
  <c r="CX144" i="1"/>
  <c r="BW203" i="1"/>
  <c r="AV308" i="1"/>
  <c r="BD270" i="1"/>
  <c r="BL232" i="1"/>
  <c r="BT194" i="1"/>
  <c r="AA308" i="1"/>
  <c r="AI270" i="1"/>
  <c r="AQ232" i="1"/>
  <c r="AY194" i="1"/>
  <c r="AJ310" i="1"/>
  <c r="AN291" i="1"/>
  <c r="AR272" i="1"/>
  <c r="AV253" i="1"/>
  <c r="AZ234" i="1"/>
  <c r="BD215" i="1"/>
  <c r="BH196" i="1"/>
  <c r="CH415" i="1"/>
  <c r="AE310" i="1"/>
  <c r="AI291" i="1"/>
  <c r="AM272" i="1"/>
  <c r="AQ253" i="1"/>
  <c r="AU234" i="1"/>
  <c r="AY215" i="1"/>
  <c r="CQ198" i="1"/>
  <c r="AE186" i="1"/>
  <c r="BC183" i="1"/>
  <c r="BZ290" i="1"/>
  <c r="AL240" i="1"/>
  <c r="AP189" i="1"/>
  <c r="AL169" i="1"/>
  <c r="CL158" i="1"/>
  <c r="AL149" i="1"/>
  <c r="CP139" i="1"/>
  <c r="AP130" i="1"/>
  <c r="CT120" i="1"/>
  <c r="AT111" i="1"/>
  <c r="CX101" i="1"/>
  <c r="AX92" i="1"/>
  <c r="DB82" i="1"/>
  <c r="BB73" i="1"/>
  <c r="BO349" i="1"/>
  <c r="BJ283" i="1"/>
  <c r="BR245" i="1"/>
  <c r="BZ207" i="1"/>
  <c r="DI176" i="1"/>
  <c r="BI167" i="1"/>
  <c r="I158" i="1"/>
  <c r="BM148" i="1"/>
  <c r="M139" i="1"/>
  <c r="BQ129" i="1"/>
  <c r="Q120" i="1"/>
  <c r="BU110" i="1"/>
  <c r="U101" i="1"/>
  <c r="BY91" i="1"/>
  <c r="Y82" i="1"/>
  <c r="BG188" i="1"/>
  <c r="W330" i="1"/>
  <c r="BZ278" i="1"/>
  <c r="CH240" i="1"/>
  <c r="CP202" i="1"/>
  <c r="CL175" i="1"/>
  <c r="AL166" i="1"/>
  <c r="CP156" i="1"/>
  <c r="AP147" i="1"/>
  <c r="CT137" i="1"/>
  <c r="AT128" i="1"/>
  <c r="CX118" i="1"/>
  <c r="AX109" i="1"/>
  <c r="DB99" i="1"/>
  <c r="BB90" i="1"/>
  <c r="DF80" i="1"/>
  <c r="BF71" i="1"/>
  <c r="BK320" i="1"/>
  <c r="AH276" i="1"/>
  <c r="AP238" i="1"/>
  <c r="AX200" i="1"/>
  <c r="Y175" i="1"/>
  <c r="CC165" i="1"/>
  <c r="AC156" i="1"/>
  <c r="CG146" i="1"/>
  <c r="AG137" i="1"/>
  <c r="K203" i="1"/>
  <c r="CN307" i="1"/>
  <c r="CV269" i="1"/>
  <c r="DD231" i="1"/>
  <c r="H194" i="1"/>
  <c r="BS307" i="1"/>
  <c r="CA269" i="1"/>
  <c r="CI231" i="1"/>
  <c r="CQ193" i="1"/>
  <c r="T310" i="1"/>
  <c r="X291" i="1"/>
  <c r="AB272" i="1"/>
  <c r="AF253" i="1"/>
  <c r="AJ234" i="1"/>
  <c r="AN215" i="1"/>
  <c r="AR196" i="1"/>
  <c r="AT413" i="1"/>
  <c r="O310" i="1"/>
  <c r="S291" i="1"/>
  <c r="W272" i="1"/>
  <c r="AA253" i="1"/>
  <c r="AE234" i="1"/>
  <c r="AI215" i="1"/>
  <c r="CA198" i="1"/>
  <c r="DC185" i="1"/>
  <c r="AE183" i="1"/>
  <c r="N290" i="1"/>
  <c r="R239" i="1"/>
  <c r="CH188" i="1"/>
  <c r="V169" i="1"/>
  <c r="BV158" i="1"/>
  <c r="V149" i="1"/>
  <c r="BZ139" i="1"/>
  <c r="Z130" i="1"/>
  <c r="CD120" i="1"/>
  <c r="AD111" i="1"/>
  <c r="CH101" i="1"/>
  <c r="AH92" i="1"/>
  <c r="CL82" i="1"/>
  <c r="AL73" i="1"/>
  <c r="AA347" i="1"/>
  <c r="DB282" i="1"/>
  <c r="F245" i="1"/>
  <c r="N207" i="1"/>
  <c r="CS176" i="1"/>
  <c r="AS167" i="1"/>
  <c r="CW157" i="1"/>
  <c r="AW148" i="1"/>
  <c r="DA138" i="1"/>
  <c r="BA129" i="1"/>
  <c r="DE119" i="1"/>
  <c r="BE110" i="1"/>
  <c r="DI100" i="1"/>
  <c r="BI91" i="1"/>
  <c r="I82" i="1"/>
  <c r="AA188" i="1"/>
  <c r="CM327" i="1"/>
  <c r="N278" i="1"/>
  <c r="V240" i="1"/>
  <c r="AD202" i="1"/>
  <c r="BV175" i="1"/>
  <c r="V166" i="1"/>
  <c r="BZ156" i="1"/>
  <c r="Z147" i="1"/>
  <c r="CD137" i="1"/>
  <c r="AD128" i="1"/>
  <c r="CH118" i="1"/>
  <c r="AH109" i="1"/>
  <c r="CL99" i="1"/>
  <c r="AL90" i="1"/>
  <c r="CP80" i="1"/>
  <c r="AP71" i="1"/>
  <c r="W318" i="1"/>
  <c r="BZ275" i="1"/>
  <c r="CH237" i="1"/>
  <c r="CP199" i="1"/>
  <c r="I175" i="1"/>
  <c r="BM165" i="1"/>
  <c r="M156" i="1"/>
  <c r="BQ146" i="1"/>
  <c r="Q137" i="1"/>
  <c r="BU127" i="1"/>
  <c r="U118" i="1"/>
  <c r="BY108" i="1"/>
  <c r="Y99" i="1"/>
  <c r="CC89" i="1"/>
  <c r="AC80" i="1"/>
  <c r="CQ187" i="1"/>
  <c r="CQ324" i="1"/>
  <c r="AP277" i="1"/>
  <c r="AX239" i="1"/>
  <c r="BF201" i="1"/>
  <c r="BB175" i="1"/>
  <c r="DF165" i="1"/>
  <c r="BF156" i="1"/>
  <c r="F147" i="1"/>
  <c r="BJ137" i="1"/>
  <c r="J128" i="1"/>
  <c r="BN118" i="1"/>
  <c r="N109" i="1"/>
  <c r="BR99" i="1"/>
  <c r="R90" i="1"/>
  <c r="BV80" i="1"/>
  <c r="V71" i="1"/>
  <c r="AA315" i="1"/>
  <c r="DB274" i="1"/>
  <c r="CQ204" i="1"/>
  <c r="BP309" i="1"/>
  <c r="BX271" i="1"/>
  <c r="CF233" i="1"/>
  <c r="CN195" i="1"/>
  <c r="AU309" i="1"/>
  <c r="BC271" i="1"/>
  <c r="BK233" i="1"/>
  <c r="BS195" i="1"/>
  <c r="CV310" i="1"/>
  <c r="CZ291" i="1"/>
  <c r="DD272" i="1"/>
  <c r="DH253" i="1"/>
  <c r="H235" i="1"/>
  <c r="L216" i="1"/>
  <c r="P197" i="1"/>
  <c r="BY426" i="1"/>
  <c r="CQ310" i="1"/>
  <c r="CU291" i="1"/>
  <c r="CY272" i="1"/>
  <c r="DC253" i="1"/>
  <c r="DG234" i="1"/>
  <c r="G216" i="1"/>
  <c r="AI199" i="1"/>
  <c r="BK186" i="1"/>
  <c r="K184" i="1"/>
  <c r="BB292" i="1"/>
  <c r="BF241" i="1"/>
  <c r="R191" i="1"/>
  <c r="CH169" i="1"/>
  <c r="N159" i="1"/>
  <c r="BR149" i="1"/>
  <c r="R140" i="1"/>
  <c r="BV130" i="1"/>
  <c r="V121" i="1"/>
  <c r="BZ111" i="1"/>
  <c r="Z102" i="1"/>
  <c r="CD92" i="1"/>
  <c r="AD83" i="1"/>
  <c r="CH73" i="1"/>
  <c r="AM354" i="1"/>
  <c r="CD284" i="1"/>
  <c r="CL246" i="1"/>
  <c r="CT208" i="1"/>
  <c r="AK177" i="1"/>
  <c r="CO167" i="1"/>
  <c r="AO158" i="1"/>
  <c r="CS148" i="1"/>
  <c r="AS139" i="1"/>
  <c r="CW129" i="1"/>
  <c r="AW120" i="1"/>
  <c r="DA110" i="1"/>
  <c r="BA101" i="1"/>
  <c r="DE91" i="1"/>
  <c r="BE82" i="1"/>
  <c r="CA189" i="1"/>
  <c r="CY334" i="1"/>
  <c r="CT279" i="1"/>
  <c r="DB241" i="1"/>
  <c r="F204" i="1"/>
  <c r="N176" i="1"/>
  <c r="BR166" i="1"/>
  <c r="R157" i="1"/>
  <c r="BV147" i="1"/>
  <c r="V138" i="1"/>
  <c r="BZ128" i="1"/>
  <c r="Z119" i="1"/>
  <c r="CD109" i="1"/>
  <c r="AD100" i="1"/>
  <c r="CH90" i="1"/>
  <c r="AH81" i="1"/>
  <c r="CL71" i="1"/>
  <c r="AI325" i="1"/>
  <c r="BB277" i="1"/>
  <c r="BJ239" i="1"/>
  <c r="BR201" i="1"/>
  <c r="BE175" i="1"/>
  <c r="DI165" i="1"/>
  <c r="BI156" i="1"/>
  <c r="I147" i="1"/>
  <c r="BM137" i="1"/>
  <c r="M128" i="1"/>
  <c r="BQ118" i="1"/>
  <c r="Q109" i="1"/>
  <c r="BU99" i="1"/>
  <c r="U90" i="1"/>
  <c r="BY80" i="1"/>
  <c r="DC188" i="1"/>
  <c r="DC331" i="1"/>
  <c r="R279" i="1"/>
  <c r="Z241" i="1"/>
  <c r="AH203" i="1"/>
  <c r="CX175" i="1"/>
  <c r="AX166" i="1"/>
  <c r="DB156" i="1"/>
  <c r="BB147" i="1"/>
  <c r="DF137" i="1"/>
  <c r="BF128" i="1"/>
  <c r="F119" i="1"/>
  <c r="BJ109" i="1"/>
  <c r="J100" i="1"/>
  <c r="BN90" i="1"/>
  <c r="N81" i="1"/>
  <c r="BR71" i="1"/>
  <c r="AM322" i="1"/>
  <c r="CD276" i="1"/>
  <c r="CL238" i="1"/>
  <c r="CT200" i="1"/>
  <c r="BL234" i="1"/>
  <c r="BT196" i="1"/>
  <c r="AA310" i="1"/>
  <c r="AI272" i="1"/>
  <c r="AQ234" i="1"/>
  <c r="AY196" i="1"/>
  <c r="BL299" i="1"/>
  <c r="DI391" i="1"/>
  <c r="K482" i="1"/>
  <c r="BL381" i="1"/>
  <c r="AS353" i="1"/>
  <c r="AL420" i="1"/>
  <c r="CT388" i="1"/>
  <c r="BU285" i="1"/>
  <c r="V420" i="1"/>
  <c r="BB382" i="1"/>
  <c r="BP321" i="1"/>
  <c r="BU298" i="1"/>
  <c r="CC260" i="1"/>
  <c r="CK222" i="1"/>
  <c r="CS184" i="1"/>
  <c r="AP316" i="1"/>
  <c r="CI451" i="1"/>
  <c r="CV346" i="1"/>
  <c r="AL395" i="1"/>
  <c r="DI289" i="1"/>
  <c r="M252" i="1"/>
  <c r="U214" i="1"/>
  <c r="BN394" i="1"/>
  <c r="BU339" i="1"/>
  <c r="V382" i="1"/>
  <c r="AF334" i="1"/>
  <c r="AQ324" i="1"/>
  <c r="AC277" i="1"/>
  <c r="AK239" i="1"/>
  <c r="CO189" i="1"/>
  <c r="CF287" i="1"/>
  <c r="CN249" i="1"/>
  <c r="CV211" i="1"/>
  <c r="CC400" i="1"/>
  <c r="AZ397" i="1"/>
  <c r="BW414" i="1"/>
  <c r="G369" i="1"/>
  <c r="BR350" i="1"/>
  <c r="G512" i="1"/>
  <c r="BI254" i="1"/>
  <c r="Q323" i="1"/>
  <c r="DE411" i="1"/>
  <c r="DC443" i="1"/>
  <c r="AJ401" i="1"/>
  <c r="Y370" i="1"/>
  <c r="AQ418" i="1"/>
  <c r="BN375" i="1"/>
  <c r="F320" i="1"/>
  <c r="CK344" i="1"/>
  <c r="J373" i="1"/>
  <c r="AT319" i="1"/>
  <c r="U344" i="1"/>
  <c r="CP394" i="1"/>
  <c r="AX337" i="1"/>
  <c r="AT391" i="1"/>
  <c r="BM336" i="1"/>
  <c r="AS348" i="1"/>
  <c r="CD389" i="1"/>
  <c r="T336" i="1"/>
  <c r="BG332" i="1"/>
  <c r="AG279" i="1"/>
  <c r="AO241" i="1"/>
  <c r="AW203" i="1"/>
  <c r="AM332" i="1"/>
  <c r="BA346" i="1"/>
  <c r="BR386" i="1"/>
  <c r="AR335" i="1"/>
  <c r="BD448" i="1"/>
  <c r="BA372" i="1"/>
  <c r="AV389" i="1"/>
  <c r="AC361" i="1"/>
  <c r="AI369" i="1"/>
  <c r="V323" i="1"/>
  <c r="BM291" i="1"/>
  <c r="BO374" i="1"/>
  <c r="V390" i="1"/>
  <c r="BX323" i="1"/>
  <c r="Q300" i="1"/>
  <c r="Y262" i="1"/>
  <c r="AG224" i="1"/>
  <c r="AO186" i="1"/>
  <c r="AH322" i="1"/>
  <c r="AA480" i="1"/>
  <c r="AR348" i="1"/>
  <c r="F419" i="1"/>
  <c r="BE291" i="1"/>
  <c r="BM253" i="1"/>
  <c r="BU215" i="1"/>
  <c r="AH418" i="1"/>
  <c r="BM345" i="1"/>
  <c r="N388" i="1"/>
  <c r="CF335" i="1"/>
  <c r="K391" i="1"/>
  <c r="W416" i="1"/>
  <c r="CW426" i="1"/>
  <c r="CP331" i="1"/>
  <c r="CY435" i="1"/>
  <c r="BD345" i="1"/>
  <c r="CG212" i="1"/>
  <c r="AW327" i="1"/>
  <c r="DD347" i="1"/>
  <c r="O337" i="1"/>
  <c r="AW280" i="1"/>
  <c r="BE242" i="1"/>
  <c r="BM204" i="1"/>
  <c r="CM376" i="1"/>
  <c r="DI328" i="1"/>
  <c r="BP366" i="1"/>
  <c r="BX328" i="1"/>
  <c r="CC309" i="1"/>
  <c r="CK271" i="1"/>
  <c r="CS233" i="1"/>
  <c r="DA195" i="1"/>
  <c r="CT342" i="1"/>
  <c r="M316" i="1"/>
  <c r="DD353" i="1"/>
  <c r="H316" i="1"/>
  <c r="DA296" i="1"/>
  <c r="DI258" i="1"/>
  <c r="M221" i="1"/>
  <c r="AZ307" i="1"/>
  <c r="BH269" i="1"/>
  <c r="BP231" i="1"/>
  <c r="BX193" i="1"/>
  <c r="AE307" i="1"/>
  <c r="AM269" i="1"/>
  <c r="AU231" i="1"/>
  <c r="BC193" i="1"/>
  <c r="BP296" i="1"/>
  <c r="P459" i="1"/>
  <c r="AB423" i="1"/>
  <c r="CY486" i="1"/>
  <c r="BI337" i="1"/>
  <c r="CX372" i="1"/>
  <c r="DI330" i="1"/>
  <c r="CK273" i="1"/>
  <c r="DF357" i="1"/>
  <c r="AF368" i="1"/>
  <c r="CF317" i="1"/>
  <c r="BY295" i="1"/>
  <c r="CG257" i="1"/>
  <c r="CO219" i="1"/>
  <c r="CW181" i="1"/>
  <c r="AT411" i="1"/>
  <c r="CP420" i="1"/>
  <c r="CZ343" i="1"/>
  <c r="BS363" i="1"/>
  <c r="I287" i="1"/>
  <c r="Q249" i="1"/>
  <c r="Y211" i="1"/>
  <c r="O385" i="1"/>
  <c r="AO331" i="1"/>
  <c r="AL370" i="1"/>
  <c r="AJ331" i="1"/>
  <c r="BG312" i="1"/>
  <c r="AG274" i="1"/>
  <c r="AO236" i="1"/>
  <c r="AX422" i="1"/>
  <c r="CJ284" i="1"/>
  <c r="CR246" i="1"/>
  <c r="CZ208" i="1"/>
  <c r="CU360" i="1"/>
  <c r="AQ286" i="1"/>
  <c r="AY248" i="1"/>
  <c r="BG210" i="1"/>
  <c r="AE318" i="1"/>
  <c r="CB275" i="1"/>
  <c r="BL375" i="1"/>
  <c r="AS382" i="1"/>
  <c r="CX352" i="1"/>
  <c r="Z402" i="1"/>
  <c r="AK361" i="1"/>
  <c r="DD322" i="1"/>
  <c r="AC190" i="1"/>
  <c r="U316" i="1"/>
  <c r="AV340" i="1"/>
  <c r="BO314" i="1"/>
  <c r="CK274" i="1"/>
  <c r="CS236" i="1"/>
  <c r="DA198" i="1"/>
  <c r="F384" i="1"/>
  <c r="AS323" i="1"/>
  <c r="DD360" i="1"/>
  <c r="BY240" i="1"/>
  <c r="CJ360" i="1"/>
  <c r="AW286" i="1"/>
  <c r="BM210" i="1"/>
  <c r="DH258" i="1"/>
  <c r="T183" i="1"/>
  <c r="CM258" i="1"/>
  <c r="U183" i="1"/>
  <c r="CB259" i="1"/>
  <c r="CJ221" i="1"/>
  <c r="CR183" i="1"/>
  <c r="BO297" i="1"/>
  <c r="BW259" i="1"/>
  <c r="CE221" i="1"/>
  <c r="M193" i="1"/>
  <c r="BL288" i="1"/>
  <c r="BT250" i="1"/>
  <c r="CB212" i="1"/>
  <c r="DB368" i="1"/>
  <c r="AQ288" i="1"/>
  <c r="AY250" i="1"/>
  <c r="BG212" i="1"/>
  <c r="CJ311" i="1"/>
  <c r="CR273" i="1"/>
  <c r="CZ235" i="1"/>
  <c r="DH197" i="1"/>
  <c r="CE311" i="1"/>
  <c r="CM273" i="1"/>
  <c r="CU235" i="1"/>
  <c r="DC197" i="1"/>
  <c r="R287" i="1"/>
  <c r="AX168" i="1"/>
  <c r="CC237" i="1"/>
  <c r="CN357" i="1"/>
  <c r="CK284" i="1"/>
  <c r="DA208" i="1"/>
  <c r="AR257" i="1"/>
  <c r="BH181" i="1"/>
  <c r="W257" i="1"/>
  <c r="N401" i="1"/>
  <c r="DD258" i="1"/>
  <c r="H221" i="1"/>
  <c r="P183" i="1"/>
  <c r="CQ296" i="1"/>
  <c r="CY258" i="1"/>
  <c r="DG220" i="1"/>
  <c r="Q190" i="1"/>
  <c r="CN287" i="1"/>
  <c r="CV249" i="1"/>
  <c r="DD211" i="1"/>
  <c r="CY365" i="1"/>
  <c r="BS287" i="1"/>
  <c r="CA249" i="1"/>
  <c r="CI211" i="1"/>
  <c r="H311" i="1"/>
  <c r="P273" i="1"/>
  <c r="X235" i="1"/>
  <c r="AF197" i="1"/>
  <c r="DG310" i="1"/>
  <c r="K273" i="1"/>
  <c r="S235" i="1"/>
  <c r="CZ331" i="1"/>
  <c r="Y199" i="1"/>
  <c r="CB322" i="1"/>
  <c r="BY265" i="1"/>
  <c r="CI320" i="1"/>
  <c r="AF238" i="1"/>
  <c r="AU319" i="1"/>
  <c r="K238" i="1"/>
  <c r="AF303" i="1"/>
  <c r="AN249" i="1"/>
  <c r="AV211" i="1"/>
  <c r="AI364" i="1"/>
  <c r="AA287" i="1"/>
  <c r="AI249" i="1"/>
  <c r="BP326" i="1"/>
  <c r="CS193" i="1"/>
  <c r="CV319" i="1"/>
  <c r="CS262" i="1"/>
  <c r="AJ311" i="1"/>
  <c r="AZ235" i="1"/>
  <c r="O311" i="1"/>
  <c r="AE235" i="1"/>
  <c r="AZ300" i="1"/>
  <c r="DH247" i="1"/>
  <c r="L210" i="1"/>
  <c r="DC358" i="1"/>
  <c r="CU285" i="1"/>
  <c r="DC247" i="1"/>
  <c r="G210" i="1"/>
  <c r="AM324" i="1"/>
  <c r="CR276" i="1"/>
  <c r="CZ238" i="1"/>
  <c r="DH200" i="1"/>
  <c r="K322" i="1"/>
  <c r="BW276" i="1"/>
  <c r="CE238" i="1"/>
  <c r="CM200" i="1"/>
  <c r="BD254" i="1"/>
  <c r="AI254" i="1"/>
  <c r="BD283" i="1"/>
  <c r="BT207" i="1"/>
  <c r="AY283" i="1"/>
  <c r="BO207" i="1"/>
  <c r="AP269" i="1"/>
  <c r="CL154" i="1"/>
  <c r="BG358" i="1"/>
  <c r="CI285" i="1"/>
  <c r="CQ247" i="1"/>
  <c r="CY209" i="1"/>
  <c r="CU315" i="1"/>
  <c r="P275" i="1"/>
  <c r="O502" i="1"/>
  <c r="BU378" i="1"/>
  <c r="CL349" i="1"/>
  <c r="CH389" i="1"/>
  <c r="DA358" i="1"/>
  <c r="BP320" i="1"/>
  <c r="CS187" i="1"/>
  <c r="DE314" i="1"/>
  <c r="BX339" i="1"/>
  <c r="AA312" i="1"/>
  <c r="Y274" i="1"/>
  <c r="AG236" i="1"/>
  <c r="AO198" i="1"/>
  <c r="BJ374" i="1"/>
  <c r="CK322" i="1"/>
  <c r="AR360" i="1"/>
  <c r="AK238" i="1"/>
  <c r="AV358" i="1"/>
  <c r="AC285" i="1"/>
  <c r="AS209" i="1"/>
  <c r="CN257" i="1"/>
  <c r="DD181" i="1"/>
  <c r="BS257" i="1"/>
  <c r="W439" i="1"/>
  <c r="P259" i="1"/>
  <c r="X221" i="1"/>
  <c r="AF183" i="1"/>
  <c r="DG296" i="1"/>
  <c r="K259" i="1"/>
  <c r="S221" i="1"/>
  <c r="CC190" i="1"/>
  <c r="AM320" i="1"/>
  <c r="X302" i="1"/>
  <c r="DD287" i="1"/>
  <c r="P276" i="1"/>
  <c r="AF264" i="1"/>
  <c r="H250" i="1"/>
  <c r="X238" i="1"/>
  <c r="AN226" i="1"/>
  <c r="P212" i="1"/>
  <c r="AF200" i="1"/>
  <c r="AV188" i="1"/>
  <c r="BG366" i="1"/>
  <c r="O319" i="1"/>
  <c r="DG301" i="1"/>
  <c r="CI287" i="1"/>
  <c r="CY275" i="1"/>
  <c r="K264" i="1"/>
  <c r="CQ249" i="1"/>
  <c r="DG237" i="1"/>
  <c r="S226" i="1"/>
  <c r="CY211" i="1"/>
  <c r="K200" i="1"/>
  <c r="CK188" i="1"/>
  <c r="X311" i="1"/>
  <c r="AN299" i="1"/>
  <c r="BD287" i="1"/>
  <c r="AF273" i="1"/>
  <c r="AV261" i="1"/>
  <c r="BL249" i="1"/>
  <c r="AN235" i="1"/>
  <c r="BD223" i="1"/>
  <c r="BT211" i="1"/>
  <c r="CJ199" i="1"/>
  <c r="AJ190" i="1"/>
  <c r="CN180" i="1"/>
  <c r="CA355" i="1"/>
  <c r="CI317" i="1"/>
  <c r="G304" i="1"/>
  <c r="BK294" i="1"/>
  <c r="K285" i="1"/>
  <c r="BO275" i="1"/>
  <c r="O266" i="1"/>
  <c r="BS256" i="1"/>
  <c r="S247" i="1"/>
  <c r="BW237" i="1"/>
  <c r="W228" i="1"/>
  <c r="CA218" i="1"/>
  <c r="AA209" i="1"/>
  <c r="CE199" i="1"/>
  <c r="AE190" i="1"/>
  <c r="CI180" i="1"/>
  <c r="BG180" i="1"/>
  <c r="AD294" i="1"/>
  <c r="AL256" i="1"/>
  <c r="AT218" i="1"/>
  <c r="BB180" i="1"/>
  <c r="Z170" i="1"/>
  <c r="BT339" i="1"/>
  <c r="AY346" i="1"/>
  <c r="CG282" i="1"/>
  <c r="CO244" i="1"/>
  <c r="CW206" i="1"/>
  <c r="AI482" i="1"/>
  <c r="I327" i="1"/>
  <c r="CZ364" i="1"/>
  <c r="DH326" i="1"/>
  <c r="CM368" i="1"/>
  <c r="AK307" i="1"/>
  <c r="AO288" i="1"/>
  <c r="AS269" i="1"/>
  <c r="AW250" i="1"/>
  <c r="BA231" i="1"/>
  <c r="BE212" i="1"/>
  <c r="BC340" i="1"/>
  <c r="CR298" i="1"/>
  <c r="CV279" i="1"/>
  <c r="CZ260" i="1"/>
  <c r="DD241" i="1"/>
  <c r="DH222" i="1"/>
  <c r="H204" i="1"/>
  <c r="L185" i="1"/>
  <c r="AA334" i="1"/>
  <c r="BW298" i="1"/>
  <c r="CA279" i="1"/>
  <c r="CE260" i="1"/>
  <c r="CI241" i="1"/>
  <c r="CM222" i="1"/>
  <c r="CQ203" i="1"/>
  <c r="CS190" i="1"/>
  <c r="DD306" i="1"/>
  <c r="DH287" i="1"/>
  <c r="AB270" i="1"/>
  <c r="CF260" i="1"/>
  <c r="AF251" i="1"/>
  <c r="CJ241" i="1"/>
  <c r="AJ232" i="1"/>
  <c r="CN222" i="1"/>
  <c r="AN213" i="1"/>
  <c r="CR203" i="1"/>
  <c r="AR194" i="1"/>
  <c r="CV184" i="1"/>
  <c r="AT381" i="1"/>
  <c r="K334" i="1"/>
  <c r="O308" i="1"/>
  <c r="BS298" i="1"/>
  <c r="S289" i="1"/>
  <c r="BW279" i="1"/>
  <c r="W270" i="1"/>
  <c r="CA260" i="1"/>
  <c r="AA251" i="1"/>
  <c r="CE241" i="1"/>
  <c r="AE232" i="1"/>
  <c r="CI222" i="1"/>
  <c r="AI213" i="1"/>
  <c r="CM203" i="1"/>
  <c r="AM194" i="1"/>
  <c r="AC197" i="1"/>
  <c r="BW341" i="1"/>
  <c r="BL308" i="1"/>
  <c r="L299" i="1"/>
  <c r="BP289" i="1"/>
  <c r="P280" i="1"/>
  <c r="BT270" i="1"/>
  <c r="T261" i="1"/>
  <c r="BX251" i="1"/>
  <c r="X242" i="1"/>
  <c r="CB232" i="1"/>
  <c r="AB223" i="1"/>
  <c r="CF213" i="1"/>
  <c r="AF204" i="1"/>
  <c r="CJ194" i="1"/>
  <c r="AJ185" i="1"/>
  <c r="BJ385" i="1"/>
  <c r="O335" i="1"/>
  <c r="AQ308" i="1"/>
  <c r="CU298" i="1"/>
  <c r="AU289" i="1"/>
  <c r="CY279" i="1"/>
  <c r="AY270" i="1"/>
  <c r="DC260" i="1"/>
  <c r="BC251" i="1"/>
  <c r="DG241" i="1"/>
  <c r="BG232" i="1"/>
  <c r="G223" i="1"/>
  <c r="BK213" i="1"/>
  <c r="K204" i="1"/>
  <c r="BO194" i="1"/>
  <c r="AP396" i="1"/>
  <c r="DG314" i="1"/>
  <c r="AN303" i="1"/>
  <c r="CR293" i="1"/>
  <c r="AR284" i="1"/>
  <c r="CV274" i="1"/>
  <c r="AV265" i="1"/>
  <c r="CZ255" i="1"/>
  <c r="AZ246" i="1"/>
  <c r="DD236" i="1"/>
  <c r="BD227" i="1"/>
  <c r="DH217" i="1"/>
  <c r="BH208" i="1"/>
  <c r="H199" i="1"/>
  <c r="BL189" i="1"/>
  <c r="L180" i="1"/>
  <c r="CE352" i="1"/>
  <c r="CM314" i="1"/>
  <c r="AI303" i="1"/>
  <c r="CM293" i="1"/>
  <c r="AM284" i="1"/>
  <c r="CQ274" i="1"/>
  <c r="AQ265" i="1"/>
  <c r="CU255" i="1"/>
  <c r="AU246" i="1"/>
  <c r="CY236" i="1"/>
  <c r="AY227" i="1"/>
  <c r="DC217" i="1"/>
  <c r="BC208" i="1"/>
  <c r="H339" i="1"/>
  <c r="K344" i="1"/>
  <c r="U282" i="1"/>
  <c r="AC244" i="1"/>
  <c r="AK206" i="1"/>
  <c r="AQ444" i="1"/>
  <c r="BA326" i="1"/>
  <c r="AN364" i="1"/>
  <c r="AV326" i="1"/>
  <c r="AA368" i="1"/>
  <c r="U307" i="1"/>
  <c r="Y288" i="1"/>
  <c r="AC269" i="1"/>
  <c r="AG250" i="1"/>
  <c r="AK231" i="1"/>
  <c r="AO212" i="1"/>
  <c r="CE339" i="1"/>
  <c r="CB298" i="1"/>
  <c r="CF279" i="1"/>
  <c r="CJ260" i="1"/>
  <c r="CN241" i="1"/>
  <c r="CR222" i="1"/>
  <c r="CV203" i="1"/>
  <c r="CZ184" i="1"/>
  <c r="BS333" i="1"/>
  <c r="BG298" i="1"/>
  <c r="BK279" i="1"/>
  <c r="BO260" i="1"/>
  <c r="BS241" i="1"/>
  <c r="BW222" i="1"/>
  <c r="CA203" i="1"/>
  <c r="AG190" i="1"/>
  <c r="CN306" i="1"/>
  <c r="CR287" i="1"/>
  <c r="L270" i="1"/>
  <c r="BP260" i="1"/>
  <c r="P251" i="1"/>
  <c r="BT241" i="1"/>
  <c r="T232" i="1"/>
  <c r="BX222" i="1"/>
  <c r="X213" i="1"/>
  <c r="CB203" i="1"/>
  <c r="AB194" i="1"/>
  <c r="CF184" i="1"/>
  <c r="F379" i="1"/>
  <c r="BC333" i="1"/>
  <c r="DC307" i="1"/>
  <c r="BC298" i="1"/>
  <c r="DG288" i="1"/>
  <c r="BG279" i="1"/>
  <c r="G270" i="1"/>
  <c r="BK260" i="1"/>
  <c r="K251" i="1"/>
  <c r="BO241" i="1"/>
  <c r="O232" i="1"/>
  <c r="BS222" i="1"/>
  <c r="CB333" i="1"/>
  <c r="CE322" i="1"/>
  <c r="CO276" i="1"/>
  <c r="CW238" i="1"/>
  <c r="DE200" i="1"/>
  <c r="F363" i="1"/>
  <c r="Q321" i="1"/>
  <c r="DH358" i="1"/>
  <c r="AZ323" i="1"/>
  <c r="DC356" i="1"/>
  <c r="AO304" i="1"/>
  <c r="AS285" i="1"/>
  <c r="AW266" i="1"/>
  <c r="BA247" i="1"/>
  <c r="BE228" i="1"/>
  <c r="BI209" i="1"/>
  <c r="CI324" i="1"/>
  <c r="CV295" i="1"/>
  <c r="CZ276" i="1"/>
  <c r="DD257" i="1"/>
  <c r="DH238" i="1"/>
  <c r="H220" i="1"/>
  <c r="L201" i="1"/>
  <c r="P182" i="1"/>
  <c r="AQ322" i="1"/>
  <c r="CA295" i="1"/>
  <c r="CE276" i="1"/>
  <c r="CI257" i="1"/>
  <c r="CM238" i="1"/>
  <c r="CQ219" i="1"/>
  <c r="CU200" i="1"/>
  <c r="O477" i="1"/>
  <c r="DH303" i="1"/>
  <c r="H285" i="1"/>
  <c r="CF268" i="1"/>
  <c r="AF259" i="1"/>
  <c r="CJ249" i="1"/>
  <c r="AJ240" i="1"/>
  <c r="CN230" i="1"/>
  <c r="AN221" i="1"/>
  <c r="CR211" i="1"/>
  <c r="AR202" i="1"/>
  <c r="CV192" i="1"/>
  <c r="AV183" i="1"/>
  <c r="K366" i="1"/>
  <c r="S328" i="1"/>
  <c r="BS306" i="1"/>
  <c r="S297" i="1"/>
  <c r="BW287" i="1"/>
  <c r="W278" i="1"/>
  <c r="CA268" i="1"/>
  <c r="AA259" i="1"/>
  <c r="CE249" i="1"/>
  <c r="AE240" i="1"/>
  <c r="CI230" i="1"/>
  <c r="K448" i="1"/>
  <c r="BW346" i="1"/>
  <c r="AE311" i="1"/>
  <c r="CI301" i="1"/>
  <c r="AI292" i="1"/>
  <c r="CM282" i="1"/>
  <c r="AM273" i="1"/>
  <c r="CQ263" i="1"/>
  <c r="AQ254" i="1"/>
  <c r="CU244" i="1"/>
  <c r="AU235" i="1"/>
  <c r="CY225" i="1"/>
  <c r="AY216" i="1"/>
  <c r="DC206" i="1"/>
  <c r="BC197" i="1"/>
  <c r="AK203" i="1"/>
  <c r="CM349" i="1"/>
  <c r="L310" i="1"/>
  <c r="BP300" i="1"/>
  <c r="P291" i="1"/>
  <c r="BT281" i="1"/>
  <c r="T272" i="1"/>
  <c r="BS484" i="1"/>
  <c r="I390" i="1"/>
  <c r="CM395" i="1"/>
  <c r="BC423" i="1"/>
  <c r="M370" i="1"/>
  <c r="CV393" i="1"/>
  <c r="CM417" i="1"/>
  <c r="AU475" i="1"/>
  <c r="H387" i="1"/>
  <c r="O411" i="1"/>
  <c r="BG448" i="1"/>
  <c r="DB333" i="1"/>
  <c r="CS358" i="1"/>
  <c r="AY438" i="1"/>
  <c r="AL333" i="1"/>
  <c r="AC358" i="1"/>
  <c r="S478" i="1"/>
  <c r="DB347" i="1"/>
  <c r="CU454" i="1"/>
  <c r="M347" i="1"/>
  <c r="J316" i="1"/>
  <c r="AA448" i="1"/>
  <c r="BX346" i="1"/>
  <c r="CH391" i="1"/>
  <c r="CK289" i="1"/>
  <c r="CS251" i="1"/>
  <c r="DA213" i="1"/>
  <c r="R398" i="1"/>
  <c r="BS371" i="1"/>
  <c r="CD314" i="1"/>
  <c r="DI327" i="1"/>
  <c r="W483" i="1"/>
  <c r="CL387" i="1"/>
  <c r="DH360" i="1"/>
  <c r="AF348" i="1"/>
  <c r="BX335" i="1"/>
  <c r="L323" i="1"/>
  <c r="CT414" i="1"/>
  <c r="AI338" i="1"/>
  <c r="U309" i="1"/>
  <c r="BY299" i="1"/>
  <c r="Y290" i="1"/>
  <c r="CC280" i="1"/>
  <c r="AC271" i="1"/>
  <c r="CG261" i="1"/>
  <c r="AG252" i="1"/>
  <c r="CK242" i="1"/>
  <c r="AK233" i="1"/>
  <c r="CO223" i="1"/>
  <c r="AO214" i="1"/>
  <c r="CS204" i="1"/>
  <c r="AS195" i="1"/>
  <c r="CW185" i="1"/>
  <c r="BJ397" i="1"/>
  <c r="DG377" i="1"/>
  <c r="AX358" i="1"/>
  <c r="BF320" i="1"/>
  <c r="BM357" i="1"/>
  <c r="AK329" i="1"/>
  <c r="CO319" i="1"/>
  <c r="O473" i="1"/>
  <c r="CX398" i="1"/>
  <c r="CV366" i="1"/>
  <c r="AV357" i="1"/>
  <c r="AF321" i="1"/>
  <c r="AK302" i="1"/>
  <c r="AS264" i="1"/>
  <c r="BA226" i="1"/>
  <c r="BI188" i="1"/>
  <c r="AD313" i="1"/>
  <c r="AY446" i="1"/>
  <c r="BL346" i="1"/>
  <c r="AR317" i="1"/>
  <c r="BW332" i="1"/>
  <c r="AG298" i="1"/>
  <c r="AK279" i="1"/>
  <c r="AO260" i="1"/>
  <c r="AS241" i="1"/>
  <c r="AW222" i="1"/>
  <c r="Q198" i="1"/>
  <c r="CJ308" i="1"/>
  <c r="CN289" i="1"/>
  <c r="CR270" i="1"/>
  <c r="CV251" i="1"/>
  <c r="CZ232" i="1"/>
  <c r="DD213" i="1"/>
  <c r="DH194" i="1"/>
  <c r="N389" i="1"/>
  <c r="BO308" i="1"/>
  <c r="BS289" i="1"/>
  <c r="BW270" i="1"/>
  <c r="CA251" i="1"/>
  <c r="CE232" i="1"/>
  <c r="CI213" i="1"/>
  <c r="CM194" i="1"/>
  <c r="BO335" i="1"/>
  <c r="CZ297" i="1"/>
  <c r="DD278" i="1"/>
  <c r="BT265" i="1"/>
  <c r="T256" i="1"/>
  <c r="BX246" i="1"/>
  <c r="X237" i="1"/>
  <c r="CB227" i="1"/>
  <c r="AB218" i="1"/>
  <c r="CF208" i="1"/>
  <c r="AF199" i="1"/>
  <c r="CJ189" i="1"/>
  <c r="AJ180" i="1"/>
  <c r="BS353" i="1"/>
  <c r="CA315" i="1"/>
  <c r="BG303" i="1"/>
  <c r="G294" i="1"/>
  <c r="BK284" i="1"/>
  <c r="K275" i="1"/>
  <c r="BO265" i="1"/>
  <c r="O256" i="1"/>
  <c r="BS246" i="1"/>
  <c r="S237" i="1"/>
  <c r="BW227" i="1"/>
  <c r="W218" i="1"/>
  <c r="CA208" i="1"/>
  <c r="AA199" i="1"/>
  <c r="CE189" i="1"/>
  <c r="BS467" i="1"/>
  <c r="BG317" i="1"/>
  <c r="DD303" i="1"/>
  <c r="BD294" i="1"/>
  <c r="DH284" i="1"/>
  <c r="BH275" i="1"/>
  <c r="H266" i="1"/>
  <c r="BL256" i="1"/>
  <c r="L247" i="1"/>
  <c r="BP237" i="1"/>
  <c r="P228" i="1"/>
  <c r="BT218" i="1"/>
  <c r="T209" i="1"/>
  <c r="BX199" i="1"/>
  <c r="X190" i="1"/>
  <c r="CB180" i="1"/>
  <c r="BW354" i="1"/>
  <c r="CE316" i="1"/>
  <c r="CI303" i="1"/>
  <c r="AI294" i="1"/>
  <c r="CM284" i="1"/>
  <c r="AM275" i="1"/>
  <c r="CQ265" i="1"/>
  <c r="AQ256" i="1"/>
  <c r="CU246" i="1"/>
  <c r="AU237" i="1"/>
  <c r="CY227" i="1"/>
  <c r="AY218" i="1"/>
  <c r="DC208" i="1"/>
  <c r="BC199" i="1"/>
  <c r="CW195" i="1"/>
  <c r="CU339" i="1"/>
  <c r="AB308" i="1"/>
  <c r="CF298" i="1"/>
  <c r="AF289" i="1"/>
  <c r="CJ279" i="1"/>
  <c r="AJ270" i="1"/>
  <c r="CN260" i="1"/>
  <c r="AN251" i="1"/>
  <c r="CR241" i="1"/>
  <c r="AR232" i="1"/>
  <c r="CV222" i="1"/>
  <c r="AV213" i="1"/>
  <c r="CZ203" i="1"/>
  <c r="AZ194" i="1"/>
  <c r="DD184" i="1"/>
  <c r="BN382" i="1"/>
  <c r="AQ334" i="1"/>
  <c r="W308" i="1"/>
  <c r="CA298" i="1"/>
  <c r="AA289" i="1"/>
  <c r="CE279" i="1"/>
  <c r="AE270" i="1"/>
  <c r="CI260" i="1"/>
  <c r="AI251" i="1"/>
  <c r="CM241" i="1"/>
  <c r="AM232" i="1"/>
  <c r="CQ222" i="1"/>
  <c r="AQ213" i="1"/>
  <c r="CU203" i="1"/>
  <c r="AU194" i="1"/>
  <c r="CY184" i="1"/>
  <c r="G186" i="1"/>
  <c r="CP310" i="1"/>
  <c r="CX272" i="1"/>
  <c r="DF234" i="1"/>
  <c r="J197" i="1"/>
  <c r="AP174" i="1"/>
  <c r="AB356" i="1"/>
  <c r="AJ318" i="1"/>
  <c r="AO299" i="1"/>
  <c r="AW261" i="1"/>
  <c r="BE223" i="1"/>
  <c r="BM185" i="1"/>
  <c r="AL401" i="1"/>
  <c r="BF419" i="1"/>
  <c r="BP343" i="1"/>
  <c r="CF315" i="1"/>
  <c r="S326" i="1"/>
  <c r="BU296" i="1"/>
  <c r="BY277" i="1"/>
  <c r="CC258" i="1"/>
  <c r="CG239" i="1"/>
  <c r="CK220" i="1"/>
  <c r="BQ191" i="1"/>
  <c r="T307" i="1"/>
  <c r="X288" i="1"/>
  <c r="AB269" i="1"/>
  <c r="AF250" i="1"/>
  <c r="AJ231" i="1"/>
  <c r="AN212" i="1"/>
  <c r="AR193" i="1"/>
  <c r="AU367" i="1"/>
  <c r="DC306" i="1"/>
  <c r="DG287" i="1"/>
  <c r="G269" i="1"/>
  <c r="K250" i="1"/>
  <c r="O231" i="1"/>
  <c r="S212" i="1"/>
  <c r="W193" i="1"/>
  <c r="CQ326" i="1"/>
  <c r="AJ296" i="1"/>
  <c r="AN277" i="1"/>
  <c r="CV264" i="1"/>
  <c r="AV255" i="1"/>
  <c r="CZ245" i="1"/>
  <c r="AZ236" i="1"/>
  <c r="DD226" i="1"/>
  <c r="BD217" i="1"/>
  <c r="DH207" i="1"/>
  <c r="BH198" i="1"/>
  <c r="H189" i="1"/>
  <c r="BL179" i="1"/>
  <c r="BW350" i="1"/>
  <c r="CE312" i="1"/>
  <c r="CI302" i="1"/>
  <c r="AI293" i="1"/>
  <c r="CM283" i="1"/>
  <c r="AM274" i="1"/>
  <c r="CQ264" i="1"/>
  <c r="AQ255" i="1"/>
  <c r="CU245" i="1"/>
  <c r="AU236" i="1"/>
  <c r="CY226" i="1"/>
  <c r="AY217" i="1"/>
  <c r="DC207" i="1"/>
  <c r="BC198" i="1"/>
  <c r="DG188" i="1"/>
  <c r="AD389" i="1"/>
  <c r="BK314" i="1"/>
  <c r="AB303" i="1"/>
  <c r="CF293" i="1"/>
  <c r="AF284" i="1"/>
  <c r="CJ274" i="1"/>
  <c r="AJ265" i="1"/>
  <c r="CN255" i="1"/>
  <c r="AN246" i="1"/>
  <c r="CR236" i="1"/>
  <c r="AR227" i="1"/>
  <c r="CV217" i="1"/>
  <c r="AV208" i="1"/>
  <c r="CZ198" i="1"/>
  <c r="AZ189" i="1"/>
  <c r="DD179" i="1"/>
  <c r="CA351" i="1"/>
  <c r="CI313" i="1"/>
  <c r="G303" i="1"/>
  <c r="BK293" i="1"/>
  <c r="K284" i="1"/>
  <c r="BO274" i="1"/>
  <c r="O265" i="1"/>
  <c r="BS255" i="1"/>
  <c r="S246" i="1"/>
  <c r="BW236" i="1"/>
  <c r="W227" i="1"/>
  <c r="CA217" i="1"/>
  <c r="AA208" i="1"/>
  <c r="CE198" i="1"/>
  <c r="DA192" i="1"/>
  <c r="G336" i="1"/>
  <c r="BD307" i="1"/>
  <c r="DH297" i="1"/>
  <c r="BH288" i="1"/>
  <c r="H279" i="1"/>
  <c r="BL269" i="1"/>
  <c r="L260" i="1"/>
  <c r="BP250" i="1"/>
  <c r="P241" i="1"/>
  <c r="BT231" i="1"/>
  <c r="T222" i="1"/>
  <c r="BX212" i="1"/>
  <c r="X203" i="1"/>
  <c r="CB193" i="1"/>
  <c r="AB184" i="1"/>
  <c r="CD370" i="1"/>
  <c r="AU331" i="1"/>
  <c r="AY307" i="1"/>
  <c r="DC297" i="1"/>
  <c r="BC288" i="1"/>
  <c r="DG278" i="1"/>
  <c r="BG269" i="1"/>
  <c r="G260" i="1"/>
  <c r="BK250" i="1"/>
  <c r="K241" i="1"/>
  <c r="BO231" i="1"/>
  <c r="O222" i="1"/>
  <c r="BS212" i="1"/>
  <c r="BT355" i="1"/>
  <c r="CB317" i="1"/>
  <c r="CG298" i="1"/>
  <c r="CO260" i="1"/>
  <c r="CW222" i="1"/>
  <c r="DE184" i="1"/>
  <c r="CP391" i="1"/>
  <c r="R417" i="1"/>
  <c r="DH342" i="1"/>
  <c r="BP315" i="1"/>
  <c r="BK325" i="1"/>
  <c r="BE296" i="1"/>
  <c r="BI277" i="1"/>
  <c r="BM258" i="1"/>
  <c r="BQ239" i="1"/>
  <c r="BU220" i="1"/>
  <c r="DI190" i="1"/>
  <c r="DH306" i="1"/>
  <c r="H288" i="1"/>
  <c r="L269" i="1"/>
  <c r="P250" i="1"/>
  <c r="T231" i="1"/>
  <c r="X212" i="1"/>
  <c r="AB193" i="1"/>
  <c r="CM366" i="1"/>
  <c r="CM306" i="1"/>
  <c r="CQ287" i="1"/>
  <c r="CU268" i="1"/>
  <c r="CY249" i="1"/>
  <c r="DC230" i="1"/>
  <c r="DG211" i="1"/>
  <c r="G193" i="1"/>
  <c r="O326" i="1"/>
  <c r="T296" i="1"/>
  <c r="X277" i="1"/>
  <c r="CF264" i="1"/>
  <c r="AF255" i="1"/>
  <c r="CJ245" i="1"/>
  <c r="AJ236" i="1"/>
  <c r="CN226" i="1"/>
  <c r="AN217" i="1"/>
  <c r="CR207" i="1"/>
  <c r="AR198" i="1"/>
  <c r="CV188" i="1"/>
  <c r="AV179" i="1"/>
  <c r="K350" i="1"/>
  <c r="W312" i="1"/>
  <c r="BS302" i="1"/>
  <c r="S293" i="1"/>
  <c r="BW283" i="1"/>
  <c r="W274" i="1"/>
  <c r="CA264" i="1"/>
  <c r="AA255" i="1"/>
  <c r="CE245" i="1"/>
  <c r="AE236" i="1"/>
  <c r="CI226" i="1"/>
  <c r="AJ350" i="1"/>
  <c r="AR312" i="1"/>
  <c r="AW293" i="1"/>
  <c r="BE255" i="1"/>
  <c r="BM217" i="1"/>
  <c r="BU179" i="1"/>
  <c r="AG353" i="1"/>
  <c r="CL395" i="1"/>
  <c r="BX337" i="1"/>
  <c r="CJ312" i="1"/>
  <c r="AI314" i="1"/>
  <c r="BY293" i="1"/>
  <c r="CC274" i="1"/>
  <c r="CG255" i="1"/>
  <c r="CK236" i="1"/>
  <c r="CO217" i="1"/>
  <c r="CG179" i="1"/>
  <c r="X304" i="1"/>
  <c r="AB285" i="1"/>
  <c r="AF266" i="1"/>
  <c r="AJ247" i="1"/>
  <c r="AN228" i="1"/>
  <c r="AR209" i="1"/>
  <c r="AV190" i="1"/>
  <c r="BK355" i="1"/>
  <c r="DG303" i="1"/>
  <c r="G285" i="1"/>
  <c r="K266" i="1"/>
  <c r="O247" i="1"/>
  <c r="S228" i="1"/>
  <c r="W209" i="1"/>
  <c r="AA190" i="1"/>
  <c r="CY312" i="1"/>
  <c r="AN293" i="1"/>
  <c r="AR274" i="1"/>
  <c r="AV263" i="1"/>
  <c r="CZ253" i="1"/>
  <c r="AZ244" i="1"/>
  <c r="DD234" i="1"/>
  <c r="BD225" i="1"/>
  <c r="DH215" i="1"/>
  <c r="BH206" i="1"/>
  <c r="H197" i="1"/>
  <c r="BL187" i="1"/>
  <c r="AK424" i="1"/>
  <c r="CE344" i="1"/>
  <c r="CI310" i="1"/>
  <c r="AI301" i="1"/>
  <c r="CM291" i="1"/>
  <c r="AM282" i="1"/>
  <c r="CQ272" i="1"/>
  <c r="AQ263" i="1"/>
  <c r="CU253" i="1"/>
  <c r="AU244" i="1"/>
  <c r="CY234" i="1"/>
  <c r="AY225" i="1"/>
  <c r="DC215" i="1"/>
  <c r="BC206" i="1"/>
  <c r="DG196" i="1"/>
  <c r="BG187" i="1"/>
  <c r="S359" i="1"/>
  <c r="AB311" i="1"/>
  <c r="CF301" i="1"/>
  <c r="AF292" i="1"/>
  <c r="CJ282" i="1"/>
  <c r="AJ273" i="1"/>
  <c r="CN263" i="1"/>
  <c r="AN254" i="1"/>
  <c r="CR244" i="1"/>
  <c r="AR235" i="1"/>
  <c r="CV225" i="1"/>
  <c r="AV216" i="1"/>
  <c r="CZ206" i="1"/>
  <c r="AZ197" i="1"/>
  <c r="DD187" i="1"/>
  <c r="CQ433" i="1"/>
  <c r="CI345" i="1"/>
  <c r="G311" i="1"/>
  <c r="BK301" i="1"/>
  <c r="K292" i="1"/>
  <c r="BO282" i="1"/>
  <c r="O273" i="1"/>
  <c r="BS263" i="1"/>
  <c r="S254" i="1"/>
  <c r="BW244" i="1"/>
  <c r="W235" i="1"/>
  <c r="CA225" i="1"/>
  <c r="AA216" i="1"/>
  <c r="CE206" i="1"/>
  <c r="AE197" i="1"/>
  <c r="AQ211" i="1"/>
  <c r="AY331" i="1"/>
  <c r="X278" i="1"/>
  <c r="AF240" i="1"/>
  <c r="AN202" i="1"/>
  <c r="AU327" i="1"/>
  <c r="DG277" i="1"/>
  <c r="K240" i="1"/>
  <c r="S202" i="1"/>
  <c r="CM321" i="1"/>
  <c r="AN295" i="1"/>
  <c r="AR276" i="1"/>
  <c r="AV257" i="1"/>
  <c r="AZ238" i="1"/>
  <c r="BD219" i="1"/>
  <c r="BH200" i="1"/>
  <c r="BL181" i="1"/>
  <c r="CE320" i="1"/>
  <c r="AI295" i="1"/>
  <c r="AM276" i="1"/>
  <c r="AQ257" i="1"/>
  <c r="AU238" i="1"/>
  <c r="AY219" i="1"/>
  <c r="AQ201" i="1"/>
  <c r="CI188" i="1"/>
  <c r="O187" i="1"/>
  <c r="CH300" i="1"/>
  <c r="AT250" i="1"/>
  <c r="F200" i="1"/>
  <c r="BD180" i="1"/>
  <c r="CI353" i="1"/>
  <c r="CQ315" i="1"/>
  <c r="BK303" i="1"/>
  <c r="K294" i="1"/>
  <c r="BO284" i="1"/>
  <c r="O275" i="1"/>
  <c r="BS265" i="1"/>
  <c r="S256" i="1"/>
  <c r="BW246" i="1"/>
  <c r="W237" i="1"/>
  <c r="CA227" i="1"/>
  <c r="AA218" i="1"/>
  <c r="CE208" i="1"/>
  <c r="AE199" i="1"/>
  <c r="CI189" i="1"/>
  <c r="G364" i="1"/>
  <c r="CR311" i="1"/>
  <c r="AR302" i="1"/>
  <c r="CV292" i="1"/>
  <c r="AV283" i="1"/>
  <c r="CZ273" i="1"/>
  <c r="AS421" i="1"/>
  <c r="BE418" i="1"/>
  <c r="CA424" i="1"/>
  <c r="CQ452" i="1"/>
  <c r="BM379" i="1"/>
  <c r="AR403" i="1"/>
  <c r="CI430" i="1"/>
  <c r="AW372" i="1"/>
  <c r="BH396" i="1"/>
  <c r="BO420" i="1"/>
  <c r="AI375" i="1"/>
  <c r="AX343" i="1"/>
  <c r="AO368" i="1"/>
  <c r="DC374" i="1"/>
  <c r="CL342" i="1"/>
  <c r="CC367" i="1"/>
  <c r="BS374" i="1"/>
  <c r="J355" i="1"/>
  <c r="R317" i="1"/>
  <c r="Y354" i="1"/>
  <c r="BF344" i="1"/>
  <c r="Y316" i="1"/>
  <c r="CJ353" i="1"/>
  <c r="CR315" i="1"/>
  <c r="CW296" i="1"/>
  <c r="DE258" i="1"/>
  <c r="I221" i="1"/>
  <c r="Q183" i="1"/>
  <c r="AI386" i="1"/>
  <c r="DB328" i="1"/>
  <c r="BM331" i="1"/>
  <c r="AO313" i="1"/>
  <c r="AH397" i="1"/>
  <c r="AR363" i="1"/>
  <c r="BT350" i="1"/>
  <c r="H338" i="1"/>
  <c r="AZ325" i="1"/>
  <c r="CB312" i="1"/>
  <c r="AU345" i="1"/>
  <c r="DA310" i="1"/>
  <c r="BA301" i="1"/>
  <c r="DE291" i="1"/>
  <c r="BE282" i="1"/>
  <c r="DI272" i="1"/>
  <c r="BI263" i="1"/>
  <c r="I254" i="1"/>
  <c r="BM244" i="1"/>
  <c r="M235" i="1"/>
  <c r="BQ225" i="1"/>
  <c r="Q216" i="1"/>
  <c r="BU206" i="1"/>
  <c r="U197" i="1"/>
  <c r="BY187" i="1"/>
  <c r="U428" i="1"/>
  <c r="AI385" i="1"/>
  <c r="BJ365" i="1"/>
  <c r="BR327" i="1"/>
  <c r="BY364" i="1"/>
  <c r="M331" i="1"/>
  <c r="BQ321" i="1"/>
  <c r="Q312" i="1"/>
  <c r="F406" i="1"/>
  <c r="BX368" i="1"/>
  <c r="X359" i="1"/>
  <c r="AR328" i="1"/>
  <c r="AW309" i="1"/>
  <c r="BE271" i="1"/>
  <c r="BM233" i="1"/>
  <c r="BU195" i="1"/>
  <c r="BZ341" i="1"/>
  <c r="CK315" i="1"/>
  <c r="BX353" i="1"/>
  <c r="CZ320" i="1"/>
  <c r="CU346" i="1"/>
  <c r="CO301" i="1"/>
  <c r="CS282" i="1"/>
  <c r="CW263" i="1"/>
  <c r="DA244" i="1"/>
  <c r="DE225" i="1"/>
  <c r="DI206" i="1"/>
  <c r="K313" i="1"/>
  <c r="AR293" i="1"/>
  <c r="AV274" i="1"/>
  <c r="AZ255" i="1"/>
  <c r="BD236" i="1"/>
  <c r="BH217" i="1"/>
  <c r="BL198" i="1"/>
  <c r="BP179" i="1"/>
  <c r="AI312" i="1"/>
  <c r="W293" i="1"/>
  <c r="AA274" i="1"/>
  <c r="AE255" i="1"/>
  <c r="AI236" i="1"/>
  <c r="AM217" i="1"/>
  <c r="AQ198" i="1"/>
  <c r="CY356" i="1"/>
  <c r="BD301" i="1"/>
  <c r="BH282" i="1"/>
  <c r="AV267" i="1"/>
  <c r="CZ257" i="1"/>
  <c r="AZ248" i="1"/>
  <c r="DD238" i="1"/>
  <c r="BD229" i="1"/>
  <c r="DH219" i="1"/>
  <c r="BH210" i="1"/>
  <c r="H201" i="1"/>
  <c r="BL191" i="1"/>
  <c r="L182" i="1"/>
  <c r="CE360" i="1"/>
  <c r="CM322" i="1"/>
  <c r="AI305" i="1"/>
  <c r="CM295" i="1"/>
  <c r="AM286" i="1"/>
  <c r="CQ276" i="1"/>
  <c r="AQ267" i="1"/>
  <c r="CU257" i="1"/>
  <c r="AU248" i="1"/>
  <c r="CY238" i="1"/>
  <c r="AY229" i="1"/>
  <c r="DC219" i="1"/>
  <c r="BC210" i="1"/>
  <c r="DG200" i="1"/>
  <c r="BG191" i="1"/>
  <c r="DE185" i="1"/>
  <c r="CA326" i="1"/>
  <c r="CF305" i="1"/>
  <c r="AF296" i="1"/>
  <c r="CJ286" i="1"/>
  <c r="AJ277" i="1"/>
  <c r="CN267" i="1"/>
  <c r="AN258" i="1"/>
  <c r="CR248" i="1"/>
  <c r="AR239" i="1"/>
  <c r="CV229" i="1"/>
  <c r="AV220" i="1"/>
  <c r="CZ210" i="1"/>
  <c r="AZ201" i="1"/>
  <c r="DD191" i="1"/>
  <c r="BD182" i="1"/>
  <c r="CI361" i="1"/>
  <c r="CQ323" i="1"/>
  <c r="BK305" i="1"/>
  <c r="K296" i="1"/>
  <c r="BO286" i="1"/>
  <c r="O277" i="1"/>
  <c r="BS267" i="1"/>
  <c r="S258" i="1"/>
  <c r="BW248" i="1"/>
  <c r="W239" i="1"/>
  <c r="CA229" i="1"/>
  <c r="AA220" i="1"/>
  <c r="CE210" i="1"/>
  <c r="AE201" i="1"/>
  <c r="DI202" i="1"/>
  <c r="AQ349" i="1"/>
  <c r="DH309" i="1"/>
  <c r="BH300" i="1"/>
  <c r="H291" i="1"/>
  <c r="BL281" i="1"/>
  <c r="L272" i="1"/>
  <c r="BP262" i="1"/>
  <c r="P253" i="1"/>
  <c r="BT243" i="1"/>
  <c r="T234" i="1"/>
  <c r="BX224" i="1"/>
  <c r="X215" i="1"/>
  <c r="CB205" i="1"/>
  <c r="AB196" i="1"/>
  <c r="CF186" i="1"/>
  <c r="F411" i="1"/>
  <c r="BC341" i="1"/>
  <c r="DC309" i="1"/>
  <c r="BC300" i="1"/>
  <c r="DG290" i="1"/>
  <c r="BG281" i="1"/>
  <c r="G272" i="1"/>
  <c r="BK262" i="1"/>
  <c r="K253" i="1"/>
  <c r="BO243" i="1"/>
  <c r="O234" i="1"/>
  <c r="BS224" i="1"/>
  <c r="S215" i="1"/>
  <c r="BW205" i="1"/>
  <c r="W196" i="1"/>
  <c r="CA186" i="1"/>
  <c r="CQ189" i="1"/>
  <c r="BG335" i="1"/>
  <c r="F280" i="1"/>
  <c r="N242" i="1"/>
  <c r="V204" i="1"/>
  <c r="R176" i="1"/>
  <c r="BV166" i="1"/>
  <c r="AV325" i="1"/>
  <c r="BA306" i="1"/>
  <c r="BI268" i="1"/>
  <c r="BQ230" i="1"/>
  <c r="BY192" i="1"/>
  <c r="CP329" i="1"/>
  <c r="CO312" i="1"/>
  <c r="CB350" i="1"/>
  <c r="AJ319" i="1"/>
  <c r="AQ340" i="1"/>
  <c r="Y300" i="1"/>
  <c r="AC281" i="1"/>
  <c r="AG262" i="1"/>
  <c r="AK243" i="1"/>
  <c r="AO224" i="1"/>
  <c r="AS205" i="1"/>
  <c r="CB310" i="1"/>
  <c r="CF291" i="1"/>
  <c r="CJ272" i="1"/>
  <c r="CN253" i="1"/>
  <c r="CR234" i="1"/>
  <c r="CV215" i="1"/>
  <c r="CZ196" i="1"/>
  <c r="CX419" i="1"/>
  <c r="BG310" i="1"/>
  <c r="BK291" i="1"/>
  <c r="BO272" i="1"/>
  <c r="BS253" i="1"/>
  <c r="BW234" i="1"/>
  <c r="CA215" i="1"/>
  <c r="CE196" i="1"/>
  <c r="CM345" i="1"/>
  <c r="CR299" i="1"/>
  <c r="CV280" i="1"/>
  <c r="BX266" i="1"/>
  <c r="X257" i="1"/>
  <c r="CB247" i="1"/>
  <c r="AB238" i="1"/>
  <c r="CF228" i="1"/>
  <c r="AF219" i="1"/>
  <c r="CJ209" i="1"/>
  <c r="AJ200" i="1"/>
  <c r="CN190" i="1"/>
  <c r="AN181" i="1"/>
  <c r="CI357" i="1"/>
  <c r="CQ319" i="1"/>
  <c r="BK304" i="1"/>
  <c r="K295" i="1"/>
  <c r="BO285" i="1"/>
  <c r="O276" i="1"/>
  <c r="BS266" i="1"/>
  <c r="S257" i="1"/>
  <c r="BW247" i="1"/>
  <c r="W238" i="1"/>
  <c r="CA228" i="1"/>
  <c r="AA219" i="1"/>
  <c r="CE209" i="1"/>
  <c r="AE200" i="1"/>
  <c r="CI190" i="1"/>
  <c r="DI182" i="1"/>
  <c r="CA322" i="1"/>
  <c r="DH304" i="1"/>
  <c r="BH295" i="1"/>
  <c r="H286" i="1"/>
  <c r="BL276" i="1"/>
  <c r="L267" i="1"/>
  <c r="BP257" i="1"/>
  <c r="P248" i="1"/>
  <c r="BT238" i="1"/>
  <c r="T229" i="1"/>
  <c r="BX219" i="1"/>
  <c r="X210" i="1"/>
  <c r="CB200" i="1"/>
  <c r="AB191" i="1"/>
  <c r="CF181" i="1"/>
  <c r="CM358" i="1"/>
  <c r="CU320" i="1"/>
  <c r="CM304" i="1"/>
  <c r="AM295" i="1"/>
  <c r="CQ285" i="1"/>
  <c r="AQ276" i="1"/>
  <c r="CU266" i="1"/>
  <c r="AU257" i="1"/>
  <c r="CY247" i="1"/>
  <c r="AY238" i="1"/>
  <c r="DC228" i="1"/>
  <c r="BC219" i="1"/>
  <c r="DG209" i="1"/>
  <c r="BG200" i="1"/>
  <c r="I200" i="1"/>
  <c r="BG345" i="1"/>
  <c r="AF309" i="1"/>
  <c r="CJ299" i="1"/>
  <c r="AJ290" i="1"/>
  <c r="CN280" i="1"/>
  <c r="AN271" i="1"/>
  <c r="CR261" i="1"/>
  <c r="AR252" i="1"/>
  <c r="CV242" i="1"/>
  <c r="AV233" i="1"/>
  <c r="CZ223" i="1"/>
  <c r="AZ214" i="1"/>
  <c r="DD204" i="1"/>
  <c r="BD195" i="1"/>
  <c r="DH185" i="1"/>
  <c r="V399" i="1"/>
  <c r="BG338" i="1"/>
  <c r="AA309" i="1"/>
  <c r="CE299" i="1"/>
  <c r="AE290" i="1"/>
  <c r="CI280" i="1"/>
  <c r="AI271" i="1"/>
  <c r="CM261" i="1"/>
  <c r="AM252" i="1"/>
  <c r="CQ242" i="1"/>
  <c r="AQ233" i="1"/>
  <c r="CU223" i="1"/>
  <c r="AU214" i="1"/>
  <c r="CY204" i="1"/>
  <c r="CN324" i="1"/>
  <c r="CS305" i="1"/>
  <c r="DA267" i="1"/>
  <c r="DI229" i="1"/>
  <c r="M192" i="1"/>
  <c r="BB327" i="1"/>
  <c r="AC312" i="1"/>
  <c r="P350" i="1"/>
  <c r="T319" i="1"/>
  <c r="CI339" i="1"/>
  <c r="I300" i="1"/>
  <c r="M281" i="1"/>
  <c r="Q262" i="1"/>
  <c r="U243" i="1"/>
  <c r="Y224" i="1"/>
  <c r="AC205" i="1"/>
  <c r="BL310" i="1"/>
  <c r="BP291" i="1"/>
  <c r="BT272" i="1"/>
  <c r="BX253" i="1"/>
  <c r="CB234" i="1"/>
  <c r="CF215" i="1"/>
  <c r="CJ196" i="1"/>
  <c r="BJ417" i="1"/>
  <c r="AQ310" i="1"/>
  <c r="AU291" i="1"/>
  <c r="AY272" i="1"/>
  <c r="BC253" i="1"/>
  <c r="BG234" i="1"/>
  <c r="BK215" i="1"/>
  <c r="BO196" i="1"/>
  <c r="K345" i="1"/>
  <c r="CB299" i="1"/>
  <c r="CF280" i="1"/>
  <c r="BH266" i="1"/>
  <c r="H257" i="1"/>
  <c r="BL247" i="1"/>
  <c r="L238" i="1"/>
  <c r="BP228" i="1"/>
  <c r="P219" i="1"/>
  <c r="BT209" i="1"/>
  <c r="T200" i="1"/>
  <c r="BX190" i="1"/>
  <c r="X181" i="1"/>
  <c r="W357" i="1"/>
  <c r="AE319" i="1"/>
  <c r="AU304" i="1"/>
  <c r="CY294" i="1"/>
  <c r="AY285" i="1"/>
  <c r="DC275" i="1"/>
  <c r="BC266" i="1"/>
  <c r="DG256" i="1"/>
  <c r="BG247" i="1"/>
  <c r="G238" i="1"/>
  <c r="BK228" i="1"/>
  <c r="K219" i="1"/>
  <c r="BD319" i="1"/>
  <c r="BI300" i="1"/>
  <c r="BQ262" i="1"/>
  <c r="BY224" i="1"/>
  <c r="CG186" i="1"/>
  <c r="AH420" i="1"/>
  <c r="BY424" i="1"/>
  <c r="CJ344" i="1"/>
  <c r="AN316" i="1"/>
  <c r="BG328" i="1"/>
  <c r="AC297" i="1"/>
  <c r="AG278" i="1"/>
  <c r="AK259" i="1"/>
  <c r="AO240" i="1"/>
  <c r="AS221" i="1"/>
  <c r="DE193" i="1"/>
  <c r="CF307" i="1"/>
  <c r="CJ288" i="1"/>
  <c r="CN269" i="1"/>
  <c r="CR250" i="1"/>
  <c r="CV231" i="1"/>
  <c r="CZ212" i="1"/>
  <c r="DD193" i="1"/>
  <c r="BF372" i="1"/>
  <c r="BK307" i="1"/>
  <c r="BO288" i="1"/>
  <c r="BS269" i="1"/>
  <c r="BW250" i="1"/>
  <c r="CA231" i="1"/>
  <c r="CE212" i="1"/>
  <c r="CI193" i="1"/>
  <c r="O330" i="1"/>
  <c r="CV296" i="1"/>
  <c r="CZ277" i="1"/>
  <c r="X265" i="1"/>
  <c r="CB255" i="1"/>
  <c r="AB246" i="1"/>
  <c r="CF236" i="1"/>
  <c r="AF227" i="1"/>
  <c r="CJ217" i="1"/>
  <c r="AJ208" i="1"/>
  <c r="CN198" i="1"/>
  <c r="AN189" i="1"/>
  <c r="CR179" i="1"/>
  <c r="CQ351" i="1"/>
  <c r="CY313" i="1"/>
  <c r="K303" i="1"/>
  <c r="BO293" i="1"/>
  <c r="O284" i="1"/>
  <c r="BS274" i="1"/>
  <c r="S265" i="1"/>
  <c r="BW255" i="1"/>
  <c r="W246" i="1"/>
  <c r="CA236" i="1"/>
  <c r="AA227" i="1"/>
  <c r="CE217" i="1"/>
  <c r="AE208" i="1"/>
  <c r="CI198" i="1"/>
  <c r="AI189" i="1"/>
  <c r="Z408" i="1"/>
  <c r="CE315" i="1"/>
  <c r="BH303" i="1"/>
  <c r="H294" i="1"/>
  <c r="BL284" i="1"/>
  <c r="L275" i="1"/>
  <c r="BP265" i="1"/>
  <c r="P256" i="1"/>
  <c r="BT246" i="1"/>
  <c r="T237" i="1"/>
  <c r="BX227" i="1"/>
  <c r="X218" i="1"/>
  <c r="CB208" i="1"/>
  <c r="AB199" i="1"/>
  <c r="CF189" i="1"/>
  <c r="AF180" i="1"/>
  <c r="CU352" i="1"/>
  <c r="DC314" i="1"/>
  <c r="AM303" i="1"/>
  <c r="CQ293" i="1"/>
  <c r="AQ284" i="1"/>
  <c r="CU274" i="1"/>
  <c r="AU265" i="1"/>
  <c r="CY255" i="1"/>
  <c r="AY246" i="1"/>
  <c r="DC236" i="1"/>
  <c r="BC227" i="1"/>
  <c r="DG217" i="1"/>
  <c r="BG208" i="1"/>
  <c r="G199" i="1"/>
  <c r="BC218" i="1"/>
  <c r="I180" i="1"/>
  <c r="AJ285" i="1"/>
  <c r="AR247" i="1"/>
  <c r="AZ209" i="1"/>
  <c r="CQ355" i="1"/>
  <c r="O285" i="1"/>
  <c r="W247" i="1"/>
  <c r="AE209" i="1"/>
  <c r="CI340" i="1"/>
  <c r="CV298" i="1"/>
  <c r="CZ279" i="1"/>
  <c r="DD260" i="1"/>
  <c r="DH241" i="1"/>
  <c r="H223" i="1"/>
  <c r="L204" i="1"/>
  <c r="P185" i="1"/>
  <c r="DC334" i="1"/>
  <c r="CQ298" i="1"/>
  <c r="CU279" i="1"/>
  <c r="CY260" i="1"/>
  <c r="DC241" i="1"/>
  <c r="DG222" i="1"/>
  <c r="G204" i="1"/>
  <c r="S191" i="1"/>
  <c r="J380" i="1"/>
  <c r="AD310" i="1"/>
  <c r="CT259" i="1"/>
  <c r="BF209" i="1"/>
  <c r="Z174" i="1"/>
  <c r="BF162" i="1"/>
  <c r="F153" i="1"/>
  <c r="BJ143" i="1"/>
  <c r="J134" i="1"/>
  <c r="W214" i="1"/>
  <c r="AU346" i="1"/>
  <c r="DH280" i="1"/>
  <c r="L243" i="1"/>
  <c r="T205" i="1"/>
  <c r="BW338" i="1"/>
  <c r="CM280" i="1"/>
  <c r="CU242" i="1"/>
  <c r="DC204" i="1"/>
  <c r="L271" i="1"/>
  <c r="CU270" i="1"/>
  <c r="CJ291" i="1"/>
  <c r="CZ215" i="1"/>
  <c r="CE291" i="1"/>
  <c r="CU215" i="1"/>
  <c r="AH291" i="1"/>
  <c r="BR165" i="1"/>
  <c r="BF146" i="1"/>
  <c r="BJ127" i="1"/>
  <c r="J118" i="1"/>
  <c r="BN108" i="1"/>
  <c r="N99" i="1"/>
  <c r="BR89" i="1"/>
  <c r="R80" i="1"/>
  <c r="BV70" i="1"/>
  <c r="Z310" i="1"/>
  <c r="AH272" i="1"/>
  <c r="AP234" i="1"/>
  <c r="AX196" i="1"/>
  <c r="Y174" i="1"/>
  <c r="CC164" i="1"/>
  <c r="AC155" i="1"/>
  <c r="CG145" i="1"/>
  <c r="AG136" i="1"/>
  <c r="CK126" i="1"/>
  <c r="AK117" i="1"/>
  <c r="CO107" i="1"/>
  <c r="AO98" i="1"/>
  <c r="CS88" i="1"/>
  <c r="AS79" i="1"/>
  <c r="AA184" i="1"/>
  <c r="AP305" i="1"/>
  <c r="AX267" i="1"/>
  <c r="BF229" i="1"/>
  <c r="BN191" i="1"/>
  <c r="DF172" i="1"/>
  <c r="BF163" i="1"/>
  <c r="F154" i="1"/>
  <c r="BJ144" i="1"/>
  <c r="J135" i="1"/>
  <c r="BN125" i="1"/>
  <c r="N116" i="1"/>
  <c r="BR106" i="1"/>
  <c r="R97" i="1"/>
  <c r="BV87" i="1"/>
  <c r="V78" i="1"/>
  <c r="BZ68" i="1"/>
  <c r="DB302" i="1"/>
  <c r="F265" i="1"/>
  <c r="N227" i="1"/>
  <c r="V189" i="1"/>
  <c r="AS172" i="1"/>
  <c r="CW162" i="1"/>
  <c r="AW153" i="1"/>
  <c r="DA143" i="1"/>
  <c r="BA134" i="1"/>
  <c r="DE124" i="1"/>
  <c r="BE115" i="1"/>
  <c r="DI105" i="1"/>
  <c r="BI96" i="1"/>
  <c r="I87" i="1"/>
  <c r="BM77" i="1"/>
  <c r="DC183" i="1"/>
  <c r="BR304" i="1"/>
  <c r="BZ266" i="1"/>
  <c r="CH228" i="1"/>
  <c r="CP190" i="1"/>
  <c r="CL172" i="1"/>
  <c r="AL163" i="1"/>
  <c r="CP153" i="1"/>
  <c r="AP144" i="1"/>
  <c r="CT134" i="1"/>
  <c r="AT125" i="1"/>
  <c r="CX115" i="1"/>
  <c r="AX106" i="1"/>
  <c r="DB96" i="1"/>
  <c r="BB87" i="1"/>
  <c r="DF77" i="1"/>
  <c r="BF68" i="1"/>
  <c r="Z302" i="1"/>
  <c r="AH264" i="1"/>
  <c r="AP226" i="1"/>
  <c r="AX188" i="1"/>
  <c r="Y172" i="1"/>
  <c r="CC162" i="1"/>
  <c r="AC153" i="1"/>
  <c r="CG143" i="1"/>
  <c r="AG134" i="1"/>
  <c r="CK124" i="1"/>
  <c r="AK115" i="1"/>
  <c r="CO105" i="1"/>
  <c r="AO96" i="1"/>
  <c r="CS86" i="1"/>
  <c r="AS77" i="1"/>
  <c r="BK181" i="1"/>
  <c r="AP297" i="1"/>
  <c r="AX259" i="1"/>
  <c r="BF221" i="1"/>
  <c r="BN183" i="1"/>
  <c r="DF170" i="1"/>
  <c r="BF161" i="1"/>
  <c r="F152" i="1"/>
  <c r="BJ142" i="1"/>
  <c r="W194" i="1"/>
  <c r="CZ298" i="1"/>
  <c r="DH260" i="1"/>
  <c r="L223" i="1"/>
  <c r="T185" i="1"/>
  <c r="CE298" i="1"/>
  <c r="CM260" i="1"/>
  <c r="CU222" i="1"/>
  <c r="AC185" i="1"/>
  <c r="BL305" i="1"/>
  <c r="BP286" i="1"/>
  <c r="BT267" i="1"/>
  <c r="BX248" i="1"/>
  <c r="CB229" i="1"/>
  <c r="CF210" i="1"/>
  <c r="CJ191" i="1"/>
  <c r="BS361" i="1"/>
  <c r="BG305" i="1"/>
  <c r="BK286" i="1"/>
  <c r="BO267" i="1"/>
  <c r="BS248" i="1"/>
  <c r="BW229" i="1"/>
  <c r="CA210" i="1"/>
  <c r="CE195" i="1"/>
  <c r="DG182" i="1"/>
  <c r="AQ440" i="1"/>
  <c r="AD278" i="1"/>
  <c r="AH227" i="1"/>
  <c r="CL178" i="1"/>
  <c r="Z166" i="1"/>
  <c r="AX156" i="1"/>
  <c r="DB146" i="1"/>
  <c r="BB137" i="1"/>
  <c r="DF127" i="1"/>
  <c r="BF118" i="1"/>
  <c r="F109" i="1"/>
  <c r="BJ99" i="1"/>
  <c r="J90" i="1"/>
  <c r="BN80" i="1"/>
  <c r="N71" i="1"/>
  <c r="DF311" i="1"/>
  <c r="J274" i="1"/>
  <c r="R236" i="1"/>
  <c r="Z198" i="1"/>
  <c r="BU174" i="1"/>
  <c r="U165" i="1"/>
  <c r="BY155" i="1"/>
  <c r="Y146" i="1"/>
  <c r="CC136" i="1"/>
  <c r="AC127" i="1"/>
  <c r="CG117" i="1"/>
  <c r="AG108" i="1"/>
  <c r="CK98" i="1"/>
  <c r="AK89" i="1"/>
  <c r="CO79" i="1"/>
  <c r="CM184" i="1"/>
  <c r="R307" i="1"/>
  <c r="Z269" i="1"/>
  <c r="AH231" i="1"/>
  <c r="AP193" i="1"/>
  <c r="AX173" i="1"/>
  <c r="DB163" i="1"/>
  <c r="BB154" i="1"/>
  <c r="DF144" i="1"/>
  <c r="BF135" i="1"/>
  <c r="F126" i="1"/>
  <c r="BJ116" i="1"/>
  <c r="J107" i="1"/>
  <c r="BN97" i="1"/>
  <c r="N88" i="1"/>
  <c r="BR78" i="1"/>
  <c r="R69" i="1"/>
  <c r="CD304" i="1"/>
  <c r="CL266" i="1"/>
  <c r="CT228" i="1"/>
  <c r="DB190" i="1"/>
  <c r="CO172" i="1"/>
  <c r="AO163" i="1"/>
  <c r="CS153" i="1"/>
  <c r="AS144" i="1"/>
  <c r="CW134" i="1"/>
  <c r="BO193" i="1"/>
  <c r="AN298" i="1"/>
  <c r="AV260" i="1"/>
  <c r="BD222" i="1"/>
  <c r="BL184" i="1"/>
  <c r="S298" i="1"/>
  <c r="AA260" i="1"/>
  <c r="AI222" i="1"/>
  <c r="BU184" i="1"/>
  <c r="AV305" i="1"/>
  <c r="AZ286" i="1"/>
  <c r="BD267" i="1"/>
  <c r="BH248" i="1"/>
  <c r="BL229" i="1"/>
  <c r="BP210" i="1"/>
  <c r="BT191" i="1"/>
  <c r="G361" i="1"/>
  <c r="AQ305" i="1"/>
  <c r="AU286" i="1"/>
  <c r="AY267" i="1"/>
  <c r="BC248" i="1"/>
  <c r="BG229" i="1"/>
  <c r="BK210" i="1"/>
  <c r="AY195" i="1"/>
  <c r="CQ182" i="1"/>
  <c r="BR415" i="1"/>
  <c r="J277" i="1"/>
  <c r="BZ226" i="1"/>
  <c r="BV178" i="1"/>
  <c r="CX165" i="1"/>
  <c r="AH156" i="1"/>
  <c r="CL146" i="1"/>
  <c r="AL137" i="1"/>
  <c r="CP127" i="1"/>
  <c r="AP118" i="1"/>
  <c r="CT108" i="1"/>
  <c r="AT99" i="1"/>
  <c r="CX89" i="1"/>
  <c r="AX80" i="1"/>
  <c r="DB70" i="1"/>
  <c r="AT311" i="1"/>
  <c r="BB273" i="1"/>
  <c r="BJ235" i="1"/>
  <c r="BR197" i="1"/>
  <c r="BE174" i="1"/>
  <c r="DI164" i="1"/>
  <c r="BI155" i="1"/>
  <c r="I146" i="1"/>
  <c r="L225" i="1"/>
  <c r="T187" i="1"/>
  <c r="CE300" i="1"/>
  <c r="CM262" i="1"/>
  <c r="CU224" i="1"/>
  <c r="U199" i="1"/>
  <c r="L290" i="1"/>
  <c r="BI382" i="1"/>
  <c r="AV388" i="1"/>
  <c r="BS405" i="1"/>
  <c r="CP406" i="1"/>
  <c r="CL343" i="1"/>
  <c r="Z415" i="1"/>
  <c r="CC247" i="1"/>
  <c r="N419" i="1"/>
  <c r="BH359" i="1"/>
  <c r="BJ393" i="1"/>
  <c r="U289" i="1"/>
  <c r="AC251" i="1"/>
  <c r="AK213" i="1"/>
  <c r="DB380" i="1"/>
  <c r="AW353" i="1"/>
  <c r="CH394" i="1"/>
  <c r="AV337" i="1"/>
  <c r="BK337" i="1"/>
  <c r="BI280" i="1"/>
  <c r="BQ242" i="1"/>
  <c r="BY204" i="1"/>
  <c r="CH404" i="1"/>
  <c r="CO324" i="1"/>
  <c r="CB362" i="1"/>
  <c r="CJ324" i="1"/>
  <c r="BY305" i="1"/>
  <c r="CG267" i="1"/>
  <c r="CO229" i="1"/>
  <c r="CU331" i="1"/>
  <c r="AF278" i="1"/>
  <c r="AN240" i="1"/>
  <c r="AV202" i="1"/>
  <c r="BC406" i="1"/>
  <c r="AQ421" i="1"/>
  <c r="AQ369" i="1"/>
  <c r="CT336" i="1"/>
  <c r="BZ312" i="1"/>
  <c r="AN349" i="1"/>
  <c r="BQ216" i="1"/>
  <c r="CD470" i="1"/>
  <c r="T419" i="1"/>
  <c r="BK405" i="1"/>
  <c r="DD375" i="1"/>
  <c r="BT419" i="1"/>
  <c r="W393" i="1"/>
  <c r="DB357" i="1"/>
  <c r="CG424" i="1"/>
  <c r="CU391" i="1"/>
  <c r="AL357" i="1"/>
  <c r="CH421" i="1"/>
  <c r="AI390" i="1"/>
  <c r="CT365" i="1"/>
  <c r="DB327" i="1"/>
  <c r="DI364" i="1"/>
  <c r="BL544" i="1"/>
  <c r="DI326" i="1"/>
  <c r="BP364" i="1"/>
  <c r="BX326" i="1"/>
  <c r="CC307" i="1"/>
  <c r="CK269" i="1"/>
  <c r="CS231" i="1"/>
  <c r="DA193" i="1"/>
  <c r="O449" i="1"/>
  <c r="BI326" i="1"/>
  <c r="CN363" i="1"/>
  <c r="CV325" i="1"/>
  <c r="U397" i="1"/>
  <c r="AF396" i="1"/>
  <c r="BC413" i="1"/>
  <c r="BC483" i="1"/>
  <c r="CD349" i="1"/>
  <c r="AU481" i="1"/>
  <c r="BU253" i="1"/>
  <c r="BZ317" i="1"/>
  <c r="BP361" i="1"/>
  <c r="CW424" i="1"/>
  <c r="BU290" i="1"/>
  <c r="CC252" i="1"/>
  <c r="CK214" i="1"/>
  <c r="BV404" i="1"/>
  <c r="AO359" i="1"/>
  <c r="BZ400" i="1"/>
  <c r="CV338" i="1"/>
  <c r="BC343" i="1"/>
  <c r="DI281" i="1"/>
  <c r="M244" i="1"/>
  <c r="U206" i="1"/>
  <c r="CU434" i="1"/>
  <c r="AK326" i="1"/>
  <c r="X364" i="1"/>
  <c r="AF326" i="1"/>
  <c r="CQ421" i="1"/>
  <c r="CA467" i="1"/>
  <c r="BB332" i="1"/>
  <c r="BQ356" i="1"/>
  <c r="CW345" i="1"/>
  <c r="CL372" i="1"/>
  <c r="BV388" i="1"/>
  <c r="AY478" i="1"/>
  <c r="AB335" i="1"/>
  <c r="CS308" i="1"/>
  <c r="DA270" i="1"/>
  <c r="DI232" i="1"/>
  <c r="M195" i="1"/>
  <c r="AD357" i="1"/>
  <c r="BI319" i="1"/>
  <c r="P357" i="1"/>
  <c r="X319" i="1"/>
  <c r="AC300" i="1"/>
  <c r="AK262" i="1"/>
  <c r="AS224" i="1"/>
  <c r="BA186" i="1"/>
  <c r="BJ415" i="1"/>
  <c r="J423" i="1"/>
  <c r="BD344" i="1"/>
  <c r="AE365" i="1"/>
  <c r="BA287" i="1"/>
  <c r="BI249" i="1"/>
  <c r="BQ211" i="1"/>
  <c r="DD297" i="1"/>
  <c r="H260" i="1"/>
  <c r="P222" i="1"/>
  <c r="X184" i="1"/>
  <c r="CI297" i="1"/>
  <c r="CQ259" i="1"/>
  <c r="CY221" i="1"/>
  <c r="AK187" i="1"/>
  <c r="P287" i="1"/>
  <c r="L409" i="1"/>
  <c r="BL372" i="1"/>
  <c r="CI389" i="1"/>
  <c r="BV362" i="1"/>
  <c r="DB331" i="1"/>
  <c r="BP368" i="1"/>
  <c r="CS235" i="1"/>
  <c r="CC357" i="1"/>
  <c r="BX355" i="1"/>
  <c r="AA360" i="1"/>
  <c r="Y286" i="1"/>
  <c r="AG248" i="1"/>
  <c r="AO210" i="1"/>
  <c r="G360" i="1"/>
  <c r="BM341" i="1"/>
  <c r="CX382" i="1"/>
  <c r="AZ334" i="1"/>
  <c r="CA325" i="1"/>
  <c r="BM277" i="1"/>
  <c r="BU239" i="1"/>
  <c r="CC201" i="1"/>
  <c r="DF365" i="1"/>
  <c r="CS321" i="1"/>
  <c r="CF359" i="1"/>
  <c r="CN321" i="1"/>
  <c r="CC302" i="1"/>
  <c r="CK264" i="1"/>
  <c r="CS226" i="1"/>
  <c r="BS316" i="1"/>
  <c r="AJ275" i="1"/>
  <c r="AR237" i="1"/>
  <c r="AZ199" i="1"/>
  <c r="DC322" i="1"/>
  <c r="CU276" i="1"/>
  <c r="DC238" i="1"/>
  <c r="G201" i="1"/>
  <c r="T304" i="1"/>
  <c r="DI401" i="1"/>
  <c r="CY391" i="1"/>
  <c r="DH405" i="1"/>
  <c r="CD404" i="1"/>
  <c r="BW383" i="1"/>
  <c r="Z385" i="1"/>
  <c r="DI303" i="1"/>
  <c r="CI328" i="1"/>
  <c r="CH406" i="1"/>
  <c r="CN327" i="1"/>
  <c r="AC303" i="1"/>
  <c r="AK265" i="1"/>
  <c r="AS227" i="1"/>
  <c r="BA189" i="1"/>
  <c r="CD334" i="1"/>
  <c r="CW313" i="1"/>
  <c r="BD335" i="1"/>
  <c r="CG202" i="1"/>
  <c r="BD324" i="1"/>
  <c r="BA267" i="1"/>
  <c r="AE330" i="1"/>
  <c r="H240" i="1"/>
  <c r="BG326" i="1"/>
  <c r="CQ239" i="1"/>
  <c r="H305" i="1"/>
  <c r="AB250" i="1"/>
  <c r="AJ212" i="1"/>
  <c r="CQ367" i="1"/>
  <c r="O288" i="1"/>
  <c r="W250" i="1"/>
  <c r="AE212" i="1"/>
  <c r="W336" i="1"/>
  <c r="L279" i="1"/>
  <c r="T241" i="1"/>
  <c r="AB203" i="1"/>
  <c r="DC330" i="1"/>
  <c r="CU278" i="1"/>
  <c r="DC240" i="1"/>
  <c r="G203" i="1"/>
  <c r="AJ302" i="1"/>
  <c r="AR264" i="1"/>
  <c r="AZ226" i="1"/>
  <c r="BH188" i="1"/>
  <c r="AE302" i="1"/>
  <c r="AM264" i="1"/>
  <c r="AU226" i="1"/>
  <c r="BC188" i="1"/>
  <c r="Z249" i="1"/>
  <c r="BH332" i="1"/>
  <c r="CK199" i="1"/>
  <c r="CR322" i="1"/>
  <c r="CO265" i="1"/>
  <c r="BG321" i="1"/>
  <c r="AV238" i="1"/>
  <c r="DG319" i="1"/>
  <c r="AA238" i="1"/>
  <c r="AV303" i="1"/>
  <c r="BD249" i="1"/>
  <c r="BL211" i="1"/>
  <c r="CU364" i="1"/>
  <c r="AQ287" i="1"/>
  <c r="AY249" i="1"/>
  <c r="BG211" i="1"/>
  <c r="W332" i="1"/>
  <c r="AN278" i="1"/>
  <c r="AV240" i="1"/>
  <c r="BD202" i="1"/>
  <c r="DG327" i="1"/>
  <c r="S278" i="1"/>
  <c r="AA240" i="1"/>
  <c r="AI202" i="1"/>
  <c r="BL301" i="1"/>
  <c r="BT263" i="1"/>
  <c r="CB225" i="1"/>
  <c r="CJ187" i="1"/>
  <c r="BG301" i="1"/>
  <c r="BO263" i="1"/>
  <c r="BW225" i="1"/>
  <c r="BS315" i="1"/>
  <c r="CX355" i="1"/>
  <c r="DG353" i="1"/>
  <c r="CC246" i="1"/>
  <c r="T295" i="1"/>
  <c r="AJ219" i="1"/>
  <c r="DC294" i="1"/>
  <c r="O219" i="1"/>
  <c r="AJ284" i="1"/>
  <c r="CR239" i="1"/>
  <c r="CZ201" i="1"/>
  <c r="AQ326" i="1"/>
  <c r="CE277" i="1"/>
  <c r="CM239" i="1"/>
  <c r="BU307" i="1"/>
  <c r="BN334" i="1"/>
  <c r="CE342" i="1"/>
  <c r="CW243" i="1"/>
  <c r="AN292" i="1"/>
  <c r="BD216" i="1"/>
  <c r="S292" i="1"/>
  <c r="AI216" i="1"/>
  <c r="BD281" i="1"/>
  <c r="BH238" i="1"/>
  <c r="BP200" i="1"/>
  <c r="G321" i="1"/>
  <c r="AU276" i="1"/>
  <c r="BC238" i="1"/>
  <c r="BK200" i="1"/>
  <c r="AJ305" i="1"/>
  <c r="AR267" i="1"/>
  <c r="AZ229" i="1"/>
  <c r="BH191" i="1"/>
  <c r="O305" i="1"/>
  <c r="W267" i="1"/>
  <c r="AE229" i="1"/>
  <c r="AC201" i="1"/>
  <c r="BL216" i="1"/>
  <c r="AQ216" i="1"/>
  <c r="BH264" i="1"/>
  <c r="BX188" i="1"/>
  <c r="BC264" i="1"/>
  <c r="BG193" i="1"/>
  <c r="DF218" i="1"/>
  <c r="AL145" i="1"/>
  <c r="BO320" i="1"/>
  <c r="AI276" i="1"/>
  <c r="AQ238" i="1"/>
  <c r="AY200" i="1"/>
  <c r="BL303" i="1"/>
  <c r="CF482" i="1"/>
  <c r="BM387" i="1"/>
  <c r="CV402" i="1"/>
  <c r="AH392" i="1"/>
  <c r="AU380" i="1"/>
  <c r="BB363" i="1"/>
  <c r="BU301" i="1"/>
  <c r="G324" i="1"/>
  <c r="CL403" i="1"/>
  <c r="CZ326" i="1"/>
  <c r="BU302" i="1"/>
  <c r="CC264" i="1"/>
  <c r="CK226" i="1"/>
  <c r="CS188" i="1"/>
  <c r="AP332" i="1"/>
  <c r="AK313" i="1"/>
  <c r="P333" i="1"/>
  <c r="AS200" i="1"/>
  <c r="AJ323" i="1"/>
  <c r="AG266" i="1"/>
  <c r="CU323" i="1"/>
  <c r="CR238" i="1"/>
  <c r="CI321" i="1"/>
  <c r="BW238" i="1"/>
  <c r="CR303" i="1"/>
  <c r="BT249" i="1"/>
  <c r="CB211" i="1"/>
  <c r="BC365" i="1"/>
  <c r="BG287" i="1"/>
  <c r="BO249" i="1"/>
  <c r="BW211" i="1"/>
  <c r="AC181" i="1"/>
  <c r="BX311" i="1"/>
  <c r="AZ297" i="1"/>
  <c r="BP285" i="1"/>
  <c r="CF273" i="1"/>
  <c r="BH259" i="1"/>
  <c r="BX247" i="1"/>
  <c r="CN235" i="1"/>
  <c r="BP221" i="1"/>
  <c r="CF209" i="1"/>
  <c r="CV197" i="1"/>
  <c r="BX183" i="1"/>
  <c r="G357" i="1"/>
  <c r="BC311" i="1"/>
  <c r="AE297" i="1"/>
  <c r="AU285" i="1"/>
  <c r="BK273" i="1"/>
  <c r="AM259" i="1"/>
  <c r="BC247" i="1"/>
  <c r="BS235" i="1"/>
  <c r="AU221" i="1"/>
  <c r="BK209" i="1"/>
  <c r="CA197" i="1"/>
  <c r="CA358" i="1"/>
  <c r="CN308" i="1"/>
  <c r="DD296" i="1"/>
  <c r="CF282" i="1"/>
  <c r="CV270" i="1"/>
  <c r="H259" i="1"/>
  <c r="CN244" i="1"/>
  <c r="DD232" i="1"/>
  <c r="P221" i="1"/>
  <c r="CV206" i="1"/>
  <c r="AV197" i="1"/>
  <c r="CZ187" i="1"/>
  <c r="DC440" i="1"/>
  <c r="AA346" i="1"/>
  <c r="S311" i="1"/>
  <c r="BW301" i="1"/>
  <c r="W292" i="1"/>
  <c r="CA282" i="1"/>
  <c r="AA273" i="1"/>
  <c r="CE263" i="1"/>
  <c r="AE254" i="1"/>
  <c r="CI244" i="1"/>
  <c r="AI235" i="1"/>
  <c r="CM225" i="1"/>
  <c r="AM216" i="1"/>
  <c r="CQ206" i="1"/>
  <c r="AQ197" i="1"/>
  <c r="CU187" i="1"/>
  <c r="BN370" i="1"/>
  <c r="BC354" i="1"/>
  <c r="CH284" i="1"/>
  <c r="CP246" i="1"/>
  <c r="CX208" i="1"/>
  <c r="AL177" i="1"/>
  <c r="CP167" i="1"/>
  <c r="T330" i="1"/>
  <c r="Y311" i="1"/>
  <c r="AG273" i="1"/>
  <c r="AO235" i="1"/>
  <c r="AW197" i="1"/>
  <c r="CL348" i="1"/>
  <c r="BM317" i="1"/>
  <c r="AZ355" i="1"/>
  <c r="BX321" i="1"/>
  <c r="CQ349" i="1"/>
  <c r="BM302" i="1"/>
  <c r="BQ283" i="1"/>
  <c r="BU264" i="1"/>
  <c r="BY245" i="1"/>
  <c r="CC226" i="1"/>
  <c r="CG207" i="1"/>
  <c r="G316" i="1"/>
  <c r="P294" i="1"/>
  <c r="T275" i="1"/>
  <c r="X256" i="1"/>
  <c r="AB237" i="1"/>
  <c r="AF218" i="1"/>
  <c r="AJ199" i="1"/>
  <c r="AN180" i="1"/>
  <c r="AE315" i="1"/>
  <c r="CY293" i="1"/>
  <c r="DC274" i="1"/>
  <c r="DG255" i="1"/>
  <c r="G237" i="1"/>
  <c r="K218" i="1"/>
  <c r="O199" i="1"/>
  <c r="CQ362" i="1"/>
  <c r="AB302" i="1"/>
  <c r="AF283" i="1"/>
  <c r="CR267" i="1"/>
  <c r="AR258" i="1"/>
  <c r="CV248" i="1"/>
  <c r="AV239" i="1"/>
  <c r="CZ229" i="1"/>
  <c r="AZ220" i="1"/>
  <c r="DD210" i="1"/>
  <c r="BD201" i="1"/>
  <c r="DH191" i="1"/>
  <c r="BH182" i="1"/>
  <c r="BG362" i="1"/>
  <c r="BO324" i="1"/>
  <c r="CE305" i="1"/>
  <c r="AE296" i="1"/>
  <c r="CI286" i="1"/>
  <c r="AI277" i="1"/>
  <c r="CM267" i="1"/>
  <c r="AM258" i="1"/>
  <c r="CQ248" i="1"/>
  <c r="AQ239" i="1"/>
  <c r="CU229" i="1"/>
  <c r="AU220" i="1"/>
  <c r="CY210" i="1"/>
  <c r="AY201" i="1"/>
  <c r="DC191" i="1"/>
  <c r="CG187" i="1"/>
  <c r="K329" i="1"/>
  <c r="X306" i="1"/>
  <c r="CB296" i="1"/>
  <c r="AB287" i="1"/>
  <c r="CF277" i="1"/>
  <c r="AF268" i="1"/>
  <c r="CJ258" i="1"/>
  <c r="AJ249" i="1"/>
  <c r="CN239" i="1"/>
  <c r="AN230" i="1"/>
  <c r="CR220" i="1"/>
  <c r="AR211" i="1"/>
  <c r="CV201" i="1"/>
  <c r="AV192" i="1"/>
  <c r="CZ182" i="1"/>
  <c r="BK363" i="1"/>
  <c r="BS325" i="1"/>
  <c r="DG305" i="1"/>
  <c r="BG296" i="1"/>
  <c r="G287" i="1"/>
  <c r="BK277" i="1"/>
  <c r="K268" i="1"/>
  <c r="BO258" i="1"/>
  <c r="O249" i="1"/>
  <c r="BS239" i="1"/>
  <c r="S230" i="1"/>
  <c r="BW220" i="1"/>
  <c r="W211" i="1"/>
  <c r="CA201" i="1"/>
  <c r="CK204" i="1"/>
  <c r="CI352" i="1"/>
  <c r="AZ310" i="1"/>
  <c r="DD300" i="1"/>
  <c r="BD291" i="1"/>
  <c r="DH281" i="1"/>
  <c r="BH272" i="1"/>
  <c r="H263" i="1"/>
  <c r="BL253" i="1"/>
  <c r="L244" i="1"/>
  <c r="BP234" i="1"/>
  <c r="P225" i="1"/>
  <c r="BT215" i="1"/>
  <c r="T206" i="1"/>
  <c r="BX196" i="1"/>
  <c r="X187" i="1"/>
  <c r="R418" i="1"/>
  <c r="AE343" i="1"/>
  <c r="AU310" i="1"/>
  <c r="CY300" i="1"/>
  <c r="AY291" i="1"/>
  <c r="DC281" i="1"/>
  <c r="BC272" i="1"/>
  <c r="DG262" i="1"/>
  <c r="BG253" i="1"/>
  <c r="G244" i="1"/>
  <c r="BK234" i="1"/>
  <c r="K225" i="1"/>
  <c r="BO215" i="1"/>
  <c r="O206" i="1"/>
  <c r="BL329" i="1"/>
  <c r="BQ310" i="1"/>
  <c r="BY272" i="1"/>
  <c r="CG234" i="1"/>
  <c r="CO196" i="1"/>
  <c r="AX346" i="1"/>
  <c r="DE316" i="1"/>
  <c r="CR354" i="1"/>
  <c r="BH321" i="1"/>
  <c r="AE349" i="1"/>
  <c r="AW302" i="1"/>
  <c r="BA283" i="1"/>
  <c r="BE264" i="1"/>
  <c r="BI245" i="1"/>
  <c r="BM226" i="1"/>
  <c r="BQ207" i="1"/>
  <c r="AY315" i="1"/>
  <c r="DD293" i="1"/>
  <c r="DH274" i="1"/>
  <c r="H256" i="1"/>
  <c r="L237" i="1"/>
  <c r="P218" i="1"/>
  <c r="T199" i="1"/>
  <c r="X180" i="1"/>
  <c r="BW314" i="1"/>
  <c r="CI293" i="1"/>
  <c r="CM274" i="1"/>
  <c r="CQ255" i="1"/>
  <c r="CU236" i="1"/>
  <c r="CY217" i="1"/>
  <c r="DC198" i="1"/>
  <c r="BW361" i="1"/>
  <c r="L302" i="1"/>
  <c r="P283" i="1"/>
  <c r="CB267" i="1"/>
  <c r="AB258" i="1"/>
  <c r="CF248" i="1"/>
  <c r="AF239" i="1"/>
  <c r="CJ229" i="1"/>
  <c r="AJ220" i="1"/>
  <c r="CN210" i="1"/>
  <c r="AN201" i="1"/>
  <c r="CR191" i="1"/>
  <c r="AR182" i="1"/>
  <c r="CY361" i="1"/>
  <c r="DG323" i="1"/>
  <c r="BO305" i="1"/>
  <c r="O296" i="1"/>
  <c r="BS286" i="1"/>
  <c r="S277" i="1"/>
  <c r="BW267" i="1"/>
  <c r="W258" i="1"/>
  <c r="CA248" i="1"/>
  <c r="AA239" i="1"/>
  <c r="CE229" i="1"/>
  <c r="AE220" i="1"/>
  <c r="AB324" i="1"/>
  <c r="AG305" i="1"/>
  <c r="AO267" i="1"/>
  <c r="AW229" i="1"/>
  <c r="BE191" i="1"/>
  <c r="N325" i="1"/>
  <c r="CY504" i="1"/>
  <c r="BH349" i="1"/>
  <c r="CB318" i="1"/>
  <c r="DG337" i="1"/>
  <c r="BQ299" i="1"/>
  <c r="BU280" i="1"/>
  <c r="BY261" i="1"/>
  <c r="CC242" i="1"/>
  <c r="CG223" i="1"/>
  <c r="BA203" i="1"/>
  <c r="P310" i="1"/>
  <c r="T291" i="1"/>
  <c r="X272" i="1"/>
  <c r="AB253" i="1"/>
  <c r="AF234" i="1"/>
  <c r="AJ215" i="1"/>
  <c r="AN196" i="1"/>
  <c r="AX410" i="1"/>
  <c r="CY309" i="1"/>
  <c r="DC290" i="1"/>
  <c r="DG271" i="1"/>
  <c r="G253" i="1"/>
  <c r="K234" i="1"/>
  <c r="O215" i="1"/>
  <c r="S196" i="1"/>
  <c r="CA342" i="1"/>
  <c r="AF299" i="1"/>
  <c r="AJ280" i="1"/>
  <c r="AR266" i="1"/>
  <c r="CV256" i="1"/>
  <c r="AV247" i="1"/>
  <c r="CZ237" i="1"/>
  <c r="AZ228" i="1"/>
  <c r="DD218" i="1"/>
  <c r="BD209" i="1"/>
  <c r="DH199" i="1"/>
  <c r="BH190" i="1"/>
  <c r="H181" i="1"/>
  <c r="BO356" i="1"/>
  <c r="BW318" i="1"/>
  <c r="AE304" i="1"/>
  <c r="CI294" i="1"/>
  <c r="AI285" i="1"/>
  <c r="CM275" i="1"/>
  <c r="AM266" i="1"/>
  <c r="CQ256" i="1"/>
  <c r="AQ247" i="1"/>
  <c r="CU237" i="1"/>
  <c r="AU228" i="1"/>
  <c r="CP393" i="1"/>
  <c r="W337" i="1"/>
  <c r="CU308" i="1"/>
  <c r="AU299" i="1"/>
  <c r="CY289" i="1"/>
  <c r="AY280" i="1"/>
  <c r="DC270" i="1"/>
  <c r="BC261" i="1"/>
  <c r="DG251" i="1"/>
  <c r="BG242" i="1"/>
  <c r="G233" i="1"/>
  <c r="BK223" i="1"/>
  <c r="K214" i="1"/>
  <c r="BO204" i="1"/>
  <c r="O195" i="1"/>
  <c r="CO193" i="1"/>
  <c r="AA337" i="1"/>
  <c r="CB307" i="1"/>
  <c r="AB298" i="1"/>
  <c r="CF288" i="1"/>
  <c r="AF279" i="1"/>
  <c r="N468" i="1"/>
  <c r="X489" i="1"/>
  <c r="DG463" i="1"/>
  <c r="CM450" i="1"/>
  <c r="CU410" i="1"/>
  <c r="AI448" i="1"/>
  <c r="AJ381" i="1"/>
  <c r="AA405" i="1"/>
  <c r="Q426" i="1"/>
  <c r="AZ374" i="1"/>
  <c r="BG398" i="1"/>
  <c r="CX380" i="1"/>
  <c r="AP321" i="1"/>
  <c r="AG346" i="1"/>
  <c r="AT378" i="1"/>
  <c r="CD320" i="1"/>
  <c r="BU345" i="1"/>
  <c r="DF398" i="1"/>
  <c r="BB338" i="1"/>
  <c r="BJ395" i="1"/>
  <c r="BQ337" i="1"/>
  <c r="BI352" i="1"/>
  <c r="CT393" i="1"/>
  <c r="X337" i="1"/>
  <c r="BW336" i="1"/>
  <c r="AK280" i="1"/>
  <c r="AS242" i="1"/>
  <c r="BA204" i="1"/>
  <c r="AA357" i="1"/>
  <c r="CT379" i="1"/>
  <c r="CL378" i="1"/>
  <c r="AG323" i="1"/>
  <c r="BU427" i="1"/>
  <c r="AP375" i="1"/>
  <c r="CF357" i="1"/>
  <c r="T345" i="1"/>
  <c r="BL332" i="1"/>
  <c r="CN319" i="1"/>
  <c r="CY367" i="1"/>
  <c r="CM328" i="1"/>
  <c r="CK306" i="1"/>
  <c r="AK297" i="1"/>
  <c r="CO287" i="1"/>
  <c r="AO278" i="1"/>
  <c r="CS268" i="1"/>
  <c r="AS259" i="1"/>
  <c r="CW249" i="1"/>
  <c r="AW240" i="1"/>
  <c r="DA230" i="1"/>
  <c r="BA221" i="1"/>
  <c r="DE211" i="1"/>
  <c r="BE202" i="1"/>
  <c r="DI192" i="1"/>
  <c r="BI183" i="1"/>
  <c r="BK366" i="1"/>
  <c r="O506" i="1"/>
  <c r="DB348" i="1"/>
  <c r="AQ480" i="1"/>
  <c r="M348" i="1"/>
  <c r="DA326" i="1"/>
  <c r="BA317" i="1"/>
  <c r="CW430" i="1"/>
  <c r="AX389" i="1"/>
  <c r="BH364" i="1"/>
  <c r="CB349" i="1"/>
  <c r="AY482" i="1"/>
  <c r="CO292" i="1"/>
  <c r="CW254" i="1"/>
  <c r="DE216" i="1"/>
  <c r="BC479" i="1"/>
  <c r="CW350" i="1"/>
  <c r="AX393" i="1"/>
  <c r="L337" i="1"/>
  <c r="BT312" i="1"/>
  <c r="CA313" i="1"/>
  <c r="BI293" i="1"/>
  <c r="BM274" i="1"/>
  <c r="BQ255" i="1"/>
  <c r="BU236" i="1"/>
  <c r="BY217" i="1"/>
  <c r="BO486" i="1"/>
  <c r="H304" i="1"/>
  <c r="L285" i="1"/>
  <c r="P266" i="1"/>
  <c r="T247" i="1"/>
  <c r="X228" i="1"/>
  <c r="AB209" i="1"/>
  <c r="AF190" i="1"/>
  <c r="DC354" i="1"/>
  <c r="CQ303" i="1"/>
  <c r="CU284" i="1"/>
  <c r="CY265" i="1"/>
  <c r="DC246" i="1"/>
  <c r="DG227" i="1"/>
  <c r="G209" i="1"/>
  <c r="K190" i="1"/>
  <c r="AM312" i="1"/>
  <c r="X293" i="1"/>
  <c r="AB274" i="1"/>
  <c r="AF263" i="1"/>
  <c r="CJ253" i="1"/>
  <c r="AJ244" i="1"/>
  <c r="CN234" i="1"/>
  <c r="AN225" i="1"/>
  <c r="CR215" i="1"/>
  <c r="AR206" i="1"/>
  <c r="CV196" i="1"/>
  <c r="AV187" i="1"/>
  <c r="BZ421" i="1"/>
  <c r="S344" i="1"/>
  <c r="BS310" i="1"/>
  <c r="S301" i="1"/>
  <c r="BW291" i="1"/>
  <c r="W282" i="1"/>
  <c r="CA272" i="1"/>
  <c r="AA263" i="1"/>
  <c r="CE253" i="1"/>
  <c r="AE244" i="1"/>
  <c r="CI234" i="1"/>
  <c r="AI225" i="1"/>
  <c r="CM215" i="1"/>
  <c r="AM206" i="1"/>
  <c r="CQ196" i="1"/>
  <c r="AQ187" i="1"/>
  <c r="DC357" i="1"/>
  <c r="L311" i="1"/>
  <c r="BP301" i="1"/>
  <c r="P292" i="1"/>
  <c r="BT282" i="1"/>
  <c r="T273" i="1"/>
  <c r="BX263" i="1"/>
  <c r="X254" i="1"/>
  <c r="CB244" i="1"/>
  <c r="AB235" i="1"/>
  <c r="CF225" i="1"/>
  <c r="AF216" i="1"/>
  <c r="CJ206" i="1"/>
  <c r="AJ197" i="1"/>
  <c r="CN187" i="1"/>
  <c r="CS427" i="1"/>
  <c r="W345" i="1"/>
  <c r="CU310" i="1"/>
  <c r="AU301" i="1"/>
  <c r="CY291" i="1"/>
  <c r="AY282" i="1"/>
  <c r="DC272" i="1"/>
  <c r="BC263" i="1"/>
  <c r="DG253" i="1"/>
  <c r="BG244" i="1"/>
  <c r="G235" i="1"/>
  <c r="BK225" i="1"/>
  <c r="K216" i="1"/>
  <c r="BO206" i="1"/>
  <c r="O197" i="1"/>
  <c r="AW186" i="1"/>
  <c r="AI327" i="1"/>
  <c r="CR305" i="1"/>
  <c r="AR296" i="1"/>
  <c r="CV286" i="1"/>
  <c r="AV277" i="1"/>
  <c r="CZ267" i="1"/>
  <c r="AZ258" i="1"/>
  <c r="DD248" i="1"/>
  <c r="BD239" i="1"/>
  <c r="DH229" i="1"/>
  <c r="BH220" i="1"/>
  <c r="H211" i="1"/>
  <c r="BL201" i="1"/>
  <c r="L192" i="1"/>
  <c r="BP182" i="1"/>
  <c r="CM362" i="1"/>
  <c r="CU324" i="1"/>
  <c r="CM305" i="1"/>
  <c r="AM296" i="1"/>
  <c r="CQ286" i="1"/>
  <c r="AQ277" i="1"/>
  <c r="CU267" i="1"/>
  <c r="AU258" i="1"/>
  <c r="CY248" i="1"/>
  <c r="AY239" i="1"/>
  <c r="DC229" i="1"/>
  <c r="BC220" i="1"/>
  <c r="DG210" i="1"/>
  <c r="BG201" i="1"/>
  <c r="G192" i="1"/>
  <c r="BK182" i="1"/>
  <c r="CU182" i="1"/>
  <c r="AP301" i="1"/>
  <c r="AX263" i="1"/>
  <c r="BF225" i="1"/>
  <c r="BN187" i="1"/>
  <c r="DF171" i="1"/>
  <c r="CF346" i="1"/>
  <c r="DB392" i="1"/>
  <c r="CS289" i="1"/>
  <c r="DA251" i="1"/>
  <c r="DI213" i="1"/>
  <c r="Z392" i="1"/>
  <c r="I339" i="1"/>
  <c r="BN381" i="1"/>
  <c r="P334" i="1"/>
  <c r="AG427" i="1"/>
  <c r="CS310" i="1"/>
  <c r="CW291" i="1"/>
  <c r="DA272" i="1"/>
  <c r="DE253" i="1"/>
  <c r="DI234" i="1"/>
  <c r="I216" i="1"/>
  <c r="BC364" i="1"/>
  <c r="AV302" i="1"/>
  <c r="AZ283" i="1"/>
  <c r="BD264" i="1"/>
  <c r="BH245" i="1"/>
  <c r="BL226" i="1"/>
  <c r="BP207" i="1"/>
  <c r="BT188" i="1"/>
  <c r="AY348" i="1"/>
  <c r="AA302" i="1"/>
  <c r="AE283" i="1"/>
  <c r="AI264" i="1"/>
  <c r="AM245" i="1"/>
  <c r="AQ226" i="1"/>
  <c r="AU207" i="1"/>
  <c r="M205" i="1"/>
  <c r="BH310" i="1"/>
  <c r="BL291" i="1"/>
  <c r="BP272" i="1"/>
  <c r="BH262" i="1"/>
  <c r="H253" i="1"/>
  <c r="BL243" i="1"/>
  <c r="L234" i="1"/>
  <c r="BP224" i="1"/>
  <c r="P215" i="1"/>
  <c r="BT205" i="1"/>
  <c r="T196" i="1"/>
  <c r="BX186" i="1"/>
  <c r="CP409" i="1"/>
  <c r="W341" i="1"/>
  <c r="CU309" i="1"/>
  <c r="AU300" i="1"/>
  <c r="CY290" i="1"/>
  <c r="AY281" i="1"/>
  <c r="DC271" i="1"/>
  <c r="BC262" i="1"/>
  <c r="DG252" i="1"/>
  <c r="BG243" i="1"/>
  <c r="G234" i="1"/>
  <c r="BK224" i="1"/>
  <c r="K215" i="1"/>
  <c r="BO205" i="1"/>
  <c r="O196" i="1"/>
  <c r="AO204" i="1"/>
  <c r="G352" i="1"/>
  <c r="AN310" i="1"/>
  <c r="CR300" i="1"/>
  <c r="AR291" i="1"/>
  <c r="CV281" i="1"/>
  <c r="AV272" i="1"/>
  <c r="CZ262" i="1"/>
  <c r="AZ253" i="1"/>
  <c r="DD243" i="1"/>
  <c r="BD234" i="1"/>
  <c r="DH224" i="1"/>
  <c r="BH215" i="1"/>
  <c r="H206" i="1"/>
  <c r="BL196" i="1"/>
  <c r="L187" i="1"/>
  <c r="DF413" i="1"/>
  <c r="AA342" i="1"/>
  <c r="S310" i="1"/>
  <c r="BW300" i="1"/>
  <c r="W291" i="1"/>
  <c r="CA281" i="1"/>
  <c r="AA272" i="1"/>
  <c r="CE262" i="1"/>
  <c r="AE253" i="1"/>
  <c r="CI243" i="1"/>
  <c r="AI234" i="1"/>
  <c r="CM224" i="1"/>
  <c r="AM215" i="1"/>
  <c r="CQ205" i="1"/>
  <c r="AQ196" i="1"/>
  <c r="BA183" i="1"/>
  <c r="AI323" i="1"/>
  <c r="P305" i="1"/>
  <c r="BT295" i="1"/>
  <c r="T286" i="1"/>
  <c r="BX276" i="1"/>
  <c r="X267" i="1"/>
  <c r="CB257" i="1"/>
  <c r="AB248" i="1"/>
  <c r="CF238" i="1"/>
  <c r="AF229" i="1"/>
  <c r="CJ219" i="1"/>
  <c r="AJ210" i="1"/>
  <c r="CN200" i="1"/>
  <c r="AN191" i="1"/>
  <c r="CR181" i="1"/>
  <c r="CQ359" i="1"/>
  <c r="CY321" i="1"/>
  <c r="K305" i="1"/>
  <c r="BO295" i="1"/>
  <c r="O286" i="1"/>
  <c r="BS276" i="1"/>
  <c r="S267" i="1"/>
  <c r="BW257" i="1"/>
  <c r="W248" i="1"/>
  <c r="CA238" i="1"/>
  <c r="AA229" i="1"/>
  <c r="CE219" i="1"/>
  <c r="AE210" i="1"/>
  <c r="T346" i="1"/>
  <c r="BB383" i="1"/>
  <c r="AG289" i="1"/>
  <c r="AO251" i="1"/>
  <c r="AW213" i="1"/>
  <c r="CD382" i="1"/>
  <c r="BY336" i="1"/>
  <c r="Z379" i="1"/>
  <c r="BH333" i="1"/>
  <c r="V423" i="1"/>
  <c r="CC310" i="1"/>
  <c r="CG291" i="1"/>
  <c r="CK272" i="1"/>
  <c r="CO253" i="1"/>
  <c r="CS234" i="1"/>
  <c r="CW215" i="1"/>
  <c r="AI363" i="1"/>
  <c r="AF302" i="1"/>
  <c r="AJ283" i="1"/>
  <c r="AN264" i="1"/>
  <c r="AR245" i="1"/>
  <c r="AV226" i="1"/>
  <c r="AZ207" i="1"/>
  <c r="BD188" i="1"/>
  <c r="CQ347" i="1"/>
  <c r="K302" i="1"/>
  <c r="O283" i="1"/>
  <c r="S264" i="1"/>
  <c r="W245" i="1"/>
  <c r="AA226" i="1"/>
  <c r="AE207" i="1"/>
  <c r="BE204" i="1"/>
  <c r="AR310" i="1"/>
  <c r="AV291" i="1"/>
  <c r="AZ272" i="1"/>
  <c r="AR262" i="1"/>
  <c r="CV252" i="1"/>
  <c r="AV243" i="1"/>
  <c r="CZ233" i="1"/>
  <c r="AZ224" i="1"/>
  <c r="DD214" i="1"/>
  <c r="BD205" i="1"/>
  <c r="DH195" i="1"/>
  <c r="BH186" i="1"/>
  <c r="BB407" i="1"/>
  <c r="BO340" i="1"/>
  <c r="CE309" i="1"/>
  <c r="AE300" i="1"/>
  <c r="CI290" i="1"/>
  <c r="AI281" i="1"/>
  <c r="CM271" i="1"/>
  <c r="AM262" i="1"/>
  <c r="CQ252" i="1"/>
  <c r="AQ243" i="1"/>
  <c r="CU233" i="1"/>
  <c r="AU224" i="1"/>
  <c r="CN340" i="1"/>
  <c r="W351" i="1"/>
  <c r="DA283" i="1"/>
  <c r="DI245" i="1"/>
  <c r="M208" i="1"/>
  <c r="BG372" i="1"/>
  <c r="AC328" i="1"/>
  <c r="P366" i="1"/>
  <c r="X328" i="1"/>
  <c r="R378" i="1"/>
  <c r="CW307" i="1"/>
  <c r="DA288" i="1"/>
  <c r="DE269" i="1"/>
  <c r="DI250" i="1"/>
  <c r="I232" i="1"/>
  <c r="M213" i="1"/>
  <c r="BH261" i="1"/>
  <c r="BX185" i="1"/>
  <c r="AM261" i="1"/>
  <c r="AC193" i="1"/>
  <c r="H261" i="1"/>
  <c r="P223" i="1"/>
  <c r="X185" i="1"/>
  <c r="CY298" i="1"/>
  <c r="DG260" i="1"/>
  <c r="K223" i="1"/>
  <c r="AW198" i="1"/>
  <c r="CV289" i="1"/>
  <c r="DD251" i="1"/>
  <c r="H214" i="1"/>
  <c r="AH390" i="1"/>
  <c r="CA289" i="1"/>
  <c r="CI251" i="1"/>
  <c r="CQ213" i="1"/>
  <c r="BT306" i="1"/>
  <c r="AY306" i="1"/>
  <c r="BL309" i="1"/>
  <c r="CB233" i="1"/>
  <c r="BG309" i="1"/>
  <c r="BW233" i="1"/>
  <c r="BW182" i="1"/>
  <c r="AH422" i="1"/>
  <c r="CA291" i="1"/>
  <c r="CI253" i="1"/>
  <c r="CQ215" i="1"/>
  <c r="CA346" i="1"/>
  <c r="H281" i="1"/>
  <c r="Y388" i="1"/>
  <c r="CA414" i="1"/>
  <c r="CP418" i="1"/>
  <c r="Z330" i="1"/>
  <c r="U424" i="1"/>
  <c r="AJ344" i="1"/>
  <c r="BM211" i="1"/>
  <c r="CO326" i="1"/>
  <c r="BH347" i="1"/>
  <c r="CY335" i="1"/>
  <c r="Q280" i="1"/>
  <c r="Y242" i="1"/>
  <c r="AG204" i="1"/>
  <c r="BS375" i="1"/>
  <c r="CC328" i="1"/>
  <c r="AJ366" i="1"/>
  <c r="DI261" i="1"/>
  <c r="CT421" i="1"/>
  <c r="M297" i="1"/>
  <c r="AC221" i="1"/>
  <c r="BX269" i="1"/>
  <c r="CN193" i="1"/>
  <c r="BC269" i="1"/>
  <c r="BS193" i="1"/>
  <c r="H265" i="1"/>
  <c r="P227" i="1"/>
  <c r="X189" i="1"/>
  <c r="CY302" i="1"/>
  <c r="DG264" i="1"/>
  <c r="K227" i="1"/>
  <c r="S189" i="1"/>
  <c r="CV293" i="1"/>
  <c r="DD255" i="1"/>
  <c r="H218" i="1"/>
  <c r="P180" i="1"/>
  <c r="CA293" i="1"/>
  <c r="CI255" i="1"/>
  <c r="CQ217" i="1"/>
  <c r="CI336" i="1"/>
  <c r="X279" i="1"/>
  <c r="AF241" i="1"/>
  <c r="AN203" i="1"/>
  <c r="DG331" i="1"/>
  <c r="S279" i="1"/>
  <c r="AA241" i="1"/>
  <c r="AI203" i="1"/>
  <c r="BB308" i="1"/>
  <c r="CH173" i="1"/>
  <c r="I259" i="1"/>
  <c r="F410" i="1"/>
  <c r="BA295" i="1"/>
  <c r="BQ219" i="1"/>
  <c r="H268" i="1"/>
  <c r="X192" i="1"/>
  <c r="CQ267" i="1"/>
  <c r="DG191" i="1"/>
  <c r="AJ264" i="1"/>
  <c r="AR226" i="1"/>
  <c r="AZ188" i="1"/>
  <c r="W302" i="1"/>
  <c r="AE264" i="1"/>
  <c r="AM226" i="1"/>
  <c r="AU188" i="1"/>
  <c r="T293" i="1"/>
  <c r="AB255" i="1"/>
  <c r="AJ217" i="1"/>
  <c r="AR179" i="1"/>
  <c r="DC292" i="1"/>
  <c r="G255" i="1"/>
  <c r="O217" i="1"/>
  <c r="CI332" i="1"/>
  <c r="AZ278" i="1"/>
  <c r="BH240" i="1"/>
  <c r="BP202" i="1"/>
  <c r="G329" i="1"/>
  <c r="AU278" i="1"/>
  <c r="BC240" i="1"/>
  <c r="AF353" i="1"/>
  <c r="BI220" i="1"/>
  <c r="BT340" i="1"/>
  <c r="AO276" i="1"/>
  <c r="AG186" i="1"/>
  <c r="CZ248" i="1"/>
  <c r="K362" i="1"/>
  <c r="CE248" i="1"/>
  <c r="CE319" i="1"/>
  <c r="BX254" i="1"/>
  <c r="CF216" i="1"/>
  <c r="BW464" i="1"/>
  <c r="BK292" i="1"/>
  <c r="BS254" i="1"/>
  <c r="CZ347" i="1"/>
  <c r="Y215" i="1"/>
  <c r="AJ335" i="1"/>
  <c r="BI273" i="1"/>
  <c r="F375" i="1"/>
  <c r="P246" i="1"/>
  <c r="CM350" i="1"/>
  <c r="CY245" i="1"/>
  <c r="P311" i="1"/>
  <c r="AN253" i="1"/>
  <c r="AV215" i="1"/>
  <c r="BN414" i="1"/>
  <c r="AA291" i="1"/>
  <c r="AI253" i="1"/>
  <c r="AQ215" i="1"/>
  <c r="AU354" i="1"/>
  <c r="X282" i="1"/>
  <c r="AF244" i="1"/>
  <c r="AN206" i="1"/>
  <c r="AU343" i="1"/>
  <c r="DG281" i="1"/>
  <c r="K244" i="1"/>
  <c r="S206" i="1"/>
  <c r="CN275" i="1"/>
  <c r="BS275" i="1"/>
  <c r="T294" i="1"/>
  <c r="AJ218" i="1"/>
  <c r="O294" i="1"/>
  <c r="AE218" i="1"/>
  <c r="CL297" i="1"/>
  <c r="R160" i="1"/>
  <c r="CA204" i="1"/>
  <c r="BX195" i="1"/>
  <c r="BC195" i="1"/>
  <c r="DD196" i="1"/>
  <c r="CD160" i="1"/>
  <c r="Z106" i="1"/>
  <c r="AH68" i="1"/>
  <c r="DB186" i="1"/>
  <c r="AS143" i="1"/>
  <c r="BA105" i="1"/>
  <c r="G181" i="1"/>
  <c r="N182" i="1"/>
  <c r="V142" i="1"/>
  <c r="AD104" i="1"/>
  <c r="AL66" i="1"/>
  <c r="BZ179" i="1"/>
  <c r="BM141" i="1"/>
  <c r="BU103" i="1"/>
  <c r="CM180" i="1"/>
  <c r="AP181" i="1"/>
  <c r="DF141" i="1"/>
  <c r="J104" i="1"/>
  <c r="CY475" i="1"/>
  <c r="AK179" i="1"/>
  <c r="AS141" i="1"/>
  <c r="BA103" i="1"/>
  <c r="CA368" i="1"/>
  <c r="N178" i="1"/>
  <c r="V140" i="1"/>
  <c r="BP213" i="1"/>
  <c r="AU213" i="1"/>
  <c r="CV262" i="1"/>
  <c r="H187" i="1"/>
  <c r="CQ262" i="1"/>
  <c r="BC192" i="1"/>
  <c r="CP214" i="1"/>
  <c r="BN144" i="1"/>
  <c r="BV106" i="1"/>
  <c r="CD68" i="1"/>
  <c r="CD188" i="1"/>
  <c r="CO143" i="1"/>
  <c r="CW105" i="1"/>
  <c r="BS181" i="1"/>
  <c r="CT183" i="1"/>
  <c r="BR142" i="1"/>
  <c r="BZ104" i="1"/>
  <c r="CH66" i="1"/>
  <c r="BB181" i="1"/>
  <c r="DI141" i="1"/>
  <c r="CZ250" i="1"/>
  <c r="CE250" i="1"/>
  <c r="CB281" i="1"/>
  <c r="CR205" i="1"/>
  <c r="BW281" i="1"/>
  <c r="CM205" i="1"/>
  <c r="BR264" i="1"/>
  <c r="CX153" i="1"/>
  <c r="DF115" i="1"/>
  <c r="J78" i="1"/>
  <c r="J226" i="1"/>
  <c r="U153" i="1"/>
  <c r="M127" i="1"/>
  <c r="Q108" i="1"/>
  <c r="U89" i="1"/>
  <c r="BO184" i="1"/>
  <c r="BR268" i="1"/>
  <c r="CH192" i="1"/>
  <c r="CL163" i="1"/>
  <c r="CP144" i="1"/>
  <c r="CT125" i="1"/>
  <c r="CX106" i="1"/>
  <c r="DB87" i="1"/>
  <c r="DF68" i="1"/>
  <c r="Z266" i="1"/>
  <c r="AP190" i="1"/>
  <c r="Y163" i="1"/>
  <c r="AC144" i="1"/>
  <c r="AG125" i="1"/>
  <c r="AK106" i="1"/>
  <c r="AO87" i="1"/>
  <c r="AQ184" i="1"/>
  <c r="CT267" i="1"/>
  <c r="F192" i="1"/>
  <c r="BR163" i="1"/>
  <c r="BV144" i="1"/>
  <c r="BZ125" i="1"/>
  <c r="CD106" i="1"/>
  <c r="CH87" i="1"/>
  <c r="CL68" i="1"/>
  <c r="BB265" i="1"/>
  <c r="P300" i="1"/>
  <c r="AF224" i="1"/>
  <c r="CY299" i="1"/>
  <c r="K224" i="1"/>
  <c r="T306" i="1"/>
  <c r="AB268" i="1"/>
  <c r="AJ230" i="1"/>
  <c r="AR192" i="1"/>
  <c r="O306" i="1"/>
  <c r="W268" i="1"/>
  <c r="AE230" i="1"/>
  <c r="G196" i="1"/>
  <c r="CY179" i="1"/>
  <c r="J229" i="1"/>
  <c r="BF166" i="1"/>
  <c r="AD147" i="1"/>
  <c r="AH128" i="1"/>
  <c r="AL109" i="1"/>
  <c r="AP90" i="1"/>
  <c r="AT71" i="1"/>
  <c r="AD275" i="1"/>
  <c r="AT199" i="1"/>
  <c r="BA165" i="1"/>
  <c r="BE146" i="1"/>
  <c r="BI127" i="1"/>
  <c r="BM108" i="1"/>
  <c r="BQ89" i="1"/>
  <c r="W185" i="1"/>
  <c r="AT270" i="1"/>
  <c r="BJ194" i="1"/>
  <c r="AD164" i="1"/>
  <c r="AH145" i="1"/>
  <c r="AL126" i="1"/>
  <c r="AP107" i="1"/>
  <c r="AT88" i="1"/>
  <c r="AX69" i="1"/>
  <c r="DF267" i="1"/>
  <c r="R192" i="1"/>
  <c r="BU163" i="1"/>
  <c r="BY144" i="1"/>
  <c r="CC125" i="1"/>
  <c r="CG106" i="1"/>
  <c r="CK87" i="1"/>
  <c r="DC184" i="1"/>
  <c r="BV269" i="1"/>
  <c r="CL193" i="1"/>
  <c r="J164" i="1"/>
  <c r="N145" i="1"/>
  <c r="R126" i="1"/>
  <c r="V107" i="1"/>
  <c r="Z88" i="1"/>
  <c r="AD69" i="1"/>
  <c r="AD267" i="1"/>
  <c r="AT191" i="1"/>
  <c r="BM170" i="1"/>
  <c r="M161" i="1"/>
  <c r="BQ151" i="1"/>
  <c r="Q142" i="1"/>
  <c r="BU132" i="1"/>
  <c r="U123" i="1"/>
  <c r="BY113" i="1"/>
  <c r="Y104" i="1"/>
  <c r="CC94" i="1"/>
  <c r="AC85" i="1"/>
  <c r="CG75" i="1"/>
  <c r="CQ449" i="1"/>
  <c r="CP290" i="1"/>
  <c r="CX252" i="1"/>
  <c r="DF214" i="1"/>
  <c r="CP178" i="1"/>
  <c r="AP169" i="1"/>
  <c r="CT159" i="1"/>
  <c r="AT150" i="1"/>
  <c r="CX140" i="1"/>
  <c r="U98" i="1"/>
  <c r="R311" i="1"/>
  <c r="AX174" i="1"/>
  <c r="BF136" i="1"/>
  <c r="BN98" i="1"/>
  <c r="CD308" i="1"/>
  <c r="CP203" i="1"/>
  <c r="BM166" i="1"/>
  <c r="BQ147" i="1"/>
  <c r="BU128" i="1"/>
  <c r="BY109" i="1"/>
  <c r="CC90" i="1"/>
  <c r="BW186" i="1"/>
  <c r="CP274" i="1"/>
  <c r="DF198" i="1"/>
  <c r="AP165" i="1"/>
  <c r="AT146" i="1"/>
  <c r="BF133" i="1"/>
  <c r="F124" i="1"/>
  <c r="BJ114" i="1"/>
  <c r="J105" i="1"/>
  <c r="BN95" i="1"/>
  <c r="N86" i="1"/>
  <c r="BR76" i="1"/>
  <c r="R67" i="1"/>
  <c r="R296" i="1"/>
  <c r="Z258" i="1"/>
  <c r="AH220" i="1"/>
  <c r="AP182" i="1"/>
  <c r="BY170" i="1"/>
  <c r="Y161" i="1"/>
  <c r="CC151" i="1"/>
  <c r="AC142" i="1"/>
  <c r="CG132" i="1"/>
  <c r="AG123" i="1"/>
  <c r="CK113" i="1"/>
  <c r="AK104" i="1"/>
  <c r="CO94" i="1"/>
  <c r="AO85" i="1"/>
  <c r="CS75" i="1"/>
  <c r="Y67" i="1"/>
  <c r="Z299" i="1"/>
  <c r="AH261" i="1"/>
  <c r="AP223" i="1"/>
  <c r="AX185" i="1"/>
  <c r="AZ171" i="1"/>
  <c r="DD161" i="1"/>
  <c r="BD152" i="1"/>
  <c r="DH142" i="1"/>
  <c r="BH133" i="1"/>
  <c r="H124" i="1"/>
  <c r="BL114" i="1"/>
  <c r="L105" i="1"/>
  <c r="BP95" i="1"/>
  <c r="P86" i="1"/>
  <c r="BT76" i="1"/>
  <c r="T67" i="1"/>
  <c r="CX199" i="1"/>
  <c r="BS146" i="1"/>
  <c r="CA108" i="1"/>
  <c r="CI70" i="1"/>
  <c r="BV57" i="1"/>
  <c r="V48" i="1"/>
  <c r="BZ38" i="1"/>
  <c r="Z29" i="1"/>
  <c r="CD19" i="1"/>
  <c r="AD10" i="1"/>
  <c r="N245" i="1"/>
  <c r="CM86" i="1"/>
  <c r="AE41" i="1"/>
  <c r="O11" i="1"/>
  <c r="BF220" i="1"/>
  <c r="CI151" i="1"/>
  <c r="CQ113" i="1"/>
  <c r="CC66" i="1"/>
  <c r="AH297" i="1"/>
  <c r="AP259" i="1"/>
  <c r="AX221" i="1"/>
  <c r="BF183" i="1"/>
  <c r="DD170" i="1"/>
  <c r="BD161" i="1"/>
  <c r="DH151" i="1"/>
  <c r="BH142" i="1"/>
  <c r="H133" i="1"/>
  <c r="AM202" i="1"/>
  <c r="L307" i="1"/>
  <c r="T269" i="1"/>
  <c r="AB231" i="1"/>
  <c r="AJ193" i="1"/>
  <c r="CU306" i="1"/>
  <c r="DC268" i="1"/>
  <c r="G231" i="1"/>
  <c r="O193" i="1"/>
  <c r="BX223" i="1"/>
  <c r="BC223" i="1"/>
  <c r="L268" i="1"/>
  <c r="AB192" i="1"/>
  <c r="G268" i="1"/>
  <c r="CU195" i="1"/>
  <c r="BB228" i="1"/>
  <c r="DB158" i="1"/>
  <c r="DF139" i="1"/>
  <c r="BN124" i="1"/>
  <c r="N115" i="1"/>
  <c r="BR105" i="1"/>
  <c r="R96" i="1"/>
  <c r="BV86" i="1"/>
  <c r="V77" i="1"/>
  <c r="BZ67" i="1"/>
  <c r="AP298" i="1"/>
  <c r="AX260" i="1"/>
  <c r="BF222" i="1"/>
  <c r="BN184" i="1"/>
  <c r="AC171" i="1"/>
  <c r="CG161" i="1"/>
  <c r="AG152" i="1"/>
  <c r="CK142" i="1"/>
  <c r="AK133" i="1"/>
  <c r="CO123" i="1"/>
  <c r="AO114" i="1"/>
  <c r="CS104" i="1"/>
  <c r="AS95" i="1"/>
  <c r="CW85" i="1"/>
  <c r="AW76" i="1"/>
  <c r="AE180" i="1"/>
  <c r="BF293" i="1"/>
  <c r="BN255" i="1"/>
  <c r="BV217" i="1"/>
  <c r="CD179" i="1"/>
  <c r="F170" i="1"/>
  <c r="BJ160" i="1"/>
  <c r="J151" i="1"/>
  <c r="BN141" i="1"/>
  <c r="N132" i="1"/>
  <c r="BR122" i="1"/>
  <c r="R113" i="1"/>
  <c r="BV103" i="1"/>
  <c r="V94" i="1"/>
  <c r="BZ84" i="1"/>
  <c r="Z75" i="1"/>
  <c r="BV412" i="1"/>
  <c r="N291" i="1"/>
  <c r="V253" i="1"/>
  <c r="AD215" i="1"/>
  <c r="CW178" i="1"/>
  <c r="AW169" i="1"/>
  <c r="DA159" i="1"/>
  <c r="BA150" i="1"/>
  <c r="DE140" i="1"/>
  <c r="BE131" i="1"/>
  <c r="DI121" i="1"/>
  <c r="BI112" i="1"/>
  <c r="I103" i="1"/>
  <c r="BM93" i="1"/>
  <c r="M84" i="1"/>
  <c r="BQ74" i="1"/>
  <c r="DG179" i="1"/>
  <c r="CH292" i="1"/>
  <c r="CP254" i="1"/>
  <c r="CX216" i="1"/>
  <c r="AL179" i="1"/>
  <c r="CP169" i="1"/>
  <c r="AP160" i="1"/>
  <c r="CT150" i="1"/>
  <c r="AT141" i="1"/>
  <c r="CX131" i="1"/>
  <c r="AX122" i="1"/>
  <c r="DB112" i="1"/>
  <c r="BB103" i="1"/>
  <c r="DF93" i="1"/>
  <c r="BF84" i="1"/>
  <c r="F75" i="1"/>
  <c r="CL400" i="1"/>
  <c r="AP290" i="1"/>
  <c r="AX252" i="1"/>
  <c r="BF214" i="1"/>
  <c r="CC178" i="1"/>
  <c r="AC169" i="1"/>
  <c r="CG159" i="1"/>
  <c r="AG150" i="1"/>
  <c r="CK140" i="1"/>
  <c r="AK131" i="1"/>
  <c r="CO121" i="1"/>
  <c r="AO112" i="1"/>
  <c r="CS102" i="1"/>
  <c r="AS93" i="1"/>
  <c r="CW83" i="1"/>
  <c r="AW74" i="1"/>
  <c r="AY357" i="1"/>
  <c r="BF285" i="1"/>
  <c r="BN247" i="1"/>
  <c r="BV209" i="1"/>
  <c r="BF177" i="1"/>
  <c r="F168" i="1"/>
  <c r="BJ158" i="1"/>
  <c r="J149" i="1"/>
  <c r="BN139" i="1"/>
  <c r="U187" i="1"/>
  <c r="L287" i="1"/>
  <c r="T249" i="1"/>
  <c r="AB211" i="1"/>
  <c r="DC362" i="1"/>
  <c r="CU286" i="1"/>
  <c r="DC248" i="1"/>
  <c r="G211" i="1"/>
  <c r="BS344" i="1"/>
  <c r="BT299" i="1"/>
  <c r="BX280" i="1"/>
  <c r="CB261" i="1"/>
  <c r="CF242" i="1"/>
  <c r="CJ223" i="1"/>
  <c r="CN204" i="1"/>
  <c r="CR185" i="1"/>
  <c r="CY337" i="1"/>
  <c r="BO299" i="1"/>
  <c r="BS280" i="1"/>
  <c r="BW261" i="1"/>
  <c r="CA242" i="1"/>
  <c r="CE223" i="1"/>
  <c r="CI204" i="1"/>
  <c r="CE191" i="1"/>
  <c r="DF417" i="1"/>
  <c r="W314" i="1"/>
  <c r="AD262" i="1"/>
  <c r="CT211" i="1"/>
  <c r="CL174" i="1"/>
  <c r="DB162" i="1"/>
  <c r="BB153" i="1"/>
  <c r="DF143" i="1"/>
  <c r="BF134" i="1"/>
  <c r="F125" i="1"/>
  <c r="BJ115" i="1"/>
  <c r="J106" i="1"/>
  <c r="BN96" i="1"/>
  <c r="N87" i="1"/>
  <c r="BR77" i="1"/>
  <c r="R68" i="1"/>
  <c r="R300" i="1"/>
  <c r="Z262" i="1"/>
  <c r="AH224" i="1"/>
  <c r="AP186" i="1"/>
  <c r="BY171" i="1"/>
  <c r="Y162" i="1"/>
  <c r="CC152" i="1"/>
  <c r="AC143" i="1"/>
  <c r="CG133" i="1"/>
  <c r="AG124" i="1"/>
  <c r="CK114" i="1"/>
  <c r="AK105" i="1"/>
  <c r="CO95" i="1"/>
  <c r="AO86" i="1"/>
  <c r="CS76" i="1"/>
  <c r="CQ180" i="1"/>
  <c r="AH295" i="1"/>
  <c r="AP257" i="1"/>
  <c r="AX219" i="1"/>
  <c r="BF181" i="1"/>
  <c r="BB170" i="1"/>
  <c r="DF160" i="1"/>
  <c r="BF151" i="1"/>
  <c r="F142" i="1"/>
  <c r="BJ132" i="1"/>
  <c r="J123" i="1"/>
  <c r="BN113" i="1"/>
  <c r="N104" i="1"/>
  <c r="BR94" i="1"/>
  <c r="R85" i="1"/>
  <c r="BV75" i="1"/>
  <c r="AU485" i="1"/>
  <c r="CT292" i="1"/>
  <c r="DB254" i="1"/>
  <c r="F217" i="1"/>
  <c r="AO179" i="1"/>
  <c r="CS169" i="1"/>
  <c r="AS160" i="1"/>
  <c r="CW150" i="1"/>
  <c r="AW141" i="1"/>
  <c r="DA131" i="1"/>
  <c r="CK184" i="1"/>
  <c r="BD286" i="1"/>
  <c r="BL248" i="1"/>
  <c r="BT210" i="1"/>
  <c r="BO360" i="1"/>
  <c r="AI286" i="1"/>
  <c r="AQ248" i="1"/>
  <c r="AY210" i="1"/>
  <c r="CU343" i="1"/>
  <c r="BD299" i="1"/>
  <c r="BH280" i="1"/>
  <c r="BL261" i="1"/>
  <c r="BP242" i="1"/>
  <c r="BT223" i="1"/>
  <c r="BX204" i="1"/>
  <c r="CB185" i="1"/>
  <c r="AM337" i="1"/>
  <c r="AY299" i="1"/>
  <c r="BC280" i="1"/>
  <c r="BG261" i="1"/>
  <c r="BK242" i="1"/>
  <c r="BO223" i="1"/>
  <c r="BS204" i="1"/>
  <c r="BO191" i="1"/>
  <c r="F399" i="1"/>
  <c r="G312" i="1"/>
  <c r="BV261" i="1"/>
  <c r="BZ210" i="1"/>
  <c r="BV174" i="1"/>
  <c r="CL162" i="1"/>
  <c r="AL153" i="1"/>
  <c r="CP143" i="1"/>
  <c r="AP134" i="1"/>
  <c r="CT124" i="1"/>
  <c r="AT115" i="1"/>
  <c r="CX105" i="1"/>
  <c r="AX96" i="1"/>
  <c r="DB86" i="1"/>
  <c r="BB77" i="1"/>
  <c r="DF67" i="1"/>
  <c r="BJ299" i="1"/>
  <c r="BR261" i="1"/>
  <c r="BZ223" i="1"/>
  <c r="CH185" i="1"/>
  <c r="BI171" i="1"/>
  <c r="I162" i="1"/>
  <c r="BM152" i="1"/>
  <c r="M143" i="1"/>
  <c r="BQ133" i="1"/>
  <c r="Q124" i="1"/>
  <c r="BU114" i="1"/>
  <c r="U105" i="1"/>
  <c r="BY95" i="1"/>
  <c r="Y86" i="1"/>
  <c r="CC76" i="1"/>
  <c r="BW180" i="1"/>
  <c r="BZ294" i="1"/>
  <c r="CH256" i="1"/>
  <c r="CP218" i="1"/>
  <c r="CX180" i="1"/>
  <c r="AL170" i="1"/>
  <c r="CP160" i="1"/>
  <c r="AP151" i="1"/>
  <c r="CT141" i="1"/>
  <c r="AT132" i="1"/>
  <c r="CX122" i="1"/>
  <c r="AX113" i="1"/>
  <c r="DB103" i="1"/>
  <c r="BB94" i="1"/>
  <c r="DF84" i="1"/>
  <c r="BF75" i="1"/>
  <c r="BC447" i="1"/>
  <c r="AH292" i="1"/>
  <c r="AP254" i="1"/>
  <c r="AX216" i="1"/>
  <c r="Y179" i="1"/>
  <c r="CC169" i="1"/>
  <c r="AC160" i="1"/>
  <c r="CG150" i="1"/>
  <c r="AG141" i="1"/>
  <c r="CK131" i="1"/>
  <c r="AK122" i="1"/>
  <c r="CO112" i="1"/>
  <c r="AO103" i="1"/>
  <c r="CS93" i="1"/>
  <c r="AS84" i="1"/>
  <c r="CW74" i="1"/>
  <c r="AU180" i="1"/>
  <c r="DB293" i="1"/>
  <c r="DC199" i="1"/>
  <c r="CB304" i="1"/>
  <c r="CJ266" i="1"/>
  <c r="CR228" i="1"/>
  <c r="CZ190" i="1"/>
  <c r="BG304" i="1"/>
  <c r="BO266" i="1"/>
  <c r="BW228" i="1"/>
  <c r="CS198" i="1"/>
  <c r="X214" i="1"/>
  <c r="DG213" i="1"/>
  <c r="AN263" i="1"/>
  <c r="BD187" i="1"/>
  <c r="AI263" i="1"/>
  <c r="CI192" i="1"/>
  <c r="AX215" i="1"/>
  <c r="AP158" i="1"/>
  <c r="AT139" i="1"/>
  <c r="DF123" i="1"/>
  <c r="BF114" i="1"/>
  <c r="F105" i="1"/>
  <c r="BJ95" i="1"/>
  <c r="J86" i="1"/>
  <c r="BN76" i="1"/>
  <c r="N67" i="1"/>
  <c r="DF295" i="1"/>
  <c r="J258" i="1"/>
  <c r="R220" i="1"/>
  <c r="Z182" i="1"/>
  <c r="BU170" i="1"/>
  <c r="U161" i="1"/>
  <c r="BY151" i="1"/>
  <c r="Y142" i="1"/>
  <c r="CC132" i="1"/>
  <c r="AC123" i="1"/>
  <c r="CG113" i="1"/>
  <c r="AG104" i="1"/>
  <c r="CK94" i="1"/>
  <c r="AK85" i="1"/>
  <c r="CO75" i="1"/>
  <c r="AI478" i="1"/>
  <c r="R291" i="1"/>
  <c r="Z253" i="1"/>
  <c r="AH215" i="1"/>
  <c r="CX178" i="1"/>
  <c r="AX169" i="1"/>
  <c r="DB159" i="1"/>
  <c r="BB150" i="1"/>
  <c r="DF140" i="1"/>
  <c r="BF131" i="1"/>
  <c r="F122" i="1"/>
  <c r="BJ112" i="1"/>
  <c r="J103" i="1"/>
  <c r="BN93" i="1"/>
  <c r="N84" i="1"/>
  <c r="BR74" i="1"/>
  <c r="CD374" i="1"/>
  <c r="CD288" i="1"/>
  <c r="CL250" i="1"/>
  <c r="CT212" i="1"/>
  <c r="AK178" i="1"/>
  <c r="CO168" i="1"/>
  <c r="AO159" i="1"/>
  <c r="CS149" i="1"/>
  <c r="AS140" i="1"/>
  <c r="CW130" i="1"/>
  <c r="AW121" i="1"/>
  <c r="DA111" i="1"/>
  <c r="BA102" i="1"/>
  <c r="DE92" i="1"/>
  <c r="BE83" i="1"/>
  <c r="DI73" i="1"/>
  <c r="CD422" i="1"/>
  <c r="AT290" i="1"/>
  <c r="BB252" i="1"/>
  <c r="BJ214" i="1"/>
  <c r="CD178" i="1"/>
  <c r="AD169" i="1"/>
  <c r="CH159" i="1"/>
  <c r="AH150" i="1"/>
  <c r="CL140" i="1"/>
  <c r="AL131" i="1"/>
  <c r="CP121" i="1"/>
  <c r="AP112" i="1"/>
  <c r="CT102" i="1"/>
  <c r="AT93" i="1"/>
  <c r="CX83" i="1"/>
  <c r="AX74" i="1"/>
  <c r="AQ367" i="1"/>
  <c r="DF287" i="1"/>
  <c r="J250" i="1"/>
  <c r="R212" i="1"/>
  <c r="Q178" i="1"/>
  <c r="BU168" i="1"/>
  <c r="U159" i="1"/>
  <c r="BY149" i="1"/>
  <c r="Y140" i="1"/>
  <c r="CC130" i="1"/>
  <c r="AC121" i="1"/>
  <c r="CG111" i="1"/>
  <c r="AG102" i="1"/>
  <c r="CK92" i="1"/>
  <c r="AK83" i="1"/>
  <c r="CO73" i="1"/>
  <c r="DC347" i="1"/>
  <c r="R283" i="1"/>
  <c r="Z245" i="1"/>
  <c r="AH207" i="1"/>
  <c r="CX176" i="1"/>
  <c r="AX167" i="1"/>
  <c r="DB157" i="1"/>
  <c r="BB148" i="1"/>
  <c r="CU217" i="1"/>
  <c r="BZ417" i="1"/>
  <c r="CB284" i="1"/>
  <c r="CJ246" i="1"/>
  <c r="CR208" i="1"/>
  <c r="BC353" i="1"/>
  <c r="BG284" i="1"/>
  <c r="BO246" i="1"/>
  <c r="BW208" i="1"/>
  <c r="AU338" i="1"/>
  <c r="AZ298" i="1"/>
  <c r="BD279" i="1"/>
  <c r="BH260" i="1"/>
  <c r="BL241" i="1"/>
  <c r="BP222" i="1"/>
  <c r="BT203" i="1"/>
  <c r="BX184" i="1"/>
  <c r="W333" i="1"/>
  <c r="AU298" i="1"/>
  <c r="AY279" i="1"/>
  <c r="BC260" i="1"/>
  <c r="BG241" i="1"/>
  <c r="BK222" i="1"/>
  <c r="BO203" i="1"/>
  <c r="DG190" i="1"/>
  <c r="CY366" i="1"/>
  <c r="BV309" i="1"/>
  <c r="AH259" i="1"/>
  <c r="AL208" i="1"/>
  <c r="J174" i="1"/>
  <c r="AP162" i="1"/>
  <c r="CT152" i="1"/>
  <c r="AT143" i="1"/>
  <c r="CX133" i="1"/>
  <c r="AX124" i="1"/>
  <c r="DB114" i="1"/>
  <c r="BB105" i="1"/>
  <c r="DF95" i="1"/>
  <c r="BF86" i="1"/>
  <c r="F77" i="1"/>
  <c r="BJ67" i="1"/>
  <c r="CH297" i="1"/>
  <c r="CP259" i="1"/>
  <c r="CX221" i="1"/>
  <c r="DF183" i="1"/>
  <c r="M171" i="1"/>
  <c r="BQ161" i="1"/>
  <c r="Q152" i="1"/>
  <c r="BU142" i="1"/>
  <c r="U133" i="1"/>
  <c r="BY123" i="1"/>
  <c r="Y114" i="1"/>
  <c r="CC104" i="1"/>
  <c r="AC95" i="1"/>
  <c r="CG85" i="1"/>
  <c r="AG76" i="1"/>
  <c r="K180" i="1"/>
  <c r="CX292" i="1"/>
  <c r="DF254" i="1"/>
  <c r="J217" i="1"/>
  <c r="AP179" i="1"/>
  <c r="CT169" i="1"/>
  <c r="AT160" i="1"/>
  <c r="CX150" i="1"/>
  <c r="AX141" i="1"/>
  <c r="DB131" i="1"/>
  <c r="BB122" i="1"/>
  <c r="DF112" i="1"/>
  <c r="BF103" i="1"/>
  <c r="F94" i="1"/>
  <c r="BJ84" i="1"/>
  <c r="J75" i="1"/>
  <c r="V403" i="1"/>
  <c r="BF290" i="1"/>
  <c r="BN252" i="1"/>
  <c r="BV214" i="1"/>
  <c r="CG178" i="1"/>
  <c r="AG169" i="1"/>
  <c r="CK159" i="1"/>
  <c r="AK150" i="1"/>
  <c r="CO140" i="1"/>
  <c r="AI217" i="1"/>
  <c r="CH379" i="1"/>
  <c r="P284" i="1"/>
  <c r="X246" i="1"/>
  <c r="AF208" i="1"/>
  <c r="O351" i="1"/>
  <c r="CY283" i="1"/>
  <c r="DG245" i="1"/>
  <c r="K208" i="1"/>
  <c r="BG337" i="1"/>
  <c r="AJ298" i="1"/>
  <c r="AN279" i="1"/>
  <c r="AR260" i="1"/>
  <c r="AV241" i="1"/>
  <c r="AZ222" i="1"/>
  <c r="BD203" i="1"/>
  <c r="BH184" i="1"/>
  <c r="BO332" i="1"/>
  <c r="AE298" i="1"/>
  <c r="AI279" i="1"/>
  <c r="AM260" i="1"/>
  <c r="AQ241" i="1"/>
  <c r="AU222" i="1"/>
  <c r="AY203" i="1"/>
  <c r="CA190" i="1"/>
  <c r="BK364" i="1"/>
  <c r="J309" i="1"/>
  <c r="N258" i="1"/>
  <c r="CD207" i="1"/>
  <c r="CX173" i="1"/>
  <c r="Z162" i="1"/>
  <c r="CD152" i="1"/>
  <c r="AD143" i="1"/>
  <c r="CH133" i="1"/>
  <c r="AH124" i="1"/>
  <c r="CL114" i="1"/>
  <c r="AL105" i="1"/>
  <c r="CP95" i="1"/>
  <c r="AP86" i="1"/>
  <c r="CT76" i="1"/>
  <c r="AT67" i="1"/>
  <c r="V297" i="1"/>
  <c r="AD259" i="1"/>
  <c r="AL221" i="1"/>
  <c r="AT183" i="1"/>
  <c r="DA170" i="1"/>
  <c r="BA161" i="1"/>
  <c r="DE151" i="1"/>
  <c r="BE142" i="1"/>
  <c r="DI132" i="1"/>
  <c r="BI123" i="1"/>
  <c r="I114" i="1"/>
  <c r="BM104" i="1"/>
  <c r="M95" i="1"/>
  <c r="BQ85" i="1"/>
  <c r="Q76" i="1"/>
  <c r="CQ179" i="1"/>
  <c r="AL292" i="1"/>
  <c r="AT254" i="1"/>
  <c r="BB216" i="1"/>
  <c r="Z179" i="1"/>
  <c r="CD169" i="1"/>
  <c r="AD160" i="1"/>
  <c r="CH150" i="1"/>
  <c r="AH141" i="1"/>
  <c r="CL131" i="1"/>
  <c r="AL122" i="1"/>
  <c r="CP112" i="1"/>
  <c r="AP103" i="1"/>
  <c r="CT93" i="1"/>
  <c r="AT84" i="1"/>
  <c r="CX74" i="1"/>
  <c r="BZ393" i="1"/>
  <c r="CX289" i="1"/>
  <c r="DF251" i="1"/>
  <c r="J214" i="1"/>
  <c r="BQ178" i="1"/>
  <c r="Q169" i="1"/>
  <c r="BU159" i="1"/>
  <c r="U150" i="1"/>
  <c r="BY140" i="1"/>
  <c r="Y131" i="1"/>
  <c r="CC121" i="1"/>
  <c r="AC112" i="1"/>
  <c r="CG102" i="1"/>
  <c r="AG93" i="1"/>
  <c r="CK83" i="1"/>
  <c r="AK74" i="1"/>
  <c r="BS179" i="1"/>
  <c r="BN291" i="1"/>
  <c r="BV253" i="1"/>
  <c r="CD215" i="1"/>
  <c r="F179" i="1"/>
  <c r="BJ169" i="1"/>
  <c r="J160" i="1"/>
  <c r="BN150" i="1"/>
  <c r="N141" i="1"/>
  <c r="BR131" i="1"/>
  <c r="R122" i="1"/>
  <c r="BV112" i="1"/>
  <c r="V103" i="1"/>
  <c r="BZ93" i="1"/>
  <c r="Z84" i="1"/>
  <c r="CD74" i="1"/>
  <c r="CP381" i="1"/>
  <c r="V289" i="1"/>
  <c r="AD251" i="1"/>
  <c r="AW182" i="1"/>
  <c r="CV285" i="1"/>
  <c r="DD247" i="1"/>
  <c r="H210" i="1"/>
  <c r="AA358" i="1"/>
  <c r="CA285" i="1"/>
  <c r="CI247" i="1"/>
  <c r="CQ209" i="1"/>
  <c r="BG341" i="1"/>
  <c r="H299" i="1"/>
  <c r="L280" i="1"/>
  <c r="P261" i="1"/>
  <c r="T242" i="1"/>
  <c r="X223" i="1"/>
  <c r="AB204" i="1"/>
  <c r="AF185" i="1"/>
  <c r="BK335" i="1"/>
  <c r="DG298" i="1"/>
  <c r="G280" i="1"/>
  <c r="K261" i="1"/>
  <c r="O242" i="1"/>
  <c r="S223" i="1"/>
  <c r="W204" i="1"/>
  <c r="AI191" i="1"/>
  <c r="BJ389" i="1"/>
  <c r="AX311" i="1"/>
  <c r="BB260" i="1"/>
  <c r="N210" i="1"/>
  <c r="BF174" i="1"/>
  <c r="BV162" i="1"/>
  <c r="V153" i="1"/>
  <c r="BZ143" i="1"/>
  <c r="Z134" i="1"/>
  <c r="CD124" i="1"/>
  <c r="AD115" i="1"/>
  <c r="CH105" i="1"/>
  <c r="AH96" i="1"/>
  <c r="CL86" i="1"/>
  <c r="AL77" i="1"/>
  <c r="CP67" i="1"/>
  <c r="DB298" i="1"/>
  <c r="F261" i="1"/>
  <c r="N223" i="1"/>
  <c r="V185" i="1"/>
  <c r="AS171" i="1"/>
  <c r="CW161" i="1"/>
  <c r="AW152" i="1"/>
  <c r="DA142" i="1"/>
  <c r="BA133" i="1"/>
  <c r="DE123" i="1"/>
  <c r="BE114" i="1"/>
  <c r="DI104" i="1"/>
  <c r="BI95" i="1"/>
  <c r="I86" i="1"/>
  <c r="BM76" i="1"/>
  <c r="AY180" i="1"/>
  <c r="N294" i="1"/>
  <c r="V256" i="1"/>
  <c r="AD218" i="1"/>
  <c r="AL180" i="1"/>
  <c r="V170" i="1"/>
  <c r="BZ160" i="1"/>
  <c r="Z151" i="1"/>
  <c r="CD141" i="1"/>
  <c r="AD132" i="1"/>
  <c r="CH122" i="1"/>
  <c r="AH113" i="1"/>
  <c r="CL103" i="1"/>
  <c r="AL94" i="1"/>
  <c r="CP84" i="1"/>
  <c r="AP75" i="1"/>
  <c r="R422" i="1"/>
  <c r="BZ291" i="1"/>
  <c r="CH253" i="1"/>
  <c r="CP215" i="1"/>
  <c r="I179" i="1"/>
  <c r="BM169" i="1"/>
  <c r="M160" i="1"/>
  <c r="BQ150" i="1"/>
  <c r="Q141" i="1"/>
  <c r="BU131" i="1"/>
  <c r="U122" i="1"/>
  <c r="BY112" i="1"/>
  <c r="Y103" i="1"/>
  <c r="CC93" i="1"/>
  <c r="AC84" i="1"/>
  <c r="CG74" i="1"/>
  <c r="AA180" i="1"/>
  <c r="AP293" i="1"/>
  <c r="AX255" i="1"/>
  <c r="BF217" i="1"/>
  <c r="BN179" i="1"/>
  <c r="DF169" i="1"/>
  <c r="BF160" i="1"/>
  <c r="F151" i="1"/>
  <c r="BJ141" i="1"/>
  <c r="J132" i="1"/>
  <c r="BN122" i="1"/>
  <c r="N113" i="1"/>
  <c r="BR103" i="1"/>
  <c r="R94" i="1"/>
  <c r="BV84" i="1"/>
  <c r="V75" i="1"/>
  <c r="AH410" i="1"/>
  <c r="DB290" i="1"/>
  <c r="F253" i="1"/>
  <c r="N215" i="1"/>
  <c r="CS178" i="1"/>
  <c r="AS169" i="1"/>
  <c r="CW159" i="1"/>
  <c r="AW150" i="1"/>
  <c r="DA140" i="1"/>
  <c r="BA131" i="1"/>
  <c r="DE121" i="1"/>
  <c r="BE112" i="1"/>
  <c r="DI102" i="1"/>
  <c r="BI93" i="1"/>
  <c r="I84" i="1"/>
  <c r="BM74" i="1"/>
  <c r="CM359" i="1"/>
  <c r="N286" i="1"/>
  <c r="V248" i="1"/>
  <c r="AD210" i="1"/>
  <c r="BV177" i="1"/>
  <c r="V168" i="1"/>
  <c r="BZ158" i="1"/>
  <c r="Z149" i="1"/>
  <c r="AO131" i="1"/>
  <c r="AW93" i="1"/>
  <c r="V292" i="1"/>
  <c r="BZ169" i="1"/>
  <c r="CH131" i="1"/>
  <c r="CP93" i="1"/>
  <c r="CH289" i="1"/>
  <c r="AP194" i="1"/>
  <c r="Y164" i="1"/>
  <c r="AC145" i="1"/>
  <c r="AG126" i="1"/>
  <c r="AK107" i="1"/>
  <c r="AO88" i="1"/>
  <c r="BG183" i="1"/>
  <c r="AP265" i="1"/>
  <c r="BF189" i="1"/>
  <c r="DF162" i="1"/>
  <c r="F144" i="1"/>
  <c r="AL132" i="1"/>
  <c r="CP122" i="1"/>
  <c r="AP113" i="1"/>
  <c r="CT103" i="1"/>
  <c r="AT94" i="1"/>
  <c r="CX84" i="1"/>
  <c r="AX75" i="1"/>
  <c r="AT417" i="1"/>
  <c r="AT291" i="1"/>
  <c r="BB253" i="1"/>
  <c r="BJ215" i="1"/>
  <c r="DE178" i="1"/>
  <c r="BE169" i="1"/>
  <c r="DI159" i="1"/>
  <c r="BI150" i="1"/>
  <c r="I141" i="1"/>
  <c r="BM131" i="1"/>
  <c r="M122" i="1"/>
  <c r="BQ112" i="1"/>
  <c r="Q103" i="1"/>
  <c r="BU93" i="1"/>
  <c r="U84" i="1"/>
  <c r="BY74" i="1"/>
  <c r="DI65" i="1"/>
  <c r="BB294" i="1"/>
  <c r="BJ256" i="1"/>
  <c r="BR218" i="1"/>
  <c r="BZ180" i="1"/>
  <c r="AF170" i="1"/>
  <c r="CJ160" i="1"/>
  <c r="AJ151" i="1"/>
  <c r="CN141" i="1"/>
  <c r="AN132" i="1"/>
  <c r="CR122" i="1"/>
  <c r="AR113" i="1"/>
  <c r="CV103" i="1"/>
  <c r="AV94" i="1"/>
  <c r="CZ84" i="1"/>
  <c r="AZ75" i="1"/>
  <c r="DD65" i="1"/>
  <c r="DB180" i="1"/>
  <c r="CU141" i="1"/>
  <c r="DC103" i="1"/>
  <c r="R66" i="1"/>
  <c r="BB56" i="1"/>
  <c r="DF46" i="1"/>
  <c r="BF37" i="1"/>
  <c r="F28" i="1"/>
  <c r="BJ18" i="1"/>
  <c r="J9" i="1"/>
  <c r="AD185" i="1"/>
  <c r="DG71" i="1"/>
  <c r="AU37" i="1"/>
  <c r="AQ7" i="1"/>
  <c r="BJ201" i="1"/>
  <c r="G147" i="1"/>
  <c r="O109" i="1"/>
  <c r="K464" i="1"/>
  <c r="BJ292" i="1"/>
  <c r="BR254" i="1"/>
  <c r="BZ216" i="1"/>
  <c r="AF179" i="1"/>
  <c r="CJ169" i="1"/>
  <c r="AJ160" i="1"/>
  <c r="CN150" i="1"/>
  <c r="AN141" i="1"/>
  <c r="CR131" i="1"/>
  <c r="O188" i="1"/>
  <c r="CR292" i="1"/>
  <c r="CZ254" i="1"/>
  <c r="DH216" i="1"/>
  <c r="AE481" i="1"/>
  <c r="BW292" i="1"/>
  <c r="CE254" i="1"/>
  <c r="CM216" i="1"/>
  <c r="G344" i="1"/>
  <c r="CU336" i="1"/>
  <c r="G328" i="1"/>
  <c r="BT239" i="1"/>
  <c r="BC325" i="1"/>
  <c r="BO239" i="1"/>
  <c r="BW188" i="1"/>
  <c r="CD172" i="1"/>
  <c r="CP151" i="1"/>
  <c r="CT132" i="1"/>
  <c r="F121" i="1"/>
  <c r="BJ111" i="1"/>
  <c r="J102" i="1"/>
  <c r="BN92" i="1"/>
  <c r="N83" i="1"/>
  <c r="BR73" i="1"/>
  <c r="DC351" i="1"/>
  <c r="R284" i="1"/>
  <c r="Z246" i="1"/>
  <c r="AH208" i="1"/>
  <c r="U177" i="1"/>
  <c r="BY167" i="1"/>
  <c r="Y158" i="1"/>
  <c r="CC148" i="1"/>
  <c r="AC139" i="1"/>
  <c r="CG129" i="1"/>
  <c r="AG120" i="1"/>
  <c r="CK110" i="1"/>
  <c r="AK101" i="1"/>
  <c r="CO91" i="1"/>
  <c r="AO82" i="1"/>
  <c r="O189" i="1"/>
  <c r="BK332" i="1"/>
  <c r="AH279" i="1"/>
  <c r="AP241" i="1"/>
  <c r="AX203" i="1"/>
  <c r="DB175" i="1"/>
  <c r="BB166" i="1"/>
  <c r="DF156" i="1"/>
  <c r="BF147" i="1"/>
  <c r="F138" i="1"/>
  <c r="BJ128" i="1"/>
  <c r="J119" i="1"/>
  <c r="BN109" i="1"/>
  <c r="N100" i="1"/>
  <c r="BR90" i="1"/>
  <c r="R81" i="1"/>
  <c r="BV71" i="1"/>
  <c r="CY322" i="1"/>
  <c r="CT276" i="1"/>
  <c r="DB238" i="1"/>
  <c r="F201" i="1"/>
  <c r="AO175" i="1"/>
  <c r="CS165" i="1"/>
  <c r="AS156" i="1"/>
  <c r="CW146" i="1"/>
  <c r="AW137" i="1"/>
  <c r="DA127" i="1"/>
  <c r="BA118" i="1"/>
  <c r="DE108" i="1"/>
  <c r="BE99" i="1"/>
  <c r="DI89" i="1"/>
  <c r="BI80" i="1"/>
  <c r="AY188" i="1"/>
  <c r="BO329" i="1"/>
  <c r="BJ278" i="1"/>
  <c r="BR240" i="1"/>
  <c r="BZ202" i="1"/>
  <c r="CH175" i="1"/>
  <c r="AH166" i="1"/>
  <c r="CL156" i="1"/>
  <c r="AL147" i="1"/>
  <c r="CP137" i="1"/>
  <c r="AP128" i="1"/>
  <c r="CT118" i="1"/>
  <c r="AT109" i="1"/>
  <c r="CX99" i="1"/>
  <c r="AX90" i="1"/>
  <c r="DB80" i="1"/>
  <c r="BB71" i="1"/>
  <c r="DC319" i="1"/>
  <c r="R276" i="1"/>
  <c r="Z238" i="1"/>
  <c r="AH200" i="1"/>
  <c r="U175" i="1"/>
  <c r="BY165" i="1"/>
  <c r="Y156" i="1"/>
  <c r="CC146" i="1"/>
  <c r="AC137" i="1"/>
  <c r="CG127" i="1"/>
  <c r="AG118" i="1"/>
  <c r="CK108" i="1"/>
  <c r="AK99" i="1"/>
  <c r="CO89" i="1"/>
  <c r="AO80" i="1"/>
  <c r="BC185" i="1"/>
  <c r="Z309" i="1"/>
  <c r="AH271" i="1"/>
  <c r="AP233" i="1"/>
  <c r="AX195" i="1"/>
  <c r="DB173" i="1"/>
  <c r="BB164" i="1"/>
  <c r="DF154" i="1"/>
  <c r="BF145" i="1"/>
  <c r="G206" i="1"/>
  <c r="CJ310" i="1"/>
  <c r="CR272" i="1"/>
  <c r="CZ234" i="1"/>
  <c r="DH196" i="1"/>
  <c r="BO310" i="1"/>
  <c r="BW272" i="1"/>
  <c r="CE234" i="1"/>
  <c r="CM196" i="1"/>
  <c r="BD311" i="1"/>
  <c r="BH292" i="1"/>
  <c r="BL273" i="1"/>
  <c r="BP254" i="1"/>
  <c r="BT235" i="1"/>
  <c r="BX216" i="1"/>
  <c r="CB197" i="1"/>
  <c r="CY459" i="1"/>
  <c r="AY311" i="1"/>
  <c r="BC292" i="1"/>
  <c r="BG273" i="1"/>
  <c r="BK254" i="1"/>
  <c r="BO235" i="1"/>
  <c r="BS216" i="1"/>
  <c r="BO199" i="1"/>
  <c r="DG186" i="1"/>
  <c r="BW184" i="1"/>
  <c r="BV293" i="1"/>
  <c r="AH243" i="1"/>
  <c r="CX192" i="1"/>
  <c r="J170" i="1"/>
  <c r="AT159" i="1"/>
  <c r="CX149" i="1"/>
  <c r="AX140" i="1"/>
  <c r="DB130" i="1"/>
  <c r="BB121" i="1"/>
  <c r="DF111" i="1"/>
  <c r="BF102" i="1"/>
  <c r="F93" i="1"/>
  <c r="BJ83" i="1"/>
  <c r="J74" i="1"/>
  <c r="K359" i="1"/>
  <c r="CX285" i="1"/>
  <c r="DF247" i="1"/>
  <c r="J210" i="1"/>
  <c r="BQ177" i="1"/>
  <c r="Q168" i="1"/>
  <c r="BU158" i="1"/>
  <c r="U149" i="1"/>
  <c r="BY139" i="1"/>
  <c r="Y130" i="1"/>
  <c r="CC120" i="1"/>
  <c r="AC111" i="1"/>
  <c r="CG101" i="1"/>
  <c r="AG92" i="1"/>
  <c r="CK82" i="1"/>
  <c r="CU190" i="1"/>
  <c r="BW339" i="1"/>
  <c r="J281" i="1"/>
  <c r="R243" i="1"/>
  <c r="Z205" i="1"/>
  <c r="AT176" i="1"/>
  <c r="CX166" i="1"/>
  <c r="AX157" i="1"/>
  <c r="DB147" i="1"/>
  <c r="BB138" i="1"/>
  <c r="DF128" i="1"/>
  <c r="BF119" i="1"/>
  <c r="F110" i="1"/>
  <c r="BJ100" i="1"/>
  <c r="J91" i="1"/>
  <c r="BN81" i="1"/>
  <c r="N72" i="1"/>
  <c r="G330" i="1"/>
  <c r="BV278" i="1"/>
  <c r="CD240" i="1"/>
  <c r="CL202" i="1"/>
  <c r="CK175" i="1"/>
  <c r="AK166" i="1"/>
  <c r="CO156" i="1"/>
  <c r="AO147" i="1"/>
  <c r="CS137" i="1"/>
  <c r="AY205" i="1"/>
  <c r="X310" i="1"/>
  <c r="AF272" i="1"/>
  <c r="AN234" i="1"/>
  <c r="AV196" i="1"/>
  <c r="DG309" i="1"/>
  <c r="K272" i="1"/>
  <c r="S234" i="1"/>
  <c r="AA196" i="1"/>
  <c r="AN311" i="1"/>
  <c r="AR292" i="1"/>
  <c r="AV273" i="1"/>
  <c r="AZ254" i="1"/>
  <c r="BD235" i="1"/>
  <c r="BH216" i="1"/>
  <c r="BL197" i="1"/>
  <c r="AY450" i="1"/>
  <c r="AI311" i="1"/>
  <c r="AM292" i="1"/>
  <c r="AQ273" i="1"/>
  <c r="AU254" i="1"/>
  <c r="AY235" i="1"/>
  <c r="BC216" i="1"/>
  <c r="AY199" i="1"/>
  <c r="CQ186" i="1"/>
  <c r="AE184" i="1"/>
  <c r="J293" i="1"/>
  <c r="BZ242" i="1"/>
  <c r="CD191" i="1"/>
  <c r="CX169" i="1"/>
  <c r="AD159" i="1"/>
  <c r="CH149" i="1"/>
  <c r="AH140" i="1"/>
  <c r="CL130" i="1"/>
  <c r="AL121" i="1"/>
  <c r="CP111" i="1"/>
  <c r="AP102" i="1"/>
  <c r="CT92" i="1"/>
  <c r="AT83" i="1"/>
  <c r="CX73" i="1"/>
  <c r="CA356" i="1"/>
  <c r="AL285" i="1"/>
  <c r="AT247" i="1"/>
  <c r="BB209" i="1"/>
  <c r="BA177" i="1"/>
  <c r="DE167" i="1"/>
  <c r="BE158" i="1"/>
  <c r="DI148" i="1"/>
  <c r="BI139" i="1"/>
  <c r="I130" i="1"/>
  <c r="BM120" i="1"/>
  <c r="M111" i="1"/>
  <c r="BQ101" i="1"/>
  <c r="Q92" i="1"/>
  <c r="BU82" i="1"/>
  <c r="AI190" i="1"/>
  <c r="AI337" i="1"/>
  <c r="BB280" i="1"/>
  <c r="BJ242" i="1"/>
  <c r="BR204" i="1"/>
  <c r="AD176" i="1"/>
  <c r="CH166" i="1"/>
  <c r="AH157" i="1"/>
  <c r="CL147" i="1"/>
  <c r="AL138" i="1"/>
  <c r="CP128" i="1"/>
  <c r="AP119" i="1"/>
  <c r="CT109" i="1"/>
  <c r="AT100" i="1"/>
  <c r="CX90" i="1"/>
  <c r="AX81" i="1"/>
  <c r="DB71" i="1"/>
  <c r="BW327" i="1"/>
  <c r="J278" i="1"/>
  <c r="R240" i="1"/>
  <c r="Z202" i="1"/>
  <c r="BU175" i="1"/>
  <c r="U166" i="1"/>
  <c r="BY156" i="1"/>
  <c r="Y147" i="1"/>
  <c r="CC137" i="1"/>
  <c r="AC128" i="1"/>
  <c r="CG118" i="1"/>
  <c r="AG109" i="1"/>
  <c r="CK99" i="1"/>
  <c r="AK90" i="1"/>
  <c r="CO80" i="1"/>
  <c r="BK189" i="1"/>
  <c r="AM334" i="1"/>
  <c r="CD279" i="1"/>
  <c r="CL241" i="1"/>
  <c r="CT203" i="1"/>
  <c r="J176" i="1"/>
  <c r="BN166" i="1"/>
  <c r="N157" i="1"/>
  <c r="BR147" i="1"/>
  <c r="R138" i="1"/>
  <c r="BV128" i="1"/>
  <c r="V119" i="1"/>
  <c r="BZ109" i="1"/>
  <c r="Z100" i="1"/>
  <c r="CD90" i="1"/>
  <c r="AD81" i="1"/>
  <c r="CH71" i="1"/>
  <c r="CA324" i="1"/>
  <c r="AL277" i="1"/>
  <c r="AA207" i="1"/>
  <c r="DD311" i="1"/>
  <c r="H274" i="1"/>
  <c r="P236" i="1"/>
  <c r="X198" i="1"/>
  <c r="CI311" i="1"/>
  <c r="CQ273" i="1"/>
  <c r="CY235" i="1"/>
  <c r="DG197" i="1"/>
  <c r="R312" i="1"/>
  <c r="P293" i="1"/>
  <c r="T274" i="1"/>
  <c r="X255" i="1"/>
  <c r="AB236" i="1"/>
  <c r="AF217" i="1"/>
  <c r="AJ198" i="1"/>
  <c r="DD527" i="1"/>
  <c r="H312" i="1"/>
  <c r="K293" i="1"/>
  <c r="O274" i="1"/>
  <c r="S255" i="1"/>
  <c r="W236" i="1"/>
  <c r="AA217" i="1"/>
  <c r="G200" i="1"/>
  <c r="AY187" i="1"/>
  <c r="G185" i="1"/>
  <c r="AX295" i="1"/>
  <c r="J245" i="1"/>
  <c r="N194" i="1"/>
  <c r="BF170" i="1"/>
  <c r="BZ159" i="1"/>
  <c r="Z150" i="1"/>
  <c r="CD140" i="1"/>
  <c r="AD131" i="1"/>
  <c r="CH121" i="1"/>
  <c r="AH112" i="1"/>
  <c r="CL102" i="1"/>
  <c r="AL93" i="1"/>
  <c r="CP83" i="1"/>
  <c r="AP74" i="1"/>
  <c r="CM363" i="1"/>
  <c r="N287" i="1"/>
  <c r="V249" i="1"/>
  <c r="AD211" i="1"/>
  <c r="CW177" i="1"/>
  <c r="AW168" i="1"/>
  <c r="DA158" i="1"/>
  <c r="BA149" i="1"/>
  <c r="DE139" i="1"/>
  <c r="BE130" i="1"/>
  <c r="DI120" i="1"/>
  <c r="BI111" i="1"/>
  <c r="I102" i="1"/>
  <c r="BM92" i="1"/>
  <c r="M83" i="1"/>
  <c r="K192" i="1"/>
  <c r="AU344" i="1"/>
  <c r="AD282" i="1"/>
  <c r="AL244" i="1"/>
  <c r="AT206" i="1"/>
  <c r="BZ176" i="1"/>
  <c r="Z167" i="1"/>
  <c r="CD157" i="1"/>
  <c r="AD148" i="1"/>
  <c r="CH138" i="1"/>
  <c r="AH129" i="1"/>
  <c r="CL119" i="1"/>
  <c r="AL110" i="1"/>
  <c r="CP100" i="1"/>
  <c r="AP91" i="1"/>
  <c r="CT81" i="1"/>
  <c r="AT72" i="1"/>
  <c r="CI334" i="1"/>
  <c r="CP279" i="1"/>
  <c r="CX241" i="1"/>
  <c r="DF203" i="1"/>
  <c r="M176" i="1"/>
  <c r="BQ166" i="1"/>
  <c r="Q157" i="1"/>
  <c r="BU147" i="1"/>
  <c r="U138" i="1"/>
  <c r="BY128" i="1"/>
  <c r="Y119" i="1"/>
  <c r="CC109" i="1"/>
  <c r="AC100" i="1"/>
  <c r="CG90" i="1"/>
  <c r="AG81" i="1"/>
  <c r="AM191" i="1"/>
  <c r="AY341" i="1"/>
  <c r="BF281" i="1"/>
  <c r="BN243" i="1"/>
  <c r="BV205" i="1"/>
  <c r="BF176" i="1"/>
  <c r="F167" i="1"/>
  <c r="BJ157" i="1"/>
  <c r="J148" i="1"/>
  <c r="BN138" i="1"/>
  <c r="N129" i="1"/>
  <c r="BR119" i="1"/>
  <c r="R110" i="1"/>
  <c r="BV100" i="1"/>
  <c r="V91" i="1"/>
  <c r="BZ81" i="1"/>
  <c r="Z72" i="1"/>
  <c r="CM331" i="1"/>
  <c r="N279" i="1"/>
  <c r="V241" i="1"/>
  <c r="AD203" i="1"/>
  <c r="CW175" i="1"/>
  <c r="AW166" i="1"/>
  <c r="DA156" i="1"/>
  <c r="BA147" i="1"/>
  <c r="DE137" i="1"/>
  <c r="BE128" i="1"/>
  <c r="DI118" i="1"/>
  <c r="BI109" i="1"/>
  <c r="I100" i="1"/>
  <c r="BM90" i="1"/>
  <c r="M81" i="1"/>
  <c r="BC186" i="1"/>
  <c r="AU312" i="1"/>
  <c r="AD274" i="1"/>
  <c r="AL236" i="1"/>
  <c r="AT198" i="1"/>
  <c r="BZ174" i="1"/>
  <c r="Z165" i="1"/>
  <c r="CD155" i="1"/>
  <c r="AD146" i="1"/>
  <c r="BE119" i="1"/>
  <c r="BM81" i="1"/>
  <c r="CH244" i="1"/>
  <c r="CP157" i="1"/>
  <c r="CX119" i="1"/>
  <c r="DF81" i="1"/>
  <c r="BF246" i="1"/>
  <c r="AC177" i="1"/>
  <c r="AG158" i="1"/>
  <c r="AK139" i="1"/>
  <c r="AO120" i="1"/>
  <c r="AS101" i="1"/>
  <c r="AW82" i="1"/>
  <c r="CE333" i="1"/>
  <c r="BV241" i="1"/>
  <c r="F176" i="1"/>
  <c r="J157" i="1"/>
  <c r="CP138" i="1"/>
  <c r="AP129" i="1"/>
  <c r="CT119" i="1"/>
  <c r="AT110" i="1"/>
  <c r="CX100" i="1"/>
  <c r="AX91" i="1"/>
  <c r="DB81" i="1"/>
  <c r="BB72" i="1"/>
  <c r="BO333" i="1"/>
  <c r="BJ279" i="1"/>
  <c r="BR241" i="1"/>
  <c r="BZ203" i="1"/>
  <c r="DI175" i="1"/>
  <c r="BI166" i="1"/>
  <c r="I157" i="1"/>
  <c r="BM147" i="1"/>
  <c r="CT174" i="1"/>
  <c r="DB136" i="1"/>
  <c r="F99" i="1"/>
  <c r="BF310" i="1"/>
  <c r="AJ269" i="1"/>
  <c r="O269" i="1"/>
  <c r="CF290" i="1"/>
  <c r="CV214" i="1"/>
  <c r="CA290" i="1"/>
  <c r="CQ214" i="1"/>
  <c r="CX288" i="1"/>
  <c r="BF158" i="1"/>
  <c r="BN120" i="1"/>
  <c r="BV82" i="1"/>
  <c r="AX244" i="1"/>
  <c r="CG157" i="1"/>
  <c r="CO119" i="1"/>
  <c r="CW81" i="1"/>
  <c r="BN239" i="1"/>
  <c r="BJ156" i="1"/>
  <c r="BR118" i="1"/>
  <c r="BZ80" i="1"/>
  <c r="V237" i="1"/>
  <c r="DA155" i="1"/>
  <c r="DI117" i="1"/>
  <c r="M80" i="1"/>
  <c r="CP238" i="1"/>
  <c r="AP156" i="1"/>
  <c r="AX118" i="1"/>
  <c r="BF80" i="1"/>
  <c r="AX236" i="1"/>
  <c r="CG155" i="1"/>
  <c r="CO117" i="1"/>
  <c r="CW79" i="1"/>
  <c r="BN231" i="1"/>
  <c r="BJ154" i="1"/>
  <c r="CL225" i="1"/>
  <c r="F237" i="1"/>
  <c r="DE117" i="1"/>
  <c r="V232" i="1"/>
  <c r="V128" i="1"/>
  <c r="AD90" i="1"/>
  <c r="CL274" i="1"/>
  <c r="AO165" i="1"/>
  <c r="CW136" i="1"/>
  <c r="DA117" i="1"/>
  <c r="DE98" i="1"/>
  <c r="DI79" i="1"/>
  <c r="CY326" i="1"/>
  <c r="DB239" i="1"/>
  <c r="BP175" i="1"/>
  <c r="BT156" i="1"/>
  <c r="BX137" i="1"/>
  <c r="CB118" i="1"/>
  <c r="CF99" i="1"/>
  <c r="CJ80" i="1"/>
  <c r="AH266" i="1"/>
  <c r="AI125" i="1"/>
  <c r="CL61" i="1"/>
  <c r="CP42" i="1"/>
  <c r="CT23" i="1"/>
  <c r="CX4" i="1"/>
  <c r="AM54" i="1"/>
  <c r="CT286" i="1"/>
  <c r="AY130" i="1"/>
  <c r="AA319" i="1"/>
  <c r="F238" i="1"/>
  <c r="P175" i="1"/>
  <c r="T156" i="1"/>
  <c r="X137" i="1"/>
  <c r="T124" i="1"/>
  <c r="BX114" i="1"/>
  <c r="X105" i="1"/>
  <c r="CB95" i="1"/>
  <c r="AB86" i="1"/>
  <c r="CF76" i="1"/>
  <c r="AF67" i="1"/>
  <c r="BZ201" i="1"/>
  <c r="K147" i="1"/>
  <c r="S109" i="1"/>
  <c r="AA71" i="1"/>
  <c r="CH57" i="1"/>
  <c r="AH48" i="1"/>
  <c r="CL38" i="1"/>
  <c r="AL29" i="1"/>
  <c r="CP19" i="1"/>
  <c r="AP10" i="1"/>
  <c r="AX250" i="1"/>
  <c r="DI71" i="1"/>
  <c r="BO337" i="1"/>
  <c r="BJ280" i="1"/>
  <c r="BR242" i="1"/>
  <c r="BZ204" i="1"/>
  <c r="AF176" i="1"/>
  <c r="CJ166" i="1"/>
  <c r="AJ157" i="1"/>
  <c r="CN147" i="1"/>
  <c r="AN138" i="1"/>
  <c r="CR128" i="1"/>
  <c r="AR119" i="1"/>
  <c r="CV109" i="1"/>
  <c r="AV100" i="1"/>
  <c r="CZ90" i="1"/>
  <c r="AZ81" i="1"/>
  <c r="DD71" i="1"/>
  <c r="DB276" i="1"/>
  <c r="CU165" i="1"/>
  <c r="DC127" i="1"/>
  <c r="G90" i="1"/>
  <c r="BB62" i="1"/>
  <c r="DF52" i="1"/>
  <c r="BF43" i="1"/>
  <c r="F34" i="1"/>
  <c r="BJ24" i="1"/>
  <c r="J15" i="1"/>
  <c r="BN5" i="1"/>
  <c r="CI145" i="1"/>
  <c r="K56" i="1"/>
  <c r="DG25" i="1"/>
  <c r="V295" i="1"/>
  <c r="BY71" i="1"/>
  <c r="AE332" i="1"/>
  <c r="Z279" i="1"/>
  <c r="AH241" i="1"/>
  <c r="AP203" i="1"/>
  <c r="CZ175" i="1"/>
  <c r="AZ166" i="1"/>
  <c r="DD156" i="1"/>
  <c r="BD147" i="1"/>
  <c r="DH137" i="1"/>
  <c r="BH128" i="1"/>
  <c r="H119" i="1"/>
  <c r="BL109" i="1"/>
  <c r="L100" i="1"/>
  <c r="BP90" i="1"/>
  <c r="P81" i="1"/>
  <c r="BT71" i="1"/>
  <c r="BR271" i="1"/>
  <c r="BK164" i="1"/>
  <c r="BS126" i="1"/>
  <c r="CA88" i="1"/>
  <c r="R62" i="1"/>
  <c r="BV52" i="1"/>
  <c r="V43" i="1"/>
  <c r="BZ33" i="1"/>
  <c r="Z24" i="1"/>
  <c r="CD14" i="1"/>
  <c r="AD5" i="1"/>
  <c r="BK143" i="1"/>
  <c r="AY55" i="1"/>
  <c r="AY25" i="1"/>
  <c r="Z292" i="1"/>
  <c r="CA169" i="1"/>
  <c r="CI131" i="1"/>
  <c r="BO47" i="1"/>
  <c r="BG148" i="1"/>
  <c r="G87" i="1"/>
  <c r="CC61" i="1"/>
  <c r="AC52" i="1"/>
  <c r="CG42" i="1"/>
  <c r="AG33" i="1"/>
  <c r="CK23" i="1"/>
  <c r="AK14" i="1"/>
  <c r="CO4" i="1"/>
  <c r="AI104" i="1"/>
  <c r="CI47" i="1"/>
  <c r="S20" i="1"/>
  <c r="N273" i="1"/>
  <c r="CY164" i="1"/>
  <c r="DG126" i="1"/>
  <c r="K89" i="1"/>
  <c r="AB62" i="1"/>
  <c r="CF52" i="1"/>
  <c r="AF43" i="1"/>
  <c r="CJ33" i="1"/>
  <c r="AJ24" i="1"/>
  <c r="CN14" i="1"/>
  <c r="AN5" i="1"/>
  <c r="BK139" i="1"/>
  <c r="BW56" i="1"/>
  <c r="CY28" i="1"/>
  <c r="CY11" i="1"/>
  <c r="AM30" i="1"/>
  <c r="AU137" i="1"/>
  <c r="BK81" i="1"/>
  <c r="AO60" i="1"/>
  <c r="CS50" i="1"/>
  <c r="AS41" i="1"/>
  <c r="CW31" i="1"/>
  <c r="AW22" i="1"/>
  <c r="DA12" i="1"/>
  <c r="M3" i="1"/>
  <c r="DG87" i="1"/>
  <c r="CI43" i="1"/>
  <c r="S16" i="1"/>
  <c r="V251" i="1"/>
  <c r="AY159" i="1"/>
  <c r="BG121" i="1"/>
  <c r="BO83" i="1"/>
  <c r="CR60" i="1"/>
  <c r="AR51" i="1"/>
  <c r="CV41" i="1"/>
  <c r="AV32" i="1"/>
  <c r="CZ22" i="1"/>
  <c r="AZ13" i="1"/>
  <c r="DD3" i="1"/>
  <c r="BK123" i="1"/>
  <c r="CE52" i="1"/>
  <c r="CQ24" i="1"/>
  <c r="O8" i="1"/>
  <c r="AE169" i="1"/>
  <c r="AU97" i="1"/>
  <c r="AK64" i="1"/>
  <c r="CO54" i="1"/>
  <c r="AO45" i="1"/>
  <c r="CS35" i="1"/>
  <c r="AS26" i="1"/>
  <c r="CW16" i="1"/>
  <c r="AW7" i="1"/>
  <c r="DC134" i="1"/>
  <c r="AE55" i="1"/>
  <c r="BW27" i="1"/>
  <c r="G322" i="1"/>
  <c r="AI175" i="1"/>
  <c r="BU123" i="1"/>
  <c r="CC85" i="1"/>
  <c r="AP261" i="1"/>
  <c r="DF161" i="1"/>
  <c r="J124" i="1"/>
  <c r="R86" i="1"/>
  <c r="DB258" i="1"/>
  <c r="U179" i="1"/>
  <c r="Y160" i="1"/>
  <c r="AC141" i="1"/>
  <c r="AG122" i="1"/>
  <c r="AK103" i="1"/>
  <c r="AO84" i="1"/>
  <c r="CE365" i="1"/>
  <c r="AP249" i="1"/>
  <c r="DB177" i="1"/>
  <c r="DF158" i="1"/>
  <c r="F140" i="1"/>
  <c r="AT130" i="1"/>
  <c r="CX120" i="1"/>
  <c r="AX111" i="1"/>
  <c r="DB101" i="1"/>
  <c r="BB92" i="1"/>
  <c r="DF82" i="1"/>
  <c r="BF73" i="1"/>
  <c r="W350" i="1"/>
  <c r="BZ283" i="1"/>
  <c r="CH245" i="1"/>
  <c r="CP207" i="1"/>
  <c r="I177" i="1"/>
  <c r="BM167" i="1"/>
  <c r="M158" i="1"/>
  <c r="BQ148" i="1"/>
  <c r="Q139" i="1"/>
  <c r="BU129" i="1"/>
  <c r="U120" i="1"/>
  <c r="BY110" i="1"/>
  <c r="Y101" i="1"/>
  <c r="CC91" i="1"/>
  <c r="AC82" i="1"/>
  <c r="CG72" i="1"/>
  <c r="BC362" i="1"/>
  <c r="CH286" i="1"/>
  <c r="CP248" i="1"/>
  <c r="CX210" i="1"/>
  <c r="CN177" i="1"/>
  <c r="AN168" i="1"/>
  <c r="CR158" i="1"/>
  <c r="AR149" i="1"/>
  <c r="CV139" i="1"/>
  <c r="AV130" i="1"/>
  <c r="CZ120" i="1"/>
  <c r="AZ111" i="1"/>
  <c r="DD101" i="1"/>
  <c r="BD92" i="1"/>
  <c r="DH82" i="1"/>
  <c r="BH73" i="1"/>
  <c r="CP301" i="1"/>
  <c r="O172" i="1"/>
  <c r="W134" i="1"/>
  <c r="AE96" i="1"/>
  <c r="F64" i="1"/>
  <c r="BJ54" i="1"/>
  <c r="J45" i="1"/>
  <c r="BN35" i="1"/>
  <c r="N26" i="1"/>
  <c r="BR16" i="1"/>
  <c r="R7" i="1"/>
  <c r="AY160" i="1"/>
  <c r="AY61" i="1"/>
  <c r="AY31" i="1"/>
  <c r="AY353" i="1"/>
  <c r="AE177" i="1"/>
  <c r="AM139" i="1"/>
  <c r="AU101" i="1"/>
  <c r="CI354" i="1"/>
  <c r="CP284" i="1"/>
  <c r="CX246" i="1"/>
  <c r="DF208" i="1"/>
  <c r="AN177" i="1"/>
  <c r="CR167" i="1"/>
  <c r="AR158" i="1"/>
  <c r="CV148" i="1"/>
  <c r="AO99" i="1"/>
  <c r="AA327" i="1"/>
  <c r="BR175" i="1"/>
  <c r="BZ137" i="1"/>
  <c r="CH99" i="1"/>
  <c r="BO317" i="1"/>
  <c r="Z206" i="1"/>
  <c r="U167" i="1"/>
  <c r="Y148" i="1"/>
  <c r="AC129" i="1"/>
  <c r="AG110" i="1"/>
  <c r="AK91" i="1"/>
  <c r="CI187" i="1"/>
  <c r="Z277" i="1"/>
  <c r="AP201" i="1"/>
  <c r="DB165" i="1"/>
  <c r="DF146" i="1"/>
  <c r="CL133" i="1"/>
  <c r="AL124" i="1"/>
  <c r="CP114" i="1"/>
  <c r="AP105" i="1"/>
  <c r="CT95" i="1"/>
  <c r="AT86" i="1"/>
  <c r="CX76" i="1"/>
  <c r="AX67" i="1"/>
  <c r="AL297" i="1"/>
  <c r="AT259" i="1"/>
  <c r="BB221" i="1"/>
  <c r="BJ183" i="1"/>
  <c r="DE170" i="1"/>
  <c r="BE161" i="1"/>
  <c r="DI151" i="1"/>
  <c r="BI142" i="1"/>
  <c r="I133" i="1"/>
  <c r="BM123" i="1"/>
  <c r="M114" i="1"/>
  <c r="BQ104" i="1"/>
  <c r="Q95" i="1"/>
  <c r="BU85" i="1"/>
  <c r="U76" i="1"/>
  <c r="BE67" i="1"/>
  <c r="AT300" i="1"/>
  <c r="BB262" i="1"/>
  <c r="BJ224" i="1"/>
  <c r="BR186" i="1"/>
  <c r="CF171" i="1"/>
  <c r="AF162" i="1"/>
  <c r="CJ152" i="1"/>
  <c r="AJ143" i="1"/>
  <c r="CN133" i="1"/>
  <c r="AN124" i="1"/>
  <c r="CR114" i="1"/>
  <c r="AR105" i="1"/>
  <c r="CV95" i="1"/>
  <c r="AV86" i="1"/>
  <c r="CZ76" i="1"/>
  <c r="AZ67" i="1"/>
  <c r="BV204" i="1"/>
  <c r="CM147" i="1"/>
  <c r="CU109" i="1"/>
  <c r="DC71" i="1"/>
  <c r="DB57" i="1"/>
  <c r="BB48" i="1"/>
  <c r="DF38" i="1"/>
  <c r="BF29" i="1"/>
  <c r="F20" i="1"/>
  <c r="BJ10" i="1"/>
  <c r="BF260" i="1"/>
  <c r="AA90" i="1"/>
  <c r="S42" i="1"/>
  <c r="DG11" i="1"/>
  <c r="AD225" i="1"/>
  <c r="DC152" i="1"/>
  <c r="G115" i="1"/>
  <c r="DI66" i="1"/>
  <c r="BB298" i="1"/>
  <c r="BJ260" i="1"/>
  <c r="BR222" i="1"/>
  <c r="BZ184" i="1"/>
  <c r="AF171" i="1"/>
  <c r="CJ161" i="1"/>
  <c r="AJ152" i="1"/>
  <c r="CN142" i="1"/>
  <c r="AN133" i="1"/>
  <c r="CE343" i="1"/>
  <c r="BL242" i="1"/>
  <c r="BO336" i="1"/>
  <c r="AQ242" i="1"/>
  <c r="BL307" i="1"/>
  <c r="BL251" i="1"/>
  <c r="BT213" i="1"/>
  <c r="R386" i="1"/>
  <c r="AY289" i="1"/>
  <c r="BG251" i="1"/>
  <c r="BO213" i="1"/>
  <c r="AI343" i="1"/>
  <c r="AV280" i="1"/>
  <c r="BD242" i="1"/>
  <c r="BL204" i="1"/>
  <c r="AI336" i="1"/>
  <c r="AA280" i="1"/>
  <c r="AI242" i="1"/>
  <c r="AQ204" i="1"/>
  <c r="CB268" i="1"/>
  <c r="BG268" i="1"/>
  <c r="BP290" i="1"/>
  <c r="CF214" i="1"/>
  <c r="BK290" i="1"/>
  <c r="CA214" i="1"/>
  <c r="AL288" i="1"/>
  <c r="AI344" i="1"/>
  <c r="AA282" i="1"/>
  <c r="AI244" i="1"/>
  <c r="AQ206" i="1"/>
  <c r="BD309" i="1"/>
  <c r="BL271" i="1"/>
  <c r="AQ420" i="1"/>
  <c r="AU459" i="1"/>
  <c r="CP330" i="1"/>
  <c r="Q355" i="1"/>
  <c r="CC344" i="1"/>
  <c r="O365" i="1"/>
  <c r="V379" i="1"/>
  <c r="AA464" i="1"/>
  <c r="CZ334" i="1"/>
  <c r="BM308" i="1"/>
  <c r="BU270" i="1"/>
  <c r="CC232" i="1"/>
  <c r="CK194" i="1"/>
  <c r="J356" i="1"/>
  <c r="AC319" i="1"/>
  <c r="CN356" i="1"/>
  <c r="M224" i="1"/>
  <c r="X344" i="1"/>
  <c r="Q278" i="1"/>
  <c r="AS193" i="1"/>
  <c r="CB250" i="1"/>
  <c r="R370" i="1"/>
  <c r="BG250" i="1"/>
  <c r="AA329" i="1"/>
  <c r="BL255" i="1"/>
  <c r="BT217" i="1"/>
  <c r="CB179" i="1"/>
  <c r="AY293" i="1"/>
  <c r="BG255" i="1"/>
  <c r="BO217" i="1"/>
  <c r="CD398" i="1"/>
  <c r="AV284" i="1"/>
  <c r="BD246" i="1"/>
  <c r="BL208" i="1"/>
  <c r="AI352" i="1"/>
  <c r="AA284" i="1"/>
  <c r="AI246" i="1"/>
  <c r="AQ208" i="1"/>
  <c r="BT307" i="1"/>
  <c r="CB269" i="1"/>
  <c r="CJ231" i="1"/>
  <c r="CR193" i="1"/>
  <c r="BO307" i="1"/>
  <c r="BW269" i="1"/>
  <c r="CE231" i="1"/>
  <c r="CM193" i="1"/>
  <c r="BJ270" i="1"/>
  <c r="CR353" i="1"/>
  <c r="Q221" i="1"/>
  <c r="AB341" i="1"/>
  <c r="BE276" i="1"/>
  <c r="CS186" i="1"/>
  <c r="L249" i="1"/>
  <c r="BW362" i="1"/>
  <c r="CU248" i="1"/>
  <c r="BS320" i="1"/>
  <c r="CN254" i="1"/>
  <c r="CV216" i="1"/>
  <c r="S474" i="1"/>
  <c r="CA292" i="1"/>
  <c r="CI254" i="1"/>
  <c r="CQ216" i="1"/>
  <c r="AE366" i="1"/>
  <c r="BX283" i="1"/>
  <c r="CF245" i="1"/>
  <c r="CN207" i="1"/>
  <c r="AM349" i="1"/>
  <c r="BC283" i="1"/>
  <c r="BK245" i="1"/>
  <c r="BS207" i="1"/>
  <c r="CV306" i="1"/>
  <c r="DD268" i="1"/>
  <c r="H231" i="1"/>
  <c r="P193" i="1"/>
  <c r="CQ306" i="1"/>
  <c r="CY268" i="1"/>
  <c r="DG230" i="1"/>
  <c r="AN315" i="1"/>
  <c r="BQ182" i="1"/>
  <c r="AV314" i="1"/>
  <c r="AS257" i="1"/>
  <c r="CN305" i="1"/>
  <c r="DD229" i="1"/>
  <c r="BS305" i="1"/>
  <c r="CI229" i="1"/>
  <c r="DD294" i="1"/>
  <c r="X245" i="1"/>
  <c r="AF207" i="1"/>
  <c r="CA347" i="1"/>
  <c r="K283" i="1"/>
  <c r="S245" i="1"/>
  <c r="CX411" i="1"/>
  <c r="V411" i="1"/>
  <c r="BO470" i="1"/>
  <c r="BM254" i="1"/>
  <c r="DH302" i="1"/>
  <c r="T227" i="1"/>
  <c r="CM302" i="1"/>
  <c r="DC226" i="1"/>
  <c r="T292" i="1"/>
  <c r="CR243" i="1"/>
  <c r="CZ205" i="1"/>
  <c r="AQ342" i="1"/>
  <c r="CE281" i="1"/>
  <c r="CM243" i="1"/>
  <c r="CU205" i="1"/>
  <c r="BT310" i="1"/>
  <c r="CB272" i="1"/>
  <c r="CJ234" i="1"/>
  <c r="CR196" i="1"/>
  <c r="AY310" i="1"/>
  <c r="BG272" i="1"/>
  <c r="BO234" i="1"/>
  <c r="BW196" i="1"/>
  <c r="CV237" i="1"/>
  <c r="CA237" i="1"/>
  <c r="X275" i="1"/>
  <c r="AN199" i="1"/>
  <c r="S275" i="1"/>
  <c r="BS200" i="1"/>
  <c r="AX247" i="1"/>
  <c r="BV150" i="1"/>
  <c r="AZ309" i="1"/>
  <c r="AE309" i="1"/>
  <c r="T233" i="1"/>
  <c r="CI272" i="1"/>
  <c r="CH141" i="1"/>
  <c r="CD96" i="1"/>
  <c r="CD300" i="1"/>
  <c r="CO171" i="1"/>
  <c r="CW133" i="1"/>
  <c r="DE95" i="1"/>
  <c r="CT295" i="1"/>
  <c r="BR170" i="1"/>
  <c r="BZ132" i="1"/>
  <c r="CH94" i="1"/>
  <c r="BB293" i="1"/>
  <c r="DI169" i="1"/>
  <c r="M132" i="1"/>
  <c r="U94" i="1"/>
  <c r="R295" i="1"/>
  <c r="AX170" i="1"/>
  <c r="BF132" i="1"/>
  <c r="BN94" i="1"/>
  <c r="CD292" i="1"/>
  <c r="CO169" i="1"/>
  <c r="CW131" i="1"/>
  <c r="DE93" i="1"/>
  <c r="CT287" i="1"/>
  <c r="BR168" i="1"/>
  <c r="BU196" i="1"/>
  <c r="V383" i="1"/>
  <c r="BO351" i="1"/>
  <c r="CZ243" i="1"/>
  <c r="BW342" i="1"/>
  <c r="CU243" i="1"/>
  <c r="CU179" i="1"/>
  <c r="BZ175" i="1"/>
  <c r="N135" i="1"/>
  <c r="V97" i="1"/>
  <c r="BF302" i="1"/>
  <c r="AG172" i="1"/>
  <c r="AO134" i="1"/>
  <c r="AW96" i="1"/>
  <c r="BV297" i="1"/>
  <c r="J171" i="1"/>
  <c r="R133" i="1"/>
  <c r="Z95" i="1"/>
  <c r="AD295" i="1"/>
  <c r="BA170" i="1"/>
  <c r="BI132" i="1"/>
  <c r="DH212" i="1"/>
  <c r="CM212" i="1"/>
  <c r="CF262" i="1"/>
  <c r="CV186" i="1"/>
  <c r="CA262" i="1"/>
  <c r="AM192" i="1"/>
  <c r="AD214" i="1"/>
  <c r="AX144" i="1"/>
  <c r="BF106" i="1"/>
  <c r="BN68" i="1"/>
  <c r="R188" i="1"/>
  <c r="BY143" i="1"/>
  <c r="CC124" i="1"/>
  <c r="CG105" i="1"/>
  <c r="CK86" i="1"/>
  <c r="AY181" i="1"/>
  <c r="R259" i="1"/>
  <c r="AH183" i="1"/>
  <c r="AX161" i="1"/>
  <c r="BB142" i="1"/>
  <c r="BF123" i="1"/>
  <c r="BJ104" i="1"/>
  <c r="BN85" i="1"/>
  <c r="BR66" i="1"/>
  <c r="CD256" i="1"/>
  <c r="CT180" i="1"/>
  <c r="CO160" i="1"/>
  <c r="CS141" i="1"/>
  <c r="CW122" i="1"/>
  <c r="DA103" i="1"/>
  <c r="DE84" i="1"/>
  <c r="W181" i="1"/>
  <c r="AT258" i="1"/>
  <c r="BJ182" i="1"/>
  <c r="AD161" i="1"/>
  <c r="AH142" i="1"/>
  <c r="AL123" i="1"/>
  <c r="AP104" i="1"/>
  <c r="AT85" i="1"/>
  <c r="AX66" i="1"/>
  <c r="DF255" i="1"/>
  <c r="BT290" i="1"/>
  <c r="CJ214" i="1"/>
  <c r="AY290" i="1"/>
  <c r="BO214" i="1"/>
  <c r="AV301" i="1"/>
  <c r="BD263" i="1"/>
  <c r="BL225" i="1"/>
  <c r="BT187" i="1"/>
  <c r="AQ301" i="1"/>
  <c r="AY263" i="1"/>
  <c r="BG225" i="1"/>
  <c r="CY192" i="1"/>
  <c r="S333" i="1"/>
  <c r="BR216" i="1"/>
  <c r="CP163" i="1"/>
  <c r="CT144" i="1"/>
  <c r="CX125" i="1"/>
  <c r="DB106" i="1"/>
  <c r="DF87" i="1"/>
  <c r="F69" i="1"/>
  <c r="CH265" i="1"/>
  <c r="CX189" i="1"/>
  <c r="M163" i="1"/>
  <c r="Q144" i="1"/>
  <c r="U125" i="1"/>
  <c r="Y106" i="1"/>
  <c r="AC87" i="1"/>
  <c r="G182" i="1"/>
  <c r="CX260" i="1"/>
  <c r="J185" i="1"/>
  <c r="CT161" i="1"/>
  <c r="CX142" i="1"/>
  <c r="DB123" i="1"/>
  <c r="DF104" i="1"/>
  <c r="F86" i="1"/>
  <c r="J67" i="1"/>
  <c r="BF258" i="1"/>
  <c r="BV182" i="1"/>
  <c r="AG161" i="1"/>
  <c r="AK142" i="1"/>
  <c r="AO123" i="1"/>
  <c r="AS104" i="1"/>
  <c r="AW85" i="1"/>
  <c r="CI181" i="1"/>
  <c r="V260" i="1"/>
  <c r="AL184" i="1"/>
  <c r="BZ161" i="1"/>
  <c r="CD142" i="1"/>
  <c r="CH123" i="1"/>
  <c r="CL104" i="1"/>
  <c r="CP85" i="1"/>
  <c r="CT66" i="1"/>
  <c r="CH257" i="1"/>
  <c r="CX181" i="1"/>
  <c r="Y168" i="1"/>
  <c r="CC158" i="1"/>
  <c r="AC149" i="1"/>
  <c r="CG139" i="1"/>
  <c r="AG130" i="1"/>
  <c r="CK120" i="1"/>
  <c r="AK111" i="1"/>
  <c r="CO101" i="1"/>
  <c r="AO92" i="1"/>
  <c r="CS82" i="1"/>
  <c r="W191" i="1"/>
  <c r="CQ340" i="1"/>
  <c r="AP281" i="1"/>
  <c r="AX243" i="1"/>
  <c r="BF205" i="1"/>
  <c r="BB176" i="1"/>
  <c r="DF166" i="1"/>
  <c r="BF157" i="1"/>
  <c r="F148" i="1"/>
  <c r="BQ126" i="1"/>
  <c r="BY88" i="1"/>
  <c r="Z273" i="1"/>
  <c r="DB164" i="1"/>
  <c r="F127" i="1"/>
  <c r="N89" i="1"/>
  <c r="CL270" i="1"/>
  <c r="CT184" i="1"/>
  <c r="CO161" i="1"/>
  <c r="CS142" i="1"/>
  <c r="CW123" i="1"/>
  <c r="DA104" i="1"/>
  <c r="DE85" i="1"/>
  <c r="AQ180" i="1"/>
  <c r="CT255" i="1"/>
  <c r="F180" i="1"/>
  <c r="BR160" i="1"/>
  <c r="BV141" i="1"/>
  <c r="R131" i="1"/>
  <c r="BV121" i="1"/>
  <c r="V112" i="1"/>
  <c r="BZ102" i="1"/>
  <c r="Z93" i="1"/>
  <c r="CD83" i="1"/>
  <c r="AD74" i="1"/>
  <c r="G362" i="1"/>
  <c r="BV286" i="1"/>
  <c r="CD248" i="1"/>
  <c r="CL210" i="1"/>
  <c r="CK177" i="1"/>
  <c r="AK168" i="1"/>
  <c r="CO158" i="1"/>
  <c r="AO149" i="1"/>
  <c r="CS139" i="1"/>
  <c r="AS130" i="1"/>
  <c r="CW120" i="1"/>
  <c r="AW111" i="1"/>
  <c r="DA101" i="1"/>
  <c r="BA92" i="1"/>
  <c r="DE82" i="1"/>
  <c r="BE73" i="1"/>
  <c r="CD390" i="1"/>
  <c r="CD289" i="1"/>
  <c r="CL251" i="1"/>
  <c r="CT213" i="1"/>
  <c r="BL178" i="1"/>
  <c r="L169" i="1"/>
  <c r="BP159" i="1"/>
  <c r="P150" i="1"/>
  <c r="BT140" i="1"/>
  <c r="T131" i="1"/>
  <c r="BX121" i="1"/>
  <c r="X112" i="1"/>
  <c r="CB102" i="1"/>
  <c r="AB93" i="1"/>
  <c r="CF83" i="1"/>
  <c r="AF74" i="1"/>
  <c r="BC318" i="1"/>
  <c r="K175" i="1"/>
  <c r="S137" i="1"/>
  <c r="AA99" i="1"/>
  <c r="CH64" i="1"/>
  <c r="AH55" i="1"/>
  <c r="CL45" i="1"/>
  <c r="AL36" i="1"/>
  <c r="CP26" i="1"/>
  <c r="AP17" i="1"/>
  <c r="CT7" i="1"/>
  <c r="BW166" i="1"/>
  <c r="CM63" i="1"/>
  <c r="CM33" i="1"/>
  <c r="BO3" i="1"/>
  <c r="BN182" i="1"/>
  <c r="AI142" i="1"/>
  <c r="AQ104" i="1"/>
  <c r="BS366" i="1"/>
  <c r="CL287" i="1"/>
  <c r="CT249" i="1"/>
  <c r="DB211" i="1"/>
  <c r="L178" i="1"/>
  <c r="BP168" i="1"/>
  <c r="P159" i="1"/>
  <c r="BT149" i="1"/>
  <c r="T140" i="1"/>
  <c r="BX130" i="1"/>
  <c r="CQ192" i="1"/>
  <c r="BP297" i="1"/>
  <c r="BX259" i="1"/>
  <c r="CF221" i="1"/>
  <c r="CN183" i="1"/>
  <c r="AU297" i="1"/>
  <c r="BC259" i="1"/>
  <c r="BK221" i="1"/>
  <c r="CI194" i="1"/>
  <c r="CF185" i="1"/>
  <c r="DI186" i="1"/>
  <c r="P249" i="1"/>
  <c r="AU363" i="1"/>
  <c r="K249" i="1"/>
  <c r="AI183" i="1"/>
  <c r="DB178" i="1"/>
  <c r="Z154" i="1"/>
  <c r="AD135" i="1"/>
  <c r="Z122" i="1"/>
  <c r="CD112" i="1"/>
  <c r="AD103" i="1"/>
  <c r="CH93" i="1"/>
  <c r="AH84" i="1"/>
  <c r="CL74" i="1"/>
  <c r="N377" i="1"/>
  <c r="CT288" i="1"/>
  <c r="DB250" i="1"/>
  <c r="F213" i="1"/>
  <c r="AO178" i="1"/>
  <c r="CS168" i="1"/>
  <c r="AS159" i="1"/>
  <c r="CW149" i="1"/>
  <c r="AW140" i="1"/>
  <c r="DA130" i="1"/>
  <c r="BA121" i="1"/>
  <c r="DE111" i="1"/>
  <c r="BE102" i="1"/>
  <c r="DI92" i="1"/>
  <c r="BI83" i="1"/>
  <c r="I74" i="1"/>
  <c r="BG351" i="1"/>
  <c r="F284" i="1"/>
  <c r="N246" i="1"/>
  <c r="V208" i="1"/>
  <c r="R177" i="1"/>
  <c r="BV167" i="1"/>
  <c r="V158" i="1"/>
  <c r="BZ148" i="1"/>
  <c r="Z139" i="1"/>
  <c r="CD129" i="1"/>
  <c r="AD120" i="1"/>
  <c r="CH110" i="1"/>
  <c r="AH101" i="1"/>
  <c r="CL91" i="1"/>
  <c r="AL82" i="1"/>
  <c r="CP72" i="1"/>
  <c r="CU341" i="1"/>
  <c r="BR281" i="1"/>
  <c r="BZ243" i="1"/>
  <c r="CH205" i="1"/>
  <c r="BI176" i="1"/>
  <c r="I167" i="1"/>
  <c r="BM157" i="1"/>
  <c r="M148" i="1"/>
  <c r="BQ138" i="1"/>
  <c r="Q129" i="1"/>
  <c r="BU119" i="1"/>
  <c r="U110" i="1"/>
  <c r="BY100" i="1"/>
  <c r="Y91" i="1"/>
  <c r="CC81" i="1"/>
  <c r="AC72" i="1"/>
  <c r="BK348" i="1"/>
  <c r="AH283" i="1"/>
  <c r="AP245" i="1"/>
  <c r="AX207" i="1"/>
  <c r="DB176" i="1"/>
  <c r="BB167" i="1"/>
  <c r="DF157" i="1"/>
  <c r="BF148" i="1"/>
  <c r="F139" i="1"/>
  <c r="BJ129" i="1"/>
  <c r="J120" i="1"/>
  <c r="BN110" i="1"/>
  <c r="N101" i="1"/>
  <c r="BR91" i="1"/>
  <c r="R82" i="1"/>
  <c r="BV72" i="1"/>
  <c r="CY338" i="1"/>
  <c r="CT280" i="1"/>
  <c r="DB242" i="1"/>
  <c r="F205" i="1"/>
  <c r="AO176" i="1"/>
  <c r="CS166" i="1"/>
  <c r="AS157" i="1"/>
  <c r="CW147" i="1"/>
  <c r="AW138" i="1"/>
  <c r="DA128" i="1"/>
  <c r="BA119" i="1"/>
  <c r="DE109" i="1"/>
  <c r="BE100" i="1"/>
  <c r="DI90" i="1"/>
  <c r="BI81" i="1"/>
  <c r="W187" i="1"/>
  <c r="BG319" i="1"/>
  <c r="F276" i="1"/>
  <c r="N238" i="1"/>
  <c r="V200" i="1"/>
  <c r="R175" i="1"/>
  <c r="BV165" i="1"/>
  <c r="V156" i="1"/>
  <c r="BZ146" i="1"/>
  <c r="CI210" i="1"/>
  <c r="AM328" i="1"/>
  <c r="BP277" i="1"/>
  <c r="BX239" i="1"/>
  <c r="CF201" i="1"/>
  <c r="G325" i="1"/>
  <c r="AU277" i="1"/>
  <c r="BC239" i="1"/>
  <c r="BK201" i="1"/>
  <c r="AY319" i="1"/>
  <c r="CV294" i="1"/>
  <c r="CZ275" i="1"/>
  <c r="DD256" i="1"/>
  <c r="DH237" i="1"/>
  <c r="H219" i="1"/>
  <c r="L200" i="1"/>
  <c r="P181" i="1"/>
  <c r="DC318" i="1"/>
  <c r="CQ294" i="1"/>
  <c r="CU275" i="1"/>
  <c r="CY256" i="1"/>
  <c r="DC237" i="1"/>
  <c r="DG218" i="1"/>
  <c r="AA201" i="1"/>
  <c r="BS188" i="1"/>
  <c r="BS186" i="1"/>
  <c r="V300" i="1"/>
  <c r="CL249" i="1"/>
  <c r="CP198" i="1"/>
  <c r="BZ171" i="1"/>
  <c r="BN160" i="1"/>
  <c r="N151" i="1"/>
  <c r="BR141" i="1"/>
  <c r="R132" i="1"/>
  <c r="BV122" i="1"/>
  <c r="V113" i="1"/>
  <c r="BZ103" i="1"/>
  <c r="Z94" i="1"/>
  <c r="CD84" i="1"/>
  <c r="AD75" i="1"/>
  <c r="BJ405" i="1"/>
  <c r="BV290" i="1"/>
  <c r="CD252" i="1"/>
  <c r="CL214" i="1"/>
  <c r="CK178" i="1"/>
  <c r="AK169" i="1"/>
  <c r="CO159" i="1"/>
  <c r="AO150" i="1"/>
  <c r="CS140" i="1"/>
  <c r="AS131" i="1"/>
  <c r="CW121" i="1"/>
  <c r="AW112" i="1"/>
  <c r="DA102" i="1"/>
  <c r="BA93" i="1"/>
  <c r="DE83" i="1"/>
  <c r="BE74" i="1"/>
  <c r="BS358" i="1"/>
  <c r="CL285" i="1"/>
  <c r="CT247" i="1"/>
  <c r="DB209" i="1"/>
  <c r="BN177" i="1"/>
  <c r="N168" i="1"/>
  <c r="BR158" i="1"/>
  <c r="R149" i="1"/>
  <c r="BV139" i="1"/>
  <c r="V130" i="1"/>
  <c r="BZ120" i="1"/>
  <c r="Z111" i="1"/>
  <c r="CD101" i="1"/>
  <c r="AD92" i="1"/>
  <c r="CH82" i="1"/>
  <c r="AH73" i="1"/>
  <c r="DG348" i="1"/>
  <c r="AT283" i="1"/>
  <c r="BB245" i="1"/>
  <c r="BJ207" i="1"/>
  <c r="DE176" i="1"/>
  <c r="BE167" i="1"/>
  <c r="DI157" i="1"/>
  <c r="BI148" i="1"/>
  <c r="I139" i="1"/>
  <c r="W210" i="1"/>
  <c r="K325" i="1"/>
  <c r="DH276" i="1"/>
  <c r="L239" i="1"/>
  <c r="T201" i="1"/>
  <c r="BW322" i="1"/>
  <c r="CM276" i="1"/>
  <c r="CU238" i="1"/>
  <c r="DC200" i="1"/>
  <c r="BK318" i="1"/>
  <c r="CF294" i="1"/>
  <c r="CJ275" i="1"/>
  <c r="CN256" i="1"/>
  <c r="CR237" i="1"/>
  <c r="CV218" i="1"/>
  <c r="CZ199" i="1"/>
  <c r="DD180" i="1"/>
  <c r="AQ318" i="1"/>
  <c r="CA294" i="1"/>
  <c r="CE275" i="1"/>
  <c r="CI256" i="1"/>
  <c r="CM237" i="1"/>
  <c r="CQ218" i="1"/>
  <c r="K201" i="1"/>
  <c r="AM188" i="1"/>
  <c r="AY186" i="1"/>
  <c r="BN299" i="1"/>
  <c r="BR248" i="1"/>
  <c r="AD198" i="1"/>
  <c r="BJ171" i="1"/>
  <c r="AX160" i="1"/>
  <c r="DB150" i="1"/>
  <c r="BB141" i="1"/>
  <c r="DF131" i="1"/>
  <c r="BF122" i="1"/>
  <c r="F113" i="1"/>
  <c r="BJ103" i="1"/>
  <c r="J94" i="1"/>
  <c r="BN84" i="1"/>
  <c r="N75" i="1"/>
  <c r="J396" i="1"/>
  <c r="J290" i="1"/>
  <c r="R252" i="1"/>
  <c r="Z214" i="1"/>
  <c r="BU178" i="1"/>
  <c r="U169" i="1"/>
  <c r="BY159" i="1"/>
  <c r="Y150" i="1"/>
  <c r="CC140" i="1"/>
  <c r="AC131" i="1"/>
  <c r="CG121" i="1"/>
  <c r="AG112" i="1"/>
  <c r="CK102" i="1"/>
  <c r="AK93" i="1"/>
  <c r="CO83" i="1"/>
  <c r="AO74" i="1"/>
  <c r="AE356" i="1"/>
  <c r="Z285" i="1"/>
  <c r="AH247" i="1"/>
  <c r="AP209" i="1"/>
  <c r="AX177" i="1"/>
  <c r="DB167" i="1"/>
  <c r="BB158" i="1"/>
  <c r="DF148" i="1"/>
  <c r="BF139" i="1"/>
  <c r="F130" i="1"/>
  <c r="BJ120" i="1"/>
  <c r="J111" i="1"/>
  <c r="BN101" i="1"/>
  <c r="N92" i="1"/>
  <c r="BR82" i="1"/>
  <c r="R73" i="1"/>
  <c r="BS346" i="1"/>
  <c r="CL282" i="1"/>
  <c r="CT244" i="1"/>
  <c r="DB206" i="1"/>
  <c r="CO176" i="1"/>
  <c r="AO167" i="1"/>
  <c r="CS157" i="1"/>
  <c r="AS148" i="1"/>
  <c r="CW138" i="1"/>
  <c r="AW129" i="1"/>
  <c r="DA119" i="1"/>
  <c r="BA110" i="1"/>
  <c r="DE100" i="1"/>
  <c r="BE91" i="1"/>
  <c r="DI81" i="1"/>
  <c r="BI72" i="1"/>
  <c r="AI353" i="1"/>
  <c r="BB284" i="1"/>
  <c r="BC190" i="1"/>
  <c r="AB295" i="1"/>
  <c r="AJ257" i="1"/>
  <c r="AR219" i="1"/>
  <c r="AZ181" i="1"/>
  <c r="G295" i="1"/>
  <c r="O257" i="1"/>
  <c r="W219" i="1"/>
  <c r="DI198" i="1"/>
  <c r="BV392" i="1"/>
  <c r="S355" i="1"/>
  <c r="AR244" i="1"/>
  <c r="AY344" i="1"/>
  <c r="AM244" i="1"/>
  <c r="G180" i="1"/>
  <c r="CP175" i="1"/>
  <c r="BR153" i="1"/>
  <c r="BV134" i="1"/>
  <c r="BR121" i="1"/>
  <c r="R112" i="1"/>
  <c r="BV102" i="1"/>
  <c r="V93" i="1"/>
  <c r="BZ83" i="1"/>
  <c r="Z74" i="1"/>
  <c r="AY361" i="1"/>
  <c r="BF286" i="1"/>
  <c r="BN248" i="1"/>
  <c r="BV210" i="1"/>
  <c r="CG177" i="1"/>
  <c r="AG168" i="1"/>
  <c r="CK158" i="1"/>
  <c r="AK149" i="1"/>
  <c r="CO139" i="1"/>
  <c r="AO130" i="1"/>
  <c r="CS120" i="1"/>
  <c r="AS111" i="1"/>
  <c r="CW101" i="1"/>
  <c r="AW92" i="1"/>
  <c r="DA82" i="1"/>
  <c r="BC191" i="1"/>
  <c r="G342" i="1"/>
  <c r="BV281" i="1"/>
  <c r="CD243" i="1"/>
  <c r="CL205" i="1"/>
  <c r="BJ176" i="1"/>
  <c r="J167" i="1"/>
  <c r="BN157" i="1"/>
  <c r="N148" i="1"/>
  <c r="BR138" i="1"/>
  <c r="R129" i="1"/>
  <c r="BV119" i="1"/>
  <c r="V110" i="1"/>
  <c r="BZ100" i="1"/>
  <c r="Z91" i="1"/>
  <c r="CD81" i="1"/>
  <c r="AD72" i="1"/>
  <c r="AU332" i="1"/>
  <c r="AD279" i="1"/>
  <c r="AL241" i="1"/>
  <c r="AT203" i="1"/>
  <c r="DA175" i="1"/>
  <c r="BA166" i="1"/>
  <c r="DE156" i="1"/>
  <c r="BE147" i="1"/>
  <c r="DI137" i="1"/>
  <c r="BI128" i="1"/>
  <c r="I119" i="1"/>
  <c r="BM109" i="1"/>
  <c r="M100" i="1"/>
  <c r="BQ90" i="1"/>
  <c r="Q81" i="1"/>
  <c r="CE190" i="1"/>
  <c r="K339" i="1"/>
  <c r="CX280" i="1"/>
  <c r="DF242" i="1"/>
  <c r="J205" i="1"/>
  <c r="AP176" i="1"/>
  <c r="CT166" i="1"/>
  <c r="AT157" i="1"/>
  <c r="CX147" i="1"/>
  <c r="AX138" i="1"/>
  <c r="DB128" i="1"/>
  <c r="BB119" i="1"/>
  <c r="DF109" i="1"/>
  <c r="BF100" i="1"/>
  <c r="F91" i="1"/>
  <c r="BJ81" i="1"/>
  <c r="J72" i="1"/>
  <c r="AY329" i="1"/>
  <c r="BF278" i="1"/>
  <c r="BN240" i="1"/>
  <c r="BV202" i="1"/>
  <c r="CG175" i="1"/>
  <c r="AG166" i="1"/>
  <c r="CK156" i="1"/>
  <c r="AK147" i="1"/>
  <c r="CO137" i="1"/>
  <c r="AO128" i="1"/>
  <c r="CS118" i="1"/>
  <c r="AS109" i="1"/>
  <c r="CW99" i="1"/>
  <c r="AW90" i="1"/>
  <c r="DA80" i="1"/>
  <c r="AI186" i="1"/>
  <c r="BN311" i="1"/>
  <c r="BV273" i="1"/>
  <c r="CD235" i="1"/>
  <c r="CL197" i="1"/>
  <c r="BJ174" i="1"/>
  <c r="J165" i="1"/>
  <c r="BN155" i="1"/>
  <c r="N146" i="1"/>
  <c r="AU208" i="1"/>
  <c r="AM316" i="1"/>
  <c r="AB275" i="1"/>
  <c r="AJ237" i="1"/>
  <c r="AR199" i="1"/>
  <c r="BK315" i="1"/>
  <c r="G275" i="1"/>
  <c r="O237" i="1"/>
  <c r="W199" i="1"/>
  <c r="AU314" i="1"/>
  <c r="CB293" i="1"/>
  <c r="CF274" i="1"/>
  <c r="CJ255" i="1"/>
  <c r="CN236" i="1"/>
  <c r="CR217" i="1"/>
  <c r="CV198" i="1"/>
  <c r="CZ179" i="1"/>
  <c r="AA314" i="1"/>
  <c r="BW293" i="1"/>
  <c r="CA274" i="1"/>
  <c r="CE255" i="1"/>
  <c r="CI236" i="1"/>
  <c r="CM217" i="1"/>
  <c r="BC200" i="1"/>
  <c r="CE187" i="1"/>
  <c r="BS185" i="1"/>
  <c r="Z297" i="1"/>
  <c r="AD246" i="1"/>
  <c r="CT195" i="1"/>
  <c r="DB170" i="1"/>
  <c r="DF159" i="1"/>
  <c r="BF150" i="1"/>
  <c r="F141" i="1"/>
  <c r="BJ131" i="1"/>
  <c r="J122" i="1"/>
  <c r="BN112" i="1"/>
  <c r="N103" i="1"/>
  <c r="BR93" i="1"/>
  <c r="R84" i="1"/>
  <c r="BV74" i="1"/>
  <c r="BK368" i="1"/>
  <c r="AH288" i="1"/>
  <c r="AP250" i="1"/>
  <c r="AX212" i="1"/>
  <c r="Y178" i="1"/>
  <c r="CC168" i="1"/>
  <c r="AC159" i="1"/>
  <c r="CG149" i="1"/>
  <c r="AG140" i="1"/>
  <c r="CK130" i="1"/>
  <c r="AK121" i="1"/>
  <c r="CO111" i="1"/>
  <c r="AO102" i="1"/>
  <c r="CS92" i="1"/>
  <c r="AS83" i="1"/>
  <c r="CW73" i="1"/>
  <c r="S349" i="1"/>
  <c r="AX283" i="1"/>
  <c r="BF245" i="1"/>
  <c r="BN207" i="1"/>
  <c r="DF176" i="1"/>
  <c r="BF167" i="1"/>
  <c r="F158" i="1"/>
  <c r="BJ148" i="1"/>
  <c r="J139" i="1"/>
  <c r="BN129" i="1"/>
  <c r="N120" i="1"/>
  <c r="BR110" i="1"/>
  <c r="R101" i="1"/>
  <c r="BV91" i="1"/>
  <c r="V82" i="1"/>
  <c r="BZ72" i="1"/>
  <c r="BG339" i="1"/>
  <c r="F281" i="1"/>
  <c r="N243" i="1"/>
  <c r="V205" i="1"/>
  <c r="AS176" i="1"/>
  <c r="CW166" i="1"/>
  <c r="AW157" i="1"/>
  <c r="DA147" i="1"/>
  <c r="BA138" i="1"/>
  <c r="CM207" i="1"/>
  <c r="DC313" i="1"/>
  <c r="BT274" i="1"/>
  <c r="CB236" i="1"/>
  <c r="CJ198" i="1"/>
  <c r="W313" i="1"/>
  <c r="AY274" i="1"/>
  <c r="BG236" i="1"/>
  <c r="BO198" i="1"/>
  <c r="CM313" i="1"/>
  <c r="BL293" i="1"/>
  <c r="BP274" i="1"/>
  <c r="BT255" i="1"/>
  <c r="BX236" i="1"/>
  <c r="CB217" i="1"/>
  <c r="CF198" i="1"/>
  <c r="CJ179" i="1"/>
  <c r="BS313" i="1"/>
  <c r="BG293" i="1"/>
  <c r="BK274" i="1"/>
  <c r="BO255" i="1"/>
  <c r="BS236" i="1"/>
  <c r="BW217" i="1"/>
  <c r="W200" i="1"/>
  <c r="BO187" i="1"/>
  <c r="AY185" i="1"/>
  <c r="F296" i="1"/>
  <c r="BV245" i="1"/>
  <c r="AH195" i="1"/>
  <c r="BV170" i="1"/>
  <c r="CP159" i="1"/>
  <c r="AP150" i="1"/>
  <c r="CT140" i="1"/>
  <c r="AT131" i="1"/>
  <c r="CX121" i="1"/>
  <c r="AX112" i="1"/>
  <c r="DB102" i="1"/>
  <c r="BB93" i="1"/>
  <c r="DF83" i="1"/>
  <c r="BF74" i="1"/>
  <c r="W366" i="1"/>
  <c r="BZ287" i="1"/>
  <c r="CH249" i="1"/>
  <c r="CP211" i="1"/>
  <c r="I178" i="1"/>
  <c r="BM168" i="1"/>
  <c r="M159" i="1"/>
  <c r="BQ149" i="1"/>
  <c r="Q140" i="1"/>
  <c r="BU130" i="1"/>
  <c r="U121" i="1"/>
  <c r="BY111" i="1"/>
  <c r="Y102" i="1"/>
  <c r="CC92" i="1"/>
  <c r="AC83" i="1"/>
  <c r="CG73" i="1"/>
  <c r="CI346" i="1"/>
  <c r="CP282" i="1"/>
  <c r="CX244" i="1"/>
  <c r="DF206" i="1"/>
  <c r="CP176" i="1"/>
  <c r="AP167" i="1"/>
  <c r="CT157" i="1"/>
  <c r="AT148" i="1"/>
  <c r="CX138" i="1"/>
  <c r="AX129" i="1"/>
  <c r="DB119" i="1"/>
  <c r="BB110" i="1"/>
  <c r="DF100" i="1"/>
  <c r="BF91" i="1"/>
  <c r="F82" i="1"/>
  <c r="BJ72" i="1"/>
  <c r="S337" i="1"/>
  <c r="AX280" i="1"/>
  <c r="BF242" i="1"/>
  <c r="BN204" i="1"/>
  <c r="AC176" i="1"/>
  <c r="CG166" i="1"/>
  <c r="AG157" i="1"/>
  <c r="CK147" i="1"/>
  <c r="AK138" i="1"/>
  <c r="CO128" i="1"/>
  <c r="AO119" i="1"/>
  <c r="CS109" i="1"/>
  <c r="AS100" i="1"/>
  <c r="CW90" i="1"/>
  <c r="AW81" i="1"/>
  <c r="CY191" i="1"/>
  <c r="CM343" i="1"/>
  <c r="N282" i="1"/>
  <c r="V244" i="1"/>
  <c r="AD206" i="1"/>
  <c r="BV176" i="1"/>
  <c r="V167" i="1"/>
  <c r="BZ157" i="1"/>
  <c r="Z148" i="1"/>
  <c r="CD138" i="1"/>
  <c r="AD129" i="1"/>
  <c r="CH119" i="1"/>
  <c r="AH110" i="1"/>
  <c r="CL100" i="1"/>
  <c r="AL91" i="1"/>
  <c r="CP81" i="1"/>
  <c r="AP72" i="1"/>
  <c r="W334" i="1"/>
  <c r="BZ279" i="1"/>
  <c r="BO209" i="1"/>
  <c r="DC321" i="1"/>
  <c r="AV276" i="1"/>
  <c r="BD238" i="1"/>
  <c r="BL200" i="1"/>
  <c r="AI320" i="1"/>
  <c r="AA276" i="1"/>
  <c r="AI238" i="1"/>
  <c r="AQ200" i="1"/>
  <c r="CI316" i="1"/>
  <c r="AJ294" i="1"/>
  <c r="AN275" i="1"/>
  <c r="AR256" i="1"/>
  <c r="AV237" i="1"/>
  <c r="AZ218" i="1"/>
  <c r="BD199" i="1"/>
  <c r="BH180" i="1"/>
  <c r="BO316" i="1"/>
  <c r="AE294" i="1"/>
  <c r="AI275" i="1"/>
  <c r="AM256" i="1"/>
  <c r="AQ237" i="1"/>
  <c r="AU218" i="1"/>
  <c r="CI200" i="1"/>
  <c r="W188" i="1"/>
  <c r="AA186" i="1"/>
  <c r="AT298" i="1"/>
  <c r="F248" i="1"/>
  <c r="BV197" i="1"/>
  <c r="AD171" i="1"/>
  <c r="AH160" i="1"/>
  <c r="CL150" i="1"/>
  <c r="AL141" i="1"/>
  <c r="CP131" i="1"/>
  <c r="AP122" i="1"/>
  <c r="CT112" i="1"/>
  <c r="AT103" i="1"/>
  <c r="CX93" i="1"/>
  <c r="AX84" i="1"/>
  <c r="DB74" i="1"/>
  <c r="BN386" i="1"/>
  <c r="BB289" i="1"/>
  <c r="BJ251" i="1"/>
  <c r="BR213" i="1"/>
  <c r="BE178" i="1"/>
  <c r="DI168" i="1"/>
  <c r="BI159" i="1"/>
  <c r="I150" i="1"/>
  <c r="BM140" i="1"/>
  <c r="M131" i="1"/>
  <c r="BQ121" i="1"/>
  <c r="Q112" i="1"/>
  <c r="BU102" i="1"/>
  <c r="U93" i="1"/>
  <c r="BY83" i="1"/>
  <c r="Y74" i="1"/>
  <c r="CU353" i="1"/>
  <c r="BR284" i="1"/>
  <c r="BZ246" i="1"/>
  <c r="CH208" i="1"/>
  <c r="AH177" i="1"/>
  <c r="CL167" i="1"/>
  <c r="AL158" i="1"/>
  <c r="CP148" i="1"/>
  <c r="AP139" i="1"/>
  <c r="CT129" i="1"/>
  <c r="AT120" i="1"/>
  <c r="CX110" i="1"/>
  <c r="AX101" i="1"/>
  <c r="DB91" i="1"/>
  <c r="BB82" i="1"/>
  <c r="DF72" i="1"/>
  <c r="AE344" i="1"/>
  <c r="Z282" i="1"/>
  <c r="AH244" i="1"/>
  <c r="AP206" i="1"/>
  <c r="BY176" i="1"/>
  <c r="Y167" i="1"/>
  <c r="CC157" i="1"/>
  <c r="AC148" i="1"/>
  <c r="CG138" i="1"/>
  <c r="AG129" i="1"/>
  <c r="CK119" i="1"/>
  <c r="AK110" i="1"/>
  <c r="CO100" i="1"/>
  <c r="AO91" i="1"/>
  <c r="CS81" i="1"/>
  <c r="AS72" i="1"/>
  <c r="CY350" i="1"/>
  <c r="CT283" i="1"/>
  <c r="DB245" i="1"/>
  <c r="F208" i="1"/>
  <c r="N177" i="1"/>
  <c r="BR167" i="1"/>
  <c r="R158" i="1"/>
  <c r="BV148" i="1"/>
  <c r="V139" i="1"/>
  <c r="BZ129" i="1"/>
  <c r="Z120" i="1"/>
  <c r="CD110" i="1"/>
  <c r="AD101" i="1"/>
  <c r="CH91" i="1"/>
  <c r="AH82" i="1"/>
  <c r="CL72" i="1"/>
  <c r="AI341" i="1"/>
  <c r="BB281" i="1"/>
  <c r="BJ243" i="1"/>
  <c r="BR205" i="1"/>
  <c r="BE176" i="1"/>
  <c r="DI166" i="1"/>
  <c r="BI157" i="1"/>
  <c r="I148" i="1"/>
  <c r="BM138" i="1"/>
  <c r="M129" i="1"/>
  <c r="BQ119" i="1"/>
  <c r="Q110" i="1"/>
  <c r="BU100" i="1"/>
  <c r="U91" i="1"/>
  <c r="BY81" i="1"/>
  <c r="BC187" i="1"/>
  <c r="CU321" i="1"/>
  <c r="BR276" i="1"/>
  <c r="BZ238" i="1"/>
  <c r="CH200" i="1"/>
  <c r="AH175" i="1"/>
  <c r="CL165" i="1"/>
  <c r="AL156" i="1"/>
  <c r="CP146" i="1"/>
  <c r="CS121" i="1"/>
  <c r="DA83" i="1"/>
  <c r="AD254" i="1"/>
  <c r="Z160" i="1"/>
  <c r="AH122" i="1"/>
  <c r="AP84" i="1"/>
  <c r="CP251" i="1"/>
  <c r="AW178" i="1"/>
  <c r="BA159" i="1"/>
  <c r="BE140" i="1"/>
  <c r="BI121" i="1"/>
  <c r="BM102" i="1"/>
  <c r="BQ83" i="1"/>
  <c r="CA352" i="1"/>
  <c r="AT246" i="1"/>
  <c r="Z177" i="1"/>
  <c r="AD158" i="1"/>
  <c r="AX139" i="1"/>
  <c r="DB129" i="1"/>
  <c r="BB120" i="1"/>
  <c r="DF110" i="1"/>
  <c r="BF101" i="1"/>
  <c r="F92" i="1"/>
  <c r="BJ82" i="1"/>
  <c r="J73" i="1"/>
  <c r="K343" i="1"/>
  <c r="CX281" i="1"/>
  <c r="DF243" i="1"/>
  <c r="J206" i="1"/>
  <c r="BQ176" i="1"/>
  <c r="Q167" i="1"/>
  <c r="BU157" i="1"/>
  <c r="U148" i="1"/>
  <c r="BY138" i="1"/>
  <c r="Y129" i="1"/>
  <c r="CC119" i="1"/>
  <c r="AC110" i="1"/>
  <c r="CG100" i="1"/>
  <c r="AG91" i="1"/>
  <c r="CK81" i="1"/>
  <c r="AK72" i="1"/>
  <c r="AQ355" i="1"/>
  <c r="DF284" i="1"/>
  <c r="J247" i="1"/>
  <c r="R209" i="1"/>
  <c r="AR177" i="1"/>
  <c r="CV167" i="1"/>
  <c r="AV158" i="1"/>
  <c r="CZ148" i="1"/>
  <c r="AZ139" i="1"/>
  <c r="DD129" i="1"/>
  <c r="BD120" i="1"/>
  <c r="DH110" i="1"/>
  <c r="BH101" i="1"/>
  <c r="H92" i="1"/>
  <c r="BL82" i="1"/>
  <c r="L73" i="1"/>
  <c r="CD294" i="1"/>
  <c r="AM170" i="1"/>
  <c r="AU132" i="1"/>
  <c r="BC94" i="1"/>
  <c r="BN63" i="1"/>
  <c r="N54" i="1"/>
  <c r="BR44" i="1"/>
  <c r="R35" i="1"/>
  <c r="BV25" i="1"/>
  <c r="V16" i="1"/>
  <c r="BZ6" i="1"/>
  <c r="CE156" i="1"/>
  <c r="G60" i="1"/>
  <c r="DC29" i="1"/>
  <c r="DG324" i="1"/>
  <c r="BC175" i="1"/>
  <c r="BK137" i="1"/>
  <c r="AC73" i="1"/>
  <c r="BW347" i="1"/>
  <c r="J283" i="1"/>
  <c r="R245" i="1"/>
  <c r="Z207" i="1"/>
  <c r="CV176" i="1"/>
  <c r="AV167" i="1"/>
  <c r="CZ157" i="1"/>
  <c r="AZ148" i="1"/>
  <c r="DD138" i="1"/>
  <c r="BK216" i="1"/>
  <c r="CU363" i="1"/>
  <c r="AR283" i="1"/>
  <c r="AZ245" i="1"/>
  <c r="BH207" i="1"/>
  <c r="S348" i="1"/>
  <c r="W283" i="1"/>
  <c r="AE245" i="1"/>
  <c r="AM207" i="1"/>
  <c r="BL280" i="1"/>
  <c r="AQ280" i="1"/>
  <c r="BH296" i="1"/>
  <c r="BX220" i="1"/>
  <c r="BC296" i="1"/>
  <c r="BS220" i="1"/>
  <c r="AL304" i="1"/>
  <c r="AP166" i="1"/>
  <c r="N147" i="1"/>
  <c r="R128" i="1"/>
  <c r="BV118" i="1"/>
  <c r="V109" i="1"/>
  <c r="BZ99" i="1"/>
  <c r="Z90" i="1"/>
  <c r="CD80" i="1"/>
  <c r="AD71" i="1"/>
  <c r="G314" i="1"/>
  <c r="BV274" i="1"/>
  <c r="CD236" i="1"/>
  <c r="CL198" i="1"/>
  <c r="CK174" i="1"/>
  <c r="AK165" i="1"/>
  <c r="CO155" i="1"/>
  <c r="AO146" i="1"/>
  <c r="CS136" i="1"/>
  <c r="AS127" i="1"/>
  <c r="CW117" i="1"/>
  <c r="AW108" i="1"/>
  <c r="DA98" i="1"/>
  <c r="BA89" i="1"/>
  <c r="DE79" i="1"/>
  <c r="DG184" i="1"/>
  <c r="CD307" i="1"/>
  <c r="CL269" i="1"/>
  <c r="CT231" i="1"/>
  <c r="DB193" i="1"/>
  <c r="BN173" i="1"/>
  <c r="N164" i="1"/>
  <c r="BR154" i="1"/>
  <c r="R145" i="1"/>
  <c r="BV135" i="1"/>
  <c r="V126" i="1"/>
  <c r="BZ116" i="1"/>
  <c r="Z107" i="1"/>
  <c r="CD97" i="1"/>
  <c r="AD88" i="1"/>
  <c r="CH78" i="1"/>
  <c r="AH69" i="1"/>
  <c r="AL305" i="1"/>
  <c r="AT267" i="1"/>
  <c r="BB229" i="1"/>
  <c r="BJ191" i="1"/>
  <c r="DE172" i="1"/>
  <c r="BE163" i="1"/>
  <c r="DI153" i="1"/>
  <c r="BI144" i="1"/>
  <c r="I135" i="1"/>
  <c r="BM125" i="1"/>
  <c r="M116" i="1"/>
  <c r="BQ106" i="1"/>
  <c r="Q97" i="1"/>
  <c r="BU87" i="1"/>
  <c r="U78" i="1"/>
  <c r="CE184" i="1"/>
  <c r="DF306" i="1"/>
  <c r="J269" i="1"/>
  <c r="R231" i="1"/>
  <c r="Z193" i="1"/>
  <c r="AT173" i="1"/>
  <c r="CX163" i="1"/>
  <c r="AX154" i="1"/>
  <c r="DB144" i="1"/>
  <c r="BB135" i="1"/>
  <c r="DF125" i="1"/>
  <c r="BF116" i="1"/>
  <c r="F107" i="1"/>
  <c r="BJ97" i="1"/>
  <c r="J88" i="1"/>
  <c r="BN78" i="1"/>
  <c r="N69" i="1"/>
  <c r="BN304" i="1"/>
  <c r="BV266" i="1"/>
  <c r="CD228" i="1"/>
  <c r="CL190" i="1"/>
  <c r="CK172" i="1"/>
  <c r="AK163" i="1"/>
  <c r="CO153" i="1"/>
  <c r="AO144" i="1"/>
  <c r="CS134" i="1"/>
  <c r="AS125" i="1"/>
  <c r="CW115" i="1"/>
  <c r="AW106" i="1"/>
  <c r="DA96" i="1"/>
  <c r="BA87" i="1"/>
  <c r="DE77" i="1"/>
  <c r="AM182" i="1"/>
  <c r="CD299" i="1"/>
  <c r="CL261" i="1"/>
  <c r="CT223" i="1"/>
  <c r="DB185" i="1"/>
  <c r="BN171" i="1"/>
  <c r="N162" i="1"/>
  <c r="BR152" i="1"/>
  <c r="R143" i="1"/>
  <c r="BK196" i="1"/>
  <c r="AJ301" i="1"/>
  <c r="AR263" i="1"/>
  <c r="AZ225" i="1"/>
  <c r="BH187" i="1"/>
  <c r="O301" i="1"/>
  <c r="W263" i="1"/>
  <c r="AE225" i="1"/>
  <c r="DE189" i="1"/>
  <c r="CF306" i="1"/>
  <c r="CJ287" i="1"/>
  <c r="CN268" i="1"/>
  <c r="CR249" i="1"/>
  <c r="CV230" i="1"/>
  <c r="CZ211" i="1"/>
  <c r="DD192" i="1"/>
  <c r="AQ366" i="1"/>
  <c r="CA306" i="1"/>
  <c r="CE287" i="1"/>
  <c r="CI268" i="1"/>
  <c r="CM249" i="1"/>
  <c r="CQ230" i="1"/>
  <c r="CU211" i="1"/>
  <c r="BC196" i="1"/>
  <c r="CU183" i="1"/>
  <c r="AI180" i="1"/>
  <c r="Z281" i="1"/>
  <c r="CP230" i="1"/>
  <c r="CT179" i="1"/>
  <c r="DB166" i="1"/>
  <c r="F157" i="1"/>
  <c r="BJ147" i="1"/>
  <c r="J138" i="1"/>
  <c r="BN128" i="1"/>
  <c r="N119" i="1"/>
  <c r="BR109" i="1"/>
  <c r="R100" i="1"/>
  <c r="BV90" i="1"/>
  <c r="V81" i="1"/>
  <c r="BZ71" i="1"/>
  <c r="S321" i="1"/>
  <c r="AX276" i="1"/>
  <c r="BF238" i="1"/>
  <c r="BN200" i="1"/>
  <c r="AC175" i="1"/>
  <c r="CG165" i="1"/>
  <c r="AG156" i="1"/>
  <c r="CK146" i="1"/>
  <c r="AK137" i="1"/>
  <c r="CO127" i="1"/>
  <c r="AO118" i="1"/>
  <c r="CS108" i="1"/>
  <c r="AS99" i="1"/>
  <c r="CW89" i="1"/>
  <c r="AW80" i="1"/>
  <c r="BO185" i="1"/>
  <c r="BF309" i="1"/>
  <c r="BN271" i="1"/>
  <c r="BV233" i="1"/>
  <c r="CD195" i="1"/>
  <c r="F174" i="1"/>
  <c r="BJ164" i="1"/>
  <c r="J155" i="1"/>
  <c r="BN145" i="1"/>
  <c r="N136" i="1"/>
  <c r="BR126" i="1"/>
  <c r="R117" i="1"/>
  <c r="BV107" i="1"/>
  <c r="V98" i="1"/>
  <c r="BZ88" i="1"/>
  <c r="Z79" i="1"/>
  <c r="CD69" i="1"/>
  <c r="N307" i="1"/>
  <c r="V269" i="1"/>
  <c r="AD231" i="1"/>
  <c r="AL193" i="1"/>
  <c r="AW173" i="1"/>
  <c r="DA163" i="1"/>
  <c r="BA154" i="1"/>
  <c r="DE144" i="1"/>
  <c r="BE135" i="1"/>
  <c r="DC195" i="1"/>
  <c r="CB300" i="1"/>
  <c r="CJ262" i="1"/>
  <c r="CR224" i="1"/>
  <c r="CZ186" i="1"/>
  <c r="BG300" i="1"/>
  <c r="BO262" i="1"/>
  <c r="BW224" i="1"/>
  <c r="AS189" i="1"/>
  <c r="BP306" i="1"/>
  <c r="BT287" i="1"/>
  <c r="BX268" i="1"/>
  <c r="CB249" i="1"/>
  <c r="CF230" i="1"/>
  <c r="CJ211" i="1"/>
  <c r="CN192" i="1"/>
  <c r="CI365" i="1"/>
  <c r="BK306" i="1"/>
  <c r="BO287" i="1"/>
  <c r="BS268" i="1"/>
  <c r="BW249" i="1"/>
  <c r="CA230" i="1"/>
  <c r="CE211" i="1"/>
  <c r="AM196" i="1"/>
  <c r="BO183" i="1"/>
  <c r="O180" i="1"/>
  <c r="BR280" i="1"/>
  <c r="BV229" i="1"/>
  <c r="AX179" i="1"/>
  <c r="CL166" i="1"/>
  <c r="CT156" i="1"/>
  <c r="AT147" i="1"/>
  <c r="CX137" i="1"/>
  <c r="AX128" i="1"/>
  <c r="DB118" i="1"/>
  <c r="BB109" i="1"/>
  <c r="DF99" i="1"/>
  <c r="BF90" i="1"/>
  <c r="F81" i="1"/>
  <c r="BJ71" i="1"/>
  <c r="CI318" i="1"/>
  <c r="CP275" i="1"/>
  <c r="CX237" i="1"/>
  <c r="DF199" i="1"/>
  <c r="M175" i="1"/>
  <c r="BQ165" i="1"/>
  <c r="Q156" i="1"/>
  <c r="BU146" i="1"/>
  <c r="U137" i="1"/>
  <c r="BY127" i="1"/>
  <c r="Y118" i="1"/>
  <c r="CC108" i="1"/>
  <c r="AC99" i="1"/>
  <c r="CG89" i="1"/>
  <c r="AG80" i="1"/>
  <c r="AU185" i="1"/>
  <c r="CX308" i="1"/>
  <c r="DF270" i="1"/>
  <c r="J233" i="1"/>
  <c r="R195" i="1"/>
  <c r="CT173" i="1"/>
  <c r="AT164" i="1"/>
  <c r="CX154" i="1"/>
  <c r="AX145" i="1"/>
  <c r="DB135" i="1"/>
  <c r="BB126" i="1"/>
  <c r="DF116" i="1"/>
  <c r="BF107" i="1"/>
  <c r="F98" i="1"/>
  <c r="BJ88" i="1"/>
  <c r="J79" i="1"/>
  <c r="BN69" i="1"/>
  <c r="BF306" i="1"/>
  <c r="BN268" i="1"/>
  <c r="BV230" i="1"/>
  <c r="CD192" i="1"/>
  <c r="AG173" i="1"/>
  <c r="CK163" i="1"/>
  <c r="AK154" i="1"/>
  <c r="CO144" i="1"/>
  <c r="AO135" i="1"/>
  <c r="CS125" i="1"/>
  <c r="AS116" i="1"/>
  <c r="CW106" i="1"/>
  <c r="AW97" i="1"/>
  <c r="DA87" i="1"/>
  <c r="BA78" i="1"/>
  <c r="S185" i="1"/>
  <c r="V308" i="1"/>
  <c r="AD270" i="1"/>
  <c r="AL232" i="1"/>
  <c r="AT194" i="1"/>
  <c r="BZ173" i="1"/>
  <c r="Z164" i="1"/>
  <c r="CD154" i="1"/>
  <c r="AD145" i="1"/>
  <c r="CH135" i="1"/>
  <c r="AH126" i="1"/>
  <c r="CL116" i="1"/>
  <c r="AL107" i="1"/>
  <c r="CP97" i="1"/>
  <c r="AP88" i="1"/>
  <c r="CT78" i="1"/>
  <c r="AT69" i="1"/>
  <c r="CH305" i="1"/>
  <c r="CP267" i="1"/>
  <c r="CE197" i="1"/>
  <c r="BD302" i="1"/>
  <c r="BL264" i="1"/>
  <c r="BT226" i="1"/>
  <c r="CB188" i="1"/>
  <c r="AI302" i="1"/>
  <c r="AQ264" i="1"/>
  <c r="AY226" i="1"/>
  <c r="AO192" i="1"/>
  <c r="AN307" i="1"/>
  <c r="AR288" i="1"/>
  <c r="AV269" i="1"/>
  <c r="AZ250" i="1"/>
  <c r="BD231" i="1"/>
  <c r="BH212" i="1"/>
  <c r="BL193" i="1"/>
  <c r="CE368" i="1"/>
  <c r="AI307" i="1"/>
  <c r="AM288" i="1"/>
  <c r="AQ269" i="1"/>
  <c r="AU250" i="1"/>
  <c r="AY231" i="1"/>
  <c r="BC212" i="1"/>
  <c r="CY196" i="1"/>
  <c r="W184" i="1"/>
  <c r="CU180" i="1"/>
  <c r="DF282" i="1"/>
  <c r="F232" i="1"/>
  <c r="BV181" i="1"/>
  <c r="AT167" i="1"/>
  <c r="AL157" i="1"/>
  <c r="CP147" i="1"/>
  <c r="AP138" i="1"/>
  <c r="CT128" i="1"/>
  <c r="AT119" i="1"/>
  <c r="CX109" i="1"/>
  <c r="AX100" i="1"/>
  <c r="DB90" i="1"/>
  <c r="BB81" i="1"/>
  <c r="DF71" i="1"/>
  <c r="CU325" i="1"/>
  <c r="BR277" i="1"/>
  <c r="BZ239" i="1"/>
  <c r="CH201" i="1"/>
  <c r="BI175" i="1"/>
  <c r="I166" i="1"/>
  <c r="BM156" i="1"/>
  <c r="M147" i="1"/>
  <c r="BQ137" i="1"/>
  <c r="Q128" i="1"/>
  <c r="BU118" i="1"/>
  <c r="U109" i="1"/>
  <c r="BY99" i="1"/>
  <c r="Y90" i="1"/>
  <c r="CC80" i="1"/>
  <c r="DG185" i="1"/>
  <c r="BZ310" i="1"/>
  <c r="CH272" i="1"/>
  <c r="CP234" i="1"/>
  <c r="CX196" i="1"/>
  <c r="AL174" i="1"/>
  <c r="CP164" i="1"/>
  <c r="AP155" i="1"/>
  <c r="CT145" i="1"/>
  <c r="AT136" i="1"/>
  <c r="CX126" i="1"/>
  <c r="AX117" i="1"/>
  <c r="DB107" i="1"/>
  <c r="BB98" i="1"/>
  <c r="DF88" i="1"/>
  <c r="BF79" i="1"/>
  <c r="F70" i="1"/>
  <c r="AH308" i="1"/>
  <c r="AP270" i="1"/>
  <c r="AX232" i="1"/>
  <c r="BF194" i="1"/>
  <c r="CC173" i="1"/>
  <c r="AC164" i="1"/>
  <c r="CG154" i="1"/>
  <c r="AG145" i="1"/>
  <c r="CK135" i="1"/>
  <c r="AK126" i="1"/>
  <c r="CO116" i="1"/>
  <c r="AO107" i="1"/>
  <c r="CS97" i="1"/>
  <c r="AS88" i="1"/>
  <c r="CW78" i="1"/>
  <c r="CE185" i="1"/>
  <c r="DB309" i="1"/>
  <c r="F272" i="1"/>
  <c r="N234" i="1"/>
  <c r="V196" i="1"/>
  <c r="R174" i="1"/>
  <c r="BV164" i="1"/>
  <c r="V155" i="1"/>
  <c r="BZ145" i="1"/>
  <c r="Z136" i="1"/>
  <c r="CD126" i="1"/>
  <c r="AD117" i="1"/>
  <c r="CH107" i="1"/>
  <c r="AH98" i="1"/>
  <c r="CL88" i="1"/>
  <c r="AL79" i="1"/>
  <c r="CP69" i="1"/>
  <c r="BJ307" i="1"/>
  <c r="BR269" i="1"/>
  <c r="BZ231" i="1"/>
  <c r="CH193" i="1"/>
  <c r="BI173" i="1"/>
  <c r="I164" i="1"/>
  <c r="BM154" i="1"/>
  <c r="M145" i="1"/>
  <c r="BQ135" i="1"/>
  <c r="Q126" i="1"/>
  <c r="BU116" i="1"/>
  <c r="U107" i="1"/>
  <c r="BY97" i="1"/>
  <c r="Y88" i="1"/>
  <c r="CC78" i="1"/>
  <c r="AM183" i="1"/>
  <c r="BZ302" i="1"/>
  <c r="CH264" i="1"/>
  <c r="CP226" i="1"/>
  <c r="CX188" i="1"/>
  <c r="AL172" i="1"/>
  <c r="CP162" i="1"/>
  <c r="AP153" i="1"/>
  <c r="CT143" i="1"/>
  <c r="DI109" i="1"/>
  <c r="M72" i="1"/>
  <c r="CP206" i="1"/>
  <c r="AP148" i="1"/>
  <c r="AX110" i="1"/>
  <c r="BF72" i="1"/>
  <c r="BJ227" i="1"/>
  <c r="BE172" i="1"/>
  <c r="BI153" i="1"/>
  <c r="BM134" i="1"/>
  <c r="BQ115" i="1"/>
  <c r="BU96" i="1"/>
  <c r="BY77" i="1"/>
  <c r="BJ298" i="1"/>
  <c r="BZ222" i="1"/>
  <c r="AH171" i="1"/>
  <c r="AL152" i="1"/>
  <c r="BB136" i="1"/>
  <c r="DF126" i="1"/>
  <c r="BF117" i="1"/>
  <c r="F108" i="1"/>
  <c r="BJ98" i="1"/>
  <c r="J89" i="1"/>
  <c r="BN79" i="1"/>
  <c r="N70" i="1"/>
  <c r="DF307" i="1"/>
  <c r="J270" i="1"/>
  <c r="R232" i="1"/>
  <c r="Z194" i="1"/>
  <c r="BU173" i="1"/>
  <c r="U164" i="1"/>
  <c r="BY154" i="1"/>
  <c r="DF274" i="1"/>
  <c r="AT165" i="1"/>
  <c r="BB127" i="1"/>
  <c r="BJ89" i="1"/>
  <c r="BN272" i="1"/>
  <c r="AR231" i="1"/>
  <c r="W231" i="1"/>
  <c r="CJ271" i="1"/>
  <c r="CZ195" i="1"/>
  <c r="CE271" i="1"/>
  <c r="AU198" i="1"/>
  <c r="BJ238" i="1"/>
  <c r="F149" i="1"/>
  <c r="N111" i="1"/>
  <c r="V73" i="1"/>
  <c r="BF206" i="1"/>
  <c r="AG148" i="1"/>
  <c r="AO110" i="1"/>
  <c r="CY187" i="1"/>
  <c r="BV201" i="1"/>
  <c r="J147" i="1"/>
  <c r="R109" i="1"/>
  <c r="Z71" i="1"/>
  <c r="AD199" i="1"/>
  <c r="BA146" i="1"/>
  <c r="BI108" i="1"/>
  <c r="BK187" i="1"/>
  <c r="CX200" i="1"/>
  <c r="CT146" i="1"/>
  <c r="DB108" i="1"/>
  <c r="F71" i="1"/>
  <c r="BF198" i="1"/>
  <c r="AG146" i="1"/>
  <c r="AO108" i="1"/>
  <c r="CU184" i="1"/>
  <c r="BV193" i="1"/>
  <c r="J145" i="1"/>
  <c r="N153" i="1"/>
  <c r="CS174" i="1"/>
  <c r="DI98" i="1"/>
  <c r="BV173" i="1"/>
  <c r="BZ118" i="1"/>
  <c r="CH80" i="1"/>
  <c r="CT236" i="1"/>
  <c r="CS155" i="1"/>
  <c r="U132" i="1"/>
  <c r="Y113" i="1"/>
  <c r="AC94" i="1"/>
  <c r="AG75" i="1"/>
  <c r="CP296" i="1"/>
  <c r="DF220" i="1"/>
  <c r="CR170" i="1"/>
  <c r="CV151" i="1"/>
  <c r="CZ132" i="1"/>
  <c r="DD113" i="1"/>
  <c r="DH94" i="1"/>
  <c r="H76" i="1"/>
  <c r="AX190" i="1"/>
  <c r="AM106" i="1"/>
  <c r="J57" i="1"/>
  <c r="N38" i="1"/>
  <c r="R19" i="1"/>
  <c r="J216" i="1"/>
  <c r="AM39" i="1"/>
  <c r="F211" i="1"/>
  <c r="BC111" i="1"/>
  <c r="CX294" i="1"/>
  <c r="J219" i="1"/>
  <c r="AR170" i="1"/>
  <c r="AV151" i="1"/>
  <c r="AZ132" i="1"/>
  <c r="CJ121" i="1"/>
  <c r="AJ112" i="1"/>
  <c r="CN102" i="1"/>
  <c r="AN93" i="1"/>
  <c r="CR83" i="1"/>
  <c r="AR74" i="1"/>
  <c r="BO325" i="1"/>
  <c r="BG175" i="1"/>
  <c r="BO137" i="1"/>
  <c r="BW99" i="1"/>
  <c r="CT64" i="1"/>
  <c r="AT55" i="1"/>
  <c r="CX45" i="1"/>
  <c r="AX36" i="1"/>
  <c r="DB26" i="1"/>
  <c r="BB17" i="1"/>
  <c r="DF7" i="1"/>
  <c r="BK167" i="1"/>
  <c r="BU69" i="1"/>
  <c r="DF308" i="1"/>
  <c r="J271" i="1"/>
  <c r="R233" i="1"/>
  <c r="Z195" i="1"/>
  <c r="CV173" i="1"/>
  <c r="AV164" i="1"/>
  <c r="CZ154" i="1"/>
  <c r="AZ145" i="1"/>
  <c r="DD135" i="1"/>
  <c r="BD126" i="1"/>
  <c r="DH116" i="1"/>
  <c r="BH107" i="1"/>
  <c r="H98" i="1"/>
  <c r="BL88" i="1"/>
  <c r="L79" i="1"/>
  <c r="BP69" i="1"/>
  <c r="F239" i="1"/>
  <c r="AU156" i="1"/>
  <c r="BC118" i="1"/>
  <c r="BK80" i="1"/>
  <c r="N60" i="1"/>
  <c r="BR50" i="1"/>
  <c r="R41" i="1"/>
  <c r="BV31" i="1"/>
  <c r="V22" i="1"/>
  <c r="BZ12" i="1"/>
  <c r="Z3" i="1"/>
  <c r="S116" i="1"/>
  <c r="BC48" i="1"/>
  <c r="AY18" i="1"/>
  <c r="AD257" i="1"/>
  <c r="AK69" i="1"/>
  <c r="BV307" i="1"/>
  <c r="CD269" i="1"/>
  <c r="CL231" i="1"/>
  <c r="CT193" i="1"/>
  <c r="BL173" i="1"/>
  <c r="L164" i="1"/>
  <c r="BP154" i="1"/>
  <c r="P145" i="1"/>
  <c r="BT135" i="1"/>
  <c r="T126" i="1"/>
  <c r="BX116" i="1"/>
  <c r="X107" i="1"/>
  <c r="CB97" i="1"/>
  <c r="AB88" i="1"/>
  <c r="CF78" i="1"/>
  <c r="AF69" i="1"/>
  <c r="BZ233" i="1"/>
  <c r="K155" i="1"/>
  <c r="S117" i="1"/>
  <c r="AA79" i="1"/>
  <c r="CH59" i="1"/>
  <c r="AH50" i="1"/>
  <c r="CL40" i="1"/>
  <c r="AL31" i="1"/>
  <c r="CP21" i="1"/>
  <c r="AP12" i="1"/>
  <c r="BI3" i="1"/>
  <c r="BC113" i="1"/>
  <c r="CU47" i="1"/>
  <c r="CY17" i="1"/>
  <c r="AH254" i="1"/>
  <c r="AA160" i="1"/>
  <c r="AI122" i="1"/>
  <c r="CA17" i="1"/>
  <c r="BK129" i="1"/>
  <c r="BK77" i="1"/>
  <c r="AO59" i="1"/>
  <c r="CS49" i="1"/>
  <c r="AS40" i="1"/>
  <c r="CW30" i="1"/>
  <c r="AW21" i="1"/>
  <c r="DA11" i="1"/>
  <c r="CD290" i="1"/>
  <c r="AI76" i="1"/>
  <c r="CM40" i="1"/>
  <c r="AI13" i="1"/>
  <c r="V235" i="1"/>
  <c r="AY155" i="1"/>
  <c r="BG117" i="1"/>
  <c r="BO79" i="1"/>
  <c r="CR59" i="1"/>
  <c r="AR50" i="1"/>
  <c r="CV40" i="1"/>
  <c r="AV31" i="1"/>
  <c r="CZ21" i="1"/>
  <c r="AZ12" i="1"/>
  <c r="CY330" i="1"/>
  <c r="DG111" i="1"/>
  <c r="CM49" i="1"/>
  <c r="CY21" i="1"/>
  <c r="AI43" i="1"/>
  <c r="O332" i="1"/>
  <c r="AY118" i="1"/>
  <c r="K72" i="1"/>
  <c r="DE57" i="1"/>
  <c r="BE48" i="1"/>
  <c r="DI38" i="1"/>
  <c r="BI29" i="1"/>
  <c r="I20" i="1"/>
  <c r="BM10" i="1"/>
  <c r="BJ225" i="1"/>
  <c r="AU64" i="1"/>
  <c r="CE36" i="1"/>
  <c r="AA9" i="1"/>
  <c r="AD213" i="1"/>
  <c r="DC149" i="1"/>
  <c r="G112" i="1"/>
  <c r="O74" i="1"/>
  <c r="BD58" i="1"/>
  <c r="DH48" i="1"/>
  <c r="BH39" i="1"/>
  <c r="H30" i="1"/>
  <c r="BL20" i="1"/>
  <c r="L11" i="1"/>
  <c r="BR251" i="1"/>
  <c r="BO96" i="1"/>
  <c r="BW45" i="1"/>
  <c r="CQ17" i="1"/>
  <c r="BC50" i="1"/>
  <c r="AI150" i="1"/>
  <c r="CY87" i="1"/>
  <c r="DA61" i="1"/>
  <c r="BA52" i="1"/>
  <c r="DE42" i="1"/>
  <c r="BE33" i="1"/>
  <c r="DI23" i="1"/>
  <c r="BI14" i="1"/>
  <c r="I5" i="1"/>
  <c r="O107" i="1"/>
  <c r="AU48" i="1"/>
  <c r="CI20" i="1"/>
  <c r="BV276" i="1"/>
  <c r="CM165" i="1"/>
  <c r="U114" i="1"/>
  <c r="AC76" i="1"/>
  <c r="AX223" i="1"/>
  <c r="BF152" i="1"/>
  <c r="BN114" i="1"/>
  <c r="BV76" i="1"/>
  <c r="AD235" i="1"/>
  <c r="AW174" i="1"/>
  <c r="BA155" i="1"/>
  <c r="BE136" i="1"/>
  <c r="BI117" i="1"/>
  <c r="BM98" i="1"/>
  <c r="BQ79" i="1"/>
  <c r="AD306" i="1"/>
  <c r="AT230" i="1"/>
  <c r="Z173" i="1"/>
  <c r="AD154" i="1"/>
  <c r="BF137" i="1"/>
  <c r="F128" i="1"/>
  <c r="BJ118" i="1"/>
  <c r="J109" i="1"/>
  <c r="BN99" i="1"/>
  <c r="N90" i="1"/>
  <c r="BR80" i="1"/>
  <c r="R71" i="1"/>
  <c r="AE312" i="1"/>
  <c r="Z274" i="1"/>
  <c r="AH236" i="1"/>
  <c r="AP198" i="1"/>
  <c r="BY174" i="1"/>
  <c r="Y165" i="1"/>
  <c r="CC155" i="1"/>
  <c r="AC146" i="1"/>
  <c r="CG136" i="1"/>
  <c r="AG127" i="1"/>
  <c r="CK117" i="1"/>
  <c r="AK108" i="1"/>
  <c r="CO98" i="1"/>
  <c r="AO89" i="1"/>
  <c r="CS79" i="1"/>
  <c r="Y71" i="1"/>
  <c r="BK324" i="1"/>
  <c r="AH277" i="1"/>
  <c r="AP239" i="1"/>
  <c r="AX201" i="1"/>
  <c r="AZ175" i="1"/>
  <c r="DD165" i="1"/>
  <c r="BD156" i="1"/>
  <c r="DH146" i="1"/>
  <c r="BH137" i="1"/>
  <c r="H128" i="1"/>
  <c r="BL118" i="1"/>
  <c r="L109" i="1"/>
  <c r="BP99" i="1"/>
  <c r="P90" i="1"/>
  <c r="BT80" i="1"/>
  <c r="T71" i="1"/>
  <c r="CX263" i="1"/>
  <c r="BS162" i="1"/>
  <c r="CA124" i="1"/>
  <c r="CI86" i="1"/>
  <c r="BV61" i="1"/>
  <c r="V52" i="1"/>
  <c r="BZ42" i="1"/>
  <c r="Z33" i="1"/>
  <c r="CD23" i="1"/>
  <c r="AD14" i="1"/>
  <c r="CH4" i="1"/>
  <c r="BC137" i="1"/>
  <c r="CU53" i="1"/>
  <c r="DG23" i="1"/>
  <c r="BF284" i="1"/>
  <c r="CI167" i="1"/>
  <c r="CQ129" i="1"/>
  <c r="CC70" i="1"/>
  <c r="CQ316" i="1"/>
  <c r="AZ299" i="1"/>
  <c r="BP223" i="1"/>
  <c r="AE299" i="1"/>
  <c r="AU223" i="1"/>
  <c r="BP288" i="1"/>
  <c r="L242" i="1"/>
  <c r="T204" i="1"/>
  <c r="AE335" i="1"/>
  <c r="DC279" i="1"/>
  <c r="G242" i="1"/>
  <c r="O204" i="1"/>
  <c r="CR308" i="1"/>
  <c r="CZ270" i="1"/>
  <c r="DH232" i="1"/>
  <c r="L195" i="1"/>
  <c r="BW308" i="1"/>
  <c r="CE270" i="1"/>
  <c r="CM232" i="1"/>
  <c r="CU194" i="1"/>
  <c r="CJ230" i="1"/>
  <c r="BO230" i="1"/>
  <c r="BT271" i="1"/>
  <c r="CJ195" i="1"/>
  <c r="BO271" i="1"/>
  <c r="AE198" i="1"/>
  <c r="DB237" i="1"/>
  <c r="BW310" i="1"/>
  <c r="CE272" i="1"/>
  <c r="CM234" i="1"/>
  <c r="CU196" i="1"/>
  <c r="DH299" i="1"/>
  <c r="DA401" i="1"/>
  <c r="CE495" i="1"/>
  <c r="CZ383" i="1"/>
  <c r="CG355" i="1"/>
  <c r="I431" i="1"/>
  <c r="AL417" i="1"/>
  <c r="AW287" i="1"/>
  <c r="K468" i="1"/>
  <c r="CP384" i="1"/>
  <c r="X322" i="1"/>
  <c r="M299" i="1"/>
  <c r="U261" i="1"/>
  <c r="AC223" i="1"/>
  <c r="AK185" i="1"/>
  <c r="R318" i="1"/>
  <c r="BS463" i="1"/>
  <c r="CV318" i="1"/>
  <c r="U186" i="1"/>
  <c r="X316" i="1"/>
  <c r="U259" i="1"/>
  <c r="BP307" i="1"/>
  <c r="CF231" i="1"/>
  <c r="AU307" i="1"/>
  <c r="BK231" i="1"/>
  <c r="CF296" i="1"/>
  <c r="L246" i="1"/>
  <c r="T208" i="1"/>
  <c r="AE351" i="1"/>
  <c r="DC283" i="1"/>
  <c r="G246" i="1"/>
  <c r="O208" i="1"/>
  <c r="S315" i="1"/>
  <c r="CZ274" i="1"/>
  <c r="DH236" i="1"/>
  <c r="L199" i="1"/>
  <c r="AQ314" i="1"/>
  <c r="CE274" i="1"/>
  <c r="CM236" i="1"/>
  <c r="CU198" i="1"/>
  <c r="T298" i="1"/>
  <c r="AB260" i="1"/>
  <c r="AJ222" i="1"/>
  <c r="AR184" i="1"/>
  <c r="O298" i="1"/>
  <c r="W260" i="1"/>
  <c r="AE222" i="1"/>
  <c r="AM184" i="1"/>
  <c r="BR232" i="1"/>
  <c r="CZ315" i="1"/>
  <c r="Y183" i="1"/>
  <c r="BL314" i="1"/>
  <c r="BI257" i="1"/>
  <c r="DD305" i="1"/>
  <c r="P230" i="1"/>
  <c r="CI305" i="1"/>
  <c r="CY229" i="1"/>
  <c r="P295" i="1"/>
  <c r="AN245" i="1"/>
  <c r="AV207" i="1"/>
  <c r="AI348" i="1"/>
  <c r="AA283" i="1"/>
  <c r="AI245" i="1"/>
  <c r="AQ207" i="1"/>
  <c r="Z312" i="1"/>
  <c r="X274" i="1"/>
  <c r="AF236" i="1"/>
  <c r="AN198" i="1"/>
  <c r="CY311" i="1"/>
  <c r="DG273" i="1"/>
  <c r="K236" i="1"/>
  <c r="S198" i="1"/>
  <c r="AV297" i="1"/>
  <c r="BD259" i="1"/>
  <c r="BL221" i="1"/>
  <c r="BT183" i="1"/>
  <c r="AQ297" i="1"/>
  <c r="AY259" i="1"/>
  <c r="BG221" i="1"/>
  <c r="AS296" i="1"/>
  <c r="Q365" i="1"/>
  <c r="CM320" i="1"/>
  <c r="AW238" i="1"/>
  <c r="CR286" i="1"/>
  <c r="DH210" i="1"/>
  <c r="BW286" i="1"/>
  <c r="CM210" i="1"/>
  <c r="DH275" i="1"/>
  <c r="CB235" i="1"/>
  <c r="CJ197" i="1"/>
  <c r="BG311" i="1"/>
  <c r="BO273" i="1"/>
  <c r="BW235" i="1"/>
  <c r="I291" i="1"/>
  <c r="CK343" i="1"/>
  <c r="BA311" i="1"/>
  <c r="BQ235" i="1"/>
  <c r="H284" i="1"/>
  <c r="X208" i="1"/>
  <c r="CQ283" i="1"/>
  <c r="DG207" i="1"/>
  <c r="X273" i="1"/>
  <c r="AR234" i="1"/>
  <c r="AZ196" i="1"/>
  <c r="W310" i="1"/>
  <c r="AE272" i="1"/>
  <c r="AM234" i="1"/>
  <c r="AU196" i="1"/>
  <c r="T301" i="1"/>
  <c r="AB263" i="1"/>
  <c r="AJ225" i="1"/>
  <c r="AR187" i="1"/>
  <c r="DC300" i="1"/>
  <c r="G263" i="1"/>
  <c r="O225" i="1"/>
  <c r="DG208" i="1"/>
  <c r="DD199" i="1"/>
  <c r="CI199" i="1"/>
  <c r="AB256" i="1"/>
  <c r="AR180" i="1"/>
  <c r="W256" i="1"/>
  <c r="G188" i="1"/>
  <c r="BB196" i="1"/>
  <c r="V141" i="1"/>
  <c r="BH271" i="1"/>
  <c r="AM271" i="1"/>
  <c r="DC232" i="1"/>
  <c r="DG198" i="1"/>
  <c r="V125" i="1"/>
  <c r="AD87" i="1"/>
  <c r="CL262" i="1"/>
  <c r="AO162" i="1"/>
  <c r="AW124" i="1"/>
  <c r="BE86" i="1"/>
  <c r="DB257" i="1"/>
  <c r="R161" i="1"/>
  <c r="Z123" i="1"/>
  <c r="AH85" i="1"/>
  <c r="BJ255" i="1"/>
  <c r="BI160" i="1"/>
  <c r="BQ122" i="1"/>
  <c r="BY84" i="1"/>
  <c r="Z257" i="1"/>
  <c r="DB160" i="1"/>
  <c r="F123" i="1"/>
  <c r="N85" i="1"/>
  <c r="CL254" i="1"/>
  <c r="AO160" i="1"/>
  <c r="AW122" i="1"/>
  <c r="BE84" i="1"/>
  <c r="DB249" i="1"/>
  <c r="R159" i="1"/>
  <c r="AZ289" i="1"/>
  <c r="AE289" i="1"/>
  <c r="CN300" i="1"/>
  <c r="DD224" i="1"/>
  <c r="CI300" i="1"/>
  <c r="CY224" i="1"/>
  <c r="AU328" i="1"/>
  <c r="BJ163" i="1"/>
  <c r="BR125" i="1"/>
  <c r="BZ87" i="1"/>
  <c r="BN264" i="1"/>
  <c r="CK162" i="1"/>
  <c r="CS124" i="1"/>
  <c r="DA86" i="1"/>
  <c r="CD259" i="1"/>
  <c r="BN161" i="1"/>
  <c r="BV123" i="1"/>
  <c r="CD85" i="1"/>
  <c r="AL257" i="1"/>
  <c r="DE160" i="1"/>
  <c r="AG194" i="1"/>
  <c r="BZ373" i="1"/>
  <c r="AU350" i="1"/>
  <c r="CJ243" i="1"/>
  <c r="K342" i="1"/>
  <c r="CE243" i="1"/>
  <c r="CE179" i="1"/>
  <c r="AT175" i="1"/>
  <c r="DB134" i="1"/>
  <c r="F97" i="1"/>
  <c r="CX301" i="1"/>
  <c r="Q172" i="1"/>
  <c r="BM136" i="1"/>
  <c r="BQ117" i="1"/>
  <c r="BU98" i="1"/>
  <c r="BY79" i="1"/>
  <c r="BJ306" i="1"/>
  <c r="BZ230" i="1"/>
  <c r="AH173" i="1"/>
  <c r="AL154" i="1"/>
  <c r="AP135" i="1"/>
  <c r="AT116" i="1"/>
  <c r="AX97" i="1"/>
  <c r="BB78" i="1"/>
  <c r="R304" i="1"/>
  <c r="AH228" i="1"/>
  <c r="BY172" i="1"/>
  <c r="CC153" i="1"/>
  <c r="CG134" i="1"/>
  <c r="CK115" i="1"/>
  <c r="CO96" i="1"/>
  <c r="CS77" i="1"/>
  <c r="CL305" i="1"/>
  <c r="DB229" i="1"/>
  <c r="N173" i="1"/>
  <c r="R154" i="1"/>
  <c r="V135" i="1"/>
  <c r="Z116" i="1"/>
  <c r="AD97" i="1"/>
  <c r="AH78" i="1"/>
  <c r="AT303" i="1"/>
  <c r="AQ195" i="1"/>
  <c r="X262" i="1"/>
  <c r="AN186" i="1"/>
  <c r="DG261" i="1"/>
  <c r="BQ187" i="1"/>
  <c r="X287" i="1"/>
  <c r="AF249" i="1"/>
  <c r="AN211" i="1"/>
  <c r="DG363" i="1"/>
  <c r="S287" i="1"/>
  <c r="AA249" i="1"/>
  <c r="AI211" i="1"/>
  <c r="AY183" i="1"/>
  <c r="AX279" i="1"/>
  <c r="AD179" i="1"/>
  <c r="CD156" i="1"/>
  <c r="CH137" i="1"/>
  <c r="CL118" i="1"/>
  <c r="CP99" i="1"/>
  <c r="CT80" i="1"/>
  <c r="AU316" i="1"/>
  <c r="AL237" i="1"/>
  <c r="DA174" i="1"/>
  <c r="DE155" i="1"/>
  <c r="DI136" i="1"/>
  <c r="I118" i="1"/>
  <c r="M99" i="1"/>
  <c r="Q80" i="1"/>
  <c r="AL308" i="1"/>
  <c r="BB232" i="1"/>
  <c r="CD173" i="1"/>
  <c r="CH154" i="1"/>
  <c r="CL135" i="1"/>
  <c r="CP116" i="1"/>
  <c r="CT97" i="1"/>
  <c r="CX78" i="1"/>
  <c r="CX305" i="1"/>
  <c r="J230" i="1"/>
  <c r="Q173" i="1"/>
  <c r="U154" i="1"/>
  <c r="Y135" i="1"/>
  <c r="AC116" i="1"/>
  <c r="AG97" i="1"/>
  <c r="AK78" i="1"/>
  <c r="BN307" i="1"/>
  <c r="CD231" i="1"/>
  <c r="BJ173" i="1"/>
  <c r="BN154" i="1"/>
  <c r="BR135" i="1"/>
  <c r="BV116" i="1"/>
  <c r="BZ97" i="1"/>
  <c r="CD78" i="1"/>
  <c r="V305" i="1"/>
  <c r="AL229" i="1"/>
  <c r="AK175" i="1"/>
  <c r="CO165" i="1"/>
  <c r="AO156" i="1"/>
  <c r="CS146" i="1"/>
  <c r="AS137" i="1"/>
  <c r="CW127" i="1"/>
  <c r="AW118" i="1"/>
  <c r="DA108" i="1"/>
  <c r="BA99" i="1"/>
  <c r="DE89" i="1"/>
  <c r="BE80" i="1"/>
  <c r="CA185" i="1"/>
  <c r="CL309" i="1"/>
  <c r="CT271" i="1"/>
  <c r="DB233" i="1"/>
  <c r="F196" i="1"/>
  <c r="N174" i="1"/>
  <c r="BR164" i="1"/>
  <c r="R155" i="1"/>
  <c r="BV145" i="1"/>
  <c r="Q117" i="1"/>
  <c r="Y79" i="1"/>
  <c r="AH235" i="1"/>
  <c r="BB155" i="1"/>
  <c r="BJ117" i="1"/>
  <c r="BR79" i="1"/>
  <c r="CH241" i="1"/>
  <c r="I176" i="1"/>
  <c r="M157" i="1"/>
  <c r="Q138" i="1"/>
  <c r="U119" i="1"/>
  <c r="Y100" i="1"/>
  <c r="AC81" i="1"/>
  <c r="CI314" i="1"/>
  <c r="CX236" i="1"/>
  <c r="CP174" i="1"/>
  <c r="CT155" i="1"/>
  <c r="AD138" i="1"/>
  <c r="CH128" i="1"/>
  <c r="AH119" i="1"/>
  <c r="CL109" i="1"/>
  <c r="AL100" i="1"/>
  <c r="CP90" i="1"/>
  <c r="AP81" i="1"/>
  <c r="CT71" i="1"/>
  <c r="O324" i="1"/>
  <c r="V277" i="1"/>
  <c r="AD239" i="1"/>
  <c r="AL201" i="1"/>
  <c r="AW175" i="1"/>
  <c r="DA165" i="1"/>
  <c r="BA156" i="1"/>
  <c r="DE146" i="1"/>
  <c r="BE137" i="1"/>
  <c r="DI127" i="1"/>
  <c r="BI118" i="1"/>
  <c r="I109" i="1"/>
  <c r="BM99" i="1"/>
  <c r="M90" i="1"/>
  <c r="BQ80" i="1"/>
  <c r="DA71" i="1"/>
  <c r="AU336" i="1"/>
  <c r="AD280" i="1"/>
  <c r="AL242" i="1"/>
  <c r="AT204" i="1"/>
  <c r="X176" i="1"/>
  <c r="CB166" i="1"/>
  <c r="AB157" i="1"/>
  <c r="CF147" i="1"/>
  <c r="AF138" i="1"/>
  <c r="CJ128" i="1"/>
  <c r="AJ119" i="1"/>
  <c r="CN109" i="1"/>
  <c r="AN100" i="1"/>
  <c r="CR90" i="1"/>
  <c r="AR81" i="1"/>
  <c r="CV71" i="1"/>
  <c r="CH275" i="1"/>
  <c r="BO165" i="1"/>
  <c r="BW127" i="1"/>
  <c r="CE89" i="1"/>
  <c r="AT62" i="1"/>
  <c r="CX52" i="1"/>
  <c r="AX43" i="1"/>
  <c r="DB33" i="1"/>
  <c r="BB24" i="1"/>
  <c r="DF14" i="1"/>
  <c r="BF5" i="1"/>
  <c r="BW146" i="1"/>
  <c r="AI56" i="1"/>
  <c r="AA26" i="1"/>
  <c r="AP296" i="1"/>
  <c r="CE170" i="1"/>
  <c r="CM132" i="1"/>
  <c r="BA71" i="1"/>
  <c r="CA328" i="1"/>
  <c r="AL278" i="1"/>
  <c r="AT240" i="1"/>
  <c r="BB202" i="1"/>
  <c r="CB175" i="1"/>
  <c r="AB166" i="1"/>
  <c r="CF156" i="1"/>
  <c r="AF147" i="1"/>
  <c r="CJ137" i="1"/>
  <c r="AI221" i="1"/>
  <c r="AK191" i="1"/>
  <c r="P288" i="1"/>
  <c r="X250" i="1"/>
  <c r="AF212" i="1"/>
  <c r="O367" i="1"/>
  <c r="CY287" i="1"/>
  <c r="DG249" i="1"/>
  <c r="K212" i="1"/>
  <c r="BH299" i="1"/>
  <c r="AM299" i="1"/>
  <c r="DH305" i="1"/>
  <c r="T230" i="1"/>
  <c r="DC305" i="1"/>
  <c r="O230" i="1"/>
  <c r="CI487" i="1"/>
  <c r="BB169" i="1"/>
  <c r="BB149" i="1"/>
  <c r="BF130" i="1"/>
  <c r="CP119" i="1"/>
  <c r="AP110" i="1"/>
  <c r="CT100" i="1"/>
  <c r="AT91" i="1"/>
  <c r="CX81" i="1"/>
  <c r="AX72" i="1"/>
  <c r="DG332" i="1"/>
  <c r="AT279" i="1"/>
  <c r="BB241" i="1"/>
  <c r="BJ203" i="1"/>
  <c r="DE175" i="1"/>
  <c r="BE166" i="1"/>
  <c r="DI156" i="1"/>
  <c r="BI147" i="1"/>
  <c r="I138" i="1"/>
  <c r="BM128" i="1"/>
  <c r="M119" i="1"/>
  <c r="BQ109" i="1"/>
  <c r="Q100" i="1"/>
  <c r="BU90" i="1"/>
  <c r="U81" i="1"/>
  <c r="BO186" i="1"/>
  <c r="BO313" i="1"/>
  <c r="BJ274" i="1"/>
  <c r="BR236" i="1"/>
  <c r="BZ198" i="1"/>
  <c r="CH174" i="1"/>
  <c r="AH165" i="1"/>
  <c r="CL155" i="1"/>
  <c r="AL146" i="1"/>
  <c r="CP136" i="1"/>
  <c r="AP127" i="1"/>
  <c r="CT117" i="1"/>
  <c r="AT108" i="1"/>
  <c r="CX98" i="1"/>
  <c r="AX89" i="1"/>
  <c r="DB79" i="1"/>
  <c r="BB70" i="1"/>
  <c r="J310" i="1"/>
  <c r="R272" i="1"/>
  <c r="Z234" i="1"/>
  <c r="AH196" i="1"/>
  <c r="U174" i="1"/>
  <c r="BY164" i="1"/>
  <c r="Y155" i="1"/>
  <c r="CC145" i="1"/>
  <c r="AC136" i="1"/>
  <c r="CG126" i="1"/>
  <c r="AG117" i="1"/>
  <c r="CK107" i="1"/>
  <c r="AK98" i="1"/>
  <c r="CO88" i="1"/>
  <c r="AO79" i="1"/>
  <c r="AM186" i="1"/>
  <c r="CD311" i="1"/>
  <c r="CL273" i="1"/>
  <c r="CT235" i="1"/>
  <c r="DB197" i="1"/>
  <c r="BN174" i="1"/>
  <c r="N165" i="1"/>
  <c r="BR155" i="1"/>
  <c r="R146" i="1"/>
  <c r="BV136" i="1"/>
  <c r="V127" i="1"/>
  <c r="BZ117" i="1"/>
  <c r="Z108" i="1"/>
  <c r="CD98" i="1"/>
  <c r="AD89" i="1"/>
  <c r="CH79" i="1"/>
  <c r="AH70" i="1"/>
  <c r="AL309" i="1"/>
  <c r="AT271" i="1"/>
  <c r="BB233" i="1"/>
  <c r="BJ195" i="1"/>
  <c r="DE173" i="1"/>
  <c r="BE164" i="1"/>
  <c r="DI154" i="1"/>
  <c r="BI145" i="1"/>
  <c r="I136" i="1"/>
  <c r="BM126" i="1"/>
  <c r="M117" i="1"/>
  <c r="BQ107" i="1"/>
  <c r="Q98" i="1"/>
  <c r="BU88" i="1"/>
  <c r="U79" i="1"/>
  <c r="CY183" i="1"/>
  <c r="BB304" i="1"/>
  <c r="BJ266" i="1"/>
  <c r="BR228" i="1"/>
  <c r="BZ190" i="1"/>
  <c r="CH172" i="1"/>
  <c r="AH163" i="1"/>
  <c r="CL153" i="1"/>
  <c r="AL144" i="1"/>
  <c r="AI201" i="1"/>
  <c r="H306" i="1"/>
  <c r="P268" i="1"/>
  <c r="X230" i="1"/>
  <c r="AF192" i="1"/>
  <c r="CQ305" i="1"/>
  <c r="CY267" i="1"/>
  <c r="DG229" i="1"/>
  <c r="Y204" i="1"/>
  <c r="P309" i="1"/>
  <c r="T290" i="1"/>
  <c r="X271" i="1"/>
  <c r="AB252" i="1"/>
  <c r="AF233" i="1"/>
  <c r="AJ214" i="1"/>
  <c r="AN195" i="1"/>
  <c r="CL396" i="1"/>
  <c r="K309" i="1"/>
  <c r="O290" i="1"/>
  <c r="S271" i="1"/>
  <c r="W252" i="1"/>
  <c r="AA233" i="1"/>
  <c r="AE214" i="1"/>
  <c r="O198" i="1"/>
  <c r="AQ185" i="1"/>
  <c r="BC182" i="1"/>
  <c r="CD287" i="1"/>
  <c r="CH236" i="1"/>
  <c r="AT186" i="1"/>
  <c r="BN168" i="1"/>
  <c r="Z158" i="1"/>
  <c r="CD148" i="1"/>
  <c r="AD139" i="1"/>
  <c r="CH129" i="1"/>
  <c r="AH120" i="1"/>
  <c r="CL110" i="1"/>
  <c r="AL101" i="1"/>
  <c r="CP91" i="1"/>
  <c r="AP82" i="1"/>
  <c r="CT72" i="1"/>
  <c r="O340" i="1"/>
  <c r="V281" i="1"/>
  <c r="AD243" i="1"/>
  <c r="AL205" i="1"/>
  <c r="AW176" i="1"/>
  <c r="DA166" i="1"/>
  <c r="BA157" i="1"/>
  <c r="DE147" i="1"/>
  <c r="BE138" i="1"/>
  <c r="DI128" i="1"/>
  <c r="BI119" i="1"/>
  <c r="I110" i="1"/>
  <c r="BM100" i="1"/>
  <c r="M91" i="1"/>
  <c r="BQ81" i="1"/>
  <c r="AM187" i="1"/>
  <c r="CA320" i="1"/>
  <c r="AL276" i="1"/>
  <c r="AT238" i="1"/>
  <c r="BB200" i="1"/>
  <c r="Z175" i="1"/>
  <c r="CD165" i="1"/>
  <c r="AD156" i="1"/>
  <c r="CH146" i="1"/>
  <c r="AH137" i="1"/>
  <c r="CL127" i="1"/>
  <c r="AL118" i="1"/>
  <c r="CP108" i="1"/>
  <c r="AP99" i="1"/>
  <c r="CT89" i="1"/>
  <c r="AT80" i="1"/>
  <c r="CX70" i="1"/>
  <c r="CP311" i="1"/>
  <c r="CX273" i="1"/>
  <c r="DF235" i="1"/>
  <c r="J198" i="1"/>
  <c r="BQ174" i="1"/>
  <c r="Q165" i="1"/>
  <c r="BU155" i="1"/>
  <c r="U146" i="1"/>
  <c r="BY136" i="1"/>
  <c r="CA200" i="1"/>
  <c r="AZ305" i="1"/>
  <c r="BH267" i="1"/>
  <c r="BP229" i="1"/>
  <c r="BX191" i="1"/>
  <c r="AE305" i="1"/>
  <c r="AM267" i="1"/>
  <c r="AU229" i="1"/>
  <c r="CO201" i="1"/>
  <c r="DD308" i="1"/>
  <c r="DH289" i="1"/>
  <c r="H271" i="1"/>
  <c r="L252" i="1"/>
  <c r="P233" i="1"/>
  <c r="T214" i="1"/>
  <c r="X195" i="1"/>
  <c r="AX394" i="1"/>
  <c r="CY308" i="1"/>
  <c r="DC289" i="1"/>
  <c r="DG270" i="1"/>
  <c r="G252" i="1"/>
  <c r="K233" i="1"/>
  <c r="O214" i="1"/>
  <c r="CM197" i="1"/>
  <c r="AA185" i="1"/>
  <c r="AI182" i="1"/>
  <c r="BJ286" i="1"/>
  <c r="V236" i="1"/>
  <c r="CL185" i="1"/>
  <c r="AH168" i="1"/>
  <c r="J158" i="1"/>
  <c r="BN148" i="1"/>
  <c r="N139" i="1"/>
  <c r="BR129" i="1"/>
  <c r="R120" i="1"/>
  <c r="BV110" i="1"/>
  <c r="V101" i="1"/>
  <c r="BZ91" i="1"/>
  <c r="Z82" i="1"/>
  <c r="CD72" i="1"/>
  <c r="CE337" i="1"/>
  <c r="BN280" i="1"/>
  <c r="BV242" i="1"/>
  <c r="CD204" i="1"/>
  <c r="AG176" i="1"/>
  <c r="CK166" i="1"/>
  <c r="AK157" i="1"/>
  <c r="CO147" i="1"/>
  <c r="AO138" i="1"/>
  <c r="CS128" i="1"/>
  <c r="AS119" i="1"/>
  <c r="CW109" i="1"/>
  <c r="AW100" i="1"/>
  <c r="DA90" i="1"/>
  <c r="BA81" i="1"/>
  <c r="G187" i="1"/>
  <c r="AM318" i="1"/>
  <c r="CD275" i="1"/>
  <c r="CL237" i="1"/>
  <c r="CT199" i="1"/>
  <c r="J175" i="1"/>
  <c r="BN165" i="1"/>
  <c r="N156" i="1"/>
  <c r="BR146" i="1"/>
  <c r="R137" i="1"/>
  <c r="BV127" i="1"/>
  <c r="V118" i="1"/>
  <c r="BZ108" i="1"/>
  <c r="Z99" i="1"/>
  <c r="CD89" i="1"/>
  <c r="AD80" i="1"/>
  <c r="CH70" i="1"/>
  <c r="AD311" i="1"/>
  <c r="AL273" i="1"/>
  <c r="AT235" i="1"/>
  <c r="BB197" i="1"/>
  <c r="BA174" i="1"/>
  <c r="DE164" i="1"/>
  <c r="BE155" i="1"/>
  <c r="DI145" i="1"/>
  <c r="BI136" i="1"/>
  <c r="I127" i="1"/>
  <c r="BM117" i="1"/>
  <c r="M108" i="1"/>
  <c r="BQ98" i="1"/>
  <c r="Q89" i="1"/>
  <c r="BU79" i="1"/>
  <c r="CE186" i="1"/>
  <c r="AQ315" i="1"/>
  <c r="CY218" i="1"/>
  <c r="CO181" i="1"/>
  <c r="CF285" i="1"/>
  <c r="CN247" i="1"/>
  <c r="CV209" i="1"/>
  <c r="BS357" i="1"/>
  <c r="BK285" i="1"/>
  <c r="BS247" i="1"/>
  <c r="CA209" i="1"/>
  <c r="H290" i="1"/>
  <c r="CQ289" i="1"/>
  <c r="AF301" i="1"/>
  <c r="AV225" i="1"/>
  <c r="AA301" i="1"/>
  <c r="AQ225" i="1"/>
  <c r="CI330" i="1"/>
  <c r="CD168" i="1"/>
  <c r="CT148" i="1"/>
  <c r="CX129" i="1"/>
  <c r="AD119" i="1"/>
  <c r="CH109" i="1"/>
  <c r="AH100" i="1"/>
  <c r="CL90" i="1"/>
  <c r="AL81" i="1"/>
  <c r="CP71" i="1"/>
  <c r="BG323" i="1"/>
  <c r="F277" i="1"/>
  <c r="N239" i="1"/>
  <c r="V201" i="1"/>
  <c r="AS175" i="1"/>
  <c r="CW165" i="1"/>
  <c r="AW156" i="1"/>
  <c r="DA146" i="1"/>
  <c r="BA137" i="1"/>
  <c r="DE127" i="1"/>
  <c r="BE118" i="1"/>
  <c r="DI108" i="1"/>
  <c r="BI99" i="1"/>
  <c r="I90" i="1"/>
  <c r="BM80" i="1"/>
  <c r="CI185" i="1"/>
  <c r="N310" i="1"/>
  <c r="V272" i="1"/>
  <c r="AD234" i="1"/>
  <c r="AL196" i="1"/>
  <c r="V174" i="1"/>
  <c r="BZ164" i="1"/>
  <c r="Z155" i="1"/>
  <c r="CD145" i="1"/>
  <c r="AD136" i="1"/>
  <c r="CH126" i="1"/>
  <c r="AH117" i="1"/>
  <c r="CL107" i="1"/>
  <c r="AL98" i="1"/>
  <c r="CP88" i="1"/>
  <c r="AP79" i="1"/>
  <c r="CT69" i="1"/>
  <c r="BZ307" i="1"/>
  <c r="CH269" i="1"/>
  <c r="CP231" i="1"/>
  <c r="CX193" i="1"/>
  <c r="BM173" i="1"/>
  <c r="M164" i="1"/>
  <c r="BQ154" i="1"/>
  <c r="Q145" i="1"/>
  <c r="BU135" i="1"/>
  <c r="U126" i="1"/>
  <c r="BY116" i="1"/>
  <c r="Y107" i="1"/>
  <c r="CC97" i="1"/>
  <c r="AC88" i="1"/>
  <c r="CG78" i="1"/>
  <c r="BK185" i="1"/>
  <c r="AP309" i="1"/>
  <c r="AX271" i="1"/>
  <c r="BF233" i="1"/>
  <c r="BN195" i="1"/>
  <c r="DF173" i="1"/>
  <c r="BF164" i="1"/>
  <c r="F155" i="1"/>
  <c r="BJ145" i="1"/>
  <c r="J136" i="1"/>
  <c r="BN126" i="1"/>
  <c r="N117" i="1"/>
  <c r="BR107" i="1"/>
  <c r="R98" i="1"/>
  <c r="BV88" i="1"/>
  <c r="V79" i="1"/>
  <c r="BZ69" i="1"/>
  <c r="DB306" i="1"/>
  <c r="F269" i="1"/>
  <c r="N231" i="1"/>
  <c r="V193" i="1"/>
  <c r="AS173" i="1"/>
  <c r="CW163" i="1"/>
  <c r="AW154" i="1"/>
  <c r="DA144" i="1"/>
  <c r="BA135" i="1"/>
  <c r="DE125" i="1"/>
  <c r="BE116" i="1"/>
  <c r="DI106" i="1"/>
  <c r="BI97" i="1"/>
  <c r="I88" i="1"/>
  <c r="BM78" i="1"/>
  <c r="O183" i="1"/>
  <c r="N302" i="1"/>
  <c r="V264" i="1"/>
  <c r="AD226" i="1"/>
  <c r="AL188" i="1"/>
  <c r="V172" i="1"/>
  <c r="BZ162" i="1"/>
  <c r="Z153" i="1"/>
  <c r="CD143" i="1"/>
  <c r="CY198" i="1"/>
  <c r="BX303" i="1"/>
  <c r="CF265" i="1"/>
  <c r="CN227" i="1"/>
  <c r="CV189" i="1"/>
  <c r="BC303" i="1"/>
  <c r="BK265" i="1"/>
  <c r="BS227" i="1"/>
  <c r="CC194" i="1"/>
  <c r="CZ307" i="1"/>
  <c r="DD288" i="1"/>
  <c r="DH269" i="1"/>
  <c r="H251" i="1"/>
  <c r="L232" i="1"/>
  <c r="P213" i="1"/>
  <c r="T194" i="1"/>
  <c r="CP377" i="1"/>
  <c r="CU307" i="1"/>
  <c r="CY288" i="1"/>
  <c r="DC269" i="1"/>
  <c r="DG250" i="1"/>
  <c r="G232" i="1"/>
  <c r="K213" i="1"/>
  <c r="AA197" i="1"/>
  <c r="BS184" i="1"/>
  <c r="BC181" i="1"/>
  <c r="V284" i="1"/>
  <c r="CL233" i="1"/>
  <c r="AX183" i="1"/>
  <c r="BZ167" i="1"/>
  <c r="BR157" i="1"/>
  <c r="R148" i="1"/>
  <c r="BV138" i="1"/>
  <c r="V129" i="1"/>
  <c r="BZ119" i="1"/>
  <c r="Z110" i="1"/>
  <c r="CD100" i="1"/>
  <c r="AD91" i="1"/>
  <c r="CH81" i="1"/>
  <c r="AH72" i="1"/>
  <c r="BS330" i="1"/>
  <c r="CL278" i="1"/>
  <c r="CT240" i="1"/>
  <c r="DB202" i="1"/>
  <c r="CO175" i="1"/>
  <c r="AO166" i="1"/>
  <c r="CS156" i="1"/>
  <c r="AS147" i="1"/>
  <c r="CW137" i="1"/>
  <c r="AW128" i="1"/>
  <c r="DA118" i="1"/>
  <c r="BA109" i="1"/>
  <c r="DE99" i="1"/>
  <c r="BE90" i="1"/>
  <c r="DI80" i="1"/>
  <c r="AQ186" i="1"/>
  <c r="CT311" i="1"/>
  <c r="DB273" i="1"/>
  <c r="F236" i="1"/>
  <c r="N198" i="1"/>
  <c r="BR174" i="1"/>
  <c r="R165" i="1"/>
  <c r="BV155" i="1"/>
  <c r="V146" i="1"/>
  <c r="BZ136" i="1"/>
  <c r="Z127" i="1"/>
  <c r="CD117" i="1"/>
  <c r="AD108" i="1"/>
  <c r="CH98" i="1"/>
  <c r="AH89" i="1"/>
  <c r="CL79" i="1"/>
  <c r="AL70" i="1"/>
  <c r="BB309" i="1"/>
  <c r="BJ271" i="1"/>
  <c r="BR233" i="1"/>
  <c r="BZ195" i="1"/>
  <c r="DI173" i="1"/>
  <c r="BI164" i="1"/>
  <c r="I155" i="1"/>
  <c r="BM145" i="1"/>
  <c r="M136" i="1"/>
  <c r="AM198" i="1"/>
  <c r="L303" i="1"/>
  <c r="T265" i="1"/>
  <c r="AB227" i="1"/>
  <c r="AJ189" i="1"/>
  <c r="CU302" i="1"/>
  <c r="DC264" i="1"/>
  <c r="G227" i="1"/>
  <c r="Q194" i="1"/>
  <c r="CJ307" i="1"/>
  <c r="CN288" i="1"/>
  <c r="CR269" i="1"/>
  <c r="CV250" i="1"/>
  <c r="CZ231" i="1"/>
  <c r="DD212" i="1"/>
  <c r="DH193" i="1"/>
  <c r="BB375" i="1"/>
  <c r="CE307" i="1"/>
  <c r="CI288" i="1"/>
  <c r="CM269" i="1"/>
  <c r="CQ250" i="1"/>
  <c r="CU231" i="1"/>
  <c r="CY212" i="1"/>
  <c r="K197" i="1"/>
  <c r="BC184" i="1"/>
  <c r="O181" i="1"/>
  <c r="BN283" i="1"/>
  <c r="Z233" i="1"/>
  <c r="AD182" i="1"/>
  <c r="BJ167" i="1"/>
  <c r="BB157" i="1"/>
  <c r="DF147" i="1"/>
  <c r="BF138" i="1"/>
  <c r="F129" i="1"/>
  <c r="BJ119" i="1"/>
  <c r="J110" i="1"/>
  <c r="BN100" i="1"/>
  <c r="N91" i="1"/>
  <c r="BR81" i="1"/>
  <c r="R72" i="1"/>
  <c r="AE328" i="1"/>
  <c r="Z278" i="1"/>
  <c r="AH240" i="1"/>
  <c r="AP202" i="1"/>
  <c r="BY175" i="1"/>
  <c r="Y166" i="1"/>
  <c r="CC156" i="1"/>
  <c r="AC147" i="1"/>
  <c r="CG137" i="1"/>
  <c r="AG128" i="1"/>
  <c r="CK118" i="1"/>
  <c r="AK109" i="1"/>
  <c r="CO99" i="1"/>
  <c r="AO90" i="1"/>
  <c r="CS80" i="1"/>
  <c r="W186" i="1"/>
  <c r="AH311" i="1"/>
  <c r="AP273" i="1"/>
  <c r="AX235" i="1"/>
  <c r="BF197" i="1"/>
  <c r="BB174" i="1"/>
  <c r="DF164" i="1"/>
  <c r="BF155" i="1"/>
  <c r="F146" i="1"/>
  <c r="BJ136" i="1"/>
  <c r="J127" i="1"/>
  <c r="BN117" i="1"/>
  <c r="N108" i="1"/>
  <c r="BR98" i="1"/>
  <c r="R89" i="1"/>
  <c r="BV79" i="1"/>
  <c r="V70" i="1"/>
  <c r="CT308" i="1"/>
  <c r="DB270" i="1"/>
  <c r="F233" i="1"/>
  <c r="N195" i="1"/>
  <c r="CS173" i="1"/>
  <c r="AS164" i="1"/>
  <c r="CW154" i="1"/>
  <c r="AW145" i="1"/>
  <c r="DA135" i="1"/>
  <c r="BA126" i="1"/>
  <c r="DE116" i="1"/>
  <c r="BE107" i="1"/>
  <c r="DI97" i="1"/>
  <c r="BI88" i="1"/>
  <c r="I79" i="1"/>
  <c r="CY185" i="1"/>
  <c r="BJ310" i="1"/>
  <c r="BR272" i="1"/>
  <c r="BZ234" i="1"/>
  <c r="CH196" i="1"/>
  <c r="AH174" i="1"/>
  <c r="CL164" i="1"/>
  <c r="AL155" i="1"/>
  <c r="CP145" i="1"/>
  <c r="AP136" i="1"/>
  <c r="CT126" i="1"/>
  <c r="AT117" i="1"/>
  <c r="CX107" i="1"/>
  <c r="AX98" i="1"/>
  <c r="DB88" i="1"/>
  <c r="BB79" i="1"/>
  <c r="DF69" i="1"/>
  <c r="R308" i="1"/>
  <c r="Z270" i="1"/>
  <c r="O200" i="1"/>
  <c r="CR304" i="1"/>
  <c r="CZ266" i="1"/>
  <c r="DH228" i="1"/>
  <c r="L191" i="1"/>
  <c r="BW304" i="1"/>
  <c r="CE266" i="1"/>
  <c r="CM228" i="1"/>
  <c r="BA199" i="1"/>
  <c r="BH308" i="1"/>
  <c r="BL289" i="1"/>
  <c r="BP270" i="1"/>
  <c r="BT251" i="1"/>
  <c r="BX232" i="1"/>
  <c r="CB213" i="1"/>
  <c r="CF194" i="1"/>
  <c r="AL387" i="1"/>
  <c r="BC308" i="1"/>
  <c r="BG289" i="1"/>
  <c r="BK270" i="1"/>
  <c r="BO251" i="1"/>
  <c r="BS232" i="1"/>
  <c r="BW213" i="1"/>
  <c r="BW197" i="1"/>
  <c r="K185" i="1"/>
  <c r="CU181" i="1"/>
  <c r="DB285" i="1"/>
  <c r="BN235" i="1"/>
  <c r="BR184" i="1"/>
  <c r="R168" i="1"/>
  <c r="CX157" i="1"/>
  <c r="AX148" i="1"/>
  <c r="DB138" i="1"/>
  <c r="BB129" i="1"/>
  <c r="DF119" i="1"/>
  <c r="BF110" i="1"/>
  <c r="F101" i="1"/>
  <c r="BJ91" i="1"/>
  <c r="J82" i="1"/>
  <c r="BN72" i="1"/>
  <c r="AQ335" i="1"/>
  <c r="DF279" i="1"/>
  <c r="J242" i="1"/>
  <c r="R204" i="1"/>
  <c r="Q176" i="1"/>
  <c r="BU166" i="1"/>
  <c r="U157" i="1"/>
  <c r="BY147" i="1"/>
  <c r="Y138" i="1"/>
  <c r="CC128" i="1"/>
  <c r="AC119" i="1"/>
  <c r="CG109" i="1"/>
  <c r="AG100" i="1"/>
  <c r="CK90" i="1"/>
  <c r="AK81" i="1"/>
  <c r="CI186" i="1"/>
  <c r="DC315" i="1"/>
  <c r="R275" i="1"/>
  <c r="Z237" i="1"/>
  <c r="AH199" i="1"/>
  <c r="CX174" i="1"/>
  <c r="AX165" i="1"/>
  <c r="DB155" i="1"/>
  <c r="BB146" i="1"/>
  <c r="DF136" i="1"/>
  <c r="BF127" i="1"/>
  <c r="F118" i="1"/>
  <c r="BJ108" i="1"/>
  <c r="J99" i="1"/>
  <c r="BN89" i="1"/>
  <c r="N80" i="1"/>
  <c r="BR70" i="1"/>
  <c r="BV310" i="1"/>
  <c r="CD272" i="1"/>
  <c r="CL234" i="1"/>
  <c r="CT196" i="1"/>
  <c r="AK174" i="1"/>
  <c r="CO164" i="1"/>
  <c r="AO155" i="1"/>
  <c r="CS145" i="1"/>
  <c r="AS136" i="1"/>
  <c r="CW126" i="1"/>
  <c r="AW117" i="1"/>
  <c r="DA107" i="1"/>
  <c r="BA98" i="1"/>
  <c r="DE88" i="1"/>
  <c r="BE79" i="1"/>
  <c r="BG186" i="1"/>
  <c r="DG312" i="1"/>
  <c r="AT274" i="1"/>
  <c r="BB236" i="1"/>
  <c r="BJ198" i="1"/>
  <c r="CD174" i="1"/>
  <c r="AD165" i="1"/>
  <c r="CH155" i="1"/>
  <c r="AH146" i="1"/>
  <c r="CL136" i="1"/>
  <c r="AL127" i="1"/>
  <c r="CP117" i="1"/>
  <c r="AP108" i="1"/>
  <c r="CT98" i="1"/>
  <c r="AT89" i="1"/>
  <c r="CX79" i="1"/>
  <c r="AX70" i="1"/>
  <c r="CX309" i="1"/>
  <c r="DF271" i="1"/>
  <c r="J234" i="1"/>
  <c r="R196" i="1"/>
  <c r="Q174" i="1"/>
  <c r="BU164" i="1"/>
  <c r="U155" i="1"/>
  <c r="BY145" i="1"/>
  <c r="Y136" i="1"/>
  <c r="CC126" i="1"/>
  <c r="AC117" i="1"/>
  <c r="CG107" i="1"/>
  <c r="AG98" i="1"/>
  <c r="CK88" i="1"/>
  <c r="AK79" i="1"/>
  <c r="O184" i="1"/>
  <c r="J305" i="1"/>
  <c r="R267" i="1"/>
  <c r="Z229" i="1"/>
  <c r="AH191" i="1"/>
  <c r="CX172" i="1"/>
  <c r="AX163" i="1"/>
  <c r="DB153" i="1"/>
  <c r="BB144" i="1"/>
  <c r="AS112" i="1"/>
  <c r="BA74" i="1"/>
  <c r="AL216" i="1"/>
  <c r="CD150" i="1"/>
  <c r="CL112" i="1"/>
  <c r="CT74" i="1"/>
  <c r="AH232" i="1"/>
  <c r="BY173" i="1"/>
  <c r="CC154" i="1"/>
  <c r="CG135" i="1"/>
  <c r="CK116" i="1"/>
  <c r="CO97" i="1"/>
  <c r="CS78" i="1"/>
  <c r="AH303" i="1"/>
  <c r="AX227" i="1"/>
  <c r="BB172" i="1"/>
  <c r="BF153" i="1"/>
  <c r="J137" i="1"/>
  <c r="BN127" i="1"/>
  <c r="N118" i="1"/>
  <c r="BR108" i="1"/>
  <c r="R99" i="1"/>
  <c r="BV89" i="1"/>
  <c r="V80" i="1"/>
  <c r="BZ70" i="1"/>
  <c r="AP310" i="1"/>
  <c r="AX272" i="1"/>
  <c r="BF234" i="1"/>
  <c r="BN196" i="1"/>
  <c r="AC174" i="1"/>
  <c r="CG164" i="1"/>
  <c r="AG155" i="1"/>
  <c r="CK145" i="1"/>
  <c r="AK136" i="1"/>
  <c r="CO126" i="1"/>
  <c r="AO117" i="1"/>
  <c r="CS107" i="1"/>
  <c r="AS98" i="1"/>
  <c r="CW88" i="1"/>
  <c r="AW79" i="1"/>
  <c r="CG70" i="1"/>
  <c r="AY317" i="1"/>
  <c r="BF275" i="1"/>
  <c r="BN237" i="1"/>
  <c r="BV199" i="1"/>
  <c r="DH174" i="1"/>
  <c r="BH165" i="1"/>
  <c r="H156" i="1"/>
  <c r="BL146" i="1"/>
  <c r="L137" i="1"/>
  <c r="BP127" i="1"/>
  <c r="P118" i="1"/>
  <c r="BT108" i="1"/>
  <c r="T99" i="1"/>
  <c r="BX89" i="1"/>
  <c r="X80" i="1"/>
  <c r="CB70" i="1"/>
  <c r="CL256" i="1"/>
  <c r="CQ160" i="1"/>
  <c r="CY122" i="1"/>
  <c r="DG84" i="1"/>
  <c r="Z61" i="1"/>
  <c r="CD51" i="1"/>
  <c r="AD42" i="1"/>
  <c r="CH32" i="1"/>
  <c r="AH23" i="1"/>
  <c r="CL13" i="1"/>
  <c r="AL4" i="1"/>
  <c r="CA131" i="1"/>
  <c r="BC52" i="1"/>
  <c r="BO22" i="1"/>
  <c r="AT277" i="1"/>
  <c r="DG165" i="1"/>
  <c r="K128" i="1"/>
  <c r="AG70" i="1"/>
  <c r="BF311" i="1"/>
  <c r="BN273" i="1"/>
  <c r="BV235" i="1"/>
  <c r="CD197" i="1"/>
  <c r="BH174" i="1"/>
  <c r="H165" i="1"/>
  <c r="BL155" i="1"/>
  <c r="L146" i="1"/>
  <c r="BP136" i="1"/>
  <c r="K207" i="1"/>
  <c r="CN311" i="1"/>
  <c r="CV273" i="1"/>
  <c r="DD235" i="1"/>
  <c r="H198" i="1"/>
  <c r="BS311" i="1"/>
  <c r="CA273" i="1"/>
  <c r="CI235" i="1"/>
  <c r="CQ197" i="1"/>
  <c r="BT242" i="1"/>
  <c r="AY242" i="1"/>
  <c r="BL277" i="1"/>
  <c r="CB201" i="1"/>
  <c r="BG277" i="1"/>
  <c r="AE202" i="1"/>
  <c r="AP253" i="1"/>
  <c r="AL161" i="1"/>
  <c r="AP142" i="1"/>
  <c r="CH125" i="1"/>
  <c r="AH116" i="1"/>
  <c r="CL106" i="1"/>
  <c r="AL97" i="1"/>
  <c r="CP87" i="1"/>
  <c r="AP78" i="1"/>
  <c r="CT68" i="1"/>
  <c r="N303" i="1"/>
  <c r="V265" i="1"/>
  <c r="AD227" i="1"/>
  <c r="AL189" i="1"/>
  <c r="AW172" i="1"/>
  <c r="DA162" i="1"/>
  <c r="BA153" i="1"/>
  <c r="DE143" i="1"/>
  <c r="BE134" i="1"/>
  <c r="DI124" i="1"/>
  <c r="BI115" i="1"/>
  <c r="I106" i="1"/>
  <c r="BM96" i="1"/>
  <c r="M87" i="1"/>
  <c r="BQ77" i="1"/>
  <c r="CQ181" i="1"/>
  <c r="AD298" i="1"/>
  <c r="AL260" i="1"/>
  <c r="AT222" i="1"/>
  <c r="BB184" i="1"/>
  <c r="Z171" i="1"/>
  <c r="CD161" i="1"/>
  <c r="AD152" i="1"/>
  <c r="CH142" i="1"/>
  <c r="AH133" i="1"/>
  <c r="CL123" i="1"/>
  <c r="AL114" i="1"/>
  <c r="CP104" i="1"/>
  <c r="AP95" i="1"/>
  <c r="CT85" i="1"/>
  <c r="AT76" i="1"/>
  <c r="CX66" i="1"/>
  <c r="CP295" i="1"/>
  <c r="CX257" i="1"/>
  <c r="DF219" i="1"/>
  <c r="J182" i="1"/>
  <c r="BQ170" i="1"/>
  <c r="Q161" i="1"/>
  <c r="BU151" i="1"/>
  <c r="U142" i="1"/>
  <c r="BY132" i="1"/>
  <c r="Y123" i="1"/>
  <c r="CC113" i="1"/>
  <c r="AC104" i="1"/>
  <c r="CG94" i="1"/>
  <c r="AG85" i="1"/>
  <c r="CK75" i="1"/>
  <c r="BO181" i="1"/>
  <c r="BF297" i="1"/>
  <c r="BN259" i="1"/>
  <c r="BV221" i="1"/>
  <c r="CD183" i="1"/>
  <c r="F171" i="1"/>
  <c r="BJ161" i="1"/>
  <c r="J152" i="1"/>
  <c r="BN142" i="1"/>
  <c r="N133" i="1"/>
  <c r="BR123" i="1"/>
  <c r="R114" i="1"/>
  <c r="BV104" i="1"/>
  <c r="V95" i="1"/>
  <c r="BZ85" i="1"/>
  <c r="Z76" i="1"/>
  <c r="CD66" i="1"/>
  <c r="N295" i="1"/>
  <c r="V257" i="1"/>
  <c r="AD219" i="1"/>
  <c r="AL181" i="1"/>
  <c r="AW170" i="1"/>
  <c r="DA160" i="1"/>
  <c r="BA151" i="1"/>
  <c r="DE141" i="1"/>
  <c r="BE132" i="1"/>
  <c r="DI122" i="1"/>
  <c r="BI113" i="1"/>
  <c r="I104" i="1"/>
  <c r="BM94" i="1"/>
  <c r="M85" i="1"/>
  <c r="BQ75" i="1"/>
  <c r="AP420" i="1"/>
  <c r="AD290" i="1"/>
  <c r="AL252" i="1"/>
  <c r="AT214" i="1"/>
  <c r="BZ178" i="1"/>
  <c r="Z169" i="1"/>
  <c r="CD159" i="1"/>
  <c r="AD150" i="1"/>
  <c r="CH140" i="1"/>
  <c r="K187" i="1"/>
  <c r="CN291" i="1"/>
  <c r="CV253" i="1"/>
  <c r="DD215" i="1"/>
  <c r="N421" i="1"/>
  <c r="BS291" i="1"/>
  <c r="CA253" i="1"/>
  <c r="CI215" i="1"/>
  <c r="K361" i="1"/>
  <c r="DH301" i="1"/>
  <c r="H283" i="1"/>
  <c r="L264" i="1"/>
  <c r="P245" i="1"/>
  <c r="T226" i="1"/>
  <c r="X207" i="1"/>
  <c r="AB188" i="1"/>
  <c r="AU347" i="1"/>
  <c r="DC301" i="1"/>
  <c r="DG282" i="1"/>
  <c r="G264" i="1"/>
  <c r="K245" i="1"/>
  <c r="O226" i="1"/>
  <c r="S207" i="1"/>
  <c r="AQ193" i="1"/>
  <c r="BS180" i="1"/>
  <c r="AE340" i="1"/>
  <c r="CH268" i="1"/>
  <c r="CL217" i="1"/>
  <c r="AX176" i="1"/>
  <c r="R164" i="1"/>
  <c r="BV154" i="1"/>
  <c r="V145" i="1"/>
  <c r="BZ135" i="1"/>
  <c r="Z126" i="1"/>
  <c r="CD116" i="1"/>
  <c r="AD107" i="1"/>
  <c r="CH97" i="1"/>
  <c r="AH88" i="1"/>
  <c r="CL78" i="1"/>
  <c r="AL69" i="1"/>
  <c r="CT304" i="1"/>
  <c r="DB266" i="1"/>
  <c r="F229" i="1"/>
  <c r="N191" i="1"/>
  <c r="CS172" i="1"/>
  <c r="AS163" i="1"/>
  <c r="CW153" i="1"/>
  <c r="AW144" i="1"/>
  <c r="DA134" i="1"/>
  <c r="BA125" i="1"/>
  <c r="DE115" i="1"/>
  <c r="BE106" i="1"/>
  <c r="DI96" i="1"/>
  <c r="BI87" i="1"/>
  <c r="I78" i="1"/>
  <c r="AY182" i="1"/>
  <c r="F300" i="1"/>
  <c r="N262" i="1"/>
  <c r="V224" i="1"/>
  <c r="AD186" i="1"/>
  <c r="BV171" i="1"/>
  <c r="V162" i="1"/>
  <c r="BZ152" i="1"/>
  <c r="Z143" i="1"/>
  <c r="CD133" i="1"/>
  <c r="AD124" i="1"/>
  <c r="CH114" i="1"/>
  <c r="AH105" i="1"/>
  <c r="CL95" i="1"/>
  <c r="AL86" i="1"/>
  <c r="CP76" i="1"/>
  <c r="AP67" i="1"/>
  <c r="BR297" i="1"/>
  <c r="BZ259" i="1"/>
  <c r="CH221" i="1"/>
  <c r="CP183" i="1"/>
  <c r="I171" i="1"/>
  <c r="BM161" i="1"/>
  <c r="M152" i="1"/>
  <c r="BQ142" i="1"/>
  <c r="Q133" i="1"/>
  <c r="CG203" i="1"/>
  <c r="AB291" i="1"/>
  <c r="AJ253" i="1"/>
  <c r="AR215" i="1"/>
  <c r="BR411" i="1"/>
  <c r="G291" i="1"/>
  <c r="O253" i="1"/>
  <c r="W215" i="1"/>
  <c r="CU359" i="1"/>
  <c r="CR301" i="1"/>
  <c r="CV282" i="1"/>
  <c r="CZ263" i="1"/>
  <c r="DD244" i="1"/>
  <c r="DH225" i="1"/>
  <c r="H207" i="1"/>
  <c r="L188" i="1"/>
  <c r="CM346" i="1"/>
  <c r="CM301" i="1"/>
  <c r="CQ282" i="1"/>
  <c r="CU263" i="1"/>
  <c r="CY244" i="1"/>
  <c r="DC225" i="1"/>
  <c r="DG206" i="1"/>
  <c r="K193" i="1"/>
  <c r="BC180" i="1"/>
  <c r="CU337" i="1"/>
  <c r="BN267" i="1"/>
  <c r="Z217" i="1"/>
  <c r="AH176" i="1"/>
  <c r="DF163" i="1"/>
  <c r="BF154" i="1"/>
  <c r="F145" i="1"/>
  <c r="BJ135" i="1"/>
  <c r="J126" i="1"/>
  <c r="BN116" i="1"/>
  <c r="N107" i="1"/>
  <c r="BR97" i="1"/>
  <c r="R88" i="1"/>
  <c r="BV78" i="1"/>
  <c r="V69" i="1"/>
  <c r="AH304" i="1"/>
  <c r="AP266" i="1"/>
  <c r="AX228" i="1"/>
  <c r="BF190" i="1"/>
  <c r="CC172" i="1"/>
  <c r="AC163" i="1"/>
  <c r="CG153" i="1"/>
  <c r="AG144" i="1"/>
  <c r="CK134" i="1"/>
  <c r="AK125" i="1"/>
  <c r="CO115" i="1"/>
  <c r="AO106" i="1"/>
  <c r="CS96" i="1"/>
  <c r="AS87" i="1"/>
  <c r="CW77" i="1"/>
  <c r="AA182" i="1"/>
  <c r="AX299" i="1"/>
  <c r="BF261" i="1"/>
  <c r="BN223" i="1"/>
  <c r="BV185" i="1"/>
  <c r="BF171" i="1"/>
  <c r="F162" i="1"/>
  <c r="BJ152" i="1"/>
  <c r="J143" i="1"/>
  <c r="BN133" i="1"/>
  <c r="N124" i="1"/>
  <c r="BR114" i="1"/>
  <c r="R105" i="1"/>
  <c r="BV95" i="1"/>
  <c r="V86" i="1"/>
  <c r="BZ76" i="1"/>
  <c r="Z67" i="1"/>
  <c r="F297" i="1"/>
  <c r="N259" i="1"/>
  <c r="V221" i="1"/>
  <c r="AD183" i="1"/>
  <c r="CW170" i="1"/>
  <c r="AW161" i="1"/>
  <c r="DA151" i="1"/>
  <c r="BA142" i="1"/>
  <c r="DE132" i="1"/>
  <c r="BE123" i="1"/>
  <c r="DI113" i="1"/>
  <c r="BI104" i="1"/>
  <c r="I95" i="1"/>
  <c r="BM85" i="1"/>
  <c r="M76" i="1"/>
  <c r="DG181" i="1"/>
  <c r="BZ298" i="1"/>
  <c r="CH260" i="1"/>
  <c r="CP222" i="1"/>
  <c r="CX184" i="1"/>
  <c r="AL171" i="1"/>
  <c r="CP161" i="1"/>
  <c r="AP152" i="1"/>
  <c r="CT142" i="1"/>
  <c r="AT133" i="1"/>
  <c r="CX123" i="1"/>
  <c r="AX114" i="1"/>
  <c r="DB104" i="1"/>
  <c r="BB95" i="1"/>
  <c r="DF85" i="1"/>
  <c r="BF76" i="1"/>
  <c r="F67" i="1"/>
  <c r="AH296" i="1"/>
  <c r="AP258" i="1"/>
  <c r="AE188" i="1"/>
  <c r="DH292" i="1"/>
  <c r="L255" i="1"/>
  <c r="T217" i="1"/>
  <c r="BC492" i="1"/>
  <c r="CM292" i="1"/>
  <c r="CU254" i="1"/>
  <c r="DC216" i="1"/>
  <c r="CM365" i="1"/>
  <c r="BP302" i="1"/>
  <c r="BT283" i="1"/>
  <c r="BX264" i="1"/>
  <c r="CB245" i="1"/>
  <c r="CF226" i="1"/>
  <c r="CJ207" i="1"/>
  <c r="CN188" i="1"/>
  <c r="CI349" i="1"/>
  <c r="BK302" i="1"/>
  <c r="BO283" i="1"/>
  <c r="BS264" i="1"/>
  <c r="BW245" i="1"/>
  <c r="CA226" i="1"/>
  <c r="CE207" i="1"/>
  <c r="BW193" i="1"/>
  <c r="K181" i="1"/>
  <c r="AQ347" i="1"/>
  <c r="DB269" i="1"/>
  <c r="BN219" i="1"/>
  <c r="CT176" i="1"/>
  <c r="AX164" i="1"/>
  <c r="DB154" i="1"/>
  <c r="BB145" i="1"/>
  <c r="DF135" i="1"/>
  <c r="BF126" i="1"/>
  <c r="F117" i="1"/>
  <c r="BJ107" i="1"/>
  <c r="J98" i="1"/>
  <c r="BN88" i="1"/>
  <c r="N79" i="1"/>
  <c r="BR69" i="1"/>
  <c r="J306" i="1"/>
  <c r="R268" i="1"/>
  <c r="Z230" i="1"/>
  <c r="AH192" i="1"/>
  <c r="U173" i="1"/>
  <c r="BY163" i="1"/>
  <c r="Y154" i="1"/>
  <c r="CC144" i="1"/>
  <c r="AC135" i="1"/>
  <c r="CG125" i="1"/>
  <c r="AG116" i="1"/>
  <c r="CK106" i="1"/>
  <c r="AK97" i="1"/>
  <c r="CO87" i="1"/>
  <c r="AO78" i="1"/>
  <c r="CM182" i="1"/>
  <c r="Z301" i="1"/>
  <c r="AH263" i="1"/>
  <c r="AP225" i="1"/>
  <c r="AX187" i="1"/>
  <c r="DB171" i="1"/>
  <c r="BB162" i="1"/>
  <c r="DF152" i="1"/>
  <c r="BF143" i="1"/>
  <c r="F134" i="1"/>
  <c r="BJ124" i="1"/>
  <c r="J115" i="1"/>
  <c r="BN105" i="1"/>
  <c r="N96" i="1"/>
  <c r="BR86" i="1"/>
  <c r="R77" i="1"/>
  <c r="BV67" i="1"/>
  <c r="CL298" i="1"/>
  <c r="CT260" i="1"/>
  <c r="DB222" i="1"/>
  <c r="F185" i="1"/>
  <c r="AO171" i="1"/>
  <c r="CS161" i="1"/>
  <c r="AS152" i="1"/>
  <c r="CW142" i="1"/>
  <c r="AW133" i="1"/>
  <c r="DA123" i="1"/>
  <c r="BA114" i="1"/>
  <c r="DE104" i="1"/>
  <c r="BE95" i="1"/>
  <c r="DI85" i="1"/>
  <c r="BI76" i="1"/>
  <c r="BO182" i="1"/>
  <c r="BB300" i="1"/>
  <c r="BJ262" i="1"/>
  <c r="BR224" i="1"/>
  <c r="BZ186" i="1"/>
  <c r="CH171" i="1"/>
  <c r="AH162" i="1"/>
  <c r="CL152" i="1"/>
  <c r="AL143" i="1"/>
  <c r="CP133" i="1"/>
  <c r="AP124" i="1"/>
  <c r="CT114" i="1"/>
  <c r="AT105" i="1"/>
  <c r="CX95" i="1"/>
  <c r="AX86" i="1"/>
  <c r="DB76" i="1"/>
  <c r="BB67" i="1"/>
  <c r="J298" i="1"/>
  <c r="R260" i="1"/>
  <c r="Z222" i="1"/>
  <c r="AH184" i="1"/>
  <c r="U171" i="1"/>
  <c r="BY161" i="1"/>
  <c r="Y152" i="1"/>
  <c r="CC142" i="1"/>
  <c r="AC133" i="1"/>
  <c r="CG123" i="1"/>
  <c r="AG114" i="1"/>
  <c r="CK104" i="1"/>
  <c r="AK95" i="1"/>
  <c r="CO85" i="1"/>
  <c r="AO76" i="1"/>
  <c r="S180" i="1"/>
  <c r="Z293" i="1"/>
  <c r="AH255" i="1"/>
  <c r="AP217" i="1"/>
  <c r="BF179" i="1"/>
  <c r="DB169" i="1"/>
  <c r="BB160" i="1"/>
  <c r="DF150" i="1"/>
  <c r="BF141" i="1"/>
  <c r="BI100" i="1"/>
  <c r="W346" i="1"/>
  <c r="CL176" i="1"/>
  <c r="CT138" i="1"/>
  <c r="DB100" i="1"/>
  <c r="BK336" i="1"/>
  <c r="BN208" i="1"/>
  <c r="CG167" i="1"/>
  <c r="CK148" i="1"/>
  <c r="CO129" i="1"/>
  <c r="CS110" i="1"/>
  <c r="CW91" i="1"/>
  <c r="AU189" i="1"/>
  <c r="BN279" i="1"/>
  <c r="CD203" i="1"/>
  <c r="BJ166" i="1"/>
  <c r="BN147" i="1"/>
  <c r="N134" i="1"/>
  <c r="BR124" i="1"/>
  <c r="R115" i="1"/>
  <c r="BV105" i="1"/>
  <c r="V96" i="1"/>
  <c r="BZ86" i="1"/>
  <c r="Z77" i="1"/>
  <c r="CD67" i="1"/>
  <c r="BF298" i="1"/>
  <c r="BN260" i="1"/>
  <c r="BV222" i="1"/>
  <c r="CD184" i="1"/>
  <c r="AG171" i="1"/>
  <c r="CK161" i="1"/>
  <c r="AK152" i="1"/>
  <c r="J237" i="1"/>
  <c r="CX155" i="1"/>
  <c r="DF117" i="1"/>
  <c r="J80" i="1"/>
  <c r="BC202" i="1"/>
  <c r="AZ193" i="1"/>
  <c r="AE193" i="1"/>
  <c r="CN252" i="1"/>
  <c r="AH406" i="1"/>
  <c r="CI252" i="1"/>
  <c r="CM185" i="1"/>
  <c r="V188" i="1"/>
  <c r="BJ139" i="1"/>
  <c r="BR101" i="1"/>
  <c r="CQ344" i="1"/>
  <c r="CC176" i="1"/>
  <c r="CK138" i="1"/>
  <c r="CS100" i="1"/>
  <c r="AY325" i="1"/>
  <c r="BF175" i="1"/>
  <c r="BN137" i="1"/>
  <c r="BV99" i="1"/>
  <c r="CM315" i="1"/>
  <c r="CW174" i="1"/>
  <c r="DE136" i="1"/>
  <c r="I99" i="1"/>
  <c r="BC322" i="1"/>
  <c r="AL175" i="1"/>
  <c r="AT137" i="1"/>
  <c r="BB99" i="1"/>
  <c r="CQ312" i="1"/>
  <c r="CC174" i="1"/>
  <c r="CK136" i="1"/>
  <c r="CS98" i="1"/>
  <c r="AX307" i="1"/>
  <c r="BF173" i="1"/>
  <c r="CG114" i="1"/>
  <c r="V115" i="1"/>
  <c r="CW155" i="1"/>
  <c r="I80" i="1"/>
  <c r="BZ154" i="1"/>
  <c r="Z109" i="1"/>
  <c r="AH71" i="1"/>
  <c r="DB198" i="1"/>
  <c r="AS146" i="1"/>
  <c r="AW127" i="1"/>
  <c r="BA108" i="1"/>
  <c r="BE89" i="1"/>
  <c r="AO71" i="1"/>
  <c r="CT277" i="1"/>
  <c r="F202" i="1"/>
  <c r="P166" i="1"/>
  <c r="T147" i="1"/>
  <c r="X128" i="1"/>
  <c r="AB109" i="1"/>
  <c r="AF90" i="1"/>
  <c r="AJ71" i="1"/>
  <c r="AA163" i="1"/>
  <c r="AQ87" i="1"/>
  <c r="AL52" i="1"/>
  <c r="AP33" i="1"/>
  <c r="AT14" i="1"/>
  <c r="AU139" i="1"/>
  <c r="AY24" i="1"/>
  <c r="AQ168" i="1"/>
  <c r="CS70" i="1"/>
  <c r="DB275" i="1"/>
  <c r="N200" i="1"/>
  <c r="BT165" i="1"/>
  <c r="BX146" i="1"/>
  <c r="CV128" i="1"/>
  <c r="AV119" i="1"/>
  <c r="CZ109" i="1"/>
  <c r="AZ100" i="1"/>
  <c r="DD90" i="1"/>
  <c r="BD81" i="1"/>
  <c r="DH71" i="1"/>
  <c r="BJ277" i="1"/>
  <c r="G166" i="1"/>
  <c r="O128" i="1"/>
  <c r="W90" i="1"/>
  <c r="BF62" i="1"/>
  <c r="F53" i="1"/>
  <c r="BJ43" i="1"/>
  <c r="J34" i="1"/>
  <c r="BN24" i="1"/>
  <c r="N15" i="1"/>
  <c r="BR5" i="1"/>
  <c r="DG147" i="1"/>
  <c r="AG67" i="1"/>
  <c r="BF299" i="1"/>
  <c r="BN261" i="1"/>
  <c r="BV223" i="1"/>
  <c r="CD185" i="1"/>
  <c r="BH171" i="1"/>
  <c r="H162" i="1"/>
  <c r="BL152" i="1"/>
  <c r="L143" i="1"/>
  <c r="BP133" i="1"/>
  <c r="P124" i="1"/>
  <c r="BT114" i="1"/>
  <c r="T105" i="1"/>
  <c r="BX95" i="1"/>
  <c r="X86" i="1"/>
  <c r="CB76" i="1"/>
  <c r="AB67" i="1"/>
  <c r="N201" i="1"/>
  <c r="CY146" i="1"/>
  <c r="DG108" i="1"/>
  <c r="K71" i="1"/>
  <c r="CD57" i="1"/>
  <c r="AD48" i="1"/>
  <c r="CH38" i="1"/>
  <c r="AH29" i="1"/>
  <c r="CL19" i="1"/>
  <c r="AL10" i="1"/>
  <c r="R242" i="1"/>
  <c r="CY85" i="1"/>
  <c r="DG40" i="1"/>
  <c r="CY10" i="1"/>
  <c r="AL219" i="1"/>
  <c r="DA66" i="1"/>
  <c r="V298" i="1"/>
  <c r="AD260" i="1"/>
  <c r="AL222" i="1"/>
  <c r="AT184" i="1"/>
  <c r="X171" i="1"/>
  <c r="CB161" i="1"/>
  <c r="AB152" i="1"/>
  <c r="CF142" i="1"/>
  <c r="AF133" i="1"/>
  <c r="CJ123" i="1"/>
  <c r="AJ114" i="1"/>
  <c r="CN104" i="1"/>
  <c r="AN95" i="1"/>
  <c r="CR85" i="1"/>
  <c r="AR76" i="1"/>
  <c r="CV66" i="1"/>
  <c r="CH195" i="1"/>
  <c r="BO145" i="1"/>
  <c r="BW107" i="1"/>
  <c r="CE69" i="1"/>
  <c r="AT57" i="1"/>
  <c r="CX47" i="1"/>
  <c r="AX38" i="1"/>
  <c r="DB28" i="1"/>
  <c r="BB19" i="1"/>
  <c r="DF9" i="1"/>
  <c r="J232" i="1"/>
  <c r="CA83" i="1"/>
  <c r="AU40" i="1"/>
  <c r="AM10" i="1"/>
  <c r="AP216" i="1"/>
  <c r="CE150" i="1"/>
  <c r="CM112" i="1"/>
  <c r="N253" i="1"/>
  <c r="BO110" i="1"/>
  <c r="K68" i="1"/>
  <c r="DE56" i="1"/>
  <c r="BE47" i="1"/>
  <c r="DI37" i="1"/>
  <c r="BI28" i="1"/>
  <c r="I19" i="1"/>
  <c r="BM9" i="1"/>
  <c r="AY179" i="1"/>
  <c r="BG61" i="1"/>
  <c r="CQ33" i="1"/>
  <c r="AM6" i="1"/>
  <c r="AD197" i="1"/>
  <c r="DC145" i="1"/>
  <c r="G108" i="1"/>
  <c r="O70" i="1"/>
  <c r="BD57" i="1"/>
  <c r="DH47" i="1"/>
  <c r="BH38" i="1"/>
  <c r="H29" i="1"/>
  <c r="BL19" i="1"/>
  <c r="L10" i="1"/>
  <c r="Z204" i="1"/>
  <c r="CE84" i="1"/>
  <c r="CM42" i="1"/>
  <c r="DC14" i="1"/>
  <c r="CM16" i="1"/>
  <c r="CY175" i="1"/>
  <c r="BG100" i="1"/>
  <c r="M65" i="1"/>
  <c r="BQ55" i="1"/>
  <c r="Q46" i="1"/>
  <c r="BU36" i="1"/>
  <c r="U27" i="1"/>
  <c r="BY17" i="1"/>
  <c r="Y8" i="1"/>
  <c r="S144" i="1"/>
  <c r="BG57" i="1"/>
  <c r="CU29" i="1"/>
  <c r="BV380" i="1"/>
  <c r="AU178" i="1"/>
  <c r="BC140" i="1"/>
  <c r="BK102" i="1"/>
  <c r="BP65" i="1"/>
  <c r="P56" i="1"/>
  <c r="BT46" i="1"/>
  <c r="T37" i="1"/>
  <c r="BX27" i="1"/>
  <c r="X18" i="1"/>
  <c r="CB8" i="1"/>
  <c r="CI169" i="1"/>
  <c r="G69" i="1"/>
  <c r="CU38" i="1"/>
  <c r="AQ5" i="1"/>
  <c r="AY20" i="1"/>
  <c r="AM131" i="1"/>
  <c r="AY78" i="1"/>
  <c r="BM59" i="1"/>
  <c r="M50" i="1"/>
  <c r="BQ40" i="1"/>
  <c r="Q31" i="1"/>
  <c r="BU21" i="1"/>
  <c r="U12" i="1"/>
  <c r="CL300" i="1"/>
  <c r="DC78" i="1"/>
  <c r="AY41" i="1"/>
  <c r="CY13" i="1"/>
  <c r="CD238" i="1"/>
  <c r="AM156" i="1"/>
  <c r="BY104" i="1"/>
  <c r="W182" i="1"/>
  <c r="BF185" i="1"/>
  <c r="F143" i="1"/>
  <c r="N105" i="1"/>
  <c r="V67" i="1"/>
  <c r="AH216" i="1"/>
  <c r="BY169" i="1"/>
  <c r="CC150" i="1"/>
  <c r="CG131" i="1"/>
  <c r="CK112" i="1"/>
  <c r="CO93" i="1"/>
  <c r="CS74" i="1"/>
  <c r="AH287" i="1"/>
  <c r="AX211" i="1"/>
  <c r="BB168" i="1"/>
  <c r="BF149" i="1"/>
  <c r="R135" i="1"/>
  <c r="BV125" i="1"/>
  <c r="V116" i="1"/>
  <c r="BZ106" i="1"/>
  <c r="Z97" i="1"/>
  <c r="CD87" i="1"/>
  <c r="AD78" i="1"/>
  <c r="CH68" i="1"/>
  <c r="BV302" i="1"/>
  <c r="CD264" i="1"/>
  <c r="CL226" i="1"/>
  <c r="CT188" i="1"/>
  <c r="AK172" i="1"/>
  <c r="CO162" i="1"/>
  <c r="AO153" i="1"/>
  <c r="CS143" i="1"/>
  <c r="AS134" i="1"/>
  <c r="CW124" i="1"/>
  <c r="AW115" i="1"/>
  <c r="DA105" i="1"/>
  <c r="BA96" i="1"/>
  <c r="DE86" i="1"/>
  <c r="BE77" i="1"/>
  <c r="CO68" i="1"/>
  <c r="CD305" i="1"/>
  <c r="CL267" i="1"/>
  <c r="CT229" i="1"/>
  <c r="DB191" i="1"/>
  <c r="L173" i="1"/>
  <c r="BP163" i="1"/>
  <c r="P154" i="1"/>
  <c r="BT144" i="1"/>
  <c r="T135" i="1"/>
  <c r="BX125" i="1"/>
  <c r="X116" i="1"/>
  <c r="CB106" i="1"/>
  <c r="AB97" i="1"/>
  <c r="CF87" i="1"/>
  <c r="AF78" i="1"/>
  <c r="CJ68" i="1"/>
  <c r="DF225" i="1"/>
  <c r="S153" i="1"/>
  <c r="AA115" i="1"/>
  <c r="AI77" i="1"/>
  <c r="AH59" i="1"/>
  <c r="CL49" i="1"/>
  <c r="AL40" i="1"/>
  <c r="CP30" i="1"/>
  <c r="AP21" i="1"/>
  <c r="CT11" i="1"/>
  <c r="O364" i="1"/>
  <c r="BK107" i="1"/>
  <c r="AU46" i="1"/>
  <c r="AM16" i="1"/>
  <c r="BN246" i="1"/>
  <c r="AI158" i="1"/>
  <c r="AQ120" i="1"/>
  <c r="AO68" i="1"/>
  <c r="CL303" i="1"/>
  <c r="CT265" i="1"/>
  <c r="DB227" i="1"/>
  <c r="F190" i="1"/>
  <c r="BP172" i="1"/>
  <c r="P163" i="1"/>
  <c r="BT153" i="1"/>
  <c r="AK118" i="1"/>
  <c r="AS80" i="1"/>
  <c r="F240" i="1"/>
  <c r="BV156" i="1"/>
  <c r="CD118" i="1"/>
  <c r="CL80" i="1"/>
  <c r="R244" i="1"/>
  <c r="BU176" i="1"/>
  <c r="BY157" i="1"/>
  <c r="CC138" i="1"/>
  <c r="CG119" i="1"/>
  <c r="CK100" i="1"/>
  <c r="CO81" i="1"/>
  <c r="AE324" i="1"/>
  <c r="AH239" i="1"/>
  <c r="AX175" i="1"/>
  <c r="BB156" i="1"/>
  <c r="BJ138" i="1"/>
  <c r="J129" i="1"/>
  <c r="BN119" i="1"/>
  <c r="N110" i="1"/>
  <c r="BR100" i="1"/>
  <c r="R91" i="1"/>
  <c r="BV81" i="1"/>
  <c r="V72" i="1"/>
  <c r="CQ328" i="1"/>
  <c r="AP278" i="1"/>
  <c r="AX240" i="1"/>
  <c r="BF202" i="1"/>
  <c r="CC175" i="1"/>
  <c r="AC166" i="1"/>
  <c r="CG156" i="1"/>
  <c r="AG147" i="1"/>
  <c r="CK137" i="1"/>
  <c r="AK128" i="1"/>
  <c r="CO118" i="1"/>
  <c r="AO109" i="1"/>
  <c r="CS99" i="1"/>
  <c r="AS90" i="1"/>
  <c r="CW80" i="1"/>
  <c r="AW72" i="1"/>
  <c r="S341" i="1"/>
  <c r="AX281" i="1"/>
  <c r="BF243" i="1"/>
  <c r="BN205" i="1"/>
  <c r="BD176" i="1"/>
  <c r="DH166" i="1"/>
  <c r="BH157" i="1"/>
  <c r="H148" i="1"/>
  <c r="BL138" i="1"/>
  <c r="L129" i="1"/>
  <c r="BP119" i="1"/>
  <c r="P110" i="1"/>
  <c r="BT100" i="1"/>
  <c r="T91" i="1"/>
  <c r="BX81" i="1"/>
  <c r="X72" i="1"/>
  <c r="BF280" i="1"/>
  <c r="CI166" i="1"/>
  <c r="CQ128" i="1"/>
  <c r="CY90" i="1"/>
  <c r="BZ62" i="1"/>
  <c r="Z53" i="1"/>
  <c r="CD43" i="1"/>
  <c r="AD34" i="1"/>
  <c r="CH24" i="1"/>
  <c r="AH15" i="1"/>
  <c r="CL5" i="1"/>
  <c r="BS149" i="1"/>
  <c r="W57" i="1"/>
  <c r="W27" i="1"/>
  <c r="N301" i="1"/>
  <c r="CY171" i="1"/>
  <c r="DG133" i="1"/>
  <c r="CG71" i="1"/>
  <c r="AY333" i="1"/>
  <c r="BF279" i="1"/>
  <c r="BN241" i="1"/>
  <c r="BV203" i="1"/>
  <c r="DH175" i="1"/>
  <c r="BH166" i="1"/>
  <c r="H157" i="1"/>
  <c r="BL147" i="1"/>
  <c r="L138" i="1"/>
  <c r="BD280" i="1"/>
  <c r="BT204" i="1"/>
  <c r="AI280" i="1"/>
  <c r="AY204" i="1"/>
  <c r="BH270" i="1"/>
  <c r="BP232" i="1"/>
  <c r="BX194" i="1"/>
  <c r="AU308" i="1"/>
  <c r="BC270" i="1"/>
  <c r="BK232" i="1"/>
  <c r="BS194" i="1"/>
  <c r="AR299" i="1"/>
  <c r="AZ261" i="1"/>
  <c r="BH223" i="1"/>
  <c r="BP185" i="1"/>
  <c r="W299" i="1"/>
  <c r="AE261" i="1"/>
  <c r="AM223" i="1"/>
  <c r="CU201" i="1"/>
  <c r="CR192" i="1"/>
  <c r="BW192" i="1"/>
  <c r="BX252" i="1"/>
  <c r="CX403" i="1"/>
  <c r="BS252" i="1"/>
  <c r="BW185" i="1"/>
  <c r="DF186" i="1"/>
  <c r="W301" i="1"/>
  <c r="AE263" i="1"/>
  <c r="AM225" i="1"/>
  <c r="DA200" i="1"/>
  <c r="BH290" i="1"/>
  <c r="BM380" i="1"/>
  <c r="CJ390" i="1"/>
  <c r="DG407" i="1"/>
  <c r="AL416" i="1"/>
  <c r="BN345" i="1"/>
  <c r="AL422" i="1"/>
  <c r="BE249" i="1"/>
  <c r="CI463" i="1"/>
  <c r="P360" i="1"/>
  <c r="F403" i="1"/>
  <c r="BQ289" i="1"/>
  <c r="BY251" i="1"/>
  <c r="CG213" i="1"/>
  <c r="J388" i="1"/>
  <c r="Y355" i="1"/>
  <c r="BJ396" i="1"/>
  <c r="DA299" i="1"/>
  <c r="CL410" i="1"/>
  <c r="CY327" i="1"/>
  <c r="Y240" i="1"/>
  <c r="BT288" i="1"/>
  <c r="CJ212" i="1"/>
  <c r="AY288" i="1"/>
  <c r="BO212" i="1"/>
  <c r="CJ277" i="1"/>
  <c r="BP236" i="1"/>
  <c r="BX198" i="1"/>
  <c r="AM313" i="1"/>
  <c r="BC274" i="1"/>
  <c r="BK236" i="1"/>
  <c r="BS198" i="1"/>
  <c r="AR303" i="1"/>
  <c r="AZ265" i="1"/>
  <c r="BH227" i="1"/>
  <c r="BP189" i="1"/>
  <c r="W303" i="1"/>
  <c r="AE265" i="1"/>
  <c r="AM227" i="1"/>
  <c r="BI193" i="1"/>
  <c r="BX288" i="1"/>
  <c r="CF250" i="1"/>
  <c r="CN212" i="1"/>
  <c r="N373" i="1"/>
  <c r="BS288" i="1"/>
  <c r="CA250" i="1"/>
  <c r="CI212" i="1"/>
  <c r="AE185" i="1"/>
  <c r="BZ194" i="1"/>
  <c r="DE296" i="1"/>
  <c r="BE367" i="1"/>
  <c r="AU321" i="1"/>
  <c r="BM238" i="1"/>
  <c r="DH286" i="1"/>
  <c r="T211" i="1"/>
  <c r="CM286" i="1"/>
  <c r="DC210" i="1"/>
  <c r="T276" i="1"/>
  <c r="CR235" i="1"/>
  <c r="CZ197" i="1"/>
  <c r="BW311" i="1"/>
  <c r="CE273" i="1"/>
  <c r="CM235" i="1"/>
  <c r="CU197" i="1"/>
  <c r="BT302" i="1"/>
  <c r="CB264" i="1"/>
  <c r="CJ226" i="1"/>
  <c r="CR188" i="1"/>
  <c r="AY302" i="1"/>
  <c r="BG264" i="1"/>
  <c r="BO226" i="1"/>
  <c r="BM190" i="1"/>
  <c r="CZ287" i="1"/>
  <c r="DH249" i="1"/>
  <c r="L212" i="1"/>
  <c r="DC366" i="1"/>
  <c r="CU287" i="1"/>
  <c r="DC249" i="1"/>
  <c r="G212" i="1"/>
  <c r="BA258" i="1"/>
  <c r="BV407" i="1"/>
  <c r="AK295" i="1"/>
  <c r="BA219" i="1"/>
  <c r="CV267" i="1"/>
  <c r="H192" i="1"/>
  <c r="CA267" i="1"/>
  <c r="CQ191" i="1"/>
  <c r="T264" i="1"/>
  <c r="AB226" i="1"/>
  <c r="AJ188" i="1"/>
  <c r="G302" i="1"/>
  <c r="O264" i="1"/>
  <c r="W226" i="1"/>
  <c r="Q253" i="1"/>
  <c r="AL386" i="1"/>
  <c r="BE292" i="1"/>
  <c r="BU216" i="1"/>
  <c r="L265" i="1"/>
  <c r="AB189" i="1"/>
  <c r="CU264" i="1"/>
  <c r="G189" i="1"/>
  <c r="CN262" i="1"/>
  <c r="CV224" i="1"/>
  <c r="DD186" i="1"/>
  <c r="CA300" i="1"/>
  <c r="CI262" i="1"/>
  <c r="CQ224" i="1"/>
  <c r="CY186" i="1"/>
  <c r="BX291" i="1"/>
  <c r="CF253" i="1"/>
  <c r="CN215" i="1"/>
  <c r="CD418" i="1"/>
  <c r="BC291" i="1"/>
  <c r="BK253" i="1"/>
  <c r="BS215" i="1"/>
  <c r="CQ318" i="1"/>
  <c r="CY317" i="1"/>
  <c r="W316" i="1"/>
  <c r="AF237" i="1"/>
  <c r="DG315" i="1"/>
  <c r="AA237" i="1"/>
  <c r="CQ185" i="1"/>
  <c r="N171" i="1"/>
  <c r="BZ131" i="1"/>
  <c r="BP233" i="1"/>
  <c r="AU233" i="1"/>
  <c r="CN272" i="1"/>
  <c r="CX240" i="1"/>
  <c r="BZ115" i="1"/>
  <c r="CH77" i="1"/>
  <c r="CT224" i="1"/>
  <c r="CS152" i="1"/>
  <c r="DA114" i="1"/>
  <c r="DI76" i="1"/>
  <c r="F220" i="1"/>
  <c r="BV151" i="1"/>
  <c r="CD113" i="1"/>
  <c r="CL75" i="1"/>
  <c r="BR217" i="1"/>
  <c r="I151" i="1"/>
  <c r="Q113" i="1"/>
  <c r="Y75" i="1"/>
  <c r="AH219" i="1"/>
  <c r="BB151" i="1"/>
  <c r="BJ113" i="1"/>
  <c r="BR75" i="1"/>
  <c r="CT216" i="1"/>
  <c r="CS150" i="1"/>
  <c r="DA112" i="1"/>
  <c r="DI74" i="1"/>
  <c r="F212" i="1"/>
  <c r="BV149" i="1"/>
  <c r="BH251" i="1"/>
  <c r="AM251" i="1"/>
  <c r="CR281" i="1"/>
  <c r="DH205" i="1"/>
  <c r="CM281" i="1"/>
  <c r="DC205" i="1"/>
  <c r="Z265" i="1"/>
  <c r="J154" i="1"/>
  <c r="R116" i="1"/>
  <c r="Z78" i="1"/>
  <c r="BV226" i="1"/>
  <c r="AK153" i="1"/>
  <c r="AS115" i="1"/>
  <c r="BA77" i="1"/>
  <c r="CL221" i="1"/>
  <c r="N152" i="1"/>
  <c r="V114" i="1"/>
  <c r="AD76" i="1"/>
  <c r="AT219" i="1"/>
  <c r="BE151" i="1"/>
  <c r="CR288" i="1"/>
  <c r="BW288" i="1"/>
  <c r="BX300" i="1"/>
  <c r="CN224" i="1"/>
  <c r="BS300" i="1"/>
  <c r="CI224" i="1"/>
  <c r="BW323" i="1"/>
  <c r="AT163" i="1"/>
  <c r="BB125" i="1"/>
  <c r="BJ87" i="1"/>
  <c r="DF263" i="1"/>
  <c r="BU162" i="1"/>
  <c r="Y134" i="1"/>
  <c r="AC115" i="1"/>
  <c r="AG96" i="1"/>
  <c r="AK77" i="1"/>
  <c r="J297" i="1"/>
  <c r="Z221" i="1"/>
  <c r="CX170" i="1"/>
  <c r="DB151" i="1"/>
  <c r="DF132" i="1"/>
  <c r="F114" i="1"/>
  <c r="J95" i="1"/>
  <c r="N76" i="1"/>
  <c r="BV294" i="1"/>
  <c r="CL218" i="1"/>
  <c r="AK170" i="1"/>
  <c r="AO151" i="1"/>
  <c r="AS132" i="1"/>
  <c r="AW113" i="1"/>
  <c r="BA94" i="1"/>
  <c r="BE75" i="1"/>
  <c r="AL296" i="1"/>
  <c r="BB220" i="1"/>
  <c r="CD170" i="1"/>
  <c r="CH151" i="1"/>
  <c r="CL132" i="1"/>
  <c r="CP113" i="1"/>
  <c r="CT94" i="1"/>
  <c r="CX75" i="1"/>
  <c r="CX293" i="1"/>
  <c r="AS201" i="1"/>
  <c r="CB252" i="1"/>
  <c r="R402" i="1"/>
  <c r="BG252" i="1"/>
  <c r="AM356" i="1"/>
  <c r="AZ282" i="1"/>
  <c r="BH244" i="1"/>
  <c r="BP206" i="1"/>
  <c r="G345" i="1"/>
  <c r="AU282" i="1"/>
  <c r="BC244" i="1"/>
  <c r="BK206" i="1"/>
  <c r="AM180" i="1"/>
  <c r="DF266" i="1"/>
  <c r="DF175" i="1"/>
  <c r="AP154" i="1"/>
  <c r="AT135" i="1"/>
  <c r="AX116" i="1"/>
  <c r="BB97" i="1"/>
  <c r="BF78" i="1"/>
  <c r="BZ303" i="1"/>
  <c r="CP227" i="1"/>
  <c r="BM172" i="1"/>
  <c r="BQ153" i="1"/>
  <c r="BU134" i="1"/>
  <c r="BY115" i="1"/>
  <c r="CC96" i="1"/>
  <c r="CG77" i="1"/>
  <c r="CP298" i="1"/>
  <c r="DF222" i="1"/>
  <c r="AP171" i="1"/>
  <c r="AT152" i="1"/>
  <c r="AX133" i="1"/>
  <c r="BB114" i="1"/>
  <c r="BF95" i="1"/>
  <c r="BJ76" i="1"/>
  <c r="AX296" i="1"/>
  <c r="BN220" i="1"/>
  <c r="CG170" i="1"/>
  <c r="CK151" i="1"/>
  <c r="CO132" i="1"/>
  <c r="CS113" i="1"/>
  <c r="CW94" i="1"/>
  <c r="DA75" i="1"/>
  <c r="N298" i="1"/>
  <c r="AD222" i="1"/>
  <c r="V171" i="1"/>
  <c r="Z152" i="1"/>
  <c r="AD133" i="1"/>
  <c r="AH114" i="1"/>
  <c r="AL95" i="1"/>
  <c r="AP76" i="1"/>
  <c r="BZ295" i="1"/>
  <c r="CP219" i="1"/>
  <c r="DA172" i="1"/>
  <c r="BA163" i="1"/>
  <c r="DE153" i="1"/>
  <c r="BE144" i="1"/>
  <c r="DI134" i="1"/>
  <c r="BI125" i="1"/>
  <c r="I116" i="1"/>
  <c r="BM106" i="1"/>
  <c r="M97" i="1"/>
  <c r="BQ87" i="1"/>
  <c r="Q78" i="1"/>
  <c r="BG182" i="1"/>
  <c r="AL300" i="1"/>
  <c r="AT262" i="1"/>
  <c r="BB224" i="1"/>
  <c r="BJ186" i="1"/>
  <c r="CD171" i="1"/>
  <c r="AD162" i="1"/>
  <c r="CH152" i="1"/>
  <c r="AH143" i="1"/>
  <c r="BU107" i="1"/>
  <c r="S186" i="1"/>
  <c r="AP197" i="1"/>
  <c r="DF145" i="1"/>
  <c r="J108" i="1"/>
  <c r="R70" i="1"/>
  <c r="CL222" i="1"/>
  <c r="AK171" i="1"/>
  <c r="AO152" i="1"/>
  <c r="AS133" i="1"/>
  <c r="AW114" i="1"/>
  <c r="BA95" i="1"/>
  <c r="BE76" i="1"/>
  <c r="CL293" i="1"/>
  <c r="DB217" i="1"/>
  <c r="N170" i="1"/>
  <c r="R151" i="1"/>
  <c r="CT135" i="1"/>
  <c r="AT126" i="1"/>
  <c r="CX116" i="1"/>
  <c r="AX107" i="1"/>
  <c r="DB97" i="1"/>
  <c r="BB88" i="1"/>
  <c r="DF78" i="1"/>
  <c r="BF69" i="1"/>
  <c r="BR305" i="1"/>
  <c r="BZ267" i="1"/>
  <c r="CH229" i="1"/>
  <c r="CP191" i="1"/>
  <c r="I173" i="1"/>
  <c r="BM163" i="1"/>
  <c r="M154" i="1"/>
  <c r="BQ144" i="1"/>
  <c r="Q135" i="1"/>
  <c r="BU125" i="1"/>
  <c r="U116" i="1"/>
  <c r="BY106" i="1"/>
  <c r="Y97" i="1"/>
  <c r="CC87" i="1"/>
  <c r="AC78" i="1"/>
  <c r="BM69" i="1"/>
  <c r="BZ308" i="1"/>
  <c r="CH270" i="1"/>
  <c r="CP232" i="1"/>
  <c r="CX194" i="1"/>
  <c r="CN173" i="1"/>
  <c r="AN164" i="1"/>
  <c r="CR154" i="1"/>
  <c r="AR145" i="1"/>
  <c r="CV135" i="1"/>
  <c r="AV126" i="1"/>
  <c r="CZ116" i="1"/>
  <c r="AZ107" i="1"/>
  <c r="DD97" i="1"/>
  <c r="BD88" i="1"/>
  <c r="DH78" i="1"/>
  <c r="BH69" i="1"/>
  <c r="CP237" i="1"/>
  <c r="O156" i="1"/>
  <c r="W118" i="1"/>
  <c r="AE80" i="1"/>
  <c r="F60" i="1"/>
  <c r="BJ50" i="1"/>
  <c r="J41" i="1"/>
  <c r="BN31" i="1"/>
  <c r="N22" i="1"/>
  <c r="BR12" i="1"/>
  <c r="R3" i="1"/>
  <c r="CE116" i="1"/>
  <c r="CA48" i="1"/>
  <c r="CA18" i="1"/>
  <c r="AX258" i="1"/>
  <c r="AE161" i="1"/>
  <c r="AM123" i="1"/>
  <c r="M69" i="1"/>
  <c r="CH306" i="1"/>
  <c r="CP268" i="1"/>
  <c r="CX230" i="1"/>
  <c r="DF192" i="1"/>
  <c r="AN173" i="1"/>
  <c r="CR163" i="1"/>
  <c r="AR154" i="1"/>
  <c r="CV144" i="1"/>
  <c r="AV135" i="1"/>
  <c r="CM211" i="1"/>
  <c r="CM333" i="1"/>
  <c r="BT278" i="1"/>
  <c r="CB240" i="1"/>
  <c r="CJ202" i="1"/>
  <c r="W329" i="1"/>
  <c r="AY278" i="1"/>
  <c r="BG240" i="1"/>
  <c r="BO202" i="1"/>
  <c r="BP261" i="1"/>
  <c r="AU261" i="1"/>
  <c r="H287" i="1"/>
  <c r="X211" i="1"/>
  <c r="DG286" i="1"/>
  <c r="S211" i="1"/>
  <c r="CP278" i="1"/>
  <c r="BZ163" i="1"/>
  <c r="CD144" i="1"/>
  <c r="DB126" i="1"/>
  <c r="BB117" i="1"/>
  <c r="DF107" i="1"/>
  <c r="BF98" i="1"/>
  <c r="F89" i="1"/>
  <c r="BJ79" i="1"/>
  <c r="J70" i="1"/>
  <c r="CP307" i="1"/>
  <c r="CX269" i="1"/>
  <c r="DF231" i="1"/>
  <c r="J194" i="1"/>
  <c r="BQ173" i="1"/>
  <c r="Q164" i="1"/>
  <c r="BU154" i="1"/>
  <c r="U145" i="1"/>
  <c r="BY135" i="1"/>
  <c r="Y126" i="1"/>
  <c r="CC116" i="1"/>
  <c r="AC107" i="1"/>
  <c r="CG97" i="1"/>
  <c r="AG88" i="1"/>
  <c r="CK78" i="1"/>
  <c r="AU183" i="1"/>
  <c r="DF302" i="1"/>
  <c r="J265" i="1"/>
  <c r="R227" i="1"/>
  <c r="Z189" i="1"/>
  <c r="AT172" i="1"/>
  <c r="CX162" i="1"/>
  <c r="AX153" i="1"/>
  <c r="DB143" i="1"/>
  <c r="BB134" i="1"/>
  <c r="DF124" i="1"/>
  <c r="BF115" i="1"/>
  <c r="F106" i="1"/>
  <c r="BJ96" i="1"/>
  <c r="J87" i="1"/>
  <c r="BN77" i="1"/>
  <c r="N68" i="1"/>
  <c r="BN300" i="1"/>
  <c r="BV262" i="1"/>
  <c r="CD224" i="1"/>
  <c r="CL186" i="1"/>
  <c r="CK171" i="1"/>
  <c r="AK162" i="1"/>
  <c r="CO152" i="1"/>
  <c r="AO143" i="1"/>
  <c r="CS133" i="1"/>
  <c r="AS124" i="1"/>
  <c r="CW114" i="1"/>
  <c r="AW105" i="1"/>
  <c r="DA95" i="1"/>
  <c r="BA86" i="1"/>
  <c r="DE76" i="1"/>
  <c r="W183" i="1"/>
  <c r="AD302" i="1"/>
  <c r="AL264" i="1"/>
  <c r="AT226" i="1"/>
  <c r="BB188" i="1"/>
  <c r="Z172" i="1"/>
  <c r="CD162" i="1"/>
  <c r="AD153" i="1"/>
  <c r="CH143" i="1"/>
  <c r="AH134" i="1"/>
  <c r="CL124" i="1"/>
  <c r="AL115" i="1"/>
  <c r="CP105" i="1"/>
  <c r="AP96" i="1"/>
  <c r="CT86" i="1"/>
  <c r="AT77" i="1"/>
  <c r="CX67" i="1"/>
  <c r="CP299" i="1"/>
  <c r="CX261" i="1"/>
  <c r="DF223" i="1"/>
  <c r="J186" i="1"/>
  <c r="BQ171" i="1"/>
  <c r="Q162" i="1"/>
  <c r="BU152" i="1"/>
  <c r="U143" i="1"/>
  <c r="BY133" i="1"/>
  <c r="Y124" i="1"/>
  <c r="CC114" i="1"/>
  <c r="AC105" i="1"/>
  <c r="CG95" i="1"/>
  <c r="AG86" i="1"/>
  <c r="CK76" i="1"/>
  <c r="CE180" i="1"/>
  <c r="DF294" i="1"/>
  <c r="J257" i="1"/>
  <c r="R219" i="1"/>
  <c r="Z181" i="1"/>
  <c r="AT170" i="1"/>
  <c r="CX160" i="1"/>
  <c r="AX151" i="1"/>
  <c r="DB141" i="1"/>
  <c r="CM191" i="1"/>
  <c r="BL296" i="1"/>
  <c r="BT258" i="1"/>
  <c r="CB220" i="1"/>
  <c r="CJ182" i="1"/>
  <c r="AQ296" i="1"/>
  <c r="AY258" i="1"/>
  <c r="BG220" i="1"/>
  <c r="BE180" i="1"/>
  <c r="AR304" i="1"/>
  <c r="AV285" i="1"/>
  <c r="AZ266" i="1"/>
  <c r="BD247" i="1"/>
  <c r="BH228" i="1"/>
  <c r="BL209" i="1"/>
  <c r="BP190" i="1"/>
  <c r="CU356" i="1"/>
  <c r="AM304" i="1"/>
  <c r="AQ285" i="1"/>
  <c r="AU266" i="1"/>
  <c r="AY247" i="1"/>
  <c r="BC228" i="1"/>
  <c r="BG209" i="1"/>
  <c r="CQ194" i="1"/>
  <c r="AE182" i="1"/>
  <c r="O368" i="1"/>
  <c r="BZ274" i="1"/>
  <c r="AL224" i="1"/>
  <c r="J178" i="1"/>
  <c r="AL165" i="1"/>
  <c r="CP155" i="1"/>
  <c r="AP146" i="1"/>
  <c r="CT136" i="1"/>
  <c r="AT127" i="1"/>
  <c r="CX117" i="1"/>
  <c r="AX108" i="1"/>
  <c r="DB98" i="1"/>
  <c r="BB89" i="1"/>
  <c r="DF79" i="1"/>
  <c r="BF70" i="1"/>
  <c r="BR309" i="1"/>
  <c r="BZ271" i="1"/>
  <c r="CH233" i="1"/>
  <c r="CP195" i="1"/>
  <c r="I174" i="1"/>
  <c r="BM164" i="1"/>
  <c r="M155" i="1"/>
  <c r="BQ145" i="1"/>
  <c r="Q136" i="1"/>
  <c r="BU126" i="1"/>
  <c r="U117" i="1"/>
  <c r="BY107" i="1"/>
  <c r="Y98" i="1"/>
  <c r="CC88" i="1"/>
  <c r="AC79" i="1"/>
  <c r="DG183" i="1"/>
  <c r="CH304" i="1"/>
  <c r="CP266" i="1"/>
  <c r="CX228" i="1"/>
  <c r="DF190" i="1"/>
  <c r="CP172" i="1"/>
  <c r="AP163" i="1"/>
  <c r="CT153" i="1"/>
  <c r="AT144" i="1"/>
  <c r="CX134" i="1"/>
  <c r="AX125" i="1"/>
  <c r="DB115" i="1"/>
  <c r="BB106" i="1"/>
  <c r="DF96" i="1"/>
  <c r="BF87" i="1"/>
  <c r="F78" i="1"/>
  <c r="BJ68" i="1"/>
  <c r="AP302" i="1"/>
  <c r="AX264" i="1"/>
  <c r="BF226" i="1"/>
  <c r="BN188" i="1"/>
  <c r="AC172" i="1"/>
  <c r="CG162" i="1"/>
  <c r="AG153" i="1"/>
  <c r="CK143" i="1"/>
  <c r="AK134" i="1"/>
  <c r="AA191" i="1"/>
  <c r="DD295" i="1"/>
  <c r="H258" i="1"/>
  <c r="P220" i="1"/>
  <c r="X182" i="1"/>
  <c r="CI295" i="1"/>
  <c r="CQ257" i="1"/>
  <c r="CY219" i="1"/>
  <c r="CW179" i="1"/>
  <c r="AB304" i="1"/>
  <c r="AF285" i="1"/>
  <c r="AJ266" i="1"/>
  <c r="AN247" i="1"/>
  <c r="AR228" i="1"/>
  <c r="AV209" i="1"/>
  <c r="AZ190" i="1"/>
  <c r="AI356" i="1"/>
  <c r="W304" i="1"/>
  <c r="AA285" i="1"/>
  <c r="AE266" i="1"/>
  <c r="AI247" i="1"/>
  <c r="AM228" i="1"/>
  <c r="AQ209" i="1"/>
  <c r="CA194" i="1"/>
  <c r="O182" i="1"/>
  <c r="BO361" i="1"/>
  <c r="N274" i="1"/>
  <c r="CD223" i="1"/>
  <c r="CH177" i="1"/>
  <c r="V165" i="1"/>
  <c r="BZ155" i="1"/>
  <c r="Z146" i="1"/>
  <c r="CD136" i="1"/>
  <c r="AD127" i="1"/>
  <c r="CH117" i="1"/>
  <c r="AH108" i="1"/>
  <c r="CL98" i="1"/>
  <c r="AL89" i="1"/>
  <c r="CP79" i="1"/>
  <c r="AP70" i="1"/>
  <c r="F309" i="1"/>
  <c r="N271" i="1"/>
  <c r="V233" i="1"/>
  <c r="AD195" i="1"/>
  <c r="CW173" i="1"/>
  <c r="AW164" i="1"/>
  <c r="DA154" i="1"/>
  <c r="BA145" i="1"/>
  <c r="DE135" i="1"/>
  <c r="BE126" i="1"/>
  <c r="DI116" i="1"/>
  <c r="BI107" i="1"/>
  <c r="I98" i="1"/>
  <c r="BM88" i="1"/>
  <c r="M79" i="1"/>
  <c r="CM183" i="1"/>
  <c r="V304" i="1"/>
  <c r="AD266" i="1"/>
  <c r="AL228" i="1"/>
  <c r="AT190" i="1"/>
  <c r="BZ172" i="1"/>
  <c r="Z163" i="1"/>
  <c r="CD153" i="1"/>
  <c r="AD144" i="1"/>
  <c r="CH134" i="1"/>
  <c r="AH125" i="1"/>
  <c r="CL115" i="1"/>
  <c r="AL106" i="1"/>
  <c r="CP96" i="1"/>
  <c r="AP87" i="1"/>
  <c r="CT77" i="1"/>
  <c r="AT68" i="1"/>
  <c r="CH301" i="1"/>
  <c r="CP263" i="1"/>
  <c r="CX225" i="1"/>
  <c r="DF187" i="1"/>
  <c r="M172" i="1"/>
  <c r="BQ162" i="1"/>
  <c r="Q153" i="1"/>
  <c r="BU143" i="1"/>
  <c r="U134" i="1"/>
  <c r="BY124" i="1"/>
  <c r="Y115" i="1"/>
  <c r="CC105" i="1"/>
  <c r="AC96" i="1"/>
  <c r="CG86" i="1"/>
  <c r="AG77" i="1"/>
  <c r="BK183" i="1"/>
  <c r="AX303" i="1"/>
  <c r="AY209" i="1"/>
  <c r="AA321" i="1"/>
  <c r="AF276" i="1"/>
  <c r="AN238" i="1"/>
  <c r="AV200" i="1"/>
  <c r="CA319" i="1"/>
  <c r="K276" i="1"/>
  <c r="S238" i="1"/>
  <c r="AA200" i="1"/>
  <c r="P252" i="1"/>
  <c r="CY251" i="1"/>
  <c r="AJ282" i="1"/>
  <c r="AZ206" i="1"/>
  <c r="AE282" i="1"/>
  <c r="AU206" i="1"/>
  <c r="AT266" i="1"/>
  <c r="N163" i="1"/>
  <c r="R144" i="1"/>
  <c r="AP126" i="1"/>
  <c r="CT116" i="1"/>
  <c r="AT107" i="1"/>
  <c r="CX97" i="1"/>
  <c r="AX88" i="1"/>
  <c r="DB78" i="1"/>
  <c r="BB69" i="1"/>
  <c r="BB305" i="1"/>
  <c r="BJ267" i="1"/>
  <c r="BR229" i="1"/>
  <c r="BZ191" i="1"/>
  <c r="DI172" i="1"/>
  <c r="BI163" i="1"/>
  <c r="I154" i="1"/>
  <c r="BM144" i="1"/>
  <c r="M135" i="1"/>
  <c r="BQ125" i="1"/>
  <c r="Q116" i="1"/>
  <c r="BU106" i="1"/>
  <c r="U97" i="1"/>
  <c r="BY87" i="1"/>
  <c r="Y78" i="1"/>
  <c r="BS182" i="1"/>
  <c r="BR300" i="1"/>
  <c r="BZ262" i="1"/>
  <c r="CH224" i="1"/>
  <c r="CP186" i="1"/>
  <c r="CL171" i="1"/>
  <c r="AL162" i="1"/>
  <c r="CP152" i="1"/>
  <c r="AP143" i="1"/>
  <c r="CT133" i="1"/>
  <c r="AT124" i="1"/>
  <c r="CX114" i="1"/>
  <c r="AX105" i="1"/>
  <c r="DB95" i="1"/>
  <c r="BB86" i="1"/>
  <c r="DF76" i="1"/>
  <c r="BF67" i="1"/>
  <c r="Z298" i="1"/>
  <c r="AH260" i="1"/>
  <c r="AP222" i="1"/>
  <c r="AX184" i="1"/>
  <c r="Y171" i="1"/>
  <c r="CC161" i="1"/>
  <c r="AC152" i="1"/>
  <c r="CG142" i="1"/>
  <c r="AG133" i="1"/>
  <c r="CK123" i="1"/>
  <c r="AK114" i="1"/>
  <c r="CO104" i="1"/>
  <c r="AO95" i="1"/>
  <c r="CS85" i="1"/>
  <c r="AS76" i="1"/>
  <c r="AQ182" i="1"/>
  <c r="CT299" i="1"/>
  <c r="DB261" i="1"/>
  <c r="F224" i="1"/>
  <c r="N186" i="1"/>
  <c r="BR171" i="1"/>
  <c r="R162" i="1"/>
  <c r="BV152" i="1"/>
  <c r="V143" i="1"/>
  <c r="BZ133" i="1"/>
  <c r="Z124" i="1"/>
  <c r="CD114" i="1"/>
  <c r="AD105" i="1"/>
  <c r="CH95" i="1"/>
  <c r="AH86" i="1"/>
  <c r="CL76" i="1"/>
  <c r="AL67" i="1"/>
  <c r="BB297" i="1"/>
  <c r="BJ259" i="1"/>
  <c r="BR221" i="1"/>
  <c r="BZ183" i="1"/>
  <c r="DI170" i="1"/>
  <c r="BI161" i="1"/>
  <c r="I152" i="1"/>
  <c r="BM142" i="1"/>
  <c r="M133" i="1"/>
  <c r="BQ123" i="1"/>
  <c r="Q114" i="1"/>
  <c r="BU104" i="1"/>
  <c r="U95" i="1"/>
  <c r="BY85" i="1"/>
  <c r="Y76" i="1"/>
  <c r="DC179" i="1"/>
  <c r="BR292" i="1"/>
  <c r="BZ254" i="1"/>
  <c r="CH216" i="1"/>
  <c r="AH179" i="1"/>
  <c r="CL169" i="1"/>
  <c r="AL160" i="1"/>
  <c r="CP150" i="1"/>
  <c r="AP141" i="1"/>
  <c r="AY189" i="1"/>
  <c r="X294" i="1"/>
  <c r="AF256" i="1"/>
  <c r="AN218" i="1"/>
  <c r="AV180" i="1"/>
  <c r="DG293" i="1"/>
  <c r="K256" i="1"/>
  <c r="S218" i="1"/>
  <c r="CT386" i="1"/>
  <c r="X303" i="1"/>
  <c r="AB284" i="1"/>
  <c r="AF265" i="1"/>
  <c r="AJ246" i="1"/>
  <c r="AN227" i="1"/>
  <c r="AR208" i="1"/>
  <c r="AV189" i="1"/>
  <c r="S352" i="1"/>
  <c r="S303" i="1"/>
  <c r="W284" i="1"/>
  <c r="AA265" i="1"/>
  <c r="AE246" i="1"/>
  <c r="AI227" i="1"/>
  <c r="AM208" i="1"/>
  <c r="O194" i="1"/>
  <c r="BG181" i="1"/>
  <c r="O352" i="1"/>
  <c r="CD271" i="1"/>
  <c r="AP221" i="1"/>
  <c r="V177" i="1"/>
  <c r="CD164" i="1"/>
  <c r="AD155" i="1"/>
  <c r="CH145" i="1"/>
  <c r="AH136" i="1"/>
  <c r="CL126" i="1"/>
  <c r="AL117" i="1"/>
  <c r="CP107" i="1"/>
  <c r="AP98" i="1"/>
  <c r="CT88" i="1"/>
  <c r="AT79" i="1"/>
  <c r="CX69" i="1"/>
  <c r="AD307" i="1"/>
  <c r="AL269" i="1"/>
  <c r="AT231" i="1"/>
  <c r="BB193" i="1"/>
  <c r="BA173" i="1"/>
  <c r="DE163" i="1"/>
  <c r="BE154" i="1"/>
  <c r="DI144" i="1"/>
  <c r="BI135" i="1"/>
  <c r="I126" i="1"/>
  <c r="BM116" i="1"/>
  <c r="M107" i="1"/>
  <c r="BQ97" i="1"/>
  <c r="Q88" i="1"/>
  <c r="BU78" i="1"/>
  <c r="AA183" i="1"/>
  <c r="AT302" i="1"/>
  <c r="BB264" i="1"/>
  <c r="BJ226" i="1"/>
  <c r="BR188" i="1"/>
  <c r="AD172" i="1"/>
  <c r="CH162" i="1"/>
  <c r="AH153" i="1"/>
  <c r="CL143" i="1"/>
  <c r="AL134" i="1"/>
  <c r="CP124" i="1"/>
  <c r="AP115" i="1"/>
  <c r="CT105" i="1"/>
  <c r="AT96" i="1"/>
  <c r="CX86" i="1"/>
  <c r="AX77" i="1"/>
  <c r="DB67" i="1"/>
  <c r="DF299" i="1"/>
  <c r="J262" i="1"/>
  <c r="R224" i="1"/>
  <c r="Z186" i="1"/>
  <c r="BU171" i="1"/>
  <c r="U162" i="1"/>
  <c r="BY152" i="1"/>
  <c r="Y143" i="1"/>
  <c r="CC133" i="1"/>
  <c r="CQ188" i="1"/>
  <c r="BP293" i="1"/>
  <c r="BX255" i="1"/>
  <c r="CF217" i="1"/>
  <c r="CN179" i="1"/>
  <c r="AU293" i="1"/>
  <c r="BC255" i="1"/>
  <c r="BK217" i="1"/>
  <c r="AT377" i="1"/>
  <c r="H303" i="1"/>
  <c r="L284" i="1"/>
  <c r="P265" i="1"/>
  <c r="T246" i="1"/>
  <c r="X227" i="1"/>
  <c r="AB208" i="1"/>
  <c r="AF189" i="1"/>
  <c r="BK351" i="1"/>
  <c r="DG302" i="1"/>
  <c r="G284" i="1"/>
  <c r="K265" i="1"/>
  <c r="O246" i="1"/>
  <c r="S227" i="1"/>
  <c r="W208" i="1"/>
  <c r="DC193" i="1"/>
  <c r="AA181" i="1"/>
  <c r="CE349" i="1"/>
  <c r="R271" i="1"/>
  <c r="V220" i="1"/>
  <c r="F177" i="1"/>
  <c r="BN164" i="1"/>
  <c r="N155" i="1"/>
  <c r="BR145" i="1"/>
  <c r="R136" i="1"/>
  <c r="BV126" i="1"/>
  <c r="V117" i="1"/>
  <c r="BZ107" i="1"/>
  <c r="Z98" i="1"/>
  <c r="CD88" i="1"/>
  <c r="AD79" i="1"/>
  <c r="CH69" i="1"/>
  <c r="BV306" i="1"/>
  <c r="CD268" i="1"/>
  <c r="CL230" i="1"/>
  <c r="CT192" i="1"/>
  <c r="AK173" i="1"/>
  <c r="CO163" i="1"/>
  <c r="AO154" i="1"/>
  <c r="CS144" i="1"/>
  <c r="AS135" i="1"/>
  <c r="CW125" i="1"/>
  <c r="AW116" i="1"/>
  <c r="DA106" i="1"/>
  <c r="BA97" i="1"/>
  <c r="DE87" i="1"/>
  <c r="BE78" i="1"/>
  <c r="G183" i="1"/>
  <c r="CL301" i="1"/>
  <c r="CT263" i="1"/>
  <c r="DB225" i="1"/>
  <c r="F188" i="1"/>
  <c r="N172" i="1"/>
  <c r="BR162" i="1"/>
  <c r="R153" i="1"/>
  <c r="BV143" i="1"/>
  <c r="V134" i="1"/>
  <c r="BZ124" i="1"/>
  <c r="Z115" i="1"/>
  <c r="CD105" i="1"/>
  <c r="AD96" i="1"/>
  <c r="CH86" i="1"/>
  <c r="AH77" i="1"/>
  <c r="CL67" i="1"/>
  <c r="AT299" i="1"/>
  <c r="BB261" i="1"/>
  <c r="BJ223" i="1"/>
  <c r="BR185" i="1"/>
  <c r="BE171" i="1"/>
  <c r="DI161" i="1"/>
  <c r="BI152" i="1"/>
  <c r="I143" i="1"/>
  <c r="BM133" i="1"/>
  <c r="M124" i="1"/>
  <c r="BQ114" i="1"/>
  <c r="Q105" i="1"/>
  <c r="BU95" i="1"/>
  <c r="U86" i="1"/>
  <c r="BY76" i="1"/>
  <c r="CI182" i="1"/>
  <c r="J301" i="1"/>
  <c r="R263" i="1"/>
  <c r="Z225" i="1"/>
  <c r="AH187" i="1"/>
  <c r="CX171" i="1"/>
  <c r="AX162" i="1"/>
  <c r="DB152" i="1"/>
  <c r="BB143" i="1"/>
  <c r="DF133" i="1"/>
  <c r="BF124" i="1"/>
  <c r="F115" i="1"/>
  <c r="BJ105" i="1"/>
  <c r="J96" i="1"/>
  <c r="BN86" i="1"/>
  <c r="N77" i="1"/>
  <c r="BR67" i="1"/>
  <c r="BV298" i="1"/>
  <c r="CD260" i="1"/>
  <c r="BS190" i="1"/>
  <c r="AR295" i="1"/>
  <c r="AZ257" i="1"/>
  <c r="BH219" i="1"/>
  <c r="BP181" i="1"/>
  <c r="W295" i="1"/>
  <c r="AE257" i="1"/>
  <c r="AM219" i="1"/>
  <c r="CK425" i="1"/>
  <c r="CJ303" i="1"/>
  <c r="CN284" i="1"/>
  <c r="CR265" i="1"/>
  <c r="CV246" i="1"/>
  <c r="CZ227" i="1"/>
  <c r="DD208" i="1"/>
  <c r="DH189" i="1"/>
  <c r="BG354" i="1"/>
  <c r="CE303" i="1"/>
  <c r="CI284" i="1"/>
  <c r="CM265" i="1"/>
  <c r="CQ246" i="1"/>
  <c r="CU227" i="1"/>
  <c r="CY208" i="1"/>
  <c r="BK194" i="1"/>
  <c r="CM181" i="1"/>
  <c r="AA359" i="1"/>
  <c r="BF273" i="1"/>
  <c r="BJ222" i="1"/>
  <c r="BR177" i="1"/>
  <c r="F165" i="1"/>
  <c r="BJ155" i="1"/>
  <c r="J146" i="1"/>
  <c r="BN136" i="1"/>
  <c r="N127" i="1"/>
  <c r="BR117" i="1"/>
  <c r="R108" i="1"/>
  <c r="BV98" i="1"/>
  <c r="V89" i="1"/>
  <c r="BZ79" i="1"/>
  <c r="Z70" i="1"/>
  <c r="AX308" i="1"/>
  <c r="BF270" i="1"/>
  <c r="BN232" i="1"/>
  <c r="BV194" i="1"/>
  <c r="CG173" i="1"/>
  <c r="AG164" i="1"/>
  <c r="CK154" i="1"/>
  <c r="AK145" i="1"/>
  <c r="CO135" i="1"/>
  <c r="AO126" i="1"/>
  <c r="CS116" i="1"/>
  <c r="AS107" i="1"/>
  <c r="CW97" i="1"/>
  <c r="AW88" i="1"/>
  <c r="DA78" i="1"/>
  <c r="BS183" i="1"/>
  <c r="BN303" i="1"/>
  <c r="BV265" i="1"/>
  <c r="CD227" i="1"/>
  <c r="CL189" i="1"/>
  <c r="BJ172" i="1"/>
  <c r="J163" i="1"/>
  <c r="BN153" i="1"/>
  <c r="N144" i="1"/>
  <c r="BR134" i="1"/>
  <c r="R125" i="1"/>
  <c r="BV115" i="1"/>
  <c r="V106" i="1"/>
  <c r="BZ96" i="1"/>
  <c r="Z87" i="1"/>
  <c r="CD77" i="1"/>
  <c r="AD68" i="1"/>
  <c r="V301" i="1"/>
  <c r="AD263" i="1"/>
  <c r="AL225" i="1"/>
  <c r="AT187" i="1"/>
  <c r="DA171" i="1"/>
  <c r="BA162" i="1"/>
  <c r="DE152" i="1"/>
  <c r="BE143" i="1"/>
  <c r="DI133" i="1"/>
  <c r="BI124" i="1"/>
  <c r="I115" i="1"/>
  <c r="BM105" i="1"/>
  <c r="M96" i="1"/>
  <c r="BQ86" i="1"/>
  <c r="Q77" i="1"/>
  <c r="AQ183" i="1"/>
  <c r="CP302" i="1"/>
  <c r="CX264" i="1"/>
  <c r="DF226" i="1"/>
  <c r="J189" i="1"/>
  <c r="AP172" i="1"/>
  <c r="CT162" i="1"/>
  <c r="AT153" i="1"/>
  <c r="CX143" i="1"/>
  <c r="AX134" i="1"/>
  <c r="DB124" i="1"/>
  <c r="BB115" i="1"/>
  <c r="DF105" i="1"/>
  <c r="BF96" i="1"/>
  <c r="F87" i="1"/>
  <c r="BJ77" i="1"/>
  <c r="J68" i="1"/>
  <c r="AX300" i="1"/>
  <c r="BF262" i="1"/>
  <c r="BN224" i="1"/>
  <c r="BV186" i="1"/>
  <c r="CG171" i="1"/>
  <c r="AG162" i="1"/>
  <c r="CK152" i="1"/>
  <c r="AK143" i="1"/>
  <c r="CO133" i="1"/>
  <c r="AO124" i="1"/>
  <c r="CS114" i="1"/>
  <c r="AS105" i="1"/>
  <c r="CW95" i="1"/>
  <c r="AW86" i="1"/>
  <c r="DA76" i="1"/>
  <c r="DC180" i="1"/>
  <c r="BN295" i="1"/>
  <c r="BV257" i="1"/>
  <c r="CD219" i="1"/>
  <c r="CL181" i="1"/>
  <c r="BJ170" i="1"/>
  <c r="J161" i="1"/>
  <c r="BN151" i="1"/>
  <c r="N142" i="1"/>
  <c r="CW102" i="1"/>
  <c r="CM179" i="1"/>
  <c r="V179" i="1"/>
  <c r="AD141" i="1"/>
  <c r="AL103" i="1"/>
  <c r="AL391" i="1"/>
  <c r="AL213" i="1"/>
  <c r="DA168" i="1"/>
  <c r="DE149" i="1"/>
  <c r="DI130" i="1"/>
  <c r="I112" i="1"/>
  <c r="M93" i="1"/>
  <c r="Q74" i="1"/>
  <c r="AL284" i="1"/>
  <c r="BB208" i="1"/>
  <c r="CD167" i="1"/>
  <c r="CH148" i="1"/>
  <c r="BZ134" i="1"/>
  <c r="Z125" i="1"/>
  <c r="CD115" i="1"/>
  <c r="AD106" i="1"/>
  <c r="CH96" i="1"/>
  <c r="AH87" i="1"/>
  <c r="CL77" i="1"/>
  <c r="AL68" i="1"/>
  <c r="CT300" i="1"/>
  <c r="DB262" i="1"/>
  <c r="F225" i="1"/>
  <c r="N187" i="1"/>
  <c r="CS171" i="1"/>
  <c r="AS162" i="1"/>
  <c r="CW152" i="1"/>
  <c r="AW143" i="1"/>
  <c r="DA133" i="1"/>
  <c r="BA124" i="1"/>
  <c r="DE114" i="1"/>
  <c r="BE105" i="1"/>
  <c r="DI95" i="1"/>
  <c r="BI86" i="1"/>
  <c r="I77" i="1"/>
  <c r="AS68" i="1"/>
  <c r="DB303" i="1"/>
  <c r="F266" i="1"/>
  <c r="N228" i="1"/>
  <c r="V190" i="1"/>
  <c r="BT172" i="1"/>
  <c r="T163" i="1"/>
  <c r="BX153" i="1"/>
  <c r="X144" i="1"/>
  <c r="CB134" i="1"/>
  <c r="AB125" i="1"/>
  <c r="CF115" i="1"/>
  <c r="AF106" i="1"/>
  <c r="CJ96" i="1"/>
  <c r="AJ87" i="1"/>
  <c r="CN77" i="1"/>
  <c r="AN68" i="1"/>
  <c r="CT218" i="1"/>
  <c r="AQ151" i="1"/>
  <c r="AY113" i="1"/>
  <c r="BG75" i="1"/>
  <c r="CP58" i="1"/>
  <c r="AP49" i="1"/>
  <c r="CT39" i="1"/>
  <c r="AT30" i="1"/>
  <c r="CX20" i="1"/>
  <c r="AX11" i="1"/>
  <c r="CH303" i="1"/>
  <c r="CY101" i="1"/>
  <c r="G45" i="1"/>
  <c r="CY14" i="1"/>
  <c r="BB239" i="1"/>
  <c r="BG156" i="1"/>
  <c r="BO118" i="1"/>
  <c r="CW67" i="1"/>
  <c r="F302" i="1"/>
  <c r="N264" i="1"/>
  <c r="V226" i="1"/>
  <c r="AD188" i="1"/>
  <c r="T172" i="1"/>
  <c r="BX162" i="1"/>
  <c r="X153" i="1"/>
  <c r="CB143" i="1"/>
  <c r="AB134" i="1"/>
  <c r="BO197" i="1"/>
  <c r="AN302" i="1"/>
  <c r="AV264" i="1"/>
  <c r="BD226" i="1"/>
  <c r="BL188" i="1"/>
  <c r="S302" i="1"/>
  <c r="AA264" i="1"/>
  <c r="AI226" i="1"/>
  <c r="CE213" i="1"/>
  <c r="CB204" i="1"/>
  <c r="BG204" i="1"/>
  <c r="BP258" i="1"/>
  <c r="CF182" i="1"/>
  <c r="BK258" i="1"/>
  <c r="BG189" i="1"/>
  <c r="DF202" i="1"/>
  <c r="BN156" i="1"/>
  <c r="BR137" i="1"/>
  <c r="AT123" i="1"/>
  <c r="CX113" i="1"/>
  <c r="AX104" i="1"/>
  <c r="DB94" i="1"/>
  <c r="BB85" i="1"/>
  <c r="DF75" i="1"/>
  <c r="BF66" i="1"/>
  <c r="BR293" i="1"/>
  <c r="BZ255" i="1"/>
  <c r="CH217" i="1"/>
  <c r="CP179" i="1"/>
  <c r="I170" i="1"/>
  <c r="BM160" i="1"/>
  <c r="M151" i="1"/>
  <c r="BQ141" i="1"/>
  <c r="Q132" i="1"/>
  <c r="BU122" i="1"/>
  <c r="U113" i="1"/>
  <c r="BY103" i="1"/>
  <c r="Y94" i="1"/>
  <c r="CC84" i="1"/>
  <c r="AC75" i="1"/>
  <c r="V387" i="1"/>
  <c r="CH288" i="1"/>
  <c r="CP250" i="1"/>
  <c r="CX212" i="1"/>
  <c r="AL178" i="1"/>
  <c r="CP168" i="1"/>
  <c r="AP159" i="1"/>
  <c r="CT149" i="1"/>
  <c r="AT140" i="1"/>
  <c r="CX130" i="1"/>
  <c r="AX121" i="1"/>
  <c r="DB111" i="1"/>
  <c r="BB102" i="1"/>
  <c r="DF92" i="1"/>
  <c r="BF83" i="1"/>
  <c r="F74" i="1"/>
  <c r="CQ360" i="1"/>
  <c r="AP286" i="1"/>
  <c r="AX248" i="1"/>
  <c r="BF210" i="1"/>
  <c r="CC177" i="1"/>
  <c r="AC168" i="1"/>
  <c r="CG158" i="1"/>
  <c r="AG149" i="1"/>
  <c r="CK139" i="1"/>
  <c r="AK130" i="1"/>
  <c r="CO120" i="1"/>
  <c r="AO111" i="1"/>
  <c r="CS101" i="1"/>
  <c r="AS92" i="1"/>
  <c r="CW82" i="1"/>
  <c r="AW73" i="1"/>
  <c r="DB372" i="1"/>
  <c r="F288" i="1"/>
  <c r="N250" i="1"/>
  <c r="V212" i="1"/>
  <c r="R178" i="1"/>
  <c r="BV168" i="1"/>
  <c r="V159" i="1"/>
  <c r="BZ149" i="1"/>
  <c r="Z140" i="1"/>
  <c r="CD130" i="1"/>
  <c r="AD121" i="1"/>
  <c r="CH111" i="1"/>
  <c r="AH102" i="1"/>
  <c r="CL92" i="1"/>
  <c r="AL83" i="1"/>
  <c r="CP73" i="1"/>
  <c r="CU357" i="1"/>
  <c r="BR285" i="1"/>
  <c r="BZ247" i="1"/>
  <c r="CH209" i="1"/>
  <c r="BI177" i="1"/>
  <c r="I168" i="1"/>
  <c r="Q130" i="1"/>
  <c r="Y92" i="1"/>
  <c r="CH280" i="1"/>
  <c r="CP166" i="1"/>
  <c r="BO355" i="1"/>
  <c r="DG343" i="1"/>
  <c r="G332" i="1"/>
  <c r="AR240" i="1"/>
  <c r="AY328" i="1"/>
  <c r="AM240" i="1"/>
  <c r="G191" i="1"/>
  <c r="AL173" i="1"/>
  <c r="AL133" i="1"/>
  <c r="AT95" i="1"/>
  <c r="AT295" i="1"/>
  <c r="BE170" i="1"/>
  <c r="BM132" i="1"/>
  <c r="BU94" i="1"/>
  <c r="BJ290" i="1"/>
  <c r="AH169" i="1"/>
  <c r="AP131" i="1"/>
  <c r="AX93" i="1"/>
  <c r="R288" i="1"/>
  <c r="BY168" i="1"/>
  <c r="CY214" i="1"/>
  <c r="CV205" i="1"/>
  <c r="CA205" i="1"/>
  <c r="X259" i="1"/>
  <c r="AN183" i="1"/>
  <c r="S259" i="1"/>
  <c r="DC189" i="1"/>
  <c r="CH204" i="1"/>
  <c r="BV142" i="1"/>
  <c r="CD104" i="1"/>
  <c r="CL66" i="1"/>
  <c r="F181" i="1"/>
  <c r="CW141" i="1"/>
  <c r="DE103" i="1"/>
  <c r="AD413" i="1"/>
  <c r="BR178" i="1"/>
  <c r="BZ140" i="1"/>
  <c r="CH102" i="1"/>
  <c r="BO365" i="1"/>
  <c r="DI177" i="1"/>
  <c r="M140" i="1"/>
  <c r="U102" i="1"/>
  <c r="BV396" i="1"/>
  <c r="AX178" i="1"/>
  <c r="BF140" i="1"/>
  <c r="BN102" i="1"/>
  <c r="BS362" i="1"/>
  <c r="BH283" i="1"/>
  <c r="AM283" i="1"/>
  <c r="CR297" i="1"/>
  <c r="DH221" i="1"/>
  <c r="CM297" i="1"/>
  <c r="DC221" i="1"/>
  <c r="CT307" i="1"/>
  <c r="J162" i="1"/>
  <c r="R124" i="1"/>
  <c r="Z86" i="1"/>
  <c r="BV258" i="1"/>
  <c r="AK161" i="1"/>
  <c r="AS123" i="1"/>
  <c r="BA85" i="1"/>
  <c r="CL253" i="1"/>
  <c r="N160" i="1"/>
  <c r="V122" i="1"/>
  <c r="AD84" i="1"/>
  <c r="AT251" i="1"/>
  <c r="BE159" i="1"/>
  <c r="BM121" i="1"/>
  <c r="BU83" i="1"/>
  <c r="J253" i="1"/>
  <c r="CX159" i="1"/>
  <c r="DF121" i="1"/>
  <c r="J84" i="1"/>
  <c r="BV250" i="1"/>
  <c r="AK159" i="1"/>
  <c r="AS121" i="1"/>
  <c r="BA83" i="1"/>
  <c r="CL245" i="1"/>
  <c r="N158" i="1"/>
  <c r="BZ282" i="1"/>
  <c r="AH280" i="1"/>
  <c r="M125" i="1"/>
  <c r="BR260" i="1"/>
  <c r="CD131" i="1"/>
  <c r="CL93" i="1"/>
  <c r="F289" i="1"/>
  <c r="CW168" i="1"/>
  <c r="AX146" i="1"/>
  <c r="G307" i="1"/>
  <c r="CM233" i="1"/>
  <c r="R92" i="1"/>
  <c r="AS91" i="1"/>
  <c r="V90" i="1"/>
  <c r="BM89" i="1"/>
  <c r="DF89" i="1"/>
  <c r="AS89" i="1"/>
  <c r="AD77" i="1"/>
  <c r="CD99" i="1"/>
  <c r="BY122" i="1"/>
  <c r="CX258" i="1"/>
  <c r="AZ123" i="1"/>
  <c r="AE144" i="1"/>
  <c r="BV9" i="1"/>
  <c r="Q66" i="1"/>
  <c r="CZ141" i="1"/>
  <c r="L98" i="1"/>
  <c r="BR239" i="1"/>
  <c r="R60" i="1"/>
  <c r="Z22" i="1"/>
  <c r="BB395" i="1"/>
  <c r="BT178" i="1"/>
  <c r="CB140" i="1"/>
  <c r="CJ102" i="1"/>
  <c r="AA323" i="1"/>
  <c r="CP64" i="1"/>
  <c r="CX26" i="1"/>
  <c r="BK63" i="1"/>
  <c r="R374" i="1"/>
  <c r="AJ178" i="1"/>
  <c r="AR140" i="1"/>
  <c r="AZ102" i="1"/>
  <c r="BJ309" i="1"/>
  <c r="BF64" i="1"/>
  <c r="BN26" i="1"/>
  <c r="CY62" i="1"/>
  <c r="AE141" i="1"/>
  <c r="M64" i="1"/>
  <c r="U26" i="1"/>
  <c r="BS54" i="1"/>
  <c r="BC136" i="1"/>
  <c r="BT45" i="1"/>
  <c r="CB7" i="1"/>
  <c r="G8" i="1"/>
  <c r="CC62" i="1"/>
  <c r="CK24" i="1"/>
  <c r="BS50" i="1"/>
  <c r="DG130" i="1"/>
  <c r="AF44" i="1"/>
  <c r="AN6" i="1"/>
  <c r="AA34" i="1"/>
  <c r="Y57" i="1"/>
  <c r="AG19" i="1"/>
  <c r="BG34" i="1"/>
  <c r="Y95" i="1"/>
  <c r="BR95" i="1"/>
  <c r="DE145" i="1"/>
  <c r="BG184" i="1"/>
  <c r="CH144" i="1"/>
  <c r="AL104" i="1"/>
  <c r="AT66" i="1"/>
  <c r="BC179" i="1"/>
  <c r="BE141" i="1"/>
  <c r="BM103" i="1"/>
  <c r="BA66" i="1"/>
  <c r="BB182" i="1"/>
  <c r="AF142" i="1"/>
  <c r="AN104" i="1"/>
  <c r="AV66" i="1"/>
  <c r="CM67" i="1"/>
  <c r="BB28" i="1"/>
  <c r="BC77" i="1"/>
  <c r="CM148" i="1"/>
  <c r="AP275" i="1"/>
  <c r="BF199" i="1"/>
  <c r="BD165" i="1"/>
  <c r="CK127" i="1"/>
  <c r="DB277" i="1"/>
  <c r="Z128" i="1"/>
  <c r="BJ275" i="1"/>
  <c r="AW162" i="1"/>
  <c r="BE124" i="1"/>
  <c r="BM86" i="1"/>
  <c r="AD258" i="1"/>
  <c r="Z161" i="1"/>
  <c r="AX131" i="1"/>
  <c r="BB112" i="1"/>
  <c r="BF93" i="1"/>
  <c r="BJ74" i="1"/>
  <c r="CP287" i="1"/>
  <c r="DF211" i="1"/>
  <c r="BQ168" i="1"/>
  <c r="BU149" i="1"/>
  <c r="BY130" i="1"/>
  <c r="CC111" i="1"/>
  <c r="CG92" i="1"/>
  <c r="CK73" i="1"/>
  <c r="CX290" i="1"/>
  <c r="J215" i="1"/>
  <c r="AR169" i="1"/>
  <c r="AV150" i="1"/>
  <c r="AZ131" i="1"/>
  <c r="BD112" i="1"/>
  <c r="BH93" i="1"/>
  <c r="BL74" i="1"/>
  <c r="AE176" i="1"/>
  <c r="AU100" i="1"/>
  <c r="BN55" i="1"/>
  <c r="BR36" i="1"/>
  <c r="BV17" i="1"/>
  <c r="CY169" i="1"/>
  <c r="BW34" i="1"/>
  <c r="AL187" i="1"/>
  <c r="BK105" i="1"/>
  <c r="DF288" i="1"/>
  <c r="R213" i="1"/>
  <c r="CV168" i="1"/>
  <c r="CZ149" i="1"/>
  <c r="DD130" i="1"/>
  <c r="BD121" i="1"/>
  <c r="DH111" i="1"/>
  <c r="BH102" i="1"/>
  <c r="H93" i="1"/>
  <c r="BL83" i="1"/>
  <c r="L74" i="1"/>
  <c r="CD310" i="1"/>
  <c r="AM174" i="1"/>
  <c r="AU136" i="1"/>
  <c r="BC98" i="1"/>
  <c r="BN64" i="1"/>
  <c r="N55" i="1"/>
  <c r="BR45" i="1"/>
  <c r="R36" i="1"/>
  <c r="BV26" i="1"/>
  <c r="V17" i="1"/>
  <c r="BZ7" i="1"/>
  <c r="W165" i="1"/>
  <c r="AO69" i="1"/>
  <c r="CL307" i="1"/>
  <c r="CT269" i="1"/>
  <c r="DB231" i="1"/>
  <c r="F194" i="1"/>
  <c r="BP173" i="1"/>
  <c r="P164" i="1"/>
  <c r="BT154" i="1"/>
  <c r="T145" i="1"/>
  <c r="BX135" i="1"/>
  <c r="X126" i="1"/>
  <c r="CB116" i="1"/>
  <c r="AB107" i="1"/>
  <c r="CF97" i="1"/>
  <c r="AF88" i="1"/>
  <c r="CJ78" i="1"/>
  <c r="AJ69" i="1"/>
  <c r="AH234" i="1"/>
  <c r="AA155" i="1"/>
  <c r="AI117" i="1"/>
  <c r="AQ79" i="1"/>
  <c r="CL59" i="1"/>
  <c r="AL50" i="1"/>
  <c r="CP40" i="1"/>
  <c r="AP31" i="1"/>
  <c r="CT21" i="1"/>
  <c r="AT12" i="1"/>
  <c r="BQ3" i="1"/>
  <c r="AI112" i="1"/>
  <c r="BC47" i="1"/>
  <c r="BO17" i="1"/>
  <c r="BF252" i="1"/>
  <c r="DI68" i="1"/>
  <c r="BB306" i="1"/>
  <c r="BJ268" i="1"/>
  <c r="BR230" i="1"/>
  <c r="BZ192" i="1"/>
  <c r="AF173" i="1"/>
  <c r="CJ163" i="1"/>
  <c r="AJ154" i="1"/>
  <c r="CN144" i="1"/>
  <c r="AN135" i="1"/>
  <c r="CR125" i="1"/>
  <c r="AR116" i="1"/>
  <c r="CV106" i="1"/>
  <c r="AV97" i="1"/>
  <c r="CZ87" i="1"/>
  <c r="AZ78" i="1"/>
  <c r="DD68" i="1"/>
  <c r="DB228" i="1"/>
  <c r="CU153" i="1"/>
  <c r="DC115" i="1"/>
  <c r="G78" i="1"/>
  <c r="BB59" i="1"/>
  <c r="DF49" i="1"/>
  <c r="BF40" i="1"/>
  <c r="F31" i="1"/>
  <c r="BJ21" i="1"/>
  <c r="J12" i="1"/>
  <c r="AJ3" i="1"/>
  <c r="CI109" i="1"/>
  <c r="CY46" i="1"/>
  <c r="DC16" i="1"/>
  <c r="BJ249" i="1"/>
  <c r="G159" i="1"/>
  <c r="O121" i="1"/>
  <c r="CQ13" i="1"/>
  <c r="W127" i="1"/>
  <c r="AQ76" i="1"/>
  <c r="I59" i="1"/>
  <c r="BM49" i="1"/>
  <c r="M40" i="1"/>
  <c r="BQ30" i="1"/>
  <c r="Q21" i="1"/>
  <c r="BU11" i="1"/>
  <c r="BF276" i="1"/>
  <c r="CE72" i="1"/>
  <c r="CY39" i="1"/>
  <c r="AU12" i="1"/>
  <c r="AX230" i="1"/>
  <c r="AE154" i="1"/>
  <c r="AM116" i="1"/>
  <c r="AU78" i="1"/>
  <c r="BL59" i="1"/>
  <c r="L50" i="1"/>
  <c r="BP40" i="1"/>
  <c r="P31" i="1"/>
  <c r="BT21" i="1"/>
  <c r="T12" i="1"/>
  <c r="V303" i="1"/>
  <c r="CE108" i="1"/>
  <c r="CY48" i="1"/>
  <c r="G21" i="1"/>
  <c r="CU39" i="1"/>
  <c r="R298" i="1"/>
  <c r="K116" i="1"/>
  <c r="CU70" i="1"/>
  <c r="BY57" i="1"/>
  <c r="Y48" i="1"/>
  <c r="CC38" i="1"/>
  <c r="AC29" i="1"/>
  <c r="CG19" i="1"/>
  <c r="BF265" i="1"/>
  <c r="F163" i="1"/>
  <c r="N125" i="1"/>
  <c r="V87" i="1"/>
  <c r="N263" i="1"/>
  <c r="CV221" i="1"/>
  <c r="CA221" i="1"/>
  <c r="H267" i="1"/>
  <c r="X191" i="1"/>
  <c r="DG266" i="1"/>
  <c r="AI195" i="1"/>
  <c r="N226" i="1"/>
  <c r="BV146" i="1"/>
  <c r="CD108" i="1"/>
  <c r="CL70" i="1"/>
  <c r="F197" i="1"/>
  <c r="CW145" i="1"/>
  <c r="DE107" i="1"/>
  <c r="AU184" i="1"/>
  <c r="V192" i="1"/>
  <c r="BZ144" i="1"/>
  <c r="CH106" i="1"/>
  <c r="CP68" i="1"/>
  <c r="CH189" i="1"/>
  <c r="M144" i="1"/>
  <c r="U106" i="1"/>
  <c r="S184" i="1"/>
  <c r="AX191" i="1"/>
  <c r="BF144" i="1"/>
  <c r="BN106" i="1"/>
  <c r="BV68" i="1"/>
  <c r="F189" i="1"/>
  <c r="CW143" i="1"/>
  <c r="DE105" i="1"/>
  <c r="CE181" i="1"/>
  <c r="V184" i="1"/>
  <c r="BZ142" i="1"/>
  <c r="BR143" i="1"/>
  <c r="Q170" i="1"/>
  <c r="AG94" i="1"/>
  <c r="CX168" i="1"/>
  <c r="AL116" i="1"/>
  <c r="AT78" i="1"/>
  <c r="AT227" i="1"/>
  <c r="BE153" i="1"/>
  <c r="DE130" i="1"/>
  <c r="DI111" i="1"/>
  <c r="I93" i="1"/>
  <c r="M74" i="1"/>
  <c r="N292" i="1"/>
  <c r="AD216" i="1"/>
  <c r="BX169" i="1"/>
  <c r="CB150" i="1"/>
  <c r="CF131" i="1"/>
  <c r="CJ112" i="1"/>
  <c r="CN93" i="1"/>
  <c r="CR74" i="1"/>
  <c r="AY177" i="1"/>
  <c r="BO101" i="1"/>
  <c r="CT55" i="1"/>
  <c r="CX36" i="1"/>
  <c r="DB17" i="1"/>
  <c r="BC173" i="1"/>
  <c r="BS35" i="1"/>
  <c r="J192" i="1"/>
  <c r="CE106" i="1"/>
  <c r="V290" i="1"/>
  <c r="AL214" i="1"/>
  <c r="X169" i="1"/>
  <c r="AB150" i="1"/>
  <c r="AF131" i="1"/>
  <c r="X121" i="1"/>
  <c r="CB111" i="1"/>
  <c r="AB102" i="1"/>
  <c r="CF92" i="1"/>
  <c r="AF83" i="1"/>
  <c r="CJ73" i="1"/>
  <c r="DF305" i="1"/>
  <c r="S173" i="1"/>
  <c r="AA135" i="1"/>
  <c r="AI97" i="1"/>
  <c r="AH64" i="1"/>
  <c r="CL54" i="1"/>
  <c r="AL45" i="1"/>
  <c r="CP35" i="1"/>
  <c r="AP26" i="1"/>
  <c r="CT16" i="1"/>
  <c r="AT7" i="1"/>
  <c r="BW162" i="1"/>
  <c r="I69" i="1"/>
  <c r="BR306" i="1"/>
  <c r="BZ268" i="1"/>
  <c r="CH230" i="1"/>
  <c r="CP192" i="1"/>
  <c r="AJ173" i="1"/>
  <c r="CN163" i="1"/>
  <c r="AN154" i="1"/>
  <c r="CR144" i="1"/>
  <c r="AR135" i="1"/>
  <c r="CV125" i="1"/>
  <c r="AV116" i="1"/>
  <c r="CZ106" i="1"/>
  <c r="AZ97" i="1"/>
  <c r="DD87" i="1"/>
  <c r="BD78" i="1"/>
  <c r="DH68" i="1"/>
  <c r="BJ229" i="1"/>
  <c r="G154" i="1"/>
  <c r="O116" i="1"/>
  <c r="W78" i="1"/>
  <c r="BF59" i="1"/>
  <c r="F50" i="1"/>
  <c r="BJ40" i="1"/>
  <c r="J31" i="1"/>
  <c r="BN21" i="1"/>
  <c r="N12" i="1"/>
  <c r="I3" i="1"/>
  <c r="AY108" i="1"/>
  <c r="BS46" i="1"/>
  <c r="BK16" i="1"/>
  <c r="CH247" i="1"/>
  <c r="CC68" i="1"/>
  <c r="AH305" i="1"/>
  <c r="AP267" i="1"/>
  <c r="AX229" i="1"/>
  <c r="BF191" i="1"/>
  <c r="DD172" i="1"/>
  <c r="BD163" i="1"/>
  <c r="DH153" i="1"/>
  <c r="BH144" i="1"/>
  <c r="H135" i="1"/>
  <c r="BL125" i="1"/>
  <c r="L116" i="1"/>
  <c r="BP106" i="1"/>
  <c r="P97" i="1"/>
  <c r="BT87" i="1"/>
  <c r="T78" i="1"/>
  <c r="BX68" i="1"/>
  <c r="Z224" i="1"/>
  <c r="CA152" i="1"/>
  <c r="CI114" i="1"/>
  <c r="CQ76" i="1"/>
  <c r="V59" i="1"/>
  <c r="BZ49" i="1"/>
  <c r="Z40" i="1"/>
  <c r="CD30" i="1"/>
  <c r="AD21" i="1"/>
  <c r="CH11" i="1"/>
  <c r="BG347" i="1"/>
  <c r="K106" i="1"/>
  <c r="G46" i="1"/>
  <c r="DG15" i="1"/>
  <c r="CL244" i="1"/>
  <c r="CQ157" i="1"/>
  <c r="CY119" i="1"/>
  <c r="O10" i="1"/>
  <c r="CM124" i="1"/>
  <c r="W75" i="1"/>
  <c r="CG58" i="1"/>
  <c r="AG49" i="1"/>
  <c r="CK39" i="1"/>
  <c r="AK30" i="1"/>
  <c r="CO20" i="1"/>
  <c r="AO11" i="1"/>
  <c r="CT262" i="1"/>
  <c r="AM69" i="1"/>
  <c r="G39" i="1"/>
  <c r="BC11" i="1"/>
  <c r="BZ225" i="1"/>
  <c r="K153" i="1"/>
  <c r="S115" i="1"/>
  <c r="AA77" i="1"/>
  <c r="AF59" i="1"/>
  <c r="CJ49" i="1"/>
  <c r="AJ40" i="1"/>
  <c r="CN30" i="1"/>
  <c r="AN21" i="1"/>
  <c r="CR11" i="1"/>
  <c r="AP288" i="1"/>
  <c r="AM105" i="1"/>
  <c r="G48" i="1"/>
  <c r="W20" i="1"/>
  <c r="CU36" i="1"/>
  <c r="V279" i="1"/>
  <c r="CA113" i="1"/>
  <c r="CA69" i="1"/>
  <c r="AS57" i="1"/>
  <c r="CW47" i="1"/>
  <c r="AW38" i="1"/>
  <c r="DA28" i="1"/>
  <c r="BA19" i="1"/>
  <c r="DE9" i="1"/>
  <c r="AH198" i="1"/>
  <c r="CE62" i="1"/>
  <c r="G35" i="1"/>
  <c r="BK7" i="1"/>
  <c r="CH203" i="1"/>
  <c r="BO147" i="1"/>
  <c r="BW109" i="1"/>
  <c r="CE71" i="1"/>
  <c r="CV57" i="1"/>
  <c r="AV48" i="1"/>
  <c r="CZ38" i="1"/>
  <c r="AZ29" i="1"/>
  <c r="DD19" i="1"/>
  <c r="BD10" i="1"/>
  <c r="AP224" i="1"/>
  <c r="AM89" i="1"/>
  <c r="CY43" i="1"/>
  <c r="W16" i="1"/>
  <c r="G43" i="1"/>
  <c r="BK145" i="1"/>
  <c r="BK85" i="1"/>
  <c r="AO61" i="1"/>
  <c r="CS51" i="1"/>
  <c r="AS42" i="1"/>
  <c r="CW32" i="1"/>
  <c r="AW23" i="1"/>
  <c r="DA13" i="1"/>
  <c r="BA4" i="1"/>
  <c r="CQ99" i="1"/>
  <c r="BW46" i="1"/>
  <c r="G19" i="1"/>
  <c r="V267" i="1"/>
  <c r="AY163" i="1"/>
  <c r="CK111" i="1"/>
  <c r="CS73" i="1"/>
  <c r="DB213" i="1"/>
  <c r="R150" i="1"/>
  <c r="Z112" i="1"/>
  <c r="AH74" i="1"/>
  <c r="BF230" i="1"/>
  <c r="AC173" i="1"/>
  <c r="AG154" i="1"/>
  <c r="AK135" i="1"/>
  <c r="AO116" i="1"/>
  <c r="AS97" i="1"/>
  <c r="AW78" i="1"/>
  <c r="BF301" i="1"/>
  <c r="BV225" i="1"/>
  <c r="F172" i="1"/>
  <c r="J153" i="1"/>
  <c r="CX136" i="1"/>
  <c r="AX127" i="1"/>
  <c r="DB117" i="1"/>
  <c r="BB108" i="1"/>
  <c r="DF98" i="1"/>
  <c r="BF89" i="1"/>
  <c r="F80" i="1"/>
  <c r="BJ70" i="1"/>
  <c r="CH309" i="1"/>
  <c r="CP271" i="1"/>
  <c r="CX233" i="1"/>
  <c r="DF195" i="1"/>
  <c r="M174" i="1"/>
  <c r="BQ164" i="1"/>
  <c r="Q155" i="1"/>
  <c r="BU145" i="1"/>
  <c r="U136" i="1"/>
  <c r="BY126" i="1"/>
  <c r="Y117" i="1"/>
  <c r="CC107" i="1"/>
  <c r="AC98" i="1"/>
  <c r="CG88" i="1"/>
  <c r="AG79" i="1"/>
  <c r="BQ70" i="1"/>
  <c r="K315" i="1"/>
  <c r="CX274" i="1"/>
  <c r="DF236" i="1"/>
  <c r="J199" i="1"/>
  <c r="CR174" i="1"/>
  <c r="AR165" i="1"/>
  <c r="CV155" i="1"/>
  <c r="AV146" i="1"/>
  <c r="CZ136" i="1"/>
  <c r="AZ127" i="1"/>
  <c r="DD117" i="1"/>
  <c r="BD108" i="1"/>
  <c r="DH98" i="1"/>
  <c r="BH89" i="1"/>
  <c r="H80" i="1"/>
  <c r="BL70" i="1"/>
  <c r="AX254" i="1"/>
  <c r="AE160" i="1"/>
  <c r="AM122" i="1"/>
  <c r="AU84" i="1"/>
  <c r="J61" i="1"/>
  <c r="BN51" i="1"/>
  <c r="N42" i="1"/>
  <c r="BR32" i="1"/>
  <c r="R23" i="1"/>
  <c r="BV13" i="1"/>
  <c r="V4" i="1"/>
  <c r="BS129" i="1"/>
  <c r="DC51" i="1"/>
  <c r="K22" i="1"/>
  <c r="F275" i="1"/>
  <c r="AU165" i="1"/>
  <c r="BC127" i="1"/>
  <c r="Q70" i="1"/>
  <c r="CX310" i="1"/>
  <c r="DF272" i="1"/>
  <c r="J235" i="1"/>
  <c r="R197" i="1"/>
  <c r="AR174" i="1"/>
  <c r="CV164" i="1"/>
  <c r="AV155" i="1"/>
  <c r="AW125" i="1"/>
  <c r="BE87" i="1"/>
  <c r="BB268" i="1"/>
  <c r="CH163" i="1"/>
  <c r="CP125" i="1"/>
  <c r="CX87" i="1"/>
  <c r="J266" i="1"/>
  <c r="BF182" i="1"/>
  <c r="AC161" i="1"/>
  <c r="AG142" i="1"/>
  <c r="AK123" i="1"/>
  <c r="AO104" i="1"/>
  <c r="AS85" i="1"/>
  <c r="BM518" i="1"/>
  <c r="BF253" i="1"/>
  <c r="DF178" i="1"/>
  <c r="F160" i="1"/>
  <c r="J141" i="1"/>
  <c r="CP130" i="1"/>
  <c r="AP121" i="1"/>
  <c r="CT111" i="1"/>
  <c r="AT102" i="1"/>
  <c r="CX92" i="1"/>
  <c r="AX83" i="1"/>
  <c r="DB73" i="1"/>
  <c r="AI357" i="1"/>
  <c r="BB285" i="1"/>
  <c r="BJ247" i="1"/>
  <c r="BR209" i="1"/>
  <c r="BE177" i="1"/>
  <c r="DI167" i="1"/>
  <c r="BI158" i="1"/>
  <c r="I149" i="1"/>
  <c r="BM139" i="1"/>
  <c r="M130" i="1"/>
  <c r="BQ120" i="1"/>
  <c r="Q111" i="1"/>
  <c r="BU101" i="1"/>
  <c r="U92" i="1"/>
  <c r="BY82" i="1"/>
  <c r="Y73" i="1"/>
  <c r="CH371" i="1"/>
  <c r="BJ288" i="1"/>
  <c r="BR250" i="1"/>
  <c r="BZ212" i="1"/>
  <c r="AF178" i="1"/>
  <c r="CJ168" i="1"/>
  <c r="AJ159" i="1"/>
  <c r="CN149" i="1"/>
  <c r="AN140" i="1"/>
  <c r="CR130" i="1"/>
  <c r="AR121" i="1"/>
  <c r="CV111" i="1"/>
  <c r="AV102" i="1"/>
  <c r="CZ92" i="1"/>
  <c r="AZ83" i="1"/>
  <c r="DD73" i="1"/>
  <c r="DB308" i="1"/>
  <c r="CU173" i="1"/>
  <c r="DC135" i="1"/>
  <c r="G98" i="1"/>
  <c r="BB64" i="1"/>
  <c r="DF54" i="1"/>
  <c r="BF45" i="1"/>
  <c r="F36" i="1"/>
  <c r="BJ26" i="1"/>
  <c r="J17" i="1"/>
  <c r="BN7" i="1"/>
  <c r="AI164" i="1"/>
  <c r="CM62" i="1"/>
  <c r="CQ32" i="1"/>
  <c r="DB420" i="1"/>
  <c r="G179" i="1"/>
  <c r="O141" i="1"/>
  <c r="W103" i="1"/>
  <c r="CU361" i="1"/>
  <c r="BR286" i="1"/>
  <c r="BZ248" i="1"/>
  <c r="CH210" i="1"/>
  <c r="CJ177" i="1"/>
  <c r="AJ168" i="1"/>
  <c r="CN158" i="1"/>
  <c r="AN149" i="1"/>
  <c r="CR139" i="1"/>
  <c r="AR130" i="1"/>
  <c r="CV120" i="1"/>
  <c r="AV111" i="1"/>
  <c r="CZ101" i="1"/>
  <c r="AZ92" i="1"/>
  <c r="DD82" i="1"/>
  <c r="BD73" i="1"/>
  <c r="AD301" i="1"/>
  <c r="DC171" i="1"/>
  <c r="G134" i="1"/>
  <c r="O96" i="1"/>
  <c r="DF63" i="1"/>
  <c r="BF54" i="1"/>
  <c r="F45" i="1"/>
  <c r="BJ35" i="1"/>
  <c r="J26" i="1"/>
  <c r="BN16" i="1"/>
  <c r="N7" i="1"/>
  <c r="S160" i="1"/>
  <c r="CG68" i="1"/>
  <c r="AX305" i="1"/>
  <c r="BF267" i="1"/>
  <c r="BN229" i="1"/>
  <c r="BV191" i="1"/>
  <c r="DH172" i="1"/>
  <c r="BH163" i="1"/>
  <c r="H154" i="1"/>
  <c r="BL144" i="1"/>
  <c r="L135" i="1"/>
  <c r="BP125" i="1"/>
  <c r="P116" i="1"/>
  <c r="BT106" i="1"/>
  <c r="T97" i="1"/>
  <c r="BX87" i="1"/>
  <c r="X78" i="1"/>
  <c r="CB68" i="1"/>
  <c r="CL224" i="1"/>
  <c r="CQ152" i="1"/>
  <c r="CY114" i="1"/>
  <c r="DG76" i="1"/>
  <c r="Z59" i="1"/>
  <c r="CD49" i="1"/>
  <c r="AD40" i="1"/>
  <c r="CH30" i="1"/>
  <c r="AH21" i="1"/>
  <c r="CL11" i="1"/>
  <c r="W326" i="1"/>
  <c r="BO104" i="1"/>
  <c r="CA45" i="1"/>
  <c r="BW15" i="1"/>
  <c r="F243" i="1"/>
  <c r="AW68" i="1"/>
  <c r="N304" i="1"/>
  <c r="V266" i="1"/>
  <c r="AD228" i="1"/>
  <c r="AL190" i="1"/>
  <c r="BX172" i="1"/>
  <c r="X163" i="1"/>
  <c r="CB153" i="1"/>
  <c r="AB144" i="1"/>
  <c r="CF134" i="1"/>
  <c r="AF125" i="1"/>
  <c r="CJ115" i="1"/>
  <c r="AJ106" i="1"/>
  <c r="CN96" i="1"/>
  <c r="AN87" i="1"/>
  <c r="CR77" i="1"/>
  <c r="AR68" i="1"/>
  <c r="BB219" i="1"/>
  <c r="BG151" i="1"/>
  <c r="BO113" i="1"/>
  <c r="BW75" i="1"/>
  <c r="CT58" i="1"/>
  <c r="AT49" i="1"/>
  <c r="CX39" i="1"/>
  <c r="AX30" i="1"/>
  <c r="DB20" i="1"/>
  <c r="BB11" i="1"/>
  <c r="BJ305" i="1"/>
  <c r="AQ102" i="1"/>
  <c r="S45" i="1"/>
  <c r="G15" i="1"/>
  <c r="J240" i="1"/>
  <c r="BW156" i="1"/>
  <c r="CE118" i="1"/>
  <c r="AI6" i="1"/>
  <c r="AY122" i="1"/>
  <c r="DG73" i="1"/>
  <c r="BA58" i="1"/>
  <c r="DE48" i="1"/>
  <c r="BE39" i="1"/>
  <c r="DI29" i="1"/>
  <c r="BI20" i="1"/>
  <c r="I11" i="1"/>
  <c r="AD249" i="1"/>
  <c r="CY65" i="1"/>
  <c r="W38" i="1"/>
  <c r="BO10" i="1"/>
  <c r="DB220" i="1"/>
  <c r="CU151" i="1"/>
  <c r="DC113" i="1"/>
  <c r="G76" i="1"/>
  <c r="DD58" i="1"/>
  <c r="BD49" i="1"/>
  <c r="DH39" i="1"/>
  <c r="BH30" i="1"/>
  <c r="H21" i="1"/>
  <c r="BL11" i="1"/>
  <c r="R274" i="1"/>
  <c r="CI101" i="1"/>
  <c r="W47" i="1"/>
  <c r="AI19" i="1"/>
  <c r="AI33" i="1"/>
  <c r="Z260" i="1"/>
  <c r="AM111" i="1"/>
  <c r="BG68" i="1"/>
  <c r="M57" i="1"/>
  <c r="BQ47" i="1"/>
  <c r="Q38" i="1"/>
  <c r="BU28" i="1"/>
  <c r="U19" i="1"/>
  <c r="N218" i="1"/>
  <c r="V151" i="1"/>
  <c r="AD113" i="1"/>
  <c r="AL75" i="1"/>
  <c r="CW191" i="1"/>
  <c r="CA367" i="1"/>
  <c r="CU347" i="1"/>
  <c r="AN243" i="1"/>
  <c r="AI340" i="1"/>
  <c r="AI243" i="1"/>
  <c r="CM468" i="1"/>
  <c r="AD175" i="1"/>
  <c r="CL134" i="1"/>
  <c r="CT96" i="1"/>
  <c r="AL301" i="1"/>
  <c r="DE171" i="1"/>
  <c r="I134" i="1"/>
  <c r="Q96" i="1"/>
  <c r="BB296" i="1"/>
  <c r="CH170" i="1"/>
  <c r="CP132" i="1"/>
  <c r="CX94" i="1"/>
  <c r="J294" i="1"/>
  <c r="U170" i="1"/>
  <c r="AC132" i="1"/>
  <c r="AK94" i="1"/>
  <c r="CD295" i="1"/>
  <c r="BN170" i="1"/>
  <c r="BV132" i="1"/>
  <c r="CD94" i="1"/>
  <c r="AL293" i="1"/>
  <c r="DE169" i="1"/>
  <c r="I132" i="1"/>
  <c r="Q94" i="1"/>
  <c r="BB288" i="1"/>
  <c r="CH168" i="1"/>
  <c r="CK95" i="1"/>
  <c r="Z96" i="1"/>
  <c r="AW146" i="1"/>
  <c r="O185" i="1"/>
  <c r="Z145" i="1"/>
  <c r="BB104" i="1"/>
  <c r="BJ66" i="1"/>
  <c r="DF179" i="1"/>
  <c r="DI143" i="1"/>
  <c r="I125" i="1"/>
  <c r="M106" i="1"/>
  <c r="Q87" i="1"/>
  <c r="DE68" i="1"/>
  <c r="AT268" i="1"/>
  <c r="BJ192" i="1"/>
  <c r="CF163" i="1"/>
  <c r="CJ144" i="1"/>
  <c r="CN125" i="1"/>
  <c r="CR106" i="1"/>
  <c r="CV87" i="1"/>
  <c r="CZ68" i="1"/>
  <c r="CE153" i="1"/>
  <c r="CU77" i="1"/>
  <c r="DB49" i="1"/>
  <c r="DF30" i="1"/>
  <c r="F12" i="1"/>
  <c r="AM109" i="1"/>
  <c r="CQ16" i="1"/>
  <c r="CU158" i="1"/>
  <c r="BE68" i="1"/>
  <c r="BB266" i="1"/>
  <c r="BR190" i="1"/>
  <c r="AF163" i="1"/>
  <c r="AJ144" i="1"/>
  <c r="CB127" i="1"/>
  <c r="AB118" i="1"/>
  <c r="CF108" i="1"/>
  <c r="AF99" i="1"/>
  <c r="CJ89" i="1"/>
  <c r="AJ80" i="1"/>
  <c r="CN70" i="1"/>
  <c r="BN258" i="1"/>
  <c r="AI161" i="1"/>
  <c r="AQ123" i="1"/>
  <c r="AY85" i="1"/>
  <c r="AL61" i="1"/>
  <c r="CP51" i="1"/>
  <c r="AP42" i="1"/>
  <c r="CT32" i="1"/>
  <c r="AT23" i="1"/>
  <c r="CX13" i="1"/>
  <c r="AX4" i="1"/>
  <c r="W133" i="1"/>
  <c r="M66" i="1"/>
  <c r="CH294" i="1"/>
  <c r="CP256" i="1"/>
  <c r="CX218" i="1"/>
  <c r="DF180" i="1"/>
  <c r="AN170" i="1"/>
  <c r="CR160" i="1"/>
  <c r="AR151" i="1"/>
  <c r="CV141" i="1"/>
  <c r="AV132" i="1"/>
  <c r="CZ122" i="1"/>
  <c r="AZ113" i="1"/>
  <c r="DD103" i="1"/>
  <c r="BD94" i="1"/>
  <c r="DH84" i="1"/>
  <c r="BH75" i="1"/>
  <c r="H66" i="1"/>
  <c r="R182" i="1"/>
  <c r="W142" i="1"/>
  <c r="AE104" i="1"/>
  <c r="AM66" i="1"/>
  <c r="BJ56" i="1"/>
  <c r="J47" i="1"/>
  <c r="BN37" i="1"/>
  <c r="N28" i="1"/>
  <c r="BR18" i="1"/>
  <c r="R9" i="1"/>
  <c r="BZ181" i="1"/>
  <c r="CM70" i="1"/>
  <c r="AE37" i="1"/>
  <c r="S7" i="1"/>
  <c r="AP200" i="1"/>
  <c r="CG65" i="1"/>
  <c r="AX293" i="1"/>
  <c r="BF255" i="1"/>
  <c r="BN217" i="1"/>
  <c r="BV179" i="1"/>
  <c r="DH169" i="1"/>
  <c r="BH160" i="1"/>
  <c r="H151" i="1"/>
  <c r="BL141" i="1"/>
  <c r="L132" i="1"/>
  <c r="BP122" i="1"/>
  <c r="P113" i="1"/>
  <c r="BT103" i="1"/>
  <c r="T94" i="1"/>
  <c r="BX84" i="1"/>
  <c r="X75" i="1"/>
  <c r="AP404" i="1"/>
  <c r="CI178" i="1"/>
  <c r="CQ140" i="1"/>
  <c r="CY102" i="1"/>
  <c r="CA65" i="1"/>
  <c r="Z56" i="1"/>
  <c r="CD46" i="1"/>
  <c r="AD37" i="1"/>
  <c r="CH27" i="1"/>
  <c r="AH18" i="1"/>
  <c r="CL8" i="1"/>
  <c r="CI177" i="1"/>
  <c r="AI68" i="1"/>
  <c r="CA36" i="1"/>
  <c r="BG6" i="1"/>
  <c r="AT197" i="1"/>
  <c r="DG145" i="1"/>
  <c r="K108" i="1"/>
  <c r="CU178" i="1"/>
  <c r="BK101" i="1"/>
  <c r="AG65" i="1"/>
  <c r="CK55" i="1"/>
  <c r="AK46" i="1"/>
  <c r="CO36" i="1"/>
  <c r="AO27" i="1"/>
  <c r="CS17" i="1"/>
  <c r="AS8" i="1"/>
  <c r="AQ146" i="1"/>
  <c r="K58" i="1"/>
  <c r="AU30" i="1"/>
  <c r="AE433" i="1"/>
  <c r="S179" i="1"/>
  <c r="AA141" i="1"/>
  <c r="AI103" i="1"/>
  <c r="CN65" i="1"/>
  <c r="AJ56" i="1"/>
  <c r="CN46" i="1"/>
  <c r="AN37" i="1"/>
  <c r="CR27" i="1"/>
  <c r="AR18" i="1"/>
  <c r="CV8" i="1"/>
  <c r="DG171" i="1"/>
  <c r="O71" i="1"/>
  <c r="AU39" i="1"/>
  <c r="BS11" i="1"/>
  <c r="AQ3" i="1"/>
  <c r="CQ165" i="1"/>
  <c r="CI95" i="1"/>
  <c r="CW63" i="1"/>
  <c r="AW54" i="1"/>
  <c r="DA44" i="1"/>
  <c r="BA35" i="1"/>
  <c r="DE25" i="1"/>
  <c r="BE16" i="1"/>
  <c r="DI6" i="1"/>
  <c r="AQ130" i="1"/>
  <c r="K54" i="1"/>
  <c r="BG26" i="1"/>
  <c r="J308" i="1"/>
  <c r="BW173" i="1"/>
  <c r="CE135" i="1"/>
  <c r="CM97" i="1"/>
  <c r="AV64" i="1"/>
  <c r="CZ54" i="1"/>
  <c r="AZ45" i="1"/>
  <c r="DD35" i="1"/>
  <c r="BD26" i="1"/>
  <c r="DH16" i="1"/>
  <c r="BH7" i="1"/>
  <c r="DG159" i="1"/>
  <c r="O63" i="1"/>
  <c r="AM35" i="1"/>
  <c r="DC45" i="1"/>
  <c r="AM5" i="1"/>
  <c r="CQ121" i="1"/>
  <c r="CA73" i="1"/>
  <c r="AS58" i="1"/>
  <c r="CW48" i="1"/>
  <c r="AW39" i="1"/>
  <c r="DA29" i="1"/>
  <c r="BA20" i="1"/>
  <c r="DE10" i="1"/>
  <c r="BZ245" i="1"/>
  <c r="BS65" i="1"/>
  <c r="DC37" i="1"/>
  <c r="AQ10" i="1"/>
  <c r="CH219" i="1"/>
  <c r="BO151" i="1"/>
  <c r="DA99" i="1"/>
  <c r="CA336" i="1"/>
  <c r="Z176" i="1"/>
  <c r="AH138" i="1"/>
  <c r="AP100" i="1"/>
  <c r="K327" i="1"/>
  <c r="CL206" i="1"/>
  <c r="AK167" i="1"/>
  <c r="AO148" i="1"/>
  <c r="AS129" i="1"/>
  <c r="AW110" i="1"/>
  <c r="BA91" i="1"/>
  <c r="K188" i="1"/>
  <c r="CL277" i="1"/>
  <c r="DB201" i="1"/>
  <c r="N166" i="1"/>
  <c r="R147" i="1"/>
  <c r="DB133" i="1"/>
  <c r="BB124" i="1"/>
  <c r="DF114" i="1"/>
  <c r="BF105" i="1"/>
  <c r="F96" i="1"/>
  <c r="BJ86" i="1"/>
  <c r="J77" i="1"/>
  <c r="BN67" i="1"/>
  <c r="CX297" i="1"/>
  <c r="DF259" i="1"/>
  <c r="J222" i="1"/>
  <c r="R184" i="1"/>
  <c r="Q171" i="1"/>
  <c r="BU161" i="1"/>
  <c r="U152" i="1"/>
  <c r="BY142" i="1"/>
  <c r="Y133" i="1"/>
  <c r="CC123" i="1"/>
  <c r="AC114" i="1"/>
  <c r="CG104" i="1"/>
  <c r="AG95" i="1"/>
  <c r="CK85" i="1"/>
  <c r="AK76" i="1"/>
  <c r="BU67" i="1"/>
  <c r="DF300" i="1"/>
  <c r="J263" i="1"/>
  <c r="R225" i="1"/>
  <c r="Z187" i="1"/>
  <c r="CV171" i="1"/>
  <c r="AV162" i="1"/>
  <c r="CZ152" i="1"/>
  <c r="AZ143" i="1"/>
  <c r="DD133" i="1"/>
  <c r="BD124" i="1"/>
  <c r="DH114" i="1"/>
  <c r="BH105" i="1"/>
  <c r="H96" i="1"/>
  <c r="BL86" i="1"/>
  <c r="L77" i="1"/>
  <c r="BP67" i="1"/>
  <c r="F207" i="1"/>
  <c r="AU148" i="1"/>
  <c r="BC110" i="1"/>
  <c r="BK72" i="1"/>
  <c r="N58" i="1"/>
  <c r="BR48" i="1"/>
  <c r="R39" i="1"/>
  <c r="BV29" i="1"/>
  <c r="V20" i="1"/>
  <c r="BZ10" i="1"/>
  <c r="BR267" i="1"/>
  <c r="S92" i="1"/>
  <c r="BS42" i="1"/>
  <c r="BG12" i="1"/>
  <c r="BR227" i="1"/>
  <c r="BK153" i="1"/>
  <c r="BS115" i="1"/>
  <c r="U67" i="1"/>
  <c r="J299" i="1"/>
  <c r="R261" i="1"/>
  <c r="Z223" i="1"/>
  <c r="AH185" i="1"/>
  <c r="AV171" i="1"/>
  <c r="CZ161" i="1"/>
  <c r="AZ152" i="1"/>
  <c r="BM113" i="1"/>
  <c r="BU75" i="1"/>
  <c r="J221" i="1"/>
  <c r="CX151" i="1"/>
  <c r="DF113" i="1"/>
  <c r="J76" i="1"/>
  <c r="BV234" i="1"/>
  <c r="AG174" i="1"/>
  <c r="AK155" i="1"/>
  <c r="AO136" i="1"/>
  <c r="AS117" i="1"/>
  <c r="AW98" i="1"/>
  <c r="BA79" i="1"/>
  <c r="BV305" i="1"/>
  <c r="CL229" i="1"/>
  <c r="J173" i="1"/>
  <c r="N154" i="1"/>
  <c r="AP137" i="1"/>
  <c r="CT127" i="1"/>
  <c r="AT118" i="1"/>
  <c r="CX108" i="1"/>
  <c r="AX99" i="1"/>
  <c r="DB89" i="1"/>
  <c r="BB80" i="1"/>
  <c r="DF70" i="1"/>
  <c r="BJ311" i="1"/>
  <c r="BR273" i="1"/>
  <c r="BZ235" i="1"/>
  <c r="CH197" i="1"/>
  <c r="BI174" i="1"/>
  <c r="I165" i="1"/>
  <c r="BM155" i="1"/>
  <c r="M146" i="1"/>
  <c r="BQ136" i="1"/>
  <c r="Q127" i="1"/>
  <c r="BU117" i="1"/>
  <c r="U108" i="1"/>
  <c r="BY98" i="1"/>
  <c r="Y89" i="1"/>
  <c r="CC79" i="1"/>
  <c r="I71" i="1"/>
  <c r="W322" i="1"/>
  <c r="BZ276" i="1"/>
  <c r="CH238" i="1"/>
  <c r="CP200" i="1"/>
  <c r="AJ175" i="1"/>
  <c r="CN165" i="1"/>
  <c r="AN156" i="1"/>
  <c r="CR146" i="1"/>
  <c r="AR137" i="1"/>
  <c r="CV127" i="1"/>
  <c r="AV118" i="1"/>
  <c r="CZ108" i="1"/>
  <c r="AZ99" i="1"/>
  <c r="DD89" i="1"/>
  <c r="BD80" i="1"/>
  <c r="DH70" i="1"/>
  <c r="BJ261" i="1"/>
  <c r="G162" i="1"/>
  <c r="O124" i="1"/>
  <c r="W86" i="1"/>
  <c r="BF61" i="1"/>
  <c r="F52" i="1"/>
  <c r="BJ42" i="1"/>
  <c r="J33" i="1"/>
  <c r="BN23" i="1"/>
  <c r="N14" i="1"/>
  <c r="BR4" i="1"/>
  <c r="BK135" i="1"/>
  <c r="AU53" i="1"/>
  <c r="AY23" i="1"/>
  <c r="R282" i="1"/>
  <c r="W167" i="1"/>
  <c r="AE129" i="1"/>
  <c r="BM70" i="1"/>
  <c r="BC314" i="1"/>
  <c r="CH274" i="1"/>
  <c r="CP236" i="1"/>
  <c r="CX198" i="1"/>
  <c r="CN174" i="1"/>
  <c r="AN165" i="1"/>
  <c r="CR155" i="1"/>
  <c r="AR146" i="1"/>
  <c r="CV136" i="1"/>
  <c r="AV127" i="1"/>
  <c r="CZ117" i="1"/>
  <c r="AZ108" i="1"/>
  <c r="DD98" i="1"/>
  <c r="BD89" i="1"/>
  <c r="DH79" i="1"/>
  <c r="BH70" i="1"/>
  <c r="CP253" i="1"/>
  <c r="O160" i="1"/>
  <c r="W122" i="1"/>
  <c r="AE84" i="1"/>
  <c r="F61" i="1"/>
  <c r="BJ51" i="1"/>
  <c r="J42" i="1"/>
  <c r="BN32" i="1"/>
  <c r="N23" i="1"/>
  <c r="BR13" i="1"/>
  <c r="R4" i="1"/>
  <c r="W129" i="1"/>
  <c r="CK65" i="1"/>
  <c r="BN293" i="1"/>
  <c r="BV255" i="1"/>
  <c r="CD217" i="1"/>
  <c r="CL179" i="1"/>
  <c r="H170" i="1"/>
  <c r="BL160" i="1"/>
  <c r="L151" i="1"/>
  <c r="BP141" i="1"/>
  <c r="P132" i="1"/>
  <c r="BT122" i="1"/>
  <c r="T113" i="1"/>
  <c r="BX103" i="1"/>
  <c r="X94" i="1"/>
  <c r="CB84" i="1"/>
  <c r="AB75" i="1"/>
  <c r="CP413" i="1"/>
  <c r="CY178" i="1"/>
  <c r="DG140" i="1"/>
  <c r="K103" i="1"/>
  <c r="CF65" i="1"/>
  <c r="AD56" i="1"/>
  <c r="CH46" i="1"/>
  <c r="AH37" i="1"/>
  <c r="CL27" i="1"/>
  <c r="AL18" i="1"/>
  <c r="CP8" i="1"/>
  <c r="AI176" i="1"/>
  <c r="AE67" i="1"/>
  <c r="AQ36" i="1"/>
  <c r="W6" i="1"/>
  <c r="BR195" i="1"/>
  <c r="O445" i="1"/>
  <c r="AD292" i="1"/>
  <c r="AL254" i="1"/>
  <c r="AT216" i="1"/>
  <c r="X179" i="1"/>
  <c r="CB169" i="1"/>
  <c r="AB160" i="1"/>
  <c r="CF150" i="1"/>
  <c r="AF141" i="1"/>
  <c r="CJ131" i="1"/>
  <c r="AJ122" i="1"/>
  <c r="CN112" i="1"/>
  <c r="AN103" i="1"/>
  <c r="CR93" i="1"/>
  <c r="AR84" i="1"/>
  <c r="CV74" i="1"/>
  <c r="CI358" i="1"/>
  <c r="BO177" i="1"/>
  <c r="BW139" i="1"/>
  <c r="CE101" i="1"/>
  <c r="AT65" i="1"/>
  <c r="CX55" i="1"/>
  <c r="AX46" i="1"/>
  <c r="DB36" i="1"/>
  <c r="BB27" i="1"/>
  <c r="DF17" i="1"/>
  <c r="BF8" i="1"/>
  <c r="CY173" i="1"/>
  <c r="CB65" i="1"/>
  <c r="CE35" i="1"/>
  <c r="BO5" i="1"/>
  <c r="BV192" i="1"/>
  <c r="CM144" i="1"/>
  <c r="CU106" i="1"/>
  <c r="BO174" i="1"/>
  <c r="K100" i="1"/>
  <c r="DE64" i="1"/>
  <c r="BE55" i="1"/>
  <c r="DI45" i="1"/>
  <c r="BI36" i="1"/>
  <c r="I27" i="1"/>
  <c r="BM17" i="1"/>
  <c r="M8" i="1"/>
  <c r="DC142" i="1"/>
  <c r="AE57" i="1"/>
  <c r="BK29" i="1"/>
  <c r="CA364" i="1"/>
  <c r="DC177" i="1"/>
  <c r="G140" i="1"/>
  <c r="O102" i="1"/>
  <c r="BD65" i="1"/>
  <c r="DH55" i="1"/>
  <c r="BH46" i="1"/>
  <c r="H37" i="1"/>
  <c r="BL27" i="1"/>
  <c r="L18" i="1"/>
  <c r="BP8" i="1"/>
  <c r="BO168" i="1"/>
  <c r="AU67" i="1"/>
  <c r="BG38" i="1"/>
  <c r="CE10" i="1"/>
  <c r="S88" i="1"/>
  <c r="BC163" i="1"/>
  <c r="BO94" i="1"/>
  <c r="BQ63" i="1"/>
  <c r="Q54" i="1"/>
  <c r="BU44" i="1"/>
  <c r="U35" i="1"/>
  <c r="BY25" i="1"/>
  <c r="Y16" i="1"/>
  <c r="AD177" i="1"/>
  <c r="AL139" i="1"/>
  <c r="AT101" i="1"/>
  <c r="BW343" i="1"/>
  <c r="CJ278" i="1"/>
  <c r="BO278" i="1"/>
  <c r="BD295" i="1"/>
  <c r="BT219" i="1"/>
  <c r="AY295" i="1"/>
  <c r="BO219" i="1"/>
  <c r="DB301" i="1"/>
  <c r="CT160" i="1"/>
  <c r="DB122" i="1"/>
  <c r="F85" i="1"/>
  <c r="CX253" i="1"/>
  <c r="Q160" i="1"/>
  <c r="Y122" i="1"/>
  <c r="AG84" i="1"/>
  <c r="J249" i="1"/>
  <c r="CX158" i="1"/>
  <c r="DF120" i="1"/>
  <c r="J83" i="1"/>
  <c r="BV246" i="1"/>
  <c r="AK158" i="1"/>
  <c r="AS120" i="1"/>
  <c r="BA82" i="1"/>
  <c r="AL248" i="1"/>
  <c r="CD158" i="1"/>
  <c r="CL120" i="1"/>
  <c r="CT82" i="1"/>
  <c r="CX245" i="1"/>
  <c r="Q158" i="1"/>
  <c r="Y120" i="1"/>
  <c r="AG82" i="1"/>
  <c r="J241" i="1"/>
  <c r="CX156" i="1"/>
  <c r="CD263" i="1"/>
  <c r="AL261" i="1"/>
  <c r="CC122" i="1"/>
  <c r="R251" i="1"/>
  <c r="BJ130" i="1"/>
  <c r="BR92" i="1"/>
  <c r="AH284" i="1"/>
  <c r="CC167" i="1"/>
  <c r="M138" i="1"/>
  <c r="Q119" i="1"/>
  <c r="U100" i="1"/>
  <c r="Y81" i="1"/>
  <c r="CU345" i="1"/>
  <c r="BZ244" i="1"/>
  <c r="CJ176" i="1"/>
  <c r="CN157" i="1"/>
  <c r="CR138" i="1"/>
  <c r="CV119" i="1"/>
  <c r="CZ100" i="1"/>
  <c r="DD81" i="1"/>
  <c r="AD285" i="1"/>
  <c r="G130" i="1"/>
  <c r="DF62" i="1"/>
  <c r="F44" i="1"/>
  <c r="J25" i="1"/>
  <c r="N6" i="1"/>
  <c r="O58" i="1"/>
  <c r="CP305" i="1"/>
  <c r="W135" i="1"/>
  <c r="W338" i="1"/>
  <c r="CH242" i="1"/>
  <c r="AJ176" i="1"/>
  <c r="AN157" i="1"/>
  <c r="AR138" i="1"/>
  <c r="CF124" i="1"/>
  <c r="AF115" i="1"/>
  <c r="CJ105" i="1"/>
  <c r="AJ96" i="1"/>
  <c r="CN86" i="1"/>
  <c r="AN77" i="1"/>
  <c r="CR67" i="1"/>
  <c r="V211" i="1"/>
  <c r="AY149" i="1"/>
  <c r="BG111" i="1"/>
  <c r="BO73" i="1"/>
  <c r="AP58" i="1"/>
  <c r="CT48" i="1"/>
  <c r="AT39" i="1"/>
  <c r="CX29" i="1"/>
  <c r="Z6" i="1"/>
  <c r="DB263" i="1"/>
  <c r="BT162" i="1"/>
  <c r="CB124" i="1"/>
  <c r="CJ86" i="1"/>
  <c r="AI149" i="1"/>
  <c r="CP48" i="1"/>
  <c r="CX10" i="1"/>
  <c r="CI12" i="1"/>
  <c r="BR262" i="1"/>
  <c r="AJ162" i="1"/>
  <c r="AR124" i="1"/>
  <c r="AZ86" i="1"/>
  <c r="DC147" i="1"/>
  <c r="BF48" i="1"/>
  <c r="BN10" i="1"/>
  <c r="O12" i="1"/>
  <c r="F291" i="1"/>
  <c r="M48" i="1"/>
  <c r="U10" i="1"/>
  <c r="K8" i="1"/>
  <c r="BC72" i="1"/>
  <c r="BT29" i="1"/>
  <c r="BK91" i="1"/>
  <c r="AL203" i="1"/>
  <c r="CC46" i="1"/>
  <c r="CK8" i="1"/>
  <c r="G4" i="1"/>
  <c r="DG66" i="1"/>
  <c r="AF28" i="1"/>
  <c r="CA75" i="1"/>
  <c r="K136" i="1"/>
  <c r="Y41" i="1"/>
  <c r="CD406" i="1"/>
  <c r="Z248" i="1"/>
  <c r="DF194" i="1"/>
  <c r="F221" i="1"/>
  <c r="DE113" i="1"/>
  <c r="V216" i="1"/>
  <c r="AD126" i="1"/>
  <c r="AL88" i="1"/>
  <c r="N267" i="1"/>
  <c r="AW163" i="1"/>
  <c r="BE125" i="1"/>
  <c r="BM87" i="1"/>
  <c r="V270" i="1"/>
  <c r="X164" i="1"/>
  <c r="AF126" i="1"/>
  <c r="AN88" i="1"/>
  <c r="BG155" i="1"/>
  <c r="AT50" i="1"/>
  <c r="BB12" i="1"/>
  <c r="W18" i="1"/>
  <c r="DA68" i="1"/>
  <c r="AT192" i="1"/>
  <c r="BY120" i="1"/>
  <c r="N121" i="1"/>
  <c r="CS158" i="1"/>
  <c r="DI82" i="1"/>
  <c r="BV157" i="1"/>
  <c r="BZ110" i="1"/>
  <c r="CH72" i="1"/>
  <c r="CT204" i="1"/>
  <c r="CS147" i="1"/>
  <c r="DA109" i="1"/>
  <c r="BQ73" i="1"/>
  <c r="DB207" i="1"/>
  <c r="BT148" i="1"/>
  <c r="CB110" i="1"/>
  <c r="CJ72" i="1"/>
  <c r="AI93" i="1"/>
  <c r="CP34" i="1"/>
  <c r="AQ154" i="1"/>
  <c r="AI174" i="1"/>
  <c r="CT281" i="1"/>
  <c r="P167" i="1"/>
  <c r="X129" i="1"/>
  <c r="AF91" i="1"/>
  <c r="AA167" i="1"/>
  <c r="AL53" i="1"/>
  <c r="AT15" i="1"/>
  <c r="BZ300" i="1"/>
  <c r="CN171" i="1"/>
  <c r="CV133" i="1"/>
  <c r="DD95" i="1"/>
  <c r="CP205" i="1"/>
  <c r="F58" i="1"/>
  <c r="N20" i="1"/>
  <c r="CY41" i="1"/>
  <c r="AP299" i="1"/>
  <c r="BD171" i="1"/>
  <c r="BL133" i="1"/>
  <c r="BT95" i="1"/>
  <c r="BF200" i="1"/>
  <c r="BZ57" i="1"/>
  <c r="CH19" i="1"/>
  <c r="AQ41" i="1"/>
  <c r="DG113" i="1"/>
  <c r="AG57" i="1"/>
  <c r="AO19" i="1"/>
  <c r="CA34" i="1"/>
  <c r="AA109" i="1"/>
  <c r="CN38" i="1"/>
  <c r="F219" i="1"/>
  <c r="CQ19" i="1"/>
  <c r="CW55" i="1"/>
  <c r="DE17" i="1"/>
  <c r="AO4" i="1"/>
  <c r="BW98" i="1"/>
  <c r="AM46" i="1"/>
  <c r="CE18" i="1"/>
  <c r="AT265" i="1"/>
  <c r="DG162" i="1"/>
  <c r="K125" i="1"/>
  <c r="S87" i="1"/>
  <c r="CF61" i="1"/>
  <c r="AF52" i="1"/>
  <c r="CJ42" i="1"/>
  <c r="AJ33" i="1"/>
  <c r="CN23" i="1"/>
  <c r="AN14" i="1"/>
  <c r="CR4" i="1"/>
  <c r="CY133" i="1"/>
  <c r="AI55" i="1"/>
  <c r="BC27" i="1"/>
  <c r="BS17" i="1"/>
  <c r="CA177" i="1"/>
  <c r="O101" i="1"/>
  <c r="Y65" i="1"/>
  <c r="CC55" i="1"/>
  <c r="AC46" i="1"/>
  <c r="CG36" i="1"/>
  <c r="AG27" i="1"/>
  <c r="CK17" i="1"/>
  <c r="AK8" i="1"/>
  <c r="BC145" i="1"/>
  <c r="CQ57" i="1"/>
  <c r="W30" i="1"/>
  <c r="N409" i="1"/>
  <c r="CQ178" i="1"/>
  <c r="CY140" i="1"/>
  <c r="DG102" i="1"/>
  <c r="CD65" i="1"/>
  <c r="AB56" i="1"/>
  <c r="CF46" i="1"/>
  <c r="AF37" i="1"/>
  <c r="CJ27" i="1"/>
  <c r="AJ18" i="1"/>
  <c r="CN8" i="1"/>
  <c r="O171" i="1"/>
  <c r="AA70" i="1"/>
  <c r="W39" i="1"/>
  <c r="AU11" i="1"/>
  <c r="AM29" i="1"/>
  <c r="CM136" i="1"/>
  <c r="AE81" i="1"/>
  <c r="AG60" i="1"/>
  <c r="CK50" i="1"/>
  <c r="Q101" i="1"/>
  <c r="BW355" i="1"/>
  <c r="AT177" i="1"/>
  <c r="BB139" i="1"/>
  <c r="BJ101" i="1"/>
  <c r="G346" i="1"/>
  <c r="V209" i="1"/>
  <c r="CW167" i="1"/>
  <c r="DA148" i="1"/>
  <c r="DE129" i="1"/>
  <c r="DI110" i="1"/>
  <c r="I92" i="1"/>
  <c r="DG189" i="1"/>
  <c r="V280" i="1"/>
  <c r="AL204" i="1"/>
  <c r="BZ166" i="1"/>
  <c r="CD147" i="1"/>
  <c r="AD134" i="1"/>
  <c r="CH124" i="1"/>
  <c r="AH115" i="1"/>
  <c r="CL105" i="1"/>
  <c r="AL96" i="1"/>
  <c r="CP86" i="1"/>
  <c r="AP77" i="1"/>
  <c r="CT67" i="1"/>
  <c r="N299" i="1"/>
  <c r="V261" i="1"/>
  <c r="AD223" i="1"/>
  <c r="AL185" i="1"/>
  <c r="AW171" i="1"/>
  <c r="DA161" i="1"/>
  <c r="BA152" i="1"/>
  <c r="DE142" i="1"/>
  <c r="BE133" i="1"/>
  <c r="DI123" i="1"/>
  <c r="BI114" i="1"/>
  <c r="I105" i="1"/>
  <c r="BM95" i="1"/>
  <c r="M86" i="1"/>
  <c r="BQ76" i="1"/>
  <c r="DA67" i="1"/>
  <c r="V302" i="1"/>
  <c r="AD264" i="1"/>
  <c r="AL226" i="1"/>
  <c r="AT188" i="1"/>
  <c r="X172" i="1"/>
  <c r="CB162" i="1"/>
  <c r="AB153" i="1"/>
  <c r="CF143" i="1"/>
  <c r="AF134" i="1"/>
  <c r="CJ124" i="1"/>
  <c r="AJ115" i="1"/>
  <c r="CN105" i="1"/>
  <c r="AN96" i="1"/>
  <c r="CR86" i="1"/>
  <c r="AR77" i="1"/>
  <c r="CV67" i="1"/>
  <c r="CH211" i="1"/>
  <c r="BO149" i="1"/>
  <c r="BW111" i="1"/>
  <c r="CE73" i="1"/>
  <c r="AT58" i="1"/>
  <c r="CX48" i="1"/>
  <c r="AX39" i="1"/>
  <c r="DB29" i="1"/>
  <c r="BB20" i="1"/>
  <c r="DF10" i="1"/>
  <c r="F283" i="1"/>
  <c r="CQ95" i="1"/>
  <c r="BK43" i="1"/>
  <c r="AY13" i="1"/>
  <c r="AP232" i="1"/>
  <c r="CE154" i="1"/>
  <c r="CM116" i="1"/>
  <c r="BA67" i="1"/>
  <c r="AD300" i="1"/>
  <c r="AL262" i="1"/>
  <c r="AT224" i="1"/>
  <c r="BB186" i="1"/>
  <c r="CB171" i="1"/>
  <c r="AB162" i="1"/>
  <c r="CF152" i="1"/>
  <c r="AF143" i="1"/>
  <c r="CJ133" i="1"/>
  <c r="AJ124" i="1"/>
  <c r="CN114" i="1"/>
  <c r="AN105" i="1"/>
  <c r="CR95" i="1"/>
  <c r="AR86" i="1"/>
  <c r="CV76" i="1"/>
  <c r="AV67" i="1"/>
  <c r="J204" i="1"/>
  <c r="BW147" i="1"/>
  <c r="CE109" i="1"/>
  <c r="CM71" i="1"/>
  <c r="CX57" i="1"/>
  <c r="AX48" i="1"/>
  <c r="DB38" i="1"/>
  <c r="BB29" i="1"/>
  <c r="DF19" i="1"/>
  <c r="BF10" i="1"/>
  <c r="CD258" i="1"/>
  <c r="AG72" i="1"/>
  <c r="DC339" i="1"/>
  <c r="R281" i="1"/>
  <c r="Z243" i="1"/>
  <c r="AH205" i="1"/>
  <c r="AV176" i="1"/>
  <c r="CZ166" i="1"/>
  <c r="AZ157" i="1"/>
  <c r="DD147" i="1"/>
  <c r="BD138" i="1"/>
  <c r="DH128" i="1"/>
  <c r="BH119" i="1"/>
  <c r="H110" i="1"/>
  <c r="BL100" i="1"/>
  <c r="L91" i="1"/>
  <c r="BP81" i="1"/>
  <c r="P72" i="1"/>
  <c r="AL279" i="1"/>
  <c r="BC166" i="1"/>
  <c r="BK128" i="1"/>
  <c r="BS90" i="1"/>
  <c r="BR62" i="1"/>
  <c r="R53" i="1"/>
  <c r="BV43" i="1"/>
  <c r="V34" i="1"/>
  <c r="BZ24" i="1"/>
  <c r="Z15" i="1"/>
  <c r="CD5" i="1"/>
  <c r="BK147" i="1"/>
  <c r="BG56" i="1"/>
  <c r="AY26" i="1"/>
  <c r="BJ297" i="1"/>
  <c r="CO71" i="1"/>
  <c r="BS334" i="1"/>
  <c r="CL279" i="1"/>
  <c r="CT241" i="1"/>
  <c r="DB203" i="1"/>
  <c r="L176" i="1"/>
  <c r="BP166" i="1"/>
  <c r="P157" i="1"/>
  <c r="BT147" i="1"/>
  <c r="T138" i="1"/>
  <c r="BX128" i="1"/>
  <c r="X119" i="1"/>
  <c r="CB109" i="1"/>
  <c r="AB100" i="1"/>
  <c r="CF90" i="1"/>
  <c r="AF81" i="1"/>
  <c r="CJ71" i="1"/>
  <c r="DF273" i="1"/>
  <c r="S165" i="1"/>
  <c r="AA127" i="1"/>
  <c r="AI89" i="1"/>
  <c r="AH62" i="1"/>
  <c r="CL52" i="1"/>
  <c r="AL43" i="1"/>
  <c r="CP33" i="1"/>
  <c r="AP24" i="1"/>
  <c r="CT14" i="1"/>
  <c r="AT5" i="1"/>
  <c r="AM145" i="1"/>
  <c r="DC55" i="1"/>
  <c r="CU25" i="1"/>
  <c r="BN294" i="1"/>
  <c r="AI170" i="1"/>
  <c r="BM158" i="1"/>
  <c r="BU120" i="1"/>
  <c r="CC82" i="1"/>
  <c r="CP242" i="1"/>
  <c r="AP157" i="1"/>
  <c r="AN282" i="1"/>
  <c r="S282" i="1"/>
  <c r="AF297" i="1"/>
  <c r="AV221" i="1"/>
  <c r="AA297" i="1"/>
  <c r="AQ221" i="1"/>
  <c r="BZ306" i="1"/>
  <c r="CH161" i="1"/>
  <c r="CP123" i="1"/>
  <c r="CX85" i="1"/>
  <c r="BB257" i="1"/>
  <c r="DI160" i="1"/>
  <c r="M123" i="1"/>
  <c r="U85" i="1"/>
  <c r="BR252" i="1"/>
  <c r="CL159" i="1"/>
  <c r="CT121" i="1"/>
  <c r="DB83" i="1"/>
  <c r="Z250" i="1"/>
  <c r="Y159" i="1"/>
  <c r="CQ350" i="1"/>
  <c r="BS341" i="1"/>
  <c r="AI331" i="1"/>
  <c r="AB240" i="1"/>
  <c r="CQ327" i="1"/>
  <c r="W240" i="1"/>
  <c r="AY190" i="1"/>
  <c r="F173" i="1"/>
  <c r="V133" i="1"/>
  <c r="AD95" i="1"/>
  <c r="CL294" i="1"/>
  <c r="AO170" i="1"/>
  <c r="AW132" i="1"/>
  <c r="BE94" i="1"/>
  <c r="DB289" i="1"/>
  <c r="R169" i="1"/>
  <c r="Z131" i="1"/>
  <c r="AH93" i="1"/>
  <c r="BJ287" i="1"/>
  <c r="BI168" i="1"/>
  <c r="BQ130" i="1"/>
  <c r="BY92" i="1"/>
  <c r="Z289" i="1"/>
  <c r="DB168" i="1"/>
  <c r="F131" i="1"/>
  <c r="N93" i="1"/>
  <c r="CL286" i="1"/>
  <c r="BP245" i="1"/>
  <c r="AU245" i="1"/>
  <c r="CV278" i="1"/>
  <c r="H203" i="1"/>
  <c r="CQ278" i="1"/>
  <c r="S203" i="1"/>
  <c r="BF257" i="1"/>
  <c r="BN152" i="1"/>
  <c r="BV114" i="1"/>
  <c r="CD76" i="1"/>
  <c r="CD220" i="1"/>
  <c r="CO151" i="1"/>
  <c r="CW113" i="1"/>
  <c r="DE75" i="1"/>
  <c r="CT215" i="1"/>
  <c r="BR150" i="1"/>
  <c r="BZ112" i="1"/>
  <c r="CH74" i="1"/>
  <c r="BB213" i="1"/>
  <c r="DI149" i="1"/>
  <c r="M112" i="1"/>
  <c r="U74" i="1"/>
  <c r="R215" i="1"/>
  <c r="AX150" i="1"/>
  <c r="BF112" i="1"/>
  <c r="BN74" i="1"/>
  <c r="CD212" i="1"/>
  <c r="CO149" i="1"/>
  <c r="CW111" i="1"/>
  <c r="DE73" i="1"/>
  <c r="CT207" i="1"/>
  <c r="BR148" i="1"/>
  <c r="AL167" i="1"/>
  <c r="BR189" i="1"/>
  <c r="Q106" i="1"/>
  <c r="CH184" i="1"/>
  <c r="AD122" i="1"/>
  <c r="AL84" i="1"/>
  <c r="N251" i="1"/>
  <c r="AW159" i="1"/>
  <c r="BF108" i="1"/>
  <c r="CB309" i="1"/>
  <c r="K183" i="1"/>
  <c r="AP282" i="1"/>
  <c r="BF277" i="1"/>
  <c r="N275" i="1"/>
  <c r="CH276" i="1"/>
  <c r="AP274" i="1"/>
  <c r="BF269" i="1"/>
  <c r="DA136" i="1"/>
  <c r="BS314" i="1"/>
  <c r="CC103" i="1"/>
  <c r="J183" i="1"/>
  <c r="BD104" i="1"/>
  <c r="AU68" i="1"/>
  <c r="AU79" i="1"/>
  <c r="DF256" i="1"/>
  <c r="BH126" i="1"/>
  <c r="BP88" i="1"/>
  <c r="BK156" i="1"/>
  <c r="BV50" i="1"/>
  <c r="CD12" i="1"/>
  <c r="F290" i="1"/>
  <c r="T169" i="1"/>
  <c r="AB131" i="1"/>
  <c r="AJ93" i="1"/>
  <c r="AQ175" i="1"/>
  <c r="AP55" i="1"/>
  <c r="AX17" i="1"/>
  <c r="BO33" i="1"/>
  <c r="BZ288" i="1"/>
  <c r="CN168" i="1"/>
  <c r="CV130" i="1"/>
  <c r="DD92" i="1"/>
  <c r="G174" i="1"/>
  <c r="F55" i="1"/>
  <c r="N17" i="1"/>
  <c r="DC32" i="1"/>
  <c r="AM103" i="1"/>
  <c r="BQ54" i="1"/>
  <c r="BY16" i="1"/>
  <c r="G27" i="1"/>
  <c r="BK98" i="1"/>
  <c r="T36" i="1"/>
  <c r="AM161" i="1"/>
  <c r="AQ60" i="1"/>
  <c r="AC53" i="1"/>
  <c r="AK15" i="1"/>
  <c r="DC22" i="1"/>
  <c r="K93" i="1"/>
  <c r="CJ34" i="1"/>
  <c r="BG150" i="1"/>
  <c r="AL267" i="1"/>
  <c r="CC47" i="1"/>
  <c r="CK9" i="1"/>
  <c r="DC6" i="1"/>
  <c r="AH299" i="1"/>
  <c r="CT296" i="1"/>
  <c r="DI126" i="1"/>
  <c r="AL268" i="1"/>
  <c r="CH132" i="1"/>
  <c r="CP94" i="1"/>
  <c r="V293" i="1"/>
  <c r="DA169" i="1"/>
  <c r="DI131" i="1"/>
  <c r="M94" i="1"/>
  <c r="AD296" i="1"/>
  <c r="CB170" i="1"/>
  <c r="CJ132" i="1"/>
  <c r="CR94" i="1"/>
  <c r="J188" i="1"/>
  <c r="CX56" i="1"/>
  <c r="DF18" i="1"/>
  <c r="CQ38" i="1"/>
  <c r="CU110" i="1"/>
  <c r="AT256" i="1"/>
  <c r="BJ180" i="1"/>
  <c r="CF160" i="1"/>
  <c r="CO108" i="1"/>
  <c r="N202" i="1"/>
  <c r="AD109" i="1"/>
  <c r="V225" i="1"/>
  <c r="DA152" i="1"/>
  <c r="DI114" i="1"/>
  <c r="M77" i="1"/>
  <c r="AL220" i="1"/>
  <c r="CD151" i="1"/>
  <c r="BZ126" i="1"/>
  <c r="CD107" i="1"/>
  <c r="CH88" i="1"/>
  <c r="CL69" i="1"/>
  <c r="CT268" i="1"/>
  <c r="F193" i="1"/>
  <c r="CS163" i="1"/>
  <c r="CW144" i="1"/>
  <c r="DA125" i="1"/>
  <c r="DE106" i="1"/>
  <c r="DI87" i="1"/>
  <c r="CS69" i="1"/>
  <c r="DB271" i="1"/>
  <c r="N196" i="1"/>
  <c r="BT164" i="1"/>
  <c r="BX145" i="1"/>
  <c r="CB126" i="1"/>
  <c r="CF107" i="1"/>
  <c r="CJ88" i="1"/>
  <c r="CN69" i="1"/>
  <c r="AI157" i="1"/>
  <c r="AY81" i="1"/>
  <c r="CP50" i="1"/>
  <c r="CT31" i="1"/>
  <c r="CX12" i="1"/>
  <c r="BO120" i="1"/>
  <c r="CA19" i="1"/>
  <c r="AY162" i="1"/>
  <c r="AS69" i="1"/>
  <c r="F270" i="1"/>
  <c r="V194" i="1"/>
  <c r="T164" i="1"/>
  <c r="X145" i="1"/>
  <c r="BP128" i="1"/>
  <c r="P119" i="1"/>
  <c r="BT109" i="1"/>
  <c r="T100" i="1"/>
  <c r="BX90" i="1"/>
  <c r="X81" i="1"/>
  <c r="CB71" i="1"/>
  <c r="CL272" i="1"/>
  <c r="CQ164" i="1"/>
  <c r="CY126" i="1"/>
  <c r="DG88" i="1"/>
  <c r="Z62" i="1"/>
  <c r="CD52" i="1"/>
  <c r="AD43" i="1"/>
  <c r="CH33" i="1"/>
  <c r="AH24" i="1"/>
  <c r="CL14" i="1"/>
  <c r="AL5" i="1"/>
  <c r="AY144" i="1"/>
  <c r="DE66" i="1"/>
  <c r="AL298" i="1"/>
  <c r="AT260" i="1"/>
  <c r="BB222" i="1"/>
  <c r="BJ184" i="1"/>
  <c r="AB171" i="1"/>
  <c r="CF161" i="1"/>
  <c r="AF152" i="1"/>
  <c r="CJ142" i="1"/>
  <c r="AJ133" i="1"/>
  <c r="CN123" i="1"/>
  <c r="AN114" i="1"/>
  <c r="CR104" i="1"/>
  <c r="AR95" i="1"/>
  <c r="CV85" i="1"/>
  <c r="AV76" i="1"/>
  <c r="CZ66" i="1"/>
  <c r="AP196" i="1"/>
  <c r="CE145" i="1"/>
  <c r="CM107" i="1"/>
  <c r="CU69" i="1"/>
  <c r="AX57" i="1"/>
  <c r="DB47" i="1"/>
  <c r="BB38" i="1"/>
  <c r="DF28" i="1"/>
  <c r="BF19" i="1"/>
  <c r="F10" i="1"/>
  <c r="CD226" i="1"/>
  <c r="K82" i="1"/>
  <c r="K40" i="1"/>
  <c r="DG9" i="1"/>
  <c r="BN214" i="1"/>
  <c r="BU66" i="1"/>
  <c r="DF296" i="1"/>
  <c r="J259" i="1"/>
  <c r="R221" i="1"/>
  <c r="Z183" i="1"/>
  <c r="CV170" i="1"/>
  <c r="AV161" i="1"/>
  <c r="CZ151" i="1"/>
  <c r="AZ142" i="1"/>
  <c r="DD132" i="1"/>
  <c r="BD123" i="1"/>
  <c r="DH113" i="1"/>
  <c r="BH104" i="1"/>
  <c r="H95" i="1"/>
  <c r="BL85" i="1"/>
  <c r="L76" i="1"/>
  <c r="BP66" i="1"/>
  <c r="F191" i="1"/>
  <c r="AU144" i="1"/>
  <c r="BC106" i="1"/>
  <c r="BK68" i="1"/>
  <c r="N57" i="1"/>
  <c r="BR47" i="1"/>
  <c r="R38" i="1"/>
  <c r="BV28" i="1"/>
  <c r="V19" i="1"/>
  <c r="BZ9" i="1"/>
  <c r="CP217" i="1"/>
  <c r="CQ79" i="1"/>
  <c r="AY39" i="1"/>
  <c r="AU9" i="1"/>
  <c r="BR211" i="1"/>
  <c r="BK149" i="1"/>
  <c r="BS111" i="1"/>
  <c r="R234" i="1"/>
  <c r="AA108" i="1"/>
  <c r="CU66" i="1"/>
  <c r="BY56" i="1"/>
  <c r="Y47" i="1"/>
  <c r="CC37" i="1"/>
  <c r="AC28" i="1"/>
  <c r="CG18" i="1"/>
  <c r="AG9" i="1"/>
  <c r="CA175" i="1"/>
  <c r="BW60" i="1"/>
  <c r="G33" i="1"/>
  <c r="BG5" i="1"/>
  <c r="BF192" i="1"/>
  <c r="CI144" i="1"/>
  <c r="CQ106" i="1"/>
  <c r="CY68" i="1"/>
  <c r="X57" i="1"/>
  <c r="CB47" i="1"/>
  <c r="AB38" i="1"/>
  <c r="CF28" i="1"/>
  <c r="AF19" i="1"/>
  <c r="CJ9" i="1"/>
  <c r="BN190" i="1"/>
  <c r="BC81" i="1"/>
  <c r="DC41" i="1"/>
  <c r="O14" i="1"/>
  <c r="AU13" i="1"/>
  <c r="DC172" i="1"/>
  <c r="AM99" i="1"/>
  <c r="CK64" i="1"/>
  <c r="AK55" i="1"/>
  <c r="CO45" i="1"/>
  <c r="AO36" i="1"/>
  <c r="CS26" i="1"/>
  <c r="AS17" i="1"/>
  <c r="BN227" i="1"/>
  <c r="BJ153" i="1"/>
  <c r="BR115" i="1"/>
  <c r="BZ77" i="1"/>
  <c r="DG192" i="1"/>
  <c r="DD183" i="1"/>
  <c r="CS182" i="1"/>
  <c r="L248" i="1"/>
  <c r="AE359" i="1"/>
  <c r="G248" i="1"/>
  <c r="CA182" i="1"/>
  <c r="AP178" i="1"/>
  <c r="V137" i="1"/>
  <c r="AD99" i="1"/>
  <c r="CL310" i="1"/>
  <c r="AO174" i="1"/>
  <c r="AW136" i="1"/>
  <c r="BE98" i="1"/>
  <c r="DB305" i="1"/>
  <c r="R173" i="1"/>
  <c r="Z135" i="1"/>
  <c r="AH97" i="1"/>
  <c r="BJ303" i="1"/>
  <c r="BI172" i="1"/>
  <c r="BQ134" i="1"/>
  <c r="BY96" i="1"/>
  <c r="Z305" i="1"/>
  <c r="DB172" i="1"/>
  <c r="F135" i="1"/>
  <c r="N97" i="1"/>
  <c r="CL302" i="1"/>
  <c r="AO172" i="1"/>
  <c r="AW134" i="1"/>
  <c r="BE96" i="1"/>
  <c r="DB297" i="1"/>
  <c r="R171" i="1"/>
  <c r="AG105" i="1"/>
  <c r="BZ105" i="1"/>
  <c r="U151" i="1"/>
  <c r="AK75" i="1"/>
  <c r="DB149" i="1"/>
  <c r="CP106" i="1"/>
  <c r="CX68" i="1"/>
  <c r="BB189" i="1"/>
  <c r="Y145" i="1"/>
  <c r="AC126" i="1"/>
  <c r="AG107" i="1"/>
  <c r="AK88" i="1"/>
  <c r="U70" i="1"/>
  <c r="R273" i="1"/>
  <c r="AH197" i="1"/>
  <c r="CZ164" i="1"/>
  <c r="DD145" i="1"/>
  <c r="DH126" i="1"/>
  <c r="H108" i="1"/>
  <c r="L89" i="1"/>
  <c r="P70" i="1"/>
  <c r="BC158" i="1"/>
  <c r="BS82" i="1"/>
  <c r="R51" i="1"/>
  <c r="V32" i="1"/>
  <c r="Z13" i="1"/>
  <c r="AI124" i="1"/>
  <c r="BK20" i="1"/>
  <c r="BS163" i="1"/>
  <c r="BY69" i="1"/>
  <c r="Z271" i="1"/>
  <c r="AP195" i="1"/>
  <c r="AZ164" i="1"/>
  <c r="BD145" i="1"/>
  <c r="AJ128" i="1"/>
  <c r="CN118" i="1"/>
  <c r="AN109" i="1"/>
  <c r="CR99" i="1"/>
  <c r="AR90" i="1"/>
  <c r="CV80" i="1"/>
  <c r="AV71" i="1"/>
  <c r="J268" i="1"/>
  <c r="BW163" i="1"/>
  <c r="CE125" i="1"/>
  <c r="CM87" i="1"/>
  <c r="CX61" i="1"/>
  <c r="AX52" i="1"/>
  <c r="DB42" i="1"/>
  <c r="BB33" i="1"/>
  <c r="DF23" i="1"/>
  <c r="BF14" i="1"/>
  <c r="F5" i="1"/>
  <c r="CU140" i="1"/>
  <c r="BY66" i="1"/>
  <c r="R297" i="1"/>
  <c r="Z259" i="1"/>
  <c r="AH221" i="1"/>
  <c r="AP183" i="1"/>
  <c r="CZ170" i="1"/>
  <c r="AZ161" i="1"/>
  <c r="DD151" i="1"/>
  <c r="BD142" i="1"/>
  <c r="DH132" i="1"/>
  <c r="BH123" i="1"/>
  <c r="H114" i="1"/>
  <c r="BL104" i="1"/>
  <c r="L95" i="1"/>
  <c r="BP85" i="1"/>
  <c r="P76" i="1"/>
  <c r="BT66" i="1"/>
  <c r="BR191" i="1"/>
  <c r="BK144" i="1"/>
  <c r="BS106" i="1"/>
  <c r="CA68" i="1"/>
  <c r="R57" i="1"/>
  <c r="BV47" i="1"/>
  <c r="V38" i="1"/>
  <c r="BZ28" i="1"/>
  <c r="Z19" i="1"/>
  <c r="CD9" i="1"/>
  <c r="BF212" i="1"/>
  <c r="AQ78" i="1"/>
  <c r="O39" i="1"/>
  <c r="G9" i="1"/>
  <c r="CP209" i="1"/>
  <c r="AO66" i="1"/>
  <c r="CL295" i="1"/>
  <c r="CT257" i="1"/>
  <c r="DB219" i="1"/>
  <c r="F182" i="1"/>
  <c r="BP170" i="1"/>
  <c r="P161" i="1"/>
  <c r="BT151" i="1"/>
  <c r="T142" i="1"/>
  <c r="BX132" i="1"/>
  <c r="X123" i="1"/>
  <c r="CB113" i="1"/>
  <c r="AB104" i="1"/>
  <c r="CF94" i="1"/>
  <c r="AF85" i="1"/>
  <c r="CJ75" i="1"/>
  <c r="AJ66" i="1"/>
  <c r="AH186" i="1"/>
  <c r="AA143" i="1"/>
  <c r="AI105" i="1"/>
  <c r="AQ67" i="1"/>
  <c r="CL56" i="1"/>
  <c r="AL47" i="1"/>
  <c r="CP37" i="1"/>
  <c r="AP28" i="1"/>
  <c r="CT18" i="1"/>
  <c r="AT9" i="1"/>
  <c r="F203" i="1"/>
  <c r="S76" i="1"/>
  <c r="BC38" i="1"/>
  <c r="BG8" i="1"/>
  <c r="CT206" i="1"/>
  <c r="AQ148" i="1"/>
  <c r="AY110" i="1"/>
  <c r="V215" i="1"/>
  <c r="CQ105" i="1"/>
  <c r="DC65" i="1"/>
  <c r="AS56" i="1"/>
  <c r="CW46" i="1"/>
  <c r="AW37" i="1"/>
  <c r="DA27" i="1"/>
  <c r="BA18" i="1"/>
  <c r="DE8" i="1"/>
  <c r="AI172" i="1"/>
  <c r="CI59" i="1"/>
  <c r="W32" i="1"/>
  <c r="BS4" i="1"/>
  <c r="CH187" i="1"/>
  <c r="BO143" i="1"/>
  <c r="BW105" i="1"/>
  <c r="CE67" i="1"/>
  <c r="CV56" i="1"/>
  <c r="AV47" i="1"/>
  <c r="CZ37" i="1"/>
  <c r="AZ28" i="1"/>
  <c r="DD18" i="1"/>
  <c r="BD9" i="1"/>
  <c r="DC178" i="1"/>
  <c r="CI77" i="1"/>
  <c r="K41" i="1"/>
  <c r="AE13" i="1"/>
  <c r="AU10" i="1"/>
  <c r="BO170" i="1"/>
  <c r="S98" i="1"/>
  <c r="BE64" i="1"/>
  <c r="DI54" i="1"/>
  <c r="BI45" i="1"/>
  <c r="I36" i="1"/>
  <c r="BM26" i="1"/>
  <c r="M17" i="1"/>
  <c r="BQ7" i="1"/>
  <c r="W137" i="1"/>
  <c r="CI55" i="1"/>
  <c r="AA28" i="1"/>
  <c r="CU333" i="1"/>
  <c r="G176" i="1"/>
  <c r="O138" i="1"/>
  <c r="W100" i="1"/>
  <c r="DH64" i="1"/>
  <c r="BH55" i="1"/>
  <c r="H46" i="1"/>
  <c r="BL36" i="1"/>
  <c r="L27" i="1"/>
  <c r="BP17" i="1"/>
  <c r="P8" i="1"/>
  <c r="AY164" i="1"/>
  <c r="CQ64" i="1"/>
  <c r="O37" i="1"/>
  <c r="CM4" i="1"/>
  <c r="CU12" i="1"/>
  <c r="BO126" i="1"/>
  <c r="K76" i="1"/>
  <c r="DE58" i="1"/>
  <c r="BE49" i="1"/>
  <c r="DI39" i="1"/>
  <c r="BI30" i="1"/>
  <c r="I21" i="1"/>
  <c r="BM11" i="1"/>
  <c r="DB272" i="1"/>
  <c r="CQ71" i="1"/>
  <c r="CE39" i="1"/>
  <c r="W12" i="1"/>
  <c r="AD229" i="1"/>
  <c r="DC153" i="1"/>
  <c r="AK102" i="1"/>
  <c r="CT410" i="1"/>
  <c r="BN178" i="1"/>
  <c r="BV140" i="1"/>
  <c r="CD102" i="1"/>
  <c r="DG364" i="1"/>
  <c r="BJ211" i="1"/>
  <c r="BE168" i="1"/>
  <c r="BI149" i="1"/>
  <c r="BM130" i="1"/>
  <c r="BQ111" i="1"/>
  <c r="BU92" i="1"/>
  <c r="BY73" i="1"/>
  <c r="BJ282" i="1"/>
  <c r="BZ206" i="1"/>
  <c r="AH167" i="1"/>
  <c r="AL148" i="1"/>
  <c r="BJ134" i="1"/>
  <c r="J125" i="1"/>
  <c r="BN115" i="1"/>
  <c r="N106" i="1"/>
  <c r="BR96" i="1"/>
  <c r="R87" i="1"/>
  <c r="BV77" i="1"/>
  <c r="V68" i="1"/>
  <c r="AH300" i="1"/>
  <c r="AP262" i="1"/>
  <c r="AX224" i="1"/>
  <c r="BF186" i="1"/>
  <c r="CC171" i="1"/>
  <c r="AC162" i="1"/>
  <c r="CG152" i="1"/>
  <c r="AG143" i="1"/>
  <c r="CK133" i="1"/>
  <c r="AK124" i="1"/>
  <c r="CO114" i="1"/>
  <c r="AO105" i="1"/>
  <c r="CS95" i="1"/>
  <c r="AS86" i="1"/>
  <c r="CW76" i="1"/>
  <c r="AC68" i="1"/>
  <c r="AP303" i="1"/>
  <c r="AX265" i="1"/>
  <c r="BF227" i="1"/>
  <c r="BN189" i="1"/>
  <c r="BD172" i="1"/>
  <c r="DH162" i="1"/>
  <c r="BH153" i="1"/>
  <c r="H144" i="1"/>
  <c r="BL134" i="1"/>
  <c r="L125" i="1"/>
  <c r="BP115" i="1"/>
  <c r="P106" i="1"/>
  <c r="BT96" i="1"/>
  <c r="T87" i="1"/>
  <c r="BX77" i="1"/>
  <c r="X68" i="1"/>
  <c r="BF216" i="1"/>
  <c r="CI150" i="1"/>
  <c r="CQ112" i="1"/>
  <c r="CY74" i="1"/>
  <c r="BZ58" i="1"/>
  <c r="Z49" i="1"/>
  <c r="CD39" i="1"/>
  <c r="AD30" i="1"/>
  <c r="CH20" i="1"/>
  <c r="AH11" i="1"/>
  <c r="CP297" i="1"/>
  <c r="DG99" i="1"/>
  <c r="BK44" i="1"/>
  <c r="AU14" i="1"/>
  <c r="N237" i="1"/>
  <c r="CY155" i="1"/>
  <c r="DG117" i="1"/>
  <c r="CG67" i="1"/>
  <c r="AX301" i="1"/>
  <c r="BF263" i="1"/>
  <c r="BN225" i="1"/>
  <c r="BV187" i="1"/>
  <c r="DH171" i="1"/>
  <c r="BH162" i="1"/>
  <c r="H153" i="1"/>
  <c r="DA115" i="1"/>
  <c r="DI77" i="1"/>
  <c r="BJ230" i="1"/>
  <c r="AH154" i="1"/>
  <c r="AP116" i="1"/>
  <c r="AX78" i="1"/>
  <c r="AT239" i="1"/>
  <c r="BA175" i="1"/>
  <c r="BE156" i="1"/>
  <c r="BI137" i="1"/>
  <c r="BM118" i="1"/>
  <c r="BQ99" i="1"/>
  <c r="BU80" i="1"/>
  <c r="AT310" i="1"/>
  <c r="BJ234" i="1"/>
  <c r="AD174" i="1"/>
  <c r="AH155" i="1"/>
  <c r="DB137" i="1"/>
  <c r="BB128" i="1"/>
  <c r="DF118" i="1"/>
  <c r="BF109" i="1"/>
  <c r="F100" i="1"/>
  <c r="BJ90" i="1"/>
  <c r="J81" i="1"/>
  <c r="BN71" i="1"/>
  <c r="AQ319" i="1"/>
  <c r="DF275" i="1"/>
  <c r="J238" i="1"/>
  <c r="R200" i="1"/>
  <c r="Q175" i="1"/>
  <c r="BU165" i="1"/>
  <c r="U156" i="1"/>
  <c r="BY146" i="1"/>
  <c r="Y137" i="1"/>
  <c r="CC127" i="1"/>
  <c r="AC118" i="1"/>
  <c r="CG108" i="1"/>
  <c r="AG99" i="1"/>
  <c r="CK89" i="1"/>
  <c r="AK80" i="1"/>
  <c r="BU71" i="1"/>
  <c r="BW331" i="1"/>
  <c r="J279" i="1"/>
  <c r="R241" i="1"/>
  <c r="Z203" i="1"/>
  <c r="CV175" i="1"/>
  <c r="AV166" i="1"/>
  <c r="CZ156" i="1"/>
  <c r="AZ147" i="1"/>
  <c r="DD137" i="1"/>
  <c r="BD128" i="1"/>
  <c r="DH118" i="1"/>
  <c r="BH109" i="1"/>
  <c r="H100" i="1"/>
  <c r="BL90" i="1"/>
  <c r="L81" i="1"/>
  <c r="BP71" i="1"/>
  <c r="F271" i="1"/>
  <c r="AU164" i="1"/>
  <c r="BC126" i="1"/>
  <c r="BK88" i="1"/>
  <c r="N62" i="1"/>
  <c r="BR52" i="1"/>
  <c r="R43" i="1"/>
  <c r="BV33" i="1"/>
  <c r="V24" i="1"/>
  <c r="BZ14" i="1"/>
  <c r="Z5" i="1"/>
  <c r="O143" i="1"/>
  <c r="AM55" i="1"/>
  <c r="AM25" i="1"/>
  <c r="BR291" i="1"/>
  <c r="BK169" i="1"/>
  <c r="BS131" i="1"/>
  <c r="U71" i="1"/>
  <c r="DC323" i="1"/>
  <c r="R277" i="1"/>
  <c r="Z239" i="1"/>
  <c r="AH201" i="1"/>
  <c r="AV175" i="1"/>
  <c r="CZ165" i="1"/>
  <c r="AZ156" i="1"/>
  <c r="DD146" i="1"/>
  <c r="BD137" i="1"/>
  <c r="DH127" i="1"/>
  <c r="BH118" i="1"/>
  <c r="H109" i="1"/>
  <c r="BL99" i="1"/>
  <c r="L90" i="1"/>
  <c r="BP80" i="1"/>
  <c r="P71" i="1"/>
  <c r="AL263" i="1"/>
  <c r="BC162" i="1"/>
  <c r="BK124" i="1"/>
  <c r="BS86" i="1"/>
  <c r="BR61" i="1"/>
  <c r="R52" i="1"/>
  <c r="BV42" i="1"/>
  <c r="V33" i="1"/>
  <c r="BZ23" i="1"/>
  <c r="Z14" i="1"/>
  <c r="CD4" i="1"/>
  <c r="CU136" i="1"/>
  <c r="AS66" i="1"/>
  <c r="DB295" i="1"/>
  <c r="F258" i="1"/>
  <c r="N220" i="1"/>
  <c r="V182" i="1"/>
  <c r="BT170" i="1"/>
  <c r="T161" i="1"/>
  <c r="BX151" i="1"/>
  <c r="X142" i="1"/>
  <c r="CB132" i="1"/>
  <c r="AB123" i="1"/>
  <c r="CF113" i="1"/>
  <c r="AF104" i="1"/>
  <c r="CJ94" i="1"/>
  <c r="AJ85" i="1"/>
  <c r="CN75" i="1"/>
  <c r="AN66" i="1"/>
  <c r="CT186" i="1"/>
  <c r="AQ143" i="1"/>
  <c r="AY105" i="1"/>
  <c r="BG67" i="1"/>
  <c r="CP56" i="1"/>
  <c r="AP47" i="1"/>
  <c r="CT37" i="1"/>
  <c r="AT28" i="1"/>
  <c r="CX18" i="1"/>
  <c r="AX9" i="1"/>
  <c r="BZ197" i="1"/>
  <c r="BW74" i="1"/>
  <c r="S38" i="1"/>
  <c r="S8" i="1"/>
  <c r="N205" i="1"/>
  <c r="I66" i="1"/>
  <c r="BR294" i="1"/>
  <c r="BZ256" i="1"/>
  <c r="CH218" i="1"/>
  <c r="CP180" i="1"/>
  <c r="AJ170" i="1"/>
  <c r="CN160" i="1"/>
  <c r="AN151" i="1"/>
  <c r="CR141" i="1"/>
  <c r="AR132" i="1"/>
  <c r="CV122" i="1"/>
  <c r="AV113" i="1"/>
  <c r="CZ103" i="1"/>
  <c r="AZ94" i="1"/>
  <c r="DD84" i="1"/>
  <c r="BD75" i="1"/>
  <c r="DH65" i="1"/>
  <c r="BJ181" i="1"/>
  <c r="G142" i="1"/>
  <c r="O104" i="1"/>
  <c r="Z66" i="1"/>
  <c r="BF56" i="1"/>
  <c r="F47" i="1"/>
  <c r="BJ37" i="1"/>
  <c r="J28" i="1"/>
  <c r="BN18" i="1"/>
  <c r="N9" i="1"/>
  <c r="BR187" i="1"/>
  <c r="AY72" i="1"/>
  <c r="BK37" i="1"/>
  <c r="BC7" i="1"/>
  <c r="R202" i="1"/>
  <c r="W147" i="1"/>
  <c r="AE109" i="1"/>
  <c r="Z196" i="1"/>
  <c r="BC103" i="1"/>
  <c r="BM65" i="1"/>
  <c r="M56" i="1"/>
  <c r="BQ46" i="1"/>
  <c r="Q37" i="1"/>
  <c r="BU27" i="1"/>
  <c r="U18" i="1"/>
  <c r="BY8" i="1"/>
  <c r="CE168" i="1"/>
  <c r="CY58" i="1"/>
  <c r="AE31" i="1"/>
  <c r="CE3" i="1"/>
  <c r="F183" i="1"/>
  <c r="AU142" i="1"/>
  <c r="BC104" i="1"/>
  <c r="BK66" i="1"/>
  <c r="BP56" i="1"/>
  <c r="P47" i="1"/>
  <c r="BT37" i="1"/>
  <c r="T28" i="1"/>
  <c r="BX18" i="1"/>
  <c r="X9" i="1"/>
  <c r="BK175" i="1"/>
  <c r="AQ74" i="1"/>
  <c r="AA40" i="1"/>
  <c r="AY12" i="1"/>
  <c r="CY6" i="1"/>
  <c r="AA168" i="1"/>
  <c r="DC96" i="1"/>
  <c r="Y64" i="1"/>
  <c r="CC54" i="1"/>
  <c r="AC45" i="1"/>
  <c r="CG35" i="1"/>
  <c r="AG26" i="1"/>
  <c r="CK16" i="1"/>
  <c r="V180" i="1"/>
  <c r="BZ141" i="1"/>
  <c r="CH103" i="1"/>
  <c r="CH419" i="1"/>
  <c r="AF288" i="1"/>
  <c r="K288" i="1"/>
  <c r="AB300" i="1"/>
  <c r="AR224" i="1"/>
  <c r="W300" i="1"/>
  <c r="AM224" i="1"/>
  <c r="AI321" i="1"/>
  <c r="AD163" i="1"/>
  <c r="AL125" i="1"/>
  <c r="AT87" i="1"/>
  <c r="AT263" i="1"/>
  <c r="BE162" i="1"/>
  <c r="BM124" i="1"/>
  <c r="BU86" i="1"/>
  <c r="BJ258" i="1"/>
  <c r="AH161" i="1"/>
  <c r="AP123" i="1"/>
  <c r="AX85" i="1"/>
  <c r="R256" i="1"/>
  <c r="BY160" i="1"/>
  <c r="CG122" i="1"/>
  <c r="CO84" i="1"/>
  <c r="CL257" i="1"/>
  <c r="N161" i="1"/>
  <c r="V123" i="1"/>
  <c r="AD85" i="1"/>
  <c r="AT255" i="1"/>
  <c r="BE160" i="1"/>
  <c r="BM122" i="1"/>
  <c r="BU84" i="1"/>
  <c r="BJ250" i="1"/>
  <c r="AH159" i="1"/>
  <c r="BV301" i="1"/>
  <c r="AD299" i="1"/>
  <c r="BA127" i="1"/>
  <c r="N270" i="1"/>
  <c r="CX132" i="1"/>
  <c r="DF94" i="1"/>
  <c r="CH293" i="1"/>
  <c r="M170" i="1"/>
  <c r="AG139" i="1"/>
  <c r="AK120" i="1"/>
  <c r="AO101" i="1"/>
  <c r="AS82" i="1"/>
  <c r="CQ364" i="1"/>
  <c r="AX249" i="1"/>
  <c r="DD177" i="1"/>
  <c r="DH158" i="1"/>
  <c r="H140" i="1"/>
  <c r="L121" i="1"/>
  <c r="P102" i="1"/>
  <c r="T83" i="1"/>
  <c r="Z304" i="1"/>
  <c r="CI134" i="1"/>
  <c r="V64" i="1"/>
  <c r="Z45" i="1"/>
  <c r="AD26" i="1"/>
  <c r="AH7" i="1"/>
  <c r="CU61" i="1"/>
  <c r="CY362" i="1"/>
  <c r="CY139" i="1"/>
  <c r="S357" i="1"/>
  <c r="BF247" i="1"/>
  <c r="BD177" i="1"/>
  <c r="BH158" i="1"/>
  <c r="BL139" i="1"/>
  <c r="AN125" i="1"/>
  <c r="CR115" i="1"/>
  <c r="AR106" i="1"/>
  <c r="CV96" i="1"/>
  <c r="AV87" i="1"/>
  <c r="CZ77" i="1"/>
  <c r="AZ68" i="1"/>
  <c r="BV220" i="1"/>
  <c r="CM151" i="1"/>
  <c r="CU113" i="1"/>
  <c r="DC75" i="1"/>
  <c r="DB58" i="1"/>
  <c r="BB49" i="1"/>
  <c r="DF39" i="1"/>
  <c r="BF30" i="1"/>
  <c r="F21" i="1"/>
  <c r="BJ11" i="1"/>
  <c r="N309" i="1"/>
  <c r="AE103" i="1"/>
  <c r="BK356" i="1"/>
  <c r="AH285" i="1"/>
  <c r="AP247" i="1"/>
  <c r="AX209" i="1"/>
  <c r="AZ177" i="1"/>
  <c r="DD167" i="1"/>
  <c r="BD158" i="1"/>
  <c r="DH148" i="1"/>
  <c r="BH139" i="1"/>
  <c r="H130" i="1"/>
  <c r="BL120" i="1"/>
  <c r="L111" i="1"/>
  <c r="BP101" i="1"/>
  <c r="P92" i="1"/>
  <c r="BT82" i="1"/>
  <c r="T73" i="1"/>
  <c r="CX295" i="1"/>
  <c r="BS170" i="1"/>
  <c r="CA132" i="1"/>
  <c r="CI94" i="1"/>
  <c r="BV63" i="1"/>
  <c r="V54" i="1"/>
  <c r="BZ44" i="1"/>
  <c r="Z35" i="1"/>
  <c r="CD25" i="1"/>
  <c r="AD16" i="1"/>
  <c r="CH6" i="1"/>
  <c r="S156" i="1"/>
  <c r="CM59" i="1"/>
  <c r="CE29" i="1"/>
  <c r="AE320" i="1"/>
  <c r="W175" i="1"/>
  <c r="AA351" i="1"/>
  <c r="DB283" i="1"/>
  <c r="F246" i="1"/>
  <c r="N208" i="1"/>
  <c r="P177" i="1"/>
  <c r="BT167" i="1"/>
  <c r="T158" i="1"/>
  <c r="BX148" i="1"/>
  <c r="X139" i="1"/>
  <c r="CB129" i="1"/>
  <c r="AB120" i="1"/>
  <c r="CF110" i="1"/>
  <c r="AF101" i="1"/>
  <c r="CJ91" i="1"/>
  <c r="AJ82" i="1"/>
  <c r="CN72" i="1"/>
  <c r="BN290" i="1"/>
  <c r="AI169" i="1"/>
  <c r="AQ131" i="1"/>
  <c r="AY93" i="1"/>
  <c r="AL63" i="1"/>
  <c r="CP53" i="1"/>
  <c r="AP44" i="1"/>
  <c r="CT34" i="1"/>
  <c r="AT25" i="1"/>
  <c r="CX15" i="1"/>
  <c r="AX6" i="1"/>
  <c r="BW154" i="1"/>
  <c r="W59" i="1"/>
  <c r="O29" i="1"/>
  <c r="V311" i="1"/>
  <c r="AY174" i="1"/>
  <c r="BG136" i="1"/>
  <c r="CA62" i="1"/>
  <c r="DG157" i="1"/>
  <c r="CI91" i="1"/>
  <c r="CW62" i="1"/>
  <c r="AW53" i="1"/>
  <c r="DA43" i="1"/>
  <c r="BA34" i="1"/>
  <c r="DE24" i="1"/>
  <c r="BE15" i="1"/>
  <c r="DI5" i="1"/>
  <c r="AA118" i="1"/>
  <c r="W51" i="1"/>
  <c r="BO23" i="1"/>
  <c r="J292" i="1"/>
  <c r="BW169" i="1"/>
  <c r="CE131" i="1"/>
  <c r="CM93" i="1"/>
  <c r="AV63" i="1"/>
  <c r="CZ53" i="1"/>
  <c r="AZ44" i="1"/>
  <c r="DD34" i="1"/>
  <c r="BD25" i="1"/>
  <c r="DH15" i="1"/>
  <c r="BH6" i="1"/>
  <c r="S152" i="1"/>
  <c r="W60" i="1"/>
  <c r="AM32" i="1"/>
  <c r="BO4" i="1"/>
  <c r="AU45" i="1"/>
  <c r="CU146" i="1"/>
  <c r="AI86" i="1"/>
  <c r="BI61" i="1"/>
  <c r="I52" i="1"/>
  <c r="BM42" i="1"/>
  <c r="M33" i="1"/>
  <c r="BQ23" i="1"/>
  <c r="Q14" i="1"/>
  <c r="BU4" i="1"/>
  <c r="K102" i="1"/>
  <c r="AA47" i="1"/>
  <c r="BO19" i="1"/>
  <c r="R270" i="1"/>
  <c r="W164" i="1"/>
  <c r="AE126" i="1"/>
  <c r="AM88" i="1"/>
  <c r="H62" i="1"/>
  <c r="BL52" i="1"/>
  <c r="L43" i="1"/>
  <c r="BP33" i="1"/>
  <c r="P24" i="1"/>
  <c r="BT14" i="1"/>
  <c r="T5" i="1"/>
  <c r="AM137" i="1"/>
  <c r="S56" i="1"/>
  <c r="AQ28" i="1"/>
  <c r="CE20" i="1"/>
  <c r="BB191" i="1"/>
  <c r="CU102" i="1"/>
  <c r="BE65" i="1"/>
  <c r="DI55" i="1"/>
  <c r="BI46" i="1"/>
  <c r="I37" i="1"/>
  <c r="BM27" i="1"/>
  <c r="M18" i="1"/>
  <c r="BQ8" i="1"/>
  <c r="CQ167" i="1"/>
  <c r="CE58" i="1"/>
  <c r="G31" i="1"/>
  <c r="BK3" i="1"/>
  <c r="CP181" i="1"/>
  <c r="AS128" i="1"/>
  <c r="BA90" i="1"/>
  <c r="AL280" i="1"/>
  <c r="CD166" i="1"/>
  <c r="CL128" i="1"/>
  <c r="CT90" i="1"/>
  <c r="CX277" i="1"/>
  <c r="CP187" i="1"/>
  <c r="BM162" i="1"/>
  <c r="BQ143" i="1"/>
  <c r="BU124" i="1"/>
  <c r="BY105" i="1"/>
  <c r="CC86" i="1"/>
  <c r="AM181" i="1"/>
  <c r="CP258" i="1"/>
  <c r="DF182" i="1"/>
  <c r="AP161" i="1"/>
  <c r="AT142" i="1"/>
  <c r="BN131" i="1"/>
  <c r="N122" i="1"/>
  <c r="BR112" i="1"/>
  <c r="R103" i="1"/>
  <c r="BV93" i="1"/>
  <c r="V84" i="1"/>
  <c r="BZ74" i="1"/>
  <c r="DF369" i="1"/>
  <c r="AX288" i="1"/>
  <c r="BF250" i="1"/>
  <c r="BN212" i="1"/>
  <c r="AC178" i="1"/>
  <c r="CG168" i="1"/>
  <c r="AG159" i="1"/>
  <c r="CK149" i="1"/>
  <c r="AK140" i="1"/>
  <c r="CO130" i="1"/>
  <c r="AO121" i="1"/>
  <c r="CS111" i="1"/>
  <c r="AS102" i="1"/>
  <c r="CW92" i="1"/>
  <c r="AW83" i="1"/>
  <c r="DA73" i="1"/>
  <c r="V419" i="1"/>
  <c r="BF291" i="1"/>
  <c r="BN253" i="1"/>
  <c r="BV215" i="1"/>
  <c r="DH178" i="1"/>
  <c r="BH169" i="1"/>
  <c r="H160" i="1"/>
  <c r="BL150" i="1"/>
  <c r="L141" i="1"/>
  <c r="BP131" i="1"/>
  <c r="P122" i="1"/>
  <c r="BT112" i="1"/>
  <c r="T103" i="1"/>
  <c r="BX93" i="1"/>
  <c r="X84" i="1"/>
  <c r="CB74" i="1"/>
  <c r="CY346" i="1"/>
  <c r="CQ176" i="1"/>
  <c r="CY138" i="1"/>
  <c r="DG100" i="1"/>
  <c r="Z65" i="1"/>
  <c r="CD55" i="1"/>
  <c r="AD46" i="1"/>
  <c r="CH36" i="1"/>
  <c r="AH27" i="1"/>
  <c r="CL17" i="1"/>
  <c r="AL8" i="1"/>
  <c r="CA171" i="1"/>
  <c r="S65" i="1"/>
  <c r="W35" i="1"/>
  <c r="DG4" i="1"/>
  <c r="BZ189" i="1"/>
  <c r="K144" i="1"/>
  <c r="S106" i="1"/>
  <c r="AP388" i="1"/>
  <c r="BN289" i="1"/>
  <c r="BV251" i="1"/>
  <c r="CD213" i="1"/>
  <c r="BH178" i="1"/>
  <c r="H169" i="1"/>
  <c r="BL159" i="1"/>
  <c r="L150" i="1"/>
  <c r="M104" i="1"/>
  <c r="AU181" i="1"/>
  <c r="R183" i="1"/>
  <c r="AX142" i="1"/>
  <c r="BF104" i="1"/>
  <c r="BN66" i="1"/>
  <c r="BZ215" i="1"/>
  <c r="BI169" i="1"/>
  <c r="BM150" i="1"/>
  <c r="BQ131" i="1"/>
  <c r="BU112" i="1"/>
  <c r="BY93" i="1"/>
  <c r="CC74" i="1"/>
  <c r="BZ286" i="1"/>
  <c r="CP210" i="1"/>
  <c r="AL168" i="1"/>
  <c r="AP149" i="1"/>
  <c r="DF134" i="1"/>
  <c r="BF125" i="1"/>
  <c r="F116" i="1"/>
  <c r="BJ106" i="1"/>
  <c r="J97" i="1"/>
  <c r="BN87" i="1"/>
  <c r="N78" i="1"/>
  <c r="BR68" i="1"/>
  <c r="J302" i="1"/>
  <c r="R264" i="1"/>
  <c r="Z226" i="1"/>
  <c r="AH188" i="1"/>
  <c r="U172" i="1"/>
  <c r="BY162" i="1"/>
  <c r="Y153" i="1"/>
  <c r="CC143" i="1"/>
  <c r="AC134" i="1"/>
  <c r="CG124" i="1"/>
  <c r="AG115" i="1"/>
  <c r="CK105" i="1"/>
  <c r="AK96" i="1"/>
  <c r="CO86" i="1"/>
  <c r="AO77" i="1"/>
  <c r="BY68" i="1"/>
  <c r="R305" i="1"/>
  <c r="Z267" i="1"/>
  <c r="AH229" i="1"/>
  <c r="AP191" i="1"/>
  <c r="CZ172" i="1"/>
  <c r="AZ163" i="1"/>
  <c r="DD153" i="1"/>
  <c r="BD144" i="1"/>
  <c r="DH134" i="1"/>
  <c r="BH125" i="1"/>
  <c r="H116" i="1"/>
  <c r="BL106" i="1"/>
  <c r="L97" i="1"/>
  <c r="BP87" i="1"/>
  <c r="P78" i="1"/>
  <c r="BT68" i="1"/>
  <c r="BR223" i="1"/>
  <c r="BK152" i="1"/>
  <c r="BS114" i="1"/>
  <c r="CA76" i="1"/>
  <c r="R59" i="1"/>
  <c r="BV49" i="1"/>
  <c r="V40" i="1"/>
  <c r="BZ30" i="1"/>
  <c r="Z21" i="1"/>
  <c r="CD11" i="1"/>
  <c r="AU340" i="1"/>
  <c r="BS105" i="1"/>
  <c r="CY45" i="1"/>
  <c r="CU15" i="1"/>
  <c r="Z244" i="1"/>
  <c r="CA157" i="1"/>
  <c r="CI119" i="1"/>
  <c r="Y68" i="1"/>
  <c r="Z303" i="1"/>
  <c r="AH265" i="1"/>
  <c r="AP227" i="1"/>
  <c r="AX189" i="1"/>
  <c r="AZ172" i="1"/>
  <c r="DD162" i="1"/>
  <c r="BD153" i="1"/>
  <c r="DH143" i="1"/>
  <c r="BH134" i="1"/>
  <c r="H125" i="1"/>
  <c r="BL115" i="1"/>
  <c r="L106" i="1"/>
  <c r="BP96" i="1"/>
  <c r="P87" i="1"/>
  <c r="BT77" i="1"/>
  <c r="T68" i="1"/>
  <c r="CX215" i="1"/>
  <c r="BS150" i="1"/>
  <c r="CA112" i="1"/>
  <c r="CI74" i="1"/>
  <c r="BV58" i="1"/>
  <c r="V49" i="1"/>
  <c r="BZ39" i="1"/>
  <c r="Z30" i="1"/>
  <c r="CD20" i="1"/>
  <c r="AD11" i="1"/>
  <c r="BB295" i="1"/>
  <c r="AU99" i="1"/>
  <c r="CM351" i="1"/>
  <c r="N284" i="1"/>
  <c r="V246" i="1"/>
  <c r="AD208" i="1"/>
  <c r="T177" i="1"/>
  <c r="BX167" i="1"/>
  <c r="X158" i="1"/>
  <c r="CB148" i="1"/>
  <c r="AB139" i="1"/>
  <c r="CF129" i="1"/>
  <c r="AF120" i="1"/>
  <c r="CJ110" i="1"/>
  <c r="AJ101" i="1"/>
  <c r="CN91" i="1"/>
  <c r="AN82" i="1"/>
  <c r="CR72" i="1"/>
  <c r="V291" i="1"/>
  <c r="AY169" i="1"/>
  <c r="BG131" i="1"/>
  <c r="BO93" i="1"/>
  <c r="AP63" i="1"/>
  <c r="CT53" i="1"/>
  <c r="AT44" i="1"/>
  <c r="CX34" i="1"/>
  <c r="AX25" i="1"/>
  <c r="DB15" i="1"/>
  <c r="BB6" i="1"/>
  <c r="CI153" i="1"/>
  <c r="CM58" i="1"/>
  <c r="CI28" i="1"/>
  <c r="AT309" i="1"/>
  <c r="M73" i="1"/>
  <c r="BC346" i="1"/>
  <c r="CH282" i="1"/>
  <c r="CP244" i="1"/>
  <c r="CX206" i="1"/>
  <c r="CN176" i="1"/>
  <c r="AN167" i="1"/>
  <c r="CR157" i="1"/>
  <c r="AR148" i="1"/>
  <c r="CV138" i="1"/>
  <c r="AV129" i="1"/>
  <c r="CZ119" i="1"/>
  <c r="AZ110" i="1"/>
  <c r="DD100" i="1"/>
  <c r="BD91" i="1"/>
  <c r="DH81" i="1"/>
  <c r="BH72" i="1"/>
  <c r="CP285" i="1"/>
  <c r="O168" i="1"/>
  <c r="W130" i="1"/>
  <c r="AE92" i="1"/>
  <c r="F63" i="1"/>
  <c r="BJ53" i="1"/>
  <c r="J44" i="1"/>
  <c r="BN34" i="1"/>
  <c r="N25" i="1"/>
  <c r="BR15" i="1"/>
  <c r="R6" i="1"/>
  <c r="AI152" i="1"/>
  <c r="AA58" i="1"/>
  <c r="S28" i="1"/>
  <c r="AX306" i="1"/>
  <c r="AE173" i="1"/>
  <c r="AM135" i="1"/>
  <c r="DC58" i="1"/>
  <c r="BS155" i="1"/>
  <c r="BO90" i="1"/>
  <c r="BQ62" i="1"/>
  <c r="Q53" i="1"/>
  <c r="BU43" i="1"/>
  <c r="U34" i="1"/>
  <c r="BY24" i="1"/>
  <c r="Y15" i="1"/>
  <c r="CC5" i="1"/>
  <c r="BW114" i="1"/>
  <c r="AI50" i="1"/>
  <c r="BS22" i="1"/>
  <c r="AL287" i="1"/>
  <c r="BC168" i="1"/>
  <c r="BK130" i="1"/>
  <c r="BS92" i="1"/>
  <c r="P63" i="1"/>
  <c r="BT53" i="1"/>
  <c r="T44" i="1"/>
  <c r="BX34" i="1"/>
  <c r="X25" i="1"/>
  <c r="CB15" i="1"/>
  <c r="AB6" i="1"/>
  <c r="BC149" i="1"/>
  <c r="AQ59" i="1"/>
  <c r="BC31" i="1"/>
  <c r="CI3" i="1"/>
  <c r="BK41" i="1"/>
  <c r="BG144" i="1"/>
  <c r="O85" i="1"/>
  <c r="AC61" i="1"/>
  <c r="CG51" i="1"/>
  <c r="AG42" i="1"/>
  <c r="CK32" i="1"/>
  <c r="AK23" i="1"/>
  <c r="CO13" i="1"/>
  <c r="CH167" i="1"/>
  <c r="CP129" i="1"/>
  <c r="CX91" i="1"/>
  <c r="J282" i="1"/>
  <c r="CR240" i="1"/>
  <c r="BW240" i="1"/>
  <c r="BH276" i="1"/>
  <c r="BX200" i="1"/>
  <c r="BC276" i="1"/>
  <c r="BW201" i="1"/>
  <c r="DF250" i="1"/>
  <c r="AT151" i="1"/>
  <c r="BB113" i="1"/>
  <c r="BJ75" i="1"/>
  <c r="DF215" i="1"/>
  <c r="BU150" i="1"/>
  <c r="CC112" i="1"/>
  <c r="CK74" i="1"/>
  <c r="R211" i="1"/>
  <c r="AX149" i="1"/>
  <c r="BF111" i="1"/>
  <c r="BN73" i="1"/>
  <c r="CD208" i="1"/>
  <c r="CO148" i="1"/>
  <c r="CW110" i="1"/>
  <c r="DE72" i="1"/>
  <c r="AT210" i="1"/>
  <c r="AD149" i="1"/>
  <c r="AL111" i="1"/>
  <c r="AT73" i="1"/>
  <c r="DF207" i="1"/>
  <c r="BU148" i="1"/>
  <c r="CC110" i="1"/>
  <c r="CM188" i="1"/>
  <c r="R203" i="1"/>
  <c r="AX147" i="1"/>
  <c r="BN162" i="1"/>
  <c r="R180" i="1"/>
  <c r="CG103" i="1"/>
  <c r="AT178" i="1"/>
  <c r="J121" i="1"/>
  <c r="R83" i="1"/>
  <c r="AP246" i="1"/>
  <c r="AC158" i="1"/>
  <c r="AO133" i="1"/>
  <c r="AS114" i="1"/>
  <c r="AW95" i="1"/>
  <c r="BA76" i="1"/>
  <c r="BN301" i="1"/>
  <c r="CD225" i="1"/>
  <c r="H172" i="1"/>
  <c r="L153" i="1"/>
  <c r="P134" i="1"/>
  <c r="T115" i="1"/>
  <c r="X96" i="1"/>
  <c r="AB77" i="1"/>
  <c r="AT209" i="1"/>
  <c r="K111" i="1"/>
  <c r="AD58" i="1"/>
  <c r="AH39" i="1"/>
  <c r="AL20" i="1"/>
  <c r="AL275" i="1"/>
  <c r="S43" i="1"/>
  <c r="DF229" i="1"/>
  <c r="AA116" i="1"/>
  <c r="BV299" i="1"/>
  <c r="CL223" i="1"/>
  <c r="BL171" i="1"/>
  <c r="BP152" i="1"/>
  <c r="BT133" i="1"/>
  <c r="AR122" i="1"/>
  <c r="CV112" i="1"/>
  <c r="AV103" i="1"/>
  <c r="CZ93" i="1"/>
  <c r="AZ84" i="1"/>
  <c r="DD74" i="1"/>
  <c r="BG363" i="1"/>
  <c r="CU177" i="1"/>
  <c r="DC139" i="1"/>
  <c r="G102" i="1"/>
  <c r="BB65" i="1"/>
  <c r="DF55" i="1"/>
  <c r="BF46" i="1"/>
  <c r="F37" i="1"/>
  <c r="BJ27" i="1"/>
  <c r="CU152" i="1"/>
  <c r="F226" i="1"/>
  <c r="T153" i="1"/>
  <c r="AB115" i="1"/>
  <c r="AJ77" i="1"/>
  <c r="AQ111" i="1"/>
  <c r="AP39" i="1"/>
  <c r="CH271" i="1"/>
  <c r="CL228" i="1"/>
  <c r="BZ224" i="1"/>
  <c r="CN152" i="1"/>
  <c r="CV114" i="1"/>
  <c r="DD76" i="1"/>
  <c r="G110" i="1"/>
  <c r="F39" i="1"/>
  <c r="AH262" i="1"/>
  <c r="CP225" i="1"/>
  <c r="AM115" i="1"/>
  <c r="BQ38" i="1"/>
  <c r="BN206" i="1"/>
  <c r="CD206" i="1"/>
  <c r="L58" i="1"/>
  <c r="T20" i="1"/>
  <c r="BC44" i="1"/>
  <c r="AA104" i="1"/>
  <c r="AC37" i="1"/>
  <c r="K170" i="1"/>
  <c r="CL184" i="1"/>
  <c r="CB56" i="1"/>
  <c r="CJ18" i="1"/>
  <c r="BK40" i="1"/>
  <c r="CM80" i="1"/>
  <c r="CC31" i="1"/>
  <c r="BS85" i="1"/>
  <c r="CA158" i="1"/>
  <c r="AT145" i="1"/>
  <c r="CS170" i="1"/>
  <c r="DI94" i="1"/>
  <c r="BV169" i="1"/>
  <c r="CH116" i="1"/>
  <c r="CP78" i="1"/>
  <c r="V229" i="1"/>
  <c r="DA153" i="1"/>
  <c r="DI115" i="1"/>
  <c r="M78" i="1"/>
  <c r="AD232" i="1"/>
  <c r="CB154" i="1"/>
  <c r="CJ116" i="1"/>
  <c r="CR78" i="1"/>
  <c r="BO117" i="1"/>
  <c r="CX40" i="1"/>
  <c r="CK3" i="1"/>
  <c r="J256" i="1"/>
  <c r="V306" i="1"/>
  <c r="X173" i="1"/>
  <c r="CG82" i="1"/>
  <c r="V83" i="1"/>
  <c r="CW139" i="1"/>
  <c r="AA343" i="1"/>
  <c r="R139" i="1"/>
  <c r="Z101" i="1"/>
  <c r="AM338" i="1"/>
  <c r="AK176" i="1"/>
  <c r="AS138" i="1"/>
  <c r="BA100" i="1"/>
  <c r="BS350" i="1"/>
  <c r="L177" i="1"/>
  <c r="T139" i="1"/>
  <c r="AB101" i="1"/>
  <c r="DF289" i="1"/>
  <c r="AH63" i="1"/>
  <c r="AP25" i="1"/>
  <c r="K59" i="1"/>
  <c r="AQ136" i="1"/>
  <c r="DB243" i="1"/>
  <c r="BT157" i="1"/>
  <c r="CB119" i="1"/>
  <c r="CJ81" i="1"/>
  <c r="AI129" i="1"/>
  <c r="CP43" i="1"/>
  <c r="CX5" i="1"/>
  <c r="CH262" i="1"/>
  <c r="AN162" i="1"/>
  <c r="AV124" i="1"/>
  <c r="BD86" i="1"/>
  <c r="O148" i="1"/>
  <c r="BJ48" i="1"/>
  <c r="BR10" i="1"/>
  <c r="CI11" i="1"/>
  <c r="AX261" i="1"/>
  <c r="DH161" i="1"/>
  <c r="L124" i="1"/>
  <c r="T86" i="1"/>
  <c r="CI146" i="1"/>
  <c r="Z48" i="1"/>
  <c r="AH10" i="1"/>
  <c r="AA11" i="1"/>
  <c r="J272" i="1"/>
  <c r="CK47" i="1"/>
  <c r="CS9" i="1"/>
  <c r="W7" i="1"/>
  <c r="AI71" i="1"/>
  <c r="AN29" i="1"/>
  <c r="AI88" i="1"/>
  <c r="AP184" i="1"/>
  <c r="AW46" i="1"/>
  <c r="BA11" i="1"/>
  <c r="Z268" i="1"/>
  <c r="BG70" i="1"/>
  <c r="AQ39" i="1"/>
  <c r="CQ11" i="1"/>
  <c r="BB227" i="1"/>
  <c r="BG153" i="1"/>
  <c r="BO115" i="1"/>
  <c r="BW77" i="1"/>
  <c r="AR59" i="1"/>
  <c r="CV49" i="1"/>
  <c r="AV40" i="1"/>
  <c r="CZ30" i="1"/>
  <c r="AZ21" i="1"/>
  <c r="DD11" i="1"/>
  <c r="N293" i="1"/>
  <c r="BG106" i="1"/>
  <c r="AM48" i="1"/>
  <c r="BC20" i="1"/>
  <c r="CI61" i="1"/>
  <c r="AU157" i="1"/>
  <c r="BC91" i="1"/>
  <c r="CO62" i="1"/>
  <c r="AO53" i="1"/>
  <c r="CS43" i="1"/>
  <c r="AS34" i="1"/>
  <c r="CW24" i="1"/>
  <c r="AW15" i="1"/>
  <c r="DA5" i="1"/>
  <c r="AM117" i="1"/>
  <c r="CY50" i="1"/>
  <c r="AM23" i="1"/>
  <c r="CT290" i="1"/>
  <c r="AQ169" i="1"/>
  <c r="AY131" i="1"/>
  <c r="BG93" i="1"/>
  <c r="AN63" i="1"/>
  <c r="CR53" i="1"/>
  <c r="AR44" i="1"/>
  <c r="CV34" i="1"/>
  <c r="AV25" i="1"/>
  <c r="CZ15" i="1"/>
  <c r="AZ6" i="1"/>
  <c r="BK151" i="1"/>
  <c r="DC59" i="1"/>
  <c r="O32" i="1"/>
  <c r="BC42" i="1"/>
  <c r="S313" i="1"/>
  <c r="CQ117" i="1"/>
  <c r="CI71" i="1"/>
  <c r="CW57" i="1"/>
  <c r="BM129" i="1"/>
  <c r="BU91" i="1"/>
  <c r="J285" i="1"/>
  <c r="CX167" i="1"/>
  <c r="DF129" i="1"/>
  <c r="J92" i="1"/>
  <c r="BV282" i="1"/>
  <c r="Z190" i="1"/>
  <c r="U163" i="1"/>
  <c r="Y144" i="1"/>
  <c r="AC125" i="1"/>
  <c r="AG106" i="1"/>
  <c r="AK87" i="1"/>
  <c r="S182" i="1"/>
  <c r="Z261" i="1"/>
  <c r="AP185" i="1"/>
  <c r="DB161" i="1"/>
  <c r="DF142" i="1"/>
  <c r="CT131" i="1"/>
  <c r="AT122" i="1"/>
  <c r="CX112" i="1"/>
  <c r="AX103" i="1"/>
  <c r="DB93" i="1"/>
  <c r="BB84" i="1"/>
  <c r="DF74" i="1"/>
  <c r="DB388" i="1"/>
  <c r="BR289" i="1"/>
  <c r="BZ251" i="1"/>
  <c r="CH213" i="1"/>
  <c r="BI178" i="1"/>
  <c r="I169" i="1"/>
  <c r="BM159" i="1"/>
  <c r="M150" i="1"/>
  <c r="BQ140" i="1"/>
  <c r="Q131" i="1"/>
  <c r="BU121" i="1"/>
  <c r="U112" i="1"/>
  <c r="BY102" i="1"/>
  <c r="Y93" i="1"/>
  <c r="CC83" i="1"/>
  <c r="AC74" i="1"/>
  <c r="BK473" i="1"/>
  <c r="BZ292" i="1"/>
  <c r="CH254" i="1"/>
  <c r="CP216" i="1"/>
  <c r="AJ179" i="1"/>
  <c r="CN169" i="1"/>
  <c r="AN160" i="1"/>
  <c r="CR150" i="1"/>
  <c r="AR141" i="1"/>
  <c r="CV131" i="1"/>
  <c r="AV122" i="1"/>
  <c r="CZ112" i="1"/>
  <c r="AZ103" i="1"/>
  <c r="DD93" i="1"/>
  <c r="BD84" i="1"/>
  <c r="DH74" i="1"/>
  <c r="CU365" i="1"/>
  <c r="G178" i="1"/>
  <c r="O140" i="1"/>
  <c r="W102" i="1"/>
  <c r="BF65" i="1"/>
  <c r="F56" i="1"/>
  <c r="BJ46" i="1"/>
  <c r="J37" i="1"/>
  <c r="BN27" i="1"/>
  <c r="N18" i="1"/>
  <c r="BR8" i="1"/>
  <c r="AU175" i="1"/>
  <c r="AQ66" i="1"/>
  <c r="O36" i="1"/>
  <c r="CY5" i="1"/>
  <c r="AX194" i="1"/>
  <c r="AE145" i="1"/>
  <c r="AM107" i="1"/>
  <c r="AL407" i="1"/>
  <c r="CH290" i="1"/>
  <c r="CP252" i="1"/>
  <c r="CX214" i="1"/>
  <c r="CN178" i="1"/>
  <c r="AN169" i="1"/>
  <c r="CR159" i="1"/>
  <c r="AR150" i="1"/>
  <c r="CV140" i="1"/>
  <c r="AV131" i="1"/>
  <c r="CZ121" i="1"/>
  <c r="AZ112" i="1"/>
  <c r="DD102" i="1"/>
  <c r="BD93" i="1"/>
  <c r="DH83" i="1"/>
  <c r="BH74" i="1"/>
  <c r="K335" i="1"/>
  <c r="O176" i="1"/>
  <c r="W138" i="1"/>
  <c r="AE100" i="1"/>
  <c r="F65" i="1"/>
  <c r="BJ55" i="1"/>
  <c r="J46" i="1"/>
  <c r="BN36" i="1"/>
  <c r="N27" i="1"/>
  <c r="BR17" i="1"/>
  <c r="R8" i="1"/>
  <c r="BC169" i="1"/>
  <c r="CK69" i="1"/>
  <c r="BN309" i="1"/>
  <c r="BV271" i="1"/>
  <c r="CD233" i="1"/>
  <c r="CL195" i="1"/>
  <c r="H174" i="1"/>
  <c r="BL164" i="1"/>
  <c r="L155" i="1"/>
  <c r="BP145" i="1"/>
  <c r="P136" i="1"/>
  <c r="BT126" i="1"/>
  <c r="T117" i="1"/>
  <c r="BX107" i="1"/>
  <c r="X98" i="1"/>
  <c r="CB88" i="1"/>
  <c r="AB79" i="1"/>
  <c r="CF69" i="1"/>
  <c r="AT241" i="1"/>
  <c r="DG156" i="1"/>
  <c r="K119" i="1"/>
  <c r="S81" i="1"/>
  <c r="AD60" i="1"/>
  <c r="CH50" i="1"/>
  <c r="AH41" i="1"/>
  <c r="CL31" i="1"/>
  <c r="AL22" i="1"/>
  <c r="CP12" i="1"/>
  <c r="AP3" i="1"/>
  <c r="BS117" i="1"/>
  <c r="DC48" i="1"/>
  <c r="DC18" i="1"/>
  <c r="BR259" i="1"/>
  <c r="BA69" i="1"/>
  <c r="AD308" i="1"/>
  <c r="AL270" i="1"/>
  <c r="AT232" i="1"/>
  <c r="BB194" i="1"/>
  <c r="CB173" i="1"/>
  <c r="AB164" i="1"/>
  <c r="CF154" i="1"/>
  <c r="AF145" i="1"/>
  <c r="CJ135" i="1"/>
  <c r="AJ126" i="1"/>
  <c r="CN116" i="1"/>
  <c r="AN107" i="1"/>
  <c r="CR97" i="1"/>
  <c r="AR88" i="1"/>
  <c r="CV78" i="1"/>
  <c r="AV69" i="1"/>
  <c r="J236" i="1"/>
  <c r="BW155" i="1"/>
  <c r="CE117" i="1"/>
  <c r="CM79" i="1"/>
  <c r="CX59" i="1"/>
  <c r="AX50" i="1"/>
  <c r="DB40" i="1"/>
  <c r="BB31" i="1"/>
  <c r="DF21" i="1"/>
  <c r="BF12" i="1"/>
  <c r="F3" i="1"/>
  <c r="BK115" i="1"/>
  <c r="AQ48" i="1"/>
  <c r="AI18" i="1"/>
  <c r="BV256" i="1"/>
  <c r="CM160" i="1"/>
  <c r="CU122" i="1"/>
  <c r="BK19" i="1"/>
  <c r="CE130" i="1"/>
  <c r="S78" i="1"/>
  <c r="BE59" i="1"/>
  <c r="DI49" i="1"/>
  <c r="BI40" i="1"/>
  <c r="I31" i="1"/>
  <c r="BM21" i="1"/>
  <c r="M12" i="1"/>
  <c r="BV296" i="1"/>
  <c r="K78" i="1"/>
  <c r="AA41" i="1"/>
  <c r="BW13" i="1"/>
  <c r="BJ237" i="1"/>
  <c r="G156" i="1"/>
  <c r="O118" i="1"/>
  <c r="W80" i="1"/>
  <c r="DH59" i="1"/>
  <c r="BH50" i="1"/>
  <c r="H41" i="1"/>
  <c r="BL31" i="1"/>
  <c r="L22" i="1"/>
  <c r="BP12" i="1"/>
  <c r="CE361" i="1"/>
  <c r="CY113" i="1"/>
  <c r="AE50" i="1"/>
  <c r="AQ22" i="1"/>
  <c r="AQ50" i="1"/>
  <c r="BJ373" i="1"/>
  <c r="BS119" i="1"/>
  <c r="BW72" i="1"/>
  <c r="Q58" i="1"/>
  <c r="BU48" i="1"/>
  <c r="U39" i="1"/>
  <c r="BY29" i="1"/>
  <c r="Y20" i="1"/>
  <c r="CC10" i="1"/>
  <c r="AD233" i="1"/>
  <c r="CU64" i="1"/>
  <c r="W37" i="1"/>
  <c r="BS9" i="1"/>
  <c r="BR215" i="1"/>
  <c r="BK150" i="1"/>
  <c r="BS112" i="1"/>
  <c r="CA74" i="1"/>
  <c r="BT58" i="1"/>
  <c r="T49" i="1"/>
  <c r="BX39" i="1"/>
  <c r="X30" i="1"/>
  <c r="CB20" i="1"/>
  <c r="AB11" i="1"/>
  <c r="R258" i="1"/>
  <c r="K98" i="1"/>
  <c r="S46" i="1"/>
  <c r="AQ18" i="1"/>
  <c r="AQ52" i="1"/>
  <c r="BC151" i="1"/>
  <c r="BG88" i="1"/>
  <c r="M62" i="1"/>
  <c r="BQ52" i="1"/>
  <c r="Q43" i="1"/>
  <c r="BU33" i="1"/>
  <c r="U24" i="1"/>
  <c r="BY14" i="1"/>
  <c r="Y5" i="1"/>
  <c r="BO108" i="1"/>
  <c r="CI48" i="1"/>
  <c r="W21" i="1"/>
  <c r="F279" i="1"/>
  <c r="AU166" i="1"/>
  <c r="BC128" i="1"/>
  <c r="BK90" i="1"/>
  <c r="BP62" i="1"/>
  <c r="P53" i="1"/>
  <c r="BT43" i="1"/>
  <c r="T34" i="1"/>
  <c r="BX24" i="1"/>
  <c r="X15" i="1"/>
  <c r="CB5" i="1"/>
  <c r="CJ125" i="1"/>
  <c r="CR87" i="1"/>
  <c r="BO153" i="1"/>
  <c r="CX49" i="1"/>
  <c r="DF11" i="1"/>
  <c r="J287" i="1"/>
  <c r="AV168" i="1"/>
  <c r="BD130" i="1"/>
  <c r="BL92" i="1"/>
  <c r="AU172" i="1"/>
  <c r="BR54" i="1"/>
  <c r="BZ16" i="1"/>
  <c r="W31" i="1"/>
  <c r="CD285" i="1"/>
  <c r="L168" i="1"/>
  <c r="T130" i="1"/>
  <c r="AB92" i="1"/>
  <c r="K171" i="1"/>
  <c r="AH54" i="1"/>
  <c r="AP16" i="1"/>
  <c r="BK30" i="1"/>
  <c r="O75" i="1"/>
  <c r="CS53" i="1"/>
  <c r="DA15" i="1"/>
  <c r="CM24" i="1"/>
  <c r="BO95" i="1"/>
  <c r="AV35" i="1"/>
  <c r="CA155" i="1"/>
  <c r="DC50" i="1"/>
  <c r="BE52" i="1"/>
  <c r="BM14" i="1"/>
  <c r="CU20" i="1"/>
  <c r="O90" i="1"/>
  <c r="H34" i="1"/>
  <c r="AQ142" i="1"/>
  <c r="CX219" i="1"/>
  <c r="DE46" i="1"/>
  <c r="I9" i="1"/>
  <c r="CQ4" i="1"/>
  <c r="BK106" i="1"/>
  <c r="P57" i="1"/>
  <c r="T38" i="1"/>
  <c r="X19" i="1"/>
  <c r="CT214" i="1"/>
  <c r="O62" i="1"/>
  <c r="CI24" i="1"/>
  <c r="S48" i="1"/>
  <c r="CI123" i="1"/>
  <c r="CS64" i="1"/>
  <c r="AG52" i="1"/>
  <c r="CW41" i="1"/>
  <c r="AW32" i="1"/>
  <c r="DA22" i="1"/>
  <c r="BA13" i="1"/>
  <c r="DE3" i="1"/>
  <c r="AA94" i="1"/>
  <c r="AE45" i="1"/>
  <c r="BW17" i="1"/>
  <c r="N257" i="1"/>
  <c r="CY160" i="1"/>
  <c r="DG122" i="1"/>
  <c r="K85" i="1"/>
  <c r="AB61" i="1"/>
  <c r="CF51" i="1"/>
  <c r="AF42" i="1"/>
  <c r="CJ32" i="1"/>
  <c r="AJ23" i="1"/>
  <c r="CN13" i="1"/>
  <c r="AN4" i="1"/>
  <c r="CQ127" i="1"/>
  <c r="CQ53" i="1"/>
  <c r="CZ129" i="1"/>
  <c r="DH91" i="1"/>
  <c r="W170" i="1"/>
  <c r="J54" i="1"/>
  <c r="R16" i="1"/>
  <c r="BV303" i="1"/>
  <c r="BL172" i="1"/>
  <c r="BT134" i="1"/>
  <c r="CB96" i="1"/>
  <c r="BZ217" i="1"/>
  <c r="CH58" i="1"/>
  <c r="CP20" i="1"/>
  <c r="AM44" i="1"/>
  <c r="AL302" i="1"/>
  <c r="AB172" i="1"/>
  <c r="AJ134" i="1"/>
  <c r="AR96" i="1"/>
  <c r="AP212" i="1"/>
  <c r="AX58" i="1"/>
  <c r="BF20" i="1"/>
  <c r="CA43" i="1"/>
  <c r="DC116" i="1"/>
  <c r="DI57" i="1"/>
  <c r="M20" i="1"/>
  <c r="CQ36" i="1"/>
  <c r="W112" i="1"/>
  <c r="BL39" i="1"/>
  <c r="AT253" i="1"/>
  <c r="BO28" i="1"/>
  <c r="BU56" i="1"/>
  <c r="CC18" i="1"/>
  <c r="CY32" i="1"/>
  <c r="CA106" i="1"/>
  <c r="X38" i="1"/>
  <c r="CL188" i="1"/>
  <c r="CA33" i="1"/>
  <c r="Q51" i="1"/>
  <c r="Y13" i="1"/>
  <c r="CU16" i="1"/>
  <c r="AY115" i="1"/>
  <c r="AN59" i="1"/>
  <c r="AR40" i="1"/>
  <c r="AV21" i="1"/>
  <c r="AL291" i="1"/>
  <c r="BW66" i="1"/>
  <c r="S29" i="1"/>
  <c r="G65" i="1"/>
  <c r="AY134" i="1"/>
  <c r="BS67" i="1"/>
  <c r="BQ53" i="1"/>
  <c r="DA42" i="1"/>
  <c r="BA33" i="1"/>
  <c r="DE23" i="1"/>
  <c r="BE14" i="1"/>
  <c r="DI4" i="1"/>
  <c r="BW106" i="1"/>
  <c r="AI48" i="1"/>
  <c r="CA20" i="1"/>
  <c r="BZ273" i="1"/>
  <c r="K165" i="1"/>
  <c r="S127" i="1"/>
  <c r="AA89" i="1"/>
  <c r="AF62" i="1"/>
  <c r="CJ52" i="1"/>
  <c r="AJ43" i="1"/>
  <c r="CN33" i="1"/>
  <c r="AN24" i="1"/>
  <c r="CR14" i="1"/>
  <c r="AR5" i="1"/>
  <c r="CQ139" i="1"/>
  <c r="CI56" i="1"/>
  <c r="L134" i="1"/>
  <c r="T96" i="1"/>
  <c r="CL208" i="1"/>
  <c r="Z58" i="1"/>
  <c r="AH20" i="1"/>
  <c r="CA344" i="1"/>
  <c r="CB176" i="1"/>
  <c r="CJ138" i="1"/>
  <c r="CR100" i="1"/>
  <c r="J284" i="1"/>
  <c r="CX62" i="1"/>
  <c r="DF24" i="1"/>
  <c r="BC57" i="1"/>
  <c r="AQ339" i="1"/>
  <c r="AR176" i="1"/>
  <c r="AZ138" i="1"/>
  <c r="BH100" i="1"/>
  <c r="CD278" i="1"/>
  <c r="BN62" i="1"/>
  <c r="BV24" i="1"/>
  <c r="CU56" i="1"/>
  <c r="BK133" i="1"/>
  <c r="U62" i="1"/>
  <c r="AC24" i="1"/>
  <c r="DG48" i="1"/>
  <c r="CI128" i="1"/>
  <c r="CB43" i="1"/>
  <c r="CJ5" i="1"/>
  <c r="BC14" i="1"/>
  <c r="CK60" i="1"/>
  <c r="CS22" i="1"/>
  <c r="K45" i="1"/>
  <c r="AI123" i="1"/>
  <c r="AN42" i="1"/>
  <c r="AV4" i="1"/>
  <c r="CY12" i="1"/>
  <c r="AG55" i="1"/>
  <c r="AO17" i="1"/>
  <c r="DC28" i="1"/>
  <c r="S123" i="1"/>
  <c r="AF61" i="1"/>
  <c r="AJ42" i="1"/>
  <c r="AN23" i="1"/>
  <c r="AR4" i="1"/>
  <c r="AA82" i="1"/>
  <c r="DG32" i="1"/>
  <c r="BK12" i="1"/>
  <c r="O145" i="1"/>
  <c r="DC72" i="1"/>
  <c r="M55" i="1"/>
  <c r="DE43" i="1"/>
  <c r="BE34" i="1"/>
  <c r="DI24" i="1"/>
  <c r="BI15" i="1"/>
  <c r="I6" i="1"/>
  <c r="BW118" i="1"/>
  <c r="AI51" i="1"/>
  <c r="BW23" i="1"/>
  <c r="M149" i="1"/>
  <c r="U111" i="1"/>
  <c r="BO190" i="1"/>
  <c r="CX204" i="1"/>
  <c r="CT147" i="1"/>
  <c r="AV244" i="1"/>
  <c r="AA244" i="1"/>
  <c r="AJ278" i="1"/>
  <c r="AZ202" i="1"/>
  <c r="AE278" i="1"/>
  <c r="CQ202" i="1"/>
  <c r="CD255" i="1"/>
  <c r="AH152" i="1"/>
  <c r="AP114" i="1"/>
  <c r="AX76" i="1"/>
  <c r="BJ219" i="1"/>
  <c r="BI151" i="1"/>
  <c r="BQ113" i="1"/>
  <c r="BY75" i="1"/>
  <c r="BZ214" i="1"/>
  <c r="AL150" i="1"/>
  <c r="AT112" i="1"/>
  <c r="BB74" i="1"/>
  <c r="AH212" i="1"/>
  <c r="CC149" i="1"/>
  <c r="CF281" i="1"/>
  <c r="BK281" i="1"/>
  <c r="P297" i="1"/>
  <c r="AF221" i="1"/>
  <c r="K297" i="1"/>
  <c r="AA221" i="1"/>
  <c r="BF305" i="1"/>
  <c r="BR161" i="1"/>
  <c r="BZ123" i="1"/>
  <c r="CH85" i="1"/>
  <c r="CT256" i="1"/>
  <c r="CS160" i="1"/>
  <c r="DA122" i="1"/>
  <c r="DI84" i="1"/>
  <c r="F252" i="1"/>
  <c r="BV159" i="1"/>
  <c r="CD121" i="1"/>
  <c r="CL83" i="1"/>
  <c r="BR249" i="1"/>
  <c r="I159" i="1"/>
  <c r="Q121" i="1"/>
  <c r="Y83" i="1"/>
  <c r="AH251" i="1"/>
  <c r="BB159" i="1"/>
  <c r="BJ121" i="1"/>
  <c r="BR83" i="1"/>
  <c r="CA216" i="1"/>
  <c r="BX207" i="1"/>
  <c r="BC207" i="1"/>
  <c r="CZ259" i="1"/>
  <c r="L184" i="1"/>
  <c r="CU259" i="1"/>
  <c r="BK190" i="1"/>
  <c r="R207" i="1"/>
  <c r="N143" i="1"/>
  <c r="V105" i="1"/>
  <c r="AD67" i="1"/>
  <c r="CL182" i="1"/>
  <c r="AO142" i="1"/>
  <c r="AW104" i="1"/>
  <c r="BW179" i="1"/>
  <c r="J179" i="1"/>
  <c r="R141" i="1"/>
  <c r="Z103" i="1"/>
  <c r="Z384" i="1"/>
  <c r="BA178" i="1"/>
  <c r="BI140" i="1"/>
  <c r="BQ102" i="1"/>
  <c r="AM459" i="1"/>
  <c r="CT178" i="1"/>
  <c r="DB140" i="1"/>
  <c r="F103" i="1"/>
  <c r="AP372" i="1"/>
  <c r="AG178" i="1"/>
  <c r="AO140" i="1"/>
  <c r="AW102" i="1"/>
  <c r="AM350" i="1"/>
  <c r="J177" i="1"/>
  <c r="DE128" i="1"/>
  <c r="AT129" i="1"/>
  <c r="DI162" i="1"/>
  <c r="U87" i="1"/>
  <c r="CL161" i="1"/>
  <c r="CH112" i="1"/>
  <c r="CP74" i="1"/>
  <c r="V213" i="1"/>
  <c r="DA149" i="1"/>
  <c r="BN70" i="1"/>
  <c r="CR233" i="1"/>
  <c r="CT168" i="1"/>
  <c r="AC167" i="1"/>
  <c r="F166" i="1"/>
  <c r="AW165" i="1"/>
  <c r="CP165" i="1"/>
  <c r="AC165" i="1"/>
  <c r="F164" i="1"/>
  <c r="F308" i="1"/>
  <c r="CO174" i="1"/>
  <c r="CG84" i="1"/>
  <c r="AR161" i="1"/>
  <c r="BH85" i="1"/>
  <c r="BN47" i="1"/>
  <c r="AI9" i="1"/>
  <c r="R181" i="1"/>
  <c r="H117" i="1"/>
  <c r="P79" i="1"/>
  <c r="BS118" i="1"/>
  <c r="V41" i="1"/>
  <c r="AD3" i="1"/>
  <c r="N252" i="1"/>
  <c r="BX159" i="1"/>
  <c r="CF121" i="1"/>
  <c r="CN83" i="1"/>
  <c r="AY137" i="1"/>
  <c r="CT45" i="1"/>
  <c r="DB7" i="1"/>
  <c r="AU3" i="1"/>
  <c r="CH250" i="1"/>
  <c r="AN159" i="1"/>
  <c r="AV121" i="1"/>
  <c r="BD83" i="1"/>
  <c r="O136" i="1"/>
  <c r="BJ45" i="1"/>
  <c r="BR7" i="1"/>
  <c r="CE442" i="1"/>
  <c r="BC167" i="1"/>
  <c r="Q45" i="1"/>
  <c r="Y7" i="1"/>
  <c r="F311" i="1"/>
  <c r="BP64" i="1"/>
  <c r="BX26" i="1"/>
  <c r="BS63" i="1"/>
  <c r="AQ156" i="1"/>
  <c r="CG43" i="1"/>
  <c r="CO5" i="1"/>
  <c r="N289" i="1"/>
  <c r="AB63" i="1"/>
  <c r="AJ25" i="1"/>
  <c r="BS59" i="1"/>
  <c r="AQ112" i="1"/>
  <c r="AC38" i="1"/>
  <c r="AT189" i="1"/>
  <c r="CL200" i="1"/>
  <c r="BB171" i="1"/>
  <c r="AL197" i="1"/>
  <c r="I108" i="1"/>
  <c r="BB192" i="1"/>
  <c r="AH123" i="1"/>
  <c r="AP85" i="1"/>
  <c r="AD255" i="1"/>
  <c r="BA160" i="1"/>
  <c r="BI122" i="1"/>
  <c r="BQ84" i="1"/>
  <c r="AL258" i="1"/>
  <c r="AB161" i="1"/>
  <c r="AJ123" i="1"/>
  <c r="AR85" i="1"/>
  <c r="BW143" i="1"/>
  <c r="AX47" i="1"/>
  <c r="BF9" i="1"/>
  <c r="CM8" i="1"/>
  <c r="DE65" i="1"/>
  <c r="AX237" i="1"/>
  <c r="DD174" i="1"/>
  <c r="DH155" i="1"/>
  <c r="CS89" i="1"/>
  <c r="R166" i="1"/>
  <c r="AH90" i="1"/>
  <c r="AD187" i="1"/>
  <c r="BA143" i="1"/>
  <c r="BI105" i="1"/>
  <c r="S181" i="1"/>
  <c r="AT182" i="1"/>
  <c r="AD142" i="1"/>
  <c r="DB121" i="1"/>
  <c r="DF102" i="1"/>
  <c r="F84" i="1"/>
  <c r="CI366" i="1"/>
  <c r="CX249" i="1"/>
  <c r="M178" i="1"/>
  <c r="Q159" i="1"/>
  <c r="U140" i="1"/>
  <c r="Y121" i="1"/>
  <c r="AC102" i="1"/>
  <c r="AG83" i="1"/>
  <c r="BZ409" i="1"/>
  <c r="DF252" i="1"/>
  <c r="CR178" i="1"/>
  <c r="CV159" i="1"/>
  <c r="CZ140" i="1"/>
  <c r="DD121" i="1"/>
  <c r="DH102" i="1"/>
  <c r="H84" i="1"/>
  <c r="AY337" i="1"/>
  <c r="AM138" i="1"/>
  <c r="J65" i="1"/>
  <c r="N46" i="1"/>
  <c r="R27" i="1"/>
  <c r="V8" i="1"/>
  <c r="CA64" i="1"/>
  <c r="BK4" i="1"/>
  <c r="BC143" i="1"/>
  <c r="CT378" i="1"/>
  <c r="J251" i="1"/>
  <c r="AR178" i="1"/>
  <c r="AV159" i="1"/>
  <c r="AZ140" i="1"/>
  <c r="AB126" i="1"/>
  <c r="CF116" i="1"/>
  <c r="AF107" i="1"/>
  <c r="CJ97" i="1"/>
  <c r="AJ88" i="1"/>
  <c r="CN78" i="1"/>
  <c r="AN69" i="1"/>
  <c r="CT234" i="1"/>
  <c r="AQ155" i="1"/>
  <c r="AY117" i="1"/>
  <c r="BG79" i="1"/>
  <c r="CP59" i="1"/>
  <c r="AP50" i="1"/>
  <c r="CT40" i="1"/>
  <c r="AT31" i="1"/>
  <c r="CX21" i="1"/>
  <c r="AX12" i="1"/>
  <c r="BY3" i="1"/>
  <c r="BG114" i="1"/>
  <c r="BF376" i="1"/>
  <c r="CP288" i="1"/>
  <c r="CX250" i="1"/>
  <c r="DF212" i="1"/>
  <c r="AN178" i="1"/>
  <c r="CR168" i="1"/>
  <c r="AR159" i="1"/>
  <c r="CV149" i="1"/>
  <c r="AV140" i="1"/>
  <c r="CZ130" i="1"/>
  <c r="AZ121" i="1"/>
  <c r="DD111" i="1"/>
  <c r="BD102" i="1"/>
  <c r="DH92" i="1"/>
  <c r="BH83" i="1"/>
  <c r="H74" i="1"/>
  <c r="R310" i="1"/>
  <c r="W174" i="1"/>
  <c r="AE136" i="1"/>
  <c r="AM98" i="1"/>
  <c r="BJ64" i="1"/>
  <c r="J55" i="1"/>
  <c r="BN45" i="1"/>
  <c r="N36" i="1"/>
  <c r="BR26" i="1"/>
  <c r="R17" i="1"/>
  <c r="BV7" i="1"/>
  <c r="CA163" i="1"/>
  <c r="BO62" i="1"/>
  <c r="BS32" i="1"/>
  <c r="DF401" i="1"/>
  <c r="CE178" i="1"/>
  <c r="AY365" i="1"/>
  <c r="BF287" i="1"/>
  <c r="BN249" i="1"/>
  <c r="BV211" i="1"/>
  <c r="DH177" i="1"/>
  <c r="BH168" i="1"/>
  <c r="H159" i="1"/>
  <c r="BL149" i="1"/>
  <c r="L140" i="1"/>
  <c r="BP130" i="1"/>
  <c r="P121" i="1"/>
  <c r="BT111" i="1"/>
  <c r="T102" i="1"/>
  <c r="BX92" i="1"/>
  <c r="X83" i="1"/>
  <c r="CB73" i="1"/>
  <c r="CL304" i="1"/>
  <c r="CQ172" i="1"/>
  <c r="CY134" i="1"/>
  <c r="DG96" i="1"/>
  <c r="Z64" i="1"/>
  <c r="CD54" i="1"/>
  <c r="AD45" i="1"/>
  <c r="CH35" i="1"/>
  <c r="AH26" i="1"/>
  <c r="CL16" i="1"/>
  <c r="AL7" i="1"/>
  <c r="K162" i="1"/>
  <c r="DG61" i="1"/>
  <c r="G32" i="1"/>
  <c r="AI365" i="1"/>
  <c r="DG177" i="1"/>
  <c r="K140" i="1"/>
  <c r="W97" i="1"/>
  <c r="O165" i="1"/>
  <c r="AM95" i="1"/>
  <c r="CK63" i="1"/>
  <c r="AK54" i="1"/>
  <c r="CO44" i="1"/>
  <c r="AO35" i="1"/>
  <c r="CS25" i="1"/>
  <c r="AS16" i="1"/>
  <c r="CW6" i="1"/>
  <c r="G129" i="1"/>
  <c r="CA53" i="1"/>
  <c r="S26" i="1"/>
  <c r="AH306" i="1"/>
  <c r="AA173" i="1"/>
  <c r="AI135" i="1"/>
  <c r="AQ97" i="1"/>
  <c r="AJ64" i="1"/>
  <c r="CN54" i="1"/>
  <c r="AN45" i="1"/>
  <c r="CR35" i="1"/>
  <c r="AR26" i="1"/>
  <c r="CV16" i="1"/>
  <c r="AV7" i="1"/>
  <c r="O159" i="1"/>
  <c r="CI62" i="1"/>
  <c r="DG34" i="1"/>
  <c r="AA7" i="1"/>
  <c r="BS56" i="1"/>
  <c r="DG153" i="1"/>
  <c r="CQ89" i="1"/>
  <c r="AW62" i="1"/>
  <c r="DA52" i="1"/>
  <c r="BA43" i="1"/>
  <c r="DE33" i="1"/>
  <c r="BE24" i="1"/>
  <c r="DI14" i="1"/>
  <c r="BV189" i="1"/>
  <c r="J144" i="1"/>
  <c r="R106" i="1"/>
  <c r="Z68" i="1"/>
  <c r="CF297" i="1"/>
  <c r="BK297" i="1"/>
  <c r="DD304" i="1"/>
  <c r="P229" i="1"/>
  <c r="CY304" i="1"/>
  <c r="K229" i="1"/>
  <c r="CX391" i="1"/>
  <c r="CH165" i="1"/>
  <c r="BZ127" i="1"/>
  <c r="CH89" i="1"/>
  <c r="CT272" i="1"/>
  <c r="CS164" i="1"/>
  <c r="DA126" i="1"/>
  <c r="DI88" i="1"/>
  <c r="F268" i="1"/>
  <c r="BV163" i="1"/>
  <c r="CD125" i="1"/>
  <c r="CL87" i="1"/>
  <c r="BR265" i="1"/>
  <c r="I163" i="1"/>
  <c r="Q125" i="1"/>
  <c r="Y87" i="1"/>
  <c r="AH267" i="1"/>
  <c r="BB163" i="1"/>
  <c r="BJ125" i="1"/>
  <c r="BR87" i="1"/>
  <c r="CT264" i="1"/>
  <c r="CS162" i="1"/>
  <c r="DA124" i="1"/>
  <c r="DI86" i="1"/>
  <c r="F260" i="1"/>
  <c r="BV161" i="1"/>
  <c r="DC182" i="1"/>
  <c r="CH67" i="1"/>
  <c r="Y132" i="1"/>
  <c r="J289" i="1"/>
  <c r="AH135" i="1"/>
  <c r="AP97" i="1"/>
  <c r="AD303" i="1"/>
  <c r="BA172" i="1"/>
  <c r="BA140" i="1"/>
  <c r="BE121" i="1"/>
  <c r="BI102" i="1"/>
  <c r="BM83" i="1"/>
  <c r="BS435" i="1"/>
  <c r="V254" i="1"/>
  <c r="T179" i="1"/>
  <c r="X160" i="1"/>
  <c r="AB141" i="1"/>
  <c r="AF122" i="1"/>
  <c r="AJ103" i="1"/>
  <c r="AN84" i="1"/>
  <c r="AU356" i="1"/>
  <c r="BG139" i="1"/>
  <c r="AP65" i="1"/>
  <c r="AT46" i="1"/>
  <c r="AX27" i="1"/>
  <c r="BB8" i="1"/>
  <c r="BO65" i="1"/>
  <c r="BC5" i="1"/>
  <c r="BW144" i="1"/>
  <c r="CP397" i="1"/>
  <c r="AD252" i="1"/>
  <c r="BX178" i="1"/>
  <c r="CB159" i="1"/>
  <c r="CF140" i="1"/>
  <c r="CZ125" i="1"/>
  <c r="AZ116" i="1"/>
  <c r="DD106" i="1"/>
  <c r="BD97" i="1"/>
  <c r="DH87" i="1"/>
  <c r="BH78" i="1"/>
  <c r="H69" i="1"/>
  <c r="R230" i="1"/>
  <c r="W154" i="1"/>
  <c r="AE116" i="1"/>
  <c r="AM78" i="1"/>
  <c r="BJ59" i="1"/>
  <c r="J50" i="1"/>
  <c r="BN40" i="1"/>
  <c r="N31" i="1"/>
  <c r="BR21" i="1"/>
  <c r="R12" i="1"/>
  <c r="Q3" i="1"/>
  <c r="DC110" i="1"/>
  <c r="G366" i="1"/>
  <c r="BV287" i="1"/>
  <c r="CD249" i="1"/>
  <c r="CL211" i="1"/>
  <c r="H178" i="1"/>
  <c r="BL168" i="1"/>
  <c r="L159" i="1"/>
  <c r="BP149" i="1"/>
  <c r="P140" i="1"/>
  <c r="BT130" i="1"/>
  <c r="T121" i="1"/>
  <c r="BX111" i="1"/>
  <c r="X102" i="1"/>
  <c r="CB92" i="1"/>
  <c r="AB83" i="1"/>
  <c r="CF73" i="1"/>
  <c r="AT305" i="1"/>
  <c r="DG172" i="1"/>
  <c r="K135" i="1"/>
  <c r="S97" i="1"/>
  <c r="AD64" i="1"/>
  <c r="CH54" i="1"/>
  <c r="AH45" i="1"/>
  <c r="CL35" i="1"/>
  <c r="AL26" i="1"/>
  <c r="CP16" i="1"/>
  <c r="AP7" i="1"/>
  <c r="W161" i="1"/>
  <c r="BW61" i="1"/>
  <c r="BW31" i="1"/>
  <c r="W358" i="1"/>
  <c r="BK177" i="1"/>
  <c r="CA360" i="1"/>
  <c r="AL286" i="1"/>
  <c r="AT248" i="1"/>
  <c r="BB210" i="1"/>
  <c r="CB177" i="1"/>
  <c r="AB168" i="1"/>
  <c r="CF158" i="1"/>
  <c r="AF149" i="1"/>
  <c r="CJ139" i="1"/>
  <c r="AJ130" i="1"/>
  <c r="CN120" i="1"/>
  <c r="AN111" i="1"/>
  <c r="CR101" i="1"/>
  <c r="AR92" i="1"/>
  <c r="CV82" i="1"/>
  <c r="AV73" i="1"/>
  <c r="J300" i="1"/>
  <c r="BW171" i="1"/>
  <c r="CE133" i="1"/>
  <c r="CM95" i="1"/>
  <c r="CX63" i="1"/>
  <c r="AX54" i="1"/>
  <c r="DB44" i="1"/>
  <c r="BB35" i="1"/>
  <c r="DF25" i="1"/>
  <c r="BF16" i="1"/>
  <c r="F7" i="1"/>
  <c r="BK159" i="1"/>
  <c r="O61" i="1"/>
  <c r="K31" i="1"/>
  <c r="AM346" i="1"/>
  <c r="CM176" i="1"/>
  <c r="CU138" i="1"/>
  <c r="BG82" i="1"/>
  <c r="CE162" i="1"/>
  <c r="S94" i="1"/>
  <c r="BE63" i="1"/>
  <c r="DI53" i="1"/>
  <c r="BI44" i="1"/>
  <c r="I35" i="1"/>
  <c r="BM25" i="1"/>
  <c r="M16" i="1"/>
  <c r="BQ6" i="1"/>
  <c r="BC125" i="1"/>
  <c r="CU52" i="1"/>
  <c r="AE25" i="1"/>
  <c r="BJ301" i="1"/>
  <c r="G172" i="1"/>
  <c r="O134" i="1"/>
  <c r="W96" i="1"/>
  <c r="DH63" i="1"/>
  <c r="BH54" i="1"/>
  <c r="H45" i="1"/>
  <c r="BL35" i="1"/>
  <c r="L26" i="1"/>
  <c r="BP16" i="1"/>
  <c r="P7" i="1"/>
  <c r="CU156" i="1"/>
  <c r="CY61" i="1"/>
  <c r="K34" i="1"/>
  <c r="AQ6" i="1"/>
  <c r="CM52" i="1"/>
  <c r="BS151" i="1"/>
  <c r="BW88" i="1"/>
  <c r="Q62" i="1"/>
  <c r="BU52" i="1"/>
  <c r="U43" i="1"/>
  <c r="BY33" i="1"/>
  <c r="Y24" i="1"/>
  <c r="CC14" i="1"/>
  <c r="AC5" i="1"/>
  <c r="G109" i="1"/>
  <c r="CU48" i="1"/>
  <c r="AI21" i="1"/>
  <c r="BR279" i="1"/>
  <c r="BK166" i="1"/>
  <c r="BS128" i="1"/>
  <c r="CA90" i="1"/>
  <c r="BT62" i="1"/>
  <c r="T53" i="1"/>
  <c r="BX43" i="1"/>
  <c r="X34" i="1"/>
  <c r="CB24" i="1"/>
  <c r="AB15" i="1"/>
  <c r="CF5" i="1"/>
  <c r="AI144" i="1"/>
  <c r="CY57" i="1"/>
  <c r="S30" i="1"/>
  <c r="AE27" i="1"/>
  <c r="AT229" i="1"/>
  <c r="BS107" i="1"/>
  <c r="BO66" i="1"/>
  <c r="BQ56" i="1"/>
  <c r="Q47" i="1"/>
  <c r="BU37" i="1"/>
  <c r="U28" i="1"/>
  <c r="BY18" i="1"/>
  <c r="Y9" i="1"/>
  <c r="CM174" i="1"/>
  <c r="AU60" i="1"/>
  <c r="CM32" i="1"/>
  <c r="AI5" i="1"/>
  <c r="AL191" i="1"/>
  <c r="CG130" i="1"/>
  <c r="CO92" i="1"/>
  <c r="CL289" i="1"/>
  <c r="N169" i="1"/>
  <c r="V131" i="1"/>
  <c r="AD93" i="1"/>
  <c r="AT287" i="1"/>
  <c r="BN192" i="1"/>
  <c r="CG163" i="1"/>
  <c r="CK144" i="1"/>
  <c r="CO125" i="1"/>
  <c r="CS106" i="1"/>
  <c r="CW87" i="1"/>
  <c r="CY182" i="1"/>
  <c r="BN263" i="1"/>
  <c r="CD187" i="1"/>
  <c r="BJ162" i="1"/>
  <c r="BN143" i="1"/>
  <c r="V132" i="1"/>
  <c r="BZ122" i="1"/>
  <c r="Z113" i="1"/>
  <c r="CD103" i="1"/>
  <c r="AD94" i="1"/>
  <c r="CH84" i="1"/>
  <c r="AH75" i="1"/>
  <c r="CX407" i="1"/>
  <c r="CL290" i="1"/>
  <c r="CT252" i="1"/>
  <c r="DB214" i="1"/>
  <c r="CO178" i="1"/>
  <c r="AO169" i="1"/>
  <c r="CS159" i="1"/>
  <c r="AS150" i="1"/>
  <c r="CW140" i="1"/>
  <c r="AW131" i="1"/>
  <c r="DA121" i="1"/>
  <c r="BA112" i="1"/>
  <c r="DE102" i="1"/>
  <c r="BE93" i="1"/>
  <c r="DI83" i="1"/>
  <c r="BI74" i="1"/>
  <c r="CS65" i="1"/>
  <c r="CT293" i="1"/>
  <c r="DB255" i="1"/>
  <c r="F218" i="1"/>
  <c r="N180" i="1"/>
  <c r="P170" i="1"/>
  <c r="BT160" i="1"/>
  <c r="T151" i="1"/>
  <c r="BX141" i="1"/>
  <c r="X132" i="1"/>
  <c r="CB122" i="1"/>
  <c r="AB113" i="1"/>
  <c r="CF103" i="1"/>
  <c r="AF94" i="1"/>
  <c r="CJ84" i="1"/>
  <c r="AJ75" i="1"/>
  <c r="AA452" i="1"/>
  <c r="AA179" i="1"/>
  <c r="AI141" i="1"/>
  <c r="AQ103" i="1"/>
  <c r="CQ65" i="1"/>
  <c r="AL56" i="1"/>
  <c r="CP46" i="1"/>
  <c r="AP37" i="1"/>
  <c r="CT27" i="1"/>
  <c r="AT18" i="1"/>
  <c r="CX8" i="1"/>
  <c r="O179" i="1"/>
  <c r="BS69" i="1"/>
  <c r="G37" i="1"/>
  <c r="CU6" i="1"/>
  <c r="V199" i="1"/>
  <c r="AY146" i="1"/>
  <c r="BG108" i="1"/>
  <c r="CG428" i="1"/>
  <c r="DB291" i="1"/>
  <c r="F254" i="1"/>
  <c r="N216" i="1"/>
  <c r="P179" i="1"/>
  <c r="BT169" i="1"/>
  <c r="T160" i="1"/>
  <c r="BX150" i="1"/>
  <c r="BA106" i="1"/>
  <c r="BK184" i="1"/>
  <c r="BR192" i="1"/>
  <c r="CL144" i="1"/>
  <c r="CT106" i="1"/>
  <c r="DB68" i="1"/>
  <c r="AX220" i="1"/>
  <c r="CC170" i="1"/>
  <c r="CG151" i="1"/>
  <c r="CK132" i="1"/>
  <c r="CO113" i="1"/>
  <c r="CS94" i="1"/>
  <c r="CW75" i="1"/>
  <c r="AX291" i="1"/>
  <c r="BN215" i="1"/>
  <c r="BF169" i="1"/>
  <c r="BJ150" i="1"/>
  <c r="BN135" i="1"/>
  <c r="N126" i="1"/>
  <c r="BR116" i="1"/>
  <c r="R107" i="1"/>
  <c r="BV97" i="1"/>
  <c r="V88" i="1"/>
  <c r="BZ78" i="1"/>
  <c r="Z69" i="1"/>
  <c r="AX304" i="1"/>
  <c r="BF266" i="1"/>
  <c r="BN228" i="1"/>
  <c r="BV190" i="1"/>
  <c r="CG172" i="1"/>
  <c r="AG163" i="1"/>
  <c r="CK153" i="1"/>
  <c r="AK144" i="1"/>
  <c r="CO134" i="1"/>
  <c r="AO125" i="1"/>
  <c r="CS115" i="1"/>
  <c r="AS106" i="1"/>
  <c r="CW96" i="1"/>
  <c r="AW87" i="1"/>
  <c r="DA77" i="1"/>
  <c r="AG69" i="1"/>
  <c r="BF307" i="1"/>
  <c r="BN269" i="1"/>
  <c r="BV231" i="1"/>
  <c r="CD193" i="1"/>
  <c r="BH173" i="1"/>
  <c r="H164" i="1"/>
  <c r="BL154" i="1"/>
  <c r="L145" i="1"/>
  <c r="BP135" i="1"/>
  <c r="P126" i="1"/>
  <c r="BT116" i="1"/>
  <c r="T107" i="1"/>
  <c r="BX97" i="1"/>
  <c r="X88" i="1"/>
  <c r="CB78" i="1"/>
  <c r="AB69" i="1"/>
  <c r="N233" i="1"/>
  <c r="CY154" i="1"/>
  <c r="DG116" i="1"/>
  <c r="K79" i="1"/>
  <c r="CD59" i="1"/>
  <c r="AD50" i="1"/>
  <c r="CH40" i="1"/>
  <c r="AH31" i="1"/>
  <c r="CL21" i="1"/>
  <c r="AL12" i="1"/>
  <c r="BA3" i="1"/>
  <c r="CU112" i="1"/>
  <c r="CE47" i="1"/>
  <c r="CE17" i="1"/>
  <c r="BZ253" i="1"/>
  <c r="K160" i="1"/>
  <c r="S122" i="1"/>
  <c r="CK68" i="1"/>
  <c r="BN305" i="1"/>
  <c r="BV267" i="1"/>
  <c r="CD229" i="1"/>
  <c r="CL191" i="1"/>
  <c r="H173" i="1"/>
  <c r="BL163" i="1"/>
  <c r="L154" i="1"/>
  <c r="BP144" i="1"/>
  <c r="P135" i="1"/>
  <c r="BT125" i="1"/>
  <c r="T116" i="1"/>
  <c r="BX106" i="1"/>
  <c r="X97" i="1"/>
  <c r="CB87" i="1"/>
  <c r="AB78" i="1"/>
  <c r="CF68" i="1"/>
  <c r="AT225" i="1"/>
  <c r="DG152" i="1"/>
  <c r="K115" i="1"/>
  <c r="S77" i="1"/>
  <c r="AD59" i="1"/>
  <c r="CH49" i="1"/>
  <c r="AH40" i="1"/>
  <c r="CL30" i="1"/>
  <c r="AL21" i="1"/>
  <c r="CP11" i="1"/>
  <c r="DG356" i="1"/>
  <c r="DC106" i="1"/>
  <c r="AI361" i="1"/>
  <c r="BB286" i="1"/>
  <c r="BJ248" i="1"/>
  <c r="BR210" i="1"/>
  <c r="CF177" i="1"/>
  <c r="AF168" i="1"/>
  <c r="CJ158" i="1"/>
  <c r="AJ149" i="1"/>
  <c r="CN139" i="1"/>
  <c r="AN130" i="1"/>
  <c r="CR120" i="1"/>
  <c r="AR111" i="1"/>
  <c r="CV101" i="1"/>
  <c r="AV92" i="1"/>
  <c r="CZ82" i="1"/>
  <c r="AZ73" i="1"/>
  <c r="BV300" i="1"/>
  <c r="CM171" i="1"/>
  <c r="CU133" i="1"/>
  <c r="DC95" i="1"/>
  <c r="DB63" i="1"/>
  <c r="BB54" i="1"/>
  <c r="DF44" i="1"/>
  <c r="BF35" i="1"/>
  <c r="F26" i="1"/>
  <c r="BJ16" i="1"/>
  <c r="J7" i="1"/>
  <c r="BG158" i="1"/>
  <c r="CA60" i="1"/>
  <c r="BW30" i="1"/>
  <c r="AA339" i="1"/>
  <c r="AQ176" i="1"/>
  <c r="DC355" i="1"/>
  <c r="R285" i="1"/>
  <c r="Z247" i="1"/>
  <c r="AH209" i="1"/>
  <c r="AV177" i="1"/>
  <c r="CZ167" i="1"/>
  <c r="AZ158" i="1"/>
  <c r="DD148" i="1"/>
  <c r="BD139" i="1"/>
  <c r="DH129" i="1"/>
  <c r="BH120" i="1"/>
  <c r="H111" i="1"/>
  <c r="BL101" i="1"/>
  <c r="L92" i="1"/>
  <c r="BP82" i="1"/>
  <c r="P73" i="1"/>
  <c r="AL295" i="1"/>
  <c r="BC170" i="1"/>
  <c r="BK132" i="1"/>
  <c r="BS94" i="1"/>
  <c r="BR63" i="1"/>
  <c r="R54" i="1"/>
  <c r="BV44" i="1"/>
  <c r="V35" i="1"/>
  <c r="BZ25" i="1"/>
  <c r="Z16" i="1"/>
  <c r="CD6" i="1"/>
  <c r="G157" i="1"/>
  <c r="O60" i="1"/>
  <c r="K30" i="1"/>
  <c r="AQ327" i="1"/>
  <c r="BS175" i="1"/>
  <c r="CA137" i="1"/>
  <c r="BK67" i="1"/>
  <c r="AQ160" i="1"/>
  <c r="DC92" i="1"/>
  <c r="Y63" i="1"/>
  <c r="CC53" i="1"/>
  <c r="AC44" i="1"/>
  <c r="CG34" i="1"/>
  <c r="AG25" i="1"/>
  <c r="CK15" i="1"/>
  <c r="AK6" i="1"/>
  <c r="CI121" i="1"/>
  <c r="G52" i="1"/>
  <c r="AU24" i="1"/>
  <c r="CL296" i="1"/>
  <c r="CQ170" i="1"/>
  <c r="CY132" i="1"/>
  <c r="DG94" i="1"/>
  <c r="CB63" i="1"/>
  <c r="AB54" i="1"/>
  <c r="CF44" i="1"/>
  <c r="AF35" i="1"/>
  <c r="CJ25" i="1"/>
  <c r="AJ16" i="1"/>
  <c r="CN6" i="1"/>
  <c r="BG154" i="1"/>
  <c r="K61" i="1"/>
  <c r="W33" i="1"/>
  <c r="AY5" i="1"/>
  <c r="K49" i="1"/>
  <c r="AE149" i="1"/>
  <c r="BC87" i="1"/>
  <c r="CO61" i="1"/>
  <c r="AO52" i="1"/>
  <c r="CS42" i="1"/>
  <c r="AS33" i="1"/>
  <c r="CW23" i="1"/>
  <c r="AW14" i="1"/>
  <c r="R170" i="1"/>
  <c r="Z132" i="1"/>
  <c r="AH94" i="1"/>
  <c r="BJ291" i="1"/>
  <c r="AN250" i="1"/>
  <c r="S250" i="1"/>
  <c r="AF281" i="1"/>
  <c r="AV205" i="1"/>
  <c r="AA281" i="1"/>
  <c r="AQ205" i="1"/>
  <c r="F264" i="1"/>
  <c r="CH153" i="1"/>
  <c r="CP115" i="1"/>
  <c r="CX77" i="1"/>
  <c r="BB225" i="1"/>
  <c r="DI152" i="1"/>
  <c r="M115" i="1"/>
  <c r="U77" i="1"/>
  <c r="BR220" i="1"/>
  <c r="CL151" i="1"/>
  <c r="CT113" i="1"/>
  <c r="DB75" i="1"/>
  <c r="Z218" i="1"/>
  <c r="Y151" i="1"/>
  <c r="AG113" i="1"/>
  <c r="AO75" i="1"/>
  <c r="CT219" i="1"/>
  <c r="BR151" i="1"/>
  <c r="BZ113" i="1"/>
  <c r="CH75" i="1"/>
  <c r="BB217" i="1"/>
  <c r="DI150" i="1"/>
  <c r="M113" i="1"/>
  <c r="U75" i="1"/>
  <c r="BR212" i="1"/>
  <c r="CL149" i="1"/>
  <c r="J172" i="1"/>
  <c r="N199" i="1"/>
  <c r="BE108" i="1"/>
  <c r="AD194" i="1"/>
  <c r="AX123" i="1"/>
  <c r="BF85" i="1"/>
  <c r="CP255" i="1"/>
  <c r="BQ160" i="1"/>
  <c r="BI134" i="1"/>
  <c r="BM115" i="1"/>
  <c r="BQ96" i="1"/>
  <c r="BU77" i="1"/>
  <c r="AL306" i="1"/>
  <c r="BB230" i="1"/>
  <c r="AB173" i="1"/>
  <c r="AF154" i="1"/>
  <c r="AJ135" i="1"/>
  <c r="AN116" i="1"/>
  <c r="AR97" i="1"/>
  <c r="AV78" i="1"/>
  <c r="AP228" i="1"/>
  <c r="CM115" i="1"/>
  <c r="AX59" i="1"/>
  <c r="BB40" i="1"/>
  <c r="BF21" i="1"/>
  <c r="AB3" i="1"/>
  <c r="CI46" i="1"/>
  <c r="DB248" i="1"/>
  <c r="DC120" i="1"/>
  <c r="AT304" i="1"/>
  <c r="BJ228" i="1"/>
  <c r="CF172" i="1"/>
  <c r="CJ153" i="1"/>
  <c r="CN134" i="1"/>
  <c r="DD122" i="1"/>
  <c r="BD113" i="1"/>
  <c r="DH103" i="1"/>
  <c r="BH94" i="1"/>
  <c r="H85" i="1"/>
  <c r="BL75" i="1"/>
  <c r="L66" i="1"/>
  <c r="CD182" i="1"/>
  <c r="AM142" i="1"/>
  <c r="AU104" i="1"/>
  <c r="BC66" i="1"/>
  <c r="BN56" i="1"/>
  <c r="N47" i="1"/>
  <c r="BR37" i="1"/>
  <c r="R28" i="1"/>
  <c r="BV18" i="1"/>
  <c r="V9" i="1"/>
  <c r="AP192" i="1"/>
  <c r="CO70" i="1"/>
  <c r="BS318" i="1"/>
  <c r="CL275" i="1"/>
  <c r="CT237" i="1"/>
  <c r="DB199" i="1"/>
  <c r="L175" i="1"/>
  <c r="BP165" i="1"/>
  <c r="P156" i="1"/>
  <c r="BT146" i="1"/>
  <c r="T137" i="1"/>
  <c r="BX127" i="1"/>
  <c r="X118" i="1"/>
  <c r="CB108" i="1"/>
  <c r="AB99" i="1"/>
  <c r="CF89" i="1"/>
  <c r="AF80" i="1"/>
  <c r="CJ70" i="1"/>
  <c r="DF257" i="1"/>
  <c r="S161" i="1"/>
  <c r="AA123" i="1"/>
  <c r="AI85" i="1"/>
  <c r="AH61" i="1"/>
  <c r="CL51" i="1"/>
  <c r="AL42" i="1"/>
  <c r="CP32" i="1"/>
  <c r="AP23" i="1"/>
  <c r="CT13" i="1"/>
  <c r="AT4" i="1"/>
  <c r="CM130" i="1"/>
  <c r="AE52" i="1"/>
  <c r="AI22" i="1"/>
  <c r="Z276" i="1"/>
  <c r="BE70" i="1"/>
  <c r="AI313" i="1"/>
  <c r="BB274" i="1"/>
  <c r="BJ236" i="1"/>
  <c r="BR198" i="1"/>
  <c r="CF174" i="1"/>
  <c r="AF165" i="1"/>
  <c r="CJ155" i="1"/>
  <c r="AJ146" i="1"/>
  <c r="CN136" i="1"/>
  <c r="AN127" i="1"/>
  <c r="CR117" i="1"/>
  <c r="AR108" i="1"/>
  <c r="CV98" i="1"/>
  <c r="AV89" i="1"/>
  <c r="CZ79" i="1"/>
  <c r="AZ70" i="1"/>
  <c r="BV252" i="1"/>
  <c r="CM159" i="1"/>
  <c r="CU121" i="1"/>
  <c r="DC83" i="1"/>
  <c r="DB60" i="1"/>
  <c r="BB51" i="1"/>
  <c r="DF41" i="1"/>
  <c r="BF32" i="1"/>
  <c r="F23" i="1"/>
  <c r="BJ13" i="1"/>
  <c r="J4" i="1"/>
  <c r="AY128" i="1"/>
  <c r="BO51" i="1"/>
  <c r="BW21" i="1"/>
  <c r="AD273" i="1"/>
  <c r="DC164" i="1"/>
  <c r="G127" i="1"/>
  <c r="CE32" i="1"/>
  <c r="G139" i="1"/>
  <c r="AI82" i="1"/>
  <c r="BI60" i="1"/>
  <c r="I51" i="1"/>
  <c r="BM41" i="1"/>
  <c r="M32" i="1"/>
  <c r="BQ22" i="1"/>
  <c r="Q13" i="1"/>
  <c r="BE3" i="1"/>
  <c r="BG90" i="1"/>
  <c r="AI44" i="1"/>
  <c r="CA16" i="1"/>
  <c r="R254" i="1"/>
  <c r="W160" i="1"/>
  <c r="AE122" i="1"/>
  <c r="AM84" i="1"/>
  <c r="H61" i="1"/>
  <c r="BL51" i="1"/>
  <c r="L42" i="1"/>
  <c r="BP32" i="1"/>
  <c r="P23" i="1"/>
  <c r="BT13" i="1"/>
  <c r="T4" i="1"/>
  <c r="BS125" i="1"/>
  <c r="AI53" i="1"/>
  <c r="AU25" i="1"/>
  <c r="CI5" i="1"/>
  <c r="AI15" i="1"/>
  <c r="CY127" i="1"/>
  <c r="CM76" i="1"/>
  <c r="U59" i="1"/>
  <c r="BY49" i="1"/>
  <c r="Y40" i="1"/>
  <c r="CC30" i="1"/>
  <c r="AC21" i="1"/>
  <c r="CG11" i="1"/>
  <c r="CP281" i="1"/>
  <c r="K74" i="1"/>
  <c r="AE40" i="1"/>
  <c r="CA12" i="1"/>
  <c r="Z232" i="1"/>
  <c r="CA154" i="1"/>
  <c r="CI116" i="1"/>
  <c r="CQ78" i="1"/>
  <c r="BX59" i="1"/>
  <c r="X50" i="1"/>
  <c r="CB40" i="1"/>
  <c r="AB31" i="1"/>
  <c r="CF21" i="1"/>
  <c r="AF12" i="1"/>
  <c r="CX307" i="1"/>
  <c r="K110" i="1"/>
  <c r="AE49" i="1"/>
  <c r="AQ21" i="1"/>
  <c r="BC65" i="1"/>
  <c r="CI159" i="1"/>
  <c r="BW92" i="1"/>
  <c r="Q63" i="1"/>
  <c r="BU53" i="1"/>
  <c r="U44" i="1"/>
  <c r="BY34" i="1"/>
  <c r="Y25" i="1"/>
  <c r="CC15" i="1"/>
  <c r="AC6" i="1"/>
  <c r="CU120" i="1"/>
  <c r="CM51" i="1"/>
  <c r="W24" i="1"/>
  <c r="BR295" i="1"/>
  <c r="BK170" i="1"/>
  <c r="CW118" i="1"/>
  <c r="DE80" i="1"/>
  <c r="AT242" i="1"/>
  <c r="AD157" i="1"/>
  <c r="AL119" i="1"/>
  <c r="AT81" i="1"/>
  <c r="CD244" i="1"/>
  <c r="CK176" i="1"/>
  <c r="CO157" i="1"/>
  <c r="CS138" i="1"/>
  <c r="CW119" i="1"/>
  <c r="DA100" i="1"/>
  <c r="DE81" i="1"/>
  <c r="BS326" i="1"/>
  <c r="CT239" i="1"/>
  <c r="BN175" i="1"/>
  <c r="BR156" i="1"/>
  <c r="BZ138" i="1"/>
  <c r="Z129" i="1"/>
  <c r="CD119" i="1"/>
  <c r="AD110" i="1"/>
  <c r="CH100" i="1"/>
  <c r="AH91" i="1"/>
  <c r="CL81" i="1"/>
  <c r="AL72" i="1"/>
  <c r="AA331" i="1"/>
  <c r="DB278" i="1"/>
  <c r="F241" i="1"/>
  <c r="N203" i="1"/>
  <c r="CS175" i="1"/>
  <c r="AS166" i="1"/>
  <c r="CW156" i="1"/>
  <c r="AW147" i="1"/>
  <c r="DA137" i="1"/>
  <c r="BA128" i="1"/>
  <c r="DE118" i="1"/>
  <c r="BE109" i="1"/>
  <c r="DI99" i="1"/>
  <c r="BI90" i="1"/>
  <c r="I81" i="1"/>
  <c r="CC72" i="1"/>
  <c r="BG343" i="1"/>
  <c r="F282" i="1"/>
  <c r="N244" i="1"/>
  <c r="V206" i="1"/>
  <c r="BT176" i="1"/>
  <c r="T167" i="1"/>
  <c r="BX157" i="1"/>
  <c r="X148" i="1"/>
  <c r="CB138" i="1"/>
  <c r="AB129" i="1"/>
  <c r="CF119" i="1"/>
  <c r="AF110" i="1"/>
  <c r="CJ100" i="1"/>
  <c r="AJ91" i="1"/>
  <c r="CN81" i="1"/>
  <c r="AN72" i="1"/>
  <c r="CT282" i="1"/>
  <c r="AQ167" i="1"/>
  <c r="AY129" i="1"/>
  <c r="BG91" i="1"/>
  <c r="CP62" i="1"/>
  <c r="BQ139" i="1"/>
  <c r="BY101" i="1"/>
  <c r="BC338" i="1"/>
  <c r="AL176" i="1"/>
  <c r="BG215" i="1"/>
  <c r="BD206" i="1"/>
  <c r="AI206" i="1"/>
  <c r="AN259" i="1"/>
  <c r="BD183" i="1"/>
  <c r="AI259" i="1"/>
  <c r="O190" i="1"/>
  <c r="AP205" i="1"/>
  <c r="CL142" i="1"/>
  <c r="CT104" i="1"/>
  <c r="DB66" i="1"/>
  <c r="BR181" i="1"/>
  <c r="I142" i="1"/>
  <c r="Q104" i="1"/>
  <c r="AS426" i="1"/>
  <c r="CH178" i="1"/>
  <c r="CP140" i="1"/>
  <c r="CX102" i="1"/>
  <c r="DC367" i="1"/>
  <c r="U178" i="1"/>
  <c r="AC140" i="1"/>
  <c r="CN243" i="1"/>
  <c r="BS243" i="1"/>
  <c r="T278" i="1"/>
  <c r="AJ202" i="1"/>
  <c r="O278" i="1"/>
  <c r="BK202" i="1"/>
  <c r="R255" i="1"/>
  <c r="R152" i="1"/>
  <c r="Z114" i="1"/>
  <c r="AH76" i="1"/>
  <c r="DB218" i="1"/>
  <c r="AS151" i="1"/>
  <c r="BA113" i="1"/>
  <c r="BI75" i="1"/>
  <c r="N214" i="1"/>
  <c r="V150" i="1"/>
  <c r="AD112" i="1"/>
  <c r="AL74" i="1"/>
  <c r="BZ211" i="1"/>
  <c r="BM149" i="1"/>
  <c r="BU111" i="1"/>
  <c r="CC73" i="1"/>
  <c r="AP213" i="1"/>
  <c r="DF149" i="1"/>
  <c r="J112" i="1"/>
  <c r="R74" i="1"/>
  <c r="K365" i="1"/>
  <c r="CE348" i="1"/>
  <c r="S335" i="1"/>
  <c r="DD240" i="1"/>
  <c r="CM330" i="1"/>
  <c r="CY240" i="1"/>
  <c r="W362" i="1"/>
  <c r="BR173" i="1"/>
  <c r="BR133" i="1"/>
  <c r="BZ95" i="1"/>
  <c r="BN296" i="1"/>
  <c r="CK170" i="1"/>
  <c r="CS132" i="1"/>
  <c r="DA94" i="1"/>
  <c r="CD291" i="1"/>
  <c r="BN169" i="1"/>
  <c r="BV131" i="1"/>
  <c r="CD93" i="1"/>
  <c r="AL289" i="1"/>
  <c r="DE168" i="1"/>
  <c r="I131" i="1"/>
  <c r="Q93" i="1"/>
  <c r="DF290" i="1"/>
  <c r="AT169" i="1"/>
  <c r="BB131" i="1"/>
  <c r="BJ93" i="1"/>
  <c r="BN288" i="1"/>
  <c r="CK168" i="1"/>
  <c r="CS130" i="1"/>
  <c r="DA92" i="1"/>
  <c r="CD283" i="1"/>
  <c r="BN167" i="1"/>
  <c r="I91" i="1"/>
  <c r="BB91" i="1"/>
  <c r="I144" i="1"/>
  <c r="CY181" i="1"/>
  <c r="CP142" i="1"/>
  <c r="AH103" i="1"/>
  <c r="BB379" i="1"/>
  <c r="AS178" i="1"/>
  <c r="R199" i="1"/>
  <c r="AB307" i="1"/>
  <c r="BW309" i="1"/>
  <c r="J130" i="1"/>
  <c r="AK129" i="1"/>
  <c r="N128" i="1"/>
  <c r="BE127" i="1"/>
  <c r="CX127" i="1"/>
  <c r="AK127" i="1"/>
  <c r="CO76" i="1"/>
  <c r="BV137" i="1"/>
  <c r="BU141" i="1"/>
  <c r="BQ66" i="1"/>
  <c r="AV142" i="1"/>
  <c r="BL66" i="1"/>
  <c r="BR28" i="1"/>
  <c r="AU149" i="1"/>
  <c r="CV160" i="1"/>
  <c r="BL107" i="1"/>
  <c r="BT69" i="1"/>
  <c r="CA80" i="1"/>
  <c r="BZ31" i="1"/>
  <c r="K118" i="1"/>
  <c r="V214" i="1"/>
  <c r="X150" i="1"/>
  <c r="AF112" i="1"/>
  <c r="AN74" i="1"/>
  <c r="BG99" i="1"/>
  <c r="AT36" i="1"/>
  <c r="K166" i="1"/>
  <c r="AT181" i="1"/>
  <c r="CP212" i="1"/>
  <c r="CR149" i="1"/>
  <c r="CZ111" i="1"/>
  <c r="DH73" i="1"/>
  <c r="W98" i="1"/>
  <c r="J36" i="1"/>
  <c r="BO164" i="1"/>
  <c r="W179" i="1"/>
  <c r="BG96" i="1"/>
  <c r="BU35" i="1"/>
  <c r="AY132" i="1"/>
  <c r="AU174" i="1"/>
  <c r="P55" i="1"/>
  <c r="X17" i="1"/>
  <c r="CU35" i="1"/>
  <c r="G91" i="1"/>
  <c r="AG34" i="1"/>
  <c r="CQ115" i="1"/>
  <c r="CY168" i="1"/>
  <c r="CF53" i="1"/>
  <c r="CN15" i="1"/>
  <c r="CM31" i="1"/>
  <c r="DC68" i="1"/>
  <c r="CG28" i="1"/>
  <c r="W62" i="1"/>
  <c r="CQ146" i="1"/>
  <c r="BJ133" i="1"/>
  <c r="DA164" i="1"/>
  <c r="M89" i="1"/>
  <c r="CD163" i="1"/>
  <c r="CL113" i="1"/>
  <c r="CT75" i="1"/>
  <c r="AL217" i="1"/>
  <c r="DE150" i="1"/>
  <c r="I113" i="1"/>
  <c r="Q75" i="1"/>
  <c r="AT220" i="1"/>
  <c r="CF151" i="1"/>
  <c r="CN113" i="1"/>
  <c r="CV75" i="1"/>
  <c r="CE105" i="1"/>
  <c r="DB37" i="1"/>
  <c r="DB208" i="1"/>
  <c r="BV208" i="1"/>
  <c r="AL294" i="1"/>
  <c r="BB218" i="1"/>
  <c r="AB170" i="1"/>
  <c r="AF151" i="1"/>
  <c r="S188" i="1"/>
  <c r="V147" i="1"/>
  <c r="AL71" i="1"/>
  <c r="CW171" i="1"/>
  <c r="DE133" i="1"/>
  <c r="I96" i="1"/>
  <c r="V296" i="1"/>
  <c r="BZ170" i="1"/>
  <c r="V136" i="1"/>
  <c r="Z117" i="1"/>
  <c r="AD98" i="1"/>
  <c r="AH79" i="1"/>
  <c r="CL306" i="1"/>
  <c r="DB230" i="1"/>
  <c r="AO173" i="1"/>
  <c r="AS154" i="1"/>
  <c r="AW135" i="1"/>
  <c r="BA116" i="1"/>
  <c r="BE97" i="1"/>
  <c r="BI78" i="1"/>
  <c r="CT309" i="1"/>
  <c r="F234" i="1"/>
  <c r="P174" i="1"/>
  <c r="T155" i="1"/>
  <c r="X136" i="1"/>
  <c r="AB117" i="1"/>
  <c r="AF98" i="1"/>
  <c r="AJ79" i="1"/>
  <c r="BN242" i="1"/>
  <c r="AQ119" i="1"/>
  <c r="AL60" i="1"/>
  <c r="AP41" i="1"/>
  <c r="AT22" i="1"/>
  <c r="AX3" i="1"/>
  <c r="BW49" i="1"/>
  <c r="V263" i="1"/>
  <c r="BG124" i="1"/>
  <c r="DB307" i="1"/>
  <c r="N232" i="1"/>
  <c r="BT173" i="1"/>
  <c r="BX154" i="1"/>
  <c r="CB135" i="1"/>
  <c r="CR123" i="1"/>
  <c r="AR114" i="1"/>
  <c r="CV104" i="1"/>
  <c r="AV95" i="1"/>
  <c r="CZ85" i="1"/>
  <c r="AZ76" i="1"/>
  <c r="DD66" i="1"/>
  <c r="DB196" i="1"/>
  <c r="CU145" i="1"/>
  <c r="DC107" i="1"/>
  <c r="G70" i="1"/>
  <c r="BB57" i="1"/>
  <c r="DF47" i="1"/>
  <c r="BF38" i="1"/>
  <c r="F29" i="1"/>
  <c r="BJ19" i="1"/>
  <c r="J10" i="1"/>
  <c r="Z236" i="1"/>
  <c r="CC71" i="1"/>
  <c r="CQ332" i="1"/>
  <c r="AP279" i="1"/>
  <c r="AX241" i="1"/>
  <c r="BF203" i="1"/>
  <c r="DD175" i="1"/>
  <c r="BD166" i="1"/>
  <c r="DH156" i="1"/>
  <c r="BH147" i="1"/>
  <c r="H138" i="1"/>
  <c r="BL128" i="1"/>
  <c r="L119" i="1"/>
  <c r="BP109" i="1"/>
  <c r="P100" i="1"/>
  <c r="BT90" i="1"/>
  <c r="T81" i="1"/>
  <c r="BX71" i="1"/>
  <c r="Z272" i="1"/>
  <c r="CA164" i="1"/>
  <c r="CI126" i="1"/>
  <c r="CQ88" i="1"/>
  <c r="V62" i="1"/>
  <c r="BZ52" i="1"/>
  <c r="Z43" i="1"/>
  <c r="CD33" i="1"/>
  <c r="AD24" i="1"/>
  <c r="CH14" i="1"/>
  <c r="AH5" i="1"/>
  <c r="AA142" i="1"/>
  <c r="K55" i="1"/>
  <c r="O25" i="1"/>
  <c r="AX290" i="1"/>
  <c r="AS71" i="1"/>
  <c r="BG327" i="1"/>
  <c r="F278" i="1"/>
  <c r="N240" i="1"/>
  <c r="V202" i="1"/>
  <c r="BT175" i="1"/>
  <c r="T166" i="1"/>
  <c r="BX156" i="1"/>
  <c r="X147" i="1"/>
  <c r="CB137" i="1"/>
  <c r="AB128" i="1"/>
  <c r="CF118" i="1"/>
  <c r="AF109" i="1"/>
  <c r="CJ99" i="1"/>
  <c r="AJ90" i="1"/>
  <c r="CN80" i="1"/>
  <c r="AN71" i="1"/>
  <c r="CT266" i="1"/>
  <c r="AQ163" i="1"/>
  <c r="AY125" i="1"/>
  <c r="BG87" i="1"/>
  <c r="CP61" i="1"/>
  <c r="AP52" i="1"/>
  <c r="CT42" i="1"/>
  <c r="AT33" i="1"/>
  <c r="CX23" i="1"/>
  <c r="AX14" i="1"/>
  <c r="DB4" i="1"/>
  <c r="DG139" i="1"/>
  <c r="AY54" i="1"/>
  <c r="BK24" i="1"/>
  <c r="BB287" i="1"/>
  <c r="BG168" i="1"/>
  <c r="BO130" i="1"/>
  <c r="DG43" i="1"/>
  <c r="S146" i="1"/>
  <c r="CQ85" i="1"/>
  <c r="AW61" i="1"/>
  <c r="DA51" i="1"/>
  <c r="BA42" i="1"/>
  <c r="DE32" i="1"/>
  <c r="BE23" i="1"/>
  <c r="DI13" i="1"/>
  <c r="BI4" i="1"/>
  <c r="CE100" i="1"/>
  <c r="CU46" i="1"/>
  <c r="AE19" i="1"/>
  <c r="AP268" i="1"/>
  <c r="CE163" i="1"/>
  <c r="CM125" i="1"/>
  <c r="CU87" i="1"/>
  <c r="CZ61" i="1"/>
  <c r="AZ52" i="1"/>
  <c r="DD42" i="1"/>
  <c r="BD33" i="1"/>
  <c r="DH23" i="1"/>
  <c r="BH14" i="1"/>
  <c r="H5" i="1"/>
  <c r="S136" i="1"/>
  <c r="CM55" i="1"/>
  <c r="K28" i="1"/>
  <c r="BS10" i="1"/>
  <c r="BK26" i="1"/>
  <c r="G135" i="1"/>
  <c r="AQ80" i="1"/>
  <c r="I60" i="1"/>
  <c r="BM50" i="1"/>
  <c r="M41" i="1"/>
  <c r="BQ31" i="1"/>
  <c r="Q22" i="1"/>
  <c r="BU12" i="1"/>
  <c r="BF172" i="1"/>
  <c r="BN134" i="1"/>
  <c r="BV96" i="1"/>
  <c r="F301" i="1"/>
  <c r="CN259" i="1"/>
  <c r="BS259" i="1"/>
  <c r="DH285" i="1"/>
  <c r="T210" i="1"/>
  <c r="DC285" i="1"/>
  <c r="O210" i="1"/>
  <c r="BB276" i="1"/>
  <c r="R156" i="1"/>
  <c r="Z118" i="1"/>
  <c r="AH80" i="1"/>
  <c r="DB234" i="1"/>
  <c r="AS155" i="1"/>
  <c r="BA117" i="1"/>
  <c r="BI79" i="1"/>
  <c r="N230" i="1"/>
  <c r="V154" i="1"/>
  <c r="AD116" i="1"/>
  <c r="AL78" i="1"/>
  <c r="BZ227" i="1"/>
  <c r="BM153" i="1"/>
  <c r="BU115" i="1"/>
  <c r="CC77" i="1"/>
  <c r="AP229" i="1"/>
  <c r="DF153" i="1"/>
  <c r="J116" i="1"/>
  <c r="R78" i="1"/>
  <c r="DB226" i="1"/>
  <c r="AS153" i="1"/>
  <c r="BA115" i="1"/>
  <c r="BI77" i="1"/>
  <c r="N222" i="1"/>
  <c r="V152" i="1"/>
  <c r="CT187" i="1"/>
  <c r="J218" i="1"/>
  <c r="AC113" i="1"/>
  <c r="Z213" i="1"/>
  <c r="CL125" i="1"/>
  <c r="CT87" i="1"/>
  <c r="AL265" i="1"/>
  <c r="DE162" i="1"/>
  <c r="CC135" i="1"/>
  <c r="CG116" i="1"/>
  <c r="CK97" i="1"/>
  <c r="CO78" i="1"/>
  <c r="J311" i="1"/>
  <c r="Z235" i="1"/>
  <c r="AV174" i="1"/>
  <c r="AZ155" i="1"/>
  <c r="BD136" i="1"/>
  <c r="BH117" i="1"/>
  <c r="BL98" i="1"/>
  <c r="BP79" i="1"/>
  <c r="AL247" i="1"/>
  <c r="BK120" i="1"/>
  <c r="BR60" i="1"/>
  <c r="BV41" i="1"/>
  <c r="BZ22" i="1"/>
  <c r="CD3" i="1"/>
  <c r="BO50" i="1"/>
  <c r="CX267" i="1"/>
  <c r="CA125" i="1"/>
  <c r="R309" i="1"/>
  <c r="AH233" i="1"/>
  <c r="CZ173" i="1"/>
  <c r="DD154" i="1"/>
  <c r="DH135" i="1"/>
  <c r="BL123" i="1"/>
  <c r="L114" i="1"/>
  <c r="BP104" i="1"/>
  <c r="P95" i="1"/>
  <c r="BT85" i="1"/>
  <c r="T76" i="1"/>
  <c r="BX66" i="1"/>
  <c r="Z192" i="1"/>
  <c r="CA144" i="1"/>
  <c r="CI106" i="1"/>
  <c r="CQ68" i="1"/>
  <c r="V57" i="1"/>
  <c r="BZ47" i="1"/>
  <c r="Z38" i="1"/>
  <c r="CD28" i="1"/>
  <c r="AD19" i="1"/>
  <c r="CH9" i="1"/>
  <c r="AT221" i="1"/>
  <c r="AW71" i="1"/>
  <c r="O328" i="1"/>
  <c r="V278" i="1"/>
  <c r="AD240" i="1"/>
  <c r="AL202" i="1"/>
  <c r="BX175" i="1"/>
  <c r="X166" i="1"/>
  <c r="CB156" i="1"/>
  <c r="AB147" i="1"/>
  <c r="CF137" i="1"/>
  <c r="AF128" i="1"/>
  <c r="CJ118" i="1"/>
  <c r="AJ109" i="1"/>
  <c r="CN99" i="1"/>
  <c r="AN90" i="1"/>
  <c r="CR80" i="1"/>
  <c r="AR71" i="1"/>
  <c r="BB267" i="1"/>
  <c r="BG163" i="1"/>
  <c r="BO125" i="1"/>
  <c r="BW87" i="1"/>
  <c r="CT61" i="1"/>
  <c r="AT52" i="1"/>
  <c r="CX42" i="1"/>
  <c r="AX33" i="1"/>
  <c r="DB23" i="1"/>
  <c r="BB14" i="1"/>
  <c r="DF4" i="1"/>
  <c r="BG138" i="1"/>
  <c r="O54" i="1"/>
  <c r="AA24" i="1"/>
  <c r="BZ285" i="1"/>
  <c r="M71" i="1"/>
  <c r="CI322" i="1"/>
  <c r="CP276" i="1"/>
  <c r="CX238" i="1"/>
  <c r="DF200" i="1"/>
  <c r="AN175" i="1"/>
  <c r="CR165" i="1"/>
  <c r="AR156" i="1"/>
  <c r="CV146" i="1"/>
  <c r="AV137" i="1"/>
  <c r="CZ127" i="1"/>
  <c r="AZ118" i="1"/>
  <c r="DD108" i="1"/>
  <c r="BD99" i="1"/>
  <c r="DH89" i="1"/>
  <c r="BH80" i="1"/>
  <c r="H71" i="1"/>
  <c r="R262" i="1"/>
  <c r="W162" i="1"/>
  <c r="AE124" i="1"/>
  <c r="AM86" i="1"/>
  <c r="BJ61" i="1"/>
  <c r="J52" i="1"/>
  <c r="BN42" i="1"/>
  <c r="N33" i="1"/>
  <c r="BR23" i="1"/>
  <c r="R14" i="1"/>
  <c r="BV4" i="1"/>
  <c r="DG135" i="1"/>
  <c r="BG53" i="1"/>
  <c r="BK23" i="1"/>
  <c r="CD282" i="1"/>
  <c r="AM167" i="1"/>
  <c r="AU129" i="1"/>
  <c r="W40" i="1"/>
  <c r="CI143" i="1"/>
  <c r="BW84" i="1"/>
  <c r="Q61" i="1"/>
  <c r="BU51" i="1"/>
  <c r="U42" i="1"/>
  <c r="BY32" i="1"/>
  <c r="Y23" i="1"/>
  <c r="CC13" i="1"/>
  <c r="AC4" i="1"/>
  <c r="AM97" i="1"/>
  <c r="DG45" i="1"/>
  <c r="AU18" i="1"/>
  <c r="BR263" i="1"/>
  <c r="BK162" i="1"/>
  <c r="BS124" i="1"/>
  <c r="CA86" i="1"/>
  <c r="BT61" i="1"/>
  <c r="T52" i="1"/>
  <c r="BX42" i="1"/>
  <c r="X33" i="1"/>
  <c r="CB23" i="1"/>
  <c r="AB14" i="1"/>
  <c r="CF4" i="1"/>
  <c r="BO132" i="1"/>
  <c r="DG54" i="1"/>
  <c r="S27" i="1"/>
  <c r="CQ8" i="1"/>
  <c r="CY22" i="1"/>
  <c r="BW132" i="1"/>
  <c r="W79" i="1"/>
  <c r="CG59" i="1"/>
  <c r="AG50" i="1"/>
  <c r="CK40" i="1"/>
  <c r="AK31" i="1"/>
  <c r="CO21" i="1"/>
  <c r="AO12" i="1"/>
  <c r="AH310" i="1"/>
  <c r="CU80" i="1"/>
  <c r="DG41" i="1"/>
  <c r="AY14" i="1"/>
  <c r="BZ241" i="1"/>
  <c r="K157" i="1"/>
  <c r="S119" i="1"/>
  <c r="AA81" i="1"/>
  <c r="AF60" i="1"/>
  <c r="CJ50" i="1"/>
  <c r="AJ41" i="1"/>
  <c r="CN31" i="1"/>
  <c r="AN22" i="1"/>
  <c r="CR12" i="1"/>
  <c r="AR3" i="1"/>
  <c r="CU116" i="1"/>
  <c r="DG50" i="1"/>
  <c r="O23" i="1"/>
  <c r="BC93" i="1"/>
  <c r="BG164" i="1"/>
  <c r="G95" i="1"/>
  <c r="CC63" i="1"/>
  <c r="AC54" i="1"/>
  <c r="CG44" i="1"/>
  <c r="AG35" i="1"/>
  <c r="CK25" i="1"/>
  <c r="AK16" i="1"/>
  <c r="CO6" i="1"/>
  <c r="DG127" i="1"/>
  <c r="BK53" i="1"/>
  <c r="CY25" i="1"/>
  <c r="N305" i="1"/>
  <c r="CY172" i="1"/>
  <c r="AG121" i="1"/>
  <c r="AO83" i="1"/>
  <c r="CT251" i="1"/>
  <c r="BR159" i="1"/>
  <c r="BZ121" i="1"/>
  <c r="CH83" i="1"/>
  <c r="BB249" i="1"/>
  <c r="DE177" i="1"/>
  <c r="DI158" i="1"/>
  <c r="I140" i="1"/>
  <c r="M121" i="1"/>
  <c r="Q102" i="1"/>
  <c r="U83" i="1"/>
  <c r="BO345" i="1"/>
  <c r="BR244" i="1"/>
  <c r="CH176" i="1"/>
  <c r="CL157" i="1"/>
  <c r="AH139" i="1"/>
  <c r="CL129" i="1"/>
  <c r="AL120" i="1"/>
  <c r="CP110" i="1"/>
  <c r="AP101" i="1"/>
  <c r="CT91" i="1"/>
  <c r="AT82" i="1"/>
  <c r="CX72" i="1"/>
  <c r="CA340" i="1"/>
  <c r="AL281" i="1"/>
  <c r="AT243" i="1"/>
  <c r="BB205" i="1"/>
  <c r="BA176" i="1"/>
  <c r="DE166" i="1"/>
  <c r="BE157" i="1"/>
  <c r="DI147" i="1"/>
  <c r="BI138" i="1"/>
  <c r="I129" i="1"/>
  <c r="BM119" i="1"/>
  <c r="M110" i="1"/>
  <c r="BQ100" i="1"/>
  <c r="Q91" i="1"/>
  <c r="BU81" i="1"/>
  <c r="U72" i="1"/>
  <c r="DG352" i="1"/>
  <c r="AT284" i="1"/>
  <c r="BB246" i="1"/>
  <c r="BJ208" i="1"/>
  <c r="AB177" i="1"/>
  <c r="CF167" i="1"/>
  <c r="AF158" i="1"/>
  <c r="CJ148" i="1"/>
  <c r="AJ139" i="1"/>
  <c r="CN129" i="1"/>
  <c r="AN120" i="1"/>
  <c r="CR110" i="1"/>
  <c r="AR101" i="1"/>
  <c r="CV91" i="1"/>
  <c r="AV82" i="1"/>
  <c r="CZ72" i="1"/>
  <c r="AP292" i="1"/>
  <c r="CE169" i="1"/>
  <c r="CM131" i="1"/>
  <c r="CU93" i="1"/>
  <c r="AX63" i="1"/>
  <c r="DB53" i="1"/>
  <c r="BB44" i="1"/>
  <c r="DF34" i="1"/>
  <c r="BF25" i="1"/>
  <c r="F16" i="1"/>
  <c r="BJ6" i="1"/>
  <c r="BK155" i="1"/>
  <c r="BG59" i="1"/>
  <c r="BG29" i="1"/>
  <c r="BG315" i="1"/>
  <c r="CU174" i="1"/>
  <c r="DC136" i="1"/>
  <c r="DA72" i="1"/>
  <c r="AI345" i="1"/>
  <c r="BB282" i="1"/>
  <c r="BJ244" i="1"/>
  <c r="BR206" i="1"/>
  <c r="CF176" i="1"/>
  <c r="AF167" i="1"/>
  <c r="CJ157" i="1"/>
  <c r="AJ148" i="1"/>
  <c r="DE96" i="1"/>
  <c r="AT306" i="1"/>
  <c r="AD173" i="1"/>
  <c r="AL135" i="1"/>
  <c r="AT97" i="1"/>
  <c r="DF303" i="1"/>
  <c r="BB201" i="1"/>
  <c r="DE165" i="1"/>
  <c r="DI146" i="1"/>
  <c r="I128" i="1"/>
  <c r="M109" i="1"/>
  <c r="Q90" i="1"/>
  <c r="CU185" i="1"/>
  <c r="BB272" i="1"/>
  <c r="BR196" i="1"/>
  <c r="CH164" i="1"/>
  <c r="CL145" i="1"/>
  <c r="Z133" i="1"/>
  <c r="CD123" i="1"/>
  <c r="AD114" i="1"/>
  <c r="CH104" i="1"/>
  <c r="AH95" i="1"/>
  <c r="CL85" i="1"/>
  <c r="AL76" i="1"/>
  <c r="CP66" i="1"/>
  <c r="DB294" i="1"/>
  <c r="F257" i="1"/>
  <c r="N219" i="1"/>
  <c r="V181" i="1"/>
  <c r="AS170" i="1"/>
  <c r="CW160" i="1"/>
  <c r="AW151" i="1"/>
  <c r="DA141" i="1"/>
  <c r="BA132" i="1"/>
  <c r="DE122" i="1"/>
  <c r="BE113" i="1"/>
  <c r="DI103" i="1"/>
  <c r="BI94" i="1"/>
  <c r="I85" i="1"/>
  <c r="BM75" i="1"/>
  <c r="CW66" i="1"/>
  <c r="F298" i="1"/>
  <c r="N260" i="1"/>
  <c r="V222" i="1"/>
  <c r="AD184" i="1"/>
  <c r="T171" i="1"/>
  <c r="BX161" i="1"/>
  <c r="X152" i="1"/>
  <c r="CB142" i="1"/>
  <c r="AB133" i="1"/>
  <c r="CF123" i="1"/>
  <c r="AF114" i="1"/>
  <c r="CJ104" i="1"/>
  <c r="AJ95" i="1"/>
  <c r="CN85" i="1"/>
  <c r="AN76" i="1"/>
  <c r="CR66" i="1"/>
  <c r="V195" i="1"/>
  <c r="AY145" i="1"/>
  <c r="BG107" i="1"/>
  <c r="BO69" i="1"/>
  <c r="AP57" i="1"/>
  <c r="CT47" i="1"/>
  <c r="AT38" i="1"/>
  <c r="CX28" i="1"/>
  <c r="AX19" i="1"/>
  <c r="DB9" i="1"/>
  <c r="AH230" i="1"/>
  <c r="DC82" i="1"/>
  <c r="AI40" i="1"/>
  <c r="AA10" i="1"/>
  <c r="CH215" i="1"/>
  <c r="BO150" i="1"/>
  <c r="BW112" i="1"/>
  <c r="AW66" i="1"/>
  <c r="N296" i="1"/>
  <c r="V258" i="1"/>
  <c r="AD220" i="1"/>
  <c r="AL182" i="1"/>
  <c r="BX170" i="1"/>
  <c r="X161" i="1"/>
  <c r="CB151" i="1"/>
  <c r="AB142" i="1"/>
  <c r="CF132" i="1"/>
  <c r="AF123" i="1"/>
  <c r="CJ113" i="1"/>
  <c r="AJ104" i="1"/>
  <c r="CN94" i="1"/>
  <c r="AN85" i="1"/>
  <c r="CR75" i="1"/>
  <c r="AR66" i="1"/>
  <c r="BB187" i="1"/>
  <c r="BG143" i="1"/>
  <c r="BO105" i="1"/>
  <c r="BW67" i="1"/>
  <c r="CT56" i="1"/>
  <c r="AT47" i="1"/>
  <c r="CX37" i="1"/>
  <c r="AX28" i="1"/>
  <c r="DB18" i="1"/>
  <c r="BB9" i="1"/>
  <c r="V207" i="1"/>
  <c r="Q71" i="1"/>
  <c r="AQ323" i="1"/>
  <c r="DF276" i="1"/>
  <c r="J239" i="1"/>
  <c r="R201" i="1"/>
  <c r="AR175" i="1"/>
  <c r="CV165" i="1"/>
  <c r="AV156" i="1"/>
  <c r="CZ146" i="1"/>
  <c r="AZ137" i="1"/>
  <c r="DD127" i="1"/>
  <c r="BD118" i="1"/>
  <c r="DH108" i="1"/>
  <c r="BH99" i="1"/>
  <c r="H90" i="1"/>
  <c r="BL80" i="1"/>
  <c r="L71" i="1"/>
  <c r="CD262" i="1"/>
  <c r="AM162" i="1"/>
  <c r="AU124" i="1"/>
  <c r="BC86" i="1"/>
  <c r="BN61" i="1"/>
  <c r="N52" i="1"/>
  <c r="BR42" i="1"/>
  <c r="R33" i="1"/>
  <c r="BV23" i="1"/>
  <c r="V14" i="1"/>
  <c r="BZ4" i="1"/>
  <c r="BW134" i="1"/>
  <c r="S53" i="1"/>
  <c r="AE23" i="1"/>
  <c r="DB280" i="1"/>
  <c r="CK70" i="1"/>
  <c r="G318" i="1"/>
  <c r="BV275" i="1"/>
  <c r="CD237" i="1"/>
  <c r="CL199" i="1"/>
  <c r="H175" i="1"/>
  <c r="BL165" i="1"/>
  <c r="L156" i="1"/>
  <c r="BP146" i="1"/>
  <c r="P137" i="1"/>
  <c r="BT127" i="1"/>
  <c r="T118" i="1"/>
  <c r="BX108" i="1"/>
  <c r="X99" i="1"/>
  <c r="CB89" i="1"/>
  <c r="AB80" i="1"/>
  <c r="CF70" i="1"/>
  <c r="AT257" i="1"/>
  <c r="DG160" i="1"/>
  <c r="K123" i="1"/>
  <c r="S85" i="1"/>
  <c r="AD61" i="1"/>
  <c r="CH51" i="1"/>
  <c r="AH42" i="1"/>
  <c r="CL32" i="1"/>
  <c r="AL23" i="1"/>
  <c r="CP13" i="1"/>
  <c r="AP4" i="1"/>
  <c r="S132" i="1"/>
  <c r="BO52" i="1"/>
  <c r="CA22" i="1"/>
  <c r="DF277" i="1"/>
  <c r="S166" i="1"/>
  <c r="AA128" i="1"/>
  <c r="BC36" i="1"/>
  <c r="AU141" i="1"/>
  <c r="BC83" i="1"/>
  <c r="CO60" i="1"/>
  <c r="AO51" i="1"/>
  <c r="CS41" i="1"/>
  <c r="AS32" i="1"/>
  <c r="CW22" i="1"/>
  <c r="AW13" i="1"/>
  <c r="DA3" i="1"/>
  <c r="CI93" i="1"/>
  <c r="W45" i="1"/>
  <c r="BG17" i="1"/>
  <c r="CT258" i="1"/>
  <c r="AQ161" i="1"/>
  <c r="AY123" i="1"/>
  <c r="BG85" i="1"/>
  <c r="AN61" i="1"/>
  <c r="CR51" i="1"/>
  <c r="AR42" i="1"/>
  <c r="CV32" i="1"/>
  <c r="AV23" i="1"/>
  <c r="CZ13" i="1"/>
  <c r="AZ4" i="1"/>
  <c r="BC129" i="1"/>
  <c r="S54" i="1"/>
  <c r="AI26" i="1"/>
  <c r="BG7" i="1"/>
  <c r="K19" i="1"/>
  <c r="AI130" i="1"/>
  <c r="DG77" i="1"/>
  <c r="BA59" i="1"/>
  <c r="DE49" i="1"/>
  <c r="BE40" i="1"/>
  <c r="DI30" i="1"/>
  <c r="BI21" i="1"/>
  <c r="F256" i="1"/>
  <c r="BV160" i="1"/>
  <c r="CD122" i="1"/>
  <c r="CL84" i="1"/>
  <c r="BR253" i="1"/>
  <c r="AV212" i="1"/>
  <c r="AA212" i="1"/>
  <c r="AJ262" i="1"/>
  <c r="AZ186" i="1"/>
  <c r="AE262" i="1"/>
  <c r="W192" i="1"/>
  <c r="J213" i="1"/>
  <c r="AH144" i="1"/>
  <c r="AP106" i="1"/>
  <c r="AX68" i="1"/>
  <c r="BJ187" i="1"/>
  <c r="BI143" i="1"/>
  <c r="BQ105" i="1"/>
  <c r="AE181" i="1"/>
  <c r="BZ182" i="1"/>
  <c r="AL142" i="1"/>
  <c r="AT104" i="1"/>
  <c r="BB66" i="1"/>
  <c r="AH180" i="1"/>
  <c r="CC141" i="1"/>
  <c r="CK103" i="1"/>
  <c r="DG180" i="1"/>
  <c r="DB181" i="1"/>
  <c r="R142" i="1"/>
  <c r="Z104" i="1"/>
  <c r="AH66" i="1"/>
  <c r="BK179" i="1"/>
  <c r="BI141" i="1"/>
  <c r="BQ103" i="1"/>
  <c r="AX382" i="1"/>
  <c r="AD178" i="1"/>
  <c r="AL140" i="1"/>
  <c r="R134" i="1"/>
  <c r="AS165" i="1"/>
  <c r="BI89" i="1"/>
  <c r="V164" i="1"/>
  <c r="DB113" i="1"/>
  <c r="F76" i="1"/>
  <c r="CX217" i="1"/>
  <c r="Q151" i="1"/>
  <c r="CK129" i="1"/>
  <c r="CO110" i="1"/>
  <c r="CS91" i="1"/>
  <c r="CW72" i="1"/>
  <c r="AP287" i="1"/>
  <c r="BF211" i="1"/>
  <c r="BD168" i="1"/>
  <c r="BH149" i="1"/>
  <c r="BL130" i="1"/>
  <c r="BP111" i="1"/>
  <c r="BT92" i="1"/>
  <c r="BX73" i="1"/>
  <c r="CA172" i="1"/>
  <c r="CQ96" i="1"/>
  <c r="BZ54" i="1"/>
  <c r="CD35" i="1"/>
  <c r="CH16" i="1"/>
  <c r="CI161" i="1"/>
  <c r="CU31" i="1"/>
  <c r="CQ177" i="1"/>
  <c r="DG101" i="1"/>
  <c r="AX285" i="1"/>
  <c r="BN209" i="1"/>
  <c r="DH167" i="1"/>
  <c r="H149" i="1"/>
  <c r="L130" i="1"/>
  <c r="BP120" i="1"/>
  <c r="P111" i="1"/>
  <c r="BT101" i="1"/>
  <c r="T92" i="1"/>
  <c r="BX82" i="1"/>
  <c r="X73" i="1"/>
  <c r="BF296" i="1"/>
  <c r="CI170" i="1"/>
  <c r="CQ132" i="1"/>
  <c r="CY94" i="1"/>
  <c r="BZ63" i="1"/>
  <c r="Z54" i="1"/>
  <c r="CD44" i="1"/>
  <c r="AD35" i="1"/>
  <c r="CH25" i="1"/>
  <c r="AH16" i="1"/>
  <c r="CL6" i="1"/>
  <c r="BS157" i="1"/>
  <c r="BA68" i="1"/>
  <c r="AD304" i="1"/>
  <c r="AL266" i="1"/>
  <c r="AT228" i="1"/>
  <c r="BB190" i="1"/>
  <c r="CB172" i="1"/>
  <c r="AB163" i="1"/>
  <c r="CF153" i="1"/>
  <c r="AF144" i="1"/>
  <c r="CJ134" i="1"/>
  <c r="AJ125" i="1"/>
  <c r="CN115" i="1"/>
  <c r="AN106" i="1"/>
  <c r="CR96" i="1"/>
  <c r="AR87" i="1"/>
  <c r="CV77" i="1"/>
  <c r="AV68" i="1"/>
  <c r="J220" i="1"/>
  <c r="BW151" i="1"/>
  <c r="CE113" i="1"/>
  <c r="CM75" i="1"/>
  <c r="CX58" i="1"/>
  <c r="AX49" i="1"/>
  <c r="DB39" i="1"/>
  <c r="BB30" i="1"/>
  <c r="DF20" i="1"/>
  <c r="BF11" i="1"/>
  <c r="Z300" i="1"/>
  <c r="CU100" i="1"/>
  <c r="CI44" i="1"/>
  <c r="CA14" i="1"/>
  <c r="AH238" i="1"/>
  <c r="Q68" i="1"/>
  <c r="CX302" i="1"/>
  <c r="DF264" i="1"/>
  <c r="J227" i="1"/>
  <c r="R189" i="1"/>
  <c r="AR172" i="1"/>
  <c r="CV162" i="1"/>
  <c r="AV153" i="1"/>
  <c r="CZ143" i="1"/>
  <c r="AZ134" i="1"/>
  <c r="DD124" i="1"/>
  <c r="BD115" i="1"/>
  <c r="DH105" i="1"/>
  <c r="BH96" i="1"/>
  <c r="H87" i="1"/>
  <c r="BL77" i="1"/>
  <c r="L68" i="1"/>
  <c r="CD214" i="1"/>
  <c r="AM150" i="1"/>
  <c r="AU112" i="1"/>
  <c r="BC74" i="1"/>
  <c r="BN58" i="1"/>
  <c r="N49" i="1"/>
  <c r="BR39" i="1"/>
  <c r="R30" i="1"/>
  <c r="BV20" i="1"/>
  <c r="V11" i="1"/>
  <c r="CX291" i="1"/>
  <c r="AQ98" i="1"/>
  <c r="AA44" i="1"/>
  <c r="K14" i="1"/>
  <c r="AL235" i="1"/>
  <c r="BC155" i="1"/>
  <c r="BK117" i="1"/>
  <c r="BB411" i="1"/>
  <c r="K120" i="1"/>
  <c r="CM72" i="1"/>
  <c r="U58" i="1"/>
  <c r="BY48" i="1"/>
  <c r="Y39" i="1"/>
  <c r="CC29" i="1"/>
  <c r="AC20" i="1"/>
  <c r="CG10" i="1"/>
  <c r="F235" i="1"/>
  <c r="DG64" i="1"/>
  <c r="AI37" i="1"/>
  <c r="CA9" i="1"/>
  <c r="Z216" i="1"/>
  <c r="CA150" i="1"/>
  <c r="CI112" i="1"/>
  <c r="CQ74" i="1"/>
  <c r="BX58" i="1"/>
  <c r="X49" i="1"/>
  <c r="CB39" i="1"/>
  <c r="AB30" i="1"/>
  <c r="CF20" i="1"/>
  <c r="AF11" i="1"/>
  <c r="CX259" i="1"/>
  <c r="BG98" i="1"/>
  <c r="AE46" i="1"/>
  <c r="BC18" i="1"/>
  <c r="AQ30" i="1"/>
  <c r="AD241" i="1"/>
  <c r="DC108" i="1"/>
  <c r="AM67" i="1"/>
  <c r="CK56" i="1"/>
  <c r="AK47" i="1"/>
  <c r="CO37" i="1"/>
  <c r="AO28" i="1"/>
  <c r="CS18" i="1"/>
  <c r="AS9" i="1"/>
  <c r="G177" i="1"/>
  <c r="CY60" i="1"/>
  <c r="AQ33" i="1"/>
  <c r="CQ5" i="1"/>
  <c r="AH194" i="1"/>
  <c r="AA145" i="1"/>
  <c r="AI107" i="1"/>
  <c r="AQ69" i="1"/>
  <c r="AJ57" i="1"/>
  <c r="CN47" i="1"/>
  <c r="AN38" i="1"/>
  <c r="CR28" i="1"/>
  <c r="AR19" i="1"/>
  <c r="CV9" i="1"/>
  <c r="AL195" i="1"/>
  <c r="BW82" i="1"/>
  <c r="AI42" i="1"/>
  <c r="S13" i="1"/>
  <c r="BG35" i="1"/>
  <c r="CM140" i="1"/>
  <c r="W83" i="1"/>
  <c r="CG60" i="1"/>
  <c r="AG51" i="1"/>
  <c r="CK41" i="1"/>
  <c r="AK32" i="1"/>
  <c r="CO22" i="1"/>
  <c r="AO13" i="1"/>
  <c r="CS3" i="1"/>
  <c r="CU92" i="1"/>
  <c r="DC44" i="1"/>
  <c r="AM17" i="1"/>
  <c r="BZ257" i="1"/>
  <c r="K161" i="1"/>
  <c r="AW109" i="1"/>
  <c r="S190" i="1"/>
  <c r="BB204" i="1"/>
  <c r="CH147" i="1"/>
  <c r="CP109" i="1"/>
  <c r="CX71" i="1"/>
  <c r="CH225" i="1"/>
  <c r="I172" i="1"/>
  <c r="M153" i="1"/>
  <c r="Q134" i="1"/>
  <c r="U115" i="1"/>
  <c r="Y96" i="1"/>
  <c r="AC77" i="1"/>
  <c r="CH296" i="1"/>
  <c r="CX220" i="1"/>
  <c r="CP170" i="1"/>
  <c r="CT151" i="1"/>
  <c r="AL136" i="1"/>
  <c r="CP126" i="1"/>
  <c r="AP117" i="1"/>
  <c r="CT107" i="1"/>
  <c r="AT98" i="1"/>
  <c r="CX88" i="1"/>
  <c r="AX79" i="1"/>
  <c r="DB69" i="1"/>
  <c r="AT307" i="1"/>
  <c r="BB269" i="1"/>
  <c r="BJ231" i="1"/>
  <c r="BR193" i="1"/>
  <c r="BE173" i="1"/>
  <c r="DI163" i="1"/>
  <c r="BI154" i="1"/>
  <c r="I145" i="1"/>
  <c r="BM135" i="1"/>
  <c r="M126" i="1"/>
  <c r="BQ116" i="1"/>
  <c r="Q107" i="1"/>
  <c r="BU97" i="1"/>
  <c r="U88" i="1"/>
  <c r="BY78" i="1"/>
  <c r="DI69" i="1"/>
  <c r="BB310" i="1"/>
  <c r="BJ272" i="1"/>
  <c r="BR234" i="1"/>
  <c r="BZ196" i="1"/>
  <c r="AF174" i="1"/>
  <c r="CJ164" i="1"/>
  <c r="AJ155" i="1"/>
  <c r="CN145" i="1"/>
  <c r="AN136" i="1"/>
  <c r="CR126" i="1"/>
  <c r="AR117" i="1"/>
  <c r="CV107" i="1"/>
  <c r="AV98" i="1"/>
  <c r="CZ88" i="1"/>
  <c r="AZ79" i="1"/>
  <c r="DD69" i="1"/>
  <c r="DB244" i="1"/>
  <c r="CU157" i="1"/>
  <c r="DC119" i="1"/>
  <c r="G82" i="1"/>
  <c r="BB60" i="1"/>
  <c r="DF50" i="1"/>
  <c r="BF41" i="1"/>
  <c r="F32" i="1"/>
  <c r="BJ22" i="1"/>
  <c r="J13" i="1"/>
  <c r="BN3" i="1"/>
  <c r="AA122" i="1"/>
  <c r="O50" i="1"/>
  <c r="O20" i="1"/>
  <c r="BJ265" i="1"/>
  <c r="G163" i="1"/>
  <c r="O125" i="1"/>
  <c r="BI69" i="1"/>
  <c r="BJ308" i="1"/>
  <c r="BR270" i="1"/>
  <c r="BZ232" i="1"/>
  <c r="CH194" i="1"/>
  <c r="CJ173" i="1"/>
  <c r="AJ164" i="1"/>
  <c r="CN154" i="1"/>
  <c r="I123" i="1"/>
  <c r="Q85" i="1"/>
  <c r="DF258" i="1"/>
  <c r="AT161" i="1"/>
  <c r="BB123" i="1"/>
  <c r="BJ85" i="1"/>
  <c r="BN256" i="1"/>
  <c r="DI178" i="1"/>
  <c r="I160" i="1"/>
  <c r="M141" i="1"/>
  <c r="Q122" i="1"/>
  <c r="U103" i="1"/>
  <c r="Y84" i="1"/>
  <c r="CI362" i="1"/>
  <c r="CH248" i="1"/>
  <c r="CL177" i="1"/>
  <c r="CP158" i="1"/>
  <c r="CT139" i="1"/>
  <c r="AD130" i="1"/>
  <c r="CH120" i="1"/>
  <c r="AH111" i="1"/>
  <c r="CL101" i="1"/>
  <c r="AL92" i="1"/>
  <c r="CP82" i="1"/>
  <c r="AP73" i="1"/>
  <c r="CM347" i="1"/>
  <c r="N283" i="1"/>
  <c r="V245" i="1"/>
  <c r="AD207" i="1"/>
  <c r="CW176" i="1"/>
  <c r="AW167" i="1"/>
  <c r="DA157" i="1"/>
  <c r="BA148" i="1"/>
  <c r="DE138" i="1"/>
  <c r="BE129" i="1"/>
  <c r="DI119" i="1"/>
  <c r="BI110" i="1"/>
  <c r="I101" i="1"/>
  <c r="BM91" i="1"/>
  <c r="M82" i="1"/>
  <c r="BQ72" i="1"/>
  <c r="O360" i="1"/>
  <c r="V286" i="1"/>
  <c r="AD248" i="1"/>
  <c r="AL210" i="1"/>
  <c r="BX177" i="1"/>
  <c r="X168" i="1"/>
  <c r="CB158" i="1"/>
  <c r="AB149" i="1"/>
  <c r="CF139" i="1"/>
  <c r="AF130" i="1"/>
  <c r="CJ120" i="1"/>
  <c r="AJ111" i="1"/>
  <c r="CN101" i="1"/>
  <c r="AN92" i="1"/>
  <c r="CR82" i="1"/>
  <c r="AR73" i="1"/>
  <c r="BB299" i="1"/>
  <c r="BG171" i="1"/>
  <c r="BO133" i="1"/>
  <c r="BW95" i="1"/>
  <c r="CT63" i="1"/>
  <c r="AT54" i="1"/>
  <c r="CX44" i="1"/>
  <c r="AX35" i="1"/>
  <c r="DB25" i="1"/>
  <c r="BB16" i="1"/>
  <c r="DF6" i="1"/>
  <c r="AE159" i="1"/>
  <c r="DG60" i="1"/>
  <c r="CU30" i="1"/>
  <c r="DC343" i="1"/>
  <c r="BW176" i="1"/>
  <c r="CE138" i="1"/>
  <c r="CM100" i="1"/>
  <c r="AU352" i="1"/>
  <c r="AD284" i="1"/>
  <c r="AL246" i="1"/>
  <c r="AT208" i="1"/>
  <c r="X177" i="1"/>
  <c r="CB167" i="1"/>
  <c r="AB158" i="1"/>
  <c r="CF148" i="1"/>
  <c r="AF139" i="1"/>
  <c r="CJ129" i="1"/>
  <c r="AJ120" i="1"/>
  <c r="CN110" i="1"/>
  <c r="AN101" i="1"/>
  <c r="CR91" i="1"/>
  <c r="AR82" i="1"/>
  <c r="CV72" i="1"/>
  <c r="CH291" i="1"/>
  <c r="BO169" i="1"/>
  <c r="BW131" i="1"/>
  <c r="CE93" i="1"/>
  <c r="AT63" i="1"/>
  <c r="CX53" i="1"/>
  <c r="AX44" i="1"/>
  <c r="DB34" i="1"/>
  <c r="BB25" i="1"/>
  <c r="DF15" i="1"/>
  <c r="BF6" i="1"/>
  <c r="O155" i="1"/>
  <c r="U68" i="1"/>
  <c r="J303" i="1"/>
  <c r="R265" i="1"/>
  <c r="Z227" i="1"/>
  <c r="AH189" i="1"/>
  <c r="AV172" i="1"/>
  <c r="CZ162" i="1"/>
  <c r="AZ153" i="1"/>
  <c r="DD143" i="1"/>
  <c r="BD134" i="1"/>
  <c r="DH124" i="1"/>
  <c r="BH115" i="1"/>
  <c r="H106" i="1"/>
  <c r="BL96" i="1"/>
  <c r="L87" i="1"/>
  <c r="BP77" i="1"/>
  <c r="P68" i="1"/>
  <c r="AL215" i="1"/>
  <c r="BC150" i="1"/>
  <c r="BK112" i="1"/>
  <c r="BS74" i="1"/>
  <c r="BR58" i="1"/>
  <c r="R49" i="1"/>
  <c r="BV39" i="1"/>
  <c r="V30" i="1"/>
  <c r="BZ20" i="1"/>
  <c r="Z11" i="1"/>
  <c r="DF285" i="1"/>
  <c r="CE96" i="1"/>
  <c r="CM43" i="1"/>
  <c r="CA13" i="1"/>
  <c r="BJ233" i="1"/>
  <c r="CO67" i="1"/>
  <c r="CD301" i="1"/>
  <c r="CL263" i="1"/>
  <c r="CT225" i="1"/>
  <c r="DB187" i="1"/>
  <c r="L172" i="1"/>
  <c r="BP162" i="1"/>
  <c r="P153" i="1"/>
  <c r="BT143" i="1"/>
  <c r="T134" i="1"/>
  <c r="BX124" i="1"/>
  <c r="X115" i="1"/>
  <c r="CB105" i="1"/>
  <c r="AB96" i="1"/>
  <c r="CF86" i="1"/>
  <c r="AF77" i="1"/>
  <c r="CJ67" i="1"/>
  <c r="DF209" i="1"/>
  <c r="S149" i="1"/>
  <c r="AA111" i="1"/>
  <c r="AI73" i="1"/>
  <c r="AH58" i="1"/>
  <c r="CL48" i="1"/>
  <c r="AL39" i="1"/>
  <c r="CP29" i="1"/>
  <c r="AP20" i="1"/>
  <c r="CT10" i="1"/>
  <c r="N277" i="1"/>
  <c r="BG94" i="1"/>
  <c r="AE43" i="1"/>
  <c r="O13" i="1"/>
  <c r="BN230" i="1"/>
  <c r="AI154" i="1"/>
  <c r="AQ116" i="1"/>
  <c r="DF309" i="1"/>
  <c r="CA117" i="1"/>
  <c r="BS71" i="1"/>
  <c r="CS57" i="1"/>
  <c r="AS48" i="1"/>
  <c r="CW38" i="1"/>
  <c r="AW29" i="1"/>
  <c r="DA19" i="1"/>
  <c r="BA10" i="1"/>
  <c r="Z220" i="1"/>
  <c r="O64" i="1"/>
  <c r="AY36" i="1"/>
  <c r="CU8" i="1"/>
  <c r="BB211" i="1"/>
  <c r="BG149" i="1"/>
  <c r="BO111" i="1"/>
  <c r="BW73" i="1"/>
  <c r="AR58" i="1"/>
  <c r="CV48" i="1"/>
  <c r="AV39" i="1"/>
  <c r="CZ29" i="1"/>
  <c r="AZ20" i="1"/>
  <c r="DD10" i="1"/>
  <c r="AH246" i="1"/>
  <c r="AE95" i="1"/>
  <c r="AM45" i="1"/>
  <c r="BK17" i="1"/>
  <c r="CQ26" i="1"/>
  <c r="AH222" i="1"/>
  <c r="BO106" i="1"/>
  <c r="W66" i="1"/>
  <c r="BE56" i="1"/>
  <c r="DI46" i="1"/>
  <c r="BI37" i="1"/>
  <c r="I28" i="1"/>
  <c r="BM18" i="1"/>
  <c r="BR208" i="1"/>
  <c r="CL148" i="1"/>
  <c r="CT110" i="1"/>
  <c r="DB72" i="1"/>
  <c r="BK334" i="1"/>
  <c r="CI329" i="1"/>
  <c r="BK322" i="1"/>
  <c r="BP238" i="1"/>
  <c r="AM321" i="1"/>
  <c r="BK238" i="1"/>
  <c r="AU187" i="1"/>
  <c r="R172" i="1"/>
  <c r="AX132" i="1"/>
  <c r="BF94" i="1"/>
  <c r="CP291" i="1"/>
  <c r="BQ169" i="1"/>
  <c r="BY131" i="1"/>
  <c r="CG93" i="1"/>
  <c r="DF286" i="1"/>
  <c r="AT168" i="1"/>
  <c r="BB130" i="1"/>
  <c r="BJ92" i="1"/>
  <c r="BN284" i="1"/>
  <c r="CK167" i="1"/>
  <c r="CS129" i="1"/>
  <c r="DA91" i="1"/>
  <c r="AD286" i="1"/>
  <c r="Z168" i="1"/>
  <c r="AH130" i="1"/>
  <c r="AP92" i="1"/>
  <c r="CP283" i="1"/>
  <c r="BQ167" i="1"/>
  <c r="BY129" i="1"/>
  <c r="CG91" i="1"/>
  <c r="DF278" i="1"/>
  <c r="AT166" i="1"/>
  <c r="AK86" i="1"/>
  <c r="CD86" i="1"/>
  <c r="BY141" i="1"/>
  <c r="AH394" i="1"/>
  <c r="BB140" i="1"/>
  <c r="N102" i="1"/>
  <c r="BK352" i="1"/>
  <c r="Y177" i="1"/>
  <c r="CO142" i="1"/>
  <c r="CS123" i="1"/>
  <c r="CW104" i="1"/>
  <c r="DA85" i="1"/>
  <c r="CK67" i="1"/>
  <c r="BV263" i="1"/>
  <c r="CL187" i="1"/>
  <c r="BL162" i="1"/>
  <c r="BP143" i="1"/>
  <c r="BT124" i="1"/>
  <c r="BX105" i="1"/>
  <c r="CB86" i="1"/>
  <c r="CF67" i="1"/>
  <c r="DG148" i="1"/>
  <c r="S73" i="1"/>
  <c r="CH48" i="1"/>
  <c r="CL29" i="1"/>
  <c r="CP10" i="1"/>
  <c r="K94" i="1"/>
  <c r="DG12" i="1"/>
  <c r="S154" i="1"/>
  <c r="AK67" i="1"/>
  <c r="CD261" i="1"/>
  <c r="CT185" i="1"/>
  <c r="L162" i="1"/>
  <c r="P143" i="1"/>
  <c r="P127" i="1"/>
  <c r="BT117" i="1"/>
  <c r="T108" i="1"/>
  <c r="BX98" i="1"/>
  <c r="X89" i="1"/>
  <c r="CB79" i="1"/>
  <c r="AB70" i="1"/>
  <c r="N249" i="1"/>
  <c r="CY158" i="1"/>
  <c r="DG120" i="1"/>
  <c r="K83" i="1"/>
  <c r="CD60" i="1"/>
  <c r="AD51" i="1"/>
  <c r="CH41" i="1"/>
  <c r="AH32" i="1"/>
  <c r="BZ15" i="1"/>
  <c r="CT301" i="1"/>
  <c r="P172" i="1"/>
  <c r="X134" i="1"/>
  <c r="AF96" i="1"/>
  <c r="BN210" i="1"/>
  <c r="AL58" i="1"/>
  <c r="AT20" i="1"/>
  <c r="CY42" i="1"/>
  <c r="BJ300" i="1"/>
  <c r="CJ171" i="1"/>
  <c r="CR133" i="1"/>
  <c r="CZ95" i="1"/>
  <c r="AD205" i="1"/>
  <c r="DF57" i="1"/>
  <c r="J20" i="1"/>
  <c r="AE42" i="1"/>
  <c r="W115" i="1"/>
  <c r="BM57" i="1"/>
  <c r="BU19" i="1"/>
  <c r="BO35" i="1"/>
  <c r="AU110" i="1"/>
  <c r="P39" i="1"/>
  <c r="BV232" i="1"/>
  <c r="AI23" i="1"/>
  <c r="Y56" i="1"/>
  <c r="AG18" i="1"/>
  <c r="BS31" i="1"/>
  <c r="CY104" i="1"/>
  <c r="CF37" i="1"/>
  <c r="CE176" i="1"/>
  <c r="CY27" i="1"/>
  <c r="BY50" i="1"/>
  <c r="CG12" i="1"/>
  <c r="BO15" i="1"/>
  <c r="AM185" i="1"/>
  <c r="BJ69" i="1"/>
  <c r="DA132" i="1"/>
  <c r="F292" i="1"/>
  <c r="CD135" i="1"/>
  <c r="CL97" i="1"/>
  <c r="F305" i="1"/>
  <c r="CW172" i="1"/>
  <c r="DE134" i="1"/>
  <c r="I97" i="1"/>
  <c r="N308" i="1"/>
  <c r="BX173" i="1"/>
  <c r="CF135" i="1"/>
  <c r="CN97" i="1"/>
  <c r="BB235" i="1"/>
  <c r="CT59" i="1"/>
  <c r="DB21" i="1"/>
  <c r="AE48" i="1"/>
  <c r="CE122" i="1"/>
  <c r="AL230" i="1"/>
  <c r="AB154" i="1"/>
  <c r="F159" i="1"/>
  <c r="CO177" i="1"/>
  <c r="DE101" i="1"/>
  <c r="BR176" i="1"/>
  <c r="V120" i="1"/>
  <c r="AD82" i="1"/>
  <c r="CL242" i="1"/>
  <c r="AO157" i="1"/>
  <c r="AW119" i="1"/>
  <c r="BE81" i="1"/>
  <c r="CT245" i="1"/>
  <c r="P158" i="1"/>
  <c r="X120" i="1"/>
  <c r="AF82" i="1"/>
  <c r="AA131" i="1"/>
  <c r="AL44" i="1"/>
  <c r="AT6" i="1"/>
  <c r="BN310" i="1"/>
  <c r="CY342" i="1"/>
  <c r="BP176" i="1"/>
  <c r="BX138" i="1"/>
  <c r="CF100" i="1"/>
  <c r="AH282" i="1"/>
  <c r="CL62" i="1"/>
  <c r="CT24" i="1"/>
  <c r="BM67" i="1"/>
  <c r="CX186" i="1"/>
  <c r="AR143" i="1"/>
  <c r="AZ105" i="1"/>
  <c r="BH67" i="1"/>
  <c r="AE72" i="1"/>
  <c r="BN29" i="1"/>
  <c r="BS89" i="1"/>
  <c r="AC67" i="1"/>
  <c r="BN185" i="1"/>
  <c r="H143" i="1"/>
  <c r="P105" i="1"/>
  <c r="X67" i="1"/>
  <c r="CY70" i="1"/>
  <c r="AD29" i="1"/>
  <c r="AE87" i="1"/>
  <c r="CY151" i="1"/>
  <c r="AE69" i="1"/>
  <c r="CO28" i="1"/>
  <c r="AU62" i="1"/>
  <c r="S147" i="1"/>
  <c r="AJ48" i="1"/>
  <c r="AR10" i="1"/>
  <c r="CM15" i="1"/>
  <c r="AS65" i="1"/>
  <c r="BA27" i="1"/>
  <c r="CC6" i="1"/>
  <c r="BW126" i="1"/>
  <c r="AA53" i="1"/>
  <c r="BO25" i="1"/>
  <c r="AL303" i="1"/>
  <c r="BC172" i="1"/>
  <c r="BK134" i="1"/>
  <c r="BS96" i="1"/>
  <c r="P64" i="1"/>
  <c r="BT54" i="1"/>
  <c r="T45" i="1"/>
  <c r="BX35" i="1"/>
  <c r="X26" i="1"/>
  <c r="CB16" i="1"/>
  <c r="AB7" i="1"/>
  <c r="CI157" i="1"/>
  <c r="AA62" i="1"/>
  <c r="AY34" i="1"/>
  <c r="BO44" i="1"/>
  <c r="BK360" i="1"/>
  <c r="BC119" i="1"/>
  <c r="BG72" i="1"/>
  <c r="M58" i="1"/>
  <c r="BQ48" i="1"/>
  <c r="Q39" i="1"/>
  <c r="BU29" i="1"/>
  <c r="U20" i="1"/>
  <c r="BY10" i="1"/>
  <c r="BB231" i="1"/>
  <c r="CE64" i="1"/>
  <c r="K37" i="1"/>
  <c r="BG9" i="1"/>
  <c r="F215" i="1"/>
  <c r="AU150" i="1"/>
  <c r="BC112" i="1"/>
  <c r="BK74" i="1"/>
  <c r="BP58" i="1"/>
  <c r="P49" i="1"/>
  <c r="BT39" i="1"/>
  <c r="T30" i="1"/>
  <c r="BX20" i="1"/>
  <c r="X11" i="1"/>
  <c r="DB256" i="1"/>
  <c r="CY97" i="1"/>
  <c r="K46" i="1"/>
  <c r="AE18" i="1"/>
  <c r="AU59" i="1"/>
  <c r="CI155" i="1"/>
  <c r="CE90" i="1"/>
  <c r="BU62" i="1"/>
  <c r="U53" i="1"/>
  <c r="BQ110" i="1"/>
  <c r="BY72" i="1"/>
  <c r="Z209" i="1"/>
  <c r="DB148" i="1"/>
  <c r="F111" i="1"/>
  <c r="N73" i="1"/>
  <c r="R228" i="1"/>
  <c r="BU172" i="1"/>
  <c r="BY153" i="1"/>
  <c r="CC134" i="1"/>
  <c r="CG115" i="1"/>
  <c r="CK96" i="1"/>
  <c r="CO77" i="1"/>
  <c r="R299" i="1"/>
  <c r="AH223" i="1"/>
  <c r="AX171" i="1"/>
  <c r="BB152" i="1"/>
  <c r="BR136" i="1"/>
  <c r="R127" i="1"/>
  <c r="BV117" i="1"/>
  <c r="V108" i="1"/>
  <c r="BZ98" i="1"/>
  <c r="Z89" i="1"/>
  <c r="CD79" i="1"/>
  <c r="AD70" i="1"/>
  <c r="BN308" i="1"/>
  <c r="BV270" i="1"/>
  <c r="CD232" i="1"/>
  <c r="CL194" i="1"/>
  <c r="CK173" i="1"/>
  <c r="AK164" i="1"/>
  <c r="CO154" i="1"/>
  <c r="AO145" i="1"/>
  <c r="CS135" i="1"/>
  <c r="AS126" i="1"/>
  <c r="CW116" i="1"/>
  <c r="AW107" i="1"/>
  <c r="DA97" i="1"/>
  <c r="BA88" i="1"/>
  <c r="DE78" i="1"/>
  <c r="AK70" i="1"/>
  <c r="BV311" i="1"/>
  <c r="CD273" i="1"/>
  <c r="CL235" i="1"/>
  <c r="CT197" i="1"/>
  <c r="BL174" i="1"/>
  <c r="L165" i="1"/>
  <c r="BP155" i="1"/>
  <c r="P146" i="1"/>
  <c r="BT136" i="1"/>
  <c r="T127" i="1"/>
  <c r="BX117" i="1"/>
  <c r="X108" i="1"/>
  <c r="CB98" i="1"/>
  <c r="AB89" i="1"/>
  <c r="CF79" i="1"/>
  <c r="AF70" i="1"/>
  <c r="BZ249" i="1"/>
  <c r="K159" i="1"/>
  <c r="S121" i="1"/>
  <c r="AA83" i="1"/>
  <c r="CH60" i="1"/>
  <c r="AH51" i="1"/>
  <c r="CL41" i="1"/>
  <c r="AL32" i="1"/>
  <c r="CP22" i="1"/>
  <c r="AP13" i="1"/>
  <c r="CT3" i="1"/>
  <c r="AQ126" i="1"/>
  <c r="G51" i="1"/>
  <c r="O21" i="1"/>
  <c r="AH270" i="1"/>
  <c r="AA164" i="1"/>
  <c r="AI126" i="1"/>
  <c r="CO69" i="1"/>
  <c r="CD309" i="1"/>
  <c r="CL271" i="1"/>
  <c r="CT233" i="1"/>
  <c r="DB195" i="1"/>
  <c r="L174" i="1"/>
  <c r="BP164" i="1"/>
  <c r="P155" i="1"/>
  <c r="BT145" i="1"/>
  <c r="T136" i="1"/>
  <c r="BX126" i="1"/>
  <c r="X117" i="1"/>
  <c r="CB107" i="1"/>
  <c r="AB98" i="1"/>
  <c r="CF88" i="1"/>
  <c r="AF79" i="1"/>
  <c r="CJ69" i="1"/>
  <c r="DF241" i="1"/>
  <c r="S157" i="1"/>
  <c r="AA119" i="1"/>
  <c r="AI81" i="1"/>
  <c r="AH60" i="1"/>
  <c r="CL50" i="1"/>
  <c r="AL41" i="1"/>
  <c r="CP31" i="1"/>
  <c r="AP22" i="1"/>
  <c r="CT12" i="1"/>
  <c r="AT3" i="1"/>
  <c r="S120" i="1"/>
  <c r="DB404" i="1"/>
  <c r="BR290" i="1"/>
  <c r="BZ252" i="1"/>
  <c r="CH214" i="1"/>
  <c r="CJ178" i="1"/>
  <c r="AJ169" i="1"/>
  <c r="CN159" i="1"/>
  <c r="AN150" i="1"/>
  <c r="CR140" i="1"/>
  <c r="AR131" i="1"/>
  <c r="CV121" i="1"/>
  <c r="AV112" i="1"/>
  <c r="CZ102" i="1"/>
  <c r="AZ93" i="1"/>
  <c r="DD83" i="1"/>
  <c r="BD74" i="1"/>
  <c r="CA332" i="1"/>
  <c r="DC175" i="1"/>
  <c r="G138" i="1"/>
  <c r="O100" i="1"/>
  <c r="DF64" i="1"/>
  <c r="BF55" i="1"/>
  <c r="F46" i="1"/>
  <c r="BJ36" i="1"/>
  <c r="J27" i="1"/>
  <c r="BN17" i="1"/>
  <c r="N8" i="1"/>
  <c r="AE167" i="1"/>
  <c r="G64" i="1"/>
  <c r="G34" i="1"/>
  <c r="CM3" i="1"/>
  <c r="CH183" i="1"/>
  <c r="BR383" i="1"/>
  <c r="AH289" i="1"/>
  <c r="AP251" i="1"/>
  <c r="AX213" i="1"/>
  <c r="AZ178" i="1"/>
  <c r="DD168" i="1"/>
  <c r="BD159" i="1"/>
  <c r="DH149" i="1"/>
  <c r="BH140" i="1"/>
  <c r="H131" i="1"/>
  <c r="BL121" i="1"/>
  <c r="L112" i="1"/>
  <c r="BP102" i="1"/>
  <c r="P93" i="1"/>
  <c r="BT83" i="1"/>
  <c r="T74" i="1"/>
  <c r="CX311" i="1"/>
  <c r="BS174" i="1"/>
  <c r="CA136" i="1"/>
  <c r="CI98" i="1"/>
  <c r="BV64" i="1"/>
  <c r="V55" i="1"/>
  <c r="BZ45" i="1"/>
  <c r="Z36" i="1"/>
  <c r="CD26" i="1"/>
  <c r="AD17" i="1"/>
  <c r="CH7" i="1"/>
  <c r="CI165" i="1"/>
  <c r="AY63" i="1"/>
  <c r="BC33" i="1"/>
  <c r="AI3" i="1"/>
  <c r="CL180" i="1"/>
  <c r="CQ141" i="1"/>
  <c r="CY103" i="1"/>
  <c r="BW168" i="1"/>
  <c r="O97" i="1"/>
  <c r="AC64" i="1"/>
  <c r="CG54" i="1"/>
  <c r="AG45" i="1"/>
  <c r="CK35" i="1"/>
  <c r="AK26" i="1"/>
  <c r="CO16" i="1"/>
  <c r="AO7" i="1"/>
  <c r="K134" i="1"/>
  <c r="G55" i="1"/>
  <c r="AY27" i="1"/>
  <c r="AI317" i="1"/>
  <c r="DG174" i="1"/>
  <c r="K137" i="1"/>
  <c r="S99" i="1"/>
  <c r="CF64" i="1"/>
  <c r="AF55" i="1"/>
  <c r="CJ45" i="1"/>
  <c r="AJ36" i="1"/>
  <c r="CN26" i="1"/>
  <c r="AN17" i="1"/>
  <c r="CR7" i="1"/>
  <c r="BG162" i="1"/>
  <c r="K64" i="1"/>
  <c r="AI36" i="1"/>
  <c r="BC8" i="1"/>
  <c r="AE62" i="1"/>
  <c r="BK157" i="1"/>
  <c r="BS91" i="1"/>
  <c r="CS62" i="1"/>
  <c r="AS53" i="1"/>
  <c r="CW43" i="1"/>
  <c r="AW34" i="1"/>
  <c r="DA24" i="1"/>
  <c r="BA15" i="1"/>
  <c r="DE5" i="1"/>
  <c r="CI117" i="1"/>
  <c r="K51" i="1"/>
  <c r="BC23" i="1"/>
  <c r="BB291" i="1"/>
  <c r="BG169" i="1"/>
  <c r="BO131" i="1"/>
  <c r="BW93" i="1"/>
  <c r="AR63" i="1"/>
  <c r="CV53" i="1"/>
  <c r="AV44" i="1"/>
  <c r="CZ34" i="1"/>
  <c r="AZ25" i="1"/>
  <c r="DD15" i="1"/>
  <c r="BD6" i="1"/>
  <c r="CQ151" i="1"/>
  <c r="K60" i="1"/>
  <c r="AA32" i="1"/>
  <c r="BK35" i="1"/>
  <c r="CL276" i="1"/>
  <c r="BK113" i="1"/>
  <c r="BK69" i="1"/>
  <c r="AO57" i="1"/>
  <c r="CS47" i="1"/>
  <c r="AS38" i="1"/>
  <c r="CW28" i="1"/>
  <c r="AW19" i="1"/>
  <c r="DA9" i="1"/>
  <c r="BF196" i="1"/>
  <c r="BS62" i="1"/>
  <c r="CY34" i="1"/>
  <c r="AY7" i="1"/>
  <c r="V203" i="1"/>
  <c r="AY147" i="1"/>
  <c r="BG109" i="1"/>
  <c r="BO71" i="1"/>
  <c r="CR57" i="1"/>
  <c r="AR48" i="1"/>
  <c r="CV38" i="1"/>
  <c r="AV29" i="1"/>
  <c r="CZ19" i="1"/>
  <c r="AZ10" i="1"/>
  <c r="CF144" i="1"/>
  <c r="CN106" i="1"/>
  <c r="CV68" i="1"/>
  <c r="CE77" i="1"/>
  <c r="DB30" i="1"/>
  <c r="CU108" i="1"/>
  <c r="Z211" i="1"/>
  <c r="AZ149" i="1"/>
  <c r="BH111" i="1"/>
  <c r="BP73" i="1"/>
  <c r="BK96" i="1"/>
  <c r="BV35" i="1"/>
  <c r="CQ159" i="1"/>
  <c r="DC176" i="1"/>
  <c r="CT209" i="1"/>
  <c r="P149" i="1"/>
  <c r="X111" i="1"/>
  <c r="AF73" i="1"/>
  <c r="AA95" i="1"/>
  <c r="AL35" i="1"/>
  <c r="AA158" i="1"/>
  <c r="AA176" i="1"/>
  <c r="BK93" i="1"/>
  <c r="CW34" i="1"/>
  <c r="CA123" i="1"/>
  <c r="AY171" i="1"/>
  <c r="AR54" i="1"/>
  <c r="AZ16" i="1"/>
  <c r="BW33" i="1"/>
  <c r="K88" i="1"/>
  <c r="BI33" i="1"/>
  <c r="AU107" i="1"/>
  <c r="DC165" i="1"/>
  <c r="DH52" i="1"/>
  <c r="L15" i="1"/>
  <c r="BW29" i="1"/>
  <c r="O66" i="1"/>
  <c r="DI27" i="1"/>
  <c r="DG59" i="1"/>
  <c r="BC144" i="1"/>
  <c r="BS68" i="1"/>
  <c r="BT47" i="1"/>
  <c r="BX28" i="1"/>
  <c r="CB9" i="1"/>
  <c r="O123" i="1"/>
  <c r="AU43" i="1"/>
  <c r="BW5" i="1"/>
  <c r="BK173" i="1"/>
  <c r="W87" i="1"/>
  <c r="BU58" i="1"/>
  <c r="BU46" i="1"/>
  <c r="U37" i="1"/>
  <c r="BY27" i="1"/>
  <c r="Y18" i="1"/>
  <c r="CC8" i="1"/>
  <c r="W169" i="1"/>
  <c r="G59" i="1"/>
  <c r="AQ31" i="1"/>
  <c r="CQ3" i="1"/>
  <c r="AD181" i="1"/>
  <c r="DC141" i="1"/>
  <c r="G104" i="1"/>
  <c r="V66" i="1"/>
  <c r="BD56" i="1"/>
  <c r="DH46" i="1"/>
  <c r="BH37" i="1"/>
  <c r="H28" i="1"/>
  <c r="BL18" i="1"/>
  <c r="L9" i="1"/>
  <c r="AA174" i="1"/>
  <c r="G73" i="1"/>
  <c r="CA7" i="1"/>
  <c r="DD110" i="1"/>
  <c r="H73" i="1"/>
  <c r="AM94" i="1"/>
  <c r="N35" i="1"/>
  <c r="AY156" i="1"/>
  <c r="CL227" i="1"/>
  <c r="BP153" i="1"/>
  <c r="BX115" i="1"/>
  <c r="CF77" i="1"/>
  <c r="S113" i="1"/>
  <c r="CL39" i="1"/>
  <c r="BZ293" i="1"/>
  <c r="CX235" i="1"/>
  <c r="BB226" i="1"/>
  <c r="AF153" i="1"/>
  <c r="AN115" i="1"/>
  <c r="AV77" i="1"/>
  <c r="CM111" i="1"/>
  <c r="BB39" i="1"/>
  <c r="CL284" i="1"/>
  <c r="DB232" i="1"/>
  <c r="CU118" i="1"/>
  <c r="I39" i="1"/>
  <c r="AL227" i="1"/>
  <c r="CP213" i="1"/>
  <c r="BH58" i="1"/>
  <c r="BP20" i="1"/>
  <c r="CQ45" i="1"/>
  <c r="CI107" i="1"/>
  <c r="BY37" i="1"/>
  <c r="AE175" i="1"/>
  <c r="CX191" i="1"/>
  <c r="T57" i="1"/>
  <c r="AB19" i="1"/>
  <c r="CQ41" i="1"/>
  <c r="BO82" i="1"/>
  <c r="U32" i="1"/>
  <c r="AU91" i="1"/>
  <c r="BC160" i="1"/>
  <c r="BG77" i="1"/>
  <c r="CR49" i="1"/>
  <c r="CV30" i="1"/>
  <c r="CZ11" i="1"/>
  <c r="AI140" i="1"/>
  <c r="AU47" i="1"/>
  <c r="BG10" i="1"/>
  <c r="DF245" i="1"/>
  <c r="BG92" i="1"/>
  <c r="DE59" i="1"/>
  <c r="BY47" i="1"/>
  <c r="Y38" i="1"/>
  <c r="CC28" i="1"/>
  <c r="AC19" i="1"/>
  <c r="CG9" i="1"/>
  <c r="Z188" i="1"/>
  <c r="K62" i="1"/>
  <c r="AU34" i="1"/>
  <c r="CQ6" i="1"/>
  <c r="CP197" i="1"/>
  <c r="O146" i="1"/>
  <c r="W108" i="1"/>
  <c r="AE70" i="1"/>
  <c r="BH57" i="1"/>
  <c r="H48" i="1"/>
  <c r="BL38" i="1"/>
  <c r="L29" i="1"/>
  <c r="BP19" i="1"/>
  <c r="P10" i="1"/>
  <c r="DF205" i="1"/>
  <c r="AM85" i="1"/>
  <c r="CU22" i="1"/>
  <c r="P115" i="1"/>
  <c r="X77" i="1"/>
  <c r="CY110" i="1"/>
  <c r="AD39" i="1"/>
  <c r="BJ273" i="1"/>
  <c r="AT244" i="1"/>
  <c r="CF157" i="1"/>
  <c r="CN119" i="1"/>
  <c r="CV81" i="1"/>
  <c r="CE129" i="1"/>
  <c r="DB43" i="1"/>
  <c r="F6" i="1"/>
  <c r="AH302" i="1"/>
  <c r="J243" i="1"/>
  <c r="AV157" i="1"/>
  <c r="BD119" i="1"/>
  <c r="BL81" i="1"/>
  <c r="AU128" i="1"/>
  <c r="BR43" i="1"/>
  <c r="BZ5" i="1"/>
  <c r="AL299" i="1"/>
  <c r="K152" i="1"/>
  <c r="Y43" i="1"/>
  <c r="AG5" i="1"/>
  <c r="Z280" i="1"/>
  <c r="BX62" i="1"/>
  <c r="CF24" i="1"/>
  <c r="G58" i="1"/>
  <c r="DC140" i="1"/>
  <c r="CO41" i="1"/>
  <c r="CW3" i="1"/>
  <c r="AH258" i="1"/>
  <c r="AJ61" i="1"/>
  <c r="AR23" i="1"/>
  <c r="G54" i="1"/>
  <c r="W99" i="1"/>
  <c r="AK36" i="1"/>
  <c r="S140" i="1"/>
  <c r="K177" i="1"/>
  <c r="AA85" i="1"/>
  <c r="CJ51" i="1"/>
  <c r="CN32" i="1"/>
  <c r="CR13" i="1"/>
  <c r="CY153" i="1"/>
  <c r="CI51" i="1"/>
  <c r="AQ14" i="1"/>
  <c r="G3" i="1"/>
  <c r="AY98" i="1"/>
  <c r="AK61" i="1"/>
  <c r="CC48" i="1"/>
  <c r="AC39" i="1"/>
  <c r="CG29" i="1"/>
  <c r="AG20" i="1"/>
  <c r="CK10" i="1"/>
  <c r="CL236" i="1"/>
  <c r="O65" i="1"/>
  <c r="AY37" i="1"/>
  <c r="CM9" i="1"/>
  <c r="AP53" i="1"/>
  <c r="AX15" i="1"/>
  <c r="BS27" i="1"/>
  <c r="CW71" i="1"/>
  <c r="AD204" i="1"/>
  <c r="CB147" i="1"/>
  <c r="DB132" i="1"/>
  <c r="CK164" i="1"/>
  <c r="DA88" i="1"/>
  <c r="BN163" i="1"/>
  <c r="BV113" i="1"/>
  <c r="CD75" i="1"/>
  <c r="CD216" i="1"/>
  <c r="CO150" i="1"/>
  <c r="CW112" i="1"/>
  <c r="DE74" i="1"/>
  <c r="CL219" i="1"/>
  <c r="BP151" i="1"/>
  <c r="BX113" i="1"/>
  <c r="CF75" i="1"/>
  <c r="S105" i="1"/>
  <c r="CL37" i="1"/>
  <c r="AD201" i="1"/>
  <c r="AH206" i="1"/>
  <c r="CD293" i="1"/>
  <c r="L170" i="1"/>
  <c r="T132" i="1"/>
  <c r="AB94" i="1"/>
  <c r="K179" i="1"/>
  <c r="AH56" i="1"/>
  <c r="AP18" i="1"/>
  <c r="CU313" i="1"/>
  <c r="CJ174" i="1"/>
  <c r="CR136" i="1"/>
  <c r="CZ98" i="1"/>
  <c r="AD253" i="1"/>
  <c r="DF60" i="1"/>
  <c r="J23" i="1"/>
  <c r="AE51" i="1"/>
  <c r="Z311" i="1"/>
  <c r="AZ174" i="1"/>
  <c r="BH136" i="1"/>
  <c r="BP98" i="1"/>
  <c r="CX247" i="1"/>
  <c r="BV60" i="1"/>
  <c r="CD22" i="1"/>
  <c r="CA50" i="1"/>
  <c r="CQ125" i="1"/>
  <c r="AC60" i="1"/>
  <c r="AK22" i="1"/>
  <c r="BC43" i="1"/>
  <c r="K121" i="1"/>
  <c r="CJ41" i="1"/>
  <c r="CR3" i="1"/>
  <c r="K4" i="1"/>
  <c r="CS58" i="1"/>
  <c r="DA20" i="1"/>
  <c r="AX82" i="1"/>
  <c r="BL257" i="1"/>
  <c r="BR200" i="1"/>
  <c r="M179" i="1"/>
  <c r="CT177" i="1"/>
  <c r="AG177" i="1"/>
  <c r="BZ177" i="1"/>
  <c r="M177" i="1"/>
  <c r="CT175" i="1"/>
  <c r="CK84" i="1"/>
  <c r="AX208" i="1"/>
  <c r="BY90" i="1"/>
  <c r="AJ167" i="1"/>
  <c r="AZ91" i="1"/>
  <c r="BF53" i="1"/>
  <c r="G28" i="1"/>
  <c r="CP204" i="1"/>
  <c r="DH119" i="1"/>
  <c r="L82" i="1"/>
  <c r="BC130" i="1"/>
  <c r="R44" i="1"/>
  <c r="N188" i="1"/>
  <c r="AY73" i="1"/>
  <c r="CH186" i="1"/>
  <c r="O72" i="1"/>
  <c r="AY70" i="1"/>
  <c r="BP48" i="1"/>
  <c r="CG27" i="1"/>
  <c r="AJ9" i="1"/>
  <c r="W43" i="1"/>
  <c r="I76" i="1"/>
  <c r="AD191" i="1"/>
  <c r="AL194" i="1"/>
  <c r="BW79" i="1"/>
  <c r="AD268" i="1"/>
  <c r="DA120" i="1"/>
  <c r="CD280" i="1"/>
  <c r="CL283" i="1"/>
  <c r="S169" i="1"/>
  <c r="BU72" i="1"/>
  <c r="AJ72" i="1"/>
  <c r="CP224" i="1"/>
  <c r="W110" i="1"/>
  <c r="BF223" i="1"/>
  <c r="CQ108" i="1"/>
  <c r="DC112" i="1"/>
  <c r="CJ57" i="1"/>
  <c r="DA36" i="1"/>
  <c r="BG32" i="1"/>
  <c r="O106" i="1"/>
  <c r="H38" i="1"/>
  <c r="AH182" i="1"/>
  <c r="CI31" i="1"/>
  <c r="DE50" i="1"/>
  <c r="I13" i="1"/>
  <c r="BC16" i="1"/>
  <c r="G84" i="1"/>
  <c r="BH32" i="1"/>
  <c r="CU124" i="1"/>
  <c r="CE174" i="1"/>
  <c r="M120" i="1"/>
  <c r="BF120" i="1"/>
  <c r="AW158" i="1"/>
  <c r="BM82" i="1"/>
  <c r="Z157" i="1"/>
  <c r="BJ110" i="1"/>
  <c r="BR72" i="1"/>
  <c r="AH204" i="1"/>
  <c r="CC147" i="1"/>
  <c r="CK109" i="1"/>
  <c r="AK73" i="1"/>
  <c r="AP207" i="1"/>
  <c r="BD148" i="1"/>
  <c r="BL110" i="1"/>
  <c r="BT72" i="1"/>
  <c r="CA92" i="1"/>
  <c r="BZ34" i="1"/>
  <c r="W153" i="1"/>
  <c r="CA173" i="1"/>
  <c r="AH281" i="1"/>
  <c r="DD166" i="1"/>
  <c r="H129" i="1"/>
  <c r="P91" i="1"/>
  <c r="BS166" i="1"/>
  <c r="V53" i="1"/>
  <c r="AD15" i="1"/>
  <c r="N300" i="1"/>
  <c r="BX171" i="1"/>
  <c r="CF133" i="1"/>
  <c r="CN95" i="1"/>
  <c r="BB203" i="1"/>
  <c r="CT57" i="1"/>
  <c r="DB19" i="1"/>
  <c r="BC41" i="1"/>
  <c r="CH298" i="1"/>
  <c r="AN171" i="1"/>
  <c r="AV133" i="1"/>
  <c r="BD95" i="1"/>
  <c r="R198" i="1"/>
  <c r="BJ57" i="1"/>
  <c r="BR19" i="1"/>
  <c r="CU40" i="1"/>
  <c r="AQ132" i="1"/>
  <c r="CA149" i="1"/>
  <c r="CS61" i="1"/>
  <c r="CW42" i="1"/>
  <c r="DA23" i="1"/>
  <c r="DE4" i="1"/>
  <c r="W48" i="1"/>
  <c r="BB275" i="1"/>
  <c r="BO127" i="1"/>
  <c r="AR62" i="1"/>
  <c r="AV43" i="1"/>
  <c r="AZ24" i="1"/>
  <c r="BD5" i="1"/>
  <c r="K57" i="1"/>
  <c r="CE12" i="1"/>
  <c r="BO138" i="1"/>
  <c r="BE60" i="1"/>
  <c r="BI41" i="1"/>
  <c r="BM22" i="1"/>
  <c r="AW3" i="1"/>
  <c r="W44" i="1"/>
  <c r="BJ253" i="1"/>
  <c r="O122" i="1"/>
  <c r="DH60" i="1"/>
  <c r="H42" i="1"/>
  <c r="L23" i="1"/>
  <c r="P4" i="1"/>
  <c r="W53" i="1"/>
  <c r="BC9" i="1"/>
  <c r="DG97" i="1"/>
  <c r="DE54" i="1"/>
  <c r="DI35" i="1"/>
  <c r="I17" i="1"/>
  <c r="CE136" i="1"/>
  <c r="O28" i="1"/>
  <c r="CU175" i="1"/>
  <c r="G100" i="1"/>
  <c r="BD55" i="1"/>
  <c r="BH36" i="1"/>
  <c r="BL17" i="1"/>
  <c r="AF135" i="1"/>
  <c r="CH227" i="1"/>
  <c r="BB21" i="1"/>
  <c r="CV177" i="1"/>
  <c r="H102" i="1"/>
  <c r="N64" i="1"/>
  <c r="AA61" i="1"/>
  <c r="BL177" i="1"/>
  <c r="CB101" i="1"/>
  <c r="CH63" i="1"/>
  <c r="BO60" i="1"/>
  <c r="AO63" i="1"/>
  <c r="AY52" i="1"/>
  <c r="CV44" i="1"/>
  <c r="CU5" i="1"/>
  <c r="I24" i="1"/>
  <c r="G128" i="1"/>
  <c r="BP5" i="1"/>
  <c r="BA56" i="1"/>
  <c r="AU32" i="1"/>
  <c r="CR61" i="1"/>
  <c r="CZ23" i="1"/>
  <c r="AU87" i="1"/>
  <c r="BG15" i="1"/>
  <c r="CE74" i="1"/>
  <c r="AG44" i="1"/>
  <c r="AK25" i="1"/>
  <c r="AO6" i="1"/>
  <c r="S52" i="1"/>
  <c r="F295" i="1"/>
  <c r="BC132" i="1"/>
  <c r="BP63" i="1"/>
  <c r="BT44" i="1"/>
  <c r="BX25" i="1"/>
  <c r="CB6" i="1"/>
  <c r="CI60" i="1"/>
  <c r="BD101" i="1"/>
  <c r="BJ63" i="1"/>
  <c r="AK68" i="1"/>
  <c r="P144" i="1"/>
  <c r="AF68" i="1"/>
  <c r="AL30" i="1"/>
  <c r="DE67" i="1"/>
  <c r="CJ143" i="1"/>
  <c r="CZ67" i="1"/>
  <c r="DF29" i="1"/>
  <c r="CU154" i="1"/>
  <c r="BM29" i="1"/>
  <c r="O150" i="1"/>
  <c r="P11" i="1"/>
  <c r="CE66" i="1"/>
  <c r="BG60" i="1"/>
  <c r="BX47" i="1"/>
  <c r="AM12" i="1"/>
  <c r="BY22" i="1"/>
  <c r="AU134" i="1"/>
  <c r="P45" i="1"/>
  <c r="X7" i="1"/>
  <c r="AI38" i="1"/>
  <c r="AM159" i="1"/>
  <c r="CS56" i="1"/>
  <c r="CO35" i="1"/>
  <c r="CS16" i="1"/>
  <c r="BG134" i="1"/>
  <c r="BK27" i="1"/>
  <c r="BK174" i="1"/>
  <c r="CA98" i="1"/>
  <c r="T55" i="1"/>
  <c r="X36" i="1"/>
  <c r="AB17" i="1"/>
  <c r="BS161" i="1"/>
  <c r="BL143" i="1"/>
  <c r="CB67" i="1"/>
  <c r="CH29" i="1"/>
  <c r="BB206" i="1"/>
  <c r="AN110" i="1"/>
  <c r="CM91" i="1"/>
  <c r="AQ150" i="1"/>
  <c r="R205" i="1"/>
  <c r="DH109" i="1"/>
  <c r="BC90" i="1"/>
  <c r="BO148" i="1"/>
  <c r="CM88" i="1"/>
  <c r="BC109" i="1"/>
  <c r="X53" i="1"/>
  <c r="AE30" i="1"/>
  <c r="AO32" i="1"/>
  <c r="AA161" i="1"/>
  <c r="CV13" i="1"/>
  <c r="CG64" i="1"/>
  <c r="BK56" i="1"/>
  <c r="AE66" i="1"/>
  <c r="L28" i="1"/>
  <c r="CQ119" i="1"/>
  <c r="G49" i="1"/>
  <c r="AU85" i="1"/>
  <c r="AO46" i="1"/>
  <c r="AS27" i="1"/>
  <c r="AW8" i="1"/>
  <c r="W58" i="1"/>
  <c r="BR399" i="1"/>
  <c r="CA178" i="1"/>
  <c r="CI140" i="1"/>
  <c r="CQ102" i="1"/>
  <c r="BX65" i="1"/>
  <c r="X56" i="1"/>
  <c r="CB46" i="1"/>
  <c r="AB37" i="1"/>
  <c r="CF27" i="1"/>
  <c r="AF18" i="1"/>
  <c r="CJ8" i="1"/>
  <c r="CM170" i="1"/>
  <c r="CY69" i="1"/>
  <c r="AN145" i="1"/>
  <c r="AV107" i="1"/>
  <c r="BD69" i="1"/>
  <c r="O80" i="1"/>
  <c r="BJ31" i="1"/>
  <c r="AY116" i="1"/>
  <c r="BN213" i="1"/>
  <c r="H150" i="1"/>
  <c r="P112" i="1"/>
  <c r="X74" i="1"/>
  <c r="CY98" i="1"/>
  <c r="AD36" i="1"/>
  <c r="CU164" i="1"/>
  <c r="AM179" i="1"/>
  <c r="AD212" i="1"/>
  <c r="CB149" i="1"/>
  <c r="CJ111" i="1"/>
  <c r="CR73" i="1"/>
  <c r="BO97" i="1"/>
  <c r="CX35" i="1"/>
  <c r="AE163" i="1"/>
  <c r="BO178" i="1"/>
  <c r="CY95" i="1"/>
  <c r="BE35" i="1"/>
  <c r="BW130" i="1"/>
  <c r="CM173" i="1"/>
  <c r="DD54" i="1"/>
  <c r="H17" i="1"/>
  <c r="AY35" i="1"/>
  <c r="AY90" i="1"/>
  <c r="Q34" i="1"/>
  <c r="AA114" i="1"/>
  <c r="AM168" i="1"/>
  <c r="BP53" i="1"/>
  <c r="BX15" i="1"/>
  <c r="AU31" i="1"/>
  <c r="AQ68" i="1"/>
  <c r="BQ28" i="1"/>
  <c r="CE61" i="1"/>
  <c r="AE146" i="1"/>
  <c r="AU70" i="1"/>
  <c r="L48" i="1"/>
  <c r="P29" i="1"/>
  <c r="T10" i="1"/>
  <c r="BG126" i="1"/>
  <c r="CQ43" i="1"/>
  <c r="DG6" i="1"/>
  <c r="O177" i="1"/>
  <c r="CI87" i="1"/>
  <c r="CK58" i="1"/>
  <c r="CK46" i="1"/>
  <c r="AK37" i="1"/>
  <c r="CO27" i="1"/>
  <c r="AO18" i="1"/>
  <c r="CS8" i="1"/>
  <c r="DC170" i="1"/>
  <c r="AY59" i="1"/>
  <c r="CQ31" i="1"/>
  <c r="AI4" i="1"/>
  <c r="BR183" i="1"/>
  <c r="BK142" i="1"/>
  <c r="BS104" i="1"/>
  <c r="CA66" i="1"/>
  <c r="BT56" i="1"/>
  <c r="T47" i="1"/>
  <c r="BX37" i="1"/>
  <c r="X28" i="1"/>
  <c r="CB18" i="1"/>
  <c r="AB9" i="1"/>
  <c r="DG175" i="1"/>
  <c r="CM74" i="1"/>
  <c r="DC9" i="1"/>
  <c r="CI125" i="1"/>
  <c r="BJ216" i="1"/>
  <c r="CJ150" i="1"/>
  <c r="CR112" i="1"/>
  <c r="CZ74" i="1"/>
  <c r="CU101" i="1"/>
  <c r="DF36" i="1"/>
  <c r="BO172" i="1"/>
  <c r="CT190" i="1"/>
  <c r="Z215" i="1"/>
  <c r="AZ150" i="1"/>
  <c r="BH112" i="1"/>
  <c r="BP74" i="1"/>
  <c r="BK100" i="1"/>
  <c r="BV36" i="1"/>
  <c r="AQ170" i="1"/>
  <c r="CX187" i="1"/>
  <c r="CU98" i="1"/>
  <c r="AC36" i="1"/>
  <c r="AE139" i="1"/>
  <c r="CI176" i="1"/>
  <c r="CB55" i="1"/>
  <c r="CJ17" i="1"/>
  <c r="CA37" i="1"/>
  <c r="AU93" i="1"/>
  <c r="CS34" i="1"/>
  <c r="AE123" i="1"/>
  <c r="AI171" i="1"/>
  <c r="AN54" i="1"/>
  <c r="AV16" i="1"/>
  <c r="BG33" i="1"/>
  <c r="AM71" i="1"/>
  <c r="AO29" i="1"/>
  <c r="CU63" i="1"/>
  <c r="AA149" i="1"/>
  <c r="CX135" i="1"/>
  <c r="Q166" i="1"/>
  <c r="AG90" i="1"/>
  <c r="CX164" i="1"/>
  <c r="AT114" i="1"/>
  <c r="BB76" i="1"/>
  <c r="BZ219" i="1"/>
  <c r="BM151" i="1"/>
  <c r="BU113" i="1"/>
  <c r="CC75" i="1"/>
  <c r="CH222" i="1"/>
  <c r="AN152" i="1"/>
  <c r="AV114" i="1"/>
  <c r="BD76" i="1"/>
  <c r="O108" i="1"/>
  <c r="BJ38" i="1"/>
  <c r="DF237" i="1"/>
  <c r="R218" i="1"/>
  <c r="BZ296" i="1"/>
  <c r="CN170" i="1"/>
  <c r="AG73" i="1"/>
  <c r="BZ73" i="1"/>
  <c r="U135" i="1"/>
  <c r="CX300" i="1"/>
  <c r="CH136" i="1"/>
  <c r="CP98" i="1"/>
  <c r="V309" i="1"/>
  <c r="DA173" i="1"/>
  <c r="DI135" i="1"/>
  <c r="M98" i="1"/>
  <c r="CA312" i="1"/>
  <c r="CB174" i="1"/>
  <c r="CJ136" i="1"/>
  <c r="CR98" i="1"/>
  <c r="J252" i="1"/>
  <c r="CX60" i="1"/>
  <c r="DF22" i="1"/>
  <c r="BC51" i="1"/>
  <c r="CU126" i="1"/>
  <c r="BB234" i="1"/>
  <c r="AF155" i="1"/>
  <c r="AN117" i="1"/>
  <c r="AV79" i="1"/>
  <c r="CM119" i="1"/>
  <c r="BB41" i="1"/>
  <c r="BJ3" i="1"/>
  <c r="AH253" i="1"/>
  <c r="DD159" i="1"/>
  <c r="H122" i="1"/>
  <c r="P84" i="1"/>
  <c r="BS138" i="1"/>
  <c r="V46" i="1"/>
  <c r="AD8" i="1"/>
  <c r="AM4" i="1"/>
  <c r="DB251" i="1"/>
  <c r="BT159" i="1"/>
  <c r="CB121" i="1"/>
  <c r="CJ83" i="1"/>
  <c r="AI137" i="1"/>
  <c r="CP45" i="1"/>
  <c r="CX7" i="1"/>
  <c r="CA3" i="1"/>
  <c r="CQ169" i="1"/>
  <c r="AW45" i="1"/>
  <c r="BE7" i="1"/>
  <c r="CI326" i="1"/>
  <c r="CV64" i="1"/>
  <c r="DD26" i="1"/>
  <c r="BK64" i="1"/>
  <c r="CE158" i="1"/>
  <c r="I44" i="1"/>
  <c r="CS10" i="1"/>
  <c r="AP240" i="1"/>
  <c r="AM65" i="1"/>
  <c r="BW37" i="1"/>
  <c r="G10" i="1"/>
  <c r="DF217" i="1"/>
  <c r="S151" i="1"/>
  <c r="AA113" i="1"/>
  <c r="AI75" i="1"/>
  <c r="CJ58" i="1"/>
  <c r="AJ49" i="1"/>
  <c r="CN39" i="1"/>
  <c r="AN30" i="1"/>
  <c r="CR20" i="1"/>
  <c r="AR11" i="1"/>
  <c r="AD265" i="1"/>
  <c r="CA99" i="1"/>
  <c r="BO46" i="1"/>
  <c r="CI18" i="1"/>
  <c r="AA54" i="1"/>
  <c r="BW152" i="1"/>
  <c r="O89" i="1"/>
  <c r="AC62" i="1"/>
  <c r="CG52" i="1"/>
  <c r="AG43" i="1"/>
  <c r="CK33" i="1"/>
  <c r="AK24" i="1"/>
  <c r="CO14" i="1"/>
  <c r="AO5" i="1"/>
  <c r="AA110" i="1"/>
  <c r="W49" i="1"/>
  <c r="BS21" i="1"/>
  <c r="AT281" i="1"/>
  <c r="DG166" i="1"/>
  <c r="K129" i="1"/>
  <c r="S91" i="1"/>
  <c r="CF62" i="1"/>
  <c r="AF53" i="1"/>
  <c r="CJ43" i="1"/>
  <c r="AJ34" i="1"/>
  <c r="CN24" i="1"/>
  <c r="AN15" i="1"/>
  <c r="CR5" i="1"/>
  <c r="BS145" i="1"/>
  <c r="AE58" i="1"/>
  <c r="BC30" i="1"/>
  <c r="AU36" i="1"/>
  <c r="AX274" i="1"/>
  <c r="O113" i="1"/>
  <c r="AU69" i="1"/>
  <c r="AK57" i="1"/>
  <c r="Y127" i="1"/>
  <c r="AG89" i="1"/>
  <c r="BN275" i="1"/>
  <c r="BJ165" i="1"/>
  <c r="BR127" i="1"/>
  <c r="BZ89" i="1"/>
  <c r="V273" i="1"/>
  <c r="BB185" i="1"/>
  <c r="DE161" i="1"/>
  <c r="DI142" i="1"/>
  <c r="I124" i="1"/>
  <c r="M105" i="1"/>
  <c r="Q86" i="1"/>
  <c r="BK180" i="1"/>
  <c r="BB256" i="1"/>
  <c r="BR180" i="1"/>
  <c r="CH160" i="1"/>
  <c r="CL141" i="1"/>
  <c r="AH131" i="1"/>
  <c r="CL121" i="1"/>
  <c r="AL112" i="1"/>
  <c r="CP102" i="1"/>
  <c r="AP93" i="1"/>
  <c r="CT83" i="1"/>
  <c r="AT74" i="1"/>
  <c r="AU364" i="1"/>
  <c r="AD287" i="1"/>
  <c r="AL249" i="1"/>
  <c r="AT211" i="1"/>
  <c r="DA177" i="1"/>
  <c r="BA168" i="1"/>
  <c r="DE158" i="1"/>
  <c r="BE149" i="1"/>
  <c r="DI139" i="1"/>
  <c r="BI130" i="1"/>
  <c r="I121" i="1"/>
  <c r="BM111" i="1"/>
  <c r="M102" i="1"/>
  <c r="BQ92" i="1"/>
  <c r="Q83" i="1"/>
  <c r="BU73" i="1"/>
  <c r="Z400" i="1"/>
  <c r="AL290" i="1"/>
  <c r="AT252" i="1"/>
  <c r="BB214" i="1"/>
  <c r="CB178" i="1"/>
  <c r="AB169" i="1"/>
  <c r="CF159" i="1"/>
  <c r="AF150" i="1"/>
  <c r="CJ140" i="1"/>
  <c r="AJ131" i="1"/>
  <c r="CN121" i="1"/>
  <c r="AN112" i="1"/>
  <c r="CR102" i="1"/>
  <c r="AR93" i="1"/>
  <c r="CV83" i="1"/>
  <c r="AV74" i="1"/>
  <c r="DC327" i="1"/>
  <c r="BW175" i="1"/>
  <c r="CE137" i="1"/>
  <c r="CM99" i="1"/>
  <c r="CX64" i="1"/>
  <c r="AX55" i="1"/>
  <c r="DB45" i="1"/>
  <c r="BB36" i="1"/>
  <c r="DF26" i="1"/>
  <c r="BF17" i="1"/>
  <c r="F8" i="1"/>
  <c r="DG167" i="1"/>
  <c r="AE64" i="1"/>
  <c r="W34" i="1"/>
  <c r="O4" i="1"/>
  <c r="DB184" i="1"/>
  <c r="CU142" i="1"/>
  <c r="DC104" i="1"/>
  <c r="AT369" i="1"/>
  <c r="AT288" i="1"/>
  <c r="BB250" i="1"/>
  <c r="BJ212" i="1"/>
  <c r="AB178" i="1"/>
  <c r="CF168" i="1"/>
  <c r="AF159" i="1"/>
  <c r="CJ149" i="1"/>
  <c r="AJ140" i="1"/>
  <c r="CN130" i="1"/>
  <c r="AN121" i="1"/>
  <c r="CR111" i="1"/>
  <c r="AR102" i="1"/>
  <c r="CV92" i="1"/>
  <c r="AV83" i="1"/>
  <c r="CZ73" i="1"/>
  <c r="AP308" i="1"/>
  <c r="CE173" i="1"/>
  <c r="CM135" i="1"/>
  <c r="CU97" i="1"/>
  <c r="AX64" i="1"/>
  <c r="DB54" i="1"/>
  <c r="BB45" i="1"/>
  <c r="DF35" i="1"/>
  <c r="BF26" i="1"/>
  <c r="F17" i="1"/>
  <c r="BJ7" i="1"/>
  <c r="DG163" i="1"/>
  <c r="Y69" i="1"/>
  <c r="Z307" i="1"/>
  <c r="AH269" i="1"/>
  <c r="AP231" i="1"/>
  <c r="AX193" i="1"/>
  <c r="AZ173" i="1"/>
  <c r="DD163" i="1"/>
  <c r="BD154" i="1"/>
  <c r="DH144" i="1"/>
  <c r="BH135" i="1"/>
  <c r="H126" i="1"/>
  <c r="BL116" i="1"/>
  <c r="L107" i="1"/>
  <c r="BP97" i="1"/>
  <c r="P88" i="1"/>
  <c r="BT78" i="1"/>
  <c r="T69" i="1"/>
  <c r="CX231" i="1"/>
  <c r="BS154" i="1"/>
  <c r="CA116" i="1"/>
  <c r="CI78" i="1"/>
  <c r="BV59" i="1"/>
  <c r="V50" i="1"/>
  <c r="BZ40" i="1"/>
  <c r="Z31" i="1"/>
  <c r="CD21" i="1"/>
  <c r="AD12" i="1"/>
  <c r="AO3" i="1"/>
  <c r="BG110" i="1"/>
  <c r="G47" i="1"/>
  <c r="K17" i="1"/>
  <c r="R250" i="1"/>
  <c r="CS68" i="1"/>
  <c r="CT305" i="1"/>
  <c r="DB267" i="1"/>
  <c r="F230" i="1"/>
  <c r="N192" i="1"/>
  <c r="P173" i="1"/>
  <c r="BT163" i="1"/>
  <c r="T154" i="1"/>
  <c r="BX144" i="1"/>
  <c r="X135" i="1"/>
  <c r="CB125" i="1"/>
  <c r="AB116" i="1"/>
  <c r="CF106" i="1"/>
  <c r="AF97" i="1"/>
  <c r="CJ87" i="1"/>
  <c r="AJ78" i="1"/>
  <c r="CN68" i="1"/>
  <c r="BN226" i="1"/>
  <c r="AI153" i="1"/>
  <c r="AQ115" i="1"/>
  <c r="AY77" i="1"/>
  <c r="AL59" i="1"/>
  <c r="CP49" i="1"/>
  <c r="AP40" i="1"/>
  <c r="CT30" i="1"/>
  <c r="AT21" i="1"/>
  <c r="CX11" i="1"/>
  <c r="CH387" i="1"/>
  <c r="DG107" i="1"/>
  <c r="BG46" i="1"/>
  <c r="AY16" i="1"/>
  <c r="V247" i="1"/>
  <c r="AY158" i="1"/>
  <c r="BG120" i="1"/>
  <c r="CU11" i="1"/>
  <c r="DG125" i="1"/>
  <c r="CI75" i="1"/>
  <c r="CW58" i="1"/>
  <c r="AW49" i="1"/>
  <c r="DA39" i="1"/>
  <c r="BA30" i="1"/>
  <c r="DE20" i="1"/>
  <c r="BE11" i="1"/>
  <c r="DF269" i="1"/>
  <c r="DC70" i="1"/>
  <c r="BC39" i="1"/>
  <c r="DC11" i="1"/>
  <c r="J228" i="1"/>
  <c r="BW153" i="1"/>
  <c r="CE115" i="1"/>
  <c r="CM77" i="1"/>
  <c r="AV59" i="1"/>
  <c r="CZ49" i="1"/>
  <c r="AZ40" i="1"/>
  <c r="DD30" i="1"/>
  <c r="BD21" i="1"/>
  <c r="DH11" i="1"/>
  <c r="CT294" i="1"/>
  <c r="CM106" i="1"/>
  <c r="AY48" i="1"/>
  <c r="BO20" i="1"/>
  <c r="BS38" i="1"/>
  <c r="BV288" i="1"/>
  <c r="CU114" i="1"/>
  <c r="AI70" i="1"/>
  <c r="BI57" i="1"/>
  <c r="I48" i="1"/>
  <c r="BM38" i="1"/>
  <c r="M29" i="1"/>
  <c r="BQ19" i="1"/>
  <c r="Q10" i="1"/>
  <c r="CL204" i="1"/>
  <c r="S63" i="1"/>
  <c r="BC35" i="1"/>
  <c r="DC7" i="1"/>
  <c r="R206" i="1"/>
  <c r="W148" i="1"/>
  <c r="AE110" i="1"/>
  <c r="AM72" i="1"/>
  <c r="H58" i="1"/>
  <c r="BL48" i="1"/>
  <c r="L39" i="1"/>
  <c r="BP29" i="1"/>
  <c r="P20" i="1"/>
  <c r="BT10" i="1"/>
  <c r="CT230" i="1"/>
  <c r="O91" i="1"/>
  <c r="AQ44" i="1"/>
  <c r="BS16" i="1"/>
  <c r="CY44" i="1"/>
  <c r="CE146" i="1"/>
  <c r="S86" i="1"/>
  <c r="BE61" i="1"/>
  <c r="DI51" i="1"/>
  <c r="BI42" i="1"/>
  <c r="I33" i="1"/>
  <c r="BM23" i="1"/>
  <c r="M14" i="1"/>
  <c r="BQ4" i="1"/>
  <c r="BS101" i="1"/>
  <c r="O47" i="1"/>
  <c r="BC19" i="1"/>
  <c r="BJ269" i="1"/>
  <c r="G164" i="1"/>
  <c r="O126" i="1"/>
  <c r="W88" i="1"/>
  <c r="DH61" i="1"/>
  <c r="BH52" i="1"/>
  <c r="H43" i="1"/>
  <c r="BL33" i="1"/>
  <c r="L24" i="1"/>
  <c r="BP14" i="1"/>
  <c r="P5" i="1"/>
  <c r="AV123" i="1"/>
  <c r="BD85" i="1"/>
  <c r="O144" i="1"/>
  <c r="BJ47" i="1"/>
  <c r="BR9" i="1"/>
  <c r="BN277" i="1"/>
  <c r="H166" i="1"/>
  <c r="P128" i="1"/>
  <c r="X90" i="1"/>
  <c r="CY162" i="1"/>
  <c r="AD52" i="1"/>
  <c r="AL14" i="1"/>
  <c r="CA23" i="1"/>
  <c r="AD276" i="1"/>
  <c r="CB165" i="1"/>
  <c r="CJ127" i="1"/>
  <c r="CR89" i="1"/>
  <c r="BO161" i="1"/>
  <c r="CX51" i="1"/>
  <c r="DF13" i="1"/>
  <c r="S23" i="1"/>
  <c r="AE38" i="1"/>
  <c r="BE51" i="1"/>
  <c r="BM13" i="1"/>
  <c r="DC17" i="1"/>
  <c r="O86" i="1"/>
  <c r="H33" i="1"/>
  <c r="DC130" i="1"/>
  <c r="DC20" i="1"/>
  <c r="Q50" i="1"/>
  <c r="Y12" i="1"/>
  <c r="G14" i="1"/>
  <c r="BS80" i="1"/>
  <c r="BX31" i="1"/>
  <c r="AE115" i="1"/>
  <c r="AM163" i="1"/>
  <c r="BQ44" i="1"/>
  <c r="BY6" i="1"/>
  <c r="CD302" i="1"/>
  <c r="CM101" i="1"/>
  <c r="CZ55" i="1"/>
  <c r="DD36" i="1"/>
  <c r="DH17" i="1"/>
  <c r="BF180" i="1"/>
  <c r="BK59" i="1"/>
  <c r="BK22" i="1"/>
  <c r="CA38" i="1"/>
  <c r="BW116" i="1"/>
  <c r="Q64" i="1"/>
  <c r="BI51" i="1"/>
  <c r="AK41" i="1"/>
  <c r="CO31" i="1"/>
  <c r="AO22" i="1"/>
  <c r="CS12" i="1"/>
  <c r="X3" i="1"/>
  <c r="O87" i="1"/>
  <c r="BO43" i="1"/>
  <c r="DC15" i="1"/>
  <c r="BR247" i="1"/>
  <c r="BK158" i="1"/>
  <c r="BS120" i="1"/>
  <c r="CA82" i="1"/>
  <c r="BT60" i="1"/>
  <c r="T51" i="1"/>
  <c r="BX41" i="1"/>
  <c r="X32" i="1"/>
  <c r="CB22" i="1"/>
  <c r="AB13" i="1"/>
  <c r="CF3" i="1"/>
  <c r="W121" i="1"/>
  <c r="K52" i="1"/>
  <c r="BL127" i="1"/>
  <c r="BT89" i="1"/>
  <c r="CA160" i="1"/>
  <c r="BZ51" i="1"/>
  <c r="CH13" i="1"/>
  <c r="V294" i="1"/>
  <c r="X170" i="1"/>
  <c r="AF132" i="1"/>
  <c r="AN94" i="1"/>
  <c r="CH179" i="1"/>
  <c r="AT56" i="1"/>
  <c r="BB18" i="1"/>
  <c r="CM36" i="1"/>
  <c r="CP292" i="1"/>
  <c r="CR169" i="1"/>
  <c r="CZ131" i="1"/>
  <c r="DH93" i="1"/>
  <c r="W178" i="1"/>
  <c r="J56" i="1"/>
  <c r="R18" i="1"/>
  <c r="AE36" i="1"/>
  <c r="BC107" i="1"/>
  <c r="BU55" i="1"/>
  <c r="CC17" i="1"/>
  <c r="DG29" i="1"/>
  <c r="CA102" i="1"/>
  <c r="X37" i="1"/>
  <c r="AA170" i="1"/>
  <c r="AU95" i="1"/>
  <c r="AG54" i="1"/>
  <c r="AO16" i="1"/>
  <c r="G26" i="1"/>
  <c r="AA97" i="1"/>
  <c r="CN35" i="1"/>
  <c r="CM158" i="1"/>
  <c r="BC3" i="1"/>
  <c r="CG48" i="1"/>
  <c r="CO10" i="1"/>
  <c r="CY9" i="1"/>
  <c r="CA110" i="1"/>
  <c r="T58" i="1"/>
  <c r="X39" i="1"/>
  <c r="AB20" i="1"/>
  <c r="CD242" i="1"/>
  <c r="CQ63" i="1"/>
  <c r="BC26" i="1"/>
  <c r="CA55" i="1"/>
  <c r="BG128" i="1"/>
  <c r="BA65" i="1"/>
  <c r="CS52" i="1"/>
  <c r="AO42" i="1"/>
  <c r="CS32" i="1"/>
  <c r="AS23" i="1"/>
  <c r="CW13" i="1"/>
  <c r="AW4" i="1"/>
  <c r="BK99" i="1"/>
  <c r="BK46" i="1"/>
  <c r="CY18" i="1"/>
  <c r="Z264" i="1"/>
  <c r="CA162" i="1"/>
  <c r="CI124" i="1"/>
  <c r="CQ86" i="1"/>
  <c r="BX61" i="1"/>
  <c r="X52" i="1"/>
  <c r="CB42" i="1"/>
  <c r="AB33" i="1"/>
  <c r="CF23" i="1"/>
  <c r="AF14" i="1"/>
  <c r="CJ4" i="1"/>
  <c r="G133" i="1"/>
  <c r="O55" i="1"/>
  <c r="CB131" i="1"/>
  <c r="CJ93" i="1"/>
  <c r="AI177" i="1"/>
  <c r="CP55" i="1"/>
  <c r="CX17" i="1"/>
  <c r="CH310" i="1"/>
  <c r="AN174" i="1"/>
  <c r="AV136" i="1"/>
  <c r="BD98" i="1"/>
  <c r="R246" i="1"/>
  <c r="BJ60" i="1"/>
  <c r="BR22" i="1"/>
  <c r="CU49" i="1"/>
  <c r="AX309" i="1"/>
  <c r="DH173" i="1"/>
  <c r="L136" i="1"/>
  <c r="T98" i="1"/>
  <c r="CL240" i="1"/>
  <c r="Z60" i="1"/>
  <c r="AH22" i="1"/>
  <c r="AM49" i="1"/>
  <c r="K124" i="1"/>
  <c r="CK59" i="1"/>
  <c r="CS21" i="1"/>
  <c r="O42" i="1"/>
  <c r="AI119" i="1"/>
  <c r="AN41" i="1"/>
  <c r="AV3" i="1"/>
  <c r="AE5" i="1"/>
  <c r="AW58" i="1"/>
  <c r="BE20" i="1"/>
  <c r="K38" i="1"/>
  <c r="CM113" i="1"/>
  <c r="DD39" i="1"/>
  <c r="AP272" i="1"/>
  <c r="W56" i="1"/>
  <c r="CW52" i="1"/>
  <c r="DE14" i="1"/>
  <c r="DG21" i="1"/>
  <c r="AU118" i="1"/>
  <c r="L60" i="1"/>
  <c r="P41" i="1"/>
  <c r="T22" i="1"/>
  <c r="AD397" i="1"/>
  <c r="BC73" i="1"/>
  <c r="CY30" i="1"/>
  <c r="CA91" i="1"/>
  <c r="W139" i="1"/>
  <c r="DG69" i="1"/>
  <c r="Y54" i="1"/>
  <c r="AS43" i="1"/>
  <c r="CW33" i="1"/>
  <c r="AW24" i="1"/>
  <c r="DA14" i="1"/>
  <c r="BA5" i="1"/>
  <c r="CA111" i="1"/>
  <c r="BG49" i="1"/>
  <c r="CU21" i="1"/>
  <c r="CL280" i="1"/>
  <c r="CQ166" i="1"/>
  <c r="CY128" i="1"/>
  <c r="DG90" i="1"/>
  <c r="CB62" i="1"/>
  <c r="AB53" i="1"/>
  <c r="CF43" i="1"/>
  <c r="AF34" i="1"/>
  <c r="CJ24" i="1"/>
  <c r="AJ15" i="1"/>
  <c r="CN5" i="1"/>
  <c r="W145" i="1"/>
  <c r="S58" i="1"/>
  <c r="BD133" i="1"/>
  <c r="BL95" i="1"/>
  <c r="AL199" i="1"/>
  <c r="BR57" i="1"/>
  <c r="BZ19" i="1"/>
  <c r="AA335" i="1"/>
  <c r="P176" i="1"/>
  <c r="X138" i="1"/>
  <c r="AF100" i="1"/>
  <c r="BN274" i="1"/>
  <c r="AL62" i="1"/>
  <c r="AT24" i="1"/>
  <c r="BK55" i="1"/>
  <c r="CU329" i="1"/>
  <c r="CJ175" i="1"/>
  <c r="CR137" i="1"/>
  <c r="CZ99" i="1"/>
  <c r="AD269" i="1"/>
  <c r="DF61" i="1"/>
  <c r="J24" i="1"/>
  <c r="CY54" i="1"/>
  <c r="W131" i="1"/>
  <c r="BM61" i="1"/>
  <c r="BU23" i="1"/>
  <c r="AI47" i="1"/>
  <c r="AU126" i="1"/>
  <c r="P43" i="1"/>
  <c r="X5" i="1"/>
  <c r="BG11" i="1"/>
  <c r="Y60" i="1"/>
  <c r="AG22" i="1"/>
  <c r="AQ43" i="1"/>
  <c r="CY120" i="1"/>
  <c r="CF41" i="1"/>
  <c r="CN3" i="1"/>
  <c r="BC6" i="1"/>
  <c r="BY54" i="1"/>
  <c r="CG16" i="1"/>
  <c r="AA27" i="1"/>
  <c r="BK122" i="1"/>
  <c r="P61" i="1"/>
  <c r="T42" i="1"/>
  <c r="X23" i="1"/>
  <c r="AB4" i="1"/>
  <c r="BO80" i="1"/>
  <c r="BK32" i="1"/>
  <c r="K9" i="1"/>
  <c r="CY143" i="1"/>
  <c r="AQ72" i="1"/>
  <c r="CK54" i="1"/>
  <c r="CO43" i="1"/>
  <c r="AO34" i="1"/>
  <c r="CS24" i="1"/>
  <c r="AS15" i="1"/>
  <c r="CW5" i="1"/>
  <c r="G117" i="1"/>
  <c r="CM50" i="1"/>
  <c r="W23" i="1"/>
  <c r="CX287" i="1"/>
  <c r="BS168" i="1"/>
  <c r="CA130" i="1"/>
  <c r="CI92" i="1"/>
  <c r="T63" i="1"/>
  <c r="BX53" i="1"/>
  <c r="X44" i="1"/>
  <c r="CB34" i="1"/>
  <c r="AB25" i="1"/>
  <c r="CF15" i="1"/>
  <c r="AF6" i="1"/>
  <c r="CI149" i="1"/>
  <c r="BC59" i="1"/>
  <c r="DB10" i="1"/>
  <c r="CX282" i="1"/>
  <c r="AR167" i="1"/>
  <c r="AZ129" i="1"/>
  <c r="BH91" i="1"/>
  <c r="AE168" i="1"/>
  <c r="BN53" i="1"/>
  <c r="BV15" i="1"/>
  <c r="CM27" i="1"/>
  <c r="BN281" i="1"/>
  <c r="H167" i="1"/>
  <c r="P129" i="1"/>
  <c r="X91" i="1"/>
  <c r="CY166" i="1"/>
  <c r="AD53" i="1"/>
  <c r="AL15" i="1"/>
  <c r="AI27" i="1"/>
  <c r="W55" i="1"/>
  <c r="CO52" i="1"/>
  <c r="CW14" i="1"/>
  <c r="CM21" i="1"/>
  <c r="AY91" i="1"/>
  <c r="AR34" i="1"/>
  <c r="BG146" i="1"/>
  <c r="CI37" i="1"/>
  <c r="BA51" i="1"/>
  <c r="BI13" i="1"/>
  <c r="CU17" i="1"/>
  <c r="DC85" i="1"/>
  <c r="DH32" i="1"/>
  <c r="BG130" i="1"/>
  <c r="DG173" i="1"/>
  <c r="DA45" i="1"/>
  <c r="DI7" i="1"/>
  <c r="DC359" i="1"/>
  <c r="CP270" i="1"/>
  <c r="AX268" i="1"/>
  <c r="BA123" i="1"/>
  <c r="N254" i="1"/>
  <c r="DF130" i="1"/>
  <c r="J93" i="1"/>
  <c r="J286" i="1"/>
  <c r="U168" i="1"/>
  <c r="AC130" i="1"/>
  <c r="AK92" i="1"/>
  <c r="R289" i="1"/>
  <c r="CZ168" i="1"/>
  <c r="DH130" i="1"/>
  <c r="L93" i="1"/>
  <c r="BC174" i="1"/>
  <c r="R55" i="1"/>
  <c r="Z17" i="1"/>
  <c r="AM33" i="1"/>
  <c r="CI103" i="1"/>
  <c r="AP211" i="1"/>
  <c r="BD149" i="1"/>
  <c r="J140" i="1"/>
  <c r="AO168" i="1"/>
  <c r="BE92" i="1"/>
  <c r="R167" i="1"/>
  <c r="AX115" i="1"/>
  <c r="BF77" i="1"/>
  <c r="CP223" i="1"/>
  <c r="BQ152" i="1"/>
  <c r="BY114" i="1"/>
  <c r="CG76" i="1"/>
  <c r="CX226" i="1"/>
  <c r="AR153" i="1"/>
  <c r="AZ115" i="1"/>
  <c r="BH77" i="1"/>
  <c r="AE112" i="1"/>
  <c r="BN39" i="1"/>
  <c r="BJ289" i="1"/>
  <c r="CD234" i="1"/>
  <c r="CP300" i="1"/>
  <c r="CR171" i="1"/>
  <c r="CZ133" i="1"/>
  <c r="DH95" i="1"/>
  <c r="AX206" i="1"/>
  <c r="J58" i="1"/>
  <c r="R20" i="1"/>
  <c r="AM342" i="1"/>
  <c r="BL176" i="1"/>
  <c r="BT138" i="1"/>
  <c r="CB100" i="1"/>
  <c r="BZ281" i="1"/>
  <c r="CH62" i="1"/>
  <c r="CP24" i="1"/>
  <c r="DG56" i="1"/>
  <c r="DG336" i="1"/>
  <c r="AB176" i="1"/>
  <c r="AJ138" i="1"/>
  <c r="AR100" i="1"/>
  <c r="AP276" i="1"/>
  <c r="AX62" i="1"/>
  <c r="BF24" i="1"/>
  <c r="AU56" i="1"/>
  <c r="DC132" i="1"/>
  <c r="DI61" i="1"/>
  <c r="M24" i="1"/>
  <c r="BK48" i="1"/>
  <c r="W128" i="1"/>
  <c r="BL43" i="1"/>
  <c r="BT5" i="1"/>
  <c r="BS13" i="1"/>
  <c r="BU60" i="1"/>
  <c r="CC22" i="1"/>
  <c r="BI5" i="1"/>
  <c r="CE112" i="1"/>
  <c r="CE49" i="1"/>
  <c r="O22" i="1"/>
  <c r="AP284" i="1"/>
  <c r="CE167" i="1"/>
  <c r="CM129" i="1"/>
  <c r="CU91" i="1"/>
  <c r="CZ62" i="1"/>
  <c r="AZ53" i="1"/>
  <c r="DD43" i="1"/>
  <c r="BD34" i="1"/>
  <c r="DH24" i="1"/>
  <c r="BH15" i="1"/>
  <c r="H6" i="1"/>
  <c r="CQ147" i="1"/>
  <c r="CI58" i="1"/>
  <c r="DG30" i="1"/>
  <c r="CM30" i="1"/>
  <c r="AP248" i="1"/>
  <c r="DG109" i="1"/>
  <c r="CI67" i="1"/>
  <c r="CW56" i="1"/>
  <c r="AW47" i="1"/>
  <c r="DA37" i="1"/>
  <c r="BA28" i="1"/>
  <c r="DE18" i="1"/>
  <c r="BE9" i="1"/>
  <c r="BG178" i="1"/>
  <c r="AE61" i="1"/>
  <c r="BS33" i="1"/>
  <c r="O6" i="1"/>
  <c r="J196" i="1"/>
  <c r="BW145" i="1"/>
  <c r="CE107" i="1"/>
  <c r="CM69" i="1"/>
  <c r="AV57" i="1"/>
  <c r="CZ47" i="1"/>
  <c r="AZ38" i="1"/>
  <c r="DD28" i="1"/>
  <c r="BD19" i="1"/>
  <c r="DH9" i="1"/>
  <c r="BV200" i="1"/>
  <c r="CQ83" i="1"/>
  <c r="BO42" i="1"/>
  <c r="CI14" i="1"/>
  <c r="AY44" i="1"/>
  <c r="AI146" i="1"/>
  <c r="DG85" i="1"/>
  <c r="BA61" i="1"/>
  <c r="DE51" i="1"/>
  <c r="CS105" i="1"/>
  <c r="CI183" i="1"/>
  <c r="AD190" i="1"/>
  <c r="Z144" i="1"/>
  <c r="AH106" i="1"/>
  <c r="AP68" i="1"/>
  <c r="BV218" i="1"/>
  <c r="AG170" i="1"/>
  <c r="AK151" i="1"/>
  <c r="AO132" i="1"/>
  <c r="AS113" i="1"/>
  <c r="AW94" i="1"/>
  <c r="BA75" i="1"/>
  <c r="BV289" i="1"/>
  <c r="CL213" i="1"/>
  <c r="J169" i="1"/>
  <c r="N150" i="1"/>
  <c r="AX135" i="1"/>
  <c r="DB125" i="1"/>
  <c r="BB116" i="1"/>
  <c r="DF106" i="1"/>
  <c r="BF97" i="1"/>
  <c r="F88" i="1"/>
  <c r="BJ78" i="1"/>
  <c r="J69" i="1"/>
  <c r="CP303" i="1"/>
  <c r="CX265" i="1"/>
  <c r="DF227" i="1"/>
  <c r="J190" i="1"/>
  <c r="BQ172" i="1"/>
  <c r="Q163" i="1"/>
  <c r="BU153" i="1"/>
  <c r="U144" i="1"/>
  <c r="BY134" i="1"/>
  <c r="Y125" i="1"/>
  <c r="CC115" i="1"/>
  <c r="AC106" i="1"/>
  <c r="CG96" i="1"/>
  <c r="AG87" i="1"/>
  <c r="CK77" i="1"/>
  <c r="Q69" i="1"/>
  <c r="CX306" i="1"/>
  <c r="DF268" i="1"/>
  <c r="J231" i="1"/>
  <c r="R193" i="1"/>
  <c r="AR173" i="1"/>
  <c r="CV163" i="1"/>
  <c r="AV154" i="1"/>
  <c r="CZ144" i="1"/>
  <c r="AZ135" i="1"/>
  <c r="DD125" i="1"/>
  <c r="BD116" i="1"/>
  <c r="DH106" i="1"/>
  <c r="BH97" i="1"/>
  <c r="H88" i="1"/>
  <c r="BL78" i="1"/>
  <c r="L69" i="1"/>
  <c r="CD230" i="1"/>
  <c r="AM154" i="1"/>
  <c r="AU116" i="1"/>
  <c r="BC78" i="1"/>
  <c r="BN59" i="1"/>
  <c r="N50" i="1"/>
  <c r="BR40" i="1"/>
  <c r="R31" i="1"/>
  <c r="BV21" i="1"/>
  <c r="V12" i="1"/>
  <c r="Y3" i="1"/>
  <c r="AU111" i="1"/>
  <c r="AE47" i="1"/>
  <c r="AI17" i="1"/>
  <c r="AL251" i="1"/>
  <c r="BC159" i="1"/>
  <c r="BK121" i="1"/>
  <c r="BU68" i="1"/>
  <c r="DF304" i="1"/>
  <c r="J267" i="1"/>
  <c r="R229" i="1"/>
  <c r="Z191" i="1"/>
  <c r="CV172" i="1"/>
  <c r="AV163" i="1"/>
  <c r="CZ153" i="1"/>
  <c r="AZ144" i="1"/>
  <c r="DD134" i="1"/>
  <c r="BD125" i="1"/>
  <c r="DH115" i="1"/>
  <c r="BH106" i="1"/>
  <c r="H97" i="1"/>
  <c r="BL87" i="1"/>
  <c r="L78" i="1"/>
  <c r="BP68" i="1"/>
  <c r="F223" i="1"/>
  <c r="AU152" i="1"/>
  <c r="BC114" i="1"/>
  <c r="BK76" i="1"/>
  <c r="N59" i="1"/>
  <c r="BR49" i="1"/>
  <c r="R40" i="1"/>
  <c r="BV30" i="1"/>
  <c r="V21" i="1"/>
  <c r="BZ11" i="1"/>
  <c r="AI333" i="1"/>
  <c r="W105" i="1"/>
  <c r="CY358" i="1"/>
  <c r="CT285" i="1"/>
  <c r="DB247" i="1"/>
  <c r="F210" i="1"/>
  <c r="BP177" i="1"/>
  <c r="P168" i="1"/>
  <c r="BT158" i="1"/>
  <c r="T149" i="1"/>
  <c r="BX139" i="1"/>
  <c r="X130" i="1"/>
  <c r="CB120" i="1"/>
  <c r="AB111" i="1"/>
  <c r="CF101" i="1"/>
  <c r="AF92" i="1"/>
  <c r="CJ82" i="1"/>
  <c r="AJ73" i="1"/>
  <c r="AH298" i="1"/>
  <c r="AA171" i="1"/>
  <c r="AI133" i="1"/>
  <c r="AQ95" i="1"/>
  <c r="CL63" i="1"/>
  <c r="AL54" i="1"/>
  <c r="CP44" i="1"/>
  <c r="AP35" i="1"/>
  <c r="CT25" i="1"/>
  <c r="AT16" i="1"/>
  <c r="CX6" i="1"/>
  <c r="AM157" i="1"/>
  <c r="AA60" i="1"/>
  <c r="AA30" i="1"/>
  <c r="CE329" i="1"/>
  <c r="CI175" i="1"/>
  <c r="BO353" i="1"/>
  <c r="BJ284" i="1"/>
  <c r="BR246" i="1"/>
  <c r="BZ208" i="1"/>
  <c r="AF177" i="1"/>
  <c r="CJ167" i="1"/>
  <c r="AJ158" i="1"/>
  <c r="CN148" i="1"/>
  <c r="AN139" i="1"/>
  <c r="CR129" i="1"/>
  <c r="AR120" i="1"/>
  <c r="CV110" i="1"/>
  <c r="AV101" i="1"/>
  <c r="CZ91" i="1"/>
  <c r="AZ82" i="1"/>
  <c r="DD72" i="1"/>
  <c r="DB292" i="1"/>
  <c r="CU169" i="1"/>
  <c r="DC131" i="1"/>
  <c r="G94" i="1"/>
  <c r="BB63" i="1"/>
  <c r="DF53" i="1"/>
  <c r="BF44" i="1"/>
  <c r="F35" i="1"/>
  <c r="BJ25" i="1"/>
  <c r="J16" i="1"/>
  <c r="BN6" i="1"/>
  <c r="CQ155" i="1"/>
  <c r="BW59" i="1"/>
  <c r="BS29" i="1"/>
  <c r="CU317" i="1"/>
  <c r="G175" i="1"/>
  <c r="O137" i="1"/>
  <c r="BO64" i="1"/>
  <c r="W159" i="1"/>
  <c r="AQ92" i="1"/>
  <c r="I63" i="1"/>
  <c r="BM53" i="1"/>
  <c r="M44" i="1"/>
  <c r="BQ34" i="1"/>
  <c r="Q25" i="1"/>
  <c r="BU15" i="1"/>
  <c r="U6" i="1"/>
  <c r="DG119" i="1"/>
  <c r="BS51" i="1"/>
  <c r="DC23" i="1"/>
  <c r="AX294" i="1"/>
  <c r="AE170" i="1"/>
  <c r="AM132" i="1"/>
  <c r="AU94" i="1"/>
  <c r="BL63" i="1"/>
  <c r="L54" i="1"/>
  <c r="BP44" i="1"/>
  <c r="P35" i="1"/>
  <c r="BT25" i="1"/>
  <c r="T16" i="1"/>
  <c r="BX6" i="1"/>
  <c r="AM153" i="1"/>
  <c r="BS60" i="1"/>
  <c r="CI32" i="1"/>
  <c r="G5" i="1"/>
  <c r="S47" i="1"/>
  <c r="K148" i="1"/>
  <c r="CU86" i="1"/>
  <c r="BY61" i="1"/>
  <c r="Y52" i="1"/>
  <c r="CC42" i="1"/>
  <c r="AC33" i="1"/>
  <c r="CG23" i="1"/>
  <c r="AG14" i="1"/>
  <c r="CK4" i="1"/>
  <c r="CQ103" i="1"/>
  <c r="BW47" i="1"/>
  <c r="G20" i="1"/>
  <c r="BF272" i="1"/>
  <c r="CI164" i="1"/>
  <c r="CQ126" i="1"/>
  <c r="CY88" i="1"/>
  <c r="X62" i="1"/>
  <c r="CB52" i="1"/>
  <c r="AB43" i="1"/>
  <c r="CF33" i="1"/>
  <c r="AF24" i="1"/>
  <c r="CJ14" i="1"/>
  <c r="AJ5" i="1"/>
  <c r="O139" i="1"/>
  <c r="BO56" i="1"/>
  <c r="CM28" i="1"/>
  <c r="AY22" i="1"/>
  <c r="DB200" i="1"/>
  <c r="K104" i="1"/>
  <c r="BU65" i="1"/>
  <c r="U56" i="1"/>
  <c r="BY46" i="1"/>
  <c r="Y37" i="1"/>
  <c r="CC27" i="1"/>
  <c r="AC18" i="1"/>
  <c r="CG8" i="1"/>
  <c r="BS169" i="1"/>
  <c r="S59" i="1"/>
  <c r="BK31" i="1"/>
  <c r="DG3" i="1"/>
  <c r="Z184" i="1"/>
  <c r="CA142" i="1"/>
  <c r="CI104" i="1"/>
  <c r="CQ66" i="1"/>
  <c r="BX56" i="1"/>
  <c r="X47" i="1"/>
  <c r="CB37" i="1"/>
  <c r="AB28" i="1"/>
  <c r="CF18" i="1"/>
  <c r="AF9" i="1"/>
  <c r="DH139" i="1"/>
  <c r="L102" i="1"/>
  <c r="BR303" i="1"/>
  <c r="R64" i="1"/>
  <c r="Z26" i="1"/>
  <c r="CW68" i="1"/>
  <c r="AD192" i="1"/>
  <c r="CB144" i="1"/>
  <c r="CJ106" i="1"/>
  <c r="CR68" i="1"/>
  <c r="BO77" i="1"/>
  <c r="CX30" i="1"/>
  <c r="AQ106" i="1"/>
  <c r="BM68" i="1"/>
  <c r="CX190" i="1"/>
  <c r="AR144" i="1"/>
  <c r="AZ106" i="1"/>
  <c r="BH68" i="1"/>
  <c r="AE76" i="1"/>
  <c r="BN30" i="1"/>
  <c r="S104" i="1"/>
  <c r="AE157" i="1"/>
  <c r="BO74" i="1"/>
  <c r="U30" i="1"/>
  <c r="CA67" i="1"/>
  <c r="BC152" i="1"/>
  <c r="BT49" i="1"/>
  <c r="CB11" i="1"/>
  <c r="CE19" i="1"/>
  <c r="O69" i="1"/>
  <c r="CK28" i="1"/>
  <c r="AI62" i="1"/>
  <c r="DG146" i="1"/>
  <c r="AF48" i="1"/>
  <c r="AN10" i="1"/>
  <c r="AM15" i="1"/>
  <c r="Y61" i="1"/>
  <c r="AG23" i="1"/>
  <c r="AA46" i="1"/>
  <c r="DG134" i="1"/>
  <c r="AB64" i="1"/>
  <c r="AF45" i="1"/>
  <c r="AJ26" i="1"/>
  <c r="AN7" i="1"/>
  <c r="AA106" i="1"/>
  <c r="CI38" i="1"/>
  <c r="CU32" i="1"/>
  <c r="CA161" i="1"/>
  <c r="BW80" i="1"/>
  <c r="DI56" i="1"/>
  <c r="BA45" i="1"/>
  <c r="DE35" i="1"/>
  <c r="BE26" i="1"/>
  <c r="DI16" i="1"/>
  <c r="BI7" i="1"/>
  <c r="AI136" i="1"/>
  <c r="BO55" i="1"/>
  <c r="DG27" i="1"/>
  <c r="BW319" i="1"/>
  <c r="S175" i="1"/>
  <c r="AA137" i="1"/>
  <c r="AI99" i="1"/>
  <c r="CJ64" i="1"/>
  <c r="AJ55" i="1"/>
  <c r="CN45" i="1"/>
  <c r="AN36" i="1"/>
  <c r="CR26" i="1"/>
  <c r="AR17" i="1"/>
  <c r="CV7" i="1"/>
  <c r="CM162" i="1"/>
  <c r="W64" i="1"/>
  <c r="T144" i="1"/>
  <c r="AB106" i="1"/>
  <c r="AJ68" i="1"/>
  <c r="AQ75" i="1"/>
  <c r="AP30" i="1"/>
  <c r="AM101" i="1"/>
  <c r="CP208" i="1"/>
  <c r="CR148" i="1"/>
  <c r="CZ110" i="1"/>
  <c r="DH72" i="1"/>
  <c r="W94" i="1"/>
  <c r="J35" i="1"/>
  <c r="DC154" i="1"/>
  <c r="AS73" i="1"/>
  <c r="BF207" i="1"/>
  <c r="BH148" i="1"/>
  <c r="BP110" i="1"/>
  <c r="BX72" i="1"/>
  <c r="CQ92" i="1"/>
  <c r="CD34" i="1"/>
  <c r="BC153" i="1"/>
  <c r="CQ173" i="1"/>
  <c r="W91" i="1"/>
  <c r="AK34" i="1"/>
  <c r="BO116" i="1"/>
  <c r="K169" i="1"/>
  <c r="CJ53" i="1"/>
  <c r="CR15" i="1"/>
  <c r="CY31" i="1"/>
  <c r="CA85" i="1"/>
  <c r="DA32" i="1"/>
  <c r="AI100" i="1"/>
  <c r="BO163" i="1"/>
  <c r="AV52" i="1"/>
  <c r="BD14" i="1"/>
  <c r="DC27" i="1"/>
  <c r="AO65" i="1"/>
  <c r="AW27" i="1"/>
  <c r="AI58" i="1"/>
  <c r="CU143" i="1"/>
  <c r="G68" i="1"/>
  <c r="BD47" i="1"/>
  <c r="BH28" i="1"/>
  <c r="BL9" i="1"/>
  <c r="BS121" i="1"/>
  <c r="DG42" i="1"/>
  <c r="K3" i="1"/>
  <c r="AQ172" i="1"/>
  <c r="BO86" i="1"/>
  <c r="AO58" i="1"/>
  <c r="BE46" i="1"/>
  <c r="DI36" i="1"/>
  <c r="BI27" i="1"/>
  <c r="I18" i="1"/>
  <c r="BM8" i="1"/>
  <c r="K150" i="1"/>
  <c r="BS58" i="1"/>
  <c r="DC30" i="1"/>
  <c r="AY3" i="1"/>
  <c r="AI179" i="1"/>
  <c r="AQ141" i="1"/>
  <c r="AY103" i="1"/>
  <c r="CT65" i="1"/>
  <c r="AN56" i="1"/>
  <c r="CR46" i="1"/>
  <c r="AR37" i="1"/>
  <c r="CV27" i="1"/>
  <c r="AV18" i="1"/>
  <c r="CZ8" i="1"/>
  <c r="AY172" i="1"/>
  <c r="BK71" i="1"/>
  <c r="S5" i="1"/>
  <c r="AR110" i="1"/>
  <c r="AZ72" i="1"/>
  <c r="DC91" i="1"/>
  <c r="BF34" i="1"/>
  <c r="CA151" i="1"/>
  <c r="AX225" i="1"/>
  <c r="DH152" i="1"/>
  <c r="L115" i="1"/>
  <c r="T77" i="1"/>
  <c r="CI110" i="1"/>
  <c r="Z39" i="1"/>
  <c r="J264" i="1"/>
  <c r="AX226" i="1"/>
  <c r="N224" i="1"/>
  <c r="BX152" i="1"/>
  <c r="CF114" i="1"/>
  <c r="CN76" i="1"/>
  <c r="AY109" i="1"/>
  <c r="CT38" i="1"/>
  <c r="DF253" i="1"/>
  <c r="BB223" i="1"/>
  <c r="S114" i="1"/>
  <c r="BA38" i="1"/>
  <c r="J200" i="1"/>
  <c r="AP204" i="1"/>
  <c r="CZ57" i="1"/>
  <c r="DH19" i="1"/>
  <c r="G44" i="1"/>
  <c r="G103" i="1"/>
  <c r="M37" i="1"/>
  <c r="AI168" i="1"/>
  <c r="AX182" i="1"/>
  <c r="BL56" i="1"/>
  <c r="BT18" i="1"/>
  <c r="O40" i="1"/>
  <c r="AA80" i="1"/>
  <c r="BM31" i="1"/>
  <c r="DG83" i="1"/>
  <c r="O158" i="1"/>
  <c r="CE75" i="1"/>
  <c r="AV49" i="1"/>
  <c r="AZ30" i="1"/>
  <c r="BD11" i="1"/>
  <c r="G137" i="1"/>
  <c r="DC46" i="1"/>
  <c r="K10" i="1"/>
  <c r="F227" i="1"/>
  <c r="CY91" i="1"/>
  <c r="CO59" i="1"/>
  <c r="BI47" i="1"/>
  <c r="I38" i="1"/>
  <c r="BM28" i="1"/>
  <c r="M19" i="1"/>
  <c r="BQ9" i="1"/>
  <c r="N181" i="1"/>
  <c r="BS61" i="1"/>
  <c r="DC33" i="1"/>
  <c r="AY6" i="1"/>
  <c r="BB195" i="1"/>
  <c r="BG145" i="1"/>
  <c r="BO107" i="1"/>
  <c r="BW69" i="1"/>
  <c r="AR57" i="1"/>
  <c r="CV47" i="1"/>
  <c r="AV38" i="1"/>
  <c r="CZ28" i="1"/>
  <c r="AZ19" i="1"/>
  <c r="DD9" i="1"/>
  <c r="CT198" i="1"/>
  <c r="BK83" i="1"/>
  <c r="S21" i="1"/>
  <c r="T112" i="1"/>
  <c r="AB74" i="1"/>
  <c r="K99" i="1"/>
  <c r="AH36" i="1"/>
  <c r="AQ166" i="1"/>
  <c r="BJ232" i="1"/>
  <c r="CJ154" i="1"/>
  <c r="CR116" i="1"/>
  <c r="CZ78" i="1"/>
  <c r="CU117" i="1"/>
  <c r="DF40" i="1"/>
  <c r="J3" i="1"/>
  <c r="CT254" i="1"/>
  <c r="Z231" i="1"/>
  <c r="AZ154" i="1"/>
  <c r="BH116" i="1"/>
  <c r="BP78" i="1"/>
  <c r="BK116" i="1"/>
  <c r="BV40" i="1"/>
  <c r="AG3" i="1"/>
  <c r="CX251" i="1"/>
  <c r="AQ128" i="1"/>
  <c r="AC40" i="1"/>
  <c r="BR283" i="1"/>
  <c r="CL232" i="1"/>
  <c r="CB59" i="1"/>
  <c r="CJ21" i="1"/>
  <c r="AQ49" i="1"/>
  <c r="AE117" i="1"/>
  <c r="CS38" i="1"/>
  <c r="AX218" i="1"/>
  <c r="CT210" i="1"/>
  <c r="AN58" i="1"/>
  <c r="AV20" i="1"/>
  <c r="AA45" i="1"/>
  <c r="AM87" i="1"/>
  <c r="AO33" i="1"/>
  <c r="G105" i="1"/>
  <c r="AA165" i="1"/>
  <c r="CU79" i="1"/>
  <c r="AZ50" i="1"/>
  <c r="BD31" i="1"/>
  <c r="BH12" i="1"/>
  <c r="CQ143" i="1"/>
  <c r="CE48" i="1"/>
  <c r="CM11" i="1"/>
  <c r="DB264" i="1"/>
  <c r="AI94" i="1"/>
  <c r="AW60" i="1"/>
  <c r="DE47" i="1"/>
  <c r="BE38" i="1"/>
  <c r="DI28" i="1"/>
  <c r="BI19" i="1"/>
  <c r="I10" i="1"/>
  <c r="CP201" i="1"/>
  <c r="DC62" i="1"/>
  <c r="AE35" i="1"/>
  <c r="CE7" i="1"/>
  <c r="BN202" i="1"/>
  <c r="AI147" i="1"/>
  <c r="AQ109" i="1"/>
  <c r="AY71" i="1"/>
  <c r="CN57" i="1"/>
  <c r="AN48" i="1"/>
  <c r="CR38" i="1"/>
  <c r="AR29" i="1"/>
  <c r="CV19" i="1"/>
  <c r="AV10" i="1"/>
  <c r="CL220" i="1"/>
  <c r="CE88" i="1"/>
  <c r="CA27" i="1"/>
  <c r="AC70" i="1"/>
  <c r="BN197" i="1"/>
  <c r="H146" i="1"/>
  <c r="P108" i="1"/>
  <c r="X70" i="1"/>
  <c r="CY82" i="1"/>
  <c r="AD32" i="1"/>
  <c r="AU123" i="1"/>
  <c r="CW69" i="1"/>
  <c r="AD196" i="1"/>
  <c r="CB145" i="1"/>
  <c r="CJ107" i="1"/>
  <c r="CR69" i="1"/>
  <c r="BO81" i="1"/>
  <c r="CX31" i="1"/>
  <c r="G121" i="1"/>
  <c r="BO162" i="1"/>
  <c r="CY79" i="1"/>
  <c r="BE31" i="1"/>
  <c r="AE83" i="1"/>
  <c r="CM157" i="1"/>
  <c r="DD50" i="1"/>
  <c r="H13" i="1"/>
  <c r="BS23" i="1"/>
  <c r="AY74" i="1"/>
  <c r="Q30" i="1"/>
  <c r="DC66" i="1"/>
  <c r="AM152" i="1"/>
  <c r="BP49" i="1"/>
  <c r="BX11" i="1"/>
  <c r="BS19" i="1"/>
  <c r="BI62" i="1"/>
  <c r="BQ24" i="1"/>
  <c r="K50" i="1"/>
  <c r="BI116" i="1"/>
  <c r="DB116" i="1"/>
  <c r="BU156" i="1"/>
  <c r="CK80" i="1"/>
  <c r="AX155" i="1"/>
  <c r="BV109" i="1"/>
  <c r="CD71" i="1"/>
  <c r="CD200" i="1"/>
  <c r="CO146" i="1"/>
  <c r="CW108" i="1"/>
  <c r="CK71" i="1"/>
  <c r="CL203" i="1"/>
  <c r="BP147" i="1"/>
  <c r="BX109" i="1"/>
  <c r="CF71" i="1"/>
  <c r="S89" i="1"/>
  <c r="CL33" i="1"/>
  <c r="CU144" i="1"/>
  <c r="S170" i="1"/>
  <c r="CD277" i="1"/>
  <c r="L166" i="1"/>
  <c r="AX287" i="1"/>
  <c r="F285" i="1"/>
  <c r="BY125" i="1"/>
  <c r="DF262" i="1"/>
  <c r="F132" i="1"/>
  <c r="N94" i="1"/>
  <c r="Z290" i="1"/>
  <c r="Y169" i="1"/>
  <c r="AG131" i="1"/>
  <c r="AO93" i="1"/>
  <c r="AH293" i="1"/>
  <c r="DD169" i="1"/>
  <c r="H132" i="1"/>
  <c r="P94" i="1"/>
  <c r="BS178" i="1"/>
  <c r="V56" i="1"/>
  <c r="AD18" i="1"/>
  <c r="BO36" i="1"/>
  <c r="CY107" i="1"/>
  <c r="BF215" i="1"/>
  <c r="BH150" i="1"/>
  <c r="BP112" i="1"/>
  <c r="BX74" i="1"/>
  <c r="CQ100" i="1"/>
  <c r="CD36" i="1"/>
  <c r="AE171" i="1"/>
  <c r="AL234" i="1"/>
  <c r="AB155" i="1"/>
  <c r="AJ117" i="1"/>
  <c r="AR79" i="1"/>
  <c r="BW119" i="1"/>
  <c r="AX41" i="1"/>
  <c r="BF3" i="1"/>
  <c r="DF261" i="1"/>
  <c r="DF232" i="1"/>
  <c r="CV154" i="1"/>
  <c r="DD116" i="1"/>
  <c r="H79" i="1"/>
  <c r="AM118" i="1"/>
  <c r="N41" i="1"/>
  <c r="V3" i="1"/>
  <c r="F259" i="1"/>
  <c r="CY131" i="1"/>
  <c r="BY40" i="1"/>
  <c r="AP304" i="1"/>
  <c r="CX239" i="1"/>
  <c r="T60" i="1"/>
  <c r="AB22" i="1"/>
  <c r="BW50" i="1"/>
  <c r="CM120" i="1"/>
  <c r="AK39" i="1"/>
  <c r="BY9" i="1"/>
  <c r="BV184" i="1"/>
  <c r="CM61" i="1"/>
  <c r="AE34" i="1"/>
  <c r="BS6" i="1"/>
  <c r="F199" i="1"/>
  <c r="AU146" i="1"/>
  <c r="BC108" i="1"/>
  <c r="BK70" i="1"/>
  <c r="BP57" i="1"/>
  <c r="P48" i="1"/>
  <c r="BT38" i="1"/>
  <c r="T29" i="1"/>
  <c r="BX19" i="1"/>
  <c r="X10" i="1"/>
  <c r="BJ209" i="1"/>
  <c r="AA86" i="1"/>
  <c r="O43" i="1"/>
  <c r="CQ14" i="1"/>
  <c r="AA39" i="1"/>
  <c r="W143" i="1"/>
  <c r="AQ84" i="1"/>
  <c r="I61" i="1"/>
  <c r="BM51" i="1"/>
  <c r="M42" i="1"/>
  <c r="BQ32" i="1"/>
  <c r="Q23" i="1"/>
  <c r="BU13" i="1"/>
  <c r="U4" i="1"/>
  <c r="AY96" i="1"/>
  <c r="CI45" i="1"/>
  <c r="AA18" i="1"/>
  <c r="AX262" i="1"/>
  <c r="AE162" i="1"/>
  <c r="AM124" i="1"/>
  <c r="AU86" i="1"/>
  <c r="BL61" i="1"/>
  <c r="L52" i="1"/>
  <c r="BP42" i="1"/>
  <c r="P33" i="1"/>
  <c r="BT23" i="1"/>
  <c r="T14" i="1"/>
  <c r="BX4" i="1"/>
  <c r="CQ131" i="1"/>
  <c r="CI54" i="1"/>
  <c r="DC26" i="1"/>
  <c r="CE23" i="1"/>
  <c r="BN198" i="1"/>
  <c r="BS103" i="1"/>
  <c r="BQ65" i="1"/>
  <c r="Q56" i="1"/>
  <c r="BA122" i="1"/>
  <c r="BI84" i="1"/>
  <c r="BR256" i="1"/>
  <c r="CL160" i="1"/>
  <c r="CT122" i="1"/>
  <c r="DB84" i="1"/>
  <c r="Z254" i="1"/>
  <c r="BM178" i="1"/>
  <c r="BQ159" i="1"/>
  <c r="BU140" i="1"/>
  <c r="BY121" i="1"/>
  <c r="CC102" i="1"/>
  <c r="CG83" i="1"/>
  <c r="K355" i="1"/>
  <c r="DF246" i="1"/>
  <c r="AP177" i="1"/>
  <c r="AT158" i="1"/>
  <c r="CD139" i="1"/>
  <c r="N130" i="1"/>
  <c r="BR120" i="1"/>
  <c r="R111" i="1"/>
  <c r="BV101" i="1"/>
  <c r="V92" i="1"/>
  <c r="BZ82" i="1"/>
  <c r="Z73" i="1"/>
  <c r="AY345" i="1"/>
  <c r="BF282" i="1"/>
  <c r="BN244" i="1"/>
  <c r="BV206" i="1"/>
  <c r="CG176" i="1"/>
  <c r="AG167" i="1"/>
  <c r="CK157" i="1"/>
  <c r="AK148" i="1"/>
  <c r="CO138" i="1"/>
  <c r="AO129" i="1"/>
  <c r="CS119" i="1"/>
  <c r="AS110" i="1"/>
  <c r="CW100" i="1"/>
  <c r="AW91" i="1"/>
  <c r="DA81" i="1"/>
  <c r="BA72" i="1"/>
  <c r="CE357" i="1"/>
  <c r="BN285" i="1"/>
  <c r="BV247" i="1"/>
  <c r="CD209" i="1"/>
  <c r="BH177" i="1"/>
  <c r="H168" i="1"/>
  <c r="BL158" i="1"/>
  <c r="L149" i="1"/>
  <c r="BP139" i="1"/>
  <c r="P130" i="1"/>
  <c r="BT120" i="1"/>
  <c r="T111" i="1"/>
  <c r="BX101" i="1"/>
  <c r="X92" i="1"/>
  <c r="CB82" i="1"/>
  <c r="AB73" i="1"/>
  <c r="N297" i="1"/>
  <c r="CY170" i="1"/>
  <c r="DG132" i="1"/>
  <c r="K95" i="1"/>
  <c r="CD63" i="1"/>
  <c r="AD54" i="1"/>
  <c r="CH44" i="1"/>
  <c r="AH35" i="1"/>
  <c r="CL25" i="1"/>
  <c r="AL16" i="1"/>
  <c r="CP6" i="1"/>
  <c r="CY157" i="1"/>
  <c r="BC60" i="1"/>
  <c r="AY30" i="1"/>
  <c r="BC334" i="1"/>
  <c r="K176" i="1"/>
  <c r="S138" i="1"/>
  <c r="BI73" i="1"/>
  <c r="G350" i="1"/>
  <c r="BV283" i="1"/>
  <c r="CD245" i="1"/>
  <c r="CL207" i="1"/>
  <c r="H177" i="1"/>
  <c r="BL167" i="1"/>
  <c r="L158" i="1"/>
  <c r="BP148" i="1"/>
  <c r="P139" i="1"/>
  <c r="BT129" i="1"/>
  <c r="T120" i="1"/>
  <c r="BX110" i="1"/>
  <c r="X101" i="1"/>
  <c r="CB91" i="1"/>
  <c r="AB82" i="1"/>
  <c r="CF72" i="1"/>
  <c r="AT289" i="1"/>
  <c r="DG168" i="1"/>
  <c r="K131" i="1"/>
  <c r="S93" i="1"/>
  <c r="AD63" i="1"/>
  <c r="CH53" i="1"/>
  <c r="AH44" i="1"/>
  <c r="CL34" i="1"/>
  <c r="AL25" i="1"/>
  <c r="CP15" i="1"/>
  <c r="AP6" i="1"/>
  <c r="K154" i="1"/>
  <c r="DI67" i="1"/>
  <c r="BB302" i="1"/>
  <c r="BJ264" i="1"/>
  <c r="BR226" i="1"/>
  <c r="BZ188" i="1"/>
  <c r="AF172" i="1"/>
  <c r="CJ162" i="1"/>
  <c r="AJ153" i="1"/>
  <c r="CN143" i="1"/>
  <c r="AN134" i="1"/>
  <c r="CR124" i="1"/>
  <c r="AR115" i="1"/>
  <c r="CV105" i="1"/>
  <c r="AV96" i="1"/>
  <c r="CZ86" i="1"/>
  <c r="AZ77" i="1"/>
  <c r="DD67" i="1"/>
  <c r="DB212" i="1"/>
  <c r="CU149" i="1"/>
  <c r="DC111" i="1"/>
  <c r="G74" i="1"/>
  <c r="BB58" i="1"/>
  <c r="DF48" i="1"/>
  <c r="BF39" i="1"/>
  <c r="F30" i="1"/>
  <c r="BJ20" i="1"/>
  <c r="J11" i="1"/>
  <c r="CT278" i="1"/>
  <c r="DC94" i="1"/>
  <c r="AM43" i="1"/>
  <c r="AA13" i="1"/>
  <c r="V231" i="1"/>
  <c r="BY67" i="1"/>
  <c r="R301" i="1"/>
  <c r="Z263" i="1"/>
  <c r="AH225" i="1"/>
  <c r="AP187" i="1"/>
  <c r="CZ171" i="1"/>
  <c r="AZ162" i="1"/>
  <c r="DD152" i="1"/>
  <c r="BD143" i="1"/>
  <c r="DH133" i="1"/>
  <c r="BH124" i="1"/>
  <c r="H115" i="1"/>
  <c r="BL105" i="1"/>
  <c r="L96" i="1"/>
  <c r="BP86" i="1"/>
  <c r="P77" i="1"/>
  <c r="BT67" i="1"/>
  <c r="BR207" i="1"/>
  <c r="BK148" i="1"/>
  <c r="BS110" i="1"/>
  <c r="CA72" i="1"/>
  <c r="R58" i="1"/>
  <c r="BV48" i="1"/>
  <c r="V39" i="1"/>
  <c r="BZ29" i="1"/>
  <c r="Z20" i="1"/>
  <c r="CD10" i="1"/>
  <c r="AT269" i="1"/>
  <c r="BO92" i="1"/>
  <c r="CI42" i="1"/>
  <c r="BW12" i="1"/>
  <c r="Z228" i="1"/>
  <c r="CA153" i="1"/>
  <c r="CI115" i="1"/>
  <c r="BF300" i="1"/>
  <c r="BG116" i="1"/>
  <c r="G71" i="1"/>
  <c r="CC57" i="1"/>
  <c r="AC48" i="1"/>
  <c r="CG38" i="1"/>
  <c r="AG29" i="1"/>
  <c r="CK19" i="1"/>
  <c r="AK10" i="1"/>
  <c r="BZ213" i="1"/>
  <c r="BW63" i="1"/>
  <c r="G36" i="1"/>
  <c r="AY8" i="1"/>
  <c r="N209" i="1"/>
  <c r="CY148" i="1"/>
  <c r="DG110" i="1"/>
  <c r="K73" i="1"/>
  <c r="AB58" i="1"/>
  <c r="CF48" i="1"/>
  <c r="AF39" i="1"/>
  <c r="CJ29" i="1"/>
  <c r="AJ20" i="1"/>
  <c r="CN10" i="1"/>
  <c r="V239" i="1"/>
  <c r="BS93" i="1"/>
  <c r="CU44" i="1"/>
  <c r="S17" i="1"/>
  <c r="BS24" i="1"/>
  <c r="CL212" i="1"/>
  <c r="AU105" i="1"/>
  <c r="CU65" i="1"/>
  <c r="AO56" i="1"/>
  <c r="CS46" i="1"/>
  <c r="AS37" i="1"/>
  <c r="CW27" i="1"/>
  <c r="AW18" i="1"/>
  <c r="DA8" i="1"/>
  <c r="CQ171" i="1"/>
  <c r="CA59" i="1"/>
  <c r="K32" i="1"/>
  <c r="BG4" i="1"/>
  <c r="V187" i="1"/>
  <c r="AY143" i="1"/>
  <c r="BG105" i="1"/>
  <c r="BO67" i="1"/>
  <c r="CR56" i="1"/>
  <c r="AR47" i="1"/>
  <c r="CV37" i="1"/>
  <c r="AV28" i="1"/>
  <c r="CZ18" i="1"/>
  <c r="AZ9" i="1"/>
  <c r="AQ178" i="1"/>
  <c r="AM77" i="1"/>
  <c r="DC40" i="1"/>
  <c r="W10" i="1"/>
  <c r="CQ29" i="1"/>
  <c r="AE137" i="1"/>
  <c r="AU81" i="1"/>
  <c r="AK60" i="1"/>
  <c r="CO50" i="1"/>
  <c r="AO41" i="1"/>
  <c r="CS31" i="1"/>
  <c r="AS22" i="1"/>
  <c r="CW12" i="1"/>
  <c r="AF3" i="1"/>
  <c r="BK87" i="1"/>
  <c r="BW43" i="1"/>
  <c r="G16" i="1"/>
  <c r="BN250" i="1"/>
  <c r="AI159" i="1"/>
  <c r="AQ121" i="1"/>
  <c r="AY83" i="1"/>
  <c r="CN60" i="1"/>
  <c r="AN51" i="1"/>
  <c r="CR41" i="1"/>
  <c r="AR32" i="1"/>
  <c r="CV22" i="1"/>
  <c r="AV13" i="1"/>
  <c r="CZ3" i="1"/>
  <c r="BX118" i="1"/>
  <c r="CF80" i="1"/>
  <c r="S125" i="1"/>
  <c r="CL42" i="1"/>
  <c r="CT4" i="1"/>
  <c r="BR258" i="1"/>
  <c r="AJ161" i="1"/>
  <c r="AR123" i="1"/>
  <c r="AZ85" i="1"/>
  <c r="DC143" i="1"/>
  <c r="BF47" i="1"/>
  <c r="BN9" i="1"/>
  <c r="BS8" i="1"/>
  <c r="AH257" i="1"/>
  <c r="DD160" i="1"/>
  <c r="H123" i="1"/>
  <c r="P85" i="1"/>
  <c r="BS142" i="1"/>
  <c r="V47" i="1"/>
  <c r="AD9" i="1"/>
  <c r="DG7" i="1"/>
  <c r="BZ205" i="1"/>
  <c r="CG46" i="1"/>
  <c r="CO8" i="1"/>
  <c r="W4" i="1"/>
  <c r="S67" i="1"/>
  <c r="AJ28" i="1"/>
  <c r="DG75" i="1"/>
  <c r="AU169" i="1"/>
  <c r="AS45" i="1"/>
  <c r="BA7" i="1"/>
  <c r="AU324" i="1"/>
  <c r="CR64" i="1"/>
  <c r="CZ26" i="1"/>
  <c r="AY64" i="1"/>
  <c r="AU125" i="1"/>
  <c r="CS39" i="1"/>
  <c r="AX266" i="1"/>
  <c r="CT226" i="1"/>
  <c r="AM92" i="1"/>
  <c r="BL53" i="1"/>
  <c r="BP34" i="1"/>
  <c r="BT15" i="1"/>
  <c r="O163" i="1"/>
  <c r="AA55" i="1"/>
  <c r="CI17" i="1"/>
  <c r="K18" i="1"/>
  <c r="CM104" i="1"/>
  <c r="BE62" i="1"/>
  <c r="CW49" i="1"/>
  <c r="Q40" i="1"/>
  <c r="BU30" i="1"/>
  <c r="U21" i="1"/>
  <c r="BY11" i="1"/>
  <c r="AH278" i="1"/>
  <c r="W73" i="1"/>
  <c r="G40" i="1"/>
  <c r="BC12" i="1"/>
  <c r="BV228" i="1"/>
  <c r="CM153" i="1"/>
  <c r="CU115" i="1"/>
  <c r="DC77" i="1"/>
  <c r="AZ59" i="1"/>
  <c r="DD49" i="1"/>
  <c r="BD40" i="1"/>
  <c r="DH30" i="1"/>
  <c r="BH21" i="1"/>
  <c r="H12" i="1"/>
  <c r="AD297" i="1"/>
  <c r="AE107" i="1"/>
  <c r="AM47" i="1"/>
  <c r="CN122" i="1"/>
  <c r="CV84" i="1"/>
  <c r="CE141" i="1"/>
  <c r="DB46" i="1"/>
  <c r="F9" i="1"/>
  <c r="Z275" i="1"/>
  <c r="AZ165" i="1"/>
  <c r="BH127" i="1"/>
  <c r="BP89" i="1"/>
  <c r="BK160" i="1"/>
  <c r="BV51" i="1"/>
  <c r="CD13" i="1"/>
  <c r="CQ21" i="1"/>
  <c r="CT273" i="1"/>
  <c r="P165" i="1"/>
  <c r="X127" i="1"/>
  <c r="AF89" i="1"/>
  <c r="AA159" i="1"/>
  <c r="AL51" i="1"/>
  <c r="AT13" i="1"/>
  <c r="AA21" i="1"/>
  <c r="CI30" i="1"/>
  <c r="CW50" i="1"/>
  <c r="DE12" i="1"/>
  <c r="AE16" i="1"/>
  <c r="CE83" i="1"/>
  <c r="AZ32" i="1"/>
  <c r="DG123" i="1"/>
  <c r="AM13" i="1"/>
  <c r="BI49" i="1"/>
  <c r="BQ11" i="1"/>
  <c r="AI12" i="1"/>
  <c r="AE78" i="1"/>
  <c r="L31" i="1"/>
  <c r="AI108" i="1"/>
  <c r="BO158" i="1"/>
  <c r="DI43" i="1"/>
  <c r="M6" i="1"/>
  <c r="AD293" i="1"/>
  <c r="AA101" i="1"/>
  <c r="CJ55" i="1"/>
  <c r="CN36" i="1"/>
  <c r="CR17" i="1"/>
  <c r="AY176" i="1"/>
  <c r="O59" i="1"/>
  <c r="S22" i="1"/>
  <c r="K35" i="1"/>
  <c r="BC115" i="1"/>
  <c r="DE63" i="1"/>
  <c r="AC51" i="1"/>
  <c r="U41" i="1"/>
  <c r="BY31" i="1"/>
  <c r="Y22" i="1"/>
  <c r="CC12" i="1"/>
  <c r="AH378" i="1"/>
  <c r="W85" i="1"/>
  <c r="K43" i="1"/>
  <c r="BC15" i="1"/>
  <c r="AD245" i="1"/>
  <c r="DC157" i="1"/>
  <c r="G120" i="1"/>
  <c r="O82" i="1"/>
  <c r="BD60" i="1"/>
  <c r="DH50" i="1"/>
  <c r="BH41" i="1"/>
  <c r="H32" i="1"/>
  <c r="BL22" i="1"/>
  <c r="L13" i="1"/>
  <c r="BP3" i="1"/>
  <c r="AU119" i="1"/>
  <c r="BW51" i="1"/>
  <c r="DD126" i="1"/>
  <c r="H89" i="1"/>
  <c r="AM158" i="1"/>
  <c r="N51" i="1"/>
  <c r="V13" i="1"/>
  <c r="CL291" i="1"/>
  <c r="BX131" i="1"/>
  <c r="CF93" i="1"/>
  <c r="S177" i="1"/>
  <c r="CL55" i="1"/>
  <c r="CT17" i="1"/>
  <c r="DC34" i="1"/>
  <c r="AF169" i="1"/>
  <c r="AV93" i="1"/>
  <c r="AQ34" i="1"/>
  <c r="Q17" i="1"/>
  <c r="CE164" i="1"/>
  <c r="CG15" i="1"/>
  <c r="AB35" i="1"/>
  <c r="U48" i="1"/>
  <c r="CY108" i="1"/>
  <c r="BR235" i="1"/>
  <c r="CI53" i="1"/>
  <c r="CC52" i="1"/>
  <c r="AC23" i="1"/>
  <c r="BS97" i="1"/>
  <c r="CP261" i="1"/>
  <c r="BH61" i="1"/>
  <c r="BP23" i="1"/>
  <c r="AU131" i="1"/>
  <c r="CN90" i="1"/>
  <c r="DB14" i="1"/>
  <c r="AZ133" i="1"/>
  <c r="BV19" i="1"/>
  <c r="H171" i="1"/>
  <c r="AT193" i="1"/>
  <c r="AA112" i="1"/>
  <c r="AY33" i="1"/>
  <c r="N197" i="1"/>
  <c r="AY29" i="1"/>
  <c r="S168" i="1"/>
  <c r="DI11" i="1"/>
  <c r="CF58" i="1"/>
  <c r="BB263" i="1"/>
  <c r="AM61" i="1"/>
  <c r="BU42" i="1"/>
  <c r="BY23" i="1"/>
  <c r="DC102" i="1"/>
  <c r="DB268" i="1"/>
  <c r="G88" i="1"/>
  <c r="BH33" i="1"/>
  <c r="L5" i="1"/>
  <c r="P22" i="1"/>
  <c r="DD171" i="1"/>
  <c r="CT202" i="1"/>
  <c r="BE19" i="1"/>
  <c r="BO21" i="1"/>
  <c r="O175" i="1"/>
  <c r="BW113" i="1"/>
  <c r="BN270" i="1"/>
  <c r="AE133" i="1"/>
  <c r="AK33" i="1"/>
  <c r="CQ47" i="1"/>
  <c r="BS88" i="1"/>
  <c r="BX33" i="1"/>
  <c r="CB14" i="1"/>
  <c r="AA138" i="1"/>
  <c r="AD55" i="1"/>
  <c r="CN135" i="1"/>
  <c r="F22" i="1"/>
  <c r="BL97" i="1"/>
  <c r="CA121" i="1"/>
  <c r="CF40" i="1"/>
  <c r="AM36" i="1"/>
  <c r="AK52" i="1"/>
  <c r="DD40" i="1"/>
  <c r="BO84" i="1"/>
  <c r="CG33" i="1"/>
  <c r="CY109" i="1"/>
  <c r="AE166" i="1"/>
  <c r="BP43" i="1"/>
  <c r="BX5" i="1"/>
  <c r="DH164" i="1"/>
  <c r="AH13" i="1"/>
  <c r="CN88" i="1"/>
  <c r="AA25" i="1"/>
  <c r="DH31" i="1"/>
  <c r="CU10" i="1"/>
  <c r="O103" i="1"/>
  <c r="DF239" i="1"/>
  <c r="BN276" i="1"/>
  <c r="BL166" i="1"/>
  <c r="CP14" i="1"/>
  <c r="BN130" i="1"/>
  <c r="R75" i="1"/>
  <c r="AX217" i="1"/>
  <c r="CL196" i="1"/>
  <c r="CA176" i="1"/>
  <c r="AF136" i="1"/>
  <c r="AY49" i="1"/>
  <c r="AX238" i="1"/>
  <c r="BU59" i="1"/>
  <c r="H3" i="1"/>
  <c r="BC105" i="1"/>
  <c r="AY127" i="1"/>
  <c r="AR43" i="1"/>
  <c r="AZ5" i="1"/>
  <c r="AE105" i="1"/>
  <c r="AO37" i="1"/>
  <c r="BO59" i="1"/>
  <c r="AI143" i="1"/>
  <c r="AN47" i="1"/>
  <c r="K178" i="1"/>
  <c r="BK141" i="1"/>
  <c r="BO180" i="1"/>
  <c r="CX213" i="1"/>
  <c r="AC93" i="1"/>
  <c r="CX148" i="1"/>
  <c r="CX96" i="1"/>
  <c r="BJ263" i="1"/>
  <c r="I153" i="1"/>
  <c r="BU105" i="1"/>
  <c r="BJ304" i="1"/>
  <c r="AJ163" i="1"/>
  <c r="CV115" i="1"/>
  <c r="BD68" i="1"/>
  <c r="DF58" i="1"/>
  <c r="BN11" i="1"/>
  <c r="CP241" i="1"/>
  <c r="BZ264" i="1"/>
  <c r="AN153" i="1"/>
  <c r="CZ105" i="1"/>
  <c r="BJ213" i="1"/>
  <c r="F49" i="1"/>
  <c r="CH287" i="1"/>
  <c r="BV207" i="1"/>
  <c r="L139" i="1"/>
  <c r="BX91" i="1"/>
  <c r="CY130" i="1"/>
  <c r="CH34" i="1"/>
  <c r="AM58" i="1"/>
  <c r="V282" i="1"/>
  <c r="CB157" i="1"/>
  <c r="AJ110" i="1"/>
  <c r="BB283" i="1"/>
  <c r="AT53" i="1"/>
  <c r="DF5" i="1"/>
  <c r="BW172" i="1"/>
  <c r="BA62" i="1"/>
  <c r="I15" i="1"/>
  <c r="DB284" i="1"/>
  <c r="BD53" i="1"/>
  <c r="L6" i="1"/>
  <c r="BW39" i="1"/>
  <c r="M61" i="1"/>
  <c r="BY13" i="1"/>
  <c r="F263" i="1"/>
  <c r="P52" i="1"/>
  <c r="CB4" i="1"/>
  <c r="AM175" i="1"/>
  <c r="BQ36" i="1"/>
  <c r="AY57" i="1"/>
  <c r="AU102" i="1"/>
  <c r="BT27" i="1"/>
  <c r="BZ265" i="1"/>
  <c r="CH182" i="1"/>
  <c r="O68" i="1"/>
  <c r="DH141" i="1"/>
  <c r="AA74" i="1"/>
  <c r="DG142" i="1"/>
  <c r="AW26" i="1"/>
  <c r="BG3" i="1"/>
  <c r="AE130" i="1"/>
  <c r="S96" i="1"/>
  <c r="AG56" i="1"/>
  <c r="DA6" i="1"/>
  <c r="CI172" i="1"/>
  <c r="AB45" i="1"/>
  <c r="AQ158" i="1"/>
  <c r="CZ65" i="1"/>
  <c r="BD146" i="1"/>
  <c r="CE128" i="1"/>
  <c r="AJ70" i="1"/>
  <c r="AQ164" i="1"/>
  <c r="AV51" i="1"/>
  <c r="AI72" i="1"/>
  <c r="DE62" i="1"/>
  <c r="AJ46" i="1"/>
  <c r="G83" i="1"/>
  <c r="BA17" i="1"/>
  <c r="O348" i="1"/>
  <c r="CF55" i="1"/>
  <c r="AN8" i="1"/>
  <c r="L70" i="1"/>
  <c r="BT150" i="1"/>
  <c r="BW170" i="1"/>
  <c r="AZ74" i="1"/>
  <c r="AY168" i="1"/>
  <c r="AI98" i="1"/>
  <c r="BS137" i="1"/>
  <c r="CM92" i="1"/>
  <c r="AF16" i="1"/>
  <c r="BS148" i="1"/>
  <c r="AI128" i="1"/>
  <c r="DA58" i="1"/>
  <c r="BE18" i="1"/>
  <c r="AI32" i="1"/>
  <c r="AI67" i="1"/>
  <c r="CR18" i="1"/>
  <c r="CJ109" i="1"/>
  <c r="J223" i="1"/>
  <c r="BR38" i="1"/>
  <c r="T114" i="1"/>
  <c r="DF213" i="1"/>
  <c r="AN57" i="1"/>
  <c r="BG142" i="1"/>
  <c r="DE30" i="1"/>
  <c r="AJ30" i="1"/>
  <c r="BJ217" i="1"/>
  <c r="AW28" i="1"/>
  <c r="BK33" i="1"/>
  <c r="CY144" i="1"/>
  <c r="AF38" i="1"/>
  <c r="CY81" i="1"/>
  <c r="CT43" i="1"/>
  <c r="DB5" i="1"/>
  <c r="BB303" i="1"/>
  <c r="CM335" i="1"/>
  <c r="T176" i="1"/>
  <c r="BQ94" i="1"/>
  <c r="F95" i="1"/>
  <c r="CO145" i="1"/>
  <c r="AI184" i="1"/>
  <c r="BR144" i="1"/>
  <c r="V104" i="1"/>
  <c r="AD66" i="1"/>
  <c r="AG179" i="1"/>
  <c r="AO141" i="1"/>
  <c r="AW103" i="1"/>
  <c r="AK66" i="1"/>
  <c r="CT181" i="1"/>
  <c r="P142" i="1"/>
  <c r="X104" i="1"/>
  <c r="AF66" i="1"/>
  <c r="AA67" i="1"/>
  <c r="AL28" i="1"/>
  <c r="BK75" i="1"/>
  <c r="AA148" i="1"/>
  <c r="CL255" i="1"/>
  <c r="BP160" i="1"/>
  <c r="BX122" i="1"/>
  <c r="CF84" i="1"/>
  <c r="S141" i="1"/>
  <c r="CL46" i="1"/>
  <c r="CT8" i="1"/>
  <c r="BR274" i="1"/>
  <c r="AJ165" i="1"/>
  <c r="AR127" i="1"/>
  <c r="AZ89" i="1"/>
  <c r="DC159" i="1"/>
  <c r="BF51" i="1"/>
  <c r="BN13" i="1"/>
  <c r="AM21" i="1"/>
  <c r="AH273" i="1"/>
  <c r="DD164" i="1"/>
  <c r="H127" i="1"/>
  <c r="P89" i="1"/>
  <c r="BS158" i="1"/>
  <c r="V51" i="1"/>
  <c r="AD13" i="1"/>
  <c r="BW20" i="1"/>
  <c r="CU28" i="1"/>
  <c r="CG50" i="1"/>
  <c r="CO12" i="1"/>
  <c r="CQ15" i="1"/>
  <c r="S83" i="1"/>
  <c r="AJ32" i="1"/>
  <c r="BG122" i="1"/>
  <c r="AY11" i="1"/>
  <c r="AS49" i="1"/>
  <c r="BJ246" i="1"/>
  <c r="DC211" i="1"/>
  <c r="CB181" i="1"/>
  <c r="CX141" i="1"/>
  <c r="U141" i="1"/>
  <c r="DB139" i="1"/>
  <c r="AO139" i="1"/>
  <c r="CH139" i="1"/>
  <c r="U139" i="1"/>
  <c r="AC124" i="1"/>
  <c r="AX159" i="1"/>
  <c r="CG148" i="1"/>
  <c r="DI72" i="1"/>
  <c r="AN148" i="1"/>
  <c r="BD72" i="1"/>
  <c r="BJ34" i="1"/>
  <c r="O173" i="1"/>
  <c r="CN166" i="1"/>
  <c r="BH110" i="1"/>
  <c r="BP72" i="1"/>
  <c r="BK92" i="1"/>
  <c r="BV34" i="1"/>
  <c r="BX143" i="1"/>
  <c r="CT29" i="1"/>
  <c r="AN143" i="1"/>
  <c r="BJ29" i="1"/>
  <c r="Q29" i="1"/>
  <c r="BX10" i="1"/>
  <c r="AE59" i="1"/>
  <c r="AE9" i="1"/>
  <c r="I107" i="1"/>
  <c r="BZ150" i="1"/>
  <c r="BA144" i="1"/>
  <c r="AB145" i="1"/>
  <c r="AX31" i="1"/>
  <c r="CB163" i="1"/>
  <c r="F244" i="1"/>
  <c r="CO166" i="1"/>
  <c r="BP167" i="1"/>
  <c r="CL53" i="1"/>
  <c r="F206" i="1"/>
  <c r="AQ91" i="1"/>
  <c r="CR152" i="1"/>
  <c r="J39" i="1"/>
  <c r="BH152" i="1"/>
  <c r="CD38" i="1"/>
  <c r="AK38" i="1"/>
  <c r="CR19" i="1"/>
  <c r="M9" i="1"/>
  <c r="DC4" i="1"/>
  <c r="W68" i="1"/>
  <c r="BL28" i="1"/>
  <c r="O79" i="1"/>
  <c r="AY138" i="1"/>
  <c r="BE41" i="1"/>
  <c r="AK3" i="1"/>
  <c r="DB252" i="1"/>
  <c r="DD60" i="1"/>
  <c r="H23" i="1"/>
  <c r="K53" i="1"/>
  <c r="AA100" i="1"/>
  <c r="U82" i="1"/>
  <c r="BN82" i="1"/>
  <c r="BA139" i="1"/>
  <c r="O336" i="1"/>
  <c r="DF138" i="1"/>
  <c r="J101" i="1"/>
  <c r="DC335" i="1"/>
  <c r="U176" i="1"/>
  <c r="AC138" i="1"/>
  <c r="AK100" i="1"/>
  <c r="AE348" i="1"/>
  <c r="CZ176" i="1"/>
  <c r="DH138" i="1"/>
  <c r="L101" i="1"/>
  <c r="BR287" i="1"/>
  <c r="R63" i="1"/>
  <c r="Z25" i="1"/>
  <c r="BO58" i="1"/>
  <c r="CI135" i="1"/>
  <c r="AP243" i="1"/>
  <c r="BD157" i="1"/>
  <c r="BL119" i="1"/>
  <c r="BT81" i="1"/>
  <c r="CA128" i="1"/>
  <c r="BZ43" i="1"/>
  <c r="CH5" i="1"/>
  <c r="V262" i="1"/>
  <c r="X162" i="1"/>
  <c r="AF124" i="1"/>
  <c r="AN86" i="1"/>
  <c r="BG147" i="1"/>
  <c r="AT48" i="1"/>
  <c r="BB10" i="1"/>
  <c r="AM11" i="1"/>
  <c r="CP260" i="1"/>
  <c r="CR161" i="1"/>
  <c r="CZ123" i="1"/>
  <c r="DH85" i="1"/>
  <c r="W146" i="1"/>
  <c r="J48" i="1"/>
  <c r="R10" i="1"/>
  <c r="CI10" i="1"/>
  <c r="AU113" i="1"/>
  <c r="CI111" i="1"/>
  <c r="Q57" i="1"/>
  <c r="U38" i="1"/>
  <c r="Y19" i="1"/>
  <c r="AX186" i="1"/>
  <c r="AI34" i="1"/>
  <c r="BR199" i="1"/>
  <c r="BS108" i="1"/>
  <c r="BT57" i="1"/>
  <c r="BX38" i="1"/>
  <c r="CB19" i="1"/>
  <c r="AL211" i="1"/>
  <c r="AA43" i="1"/>
  <c r="S18" i="1"/>
  <c r="AE101" i="1"/>
  <c r="CG55" i="1"/>
  <c r="CK36" i="1"/>
  <c r="CO17" i="1"/>
  <c r="CY145" i="1"/>
  <c r="AI30" i="1"/>
  <c r="DG178" i="1"/>
  <c r="S103" i="1"/>
  <c r="AF56" i="1"/>
  <c r="AJ37" i="1"/>
  <c r="AN18" i="1"/>
  <c r="BK171" i="1"/>
  <c r="AI39" i="1"/>
  <c r="BC22" i="1"/>
  <c r="G79" i="1"/>
  <c r="AC50" i="1"/>
  <c r="AG31" i="1"/>
  <c r="AK12" i="1"/>
  <c r="AY80" i="1"/>
  <c r="AM14" i="1"/>
  <c r="CY156" i="1"/>
  <c r="K81" i="1"/>
  <c r="CF50" i="1"/>
  <c r="CJ31" i="1"/>
  <c r="CN12" i="1"/>
  <c r="AJ116" i="1"/>
  <c r="BW115" i="1"/>
  <c r="P3" i="1"/>
  <c r="CZ158" i="1"/>
  <c r="L83" i="1"/>
  <c r="R45" i="1"/>
  <c r="CA348" i="1"/>
  <c r="BP158" i="1"/>
  <c r="CF82" i="1"/>
  <c r="CL44" i="1"/>
  <c r="CQ336" i="1"/>
  <c r="AS44" i="1"/>
  <c r="V299" i="1"/>
  <c r="CZ25" i="1"/>
  <c r="AY150" i="1"/>
  <c r="M5" i="1"/>
  <c r="BD62" i="1"/>
  <c r="AU57" i="1"/>
  <c r="BE37" i="1"/>
  <c r="DB188" i="1"/>
  <c r="AR52" i="1"/>
  <c r="AZ14" i="1"/>
  <c r="BS52" i="1"/>
  <c r="CE8" i="1"/>
  <c r="CG61" i="1"/>
  <c r="BI39" i="1"/>
  <c r="BM20" i="1"/>
  <c r="F251" i="1"/>
  <c r="AM38" i="1"/>
  <c r="V219" i="1"/>
  <c r="BG113" i="1"/>
  <c r="CR58" i="1"/>
  <c r="CV39" i="1"/>
  <c r="CZ20" i="1"/>
  <c r="CL268" i="1"/>
  <c r="K42" i="1"/>
  <c r="BH82" i="1"/>
  <c r="BN44" i="1"/>
  <c r="CD265" i="1"/>
  <c r="T125" i="1"/>
  <c r="K151" i="1"/>
  <c r="AP11" i="1"/>
  <c r="AT264" i="1"/>
  <c r="CN124" i="1"/>
  <c r="CE149" i="1"/>
  <c r="F11" i="1"/>
  <c r="BO341" i="1"/>
  <c r="BQ10" i="1"/>
  <c r="AE74" i="1"/>
  <c r="G97" i="1"/>
  <c r="U47" i="1"/>
  <c r="AU5" i="1"/>
  <c r="CB28" i="1"/>
  <c r="BS139" i="1"/>
  <c r="BU3" i="1"/>
  <c r="BC96" i="1"/>
  <c r="BT35" i="1"/>
  <c r="CA167" i="1"/>
  <c r="BG19" i="1"/>
  <c r="BK109" i="1"/>
  <c r="BE50" i="1"/>
  <c r="M31" i="1"/>
  <c r="Q12" i="1"/>
  <c r="BG78" i="1"/>
  <c r="CI13" i="1"/>
  <c r="BO155" i="1"/>
  <c r="CE79" i="1"/>
  <c r="AV50" i="1"/>
  <c r="AZ31" i="1"/>
  <c r="BD12" i="1"/>
  <c r="AY112" i="1"/>
  <c r="BP124" i="1"/>
  <c r="CQ148" i="1"/>
  <c r="CL10" i="1"/>
  <c r="AB167" i="1"/>
  <c r="AR91" i="1"/>
  <c r="AX53" i="1"/>
  <c r="AU27" i="1"/>
  <c r="CV166" i="1"/>
  <c r="H91" i="1"/>
  <c r="N53" i="1"/>
  <c r="CI26" i="1"/>
  <c r="BY52" i="1"/>
  <c r="AU21" i="1"/>
  <c r="AB34" i="1"/>
  <c r="DC35" i="1"/>
  <c r="AS13" i="1"/>
  <c r="AQ85" i="1"/>
  <c r="CU128" i="1"/>
  <c r="CK45" i="1"/>
  <c r="BC350" i="1"/>
  <c r="BH56" i="1"/>
  <c r="BP18" i="1"/>
  <c r="CU60" i="1"/>
  <c r="BG42" i="1"/>
  <c r="BM64" i="1"/>
  <c r="BQ41" i="1"/>
  <c r="BU22" i="1"/>
  <c r="BM3" i="1"/>
  <c r="AU44" i="1"/>
  <c r="AH290" i="1"/>
  <c r="AA169" i="1"/>
  <c r="AI131" i="1"/>
  <c r="AQ93" i="1"/>
  <c r="AJ63" i="1"/>
  <c r="CN53" i="1"/>
  <c r="AN44" i="1"/>
  <c r="CR34" i="1"/>
  <c r="AR25" i="1"/>
  <c r="CV15" i="1"/>
  <c r="AV6" i="1"/>
  <c r="AE151" i="1"/>
  <c r="CQ59" i="1"/>
  <c r="CR135" i="1"/>
  <c r="CZ97" i="1"/>
  <c r="AD237" i="1"/>
  <c r="DF59" i="1"/>
  <c r="J22" i="1"/>
  <c r="DF385" i="1"/>
  <c r="BD178" i="1"/>
  <c r="BL140" i="1"/>
  <c r="BT102" i="1"/>
  <c r="CE313" i="1"/>
  <c r="BZ64" i="1"/>
  <c r="CH26" i="1"/>
  <c r="G63" i="1"/>
  <c r="CM367" i="1"/>
  <c r="T178" i="1"/>
  <c r="AB140" i="1"/>
  <c r="AJ102" i="1"/>
  <c r="V307" i="1"/>
  <c r="AP64" i="1"/>
  <c r="AX26" i="1"/>
  <c r="BC62" i="1"/>
  <c r="BW140" i="1"/>
  <c r="DA63" i="1"/>
  <c r="DI25" i="1"/>
  <c r="W54" i="1"/>
  <c r="CU135" i="1"/>
  <c r="BD45" i="1"/>
  <c r="BL7" i="1"/>
  <c r="BO7" i="1"/>
  <c r="BM62" i="1"/>
  <c r="BU24" i="1"/>
  <c r="W50" i="1"/>
  <c r="AU130" i="1"/>
  <c r="P44" i="1"/>
  <c r="X6" i="1"/>
  <c r="AY32" i="1"/>
  <c r="I57" i="1"/>
  <c r="Q19" i="1"/>
  <c r="S34" i="1"/>
  <c r="AI127" i="1"/>
  <c r="AJ62" i="1"/>
  <c r="AN43" i="1"/>
  <c r="AR24" i="1"/>
  <c r="AV5" i="1"/>
  <c r="G89" i="1"/>
  <c r="CI34" i="1"/>
  <c r="DG18" i="1"/>
  <c r="CQ149" i="1"/>
  <c r="AM75" i="1"/>
  <c r="BY55" i="1"/>
  <c r="AW44" i="1"/>
  <c r="DA34" i="1"/>
  <c r="BA25" i="1"/>
  <c r="DE15" i="1"/>
  <c r="BE6" i="1"/>
  <c r="S124" i="1"/>
  <c r="BK52" i="1"/>
  <c r="CY24" i="1"/>
  <c r="AT297" i="1"/>
  <c r="DG170" i="1"/>
  <c r="K133" i="1"/>
  <c r="S95" i="1"/>
  <c r="CF63" i="1"/>
  <c r="AF54" i="1"/>
  <c r="CJ44" i="1"/>
  <c r="AJ35" i="1"/>
  <c r="CN25" i="1"/>
  <c r="AN16" i="1"/>
  <c r="CR6" i="1"/>
  <c r="CM154" i="1"/>
  <c r="W61" i="1"/>
  <c r="CL22" i="1"/>
  <c r="BO454" i="1"/>
  <c r="AB179" i="1"/>
  <c r="AJ141" i="1"/>
  <c r="AR103" i="1"/>
  <c r="S361" i="1"/>
  <c r="AX65" i="1"/>
  <c r="BF27" i="1"/>
  <c r="AQ65" i="1"/>
  <c r="J412" i="1"/>
  <c r="CV178" i="1"/>
  <c r="DD140" i="1"/>
  <c r="H103" i="1"/>
  <c r="CM339" i="1"/>
  <c r="N65" i="1"/>
  <c r="V27" i="1"/>
  <c r="CM64" i="1"/>
  <c r="BS143" i="1"/>
  <c r="BY64" i="1"/>
  <c r="CG26" i="1"/>
  <c r="AM56" i="1"/>
  <c r="CQ138" i="1"/>
  <c r="AB46" i="1"/>
  <c r="AJ8" i="1"/>
  <c r="CQ9" i="1"/>
  <c r="AK63" i="1"/>
  <c r="AS25" i="1"/>
  <c r="AM52" i="1"/>
  <c r="AQ133" i="1"/>
  <c r="CR44" i="1"/>
  <c r="CZ6" i="1"/>
  <c r="W41" i="1"/>
  <c r="CK57" i="1"/>
  <c r="CS19" i="1"/>
  <c r="AA36" i="1"/>
  <c r="BM97" i="1"/>
  <c r="DF97" i="1"/>
  <c r="U147" i="1"/>
  <c r="K186" i="1"/>
  <c r="DB145" i="1"/>
  <c r="CX104" i="1"/>
  <c r="DF66" i="1"/>
  <c r="CH181" i="1"/>
  <c r="M142" i="1"/>
  <c r="U104" i="1"/>
  <c r="I67" i="1"/>
  <c r="CP184" i="1"/>
  <c r="CR142" i="1"/>
  <c r="CZ104" i="1"/>
  <c r="DH66" i="1"/>
  <c r="W70" i="1"/>
  <c r="J29" i="1"/>
  <c r="G85" i="1"/>
  <c r="W151" i="1"/>
  <c r="CH258" i="1"/>
  <c r="AN161" i="1"/>
  <c r="BN211" i="1"/>
  <c r="CX229" i="1"/>
  <c r="Y116" i="1"/>
  <c r="J225" i="1"/>
  <c r="AH127" i="1"/>
  <c r="AP89" i="1"/>
  <c r="AD271" i="1"/>
  <c r="BA164" i="1"/>
  <c r="BI126" i="1"/>
  <c r="BQ88" i="1"/>
  <c r="AL274" i="1"/>
  <c r="AB165" i="1"/>
  <c r="AJ127" i="1"/>
  <c r="AR89" i="1"/>
  <c r="BW159" i="1"/>
  <c r="AX51" i="1"/>
  <c r="BF13" i="1"/>
  <c r="BK21" i="1"/>
  <c r="DE69" i="1"/>
  <c r="BJ196" i="1"/>
  <c r="CJ145" i="1"/>
  <c r="CR107" i="1"/>
  <c r="CZ69" i="1"/>
  <c r="CU81" i="1"/>
  <c r="DF31" i="1"/>
  <c r="CY121" i="1"/>
  <c r="AP215" i="1"/>
  <c r="BD150" i="1"/>
  <c r="BL112" i="1"/>
  <c r="BT74" i="1"/>
  <c r="CA100" i="1"/>
  <c r="BZ36" i="1"/>
  <c r="G169" i="1"/>
  <c r="R186" i="1"/>
  <c r="F214" i="1"/>
  <c r="T150" i="1"/>
  <c r="AB112" i="1"/>
  <c r="AJ74" i="1"/>
  <c r="AQ99" i="1"/>
  <c r="AP36" i="1"/>
  <c r="DC166" i="1"/>
  <c r="V183" i="1"/>
  <c r="CA97" i="1"/>
  <c r="DA35" i="1"/>
  <c r="CQ135" i="1"/>
  <c r="BO175" i="1"/>
  <c r="AV55" i="1"/>
  <c r="BD17" i="1"/>
  <c r="CI36" i="1"/>
  <c r="AA92" i="1"/>
  <c r="BM34" i="1"/>
  <c r="BE8" i="1"/>
  <c r="CA147" i="1"/>
  <c r="AU58" i="1"/>
  <c r="CE30" i="1"/>
  <c r="AA3" i="1"/>
  <c r="J180" i="1"/>
  <c r="BW141" i="1"/>
  <c r="CE103" i="1"/>
  <c r="F66" i="1"/>
  <c r="AV56" i="1"/>
  <c r="CZ46" i="1"/>
  <c r="AZ37" i="1"/>
  <c r="DD27" i="1"/>
  <c r="BD18" i="1"/>
  <c r="DH8" i="1"/>
  <c r="AM173" i="1"/>
  <c r="S72" i="1"/>
  <c r="CA39" i="1"/>
  <c r="K7" i="1"/>
  <c r="AM24" i="1"/>
  <c r="CA133" i="1"/>
  <c r="BS79" i="1"/>
  <c r="CS59" i="1"/>
  <c r="AS50" i="1"/>
  <c r="CW40" i="1"/>
  <c r="AW31" i="1"/>
  <c r="DA21" i="1"/>
  <c r="BA12" i="1"/>
  <c r="AY321" i="1"/>
  <c r="AQ82" i="1"/>
  <c r="AM42" i="1"/>
  <c r="CE14" i="1"/>
  <c r="BB243" i="1"/>
  <c r="BG157" i="1"/>
  <c r="BO119" i="1"/>
  <c r="BW81" i="1"/>
  <c r="AR60" i="1"/>
  <c r="CV50" i="1"/>
  <c r="AV41" i="1"/>
  <c r="CZ31" i="1"/>
  <c r="AZ22" i="1"/>
  <c r="DD12" i="1"/>
  <c r="BD3" i="1"/>
  <c r="AQ118" i="1"/>
  <c r="AM51" i="1"/>
  <c r="AU23" i="1"/>
  <c r="CQ10" i="1"/>
  <c r="DG169" i="1"/>
  <c r="CQ97" i="1"/>
  <c r="AW64" i="1"/>
  <c r="DA54" i="1"/>
  <c r="CC117" i="1"/>
  <c r="CK79" i="1"/>
  <c r="BV237" i="1"/>
  <c r="J156" i="1"/>
  <c r="R118" i="1"/>
  <c r="Z80" i="1"/>
  <c r="AP242" i="1"/>
  <c r="Y176" i="1"/>
  <c r="AC157" i="1"/>
  <c r="AG138" i="1"/>
  <c r="AK119" i="1"/>
  <c r="AO100" i="1"/>
  <c r="AS81" i="1"/>
  <c r="S317" i="1"/>
  <c r="BF237" i="1"/>
  <c r="DF174" i="1"/>
  <c r="F156" i="1"/>
  <c r="AT138" i="1"/>
  <c r="CX128" i="1"/>
  <c r="AX119" i="1"/>
  <c r="DB109" i="1"/>
  <c r="BB100" i="1"/>
  <c r="DF90" i="1"/>
  <c r="BF81" i="1"/>
  <c r="F72" i="1"/>
  <c r="BC326" i="1"/>
  <c r="CH277" i="1"/>
  <c r="CP239" i="1"/>
  <c r="CX201" i="1"/>
  <c r="BM175" i="1"/>
  <c r="M166" i="1"/>
  <c r="BQ156" i="1"/>
  <c r="Q147" i="1"/>
  <c r="BU137" i="1"/>
  <c r="U128" i="1"/>
  <c r="BY118" i="1"/>
  <c r="Y109" i="1"/>
  <c r="CC99" i="1"/>
  <c r="AC90" i="1"/>
  <c r="CG80" i="1"/>
  <c r="Q72" i="1"/>
  <c r="CI338" i="1"/>
  <c r="CP280" i="1"/>
  <c r="CX242" i="1"/>
  <c r="DF204" i="1"/>
  <c r="AN176" i="1"/>
  <c r="CR166" i="1"/>
  <c r="AR157" i="1"/>
  <c r="CV147" i="1"/>
  <c r="AV138" i="1"/>
  <c r="CZ128" i="1"/>
  <c r="AZ119" i="1"/>
  <c r="DD109" i="1"/>
  <c r="BD100" i="1"/>
  <c r="DH90" i="1"/>
  <c r="BH81" i="1"/>
  <c r="H72" i="1"/>
  <c r="R278" i="1"/>
  <c r="W166" i="1"/>
  <c r="AE128" i="1"/>
  <c r="AM90" i="1"/>
  <c r="BJ62" i="1"/>
  <c r="J53" i="1"/>
  <c r="BN43" i="1"/>
  <c r="N34" i="1"/>
  <c r="BR24" i="1"/>
  <c r="R15" i="1"/>
  <c r="BV5" i="1"/>
  <c r="AY148" i="1"/>
  <c r="CE56" i="1"/>
  <c r="BW26" i="1"/>
  <c r="CD298" i="1"/>
  <c r="AM171" i="1"/>
  <c r="AU133" i="1"/>
  <c r="BQ71" i="1"/>
  <c r="K331" i="1"/>
  <c r="CX278" i="1"/>
  <c r="DF240" i="1"/>
  <c r="J203" i="1"/>
  <c r="CR175" i="1"/>
  <c r="AR166" i="1"/>
  <c r="CV156" i="1"/>
  <c r="AV147" i="1"/>
  <c r="CZ137" i="1"/>
  <c r="AZ128" i="1"/>
  <c r="DD118" i="1"/>
  <c r="BD109" i="1"/>
  <c r="DH99" i="1"/>
  <c r="BH90" i="1"/>
  <c r="H81" i="1"/>
  <c r="BL71" i="1"/>
  <c r="AX270" i="1"/>
  <c r="AE164" i="1"/>
  <c r="AM126" i="1"/>
  <c r="AU88" i="1"/>
  <c r="J62" i="1"/>
  <c r="BN52" i="1"/>
  <c r="N43" i="1"/>
  <c r="BR33" i="1"/>
  <c r="R24" i="1"/>
  <c r="BV14" i="1"/>
  <c r="V5" i="1"/>
  <c r="BW142" i="1"/>
  <c r="CO66" i="1"/>
  <c r="CD297" i="1"/>
  <c r="CL259" i="1"/>
  <c r="CT221" i="1"/>
  <c r="DB183" i="1"/>
  <c r="L171" i="1"/>
  <c r="BP161" i="1"/>
  <c r="P152" i="1"/>
  <c r="BT142" i="1"/>
  <c r="T133" i="1"/>
  <c r="BX123" i="1"/>
  <c r="X114" i="1"/>
  <c r="CB104" i="1"/>
  <c r="AB95" i="1"/>
  <c r="CF85" i="1"/>
  <c r="AF76" i="1"/>
  <c r="CJ66" i="1"/>
  <c r="DF193" i="1"/>
  <c r="S145" i="1"/>
  <c r="AA107" i="1"/>
  <c r="AI69" i="1"/>
  <c r="AH57" i="1"/>
  <c r="CL47" i="1"/>
  <c r="AL38" i="1"/>
  <c r="CP28" i="1"/>
  <c r="AP19" i="1"/>
  <c r="CT9" i="1"/>
  <c r="BR219" i="1"/>
  <c r="AI80" i="1"/>
  <c r="BK39" i="1"/>
  <c r="BK9" i="1"/>
  <c r="Z212" i="1"/>
  <c r="BE66" i="1"/>
  <c r="AT296" i="1"/>
  <c r="BB258" i="1"/>
  <c r="BJ220" i="1"/>
  <c r="BR182" i="1"/>
  <c r="CF170" i="1"/>
  <c r="AF161" i="1"/>
  <c r="CJ151" i="1"/>
  <c r="AJ142" i="1"/>
  <c r="CN132" i="1"/>
  <c r="AN123" i="1"/>
  <c r="CR113" i="1"/>
  <c r="AR104" i="1"/>
  <c r="CV94" i="1"/>
  <c r="AV85" i="1"/>
  <c r="CZ75" i="1"/>
  <c r="AZ66" i="1"/>
  <c r="BV188" i="1"/>
  <c r="CM143" i="1"/>
  <c r="CU105" i="1"/>
  <c r="DC67" i="1"/>
  <c r="DB56" i="1"/>
  <c r="BB47" i="1"/>
  <c r="DF37" i="1"/>
  <c r="BF28" i="1"/>
  <c r="F19" i="1"/>
  <c r="BJ9" i="1"/>
  <c r="CD210" i="1"/>
  <c r="CY77" i="1"/>
  <c r="DG38" i="1"/>
  <c r="CY8" i="1"/>
  <c r="AD209" i="1"/>
  <c r="DC148" i="1"/>
  <c r="G111" i="1"/>
  <c r="BV224" i="1"/>
  <c r="G107" i="1"/>
  <c r="AI66" i="1"/>
  <c r="BI56" i="1"/>
  <c r="I47" i="1"/>
  <c r="BM37" i="1"/>
  <c r="M28" i="1"/>
  <c r="BQ18" i="1"/>
  <c r="Q9" i="1"/>
  <c r="K174" i="1"/>
  <c r="AE60" i="1"/>
  <c r="BO32" i="1"/>
  <c r="K5" i="1"/>
  <c r="R190" i="1"/>
  <c r="W144" i="1"/>
  <c r="AE106" i="1"/>
  <c r="AM68" i="1"/>
  <c r="H57" i="1"/>
  <c r="BL47" i="1"/>
  <c r="L38" i="1"/>
  <c r="BP28" i="1"/>
  <c r="P19" i="1"/>
  <c r="BT9" i="1"/>
  <c r="J184" i="1"/>
  <c r="BK79" i="1"/>
  <c r="BG41" i="1"/>
  <c r="CE13" i="1"/>
  <c r="CA11" i="1"/>
  <c r="CI171" i="1"/>
  <c r="CE98" i="1"/>
  <c r="BU64" i="1"/>
  <c r="U55" i="1"/>
  <c r="BY45" i="1"/>
  <c r="Y36" i="1"/>
  <c r="CC26" i="1"/>
  <c r="AC17" i="1"/>
  <c r="CG7" i="1"/>
  <c r="CM138" i="1"/>
  <c r="AE56" i="1"/>
  <c r="BS28" i="1"/>
  <c r="AQ343" i="1"/>
  <c r="BS176" i="1"/>
  <c r="CA138" i="1"/>
  <c r="CI100" i="1"/>
  <c r="T65" i="1"/>
  <c r="BX55" i="1"/>
  <c r="X46" i="1"/>
  <c r="CB36" i="1"/>
  <c r="AB27" i="1"/>
  <c r="CF17" i="1"/>
  <c r="AF8" i="1"/>
  <c r="BS165" i="1"/>
  <c r="AI65" i="1"/>
  <c r="BO37" i="1"/>
  <c r="S6" i="1"/>
  <c r="CM14" i="1"/>
  <c r="CI127" i="1"/>
  <c r="BW76" i="1"/>
  <c r="Q59" i="1"/>
  <c r="BU49" i="1"/>
  <c r="U40" i="1"/>
  <c r="BY30" i="1"/>
  <c r="Y21" i="1"/>
  <c r="CC11" i="1"/>
  <c r="J280" i="1"/>
  <c r="BS73" i="1"/>
  <c r="S40" i="1"/>
  <c r="BO12" i="1"/>
  <c r="BR231" i="1"/>
  <c r="BK154" i="1"/>
  <c r="BS116" i="1"/>
  <c r="CA78" i="1"/>
  <c r="BT59" i="1"/>
  <c r="T50" i="1"/>
  <c r="BX40" i="1"/>
  <c r="X31" i="1"/>
  <c r="CB21" i="1"/>
  <c r="AB12" i="1"/>
  <c r="AL307" i="1"/>
  <c r="CZ113" i="1"/>
  <c r="DH75" i="1"/>
  <c r="W106" i="1"/>
  <c r="J38" i="1"/>
  <c r="AH214" i="1"/>
  <c r="BV239" i="1"/>
  <c r="BL156" i="1"/>
  <c r="BT118" i="1"/>
  <c r="CB80" i="1"/>
  <c r="DG124" i="1"/>
  <c r="CH42" i="1"/>
  <c r="CP4" i="1"/>
  <c r="AL283" i="1"/>
  <c r="AL238" i="1"/>
  <c r="AB156" i="1"/>
  <c r="AJ118" i="1"/>
  <c r="AR80" i="1"/>
  <c r="BW123" i="1"/>
  <c r="AX42" i="1"/>
  <c r="BF4" i="1"/>
  <c r="AP280" i="1"/>
  <c r="BO142" i="1"/>
  <c r="DI41" i="1"/>
  <c r="M4" i="1"/>
  <c r="AD261" i="1"/>
  <c r="BD61" i="1"/>
  <c r="BL23" i="1"/>
  <c r="BK54" i="1"/>
  <c r="BC131" i="1"/>
  <c r="BU40" i="1"/>
  <c r="BN302" i="1"/>
  <c r="AL239" i="1"/>
  <c r="P60" i="1"/>
  <c r="X22" i="1"/>
  <c r="BK50" i="1"/>
  <c r="AY94" i="1"/>
  <c r="Q35" i="1"/>
  <c r="AA126" i="1"/>
  <c r="AM172" i="1"/>
  <c r="CQ82" i="1"/>
  <c r="X51" i="1"/>
  <c r="AB32" i="1"/>
  <c r="AF13" i="1"/>
  <c r="AA150" i="1"/>
  <c r="AY50" i="1"/>
  <c r="BG13" i="1"/>
  <c r="CT302" i="1"/>
  <c r="BW96" i="1"/>
  <c r="DI60" i="1"/>
  <c r="AW48" i="1"/>
  <c r="DA38" i="1"/>
  <c r="BA29" i="1"/>
  <c r="DE19" i="1"/>
  <c r="BE10" i="1"/>
  <c r="DF221" i="1"/>
  <c r="AA64" i="1"/>
  <c r="BG36" i="1"/>
  <c r="DG8" i="1"/>
  <c r="BZ209" i="1"/>
  <c r="K149" i="1"/>
  <c r="S111" i="1"/>
  <c r="AA73" i="1"/>
  <c r="AF58" i="1"/>
  <c r="CJ48" i="1"/>
  <c r="AJ39" i="1"/>
  <c r="CN29" i="1"/>
  <c r="AN20" i="1"/>
  <c r="CR10" i="1"/>
  <c r="DB240" i="1"/>
  <c r="CY93" i="1"/>
  <c r="CI33" i="1"/>
  <c r="L118" i="1"/>
  <c r="T80" i="1"/>
  <c r="CI122" i="1"/>
  <c r="Z42" i="1"/>
  <c r="AH4" i="1"/>
  <c r="AD256" i="1"/>
  <c r="CB160" i="1"/>
  <c r="CJ122" i="1"/>
  <c r="CR84" i="1"/>
  <c r="BO141" i="1"/>
  <c r="CX46" i="1"/>
  <c r="DF8" i="1"/>
  <c r="BW6" i="1"/>
  <c r="CX254" i="1"/>
  <c r="AR160" i="1"/>
  <c r="AZ122" i="1"/>
  <c r="BH84" i="1"/>
  <c r="AE140" i="1"/>
  <c r="BN46" i="1"/>
  <c r="BV8" i="1"/>
  <c r="K6" i="1"/>
  <c r="BG176" i="1"/>
  <c r="U46" i="1"/>
  <c r="AC8" i="1"/>
  <c r="R390" i="1"/>
  <c r="BT65" i="1"/>
  <c r="CB27" i="1"/>
  <c r="BC69" i="1"/>
  <c r="BW164" i="1"/>
  <c r="CK44" i="1"/>
  <c r="CS6" i="1"/>
  <c r="BZ305" i="1"/>
  <c r="AF64" i="1"/>
  <c r="AN26" i="1"/>
  <c r="BW62" i="1"/>
  <c r="BW120" i="1"/>
  <c r="AG39" i="1"/>
  <c r="BN238" i="1"/>
  <c r="AT217" i="1"/>
  <c r="CE91" i="1"/>
  <c r="AV53" i="1"/>
  <c r="AZ34" i="1"/>
  <c r="BD15" i="1"/>
  <c r="CY161" i="1"/>
  <c r="AQ54" i="1"/>
  <c r="AQ17" i="1"/>
  <c r="AA16" i="1"/>
  <c r="AY102" i="1"/>
  <c r="AO62" i="1"/>
  <c r="CG49" i="1"/>
  <c r="DE39" i="1"/>
  <c r="BE30" i="1"/>
  <c r="DI20" i="1"/>
  <c r="BI11" i="1"/>
  <c r="V271" i="1"/>
  <c r="AE71" i="1"/>
  <c r="BS39" i="1"/>
  <c r="K12" i="1"/>
  <c r="AH226" i="1"/>
  <c r="AA153" i="1"/>
  <c r="AI115" i="1"/>
  <c r="AQ77" i="1"/>
  <c r="AJ59" i="1"/>
  <c r="CN49" i="1"/>
  <c r="AN40" i="1"/>
  <c r="CR30" i="1"/>
  <c r="AR21" i="1"/>
  <c r="CV11" i="1"/>
  <c r="R290" i="1"/>
  <c r="CI105" i="1"/>
  <c r="AQ46" i="1"/>
  <c r="AB122" i="1"/>
  <c r="AJ84" i="1"/>
  <c r="AQ139" i="1"/>
  <c r="AP46" i="1"/>
  <c r="AX8" i="1"/>
  <c r="CP272" i="1"/>
  <c r="CR164" i="1"/>
  <c r="CZ126" i="1"/>
  <c r="DH88" i="1"/>
  <c r="W158" i="1"/>
  <c r="J51" i="1"/>
  <c r="R13" i="1"/>
  <c r="CU19" i="1"/>
  <c r="BF271" i="1"/>
  <c r="BH164" i="1"/>
  <c r="BP126" i="1"/>
  <c r="BX88" i="1"/>
  <c r="CQ156" i="1"/>
  <c r="CD50" i="1"/>
  <c r="CL12" i="1"/>
  <c r="AM19" i="1"/>
  <c r="AQ23" i="1"/>
  <c r="AK50" i="1"/>
  <c r="AS12" i="1"/>
  <c r="BG14" i="1"/>
  <c r="AQ81" i="1"/>
  <c r="CR31" i="1"/>
  <c r="BC117" i="1"/>
  <c r="CM5" i="1"/>
  <c r="DA48" i="1"/>
  <c r="DI10" i="1"/>
  <c r="BC10" i="1"/>
  <c r="CU75" i="1"/>
  <c r="BD30" i="1"/>
  <c r="BC101" i="1"/>
  <c r="CQ153" i="1"/>
  <c r="AW43" i="1"/>
  <c r="BE5" i="1"/>
  <c r="CH283" i="1"/>
  <c r="AY99" i="1"/>
  <c r="AN55" i="1"/>
  <c r="AR36" i="1"/>
  <c r="AV17" i="1"/>
  <c r="BW174" i="1"/>
  <c r="BW58" i="1"/>
  <c r="AE21" i="1"/>
  <c r="AA33" i="1"/>
  <c r="AI114" i="1"/>
  <c r="BY63" i="1"/>
  <c r="M51" i="1"/>
  <c r="DI40" i="1"/>
  <c r="BI31" i="1"/>
  <c r="I22" i="1"/>
  <c r="BM12" i="1"/>
  <c r="CI342" i="1"/>
  <c r="AU83" i="1"/>
  <c r="BW42" i="1"/>
  <c r="K15" i="1"/>
  <c r="CT242" i="1"/>
  <c r="AQ157" i="1"/>
  <c r="AY119" i="1"/>
  <c r="BG81" i="1"/>
  <c r="AN60" i="1"/>
  <c r="CR50" i="1"/>
  <c r="AR41" i="1"/>
  <c r="CV31" i="1"/>
  <c r="AV22" i="1"/>
  <c r="CZ12" i="1"/>
  <c r="AZ3" i="1"/>
  <c r="CY117" i="1"/>
  <c r="AA51" i="1"/>
  <c r="DH123" i="1"/>
  <c r="L86" i="1"/>
  <c r="BC146" i="1"/>
  <c r="R48" i="1"/>
  <c r="Z10" i="1"/>
  <c r="DB279" i="1"/>
  <c r="BT166" i="1"/>
  <c r="CB128" i="1"/>
  <c r="CJ90" i="1"/>
  <c r="AI165" i="1"/>
  <c r="CP52" i="1"/>
  <c r="CX14" i="1"/>
  <c r="BK25" i="1"/>
  <c r="BR278" i="1"/>
  <c r="AJ166" i="1"/>
  <c r="AR128" i="1"/>
  <c r="AZ90" i="1"/>
  <c r="DC163" i="1"/>
  <c r="BF52" i="1"/>
  <c r="BN14" i="1"/>
  <c r="DG24" i="1"/>
  <c r="CM45" i="1"/>
  <c r="M52" i="1"/>
  <c r="U14" i="1"/>
  <c r="BW19" i="1"/>
  <c r="BC88" i="1"/>
  <c r="BT33" i="1"/>
  <c r="CI137" i="1"/>
  <c r="AU28" i="1"/>
  <c r="CC50" i="1"/>
  <c r="CK12" i="1"/>
  <c r="CA15" i="1"/>
  <c r="DG82" i="1"/>
  <c r="AF32" i="1"/>
  <c r="K122" i="1"/>
  <c r="K168" i="1"/>
  <c r="Y45" i="1"/>
  <c r="AG7" i="1"/>
  <c r="BK312" i="1"/>
  <c r="BO103" i="1"/>
  <c r="AR56" i="1"/>
  <c r="AV37" i="1"/>
  <c r="AZ18" i="1"/>
  <c r="F187" i="1"/>
  <c r="AY60" i="1"/>
  <c r="DG22" i="1"/>
  <c r="BS40" i="1"/>
  <c r="G119" i="1"/>
  <c r="AG64" i="1"/>
  <c r="BY51" i="1"/>
  <c r="BA41" i="1"/>
  <c r="DE31" i="1"/>
  <c r="BE22" i="1"/>
  <c r="DI12" i="1"/>
  <c r="AC3" i="1"/>
  <c r="CU88" i="1"/>
  <c r="DC43" i="1"/>
  <c r="AQ16" i="1"/>
  <c r="DF249" i="1"/>
  <c r="S159" i="1"/>
  <c r="AA121" i="1"/>
  <c r="AI83" i="1"/>
  <c r="CJ60" i="1"/>
  <c r="AJ51" i="1"/>
  <c r="CN41" i="1"/>
  <c r="AN32" i="1"/>
  <c r="CR22" i="1"/>
  <c r="AR13" i="1"/>
  <c r="CV3" i="1"/>
  <c r="DC122" i="1"/>
  <c r="BG52" i="1"/>
  <c r="AD281" i="1"/>
  <c r="DF244" i="1"/>
  <c r="CV157" i="1"/>
  <c r="DD119" i="1"/>
  <c r="H82" i="1"/>
  <c r="AM130" i="1"/>
  <c r="N44" i="1"/>
  <c r="V6" i="1"/>
  <c r="BV304" i="1"/>
  <c r="BV243" i="1"/>
  <c r="BL157" i="1"/>
  <c r="BT119" i="1"/>
  <c r="CB81" i="1"/>
  <c r="DG128" i="1"/>
  <c r="CH43" i="1"/>
  <c r="CP5" i="1"/>
  <c r="BZ301" i="1"/>
  <c r="AE153" i="1"/>
  <c r="AO43" i="1"/>
  <c r="AW5" i="1"/>
  <c r="BN282" i="1"/>
  <c r="CN62" i="1"/>
  <c r="CV24" i="1"/>
  <c r="AY58" i="1"/>
  <c r="S142" i="1"/>
  <c r="DE41" i="1"/>
  <c r="I4" i="1"/>
  <c r="BV260" i="1"/>
  <c r="AZ61" i="1"/>
  <c r="BH23" i="1"/>
  <c r="BC54" i="1"/>
  <c r="CI99" i="1"/>
  <c r="BA36" i="1"/>
  <c r="CY141" i="1"/>
  <c r="BW177" i="1"/>
  <c r="AP164" i="1"/>
  <c r="N183" i="1"/>
  <c r="BE104" i="1"/>
  <c r="R179" i="1"/>
  <c r="BF121" i="1"/>
  <c r="BN83" i="1"/>
  <c r="R248" i="1"/>
  <c r="BY158" i="1"/>
  <c r="CG120" i="1"/>
  <c r="CO82" i="1"/>
  <c r="Z251" i="1"/>
  <c r="AZ159" i="1"/>
  <c r="BH121" i="1"/>
  <c r="BP83" i="1"/>
  <c r="BK136" i="1"/>
  <c r="BV45" i="1"/>
  <c r="CD7" i="1"/>
  <c r="S3" i="1"/>
  <c r="AE364" i="1"/>
  <c r="CZ177" i="1"/>
  <c r="CC101" i="1"/>
  <c r="R102" i="1"/>
  <c r="AS149" i="1"/>
  <c r="CI191" i="1"/>
  <c r="V148" i="1"/>
  <c r="DB105" i="1"/>
  <c r="F68" i="1"/>
  <c r="CX185" i="1"/>
  <c r="Q143" i="1"/>
  <c r="Y105" i="1"/>
  <c r="M68" i="1"/>
  <c r="DF188" i="1"/>
  <c r="CV143" i="1"/>
  <c r="DD105" i="1"/>
  <c r="H68" i="1"/>
  <c r="AM74" i="1"/>
  <c r="N30" i="1"/>
  <c r="CI97" i="1"/>
  <c r="AM155" i="1"/>
  <c r="CX262" i="1"/>
  <c r="AR162" i="1"/>
  <c r="AZ124" i="1"/>
  <c r="BH86" i="1"/>
  <c r="AE148" i="1"/>
  <c r="BN48" i="1"/>
  <c r="BV10" i="1"/>
  <c r="CD281" i="1"/>
  <c r="L167" i="1"/>
  <c r="T129" i="1"/>
  <c r="AB91" i="1"/>
  <c r="K167" i="1"/>
  <c r="AH53" i="1"/>
  <c r="AP15" i="1"/>
  <c r="CU26" i="1"/>
  <c r="AT280" i="1"/>
  <c r="CF166" i="1"/>
  <c r="CN128" i="1"/>
  <c r="CV90" i="1"/>
  <c r="CE165" i="1"/>
  <c r="DB52" i="1"/>
  <c r="F15" i="1"/>
  <c r="AM26" i="1"/>
  <c r="AQ51" i="1"/>
  <c r="BI52" i="1"/>
  <c r="BQ14" i="1"/>
  <c r="DG20" i="1"/>
  <c r="AE90" i="1"/>
  <c r="L34" i="1"/>
  <c r="CM142" i="1"/>
  <c r="O34" i="1"/>
  <c r="U51" i="1"/>
  <c r="AC13" i="1"/>
  <c r="AQ359" i="1"/>
  <c r="AY84" i="1"/>
  <c r="CQ42" i="1"/>
  <c r="AE15" i="1"/>
  <c r="AX246" i="1"/>
  <c r="AE158" i="1"/>
  <c r="AM120" i="1"/>
  <c r="AU82" i="1"/>
  <c r="BL60" i="1"/>
  <c r="L51" i="1"/>
  <c r="BP41" i="1"/>
  <c r="P32" i="1"/>
  <c r="BT22" i="1"/>
  <c r="T13" i="1"/>
  <c r="BX3" i="1"/>
  <c r="AI120" i="1"/>
  <c r="CU51" i="1"/>
  <c r="CY23" i="1"/>
  <c r="CA4" i="1"/>
  <c r="CU166" i="1"/>
  <c r="AA96" i="1"/>
  <c r="DI63" i="1"/>
  <c r="BI54" i="1"/>
  <c r="I45" i="1"/>
  <c r="BM35" i="1"/>
  <c r="M26" i="1"/>
  <c r="BQ16" i="1"/>
  <c r="Q7" i="1"/>
  <c r="BK131" i="1"/>
  <c r="AU54" i="1"/>
  <c r="CM26" i="1"/>
  <c r="CP309" i="1"/>
  <c r="O174" i="1"/>
  <c r="W136" i="1"/>
  <c r="AE98" i="1"/>
  <c r="BH64" i="1"/>
  <c r="H55" i="1"/>
  <c r="BL45" i="1"/>
  <c r="L36" i="1"/>
  <c r="BP26" i="1"/>
  <c r="P17" i="1"/>
  <c r="BT7" i="1"/>
  <c r="CE160" i="1"/>
  <c r="AU63" i="1"/>
  <c r="BW35" i="1"/>
  <c r="CM7" i="1"/>
  <c r="AI14" i="1"/>
  <c r="AM127" i="1"/>
  <c r="BG76" i="1"/>
  <c r="M59" i="1"/>
  <c r="BQ49" i="1"/>
  <c r="AS96" i="1"/>
  <c r="F304" i="1"/>
  <c r="BV172" i="1"/>
  <c r="CD134" i="1"/>
  <c r="CL96" i="1"/>
  <c r="BR301" i="1"/>
  <c r="BZ199" i="1"/>
  <c r="BI165" i="1"/>
  <c r="BM146" i="1"/>
  <c r="BQ127" i="1"/>
  <c r="BU108" i="1"/>
  <c r="BY89" i="1"/>
  <c r="AI185" i="1"/>
  <c r="BZ270" i="1"/>
  <c r="CP194" i="1"/>
  <c r="AL164" i="1"/>
  <c r="AP145" i="1"/>
  <c r="J133" i="1"/>
  <c r="BN123" i="1"/>
  <c r="N114" i="1"/>
  <c r="BR104" i="1"/>
  <c r="R95" i="1"/>
  <c r="BV85" i="1"/>
  <c r="V76" i="1"/>
  <c r="BZ66" i="1"/>
  <c r="AP294" i="1"/>
  <c r="AX256" i="1"/>
  <c r="BF218" i="1"/>
  <c r="BN180" i="1"/>
  <c r="AC170" i="1"/>
  <c r="CG160" i="1"/>
  <c r="AG151" i="1"/>
  <c r="CK141" i="1"/>
  <c r="AK132" i="1"/>
  <c r="CO122" i="1"/>
  <c r="AO113" i="1"/>
  <c r="CS103" i="1"/>
  <c r="AS94" i="1"/>
  <c r="CW84" i="1"/>
  <c r="AW75" i="1"/>
  <c r="CG66" i="1"/>
  <c r="AX297" i="1"/>
  <c r="BF259" i="1"/>
  <c r="BN221" i="1"/>
  <c r="BV183" i="1"/>
  <c r="DH170" i="1"/>
  <c r="BH161" i="1"/>
  <c r="H152" i="1"/>
  <c r="BL142" i="1"/>
  <c r="L133" i="1"/>
  <c r="BP123" i="1"/>
  <c r="P114" i="1"/>
  <c r="BT104" i="1"/>
  <c r="T95" i="1"/>
  <c r="BX85" i="1"/>
  <c r="X76" i="1"/>
  <c r="CB66" i="1"/>
  <c r="CL192" i="1"/>
  <c r="CQ144" i="1"/>
  <c r="CY106" i="1"/>
  <c r="DG68" i="1"/>
  <c r="Z57" i="1"/>
  <c r="CD47" i="1"/>
  <c r="AD38" i="1"/>
  <c r="CH28" i="1"/>
  <c r="AH19" i="1"/>
  <c r="CL9" i="1"/>
  <c r="V223" i="1"/>
  <c r="W81" i="1"/>
  <c r="CI39" i="1"/>
  <c r="CI9" i="1"/>
  <c r="AT213" i="1"/>
  <c r="DG149" i="1"/>
  <c r="K112" i="1"/>
  <c r="AG66" i="1"/>
  <c r="BF295" i="1"/>
  <c r="BN257" i="1"/>
  <c r="BV219" i="1"/>
  <c r="CD181" i="1"/>
  <c r="BH170" i="1"/>
  <c r="H161" i="1"/>
  <c r="BL151" i="1"/>
  <c r="L142" i="1"/>
  <c r="BP132" i="1"/>
  <c r="P123" i="1"/>
  <c r="BT113" i="1"/>
  <c r="T104" i="1"/>
  <c r="BX94" i="1"/>
  <c r="X85" i="1"/>
  <c r="CB75" i="1"/>
  <c r="AB66" i="1"/>
  <c r="N185" i="1"/>
  <c r="CY142" i="1"/>
  <c r="DG104" i="1"/>
  <c r="K67" i="1"/>
  <c r="CD56" i="1"/>
  <c r="AD47" i="1"/>
  <c r="CH37" i="1"/>
  <c r="AH28" i="1"/>
  <c r="CL18" i="1"/>
  <c r="AL9" i="1"/>
  <c r="BB199" i="1"/>
  <c r="DE70" i="1"/>
  <c r="DG320" i="1"/>
  <c r="AT276" i="1"/>
  <c r="BB238" i="1"/>
  <c r="BJ200" i="1"/>
  <c r="AB175" i="1"/>
  <c r="CF165" i="1"/>
  <c r="AF156" i="1"/>
  <c r="CJ146" i="1"/>
  <c r="AJ137" i="1"/>
  <c r="CN127" i="1"/>
  <c r="AN118" i="1"/>
  <c r="CR108" i="1"/>
  <c r="AR99" i="1"/>
  <c r="CV89" i="1"/>
  <c r="AV80" i="1"/>
  <c r="CZ70" i="1"/>
  <c r="AP260" i="1"/>
  <c r="CE161" i="1"/>
  <c r="CM123" i="1"/>
  <c r="CU85" i="1"/>
  <c r="AX61" i="1"/>
  <c r="DB51" i="1"/>
  <c r="BB42" i="1"/>
  <c r="DF32" i="1"/>
  <c r="BF23" i="1"/>
  <c r="F14" i="1"/>
  <c r="BJ4" i="1"/>
  <c r="CE132" i="1"/>
  <c r="CA52" i="1"/>
  <c r="CM22" i="1"/>
  <c r="BN278" i="1"/>
  <c r="BU70" i="1"/>
  <c r="BW315" i="1"/>
  <c r="J275" i="1"/>
  <c r="R237" i="1"/>
  <c r="Z199" i="1"/>
  <c r="CV174" i="1"/>
  <c r="AV165" i="1"/>
  <c r="CZ155" i="1"/>
  <c r="AZ146" i="1"/>
  <c r="DD136" i="1"/>
  <c r="BD127" i="1"/>
  <c r="DH117" i="1"/>
  <c r="BH108" i="1"/>
  <c r="H99" i="1"/>
  <c r="BL89" i="1"/>
  <c r="L80" i="1"/>
  <c r="BP70" i="1"/>
  <c r="F255" i="1"/>
  <c r="AU160" i="1"/>
  <c r="BC122" i="1"/>
  <c r="BK84" i="1"/>
  <c r="N61" i="1"/>
  <c r="BR51" i="1"/>
  <c r="R42" i="1"/>
  <c r="BV32" i="1"/>
  <c r="V23" i="1"/>
  <c r="BZ13" i="1"/>
  <c r="Z4" i="1"/>
  <c r="K130" i="1"/>
  <c r="O52" i="1"/>
  <c r="W22" i="1"/>
  <c r="BR275" i="1"/>
  <c r="BK165" i="1"/>
  <c r="BS127" i="1"/>
  <c r="BO34" i="1"/>
  <c r="AA140" i="1"/>
  <c r="CU82" i="1"/>
  <c r="BY60" i="1"/>
  <c r="Y51" i="1"/>
  <c r="CC41" i="1"/>
  <c r="AC32" i="1"/>
  <c r="CG22" i="1"/>
  <c r="AG13" i="1"/>
  <c r="CG3" i="1"/>
  <c r="AI92" i="1"/>
  <c r="CE44" i="1"/>
  <c r="O17" i="1"/>
  <c r="BF256" i="1"/>
  <c r="CI160" i="1"/>
  <c r="CQ122" i="1"/>
  <c r="CY84" i="1"/>
  <c r="X61" i="1"/>
  <c r="CB51" i="1"/>
  <c r="AB42" i="1"/>
  <c r="CF32" i="1"/>
  <c r="AF23" i="1"/>
  <c r="CJ13" i="1"/>
  <c r="AJ4" i="1"/>
  <c r="AU127" i="1"/>
  <c r="CE53" i="1"/>
  <c r="CQ25" i="1"/>
  <c r="CA6" i="1"/>
  <c r="W17" i="1"/>
  <c r="O129" i="1"/>
  <c r="AU77" i="1"/>
  <c r="AK59" i="1"/>
  <c r="CO49" i="1"/>
  <c r="AO40" i="1"/>
  <c r="CS30" i="1"/>
  <c r="AS21" i="1"/>
  <c r="CW11" i="1"/>
  <c r="DB288" i="1"/>
  <c r="CQ75" i="1"/>
  <c r="CA40" i="1"/>
  <c r="W13" i="1"/>
  <c r="BN234" i="1"/>
  <c r="AI155" i="1"/>
  <c r="AQ117" i="1"/>
  <c r="AY79" i="1"/>
  <c r="CN59" i="1"/>
  <c r="AN50" i="1"/>
  <c r="CR40" i="1"/>
  <c r="AR31" i="1"/>
  <c r="CV21" i="1"/>
  <c r="AV12" i="1"/>
  <c r="CM323" i="1"/>
  <c r="BK111" i="1"/>
  <c r="CA49" i="1"/>
  <c r="CI21" i="1"/>
  <c r="AU71" i="1"/>
  <c r="DC160" i="1"/>
  <c r="AE93" i="1"/>
  <c r="AG63" i="1"/>
  <c r="CK53" i="1"/>
  <c r="AK44" i="1"/>
  <c r="CO34" i="1"/>
  <c r="AO25" i="1"/>
  <c r="CS15" i="1"/>
  <c r="AS6" i="1"/>
  <c r="CM122" i="1"/>
  <c r="AA52" i="1"/>
  <c r="BO24" i="1"/>
  <c r="DF297" i="1"/>
  <c r="S171" i="1"/>
  <c r="AA133" i="1"/>
  <c r="AI95" i="1"/>
  <c r="CJ63" i="1"/>
  <c r="AJ54" i="1"/>
  <c r="CN44" i="1"/>
  <c r="AN35" i="1"/>
  <c r="CR25" i="1"/>
  <c r="AR16" i="1"/>
  <c r="CV6" i="1"/>
  <c r="BH130" i="1"/>
  <c r="BP92" i="1"/>
  <c r="BK172" i="1"/>
  <c r="BV54" i="1"/>
  <c r="CD16" i="1"/>
  <c r="F306" i="1"/>
  <c r="T173" i="1"/>
  <c r="AB135" i="1"/>
  <c r="AJ97" i="1"/>
  <c r="V227" i="1"/>
  <c r="AP59" i="1"/>
  <c r="AX21" i="1"/>
  <c r="W46" i="1"/>
  <c r="BZ304" i="1"/>
  <c r="CN172" i="1"/>
  <c r="CV134" i="1"/>
  <c r="DD96" i="1"/>
  <c r="CP221" i="1"/>
  <c r="F59" i="1"/>
  <c r="N21" i="1"/>
  <c r="BS45" i="1"/>
  <c r="AM119" i="1"/>
  <c r="BQ58" i="1"/>
  <c r="BY20" i="1"/>
  <c r="BW38" i="1"/>
  <c r="BK114" i="1"/>
  <c r="T40" i="1"/>
  <c r="BV280" i="1"/>
  <c r="O35" i="1"/>
  <c r="AC57" i="1"/>
  <c r="AK19" i="1"/>
  <c r="BS34" i="1"/>
  <c r="K109" i="1"/>
  <c r="CJ38" i="1"/>
  <c r="AD217" i="1"/>
  <c r="S41" i="1"/>
  <c r="CC51" i="1"/>
  <c r="CK13" i="1"/>
  <c r="BS18" i="1"/>
  <c r="G116" i="1"/>
  <c r="BD59" i="1"/>
  <c r="BH40" i="1"/>
  <c r="BL21" i="1"/>
  <c r="BR299" i="1"/>
  <c r="AY68" i="1"/>
  <c r="BO29" i="1"/>
  <c r="G77" i="1"/>
  <c r="BS135" i="1"/>
  <c r="AA68" i="1"/>
  <c r="CW53" i="1"/>
  <c r="M43" i="1"/>
  <c r="BQ33" i="1"/>
  <c r="Q24" i="1"/>
  <c r="BU14" i="1"/>
  <c r="U5" i="1"/>
  <c r="S108" i="1"/>
  <c r="BW48" i="1"/>
  <c r="K21" i="1"/>
  <c r="J276" i="1"/>
  <c r="BW165" i="1"/>
  <c r="CE127" i="1"/>
  <c r="CM89" i="1"/>
  <c r="AV62" i="1"/>
  <c r="CZ52" i="1"/>
  <c r="AZ43" i="1"/>
  <c r="DD33" i="1"/>
  <c r="BD24" i="1"/>
  <c r="DH14" i="1"/>
  <c r="BH5" i="1"/>
  <c r="BS141" i="1"/>
  <c r="AA57" i="1"/>
  <c r="BX134" i="1"/>
  <c r="CF96" i="1"/>
  <c r="AH218" i="1"/>
  <c r="CL58" i="1"/>
  <c r="CT20" i="1"/>
  <c r="W354" i="1"/>
  <c r="AJ177" i="1"/>
  <c r="AR139" i="1"/>
  <c r="AZ101" i="1"/>
  <c r="BJ293" i="1"/>
  <c r="BF63" i="1"/>
  <c r="BN25" i="1"/>
  <c r="AI59" i="1"/>
  <c r="CQ348" i="1"/>
  <c r="DD176" i="1"/>
  <c r="H139" i="1"/>
  <c r="P101" i="1"/>
  <c r="Z288" i="1"/>
  <c r="V63" i="1"/>
  <c r="AD25" i="1"/>
  <c r="CA58" i="1"/>
  <c r="CY135" i="1"/>
  <c r="CG62" i="1"/>
  <c r="CO24" i="1"/>
  <c r="CE50" i="1"/>
  <c r="S131" i="1"/>
  <c r="AJ44" i="1"/>
  <c r="AR6" i="1"/>
  <c r="S4" i="1"/>
  <c r="AS61" i="1"/>
  <c r="BA23" i="1"/>
  <c r="CQ46" i="1"/>
  <c r="BW125" i="1"/>
  <c r="CZ42" i="1"/>
  <c r="DH4" i="1"/>
  <c r="AY19" i="1"/>
  <c r="CS55" i="1"/>
  <c r="DA17" i="1"/>
  <c r="BS30" i="1"/>
  <c r="CY124" i="1"/>
  <c r="CB61" i="1"/>
  <c r="CF42" i="1"/>
  <c r="CJ23" i="1"/>
  <c r="CN4" i="1"/>
  <c r="CI85" i="1"/>
  <c r="AU33" i="1"/>
  <c r="CM13" i="1"/>
  <c r="BC147" i="1"/>
  <c r="BK73" i="1"/>
  <c r="AC55" i="1"/>
  <c r="Q44" i="1"/>
  <c r="BU34" i="1"/>
  <c r="U25" i="1"/>
  <c r="BY15" i="1"/>
  <c r="Y6" i="1"/>
  <c r="AY120" i="1"/>
  <c r="CE51" i="1"/>
  <c r="K24" i="1"/>
  <c r="BV292" i="1"/>
  <c r="CM169" i="1"/>
  <c r="CU131" i="1"/>
  <c r="DC93" i="1"/>
  <c r="AZ63" i="1"/>
  <c r="DD53" i="1"/>
  <c r="BD44" i="1"/>
  <c r="DH34" i="1"/>
  <c r="BH25" i="1"/>
  <c r="H16" i="1"/>
  <c r="BL6" i="1"/>
  <c r="AY152" i="1"/>
  <c r="AI60" i="1"/>
  <c r="CN138" i="1"/>
  <c r="CV100" i="1"/>
  <c r="BV284" i="1"/>
  <c r="DB62" i="1"/>
  <c r="F25" i="1"/>
  <c r="CC67" i="1"/>
  <c r="BF187" i="1"/>
  <c r="BH143" i="1"/>
  <c r="BP105" i="1"/>
  <c r="BX67" i="1"/>
  <c r="CQ72" i="1"/>
  <c r="CD29" i="1"/>
  <c r="AE91" i="1"/>
  <c r="AS67" i="1"/>
  <c r="V186" i="1"/>
  <c r="X143" i="1"/>
  <c r="AF105" i="1"/>
  <c r="AN67" i="1"/>
  <c r="BG71" i="1"/>
  <c r="AT29" i="1"/>
  <c r="W89" i="1"/>
  <c r="BG152" i="1"/>
  <c r="CQ69" i="1"/>
  <c r="DE28" i="1"/>
  <c r="CQ62" i="1"/>
  <c r="CE147" i="1"/>
  <c r="AZ48" i="1"/>
  <c r="BH10" i="1"/>
  <c r="AI16" i="1"/>
  <c r="BI65" i="1"/>
  <c r="BQ27" i="1"/>
  <c r="CQ58" i="1"/>
  <c r="AE142" i="1"/>
  <c r="L47" i="1"/>
  <c r="T9" i="1"/>
  <c r="AM8" i="1"/>
  <c r="DI59" i="1"/>
  <c r="M22" i="1"/>
  <c r="CE42" i="1"/>
  <c r="BS132" i="1"/>
  <c r="BT63" i="1"/>
  <c r="BX44" i="1"/>
  <c r="CB25" i="1"/>
  <c r="CF6" i="1"/>
  <c r="G101" i="1"/>
  <c r="CU37" i="1"/>
  <c r="W28" i="1"/>
  <c r="S158" i="1"/>
  <c r="BC79" i="1"/>
  <c r="BM56" i="1"/>
  <c r="U45" i="1"/>
  <c r="BY35" i="1"/>
  <c r="Y26" i="1"/>
  <c r="CC16" i="1"/>
  <c r="AC7" i="1"/>
  <c r="CU132" i="1"/>
  <c r="CE54" i="1"/>
  <c r="O27" i="1"/>
  <c r="AD309" i="1"/>
  <c r="DC173" i="1"/>
  <c r="G136" i="1"/>
  <c r="O98" i="1"/>
  <c r="BD64" i="1"/>
  <c r="DH54" i="1"/>
  <c r="BH45" i="1"/>
  <c r="H36" i="1"/>
  <c r="BL26" i="1"/>
  <c r="L17" i="1"/>
  <c r="BP7" i="1"/>
  <c r="BO160" i="1"/>
  <c r="AM63" i="1"/>
  <c r="BP140" i="1"/>
  <c r="BX102" i="1"/>
  <c r="O316" i="1"/>
  <c r="CD64" i="1"/>
  <c r="CL26" i="1"/>
  <c r="BE69" i="1"/>
  <c r="BR194" i="1"/>
  <c r="AJ145" i="1"/>
  <c r="AR107" i="1"/>
  <c r="AZ69" i="1"/>
  <c r="DC79" i="1"/>
  <c r="BF31" i="1"/>
  <c r="K114" i="1"/>
  <c r="U69" i="1"/>
  <c r="AH193" i="1"/>
  <c r="DD144" i="1"/>
  <c r="H107" i="1"/>
  <c r="P69" i="1"/>
  <c r="BS78" i="1"/>
  <c r="V31" i="1"/>
  <c r="CQ111" i="1"/>
  <c r="BS159" i="1"/>
  <c r="DC76" i="1"/>
  <c r="CG30" i="1"/>
  <c r="BG74" i="1"/>
  <c r="CQ154" i="1"/>
  <c r="AB50" i="1"/>
  <c r="AJ12" i="1"/>
  <c r="BC21" i="1"/>
  <c r="BC71" i="1"/>
  <c r="AS29" i="1"/>
  <c r="DG63" i="1"/>
  <c r="AQ149" i="1"/>
  <c r="CR48" i="1"/>
  <c r="CZ10" i="1"/>
  <c r="AY17" i="1"/>
  <c r="CK61" i="1"/>
  <c r="CS23" i="1"/>
  <c r="DC47" i="1"/>
  <c r="CI136" i="1"/>
  <c r="BX64" i="1"/>
  <c r="CB45" i="1"/>
  <c r="CF26" i="1"/>
  <c r="CJ7" i="1"/>
  <c r="CQ107" i="1"/>
  <c r="BO39" i="1"/>
  <c r="CE34" i="1"/>
  <c r="CU162" i="1"/>
  <c r="CQ81" i="1"/>
  <c r="U57" i="1"/>
  <c r="BQ45" i="1"/>
  <c r="Q36" i="1"/>
  <c r="BU26" i="1"/>
  <c r="U17" i="1"/>
  <c r="BY7" i="1"/>
  <c r="CY137" i="1"/>
  <c r="DG55" i="1"/>
  <c r="AY28" i="1"/>
  <c r="S329" i="1"/>
  <c r="CE175" i="1"/>
  <c r="CM137" i="1"/>
  <c r="CU99" i="1"/>
  <c r="CZ64" i="1"/>
  <c r="AZ55" i="1"/>
  <c r="DD45" i="1"/>
  <c r="BD36" i="1"/>
  <c r="DH26" i="1"/>
  <c r="BH17" i="1"/>
  <c r="H8" i="1"/>
  <c r="CQ163" i="1"/>
  <c r="BW64" i="1"/>
  <c r="J18" i="1"/>
  <c r="AP311" i="1"/>
  <c r="BD174" i="1"/>
  <c r="BL136" i="1"/>
  <c r="BT98" i="1"/>
  <c r="BF248" i="1"/>
  <c r="BZ60" i="1"/>
  <c r="CH22" i="1"/>
  <c r="AM50" i="1"/>
  <c r="F310" i="1"/>
  <c r="T174" i="1"/>
  <c r="AB136" i="1"/>
  <c r="AJ98" i="1"/>
  <c r="V243" i="1"/>
  <c r="AP60" i="1"/>
  <c r="AX22" i="1"/>
  <c r="CI49" i="1"/>
  <c r="BW124" i="1"/>
  <c r="DA59" i="1"/>
  <c r="DI21" i="1"/>
  <c r="BK42" i="1"/>
  <c r="CU119" i="1"/>
  <c r="BD41" i="1"/>
  <c r="BL3" i="1"/>
  <c r="BO6" i="1"/>
  <c r="BM58" i="1"/>
  <c r="BU20" i="1"/>
  <c r="BK38" i="1"/>
  <c r="AU114" i="1"/>
  <c r="P40" i="1"/>
  <c r="BB279" i="1"/>
  <c r="DG57" i="1"/>
  <c r="I53" i="1"/>
  <c r="Q15" i="1"/>
  <c r="AU22" i="1"/>
  <c r="BQ78" i="1"/>
  <c r="F79" i="1"/>
  <c r="BY137" i="1"/>
  <c r="DF310" i="1"/>
  <c r="N138" i="1"/>
  <c r="V100" i="1"/>
  <c r="CE321" i="1"/>
  <c r="AG175" i="1"/>
  <c r="AO137" i="1"/>
  <c r="AW99" i="1"/>
  <c r="G334" i="1"/>
  <c r="H176" i="1"/>
  <c r="P138" i="1"/>
  <c r="X100" i="1"/>
  <c r="AT273" i="1"/>
  <c r="AD62" i="1"/>
  <c r="AL24" i="1"/>
  <c r="CQ55" i="1"/>
  <c r="AA132" i="1"/>
  <c r="CL239" i="1"/>
  <c r="BP156" i="1"/>
  <c r="BF168" i="1"/>
  <c r="DF191" i="1"/>
  <c r="CC106" i="1"/>
  <c r="R187" i="1"/>
  <c r="BJ122" i="1"/>
  <c r="BR84" i="1"/>
  <c r="AH252" i="1"/>
  <c r="CC159" i="1"/>
  <c r="CK121" i="1"/>
  <c r="CS83" i="1"/>
  <c r="AP255" i="1"/>
  <c r="BD160" i="1"/>
  <c r="BL122" i="1"/>
  <c r="BT84" i="1"/>
  <c r="CA140" i="1"/>
  <c r="BZ46" i="1"/>
  <c r="CH8" i="1"/>
  <c r="AU6" i="1"/>
  <c r="CL416" i="1"/>
  <c r="DD178" i="1"/>
  <c r="H141" i="1"/>
  <c r="P103" i="1"/>
  <c r="BK344" i="1"/>
  <c r="V65" i="1"/>
  <c r="AD27" i="1"/>
  <c r="DA69" i="1"/>
  <c r="AT196" i="1"/>
  <c r="CF145" i="1"/>
  <c r="CN107" i="1"/>
  <c r="CV69" i="1"/>
  <c r="CE81" i="1"/>
  <c r="DB31" i="1"/>
  <c r="BK119" i="1"/>
  <c r="BQ69" i="1"/>
  <c r="J195" i="1"/>
  <c r="AV145" i="1"/>
  <c r="BD107" i="1"/>
  <c r="BL69" i="1"/>
  <c r="AU80" i="1"/>
  <c r="BR31" i="1"/>
  <c r="W117" i="1"/>
  <c r="AU161" i="1"/>
  <c r="CE78" i="1"/>
  <c r="Y31" i="1"/>
  <c r="CA79" i="1"/>
  <c r="BS156" i="1"/>
  <c r="BX50" i="1"/>
  <c r="CF12" i="1"/>
  <c r="CI22" i="1"/>
  <c r="AE73" i="1"/>
  <c r="CO29" i="1"/>
  <c r="AK7" i="1"/>
  <c r="CI133" i="1"/>
  <c r="DC54" i="1"/>
  <c r="AM27" i="1"/>
  <c r="CY314" i="1"/>
  <c r="CQ174" i="1"/>
  <c r="CY136" i="1"/>
  <c r="DG98" i="1"/>
  <c r="CB64" i="1"/>
  <c r="AB55" i="1"/>
  <c r="CF45" i="1"/>
  <c r="AF36" i="1"/>
  <c r="CJ26" i="1"/>
  <c r="AJ17" i="1"/>
  <c r="CN7" i="1"/>
  <c r="AA162" i="1"/>
  <c r="DC63" i="1"/>
  <c r="W36" i="1"/>
  <c r="BC49" i="1"/>
  <c r="S9" i="1"/>
  <c r="AA124" i="1"/>
  <c r="CU74" i="1"/>
  <c r="BY58" i="1"/>
  <c r="Y49" i="1"/>
  <c r="CC39" i="1"/>
  <c r="AC30" i="1"/>
  <c r="CG20" i="1"/>
  <c r="AG11" i="1"/>
  <c r="AL259" i="1"/>
  <c r="BO68" i="1"/>
  <c r="CM38" i="1"/>
  <c r="AE11" i="1"/>
  <c r="BF224" i="1"/>
  <c r="CI152" i="1"/>
  <c r="CQ114" i="1"/>
  <c r="CY76" i="1"/>
  <c r="X59" i="1"/>
  <c r="CB49" i="1"/>
  <c r="AB40" i="1"/>
  <c r="CF30" i="1"/>
  <c r="AF21" i="1"/>
  <c r="CJ11" i="1"/>
  <c r="Z284" i="1"/>
  <c r="AY104" i="1"/>
  <c r="CM47" i="1"/>
  <c r="DC19" i="1"/>
  <c r="W69" i="1"/>
  <c r="BG160" i="1"/>
  <c r="O93" i="1"/>
  <c r="AC63" i="1"/>
  <c r="CG53" i="1"/>
  <c r="DE112" i="1"/>
  <c r="I75" i="1"/>
  <c r="BZ218" i="1"/>
  <c r="AL151" i="1"/>
  <c r="AT113" i="1"/>
  <c r="BB75" i="1"/>
  <c r="CT232" i="1"/>
  <c r="CO173" i="1"/>
  <c r="CS154" i="1"/>
  <c r="CW135" i="1"/>
  <c r="DA116" i="1"/>
  <c r="DE97" i="1"/>
  <c r="DI78" i="1"/>
  <c r="CT303" i="1"/>
  <c r="F228" i="1"/>
  <c r="BR172" i="1"/>
  <c r="BV153" i="1"/>
  <c r="Z137" i="1"/>
  <c r="CD127" i="1"/>
  <c r="AD118" i="1"/>
  <c r="CH108" i="1"/>
  <c r="AH99" i="1"/>
  <c r="CL89" i="1"/>
  <c r="AL80" i="1"/>
  <c r="CP70" i="1"/>
  <c r="DB310" i="1"/>
  <c r="F273" i="1"/>
  <c r="N235" i="1"/>
  <c r="V197" i="1"/>
  <c r="AS174" i="1"/>
  <c r="CW164" i="1"/>
  <c r="AW155" i="1"/>
  <c r="DA145" i="1"/>
  <c r="BA136" i="1"/>
  <c r="DE126" i="1"/>
  <c r="BE117" i="1"/>
  <c r="DI107" i="1"/>
  <c r="BI98" i="1"/>
  <c r="I89" i="1"/>
  <c r="BM79" i="1"/>
  <c r="CW70" i="1"/>
  <c r="CM319" i="1"/>
  <c r="N276" i="1"/>
  <c r="V238" i="1"/>
  <c r="AD200" i="1"/>
  <c r="T175" i="1"/>
  <c r="BX165" i="1"/>
  <c r="X156" i="1"/>
  <c r="CB146" i="1"/>
  <c r="AB137" i="1"/>
  <c r="CF127" i="1"/>
  <c r="AF118" i="1"/>
  <c r="CJ108" i="1"/>
  <c r="AJ99" i="1"/>
  <c r="CN89" i="1"/>
  <c r="AN80" i="1"/>
  <c r="CR70" i="1"/>
  <c r="V259" i="1"/>
  <c r="AY161" i="1"/>
  <c r="BG123" i="1"/>
  <c r="BO85" i="1"/>
  <c r="AP61" i="1"/>
  <c r="CT51" i="1"/>
  <c r="AT42" i="1"/>
  <c r="CX32" i="1"/>
  <c r="AX23" i="1"/>
  <c r="DB13" i="1"/>
  <c r="BB4" i="1"/>
  <c r="BS133" i="1"/>
  <c r="CY52" i="1"/>
  <c r="G23" i="1"/>
  <c r="CH279" i="1"/>
  <c r="BO166" i="1"/>
  <c r="BW128" i="1"/>
  <c r="AW70" i="1"/>
  <c r="V312" i="1"/>
  <c r="V274" i="1"/>
  <c r="AD236" i="1"/>
  <c r="AL198" i="1"/>
  <c r="BX174" i="1"/>
  <c r="X165" i="1"/>
  <c r="CB155" i="1"/>
  <c r="AB146" i="1"/>
  <c r="CF136" i="1"/>
  <c r="AF127" i="1"/>
  <c r="CJ117" i="1"/>
  <c r="AJ108" i="1"/>
  <c r="CN98" i="1"/>
  <c r="AN89" i="1"/>
  <c r="CR79" i="1"/>
  <c r="AR70" i="1"/>
  <c r="BB251" i="1"/>
  <c r="BG159" i="1"/>
  <c r="BO121" i="1"/>
  <c r="BW83" i="1"/>
  <c r="CT60" i="1"/>
  <c r="AT51" i="1"/>
  <c r="CX41" i="1"/>
  <c r="AX32" i="1"/>
  <c r="DB22" i="1"/>
  <c r="BB13" i="1"/>
  <c r="DF3" i="1"/>
  <c r="CA127" i="1"/>
  <c r="BO499" i="1"/>
  <c r="DF292" i="1"/>
  <c r="J255" i="1"/>
  <c r="R217" i="1"/>
  <c r="AT179" i="1"/>
  <c r="CV169" i="1"/>
  <c r="AV160" i="1"/>
  <c r="CZ150" i="1"/>
  <c r="AZ141" i="1"/>
  <c r="DD131" i="1"/>
  <c r="BD122" i="1"/>
  <c r="DH112" i="1"/>
  <c r="BH103" i="1"/>
  <c r="H94" i="1"/>
  <c r="BL84" i="1"/>
  <c r="L75" i="1"/>
  <c r="CX375" i="1"/>
  <c r="AM178" i="1"/>
  <c r="AU140" i="1"/>
  <c r="BC102" i="1"/>
  <c r="BN65" i="1"/>
  <c r="N56" i="1"/>
  <c r="BR46" i="1"/>
  <c r="R37" i="1"/>
  <c r="BV27" i="1"/>
  <c r="V18" i="1"/>
  <c r="BZ8" i="1"/>
  <c r="AQ174" i="1"/>
  <c r="CM65" i="1"/>
  <c r="CQ35" i="1"/>
  <c r="CA5" i="1"/>
  <c r="AD193" i="1"/>
  <c r="BJ421" i="1"/>
  <c r="BV291" i="1"/>
  <c r="CD253" i="1"/>
  <c r="CL215" i="1"/>
  <c r="H179" i="1"/>
  <c r="BL169" i="1"/>
  <c r="L160" i="1"/>
  <c r="BP150" i="1"/>
  <c r="P141" i="1"/>
  <c r="BT131" i="1"/>
  <c r="T122" i="1"/>
  <c r="BX112" i="1"/>
  <c r="X103" i="1"/>
  <c r="CB93" i="1"/>
  <c r="AB84" i="1"/>
  <c r="CF74" i="1"/>
  <c r="AI349" i="1"/>
  <c r="DG176" i="1"/>
  <c r="K139" i="1"/>
  <c r="S101" i="1"/>
  <c r="AD65" i="1"/>
  <c r="CH55" i="1"/>
  <c r="AH46" i="1"/>
  <c r="CL36" i="1"/>
  <c r="AL27" i="1"/>
  <c r="CP17" i="1"/>
  <c r="AP8" i="1"/>
  <c r="S172" i="1"/>
  <c r="AE65" i="1"/>
  <c r="AI35" i="1"/>
  <c r="O5" i="1"/>
  <c r="AH190" i="1"/>
  <c r="AA144" i="1"/>
  <c r="AI106" i="1"/>
  <c r="AU173" i="1"/>
  <c r="BC99" i="1"/>
  <c r="CO64" i="1"/>
  <c r="AO55" i="1"/>
  <c r="CS45" i="1"/>
  <c r="AS36" i="1"/>
  <c r="CW26" i="1"/>
  <c r="AW17" i="1"/>
  <c r="DA7" i="1"/>
  <c r="W141" i="1"/>
  <c r="CM56" i="1"/>
  <c r="W29" i="1"/>
  <c r="AA355" i="1"/>
  <c r="AQ177" i="1"/>
  <c r="AY139" i="1"/>
  <c r="BG101" i="1"/>
  <c r="AN65" i="1"/>
  <c r="CR55" i="1"/>
  <c r="AR46" i="1"/>
  <c r="CV36" i="1"/>
  <c r="AV27" i="1"/>
  <c r="CZ17" i="1"/>
  <c r="AZ8" i="1"/>
  <c r="O167" i="1"/>
  <c r="K66" i="1"/>
  <c r="O38" i="1"/>
  <c r="AI10" i="1"/>
  <c r="CE80" i="1"/>
  <c r="AI162" i="1"/>
  <c r="DG93" i="1"/>
  <c r="BA63" i="1"/>
  <c r="DE53" i="1"/>
  <c r="BE44" i="1"/>
  <c r="DI34" i="1"/>
  <c r="BI25" i="1"/>
  <c r="I16" i="1"/>
  <c r="BM6" i="1"/>
  <c r="G125" i="1"/>
  <c r="CI52" i="1"/>
  <c r="W25" i="1"/>
  <c r="DB300" i="1"/>
  <c r="CU171" i="1"/>
  <c r="DC133" i="1"/>
  <c r="G96" i="1"/>
  <c r="DD63" i="1"/>
  <c r="BD54" i="1"/>
  <c r="DH44" i="1"/>
  <c r="BH35" i="1"/>
  <c r="H26" i="1"/>
  <c r="BL16" i="1"/>
  <c r="L7" i="1"/>
  <c r="BO156" i="1"/>
  <c r="CQ61" i="1"/>
  <c r="DG33" i="1"/>
  <c r="CU42" i="1"/>
  <c r="BS322" i="1"/>
  <c r="AI118" i="1"/>
  <c r="CY71" i="1"/>
  <c r="DA57" i="1"/>
  <c r="BA48" i="1"/>
  <c r="DE38" i="1"/>
  <c r="BE29" i="1"/>
  <c r="DI19" i="1"/>
  <c r="BI10" i="1"/>
  <c r="CH223" i="1"/>
  <c r="AI64" i="1"/>
  <c r="BS36" i="1"/>
  <c r="O9" i="1"/>
  <c r="BV212" i="1"/>
  <c r="CM149" i="1"/>
  <c r="CU111" i="1"/>
  <c r="DC73" i="1"/>
  <c r="AZ58" i="1"/>
  <c r="DD48" i="1"/>
  <c r="BD39" i="1"/>
  <c r="DH29" i="1"/>
  <c r="BH20" i="1"/>
  <c r="H11" i="1"/>
  <c r="P147" i="1"/>
  <c r="X109" i="1"/>
  <c r="AF71" i="1"/>
  <c r="AA87" i="1"/>
  <c r="AL33" i="1"/>
  <c r="DC138" i="1"/>
  <c r="BZ220" i="1"/>
  <c r="CN151" i="1"/>
  <c r="CV113" i="1"/>
  <c r="DD75" i="1"/>
  <c r="G106" i="1"/>
  <c r="F38" i="1"/>
  <c r="AT205" i="1"/>
  <c r="BB207" i="1"/>
  <c r="AP219" i="1"/>
  <c r="BD151" i="1"/>
  <c r="BL113" i="1"/>
  <c r="BT75" i="1"/>
  <c r="CA104" i="1"/>
  <c r="BZ37" i="1"/>
  <c r="CX195" i="1"/>
  <c r="BF204" i="1"/>
  <c r="BW104" i="1"/>
  <c r="AG37" i="1"/>
  <c r="BG170" i="1"/>
  <c r="AT185" i="1"/>
  <c r="CF56" i="1"/>
  <c r="CN18" i="1"/>
  <c r="BW40" i="1"/>
  <c r="BK97" i="1"/>
  <c r="CW35" i="1"/>
  <c r="AU135" i="1"/>
  <c r="AY175" i="1"/>
  <c r="AR55" i="1"/>
  <c r="AZ17" i="1"/>
  <c r="BW36" i="1"/>
  <c r="BC75" i="1"/>
  <c r="AS30" i="1"/>
  <c r="K70" i="1"/>
  <c r="AQ153" i="1"/>
  <c r="AQ73" i="1"/>
  <c r="CN48" i="1"/>
  <c r="CR29" i="1"/>
  <c r="CV10" i="1"/>
  <c r="BC133" i="1"/>
  <c r="BK45" i="1"/>
  <c r="CA8" i="1"/>
  <c r="J208" i="1"/>
  <c r="S90" i="1"/>
  <c r="AS59" i="1"/>
  <c r="AC47" i="1"/>
  <c r="CG37" i="1"/>
  <c r="AG28" i="1"/>
  <c r="CK18" i="1"/>
  <c r="AK9" i="1"/>
  <c r="S176" i="1"/>
  <c r="CE60" i="1"/>
  <c r="S33" i="1"/>
  <c r="BS5" i="1"/>
  <c r="CD190" i="1"/>
  <c r="AM144" i="1"/>
  <c r="AU106" i="1"/>
  <c r="BC68" i="1"/>
  <c r="L57" i="1"/>
  <c r="BP47" i="1"/>
  <c r="P38" i="1"/>
  <c r="BT28" i="1"/>
  <c r="T19" i="1"/>
  <c r="BX9" i="1"/>
  <c r="CP185" i="1"/>
  <c r="DG79" i="1"/>
  <c r="AU16" i="1"/>
  <c r="AN113" i="1"/>
  <c r="AV75" i="1"/>
  <c r="CM103" i="1"/>
  <c r="BB37" i="1"/>
  <c r="BB183" i="1"/>
  <c r="AH237" i="1"/>
  <c r="DD155" i="1"/>
  <c r="H118" i="1"/>
  <c r="P80" i="1"/>
  <c r="BS122" i="1"/>
  <c r="V42" i="1"/>
  <c r="AD4" i="1"/>
  <c r="CP273" i="1"/>
  <c r="DB235" i="1"/>
  <c r="BT155" i="1"/>
  <c r="CB117" i="1"/>
  <c r="CJ79" i="1"/>
  <c r="AI121" i="1"/>
  <c r="CP41" i="1"/>
  <c r="CX3" i="1"/>
  <c r="CT270" i="1"/>
  <c r="CQ137" i="1"/>
  <c r="AW41" i="1"/>
  <c r="U3" i="1"/>
  <c r="CH251" i="1"/>
  <c r="CV60" i="1"/>
  <c r="DD22" i="1"/>
  <c r="CQ52" i="1"/>
  <c r="CE126" i="1"/>
  <c r="I40" i="1"/>
  <c r="CD274" i="1"/>
  <c r="CP229" i="1"/>
  <c r="BH59" i="1"/>
  <c r="BP21" i="1"/>
  <c r="CM48" i="1"/>
  <c r="K92" i="1"/>
  <c r="BI34" i="1"/>
  <c r="AE119" i="1"/>
  <c r="DC169" i="1"/>
  <c r="AE82" i="1"/>
  <c r="H51" i="1"/>
  <c r="L32" i="1"/>
  <c r="P13" i="1"/>
  <c r="CU148" i="1"/>
  <c r="G50" i="1"/>
  <c r="BS12" i="1"/>
  <c r="AT293" i="1"/>
  <c r="K96" i="1"/>
  <c r="CC60" i="1"/>
  <c r="AG48" i="1"/>
  <c r="CK38" i="1"/>
  <c r="AK29" i="1"/>
  <c r="CO19" i="1"/>
  <c r="AO10" i="1"/>
  <c r="BB215" i="1"/>
  <c r="CI63" i="1"/>
  <c r="S36" i="1"/>
  <c r="BK8" i="1"/>
  <c r="AL207" i="1"/>
  <c r="BC148" i="1"/>
  <c r="BK110" i="1"/>
  <c r="BS72" i="1"/>
  <c r="P58" i="1"/>
  <c r="BT48" i="1"/>
  <c r="T39" i="1"/>
  <c r="BX29" i="1"/>
  <c r="X20" i="1"/>
  <c r="CB10" i="1"/>
  <c r="AX234" i="1"/>
  <c r="DG91" i="1"/>
  <c r="BO31" i="1"/>
  <c r="BD117" i="1"/>
  <c r="BL79" i="1"/>
  <c r="AU120" i="1"/>
  <c r="BR41" i="1"/>
  <c r="BZ3" i="1"/>
  <c r="CT253" i="1"/>
  <c r="P160" i="1"/>
  <c r="X122" i="1"/>
  <c r="AF84" i="1"/>
  <c r="AA139" i="1"/>
  <c r="AL46" i="1"/>
  <c r="AT8" i="1"/>
  <c r="CI4" i="1"/>
  <c r="BJ252" i="1"/>
  <c r="CJ159" i="1"/>
  <c r="CR121" i="1"/>
  <c r="CZ83" i="1"/>
  <c r="CU137" i="1"/>
  <c r="DF45" i="1"/>
  <c r="J8" i="1"/>
  <c r="AA4" i="1"/>
  <c r="G171" i="1"/>
  <c r="BM45" i="1"/>
  <c r="BU7" i="1"/>
  <c r="AE336" i="1"/>
  <c r="H65" i="1"/>
  <c r="P27" i="1"/>
  <c r="DC64" i="1"/>
  <c r="CY159" i="1"/>
  <c r="Y44" i="1"/>
  <c r="AG6" i="1"/>
  <c r="Z296" i="1"/>
  <c r="BX63" i="1"/>
  <c r="CF25" i="1"/>
  <c r="DC60" i="1"/>
  <c r="CY115" i="1"/>
  <c r="BY38" i="1"/>
  <c r="R210" i="1"/>
  <c r="CX207" i="1"/>
  <c r="DC89" i="1"/>
  <c r="DD52" i="1"/>
  <c r="DH33" i="1"/>
  <c r="H15" i="1"/>
  <c r="CA159" i="1"/>
  <c r="CY53" i="1"/>
  <c r="CY16" i="1"/>
  <c r="AQ12" i="1"/>
  <c r="CA101" i="1"/>
  <c r="Y62" i="1"/>
  <c r="BA49" i="1"/>
  <c r="CO39" i="1"/>
  <c r="AO30" i="1"/>
  <c r="CS20" i="1"/>
  <c r="AS11" i="1"/>
  <c r="BV264" i="1"/>
  <c r="CI69" i="1"/>
  <c r="S39" i="1"/>
  <c r="BO11" i="1"/>
  <c r="CX223" i="1"/>
  <c r="BS152" i="1"/>
  <c r="CA114" i="1"/>
  <c r="CI76" i="1"/>
  <c r="T59" i="1"/>
  <c r="BX49" i="1"/>
  <c r="X40" i="1"/>
  <c r="CB30" i="1"/>
  <c r="AB21" i="1"/>
  <c r="CF11" i="1"/>
  <c r="AX282" i="1"/>
  <c r="DG103" i="1"/>
  <c r="AY45" i="1"/>
  <c r="AF119" i="1"/>
  <c r="AN81" i="1"/>
  <c r="BG127" i="1"/>
  <c r="AT43" i="1"/>
  <c r="BB5" i="1"/>
  <c r="DF260" i="1"/>
  <c r="CV161" i="1"/>
  <c r="DD123" i="1"/>
  <c r="H86" i="1"/>
  <c r="AM146" i="1"/>
  <c r="N48" i="1"/>
  <c r="V10" i="1"/>
  <c r="AY10" i="1"/>
  <c r="BV259" i="1"/>
  <c r="BL161" i="1"/>
  <c r="BT123" i="1"/>
  <c r="CB85" i="1"/>
  <c r="DG144" i="1"/>
  <c r="CH47" i="1"/>
  <c r="CP9" i="1"/>
  <c r="CU9" i="1"/>
  <c r="BR243" i="1"/>
  <c r="AO47" i="1"/>
  <c r="AW9" i="1"/>
  <c r="DC5" i="1"/>
  <c r="BG69" i="1"/>
  <c r="CV28" i="1"/>
  <c r="O83" i="1"/>
  <c r="S174" i="1"/>
  <c r="DE45" i="1"/>
  <c r="I8" i="1"/>
  <c r="AM362" i="1"/>
  <c r="AZ65" i="1"/>
  <c r="BH27" i="1"/>
  <c r="O67" i="1"/>
  <c r="S130" i="1"/>
  <c r="BA40" i="1"/>
  <c r="AH294" i="1"/>
  <c r="AP236" i="1"/>
  <c r="O94" i="1"/>
  <c r="DH53" i="1"/>
  <c r="H35" i="1"/>
  <c r="L16" i="1"/>
  <c r="S164" i="1"/>
  <c r="BS55" i="1"/>
  <c r="BW18" i="1"/>
  <c r="DG19" i="1"/>
  <c r="DG105" i="1"/>
  <c r="CK62" i="1"/>
  <c r="I50" i="1"/>
  <c r="AG40" i="1"/>
  <c r="CK30" i="1"/>
  <c r="AK21" i="1"/>
  <c r="CO11" i="1"/>
  <c r="AT285" i="1"/>
  <c r="DC74" i="1"/>
  <c r="BC40" i="1"/>
  <c r="DC12" i="1"/>
  <c r="F231" i="1"/>
  <c r="AU154" i="1"/>
  <c r="BC116" i="1"/>
  <c r="BK78" i="1"/>
  <c r="BP59" i="1"/>
  <c r="P50" i="1"/>
  <c r="BT40" i="1"/>
  <c r="T31" i="1"/>
  <c r="BX21" i="1"/>
  <c r="X12" i="1"/>
  <c r="DB304" i="1"/>
  <c r="W109" i="1"/>
  <c r="CA47" i="1"/>
  <c r="S15" i="1"/>
  <c r="BV240" i="1"/>
  <c r="AG68" i="1"/>
  <c r="BF303" i="1"/>
  <c r="BN265" i="1"/>
  <c r="BV227" i="1"/>
  <c r="CD189" i="1"/>
  <c r="BH172" i="1"/>
  <c r="H163" i="1"/>
  <c r="BL153" i="1"/>
  <c r="L144" i="1"/>
  <c r="BP134" i="1"/>
  <c r="P125" i="1"/>
  <c r="BT115" i="1"/>
  <c r="T106" i="1"/>
  <c r="BX96" i="1"/>
  <c r="X87" i="1"/>
  <c r="CB77" i="1"/>
  <c r="AB68" i="1"/>
  <c r="N217" i="1"/>
  <c r="CY150" i="1"/>
  <c r="DG112" i="1"/>
  <c r="K75" i="1"/>
  <c r="CD58" i="1"/>
  <c r="AD49" i="1"/>
  <c r="CH39" i="1"/>
  <c r="AH30" i="1"/>
  <c r="CL20" i="1"/>
  <c r="AL11" i="1"/>
  <c r="F299" i="1"/>
  <c r="AY100" i="1"/>
  <c r="BW44" i="1"/>
  <c r="BK14" i="1"/>
  <c r="BZ237" i="1"/>
  <c r="K156" i="1"/>
  <c r="S118" i="1"/>
  <c r="AY4" i="1"/>
  <c r="AE121" i="1"/>
  <c r="AU73" i="1"/>
  <c r="AK58" i="1"/>
  <c r="CO48" i="1"/>
  <c r="AO39" i="1"/>
  <c r="CS29" i="1"/>
  <c r="AS20" i="1"/>
  <c r="CW10" i="1"/>
  <c r="BJ241" i="1"/>
  <c r="AY65" i="1"/>
  <c r="CE37" i="1"/>
  <c r="S10" i="1"/>
  <c r="BN218" i="1"/>
  <c r="AI151" i="1"/>
  <c r="AQ113" i="1"/>
  <c r="AY75" i="1"/>
  <c r="CN58" i="1"/>
  <c r="AN49" i="1"/>
  <c r="CR39" i="1"/>
  <c r="AR30" i="1"/>
  <c r="CV20" i="1"/>
  <c r="AV11" i="1"/>
  <c r="F267" i="1"/>
  <c r="S100" i="1"/>
  <c r="CA46" i="1"/>
  <c r="CU18" i="1"/>
  <c r="DG31" i="1"/>
  <c r="CD250" i="1"/>
  <c r="S110" i="1"/>
  <c r="CY67" i="1"/>
  <c r="DA56" i="1"/>
  <c r="BA47" i="1"/>
  <c r="DE37" i="1"/>
  <c r="BE28" i="1"/>
  <c r="DI18" i="1"/>
  <c r="BI9" i="1"/>
  <c r="CM178" i="1"/>
  <c r="AQ61" i="1"/>
  <c r="CE33" i="1"/>
  <c r="AE6" i="1"/>
  <c r="BV196" i="1"/>
  <c r="CM145" i="1"/>
  <c r="CU107" i="1"/>
  <c r="DC69" i="1"/>
  <c r="AZ57" i="1"/>
  <c r="DD47" i="1"/>
  <c r="BD38" i="1"/>
  <c r="DH28" i="1"/>
  <c r="BH19" i="1"/>
  <c r="H10" i="1"/>
  <c r="AX202" i="1"/>
  <c r="AI84" i="1"/>
  <c r="CA42" i="1"/>
  <c r="DG13" i="1"/>
  <c r="AQ37" i="1"/>
  <c r="DG141" i="1"/>
  <c r="CI83" i="1"/>
  <c r="CW60" i="1"/>
  <c r="AW51" i="1"/>
  <c r="DA41" i="1"/>
  <c r="BA32" i="1"/>
  <c r="DE22" i="1"/>
  <c r="BE13" i="1"/>
  <c r="DI3" i="1"/>
  <c r="BW94" i="1"/>
  <c r="AQ45" i="1"/>
  <c r="CM17" i="1"/>
  <c r="J260" i="1"/>
  <c r="BW161" i="1"/>
  <c r="CE123" i="1"/>
  <c r="CM85" i="1"/>
  <c r="AV61" i="1"/>
  <c r="CZ51" i="1"/>
  <c r="AZ42" i="1"/>
  <c r="DD32" i="1"/>
  <c r="BD23" i="1"/>
  <c r="DH13" i="1"/>
  <c r="BH4" i="1"/>
  <c r="H121" i="1"/>
  <c r="P83" i="1"/>
  <c r="BS134" i="1"/>
  <c r="V45" i="1"/>
  <c r="AD7" i="1"/>
  <c r="N268" i="1"/>
  <c r="BX163" i="1"/>
  <c r="CF125" i="1"/>
  <c r="CN87" i="1"/>
  <c r="AY153" i="1"/>
  <c r="CT49" i="1"/>
  <c r="DB11" i="1"/>
  <c r="O16" i="1"/>
  <c r="CH266" i="1"/>
  <c r="AN163" i="1"/>
  <c r="AV125" i="1"/>
  <c r="BD87" i="1"/>
  <c r="O152" i="1"/>
  <c r="BJ49" i="1"/>
  <c r="BR11" i="1"/>
  <c r="BK15" i="1"/>
  <c r="AE8" i="1"/>
  <c r="Q49" i="1"/>
  <c r="Y11" i="1"/>
  <c r="G11" i="1"/>
  <c r="BS76" i="1"/>
  <c r="BX30" i="1"/>
  <c r="BK103" i="1"/>
  <c r="BZ269" i="1"/>
  <c r="CG47" i="1"/>
  <c r="CO9" i="1"/>
  <c r="O7" i="1"/>
  <c r="S71" i="1"/>
  <c r="AJ29" i="1"/>
  <c r="CQ87" i="1"/>
  <c r="AQ144" i="1"/>
  <c r="AC42" i="1"/>
  <c r="AK4" i="1"/>
  <c r="CL264" i="1"/>
  <c r="K97" i="1"/>
  <c r="CF54" i="1"/>
  <c r="CJ35" i="1"/>
  <c r="CN16" i="1"/>
  <c r="AM169" i="1"/>
  <c r="AM57" i="1"/>
  <c r="AU20" i="1"/>
  <c r="BG27" i="1"/>
  <c r="CE110" i="1"/>
  <c r="AS63" i="1"/>
  <c r="BU50" i="1"/>
  <c r="CC40" i="1"/>
  <c r="AC31" i="1"/>
  <c r="CG21" i="1"/>
  <c r="AG12" i="1"/>
  <c r="R306" i="1"/>
  <c r="S80" i="1"/>
  <c r="CI41" i="1"/>
  <c r="AA14" i="1"/>
  <c r="R238" i="1"/>
  <c r="W156" i="1"/>
  <c r="AE118" i="1"/>
  <c r="AM80" i="1"/>
  <c r="H60" i="1"/>
  <c r="BL50" i="1"/>
  <c r="L41" i="1"/>
  <c r="BT12" i="1"/>
  <c r="CQ368" i="1"/>
  <c r="AQ114" i="1"/>
  <c r="CY49" i="1"/>
  <c r="X125" i="1"/>
  <c r="AF87" i="1"/>
  <c r="AA151" i="1"/>
  <c r="AL49" i="1"/>
  <c r="AT11" i="1"/>
  <c r="BZ284" i="1"/>
  <c r="CN167" i="1"/>
  <c r="CV129" i="1"/>
  <c r="DD91" i="1"/>
  <c r="G170" i="1"/>
  <c r="F54" i="1"/>
  <c r="N16" i="1"/>
  <c r="AA29" i="1"/>
  <c r="AP283" i="1"/>
  <c r="BD167" i="1"/>
  <c r="BL129" i="1"/>
  <c r="BT91" i="1"/>
  <c r="CA168" i="1"/>
  <c r="BZ53" i="1"/>
  <c r="CH15" i="1"/>
  <c r="BW28" i="1"/>
  <c r="CQ60" i="1"/>
  <c r="AG53" i="1"/>
  <c r="AO15" i="1"/>
  <c r="K23" i="1"/>
  <c r="AA93" i="1"/>
  <c r="CN34" i="1"/>
  <c r="CM150" i="1"/>
  <c r="AY43" i="1"/>
  <c r="CW51" i="1"/>
  <c r="DE13" i="1"/>
  <c r="S19" i="1"/>
  <c r="CE87" i="1"/>
  <c r="AZ33" i="1"/>
  <c r="CA135" i="1"/>
  <c r="DF181" i="1"/>
  <c r="AS46" i="1"/>
  <c r="BA8" i="1"/>
  <c r="O3" i="1"/>
  <c r="DC105" i="1"/>
  <c r="DD56" i="1"/>
  <c r="DH37" i="1"/>
  <c r="H19" i="1"/>
  <c r="CH207" i="1"/>
  <c r="AI61" i="1"/>
  <c r="AE24" i="1"/>
  <c r="AI46" i="1"/>
  <c r="AU121" i="1"/>
  <c r="CC64" i="1"/>
  <c r="Q52" i="1"/>
  <c r="CG41" i="1"/>
  <c r="AG32" i="1"/>
  <c r="CK22" i="1"/>
  <c r="AK13" i="1"/>
  <c r="CO3" i="1"/>
  <c r="CE92" i="1"/>
  <c r="CQ44" i="1"/>
  <c r="AA17" i="1"/>
  <c r="CD254" i="1"/>
  <c r="AM160" i="1"/>
  <c r="AU122" i="1"/>
  <c r="BC84" i="1"/>
  <c r="L61" i="1"/>
  <c r="BP51" i="1"/>
  <c r="P42" i="1"/>
  <c r="BT32" i="1"/>
  <c r="T23" i="1"/>
  <c r="BX13" i="1"/>
  <c r="K126" i="1"/>
  <c r="AQ53" i="1"/>
  <c r="AN129" i="1"/>
  <c r="CM167" i="1"/>
  <c r="BJ15" i="1"/>
  <c r="H134" i="1"/>
  <c r="Z208" i="1"/>
  <c r="AD20" i="1"/>
  <c r="DB299" i="1"/>
  <c r="CB133" i="1"/>
  <c r="CP57" i="1"/>
  <c r="CM41" i="1"/>
  <c r="AW57" i="1"/>
  <c r="CM109" i="1"/>
  <c r="R226" i="1"/>
  <c r="Q18" i="1"/>
  <c r="AM104" i="1"/>
  <c r="O26" i="1"/>
  <c r="BQ12" i="1"/>
  <c r="CV58" i="1"/>
  <c r="DD20" i="1"/>
  <c r="AI28" i="1"/>
  <c r="AY66" i="1"/>
  <c r="CK42" i="1"/>
  <c r="AO14" i="1"/>
  <c r="CE104" i="1"/>
  <c r="AL271" i="1"/>
  <c r="BK126" i="1"/>
  <c r="BT52" i="1"/>
  <c r="T43" i="1"/>
  <c r="X24" i="1"/>
  <c r="AB5" i="1"/>
  <c r="P131" i="1"/>
  <c r="X93" i="1"/>
  <c r="AT308" i="1"/>
  <c r="CV97" i="1"/>
  <c r="DB59" i="1"/>
  <c r="J307" i="1"/>
  <c r="AV173" i="1"/>
  <c r="AL231" i="1"/>
  <c r="BZ21" i="1"/>
  <c r="AG21" i="1"/>
  <c r="AQ40" i="1"/>
  <c r="BZ309" i="1"/>
  <c r="CW19" i="1"/>
  <c r="AR39" i="1"/>
  <c r="BS48" i="1"/>
  <c r="AQ20" i="1"/>
  <c r="CZ59" i="1"/>
  <c r="S345" i="1"/>
  <c r="G30" i="1"/>
  <c r="CM68" i="1"/>
  <c r="AC43" i="1"/>
  <c r="CK14" i="1"/>
  <c r="O49" i="1"/>
  <c r="AX278" i="1"/>
  <c r="AU90" i="1"/>
  <c r="L53" i="1"/>
  <c r="BT24" i="1"/>
  <c r="AU143" i="1"/>
  <c r="BN8" i="1"/>
  <c r="L127" i="1"/>
  <c r="CI158" i="1"/>
  <c r="AM20" i="1"/>
  <c r="BX164" i="1"/>
  <c r="AY157" i="1"/>
  <c r="DB12" i="1"/>
  <c r="BA50" i="1"/>
  <c r="DG14" i="1"/>
  <c r="O119" i="1"/>
  <c r="M49" i="1"/>
  <c r="BC76" i="1"/>
  <c r="G155" i="1"/>
  <c r="R286" i="1"/>
  <c r="CC118" i="1"/>
  <c r="BR128" i="1"/>
  <c r="CK165" i="1"/>
  <c r="DA89" i="1"/>
  <c r="BT128" i="1"/>
  <c r="DG164" i="1"/>
  <c r="CI25" i="1"/>
  <c r="CT201" i="1"/>
  <c r="BQ163" i="1"/>
  <c r="J113" i="1"/>
  <c r="AC150" i="1"/>
  <c r="AK112" i="1"/>
  <c r="DH150" i="1"/>
  <c r="CI102" i="1"/>
  <c r="AM177" i="1"/>
  <c r="BD169" i="1"/>
  <c r="BL131" i="1"/>
  <c r="BZ55" i="1"/>
  <c r="V310" i="1"/>
  <c r="AN98" i="1"/>
  <c r="BB22" i="1"/>
  <c r="CR173" i="1"/>
  <c r="DH97" i="1"/>
  <c r="R22" i="1"/>
  <c r="BC123" i="1"/>
  <c r="BW41" i="1"/>
  <c r="X41" i="1"/>
  <c r="AG58" i="1"/>
  <c r="AO20" i="1"/>
  <c r="BG20" i="1"/>
  <c r="AQ165" i="1"/>
  <c r="AN62" i="1"/>
  <c r="CV33" i="1"/>
  <c r="AV24" i="1"/>
  <c r="BO140" i="1"/>
  <c r="AI29" i="1"/>
  <c r="AX210" i="1"/>
  <c r="AK56" i="1"/>
  <c r="CS27" i="1"/>
  <c r="CW8" i="1"/>
  <c r="DC31" i="1"/>
  <c r="BN186" i="1"/>
  <c r="AY67" i="1"/>
  <c r="CR37" i="1"/>
  <c r="CV18" i="1"/>
  <c r="CU76" i="1"/>
  <c r="G13" i="1"/>
  <c r="BS83" i="1"/>
  <c r="AS51" i="1"/>
  <c r="CH180" i="1"/>
  <c r="CX103" i="1"/>
  <c r="M169" i="1"/>
  <c r="Y112" i="1"/>
  <c r="AG74" i="1"/>
  <c r="J209" i="1"/>
  <c r="CP134" i="1"/>
  <c r="CT115" i="1"/>
  <c r="AX87" i="1"/>
  <c r="BB68" i="1"/>
  <c r="BR225" i="1"/>
  <c r="DI171" i="1"/>
  <c r="BM143" i="1"/>
  <c r="BQ124" i="1"/>
  <c r="U96" i="1"/>
  <c r="BI68" i="1"/>
  <c r="BZ228" i="1"/>
  <c r="CJ172" i="1"/>
  <c r="CN153" i="1"/>
  <c r="CR134" i="1"/>
  <c r="AV106" i="1"/>
  <c r="AZ87" i="1"/>
  <c r="AD221" i="1"/>
  <c r="G114" i="1"/>
  <c r="BF49" i="1"/>
  <c r="BJ30" i="1"/>
  <c r="CT310" i="1"/>
  <c r="BG45" i="1"/>
  <c r="W119" i="1"/>
  <c r="BR302" i="1"/>
  <c r="CP188" i="1"/>
  <c r="CN162" i="1"/>
  <c r="AR134" i="1"/>
  <c r="AV115" i="1"/>
  <c r="DD86" i="1"/>
  <c r="DH67" i="1"/>
  <c r="O112" i="1"/>
  <c r="W74" i="1"/>
  <c r="BJ39" i="1"/>
  <c r="BN20" i="1"/>
  <c r="BA73" i="1"/>
  <c r="BF283" i="1"/>
  <c r="DH176" i="1"/>
  <c r="H158" i="1"/>
  <c r="BP129" i="1"/>
  <c r="BT110" i="1"/>
  <c r="X82" i="1"/>
  <c r="CL288" i="1"/>
  <c r="DG92" i="1"/>
  <c r="CD53" i="1"/>
  <c r="AH25" i="1"/>
  <c r="AL6" i="1"/>
  <c r="AE28" i="1"/>
  <c r="CK72" i="1"/>
  <c r="AD244" i="1"/>
  <c r="BX176" i="1"/>
  <c r="AB148" i="1"/>
  <c r="AF129" i="1"/>
  <c r="CN100" i="1"/>
  <c r="AR72" i="1"/>
  <c r="BO129" i="1"/>
  <c r="CT62" i="1"/>
  <c r="AX34" i="1"/>
  <c r="BB15" i="1"/>
  <c r="CI57" i="1"/>
  <c r="J304" i="1"/>
  <c r="O57" i="1"/>
  <c r="DG89" i="1"/>
  <c r="BE43" i="1"/>
  <c r="BI24" i="1"/>
  <c r="G113" i="1"/>
  <c r="AA22" i="1"/>
  <c r="DC129" i="1"/>
  <c r="DD62" i="1"/>
  <c r="BH34" i="1"/>
  <c r="H25" i="1"/>
  <c r="AI148" i="1"/>
  <c r="AE3" i="1"/>
  <c r="BG84" i="1"/>
  <c r="Q42" i="1"/>
  <c r="U23" i="1"/>
  <c r="CU96" i="1"/>
  <c r="AM18" i="1"/>
  <c r="BC124" i="1"/>
  <c r="BP61" i="1"/>
  <c r="T33" i="1"/>
  <c r="X14" i="1"/>
  <c r="CU54" i="1"/>
  <c r="CY15" i="1"/>
  <c r="I65" i="1"/>
  <c r="M46" i="1"/>
  <c r="BU17" i="1"/>
  <c r="CA143" i="1"/>
  <c r="V371" i="1"/>
  <c r="AM140" i="1"/>
  <c r="L56" i="1"/>
  <c r="P37" i="1"/>
  <c r="BX8" i="1"/>
  <c r="BT137" i="1"/>
  <c r="CH61" i="1"/>
  <c r="BI66" i="1"/>
  <c r="AV104" i="1"/>
  <c r="BJ28" i="1"/>
  <c r="Y66" i="1"/>
  <c r="L104" i="1"/>
  <c r="CI66" i="1"/>
  <c r="CI147" i="1"/>
  <c r="CK27" i="1"/>
  <c r="AN9" i="1"/>
  <c r="AO64" i="1"/>
  <c r="BG137" i="1"/>
  <c r="DD7" i="1"/>
  <c r="CW20" i="1"/>
  <c r="H63" i="1"/>
  <c r="P25" i="1"/>
  <c r="BK36" i="1"/>
  <c r="CA77" i="1"/>
  <c r="AS35" i="1"/>
  <c r="CW25" i="1"/>
  <c r="AM129" i="1"/>
  <c r="BF304" i="1"/>
  <c r="CY96" i="1"/>
  <c r="CB54" i="1"/>
  <c r="AF26" i="1"/>
  <c r="AJ7" i="1"/>
  <c r="CJ141" i="1"/>
  <c r="J66" i="1"/>
  <c r="BY70" i="1"/>
  <c r="BL108" i="1"/>
  <c r="CA84" i="1"/>
  <c r="AO70" i="1"/>
  <c r="T146" i="1"/>
  <c r="AQ83" i="1"/>
  <c r="CM126" i="1"/>
  <c r="DA31" i="1"/>
  <c r="BO159" i="1"/>
  <c r="BD13" i="1"/>
  <c r="AA76" i="1"/>
  <c r="O154" i="1"/>
  <c r="P12" i="1"/>
  <c r="I25" i="1"/>
  <c r="S139" i="1"/>
  <c r="AN27" i="1"/>
  <c r="W113" i="1"/>
  <c r="BG39" i="1"/>
  <c r="BQ57" i="1"/>
  <c r="AW36" i="1"/>
  <c r="DE7" i="1"/>
  <c r="CY56" i="1"/>
  <c r="CY176" i="1"/>
  <c r="AB65" i="1"/>
  <c r="CJ36" i="1"/>
  <c r="CN17" i="1"/>
  <c r="BG65" i="1"/>
  <c r="DH107" i="1"/>
  <c r="R32" i="1"/>
  <c r="DB215" i="1"/>
  <c r="CB112" i="1"/>
  <c r="AI101" i="1"/>
  <c r="BF188" i="1"/>
  <c r="AJ150" i="1"/>
  <c r="DC99" i="1"/>
  <c r="BJ185" i="1"/>
  <c r="M36" i="1"/>
  <c r="BL55" i="1"/>
  <c r="BT17" i="1"/>
  <c r="CC34" i="1"/>
  <c r="CA170" i="1"/>
  <c r="K33" i="1"/>
  <c r="Y29" i="1"/>
  <c r="DG70" i="1"/>
  <c r="AF29" i="1"/>
  <c r="CA44" i="1"/>
  <c r="DC88" i="1"/>
  <c r="BA37" i="1"/>
  <c r="DE27" i="1"/>
  <c r="CE172" i="1"/>
  <c r="DF185" i="1"/>
  <c r="AA105" i="1"/>
  <c r="AJ47" i="1"/>
  <c r="AN28" i="1"/>
  <c r="BS177" i="1"/>
  <c r="S12" i="1"/>
  <c r="BO89" i="1"/>
  <c r="AA146" i="1"/>
  <c r="BD114" i="1"/>
  <c r="AU108" i="1"/>
  <c r="DB216" i="1"/>
  <c r="L152" i="1"/>
  <c r="K107" i="1"/>
  <c r="DB224" i="1"/>
  <c r="CS37" i="1"/>
  <c r="BC177" i="1"/>
  <c r="AV19" i="1"/>
  <c r="BE36" i="1"/>
  <c r="DD55" i="1"/>
  <c r="AU38" i="1"/>
  <c r="W77" i="1"/>
  <c r="S75" i="1"/>
  <c r="AN11" i="1"/>
  <c r="W9" i="1"/>
  <c r="BI59" i="1"/>
  <c r="CW37" i="1"/>
  <c r="BA9" i="1"/>
  <c r="CY177" i="1"/>
  <c r="DG5" i="1"/>
  <c r="DG106" i="1"/>
  <c r="AB57" i="1"/>
  <c r="CJ28" i="1"/>
  <c r="CN9" i="1"/>
  <c r="AT34" i="1"/>
  <c r="DC150" i="1"/>
  <c r="BG172" i="1"/>
  <c r="N280" i="1"/>
  <c r="BX166" i="1"/>
  <c r="CX296" i="1"/>
  <c r="BF294" i="1"/>
  <c r="CS126" i="1"/>
  <c r="CD267" i="1"/>
  <c r="BR132" i="1"/>
  <c r="BZ94" i="1"/>
  <c r="BN292" i="1"/>
  <c r="CK169" i="1"/>
  <c r="CS131" i="1"/>
  <c r="DA93" i="1"/>
  <c r="BV295" i="1"/>
  <c r="BL170" i="1"/>
  <c r="BT132" i="1"/>
  <c r="CB94" i="1"/>
  <c r="BZ185" i="1"/>
  <c r="CH56" i="1"/>
  <c r="CP18" i="1"/>
  <c r="AQ38" i="1"/>
  <c r="AI110" i="1"/>
  <c r="CT217" i="1"/>
  <c r="P151" i="1"/>
  <c r="X113" i="1"/>
  <c r="AF75" i="1"/>
  <c r="AA103" i="1"/>
  <c r="AL37" i="1"/>
  <c r="BW178" i="1"/>
  <c r="BZ236" i="1"/>
  <c r="CN155" i="1"/>
  <c r="CV117" i="1"/>
  <c r="DD79" i="1"/>
  <c r="G122" i="1"/>
  <c r="F42" i="1"/>
  <c r="N4" i="1"/>
  <c r="BB271" i="1"/>
  <c r="AP235" i="1"/>
  <c r="BD155" i="1"/>
  <c r="BL117" i="1"/>
  <c r="BT79" i="1"/>
  <c r="CA120" i="1"/>
  <c r="BZ41" i="1"/>
  <c r="CH3" i="1"/>
  <c r="BF268" i="1"/>
  <c r="BW136" i="1"/>
  <c r="AG41" i="1"/>
  <c r="L3" i="1"/>
  <c r="AT249" i="1"/>
  <c r="CF60" i="1"/>
  <c r="CN22" i="1"/>
  <c r="AU52" i="1"/>
  <c r="BK125" i="1"/>
  <c r="CW39" i="1"/>
  <c r="AH158" i="1"/>
  <c r="CZ202" i="1"/>
  <c r="BG257" i="1"/>
  <c r="DF103" i="1"/>
  <c r="AC103" i="1"/>
  <c r="F102" i="1"/>
  <c r="AW101" i="1"/>
  <c r="CP101" i="1"/>
  <c r="AC101" i="1"/>
  <c r="BV124" i="1"/>
  <c r="BN111" i="1"/>
  <c r="BQ128" i="1"/>
  <c r="BR282" i="1"/>
  <c r="AR129" i="1"/>
  <c r="DC167" i="1"/>
  <c r="BN15" i="1"/>
  <c r="I72" i="1"/>
  <c r="CR147" i="1"/>
  <c r="H101" i="1"/>
  <c r="F287" i="1"/>
  <c r="N63" i="1"/>
  <c r="V25" i="1"/>
  <c r="CF105" i="1"/>
  <c r="G93" i="1"/>
  <c r="AV105" i="1"/>
  <c r="BW90" i="1"/>
  <c r="AE63" i="1"/>
  <c r="BW16" i="1"/>
  <c r="CQ142" i="1"/>
  <c r="U60" i="1"/>
  <c r="BB107" i="1"/>
  <c r="AH107" i="1"/>
  <c r="BI106" i="1"/>
  <c r="AJ107" i="1"/>
  <c r="DC114" i="1"/>
  <c r="BF249" i="1"/>
  <c r="BV129" i="1"/>
  <c r="CW128" i="1"/>
  <c r="BX129" i="1"/>
  <c r="CT15" i="1"/>
  <c r="T148" i="1"/>
  <c r="AP34" i="1"/>
  <c r="CZ114" i="1"/>
  <c r="AP256" i="1"/>
  <c r="BP114" i="1"/>
  <c r="CT246" i="1"/>
  <c r="DB192" i="1"/>
  <c r="BS43" i="1"/>
  <c r="BS173" i="1"/>
  <c r="BJ189" i="1"/>
  <c r="DH56" i="1"/>
  <c r="L19" i="1"/>
  <c r="AU41" i="1"/>
  <c r="DG81" i="1"/>
  <c r="DI31" i="1"/>
  <c r="BC89" i="1"/>
  <c r="CU159" i="1"/>
  <c r="BD51" i="1"/>
  <c r="BL13" i="1"/>
  <c r="S25" i="1"/>
  <c r="DI64" i="1"/>
  <c r="R247" i="1"/>
  <c r="N247" i="1"/>
  <c r="BE120" i="1"/>
  <c r="AD242" i="1"/>
  <c r="BF129" i="1"/>
  <c r="BN91" i="1"/>
  <c r="R280" i="1"/>
  <c r="BY166" i="1"/>
  <c r="CG128" i="1"/>
  <c r="CO90" i="1"/>
  <c r="Z283" i="1"/>
  <c r="AZ167" i="1"/>
  <c r="BH129" i="1"/>
  <c r="BP91" i="1"/>
  <c r="BK168" i="1"/>
  <c r="BV53" i="1"/>
  <c r="CD15" i="1"/>
  <c r="BK28" i="1"/>
  <c r="AO72" i="1"/>
  <c r="AX205" i="1"/>
  <c r="DH147" i="1"/>
  <c r="L110" i="1"/>
  <c r="T72" i="1"/>
  <c r="CI90" i="1"/>
  <c r="Z34" i="1"/>
  <c r="AM149" i="1"/>
  <c r="AD224" i="1"/>
  <c r="CB152" i="1"/>
  <c r="CJ114" i="1"/>
  <c r="CR76" i="1"/>
  <c r="BO109" i="1"/>
  <c r="CX38" i="1"/>
  <c r="BV248" i="1"/>
  <c r="BZ221" i="1"/>
  <c r="CX222" i="1"/>
  <c r="AR152" i="1"/>
  <c r="AZ114" i="1"/>
  <c r="BH76" i="1"/>
  <c r="AE108" i="1"/>
  <c r="BN38" i="1"/>
  <c r="CH239" i="1"/>
  <c r="CD218" i="1"/>
  <c r="BK49" i="1"/>
  <c r="BS87" i="1"/>
  <c r="AS52" i="1"/>
  <c r="AW33" i="1"/>
  <c r="BA14" i="1"/>
  <c r="CY105" i="1"/>
  <c r="BS20" i="1"/>
  <c r="BG165" i="1"/>
  <c r="BW89" i="1"/>
  <c r="CV52" i="1"/>
  <c r="CZ33" i="1"/>
  <c r="DD14" i="1"/>
  <c r="G141" i="1"/>
  <c r="AU29" i="1"/>
  <c r="AE32" i="1"/>
  <c r="S82" i="1"/>
  <c r="DI50" i="1"/>
  <c r="I32" i="1"/>
  <c r="M13" i="1"/>
  <c r="K90" i="1"/>
  <c r="BO16" i="1"/>
  <c r="G160" i="1"/>
  <c r="W84" i="1"/>
  <c r="BH51" i="1"/>
  <c r="BL32" i="1"/>
  <c r="BP13" i="1"/>
  <c r="W125" i="1"/>
  <c r="AI25" i="1"/>
  <c r="AY170" i="1"/>
  <c r="BA64" i="1"/>
  <c r="BE45" i="1"/>
  <c r="BI26" i="1"/>
  <c r="BM7" i="1"/>
  <c r="BW55" i="1"/>
  <c r="BG331" i="1"/>
  <c r="DC137" i="1"/>
  <c r="DD64" i="1"/>
  <c r="DH45" i="1"/>
  <c r="H27" i="1"/>
  <c r="L8" i="1"/>
  <c r="AN97" i="1"/>
  <c r="AT59" i="1"/>
  <c r="BW363" i="1"/>
  <c r="DD139" i="1"/>
  <c r="F303" i="1"/>
  <c r="V26" i="1"/>
  <c r="AM358" i="1"/>
  <c r="BT139" i="1"/>
  <c r="BZ297" i="1"/>
  <c r="CP25" i="1"/>
  <c r="AI138" i="1"/>
  <c r="AW25" i="1"/>
  <c r="BG133" i="1"/>
  <c r="DD6" i="1"/>
  <c r="DE61" i="1"/>
  <c r="BG48" i="1"/>
  <c r="BH43" i="1"/>
  <c r="DC25" i="1"/>
  <c r="BI18" i="1"/>
  <c r="BG125" i="1"/>
  <c r="CV42" i="1"/>
  <c r="DD4" i="1"/>
  <c r="AM34" i="1"/>
  <c r="BW148" i="1"/>
  <c r="AS55" i="1"/>
  <c r="CK34" i="1"/>
  <c r="CO15" i="1"/>
  <c r="AQ122" i="1"/>
  <c r="BC24" i="1"/>
  <c r="AU170" i="1"/>
  <c r="BK94" i="1"/>
  <c r="P54" i="1"/>
  <c r="T35" i="1"/>
  <c r="X16" i="1"/>
  <c r="BS153" i="1"/>
  <c r="AV139" i="1"/>
  <c r="R294" i="1"/>
  <c r="BR25" i="1"/>
  <c r="CT189" i="1"/>
  <c r="X106" i="1"/>
  <c r="AA75" i="1"/>
  <c r="CM98" i="1"/>
  <c r="BJ188" i="1"/>
  <c r="CR105" i="1"/>
  <c r="CU73" i="1"/>
  <c r="AI96" i="1"/>
  <c r="AA72" i="1"/>
  <c r="BG64" i="1"/>
  <c r="H49" i="1"/>
  <c r="DG17" i="1"/>
  <c r="Y28" i="1"/>
  <c r="BS144" i="1"/>
  <c r="CF9" i="1"/>
  <c r="BQ60" i="1"/>
  <c r="BG44" i="1"/>
  <c r="L64" i="1"/>
  <c r="T26" i="1"/>
  <c r="BW102" i="1"/>
  <c r="AA31" i="1"/>
  <c r="K80" i="1"/>
  <c r="AK45" i="1"/>
  <c r="AO26" i="1"/>
  <c r="AS7" i="1"/>
  <c r="S55" i="1"/>
  <c r="BR311" i="1"/>
  <c r="BS136" i="1"/>
  <c r="BT64" i="1"/>
  <c r="BX45" i="1"/>
  <c r="CB26" i="1"/>
  <c r="CF7" i="1"/>
  <c r="CE63" i="1"/>
  <c r="BT105" i="1"/>
  <c r="DG72" i="1"/>
  <c r="CS72" i="1"/>
  <c r="AF148" i="1"/>
  <c r="AV72" i="1"/>
  <c r="BB34" i="1"/>
  <c r="Y72" i="1"/>
  <c r="CZ147" i="1"/>
  <c r="L72" i="1"/>
  <c r="R34" i="1"/>
  <c r="BC171" i="1"/>
  <c r="CC33" i="1"/>
  <c r="CA166" i="1"/>
  <c r="AF15" i="1"/>
  <c r="AM83" i="1"/>
  <c r="AM93" i="1"/>
  <c r="CN51" i="1"/>
  <c r="W26" i="1"/>
  <c r="CO26" i="1"/>
  <c r="O142" i="1"/>
  <c r="H47" i="1"/>
  <c r="P9" i="1"/>
  <c r="W42" i="1"/>
  <c r="W171" i="1"/>
  <c r="Y58" i="1"/>
  <c r="CS36" i="1"/>
  <c r="CW17" i="1"/>
  <c r="CM146" i="1"/>
  <c r="BG30" i="1"/>
  <c r="AP252" i="1"/>
  <c r="CE159" i="1"/>
  <c r="CM121" i="1"/>
  <c r="CU83" i="1"/>
  <c r="CZ60" i="1"/>
  <c r="AZ51" i="1"/>
  <c r="DD41" i="1"/>
  <c r="BD32" i="1"/>
  <c r="DH22" i="1"/>
  <c r="BH13" i="1"/>
  <c r="H4" i="1"/>
  <c r="AY124" i="1"/>
  <c r="DC52" i="1"/>
  <c r="AR126" i="1"/>
  <c r="AZ88" i="1"/>
  <c r="DC155" i="1"/>
  <c r="BF50" i="1"/>
  <c r="BN12" i="1"/>
  <c r="AX289" i="1"/>
  <c r="DH168" i="1"/>
  <c r="L131" i="1"/>
  <c r="T93" i="1"/>
  <c r="CI174" i="1"/>
  <c r="Z55" i="1"/>
  <c r="AH17" i="1"/>
  <c r="O33" i="1"/>
  <c r="N288" i="1"/>
  <c r="BX168" i="1"/>
  <c r="CF130" i="1"/>
  <c r="CN92" i="1"/>
  <c r="AY173" i="1"/>
  <c r="CT54" i="1"/>
  <c r="DB16" i="1"/>
  <c r="BC32" i="1"/>
  <c r="CE102" i="1"/>
  <c r="BA54" i="1"/>
  <c r="BI16" i="1"/>
  <c r="BS26" i="1"/>
  <c r="DC97" i="1"/>
  <c r="DH35" i="1"/>
  <c r="AI160" i="1"/>
  <c r="BC58" i="1"/>
  <c r="M53" i="1"/>
  <c r="U15" i="1"/>
  <c r="BG22" i="1"/>
  <c r="BC92" i="1"/>
  <c r="BT34" i="1"/>
  <c r="W149" i="1"/>
  <c r="CP257" i="1"/>
  <c r="BM47" i="1"/>
  <c r="BU9" i="1"/>
  <c r="BK6" i="1"/>
  <c r="AM108" i="1"/>
  <c r="BL57" i="1"/>
  <c r="BP38" i="1"/>
  <c r="BT19" i="1"/>
  <c r="BN222" i="1"/>
  <c r="BK62" i="1"/>
  <c r="BS25" i="1"/>
  <c r="DG49" i="1"/>
  <c r="DC124" i="1"/>
  <c r="U65" i="1"/>
  <c r="AW52" i="1"/>
  <c r="I42" i="1"/>
  <c r="BM32" i="1"/>
  <c r="M23" i="1"/>
  <c r="BQ13" i="1"/>
  <c r="Q4" i="1"/>
  <c r="DG95" i="1"/>
  <c r="CE45" i="1"/>
  <c r="O18" i="1"/>
  <c r="BB259" i="1"/>
  <c r="BG161" i="1"/>
  <c r="BO123" i="1"/>
  <c r="BW85" i="1"/>
  <c r="AR61" i="1"/>
  <c r="CV51" i="1"/>
  <c r="AV42" i="1"/>
  <c r="CZ32" i="1"/>
  <c r="AZ23" i="1"/>
  <c r="DD13" i="1"/>
  <c r="BD4" i="1"/>
  <c r="CY129" i="1"/>
  <c r="AE54" i="1"/>
  <c r="AL13" i="1"/>
  <c r="AT292" i="1"/>
  <c r="CF169" i="1"/>
  <c r="CN131" i="1"/>
  <c r="CV93" i="1"/>
  <c r="CE177" i="1"/>
  <c r="DB55" i="1"/>
  <c r="F18" i="1"/>
  <c r="AU35" i="1"/>
  <c r="J291" i="1"/>
  <c r="AV169" i="1"/>
  <c r="BD131" i="1"/>
  <c r="BL93" i="1"/>
  <c r="AU176" i="1"/>
  <c r="BR55" i="1"/>
  <c r="BZ17" i="1"/>
  <c r="CQ34" i="1"/>
  <c r="CA105" i="1"/>
  <c r="Y55" i="1"/>
  <c r="AG17" i="1"/>
  <c r="CE28" i="1"/>
  <c r="CY100" i="1"/>
  <c r="CF36" i="1"/>
  <c r="CY165" i="1"/>
  <c r="AM73" i="1"/>
  <c r="CO53" i="1"/>
  <c r="CW15" i="1"/>
  <c r="CA24" i="1"/>
  <c r="AY95" i="1"/>
  <c r="AR35" i="1"/>
  <c r="AU155" i="1"/>
  <c r="AD305" i="1"/>
  <c r="AK48" i="1"/>
  <c r="AS10" i="1"/>
  <c r="BW8" i="1"/>
  <c r="CH308" i="1"/>
  <c r="AP306" i="1"/>
  <c r="Y128" i="1"/>
  <c r="J273" i="1"/>
  <c r="AP133" i="1"/>
  <c r="AX95" i="1"/>
  <c r="BJ295" i="1"/>
  <c r="BI170" i="1"/>
  <c r="BQ132" i="1"/>
  <c r="BY94" i="1"/>
  <c r="BR298" i="1"/>
  <c r="AJ171" i="1"/>
  <c r="AR133" i="1"/>
  <c r="AZ95" i="1"/>
  <c r="BJ197" i="1"/>
  <c r="BF57" i="1"/>
  <c r="BN19" i="1"/>
  <c r="CI40" i="1"/>
  <c r="AE113" i="1"/>
  <c r="CP220" i="1"/>
  <c r="CR151" i="1"/>
  <c r="BJ149" i="1"/>
  <c r="M173" i="1"/>
  <c r="AC97" i="1"/>
  <c r="CT171" i="1"/>
  <c r="CL117" i="1"/>
  <c r="CT79" i="1"/>
  <c r="AL233" i="1"/>
  <c r="DE154" i="1"/>
  <c r="I117" i="1"/>
  <c r="Q79" i="1"/>
  <c r="AT236" i="1"/>
  <c r="CF155" i="1"/>
  <c r="CN117" i="1"/>
  <c r="CV79" i="1"/>
  <c r="CE121" i="1"/>
  <c r="DB41" i="1"/>
  <c r="F4" i="1"/>
  <c r="BV272" i="1"/>
  <c r="AL310" i="1"/>
  <c r="AB174" i="1"/>
  <c r="AJ136" i="1"/>
  <c r="AR98" i="1"/>
  <c r="AP244" i="1"/>
  <c r="AX60" i="1"/>
  <c r="BF22" i="1"/>
  <c r="AX414" i="1"/>
  <c r="CZ178" i="1"/>
  <c r="DH140" i="1"/>
  <c r="L103" i="1"/>
  <c r="W342" i="1"/>
  <c r="R65" i="1"/>
  <c r="Z27" i="1"/>
  <c r="BC64" i="1"/>
  <c r="N393" i="1"/>
  <c r="BP178" i="1"/>
  <c r="BX140" i="1"/>
  <c r="CF102" i="1"/>
  <c r="CQ320" i="1"/>
  <c r="CL64" i="1"/>
  <c r="CT26" i="1"/>
  <c r="CY63" i="1"/>
  <c r="AY142" i="1"/>
  <c r="AS64" i="1"/>
  <c r="BA26" i="1"/>
  <c r="BC55" i="1"/>
  <c r="BW137" i="1"/>
  <c r="CZ45" i="1"/>
  <c r="DH7" i="1"/>
  <c r="DC8" i="1"/>
  <c r="DI62" i="1"/>
  <c r="M25" i="1"/>
  <c r="Q6" i="1"/>
  <c r="CA119" i="1"/>
  <c r="BG51" i="1"/>
  <c r="CU23" i="1"/>
  <c r="CP293" i="1"/>
  <c r="O170" i="1"/>
  <c r="W132" i="1"/>
  <c r="AE94" i="1"/>
  <c r="BH63" i="1"/>
  <c r="H54" i="1"/>
  <c r="BL44" i="1"/>
  <c r="L35" i="1"/>
  <c r="BP25" i="1"/>
  <c r="P16" i="1"/>
  <c r="BT6" i="1"/>
  <c r="G153" i="1"/>
  <c r="BK60" i="1"/>
  <c r="BW32" i="1"/>
  <c r="AM37" i="1"/>
  <c r="AH286" i="1"/>
  <c r="CE114" i="1"/>
  <c r="S70" i="1"/>
  <c r="BE57" i="1"/>
  <c r="DI47" i="1"/>
  <c r="BI38" i="1"/>
  <c r="I29" i="1"/>
  <c r="BM19" i="1"/>
  <c r="M10" i="1"/>
  <c r="BR203" i="1"/>
  <c r="K63" i="1"/>
  <c r="AQ35" i="1"/>
  <c r="CQ7" i="1"/>
  <c r="BJ205" i="1"/>
  <c r="G148" i="1"/>
  <c r="O110" i="1"/>
  <c r="W72" i="1"/>
  <c r="DH57" i="1"/>
  <c r="BH48" i="1"/>
  <c r="H39" i="1"/>
  <c r="BL29" i="1"/>
  <c r="L20" i="1"/>
  <c r="BP10" i="1"/>
  <c r="N229" i="1"/>
  <c r="CM90" i="1"/>
  <c r="AE44" i="1"/>
  <c r="BG16" i="1"/>
  <c r="CQ51" i="1"/>
  <c r="G151" i="1"/>
  <c r="AQ88" i="1"/>
  <c r="I62" i="1"/>
  <c r="BM52" i="1"/>
  <c r="AC108" i="1"/>
  <c r="DC186" i="1"/>
  <c r="CD199" i="1"/>
  <c r="BN146" i="1"/>
  <c r="BV108" i="1"/>
  <c r="CD70" i="1"/>
  <c r="AT223" i="1"/>
  <c r="BA171" i="1"/>
  <c r="BE152" i="1"/>
  <c r="BI133" i="1"/>
  <c r="BM114" i="1"/>
  <c r="BQ95" i="1"/>
  <c r="BU76" i="1"/>
  <c r="AT294" i="1"/>
  <c r="BJ218" i="1"/>
  <c r="AD170" i="1"/>
  <c r="AH151" i="1"/>
  <c r="F136" i="1"/>
  <c r="BJ126" i="1"/>
  <c r="J117" i="1"/>
  <c r="BN107" i="1"/>
  <c r="N98" i="1"/>
  <c r="BR88" i="1"/>
  <c r="R79" i="1"/>
  <c r="BV69" i="1"/>
  <c r="Z306" i="1"/>
  <c r="AH268" i="1"/>
  <c r="AP230" i="1"/>
  <c r="AX192" i="1"/>
  <c r="Y173" i="1"/>
  <c r="CC163" i="1"/>
  <c r="AC154" i="1"/>
  <c r="CG144" i="1"/>
  <c r="AG135" i="1"/>
  <c r="CK125" i="1"/>
  <c r="AK116" i="1"/>
  <c r="CO106" i="1"/>
  <c r="AO97" i="1"/>
  <c r="CS87" i="1"/>
  <c r="AS78" i="1"/>
  <c r="CC69" i="1"/>
  <c r="AH309" i="1"/>
  <c r="AP271" i="1"/>
  <c r="AX233" i="1"/>
  <c r="BF195" i="1"/>
  <c r="DD173" i="1"/>
  <c r="BD164" i="1"/>
  <c r="DH154" i="1"/>
  <c r="BH145" i="1"/>
  <c r="H136" i="1"/>
  <c r="BL126" i="1"/>
  <c r="L117" i="1"/>
  <c r="BP107" i="1"/>
  <c r="P98" i="1"/>
  <c r="BT88" i="1"/>
  <c r="T79" i="1"/>
  <c r="BX69" i="1"/>
  <c r="Z240" i="1"/>
  <c r="CA156" i="1"/>
  <c r="CI118" i="1"/>
  <c r="CQ80" i="1"/>
  <c r="V60" i="1"/>
  <c r="BZ50" i="1"/>
  <c r="Z41" i="1"/>
  <c r="CD31" i="1"/>
  <c r="AD22" i="1"/>
  <c r="CH12" i="1"/>
  <c r="AH3" i="1"/>
  <c r="BG118" i="1"/>
  <c r="AA49" i="1"/>
  <c r="AA19" i="1"/>
  <c r="CL260" i="1"/>
  <c r="CQ161" i="1"/>
  <c r="CY123" i="1"/>
  <c r="AC69" i="1"/>
  <c r="AP307" i="1"/>
  <c r="AX269" i="1"/>
  <c r="BF231" i="1"/>
  <c r="BN193" i="1"/>
  <c r="BD173" i="1"/>
  <c r="DH163" i="1"/>
  <c r="BH154" i="1"/>
  <c r="H145" i="1"/>
  <c r="BL135" i="1"/>
  <c r="L126" i="1"/>
  <c r="BP116" i="1"/>
  <c r="P107" i="1"/>
  <c r="BT97" i="1"/>
  <c r="T88" i="1"/>
  <c r="BX78" i="1"/>
  <c r="X69" i="1"/>
  <c r="BF232" i="1"/>
  <c r="CI154" i="1"/>
  <c r="CQ116" i="1"/>
  <c r="CY78" i="1"/>
  <c r="BZ59" i="1"/>
  <c r="Z50" i="1"/>
  <c r="CD40" i="1"/>
  <c r="AD31" i="1"/>
  <c r="CH21" i="1"/>
  <c r="AH12" i="1"/>
  <c r="AS3" i="1"/>
  <c r="BO112" i="1"/>
  <c r="AU368" i="1"/>
  <c r="AD288" i="1"/>
  <c r="AL250" i="1"/>
  <c r="AT212" i="1"/>
  <c r="X178" i="1"/>
  <c r="CB168" i="1"/>
  <c r="AB159" i="1"/>
  <c r="CF149" i="1"/>
  <c r="AF140" i="1"/>
  <c r="CJ130" i="1"/>
  <c r="AJ121" i="1"/>
  <c r="CN111" i="1"/>
  <c r="AN102" i="1"/>
  <c r="CR92" i="1"/>
  <c r="AR83" i="1"/>
  <c r="CV73" i="1"/>
  <c r="CH307" i="1"/>
  <c r="BO173" i="1"/>
  <c r="BW135" i="1"/>
  <c r="CE97" i="1"/>
  <c r="AT64" i="1"/>
  <c r="CX54" i="1"/>
  <c r="AX45" i="1"/>
  <c r="DB35" i="1"/>
  <c r="BB26" i="1"/>
  <c r="DF16" i="1"/>
  <c r="BF7" i="1"/>
  <c r="AQ162" i="1"/>
  <c r="S62" i="1"/>
  <c r="S32" i="1"/>
  <c r="BW367" i="1"/>
  <c r="S178" i="1"/>
  <c r="K363" i="1"/>
  <c r="CX286" i="1"/>
  <c r="DF248" i="1"/>
  <c r="J211" i="1"/>
  <c r="CR177" i="1"/>
  <c r="AR168" i="1"/>
  <c r="CV158" i="1"/>
  <c r="AV149" i="1"/>
  <c r="CZ139" i="1"/>
  <c r="AZ130" i="1"/>
  <c r="DD120" i="1"/>
  <c r="BD111" i="1"/>
  <c r="DH101" i="1"/>
  <c r="BH92" i="1"/>
  <c r="H83" i="1"/>
  <c r="BL73" i="1"/>
  <c r="AX302" i="1"/>
  <c r="AE172" i="1"/>
  <c r="AM134" i="1"/>
  <c r="AU96" i="1"/>
  <c r="J64" i="1"/>
  <c r="BN54" i="1"/>
  <c r="N45" i="1"/>
  <c r="BR35" i="1"/>
  <c r="R26" i="1"/>
  <c r="BV16" i="1"/>
  <c r="V7" i="1"/>
  <c r="CU160" i="1"/>
  <c r="BK61" i="1"/>
  <c r="BG31" i="1"/>
  <c r="CM355" i="1"/>
  <c r="AU177" i="1"/>
  <c r="BC139" i="1"/>
  <c r="CI89" i="1"/>
  <c r="CY163" i="1"/>
  <c r="CE94" i="1"/>
  <c r="BU63" i="1"/>
  <c r="U54" i="1"/>
  <c r="BY44" i="1"/>
  <c r="Y35" i="1"/>
  <c r="CC25" i="1"/>
  <c r="AC16" i="1"/>
  <c r="CG6" i="1"/>
  <c r="O127" i="1"/>
  <c r="AM53" i="1"/>
  <c r="CA25" i="1"/>
  <c r="CX303" i="1"/>
  <c r="BS172" i="1"/>
  <c r="CA134" i="1"/>
  <c r="CI96" i="1"/>
  <c r="T64" i="1"/>
  <c r="BX54" i="1"/>
  <c r="X45" i="1"/>
  <c r="CB35" i="1"/>
  <c r="AB26" i="1"/>
  <c r="CF16" i="1"/>
  <c r="AF7" i="1"/>
  <c r="K158" i="1"/>
  <c r="AM62" i="1"/>
  <c r="BK34" i="1"/>
  <c r="CM6" i="1"/>
  <c r="CA54" i="1"/>
  <c r="CM152" i="1"/>
  <c r="AE89" i="1"/>
  <c r="AG62" i="1"/>
  <c r="CK52" i="1"/>
  <c r="AK43" i="1"/>
  <c r="CO33" i="1"/>
  <c r="AO24" i="1"/>
  <c r="CS14" i="1"/>
  <c r="AS5" i="1"/>
  <c r="BW110" i="1"/>
  <c r="AI49" i="1"/>
  <c r="CE21" i="1"/>
  <c r="DF281" i="1"/>
  <c r="S167" i="1"/>
  <c r="AA129" i="1"/>
  <c r="AI91" i="1"/>
  <c r="CJ62" i="1"/>
  <c r="AJ53" i="1"/>
  <c r="CN43" i="1"/>
  <c r="AN34" i="1"/>
  <c r="CR24" i="1"/>
  <c r="AR15" i="1"/>
  <c r="CV5" i="1"/>
  <c r="K146" i="1"/>
  <c r="AQ58" i="1"/>
  <c r="BO30" i="1"/>
  <c r="G29" i="1"/>
  <c r="CT238" i="1"/>
  <c r="CM108" i="1"/>
  <c r="W67" i="1"/>
  <c r="CG56" i="1"/>
  <c r="AG47" i="1"/>
  <c r="CK37" i="1"/>
  <c r="AK28" i="1"/>
  <c r="CO18" i="1"/>
  <c r="AO9" i="1"/>
  <c r="BO176" i="1"/>
  <c r="CM60" i="1"/>
  <c r="AE33" i="1"/>
  <c r="CE5" i="1"/>
  <c r="BZ193" i="1"/>
  <c r="K145" i="1"/>
  <c r="S107" i="1"/>
  <c r="AA69" i="1"/>
  <c r="AF57" i="1"/>
  <c r="CJ47" i="1"/>
  <c r="AJ38" i="1"/>
  <c r="CN28" i="1"/>
  <c r="AN19" i="1"/>
  <c r="CR9" i="1"/>
  <c r="AR142" i="1"/>
  <c r="AZ104" i="1"/>
  <c r="BH66" i="1"/>
  <c r="AE68" i="1"/>
  <c r="BN28" i="1"/>
  <c r="AG71" i="1"/>
  <c r="CD201" i="1"/>
  <c r="L147" i="1"/>
  <c r="T109" i="1"/>
  <c r="AB71" i="1"/>
  <c r="K87" i="1"/>
  <c r="AH33" i="1"/>
  <c r="AY136" i="1"/>
  <c r="DA70" i="1"/>
  <c r="AT200" i="1"/>
  <c r="CF146" i="1"/>
  <c r="CN108" i="1"/>
  <c r="CV70" i="1"/>
  <c r="CE85" i="1"/>
  <c r="DB32" i="1"/>
  <c r="AA134" i="1"/>
  <c r="CE166" i="1"/>
  <c r="K84" i="1"/>
  <c r="BI32" i="1"/>
  <c r="BK95" i="1"/>
  <c r="DC161" i="1"/>
  <c r="DH51" i="1"/>
  <c r="L14" i="1"/>
  <c r="CA26" i="1"/>
  <c r="BO78" i="1"/>
  <c r="U31" i="1"/>
  <c r="AE79" i="1"/>
  <c r="BC156" i="1"/>
  <c r="BT50" i="1"/>
  <c r="CB12" i="1"/>
  <c r="BW22" i="1"/>
  <c r="BM63" i="1"/>
  <c r="BU25" i="1"/>
  <c r="O53" i="1"/>
  <c r="CE139" i="1"/>
  <c r="AV65" i="1"/>
  <c r="AZ46" i="1"/>
  <c r="BD27" i="1"/>
  <c r="BH8" i="1"/>
  <c r="CM114" i="1"/>
  <c r="AI41" i="1"/>
  <c r="CE40" i="1"/>
  <c r="BS167" i="1"/>
  <c r="AA84" i="1"/>
  <c r="CG57" i="1"/>
  <c r="I46" i="1"/>
  <c r="BM36" i="1"/>
  <c r="M27" i="1"/>
  <c r="BQ17" i="1"/>
  <c r="Q8" i="1"/>
  <c r="AE143" i="1"/>
  <c r="AI57" i="1"/>
  <c r="CA29" i="1"/>
  <c r="BO357" i="1"/>
  <c r="BG177" i="1"/>
  <c r="BO139" i="1"/>
  <c r="BW101" i="1"/>
  <c r="AR65" i="1"/>
  <c r="CV55" i="1"/>
  <c r="AV46" i="1"/>
  <c r="CZ36" i="1"/>
  <c r="AZ27" i="1"/>
  <c r="DD17" i="1"/>
  <c r="BD8" i="1"/>
  <c r="AU167" i="1"/>
  <c r="AA66" i="1"/>
  <c r="BH146" i="1"/>
  <c r="BP108" i="1"/>
  <c r="BX70" i="1"/>
  <c r="CQ84" i="1"/>
  <c r="CD32" i="1"/>
  <c r="AE131" i="1"/>
  <c r="AL218" i="1"/>
  <c r="AB151" i="1"/>
  <c r="AJ113" i="1"/>
  <c r="AR75" i="1"/>
  <c r="BW103" i="1"/>
  <c r="AX37" i="1"/>
  <c r="AA178" i="1"/>
  <c r="DF197" i="1"/>
  <c r="DF216" i="1"/>
  <c r="CV150" i="1"/>
  <c r="DD112" i="1"/>
  <c r="H75" i="1"/>
  <c r="AM102" i="1"/>
  <c r="N37" i="1"/>
  <c r="CQ175" i="1"/>
  <c r="F195" i="1"/>
  <c r="BW100" i="1"/>
  <c r="BY36" i="1"/>
  <c r="BO144" i="1"/>
  <c r="BK178" i="1"/>
  <c r="T56" i="1"/>
  <c r="AB18" i="1"/>
  <c r="DC38" i="1"/>
  <c r="W95" i="1"/>
  <c r="AK35" i="1"/>
  <c r="BO128" i="1"/>
  <c r="K173" i="1"/>
  <c r="CJ54" i="1"/>
  <c r="CR16" i="1"/>
  <c r="CU34" i="1"/>
  <c r="O73" i="1"/>
  <c r="CK29" i="1"/>
  <c r="AA65" i="1"/>
  <c r="DG150" i="1"/>
  <c r="CI72" i="1"/>
  <c r="BX48" i="1"/>
  <c r="CB29" i="1"/>
  <c r="CF10" i="1"/>
  <c r="AA130" i="1"/>
  <c r="O45" i="1"/>
  <c r="AA8" i="1"/>
  <c r="N189" i="1"/>
  <c r="BK89" i="1"/>
  <c r="AC59" i="1"/>
  <c r="M47" i="1"/>
  <c r="BQ37" i="1"/>
  <c r="Q28" i="1"/>
  <c r="BU18" i="1"/>
  <c r="U9" i="1"/>
  <c r="BG174" i="1"/>
  <c r="AM60" i="1"/>
  <c r="CA32" i="1"/>
  <c r="W5" i="1"/>
  <c r="AP188" i="1"/>
  <c r="CE143" i="1"/>
  <c r="CM105" i="1"/>
  <c r="CU67" i="1"/>
  <c r="CZ56" i="1"/>
  <c r="AZ47" i="1"/>
  <c r="DD37" i="1"/>
  <c r="BD28" i="1"/>
  <c r="DH18" i="1"/>
  <c r="BH9" i="1"/>
  <c r="AE179" i="1"/>
  <c r="AA78" i="1"/>
  <c r="AE14" i="1"/>
  <c r="CF112" i="1"/>
  <c r="CN74" i="1"/>
  <c r="AY101" i="1"/>
  <c r="CT36" i="1"/>
  <c r="G173" i="1"/>
  <c r="CX234" i="1"/>
  <c r="AR155" i="1"/>
  <c r="AZ117" i="1"/>
  <c r="BH79" i="1"/>
  <c r="AE120" i="1"/>
  <c r="BN41" i="1"/>
  <c r="BV3" i="1"/>
  <c r="AP264" i="1"/>
  <c r="BN233" i="1"/>
  <c r="H155" i="1"/>
  <c r="P117" i="1"/>
  <c r="X79" i="1"/>
  <c r="CY118" i="1"/>
  <c r="AD41" i="1"/>
  <c r="AL3" i="1"/>
  <c r="AT261" i="1"/>
  <c r="O133" i="1"/>
  <c r="CO40" i="1"/>
  <c r="N312" i="1"/>
  <c r="AH242" i="1"/>
  <c r="AJ60" i="1"/>
  <c r="AR22" i="1"/>
  <c r="O51" i="1"/>
  <c r="DG121" i="1"/>
  <c r="BA39" i="1"/>
  <c r="BB247" i="1"/>
  <c r="AP220" i="1"/>
  <c r="CZ58" i="1"/>
  <c r="DH20" i="1"/>
  <c r="K47" i="1"/>
  <c r="CA89" i="1"/>
  <c r="DA33" i="1"/>
  <c r="S112" i="1"/>
  <c r="BO167" i="1"/>
  <c r="BC80" i="1"/>
  <c r="BP50" i="1"/>
  <c r="BT31" i="1"/>
  <c r="BX12" i="1"/>
  <c r="AU147" i="1"/>
  <c r="S49" i="1"/>
  <c r="AA12" i="1"/>
  <c r="CX283" i="1"/>
  <c r="CU94" i="1"/>
  <c r="BM60" i="1"/>
  <c r="Q48" i="1"/>
  <c r="BU38" i="1"/>
  <c r="U29" i="1"/>
  <c r="BY19" i="1"/>
  <c r="Y10" i="1"/>
  <c r="AP208" i="1"/>
  <c r="AQ63" i="1"/>
  <c r="CA35" i="1"/>
  <c r="W8" i="1"/>
  <c r="DB204" i="1"/>
  <c r="CU147" i="1"/>
  <c r="DC109" i="1"/>
  <c r="G72" i="1"/>
  <c r="DD57" i="1"/>
  <c r="BD48" i="1"/>
  <c r="DH38" i="1"/>
  <c r="BH29" i="1"/>
  <c r="H20" i="1"/>
  <c r="BL10" i="1"/>
  <c r="CX227" i="1"/>
  <c r="AQ90" i="1"/>
  <c r="BC29" i="1"/>
  <c r="BH114" i="1"/>
  <c r="BP76" i="1"/>
  <c r="BK108" i="1"/>
  <c r="BV38" i="1"/>
  <c r="AL243" i="1"/>
  <c r="F242" i="1"/>
  <c r="T157" i="1"/>
  <c r="AB119" i="1"/>
  <c r="AJ81" i="1"/>
  <c r="AQ127" i="1"/>
  <c r="AP43" i="1"/>
  <c r="AX5" i="1"/>
  <c r="CL292" i="1"/>
  <c r="BZ240" i="1"/>
  <c r="CN156" i="1"/>
  <c r="CV118" i="1"/>
  <c r="DD80" i="1"/>
  <c r="G126" i="1"/>
  <c r="F43" i="1"/>
  <c r="N5" i="1"/>
  <c r="CP289" i="1"/>
  <c r="AM147" i="1"/>
  <c r="BQ42" i="1"/>
  <c r="BY4" i="1"/>
  <c r="CD270" i="1"/>
  <c r="L62" i="1"/>
  <c r="T24" i="1"/>
  <c r="AA56" i="1"/>
  <c r="AA136" i="1"/>
  <c r="AC41" i="1"/>
  <c r="BM427" i="1"/>
  <c r="CL248" i="1"/>
  <c r="CB60" i="1"/>
  <c r="CJ22" i="1"/>
  <c r="AI52" i="1"/>
  <c r="CM96" i="1"/>
  <c r="CC35" i="1"/>
  <c r="AM133" i="1"/>
  <c r="CA174" i="1"/>
  <c r="BS84" i="1"/>
  <c r="BT51" i="1"/>
  <c r="BX32" i="1"/>
  <c r="CB13" i="1"/>
  <c r="CE152" i="1"/>
  <c r="CU50" i="1"/>
  <c r="CU13" i="1"/>
  <c r="K351" i="1"/>
  <c r="AE97" i="1"/>
  <c r="U61" i="1"/>
  <c r="BM48" i="1"/>
  <c r="M39" i="1"/>
  <c r="BQ29" i="1"/>
  <c r="Q20" i="1"/>
  <c r="BU10" i="1"/>
  <c r="BZ229" i="1"/>
  <c r="BS64" i="1"/>
  <c r="DG36" i="1"/>
  <c r="AY9" i="1"/>
  <c r="J212" i="1"/>
  <c r="BW149" i="1"/>
  <c r="CE111" i="1"/>
  <c r="CM73" i="1"/>
  <c r="AV58" i="1"/>
  <c r="CZ48" i="1"/>
  <c r="AZ39" i="1"/>
  <c r="DD29" i="1"/>
  <c r="BD20" i="1"/>
  <c r="DH10" i="1"/>
  <c r="J248" i="1"/>
  <c r="CA95" i="1"/>
  <c r="DG35" i="1"/>
  <c r="U73" i="1"/>
  <c r="J207" i="1"/>
  <c r="AV148" i="1"/>
  <c r="BD110" i="1"/>
  <c r="BL72" i="1"/>
  <c r="AU92" i="1"/>
  <c r="BR34" i="1"/>
  <c r="AU151" i="1"/>
  <c r="BE72" i="1"/>
  <c r="CD205" i="1"/>
  <c r="L148" i="1"/>
  <c r="T110" i="1"/>
  <c r="AB72" i="1"/>
  <c r="K91" i="1"/>
  <c r="AH34" i="1"/>
  <c r="CY149" i="1"/>
  <c r="K172" i="1"/>
  <c r="AU89" i="1"/>
  <c r="CS33" i="1"/>
  <c r="O111" i="1"/>
  <c r="AI167" i="1"/>
  <c r="AN53" i="1"/>
  <c r="AV15" i="1"/>
  <c r="CA30" i="1"/>
  <c r="CY83" i="1"/>
  <c r="BE32" i="1"/>
  <c r="O95" i="1"/>
  <c r="CM161" i="1"/>
  <c r="DD51" i="1"/>
  <c r="H14" i="1"/>
  <c r="BO26" i="1"/>
  <c r="CW64" i="1"/>
  <c r="DE26" i="1"/>
  <c r="G57" i="1"/>
  <c r="DI125" i="1"/>
  <c r="AX126" i="1"/>
  <c r="AS161" i="1"/>
  <c r="BI85" i="1"/>
  <c r="V160" i="1"/>
  <c r="F112" i="1"/>
  <c r="N74" i="1"/>
  <c r="Z210" i="1"/>
  <c r="Y149" i="1"/>
  <c r="AG111" i="1"/>
  <c r="AO73" i="1"/>
  <c r="AH213" i="1"/>
  <c r="DD149" i="1"/>
  <c r="H112" i="1"/>
  <c r="P74" i="1"/>
  <c r="BS98" i="1"/>
  <c r="V36" i="1"/>
  <c r="BC165" i="1"/>
  <c r="Z180" i="1"/>
  <c r="Z287" i="1"/>
  <c r="AZ168" i="1"/>
  <c r="AM366" i="1"/>
  <c r="BG355" i="1"/>
  <c r="AW130" i="1"/>
  <c r="DB281" i="1"/>
  <c r="AT134" i="1"/>
  <c r="BB96" i="1"/>
  <c r="BZ299" i="1"/>
  <c r="BM171" i="1"/>
  <c r="BU133" i="1"/>
  <c r="CC95" i="1"/>
  <c r="CH302" i="1"/>
  <c r="AN172" i="1"/>
  <c r="AV134" i="1"/>
  <c r="BD96" i="1"/>
  <c r="R214" i="1"/>
  <c r="BJ58" i="1"/>
  <c r="BR20" i="1"/>
  <c r="O44" i="1"/>
  <c r="AU117" i="1"/>
  <c r="DF224" i="1"/>
  <c r="CV152" i="1"/>
  <c r="DD114" i="1"/>
  <c r="H77" i="1"/>
  <c r="AM110" i="1"/>
  <c r="N39" i="1"/>
  <c r="CP265" i="1"/>
  <c r="CL243" i="1"/>
  <c r="BP157" i="1"/>
  <c r="BX119" i="1"/>
  <c r="CF81" i="1"/>
  <c r="S129" i="1"/>
  <c r="CL43" i="1"/>
  <c r="CT5" i="1"/>
  <c r="CX299" i="1"/>
  <c r="BB242" i="1"/>
  <c r="AF157" i="1"/>
  <c r="AN119" i="1"/>
  <c r="AV81" i="1"/>
  <c r="CM127" i="1"/>
  <c r="BB43" i="1"/>
  <c r="BJ5" i="1"/>
  <c r="DB296" i="1"/>
  <c r="CU150" i="1"/>
  <c r="I43" i="1"/>
  <c r="Q5" i="1"/>
  <c r="CP277" i="1"/>
  <c r="BH62" i="1"/>
  <c r="BP24" i="1"/>
  <c r="BK57" i="1"/>
  <c r="CI139" i="1"/>
  <c r="BY41" i="1"/>
  <c r="AG10" i="1"/>
  <c r="CX211" i="1"/>
  <c r="BO63" i="1"/>
  <c r="CY35" i="1"/>
  <c r="AQ8" i="1"/>
  <c r="BF208" i="1"/>
  <c r="CI148" i="1"/>
  <c r="CQ110" i="1"/>
  <c r="CY72" i="1"/>
  <c r="X58" i="1"/>
  <c r="CB48" i="1"/>
  <c r="AB39" i="1"/>
  <c r="CF29" i="1"/>
  <c r="AF20" i="1"/>
  <c r="CJ10" i="1"/>
  <c r="AT237" i="1"/>
  <c r="W93" i="1"/>
  <c r="CM44" i="1"/>
  <c r="G17" i="1"/>
  <c r="CE46" i="1"/>
  <c r="CY147" i="1"/>
  <c r="CE86" i="1"/>
  <c r="BU61" i="1"/>
  <c r="U52" i="1"/>
  <c r="BY42" i="1"/>
  <c r="Y33" i="1"/>
  <c r="CC23" i="1"/>
  <c r="AC14" i="1"/>
  <c r="CG4" i="1"/>
  <c r="AU103" i="1"/>
  <c r="BK47" i="1"/>
  <c r="CY19" i="1"/>
  <c r="CX271" i="1"/>
  <c r="BS164" i="1"/>
  <c r="CA126" i="1"/>
  <c r="CI88" i="1"/>
  <c r="T62" i="1"/>
  <c r="BX52" i="1"/>
  <c r="X43" i="1"/>
  <c r="CB33" i="1"/>
  <c r="AB24" i="1"/>
  <c r="CF14" i="1"/>
  <c r="AF5" i="1"/>
  <c r="BW138" i="1"/>
  <c r="BC56" i="1"/>
  <c r="CA28" i="1"/>
  <c r="CY29" i="1"/>
  <c r="BF236" i="1"/>
  <c r="AQ108" i="1"/>
  <c r="G67" i="1"/>
  <c r="CC56" i="1"/>
  <c r="CO124" i="1"/>
  <c r="CW86" i="1"/>
  <c r="N266" i="1"/>
  <c r="V163" i="1"/>
  <c r="AD125" i="1"/>
  <c r="AL87" i="1"/>
  <c r="BZ263" i="1"/>
  <c r="CD180" i="1"/>
  <c r="CK160" i="1"/>
  <c r="CO141" i="1"/>
  <c r="CS122" i="1"/>
  <c r="CW103" i="1"/>
  <c r="DA84" i="1"/>
  <c r="R406" i="1"/>
  <c r="CD251" i="1"/>
  <c r="BJ178" i="1"/>
  <c r="BN159" i="1"/>
  <c r="BR140" i="1"/>
  <c r="BZ130" i="1"/>
  <c r="Z121" i="1"/>
  <c r="CD111" i="1"/>
  <c r="AD102" i="1"/>
  <c r="CH92" i="1"/>
  <c r="AH83" i="1"/>
  <c r="CL73" i="1"/>
  <c r="CY354" i="1"/>
  <c r="CT284" i="1"/>
  <c r="DB246" i="1"/>
  <c r="F209" i="1"/>
  <c r="AO177" i="1"/>
  <c r="CS167" i="1"/>
  <c r="AS158" i="1"/>
  <c r="CW148" i="1"/>
  <c r="AW139" i="1"/>
  <c r="DA129" i="1"/>
  <c r="BA120" i="1"/>
  <c r="DE110" i="1"/>
  <c r="BE101" i="1"/>
  <c r="DI91" i="1"/>
  <c r="BI82" i="1"/>
  <c r="I73" i="1"/>
  <c r="AA367" i="1"/>
  <c r="DB287" i="1"/>
  <c r="F250" i="1"/>
  <c r="N212" i="1"/>
  <c r="P178" i="1"/>
  <c r="BT168" i="1"/>
  <c r="T159" i="1"/>
  <c r="BX149" i="1"/>
  <c r="X140" i="1"/>
  <c r="CB130" i="1"/>
  <c r="AB121" i="1"/>
  <c r="CF111" i="1"/>
  <c r="AF102" i="1"/>
  <c r="CJ92" i="1"/>
  <c r="AJ83" i="1"/>
  <c r="CN73" i="1"/>
  <c r="BN306" i="1"/>
  <c r="AI173" i="1"/>
  <c r="AQ135" i="1"/>
  <c r="AY97" i="1"/>
  <c r="AL64" i="1"/>
  <c r="CP54" i="1"/>
  <c r="AP45" i="1"/>
  <c r="CT35" i="1"/>
  <c r="AT26" i="1"/>
  <c r="CX16" i="1"/>
  <c r="AX7" i="1"/>
  <c r="DC162" i="1"/>
  <c r="AQ62" i="1"/>
  <c r="AQ32" i="1"/>
  <c r="F383" i="1"/>
  <c r="AY178" i="1"/>
  <c r="BG140" i="1"/>
  <c r="BO102" i="1"/>
  <c r="BG359" i="1"/>
  <c r="F286" i="1"/>
  <c r="N248" i="1"/>
  <c r="V210" i="1"/>
  <c r="BT177" i="1"/>
  <c r="T168" i="1"/>
  <c r="BX158" i="1"/>
  <c r="X149" i="1"/>
  <c r="CB139" i="1"/>
  <c r="AB130" i="1"/>
  <c r="CF120" i="1"/>
  <c r="AF111" i="1"/>
  <c r="CJ101" i="1"/>
  <c r="AJ92" i="1"/>
  <c r="CN82" i="1"/>
  <c r="AN73" i="1"/>
  <c r="CT298" i="1"/>
  <c r="AQ171" i="1"/>
  <c r="AY133" i="1"/>
  <c r="BG95" i="1"/>
  <c r="CP63" i="1"/>
  <c r="AP54" i="1"/>
  <c r="CT44" i="1"/>
  <c r="AT35" i="1"/>
  <c r="CX25" i="1"/>
  <c r="AX16" i="1"/>
  <c r="DB6" i="1"/>
  <c r="DC158" i="1"/>
  <c r="BQ68" i="1"/>
  <c r="CP304" i="1"/>
  <c r="CX266" i="1"/>
  <c r="DF228" i="1"/>
  <c r="J191" i="1"/>
  <c r="CR172" i="1"/>
  <c r="AR163" i="1"/>
  <c r="CV153" i="1"/>
  <c r="AV144" i="1"/>
  <c r="CZ134" i="1"/>
  <c r="AZ125" i="1"/>
  <c r="DD115" i="1"/>
  <c r="BD106" i="1"/>
  <c r="DH96" i="1"/>
  <c r="BH87" i="1"/>
  <c r="H78" i="1"/>
  <c r="BL68" i="1"/>
  <c r="AX222" i="1"/>
  <c r="AE152" i="1"/>
  <c r="AM114" i="1"/>
  <c r="AU76" i="1"/>
  <c r="J59" i="1"/>
  <c r="BN49" i="1"/>
  <c r="N40" i="1"/>
  <c r="BR30" i="1"/>
  <c r="R21" i="1"/>
  <c r="BV11" i="1"/>
  <c r="CD306" i="1"/>
  <c r="CM102" i="1"/>
  <c r="AI45" i="1"/>
  <c r="CX24" i="1"/>
  <c r="BW57" i="1"/>
  <c r="BO134" i="1"/>
  <c r="V242" i="1"/>
  <c r="X157" i="1"/>
  <c r="CT170" i="1"/>
  <c r="CD196" i="1"/>
  <c r="CW107" i="1"/>
  <c r="CT191" i="1"/>
  <c r="R123" i="1"/>
  <c r="Z85" i="1"/>
  <c r="BV254" i="1"/>
  <c r="AK160" i="1"/>
  <c r="AS122" i="1"/>
  <c r="BA84" i="1"/>
  <c r="CD257" i="1"/>
  <c r="L161" i="1"/>
  <c r="T123" i="1"/>
  <c r="AB85" i="1"/>
  <c r="K143" i="1"/>
  <c r="AH47" i="1"/>
  <c r="AP9" i="1"/>
  <c r="AU8" i="1"/>
  <c r="CO65" i="1"/>
  <c r="DB179" i="1"/>
  <c r="BT141" i="1"/>
  <c r="CB103" i="1"/>
  <c r="AL423" i="1"/>
  <c r="CL65" i="1"/>
  <c r="CP27" i="1"/>
  <c r="BI70" i="1"/>
  <c r="CH198" i="1"/>
  <c r="AN146" i="1"/>
  <c r="AV108" i="1"/>
  <c r="BD70" i="1"/>
  <c r="O84" i="1"/>
  <c r="BJ32" i="1"/>
  <c r="AE127" i="1"/>
  <c r="Y70" i="1"/>
  <c r="AX197" i="1"/>
  <c r="DH145" i="1"/>
  <c r="L108" i="1"/>
  <c r="T70" i="1"/>
  <c r="CI82" i="1"/>
  <c r="Z32" i="1"/>
  <c r="CE124" i="1"/>
  <c r="CI163" i="1"/>
  <c r="O81" i="1"/>
  <c r="CK31" i="1"/>
  <c r="BW86" i="1"/>
  <c r="DG158" i="1"/>
  <c r="AF51" i="1"/>
  <c r="AN13" i="1"/>
  <c r="BG24" i="1"/>
  <c r="BS75" i="1"/>
  <c r="AW30" i="1"/>
  <c r="AP120" i="1"/>
  <c r="CE202" i="1"/>
  <c r="CY188" i="1"/>
  <c r="Y425" i="1"/>
  <c r="DC363" i="1"/>
  <c r="CE353" i="1"/>
  <c r="AU360" i="1"/>
  <c r="CI350" i="1"/>
  <c r="AQ331" i="1"/>
  <c r="BU160" i="1"/>
  <c r="BV73" i="1"/>
  <c r="BU109" i="1"/>
  <c r="CH206" i="1"/>
  <c r="AV110" i="1"/>
  <c r="O92" i="1"/>
  <c r="DG151" i="1"/>
  <c r="BZ280" i="1"/>
  <c r="BD129" i="1"/>
  <c r="BL91" i="1"/>
  <c r="AU168" i="1"/>
  <c r="BR53" i="1"/>
  <c r="CS67" i="1"/>
  <c r="CN67" i="1"/>
  <c r="BI67" i="1"/>
  <c r="BD67" i="1"/>
  <c r="O153" i="1"/>
  <c r="AM148" i="1"/>
  <c r="BZ65" i="1"/>
  <c r="AB47" i="1"/>
  <c r="AC22" i="1"/>
  <c r="CW151" i="1"/>
  <c r="AP69" i="1"/>
  <c r="AW69" i="1"/>
  <c r="AR69" i="1"/>
  <c r="BW160" i="1"/>
  <c r="CT248" i="1"/>
  <c r="CD91" i="1"/>
  <c r="DE90" i="1"/>
  <c r="CF91" i="1"/>
  <c r="DG28" i="1"/>
  <c r="AB110" i="1"/>
  <c r="BW150" i="1"/>
  <c r="DH76" i="1"/>
  <c r="J224" i="1"/>
  <c r="BX76" i="1"/>
  <c r="N221" i="1"/>
  <c r="DF201" i="1"/>
  <c r="S102" i="1"/>
  <c r="S60" i="1"/>
  <c r="G144" i="1"/>
  <c r="BH47" i="1"/>
  <c r="BP9" i="1"/>
  <c r="K11" i="1"/>
  <c r="BA60" i="1"/>
  <c r="BI22" i="1"/>
  <c r="K44" i="1"/>
  <c r="DC121" i="1"/>
  <c r="DH41" i="1"/>
  <c r="L4" i="1"/>
  <c r="AE17" i="1"/>
  <c r="BI55" i="1"/>
  <c r="AX158" i="1"/>
  <c r="AS177" i="1"/>
  <c r="BI101" i="1"/>
  <c r="V176" i="1"/>
  <c r="F120" i="1"/>
  <c r="N82" i="1"/>
  <c r="Z242" i="1"/>
  <c r="Y157" i="1"/>
  <c r="AG119" i="1"/>
  <c r="AO81" i="1"/>
  <c r="AH245" i="1"/>
  <c r="DD157" i="1"/>
  <c r="H120" i="1"/>
  <c r="P82" i="1"/>
  <c r="BS130" i="1"/>
  <c r="V44" i="1"/>
  <c r="AD6" i="1"/>
  <c r="Z308" i="1"/>
  <c r="BK340" i="1"/>
  <c r="AZ176" i="1"/>
  <c r="BH138" i="1"/>
  <c r="BP100" i="1"/>
  <c r="CX279" i="1"/>
  <c r="BV62" i="1"/>
  <c r="CD24" i="1"/>
  <c r="AW67" i="1"/>
  <c r="AL186" i="1"/>
  <c r="AB143" i="1"/>
  <c r="AJ105" i="1"/>
  <c r="AR67" i="1"/>
  <c r="BW71" i="1"/>
  <c r="AX29" i="1"/>
  <c r="CA87" i="1"/>
  <c r="M67" i="1"/>
  <c r="DF184" i="1"/>
  <c r="CV142" i="1"/>
  <c r="DD104" i="1"/>
  <c r="H67" i="1"/>
  <c r="AM70" i="1"/>
  <c r="N29" i="1"/>
  <c r="BC85" i="1"/>
  <c r="AM151" i="1"/>
  <c r="BN262" i="1"/>
  <c r="BW68" i="1"/>
  <c r="BU47" i="1"/>
  <c r="BY28" i="1"/>
  <c r="CC9" i="1"/>
  <c r="DC61" i="1"/>
  <c r="CE6" i="1"/>
  <c r="BK146" i="1"/>
  <c r="CA70" i="1"/>
  <c r="T48" i="1"/>
  <c r="X29" i="1"/>
  <c r="AB10" i="1"/>
  <c r="BG86" i="1"/>
  <c r="AU15" i="1"/>
  <c r="AI178" i="1"/>
  <c r="AC65" i="1"/>
  <c r="AG46" i="1"/>
  <c r="AK27" i="1"/>
  <c r="AO8" i="1"/>
  <c r="DC57" i="1"/>
  <c r="BN418" i="1"/>
  <c r="K141" i="1"/>
  <c r="CI65" i="1"/>
  <c r="CJ46" i="1"/>
  <c r="CN27" i="1"/>
  <c r="CR8" i="1"/>
  <c r="BW70" i="1"/>
  <c r="AA6" i="1"/>
  <c r="BG132" i="1"/>
  <c r="CC59" i="1"/>
  <c r="CG40" i="1"/>
  <c r="CK21" i="1"/>
  <c r="BF308" i="1"/>
  <c r="CU41" i="1"/>
  <c r="N241" i="1"/>
  <c r="DG118" i="1"/>
  <c r="AB60" i="1"/>
  <c r="AF41" i="1"/>
  <c r="AJ22" i="1"/>
  <c r="AN3" i="1"/>
  <c r="AR78" i="1"/>
  <c r="AX40" i="1"/>
  <c r="R249" i="1"/>
  <c r="DH120" i="1"/>
  <c r="BC134" i="1"/>
  <c r="Z7" i="1"/>
  <c r="CL247" i="1"/>
  <c r="BX120" i="1"/>
  <c r="S133" i="1"/>
  <c r="CT6" i="1"/>
  <c r="BK161" i="1"/>
  <c r="BA6" i="1"/>
  <c r="CR63" i="1"/>
  <c r="BC61" i="1"/>
  <c r="DI42" i="1"/>
  <c r="AD277" i="1"/>
  <c r="BL24" i="1"/>
  <c r="AY106" i="1"/>
  <c r="W173" i="1"/>
  <c r="BO87" i="1"/>
  <c r="AV33" i="1"/>
  <c r="BC157" i="1"/>
  <c r="BS15" i="1"/>
  <c r="BS99" i="1"/>
  <c r="U49" i="1"/>
  <c r="I30" i="1"/>
  <c r="M11" i="1"/>
  <c r="S66" i="1"/>
  <c r="CA10" i="1"/>
  <c r="AY151" i="1"/>
  <c r="BO75" i="1"/>
  <c r="AR49" i="1"/>
  <c r="AV30" i="1"/>
  <c r="AZ11" i="1"/>
  <c r="BO100" i="1"/>
  <c r="AZ120" i="1"/>
  <c r="AE132" i="1"/>
  <c r="BV6" i="1"/>
  <c r="L163" i="1"/>
  <c r="AB87" i="1"/>
  <c r="AH49" i="1"/>
  <c r="W14" i="1"/>
  <c r="CF162" i="1"/>
  <c r="CV86" i="1"/>
  <c r="DB48" i="1"/>
  <c r="BK13" i="1"/>
  <c r="BI48" i="1"/>
  <c r="AM9" i="1"/>
  <c r="L30" i="1"/>
  <c r="CH231" i="1"/>
  <c r="AC9" i="1"/>
  <c r="CI68" i="1"/>
  <c r="G81" i="1"/>
  <c r="BU41" i="1"/>
  <c r="AL255" i="1"/>
  <c r="BP54" i="1"/>
  <c r="BX16" i="1"/>
  <c r="CQ56" i="1"/>
  <c r="BW25" i="1"/>
  <c r="M63" i="1"/>
  <c r="BM40" i="1"/>
  <c r="BQ21" i="1"/>
  <c r="AX298" i="1"/>
  <c r="AM41" i="1"/>
  <c r="CH235" i="1"/>
  <c r="BW117" i="1"/>
  <c r="CV59" i="1"/>
  <c r="CZ40" i="1"/>
  <c r="DD21" i="1"/>
  <c r="G338" i="1"/>
  <c r="BO48" i="1"/>
  <c r="BX86" i="1"/>
  <c r="CD48" i="1"/>
  <c r="AL282" i="1"/>
  <c r="AJ129" i="1"/>
  <c r="BW167" i="1"/>
  <c r="BF15" i="1"/>
  <c r="DF280" i="1"/>
  <c r="DD128" i="1"/>
  <c r="AM166" i="1"/>
  <c r="V15" i="1"/>
  <c r="AE53" i="1"/>
  <c r="CG14" i="1"/>
  <c r="CQ90" i="1"/>
  <c r="CE144" i="1"/>
  <c r="AK51" i="1"/>
  <c r="AU17" i="1"/>
  <c r="CR32" i="1"/>
  <c r="CM172" i="1"/>
  <c r="CS7" i="1"/>
  <c r="W104" i="1"/>
  <c r="BL37" i="1"/>
  <c r="BJ193" i="1"/>
  <c r="CM23" i="1"/>
  <c r="AA120" i="1"/>
  <c r="CO51" i="1"/>
  <c r="Q32" i="1"/>
  <c r="U13" i="1"/>
  <c r="DC90" i="1"/>
  <c r="CI16" i="1"/>
  <c r="AX214" i="1"/>
  <c r="AE150" i="1"/>
  <c r="AM112" i="1"/>
  <c r="AU74" i="1"/>
  <c r="BL58" i="1"/>
  <c r="L49" i="1"/>
  <c r="BP39" i="1"/>
  <c r="P30" i="1"/>
  <c r="BT20" i="1"/>
  <c r="T11" i="1"/>
  <c r="V255" i="1"/>
  <c r="BC97" i="1"/>
  <c r="AA38" i="1"/>
  <c r="CV116" i="1"/>
  <c r="DD78" i="1"/>
  <c r="G118" i="1"/>
  <c r="F41" i="1"/>
  <c r="N3" i="1"/>
  <c r="BF251" i="1"/>
  <c r="BH159" i="1"/>
  <c r="BP121" i="1"/>
  <c r="BX83" i="1"/>
  <c r="CQ136" i="1"/>
  <c r="CD45" i="1"/>
  <c r="CL7" i="1"/>
  <c r="BW480" i="1"/>
  <c r="V250" i="1"/>
  <c r="X159" i="1"/>
  <c r="AF121" i="1"/>
  <c r="AN83" i="1"/>
  <c r="BG135" i="1"/>
  <c r="AT45" i="1"/>
  <c r="BB7" i="1"/>
  <c r="BF392" i="1"/>
  <c r="AI166" i="1"/>
  <c r="DE44" i="1"/>
  <c r="I7" i="1"/>
  <c r="BV308" i="1"/>
  <c r="AZ64" i="1"/>
  <c r="BH26" i="1"/>
  <c r="AA63" i="1"/>
  <c r="W155" i="1"/>
  <c r="BQ43" i="1"/>
  <c r="BY5" i="1"/>
  <c r="CD286" i="1"/>
  <c r="L63" i="1"/>
  <c r="T25" i="1"/>
  <c r="AA59" i="1"/>
  <c r="W111" i="1"/>
  <c r="M38" i="1"/>
  <c r="CT182" i="1"/>
  <c r="AX198" i="1"/>
  <c r="AQ89" i="1"/>
  <c r="CN52" i="1"/>
  <c r="CR33" i="1"/>
  <c r="CV14" i="1"/>
  <c r="BW158" i="1"/>
  <c r="BC53" i="1"/>
  <c r="K16" i="1"/>
  <c r="BK10" i="1"/>
  <c r="DC100" i="1"/>
  <c r="CW61" i="1"/>
  <c r="AK49" i="1"/>
  <c r="BY39" i="1"/>
  <c r="Y30" i="1"/>
  <c r="CC20" i="1"/>
  <c r="AC11" i="1"/>
  <c r="BJ257" i="1"/>
  <c r="S68" i="1"/>
  <c r="CE38" i="1"/>
  <c r="S11" i="1"/>
  <c r="BJ221" i="1"/>
  <c r="G152" i="1"/>
  <c r="O114" i="1"/>
  <c r="W76" i="1"/>
  <c r="DH58" i="1"/>
  <c r="BH49" i="1"/>
  <c r="H40" i="1"/>
  <c r="BL30" i="1"/>
  <c r="L21" i="1"/>
  <c r="BP11" i="1"/>
  <c r="CX275" i="1"/>
  <c r="AA102" i="1"/>
  <c r="CE43" i="1"/>
  <c r="CP3" i="1"/>
  <c r="BB254" i="1"/>
  <c r="AF160" i="1"/>
  <c r="AN122" i="1"/>
  <c r="AV84" i="1"/>
  <c r="CM139" i="1"/>
  <c r="BB46" i="1"/>
  <c r="BJ8" i="1"/>
  <c r="AA5" i="1"/>
  <c r="R253" i="1"/>
  <c r="CZ159" i="1"/>
  <c r="DH121" i="1"/>
  <c r="L84" i="1"/>
  <c r="BC138" i="1"/>
  <c r="R46" i="1"/>
  <c r="Z8" i="1"/>
  <c r="BW4" i="1"/>
  <c r="AA172" i="1"/>
  <c r="CC45" i="1"/>
  <c r="CK7" i="1"/>
  <c r="CE345" i="1"/>
  <c r="X65" i="1"/>
  <c r="AF27" i="1"/>
  <c r="AU65" i="1"/>
  <c r="O161" i="1"/>
  <c r="AO44" i="1"/>
  <c r="AW6" i="1"/>
  <c r="BN298" i="1"/>
  <c r="CN63" i="1"/>
  <c r="CV25" i="1"/>
  <c r="AU61" i="1"/>
  <c r="O117" i="1"/>
  <c r="CO38" i="1"/>
  <c r="BV216" i="1"/>
  <c r="AH210" i="1"/>
  <c r="CP173" i="1"/>
  <c r="J202" i="1"/>
  <c r="AC109" i="1"/>
  <c r="Z197" i="1"/>
  <c r="CT123" i="1"/>
  <c r="DB85" i="1"/>
  <c r="BR257" i="1"/>
  <c r="I161" i="1"/>
  <c r="Q123" i="1"/>
  <c r="Y85" i="1"/>
  <c r="BZ260" i="1"/>
  <c r="CN161" i="1"/>
  <c r="CV123" i="1"/>
  <c r="DD85" i="1"/>
  <c r="G146" i="1"/>
  <c r="F48" i="1"/>
  <c r="N10" i="1"/>
  <c r="BW10" i="1"/>
  <c r="BM66" i="1"/>
  <c r="CX182" i="1"/>
  <c r="Y111" i="1"/>
  <c r="BR111" i="1"/>
  <c r="Q154" i="1"/>
  <c r="AG78" i="1"/>
  <c r="CX152" i="1"/>
  <c r="AL108" i="1"/>
  <c r="AT70" i="1"/>
  <c r="AT195" i="1"/>
  <c r="BE145" i="1"/>
  <c r="BM107" i="1"/>
  <c r="BA70" i="1"/>
  <c r="BB198" i="1"/>
  <c r="AF146" i="1"/>
  <c r="AN108" i="1"/>
  <c r="AV70" i="1"/>
  <c r="CM83" i="1"/>
  <c r="BB32" i="1"/>
  <c r="S128" i="1"/>
  <c r="CM164" i="1"/>
  <c r="AT272" i="1"/>
  <c r="CF164" i="1"/>
  <c r="CN126" i="1"/>
  <c r="CV88" i="1"/>
  <c r="CE157" i="1"/>
  <c r="DB50" i="1"/>
  <c r="F13" i="1"/>
  <c r="Z291" i="1"/>
  <c r="AZ169" i="1"/>
  <c r="BH131" i="1"/>
  <c r="BP93" i="1"/>
  <c r="BK176" i="1"/>
  <c r="BV55" i="1"/>
  <c r="CD17" i="1"/>
  <c r="BC34" i="1"/>
  <c r="CT289" i="1"/>
  <c r="P169" i="1"/>
  <c r="X131" i="1"/>
  <c r="AF93" i="1"/>
  <c r="AA175" i="1"/>
  <c r="AL55" i="1"/>
  <c r="AT17" i="1"/>
  <c r="CY33" i="1"/>
  <c r="BG104" i="1"/>
  <c r="CW54" i="1"/>
  <c r="DE16" i="1"/>
  <c r="CU27" i="1"/>
  <c r="CE99" i="1"/>
  <c r="AZ36" i="1"/>
  <c r="BK163" i="1"/>
  <c r="S64" i="1"/>
  <c r="BI53" i="1"/>
  <c r="BQ15" i="1"/>
  <c r="CC3" i="1"/>
  <c r="CQ91" i="1"/>
  <c r="BS44" i="1"/>
  <c r="DG16" i="1"/>
  <c r="CX255" i="1"/>
  <c r="BS160" i="1"/>
  <c r="CA122" i="1"/>
  <c r="CI84" i="1"/>
  <c r="T61" i="1"/>
  <c r="BX51" i="1"/>
  <c r="X42" i="1"/>
  <c r="CB32" i="1"/>
  <c r="AB23" i="1"/>
  <c r="CF13" i="1"/>
  <c r="AF4" i="1"/>
  <c r="DC126" i="1"/>
  <c r="BS53" i="1"/>
  <c r="CE25" i="1"/>
  <c r="AI11" i="1"/>
  <c r="BS171" i="1"/>
  <c r="BO98" i="1"/>
  <c r="BQ64" i="1"/>
  <c r="Q55" i="1"/>
  <c r="BU45" i="1"/>
  <c r="U36" i="1"/>
  <c r="BY26" i="1"/>
  <c r="Y17" i="1"/>
  <c r="CC7" i="1"/>
  <c r="AQ138" i="1"/>
  <c r="O56" i="1"/>
  <c r="BG28" i="1"/>
  <c r="DG340" i="1"/>
  <c r="BC176" i="1"/>
  <c r="BK138" i="1"/>
  <c r="BS100" i="1"/>
  <c r="P65" i="1"/>
  <c r="BT55" i="1"/>
  <c r="T46" i="1"/>
  <c r="BX36" i="1"/>
  <c r="X27" i="1"/>
  <c r="CB17" i="1"/>
  <c r="AB8" i="1"/>
  <c r="AM165" i="1"/>
  <c r="W65" i="1"/>
  <c r="BC37" i="1"/>
  <c r="BO9" i="1"/>
  <c r="DC21" i="1"/>
  <c r="K132" i="1"/>
  <c r="CU78" i="1"/>
  <c r="BY59" i="1"/>
  <c r="Y50" i="1"/>
  <c r="CG98" i="1"/>
  <c r="CE317" i="1"/>
  <c r="F175" i="1"/>
  <c r="N137" i="1"/>
  <c r="V99" i="1"/>
  <c r="N311" i="1"/>
  <c r="AX204" i="1"/>
  <c r="CC166" i="1"/>
  <c r="CG147" i="1"/>
  <c r="CK128" i="1"/>
  <c r="CO109" i="1"/>
  <c r="CS90" i="1"/>
  <c r="CU186" i="1"/>
  <c r="AX275" i="1"/>
  <c r="BN199" i="1"/>
  <c r="BF165" i="1"/>
  <c r="BJ146" i="1"/>
  <c r="BV133" i="1"/>
  <c r="V124" i="1"/>
  <c r="BZ114" i="1"/>
  <c r="Z105" i="1"/>
  <c r="CD95" i="1"/>
  <c r="AD86" i="1"/>
  <c r="CH76" i="1"/>
  <c r="AH67" i="1"/>
  <c r="CD296" i="1"/>
  <c r="CL258" i="1"/>
  <c r="CT220" i="1"/>
  <c r="DB182" i="1"/>
  <c r="CO170" i="1"/>
  <c r="AO161" i="1"/>
  <c r="CS151" i="1"/>
  <c r="AS142" i="1"/>
  <c r="CW132" i="1"/>
  <c r="AW123" i="1"/>
  <c r="DA113" i="1"/>
  <c r="BA104" i="1"/>
  <c r="DE94" i="1"/>
  <c r="BE85" i="1"/>
  <c r="DI75" i="1"/>
  <c r="AO67" i="1"/>
  <c r="CL299" i="1"/>
  <c r="CT261" i="1"/>
  <c r="DB223" i="1"/>
  <c r="F186" i="1"/>
  <c r="BP171" i="1"/>
  <c r="P162" i="1"/>
  <c r="BT152" i="1"/>
  <c r="T143" i="1"/>
  <c r="BX133" i="1"/>
  <c r="X124" i="1"/>
  <c r="CB114" i="1"/>
  <c r="AB105" i="1"/>
  <c r="CF95" i="1"/>
  <c r="AF86" i="1"/>
  <c r="CJ76" i="1"/>
  <c r="AJ67" i="1"/>
  <c r="AH202" i="1"/>
  <c r="AA147" i="1"/>
  <c r="AI109" i="1"/>
  <c r="AQ71" i="1"/>
  <c r="CL57" i="1"/>
  <c r="AL48" i="1"/>
  <c r="CP38" i="1"/>
  <c r="AP29" i="1"/>
  <c r="CT19" i="1"/>
  <c r="AT10" i="1"/>
  <c r="Z252" i="1"/>
  <c r="BO88" i="1"/>
  <c r="CA41" i="1"/>
  <c r="BK11" i="1"/>
  <c r="CT222" i="1"/>
  <c r="AQ152" i="1"/>
  <c r="AY114" i="1"/>
  <c r="CS66" i="1"/>
  <c r="CT297" i="1"/>
  <c r="DB259" i="1"/>
  <c r="F222" i="1"/>
  <c r="N184" i="1"/>
  <c r="P171" i="1"/>
  <c r="BT161" i="1"/>
  <c r="T152" i="1"/>
  <c r="BX142" i="1"/>
  <c r="X133" i="1"/>
  <c r="CB123" i="1"/>
  <c r="AB114" i="1"/>
  <c r="CF104" i="1"/>
  <c r="AF95" i="1"/>
  <c r="CJ85" i="1"/>
  <c r="AJ76" i="1"/>
  <c r="CN66" i="1"/>
  <c r="BN194" i="1"/>
  <c r="AI145" i="1"/>
  <c r="AQ107" i="1"/>
  <c r="AY69" i="1"/>
  <c r="AL57" i="1"/>
  <c r="CP47" i="1"/>
  <c r="AP38" i="1"/>
  <c r="CT28" i="1"/>
  <c r="AT19" i="1"/>
  <c r="CX9" i="1"/>
  <c r="BF228" i="1"/>
  <c r="BM71" i="1"/>
  <c r="BC330" i="1"/>
  <c r="CH278" i="1"/>
  <c r="CP240" i="1"/>
  <c r="CX202" i="1"/>
  <c r="CN175" i="1"/>
  <c r="AN166" i="1"/>
  <c r="CR156" i="1"/>
  <c r="AR147" i="1"/>
  <c r="CV137" i="1"/>
  <c r="AV128" i="1"/>
  <c r="CZ118" i="1"/>
  <c r="AZ109" i="1"/>
  <c r="DD99" i="1"/>
  <c r="BD90" i="1"/>
  <c r="DH80" i="1"/>
  <c r="BH71" i="1"/>
  <c r="CP269" i="1"/>
  <c r="O164" i="1"/>
  <c r="W126" i="1"/>
  <c r="AE88" i="1"/>
  <c r="F62" i="1"/>
  <c r="BJ52" i="1"/>
  <c r="J43" i="1"/>
  <c r="BN33" i="1"/>
  <c r="N24" i="1"/>
  <c r="BR14" i="1"/>
  <c r="R5" i="1"/>
  <c r="AY140" i="1"/>
  <c r="BO54" i="1"/>
  <c r="BW24" i="1"/>
  <c r="J288" i="1"/>
  <c r="AC71" i="1"/>
  <c r="S325" i="1"/>
  <c r="AX277" i="1"/>
  <c r="BF239" i="1"/>
  <c r="BN201" i="1"/>
  <c r="BD175" i="1"/>
  <c r="DH165" i="1"/>
  <c r="BH156" i="1"/>
  <c r="H147" i="1"/>
  <c r="BL137" i="1"/>
  <c r="L128" i="1"/>
  <c r="BP118" i="1"/>
  <c r="P109" i="1"/>
  <c r="BT99" i="1"/>
  <c r="T90" i="1"/>
  <c r="BX80" i="1"/>
  <c r="X71" i="1"/>
  <c r="BF264" i="1"/>
  <c r="CI162" i="1"/>
  <c r="CQ124" i="1"/>
  <c r="CY86" i="1"/>
  <c r="BZ61" i="1"/>
  <c r="Z52" i="1"/>
  <c r="CD42" i="1"/>
  <c r="AD33" i="1"/>
  <c r="CH23" i="1"/>
  <c r="AH14" i="1"/>
  <c r="CL4" i="1"/>
  <c r="K138" i="1"/>
  <c r="DG53" i="1"/>
  <c r="O24" i="1"/>
  <c r="N285" i="1"/>
  <c r="CY167" i="1"/>
  <c r="DG129" i="1"/>
  <c r="G42" i="1"/>
  <c r="DC144" i="1"/>
  <c r="AE85" i="1"/>
  <c r="AG61" i="1"/>
  <c r="CK51" i="1"/>
  <c r="AK42" i="1"/>
  <c r="CO32" i="1"/>
  <c r="AO23" i="1"/>
  <c r="CS13" i="1"/>
  <c r="AS4" i="1"/>
  <c r="O99" i="1"/>
  <c r="BC46" i="1"/>
  <c r="CQ18" i="1"/>
  <c r="DF265" i="1"/>
  <c r="S163" i="1"/>
  <c r="AA125" i="1"/>
  <c r="AI87" i="1"/>
  <c r="CJ61" i="1"/>
  <c r="AJ52" i="1"/>
  <c r="CN42" i="1"/>
  <c r="AN33" i="1"/>
  <c r="CR23" i="1"/>
  <c r="AR14" i="1"/>
  <c r="CV4" i="1"/>
  <c r="AQ134" i="1"/>
  <c r="AU55" i="1"/>
  <c r="BO27" i="1"/>
  <c r="CE9" i="1"/>
  <c r="CE24" i="1"/>
  <c r="CQ133" i="1"/>
  <c r="CI79" i="1"/>
  <c r="CW59" i="1"/>
  <c r="AW50" i="1"/>
  <c r="DA40" i="1"/>
  <c r="BA31" i="1"/>
  <c r="DE21" i="1"/>
  <c r="BE12" i="1"/>
  <c r="BK328" i="1"/>
  <c r="CM82" i="1"/>
  <c r="AY42" i="1"/>
  <c r="CU14" i="1"/>
  <c r="J244" i="1"/>
  <c r="BW157" i="1"/>
  <c r="CE119" i="1"/>
  <c r="CM81" i="1"/>
  <c r="AV60" i="1"/>
  <c r="CZ50" i="1"/>
  <c r="AZ41" i="1"/>
  <c r="DD31" i="1"/>
  <c r="BD22" i="1"/>
  <c r="DH12" i="1"/>
  <c r="BH3" i="1"/>
  <c r="CM118" i="1"/>
  <c r="AY51" i="1"/>
  <c r="BG23" i="1"/>
  <c r="AE4" i="1"/>
  <c r="CA165" i="1"/>
  <c r="BS95" i="1"/>
  <c r="CS63" i="1"/>
  <c r="AS54" i="1"/>
  <c r="CW44" i="1"/>
  <c r="AW35" i="1"/>
  <c r="DA25" i="1"/>
  <c r="BA16" i="1"/>
  <c r="DE6" i="1"/>
  <c r="CI129" i="1"/>
  <c r="DC53" i="1"/>
  <c r="AQ26" i="1"/>
  <c r="BB307" i="1"/>
  <c r="BG173" i="1"/>
  <c r="BO135" i="1"/>
  <c r="BW97" i="1"/>
  <c r="AR64" i="1"/>
  <c r="CV54" i="1"/>
  <c r="AV45" i="1"/>
  <c r="CZ35" i="1"/>
  <c r="AZ26" i="1"/>
  <c r="DD16" i="1"/>
  <c r="BD7" i="1"/>
  <c r="CV132" i="1"/>
  <c r="DD94" i="1"/>
  <c r="CP189" i="1"/>
  <c r="F57" i="1"/>
  <c r="N19" i="1"/>
  <c r="CE325" i="1"/>
  <c r="BH175" i="1"/>
  <c r="BP137" i="1"/>
  <c r="BX99" i="1"/>
  <c r="N265" i="1"/>
  <c r="CD61" i="1"/>
  <c r="CL23" i="1"/>
  <c r="BW53" i="1"/>
  <c r="AU320" i="1"/>
  <c r="X175" i="1"/>
  <c r="AF137" i="1"/>
  <c r="AN99" i="1"/>
  <c r="CH259" i="1"/>
  <c r="AT61" i="1"/>
  <c r="BB23" i="1"/>
  <c r="G53" i="1"/>
  <c r="CM128" i="1"/>
  <c r="DE60" i="1"/>
  <c r="I23" i="1"/>
  <c r="BO45" i="1"/>
  <c r="G124" i="1"/>
  <c r="BH42" i="1"/>
  <c r="BP4" i="1"/>
  <c r="CY7" i="1"/>
  <c r="BQ59" i="1"/>
  <c r="BY21" i="1"/>
  <c r="BO41" i="1"/>
  <c r="BK118" i="1"/>
  <c r="T41" i="1"/>
  <c r="Z416" i="1"/>
  <c r="AQ86" i="1"/>
  <c r="M54" i="1"/>
  <c r="U16" i="1"/>
  <c r="BG25" i="1"/>
  <c r="CI120" i="1"/>
  <c r="BX60" i="1"/>
  <c r="CB41" i="1"/>
  <c r="CF22" i="1"/>
  <c r="CJ3" i="1"/>
  <c r="BW78" i="1"/>
  <c r="CA31" i="1"/>
  <c r="AI7" i="1"/>
  <c r="CE142" i="1"/>
  <c r="W71" i="1"/>
  <c r="BU54" i="1"/>
  <c r="BY43" i="1"/>
  <c r="Y34" i="1"/>
  <c r="CC24" i="1"/>
  <c r="AC15" i="1"/>
  <c r="CG5" i="1"/>
  <c r="O115" i="1"/>
  <c r="AU50" i="1"/>
  <c r="CE22" i="1"/>
  <c r="BJ285" i="1"/>
  <c r="G168" i="1"/>
  <c r="O130" i="1"/>
  <c r="W92" i="1"/>
  <c r="DH62" i="1"/>
  <c r="BH53" i="1"/>
  <c r="H44" i="1"/>
  <c r="BL34" i="1"/>
  <c r="L25" i="1"/>
  <c r="BP15" i="1"/>
  <c r="P6" i="1"/>
  <c r="CE148" i="1"/>
  <c r="DG58" i="1"/>
  <c r="H137" i="1"/>
  <c r="P99" i="1"/>
  <c r="Z256" i="1"/>
  <c r="V61" i="1"/>
  <c r="AD23" i="1"/>
  <c r="DA65" i="1"/>
  <c r="AT180" i="1"/>
  <c r="CF141" i="1"/>
  <c r="CN103" i="1"/>
  <c r="CV65" i="1"/>
  <c r="DF65" i="1"/>
  <c r="DB27" i="1"/>
  <c r="CE68" i="1"/>
  <c r="G483" i="1"/>
  <c r="AN179" i="1"/>
  <c r="AV141" i="1"/>
  <c r="BD103" i="1"/>
  <c r="AE368" i="1"/>
  <c r="BJ65" i="1"/>
  <c r="BR27" i="1"/>
  <c r="CM66" i="1"/>
  <c r="AU145" i="1"/>
  <c r="Q65" i="1"/>
  <c r="Y27" i="1"/>
  <c r="BS57" i="1"/>
  <c r="BS140" i="1"/>
  <c r="BX46" i="1"/>
  <c r="CF8" i="1"/>
  <c r="W11" i="1"/>
  <c r="CG63" i="1"/>
  <c r="CO25" i="1"/>
  <c r="BO53" i="1"/>
  <c r="S135" i="1"/>
  <c r="AJ45" i="1"/>
  <c r="AR7" i="1"/>
  <c r="DG44" i="1"/>
  <c r="AC58" i="1"/>
  <c r="AK20" i="1"/>
  <c r="BG37" i="1"/>
  <c r="BW129" i="1"/>
  <c r="CV62" i="1"/>
  <c r="CZ43" i="1"/>
  <c r="DD24" i="1"/>
  <c r="DH5" i="1"/>
  <c r="AQ94" i="1"/>
  <c r="K36" i="1"/>
  <c r="G22" i="1"/>
  <c r="AU153" i="1"/>
  <c r="O77" i="1"/>
  <c r="DE55" i="1"/>
  <c r="CC44" i="1"/>
  <c r="AC35" i="1"/>
  <c r="CG25" i="1"/>
  <c r="AG16" i="1"/>
  <c r="CK6" i="1"/>
  <c r="BK127" i="1"/>
  <c r="AY53" i="1"/>
  <c r="CM25" i="1"/>
  <c r="R302" i="1"/>
  <c r="W172" i="1"/>
  <c r="AE134" i="1"/>
  <c r="AM96" i="1"/>
  <c r="H64" i="1"/>
  <c r="BL54" i="1"/>
  <c r="L45" i="1"/>
  <c r="BP35" i="1"/>
  <c r="P26" i="1"/>
  <c r="BT16" i="1"/>
  <c r="T7" i="1"/>
  <c r="W157" i="1"/>
  <c r="G62" i="1"/>
  <c r="X141" i="1"/>
  <c r="AF103" i="1"/>
  <c r="G354" i="1"/>
  <c r="AL65" i="1"/>
  <c r="AT27" i="1"/>
  <c r="M70" i="1"/>
  <c r="DF196" i="1"/>
  <c r="CV145" i="1"/>
  <c r="DD107" i="1"/>
  <c r="H70" i="1"/>
  <c r="AM82" i="1"/>
  <c r="N32" i="1"/>
  <c r="BC121" i="1"/>
  <c r="CG69" i="1"/>
  <c r="BV195" i="1"/>
  <c r="BL145" i="1"/>
  <c r="BT107" i="1"/>
  <c r="CB69" i="1"/>
  <c r="DG80" i="1"/>
  <c r="CH31" i="1"/>
  <c r="DC118" i="1"/>
  <c r="DG161" i="1"/>
  <c r="AM79" i="1"/>
  <c r="AO31" i="1"/>
  <c r="AM81" i="1"/>
  <c r="AA157" i="1"/>
  <c r="CN50" i="1"/>
  <c r="CV12" i="1"/>
  <c r="AA23" i="1"/>
  <c r="CQ73" i="1"/>
  <c r="DE29" i="1"/>
  <c r="CH65" i="1"/>
  <c r="CE151" i="1"/>
  <c r="AZ49" i="1"/>
  <c r="BH11" i="1"/>
  <c r="W19" i="1"/>
  <c r="AS62" i="1"/>
  <c r="BA24" i="1"/>
  <c r="BO49" i="1"/>
  <c r="AQ137" i="1"/>
  <c r="CN64" i="1"/>
  <c r="CR45" i="1"/>
  <c r="CV26" i="1"/>
  <c r="CZ7" i="1"/>
  <c r="BS109" i="1"/>
  <c r="DG39" i="1"/>
  <c r="CM37" i="1"/>
  <c r="K164" i="1"/>
  <c r="AY82" i="1"/>
  <c r="BA57" i="1"/>
  <c r="CG45" i="1"/>
  <c r="AG36" i="1"/>
  <c r="CK26" i="1"/>
  <c r="AK17" i="1"/>
  <c r="CO7" i="1"/>
  <c r="CA139" i="1"/>
  <c r="AY56" i="1"/>
  <c r="CQ28" i="1"/>
  <c r="BS338" i="1"/>
  <c r="AM176" i="1"/>
  <c r="AU138" i="1"/>
  <c r="BC100" i="1"/>
  <c r="L65" i="1"/>
  <c r="BP55" i="1"/>
  <c r="P46" i="1"/>
  <c r="BT36" i="1"/>
  <c r="T27" i="1"/>
  <c r="BX17" i="1"/>
  <c r="X8" i="1"/>
  <c r="G165" i="1"/>
  <c r="K65" i="1"/>
  <c r="DD142" i="1"/>
  <c r="H105" i="1"/>
  <c r="P67" i="1"/>
  <c r="BS70" i="1"/>
  <c r="V29" i="1"/>
  <c r="CS71" i="1"/>
  <c r="N204" i="1"/>
  <c r="BX147" i="1"/>
  <c r="CF109" i="1"/>
  <c r="CN71" i="1"/>
  <c r="AY89" i="1"/>
  <c r="CT33" i="1"/>
  <c r="DG143" i="1"/>
  <c r="BI71" i="1"/>
  <c r="CH202" i="1"/>
  <c r="AN147" i="1"/>
  <c r="AV109" i="1"/>
  <c r="BD71" i="1"/>
  <c r="O88" i="1"/>
  <c r="BJ33" i="1"/>
  <c r="CI141" i="1"/>
  <c r="O169" i="1"/>
  <c r="AY86" i="1"/>
  <c r="Q33" i="1"/>
  <c r="BG102" i="1"/>
  <c r="AM164" i="1"/>
  <c r="BP52" i="1"/>
  <c r="BX14" i="1"/>
  <c r="BC28" i="1"/>
  <c r="DC80" i="1"/>
  <c r="CG31" i="1"/>
  <c r="K86" i="1"/>
  <c r="CQ158" i="1"/>
  <c r="AB51" i="1"/>
  <c r="AJ13" i="1"/>
  <c r="AQ24" i="1"/>
  <c r="U64" i="1"/>
  <c r="AC26" i="1"/>
  <c r="CQ54" i="1"/>
  <c r="BG141" i="1"/>
  <c r="DB65" i="1"/>
  <c r="CV46" i="1"/>
  <c r="CZ27" i="1"/>
  <c r="DD8" i="1"/>
  <c r="AI116" i="1"/>
  <c r="CE41" i="1"/>
  <c r="S44" i="1"/>
  <c r="CM168" i="1"/>
  <c r="CM84" i="1"/>
  <c r="I58" i="1"/>
  <c r="Y46" i="1"/>
  <c r="CC36" i="1"/>
  <c r="AC27" i="1"/>
  <c r="CG17" i="1"/>
  <c r="AG8" i="1"/>
  <c r="G145" i="1"/>
  <c r="CE57" i="1"/>
  <c r="O30" i="1"/>
  <c r="K367" i="1"/>
  <c r="O178" i="1"/>
  <c r="W140" i="1"/>
  <c r="AE102" i="1"/>
  <c r="BH65" i="1"/>
  <c r="H56" i="1"/>
  <c r="BL46" i="1"/>
  <c r="L37" i="1"/>
  <c r="BP27" i="1"/>
  <c r="P18" i="1"/>
  <c r="BT8" i="1"/>
  <c r="CU168" i="1"/>
  <c r="DG67" i="1"/>
  <c r="AX20" i="1"/>
  <c r="K347" i="1"/>
  <c r="CR176" i="1"/>
  <c r="CZ138" i="1"/>
  <c r="DH100" i="1"/>
  <c r="AX286" i="1"/>
  <c r="J63" i="1"/>
  <c r="R25" i="1"/>
  <c r="CU57" i="1"/>
  <c r="CE341" i="1"/>
  <c r="BH176" i="1"/>
  <c r="BP138" i="1"/>
  <c r="BX100" i="1"/>
  <c r="N281" i="1"/>
  <c r="CD62" i="1"/>
  <c r="CL24" i="1"/>
  <c r="AQ57" i="1"/>
  <c r="S134" i="1"/>
  <c r="AK62" i="1"/>
  <c r="AS24" i="1"/>
  <c r="AU49" i="1"/>
  <c r="AQ129" i="1"/>
  <c r="CR43" i="1"/>
  <c r="CZ5" i="1"/>
  <c r="CE15" i="1"/>
  <c r="DA60" i="1"/>
  <c r="DI22" i="1"/>
  <c r="BC45" i="1"/>
  <c r="CU123" i="1"/>
  <c r="BD42" i="1"/>
  <c r="BL4" i="1"/>
  <c r="BW14" i="1"/>
  <c r="AW55" i="1"/>
  <c r="BE17" i="1"/>
  <c r="AQ29" i="1"/>
  <c r="M88" i="1"/>
  <c r="BF88" i="1"/>
  <c r="AW142" i="1"/>
  <c r="CI179" i="1"/>
  <c r="Z141" i="1"/>
  <c r="BJ102" i="1"/>
  <c r="BW359" i="1"/>
  <c r="BU177" i="1"/>
  <c r="CC139" i="1"/>
  <c r="CK101" i="1"/>
  <c r="AD381" i="1"/>
  <c r="AV178" i="1"/>
  <c r="BD140" i="1"/>
  <c r="BL102" i="1"/>
  <c r="AL311" i="1"/>
  <c r="BR64" i="1"/>
  <c r="BZ26" i="1"/>
  <c r="AI63" i="1"/>
  <c r="CA141" i="1"/>
  <c r="AH249" i="1"/>
  <c r="DD158" i="1"/>
  <c r="DF177" i="1"/>
  <c r="DB210" i="1"/>
  <c r="BA111" i="1"/>
  <c r="N206" i="1"/>
  <c r="CX124" i="1"/>
  <c r="DF86" i="1"/>
  <c r="CH261" i="1"/>
  <c r="M162" i="1"/>
  <c r="U124" i="1"/>
  <c r="AC86" i="1"/>
  <c r="CP264" i="1"/>
  <c r="CR162" i="1"/>
  <c r="CZ124" i="1"/>
  <c r="DH86" i="1"/>
  <c r="W150" i="1"/>
  <c r="J49" i="1"/>
  <c r="R11" i="1"/>
  <c r="DC13" i="1"/>
  <c r="BQ67" i="1"/>
  <c r="J187" i="1"/>
  <c r="AV143" i="1"/>
  <c r="BD105" i="1"/>
  <c r="BL67" i="1"/>
  <c r="AU72" i="1"/>
  <c r="BR29" i="1"/>
  <c r="BM72" i="1"/>
  <c r="CT205" i="1"/>
  <c r="P148" i="1"/>
  <c r="X110" i="1"/>
  <c r="AF72" i="1"/>
  <c r="AA91" i="1"/>
  <c r="AL34" i="1"/>
  <c r="G149" i="1"/>
  <c r="DE71" i="1"/>
  <c r="BJ204" i="1"/>
  <c r="CJ147" i="1"/>
  <c r="CR109" i="1"/>
  <c r="CZ71" i="1"/>
  <c r="CU89" i="1"/>
  <c r="DF33" i="1"/>
  <c r="O147" i="1"/>
  <c r="CU170" i="1"/>
  <c r="AA88" i="1"/>
  <c r="BM33" i="1"/>
  <c r="CA107" i="1"/>
  <c r="O166" i="1"/>
  <c r="H53" i="1"/>
  <c r="P15" i="1"/>
  <c r="CM29" i="1"/>
  <c r="CE82" i="1"/>
  <c r="Y32" i="1"/>
  <c r="CW7" i="1"/>
  <c r="CE140" i="1"/>
  <c r="CA56" i="1"/>
  <c r="K29" i="1"/>
  <c r="CQ352" i="1"/>
  <c r="AA177" i="1"/>
  <c r="AI139" i="1"/>
  <c r="AQ101" i="1"/>
  <c r="AJ65" i="1"/>
  <c r="CN55" i="1"/>
  <c r="AN46" i="1"/>
  <c r="CR36" i="1"/>
  <c r="AR27" i="1"/>
  <c r="CV17" i="1"/>
  <c r="AV8" i="1"/>
  <c r="CM166" i="1"/>
  <c r="CR65" i="1"/>
  <c r="DG37" i="1"/>
  <c r="W3" i="1"/>
  <c r="CE16" i="1"/>
  <c r="DC128" i="1"/>
  <c r="AE77" i="1"/>
  <c r="AG59" i="1"/>
  <c r="CK49" i="1"/>
  <c r="AK40" i="1"/>
  <c r="CO30" i="1"/>
  <c r="AO21" i="1"/>
  <c r="CS11" i="1"/>
  <c r="V287" i="1"/>
  <c r="AU75" i="1"/>
  <c r="BO40" i="1"/>
  <c r="K13" i="1"/>
  <c r="DF233" i="1"/>
  <c r="S155" i="1"/>
  <c r="AA117" i="1"/>
  <c r="AI79" i="1"/>
  <c r="CJ59" i="1"/>
  <c r="AJ50" i="1"/>
  <c r="CN40" i="1"/>
  <c r="AN31" i="1"/>
  <c r="CR21" i="1"/>
  <c r="AR12" i="1"/>
  <c r="CA316" i="1"/>
  <c r="AE111" i="1"/>
  <c r="BS49" i="1"/>
  <c r="CA21" i="1"/>
  <c r="CU3" i="1"/>
  <c r="AE165" i="1"/>
  <c r="BC95" i="1"/>
  <c r="CO63" i="1"/>
  <c r="AO54" i="1"/>
  <c r="AO115" i="1"/>
  <c r="AW77" i="1"/>
  <c r="V228" i="1"/>
  <c r="BZ153" i="1"/>
  <c r="CH115" i="1"/>
  <c r="CP77" i="1"/>
  <c r="BR237" i="1"/>
  <c r="DI174" i="1"/>
  <c r="I156" i="1"/>
  <c r="M137" i="1"/>
  <c r="Q118" i="1"/>
  <c r="U99" i="1"/>
  <c r="Y80" i="1"/>
  <c r="BR308" i="1"/>
  <c r="CH232" i="1"/>
  <c r="CL173" i="1"/>
  <c r="CP154" i="1"/>
  <c r="CL137" i="1"/>
  <c r="AL128" i="1"/>
  <c r="CP118" i="1"/>
  <c r="AP109" i="1"/>
  <c r="CT99" i="1"/>
  <c r="AT90" i="1"/>
  <c r="CX80" i="1"/>
  <c r="AX71" i="1"/>
  <c r="DG316" i="1"/>
  <c r="AT275" i="1"/>
  <c r="BB237" i="1"/>
  <c r="BJ199" i="1"/>
  <c r="DE174" i="1"/>
  <c r="BE165" i="1"/>
  <c r="DI155" i="1"/>
  <c r="BI146" i="1"/>
  <c r="I137" i="1"/>
  <c r="BM127" i="1"/>
  <c r="M118" i="1"/>
  <c r="BQ108" i="1"/>
  <c r="Q99" i="1"/>
  <c r="BU89" i="1"/>
  <c r="U80" i="1"/>
  <c r="BE71" i="1"/>
  <c r="AI329" i="1"/>
  <c r="BB278" i="1"/>
  <c r="BJ240" i="1"/>
  <c r="BR202" i="1"/>
  <c r="CF175" i="1"/>
  <c r="AF166" i="1"/>
  <c r="CJ156" i="1"/>
  <c r="AJ147" i="1"/>
  <c r="CN137" i="1"/>
  <c r="AN128" i="1"/>
  <c r="CR118" i="1"/>
  <c r="AR109" i="1"/>
  <c r="CV99" i="1"/>
  <c r="AV90" i="1"/>
  <c r="CZ80" i="1"/>
  <c r="AZ71" i="1"/>
  <c r="BV268" i="1"/>
  <c r="CM163" i="1"/>
  <c r="CU125" i="1"/>
  <c r="DC87" i="1"/>
  <c r="DB61" i="1"/>
  <c r="BB52" i="1"/>
  <c r="DF42" i="1"/>
  <c r="BF33" i="1"/>
  <c r="F24" i="1"/>
  <c r="BJ14" i="1"/>
  <c r="J5" i="1"/>
  <c r="AM141" i="1"/>
  <c r="CM54" i="1"/>
  <c r="CU24" i="1"/>
  <c r="AD289" i="1"/>
  <c r="DC168" i="1"/>
  <c r="G131" i="1"/>
  <c r="DI70" i="1"/>
  <c r="BO321" i="1"/>
  <c r="BJ276" i="1"/>
  <c r="BR238" i="1"/>
  <c r="BZ200" i="1"/>
  <c r="AF175" i="1"/>
  <c r="CJ165" i="1"/>
  <c r="AJ156" i="1"/>
  <c r="CN146" i="1"/>
  <c r="AN137" i="1"/>
  <c r="CR127" i="1"/>
  <c r="AR118" i="1"/>
  <c r="CV108" i="1"/>
  <c r="AV99" i="1"/>
  <c r="CZ89" i="1"/>
  <c r="AZ80" i="1"/>
  <c r="DD70" i="1"/>
  <c r="DB260" i="1"/>
  <c r="CU161" i="1"/>
  <c r="DC123" i="1"/>
  <c r="G86" i="1"/>
  <c r="BB61" i="1"/>
  <c r="DF51" i="1"/>
  <c r="BF42" i="1"/>
  <c r="F33" i="1"/>
  <c r="BJ23" i="1"/>
  <c r="J14" i="1"/>
  <c r="BN4" i="1"/>
  <c r="O135" i="1"/>
  <c r="AC66" i="1"/>
  <c r="AP295" i="1"/>
  <c r="AX257" i="1"/>
  <c r="BF219" i="1"/>
  <c r="BN181" i="1"/>
  <c r="BD170" i="1"/>
  <c r="DH160" i="1"/>
  <c r="BH151" i="1"/>
  <c r="H142" i="1"/>
  <c r="BL132" i="1"/>
  <c r="L123" i="1"/>
  <c r="BP113" i="1"/>
  <c r="P104" i="1"/>
  <c r="BT94" i="1"/>
  <c r="T85" i="1"/>
  <c r="BX75" i="1"/>
  <c r="X66" i="1"/>
  <c r="BF184" i="1"/>
  <c r="CI142" i="1"/>
  <c r="CQ104" i="1"/>
  <c r="CY66" i="1"/>
  <c r="BZ56" i="1"/>
  <c r="Z47" i="1"/>
  <c r="CD37" i="1"/>
  <c r="AD28" i="1"/>
  <c r="CH18" i="1"/>
  <c r="AH9" i="1"/>
  <c r="DF189" i="1"/>
  <c r="CU72" i="1"/>
  <c r="BS37" i="1"/>
  <c r="BS7" i="1"/>
  <c r="CD202" i="1"/>
  <c r="CW65" i="1"/>
  <c r="F294" i="1"/>
  <c r="N256" i="1"/>
  <c r="V218" i="1"/>
  <c r="AD180" i="1"/>
  <c r="T170" i="1"/>
  <c r="BX160" i="1"/>
  <c r="X151" i="1"/>
  <c r="CB141" i="1"/>
  <c r="AB132" i="1"/>
  <c r="CF122" i="1"/>
  <c r="AF113" i="1"/>
  <c r="CJ103" i="1"/>
  <c r="AJ94" i="1"/>
  <c r="CN84" i="1"/>
  <c r="AN75" i="1"/>
  <c r="S490" i="1"/>
  <c r="AQ179" i="1"/>
  <c r="AY141" i="1"/>
  <c r="BG103" i="1"/>
  <c r="CX65" i="1"/>
  <c r="AP56" i="1"/>
  <c r="CT46" i="1"/>
  <c r="AT37" i="1"/>
  <c r="CX27" i="1"/>
  <c r="AX18" i="1"/>
  <c r="DB8" i="1"/>
  <c r="CX179" i="1"/>
  <c r="AQ70" i="1"/>
  <c r="S37" i="1"/>
  <c r="G7" i="1"/>
  <c r="CH199" i="1"/>
  <c r="BO146" i="1"/>
  <c r="BW108" i="1"/>
  <c r="CD186" i="1"/>
  <c r="AI102" i="1"/>
  <c r="AW65" i="1"/>
  <c r="DA55" i="1"/>
  <c r="BA46" i="1"/>
  <c r="DE36" i="1"/>
  <c r="BE27" i="1"/>
  <c r="DI17" i="1"/>
  <c r="BI8" i="1"/>
  <c r="S148" i="1"/>
  <c r="BG58" i="1"/>
  <c r="CQ30" i="1"/>
  <c r="AM3" i="1"/>
  <c r="BV180" i="1"/>
  <c r="CM141" i="1"/>
  <c r="CU103" i="1"/>
  <c r="N66" i="1"/>
  <c r="AZ56" i="1"/>
  <c r="DD46" i="1"/>
  <c r="BD37" i="1"/>
  <c r="DH27" i="1"/>
  <c r="BH18" i="1"/>
  <c r="H9" i="1"/>
  <c r="CI173" i="1"/>
  <c r="BO72" i="1"/>
  <c r="CM39" i="1"/>
  <c r="G12" i="1"/>
  <c r="BK5" i="1"/>
  <c r="G167" i="1"/>
  <c r="AQ96" i="1"/>
  <c r="I64" i="1"/>
  <c r="BM54" i="1"/>
  <c r="M45" i="1"/>
  <c r="BQ35" i="1"/>
  <c r="Q26" i="1"/>
  <c r="BU16" i="1"/>
  <c r="U7" i="1"/>
  <c r="DG131" i="1"/>
  <c r="BG54" i="1"/>
  <c r="CY26" i="1"/>
  <c r="AX310" i="1"/>
  <c r="AE174" i="1"/>
  <c r="AM136" i="1"/>
  <c r="AU98" i="1"/>
  <c r="BL64" i="1"/>
  <c r="L55" i="1"/>
  <c r="BP45" i="1"/>
  <c r="P36" i="1"/>
  <c r="BT26" i="1"/>
  <c r="T17" i="1"/>
  <c r="BX7" i="1"/>
  <c r="G161" i="1"/>
  <c r="BG63" i="1"/>
  <c r="CI35" i="1"/>
  <c r="CM46" i="1"/>
  <c r="AE7" i="1"/>
  <c r="G123" i="1"/>
  <c r="AI74" i="1"/>
  <c r="BI58" i="1"/>
  <c r="I49" i="1"/>
  <c r="BM39" i="1"/>
  <c r="M30" i="1"/>
  <c r="BQ20" i="1"/>
  <c r="Q11" i="1"/>
  <c r="CL252" i="1"/>
  <c r="BG66" i="1"/>
  <c r="AY38" i="1"/>
  <c r="CM10" i="1"/>
  <c r="R222" i="1"/>
  <c r="W152" i="1"/>
  <c r="AE114" i="1"/>
  <c r="AM76" i="1"/>
  <c r="H59" i="1"/>
  <c r="BL49" i="1"/>
  <c r="L40" i="1"/>
  <c r="BP30" i="1"/>
  <c r="P21" i="1"/>
  <c r="BT11" i="1"/>
  <c r="BZ277" i="1"/>
  <c r="BL111" i="1"/>
  <c r="BT73" i="1"/>
  <c r="CA96" i="1"/>
  <c r="BZ35" i="1"/>
  <c r="BC161" i="1"/>
  <c r="V230" i="1"/>
  <c r="X154" i="1"/>
  <c r="AF116" i="1"/>
  <c r="AN78" i="1"/>
  <c r="BG115" i="1"/>
  <c r="AT40" i="1"/>
  <c r="BS354" i="1"/>
  <c r="AT245" i="1"/>
  <c r="CP228" i="1"/>
  <c r="CR153" i="1"/>
  <c r="CZ115" i="1"/>
  <c r="DH77" i="1"/>
  <c r="W114" i="1"/>
  <c r="J40" i="1"/>
  <c r="K319" i="1"/>
  <c r="AX242" i="1"/>
  <c r="BS123" i="1"/>
  <c r="BU39" i="1"/>
  <c r="CH255" i="1"/>
  <c r="AL223" i="1"/>
  <c r="P59" i="1"/>
  <c r="X21" i="1"/>
  <c r="BS47" i="1"/>
  <c r="BG112" i="1"/>
  <c r="AG38" i="1"/>
  <c r="V191" i="1"/>
  <c r="AT201" i="1"/>
  <c r="CF57" i="1"/>
  <c r="CN19" i="1"/>
  <c r="BG43" i="1"/>
  <c r="DC84" i="1"/>
  <c r="CG32" i="1"/>
  <c r="AA98" i="1"/>
  <c r="CQ162" i="1"/>
  <c r="O78" i="1"/>
  <c r="DH49" i="1"/>
  <c r="H31" i="1"/>
  <c r="L12" i="1"/>
  <c r="K142" i="1"/>
  <c r="AA48" i="1"/>
  <c r="DC10" i="1"/>
  <c r="BB255" i="1"/>
  <c r="CA93" i="1"/>
  <c r="Q60" i="1"/>
  <c r="CO47" i="1"/>
  <c r="AO38" i="1"/>
  <c r="CS28" i="1"/>
  <c r="AS19" i="1"/>
  <c r="CW9" i="1"/>
  <c r="CD194" i="1"/>
  <c r="BG62" i="1"/>
  <c r="CM34" i="1"/>
  <c r="AM7" i="1"/>
  <c r="Z200" i="1"/>
  <c r="CA146" i="1"/>
  <c r="CI108" i="1"/>
  <c r="CQ70" i="1"/>
  <c r="BX57" i="1"/>
  <c r="X48" i="1"/>
  <c r="CB38" i="1"/>
  <c r="AB29" i="1"/>
  <c r="CF19" i="1"/>
  <c r="AF10" i="1"/>
  <c r="N213" i="1"/>
  <c r="DC86" i="1"/>
  <c r="BC25" i="1"/>
  <c r="CB115" i="1"/>
  <c r="CJ77" i="1"/>
  <c r="AI113" i="1"/>
  <c r="CP39" i="1"/>
  <c r="DF301" i="1"/>
  <c r="CH246" i="1"/>
  <c r="AN158" i="1"/>
  <c r="AV120" i="1"/>
  <c r="BD82" i="1"/>
  <c r="O132" i="1"/>
  <c r="BJ44" i="1"/>
  <c r="BR6" i="1"/>
  <c r="CH311" i="1"/>
  <c r="AX245" i="1"/>
  <c r="DH157" i="1"/>
  <c r="L120" i="1"/>
  <c r="T82" i="1"/>
  <c r="CI130" i="1"/>
  <c r="Z44" i="1"/>
  <c r="AH6" i="1"/>
  <c r="CL308" i="1"/>
  <c r="CM156" i="1"/>
  <c r="CK43" i="1"/>
  <c r="CS5" i="1"/>
  <c r="BZ289" i="1"/>
  <c r="AF63" i="1"/>
  <c r="AN25" i="1"/>
  <c r="CE59" i="1"/>
  <c r="CA145" i="1"/>
  <c r="AW42" i="1"/>
  <c r="BE4" i="1"/>
  <c r="CH267" i="1"/>
  <c r="CV61" i="1"/>
  <c r="DD23" i="1"/>
  <c r="CE55" i="1"/>
  <c r="CQ101" i="1"/>
  <c r="CW36" i="1"/>
  <c r="AE147" i="1"/>
  <c r="BG179" i="1"/>
  <c r="DG86" i="1"/>
  <c r="AB52" i="1"/>
  <c r="AF33" i="1"/>
  <c r="AJ14" i="1"/>
  <c r="AE155" i="1"/>
  <c r="W52" i="1"/>
  <c r="AA15" i="1"/>
  <c r="CU4" i="1"/>
  <c r="G99" i="1"/>
  <c r="BQ61" i="1"/>
  <c r="CS48" i="1"/>
  <c r="AS39" i="1"/>
  <c r="CW29" i="1"/>
  <c r="AW20" i="1"/>
  <c r="DA10" i="1"/>
  <c r="CX243" i="1"/>
  <c r="BK65" i="1"/>
  <c r="CQ37" i="1"/>
  <c r="AE10" i="1"/>
  <c r="CL216" i="1"/>
  <c r="CQ150" i="1"/>
  <c r="CY112" i="1"/>
  <c r="DG74" i="1"/>
  <c r="CB58" i="1"/>
  <c r="AB49" i="1"/>
  <c r="CF39" i="1"/>
  <c r="AF30" i="1"/>
  <c r="CJ20" i="1"/>
  <c r="AJ11" i="1"/>
  <c r="BZ261" i="1"/>
  <c r="DC98" i="1"/>
  <c r="AM40" i="1"/>
  <c r="CR119" i="1"/>
  <c r="CZ81" i="1"/>
  <c r="CU129" i="1"/>
  <c r="DF43" i="1"/>
  <c r="J6" i="1"/>
  <c r="AP263" i="1"/>
  <c r="BD162" i="1"/>
  <c r="BL124" i="1"/>
  <c r="BT86" i="1"/>
  <c r="CA148" i="1"/>
  <c r="BZ48" i="1"/>
  <c r="CH10" i="1"/>
  <c r="AE12" i="1"/>
  <c r="F262" i="1"/>
  <c r="T162" i="1"/>
  <c r="AB124" i="1"/>
  <c r="AJ86" i="1"/>
  <c r="AQ147" i="1"/>
  <c r="AP48" i="1"/>
  <c r="AX10" i="1"/>
  <c r="BW11" i="1"/>
  <c r="BJ281" i="1"/>
  <c r="DA47" i="1"/>
  <c r="DI9" i="1"/>
  <c r="BW7" i="1"/>
  <c r="CU71" i="1"/>
  <c r="BD29" i="1"/>
  <c r="CY89" i="1"/>
  <c r="CP193" i="1"/>
  <c r="BM46" i="1"/>
  <c r="BU8" i="1"/>
  <c r="BS3" i="1"/>
  <c r="AU66" i="1"/>
  <c r="P28" i="1"/>
  <c r="CY73" i="1"/>
  <c r="CU134" i="1"/>
  <c r="I41" i="1"/>
  <c r="CU349" i="1"/>
  <c r="CP245" i="1"/>
  <c r="CA94" i="1"/>
  <c r="T54" i="1"/>
  <c r="X35" i="1"/>
  <c r="AB16" i="1"/>
  <c r="BG166" i="1"/>
  <c r="G56" i="1"/>
  <c r="O19" i="1"/>
  <c r="CQ23" i="1"/>
  <c r="W107" i="1"/>
  <c r="DA62" i="1"/>
  <c r="AO50" i="1"/>
  <c r="AW40" i="1"/>
  <c r="DA30" i="1"/>
  <c r="BA21" i="1"/>
  <c r="DE11" i="1"/>
  <c r="BF292" i="1"/>
  <c r="CE76" i="1"/>
  <c r="CY40" i="1"/>
  <c r="AQ13" i="1"/>
  <c r="AT233" i="1"/>
  <c r="DG154" i="1"/>
  <c r="K117" i="1"/>
  <c r="S79" i="1"/>
  <c r="CF59" i="1"/>
  <c r="AF50" i="1"/>
  <c r="CJ40" i="1"/>
  <c r="AJ31" i="1"/>
  <c r="CN21" i="1"/>
  <c r="AN12" i="1"/>
  <c r="BB311" i="1"/>
  <c r="CM110" i="1"/>
  <c r="O48" i="1"/>
  <c r="BT121" i="1"/>
  <c r="CB83" i="1"/>
  <c r="DG136" i="1"/>
  <c r="CH45" i="1"/>
  <c r="CP7" i="1"/>
  <c r="BB270" i="1"/>
  <c r="AF164" i="1"/>
  <c r="AN126" i="1"/>
  <c r="AV88" i="1"/>
  <c r="CM155" i="1"/>
  <c r="BB50" i="1"/>
  <c r="BJ12" i="1"/>
  <c r="G18" i="1"/>
  <c r="R269" i="1"/>
  <c r="CZ163" i="1"/>
  <c r="DH125" i="1"/>
  <c r="L88" i="1"/>
  <c r="BC154" i="1"/>
  <c r="R50" i="1"/>
  <c r="Z12" i="1"/>
  <c r="BC17" i="1"/>
  <c r="CI15" i="1"/>
  <c r="CC49" i="1"/>
  <c r="CK11" i="1"/>
  <c r="CQ12" i="1"/>
  <c r="DG78" i="1"/>
  <c r="AF31" i="1"/>
  <c r="AQ110" i="1"/>
  <c r="BR307" i="1"/>
  <c r="AO48" i="1"/>
  <c r="AW10" i="1"/>
  <c r="CI8" i="1"/>
  <c r="BG73" i="1"/>
  <c r="CV29" i="1"/>
  <c r="CM94" i="1"/>
  <c r="O149" i="1"/>
  <c r="CO42" i="1"/>
  <c r="CW4" i="1"/>
  <c r="AH274" i="1"/>
  <c r="CQ98" i="1"/>
  <c r="X55" i="1"/>
  <c r="AB36" i="1"/>
  <c r="AF17" i="1"/>
  <c r="CU172" i="1"/>
  <c r="CM57" i="1"/>
  <c r="CQ20" i="1"/>
  <c r="AI31" i="1"/>
  <c r="CY111" i="1"/>
  <c r="BI63" i="1"/>
  <c r="DA50" i="1"/>
  <c r="CS40" i="1"/>
  <c r="AS31" i="1"/>
  <c r="CW21" i="1"/>
  <c r="AW12" i="1"/>
  <c r="AM314" i="1"/>
  <c r="CI81" i="1"/>
  <c r="AA42" i="1"/>
  <c r="BS14" i="1"/>
  <c r="BF240" i="1"/>
  <c r="CI156" i="1"/>
  <c r="CQ118" i="1"/>
  <c r="CY80" i="1"/>
  <c r="X60" i="1"/>
  <c r="CB50" i="1"/>
  <c r="AB41" i="1"/>
  <c r="CF31" i="1"/>
  <c r="AF22" i="1"/>
  <c r="CJ12" i="1"/>
  <c r="T3" i="1"/>
  <c r="DG115" i="1"/>
  <c r="CI50" i="1"/>
  <c r="DC174" i="1"/>
  <c r="BF235" i="1"/>
  <c r="BH155" i="1"/>
  <c r="BP117" i="1"/>
  <c r="BX79" i="1"/>
  <c r="CQ120" i="1"/>
  <c r="CD41" i="1"/>
  <c r="CL3" i="1"/>
  <c r="CD266" i="1"/>
  <c r="V234" i="1"/>
  <c r="X155" i="1"/>
  <c r="AF117" i="1"/>
  <c r="AN79" i="1"/>
  <c r="BG119" i="1"/>
  <c r="AT41" i="1"/>
  <c r="BB3" i="1"/>
  <c r="CH263" i="1"/>
  <c r="AI134" i="1"/>
  <c r="DE40" i="1"/>
  <c r="BW335" i="1"/>
  <c r="BV244" i="1"/>
  <c r="AZ60" i="1"/>
  <c r="BH22" i="1"/>
  <c r="BK51" i="1"/>
  <c r="W123" i="1"/>
  <c r="BQ39" i="1"/>
  <c r="BN254" i="1"/>
  <c r="CD222" i="1"/>
  <c r="L59" i="1"/>
  <c r="T21" i="1"/>
  <c r="BG47" i="1"/>
  <c r="AI90" i="1"/>
  <c r="M34" i="1"/>
  <c r="CI113" i="1"/>
  <c r="W168" i="1"/>
  <c r="CT154" i="1"/>
  <c r="BQ175" i="1"/>
  <c r="CG99" i="1"/>
  <c r="AT174" i="1"/>
  <c r="R119" i="1"/>
  <c r="Z81" i="1"/>
  <c r="BV238" i="1"/>
  <c r="AK156" i="1"/>
  <c r="AS118" i="1"/>
  <c r="BA80" i="1"/>
  <c r="CD241" i="1"/>
  <c r="L157" i="1"/>
  <c r="T119" i="1"/>
  <c r="AB81" i="1"/>
  <c r="K127" i="1"/>
  <c r="AH43" i="1"/>
  <c r="AP5" i="1"/>
  <c r="DF293" i="1"/>
  <c r="AM326" i="1"/>
  <c r="BL175" i="1"/>
  <c r="AC92" i="1"/>
  <c r="BV92" i="1"/>
  <c r="BU144" i="1"/>
  <c r="CE182" i="1"/>
  <c r="AX143" i="1"/>
  <c r="BN103" i="1"/>
  <c r="AX398" i="1"/>
  <c r="BY178" i="1"/>
  <c r="CG140" i="1"/>
  <c r="CO102" i="1"/>
  <c r="CC65" i="1"/>
  <c r="BJ179" i="1"/>
  <c r="BH141" i="1"/>
  <c r="BP103" i="1"/>
  <c r="CT394" i="1"/>
  <c r="BV65" i="1"/>
  <c r="CD27" i="1"/>
  <c r="CQ67" i="1"/>
  <c r="CQ145" i="1"/>
  <c r="AX253" i="1"/>
  <c r="DH159" i="1"/>
  <c r="L122" i="1"/>
  <c r="T84" i="1"/>
  <c r="CI138" i="1"/>
  <c r="Z46" i="1"/>
  <c r="AH8" i="1"/>
  <c r="AD272" i="1"/>
  <c r="CB164" i="1"/>
  <c r="CJ126" i="1"/>
  <c r="CR88" i="1"/>
  <c r="BO157" i="1"/>
  <c r="CX50" i="1"/>
  <c r="DF12" i="1"/>
  <c r="AU19" i="1"/>
  <c r="CX270" i="1"/>
  <c r="AR164" i="1"/>
  <c r="AZ126" i="1"/>
  <c r="BH88" i="1"/>
  <c r="AE156" i="1"/>
  <c r="BN50" i="1"/>
  <c r="BV12" i="1"/>
  <c r="CM18" i="1"/>
  <c r="AY21" i="1"/>
  <c r="U50" i="1"/>
  <c r="AC12" i="1"/>
  <c r="S14" i="1"/>
  <c r="CI80" i="1"/>
  <c r="CB31" i="1"/>
  <c r="CA115" i="1"/>
  <c r="CY3" i="1"/>
  <c r="CK48" i="1"/>
  <c r="I12" i="1"/>
  <c r="J296" i="1"/>
  <c r="BS77" i="1"/>
  <c r="O41" i="1"/>
  <c r="BO13" i="1"/>
  <c r="DB236" i="1"/>
  <c r="CU155" i="1"/>
  <c r="DC117" i="1"/>
  <c r="G80" i="1"/>
  <c r="DD59" i="1"/>
  <c r="BD50" i="1"/>
  <c r="DH40" i="1"/>
  <c r="BH31" i="1"/>
  <c r="H22" i="1"/>
  <c r="BL12" i="1"/>
  <c r="AE352" i="1"/>
  <c r="BS113" i="1"/>
  <c r="S50" i="1"/>
  <c r="AE22" i="1"/>
  <c r="CM78" i="1"/>
  <c r="S162" i="1"/>
  <c r="CQ93" i="1"/>
  <c r="AW63" i="1"/>
  <c r="DA53" i="1"/>
  <c r="BA44" i="1"/>
  <c r="DE34" i="1"/>
  <c r="BE25" i="1"/>
  <c r="DI15" i="1"/>
  <c r="BI6" i="1"/>
  <c r="BO124" i="1"/>
  <c r="BW52" i="1"/>
  <c r="G25" i="1"/>
  <c r="AP300" i="1"/>
  <c r="CE171" i="1"/>
  <c r="CM133" i="1"/>
  <c r="CU95" i="1"/>
  <c r="CZ63" i="1"/>
  <c r="AZ54" i="1"/>
  <c r="DD44" i="1"/>
  <c r="BD35" i="1"/>
  <c r="DH25" i="1"/>
  <c r="BH16" i="1"/>
  <c r="H7" i="1"/>
  <c r="AI156" i="1"/>
  <c r="CA61" i="1"/>
  <c r="CU33" i="1"/>
  <c r="AQ4" i="1"/>
  <c r="CI6" i="1"/>
  <c r="BO122" i="1"/>
  <c r="S74" i="1"/>
  <c r="BE58" i="1"/>
  <c r="DI48" i="1"/>
  <c r="DI93" i="1"/>
  <c r="BJ294" i="1"/>
  <c r="AH170" i="1"/>
  <c r="AP132" i="1"/>
  <c r="AX94" i="1"/>
  <c r="R292" i="1"/>
  <c r="DB194" i="1"/>
  <c r="AO164" i="1"/>
  <c r="AS145" i="1"/>
  <c r="AW126" i="1"/>
  <c r="BA107" i="1"/>
  <c r="BE88" i="1"/>
  <c r="CA183" i="1"/>
  <c r="DB265" i="1"/>
  <c r="N190" i="1"/>
  <c r="R163" i="1"/>
  <c r="V144" i="1"/>
  <c r="BB132" i="1"/>
  <c r="DF122" i="1"/>
  <c r="BF113" i="1"/>
  <c r="F104" i="1"/>
  <c r="BJ94" i="1"/>
  <c r="J85" i="1"/>
  <c r="BN75" i="1"/>
  <c r="DA429" i="1"/>
  <c r="DF291" i="1"/>
  <c r="J254" i="1"/>
  <c r="R216" i="1"/>
  <c r="Q179" i="1"/>
  <c r="BU169" i="1"/>
  <c r="U160" i="1"/>
  <c r="BY150" i="1"/>
  <c r="Y141" i="1"/>
  <c r="CC131" i="1"/>
  <c r="AC122" i="1"/>
  <c r="CG112" i="1"/>
  <c r="AG103" i="1"/>
  <c r="CK93" i="1"/>
  <c r="AK84" i="1"/>
  <c r="CO74" i="1"/>
  <c r="U66" i="1"/>
  <c r="J295" i="1"/>
  <c r="R257" i="1"/>
  <c r="Z219" i="1"/>
  <c r="AH181" i="1"/>
  <c r="AV170" i="1"/>
  <c r="CZ160" i="1"/>
  <c r="AZ151" i="1"/>
  <c r="DD141" i="1"/>
  <c r="BD132" i="1"/>
  <c r="DH122" i="1"/>
  <c r="BH113" i="1"/>
  <c r="H104" i="1"/>
  <c r="BL94" i="1"/>
  <c r="L85" i="1"/>
  <c r="BP75" i="1"/>
  <c r="P66" i="1"/>
  <c r="AL183" i="1"/>
  <c r="BC142" i="1"/>
  <c r="BK104" i="1"/>
  <c r="BS66" i="1"/>
  <c r="BR56" i="1"/>
  <c r="R47" i="1"/>
  <c r="BV37" i="1"/>
  <c r="V28" i="1"/>
  <c r="BZ18" i="1"/>
  <c r="Z9" i="1"/>
  <c r="R194" i="1"/>
  <c r="CI73" i="1"/>
  <c r="CY37" i="1"/>
  <c r="CU7" i="1"/>
  <c r="CX203" i="1"/>
  <c r="BS147" i="1"/>
  <c r="CA109" i="1"/>
  <c r="BY65" i="1"/>
  <c r="R293" i="1"/>
  <c r="Z255" i="1"/>
  <c r="AH217" i="1"/>
  <c r="BB179" i="1"/>
  <c r="CZ169" i="1"/>
  <c r="AZ160" i="1"/>
  <c r="DD150" i="1"/>
  <c r="BD141" i="1"/>
  <c r="DH131" i="1"/>
  <c r="BH122" i="1"/>
  <c r="H113" i="1"/>
  <c r="BL103" i="1"/>
  <c r="L94" i="1"/>
  <c r="BP84" i="1"/>
  <c r="P75" i="1"/>
  <c r="AT385" i="1"/>
  <c r="BC178" i="1"/>
  <c r="BK140" i="1"/>
  <c r="BS102" i="1"/>
  <c r="BR65" i="1"/>
  <c r="R56" i="1"/>
  <c r="BV46" i="1"/>
  <c r="V37" i="1"/>
  <c r="BZ27" i="1"/>
  <c r="Z18" i="1"/>
  <c r="CD8" i="1"/>
  <c r="CU176" i="1"/>
  <c r="AS70" i="1"/>
  <c r="DB311" i="1"/>
  <c r="F274" i="1"/>
  <c r="N236" i="1"/>
  <c r="V198" i="1"/>
  <c r="BT174" i="1"/>
  <c r="T165" i="1"/>
  <c r="BX155" i="1"/>
  <c r="X146" i="1"/>
  <c r="CB136" i="1"/>
  <c r="AB127" i="1"/>
  <c r="CF117" i="1"/>
  <c r="AF108" i="1"/>
  <c r="CJ98" i="1"/>
  <c r="AJ89" i="1"/>
  <c r="CN79" i="1"/>
  <c r="AN70" i="1"/>
  <c r="CT250" i="1"/>
  <c r="AQ159" i="1"/>
  <c r="AY121" i="1"/>
  <c r="BG83" i="1"/>
  <c r="CP60" i="1"/>
  <c r="AP51" i="1"/>
  <c r="CT41" i="1"/>
  <c r="AT32" i="1"/>
  <c r="CX22" i="1"/>
  <c r="AX13" i="1"/>
  <c r="DB3" i="1"/>
  <c r="AM125" i="1"/>
  <c r="CQ50" i="1"/>
  <c r="CM20" i="1"/>
  <c r="N269" i="1"/>
  <c r="I70" i="1"/>
  <c r="BR310" i="1"/>
  <c r="BZ272" i="1"/>
  <c r="CH234" i="1"/>
  <c r="CP196" i="1"/>
  <c r="AJ174" i="1"/>
  <c r="CN164" i="1"/>
  <c r="AN155" i="1"/>
  <c r="CR145" i="1"/>
  <c r="AR136" i="1"/>
  <c r="CV126" i="1"/>
  <c r="AV117" i="1"/>
  <c r="CZ107" i="1"/>
  <c r="AZ98" i="1"/>
  <c r="DD88" i="1"/>
  <c r="BD79" i="1"/>
  <c r="DH69" i="1"/>
  <c r="BJ245" i="1"/>
  <c r="G158" i="1"/>
  <c r="O120" i="1"/>
  <c r="W82" i="1"/>
  <c r="BF60" i="1"/>
  <c r="F51" i="1"/>
  <c r="BJ41" i="1"/>
  <c r="J32" i="1"/>
  <c r="BN22" i="1"/>
  <c r="N13" i="1"/>
  <c r="BR3" i="1"/>
  <c r="BW122" i="1"/>
  <c r="AA50" i="1"/>
  <c r="AA20" i="1"/>
  <c r="R266" i="1"/>
  <c r="W163" i="1"/>
  <c r="AE125" i="1"/>
  <c r="K27" i="1"/>
  <c r="BC135" i="1"/>
  <c r="BG80" i="1"/>
  <c r="M60" i="1"/>
  <c r="BQ50" i="1"/>
  <c r="Q41" i="1"/>
  <c r="BU31" i="1"/>
  <c r="U22" i="1"/>
  <c r="BY12" i="1"/>
  <c r="BC366" i="1"/>
  <c r="CU84" i="1"/>
  <c r="DC42" i="1"/>
  <c r="AQ15" i="1"/>
  <c r="F247" i="1"/>
  <c r="AU158" i="1"/>
  <c r="BC120" i="1"/>
  <c r="BK82" i="1"/>
  <c r="BP60" i="1"/>
  <c r="P51" i="1"/>
  <c r="BT41" i="1"/>
  <c r="T32" i="1"/>
  <c r="BX22" i="1"/>
  <c r="X13" i="1"/>
  <c r="CB3" i="1"/>
  <c r="CE120" i="1"/>
  <c r="DG51" i="1"/>
  <c r="G24" i="1"/>
  <c r="BW3" i="1"/>
  <c r="BW9" i="1"/>
  <c r="AQ124" i="1"/>
  <c r="G75" i="1"/>
  <c r="CC58" i="1"/>
  <c r="AC49" i="1"/>
  <c r="CG39" i="1"/>
  <c r="AG30" i="1"/>
  <c r="CK20" i="1"/>
  <c r="AK11" i="1"/>
  <c r="N261" i="1"/>
  <c r="CU68" i="1"/>
  <c r="CY38" i="1"/>
  <c r="AQ11" i="1"/>
  <c r="N225" i="1"/>
  <c r="CY152" i="1"/>
  <c r="DG114" i="1"/>
  <c r="K77" i="1"/>
  <c r="AB59" i="1"/>
  <c r="CF49" i="1"/>
  <c r="AF40" i="1"/>
  <c r="CJ30" i="1"/>
  <c r="AJ21" i="1"/>
  <c r="CN11" i="1"/>
  <c r="BN286" i="1"/>
  <c r="CU104" i="1"/>
  <c r="CY47" i="1"/>
  <c r="K20" i="1"/>
  <c r="CY59" i="1"/>
  <c r="AA156" i="1"/>
  <c r="CU90" i="1"/>
  <c r="BY62" i="1"/>
  <c r="Y53" i="1"/>
  <c r="CC43" i="1"/>
  <c r="AC34" i="1"/>
  <c r="CG24" i="1"/>
  <c r="AG15" i="1"/>
  <c r="CK5" i="1"/>
  <c r="AU115" i="1"/>
  <c r="BG50" i="1"/>
  <c r="CQ22" i="1"/>
  <c r="BF288" i="1"/>
  <c r="CI168" i="1"/>
  <c r="CQ130" i="1"/>
  <c r="CY92" i="1"/>
  <c r="X63" i="1"/>
  <c r="CB53" i="1"/>
  <c r="AB44" i="1"/>
  <c r="CF34" i="1"/>
  <c r="AF25" i="1"/>
  <c r="CJ15" i="1"/>
  <c r="AJ6" i="1"/>
  <c r="T128" i="1"/>
  <c r="AB90" i="1"/>
  <c r="K163" i="1"/>
  <c r="AH52" i="1"/>
  <c r="AP14" i="1"/>
  <c r="BJ296" i="1"/>
  <c r="CJ170" i="1"/>
  <c r="CR132" i="1"/>
  <c r="CZ94" i="1"/>
  <c r="AD189" i="1"/>
  <c r="DF56" i="1"/>
  <c r="J19" i="1"/>
  <c r="BO38" i="1"/>
  <c r="Z295" i="1"/>
  <c r="AZ170" i="1"/>
  <c r="BH132" i="1"/>
  <c r="BP94" i="1"/>
  <c r="CX183" i="1"/>
  <c r="BV56" i="1"/>
  <c r="CD18" i="1"/>
  <c r="G38" i="1"/>
  <c r="CQ109" i="1"/>
  <c r="AC56" i="1"/>
  <c r="AK18" i="1"/>
  <c r="CE31" i="1"/>
  <c r="K105" i="1"/>
  <c r="CJ37" i="1"/>
  <c r="W177" i="1"/>
  <c r="BO8" i="1"/>
  <c r="CS54" i="1"/>
  <c r="DA16" i="1"/>
  <c r="CI27" i="1"/>
  <c r="BO99" i="1"/>
  <c r="AV36" i="1"/>
  <c r="AU163" i="1"/>
  <c r="DG10" i="1"/>
  <c r="AO49" i="1"/>
  <c r="AW11" i="1"/>
  <c r="CE11" i="1"/>
  <c r="AI111" i="1"/>
  <c r="AJ58" i="1"/>
  <c r="AN39" i="1"/>
  <c r="AR20" i="1"/>
  <c r="CP249" i="1"/>
  <c r="AM64" i="1"/>
  <c r="AQ27" i="1"/>
  <c r="BO57" i="1"/>
  <c r="CA129" i="1"/>
  <c r="CJ65" i="1"/>
  <c r="DI52" i="1"/>
  <c r="BE42" i="1"/>
  <c r="DI32" i="1"/>
  <c r="BI23" i="1"/>
  <c r="I14" i="1"/>
  <c r="BM4" i="1"/>
  <c r="W101" i="1"/>
  <c r="DG46" i="1"/>
  <c r="AQ19" i="1"/>
  <c r="BN266" i="1"/>
  <c r="AI163" i="1"/>
  <c r="AQ125" i="1"/>
  <c r="AY87" i="1"/>
  <c r="CN61" i="1"/>
  <c r="AN52" i="1"/>
  <c r="CR42" i="1"/>
  <c r="AR33" i="1"/>
  <c r="CV23" i="1"/>
  <c r="AV14" i="1"/>
  <c r="CZ4" i="1"/>
  <c r="CM134" i="1"/>
  <c r="BG55" i="1"/>
  <c r="AJ132" i="1"/>
  <c r="AR94" i="1"/>
  <c r="AP180" i="1"/>
  <c r="AX56" i="1"/>
  <c r="BF18" i="1"/>
  <c r="AE316" i="1"/>
  <c r="CZ174" i="1"/>
  <c r="DH136" i="1"/>
  <c r="L99" i="1"/>
  <c r="BR255" i="1"/>
  <c r="R61" i="1"/>
  <c r="Z23" i="1"/>
  <c r="CA51" i="1"/>
  <c r="CL311" i="1"/>
  <c r="BP174" i="1"/>
  <c r="BX136" i="1"/>
  <c r="CF98" i="1"/>
  <c r="AH250" i="1"/>
  <c r="CL60" i="1"/>
  <c r="CT22" i="1"/>
  <c r="S51" i="1"/>
  <c r="AY126" i="1"/>
  <c r="AS60" i="1"/>
  <c r="BA22" i="1"/>
  <c r="CU43" i="1"/>
  <c r="BW121" i="1"/>
  <c r="CZ41" i="1"/>
  <c r="DH3" i="1"/>
  <c r="CY4" i="1"/>
  <c r="DI58" i="1"/>
  <c r="M21" i="1"/>
  <c r="CQ39" i="1"/>
  <c r="W116" i="1"/>
  <c r="BL40" i="1"/>
  <c r="AT301" i="1"/>
  <c r="CA63" i="1"/>
  <c r="BE53" i="1"/>
  <c r="BM15" i="1"/>
  <c r="CI23" i="1"/>
  <c r="W120" i="1"/>
  <c r="BH60" i="1"/>
  <c r="BL41" i="1"/>
  <c r="BP22" i="1"/>
  <c r="BT3" i="1"/>
  <c r="AE75" i="1"/>
  <c r="AM31" i="1"/>
  <c r="G6" i="1"/>
  <c r="AQ140" i="1"/>
  <c r="BO70" i="1"/>
  <c r="BE54" i="1"/>
  <c r="BI43" i="1"/>
  <c r="I34" i="1"/>
  <c r="BM24" i="1"/>
  <c r="M15" i="1"/>
  <c r="BQ5" i="1"/>
  <c r="AM113" i="1"/>
  <c r="DC49" i="1"/>
  <c r="AM22" i="1"/>
  <c r="V283" i="1"/>
  <c r="AY167" i="1"/>
  <c r="BG129" i="1"/>
  <c r="BO91" i="1"/>
  <c r="CR62" i="1"/>
  <c r="AR53" i="1"/>
  <c r="CV43" i="1"/>
  <c r="AV34" i="1"/>
  <c r="CZ24" i="1"/>
  <c r="AZ15" i="1"/>
  <c r="DD5" i="1"/>
  <c r="DC146" i="1"/>
  <c r="BK58" i="1"/>
  <c r="AZ136" i="1"/>
  <c r="BH98" i="1"/>
  <c r="CD246" i="1"/>
  <c r="BN60" i="1"/>
  <c r="BV22" i="1"/>
  <c r="DI423" i="1"/>
  <c r="L179" i="1"/>
  <c r="T141" i="1"/>
  <c r="AB103" i="1"/>
  <c r="BW351" i="1"/>
  <c r="AH65" i="1"/>
  <c r="AP27" i="1"/>
  <c r="CY64" i="1"/>
  <c r="BN402" i="1"/>
  <c r="CF178" i="1"/>
  <c r="CN140" i="1"/>
  <c r="CV102" i="1"/>
  <c r="AM330" i="1"/>
  <c r="DB64" i="1"/>
  <c r="F27" i="1"/>
  <c r="AQ64" i="1"/>
  <c r="G143" i="1"/>
  <c r="BI64" i="1"/>
  <c r="BQ26" i="1"/>
  <c r="CU55" i="1"/>
  <c r="AE138" i="1"/>
  <c r="L46" i="1"/>
  <c r="T8" i="1"/>
  <c r="AQ9" i="1"/>
  <c r="U63" i="1"/>
  <c r="AC25" i="1"/>
  <c r="CY51" i="1"/>
  <c r="CI132" i="1"/>
  <c r="CB44" i="1"/>
  <c r="CJ6" i="1"/>
  <c r="K39" i="1"/>
  <c r="BU57" i="1"/>
  <c r="CC19" i="1"/>
  <c r="CM35" i="1"/>
  <c r="CU127" i="1"/>
  <c r="AZ62" i="1"/>
  <c r="BD43" i="1"/>
  <c r="BH24" i="1"/>
  <c r="BL5" i="1"/>
  <c r="AY92" i="1"/>
  <c r="AA35" i="1"/>
  <c r="AI20" i="1"/>
  <c r="AA152" i="1"/>
  <c r="CY75" i="1"/>
  <c r="CO55" i="1"/>
  <c r="BM44" i="1"/>
  <c r="M35" i="1"/>
  <c r="BQ25" i="1"/>
  <c r="Q16" i="1"/>
  <c r="BU6" i="1"/>
  <c r="CY125" i="1"/>
  <c r="DG52" i="1"/>
  <c r="AQ25" i="1"/>
  <c r="CH299" i="1"/>
  <c r="BO171" i="1"/>
  <c r="BW133" i="1"/>
  <c r="CE95" i="1"/>
  <c r="CV63" i="1"/>
  <c r="AV54" i="1"/>
  <c r="CZ44" i="1"/>
  <c r="AZ35" i="1"/>
  <c r="DD25" i="1"/>
  <c r="BD16" i="1"/>
  <c r="DH6" i="1"/>
  <c r="DG155" i="1"/>
  <c r="BO61" i="1"/>
  <c r="AB138" i="1"/>
  <c r="AJ100" i="1"/>
  <c r="V275" i="1"/>
  <c r="AP62" i="1"/>
  <c r="AX24" i="1"/>
  <c r="Q67" i="1"/>
  <c r="R185" i="1"/>
  <c r="CZ142" i="1"/>
  <c r="DH104" i="1"/>
  <c r="L67" i="1"/>
  <c r="BC70" i="1"/>
  <c r="R29" i="1"/>
  <c r="S84" i="1"/>
  <c r="CK66" i="1"/>
  <c r="CL183" i="1"/>
  <c r="BP142" i="1"/>
  <c r="BX104" i="1"/>
  <c r="CF66" i="1"/>
  <c r="S69" i="1"/>
  <c r="CL28" i="1"/>
  <c r="BS81" i="1"/>
  <c r="S150" i="1"/>
  <c r="BC67" i="1"/>
  <c r="AS28" i="1"/>
  <c r="G61" i="1"/>
  <c r="AQ145" i="1"/>
  <c r="CR47" i="1"/>
  <c r="CZ9" i="1"/>
  <c r="BO14" i="1"/>
  <c r="DA64" i="1"/>
  <c r="DI26" i="1"/>
  <c r="S57" i="1"/>
  <c r="CU139" i="1"/>
  <c r="BD46" i="1"/>
  <c r="BL8" i="1"/>
  <c r="BC4" i="1"/>
  <c r="AW59" i="1"/>
  <c r="BE21" i="1"/>
  <c r="G41" i="1"/>
  <c r="G132" i="1"/>
  <c r="BD63" i="1"/>
  <c r="BH44" i="1"/>
  <c r="BL25" i="1"/>
  <c r="BP6" i="1"/>
  <c r="AE99" i="1"/>
  <c r="DC36" i="1"/>
  <c r="AU26" i="1"/>
  <c r="DC156" i="1"/>
  <c r="AI78" i="1"/>
  <c r="AW56" i="1"/>
  <c r="DI44" i="1"/>
  <c r="BI35" i="1"/>
  <c r="I26" i="1"/>
  <c r="BM16" i="1"/>
  <c r="M7" i="1"/>
  <c r="O131" i="1"/>
  <c r="AI54" i="1"/>
  <c r="CE26" i="1"/>
  <c r="CT306" i="1"/>
  <c r="AQ173" i="1"/>
  <c r="AY135" i="1"/>
  <c r="BG97" i="1"/>
  <c r="AN64" i="1"/>
  <c r="CR54" i="1"/>
  <c r="AR45" i="1"/>
  <c r="CV35" i="1"/>
  <c r="AV26" i="1"/>
  <c r="CZ16" i="1"/>
  <c r="AZ7" i="1"/>
  <c r="AU159" i="1"/>
  <c r="CU62" i="1"/>
  <c r="BP169" i="1"/>
  <c r="BB290" i="1"/>
  <c r="AN131" i="1"/>
  <c r="CM175" i="1"/>
  <c r="BB55" i="1"/>
  <c r="BJ17" i="1"/>
  <c r="O105" i="1"/>
  <c r="I55" i="1"/>
  <c r="AM28" i="1"/>
  <c r="AM100" i="1"/>
  <c r="BP36" i="1"/>
  <c r="DG65" i="1"/>
  <c r="BY53" i="1"/>
  <c r="AI24" i="1"/>
  <c r="CQ94" i="1"/>
  <c r="AA154" i="1"/>
  <c r="CH295" i="1"/>
  <c r="AC10" i="1"/>
  <c r="AI8" i="1"/>
  <c r="CB57" i="1"/>
  <c r="CF38" i="1"/>
  <c r="CJ19" i="1"/>
  <c r="DG62" i="1"/>
  <c r="K26" i="1"/>
  <c r="S126" i="1"/>
  <c r="AK65" i="1"/>
  <c r="Y42" i="1"/>
  <c r="CC32" i="1"/>
  <c r="CG13" i="1"/>
  <c r="AG4" i="1"/>
  <c r="O46" i="1"/>
  <c r="BG18" i="1"/>
  <c r="O162" i="1"/>
  <c r="W124" i="1"/>
  <c r="AE86" i="1"/>
  <c r="H52" i="1"/>
  <c r="BL42" i="1"/>
  <c r="L33" i="1"/>
  <c r="P14" i="1"/>
  <c r="BT4" i="1"/>
  <c r="BW54" i="1"/>
  <c r="CF128" i="1"/>
  <c r="AY165" i="1"/>
  <c r="CT52" i="1"/>
  <c r="CX298" i="1"/>
  <c r="AR171" i="1"/>
  <c r="BH95" i="1"/>
  <c r="CD198" i="1"/>
  <c r="BN57" i="1"/>
  <c r="BG40" i="1"/>
  <c r="BN297" i="1"/>
  <c r="P133" i="1"/>
  <c r="X95" i="1"/>
  <c r="AD57" i="1"/>
  <c r="AL19" i="1"/>
  <c r="DC39" i="1"/>
  <c r="CO56" i="1"/>
  <c r="CW18" i="1"/>
  <c r="AY107" i="1"/>
  <c r="AR38" i="1"/>
  <c r="O15" i="1"/>
  <c r="BA55" i="1"/>
  <c r="BI17" i="1"/>
  <c r="DC101" i="1"/>
  <c r="DH36" i="1"/>
  <c r="BO18" i="1"/>
  <c r="DA49" i="1"/>
  <c r="BC13" i="1"/>
  <c r="K113" i="1"/>
  <c r="CJ39" i="1"/>
  <c r="CN20" i="1"/>
  <c r="CI64" i="1"/>
  <c r="CQ27" i="1"/>
  <c r="CU130" i="1"/>
  <c r="G66" i="1"/>
  <c r="AK53" i="1"/>
  <c r="U33" i="1"/>
  <c r="Y14" i="1"/>
  <c r="CC4" i="1"/>
  <c r="AY47" i="1"/>
  <c r="CI19" i="1"/>
  <c r="CU163" i="1"/>
  <c r="DC125" i="1"/>
  <c r="DD61" i="1"/>
  <c r="BD52" i="1"/>
  <c r="DH42" i="1"/>
  <c r="H24" i="1"/>
  <c r="BL14" i="1"/>
  <c r="BO136" i="1"/>
  <c r="CY55" i="1"/>
  <c r="BP31" i="1"/>
  <c r="X4" i="1"/>
  <c r="AV91" i="1"/>
  <c r="BB53" i="1"/>
  <c r="AH301" i="1"/>
  <c r="P96" i="1"/>
  <c r="V58" i="1"/>
  <c r="AU42" i="1"/>
  <c r="BT171" i="1"/>
  <c r="CJ95" i="1"/>
  <c r="CX19" i="1"/>
  <c r="BO114" i="1"/>
  <c r="S35" i="1"/>
  <c r="DD38" i="1"/>
  <c r="I56" i="1"/>
  <c r="S31" i="1"/>
  <c r="BP37" i="1"/>
  <c r="BI50" i="1"/>
  <c r="W15" i="1"/>
  <c r="CZ39" i="1"/>
  <c r="BW65" i="1"/>
  <c r="W63" i="1"/>
  <c r="BA53" i="1"/>
  <c r="CO23" i="1"/>
  <c r="CS4" i="1"/>
  <c r="AE20" i="1"/>
  <c r="BC164" i="1"/>
  <c r="P62" i="1"/>
  <c r="AQ56" i="1"/>
  <c r="CY174" i="1"/>
  <c r="AL17" i="1"/>
  <c r="CF173" i="1"/>
  <c r="BV236" i="1"/>
  <c r="DG47" i="1"/>
  <c r="BD135" i="1"/>
  <c r="BR59" i="1"/>
  <c r="AQ47" i="1"/>
  <c r="Y59" i="1"/>
  <c r="CY116" i="1"/>
  <c r="BS41" i="1"/>
  <c r="CO57" i="1"/>
  <c r="AY111" i="1"/>
  <c r="BF244" i="1"/>
  <c r="AS14" i="1"/>
  <c r="CM117" i="1"/>
  <c r="DH21" i="1"/>
  <c r="CA71" i="1"/>
  <c r="DG137" i="1"/>
  <c r="I54" i="1"/>
  <c r="AG24" i="1"/>
  <c r="AK5" i="1"/>
  <c r="BG21" i="1"/>
  <c r="AM128" i="1"/>
  <c r="BL62" i="1"/>
  <c r="P34" i="1"/>
  <c r="T15" i="1"/>
  <c r="CA57" i="1"/>
  <c r="AX273" i="1"/>
  <c r="T89" i="1"/>
  <c r="Z51" i="1"/>
  <c r="N272" i="1"/>
  <c r="CF126" i="1"/>
  <c r="CT50" i="1"/>
  <c r="CM19" i="1"/>
  <c r="BI12" i="1"/>
  <c r="DC81" i="1"/>
  <c r="CI7" i="1"/>
  <c r="U11" i="1"/>
  <c r="BT30" i="1"/>
  <c r="BM43" i="1"/>
  <c r="BU5" i="1"/>
  <c r="CX232" i="1"/>
  <c r="R235" i="1"/>
  <c r="BZ90" i="1"/>
  <c r="CS127" i="1"/>
  <c r="BV279" i="1"/>
  <c r="CB90" i="1"/>
  <c r="CH52" i="1"/>
  <c r="AK71" i="1"/>
  <c r="U130" i="1"/>
  <c r="CG87" i="1"/>
  <c r="AT162" i="1"/>
  <c r="AP214" i="1"/>
  <c r="AS74" i="1"/>
  <c r="L113" i="1"/>
  <c r="T75" i="1"/>
  <c r="Z37" i="1"/>
  <c r="AP291" i="1"/>
  <c r="BT93" i="1"/>
  <c r="CH17" i="1"/>
  <c r="X174" i="1"/>
  <c r="CH243" i="1"/>
  <c r="AT60" i="1"/>
  <c r="CP308" i="1"/>
  <c r="CZ135" i="1"/>
  <c r="J60" i="1"/>
  <c r="CQ48" i="1"/>
  <c r="CC21" i="1"/>
  <c r="CA118" i="1"/>
  <c r="DC3" i="1"/>
  <c r="DA4" i="1"/>
  <c r="K48" i="1"/>
  <c r="CT274" i="1"/>
  <c r="BG89" i="1"/>
  <c r="CR52" i="1"/>
  <c r="CZ14" i="1"/>
  <c r="DC56" i="1"/>
  <c r="S24" i="1"/>
  <c r="CP65" i="1"/>
  <c r="CO46" i="1"/>
  <c r="AS18" i="1"/>
  <c r="AU171" i="1"/>
  <c r="AU4" i="1"/>
  <c r="AQ105" i="1"/>
  <c r="CN56" i="1"/>
  <c r="AR28" i="1"/>
  <c r="AV9" i="1"/>
  <c r="CQ40" i="1"/>
  <c r="CY36" i="1"/>
  <c r="CS60" i="1"/>
  <c r="BE103" i="1"/>
  <c r="CP141" i="1"/>
  <c r="DG437" i="1"/>
  <c r="Q150" i="1"/>
  <c r="U131" i="1"/>
  <c r="CX284" i="1"/>
  <c r="CT167" i="1"/>
  <c r="AP125" i="1"/>
  <c r="AT106" i="1"/>
  <c r="DB77" i="1"/>
  <c r="BB301" i="1"/>
  <c r="BZ187" i="1"/>
  <c r="BI162" i="1"/>
  <c r="M134" i="1"/>
  <c r="Q115" i="1"/>
  <c r="BY86" i="1"/>
  <c r="Y77" i="1"/>
  <c r="BR266" i="1"/>
  <c r="CH190" i="1"/>
  <c r="AN144" i="1"/>
  <c r="AR125" i="1"/>
  <c r="CZ96" i="1"/>
  <c r="DD77" i="1"/>
  <c r="DC151" i="1"/>
  <c r="O76" i="1"/>
  <c r="F40" i="1"/>
  <c r="J21" i="1"/>
  <c r="CA103" i="1"/>
  <c r="AY15" i="1"/>
  <c r="O157" i="1"/>
  <c r="I68" i="1"/>
  <c r="CH226" i="1"/>
  <c r="AJ172" i="1"/>
  <c r="CR143" i="1"/>
  <c r="CV124" i="1"/>
  <c r="AZ96" i="1"/>
  <c r="BD77" i="1"/>
  <c r="G150" i="1"/>
  <c r="BF58" i="1"/>
  <c r="J30" i="1"/>
  <c r="N11" i="1"/>
  <c r="AY349" i="1"/>
  <c r="BN245" i="1"/>
  <c r="BH167" i="1"/>
  <c r="BL148" i="1"/>
  <c r="P120" i="1"/>
  <c r="T101" i="1"/>
  <c r="CB72" i="1"/>
  <c r="CQ168" i="1"/>
  <c r="Z63" i="1"/>
  <c r="AD44" i="1"/>
  <c r="CL15" i="1"/>
  <c r="BO152" i="1"/>
  <c r="F307" i="1"/>
  <c r="O344" i="1"/>
  <c r="AL206" i="1"/>
  <c r="X167" i="1"/>
  <c r="CF138" i="1"/>
  <c r="CJ119" i="1"/>
  <c r="AN91" i="1"/>
  <c r="CR81" i="1"/>
  <c r="BG167" i="1"/>
  <c r="BW91" i="1"/>
  <c r="CX43" i="1"/>
  <c r="DB24" i="1"/>
  <c r="O151" i="1"/>
  <c r="CE27" i="1"/>
  <c r="CE134" i="1"/>
  <c r="AY154" i="1"/>
  <c r="DE52" i="1"/>
  <c r="DI33" i="1"/>
  <c r="BM5" i="1"/>
  <c r="CQ49" i="1"/>
  <c r="CU167" i="1"/>
  <c r="G92" i="1"/>
  <c r="DH43" i="1"/>
  <c r="BL15" i="1"/>
  <c r="CU58" i="1"/>
  <c r="O31" i="1"/>
  <c r="AM143" i="1"/>
  <c r="BQ51" i="1"/>
  <c r="BU32" i="1"/>
  <c r="Y4" i="1"/>
  <c r="CU45" i="1"/>
  <c r="AU162" i="1"/>
  <c r="BK86" i="1"/>
  <c r="BT42" i="1"/>
  <c r="BX23" i="1"/>
  <c r="AI132" i="1"/>
  <c r="DG26" i="1"/>
  <c r="AQ100" i="1"/>
  <c r="BM55" i="1"/>
  <c r="Q27" i="1"/>
  <c r="U8" i="1"/>
  <c r="CI29" i="1"/>
  <c r="AE178" i="1"/>
  <c r="BL65" i="1"/>
  <c r="BP46" i="1"/>
  <c r="T18" i="1"/>
  <c r="CB99" i="1"/>
  <c r="CP23" i="1"/>
  <c r="AN142" i="1"/>
  <c r="BD66" i="1"/>
  <c r="BO76" i="1"/>
  <c r="AX181" i="1"/>
  <c r="T66" i="1"/>
  <c r="Z28" i="1"/>
  <c r="CE65" i="1"/>
  <c r="AM59" i="1"/>
  <c r="AF47" i="1"/>
  <c r="CM12" i="1"/>
  <c r="AQ55" i="1"/>
  <c r="CV45" i="1"/>
  <c r="CO58" i="1"/>
  <c r="AE39" i="1"/>
  <c r="L44" i="1"/>
  <c r="T6" i="1"/>
  <c r="K25" i="1"/>
  <c r="BO154" i="1"/>
  <c r="CS44" i="1"/>
  <c r="AW16" i="1"/>
  <c r="CM53" i="1"/>
  <c r="AE26" i="1"/>
  <c r="CQ134" i="1"/>
  <c r="X64" i="1"/>
  <c r="CF35" i="1"/>
  <c r="CJ16" i="1"/>
  <c r="AY62" i="1"/>
  <c r="CR103" i="1"/>
  <c r="DF27" i="1"/>
  <c r="AP199" i="1"/>
  <c r="BT70" i="1"/>
  <c r="BZ32" i="1"/>
  <c r="F198" i="1"/>
  <c r="AB108" i="1"/>
  <c r="AP32" i="1"/>
  <c r="CA81" i="1"/>
  <c r="AY88" i="1"/>
  <c r="DC24" i="1"/>
  <c r="BM30" i="1"/>
  <c r="H50" i="1"/>
  <c r="CY20" i="1"/>
  <c r="AU51" i="1"/>
  <c r="AF65" i="1"/>
  <c r="AR8" i="1"/>
  <c r="AY40" i="1"/>
  <c r="AY166" i="1"/>
  <c r="CW45" i="1"/>
  <c r="DA26" i="1"/>
  <c r="BC141" i="1"/>
  <c r="AE29" i="1"/>
  <c r="DG138" i="1"/>
  <c r="K101" i="1"/>
  <c r="AF46" i="1"/>
  <c r="AJ27" i="1"/>
  <c r="AA166" i="1"/>
  <c r="CZ145" i="1"/>
  <c r="BC82" i="1"/>
  <c r="CQ123" i="1"/>
  <c r="CJ74" i="1"/>
  <c r="CP36" i="1"/>
  <c r="BR214" i="1"/>
  <c r="AR112" i="1"/>
  <c r="BF36" i="1"/>
  <c r="W176" i="1"/>
  <c r="AA37" i="1"/>
  <c r="AM121" i="1"/>
  <c r="X54" i="1"/>
  <c r="CE70" i="1"/>
  <c r="BC63" i="1"/>
  <c r="AB48" i="1"/>
  <c r="AJ10" i="1"/>
  <c r="AU7" i="1"/>
  <c r="BR179" i="1"/>
  <c r="DA46" i="1"/>
  <c r="DI8" i="1"/>
  <c r="CU59" i="1"/>
  <c r="CE4" i="1"/>
  <c r="S143" i="1"/>
  <c r="CJ56" i="1"/>
  <c r="CN37" i="1"/>
  <c r="AR9" i="1"/>
  <c r="AY76" i="1"/>
  <c r="CR71" i="1"/>
  <c r="CX33" i="1"/>
  <c r="AV152" i="1"/>
  <c r="BL76" i="1"/>
  <c r="CP233" i="1"/>
  <c r="CD221" i="1"/>
  <c r="AB76" i="1"/>
  <c r="AH38" i="1"/>
  <c r="AU109" i="1"/>
  <c r="CT194" i="1"/>
  <c r="AQ42" i="1"/>
  <c r="CY99" i="1"/>
  <c r="CM177" i="1"/>
  <c r="H18" i="1"/>
  <c r="CQ77" i="1"/>
  <c r="CE155" i="1"/>
  <c r="AF49" i="1"/>
  <c r="AE135" i="1"/>
  <c r="AY46" i="1"/>
  <c r="AM91" i="1"/>
  <c r="AS47" i="1"/>
  <c r="DA18" i="1"/>
  <c r="S61" i="1"/>
  <c r="N193" i="1"/>
  <c r="K69" i="1"/>
  <c r="CF47" i="1"/>
  <c r="AJ19" i="1"/>
  <c r="CH191" i="1"/>
  <c r="BK18" i="1"/>
</calcChain>
</file>

<file path=xl/sharedStrings.xml><?xml version="1.0" encoding="utf-8"?>
<sst xmlns="http://schemas.openxmlformats.org/spreadsheetml/2006/main" count="45089" uniqueCount="138">
  <si>
    <t>Sr.No</t>
  </si>
  <si>
    <t>Company</t>
  </si>
  <si>
    <t>Ticker</t>
  </si>
  <si>
    <t>Year</t>
  </si>
  <si>
    <t>Quarters</t>
  </si>
  <si>
    <t>Return on Common Equity</t>
  </si>
  <si>
    <t>Return on Assets</t>
  </si>
  <si>
    <t>Return on Capital</t>
  </si>
  <si>
    <t>Return on Invested Capital</t>
  </si>
  <si>
    <t>EBITDA Margin</t>
  </si>
  <si>
    <t>Operating Margin</t>
  </si>
  <si>
    <t>Incremental Operating Margin</t>
  </si>
  <si>
    <t>Pretax Margin</t>
  </si>
  <si>
    <t>Income before XO Margin</t>
  </si>
  <si>
    <t>Net Income Margin</t>
  </si>
  <si>
    <t>Net Income to Common Margin</t>
  </si>
  <si>
    <t>Effective Tax Rate</t>
  </si>
  <si>
    <t>Dvd Payout Ratio</t>
  </si>
  <si>
    <t>Sustainable Growth Rate</t>
  </si>
  <si>
    <t>Revenue</t>
  </si>
  <si>
    <t>EBITDA</t>
  </si>
  <si>
    <t>Operating Income</t>
  </si>
  <si>
    <t>Net Income to Common</t>
  </si>
  <si>
    <t>EPS Diluted</t>
  </si>
  <si>
    <t>Dividend per Share</t>
  </si>
  <si>
    <t>Accounts Receivable</t>
  </si>
  <si>
    <t>Inventory</t>
  </si>
  <si>
    <t>Fixed Assets</t>
  </si>
  <si>
    <t>Total Assets</t>
  </si>
  <si>
    <t>Modified Working Capital</t>
  </si>
  <si>
    <t>Working Capital</t>
  </si>
  <si>
    <t>Accounts Payable</t>
  </si>
  <si>
    <t>Short-Term Debt</t>
  </si>
  <si>
    <t>Total Debt</t>
  </si>
  <si>
    <t>Total Equity</t>
  </si>
  <si>
    <t>Capital</t>
  </si>
  <si>
    <t>Book Value per Share</t>
  </si>
  <si>
    <t>Cash From Operations</t>
  </si>
  <si>
    <t>Short and Long Term Debt</t>
  </si>
  <si>
    <t xml:space="preserve">  Short-Term Debt</t>
  </si>
  <si>
    <t xml:space="preserve">  Long Term Debt</t>
  </si>
  <si>
    <t>Total Debt/T12M EBITDA</t>
  </si>
  <si>
    <t>Net Debt/EBITDA</t>
  </si>
  <si>
    <t>Total Debt/EBIT</t>
  </si>
  <si>
    <t>Net Debt/EBIT</t>
  </si>
  <si>
    <t>EBITDA to Interest Expense</t>
  </si>
  <si>
    <t>Common Equity/Total Assets</t>
  </si>
  <si>
    <t>Long-Term Debt/Equity</t>
  </si>
  <si>
    <t>Long-Term Debt/Capital</t>
  </si>
  <si>
    <t>Long-Term Debt/Total Assets</t>
  </si>
  <si>
    <t>Total Debt/Equity</t>
  </si>
  <si>
    <t>Total Debt/Capital</t>
  </si>
  <si>
    <t>Total Debt/Total Assets</t>
  </si>
  <si>
    <t>Net Debt/Equity</t>
  </si>
  <si>
    <t>Net Debt/Capital</t>
  </si>
  <si>
    <t>EBITDA-CapEx</t>
  </si>
  <si>
    <t>EBIT</t>
  </si>
  <si>
    <t>Cash Ratio</t>
  </si>
  <si>
    <t>Current Ratio</t>
  </si>
  <si>
    <t>Quick Ratio</t>
  </si>
  <si>
    <t>Altman's Z-Score</t>
  </si>
  <si>
    <t>Accounts Receivable Turnover</t>
  </si>
  <si>
    <t xml:space="preserve">  Days Sales Outstanding</t>
  </si>
  <si>
    <t>Inventory Turnover</t>
  </si>
  <si>
    <t xml:space="preserve">  Days Inventory Outstanding</t>
  </si>
  <si>
    <t>Accounts Payable Turnover</t>
  </si>
  <si>
    <t xml:space="preserve">  Accounts Payable Turnover Days</t>
  </si>
  <si>
    <t>Cash Conversion Cycle</t>
  </si>
  <si>
    <t>Inventory to Cash Days</t>
  </si>
  <si>
    <t>Total Inventory</t>
  </si>
  <si>
    <t xml:space="preserve">  Inventory Raw Materials</t>
  </si>
  <si>
    <t xml:space="preserve">  Inventory In Progress</t>
  </si>
  <si>
    <t xml:space="preserve">  Inventory Finished Goods</t>
  </si>
  <si>
    <t xml:space="preserve">  Other Inventory</t>
  </si>
  <si>
    <t>ABB India Ltd</t>
  </si>
  <si>
    <t>ABB IN Equity</t>
  </si>
  <si>
    <t>03/31/2014</t>
  </si>
  <si>
    <t>Yearly</t>
  </si>
  <si>
    <t>Q1</t>
  </si>
  <si>
    <t>Q2</t>
  </si>
  <si>
    <t>Q3</t>
  </si>
  <si>
    <t>Q4</t>
  </si>
  <si>
    <t>03/31/2015</t>
  </si>
  <si>
    <t>03/31/2016</t>
  </si>
  <si>
    <t>03/31/2017</t>
  </si>
  <si>
    <t>03/31/2018</t>
  </si>
  <si>
    <t>ACC Ltd</t>
  </si>
  <si>
    <t>ACC IN Equity</t>
  </si>
  <si>
    <t>Adani Ports and Special Economic Zone Ltd</t>
  </si>
  <si>
    <t>ADSEZ IN Equity</t>
  </si>
  <si>
    <t>Aditya Birla Capital Ltd</t>
  </si>
  <si>
    <t>ABCAP IN Equity</t>
  </si>
  <si>
    <t>Ambuja Cements Ltd</t>
  </si>
  <si>
    <t>ACEM IN Equity</t>
  </si>
  <si>
    <t>Ashok Leyland Ltd</t>
  </si>
  <si>
    <t>AL IN Equity</t>
  </si>
  <si>
    <t>Asian Paints Ltd</t>
  </si>
  <si>
    <t>APNT IN Equity</t>
  </si>
  <si>
    <t>Aurobindo Pharma Ltd</t>
  </si>
  <si>
    <t>ARBP IN Equity</t>
  </si>
  <si>
    <t>Avenue Supermarts Ltd</t>
  </si>
  <si>
    <t>DMART IN Equity</t>
  </si>
  <si>
    <t>Axis Bank Ltd</t>
  </si>
  <si>
    <t>AXSB IN Equity</t>
  </si>
  <si>
    <t>Bajaj Auto Ltd</t>
  </si>
  <si>
    <t>BJAUT IN Equity</t>
  </si>
  <si>
    <t>Bajaj Finance Ltd</t>
  </si>
  <si>
    <t>BAF IN Equity</t>
  </si>
  <si>
    <t>Bajaj Finserv Ltd</t>
  </si>
  <si>
    <t>BJFIN IN Equity</t>
  </si>
  <si>
    <t>Bandhan Bank Ltd</t>
  </si>
  <si>
    <t>BANDHAN IN Equity</t>
  </si>
  <si>
    <t>Bank of Baroda</t>
  </si>
  <si>
    <t>BOB IN Equity</t>
  </si>
  <si>
    <t>Bharat Electronics Ltd</t>
  </si>
  <si>
    <t>BHE IN Equity</t>
  </si>
  <si>
    <t>Bharat Heavy Electricals Ltd</t>
  </si>
  <si>
    <t>BHEL IN Equity</t>
  </si>
  <si>
    <t>Bharat Petroleum Corporation Ltd</t>
  </si>
  <si>
    <t>BPCL IN Equity</t>
  </si>
  <si>
    <t>Bharti Airtel Ltd</t>
  </si>
  <si>
    <t>BHARTI IN Equity</t>
  </si>
  <si>
    <t>Bharti Infratel Ltd</t>
  </si>
  <si>
    <t>BHIN IN Equity</t>
  </si>
  <si>
    <t>Biocon Ltd</t>
  </si>
  <si>
    <t>BIOS IN Equity</t>
  </si>
  <si>
    <t>Bosch Ltd</t>
  </si>
  <si>
    <t>BOS IN Equity</t>
  </si>
  <si>
    <t>Britannia Industries Ltd</t>
  </si>
  <si>
    <t>BRIT IN Equity</t>
  </si>
  <si>
    <t>Cadila Healthcare Ltd</t>
  </si>
  <si>
    <t>CDH IN Equity</t>
  </si>
  <si>
    <t>Cipla Ltd</t>
  </si>
  <si>
    <t>CIPLA IN Equity</t>
  </si>
  <si>
    <t>—</t>
  </si>
  <si>
    <t>1 Year Growth</t>
  </si>
  <si>
    <t>5 Year Growth</t>
  </si>
  <si>
    <t>Sequential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</si>
</sst>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4" fontId="2" fillId="2" borderId="1">
      <alignment horizontal="right"/>
    </xf>
    <xf numFmtId="164" fontId="2" fillId="2" borderId="1">
      <alignment horizontal="right"/>
    </xf>
    <xf numFmtId="4" fontId="3" fillId="2" borderId="1">
      <alignment horizontal="right"/>
    </xf>
    <xf numFmtId="164" fontId="3" fillId="2" borderId="1">
      <alignment horizontal="right"/>
    </xf>
  </cellStyleXfs>
  <cellXfs count="8">
    <xf numFmtId="0" fontId="0" fillId="0" borderId="0" xfId="0"/>
    <xf numFmtId="0" fontId="1" fillId="0" borderId="0" xfId="0" applyFont="1"/>
    <xf numFmtId="4" fontId="2" fillId="2" borderId="1" xfId="1">
      <alignment horizontal="right"/>
    </xf>
    <xf numFmtId="164" fontId="2" fillId="2" borderId="1" xfId="2">
      <alignment horizontal="right"/>
    </xf>
    <xf numFmtId="4" fontId="2" fillId="2" borderId="1" xfId="3" applyFont="1">
      <alignment horizontal="right"/>
    </xf>
    <xf numFmtId="164" fontId="2" fillId="2" borderId="1" xfId="4" applyFo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5">
    <cellStyle name="fa_data_bold_1_grouped" xfId="4"/>
    <cellStyle name="fa_data_bold_2_grouped" xfId="3"/>
    <cellStyle name="fa_data_standard_1_grouped" xfId="2"/>
    <cellStyle name="fa_data_standard_2_grouped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I627"/>
  <sheetViews>
    <sheetView topLeftCell="A601" workbookViewId="0">
      <selection activeCell="A578" sqref="A1:XFD1048576"/>
    </sheetView>
  </sheetViews>
  <sheetFormatPr defaultRowHeight="14.4" x14ac:dyDescent="0.3"/>
  <cols>
    <col min="6" max="6" width="24.5546875" bestFit="1" customWidth="1"/>
  </cols>
  <sheetData>
    <row r="2" spans="1:113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19</v>
      </c>
      <c r="AN2" t="s">
        <v>20</v>
      </c>
      <c r="AO2" t="s">
        <v>21</v>
      </c>
      <c r="AP2" t="s">
        <v>22</v>
      </c>
      <c r="AQ2" t="s">
        <v>23</v>
      </c>
      <c r="AR2" t="s">
        <v>24</v>
      </c>
      <c r="AS2" t="s">
        <v>25</v>
      </c>
      <c r="AT2" t="s">
        <v>26</v>
      </c>
      <c r="AU2" t="s">
        <v>27</v>
      </c>
      <c r="AV2" t="s">
        <v>28</v>
      </c>
      <c r="AW2" t="s">
        <v>29</v>
      </c>
      <c r="AX2" t="s">
        <v>30</v>
      </c>
      <c r="AY2" t="s">
        <v>31</v>
      </c>
      <c r="AZ2" t="s">
        <v>32</v>
      </c>
      <c r="BA2" t="s">
        <v>33</v>
      </c>
      <c r="BB2" t="s">
        <v>34</v>
      </c>
      <c r="BC2" t="s">
        <v>35</v>
      </c>
      <c r="BD2" t="s">
        <v>36</v>
      </c>
      <c r="BE2" t="s">
        <v>37</v>
      </c>
      <c r="BF2" t="s">
        <v>19</v>
      </c>
      <c r="BG2" t="s">
        <v>20</v>
      </c>
      <c r="BH2" t="s">
        <v>21</v>
      </c>
      <c r="BI2" t="s">
        <v>22</v>
      </c>
      <c r="BJ2" t="s">
        <v>23</v>
      </c>
      <c r="BK2" t="s">
        <v>24</v>
      </c>
      <c r="BL2" t="s">
        <v>25</v>
      </c>
      <c r="BM2" t="s">
        <v>26</v>
      </c>
      <c r="BN2" t="s">
        <v>27</v>
      </c>
      <c r="BO2" t="s">
        <v>28</v>
      </c>
      <c r="BP2" t="s">
        <v>29</v>
      </c>
      <c r="BQ2" t="s">
        <v>30</v>
      </c>
      <c r="BR2" t="s">
        <v>31</v>
      </c>
      <c r="BS2" t="s">
        <v>32</v>
      </c>
      <c r="BT2" t="s">
        <v>33</v>
      </c>
      <c r="BU2" t="s">
        <v>34</v>
      </c>
      <c r="BV2" t="s">
        <v>35</v>
      </c>
      <c r="BW2" t="s">
        <v>36</v>
      </c>
      <c r="BX2" t="s">
        <v>37</v>
      </c>
      <c r="BY2" t="s">
        <v>38</v>
      </c>
      <c r="BZ2" t="s">
        <v>39</v>
      </c>
      <c r="CA2" t="s">
        <v>40</v>
      </c>
      <c r="CB2" t="s">
        <v>41</v>
      </c>
      <c r="CC2" t="s">
        <v>42</v>
      </c>
      <c r="CD2" t="s">
        <v>43</v>
      </c>
      <c r="CE2" t="s">
        <v>44</v>
      </c>
      <c r="CF2" t="s">
        <v>45</v>
      </c>
      <c r="CG2" t="s">
        <v>46</v>
      </c>
      <c r="CH2" t="s">
        <v>47</v>
      </c>
      <c r="CI2" t="s">
        <v>48</v>
      </c>
      <c r="CJ2" t="s">
        <v>49</v>
      </c>
      <c r="CK2" t="s">
        <v>50</v>
      </c>
      <c r="CL2" t="s">
        <v>51</v>
      </c>
      <c r="CM2" t="s">
        <v>52</v>
      </c>
      <c r="CN2" t="s">
        <v>53</v>
      </c>
      <c r="CO2" t="s">
        <v>54</v>
      </c>
      <c r="CP2" t="s">
        <v>20</v>
      </c>
      <c r="CQ2" t="s">
        <v>55</v>
      </c>
      <c r="CR2" t="s">
        <v>56</v>
      </c>
      <c r="CS2" t="s">
        <v>57</v>
      </c>
      <c r="CT2" t="s">
        <v>58</v>
      </c>
      <c r="CU2" t="s">
        <v>59</v>
      </c>
      <c r="CV2" t="s">
        <v>60</v>
      </c>
      <c r="CW2" t="s">
        <v>61</v>
      </c>
      <c r="CX2" t="s">
        <v>62</v>
      </c>
      <c r="CY2" t="s">
        <v>63</v>
      </c>
      <c r="CZ2" t="s">
        <v>64</v>
      </c>
      <c r="DA2" t="s">
        <v>65</v>
      </c>
      <c r="DB2" t="s">
        <v>66</v>
      </c>
      <c r="DC2" t="s">
        <v>67</v>
      </c>
      <c r="DD2" t="s">
        <v>68</v>
      </c>
      <c r="DE2" t="s">
        <v>69</v>
      </c>
      <c r="DF2" t="s">
        <v>70</v>
      </c>
      <c r="DG2" t="s">
        <v>71</v>
      </c>
      <c r="DH2" t="s">
        <v>72</v>
      </c>
      <c r="DI2" t="s">
        <v>73</v>
      </c>
    </row>
    <row r="3" spans="1:113" x14ac:dyDescent="0.3">
      <c r="A3" s="6">
        <v>1</v>
      </c>
      <c r="B3" s="6" t="s">
        <v>74</v>
      </c>
      <c r="C3" s="6" t="s">
        <v>75</v>
      </c>
      <c r="D3" s="6" t="s">
        <v>76</v>
      </c>
      <c r="E3" t="s">
        <v>77</v>
      </c>
      <c r="F3" t="e">
        <f ca="1">_xll.BDH($C$3,"RETURN_COM_EQY","FY 2014","FY 2014","Currency=INR","Period=FY","BEST_FPERIOD_OVERRIDE=FY","FILING_STATUS=OR","EQY_CONSOLIDATED=Y","FA_ADJUSTED=GAAP","Sort=A","Dates=H","DateFormat=P","Fill=—","Direction=H","UseDPDF=Y")</f>
        <v>#NAME?</v>
      </c>
      <c r="G3" t="e">
        <f ca="1">_xll.BDH($C$3,"RETURN_ON_ASSET","FY 2014","FY 2014","Currency=INR","Period=FY","BEST_FPERIOD_OVERRIDE=FY","FILING_STATUS=OR","EQY_CONSOLIDATED=Y","FA_ADJUSTED=GAAP","Sort=A","Dates=H","DateFormat=P","Fill=—","Direction=H","UseDPDF=Y")</f>
        <v>#NAME?</v>
      </c>
      <c r="H3" t="e">
        <f ca="1">_xll.BDH($C$3,"RETURN_ON_CAP","FY 2014","FY 2014","Currency=INR","Period=FY","BEST_FPERIOD_OVERRIDE=FY","FILING_STATUS=OR","EQY_CONSOLIDATED=Y","FA_ADJUSTED=GAAP","Sort=A","Dates=H","DateFormat=P","Fill=—","Direction=H","UseDPDF=Y")</f>
        <v>#NAME?</v>
      </c>
      <c r="I3" t="e">
        <f ca="1">_xll.BDH($C$3,"RETURN_ON_INV_CAPITAL","FY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3" t="e">
        <f ca="1">_xll.BDH($C$3,"EBITDA_TO_REVENUE","FY 2014","FY 2014","Currency=INR","Period=FY","BEST_FPERIOD_OVERRIDE=FY","FILING_STATUS=OR","EQY_CONSOLIDATED=Y","FA_ADJUSTED=GAAP","Sort=A","Dates=H","DateFormat=P","Fill=—","Direction=H","UseDPDF=Y")</f>
        <v>#NAME?</v>
      </c>
      <c r="K3" t="e">
        <f ca="1">_xll.BDH($C$3,"OPER_MARGIN","FY 2014","FY 2014","Currency=INR","Period=FY","BEST_FPERIOD_OVERRIDE=FY","FILING_STATUS=OR","EQY_CONSOLIDATED=Y","FA_ADJUSTED=GAAP","Sort=A","Dates=H","DateFormat=P","Fill=—","Direction=H","UseDPDF=Y")</f>
        <v>#NAME?</v>
      </c>
      <c r="L3" t="e">
        <f ca="1">_xll.BDH($C$3,"INCREMENTAL_OPERATING_MARGIN","FY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3" t="e">
        <f ca="1">_xll.BDH($C$3,"PRETAX_INC_TO_NET_SALES","FY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3" t="e">
        <f ca="1">_xll.BDH($C$3,"INC_BEF_XO_ITEMS_TO_NET_SALES","FY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3" t="e">
        <f ca="1">_xll.BDH($C$3,"PROF_MARGIN","FY 2014","FY 2014","Currency=INR","Period=FY","BEST_FPERIOD_OVERRIDE=FY","FILING_STATUS=OR","EQY_CONSOLIDATED=Y","FA_ADJUSTED=GAAP","Sort=A","Dates=H","DateFormat=P","Fill=—","Direction=H","UseDPDF=Y")</f>
        <v>#NAME?</v>
      </c>
      <c r="P3" t="e">
        <f ca="1">_xll.BDH($C$3,"NET_INCOME_TO_COMMON_MARGIN","FY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3" t="e">
        <f ca="1">_xll.BDH($C$3,"EFF_TAX_RATE","FY 2014","FY 2014","Currency=INR","Period=FY","BEST_FPERIOD_OVERRIDE=FY","FILING_STATUS=OR","EQY_CONSOLIDATED=Y","FA_ADJUSTED=GAAP","Sort=A","Dates=H","DateFormat=P","Fill=—","Direction=H","UseDPDF=Y")</f>
        <v>#NAME?</v>
      </c>
      <c r="R3" t="e">
        <f ca="1">_xll.BDH($C$3,"DVD_PAYOUT_RATIO","FY 2014","FY 2014","Currency=INR","Period=FY","BEST_FPERIOD_OVERRIDE=FY","FILING_STATUS=OR","EQY_CONSOLIDATED=Y","FA_ADJUSTED=GAAP","Sort=A","Dates=H","DateFormat=P","Fill=—","Direction=H","UseDPDF=Y")</f>
        <v>#NAME?</v>
      </c>
      <c r="S3" t="e">
        <f ca="1">_xll.BDH($C$3,"SUSTAIN_GROWTH_RT","FY 2014","FY 2014","Currency=INR","Period=FY","BEST_FPERIOD_OVERRIDE=FY","FILING_STATUS=OR","EQY_CONSOLIDATED=Y","FA_ADJUSTED=GAAP","Sort=A","Dates=H","DateFormat=P","Fill=—","Direction=H","UseDPDF=Y")</f>
        <v>#NAME?</v>
      </c>
      <c r="T3" s="2" t="e">
        <f ca="1">_xll.BDH($C$3,"SALES_GROWTH","FY 2014","FY 2014","Currency=INR","Period=FY","BEST_FPERIOD_OVERRIDE=FY","FILING_STATUS=OR","EQY_CONSOLIDATED=Y","FA_ADJUSTED=GAAP","Sort=A","Dates=H","DateFormat=P","Fill=—","Direction=H","UseDPDF=Y")</f>
        <v>#NAME?</v>
      </c>
      <c r="U3" s="2" t="e">
        <f ca="1">_xll.BDH($C$3,"EBITDA_GROWTH","FY 2014","FY 2014","Currency=INR","Period=FY","BEST_FPERIOD_OVERRIDE=FY","FILING_STATUS=OR","EQY_CONSOLIDATED=Y","FA_ADJUSTED=GAAP","Sort=A","Dates=H","DateFormat=P","Fill=—","Direction=H","UseDPDF=Y")</f>
        <v>#NAME?</v>
      </c>
      <c r="V3" s="2" t="e">
        <f ca="1">_xll.BDH($C$3,"OPER_INC_GROWTH","FY 2014","FY 2014","Currency=INR","Period=FY","BEST_FPERIOD_OVERRIDE=FY","FILING_STATUS=OR","EQY_CONSOLIDATED=Y","FA_ADJUSTED=GAAP","Sort=A","Dates=H","DateFormat=P","Fill=—","Direction=H","UseDPDF=Y")</f>
        <v>#NAME?</v>
      </c>
      <c r="W3" s="2" t="e">
        <f ca="1">_xll.BDH($C$3,"EARN_FOR_COM_GROWTH","FY 2014","FY 2014","Currency=INR","Period=FY","BEST_FPERIOD_OVERRIDE=FY","FILING_STATUS=OR","EQY_CONSOLIDATED=Y","FA_ADJUSTED=GAAP","Sort=A","Dates=H","DateFormat=P","Fill=—","Direction=H","UseDPDF=Y")</f>
        <v>#NAME?</v>
      </c>
      <c r="X3" s="2" t="e">
        <f ca="1">_xll.BDH($C$3,"DILUTED_EPS_AFT_XO_ITEMS_GROWTH","FY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3" s="2" t="e">
        <f ca="1">_xll.BDH($C$3,"DIVIDEND_PER_SHARE_1_YEAR_GROWTH","FY 2014","FY 2014","Currency=INR","Period=FY","BEST_FPERIOD_OVERRIDE=FY","FILING_STATUS=OR","EQY_CONSOLIDATED=Y","Sort=A","Dates=H","DateFormat=P","Fill=—","Direction=H","UseDPDF=Y")</f>
        <v>#NAME?</v>
      </c>
      <c r="Z3" s="2" t="e">
        <f ca="1">_xll.BDH($C$3,"ACCOUNTS_RECEIVABLE_GROWTH","FY 2014","FY 2014","Currency=INR","Period=FY","BEST_FPERIOD_OVERRIDE=FY","FILING_STATUS=OR","EQY_CONSOLIDATED=Y","Sort=A","Dates=H","DateFormat=P","Fill=—","Direction=H","UseDPDF=Y")</f>
        <v>#NAME?</v>
      </c>
      <c r="AA3" s="2" t="e">
        <f ca="1">_xll.BDH($C$3,"INVENTORY_GROWTH","FY 2014","FY 2014","Currency=INR","Period=FY","BEST_FPERIOD_OVERRIDE=FY","FILING_STATUS=OR","EQY_CONSOLIDATED=Y","Sort=A","Dates=H","DateFormat=P","Fill=—","Direction=H","UseDPDF=Y")</f>
        <v>#NAME?</v>
      </c>
      <c r="AB3" s="2" t="e">
        <f ca="1">_xll.BDH($C$3,"NET_FIXED_ASSETS_1_YEAR_GROWTH","FY 2014","FY 2014","Currency=INR","Period=FY","BEST_FPERIOD_OVERRIDE=FY","FILING_STATUS=OR","EQY_CONSOLIDATED=Y","Sort=A","Dates=H","DateFormat=P","Fill=—","Direction=H","UseDPDF=Y")</f>
        <v>#NAME?</v>
      </c>
      <c r="AC3" s="2" t="e">
        <f ca="1">_xll.BDH($C$3,"ASSET_GROWTH","FY 2014","FY 2014","Currency=INR","Period=FY","BEST_FPERIOD_OVERRIDE=FY","FILING_STATUS=OR","EQY_CONSOLIDATED=Y","Sort=A","Dates=H","DateFormat=P","Fill=—","Direction=H","UseDPDF=Y")</f>
        <v>#NAME?</v>
      </c>
      <c r="AD3" s="2" t="e">
        <f ca="1">_xll.BDH($C$3,"MODIFIED_WORK_CAP_GROWTH","FY 2014","FY 2014","Currency=INR","Period=FY","BEST_FPERIOD_OVERRIDE=FY","FILING_STATUS=OR","EQY_CONSOLIDATED=Y","Sort=A","Dates=H","DateFormat=P","Fill=—","Direction=H","UseDPDF=Y")</f>
        <v>#NAME?</v>
      </c>
      <c r="AE3" s="2" t="e">
        <f ca="1">_xll.BDH($C$3,"WORK_CAP_GROWTH","FY 2014","FY 2014","Currency=INR","Period=FY","BEST_FPERIOD_OVERRIDE=FY","FILING_STATUS=OR","EQY_CONSOLIDATED=Y","Sort=A","Dates=H","DateFormat=P","Fill=—","Direction=H","UseDPDF=Y")</f>
        <v>#NAME?</v>
      </c>
      <c r="AF3" s="2" t="e">
        <f ca="1">_xll.BDH($C$3,"ACCOUNTS_PAYABLE_GROWTH_1YR","FY 2014","FY 2014","Currency=INR","Period=FY","BEST_FPERIOD_OVERRIDE=FY","FILING_STATUS=OR","EQY_CONSOLIDATED=Y","Sort=A","Dates=H","DateFormat=P","Fill=—","Direction=H","UseDPDF=Y")</f>
        <v>#NAME?</v>
      </c>
      <c r="AG3" s="2" t="e">
        <f ca="1">_xll.BDH($C$3,"SHORT_TERM_DEBT_1_YEAR_GROWTH","FY 2014","FY 2014","Currency=INR","Period=FY","BEST_FPERIOD_OVERRIDE=FY","FILING_STATUS=OR","EQY_CONSOLIDATED=Y","Sort=A","Dates=H","DateFormat=P","Fill=—","Direction=H","UseDPDF=Y")</f>
        <v>#NAME?</v>
      </c>
      <c r="AH3" s="2" t="e">
        <f ca="1">_xll.BDH($C$3,"TOTAL_DEBT_1_YEAR_GROWTH","FY 2014","FY 2014","Currency=INR","Period=FY","BEST_FPERIOD_OVERRIDE=FY","FILING_STATUS=OR","EQY_CONSOLIDATED=Y","Sort=A","Dates=H","DateFormat=P","Fill=—","Direction=H","UseDPDF=Y")</f>
        <v>#NAME?</v>
      </c>
      <c r="AI3" s="2" t="e">
        <f ca="1">_xll.BDH($C$3,"TOTAL_EQUITY_1_YEAR_GROWTH","FY 2014","FY 2014","Currency=INR","Period=FY","BEST_FPERIOD_OVERRIDE=FY","FILING_STATUS=OR","EQY_CONSOLIDATED=Y","Sort=A","Dates=H","DateFormat=P","Fill=—","Direction=H","UseDPDF=Y")</f>
        <v>#NAME?</v>
      </c>
      <c r="AJ3" s="2" t="e">
        <f ca="1">_xll.BDH($C$3,"GROWTH_IN_CAP","FY 2014","FY 2014","Currency=INR","Period=FY","BEST_FPERIOD_OVERRIDE=FY","FILING_STATUS=OR","EQY_CONSOLIDATED=Y","Sort=A","Dates=H","DateFormat=P","Fill=—","Direction=H","UseDPDF=Y")</f>
        <v>#NAME?</v>
      </c>
      <c r="AK3" s="2" t="e">
        <f ca="1">_xll.BDH($C$3,"BVPS_GROWTH","FY 2014","FY 2014","Currency=INR","Period=FY","BEST_FPERIOD_OVERRIDE=FY","FILING_STATUS=OR","EQY_CONSOLIDATED=Y","Sort=A","Dates=H","DateFormat=P","Fill=—","Direction=H","UseDPDF=Y")</f>
        <v>#NAME?</v>
      </c>
      <c r="AL3" s="2" t="e">
        <f ca="1">_xll.BDH($C$3,"CASH_FLOW_GROWTH","FY 2014","FY 2014","Currency=INR","Period=FY","BEST_FPERIOD_OVERRIDE=FY","FILING_STATUS=OR","EQY_CONSOLIDATED=Y","Sort=A","Dates=H","DateFormat=P","Fill=—","Direction=H","UseDPDF=Y")</f>
        <v>#NAME?</v>
      </c>
      <c r="AM3" s="2" t="e">
        <f ca="1">_xll.BDH($C$3,"GEO_GROW_NET_SALES","FY 2014","FY 2014","Currency=INR","Period=FY","BEST_FPERIOD_OVERRIDE=FY","FILING_STATUS=OR","EQY_CONSOLIDATED=Y","FA_ADJUSTED=GAAP","Sort=A","Dates=H","DateFormat=P","Fill=—","Direction=H","UseDPDF=Y")</f>
        <v>#NAME?</v>
      </c>
      <c r="AN3" s="2" t="e">
        <f ca="1">_xll.BDH($C$3,"GEO_GROW_EBITDA","FY 2014","FY 2014","Currency=INR","Period=FY","BEST_FPERIOD_OVERRIDE=FY","FILING_STATUS=OR","EQY_CONSOLIDATED=Y","FA_ADJUSTED=GAAP","Sort=A","Dates=H","DateFormat=P","Fill=—","Direction=H","UseDPDF=Y")</f>
        <v>#NAME?</v>
      </c>
      <c r="AO3" s="2" t="e">
        <f ca="1">_xll.BDH($C$3,"GEO_GROW_OPER_INC","FY 2014","FY 2014","Currency=INR","Period=FY","BEST_FPERIOD_OVERRIDE=FY","FILING_STATUS=OR","EQY_CONSOLIDATED=Y","FA_ADJUSTED=GAAP","Sort=A","Dates=H","DateFormat=P","Fill=—","Direction=H","UseDPDF=Y")</f>
        <v>#NAME?</v>
      </c>
      <c r="AP3" s="2" t="e">
        <f ca="1">_xll.BDH($C$3,"NET_INCOME_TO_COMMON_5_YR_GROWTH","FY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3" s="2" t="e">
        <f ca="1">_xll.BDH($C$3,"5Y_GEO_GROWTH_DILUTED_EPS","FY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3" s="2" t="e">
        <f ca="1">_xll.BDH($C$3,"GEO_GROW_DVD_PER_SH","FY 2014","FY 2014","Currency=INR","Period=FY","BEST_FPERIOD_OVERRIDE=FY","FILING_STATUS=OR","EQY_CONSOLIDATED=Y","Sort=A","Dates=H","DateFormat=P","Fill=—","Direction=H","UseDPDF=Y")</f>
        <v>#NAME?</v>
      </c>
      <c r="AS3" s="2" t="e">
        <f ca="1">_xll.BDH($C$3,"ACCOUNTS_RECEIVABLE_5_YR_GROWTH","FY 2014","FY 2014","Currency=INR","Period=FY","BEST_FPERIOD_OVERRIDE=FY","FILING_STATUS=OR","EQY_CONSOLIDATED=Y","Sort=A","Dates=H","DateFormat=P","Fill=—","Direction=H","UseDPDF=Y")</f>
        <v>#NAME?</v>
      </c>
      <c r="AT3" s="2" t="e">
        <f ca="1">_xll.BDH($C$3,"INVENTORY_5_YEAR_GROWTH","FY 2014","FY 2014","Currency=INR","Period=FY","BEST_FPERIOD_OVERRIDE=FY","FILING_STATUS=OR","EQY_CONSOLIDATED=Y","Sort=A","Dates=H","DateFormat=P","Fill=—","Direction=H","UseDPDF=Y")</f>
        <v>#NAME?</v>
      </c>
      <c r="AU3" s="2" t="e">
        <f ca="1">_xll.BDH($C$3,"NET_FIXED_ASSETS_5_YEAR_GROWTH","FY 2014","FY 2014","Currency=INR","Period=FY","BEST_FPERIOD_OVERRIDE=FY","FILING_STATUS=OR","EQY_CONSOLIDATED=Y","Sort=A","Dates=H","DateFormat=P","Fill=—","Direction=H","UseDPDF=Y")</f>
        <v>#NAME?</v>
      </c>
      <c r="AV3" s="2" t="e">
        <f ca="1">_xll.BDH($C$3,"GEO_GROW_TOT_ASSET","FY 2014","FY 2014","Currency=INR","Period=FY","BEST_FPERIOD_OVERRIDE=FY","FILING_STATUS=OR","EQY_CONSOLIDATED=Y","Sort=A","Dates=H","DateFormat=P","Fill=—","Direction=H","UseDPDF=Y")</f>
        <v>#NAME?</v>
      </c>
      <c r="AW3" s="2" t="e">
        <f ca="1">_xll.BDH($C$3,"MODIFIED_WORKING_CPTL_5YR_GRWTH","FY 2014","FY 2014","Currency=INR","Period=FY","BEST_FPERIOD_OVERRIDE=FY","FILING_STATUS=OR","EQY_CONSOLIDATED=Y","Sort=A","Dates=H","DateFormat=P","Fill=—","Direction=H","UseDPDF=Y")</f>
        <v>#NAME?</v>
      </c>
      <c r="AX3" s="2" t="e">
        <f ca="1">_xll.BDH($C$3,"WORKING_CAPITAL_5_YEAR_GROWTH","FY 2014","FY 2014","Currency=INR","Period=FY","BEST_FPERIOD_OVERRIDE=FY","FILING_STATUS=OR","EQY_CONSOLIDATED=Y","Sort=A","Dates=H","DateFormat=P","Fill=—","Direction=H","UseDPDF=Y")</f>
        <v>#NAME?</v>
      </c>
      <c r="AY3" s="2" t="e">
        <f ca="1">_xll.BDH($C$3,"ACCOUNTS_PAYABLE_5_YEAR_GROWTH","FY 2014","FY 2014","Currency=INR","Period=FY","BEST_FPERIOD_OVERRIDE=FY","FILING_STATUS=OR","EQY_CONSOLIDATED=Y","Sort=A","Dates=H","DateFormat=P","Fill=—","Direction=H","UseDPDF=Y")</f>
        <v>#NAME?</v>
      </c>
      <c r="AZ3" s="2" t="e">
        <f ca="1">_xll.BDH($C$3,"SHORT_TERM_DEBT_5_YEAR_GROWTH","FY 2014","FY 2014","Currency=INR","Period=FY","BEST_FPERIOD_OVERRIDE=FY","FILING_STATUS=OR","EQY_CONSOLIDATED=Y","Sort=A","Dates=H","DateFormat=P","Fill=—","Direction=H","UseDPDF=Y")</f>
        <v>#NAME?</v>
      </c>
      <c r="BA3" s="2" t="e">
        <f ca="1">_xll.BDH($C$3,"TOTAL_DEBT_5_YEAR_GROWTH","FY 2014","FY 2014","Currency=INR","Period=FY","BEST_FPERIOD_OVERRIDE=FY","FILING_STATUS=OR","EQY_CONSOLIDATED=Y","Sort=A","Dates=H","DateFormat=P","Fill=—","Direction=H","UseDPDF=Y")</f>
        <v>#NAME?</v>
      </c>
      <c r="BB3" s="2" t="e">
        <f ca="1">_xll.BDH($C$3,"GEO_GROW_TOT_SHRHLDR_EQY","FY 2014","FY 2014","Currency=INR","Period=FY","BEST_FPERIOD_OVERRIDE=FY","FILING_STATUS=OR","EQY_CONSOLIDATED=Y","Sort=A","Dates=H","DateFormat=P","Fill=—","Direction=H","UseDPDF=Y")</f>
        <v>#NAME?</v>
      </c>
      <c r="BC3" s="2" t="e">
        <f ca="1">_xll.BDH($C$3,"TOTAL_CAPITAL_5_YEAR_GROWTH","FY 2014","FY 2014","Currency=INR","Period=FY","BEST_FPERIOD_OVERRIDE=FY","FILING_STATUS=OR","EQY_CONSOLIDATED=Y","Sort=A","Dates=H","DateFormat=P","Fill=—","Direction=H","UseDPDF=Y")</f>
        <v>#NAME?</v>
      </c>
      <c r="BD3" s="2" t="e">
        <f ca="1">_xll.BDH($C$3,"GEO_GROW_BOOK_VAL","FY 2014","FY 2014","Currency=INR","Period=FY","BEST_FPERIOD_OVERRIDE=FY","FILING_STATUS=OR","EQY_CONSOLIDATED=Y","Sort=A","Dates=H","DateFormat=P","Fill=—","Direction=H","UseDPDF=Y")</f>
        <v>#NAME?</v>
      </c>
      <c r="BE3" s="2" t="e">
        <f ca="1">_xll.BDH($C$3,"GEO_GROW_CASH_OPER_ACT","FY 2014","FY 2014","Currency=INR","Period=FY","BEST_FPERIOD_OVERRIDE=FY","FILING_STATUS=OR","EQY_CONSOLIDATED=Y","Sort=A","Dates=H","DateFormat=P","Fill=—","Direction=H","UseDPDF=Y")</f>
        <v>#NAME?</v>
      </c>
      <c r="BF3" s="2" t="e">
        <f ca="1">_xll.BDH($C$3,"REVENUE_SEQUENTIAL_GROWTH","FY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3" s="2" t="e">
        <f ca="1">_xll.BDH($C$3,"EBITDA_SEQUENTIAL_GROWTH","FY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3" s="2" t="e">
        <f ca="1">_xll.BDH($C$3,"OPERATING_INCOME_SEQ_GROWTH","FY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3" s="2" t="e">
        <f ca="1">_xll.BDH($C$3,"NET_INCOME_TO_COMMON_SEQ_GROWTH","FY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3" s="2" t="e">
        <f ca="1">_xll.BDH($C$3,"EPS_DILUTED_SEQUENTIAL_GROWTH","FY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3" s="2" t="e">
        <f ca="1">_xll.BDH($C$3,"DPS_SEQUENTIAL_GROWTH","FY 2014","FY 2014","Currency=INR","Period=FY","BEST_FPERIOD_OVERRIDE=FY","FILING_STATUS=OR","EQY_CONSOLIDATED=Y","Sort=A","Dates=H","DateFormat=P","Fill=—","Direction=H","UseDPDF=Y")</f>
        <v>#NAME?</v>
      </c>
      <c r="BL3" s="2" t="e">
        <f ca="1">_xll.BDH($C$3,"ACCOUNTS_RECEIVABLE_SEQ_GROWTH","FY 2014","FY 2014","Currency=INR","Period=FY","BEST_FPERIOD_OVERRIDE=FY","FILING_STATUS=OR","EQY_CONSOLIDATED=Y","Sort=A","Dates=H","DateFormat=P","Fill=—","Direction=H","UseDPDF=Y")</f>
        <v>#NAME?</v>
      </c>
      <c r="BM3" s="2" t="e">
        <f ca="1">_xll.BDH($C$3,"INVENTORY_SEQUENTIAL_GROWTH","FY 2014","FY 2014","Currency=INR","Period=FY","BEST_FPERIOD_OVERRIDE=FY","FILING_STATUS=OR","EQY_CONSOLIDATED=Y","Sort=A","Dates=H","DateFormat=P","Fill=—","Direction=H","UseDPDF=Y")</f>
        <v>#NAME?</v>
      </c>
      <c r="BN3" s="2" t="e">
        <f ca="1">_xll.BDH($C$3,"FIXED_ASSETS_SEQUENTIAL_GROWTH","FY 2014","FY 2014","Currency=INR","Period=FY","BEST_FPERIOD_OVERRIDE=FY","FILING_STATUS=OR","EQY_CONSOLIDATED=Y","Sort=A","Dates=H","DateFormat=P","Fill=—","Direction=H","UseDPDF=Y")</f>
        <v>#NAME?</v>
      </c>
      <c r="BO3" s="2" t="e">
        <f ca="1">_xll.BDH($C$3,"TOTAL_ASSETS_SEQUENTIAL_GROWTH","FY 2014","FY 2014","Currency=INR","Period=FY","BEST_FPERIOD_OVERRIDE=FY","FILING_STATUS=OR","EQY_CONSOLIDATED=Y","Sort=A","Dates=H","DateFormat=P","Fill=—","Direction=H","UseDPDF=Y")</f>
        <v>#NAME?</v>
      </c>
      <c r="BP3" s="2" t="e">
        <f ca="1">_xll.BDH($C$3,"MODIFIED_WORKING_CPTL_SEQ_GRWTH","FY 2014","FY 2014","Currency=INR","Period=FY","BEST_FPERIOD_OVERRIDE=FY","FILING_STATUS=OR","EQY_CONSOLIDATED=Y","Sort=A","Dates=H","DateFormat=P","Fill=—","Direction=H","UseDPDF=Y")</f>
        <v>#NAME?</v>
      </c>
      <c r="BQ3" s="2" t="e">
        <f ca="1">_xll.BDH($C$3,"WORKING_CAPITAL_SEQ_GROWTH","FY 2014","FY 2014","Currency=INR","Period=FY","BEST_FPERIOD_OVERRIDE=FY","FILING_STATUS=OR","EQY_CONSOLIDATED=Y","Sort=A","Dates=H","DateFormat=P","Fill=—","Direction=H","UseDPDF=Y")</f>
        <v>#NAME?</v>
      </c>
      <c r="BR3" s="2" t="e">
        <f ca="1">_xll.BDH($C$3,"ACCOUNTS_PAYABLE_SEQ_GROWTH","FY 2014","FY 2014","Currency=INR","Period=FY","BEST_FPERIOD_OVERRIDE=FY","FILING_STATUS=OR","EQY_CONSOLIDATED=Y","Sort=A","Dates=H","DateFormat=P","Fill=—","Direction=H","UseDPDF=Y")</f>
        <v>#NAME?</v>
      </c>
      <c r="BS3" s="2" t="e">
        <f ca="1">_xll.BDH($C$3,"ST_DEBT_SEQUENTIAL_GROWTH","FY 2014","FY 2014","Currency=INR","Period=FY","BEST_FPERIOD_OVERRIDE=FY","FILING_STATUS=OR","EQY_CONSOLIDATED=Y","Sort=A","Dates=H","DateFormat=P","Fill=—","Direction=H","UseDPDF=Y")</f>
        <v>#NAME?</v>
      </c>
      <c r="BT3" s="2" t="e">
        <f ca="1">_xll.BDH($C$3,"TOTAL_DEBT_SEQUENTIAL_GROWTH","FY 2014","FY 2014","Currency=INR","Period=FY","BEST_FPERIOD_OVERRIDE=FY","FILING_STATUS=OR","EQY_CONSOLIDATED=Y","Sort=A","Dates=H","DateFormat=P","Fill=—","Direction=H","UseDPDF=Y")</f>
        <v>#NAME?</v>
      </c>
      <c r="BU3" s="2" t="e">
        <f ca="1">_xll.BDH($C$3,"TOTAL_EQUITY_SEQUENTIAL_GROWTH","FY 2014","FY 2014","Currency=INR","Period=FY","BEST_FPERIOD_OVERRIDE=FY","FILING_STATUS=OR","EQY_CONSOLIDATED=Y","Sort=A","Dates=H","DateFormat=P","Fill=—","Direction=H","UseDPDF=Y")</f>
        <v>#NAME?</v>
      </c>
      <c r="BV3" s="2" t="e">
        <f ca="1">_xll.BDH($C$3,"TOTAL_CAPITAL_SEQUENTIAL_GROWTH","FY 2014","FY 2014","Currency=INR","Period=FY","BEST_FPERIOD_OVERRIDE=FY","FILING_STATUS=OR","EQY_CONSOLIDATED=Y","Sort=A","Dates=H","DateFormat=P","Fill=—","Direction=H","UseDPDF=Y")</f>
        <v>#NAME?</v>
      </c>
      <c r="BW3" s="2" t="e">
        <f ca="1">_xll.BDH($C$3,"BPS_SEQUENTIAL_GROWTH","FY 2014","FY 2014","Currency=INR","Period=FY","BEST_FPERIOD_OVERRIDE=FY","FILING_STATUS=OR","EQY_CONSOLIDATED=Y","Sort=A","Dates=H","DateFormat=P","Fill=—","Direction=H","UseDPDF=Y")</f>
        <v>#NAME?</v>
      </c>
      <c r="BX3" s="2" t="e">
        <f ca="1">_xll.BDH($C$3,"CFO_SEQUENTIAL_GROWTH","FY 2014","FY 2014","Currency=INR","Period=FY","BEST_FPERIOD_OVERRIDE=FY","FILING_STATUS=OR","EQY_CONSOLIDATED=Y","Sort=A","Dates=H","DateFormat=P","Fill=—","Direction=H","UseDPDF=Y")</f>
        <v>#NAME?</v>
      </c>
      <c r="BY3" s="3" t="e">
        <f ca="1">_xll.BDH($C$3,"SHORT_AND_LONG_TERM_DEBT","FY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3" s="3" t="e">
        <f ca="1">_xll.BDH($C$3,"BS_ST_BORROW","FY 2014","FY 2014","Currency=INR","Period=FY","BEST_FPERIOD_OVERRIDE=FY","FILING_STATUS=OR","EQY_CONSOLIDATED=Y","SCALING_FORMAT=MLN","Sort=A","Dates=H","DateFormat=P","Fill=—","Direction=H","UseDPDF=Y")</f>
        <v>#NAME?</v>
      </c>
      <c r="CA3" s="3" t="e">
        <f ca="1">_xll.BDH($C$3,"BS_LT_BORROW","FY 2014","FY 2014","Currency=INR","Period=FY","BEST_FPERIOD_OVERRIDE=FY","FILING_STATUS=OR","EQY_CONSOLIDATED=Y","SCALING_FORMAT=MLN","Sort=A","Dates=H","DateFormat=P","Fill=—","Direction=H","UseDPDF=Y")</f>
        <v>#NAME?</v>
      </c>
      <c r="CB3" s="2" t="e">
        <f ca="1">_xll.BDH($C$3,"TOT_DEBT_TO_EBITDA","FY 2014","FY 2014","Currency=INR","Period=FY","BEST_FPERIOD_OVERRIDE=FY","FILING_STATUS=OR","EQY_CONSOLIDATED=Y","FA_ADJUSTED=GAAP","Sort=A","Dates=H","DateFormat=P","Fill=—","Direction=H","UseDPDF=Y")</f>
        <v>#NAME?</v>
      </c>
      <c r="CC3" s="2" t="e">
        <f ca="1">_xll.BDH($C$3,"NET_DEBT_TO_EBITDA","FY 2014","FY 2014","Currency=INR","Period=FY","BEST_FPERIOD_OVERRIDE=FY","FILING_STATUS=OR","EQY_CONSOLIDATED=Y","FA_ADJUSTED=GAAP","Sort=A","Dates=H","DateFormat=P","Fill=—","Direction=H","UseDPDF=Y")</f>
        <v>#NAME?</v>
      </c>
      <c r="CD3" s="2" t="e">
        <f ca="1">_xll.BDH($C$3,"TOTAL_DEBT_TO_EBIT","FY 2014","FY 2014","Currency=INR","Period=FY","BEST_FPERIOD_OVERRIDE=FY","FILING_STATUS=OR","EQY_CONSOLIDATED=Y","FA_ADJUSTED=GAAP","Sort=A","Dates=H","DateFormat=P","Fill=—","Direction=H","UseDPDF=Y")</f>
        <v>#NAME?</v>
      </c>
      <c r="CE3" s="2" t="e">
        <f ca="1">_xll.BDH($C$3,"NET_DEBT_TO_EBIT","FY 2014","FY 2014","Currency=INR","Period=FY","BEST_FPERIOD_OVERRIDE=FY","FILING_STATUS=OR","EQY_CONSOLIDATED=Y","FA_ADJUSTED=GAAP","Sort=A","Dates=H","DateFormat=P","Fill=—","Direction=H","UseDPDF=Y")</f>
        <v>#NAME?</v>
      </c>
      <c r="CF3" s="2" t="e">
        <f ca="1">_xll.BDH($C$3,"EBITDA_TO_INTEREST_EXPN","FY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3" s="2" t="e">
        <f ca="1">_xll.BDH($C$3,"COM_EQY_TO_TOT_ASSET","FY 2014","FY 2014","Currency=INR","Period=FY","BEST_FPERIOD_OVERRIDE=FY","FILING_STATUS=OR","EQY_CONSOLIDATED=Y","Sort=A","Dates=H","DateFormat=P","Fill=—","Direction=H","UseDPDF=Y")</f>
        <v>#NAME?</v>
      </c>
      <c r="CH3" s="2" t="e">
        <f ca="1">_xll.BDH($C$3,"LT_DEBT_TO_TOT_EQY","FY 2014","FY 2014","Currency=INR","Period=FY","BEST_FPERIOD_OVERRIDE=FY","FILING_STATUS=OR","EQY_CONSOLIDATED=Y","Sort=A","Dates=H","DateFormat=P","Fill=—","Direction=H","UseDPDF=Y")</f>
        <v>#NAME?</v>
      </c>
      <c r="CI3" s="2" t="e">
        <f ca="1">_xll.BDH($C$3,"LT_DEBT_TO_TOT_CAP","FY 2014","FY 2014","Currency=INR","Period=FY","BEST_FPERIOD_OVERRIDE=FY","FILING_STATUS=OR","EQY_CONSOLIDATED=Y","Sort=A","Dates=H","DateFormat=P","Fill=—","Direction=H","UseDPDF=Y")</f>
        <v>#NAME?</v>
      </c>
      <c r="CJ3" s="2" t="e">
        <f ca="1">_xll.BDH($C$3,"LT_DEBT_TO_TOT_ASSET","FY 2014","FY 2014","Currency=INR","Period=FY","BEST_FPERIOD_OVERRIDE=FY","FILING_STATUS=OR","EQY_CONSOLIDATED=Y","Sort=A","Dates=H","DateFormat=P","Fill=—","Direction=H","UseDPDF=Y")</f>
        <v>#NAME?</v>
      </c>
      <c r="CK3" s="2" t="e">
        <f ca="1">_xll.BDH($C$3,"TOT_DEBT_TO_TOT_EQY","FY 2014","FY 2014","Currency=INR","Period=FY","BEST_FPERIOD_OVERRIDE=FY","FILING_STATUS=OR","EQY_CONSOLIDATED=Y","Sort=A","Dates=H","DateFormat=P","Fill=—","Direction=H","UseDPDF=Y")</f>
        <v>#NAME?</v>
      </c>
      <c r="CL3" s="2" t="e">
        <f ca="1">_xll.BDH($C$3,"TOT_DEBT_TO_TOT_CAP","FY 2014","FY 2014","Currency=INR","Period=FY","BEST_FPERIOD_OVERRIDE=FY","FILING_STATUS=OR","EQY_CONSOLIDATED=Y","Sort=A","Dates=H","DateFormat=P","Fill=—","Direction=H","UseDPDF=Y")</f>
        <v>#NAME?</v>
      </c>
      <c r="CM3" s="2" t="e">
        <f ca="1">_xll.BDH($C$3,"TOT_DEBT_TO_TOT_ASSET","FY 2014","FY 2014","Currency=INR","Period=FY","BEST_FPERIOD_OVERRIDE=FY","FILING_STATUS=OR","EQY_CONSOLIDATED=Y","Sort=A","Dates=H","DateFormat=P","Fill=—","Direction=H","UseDPDF=Y")</f>
        <v>#NAME?</v>
      </c>
      <c r="CN3" s="2" t="e">
        <f ca="1">_xll.BDH($C$3,"NET_DEBT_TO_SHRHLDR_EQTY","FY 2014","FY 2014","Currency=INR","Period=FY","BEST_FPERIOD_OVERRIDE=FY","FILING_STATUS=OR","EQY_CONSOLIDATED=Y","Sort=A","Dates=H","DateFormat=P","Fill=—","Direction=H","UseDPDF=Y")</f>
        <v>#NAME?</v>
      </c>
      <c r="CO3" s="2" t="e">
        <f ca="1">_xll.BDH($C$3,"NET_DEBT_%_CAPITAL","FY 2014","FY 2014","Currency=INR","Period=FY","BEST_FPERIOD_OVERRIDE=FY","FILING_STATUS=OR","EQY_CONSOLIDATED=Y","Sort=A","Dates=H","DateFormat=P","Fill=—","Direction=H","UseDPDF=Y")</f>
        <v>#NAME?</v>
      </c>
      <c r="CP3" s="3" t="e">
        <f ca="1">_xll.BDH($C$3,"EBITDA","FY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3" s="3" t="e">
        <f ca="1">_xll.BDH($C$3,"EBITDA_AFTER_CAPEX","FY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3" s="3" t="e">
        <f ca="1">_xll.BDH($C$3,"IS_OPER_INC","FY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3" s="2" t="e">
        <f ca="1">_xll.BDH($C$3,"CASH_RATIO","FY 2014","FY 2014","Currency=INR","Period=FY","BEST_FPERIOD_OVERRIDE=FY","FILING_STATUS=OR","EQY_CONSOLIDATED=Y","Sort=A","Dates=H","DateFormat=P","Fill=—","Direction=H","UseDPDF=Y")</f>
        <v>#NAME?</v>
      </c>
      <c r="CT3" s="2" t="e">
        <f ca="1">_xll.BDH($C$3,"CUR_RATIO","FY 2014","FY 2014","Currency=INR","Period=FY","BEST_FPERIOD_OVERRIDE=FY","FILING_STATUS=OR","EQY_CONSOLIDATED=Y","Sort=A","Dates=H","DateFormat=P","Fill=—","Direction=H","UseDPDF=Y")</f>
        <v>#NAME?</v>
      </c>
      <c r="CU3" s="2" t="e">
        <f ca="1">_xll.BDH($C$3,"QUICK_RATIO","FY 2014","FY 2014","Currency=INR","Period=FY","BEST_FPERIOD_OVERRIDE=FY","FILING_STATUS=OR","EQY_CONSOLIDATED=Y","Sort=A","Dates=H","DateFormat=P","Fill=—","Direction=H","UseDPDF=Y")</f>
        <v>#NAME?</v>
      </c>
      <c r="CV3" s="2" t="e">
        <f ca="1">_xll.BDH($C$3,"ALTMAN_Z_SCORE","FY 2014","FY 2014","Currency=INR","Period=FY","BEST_FPERIOD_OVERRIDE=FY","FILING_STATUS=OR","EQY_CONSOLIDATED=Y","Sort=A","Dates=H","DateFormat=P","Fill=—","Direction=H","UseDPDF=Y")</f>
        <v>#NAME?</v>
      </c>
      <c r="CW3" s="4" t="e">
        <f ca="1">_xll.BDH($C$3,"ACCT_RCV_TURN","FY 2014","FY 2014","Currency=INR","Period=FY","BEST_FPERIOD_OVERRIDE=FY","FILING_STATUS=OR","EQY_CONSOLIDATED=Y","FA_ADJUSTED=GAAP","Sort=A","Dates=H","DateFormat=P","Fill=—","Direction=H","UseDPDF=Y")</f>
        <v>#NAME?</v>
      </c>
      <c r="CX3" s="2" t="e">
        <f ca="1">_xll.BDH($C$3,"ACCT_RCV_DAYS","FY 2014","FY 2014","Currency=INR","Period=FY","BEST_FPERIOD_OVERRIDE=FY","FILING_STATUS=OR","EQY_CONSOLIDATED=Y","FA_ADJUSTED=GAAP","Sort=A","Dates=H","DateFormat=P","Fill=—","Direction=H","UseDPDF=Y")</f>
        <v>#NAME?</v>
      </c>
      <c r="CY3" s="4" t="e">
        <f ca="1">_xll.BDH($C$3,"INVENT_TURN","FY 2014","FY 2014","Currency=INR","Period=FY","BEST_FPERIOD_OVERRIDE=FY","FILING_STATUS=OR","EQY_CONSOLIDATED=Y","FA_ADJUSTED=GAAP","Sort=A","Dates=H","DateFormat=P","Fill=—","Direction=H","UseDPDF=Y")</f>
        <v>#NAME?</v>
      </c>
      <c r="CZ3" s="2" t="e">
        <f ca="1">_xll.BDH($C$3,"INVENT_DAYS","FY 2014","FY 2014","Currency=INR","Period=FY","BEST_FPERIOD_OVERRIDE=FY","FILING_STATUS=OR","EQY_CONSOLIDATED=Y","FA_ADJUSTED=GAAP","Sort=A","Dates=H","DateFormat=P","Fill=—","Direction=H","UseDPDF=Y")</f>
        <v>#NAME?</v>
      </c>
      <c r="DA3" s="4" t="e">
        <f ca="1">_xll.BDH($C$3,"ACCOUNTS_PAYABLE_TURNOVER","FY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3" s="2" t="e">
        <f ca="1">_xll.BDH($C$3,"ACCOUNTS_PAYABLE_TURNOVER_DAYS","FY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3" s="4" t="e">
        <f ca="1">_xll.BDH($C$3,"CASH_CONVERSION_CYCLE","FY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3" s="4" t="e">
        <f ca="1">_xll.BDH($C$3,"INV_TO_CASH_DAYS","FY 2014","FY 2014","Currency=INR","Period=FY","BEST_FPERIOD_OVERRIDE=FY","FILING_STATUS=OR","EQY_CONSOLIDATED=Y","FA_ADJUSTED=GAAP","Sort=A","Dates=H","DateFormat=P","Fill=—","Direction=H","UseDPDF=Y")</f>
        <v>#NAME?</v>
      </c>
      <c r="DE3" s="5" t="e">
        <f ca="1">_xll.BDH($C$3,"BS_INVENTORIES","FY 2014","FY 2014","Currency=INR","Period=FY","BEST_FPERIOD_OVERRIDE=FY","FILING_STATUS=OR","EQY_CONSOLIDATED=Y","SCALING_FORMAT=MLN","Sort=A","Dates=H","DateFormat=P","Fill=—","Direction=H","UseDPDF=Y")</f>
        <v>#NAME?</v>
      </c>
      <c r="DF3" s="3" t="e">
        <f ca="1">_xll.BDH($C$3,"INVTRY_RAW_MATERIALS","FY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3" s="3" t="e">
        <f ca="1">_xll.BDH($C$3,"INVTRY_IN_PROGRESS","FY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3" s="3" t="e">
        <f ca="1">_xll.BDH($C$3,"INVTRY_FINISHED_GOODS","FY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3" s="3" t="e">
        <f ca="1">_xll.BDH($C$3,"BS_OTHER_INV","FY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4" spans="1:113" x14ac:dyDescent="0.3">
      <c r="A4" s="6"/>
      <c r="B4" s="6"/>
      <c r="C4" s="6"/>
      <c r="D4" s="6"/>
      <c r="E4" t="s">
        <v>78</v>
      </c>
      <c r="F4" t="e">
        <f ca="1">_xll.BDH($C$3,"RETURN_COM_EQY","FQ1 2014","FQ1 2014","Currency=INR","Period=FQ","BEST_FPERIOD_OVERRIDE=FQ","FILING_STATUS=OR","EQY_CONSOLIDATED=Y","FA_ADJUSTED=GAAP","Sort=A","Dates=H","DateFormat=P","Fill=—","Direction=H","UseDPDF=Y")</f>
        <v>#NAME?</v>
      </c>
      <c r="G4" t="e">
        <f ca="1">_xll.BDH($C$3,"RETURN_ON_ASSET","FQ1 2014","FQ1 2014","Currency=INR","Period=FQ","BEST_FPERIOD_OVERRIDE=FQ","FILING_STATUS=OR","EQY_CONSOLIDATED=Y","FA_ADJUSTED=GAAP","Sort=A","Dates=H","DateFormat=P","Fill=—","Direction=H","UseDPDF=Y")</f>
        <v>#NAME?</v>
      </c>
      <c r="H4" t="e">
        <f ca="1">_xll.BDH($C$3,"RETURN_ON_CAP","FQ1 2014","FQ1 2014","Currency=INR","Period=FQ","BEST_FPERIOD_OVERRIDE=FQ","FILING_STATUS=OR","EQY_CONSOLIDATED=Y","FA_ADJUSTED=GAAP","Sort=A","Dates=H","DateFormat=P","Fill=—","Direction=H","UseDPDF=Y")</f>
        <v>#NAME?</v>
      </c>
      <c r="I4" t="e">
        <f ca="1">_xll.BDH($C$3,"RETURN_ON_INV_CAPITAL","FQ1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4" t="e">
        <f ca="1">_xll.BDH($C$3,"EBITDA_TO_REVENUE","FQ1 2014","FQ1 2014","Currency=INR","Period=FQ","BEST_FPERIOD_OVERRIDE=FQ","FILING_STATUS=OR","EQY_CONSOLIDATED=Y","FA_ADJUSTED=GAAP","Sort=A","Dates=H","DateFormat=P","Fill=—","Direction=H","UseDPDF=Y")</f>
        <v>#NAME?</v>
      </c>
      <c r="K4" t="e">
        <f ca="1">_xll.BDH($C$3,"OPER_MARGIN","FQ1 2014","FQ1 2014","Currency=INR","Period=FQ","BEST_FPERIOD_OVERRIDE=FQ","FILING_STATUS=OR","EQY_CONSOLIDATED=Y","FA_ADJUSTED=GAAP","Sort=A","Dates=H","DateFormat=P","Fill=—","Direction=H","UseDPDF=Y")</f>
        <v>#NAME?</v>
      </c>
      <c r="L4" t="e">
        <f ca="1">_xll.BDH($C$3,"INCREMENTAL_OPERATING_MARGIN","FQ1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4" t="e">
        <f ca="1">_xll.BDH($C$3,"PRETAX_INC_TO_NET_SALES","FQ1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4" t="e">
        <f ca="1">_xll.BDH($C$3,"INC_BEF_XO_ITEMS_TO_NET_SALES","FQ1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4" t="e">
        <f ca="1">_xll.BDH($C$3,"PROF_MARGIN","FQ1 2014","FQ1 2014","Currency=INR","Period=FQ","BEST_FPERIOD_OVERRIDE=FQ","FILING_STATUS=OR","EQY_CONSOLIDATED=Y","FA_ADJUSTED=GAAP","Sort=A","Dates=H","DateFormat=P","Fill=—","Direction=H","UseDPDF=Y")</f>
        <v>#NAME?</v>
      </c>
      <c r="P4" t="e">
        <f ca="1">_xll.BDH($C$3,"NET_INCOME_TO_COMMON_MARGIN","FQ1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4" t="e">
        <f ca="1">_xll.BDH($C$3,"EFF_TAX_RATE","FQ1 2014","FQ1 2014","Currency=INR","Period=FQ","BEST_FPERIOD_OVERRIDE=FQ","FILING_STATUS=OR","EQY_CONSOLIDATED=Y","FA_ADJUSTED=GAAP","Sort=A","Dates=H","DateFormat=P","Fill=—","Direction=H","UseDPDF=Y")</f>
        <v>#NAME?</v>
      </c>
      <c r="R4" t="e">
        <f ca="1">_xll.BDH($C$3,"DVD_PAYOUT_RATIO","FQ1 2014","FQ1 2014","Currency=INR","Period=FQ","BEST_FPERIOD_OVERRIDE=FQ","FILING_STATUS=OR","EQY_CONSOLIDATED=Y","FA_ADJUSTED=GAAP","Sort=A","Dates=H","DateFormat=P","Fill=—","Direction=H","UseDPDF=Y")</f>
        <v>#NAME?</v>
      </c>
      <c r="S4" t="e">
        <f ca="1">_xll.BDH($C$3,"SUSTAIN_GROWTH_RT","FQ1 2014","FQ1 2014","Currency=INR","Period=FQ","BEST_FPERIOD_OVERRIDE=FQ","FILING_STATUS=OR","EQY_CONSOLIDATED=Y","FA_ADJUSTED=GAAP","Sort=A","Dates=H","DateFormat=P","Fill=—","Direction=H","UseDPDF=Y")</f>
        <v>#NAME?</v>
      </c>
      <c r="T4" s="2" t="e">
        <f ca="1">_xll.BDH($C$3,"SALES_GROWTH","FQ1 2014","FQ1 2014","Currency=INR","Period=FQ","BEST_FPERIOD_OVERRIDE=FQ","FILING_STATUS=OR","EQY_CONSOLIDATED=Y","FA_ADJUSTED=GAAP","Sort=A","Dates=H","DateFormat=P","Fill=—","Direction=H","UseDPDF=Y")</f>
        <v>#NAME?</v>
      </c>
      <c r="U4" s="2" t="e">
        <f ca="1">_xll.BDH($C$3,"EBITDA_GROWTH","FQ1 2014","FQ1 2014","Currency=INR","Period=FQ","BEST_FPERIOD_OVERRIDE=FQ","FILING_STATUS=OR","EQY_CONSOLIDATED=Y","FA_ADJUSTED=GAAP","Sort=A","Dates=H","DateFormat=P","Fill=—","Direction=H","UseDPDF=Y")</f>
        <v>#NAME?</v>
      </c>
      <c r="V4" s="2" t="e">
        <f ca="1">_xll.BDH($C$3,"OPER_INC_GROWTH","FQ1 2014","FQ1 2014","Currency=INR","Period=FQ","BEST_FPERIOD_OVERRIDE=FQ","FILING_STATUS=OR","EQY_CONSOLIDATED=Y","FA_ADJUSTED=GAAP","Sort=A","Dates=H","DateFormat=P","Fill=—","Direction=H","UseDPDF=Y")</f>
        <v>#NAME?</v>
      </c>
      <c r="W4" s="2" t="e">
        <f ca="1">_xll.BDH($C$3,"EARN_FOR_COM_GROWTH","FQ1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4" s="2" t="e">
        <f ca="1">_xll.BDH($C$3,"DILUTED_EPS_AFT_XO_ITEMS_GROWTH","FQ1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4" s="2" t="e">
        <f ca="1">_xll.BDH($C$3,"DIVIDEND_PER_SHARE_1_YEAR_GROWTH","FQ1 2014","FQ1 2014","Currency=INR","Period=FQ","BEST_FPERIOD_OVERRIDE=FQ","FILING_STATUS=OR","EQY_CONSOLIDATED=Y","Sort=A","Dates=H","DateFormat=P","Fill=—","Direction=H","UseDPDF=Y")</f>
        <v>#NAME?</v>
      </c>
      <c r="Z4" s="2" t="e">
        <f ca="1">_xll.BDH($C$3,"ACCOUNTS_RECEIVABLE_GROWTH","FQ1 2014","FQ1 2014","Currency=INR","Period=FQ","BEST_FPERIOD_OVERRIDE=FQ","FILING_STATUS=OR","EQY_CONSOLIDATED=Y","Sort=A","Dates=H","DateFormat=P","Fill=—","Direction=H","UseDPDF=Y")</f>
        <v>#NAME?</v>
      </c>
      <c r="AA4" s="2" t="e">
        <f ca="1">_xll.BDH($C$3,"INVENTORY_GROWTH","FQ1 2014","FQ1 2014","Currency=INR","Period=FQ","BEST_FPERIOD_OVERRIDE=FQ","FILING_STATUS=OR","EQY_CONSOLIDATED=Y","Sort=A","Dates=H","DateFormat=P","Fill=—","Direction=H","UseDPDF=Y")</f>
        <v>#NAME?</v>
      </c>
      <c r="AB4" s="2" t="e">
        <f ca="1">_xll.BDH($C$3,"NET_FIXED_ASSETS_1_YEAR_GROWTH","FQ1 2014","FQ1 2014","Currency=INR","Period=FQ","BEST_FPERIOD_OVERRIDE=FQ","FILING_STATUS=OR","EQY_CONSOLIDATED=Y","Sort=A","Dates=H","DateFormat=P","Fill=—","Direction=H","UseDPDF=Y")</f>
        <v>#NAME?</v>
      </c>
      <c r="AC4" s="2" t="e">
        <f ca="1">_xll.BDH($C$3,"ASSET_GROWTH","FQ1 2014","FQ1 2014","Currency=INR","Period=FQ","BEST_FPERIOD_OVERRIDE=FQ","FILING_STATUS=OR","EQY_CONSOLIDATED=Y","Sort=A","Dates=H","DateFormat=P","Fill=—","Direction=H","UseDPDF=Y")</f>
        <v>#NAME?</v>
      </c>
      <c r="AD4" s="2" t="e">
        <f ca="1">_xll.BDH($C$3,"MODIFIED_WORK_CAP_GROWTH","FQ1 2014","FQ1 2014","Currency=INR","Period=FQ","BEST_FPERIOD_OVERRIDE=FQ","FILING_STATUS=OR","EQY_CONSOLIDATED=Y","Sort=A","Dates=H","DateFormat=P","Fill=—","Direction=H","UseDPDF=Y")</f>
        <v>#NAME?</v>
      </c>
      <c r="AE4" s="2" t="e">
        <f ca="1">_xll.BDH($C$3,"WORK_CAP_GROWTH","FQ1 2014","FQ1 2014","Currency=INR","Period=FQ","BEST_FPERIOD_OVERRIDE=FQ","FILING_STATUS=OR","EQY_CONSOLIDATED=Y","Sort=A","Dates=H","DateFormat=P","Fill=—","Direction=H","UseDPDF=Y")</f>
        <v>#NAME?</v>
      </c>
      <c r="AF4" s="2" t="e">
        <f ca="1">_xll.BDH($C$3,"ACCOUNTS_PAYABLE_GROWTH_1YR","FQ1 2014","FQ1 2014","Currency=INR","Period=FQ","BEST_FPERIOD_OVERRIDE=FQ","FILING_STATUS=OR","EQY_CONSOLIDATED=Y","Sort=A","Dates=H","DateFormat=P","Fill=—","Direction=H","UseDPDF=Y")</f>
        <v>#NAME?</v>
      </c>
      <c r="AG4" s="2" t="e">
        <f ca="1">_xll.BDH($C$3,"SHORT_TERM_DEBT_1_YEAR_GROWTH","FQ1 2014","FQ1 2014","Currency=INR","Period=FQ","BEST_FPERIOD_OVERRIDE=FQ","FILING_STATUS=OR","EQY_CONSOLIDATED=Y","Sort=A","Dates=H","DateFormat=P","Fill=—","Direction=H","UseDPDF=Y")</f>
        <v>#NAME?</v>
      </c>
      <c r="AH4" s="2" t="e">
        <f ca="1">_xll.BDH($C$3,"TOTAL_DEBT_1_YEAR_GROWTH","FQ1 2014","FQ1 2014","Currency=INR","Period=FQ","BEST_FPERIOD_OVERRIDE=FQ","FILING_STATUS=OR","EQY_CONSOLIDATED=Y","Sort=A","Dates=H","DateFormat=P","Fill=—","Direction=H","UseDPDF=Y")</f>
        <v>#NAME?</v>
      </c>
      <c r="AI4" s="2" t="e">
        <f ca="1">_xll.BDH($C$3,"TOTAL_EQUITY_1_YEAR_GROWTH","FQ1 2014","FQ1 2014","Currency=INR","Period=FQ","BEST_FPERIOD_OVERRIDE=FQ","FILING_STATUS=OR","EQY_CONSOLIDATED=Y","Sort=A","Dates=H","DateFormat=P","Fill=—","Direction=H","UseDPDF=Y")</f>
        <v>#NAME?</v>
      </c>
      <c r="AJ4" s="2" t="e">
        <f ca="1">_xll.BDH($C$3,"GROWTH_IN_CAP","FQ1 2014","FQ1 2014","Currency=INR","Period=FQ","BEST_FPERIOD_OVERRIDE=FQ","FILING_STATUS=OR","EQY_CONSOLIDATED=Y","Sort=A","Dates=H","DateFormat=P","Fill=—","Direction=H","UseDPDF=Y")</f>
        <v>#NAME?</v>
      </c>
      <c r="AK4" s="2" t="e">
        <f ca="1">_xll.BDH($C$3,"BVPS_GROWTH","FQ1 2014","FQ1 2014","Currency=INR","Period=FQ","BEST_FPERIOD_OVERRIDE=FQ","FILING_STATUS=OR","EQY_CONSOLIDATED=Y","Sort=A","Dates=H","DateFormat=P","Fill=—","Direction=H","UseDPDF=Y")</f>
        <v>#NAME?</v>
      </c>
      <c r="AL4" s="2" t="e">
        <f ca="1">_xll.BDH($C$3,"CASH_FLOW_GROWTH","FQ1 2014","FQ1 2014","Currency=INR","Period=FQ","BEST_FPERIOD_OVERRIDE=FQ","FILING_STATUS=OR","EQY_CONSOLIDATED=Y","Sort=A","Dates=H","DateFormat=P","Fill=—","Direction=H","UseDPDF=Y")</f>
        <v>#NAME?</v>
      </c>
      <c r="AM4" s="2" t="e">
        <f ca="1">_xll.BDH($C$3,"GEO_GROW_NET_SALES","FQ1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4" s="2" t="e">
        <f ca="1">_xll.BDH($C$3,"GEO_GROW_EBITDA","FQ1 2014","FQ1 2014","Currency=INR","Period=FQ","BEST_FPERIOD_OVERRIDE=FQ","FILING_STATUS=OR","EQY_CONSOLIDATED=Y","FA_ADJUSTED=GAAP","Sort=A","Dates=H","DateFormat=P","Fill=—","Direction=H","UseDPDF=Y")</f>
        <v>#NAME?</v>
      </c>
      <c r="AO4" s="2" t="e">
        <f ca="1">_xll.BDH($C$3,"GEO_GROW_OPER_INC","FQ1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4" s="2" t="e">
        <f ca="1">_xll.BDH($C$3,"NET_INCOME_TO_COMMON_5_YR_GROWTH","FQ1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4" s="2" t="e">
        <f ca="1">_xll.BDH($C$3,"5Y_GEO_GROWTH_DILUTED_EPS","FQ1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4" s="2" t="e">
        <f ca="1">_xll.BDH($C$3,"GEO_GROW_DVD_PER_SH","FQ1 2014","FQ1 2014","Currency=INR","Period=FQ","BEST_FPERIOD_OVERRIDE=FQ","FILING_STATUS=OR","EQY_CONSOLIDATED=Y","Sort=A","Dates=H","DateFormat=P","Fill=—","Direction=H","UseDPDF=Y")</f>
        <v>#NAME?</v>
      </c>
      <c r="AS4" s="2" t="e">
        <f ca="1">_xll.BDH($C$3,"ACCOUNTS_RECEIVABLE_5_YR_GROWTH","FQ1 2014","FQ1 2014","Currency=INR","Period=FQ","BEST_FPERIOD_OVERRIDE=FQ","FILING_STATUS=OR","EQY_CONSOLIDATED=Y","Sort=A","Dates=H","DateFormat=P","Fill=—","Direction=H","UseDPDF=Y")</f>
        <v>#NAME?</v>
      </c>
      <c r="AT4" s="2" t="e">
        <f ca="1">_xll.BDH($C$3,"INVENTORY_5_YEAR_GROWTH","FQ1 2014","FQ1 2014","Currency=INR","Period=FQ","BEST_FPERIOD_OVERRIDE=FQ","FILING_STATUS=OR","EQY_CONSOLIDATED=Y","Sort=A","Dates=H","DateFormat=P","Fill=—","Direction=H","UseDPDF=Y")</f>
        <v>#NAME?</v>
      </c>
      <c r="AU4" s="2" t="e">
        <f ca="1">_xll.BDH($C$3,"NET_FIXED_ASSETS_5_YEAR_GROWTH","FQ1 2014","FQ1 2014","Currency=INR","Period=FQ","BEST_FPERIOD_OVERRIDE=FQ","FILING_STATUS=OR","EQY_CONSOLIDATED=Y","Sort=A","Dates=H","DateFormat=P","Fill=—","Direction=H","UseDPDF=Y")</f>
        <v>#NAME?</v>
      </c>
      <c r="AV4" s="2" t="e">
        <f ca="1">_xll.BDH($C$3,"GEO_GROW_TOT_ASSET","FQ1 2014","FQ1 2014","Currency=INR","Period=FQ","BEST_FPERIOD_OVERRIDE=FQ","FILING_STATUS=OR","EQY_CONSOLIDATED=Y","Sort=A","Dates=H","DateFormat=P","Fill=—","Direction=H","UseDPDF=Y")</f>
        <v>#NAME?</v>
      </c>
      <c r="AW4" s="2" t="e">
        <f ca="1">_xll.BDH($C$3,"MODIFIED_WORKING_CPTL_5YR_GRWTH","FQ1 2014","FQ1 2014","Currency=INR","Period=FQ","BEST_FPERIOD_OVERRIDE=FQ","FILING_STATUS=OR","EQY_CONSOLIDATED=Y","Sort=A","Dates=H","DateFormat=P","Fill=—","Direction=H","UseDPDF=Y")</f>
        <v>#NAME?</v>
      </c>
      <c r="AX4" s="2" t="e">
        <f ca="1">_xll.BDH($C$3,"WORKING_CAPITAL_5_YEAR_GROWTH","FQ1 2014","FQ1 2014","Currency=INR","Period=FQ","BEST_FPERIOD_OVERRIDE=FQ","FILING_STATUS=OR","EQY_CONSOLIDATED=Y","Sort=A","Dates=H","DateFormat=P","Fill=—","Direction=H","UseDPDF=Y")</f>
        <v>#NAME?</v>
      </c>
      <c r="AY4" s="2" t="e">
        <f ca="1">_xll.BDH($C$3,"ACCOUNTS_PAYABLE_5_YEAR_GROWTH","FQ1 2014","FQ1 2014","Currency=INR","Period=FQ","BEST_FPERIOD_OVERRIDE=FQ","FILING_STATUS=OR","EQY_CONSOLIDATED=Y","Sort=A","Dates=H","DateFormat=P","Fill=—","Direction=H","UseDPDF=Y")</f>
        <v>#NAME?</v>
      </c>
      <c r="AZ4" s="2" t="e">
        <f ca="1">_xll.BDH($C$3,"SHORT_TERM_DEBT_5_YEAR_GROWTH","FQ1 2014","FQ1 2014","Currency=INR","Period=FQ","BEST_FPERIOD_OVERRIDE=FQ","FILING_STATUS=OR","EQY_CONSOLIDATED=Y","Sort=A","Dates=H","DateFormat=P","Fill=—","Direction=H","UseDPDF=Y")</f>
        <v>#NAME?</v>
      </c>
      <c r="BA4" s="2" t="e">
        <f ca="1">_xll.BDH($C$3,"TOTAL_DEBT_5_YEAR_GROWTH","FQ1 2014","FQ1 2014","Currency=INR","Period=FQ","BEST_FPERIOD_OVERRIDE=FQ","FILING_STATUS=OR","EQY_CONSOLIDATED=Y","Sort=A","Dates=H","DateFormat=P","Fill=—","Direction=H","UseDPDF=Y")</f>
        <v>#NAME?</v>
      </c>
      <c r="BB4" s="2" t="e">
        <f ca="1">_xll.BDH($C$3,"GEO_GROW_TOT_SHRHLDR_EQY","FQ1 2014","FQ1 2014","Currency=INR","Period=FQ","BEST_FPERIOD_OVERRIDE=FQ","FILING_STATUS=OR","EQY_CONSOLIDATED=Y","Sort=A","Dates=H","DateFormat=P","Fill=—","Direction=H","UseDPDF=Y")</f>
        <v>#NAME?</v>
      </c>
      <c r="BC4" s="2" t="e">
        <f ca="1">_xll.BDH($C$3,"TOTAL_CAPITAL_5_YEAR_GROWTH","FQ1 2014","FQ1 2014","Currency=INR","Period=FQ","BEST_FPERIOD_OVERRIDE=FQ","FILING_STATUS=OR","EQY_CONSOLIDATED=Y","Sort=A","Dates=H","DateFormat=P","Fill=—","Direction=H","UseDPDF=Y")</f>
        <v>#NAME?</v>
      </c>
      <c r="BD4" s="2" t="e">
        <f ca="1">_xll.BDH($C$3,"GEO_GROW_BOOK_VAL","FQ1 2014","FQ1 2014","Currency=INR","Period=FQ","BEST_FPERIOD_OVERRIDE=FQ","FILING_STATUS=OR","EQY_CONSOLIDATED=Y","Sort=A","Dates=H","DateFormat=P","Fill=—","Direction=H","UseDPDF=Y")</f>
        <v>#NAME?</v>
      </c>
      <c r="BE4" s="2" t="e">
        <f ca="1">_xll.BDH($C$3,"GEO_GROW_CASH_OPER_ACT","FQ1 2014","FQ1 2014","Currency=INR","Period=FQ","BEST_FPERIOD_OVERRIDE=FQ","FILING_STATUS=OR","EQY_CONSOLIDATED=Y","Sort=A","Dates=H","DateFormat=P","Fill=—","Direction=H","UseDPDF=Y")</f>
        <v>#NAME?</v>
      </c>
      <c r="BF4" s="2" t="e">
        <f ca="1">_xll.BDH($C$3,"REVENUE_SEQUENTIAL_GROWTH","FQ1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4" s="2" t="e">
        <f ca="1">_xll.BDH($C$3,"EBITDA_SEQUENTIAL_GROWTH","FQ1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4" s="2" t="e">
        <f ca="1">_xll.BDH($C$3,"OPERATING_INCOME_SEQ_GROWTH","FQ1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4" s="2" t="e">
        <f ca="1">_xll.BDH($C$3,"NET_INCOME_TO_COMMON_SEQ_GROWTH","FQ1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4" s="2" t="e">
        <f ca="1">_xll.BDH($C$3,"EPS_DILUTED_SEQUENTIAL_GROWTH","FQ1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4" s="2" t="e">
        <f ca="1">_xll.BDH($C$3,"DPS_SEQUENTIAL_GROWTH","FQ1 2014","FQ1 2014","Currency=INR","Period=FQ","BEST_FPERIOD_OVERRIDE=FQ","FILING_STATUS=OR","EQY_CONSOLIDATED=Y","Sort=A","Dates=H","DateFormat=P","Fill=—","Direction=H","UseDPDF=Y")</f>
        <v>#NAME?</v>
      </c>
      <c r="BL4" s="2" t="e">
        <f ca="1">_xll.BDH($C$3,"ACCOUNTS_RECEIVABLE_SEQ_GROWTH","FQ1 2014","FQ1 2014","Currency=INR","Period=FQ","BEST_FPERIOD_OVERRIDE=FQ","FILING_STATUS=OR","EQY_CONSOLIDATED=Y","Sort=A","Dates=H","DateFormat=P","Fill=—","Direction=H","UseDPDF=Y")</f>
        <v>#NAME?</v>
      </c>
      <c r="BM4" s="2" t="e">
        <f ca="1">_xll.BDH($C$3,"INVENTORY_SEQUENTIAL_GROWTH","FQ1 2014","FQ1 2014","Currency=INR","Period=FQ","BEST_FPERIOD_OVERRIDE=FQ","FILING_STATUS=OR","EQY_CONSOLIDATED=Y","Sort=A","Dates=H","DateFormat=P","Fill=—","Direction=H","UseDPDF=Y")</f>
        <v>#NAME?</v>
      </c>
      <c r="BN4" s="2" t="e">
        <f ca="1">_xll.BDH($C$3,"FIXED_ASSETS_SEQUENTIAL_GROWTH","FQ1 2014","FQ1 2014","Currency=INR","Period=FQ","BEST_FPERIOD_OVERRIDE=FQ","FILING_STATUS=OR","EQY_CONSOLIDATED=Y","Sort=A","Dates=H","DateFormat=P","Fill=—","Direction=H","UseDPDF=Y")</f>
        <v>#NAME?</v>
      </c>
      <c r="BO4" s="2" t="e">
        <f ca="1">_xll.BDH($C$3,"TOTAL_ASSETS_SEQUENTIAL_GROWTH","FQ1 2014","FQ1 2014","Currency=INR","Period=FQ","BEST_FPERIOD_OVERRIDE=FQ","FILING_STATUS=OR","EQY_CONSOLIDATED=Y","Sort=A","Dates=H","DateFormat=P","Fill=—","Direction=H","UseDPDF=Y")</f>
        <v>#NAME?</v>
      </c>
      <c r="BP4" s="2" t="e">
        <f ca="1">_xll.BDH($C$3,"MODIFIED_WORKING_CPTL_SEQ_GRWTH","FQ1 2014","FQ1 2014","Currency=INR","Period=FQ","BEST_FPERIOD_OVERRIDE=FQ","FILING_STATUS=OR","EQY_CONSOLIDATED=Y","Sort=A","Dates=H","DateFormat=P","Fill=—","Direction=H","UseDPDF=Y")</f>
        <v>#NAME?</v>
      </c>
      <c r="BQ4" s="2" t="e">
        <f ca="1">_xll.BDH($C$3,"WORKING_CAPITAL_SEQ_GROWTH","FQ1 2014","FQ1 2014","Currency=INR","Period=FQ","BEST_FPERIOD_OVERRIDE=FQ","FILING_STATUS=OR","EQY_CONSOLIDATED=Y","Sort=A","Dates=H","DateFormat=P","Fill=—","Direction=H","UseDPDF=Y")</f>
        <v>#NAME?</v>
      </c>
      <c r="BR4" s="2" t="e">
        <f ca="1">_xll.BDH($C$3,"ACCOUNTS_PAYABLE_SEQ_GROWTH","FQ1 2014","FQ1 2014","Currency=INR","Period=FQ","BEST_FPERIOD_OVERRIDE=FQ","FILING_STATUS=OR","EQY_CONSOLIDATED=Y","Sort=A","Dates=H","DateFormat=P","Fill=—","Direction=H","UseDPDF=Y")</f>
        <v>#NAME?</v>
      </c>
      <c r="BS4" s="2" t="e">
        <f ca="1">_xll.BDH($C$3,"ST_DEBT_SEQUENTIAL_GROWTH","FQ1 2014","FQ1 2014","Currency=INR","Period=FQ","BEST_FPERIOD_OVERRIDE=FQ","FILING_STATUS=OR","EQY_CONSOLIDATED=Y","Sort=A","Dates=H","DateFormat=P","Fill=—","Direction=H","UseDPDF=Y")</f>
        <v>#NAME?</v>
      </c>
      <c r="BT4" s="2" t="e">
        <f ca="1">_xll.BDH($C$3,"TOTAL_DEBT_SEQUENTIAL_GROWTH","FQ1 2014","FQ1 2014","Currency=INR","Period=FQ","BEST_FPERIOD_OVERRIDE=FQ","FILING_STATUS=OR","EQY_CONSOLIDATED=Y","Sort=A","Dates=H","DateFormat=P","Fill=—","Direction=H","UseDPDF=Y")</f>
        <v>#NAME?</v>
      </c>
      <c r="BU4" s="2" t="e">
        <f ca="1">_xll.BDH($C$3,"TOTAL_EQUITY_SEQUENTIAL_GROWTH","FQ1 2014","FQ1 2014","Currency=INR","Period=FQ","BEST_FPERIOD_OVERRIDE=FQ","FILING_STATUS=OR","EQY_CONSOLIDATED=Y","Sort=A","Dates=H","DateFormat=P","Fill=—","Direction=H","UseDPDF=Y")</f>
        <v>#NAME?</v>
      </c>
      <c r="BV4" s="2" t="e">
        <f ca="1">_xll.BDH($C$3,"TOTAL_CAPITAL_SEQUENTIAL_GROWTH","FQ1 2014","FQ1 2014","Currency=INR","Period=FQ","BEST_FPERIOD_OVERRIDE=FQ","FILING_STATUS=OR","EQY_CONSOLIDATED=Y","Sort=A","Dates=H","DateFormat=P","Fill=—","Direction=H","UseDPDF=Y")</f>
        <v>#NAME?</v>
      </c>
      <c r="BW4" s="2" t="e">
        <f ca="1">_xll.BDH($C$3,"BPS_SEQUENTIAL_GROWTH","FQ1 2014","FQ1 2014","Currency=INR","Period=FQ","BEST_FPERIOD_OVERRIDE=FQ","FILING_STATUS=OR","EQY_CONSOLIDATED=Y","Sort=A","Dates=H","DateFormat=P","Fill=—","Direction=H","UseDPDF=Y")</f>
        <v>#NAME?</v>
      </c>
      <c r="BX4" s="2" t="e">
        <f ca="1">_xll.BDH($C$3,"CFO_SEQUENTIAL_GROWTH","FQ1 2014","FQ1 2014","Currency=INR","Period=FQ","BEST_FPERIOD_OVERRIDE=FQ","FILING_STATUS=OR","EQY_CONSOLIDATED=Y","Sort=A","Dates=H","DateFormat=P","Fill=—","Direction=H","UseDPDF=Y")</f>
        <v>#NAME?</v>
      </c>
      <c r="BY4" s="3" t="e">
        <f ca="1">_xll.BDH($C$3,"SHORT_AND_LONG_TERM_DEBT","FQ1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4" s="3" t="e">
        <f ca="1">_xll.BDH($C$3,"BS_ST_BORROW","FQ1 2014","FQ1 2014","Currency=INR","Period=FQ","BEST_FPERIOD_OVERRIDE=FQ","FILING_STATUS=OR","EQY_CONSOLIDATED=Y","SCALING_FORMAT=MLN","Sort=A","Dates=H","DateFormat=P","Fill=—","Direction=H","UseDPDF=Y")</f>
        <v>#NAME?</v>
      </c>
      <c r="CA4" s="3" t="e">
        <f ca="1">_xll.BDH($C$3,"BS_LT_BORROW","FQ1 2014","FQ1 2014","Currency=INR","Period=FQ","BEST_FPERIOD_OVERRIDE=FQ","FILING_STATUS=OR","EQY_CONSOLIDATED=Y","SCALING_FORMAT=MLN","Sort=A","Dates=H","DateFormat=P","Fill=—","Direction=H","UseDPDF=Y")</f>
        <v>#NAME?</v>
      </c>
      <c r="CB4" s="2" t="e">
        <f ca="1">_xll.BDH($C$3,"TOT_DEBT_TO_EBITDA","FQ1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4" s="2" t="e">
        <f ca="1">_xll.BDH($C$3,"NET_DEBT_TO_EBITDA","FQ1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4" s="2" t="e">
        <f ca="1">_xll.BDH($C$3,"TOTAL_DEBT_TO_EBIT","FQ1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4" s="2" t="e">
        <f ca="1">_xll.BDH($C$3,"NET_DEBT_TO_EBIT","FQ1 2014","FQ1 2014","Currency=INR","Period=FQ","BEST_FPERIOD_OVERRIDE=FQ","FILING_STATUS=OR","EQY_CONSOLIDATED=Y","FA_ADJUSTED=GAAP","Sort=A","Dates=H","DateFormat=P","Fill=—","Direction=H","UseDPDF=Y")</f>
        <v>#NAME?</v>
      </c>
      <c r="CF4" s="2" t="e">
        <f ca="1">_xll.BDH($C$3,"EBITDA_TO_INTEREST_EXPN","FQ1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4" s="2" t="e">
        <f ca="1">_xll.BDH($C$3,"COM_EQY_TO_TOT_ASSET","FQ1 2014","FQ1 2014","Currency=INR","Period=FQ","BEST_FPERIOD_OVERRIDE=FQ","FILING_STATUS=OR","EQY_CONSOLIDATED=Y","Sort=A","Dates=H","DateFormat=P","Fill=—","Direction=H","UseDPDF=Y")</f>
        <v>#NAME?</v>
      </c>
      <c r="CH4" s="2" t="e">
        <f ca="1">_xll.BDH($C$3,"LT_DEBT_TO_TOT_EQY","FQ1 2014","FQ1 2014","Currency=INR","Period=FQ","BEST_FPERIOD_OVERRIDE=FQ","FILING_STATUS=OR","EQY_CONSOLIDATED=Y","Sort=A","Dates=H","DateFormat=P","Fill=—","Direction=H","UseDPDF=Y")</f>
        <v>#NAME?</v>
      </c>
      <c r="CI4" s="2" t="e">
        <f ca="1">_xll.BDH($C$3,"LT_DEBT_TO_TOT_CAP","FQ1 2014","FQ1 2014","Currency=INR","Period=FQ","BEST_FPERIOD_OVERRIDE=FQ","FILING_STATUS=OR","EQY_CONSOLIDATED=Y","Sort=A","Dates=H","DateFormat=P","Fill=—","Direction=H","UseDPDF=Y")</f>
        <v>#NAME?</v>
      </c>
      <c r="CJ4" s="2" t="e">
        <f ca="1">_xll.BDH($C$3,"LT_DEBT_TO_TOT_ASSET","FQ1 2014","FQ1 2014","Currency=INR","Period=FQ","BEST_FPERIOD_OVERRIDE=FQ","FILING_STATUS=OR","EQY_CONSOLIDATED=Y","Sort=A","Dates=H","DateFormat=P","Fill=—","Direction=H","UseDPDF=Y")</f>
        <v>#NAME?</v>
      </c>
      <c r="CK4" s="2" t="e">
        <f ca="1">_xll.BDH($C$3,"TOT_DEBT_TO_TOT_EQY","FQ1 2014","FQ1 2014","Currency=INR","Period=FQ","BEST_FPERIOD_OVERRIDE=FQ","FILING_STATUS=OR","EQY_CONSOLIDATED=Y","Sort=A","Dates=H","DateFormat=P","Fill=—","Direction=H","UseDPDF=Y")</f>
        <v>#NAME?</v>
      </c>
      <c r="CL4" s="2" t="e">
        <f ca="1">_xll.BDH($C$3,"TOT_DEBT_TO_TOT_CAP","FQ1 2014","FQ1 2014","Currency=INR","Period=FQ","BEST_FPERIOD_OVERRIDE=FQ","FILING_STATUS=OR","EQY_CONSOLIDATED=Y","Sort=A","Dates=H","DateFormat=P","Fill=—","Direction=H","UseDPDF=Y")</f>
        <v>#NAME?</v>
      </c>
      <c r="CM4" s="2" t="e">
        <f ca="1">_xll.BDH($C$3,"TOT_DEBT_TO_TOT_ASSET","FQ1 2014","FQ1 2014","Currency=INR","Period=FQ","BEST_FPERIOD_OVERRIDE=FQ","FILING_STATUS=OR","EQY_CONSOLIDATED=Y","Sort=A","Dates=H","DateFormat=P","Fill=—","Direction=H","UseDPDF=Y")</f>
        <v>#NAME?</v>
      </c>
      <c r="CN4" s="2" t="e">
        <f ca="1">_xll.BDH($C$3,"NET_DEBT_TO_SHRHLDR_EQTY","FQ1 2014","FQ1 2014","Currency=INR","Period=FQ","BEST_FPERIOD_OVERRIDE=FQ","FILING_STATUS=OR","EQY_CONSOLIDATED=Y","Sort=A","Dates=H","DateFormat=P","Fill=—","Direction=H","UseDPDF=Y")</f>
        <v>#NAME?</v>
      </c>
      <c r="CO4" s="2" t="e">
        <f ca="1">_xll.BDH($C$3,"NET_DEBT_%_CAPITAL","FQ1 2014","FQ1 2014","Currency=INR","Period=FQ","BEST_FPERIOD_OVERRIDE=FQ","FILING_STATUS=OR","EQY_CONSOLIDATED=Y","Sort=A","Dates=H","DateFormat=P","Fill=—","Direction=H","UseDPDF=Y")</f>
        <v>#NAME?</v>
      </c>
      <c r="CP4" s="3" t="e">
        <f ca="1">_xll.BDH($C$3,"EBITDA","FQ1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4" s="3" t="e">
        <f ca="1">_xll.BDH($C$3,"EBITDA_AFTER_CAPEX","FQ1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4" s="3" t="e">
        <f ca="1">_xll.BDH($C$3,"IS_OPER_INC","FQ1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4" s="2" t="e">
        <f ca="1">_xll.BDH($C$3,"CASH_RATIO","FQ1 2014","FQ1 2014","Currency=INR","Period=FQ","BEST_FPERIOD_OVERRIDE=FQ","FILING_STATUS=OR","EQY_CONSOLIDATED=Y","Sort=A","Dates=H","DateFormat=P","Fill=—","Direction=H","UseDPDF=Y")</f>
        <v>#NAME?</v>
      </c>
      <c r="CT4" s="2" t="e">
        <f ca="1">_xll.BDH($C$3,"CUR_RATIO","FQ1 2014","FQ1 2014","Currency=INR","Period=FQ","BEST_FPERIOD_OVERRIDE=FQ","FILING_STATUS=OR","EQY_CONSOLIDATED=Y","Sort=A","Dates=H","DateFormat=P","Fill=—","Direction=H","UseDPDF=Y")</f>
        <v>#NAME?</v>
      </c>
      <c r="CU4" s="2" t="e">
        <f ca="1">_xll.BDH($C$3,"QUICK_RATIO","FQ1 2014","FQ1 2014","Currency=INR","Period=FQ","BEST_FPERIOD_OVERRIDE=FQ","FILING_STATUS=OR","EQY_CONSOLIDATED=Y","Sort=A","Dates=H","DateFormat=P","Fill=—","Direction=H","UseDPDF=Y")</f>
        <v>#NAME?</v>
      </c>
      <c r="CV4" s="2" t="e">
        <f ca="1">_xll.BDH($C$3,"ALTMAN_Z_SCORE","FQ1 2014","FQ1 2014","Currency=INR","Period=FQ","BEST_FPERIOD_OVERRIDE=FQ","FILING_STATUS=OR","EQY_CONSOLIDATED=Y","Sort=A","Dates=H","DateFormat=P","Fill=—","Direction=H","UseDPDF=Y")</f>
        <v>#NAME?</v>
      </c>
      <c r="CW4" s="4" t="e">
        <f ca="1">_xll.BDH($C$3,"ACCT_RCV_TURN","FQ1 2014","FQ1 2014","Currency=INR","Period=FQ","BEST_FPERIOD_OVERRIDE=FQ","FILING_STATUS=OR","EQY_CONSOLIDATED=Y","FA_ADJUSTED=GAAP","Sort=A","Dates=H","DateFormat=P","Fill=—","Direction=H","UseDPDF=Y")</f>
        <v>#NAME?</v>
      </c>
      <c r="CX4" s="2" t="e">
        <f ca="1">_xll.BDH($C$3,"ACCT_RCV_DAYS","FQ1 2014","FQ1 2014","Currency=INR","Period=FQ","BEST_FPERIOD_OVERRIDE=FQ","FILING_STATUS=OR","EQY_CONSOLIDATED=Y","FA_ADJUSTED=GAAP","Sort=A","Dates=H","DateFormat=P","Fill=—","Direction=H","UseDPDF=Y")</f>
        <v>#NAME?</v>
      </c>
      <c r="CY4" s="4" t="e">
        <f ca="1">_xll.BDH($C$3,"INVENT_TURN","FQ1 2014","FQ1 2014","Currency=INR","Period=FQ","BEST_FPERIOD_OVERRIDE=FQ","FILING_STATUS=OR","EQY_CONSOLIDATED=Y","FA_ADJUSTED=GAAP","Sort=A","Dates=H","DateFormat=P","Fill=—","Direction=H","UseDPDF=Y")</f>
        <v>#NAME?</v>
      </c>
      <c r="CZ4" s="2" t="e">
        <f ca="1">_xll.BDH($C$3,"INVENT_DAYS","FQ1 2014","FQ1 2014","Currency=INR","Period=FQ","BEST_FPERIOD_OVERRIDE=FQ","FILING_STATUS=OR","EQY_CONSOLIDATED=Y","FA_ADJUSTED=GAAP","Sort=A","Dates=H","DateFormat=P","Fill=—","Direction=H","UseDPDF=Y")</f>
        <v>#NAME?</v>
      </c>
      <c r="DA4" s="4" t="e">
        <f ca="1">_xll.BDH($C$3,"ACCOUNTS_PAYABLE_TURNOVER","FQ1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4" s="2" t="e">
        <f ca="1">_xll.BDH($C$3,"ACCOUNTS_PAYABLE_TURNOVER_DAYS","FQ1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4" s="4" t="e">
        <f ca="1">_xll.BDH($C$3,"CASH_CONVERSION_CYCLE","FQ1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4" s="4" t="e">
        <f ca="1">_xll.BDH($C$3,"INV_TO_CASH_DAYS","FQ1 2014","FQ1 2014","Currency=INR","Period=FQ","BEST_FPERIOD_OVERRIDE=FQ","FILING_STATUS=OR","EQY_CONSOLIDATED=Y","FA_ADJUSTED=GAAP","Sort=A","Dates=H","DateFormat=P","Fill=—","Direction=H","UseDPDF=Y")</f>
        <v>#NAME?</v>
      </c>
      <c r="DE4" s="5" t="e">
        <f ca="1">_xll.BDH($C$3,"BS_INVENTORIES","FQ1 2014","FQ1 2014","Currency=INR","Period=FQ","BEST_FPERIOD_OVERRIDE=FQ","FILING_STATUS=OR","EQY_CONSOLIDATED=Y","SCALING_FORMAT=MLN","Sort=A","Dates=H","DateFormat=P","Fill=—","Direction=H","UseDPDF=Y")</f>
        <v>#NAME?</v>
      </c>
      <c r="DF4" s="3" t="e">
        <f ca="1">_xll.BDH($C$3,"INVTRY_RAW_MATERIALS","FQ1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4" s="3" t="e">
        <f ca="1">_xll.BDH($C$3,"INVTRY_IN_PROGRESS","FQ1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4" s="3" t="e">
        <f ca="1">_xll.BDH($C$3,"INVTRY_FINISHED_GOODS","FQ1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4" s="3" t="e">
        <f ca="1">_xll.BDH($C$3,"BS_OTHER_INV","FQ1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" spans="1:113" x14ac:dyDescent="0.3">
      <c r="A5" s="6"/>
      <c r="B5" s="6"/>
      <c r="C5" s="6"/>
      <c r="D5" s="6"/>
      <c r="E5" t="s">
        <v>79</v>
      </c>
      <c r="F5" t="e">
        <f ca="1">_xll.BDH($C$3,"RETURN_COM_EQY","FQ2 2014","FQ2 2014","Currency=INR","Period=FQ","BEST_FPERIOD_OVERRIDE=FQ","FILING_STATUS=OR","EQY_CONSOLIDATED=Y","FA_ADJUSTED=GAAP","Sort=A","Dates=H","DateFormat=P","Fill=—","Direction=H","UseDPDF=Y")</f>
        <v>#NAME?</v>
      </c>
      <c r="G5" t="e">
        <f ca="1">_xll.BDH($C$3,"RETURN_ON_ASSET","FQ2 2014","FQ2 2014","Currency=INR","Period=FQ","BEST_FPERIOD_OVERRIDE=FQ","FILING_STATUS=OR","EQY_CONSOLIDATED=Y","FA_ADJUSTED=GAAP","Sort=A","Dates=H","DateFormat=P","Fill=—","Direction=H","UseDPDF=Y")</f>
        <v>#NAME?</v>
      </c>
      <c r="H5" t="e">
        <f ca="1">_xll.BDH($C$3,"RETURN_ON_CAP","FQ2 2014","FQ2 2014","Currency=INR","Period=FQ","BEST_FPERIOD_OVERRIDE=FQ","FILING_STATUS=OR","EQY_CONSOLIDATED=Y","FA_ADJUSTED=GAAP","Sort=A","Dates=H","DateFormat=P","Fill=—","Direction=H","UseDPDF=Y")</f>
        <v>#NAME?</v>
      </c>
      <c r="I5" t="e">
        <f ca="1">_xll.BDH($C$3,"RETURN_ON_INV_CAPITAL","FQ2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" t="e">
        <f ca="1">_xll.BDH($C$3,"EBITDA_TO_REVENUE","FQ2 2014","FQ2 2014","Currency=INR","Period=FQ","BEST_FPERIOD_OVERRIDE=FQ","FILING_STATUS=OR","EQY_CONSOLIDATED=Y","FA_ADJUSTED=GAAP","Sort=A","Dates=H","DateFormat=P","Fill=—","Direction=H","UseDPDF=Y")</f>
        <v>#NAME?</v>
      </c>
      <c r="K5" t="e">
        <f ca="1">_xll.BDH($C$3,"OPER_MARGIN","FQ2 2014","FQ2 2014","Currency=INR","Period=FQ","BEST_FPERIOD_OVERRIDE=FQ","FILING_STATUS=OR","EQY_CONSOLIDATED=Y","FA_ADJUSTED=GAAP","Sort=A","Dates=H","DateFormat=P","Fill=—","Direction=H","UseDPDF=Y")</f>
        <v>#NAME?</v>
      </c>
      <c r="L5" t="e">
        <f ca="1">_xll.BDH($C$3,"INCREMENTAL_OPERATING_MARGIN","FQ2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" t="e">
        <f ca="1">_xll.BDH($C$3,"PRETAX_INC_TO_NET_SALES","FQ2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" t="e">
        <f ca="1">_xll.BDH($C$3,"INC_BEF_XO_ITEMS_TO_NET_SALES","FQ2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" t="e">
        <f ca="1">_xll.BDH($C$3,"PROF_MARGIN","FQ2 2014","FQ2 2014","Currency=INR","Period=FQ","BEST_FPERIOD_OVERRIDE=FQ","FILING_STATUS=OR","EQY_CONSOLIDATED=Y","FA_ADJUSTED=GAAP","Sort=A","Dates=H","DateFormat=P","Fill=—","Direction=H","UseDPDF=Y")</f>
        <v>#NAME?</v>
      </c>
      <c r="P5" t="e">
        <f ca="1">_xll.BDH($C$3,"NET_INCOME_TO_COMMON_MARGIN","FQ2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" t="e">
        <f ca="1">_xll.BDH($C$3,"EFF_TAX_RATE","FQ2 2014","FQ2 2014","Currency=INR","Period=FQ","BEST_FPERIOD_OVERRIDE=FQ","FILING_STATUS=OR","EQY_CONSOLIDATED=Y","FA_ADJUSTED=GAAP","Sort=A","Dates=H","DateFormat=P","Fill=—","Direction=H","UseDPDF=Y")</f>
        <v>#NAME?</v>
      </c>
      <c r="R5" t="e">
        <f ca="1">_xll.BDH($C$3,"DVD_PAYOUT_RATIO","FQ2 2014","FQ2 2014","Currency=INR","Period=FQ","BEST_FPERIOD_OVERRIDE=FQ","FILING_STATUS=OR","EQY_CONSOLIDATED=Y","FA_ADJUSTED=GAAP","Sort=A","Dates=H","DateFormat=P","Fill=—","Direction=H","UseDPDF=Y")</f>
        <v>#NAME?</v>
      </c>
      <c r="S5" t="e">
        <f ca="1">_xll.BDH($C$3,"SUSTAIN_GROWTH_RT","FQ2 2014","FQ2 2014","Currency=INR","Period=FQ","BEST_FPERIOD_OVERRIDE=FQ","FILING_STATUS=OR","EQY_CONSOLIDATED=Y","FA_ADJUSTED=GAAP","Sort=A","Dates=H","DateFormat=P","Fill=—","Direction=H","UseDPDF=Y")</f>
        <v>#NAME?</v>
      </c>
      <c r="T5" s="2" t="e">
        <f ca="1">_xll.BDH($C$3,"SALES_GROWTH","FQ2 2014","FQ2 2014","Currency=INR","Period=FQ","BEST_FPERIOD_OVERRIDE=FQ","FILING_STATUS=OR","EQY_CONSOLIDATED=Y","FA_ADJUSTED=GAAP","Sort=A","Dates=H","DateFormat=P","Fill=—","Direction=H","UseDPDF=Y")</f>
        <v>#NAME?</v>
      </c>
      <c r="U5" s="2" t="e">
        <f ca="1">_xll.BDH($C$3,"EBITDA_GROWTH","FQ2 2014","FQ2 2014","Currency=INR","Period=FQ","BEST_FPERIOD_OVERRIDE=FQ","FILING_STATUS=OR","EQY_CONSOLIDATED=Y","FA_ADJUSTED=GAAP","Sort=A","Dates=H","DateFormat=P","Fill=—","Direction=H","UseDPDF=Y")</f>
        <v>#NAME?</v>
      </c>
      <c r="V5" s="2" t="e">
        <f ca="1">_xll.BDH($C$3,"OPER_INC_GROWTH","FQ2 2014","FQ2 2014","Currency=INR","Period=FQ","BEST_FPERIOD_OVERRIDE=FQ","FILING_STATUS=OR","EQY_CONSOLIDATED=Y","FA_ADJUSTED=GAAP","Sort=A","Dates=H","DateFormat=P","Fill=—","Direction=H","UseDPDF=Y")</f>
        <v>#NAME?</v>
      </c>
      <c r="W5" s="2" t="e">
        <f ca="1">_xll.BDH($C$3,"EARN_FOR_COM_GROWTH","FQ2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" s="2" t="e">
        <f ca="1">_xll.BDH($C$3,"DILUTED_EPS_AFT_XO_ITEMS_GROWTH","FQ2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" s="2" t="e">
        <f ca="1">_xll.BDH($C$3,"DIVIDEND_PER_SHARE_1_YEAR_GROWTH","FQ2 2014","FQ2 2014","Currency=INR","Period=FQ","BEST_FPERIOD_OVERRIDE=FQ","FILING_STATUS=OR","EQY_CONSOLIDATED=Y","Sort=A","Dates=H","DateFormat=P","Fill=—","Direction=H","UseDPDF=Y")</f>
        <v>#NAME?</v>
      </c>
      <c r="Z5" s="2" t="e">
        <f ca="1">_xll.BDH($C$3,"ACCOUNTS_RECEIVABLE_GROWTH","FQ2 2014","FQ2 2014","Currency=INR","Period=FQ","BEST_FPERIOD_OVERRIDE=FQ","FILING_STATUS=OR","EQY_CONSOLIDATED=Y","Sort=A","Dates=H","DateFormat=P","Fill=—","Direction=H","UseDPDF=Y")</f>
        <v>#NAME?</v>
      </c>
      <c r="AA5" s="2" t="e">
        <f ca="1">_xll.BDH($C$3,"INVENTORY_GROWTH","FQ2 2014","FQ2 2014","Currency=INR","Period=FQ","BEST_FPERIOD_OVERRIDE=FQ","FILING_STATUS=OR","EQY_CONSOLIDATED=Y","Sort=A","Dates=H","DateFormat=P","Fill=—","Direction=H","UseDPDF=Y")</f>
        <v>#NAME?</v>
      </c>
      <c r="AB5" s="2" t="e">
        <f ca="1">_xll.BDH($C$3,"NET_FIXED_ASSETS_1_YEAR_GROWTH","FQ2 2014","FQ2 2014","Currency=INR","Period=FQ","BEST_FPERIOD_OVERRIDE=FQ","FILING_STATUS=OR","EQY_CONSOLIDATED=Y","Sort=A","Dates=H","DateFormat=P","Fill=—","Direction=H","UseDPDF=Y")</f>
        <v>#NAME?</v>
      </c>
      <c r="AC5" s="2" t="e">
        <f ca="1">_xll.BDH($C$3,"ASSET_GROWTH","FQ2 2014","FQ2 2014","Currency=INR","Period=FQ","BEST_FPERIOD_OVERRIDE=FQ","FILING_STATUS=OR","EQY_CONSOLIDATED=Y","Sort=A","Dates=H","DateFormat=P","Fill=—","Direction=H","UseDPDF=Y")</f>
        <v>#NAME?</v>
      </c>
      <c r="AD5" s="2" t="e">
        <f ca="1">_xll.BDH($C$3,"MODIFIED_WORK_CAP_GROWTH","FQ2 2014","FQ2 2014","Currency=INR","Period=FQ","BEST_FPERIOD_OVERRIDE=FQ","FILING_STATUS=OR","EQY_CONSOLIDATED=Y","Sort=A","Dates=H","DateFormat=P","Fill=—","Direction=H","UseDPDF=Y")</f>
        <v>#NAME?</v>
      </c>
      <c r="AE5" s="2" t="e">
        <f ca="1">_xll.BDH($C$3,"WORK_CAP_GROWTH","FQ2 2014","FQ2 2014","Currency=INR","Period=FQ","BEST_FPERIOD_OVERRIDE=FQ","FILING_STATUS=OR","EQY_CONSOLIDATED=Y","Sort=A","Dates=H","DateFormat=P","Fill=—","Direction=H","UseDPDF=Y")</f>
        <v>#NAME?</v>
      </c>
      <c r="AF5" s="2" t="e">
        <f ca="1">_xll.BDH($C$3,"ACCOUNTS_PAYABLE_GROWTH_1YR","FQ2 2014","FQ2 2014","Currency=INR","Period=FQ","BEST_FPERIOD_OVERRIDE=FQ","FILING_STATUS=OR","EQY_CONSOLIDATED=Y","Sort=A","Dates=H","DateFormat=P","Fill=—","Direction=H","UseDPDF=Y")</f>
        <v>#NAME?</v>
      </c>
      <c r="AG5" s="2" t="e">
        <f ca="1">_xll.BDH($C$3,"SHORT_TERM_DEBT_1_YEAR_GROWTH","FQ2 2014","FQ2 2014","Currency=INR","Period=FQ","BEST_FPERIOD_OVERRIDE=FQ","FILING_STATUS=OR","EQY_CONSOLIDATED=Y","Sort=A","Dates=H","DateFormat=P","Fill=—","Direction=H","UseDPDF=Y")</f>
        <v>#NAME?</v>
      </c>
      <c r="AH5" s="2" t="e">
        <f ca="1">_xll.BDH($C$3,"TOTAL_DEBT_1_YEAR_GROWTH","FQ2 2014","FQ2 2014","Currency=INR","Period=FQ","BEST_FPERIOD_OVERRIDE=FQ","FILING_STATUS=OR","EQY_CONSOLIDATED=Y","Sort=A","Dates=H","DateFormat=P","Fill=—","Direction=H","UseDPDF=Y")</f>
        <v>#NAME?</v>
      </c>
      <c r="AI5" s="2" t="e">
        <f ca="1">_xll.BDH($C$3,"TOTAL_EQUITY_1_YEAR_GROWTH","FQ2 2014","FQ2 2014","Currency=INR","Period=FQ","BEST_FPERIOD_OVERRIDE=FQ","FILING_STATUS=OR","EQY_CONSOLIDATED=Y","Sort=A","Dates=H","DateFormat=P","Fill=—","Direction=H","UseDPDF=Y")</f>
        <v>#NAME?</v>
      </c>
      <c r="AJ5" s="2" t="e">
        <f ca="1">_xll.BDH($C$3,"GROWTH_IN_CAP","FQ2 2014","FQ2 2014","Currency=INR","Period=FQ","BEST_FPERIOD_OVERRIDE=FQ","FILING_STATUS=OR","EQY_CONSOLIDATED=Y","Sort=A","Dates=H","DateFormat=P","Fill=—","Direction=H","UseDPDF=Y")</f>
        <v>#NAME?</v>
      </c>
      <c r="AK5" s="2" t="e">
        <f ca="1">_xll.BDH($C$3,"BVPS_GROWTH","FQ2 2014","FQ2 2014","Currency=INR","Period=FQ","BEST_FPERIOD_OVERRIDE=FQ","FILING_STATUS=OR","EQY_CONSOLIDATED=Y","Sort=A","Dates=H","DateFormat=P","Fill=—","Direction=H","UseDPDF=Y")</f>
        <v>#NAME?</v>
      </c>
      <c r="AL5" s="2" t="e">
        <f ca="1">_xll.BDH($C$3,"CASH_FLOW_GROWTH","FQ2 2014","FQ2 2014","Currency=INR","Period=FQ","BEST_FPERIOD_OVERRIDE=FQ","FILING_STATUS=OR","EQY_CONSOLIDATED=Y","Sort=A","Dates=H","DateFormat=P","Fill=—","Direction=H","UseDPDF=Y")</f>
        <v>#NAME?</v>
      </c>
      <c r="AM5" s="2" t="e">
        <f ca="1">_xll.BDH($C$3,"GEO_GROW_NET_SALES","FQ2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" s="2" t="e">
        <f ca="1">_xll.BDH($C$3,"GEO_GROW_EBITDA","FQ2 2014","FQ2 2014","Currency=INR","Period=FQ","BEST_FPERIOD_OVERRIDE=FQ","FILING_STATUS=OR","EQY_CONSOLIDATED=Y","FA_ADJUSTED=GAAP","Sort=A","Dates=H","DateFormat=P","Fill=—","Direction=H","UseDPDF=Y")</f>
        <v>#NAME?</v>
      </c>
      <c r="AO5" s="2" t="e">
        <f ca="1">_xll.BDH($C$3,"GEO_GROW_OPER_INC","FQ2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" s="2" t="e">
        <f ca="1">_xll.BDH($C$3,"NET_INCOME_TO_COMMON_5_YR_GROWTH","FQ2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" s="2" t="e">
        <f ca="1">_xll.BDH($C$3,"5Y_GEO_GROWTH_DILUTED_EPS","FQ2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" s="2" t="e">
        <f ca="1">_xll.BDH($C$3,"GEO_GROW_DVD_PER_SH","FQ2 2014","FQ2 2014","Currency=INR","Period=FQ","BEST_FPERIOD_OVERRIDE=FQ","FILING_STATUS=OR","EQY_CONSOLIDATED=Y","Sort=A","Dates=H","DateFormat=P","Fill=—","Direction=H","UseDPDF=Y")</f>
        <v>#NAME?</v>
      </c>
      <c r="AS5" s="2" t="e">
        <f ca="1">_xll.BDH($C$3,"ACCOUNTS_RECEIVABLE_5_YR_GROWTH","FQ2 2014","FQ2 2014","Currency=INR","Period=FQ","BEST_FPERIOD_OVERRIDE=FQ","FILING_STATUS=OR","EQY_CONSOLIDATED=Y","Sort=A","Dates=H","DateFormat=P","Fill=—","Direction=H","UseDPDF=Y")</f>
        <v>#NAME?</v>
      </c>
      <c r="AT5" s="2" t="e">
        <f ca="1">_xll.BDH($C$3,"INVENTORY_5_YEAR_GROWTH","FQ2 2014","FQ2 2014","Currency=INR","Period=FQ","BEST_FPERIOD_OVERRIDE=FQ","FILING_STATUS=OR","EQY_CONSOLIDATED=Y","Sort=A","Dates=H","DateFormat=P","Fill=—","Direction=H","UseDPDF=Y")</f>
        <v>#NAME?</v>
      </c>
      <c r="AU5" s="2" t="e">
        <f ca="1">_xll.BDH($C$3,"NET_FIXED_ASSETS_5_YEAR_GROWTH","FQ2 2014","FQ2 2014","Currency=INR","Period=FQ","BEST_FPERIOD_OVERRIDE=FQ","FILING_STATUS=OR","EQY_CONSOLIDATED=Y","Sort=A","Dates=H","DateFormat=P","Fill=—","Direction=H","UseDPDF=Y")</f>
        <v>#NAME?</v>
      </c>
      <c r="AV5" s="2" t="e">
        <f ca="1">_xll.BDH($C$3,"GEO_GROW_TOT_ASSET","FQ2 2014","FQ2 2014","Currency=INR","Period=FQ","BEST_FPERIOD_OVERRIDE=FQ","FILING_STATUS=OR","EQY_CONSOLIDATED=Y","Sort=A","Dates=H","DateFormat=P","Fill=—","Direction=H","UseDPDF=Y")</f>
        <v>#NAME?</v>
      </c>
      <c r="AW5" s="2" t="e">
        <f ca="1">_xll.BDH($C$3,"MODIFIED_WORKING_CPTL_5YR_GRWTH","FQ2 2014","FQ2 2014","Currency=INR","Period=FQ","BEST_FPERIOD_OVERRIDE=FQ","FILING_STATUS=OR","EQY_CONSOLIDATED=Y","Sort=A","Dates=H","DateFormat=P","Fill=—","Direction=H","UseDPDF=Y")</f>
        <v>#NAME?</v>
      </c>
      <c r="AX5" s="2" t="e">
        <f ca="1">_xll.BDH($C$3,"WORKING_CAPITAL_5_YEAR_GROWTH","FQ2 2014","FQ2 2014","Currency=INR","Period=FQ","BEST_FPERIOD_OVERRIDE=FQ","FILING_STATUS=OR","EQY_CONSOLIDATED=Y","Sort=A","Dates=H","DateFormat=P","Fill=—","Direction=H","UseDPDF=Y")</f>
        <v>#NAME?</v>
      </c>
      <c r="AY5" s="2" t="e">
        <f ca="1">_xll.BDH($C$3,"ACCOUNTS_PAYABLE_5_YEAR_GROWTH","FQ2 2014","FQ2 2014","Currency=INR","Period=FQ","BEST_FPERIOD_OVERRIDE=FQ","FILING_STATUS=OR","EQY_CONSOLIDATED=Y","Sort=A","Dates=H","DateFormat=P","Fill=—","Direction=H","UseDPDF=Y")</f>
        <v>#NAME?</v>
      </c>
      <c r="AZ5" s="2" t="e">
        <f ca="1">_xll.BDH($C$3,"SHORT_TERM_DEBT_5_YEAR_GROWTH","FQ2 2014","FQ2 2014","Currency=INR","Period=FQ","BEST_FPERIOD_OVERRIDE=FQ","FILING_STATUS=OR","EQY_CONSOLIDATED=Y","Sort=A","Dates=H","DateFormat=P","Fill=—","Direction=H","UseDPDF=Y")</f>
        <v>#NAME?</v>
      </c>
      <c r="BA5" s="2" t="e">
        <f ca="1">_xll.BDH($C$3,"TOTAL_DEBT_5_YEAR_GROWTH","FQ2 2014","FQ2 2014","Currency=INR","Period=FQ","BEST_FPERIOD_OVERRIDE=FQ","FILING_STATUS=OR","EQY_CONSOLIDATED=Y","Sort=A","Dates=H","DateFormat=P","Fill=—","Direction=H","UseDPDF=Y")</f>
        <v>#NAME?</v>
      </c>
      <c r="BB5" s="2" t="e">
        <f ca="1">_xll.BDH($C$3,"GEO_GROW_TOT_SHRHLDR_EQY","FQ2 2014","FQ2 2014","Currency=INR","Period=FQ","BEST_FPERIOD_OVERRIDE=FQ","FILING_STATUS=OR","EQY_CONSOLIDATED=Y","Sort=A","Dates=H","DateFormat=P","Fill=—","Direction=H","UseDPDF=Y")</f>
        <v>#NAME?</v>
      </c>
      <c r="BC5" s="2" t="e">
        <f ca="1">_xll.BDH($C$3,"TOTAL_CAPITAL_5_YEAR_GROWTH","FQ2 2014","FQ2 2014","Currency=INR","Period=FQ","BEST_FPERIOD_OVERRIDE=FQ","FILING_STATUS=OR","EQY_CONSOLIDATED=Y","Sort=A","Dates=H","DateFormat=P","Fill=—","Direction=H","UseDPDF=Y")</f>
        <v>#NAME?</v>
      </c>
      <c r="BD5" s="2" t="e">
        <f ca="1">_xll.BDH($C$3,"GEO_GROW_BOOK_VAL","FQ2 2014","FQ2 2014","Currency=INR","Period=FQ","BEST_FPERIOD_OVERRIDE=FQ","FILING_STATUS=OR","EQY_CONSOLIDATED=Y","Sort=A","Dates=H","DateFormat=P","Fill=—","Direction=H","UseDPDF=Y")</f>
        <v>#NAME?</v>
      </c>
      <c r="BE5" s="2" t="e">
        <f ca="1">_xll.BDH($C$3,"GEO_GROW_CASH_OPER_ACT","FQ2 2014","FQ2 2014","Currency=INR","Period=FQ","BEST_FPERIOD_OVERRIDE=FQ","FILING_STATUS=OR","EQY_CONSOLIDATED=Y","Sort=A","Dates=H","DateFormat=P","Fill=—","Direction=H","UseDPDF=Y")</f>
        <v>#NAME?</v>
      </c>
      <c r="BF5" s="2" t="e">
        <f ca="1">_xll.BDH($C$3,"REVENUE_SEQUENTIAL_GROWTH","FQ2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" s="2" t="e">
        <f ca="1">_xll.BDH($C$3,"EBITDA_SEQUENTIAL_GROWTH","FQ2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" s="2" t="e">
        <f ca="1">_xll.BDH($C$3,"OPERATING_INCOME_SEQ_GROWTH","FQ2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" s="2" t="e">
        <f ca="1">_xll.BDH($C$3,"NET_INCOME_TO_COMMON_SEQ_GROWTH","FQ2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" s="2" t="e">
        <f ca="1">_xll.BDH($C$3,"EPS_DILUTED_SEQUENTIAL_GROWTH","FQ2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" s="2" t="e">
        <f ca="1">_xll.BDH($C$3,"DPS_SEQUENTIAL_GROWTH","FQ2 2014","FQ2 2014","Currency=INR","Period=FQ","BEST_FPERIOD_OVERRIDE=FQ","FILING_STATUS=OR","EQY_CONSOLIDATED=Y","Sort=A","Dates=H","DateFormat=P","Fill=—","Direction=H","UseDPDF=Y")</f>
        <v>#NAME?</v>
      </c>
      <c r="BL5" s="2" t="e">
        <f ca="1">_xll.BDH($C$3,"ACCOUNTS_RECEIVABLE_SEQ_GROWTH","FQ2 2014","FQ2 2014","Currency=INR","Period=FQ","BEST_FPERIOD_OVERRIDE=FQ","FILING_STATUS=OR","EQY_CONSOLIDATED=Y","Sort=A","Dates=H","DateFormat=P","Fill=—","Direction=H","UseDPDF=Y")</f>
        <v>#NAME?</v>
      </c>
      <c r="BM5" s="2" t="e">
        <f ca="1">_xll.BDH($C$3,"INVENTORY_SEQUENTIAL_GROWTH","FQ2 2014","FQ2 2014","Currency=INR","Period=FQ","BEST_FPERIOD_OVERRIDE=FQ","FILING_STATUS=OR","EQY_CONSOLIDATED=Y","Sort=A","Dates=H","DateFormat=P","Fill=—","Direction=H","UseDPDF=Y")</f>
        <v>#NAME?</v>
      </c>
      <c r="BN5" s="2" t="e">
        <f ca="1">_xll.BDH($C$3,"FIXED_ASSETS_SEQUENTIAL_GROWTH","FQ2 2014","FQ2 2014","Currency=INR","Period=FQ","BEST_FPERIOD_OVERRIDE=FQ","FILING_STATUS=OR","EQY_CONSOLIDATED=Y","Sort=A","Dates=H","DateFormat=P","Fill=—","Direction=H","UseDPDF=Y")</f>
        <v>#NAME?</v>
      </c>
      <c r="BO5" s="2" t="e">
        <f ca="1">_xll.BDH($C$3,"TOTAL_ASSETS_SEQUENTIAL_GROWTH","FQ2 2014","FQ2 2014","Currency=INR","Period=FQ","BEST_FPERIOD_OVERRIDE=FQ","FILING_STATUS=OR","EQY_CONSOLIDATED=Y","Sort=A","Dates=H","DateFormat=P","Fill=—","Direction=H","UseDPDF=Y")</f>
        <v>#NAME?</v>
      </c>
      <c r="BP5" s="2" t="e">
        <f ca="1">_xll.BDH($C$3,"MODIFIED_WORKING_CPTL_SEQ_GRWTH","FQ2 2014","FQ2 2014","Currency=INR","Period=FQ","BEST_FPERIOD_OVERRIDE=FQ","FILING_STATUS=OR","EQY_CONSOLIDATED=Y","Sort=A","Dates=H","DateFormat=P","Fill=—","Direction=H","UseDPDF=Y")</f>
        <v>#NAME?</v>
      </c>
      <c r="BQ5" s="2" t="e">
        <f ca="1">_xll.BDH($C$3,"WORKING_CAPITAL_SEQ_GROWTH","FQ2 2014","FQ2 2014","Currency=INR","Period=FQ","BEST_FPERIOD_OVERRIDE=FQ","FILING_STATUS=OR","EQY_CONSOLIDATED=Y","Sort=A","Dates=H","DateFormat=P","Fill=—","Direction=H","UseDPDF=Y")</f>
        <v>#NAME?</v>
      </c>
      <c r="BR5" s="2" t="e">
        <f ca="1">_xll.BDH($C$3,"ACCOUNTS_PAYABLE_SEQ_GROWTH","FQ2 2014","FQ2 2014","Currency=INR","Period=FQ","BEST_FPERIOD_OVERRIDE=FQ","FILING_STATUS=OR","EQY_CONSOLIDATED=Y","Sort=A","Dates=H","DateFormat=P","Fill=—","Direction=H","UseDPDF=Y")</f>
        <v>#NAME?</v>
      </c>
      <c r="BS5" s="2" t="e">
        <f ca="1">_xll.BDH($C$3,"ST_DEBT_SEQUENTIAL_GROWTH","FQ2 2014","FQ2 2014","Currency=INR","Period=FQ","BEST_FPERIOD_OVERRIDE=FQ","FILING_STATUS=OR","EQY_CONSOLIDATED=Y","Sort=A","Dates=H","DateFormat=P","Fill=—","Direction=H","UseDPDF=Y")</f>
        <v>#NAME?</v>
      </c>
      <c r="BT5" s="2" t="e">
        <f ca="1">_xll.BDH($C$3,"TOTAL_DEBT_SEQUENTIAL_GROWTH","FQ2 2014","FQ2 2014","Currency=INR","Period=FQ","BEST_FPERIOD_OVERRIDE=FQ","FILING_STATUS=OR","EQY_CONSOLIDATED=Y","Sort=A","Dates=H","DateFormat=P","Fill=—","Direction=H","UseDPDF=Y")</f>
        <v>#NAME?</v>
      </c>
      <c r="BU5" s="2" t="e">
        <f ca="1">_xll.BDH($C$3,"TOTAL_EQUITY_SEQUENTIAL_GROWTH","FQ2 2014","FQ2 2014","Currency=INR","Period=FQ","BEST_FPERIOD_OVERRIDE=FQ","FILING_STATUS=OR","EQY_CONSOLIDATED=Y","Sort=A","Dates=H","DateFormat=P","Fill=—","Direction=H","UseDPDF=Y")</f>
        <v>#NAME?</v>
      </c>
      <c r="BV5" s="2" t="e">
        <f ca="1">_xll.BDH($C$3,"TOTAL_CAPITAL_SEQUENTIAL_GROWTH","FQ2 2014","FQ2 2014","Currency=INR","Period=FQ","BEST_FPERIOD_OVERRIDE=FQ","FILING_STATUS=OR","EQY_CONSOLIDATED=Y","Sort=A","Dates=H","DateFormat=P","Fill=—","Direction=H","UseDPDF=Y")</f>
        <v>#NAME?</v>
      </c>
      <c r="BW5" s="2" t="e">
        <f ca="1">_xll.BDH($C$3,"BPS_SEQUENTIAL_GROWTH","FQ2 2014","FQ2 2014","Currency=INR","Period=FQ","BEST_FPERIOD_OVERRIDE=FQ","FILING_STATUS=OR","EQY_CONSOLIDATED=Y","Sort=A","Dates=H","DateFormat=P","Fill=—","Direction=H","UseDPDF=Y")</f>
        <v>#NAME?</v>
      </c>
      <c r="BX5" s="2" t="e">
        <f ca="1">_xll.BDH($C$3,"CFO_SEQUENTIAL_GROWTH","FQ2 2014","FQ2 2014","Currency=INR","Period=FQ","BEST_FPERIOD_OVERRIDE=FQ","FILING_STATUS=OR","EQY_CONSOLIDATED=Y","Sort=A","Dates=H","DateFormat=P","Fill=—","Direction=H","UseDPDF=Y")</f>
        <v>#NAME?</v>
      </c>
      <c r="BY5" s="3" t="e">
        <f ca="1">_xll.BDH($C$3,"SHORT_AND_LONG_TERM_DEBT","FQ2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" s="3" t="e">
        <f ca="1">_xll.BDH($C$3,"BS_ST_BORROW","FQ2 2014","FQ2 2014","Currency=INR","Period=FQ","BEST_FPERIOD_OVERRIDE=FQ","FILING_STATUS=OR","EQY_CONSOLIDATED=Y","SCALING_FORMAT=MLN","Sort=A","Dates=H","DateFormat=P","Fill=—","Direction=H","UseDPDF=Y")</f>
        <v>#NAME?</v>
      </c>
      <c r="CA5" s="3" t="e">
        <f ca="1">_xll.BDH($C$3,"BS_LT_BORROW","FQ2 2014","FQ2 2014","Currency=INR","Period=FQ","BEST_FPERIOD_OVERRIDE=FQ","FILING_STATUS=OR","EQY_CONSOLIDATED=Y","SCALING_FORMAT=MLN","Sort=A","Dates=H","DateFormat=P","Fill=—","Direction=H","UseDPDF=Y")</f>
        <v>#NAME?</v>
      </c>
      <c r="CB5" s="2" t="e">
        <f ca="1">_xll.BDH($C$3,"TOT_DEBT_TO_EBITDA","FQ2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" s="2" t="e">
        <f ca="1">_xll.BDH($C$3,"NET_DEBT_TO_EBITDA","FQ2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" s="2" t="e">
        <f ca="1">_xll.BDH($C$3,"TOTAL_DEBT_TO_EBIT","FQ2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" s="2" t="e">
        <f ca="1">_xll.BDH($C$3,"NET_DEBT_TO_EBIT","FQ2 2014","FQ2 2014","Currency=INR","Period=FQ","BEST_FPERIOD_OVERRIDE=FQ","FILING_STATUS=OR","EQY_CONSOLIDATED=Y","FA_ADJUSTED=GAAP","Sort=A","Dates=H","DateFormat=P","Fill=—","Direction=H","UseDPDF=Y")</f>
        <v>#NAME?</v>
      </c>
      <c r="CF5" s="2" t="e">
        <f ca="1">_xll.BDH($C$3,"EBITDA_TO_INTEREST_EXPN","FQ2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" s="2" t="e">
        <f ca="1">_xll.BDH($C$3,"COM_EQY_TO_TOT_ASSET","FQ2 2014","FQ2 2014","Currency=INR","Period=FQ","BEST_FPERIOD_OVERRIDE=FQ","FILING_STATUS=OR","EQY_CONSOLIDATED=Y","Sort=A","Dates=H","DateFormat=P","Fill=—","Direction=H","UseDPDF=Y")</f>
        <v>#NAME?</v>
      </c>
      <c r="CH5" s="2" t="e">
        <f ca="1">_xll.BDH($C$3,"LT_DEBT_TO_TOT_EQY","FQ2 2014","FQ2 2014","Currency=INR","Period=FQ","BEST_FPERIOD_OVERRIDE=FQ","FILING_STATUS=OR","EQY_CONSOLIDATED=Y","Sort=A","Dates=H","DateFormat=P","Fill=—","Direction=H","UseDPDF=Y")</f>
        <v>#NAME?</v>
      </c>
      <c r="CI5" s="2" t="e">
        <f ca="1">_xll.BDH($C$3,"LT_DEBT_TO_TOT_CAP","FQ2 2014","FQ2 2014","Currency=INR","Period=FQ","BEST_FPERIOD_OVERRIDE=FQ","FILING_STATUS=OR","EQY_CONSOLIDATED=Y","Sort=A","Dates=H","DateFormat=P","Fill=—","Direction=H","UseDPDF=Y")</f>
        <v>#NAME?</v>
      </c>
      <c r="CJ5" s="2" t="e">
        <f ca="1">_xll.BDH($C$3,"LT_DEBT_TO_TOT_ASSET","FQ2 2014","FQ2 2014","Currency=INR","Period=FQ","BEST_FPERIOD_OVERRIDE=FQ","FILING_STATUS=OR","EQY_CONSOLIDATED=Y","Sort=A","Dates=H","DateFormat=P","Fill=—","Direction=H","UseDPDF=Y")</f>
        <v>#NAME?</v>
      </c>
      <c r="CK5" s="2" t="e">
        <f ca="1">_xll.BDH($C$3,"TOT_DEBT_TO_TOT_EQY","FQ2 2014","FQ2 2014","Currency=INR","Period=FQ","BEST_FPERIOD_OVERRIDE=FQ","FILING_STATUS=OR","EQY_CONSOLIDATED=Y","Sort=A","Dates=H","DateFormat=P","Fill=—","Direction=H","UseDPDF=Y")</f>
        <v>#NAME?</v>
      </c>
      <c r="CL5" s="2" t="e">
        <f ca="1">_xll.BDH($C$3,"TOT_DEBT_TO_TOT_CAP","FQ2 2014","FQ2 2014","Currency=INR","Period=FQ","BEST_FPERIOD_OVERRIDE=FQ","FILING_STATUS=OR","EQY_CONSOLIDATED=Y","Sort=A","Dates=H","DateFormat=P","Fill=—","Direction=H","UseDPDF=Y")</f>
        <v>#NAME?</v>
      </c>
      <c r="CM5" s="2" t="e">
        <f ca="1">_xll.BDH($C$3,"TOT_DEBT_TO_TOT_ASSET","FQ2 2014","FQ2 2014","Currency=INR","Period=FQ","BEST_FPERIOD_OVERRIDE=FQ","FILING_STATUS=OR","EQY_CONSOLIDATED=Y","Sort=A","Dates=H","DateFormat=P","Fill=—","Direction=H","UseDPDF=Y")</f>
        <v>#NAME?</v>
      </c>
      <c r="CN5" s="2" t="e">
        <f ca="1">_xll.BDH($C$3,"NET_DEBT_TO_SHRHLDR_EQTY","FQ2 2014","FQ2 2014","Currency=INR","Period=FQ","BEST_FPERIOD_OVERRIDE=FQ","FILING_STATUS=OR","EQY_CONSOLIDATED=Y","Sort=A","Dates=H","DateFormat=P","Fill=—","Direction=H","UseDPDF=Y")</f>
        <v>#NAME?</v>
      </c>
      <c r="CO5" s="2" t="e">
        <f ca="1">_xll.BDH($C$3,"NET_DEBT_%_CAPITAL","FQ2 2014","FQ2 2014","Currency=INR","Period=FQ","BEST_FPERIOD_OVERRIDE=FQ","FILING_STATUS=OR","EQY_CONSOLIDATED=Y","Sort=A","Dates=H","DateFormat=P","Fill=—","Direction=H","UseDPDF=Y")</f>
        <v>#NAME?</v>
      </c>
      <c r="CP5" s="3" t="e">
        <f ca="1">_xll.BDH($C$3,"EBITDA","FQ2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" s="3" t="e">
        <f ca="1">_xll.BDH($C$3,"EBITDA_AFTER_CAPEX","FQ2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" s="3" t="e">
        <f ca="1">_xll.BDH($C$3,"IS_OPER_INC","FQ2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" s="2" t="e">
        <f ca="1">_xll.BDH($C$3,"CASH_RATIO","FQ2 2014","FQ2 2014","Currency=INR","Period=FQ","BEST_FPERIOD_OVERRIDE=FQ","FILING_STATUS=OR","EQY_CONSOLIDATED=Y","Sort=A","Dates=H","DateFormat=P","Fill=—","Direction=H","UseDPDF=Y")</f>
        <v>#NAME?</v>
      </c>
      <c r="CT5" s="2" t="e">
        <f ca="1">_xll.BDH($C$3,"CUR_RATIO","FQ2 2014","FQ2 2014","Currency=INR","Period=FQ","BEST_FPERIOD_OVERRIDE=FQ","FILING_STATUS=OR","EQY_CONSOLIDATED=Y","Sort=A","Dates=H","DateFormat=P","Fill=—","Direction=H","UseDPDF=Y")</f>
        <v>#NAME?</v>
      </c>
      <c r="CU5" s="2" t="e">
        <f ca="1">_xll.BDH($C$3,"QUICK_RATIO","FQ2 2014","FQ2 2014","Currency=INR","Period=FQ","BEST_FPERIOD_OVERRIDE=FQ","FILING_STATUS=OR","EQY_CONSOLIDATED=Y","Sort=A","Dates=H","DateFormat=P","Fill=—","Direction=H","UseDPDF=Y")</f>
        <v>#NAME?</v>
      </c>
      <c r="CV5" s="2" t="e">
        <f ca="1">_xll.BDH($C$3,"ALTMAN_Z_SCORE","FQ2 2014","FQ2 2014","Currency=INR","Period=FQ","BEST_FPERIOD_OVERRIDE=FQ","FILING_STATUS=OR","EQY_CONSOLIDATED=Y","Sort=A","Dates=H","DateFormat=P","Fill=—","Direction=H","UseDPDF=Y")</f>
        <v>#NAME?</v>
      </c>
      <c r="CW5" s="4" t="e">
        <f ca="1">_xll.BDH($C$3,"ACCT_RCV_TURN","FQ2 2014","FQ2 2014","Currency=INR","Period=FQ","BEST_FPERIOD_OVERRIDE=FQ","FILING_STATUS=OR","EQY_CONSOLIDATED=Y","FA_ADJUSTED=GAAP","Sort=A","Dates=H","DateFormat=P","Fill=—","Direction=H","UseDPDF=Y")</f>
        <v>#NAME?</v>
      </c>
      <c r="CX5" s="2" t="e">
        <f ca="1">_xll.BDH($C$3,"ACCT_RCV_DAYS","FQ2 2014","FQ2 2014","Currency=INR","Period=FQ","BEST_FPERIOD_OVERRIDE=FQ","FILING_STATUS=OR","EQY_CONSOLIDATED=Y","FA_ADJUSTED=GAAP","Sort=A","Dates=H","DateFormat=P","Fill=—","Direction=H","UseDPDF=Y")</f>
        <v>#NAME?</v>
      </c>
      <c r="CY5" s="4" t="e">
        <f ca="1">_xll.BDH($C$3,"INVENT_TURN","FQ2 2014","FQ2 2014","Currency=INR","Period=FQ","BEST_FPERIOD_OVERRIDE=FQ","FILING_STATUS=OR","EQY_CONSOLIDATED=Y","FA_ADJUSTED=GAAP","Sort=A","Dates=H","DateFormat=P","Fill=—","Direction=H","UseDPDF=Y")</f>
        <v>#NAME?</v>
      </c>
      <c r="CZ5" s="2" t="e">
        <f ca="1">_xll.BDH($C$3,"INVENT_DAYS","FQ2 2014","FQ2 2014","Currency=INR","Period=FQ","BEST_FPERIOD_OVERRIDE=FQ","FILING_STATUS=OR","EQY_CONSOLIDATED=Y","FA_ADJUSTED=GAAP","Sort=A","Dates=H","DateFormat=P","Fill=—","Direction=H","UseDPDF=Y")</f>
        <v>#NAME?</v>
      </c>
      <c r="DA5" s="4" t="e">
        <f ca="1">_xll.BDH($C$3,"ACCOUNTS_PAYABLE_TURNOVER","FQ2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" s="2" t="e">
        <f ca="1">_xll.BDH($C$3,"ACCOUNTS_PAYABLE_TURNOVER_DAYS","FQ2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" s="4" t="e">
        <f ca="1">_xll.BDH($C$3,"CASH_CONVERSION_CYCLE","FQ2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" s="4" t="e">
        <f ca="1">_xll.BDH($C$3,"INV_TO_CASH_DAYS","FQ2 2014","FQ2 2014","Currency=INR","Period=FQ","BEST_FPERIOD_OVERRIDE=FQ","FILING_STATUS=OR","EQY_CONSOLIDATED=Y","FA_ADJUSTED=GAAP","Sort=A","Dates=H","DateFormat=P","Fill=—","Direction=H","UseDPDF=Y")</f>
        <v>#NAME?</v>
      </c>
      <c r="DE5" s="5" t="e">
        <f ca="1">_xll.BDH($C$3,"BS_INVENTORIES","FQ2 2014","FQ2 2014","Currency=INR","Period=FQ","BEST_FPERIOD_OVERRIDE=FQ","FILING_STATUS=OR","EQY_CONSOLIDATED=Y","SCALING_FORMAT=MLN","Sort=A","Dates=H","DateFormat=P","Fill=—","Direction=H","UseDPDF=Y")</f>
        <v>#NAME?</v>
      </c>
      <c r="DF5" s="3" t="e">
        <f ca="1">_xll.BDH($C$3,"INVTRY_RAW_MATERIALS","FQ2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" s="3" t="e">
        <f ca="1">_xll.BDH($C$3,"INVTRY_IN_PROGRESS","FQ2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" s="3" t="e">
        <f ca="1">_xll.BDH($C$3,"INVTRY_FINISHED_GOODS","FQ2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" s="3" t="e">
        <f ca="1">_xll.BDH($C$3,"BS_OTHER_INV","FQ2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6" spans="1:113" x14ac:dyDescent="0.3">
      <c r="A6" s="6"/>
      <c r="B6" s="6"/>
      <c r="C6" s="6"/>
      <c r="D6" s="6"/>
      <c r="E6" t="s">
        <v>80</v>
      </c>
      <c r="F6" t="e">
        <f ca="1">_xll.BDH($C$3,"RETURN_COM_EQY","FQ3 2014","FQ3 2014","Currency=INR","Period=FQ","BEST_FPERIOD_OVERRIDE=FQ","FILING_STATUS=OR","EQY_CONSOLIDATED=Y","FA_ADJUSTED=GAAP","Sort=A","Dates=H","DateFormat=P","Fill=—","Direction=H","UseDPDF=Y")</f>
        <v>#NAME?</v>
      </c>
      <c r="G6" t="e">
        <f ca="1">_xll.BDH($C$3,"RETURN_ON_ASSET","FQ3 2014","FQ3 2014","Currency=INR","Period=FQ","BEST_FPERIOD_OVERRIDE=FQ","FILING_STATUS=OR","EQY_CONSOLIDATED=Y","FA_ADJUSTED=GAAP","Sort=A","Dates=H","DateFormat=P","Fill=—","Direction=H","UseDPDF=Y")</f>
        <v>#NAME?</v>
      </c>
      <c r="H6" t="e">
        <f ca="1">_xll.BDH($C$3,"RETURN_ON_CAP","FQ3 2014","FQ3 2014","Currency=INR","Period=FQ","BEST_FPERIOD_OVERRIDE=FQ","FILING_STATUS=OR","EQY_CONSOLIDATED=Y","FA_ADJUSTED=GAAP","Sort=A","Dates=H","DateFormat=P","Fill=—","Direction=H","UseDPDF=Y")</f>
        <v>#NAME?</v>
      </c>
      <c r="I6" t="e">
        <f ca="1">_xll.BDH($C$3,"RETURN_ON_INV_CAPITAL","FQ3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6" t="e">
        <f ca="1">_xll.BDH($C$3,"EBITDA_TO_REVENUE","FQ3 2014","FQ3 2014","Currency=INR","Period=FQ","BEST_FPERIOD_OVERRIDE=FQ","FILING_STATUS=OR","EQY_CONSOLIDATED=Y","FA_ADJUSTED=GAAP","Sort=A","Dates=H","DateFormat=P","Fill=—","Direction=H","UseDPDF=Y")</f>
        <v>#NAME?</v>
      </c>
      <c r="K6" t="e">
        <f ca="1">_xll.BDH($C$3,"OPER_MARGIN","FQ3 2014","FQ3 2014","Currency=INR","Period=FQ","BEST_FPERIOD_OVERRIDE=FQ","FILING_STATUS=OR","EQY_CONSOLIDATED=Y","FA_ADJUSTED=GAAP","Sort=A","Dates=H","DateFormat=P","Fill=—","Direction=H","UseDPDF=Y")</f>
        <v>#NAME?</v>
      </c>
      <c r="L6" t="e">
        <f ca="1">_xll.BDH($C$3,"INCREMENTAL_OPERATING_MARGIN","FQ3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6" t="e">
        <f ca="1">_xll.BDH($C$3,"PRETAX_INC_TO_NET_SALES","FQ3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6" t="e">
        <f ca="1">_xll.BDH($C$3,"INC_BEF_XO_ITEMS_TO_NET_SALES","FQ3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6" t="e">
        <f ca="1">_xll.BDH($C$3,"PROF_MARGIN","FQ3 2014","FQ3 2014","Currency=INR","Period=FQ","BEST_FPERIOD_OVERRIDE=FQ","FILING_STATUS=OR","EQY_CONSOLIDATED=Y","FA_ADJUSTED=GAAP","Sort=A","Dates=H","DateFormat=P","Fill=—","Direction=H","UseDPDF=Y")</f>
        <v>#NAME?</v>
      </c>
      <c r="P6" t="e">
        <f ca="1">_xll.BDH($C$3,"NET_INCOME_TO_COMMON_MARGIN","FQ3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6" t="e">
        <f ca="1">_xll.BDH($C$3,"EFF_TAX_RATE","FQ3 2014","FQ3 2014","Currency=INR","Period=FQ","BEST_FPERIOD_OVERRIDE=FQ","FILING_STATUS=OR","EQY_CONSOLIDATED=Y","FA_ADJUSTED=GAAP","Sort=A","Dates=H","DateFormat=P","Fill=—","Direction=H","UseDPDF=Y")</f>
        <v>#NAME?</v>
      </c>
      <c r="R6" t="e">
        <f ca="1">_xll.BDH($C$3,"DVD_PAYOUT_RATIO","FQ3 2014","FQ3 2014","Currency=INR","Period=FQ","BEST_FPERIOD_OVERRIDE=FQ","FILING_STATUS=OR","EQY_CONSOLIDATED=Y","FA_ADJUSTED=GAAP","Sort=A","Dates=H","DateFormat=P","Fill=—","Direction=H","UseDPDF=Y")</f>
        <v>#NAME?</v>
      </c>
      <c r="S6" t="e">
        <f ca="1">_xll.BDH($C$3,"SUSTAIN_GROWTH_RT","FQ3 2014","FQ3 2014","Currency=INR","Period=FQ","BEST_FPERIOD_OVERRIDE=FQ","FILING_STATUS=OR","EQY_CONSOLIDATED=Y","FA_ADJUSTED=GAAP","Sort=A","Dates=H","DateFormat=P","Fill=—","Direction=H","UseDPDF=Y")</f>
        <v>#NAME?</v>
      </c>
      <c r="T6" s="2" t="e">
        <f ca="1">_xll.BDH($C$3,"SALES_GROWTH","FQ3 2014","FQ3 2014","Currency=INR","Period=FQ","BEST_FPERIOD_OVERRIDE=FQ","FILING_STATUS=OR","EQY_CONSOLIDATED=Y","FA_ADJUSTED=GAAP","Sort=A","Dates=H","DateFormat=P","Fill=—","Direction=H","UseDPDF=Y")</f>
        <v>#NAME?</v>
      </c>
      <c r="U6" s="2" t="e">
        <f ca="1">_xll.BDH($C$3,"EBITDA_GROWTH","FQ3 2014","FQ3 2014","Currency=INR","Period=FQ","BEST_FPERIOD_OVERRIDE=FQ","FILING_STATUS=OR","EQY_CONSOLIDATED=Y","FA_ADJUSTED=GAAP","Sort=A","Dates=H","DateFormat=P","Fill=—","Direction=H","UseDPDF=Y")</f>
        <v>#NAME?</v>
      </c>
      <c r="V6" s="2" t="e">
        <f ca="1">_xll.BDH($C$3,"OPER_INC_GROWTH","FQ3 2014","FQ3 2014","Currency=INR","Period=FQ","BEST_FPERIOD_OVERRIDE=FQ","FILING_STATUS=OR","EQY_CONSOLIDATED=Y","FA_ADJUSTED=GAAP","Sort=A","Dates=H","DateFormat=P","Fill=—","Direction=H","UseDPDF=Y")</f>
        <v>#NAME?</v>
      </c>
      <c r="W6" s="2" t="e">
        <f ca="1">_xll.BDH($C$3,"EARN_FOR_COM_GROWTH","FQ3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6" s="2" t="e">
        <f ca="1">_xll.BDH($C$3,"DILUTED_EPS_AFT_XO_ITEMS_GROWTH","FQ3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6" s="2" t="e">
        <f ca="1">_xll.BDH($C$3,"DIVIDEND_PER_SHARE_1_YEAR_GROWTH","FQ3 2014","FQ3 2014","Currency=INR","Period=FQ","BEST_FPERIOD_OVERRIDE=FQ","FILING_STATUS=OR","EQY_CONSOLIDATED=Y","Sort=A","Dates=H","DateFormat=P","Fill=—","Direction=H","UseDPDF=Y")</f>
        <v>#NAME?</v>
      </c>
      <c r="Z6" s="2" t="e">
        <f ca="1">_xll.BDH($C$3,"ACCOUNTS_RECEIVABLE_GROWTH","FQ3 2014","FQ3 2014","Currency=INR","Period=FQ","BEST_FPERIOD_OVERRIDE=FQ","FILING_STATUS=OR","EQY_CONSOLIDATED=Y","Sort=A","Dates=H","DateFormat=P","Fill=—","Direction=H","UseDPDF=Y")</f>
        <v>#NAME?</v>
      </c>
      <c r="AA6" s="2" t="e">
        <f ca="1">_xll.BDH($C$3,"INVENTORY_GROWTH","FQ3 2014","FQ3 2014","Currency=INR","Period=FQ","BEST_FPERIOD_OVERRIDE=FQ","FILING_STATUS=OR","EQY_CONSOLIDATED=Y","Sort=A","Dates=H","DateFormat=P","Fill=—","Direction=H","UseDPDF=Y")</f>
        <v>#NAME?</v>
      </c>
      <c r="AB6" s="2" t="e">
        <f ca="1">_xll.BDH($C$3,"NET_FIXED_ASSETS_1_YEAR_GROWTH","FQ3 2014","FQ3 2014","Currency=INR","Period=FQ","BEST_FPERIOD_OVERRIDE=FQ","FILING_STATUS=OR","EQY_CONSOLIDATED=Y","Sort=A","Dates=H","DateFormat=P","Fill=—","Direction=H","UseDPDF=Y")</f>
        <v>#NAME?</v>
      </c>
      <c r="AC6" s="2" t="e">
        <f ca="1">_xll.BDH($C$3,"ASSET_GROWTH","FQ3 2014","FQ3 2014","Currency=INR","Period=FQ","BEST_FPERIOD_OVERRIDE=FQ","FILING_STATUS=OR","EQY_CONSOLIDATED=Y","Sort=A","Dates=H","DateFormat=P","Fill=—","Direction=H","UseDPDF=Y")</f>
        <v>#NAME?</v>
      </c>
      <c r="AD6" s="2" t="e">
        <f ca="1">_xll.BDH($C$3,"MODIFIED_WORK_CAP_GROWTH","FQ3 2014","FQ3 2014","Currency=INR","Period=FQ","BEST_FPERIOD_OVERRIDE=FQ","FILING_STATUS=OR","EQY_CONSOLIDATED=Y","Sort=A","Dates=H","DateFormat=P","Fill=—","Direction=H","UseDPDF=Y")</f>
        <v>#NAME?</v>
      </c>
      <c r="AE6" s="2" t="e">
        <f ca="1">_xll.BDH($C$3,"WORK_CAP_GROWTH","FQ3 2014","FQ3 2014","Currency=INR","Period=FQ","BEST_FPERIOD_OVERRIDE=FQ","FILING_STATUS=OR","EQY_CONSOLIDATED=Y","Sort=A","Dates=H","DateFormat=P","Fill=—","Direction=H","UseDPDF=Y")</f>
        <v>#NAME?</v>
      </c>
      <c r="AF6" s="2" t="e">
        <f ca="1">_xll.BDH($C$3,"ACCOUNTS_PAYABLE_GROWTH_1YR","FQ3 2014","FQ3 2014","Currency=INR","Period=FQ","BEST_FPERIOD_OVERRIDE=FQ","FILING_STATUS=OR","EQY_CONSOLIDATED=Y","Sort=A","Dates=H","DateFormat=P","Fill=—","Direction=H","UseDPDF=Y")</f>
        <v>#NAME?</v>
      </c>
      <c r="AG6" s="2" t="e">
        <f ca="1">_xll.BDH($C$3,"SHORT_TERM_DEBT_1_YEAR_GROWTH","FQ3 2014","FQ3 2014","Currency=INR","Period=FQ","BEST_FPERIOD_OVERRIDE=FQ","FILING_STATUS=OR","EQY_CONSOLIDATED=Y","Sort=A","Dates=H","DateFormat=P","Fill=—","Direction=H","UseDPDF=Y")</f>
        <v>#NAME?</v>
      </c>
      <c r="AH6" s="2" t="e">
        <f ca="1">_xll.BDH($C$3,"TOTAL_DEBT_1_YEAR_GROWTH","FQ3 2014","FQ3 2014","Currency=INR","Period=FQ","BEST_FPERIOD_OVERRIDE=FQ","FILING_STATUS=OR","EQY_CONSOLIDATED=Y","Sort=A","Dates=H","DateFormat=P","Fill=—","Direction=H","UseDPDF=Y")</f>
        <v>#NAME?</v>
      </c>
      <c r="AI6" s="2" t="e">
        <f ca="1">_xll.BDH($C$3,"TOTAL_EQUITY_1_YEAR_GROWTH","FQ3 2014","FQ3 2014","Currency=INR","Period=FQ","BEST_FPERIOD_OVERRIDE=FQ","FILING_STATUS=OR","EQY_CONSOLIDATED=Y","Sort=A","Dates=H","DateFormat=P","Fill=—","Direction=H","UseDPDF=Y")</f>
        <v>#NAME?</v>
      </c>
      <c r="AJ6" s="2" t="e">
        <f ca="1">_xll.BDH($C$3,"GROWTH_IN_CAP","FQ3 2014","FQ3 2014","Currency=INR","Period=FQ","BEST_FPERIOD_OVERRIDE=FQ","FILING_STATUS=OR","EQY_CONSOLIDATED=Y","Sort=A","Dates=H","DateFormat=P","Fill=—","Direction=H","UseDPDF=Y")</f>
        <v>#NAME?</v>
      </c>
      <c r="AK6" s="2" t="e">
        <f ca="1">_xll.BDH($C$3,"BVPS_GROWTH","FQ3 2014","FQ3 2014","Currency=INR","Period=FQ","BEST_FPERIOD_OVERRIDE=FQ","FILING_STATUS=OR","EQY_CONSOLIDATED=Y","Sort=A","Dates=H","DateFormat=P","Fill=—","Direction=H","UseDPDF=Y")</f>
        <v>#NAME?</v>
      </c>
      <c r="AL6" s="2" t="e">
        <f ca="1">_xll.BDH($C$3,"CASH_FLOW_GROWTH","FQ3 2014","FQ3 2014","Currency=INR","Period=FQ","BEST_FPERIOD_OVERRIDE=FQ","FILING_STATUS=OR","EQY_CONSOLIDATED=Y","Sort=A","Dates=H","DateFormat=P","Fill=—","Direction=H","UseDPDF=Y")</f>
        <v>#NAME?</v>
      </c>
      <c r="AM6" s="2" t="e">
        <f ca="1">_xll.BDH($C$3,"GEO_GROW_NET_SALES","FQ3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6" s="2" t="e">
        <f ca="1">_xll.BDH($C$3,"GEO_GROW_EBITDA","FQ3 2014","FQ3 2014","Currency=INR","Period=FQ","BEST_FPERIOD_OVERRIDE=FQ","FILING_STATUS=OR","EQY_CONSOLIDATED=Y","FA_ADJUSTED=GAAP","Sort=A","Dates=H","DateFormat=P","Fill=—","Direction=H","UseDPDF=Y")</f>
        <v>#NAME?</v>
      </c>
      <c r="AO6" s="2" t="e">
        <f ca="1">_xll.BDH($C$3,"GEO_GROW_OPER_INC","FQ3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6" s="2" t="e">
        <f ca="1">_xll.BDH($C$3,"NET_INCOME_TO_COMMON_5_YR_GROWTH","FQ3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6" s="2" t="e">
        <f ca="1">_xll.BDH($C$3,"5Y_GEO_GROWTH_DILUTED_EPS","FQ3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6" s="2" t="e">
        <f ca="1">_xll.BDH($C$3,"GEO_GROW_DVD_PER_SH","FQ3 2014","FQ3 2014","Currency=INR","Period=FQ","BEST_FPERIOD_OVERRIDE=FQ","FILING_STATUS=OR","EQY_CONSOLIDATED=Y","Sort=A","Dates=H","DateFormat=P","Fill=—","Direction=H","UseDPDF=Y")</f>
        <v>#NAME?</v>
      </c>
      <c r="AS6" s="2" t="e">
        <f ca="1">_xll.BDH($C$3,"ACCOUNTS_RECEIVABLE_5_YR_GROWTH","FQ3 2014","FQ3 2014","Currency=INR","Period=FQ","BEST_FPERIOD_OVERRIDE=FQ","FILING_STATUS=OR","EQY_CONSOLIDATED=Y","Sort=A","Dates=H","DateFormat=P","Fill=—","Direction=H","UseDPDF=Y")</f>
        <v>#NAME?</v>
      </c>
      <c r="AT6" s="2" t="e">
        <f ca="1">_xll.BDH($C$3,"INVENTORY_5_YEAR_GROWTH","FQ3 2014","FQ3 2014","Currency=INR","Period=FQ","BEST_FPERIOD_OVERRIDE=FQ","FILING_STATUS=OR","EQY_CONSOLIDATED=Y","Sort=A","Dates=H","DateFormat=P","Fill=—","Direction=H","UseDPDF=Y")</f>
        <v>#NAME?</v>
      </c>
      <c r="AU6" s="2" t="e">
        <f ca="1">_xll.BDH($C$3,"NET_FIXED_ASSETS_5_YEAR_GROWTH","FQ3 2014","FQ3 2014","Currency=INR","Period=FQ","BEST_FPERIOD_OVERRIDE=FQ","FILING_STATUS=OR","EQY_CONSOLIDATED=Y","Sort=A","Dates=H","DateFormat=P","Fill=—","Direction=H","UseDPDF=Y")</f>
        <v>#NAME?</v>
      </c>
      <c r="AV6" s="2" t="e">
        <f ca="1">_xll.BDH($C$3,"GEO_GROW_TOT_ASSET","FQ3 2014","FQ3 2014","Currency=INR","Period=FQ","BEST_FPERIOD_OVERRIDE=FQ","FILING_STATUS=OR","EQY_CONSOLIDATED=Y","Sort=A","Dates=H","DateFormat=P","Fill=—","Direction=H","UseDPDF=Y")</f>
        <v>#NAME?</v>
      </c>
      <c r="AW6" s="2" t="e">
        <f ca="1">_xll.BDH($C$3,"MODIFIED_WORKING_CPTL_5YR_GRWTH","FQ3 2014","FQ3 2014","Currency=INR","Period=FQ","BEST_FPERIOD_OVERRIDE=FQ","FILING_STATUS=OR","EQY_CONSOLIDATED=Y","Sort=A","Dates=H","DateFormat=P","Fill=—","Direction=H","UseDPDF=Y")</f>
        <v>#NAME?</v>
      </c>
      <c r="AX6" s="2" t="e">
        <f ca="1">_xll.BDH($C$3,"WORKING_CAPITAL_5_YEAR_GROWTH","FQ3 2014","FQ3 2014","Currency=INR","Period=FQ","BEST_FPERIOD_OVERRIDE=FQ","FILING_STATUS=OR","EQY_CONSOLIDATED=Y","Sort=A","Dates=H","DateFormat=P","Fill=—","Direction=H","UseDPDF=Y")</f>
        <v>#NAME?</v>
      </c>
      <c r="AY6" s="2" t="e">
        <f ca="1">_xll.BDH($C$3,"ACCOUNTS_PAYABLE_5_YEAR_GROWTH","FQ3 2014","FQ3 2014","Currency=INR","Period=FQ","BEST_FPERIOD_OVERRIDE=FQ","FILING_STATUS=OR","EQY_CONSOLIDATED=Y","Sort=A","Dates=H","DateFormat=P","Fill=—","Direction=H","UseDPDF=Y")</f>
        <v>#NAME?</v>
      </c>
      <c r="AZ6" s="2" t="e">
        <f ca="1">_xll.BDH($C$3,"SHORT_TERM_DEBT_5_YEAR_GROWTH","FQ3 2014","FQ3 2014","Currency=INR","Period=FQ","BEST_FPERIOD_OVERRIDE=FQ","FILING_STATUS=OR","EQY_CONSOLIDATED=Y","Sort=A","Dates=H","DateFormat=P","Fill=—","Direction=H","UseDPDF=Y")</f>
        <v>#NAME?</v>
      </c>
      <c r="BA6" s="2" t="e">
        <f ca="1">_xll.BDH($C$3,"TOTAL_DEBT_5_YEAR_GROWTH","FQ3 2014","FQ3 2014","Currency=INR","Period=FQ","BEST_FPERIOD_OVERRIDE=FQ","FILING_STATUS=OR","EQY_CONSOLIDATED=Y","Sort=A","Dates=H","DateFormat=P","Fill=—","Direction=H","UseDPDF=Y")</f>
        <v>#NAME?</v>
      </c>
      <c r="BB6" s="2" t="e">
        <f ca="1">_xll.BDH($C$3,"GEO_GROW_TOT_SHRHLDR_EQY","FQ3 2014","FQ3 2014","Currency=INR","Period=FQ","BEST_FPERIOD_OVERRIDE=FQ","FILING_STATUS=OR","EQY_CONSOLIDATED=Y","Sort=A","Dates=H","DateFormat=P","Fill=—","Direction=H","UseDPDF=Y")</f>
        <v>#NAME?</v>
      </c>
      <c r="BC6" s="2" t="e">
        <f ca="1">_xll.BDH($C$3,"TOTAL_CAPITAL_5_YEAR_GROWTH","FQ3 2014","FQ3 2014","Currency=INR","Period=FQ","BEST_FPERIOD_OVERRIDE=FQ","FILING_STATUS=OR","EQY_CONSOLIDATED=Y","Sort=A","Dates=H","DateFormat=P","Fill=—","Direction=H","UseDPDF=Y")</f>
        <v>#NAME?</v>
      </c>
      <c r="BD6" s="2" t="e">
        <f ca="1">_xll.BDH($C$3,"GEO_GROW_BOOK_VAL","FQ3 2014","FQ3 2014","Currency=INR","Period=FQ","BEST_FPERIOD_OVERRIDE=FQ","FILING_STATUS=OR","EQY_CONSOLIDATED=Y","Sort=A","Dates=H","DateFormat=P","Fill=—","Direction=H","UseDPDF=Y")</f>
        <v>#NAME?</v>
      </c>
      <c r="BE6" s="2" t="e">
        <f ca="1">_xll.BDH($C$3,"GEO_GROW_CASH_OPER_ACT","FQ3 2014","FQ3 2014","Currency=INR","Period=FQ","BEST_FPERIOD_OVERRIDE=FQ","FILING_STATUS=OR","EQY_CONSOLIDATED=Y","Sort=A","Dates=H","DateFormat=P","Fill=—","Direction=H","UseDPDF=Y")</f>
        <v>#NAME?</v>
      </c>
      <c r="BF6" s="2" t="e">
        <f ca="1">_xll.BDH($C$3,"REVENUE_SEQUENTIAL_GROWTH","FQ3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6" s="2" t="e">
        <f ca="1">_xll.BDH($C$3,"EBITDA_SEQUENTIAL_GROWTH","FQ3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6" s="2" t="e">
        <f ca="1">_xll.BDH($C$3,"OPERATING_INCOME_SEQ_GROWTH","FQ3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6" s="2" t="e">
        <f ca="1">_xll.BDH($C$3,"NET_INCOME_TO_COMMON_SEQ_GROWTH","FQ3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6" s="2" t="e">
        <f ca="1">_xll.BDH($C$3,"EPS_DILUTED_SEQUENTIAL_GROWTH","FQ3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6" s="2" t="e">
        <f ca="1">_xll.BDH($C$3,"DPS_SEQUENTIAL_GROWTH","FQ3 2014","FQ3 2014","Currency=INR","Period=FQ","BEST_FPERIOD_OVERRIDE=FQ","FILING_STATUS=OR","EQY_CONSOLIDATED=Y","Sort=A","Dates=H","DateFormat=P","Fill=—","Direction=H","UseDPDF=Y")</f>
        <v>#NAME?</v>
      </c>
      <c r="BL6" s="2" t="e">
        <f ca="1">_xll.BDH($C$3,"ACCOUNTS_RECEIVABLE_SEQ_GROWTH","FQ3 2014","FQ3 2014","Currency=INR","Period=FQ","BEST_FPERIOD_OVERRIDE=FQ","FILING_STATUS=OR","EQY_CONSOLIDATED=Y","Sort=A","Dates=H","DateFormat=P","Fill=—","Direction=H","UseDPDF=Y")</f>
        <v>#NAME?</v>
      </c>
      <c r="BM6" s="2" t="e">
        <f ca="1">_xll.BDH($C$3,"INVENTORY_SEQUENTIAL_GROWTH","FQ3 2014","FQ3 2014","Currency=INR","Period=FQ","BEST_FPERIOD_OVERRIDE=FQ","FILING_STATUS=OR","EQY_CONSOLIDATED=Y","Sort=A","Dates=H","DateFormat=P","Fill=—","Direction=H","UseDPDF=Y")</f>
        <v>#NAME?</v>
      </c>
      <c r="BN6" s="2" t="e">
        <f ca="1">_xll.BDH($C$3,"FIXED_ASSETS_SEQUENTIAL_GROWTH","FQ3 2014","FQ3 2014","Currency=INR","Period=FQ","BEST_FPERIOD_OVERRIDE=FQ","FILING_STATUS=OR","EQY_CONSOLIDATED=Y","Sort=A","Dates=H","DateFormat=P","Fill=—","Direction=H","UseDPDF=Y")</f>
        <v>#NAME?</v>
      </c>
      <c r="BO6" s="2" t="e">
        <f ca="1">_xll.BDH($C$3,"TOTAL_ASSETS_SEQUENTIAL_GROWTH","FQ3 2014","FQ3 2014","Currency=INR","Period=FQ","BEST_FPERIOD_OVERRIDE=FQ","FILING_STATUS=OR","EQY_CONSOLIDATED=Y","Sort=A","Dates=H","DateFormat=P","Fill=—","Direction=H","UseDPDF=Y")</f>
        <v>#NAME?</v>
      </c>
      <c r="BP6" s="2" t="e">
        <f ca="1">_xll.BDH($C$3,"MODIFIED_WORKING_CPTL_SEQ_GRWTH","FQ3 2014","FQ3 2014","Currency=INR","Period=FQ","BEST_FPERIOD_OVERRIDE=FQ","FILING_STATUS=OR","EQY_CONSOLIDATED=Y","Sort=A","Dates=H","DateFormat=P","Fill=—","Direction=H","UseDPDF=Y")</f>
        <v>#NAME?</v>
      </c>
      <c r="BQ6" s="2" t="e">
        <f ca="1">_xll.BDH($C$3,"WORKING_CAPITAL_SEQ_GROWTH","FQ3 2014","FQ3 2014","Currency=INR","Period=FQ","BEST_FPERIOD_OVERRIDE=FQ","FILING_STATUS=OR","EQY_CONSOLIDATED=Y","Sort=A","Dates=H","DateFormat=P","Fill=—","Direction=H","UseDPDF=Y")</f>
        <v>#NAME?</v>
      </c>
      <c r="BR6" s="2" t="e">
        <f ca="1">_xll.BDH($C$3,"ACCOUNTS_PAYABLE_SEQ_GROWTH","FQ3 2014","FQ3 2014","Currency=INR","Period=FQ","BEST_FPERIOD_OVERRIDE=FQ","FILING_STATUS=OR","EQY_CONSOLIDATED=Y","Sort=A","Dates=H","DateFormat=P","Fill=—","Direction=H","UseDPDF=Y")</f>
        <v>#NAME?</v>
      </c>
      <c r="BS6" s="2" t="e">
        <f ca="1">_xll.BDH($C$3,"ST_DEBT_SEQUENTIAL_GROWTH","FQ3 2014","FQ3 2014","Currency=INR","Period=FQ","BEST_FPERIOD_OVERRIDE=FQ","FILING_STATUS=OR","EQY_CONSOLIDATED=Y","Sort=A","Dates=H","DateFormat=P","Fill=—","Direction=H","UseDPDF=Y")</f>
        <v>#NAME?</v>
      </c>
      <c r="BT6" s="2" t="e">
        <f ca="1">_xll.BDH($C$3,"TOTAL_DEBT_SEQUENTIAL_GROWTH","FQ3 2014","FQ3 2014","Currency=INR","Period=FQ","BEST_FPERIOD_OVERRIDE=FQ","FILING_STATUS=OR","EQY_CONSOLIDATED=Y","Sort=A","Dates=H","DateFormat=P","Fill=—","Direction=H","UseDPDF=Y")</f>
        <v>#NAME?</v>
      </c>
      <c r="BU6" s="2" t="e">
        <f ca="1">_xll.BDH($C$3,"TOTAL_EQUITY_SEQUENTIAL_GROWTH","FQ3 2014","FQ3 2014","Currency=INR","Period=FQ","BEST_FPERIOD_OVERRIDE=FQ","FILING_STATUS=OR","EQY_CONSOLIDATED=Y","Sort=A","Dates=H","DateFormat=P","Fill=—","Direction=H","UseDPDF=Y")</f>
        <v>#NAME?</v>
      </c>
      <c r="BV6" s="2" t="e">
        <f ca="1">_xll.BDH($C$3,"TOTAL_CAPITAL_SEQUENTIAL_GROWTH","FQ3 2014","FQ3 2014","Currency=INR","Period=FQ","BEST_FPERIOD_OVERRIDE=FQ","FILING_STATUS=OR","EQY_CONSOLIDATED=Y","Sort=A","Dates=H","DateFormat=P","Fill=—","Direction=H","UseDPDF=Y")</f>
        <v>#NAME?</v>
      </c>
      <c r="BW6" s="2" t="e">
        <f ca="1">_xll.BDH($C$3,"BPS_SEQUENTIAL_GROWTH","FQ3 2014","FQ3 2014","Currency=INR","Period=FQ","BEST_FPERIOD_OVERRIDE=FQ","FILING_STATUS=OR","EQY_CONSOLIDATED=Y","Sort=A","Dates=H","DateFormat=P","Fill=—","Direction=H","UseDPDF=Y")</f>
        <v>#NAME?</v>
      </c>
      <c r="BX6" s="2" t="e">
        <f ca="1">_xll.BDH($C$3,"CFO_SEQUENTIAL_GROWTH","FQ3 2014","FQ3 2014","Currency=INR","Period=FQ","BEST_FPERIOD_OVERRIDE=FQ","FILING_STATUS=OR","EQY_CONSOLIDATED=Y","Sort=A","Dates=H","DateFormat=P","Fill=—","Direction=H","UseDPDF=Y")</f>
        <v>#NAME?</v>
      </c>
      <c r="BY6" s="3" t="e">
        <f ca="1">_xll.BDH($C$3,"SHORT_AND_LONG_TERM_DEBT","FQ3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6" s="3" t="e">
        <f ca="1">_xll.BDH($C$3,"BS_ST_BORROW","FQ3 2014","FQ3 2014","Currency=INR","Period=FQ","BEST_FPERIOD_OVERRIDE=FQ","FILING_STATUS=OR","EQY_CONSOLIDATED=Y","SCALING_FORMAT=MLN","Sort=A","Dates=H","DateFormat=P","Fill=—","Direction=H","UseDPDF=Y")</f>
        <v>#NAME?</v>
      </c>
      <c r="CA6" s="3" t="e">
        <f ca="1">_xll.BDH($C$3,"BS_LT_BORROW","FQ3 2014","FQ3 2014","Currency=INR","Period=FQ","BEST_FPERIOD_OVERRIDE=FQ","FILING_STATUS=OR","EQY_CONSOLIDATED=Y","SCALING_FORMAT=MLN","Sort=A","Dates=H","DateFormat=P","Fill=—","Direction=H","UseDPDF=Y")</f>
        <v>#NAME?</v>
      </c>
      <c r="CB6" s="2" t="e">
        <f ca="1">_xll.BDH($C$3,"TOT_DEBT_TO_EBITDA","FQ3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6" s="2" t="e">
        <f ca="1">_xll.BDH($C$3,"NET_DEBT_TO_EBITDA","FQ3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6" s="2" t="e">
        <f ca="1">_xll.BDH($C$3,"TOTAL_DEBT_TO_EBIT","FQ3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6" s="2" t="e">
        <f ca="1">_xll.BDH($C$3,"NET_DEBT_TO_EBIT","FQ3 2014","FQ3 2014","Currency=INR","Period=FQ","BEST_FPERIOD_OVERRIDE=FQ","FILING_STATUS=OR","EQY_CONSOLIDATED=Y","FA_ADJUSTED=GAAP","Sort=A","Dates=H","DateFormat=P","Fill=—","Direction=H","UseDPDF=Y")</f>
        <v>#NAME?</v>
      </c>
      <c r="CF6" s="2" t="e">
        <f ca="1">_xll.BDH($C$3,"EBITDA_TO_INTEREST_EXPN","FQ3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6" s="2" t="e">
        <f ca="1">_xll.BDH($C$3,"COM_EQY_TO_TOT_ASSET","FQ3 2014","FQ3 2014","Currency=INR","Period=FQ","BEST_FPERIOD_OVERRIDE=FQ","FILING_STATUS=OR","EQY_CONSOLIDATED=Y","Sort=A","Dates=H","DateFormat=P","Fill=—","Direction=H","UseDPDF=Y")</f>
        <v>#NAME?</v>
      </c>
      <c r="CH6" s="2" t="e">
        <f ca="1">_xll.BDH($C$3,"LT_DEBT_TO_TOT_EQY","FQ3 2014","FQ3 2014","Currency=INR","Period=FQ","BEST_FPERIOD_OVERRIDE=FQ","FILING_STATUS=OR","EQY_CONSOLIDATED=Y","Sort=A","Dates=H","DateFormat=P","Fill=—","Direction=H","UseDPDF=Y")</f>
        <v>#NAME?</v>
      </c>
      <c r="CI6" s="2" t="e">
        <f ca="1">_xll.BDH($C$3,"LT_DEBT_TO_TOT_CAP","FQ3 2014","FQ3 2014","Currency=INR","Period=FQ","BEST_FPERIOD_OVERRIDE=FQ","FILING_STATUS=OR","EQY_CONSOLIDATED=Y","Sort=A","Dates=H","DateFormat=P","Fill=—","Direction=H","UseDPDF=Y")</f>
        <v>#NAME?</v>
      </c>
      <c r="CJ6" s="2" t="e">
        <f ca="1">_xll.BDH($C$3,"LT_DEBT_TO_TOT_ASSET","FQ3 2014","FQ3 2014","Currency=INR","Period=FQ","BEST_FPERIOD_OVERRIDE=FQ","FILING_STATUS=OR","EQY_CONSOLIDATED=Y","Sort=A","Dates=H","DateFormat=P","Fill=—","Direction=H","UseDPDF=Y")</f>
        <v>#NAME?</v>
      </c>
      <c r="CK6" s="2" t="e">
        <f ca="1">_xll.BDH($C$3,"TOT_DEBT_TO_TOT_EQY","FQ3 2014","FQ3 2014","Currency=INR","Period=FQ","BEST_FPERIOD_OVERRIDE=FQ","FILING_STATUS=OR","EQY_CONSOLIDATED=Y","Sort=A","Dates=H","DateFormat=P","Fill=—","Direction=H","UseDPDF=Y")</f>
        <v>#NAME?</v>
      </c>
      <c r="CL6" s="2" t="e">
        <f ca="1">_xll.BDH($C$3,"TOT_DEBT_TO_TOT_CAP","FQ3 2014","FQ3 2014","Currency=INR","Period=FQ","BEST_FPERIOD_OVERRIDE=FQ","FILING_STATUS=OR","EQY_CONSOLIDATED=Y","Sort=A","Dates=H","DateFormat=P","Fill=—","Direction=H","UseDPDF=Y")</f>
        <v>#NAME?</v>
      </c>
      <c r="CM6" s="2" t="e">
        <f ca="1">_xll.BDH($C$3,"TOT_DEBT_TO_TOT_ASSET","FQ3 2014","FQ3 2014","Currency=INR","Period=FQ","BEST_FPERIOD_OVERRIDE=FQ","FILING_STATUS=OR","EQY_CONSOLIDATED=Y","Sort=A","Dates=H","DateFormat=P","Fill=—","Direction=H","UseDPDF=Y")</f>
        <v>#NAME?</v>
      </c>
      <c r="CN6" s="2" t="e">
        <f ca="1">_xll.BDH($C$3,"NET_DEBT_TO_SHRHLDR_EQTY","FQ3 2014","FQ3 2014","Currency=INR","Period=FQ","BEST_FPERIOD_OVERRIDE=FQ","FILING_STATUS=OR","EQY_CONSOLIDATED=Y","Sort=A","Dates=H","DateFormat=P","Fill=—","Direction=H","UseDPDF=Y")</f>
        <v>#NAME?</v>
      </c>
      <c r="CO6" s="2" t="e">
        <f ca="1">_xll.BDH($C$3,"NET_DEBT_%_CAPITAL","FQ3 2014","FQ3 2014","Currency=INR","Period=FQ","BEST_FPERIOD_OVERRIDE=FQ","FILING_STATUS=OR","EQY_CONSOLIDATED=Y","Sort=A","Dates=H","DateFormat=P","Fill=—","Direction=H","UseDPDF=Y")</f>
        <v>#NAME?</v>
      </c>
      <c r="CP6" s="3" t="e">
        <f ca="1">_xll.BDH($C$3,"EBITDA","FQ3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6" s="3" t="e">
        <f ca="1">_xll.BDH($C$3,"EBITDA_AFTER_CAPEX","FQ3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6" s="3" t="e">
        <f ca="1">_xll.BDH($C$3,"IS_OPER_INC","FQ3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6" s="2" t="e">
        <f ca="1">_xll.BDH($C$3,"CASH_RATIO","FQ3 2014","FQ3 2014","Currency=INR","Period=FQ","BEST_FPERIOD_OVERRIDE=FQ","FILING_STATUS=OR","EQY_CONSOLIDATED=Y","Sort=A","Dates=H","DateFormat=P","Fill=—","Direction=H","UseDPDF=Y")</f>
        <v>#NAME?</v>
      </c>
      <c r="CT6" s="2" t="e">
        <f ca="1">_xll.BDH($C$3,"CUR_RATIO","FQ3 2014","FQ3 2014","Currency=INR","Period=FQ","BEST_FPERIOD_OVERRIDE=FQ","FILING_STATUS=OR","EQY_CONSOLIDATED=Y","Sort=A","Dates=H","DateFormat=P","Fill=—","Direction=H","UseDPDF=Y")</f>
        <v>#NAME?</v>
      </c>
      <c r="CU6" s="2" t="e">
        <f ca="1">_xll.BDH($C$3,"QUICK_RATIO","FQ3 2014","FQ3 2014","Currency=INR","Period=FQ","BEST_FPERIOD_OVERRIDE=FQ","FILING_STATUS=OR","EQY_CONSOLIDATED=Y","Sort=A","Dates=H","DateFormat=P","Fill=—","Direction=H","UseDPDF=Y")</f>
        <v>#NAME?</v>
      </c>
      <c r="CV6" s="2" t="e">
        <f ca="1">_xll.BDH($C$3,"ALTMAN_Z_SCORE","FQ3 2014","FQ3 2014","Currency=INR","Period=FQ","BEST_FPERIOD_OVERRIDE=FQ","FILING_STATUS=OR","EQY_CONSOLIDATED=Y","Sort=A","Dates=H","DateFormat=P","Fill=—","Direction=H","UseDPDF=Y")</f>
        <v>#NAME?</v>
      </c>
      <c r="CW6" s="4" t="e">
        <f ca="1">_xll.BDH($C$3,"ACCT_RCV_TURN","FQ3 2014","FQ3 2014","Currency=INR","Period=FQ","BEST_FPERIOD_OVERRIDE=FQ","FILING_STATUS=OR","EQY_CONSOLIDATED=Y","FA_ADJUSTED=GAAP","Sort=A","Dates=H","DateFormat=P","Fill=—","Direction=H","UseDPDF=Y")</f>
        <v>#NAME?</v>
      </c>
      <c r="CX6" s="2" t="e">
        <f ca="1">_xll.BDH($C$3,"ACCT_RCV_DAYS","FQ3 2014","FQ3 2014","Currency=INR","Period=FQ","BEST_FPERIOD_OVERRIDE=FQ","FILING_STATUS=OR","EQY_CONSOLIDATED=Y","FA_ADJUSTED=GAAP","Sort=A","Dates=H","DateFormat=P","Fill=—","Direction=H","UseDPDF=Y")</f>
        <v>#NAME?</v>
      </c>
      <c r="CY6" s="4" t="e">
        <f ca="1">_xll.BDH($C$3,"INVENT_TURN","FQ3 2014","FQ3 2014","Currency=INR","Period=FQ","BEST_FPERIOD_OVERRIDE=FQ","FILING_STATUS=OR","EQY_CONSOLIDATED=Y","FA_ADJUSTED=GAAP","Sort=A","Dates=H","DateFormat=P","Fill=—","Direction=H","UseDPDF=Y")</f>
        <v>#NAME?</v>
      </c>
      <c r="CZ6" s="2" t="e">
        <f ca="1">_xll.BDH($C$3,"INVENT_DAYS","FQ3 2014","FQ3 2014","Currency=INR","Period=FQ","BEST_FPERIOD_OVERRIDE=FQ","FILING_STATUS=OR","EQY_CONSOLIDATED=Y","FA_ADJUSTED=GAAP","Sort=A","Dates=H","DateFormat=P","Fill=—","Direction=H","UseDPDF=Y")</f>
        <v>#NAME?</v>
      </c>
      <c r="DA6" s="4" t="e">
        <f ca="1">_xll.BDH($C$3,"ACCOUNTS_PAYABLE_TURNOVER","FQ3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6" s="2" t="e">
        <f ca="1">_xll.BDH($C$3,"ACCOUNTS_PAYABLE_TURNOVER_DAYS","FQ3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6" s="4" t="e">
        <f ca="1">_xll.BDH($C$3,"CASH_CONVERSION_CYCLE","FQ3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6" s="4" t="e">
        <f ca="1">_xll.BDH($C$3,"INV_TO_CASH_DAYS","FQ3 2014","FQ3 2014","Currency=INR","Period=FQ","BEST_FPERIOD_OVERRIDE=FQ","FILING_STATUS=OR","EQY_CONSOLIDATED=Y","FA_ADJUSTED=GAAP","Sort=A","Dates=H","DateFormat=P","Fill=—","Direction=H","UseDPDF=Y")</f>
        <v>#NAME?</v>
      </c>
      <c r="DE6" s="5" t="e">
        <f ca="1">_xll.BDH($C$3,"BS_INVENTORIES","FQ3 2014","FQ3 2014","Currency=INR","Period=FQ","BEST_FPERIOD_OVERRIDE=FQ","FILING_STATUS=OR","EQY_CONSOLIDATED=Y","SCALING_FORMAT=MLN","Sort=A","Dates=H","DateFormat=P","Fill=—","Direction=H","UseDPDF=Y")</f>
        <v>#NAME?</v>
      </c>
      <c r="DF6" s="3" t="e">
        <f ca="1">_xll.BDH($C$3,"INVTRY_RAW_MATERIALS","FQ3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6" s="3" t="e">
        <f ca="1">_xll.BDH($C$3,"INVTRY_IN_PROGRESS","FQ3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6" s="3" t="e">
        <f ca="1">_xll.BDH($C$3,"INVTRY_FINISHED_GOODS","FQ3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6" s="3" t="e">
        <f ca="1">_xll.BDH($C$3,"BS_OTHER_INV","FQ3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7" spans="1:113" x14ac:dyDescent="0.3">
      <c r="A7" s="6"/>
      <c r="B7" s="6"/>
      <c r="C7" s="6"/>
      <c r="D7" s="6"/>
      <c r="E7" t="s">
        <v>81</v>
      </c>
      <c r="F7" t="e">
        <f ca="1">_xll.BDH($C$3,"RETURN_COM_EQY","FQ4 2014","FQ4 2014","Currency=INR","Period=FQ","BEST_FPERIOD_OVERRIDE=FQ","FILING_STATUS=OR","EQY_CONSOLIDATED=Y","FA_ADJUSTED=GAAP","Sort=A","Dates=H","DateFormat=P","Fill=—","Direction=H","UseDPDF=Y")</f>
        <v>#NAME?</v>
      </c>
      <c r="G7" t="e">
        <f ca="1">_xll.BDH($C$3,"RETURN_ON_ASSET","FQ4 2014","FQ4 2014","Currency=INR","Period=FQ","BEST_FPERIOD_OVERRIDE=FQ","FILING_STATUS=OR","EQY_CONSOLIDATED=Y","FA_ADJUSTED=GAAP","Sort=A","Dates=H","DateFormat=P","Fill=—","Direction=H","UseDPDF=Y")</f>
        <v>#NAME?</v>
      </c>
      <c r="H7" t="e">
        <f ca="1">_xll.BDH($C$3,"RETURN_ON_CAP","FQ4 2014","FQ4 2014","Currency=INR","Period=FQ","BEST_FPERIOD_OVERRIDE=FQ","FILING_STATUS=OR","EQY_CONSOLIDATED=Y","FA_ADJUSTED=GAAP","Sort=A","Dates=H","DateFormat=P","Fill=—","Direction=H","UseDPDF=Y")</f>
        <v>#NAME?</v>
      </c>
      <c r="I7" t="e">
        <f ca="1">_xll.BDH($C$3,"RETURN_ON_INV_CAPITAL","FQ4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7" t="e">
        <f ca="1">_xll.BDH($C$3,"EBITDA_TO_REVENUE","FQ4 2014","FQ4 2014","Currency=INR","Period=FQ","BEST_FPERIOD_OVERRIDE=FQ","FILING_STATUS=OR","EQY_CONSOLIDATED=Y","FA_ADJUSTED=GAAP","Sort=A","Dates=H","DateFormat=P","Fill=—","Direction=H","UseDPDF=Y")</f>
        <v>#NAME?</v>
      </c>
      <c r="K7" t="e">
        <f ca="1">_xll.BDH($C$3,"OPER_MARGIN","FQ4 2014","FQ4 2014","Currency=INR","Period=FQ","BEST_FPERIOD_OVERRIDE=FQ","FILING_STATUS=OR","EQY_CONSOLIDATED=Y","FA_ADJUSTED=GAAP","Sort=A","Dates=H","DateFormat=P","Fill=—","Direction=H","UseDPDF=Y")</f>
        <v>#NAME?</v>
      </c>
      <c r="L7" t="e">
        <f ca="1">_xll.BDH($C$3,"INCREMENTAL_OPERATING_MARGIN","FQ4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7" t="e">
        <f ca="1">_xll.BDH($C$3,"PRETAX_INC_TO_NET_SALES","FQ4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7" t="e">
        <f ca="1">_xll.BDH($C$3,"INC_BEF_XO_ITEMS_TO_NET_SALES","FQ4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7" t="e">
        <f ca="1">_xll.BDH($C$3,"PROF_MARGIN","FQ4 2014","FQ4 2014","Currency=INR","Period=FQ","BEST_FPERIOD_OVERRIDE=FQ","FILING_STATUS=OR","EQY_CONSOLIDATED=Y","FA_ADJUSTED=GAAP","Sort=A","Dates=H","DateFormat=P","Fill=—","Direction=H","UseDPDF=Y")</f>
        <v>#NAME?</v>
      </c>
      <c r="P7" t="e">
        <f ca="1">_xll.BDH($C$3,"NET_INCOME_TO_COMMON_MARGIN","FQ4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7" t="e">
        <f ca="1">_xll.BDH($C$3,"EFF_TAX_RATE","FQ4 2014","FQ4 2014","Currency=INR","Period=FQ","BEST_FPERIOD_OVERRIDE=FQ","FILING_STATUS=OR","EQY_CONSOLIDATED=Y","FA_ADJUSTED=GAAP","Sort=A","Dates=H","DateFormat=P","Fill=—","Direction=H","UseDPDF=Y")</f>
        <v>#NAME?</v>
      </c>
      <c r="R7" t="e">
        <f ca="1">_xll.BDH($C$3,"DVD_PAYOUT_RATIO","FQ4 2014","FQ4 2014","Currency=INR","Period=FQ","BEST_FPERIOD_OVERRIDE=FQ","FILING_STATUS=OR","EQY_CONSOLIDATED=Y","FA_ADJUSTED=GAAP","Sort=A","Dates=H","DateFormat=P","Fill=—","Direction=H","UseDPDF=Y")</f>
        <v>#NAME?</v>
      </c>
      <c r="S7" t="e">
        <f ca="1">_xll.BDH($C$3,"SUSTAIN_GROWTH_RT","FQ4 2014","FQ4 2014","Currency=INR","Period=FQ","BEST_FPERIOD_OVERRIDE=FQ","FILING_STATUS=OR","EQY_CONSOLIDATED=Y","FA_ADJUSTED=GAAP","Sort=A","Dates=H","DateFormat=P","Fill=—","Direction=H","UseDPDF=Y")</f>
        <v>#NAME?</v>
      </c>
      <c r="T7" s="2" t="e">
        <f ca="1">_xll.BDH($C$3,"SALES_GROWTH","FQ4 2014","FQ4 2014","Currency=INR","Period=FQ","BEST_FPERIOD_OVERRIDE=FQ","FILING_STATUS=OR","EQY_CONSOLIDATED=Y","FA_ADJUSTED=GAAP","Sort=A","Dates=H","DateFormat=P","Fill=—","Direction=H","UseDPDF=Y")</f>
        <v>#NAME?</v>
      </c>
      <c r="U7" s="2" t="e">
        <f ca="1">_xll.BDH($C$3,"EBITDA_GROWTH","FQ4 2014","FQ4 2014","Currency=INR","Period=FQ","BEST_FPERIOD_OVERRIDE=FQ","FILING_STATUS=OR","EQY_CONSOLIDATED=Y","FA_ADJUSTED=GAAP","Sort=A","Dates=H","DateFormat=P","Fill=—","Direction=H","UseDPDF=Y")</f>
        <v>#NAME?</v>
      </c>
      <c r="V7" s="2" t="e">
        <f ca="1">_xll.BDH($C$3,"OPER_INC_GROWTH","FQ4 2014","FQ4 2014","Currency=INR","Period=FQ","BEST_FPERIOD_OVERRIDE=FQ","FILING_STATUS=OR","EQY_CONSOLIDATED=Y","FA_ADJUSTED=GAAP","Sort=A","Dates=H","DateFormat=P","Fill=—","Direction=H","UseDPDF=Y")</f>
        <v>#NAME?</v>
      </c>
      <c r="W7" s="2" t="e">
        <f ca="1">_xll.BDH($C$3,"EARN_FOR_COM_GROWTH","FQ4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7" s="2" t="e">
        <f ca="1">_xll.BDH($C$3,"DILUTED_EPS_AFT_XO_ITEMS_GROWTH","FQ4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7" s="2" t="e">
        <f ca="1">_xll.BDH($C$3,"DIVIDEND_PER_SHARE_1_YEAR_GROWTH","FQ4 2014","FQ4 2014","Currency=INR","Period=FQ","BEST_FPERIOD_OVERRIDE=FQ","FILING_STATUS=OR","EQY_CONSOLIDATED=Y","Sort=A","Dates=H","DateFormat=P","Fill=—","Direction=H","UseDPDF=Y")</f>
        <v>#NAME?</v>
      </c>
      <c r="Z7" s="2" t="e">
        <f ca="1">_xll.BDH($C$3,"ACCOUNTS_RECEIVABLE_GROWTH","FQ4 2014","FQ4 2014","Currency=INR","Period=FQ","BEST_FPERIOD_OVERRIDE=FQ","FILING_STATUS=OR","EQY_CONSOLIDATED=Y","Sort=A","Dates=H","DateFormat=P","Fill=—","Direction=H","UseDPDF=Y")</f>
        <v>#NAME?</v>
      </c>
      <c r="AA7" s="2" t="e">
        <f ca="1">_xll.BDH($C$3,"INVENTORY_GROWTH","FQ4 2014","FQ4 2014","Currency=INR","Period=FQ","BEST_FPERIOD_OVERRIDE=FQ","FILING_STATUS=OR","EQY_CONSOLIDATED=Y","Sort=A","Dates=H","DateFormat=P","Fill=—","Direction=H","UseDPDF=Y")</f>
        <v>#NAME?</v>
      </c>
      <c r="AB7" s="2" t="e">
        <f ca="1">_xll.BDH($C$3,"NET_FIXED_ASSETS_1_YEAR_GROWTH","FQ4 2014","FQ4 2014","Currency=INR","Period=FQ","BEST_FPERIOD_OVERRIDE=FQ","FILING_STATUS=OR","EQY_CONSOLIDATED=Y","Sort=A","Dates=H","DateFormat=P","Fill=—","Direction=H","UseDPDF=Y")</f>
        <v>#NAME?</v>
      </c>
      <c r="AC7" s="2" t="e">
        <f ca="1">_xll.BDH($C$3,"ASSET_GROWTH","FQ4 2014","FQ4 2014","Currency=INR","Period=FQ","BEST_FPERIOD_OVERRIDE=FQ","FILING_STATUS=OR","EQY_CONSOLIDATED=Y","Sort=A","Dates=H","DateFormat=P","Fill=—","Direction=H","UseDPDF=Y")</f>
        <v>#NAME?</v>
      </c>
      <c r="AD7" s="2" t="e">
        <f ca="1">_xll.BDH($C$3,"MODIFIED_WORK_CAP_GROWTH","FQ4 2014","FQ4 2014","Currency=INR","Period=FQ","BEST_FPERIOD_OVERRIDE=FQ","FILING_STATUS=OR","EQY_CONSOLIDATED=Y","Sort=A","Dates=H","DateFormat=P","Fill=—","Direction=H","UseDPDF=Y")</f>
        <v>#NAME?</v>
      </c>
      <c r="AE7" s="2" t="e">
        <f ca="1">_xll.BDH($C$3,"WORK_CAP_GROWTH","FQ4 2014","FQ4 2014","Currency=INR","Period=FQ","BEST_FPERIOD_OVERRIDE=FQ","FILING_STATUS=OR","EQY_CONSOLIDATED=Y","Sort=A","Dates=H","DateFormat=P","Fill=—","Direction=H","UseDPDF=Y")</f>
        <v>#NAME?</v>
      </c>
      <c r="AF7" s="2" t="e">
        <f ca="1">_xll.BDH($C$3,"ACCOUNTS_PAYABLE_GROWTH_1YR","FQ4 2014","FQ4 2014","Currency=INR","Period=FQ","BEST_FPERIOD_OVERRIDE=FQ","FILING_STATUS=OR","EQY_CONSOLIDATED=Y","Sort=A","Dates=H","DateFormat=P","Fill=—","Direction=H","UseDPDF=Y")</f>
        <v>#NAME?</v>
      </c>
      <c r="AG7" s="2" t="e">
        <f ca="1">_xll.BDH($C$3,"SHORT_TERM_DEBT_1_YEAR_GROWTH","FQ4 2014","FQ4 2014","Currency=INR","Period=FQ","BEST_FPERIOD_OVERRIDE=FQ","FILING_STATUS=OR","EQY_CONSOLIDATED=Y","Sort=A","Dates=H","DateFormat=P","Fill=—","Direction=H","UseDPDF=Y")</f>
        <v>#NAME?</v>
      </c>
      <c r="AH7" s="2" t="e">
        <f ca="1">_xll.BDH($C$3,"TOTAL_DEBT_1_YEAR_GROWTH","FQ4 2014","FQ4 2014","Currency=INR","Period=FQ","BEST_FPERIOD_OVERRIDE=FQ","FILING_STATUS=OR","EQY_CONSOLIDATED=Y","Sort=A","Dates=H","DateFormat=P","Fill=—","Direction=H","UseDPDF=Y")</f>
        <v>#NAME?</v>
      </c>
      <c r="AI7" s="2" t="e">
        <f ca="1">_xll.BDH($C$3,"TOTAL_EQUITY_1_YEAR_GROWTH","FQ4 2014","FQ4 2014","Currency=INR","Period=FQ","BEST_FPERIOD_OVERRIDE=FQ","FILING_STATUS=OR","EQY_CONSOLIDATED=Y","Sort=A","Dates=H","DateFormat=P","Fill=—","Direction=H","UseDPDF=Y")</f>
        <v>#NAME?</v>
      </c>
      <c r="AJ7" s="2" t="e">
        <f ca="1">_xll.BDH($C$3,"GROWTH_IN_CAP","FQ4 2014","FQ4 2014","Currency=INR","Period=FQ","BEST_FPERIOD_OVERRIDE=FQ","FILING_STATUS=OR","EQY_CONSOLIDATED=Y","Sort=A","Dates=H","DateFormat=P","Fill=—","Direction=H","UseDPDF=Y")</f>
        <v>#NAME?</v>
      </c>
      <c r="AK7" s="2" t="e">
        <f ca="1">_xll.BDH($C$3,"BVPS_GROWTH","FQ4 2014","FQ4 2014","Currency=INR","Period=FQ","BEST_FPERIOD_OVERRIDE=FQ","FILING_STATUS=OR","EQY_CONSOLIDATED=Y","Sort=A","Dates=H","DateFormat=P","Fill=—","Direction=H","UseDPDF=Y")</f>
        <v>#NAME?</v>
      </c>
      <c r="AL7" s="2" t="e">
        <f ca="1">_xll.BDH($C$3,"CASH_FLOW_GROWTH","FQ4 2014","FQ4 2014","Currency=INR","Period=FQ","BEST_FPERIOD_OVERRIDE=FQ","FILING_STATUS=OR","EQY_CONSOLIDATED=Y","Sort=A","Dates=H","DateFormat=P","Fill=—","Direction=H","UseDPDF=Y")</f>
        <v>#NAME?</v>
      </c>
      <c r="AM7" s="2" t="e">
        <f ca="1">_xll.BDH($C$3,"GEO_GROW_NET_SALES","FQ4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7" s="2" t="e">
        <f ca="1">_xll.BDH($C$3,"GEO_GROW_EBITDA","FQ4 2014","FQ4 2014","Currency=INR","Period=FQ","BEST_FPERIOD_OVERRIDE=FQ","FILING_STATUS=OR","EQY_CONSOLIDATED=Y","FA_ADJUSTED=GAAP","Sort=A","Dates=H","DateFormat=P","Fill=—","Direction=H","UseDPDF=Y")</f>
        <v>#NAME?</v>
      </c>
      <c r="AO7" s="2" t="e">
        <f ca="1">_xll.BDH($C$3,"GEO_GROW_OPER_INC","FQ4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7" s="2" t="e">
        <f ca="1">_xll.BDH($C$3,"NET_INCOME_TO_COMMON_5_YR_GROWTH","FQ4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7" s="2" t="e">
        <f ca="1">_xll.BDH($C$3,"5Y_GEO_GROWTH_DILUTED_EPS","FQ4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7" s="2" t="e">
        <f ca="1">_xll.BDH($C$3,"GEO_GROW_DVD_PER_SH","FQ4 2014","FQ4 2014","Currency=INR","Period=FQ","BEST_FPERIOD_OVERRIDE=FQ","FILING_STATUS=OR","EQY_CONSOLIDATED=Y","Sort=A","Dates=H","DateFormat=P","Fill=—","Direction=H","UseDPDF=Y")</f>
        <v>#NAME?</v>
      </c>
      <c r="AS7" s="2" t="e">
        <f ca="1">_xll.BDH($C$3,"ACCOUNTS_RECEIVABLE_5_YR_GROWTH","FQ4 2014","FQ4 2014","Currency=INR","Period=FQ","BEST_FPERIOD_OVERRIDE=FQ","FILING_STATUS=OR","EQY_CONSOLIDATED=Y","Sort=A","Dates=H","DateFormat=P","Fill=—","Direction=H","UseDPDF=Y")</f>
        <v>#NAME?</v>
      </c>
      <c r="AT7" s="2" t="e">
        <f ca="1">_xll.BDH($C$3,"INVENTORY_5_YEAR_GROWTH","FQ4 2014","FQ4 2014","Currency=INR","Period=FQ","BEST_FPERIOD_OVERRIDE=FQ","FILING_STATUS=OR","EQY_CONSOLIDATED=Y","Sort=A","Dates=H","DateFormat=P","Fill=—","Direction=H","UseDPDF=Y")</f>
        <v>#NAME?</v>
      </c>
      <c r="AU7" s="2" t="e">
        <f ca="1">_xll.BDH($C$3,"NET_FIXED_ASSETS_5_YEAR_GROWTH","FQ4 2014","FQ4 2014","Currency=INR","Period=FQ","BEST_FPERIOD_OVERRIDE=FQ","FILING_STATUS=OR","EQY_CONSOLIDATED=Y","Sort=A","Dates=H","DateFormat=P","Fill=—","Direction=H","UseDPDF=Y")</f>
        <v>#NAME?</v>
      </c>
      <c r="AV7" s="2" t="e">
        <f ca="1">_xll.BDH($C$3,"GEO_GROW_TOT_ASSET","FQ4 2014","FQ4 2014","Currency=INR","Period=FQ","BEST_FPERIOD_OVERRIDE=FQ","FILING_STATUS=OR","EQY_CONSOLIDATED=Y","Sort=A","Dates=H","DateFormat=P","Fill=—","Direction=H","UseDPDF=Y")</f>
        <v>#NAME?</v>
      </c>
      <c r="AW7" s="2" t="e">
        <f ca="1">_xll.BDH($C$3,"MODIFIED_WORKING_CPTL_5YR_GRWTH","FQ4 2014","FQ4 2014","Currency=INR","Period=FQ","BEST_FPERIOD_OVERRIDE=FQ","FILING_STATUS=OR","EQY_CONSOLIDATED=Y","Sort=A","Dates=H","DateFormat=P","Fill=—","Direction=H","UseDPDF=Y")</f>
        <v>#NAME?</v>
      </c>
      <c r="AX7" s="2" t="e">
        <f ca="1">_xll.BDH($C$3,"WORKING_CAPITAL_5_YEAR_GROWTH","FQ4 2014","FQ4 2014","Currency=INR","Period=FQ","BEST_FPERIOD_OVERRIDE=FQ","FILING_STATUS=OR","EQY_CONSOLIDATED=Y","Sort=A","Dates=H","DateFormat=P","Fill=—","Direction=H","UseDPDF=Y")</f>
        <v>#NAME?</v>
      </c>
      <c r="AY7" s="2" t="e">
        <f ca="1">_xll.BDH($C$3,"ACCOUNTS_PAYABLE_5_YEAR_GROWTH","FQ4 2014","FQ4 2014","Currency=INR","Period=FQ","BEST_FPERIOD_OVERRIDE=FQ","FILING_STATUS=OR","EQY_CONSOLIDATED=Y","Sort=A","Dates=H","DateFormat=P","Fill=—","Direction=H","UseDPDF=Y")</f>
        <v>#NAME?</v>
      </c>
      <c r="AZ7" s="2" t="e">
        <f ca="1">_xll.BDH($C$3,"SHORT_TERM_DEBT_5_YEAR_GROWTH","FQ4 2014","FQ4 2014","Currency=INR","Period=FQ","BEST_FPERIOD_OVERRIDE=FQ","FILING_STATUS=OR","EQY_CONSOLIDATED=Y","Sort=A","Dates=H","DateFormat=P","Fill=—","Direction=H","UseDPDF=Y")</f>
        <v>#NAME?</v>
      </c>
      <c r="BA7" s="2" t="e">
        <f ca="1">_xll.BDH($C$3,"TOTAL_DEBT_5_YEAR_GROWTH","FQ4 2014","FQ4 2014","Currency=INR","Period=FQ","BEST_FPERIOD_OVERRIDE=FQ","FILING_STATUS=OR","EQY_CONSOLIDATED=Y","Sort=A","Dates=H","DateFormat=P","Fill=—","Direction=H","UseDPDF=Y")</f>
        <v>#NAME?</v>
      </c>
      <c r="BB7" s="2" t="e">
        <f ca="1">_xll.BDH($C$3,"GEO_GROW_TOT_SHRHLDR_EQY","FQ4 2014","FQ4 2014","Currency=INR","Period=FQ","BEST_FPERIOD_OVERRIDE=FQ","FILING_STATUS=OR","EQY_CONSOLIDATED=Y","Sort=A","Dates=H","DateFormat=P","Fill=—","Direction=H","UseDPDF=Y")</f>
        <v>#NAME?</v>
      </c>
      <c r="BC7" s="2" t="e">
        <f ca="1">_xll.BDH($C$3,"TOTAL_CAPITAL_5_YEAR_GROWTH","FQ4 2014","FQ4 2014","Currency=INR","Period=FQ","BEST_FPERIOD_OVERRIDE=FQ","FILING_STATUS=OR","EQY_CONSOLIDATED=Y","Sort=A","Dates=H","DateFormat=P","Fill=—","Direction=H","UseDPDF=Y")</f>
        <v>#NAME?</v>
      </c>
      <c r="BD7" s="2" t="e">
        <f ca="1">_xll.BDH($C$3,"GEO_GROW_BOOK_VAL","FQ4 2014","FQ4 2014","Currency=INR","Period=FQ","BEST_FPERIOD_OVERRIDE=FQ","FILING_STATUS=OR","EQY_CONSOLIDATED=Y","Sort=A","Dates=H","DateFormat=P","Fill=—","Direction=H","UseDPDF=Y")</f>
        <v>#NAME?</v>
      </c>
      <c r="BE7" s="2" t="e">
        <f ca="1">_xll.BDH($C$3,"GEO_GROW_CASH_OPER_ACT","FQ4 2014","FQ4 2014","Currency=INR","Period=FQ","BEST_FPERIOD_OVERRIDE=FQ","FILING_STATUS=OR","EQY_CONSOLIDATED=Y","Sort=A","Dates=H","DateFormat=P","Fill=—","Direction=H","UseDPDF=Y")</f>
        <v>#NAME?</v>
      </c>
      <c r="BF7" s="2" t="e">
        <f ca="1">_xll.BDH($C$3,"REVENUE_SEQUENTIAL_GROWTH","FQ4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7" s="2" t="e">
        <f ca="1">_xll.BDH($C$3,"EBITDA_SEQUENTIAL_GROWTH","FQ4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7" s="2" t="e">
        <f ca="1">_xll.BDH($C$3,"OPERATING_INCOME_SEQ_GROWTH","FQ4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7" s="2" t="e">
        <f ca="1">_xll.BDH($C$3,"NET_INCOME_TO_COMMON_SEQ_GROWTH","FQ4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7" s="2" t="e">
        <f ca="1">_xll.BDH($C$3,"EPS_DILUTED_SEQUENTIAL_GROWTH","FQ4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7" s="2" t="e">
        <f ca="1">_xll.BDH($C$3,"DPS_SEQUENTIAL_GROWTH","FQ4 2014","FQ4 2014","Currency=INR","Period=FQ","BEST_FPERIOD_OVERRIDE=FQ","FILING_STATUS=OR","EQY_CONSOLIDATED=Y","Sort=A","Dates=H","DateFormat=P","Fill=—","Direction=H","UseDPDF=Y")</f>
        <v>#NAME?</v>
      </c>
      <c r="BL7" s="2" t="e">
        <f ca="1">_xll.BDH($C$3,"ACCOUNTS_RECEIVABLE_SEQ_GROWTH","FQ4 2014","FQ4 2014","Currency=INR","Period=FQ","BEST_FPERIOD_OVERRIDE=FQ","FILING_STATUS=OR","EQY_CONSOLIDATED=Y","Sort=A","Dates=H","DateFormat=P","Fill=—","Direction=H","UseDPDF=Y")</f>
        <v>#NAME?</v>
      </c>
      <c r="BM7" s="2" t="e">
        <f ca="1">_xll.BDH($C$3,"INVENTORY_SEQUENTIAL_GROWTH","FQ4 2014","FQ4 2014","Currency=INR","Period=FQ","BEST_FPERIOD_OVERRIDE=FQ","FILING_STATUS=OR","EQY_CONSOLIDATED=Y","Sort=A","Dates=H","DateFormat=P","Fill=—","Direction=H","UseDPDF=Y")</f>
        <v>#NAME?</v>
      </c>
      <c r="BN7" s="2" t="e">
        <f ca="1">_xll.BDH($C$3,"FIXED_ASSETS_SEQUENTIAL_GROWTH","FQ4 2014","FQ4 2014","Currency=INR","Period=FQ","BEST_FPERIOD_OVERRIDE=FQ","FILING_STATUS=OR","EQY_CONSOLIDATED=Y","Sort=A","Dates=H","DateFormat=P","Fill=—","Direction=H","UseDPDF=Y")</f>
        <v>#NAME?</v>
      </c>
      <c r="BO7" s="2" t="e">
        <f ca="1">_xll.BDH($C$3,"TOTAL_ASSETS_SEQUENTIAL_GROWTH","FQ4 2014","FQ4 2014","Currency=INR","Period=FQ","BEST_FPERIOD_OVERRIDE=FQ","FILING_STATUS=OR","EQY_CONSOLIDATED=Y","Sort=A","Dates=H","DateFormat=P","Fill=—","Direction=H","UseDPDF=Y")</f>
        <v>#NAME?</v>
      </c>
      <c r="BP7" s="2" t="e">
        <f ca="1">_xll.BDH($C$3,"MODIFIED_WORKING_CPTL_SEQ_GRWTH","FQ4 2014","FQ4 2014","Currency=INR","Period=FQ","BEST_FPERIOD_OVERRIDE=FQ","FILING_STATUS=OR","EQY_CONSOLIDATED=Y","Sort=A","Dates=H","DateFormat=P","Fill=—","Direction=H","UseDPDF=Y")</f>
        <v>#NAME?</v>
      </c>
      <c r="BQ7" s="2" t="e">
        <f ca="1">_xll.BDH($C$3,"WORKING_CAPITAL_SEQ_GROWTH","FQ4 2014","FQ4 2014","Currency=INR","Period=FQ","BEST_FPERIOD_OVERRIDE=FQ","FILING_STATUS=OR","EQY_CONSOLIDATED=Y","Sort=A","Dates=H","DateFormat=P","Fill=—","Direction=H","UseDPDF=Y")</f>
        <v>#NAME?</v>
      </c>
      <c r="BR7" s="2" t="e">
        <f ca="1">_xll.BDH($C$3,"ACCOUNTS_PAYABLE_SEQ_GROWTH","FQ4 2014","FQ4 2014","Currency=INR","Period=FQ","BEST_FPERIOD_OVERRIDE=FQ","FILING_STATUS=OR","EQY_CONSOLIDATED=Y","Sort=A","Dates=H","DateFormat=P","Fill=—","Direction=H","UseDPDF=Y")</f>
        <v>#NAME?</v>
      </c>
      <c r="BS7" s="2" t="e">
        <f ca="1">_xll.BDH($C$3,"ST_DEBT_SEQUENTIAL_GROWTH","FQ4 2014","FQ4 2014","Currency=INR","Period=FQ","BEST_FPERIOD_OVERRIDE=FQ","FILING_STATUS=OR","EQY_CONSOLIDATED=Y","Sort=A","Dates=H","DateFormat=P","Fill=—","Direction=H","UseDPDF=Y")</f>
        <v>#NAME?</v>
      </c>
      <c r="BT7" s="2" t="e">
        <f ca="1">_xll.BDH($C$3,"TOTAL_DEBT_SEQUENTIAL_GROWTH","FQ4 2014","FQ4 2014","Currency=INR","Period=FQ","BEST_FPERIOD_OVERRIDE=FQ","FILING_STATUS=OR","EQY_CONSOLIDATED=Y","Sort=A","Dates=H","DateFormat=P","Fill=—","Direction=H","UseDPDF=Y")</f>
        <v>#NAME?</v>
      </c>
      <c r="BU7" s="2" t="e">
        <f ca="1">_xll.BDH($C$3,"TOTAL_EQUITY_SEQUENTIAL_GROWTH","FQ4 2014","FQ4 2014","Currency=INR","Period=FQ","BEST_FPERIOD_OVERRIDE=FQ","FILING_STATUS=OR","EQY_CONSOLIDATED=Y","Sort=A","Dates=H","DateFormat=P","Fill=—","Direction=H","UseDPDF=Y")</f>
        <v>#NAME?</v>
      </c>
      <c r="BV7" s="2" t="e">
        <f ca="1">_xll.BDH($C$3,"TOTAL_CAPITAL_SEQUENTIAL_GROWTH","FQ4 2014","FQ4 2014","Currency=INR","Period=FQ","BEST_FPERIOD_OVERRIDE=FQ","FILING_STATUS=OR","EQY_CONSOLIDATED=Y","Sort=A","Dates=H","DateFormat=P","Fill=—","Direction=H","UseDPDF=Y")</f>
        <v>#NAME?</v>
      </c>
      <c r="BW7" s="2" t="e">
        <f ca="1">_xll.BDH($C$3,"BPS_SEQUENTIAL_GROWTH","FQ4 2014","FQ4 2014","Currency=INR","Period=FQ","BEST_FPERIOD_OVERRIDE=FQ","FILING_STATUS=OR","EQY_CONSOLIDATED=Y","Sort=A","Dates=H","DateFormat=P","Fill=—","Direction=H","UseDPDF=Y")</f>
        <v>#NAME?</v>
      </c>
      <c r="BX7" s="2" t="e">
        <f ca="1">_xll.BDH($C$3,"CFO_SEQUENTIAL_GROWTH","FQ4 2014","FQ4 2014","Currency=INR","Period=FQ","BEST_FPERIOD_OVERRIDE=FQ","FILING_STATUS=OR","EQY_CONSOLIDATED=Y","Sort=A","Dates=H","DateFormat=P","Fill=—","Direction=H","UseDPDF=Y")</f>
        <v>#NAME?</v>
      </c>
      <c r="BY7" s="3" t="e">
        <f ca="1">_xll.BDH($C$3,"SHORT_AND_LONG_TERM_DEBT","FQ4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7" s="3" t="e">
        <f ca="1">_xll.BDH($C$3,"BS_ST_BORROW","FQ4 2014","FQ4 2014","Currency=INR","Period=FQ","BEST_FPERIOD_OVERRIDE=FQ","FILING_STATUS=OR","EQY_CONSOLIDATED=Y","SCALING_FORMAT=MLN","Sort=A","Dates=H","DateFormat=P","Fill=—","Direction=H","UseDPDF=Y")</f>
        <v>#NAME?</v>
      </c>
      <c r="CA7" s="3" t="e">
        <f ca="1">_xll.BDH($C$3,"BS_LT_BORROW","FQ4 2014","FQ4 2014","Currency=INR","Period=FQ","BEST_FPERIOD_OVERRIDE=FQ","FILING_STATUS=OR","EQY_CONSOLIDATED=Y","SCALING_FORMAT=MLN","Sort=A","Dates=H","DateFormat=P","Fill=—","Direction=H","UseDPDF=Y")</f>
        <v>#NAME?</v>
      </c>
      <c r="CB7" s="2" t="e">
        <f ca="1">_xll.BDH($C$3,"TOT_DEBT_TO_EBITDA","FQ4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7" s="2" t="e">
        <f ca="1">_xll.BDH($C$3,"NET_DEBT_TO_EBITDA","FQ4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7" s="2" t="e">
        <f ca="1">_xll.BDH($C$3,"TOTAL_DEBT_TO_EBIT","FQ4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7" s="2" t="e">
        <f ca="1">_xll.BDH($C$3,"NET_DEBT_TO_EBIT","FQ4 2014","FQ4 2014","Currency=INR","Period=FQ","BEST_FPERIOD_OVERRIDE=FQ","FILING_STATUS=OR","EQY_CONSOLIDATED=Y","FA_ADJUSTED=GAAP","Sort=A","Dates=H","DateFormat=P","Fill=—","Direction=H","UseDPDF=Y")</f>
        <v>#NAME?</v>
      </c>
      <c r="CF7" s="2" t="e">
        <f ca="1">_xll.BDH($C$3,"EBITDA_TO_INTEREST_EXPN","FQ4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7" s="2" t="e">
        <f ca="1">_xll.BDH($C$3,"COM_EQY_TO_TOT_ASSET","FQ4 2014","FQ4 2014","Currency=INR","Period=FQ","BEST_FPERIOD_OVERRIDE=FQ","FILING_STATUS=OR","EQY_CONSOLIDATED=Y","Sort=A","Dates=H","DateFormat=P","Fill=—","Direction=H","UseDPDF=Y")</f>
        <v>#NAME?</v>
      </c>
      <c r="CH7" s="2" t="e">
        <f ca="1">_xll.BDH($C$3,"LT_DEBT_TO_TOT_EQY","FQ4 2014","FQ4 2014","Currency=INR","Period=FQ","BEST_FPERIOD_OVERRIDE=FQ","FILING_STATUS=OR","EQY_CONSOLIDATED=Y","Sort=A","Dates=H","DateFormat=P","Fill=—","Direction=H","UseDPDF=Y")</f>
        <v>#NAME?</v>
      </c>
      <c r="CI7" s="2" t="e">
        <f ca="1">_xll.BDH($C$3,"LT_DEBT_TO_TOT_CAP","FQ4 2014","FQ4 2014","Currency=INR","Period=FQ","BEST_FPERIOD_OVERRIDE=FQ","FILING_STATUS=OR","EQY_CONSOLIDATED=Y","Sort=A","Dates=H","DateFormat=P","Fill=—","Direction=H","UseDPDF=Y")</f>
        <v>#NAME?</v>
      </c>
      <c r="CJ7" s="2" t="e">
        <f ca="1">_xll.BDH($C$3,"LT_DEBT_TO_TOT_ASSET","FQ4 2014","FQ4 2014","Currency=INR","Period=FQ","BEST_FPERIOD_OVERRIDE=FQ","FILING_STATUS=OR","EQY_CONSOLIDATED=Y","Sort=A","Dates=H","DateFormat=P","Fill=—","Direction=H","UseDPDF=Y")</f>
        <v>#NAME?</v>
      </c>
      <c r="CK7" s="2" t="e">
        <f ca="1">_xll.BDH($C$3,"TOT_DEBT_TO_TOT_EQY","FQ4 2014","FQ4 2014","Currency=INR","Period=FQ","BEST_FPERIOD_OVERRIDE=FQ","FILING_STATUS=OR","EQY_CONSOLIDATED=Y","Sort=A","Dates=H","DateFormat=P","Fill=—","Direction=H","UseDPDF=Y")</f>
        <v>#NAME?</v>
      </c>
      <c r="CL7" s="2" t="e">
        <f ca="1">_xll.BDH($C$3,"TOT_DEBT_TO_TOT_CAP","FQ4 2014","FQ4 2014","Currency=INR","Period=FQ","BEST_FPERIOD_OVERRIDE=FQ","FILING_STATUS=OR","EQY_CONSOLIDATED=Y","Sort=A","Dates=H","DateFormat=P","Fill=—","Direction=H","UseDPDF=Y")</f>
        <v>#NAME?</v>
      </c>
      <c r="CM7" s="2" t="e">
        <f ca="1">_xll.BDH($C$3,"TOT_DEBT_TO_TOT_ASSET","FQ4 2014","FQ4 2014","Currency=INR","Period=FQ","BEST_FPERIOD_OVERRIDE=FQ","FILING_STATUS=OR","EQY_CONSOLIDATED=Y","Sort=A","Dates=H","DateFormat=P","Fill=—","Direction=H","UseDPDF=Y")</f>
        <v>#NAME?</v>
      </c>
      <c r="CN7" s="2" t="e">
        <f ca="1">_xll.BDH($C$3,"NET_DEBT_TO_SHRHLDR_EQTY","FQ4 2014","FQ4 2014","Currency=INR","Period=FQ","BEST_FPERIOD_OVERRIDE=FQ","FILING_STATUS=OR","EQY_CONSOLIDATED=Y","Sort=A","Dates=H","DateFormat=P","Fill=—","Direction=H","UseDPDF=Y")</f>
        <v>#NAME?</v>
      </c>
      <c r="CO7" s="2" t="e">
        <f ca="1">_xll.BDH($C$3,"NET_DEBT_%_CAPITAL","FQ4 2014","FQ4 2014","Currency=INR","Period=FQ","BEST_FPERIOD_OVERRIDE=FQ","FILING_STATUS=OR","EQY_CONSOLIDATED=Y","Sort=A","Dates=H","DateFormat=P","Fill=—","Direction=H","UseDPDF=Y")</f>
        <v>#NAME?</v>
      </c>
      <c r="CP7" s="3" t="e">
        <f ca="1">_xll.BDH($C$3,"EBITDA","FQ4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7" s="3" t="e">
        <f ca="1">_xll.BDH($C$3,"EBITDA_AFTER_CAPEX","FQ4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7" s="3" t="e">
        <f ca="1">_xll.BDH($C$3,"IS_OPER_INC","FQ4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7" s="2" t="e">
        <f ca="1">_xll.BDH($C$3,"CASH_RATIO","FQ4 2014","FQ4 2014","Currency=INR","Period=FQ","BEST_FPERIOD_OVERRIDE=FQ","FILING_STATUS=OR","EQY_CONSOLIDATED=Y","Sort=A","Dates=H","DateFormat=P","Fill=—","Direction=H","UseDPDF=Y")</f>
        <v>#NAME?</v>
      </c>
      <c r="CT7" s="2" t="e">
        <f ca="1">_xll.BDH($C$3,"CUR_RATIO","FQ4 2014","FQ4 2014","Currency=INR","Period=FQ","BEST_FPERIOD_OVERRIDE=FQ","FILING_STATUS=OR","EQY_CONSOLIDATED=Y","Sort=A","Dates=H","DateFormat=P","Fill=—","Direction=H","UseDPDF=Y")</f>
        <v>#NAME?</v>
      </c>
      <c r="CU7" s="2" t="e">
        <f ca="1">_xll.BDH($C$3,"QUICK_RATIO","FQ4 2014","FQ4 2014","Currency=INR","Period=FQ","BEST_FPERIOD_OVERRIDE=FQ","FILING_STATUS=OR","EQY_CONSOLIDATED=Y","Sort=A","Dates=H","DateFormat=P","Fill=—","Direction=H","UseDPDF=Y")</f>
        <v>#NAME?</v>
      </c>
      <c r="CV7" s="2" t="e">
        <f ca="1">_xll.BDH($C$3,"ALTMAN_Z_SCORE","FQ4 2014","FQ4 2014","Currency=INR","Period=FQ","BEST_FPERIOD_OVERRIDE=FQ","FILING_STATUS=OR","EQY_CONSOLIDATED=Y","Sort=A","Dates=H","DateFormat=P","Fill=—","Direction=H","UseDPDF=Y")</f>
        <v>#NAME?</v>
      </c>
      <c r="CW7" s="4" t="e">
        <f ca="1">_xll.BDH($C$3,"ACCT_RCV_TURN","FQ4 2014","FQ4 2014","Currency=INR","Period=FQ","BEST_FPERIOD_OVERRIDE=FQ","FILING_STATUS=OR","EQY_CONSOLIDATED=Y","FA_ADJUSTED=GAAP","Sort=A","Dates=H","DateFormat=P","Fill=—","Direction=H","UseDPDF=Y")</f>
        <v>#NAME?</v>
      </c>
      <c r="CX7" s="2" t="e">
        <f ca="1">_xll.BDH($C$3,"ACCT_RCV_DAYS","FQ4 2014","FQ4 2014","Currency=INR","Period=FQ","BEST_FPERIOD_OVERRIDE=FQ","FILING_STATUS=OR","EQY_CONSOLIDATED=Y","FA_ADJUSTED=GAAP","Sort=A","Dates=H","DateFormat=P","Fill=—","Direction=H","UseDPDF=Y")</f>
        <v>#NAME?</v>
      </c>
      <c r="CY7" s="4" t="e">
        <f ca="1">_xll.BDH($C$3,"INVENT_TURN","FQ4 2014","FQ4 2014","Currency=INR","Period=FQ","BEST_FPERIOD_OVERRIDE=FQ","FILING_STATUS=OR","EQY_CONSOLIDATED=Y","FA_ADJUSTED=GAAP","Sort=A","Dates=H","DateFormat=P","Fill=—","Direction=H","UseDPDF=Y")</f>
        <v>#NAME?</v>
      </c>
      <c r="CZ7" s="2" t="e">
        <f ca="1">_xll.BDH($C$3,"INVENT_DAYS","FQ4 2014","FQ4 2014","Currency=INR","Period=FQ","BEST_FPERIOD_OVERRIDE=FQ","FILING_STATUS=OR","EQY_CONSOLIDATED=Y","FA_ADJUSTED=GAAP","Sort=A","Dates=H","DateFormat=P","Fill=—","Direction=H","UseDPDF=Y")</f>
        <v>#NAME?</v>
      </c>
      <c r="DA7" s="4" t="e">
        <f ca="1">_xll.BDH($C$3,"ACCOUNTS_PAYABLE_TURNOVER","FQ4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7" s="2" t="e">
        <f ca="1">_xll.BDH($C$3,"ACCOUNTS_PAYABLE_TURNOVER_DAYS","FQ4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7" s="4" t="e">
        <f ca="1">_xll.BDH($C$3,"CASH_CONVERSION_CYCLE","FQ4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7" s="4" t="e">
        <f ca="1">_xll.BDH($C$3,"INV_TO_CASH_DAYS","FQ4 2014","FQ4 2014","Currency=INR","Period=FQ","BEST_FPERIOD_OVERRIDE=FQ","FILING_STATUS=OR","EQY_CONSOLIDATED=Y","FA_ADJUSTED=GAAP","Sort=A","Dates=H","DateFormat=P","Fill=—","Direction=H","UseDPDF=Y")</f>
        <v>#NAME?</v>
      </c>
      <c r="DE7" s="5" t="e">
        <f ca="1">_xll.BDH($C$3,"BS_INVENTORIES","FQ4 2014","FQ4 2014","Currency=INR","Period=FQ","BEST_FPERIOD_OVERRIDE=FQ","FILING_STATUS=OR","EQY_CONSOLIDATED=Y","SCALING_FORMAT=MLN","Sort=A","Dates=H","DateFormat=P","Fill=—","Direction=H","UseDPDF=Y")</f>
        <v>#NAME?</v>
      </c>
      <c r="DF7" s="3" t="e">
        <f ca="1">_xll.BDH($C$3,"INVTRY_RAW_MATERIALS","FQ4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7" s="3" t="e">
        <f ca="1">_xll.BDH($C$3,"INVTRY_IN_PROGRESS","FQ4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7" s="3" t="e">
        <f ca="1">_xll.BDH($C$3,"INVTRY_FINISHED_GOODS","FQ4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7" s="3" t="e">
        <f ca="1">_xll.BDH($C$3,"BS_OTHER_INV","FQ4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8" spans="1:113" x14ac:dyDescent="0.3">
      <c r="A8" s="6"/>
      <c r="B8" s="6"/>
      <c r="C8" s="6"/>
      <c r="D8" s="6" t="s">
        <v>82</v>
      </c>
      <c r="E8" t="s">
        <v>77</v>
      </c>
      <c r="F8" t="e">
        <f ca="1">_xll.BDH($C$3,"RETURN_COM_EQY","FY 2015","FY 2015","Currency=INR","Period=FY","BEST_FPERIOD_OVERRIDE=FY","FILING_STATUS=OR","EQY_CONSOLIDATED=Y","FA_ADJUSTED=GAAP","Sort=A","Dates=H","DateFormat=P","Fill=—","Direction=H","UseDPDF=Y")</f>
        <v>#NAME?</v>
      </c>
      <c r="G8" t="e">
        <f ca="1">_xll.BDH($C$3,"RETURN_ON_ASSET","FY 2015","FY 2015","Currency=INR","Period=FY","BEST_FPERIOD_OVERRIDE=FY","FILING_STATUS=OR","EQY_CONSOLIDATED=Y","FA_ADJUSTED=GAAP","Sort=A","Dates=H","DateFormat=P","Fill=—","Direction=H","UseDPDF=Y")</f>
        <v>#NAME?</v>
      </c>
      <c r="H8" t="e">
        <f ca="1">_xll.BDH($C$3,"RETURN_ON_CAP","FY 2015","FY 2015","Currency=INR","Period=FY","BEST_FPERIOD_OVERRIDE=FY","FILING_STATUS=OR","EQY_CONSOLIDATED=Y","FA_ADJUSTED=GAAP","Sort=A","Dates=H","DateFormat=P","Fill=—","Direction=H","UseDPDF=Y")</f>
        <v>#NAME?</v>
      </c>
      <c r="I8" t="e">
        <f ca="1">_xll.BDH($C$3,"RETURN_ON_INV_CAPITAL","FY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8" t="e">
        <f ca="1">_xll.BDH($C$3,"EBITDA_TO_REVENUE","FY 2015","FY 2015","Currency=INR","Period=FY","BEST_FPERIOD_OVERRIDE=FY","FILING_STATUS=OR","EQY_CONSOLIDATED=Y","FA_ADJUSTED=GAAP","Sort=A","Dates=H","DateFormat=P","Fill=—","Direction=H","UseDPDF=Y")</f>
        <v>#NAME?</v>
      </c>
      <c r="K8" t="e">
        <f ca="1">_xll.BDH($C$3,"OPER_MARGIN","FY 2015","FY 2015","Currency=INR","Period=FY","BEST_FPERIOD_OVERRIDE=FY","FILING_STATUS=OR","EQY_CONSOLIDATED=Y","FA_ADJUSTED=GAAP","Sort=A","Dates=H","DateFormat=P","Fill=—","Direction=H","UseDPDF=Y")</f>
        <v>#NAME?</v>
      </c>
      <c r="L8" t="e">
        <f ca="1">_xll.BDH($C$3,"INCREMENTAL_OPERATING_MARGIN","FY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8" t="e">
        <f ca="1">_xll.BDH($C$3,"PRETAX_INC_TO_NET_SALES","FY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8" t="e">
        <f ca="1">_xll.BDH($C$3,"INC_BEF_XO_ITEMS_TO_NET_SALES","FY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8" t="e">
        <f ca="1">_xll.BDH($C$3,"PROF_MARGIN","FY 2015","FY 2015","Currency=INR","Period=FY","BEST_FPERIOD_OVERRIDE=FY","FILING_STATUS=OR","EQY_CONSOLIDATED=Y","FA_ADJUSTED=GAAP","Sort=A","Dates=H","DateFormat=P","Fill=—","Direction=H","UseDPDF=Y")</f>
        <v>#NAME?</v>
      </c>
      <c r="P8" t="e">
        <f ca="1">_xll.BDH($C$3,"NET_INCOME_TO_COMMON_MARGIN","FY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8" t="e">
        <f ca="1">_xll.BDH($C$3,"EFF_TAX_RATE","FY 2015","FY 2015","Currency=INR","Period=FY","BEST_FPERIOD_OVERRIDE=FY","FILING_STATUS=OR","EQY_CONSOLIDATED=Y","FA_ADJUSTED=GAAP","Sort=A","Dates=H","DateFormat=P","Fill=—","Direction=H","UseDPDF=Y")</f>
        <v>#NAME?</v>
      </c>
      <c r="R8" t="e">
        <f ca="1">_xll.BDH($C$3,"DVD_PAYOUT_RATIO","FY 2015","FY 2015","Currency=INR","Period=FY","BEST_FPERIOD_OVERRIDE=FY","FILING_STATUS=OR","EQY_CONSOLIDATED=Y","FA_ADJUSTED=GAAP","Sort=A","Dates=H","DateFormat=P","Fill=—","Direction=H","UseDPDF=Y")</f>
        <v>#NAME?</v>
      </c>
      <c r="S8" t="e">
        <f ca="1">_xll.BDH($C$3,"SUSTAIN_GROWTH_RT","FY 2015","FY 2015","Currency=INR","Period=FY","BEST_FPERIOD_OVERRIDE=FY","FILING_STATUS=OR","EQY_CONSOLIDATED=Y","FA_ADJUSTED=GAAP","Sort=A","Dates=H","DateFormat=P","Fill=—","Direction=H","UseDPDF=Y")</f>
        <v>#NAME?</v>
      </c>
      <c r="T8" s="2" t="e">
        <f ca="1">_xll.BDH($C$3,"SALES_GROWTH","FY 2015","FY 2015","Currency=INR","Period=FY","BEST_FPERIOD_OVERRIDE=FY","FILING_STATUS=OR","EQY_CONSOLIDATED=Y","FA_ADJUSTED=GAAP","Sort=A","Dates=H","DateFormat=P","Fill=—","Direction=H","UseDPDF=Y")</f>
        <v>#NAME?</v>
      </c>
      <c r="U8" s="2" t="e">
        <f ca="1">_xll.BDH($C$3,"EBITDA_GROWTH","FY 2015","FY 2015","Currency=INR","Period=FY","BEST_FPERIOD_OVERRIDE=FY","FILING_STATUS=OR","EQY_CONSOLIDATED=Y","FA_ADJUSTED=GAAP","Sort=A","Dates=H","DateFormat=P","Fill=—","Direction=H","UseDPDF=Y")</f>
        <v>#NAME?</v>
      </c>
      <c r="V8" s="2" t="e">
        <f ca="1">_xll.BDH($C$3,"OPER_INC_GROWTH","FY 2015","FY 2015","Currency=INR","Period=FY","BEST_FPERIOD_OVERRIDE=FY","FILING_STATUS=OR","EQY_CONSOLIDATED=Y","FA_ADJUSTED=GAAP","Sort=A","Dates=H","DateFormat=P","Fill=—","Direction=H","UseDPDF=Y")</f>
        <v>#NAME?</v>
      </c>
      <c r="W8" s="2" t="e">
        <f ca="1">_xll.BDH($C$3,"EARN_FOR_COM_GROWTH","FY 2015","FY 2015","Currency=INR","Period=FY","BEST_FPERIOD_OVERRIDE=FY","FILING_STATUS=OR","EQY_CONSOLIDATED=Y","FA_ADJUSTED=GAAP","Sort=A","Dates=H","DateFormat=P","Fill=—","Direction=H","UseDPDF=Y")</f>
        <v>#NAME?</v>
      </c>
      <c r="X8" s="2" t="e">
        <f ca="1">_xll.BDH($C$3,"DILUTED_EPS_AFT_XO_ITEMS_GROWTH","FY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8" s="2" t="e">
        <f ca="1">_xll.BDH($C$3,"DIVIDEND_PER_SHARE_1_YEAR_GROWTH","FY 2015","FY 2015","Currency=INR","Period=FY","BEST_FPERIOD_OVERRIDE=FY","FILING_STATUS=OR","EQY_CONSOLIDATED=Y","Sort=A","Dates=H","DateFormat=P","Fill=—","Direction=H","UseDPDF=Y")</f>
        <v>#NAME?</v>
      </c>
      <c r="Z8" s="2" t="e">
        <f ca="1">_xll.BDH($C$3,"ACCOUNTS_RECEIVABLE_GROWTH","FY 2015","FY 2015","Currency=INR","Period=FY","BEST_FPERIOD_OVERRIDE=FY","FILING_STATUS=OR","EQY_CONSOLIDATED=Y","Sort=A","Dates=H","DateFormat=P","Fill=—","Direction=H","UseDPDF=Y")</f>
        <v>#NAME?</v>
      </c>
      <c r="AA8" s="2" t="e">
        <f ca="1">_xll.BDH($C$3,"INVENTORY_GROWTH","FY 2015","FY 2015","Currency=INR","Period=FY","BEST_FPERIOD_OVERRIDE=FY","FILING_STATUS=OR","EQY_CONSOLIDATED=Y","Sort=A","Dates=H","DateFormat=P","Fill=—","Direction=H","UseDPDF=Y")</f>
        <v>#NAME?</v>
      </c>
      <c r="AB8" s="2" t="e">
        <f ca="1">_xll.BDH($C$3,"NET_FIXED_ASSETS_1_YEAR_GROWTH","FY 2015","FY 2015","Currency=INR","Period=FY","BEST_FPERIOD_OVERRIDE=FY","FILING_STATUS=OR","EQY_CONSOLIDATED=Y","Sort=A","Dates=H","DateFormat=P","Fill=—","Direction=H","UseDPDF=Y")</f>
        <v>#NAME?</v>
      </c>
      <c r="AC8" s="2" t="e">
        <f ca="1">_xll.BDH($C$3,"ASSET_GROWTH","FY 2015","FY 2015","Currency=INR","Period=FY","BEST_FPERIOD_OVERRIDE=FY","FILING_STATUS=OR","EQY_CONSOLIDATED=Y","Sort=A","Dates=H","DateFormat=P","Fill=—","Direction=H","UseDPDF=Y")</f>
        <v>#NAME?</v>
      </c>
      <c r="AD8" s="2" t="e">
        <f ca="1">_xll.BDH($C$3,"MODIFIED_WORK_CAP_GROWTH","FY 2015","FY 2015","Currency=INR","Period=FY","BEST_FPERIOD_OVERRIDE=FY","FILING_STATUS=OR","EQY_CONSOLIDATED=Y","Sort=A","Dates=H","DateFormat=P","Fill=—","Direction=H","UseDPDF=Y")</f>
        <v>#NAME?</v>
      </c>
      <c r="AE8" s="2" t="e">
        <f ca="1">_xll.BDH($C$3,"WORK_CAP_GROWTH","FY 2015","FY 2015","Currency=INR","Period=FY","BEST_FPERIOD_OVERRIDE=FY","FILING_STATUS=OR","EQY_CONSOLIDATED=Y","Sort=A","Dates=H","DateFormat=P","Fill=—","Direction=H","UseDPDF=Y")</f>
        <v>#NAME?</v>
      </c>
      <c r="AF8" s="2" t="e">
        <f ca="1">_xll.BDH($C$3,"ACCOUNTS_PAYABLE_GROWTH_1YR","FY 2015","FY 2015","Currency=INR","Period=FY","BEST_FPERIOD_OVERRIDE=FY","FILING_STATUS=OR","EQY_CONSOLIDATED=Y","Sort=A","Dates=H","DateFormat=P","Fill=—","Direction=H","UseDPDF=Y")</f>
        <v>#NAME?</v>
      </c>
      <c r="AG8" s="2" t="e">
        <f ca="1">_xll.BDH($C$3,"SHORT_TERM_DEBT_1_YEAR_GROWTH","FY 2015","FY 2015","Currency=INR","Period=FY","BEST_FPERIOD_OVERRIDE=FY","FILING_STATUS=OR","EQY_CONSOLIDATED=Y","Sort=A","Dates=H","DateFormat=P","Fill=—","Direction=H","UseDPDF=Y")</f>
        <v>#NAME?</v>
      </c>
      <c r="AH8" s="2" t="e">
        <f ca="1">_xll.BDH($C$3,"TOTAL_DEBT_1_YEAR_GROWTH","FY 2015","FY 2015","Currency=INR","Period=FY","BEST_FPERIOD_OVERRIDE=FY","FILING_STATUS=OR","EQY_CONSOLIDATED=Y","Sort=A","Dates=H","DateFormat=P","Fill=—","Direction=H","UseDPDF=Y")</f>
        <v>#NAME?</v>
      </c>
      <c r="AI8" s="2" t="e">
        <f ca="1">_xll.BDH($C$3,"TOTAL_EQUITY_1_YEAR_GROWTH","FY 2015","FY 2015","Currency=INR","Period=FY","BEST_FPERIOD_OVERRIDE=FY","FILING_STATUS=OR","EQY_CONSOLIDATED=Y","Sort=A","Dates=H","DateFormat=P","Fill=—","Direction=H","UseDPDF=Y")</f>
        <v>#NAME?</v>
      </c>
      <c r="AJ8" s="2" t="e">
        <f ca="1">_xll.BDH($C$3,"GROWTH_IN_CAP","FY 2015","FY 2015","Currency=INR","Period=FY","BEST_FPERIOD_OVERRIDE=FY","FILING_STATUS=OR","EQY_CONSOLIDATED=Y","Sort=A","Dates=H","DateFormat=P","Fill=—","Direction=H","UseDPDF=Y")</f>
        <v>#NAME?</v>
      </c>
      <c r="AK8" s="2" t="e">
        <f ca="1">_xll.BDH($C$3,"BVPS_GROWTH","FY 2015","FY 2015","Currency=INR","Period=FY","BEST_FPERIOD_OVERRIDE=FY","FILING_STATUS=OR","EQY_CONSOLIDATED=Y","Sort=A","Dates=H","DateFormat=P","Fill=—","Direction=H","UseDPDF=Y")</f>
        <v>#NAME?</v>
      </c>
      <c r="AL8" s="2" t="e">
        <f ca="1">_xll.BDH($C$3,"CASH_FLOW_GROWTH","FY 2015","FY 2015","Currency=INR","Period=FY","BEST_FPERIOD_OVERRIDE=FY","FILING_STATUS=OR","EQY_CONSOLIDATED=Y","Sort=A","Dates=H","DateFormat=P","Fill=—","Direction=H","UseDPDF=Y")</f>
        <v>#NAME?</v>
      </c>
      <c r="AM8" s="2" t="e">
        <f ca="1">_xll.BDH($C$3,"GEO_GROW_NET_SALES","FY 2015","FY 2015","Currency=INR","Period=FY","BEST_FPERIOD_OVERRIDE=FY","FILING_STATUS=OR","EQY_CONSOLIDATED=Y","FA_ADJUSTED=GAAP","Sort=A","Dates=H","DateFormat=P","Fill=—","Direction=H","UseDPDF=Y")</f>
        <v>#NAME?</v>
      </c>
      <c r="AN8" s="2" t="e">
        <f ca="1">_xll.BDH($C$3,"GEO_GROW_EBITDA","FY 2015","FY 2015","Currency=INR","Period=FY","BEST_FPERIOD_OVERRIDE=FY","FILING_STATUS=OR","EQY_CONSOLIDATED=Y","FA_ADJUSTED=GAAP","Sort=A","Dates=H","DateFormat=P","Fill=—","Direction=H","UseDPDF=Y")</f>
        <v>#NAME?</v>
      </c>
      <c r="AO8" s="2" t="e">
        <f ca="1">_xll.BDH($C$3,"GEO_GROW_OPER_INC","FY 2015","FY 2015","Currency=INR","Period=FY","BEST_FPERIOD_OVERRIDE=FY","FILING_STATUS=OR","EQY_CONSOLIDATED=Y","FA_ADJUSTED=GAAP","Sort=A","Dates=H","DateFormat=P","Fill=—","Direction=H","UseDPDF=Y")</f>
        <v>#NAME?</v>
      </c>
      <c r="AP8" s="2" t="e">
        <f ca="1">_xll.BDH($C$3,"NET_INCOME_TO_COMMON_5_YR_GROWTH","FY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8" s="2" t="e">
        <f ca="1">_xll.BDH($C$3,"5Y_GEO_GROWTH_DILUTED_EPS","FY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8" s="2" t="e">
        <f ca="1">_xll.BDH($C$3,"GEO_GROW_DVD_PER_SH","FY 2015","FY 2015","Currency=INR","Period=FY","BEST_FPERIOD_OVERRIDE=FY","FILING_STATUS=OR","EQY_CONSOLIDATED=Y","Sort=A","Dates=H","DateFormat=P","Fill=—","Direction=H","UseDPDF=Y")</f>
        <v>#NAME?</v>
      </c>
      <c r="AS8" s="2" t="e">
        <f ca="1">_xll.BDH($C$3,"ACCOUNTS_RECEIVABLE_5_YR_GROWTH","FY 2015","FY 2015","Currency=INR","Period=FY","BEST_FPERIOD_OVERRIDE=FY","FILING_STATUS=OR","EQY_CONSOLIDATED=Y","Sort=A","Dates=H","DateFormat=P","Fill=—","Direction=H","UseDPDF=Y")</f>
        <v>#NAME?</v>
      </c>
      <c r="AT8" s="2" t="e">
        <f ca="1">_xll.BDH($C$3,"INVENTORY_5_YEAR_GROWTH","FY 2015","FY 2015","Currency=INR","Period=FY","BEST_FPERIOD_OVERRIDE=FY","FILING_STATUS=OR","EQY_CONSOLIDATED=Y","Sort=A","Dates=H","DateFormat=P","Fill=—","Direction=H","UseDPDF=Y")</f>
        <v>#NAME?</v>
      </c>
      <c r="AU8" s="2" t="e">
        <f ca="1">_xll.BDH($C$3,"NET_FIXED_ASSETS_5_YEAR_GROWTH","FY 2015","FY 2015","Currency=INR","Period=FY","BEST_FPERIOD_OVERRIDE=FY","FILING_STATUS=OR","EQY_CONSOLIDATED=Y","Sort=A","Dates=H","DateFormat=P","Fill=—","Direction=H","UseDPDF=Y")</f>
        <v>#NAME?</v>
      </c>
      <c r="AV8" s="2" t="e">
        <f ca="1">_xll.BDH($C$3,"GEO_GROW_TOT_ASSET","FY 2015","FY 2015","Currency=INR","Period=FY","BEST_FPERIOD_OVERRIDE=FY","FILING_STATUS=OR","EQY_CONSOLIDATED=Y","Sort=A","Dates=H","DateFormat=P","Fill=—","Direction=H","UseDPDF=Y")</f>
        <v>#NAME?</v>
      </c>
      <c r="AW8" s="2" t="e">
        <f ca="1">_xll.BDH($C$3,"MODIFIED_WORKING_CPTL_5YR_GRWTH","FY 2015","FY 2015","Currency=INR","Period=FY","BEST_FPERIOD_OVERRIDE=FY","FILING_STATUS=OR","EQY_CONSOLIDATED=Y","Sort=A","Dates=H","DateFormat=P","Fill=—","Direction=H","UseDPDF=Y")</f>
        <v>#NAME?</v>
      </c>
      <c r="AX8" s="2" t="e">
        <f ca="1">_xll.BDH($C$3,"WORKING_CAPITAL_5_YEAR_GROWTH","FY 2015","FY 2015","Currency=INR","Period=FY","BEST_FPERIOD_OVERRIDE=FY","FILING_STATUS=OR","EQY_CONSOLIDATED=Y","Sort=A","Dates=H","DateFormat=P","Fill=—","Direction=H","UseDPDF=Y")</f>
        <v>#NAME?</v>
      </c>
      <c r="AY8" s="2" t="e">
        <f ca="1">_xll.BDH($C$3,"ACCOUNTS_PAYABLE_5_YEAR_GROWTH","FY 2015","FY 2015","Currency=INR","Period=FY","BEST_FPERIOD_OVERRIDE=FY","FILING_STATUS=OR","EQY_CONSOLIDATED=Y","Sort=A","Dates=H","DateFormat=P","Fill=—","Direction=H","UseDPDF=Y")</f>
        <v>#NAME?</v>
      </c>
      <c r="AZ8" s="2" t="e">
        <f ca="1">_xll.BDH($C$3,"SHORT_TERM_DEBT_5_YEAR_GROWTH","FY 2015","FY 2015","Currency=INR","Period=FY","BEST_FPERIOD_OVERRIDE=FY","FILING_STATUS=OR","EQY_CONSOLIDATED=Y","Sort=A","Dates=H","DateFormat=P","Fill=—","Direction=H","UseDPDF=Y")</f>
        <v>#NAME?</v>
      </c>
      <c r="BA8" s="2" t="e">
        <f ca="1">_xll.BDH($C$3,"TOTAL_DEBT_5_YEAR_GROWTH","FY 2015","FY 2015","Currency=INR","Period=FY","BEST_FPERIOD_OVERRIDE=FY","FILING_STATUS=OR","EQY_CONSOLIDATED=Y","Sort=A","Dates=H","DateFormat=P","Fill=—","Direction=H","UseDPDF=Y")</f>
        <v>#NAME?</v>
      </c>
      <c r="BB8" s="2" t="e">
        <f ca="1">_xll.BDH($C$3,"GEO_GROW_TOT_SHRHLDR_EQY","FY 2015","FY 2015","Currency=INR","Period=FY","BEST_FPERIOD_OVERRIDE=FY","FILING_STATUS=OR","EQY_CONSOLIDATED=Y","Sort=A","Dates=H","DateFormat=P","Fill=—","Direction=H","UseDPDF=Y")</f>
        <v>#NAME?</v>
      </c>
      <c r="BC8" s="2" t="e">
        <f ca="1">_xll.BDH($C$3,"TOTAL_CAPITAL_5_YEAR_GROWTH","FY 2015","FY 2015","Currency=INR","Period=FY","BEST_FPERIOD_OVERRIDE=FY","FILING_STATUS=OR","EQY_CONSOLIDATED=Y","Sort=A","Dates=H","DateFormat=P","Fill=—","Direction=H","UseDPDF=Y")</f>
        <v>#NAME?</v>
      </c>
      <c r="BD8" s="2" t="e">
        <f ca="1">_xll.BDH($C$3,"GEO_GROW_BOOK_VAL","FY 2015","FY 2015","Currency=INR","Period=FY","BEST_FPERIOD_OVERRIDE=FY","FILING_STATUS=OR","EQY_CONSOLIDATED=Y","Sort=A","Dates=H","DateFormat=P","Fill=—","Direction=H","UseDPDF=Y")</f>
        <v>#NAME?</v>
      </c>
      <c r="BE8" s="2" t="e">
        <f ca="1">_xll.BDH($C$3,"GEO_GROW_CASH_OPER_ACT","FY 2015","FY 2015","Currency=INR","Period=FY","BEST_FPERIOD_OVERRIDE=FY","FILING_STATUS=OR","EQY_CONSOLIDATED=Y","Sort=A","Dates=H","DateFormat=P","Fill=—","Direction=H","UseDPDF=Y")</f>
        <v>#NAME?</v>
      </c>
      <c r="BF8" s="2" t="e">
        <f ca="1">_xll.BDH($C$3,"REVENUE_SEQUENTIAL_GROWTH","FY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8" s="2" t="e">
        <f ca="1">_xll.BDH($C$3,"EBITDA_SEQUENTIAL_GROWTH","FY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8" s="2" t="e">
        <f ca="1">_xll.BDH($C$3,"OPERATING_INCOME_SEQ_GROWTH","FY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8" s="2" t="e">
        <f ca="1">_xll.BDH($C$3,"NET_INCOME_TO_COMMON_SEQ_GROWTH","FY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8" s="2" t="e">
        <f ca="1">_xll.BDH($C$3,"EPS_DILUTED_SEQUENTIAL_GROWTH","FY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8" s="2" t="e">
        <f ca="1">_xll.BDH($C$3,"DPS_SEQUENTIAL_GROWTH","FY 2015","FY 2015","Currency=INR","Period=FY","BEST_FPERIOD_OVERRIDE=FY","FILING_STATUS=OR","EQY_CONSOLIDATED=Y","Sort=A","Dates=H","DateFormat=P","Fill=—","Direction=H","UseDPDF=Y")</f>
        <v>#NAME?</v>
      </c>
      <c r="BL8" s="2" t="e">
        <f ca="1">_xll.BDH($C$3,"ACCOUNTS_RECEIVABLE_SEQ_GROWTH","FY 2015","FY 2015","Currency=INR","Period=FY","BEST_FPERIOD_OVERRIDE=FY","FILING_STATUS=OR","EQY_CONSOLIDATED=Y","Sort=A","Dates=H","DateFormat=P","Fill=—","Direction=H","UseDPDF=Y")</f>
        <v>#NAME?</v>
      </c>
      <c r="BM8" s="2" t="e">
        <f ca="1">_xll.BDH($C$3,"INVENTORY_SEQUENTIAL_GROWTH","FY 2015","FY 2015","Currency=INR","Period=FY","BEST_FPERIOD_OVERRIDE=FY","FILING_STATUS=OR","EQY_CONSOLIDATED=Y","Sort=A","Dates=H","DateFormat=P","Fill=—","Direction=H","UseDPDF=Y")</f>
        <v>#NAME?</v>
      </c>
      <c r="BN8" s="2" t="e">
        <f ca="1">_xll.BDH($C$3,"FIXED_ASSETS_SEQUENTIAL_GROWTH","FY 2015","FY 2015","Currency=INR","Period=FY","BEST_FPERIOD_OVERRIDE=FY","FILING_STATUS=OR","EQY_CONSOLIDATED=Y","Sort=A","Dates=H","DateFormat=P","Fill=—","Direction=H","UseDPDF=Y")</f>
        <v>#NAME?</v>
      </c>
      <c r="BO8" s="2" t="e">
        <f ca="1">_xll.BDH($C$3,"TOTAL_ASSETS_SEQUENTIAL_GROWTH","FY 2015","FY 2015","Currency=INR","Period=FY","BEST_FPERIOD_OVERRIDE=FY","FILING_STATUS=OR","EQY_CONSOLIDATED=Y","Sort=A","Dates=H","DateFormat=P","Fill=—","Direction=H","UseDPDF=Y")</f>
        <v>#NAME?</v>
      </c>
      <c r="BP8" s="2" t="e">
        <f ca="1">_xll.BDH($C$3,"MODIFIED_WORKING_CPTL_SEQ_GRWTH","FY 2015","FY 2015","Currency=INR","Period=FY","BEST_FPERIOD_OVERRIDE=FY","FILING_STATUS=OR","EQY_CONSOLIDATED=Y","Sort=A","Dates=H","DateFormat=P","Fill=—","Direction=H","UseDPDF=Y")</f>
        <v>#NAME?</v>
      </c>
      <c r="BQ8" s="2" t="e">
        <f ca="1">_xll.BDH($C$3,"WORKING_CAPITAL_SEQ_GROWTH","FY 2015","FY 2015","Currency=INR","Period=FY","BEST_FPERIOD_OVERRIDE=FY","FILING_STATUS=OR","EQY_CONSOLIDATED=Y","Sort=A","Dates=H","DateFormat=P","Fill=—","Direction=H","UseDPDF=Y")</f>
        <v>#NAME?</v>
      </c>
      <c r="BR8" s="2" t="e">
        <f ca="1">_xll.BDH($C$3,"ACCOUNTS_PAYABLE_SEQ_GROWTH","FY 2015","FY 2015","Currency=INR","Period=FY","BEST_FPERIOD_OVERRIDE=FY","FILING_STATUS=OR","EQY_CONSOLIDATED=Y","Sort=A","Dates=H","DateFormat=P","Fill=—","Direction=H","UseDPDF=Y")</f>
        <v>#NAME?</v>
      </c>
      <c r="BS8" s="2" t="e">
        <f ca="1">_xll.BDH($C$3,"ST_DEBT_SEQUENTIAL_GROWTH","FY 2015","FY 2015","Currency=INR","Period=FY","BEST_FPERIOD_OVERRIDE=FY","FILING_STATUS=OR","EQY_CONSOLIDATED=Y","Sort=A","Dates=H","DateFormat=P","Fill=—","Direction=H","UseDPDF=Y")</f>
        <v>#NAME?</v>
      </c>
      <c r="BT8" s="2" t="e">
        <f ca="1">_xll.BDH($C$3,"TOTAL_DEBT_SEQUENTIAL_GROWTH","FY 2015","FY 2015","Currency=INR","Period=FY","BEST_FPERIOD_OVERRIDE=FY","FILING_STATUS=OR","EQY_CONSOLIDATED=Y","Sort=A","Dates=H","DateFormat=P","Fill=—","Direction=H","UseDPDF=Y")</f>
        <v>#NAME?</v>
      </c>
      <c r="BU8" s="2" t="e">
        <f ca="1">_xll.BDH($C$3,"TOTAL_EQUITY_SEQUENTIAL_GROWTH","FY 2015","FY 2015","Currency=INR","Period=FY","BEST_FPERIOD_OVERRIDE=FY","FILING_STATUS=OR","EQY_CONSOLIDATED=Y","Sort=A","Dates=H","DateFormat=P","Fill=—","Direction=H","UseDPDF=Y")</f>
        <v>#NAME?</v>
      </c>
      <c r="BV8" s="2" t="e">
        <f ca="1">_xll.BDH($C$3,"TOTAL_CAPITAL_SEQUENTIAL_GROWTH","FY 2015","FY 2015","Currency=INR","Period=FY","BEST_FPERIOD_OVERRIDE=FY","FILING_STATUS=OR","EQY_CONSOLIDATED=Y","Sort=A","Dates=H","DateFormat=P","Fill=—","Direction=H","UseDPDF=Y")</f>
        <v>#NAME?</v>
      </c>
      <c r="BW8" s="2" t="e">
        <f ca="1">_xll.BDH($C$3,"BPS_SEQUENTIAL_GROWTH","FY 2015","FY 2015","Currency=INR","Period=FY","BEST_FPERIOD_OVERRIDE=FY","FILING_STATUS=OR","EQY_CONSOLIDATED=Y","Sort=A","Dates=H","DateFormat=P","Fill=—","Direction=H","UseDPDF=Y")</f>
        <v>#NAME?</v>
      </c>
      <c r="BX8" s="2" t="e">
        <f ca="1">_xll.BDH($C$3,"CFO_SEQUENTIAL_GROWTH","FY 2015","FY 2015","Currency=INR","Period=FY","BEST_FPERIOD_OVERRIDE=FY","FILING_STATUS=OR","EQY_CONSOLIDATED=Y","Sort=A","Dates=H","DateFormat=P","Fill=—","Direction=H","UseDPDF=Y")</f>
        <v>#NAME?</v>
      </c>
      <c r="BY8" s="3" t="e">
        <f ca="1">_xll.BDH($C$3,"SHORT_AND_LONG_TERM_DEBT","FY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8" s="3" t="e">
        <f ca="1">_xll.BDH($C$3,"BS_ST_BORROW","FY 2015","FY 2015","Currency=INR","Period=FY","BEST_FPERIOD_OVERRIDE=FY","FILING_STATUS=OR","EQY_CONSOLIDATED=Y","SCALING_FORMAT=MLN","Sort=A","Dates=H","DateFormat=P","Fill=—","Direction=H","UseDPDF=Y")</f>
        <v>#NAME?</v>
      </c>
      <c r="CA8" s="3" t="e">
        <f ca="1">_xll.BDH($C$3,"BS_LT_BORROW","FY 2015","FY 2015","Currency=INR","Period=FY","BEST_FPERIOD_OVERRIDE=FY","FILING_STATUS=OR","EQY_CONSOLIDATED=Y","SCALING_FORMAT=MLN","Sort=A","Dates=H","DateFormat=P","Fill=—","Direction=H","UseDPDF=Y")</f>
        <v>#NAME?</v>
      </c>
      <c r="CB8" s="2" t="e">
        <f ca="1">_xll.BDH($C$3,"TOT_DEBT_TO_EBITDA","FY 2015","FY 2015","Currency=INR","Period=FY","BEST_FPERIOD_OVERRIDE=FY","FILING_STATUS=OR","EQY_CONSOLIDATED=Y","FA_ADJUSTED=GAAP","Sort=A","Dates=H","DateFormat=P","Fill=—","Direction=H","UseDPDF=Y")</f>
        <v>#NAME?</v>
      </c>
      <c r="CC8" s="2" t="e">
        <f ca="1">_xll.BDH($C$3,"NET_DEBT_TO_EBITDA","FY 2015","FY 2015","Currency=INR","Period=FY","BEST_FPERIOD_OVERRIDE=FY","FILING_STATUS=OR","EQY_CONSOLIDATED=Y","FA_ADJUSTED=GAAP","Sort=A","Dates=H","DateFormat=P","Fill=—","Direction=H","UseDPDF=Y")</f>
        <v>#NAME?</v>
      </c>
      <c r="CD8" s="2" t="e">
        <f ca="1">_xll.BDH($C$3,"TOTAL_DEBT_TO_EBIT","FY 2015","FY 2015","Currency=INR","Period=FY","BEST_FPERIOD_OVERRIDE=FY","FILING_STATUS=OR","EQY_CONSOLIDATED=Y","FA_ADJUSTED=GAAP","Sort=A","Dates=H","DateFormat=P","Fill=—","Direction=H","UseDPDF=Y")</f>
        <v>#NAME?</v>
      </c>
      <c r="CE8" s="2" t="e">
        <f ca="1">_xll.BDH($C$3,"NET_DEBT_TO_EBIT","FY 2015","FY 2015","Currency=INR","Period=FY","BEST_FPERIOD_OVERRIDE=FY","FILING_STATUS=OR","EQY_CONSOLIDATED=Y","FA_ADJUSTED=GAAP","Sort=A","Dates=H","DateFormat=P","Fill=—","Direction=H","UseDPDF=Y")</f>
        <v>#NAME?</v>
      </c>
      <c r="CF8" s="2" t="e">
        <f ca="1">_xll.BDH($C$3,"EBITDA_TO_INTEREST_EXPN","FY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8" s="2" t="e">
        <f ca="1">_xll.BDH($C$3,"COM_EQY_TO_TOT_ASSET","FY 2015","FY 2015","Currency=INR","Period=FY","BEST_FPERIOD_OVERRIDE=FY","FILING_STATUS=OR","EQY_CONSOLIDATED=Y","Sort=A","Dates=H","DateFormat=P","Fill=—","Direction=H","UseDPDF=Y")</f>
        <v>#NAME?</v>
      </c>
      <c r="CH8" s="2" t="e">
        <f ca="1">_xll.BDH($C$3,"LT_DEBT_TO_TOT_EQY","FY 2015","FY 2015","Currency=INR","Period=FY","BEST_FPERIOD_OVERRIDE=FY","FILING_STATUS=OR","EQY_CONSOLIDATED=Y","Sort=A","Dates=H","DateFormat=P","Fill=—","Direction=H","UseDPDF=Y")</f>
        <v>#NAME?</v>
      </c>
      <c r="CI8" s="2" t="e">
        <f ca="1">_xll.BDH($C$3,"LT_DEBT_TO_TOT_CAP","FY 2015","FY 2015","Currency=INR","Period=FY","BEST_FPERIOD_OVERRIDE=FY","FILING_STATUS=OR","EQY_CONSOLIDATED=Y","Sort=A","Dates=H","DateFormat=P","Fill=—","Direction=H","UseDPDF=Y")</f>
        <v>#NAME?</v>
      </c>
      <c r="CJ8" s="2" t="e">
        <f ca="1">_xll.BDH($C$3,"LT_DEBT_TO_TOT_ASSET","FY 2015","FY 2015","Currency=INR","Period=FY","BEST_FPERIOD_OVERRIDE=FY","FILING_STATUS=OR","EQY_CONSOLIDATED=Y","Sort=A","Dates=H","DateFormat=P","Fill=—","Direction=H","UseDPDF=Y")</f>
        <v>#NAME?</v>
      </c>
      <c r="CK8" s="2" t="e">
        <f ca="1">_xll.BDH($C$3,"TOT_DEBT_TO_TOT_EQY","FY 2015","FY 2015","Currency=INR","Period=FY","BEST_FPERIOD_OVERRIDE=FY","FILING_STATUS=OR","EQY_CONSOLIDATED=Y","Sort=A","Dates=H","DateFormat=P","Fill=—","Direction=H","UseDPDF=Y")</f>
        <v>#NAME?</v>
      </c>
      <c r="CL8" s="2" t="e">
        <f ca="1">_xll.BDH($C$3,"TOT_DEBT_TO_TOT_CAP","FY 2015","FY 2015","Currency=INR","Period=FY","BEST_FPERIOD_OVERRIDE=FY","FILING_STATUS=OR","EQY_CONSOLIDATED=Y","Sort=A","Dates=H","DateFormat=P","Fill=—","Direction=H","UseDPDF=Y")</f>
        <v>#NAME?</v>
      </c>
      <c r="CM8" s="2" t="e">
        <f ca="1">_xll.BDH($C$3,"TOT_DEBT_TO_TOT_ASSET","FY 2015","FY 2015","Currency=INR","Period=FY","BEST_FPERIOD_OVERRIDE=FY","FILING_STATUS=OR","EQY_CONSOLIDATED=Y","Sort=A","Dates=H","DateFormat=P","Fill=—","Direction=H","UseDPDF=Y")</f>
        <v>#NAME?</v>
      </c>
      <c r="CN8" s="2" t="e">
        <f ca="1">_xll.BDH($C$3,"NET_DEBT_TO_SHRHLDR_EQTY","FY 2015","FY 2015","Currency=INR","Period=FY","BEST_FPERIOD_OVERRIDE=FY","FILING_STATUS=OR","EQY_CONSOLIDATED=Y","Sort=A","Dates=H","DateFormat=P","Fill=—","Direction=H","UseDPDF=Y")</f>
        <v>#NAME?</v>
      </c>
      <c r="CO8" s="2" t="e">
        <f ca="1">_xll.BDH($C$3,"NET_DEBT_%_CAPITAL","FY 2015","FY 2015","Currency=INR","Period=FY","BEST_FPERIOD_OVERRIDE=FY","FILING_STATUS=OR","EQY_CONSOLIDATED=Y","Sort=A","Dates=H","DateFormat=P","Fill=—","Direction=H","UseDPDF=Y")</f>
        <v>#NAME?</v>
      </c>
      <c r="CP8" s="3" t="e">
        <f ca="1">_xll.BDH($C$3,"EBITDA","FY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8" s="3" t="e">
        <f ca="1">_xll.BDH($C$3,"EBITDA_AFTER_CAPEX","FY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8" s="3" t="e">
        <f ca="1">_xll.BDH($C$3,"IS_OPER_INC","FY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8" s="2" t="e">
        <f ca="1">_xll.BDH($C$3,"CASH_RATIO","FY 2015","FY 2015","Currency=INR","Period=FY","BEST_FPERIOD_OVERRIDE=FY","FILING_STATUS=OR","EQY_CONSOLIDATED=Y","Sort=A","Dates=H","DateFormat=P","Fill=—","Direction=H","UseDPDF=Y")</f>
        <v>#NAME?</v>
      </c>
      <c r="CT8" s="2" t="e">
        <f ca="1">_xll.BDH($C$3,"CUR_RATIO","FY 2015","FY 2015","Currency=INR","Period=FY","BEST_FPERIOD_OVERRIDE=FY","FILING_STATUS=OR","EQY_CONSOLIDATED=Y","Sort=A","Dates=H","DateFormat=P","Fill=—","Direction=H","UseDPDF=Y")</f>
        <v>#NAME?</v>
      </c>
      <c r="CU8" s="2" t="e">
        <f ca="1">_xll.BDH($C$3,"QUICK_RATIO","FY 2015","FY 2015","Currency=INR","Period=FY","BEST_FPERIOD_OVERRIDE=FY","FILING_STATUS=OR","EQY_CONSOLIDATED=Y","Sort=A","Dates=H","DateFormat=P","Fill=—","Direction=H","UseDPDF=Y")</f>
        <v>#NAME?</v>
      </c>
      <c r="CV8" s="2" t="e">
        <f ca="1">_xll.BDH($C$3,"ALTMAN_Z_SCORE","FY 2015","FY 2015","Currency=INR","Period=FY","BEST_FPERIOD_OVERRIDE=FY","FILING_STATUS=OR","EQY_CONSOLIDATED=Y","Sort=A","Dates=H","DateFormat=P","Fill=—","Direction=H","UseDPDF=Y")</f>
        <v>#NAME?</v>
      </c>
      <c r="CW8" s="4" t="e">
        <f ca="1">_xll.BDH($C$3,"ACCT_RCV_TURN","FY 2015","FY 2015","Currency=INR","Period=FY","BEST_FPERIOD_OVERRIDE=FY","FILING_STATUS=OR","EQY_CONSOLIDATED=Y","FA_ADJUSTED=GAAP","Sort=A","Dates=H","DateFormat=P","Fill=—","Direction=H","UseDPDF=Y")</f>
        <v>#NAME?</v>
      </c>
      <c r="CX8" s="2" t="e">
        <f ca="1">_xll.BDH($C$3,"ACCT_RCV_DAYS","FY 2015","FY 2015","Currency=INR","Period=FY","BEST_FPERIOD_OVERRIDE=FY","FILING_STATUS=OR","EQY_CONSOLIDATED=Y","FA_ADJUSTED=GAAP","Sort=A","Dates=H","DateFormat=P","Fill=—","Direction=H","UseDPDF=Y")</f>
        <v>#NAME?</v>
      </c>
      <c r="CY8" s="4" t="e">
        <f ca="1">_xll.BDH($C$3,"INVENT_TURN","FY 2015","FY 2015","Currency=INR","Period=FY","BEST_FPERIOD_OVERRIDE=FY","FILING_STATUS=OR","EQY_CONSOLIDATED=Y","FA_ADJUSTED=GAAP","Sort=A","Dates=H","DateFormat=P","Fill=—","Direction=H","UseDPDF=Y")</f>
        <v>#NAME?</v>
      </c>
      <c r="CZ8" s="2" t="e">
        <f ca="1">_xll.BDH($C$3,"INVENT_DAYS","FY 2015","FY 2015","Currency=INR","Period=FY","BEST_FPERIOD_OVERRIDE=FY","FILING_STATUS=OR","EQY_CONSOLIDATED=Y","FA_ADJUSTED=GAAP","Sort=A","Dates=H","DateFormat=P","Fill=—","Direction=H","UseDPDF=Y")</f>
        <v>#NAME?</v>
      </c>
      <c r="DA8" s="4" t="e">
        <f ca="1">_xll.BDH($C$3,"ACCOUNTS_PAYABLE_TURNOVER","FY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8" s="2" t="e">
        <f ca="1">_xll.BDH($C$3,"ACCOUNTS_PAYABLE_TURNOVER_DAYS","FY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8" s="4" t="e">
        <f ca="1">_xll.BDH($C$3,"CASH_CONVERSION_CYCLE","FY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8" s="4" t="e">
        <f ca="1">_xll.BDH($C$3,"INV_TO_CASH_DAYS","FY 2015","FY 2015","Currency=INR","Period=FY","BEST_FPERIOD_OVERRIDE=FY","FILING_STATUS=OR","EQY_CONSOLIDATED=Y","FA_ADJUSTED=GAAP","Sort=A","Dates=H","DateFormat=P","Fill=—","Direction=H","UseDPDF=Y")</f>
        <v>#NAME?</v>
      </c>
      <c r="DE8" s="5" t="e">
        <f ca="1">_xll.BDH($C$3,"BS_INVENTORIES","FY 2015","FY 2015","Currency=INR","Period=FY","BEST_FPERIOD_OVERRIDE=FY","FILING_STATUS=OR","EQY_CONSOLIDATED=Y","SCALING_FORMAT=MLN","Sort=A","Dates=H","DateFormat=P","Fill=—","Direction=H","UseDPDF=Y")</f>
        <v>#NAME?</v>
      </c>
      <c r="DF8" s="3" t="e">
        <f ca="1">_xll.BDH($C$3,"INVTRY_RAW_MATERIALS","FY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8" s="3" t="e">
        <f ca="1">_xll.BDH($C$3,"INVTRY_IN_PROGRESS","FY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8" s="3" t="e">
        <f ca="1">_xll.BDH($C$3,"INVTRY_FINISHED_GOODS","FY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8" s="3" t="e">
        <f ca="1">_xll.BDH($C$3,"BS_OTHER_INV","FY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9" spans="1:113" x14ac:dyDescent="0.3">
      <c r="A9" s="6"/>
      <c r="B9" s="6"/>
      <c r="C9" s="6"/>
      <c r="D9" s="6"/>
      <c r="E9" t="s">
        <v>78</v>
      </c>
      <c r="F9" t="e">
        <f ca="1">_xll.BDH($C$3,"RETURN_COM_EQY","FQ1 2015","FQ1 2015","Currency=INR","Period=FQ","BEST_FPERIOD_OVERRIDE=FQ","FILING_STATUS=OR","EQY_CONSOLIDATED=Y","FA_ADJUSTED=GAAP","Sort=A","Dates=H","DateFormat=P","Fill=—","Direction=H","UseDPDF=Y")</f>
        <v>#NAME?</v>
      </c>
      <c r="G9" t="e">
        <f ca="1">_xll.BDH($C$3,"RETURN_ON_ASSET","FQ1 2015","FQ1 2015","Currency=INR","Period=FQ","BEST_FPERIOD_OVERRIDE=FQ","FILING_STATUS=OR","EQY_CONSOLIDATED=Y","FA_ADJUSTED=GAAP","Sort=A","Dates=H","DateFormat=P","Fill=—","Direction=H","UseDPDF=Y")</f>
        <v>#NAME?</v>
      </c>
      <c r="H9" t="e">
        <f ca="1">_xll.BDH($C$3,"RETURN_ON_CAP","FQ1 2015","FQ1 2015","Currency=INR","Period=FQ","BEST_FPERIOD_OVERRIDE=FQ","FILING_STATUS=OR","EQY_CONSOLIDATED=Y","FA_ADJUSTED=GAAP","Sort=A","Dates=H","DateFormat=P","Fill=—","Direction=H","UseDPDF=Y")</f>
        <v>#NAME?</v>
      </c>
      <c r="I9" t="e">
        <f ca="1">_xll.BDH($C$3,"RETURN_ON_INV_CAPITAL","FQ1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9" t="e">
        <f ca="1">_xll.BDH($C$3,"EBITDA_TO_REVENUE","FQ1 2015","FQ1 2015","Currency=INR","Period=FQ","BEST_FPERIOD_OVERRIDE=FQ","FILING_STATUS=OR","EQY_CONSOLIDATED=Y","FA_ADJUSTED=GAAP","Sort=A","Dates=H","DateFormat=P","Fill=—","Direction=H","UseDPDF=Y")</f>
        <v>#NAME?</v>
      </c>
      <c r="K9" t="e">
        <f ca="1">_xll.BDH($C$3,"OPER_MARGIN","FQ1 2015","FQ1 2015","Currency=INR","Period=FQ","BEST_FPERIOD_OVERRIDE=FQ","FILING_STATUS=OR","EQY_CONSOLIDATED=Y","FA_ADJUSTED=GAAP","Sort=A","Dates=H","DateFormat=P","Fill=—","Direction=H","UseDPDF=Y")</f>
        <v>#NAME?</v>
      </c>
      <c r="L9" t="e">
        <f ca="1">_xll.BDH($C$3,"INCREMENTAL_OPERATING_MARGIN","FQ1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9" t="e">
        <f ca="1">_xll.BDH($C$3,"PRETAX_INC_TO_NET_SALES","FQ1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9" t="e">
        <f ca="1">_xll.BDH($C$3,"INC_BEF_XO_ITEMS_TO_NET_SALES","FQ1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9" t="e">
        <f ca="1">_xll.BDH($C$3,"PROF_MARGIN","FQ1 2015","FQ1 2015","Currency=INR","Period=FQ","BEST_FPERIOD_OVERRIDE=FQ","FILING_STATUS=OR","EQY_CONSOLIDATED=Y","FA_ADJUSTED=GAAP","Sort=A","Dates=H","DateFormat=P","Fill=—","Direction=H","UseDPDF=Y")</f>
        <v>#NAME?</v>
      </c>
      <c r="P9" t="e">
        <f ca="1">_xll.BDH($C$3,"NET_INCOME_TO_COMMON_MARGIN","FQ1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9" t="e">
        <f ca="1">_xll.BDH($C$3,"EFF_TAX_RATE","FQ1 2015","FQ1 2015","Currency=INR","Period=FQ","BEST_FPERIOD_OVERRIDE=FQ","FILING_STATUS=OR","EQY_CONSOLIDATED=Y","FA_ADJUSTED=GAAP","Sort=A","Dates=H","DateFormat=P","Fill=—","Direction=H","UseDPDF=Y")</f>
        <v>#NAME?</v>
      </c>
      <c r="R9" t="e">
        <f ca="1">_xll.BDH($C$3,"DVD_PAYOUT_RATIO","FQ1 2015","FQ1 2015","Currency=INR","Period=FQ","BEST_FPERIOD_OVERRIDE=FQ","FILING_STATUS=OR","EQY_CONSOLIDATED=Y","FA_ADJUSTED=GAAP","Sort=A","Dates=H","DateFormat=P","Fill=—","Direction=H","UseDPDF=Y")</f>
        <v>#NAME?</v>
      </c>
      <c r="S9" t="e">
        <f ca="1">_xll.BDH($C$3,"SUSTAIN_GROWTH_RT","FQ1 2015","FQ1 2015","Currency=INR","Period=FQ","BEST_FPERIOD_OVERRIDE=FQ","FILING_STATUS=OR","EQY_CONSOLIDATED=Y","FA_ADJUSTED=GAAP","Sort=A","Dates=H","DateFormat=P","Fill=—","Direction=H","UseDPDF=Y")</f>
        <v>#NAME?</v>
      </c>
      <c r="T9" s="2" t="e">
        <f ca="1">_xll.BDH($C$3,"SALES_GROWTH","FQ1 2015","FQ1 2015","Currency=INR","Period=FQ","BEST_FPERIOD_OVERRIDE=FQ","FILING_STATUS=OR","EQY_CONSOLIDATED=Y","FA_ADJUSTED=GAAP","Sort=A","Dates=H","DateFormat=P","Fill=—","Direction=H","UseDPDF=Y")</f>
        <v>#NAME?</v>
      </c>
      <c r="U9" s="2" t="e">
        <f ca="1">_xll.BDH($C$3,"EBITDA_GROWTH","FQ1 2015","FQ1 2015","Currency=INR","Period=FQ","BEST_FPERIOD_OVERRIDE=FQ","FILING_STATUS=OR","EQY_CONSOLIDATED=Y","FA_ADJUSTED=GAAP","Sort=A","Dates=H","DateFormat=P","Fill=—","Direction=H","UseDPDF=Y")</f>
        <v>#NAME?</v>
      </c>
      <c r="V9" s="2" t="e">
        <f ca="1">_xll.BDH($C$3,"OPER_INC_GROWTH","FQ1 2015","FQ1 2015","Currency=INR","Period=FQ","BEST_FPERIOD_OVERRIDE=FQ","FILING_STATUS=OR","EQY_CONSOLIDATED=Y","FA_ADJUSTED=GAAP","Sort=A","Dates=H","DateFormat=P","Fill=—","Direction=H","UseDPDF=Y")</f>
        <v>#NAME?</v>
      </c>
      <c r="W9" s="2" t="e">
        <f ca="1">_xll.BDH($C$3,"EARN_FOR_COM_GROWTH","FQ1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9" s="2" t="e">
        <f ca="1">_xll.BDH($C$3,"DILUTED_EPS_AFT_XO_ITEMS_GROWTH","FQ1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9" s="2" t="e">
        <f ca="1">_xll.BDH($C$3,"DIVIDEND_PER_SHARE_1_YEAR_GROWTH","FQ1 2015","FQ1 2015","Currency=INR","Period=FQ","BEST_FPERIOD_OVERRIDE=FQ","FILING_STATUS=OR","EQY_CONSOLIDATED=Y","Sort=A","Dates=H","DateFormat=P","Fill=—","Direction=H","UseDPDF=Y")</f>
        <v>#NAME?</v>
      </c>
      <c r="Z9" s="2" t="e">
        <f ca="1">_xll.BDH($C$3,"ACCOUNTS_RECEIVABLE_GROWTH","FQ1 2015","FQ1 2015","Currency=INR","Period=FQ","BEST_FPERIOD_OVERRIDE=FQ","FILING_STATUS=OR","EQY_CONSOLIDATED=Y","Sort=A","Dates=H","DateFormat=P","Fill=—","Direction=H","UseDPDF=Y")</f>
        <v>#NAME?</v>
      </c>
      <c r="AA9" s="2" t="e">
        <f ca="1">_xll.BDH($C$3,"INVENTORY_GROWTH","FQ1 2015","FQ1 2015","Currency=INR","Period=FQ","BEST_FPERIOD_OVERRIDE=FQ","FILING_STATUS=OR","EQY_CONSOLIDATED=Y","Sort=A","Dates=H","DateFormat=P","Fill=—","Direction=H","UseDPDF=Y")</f>
        <v>#NAME?</v>
      </c>
      <c r="AB9" s="2" t="e">
        <f ca="1">_xll.BDH($C$3,"NET_FIXED_ASSETS_1_YEAR_GROWTH","FQ1 2015","FQ1 2015","Currency=INR","Period=FQ","BEST_FPERIOD_OVERRIDE=FQ","FILING_STATUS=OR","EQY_CONSOLIDATED=Y","Sort=A","Dates=H","DateFormat=P","Fill=—","Direction=H","UseDPDF=Y")</f>
        <v>#NAME?</v>
      </c>
      <c r="AC9" s="2" t="e">
        <f ca="1">_xll.BDH($C$3,"ASSET_GROWTH","FQ1 2015","FQ1 2015","Currency=INR","Period=FQ","BEST_FPERIOD_OVERRIDE=FQ","FILING_STATUS=OR","EQY_CONSOLIDATED=Y","Sort=A","Dates=H","DateFormat=P","Fill=—","Direction=H","UseDPDF=Y")</f>
        <v>#NAME?</v>
      </c>
      <c r="AD9" s="2" t="e">
        <f ca="1">_xll.BDH($C$3,"MODIFIED_WORK_CAP_GROWTH","FQ1 2015","FQ1 2015","Currency=INR","Period=FQ","BEST_FPERIOD_OVERRIDE=FQ","FILING_STATUS=OR","EQY_CONSOLIDATED=Y","Sort=A","Dates=H","DateFormat=P","Fill=—","Direction=H","UseDPDF=Y")</f>
        <v>#NAME?</v>
      </c>
      <c r="AE9" s="2" t="e">
        <f ca="1">_xll.BDH($C$3,"WORK_CAP_GROWTH","FQ1 2015","FQ1 2015","Currency=INR","Period=FQ","BEST_FPERIOD_OVERRIDE=FQ","FILING_STATUS=OR","EQY_CONSOLIDATED=Y","Sort=A","Dates=H","DateFormat=P","Fill=—","Direction=H","UseDPDF=Y")</f>
        <v>#NAME?</v>
      </c>
      <c r="AF9" s="2" t="e">
        <f ca="1">_xll.BDH($C$3,"ACCOUNTS_PAYABLE_GROWTH_1YR","FQ1 2015","FQ1 2015","Currency=INR","Period=FQ","BEST_FPERIOD_OVERRIDE=FQ","FILING_STATUS=OR","EQY_CONSOLIDATED=Y","Sort=A","Dates=H","DateFormat=P","Fill=—","Direction=H","UseDPDF=Y")</f>
        <v>#NAME?</v>
      </c>
      <c r="AG9" s="2" t="e">
        <f ca="1">_xll.BDH($C$3,"SHORT_TERM_DEBT_1_YEAR_GROWTH","FQ1 2015","FQ1 2015","Currency=INR","Period=FQ","BEST_FPERIOD_OVERRIDE=FQ","FILING_STATUS=OR","EQY_CONSOLIDATED=Y","Sort=A","Dates=H","DateFormat=P","Fill=—","Direction=H","UseDPDF=Y")</f>
        <v>#NAME?</v>
      </c>
      <c r="AH9" s="2" t="e">
        <f ca="1">_xll.BDH($C$3,"TOTAL_DEBT_1_YEAR_GROWTH","FQ1 2015","FQ1 2015","Currency=INR","Period=FQ","BEST_FPERIOD_OVERRIDE=FQ","FILING_STATUS=OR","EQY_CONSOLIDATED=Y","Sort=A","Dates=H","DateFormat=P","Fill=—","Direction=H","UseDPDF=Y")</f>
        <v>#NAME?</v>
      </c>
      <c r="AI9" s="2" t="e">
        <f ca="1">_xll.BDH($C$3,"TOTAL_EQUITY_1_YEAR_GROWTH","FQ1 2015","FQ1 2015","Currency=INR","Period=FQ","BEST_FPERIOD_OVERRIDE=FQ","FILING_STATUS=OR","EQY_CONSOLIDATED=Y","Sort=A","Dates=H","DateFormat=P","Fill=—","Direction=H","UseDPDF=Y")</f>
        <v>#NAME?</v>
      </c>
      <c r="AJ9" s="2" t="e">
        <f ca="1">_xll.BDH($C$3,"GROWTH_IN_CAP","FQ1 2015","FQ1 2015","Currency=INR","Period=FQ","BEST_FPERIOD_OVERRIDE=FQ","FILING_STATUS=OR","EQY_CONSOLIDATED=Y","Sort=A","Dates=H","DateFormat=P","Fill=—","Direction=H","UseDPDF=Y")</f>
        <v>#NAME?</v>
      </c>
      <c r="AK9" s="2" t="e">
        <f ca="1">_xll.BDH($C$3,"BVPS_GROWTH","FQ1 2015","FQ1 2015","Currency=INR","Period=FQ","BEST_FPERIOD_OVERRIDE=FQ","FILING_STATUS=OR","EQY_CONSOLIDATED=Y","Sort=A","Dates=H","DateFormat=P","Fill=—","Direction=H","UseDPDF=Y")</f>
        <v>#NAME?</v>
      </c>
      <c r="AL9" s="2" t="e">
        <f ca="1">_xll.BDH($C$3,"CASH_FLOW_GROWTH","FQ1 2015","FQ1 2015","Currency=INR","Period=FQ","BEST_FPERIOD_OVERRIDE=FQ","FILING_STATUS=OR","EQY_CONSOLIDATED=Y","Sort=A","Dates=H","DateFormat=P","Fill=—","Direction=H","UseDPDF=Y")</f>
        <v>#NAME?</v>
      </c>
      <c r="AM9" s="2" t="e">
        <f ca="1">_xll.BDH($C$3,"GEO_GROW_NET_SALES","FQ1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9" s="2" t="e">
        <f ca="1">_xll.BDH($C$3,"GEO_GROW_EBITDA","FQ1 2015","FQ1 2015","Currency=INR","Period=FQ","BEST_FPERIOD_OVERRIDE=FQ","FILING_STATUS=OR","EQY_CONSOLIDATED=Y","FA_ADJUSTED=GAAP","Sort=A","Dates=H","DateFormat=P","Fill=—","Direction=H","UseDPDF=Y")</f>
        <v>#NAME?</v>
      </c>
      <c r="AO9" s="2" t="e">
        <f ca="1">_xll.BDH($C$3,"GEO_GROW_OPER_INC","FQ1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9" s="2" t="e">
        <f ca="1">_xll.BDH($C$3,"NET_INCOME_TO_COMMON_5_YR_GROWTH","FQ1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9" s="2" t="e">
        <f ca="1">_xll.BDH($C$3,"5Y_GEO_GROWTH_DILUTED_EPS","FQ1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9" s="2" t="e">
        <f ca="1">_xll.BDH($C$3,"GEO_GROW_DVD_PER_SH","FQ1 2015","FQ1 2015","Currency=INR","Period=FQ","BEST_FPERIOD_OVERRIDE=FQ","FILING_STATUS=OR","EQY_CONSOLIDATED=Y","Sort=A","Dates=H","DateFormat=P","Fill=—","Direction=H","UseDPDF=Y")</f>
        <v>#NAME?</v>
      </c>
      <c r="AS9" s="2" t="e">
        <f ca="1">_xll.BDH($C$3,"ACCOUNTS_RECEIVABLE_5_YR_GROWTH","FQ1 2015","FQ1 2015","Currency=INR","Period=FQ","BEST_FPERIOD_OVERRIDE=FQ","FILING_STATUS=OR","EQY_CONSOLIDATED=Y","Sort=A","Dates=H","DateFormat=P","Fill=—","Direction=H","UseDPDF=Y")</f>
        <v>#NAME?</v>
      </c>
      <c r="AT9" s="2" t="e">
        <f ca="1">_xll.BDH($C$3,"INVENTORY_5_YEAR_GROWTH","FQ1 2015","FQ1 2015","Currency=INR","Period=FQ","BEST_FPERIOD_OVERRIDE=FQ","FILING_STATUS=OR","EQY_CONSOLIDATED=Y","Sort=A","Dates=H","DateFormat=P","Fill=—","Direction=H","UseDPDF=Y")</f>
        <v>#NAME?</v>
      </c>
      <c r="AU9" s="2" t="e">
        <f ca="1">_xll.BDH($C$3,"NET_FIXED_ASSETS_5_YEAR_GROWTH","FQ1 2015","FQ1 2015","Currency=INR","Period=FQ","BEST_FPERIOD_OVERRIDE=FQ","FILING_STATUS=OR","EQY_CONSOLIDATED=Y","Sort=A","Dates=H","DateFormat=P","Fill=—","Direction=H","UseDPDF=Y")</f>
        <v>#NAME?</v>
      </c>
      <c r="AV9" s="2" t="e">
        <f ca="1">_xll.BDH($C$3,"GEO_GROW_TOT_ASSET","FQ1 2015","FQ1 2015","Currency=INR","Period=FQ","BEST_FPERIOD_OVERRIDE=FQ","FILING_STATUS=OR","EQY_CONSOLIDATED=Y","Sort=A","Dates=H","DateFormat=P","Fill=—","Direction=H","UseDPDF=Y")</f>
        <v>#NAME?</v>
      </c>
      <c r="AW9" s="2" t="e">
        <f ca="1">_xll.BDH($C$3,"MODIFIED_WORKING_CPTL_5YR_GRWTH","FQ1 2015","FQ1 2015","Currency=INR","Period=FQ","BEST_FPERIOD_OVERRIDE=FQ","FILING_STATUS=OR","EQY_CONSOLIDATED=Y","Sort=A","Dates=H","DateFormat=P","Fill=—","Direction=H","UseDPDF=Y")</f>
        <v>#NAME?</v>
      </c>
      <c r="AX9" s="2" t="e">
        <f ca="1">_xll.BDH($C$3,"WORKING_CAPITAL_5_YEAR_GROWTH","FQ1 2015","FQ1 2015","Currency=INR","Period=FQ","BEST_FPERIOD_OVERRIDE=FQ","FILING_STATUS=OR","EQY_CONSOLIDATED=Y","Sort=A","Dates=H","DateFormat=P","Fill=—","Direction=H","UseDPDF=Y")</f>
        <v>#NAME?</v>
      </c>
      <c r="AY9" s="2" t="e">
        <f ca="1">_xll.BDH($C$3,"ACCOUNTS_PAYABLE_5_YEAR_GROWTH","FQ1 2015","FQ1 2015","Currency=INR","Period=FQ","BEST_FPERIOD_OVERRIDE=FQ","FILING_STATUS=OR","EQY_CONSOLIDATED=Y","Sort=A","Dates=H","DateFormat=P","Fill=—","Direction=H","UseDPDF=Y")</f>
        <v>#NAME?</v>
      </c>
      <c r="AZ9" s="2" t="e">
        <f ca="1">_xll.BDH($C$3,"SHORT_TERM_DEBT_5_YEAR_GROWTH","FQ1 2015","FQ1 2015","Currency=INR","Period=FQ","BEST_FPERIOD_OVERRIDE=FQ","FILING_STATUS=OR","EQY_CONSOLIDATED=Y","Sort=A","Dates=H","DateFormat=P","Fill=—","Direction=H","UseDPDF=Y")</f>
        <v>#NAME?</v>
      </c>
      <c r="BA9" s="2" t="e">
        <f ca="1">_xll.BDH($C$3,"TOTAL_DEBT_5_YEAR_GROWTH","FQ1 2015","FQ1 2015","Currency=INR","Period=FQ","BEST_FPERIOD_OVERRIDE=FQ","FILING_STATUS=OR","EQY_CONSOLIDATED=Y","Sort=A","Dates=H","DateFormat=P","Fill=—","Direction=H","UseDPDF=Y")</f>
        <v>#NAME?</v>
      </c>
      <c r="BB9" s="2" t="e">
        <f ca="1">_xll.BDH($C$3,"GEO_GROW_TOT_SHRHLDR_EQY","FQ1 2015","FQ1 2015","Currency=INR","Period=FQ","BEST_FPERIOD_OVERRIDE=FQ","FILING_STATUS=OR","EQY_CONSOLIDATED=Y","Sort=A","Dates=H","DateFormat=P","Fill=—","Direction=H","UseDPDF=Y")</f>
        <v>#NAME?</v>
      </c>
      <c r="BC9" s="2" t="e">
        <f ca="1">_xll.BDH($C$3,"TOTAL_CAPITAL_5_YEAR_GROWTH","FQ1 2015","FQ1 2015","Currency=INR","Period=FQ","BEST_FPERIOD_OVERRIDE=FQ","FILING_STATUS=OR","EQY_CONSOLIDATED=Y","Sort=A","Dates=H","DateFormat=P","Fill=—","Direction=H","UseDPDF=Y")</f>
        <v>#NAME?</v>
      </c>
      <c r="BD9" s="2" t="e">
        <f ca="1">_xll.BDH($C$3,"GEO_GROW_BOOK_VAL","FQ1 2015","FQ1 2015","Currency=INR","Period=FQ","BEST_FPERIOD_OVERRIDE=FQ","FILING_STATUS=OR","EQY_CONSOLIDATED=Y","Sort=A","Dates=H","DateFormat=P","Fill=—","Direction=H","UseDPDF=Y")</f>
        <v>#NAME?</v>
      </c>
      <c r="BE9" s="2" t="e">
        <f ca="1">_xll.BDH($C$3,"GEO_GROW_CASH_OPER_ACT","FQ1 2015","FQ1 2015","Currency=INR","Period=FQ","BEST_FPERIOD_OVERRIDE=FQ","FILING_STATUS=OR","EQY_CONSOLIDATED=Y","Sort=A","Dates=H","DateFormat=P","Fill=—","Direction=H","UseDPDF=Y")</f>
        <v>#NAME?</v>
      </c>
      <c r="BF9" s="2" t="e">
        <f ca="1">_xll.BDH($C$3,"REVENUE_SEQUENTIAL_GROWTH","FQ1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9" s="2" t="e">
        <f ca="1">_xll.BDH($C$3,"EBITDA_SEQUENTIAL_GROWTH","FQ1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9" s="2" t="e">
        <f ca="1">_xll.BDH($C$3,"OPERATING_INCOME_SEQ_GROWTH","FQ1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9" s="2" t="e">
        <f ca="1">_xll.BDH($C$3,"NET_INCOME_TO_COMMON_SEQ_GROWTH","FQ1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9" s="2" t="e">
        <f ca="1">_xll.BDH($C$3,"EPS_DILUTED_SEQUENTIAL_GROWTH","FQ1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9" s="2" t="e">
        <f ca="1">_xll.BDH($C$3,"DPS_SEQUENTIAL_GROWTH","FQ1 2015","FQ1 2015","Currency=INR","Period=FQ","BEST_FPERIOD_OVERRIDE=FQ","FILING_STATUS=OR","EQY_CONSOLIDATED=Y","Sort=A","Dates=H","DateFormat=P","Fill=—","Direction=H","UseDPDF=Y")</f>
        <v>#NAME?</v>
      </c>
      <c r="BL9" s="2" t="e">
        <f ca="1">_xll.BDH($C$3,"ACCOUNTS_RECEIVABLE_SEQ_GROWTH","FQ1 2015","FQ1 2015","Currency=INR","Period=FQ","BEST_FPERIOD_OVERRIDE=FQ","FILING_STATUS=OR","EQY_CONSOLIDATED=Y","Sort=A","Dates=H","DateFormat=P","Fill=—","Direction=H","UseDPDF=Y")</f>
        <v>#NAME?</v>
      </c>
      <c r="BM9" s="2" t="e">
        <f ca="1">_xll.BDH($C$3,"INVENTORY_SEQUENTIAL_GROWTH","FQ1 2015","FQ1 2015","Currency=INR","Period=FQ","BEST_FPERIOD_OVERRIDE=FQ","FILING_STATUS=OR","EQY_CONSOLIDATED=Y","Sort=A","Dates=H","DateFormat=P","Fill=—","Direction=H","UseDPDF=Y")</f>
        <v>#NAME?</v>
      </c>
      <c r="BN9" s="2" t="e">
        <f ca="1">_xll.BDH($C$3,"FIXED_ASSETS_SEQUENTIAL_GROWTH","FQ1 2015","FQ1 2015","Currency=INR","Period=FQ","BEST_FPERIOD_OVERRIDE=FQ","FILING_STATUS=OR","EQY_CONSOLIDATED=Y","Sort=A","Dates=H","DateFormat=P","Fill=—","Direction=H","UseDPDF=Y")</f>
        <v>#NAME?</v>
      </c>
      <c r="BO9" s="2" t="e">
        <f ca="1">_xll.BDH($C$3,"TOTAL_ASSETS_SEQUENTIAL_GROWTH","FQ1 2015","FQ1 2015","Currency=INR","Period=FQ","BEST_FPERIOD_OVERRIDE=FQ","FILING_STATUS=OR","EQY_CONSOLIDATED=Y","Sort=A","Dates=H","DateFormat=P","Fill=—","Direction=H","UseDPDF=Y")</f>
        <v>#NAME?</v>
      </c>
      <c r="BP9" s="2" t="e">
        <f ca="1">_xll.BDH($C$3,"MODIFIED_WORKING_CPTL_SEQ_GRWTH","FQ1 2015","FQ1 2015","Currency=INR","Period=FQ","BEST_FPERIOD_OVERRIDE=FQ","FILING_STATUS=OR","EQY_CONSOLIDATED=Y","Sort=A","Dates=H","DateFormat=P","Fill=—","Direction=H","UseDPDF=Y")</f>
        <v>#NAME?</v>
      </c>
      <c r="BQ9" s="2" t="e">
        <f ca="1">_xll.BDH($C$3,"WORKING_CAPITAL_SEQ_GROWTH","FQ1 2015","FQ1 2015","Currency=INR","Period=FQ","BEST_FPERIOD_OVERRIDE=FQ","FILING_STATUS=OR","EQY_CONSOLIDATED=Y","Sort=A","Dates=H","DateFormat=P","Fill=—","Direction=H","UseDPDF=Y")</f>
        <v>#NAME?</v>
      </c>
      <c r="BR9" s="2" t="e">
        <f ca="1">_xll.BDH($C$3,"ACCOUNTS_PAYABLE_SEQ_GROWTH","FQ1 2015","FQ1 2015","Currency=INR","Period=FQ","BEST_FPERIOD_OVERRIDE=FQ","FILING_STATUS=OR","EQY_CONSOLIDATED=Y","Sort=A","Dates=H","DateFormat=P","Fill=—","Direction=H","UseDPDF=Y")</f>
        <v>#NAME?</v>
      </c>
      <c r="BS9" s="2" t="e">
        <f ca="1">_xll.BDH($C$3,"ST_DEBT_SEQUENTIAL_GROWTH","FQ1 2015","FQ1 2015","Currency=INR","Period=FQ","BEST_FPERIOD_OVERRIDE=FQ","FILING_STATUS=OR","EQY_CONSOLIDATED=Y","Sort=A","Dates=H","DateFormat=P","Fill=—","Direction=H","UseDPDF=Y")</f>
        <v>#NAME?</v>
      </c>
      <c r="BT9" s="2" t="e">
        <f ca="1">_xll.BDH($C$3,"TOTAL_DEBT_SEQUENTIAL_GROWTH","FQ1 2015","FQ1 2015","Currency=INR","Period=FQ","BEST_FPERIOD_OVERRIDE=FQ","FILING_STATUS=OR","EQY_CONSOLIDATED=Y","Sort=A","Dates=H","DateFormat=P","Fill=—","Direction=H","UseDPDF=Y")</f>
        <v>#NAME?</v>
      </c>
      <c r="BU9" s="2" t="e">
        <f ca="1">_xll.BDH($C$3,"TOTAL_EQUITY_SEQUENTIAL_GROWTH","FQ1 2015","FQ1 2015","Currency=INR","Period=FQ","BEST_FPERIOD_OVERRIDE=FQ","FILING_STATUS=OR","EQY_CONSOLIDATED=Y","Sort=A","Dates=H","DateFormat=P","Fill=—","Direction=H","UseDPDF=Y")</f>
        <v>#NAME?</v>
      </c>
      <c r="BV9" s="2" t="e">
        <f ca="1">_xll.BDH($C$3,"TOTAL_CAPITAL_SEQUENTIAL_GROWTH","FQ1 2015","FQ1 2015","Currency=INR","Period=FQ","BEST_FPERIOD_OVERRIDE=FQ","FILING_STATUS=OR","EQY_CONSOLIDATED=Y","Sort=A","Dates=H","DateFormat=P","Fill=—","Direction=H","UseDPDF=Y")</f>
        <v>#NAME?</v>
      </c>
      <c r="BW9" s="2" t="e">
        <f ca="1">_xll.BDH($C$3,"BPS_SEQUENTIAL_GROWTH","FQ1 2015","FQ1 2015","Currency=INR","Period=FQ","BEST_FPERIOD_OVERRIDE=FQ","FILING_STATUS=OR","EQY_CONSOLIDATED=Y","Sort=A","Dates=H","DateFormat=P","Fill=—","Direction=H","UseDPDF=Y")</f>
        <v>#NAME?</v>
      </c>
      <c r="BX9" s="2" t="e">
        <f ca="1">_xll.BDH($C$3,"CFO_SEQUENTIAL_GROWTH","FQ1 2015","FQ1 2015","Currency=INR","Period=FQ","BEST_FPERIOD_OVERRIDE=FQ","FILING_STATUS=OR","EQY_CONSOLIDATED=Y","Sort=A","Dates=H","DateFormat=P","Fill=—","Direction=H","UseDPDF=Y")</f>
        <v>#NAME?</v>
      </c>
      <c r="BY9" s="3" t="e">
        <f ca="1">_xll.BDH($C$3,"SHORT_AND_LONG_TERM_DEBT","FQ1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9" s="3" t="e">
        <f ca="1">_xll.BDH($C$3,"BS_ST_BORROW","FQ1 2015","FQ1 2015","Currency=INR","Period=FQ","BEST_FPERIOD_OVERRIDE=FQ","FILING_STATUS=OR","EQY_CONSOLIDATED=Y","SCALING_FORMAT=MLN","Sort=A","Dates=H","DateFormat=P","Fill=—","Direction=H","UseDPDF=Y")</f>
        <v>#NAME?</v>
      </c>
      <c r="CA9" s="3" t="e">
        <f ca="1">_xll.BDH($C$3,"BS_LT_BORROW","FQ1 2015","FQ1 2015","Currency=INR","Period=FQ","BEST_FPERIOD_OVERRIDE=FQ","FILING_STATUS=OR","EQY_CONSOLIDATED=Y","SCALING_FORMAT=MLN","Sort=A","Dates=H","DateFormat=P","Fill=—","Direction=H","UseDPDF=Y")</f>
        <v>#NAME?</v>
      </c>
      <c r="CB9" s="2" t="e">
        <f ca="1">_xll.BDH($C$3,"TOT_DEBT_TO_EBITDA","FQ1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9" s="2" t="e">
        <f ca="1">_xll.BDH($C$3,"NET_DEBT_TO_EBITDA","FQ1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9" s="2" t="e">
        <f ca="1">_xll.BDH($C$3,"TOTAL_DEBT_TO_EBIT","FQ1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9" s="2" t="e">
        <f ca="1">_xll.BDH($C$3,"NET_DEBT_TO_EBIT","FQ1 2015","FQ1 2015","Currency=INR","Period=FQ","BEST_FPERIOD_OVERRIDE=FQ","FILING_STATUS=OR","EQY_CONSOLIDATED=Y","FA_ADJUSTED=GAAP","Sort=A","Dates=H","DateFormat=P","Fill=—","Direction=H","UseDPDF=Y")</f>
        <v>#NAME?</v>
      </c>
      <c r="CF9" s="2" t="e">
        <f ca="1">_xll.BDH($C$3,"EBITDA_TO_INTEREST_EXPN","FQ1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9" s="2" t="e">
        <f ca="1">_xll.BDH($C$3,"COM_EQY_TO_TOT_ASSET","FQ1 2015","FQ1 2015","Currency=INR","Period=FQ","BEST_FPERIOD_OVERRIDE=FQ","FILING_STATUS=OR","EQY_CONSOLIDATED=Y","Sort=A","Dates=H","DateFormat=P","Fill=—","Direction=H","UseDPDF=Y")</f>
        <v>#NAME?</v>
      </c>
      <c r="CH9" s="2" t="e">
        <f ca="1">_xll.BDH($C$3,"LT_DEBT_TO_TOT_EQY","FQ1 2015","FQ1 2015","Currency=INR","Period=FQ","BEST_FPERIOD_OVERRIDE=FQ","FILING_STATUS=OR","EQY_CONSOLIDATED=Y","Sort=A","Dates=H","DateFormat=P","Fill=—","Direction=H","UseDPDF=Y")</f>
        <v>#NAME?</v>
      </c>
      <c r="CI9" s="2" t="e">
        <f ca="1">_xll.BDH($C$3,"LT_DEBT_TO_TOT_CAP","FQ1 2015","FQ1 2015","Currency=INR","Period=FQ","BEST_FPERIOD_OVERRIDE=FQ","FILING_STATUS=OR","EQY_CONSOLIDATED=Y","Sort=A","Dates=H","DateFormat=P","Fill=—","Direction=H","UseDPDF=Y")</f>
        <v>#NAME?</v>
      </c>
      <c r="CJ9" s="2" t="e">
        <f ca="1">_xll.BDH($C$3,"LT_DEBT_TO_TOT_ASSET","FQ1 2015","FQ1 2015","Currency=INR","Period=FQ","BEST_FPERIOD_OVERRIDE=FQ","FILING_STATUS=OR","EQY_CONSOLIDATED=Y","Sort=A","Dates=H","DateFormat=P","Fill=—","Direction=H","UseDPDF=Y")</f>
        <v>#NAME?</v>
      </c>
      <c r="CK9" s="2" t="e">
        <f ca="1">_xll.BDH($C$3,"TOT_DEBT_TO_TOT_EQY","FQ1 2015","FQ1 2015","Currency=INR","Period=FQ","BEST_FPERIOD_OVERRIDE=FQ","FILING_STATUS=OR","EQY_CONSOLIDATED=Y","Sort=A","Dates=H","DateFormat=P","Fill=—","Direction=H","UseDPDF=Y")</f>
        <v>#NAME?</v>
      </c>
      <c r="CL9" s="2" t="e">
        <f ca="1">_xll.BDH($C$3,"TOT_DEBT_TO_TOT_CAP","FQ1 2015","FQ1 2015","Currency=INR","Period=FQ","BEST_FPERIOD_OVERRIDE=FQ","FILING_STATUS=OR","EQY_CONSOLIDATED=Y","Sort=A","Dates=H","DateFormat=P","Fill=—","Direction=H","UseDPDF=Y")</f>
        <v>#NAME?</v>
      </c>
      <c r="CM9" s="2" t="e">
        <f ca="1">_xll.BDH($C$3,"TOT_DEBT_TO_TOT_ASSET","FQ1 2015","FQ1 2015","Currency=INR","Period=FQ","BEST_FPERIOD_OVERRIDE=FQ","FILING_STATUS=OR","EQY_CONSOLIDATED=Y","Sort=A","Dates=H","DateFormat=P","Fill=—","Direction=H","UseDPDF=Y")</f>
        <v>#NAME?</v>
      </c>
      <c r="CN9" s="2" t="e">
        <f ca="1">_xll.BDH($C$3,"NET_DEBT_TO_SHRHLDR_EQTY","FQ1 2015","FQ1 2015","Currency=INR","Period=FQ","BEST_FPERIOD_OVERRIDE=FQ","FILING_STATUS=OR","EQY_CONSOLIDATED=Y","Sort=A","Dates=H","DateFormat=P","Fill=—","Direction=H","UseDPDF=Y")</f>
        <v>#NAME?</v>
      </c>
      <c r="CO9" s="2" t="e">
        <f ca="1">_xll.BDH($C$3,"NET_DEBT_%_CAPITAL","FQ1 2015","FQ1 2015","Currency=INR","Period=FQ","BEST_FPERIOD_OVERRIDE=FQ","FILING_STATUS=OR","EQY_CONSOLIDATED=Y","Sort=A","Dates=H","DateFormat=P","Fill=—","Direction=H","UseDPDF=Y")</f>
        <v>#NAME?</v>
      </c>
      <c r="CP9" s="3" t="e">
        <f ca="1">_xll.BDH($C$3,"EBITDA","FQ1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9" s="3" t="e">
        <f ca="1">_xll.BDH($C$3,"EBITDA_AFTER_CAPEX","FQ1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9" s="3" t="e">
        <f ca="1">_xll.BDH($C$3,"IS_OPER_INC","FQ1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9" s="2" t="e">
        <f ca="1">_xll.BDH($C$3,"CASH_RATIO","FQ1 2015","FQ1 2015","Currency=INR","Period=FQ","BEST_FPERIOD_OVERRIDE=FQ","FILING_STATUS=OR","EQY_CONSOLIDATED=Y","Sort=A","Dates=H","DateFormat=P","Fill=—","Direction=H","UseDPDF=Y")</f>
        <v>#NAME?</v>
      </c>
      <c r="CT9" s="2" t="e">
        <f ca="1">_xll.BDH($C$3,"CUR_RATIO","FQ1 2015","FQ1 2015","Currency=INR","Period=FQ","BEST_FPERIOD_OVERRIDE=FQ","FILING_STATUS=OR","EQY_CONSOLIDATED=Y","Sort=A","Dates=H","DateFormat=P","Fill=—","Direction=H","UseDPDF=Y")</f>
        <v>#NAME?</v>
      </c>
      <c r="CU9" s="2" t="e">
        <f ca="1">_xll.BDH($C$3,"QUICK_RATIO","FQ1 2015","FQ1 2015","Currency=INR","Period=FQ","BEST_FPERIOD_OVERRIDE=FQ","FILING_STATUS=OR","EQY_CONSOLIDATED=Y","Sort=A","Dates=H","DateFormat=P","Fill=—","Direction=H","UseDPDF=Y")</f>
        <v>#NAME?</v>
      </c>
      <c r="CV9" s="2" t="e">
        <f ca="1">_xll.BDH($C$3,"ALTMAN_Z_SCORE","FQ1 2015","FQ1 2015","Currency=INR","Period=FQ","BEST_FPERIOD_OVERRIDE=FQ","FILING_STATUS=OR","EQY_CONSOLIDATED=Y","Sort=A","Dates=H","DateFormat=P","Fill=—","Direction=H","UseDPDF=Y")</f>
        <v>#NAME?</v>
      </c>
      <c r="CW9" s="4" t="e">
        <f ca="1">_xll.BDH($C$3,"ACCT_RCV_TURN","FQ1 2015","FQ1 2015","Currency=INR","Period=FQ","BEST_FPERIOD_OVERRIDE=FQ","FILING_STATUS=OR","EQY_CONSOLIDATED=Y","FA_ADJUSTED=GAAP","Sort=A","Dates=H","DateFormat=P","Fill=—","Direction=H","UseDPDF=Y")</f>
        <v>#NAME?</v>
      </c>
      <c r="CX9" s="2" t="e">
        <f ca="1">_xll.BDH($C$3,"ACCT_RCV_DAYS","FQ1 2015","FQ1 2015","Currency=INR","Period=FQ","BEST_FPERIOD_OVERRIDE=FQ","FILING_STATUS=OR","EQY_CONSOLIDATED=Y","FA_ADJUSTED=GAAP","Sort=A","Dates=H","DateFormat=P","Fill=—","Direction=H","UseDPDF=Y")</f>
        <v>#NAME?</v>
      </c>
      <c r="CY9" s="4" t="e">
        <f ca="1">_xll.BDH($C$3,"INVENT_TURN","FQ1 2015","FQ1 2015","Currency=INR","Period=FQ","BEST_FPERIOD_OVERRIDE=FQ","FILING_STATUS=OR","EQY_CONSOLIDATED=Y","FA_ADJUSTED=GAAP","Sort=A","Dates=H","DateFormat=P","Fill=—","Direction=H","UseDPDF=Y")</f>
        <v>#NAME?</v>
      </c>
      <c r="CZ9" s="2" t="e">
        <f ca="1">_xll.BDH($C$3,"INVENT_DAYS","FQ1 2015","FQ1 2015","Currency=INR","Period=FQ","BEST_FPERIOD_OVERRIDE=FQ","FILING_STATUS=OR","EQY_CONSOLIDATED=Y","FA_ADJUSTED=GAAP","Sort=A","Dates=H","DateFormat=P","Fill=—","Direction=H","UseDPDF=Y")</f>
        <v>#NAME?</v>
      </c>
      <c r="DA9" s="4" t="e">
        <f ca="1">_xll.BDH($C$3,"ACCOUNTS_PAYABLE_TURNOVER","FQ1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9" s="2" t="e">
        <f ca="1">_xll.BDH($C$3,"ACCOUNTS_PAYABLE_TURNOVER_DAYS","FQ1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9" s="4" t="e">
        <f ca="1">_xll.BDH($C$3,"CASH_CONVERSION_CYCLE","FQ1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9" s="4" t="e">
        <f ca="1">_xll.BDH($C$3,"INV_TO_CASH_DAYS","FQ1 2015","FQ1 2015","Currency=INR","Period=FQ","BEST_FPERIOD_OVERRIDE=FQ","FILING_STATUS=OR","EQY_CONSOLIDATED=Y","FA_ADJUSTED=GAAP","Sort=A","Dates=H","DateFormat=P","Fill=—","Direction=H","UseDPDF=Y")</f>
        <v>#NAME?</v>
      </c>
      <c r="DE9" s="5" t="e">
        <f ca="1">_xll.BDH($C$3,"BS_INVENTORIES","FQ1 2015","FQ1 2015","Currency=INR","Period=FQ","BEST_FPERIOD_OVERRIDE=FQ","FILING_STATUS=OR","EQY_CONSOLIDATED=Y","SCALING_FORMAT=MLN","Sort=A","Dates=H","DateFormat=P","Fill=—","Direction=H","UseDPDF=Y")</f>
        <v>#NAME?</v>
      </c>
      <c r="DF9" s="3" t="e">
        <f ca="1">_xll.BDH($C$3,"INVTRY_RAW_MATERIALS","FQ1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9" s="3" t="e">
        <f ca="1">_xll.BDH($C$3,"INVTRY_IN_PROGRESS","FQ1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9" s="3" t="e">
        <f ca="1">_xll.BDH($C$3,"INVTRY_FINISHED_GOODS","FQ1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9" s="3" t="e">
        <f ca="1">_xll.BDH($C$3,"BS_OTHER_INV","FQ1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10" spans="1:113" x14ac:dyDescent="0.3">
      <c r="A10" s="6"/>
      <c r="B10" s="6"/>
      <c r="C10" s="6"/>
      <c r="D10" s="6"/>
      <c r="E10" t="s">
        <v>79</v>
      </c>
      <c r="F10" t="e">
        <f ca="1">_xll.BDH($C$3,"RETURN_COM_EQY","FQ2 2015","FQ2 2015","Currency=INR","Period=FQ","BEST_FPERIOD_OVERRIDE=FQ","FILING_STATUS=OR","EQY_CONSOLIDATED=Y","FA_ADJUSTED=GAAP","Sort=A","Dates=H","DateFormat=P","Fill=—","Direction=H","UseDPDF=Y")</f>
        <v>#NAME?</v>
      </c>
      <c r="G10" t="e">
        <f ca="1">_xll.BDH($C$3,"RETURN_ON_ASSET","FQ2 2015","FQ2 2015","Currency=INR","Period=FQ","BEST_FPERIOD_OVERRIDE=FQ","FILING_STATUS=OR","EQY_CONSOLIDATED=Y","FA_ADJUSTED=GAAP","Sort=A","Dates=H","DateFormat=P","Fill=—","Direction=H","UseDPDF=Y")</f>
        <v>#NAME?</v>
      </c>
      <c r="H10" t="e">
        <f ca="1">_xll.BDH($C$3,"RETURN_ON_CAP","FQ2 2015","FQ2 2015","Currency=INR","Period=FQ","BEST_FPERIOD_OVERRIDE=FQ","FILING_STATUS=OR","EQY_CONSOLIDATED=Y","FA_ADJUSTED=GAAP","Sort=A","Dates=H","DateFormat=P","Fill=—","Direction=H","UseDPDF=Y")</f>
        <v>#NAME?</v>
      </c>
      <c r="I10" t="e">
        <f ca="1">_xll.BDH($C$3,"RETURN_ON_INV_CAPITAL","FQ2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10" t="e">
        <f ca="1">_xll.BDH($C$3,"EBITDA_TO_REVENUE","FQ2 2015","FQ2 2015","Currency=INR","Period=FQ","BEST_FPERIOD_OVERRIDE=FQ","FILING_STATUS=OR","EQY_CONSOLIDATED=Y","FA_ADJUSTED=GAAP","Sort=A","Dates=H","DateFormat=P","Fill=—","Direction=H","UseDPDF=Y")</f>
        <v>#NAME?</v>
      </c>
      <c r="K10" t="e">
        <f ca="1">_xll.BDH($C$3,"OPER_MARGIN","FQ2 2015","FQ2 2015","Currency=INR","Period=FQ","BEST_FPERIOD_OVERRIDE=FQ","FILING_STATUS=OR","EQY_CONSOLIDATED=Y","FA_ADJUSTED=GAAP","Sort=A","Dates=H","DateFormat=P","Fill=—","Direction=H","UseDPDF=Y")</f>
        <v>#NAME?</v>
      </c>
      <c r="L10" t="e">
        <f ca="1">_xll.BDH($C$3,"INCREMENTAL_OPERATING_MARGIN","FQ2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10" t="e">
        <f ca="1">_xll.BDH($C$3,"PRETAX_INC_TO_NET_SALES","FQ2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10" t="e">
        <f ca="1">_xll.BDH($C$3,"INC_BEF_XO_ITEMS_TO_NET_SALES","FQ2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10" t="e">
        <f ca="1">_xll.BDH($C$3,"PROF_MARGIN","FQ2 2015","FQ2 2015","Currency=INR","Period=FQ","BEST_FPERIOD_OVERRIDE=FQ","FILING_STATUS=OR","EQY_CONSOLIDATED=Y","FA_ADJUSTED=GAAP","Sort=A","Dates=H","DateFormat=P","Fill=—","Direction=H","UseDPDF=Y")</f>
        <v>#NAME?</v>
      </c>
      <c r="P10" t="e">
        <f ca="1">_xll.BDH($C$3,"NET_INCOME_TO_COMMON_MARGIN","FQ2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10" t="e">
        <f ca="1">_xll.BDH($C$3,"EFF_TAX_RATE","FQ2 2015","FQ2 2015","Currency=INR","Period=FQ","BEST_FPERIOD_OVERRIDE=FQ","FILING_STATUS=OR","EQY_CONSOLIDATED=Y","FA_ADJUSTED=GAAP","Sort=A","Dates=H","DateFormat=P","Fill=—","Direction=H","UseDPDF=Y")</f>
        <v>#NAME?</v>
      </c>
      <c r="R10" t="e">
        <f ca="1">_xll.BDH($C$3,"DVD_PAYOUT_RATIO","FQ2 2015","FQ2 2015","Currency=INR","Period=FQ","BEST_FPERIOD_OVERRIDE=FQ","FILING_STATUS=OR","EQY_CONSOLIDATED=Y","FA_ADJUSTED=GAAP","Sort=A","Dates=H","DateFormat=P","Fill=—","Direction=H","UseDPDF=Y")</f>
        <v>#NAME?</v>
      </c>
      <c r="S10" t="e">
        <f ca="1">_xll.BDH($C$3,"SUSTAIN_GROWTH_RT","FQ2 2015","FQ2 2015","Currency=INR","Period=FQ","BEST_FPERIOD_OVERRIDE=FQ","FILING_STATUS=OR","EQY_CONSOLIDATED=Y","FA_ADJUSTED=GAAP","Sort=A","Dates=H","DateFormat=P","Fill=—","Direction=H","UseDPDF=Y")</f>
        <v>#NAME?</v>
      </c>
      <c r="T10" s="2" t="e">
        <f ca="1">_xll.BDH($C$3,"SALES_GROWTH","FQ2 2015","FQ2 2015","Currency=INR","Period=FQ","BEST_FPERIOD_OVERRIDE=FQ","FILING_STATUS=OR","EQY_CONSOLIDATED=Y","FA_ADJUSTED=GAAP","Sort=A","Dates=H","DateFormat=P","Fill=—","Direction=H","UseDPDF=Y")</f>
        <v>#NAME?</v>
      </c>
      <c r="U10" s="2" t="e">
        <f ca="1">_xll.BDH($C$3,"EBITDA_GROWTH","FQ2 2015","FQ2 2015","Currency=INR","Period=FQ","BEST_FPERIOD_OVERRIDE=FQ","FILING_STATUS=OR","EQY_CONSOLIDATED=Y","FA_ADJUSTED=GAAP","Sort=A","Dates=H","DateFormat=P","Fill=—","Direction=H","UseDPDF=Y")</f>
        <v>#NAME?</v>
      </c>
      <c r="V10" s="2" t="e">
        <f ca="1">_xll.BDH($C$3,"OPER_INC_GROWTH","FQ2 2015","FQ2 2015","Currency=INR","Period=FQ","BEST_FPERIOD_OVERRIDE=FQ","FILING_STATUS=OR","EQY_CONSOLIDATED=Y","FA_ADJUSTED=GAAP","Sort=A","Dates=H","DateFormat=P","Fill=—","Direction=H","UseDPDF=Y")</f>
        <v>#NAME?</v>
      </c>
      <c r="W10" s="2" t="e">
        <f ca="1">_xll.BDH($C$3,"EARN_FOR_COM_GROWTH","FQ2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10" s="2" t="e">
        <f ca="1">_xll.BDH($C$3,"DILUTED_EPS_AFT_XO_ITEMS_GROWTH","FQ2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10" s="2" t="e">
        <f ca="1">_xll.BDH($C$3,"DIVIDEND_PER_SHARE_1_YEAR_GROWTH","FQ2 2015","FQ2 2015","Currency=INR","Period=FQ","BEST_FPERIOD_OVERRIDE=FQ","FILING_STATUS=OR","EQY_CONSOLIDATED=Y","Sort=A","Dates=H","DateFormat=P","Fill=—","Direction=H","UseDPDF=Y")</f>
        <v>#NAME?</v>
      </c>
      <c r="Z10" s="2" t="e">
        <f ca="1">_xll.BDH($C$3,"ACCOUNTS_RECEIVABLE_GROWTH","FQ2 2015","FQ2 2015","Currency=INR","Period=FQ","BEST_FPERIOD_OVERRIDE=FQ","FILING_STATUS=OR","EQY_CONSOLIDATED=Y","Sort=A","Dates=H","DateFormat=P","Fill=—","Direction=H","UseDPDF=Y")</f>
        <v>#NAME?</v>
      </c>
      <c r="AA10" s="2" t="e">
        <f ca="1">_xll.BDH($C$3,"INVENTORY_GROWTH","FQ2 2015","FQ2 2015","Currency=INR","Period=FQ","BEST_FPERIOD_OVERRIDE=FQ","FILING_STATUS=OR","EQY_CONSOLIDATED=Y","Sort=A","Dates=H","DateFormat=P","Fill=—","Direction=H","UseDPDF=Y")</f>
        <v>#NAME?</v>
      </c>
      <c r="AB10" s="2" t="e">
        <f ca="1">_xll.BDH($C$3,"NET_FIXED_ASSETS_1_YEAR_GROWTH","FQ2 2015","FQ2 2015","Currency=INR","Period=FQ","BEST_FPERIOD_OVERRIDE=FQ","FILING_STATUS=OR","EQY_CONSOLIDATED=Y","Sort=A","Dates=H","DateFormat=P","Fill=—","Direction=H","UseDPDF=Y")</f>
        <v>#NAME?</v>
      </c>
      <c r="AC10" s="2" t="e">
        <f ca="1">_xll.BDH($C$3,"ASSET_GROWTH","FQ2 2015","FQ2 2015","Currency=INR","Period=FQ","BEST_FPERIOD_OVERRIDE=FQ","FILING_STATUS=OR","EQY_CONSOLIDATED=Y","Sort=A","Dates=H","DateFormat=P","Fill=—","Direction=H","UseDPDF=Y")</f>
        <v>#NAME?</v>
      </c>
      <c r="AD10" s="2" t="e">
        <f ca="1">_xll.BDH($C$3,"MODIFIED_WORK_CAP_GROWTH","FQ2 2015","FQ2 2015","Currency=INR","Period=FQ","BEST_FPERIOD_OVERRIDE=FQ","FILING_STATUS=OR","EQY_CONSOLIDATED=Y","Sort=A","Dates=H","DateFormat=P","Fill=—","Direction=H","UseDPDF=Y")</f>
        <v>#NAME?</v>
      </c>
      <c r="AE10" s="2" t="e">
        <f ca="1">_xll.BDH($C$3,"WORK_CAP_GROWTH","FQ2 2015","FQ2 2015","Currency=INR","Period=FQ","BEST_FPERIOD_OVERRIDE=FQ","FILING_STATUS=OR","EQY_CONSOLIDATED=Y","Sort=A","Dates=H","DateFormat=P","Fill=—","Direction=H","UseDPDF=Y")</f>
        <v>#NAME?</v>
      </c>
      <c r="AF10" s="2" t="e">
        <f ca="1">_xll.BDH($C$3,"ACCOUNTS_PAYABLE_GROWTH_1YR","FQ2 2015","FQ2 2015","Currency=INR","Period=FQ","BEST_FPERIOD_OVERRIDE=FQ","FILING_STATUS=OR","EQY_CONSOLIDATED=Y","Sort=A","Dates=H","DateFormat=P","Fill=—","Direction=H","UseDPDF=Y")</f>
        <v>#NAME?</v>
      </c>
      <c r="AG10" s="2" t="e">
        <f ca="1">_xll.BDH($C$3,"SHORT_TERM_DEBT_1_YEAR_GROWTH","FQ2 2015","FQ2 2015","Currency=INR","Period=FQ","BEST_FPERIOD_OVERRIDE=FQ","FILING_STATUS=OR","EQY_CONSOLIDATED=Y","Sort=A","Dates=H","DateFormat=P","Fill=—","Direction=H","UseDPDF=Y")</f>
        <v>#NAME?</v>
      </c>
      <c r="AH10" s="2" t="e">
        <f ca="1">_xll.BDH($C$3,"TOTAL_DEBT_1_YEAR_GROWTH","FQ2 2015","FQ2 2015","Currency=INR","Period=FQ","BEST_FPERIOD_OVERRIDE=FQ","FILING_STATUS=OR","EQY_CONSOLIDATED=Y","Sort=A","Dates=H","DateFormat=P","Fill=—","Direction=H","UseDPDF=Y")</f>
        <v>#NAME?</v>
      </c>
      <c r="AI10" s="2" t="e">
        <f ca="1">_xll.BDH($C$3,"TOTAL_EQUITY_1_YEAR_GROWTH","FQ2 2015","FQ2 2015","Currency=INR","Period=FQ","BEST_FPERIOD_OVERRIDE=FQ","FILING_STATUS=OR","EQY_CONSOLIDATED=Y","Sort=A","Dates=H","DateFormat=P","Fill=—","Direction=H","UseDPDF=Y")</f>
        <v>#NAME?</v>
      </c>
      <c r="AJ10" s="2" t="e">
        <f ca="1">_xll.BDH($C$3,"GROWTH_IN_CAP","FQ2 2015","FQ2 2015","Currency=INR","Period=FQ","BEST_FPERIOD_OVERRIDE=FQ","FILING_STATUS=OR","EQY_CONSOLIDATED=Y","Sort=A","Dates=H","DateFormat=P","Fill=—","Direction=H","UseDPDF=Y")</f>
        <v>#NAME?</v>
      </c>
      <c r="AK10" s="2" t="e">
        <f ca="1">_xll.BDH($C$3,"BVPS_GROWTH","FQ2 2015","FQ2 2015","Currency=INR","Period=FQ","BEST_FPERIOD_OVERRIDE=FQ","FILING_STATUS=OR","EQY_CONSOLIDATED=Y","Sort=A","Dates=H","DateFormat=P","Fill=—","Direction=H","UseDPDF=Y")</f>
        <v>#NAME?</v>
      </c>
      <c r="AL10" s="2" t="e">
        <f ca="1">_xll.BDH($C$3,"CASH_FLOW_GROWTH","FQ2 2015","FQ2 2015","Currency=INR","Period=FQ","BEST_FPERIOD_OVERRIDE=FQ","FILING_STATUS=OR","EQY_CONSOLIDATED=Y","Sort=A","Dates=H","DateFormat=P","Fill=—","Direction=H","UseDPDF=Y")</f>
        <v>#NAME?</v>
      </c>
      <c r="AM10" s="2" t="e">
        <f ca="1">_xll.BDH($C$3,"GEO_GROW_NET_SALES","FQ2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10" s="2" t="e">
        <f ca="1">_xll.BDH($C$3,"GEO_GROW_EBITDA","FQ2 2015","FQ2 2015","Currency=INR","Period=FQ","BEST_FPERIOD_OVERRIDE=FQ","FILING_STATUS=OR","EQY_CONSOLIDATED=Y","FA_ADJUSTED=GAAP","Sort=A","Dates=H","DateFormat=P","Fill=—","Direction=H","UseDPDF=Y")</f>
        <v>#NAME?</v>
      </c>
      <c r="AO10" s="2" t="e">
        <f ca="1">_xll.BDH($C$3,"GEO_GROW_OPER_INC","FQ2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10" s="2" t="e">
        <f ca="1">_xll.BDH($C$3,"NET_INCOME_TO_COMMON_5_YR_GROWTH","FQ2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10" s="2" t="e">
        <f ca="1">_xll.BDH($C$3,"5Y_GEO_GROWTH_DILUTED_EPS","FQ2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10" s="2" t="e">
        <f ca="1">_xll.BDH($C$3,"GEO_GROW_DVD_PER_SH","FQ2 2015","FQ2 2015","Currency=INR","Period=FQ","BEST_FPERIOD_OVERRIDE=FQ","FILING_STATUS=OR","EQY_CONSOLIDATED=Y","Sort=A","Dates=H","DateFormat=P","Fill=—","Direction=H","UseDPDF=Y")</f>
        <v>#NAME?</v>
      </c>
      <c r="AS10" s="2" t="e">
        <f ca="1">_xll.BDH($C$3,"ACCOUNTS_RECEIVABLE_5_YR_GROWTH","FQ2 2015","FQ2 2015","Currency=INR","Period=FQ","BEST_FPERIOD_OVERRIDE=FQ","FILING_STATUS=OR","EQY_CONSOLIDATED=Y","Sort=A","Dates=H","DateFormat=P","Fill=—","Direction=H","UseDPDF=Y")</f>
        <v>#NAME?</v>
      </c>
      <c r="AT10" s="2" t="e">
        <f ca="1">_xll.BDH($C$3,"INVENTORY_5_YEAR_GROWTH","FQ2 2015","FQ2 2015","Currency=INR","Period=FQ","BEST_FPERIOD_OVERRIDE=FQ","FILING_STATUS=OR","EQY_CONSOLIDATED=Y","Sort=A","Dates=H","DateFormat=P","Fill=—","Direction=H","UseDPDF=Y")</f>
        <v>#NAME?</v>
      </c>
      <c r="AU10" s="2" t="e">
        <f ca="1">_xll.BDH($C$3,"NET_FIXED_ASSETS_5_YEAR_GROWTH","FQ2 2015","FQ2 2015","Currency=INR","Period=FQ","BEST_FPERIOD_OVERRIDE=FQ","FILING_STATUS=OR","EQY_CONSOLIDATED=Y","Sort=A","Dates=H","DateFormat=P","Fill=—","Direction=H","UseDPDF=Y")</f>
        <v>#NAME?</v>
      </c>
      <c r="AV10" s="2" t="e">
        <f ca="1">_xll.BDH($C$3,"GEO_GROW_TOT_ASSET","FQ2 2015","FQ2 2015","Currency=INR","Period=FQ","BEST_FPERIOD_OVERRIDE=FQ","FILING_STATUS=OR","EQY_CONSOLIDATED=Y","Sort=A","Dates=H","DateFormat=P","Fill=—","Direction=H","UseDPDF=Y")</f>
        <v>#NAME?</v>
      </c>
      <c r="AW10" s="2" t="e">
        <f ca="1">_xll.BDH($C$3,"MODIFIED_WORKING_CPTL_5YR_GRWTH","FQ2 2015","FQ2 2015","Currency=INR","Period=FQ","BEST_FPERIOD_OVERRIDE=FQ","FILING_STATUS=OR","EQY_CONSOLIDATED=Y","Sort=A","Dates=H","DateFormat=P","Fill=—","Direction=H","UseDPDF=Y")</f>
        <v>#NAME?</v>
      </c>
      <c r="AX10" s="2" t="e">
        <f ca="1">_xll.BDH($C$3,"WORKING_CAPITAL_5_YEAR_GROWTH","FQ2 2015","FQ2 2015","Currency=INR","Period=FQ","BEST_FPERIOD_OVERRIDE=FQ","FILING_STATUS=OR","EQY_CONSOLIDATED=Y","Sort=A","Dates=H","DateFormat=P","Fill=—","Direction=H","UseDPDF=Y")</f>
        <v>#NAME?</v>
      </c>
      <c r="AY10" s="2" t="e">
        <f ca="1">_xll.BDH($C$3,"ACCOUNTS_PAYABLE_5_YEAR_GROWTH","FQ2 2015","FQ2 2015","Currency=INR","Period=FQ","BEST_FPERIOD_OVERRIDE=FQ","FILING_STATUS=OR","EQY_CONSOLIDATED=Y","Sort=A","Dates=H","DateFormat=P","Fill=—","Direction=H","UseDPDF=Y")</f>
        <v>#NAME?</v>
      </c>
      <c r="AZ10" s="2" t="e">
        <f ca="1">_xll.BDH($C$3,"SHORT_TERM_DEBT_5_YEAR_GROWTH","FQ2 2015","FQ2 2015","Currency=INR","Period=FQ","BEST_FPERIOD_OVERRIDE=FQ","FILING_STATUS=OR","EQY_CONSOLIDATED=Y","Sort=A","Dates=H","DateFormat=P","Fill=—","Direction=H","UseDPDF=Y")</f>
        <v>#NAME?</v>
      </c>
      <c r="BA10" s="2" t="e">
        <f ca="1">_xll.BDH($C$3,"TOTAL_DEBT_5_YEAR_GROWTH","FQ2 2015","FQ2 2015","Currency=INR","Period=FQ","BEST_FPERIOD_OVERRIDE=FQ","FILING_STATUS=OR","EQY_CONSOLIDATED=Y","Sort=A","Dates=H","DateFormat=P","Fill=—","Direction=H","UseDPDF=Y")</f>
        <v>#NAME?</v>
      </c>
      <c r="BB10" s="2" t="e">
        <f ca="1">_xll.BDH($C$3,"GEO_GROW_TOT_SHRHLDR_EQY","FQ2 2015","FQ2 2015","Currency=INR","Period=FQ","BEST_FPERIOD_OVERRIDE=FQ","FILING_STATUS=OR","EQY_CONSOLIDATED=Y","Sort=A","Dates=H","DateFormat=P","Fill=—","Direction=H","UseDPDF=Y")</f>
        <v>#NAME?</v>
      </c>
      <c r="BC10" s="2" t="e">
        <f ca="1">_xll.BDH($C$3,"TOTAL_CAPITAL_5_YEAR_GROWTH","FQ2 2015","FQ2 2015","Currency=INR","Period=FQ","BEST_FPERIOD_OVERRIDE=FQ","FILING_STATUS=OR","EQY_CONSOLIDATED=Y","Sort=A","Dates=H","DateFormat=P","Fill=—","Direction=H","UseDPDF=Y")</f>
        <v>#NAME?</v>
      </c>
      <c r="BD10" s="2" t="e">
        <f ca="1">_xll.BDH($C$3,"GEO_GROW_BOOK_VAL","FQ2 2015","FQ2 2015","Currency=INR","Period=FQ","BEST_FPERIOD_OVERRIDE=FQ","FILING_STATUS=OR","EQY_CONSOLIDATED=Y","Sort=A","Dates=H","DateFormat=P","Fill=—","Direction=H","UseDPDF=Y")</f>
        <v>#NAME?</v>
      </c>
      <c r="BE10" s="2" t="e">
        <f ca="1">_xll.BDH($C$3,"GEO_GROW_CASH_OPER_ACT","FQ2 2015","FQ2 2015","Currency=INR","Period=FQ","BEST_FPERIOD_OVERRIDE=FQ","FILING_STATUS=OR","EQY_CONSOLIDATED=Y","Sort=A","Dates=H","DateFormat=P","Fill=—","Direction=H","UseDPDF=Y")</f>
        <v>#NAME?</v>
      </c>
      <c r="BF10" s="2" t="e">
        <f ca="1">_xll.BDH($C$3,"REVENUE_SEQUENTIAL_GROWTH","FQ2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10" s="2" t="e">
        <f ca="1">_xll.BDH($C$3,"EBITDA_SEQUENTIAL_GROWTH","FQ2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10" s="2" t="e">
        <f ca="1">_xll.BDH($C$3,"OPERATING_INCOME_SEQ_GROWTH","FQ2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10" s="2" t="e">
        <f ca="1">_xll.BDH($C$3,"NET_INCOME_TO_COMMON_SEQ_GROWTH","FQ2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10" s="2" t="e">
        <f ca="1">_xll.BDH($C$3,"EPS_DILUTED_SEQUENTIAL_GROWTH","FQ2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10" s="2" t="e">
        <f ca="1">_xll.BDH($C$3,"DPS_SEQUENTIAL_GROWTH","FQ2 2015","FQ2 2015","Currency=INR","Period=FQ","BEST_FPERIOD_OVERRIDE=FQ","FILING_STATUS=OR","EQY_CONSOLIDATED=Y","Sort=A","Dates=H","DateFormat=P","Fill=—","Direction=H","UseDPDF=Y")</f>
        <v>#NAME?</v>
      </c>
      <c r="BL10" s="2" t="e">
        <f ca="1">_xll.BDH($C$3,"ACCOUNTS_RECEIVABLE_SEQ_GROWTH","FQ2 2015","FQ2 2015","Currency=INR","Period=FQ","BEST_FPERIOD_OVERRIDE=FQ","FILING_STATUS=OR","EQY_CONSOLIDATED=Y","Sort=A","Dates=H","DateFormat=P","Fill=—","Direction=H","UseDPDF=Y")</f>
        <v>#NAME?</v>
      </c>
      <c r="BM10" s="2" t="e">
        <f ca="1">_xll.BDH($C$3,"INVENTORY_SEQUENTIAL_GROWTH","FQ2 2015","FQ2 2015","Currency=INR","Period=FQ","BEST_FPERIOD_OVERRIDE=FQ","FILING_STATUS=OR","EQY_CONSOLIDATED=Y","Sort=A","Dates=H","DateFormat=P","Fill=—","Direction=H","UseDPDF=Y")</f>
        <v>#NAME?</v>
      </c>
      <c r="BN10" s="2" t="e">
        <f ca="1">_xll.BDH($C$3,"FIXED_ASSETS_SEQUENTIAL_GROWTH","FQ2 2015","FQ2 2015","Currency=INR","Period=FQ","BEST_FPERIOD_OVERRIDE=FQ","FILING_STATUS=OR","EQY_CONSOLIDATED=Y","Sort=A","Dates=H","DateFormat=P","Fill=—","Direction=H","UseDPDF=Y")</f>
        <v>#NAME?</v>
      </c>
      <c r="BO10" s="2" t="e">
        <f ca="1">_xll.BDH($C$3,"TOTAL_ASSETS_SEQUENTIAL_GROWTH","FQ2 2015","FQ2 2015","Currency=INR","Period=FQ","BEST_FPERIOD_OVERRIDE=FQ","FILING_STATUS=OR","EQY_CONSOLIDATED=Y","Sort=A","Dates=H","DateFormat=P","Fill=—","Direction=H","UseDPDF=Y")</f>
        <v>#NAME?</v>
      </c>
      <c r="BP10" s="2" t="e">
        <f ca="1">_xll.BDH($C$3,"MODIFIED_WORKING_CPTL_SEQ_GRWTH","FQ2 2015","FQ2 2015","Currency=INR","Period=FQ","BEST_FPERIOD_OVERRIDE=FQ","FILING_STATUS=OR","EQY_CONSOLIDATED=Y","Sort=A","Dates=H","DateFormat=P","Fill=—","Direction=H","UseDPDF=Y")</f>
        <v>#NAME?</v>
      </c>
      <c r="BQ10" s="2" t="e">
        <f ca="1">_xll.BDH($C$3,"WORKING_CAPITAL_SEQ_GROWTH","FQ2 2015","FQ2 2015","Currency=INR","Period=FQ","BEST_FPERIOD_OVERRIDE=FQ","FILING_STATUS=OR","EQY_CONSOLIDATED=Y","Sort=A","Dates=H","DateFormat=P","Fill=—","Direction=H","UseDPDF=Y")</f>
        <v>#NAME?</v>
      </c>
      <c r="BR10" s="2" t="e">
        <f ca="1">_xll.BDH($C$3,"ACCOUNTS_PAYABLE_SEQ_GROWTH","FQ2 2015","FQ2 2015","Currency=INR","Period=FQ","BEST_FPERIOD_OVERRIDE=FQ","FILING_STATUS=OR","EQY_CONSOLIDATED=Y","Sort=A","Dates=H","DateFormat=P","Fill=—","Direction=H","UseDPDF=Y")</f>
        <v>#NAME?</v>
      </c>
      <c r="BS10" s="2" t="e">
        <f ca="1">_xll.BDH($C$3,"ST_DEBT_SEQUENTIAL_GROWTH","FQ2 2015","FQ2 2015","Currency=INR","Period=FQ","BEST_FPERIOD_OVERRIDE=FQ","FILING_STATUS=OR","EQY_CONSOLIDATED=Y","Sort=A","Dates=H","DateFormat=P","Fill=—","Direction=H","UseDPDF=Y")</f>
        <v>#NAME?</v>
      </c>
      <c r="BT10" s="2" t="e">
        <f ca="1">_xll.BDH($C$3,"TOTAL_DEBT_SEQUENTIAL_GROWTH","FQ2 2015","FQ2 2015","Currency=INR","Period=FQ","BEST_FPERIOD_OVERRIDE=FQ","FILING_STATUS=OR","EQY_CONSOLIDATED=Y","Sort=A","Dates=H","DateFormat=P","Fill=—","Direction=H","UseDPDF=Y")</f>
        <v>#NAME?</v>
      </c>
      <c r="BU10" s="2" t="e">
        <f ca="1">_xll.BDH($C$3,"TOTAL_EQUITY_SEQUENTIAL_GROWTH","FQ2 2015","FQ2 2015","Currency=INR","Period=FQ","BEST_FPERIOD_OVERRIDE=FQ","FILING_STATUS=OR","EQY_CONSOLIDATED=Y","Sort=A","Dates=H","DateFormat=P","Fill=—","Direction=H","UseDPDF=Y")</f>
        <v>#NAME?</v>
      </c>
      <c r="BV10" s="2" t="e">
        <f ca="1">_xll.BDH($C$3,"TOTAL_CAPITAL_SEQUENTIAL_GROWTH","FQ2 2015","FQ2 2015","Currency=INR","Period=FQ","BEST_FPERIOD_OVERRIDE=FQ","FILING_STATUS=OR","EQY_CONSOLIDATED=Y","Sort=A","Dates=H","DateFormat=P","Fill=—","Direction=H","UseDPDF=Y")</f>
        <v>#NAME?</v>
      </c>
      <c r="BW10" s="2" t="e">
        <f ca="1">_xll.BDH($C$3,"BPS_SEQUENTIAL_GROWTH","FQ2 2015","FQ2 2015","Currency=INR","Period=FQ","BEST_FPERIOD_OVERRIDE=FQ","FILING_STATUS=OR","EQY_CONSOLIDATED=Y","Sort=A","Dates=H","DateFormat=P","Fill=—","Direction=H","UseDPDF=Y")</f>
        <v>#NAME?</v>
      </c>
      <c r="BX10" s="2" t="e">
        <f ca="1">_xll.BDH($C$3,"CFO_SEQUENTIAL_GROWTH","FQ2 2015","FQ2 2015","Currency=INR","Period=FQ","BEST_FPERIOD_OVERRIDE=FQ","FILING_STATUS=OR","EQY_CONSOLIDATED=Y","Sort=A","Dates=H","DateFormat=P","Fill=—","Direction=H","UseDPDF=Y")</f>
        <v>#NAME?</v>
      </c>
      <c r="BY10" s="3" t="e">
        <f ca="1">_xll.BDH($C$3,"SHORT_AND_LONG_TERM_DEBT","FQ2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10" s="3" t="e">
        <f ca="1">_xll.BDH($C$3,"BS_ST_BORROW","FQ2 2015","FQ2 2015","Currency=INR","Period=FQ","BEST_FPERIOD_OVERRIDE=FQ","FILING_STATUS=OR","EQY_CONSOLIDATED=Y","SCALING_FORMAT=MLN","Sort=A","Dates=H","DateFormat=P","Fill=—","Direction=H","UseDPDF=Y")</f>
        <v>#NAME?</v>
      </c>
      <c r="CA10" s="3" t="e">
        <f ca="1">_xll.BDH($C$3,"BS_LT_BORROW","FQ2 2015","FQ2 2015","Currency=INR","Period=FQ","BEST_FPERIOD_OVERRIDE=FQ","FILING_STATUS=OR","EQY_CONSOLIDATED=Y","SCALING_FORMAT=MLN","Sort=A","Dates=H","DateFormat=P","Fill=—","Direction=H","UseDPDF=Y")</f>
        <v>#NAME?</v>
      </c>
      <c r="CB10" s="2" t="e">
        <f ca="1">_xll.BDH($C$3,"TOT_DEBT_TO_EBITDA","FQ2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10" s="2" t="e">
        <f ca="1">_xll.BDH($C$3,"NET_DEBT_TO_EBITDA","FQ2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10" s="2" t="e">
        <f ca="1">_xll.BDH($C$3,"TOTAL_DEBT_TO_EBIT","FQ2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10" s="2" t="e">
        <f ca="1">_xll.BDH($C$3,"NET_DEBT_TO_EBIT","FQ2 2015","FQ2 2015","Currency=INR","Period=FQ","BEST_FPERIOD_OVERRIDE=FQ","FILING_STATUS=OR","EQY_CONSOLIDATED=Y","FA_ADJUSTED=GAAP","Sort=A","Dates=H","DateFormat=P","Fill=—","Direction=H","UseDPDF=Y")</f>
        <v>#NAME?</v>
      </c>
      <c r="CF10" s="2" t="e">
        <f ca="1">_xll.BDH($C$3,"EBITDA_TO_INTEREST_EXPN","FQ2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10" s="2" t="e">
        <f ca="1">_xll.BDH($C$3,"COM_EQY_TO_TOT_ASSET","FQ2 2015","FQ2 2015","Currency=INR","Period=FQ","BEST_FPERIOD_OVERRIDE=FQ","FILING_STATUS=OR","EQY_CONSOLIDATED=Y","Sort=A","Dates=H","DateFormat=P","Fill=—","Direction=H","UseDPDF=Y")</f>
        <v>#NAME?</v>
      </c>
      <c r="CH10" s="2" t="e">
        <f ca="1">_xll.BDH($C$3,"LT_DEBT_TO_TOT_EQY","FQ2 2015","FQ2 2015","Currency=INR","Period=FQ","BEST_FPERIOD_OVERRIDE=FQ","FILING_STATUS=OR","EQY_CONSOLIDATED=Y","Sort=A","Dates=H","DateFormat=P","Fill=—","Direction=H","UseDPDF=Y")</f>
        <v>#NAME?</v>
      </c>
      <c r="CI10" s="2" t="e">
        <f ca="1">_xll.BDH($C$3,"LT_DEBT_TO_TOT_CAP","FQ2 2015","FQ2 2015","Currency=INR","Period=FQ","BEST_FPERIOD_OVERRIDE=FQ","FILING_STATUS=OR","EQY_CONSOLIDATED=Y","Sort=A","Dates=H","DateFormat=P","Fill=—","Direction=H","UseDPDF=Y")</f>
        <v>#NAME?</v>
      </c>
      <c r="CJ10" s="2" t="e">
        <f ca="1">_xll.BDH($C$3,"LT_DEBT_TO_TOT_ASSET","FQ2 2015","FQ2 2015","Currency=INR","Period=FQ","BEST_FPERIOD_OVERRIDE=FQ","FILING_STATUS=OR","EQY_CONSOLIDATED=Y","Sort=A","Dates=H","DateFormat=P","Fill=—","Direction=H","UseDPDF=Y")</f>
        <v>#NAME?</v>
      </c>
      <c r="CK10" s="2" t="e">
        <f ca="1">_xll.BDH($C$3,"TOT_DEBT_TO_TOT_EQY","FQ2 2015","FQ2 2015","Currency=INR","Period=FQ","BEST_FPERIOD_OVERRIDE=FQ","FILING_STATUS=OR","EQY_CONSOLIDATED=Y","Sort=A","Dates=H","DateFormat=P","Fill=—","Direction=H","UseDPDF=Y")</f>
        <v>#NAME?</v>
      </c>
      <c r="CL10" s="2" t="e">
        <f ca="1">_xll.BDH($C$3,"TOT_DEBT_TO_TOT_CAP","FQ2 2015","FQ2 2015","Currency=INR","Period=FQ","BEST_FPERIOD_OVERRIDE=FQ","FILING_STATUS=OR","EQY_CONSOLIDATED=Y","Sort=A","Dates=H","DateFormat=P","Fill=—","Direction=H","UseDPDF=Y")</f>
        <v>#NAME?</v>
      </c>
      <c r="CM10" s="2" t="e">
        <f ca="1">_xll.BDH($C$3,"TOT_DEBT_TO_TOT_ASSET","FQ2 2015","FQ2 2015","Currency=INR","Period=FQ","BEST_FPERIOD_OVERRIDE=FQ","FILING_STATUS=OR","EQY_CONSOLIDATED=Y","Sort=A","Dates=H","DateFormat=P","Fill=—","Direction=H","UseDPDF=Y")</f>
        <v>#NAME?</v>
      </c>
      <c r="CN10" s="2" t="e">
        <f ca="1">_xll.BDH($C$3,"NET_DEBT_TO_SHRHLDR_EQTY","FQ2 2015","FQ2 2015","Currency=INR","Period=FQ","BEST_FPERIOD_OVERRIDE=FQ","FILING_STATUS=OR","EQY_CONSOLIDATED=Y","Sort=A","Dates=H","DateFormat=P","Fill=—","Direction=H","UseDPDF=Y")</f>
        <v>#NAME?</v>
      </c>
      <c r="CO10" s="2" t="e">
        <f ca="1">_xll.BDH($C$3,"NET_DEBT_%_CAPITAL","FQ2 2015","FQ2 2015","Currency=INR","Period=FQ","BEST_FPERIOD_OVERRIDE=FQ","FILING_STATUS=OR","EQY_CONSOLIDATED=Y","Sort=A","Dates=H","DateFormat=P","Fill=—","Direction=H","UseDPDF=Y")</f>
        <v>#NAME?</v>
      </c>
      <c r="CP10" s="3" t="e">
        <f ca="1">_xll.BDH($C$3,"EBITDA","FQ2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10" s="3" t="e">
        <f ca="1">_xll.BDH($C$3,"EBITDA_AFTER_CAPEX","FQ2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10" s="3" t="e">
        <f ca="1">_xll.BDH($C$3,"IS_OPER_INC","FQ2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10" s="2" t="e">
        <f ca="1">_xll.BDH($C$3,"CASH_RATIO","FQ2 2015","FQ2 2015","Currency=INR","Period=FQ","BEST_FPERIOD_OVERRIDE=FQ","FILING_STATUS=OR","EQY_CONSOLIDATED=Y","Sort=A","Dates=H","DateFormat=P","Fill=—","Direction=H","UseDPDF=Y")</f>
        <v>#NAME?</v>
      </c>
      <c r="CT10" s="2" t="e">
        <f ca="1">_xll.BDH($C$3,"CUR_RATIO","FQ2 2015","FQ2 2015","Currency=INR","Period=FQ","BEST_FPERIOD_OVERRIDE=FQ","FILING_STATUS=OR","EQY_CONSOLIDATED=Y","Sort=A","Dates=H","DateFormat=P","Fill=—","Direction=H","UseDPDF=Y")</f>
        <v>#NAME?</v>
      </c>
      <c r="CU10" s="2" t="e">
        <f ca="1">_xll.BDH($C$3,"QUICK_RATIO","FQ2 2015","FQ2 2015","Currency=INR","Period=FQ","BEST_FPERIOD_OVERRIDE=FQ","FILING_STATUS=OR","EQY_CONSOLIDATED=Y","Sort=A","Dates=H","DateFormat=P","Fill=—","Direction=H","UseDPDF=Y")</f>
        <v>#NAME?</v>
      </c>
      <c r="CV10" s="2" t="e">
        <f ca="1">_xll.BDH($C$3,"ALTMAN_Z_SCORE","FQ2 2015","FQ2 2015","Currency=INR","Period=FQ","BEST_FPERIOD_OVERRIDE=FQ","FILING_STATUS=OR","EQY_CONSOLIDATED=Y","Sort=A","Dates=H","DateFormat=P","Fill=—","Direction=H","UseDPDF=Y")</f>
        <v>#NAME?</v>
      </c>
      <c r="CW10" s="4" t="e">
        <f ca="1">_xll.BDH($C$3,"ACCT_RCV_TURN","FQ2 2015","FQ2 2015","Currency=INR","Period=FQ","BEST_FPERIOD_OVERRIDE=FQ","FILING_STATUS=OR","EQY_CONSOLIDATED=Y","FA_ADJUSTED=GAAP","Sort=A","Dates=H","DateFormat=P","Fill=—","Direction=H","UseDPDF=Y")</f>
        <v>#NAME?</v>
      </c>
      <c r="CX10" s="2" t="e">
        <f ca="1">_xll.BDH($C$3,"ACCT_RCV_DAYS","FQ2 2015","FQ2 2015","Currency=INR","Period=FQ","BEST_FPERIOD_OVERRIDE=FQ","FILING_STATUS=OR","EQY_CONSOLIDATED=Y","FA_ADJUSTED=GAAP","Sort=A","Dates=H","DateFormat=P","Fill=—","Direction=H","UseDPDF=Y")</f>
        <v>#NAME?</v>
      </c>
      <c r="CY10" s="4" t="e">
        <f ca="1">_xll.BDH($C$3,"INVENT_TURN","FQ2 2015","FQ2 2015","Currency=INR","Period=FQ","BEST_FPERIOD_OVERRIDE=FQ","FILING_STATUS=OR","EQY_CONSOLIDATED=Y","FA_ADJUSTED=GAAP","Sort=A","Dates=H","DateFormat=P","Fill=—","Direction=H","UseDPDF=Y")</f>
        <v>#NAME?</v>
      </c>
      <c r="CZ10" s="2" t="e">
        <f ca="1">_xll.BDH($C$3,"INVENT_DAYS","FQ2 2015","FQ2 2015","Currency=INR","Period=FQ","BEST_FPERIOD_OVERRIDE=FQ","FILING_STATUS=OR","EQY_CONSOLIDATED=Y","FA_ADJUSTED=GAAP","Sort=A","Dates=H","DateFormat=P","Fill=—","Direction=H","UseDPDF=Y")</f>
        <v>#NAME?</v>
      </c>
      <c r="DA10" s="4" t="e">
        <f ca="1">_xll.BDH($C$3,"ACCOUNTS_PAYABLE_TURNOVER","FQ2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10" s="2" t="e">
        <f ca="1">_xll.BDH($C$3,"ACCOUNTS_PAYABLE_TURNOVER_DAYS","FQ2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10" s="4" t="e">
        <f ca="1">_xll.BDH($C$3,"CASH_CONVERSION_CYCLE","FQ2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10" s="4" t="e">
        <f ca="1">_xll.BDH($C$3,"INV_TO_CASH_DAYS","FQ2 2015","FQ2 2015","Currency=INR","Period=FQ","BEST_FPERIOD_OVERRIDE=FQ","FILING_STATUS=OR","EQY_CONSOLIDATED=Y","FA_ADJUSTED=GAAP","Sort=A","Dates=H","DateFormat=P","Fill=—","Direction=H","UseDPDF=Y")</f>
        <v>#NAME?</v>
      </c>
      <c r="DE10" s="5" t="e">
        <f ca="1">_xll.BDH($C$3,"BS_INVENTORIES","FQ2 2015","FQ2 2015","Currency=INR","Period=FQ","BEST_FPERIOD_OVERRIDE=FQ","FILING_STATUS=OR","EQY_CONSOLIDATED=Y","SCALING_FORMAT=MLN","Sort=A","Dates=H","DateFormat=P","Fill=—","Direction=H","UseDPDF=Y")</f>
        <v>#NAME?</v>
      </c>
      <c r="DF10" s="3" t="e">
        <f ca="1">_xll.BDH($C$3,"INVTRY_RAW_MATERIALS","FQ2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10" s="3" t="e">
        <f ca="1">_xll.BDH($C$3,"INVTRY_IN_PROGRESS","FQ2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10" s="3" t="e">
        <f ca="1">_xll.BDH($C$3,"INVTRY_FINISHED_GOODS","FQ2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10" s="3" t="e">
        <f ca="1">_xll.BDH($C$3,"BS_OTHER_INV","FQ2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11" spans="1:113" x14ac:dyDescent="0.3">
      <c r="A11" s="6"/>
      <c r="B11" s="6"/>
      <c r="C11" s="6"/>
      <c r="D11" s="6"/>
      <c r="E11" t="s">
        <v>80</v>
      </c>
      <c r="F11" t="e">
        <f ca="1">_xll.BDH($C$3,"RETURN_COM_EQY","FQ3 2015","FQ3 2015","Currency=INR","Period=FQ","BEST_FPERIOD_OVERRIDE=FQ","FILING_STATUS=OR","EQY_CONSOLIDATED=Y","FA_ADJUSTED=GAAP","Sort=A","Dates=H","DateFormat=P","Fill=—","Direction=H","UseDPDF=Y")</f>
        <v>#NAME?</v>
      </c>
      <c r="G11" t="e">
        <f ca="1">_xll.BDH($C$3,"RETURN_ON_ASSET","FQ3 2015","FQ3 2015","Currency=INR","Period=FQ","BEST_FPERIOD_OVERRIDE=FQ","FILING_STATUS=OR","EQY_CONSOLIDATED=Y","FA_ADJUSTED=GAAP","Sort=A","Dates=H","DateFormat=P","Fill=—","Direction=H","UseDPDF=Y")</f>
        <v>#NAME?</v>
      </c>
      <c r="H11" t="e">
        <f ca="1">_xll.BDH($C$3,"RETURN_ON_CAP","FQ3 2015","FQ3 2015","Currency=INR","Period=FQ","BEST_FPERIOD_OVERRIDE=FQ","FILING_STATUS=OR","EQY_CONSOLIDATED=Y","FA_ADJUSTED=GAAP","Sort=A","Dates=H","DateFormat=P","Fill=—","Direction=H","UseDPDF=Y")</f>
        <v>#NAME?</v>
      </c>
      <c r="I11" t="e">
        <f ca="1">_xll.BDH($C$3,"RETURN_ON_INV_CAPITAL","FQ3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11" t="e">
        <f ca="1">_xll.BDH($C$3,"EBITDA_TO_REVENUE","FQ3 2015","FQ3 2015","Currency=INR","Period=FQ","BEST_FPERIOD_OVERRIDE=FQ","FILING_STATUS=OR","EQY_CONSOLIDATED=Y","FA_ADJUSTED=GAAP","Sort=A","Dates=H","DateFormat=P","Fill=—","Direction=H","UseDPDF=Y")</f>
        <v>#NAME?</v>
      </c>
      <c r="K11" t="e">
        <f ca="1">_xll.BDH($C$3,"OPER_MARGIN","FQ3 2015","FQ3 2015","Currency=INR","Period=FQ","BEST_FPERIOD_OVERRIDE=FQ","FILING_STATUS=OR","EQY_CONSOLIDATED=Y","FA_ADJUSTED=GAAP","Sort=A","Dates=H","DateFormat=P","Fill=—","Direction=H","UseDPDF=Y")</f>
        <v>#NAME?</v>
      </c>
      <c r="L11" t="e">
        <f ca="1">_xll.BDH($C$3,"INCREMENTAL_OPERATING_MARGIN","FQ3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11" t="e">
        <f ca="1">_xll.BDH($C$3,"PRETAX_INC_TO_NET_SALES","FQ3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11" t="e">
        <f ca="1">_xll.BDH($C$3,"INC_BEF_XO_ITEMS_TO_NET_SALES","FQ3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11" t="e">
        <f ca="1">_xll.BDH($C$3,"PROF_MARGIN","FQ3 2015","FQ3 2015","Currency=INR","Period=FQ","BEST_FPERIOD_OVERRIDE=FQ","FILING_STATUS=OR","EQY_CONSOLIDATED=Y","FA_ADJUSTED=GAAP","Sort=A","Dates=H","DateFormat=P","Fill=—","Direction=H","UseDPDF=Y")</f>
        <v>#NAME?</v>
      </c>
      <c r="P11" t="e">
        <f ca="1">_xll.BDH($C$3,"NET_INCOME_TO_COMMON_MARGIN","FQ3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11" t="e">
        <f ca="1">_xll.BDH($C$3,"EFF_TAX_RATE","FQ3 2015","FQ3 2015","Currency=INR","Period=FQ","BEST_FPERIOD_OVERRIDE=FQ","FILING_STATUS=OR","EQY_CONSOLIDATED=Y","FA_ADJUSTED=GAAP","Sort=A","Dates=H","DateFormat=P","Fill=—","Direction=H","UseDPDF=Y")</f>
        <v>#NAME?</v>
      </c>
      <c r="R11" t="e">
        <f ca="1">_xll.BDH($C$3,"DVD_PAYOUT_RATIO","FQ3 2015","FQ3 2015","Currency=INR","Period=FQ","BEST_FPERIOD_OVERRIDE=FQ","FILING_STATUS=OR","EQY_CONSOLIDATED=Y","FA_ADJUSTED=GAAP","Sort=A","Dates=H","DateFormat=P","Fill=—","Direction=H","UseDPDF=Y")</f>
        <v>#NAME?</v>
      </c>
      <c r="S11" t="e">
        <f ca="1">_xll.BDH($C$3,"SUSTAIN_GROWTH_RT","FQ3 2015","FQ3 2015","Currency=INR","Period=FQ","BEST_FPERIOD_OVERRIDE=FQ","FILING_STATUS=OR","EQY_CONSOLIDATED=Y","FA_ADJUSTED=GAAP","Sort=A","Dates=H","DateFormat=P","Fill=—","Direction=H","UseDPDF=Y")</f>
        <v>#NAME?</v>
      </c>
      <c r="T11" s="2" t="e">
        <f ca="1">_xll.BDH($C$3,"SALES_GROWTH","FQ3 2015","FQ3 2015","Currency=INR","Period=FQ","BEST_FPERIOD_OVERRIDE=FQ","FILING_STATUS=OR","EQY_CONSOLIDATED=Y","FA_ADJUSTED=GAAP","Sort=A","Dates=H","DateFormat=P","Fill=—","Direction=H","UseDPDF=Y")</f>
        <v>#NAME?</v>
      </c>
      <c r="U11" s="2" t="e">
        <f ca="1">_xll.BDH($C$3,"EBITDA_GROWTH","FQ3 2015","FQ3 2015","Currency=INR","Period=FQ","BEST_FPERIOD_OVERRIDE=FQ","FILING_STATUS=OR","EQY_CONSOLIDATED=Y","FA_ADJUSTED=GAAP","Sort=A","Dates=H","DateFormat=P","Fill=—","Direction=H","UseDPDF=Y")</f>
        <v>#NAME?</v>
      </c>
      <c r="V11" s="2" t="e">
        <f ca="1">_xll.BDH($C$3,"OPER_INC_GROWTH","FQ3 2015","FQ3 2015","Currency=INR","Period=FQ","BEST_FPERIOD_OVERRIDE=FQ","FILING_STATUS=OR","EQY_CONSOLIDATED=Y","FA_ADJUSTED=GAAP","Sort=A","Dates=H","DateFormat=P","Fill=—","Direction=H","UseDPDF=Y")</f>
        <v>#NAME?</v>
      </c>
      <c r="W11" s="2" t="e">
        <f ca="1">_xll.BDH($C$3,"EARN_FOR_COM_GROWTH","FQ3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11" s="2" t="e">
        <f ca="1">_xll.BDH($C$3,"DILUTED_EPS_AFT_XO_ITEMS_GROWTH","FQ3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11" s="2" t="e">
        <f ca="1">_xll.BDH($C$3,"DIVIDEND_PER_SHARE_1_YEAR_GROWTH","FQ3 2015","FQ3 2015","Currency=INR","Period=FQ","BEST_FPERIOD_OVERRIDE=FQ","FILING_STATUS=OR","EQY_CONSOLIDATED=Y","Sort=A","Dates=H","DateFormat=P","Fill=—","Direction=H","UseDPDF=Y")</f>
        <v>#NAME?</v>
      </c>
      <c r="Z11" s="2" t="e">
        <f ca="1">_xll.BDH($C$3,"ACCOUNTS_RECEIVABLE_GROWTH","FQ3 2015","FQ3 2015","Currency=INR","Period=FQ","BEST_FPERIOD_OVERRIDE=FQ","FILING_STATUS=OR","EQY_CONSOLIDATED=Y","Sort=A","Dates=H","DateFormat=P","Fill=—","Direction=H","UseDPDF=Y")</f>
        <v>#NAME?</v>
      </c>
      <c r="AA11" s="2" t="e">
        <f ca="1">_xll.BDH($C$3,"INVENTORY_GROWTH","FQ3 2015","FQ3 2015","Currency=INR","Period=FQ","BEST_FPERIOD_OVERRIDE=FQ","FILING_STATUS=OR","EQY_CONSOLIDATED=Y","Sort=A","Dates=H","DateFormat=P","Fill=—","Direction=H","UseDPDF=Y")</f>
        <v>#NAME?</v>
      </c>
      <c r="AB11" s="2" t="e">
        <f ca="1">_xll.BDH($C$3,"NET_FIXED_ASSETS_1_YEAR_GROWTH","FQ3 2015","FQ3 2015","Currency=INR","Period=FQ","BEST_FPERIOD_OVERRIDE=FQ","FILING_STATUS=OR","EQY_CONSOLIDATED=Y","Sort=A","Dates=H","DateFormat=P","Fill=—","Direction=H","UseDPDF=Y")</f>
        <v>#NAME?</v>
      </c>
      <c r="AC11" s="2" t="e">
        <f ca="1">_xll.BDH($C$3,"ASSET_GROWTH","FQ3 2015","FQ3 2015","Currency=INR","Period=FQ","BEST_FPERIOD_OVERRIDE=FQ","FILING_STATUS=OR","EQY_CONSOLIDATED=Y","Sort=A","Dates=H","DateFormat=P","Fill=—","Direction=H","UseDPDF=Y")</f>
        <v>#NAME?</v>
      </c>
      <c r="AD11" s="2" t="e">
        <f ca="1">_xll.BDH($C$3,"MODIFIED_WORK_CAP_GROWTH","FQ3 2015","FQ3 2015","Currency=INR","Period=FQ","BEST_FPERIOD_OVERRIDE=FQ","FILING_STATUS=OR","EQY_CONSOLIDATED=Y","Sort=A","Dates=H","DateFormat=P","Fill=—","Direction=H","UseDPDF=Y")</f>
        <v>#NAME?</v>
      </c>
      <c r="AE11" s="2" t="e">
        <f ca="1">_xll.BDH($C$3,"WORK_CAP_GROWTH","FQ3 2015","FQ3 2015","Currency=INR","Period=FQ","BEST_FPERIOD_OVERRIDE=FQ","FILING_STATUS=OR","EQY_CONSOLIDATED=Y","Sort=A","Dates=H","DateFormat=P","Fill=—","Direction=H","UseDPDF=Y")</f>
        <v>#NAME?</v>
      </c>
      <c r="AF11" s="2" t="e">
        <f ca="1">_xll.BDH($C$3,"ACCOUNTS_PAYABLE_GROWTH_1YR","FQ3 2015","FQ3 2015","Currency=INR","Period=FQ","BEST_FPERIOD_OVERRIDE=FQ","FILING_STATUS=OR","EQY_CONSOLIDATED=Y","Sort=A","Dates=H","DateFormat=P","Fill=—","Direction=H","UseDPDF=Y")</f>
        <v>#NAME?</v>
      </c>
      <c r="AG11" s="2" t="e">
        <f ca="1">_xll.BDH($C$3,"SHORT_TERM_DEBT_1_YEAR_GROWTH","FQ3 2015","FQ3 2015","Currency=INR","Period=FQ","BEST_FPERIOD_OVERRIDE=FQ","FILING_STATUS=OR","EQY_CONSOLIDATED=Y","Sort=A","Dates=H","DateFormat=P","Fill=—","Direction=H","UseDPDF=Y")</f>
        <v>#NAME?</v>
      </c>
      <c r="AH11" s="2" t="e">
        <f ca="1">_xll.BDH($C$3,"TOTAL_DEBT_1_YEAR_GROWTH","FQ3 2015","FQ3 2015","Currency=INR","Period=FQ","BEST_FPERIOD_OVERRIDE=FQ","FILING_STATUS=OR","EQY_CONSOLIDATED=Y","Sort=A","Dates=H","DateFormat=P","Fill=—","Direction=H","UseDPDF=Y")</f>
        <v>#NAME?</v>
      </c>
      <c r="AI11" s="2" t="e">
        <f ca="1">_xll.BDH($C$3,"TOTAL_EQUITY_1_YEAR_GROWTH","FQ3 2015","FQ3 2015","Currency=INR","Period=FQ","BEST_FPERIOD_OVERRIDE=FQ","FILING_STATUS=OR","EQY_CONSOLIDATED=Y","Sort=A","Dates=H","DateFormat=P","Fill=—","Direction=H","UseDPDF=Y")</f>
        <v>#NAME?</v>
      </c>
      <c r="AJ11" s="2" t="e">
        <f ca="1">_xll.BDH($C$3,"GROWTH_IN_CAP","FQ3 2015","FQ3 2015","Currency=INR","Period=FQ","BEST_FPERIOD_OVERRIDE=FQ","FILING_STATUS=OR","EQY_CONSOLIDATED=Y","Sort=A","Dates=H","DateFormat=P","Fill=—","Direction=H","UseDPDF=Y")</f>
        <v>#NAME?</v>
      </c>
      <c r="AK11" s="2" t="e">
        <f ca="1">_xll.BDH($C$3,"BVPS_GROWTH","FQ3 2015","FQ3 2015","Currency=INR","Period=FQ","BEST_FPERIOD_OVERRIDE=FQ","FILING_STATUS=OR","EQY_CONSOLIDATED=Y","Sort=A","Dates=H","DateFormat=P","Fill=—","Direction=H","UseDPDF=Y")</f>
        <v>#NAME?</v>
      </c>
      <c r="AL11" s="2" t="e">
        <f ca="1">_xll.BDH($C$3,"CASH_FLOW_GROWTH","FQ3 2015","FQ3 2015","Currency=INR","Period=FQ","BEST_FPERIOD_OVERRIDE=FQ","FILING_STATUS=OR","EQY_CONSOLIDATED=Y","Sort=A","Dates=H","DateFormat=P","Fill=—","Direction=H","UseDPDF=Y")</f>
        <v>#NAME?</v>
      </c>
      <c r="AM11" s="2" t="e">
        <f ca="1">_xll.BDH($C$3,"GEO_GROW_NET_SALES","FQ3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11" s="2" t="e">
        <f ca="1">_xll.BDH($C$3,"GEO_GROW_EBITDA","FQ3 2015","FQ3 2015","Currency=INR","Period=FQ","BEST_FPERIOD_OVERRIDE=FQ","FILING_STATUS=OR","EQY_CONSOLIDATED=Y","FA_ADJUSTED=GAAP","Sort=A","Dates=H","DateFormat=P","Fill=—","Direction=H","UseDPDF=Y")</f>
        <v>#NAME?</v>
      </c>
      <c r="AO11" s="2" t="e">
        <f ca="1">_xll.BDH($C$3,"GEO_GROW_OPER_INC","FQ3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11" s="2" t="e">
        <f ca="1">_xll.BDH($C$3,"NET_INCOME_TO_COMMON_5_YR_GROWTH","FQ3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11" s="2" t="e">
        <f ca="1">_xll.BDH($C$3,"5Y_GEO_GROWTH_DILUTED_EPS","FQ3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11" s="2" t="e">
        <f ca="1">_xll.BDH($C$3,"GEO_GROW_DVD_PER_SH","FQ3 2015","FQ3 2015","Currency=INR","Period=FQ","BEST_FPERIOD_OVERRIDE=FQ","FILING_STATUS=OR","EQY_CONSOLIDATED=Y","Sort=A","Dates=H","DateFormat=P","Fill=—","Direction=H","UseDPDF=Y")</f>
        <v>#NAME?</v>
      </c>
      <c r="AS11" s="2" t="e">
        <f ca="1">_xll.BDH($C$3,"ACCOUNTS_RECEIVABLE_5_YR_GROWTH","FQ3 2015","FQ3 2015","Currency=INR","Period=FQ","BEST_FPERIOD_OVERRIDE=FQ","FILING_STATUS=OR","EQY_CONSOLIDATED=Y","Sort=A","Dates=H","DateFormat=P","Fill=—","Direction=H","UseDPDF=Y")</f>
        <v>#NAME?</v>
      </c>
      <c r="AT11" s="2" t="e">
        <f ca="1">_xll.BDH($C$3,"INVENTORY_5_YEAR_GROWTH","FQ3 2015","FQ3 2015","Currency=INR","Period=FQ","BEST_FPERIOD_OVERRIDE=FQ","FILING_STATUS=OR","EQY_CONSOLIDATED=Y","Sort=A","Dates=H","DateFormat=P","Fill=—","Direction=H","UseDPDF=Y")</f>
        <v>#NAME?</v>
      </c>
      <c r="AU11" s="2" t="e">
        <f ca="1">_xll.BDH($C$3,"NET_FIXED_ASSETS_5_YEAR_GROWTH","FQ3 2015","FQ3 2015","Currency=INR","Period=FQ","BEST_FPERIOD_OVERRIDE=FQ","FILING_STATUS=OR","EQY_CONSOLIDATED=Y","Sort=A","Dates=H","DateFormat=P","Fill=—","Direction=H","UseDPDF=Y")</f>
        <v>#NAME?</v>
      </c>
      <c r="AV11" s="2" t="e">
        <f ca="1">_xll.BDH($C$3,"GEO_GROW_TOT_ASSET","FQ3 2015","FQ3 2015","Currency=INR","Period=FQ","BEST_FPERIOD_OVERRIDE=FQ","FILING_STATUS=OR","EQY_CONSOLIDATED=Y","Sort=A","Dates=H","DateFormat=P","Fill=—","Direction=H","UseDPDF=Y")</f>
        <v>#NAME?</v>
      </c>
      <c r="AW11" s="2" t="e">
        <f ca="1">_xll.BDH($C$3,"MODIFIED_WORKING_CPTL_5YR_GRWTH","FQ3 2015","FQ3 2015","Currency=INR","Period=FQ","BEST_FPERIOD_OVERRIDE=FQ","FILING_STATUS=OR","EQY_CONSOLIDATED=Y","Sort=A","Dates=H","DateFormat=P","Fill=—","Direction=H","UseDPDF=Y")</f>
        <v>#NAME?</v>
      </c>
      <c r="AX11" s="2" t="e">
        <f ca="1">_xll.BDH($C$3,"WORKING_CAPITAL_5_YEAR_GROWTH","FQ3 2015","FQ3 2015","Currency=INR","Period=FQ","BEST_FPERIOD_OVERRIDE=FQ","FILING_STATUS=OR","EQY_CONSOLIDATED=Y","Sort=A","Dates=H","DateFormat=P","Fill=—","Direction=H","UseDPDF=Y")</f>
        <v>#NAME?</v>
      </c>
      <c r="AY11" s="2" t="e">
        <f ca="1">_xll.BDH($C$3,"ACCOUNTS_PAYABLE_5_YEAR_GROWTH","FQ3 2015","FQ3 2015","Currency=INR","Period=FQ","BEST_FPERIOD_OVERRIDE=FQ","FILING_STATUS=OR","EQY_CONSOLIDATED=Y","Sort=A","Dates=H","DateFormat=P","Fill=—","Direction=H","UseDPDF=Y")</f>
        <v>#NAME?</v>
      </c>
      <c r="AZ11" s="2" t="e">
        <f ca="1">_xll.BDH($C$3,"SHORT_TERM_DEBT_5_YEAR_GROWTH","FQ3 2015","FQ3 2015","Currency=INR","Period=FQ","BEST_FPERIOD_OVERRIDE=FQ","FILING_STATUS=OR","EQY_CONSOLIDATED=Y","Sort=A","Dates=H","DateFormat=P","Fill=—","Direction=H","UseDPDF=Y")</f>
        <v>#NAME?</v>
      </c>
      <c r="BA11" s="2" t="e">
        <f ca="1">_xll.BDH($C$3,"TOTAL_DEBT_5_YEAR_GROWTH","FQ3 2015","FQ3 2015","Currency=INR","Period=FQ","BEST_FPERIOD_OVERRIDE=FQ","FILING_STATUS=OR","EQY_CONSOLIDATED=Y","Sort=A","Dates=H","DateFormat=P","Fill=—","Direction=H","UseDPDF=Y")</f>
        <v>#NAME?</v>
      </c>
      <c r="BB11" s="2" t="e">
        <f ca="1">_xll.BDH($C$3,"GEO_GROW_TOT_SHRHLDR_EQY","FQ3 2015","FQ3 2015","Currency=INR","Period=FQ","BEST_FPERIOD_OVERRIDE=FQ","FILING_STATUS=OR","EQY_CONSOLIDATED=Y","Sort=A","Dates=H","DateFormat=P","Fill=—","Direction=H","UseDPDF=Y")</f>
        <v>#NAME?</v>
      </c>
      <c r="BC11" s="2" t="e">
        <f ca="1">_xll.BDH($C$3,"TOTAL_CAPITAL_5_YEAR_GROWTH","FQ3 2015","FQ3 2015","Currency=INR","Period=FQ","BEST_FPERIOD_OVERRIDE=FQ","FILING_STATUS=OR","EQY_CONSOLIDATED=Y","Sort=A","Dates=H","DateFormat=P","Fill=—","Direction=H","UseDPDF=Y")</f>
        <v>#NAME?</v>
      </c>
      <c r="BD11" s="2" t="e">
        <f ca="1">_xll.BDH($C$3,"GEO_GROW_BOOK_VAL","FQ3 2015","FQ3 2015","Currency=INR","Period=FQ","BEST_FPERIOD_OVERRIDE=FQ","FILING_STATUS=OR","EQY_CONSOLIDATED=Y","Sort=A","Dates=H","DateFormat=P","Fill=—","Direction=H","UseDPDF=Y")</f>
        <v>#NAME?</v>
      </c>
      <c r="BE11" s="2" t="e">
        <f ca="1">_xll.BDH($C$3,"GEO_GROW_CASH_OPER_ACT","FQ3 2015","FQ3 2015","Currency=INR","Period=FQ","BEST_FPERIOD_OVERRIDE=FQ","FILING_STATUS=OR","EQY_CONSOLIDATED=Y","Sort=A","Dates=H","DateFormat=P","Fill=—","Direction=H","UseDPDF=Y")</f>
        <v>#NAME?</v>
      </c>
      <c r="BF11" s="2" t="e">
        <f ca="1">_xll.BDH($C$3,"REVENUE_SEQUENTIAL_GROWTH","FQ3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11" s="2" t="e">
        <f ca="1">_xll.BDH($C$3,"EBITDA_SEQUENTIAL_GROWTH","FQ3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11" s="2" t="e">
        <f ca="1">_xll.BDH($C$3,"OPERATING_INCOME_SEQ_GROWTH","FQ3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11" s="2" t="e">
        <f ca="1">_xll.BDH($C$3,"NET_INCOME_TO_COMMON_SEQ_GROWTH","FQ3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11" s="2" t="e">
        <f ca="1">_xll.BDH($C$3,"EPS_DILUTED_SEQUENTIAL_GROWTH","FQ3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11" s="2" t="e">
        <f ca="1">_xll.BDH($C$3,"DPS_SEQUENTIAL_GROWTH","FQ3 2015","FQ3 2015","Currency=INR","Period=FQ","BEST_FPERIOD_OVERRIDE=FQ","FILING_STATUS=OR","EQY_CONSOLIDATED=Y","Sort=A","Dates=H","DateFormat=P","Fill=—","Direction=H","UseDPDF=Y")</f>
        <v>#NAME?</v>
      </c>
      <c r="BL11" s="2" t="e">
        <f ca="1">_xll.BDH($C$3,"ACCOUNTS_RECEIVABLE_SEQ_GROWTH","FQ3 2015","FQ3 2015","Currency=INR","Period=FQ","BEST_FPERIOD_OVERRIDE=FQ","FILING_STATUS=OR","EQY_CONSOLIDATED=Y","Sort=A","Dates=H","DateFormat=P","Fill=—","Direction=H","UseDPDF=Y")</f>
        <v>#NAME?</v>
      </c>
      <c r="BM11" s="2" t="e">
        <f ca="1">_xll.BDH($C$3,"INVENTORY_SEQUENTIAL_GROWTH","FQ3 2015","FQ3 2015","Currency=INR","Period=FQ","BEST_FPERIOD_OVERRIDE=FQ","FILING_STATUS=OR","EQY_CONSOLIDATED=Y","Sort=A","Dates=H","DateFormat=P","Fill=—","Direction=H","UseDPDF=Y")</f>
        <v>#NAME?</v>
      </c>
      <c r="BN11" s="2" t="e">
        <f ca="1">_xll.BDH($C$3,"FIXED_ASSETS_SEQUENTIAL_GROWTH","FQ3 2015","FQ3 2015","Currency=INR","Period=FQ","BEST_FPERIOD_OVERRIDE=FQ","FILING_STATUS=OR","EQY_CONSOLIDATED=Y","Sort=A","Dates=H","DateFormat=P","Fill=—","Direction=H","UseDPDF=Y")</f>
        <v>#NAME?</v>
      </c>
      <c r="BO11" s="2" t="e">
        <f ca="1">_xll.BDH($C$3,"TOTAL_ASSETS_SEQUENTIAL_GROWTH","FQ3 2015","FQ3 2015","Currency=INR","Period=FQ","BEST_FPERIOD_OVERRIDE=FQ","FILING_STATUS=OR","EQY_CONSOLIDATED=Y","Sort=A","Dates=H","DateFormat=P","Fill=—","Direction=H","UseDPDF=Y")</f>
        <v>#NAME?</v>
      </c>
      <c r="BP11" s="2" t="e">
        <f ca="1">_xll.BDH($C$3,"MODIFIED_WORKING_CPTL_SEQ_GRWTH","FQ3 2015","FQ3 2015","Currency=INR","Period=FQ","BEST_FPERIOD_OVERRIDE=FQ","FILING_STATUS=OR","EQY_CONSOLIDATED=Y","Sort=A","Dates=H","DateFormat=P","Fill=—","Direction=H","UseDPDF=Y")</f>
        <v>#NAME?</v>
      </c>
      <c r="BQ11" s="2" t="e">
        <f ca="1">_xll.BDH($C$3,"WORKING_CAPITAL_SEQ_GROWTH","FQ3 2015","FQ3 2015","Currency=INR","Period=FQ","BEST_FPERIOD_OVERRIDE=FQ","FILING_STATUS=OR","EQY_CONSOLIDATED=Y","Sort=A","Dates=H","DateFormat=P","Fill=—","Direction=H","UseDPDF=Y")</f>
        <v>#NAME?</v>
      </c>
      <c r="BR11" s="2" t="e">
        <f ca="1">_xll.BDH($C$3,"ACCOUNTS_PAYABLE_SEQ_GROWTH","FQ3 2015","FQ3 2015","Currency=INR","Period=FQ","BEST_FPERIOD_OVERRIDE=FQ","FILING_STATUS=OR","EQY_CONSOLIDATED=Y","Sort=A","Dates=H","DateFormat=P","Fill=—","Direction=H","UseDPDF=Y")</f>
        <v>#NAME?</v>
      </c>
      <c r="BS11" s="2" t="e">
        <f ca="1">_xll.BDH($C$3,"ST_DEBT_SEQUENTIAL_GROWTH","FQ3 2015","FQ3 2015","Currency=INR","Period=FQ","BEST_FPERIOD_OVERRIDE=FQ","FILING_STATUS=OR","EQY_CONSOLIDATED=Y","Sort=A","Dates=H","DateFormat=P","Fill=—","Direction=H","UseDPDF=Y")</f>
        <v>#NAME?</v>
      </c>
      <c r="BT11" s="2" t="e">
        <f ca="1">_xll.BDH($C$3,"TOTAL_DEBT_SEQUENTIAL_GROWTH","FQ3 2015","FQ3 2015","Currency=INR","Period=FQ","BEST_FPERIOD_OVERRIDE=FQ","FILING_STATUS=OR","EQY_CONSOLIDATED=Y","Sort=A","Dates=H","DateFormat=P","Fill=—","Direction=H","UseDPDF=Y")</f>
        <v>#NAME?</v>
      </c>
      <c r="BU11" s="2" t="e">
        <f ca="1">_xll.BDH($C$3,"TOTAL_EQUITY_SEQUENTIAL_GROWTH","FQ3 2015","FQ3 2015","Currency=INR","Period=FQ","BEST_FPERIOD_OVERRIDE=FQ","FILING_STATUS=OR","EQY_CONSOLIDATED=Y","Sort=A","Dates=H","DateFormat=P","Fill=—","Direction=H","UseDPDF=Y")</f>
        <v>#NAME?</v>
      </c>
      <c r="BV11" s="2" t="e">
        <f ca="1">_xll.BDH($C$3,"TOTAL_CAPITAL_SEQUENTIAL_GROWTH","FQ3 2015","FQ3 2015","Currency=INR","Period=FQ","BEST_FPERIOD_OVERRIDE=FQ","FILING_STATUS=OR","EQY_CONSOLIDATED=Y","Sort=A","Dates=H","DateFormat=P","Fill=—","Direction=H","UseDPDF=Y")</f>
        <v>#NAME?</v>
      </c>
      <c r="BW11" s="2" t="e">
        <f ca="1">_xll.BDH($C$3,"BPS_SEQUENTIAL_GROWTH","FQ3 2015","FQ3 2015","Currency=INR","Period=FQ","BEST_FPERIOD_OVERRIDE=FQ","FILING_STATUS=OR","EQY_CONSOLIDATED=Y","Sort=A","Dates=H","DateFormat=P","Fill=—","Direction=H","UseDPDF=Y")</f>
        <v>#NAME?</v>
      </c>
      <c r="BX11" s="2" t="e">
        <f ca="1">_xll.BDH($C$3,"CFO_SEQUENTIAL_GROWTH","FQ3 2015","FQ3 2015","Currency=INR","Period=FQ","BEST_FPERIOD_OVERRIDE=FQ","FILING_STATUS=OR","EQY_CONSOLIDATED=Y","Sort=A","Dates=H","DateFormat=P","Fill=—","Direction=H","UseDPDF=Y")</f>
        <v>#NAME?</v>
      </c>
      <c r="BY11" s="3" t="e">
        <f ca="1">_xll.BDH($C$3,"SHORT_AND_LONG_TERM_DEBT","FQ3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11" s="3" t="e">
        <f ca="1">_xll.BDH($C$3,"BS_ST_BORROW","FQ3 2015","FQ3 2015","Currency=INR","Period=FQ","BEST_FPERIOD_OVERRIDE=FQ","FILING_STATUS=OR","EQY_CONSOLIDATED=Y","SCALING_FORMAT=MLN","Sort=A","Dates=H","DateFormat=P","Fill=—","Direction=H","UseDPDF=Y")</f>
        <v>#NAME?</v>
      </c>
      <c r="CA11" s="3" t="e">
        <f ca="1">_xll.BDH($C$3,"BS_LT_BORROW","FQ3 2015","FQ3 2015","Currency=INR","Period=FQ","BEST_FPERIOD_OVERRIDE=FQ","FILING_STATUS=OR","EQY_CONSOLIDATED=Y","SCALING_FORMAT=MLN","Sort=A","Dates=H","DateFormat=P","Fill=—","Direction=H","UseDPDF=Y")</f>
        <v>#NAME?</v>
      </c>
      <c r="CB11" s="2" t="e">
        <f ca="1">_xll.BDH($C$3,"TOT_DEBT_TO_EBITDA","FQ3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11" s="2" t="e">
        <f ca="1">_xll.BDH($C$3,"NET_DEBT_TO_EBITDA","FQ3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11" s="2" t="e">
        <f ca="1">_xll.BDH($C$3,"TOTAL_DEBT_TO_EBIT","FQ3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11" s="2" t="e">
        <f ca="1">_xll.BDH($C$3,"NET_DEBT_TO_EBIT","FQ3 2015","FQ3 2015","Currency=INR","Period=FQ","BEST_FPERIOD_OVERRIDE=FQ","FILING_STATUS=OR","EQY_CONSOLIDATED=Y","FA_ADJUSTED=GAAP","Sort=A","Dates=H","DateFormat=P","Fill=—","Direction=H","UseDPDF=Y")</f>
        <v>#NAME?</v>
      </c>
      <c r="CF11" s="2" t="e">
        <f ca="1">_xll.BDH($C$3,"EBITDA_TO_INTEREST_EXPN","FQ3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11" s="2" t="e">
        <f ca="1">_xll.BDH($C$3,"COM_EQY_TO_TOT_ASSET","FQ3 2015","FQ3 2015","Currency=INR","Period=FQ","BEST_FPERIOD_OVERRIDE=FQ","FILING_STATUS=OR","EQY_CONSOLIDATED=Y","Sort=A","Dates=H","DateFormat=P","Fill=—","Direction=H","UseDPDF=Y")</f>
        <v>#NAME?</v>
      </c>
      <c r="CH11" s="2" t="e">
        <f ca="1">_xll.BDH($C$3,"LT_DEBT_TO_TOT_EQY","FQ3 2015","FQ3 2015","Currency=INR","Period=FQ","BEST_FPERIOD_OVERRIDE=FQ","FILING_STATUS=OR","EQY_CONSOLIDATED=Y","Sort=A","Dates=H","DateFormat=P","Fill=—","Direction=H","UseDPDF=Y")</f>
        <v>#NAME?</v>
      </c>
      <c r="CI11" s="2" t="e">
        <f ca="1">_xll.BDH($C$3,"LT_DEBT_TO_TOT_CAP","FQ3 2015","FQ3 2015","Currency=INR","Period=FQ","BEST_FPERIOD_OVERRIDE=FQ","FILING_STATUS=OR","EQY_CONSOLIDATED=Y","Sort=A","Dates=H","DateFormat=P","Fill=—","Direction=H","UseDPDF=Y")</f>
        <v>#NAME?</v>
      </c>
      <c r="CJ11" s="2" t="e">
        <f ca="1">_xll.BDH($C$3,"LT_DEBT_TO_TOT_ASSET","FQ3 2015","FQ3 2015","Currency=INR","Period=FQ","BEST_FPERIOD_OVERRIDE=FQ","FILING_STATUS=OR","EQY_CONSOLIDATED=Y","Sort=A","Dates=H","DateFormat=P","Fill=—","Direction=H","UseDPDF=Y")</f>
        <v>#NAME?</v>
      </c>
      <c r="CK11" s="2" t="e">
        <f ca="1">_xll.BDH($C$3,"TOT_DEBT_TO_TOT_EQY","FQ3 2015","FQ3 2015","Currency=INR","Period=FQ","BEST_FPERIOD_OVERRIDE=FQ","FILING_STATUS=OR","EQY_CONSOLIDATED=Y","Sort=A","Dates=H","DateFormat=P","Fill=—","Direction=H","UseDPDF=Y")</f>
        <v>#NAME?</v>
      </c>
      <c r="CL11" s="2" t="e">
        <f ca="1">_xll.BDH($C$3,"TOT_DEBT_TO_TOT_CAP","FQ3 2015","FQ3 2015","Currency=INR","Period=FQ","BEST_FPERIOD_OVERRIDE=FQ","FILING_STATUS=OR","EQY_CONSOLIDATED=Y","Sort=A","Dates=H","DateFormat=P","Fill=—","Direction=H","UseDPDF=Y")</f>
        <v>#NAME?</v>
      </c>
      <c r="CM11" s="2" t="e">
        <f ca="1">_xll.BDH($C$3,"TOT_DEBT_TO_TOT_ASSET","FQ3 2015","FQ3 2015","Currency=INR","Period=FQ","BEST_FPERIOD_OVERRIDE=FQ","FILING_STATUS=OR","EQY_CONSOLIDATED=Y","Sort=A","Dates=H","DateFormat=P","Fill=—","Direction=H","UseDPDF=Y")</f>
        <v>#NAME?</v>
      </c>
      <c r="CN11" s="2" t="e">
        <f ca="1">_xll.BDH($C$3,"NET_DEBT_TO_SHRHLDR_EQTY","FQ3 2015","FQ3 2015","Currency=INR","Period=FQ","BEST_FPERIOD_OVERRIDE=FQ","FILING_STATUS=OR","EQY_CONSOLIDATED=Y","Sort=A","Dates=H","DateFormat=P","Fill=—","Direction=H","UseDPDF=Y")</f>
        <v>#NAME?</v>
      </c>
      <c r="CO11" s="2" t="e">
        <f ca="1">_xll.BDH($C$3,"NET_DEBT_%_CAPITAL","FQ3 2015","FQ3 2015","Currency=INR","Period=FQ","BEST_FPERIOD_OVERRIDE=FQ","FILING_STATUS=OR","EQY_CONSOLIDATED=Y","Sort=A","Dates=H","DateFormat=P","Fill=—","Direction=H","UseDPDF=Y")</f>
        <v>#NAME?</v>
      </c>
      <c r="CP11" s="3" t="e">
        <f ca="1">_xll.BDH($C$3,"EBITDA","FQ3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11" s="3" t="e">
        <f ca="1">_xll.BDH($C$3,"EBITDA_AFTER_CAPEX","FQ3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11" s="3" t="e">
        <f ca="1">_xll.BDH($C$3,"IS_OPER_INC","FQ3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11" s="2" t="e">
        <f ca="1">_xll.BDH($C$3,"CASH_RATIO","FQ3 2015","FQ3 2015","Currency=INR","Period=FQ","BEST_FPERIOD_OVERRIDE=FQ","FILING_STATUS=OR","EQY_CONSOLIDATED=Y","Sort=A","Dates=H","DateFormat=P","Fill=—","Direction=H","UseDPDF=Y")</f>
        <v>#NAME?</v>
      </c>
      <c r="CT11" s="2" t="e">
        <f ca="1">_xll.BDH($C$3,"CUR_RATIO","FQ3 2015","FQ3 2015","Currency=INR","Period=FQ","BEST_FPERIOD_OVERRIDE=FQ","FILING_STATUS=OR","EQY_CONSOLIDATED=Y","Sort=A","Dates=H","DateFormat=P","Fill=—","Direction=H","UseDPDF=Y")</f>
        <v>#NAME?</v>
      </c>
      <c r="CU11" s="2" t="e">
        <f ca="1">_xll.BDH($C$3,"QUICK_RATIO","FQ3 2015","FQ3 2015","Currency=INR","Period=FQ","BEST_FPERIOD_OVERRIDE=FQ","FILING_STATUS=OR","EQY_CONSOLIDATED=Y","Sort=A","Dates=H","DateFormat=P","Fill=—","Direction=H","UseDPDF=Y")</f>
        <v>#NAME?</v>
      </c>
      <c r="CV11" s="2" t="e">
        <f ca="1">_xll.BDH($C$3,"ALTMAN_Z_SCORE","FQ3 2015","FQ3 2015","Currency=INR","Period=FQ","BEST_FPERIOD_OVERRIDE=FQ","FILING_STATUS=OR","EQY_CONSOLIDATED=Y","Sort=A","Dates=H","DateFormat=P","Fill=—","Direction=H","UseDPDF=Y")</f>
        <v>#NAME?</v>
      </c>
      <c r="CW11" s="4" t="e">
        <f ca="1">_xll.BDH($C$3,"ACCT_RCV_TURN","FQ3 2015","FQ3 2015","Currency=INR","Period=FQ","BEST_FPERIOD_OVERRIDE=FQ","FILING_STATUS=OR","EQY_CONSOLIDATED=Y","FA_ADJUSTED=GAAP","Sort=A","Dates=H","DateFormat=P","Fill=—","Direction=H","UseDPDF=Y")</f>
        <v>#NAME?</v>
      </c>
      <c r="CX11" s="2" t="e">
        <f ca="1">_xll.BDH($C$3,"ACCT_RCV_DAYS","FQ3 2015","FQ3 2015","Currency=INR","Period=FQ","BEST_FPERIOD_OVERRIDE=FQ","FILING_STATUS=OR","EQY_CONSOLIDATED=Y","FA_ADJUSTED=GAAP","Sort=A","Dates=H","DateFormat=P","Fill=—","Direction=H","UseDPDF=Y")</f>
        <v>#NAME?</v>
      </c>
      <c r="CY11" s="4" t="e">
        <f ca="1">_xll.BDH($C$3,"INVENT_TURN","FQ3 2015","FQ3 2015","Currency=INR","Period=FQ","BEST_FPERIOD_OVERRIDE=FQ","FILING_STATUS=OR","EQY_CONSOLIDATED=Y","FA_ADJUSTED=GAAP","Sort=A","Dates=H","DateFormat=P","Fill=—","Direction=H","UseDPDF=Y")</f>
        <v>#NAME?</v>
      </c>
      <c r="CZ11" s="2" t="e">
        <f ca="1">_xll.BDH($C$3,"INVENT_DAYS","FQ3 2015","FQ3 2015","Currency=INR","Period=FQ","BEST_FPERIOD_OVERRIDE=FQ","FILING_STATUS=OR","EQY_CONSOLIDATED=Y","FA_ADJUSTED=GAAP","Sort=A","Dates=H","DateFormat=P","Fill=—","Direction=H","UseDPDF=Y")</f>
        <v>#NAME?</v>
      </c>
      <c r="DA11" s="4" t="e">
        <f ca="1">_xll.BDH($C$3,"ACCOUNTS_PAYABLE_TURNOVER","FQ3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11" s="2" t="e">
        <f ca="1">_xll.BDH($C$3,"ACCOUNTS_PAYABLE_TURNOVER_DAYS","FQ3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11" s="4" t="e">
        <f ca="1">_xll.BDH($C$3,"CASH_CONVERSION_CYCLE","FQ3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11" s="4" t="e">
        <f ca="1">_xll.BDH($C$3,"INV_TO_CASH_DAYS","FQ3 2015","FQ3 2015","Currency=INR","Period=FQ","BEST_FPERIOD_OVERRIDE=FQ","FILING_STATUS=OR","EQY_CONSOLIDATED=Y","FA_ADJUSTED=GAAP","Sort=A","Dates=H","DateFormat=P","Fill=—","Direction=H","UseDPDF=Y")</f>
        <v>#NAME?</v>
      </c>
      <c r="DE11" s="5" t="e">
        <f ca="1">_xll.BDH($C$3,"BS_INVENTORIES","FQ3 2015","FQ3 2015","Currency=INR","Period=FQ","BEST_FPERIOD_OVERRIDE=FQ","FILING_STATUS=OR","EQY_CONSOLIDATED=Y","SCALING_FORMAT=MLN","Sort=A","Dates=H","DateFormat=P","Fill=—","Direction=H","UseDPDF=Y")</f>
        <v>#NAME?</v>
      </c>
      <c r="DF11" s="3" t="e">
        <f ca="1">_xll.BDH($C$3,"INVTRY_RAW_MATERIALS","FQ3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11" s="3" t="e">
        <f ca="1">_xll.BDH($C$3,"INVTRY_IN_PROGRESS","FQ3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11" s="3" t="e">
        <f ca="1">_xll.BDH($C$3,"INVTRY_FINISHED_GOODS","FQ3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11" s="3" t="e">
        <f ca="1">_xll.BDH($C$3,"BS_OTHER_INV","FQ3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12" spans="1:113" x14ac:dyDescent="0.3">
      <c r="A12" s="6"/>
      <c r="B12" s="6"/>
      <c r="C12" s="6"/>
      <c r="D12" s="6"/>
      <c r="E12" t="s">
        <v>81</v>
      </c>
      <c r="F12" t="e">
        <f ca="1">_xll.BDH($C$3,"RETURN_COM_EQY","FQ4 2015","FQ4 2015","Currency=INR","Period=FQ","BEST_FPERIOD_OVERRIDE=FQ","FILING_STATUS=OR","EQY_CONSOLIDATED=Y","FA_ADJUSTED=GAAP","Sort=A","Dates=H","DateFormat=P","Fill=—","Direction=H","UseDPDF=Y")</f>
        <v>#NAME?</v>
      </c>
      <c r="G12" t="e">
        <f ca="1">_xll.BDH($C$3,"RETURN_ON_ASSET","FQ4 2015","FQ4 2015","Currency=INR","Period=FQ","BEST_FPERIOD_OVERRIDE=FQ","FILING_STATUS=OR","EQY_CONSOLIDATED=Y","FA_ADJUSTED=GAAP","Sort=A","Dates=H","DateFormat=P","Fill=—","Direction=H","UseDPDF=Y")</f>
        <v>#NAME?</v>
      </c>
      <c r="H12" t="e">
        <f ca="1">_xll.BDH($C$3,"RETURN_ON_CAP","FQ4 2015","FQ4 2015","Currency=INR","Period=FQ","BEST_FPERIOD_OVERRIDE=FQ","FILING_STATUS=OR","EQY_CONSOLIDATED=Y","FA_ADJUSTED=GAAP","Sort=A","Dates=H","DateFormat=P","Fill=—","Direction=H","UseDPDF=Y")</f>
        <v>#NAME?</v>
      </c>
      <c r="I12" t="e">
        <f ca="1">_xll.BDH($C$3,"RETURN_ON_INV_CAPITAL","FQ4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12" t="e">
        <f ca="1">_xll.BDH($C$3,"EBITDA_TO_REVENUE","FQ4 2015","FQ4 2015","Currency=INR","Period=FQ","BEST_FPERIOD_OVERRIDE=FQ","FILING_STATUS=OR","EQY_CONSOLIDATED=Y","FA_ADJUSTED=GAAP","Sort=A","Dates=H","DateFormat=P","Fill=—","Direction=H","UseDPDF=Y")</f>
        <v>#NAME?</v>
      </c>
      <c r="K12" t="e">
        <f ca="1">_xll.BDH($C$3,"OPER_MARGIN","FQ4 2015","FQ4 2015","Currency=INR","Period=FQ","BEST_FPERIOD_OVERRIDE=FQ","FILING_STATUS=OR","EQY_CONSOLIDATED=Y","FA_ADJUSTED=GAAP","Sort=A","Dates=H","DateFormat=P","Fill=—","Direction=H","UseDPDF=Y")</f>
        <v>#NAME?</v>
      </c>
      <c r="L12" t="e">
        <f ca="1">_xll.BDH($C$3,"INCREMENTAL_OPERATING_MARGIN","FQ4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12" t="e">
        <f ca="1">_xll.BDH($C$3,"PRETAX_INC_TO_NET_SALES","FQ4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12" t="e">
        <f ca="1">_xll.BDH($C$3,"INC_BEF_XO_ITEMS_TO_NET_SALES","FQ4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12" t="e">
        <f ca="1">_xll.BDH($C$3,"PROF_MARGIN","FQ4 2015","FQ4 2015","Currency=INR","Period=FQ","BEST_FPERIOD_OVERRIDE=FQ","FILING_STATUS=OR","EQY_CONSOLIDATED=Y","FA_ADJUSTED=GAAP","Sort=A","Dates=H","DateFormat=P","Fill=—","Direction=H","UseDPDF=Y")</f>
        <v>#NAME?</v>
      </c>
      <c r="P12" t="e">
        <f ca="1">_xll.BDH($C$3,"NET_INCOME_TO_COMMON_MARGIN","FQ4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12" t="e">
        <f ca="1">_xll.BDH($C$3,"EFF_TAX_RATE","FQ4 2015","FQ4 2015","Currency=INR","Period=FQ","BEST_FPERIOD_OVERRIDE=FQ","FILING_STATUS=OR","EQY_CONSOLIDATED=Y","FA_ADJUSTED=GAAP","Sort=A","Dates=H","DateFormat=P","Fill=—","Direction=H","UseDPDF=Y")</f>
        <v>#NAME?</v>
      </c>
      <c r="R12" t="e">
        <f ca="1">_xll.BDH($C$3,"DVD_PAYOUT_RATIO","FQ4 2015","FQ4 2015","Currency=INR","Period=FQ","BEST_FPERIOD_OVERRIDE=FQ","FILING_STATUS=OR","EQY_CONSOLIDATED=Y","FA_ADJUSTED=GAAP","Sort=A","Dates=H","DateFormat=P","Fill=—","Direction=H","UseDPDF=Y")</f>
        <v>#NAME?</v>
      </c>
      <c r="S12" t="e">
        <f ca="1">_xll.BDH($C$3,"SUSTAIN_GROWTH_RT","FQ4 2015","FQ4 2015","Currency=INR","Period=FQ","BEST_FPERIOD_OVERRIDE=FQ","FILING_STATUS=OR","EQY_CONSOLIDATED=Y","FA_ADJUSTED=GAAP","Sort=A","Dates=H","DateFormat=P","Fill=—","Direction=H","UseDPDF=Y")</f>
        <v>#NAME?</v>
      </c>
      <c r="T12" s="2" t="e">
        <f ca="1">_xll.BDH($C$3,"SALES_GROWTH","FQ4 2015","FQ4 2015","Currency=INR","Period=FQ","BEST_FPERIOD_OVERRIDE=FQ","FILING_STATUS=OR","EQY_CONSOLIDATED=Y","FA_ADJUSTED=GAAP","Sort=A","Dates=H","DateFormat=P","Fill=—","Direction=H","UseDPDF=Y")</f>
        <v>#NAME?</v>
      </c>
      <c r="U12" s="2" t="e">
        <f ca="1">_xll.BDH($C$3,"EBITDA_GROWTH","FQ4 2015","FQ4 2015","Currency=INR","Period=FQ","BEST_FPERIOD_OVERRIDE=FQ","FILING_STATUS=OR","EQY_CONSOLIDATED=Y","FA_ADJUSTED=GAAP","Sort=A","Dates=H","DateFormat=P","Fill=—","Direction=H","UseDPDF=Y")</f>
        <v>#NAME?</v>
      </c>
      <c r="V12" s="2" t="e">
        <f ca="1">_xll.BDH($C$3,"OPER_INC_GROWTH","FQ4 2015","FQ4 2015","Currency=INR","Period=FQ","BEST_FPERIOD_OVERRIDE=FQ","FILING_STATUS=OR","EQY_CONSOLIDATED=Y","FA_ADJUSTED=GAAP","Sort=A","Dates=H","DateFormat=P","Fill=—","Direction=H","UseDPDF=Y")</f>
        <v>#NAME?</v>
      </c>
      <c r="W12" s="2" t="e">
        <f ca="1">_xll.BDH($C$3,"EARN_FOR_COM_GROWTH","FQ4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12" s="2" t="e">
        <f ca="1">_xll.BDH($C$3,"DILUTED_EPS_AFT_XO_ITEMS_GROWTH","FQ4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12" s="2" t="e">
        <f ca="1">_xll.BDH($C$3,"DIVIDEND_PER_SHARE_1_YEAR_GROWTH","FQ4 2015","FQ4 2015","Currency=INR","Period=FQ","BEST_FPERIOD_OVERRIDE=FQ","FILING_STATUS=OR","EQY_CONSOLIDATED=Y","Sort=A","Dates=H","DateFormat=P","Fill=—","Direction=H","UseDPDF=Y")</f>
        <v>#NAME?</v>
      </c>
      <c r="Z12" s="2" t="e">
        <f ca="1">_xll.BDH($C$3,"ACCOUNTS_RECEIVABLE_GROWTH","FQ4 2015","FQ4 2015","Currency=INR","Period=FQ","BEST_FPERIOD_OVERRIDE=FQ","FILING_STATUS=OR","EQY_CONSOLIDATED=Y","Sort=A","Dates=H","DateFormat=P","Fill=—","Direction=H","UseDPDF=Y")</f>
        <v>#NAME?</v>
      </c>
      <c r="AA12" s="2" t="e">
        <f ca="1">_xll.BDH($C$3,"INVENTORY_GROWTH","FQ4 2015","FQ4 2015","Currency=INR","Period=FQ","BEST_FPERIOD_OVERRIDE=FQ","FILING_STATUS=OR","EQY_CONSOLIDATED=Y","Sort=A","Dates=H","DateFormat=P","Fill=—","Direction=H","UseDPDF=Y")</f>
        <v>#NAME?</v>
      </c>
      <c r="AB12" s="2" t="e">
        <f ca="1">_xll.BDH($C$3,"NET_FIXED_ASSETS_1_YEAR_GROWTH","FQ4 2015","FQ4 2015","Currency=INR","Period=FQ","BEST_FPERIOD_OVERRIDE=FQ","FILING_STATUS=OR","EQY_CONSOLIDATED=Y","Sort=A","Dates=H","DateFormat=P","Fill=—","Direction=H","UseDPDF=Y")</f>
        <v>#NAME?</v>
      </c>
      <c r="AC12" s="2" t="e">
        <f ca="1">_xll.BDH($C$3,"ASSET_GROWTH","FQ4 2015","FQ4 2015","Currency=INR","Period=FQ","BEST_FPERIOD_OVERRIDE=FQ","FILING_STATUS=OR","EQY_CONSOLIDATED=Y","Sort=A","Dates=H","DateFormat=P","Fill=—","Direction=H","UseDPDF=Y")</f>
        <v>#NAME?</v>
      </c>
      <c r="AD12" s="2" t="e">
        <f ca="1">_xll.BDH($C$3,"MODIFIED_WORK_CAP_GROWTH","FQ4 2015","FQ4 2015","Currency=INR","Period=FQ","BEST_FPERIOD_OVERRIDE=FQ","FILING_STATUS=OR","EQY_CONSOLIDATED=Y","Sort=A","Dates=H","DateFormat=P","Fill=—","Direction=H","UseDPDF=Y")</f>
        <v>#NAME?</v>
      </c>
      <c r="AE12" s="2" t="e">
        <f ca="1">_xll.BDH($C$3,"WORK_CAP_GROWTH","FQ4 2015","FQ4 2015","Currency=INR","Period=FQ","BEST_FPERIOD_OVERRIDE=FQ","FILING_STATUS=OR","EQY_CONSOLIDATED=Y","Sort=A","Dates=H","DateFormat=P","Fill=—","Direction=H","UseDPDF=Y")</f>
        <v>#NAME?</v>
      </c>
      <c r="AF12" s="2" t="e">
        <f ca="1">_xll.BDH($C$3,"ACCOUNTS_PAYABLE_GROWTH_1YR","FQ4 2015","FQ4 2015","Currency=INR","Period=FQ","BEST_FPERIOD_OVERRIDE=FQ","FILING_STATUS=OR","EQY_CONSOLIDATED=Y","Sort=A","Dates=H","DateFormat=P","Fill=—","Direction=H","UseDPDF=Y")</f>
        <v>#NAME?</v>
      </c>
      <c r="AG12" s="2" t="e">
        <f ca="1">_xll.BDH($C$3,"SHORT_TERM_DEBT_1_YEAR_GROWTH","FQ4 2015","FQ4 2015","Currency=INR","Period=FQ","BEST_FPERIOD_OVERRIDE=FQ","FILING_STATUS=OR","EQY_CONSOLIDATED=Y","Sort=A","Dates=H","DateFormat=P","Fill=—","Direction=H","UseDPDF=Y")</f>
        <v>#NAME?</v>
      </c>
      <c r="AH12" s="2" t="e">
        <f ca="1">_xll.BDH($C$3,"TOTAL_DEBT_1_YEAR_GROWTH","FQ4 2015","FQ4 2015","Currency=INR","Period=FQ","BEST_FPERIOD_OVERRIDE=FQ","FILING_STATUS=OR","EQY_CONSOLIDATED=Y","Sort=A","Dates=H","DateFormat=P","Fill=—","Direction=H","UseDPDF=Y")</f>
        <v>#NAME?</v>
      </c>
      <c r="AI12" s="2" t="e">
        <f ca="1">_xll.BDH($C$3,"TOTAL_EQUITY_1_YEAR_GROWTH","FQ4 2015","FQ4 2015","Currency=INR","Period=FQ","BEST_FPERIOD_OVERRIDE=FQ","FILING_STATUS=OR","EQY_CONSOLIDATED=Y","Sort=A","Dates=H","DateFormat=P","Fill=—","Direction=H","UseDPDF=Y")</f>
        <v>#NAME?</v>
      </c>
      <c r="AJ12" s="2" t="e">
        <f ca="1">_xll.BDH($C$3,"GROWTH_IN_CAP","FQ4 2015","FQ4 2015","Currency=INR","Period=FQ","BEST_FPERIOD_OVERRIDE=FQ","FILING_STATUS=OR","EQY_CONSOLIDATED=Y","Sort=A","Dates=H","DateFormat=P","Fill=—","Direction=H","UseDPDF=Y")</f>
        <v>#NAME?</v>
      </c>
      <c r="AK12" s="2" t="e">
        <f ca="1">_xll.BDH($C$3,"BVPS_GROWTH","FQ4 2015","FQ4 2015","Currency=INR","Period=FQ","BEST_FPERIOD_OVERRIDE=FQ","FILING_STATUS=OR","EQY_CONSOLIDATED=Y","Sort=A","Dates=H","DateFormat=P","Fill=—","Direction=H","UseDPDF=Y")</f>
        <v>#NAME?</v>
      </c>
      <c r="AL12" s="2" t="e">
        <f ca="1">_xll.BDH($C$3,"CASH_FLOW_GROWTH","FQ4 2015","FQ4 2015","Currency=INR","Period=FQ","BEST_FPERIOD_OVERRIDE=FQ","FILING_STATUS=OR","EQY_CONSOLIDATED=Y","Sort=A","Dates=H","DateFormat=P","Fill=—","Direction=H","UseDPDF=Y")</f>
        <v>#NAME?</v>
      </c>
      <c r="AM12" s="2" t="e">
        <f ca="1">_xll.BDH($C$3,"GEO_GROW_NET_SALES","FQ4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12" s="2" t="e">
        <f ca="1">_xll.BDH($C$3,"GEO_GROW_EBITDA","FQ4 2015","FQ4 2015","Currency=INR","Period=FQ","BEST_FPERIOD_OVERRIDE=FQ","FILING_STATUS=OR","EQY_CONSOLIDATED=Y","FA_ADJUSTED=GAAP","Sort=A","Dates=H","DateFormat=P","Fill=—","Direction=H","UseDPDF=Y")</f>
        <v>#NAME?</v>
      </c>
      <c r="AO12" s="2" t="e">
        <f ca="1">_xll.BDH($C$3,"GEO_GROW_OPER_INC","FQ4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12" s="2" t="e">
        <f ca="1">_xll.BDH($C$3,"NET_INCOME_TO_COMMON_5_YR_GROWTH","FQ4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12" s="2" t="e">
        <f ca="1">_xll.BDH($C$3,"5Y_GEO_GROWTH_DILUTED_EPS","FQ4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12" s="2" t="e">
        <f ca="1">_xll.BDH($C$3,"GEO_GROW_DVD_PER_SH","FQ4 2015","FQ4 2015","Currency=INR","Period=FQ","BEST_FPERIOD_OVERRIDE=FQ","FILING_STATUS=OR","EQY_CONSOLIDATED=Y","Sort=A","Dates=H","DateFormat=P","Fill=—","Direction=H","UseDPDF=Y")</f>
        <v>#NAME?</v>
      </c>
      <c r="AS12" s="2" t="e">
        <f ca="1">_xll.BDH($C$3,"ACCOUNTS_RECEIVABLE_5_YR_GROWTH","FQ4 2015","FQ4 2015","Currency=INR","Period=FQ","BEST_FPERIOD_OVERRIDE=FQ","FILING_STATUS=OR","EQY_CONSOLIDATED=Y","Sort=A","Dates=H","DateFormat=P","Fill=—","Direction=H","UseDPDF=Y")</f>
        <v>#NAME?</v>
      </c>
      <c r="AT12" s="2" t="e">
        <f ca="1">_xll.BDH($C$3,"INVENTORY_5_YEAR_GROWTH","FQ4 2015","FQ4 2015","Currency=INR","Period=FQ","BEST_FPERIOD_OVERRIDE=FQ","FILING_STATUS=OR","EQY_CONSOLIDATED=Y","Sort=A","Dates=H","DateFormat=P","Fill=—","Direction=H","UseDPDF=Y")</f>
        <v>#NAME?</v>
      </c>
      <c r="AU12" s="2" t="e">
        <f ca="1">_xll.BDH($C$3,"NET_FIXED_ASSETS_5_YEAR_GROWTH","FQ4 2015","FQ4 2015","Currency=INR","Period=FQ","BEST_FPERIOD_OVERRIDE=FQ","FILING_STATUS=OR","EQY_CONSOLIDATED=Y","Sort=A","Dates=H","DateFormat=P","Fill=—","Direction=H","UseDPDF=Y")</f>
        <v>#NAME?</v>
      </c>
      <c r="AV12" s="2" t="e">
        <f ca="1">_xll.BDH($C$3,"GEO_GROW_TOT_ASSET","FQ4 2015","FQ4 2015","Currency=INR","Period=FQ","BEST_FPERIOD_OVERRIDE=FQ","FILING_STATUS=OR","EQY_CONSOLIDATED=Y","Sort=A","Dates=H","DateFormat=P","Fill=—","Direction=H","UseDPDF=Y")</f>
        <v>#NAME?</v>
      </c>
      <c r="AW12" s="2" t="e">
        <f ca="1">_xll.BDH($C$3,"MODIFIED_WORKING_CPTL_5YR_GRWTH","FQ4 2015","FQ4 2015","Currency=INR","Period=FQ","BEST_FPERIOD_OVERRIDE=FQ","FILING_STATUS=OR","EQY_CONSOLIDATED=Y","Sort=A","Dates=H","DateFormat=P","Fill=—","Direction=H","UseDPDF=Y")</f>
        <v>#NAME?</v>
      </c>
      <c r="AX12" s="2" t="e">
        <f ca="1">_xll.BDH($C$3,"WORKING_CAPITAL_5_YEAR_GROWTH","FQ4 2015","FQ4 2015","Currency=INR","Period=FQ","BEST_FPERIOD_OVERRIDE=FQ","FILING_STATUS=OR","EQY_CONSOLIDATED=Y","Sort=A","Dates=H","DateFormat=P","Fill=—","Direction=H","UseDPDF=Y")</f>
        <v>#NAME?</v>
      </c>
      <c r="AY12" s="2" t="e">
        <f ca="1">_xll.BDH($C$3,"ACCOUNTS_PAYABLE_5_YEAR_GROWTH","FQ4 2015","FQ4 2015","Currency=INR","Period=FQ","BEST_FPERIOD_OVERRIDE=FQ","FILING_STATUS=OR","EQY_CONSOLIDATED=Y","Sort=A","Dates=H","DateFormat=P","Fill=—","Direction=H","UseDPDF=Y")</f>
        <v>#NAME?</v>
      </c>
      <c r="AZ12" s="2" t="e">
        <f ca="1">_xll.BDH($C$3,"SHORT_TERM_DEBT_5_YEAR_GROWTH","FQ4 2015","FQ4 2015","Currency=INR","Period=FQ","BEST_FPERIOD_OVERRIDE=FQ","FILING_STATUS=OR","EQY_CONSOLIDATED=Y","Sort=A","Dates=H","DateFormat=P","Fill=—","Direction=H","UseDPDF=Y")</f>
        <v>#NAME?</v>
      </c>
      <c r="BA12" s="2" t="e">
        <f ca="1">_xll.BDH($C$3,"TOTAL_DEBT_5_YEAR_GROWTH","FQ4 2015","FQ4 2015","Currency=INR","Period=FQ","BEST_FPERIOD_OVERRIDE=FQ","FILING_STATUS=OR","EQY_CONSOLIDATED=Y","Sort=A","Dates=H","DateFormat=P","Fill=—","Direction=H","UseDPDF=Y")</f>
        <v>#NAME?</v>
      </c>
      <c r="BB12" s="2" t="e">
        <f ca="1">_xll.BDH($C$3,"GEO_GROW_TOT_SHRHLDR_EQY","FQ4 2015","FQ4 2015","Currency=INR","Period=FQ","BEST_FPERIOD_OVERRIDE=FQ","FILING_STATUS=OR","EQY_CONSOLIDATED=Y","Sort=A","Dates=H","DateFormat=P","Fill=—","Direction=H","UseDPDF=Y")</f>
        <v>#NAME?</v>
      </c>
      <c r="BC12" s="2" t="e">
        <f ca="1">_xll.BDH($C$3,"TOTAL_CAPITAL_5_YEAR_GROWTH","FQ4 2015","FQ4 2015","Currency=INR","Period=FQ","BEST_FPERIOD_OVERRIDE=FQ","FILING_STATUS=OR","EQY_CONSOLIDATED=Y","Sort=A","Dates=H","DateFormat=P","Fill=—","Direction=H","UseDPDF=Y")</f>
        <v>#NAME?</v>
      </c>
      <c r="BD12" s="2" t="e">
        <f ca="1">_xll.BDH($C$3,"GEO_GROW_BOOK_VAL","FQ4 2015","FQ4 2015","Currency=INR","Period=FQ","BEST_FPERIOD_OVERRIDE=FQ","FILING_STATUS=OR","EQY_CONSOLIDATED=Y","Sort=A","Dates=H","DateFormat=P","Fill=—","Direction=H","UseDPDF=Y")</f>
        <v>#NAME?</v>
      </c>
      <c r="BE12" s="2" t="e">
        <f ca="1">_xll.BDH($C$3,"GEO_GROW_CASH_OPER_ACT","FQ4 2015","FQ4 2015","Currency=INR","Period=FQ","BEST_FPERIOD_OVERRIDE=FQ","FILING_STATUS=OR","EQY_CONSOLIDATED=Y","Sort=A","Dates=H","DateFormat=P","Fill=—","Direction=H","UseDPDF=Y")</f>
        <v>#NAME?</v>
      </c>
      <c r="BF12" s="2" t="e">
        <f ca="1">_xll.BDH($C$3,"REVENUE_SEQUENTIAL_GROWTH","FQ4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12" s="2" t="e">
        <f ca="1">_xll.BDH($C$3,"EBITDA_SEQUENTIAL_GROWTH","FQ4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12" s="2" t="e">
        <f ca="1">_xll.BDH($C$3,"OPERATING_INCOME_SEQ_GROWTH","FQ4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12" s="2" t="e">
        <f ca="1">_xll.BDH($C$3,"NET_INCOME_TO_COMMON_SEQ_GROWTH","FQ4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12" s="2" t="e">
        <f ca="1">_xll.BDH($C$3,"EPS_DILUTED_SEQUENTIAL_GROWTH","FQ4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12" s="2" t="e">
        <f ca="1">_xll.BDH($C$3,"DPS_SEQUENTIAL_GROWTH","FQ4 2015","FQ4 2015","Currency=INR","Period=FQ","BEST_FPERIOD_OVERRIDE=FQ","FILING_STATUS=OR","EQY_CONSOLIDATED=Y","Sort=A","Dates=H","DateFormat=P","Fill=—","Direction=H","UseDPDF=Y")</f>
        <v>#NAME?</v>
      </c>
      <c r="BL12" s="2" t="e">
        <f ca="1">_xll.BDH($C$3,"ACCOUNTS_RECEIVABLE_SEQ_GROWTH","FQ4 2015","FQ4 2015","Currency=INR","Period=FQ","BEST_FPERIOD_OVERRIDE=FQ","FILING_STATUS=OR","EQY_CONSOLIDATED=Y","Sort=A","Dates=H","DateFormat=P","Fill=—","Direction=H","UseDPDF=Y")</f>
        <v>#NAME?</v>
      </c>
      <c r="BM12" s="2" t="e">
        <f ca="1">_xll.BDH($C$3,"INVENTORY_SEQUENTIAL_GROWTH","FQ4 2015","FQ4 2015","Currency=INR","Period=FQ","BEST_FPERIOD_OVERRIDE=FQ","FILING_STATUS=OR","EQY_CONSOLIDATED=Y","Sort=A","Dates=H","DateFormat=P","Fill=—","Direction=H","UseDPDF=Y")</f>
        <v>#NAME?</v>
      </c>
      <c r="BN12" s="2" t="e">
        <f ca="1">_xll.BDH($C$3,"FIXED_ASSETS_SEQUENTIAL_GROWTH","FQ4 2015","FQ4 2015","Currency=INR","Period=FQ","BEST_FPERIOD_OVERRIDE=FQ","FILING_STATUS=OR","EQY_CONSOLIDATED=Y","Sort=A","Dates=H","DateFormat=P","Fill=—","Direction=H","UseDPDF=Y")</f>
        <v>#NAME?</v>
      </c>
      <c r="BO12" s="2" t="e">
        <f ca="1">_xll.BDH($C$3,"TOTAL_ASSETS_SEQUENTIAL_GROWTH","FQ4 2015","FQ4 2015","Currency=INR","Period=FQ","BEST_FPERIOD_OVERRIDE=FQ","FILING_STATUS=OR","EQY_CONSOLIDATED=Y","Sort=A","Dates=H","DateFormat=P","Fill=—","Direction=H","UseDPDF=Y")</f>
        <v>#NAME?</v>
      </c>
      <c r="BP12" s="2" t="e">
        <f ca="1">_xll.BDH($C$3,"MODIFIED_WORKING_CPTL_SEQ_GRWTH","FQ4 2015","FQ4 2015","Currency=INR","Period=FQ","BEST_FPERIOD_OVERRIDE=FQ","FILING_STATUS=OR","EQY_CONSOLIDATED=Y","Sort=A","Dates=H","DateFormat=P","Fill=—","Direction=H","UseDPDF=Y")</f>
        <v>#NAME?</v>
      </c>
      <c r="BQ12" s="2" t="e">
        <f ca="1">_xll.BDH($C$3,"WORKING_CAPITAL_SEQ_GROWTH","FQ4 2015","FQ4 2015","Currency=INR","Period=FQ","BEST_FPERIOD_OVERRIDE=FQ","FILING_STATUS=OR","EQY_CONSOLIDATED=Y","Sort=A","Dates=H","DateFormat=P","Fill=—","Direction=H","UseDPDF=Y")</f>
        <v>#NAME?</v>
      </c>
      <c r="BR12" s="2" t="e">
        <f ca="1">_xll.BDH($C$3,"ACCOUNTS_PAYABLE_SEQ_GROWTH","FQ4 2015","FQ4 2015","Currency=INR","Period=FQ","BEST_FPERIOD_OVERRIDE=FQ","FILING_STATUS=OR","EQY_CONSOLIDATED=Y","Sort=A","Dates=H","DateFormat=P","Fill=—","Direction=H","UseDPDF=Y")</f>
        <v>#NAME?</v>
      </c>
      <c r="BS12" s="2" t="e">
        <f ca="1">_xll.BDH($C$3,"ST_DEBT_SEQUENTIAL_GROWTH","FQ4 2015","FQ4 2015","Currency=INR","Period=FQ","BEST_FPERIOD_OVERRIDE=FQ","FILING_STATUS=OR","EQY_CONSOLIDATED=Y","Sort=A","Dates=H","DateFormat=P","Fill=—","Direction=H","UseDPDF=Y")</f>
        <v>#NAME?</v>
      </c>
      <c r="BT12" s="2" t="e">
        <f ca="1">_xll.BDH($C$3,"TOTAL_DEBT_SEQUENTIAL_GROWTH","FQ4 2015","FQ4 2015","Currency=INR","Period=FQ","BEST_FPERIOD_OVERRIDE=FQ","FILING_STATUS=OR","EQY_CONSOLIDATED=Y","Sort=A","Dates=H","DateFormat=P","Fill=—","Direction=H","UseDPDF=Y")</f>
        <v>#NAME?</v>
      </c>
      <c r="BU12" s="2" t="e">
        <f ca="1">_xll.BDH($C$3,"TOTAL_EQUITY_SEQUENTIAL_GROWTH","FQ4 2015","FQ4 2015","Currency=INR","Period=FQ","BEST_FPERIOD_OVERRIDE=FQ","FILING_STATUS=OR","EQY_CONSOLIDATED=Y","Sort=A","Dates=H","DateFormat=P","Fill=—","Direction=H","UseDPDF=Y")</f>
        <v>#NAME?</v>
      </c>
      <c r="BV12" s="2" t="e">
        <f ca="1">_xll.BDH($C$3,"TOTAL_CAPITAL_SEQUENTIAL_GROWTH","FQ4 2015","FQ4 2015","Currency=INR","Period=FQ","BEST_FPERIOD_OVERRIDE=FQ","FILING_STATUS=OR","EQY_CONSOLIDATED=Y","Sort=A","Dates=H","DateFormat=P","Fill=—","Direction=H","UseDPDF=Y")</f>
        <v>#NAME?</v>
      </c>
      <c r="BW12" s="2" t="e">
        <f ca="1">_xll.BDH($C$3,"BPS_SEQUENTIAL_GROWTH","FQ4 2015","FQ4 2015","Currency=INR","Period=FQ","BEST_FPERIOD_OVERRIDE=FQ","FILING_STATUS=OR","EQY_CONSOLIDATED=Y","Sort=A","Dates=H","DateFormat=P","Fill=—","Direction=H","UseDPDF=Y")</f>
        <v>#NAME?</v>
      </c>
      <c r="BX12" s="2" t="e">
        <f ca="1">_xll.BDH($C$3,"CFO_SEQUENTIAL_GROWTH","FQ4 2015","FQ4 2015","Currency=INR","Period=FQ","BEST_FPERIOD_OVERRIDE=FQ","FILING_STATUS=OR","EQY_CONSOLIDATED=Y","Sort=A","Dates=H","DateFormat=P","Fill=—","Direction=H","UseDPDF=Y")</f>
        <v>#NAME?</v>
      </c>
      <c r="BY12" s="3" t="e">
        <f ca="1">_xll.BDH($C$3,"SHORT_AND_LONG_TERM_DEBT","FQ4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12" s="3" t="e">
        <f ca="1">_xll.BDH($C$3,"BS_ST_BORROW","FQ4 2015","FQ4 2015","Currency=INR","Period=FQ","BEST_FPERIOD_OVERRIDE=FQ","FILING_STATUS=OR","EQY_CONSOLIDATED=Y","SCALING_FORMAT=MLN","Sort=A","Dates=H","DateFormat=P","Fill=—","Direction=H","UseDPDF=Y")</f>
        <v>#NAME?</v>
      </c>
      <c r="CA12" s="3" t="e">
        <f ca="1">_xll.BDH($C$3,"BS_LT_BORROW","FQ4 2015","FQ4 2015","Currency=INR","Period=FQ","BEST_FPERIOD_OVERRIDE=FQ","FILING_STATUS=OR","EQY_CONSOLIDATED=Y","SCALING_FORMAT=MLN","Sort=A","Dates=H","DateFormat=P","Fill=—","Direction=H","UseDPDF=Y")</f>
        <v>#NAME?</v>
      </c>
      <c r="CB12" s="2" t="e">
        <f ca="1">_xll.BDH($C$3,"TOT_DEBT_TO_EBITDA","FQ4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12" s="2" t="e">
        <f ca="1">_xll.BDH($C$3,"NET_DEBT_TO_EBITDA","FQ4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12" s="2" t="e">
        <f ca="1">_xll.BDH($C$3,"TOTAL_DEBT_TO_EBIT","FQ4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12" s="2" t="e">
        <f ca="1">_xll.BDH($C$3,"NET_DEBT_TO_EBIT","FQ4 2015","FQ4 2015","Currency=INR","Period=FQ","BEST_FPERIOD_OVERRIDE=FQ","FILING_STATUS=OR","EQY_CONSOLIDATED=Y","FA_ADJUSTED=GAAP","Sort=A","Dates=H","DateFormat=P","Fill=—","Direction=H","UseDPDF=Y")</f>
        <v>#NAME?</v>
      </c>
      <c r="CF12" s="2" t="e">
        <f ca="1">_xll.BDH($C$3,"EBITDA_TO_INTEREST_EXPN","FQ4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12" s="2" t="e">
        <f ca="1">_xll.BDH($C$3,"COM_EQY_TO_TOT_ASSET","FQ4 2015","FQ4 2015","Currency=INR","Period=FQ","BEST_FPERIOD_OVERRIDE=FQ","FILING_STATUS=OR","EQY_CONSOLIDATED=Y","Sort=A","Dates=H","DateFormat=P","Fill=—","Direction=H","UseDPDF=Y")</f>
        <v>#NAME?</v>
      </c>
      <c r="CH12" s="2" t="e">
        <f ca="1">_xll.BDH($C$3,"LT_DEBT_TO_TOT_EQY","FQ4 2015","FQ4 2015","Currency=INR","Period=FQ","BEST_FPERIOD_OVERRIDE=FQ","FILING_STATUS=OR","EQY_CONSOLIDATED=Y","Sort=A","Dates=H","DateFormat=P","Fill=—","Direction=H","UseDPDF=Y")</f>
        <v>#NAME?</v>
      </c>
      <c r="CI12" s="2" t="e">
        <f ca="1">_xll.BDH($C$3,"LT_DEBT_TO_TOT_CAP","FQ4 2015","FQ4 2015","Currency=INR","Period=FQ","BEST_FPERIOD_OVERRIDE=FQ","FILING_STATUS=OR","EQY_CONSOLIDATED=Y","Sort=A","Dates=H","DateFormat=P","Fill=—","Direction=H","UseDPDF=Y")</f>
        <v>#NAME?</v>
      </c>
      <c r="CJ12" s="2" t="e">
        <f ca="1">_xll.BDH($C$3,"LT_DEBT_TO_TOT_ASSET","FQ4 2015","FQ4 2015","Currency=INR","Period=FQ","BEST_FPERIOD_OVERRIDE=FQ","FILING_STATUS=OR","EQY_CONSOLIDATED=Y","Sort=A","Dates=H","DateFormat=P","Fill=—","Direction=H","UseDPDF=Y")</f>
        <v>#NAME?</v>
      </c>
      <c r="CK12" s="2" t="e">
        <f ca="1">_xll.BDH($C$3,"TOT_DEBT_TO_TOT_EQY","FQ4 2015","FQ4 2015","Currency=INR","Period=FQ","BEST_FPERIOD_OVERRIDE=FQ","FILING_STATUS=OR","EQY_CONSOLIDATED=Y","Sort=A","Dates=H","DateFormat=P","Fill=—","Direction=H","UseDPDF=Y")</f>
        <v>#NAME?</v>
      </c>
      <c r="CL12" s="2" t="e">
        <f ca="1">_xll.BDH($C$3,"TOT_DEBT_TO_TOT_CAP","FQ4 2015","FQ4 2015","Currency=INR","Period=FQ","BEST_FPERIOD_OVERRIDE=FQ","FILING_STATUS=OR","EQY_CONSOLIDATED=Y","Sort=A","Dates=H","DateFormat=P","Fill=—","Direction=H","UseDPDF=Y")</f>
        <v>#NAME?</v>
      </c>
      <c r="CM12" s="2" t="e">
        <f ca="1">_xll.BDH($C$3,"TOT_DEBT_TO_TOT_ASSET","FQ4 2015","FQ4 2015","Currency=INR","Period=FQ","BEST_FPERIOD_OVERRIDE=FQ","FILING_STATUS=OR","EQY_CONSOLIDATED=Y","Sort=A","Dates=H","DateFormat=P","Fill=—","Direction=H","UseDPDF=Y")</f>
        <v>#NAME?</v>
      </c>
      <c r="CN12" s="2" t="e">
        <f ca="1">_xll.BDH($C$3,"NET_DEBT_TO_SHRHLDR_EQTY","FQ4 2015","FQ4 2015","Currency=INR","Period=FQ","BEST_FPERIOD_OVERRIDE=FQ","FILING_STATUS=OR","EQY_CONSOLIDATED=Y","Sort=A","Dates=H","DateFormat=P","Fill=—","Direction=H","UseDPDF=Y")</f>
        <v>#NAME?</v>
      </c>
      <c r="CO12" s="2" t="e">
        <f ca="1">_xll.BDH($C$3,"NET_DEBT_%_CAPITAL","FQ4 2015","FQ4 2015","Currency=INR","Period=FQ","BEST_FPERIOD_OVERRIDE=FQ","FILING_STATUS=OR","EQY_CONSOLIDATED=Y","Sort=A","Dates=H","DateFormat=P","Fill=—","Direction=H","UseDPDF=Y")</f>
        <v>#NAME?</v>
      </c>
      <c r="CP12" s="3" t="e">
        <f ca="1">_xll.BDH($C$3,"EBITDA","FQ4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12" s="3" t="e">
        <f ca="1">_xll.BDH($C$3,"EBITDA_AFTER_CAPEX","FQ4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12" s="3" t="e">
        <f ca="1">_xll.BDH($C$3,"IS_OPER_INC","FQ4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12" s="2" t="e">
        <f ca="1">_xll.BDH($C$3,"CASH_RATIO","FQ4 2015","FQ4 2015","Currency=INR","Period=FQ","BEST_FPERIOD_OVERRIDE=FQ","FILING_STATUS=OR","EQY_CONSOLIDATED=Y","Sort=A","Dates=H","DateFormat=P","Fill=—","Direction=H","UseDPDF=Y")</f>
        <v>#NAME?</v>
      </c>
      <c r="CT12" s="2" t="e">
        <f ca="1">_xll.BDH($C$3,"CUR_RATIO","FQ4 2015","FQ4 2015","Currency=INR","Period=FQ","BEST_FPERIOD_OVERRIDE=FQ","FILING_STATUS=OR","EQY_CONSOLIDATED=Y","Sort=A","Dates=H","DateFormat=P","Fill=—","Direction=H","UseDPDF=Y")</f>
        <v>#NAME?</v>
      </c>
      <c r="CU12" s="2" t="e">
        <f ca="1">_xll.BDH($C$3,"QUICK_RATIO","FQ4 2015","FQ4 2015","Currency=INR","Period=FQ","BEST_FPERIOD_OVERRIDE=FQ","FILING_STATUS=OR","EQY_CONSOLIDATED=Y","Sort=A","Dates=H","DateFormat=P","Fill=—","Direction=H","UseDPDF=Y")</f>
        <v>#NAME?</v>
      </c>
      <c r="CV12" s="2" t="e">
        <f ca="1">_xll.BDH($C$3,"ALTMAN_Z_SCORE","FQ4 2015","FQ4 2015","Currency=INR","Period=FQ","BEST_FPERIOD_OVERRIDE=FQ","FILING_STATUS=OR","EQY_CONSOLIDATED=Y","Sort=A","Dates=H","DateFormat=P","Fill=—","Direction=H","UseDPDF=Y")</f>
        <v>#NAME?</v>
      </c>
      <c r="CW12" s="4" t="e">
        <f ca="1">_xll.BDH($C$3,"ACCT_RCV_TURN","FQ4 2015","FQ4 2015","Currency=INR","Period=FQ","BEST_FPERIOD_OVERRIDE=FQ","FILING_STATUS=OR","EQY_CONSOLIDATED=Y","FA_ADJUSTED=GAAP","Sort=A","Dates=H","DateFormat=P","Fill=—","Direction=H","UseDPDF=Y")</f>
        <v>#NAME?</v>
      </c>
      <c r="CX12" s="2" t="e">
        <f ca="1">_xll.BDH($C$3,"ACCT_RCV_DAYS","FQ4 2015","FQ4 2015","Currency=INR","Period=FQ","BEST_FPERIOD_OVERRIDE=FQ","FILING_STATUS=OR","EQY_CONSOLIDATED=Y","FA_ADJUSTED=GAAP","Sort=A","Dates=H","DateFormat=P","Fill=—","Direction=H","UseDPDF=Y")</f>
        <v>#NAME?</v>
      </c>
      <c r="CY12" s="4" t="e">
        <f ca="1">_xll.BDH($C$3,"INVENT_TURN","FQ4 2015","FQ4 2015","Currency=INR","Period=FQ","BEST_FPERIOD_OVERRIDE=FQ","FILING_STATUS=OR","EQY_CONSOLIDATED=Y","FA_ADJUSTED=GAAP","Sort=A","Dates=H","DateFormat=P","Fill=—","Direction=H","UseDPDF=Y")</f>
        <v>#NAME?</v>
      </c>
      <c r="CZ12" s="2" t="e">
        <f ca="1">_xll.BDH($C$3,"INVENT_DAYS","FQ4 2015","FQ4 2015","Currency=INR","Period=FQ","BEST_FPERIOD_OVERRIDE=FQ","FILING_STATUS=OR","EQY_CONSOLIDATED=Y","FA_ADJUSTED=GAAP","Sort=A","Dates=H","DateFormat=P","Fill=—","Direction=H","UseDPDF=Y")</f>
        <v>#NAME?</v>
      </c>
      <c r="DA12" s="4" t="e">
        <f ca="1">_xll.BDH($C$3,"ACCOUNTS_PAYABLE_TURNOVER","FQ4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12" s="2" t="e">
        <f ca="1">_xll.BDH($C$3,"ACCOUNTS_PAYABLE_TURNOVER_DAYS","FQ4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12" s="4" t="e">
        <f ca="1">_xll.BDH($C$3,"CASH_CONVERSION_CYCLE","FQ4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12" s="4" t="e">
        <f ca="1">_xll.BDH($C$3,"INV_TO_CASH_DAYS","FQ4 2015","FQ4 2015","Currency=INR","Period=FQ","BEST_FPERIOD_OVERRIDE=FQ","FILING_STATUS=OR","EQY_CONSOLIDATED=Y","FA_ADJUSTED=GAAP","Sort=A","Dates=H","DateFormat=P","Fill=—","Direction=H","UseDPDF=Y")</f>
        <v>#NAME?</v>
      </c>
      <c r="DE12" s="5" t="e">
        <f ca="1">_xll.BDH($C$3,"BS_INVENTORIES","FQ4 2015","FQ4 2015","Currency=INR","Period=FQ","BEST_FPERIOD_OVERRIDE=FQ","FILING_STATUS=OR","EQY_CONSOLIDATED=Y","SCALING_FORMAT=MLN","Sort=A","Dates=H","DateFormat=P","Fill=—","Direction=H","UseDPDF=Y")</f>
        <v>#NAME?</v>
      </c>
      <c r="DF12" s="3" t="e">
        <f ca="1">_xll.BDH($C$3,"INVTRY_RAW_MATERIALS","FQ4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12" s="3" t="e">
        <f ca="1">_xll.BDH($C$3,"INVTRY_IN_PROGRESS","FQ4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12" s="3" t="e">
        <f ca="1">_xll.BDH($C$3,"INVTRY_FINISHED_GOODS","FQ4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12" s="3" t="e">
        <f ca="1">_xll.BDH($C$3,"BS_OTHER_INV","FQ4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13" spans="1:113" x14ac:dyDescent="0.3">
      <c r="A13" s="6"/>
      <c r="B13" s="6"/>
      <c r="C13" s="6"/>
      <c r="D13" s="6" t="s">
        <v>83</v>
      </c>
      <c r="E13" t="s">
        <v>77</v>
      </c>
      <c r="F13" t="e">
        <f ca="1">_xll.BDH($C$3,"RETURN_COM_EQY","FY 2016","FY 2016","Currency=INR","Period=FY","BEST_FPERIOD_OVERRIDE=FY","FILING_STATUS=OR","EQY_CONSOLIDATED=Y","FA_ADJUSTED=GAAP","Sort=A","Dates=H","DateFormat=P","Fill=—","Direction=H","UseDPDF=Y")</f>
        <v>#NAME?</v>
      </c>
      <c r="G13" t="e">
        <f ca="1">_xll.BDH($C$3,"RETURN_ON_ASSET","FY 2016","FY 2016","Currency=INR","Period=FY","BEST_FPERIOD_OVERRIDE=FY","FILING_STATUS=OR","EQY_CONSOLIDATED=Y","FA_ADJUSTED=GAAP","Sort=A","Dates=H","DateFormat=P","Fill=—","Direction=H","UseDPDF=Y")</f>
        <v>#NAME?</v>
      </c>
      <c r="H13" t="e">
        <f ca="1">_xll.BDH($C$3,"RETURN_ON_CAP","FY 2016","FY 2016","Currency=INR","Period=FY","BEST_FPERIOD_OVERRIDE=FY","FILING_STATUS=OR","EQY_CONSOLIDATED=Y","FA_ADJUSTED=GAAP","Sort=A","Dates=H","DateFormat=P","Fill=—","Direction=H","UseDPDF=Y")</f>
        <v>#NAME?</v>
      </c>
      <c r="I13" t="e">
        <f ca="1">_xll.BDH($C$3,"RETURN_ON_INV_CAPITAL","FY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13" t="e">
        <f ca="1">_xll.BDH($C$3,"EBITDA_TO_REVENUE","FY 2016","FY 2016","Currency=INR","Period=FY","BEST_FPERIOD_OVERRIDE=FY","FILING_STATUS=OR","EQY_CONSOLIDATED=Y","FA_ADJUSTED=GAAP","Sort=A","Dates=H","DateFormat=P","Fill=—","Direction=H","UseDPDF=Y")</f>
        <v>#NAME?</v>
      </c>
      <c r="K13" t="e">
        <f ca="1">_xll.BDH($C$3,"OPER_MARGIN","FY 2016","FY 2016","Currency=INR","Period=FY","BEST_FPERIOD_OVERRIDE=FY","FILING_STATUS=OR","EQY_CONSOLIDATED=Y","FA_ADJUSTED=GAAP","Sort=A","Dates=H","DateFormat=P","Fill=—","Direction=H","UseDPDF=Y")</f>
        <v>#NAME?</v>
      </c>
      <c r="L13" t="e">
        <f ca="1">_xll.BDH($C$3,"INCREMENTAL_OPERATING_MARGIN","FY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13" t="e">
        <f ca="1">_xll.BDH($C$3,"PRETAX_INC_TO_NET_SALES","FY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13" t="e">
        <f ca="1">_xll.BDH($C$3,"INC_BEF_XO_ITEMS_TO_NET_SALES","FY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13" t="e">
        <f ca="1">_xll.BDH($C$3,"PROF_MARGIN","FY 2016","FY 2016","Currency=INR","Period=FY","BEST_FPERIOD_OVERRIDE=FY","FILING_STATUS=OR","EQY_CONSOLIDATED=Y","FA_ADJUSTED=GAAP","Sort=A","Dates=H","DateFormat=P","Fill=—","Direction=H","UseDPDF=Y")</f>
        <v>#NAME?</v>
      </c>
      <c r="P13" t="e">
        <f ca="1">_xll.BDH($C$3,"NET_INCOME_TO_COMMON_MARGIN","FY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13" t="e">
        <f ca="1">_xll.BDH($C$3,"EFF_TAX_RATE","FY 2016","FY 2016","Currency=INR","Period=FY","BEST_FPERIOD_OVERRIDE=FY","FILING_STATUS=OR","EQY_CONSOLIDATED=Y","FA_ADJUSTED=GAAP","Sort=A","Dates=H","DateFormat=P","Fill=—","Direction=H","UseDPDF=Y")</f>
        <v>#NAME?</v>
      </c>
      <c r="R13" t="e">
        <f ca="1">_xll.BDH($C$3,"DVD_PAYOUT_RATIO","FY 2016","FY 2016","Currency=INR","Period=FY","BEST_FPERIOD_OVERRIDE=FY","FILING_STATUS=OR","EQY_CONSOLIDATED=Y","FA_ADJUSTED=GAAP","Sort=A","Dates=H","DateFormat=P","Fill=—","Direction=H","UseDPDF=Y")</f>
        <v>#NAME?</v>
      </c>
      <c r="S13" t="e">
        <f ca="1">_xll.BDH($C$3,"SUSTAIN_GROWTH_RT","FY 2016","FY 2016","Currency=INR","Period=FY","BEST_FPERIOD_OVERRIDE=FY","FILING_STATUS=OR","EQY_CONSOLIDATED=Y","FA_ADJUSTED=GAAP","Sort=A","Dates=H","DateFormat=P","Fill=—","Direction=H","UseDPDF=Y")</f>
        <v>#NAME?</v>
      </c>
      <c r="T13" s="2" t="e">
        <f ca="1">_xll.BDH($C$3,"SALES_GROWTH","FY 2016","FY 2016","Currency=INR","Period=FY","BEST_FPERIOD_OVERRIDE=FY","FILING_STATUS=OR","EQY_CONSOLIDATED=Y","FA_ADJUSTED=GAAP","Sort=A","Dates=H","DateFormat=P","Fill=—","Direction=H","UseDPDF=Y")</f>
        <v>#NAME?</v>
      </c>
      <c r="U13" s="2" t="e">
        <f ca="1">_xll.BDH($C$3,"EBITDA_GROWTH","FY 2016","FY 2016","Currency=INR","Period=FY","BEST_FPERIOD_OVERRIDE=FY","FILING_STATUS=OR","EQY_CONSOLIDATED=Y","FA_ADJUSTED=GAAP","Sort=A","Dates=H","DateFormat=P","Fill=—","Direction=H","UseDPDF=Y")</f>
        <v>#NAME?</v>
      </c>
      <c r="V13" s="2" t="e">
        <f ca="1">_xll.BDH($C$3,"OPER_INC_GROWTH","FY 2016","FY 2016","Currency=INR","Period=FY","BEST_FPERIOD_OVERRIDE=FY","FILING_STATUS=OR","EQY_CONSOLIDATED=Y","FA_ADJUSTED=GAAP","Sort=A","Dates=H","DateFormat=P","Fill=—","Direction=H","UseDPDF=Y")</f>
        <v>#NAME?</v>
      </c>
      <c r="W13" s="2" t="e">
        <f ca="1">_xll.BDH($C$3,"EARN_FOR_COM_GROWTH","FY 2016","FY 2016","Currency=INR","Period=FY","BEST_FPERIOD_OVERRIDE=FY","FILING_STATUS=OR","EQY_CONSOLIDATED=Y","FA_ADJUSTED=GAAP","Sort=A","Dates=H","DateFormat=P","Fill=—","Direction=H","UseDPDF=Y")</f>
        <v>#NAME?</v>
      </c>
      <c r="X13" s="2" t="e">
        <f ca="1">_xll.BDH($C$3,"DILUTED_EPS_AFT_XO_ITEMS_GROWTH","FY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13" s="2" t="e">
        <f ca="1">_xll.BDH($C$3,"DIVIDEND_PER_SHARE_1_YEAR_GROWTH","FY 2016","FY 2016","Currency=INR","Period=FY","BEST_FPERIOD_OVERRIDE=FY","FILING_STATUS=OR","EQY_CONSOLIDATED=Y","Sort=A","Dates=H","DateFormat=P","Fill=—","Direction=H","UseDPDF=Y")</f>
        <v>#NAME?</v>
      </c>
      <c r="Z13" s="2" t="e">
        <f ca="1">_xll.BDH($C$3,"ACCOUNTS_RECEIVABLE_GROWTH","FY 2016","FY 2016","Currency=INR","Period=FY","BEST_FPERIOD_OVERRIDE=FY","FILING_STATUS=OR","EQY_CONSOLIDATED=Y","Sort=A","Dates=H","DateFormat=P","Fill=—","Direction=H","UseDPDF=Y")</f>
        <v>#NAME?</v>
      </c>
      <c r="AA13" s="2" t="e">
        <f ca="1">_xll.BDH($C$3,"INVENTORY_GROWTH","FY 2016","FY 2016","Currency=INR","Period=FY","BEST_FPERIOD_OVERRIDE=FY","FILING_STATUS=OR","EQY_CONSOLIDATED=Y","Sort=A","Dates=H","DateFormat=P","Fill=—","Direction=H","UseDPDF=Y")</f>
        <v>#NAME?</v>
      </c>
      <c r="AB13" s="2" t="e">
        <f ca="1">_xll.BDH($C$3,"NET_FIXED_ASSETS_1_YEAR_GROWTH","FY 2016","FY 2016","Currency=INR","Period=FY","BEST_FPERIOD_OVERRIDE=FY","FILING_STATUS=OR","EQY_CONSOLIDATED=Y","Sort=A","Dates=H","DateFormat=P","Fill=—","Direction=H","UseDPDF=Y")</f>
        <v>#NAME?</v>
      </c>
      <c r="AC13" s="2" t="e">
        <f ca="1">_xll.BDH($C$3,"ASSET_GROWTH","FY 2016","FY 2016","Currency=INR","Period=FY","BEST_FPERIOD_OVERRIDE=FY","FILING_STATUS=OR","EQY_CONSOLIDATED=Y","Sort=A","Dates=H","DateFormat=P","Fill=—","Direction=H","UseDPDF=Y")</f>
        <v>#NAME?</v>
      </c>
      <c r="AD13" s="2" t="e">
        <f ca="1">_xll.BDH($C$3,"MODIFIED_WORK_CAP_GROWTH","FY 2016","FY 2016","Currency=INR","Period=FY","BEST_FPERIOD_OVERRIDE=FY","FILING_STATUS=OR","EQY_CONSOLIDATED=Y","Sort=A","Dates=H","DateFormat=P","Fill=—","Direction=H","UseDPDF=Y")</f>
        <v>#NAME?</v>
      </c>
      <c r="AE13" s="2" t="e">
        <f ca="1">_xll.BDH($C$3,"WORK_CAP_GROWTH","FY 2016","FY 2016","Currency=INR","Period=FY","BEST_FPERIOD_OVERRIDE=FY","FILING_STATUS=OR","EQY_CONSOLIDATED=Y","Sort=A","Dates=H","DateFormat=P","Fill=—","Direction=H","UseDPDF=Y")</f>
        <v>#NAME?</v>
      </c>
      <c r="AF13" s="2" t="e">
        <f ca="1">_xll.BDH($C$3,"ACCOUNTS_PAYABLE_GROWTH_1YR","FY 2016","FY 2016","Currency=INR","Period=FY","BEST_FPERIOD_OVERRIDE=FY","FILING_STATUS=OR","EQY_CONSOLIDATED=Y","Sort=A","Dates=H","DateFormat=P","Fill=—","Direction=H","UseDPDF=Y")</f>
        <v>#NAME?</v>
      </c>
      <c r="AG13" s="2" t="e">
        <f ca="1">_xll.BDH($C$3,"SHORT_TERM_DEBT_1_YEAR_GROWTH","FY 2016","FY 2016","Currency=INR","Period=FY","BEST_FPERIOD_OVERRIDE=FY","FILING_STATUS=OR","EQY_CONSOLIDATED=Y","Sort=A","Dates=H","DateFormat=P","Fill=—","Direction=H","UseDPDF=Y")</f>
        <v>#NAME?</v>
      </c>
      <c r="AH13" s="2" t="e">
        <f ca="1">_xll.BDH($C$3,"TOTAL_DEBT_1_YEAR_GROWTH","FY 2016","FY 2016","Currency=INR","Period=FY","BEST_FPERIOD_OVERRIDE=FY","FILING_STATUS=OR","EQY_CONSOLIDATED=Y","Sort=A","Dates=H","DateFormat=P","Fill=—","Direction=H","UseDPDF=Y")</f>
        <v>#NAME?</v>
      </c>
      <c r="AI13" s="2" t="e">
        <f ca="1">_xll.BDH($C$3,"TOTAL_EQUITY_1_YEAR_GROWTH","FY 2016","FY 2016","Currency=INR","Period=FY","BEST_FPERIOD_OVERRIDE=FY","FILING_STATUS=OR","EQY_CONSOLIDATED=Y","Sort=A","Dates=H","DateFormat=P","Fill=—","Direction=H","UseDPDF=Y")</f>
        <v>#NAME?</v>
      </c>
      <c r="AJ13" s="2" t="e">
        <f ca="1">_xll.BDH($C$3,"GROWTH_IN_CAP","FY 2016","FY 2016","Currency=INR","Period=FY","BEST_FPERIOD_OVERRIDE=FY","FILING_STATUS=OR","EQY_CONSOLIDATED=Y","Sort=A","Dates=H","DateFormat=P","Fill=—","Direction=H","UseDPDF=Y")</f>
        <v>#NAME?</v>
      </c>
      <c r="AK13" s="2" t="e">
        <f ca="1">_xll.BDH($C$3,"BVPS_GROWTH","FY 2016","FY 2016","Currency=INR","Period=FY","BEST_FPERIOD_OVERRIDE=FY","FILING_STATUS=OR","EQY_CONSOLIDATED=Y","Sort=A","Dates=H","DateFormat=P","Fill=—","Direction=H","UseDPDF=Y")</f>
        <v>#NAME?</v>
      </c>
      <c r="AL13" s="2" t="e">
        <f ca="1">_xll.BDH($C$3,"CASH_FLOW_GROWTH","FY 2016","FY 2016","Currency=INR","Period=FY","BEST_FPERIOD_OVERRIDE=FY","FILING_STATUS=OR","EQY_CONSOLIDATED=Y","Sort=A","Dates=H","DateFormat=P","Fill=—","Direction=H","UseDPDF=Y")</f>
        <v>#NAME?</v>
      </c>
      <c r="AM13" s="2" t="e">
        <f ca="1">_xll.BDH($C$3,"GEO_GROW_NET_SALES","FY 2016","FY 2016","Currency=INR","Period=FY","BEST_FPERIOD_OVERRIDE=FY","FILING_STATUS=OR","EQY_CONSOLIDATED=Y","FA_ADJUSTED=GAAP","Sort=A","Dates=H","DateFormat=P","Fill=—","Direction=H","UseDPDF=Y")</f>
        <v>#NAME?</v>
      </c>
      <c r="AN13" s="2" t="e">
        <f ca="1">_xll.BDH($C$3,"GEO_GROW_EBITDA","FY 2016","FY 2016","Currency=INR","Period=FY","BEST_FPERIOD_OVERRIDE=FY","FILING_STATUS=OR","EQY_CONSOLIDATED=Y","FA_ADJUSTED=GAAP","Sort=A","Dates=H","DateFormat=P","Fill=—","Direction=H","UseDPDF=Y")</f>
        <v>#NAME?</v>
      </c>
      <c r="AO13" s="2" t="e">
        <f ca="1">_xll.BDH($C$3,"GEO_GROW_OPER_INC","FY 2016","FY 2016","Currency=INR","Period=FY","BEST_FPERIOD_OVERRIDE=FY","FILING_STATUS=OR","EQY_CONSOLIDATED=Y","FA_ADJUSTED=GAAP","Sort=A","Dates=H","DateFormat=P","Fill=—","Direction=H","UseDPDF=Y")</f>
        <v>#NAME?</v>
      </c>
      <c r="AP13" s="2" t="e">
        <f ca="1">_xll.BDH($C$3,"NET_INCOME_TO_COMMON_5_YR_GROWTH","FY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13" s="2" t="e">
        <f ca="1">_xll.BDH($C$3,"5Y_GEO_GROWTH_DILUTED_EPS","FY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13" s="2" t="e">
        <f ca="1">_xll.BDH($C$3,"GEO_GROW_DVD_PER_SH","FY 2016","FY 2016","Currency=INR","Period=FY","BEST_FPERIOD_OVERRIDE=FY","FILING_STATUS=OR","EQY_CONSOLIDATED=Y","Sort=A","Dates=H","DateFormat=P","Fill=—","Direction=H","UseDPDF=Y")</f>
        <v>#NAME?</v>
      </c>
      <c r="AS13" s="2" t="e">
        <f ca="1">_xll.BDH($C$3,"ACCOUNTS_RECEIVABLE_5_YR_GROWTH","FY 2016","FY 2016","Currency=INR","Period=FY","BEST_FPERIOD_OVERRIDE=FY","FILING_STATUS=OR","EQY_CONSOLIDATED=Y","Sort=A","Dates=H","DateFormat=P","Fill=—","Direction=H","UseDPDF=Y")</f>
        <v>#NAME?</v>
      </c>
      <c r="AT13" s="2" t="e">
        <f ca="1">_xll.BDH($C$3,"INVENTORY_5_YEAR_GROWTH","FY 2016","FY 2016","Currency=INR","Period=FY","BEST_FPERIOD_OVERRIDE=FY","FILING_STATUS=OR","EQY_CONSOLIDATED=Y","Sort=A","Dates=H","DateFormat=P","Fill=—","Direction=H","UseDPDF=Y")</f>
        <v>#NAME?</v>
      </c>
      <c r="AU13" s="2" t="e">
        <f ca="1">_xll.BDH($C$3,"NET_FIXED_ASSETS_5_YEAR_GROWTH","FY 2016","FY 2016","Currency=INR","Period=FY","BEST_FPERIOD_OVERRIDE=FY","FILING_STATUS=OR","EQY_CONSOLIDATED=Y","Sort=A","Dates=H","DateFormat=P","Fill=—","Direction=H","UseDPDF=Y")</f>
        <v>#NAME?</v>
      </c>
      <c r="AV13" s="2" t="e">
        <f ca="1">_xll.BDH($C$3,"GEO_GROW_TOT_ASSET","FY 2016","FY 2016","Currency=INR","Period=FY","BEST_FPERIOD_OVERRIDE=FY","FILING_STATUS=OR","EQY_CONSOLIDATED=Y","Sort=A","Dates=H","DateFormat=P","Fill=—","Direction=H","UseDPDF=Y")</f>
        <v>#NAME?</v>
      </c>
      <c r="AW13" s="2" t="e">
        <f ca="1">_xll.BDH($C$3,"MODIFIED_WORKING_CPTL_5YR_GRWTH","FY 2016","FY 2016","Currency=INR","Period=FY","BEST_FPERIOD_OVERRIDE=FY","FILING_STATUS=OR","EQY_CONSOLIDATED=Y","Sort=A","Dates=H","DateFormat=P","Fill=—","Direction=H","UseDPDF=Y")</f>
        <v>#NAME?</v>
      </c>
      <c r="AX13" s="2" t="e">
        <f ca="1">_xll.BDH($C$3,"WORKING_CAPITAL_5_YEAR_GROWTH","FY 2016","FY 2016","Currency=INR","Period=FY","BEST_FPERIOD_OVERRIDE=FY","FILING_STATUS=OR","EQY_CONSOLIDATED=Y","Sort=A","Dates=H","DateFormat=P","Fill=—","Direction=H","UseDPDF=Y")</f>
        <v>#NAME?</v>
      </c>
      <c r="AY13" s="2" t="e">
        <f ca="1">_xll.BDH($C$3,"ACCOUNTS_PAYABLE_5_YEAR_GROWTH","FY 2016","FY 2016","Currency=INR","Period=FY","BEST_FPERIOD_OVERRIDE=FY","FILING_STATUS=OR","EQY_CONSOLIDATED=Y","Sort=A","Dates=H","DateFormat=P","Fill=—","Direction=H","UseDPDF=Y")</f>
        <v>#NAME?</v>
      </c>
      <c r="AZ13" s="2" t="e">
        <f ca="1">_xll.BDH($C$3,"SHORT_TERM_DEBT_5_YEAR_GROWTH","FY 2016","FY 2016","Currency=INR","Period=FY","BEST_FPERIOD_OVERRIDE=FY","FILING_STATUS=OR","EQY_CONSOLIDATED=Y","Sort=A","Dates=H","DateFormat=P","Fill=—","Direction=H","UseDPDF=Y")</f>
        <v>#NAME?</v>
      </c>
      <c r="BA13" s="2" t="e">
        <f ca="1">_xll.BDH($C$3,"TOTAL_DEBT_5_YEAR_GROWTH","FY 2016","FY 2016","Currency=INR","Period=FY","BEST_FPERIOD_OVERRIDE=FY","FILING_STATUS=OR","EQY_CONSOLIDATED=Y","Sort=A","Dates=H","DateFormat=P","Fill=—","Direction=H","UseDPDF=Y")</f>
        <v>#NAME?</v>
      </c>
      <c r="BB13" s="2" t="e">
        <f ca="1">_xll.BDH($C$3,"GEO_GROW_TOT_SHRHLDR_EQY","FY 2016","FY 2016","Currency=INR","Period=FY","BEST_FPERIOD_OVERRIDE=FY","FILING_STATUS=OR","EQY_CONSOLIDATED=Y","Sort=A","Dates=H","DateFormat=P","Fill=—","Direction=H","UseDPDF=Y")</f>
        <v>#NAME?</v>
      </c>
      <c r="BC13" s="2" t="e">
        <f ca="1">_xll.BDH($C$3,"TOTAL_CAPITAL_5_YEAR_GROWTH","FY 2016","FY 2016","Currency=INR","Period=FY","BEST_FPERIOD_OVERRIDE=FY","FILING_STATUS=OR","EQY_CONSOLIDATED=Y","Sort=A","Dates=H","DateFormat=P","Fill=—","Direction=H","UseDPDF=Y")</f>
        <v>#NAME?</v>
      </c>
      <c r="BD13" s="2" t="e">
        <f ca="1">_xll.BDH($C$3,"GEO_GROW_BOOK_VAL","FY 2016","FY 2016","Currency=INR","Period=FY","BEST_FPERIOD_OVERRIDE=FY","FILING_STATUS=OR","EQY_CONSOLIDATED=Y","Sort=A","Dates=H","DateFormat=P","Fill=—","Direction=H","UseDPDF=Y")</f>
        <v>#NAME?</v>
      </c>
      <c r="BE13" s="2" t="e">
        <f ca="1">_xll.BDH($C$3,"GEO_GROW_CASH_OPER_ACT","FY 2016","FY 2016","Currency=INR","Period=FY","BEST_FPERIOD_OVERRIDE=FY","FILING_STATUS=OR","EQY_CONSOLIDATED=Y","Sort=A","Dates=H","DateFormat=P","Fill=—","Direction=H","UseDPDF=Y")</f>
        <v>#NAME?</v>
      </c>
      <c r="BF13" s="2" t="e">
        <f ca="1">_xll.BDH($C$3,"REVENUE_SEQUENTIAL_GROWTH","FY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13" s="2" t="e">
        <f ca="1">_xll.BDH($C$3,"EBITDA_SEQUENTIAL_GROWTH","FY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13" s="2" t="e">
        <f ca="1">_xll.BDH($C$3,"OPERATING_INCOME_SEQ_GROWTH","FY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13" s="2" t="e">
        <f ca="1">_xll.BDH($C$3,"NET_INCOME_TO_COMMON_SEQ_GROWTH","FY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13" s="2" t="e">
        <f ca="1">_xll.BDH($C$3,"EPS_DILUTED_SEQUENTIAL_GROWTH","FY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13" s="2" t="e">
        <f ca="1">_xll.BDH($C$3,"DPS_SEQUENTIAL_GROWTH","FY 2016","FY 2016","Currency=INR","Period=FY","BEST_FPERIOD_OVERRIDE=FY","FILING_STATUS=OR","EQY_CONSOLIDATED=Y","Sort=A","Dates=H","DateFormat=P","Fill=—","Direction=H","UseDPDF=Y")</f>
        <v>#NAME?</v>
      </c>
      <c r="BL13" s="2" t="e">
        <f ca="1">_xll.BDH($C$3,"ACCOUNTS_RECEIVABLE_SEQ_GROWTH","FY 2016","FY 2016","Currency=INR","Period=FY","BEST_FPERIOD_OVERRIDE=FY","FILING_STATUS=OR","EQY_CONSOLIDATED=Y","Sort=A","Dates=H","DateFormat=P","Fill=—","Direction=H","UseDPDF=Y")</f>
        <v>#NAME?</v>
      </c>
      <c r="BM13" s="2" t="e">
        <f ca="1">_xll.BDH($C$3,"INVENTORY_SEQUENTIAL_GROWTH","FY 2016","FY 2016","Currency=INR","Period=FY","BEST_FPERIOD_OVERRIDE=FY","FILING_STATUS=OR","EQY_CONSOLIDATED=Y","Sort=A","Dates=H","DateFormat=P","Fill=—","Direction=H","UseDPDF=Y")</f>
        <v>#NAME?</v>
      </c>
      <c r="BN13" s="2" t="e">
        <f ca="1">_xll.BDH($C$3,"FIXED_ASSETS_SEQUENTIAL_GROWTH","FY 2016","FY 2016","Currency=INR","Period=FY","BEST_FPERIOD_OVERRIDE=FY","FILING_STATUS=OR","EQY_CONSOLIDATED=Y","Sort=A","Dates=H","DateFormat=P","Fill=—","Direction=H","UseDPDF=Y")</f>
        <v>#NAME?</v>
      </c>
      <c r="BO13" s="2" t="e">
        <f ca="1">_xll.BDH($C$3,"TOTAL_ASSETS_SEQUENTIAL_GROWTH","FY 2016","FY 2016","Currency=INR","Period=FY","BEST_FPERIOD_OVERRIDE=FY","FILING_STATUS=OR","EQY_CONSOLIDATED=Y","Sort=A","Dates=H","DateFormat=P","Fill=—","Direction=H","UseDPDF=Y")</f>
        <v>#NAME?</v>
      </c>
      <c r="BP13" s="2" t="e">
        <f ca="1">_xll.BDH($C$3,"MODIFIED_WORKING_CPTL_SEQ_GRWTH","FY 2016","FY 2016","Currency=INR","Period=FY","BEST_FPERIOD_OVERRIDE=FY","FILING_STATUS=OR","EQY_CONSOLIDATED=Y","Sort=A","Dates=H","DateFormat=P","Fill=—","Direction=H","UseDPDF=Y")</f>
        <v>#NAME?</v>
      </c>
      <c r="BQ13" s="2" t="e">
        <f ca="1">_xll.BDH($C$3,"WORKING_CAPITAL_SEQ_GROWTH","FY 2016","FY 2016","Currency=INR","Period=FY","BEST_FPERIOD_OVERRIDE=FY","FILING_STATUS=OR","EQY_CONSOLIDATED=Y","Sort=A","Dates=H","DateFormat=P","Fill=—","Direction=H","UseDPDF=Y")</f>
        <v>#NAME?</v>
      </c>
      <c r="BR13" s="2" t="e">
        <f ca="1">_xll.BDH($C$3,"ACCOUNTS_PAYABLE_SEQ_GROWTH","FY 2016","FY 2016","Currency=INR","Period=FY","BEST_FPERIOD_OVERRIDE=FY","FILING_STATUS=OR","EQY_CONSOLIDATED=Y","Sort=A","Dates=H","DateFormat=P","Fill=—","Direction=H","UseDPDF=Y")</f>
        <v>#NAME?</v>
      </c>
      <c r="BS13" s="2" t="e">
        <f ca="1">_xll.BDH($C$3,"ST_DEBT_SEQUENTIAL_GROWTH","FY 2016","FY 2016","Currency=INR","Period=FY","BEST_FPERIOD_OVERRIDE=FY","FILING_STATUS=OR","EQY_CONSOLIDATED=Y","Sort=A","Dates=H","DateFormat=P","Fill=—","Direction=H","UseDPDF=Y")</f>
        <v>#NAME?</v>
      </c>
      <c r="BT13" s="2" t="e">
        <f ca="1">_xll.BDH($C$3,"TOTAL_DEBT_SEQUENTIAL_GROWTH","FY 2016","FY 2016","Currency=INR","Period=FY","BEST_FPERIOD_OVERRIDE=FY","FILING_STATUS=OR","EQY_CONSOLIDATED=Y","Sort=A","Dates=H","DateFormat=P","Fill=—","Direction=H","UseDPDF=Y")</f>
        <v>#NAME?</v>
      </c>
      <c r="BU13" s="2" t="e">
        <f ca="1">_xll.BDH($C$3,"TOTAL_EQUITY_SEQUENTIAL_GROWTH","FY 2016","FY 2016","Currency=INR","Period=FY","BEST_FPERIOD_OVERRIDE=FY","FILING_STATUS=OR","EQY_CONSOLIDATED=Y","Sort=A","Dates=H","DateFormat=P","Fill=—","Direction=H","UseDPDF=Y")</f>
        <v>#NAME?</v>
      </c>
      <c r="BV13" s="2" t="e">
        <f ca="1">_xll.BDH($C$3,"TOTAL_CAPITAL_SEQUENTIAL_GROWTH","FY 2016","FY 2016","Currency=INR","Period=FY","BEST_FPERIOD_OVERRIDE=FY","FILING_STATUS=OR","EQY_CONSOLIDATED=Y","Sort=A","Dates=H","DateFormat=P","Fill=—","Direction=H","UseDPDF=Y")</f>
        <v>#NAME?</v>
      </c>
      <c r="BW13" s="2" t="e">
        <f ca="1">_xll.BDH($C$3,"BPS_SEQUENTIAL_GROWTH","FY 2016","FY 2016","Currency=INR","Period=FY","BEST_FPERIOD_OVERRIDE=FY","FILING_STATUS=OR","EQY_CONSOLIDATED=Y","Sort=A","Dates=H","DateFormat=P","Fill=—","Direction=H","UseDPDF=Y")</f>
        <v>#NAME?</v>
      </c>
      <c r="BX13" s="2" t="e">
        <f ca="1">_xll.BDH($C$3,"CFO_SEQUENTIAL_GROWTH","FY 2016","FY 2016","Currency=INR","Period=FY","BEST_FPERIOD_OVERRIDE=FY","FILING_STATUS=OR","EQY_CONSOLIDATED=Y","Sort=A","Dates=H","DateFormat=P","Fill=—","Direction=H","UseDPDF=Y")</f>
        <v>#NAME?</v>
      </c>
      <c r="BY13" s="3" t="e">
        <f ca="1">_xll.BDH($C$3,"SHORT_AND_LONG_TERM_DEBT","FY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13" s="3" t="e">
        <f ca="1">_xll.BDH($C$3,"BS_ST_BORROW","FY 2016","FY 2016","Currency=INR","Period=FY","BEST_FPERIOD_OVERRIDE=FY","FILING_STATUS=OR","EQY_CONSOLIDATED=Y","SCALING_FORMAT=MLN","Sort=A","Dates=H","DateFormat=P","Fill=—","Direction=H","UseDPDF=Y")</f>
        <v>#NAME?</v>
      </c>
      <c r="CA13" s="3" t="e">
        <f ca="1">_xll.BDH($C$3,"BS_LT_BORROW","FY 2016","FY 2016","Currency=INR","Period=FY","BEST_FPERIOD_OVERRIDE=FY","FILING_STATUS=OR","EQY_CONSOLIDATED=Y","SCALING_FORMAT=MLN","Sort=A","Dates=H","DateFormat=P","Fill=—","Direction=H","UseDPDF=Y")</f>
        <v>#NAME?</v>
      </c>
      <c r="CB13" s="2" t="e">
        <f ca="1">_xll.BDH($C$3,"TOT_DEBT_TO_EBITDA","FY 2016","FY 2016","Currency=INR","Period=FY","BEST_FPERIOD_OVERRIDE=FY","FILING_STATUS=OR","EQY_CONSOLIDATED=Y","FA_ADJUSTED=GAAP","Sort=A","Dates=H","DateFormat=P","Fill=—","Direction=H","UseDPDF=Y")</f>
        <v>#NAME?</v>
      </c>
      <c r="CC13" s="2" t="e">
        <f ca="1">_xll.BDH($C$3,"NET_DEBT_TO_EBITDA","FY 2016","FY 2016","Currency=INR","Period=FY","BEST_FPERIOD_OVERRIDE=FY","FILING_STATUS=OR","EQY_CONSOLIDATED=Y","FA_ADJUSTED=GAAP","Sort=A","Dates=H","DateFormat=P","Fill=—","Direction=H","UseDPDF=Y")</f>
        <v>#NAME?</v>
      </c>
      <c r="CD13" s="2" t="e">
        <f ca="1">_xll.BDH($C$3,"TOTAL_DEBT_TO_EBIT","FY 2016","FY 2016","Currency=INR","Period=FY","BEST_FPERIOD_OVERRIDE=FY","FILING_STATUS=OR","EQY_CONSOLIDATED=Y","FA_ADJUSTED=GAAP","Sort=A","Dates=H","DateFormat=P","Fill=—","Direction=H","UseDPDF=Y")</f>
        <v>#NAME?</v>
      </c>
      <c r="CE13" s="2" t="e">
        <f ca="1">_xll.BDH($C$3,"NET_DEBT_TO_EBIT","FY 2016","FY 2016","Currency=INR","Period=FY","BEST_FPERIOD_OVERRIDE=FY","FILING_STATUS=OR","EQY_CONSOLIDATED=Y","FA_ADJUSTED=GAAP","Sort=A","Dates=H","DateFormat=P","Fill=—","Direction=H","UseDPDF=Y")</f>
        <v>#NAME?</v>
      </c>
      <c r="CF13" s="2" t="e">
        <f ca="1">_xll.BDH($C$3,"EBITDA_TO_INTEREST_EXPN","FY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13" s="2" t="e">
        <f ca="1">_xll.BDH($C$3,"COM_EQY_TO_TOT_ASSET","FY 2016","FY 2016","Currency=INR","Period=FY","BEST_FPERIOD_OVERRIDE=FY","FILING_STATUS=OR","EQY_CONSOLIDATED=Y","Sort=A","Dates=H","DateFormat=P","Fill=—","Direction=H","UseDPDF=Y")</f>
        <v>#NAME?</v>
      </c>
      <c r="CH13" s="2" t="e">
        <f ca="1">_xll.BDH($C$3,"LT_DEBT_TO_TOT_EQY","FY 2016","FY 2016","Currency=INR","Period=FY","BEST_FPERIOD_OVERRIDE=FY","FILING_STATUS=OR","EQY_CONSOLIDATED=Y","Sort=A","Dates=H","DateFormat=P","Fill=—","Direction=H","UseDPDF=Y")</f>
        <v>#NAME?</v>
      </c>
      <c r="CI13" s="2" t="e">
        <f ca="1">_xll.BDH($C$3,"LT_DEBT_TO_TOT_CAP","FY 2016","FY 2016","Currency=INR","Period=FY","BEST_FPERIOD_OVERRIDE=FY","FILING_STATUS=OR","EQY_CONSOLIDATED=Y","Sort=A","Dates=H","DateFormat=P","Fill=—","Direction=H","UseDPDF=Y")</f>
        <v>#NAME?</v>
      </c>
      <c r="CJ13" s="2" t="e">
        <f ca="1">_xll.BDH($C$3,"LT_DEBT_TO_TOT_ASSET","FY 2016","FY 2016","Currency=INR","Period=FY","BEST_FPERIOD_OVERRIDE=FY","FILING_STATUS=OR","EQY_CONSOLIDATED=Y","Sort=A","Dates=H","DateFormat=P","Fill=—","Direction=H","UseDPDF=Y")</f>
        <v>#NAME?</v>
      </c>
      <c r="CK13" s="2" t="e">
        <f ca="1">_xll.BDH($C$3,"TOT_DEBT_TO_TOT_EQY","FY 2016","FY 2016","Currency=INR","Period=FY","BEST_FPERIOD_OVERRIDE=FY","FILING_STATUS=OR","EQY_CONSOLIDATED=Y","Sort=A","Dates=H","DateFormat=P","Fill=—","Direction=H","UseDPDF=Y")</f>
        <v>#NAME?</v>
      </c>
      <c r="CL13" s="2" t="e">
        <f ca="1">_xll.BDH($C$3,"TOT_DEBT_TO_TOT_CAP","FY 2016","FY 2016","Currency=INR","Period=FY","BEST_FPERIOD_OVERRIDE=FY","FILING_STATUS=OR","EQY_CONSOLIDATED=Y","Sort=A","Dates=H","DateFormat=P","Fill=—","Direction=H","UseDPDF=Y")</f>
        <v>#NAME?</v>
      </c>
      <c r="CM13" s="2" t="e">
        <f ca="1">_xll.BDH($C$3,"TOT_DEBT_TO_TOT_ASSET","FY 2016","FY 2016","Currency=INR","Period=FY","BEST_FPERIOD_OVERRIDE=FY","FILING_STATUS=OR","EQY_CONSOLIDATED=Y","Sort=A","Dates=H","DateFormat=P","Fill=—","Direction=H","UseDPDF=Y")</f>
        <v>#NAME?</v>
      </c>
      <c r="CN13" s="2" t="e">
        <f ca="1">_xll.BDH($C$3,"NET_DEBT_TO_SHRHLDR_EQTY","FY 2016","FY 2016","Currency=INR","Period=FY","BEST_FPERIOD_OVERRIDE=FY","FILING_STATUS=OR","EQY_CONSOLIDATED=Y","Sort=A","Dates=H","DateFormat=P","Fill=—","Direction=H","UseDPDF=Y")</f>
        <v>#NAME?</v>
      </c>
      <c r="CO13" s="2" t="e">
        <f ca="1">_xll.BDH($C$3,"NET_DEBT_%_CAPITAL","FY 2016","FY 2016","Currency=INR","Period=FY","BEST_FPERIOD_OVERRIDE=FY","FILING_STATUS=OR","EQY_CONSOLIDATED=Y","Sort=A","Dates=H","DateFormat=P","Fill=—","Direction=H","UseDPDF=Y")</f>
        <v>#NAME?</v>
      </c>
      <c r="CP13" s="3" t="e">
        <f ca="1">_xll.BDH($C$3,"EBITDA","FY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13" s="3" t="e">
        <f ca="1">_xll.BDH($C$3,"EBITDA_AFTER_CAPEX","FY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13" s="3" t="e">
        <f ca="1">_xll.BDH($C$3,"IS_OPER_INC","FY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13" s="2" t="e">
        <f ca="1">_xll.BDH($C$3,"CASH_RATIO","FY 2016","FY 2016","Currency=INR","Period=FY","BEST_FPERIOD_OVERRIDE=FY","FILING_STATUS=OR","EQY_CONSOLIDATED=Y","Sort=A","Dates=H","DateFormat=P","Fill=—","Direction=H","UseDPDF=Y")</f>
        <v>#NAME?</v>
      </c>
      <c r="CT13" s="2" t="e">
        <f ca="1">_xll.BDH($C$3,"CUR_RATIO","FY 2016","FY 2016","Currency=INR","Period=FY","BEST_FPERIOD_OVERRIDE=FY","FILING_STATUS=OR","EQY_CONSOLIDATED=Y","Sort=A","Dates=H","DateFormat=P","Fill=—","Direction=H","UseDPDF=Y")</f>
        <v>#NAME?</v>
      </c>
      <c r="CU13" s="2" t="e">
        <f ca="1">_xll.BDH($C$3,"QUICK_RATIO","FY 2016","FY 2016","Currency=INR","Period=FY","BEST_FPERIOD_OVERRIDE=FY","FILING_STATUS=OR","EQY_CONSOLIDATED=Y","Sort=A","Dates=H","DateFormat=P","Fill=—","Direction=H","UseDPDF=Y")</f>
        <v>#NAME?</v>
      </c>
      <c r="CV13" s="2" t="e">
        <f ca="1">_xll.BDH($C$3,"ALTMAN_Z_SCORE","FY 2016","FY 2016","Currency=INR","Period=FY","BEST_FPERIOD_OVERRIDE=FY","FILING_STATUS=OR","EQY_CONSOLIDATED=Y","Sort=A","Dates=H","DateFormat=P","Fill=—","Direction=H","UseDPDF=Y")</f>
        <v>#NAME?</v>
      </c>
      <c r="CW13" s="4" t="e">
        <f ca="1">_xll.BDH($C$3,"ACCT_RCV_TURN","FY 2016","FY 2016","Currency=INR","Period=FY","BEST_FPERIOD_OVERRIDE=FY","FILING_STATUS=OR","EQY_CONSOLIDATED=Y","FA_ADJUSTED=GAAP","Sort=A","Dates=H","DateFormat=P","Fill=—","Direction=H","UseDPDF=Y")</f>
        <v>#NAME?</v>
      </c>
      <c r="CX13" s="2" t="e">
        <f ca="1">_xll.BDH($C$3,"ACCT_RCV_DAYS","FY 2016","FY 2016","Currency=INR","Period=FY","BEST_FPERIOD_OVERRIDE=FY","FILING_STATUS=OR","EQY_CONSOLIDATED=Y","FA_ADJUSTED=GAAP","Sort=A","Dates=H","DateFormat=P","Fill=—","Direction=H","UseDPDF=Y")</f>
        <v>#NAME?</v>
      </c>
      <c r="CY13" s="4" t="e">
        <f ca="1">_xll.BDH($C$3,"INVENT_TURN","FY 2016","FY 2016","Currency=INR","Period=FY","BEST_FPERIOD_OVERRIDE=FY","FILING_STATUS=OR","EQY_CONSOLIDATED=Y","FA_ADJUSTED=GAAP","Sort=A","Dates=H","DateFormat=P","Fill=—","Direction=H","UseDPDF=Y")</f>
        <v>#NAME?</v>
      </c>
      <c r="CZ13" s="2" t="e">
        <f ca="1">_xll.BDH($C$3,"INVENT_DAYS","FY 2016","FY 2016","Currency=INR","Period=FY","BEST_FPERIOD_OVERRIDE=FY","FILING_STATUS=OR","EQY_CONSOLIDATED=Y","FA_ADJUSTED=GAAP","Sort=A","Dates=H","DateFormat=P","Fill=—","Direction=H","UseDPDF=Y")</f>
        <v>#NAME?</v>
      </c>
      <c r="DA13" s="4" t="e">
        <f ca="1">_xll.BDH($C$3,"ACCOUNTS_PAYABLE_TURNOVER","FY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13" s="2" t="e">
        <f ca="1">_xll.BDH($C$3,"ACCOUNTS_PAYABLE_TURNOVER_DAYS","FY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13" s="4" t="e">
        <f ca="1">_xll.BDH($C$3,"CASH_CONVERSION_CYCLE","FY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13" s="4" t="e">
        <f ca="1">_xll.BDH($C$3,"INV_TO_CASH_DAYS","FY 2016","FY 2016","Currency=INR","Period=FY","BEST_FPERIOD_OVERRIDE=FY","FILING_STATUS=OR","EQY_CONSOLIDATED=Y","FA_ADJUSTED=GAAP","Sort=A","Dates=H","DateFormat=P","Fill=—","Direction=H","UseDPDF=Y")</f>
        <v>#NAME?</v>
      </c>
      <c r="DE13" s="5" t="e">
        <f ca="1">_xll.BDH($C$3,"BS_INVENTORIES","FY 2016","FY 2016","Currency=INR","Period=FY","BEST_FPERIOD_OVERRIDE=FY","FILING_STATUS=OR","EQY_CONSOLIDATED=Y","SCALING_FORMAT=MLN","Sort=A","Dates=H","DateFormat=P","Fill=—","Direction=H","UseDPDF=Y")</f>
        <v>#NAME?</v>
      </c>
      <c r="DF13" s="3" t="e">
        <f ca="1">_xll.BDH($C$3,"INVTRY_RAW_MATERIALS","FY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13" s="3" t="e">
        <f ca="1">_xll.BDH($C$3,"INVTRY_IN_PROGRESS","FY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13" s="3" t="e">
        <f ca="1">_xll.BDH($C$3,"INVTRY_FINISHED_GOODS","FY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13" s="3" t="e">
        <f ca="1">_xll.BDH($C$3,"BS_OTHER_INV","FY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14" spans="1:113" x14ac:dyDescent="0.3">
      <c r="A14" s="6"/>
      <c r="B14" s="6"/>
      <c r="C14" s="6"/>
      <c r="D14" s="6"/>
      <c r="E14" t="s">
        <v>78</v>
      </c>
      <c r="F14" t="e">
        <f ca="1">_xll.BDH($C$3,"RETURN_COM_EQY","FQ1 2016","FQ1 2016","Currency=INR","Period=FQ","BEST_FPERIOD_OVERRIDE=FQ","FILING_STATUS=OR","EQY_CONSOLIDATED=Y","FA_ADJUSTED=GAAP","Sort=A","Dates=H","DateFormat=P","Fill=—","Direction=H","UseDPDF=Y")</f>
        <v>#NAME?</v>
      </c>
      <c r="G14" t="e">
        <f ca="1">_xll.BDH($C$3,"RETURN_ON_ASSET","FQ1 2016","FQ1 2016","Currency=INR","Period=FQ","BEST_FPERIOD_OVERRIDE=FQ","FILING_STATUS=OR","EQY_CONSOLIDATED=Y","FA_ADJUSTED=GAAP","Sort=A","Dates=H","DateFormat=P","Fill=—","Direction=H","UseDPDF=Y")</f>
        <v>#NAME?</v>
      </c>
      <c r="H14" t="e">
        <f ca="1">_xll.BDH($C$3,"RETURN_ON_CAP","FQ1 2016","FQ1 2016","Currency=INR","Period=FQ","BEST_FPERIOD_OVERRIDE=FQ","FILING_STATUS=OR","EQY_CONSOLIDATED=Y","FA_ADJUSTED=GAAP","Sort=A","Dates=H","DateFormat=P","Fill=—","Direction=H","UseDPDF=Y")</f>
        <v>#NAME?</v>
      </c>
      <c r="I14" t="e">
        <f ca="1">_xll.BDH($C$3,"RETURN_ON_INV_CAPITAL","FQ1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14" t="e">
        <f ca="1">_xll.BDH($C$3,"EBITDA_TO_REVENUE","FQ1 2016","FQ1 2016","Currency=INR","Period=FQ","BEST_FPERIOD_OVERRIDE=FQ","FILING_STATUS=OR","EQY_CONSOLIDATED=Y","FA_ADJUSTED=GAAP","Sort=A","Dates=H","DateFormat=P","Fill=—","Direction=H","UseDPDF=Y")</f>
        <v>#NAME?</v>
      </c>
      <c r="K14" t="e">
        <f ca="1">_xll.BDH($C$3,"OPER_MARGIN","FQ1 2016","FQ1 2016","Currency=INR","Period=FQ","BEST_FPERIOD_OVERRIDE=FQ","FILING_STATUS=OR","EQY_CONSOLIDATED=Y","FA_ADJUSTED=GAAP","Sort=A","Dates=H","DateFormat=P","Fill=—","Direction=H","UseDPDF=Y")</f>
        <v>#NAME?</v>
      </c>
      <c r="L14" t="e">
        <f ca="1">_xll.BDH($C$3,"INCREMENTAL_OPERATING_MARGIN","FQ1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14" t="e">
        <f ca="1">_xll.BDH($C$3,"PRETAX_INC_TO_NET_SALES","FQ1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14" t="e">
        <f ca="1">_xll.BDH($C$3,"INC_BEF_XO_ITEMS_TO_NET_SALES","FQ1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14" t="e">
        <f ca="1">_xll.BDH($C$3,"PROF_MARGIN","FQ1 2016","FQ1 2016","Currency=INR","Period=FQ","BEST_FPERIOD_OVERRIDE=FQ","FILING_STATUS=OR","EQY_CONSOLIDATED=Y","FA_ADJUSTED=GAAP","Sort=A","Dates=H","DateFormat=P","Fill=—","Direction=H","UseDPDF=Y")</f>
        <v>#NAME?</v>
      </c>
      <c r="P14" t="e">
        <f ca="1">_xll.BDH($C$3,"NET_INCOME_TO_COMMON_MARGIN","FQ1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14" t="e">
        <f ca="1">_xll.BDH($C$3,"EFF_TAX_RATE","FQ1 2016","FQ1 2016","Currency=INR","Period=FQ","BEST_FPERIOD_OVERRIDE=FQ","FILING_STATUS=OR","EQY_CONSOLIDATED=Y","FA_ADJUSTED=GAAP","Sort=A","Dates=H","DateFormat=P","Fill=—","Direction=H","UseDPDF=Y")</f>
        <v>#NAME?</v>
      </c>
      <c r="R14" t="e">
        <f ca="1">_xll.BDH($C$3,"DVD_PAYOUT_RATIO","FQ1 2016","FQ1 2016","Currency=INR","Period=FQ","BEST_FPERIOD_OVERRIDE=FQ","FILING_STATUS=OR","EQY_CONSOLIDATED=Y","FA_ADJUSTED=GAAP","Sort=A","Dates=H","DateFormat=P","Fill=—","Direction=H","UseDPDF=Y")</f>
        <v>#NAME?</v>
      </c>
      <c r="S14" t="e">
        <f ca="1">_xll.BDH($C$3,"SUSTAIN_GROWTH_RT","FQ1 2016","FQ1 2016","Currency=INR","Period=FQ","BEST_FPERIOD_OVERRIDE=FQ","FILING_STATUS=OR","EQY_CONSOLIDATED=Y","FA_ADJUSTED=GAAP","Sort=A","Dates=H","DateFormat=P","Fill=—","Direction=H","UseDPDF=Y")</f>
        <v>#NAME?</v>
      </c>
      <c r="T14" s="2" t="e">
        <f ca="1">_xll.BDH($C$3,"SALES_GROWTH","FQ1 2016","FQ1 2016","Currency=INR","Period=FQ","BEST_FPERIOD_OVERRIDE=FQ","FILING_STATUS=OR","EQY_CONSOLIDATED=Y","FA_ADJUSTED=GAAP","Sort=A","Dates=H","DateFormat=P","Fill=—","Direction=H","UseDPDF=Y")</f>
        <v>#NAME?</v>
      </c>
      <c r="U14" s="2" t="e">
        <f ca="1">_xll.BDH($C$3,"EBITDA_GROWTH","FQ1 2016","FQ1 2016","Currency=INR","Period=FQ","BEST_FPERIOD_OVERRIDE=FQ","FILING_STATUS=OR","EQY_CONSOLIDATED=Y","FA_ADJUSTED=GAAP","Sort=A","Dates=H","DateFormat=P","Fill=—","Direction=H","UseDPDF=Y")</f>
        <v>#NAME?</v>
      </c>
      <c r="V14" s="2" t="e">
        <f ca="1">_xll.BDH($C$3,"OPER_INC_GROWTH","FQ1 2016","FQ1 2016","Currency=INR","Period=FQ","BEST_FPERIOD_OVERRIDE=FQ","FILING_STATUS=OR","EQY_CONSOLIDATED=Y","FA_ADJUSTED=GAAP","Sort=A","Dates=H","DateFormat=P","Fill=—","Direction=H","UseDPDF=Y")</f>
        <v>#NAME?</v>
      </c>
      <c r="W14" s="2" t="e">
        <f ca="1">_xll.BDH($C$3,"EARN_FOR_COM_GROWTH","FQ1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14" s="2" t="e">
        <f ca="1">_xll.BDH($C$3,"DILUTED_EPS_AFT_XO_ITEMS_GROWTH","FQ1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14" s="2" t="e">
        <f ca="1">_xll.BDH($C$3,"DIVIDEND_PER_SHARE_1_YEAR_GROWTH","FQ1 2016","FQ1 2016","Currency=INR","Period=FQ","BEST_FPERIOD_OVERRIDE=FQ","FILING_STATUS=OR","EQY_CONSOLIDATED=Y","Sort=A","Dates=H","DateFormat=P","Fill=—","Direction=H","UseDPDF=Y")</f>
        <v>#NAME?</v>
      </c>
      <c r="Z14" s="2" t="e">
        <f ca="1">_xll.BDH($C$3,"ACCOUNTS_RECEIVABLE_GROWTH","FQ1 2016","FQ1 2016","Currency=INR","Period=FQ","BEST_FPERIOD_OVERRIDE=FQ","FILING_STATUS=OR","EQY_CONSOLIDATED=Y","Sort=A","Dates=H","DateFormat=P","Fill=—","Direction=H","UseDPDF=Y")</f>
        <v>#NAME?</v>
      </c>
      <c r="AA14" s="2" t="e">
        <f ca="1">_xll.BDH($C$3,"INVENTORY_GROWTH","FQ1 2016","FQ1 2016","Currency=INR","Period=FQ","BEST_FPERIOD_OVERRIDE=FQ","FILING_STATUS=OR","EQY_CONSOLIDATED=Y","Sort=A","Dates=H","DateFormat=P","Fill=—","Direction=H","UseDPDF=Y")</f>
        <v>#NAME?</v>
      </c>
      <c r="AB14" s="2" t="e">
        <f ca="1">_xll.BDH($C$3,"NET_FIXED_ASSETS_1_YEAR_GROWTH","FQ1 2016","FQ1 2016","Currency=INR","Period=FQ","BEST_FPERIOD_OVERRIDE=FQ","FILING_STATUS=OR","EQY_CONSOLIDATED=Y","Sort=A","Dates=H","DateFormat=P","Fill=—","Direction=H","UseDPDF=Y")</f>
        <v>#NAME?</v>
      </c>
      <c r="AC14" s="2" t="e">
        <f ca="1">_xll.BDH($C$3,"ASSET_GROWTH","FQ1 2016","FQ1 2016","Currency=INR","Period=FQ","BEST_FPERIOD_OVERRIDE=FQ","FILING_STATUS=OR","EQY_CONSOLIDATED=Y","Sort=A","Dates=H","DateFormat=P","Fill=—","Direction=H","UseDPDF=Y")</f>
        <v>#NAME?</v>
      </c>
      <c r="AD14" s="2" t="e">
        <f ca="1">_xll.BDH($C$3,"MODIFIED_WORK_CAP_GROWTH","FQ1 2016","FQ1 2016","Currency=INR","Period=FQ","BEST_FPERIOD_OVERRIDE=FQ","FILING_STATUS=OR","EQY_CONSOLIDATED=Y","Sort=A","Dates=H","DateFormat=P","Fill=—","Direction=H","UseDPDF=Y")</f>
        <v>#NAME?</v>
      </c>
      <c r="AE14" s="2" t="e">
        <f ca="1">_xll.BDH($C$3,"WORK_CAP_GROWTH","FQ1 2016","FQ1 2016","Currency=INR","Period=FQ","BEST_FPERIOD_OVERRIDE=FQ","FILING_STATUS=OR","EQY_CONSOLIDATED=Y","Sort=A","Dates=H","DateFormat=P","Fill=—","Direction=H","UseDPDF=Y")</f>
        <v>#NAME?</v>
      </c>
      <c r="AF14" s="2" t="e">
        <f ca="1">_xll.BDH($C$3,"ACCOUNTS_PAYABLE_GROWTH_1YR","FQ1 2016","FQ1 2016","Currency=INR","Period=FQ","BEST_FPERIOD_OVERRIDE=FQ","FILING_STATUS=OR","EQY_CONSOLIDATED=Y","Sort=A","Dates=H","DateFormat=P","Fill=—","Direction=H","UseDPDF=Y")</f>
        <v>#NAME?</v>
      </c>
      <c r="AG14" s="2" t="e">
        <f ca="1">_xll.BDH($C$3,"SHORT_TERM_DEBT_1_YEAR_GROWTH","FQ1 2016","FQ1 2016","Currency=INR","Period=FQ","BEST_FPERIOD_OVERRIDE=FQ","FILING_STATUS=OR","EQY_CONSOLIDATED=Y","Sort=A","Dates=H","DateFormat=P","Fill=—","Direction=H","UseDPDF=Y")</f>
        <v>#NAME?</v>
      </c>
      <c r="AH14" s="2" t="e">
        <f ca="1">_xll.BDH($C$3,"TOTAL_DEBT_1_YEAR_GROWTH","FQ1 2016","FQ1 2016","Currency=INR","Period=FQ","BEST_FPERIOD_OVERRIDE=FQ","FILING_STATUS=OR","EQY_CONSOLIDATED=Y","Sort=A","Dates=H","DateFormat=P","Fill=—","Direction=H","UseDPDF=Y")</f>
        <v>#NAME?</v>
      </c>
      <c r="AI14" s="2" t="e">
        <f ca="1">_xll.BDH($C$3,"TOTAL_EQUITY_1_YEAR_GROWTH","FQ1 2016","FQ1 2016","Currency=INR","Period=FQ","BEST_FPERIOD_OVERRIDE=FQ","FILING_STATUS=OR","EQY_CONSOLIDATED=Y","Sort=A","Dates=H","DateFormat=P","Fill=—","Direction=H","UseDPDF=Y")</f>
        <v>#NAME?</v>
      </c>
      <c r="AJ14" s="2" t="e">
        <f ca="1">_xll.BDH($C$3,"GROWTH_IN_CAP","FQ1 2016","FQ1 2016","Currency=INR","Period=FQ","BEST_FPERIOD_OVERRIDE=FQ","FILING_STATUS=OR","EQY_CONSOLIDATED=Y","Sort=A","Dates=H","DateFormat=P","Fill=—","Direction=H","UseDPDF=Y")</f>
        <v>#NAME?</v>
      </c>
      <c r="AK14" s="2" t="e">
        <f ca="1">_xll.BDH($C$3,"BVPS_GROWTH","FQ1 2016","FQ1 2016","Currency=INR","Period=FQ","BEST_FPERIOD_OVERRIDE=FQ","FILING_STATUS=OR","EQY_CONSOLIDATED=Y","Sort=A","Dates=H","DateFormat=P","Fill=—","Direction=H","UseDPDF=Y")</f>
        <v>#NAME?</v>
      </c>
      <c r="AL14" s="2" t="e">
        <f ca="1">_xll.BDH($C$3,"CASH_FLOW_GROWTH","FQ1 2016","FQ1 2016","Currency=INR","Period=FQ","BEST_FPERIOD_OVERRIDE=FQ","FILING_STATUS=OR","EQY_CONSOLIDATED=Y","Sort=A","Dates=H","DateFormat=P","Fill=—","Direction=H","UseDPDF=Y")</f>
        <v>#NAME?</v>
      </c>
      <c r="AM14" s="2" t="e">
        <f ca="1">_xll.BDH($C$3,"GEO_GROW_NET_SALES","FQ1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14" s="2" t="e">
        <f ca="1">_xll.BDH($C$3,"GEO_GROW_EBITDA","FQ1 2016","FQ1 2016","Currency=INR","Period=FQ","BEST_FPERIOD_OVERRIDE=FQ","FILING_STATUS=OR","EQY_CONSOLIDATED=Y","FA_ADJUSTED=GAAP","Sort=A","Dates=H","DateFormat=P","Fill=—","Direction=H","UseDPDF=Y")</f>
        <v>#NAME?</v>
      </c>
      <c r="AO14" s="2" t="e">
        <f ca="1">_xll.BDH($C$3,"GEO_GROW_OPER_INC","FQ1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14" s="2" t="e">
        <f ca="1">_xll.BDH($C$3,"NET_INCOME_TO_COMMON_5_YR_GROWTH","FQ1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14" s="2" t="e">
        <f ca="1">_xll.BDH($C$3,"5Y_GEO_GROWTH_DILUTED_EPS","FQ1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14" s="2" t="e">
        <f ca="1">_xll.BDH($C$3,"GEO_GROW_DVD_PER_SH","FQ1 2016","FQ1 2016","Currency=INR","Period=FQ","BEST_FPERIOD_OVERRIDE=FQ","FILING_STATUS=OR","EQY_CONSOLIDATED=Y","Sort=A","Dates=H","DateFormat=P","Fill=—","Direction=H","UseDPDF=Y")</f>
        <v>#NAME?</v>
      </c>
      <c r="AS14" s="2" t="e">
        <f ca="1">_xll.BDH($C$3,"ACCOUNTS_RECEIVABLE_5_YR_GROWTH","FQ1 2016","FQ1 2016","Currency=INR","Period=FQ","BEST_FPERIOD_OVERRIDE=FQ","FILING_STATUS=OR","EQY_CONSOLIDATED=Y","Sort=A","Dates=H","DateFormat=P","Fill=—","Direction=H","UseDPDF=Y")</f>
        <v>#NAME?</v>
      </c>
      <c r="AT14" s="2" t="e">
        <f ca="1">_xll.BDH($C$3,"INVENTORY_5_YEAR_GROWTH","FQ1 2016","FQ1 2016","Currency=INR","Period=FQ","BEST_FPERIOD_OVERRIDE=FQ","FILING_STATUS=OR","EQY_CONSOLIDATED=Y","Sort=A","Dates=H","DateFormat=P","Fill=—","Direction=H","UseDPDF=Y")</f>
        <v>#NAME?</v>
      </c>
      <c r="AU14" s="2" t="e">
        <f ca="1">_xll.BDH($C$3,"NET_FIXED_ASSETS_5_YEAR_GROWTH","FQ1 2016","FQ1 2016","Currency=INR","Period=FQ","BEST_FPERIOD_OVERRIDE=FQ","FILING_STATUS=OR","EQY_CONSOLIDATED=Y","Sort=A","Dates=H","DateFormat=P","Fill=—","Direction=H","UseDPDF=Y")</f>
        <v>#NAME?</v>
      </c>
      <c r="AV14" s="2" t="e">
        <f ca="1">_xll.BDH($C$3,"GEO_GROW_TOT_ASSET","FQ1 2016","FQ1 2016","Currency=INR","Period=FQ","BEST_FPERIOD_OVERRIDE=FQ","FILING_STATUS=OR","EQY_CONSOLIDATED=Y","Sort=A","Dates=H","DateFormat=P","Fill=—","Direction=H","UseDPDF=Y")</f>
        <v>#NAME?</v>
      </c>
      <c r="AW14" s="2" t="e">
        <f ca="1">_xll.BDH($C$3,"MODIFIED_WORKING_CPTL_5YR_GRWTH","FQ1 2016","FQ1 2016","Currency=INR","Period=FQ","BEST_FPERIOD_OVERRIDE=FQ","FILING_STATUS=OR","EQY_CONSOLIDATED=Y","Sort=A","Dates=H","DateFormat=P","Fill=—","Direction=H","UseDPDF=Y")</f>
        <v>#NAME?</v>
      </c>
      <c r="AX14" s="2" t="e">
        <f ca="1">_xll.BDH($C$3,"WORKING_CAPITAL_5_YEAR_GROWTH","FQ1 2016","FQ1 2016","Currency=INR","Period=FQ","BEST_FPERIOD_OVERRIDE=FQ","FILING_STATUS=OR","EQY_CONSOLIDATED=Y","Sort=A","Dates=H","DateFormat=P","Fill=—","Direction=H","UseDPDF=Y")</f>
        <v>#NAME?</v>
      </c>
      <c r="AY14" s="2" t="e">
        <f ca="1">_xll.BDH($C$3,"ACCOUNTS_PAYABLE_5_YEAR_GROWTH","FQ1 2016","FQ1 2016","Currency=INR","Period=FQ","BEST_FPERIOD_OVERRIDE=FQ","FILING_STATUS=OR","EQY_CONSOLIDATED=Y","Sort=A","Dates=H","DateFormat=P","Fill=—","Direction=H","UseDPDF=Y")</f>
        <v>#NAME?</v>
      </c>
      <c r="AZ14" s="2" t="e">
        <f ca="1">_xll.BDH($C$3,"SHORT_TERM_DEBT_5_YEAR_GROWTH","FQ1 2016","FQ1 2016","Currency=INR","Period=FQ","BEST_FPERIOD_OVERRIDE=FQ","FILING_STATUS=OR","EQY_CONSOLIDATED=Y","Sort=A","Dates=H","DateFormat=P","Fill=—","Direction=H","UseDPDF=Y")</f>
        <v>#NAME?</v>
      </c>
      <c r="BA14" s="2" t="e">
        <f ca="1">_xll.BDH($C$3,"TOTAL_DEBT_5_YEAR_GROWTH","FQ1 2016","FQ1 2016","Currency=INR","Period=FQ","BEST_FPERIOD_OVERRIDE=FQ","FILING_STATUS=OR","EQY_CONSOLIDATED=Y","Sort=A","Dates=H","DateFormat=P","Fill=—","Direction=H","UseDPDF=Y")</f>
        <v>#NAME?</v>
      </c>
      <c r="BB14" s="2" t="e">
        <f ca="1">_xll.BDH($C$3,"GEO_GROW_TOT_SHRHLDR_EQY","FQ1 2016","FQ1 2016","Currency=INR","Period=FQ","BEST_FPERIOD_OVERRIDE=FQ","FILING_STATUS=OR","EQY_CONSOLIDATED=Y","Sort=A","Dates=H","DateFormat=P","Fill=—","Direction=H","UseDPDF=Y")</f>
        <v>#NAME?</v>
      </c>
      <c r="BC14" s="2" t="e">
        <f ca="1">_xll.BDH($C$3,"TOTAL_CAPITAL_5_YEAR_GROWTH","FQ1 2016","FQ1 2016","Currency=INR","Period=FQ","BEST_FPERIOD_OVERRIDE=FQ","FILING_STATUS=OR","EQY_CONSOLIDATED=Y","Sort=A","Dates=H","DateFormat=P","Fill=—","Direction=H","UseDPDF=Y")</f>
        <v>#NAME?</v>
      </c>
      <c r="BD14" s="2" t="e">
        <f ca="1">_xll.BDH($C$3,"GEO_GROW_BOOK_VAL","FQ1 2016","FQ1 2016","Currency=INR","Period=FQ","BEST_FPERIOD_OVERRIDE=FQ","FILING_STATUS=OR","EQY_CONSOLIDATED=Y","Sort=A","Dates=H","DateFormat=P","Fill=—","Direction=H","UseDPDF=Y")</f>
        <v>#NAME?</v>
      </c>
      <c r="BE14" s="2" t="e">
        <f ca="1">_xll.BDH($C$3,"GEO_GROW_CASH_OPER_ACT","FQ1 2016","FQ1 2016","Currency=INR","Period=FQ","BEST_FPERIOD_OVERRIDE=FQ","FILING_STATUS=OR","EQY_CONSOLIDATED=Y","Sort=A","Dates=H","DateFormat=P","Fill=—","Direction=H","UseDPDF=Y")</f>
        <v>#NAME?</v>
      </c>
      <c r="BF14" s="2" t="e">
        <f ca="1">_xll.BDH($C$3,"REVENUE_SEQUENTIAL_GROWTH","FQ1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14" s="2" t="e">
        <f ca="1">_xll.BDH($C$3,"EBITDA_SEQUENTIAL_GROWTH","FQ1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14" s="2" t="e">
        <f ca="1">_xll.BDH($C$3,"OPERATING_INCOME_SEQ_GROWTH","FQ1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14" s="2" t="e">
        <f ca="1">_xll.BDH($C$3,"NET_INCOME_TO_COMMON_SEQ_GROWTH","FQ1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14" s="2" t="e">
        <f ca="1">_xll.BDH($C$3,"EPS_DILUTED_SEQUENTIAL_GROWTH","FQ1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14" s="2" t="e">
        <f ca="1">_xll.BDH($C$3,"DPS_SEQUENTIAL_GROWTH","FQ1 2016","FQ1 2016","Currency=INR","Period=FQ","BEST_FPERIOD_OVERRIDE=FQ","FILING_STATUS=OR","EQY_CONSOLIDATED=Y","Sort=A","Dates=H","DateFormat=P","Fill=—","Direction=H","UseDPDF=Y")</f>
        <v>#NAME?</v>
      </c>
      <c r="BL14" s="2" t="e">
        <f ca="1">_xll.BDH($C$3,"ACCOUNTS_RECEIVABLE_SEQ_GROWTH","FQ1 2016","FQ1 2016","Currency=INR","Period=FQ","BEST_FPERIOD_OVERRIDE=FQ","FILING_STATUS=OR","EQY_CONSOLIDATED=Y","Sort=A","Dates=H","DateFormat=P","Fill=—","Direction=H","UseDPDF=Y")</f>
        <v>#NAME?</v>
      </c>
      <c r="BM14" s="2" t="e">
        <f ca="1">_xll.BDH($C$3,"INVENTORY_SEQUENTIAL_GROWTH","FQ1 2016","FQ1 2016","Currency=INR","Period=FQ","BEST_FPERIOD_OVERRIDE=FQ","FILING_STATUS=OR","EQY_CONSOLIDATED=Y","Sort=A","Dates=H","DateFormat=P","Fill=—","Direction=H","UseDPDF=Y")</f>
        <v>#NAME?</v>
      </c>
      <c r="BN14" s="2" t="e">
        <f ca="1">_xll.BDH($C$3,"FIXED_ASSETS_SEQUENTIAL_GROWTH","FQ1 2016","FQ1 2016","Currency=INR","Period=FQ","BEST_FPERIOD_OVERRIDE=FQ","FILING_STATUS=OR","EQY_CONSOLIDATED=Y","Sort=A","Dates=H","DateFormat=P","Fill=—","Direction=H","UseDPDF=Y")</f>
        <v>#NAME?</v>
      </c>
      <c r="BO14" s="2" t="e">
        <f ca="1">_xll.BDH($C$3,"TOTAL_ASSETS_SEQUENTIAL_GROWTH","FQ1 2016","FQ1 2016","Currency=INR","Period=FQ","BEST_FPERIOD_OVERRIDE=FQ","FILING_STATUS=OR","EQY_CONSOLIDATED=Y","Sort=A","Dates=H","DateFormat=P","Fill=—","Direction=H","UseDPDF=Y")</f>
        <v>#NAME?</v>
      </c>
      <c r="BP14" s="2" t="e">
        <f ca="1">_xll.BDH($C$3,"MODIFIED_WORKING_CPTL_SEQ_GRWTH","FQ1 2016","FQ1 2016","Currency=INR","Period=FQ","BEST_FPERIOD_OVERRIDE=FQ","FILING_STATUS=OR","EQY_CONSOLIDATED=Y","Sort=A","Dates=H","DateFormat=P","Fill=—","Direction=H","UseDPDF=Y")</f>
        <v>#NAME?</v>
      </c>
      <c r="BQ14" s="2" t="e">
        <f ca="1">_xll.BDH($C$3,"WORKING_CAPITAL_SEQ_GROWTH","FQ1 2016","FQ1 2016","Currency=INR","Period=FQ","BEST_FPERIOD_OVERRIDE=FQ","FILING_STATUS=OR","EQY_CONSOLIDATED=Y","Sort=A","Dates=H","DateFormat=P","Fill=—","Direction=H","UseDPDF=Y")</f>
        <v>#NAME?</v>
      </c>
      <c r="BR14" s="2" t="e">
        <f ca="1">_xll.BDH($C$3,"ACCOUNTS_PAYABLE_SEQ_GROWTH","FQ1 2016","FQ1 2016","Currency=INR","Period=FQ","BEST_FPERIOD_OVERRIDE=FQ","FILING_STATUS=OR","EQY_CONSOLIDATED=Y","Sort=A","Dates=H","DateFormat=P","Fill=—","Direction=H","UseDPDF=Y")</f>
        <v>#NAME?</v>
      </c>
      <c r="BS14" s="2" t="e">
        <f ca="1">_xll.BDH($C$3,"ST_DEBT_SEQUENTIAL_GROWTH","FQ1 2016","FQ1 2016","Currency=INR","Period=FQ","BEST_FPERIOD_OVERRIDE=FQ","FILING_STATUS=OR","EQY_CONSOLIDATED=Y","Sort=A","Dates=H","DateFormat=P","Fill=—","Direction=H","UseDPDF=Y")</f>
        <v>#NAME?</v>
      </c>
      <c r="BT14" s="2" t="e">
        <f ca="1">_xll.BDH($C$3,"TOTAL_DEBT_SEQUENTIAL_GROWTH","FQ1 2016","FQ1 2016","Currency=INR","Period=FQ","BEST_FPERIOD_OVERRIDE=FQ","FILING_STATUS=OR","EQY_CONSOLIDATED=Y","Sort=A","Dates=H","DateFormat=P","Fill=—","Direction=H","UseDPDF=Y")</f>
        <v>#NAME?</v>
      </c>
      <c r="BU14" s="2" t="e">
        <f ca="1">_xll.BDH($C$3,"TOTAL_EQUITY_SEQUENTIAL_GROWTH","FQ1 2016","FQ1 2016","Currency=INR","Period=FQ","BEST_FPERIOD_OVERRIDE=FQ","FILING_STATUS=OR","EQY_CONSOLIDATED=Y","Sort=A","Dates=H","DateFormat=P","Fill=—","Direction=H","UseDPDF=Y")</f>
        <v>#NAME?</v>
      </c>
      <c r="BV14" s="2" t="e">
        <f ca="1">_xll.BDH($C$3,"TOTAL_CAPITAL_SEQUENTIAL_GROWTH","FQ1 2016","FQ1 2016","Currency=INR","Period=FQ","BEST_FPERIOD_OVERRIDE=FQ","FILING_STATUS=OR","EQY_CONSOLIDATED=Y","Sort=A","Dates=H","DateFormat=P","Fill=—","Direction=H","UseDPDF=Y")</f>
        <v>#NAME?</v>
      </c>
      <c r="BW14" s="2" t="e">
        <f ca="1">_xll.BDH($C$3,"BPS_SEQUENTIAL_GROWTH","FQ1 2016","FQ1 2016","Currency=INR","Period=FQ","BEST_FPERIOD_OVERRIDE=FQ","FILING_STATUS=OR","EQY_CONSOLIDATED=Y","Sort=A","Dates=H","DateFormat=P","Fill=—","Direction=H","UseDPDF=Y")</f>
        <v>#NAME?</v>
      </c>
      <c r="BX14" s="2" t="e">
        <f ca="1">_xll.BDH($C$3,"CFO_SEQUENTIAL_GROWTH","FQ1 2016","FQ1 2016","Currency=INR","Period=FQ","BEST_FPERIOD_OVERRIDE=FQ","FILING_STATUS=OR","EQY_CONSOLIDATED=Y","Sort=A","Dates=H","DateFormat=P","Fill=—","Direction=H","UseDPDF=Y")</f>
        <v>#NAME?</v>
      </c>
      <c r="BY14" s="3" t="e">
        <f ca="1">_xll.BDH($C$3,"SHORT_AND_LONG_TERM_DEBT","FQ1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14" s="3" t="e">
        <f ca="1">_xll.BDH($C$3,"BS_ST_BORROW","FQ1 2016","FQ1 2016","Currency=INR","Period=FQ","BEST_FPERIOD_OVERRIDE=FQ","FILING_STATUS=OR","EQY_CONSOLIDATED=Y","SCALING_FORMAT=MLN","Sort=A","Dates=H","DateFormat=P","Fill=—","Direction=H","UseDPDF=Y")</f>
        <v>#NAME?</v>
      </c>
      <c r="CA14" s="3" t="e">
        <f ca="1">_xll.BDH($C$3,"BS_LT_BORROW","FQ1 2016","FQ1 2016","Currency=INR","Period=FQ","BEST_FPERIOD_OVERRIDE=FQ","FILING_STATUS=OR","EQY_CONSOLIDATED=Y","SCALING_FORMAT=MLN","Sort=A","Dates=H","DateFormat=P","Fill=—","Direction=H","UseDPDF=Y")</f>
        <v>#NAME?</v>
      </c>
      <c r="CB14" s="2" t="e">
        <f ca="1">_xll.BDH($C$3,"TOT_DEBT_TO_EBITDA","FQ1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14" s="2" t="e">
        <f ca="1">_xll.BDH($C$3,"NET_DEBT_TO_EBITDA","FQ1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14" s="2" t="e">
        <f ca="1">_xll.BDH($C$3,"TOTAL_DEBT_TO_EBIT","FQ1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14" s="2" t="e">
        <f ca="1">_xll.BDH($C$3,"NET_DEBT_TO_EBIT","FQ1 2016","FQ1 2016","Currency=INR","Period=FQ","BEST_FPERIOD_OVERRIDE=FQ","FILING_STATUS=OR","EQY_CONSOLIDATED=Y","FA_ADJUSTED=GAAP","Sort=A","Dates=H","DateFormat=P","Fill=—","Direction=H","UseDPDF=Y")</f>
        <v>#NAME?</v>
      </c>
      <c r="CF14" s="2" t="e">
        <f ca="1">_xll.BDH($C$3,"EBITDA_TO_INTEREST_EXPN","FQ1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14" s="2" t="e">
        <f ca="1">_xll.BDH($C$3,"COM_EQY_TO_TOT_ASSET","FQ1 2016","FQ1 2016","Currency=INR","Period=FQ","BEST_FPERIOD_OVERRIDE=FQ","FILING_STATUS=OR","EQY_CONSOLIDATED=Y","Sort=A","Dates=H","DateFormat=P","Fill=—","Direction=H","UseDPDF=Y")</f>
        <v>#NAME?</v>
      </c>
      <c r="CH14" s="2" t="e">
        <f ca="1">_xll.BDH($C$3,"LT_DEBT_TO_TOT_EQY","FQ1 2016","FQ1 2016","Currency=INR","Period=FQ","BEST_FPERIOD_OVERRIDE=FQ","FILING_STATUS=OR","EQY_CONSOLIDATED=Y","Sort=A","Dates=H","DateFormat=P","Fill=—","Direction=H","UseDPDF=Y")</f>
        <v>#NAME?</v>
      </c>
      <c r="CI14" s="2" t="e">
        <f ca="1">_xll.BDH($C$3,"LT_DEBT_TO_TOT_CAP","FQ1 2016","FQ1 2016","Currency=INR","Period=FQ","BEST_FPERIOD_OVERRIDE=FQ","FILING_STATUS=OR","EQY_CONSOLIDATED=Y","Sort=A","Dates=H","DateFormat=P","Fill=—","Direction=H","UseDPDF=Y")</f>
        <v>#NAME?</v>
      </c>
      <c r="CJ14" s="2" t="e">
        <f ca="1">_xll.BDH($C$3,"LT_DEBT_TO_TOT_ASSET","FQ1 2016","FQ1 2016","Currency=INR","Period=FQ","BEST_FPERIOD_OVERRIDE=FQ","FILING_STATUS=OR","EQY_CONSOLIDATED=Y","Sort=A","Dates=H","DateFormat=P","Fill=—","Direction=H","UseDPDF=Y")</f>
        <v>#NAME?</v>
      </c>
      <c r="CK14" s="2" t="e">
        <f ca="1">_xll.BDH($C$3,"TOT_DEBT_TO_TOT_EQY","FQ1 2016","FQ1 2016","Currency=INR","Period=FQ","BEST_FPERIOD_OVERRIDE=FQ","FILING_STATUS=OR","EQY_CONSOLIDATED=Y","Sort=A","Dates=H","DateFormat=P","Fill=—","Direction=H","UseDPDF=Y")</f>
        <v>#NAME?</v>
      </c>
      <c r="CL14" s="2" t="e">
        <f ca="1">_xll.BDH($C$3,"TOT_DEBT_TO_TOT_CAP","FQ1 2016","FQ1 2016","Currency=INR","Period=FQ","BEST_FPERIOD_OVERRIDE=FQ","FILING_STATUS=OR","EQY_CONSOLIDATED=Y","Sort=A","Dates=H","DateFormat=P","Fill=—","Direction=H","UseDPDF=Y")</f>
        <v>#NAME?</v>
      </c>
      <c r="CM14" s="2" t="e">
        <f ca="1">_xll.BDH($C$3,"TOT_DEBT_TO_TOT_ASSET","FQ1 2016","FQ1 2016","Currency=INR","Period=FQ","BEST_FPERIOD_OVERRIDE=FQ","FILING_STATUS=OR","EQY_CONSOLIDATED=Y","Sort=A","Dates=H","DateFormat=P","Fill=—","Direction=H","UseDPDF=Y")</f>
        <v>#NAME?</v>
      </c>
      <c r="CN14" s="2" t="e">
        <f ca="1">_xll.BDH($C$3,"NET_DEBT_TO_SHRHLDR_EQTY","FQ1 2016","FQ1 2016","Currency=INR","Period=FQ","BEST_FPERIOD_OVERRIDE=FQ","FILING_STATUS=OR","EQY_CONSOLIDATED=Y","Sort=A","Dates=H","DateFormat=P","Fill=—","Direction=H","UseDPDF=Y")</f>
        <v>#NAME?</v>
      </c>
      <c r="CO14" s="2" t="e">
        <f ca="1">_xll.BDH($C$3,"NET_DEBT_%_CAPITAL","FQ1 2016","FQ1 2016","Currency=INR","Period=FQ","BEST_FPERIOD_OVERRIDE=FQ","FILING_STATUS=OR","EQY_CONSOLIDATED=Y","Sort=A","Dates=H","DateFormat=P","Fill=—","Direction=H","UseDPDF=Y")</f>
        <v>#NAME?</v>
      </c>
      <c r="CP14" s="3" t="e">
        <f ca="1">_xll.BDH($C$3,"EBITDA","FQ1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14" s="3" t="e">
        <f ca="1">_xll.BDH($C$3,"EBITDA_AFTER_CAPEX","FQ1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14" s="3" t="e">
        <f ca="1">_xll.BDH($C$3,"IS_OPER_INC","FQ1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14" s="2" t="e">
        <f ca="1">_xll.BDH($C$3,"CASH_RATIO","FQ1 2016","FQ1 2016","Currency=INR","Period=FQ","BEST_FPERIOD_OVERRIDE=FQ","FILING_STATUS=OR","EQY_CONSOLIDATED=Y","Sort=A","Dates=H","DateFormat=P","Fill=—","Direction=H","UseDPDF=Y")</f>
        <v>#NAME?</v>
      </c>
      <c r="CT14" s="2" t="e">
        <f ca="1">_xll.BDH($C$3,"CUR_RATIO","FQ1 2016","FQ1 2016","Currency=INR","Period=FQ","BEST_FPERIOD_OVERRIDE=FQ","FILING_STATUS=OR","EQY_CONSOLIDATED=Y","Sort=A","Dates=H","DateFormat=P","Fill=—","Direction=H","UseDPDF=Y")</f>
        <v>#NAME?</v>
      </c>
      <c r="CU14" s="2" t="e">
        <f ca="1">_xll.BDH($C$3,"QUICK_RATIO","FQ1 2016","FQ1 2016","Currency=INR","Period=FQ","BEST_FPERIOD_OVERRIDE=FQ","FILING_STATUS=OR","EQY_CONSOLIDATED=Y","Sort=A","Dates=H","DateFormat=P","Fill=—","Direction=H","UseDPDF=Y")</f>
        <v>#NAME?</v>
      </c>
      <c r="CV14" s="2" t="e">
        <f ca="1">_xll.BDH($C$3,"ALTMAN_Z_SCORE","FQ1 2016","FQ1 2016","Currency=INR","Period=FQ","BEST_FPERIOD_OVERRIDE=FQ","FILING_STATUS=OR","EQY_CONSOLIDATED=Y","Sort=A","Dates=H","DateFormat=P","Fill=—","Direction=H","UseDPDF=Y")</f>
        <v>#NAME?</v>
      </c>
      <c r="CW14" s="4" t="e">
        <f ca="1">_xll.BDH($C$3,"ACCT_RCV_TURN","FQ1 2016","FQ1 2016","Currency=INR","Period=FQ","BEST_FPERIOD_OVERRIDE=FQ","FILING_STATUS=OR","EQY_CONSOLIDATED=Y","FA_ADJUSTED=GAAP","Sort=A","Dates=H","DateFormat=P","Fill=—","Direction=H","UseDPDF=Y")</f>
        <v>#NAME?</v>
      </c>
      <c r="CX14" s="2" t="e">
        <f ca="1">_xll.BDH($C$3,"ACCT_RCV_DAYS","FQ1 2016","FQ1 2016","Currency=INR","Period=FQ","BEST_FPERIOD_OVERRIDE=FQ","FILING_STATUS=OR","EQY_CONSOLIDATED=Y","FA_ADJUSTED=GAAP","Sort=A","Dates=H","DateFormat=P","Fill=—","Direction=H","UseDPDF=Y")</f>
        <v>#NAME?</v>
      </c>
      <c r="CY14" s="4" t="e">
        <f ca="1">_xll.BDH($C$3,"INVENT_TURN","FQ1 2016","FQ1 2016","Currency=INR","Period=FQ","BEST_FPERIOD_OVERRIDE=FQ","FILING_STATUS=OR","EQY_CONSOLIDATED=Y","FA_ADJUSTED=GAAP","Sort=A","Dates=H","DateFormat=P","Fill=—","Direction=H","UseDPDF=Y")</f>
        <v>#NAME?</v>
      </c>
      <c r="CZ14" s="2" t="e">
        <f ca="1">_xll.BDH($C$3,"INVENT_DAYS","FQ1 2016","FQ1 2016","Currency=INR","Period=FQ","BEST_FPERIOD_OVERRIDE=FQ","FILING_STATUS=OR","EQY_CONSOLIDATED=Y","FA_ADJUSTED=GAAP","Sort=A","Dates=H","DateFormat=P","Fill=—","Direction=H","UseDPDF=Y")</f>
        <v>#NAME?</v>
      </c>
      <c r="DA14" s="4" t="e">
        <f ca="1">_xll.BDH($C$3,"ACCOUNTS_PAYABLE_TURNOVER","FQ1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14" s="2" t="e">
        <f ca="1">_xll.BDH($C$3,"ACCOUNTS_PAYABLE_TURNOVER_DAYS","FQ1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14" s="4" t="e">
        <f ca="1">_xll.BDH($C$3,"CASH_CONVERSION_CYCLE","FQ1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14" s="4" t="e">
        <f ca="1">_xll.BDH($C$3,"INV_TO_CASH_DAYS","FQ1 2016","FQ1 2016","Currency=INR","Period=FQ","BEST_FPERIOD_OVERRIDE=FQ","FILING_STATUS=OR","EQY_CONSOLIDATED=Y","FA_ADJUSTED=GAAP","Sort=A","Dates=H","DateFormat=P","Fill=—","Direction=H","UseDPDF=Y")</f>
        <v>#NAME?</v>
      </c>
      <c r="DE14" s="5" t="e">
        <f ca="1">_xll.BDH($C$3,"BS_INVENTORIES","FQ1 2016","FQ1 2016","Currency=INR","Period=FQ","BEST_FPERIOD_OVERRIDE=FQ","FILING_STATUS=OR","EQY_CONSOLIDATED=Y","SCALING_FORMAT=MLN","Sort=A","Dates=H","DateFormat=P","Fill=—","Direction=H","UseDPDF=Y")</f>
        <v>#NAME?</v>
      </c>
      <c r="DF14" s="3" t="e">
        <f ca="1">_xll.BDH($C$3,"INVTRY_RAW_MATERIALS","FQ1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14" s="3" t="e">
        <f ca="1">_xll.BDH($C$3,"INVTRY_IN_PROGRESS","FQ1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14" s="3" t="e">
        <f ca="1">_xll.BDH($C$3,"INVTRY_FINISHED_GOODS","FQ1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14" s="3" t="e">
        <f ca="1">_xll.BDH($C$3,"BS_OTHER_INV","FQ1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15" spans="1:113" x14ac:dyDescent="0.3">
      <c r="A15" s="6"/>
      <c r="B15" s="6"/>
      <c r="C15" s="6"/>
      <c r="D15" s="6"/>
      <c r="E15" t="s">
        <v>79</v>
      </c>
      <c r="F15" t="e">
        <f ca="1">_xll.BDH($C$3,"RETURN_COM_EQY","FQ2 2016","FQ2 2016","Currency=INR","Period=FQ","BEST_FPERIOD_OVERRIDE=FQ","FILING_STATUS=OR","EQY_CONSOLIDATED=Y","FA_ADJUSTED=GAAP","Sort=A","Dates=H","DateFormat=P","Fill=—","Direction=H","UseDPDF=Y")</f>
        <v>#NAME?</v>
      </c>
      <c r="G15" t="e">
        <f ca="1">_xll.BDH($C$3,"RETURN_ON_ASSET","FQ2 2016","FQ2 2016","Currency=INR","Period=FQ","BEST_FPERIOD_OVERRIDE=FQ","FILING_STATUS=OR","EQY_CONSOLIDATED=Y","FA_ADJUSTED=GAAP","Sort=A","Dates=H","DateFormat=P","Fill=—","Direction=H","UseDPDF=Y")</f>
        <v>#NAME?</v>
      </c>
      <c r="H15" t="e">
        <f ca="1">_xll.BDH($C$3,"RETURN_ON_CAP","FQ2 2016","FQ2 2016","Currency=INR","Period=FQ","BEST_FPERIOD_OVERRIDE=FQ","FILING_STATUS=OR","EQY_CONSOLIDATED=Y","FA_ADJUSTED=GAAP","Sort=A","Dates=H","DateFormat=P","Fill=—","Direction=H","UseDPDF=Y")</f>
        <v>#NAME?</v>
      </c>
      <c r="I15" t="e">
        <f ca="1">_xll.BDH($C$3,"RETURN_ON_INV_CAPITAL","FQ2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15" t="e">
        <f ca="1">_xll.BDH($C$3,"EBITDA_TO_REVENUE","FQ2 2016","FQ2 2016","Currency=INR","Period=FQ","BEST_FPERIOD_OVERRIDE=FQ","FILING_STATUS=OR","EQY_CONSOLIDATED=Y","FA_ADJUSTED=GAAP","Sort=A","Dates=H","DateFormat=P","Fill=—","Direction=H","UseDPDF=Y")</f>
        <v>#NAME?</v>
      </c>
      <c r="K15" t="e">
        <f ca="1">_xll.BDH($C$3,"OPER_MARGIN","FQ2 2016","FQ2 2016","Currency=INR","Period=FQ","BEST_FPERIOD_OVERRIDE=FQ","FILING_STATUS=OR","EQY_CONSOLIDATED=Y","FA_ADJUSTED=GAAP","Sort=A","Dates=H","DateFormat=P","Fill=—","Direction=H","UseDPDF=Y")</f>
        <v>#NAME?</v>
      </c>
      <c r="L15" t="e">
        <f ca="1">_xll.BDH($C$3,"INCREMENTAL_OPERATING_MARGIN","FQ2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15" t="e">
        <f ca="1">_xll.BDH($C$3,"PRETAX_INC_TO_NET_SALES","FQ2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15" t="e">
        <f ca="1">_xll.BDH($C$3,"INC_BEF_XO_ITEMS_TO_NET_SALES","FQ2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15" t="e">
        <f ca="1">_xll.BDH($C$3,"PROF_MARGIN","FQ2 2016","FQ2 2016","Currency=INR","Period=FQ","BEST_FPERIOD_OVERRIDE=FQ","FILING_STATUS=OR","EQY_CONSOLIDATED=Y","FA_ADJUSTED=GAAP","Sort=A","Dates=H","DateFormat=P","Fill=—","Direction=H","UseDPDF=Y")</f>
        <v>#NAME?</v>
      </c>
      <c r="P15" t="e">
        <f ca="1">_xll.BDH($C$3,"NET_INCOME_TO_COMMON_MARGIN","FQ2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15" t="e">
        <f ca="1">_xll.BDH($C$3,"EFF_TAX_RATE","FQ2 2016","FQ2 2016","Currency=INR","Period=FQ","BEST_FPERIOD_OVERRIDE=FQ","FILING_STATUS=OR","EQY_CONSOLIDATED=Y","FA_ADJUSTED=GAAP","Sort=A","Dates=H","DateFormat=P","Fill=—","Direction=H","UseDPDF=Y")</f>
        <v>#NAME?</v>
      </c>
      <c r="R15" t="e">
        <f ca="1">_xll.BDH($C$3,"DVD_PAYOUT_RATIO","FQ2 2016","FQ2 2016","Currency=INR","Period=FQ","BEST_FPERIOD_OVERRIDE=FQ","FILING_STATUS=OR","EQY_CONSOLIDATED=Y","FA_ADJUSTED=GAAP","Sort=A","Dates=H","DateFormat=P","Fill=—","Direction=H","UseDPDF=Y")</f>
        <v>#NAME?</v>
      </c>
      <c r="S15" t="e">
        <f ca="1">_xll.BDH($C$3,"SUSTAIN_GROWTH_RT","FQ2 2016","FQ2 2016","Currency=INR","Period=FQ","BEST_FPERIOD_OVERRIDE=FQ","FILING_STATUS=OR","EQY_CONSOLIDATED=Y","FA_ADJUSTED=GAAP","Sort=A","Dates=H","DateFormat=P","Fill=—","Direction=H","UseDPDF=Y")</f>
        <v>#NAME?</v>
      </c>
      <c r="T15" s="2" t="e">
        <f ca="1">_xll.BDH($C$3,"SALES_GROWTH","FQ2 2016","FQ2 2016","Currency=INR","Period=FQ","BEST_FPERIOD_OVERRIDE=FQ","FILING_STATUS=OR","EQY_CONSOLIDATED=Y","FA_ADJUSTED=GAAP","Sort=A","Dates=H","DateFormat=P","Fill=—","Direction=H","UseDPDF=Y")</f>
        <v>#NAME?</v>
      </c>
      <c r="U15" s="2" t="e">
        <f ca="1">_xll.BDH($C$3,"EBITDA_GROWTH","FQ2 2016","FQ2 2016","Currency=INR","Period=FQ","BEST_FPERIOD_OVERRIDE=FQ","FILING_STATUS=OR","EQY_CONSOLIDATED=Y","FA_ADJUSTED=GAAP","Sort=A","Dates=H","DateFormat=P","Fill=—","Direction=H","UseDPDF=Y")</f>
        <v>#NAME?</v>
      </c>
      <c r="V15" s="2" t="e">
        <f ca="1">_xll.BDH($C$3,"OPER_INC_GROWTH","FQ2 2016","FQ2 2016","Currency=INR","Period=FQ","BEST_FPERIOD_OVERRIDE=FQ","FILING_STATUS=OR","EQY_CONSOLIDATED=Y","FA_ADJUSTED=GAAP","Sort=A","Dates=H","DateFormat=P","Fill=—","Direction=H","UseDPDF=Y")</f>
        <v>#NAME?</v>
      </c>
      <c r="W15" s="2" t="e">
        <f ca="1">_xll.BDH($C$3,"EARN_FOR_COM_GROWTH","FQ2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15" s="2" t="e">
        <f ca="1">_xll.BDH($C$3,"DILUTED_EPS_AFT_XO_ITEMS_GROWTH","FQ2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15" s="2" t="e">
        <f ca="1">_xll.BDH($C$3,"DIVIDEND_PER_SHARE_1_YEAR_GROWTH","FQ2 2016","FQ2 2016","Currency=INR","Period=FQ","BEST_FPERIOD_OVERRIDE=FQ","FILING_STATUS=OR","EQY_CONSOLIDATED=Y","Sort=A","Dates=H","DateFormat=P","Fill=—","Direction=H","UseDPDF=Y")</f>
        <v>#NAME?</v>
      </c>
      <c r="Z15" s="2" t="e">
        <f ca="1">_xll.BDH($C$3,"ACCOUNTS_RECEIVABLE_GROWTH","FQ2 2016","FQ2 2016","Currency=INR","Period=FQ","BEST_FPERIOD_OVERRIDE=FQ","FILING_STATUS=OR","EQY_CONSOLIDATED=Y","Sort=A","Dates=H","DateFormat=P","Fill=—","Direction=H","UseDPDF=Y")</f>
        <v>#NAME?</v>
      </c>
      <c r="AA15" s="2" t="e">
        <f ca="1">_xll.BDH($C$3,"INVENTORY_GROWTH","FQ2 2016","FQ2 2016","Currency=INR","Period=FQ","BEST_FPERIOD_OVERRIDE=FQ","FILING_STATUS=OR","EQY_CONSOLIDATED=Y","Sort=A","Dates=H","DateFormat=P","Fill=—","Direction=H","UseDPDF=Y")</f>
        <v>#NAME?</v>
      </c>
      <c r="AB15" s="2" t="e">
        <f ca="1">_xll.BDH($C$3,"NET_FIXED_ASSETS_1_YEAR_GROWTH","FQ2 2016","FQ2 2016","Currency=INR","Period=FQ","BEST_FPERIOD_OVERRIDE=FQ","FILING_STATUS=OR","EQY_CONSOLIDATED=Y","Sort=A","Dates=H","DateFormat=P","Fill=—","Direction=H","UseDPDF=Y")</f>
        <v>#NAME?</v>
      </c>
      <c r="AC15" s="2" t="e">
        <f ca="1">_xll.BDH($C$3,"ASSET_GROWTH","FQ2 2016","FQ2 2016","Currency=INR","Period=FQ","BEST_FPERIOD_OVERRIDE=FQ","FILING_STATUS=OR","EQY_CONSOLIDATED=Y","Sort=A","Dates=H","DateFormat=P","Fill=—","Direction=H","UseDPDF=Y")</f>
        <v>#NAME?</v>
      </c>
      <c r="AD15" s="2" t="e">
        <f ca="1">_xll.BDH($C$3,"MODIFIED_WORK_CAP_GROWTH","FQ2 2016","FQ2 2016","Currency=INR","Period=FQ","BEST_FPERIOD_OVERRIDE=FQ","FILING_STATUS=OR","EQY_CONSOLIDATED=Y","Sort=A","Dates=H","DateFormat=P","Fill=—","Direction=H","UseDPDF=Y")</f>
        <v>#NAME?</v>
      </c>
      <c r="AE15" s="2" t="e">
        <f ca="1">_xll.BDH($C$3,"WORK_CAP_GROWTH","FQ2 2016","FQ2 2016","Currency=INR","Period=FQ","BEST_FPERIOD_OVERRIDE=FQ","FILING_STATUS=OR","EQY_CONSOLIDATED=Y","Sort=A","Dates=H","DateFormat=P","Fill=—","Direction=H","UseDPDF=Y")</f>
        <v>#NAME?</v>
      </c>
      <c r="AF15" s="2" t="e">
        <f ca="1">_xll.BDH($C$3,"ACCOUNTS_PAYABLE_GROWTH_1YR","FQ2 2016","FQ2 2016","Currency=INR","Period=FQ","BEST_FPERIOD_OVERRIDE=FQ","FILING_STATUS=OR","EQY_CONSOLIDATED=Y","Sort=A","Dates=H","DateFormat=P","Fill=—","Direction=H","UseDPDF=Y")</f>
        <v>#NAME?</v>
      </c>
      <c r="AG15" s="2" t="e">
        <f ca="1">_xll.BDH($C$3,"SHORT_TERM_DEBT_1_YEAR_GROWTH","FQ2 2016","FQ2 2016","Currency=INR","Period=FQ","BEST_FPERIOD_OVERRIDE=FQ","FILING_STATUS=OR","EQY_CONSOLIDATED=Y","Sort=A","Dates=H","DateFormat=P","Fill=—","Direction=H","UseDPDF=Y")</f>
        <v>#NAME?</v>
      </c>
      <c r="AH15" s="2" t="e">
        <f ca="1">_xll.BDH($C$3,"TOTAL_DEBT_1_YEAR_GROWTH","FQ2 2016","FQ2 2016","Currency=INR","Period=FQ","BEST_FPERIOD_OVERRIDE=FQ","FILING_STATUS=OR","EQY_CONSOLIDATED=Y","Sort=A","Dates=H","DateFormat=P","Fill=—","Direction=H","UseDPDF=Y")</f>
        <v>#NAME?</v>
      </c>
      <c r="AI15" s="2" t="e">
        <f ca="1">_xll.BDH($C$3,"TOTAL_EQUITY_1_YEAR_GROWTH","FQ2 2016","FQ2 2016","Currency=INR","Period=FQ","BEST_FPERIOD_OVERRIDE=FQ","FILING_STATUS=OR","EQY_CONSOLIDATED=Y","Sort=A","Dates=H","DateFormat=P","Fill=—","Direction=H","UseDPDF=Y")</f>
        <v>#NAME?</v>
      </c>
      <c r="AJ15" s="2" t="e">
        <f ca="1">_xll.BDH($C$3,"GROWTH_IN_CAP","FQ2 2016","FQ2 2016","Currency=INR","Period=FQ","BEST_FPERIOD_OVERRIDE=FQ","FILING_STATUS=OR","EQY_CONSOLIDATED=Y","Sort=A","Dates=H","DateFormat=P","Fill=—","Direction=H","UseDPDF=Y")</f>
        <v>#NAME?</v>
      </c>
      <c r="AK15" s="2" t="e">
        <f ca="1">_xll.BDH($C$3,"BVPS_GROWTH","FQ2 2016","FQ2 2016","Currency=INR","Period=FQ","BEST_FPERIOD_OVERRIDE=FQ","FILING_STATUS=OR","EQY_CONSOLIDATED=Y","Sort=A","Dates=H","DateFormat=P","Fill=—","Direction=H","UseDPDF=Y")</f>
        <v>#NAME?</v>
      </c>
      <c r="AL15" s="2" t="e">
        <f ca="1">_xll.BDH($C$3,"CASH_FLOW_GROWTH","FQ2 2016","FQ2 2016","Currency=INR","Period=FQ","BEST_FPERIOD_OVERRIDE=FQ","FILING_STATUS=OR","EQY_CONSOLIDATED=Y","Sort=A","Dates=H","DateFormat=P","Fill=—","Direction=H","UseDPDF=Y")</f>
        <v>#NAME?</v>
      </c>
      <c r="AM15" s="2" t="e">
        <f ca="1">_xll.BDH($C$3,"GEO_GROW_NET_SALES","FQ2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15" s="2" t="e">
        <f ca="1">_xll.BDH($C$3,"GEO_GROW_EBITDA","FQ2 2016","FQ2 2016","Currency=INR","Period=FQ","BEST_FPERIOD_OVERRIDE=FQ","FILING_STATUS=OR","EQY_CONSOLIDATED=Y","FA_ADJUSTED=GAAP","Sort=A","Dates=H","DateFormat=P","Fill=—","Direction=H","UseDPDF=Y")</f>
        <v>#NAME?</v>
      </c>
      <c r="AO15" s="2" t="e">
        <f ca="1">_xll.BDH($C$3,"GEO_GROW_OPER_INC","FQ2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15" s="2" t="e">
        <f ca="1">_xll.BDH($C$3,"NET_INCOME_TO_COMMON_5_YR_GROWTH","FQ2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15" s="2" t="e">
        <f ca="1">_xll.BDH($C$3,"5Y_GEO_GROWTH_DILUTED_EPS","FQ2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15" s="2" t="e">
        <f ca="1">_xll.BDH($C$3,"GEO_GROW_DVD_PER_SH","FQ2 2016","FQ2 2016","Currency=INR","Period=FQ","BEST_FPERIOD_OVERRIDE=FQ","FILING_STATUS=OR","EQY_CONSOLIDATED=Y","Sort=A","Dates=H","DateFormat=P","Fill=—","Direction=H","UseDPDF=Y")</f>
        <v>#NAME?</v>
      </c>
      <c r="AS15" s="2" t="e">
        <f ca="1">_xll.BDH($C$3,"ACCOUNTS_RECEIVABLE_5_YR_GROWTH","FQ2 2016","FQ2 2016","Currency=INR","Period=FQ","BEST_FPERIOD_OVERRIDE=FQ","FILING_STATUS=OR","EQY_CONSOLIDATED=Y","Sort=A","Dates=H","DateFormat=P","Fill=—","Direction=H","UseDPDF=Y")</f>
        <v>#NAME?</v>
      </c>
      <c r="AT15" s="2" t="e">
        <f ca="1">_xll.BDH($C$3,"INVENTORY_5_YEAR_GROWTH","FQ2 2016","FQ2 2016","Currency=INR","Period=FQ","BEST_FPERIOD_OVERRIDE=FQ","FILING_STATUS=OR","EQY_CONSOLIDATED=Y","Sort=A","Dates=H","DateFormat=P","Fill=—","Direction=H","UseDPDF=Y")</f>
        <v>#NAME?</v>
      </c>
      <c r="AU15" s="2" t="e">
        <f ca="1">_xll.BDH($C$3,"NET_FIXED_ASSETS_5_YEAR_GROWTH","FQ2 2016","FQ2 2016","Currency=INR","Period=FQ","BEST_FPERIOD_OVERRIDE=FQ","FILING_STATUS=OR","EQY_CONSOLIDATED=Y","Sort=A","Dates=H","DateFormat=P","Fill=—","Direction=H","UseDPDF=Y")</f>
        <v>#NAME?</v>
      </c>
      <c r="AV15" s="2" t="e">
        <f ca="1">_xll.BDH($C$3,"GEO_GROW_TOT_ASSET","FQ2 2016","FQ2 2016","Currency=INR","Period=FQ","BEST_FPERIOD_OVERRIDE=FQ","FILING_STATUS=OR","EQY_CONSOLIDATED=Y","Sort=A","Dates=H","DateFormat=P","Fill=—","Direction=H","UseDPDF=Y")</f>
        <v>#NAME?</v>
      </c>
      <c r="AW15" s="2" t="e">
        <f ca="1">_xll.BDH($C$3,"MODIFIED_WORKING_CPTL_5YR_GRWTH","FQ2 2016","FQ2 2016","Currency=INR","Period=FQ","BEST_FPERIOD_OVERRIDE=FQ","FILING_STATUS=OR","EQY_CONSOLIDATED=Y","Sort=A","Dates=H","DateFormat=P","Fill=—","Direction=H","UseDPDF=Y")</f>
        <v>#NAME?</v>
      </c>
      <c r="AX15" s="2" t="e">
        <f ca="1">_xll.BDH($C$3,"WORKING_CAPITAL_5_YEAR_GROWTH","FQ2 2016","FQ2 2016","Currency=INR","Period=FQ","BEST_FPERIOD_OVERRIDE=FQ","FILING_STATUS=OR","EQY_CONSOLIDATED=Y","Sort=A","Dates=H","DateFormat=P","Fill=—","Direction=H","UseDPDF=Y")</f>
        <v>#NAME?</v>
      </c>
      <c r="AY15" s="2" t="e">
        <f ca="1">_xll.BDH($C$3,"ACCOUNTS_PAYABLE_5_YEAR_GROWTH","FQ2 2016","FQ2 2016","Currency=INR","Period=FQ","BEST_FPERIOD_OVERRIDE=FQ","FILING_STATUS=OR","EQY_CONSOLIDATED=Y","Sort=A","Dates=H","DateFormat=P","Fill=—","Direction=H","UseDPDF=Y")</f>
        <v>#NAME?</v>
      </c>
      <c r="AZ15" s="2" t="e">
        <f ca="1">_xll.BDH($C$3,"SHORT_TERM_DEBT_5_YEAR_GROWTH","FQ2 2016","FQ2 2016","Currency=INR","Period=FQ","BEST_FPERIOD_OVERRIDE=FQ","FILING_STATUS=OR","EQY_CONSOLIDATED=Y","Sort=A","Dates=H","DateFormat=P","Fill=—","Direction=H","UseDPDF=Y")</f>
        <v>#NAME?</v>
      </c>
      <c r="BA15" s="2" t="e">
        <f ca="1">_xll.BDH($C$3,"TOTAL_DEBT_5_YEAR_GROWTH","FQ2 2016","FQ2 2016","Currency=INR","Period=FQ","BEST_FPERIOD_OVERRIDE=FQ","FILING_STATUS=OR","EQY_CONSOLIDATED=Y","Sort=A","Dates=H","DateFormat=P","Fill=—","Direction=H","UseDPDF=Y")</f>
        <v>#NAME?</v>
      </c>
      <c r="BB15" s="2" t="e">
        <f ca="1">_xll.BDH($C$3,"GEO_GROW_TOT_SHRHLDR_EQY","FQ2 2016","FQ2 2016","Currency=INR","Period=FQ","BEST_FPERIOD_OVERRIDE=FQ","FILING_STATUS=OR","EQY_CONSOLIDATED=Y","Sort=A","Dates=H","DateFormat=P","Fill=—","Direction=H","UseDPDF=Y")</f>
        <v>#NAME?</v>
      </c>
      <c r="BC15" s="2" t="e">
        <f ca="1">_xll.BDH($C$3,"TOTAL_CAPITAL_5_YEAR_GROWTH","FQ2 2016","FQ2 2016","Currency=INR","Period=FQ","BEST_FPERIOD_OVERRIDE=FQ","FILING_STATUS=OR","EQY_CONSOLIDATED=Y","Sort=A","Dates=H","DateFormat=P","Fill=—","Direction=H","UseDPDF=Y")</f>
        <v>#NAME?</v>
      </c>
      <c r="BD15" s="2" t="e">
        <f ca="1">_xll.BDH($C$3,"GEO_GROW_BOOK_VAL","FQ2 2016","FQ2 2016","Currency=INR","Period=FQ","BEST_FPERIOD_OVERRIDE=FQ","FILING_STATUS=OR","EQY_CONSOLIDATED=Y","Sort=A","Dates=H","DateFormat=P","Fill=—","Direction=H","UseDPDF=Y")</f>
        <v>#NAME?</v>
      </c>
      <c r="BE15" s="2" t="e">
        <f ca="1">_xll.BDH($C$3,"GEO_GROW_CASH_OPER_ACT","FQ2 2016","FQ2 2016","Currency=INR","Period=FQ","BEST_FPERIOD_OVERRIDE=FQ","FILING_STATUS=OR","EQY_CONSOLIDATED=Y","Sort=A","Dates=H","DateFormat=P","Fill=—","Direction=H","UseDPDF=Y")</f>
        <v>#NAME?</v>
      </c>
      <c r="BF15" s="2" t="e">
        <f ca="1">_xll.BDH($C$3,"REVENUE_SEQUENTIAL_GROWTH","FQ2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15" s="2" t="e">
        <f ca="1">_xll.BDH($C$3,"EBITDA_SEQUENTIAL_GROWTH","FQ2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15" s="2" t="e">
        <f ca="1">_xll.BDH($C$3,"OPERATING_INCOME_SEQ_GROWTH","FQ2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15" s="2" t="e">
        <f ca="1">_xll.BDH($C$3,"NET_INCOME_TO_COMMON_SEQ_GROWTH","FQ2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15" s="2" t="e">
        <f ca="1">_xll.BDH($C$3,"EPS_DILUTED_SEQUENTIAL_GROWTH","FQ2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15" s="2" t="e">
        <f ca="1">_xll.BDH($C$3,"DPS_SEQUENTIAL_GROWTH","FQ2 2016","FQ2 2016","Currency=INR","Period=FQ","BEST_FPERIOD_OVERRIDE=FQ","FILING_STATUS=OR","EQY_CONSOLIDATED=Y","Sort=A","Dates=H","DateFormat=P","Fill=—","Direction=H","UseDPDF=Y")</f>
        <v>#NAME?</v>
      </c>
      <c r="BL15" s="2" t="e">
        <f ca="1">_xll.BDH($C$3,"ACCOUNTS_RECEIVABLE_SEQ_GROWTH","FQ2 2016","FQ2 2016","Currency=INR","Period=FQ","BEST_FPERIOD_OVERRIDE=FQ","FILING_STATUS=OR","EQY_CONSOLIDATED=Y","Sort=A","Dates=H","DateFormat=P","Fill=—","Direction=H","UseDPDF=Y")</f>
        <v>#NAME?</v>
      </c>
      <c r="BM15" s="2" t="e">
        <f ca="1">_xll.BDH($C$3,"INVENTORY_SEQUENTIAL_GROWTH","FQ2 2016","FQ2 2016","Currency=INR","Period=FQ","BEST_FPERIOD_OVERRIDE=FQ","FILING_STATUS=OR","EQY_CONSOLIDATED=Y","Sort=A","Dates=H","DateFormat=P","Fill=—","Direction=H","UseDPDF=Y")</f>
        <v>#NAME?</v>
      </c>
      <c r="BN15" s="2" t="e">
        <f ca="1">_xll.BDH($C$3,"FIXED_ASSETS_SEQUENTIAL_GROWTH","FQ2 2016","FQ2 2016","Currency=INR","Period=FQ","BEST_FPERIOD_OVERRIDE=FQ","FILING_STATUS=OR","EQY_CONSOLIDATED=Y","Sort=A","Dates=H","DateFormat=P","Fill=—","Direction=H","UseDPDF=Y")</f>
        <v>#NAME?</v>
      </c>
      <c r="BO15" s="2" t="e">
        <f ca="1">_xll.BDH($C$3,"TOTAL_ASSETS_SEQUENTIAL_GROWTH","FQ2 2016","FQ2 2016","Currency=INR","Period=FQ","BEST_FPERIOD_OVERRIDE=FQ","FILING_STATUS=OR","EQY_CONSOLIDATED=Y","Sort=A","Dates=H","DateFormat=P","Fill=—","Direction=H","UseDPDF=Y")</f>
        <v>#NAME?</v>
      </c>
      <c r="BP15" s="2" t="e">
        <f ca="1">_xll.BDH($C$3,"MODIFIED_WORKING_CPTL_SEQ_GRWTH","FQ2 2016","FQ2 2016","Currency=INR","Period=FQ","BEST_FPERIOD_OVERRIDE=FQ","FILING_STATUS=OR","EQY_CONSOLIDATED=Y","Sort=A","Dates=H","DateFormat=P","Fill=—","Direction=H","UseDPDF=Y")</f>
        <v>#NAME?</v>
      </c>
      <c r="BQ15" s="2" t="e">
        <f ca="1">_xll.BDH($C$3,"WORKING_CAPITAL_SEQ_GROWTH","FQ2 2016","FQ2 2016","Currency=INR","Period=FQ","BEST_FPERIOD_OVERRIDE=FQ","FILING_STATUS=OR","EQY_CONSOLIDATED=Y","Sort=A","Dates=H","DateFormat=P","Fill=—","Direction=H","UseDPDF=Y")</f>
        <v>#NAME?</v>
      </c>
      <c r="BR15" s="2" t="e">
        <f ca="1">_xll.BDH($C$3,"ACCOUNTS_PAYABLE_SEQ_GROWTH","FQ2 2016","FQ2 2016","Currency=INR","Period=FQ","BEST_FPERIOD_OVERRIDE=FQ","FILING_STATUS=OR","EQY_CONSOLIDATED=Y","Sort=A","Dates=H","DateFormat=P","Fill=—","Direction=H","UseDPDF=Y")</f>
        <v>#NAME?</v>
      </c>
      <c r="BS15" s="2" t="e">
        <f ca="1">_xll.BDH($C$3,"ST_DEBT_SEQUENTIAL_GROWTH","FQ2 2016","FQ2 2016","Currency=INR","Period=FQ","BEST_FPERIOD_OVERRIDE=FQ","FILING_STATUS=OR","EQY_CONSOLIDATED=Y","Sort=A","Dates=H","DateFormat=P","Fill=—","Direction=H","UseDPDF=Y")</f>
        <v>#NAME?</v>
      </c>
      <c r="BT15" s="2" t="e">
        <f ca="1">_xll.BDH($C$3,"TOTAL_DEBT_SEQUENTIAL_GROWTH","FQ2 2016","FQ2 2016","Currency=INR","Period=FQ","BEST_FPERIOD_OVERRIDE=FQ","FILING_STATUS=OR","EQY_CONSOLIDATED=Y","Sort=A","Dates=H","DateFormat=P","Fill=—","Direction=H","UseDPDF=Y")</f>
        <v>#NAME?</v>
      </c>
      <c r="BU15" s="2" t="e">
        <f ca="1">_xll.BDH($C$3,"TOTAL_EQUITY_SEQUENTIAL_GROWTH","FQ2 2016","FQ2 2016","Currency=INR","Period=FQ","BEST_FPERIOD_OVERRIDE=FQ","FILING_STATUS=OR","EQY_CONSOLIDATED=Y","Sort=A","Dates=H","DateFormat=P","Fill=—","Direction=H","UseDPDF=Y")</f>
        <v>#NAME?</v>
      </c>
      <c r="BV15" s="2" t="e">
        <f ca="1">_xll.BDH($C$3,"TOTAL_CAPITAL_SEQUENTIAL_GROWTH","FQ2 2016","FQ2 2016","Currency=INR","Period=FQ","BEST_FPERIOD_OVERRIDE=FQ","FILING_STATUS=OR","EQY_CONSOLIDATED=Y","Sort=A","Dates=H","DateFormat=P","Fill=—","Direction=H","UseDPDF=Y")</f>
        <v>#NAME?</v>
      </c>
      <c r="BW15" s="2" t="e">
        <f ca="1">_xll.BDH($C$3,"BPS_SEQUENTIAL_GROWTH","FQ2 2016","FQ2 2016","Currency=INR","Period=FQ","BEST_FPERIOD_OVERRIDE=FQ","FILING_STATUS=OR","EQY_CONSOLIDATED=Y","Sort=A","Dates=H","DateFormat=P","Fill=—","Direction=H","UseDPDF=Y")</f>
        <v>#NAME?</v>
      </c>
      <c r="BX15" s="2" t="e">
        <f ca="1">_xll.BDH($C$3,"CFO_SEQUENTIAL_GROWTH","FQ2 2016","FQ2 2016","Currency=INR","Period=FQ","BEST_FPERIOD_OVERRIDE=FQ","FILING_STATUS=OR","EQY_CONSOLIDATED=Y","Sort=A","Dates=H","DateFormat=P","Fill=—","Direction=H","UseDPDF=Y")</f>
        <v>#NAME?</v>
      </c>
      <c r="BY15" s="3" t="e">
        <f ca="1">_xll.BDH($C$3,"SHORT_AND_LONG_TERM_DEBT","FQ2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15" s="3" t="e">
        <f ca="1">_xll.BDH($C$3,"BS_ST_BORROW","FQ2 2016","FQ2 2016","Currency=INR","Period=FQ","BEST_FPERIOD_OVERRIDE=FQ","FILING_STATUS=OR","EQY_CONSOLIDATED=Y","SCALING_FORMAT=MLN","Sort=A","Dates=H","DateFormat=P","Fill=—","Direction=H","UseDPDF=Y")</f>
        <v>#NAME?</v>
      </c>
      <c r="CA15" s="3" t="e">
        <f ca="1">_xll.BDH($C$3,"BS_LT_BORROW","FQ2 2016","FQ2 2016","Currency=INR","Period=FQ","BEST_FPERIOD_OVERRIDE=FQ","FILING_STATUS=OR","EQY_CONSOLIDATED=Y","SCALING_FORMAT=MLN","Sort=A","Dates=H","DateFormat=P","Fill=—","Direction=H","UseDPDF=Y")</f>
        <v>#NAME?</v>
      </c>
      <c r="CB15" s="2" t="e">
        <f ca="1">_xll.BDH($C$3,"TOT_DEBT_TO_EBITDA","FQ2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15" s="2" t="e">
        <f ca="1">_xll.BDH($C$3,"NET_DEBT_TO_EBITDA","FQ2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15" s="2" t="e">
        <f ca="1">_xll.BDH($C$3,"TOTAL_DEBT_TO_EBIT","FQ2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15" s="2" t="e">
        <f ca="1">_xll.BDH($C$3,"NET_DEBT_TO_EBIT","FQ2 2016","FQ2 2016","Currency=INR","Period=FQ","BEST_FPERIOD_OVERRIDE=FQ","FILING_STATUS=OR","EQY_CONSOLIDATED=Y","FA_ADJUSTED=GAAP","Sort=A","Dates=H","DateFormat=P","Fill=—","Direction=H","UseDPDF=Y")</f>
        <v>#NAME?</v>
      </c>
      <c r="CF15" s="2" t="e">
        <f ca="1">_xll.BDH($C$3,"EBITDA_TO_INTEREST_EXPN","FQ2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15" s="2" t="e">
        <f ca="1">_xll.BDH($C$3,"COM_EQY_TO_TOT_ASSET","FQ2 2016","FQ2 2016","Currency=INR","Period=FQ","BEST_FPERIOD_OVERRIDE=FQ","FILING_STATUS=OR","EQY_CONSOLIDATED=Y","Sort=A","Dates=H","DateFormat=P","Fill=—","Direction=H","UseDPDF=Y")</f>
        <v>#NAME?</v>
      </c>
      <c r="CH15" s="2" t="e">
        <f ca="1">_xll.BDH($C$3,"LT_DEBT_TO_TOT_EQY","FQ2 2016","FQ2 2016","Currency=INR","Period=FQ","BEST_FPERIOD_OVERRIDE=FQ","FILING_STATUS=OR","EQY_CONSOLIDATED=Y","Sort=A","Dates=H","DateFormat=P","Fill=—","Direction=H","UseDPDF=Y")</f>
        <v>#NAME?</v>
      </c>
      <c r="CI15" s="2" t="e">
        <f ca="1">_xll.BDH($C$3,"LT_DEBT_TO_TOT_CAP","FQ2 2016","FQ2 2016","Currency=INR","Period=FQ","BEST_FPERIOD_OVERRIDE=FQ","FILING_STATUS=OR","EQY_CONSOLIDATED=Y","Sort=A","Dates=H","DateFormat=P","Fill=—","Direction=H","UseDPDF=Y")</f>
        <v>#NAME?</v>
      </c>
      <c r="CJ15" s="2" t="e">
        <f ca="1">_xll.BDH($C$3,"LT_DEBT_TO_TOT_ASSET","FQ2 2016","FQ2 2016","Currency=INR","Period=FQ","BEST_FPERIOD_OVERRIDE=FQ","FILING_STATUS=OR","EQY_CONSOLIDATED=Y","Sort=A","Dates=H","DateFormat=P","Fill=—","Direction=H","UseDPDF=Y")</f>
        <v>#NAME?</v>
      </c>
      <c r="CK15" s="2" t="e">
        <f ca="1">_xll.BDH($C$3,"TOT_DEBT_TO_TOT_EQY","FQ2 2016","FQ2 2016","Currency=INR","Period=FQ","BEST_FPERIOD_OVERRIDE=FQ","FILING_STATUS=OR","EQY_CONSOLIDATED=Y","Sort=A","Dates=H","DateFormat=P","Fill=—","Direction=H","UseDPDF=Y")</f>
        <v>#NAME?</v>
      </c>
      <c r="CL15" s="2" t="e">
        <f ca="1">_xll.BDH($C$3,"TOT_DEBT_TO_TOT_CAP","FQ2 2016","FQ2 2016","Currency=INR","Period=FQ","BEST_FPERIOD_OVERRIDE=FQ","FILING_STATUS=OR","EQY_CONSOLIDATED=Y","Sort=A","Dates=H","DateFormat=P","Fill=—","Direction=H","UseDPDF=Y")</f>
        <v>#NAME?</v>
      </c>
      <c r="CM15" s="2" t="e">
        <f ca="1">_xll.BDH($C$3,"TOT_DEBT_TO_TOT_ASSET","FQ2 2016","FQ2 2016","Currency=INR","Period=FQ","BEST_FPERIOD_OVERRIDE=FQ","FILING_STATUS=OR","EQY_CONSOLIDATED=Y","Sort=A","Dates=H","DateFormat=P","Fill=—","Direction=H","UseDPDF=Y")</f>
        <v>#NAME?</v>
      </c>
      <c r="CN15" s="2" t="e">
        <f ca="1">_xll.BDH($C$3,"NET_DEBT_TO_SHRHLDR_EQTY","FQ2 2016","FQ2 2016","Currency=INR","Period=FQ","BEST_FPERIOD_OVERRIDE=FQ","FILING_STATUS=OR","EQY_CONSOLIDATED=Y","Sort=A","Dates=H","DateFormat=P","Fill=—","Direction=H","UseDPDF=Y")</f>
        <v>#NAME?</v>
      </c>
      <c r="CO15" s="2" t="e">
        <f ca="1">_xll.BDH($C$3,"NET_DEBT_%_CAPITAL","FQ2 2016","FQ2 2016","Currency=INR","Period=FQ","BEST_FPERIOD_OVERRIDE=FQ","FILING_STATUS=OR","EQY_CONSOLIDATED=Y","Sort=A","Dates=H","DateFormat=P","Fill=—","Direction=H","UseDPDF=Y")</f>
        <v>#NAME?</v>
      </c>
      <c r="CP15" s="3" t="e">
        <f ca="1">_xll.BDH($C$3,"EBITDA","FQ2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15" s="3" t="e">
        <f ca="1">_xll.BDH($C$3,"EBITDA_AFTER_CAPEX","FQ2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15" s="3" t="e">
        <f ca="1">_xll.BDH($C$3,"IS_OPER_INC","FQ2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15" s="2" t="e">
        <f ca="1">_xll.BDH($C$3,"CASH_RATIO","FQ2 2016","FQ2 2016","Currency=INR","Period=FQ","BEST_FPERIOD_OVERRIDE=FQ","FILING_STATUS=OR","EQY_CONSOLIDATED=Y","Sort=A","Dates=H","DateFormat=P","Fill=—","Direction=H","UseDPDF=Y")</f>
        <v>#NAME?</v>
      </c>
      <c r="CT15" s="2" t="e">
        <f ca="1">_xll.BDH($C$3,"CUR_RATIO","FQ2 2016","FQ2 2016","Currency=INR","Period=FQ","BEST_FPERIOD_OVERRIDE=FQ","FILING_STATUS=OR","EQY_CONSOLIDATED=Y","Sort=A","Dates=H","DateFormat=P","Fill=—","Direction=H","UseDPDF=Y")</f>
        <v>#NAME?</v>
      </c>
      <c r="CU15" s="2" t="e">
        <f ca="1">_xll.BDH($C$3,"QUICK_RATIO","FQ2 2016","FQ2 2016","Currency=INR","Period=FQ","BEST_FPERIOD_OVERRIDE=FQ","FILING_STATUS=OR","EQY_CONSOLIDATED=Y","Sort=A","Dates=H","DateFormat=P","Fill=—","Direction=H","UseDPDF=Y")</f>
        <v>#NAME?</v>
      </c>
      <c r="CV15" s="2" t="e">
        <f ca="1">_xll.BDH($C$3,"ALTMAN_Z_SCORE","FQ2 2016","FQ2 2016","Currency=INR","Period=FQ","BEST_FPERIOD_OVERRIDE=FQ","FILING_STATUS=OR","EQY_CONSOLIDATED=Y","Sort=A","Dates=H","DateFormat=P","Fill=—","Direction=H","UseDPDF=Y")</f>
        <v>#NAME?</v>
      </c>
      <c r="CW15" s="4" t="e">
        <f ca="1">_xll.BDH($C$3,"ACCT_RCV_TURN","FQ2 2016","FQ2 2016","Currency=INR","Period=FQ","BEST_FPERIOD_OVERRIDE=FQ","FILING_STATUS=OR","EQY_CONSOLIDATED=Y","FA_ADJUSTED=GAAP","Sort=A","Dates=H","DateFormat=P","Fill=—","Direction=H","UseDPDF=Y")</f>
        <v>#NAME?</v>
      </c>
      <c r="CX15" s="2" t="e">
        <f ca="1">_xll.BDH($C$3,"ACCT_RCV_DAYS","FQ2 2016","FQ2 2016","Currency=INR","Period=FQ","BEST_FPERIOD_OVERRIDE=FQ","FILING_STATUS=OR","EQY_CONSOLIDATED=Y","FA_ADJUSTED=GAAP","Sort=A","Dates=H","DateFormat=P","Fill=—","Direction=H","UseDPDF=Y")</f>
        <v>#NAME?</v>
      </c>
      <c r="CY15" s="4" t="e">
        <f ca="1">_xll.BDH($C$3,"INVENT_TURN","FQ2 2016","FQ2 2016","Currency=INR","Period=FQ","BEST_FPERIOD_OVERRIDE=FQ","FILING_STATUS=OR","EQY_CONSOLIDATED=Y","FA_ADJUSTED=GAAP","Sort=A","Dates=H","DateFormat=P","Fill=—","Direction=H","UseDPDF=Y")</f>
        <v>#NAME?</v>
      </c>
      <c r="CZ15" s="2" t="e">
        <f ca="1">_xll.BDH($C$3,"INVENT_DAYS","FQ2 2016","FQ2 2016","Currency=INR","Period=FQ","BEST_FPERIOD_OVERRIDE=FQ","FILING_STATUS=OR","EQY_CONSOLIDATED=Y","FA_ADJUSTED=GAAP","Sort=A","Dates=H","DateFormat=P","Fill=—","Direction=H","UseDPDF=Y")</f>
        <v>#NAME?</v>
      </c>
      <c r="DA15" s="4" t="e">
        <f ca="1">_xll.BDH($C$3,"ACCOUNTS_PAYABLE_TURNOVER","FQ2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15" s="2" t="e">
        <f ca="1">_xll.BDH($C$3,"ACCOUNTS_PAYABLE_TURNOVER_DAYS","FQ2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15" s="4" t="e">
        <f ca="1">_xll.BDH($C$3,"CASH_CONVERSION_CYCLE","FQ2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15" s="4" t="e">
        <f ca="1">_xll.BDH($C$3,"INV_TO_CASH_DAYS","FQ2 2016","FQ2 2016","Currency=INR","Period=FQ","BEST_FPERIOD_OVERRIDE=FQ","FILING_STATUS=OR","EQY_CONSOLIDATED=Y","FA_ADJUSTED=GAAP","Sort=A","Dates=H","DateFormat=P","Fill=—","Direction=H","UseDPDF=Y")</f>
        <v>#NAME?</v>
      </c>
      <c r="DE15" s="5" t="e">
        <f ca="1">_xll.BDH($C$3,"BS_INVENTORIES","FQ2 2016","FQ2 2016","Currency=INR","Period=FQ","BEST_FPERIOD_OVERRIDE=FQ","FILING_STATUS=OR","EQY_CONSOLIDATED=Y","SCALING_FORMAT=MLN","Sort=A","Dates=H","DateFormat=P","Fill=—","Direction=H","UseDPDF=Y")</f>
        <v>#NAME?</v>
      </c>
      <c r="DF15" s="3" t="e">
        <f ca="1">_xll.BDH($C$3,"INVTRY_RAW_MATERIALS","FQ2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15" s="3" t="e">
        <f ca="1">_xll.BDH($C$3,"INVTRY_IN_PROGRESS","FQ2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15" s="3" t="e">
        <f ca="1">_xll.BDH($C$3,"INVTRY_FINISHED_GOODS","FQ2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15" s="3" t="e">
        <f ca="1">_xll.BDH($C$3,"BS_OTHER_INV","FQ2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16" spans="1:113" x14ac:dyDescent="0.3">
      <c r="A16" s="6"/>
      <c r="B16" s="6"/>
      <c r="C16" s="6"/>
      <c r="D16" s="6"/>
      <c r="E16" t="s">
        <v>80</v>
      </c>
      <c r="F16" t="e">
        <f ca="1">_xll.BDH($C$3,"RETURN_COM_EQY","FQ3 2016","FQ3 2016","Currency=INR","Period=FQ","BEST_FPERIOD_OVERRIDE=FQ","FILING_STATUS=OR","EQY_CONSOLIDATED=Y","FA_ADJUSTED=GAAP","Sort=A","Dates=H","DateFormat=P","Fill=—","Direction=H","UseDPDF=Y")</f>
        <v>#NAME?</v>
      </c>
      <c r="G16" t="e">
        <f ca="1">_xll.BDH($C$3,"RETURN_ON_ASSET","FQ3 2016","FQ3 2016","Currency=INR","Period=FQ","BEST_FPERIOD_OVERRIDE=FQ","FILING_STATUS=OR","EQY_CONSOLIDATED=Y","FA_ADJUSTED=GAAP","Sort=A","Dates=H","DateFormat=P","Fill=—","Direction=H","UseDPDF=Y")</f>
        <v>#NAME?</v>
      </c>
      <c r="H16" t="e">
        <f ca="1">_xll.BDH($C$3,"RETURN_ON_CAP","FQ3 2016","FQ3 2016","Currency=INR","Period=FQ","BEST_FPERIOD_OVERRIDE=FQ","FILING_STATUS=OR","EQY_CONSOLIDATED=Y","FA_ADJUSTED=GAAP","Sort=A","Dates=H","DateFormat=P","Fill=—","Direction=H","UseDPDF=Y")</f>
        <v>#NAME?</v>
      </c>
      <c r="I16" t="e">
        <f ca="1">_xll.BDH($C$3,"RETURN_ON_INV_CAPITAL","FQ3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16" t="e">
        <f ca="1">_xll.BDH($C$3,"EBITDA_TO_REVENUE","FQ3 2016","FQ3 2016","Currency=INR","Period=FQ","BEST_FPERIOD_OVERRIDE=FQ","FILING_STATUS=OR","EQY_CONSOLIDATED=Y","FA_ADJUSTED=GAAP","Sort=A","Dates=H","DateFormat=P","Fill=—","Direction=H","UseDPDF=Y")</f>
        <v>#NAME?</v>
      </c>
      <c r="K16" t="e">
        <f ca="1">_xll.BDH($C$3,"OPER_MARGIN","FQ3 2016","FQ3 2016","Currency=INR","Period=FQ","BEST_FPERIOD_OVERRIDE=FQ","FILING_STATUS=OR","EQY_CONSOLIDATED=Y","FA_ADJUSTED=GAAP","Sort=A","Dates=H","DateFormat=P","Fill=—","Direction=H","UseDPDF=Y")</f>
        <v>#NAME?</v>
      </c>
      <c r="L16" t="e">
        <f ca="1">_xll.BDH($C$3,"INCREMENTAL_OPERATING_MARGIN","FQ3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16" t="e">
        <f ca="1">_xll.BDH($C$3,"PRETAX_INC_TO_NET_SALES","FQ3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16" t="e">
        <f ca="1">_xll.BDH($C$3,"INC_BEF_XO_ITEMS_TO_NET_SALES","FQ3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16" t="e">
        <f ca="1">_xll.BDH($C$3,"PROF_MARGIN","FQ3 2016","FQ3 2016","Currency=INR","Period=FQ","BEST_FPERIOD_OVERRIDE=FQ","FILING_STATUS=OR","EQY_CONSOLIDATED=Y","FA_ADJUSTED=GAAP","Sort=A","Dates=H","DateFormat=P","Fill=—","Direction=H","UseDPDF=Y")</f>
        <v>#NAME?</v>
      </c>
      <c r="P16" t="e">
        <f ca="1">_xll.BDH($C$3,"NET_INCOME_TO_COMMON_MARGIN","FQ3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16" t="e">
        <f ca="1">_xll.BDH($C$3,"EFF_TAX_RATE","FQ3 2016","FQ3 2016","Currency=INR","Period=FQ","BEST_FPERIOD_OVERRIDE=FQ","FILING_STATUS=OR","EQY_CONSOLIDATED=Y","FA_ADJUSTED=GAAP","Sort=A","Dates=H","DateFormat=P","Fill=—","Direction=H","UseDPDF=Y")</f>
        <v>#NAME?</v>
      </c>
      <c r="R16" t="e">
        <f ca="1">_xll.BDH($C$3,"DVD_PAYOUT_RATIO","FQ3 2016","FQ3 2016","Currency=INR","Period=FQ","BEST_FPERIOD_OVERRIDE=FQ","FILING_STATUS=OR","EQY_CONSOLIDATED=Y","FA_ADJUSTED=GAAP","Sort=A","Dates=H","DateFormat=P","Fill=—","Direction=H","UseDPDF=Y")</f>
        <v>#NAME?</v>
      </c>
      <c r="S16" t="e">
        <f ca="1">_xll.BDH($C$3,"SUSTAIN_GROWTH_RT","FQ3 2016","FQ3 2016","Currency=INR","Period=FQ","BEST_FPERIOD_OVERRIDE=FQ","FILING_STATUS=OR","EQY_CONSOLIDATED=Y","FA_ADJUSTED=GAAP","Sort=A","Dates=H","DateFormat=P","Fill=—","Direction=H","UseDPDF=Y")</f>
        <v>#NAME?</v>
      </c>
      <c r="T16" s="2" t="e">
        <f ca="1">_xll.BDH($C$3,"SALES_GROWTH","FQ3 2016","FQ3 2016","Currency=INR","Period=FQ","BEST_FPERIOD_OVERRIDE=FQ","FILING_STATUS=OR","EQY_CONSOLIDATED=Y","FA_ADJUSTED=GAAP","Sort=A","Dates=H","DateFormat=P","Fill=—","Direction=H","UseDPDF=Y")</f>
        <v>#NAME?</v>
      </c>
      <c r="U16" s="2" t="e">
        <f ca="1">_xll.BDH($C$3,"EBITDA_GROWTH","FQ3 2016","FQ3 2016","Currency=INR","Period=FQ","BEST_FPERIOD_OVERRIDE=FQ","FILING_STATUS=OR","EQY_CONSOLIDATED=Y","FA_ADJUSTED=GAAP","Sort=A","Dates=H","DateFormat=P","Fill=—","Direction=H","UseDPDF=Y")</f>
        <v>#NAME?</v>
      </c>
      <c r="V16" s="2" t="e">
        <f ca="1">_xll.BDH($C$3,"OPER_INC_GROWTH","FQ3 2016","FQ3 2016","Currency=INR","Period=FQ","BEST_FPERIOD_OVERRIDE=FQ","FILING_STATUS=OR","EQY_CONSOLIDATED=Y","FA_ADJUSTED=GAAP","Sort=A","Dates=H","DateFormat=P","Fill=—","Direction=H","UseDPDF=Y")</f>
        <v>#NAME?</v>
      </c>
      <c r="W16" s="2" t="e">
        <f ca="1">_xll.BDH($C$3,"EARN_FOR_COM_GROWTH","FQ3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16" s="2" t="e">
        <f ca="1">_xll.BDH($C$3,"DILUTED_EPS_AFT_XO_ITEMS_GROWTH","FQ3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16" s="2" t="e">
        <f ca="1">_xll.BDH($C$3,"DIVIDEND_PER_SHARE_1_YEAR_GROWTH","FQ3 2016","FQ3 2016","Currency=INR","Period=FQ","BEST_FPERIOD_OVERRIDE=FQ","FILING_STATUS=OR","EQY_CONSOLIDATED=Y","Sort=A","Dates=H","DateFormat=P","Fill=—","Direction=H","UseDPDF=Y")</f>
        <v>#NAME?</v>
      </c>
      <c r="Z16" s="2" t="e">
        <f ca="1">_xll.BDH($C$3,"ACCOUNTS_RECEIVABLE_GROWTH","FQ3 2016","FQ3 2016","Currency=INR","Period=FQ","BEST_FPERIOD_OVERRIDE=FQ","FILING_STATUS=OR","EQY_CONSOLIDATED=Y","Sort=A","Dates=H","DateFormat=P","Fill=—","Direction=H","UseDPDF=Y")</f>
        <v>#NAME?</v>
      </c>
      <c r="AA16" s="2" t="e">
        <f ca="1">_xll.BDH($C$3,"INVENTORY_GROWTH","FQ3 2016","FQ3 2016","Currency=INR","Period=FQ","BEST_FPERIOD_OVERRIDE=FQ","FILING_STATUS=OR","EQY_CONSOLIDATED=Y","Sort=A","Dates=H","DateFormat=P","Fill=—","Direction=H","UseDPDF=Y")</f>
        <v>#NAME?</v>
      </c>
      <c r="AB16" s="2" t="e">
        <f ca="1">_xll.BDH($C$3,"NET_FIXED_ASSETS_1_YEAR_GROWTH","FQ3 2016","FQ3 2016","Currency=INR","Period=FQ","BEST_FPERIOD_OVERRIDE=FQ","FILING_STATUS=OR","EQY_CONSOLIDATED=Y","Sort=A","Dates=H","DateFormat=P","Fill=—","Direction=H","UseDPDF=Y")</f>
        <v>#NAME?</v>
      </c>
      <c r="AC16" s="2" t="e">
        <f ca="1">_xll.BDH($C$3,"ASSET_GROWTH","FQ3 2016","FQ3 2016","Currency=INR","Period=FQ","BEST_FPERIOD_OVERRIDE=FQ","FILING_STATUS=OR","EQY_CONSOLIDATED=Y","Sort=A","Dates=H","DateFormat=P","Fill=—","Direction=H","UseDPDF=Y")</f>
        <v>#NAME?</v>
      </c>
      <c r="AD16" s="2" t="e">
        <f ca="1">_xll.BDH($C$3,"MODIFIED_WORK_CAP_GROWTH","FQ3 2016","FQ3 2016","Currency=INR","Period=FQ","BEST_FPERIOD_OVERRIDE=FQ","FILING_STATUS=OR","EQY_CONSOLIDATED=Y","Sort=A","Dates=H","DateFormat=P","Fill=—","Direction=H","UseDPDF=Y")</f>
        <v>#NAME?</v>
      </c>
      <c r="AE16" s="2" t="e">
        <f ca="1">_xll.BDH($C$3,"WORK_CAP_GROWTH","FQ3 2016","FQ3 2016","Currency=INR","Period=FQ","BEST_FPERIOD_OVERRIDE=FQ","FILING_STATUS=OR","EQY_CONSOLIDATED=Y","Sort=A","Dates=H","DateFormat=P","Fill=—","Direction=H","UseDPDF=Y")</f>
        <v>#NAME?</v>
      </c>
      <c r="AF16" s="2" t="e">
        <f ca="1">_xll.BDH($C$3,"ACCOUNTS_PAYABLE_GROWTH_1YR","FQ3 2016","FQ3 2016","Currency=INR","Period=FQ","BEST_FPERIOD_OVERRIDE=FQ","FILING_STATUS=OR","EQY_CONSOLIDATED=Y","Sort=A","Dates=H","DateFormat=P","Fill=—","Direction=H","UseDPDF=Y")</f>
        <v>#NAME?</v>
      </c>
      <c r="AG16" s="2" t="e">
        <f ca="1">_xll.BDH($C$3,"SHORT_TERM_DEBT_1_YEAR_GROWTH","FQ3 2016","FQ3 2016","Currency=INR","Period=FQ","BEST_FPERIOD_OVERRIDE=FQ","FILING_STATUS=OR","EQY_CONSOLIDATED=Y","Sort=A","Dates=H","DateFormat=P","Fill=—","Direction=H","UseDPDF=Y")</f>
        <v>#NAME?</v>
      </c>
      <c r="AH16" s="2" t="e">
        <f ca="1">_xll.BDH($C$3,"TOTAL_DEBT_1_YEAR_GROWTH","FQ3 2016","FQ3 2016","Currency=INR","Period=FQ","BEST_FPERIOD_OVERRIDE=FQ","FILING_STATUS=OR","EQY_CONSOLIDATED=Y","Sort=A","Dates=H","DateFormat=P","Fill=—","Direction=H","UseDPDF=Y")</f>
        <v>#NAME?</v>
      </c>
      <c r="AI16" s="2" t="e">
        <f ca="1">_xll.BDH($C$3,"TOTAL_EQUITY_1_YEAR_GROWTH","FQ3 2016","FQ3 2016","Currency=INR","Period=FQ","BEST_FPERIOD_OVERRIDE=FQ","FILING_STATUS=OR","EQY_CONSOLIDATED=Y","Sort=A","Dates=H","DateFormat=P","Fill=—","Direction=H","UseDPDF=Y")</f>
        <v>#NAME?</v>
      </c>
      <c r="AJ16" s="2" t="e">
        <f ca="1">_xll.BDH($C$3,"GROWTH_IN_CAP","FQ3 2016","FQ3 2016","Currency=INR","Period=FQ","BEST_FPERIOD_OVERRIDE=FQ","FILING_STATUS=OR","EQY_CONSOLIDATED=Y","Sort=A","Dates=H","DateFormat=P","Fill=—","Direction=H","UseDPDF=Y")</f>
        <v>#NAME?</v>
      </c>
      <c r="AK16" s="2" t="e">
        <f ca="1">_xll.BDH($C$3,"BVPS_GROWTH","FQ3 2016","FQ3 2016","Currency=INR","Period=FQ","BEST_FPERIOD_OVERRIDE=FQ","FILING_STATUS=OR","EQY_CONSOLIDATED=Y","Sort=A","Dates=H","DateFormat=P","Fill=—","Direction=H","UseDPDF=Y")</f>
        <v>#NAME?</v>
      </c>
      <c r="AL16" s="2" t="e">
        <f ca="1">_xll.BDH($C$3,"CASH_FLOW_GROWTH","FQ3 2016","FQ3 2016","Currency=INR","Period=FQ","BEST_FPERIOD_OVERRIDE=FQ","FILING_STATUS=OR","EQY_CONSOLIDATED=Y","Sort=A","Dates=H","DateFormat=P","Fill=—","Direction=H","UseDPDF=Y")</f>
        <v>#NAME?</v>
      </c>
      <c r="AM16" s="2" t="e">
        <f ca="1">_xll.BDH($C$3,"GEO_GROW_NET_SALES","FQ3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16" s="2" t="e">
        <f ca="1">_xll.BDH($C$3,"GEO_GROW_EBITDA","FQ3 2016","FQ3 2016","Currency=INR","Period=FQ","BEST_FPERIOD_OVERRIDE=FQ","FILING_STATUS=OR","EQY_CONSOLIDATED=Y","FA_ADJUSTED=GAAP","Sort=A","Dates=H","DateFormat=P","Fill=—","Direction=H","UseDPDF=Y")</f>
        <v>#NAME?</v>
      </c>
      <c r="AO16" s="2" t="e">
        <f ca="1">_xll.BDH($C$3,"GEO_GROW_OPER_INC","FQ3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16" s="2" t="e">
        <f ca="1">_xll.BDH($C$3,"NET_INCOME_TO_COMMON_5_YR_GROWTH","FQ3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16" s="2" t="e">
        <f ca="1">_xll.BDH($C$3,"5Y_GEO_GROWTH_DILUTED_EPS","FQ3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16" s="2" t="e">
        <f ca="1">_xll.BDH($C$3,"GEO_GROW_DVD_PER_SH","FQ3 2016","FQ3 2016","Currency=INR","Period=FQ","BEST_FPERIOD_OVERRIDE=FQ","FILING_STATUS=OR","EQY_CONSOLIDATED=Y","Sort=A","Dates=H","DateFormat=P","Fill=—","Direction=H","UseDPDF=Y")</f>
        <v>#NAME?</v>
      </c>
      <c r="AS16" s="2" t="e">
        <f ca="1">_xll.BDH($C$3,"ACCOUNTS_RECEIVABLE_5_YR_GROWTH","FQ3 2016","FQ3 2016","Currency=INR","Period=FQ","BEST_FPERIOD_OVERRIDE=FQ","FILING_STATUS=OR","EQY_CONSOLIDATED=Y","Sort=A","Dates=H","DateFormat=P","Fill=—","Direction=H","UseDPDF=Y")</f>
        <v>#NAME?</v>
      </c>
      <c r="AT16" s="2" t="e">
        <f ca="1">_xll.BDH($C$3,"INVENTORY_5_YEAR_GROWTH","FQ3 2016","FQ3 2016","Currency=INR","Period=FQ","BEST_FPERIOD_OVERRIDE=FQ","FILING_STATUS=OR","EQY_CONSOLIDATED=Y","Sort=A","Dates=H","DateFormat=P","Fill=—","Direction=H","UseDPDF=Y")</f>
        <v>#NAME?</v>
      </c>
      <c r="AU16" s="2" t="e">
        <f ca="1">_xll.BDH($C$3,"NET_FIXED_ASSETS_5_YEAR_GROWTH","FQ3 2016","FQ3 2016","Currency=INR","Period=FQ","BEST_FPERIOD_OVERRIDE=FQ","FILING_STATUS=OR","EQY_CONSOLIDATED=Y","Sort=A","Dates=H","DateFormat=P","Fill=—","Direction=H","UseDPDF=Y")</f>
        <v>#NAME?</v>
      </c>
      <c r="AV16" s="2" t="e">
        <f ca="1">_xll.BDH($C$3,"GEO_GROW_TOT_ASSET","FQ3 2016","FQ3 2016","Currency=INR","Period=FQ","BEST_FPERIOD_OVERRIDE=FQ","FILING_STATUS=OR","EQY_CONSOLIDATED=Y","Sort=A","Dates=H","DateFormat=P","Fill=—","Direction=H","UseDPDF=Y")</f>
        <v>#NAME?</v>
      </c>
      <c r="AW16" s="2" t="e">
        <f ca="1">_xll.BDH($C$3,"MODIFIED_WORKING_CPTL_5YR_GRWTH","FQ3 2016","FQ3 2016","Currency=INR","Period=FQ","BEST_FPERIOD_OVERRIDE=FQ","FILING_STATUS=OR","EQY_CONSOLIDATED=Y","Sort=A","Dates=H","DateFormat=P","Fill=—","Direction=H","UseDPDF=Y")</f>
        <v>#NAME?</v>
      </c>
      <c r="AX16" s="2" t="e">
        <f ca="1">_xll.BDH($C$3,"WORKING_CAPITAL_5_YEAR_GROWTH","FQ3 2016","FQ3 2016","Currency=INR","Period=FQ","BEST_FPERIOD_OVERRIDE=FQ","FILING_STATUS=OR","EQY_CONSOLIDATED=Y","Sort=A","Dates=H","DateFormat=P","Fill=—","Direction=H","UseDPDF=Y")</f>
        <v>#NAME?</v>
      </c>
      <c r="AY16" s="2" t="e">
        <f ca="1">_xll.BDH($C$3,"ACCOUNTS_PAYABLE_5_YEAR_GROWTH","FQ3 2016","FQ3 2016","Currency=INR","Period=FQ","BEST_FPERIOD_OVERRIDE=FQ","FILING_STATUS=OR","EQY_CONSOLIDATED=Y","Sort=A","Dates=H","DateFormat=P","Fill=—","Direction=H","UseDPDF=Y")</f>
        <v>#NAME?</v>
      </c>
      <c r="AZ16" s="2" t="e">
        <f ca="1">_xll.BDH($C$3,"SHORT_TERM_DEBT_5_YEAR_GROWTH","FQ3 2016","FQ3 2016","Currency=INR","Period=FQ","BEST_FPERIOD_OVERRIDE=FQ","FILING_STATUS=OR","EQY_CONSOLIDATED=Y","Sort=A","Dates=H","DateFormat=P","Fill=—","Direction=H","UseDPDF=Y")</f>
        <v>#NAME?</v>
      </c>
      <c r="BA16" s="2" t="e">
        <f ca="1">_xll.BDH($C$3,"TOTAL_DEBT_5_YEAR_GROWTH","FQ3 2016","FQ3 2016","Currency=INR","Period=FQ","BEST_FPERIOD_OVERRIDE=FQ","FILING_STATUS=OR","EQY_CONSOLIDATED=Y","Sort=A","Dates=H","DateFormat=P","Fill=—","Direction=H","UseDPDF=Y")</f>
        <v>#NAME?</v>
      </c>
      <c r="BB16" s="2" t="e">
        <f ca="1">_xll.BDH($C$3,"GEO_GROW_TOT_SHRHLDR_EQY","FQ3 2016","FQ3 2016","Currency=INR","Period=FQ","BEST_FPERIOD_OVERRIDE=FQ","FILING_STATUS=OR","EQY_CONSOLIDATED=Y","Sort=A","Dates=H","DateFormat=P","Fill=—","Direction=H","UseDPDF=Y")</f>
        <v>#NAME?</v>
      </c>
      <c r="BC16" s="2" t="e">
        <f ca="1">_xll.BDH($C$3,"TOTAL_CAPITAL_5_YEAR_GROWTH","FQ3 2016","FQ3 2016","Currency=INR","Period=FQ","BEST_FPERIOD_OVERRIDE=FQ","FILING_STATUS=OR","EQY_CONSOLIDATED=Y","Sort=A","Dates=H","DateFormat=P","Fill=—","Direction=H","UseDPDF=Y")</f>
        <v>#NAME?</v>
      </c>
      <c r="BD16" s="2" t="e">
        <f ca="1">_xll.BDH($C$3,"GEO_GROW_BOOK_VAL","FQ3 2016","FQ3 2016","Currency=INR","Period=FQ","BEST_FPERIOD_OVERRIDE=FQ","FILING_STATUS=OR","EQY_CONSOLIDATED=Y","Sort=A","Dates=H","DateFormat=P","Fill=—","Direction=H","UseDPDF=Y")</f>
        <v>#NAME?</v>
      </c>
      <c r="BE16" s="2" t="e">
        <f ca="1">_xll.BDH($C$3,"GEO_GROW_CASH_OPER_ACT","FQ3 2016","FQ3 2016","Currency=INR","Period=FQ","BEST_FPERIOD_OVERRIDE=FQ","FILING_STATUS=OR","EQY_CONSOLIDATED=Y","Sort=A","Dates=H","DateFormat=P","Fill=—","Direction=H","UseDPDF=Y")</f>
        <v>#NAME?</v>
      </c>
      <c r="BF16" s="2" t="e">
        <f ca="1">_xll.BDH($C$3,"REVENUE_SEQUENTIAL_GROWTH","FQ3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16" s="2" t="e">
        <f ca="1">_xll.BDH($C$3,"EBITDA_SEQUENTIAL_GROWTH","FQ3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16" s="2" t="e">
        <f ca="1">_xll.BDH($C$3,"OPERATING_INCOME_SEQ_GROWTH","FQ3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16" s="2" t="e">
        <f ca="1">_xll.BDH($C$3,"NET_INCOME_TO_COMMON_SEQ_GROWTH","FQ3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16" s="2" t="e">
        <f ca="1">_xll.BDH($C$3,"EPS_DILUTED_SEQUENTIAL_GROWTH","FQ3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16" s="2" t="e">
        <f ca="1">_xll.BDH($C$3,"DPS_SEQUENTIAL_GROWTH","FQ3 2016","FQ3 2016","Currency=INR","Period=FQ","BEST_FPERIOD_OVERRIDE=FQ","FILING_STATUS=OR","EQY_CONSOLIDATED=Y","Sort=A","Dates=H","DateFormat=P","Fill=—","Direction=H","UseDPDF=Y")</f>
        <v>#NAME?</v>
      </c>
      <c r="BL16" s="2" t="e">
        <f ca="1">_xll.BDH($C$3,"ACCOUNTS_RECEIVABLE_SEQ_GROWTH","FQ3 2016","FQ3 2016","Currency=INR","Period=FQ","BEST_FPERIOD_OVERRIDE=FQ","FILING_STATUS=OR","EQY_CONSOLIDATED=Y","Sort=A","Dates=H","DateFormat=P","Fill=—","Direction=H","UseDPDF=Y")</f>
        <v>#NAME?</v>
      </c>
      <c r="BM16" s="2" t="e">
        <f ca="1">_xll.BDH($C$3,"INVENTORY_SEQUENTIAL_GROWTH","FQ3 2016","FQ3 2016","Currency=INR","Period=FQ","BEST_FPERIOD_OVERRIDE=FQ","FILING_STATUS=OR","EQY_CONSOLIDATED=Y","Sort=A","Dates=H","DateFormat=P","Fill=—","Direction=H","UseDPDF=Y")</f>
        <v>#NAME?</v>
      </c>
      <c r="BN16" s="2" t="e">
        <f ca="1">_xll.BDH($C$3,"FIXED_ASSETS_SEQUENTIAL_GROWTH","FQ3 2016","FQ3 2016","Currency=INR","Period=FQ","BEST_FPERIOD_OVERRIDE=FQ","FILING_STATUS=OR","EQY_CONSOLIDATED=Y","Sort=A","Dates=H","DateFormat=P","Fill=—","Direction=H","UseDPDF=Y")</f>
        <v>#NAME?</v>
      </c>
      <c r="BO16" s="2" t="e">
        <f ca="1">_xll.BDH($C$3,"TOTAL_ASSETS_SEQUENTIAL_GROWTH","FQ3 2016","FQ3 2016","Currency=INR","Period=FQ","BEST_FPERIOD_OVERRIDE=FQ","FILING_STATUS=OR","EQY_CONSOLIDATED=Y","Sort=A","Dates=H","DateFormat=P","Fill=—","Direction=H","UseDPDF=Y")</f>
        <v>#NAME?</v>
      </c>
      <c r="BP16" s="2" t="e">
        <f ca="1">_xll.BDH($C$3,"MODIFIED_WORKING_CPTL_SEQ_GRWTH","FQ3 2016","FQ3 2016","Currency=INR","Period=FQ","BEST_FPERIOD_OVERRIDE=FQ","FILING_STATUS=OR","EQY_CONSOLIDATED=Y","Sort=A","Dates=H","DateFormat=P","Fill=—","Direction=H","UseDPDF=Y")</f>
        <v>#NAME?</v>
      </c>
      <c r="BQ16" s="2" t="e">
        <f ca="1">_xll.BDH($C$3,"WORKING_CAPITAL_SEQ_GROWTH","FQ3 2016","FQ3 2016","Currency=INR","Period=FQ","BEST_FPERIOD_OVERRIDE=FQ","FILING_STATUS=OR","EQY_CONSOLIDATED=Y","Sort=A","Dates=H","DateFormat=P","Fill=—","Direction=H","UseDPDF=Y")</f>
        <v>#NAME?</v>
      </c>
      <c r="BR16" s="2" t="e">
        <f ca="1">_xll.BDH($C$3,"ACCOUNTS_PAYABLE_SEQ_GROWTH","FQ3 2016","FQ3 2016","Currency=INR","Period=FQ","BEST_FPERIOD_OVERRIDE=FQ","FILING_STATUS=OR","EQY_CONSOLIDATED=Y","Sort=A","Dates=H","DateFormat=P","Fill=—","Direction=H","UseDPDF=Y")</f>
        <v>#NAME?</v>
      </c>
      <c r="BS16" s="2" t="e">
        <f ca="1">_xll.BDH($C$3,"ST_DEBT_SEQUENTIAL_GROWTH","FQ3 2016","FQ3 2016","Currency=INR","Period=FQ","BEST_FPERIOD_OVERRIDE=FQ","FILING_STATUS=OR","EQY_CONSOLIDATED=Y","Sort=A","Dates=H","DateFormat=P","Fill=—","Direction=H","UseDPDF=Y")</f>
        <v>#NAME?</v>
      </c>
      <c r="BT16" s="2" t="e">
        <f ca="1">_xll.BDH($C$3,"TOTAL_DEBT_SEQUENTIAL_GROWTH","FQ3 2016","FQ3 2016","Currency=INR","Period=FQ","BEST_FPERIOD_OVERRIDE=FQ","FILING_STATUS=OR","EQY_CONSOLIDATED=Y","Sort=A","Dates=H","DateFormat=P","Fill=—","Direction=H","UseDPDF=Y")</f>
        <v>#NAME?</v>
      </c>
      <c r="BU16" s="2" t="e">
        <f ca="1">_xll.BDH($C$3,"TOTAL_EQUITY_SEQUENTIAL_GROWTH","FQ3 2016","FQ3 2016","Currency=INR","Period=FQ","BEST_FPERIOD_OVERRIDE=FQ","FILING_STATUS=OR","EQY_CONSOLIDATED=Y","Sort=A","Dates=H","DateFormat=P","Fill=—","Direction=H","UseDPDF=Y")</f>
        <v>#NAME?</v>
      </c>
      <c r="BV16" s="2" t="e">
        <f ca="1">_xll.BDH($C$3,"TOTAL_CAPITAL_SEQUENTIAL_GROWTH","FQ3 2016","FQ3 2016","Currency=INR","Period=FQ","BEST_FPERIOD_OVERRIDE=FQ","FILING_STATUS=OR","EQY_CONSOLIDATED=Y","Sort=A","Dates=H","DateFormat=P","Fill=—","Direction=H","UseDPDF=Y")</f>
        <v>#NAME?</v>
      </c>
      <c r="BW16" s="2" t="e">
        <f ca="1">_xll.BDH($C$3,"BPS_SEQUENTIAL_GROWTH","FQ3 2016","FQ3 2016","Currency=INR","Period=FQ","BEST_FPERIOD_OVERRIDE=FQ","FILING_STATUS=OR","EQY_CONSOLIDATED=Y","Sort=A","Dates=H","DateFormat=P","Fill=—","Direction=H","UseDPDF=Y")</f>
        <v>#NAME?</v>
      </c>
      <c r="BX16" s="2" t="e">
        <f ca="1">_xll.BDH($C$3,"CFO_SEQUENTIAL_GROWTH","FQ3 2016","FQ3 2016","Currency=INR","Period=FQ","BEST_FPERIOD_OVERRIDE=FQ","FILING_STATUS=OR","EQY_CONSOLIDATED=Y","Sort=A","Dates=H","DateFormat=P","Fill=—","Direction=H","UseDPDF=Y")</f>
        <v>#NAME?</v>
      </c>
      <c r="BY16" s="3" t="e">
        <f ca="1">_xll.BDH($C$3,"SHORT_AND_LONG_TERM_DEBT","FQ3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16" s="3" t="e">
        <f ca="1">_xll.BDH($C$3,"BS_ST_BORROW","FQ3 2016","FQ3 2016","Currency=INR","Period=FQ","BEST_FPERIOD_OVERRIDE=FQ","FILING_STATUS=OR","EQY_CONSOLIDATED=Y","SCALING_FORMAT=MLN","Sort=A","Dates=H","DateFormat=P","Fill=—","Direction=H","UseDPDF=Y")</f>
        <v>#NAME?</v>
      </c>
      <c r="CA16" s="3" t="e">
        <f ca="1">_xll.BDH($C$3,"BS_LT_BORROW","FQ3 2016","FQ3 2016","Currency=INR","Period=FQ","BEST_FPERIOD_OVERRIDE=FQ","FILING_STATUS=OR","EQY_CONSOLIDATED=Y","SCALING_FORMAT=MLN","Sort=A","Dates=H","DateFormat=P","Fill=—","Direction=H","UseDPDF=Y")</f>
        <v>#NAME?</v>
      </c>
      <c r="CB16" s="2" t="e">
        <f ca="1">_xll.BDH($C$3,"TOT_DEBT_TO_EBITDA","FQ3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16" s="2" t="e">
        <f ca="1">_xll.BDH($C$3,"NET_DEBT_TO_EBITDA","FQ3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16" s="2" t="e">
        <f ca="1">_xll.BDH($C$3,"TOTAL_DEBT_TO_EBIT","FQ3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16" s="2" t="e">
        <f ca="1">_xll.BDH($C$3,"NET_DEBT_TO_EBIT","FQ3 2016","FQ3 2016","Currency=INR","Period=FQ","BEST_FPERIOD_OVERRIDE=FQ","FILING_STATUS=OR","EQY_CONSOLIDATED=Y","FA_ADJUSTED=GAAP","Sort=A","Dates=H","DateFormat=P","Fill=—","Direction=H","UseDPDF=Y")</f>
        <v>#NAME?</v>
      </c>
      <c r="CF16" s="2" t="e">
        <f ca="1">_xll.BDH($C$3,"EBITDA_TO_INTEREST_EXPN","FQ3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16" s="2" t="e">
        <f ca="1">_xll.BDH($C$3,"COM_EQY_TO_TOT_ASSET","FQ3 2016","FQ3 2016","Currency=INR","Period=FQ","BEST_FPERIOD_OVERRIDE=FQ","FILING_STATUS=OR","EQY_CONSOLIDATED=Y","Sort=A","Dates=H","DateFormat=P","Fill=—","Direction=H","UseDPDF=Y")</f>
        <v>#NAME?</v>
      </c>
      <c r="CH16" s="2" t="e">
        <f ca="1">_xll.BDH($C$3,"LT_DEBT_TO_TOT_EQY","FQ3 2016","FQ3 2016","Currency=INR","Period=FQ","BEST_FPERIOD_OVERRIDE=FQ","FILING_STATUS=OR","EQY_CONSOLIDATED=Y","Sort=A","Dates=H","DateFormat=P","Fill=—","Direction=H","UseDPDF=Y")</f>
        <v>#NAME?</v>
      </c>
      <c r="CI16" s="2" t="e">
        <f ca="1">_xll.BDH($C$3,"LT_DEBT_TO_TOT_CAP","FQ3 2016","FQ3 2016","Currency=INR","Period=FQ","BEST_FPERIOD_OVERRIDE=FQ","FILING_STATUS=OR","EQY_CONSOLIDATED=Y","Sort=A","Dates=H","DateFormat=P","Fill=—","Direction=H","UseDPDF=Y")</f>
        <v>#NAME?</v>
      </c>
      <c r="CJ16" s="2" t="e">
        <f ca="1">_xll.BDH($C$3,"LT_DEBT_TO_TOT_ASSET","FQ3 2016","FQ3 2016","Currency=INR","Period=FQ","BEST_FPERIOD_OVERRIDE=FQ","FILING_STATUS=OR","EQY_CONSOLIDATED=Y","Sort=A","Dates=H","DateFormat=P","Fill=—","Direction=H","UseDPDF=Y")</f>
        <v>#NAME?</v>
      </c>
      <c r="CK16" s="2" t="e">
        <f ca="1">_xll.BDH($C$3,"TOT_DEBT_TO_TOT_EQY","FQ3 2016","FQ3 2016","Currency=INR","Period=FQ","BEST_FPERIOD_OVERRIDE=FQ","FILING_STATUS=OR","EQY_CONSOLIDATED=Y","Sort=A","Dates=H","DateFormat=P","Fill=—","Direction=H","UseDPDF=Y")</f>
        <v>#NAME?</v>
      </c>
      <c r="CL16" s="2" t="e">
        <f ca="1">_xll.BDH($C$3,"TOT_DEBT_TO_TOT_CAP","FQ3 2016","FQ3 2016","Currency=INR","Period=FQ","BEST_FPERIOD_OVERRIDE=FQ","FILING_STATUS=OR","EQY_CONSOLIDATED=Y","Sort=A","Dates=H","DateFormat=P","Fill=—","Direction=H","UseDPDF=Y")</f>
        <v>#NAME?</v>
      </c>
      <c r="CM16" s="2" t="e">
        <f ca="1">_xll.BDH($C$3,"TOT_DEBT_TO_TOT_ASSET","FQ3 2016","FQ3 2016","Currency=INR","Period=FQ","BEST_FPERIOD_OVERRIDE=FQ","FILING_STATUS=OR","EQY_CONSOLIDATED=Y","Sort=A","Dates=H","DateFormat=P","Fill=—","Direction=H","UseDPDF=Y")</f>
        <v>#NAME?</v>
      </c>
      <c r="CN16" s="2" t="e">
        <f ca="1">_xll.BDH($C$3,"NET_DEBT_TO_SHRHLDR_EQTY","FQ3 2016","FQ3 2016","Currency=INR","Period=FQ","BEST_FPERIOD_OVERRIDE=FQ","FILING_STATUS=OR","EQY_CONSOLIDATED=Y","Sort=A","Dates=H","DateFormat=P","Fill=—","Direction=H","UseDPDF=Y")</f>
        <v>#NAME?</v>
      </c>
      <c r="CO16" s="2" t="e">
        <f ca="1">_xll.BDH($C$3,"NET_DEBT_%_CAPITAL","FQ3 2016","FQ3 2016","Currency=INR","Period=FQ","BEST_FPERIOD_OVERRIDE=FQ","FILING_STATUS=OR","EQY_CONSOLIDATED=Y","Sort=A","Dates=H","DateFormat=P","Fill=—","Direction=H","UseDPDF=Y")</f>
        <v>#NAME?</v>
      </c>
      <c r="CP16" s="3" t="e">
        <f ca="1">_xll.BDH($C$3,"EBITDA","FQ3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16" s="3" t="e">
        <f ca="1">_xll.BDH($C$3,"EBITDA_AFTER_CAPEX","FQ3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16" s="3" t="e">
        <f ca="1">_xll.BDH($C$3,"IS_OPER_INC","FQ3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16" s="2" t="e">
        <f ca="1">_xll.BDH($C$3,"CASH_RATIO","FQ3 2016","FQ3 2016","Currency=INR","Period=FQ","BEST_FPERIOD_OVERRIDE=FQ","FILING_STATUS=OR","EQY_CONSOLIDATED=Y","Sort=A","Dates=H","DateFormat=P","Fill=—","Direction=H","UseDPDF=Y")</f>
        <v>#NAME?</v>
      </c>
      <c r="CT16" s="2" t="e">
        <f ca="1">_xll.BDH($C$3,"CUR_RATIO","FQ3 2016","FQ3 2016","Currency=INR","Period=FQ","BEST_FPERIOD_OVERRIDE=FQ","FILING_STATUS=OR","EQY_CONSOLIDATED=Y","Sort=A","Dates=H","DateFormat=P","Fill=—","Direction=H","UseDPDF=Y")</f>
        <v>#NAME?</v>
      </c>
      <c r="CU16" s="2" t="e">
        <f ca="1">_xll.BDH($C$3,"QUICK_RATIO","FQ3 2016","FQ3 2016","Currency=INR","Period=FQ","BEST_FPERIOD_OVERRIDE=FQ","FILING_STATUS=OR","EQY_CONSOLIDATED=Y","Sort=A","Dates=H","DateFormat=P","Fill=—","Direction=H","UseDPDF=Y")</f>
        <v>#NAME?</v>
      </c>
      <c r="CV16" s="2" t="e">
        <f ca="1">_xll.BDH($C$3,"ALTMAN_Z_SCORE","FQ3 2016","FQ3 2016","Currency=INR","Period=FQ","BEST_FPERIOD_OVERRIDE=FQ","FILING_STATUS=OR","EQY_CONSOLIDATED=Y","Sort=A","Dates=H","DateFormat=P","Fill=—","Direction=H","UseDPDF=Y")</f>
        <v>#NAME?</v>
      </c>
      <c r="CW16" s="4" t="e">
        <f ca="1">_xll.BDH($C$3,"ACCT_RCV_TURN","FQ3 2016","FQ3 2016","Currency=INR","Period=FQ","BEST_FPERIOD_OVERRIDE=FQ","FILING_STATUS=OR","EQY_CONSOLIDATED=Y","FA_ADJUSTED=GAAP","Sort=A","Dates=H","DateFormat=P","Fill=—","Direction=H","UseDPDF=Y")</f>
        <v>#NAME?</v>
      </c>
      <c r="CX16" s="2" t="e">
        <f ca="1">_xll.BDH($C$3,"ACCT_RCV_DAYS","FQ3 2016","FQ3 2016","Currency=INR","Period=FQ","BEST_FPERIOD_OVERRIDE=FQ","FILING_STATUS=OR","EQY_CONSOLIDATED=Y","FA_ADJUSTED=GAAP","Sort=A","Dates=H","DateFormat=P","Fill=—","Direction=H","UseDPDF=Y")</f>
        <v>#NAME?</v>
      </c>
      <c r="CY16" s="4" t="e">
        <f ca="1">_xll.BDH($C$3,"INVENT_TURN","FQ3 2016","FQ3 2016","Currency=INR","Period=FQ","BEST_FPERIOD_OVERRIDE=FQ","FILING_STATUS=OR","EQY_CONSOLIDATED=Y","FA_ADJUSTED=GAAP","Sort=A","Dates=H","DateFormat=P","Fill=—","Direction=H","UseDPDF=Y")</f>
        <v>#NAME?</v>
      </c>
      <c r="CZ16" s="2" t="e">
        <f ca="1">_xll.BDH($C$3,"INVENT_DAYS","FQ3 2016","FQ3 2016","Currency=INR","Period=FQ","BEST_FPERIOD_OVERRIDE=FQ","FILING_STATUS=OR","EQY_CONSOLIDATED=Y","FA_ADJUSTED=GAAP","Sort=A","Dates=H","DateFormat=P","Fill=—","Direction=H","UseDPDF=Y")</f>
        <v>#NAME?</v>
      </c>
      <c r="DA16" s="4" t="e">
        <f ca="1">_xll.BDH($C$3,"ACCOUNTS_PAYABLE_TURNOVER","FQ3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16" s="2" t="e">
        <f ca="1">_xll.BDH($C$3,"ACCOUNTS_PAYABLE_TURNOVER_DAYS","FQ3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16" s="4" t="e">
        <f ca="1">_xll.BDH($C$3,"CASH_CONVERSION_CYCLE","FQ3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16" s="4" t="e">
        <f ca="1">_xll.BDH($C$3,"INV_TO_CASH_DAYS","FQ3 2016","FQ3 2016","Currency=INR","Period=FQ","BEST_FPERIOD_OVERRIDE=FQ","FILING_STATUS=OR","EQY_CONSOLIDATED=Y","FA_ADJUSTED=GAAP","Sort=A","Dates=H","DateFormat=P","Fill=—","Direction=H","UseDPDF=Y")</f>
        <v>#NAME?</v>
      </c>
      <c r="DE16" s="5" t="e">
        <f ca="1">_xll.BDH($C$3,"BS_INVENTORIES","FQ3 2016","FQ3 2016","Currency=INR","Period=FQ","BEST_FPERIOD_OVERRIDE=FQ","FILING_STATUS=OR","EQY_CONSOLIDATED=Y","SCALING_FORMAT=MLN","Sort=A","Dates=H","DateFormat=P","Fill=—","Direction=H","UseDPDF=Y")</f>
        <v>#NAME?</v>
      </c>
      <c r="DF16" s="3" t="e">
        <f ca="1">_xll.BDH($C$3,"INVTRY_RAW_MATERIALS","FQ3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16" s="3" t="e">
        <f ca="1">_xll.BDH($C$3,"INVTRY_IN_PROGRESS","FQ3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16" s="3" t="e">
        <f ca="1">_xll.BDH($C$3,"INVTRY_FINISHED_GOODS","FQ3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16" s="3" t="e">
        <f ca="1">_xll.BDH($C$3,"BS_OTHER_INV","FQ3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17" spans="1:113" x14ac:dyDescent="0.3">
      <c r="A17" s="6"/>
      <c r="B17" s="6"/>
      <c r="C17" s="6"/>
      <c r="D17" s="6"/>
      <c r="E17" t="s">
        <v>81</v>
      </c>
      <c r="F17" t="e">
        <f ca="1">_xll.BDH($C$3,"RETURN_COM_EQY","FQ4 2016","FQ4 2016","Currency=INR","Period=FQ","BEST_FPERIOD_OVERRIDE=FQ","FILING_STATUS=OR","EQY_CONSOLIDATED=Y","FA_ADJUSTED=GAAP","Sort=A","Dates=H","DateFormat=P","Fill=—","Direction=H","UseDPDF=Y")</f>
        <v>#NAME?</v>
      </c>
      <c r="G17" t="e">
        <f ca="1">_xll.BDH($C$3,"RETURN_ON_ASSET","FQ4 2016","FQ4 2016","Currency=INR","Period=FQ","BEST_FPERIOD_OVERRIDE=FQ","FILING_STATUS=OR","EQY_CONSOLIDATED=Y","FA_ADJUSTED=GAAP","Sort=A","Dates=H","DateFormat=P","Fill=—","Direction=H","UseDPDF=Y")</f>
        <v>#NAME?</v>
      </c>
      <c r="H17" t="e">
        <f ca="1">_xll.BDH($C$3,"RETURN_ON_CAP","FQ4 2016","FQ4 2016","Currency=INR","Period=FQ","BEST_FPERIOD_OVERRIDE=FQ","FILING_STATUS=OR","EQY_CONSOLIDATED=Y","FA_ADJUSTED=GAAP","Sort=A","Dates=H","DateFormat=P","Fill=—","Direction=H","UseDPDF=Y")</f>
        <v>#NAME?</v>
      </c>
      <c r="I17" t="e">
        <f ca="1">_xll.BDH($C$3,"RETURN_ON_INV_CAPITAL","FQ4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17" t="e">
        <f ca="1">_xll.BDH($C$3,"EBITDA_TO_REVENUE","FQ4 2016","FQ4 2016","Currency=INR","Period=FQ","BEST_FPERIOD_OVERRIDE=FQ","FILING_STATUS=OR","EQY_CONSOLIDATED=Y","FA_ADJUSTED=GAAP","Sort=A","Dates=H","DateFormat=P","Fill=—","Direction=H","UseDPDF=Y")</f>
        <v>#NAME?</v>
      </c>
      <c r="K17" t="e">
        <f ca="1">_xll.BDH($C$3,"OPER_MARGIN","FQ4 2016","FQ4 2016","Currency=INR","Period=FQ","BEST_FPERIOD_OVERRIDE=FQ","FILING_STATUS=OR","EQY_CONSOLIDATED=Y","FA_ADJUSTED=GAAP","Sort=A","Dates=H","DateFormat=P","Fill=—","Direction=H","UseDPDF=Y")</f>
        <v>#NAME?</v>
      </c>
      <c r="L17" t="e">
        <f ca="1">_xll.BDH($C$3,"INCREMENTAL_OPERATING_MARGIN","FQ4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17" t="e">
        <f ca="1">_xll.BDH($C$3,"PRETAX_INC_TO_NET_SALES","FQ4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17" t="e">
        <f ca="1">_xll.BDH($C$3,"INC_BEF_XO_ITEMS_TO_NET_SALES","FQ4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17" t="e">
        <f ca="1">_xll.BDH($C$3,"PROF_MARGIN","FQ4 2016","FQ4 2016","Currency=INR","Period=FQ","BEST_FPERIOD_OVERRIDE=FQ","FILING_STATUS=OR","EQY_CONSOLIDATED=Y","FA_ADJUSTED=GAAP","Sort=A","Dates=H","DateFormat=P","Fill=—","Direction=H","UseDPDF=Y")</f>
        <v>#NAME?</v>
      </c>
      <c r="P17" t="e">
        <f ca="1">_xll.BDH($C$3,"NET_INCOME_TO_COMMON_MARGIN","FQ4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17" t="e">
        <f ca="1">_xll.BDH($C$3,"EFF_TAX_RATE","FQ4 2016","FQ4 2016","Currency=INR","Period=FQ","BEST_FPERIOD_OVERRIDE=FQ","FILING_STATUS=OR","EQY_CONSOLIDATED=Y","FA_ADJUSTED=GAAP","Sort=A","Dates=H","DateFormat=P","Fill=—","Direction=H","UseDPDF=Y")</f>
        <v>#NAME?</v>
      </c>
      <c r="R17" t="e">
        <f ca="1">_xll.BDH($C$3,"DVD_PAYOUT_RATIO","FQ4 2016","FQ4 2016","Currency=INR","Period=FQ","BEST_FPERIOD_OVERRIDE=FQ","FILING_STATUS=OR","EQY_CONSOLIDATED=Y","FA_ADJUSTED=GAAP","Sort=A","Dates=H","DateFormat=P","Fill=—","Direction=H","UseDPDF=Y")</f>
        <v>#NAME?</v>
      </c>
      <c r="S17" t="e">
        <f ca="1">_xll.BDH($C$3,"SUSTAIN_GROWTH_RT","FQ4 2016","FQ4 2016","Currency=INR","Period=FQ","BEST_FPERIOD_OVERRIDE=FQ","FILING_STATUS=OR","EQY_CONSOLIDATED=Y","FA_ADJUSTED=GAAP","Sort=A","Dates=H","DateFormat=P","Fill=—","Direction=H","UseDPDF=Y")</f>
        <v>#NAME?</v>
      </c>
      <c r="T17" s="2" t="e">
        <f ca="1">_xll.BDH($C$3,"SALES_GROWTH","FQ4 2016","FQ4 2016","Currency=INR","Period=FQ","BEST_FPERIOD_OVERRIDE=FQ","FILING_STATUS=OR","EQY_CONSOLIDATED=Y","FA_ADJUSTED=GAAP","Sort=A","Dates=H","DateFormat=P","Fill=—","Direction=H","UseDPDF=Y")</f>
        <v>#NAME?</v>
      </c>
      <c r="U17" s="2" t="e">
        <f ca="1">_xll.BDH($C$3,"EBITDA_GROWTH","FQ4 2016","FQ4 2016","Currency=INR","Period=FQ","BEST_FPERIOD_OVERRIDE=FQ","FILING_STATUS=OR","EQY_CONSOLIDATED=Y","FA_ADJUSTED=GAAP","Sort=A","Dates=H","DateFormat=P","Fill=—","Direction=H","UseDPDF=Y")</f>
        <v>#NAME?</v>
      </c>
      <c r="V17" s="2" t="e">
        <f ca="1">_xll.BDH($C$3,"OPER_INC_GROWTH","FQ4 2016","FQ4 2016","Currency=INR","Period=FQ","BEST_FPERIOD_OVERRIDE=FQ","FILING_STATUS=OR","EQY_CONSOLIDATED=Y","FA_ADJUSTED=GAAP","Sort=A","Dates=H","DateFormat=P","Fill=—","Direction=H","UseDPDF=Y")</f>
        <v>#NAME?</v>
      </c>
      <c r="W17" s="2" t="e">
        <f ca="1">_xll.BDH($C$3,"EARN_FOR_COM_GROWTH","FQ4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17" s="2" t="e">
        <f ca="1">_xll.BDH($C$3,"DILUTED_EPS_AFT_XO_ITEMS_GROWTH","FQ4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17" s="2" t="e">
        <f ca="1">_xll.BDH($C$3,"DIVIDEND_PER_SHARE_1_YEAR_GROWTH","FQ4 2016","FQ4 2016","Currency=INR","Period=FQ","BEST_FPERIOD_OVERRIDE=FQ","FILING_STATUS=OR","EQY_CONSOLIDATED=Y","Sort=A","Dates=H","DateFormat=P","Fill=—","Direction=H","UseDPDF=Y")</f>
        <v>#NAME?</v>
      </c>
      <c r="Z17" s="2" t="e">
        <f ca="1">_xll.BDH($C$3,"ACCOUNTS_RECEIVABLE_GROWTH","FQ4 2016","FQ4 2016","Currency=INR","Period=FQ","BEST_FPERIOD_OVERRIDE=FQ","FILING_STATUS=OR","EQY_CONSOLIDATED=Y","Sort=A","Dates=H","DateFormat=P","Fill=—","Direction=H","UseDPDF=Y")</f>
        <v>#NAME?</v>
      </c>
      <c r="AA17" s="2" t="e">
        <f ca="1">_xll.BDH($C$3,"INVENTORY_GROWTH","FQ4 2016","FQ4 2016","Currency=INR","Period=FQ","BEST_FPERIOD_OVERRIDE=FQ","FILING_STATUS=OR","EQY_CONSOLIDATED=Y","Sort=A","Dates=H","DateFormat=P","Fill=—","Direction=H","UseDPDF=Y")</f>
        <v>#NAME?</v>
      </c>
      <c r="AB17" s="2" t="e">
        <f ca="1">_xll.BDH($C$3,"NET_FIXED_ASSETS_1_YEAR_GROWTH","FQ4 2016","FQ4 2016","Currency=INR","Period=FQ","BEST_FPERIOD_OVERRIDE=FQ","FILING_STATUS=OR","EQY_CONSOLIDATED=Y","Sort=A","Dates=H","DateFormat=P","Fill=—","Direction=H","UseDPDF=Y")</f>
        <v>#NAME?</v>
      </c>
      <c r="AC17" s="2" t="e">
        <f ca="1">_xll.BDH($C$3,"ASSET_GROWTH","FQ4 2016","FQ4 2016","Currency=INR","Period=FQ","BEST_FPERIOD_OVERRIDE=FQ","FILING_STATUS=OR","EQY_CONSOLIDATED=Y","Sort=A","Dates=H","DateFormat=P","Fill=—","Direction=H","UseDPDF=Y")</f>
        <v>#NAME?</v>
      </c>
      <c r="AD17" s="2" t="e">
        <f ca="1">_xll.BDH($C$3,"MODIFIED_WORK_CAP_GROWTH","FQ4 2016","FQ4 2016","Currency=INR","Period=FQ","BEST_FPERIOD_OVERRIDE=FQ","FILING_STATUS=OR","EQY_CONSOLIDATED=Y","Sort=A","Dates=H","DateFormat=P","Fill=—","Direction=H","UseDPDF=Y")</f>
        <v>#NAME?</v>
      </c>
      <c r="AE17" s="2" t="e">
        <f ca="1">_xll.BDH($C$3,"WORK_CAP_GROWTH","FQ4 2016","FQ4 2016","Currency=INR","Period=FQ","BEST_FPERIOD_OVERRIDE=FQ","FILING_STATUS=OR","EQY_CONSOLIDATED=Y","Sort=A","Dates=H","DateFormat=P","Fill=—","Direction=H","UseDPDF=Y")</f>
        <v>#NAME?</v>
      </c>
      <c r="AF17" s="2" t="e">
        <f ca="1">_xll.BDH($C$3,"ACCOUNTS_PAYABLE_GROWTH_1YR","FQ4 2016","FQ4 2016","Currency=INR","Period=FQ","BEST_FPERIOD_OVERRIDE=FQ","FILING_STATUS=OR","EQY_CONSOLIDATED=Y","Sort=A","Dates=H","DateFormat=P","Fill=—","Direction=H","UseDPDF=Y")</f>
        <v>#NAME?</v>
      </c>
      <c r="AG17" s="2" t="e">
        <f ca="1">_xll.BDH($C$3,"SHORT_TERM_DEBT_1_YEAR_GROWTH","FQ4 2016","FQ4 2016","Currency=INR","Period=FQ","BEST_FPERIOD_OVERRIDE=FQ","FILING_STATUS=OR","EQY_CONSOLIDATED=Y","Sort=A","Dates=H","DateFormat=P","Fill=—","Direction=H","UseDPDF=Y")</f>
        <v>#NAME?</v>
      </c>
      <c r="AH17" s="2" t="e">
        <f ca="1">_xll.BDH($C$3,"TOTAL_DEBT_1_YEAR_GROWTH","FQ4 2016","FQ4 2016","Currency=INR","Period=FQ","BEST_FPERIOD_OVERRIDE=FQ","FILING_STATUS=OR","EQY_CONSOLIDATED=Y","Sort=A","Dates=H","DateFormat=P","Fill=—","Direction=H","UseDPDF=Y")</f>
        <v>#NAME?</v>
      </c>
      <c r="AI17" s="2" t="e">
        <f ca="1">_xll.BDH($C$3,"TOTAL_EQUITY_1_YEAR_GROWTH","FQ4 2016","FQ4 2016","Currency=INR","Period=FQ","BEST_FPERIOD_OVERRIDE=FQ","FILING_STATUS=OR","EQY_CONSOLIDATED=Y","Sort=A","Dates=H","DateFormat=P","Fill=—","Direction=H","UseDPDF=Y")</f>
        <v>#NAME?</v>
      </c>
      <c r="AJ17" s="2" t="e">
        <f ca="1">_xll.BDH($C$3,"GROWTH_IN_CAP","FQ4 2016","FQ4 2016","Currency=INR","Period=FQ","BEST_FPERIOD_OVERRIDE=FQ","FILING_STATUS=OR","EQY_CONSOLIDATED=Y","Sort=A","Dates=H","DateFormat=P","Fill=—","Direction=H","UseDPDF=Y")</f>
        <v>#NAME?</v>
      </c>
      <c r="AK17" s="2" t="e">
        <f ca="1">_xll.BDH($C$3,"BVPS_GROWTH","FQ4 2016","FQ4 2016","Currency=INR","Period=FQ","BEST_FPERIOD_OVERRIDE=FQ","FILING_STATUS=OR","EQY_CONSOLIDATED=Y","Sort=A","Dates=H","DateFormat=P","Fill=—","Direction=H","UseDPDF=Y")</f>
        <v>#NAME?</v>
      </c>
      <c r="AL17" s="2" t="e">
        <f ca="1">_xll.BDH($C$3,"CASH_FLOW_GROWTH","FQ4 2016","FQ4 2016","Currency=INR","Period=FQ","BEST_FPERIOD_OVERRIDE=FQ","FILING_STATUS=OR","EQY_CONSOLIDATED=Y","Sort=A","Dates=H","DateFormat=P","Fill=—","Direction=H","UseDPDF=Y")</f>
        <v>#NAME?</v>
      </c>
      <c r="AM17" s="2" t="e">
        <f ca="1">_xll.BDH($C$3,"GEO_GROW_NET_SALES","FQ4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17" s="2" t="e">
        <f ca="1">_xll.BDH($C$3,"GEO_GROW_EBITDA","FQ4 2016","FQ4 2016","Currency=INR","Period=FQ","BEST_FPERIOD_OVERRIDE=FQ","FILING_STATUS=OR","EQY_CONSOLIDATED=Y","FA_ADJUSTED=GAAP","Sort=A","Dates=H","DateFormat=P","Fill=—","Direction=H","UseDPDF=Y")</f>
        <v>#NAME?</v>
      </c>
      <c r="AO17" s="2" t="e">
        <f ca="1">_xll.BDH($C$3,"GEO_GROW_OPER_INC","FQ4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17" s="2" t="e">
        <f ca="1">_xll.BDH($C$3,"NET_INCOME_TO_COMMON_5_YR_GROWTH","FQ4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17" s="2" t="e">
        <f ca="1">_xll.BDH($C$3,"5Y_GEO_GROWTH_DILUTED_EPS","FQ4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17" s="2" t="e">
        <f ca="1">_xll.BDH($C$3,"GEO_GROW_DVD_PER_SH","FQ4 2016","FQ4 2016","Currency=INR","Period=FQ","BEST_FPERIOD_OVERRIDE=FQ","FILING_STATUS=OR","EQY_CONSOLIDATED=Y","Sort=A","Dates=H","DateFormat=P","Fill=—","Direction=H","UseDPDF=Y")</f>
        <v>#NAME?</v>
      </c>
      <c r="AS17" s="2" t="e">
        <f ca="1">_xll.BDH($C$3,"ACCOUNTS_RECEIVABLE_5_YR_GROWTH","FQ4 2016","FQ4 2016","Currency=INR","Period=FQ","BEST_FPERIOD_OVERRIDE=FQ","FILING_STATUS=OR","EQY_CONSOLIDATED=Y","Sort=A","Dates=H","DateFormat=P","Fill=—","Direction=H","UseDPDF=Y")</f>
        <v>#NAME?</v>
      </c>
      <c r="AT17" s="2" t="e">
        <f ca="1">_xll.BDH($C$3,"INVENTORY_5_YEAR_GROWTH","FQ4 2016","FQ4 2016","Currency=INR","Period=FQ","BEST_FPERIOD_OVERRIDE=FQ","FILING_STATUS=OR","EQY_CONSOLIDATED=Y","Sort=A","Dates=H","DateFormat=P","Fill=—","Direction=H","UseDPDF=Y")</f>
        <v>#NAME?</v>
      </c>
      <c r="AU17" s="2" t="e">
        <f ca="1">_xll.BDH($C$3,"NET_FIXED_ASSETS_5_YEAR_GROWTH","FQ4 2016","FQ4 2016","Currency=INR","Period=FQ","BEST_FPERIOD_OVERRIDE=FQ","FILING_STATUS=OR","EQY_CONSOLIDATED=Y","Sort=A","Dates=H","DateFormat=P","Fill=—","Direction=H","UseDPDF=Y")</f>
        <v>#NAME?</v>
      </c>
      <c r="AV17" s="2" t="e">
        <f ca="1">_xll.BDH($C$3,"GEO_GROW_TOT_ASSET","FQ4 2016","FQ4 2016","Currency=INR","Period=FQ","BEST_FPERIOD_OVERRIDE=FQ","FILING_STATUS=OR","EQY_CONSOLIDATED=Y","Sort=A","Dates=H","DateFormat=P","Fill=—","Direction=H","UseDPDF=Y")</f>
        <v>#NAME?</v>
      </c>
      <c r="AW17" s="2" t="e">
        <f ca="1">_xll.BDH($C$3,"MODIFIED_WORKING_CPTL_5YR_GRWTH","FQ4 2016","FQ4 2016","Currency=INR","Period=FQ","BEST_FPERIOD_OVERRIDE=FQ","FILING_STATUS=OR","EQY_CONSOLIDATED=Y","Sort=A","Dates=H","DateFormat=P","Fill=—","Direction=H","UseDPDF=Y")</f>
        <v>#NAME?</v>
      </c>
      <c r="AX17" s="2" t="e">
        <f ca="1">_xll.BDH($C$3,"WORKING_CAPITAL_5_YEAR_GROWTH","FQ4 2016","FQ4 2016","Currency=INR","Period=FQ","BEST_FPERIOD_OVERRIDE=FQ","FILING_STATUS=OR","EQY_CONSOLIDATED=Y","Sort=A","Dates=H","DateFormat=P","Fill=—","Direction=H","UseDPDF=Y")</f>
        <v>#NAME?</v>
      </c>
      <c r="AY17" s="2" t="e">
        <f ca="1">_xll.BDH($C$3,"ACCOUNTS_PAYABLE_5_YEAR_GROWTH","FQ4 2016","FQ4 2016","Currency=INR","Period=FQ","BEST_FPERIOD_OVERRIDE=FQ","FILING_STATUS=OR","EQY_CONSOLIDATED=Y","Sort=A","Dates=H","DateFormat=P","Fill=—","Direction=H","UseDPDF=Y")</f>
        <v>#NAME?</v>
      </c>
      <c r="AZ17" s="2" t="e">
        <f ca="1">_xll.BDH($C$3,"SHORT_TERM_DEBT_5_YEAR_GROWTH","FQ4 2016","FQ4 2016","Currency=INR","Period=FQ","BEST_FPERIOD_OVERRIDE=FQ","FILING_STATUS=OR","EQY_CONSOLIDATED=Y","Sort=A","Dates=H","DateFormat=P","Fill=—","Direction=H","UseDPDF=Y")</f>
        <v>#NAME?</v>
      </c>
      <c r="BA17" s="2" t="e">
        <f ca="1">_xll.BDH($C$3,"TOTAL_DEBT_5_YEAR_GROWTH","FQ4 2016","FQ4 2016","Currency=INR","Period=FQ","BEST_FPERIOD_OVERRIDE=FQ","FILING_STATUS=OR","EQY_CONSOLIDATED=Y","Sort=A","Dates=H","DateFormat=P","Fill=—","Direction=H","UseDPDF=Y")</f>
        <v>#NAME?</v>
      </c>
      <c r="BB17" s="2" t="e">
        <f ca="1">_xll.BDH($C$3,"GEO_GROW_TOT_SHRHLDR_EQY","FQ4 2016","FQ4 2016","Currency=INR","Period=FQ","BEST_FPERIOD_OVERRIDE=FQ","FILING_STATUS=OR","EQY_CONSOLIDATED=Y","Sort=A","Dates=H","DateFormat=P","Fill=—","Direction=H","UseDPDF=Y")</f>
        <v>#NAME?</v>
      </c>
      <c r="BC17" s="2" t="e">
        <f ca="1">_xll.BDH($C$3,"TOTAL_CAPITAL_5_YEAR_GROWTH","FQ4 2016","FQ4 2016","Currency=INR","Period=FQ","BEST_FPERIOD_OVERRIDE=FQ","FILING_STATUS=OR","EQY_CONSOLIDATED=Y","Sort=A","Dates=H","DateFormat=P","Fill=—","Direction=H","UseDPDF=Y")</f>
        <v>#NAME?</v>
      </c>
      <c r="BD17" s="2" t="e">
        <f ca="1">_xll.BDH($C$3,"GEO_GROW_BOOK_VAL","FQ4 2016","FQ4 2016","Currency=INR","Period=FQ","BEST_FPERIOD_OVERRIDE=FQ","FILING_STATUS=OR","EQY_CONSOLIDATED=Y","Sort=A","Dates=H","DateFormat=P","Fill=—","Direction=H","UseDPDF=Y")</f>
        <v>#NAME?</v>
      </c>
      <c r="BE17" s="2" t="e">
        <f ca="1">_xll.BDH($C$3,"GEO_GROW_CASH_OPER_ACT","FQ4 2016","FQ4 2016","Currency=INR","Period=FQ","BEST_FPERIOD_OVERRIDE=FQ","FILING_STATUS=OR","EQY_CONSOLIDATED=Y","Sort=A","Dates=H","DateFormat=P","Fill=—","Direction=H","UseDPDF=Y")</f>
        <v>#NAME?</v>
      </c>
      <c r="BF17" s="2" t="e">
        <f ca="1">_xll.BDH($C$3,"REVENUE_SEQUENTIAL_GROWTH","FQ4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17" s="2" t="e">
        <f ca="1">_xll.BDH($C$3,"EBITDA_SEQUENTIAL_GROWTH","FQ4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17" s="2" t="e">
        <f ca="1">_xll.BDH($C$3,"OPERATING_INCOME_SEQ_GROWTH","FQ4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17" s="2" t="e">
        <f ca="1">_xll.BDH($C$3,"NET_INCOME_TO_COMMON_SEQ_GROWTH","FQ4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17" s="2" t="e">
        <f ca="1">_xll.BDH($C$3,"EPS_DILUTED_SEQUENTIAL_GROWTH","FQ4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17" s="2" t="e">
        <f ca="1">_xll.BDH($C$3,"DPS_SEQUENTIAL_GROWTH","FQ4 2016","FQ4 2016","Currency=INR","Period=FQ","BEST_FPERIOD_OVERRIDE=FQ","FILING_STATUS=OR","EQY_CONSOLIDATED=Y","Sort=A","Dates=H","DateFormat=P","Fill=—","Direction=H","UseDPDF=Y")</f>
        <v>#NAME?</v>
      </c>
      <c r="BL17" s="2" t="e">
        <f ca="1">_xll.BDH($C$3,"ACCOUNTS_RECEIVABLE_SEQ_GROWTH","FQ4 2016","FQ4 2016","Currency=INR","Period=FQ","BEST_FPERIOD_OVERRIDE=FQ","FILING_STATUS=OR","EQY_CONSOLIDATED=Y","Sort=A","Dates=H","DateFormat=P","Fill=—","Direction=H","UseDPDF=Y")</f>
        <v>#NAME?</v>
      </c>
      <c r="BM17" s="2" t="e">
        <f ca="1">_xll.BDH($C$3,"INVENTORY_SEQUENTIAL_GROWTH","FQ4 2016","FQ4 2016","Currency=INR","Period=FQ","BEST_FPERIOD_OVERRIDE=FQ","FILING_STATUS=OR","EQY_CONSOLIDATED=Y","Sort=A","Dates=H","DateFormat=P","Fill=—","Direction=H","UseDPDF=Y")</f>
        <v>#NAME?</v>
      </c>
      <c r="BN17" s="2" t="e">
        <f ca="1">_xll.BDH($C$3,"FIXED_ASSETS_SEQUENTIAL_GROWTH","FQ4 2016","FQ4 2016","Currency=INR","Period=FQ","BEST_FPERIOD_OVERRIDE=FQ","FILING_STATUS=OR","EQY_CONSOLIDATED=Y","Sort=A","Dates=H","DateFormat=P","Fill=—","Direction=H","UseDPDF=Y")</f>
        <v>#NAME?</v>
      </c>
      <c r="BO17" s="2" t="e">
        <f ca="1">_xll.BDH($C$3,"TOTAL_ASSETS_SEQUENTIAL_GROWTH","FQ4 2016","FQ4 2016","Currency=INR","Period=FQ","BEST_FPERIOD_OVERRIDE=FQ","FILING_STATUS=OR","EQY_CONSOLIDATED=Y","Sort=A","Dates=H","DateFormat=P","Fill=—","Direction=H","UseDPDF=Y")</f>
        <v>#NAME?</v>
      </c>
      <c r="BP17" s="2" t="e">
        <f ca="1">_xll.BDH($C$3,"MODIFIED_WORKING_CPTL_SEQ_GRWTH","FQ4 2016","FQ4 2016","Currency=INR","Period=FQ","BEST_FPERIOD_OVERRIDE=FQ","FILING_STATUS=OR","EQY_CONSOLIDATED=Y","Sort=A","Dates=H","DateFormat=P","Fill=—","Direction=H","UseDPDF=Y")</f>
        <v>#NAME?</v>
      </c>
      <c r="BQ17" s="2" t="e">
        <f ca="1">_xll.BDH($C$3,"WORKING_CAPITAL_SEQ_GROWTH","FQ4 2016","FQ4 2016","Currency=INR","Period=FQ","BEST_FPERIOD_OVERRIDE=FQ","FILING_STATUS=OR","EQY_CONSOLIDATED=Y","Sort=A","Dates=H","DateFormat=P","Fill=—","Direction=H","UseDPDF=Y")</f>
        <v>#NAME?</v>
      </c>
      <c r="BR17" s="2" t="e">
        <f ca="1">_xll.BDH($C$3,"ACCOUNTS_PAYABLE_SEQ_GROWTH","FQ4 2016","FQ4 2016","Currency=INR","Period=FQ","BEST_FPERIOD_OVERRIDE=FQ","FILING_STATUS=OR","EQY_CONSOLIDATED=Y","Sort=A","Dates=H","DateFormat=P","Fill=—","Direction=H","UseDPDF=Y")</f>
        <v>#NAME?</v>
      </c>
      <c r="BS17" s="2" t="e">
        <f ca="1">_xll.BDH($C$3,"ST_DEBT_SEQUENTIAL_GROWTH","FQ4 2016","FQ4 2016","Currency=INR","Period=FQ","BEST_FPERIOD_OVERRIDE=FQ","FILING_STATUS=OR","EQY_CONSOLIDATED=Y","Sort=A","Dates=H","DateFormat=P","Fill=—","Direction=H","UseDPDF=Y")</f>
        <v>#NAME?</v>
      </c>
      <c r="BT17" s="2" t="e">
        <f ca="1">_xll.BDH($C$3,"TOTAL_DEBT_SEQUENTIAL_GROWTH","FQ4 2016","FQ4 2016","Currency=INR","Period=FQ","BEST_FPERIOD_OVERRIDE=FQ","FILING_STATUS=OR","EQY_CONSOLIDATED=Y","Sort=A","Dates=H","DateFormat=P","Fill=—","Direction=H","UseDPDF=Y")</f>
        <v>#NAME?</v>
      </c>
      <c r="BU17" s="2" t="e">
        <f ca="1">_xll.BDH($C$3,"TOTAL_EQUITY_SEQUENTIAL_GROWTH","FQ4 2016","FQ4 2016","Currency=INR","Period=FQ","BEST_FPERIOD_OVERRIDE=FQ","FILING_STATUS=OR","EQY_CONSOLIDATED=Y","Sort=A","Dates=H","DateFormat=P","Fill=—","Direction=H","UseDPDF=Y")</f>
        <v>#NAME?</v>
      </c>
      <c r="BV17" s="2" t="e">
        <f ca="1">_xll.BDH($C$3,"TOTAL_CAPITAL_SEQUENTIAL_GROWTH","FQ4 2016","FQ4 2016","Currency=INR","Period=FQ","BEST_FPERIOD_OVERRIDE=FQ","FILING_STATUS=OR","EQY_CONSOLIDATED=Y","Sort=A","Dates=H","DateFormat=P","Fill=—","Direction=H","UseDPDF=Y")</f>
        <v>#NAME?</v>
      </c>
      <c r="BW17" s="2" t="e">
        <f ca="1">_xll.BDH($C$3,"BPS_SEQUENTIAL_GROWTH","FQ4 2016","FQ4 2016","Currency=INR","Period=FQ","BEST_FPERIOD_OVERRIDE=FQ","FILING_STATUS=OR","EQY_CONSOLIDATED=Y","Sort=A","Dates=H","DateFormat=P","Fill=—","Direction=H","UseDPDF=Y")</f>
        <v>#NAME?</v>
      </c>
      <c r="BX17" s="2" t="e">
        <f ca="1">_xll.BDH($C$3,"CFO_SEQUENTIAL_GROWTH","FQ4 2016","FQ4 2016","Currency=INR","Period=FQ","BEST_FPERIOD_OVERRIDE=FQ","FILING_STATUS=OR","EQY_CONSOLIDATED=Y","Sort=A","Dates=H","DateFormat=P","Fill=—","Direction=H","UseDPDF=Y")</f>
        <v>#NAME?</v>
      </c>
      <c r="BY17" s="3" t="e">
        <f ca="1">_xll.BDH($C$3,"SHORT_AND_LONG_TERM_DEBT","FQ4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17" s="3" t="e">
        <f ca="1">_xll.BDH($C$3,"BS_ST_BORROW","FQ4 2016","FQ4 2016","Currency=INR","Period=FQ","BEST_FPERIOD_OVERRIDE=FQ","FILING_STATUS=OR","EQY_CONSOLIDATED=Y","SCALING_FORMAT=MLN","Sort=A","Dates=H","DateFormat=P","Fill=—","Direction=H","UseDPDF=Y")</f>
        <v>#NAME?</v>
      </c>
      <c r="CA17" s="3" t="e">
        <f ca="1">_xll.BDH($C$3,"BS_LT_BORROW","FQ4 2016","FQ4 2016","Currency=INR","Period=FQ","BEST_FPERIOD_OVERRIDE=FQ","FILING_STATUS=OR","EQY_CONSOLIDATED=Y","SCALING_FORMAT=MLN","Sort=A","Dates=H","DateFormat=P","Fill=—","Direction=H","UseDPDF=Y")</f>
        <v>#NAME?</v>
      </c>
      <c r="CB17" s="2" t="e">
        <f ca="1">_xll.BDH($C$3,"TOT_DEBT_TO_EBITDA","FQ4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17" s="2" t="e">
        <f ca="1">_xll.BDH($C$3,"NET_DEBT_TO_EBITDA","FQ4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17" s="2" t="e">
        <f ca="1">_xll.BDH($C$3,"TOTAL_DEBT_TO_EBIT","FQ4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17" s="2" t="e">
        <f ca="1">_xll.BDH($C$3,"NET_DEBT_TO_EBIT","FQ4 2016","FQ4 2016","Currency=INR","Period=FQ","BEST_FPERIOD_OVERRIDE=FQ","FILING_STATUS=OR","EQY_CONSOLIDATED=Y","FA_ADJUSTED=GAAP","Sort=A","Dates=H","DateFormat=P","Fill=—","Direction=H","UseDPDF=Y")</f>
        <v>#NAME?</v>
      </c>
      <c r="CF17" s="2" t="e">
        <f ca="1">_xll.BDH($C$3,"EBITDA_TO_INTEREST_EXPN","FQ4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17" s="2" t="e">
        <f ca="1">_xll.BDH($C$3,"COM_EQY_TO_TOT_ASSET","FQ4 2016","FQ4 2016","Currency=INR","Period=FQ","BEST_FPERIOD_OVERRIDE=FQ","FILING_STATUS=OR","EQY_CONSOLIDATED=Y","Sort=A","Dates=H","DateFormat=P","Fill=—","Direction=H","UseDPDF=Y")</f>
        <v>#NAME?</v>
      </c>
      <c r="CH17" s="2" t="e">
        <f ca="1">_xll.BDH($C$3,"LT_DEBT_TO_TOT_EQY","FQ4 2016","FQ4 2016","Currency=INR","Period=FQ","BEST_FPERIOD_OVERRIDE=FQ","FILING_STATUS=OR","EQY_CONSOLIDATED=Y","Sort=A","Dates=H","DateFormat=P","Fill=—","Direction=H","UseDPDF=Y")</f>
        <v>#NAME?</v>
      </c>
      <c r="CI17" s="2" t="e">
        <f ca="1">_xll.BDH($C$3,"LT_DEBT_TO_TOT_CAP","FQ4 2016","FQ4 2016","Currency=INR","Period=FQ","BEST_FPERIOD_OVERRIDE=FQ","FILING_STATUS=OR","EQY_CONSOLIDATED=Y","Sort=A","Dates=H","DateFormat=P","Fill=—","Direction=H","UseDPDF=Y")</f>
        <v>#NAME?</v>
      </c>
      <c r="CJ17" s="2" t="e">
        <f ca="1">_xll.BDH($C$3,"LT_DEBT_TO_TOT_ASSET","FQ4 2016","FQ4 2016","Currency=INR","Period=FQ","BEST_FPERIOD_OVERRIDE=FQ","FILING_STATUS=OR","EQY_CONSOLIDATED=Y","Sort=A","Dates=H","DateFormat=P","Fill=—","Direction=H","UseDPDF=Y")</f>
        <v>#NAME?</v>
      </c>
      <c r="CK17" s="2" t="e">
        <f ca="1">_xll.BDH($C$3,"TOT_DEBT_TO_TOT_EQY","FQ4 2016","FQ4 2016","Currency=INR","Period=FQ","BEST_FPERIOD_OVERRIDE=FQ","FILING_STATUS=OR","EQY_CONSOLIDATED=Y","Sort=A","Dates=H","DateFormat=P","Fill=—","Direction=H","UseDPDF=Y")</f>
        <v>#NAME?</v>
      </c>
      <c r="CL17" s="2" t="e">
        <f ca="1">_xll.BDH($C$3,"TOT_DEBT_TO_TOT_CAP","FQ4 2016","FQ4 2016","Currency=INR","Period=FQ","BEST_FPERIOD_OVERRIDE=FQ","FILING_STATUS=OR","EQY_CONSOLIDATED=Y","Sort=A","Dates=H","DateFormat=P","Fill=—","Direction=H","UseDPDF=Y")</f>
        <v>#NAME?</v>
      </c>
      <c r="CM17" s="2" t="e">
        <f ca="1">_xll.BDH($C$3,"TOT_DEBT_TO_TOT_ASSET","FQ4 2016","FQ4 2016","Currency=INR","Period=FQ","BEST_FPERIOD_OVERRIDE=FQ","FILING_STATUS=OR","EQY_CONSOLIDATED=Y","Sort=A","Dates=H","DateFormat=P","Fill=—","Direction=H","UseDPDF=Y")</f>
        <v>#NAME?</v>
      </c>
      <c r="CN17" s="2" t="e">
        <f ca="1">_xll.BDH($C$3,"NET_DEBT_TO_SHRHLDR_EQTY","FQ4 2016","FQ4 2016","Currency=INR","Period=FQ","BEST_FPERIOD_OVERRIDE=FQ","FILING_STATUS=OR","EQY_CONSOLIDATED=Y","Sort=A","Dates=H","DateFormat=P","Fill=—","Direction=H","UseDPDF=Y")</f>
        <v>#NAME?</v>
      </c>
      <c r="CO17" s="2" t="e">
        <f ca="1">_xll.BDH($C$3,"NET_DEBT_%_CAPITAL","FQ4 2016","FQ4 2016","Currency=INR","Period=FQ","BEST_FPERIOD_OVERRIDE=FQ","FILING_STATUS=OR","EQY_CONSOLIDATED=Y","Sort=A","Dates=H","DateFormat=P","Fill=—","Direction=H","UseDPDF=Y")</f>
        <v>#NAME?</v>
      </c>
      <c r="CP17" s="3" t="e">
        <f ca="1">_xll.BDH($C$3,"EBITDA","FQ4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17" s="3" t="e">
        <f ca="1">_xll.BDH($C$3,"EBITDA_AFTER_CAPEX","FQ4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17" s="3" t="e">
        <f ca="1">_xll.BDH($C$3,"IS_OPER_INC","FQ4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17" s="2" t="e">
        <f ca="1">_xll.BDH($C$3,"CASH_RATIO","FQ4 2016","FQ4 2016","Currency=INR","Period=FQ","BEST_FPERIOD_OVERRIDE=FQ","FILING_STATUS=OR","EQY_CONSOLIDATED=Y","Sort=A","Dates=H","DateFormat=P","Fill=—","Direction=H","UseDPDF=Y")</f>
        <v>#NAME?</v>
      </c>
      <c r="CT17" s="2" t="e">
        <f ca="1">_xll.BDH($C$3,"CUR_RATIO","FQ4 2016","FQ4 2016","Currency=INR","Period=FQ","BEST_FPERIOD_OVERRIDE=FQ","FILING_STATUS=OR","EQY_CONSOLIDATED=Y","Sort=A","Dates=H","DateFormat=P","Fill=—","Direction=H","UseDPDF=Y")</f>
        <v>#NAME?</v>
      </c>
      <c r="CU17" s="2" t="e">
        <f ca="1">_xll.BDH($C$3,"QUICK_RATIO","FQ4 2016","FQ4 2016","Currency=INR","Period=FQ","BEST_FPERIOD_OVERRIDE=FQ","FILING_STATUS=OR","EQY_CONSOLIDATED=Y","Sort=A","Dates=H","DateFormat=P","Fill=—","Direction=H","UseDPDF=Y")</f>
        <v>#NAME?</v>
      </c>
      <c r="CV17" s="2" t="e">
        <f ca="1">_xll.BDH($C$3,"ALTMAN_Z_SCORE","FQ4 2016","FQ4 2016","Currency=INR","Period=FQ","BEST_FPERIOD_OVERRIDE=FQ","FILING_STATUS=OR","EQY_CONSOLIDATED=Y","Sort=A","Dates=H","DateFormat=P","Fill=—","Direction=H","UseDPDF=Y")</f>
        <v>#NAME?</v>
      </c>
      <c r="CW17" s="4" t="e">
        <f ca="1">_xll.BDH($C$3,"ACCT_RCV_TURN","FQ4 2016","FQ4 2016","Currency=INR","Period=FQ","BEST_FPERIOD_OVERRIDE=FQ","FILING_STATUS=OR","EQY_CONSOLIDATED=Y","FA_ADJUSTED=GAAP","Sort=A","Dates=H","DateFormat=P","Fill=—","Direction=H","UseDPDF=Y")</f>
        <v>#NAME?</v>
      </c>
      <c r="CX17" s="2" t="e">
        <f ca="1">_xll.BDH($C$3,"ACCT_RCV_DAYS","FQ4 2016","FQ4 2016","Currency=INR","Period=FQ","BEST_FPERIOD_OVERRIDE=FQ","FILING_STATUS=OR","EQY_CONSOLIDATED=Y","FA_ADJUSTED=GAAP","Sort=A","Dates=H","DateFormat=P","Fill=—","Direction=H","UseDPDF=Y")</f>
        <v>#NAME?</v>
      </c>
      <c r="CY17" s="4" t="e">
        <f ca="1">_xll.BDH($C$3,"INVENT_TURN","FQ4 2016","FQ4 2016","Currency=INR","Period=FQ","BEST_FPERIOD_OVERRIDE=FQ","FILING_STATUS=OR","EQY_CONSOLIDATED=Y","FA_ADJUSTED=GAAP","Sort=A","Dates=H","DateFormat=P","Fill=—","Direction=H","UseDPDF=Y")</f>
        <v>#NAME?</v>
      </c>
      <c r="CZ17" s="2" t="e">
        <f ca="1">_xll.BDH($C$3,"INVENT_DAYS","FQ4 2016","FQ4 2016","Currency=INR","Period=FQ","BEST_FPERIOD_OVERRIDE=FQ","FILING_STATUS=OR","EQY_CONSOLIDATED=Y","FA_ADJUSTED=GAAP","Sort=A","Dates=H","DateFormat=P","Fill=—","Direction=H","UseDPDF=Y")</f>
        <v>#NAME?</v>
      </c>
      <c r="DA17" s="4" t="e">
        <f ca="1">_xll.BDH($C$3,"ACCOUNTS_PAYABLE_TURNOVER","FQ4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17" s="2" t="e">
        <f ca="1">_xll.BDH($C$3,"ACCOUNTS_PAYABLE_TURNOVER_DAYS","FQ4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17" s="4" t="e">
        <f ca="1">_xll.BDH($C$3,"CASH_CONVERSION_CYCLE","FQ4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17" s="4" t="e">
        <f ca="1">_xll.BDH($C$3,"INV_TO_CASH_DAYS","FQ4 2016","FQ4 2016","Currency=INR","Period=FQ","BEST_FPERIOD_OVERRIDE=FQ","FILING_STATUS=OR","EQY_CONSOLIDATED=Y","FA_ADJUSTED=GAAP","Sort=A","Dates=H","DateFormat=P","Fill=—","Direction=H","UseDPDF=Y")</f>
        <v>#NAME?</v>
      </c>
      <c r="DE17" s="5" t="e">
        <f ca="1">_xll.BDH($C$3,"BS_INVENTORIES","FQ4 2016","FQ4 2016","Currency=INR","Period=FQ","BEST_FPERIOD_OVERRIDE=FQ","FILING_STATUS=OR","EQY_CONSOLIDATED=Y","SCALING_FORMAT=MLN","Sort=A","Dates=H","DateFormat=P","Fill=—","Direction=H","UseDPDF=Y")</f>
        <v>#NAME?</v>
      </c>
      <c r="DF17" s="3" t="e">
        <f ca="1">_xll.BDH($C$3,"INVTRY_RAW_MATERIALS","FQ4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17" s="3" t="e">
        <f ca="1">_xll.BDH($C$3,"INVTRY_IN_PROGRESS","FQ4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17" s="3" t="e">
        <f ca="1">_xll.BDH($C$3,"INVTRY_FINISHED_GOODS","FQ4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17" s="3" t="e">
        <f ca="1">_xll.BDH($C$3,"BS_OTHER_INV","FQ4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18" spans="1:113" x14ac:dyDescent="0.3">
      <c r="A18" s="6"/>
      <c r="B18" s="6"/>
      <c r="C18" s="6"/>
      <c r="D18" s="6" t="s">
        <v>84</v>
      </c>
      <c r="E18" t="s">
        <v>77</v>
      </c>
      <c r="F18" t="e">
        <f ca="1">_xll.BDH($C$3,"RETURN_COM_EQY","FY 2017","FY 2017","Currency=INR","Period=FY","BEST_FPERIOD_OVERRIDE=FY","FILING_STATUS=OR","EQY_CONSOLIDATED=Y","FA_ADJUSTED=GAAP","Sort=A","Dates=H","DateFormat=P","Fill=—","Direction=H","UseDPDF=Y")</f>
        <v>#NAME?</v>
      </c>
      <c r="G18" t="e">
        <f ca="1">_xll.BDH($C$3,"RETURN_ON_ASSET","FY 2017","FY 2017","Currency=INR","Period=FY","BEST_FPERIOD_OVERRIDE=FY","FILING_STATUS=OR","EQY_CONSOLIDATED=Y","FA_ADJUSTED=GAAP","Sort=A","Dates=H","DateFormat=P","Fill=—","Direction=H","UseDPDF=Y")</f>
        <v>#NAME?</v>
      </c>
      <c r="H18" t="e">
        <f ca="1">_xll.BDH($C$3,"RETURN_ON_CAP","FY 2017","FY 2017","Currency=INR","Period=FY","BEST_FPERIOD_OVERRIDE=FY","FILING_STATUS=OR","EQY_CONSOLIDATED=Y","FA_ADJUSTED=GAAP","Sort=A","Dates=H","DateFormat=P","Fill=—","Direction=H","UseDPDF=Y")</f>
        <v>#NAME?</v>
      </c>
      <c r="I18" t="e">
        <f ca="1">_xll.BDH($C$3,"RETURN_ON_INV_CAPITAL","FY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18" t="e">
        <f ca="1">_xll.BDH($C$3,"EBITDA_TO_REVENUE","FY 2017","FY 2017","Currency=INR","Period=FY","BEST_FPERIOD_OVERRIDE=FY","FILING_STATUS=OR","EQY_CONSOLIDATED=Y","FA_ADJUSTED=GAAP","Sort=A","Dates=H","DateFormat=P","Fill=—","Direction=H","UseDPDF=Y")</f>
        <v>#NAME?</v>
      </c>
      <c r="K18" t="e">
        <f ca="1">_xll.BDH($C$3,"OPER_MARGIN","FY 2017","FY 2017","Currency=INR","Period=FY","BEST_FPERIOD_OVERRIDE=FY","FILING_STATUS=OR","EQY_CONSOLIDATED=Y","FA_ADJUSTED=GAAP","Sort=A","Dates=H","DateFormat=P","Fill=—","Direction=H","UseDPDF=Y")</f>
        <v>#NAME?</v>
      </c>
      <c r="L18" t="e">
        <f ca="1">_xll.BDH($C$3,"INCREMENTAL_OPERATING_MARGIN","FY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18" t="e">
        <f ca="1">_xll.BDH($C$3,"PRETAX_INC_TO_NET_SALES","FY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18" t="e">
        <f ca="1">_xll.BDH($C$3,"INC_BEF_XO_ITEMS_TO_NET_SALES","FY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18" t="e">
        <f ca="1">_xll.BDH($C$3,"PROF_MARGIN","FY 2017","FY 2017","Currency=INR","Period=FY","BEST_FPERIOD_OVERRIDE=FY","FILING_STATUS=OR","EQY_CONSOLIDATED=Y","FA_ADJUSTED=GAAP","Sort=A","Dates=H","DateFormat=P","Fill=—","Direction=H","UseDPDF=Y")</f>
        <v>#NAME?</v>
      </c>
      <c r="P18" t="e">
        <f ca="1">_xll.BDH($C$3,"NET_INCOME_TO_COMMON_MARGIN","FY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18" t="e">
        <f ca="1">_xll.BDH($C$3,"EFF_TAX_RATE","FY 2017","FY 2017","Currency=INR","Period=FY","BEST_FPERIOD_OVERRIDE=FY","FILING_STATUS=OR","EQY_CONSOLIDATED=Y","FA_ADJUSTED=GAAP","Sort=A","Dates=H","DateFormat=P","Fill=—","Direction=H","UseDPDF=Y")</f>
        <v>#NAME?</v>
      </c>
      <c r="R18" t="e">
        <f ca="1">_xll.BDH($C$3,"DVD_PAYOUT_RATIO","FY 2017","FY 2017","Currency=INR","Period=FY","BEST_FPERIOD_OVERRIDE=FY","FILING_STATUS=OR","EQY_CONSOLIDATED=Y","FA_ADJUSTED=GAAP","Sort=A","Dates=H","DateFormat=P","Fill=—","Direction=H","UseDPDF=Y")</f>
        <v>#NAME?</v>
      </c>
      <c r="S18" t="e">
        <f ca="1">_xll.BDH($C$3,"SUSTAIN_GROWTH_RT","FY 2017","FY 2017","Currency=INR","Period=FY","BEST_FPERIOD_OVERRIDE=FY","FILING_STATUS=OR","EQY_CONSOLIDATED=Y","FA_ADJUSTED=GAAP","Sort=A","Dates=H","DateFormat=P","Fill=—","Direction=H","UseDPDF=Y")</f>
        <v>#NAME?</v>
      </c>
      <c r="T18" s="2" t="e">
        <f ca="1">_xll.BDH($C$3,"SALES_GROWTH","FY 2017","FY 2017","Currency=INR","Period=FY","BEST_FPERIOD_OVERRIDE=FY","FILING_STATUS=OR","EQY_CONSOLIDATED=Y","FA_ADJUSTED=GAAP","Sort=A","Dates=H","DateFormat=P","Fill=—","Direction=H","UseDPDF=Y")</f>
        <v>#NAME?</v>
      </c>
      <c r="U18" s="2" t="e">
        <f ca="1">_xll.BDH($C$3,"EBITDA_GROWTH","FY 2017","FY 2017","Currency=INR","Period=FY","BEST_FPERIOD_OVERRIDE=FY","FILING_STATUS=OR","EQY_CONSOLIDATED=Y","FA_ADJUSTED=GAAP","Sort=A","Dates=H","DateFormat=P","Fill=—","Direction=H","UseDPDF=Y")</f>
        <v>#NAME?</v>
      </c>
      <c r="V18" s="2" t="e">
        <f ca="1">_xll.BDH($C$3,"OPER_INC_GROWTH","FY 2017","FY 2017","Currency=INR","Period=FY","BEST_FPERIOD_OVERRIDE=FY","FILING_STATUS=OR","EQY_CONSOLIDATED=Y","FA_ADJUSTED=GAAP","Sort=A","Dates=H","DateFormat=P","Fill=—","Direction=H","UseDPDF=Y")</f>
        <v>#NAME?</v>
      </c>
      <c r="W18" s="2" t="e">
        <f ca="1">_xll.BDH($C$3,"EARN_FOR_COM_GROWTH","FY 2017","FY 2017","Currency=INR","Period=FY","BEST_FPERIOD_OVERRIDE=FY","FILING_STATUS=OR","EQY_CONSOLIDATED=Y","FA_ADJUSTED=GAAP","Sort=A","Dates=H","DateFormat=P","Fill=—","Direction=H","UseDPDF=Y")</f>
        <v>#NAME?</v>
      </c>
      <c r="X18" s="2" t="e">
        <f ca="1">_xll.BDH($C$3,"DILUTED_EPS_AFT_XO_ITEMS_GROWTH","FY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18" s="2" t="e">
        <f ca="1">_xll.BDH($C$3,"DIVIDEND_PER_SHARE_1_YEAR_GROWTH","FY 2017","FY 2017","Currency=INR","Period=FY","BEST_FPERIOD_OVERRIDE=FY","FILING_STATUS=OR","EQY_CONSOLIDATED=Y","Sort=A","Dates=H","DateFormat=P","Fill=—","Direction=H","UseDPDF=Y")</f>
        <v>#NAME?</v>
      </c>
      <c r="Z18" s="2" t="e">
        <f ca="1">_xll.BDH($C$3,"ACCOUNTS_RECEIVABLE_GROWTH","FY 2017","FY 2017","Currency=INR","Period=FY","BEST_FPERIOD_OVERRIDE=FY","FILING_STATUS=OR","EQY_CONSOLIDATED=Y","Sort=A","Dates=H","DateFormat=P","Fill=—","Direction=H","UseDPDF=Y")</f>
        <v>#NAME?</v>
      </c>
      <c r="AA18" s="2" t="e">
        <f ca="1">_xll.BDH($C$3,"INVENTORY_GROWTH","FY 2017","FY 2017","Currency=INR","Period=FY","BEST_FPERIOD_OVERRIDE=FY","FILING_STATUS=OR","EQY_CONSOLIDATED=Y","Sort=A","Dates=H","DateFormat=P","Fill=—","Direction=H","UseDPDF=Y")</f>
        <v>#NAME?</v>
      </c>
      <c r="AB18" s="2" t="e">
        <f ca="1">_xll.BDH($C$3,"NET_FIXED_ASSETS_1_YEAR_GROWTH","FY 2017","FY 2017","Currency=INR","Period=FY","BEST_FPERIOD_OVERRIDE=FY","FILING_STATUS=OR","EQY_CONSOLIDATED=Y","Sort=A","Dates=H","DateFormat=P","Fill=—","Direction=H","UseDPDF=Y")</f>
        <v>#NAME?</v>
      </c>
      <c r="AC18" s="2" t="e">
        <f ca="1">_xll.BDH($C$3,"ASSET_GROWTH","FY 2017","FY 2017","Currency=INR","Period=FY","BEST_FPERIOD_OVERRIDE=FY","FILING_STATUS=OR","EQY_CONSOLIDATED=Y","Sort=A","Dates=H","DateFormat=P","Fill=—","Direction=H","UseDPDF=Y")</f>
        <v>#NAME?</v>
      </c>
      <c r="AD18" s="2" t="e">
        <f ca="1">_xll.BDH($C$3,"MODIFIED_WORK_CAP_GROWTH","FY 2017","FY 2017","Currency=INR","Period=FY","BEST_FPERIOD_OVERRIDE=FY","FILING_STATUS=OR","EQY_CONSOLIDATED=Y","Sort=A","Dates=H","DateFormat=P","Fill=—","Direction=H","UseDPDF=Y")</f>
        <v>#NAME?</v>
      </c>
      <c r="AE18" s="2" t="e">
        <f ca="1">_xll.BDH($C$3,"WORK_CAP_GROWTH","FY 2017","FY 2017","Currency=INR","Period=FY","BEST_FPERIOD_OVERRIDE=FY","FILING_STATUS=OR","EQY_CONSOLIDATED=Y","Sort=A","Dates=H","DateFormat=P","Fill=—","Direction=H","UseDPDF=Y")</f>
        <v>#NAME?</v>
      </c>
      <c r="AF18" s="2" t="e">
        <f ca="1">_xll.BDH($C$3,"ACCOUNTS_PAYABLE_GROWTH_1YR","FY 2017","FY 2017","Currency=INR","Period=FY","BEST_FPERIOD_OVERRIDE=FY","FILING_STATUS=OR","EQY_CONSOLIDATED=Y","Sort=A","Dates=H","DateFormat=P","Fill=—","Direction=H","UseDPDF=Y")</f>
        <v>#NAME?</v>
      </c>
      <c r="AG18" s="2" t="e">
        <f ca="1">_xll.BDH($C$3,"SHORT_TERM_DEBT_1_YEAR_GROWTH","FY 2017","FY 2017","Currency=INR","Period=FY","BEST_FPERIOD_OVERRIDE=FY","FILING_STATUS=OR","EQY_CONSOLIDATED=Y","Sort=A","Dates=H","DateFormat=P","Fill=—","Direction=H","UseDPDF=Y")</f>
        <v>#NAME?</v>
      </c>
      <c r="AH18" s="2" t="e">
        <f ca="1">_xll.BDH($C$3,"TOTAL_DEBT_1_YEAR_GROWTH","FY 2017","FY 2017","Currency=INR","Period=FY","BEST_FPERIOD_OVERRIDE=FY","FILING_STATUS=OR","EQY_CONSOLIDATED=Y","Sort=A","Dates=H","DateFormat=P","Fill=—","Direction=H","UseDPDF=Y")</f>
        <v>#NAME?</v>
      </c>
      <c r="AI18" s="2" t="e">
        <f ca="1">_xll.BDH($C$3,"TOTAL_EQUITY_1_YEAR_GROWTH","FY 2017","FY 2017","Currency=INR","Period=FY","BEST_FPERIOD_OVERRIDE=FY","FILING_STATUS=OR","EQY_CONSOLIDATED=Y","Sort=A","Dates=H","DateFormat=P","Fill=—","Direction=H","UseDPDF=Y")</f>
        <v>#NAME?</v>
      </c>
      <c r="AJ18" s="2" t="e">
        <f ca="1">_xll.BDH($C$3,"GROWTH_IN_CAP","FY 2017","FY 2017","Currency=INR","Period=FY","BEST_FPERIOD_OVERRIDE=FY","FILING_STATUS=OR","EQY_CONSOLIDATED=Y","Sort=A","Dates=H","DateFormat=P","Fill=—","Direction=H","UseDPDF=Y")</f>
        <v>#NAME?</v>
      </c>
      <c r="AK18" s="2" t="e">
        <f ca="1">_xll.BDH($C$3,"BVPS_GROWTH","FY 2017","FY 2017","Currency=INR","Period=FY","BEST_FPERIOD_OVERRIDE=FY","FILING_STATUS=OR","EQY_CONSOLIDATED=Y","Sort=A","Dates=H","DateFormat=P","Fill=—","Direction=H","UseDPDF=Y")</f>
        <v>#NAME?</v>
      </c>
      <c r="AL18" s="2" t="e">
        <f ca="1">_xll.BDH($C$3,"CASH_FLOW_GROWTH","FY 2017","FY 2017","Currency=INR","Period=FY","BEST_FPERIOD_OVERRIDE=FY","FILING_STATUS=OR","EQY_CONSOLIDATED=Y","Sort=A","Dates=H","DateFormat=P","Fill=—","Direction=H","UseDPDF=Y")</f>
        <v>#NAME?</v>
      </c>
      <c r="AM18" s="2" t="e">
        <f ca="1">_xll.BDH($C$3,"GEO_GROW_NET_SALES","FY 2017","FY 2017","Currency=INR","Period=FY","BEST_FPERIOD_OVERRIDE=FY","FILING_STATUS=OR","EQY_CONSOLIDATED=Y","FA_ADJUSTED=GAAP","Sort=A","Dates=H","DateFormat=P","Fill=—","Direction=H","UseDPDF=Y")</f>
        <v>#NAME?</v>
      </c>
      <c r="AN18" s="2" t="e">
        <f ca="1">_xll.BDH($C$3,"GEO_GROW_EBITDA","FY 2017","FY 2017","Currency=INR","Period=FY","BEST_FPERIOD_OVERRIDE=FY","FILING_STATUS=OR","EQY_CONSOLIDATED=Y","FA_ADJUSTED=GAAP","Sort=A","Dates=H","DateFormat=P","Fill=—","Direction=H","UseDPDF=Y")</f>
        <v>#NAME?</v>
      </c>
      <c r="AO18" s="2" t="e">
        <f ca="1">_xll.BDH($C$3,"GEO_GROW_OPER_INC","FY 2017","FY 2017","Currency=INR","Period=FY","BEST_FPERIOD_OVERRIDE=FY","FILING_STATUS=OR","EQY_CONSOLIDATED=Y","FA_ADJUSTED=GAAP","Sort=A","Dates=H","DateFormat=P","Fill=—","Direction=H","UseDPDF=Y")</f>
        <v>#NAME?</v>
      </c>
      <c r="AP18" s="2" t="e">
        <f ca="1">_xll.BDH($C$3,"NET_INCOME_TO_COMMON_5_YR_GROWTH","FY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18" s="2" t="e">
        <f ca="1">_xll.BDH($C$3,"5Y_GEO_GROWTH_DILUTED_EPS","FY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18" s="2" t="e">
        <f ca="1">_xll.BDH($C$3,"GEO_GROW_DVD_PER_SH","FY 2017","FY 2017","Currency=INR","Period=FY","BEST_FPERIOD_OVERRIDE=FY","FILING_STATUS=OR","EQY_CONSOLIDATED=Y","Sort=A","Dates=H","DateFormat=P","Fill=—","Direction=H","UseDPDF=Y")</f>
        <v>#NAME?</v>
      </c>
      <c r="AS18" s="2" t="e">
        <f ca="1">_xll.BDH($C$3,"ACCOUNTS_RECEIVABLE_5_YR_GROWTH","FY 2017","FY 2017","Currency=INR","Period=FY","BEST_FPERIOD_OVERRIDE=FY","FILING_STATUS=OR","EQY_CONSOLIDATED=Y","Sort=A","Dates=H","DateFormat=P","Fill=—","Direction=H","UseDPDF=Y")</f>
        <v>#NAME?</v>
      </c>
      <c r="AT18" s="2" t="e">
        <f ca="1">_xll.BDH($C$3,"INVENTORY_5_YEAR_GROWTH","FY 2017","FY 2017","Currency=INR","Period=FY","BEST_FPERIOD_OVERRIDE=FY","FILING_STATUS=OR","EQY_CONSOLIDATED=Y","Sort=A","Dates=H","DateFormat=P","Fill=—","Direction=H","UseDPDF=Y")</f>
        <v>#NAME?</v>
      </c>
      <c r="AU18" s="2" t="e">
        <f ca="1">_xll.BDH($C$3,"NET_FIXED_ASSETS_5_YEAR_GROWTH","FY 2017","FY 2017","Currency=INR","Period=FY","BEST_FPERIOD_OVERRIDE=FY","FILING_STATUS=OR","EQY_CONSOLIDATED=Y","Sort=A","Dates=H","DateFormat=P","Fill=—","Direction=H","UseDPDF=Y")</f>
        <v>#NAME?</v>
      </c>
      <c r="AV18" s="2" t="e">
        <f ca="1">_xll.BDH($C$3,"GEO_GROW_TOT_ASSET","FY 2017","FY 2017","Currency=INR","Period=FY","BEST_FPERIOD_OVERRIDE=FY","FILING_STATUS=OR","EQY_CONSOLIDATED=Y","Sort=A","Dates=H","DateFormat=P","Fill=—","Direction=H","UseDPDF=Y")</f>
        <v>#NAME?</v>
      </c>
      <c r="AW18" s="2" t="e">
        <f ca="1">_xll.BDH($C$3,"MODIFIED_WORKING_CPTL_5YR_GRWTH","FY 2017","FY 2017","Currency=INR","Period=FY","BEST_FPERIOD_OVERRIDE=FY","FILING_STATUS=OR","EQY_CONSOLIDATED=Y","Sort=A","Dates=H","DateFormat=P","Fill=—","Direction=H","UseDPDF=Y")</f>
        <v>#NAME?</v>
      </c>
      <c r="AX18" s="2" t="e">
        <f ca="1">_xll.BDH($C$3,"WORKING_CAPITAL_5_YEAR_GROWTH","FY 2017","FY 2017","Currency=INR","Period=FY","BEST_FPERIOD_OVERRIDE=FY","FILING_STATUS=OR","EQY_CONSOLIDATED=Y","Sort=A","Dates=H","DateFormat=P","Fill=—","Direction=H","UseDPDF=Y")</f>
        <v>#NAME?</v>
      </c>
      <c r="AY18" s="2" t="e">
        <f ca="1">_xll.BDH($C$3,"ACCOUNTS_PAYABLE_5_YEAR_GROWTH","FY 2017","FY 2017","Currency=INR","Period=FY","BEST_FPERIOD_OVERRIDE=FY","FILING_STATUS=OR","EQY_CONSOLIDATED=Y","Sort=A","Dates=H","DateFormat=P","Fill=—","Direction=H","UseDPDF=Y")</f>
        <v>#NAME?</v>
      </c>
      <c r="AZ18" s="2" t="e">
        <f ca="1">_xll.BDH($C$3,"SHORT_TERM_DEBT_5_YEAR_GROWTH","FY 2017","FY 2017","Currency=INR","Period=FY","BEST_FPERIOD_OVERRIDE=FY","FILING_STATUS=OR","EQY_CONSOLIDATED=Y","Sort=A","Dates=H","DateFormat=P","Fill=—","Direction=H","UseDPDF=Y")</f>
        <v>#NAME?</v>
      </c>
      <c r="BA18" s="2" t="e">
        <f ca="1">_xll.BDH($C$3,"TOTAL_DEBT_5_YEAR_GROWTH","FY 2017","FY 2017","Currency=INR","Period=FY","BEST_FPERIOD_OVERRIDE=FY","FILING_STATUS=OR","EQY_CONSOLIDATED=Y","Sort=A","Dates=H","DateFormat=P","Fill=—","Direction=H","UseDPDF=Y")</f>
        <v>#NAME?</v>
      </c>
      <c r="BB18" s="2" t="e">
        <f ca="1">_xll.BDH($C$3,"GEO_GROW_TOT_SHRHLDR_EQY","FY 2017","FY 2017","Currency=INR","Period=FY","BEST_FPERIOD_OVERRIDE=FY","FILING_STATUS=OR","EQY_CONSOLIDATED=Y","Sort=A","Dates=H","DateFormat=P","Fill=—","Direction=H","UseDPDF=Y")</f>
        <v>#NAME?</v>
      </c>
      <c r="BC18" s="2" t="e">
        <f ca="1">_xll.BDH($C$3,"TOTAL_CAPITAL_5_YEAR_GROWTH","FY 2017","FY 2017","Currency=INR","Period=FY","BEST_FPERIOD_OVERRIDE=FY","FILING_STATUS=OR","EQY_CONSOLIDATED=Y","Sort=A","Dates=H","DateFormat=P","Fill=—","Direction=H","UseDPDF=Y")</f>
        <v>#NAME?</v>
      </c>
      <c r="BD18" s="2" t="e">
        <f ca="1">_xll.BDH($C$3,"GEO_GROW_BOOK_VAL","FY 2017","FY 2017","Currency=INR","Period=FY","BEST_FPERIOD_OVERRIDE=FY","FILING_STATUS=OR","EQY_CONSOLIDATED=Y","Sort=A","Dates=H","DateFormat=P","Fill=—","Direction=H","UseDPDF=Y")</f>
        <v>#NAME?</v>
      </c>
      <c r="BE18" s="2" t="e">
        <f ca="1">_xll.BDH($C$3,"GEO_GROW_CASH_OPER_ACT","FY 2017","FY 2017","Currency=INR","Period=FY","BEST_FPERIOD_OVERRIDE=FY","FILING_STATUS=OR","EQY_CONSOLIDATED=Y","Sort=A","Dates=H","DateFormat=P","Fill=—","Direction=H","UseDPDF=Y")</f>
        <v>#NAME?</v>
      </c>
      <c r="BF18" s="2" t="e">
        <f ca="1">_xll.BDH($C$3,"REVENUE_SEQUENTIAL_GROWTH","FY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18" s="2" t="e">
        <f ca="1">_xll.BDH($C$3,"EBITDA_SEQUENTIAL_GROWTH","FY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18" s="2" t="e">
        <f ca="1">_xll.BDH($C$3,"OPERATING_INCOME_SEQ_GROWTH","FY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18" s="2" t="e">
        <f ca="1">_xll.BDH($C$3,"NET_INCOME_TO_COMMON_SEQ_GROWTH","FY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18" s="2" t="e">
        <f ca="1">_xll.BDH($C$3,"EPS_DILUTED_SEQUENTIAL_GROWTH","FY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18" s="2" t="e">
        <f ca="1">_xll.BDH($C$3,"DPS_SEQUENTIAL_GROWTH","FY 2017","FY 2017","Currency=INR","Period=FY","BEST_FPERIOD_OVERRIDE=FY","FILING_STATUS=OR","EQY_CONSOLIDATED=Y","Sort=A","Dates=H","DateFormat=P","Fill=—","Direction=H","UseDPDF=Y")</f>
        <v>#NAME?</v>
      </c>
      <c r="BL18" s="2" t="e">
        <f ca="1">_xll.BDH($C$3,"ACCOUNTS_RECEIVABLE_SEQ_GROWTH","FY 2017","FY 2017","Currency=INR","Period=FY","BEST_FPERIOD_OVERRIDE=FY","FILING_STATUS=OR","EQY_CONSOLIDATED=Y","Sort=A","Dates=H","DateFormat=P","Fill=—","Direction=H","UseDPDF=Y")</f>
        <v>#NAME?</v>
      </c>
      <c r="BM18" s="2" t="e">
        <f ca="1">_xll.BDH($C$3,"INVENTORY_SEQUENTIAL_GROWTH","FY 2017","FY 2017","Currency=INR","Period=FY","BEST_FPERIOD_OVERRIDE=FY","FILING_STATUS=OR","EQY_CONSOLIDATED=Y","Sort=A","Dates=H","DateFormat=P","Fill=—","Direction=H","UseDPDF=Y")</f>
        <v>#NAME?</v>
      </c>
      <c r="BN18" s="2" t="e">
        <f ca="1">_xll.BDH($C$3,"FIXED_ASSETS_SEQUENTIAL_GROWTH","FY 2017","FY 2017","Currency=INR","Period=FY","BEST_FPERIOD_OVERRIDE=FY","FILING_STATUS=OR","EQY_CONSOLIDATED=Y","Sort=A","Dates=H","DateFormat=P","Fill=—","Direction=H","UseDPDF=Y")</f>
        <v>#NAME?</v>
      </c>
      <c r="BO18" s="2" t="e">
        <f ca="1">_xll.BDH($C$3,"TOTAL_ASSETS_SEQUENTIAL_GROWTH","FY 2017","FY 2017","Currency=INR","Period=FY","BEST_FPERIOD_OVERRIDE=FY","FILING_STATUS=OR","EQY_CONSOLIDATED=Y","Sort=A","Dates=H","DateFormat=P","Fill=—","Direction=H","UseDPDF=Y")</f>
        <v>#NAME?</v>
      </c>
      <c r="BP18" s="2" t="e">
        <f ca="1">_xll.BDH($C$3,"MODIFIED_WORKING_CPTL_SEQ_GRWTH","FY 2017","FY 2017","Currency=INR","Period=FY","BEST_FPERIOD_OVERRIDE=FY","FILING_STATUS=OR","EQY_CONSOLIDATED=Y","Sort=A","Dates=H","DateFormat=P","Fill=—","Direction=H","UseDPDF=Y")</f>
        <v>#NAME?</v>
      </c>
      <c r="BQ18" s="2" t="e">
        <f ca="1">_xll.BDH($C$3,"WORKING_CAPITAL_SEQ_GROWTH","FY 2017","FY 2017","Currency=INR","Period=FY","BEST_FPERIOD_OVERRIDE=FY","FILING_STATUS=OR","EQY_CONSOLIDATED=Y","Sort=A","Dates=H","DateFormat=P","Fill=—","Direction=H","UseDPDF=Y")</f>
        <v>#NAME?</v>
      </c>
      <c r="BR18" s="2" t="e">
        <f ca="1">_xll.BDH($C$3,"ACCOUNTS_PAYABLE_SEQ_GROWTH","FY 2017","FY 2017","Currency=INR","Period=FY","BEST_FPERIOD_OVERRIDE=FY","FILING_STATUS=OR","EQY_CONSOLIDATED=Y","Sort=A","Dates=H","DateFormat=P","Fill=—","Direction=H","UseDPDF=Y")</f>
        <v>#NAME?</v>
      </c>
      <c r="BS18" s="2" t="e">
        <f ca="1">_xll.BDH($C$3,"ST_DEBT_SEQUENTIAL_GROWTH","FY 2017","FY 2017","Currency=INR","Period=FY","BEST_FPERIOD_OVERRIDE=FY","FILING_STATUS=OR","EQY_CONSOLIDATED=Y","Sort=A","Dates=H","DateFormat=P","Fill=—","Direction=H","UseDPDF=Y")</f>
        <v>#NAME?</v>
      </c>
      <c r="BT18" s="2" t="e">
        <f ca="1">_xll.BDH($C$3,"TOTAL_DEBT_SEQUENTIAL_GROWTH","FY 2017","FY 2017","Currency=INR","Period=FY","BEST_FPERIOD_OVERRIDE=FY","FILING_STATUS=OR","EQY_CONSOLIDATED=Y","Sort=A","Dates=H","DateFormat=P","Fill=—","Direction=H","UseDPDF=Y")</f>
        <v>#NAME?</v>
      </c>
      <c r="BU18" s="2" t="e">
        <f ca="1">_xll.BDH($C$3,"TOTAL_EQUITY_SEQUENTIAL_GROWTH","FY 2017","FY 2017","Currency=INR","Period=FY","BEST_FPERIOD_OVERRIDE=FY","FILING_STATUS=OR","EQY_CONSOLIDATED=Y","Sort=A","Dates=H","DateFormat=P","Fill=—","Direction=H","UseDPDF=Y")</f>
        <v>#NAME?</v>
      </c>
      <c r="BV18" s="2" t="e">
        <f ca="1">_xll.BDH($C$3,"TOTAL_CAPITAL_SEQUENTIAL_GROWTH","FY 2017","FY 2017","Currency=INR","Period=FY","BEST_FPERIOD_OVERRIDE=FY","FILING_STATUS=OR","EQY_CONSOLIDATED=Y","Sort=A","Dates=H","DateFormat=P","Fill=—","Direction=H","UseDPDF=Y")</f>
        <v>#NAME?</v>
      </c>
      <c r="BW18" s="2" t="e">
        <f ca="1">_xll.BDH($C$3,"BPS_SEQUENTIAL_GROWTH","FY 2017","FY 2017","Currency=INR","Period=FY","BEST_FPERIOD_OVERRIDE=FY","FILING_STATUS=OR","EQY_CONSOLIDATED=Y","Sort=A","Dates=H","DateFormat=P","Fill=—","Direction=H","UseDPDF=Y")</f>
        <v>#NAME?</v>
      </c>
      <c r="BX18" s="2" t="e">
        <f ca="1">_xll.BDH($C$3,"CFO_SEQUENTIAL_GROWTH","FY 2017","FY 2017","Currency=INR","Period=FY","BEST_FPERIOD_OVERRIDE=FY","FILING_STATUS=OR","EQY_CONSOLIDATED=Y","Sort=A","Dates=H","DateFormat=P","Fill=—","Direction=H","UseDPDF=Y")</f>
        <v>#NAME?</v>
      </c>
      <c r="BY18" s="3" t="e">
        <f ca="1">_xll.BDH($C$3,"SHORT_AND_LONG_TERM_DEBT","FY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18" s="3" t="e">
        <f ca="1">_xll.BDH($C$3,"BS_ST_BORROW","FY 2017","FY 2017","Currency=INR","Period=FY","BEST_FPERIOD_OVERRIDE=FY","FILING_STATUS=OR","EQY_CONSOLIDATED=Y","SCALING_FORMAT=MLN","Sort=A","Dates=H","DateFormat=P","Fill=—","Direction=H","UseDPDF=Y")</f>
        <v>#NAME?</v>
      </c>
      <c r="CA18" s="3" t="e">
        <f ca="1">_xll.BDH($C$3,"BS_LT_BORROW","FY 2017","FY 2017","Currency=INR","Period=FY","BEST_FPERIOD_OVERRIDE=FY","FILING_STATUS=OR","EQY_CONSOLIDATED=Y","SCALING_FORMAT=MLN","Sort=A","Dates=H","DateFormat=P","Fill=—","Direction=H","UseDPDF=Y")</f>
        <v>#NAME?</v>
      </c>
      <c r="CB18" s="2" t="e">
        <f ca="1">_xll.BDH($C$3,"TOT_DEBT_TO_EBITDA","FY 2017","FY 2017","Currency=INR","Period=FY","BEST_FPERIOD_OVERRIDE=FY","FILING_STATUS=OR","EQY_CONSOLIDATED=Y","FA_ADJUSTED=GAAP","Sort=A","Dates=H","DateFormat=P","Fill=—","Direction=H","UseDPDF=Y")</f>
        <v>#NAME?</v>
      </c>
      <c r="CC18" s="2" t="e">
        <f ca="1">_xll.BDH($C$3,"NET_DEBT_TO_EBITDA","FY 2017","FY 2017","Currency=INR","Period=FY","BEST_FPERIOD_OVERRIDE=FY","FILING_STATUS=OR","EQY_CONSOLIDATED=Y","FA_ADJUSTED=GAAP","Sort=A","Dates=H","DateFormat=P","Fill=—","Direction=H","UseDPDF=Y")</f>
        <v>#NAME?</v>
      </c>
      <c r="CD18" s="2" t="e">
        <f ca="1">_xll.BDH($C$3,"TOTAL_DEBT_TO_EBIT","FY 2017","FY 2017","Currency=INR","Period=FY","BEST_FPERIOD_OVERRIDE=FY","FILING_STATUS=OR","EQY_CONSOLIDATED=Y","FA_ADJUSTED=GAAP","Sort=A","Dates=H","DateFormat=P","Fill=—","Direction=H","UseDPDF=Y")</f>
        <v>#NAME?</v>
      </c>
      <c r="CE18" s="2" t="e">
        <f ca="1">_xll.BDH($C$3,"NET_DEBT_TO_EBIT","FY 2017","FY 2017","Currency=INR","Period=FY","BEST_FPERIOD_OVERRIDE=FY","FILING_STATUS=OR","EQY_CONSOLIDATED=Y","FA_ADJUSTED=GAAP","Sort=A","Dates=H","DateFormat=P","Fill=—","Direction=H","UseDPDF=Y")</f>
        <v>#NAME?</v>
      </c>
      <c r="CF18" s="2" t="e">
        <f ca="1">_xll.BDH($C$3,"EBITDA_TO_INTEREST_EXPN","FY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18" s="2" t="e">
        <f ca="1">_xll.BDH($C$3,"COM_EQY_TO_TOT_ASSET","FY 2017","FY 2017","Currency=INR","Period=FY","BEST_FPERIOD_OVERRIDE=FY","FILING_STATUS=OR","EQY_CONSOLIDATED=Y","Sort=A","Dates=H","DateFormat=P","Fill=—","Direction=H","UseDPDF=Y")</f>
        <v>#NAME?</v>
      </c>
      <c r="CH18" s="2" t="e">
        <f ca="1">_xll.BDH($C$3,"LT_DEBT_TO_TOT_EQY","FY 2017","FY 2017","Currency=INR","Period=FY","BEST_FPERIOD_OVERRIDE=FY","FILING_STATUS=OR","EQY_CONSOLIDATED=Y","Sort=A","Dates=H","DateFormat=P","Fill=—","Direction=H","UseDPDF=Y")</f>
        <v>#NAME?</v>
      </c>
      <c r="CI18" s="2" t="e">
        <f ca="1">_xll.BDH($C$3,"LT_DEBT_TO_TOT_CAP","FY 2017","FY 2017","Currency=INR","Period=FY","BEST_FPERIOD_OVERRIDE=FY","FILING_STATUS=OR","EQY_CONSOLIDATED=Y","Sort=A","Dates=H","DateFormat=P","Fill=—","Direction=H","UseDPDF=Y")</f>
        <v>#NAME?</v>
      </c>
      <c r="CJ18" s="2" t="e">
        <f ca="1">_xll.BDH($C$3,"LT_DEBT_TO_TOT_ASSET","FY 2017","FY 2017","Currency=INR","Period=FY","BEST_FPERIOD_OVERRIDE=FY","FILING_STATUS=OR","EQY_CONSOLIDATED=Y","Sort=A","Dates=H","DateFormat=P","Fill=—","Direction=H","UseDPDF=Y")</f>
        <v>#NAME?</v>
      </c>
      <c r="CK18" s="2" t="e">
        <f ca="1">_xll.BDH($C$3,"TOT_DEBT_TO_TOT_EQY","FY 2017","FY 2017","Currency=INR","Period=FY","BEST_FPERIOD_OVERRIDE=FY","FILING_STATUS=OR","EQY_CONSOLIDATED=Y","Sort=A","Dates=H","DateFormat=P","Fill=—","Direction=H","UseDPDF=Y")</f>
        <v>#NAME?</v>
      </c>
      <c r="CL18" s="2" t="e">
        <f ca="1">_xll.BDH($C$3,"TOT_DEBT_TO_TOT_CAP","FY 2017","FY 2017","Currency=INR","Period=FY","BEST_FPERIOD_OVERRIDE=FY","FILING_STATUS=OR","EQY_CONSOLIDATED=Y","Sort=A","Dates=H","DateFormat=P","Fill=—","Direction=H","UseDPDF=Y")</f>
        <v>#NAME?</v>
      </c>
      <c r="CM18" s="2" t="e">
        <f ca="1">_xll.BDH($C$3,"TOT_DEBT_TO_TOT_ASSET","FY 2017","FY 2017","Currency=INR","Period=FY","BEST_FPERIOD_OVERRIDE=FY","FILING_STATUS=OR","EQY_CONSOLIDATED=Y","Sort=A","Dates=H","DateFormat=P","Fill=—","Direction=H","UseDPDF=Y")</f>
        <v>#NAME?</v>
      </c>
      <c r="CN18" s="2" t="e">
        <f ca="1">_xll.BDH($C$3,"NET_DEBT_TO_SHRHLDR_EQTY","FY 2017","FY 2017","Currency=INR","Period=FY","BEST_FPERIOD_OVERRIDE=FY","FILING_STATUS=OR","EQY_CONSOLIDATED=Y","Sort=A","Dates=H","DateFormat=P","Fill=—","Direction=H","UseDPDF=Y")</f>
        <v>#NAME?</v>
      </c>
      <c r="CO18" s="2" t="e">
        <f ca="1">_xll.BDH($C$3,"NET_DEBT_%_CAPITAL","FY 2017","FY 2017","Currency=INR","Period=FY","BEST_FPERIOD_OVERRIDE=FY","FILING_STATUS=OR","EQY_CONSOLIDATED=Y","Sort=A","Dates=H","DateFormat=P","Fill=—","Direction=H","UseDPDF=Y")</f>
        <v>#NAME?</v>
      </c>
      <c r="CP18" s="3" t="e">
        <f ca="1">_xll.BDH($C$3,"EBITDA","FY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18" s="3" t="e">
        <f ca="1">_xll.BDH($C$3,"EBITDA_AFTER_CAPEX","FY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18" s="3" t="e">
        <f ca="1">_xll.BDH($C$3,"IS_OPER_INC","FY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18" s="2" t="e">
        <f ca="1">_xll.BDH($C$3,"CASH_RATIO","FY 2017","FY 2017","Currency=INR","Period=FY","BEST_FPERIOD_OVERRIDE=FY","FILING_STATUS=OR","EQY_CONSOLIDATED=Y","Sort=A","Dates=H","DateFormat=P","Fill=—","Direction=H","UseDPDF=Y")</f>
        <v>#NAME?</v>
      </c>
      <c r="CT18" s="2" t="e">
        <f ca="1">_xll.BDH($C$3,"CUR_RATIO","FY 2017","FY 2017","Currency=INR","Period=FY","BEST_FPERIOD_OVERRIDE=FY","FILING_STATUS=OR","EQY_CONSOLIDATED=Y","Sort=A","Dates=H","DateFormat=P","Fill=—","Direction=H","UseDPDF=Y")</f>
        <v>#NAME?</v>
      </c>
      <c r="CU18" s="2" t="e">
        <f ca="1">_xll.BDH($C$3,"QUICK_RATIO","FY 2017","FY 2017","Currency=INR","Period=FY","BEST_FPERIOD_OVERRIDE=FY","FILING_STATUS=OR","EQY_CONSOLIDATED=Y","Sort=A","Dates=H","DateFormat=P","Fill=—","Direction=H","UseDPDF=Y")</f>
        <v>#NAME?</v>
      </c>
      <c r="CV18" s="2" t="e">
        <f ca="1">_xll.BDH($C$3,"ALTMAN_Z_SCORE","FY 2017","FY 2017","Currency=INR","Period=FY","BEST_FPERIOD_OVERRIDE=FY","FILING_STATUS=OR","EQY_CONSOLIDATED=Y","Sort=A","Dates=H","DateFormat=P","Fill=—","Direction=H","UseDPDF=Y")</f>
        <v>#NAME?</v>
      </c>
      <c r="CW18" s="4" t="e">
        <f ca="1">_xll.BDH($C$3,"ACCT_RCV_TURN","FY 2017","FY 2017","Currency=INR","Period=FY","BEST_FPERIOD_OVERRIDE=FY","FILING_STATUS=OR","EQY_CONSOLIDATED=Y","FA_ADJUSTED=GAAP","Sort=A","Dates=H","DateFormat=P","Fill=—","Direction=H","UseDPDF=Y")</f>
        <v>#NAME?</v>
      </c>
      <c r="CX18" s="2" t="e">
        <f ca="1">_xll.BDH($C$3,"ACCT_RCV_DAYS","FY 2017","FY 2017","Currency=INR","Period=FY","BEST_FPERIOD_OVERRIDE=FY","FILING_STATUS=OR","EQY_CONSOLIDATED=Y","FA_ADJUSTED=GAAP","Sort=A","Dates=H","DateFormat=P","Fill=—","Direction=H","UseDPDF=Y")</f>
        <v>#NAME?</v>
      </c>
      <c r="CY18" s="4" t="e">
        <f ca="1">_xll.BDH($C$3,"INVENT_TURN","FY 2017","FY 2017","Currency=INR","Period=FY","BEST_FPERIOD_OVERRIDE=FY","FILING_STATUS=OR","EQY_CONSOLIDATED=Y","FA_ADJUSTED=GAAP","Sort=A","Dates=H","DateFormat=P","Fill=—","Direction=H","UseDPDF=Y")</f>
        <v>#NAME?</v>
      </c>
      <c r="CZ18" s="2" t="e">
        <f ca="1">_xll.BDH($C$3,"INVENT_DAYS","FY 2017","FY 2017","Currency=INR","Period=FY","BEST_FPERIOD_OVERRIDE=FY","FILING_STATUS=OR","EQY_CONSOLIDATED=Y","FA_ADJUSTED=GAAP","Sort=A","Dates=H","DateFormat=P","Fill=—","Direction=H","UseDPDF=Y")</f>
        <v>#NAME?</v>
      </c>
      <c r="DA18" s="4" t="e">
        <f ca="1">_xll.BDH($C$3,"ACCOUNTS_PAYABLE_TURNOVER","FY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18" s="2" t="e">
        <f ca="1">_xll.BDH($C$3,"ACCOUNTS_PAYABLE_TURNOVER_DAYS","FY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18" s="4" t="e">
        <f ca="1">_xll.BDH($C$3,"CASH_CONVERSION_CYCLE","FY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18" s="4" t="e">
        <f ca="1">_xll.BDH($C$3,"INV_TO_CASH_DAYS","FY 2017","FY 2017","Currency=INR","Period=FY","BEST_FPERIOD_OVERRIDE=FY","FILING_STATUS=OR","EQY_CONSOLIDATED=Y","FA_ADJUSTED=GAAP","Sort=A","Dates=H","DateFormat=P","Fill=—","Direction=H","UseDPDF=Y")</f>
        <v>#NAME?</v>
      </c>
      <c r="DE18" s="5" t="e">
        <f ca="1">_xll.BDH($C$3,"BS_INVENTORIES","FY 2017","FY 2017","Currency=INR","Period=FY","BEST_FPERIOD_OVERRIDE=FY","FILING_STATUS=OR","EQY_CONSOLIDATED=Y","SCALING_FORMAT=MLN","Sort=A","Dates=H","DateFormat=P","Fill=—","Direction=H","UseDPDF=Y")</f>
        <v>#NAME?</v>
      </c>
      <c r="DF18" s="3" t="e">
        <f ca="1">_xll.BDH($C$3,"INVTRY_RAW_MATERIALS","FY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18" s="3" t="e">
        <f ca="1">_xll.BDH($C$3,"INVTRY_IN_PROGRESS","FY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18" s="3" t="e">
        <f ca="1">_xll.BDH($C$3,"INVTRY_FINISHED_GOODS","FY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18" s="3" t="e">
        <f ca="1">_xll.BDH($C$3,"BS_OTHER_INV","FY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19" spans="1:113" x14ac:dyDescent="0.3">
      <c r="A19" s="6"/>
      <c r="B19" s="6"/>
      <c r="C19" s="6"/>
      <c r="D19" s="6"/>
      <c r="E19" t="s">
        <v>78</v>
      </c>
      <c r="F19" t="e">
        <f ca="1">_xll.BDH($C$3,"RETURN_COM_EQY","FQ1 2017","FQ1 2017","Currency=INR","Period=FQ","BEST_FPERIOD_OVERRIDE=FQ","FILING_STATUS=OR","EQY_CONSOLIDATED=Y","FA_ADJUSTED=GAAP","Sort=A","Dates=H","DateFormat=P","Fill=—","Direction=H","UseDPDF=Y")</f>
        <v>#NAME?</v>
      </c>
      <c r="G19" t="e">
        <f ca="1">_xll.BDH($C$3,"RETURN_ON_ASSET","FQ1 2017","FQ1 2017","Currency=INR","Period=FQ","BEST_FPERIOD_OVERRIDE=FQ","FILING_STATUS=OR","EQY_CONSOLIDATED=Y","FA_ADJUSTED=GAAP","Sort=A","Dates=H","DateFormat=P","Fill=—","Direction=H","UseDPDF=Y")</f>
        <v>#NAME?</v>
      </c>
      <c r="H19" t="e">
        <f ca="1">_xll.BDH($C$3,"RETURN_ON_CAP","FQ1 2017","FQ1 2017","Currency=INR","Period=FQ","BEST_FPERIOD_OVERRIDE=FQ","FILING_STATUS=OR","EQY_CONSOLIDATED=Y","FA_ADJUSTED=GAAP","Sort=A","Dates=H","DateFormat=P","Fill=—","Direction=H","UseDPDF=Y")</f>
        <v>#NAME?</v>
      </c>
      <c r="I19" t="e">
        <f ca="1">_xll.BDH($C$3,"RETURN_ON_INV_CAPITAL","FQ1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19" t="e">
        <f ca="1">_xll.BDH($C$3,"EBITDA_TO_REVENUE","FQ1 2017","FQ1 2017","Currency=INR","Period=FQ","BEST_FPERIOD_OVERRIDE=FQ","FILING_STATUS=OR","EQY_CONSOLIDATED=Y","FA_ADJUSTED=GAAP","Sort=A","Dates=H","DateFormat=P","Fill=—","Direction=H","UseDPDF=Y")</f>
        <v>#NAME?</v>
      </c>
      <c r="K19" t="e">
        <f ca="1">_xll.BDH($C$3,"OPER_MARGIN","FQ1 2017","FQ1 2017","Currency=INR","Period=FQ","BEST_FPERIOD_OVERRIDE=FQ","FILING_STATUS=OR","EQY_CONSOLIDATED=Y","FA_ADJUSTED=GAAP","Sort=A","Dates=H","DateFormat=P","Fill=—","Direction=H","UseDPDF=Y")</f>
        <v>#NAME?</v>
      </c>
      <c r="L19" t="e">
        <f ca="1">_xll.BDH($C$3,"INCREMENTAL_OPERATING_MARGIN","FQ1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19" t="e">
        <f ca="1">_xll.BDH($C$3,"PRETAX_INC_TO_NET_SALES","FQ1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19" t="e">
        <f ca="1">_xll.BDH($C$3,"INC_BEF_XO_ITEMS_TO_NET_SALES","FQ1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19" t="e">
        <f ca="1">_xll.BDH($C$3,"PROF_MARGIN","FQ1 2017","FQ1 2017","Currency=INR","Period=FQ","BEST_FPERIOD_OVERRIDE=FQ","FILING_STATUS=OR","EQY_CONSOLIDATED=Y","FA_ADJUSTED=GAAP","Sort=A","Dates=H","DateFormat=P","Fill=—","Direction=H","UseDPDF=Y")</f>
        <v>#NAME?</v>
      </c>
      <c r="P19" t="e">
        <f ca="1">_xll.BDH($C$3,"NET_INCOME_TO_COMMON_MARGIN","FQ1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19" t="e">
        <f ca="1">_xll.BDH($C$3,"EFF_TAX_RATE","FQ1 2017","FQ1 2017","Currency=INR","Period=FQ","BEST_FPERIOD_OVERRIDE=FQ","FILING_STATUS=OR","EQY_CONSOLIDATED=Y","FA_ADJUSTED=GAAP","Sort=A","Dates=H","DateFormat=P","Fill=—","Direction=H","UseDPDF=Y")</f>
        <v>#NAME?</v>
      </c>
      <c r="R19" t="e">
        <f ca="1">_xll.BDH($C$3,"DVD_PAYOUT_RATIO","FQ1 2017","FQ1 2017","Currency=INR","Period=FQ","BEST_FPERIOD_OVERRIDE=FQ","FILING_STATUS=OR","EQY_CONSOLIDATED=Y","FA_ADJUSTED=GAAP","Sort=A","Dates=H","DateFormat=P","Fill=—","Direction=H","UseDPDF=Y")</f>
        <v>#NAME?</v>
      </c>
      <c r="S19" t="e">
        <f ca="1">_xll.BDH($C$3,"SUSTAIN_GROWTH_RT","FQ1 2017","FQ1 2017","Currency=INR","Period=FQ","BEST_FPERIOD_OVERRIDE=FQ","FILING_STATUS=OR","EQY_CONSOLIDATED=Y","FA_ADJUSTED=GAAP","Sort=A","Dates=H","DateFormat=P","Fill=—","Direction=H","UseDPDF=Y")</f>
        <v>#NAME?</v>
      </c>
      <c r="T19" s="2" t="e">
        <f ca="1">_xll.BDH($C$3,"SALES_GROWTH","FQ1 2017","FQ1 2017","Currency=INR","Period=FQ","BEST_FPERIOD_OVERRIDE=FQ","FILING_STATUS=OR","EQY_CONSOLIDATED=Y","FA_ADJUSTED=GAAP","Sort=A","Dates=H","DateFormat=P","Fill=—","Direction=H","UseDPDF=Y")</f>
        <v>#NAME?</v>
      </c>
      <c r="U19" s="2" t="e">
        <f ca="1">_xll.BDH($C$3,"EBITDA_GROWTH","FQ1 2017","FQ1 2017","Currency=INR","Period=FQ","BEST_FPERIOD_OVERRIDE=FQ","FILING_STATUS=OR","EQY_CONSOLIDATED=Y","FA_ADJUSTED=GAAP","Sort=A","Dates=H","DateFormat=P","Fill=—","Direction=H","UseDPDF=Y")</f>
        <v>#NAME?</v>
      </c>
      <c r="V19" s="2" t="e">
        <f ca="1">_xll.BDH($C$3,"OPER_INC_GROWTH","FQ1 2017","FQ1 2017","Currency=INR","Period=FQ","BEST_FPERIOD_OVERRIDE=FQ","FILING_STATUS=OR","EQY_CONSOLIDATED=Y","FA_ADJUSTED=GAAP","Sort=A","Dates=H","DateFormat=P","Fill=—","Direction=H","UseDPDF=Y")</f>
        <v>#NAME?</v>
      </c>
      <c r="W19" s="2" t="e">
        <f ca="1">_xll.BDH($C$3,"EARN_FOR_COM_GROWTH","FQ1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19" s="2" t="e">
        <f ca="1">_xll.BDH($C$3,"DILUTED_EPS_AFT_XO_ITEMS_GROWTH","FQ1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19" s="2" t="e">
        <f ca="1">_xll.BDH($C$3,"DIVIDEND_PER_SHARE_1_YEAR_GROWTH","FQ1 2017","FQ1 2017","Currency=INR","Period=FQ","BEST_FPERIOD_OVERRIDE=FQ","FILING_STATUS=OR","EQY_CONSOLIDATED=Y","Sort=A","Dates=H","DateFormat=P","Fill=—","Direction=H","UseDPDF=Y")</f>
        <v>#NAME?</v>
      </c>
      <c r="Z19" s="2" t="e">
        <f ca="1">_xll.BDH($C$3,"ACCOUNTS_RECEIVABLE_GROWTH","FQ1 2017","FQ1 2017","Currency=INR","Period=FQ","BEST_FPERIOD_OVERRIDE=FQ","FILING_STATUS=OR","EQY_CONSOLIDATED=Y","Sort=A","Dates=H","DateFormat=P","Fill=—","Direction=H","UseDPDF=Y")</f>
        <v>#NAME?</v>
      </c>
      <c r="AA19" s="2" t="e">
        <f ca="1">_xll.BDH($C$3,"INVENTORY_GROWTH","FQ1 2017","FQ1 2017","Currency=INR","Period=FQ","BEST_FPERIOD_OVERRIDE=FQ","FILING_STATUS=OR","EQY_CONSOLIDATED=Y","Sort=A","Dates=H","DateFormat=P","Fill=—","Direction=H","UseDPDF=Y")</f>
        <v>#NAME?</v>
      </c>
      <c r="AB19" s="2" t="e">
        <f ca="1">_xll.BDH($C$3,"NET_FIXED_ASSETS_1_YEAR_GROWTH","FQ1 2017","FQ1 2017","Currency=INR","Period=FQ","BEST_FPERIOD_OVERRIDE=FQ","FILING_STATUS=OR","EQY_CONSOLIDATED=Y","Sort=A","Dates=H","DateFormat=P","Fill=—","Direction=H","UseDPDF=Y")</f>
        <v>#NAME?</v>
      </c>
      <c r="AC19" s="2" t="e">
        <f ca="1">_xll.BDH($C$3,"ASSET_GROWTH","FQ1 2017","FQ1 2017","Currency=INR","Period=FQ","BEST_FPERIOD_OVERRIDE=FQ","FILING_STATUS=OR","EQY_CONSOLIDATED=Y","Sort=A","Dates=H","DateFormat=P","Fill=—","Direction=H","UseDPDF=Y")</f>
        <v>#NAME?</v>
      </c>
      <c r="AD19" s="2" t="e">
        <f ca="1">_xll.BDH($C$3,"MODIFIED_WORK_CAP_GROWTH","FQ1 2017","FQ1 2017","Currency=INR","Period=FQ","BEST_FPERIOD_OVERRIDE=FQ","FILING_STATUS=OR","EQY_CONSOLIDATED=Y","Sort=A","Dates=H","DateFormat=P","Fill=—","Direction=H","UseDPDF=Y")</f>
        <v>#NAME?</v>
      </c>
      <c r="AE19" s="2" t="e">
        <f ca="1">_xll.BDH($C$3,"WORK_CAP_GROWTH","FQ1 2017","FQ1 2017","Currency=INR","Period=FQ","BEST_FPERIOD_OVERRIDE=FQ","FILING_STATUS=OR","EQY_CONSOLIDATED=Y","Sort=A","Dates=H","DateFormat=P","Fill=—","Direction=H","UseDPDF=Y")</f>
        <v>#NAME?</v>
      </c>
      <c r="AF19" s="2" t="e">
        <f ca="1">_xll.BDH($C$3,"ACCOUNTS_PAYABLE_GROWTH_1YR","FQ1 2017","FQ1 2017","Currency=INR","Period=FQ","BEST_FPERIOD_OVERRIDE=FQ","FILING_STATUS=OR","EQY_CONSOLIDATED=Y","Sort=A","Dates=H","DateFormat=P","Fill=—","Direction=H","UseDPDF=Y")</f>
        <v>#NAME?</v>
      </c>
      <c r="AG19" s="2" t="e">
        <f ca="1">_xll.BDH($C$3,"SHORT_TERM_DEBT_1_YEAR_GROWTH","FQ1 2017","FQ1 2017","Currency=INR","Period=FQ","BEST_FPERIOD_OVERRIDE=FQ","FILING_STATUS=OR","EQY_CONSOLIDATED=Y","Sort=A","Dates=H","DateFormat=P","Fill=—","Direction=H","UseDPDF=Y")</f>
        <v>#NAME?</v>
      </c>
      <c r="AH19" s="2" t="e">
        <f ca="1">_xll.BDH($C$3,"TOTAL_DEBT_1_YEAR_GROWTH","FQ1 2017","FQ1 2017","Currency=INR","Period=FQ","BEST_FPERIOD_OVERRIDE=FQ","FILING_STATUS=OR","EQY_CONSOLIDATED=Y","Sort=A","Dates=H","DateFormat=P","Fill=—","Direction=H","UseDPDF=Y")</f>
        <v>#NAME?</v>
      </c>
      <c r="AI19" s="2" t="e">
        <f ca="1">_xll.BDH($C$3,"TOTAL_EQUITY_1_YEAR_GROWTH","FQ1 2017","FQ1 2017","Currency=INR","Period=FQ","BEST_FPERIOD_OVERRIDE=FQ","FILING_STATUS=OR","EQY_CONSOLIDATED=Y","Sort=A","Dates=H","DateFormat=P","Fill=—","Direction=H","UseDPDF=Y")</f>
        <v>#NAME?</v>
      </c>
      <c r="AJ19" s="2" t="e">
        <f ca="1">_xll.BDH($C$3,"GROWTH_IN_CAP","FQ1 2017","FQ1 2017","Currency=INR","Period=FQ","BEST_FPERIOD_OVERRIDE=FQ","FILING_STATUS=OR","EQY_CONSOLIDATED=Y","Sort=A","Dates=H","DateFormat=P","Fill=—","Direction=H","UseDPDF=Y")</f>
        <v>#NAME?</v>
      </c>
      <c r="AK19" s="2" t="e">
        <f ca="1">_xll.BDH($C$3,"BVPS_GROWTH","FQ1 2017","FQ1 2017","Currency=INR","Period=FQ","BEST_FPERIOD_OVERRIDE=FQ","FILING_STATUS=OR","EQY_CONSOLIDATED=Y","Sort=A","Dates=H","DateFormat=P","Fill=—","Direction=H","UseDPDF=Y")</f>
        <v>#NAME?</v>
      </c>
      <c r="AL19" s="2" t="e">
        <f ca="1">_xll.BDH($C$3,"CASH_FLOW_GROWTH","FQ1 2017","FQ1 2017","Currency=INR","Period=FQ","BEST_FPERIOD_OVERRIDE=FQ","FILING_STATUS=OR","EQY_CONSOLIDATED=Y","Sort=A","Dates=H","DateFormat=P","Fill=—","Direction=H","UseDPDF=Y")</f>
        <v>#NAME?</v>
      </c>
      <c r="AM19" s="2" t="e">
        <f ca="1">_xll.BDH($C$3,"GEO_GROW_NET_SALES","FQ1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19" s="2" t="e">
        <f ca="1">_xll.BDH($C$3,"GEO_GROW_EBITDA","FQ1 2017","FQ1 2017","Currency=INR","Period=FQ","BEST_FPERIOD_OVERRIDE=FQ","FILING_STATUS=OR","EQY_CONSOLIDATED=Y","FA_ADJUSTED=GAAP","Sort=A","Dates=H","DateFormat=P","Fill=—","Direction=H","UseDPDF=Y")</f>
        <v>#NAME?</v>
      </c>
      <c r="AO19" s="2" t="e">
        <f ca="1">_xll.BDH($C$3,"GEO_GROW_OPER_INC","FQ1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19" s="2" t="e">
        <f ca="1">_xll.BDH($C$3,"NET_INCOME_TO_COMMON_5_YR_GROWTH","FQ1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19" s="2" t="e">
        <f ca="1">_xll.BDH($C$3,"5Y_GEO_GROWTH_DILUTED_EPS","FQ1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19" s="2" t="e">
        <f ca="1">_xll.BDH($C$3,"GEO_GROW_DVD_PER_SH","FQ1 2017","FQ1 2017","Currency=INR","Period=FQ","BEST_FPERIOD_OVERRIDE=FQ","FILING_STATUS=OR","EQY_CONSOLIDATED=Y","Sort=A","Dates=H","DateFormat=P","Fill=—","Direction=H","UseDPDF=Y")</f>
        <v>#NAME?</v>
      </c>
      <c r="AS19" s="2" t="e">
        <f ca="1">_xll.BDH($C$3,"ACCOUNTS_RECEIVABLE_5_YR_GROWTH","FQ1 2017","FQ1 2017","Currency=INR","Period=FQ","BEST_FPERIOD_OVERRIDE=FQ","FILING_STATUS=OR","EQY_CONSOLIDATED=Y","Sort=A","Dates=H","DateFormat=P","Fill=—","Direction=H","UseDPDF=Y")</f>
        <v>#NAME?</v>
      </c>
      <c r="AT19" s="2" t="e">
        <f ca="1">_xll.BDH($C$3,"INVENTORY_5_YEAR_GROWTH","FQ1 2017","FQ1 2017","Currency=INR","Period=FQ","BEST_FPERIOD_OVERRIDE=FQ","FILING_STATUS=OR","EQY_CONSOLIDATED=Y","Sort=A","Dates=H","DateFormat=P","Fill=—","Direction=H","UseDPDF=Y")</f>
        <v>#NAME?</v>
      </c>
      <c r="AU19" s="2" t="e">
        <f ca="1">_xll.BDH($C$3,"NET_FIXED_ASSETS_5_YEAR_GROWTH","FQ1 2017","FQ1 2017","Currency=INR","Period=FQ","BEST_FPERIOD_OVERRIDE=FQ","FILING_STATUS=OR","EQY_CONSOLIDATED=Y","Sort=A","Dates=H","DateFormat=P","Fill=—","Direction=H","UseDPDF=Y")</f>
        <v>#NAME?</v>
      </c>
      <c r="AV19" s="2" t="e">
        <f ca="1">_xll.BDH($C$3,"GEO_GROW_TOT_ASSET","FQ1 2017","FQ1 2017","Currency=INR","Period=FQ","BEST_FPERIOD_OVERRIDE=FQ","FILING_STATUS=OR","EQY_CONSOLIDATED=Y","Sort=A","Dates=H","DateFormat=P","Fill=—","Direction=H","UseDPDF=Y")</f>
        <v>#NAME?</v>
      </c>
      <c r="AW19" s="2" t="e">
        <f ca="1">_xll.BDH($C$3,"MODIFIED_WORKING_CPTL_5YR_GRWTH","FQ1 2017","FQ1 2017","Currency=INR","Period=FQ","BEST_FPERIOD_OVERRIDE=FQ","FILING_STATUS=OR","EQY_CONSOLIDATED=Y","Sort=A","Dates=H","DateFormat=P","Fill=—","Direction=H","UseDPDF=Y")</f>
        <v>#NAME?</v>
      </c>
      <c r="AX19" s="2" t="e">
        <f ca="1">_xll.BDH($C$3,"WORKING_CAPITAL_5_YEAR_GROWTH","FQ1 2017","FQ1 2017","Currency=INR","Period=FQ","BEST_FPERIOD_OVERRIDE=FQ","FILING_STATUS=OR","EQY_CONSOLIDATED=Y","Sort=A","Dates=H","DateFormat=P","Fill=—","Direction=H","UseDPDF=Y")</f>
        <v>#NAME?</v>
      </c>
      <c r="AY19" s="2" t="e">
        <f ca="1">_xll.BDH($C$3,"ACCOUNTS_PAYABLE_5_YEAR_GROWTH","FQ1 2017","FQ1 2017","Currency=INR","Period=FQ","BEST_FPERIOD_OVERRIDE=FQ","FILING_STATUS=OR","EQY_CONSOLIDATED=Y","Sort=A","Dates=H","DateFormat=P","Fill=—","Direction=H","UseDPDF=Y")</f>
        <v>#NAME?</v>
      </c>
      <c r="AZ19" s="2" t="e">
        <f ca="1">_xll.BDH($C$3,"SHORT_TERM_DEBT_5_YEAR_GROWTH","FQ1 2017","FQ1 2017","Currency=INR","Period=FQ","BEST_FPERIOD_OVERRIDE=FQ","FILING_STATUS=OR","EQY_CONSOLIDATED=Y","Sort=A","Dates=H","DateFormat=P","Fill=—","Direction=H","UseDPDF=Y")</f>
        <v>#NAME?</v>
      </c>
      <c r="BA19" s="2" t="e">
        <f ca="1">_xll.BDH($C$3,"TOTAL_DEBT_5_YEAR_GROWTH","FQ1 2017","FQ1 2017","Currency=INR","Period=FQ","BEST_FPERIOD_OVERRIDE=FQ","FILING_STATUS=OR","EQY_CONSOLIDATED=Y","Sort=A","Dates=H","DateFormat=P","Fill=—","Direction=H","UseDPDF=Y")</f>
        <v>#NAME?</v>
      </c>
      <c r="BB19" s="2" t="e">
        <f ca="1">_xll.BDH($C$3,"GEO_GROW_TOT_SHRHLDR_EQY","FQ1 2017","FQ1 2017","Currency=INR","Period=FQ","BEST_FPERIOD_OVERRIDE=FQ","FILING_STATUS=OR","EQY_CONSOLIDATED=Y","Sort=A","Dates=H","DateFormat=P","Fill=—","Direction=H","UseDPDF=Y")</f>
        <v>#NAME?</v>
      </c>
      <c r="BC19" s="2" t="e">
        <f ca="1">_xll.BDH($C$3,"TOTAL_CAPITAL_5_YEAR_GROWTH","FQ1 2017","FQ1 2017","Currency=INR","Period=FQ","BEST_FPERIOD_OVERRIDE=FQ","FILING_STATUS=OR","EQY_CONSOLIDATED=Y","Sort=A","Dates=H","DateFormat=P","Fill=—","Direction=H","UseDPDF=Y")</f>
        <v>#NAME?</v>
      </c>
      <c r="BD19" s="2" t="e">
        <f ca="1">_xll.BDH($C$3,"GEO_GROW_BOOK_VAL","FQ1 2017","FQ1 2017","Currency=INR","Period=FQ","BEST_FPERIOD_OVERRIDE=FQ","FILING_STATUS=OR","EQY_CONSOLIDATED=Y","Sort=A","Dates=H","DateFormat=P","Fill=—","Direction=H","UseDPDF=Y")</f>
        <v>#NAME?</v>
      </c>
      <c r="BE19" s="2" t="e">
        <f ca="1">_xll.BDH($C$3,"GEO_GROW_CASH_OPER_ACT","FQ1 2017","FQ1 2017","Currency=INR","Period=FQ","BEST_FPERIOD_OVERRIDE=FQ","FILING_STATUS=OR","EQY_CONSOLIDATED=Y","Sort=A","Dates=H","DateFormat=P","Fill=—","Direction=H","UseDPDF=Y")</f>
        <v>#NAME?</v>
      </c>
      <c r="BF19" s="2" t="e">
        <f ca="1">_xll.BDH($C$3,"REVENUE_SEQUENTIAL_GROWTH","FQ1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19" s="2" t="e">
        <f ca="1">_xll.BDH($C$3,"EBITDA_SEQUENTIAL_GROWTH","FQ1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19" s="2" t="e">
        <f ca="1">_xll.BDH($C$3,"OPERATING_INCOME_SEQ_GROWTH","FQ1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19" s="2" t="e">
        <f ca="1">_xll.BDH($C$3,"NET_INCOME_TO_COMMON_SEQ_GROWTH","FQ1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19" s="2" t="e">
        <f ca="1">_xll.BDH($C$3,"EPS_DILUTED_SEQUENTIAL_GROWTH","FQ1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19" s="2" t="e">
        <f ca="1">_xll.BDH($C$3,"DPS_SEQUENTIAL_GROWTH","FQ1 2017","FQ1 2017","Currency=INR","Period=FQ","BEST_FPERIOD_OVERRIDE=FQ","FILING_STATUS=OR","EQY_CONSOLIDATED=Y","Sort=A","Dates=H","DateFormat=P","Fill=—","Direction=H","UseDPDF=Y")</f>
        <v>#NAME?</v>
      </c>
      <c r="BL19" s="2" t="e">
        <f ca="1">_xll.BDH($C$3,"ACCOUNTS_RECEIVABLE_SEQ_GROWTH","FQ1 2017","FQ1 2017","Currency=INR","Period=FQ","BEST_FPERIOD_OVERRIDE=FQ","FILING_STATUS=OR","EQY_CONSOLIDATED=Y","Sort=A","Dates=H","DateFormat=P","Fill=—","Direction=H","UseDPDF=Y")</f>
        <v>#NAME?</v>
      </c>
      <c r="BM19" s="2" t="e">
        <f ca="1">_xll.BDH($C$3,"INVENTORY_SEQUENTIAL_GROWTH","FQ1 2017","FQ1 2017","Currency=INR","Period=FQ","BEST_FPERIOD_OVERRIDE=FQ","FILING_STATUS=OR","EQY_CONSOLIDATED=Y","Sort=A","Dates=H","DateFormat=P","Fill=—","Direction=H","UseDPDF=Y")</f>
        <v>#NAME?</v>
      </c>
      <c r="BN19" s="2" t="e">
        <f ca="1">_xll.BDH($C$3,"FIXED_ASSETS_SEQUENTIAL_GROWTH","FQ1 2017","FQ1 2017","Currency=INR","Period=FQ","BEST_FPERIOD_OVERRIDE=FQ","FILING_STATUS=OR","EQY_CONSOLIDATED=Y","Sort=A","Dates=H","DateFormat=P","Fill=—","Direction=H","UseDPDF=Y")</f>
        <v>#NAME?</v>
      </c>
      <c r="BO19" s="2" t="e">
        <f ca="1">_xll.BDH($C$3,"TOTAL_ASSETS_SEQUENTIAL_GROWTH","FQ1 2017","FQ1 2017","Currency=INR","Period=FQ","BEST_FPERIOD_OVERRIDE=FQ","FILING_STATUS=OR","EQY_CONSOLIDATED=Y","Sort=A","Dates=H","DateFormat=P","Fill=—","Direction=H","UseDPDF=Y")</f>
        <v>#NAME?</v>
      </c>
      <c r="BP19" s="2" t="e">
        <f ca="1">_xll.BDH($C$3,"MODIFIED_WORKING_CPTL_SEQ_GRWTH","FQ1 2017","FQ1 2017","Currency=INR","Period=FQ","BEST_FPERIOD_OVERRIDE=FQ","FILING_STATUS=OR","EQY_CONSOLIDATED=Y","Sort=A","Dates=H","DateFormat=P","Fill=—","Direction=H","UseDPDF=Y")</f>
        <v>#NAME?</v>
      </c>
      <c r="BQ19" s="2" t="e">
        <f ca="1">_xll.BDH($C$3,"WORKING_CAPITAL_SEQ_GROWTH","FQ1 2017","FQ1 2017","Currency=INR","Period=FQ","BEST_FPERIOD_OVERRIDE=FQ","FILING_STATUS=OR","EQY_CONSOLIDATED=Y","Sort=A","Dates=H","DateFormat=P","Fill=—","Direction=H","UseDPDF=Y")</f>
        <v>#NAME?</v>
      </c>
      <c r="BR19" s="2" t="e">
        <f ca="1">_xll.BDH($C$3,"ACCOUNTS_PAYABLE_SEQ_GROWTH","FQ1 2017","FQ1 2017","Currency=INR","Period=FQ","BEST_FPERIOD_OVERRIDE=FQ","FILING_STATUS=OR","EQY_CONSOLIDATED=Y","Sort=A","Dates=H","DateFormat=P","Fill=—","Direction=H","UseDPDF=Y")</f>
        <v>#NAME?</v>
      </c>
      <c r="BS19" s="2" t="e">
        <f ca="1">_xll.BDH($C$3,"ST_DEBT_SEQUENTIAL_GROWTH","FQ1 2017","FQ1 2017","Currency=INR","Period=FQ","BEST_FPERIOD_OVERRIDE=FQ","FILING_STATUS=OR","EQY_CONSOLIDATED=Y","Sort=A","Dates=H","DateFormat=P","Fill=—","Direction=H","UseDPDF=Y")</f>
        <v>#NAME?</v>
      </c>
      <c r="BT19" s="2" t="e">
        <f ca="1">_xll.BDH($C$3,"TOTAL_DEBT_SEQUENTIAL_GROWTH","FQ1 2017","FQ1 2017","Currency=INR","Period=FQ","BEST_FPERIOD_OVERRIDE=FQ","FILING_STATUS=OR","EQY_CONSOLIDATED=Y","Sort=A","Dates=H","DateFormat=P","Fill=—","Direction=H","UseDPDF=Y")</f>
        <v>#NAME?</v>
      </c>
      <c r="BU19" s="2" t="e">
        <f ca="1">_xll.BDH($C$3,"TOTAL_EQUITY_SEQUENTIAL_GROWTH","FQ1 2017","FQ1 2017","Currency=INR","Period=FQ","BEST_FPERIOD_OVERRIDE=FQ","FILING_STATUS=OR","EQY_CONSOLIDATED=Y","Sort=A","Dates=H","DateFormat=P","Fill=—","Direction=H","UseDPDF=Y")</f>
        <v>#NAME?</v>
      </c>
      <c r="BV19" s="2" t="e">
        <f ca="1">_xll.BDH($C$3,"TOTAL_CAPITAL_SEQUENTIAL_GROWTH","FQ1 2017","FQ1 2017","Currency=INR","Period=FQ","BEST_FPERIOD_OVERRIDE=FQ","FILING_STATUS=OR","EQY_CONSOLIDATED=Y","Sort=A","Dates=H","DateFormat=P","Fill=—","Direction=H","UseDPDF=Y")</f>
        <v>#NAME?</v>
      </c>
      <c r="BW19" s="2" t="e">
        <f ca="1">_xll.BDH($C$3,"BPS_SEQUENTIAL_GROWTH","FQ1 2017","FQ1 2017","Currency=INR","Period=FQ","BEST_FPERIOD_OVERRIDE=FQ","FILING_STATUS=OR","EQY_CONSOLIDATED=Y","Sort=A","Dates=H","DateFormat=P","Fill=—","Direction=H","UseDPDF=Y")</f>
        <v>#NAME?</v>
      </c>
      <c r="BX19" s="2" t="e">
        <f ca="1">_xll.BDH($C$3,"CFO_SEQUENTIAL_GROWTH","FQ1 2017","FQ1 2017","Currency=INR","Period=FQ","BEST_FPERIOD_OVERRIDE=FQ","FILING_STATUS=OR","EQY_CONSOLIDATED=Y","Sort=A","Dates=H","DateFormat=P","Fill=—","Direction=H","UseDPDF=Y")</f>
        <v>#NAME?</v>
      </c>
      <c r="BY19" s="3" t="e">
        <f ca="1">_xll.BDH($C$3,"SHORT_AND_LONG_TERM_DEBT","FQ1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19" s="3" t="e">
        <f ca="1">_xll.BDH($C$3,"BS_ST_BORROW","FQ1 2017","FQ1 2017","Currency=INR","Period=FQ","BEST_FPERIOD_OVERRIDE=FQ","FILING_STATUS=OR","EQY_CONSOLIDATED=Y","SCALING_FORMAT=MLN","Sort=A","Dates=H","DateFormat=P","Fill=—","Direction=H","UseDPDF=Y")</f>
        <v>#NAME?</v>
      </c>
      <c r="CA19" s="3" t="e">
        <f ca="1">_xll.BDH($C$3,"BS_LT_BORROW","FQ1 2017","FQ1 2017","Currency=INR","Period=FQ","BEST_FPERIOD_OVERRIDE=FQ","FILING_STATUS=OR","EQY_CONSOLIDATED=Y","SCALING_FORMAT=MLN","Sort=A","Dates=H","DateFormat=P","Fill=—","Direction=H","UseDPDF=Y")</f>
        <v>#NAME?</v>
      </c>
      <c r="CB19" s="2" t="e">
        <f ca="1">_xll.BDH($C$3,"TOT_DEBT_TO_EBITDA","FQ1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19" s="2" t="e">
        <f ca="1">_xll.BDH($C$3,"NET_DEBT_TO_EBITDA","FQ1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19" s="2" t="e">
        <f ca="1">_xll.BDH($C$3,"TOTAL_DEBT_TO_EBIT","FQ1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19" s="2" t="e">
        <f ca="1">_xll.BDH($C$3,"NET_DEBT_TO_EBIT","FQ1 2017","FQ1 2017","Currency=INR","Period=FQ","BEST_FPERIOD_OVERRIDE=FQ","FILING_STATUS=OR","EQY_CONSOLIDATED=Y","FA_ADJUSTED=GAAP","Sort=A","Dates=H","DateFormat=P","Fill=—","Direction=H","UseDPDF=Y")</f>
        <v>#NAME?</v>
      </c>
      <c r="CF19" s="2" t="e">
        <f ca="1">_xll.BDH($C$3,"EBITDA_TO_INTEREST_EXPN","FQ1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19" s="2" t="e">
        <f ca="1">_xll.BDH($C$3,"COM_EQY_TO_TOT_ASSET","FQ1 2017","FQ1 2017","Currency=INR","Period=FQ","BEST_FPERIOD_OVERRIDE=FQ","FILING_STATUS=OR","EQY_CONSOLIDATED=Y","Sort=A","Dates=H","DateFormat=P","Fill=—","Direction=H","UseDPDF=Y")</f>
        <v>#NAME?</v>
      </c>
      <c r="CH19" s="2" t="e">
        <f ca="1">_xll.BDH($C$3,"LT_DEBT_TO_TOT_EQY","FQ1 2017","FQ1 2017","Currency=INR","Period=FQ","BEST_FPERIOD_OVERRIDE=FQ","FILING_STATUS=OR","EQY_CONSOLIDATED=Y","Sort=A","Dates=H","DateFormat=P","Fill=—","Direction=H","UseDPDF=Y")</f>
        <v>#NAME?</v>
      </c>
      <c r="CI19" s="2" t="e">
        <f ca="1">_xll.BDH($C$3,"LT_DEBT_TO_TOT_CAP","FQ1 2017","FQ1 2017","Currency=INR","Period=FQ","BEST_FPERIOD_OVERRIDE=FQ","FILING_STATUS=OR","EQY_CONSOLIDATED=Y","Sort=A","Dates=H","DateFormat=P","Fill=—","Direction=H","UseDPDF=Y")</f>
        <v>#NAME?</v>
      </c>
      <c r="CJ19" s="2" t="e">
        <f ca="1">_xll.BDH($C$3,"LT_DEBT_TO_TOT_ASSET","FQ1 2017","FQ1 2017","Currency=INR","Period=FQ","BEST_FPERIOD_OVERRIDE=FQ","FILING_STATUS=OR","EQY_CONSOLIDATED=Y","Sort=A","Dates=H","DateFormat=P","Fill=—","Direction=H","UseDPDF=Y")</f>
        <v>#NAME?</v>
      </c>
      <c r="CK19" s="2" t="e">
        <f ca="1">_xll.BDH($C$3,"TOT_DEBT_TO_TOT_EQY","FQ1 2017","FQ1 2017","Currency=INR","Period=FQ","BEST_FPERIOD_OVERRIDE=FQ","FILING_STATUS=OR","EQY_CONSOLIDATED=Y","Sort=A","Dates=H","DateFormat=P","Fill=—","Direction=H","UseDPDF=Y")</f>
        <v>#NAME?</v>
      </c>
      <c r="CL19" s="2" t="e">
        <f ca="1">_xll.BDH($C$3,"TOT_DEBT_TO_TOT_CAP","FQ1 2017","FQ1 2017","Currency=INR","Period=FQ","BEST_FPERIOD_OVERRIDE=FQ","FILING_STATUS=OR","EQY_CONSOLIDATED=Y","Sort=A","Dates=H","DateFormat=P","Fill=—","Direction=H","UseDPDF=Y")</f>
        <v>#NAME?</v>
      </c>
      <c r="CM19" s="2" t="e">
        <f ca="1">_xll.BDH($C$3,"TOT_DEBT_TO_TOT_ASSET","FQ1 2017","FQ1 2017","Currency=INR","Period=FQ","BEST_FPERIOD_OVERRIDE=FQ","FILING_STATUS=OR","EQY_CONSOLIDATED=Y","Sort=A","Dates=H","DateFormat=P","Fill=—","Direction=H","UseDPDF=Y")</f>
        <v>#NAME?</v>
      </c>
      <c r="CN19" s="2" t="e">
        <f ca="1">_xll.BDH($C$3,"NET_DEBT_TO_SHRHLDR_EQTY","FQ1 2017","FQ1 2017","Currency=INR","Period=FQ","BEST_FPERIOD_OVERRIDE=FQ","FILING_STATUS=OR","EQY_CONSOLIDATED=Y","Sort=A","Dates=H","DateFormat=P","Fill=—","Direction=H","UseDPDF=Y")</f>
        <v>#NAME?</v>
      </c>
      <c r="CO19" s="2" t="e">
        <f ca="1">_xll.BDH($C$3,"NET_DEBT_%_CAPITAL","FQ1 2017","FQ1 2017","Currency=INR","Period=FQ","BEST_FPERIOD_OVERRIDE=FQ","FILING_STATUS=OR","EQY_CONSOLIDATED=Y","Sort=A","Dates=H","DateFormat=P","Fill=—","Direction=H","UseDPDF=Y")</f>
        <v>#NAME?</v>
      </c>
      <c r="CP19" s="3" t="e">
        <f ca="1">_xll.BDH($C$3,"EBITDA","FQ1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19" s="3" t="e">
        <f ca="1">_xll.BDH($C$3,"EBITDA_AFTER_CAPEX","FQ1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19" s="3" t="e">
        <f ca="1">_xll.BDH($C$3,"IS_OPER_INC","FQ1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19" s="2" t="e">
        <f ca="1">_xll.BDH($C$3,"CASH_RATIO","FQ1 2017","FQ1 2017","Currency=INR","Period=FQ","BEST_FPERIOD_OVERRIDE=FQ","FILING_STATUS=OR","EQY_CONSOLIDATED=Y","Sort=A","Dates=H","DateFormat=P","Fill=—","Direction=H","UseDPDF=Y")</f>
        <v>#NAME?</v>
      </c>
      <c r="CT19" s="2" t="e">
        <f ca="1">_xll.BDH($C$3,"CUR_RATIO","FQ1 2017","FQ1 2017","Currency=INR","Period=FQ","BEST_FPERIOD_OVERRIDE=FQ","FILING_STATUS=OR","EQY_CONSOLIDATED=Y","Sort=A","Dates=H","DateFormat=P","Fill=—","Direction=H","UseDPDF=Y")</f>
        <v>#NAME?</v>
      </c>
      <c r="CU19" s="2" t="e">
        <f ca="1">_xll.BDH($C$3,"QUICK_RATIO","FQ1 2017","FQ1 2017","Currency=INR","Period=FQ","BEST_FPERIOD_OVERRIDE=FQ","FILING_STATUS=OR","EQY_CONSOLIDATED=Y","Sort=A","Dates=H","DateFormat=P","Fill=—","Direction=H","UseDPDF=Y")</f>
        <v>#NAME?</v>
      </c>
      <c r="CV19" s="2" t="e">
        <f ca="1">_xll.BDH($C$3,"ALTMAN_Z_SCORE","FQ1 2017","FQ1 2017","Currency=INR","Period=FQ","BEST_FPERIOD_OVERRIDE=FQ","FILING_STATUS=OR","EQY_CONSOLIDATED=Y","Sort=A","Dates=H","DateFormat=P","Fill=—","Direction=H","UseDPDF=Y")</f>
        <v>#NAME?</v>
      </c>
      <c r="CW19" s="4" t="e">
        <f ca="1">_xll.BDH($C$3,"ACCT_RCV_TURN","FQ1 2017","FQ1 2017","Currency=INR","Period=FQ","BEST_FPERIOD_OVERRIDE=FQ","FILING_STATUS=OR","EQY_CONSOLIDATED=Y","FA_ADJUSTED=GAAP","Sort=A","Dates=H","DateFormat=P","Fill=—","Direction=H","UseDPDF=Y")</f>
        <v>#NAME?</v>
      </c>
      <c r="CX19" s="2" t="e">
        <f ca="1">_xll.BDH($C$3,"ACCT_RCV_DAYS","FQ1 2017","FQ1 2017","Currency=INR","Period=FQ","BEST_FPERIOD_OVERRIDE=FQ","FILING_STATUS=OR","EQY_CONSOLIDATED=Y","FA_ADJUSTED=GAAP","Sort=A","Dates=H","DateFormat=P","Fill=—","Direction=H","UseDPDF=Y")</f>
        <v>#NAME?</v>
      </c>
      <c r="CY19" s="4" t="e">
        <f ca="1">_xll.BDH($C$3,"INVENT_TURN","FQ1 2017","FQ1 2017","Currency=INR","Period=FQ","BEST_FPERIOD_OVERRIDE=FQ","FILING_STATUS=OR","EQY_CONSOLIDATED=Y","FA_ADJUSTED=GAAP","Sort=A","Dates=H","DateFormat=P","Fill=—","Direction=H","UseDPDF=Y")</f>
        <v>#NAME?</v>
      </c>
      <c r="CZ19" s="2" t="e">
        <f ca="1">_xll.BDH($C$3,"INVENT_DAYS","FQ1 2017","FQ1 2017","Currency=INR","Period=FQ","BEST_FPERIOD_OVERRIDE=FQ","FILING_STATUS=OR","EQY_CONSOLIDATED=Y","FA_ADJUSTED=GAAP","Sort=A","Dates=H","DateFormat=P","Fill=—","Direction=H","UseDPDF=Y")</f>
        <v>#NAME?</v>
      </c>
      <c r="DA19" s="4" t="e">
        <f ca="1">_xll.BDH($C$3,"ACCOUNTS_PAYABLE_TURNOVER","FQ1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19" s="2" t="e">
        <f ca="1">_xll.BDH($C$3,"ACCOUNTS_PAYABLE_TURNOVER_DAYS","FQ1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19" s="4" t="e">
        <f ca="1">_xll.BDH($C$3,"CASH_CONVERSION_CYCLE","FQ1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19" s="4" t="e">
        <f ca="1">_xll.BDH($C$3,"INV_TO_CASH_DAYS","FQ1 2017","FQ1 2017","Currency=INR","Period=FQ","BEST_FPERIOD_OVERRIDE=FQ","FILING_STATUS=OR","EQY_CONSOLIDATED=Y","FA_ADJUSTED=GAAP","Sort=A","Dates=H","DateFormat=P","Fill=—","Direction=H","UseDPDF=Y")</f>
        <v>#NAME?</v>
      </c>
      <c r="DE19" s="5" t="e">
        <f ca="1">_xll.BDH($C$3,"BS_INVENTORIES","FQ1 2017","FQ1 2017","Currency=INR","Period=FQ","BEST_FPERIOD_OVERRIDE=FQ","FILING_STATUS=OR","EQY_CONSOLIDATED=Y","SCALING_FORMAT=MLN","Sort=A","Dates=H","DateFormat=P","Fill=—","Direction=H","UseDPDF=Y")</f>
        <v>#NAME?</v>
      </c>
      <c r="DF19" s="3" t="e">
        <f ca="1">_xll.BDH($C$3,"INVTRY_RAW_MATERIALS","FQ1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19" s="3" t="e">
        <f ca="1">_xll.BDH($C$3,"INVTRY_IN_PROGRESS","FQ1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19" s="3" t="e">
        <f ca="1">_xll.BDH($C$3,"INVTRY_FINISHED_GOODS","FQ1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19" s="3" t="e">
        <f ca="1">_xll.BDH($C$3,"BS_OTHER_INV","FQ1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20" spans="1:113" x14ac:dyDescent="0.3">
      <c r="A20" s="6"/>
      <c r="B20" s="6"/>
      <c r="C20" s="6"/>
      <c r="D20" s="6"/>
      <c r="E20" t="s">
        <v>79</v>
      </c>
      <c r="F20" t="e">
        <f ca="1">_xll.BDH($C$3,"RETURN_COM_EQY","FQ2 2017","FQ2 2017","Currency=INR","Period=FQ","BEST_FPERIOD_OVERRIDE=FQ","FILING_STATUS=OR","EQY_CONSOLIDATED=Y","FA_ADJUSTED=GAAP","Sort=A","Dates=H","DateFormat=P","Fill=—","Direction=H","UseDPDF=Y")</f>
        <v>#NAME?</v>
      </c>
      <c r="G20" t="e">
        <f ca="1">_xll.BDH($C$3,"RETURN_ON_ASSET","FQ2 2017","FQ2 2017","Currency=INR","Period=FQ","BEST_FPERIOD_OVERRIDE=FQ","FILING_STATUS=OR","EQY_CONSOLIDATED=Y","FA_ADJUSTED=GAAP","Sort=A","Dates=H","DateFormat=P","Fill=—","Direction=H","UseDPDF=Y")</f>
        <v>#NAME?</v>
      </c>
      <c r="H20" t="e">
        <f ca="1">_xll.BDH($C$3,"RETURN_ON_CAP","FQ2 2017","FQ2 2017","Currency=INR","Period=FQ","BEST_FPERIOD_OVERRIDE=FQ","FILING_STATUS=OR","EQY_CONSOLIDATED=Y","FA_ADJUSTED=GAAP","Sort=A","Dates=H","DateFormat=P","Fill=—","Direction=H","UseDPDF=Y")</f>
        <v>#NAME?</v>
      </c>
      <c r="I20" t="e">
        <f ca="1">_xll.BDH($C$3,"RETURN_ON_INV_CAPITAL","FQ2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20" t="e">
        <f ca="1">_xll.BDH($C$3,"EBITDA_TO_REVENUE","FQ2 2017","FQ2 2017","Currency=INR","Period=FQ","BEST_FPERIOD_OVERRIDE=FQ","FILING_STATUS=OR","EQY_CONSOLIDATED=Y","FA_ADJUSTED=GAAP","Sort=A","Dates=H","DateFormat=P","Fill=—","Direction=H","UseDPDF=Y")</f>
        <v>#NAME?</v>
      </c>
      <c r="K20" t="e">
        <f ca="1">_xll.BDH($C$3,"OPER_MARGIN","FQ2 2017","FQ2 2017","Currency=INR","Period=FQ","BEST_FPERIOD_OVERRIDE=FQ","FILING_STATUS=OR","EQY_CONSOLIDATED=Y","FA_ADJUSTED=GAAP","Sort=A","Dates=H","DateFormat=P","Fill=—","Direction=H","UseDPDF=Y")</f>
        <v>#NAME?</v>
      </c>
      <c r="L20" t="e">
        <f ca="1">_xll.BDH($C$3,"INCREMENTAL_OPERATING_MARGIN","FQ2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20" t="e">
        <f ca="1">_xll.BDH($C$3,"PRETAX_INC_TO_NET_SALES","FQ2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20" t="e">
        <f ca="1">_xll.BDH($C$3,"INC_BEF_XO_ITEMS_TO_NET_SALES","FQ2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20" t="e">
        <f ca="1">_xll.BDH($C$3,"PROF_MARGIN","FQ2 2017","FQ2 2017","Currency=INR","Period=FQ","BEST_FPERIOD_OVERRIDE=FQ","FILING_STATUS=OR","EQY_CONSOLIDATED=Y","FA_ADJUSTED=GAAP","Sort=A","Dates=H","DateFormat=P","Fill=—","Direction=H","UseDPDF=Y")</f>
        <v>#NAME?</v>
      </c>
      <c r="P20" t="e">
        <f ca="1">_xll.BDH($C$3,"NET_INCOME_TO_COMMON_MARGIN","FQ2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20" t="e">
        <f ca="1">_xll.BDH($C$3,"EFF_TAX_RATE","FQ2 2017","FQ2 2017","Currency=INR","Period=FQ","BEST_FPERIOD_OVERRIDE=FQ","FILING_STATUS=OR","EQY_CONSOLIDATED=Y","FA_ADJUSTED=GAAP","Sort=A","Dates=H","DateFormat=P","Fill=—","Direction=H","UseDPDF=Y")</f>
        <v>#NAME?</v>
      </c>
      <c r="R20" t="e">
        <f ca="1">_xll.BDH($C$3,"DVD_PAYOUT_RATIO","FQ2 2017","FQ2 2017","Currency=INR","Period=FQ","BEST_FPERIOD_OVERRIDE=FQ","FILING_STATUS=OR","EQY_CONSOLIDATED=Y","FA_ADJUSTED=GAAP","Sort=A","Dates=H","DateFormat=P","Fill=—","Direction=H","UseDPDF=Y")</f>
        <v>#NAME?</v>
      </c>
      <c r="S20" t="e">
        <f ca="1">_xll.BDH($C$3,"SUSTAIN_GROWTH_RT","FQ2 2017","FQ2 2017","Currency=INR","Period=FQ","BEST_FPERIOD_OVERRIDE=FQ","FILING_STATUS=OR","EQY_CONSOLIDATED=Y","FA_ADJUSTED=GAAP","Sort=A","Dates=H","DateFormat=P","Fill=—","Direction=H","UseDPDF=Y")</f>
        <v>#NAME?</v>
      </c>
      <c r="T20" s="2" t="e">
        <f ca="1">_xll.BDH($C$3,"SALES_GROWTH","FQ2 2017","FQ2 2017","Currency=INR","Period=FQ","BEST_FPERIOD_OVERRIDE=FQ","FILING_STATUS=OR","EQY_CONSOLIDATED=Y","FA_ADJUSTED=GAAP","Sort=A","Dates=H","DateFormat=P","Fill=—","Direction=H","UseDPDF=Y")</f>
        <v>#NAME?</v>
      </c>
      <c r="U20" s="2" t="e">
        <f ca="1">_xll.BDH($C$3,"EBITDA_GROWTH","FQ2 2017","FQ2 2017","Currency=INR","Period=FQ","BEST_FPERIOD_OVERRIDE=FQ","FILING_STATUS=OR","EQY_CONSOLIDATED=Y","FA_ADJUSTED=GAAP","Sort=A","Dates=H","DateFormat=P","Fill=—","Direction=H","UseDPDF=Y")</f>
        <v>#NAME?</v>
      </c>
      <c r="V20" s="2" t="e">
        <f ca="1">_xll.BDH($C$3,"OPER_INC_GROWTH","FQ2 2017","FQ2 2017","Currency=INR","Period=FQ","BEST_FPERIOD_OVERRIDE=FQ","FILING_STATUS=OR","EQY_CONSOLIDATED=Y","FA_ADJUSTED=GAAP","Sort=A","Dates=H","DateFormat=P","Fill=—","Direction=H","UseDPDF=Y")</f>
        <v>#NAME?</v>
      </c>
      <c r="W20" s="2" t="e">
        <f ca="1">_xll.BDH($C$3,"EARN_FOR_COM_GROWTH","FQ2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20" s="2" t="e">
        <f ca="1">_xll.BDH($C$3,"DILUTED_EPS_AFT_XO_ITEMS_GROWTH","FQ2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20" s="2" t="e">
        <f ca="1">_xll.BDH($C$3,"DIVIDEND_PER_SHARE_1_YEAR_GROWTH","FQ2 2017","FQ2 2017","Currency=INR","Period=FQ","BEST_FPERIOD_OVERRIDE=FQ","FILING_STATUS=OR","EQY_CONSOLIDATED=Y","Sort=A","Dates=H","DateFormat=P","Fill=—","Direction=H","UseDPDF=Y")</f>
        <v>#NAME?</v>
      </c>
      <c r="Z20" s="2" t="e">
        <f ca="1">_xll.BDH($C$3,"ACCOUNTS_RECEIVABLE_GROWTH","FQ2 2017","FQ2 2017","Currency=INR","Period=FQ","BEST_FPERIOD_OVERRIDE=FQ","FILING_STATUS=OR","EQY_CONSOLIDATED=Y","Sort=A","Dates=H","DateFormat=P","Fill=—","Direction=H","UseDPDF=Y")</f>
        <v>#NAME?</v>
      </c>
      <c r="AA20" s="2" t="e">
        <f ca="1">_xll.BDH($C$3,"INVENTORY_GROWTH","FQ2 2017","FQ2 2017","Currency=INR","Period=FQ","BEST_FPERIOD_OVERRIDE=FQ","FILING_STATUS=OR","EQY_CONSOLIDATED=Y","Sort=A","Dates=H","DateFormat=P","Fill=—","Direction=H","UseDPDF=Y")</f>
        <v>#NAME?</v>
      </c>
      <c r="AB20" s="2" t="e">
        <f ca="1">_xll.BDH($C$3,"NET_FIXED_ASSETS_1_YEAR_GROWTH","FQ2 2017","FQ2 2017","Currency=INR","Period=FQ","BEST_FPERIOD_OVERRIDE=FQ","FILING_STATUS=OR","EQY_CONSOLIDATED=Y","Sort=A","Dates=H","DateFormat=P","Fill=—","Direction=H","UseDPDF=Y")</f>
        <v>#NAME?</v>
      </c>
      <c r="AC20" s="2" t="e">
        <f ca="1">_xll.BDH($C$3,"ASSET_GROWTH","FQ2 2017","FQ2 2017","Currency=INR","Period=FQ","BEST_FPERIOD_OVERRIDE=FQ","FILING_STATUS=OR","EQY_CONSOLIDATED=Y","Sort=A","Dates=H","DateFormat=P","Fill=—","Direction=H","UseDPDF=Y")</f>
        <v>#NAME?</v>
      </c>
      <c r="AD20" s="2" t="e">
        <f ca="1">_xll.BDH($C$3,"MODIFIED_WORK_CAP_GROWTH","FQ2 2017","FQ2 2017","Currency=INR","Period=FQ","BEST_FPERIOD_OVERRIDE=FQ","FILING_STATUS=OR","EQY_CONSOLIDATED=Y","Sort=A","Dates=H","DateFormat=P","Fill=—","Direction=H","UseDPDF=Y")</f>
        <v>#NAME?</v>
      </c>
      <c r="AE20" s="2" t="e">
        <f ca="1">_xll.BDH($C$3,"WORK_CAP_GROWTH","FQ2 2017","FQ2 2017","Currency=INR","Period=FQ","BEST_FPERIOD_OVERRIDE=FQ","FILING_STATUS=OR","EQY_CONSOLIDATED=Y","Sort=A","Dates=H","DateFormat=P","Fill=—","Direction=H","UseDPDF=Y")</f>
        <v>#NAME?</v>
      </c>
      <c r="AF20" s="2" t="e">
        <f ca="1">_xll.BDH($C$3,"ACCOUNTS_PAYABLE_GROWTH_1YR","FQ2 2017","FQ2 2017","Currency=INR","Period=FQ","BEST_FPERIOD_OVERRIDE=FQ","FILING_STATUS=OR","EQY_CONSOLIDATED=Y","Sort=A","Dates=H","DateFormat=P","Fill=—","Direction=H","UseDPDF=Y")</f>
        <v>#NAME?</v>
      </c>
      <c r="AG20" s="2" t="e">
        <f ca="1">_xll.BDH($C$3,"SHORT_TERM_DEBT_1_YEAR_GROWTH","FQ2 2017","FQ2 2017","Currency=INR","Period=FQ","BEST_FPERIOD_OVERRIDE=FQ","FILING_STATUS=OR","EQY_CONSOLIDATED=Y","Sort=A","Dates=H","DateFormat=P","Fill=—","Direction=H","UseDPDF=Y")</f>
        <v>#NAME?</v>
      </c>
      <c r="AH20" s="2" t="e">
        <f ca="1">_xll.BDH($C$3,"TOTAL_DEBT_1_YEAR_GROWTH","FQ2 2017","FQ2 2017","Currency=INR","Period=FQ","BEST_FPERIOD_OVERRIDE=FQ","FILING_STATUS=OR","EQY_CONSOLIDATED=Y","Sort=A","Dates=H","DateFormat=P","Fill=—","Direction=H","UseDPDF=Y")</f>
        <v>#NAME?</v>
      </c>
      <c r="AI20" s="2" t="e">
        <f ca="1">_xll.BDH($C$3,"TOTAL_EQUITY_1_YEAR_GROWTH","FQ2 2017","FQ2 2017","Currency=INR","Period=FQ","BEST_FPERIOD_OVERRIDE=FQ","FILING_STATUS=OR","EQY_CONSOLIDATED=Y","Sort=A","Dates=H","DateFormat=P","Fill=—","Direction=H","UseDPDF=Y")</f>
        <v>#NAME?</v>
      </c>
      <c r="AJ20" s="2" t="e">
        <f ca="1">_xll.BDH($C$3,"GROWTH_IN_CAP","FQ2 2017","FQ2 2017","Currency=INR","Period=FQ","BEST_FPERIOD_OVERRIDE=FQ","FILING_STATUS=OR","EQY_CONSOLIDATED=Y","Sort=A","Dates=H","DateFormat=P","Fill=—","Direction=H","UseDPDF=Y")</f>
        <v>#NAME?</v>
      </c>
      <c r="AK20" s="2" t="e">
        <f ca="1">_xll.BDH($C$3,"BVPS_GROWTH","FQ2 2017","FQ2 2017","Currency=INR","Period=FQ","BEST_FPERIOD_OVERRIDE=FQ","FILING_STATUS=OR","EQY_CONSOLIDATED=Y","Sort=A","Dates=H","DateFormat=P","Fill=—","Direction=H","UseDPDF=Y")</f>
        <v>#NAME?</v>
      </c>
      <c r="AL20" s="2" t="e">
        <f ca="1">_xll.BDH($C$3,"CASH_FLOW_GROWTH","FQ2 2017","FQ2 2017","Currency=INR","Period=FQ","BEST_FPERIOD_OVERRIDE=FQ","FILING_STATUS=OR","EQY_CONSOLIDATED=Y","Sort=A","Dates=H","DateFormat=P","Fill=—","Direction=H","UseDPDF=Y")</f>
        <v>#NAME?</v>
      </c>
      <c r="AM20" s="2" t="e">
        <f ca="1">_xll.BDH($C$3,"GEO_GROW_NET_SALES","FQ2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20" s="2" t="e">
        <f ca="1">_xll.BDH($C$3,"GEO_GROW_EBITDA","FQ2 2017","FQ2 2017","Currency=INR","Period=FQ","BEST_FPERIOD_OVERRIDE=FQ","FILING_STATUS=OR","EQY_CONSOLIDATED=Y","FA_ADJUSTED=GAAP","Sort=A","Dates=H","DateFormat=P","Fill=—","Direction=H","UseDPDF=Y")</f>
        <v>#NAME?</v>
      </c>
      <c r="AO20" s="2" t="e">
        <f ca="1">_xll.BDH($C$3,"GEO_GROW_OPER_INC","FQ2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20" s="2" t="e">
        <f ca="1">_xll.BDH($C$3,"NET_INCOME_TO_COMMON_5_YR_GROWTH","FQ2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20" s="2" t="e">
        <f ca="1">_xll.BDH($C$3,"5Y_GEO_GROWTH_DILUTED_EPS","FQ2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20" s="2" t="e">
        <f ca="1">_xll.BDH($C$3,"GEO_GROW_DVD_PER_SH","FQ2 2017","FQ2 2017","Currency=INR","Period=FQ","BEST_FPERIOD_OVERRIDE=FQ","FILING_STATUS=OR","EQY_CONSOLIDATED=Y","Sort=A","Dates=H","DateFormat=P","Fill=—","Direction=H","UseDPDF=Y")</f>
        <v>#NAME?</v>
      </c>
      <c r="AS20" s="2" t="e">
        <f ca="1">_xll.BDH($C$3,"ACCOUNTS_RECEIVABLE_5_YR_GROWTH","FQ2 2017","FQ2 2017","Currency=INR","Period=FQ","BEST_FPERIOD_OVERRIDE=FQ","FILING_STATUS=OR","EQY_CONSOLIDATED=Y","Sort=A","Dates=H","DateFormat=P","Fill=—","Direction=H","UseDPDF=Y")</f>
        <v>#NAME?</v>
      </c>
      <c r="AT20" s="2" t="e">
        <f ca="1">_xll.BDH($C$3,"INVENTORY_5_YEAR_GROWTH","FQ2 2017","FQ2 2017","Currency=INR","Period=FQ","BEST_FPERIOD_OVERRIDE=FQ","FILING_STATUS=OR","EQY_CONSOLIDATED=Y","Sort=A","Dates=H","DateFormat=P","Fill=—","Direction=H","UseDPDF=Y")</f>
        <v>#NAME?</v>
      </c>
      <c r="AU20" s="2" t="e">
        <f ca="1">_xll.BDH($C$3,"NET_FIXED_ASSETS_5_YEAR_GROWTH","FQ2 2017","FQ2 2017","Currency=INR","Period=FQ","BEST_FPERIOD_OVERRIDE=FQ","FILING_STATUS=OR","EQY_CONSOLIDATED=Y","Sort=A","Dates=H","DateFormat=P","Fill=—","Direction=H","UseDPDF=Y")</f>
        <v>#NAME?</v>
      </c>
      <c r="AV20" s="2" t="e">
        <f ca="1">_xll.BDH($C$3,"GEO_GROW_TOT_ASSET","FQ2 2017","FQ2 2017","Currency=INR","Period=FQ","BEST_FPERIOD_OVERRIDE=FQ","FILING_STATUS=OR","EQY_CONSOLIDATED=Y","Sort=A","Dates=H","DateFormat=P","Fill=—","Direction=H","UseDPDF=Y")</f>
        <v>#NAME?</v>
      </c>
      <c r="AW20" s="2" t="e">
        <f ca="1">_xll.BDH($C$3,"MODIFIED_WORKING_CPTL_5YR_GRWTH","FQ2 2017","FQ2 2017","Currency=INR","Period=FQ","BEST_FPERIOD_OVERRIDE=FQ","FILING_STATUS=OR","EQY_CONSOLIDATED=Y","Sort=A","Dates=H","DateFormat=P","Fill=—","Direction=H","UseDPDF=Y")</f>
        <v>#NAME?</v>
      </c>
      <c r="AX20" s="2" t="e">
        <f ca="1">_xll.BDH($C$3,"WORKING_CAPITAL_5_YEAR_GROWTH","FQ2 2017","FQ2 2017","Currency=INR","Period=FQ","BEST_FPERIOD_OVERRIDE=FQ","FILING_STATUS=OR","EQY_CONSOLIDATED=Y","Sort=A","Dates=H","DateFormat=P","Fill=—","Direction=H","UseDPDF=Y")</f>
        <v>#NAME?</v>
      </c>
      <c r="AY20" s="2" t="e">
        <f ca="1">_xll.BDH($C$3,"ACCOUNTS_PAYABLE_5_YEAR_GROWTH","FQ2 2017","FQ2 2017","Currency=INR","Period=FQ","BEST_FPERIOD_OVERRIDE=FQ","FILING_STATUS=OR","EQY_CONSOLIDATED=Y","Sort=A","Dates=H","DateFormat=P","Fill=—","Direction=H","UseDPDF=Y")</f>
        <v>#NAME?</v>
      </c>
      <c r="AZ20" s="2" t="e">
        <f ca="1">_xll.BDH($C$3,"SHORT_TERM_DEBT_5_YEAR_GROWTH","FQ2 2017","FQ2 2017","Currency=INR","Period=FQ","BEST_FPERIOD_OVERRIDE=FQ","FILING_STATUS=OR","EQY_CONSOLIDATED=Y","Sort=A","Dates=H","DateFormat=P","Fill=—","Direction=H","UseDPDF=Y")</f>
        <v>#NAME?</v>
      </c>
      <c r="BA20" s="2" t="e">
        <f ca="1">_xll.BDH($C$3,"TOTAL_DEBT_5_YEAR_GROWTH","FQ2 2017","FQ2 2017","Currency=INR","Period=FQ","BEST_FPERIOD_OVERRIDE=FQ","FILING_STATUS=OR","EQY_CONSOLIDATED=Y","Sort=A","Dates=H","DateFormat=P","Fill=—","Direction=H","UseDPDF=Y")</f>
        <v>#NAME?</v>
      </c>
      <c r="BB20" s="2" t="e">
        <f ca="1">_xll.BDH($C$3,"GEO_GROW_TOT_SHRHLDR_EQY","FQ2 2017","FQ2 2017","Currency=INR","Period=FQ","BEST_FPERIOD_OVERRIDE=FQ","FILING_STATUS=OR","EQY_CONSOLIDATED=Y","Sort=A","Dates=H","DateFormat=P","Fill=—","Direction=H","UseDPDF=Y")</f>
        <v>#NAME?</v>
      </c>
      <c r="BC20" s="2" t="e">
        <f ca="1">_xll.BDH($C$3,"TOTAL_CAPITAL_5_YEAR_GROWTH","FQ2 2017","FQ2 2017","Currency=INR","Period=FQ","BEST_FPERIOD_OVERRIDE=FQ","FILING_STATUS=OR","EQY_CONSOLIDATED=Y","Sort=A","Dates=H","DateFormat=P","Fill=—","Direction=H","UseDPDF=Y")</f>
        <v>#NAME?</v>
      </c>
      <c r="BD20" s="2" t="e">
        <f ca="1">_xll.BDH($C$3,"GEO_GROW_BOOK_VAL","FQ2 2017","FQ2 2017","Currency=INR","Period=FQ","BEST_FPERIOD_OVERRIDE=FQ","FILING_STATUS=OR","EQY_CONSOLIDATED=Y","Sort=A","Dates=H","DateFormat=P","Fill=—","Direction=H","UseDPDF=Y")</f>
        <v>#NAME?</v>
      </c>
      <c r="BE20" s="2" t="e">
        <f ca="1">_xll.BDH($C$3,"GEO_GROW_CASH_OPER_ACT","FQ2 2017","FQ2 2017","Currency=INR","Period=FQ","BEST_FPERIOD_OVERRIDE=FQ","FILING_STATUS=OR","EQY_CONSOLIDATED=Y","Sort=A","Dates=H","DateFormat=P","Fill=—","Direction=H","UseDPDF=Y")</f>
        <v>#NAME?</v>
      </c>
      <c r="BF20" s="2" t="e">
        <f ca="1">_xll.BDH($C$3,"REVENUE_SEQUENTIAL_GROWTH","FQ2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20" s="2" t="e">
        <f ca="1">_xll.BDH($C$3,"EBITDA_SEQUENTIAL_GROWTH","FQ2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20" s="2" t="e">
        <f ca="1">_xll.BDH($C$3,"OPERATING_INCOME_SEQ_GROWTH","FQ2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20" s="2" t="e">
        <f ca="1">_xll.BDH($C$3,"NET_INCOME_TO_COMMON_SEQ_GROWTH","FQ2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20" s="2" t="e">
        <f ca="1">_xll.BDH($C$3,"EPS_DILUTED_SEQUENTIAL_GROWTH","FQ2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20" s="2" t="e">
        <f ca="1">_xll.BDH($C$3,"DPS_SEQUENTIAL_GROWTH","FQ2 2017","FQ2 2017","Currency=INR","Period=FQ","BEST_FPERIOD_OVERRIDE=FQ","FILING_STATUS=OR","EQY_CONSOLIDATED=Y","Sort=A","Dates=H","DateFormat=P","Fill=—","Direction=H","UseDPDF=Y")</f>
        <v>#NAME?</v>
      </c>
      <c r="BL20" s="2" t="e">
        <f ca="1">_xll.BDH($C$3,"ACCOUNTS_RECEIVABLE_SEQ_GROWTH","FQ2 2017","FQ2 2017","Currency=INR","Period=FQ","BEST_FPERIOD_OVERRIDE=FQ","FILING_STATUS=OR","EQY_CONSOLIDATED=Y","Sort=A","Dates=H","DateFormat=P","Fill=—","Direction=H","UseDPDF=Y")</f>
        <v>#NAME?</v>
      </c>
      <c r="BM20" s="2" t="e">
        <f ca="1">_xll.BDH($C$3,"INVENTORY_SEQUENTIAL_GROWTH","FQ2 2017","FQ2 2017","Currency=INR","Period=FQ","BEST_FPERIOD_OVERRIDE=FQ","FILING_STATUS=OR","EQY_CONSOLIDATED=Y","Sort=A","Dates=H","DateFormat=P","Fill=—","Direction=H","UseDPDF=Y")</f>
        <v>#NAME?</v>
      </c>
      <c r="BN20" s="2" t="e">
        <f ca="1">_xll.BDH($C$3,"FIXED_ASSETS_SEQUENTIAL_GROWTH","FQ2 2017","FQ2 2017","Currency=INR","Period=FQ","BEST_FPERIOD_OVERRIDE=FQ","FILING_STATUS=OR","EQY_CONSOLIDATED=Y","Sort=A","Dates=H","DateFormat=P","Fill=—","Direction=H","UseDPDF=Y")</f>
        <v>#NAME?</v>
      </c>
      <c r="BO20" s="2" t="e">
        <f ca="1">_xll.BDH($C$3,"TOTAL_ASSETS_SEQUENTIAL_GROWTH","FQ2 2017","FQ2 2017","Currency=INR","Period=FQ","BEST_FPERIOD_OVERRIDE=FQ","FILING_STATUS=OR","EQY_CONSOLIDATED=Y","Sort=A","Dates=H","DateFormat=P","Fill=—","Direction=H","UseDPDF=Y")</f>
        <v>#NAME?</v>
      </c>
      <c r="BP20" s="2" t="e">
        <f ca="1">_xll.BDH($C$3,"MODIFIED_WORKING_CPTL_SEQ_GRWTH","FQ2 2017","FQ2 2017","Currency=INR","Period=FQ","BEST_FPERIOD_OVERRIDE=FQ","FILING_STATUS=OR","EQY_CONSOLIDATED=Y","Sort=A","Dates=H","DateFormat=P","Fill=—","Direction=H","UseDPDF=Y")</f>
        <v>#NAME?</v>
      </c>
      <c r="BQ20" s="2" t="e">
        <f ca="1">_xll.BDH($C$3,"WORKING_CAPITAL_SEQ_GROWTH","FQ2 2017","FQ2 2017","Currency=INR","Period=FQ","BEST_FPERIOD_OVERRIDE=FQ","FILING_STATUS=OR","EQY_CONSOLIDATED=Y","Sort=A","Dates=H","DateFormat=P","Fill=—","Direction=H","UseDPDF=Y")</f>
        <v>#NAME?</v>
      </c>
      <c r="BR20" s="2" t="e">
        <f ca="1">_xll.BDH($C$3,"ACCOUNTS_PAYABLE_SEQ_GROWTH","FQ2 2017","FQ2 2017","Currency=INR","Period=FQ","BEST_FPERIOD_OVERRIDE=FQ","FILING_STATUS=OR","EQY_CONSOLIDATED=Y","Sort=A","Dates=H","DateFormat=P","Fill=—","Direction=H","UseDPDF=Y")</f>
        <v>#NAME?</v>
      </c>
      <c r="BS20" s="2" t="e">
        <f ca="1">_xll.BDH($C$3,"ST_DEBT_SEQUENTIAL_GROWTH","FQ2 2017","FQ2 2017","Currency=INR","Period=FQ","BEST_FPERIOD_OVERRIDE=FQ","FILING_STATUS=OR","EQY_CONSOLIDATED=Y","Sort=A","Dates=H","DateFormat=P","Fill=—","Direction=H","UseDPDF=Y")</f>
        <v>#NAME?</v>
      </c>
      <c r="BT20" s="2" t="e">
        <f ca="1">_xll.BDH($C$3,"TOTAL_DEBT_SEQUENTIAL_GROWTH","FQ2 2017","FQ2 2017","Currency=INR","Period=FQ","BEST_FPERIOD_OVERRIDE=FQ","FILING_STATUS=OR","EQY_CONSOLIDATED=Y","Sort=A","Dates=H","DateFormat=P","Fill=—","Direction=H","UseDPDF=Y")</f>
        <v>#NAME?</v>
      </c>
      <c r="BU20" s="2" t="e">
        <f ca="1">_xll.BDH($C$3,"TOTAL_EQUITY_SEQUENTIAL_GROWTH","FQ2 2017","FQ2 2017","Currency=INR","Period=FQ","BEST_FPERIOD_OVERRIDE=FQ","FILING_STATUS=OR","EQY_CONSOLIDATED=Y","Sort=A","Dates=H","DateFormat=P","Fill=—","Direction=H","UseDPDF=Y")</f>
        <v>#NAME?</v>
      </c>
      <c r="BV20" s="2" t="e">
        <f ca="1">_xll.BDH($C$3,"TOTAL_CAPITAL_SEQUENTIAL_GROWTH","FQ2 2017","FQ2 2017","Currency=INR","Period=FQ","BEST_FPERIOD_OVERRIDE=FQ","FILING_STATUS=OR","EQY_CONSOLIDATED=Y","Sort=A","Dates=H","DateFormat=P","Fill=—","Direction=H","UseDPDF=Y")</f>
        <v>#NAME?</v>
      </c>
      <c r="BW20" s="2" t="e">
        <f ca="1">_xll.BDH($C$3,"BPS_SEQUENTIAL_GROWTH","FQ2 2017","FQ2 2017","Currency=INR","Period=FQ","BEST_FPERIOD_OVERRIDE=FQ","FILING_STATUS=OR","EQY_CONSOLIDATED=Y","Sort=A","Dates=H","DateFormat=P","Fill=—","Direction=H","UseDPDF=Y")</f>
        <v>#NAME?</v>
      </c>
      <c r="BX20" s="2" t="e">
        <f ca="1">_xll.BDH($C$3,"CFO_SEQUENTIAL_GROWTH","FQ2 2017","FQ2 2017","Currency=INR","Period=FQ","BEST_FPERIOD_OVERRIDE=FQ","FILING_STATUS=OR","EQY_CONSOLIDATED=Y","Sort=A","Dates=H","DateFormat=P","Fill=—","Direction=H","UseDPDF=Y")</f>
        <v>#NAME?</v>
      </c>
      <c r="BY20" s="3" t="e">
        <f ca="1">_xll.BDH($C$3,"SHORT_AND_LONG_TERM_DEBT","FQ2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20" s="3" t="e">
        <f ca="1">_xll.BDH($C$3,"BS_ST_BORROW","FQ2 2017","FQ2 2017","Currency=INR","Period=FQ","BEST_FPERIOD_OVERRIDE=FQ","FILING_STATUS=OR","EQY_CONSOLIDATED=Y","SCALING_FORMAT=MLN","Sort=A","Dates=H","DateFormat=P","Fill=—","Direction=H","UseDPDF=Y")</f>
        <v>#NAME?</v>
      </c>
      <c r="CA20" s="3" t="e">
        <f ca="1">_xll.BDH($C$3,"BS_LT_BORROW","FQ2 2017","FQ2 2017","Currency=INR","Period=FQ","BEST_FPERIOD_OVERRIDE=FQ","FILING_STATUS=OR","EQY_CONSOLIDATED=Y","SCALING_FORMAT=MLN","Sort=A","Dates=H","DateFormat=P","Fill=—","Direction=H","UseDPDF=Y")</f>
        <v>#NAME?</v>
      </c>
      <c r="CB20" s="2" t="e">
        <f ca="1">_xll.BDH($C$3,"TOT_DEBT_TO_EBITDA","FQ2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20" s="2" t="e">
        <f ca="1">_xll.BDH($C$3,"NET_DEBT_TO_EBITDA","FQ2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20" s="2" t="e">
        <f ca="1">_xll.BDH($C$3,"TOTAL_DEBT_TO_EBIT","FQ2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20" s="2" t="e">
        <f ca="1">_xll.BDH($C$3,"NET_DEBT_TO_EBIT","FQ2 2017","FQ2 2017","Currency=INR","Period=FQ","BEST_FPERIOD_OVERRIDE=FQ","FILING_STATUS=OR","EQY_CONSOLIDATED=Y","FA_ADJUSTED=GAAP","Sort=A","Dates=H","DateFormat=P","Fill=—","Direction=H","UseDPDF=Y")</f>
        <v>#NAME?</v>
      </c>
      <c r="CF20" s="2" t="e">
        <f ca="1">_xll.BDH($C$3,"EBITDA_TO_INTEREST_EXPN","FQ2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20" s="2" t="e">
        <f ca="1">_xll.BDH($C$3,"COM_EQY_TO_TOT_ASSET","FQ2 2017","FQ2 2017","Currency=INR","Period=FQ","BEST_FPERIOD_OVERRIDE=FQ","FILING_STATUS=OR","EQY_CONSOLIDATED=Y","Sort=A","Dates=H","DateFormat=P","Fill=—","Direction=H","UseDPDF=Y")</f>
        <v>#NAME?</v>
      </c>
      <c r="CH20" s="2" t="e">
        <f ca="1">_xll.BDH($C$3,"LT_DEBT_TO_TOT_EQY","FQ2 2017","FQ2 2017","Currency=INR","Period=FQ","BEST_FPERIOD_OVERRIDE=FQ","FILING_STATUS=OR","EQY_CONSOLIDATED=Y","Sort=A","Dates=H","DateFormat=P","Fill=—","Direction=H","UseDPDF=Y")</f>
        <v>#NAME?</v>
      </c>
      <c r="CI20" s="2" t="e">
        <f ca="1">_xll.BDH($C$3,"LT_DEBT_TO_TOT_CAP","FQ2 2017","FQ2 2017","Currency=INR","Period=FQ","BEST_FPERIOD_OVERRIDE=FQ","FILING_STATUS=OR","EQY_CONSOLIDATED=Y","Sort=A","Dates=H","DateFormat=P","Fill=—","Direction=H","UseDPDF=Y")</f>
        <v>#NAME?</v>
      </c>
      <c r="CJ20" s="2" t="e">
        <f ca="1">_xll.BDH($C$3,"LT_DEBT_TO_TOT_ASSET","FQ2 2017","FQ2 2017","Currency=INR","Period=FQ","BEST_FPERIOD_OVERRIDE=FQ","FILING_STATUS=OR","EQY_CONSOLIDATED=Y","Sort=A","Dates=H","DateFormat=P","Fill=—","Direction=H","UseDPDF=Y")</f>
        <v>#NAME?</v>
      </c>
      <c r="CK20" s="2" t="e">
        <f ca="1">_xll.BDH($C$3,"TOT_DEBT_TO_TOT_EQY","FQ2 2017","FQ2 2017","Currency=INR","Period=FQ","BEST_FPERIOD_OVERRIDE=FQ","FILING_STATUS=OR","EQY_CONSOLIDATED=Y","Sort=A","Dates=H","DateFormat=P","Fill=—","Direction=H","UseDPDF=Y")</f>
        <v>#NAME?</v>
      </c>
      <c r="CL20" s="2" t="e">
        <f ca="1">_xll.BDH($C$3,"TOT_DEBT_TO_TOT_CAP","FQ2 2017","FQ2 2017","Currency=INR","Period=FQ","BEST_FPERIOD_OVERRIDE=FQ","FILING_STATUS=OR","EQY_CONSOLIDATED=Y","Sort=A","Dates=H","DateFormat=P","Fill=—","Direction=H","UseDPDF=Y")</f>
        <v>#NAME?</v>
      </c>
      <c r="CM20" s="2" t="e">
        <f ca="1">_xll.BDH($C$3,"TOT_DEBT_TO_TOT_ASSET","FQ2 2017","FQ2 2017","Currency=INR","Period=FQ","BEST_FPERIOD_OVERRIDE=FQ","FILING_STATUS=OR","EQY_CONSOLIDATED=Y","Sort=A","Dates=H","DateFormat=P","Fill=—","Direction=H","UseDPDF=Y")</f>
        <v>#NAME?</v>
      </c>
      <c r="CN20" s="2" t="e">
        <f ca="1">_xll.BDH($C$3,"NET_DEBT_TO_SHRHLDR_EQTY","FQ2 2017","FQ2 2017","Currency=INR","Period=FQ","BEST_FPERIOD_OVERRIDE=FQ","FILING_STATUS=OR","EQY_CONSOLIDATED=Y","Sort=A","Dates=H","DateFormat=P","Fill=—","Direction=H","UseDPDF=Y")</f>
        <v>#NAME?</v>
      </c>
      <c r="CO20" s="2" t="e">
        <f ca="1">_xll.BDH($C$3,"NET_DEBT_%_CAPITAL","FQ2 2017","FQ2 2017","Currency=INR","Period=FQ","BEST_FPERIOD_OVERRIDE=FQ","FILING_STATUS=OR","EQY_CONSOLIDATED=Y","Sort=A","Dates=H","DateFormat=P","Fill=—","Direction=H","UseDPDF=Y")</f>
        <v>#NAME?</v>
      </c>
      <c r="CP20" s="3" t="e">
        <f ca="1">_xll.BDH($C$3,"EBITDA","FQ2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20" s="3" t="e">
        <f ca="1">_xll.BDH($C$3,"EBITDA_AFTER_CAPEX","FQ2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20" s="3" t="e">
        <f ca="1">_xll.BDH($C$3,"IS_OPER_INC","FQ2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20" s="2" t="e">
        <f ca="1">_xll.BDH($C$3,"CASH_RATIO","FQ2 2017","FQ2 2017","Currency=INR","Period=FQ","BEST_FPERIOD_OVERRIDE=FQ","FILING_STATUS=OR","EQY_CONSOLIDATED=Y","Sort=A","Dates=H","DateFormat=P","Fill=—","Direction=H","UseDPDF=Y")</f>
        <v>#NAME?</v>
      </c>
      <c r="CT20" s="2" t="e">
        <f ca="1">_xll.BDH($C$3,"CUR_RATIO","FQ2 2017","FQ2 2017","Currency=INR","Period=FQ","BEST_FPERIOD_OVERRIDE=FQ","FILING_STATUS=OR","EQY_CONSOLIDATED=Y","Sort=A","Dates=H","DateFormat=P","Fill=—","Direction=H","UseDPDF=Y")</f>
        <v>#NAME?</v>
      </c>
      <c r="CU20" s="2" t="e">
        <f ca="1">_xll.BDH($C$3,"QUICK_RATIO","FQ2 2017","FQ2 2017","Currency=INR","Period=FQ","BEST_FPERIOD_OVERRIDE=FQ","FILING_STATUS=OR","EQY_CONSOLIDATED=Y","Sort=A","Dates=H","DateFormat=P","Fill=—","Direction=H","UseDPDF=Y")</f>
        <v>#NAME?</v>
      </c>
      <c r="CV20" s="2" t="e">
        <f ca="1">_xll.BDH($C$3,"ALTMAN_Z_SCORE","FQ2 2017","FQ2 2017","Currency=INR","Period=FQ","BEST_FPERIOD_OVERRIDE=FQ","FILING_STATUS=OR","EQY_CONSOLIDATED=Y","Sort=A","Dates=H","DateFormat=P","Fill=—","Direction=H","UseDPDF=Y")</f>
        <v>#NAME?</v>
      </c>
      <c r="CW20" s="4" t="e">
        <f ca="1">_xll.BDH($C$3,"ACCT_RCV_TURN","FQ2 2017","FQ2 2017","Currency=INR","Period=FQ","BEST_FPERIOD_OVERRIDE=FQ","FILING_STATUS=OR","EQY_CONSOLIDATED=Y","FA_ADJUSTED=GAAP","Sort=A","Dates=H","DateFormat=P","Fill=—","Direction=H","UseDPDF=Y")</f>
        <v>#NAME?</v>
      </c>
      <c r="CX20" s="2" t="e">
        <f ca="1">_xll.BDH($C$3,"ACCT_RCV_DAYS","FQ2 2017","FQ2 2017","Currency=INR","Period=FQ","BEST_FPERIOD_OVERRIDE=FQ","FILING_STATUS=OR","EQY_CONSOLIDATED=Y","FA_ADJUSTED=GAAP","Sort=A","Dates=H","DateFormat=P","Fill=—","Direction=H","UseDPDF=Y")</f>
        <v>#NAME?</v>
      </c>
      <c r="CY20" s="4" t="e">
        <f ca="1">_xll.BDH($C$3,"INVENT_TURN","FQ2 2017","FQ2 2017","Currency=INR","Period=FQ","BEST_FPERIOD_OVERRIDE=FQ","FILING_STATUS=OR","EQY_CONSOLIDATED=Y","FA_ADJUSTED=GAAP","Sort=A","Dates=H","DateFormat=P","Fill=—","Direction=H","UseDPDF=Y")</f>
        <v>#NAME?</v>
      </c>
      <c r="CZ20" s="2" t="e">
        <f ca="1">_xll.BDH($C$3,"INVENT_DAYS","FQ2 2017","FQ2 2017","Currency=INR","Period=FQ","BEST_FPERIOD_OVERRIDE=FQ","FILING_STATUS=OR","EQY_CONSOLIDATED=Y","FA_ADJUSTED=GAAP","Sort=A","Dates=H","DateFormat=P","Fill=—","Direction=H","UseDPDF=Y")</f>
        <v>#NAME?</v>
      </c>
      <c r="DA20" s="4" t="e">
        <f ca="1">_xll.BDH($C$3,"ACCOUNTS_PAYABLE_TURNOVER","FQ2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20" s="2" t="e">
        <f ca="1">_xll.BDH($C$3,"ACCOUNTS_PAYABLE_TURNOVER_DAYS","FQ2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20" s="4" t="e">
        <f ca="1">_xll.BDH($C$3,"CASH_CONVERSION_CYCLE","FQ2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20" s="4" t="e">
        <f ca="1">_xll.BDH($C$3,"INV_TO_CASH_DAYS","FQ2 2017","FQ2 2017","Currency=INR","Period=FQ","BEST_FPERIOD_OVERRIDE=FQ","FILING_STATUS=OR","EQY_CONSOLIDATED=Y","FA_ADJUSTED=GAAP","Sort=A","Dates=H","DateFormat=P","Fill=—","Direction=H","UseDPDF=Y")</f>
        <v>#NAME?</v>
      </c>
      <c r="DE20" s="5" t="e">
        <f ca="1">_xll.BDH($C$3,"BS_INVENTORIES","FQ2 2017","FQ2 2017","Currency=INR","Period=FQ","BEST_FPERIOD_OVERRIDE=FQ","FILING_STATUS=OR","EQY_CONSOLIDATED=Y","SCALING_FORMAT=MLN","Sort=A","Dates=H","DateFormat=P","Fill=—","Direction=H","UseDPDF=Y")</f>
        <v>#NAME?</v>
      </c>
      <c r="DF20" s="3" t="e">
        <f ca="1">_xll.BDH($C$3,"INVTRY_RAW_MATERIALS","FQ2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20" s="3" t="e">
        <f ca="1">_xll.BDH($C$3,"INVTRY_IN_PROGRESS","FQ2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20" s="3" t="e">
        <f ca="1">_xll.BDH($C$3,"INVTRY_FINISHED_GOODS","FQ2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20" s="3" t="e">
        <f ca="1">_xll.BDH($C$3,"BS_OTHER_INV","FQ2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21" spans="1:113" x14ac:dyDescent="0.3">
      <c r="A21" s="6"/>
      <c r="B21" s="6"/>
      <c r="C21" s="6"/>
      <c r="D21" s="6"/>
      <c r="E21" t="s">
        <v>80</v>
      </c>
      <c r="F21" t="e">
        <f ca="1">_xll.BDH($C$3,"RETURN_COM_EQY","FQ3 2017","FQ3 2017","Currency=INR","Period=FQ","BEST_FPERIOD_OVERRIDE=FQ","FILING_STATUS=OR","EQY_CONSOLIDATED=Y","FA_ADJUSTED=GAAP","Sort=A","Dates=H","DateFormat=P","Fill=—","Direction=H","UseDPDF=Y")</f>
        <v>#NAME?</v>
      </c>
      <c r="G21" t="e">
        <f ca="1">_xll.BDH($C$3,"RETURN_ON_ASSET","FQ3 2017","FQ3 2017","Currency=INR","Period=FQ","BEST_FPERIOD_OVERRIDE=FQ","FILING_STATUS=OR","EQY_CONSOLIDATED=Y","FA_ADJUSTED=GAAP","Sort=A","Dates=H","DateFormat=P","Fill=—","Direction=H","UseDPDF=Y")</f>
        <v>#NAME?</v>
      </c>
      <c r="H21" t="e">
        <f ca="1">_xll.BDH($C$3,"RETURN_ON_CAP","FQ3 2017","FQ3 2017","Currency=INR","Period=FQ","BEST_FPERIOD_OVERRIDE=FQ","FILING_STATUS=OR","EQY_CONSOLIDATED=Y","FA_ADJUSTED=GAAP","Sort=A","Dates=H","DateFormat=P","Fill=—","Direction=H","UseDPDF=Y")</f>
        <v>#NAME?</v>
      </c>
      <c r="I21" t="e">
        <f ca="1">_xll.BDH($C$3,"RETURN_ON_INV_CAPITAL","FQ3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21" t="e">
        <f ca="1">_xll.BDH($C$3,"EBITDA_TO_REVENUE","FQ3 2017","FQ3 2017","Currency=INR","Period=FQ","BEST_FPERIOD_OVERRIDE=FQ","FILING_STATUS=OR","EQY_CONSOLIDATED=Y","FA_ADJUSTED=GAAP","Sort=A","Dates=H","DateFormat=P","Fill=—","Direction=H","UseDPDF=Y")</f>
        <v>#NAME?</v>
      </c>
      <c r="K21" t="e">
        <f ca="1">_xll.BDH($C$3,"OPER_MARGIN","FQ3 2017","FQ3 2017","Currency=INR","Period=FQ","BEST_FPERIOD_OVERRIDE=FQ","FILING_STATUS=OR","EQY_CONSOLIDATED=Y","FA_ADJUSTED=GAAP","Sort=A","Dates=H","DateFormat=P","Fill=—","Direction=H","UseDPDF=Y")</f>
        <v>#NAME?</v>
      </c>
      <c r="L21" t="e">
        <f ca="1">_xll.BDH($C$3,"INCREMENTAL_OPERATING_MARGIN","FQ3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21" t="e">
        <f ca="1">_xll.BDH($C$3,"PRETAX_INC_TO_NET_SALES","FQ3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21" t="e">
        <f ca="1">_xll.BDH($C$3,"INC_BEF_XO_ITEMS_TO_NET_SALES","FQ3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21" t="e">
        <f ca="1">_xll.BDH($C$3,"PROF_MARGIN","FQ3 2017","FQ3 2017","Currency=INR","Period=FQ","BEST_FPERIOD_OVERRIDE=FQ","FILING_STATUS=OR","EQY_CONSOLIDATED=Y","FA_ADJUSTED=GAAP","Sort=A","Dates=H","DateFormat=P","Fill=—","Direction=H","UseDPDF=Y")</f>
        <v>#NAME?</v>
      </c>
      <c r="P21" t="e">
        <f ca="1">_xll.BDH($C$3,"NET_INCOME_TO_COMMON_MARGIN","FQ3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21" t="e">
        <f ca="1">_xll.BDH($C$3,"EFF_TAX_RATE","FQ3 2017","FQ3 2017","Currency=INR","Period=FQ","BEST_FPERIOD_OVERRIDE=FQ","FILING_STATUS=OR","EQY_CONSOLIDATED=Y","FA_ADJUSTED=GAAP","Sort=A","Dates=H","DateFormat=P","Fill=—","Direction=H","UseDPDF=Y")</f>
        <v>#NAME?</v>
      </c>
      <c r="R21" t="e">
        <f ca="1">_xll.BDH($C$3,"DVD_PAYOUT_RATIO","FQ3 2017","FQ3 2017","Currency=INR","Period=FQ","BEST_FPERIOD_OVERRIDE=FQ","FILING_STATUS=OR","EQY_CONSOLIDATED=Y","FA_ADJUSTED=GAAP","Sort=A","Dates=H","DateFormat=P","Fill=—","Direction=H","UseDPDF=Y")</f>
        <v>#NAME?</v>
      </c>
      <c r="S21" t="e">
        <f ca="1">_xll.BDH($C$3,"SUSTAIN_GROWTH_RT","FQ3 2017","FQ3 2017","Currency=INR","Period=FQ","BEST_FPERIOD_OVERRIDE=FQ","FILING_STATUS=OR","EQY_CONSOLIDATED=Y","FA_ADJUSTED=GAAP","Sort=A","Dates=H","DateFormat=P","Fill=—","Direction=H","UseDPDF=Y")</f>
        <v>#NAME?</v>
      </c>
      <c r="T21" s="2" t="e">
        <f ca="1">_xll.BDH($C$3,"SALES_GROWTH","FQ3 2017","FQ3 2017","Currency=INR","Period=FQ","BEST_FPERIOD_OVERRIDE=FQ","FILING_STATUS=OR","EQY_CONSOLIDATED=Y","FA_ADJUSTED=GAAP","Sort=A","Dates=H","DateFormat=P","Fill=—","Direction=H","UseDPDF=Y")</f>
        <v>#NAME?</v>
      </c>
      <c r="U21" s="2" t="e">
        <f ca="1">_xll.BDH($C$3,"EBITDA_GROWTH","FQ3 2017","FQ3 2017","Currency=INR","Period=FQ","BEST_FPERIOD_OVERRIDE=FQ","FILING_STATUS=OR","EQY_CONSOLIDATED=Y","FA_ADJUSTED=GAAP","Sort=A","Dates=H","DateFormat=P","Fill=—","Direction=H","UseDPDF=Y")</f>
        <v>#NAME?</v>
      </c>
      <c r="V21" s="2" t="e">
        <f ca="1">_xll.BDH($C$3,"OPER_INC_GROWTH","FQ3 2017","FQ3 2017","Currency=INR","Period=FQ","BEST_FPERIOD_OVERRIDE=FQ","FILING_STATUS=OR","EQY_CONSOLIDATED=Y","FA_ADJUSTED=GAAP","Sort=A","Dates=H","DateFormat=P","Fill=—","Direction=H","UseDPDF=Y")</f>
        <v>#NAME?</v>
      </c>
      <c r="W21" s="2" t="e">
        <f ca="1">_xll.BDH($C$3,"EARN_FOR_COM_GROWTH","FQ3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21" s="2" t="e">
        <f ca="1">_xll.BDH($C$3,"DILUTED_EPS_AFT_XO_ITEMS_GROWTH","FQ3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21" s="2" t="e">
        <f ca="1">_xll.BDH($C$3,"DIVIDEND_PER_SHARE_1_YEAR_GROWTH","FQ3 2017","FQ3 2017","Currency=INR","Period=FQ","BEST_FPERIOD_OVERRIDE=FQ","FILING_STATUS=OR","EQY_CONSOLIDATED=Y","Sort=A","Dates=H","DateFormat=P","Fill=—","Direction=H","UseDPDF=Y")</f>
        <v>#NAME?</v>
      </c>
      <c r="Z21" s="2" t="e">
        <f ca="1">_xll.BDH($C$3,"ACCOUNTS_RECEIVABLE_GROWTH","FQ3 2017","FQ3 2017","Currency=INR","Period=FQ","BEST_FPERIOD_OVERRIDE=FQ","FILING_STATUS=OR","EQY_CONSOLIDATED=Y","Sort=A","Dates=H","DateFormat=P","Fill=—","Direction=H","UseDPDF=Y")</f>
        <v>#NAME?</v>
      </c>
      <c r="AA21" s="2" t="e">
        <f ca="1">_xll.BDH($C$3,"INVENTORY_GROWTH","FQ3 2017","FQ3 2017","Currency=INR","Period=FQ","BEST_FPERIOD_OVERRIDE=FQ","FILING_STATUS=OR","EQY_CONSOLIDATED=Y","Sort=A","Dates=H","DateFormat=P","Fill=—","Direction=H","UseDPDF=Y")</f>
        <v>#NAME?</v>
      </c>
      <c r="AB21" s="2" t="e">
        <f ca="1">_xll.BDH($C$3,"NET_FIXED_ASSETS_1_YEAR_GROWTH","FQ3 2017","FQ3 2017","Currency=INR","Period=FQ","BEST_FPERIOD_OVERRIDE=FQ","FILING_STATUS=OR","EQY_CONSOLIDATED=Y","Sort=A","Dates=H","DateFormat=P","Fill=—","Direction=H","UseDPDF=Y")</f>
        <v>#NAME?</v>
      </c>
      <c r="AC21" s="2" t="e">
        <f ca="1">_xll.BDH($C$3,"ASSET_GROWTH","FQ3 2017","FQ3 2017","Currency=INR","Period=FQ","BEST_FPERIOD_OVERRIDE=FQ","FILING_STATUS=OR","EQY_CONSOLIDATED=Y","Sort=A","Dates=H","DateFormat=P","Fill=—","Direction=H","UseDPDF=Y")</f>
        <v>#NAME?</v>
      </c>
      <c r="AD21" s="2" t="e">
        <f ca="1">_xll.BDH($C$3,"MODIFIED_WORK_CAP_GROWTH","FQ3 2017","FQ3 2017","Currency=INR","Period=FQ","BEST_FPERIOD_OVERRIDE=FQ","FILING_STATUS=OR","EQY_CONSOLIDATED=Y","Sort=A","Dates=H","DateFormat=P","Fill=—","Direction=H","UseDPDF=Y")</f>
        <v>#NAME?</v>
      </c>
      <c r="AE21" s="2" t="e">
        <f ca="1">_xll.BDH($C$3,"WORK_CAP_GROWTH","FQ3 2017","FQ3 2017","Currency=INR","Period=FQ","BEST_FPERIOD_OVERRIDE=FQ","FILING_STATUS=OR","EQY_CONSOLIDATED=Y","Sort=A","Dates=H","DateFormat=P","Fill=—","Direction=H","UseDPDF=Y")</f>
        <v>#NAME?</v>
      </c>
      <c r="AF21" s="2" t="e">
        <f ca="1">_xll.BDH($C$3,"ACCOUNTS_PAYABLE_GROWTH_1YR","FQ3 2017","FQ3 2017","Currency=INR","Period=FQ","BEST_FPERIOD_OVERRIDE=FQ","FILING_STATUS=OR","EQY_CONSOLIDATED=Y","Sort=A","Dates=H","DateFormat=P","Fill=—","Direction=H","UseDPDF=Y")</f>
        <v>#NAME?</v>
      </c>
      <c r="AG21" s="2" t="e">
        <f ca="1">_xll.BDH($C$3,"SHORT_TERM_DEBT_1_YEAR_GROWTH","FQ3 2017","FQ3 2017","Currency=INR","Period=FQ","BEST_FPERIOD_OVERRIDE=FQ","FILING_STATUS=OR","EQY_CONSOLIDATED=Y","Sort=A","Dates=H","DateFormat=P","Fill=—","Direction=H","UseDPDF=Y")</f>
        <v>#NAME?</v>
      </c>
      <c r="AH21" s="2" t="e">
        <f ca="1">_xll.BDH($C$3,"TOTAL_DEBT_1_YEAR_GROWTH","FQ3 2017","FQ3 2017","Currency=INR","Period=FQ","BEST_FPERIOD_OVERRIDE=FQ","FILING_STATUS=OR","EQY_CONSOLIDATED=Y","Sort=A","Dates=H","DateFormat=P","Fill=—","Direction=H","UseDPDF=Y")</f>
        <v>#NAME?</v>
      </c>
      <c r="AI21" s="2" t="e">
        <f ca="1">_xll.BDH($C$3,"TOTAL_EQUITY_1_YEAR_GROWTH","FQ3 2017","FQ3 2017","Currency=INR","Period=FQ","BEST_FPERIOD_OVERRIDE=FQ","FILING_STATUS=OR","EQY_CONSOLIDATED=Y","Sort=A","Dates=H","DateFormat=P","Fill=—","Direction=H","UseDPDF=Y")</f>
        <v>#NAME?</v>
      </c>
      <c r="AJ21" s="2" t="e">
        <f ca="1">_xll.BDH($C$3,"GROWTH_IN_CAP","FQ3 2017","FQ3 2017","Currency=INR","Period=FQ","BEST_FPERIOD_OVERRIDE=FQ","FILING_STATUS=OR","EQY_CONSOLIDATED=Y","Sort=A","Dates=H","DateFormat=P","Fill=—","Direction=H","UseDPDF=Y")</f>
        <v>#NAME?</v>
      </c>
      <c r="AK21" s="2" t="e">
        <f ca="1">_xll.BDH($C$3,"BVPS_GROWTH","FQ3 2017","FQ3 2017","Currency=INR","Period=FQ","BEST_FPERIOD_OVERRIDE=FQ","FILING_STATUS=OR","EQY_CONSOLIDATED=Y","Sort=A","Dates=H","DateFormat=P","Fill=—","Direction=H","UseDPDF=Y")</f>
        <v>#NAME?</v>
      </c>
      <c r="AL21" s="2" t="e">
        <f ca="1">_xll.BDH($C$3,"CASH_FLOW_GROWTH","FQ3 2017","FQ3 2017","Currency=INR","Period=FQ","BEST_FPERIOD_OVERRIDE=FQ","FILING_STATUS=OR","EQY_CONSOLIDATED=Y","Sort=A","Dates=H","DateFormat=P","Fill=—","Direction=H","UseDPDF=Y")</f>
        <v>#NAME?</v>
      </c>
      <c r="AM21" s="2" t="e">
        <f ca="1">_xll.BDH($C$3,"GEO_GROW_NET_SALES","FQ3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21" s="2" t="e">
        <f ca="1">_xll.BDH($C$3,"GEO_GROW_EBITDA","FQ3 2017","FQ3 2017","Currency=INR","Period=FQ","BEST_FPERIOD_OVERRIDE=FQ","FILING_STATUS=OR","EQY_CONSOLIDATED=Y","FA_ADJUSTED=GAAP","Sort=A","Dates=H","DateFormat=P","Fill=—","Direction=H","UseDPDF=Y")</f>
        <v>#NAME?</v>
      </c>
      <c r="AO21" s="2" t="e">
        <f ca="1">_xll.BDH($C$3,"GEO_GROW_OPER_INC","FQ3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21" s="2" t="e">
        <f ca="1">_xll.BDH($C$3,"NET_INCOME_TO_COMMON_5_YR_GROWTH","FQ3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21" s="2" t="e">
        <f ca="1">_xll.BDH($C$3,"5Y_GEO_GROWTH_DILUTED_EPS","FQ3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21" s="2" t="e">
        <f ca="1">_xll.BDH($C$3,"GEO_GROW_DVD_PER_SH","FQ3 2017","FQ3 2017","Currency=INR","Period=FQ","BEST_FPERIOD_OVERRIDE=FQ","FILING_STATUS=OR","EQY_CONSOLIDATED=Y","Sort=A","Dates=H","DateFormat=P","Fill=—","Direction=H","UseDPDF=Y")</f>
        <v>#NAME?</v>
      </c>
      <c r="AS21" s="2" t="e">
        <f ca="1">_xll.BDH($C$3,"ACCOUNTS_RECEIVABLE_5_YR_GROWTH","FQ3 2017","FQ3 2017","Currency=INR","Period=FQ","BEST_FPERIOD_OVERRIDE=FQ","FILING_STATUS=OR","EQY_CONSOLIDATED=Y","Sort=A","Dates=H","DateFormat=P","Fill=—","Direction=H","UseDPDF=Y")</f>
        <v>#NAME?</v>
      </c>
      <c r="AT21" s="2" t="e">
        <f ca="1">_xll.BDH($C$3,"INVENTORY_5_YEAR_GROWTH","FQ3 2017","FQ3 2017","Currency=INR","Period=FQ","BEST_FPERIOD_OVERRIDE=FQ","FILING_STATUS=OR","EQY_CONSOLIDATED=Y","Sort=A","Dates=H","DateFormat=P","Fill=—","Direction=H","UseDPDF=Y")</f>
        <v>#NAME?</v>
      </c>
      <c r="AU21" s="2" t="e">
        <f ca="1">_xll.BDH($C$3,"NET_FIXED_ASSETS_5_YEAR_GROWTH","FQ3 2017","FQ3 2017","Currency=INR","Period=FQ","BEST_FPERIOD_OVERRIDE=FQ","FILING_STATUS=OR","EQY_CONSOLIDATED=Y","Sort=A","Dates=H","DateFormat=P","Fill=—","Direction=H","UseDPDF=Y")</f>
        <v>#NAME?</v>
      </c>
      <c r="AV21" s="2" t="e">
        <f ca="1">_xll.BDH($C$3,"GEO_GROW_TOT_ASSET","FQ3 2017","FQ3 2017","Currency=INR","Period=FQ","BEST_FPERIOD_OVERRIDE=FQ","FILING_STATUS=OR","EQY_CONSOLIDATED=Y","Sort=A","Dates=H","DateFormat=P","Fill=—","Direction=H","UseDPDF=Y")</f>
        <v>#NAME?</v>
      </c>
      <c r="AW21" s="2" t="e">
        <f ca="1">_xll.BDH($C$3,"MODIFIED_WORKING_CPTL_5YR_GRWTH","FQ3 2017","FQ3 2017","Currency=INR","Period=FQ","BEST_FPERIOD_OVERRIDE=FQ","FILING_STATUS=OR","EQY_CONSOLIDATED=Y","Sort=A","Dates=H","DateFormat=P","Fill=—","Direction=H","UseDPDF=Y")</f>
        <v>#NAME?</v>
      </c>
      <c r="AX21" s="2" t="e">
        <f ca="1">_xll.BDH($C$3,"WORKING_CAPITAL_5_YEAR_GROWTH","FQ3 2017","FQ3 2017","Currency=INR","Period=FQ","BEST_FPERIOD_OVERRIDE=FQ","FILING_STATUS=OR","EQY_CONSOLIDATED=Y","Sort=A","Dates=H","DateFormat=P","Fill=—","Direction=H","UseDPDF=Y")</f>
        <v>#NAME?</v>
      </c>
      <c r="AY21" s="2" t="e">
        <f ca="1">_xll.BDH($C$3,"ACCOUNTS_PAYABLE_5_YEAR_GROWTH","FQ3 2017","FQ3 2017","Currency=INR","Period=FQ","BEST_FPERIOD_OVERRIDE=FQ","FILING_STATUS=OR","EQY_CONSOLIDATED=Y","Sort=A","Dates=H","DateFormat=P","Fill=—","Direction=H","UseDPDF=Y")</f>
        <v>#NAME?</v>
      </c>
      <c r="AZ21" s="2" t="e">
        <f ca="1">_xll.BDH($C$3,"SHORT_TERM_DEBT_5_YEAR_GROWTH","FQ3 2017","FQ3 2017","Currency=INR","Period=FQ","BEST_FPERIOD_OVERRIDE=FQ","FILING_STATUS=OR","EQY_CONSOLIDATED=Y","Sort=A","Dates=H","DateFormat=P","Fill=—","Direction=H","UseDPDF=Y")</f>
        <v>#NAME?</v>
      </c>
      <c r="BA21" s="2" t="e">
        <f ca="1">_xll.BDH($C$3,"TOTAL_DEBT_5_YEAR_GROWTH","FQ3 2017","FQ3 2017","Currency=INR","Period=FQ","BEST_FPERIOD_OVERRIDE=FQ","FILING_STATUS=OR","EQY_CONSOLIDATED=Y","Sort=A","Dates=H","DateFormat=P","Fill=—","Direction=H","UseDPDF=Y")</f>
        <v>#NAME?</v>
      </c>
      <c r="BB21" s="2" t="e">
        <f ca="1">_xll.BDH($C$3,"GEO_GROW_TOT_SHRHLDR_EQY","FQ3 2017","FQ3 2017","Currency=INR","Period=FQ","BEST_FPERIOD_OVERRIDE=FQ","FILING_STATUS=OR","EQY_CONSOLIDATED=Y","Sort=A","Dates=H","DateFormat=P","Fill=—","Direction=H","UseDPDF=Y")</f>
        <v>#NAME?</v>
      </c>
      <c r="BC21" s="2" t="e">
        <f ca="1">_xll.BDH($C$3,"TOTAL_CAPITAL_5_YEAR_GROWTH","FQ3 2017","FQ3 2017","Currency=INR","Period=FQ","BEST_FPERIOD_OVERRIDE=FQ","FILING_STATUS=OR","EQY_CONSOLIDATED=Y","Sort=A","Dates=H","DateFormat=P","Fill=—","Direction=H","UseDPDF=Y")</f>
        <v>#NAME?</v>
      </c>
      <c r="BD21" s="2" t="e">
        <f ca="1">_xll.BDH($C$3,"GEO_GROW_BOOK_VAL","FQ3 2017","FQ3 2017","Currency=INR","Period=FQ","BEST_FPERIOD_OVERRIDE=FQ","FILING_STATUS=OR","EQY_CONSOLIDATED=Y","Sort=A","Dates=H","DateFormat=P","Fill=—","Direction=H","UseDPDF=Y")</f>
        <v>#NAME?</v>
      </c>
      <c r="BE21" s="2" t="e">
        <f ca="1">_xll.BDH($C$3,"GEO_GROW_CASH_OPER_ACT","FQ3 2017","FQ3 2017","Currency=INR","Period=FQ","BEST_FPERIOD_OVERRIDE=FQ","FILING_STATUS=OR","EQY_CONSOLIDATED=Y","Sort=A","Dates=H","DateFormat=P","Fill=—","Direction=H","UseDPDF=Y")</f>
        <v>#NAME?</v>
      </c>
      <c r="BF21" s="2" t="e">
        <f ca="1">_xll.BDH($C$3,"REVENUE_SEQUENTIAL_GROWTH","FQ3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21" s="2" t="e">
        <f ca="1">_xll.BDH($C$3,"EBITDA_SEQUENTIAL_GROWTH","FQ3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21" s="2" t="e">
        <f ca="1">_xll.BDH($C$3,"OPERATING_INCOME_SEQ_GROWTH","FQ3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21" s="2" t="e">
        <f ca="1">_xll.BDH($C$3,"NET_INCOME_TO_COMMON_SEQ_GROWTH","FQ3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21" s="2" t="e">
        <f ca="1">_xll.BDH($C$3,"EPS_DILUTED_SEQUENTIAL_GROWTH","FQ3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21" s="2" t="e">
        <f ca="1">_xll.BDH($C$3,"DPS_SEQUENTIAL_GROWTH","FQ3 2017","FQ3 2017","Currency=INR","Period=FQ","BEST_FPERIOD_OVERRIDE=FQ","FILING_STATUS=OR","EQY_CONSOLIDATED=Y","Sort=A","Dates=H","DateFormat=P","Fill=—","Direction=H","UseDPDF=Y")</f>
        <v>#NAME?</v>
      </c>
      <c r="BL21" s="2" t="e">
        <f ca="1">_xll.BDH($C$3,"ACCOUNTS_RECEIVABLE_SEQ_GROWTH","FQ3 2017","FQ3 2017","Currency=INR","Period=FQ","BEST_FPERIOD_OVERRIDE=FQ","FILING_STATUS=OR","EQY_CONSOLIDATED=Y","Sort=A","Dates=H","DateFormat=P","Fill=—","Direction=H","UseDPDF=Y")</f>
        <v>#NAME?</v>
      </c>
      <c r="BM21" s="2" t="e">
        <f ca="1">_xll.BDH($C$3,"INVENTORY_SEQUENTIAL_GROWTH","FQ3 2017","FQ3 2017","Currency=INR","Period=FQ","BEST_FPERIOD_OVERRIDE=FQ","FILING_STATUS=OR","EQY_CONSOLIDATED=Y","Sort=A","Dates=H","DateFormat=P","Fill=—","Direction=H","UseDPDF=Y")</f>
        <v>#NAME?</v>
      </c>
      <c r="BN21" s="2" t="e">
        <f ca="1">_xll.BDH($C$3,"FIXED_ASSETS_SEQUENTIAL_GROWTH","FQ3 2017","FQ3 2017","Currency=INR","Period=FQ","BEST_FPERIOD_OVERRIDE=FQ","FILING_STATUS=OR","EQY_CONSOLIDATED=Y","Sort=A","Dates=H","DateFormat=P","Fill=—","Direction=H","UseDPDF=Y")</f>
        <v>#NAME?</v>
      </c>
      <c r="BO21" s="2" t="e">
        <f ca="1">_xll.BDH($C$3,"TOTAL_ASSETS_SEQUENTIAL_GROWTH","FQ3 2017","FQ3 2017","Currency=INR","Period=FQ","BEST_FPERIOD_OVERRIDE=FQ","FILING_STATUS=OR","EQY_CONSOLIDATED=Y","Sort=A","Dates=H","DateFormat=P","Fill=—","Direction=H","UseDPDF=Y")</f>
        <v>#NAME?</v>
      </c>
      <c r="BP21" s="2" t="e">
        <f ca="1">_xll.BDH($C$3,"MODIFIED_WORKING_CPTL_SEQ_GRWTH","FQ3 2017","FQ3 2017","Currency=INR","Period=FQ","BEST_FPERIOD_OVERRIDE=FQ","FILING_STATUS=OR","EQY_CONSOLIDATED=Y","Sort=A","Dates=H","DateFormat=P","Fill=—","Direction=H","UseDPDF=Y")</f>
        <v>#NAME?</v>
      </c>
      <c r="BQ21" s="2" t="e">
        <f ca="1">_xll.BDH($C$3,"WORKING_CAPITAL_SEQ_GROWTH","FQ3 2017","FQ3 2017","Currency=INR","Period=FQ","BEST_FPERIOD_OVERRIDE=FQ","FILING_STATUS=OR","EQY_CONSOLIDATED=Y","Sort=A","Dates=H","DateFormat=P","Fill=—","Direction=H","UseDPDF=Y")</f>
        <v>#NAME?</v>
      </c>
      <c r="BR21" s="2" t="e">
        <f ca="1">_xll.BDH($C$3,"ACCOUNTS_PAYABLE_SEQ_GROWTH","FQ3 2017","FQ3 2017","Currency=INR","Period=FQ","BEST_FPERIOD_OVERRIDE=FQ","FILING_STATUS=OR","EQY_CONSOLIDATED=Y","Sort=A","Dates=H","DateFormat=P","Fill=—","Direction=H","UseDPDF=Y")</f>
        <v>#NAME?</v>
      </c>
      <c r="BS21" s="2" t="e">
        <f ca="1">_xll.BDH($C$3,"ST_DEBT_SEQUENTIAL_GROWTH","FQ3 2017","FQ3 2017","Currency=INR","Period=FQ","BEST_FPERIOD_OVERRIDE=FQ","FILING_STATUS=OR","EQY_CONSOLIDATED=Y","Sort=A","Dates=H","DateFormat=P","Fill=—","Direction=H","UseDPDF=Y")</f>
        <v>#NAME?</v>
      </c>
      <c r="BT21" s="2" t="e">
        <f ca="1">_xll.BDH($C$3,"TOTAL_DEBT_SEQUENTIAL_GROWTH","FQ3 2017","FQ3 2017","Currency=INR","Period=FQ","BEST_FPERIOD_OVERRIDE=FQ","FILING_STATUS=OR","EQY_CONSOLIDATED=Y","Sort=A","Dates=H","DateFormat=P","Fill=—","Direction=H","UseDPDF=Y")</f>
        <v>#NAME?</v>
      </c>
      <c r="BU21" s="2" t="e">
        <f ca="1">_xll.BDH($C$3,"TOTAL_EQUITY_SEQUENTIAL_GROWTH","FQ3 2017","FQ3 2017","Currency=INR","Period=FQ","BEST_FPERIOD_OVERRIDE=FQ","FILING_STATUS=OR","EQY_CONSOLIDATED=Y","Sort=A","Dates=H","DateFormat=P","Fill=—","Direction=H","UseDPDF=Y")</f>
        <v>#NAME?</v>
      </c>
      <c r="BV21" s="2" t="e">
        <f ca="1">_xll.BDH($C$3,"TOTAL_CAPITAL_SEQUENTIAL_GROWTH","FQ3 2017","FQ3 2017","Currency=INR","Period=FQ","BEST_FPERIOD_OVERRIDE=FQ","FILING_STATUS=OR","EQY_CONSOLIDATED=Y","Sort=A","Dates=H","DateFormat=P","Fill=—","Direction=H","UseDPDF=Y")</f>
        <v>#NAME?</v>
      </c>
      <c r="BW21" s="2" t="e">
        <f ca="1">_xll.BDH($C$3,"BPS_SEQUENTIAL_GROWTH","FQ3 2017","FQ3 2017","Currency=INR","Period=FQ","BEST_FPERIOD_OVERRIDE=FQ","FILING_STATUS=OR","EQY_CONSOLIDATED=Y","Sort=A","Dates=H","DateFormat=P","Fill=—","Direction=H","UseDPDF=Y")</f>
        <v>#NAME?</v>
      </c>
      <c r="BX21" s="2" t="e">
        <f ca="1">_xll.BDH($C$3,"CFO_SEQUENTIAL_GROWTH","FQ3 2017","FQ3 2017","Currency=INR","Period=FQ","BEST_FPERIOD_OVERRIDE=FQ","FILING_STATUS=OR","EQY_CONSOLIDATED=Y","Sort=A","Dates=H","DateFormat=P","Fill=—","Direction=H","UseDPDF=Y")</f>
        <v>#NAME?</v>
      </c>
      <c r="BY21" s="3" t="e">
        <f ca="1">_xll.BDH($C$3,"SHORT_AND_LONG_TERM_DEBT","FQ3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21" s="3" t="e">
        <f ca="1">_xll.BDH($C$3,"BS_ST_BORROW","FQ3 2017","FQ3 2017","Currency=INR","Period=FQ","BEST_FPERIOD_OVERRIDE=FQ","FILING_STATUS=OR","EQY_CONSOLIDATED=Y","SCALING_FORMAT=MLN","Sort=A","Dates=H","DateFormat=P","Fill=—","Direction=H","UseDPDF=Y")</f>
        <v>#NAME?</v>
      </c>
      <c r="CA21" s="3" t="e">
        <f ca="1">_xll.BDH($C$3,"BS_LT_BORROW","FQ3 2017","FQ3 2017","Currency=INR","Period=FQ","BEST_FPERIOD_OVERRIDE=FQ","FILING_STATUS=OR","EQY_CONSOLIDATED=Y","SCALING_FORMAT=MLN","Sort=A","Dates=H","DateFormat=P","Fill=—","Direction=H","UseDPDF=Y")</f>
        <v>#NAME?</v>
      </c>
      <c r="CB21" s="2" t="e">
        <f ca="1">_xll.BDH($C$3,"TOT_DEBT_TO_EBITDA","FQ3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21" s="2" t="e">
        <f ca="1">_xll.BDH($C$3,"NET_DEBT_TO_EBITDA","FQ3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21" s="2" t="e">
        <f ca="1">_xll.BDH($C$3,"TOTAL_DEBT_TO_EBIT","FQ3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21" s="2" t="e">
        <f ca="1">_xll.BDH($C$3,"NET_DEBT_TO_EBIT","FQ3 2017","FQ3 2017","Currency=INR","Period=FQ","BEST_FPERIOD_OVERRIDE=FQ","FILING_STATUS=OR","EQY_CONSOLIDATED=Y","FA_ADJUSTED=GAAP","Sort=A","Dates=H","DateFormat=P","Fill=—","Direction=H","UseDPDF=Y")</f>
        <v>#NAME?</v>
      </c>
      <c r="CF21" s="2" t="e">
        <f ca="1">_xll.BDH($C$3,"EBITDA_TO_INTEREST_EXPN","FQ3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21" s="2" t="e">
        <f ca="1">_xll.BDH($C$3,"COM_EQY_TO_TOT_ASSET","FQ3 2017","FQ3 2017","Currency=INR","Period=FQ","BEST_FPERIOD_OVERRIDE=FQ","FILING_STATUS=OR","EQY_CONSOLIDATED=Y","Sort=A","Dates=H","DateFormat=P","Fill=—","Direction=H","UseDPDF=Y")</f>
        <v>#NAME?</v>
      </c>
      <c r="CH21" s="2" t="e">
        <f ca="1">_xll.BDH($C$3,"LT_DEBT_TO_TOT_EQY","FQ3 2017","FQ3 2017","Currency=INR","Period=FQ","BEST_FPERIOD_OVERRIDE=FQ","FILING_STATUS=OR","EQY_CONSOLIDATED=Y","Sort=A","Dates=H","DateFormat=P","Fill=—","Direction=H","UseDPDF=Y")</f>
        <v>#NAME?</v>
      </c>
      <c r="CI21" s="2" t="e">
        <f ca="1">_xll.BDH($C$3,"LT_DEBT_TO_TOT_CAP","FQ3 2017","FQ3 2017","Currency=INR","Period=FQ","BEST_FPERIOD_OVERRIDE=FQ","FILING_STATUS=OR","EQY_CONSOLIDATED=Y","Sort=A","Dates=H","DateFormat=P","Fill=—","Direction=H","UseDPDF=Y")</f>
        <v>#NAME?</v>
      </c>
      <c r="CJ21" s="2" t="e">
        <f ca="1">_xll.BDH($C$3,"LT_DEBT_TO_TOT_ASSET","FQ3 2017","FQ3 2017","Currency=INR","Period=FQ","BEST_FPERIOD_OVERRIDE=FQ","FILING_STATUS=OR","EQY_CONSOLIDATED=Y","Sort=A","Dates=H","DateFormat=P","Fill=—","Direction=H","UseDPDF=Y")</f>
        <v>#NAME?</v>
      </c>
      <c r="CK21" s="2" t="e">
        <f ca="1">_xll.BDH($C$3,"TOT_DEBT_TO_TOT_EQY","FQ3 2017","FQ3 2017","Currency=INR","Period=FQ","BEST_FPERIOD_OVERRIDE=FQ","FILING_STATUS=OR","EQY_CONSOLIDATED=Y","Sort=A","Dates=H","DateFormat=P","Fill=—","Direction=H","UseDPDF=Y")</f>
        <v>#NAME?</v>
      </c>
      <c r="CL21" s="2" t="e">
        <f ca="1">_xll.BDH($C$3,"TOT_DEBT_TO_TOT_CAP","FQ3 2017","FQ3 2017","Currency=INR","Period=FQ","BEST_FPERIOD_OVERRIDE=FQ","FILING_STATUS=OR","EQY_CONSOLIDATED=Y","Sort=A","Dates=H","DateFormat=P","Fill=—","Direction=H","UseDPDF=Y")</f>
        <v>#NAME?</v>
      </c>
      <c r="CM21" s="2" t="e">
        <f ca="1">_xll.BDH($C$3,"TOT_DEBT_TO_TOT_ASSET","FQ3 2017","FQ3 2017","Currency=INR","Period=FQ","BEST_FPERIOD_OVERRIDE=FQ","FILING_STATUS=OR","EQY_CONSOLIDATED=Y","Sort=A","Dates=H","DateFormat=P","Fill=—","Direction=H","UseDPDF=Y")</f>
        <v>#NAME?</v>
      </c>
      <c r="CN21" s="2" t="e">
        <f ca="1">_xll.BDH($C$3,"NET_DEBT_TO_SHRHLDR_EQTY","FQ3 2017","FQ3 2017","Currency=INR","Period=FQ","BEST_FPERIOD_OVERRIDE=FQ","FILING_STATUS=OR","EQY_CONSOLIDATED=Y","Sort=A","Dates=H","DateFormat=P","Fill=—","Direction=H","UseDPDF=Y")</f>
        <v>#NAME?</v>
      </c>
      <c r="CO21" s="2" t="e">
        <f ca="1">_xll.BDH($C$3,"NET_DEBT_%_CAPITAL","FQ3 2017","FQ3 2017","Currency=INR","Period=FQ","BEST_FPERIOD_OVERRIDE=FQ","FILING_STATUS=OR","EQY_CONSOLIDATED=Y","Sort=A","Dates=H","DateFormat=P","Fill=—","Direction=H","UseDPDF=Y")</f>
        <v>#NAME?</v>
      </c>
      <c r="CP21" s="3" t="e">
        <f ca="1">_xll.BDH($C$3,"EBITDA","FQ3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21" s="3" t="e">
        <f ca="1">_xll.BDH($C$3,"EBITDA_AFTER_CAPEX","FQ3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21" s="3" t="e">
        <f ca="1">_xll.BDH($C$3,"IS_OPER_INC","FQ3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21" s="2" t="e">
        <f ca="1">_xll.BDH($C$3,"CASH_RATIO","FQ3 2017","FQ3 2017","Currency=INR","Period=FQ","BEST_FPERIOD_OVERRIDE=FQ","FILING_STATUS=OR","EQY_CONSOLIDATED=Y","Sort=A","Dates=H","DateFormat=P","Fill=—","Direction=H","UseDPDF=Y")</f>
        <v>#NAME?</v>
      </c>
      <c r="CT21" s="2" t="e">
        <f ca="1">_xll.BDH($C$3,"CUR_RATIO","FQ3 2017","FQ3 2017","Currency=INR","Period=FQ","BEST_FPERIOD_OVERRIDE=FQ","FILING_STATUS=OR","EQY_CONSOLIDATED=Y","Sort=A","Dates=H","DateFormat=P","Fill=—","Direction=H","UseDPDF=Y")</f>
        <v>#NAME?</v>
      </c>
      <c r="CU21" s="2" t="e">
        <f ca="1">_xll.BDH($C$3,"QUICK_RATIO","FQ3 2017","FQ3 2017","Currency=INR","Period=FQ","BEST_FPERIOD_OVERRIDE=FQ","FILING_STATUS=OR","EQY_CONSOLIDATED=Y","Sort=A","Dates=H","DateFormat=P","Fill=—","Direction=H","UseDPDF=Y")</f>
        <v>#NAME?</v>
      </c>
      <c r="CV21" s="2" t="e">
        <f ca="1">_xll.BDH($C$3,"ALTMAN_Z_SCORE","FQ3 2017","FQ3 2017","Currency=INR","Period=FQ","BEST_FPERIOD_OVERRIDE=FQ","FILING_STATUS=OR","EQY_CONSOLIDATED=Y","Sort=A","Dates=H","DateFormat=P","Fill=—","Direction=H","UseDPDF=Y")</f>
        <v>#NAME?</v>
      </c>
      <c r="CW21" s="4" t="e">
        <f ca="1">_xll.BDH($C$3,"ACCT_RCV_TURN","FQ3 2017","FQ3 2017","Currency=INR","Period=FQ","BEST_FPERIOD_OVERRIDE=FQ","FILING_STATUS=OR","EQY_CONSOLIDATED=Y","FA_ADJUSTED=GAAP","Sort=A","Dates=H","DateFormat=P","Fill=—","Direction=H","UseDPDF=Y")</f>
        <v>#NAME?</v>
      </c>
      <c r="CX21" s="2" t="e">
        <f ca="1">_xll.BDH($C$3,"ACCT_RCV_DAYS","FQ3 2017","FQ3 2017","Currency=INR","Period=FQ","BEST_FPERIOD_OVERRIDE=FQ","FILING_STATUS=OR","EQY_CONSOLIDATED=Y","FA_ADJUSTED=GAAP","Sort=A","Dates=H","DateFormat=P","Fill=—","Direction=H","UseDPDF=Y")</f>
        <v>#NAME?</v>
      </c>
      <c r="CY21" s="4" t="e">
        <f ca="1">_xll.BDH($C$3,"INVENT_TURN","FQ3 2017","FQ3 2017","Currency=INR","Period=FQ","BEST_FPERIOD_OVERRIDE=FQ","FILING_STATUS=OR","EQY_CONSOLIDATED=Y","FA_ADJUSTED=GAAP","Sort=A","Dates=H","DateFormat=P","Fill=—","Direction=H","UseDPDF=Y")</f>
        <v>#NAME?</v>
      </c>
      <c r="CZ21" s="2" t="e">
        <f ca="1">_xll.BDH($C$3,"INVENT_DAYS","FQ3 2017","FQ3 2017","Currency=INR","Period=FQ","BEST_FPERIOD_OVERRIDE=FQ","FILING_STATUS=OR","EQY_CONSOLIDATED=Y","FA_ADJUSTED=GAAP","Sort=A","Dates=H","DateFormat=P","Fill=—","Direction=H","UseDPDF=Y")</f>
        <v>#NAME?</v>
      </c>
      <c r="DA21" s="4" t="e">
        <f ca="1">_xll.BDH($C$3,"ACCOUNTS_PAYABLE_TURNOVER","FQ3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21" s="2" t="e">
        <f ca="1">_xll.BDH($C$3,"ACCOUNTS_PAYABLE_TURNOVER_DAYS","FQ3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21" s="4" t="e">
        <f ca="1">_xll.BDH($C$3,"CASH_CONVERSION_CYCLE","FQ3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21" s="4" t="e">
        <f ca="1">_xll.BDH($C$3,"INV_TO_CASH_DAYS","FQ3 2017","FQ3 2017","Currency=INR","Period=FQ","BEST_FPERIOD_OVERRIDE=FQ","FILING_STATUS=OR","EQY_CONSOLIDATED=Y","FA_ADJUSTED=GAAP","Sort=A","Dates=H","DateFormat=P","Fill=—","Direction=H","UseDPDF=Y")</f>
        <v>#NAME?</v>
      </c>
      <c r="DE21" s="5" t="e">
        <f ca="1">_xll.BDH($C$3,"BS_INVENTORIES","FQ3 2017","FQ3 2017","Currency=INR","Period=FQ","BEST_FPERIOD_OVERRIDE=FQ","FILING_STATUS=OR","EQY_CONSOLIDATED=Y","SCALING_FORMAT=MLN","Sort=A","Dates=H","DateFormat=P","Fill=—","Direction=H","UseDPDF=Y")</f>
        <v>#NAME?</v>
      </c>
      <c r="DF21" s="3" t="e">
        <f ca="1">_xll.BDH($C$3,"INVTRY_RAW_MATERIALS","FQ3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21" s="3" t="e">
        <f ca="1">_xll.BDH($C$3,"INVTRY_IN_PROGRESS","FQ3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21" s="3" t="e">
        <f ca="1">_xll.BDH($C$3,"INVTRY_FINISHED_GOODS","FQ3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21" s="3" t="e">
        <f ca="1">_xll.BDH($C$3,"BS_OTHER_INV","FQ3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22" spans="1:113" x14ac:dyDescent="0.3">
      <c r="A22" s="6"/>
      <c r="B22" s="6"/>
      <c r="C22" s="6"/>
      <c r="D22" s="6"/>
      <c r="E22" t="s">
        <v>81</v>
      </c>
      <c r="F22" t="e">
        <f ca="1">_xll.BDH($C$3,"RETURN_COM_EQY","FQ4 2017","FQ4 2017","Currency=INR","Period=FQ","BEST_FPERIOD_OVERRIDE=FQ","FILING_STATUS=OR","EQY_CONSOLIDATED=Y","FA_ADJUSTED=GAAP","Sort=A","Dates=H","DateFormat=P","Fill=—","Direction=H","UseDPDF=Y")</f>
        <v>#NAME?</v>
      </c>
      <c r="G22" t="e">
        <f ca="1">_xll.BDH($C$3,"RETURN_ON_ASSET","FQ4 2017","FQ4 2017","Currency=INR","Period=FQ","BEST_FPERIOD_OVERRIDE=FQ","FILING_STATUS=OR","EQY_CONSOLIDATED=Y","FA_ADJUSTED=GAAP","Sort=A","Dates=H","DateFormat=P","Fill=—","Direction=H","UseDPDF=Y")</f>
        <v>#NAME?</v>
      </c>
      <c r="H22" t="e">
        <f ca="1">_xll.BDH($C$3,"RETURN_ON_CAP","FQ4 2017","FQ4 2017","Currency=INR","Period=FQ","BEST_FPERIOD_OVERRIDE=FQ","FILING_STATUS=OR","EQY_CONSOLIDATED=Y","FA_ADJUSTED=GAAP","Sort=A","Dates=H","DateFormat=P","Fill=—","Direction=H","UseDPDF=Y")</f>
        <v>#NAME?</v>
      </c>
      <c r="I22" t="e">
        <f ca="1">_xll.BDH($C$3,"RETURN_ON_INV_CAPITAL","FQ4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22" t="e">
        <f ca="1">_xll.BDH($C$3,"EBITDA_TO_REVENUE","FQ4 2017","FQ4 2017","Currency=INR","Period=FQ","BEST_FPERIOD_OVERRIDE=FQ","FILING_STATUS=OR","EQY_CONSOLIDATED=Y","FA_ADJUSTED=GAAP","Sort=A","Dates=H","DateFormat=P","Fill=—","Direction=H","UseDPDF=Y")</f>
        <v>#NAME?</v>
      </c>
      <c r="K22" t="e">
        <f ca="1">_xll.BDH($C$3,"OPER_MARGIN","FQ4 2017","FQ4 2017","Currency=INR","Period=FQ","BEST_FPERIOD_OVERRIDE=FQ","FILING_STATUS=OR","EQY_CONSOLIDATED=Y","FA_ADJUSTED=GAAP","Sort=A","Dates=H","DateFormat=P","Fill=—","Direction=H","UseDPDF=Y")</f>
        <v>#NAME?</v>
      </c>
      <c r="L22" t="e">
        <f ca="1">_xll.BDH($C$3,"INCREMENTAL_OPERATING_MARGIN","FQ4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22" t="e">
        <f ca="1">_xll.BDH($C$3,"PRETAX_INC_TO_NET_SALES","FQ4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22" t="e">
        <f ca="1">_xll.BDH($C$3,"INC_BEF_XO_ITEMS_TO_NET_SALES","FQ4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22" t="e">
        <f ca="1">_xll.BDH($C$3,"PROF_MARGIN","FQ4 2017","FQ4 2017","Currency=INR","Period=FQ","BEST_FPERIOD_OVERRIDE=FQ","FILING_STATUS=OR","EQY_CONSOLIDATED=Y","FA_ADJUSTED=GAAP","Sort=A","Dates=H","DateFormat=P","Fill=—","Direction=H","UseDPDF=Y")</f>
        <v>#NAME?</v>
      </c>
      <c r="P22" t="e">
        <f ca="1">_xll.BDH($C$3,"NET_INCOME_TO_COMMON_MARGIN","FQ4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22" t="e">
        <f ca="1">_xll.BDH($C$3,"EFF_TAX_RATE","FQ4 2017","FQ4 2017","Currency=INR","Period=FQ","BEST_FPERIOD_OVERRIDE=FQ","FILING_STATUS=OR","EQY_CONSOLIDATED=Y","FA_ADJUSTED=GAAP","Sort=A","Dates=H","DateFormat=P","Fill=—","Direction=H","UseDPDF=Y")</f>
        <v>#NAME?</v>
      </c>
      <c r="R22" t="e">
        <f ca="1">_xll.BDH($C$3,"DVD_PAYOUT_RATIO","FQ4 2017","FQ4 2017","Currency=INR","Period=FQ","BEST_FPERIOD_OVERRIDE=FQ","FILING_STATUS=OR","EQY_CONSOLIDATED=Y","FA_ADJUSTED=GAAP","Sort=A","Dates=H","DateFormat=P","Fill=—","Direction=H","UseDPDF=Y")</f>
        <v>#NAME?</v>
      </c>
      <c r="S22" t="e">
        <f ca="1">_xll.BDH($C$3,"SUSTAIN_GROWTH_RT","FQ4 2017","FQ4 2017","Currency=INR","Period=FQ","BEST_FPERIOD_OVERRIDE=FQ","FILING_STATUS=OR","EQY_CONSOLIDATED=Y","FA_ADJUSTED=GAAP","Sort=A","Dates=H","DateFormat=P","Fill=—","Direction=H","UseDPDF=Y")</f>
        <v>#NAME?</v>
      </c>
      <c r="T22" s="2" t="e">
        <f ca="1">_xll.BDH($C$3,"SALES_GROWTH","FQ4 2017","FQ4 2017","Currency=INR","Period=FQ","BEST_FPERIOD_OVERRIDE=FQ","FILING_STATUS=OR","EQY_CONSOLIDATED=Y","FA_ADJUSTED=GAAP","Sort=A","Dates=H","DateFormat=P","Fill=—","Direction=H","UseDPDF=Y")</f>
        <v>#NAME?</v>
      </c>
      <c r="U22" s="2" t="e">
        <f ca="1">_xll.BDH($C$3,"EBITDA_GROWTH","FQ4 2017","FQ4 2017","Currency=INR","Period=FQ","BEST_FPERIOD_OVERRIDE=FQ","FILING_STATUS=OR","EQY_CONSOLIDATED=Y","FA_ADJUSTED=GAAP","Sort=A","Dates=H","DateFormat=P","Fill=—","Direction=H","UseDPDF=Y")</f>
        <v>#NAME?</v>
      </c>
      <c r="V22" s="2" t="e">
        <f ca="1">_xll.BDH($C$3,"OPER_INC_GROWTH","FQ4 2017","FQ4 2017","Currency=INR","Period=FQ","BEST_FPERIOD_OVERRIDE=FQ","FILING_STATUS=OR","EQY_CONSOLIDATED=Y","FA_ADJUSTED=GAAP","Sort=A","Dates=H","DateFormat=P","Fill=—","Direction=H","UseDPDF=Y")</f>
        <v>#NAME?</v>
      </c>
      <c r="W22" s="2" t="e">
        <f ca="1">_xll.BDH($C$3,"EARN_FOR_COM_GROWTH","FQ4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22" s="2" t="e">
        <f ca="1">_xll.BDH($C$3,"DILUTED_EPS_AFT_XO_ITEMS_GROWTH","FQ4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22" s="2" t="e">
        <f ca="1">_xll.BDH($C$3,"DIVIDEND_PER_SHARE_1_YEAR_GROWTH","FQ4 2017","FQ4 2017","Currency=INR","Period=FQ","BEST_FPERIOD_OVERRIDE=FQ","FILING_STATUS=OR","EQY_CONSOLIDATED=Y","Sort=A","Dates=H","DateFormat=P","Fill=—","Direction=H","UseDPDF=Y")</f>
        <v>#NAME?</v>
      </c>
      <c r="Z22" s="2" t="e">
        <f ca="1">_xll.BDH($C$3,"ACCOUNTS_RECEIVABLE_GROWTH","FQ4 2017","FQ4 2017","Currency=INR","Period=FQ","BEST_FPERIOD_OVERRIDE=FQ","FILING_STATUS=OR","EQY_CONSOLIDATED=Y","Sort=A","Dates=H","DateFormat=P","Fill=—","Direction=H","UseDPDF=Y")</f>
        <v>#NAME?</v>
      </c>
      <c r="AA22" s="2" t="e">
        <f ca="1">_xll.BDH($C$3,"INVENTORY_GROWTH","FQ4 2017","FQ4 2017","Currency=INR","Period=FQ","BEST_FPERIOD_OVERRIDE=FQ","FILING_STATUS=OR","EQY_CONSOLIDATED=Y","Sort=A","Dates=H","DateFormat=P","Fill=—","Direction=H","UseDPDF=Y")</f>
        <v>#NAME?</v>
      </c>
      <c r="AB22" s="2" t="e">
        <f ca="1">_xll.BDH($C$3,"NET_FIXED_ASSETS_1_YEAR_GROWTH","FQ4 2017","FQ4 2017","Currency=INR","Period=FQ","BEST_FPERIOD_OVERRIDE=FQ","FILING_STATUS=OR","EQY_CONSOLIDATED=Y","Sort=A","Dates=H","DateFormat=P","Fill=—","Direction=H","UseDPDF=Y")</f>
        <v>#NAME?</v>
      </c>
      <c r="AC22" s="2" t="e">
        <f ca="1">_xll.BDH($C$3,"ASSET_GROWTH","FQ4 2017","FQ4 2017","Currency=INR","Period=FQ","BEST_FPERIOD_OVERRIDE=FQ","FILING_STATUS=OR","EQY_CONSOLIDATED=Y","Sort=A","Dates=H","DateFormat=P","Fill=—","Direction=H","UseDPDF=Y")</f>
        <v>#NAME?</v>
      </c>
      <c r="AD22" s="2" t="e">
        <f ca="1">_xll.BDH($C$3,"MODIFIED_WORK_CAP_GROWTH","FQ4 2017","FQ4 2017","Currency=INR","Period=FQ","BEST_FPERIOD_OVERRIDE=FQ","FILING_STATUS=OR","EQY_CONSOLIDATED=Y","Sort=A","Dates=H","DateFormat=P","Fill=—","Direction=H","UseDPDF=Y")</f>
        <v>#NAME?</v>
      </c>
      <c r="AE22" s="2" t="e">
        <f ca="1">_xll.BDH($C$3,"WORK_CAP_GROWTH","FQ4 2017","FQ4 2017","Currency=INR","Period=FQ","BEST_FPERIOD_OVERRIDE=FQ","FILING_STATUS=OR","EQY_CONSOLIDATED=Y","Sort=A","Dates=H","DateFormat=P","Fill=—","Direction=H","UseDPDF=Y")</f>
        <v>#NAME?</v>
      </c>
      <c r="AF22" s="2" t="e">
        <f ca="1">_xll.BDH($C$3,"ACCOUNTS_PAYABLE_GROWTH_1YR","FQ4 2017","FQ4 2017","Currency=INR","Period=FQ","BEST_FPERIOD_OVERRIDE=FQ","FILING_STATUS=OR","EQY_CONSOLIDATED=Y","Sort=A","Dates=H","DateFormat=P","Fill=—","Direction=H","UseDPDF=Y")</f>
        <v>#NAME?</v>
      </c>
      <c r="AG22" s="2" t="e">
        <f ca="1">_xll.BDH($C$3,"SHORT_TERM_DEBT_1_YEAR_GROWTH","FQ4 2017","FQ4 2017","Currency=INR","Period=FQ","BEST_FPERIOD_OVERRIDE=FQ","FILING_STATUS=OR","EQY_CONSOLIDATED=Y","Sort=A","Dates=H","DateFormat=P","Fill=—","Direction=H","UseDPDF=Y")</f>
        <v>#NAME?</v>
      </c>
      <c r="AH22" s="2" t="e">
        <f ca="1">_xll.BDH($C$3,"TOTAL_DEBT_1_YEAR_GROWTH","FQ4 2017","FQ4 2017","Currency=INR","Period=FQ","BEST_FPERIOD_OVERRIDE=FQ","FILING_STATUS=OR","EQY_CONSOLIDATED=Y","Sort=A","Dates=H","DateFormat=P","Fill=—","Direction=H","UseDPDF=Y")</f>
        <v>#NAME?</v>
      </c>
      <c r="AI22" s="2" t="e">
        <f ca="1">_xll.BDH($C$3,"TOTAL_EQUITY_1_YEAR_GROWTH","FQ4 2017","FQ4 2017","Currency=INR","Period=FQ","BEST_FPERIOD_OVERRIDE=FQ","FILING_STATUS=OR","EQY_CONSOLIDATED=Y","Sort=A","Dates=H","DateFormat=P","Fill=—","Direction=H","UseDPDF=Y")</f>
        <v>#NAME?</v>
      </c>
      <c r="AJ22" s="2" t="e">
        <f ca="1">_xll.BDH($C$3,"GROWTH_IN_CAP","FQ4 2017","FQ4 2017","Currency=INR","Period=FQ","BEST_FPERIOD_OVERRIDE=FQ","FILING_STATUS=OR","EQY_CONSOLIDATED=Y","Sort=A","Dates=H","DateFormat=P","Fill=—","Direction=H","UseDPDF=Y")</f>
        <v>#NAME?</v>
      </c>
      <c r="AK22" s="2" t="e">
        <f ca="1">_xll.BDH($C$3,"BVPS_GROWTH","FQ4 2017","FQ4 2017","Currency=INR","Period=FQ","BEST_FPERIOD_OVERRIDE=FQ","FILING_STATUS=OR","EQY_CONSOLIDATED=Y","Sort=A","Dates=H","DateFormat=P","Fill=—","Direction=H","UseDPDF=Y")</f>
        <v>#NAME?</v>
      </c>
      <c r="AL22" s="2" t="e">
        <f ca="1">_xll.BDH($C$3,"CASH_FLOW_GROWTH","FQ4 2017","FQ4 2017","Currency=INR","Period=FQ","BEST_FPERIOD_OVERRIDE=FQ","FILING_STATUS=OR","EQY_CONSOLIDATED=Y","Sort=A","Dates=H","DateFormat=P","Fill=—","Direction=H","UseDPDF=Y")</f>
        <v>#NAME?</v>
      </c>
      <c r="AM22" s="2" t="e">
        <f ca="1">_xll.BDH($C$3,"GEO_GROW_NET_SALES","FQ4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22" s="2" t="e">
        <f ca="1">_xll.BDH($C$3,"GEO_GROW_EBITDA","FQ4 2017","FQ4 2017","Currency=INR","Period=FQ","BEST_FPERIOD_OVERRIDE=FQ","FILING_STATUS=OR","EQY_CONSOLIDATED=Y","FA_ADJUSTED=GAAP","Sort=A","Dates=H","DateFormat=P","Fill=—","Direction=H","UseDPDF=Y")</f>
        <v>#NAME?</v>
      </c>
      <c r="AO22" s="2" t="e">
        <f ca="1">_xll.BDH($C$3,"GEO_GROW_OPER_INC","FQ4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22" s="2" t="e">
        <f ca="1">_xll.BDH($C$3,"NET_INCOME_TO_COMMON_5_YR_GROWTH","FQ4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22" s="2" t="e">
        <f ca="1">_xll.BDH($C$3,"5Y_GEO_GROWTH_DILUTED_EPS","FQ4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22" s="2" t="e">
        <f ca="1">_xll.BDH($C$3,"GEO_GROW_DVD_PER_SH","FQ4 2017","FQ4 2017","Currency=INR","Period=FQ","BEST_FPERIOD_OVERRIDE=FQ","FILING_STATUS=OR","EQY_CONSOLIDATED=Y","Sort=A","Dates=H","DateFormat=P","Fill=—","Direction=H","UseDPDF=Y")</f>
        <v>#NAME?</v>
      </c>
      <c r="AS22" s="2" t="e">
        <f ca="1">_xll.BDH($C$3,"ACCOUNTS_RECEIVABLE_5_YR_GROWTH","FQ4 2017","FQ4 2017","Currency=INR","Period=FQ","BEST_FPERIOD_OVERRIDE=FQ","FILING_STATUS=OR","EQY_CONSOLIDATED=Y","Sort=A","Dates=H","DateFormat=P","Fill=—","Direction=H","UseDPDF=Y")</f>
        <v>#NAME?</v>
      </c>
      <c r="AT22" s="2" t="e">
        <f ca="1">_xll.BDH($C$3,"INVENTORY_5_YEAR_GROWTH","FQ4 2017","FQ4 2017","Currency=INR","Period=FQ","BEST_FPERIOD_OVERRIDE=FQ","FILING_STATUS=OR","EQY_CONSOLIDATED=Y","Sort=A","Dates=H","DateFormat=P","Fill=—","Direction=H","UseDPDF=Y")</f>
        <v>#NAME?</v>
      </c>
      <c r="AU22" s="2" t="e">
        <f ca="1">_xll.BDH($C$3,"NET_FIXED_ASSETS_5_YEAR_GROWTH","FQ4 2017","FQ4 2017","Currency=INR","Period=FQ","BEST_FPERIOD_OVERRIDE=FQ","FILING_STATUS=OR","EQY_CONSOLIDATED=Y","Sort=A","Dates=H","DateFormat=P","Fill=—","Direction=H","UseDPDF=Y")</f>
        <v>#NAME?</v>
      </c>
      <c r="AV22" s="2" t="e">
        <f ca="1">_xll.BDH($C$3,"GEO_GROW_TOT_ASSET","FQ4 2017","FQ4 2017","Currency=INR","Period=FQ","BEST_FPERIOD_OVERRIDE=FQ","FILING_STATUS=OR","EQY_CONSOLIDATED=Y","Sort=A","Dates=H","DateFormat=P","Fill=—","Direction=H","UseDPDF=Y")</f>
        <v>#NAME?</v>
      </c>
      <c r="AW22" s="2" t="e">
        <f ca="1">_xll.BDH($C$3,"MODIFIED_WORKING_CPTL_5YR_GRWTH","FQ4 2017","FQ4 2017","Currency=INR","Period=FQ","BEST_FPERIOD_OVERRIDE=FQ","FILING_STATUS=OR","EQY_CONSOLIDATED=Y","Sort=A","Dates=H","DateFormat=P","Fill=—","Direction=H","UseDPDF=Y")</f>
        <v>#NAME?</v>
      </c>
      <c r="AX22" s="2" t="e">
        <f ca="1">_xll.BDH($C$3,"WORKING_CAPITAL_5_YEAR_GROWTH","FQ4 2017","FQ4 2017","Currency=INR","Period=FQ","BEST_FPERIOD_OVERRIDE=FQ","FILING_STATUS=OR","EQY_CONSOLIDATED=Y","Sort=A","Dates=H","DateFormat=P","Fill=—","Direction=H","UseDPDF=Y")</f>
        <v>#NAME?</v>
      </c>
      <c r="AY22" s="2" t="e">
        <f ca="1">_xll.BDH($C$3,"ACCOUNTS_PAYABLE_5_YEAR_GROWTH","FQ4 2017","FQ4 2017","Currency=INR","Period=FQ","BEST_FPERIOD_OVERRIDE=FQ","FILING_STATUS=OR","EQY_CONSOLIDATED=Y","Sort=A","Dates=H","DateFormat=P","Fill=—","Direction=H","UseDPDF=Y")</f>
        <v>#NAME?</v>
      </c>
      <c r="AZ22" s="2" t="e">
        <f ca="1">_xll.BDH($C$3,"SHORT_TERM_DEBT_5_YEAR_GROWTH","FQ4 2017","FQ4 2017","Currency=INR","Period=FQ","BEST_FPERIOD_OVERRIDE=FQ","FILING_STATUS=OR","EQY_CONSOLIDATED=Y","Sort=A","Dates=H","DateFormat=P","Fill=—","Direction=H","UseDPDF=Y")</f>
        <v>#NAME?</v>
      </c>
      <c r="BA22" s="2" t="e">
        <f ca="1">_xll.BDH($C$3,"TOTAL_DEBT_5_YEAR_GROWTH","FQ4 2017","FQ4 2017","Currency=INR","Period=FQ","BEST_FPERIOD_OVERRIDE=FQ","FILING_STATUS=OR","EQY_CONSOLIDATED=Y","Sort=A","Dates=H","DateFormat=P","Fill=—","Direction=H","UseDPDF=Y")</f>
        <v>#NAME?</v>
      </c>
      <c r="BB22" s="2" t="e">
        <f ca="1">_xll.BDH($C$3,"GEO_GROW_TOT_SHRHLDR_EQY","FQ4 2017","FQ4 2017","Currency=INR","Period=FQ","BEST_FPERIOD_OVERRIDE=FQ","FILING_STATUS=OR","EQY_CONSOLIDATED=Y","Sort=A","Dates=H","DateFormat=P","Fill=—","Direction=H","UseDPDF=Y")</f>
        <v>#NAME?</v>
      </c>
      <c r="BC22" s="2" t="e">
        <f ca="1">_xll.BDH($C$3,"TOTAL_CAPITAL_5_YEAR_GROWTH","FQ4 2017","FQ4 2017","Currency=INR","Period=FQ","BEST_FPERIOD_OVERRIDE=FQ","FILING_STATUS=OR","EQY_CONSOLIDATED=Y","Sort=A","Dates=H","DateFormat=P","Fill=—","Direction=H","UseDPDF=Y")</f>
        <v>#NAME?</v>
      </c>
      <c r="BD22" s="2" t="e">
        <f ca="1">_xll.BDH($C$3,"GEO_GROW_BOOK_VAL","FQ4 2017","FQ4 2017","Currency=INR","Period=FQ","BEST_FPERIOD_OVERRIDE=FQ","FILING_STATUS=OR","EQY_CONSOLIDATED=Y","Sort=A","Dates=H","DateFormat=P","Fill=—","Direction=H","UseDPDF=Y")</f>
        <v>#NAME?</v>
      </c>
      <c r="BE22" s="2" t="e">
        <f ca="1">_xll.BDH($C$3,"GEO_GROW_CASH_OPER_ACT","FQ4 2017","FQ4 2017","Currency=INR","Period=FQ","BEST_FPERIOD_OVERRIDE=FQ","FILING_STATUS=OR","EQY_CONSOLIDATED=Y","Sort=A","Dates=H","DateFormat=P","Fill=—","Direction=H","UseDPDF=Y")</f>
        <v>#NAME?</v>
      </c>
      <c r="BF22" s="2" t="e">
        <f ca="1">_xll.BDH($C$3,"REVENUE_SEQUENTIAL_GROWTH","FQ4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22" s="2" t="e">
        <f ca="1">_xll.BDH($C$3,"EBITDA_SEQUENTIAL_GROWTH","FQ4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22" s="2" t="e">
        <f ca="1">_xll.BDH($C$3,"OPERATING_INCOME_SEQ_GROWTH","FQ4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22" s="2" t="e">
        <f ca="1">_xll.BDH($C$3,"NET_INCOME_TO_COMMON_SEQ_GROWTH","FQ4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22" s="2" t="e">
        <f ca="1">_xll.BDH($C$3,"EPS_DILUTED_SEQUENTIAL_GROWTH","FQ4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22" s="2" t="e">
        <f ca="1">_xll.BDH($C$3,"DPS_SEQUENTIAL_GROWTH","FQ4 2017","FQ4 2017","Currency=INR","Period=FQ","BEST_FPERIOD_OVERRIDE=FQ","FILING_STATUS=OR","EQY_CONSOLIDATED=Y","Sort=A","Dates=H","DateFormat=P","Fill=—","Direction=H","UseDPDF=Y")</f>
        <v>#NAME?</v>
      </c>
      <c r="BL22" s="2" t="e">
        <f ca="1">_xll.BDH($C$3,"ACCOUNTS_RECEIVABLE_SEQ_GROWTH","FQ4 2017","FQ4 2017","Currency=INR","Period=FQ","BEST_FPERIOD_OVERRIDE=FQ","FILING_STATUS=OR","EQY_CONSOLIDATED=Y","Sort=A","Dates=H","DateFormat=P","Fill=—","Direction=H","UseDPDF=Y")</f>
        <v>#NAME?</v>
      </c>
      <c r="BM22" s="2" t="e">
        <f ca="1">_xll.BDH($C$3,"INVENTORY_SEQUENTIAL_GROWTH","FQ4 2017","FQ4 2017","Currency=INR","Period=FQ","BEST_FPERIOD_OVERRIDE=FQ","FILING_STATUS=OR","EQY_CONSOLIDATED=Y","Sort=A","Dates=H","DateFormat=P","Fill=—","Direction=H","UseDPDF=Y")</f>
        <v>#NAME?</v>
      </c>
      <c r="BN22" s="2" t="e">
        <f ca="1">_xll.BDH($C$3,"FIXED_ASSETS_SEQUENTIAL_GROWTH","FQ4 2017","FQ4 2017","Currency=INR","Period=FQ","BEST_FPERIOD_OVERRIDE=FQ","FILING_STATUS=OR","EQY_CONSOLIDATED=Y","Sort=A","Dates=H","DateFormat=P","Fill=—","Direction=H","UseDPDF=Y")</f>
        <v>#NAME?</v>
      </c>
      <c r="BO22" s="2" t="e">
        <f ca="1">_xll.BDH($C$3,"TOTAL_ASSETS_SEQUENTIAL_GROWTH","FQ4 2017","FQ4 2017","Currency=INR","Period=FQ","BEST_FPERIOD_OVERRIDE=FQ","FILING_STATUS=OR","EQY_CONSOLIDATED=Y","Sort=A","Dates=H","DateFormat=P","Fill=—","Direction=H","UseDPDF=Y")</f>
        <v>#NAME?</v>
      </c>
      <c r="BP22" s="2" t="e">
        <f ca="1">_xll.BDH($C$3,"MODIFIED_WORKING_CPTL_SEQ_GRWTH","FQ4 2017","FQ4 2017","Currency=INR","Period=FQ","BEST_FPERIOD_OVERRIDE=FQ","FILING_STATUS=OR","EQY_CONSOLIDATED=Y","Sort=A","Dates=H","DateFormat=P","Fill=—","Direction=H","UseDPDF=Y")</f>
        <v>#NAME?</v>
      </c>
      <c r="BQ22" s="2" t="e">
        <f ca="1">_xll.BDH($C$3,"WORKING_CAPITAL_SEQ_GROWTH","FQ4 2017","FQ4 2017","Currency=INR","Period=FQ","BEST_FPERIOD_OVERRIDE=FQ","FILING_STATUS=OR","EQY_CONSOLIDATED=Y","Sort=A","Dates=H","DateFormat=P","Fill=—","Direction=H","UseDPDF=Y")</f>
        <v>#NAME?</v>
      </c>
      <c r="BR22" s="2" t="e">
        <f ca="1">_xll.BDH($C$3,"ACCOUNTS_PAYABLE_SEQ_GROWTH","FQ4 2017","FQ4 2017","Currency=INR","Period=FQ","BEST_FPERIOD_OVERRIDE=FQ","FILING_STATUS=OR","EQY_CONSOLIDATED=Y","Sort=A","Dates=H","DateFormat=P","Fill=—","Direction=H","UseDPDF=Y")</f>
        <v>#NAME?</v>
      </c>
      <c r="BS22" s="2" t="e">
        <f ca="1">_xll.BDH($C$3,"ST_DEBT_SEQUENTIAL_GROWTH","FQ4 2017","FQ4 2017","Currency=INR","Period=FQ","BEST_FPERIOD_OVERRIDE=FQ","FILING_STATUS=OR","EQY_CONSOLIDATED=Y","Sort=A","Dates=H","DateFormat=P","Fill=—","Direction=H","UseDPDF=Y")</f>
        <v>#NAME?</v>
      </c>
      <c r="BT22" s="2" t="e">
        <f ca="1">_xll.BDH($C$3,"TOTAL_DEBT_SEQUENTIAL_GROWTH","FQ4 2017","FQ4 2017","Currency=INR","Period=FQ","BEST_FPERIOD_OVERRIDE=FQ","FILING_STATUS=OR","EQY_CONSOLIDATED=Y","Sort=A","Dates=H","DateFormat=P","Fill=—","Direction=H","UseDPDF=Y")</f>
        <v>#NAME?</v>
      </c>
      <c r="BU22" s="2" t="e">
        <f ca="1">_xll.BDH($C$3,"TOTAL_EQUITY_SEQUENTIAL_GROWTH","FQ4 2017","FQ4 2017","Currency=INR","Period=FQ","BEST_FPERIOD_OVERRIDE=FQ","FILING_STATUS=OR","EQY_CONSOLIDATED=Y","Sort=A","Dates=H","DateFormat=P","Fill=—","Direction=H","UseDPDF=Y")</f>
        <v>#NAME?</v>
      </c>
      <c r="BV22" s="2" t="e">
        <f ca="1">_xll.BDH($C$3,"TOTAL_CAPITAL_SEQUENTIAL_GROWTH","FQ4 2017","FQ4 2017","Currency=INR","Period=FQ","BEST_FPERIOD_OVERRIDE=FQ","FILING_STATUS=OR","EQY_CONSOLIDATED=Y","Sort=A","Dates=H","DateFormat=P","Fill=—","Direction=H","UseDPDF=Y")</f>
        <v>#NAME?</v>
      </c>
      <c r="BW22" s="2" t="e">
        <f ca="1">_xll.BDH($C$3,"BPS_SEQUENTIAL_GROWTH","FQ4 2017","FQ4 2017","Currency=INR","Period=FQ","BEST_FPERIOD_OVERRIDE=FQ","FILING_STATUS=OR","EQY_CONSOLIDATED=Y","Sort=A","Dates=H","DateFormat=P","Fill=—","Direction=H","UseDPDF=Y")</f>
        <v>#NAME?</v>
      </c>
      <c r="BX22" s="2" t="e">
        <f ca="1">_xll.BDH($C$3,"CFO_SEQUENTIAL_GROWTH","FQ4 2017","FQ4 2017","Currency=INR","Period=FQ","BEST_FPERIOD_OVERRIDE=FQ","FILING_STATUS=OR","EQY_CONSOLIDATED=Y","Sort=A","Dates=H","DateFormat=P","Fill=—","Direction=H","UseDPDF=Y")</f>
        <v>#NAME?</v>
      </c>
      <c r="BY22" s="3" t="e">
        <f ca="1">_xll.BDH($C$3,"SHORT_AND_LONG_TERM_DEBT","FQ4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22" s="3" t="e">
        <f ca="1">_xll.BDH($C$3,"BS_ST_BORROW","FQ4 2017","FQ4 2017","Currency=INR","Period=FQ","BEST_FPERIOD_OVERRIDE=FQ","FILING_STATUS=OR","EQY_CONSOLIDATED=Y","SCALING_FORMAT=MLN","Sort=A","Dates=H","DateFormat=P","Fill=—","Direction=H","UseDPDF=Y")</f>
        <v>#NAME?</v>
      </c>
      <c r="CA22" s="3" t="e">
        <f ca="1">_xll.BDH($C$3,"BS_LT_BORROW","FQ4 2017","FQ4 2017","Currency=INR","Period=FQ","BEST_FPERIOD_OVERRIDE=FQ","FILING_STATUS=OR","EQY_CONSOLIDATED=Y","SCALING_FORMAT=MLN","Sort=A","Dates=H","DateFormat=P","Fill=—","Direction=H","UseDPDF=Y")</f>
        <v>#NAME?</v>
      </c>
      <c r="CB22" s="2" t="e">
        <f ca="1">_xll.BDH($C$3,"TOT_DEBT_TO_EBITDA","FQ4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22" s="2" t="e">
        <f ca="1">_xll.BDH($C$3,"NET_DEBT_TO_EBITDA","FQ4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22" s="2" t="e">
        <f ca="1">_xll.BDH($C$3,"TOTAL_DEBT_TO_EBIT","FQ4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22" s="2" t="e">
        <f ca="1">_xll.BDH($C$3,"NET_DEBT_TO_EBIT","FQ4 2017","FQ4 2017","Currency=INR","Period=FQ","BEST_FPERIOD_OVERRIDE=FQ","FILING_STATUS=OR","EQY_CONSOLIDATED=Y","FA_ADJUSTED=GAAP","Sort=A","Dates=H","DateFormat=P","Fill=—","Direction=H","UseDPDF=Y")</f>
        <v>#NAME?</v>
      </c>
      <c r="CF22" s="2" t="e">
        <f ca="1">_xll.BDH($C$3,"EBITDA_TO_INTEREST_EXPN","FQ4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22" s="2" t="e">
        <f ca="1">_xll.BDH($C$3,"COM_EQY_TO_TOT_ASSET","FQ4 2017","FQ4 2017","Currency=INR","Period=FQ","BEST_FPERIOD_OVERRIDE=FQ","FILING_STATUS=OR","EQY_CONSOLIDATED=Y","Sort=A","Dates=H","DateFormat=P","Fill=—","Direction=H","UseDPDF=Y")</f>
        <v>#NAME?</v>
      </c>
      <c r="CH22" s="2" t="e">
        <f ca="1">_xll.BDH($C$3,"LT_DEBT_TO_TOT_EQY","FQ4 2017","FQ4 2017","Currency=INR","Period=FQ","BEST_FPERIOD_OVERRIDE=FQ","FILING_STATUS=OR","EQY_CONSOLIDATED=Y","Sort=A","Dates=H","DateFormat=P","Fill=—","Direction=H","UseDPDF=Y")</f>
        <v>#NAME?</v>
      </c>
      <c r="CI22" s="2" t="e">
        <f ca="1">_xll.BDH($C$3,"LT_DEBT_TO_TOT_CAP","FQ4 2017","FQ4 2017","Currency=INR","Period=FQ","BEST_FPERIOD_OVERRIDE=FQ","FILING_STATUS=OR","EQY_CONSOLIDATED=Y","Sort=A","Dates=H","DateFormat=P","Fill=—","Direction=H","UseDPDF=Y")</f>
        <v>#NAME?</v>
      </c>
      <c r="CJ22" s="2" t="e">
        <f ca="1">_xll.BDH($C$3,"LT_DEBT_TO_TOT_ASSET","FQ4 2017","FQ4 2017","Currency=INR","Period=FQ","BEST_FPERIOD_OVERRIDE=FQ","FILING_STATUS=OR","EQY_CONSOLIDATED=Y","Sort=A","Dates=H","DateFormat=P","Fill=—","Direction=H","UseDPDF=Y")</f>
        <v>#NAME?</v>
      </c>
      <c r="CK22" s="2" t="e">
        <f ca="1">_xll.BDH($C$3,"TOT_DEBT_TO_TOT_EQY","FQ4 2017","FQ4 2017","Currency=INR","Period=FQ","BEST_FPERIOD_OVERRIDE=FQ","FILING_STATUS=OR","EQY_CONSOLIDATED=Y","Sort=A","Dates=H","DateFormat=P","Fill=—","Direction=H","UseDPDF=Y")</f>
        <v>#NAME?</v>
      </c>
      <c r="CL22" s="2" t="e">
        <f ca="1">_xll.BDH($C$3,"TOT_DEBT_TO_TOT_CAP","FQ4 2017","FQ4 2017","Currency=INR","Period=FQ","BEST_FPERIOD_OVERRIDE=FQ","FILING_STATUS=OR","EQY_CONSOLIDATED=Y","Sort=A","Dates=H","DateFormat=P","Fill=—","Direction=H","UseDPDF=Y")</f>
        <v>#NAME?</v>
      </c>
      <c r="CM22" s="2" t="e">
        <f ca="1">_xll.BDH($C$3,"TOT_DEBT_TO_TOT_ASSET","FQ4 2017","FQ4 2017","Currency=INR","Period=FQ","BEST_FPERIOD_OVERRIDE=FQ","FILING_STATUS=OR","EQY_CONSOLIDATED=Y","Sort=A","Dates=H","DateFormat=P","Fill=—","Direction=H","UseDPDF=Y")</f>
        <v>#NAME?</v>
      </c>
      <c r="CN22" s="2" t="e">
        <f ca="1">_xll.BDH($C$3,"NET_DEBT_TO_SHRHLDR_EQTY","FQ4 2017","FQ4 2017","Currency=INR","Period=FQ","BEST_FPERIOD_OVERRIDE=FQ","FILING_STATUS=OR","EQY_CONSOLIDATED=Y","Sort=A","Dates=H","DateFormat=P","Fill=—","Direction=H","UseDPDF=Y")</f>
        <v>#NAME?</v>
      </c>
      <c r="CO22" s="2" t="e">
        <f ca="1">_xll.BDH($C$3,"NET_DEBT_%_CAPITAL","FQ4 2017","FQ4 2017","Currency=INR","Period=FQ","BEST_FPERIOD_OVERRIDE=FQ","FILING_STATUS=OR","EQY_CONSOLIDATED=Y","Sort=A","Dates=H","DateFormat=P","Fill=—","Direction=H","UseDPDF=Y")</f>
        <v>#NAME?</v>
      </c>
      <c r="CP22" s="3" t="e">
        <f ca="1">_xll.BDH($C$3,"EBITDA","FQ4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22" s="3" t="e">
        <f ca="1">_xll.BDH($C$3,"EBITDA_AFTER_CAPEX","FQ4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22" s="3" t="e">
        <f ca="1">_xll.BDH($C$3,"IS_OPER_INC","FQ4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22" s="2" t="e">
        <f ca="1">_xll.BDH($C$3,"CASH_RATIO","FQ4 2017","FQ4 2017","Currency=INR","Period=FQ","BEST_FPERIOD_OVERRIDE=FQ","FILING_STATUS=OR","EQY_CONSOLIDATED=Y","Sort=A","Dates=H","DateFormat=P","Fill=—","Direction=H","UseDPDF=Y")</f>
        <v>#NAME?</v>
      </c>
      <c r="CT22" s="2" t="e">
        <f ca="1">_xll.BDH($C$3,"CUR_RATIO","FQ4 2017","FQ4 2017","Currency=INR","Period=FQ","BEST_FPERIOD_OVERRIDE=FQ","FILING_STATUS=OR","EQY_CONSOLIDATED=Y","Sort=A","Dates=H","DateFormat=P","Fill=—","Direction=H","UseDPDF=Y")</f>
        <v>#NAME?</v>
      </c>
      <c r="CU22" s="2" t="e">
        <f ca="1">_xll.BDH($C$3,"QUICK_RATIO","FQ4 2017","FQ4 2017","Currency=INR","Period=FQ","BEST_FPERIOD_OVERRIDE=FQ","FILING_STATUS=OR","EQY_CONSOLIDATED=Y","Sort=A","Dates=H","DateFormat=P","Fill=—","Direction=H","UseDPDF=Y")</f>
        <v>#NAME?</v>
      </c>
      <c r="CV22" s="2" t="e">
        <f ca="1">_xll.BDH($C$3,"ALTMAN_Z_SCORE","FQ4 2017","FQ4 2017","Currency=INR","Period=FQ","BEST_FPERIOD_OVERRIDE=FQ","FILING_STATUS=OR","EQY_CONSOLIDATED=Y","Sort=A","Dates=H","DateFormat=P","Fill=—","Direction=H","UseDPDF=Y")</f>
        <v>#NAME?</v>
      </c>
      <c r="CW22" s="4" t="e">
        <f ca="1">_xll.BDH($C$3,"ACCT_RCV_TURN","FQ4 2017","FQ4 2017","Currency=INR","Period=FQ","BEST_FPERIOD_OVERRIDE=FQ","FILING_STATUS=OR","EQY_CONSOLIDATED=Y","FA_ADJUSTED=GAAP","Sort=A","Dates=H","DateFormat=P","Fill=—","Direction=H","UseDPDF=Y")</f>
        <v>#NAME?</v>
      </c>
      <c r="CX22" s="2" t="e">
        <f ca="1">_xll.BDH($C$3,"ACCT_RCV_DAYS","FQ4 2017","FQ4 2017","Currency=INR","Period=FQ","BEST_FPERIOD_OVERRIDE=FQ","FILING_STATUS=OR","EQY_CONSOLIDATED=Y","FA_ADJUSTED=GAAP","Sort=A","Dates=H","DateFormat=P","Fill=—","Direction=H","UseDPDF=Y")</f>
        <v>#NAME?</v>
      </c>
      <c r="CY22" s="4" t="e">
        <f ca="1">_xll.BDH($C$3,"INVENT_TURN","FQ4 2017","FQ4 2017","Currency=INR","Period=FQ","BEST_FPERIOD_OVERRIDE=FQ","FILING_STATUS=OR","EQY_CONSOLIDATED=Y","FA_ADJUSTED=GAAP","Sort=A","Dates=H","DateFormat=P","Fill=—","Direction=H","UseDPDF=Y")</f>
        <v>#NAME?</v>
      </c>
      <c r="CZ22" s="2" t="e">
        <f ca="1">_xll.BDH($C$3,"INVENT_DAYS","FQ4 2017","FQ4 2017","Currency=INR","Period=FQ","BEST_FPERIOD_OVERRIDE=FQ","FILING_STATUS=OR","EQY_CONSOLIDATED=Y","FA_ADJUSTED=GAAP","Sort=A","Dates=H","DateFormat=P","Fill=—","Direction=H","UseDPDF=Y")</f>
        <v>#NAME?</v>
      </c>
      <c r="DA22" s="4" t="e">
        <f ca="1">_xll.BDH($C$3,"ACCOUNTS_PAYABLE_TURNOVER","FQ4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22" s="2" t="e">
        <f ca="1">_xll.BDH($C$3,"ACCOUNTS_PAYABLE_TURNOVER_DAYS","FQ4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22" s="4" t="e">
        <f ca="1">_xll.BDH($C$3,"CASH_CONVERSION_CYCLE","FQ4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22" s="4" t="e">
        <f ca="1">_xll.BDH($C$3,"INV_TO_CASH_DAYS","FQ4 2017","FQ4 2017","Currency=INR","Period=FQ","BEST_FPERIOD_OVERRIDE=FQ","FILING_STATUS=OR","EQY_CONSOLIDATED=Y","FA_ADJUSTED=GAAP","Sort=A","Dates=H","DateFormat=P","Fill=—","Direction=H","UseDPDF=Y")</f>
        <v>#NAME?</v>
      </c>
      <c r="DE22" s="5" t="e">
        <f ca="1">_xll.BDH($C$3,"BS_INVENTORIES","FQ4 2017","FQ4 2017","Currency=INR","Period=FQ","BEST_FPERIOD_OVERRIDE=FQ","FILING_STATUS=OR","EQY_CONSOLIDATED=Y","SCALING_FORMAT=MLN","Sort=A","Dates=H","DateFormat=P","Fill=—","Direction=H","UseDPDF=Y")</f>
        <v>#NAME?</v>
      </c>
      <c r="DF22" s="3" t="e">
        <f ca="1">_xll.BDH($C$3,"INVTRY_RAW_MATERIALS","FQ4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22" s="3" t="e">
        <f ca="1">_xll.BDH($C$3,"INVTRY_IN_PROGRESS","FQ4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22" s="3" t="e">
        <f ca="1">_xll.BDH($C$3,"INVTRY_FINISHED_GOODS","FQ4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22" s="3" t="e">
        <f ca="1">_xll.BDH($C$3,"BS_OTHER_INV","FQ4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23" spans="1:113" x14ac:dyDescent="0.3">
      <c r="A23" s="6"/>
      <c r="B23" s="6"/>
      <c r="C23" s="6"/>
      <c r="D23" s="6" t="s">
        <v>85</v>
      </c>
      <c r="E23" t="s">
        <v>77</v>
      </c>
      <c r="F23" t="e">
        <f ca="1">_xll.BDH($C$3,"RETURN_COM_EQY","FY 2018","FY 2018","Currency=INR","Period=FY","BEST_FPERIOD_OVERRIDE=FY","FILING_STATUS=OR","EQY_CONSOLIDATED=Y","FA_ADJUSTED=GAAP","Sort=A","Dates=H","DateFormat=P","Fill=—","Direction=H","UseDPDF=Y")</f>
        <v>#NAME?</v>
      </c>
      <c r="G23" t="e">
        <f ca="1">_xll.BDH($C$3,"RETURN_ON_ASSET","FY 2018","FY 2018","Currency=INR","Period=FY","BEST_FPERIOD_OVERRIDE=FY","FILING_STATUS=OR","EQY_CONSOLIDATED=Y","FA_ADJUSTED=GAAP","Sort=A","Dates=H","DateFormat=P","Fill=—","Direction=H","UseDPDF=Y")</f>
        <v>#NAME?</v>
      </c>
      <c r="H23" t="e">
        <f ca="1">_xll.BDH($C$3,"RETURN_ON_CAP","FY 2018","FY 2018","Currency=INR","Period=FY","BEST_FPERIOD_OVERRIDE=FY","FILING_STATUS=OR","EQY_CONSOLIDATED=Y","FA_ADJUSTED=GAAP","Sort=A","Dates=H","DateFormat=P","Fill=—","Direction=H","UseDPDF=Y")</f>
        <v>#NAME?</v>
      </c>
      <c r="I23" t="e">
        <f ca="1">_xll.BDH($C$3,"RETURN_ON_INV_CAPITAL","FY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23" t="e">
        <f ca="1">_xll.BDH($C$3,"EBITDA_TO_REVENUE","FY 2018","FY 2018","Currency=INR","Period=FY","BEST_FPERIOD_OVERRIDE=FY","FILING_STATUS=OR","EQY_CONSOLIDATED=Y","FA_ADJUSTED=GAAP","Sort=A","Dates=H","DateFormat=P","Fill=—","Direction=H","UseDPDF=Y")</f>
        <v>#NAME?</v>
      </c>
      <c r="K23" t="e">
        <f ca="1">_xll.BDH($C$3,"OPER_MARGIN","FY 2018","FY 2018","Currency=INR","Period=FY","BEST_FPERIOD_OVERRIDE=FY","FILING_STATUS=OR","EQY_CONSOLIDATED=Y","FA_ADJUSTED=GAAP","Sort=A","Dates=H","DateFormat=P","Fill=—","Direction=H","UseDPDF=Y")</f>
        <v>#NAME?</v>
      </c>
      <c r="L23" t="e">
        <f ca="1">_xll.BDH($C$3,"INCREMENTAL_OPERATING_MARGIN","FY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23" t="e">
        <f ca="1">_xll.BDH($C$3,"PRETAX_INC_TO_NET_SALES","FY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23" t="e">
        <f ca="1">_xll.BDH($C$3,"INC_BEF_XO_ITEMS_TO_NET_SALES","FY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23" t="e">
        <f ca="1">_xll.BDH($C$3,"PROF_MARGIN","FY 2018","FY 2018","Currency=INR","Period=FY","BEST_FPERIOD_OVERRIDE=FY","FILING_STATUS=OR","EQY_CONSOLIDATED=Y","FA_ADJUSTED=GAAP","Sort=A","Dates=H","DateFormat=P","Fill=—","Direction=H","UseDPDF=Y")</f>
        <v>#NAME?</v>
      </c>
      <c r="P23" t="e">
        <f ca="1">_xll.BDH($C$3,"NET_INCOME_TO_COMMON_MARGIN","FY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23" t="e">
        <f ca="1">_xll.BDH($C$3,"EFF_TAX_RATE","FY 2018","FY 2018","Currency=INR","Period=FY","BEST_FPERIOD_OVERRIDE=FY","FILING_STATUS=OR","EQY_CONSOLIDATED=Y","FA_ADJUSTED=GAAP","Sort=A","Dates=H","DateFormat=P","Fill=—","Direction=H","UseDPDF=Y")</f>
        <v>#NAME?</v>
      </c>
      <c r="R23" t="e">
        <f ca="1">_xll.BDH($C$3,"DVD_PAYOUT_RATIO","FY 2018","FY 2018","Currency=INR","Period=FY","BEST_FPERIOD_OVERRIDE=FY","FILING_STATUS=OR","EQY_CONSOLIDATED=Y","FA_ADJUSTED=GAAP","Sort=A","Dates=H","DateFormat=P","Fill=—","Direction=H","UseDPDF=Y")</f>
        <v>#NAME?</v>
      </c>
      <c r="S23" t="e">
        <f ca="1">_xll.BDH($C$3,"SUSTAIN_GROWTH_RT","FY 2018","FY 2018","Currency=INR","Period=FY","BEST_FPERIOD_OVERRIDE=FY","FILING_STATUS=OR","EQY_CONSOLIDATED=Y","FA_ADJUSTED=GAAP","Sort=A","Dates=H","DateFormat=P","Fill=—","Direction=H","UseDPDF=Y")</f>
        <v>#NAME?</v>
      </c>
      <c r="T23" s="2" t="e">
        <f ca="1">_xll.BDH($C$3,"SALES_GROWTH","FY 2018","FY 2018","Currency=INR","Period=FY","BEST_FPERIOD_OVERRIDE=FY","FILING_STATUS=OR","EQY_CONSOLIDATED=Y","FA_ADJUSTED=GAAP","Sort=A","Dates=H","DateFormat=P","Fill=—","Direction=H","UseDPDF=Y")</f>
        <v>#NAME?</v>
      </c>
      <c r="U23" s="2" t="e">
        <f ca="1">_xll.BDH($C$3,"EBITDA_GROWTH","FY 2018","FY 2018","Currency=INR","Period=FY","BEST_FPERIOD_OVERRIDE=FY","FILING_STATUS=OR","EQY_CONSOLIDATED=Y","FA_ADJUSTED=GAAP","Sort=A","Dates=H","DateFormat=P","Fill=—","Direction=H","UseDPDF=Y")</f>
        <v>#NAME?</v>
      </c>
      <c r="V23" s="2" t="e">
        <f ca="1">_xll.BDH($C$3,"OPER_INC_GROWTH","FY 2018","FY 2018","Currency=INR","Period=FY","BEST_FPERIOD_OVERRIDE=FY","FILING_STATUS=OR","EQY_CONSOLIDATED=Y","FA_ADJUSTED=GAAP","Sort=A","Dates=H","DateFormat=P","Fill=—","Direction=H","UseDPDF=Y")</f>
        <v>#NAME?</v>
      </c>
      <c r="W23" s="2" t="e">
        <f ca="1">_xll.BDH($C$3,"EARN_FOR_COM_GROWTH","FY 2018","FY 2018","Currency=INR","Period=FY","BEST_FPERIOD_OVERRIDE=FY","FILING_STATUS=OR","EQY_CONSOLIDATED=Y","FA_ADJUSTED=GAAP","Sort=A","Dates=H","DateFormat=P","Fill=—","Direction=H","UseDPDF=Y")</f>
        <v>#NAME?</v>
      </c>
      <c r="X23" s="2" t="e">
        <f ca="1">_xll.BDH($C$3,"DILUTED_EPS_AFT_XO_ITEMS_GROWTH","FY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23" s="2" t="e">
        <f ca="1">_xll.BDH($C$3,"DIVIDEND_PER_SHARE_1_YEAR_GROWTH","FY 2018","FY 2018","Currency=INR","Period=FY","BEST_FPERIOD_OVERRIDE=FY","FILING_STATUS=OR","EQY_CONSOLIDATED=Y","Sort=A","Dates=H","DateFormat=P","Fill=—","Direction=H","UseDPDF=Y")</f>
        <v>#NAME?</v>
      </c>
      <c r="Z23" s="2" t="e">
        <f ca="1">_xll.BDH($C$3,"ACCOUNTS_RECEIVABLE_GROWTH","FY 2018","FY 2018","Currency=INR","Period=FY","BEST_FPERIOD_OVERRIDE=FY","FILING_STATUS=OR","EQY_CONSOLIDATED=Y","Sort=A","Dates=H","DateFormat=P","Fill=—","Direction=H","UseDPDF=Y")</f>
        <v>#NAME?</v>
      </c>
      <c r="AA23" s="2" t="e">
        <f ca="1">_xll.BDH($C$3,"INVENTORY_GROWTH","FY 2018","FY 2018","Currency=INR","Period=FY","BEST_FPERIOD_OVERRIDE=FY","FILING_STATUS=OR","EQY_CONSOLIDATED=Y","Sort=A","Dates=H","DateFormat=P","Fill=—","Direction=H","UseDPDF=Y")</f>
        <v>#NAME?</v>
      </c>
      <c r="AB23" s="2" t="e">
        <f ca="1">_xll.BDH($C$3,"NET_FIXED_ASSETS_1_YEAR_GROWTH","FY 2018","FY 2018","Currency=INR","Period=FY","BEST_FPERIOD_OVERRIDE=FY","FILING_STATUS=OR","EQY_CONSOLIDATED=Y","Sort=A","Dates=H","DateFormat=P","Fill=—","Direction=H","UseDPDF=Y")</f>
        <v>#NAME?</v>
      </c>
      <c r="AC23" s="2" t="e">
        <f ca="1">_xll.BDH($C$3,"ASSET_GROWTH","FY 2018","FY 2018","Currency=INR","Period=FY","BEST_FPERIOD_OVERRIDE=FY","FILING_STATUS=OR","EQY_CONSOLIDATED=Y","Sort=A","Dates=H","DateFormat=P","Fill=—","Direction=H","UseDPDF=Y")</f>
        <v>#NAME?</v>
      </c>
      <c r="AD23" s="2" t="e">
        <f ca="1">_xll.BDH($C$3,"MODIFIED_WORK_CAP_GROWTH","FY 2018","FY 2018","Currency=INR","Period=FY","BEST_FPERIOD_OVERRIDE=FY","FILING_STATUS=OR","EQY_CONSOLIDATED=Y","Sort=A","Dates=H","DateFormat=P","Fill=—","Direction=H","UseDPDF=Y")</f>
        <v>#NAME?</v>
      </c>
      <c r="AE23" s="2" t="e">
        <f ca="1">_xll.BDH($C$3,"WORK_CAP_GROWTH","FY 2018","FY 2018","Currency=INR","Period=FY","BEST_FPERIOD_OVERRIDE=FY","FILING_STATUS=OR","EQY_CONSOLIDATED=Y","Sort=A","Dates=H","DateFormat=P","Fill=—","Direction=H","UseDPDF=Y")</f>
        <v>#NAME?</v>
      </c>
      <c r="AF23" s="2" t="e">
        <f ca="1">_xll.BDH($C$3,"ACCOUNTS_PAYABLE_GROWTH_1YR","FY 2018","FY 2018","Currency=INR","Period=FY","BEST_FPERIOD_OVERRIDE=FY","FILING_STATUS=OR","EQY_CONSOLIDATED=Y","Sort=A","Dates=H","DateFormat=P","Fill=—","Direction=H","UseDPDF=Y")</f>
        <v>#NAME?</v>
      </c>
      <c r="AG23" s="2" t="e">
        <f ca="1">_xll.BDH($C$3,"SHORT_TERM_DEBT_1_YEAR_GROWTH","FY 2018","FY 2018","Currency=INR","Period=FY","BEST_FPERIOD_OVERRIDE=FY","FILING_STATUS=OR","EQY_CONSOLIDATED=Y","Sort=A","Dates=H","DateFormat=P","Fill=—","Direction=H","UseDPDF=Y")</f>
        <v>#NAME?</v>
      </c>
      <c r="AH23" s="2" t="e">
        <f ca="1">_xll.BDH($C$3,"TOTAL_DEBT_1_YEAR_GROWTH","FY 2018","FY 2018","Currency=INR","Period=FY","BEST_FPERIOD_OVERRIDE=FY","FILING_STATUS=OR","EQY_CONSOLIDATED=Y","Sort=A","Dates=H","DateFormat=P","Fill=—","Direction=H","UseDPDF=Y")</f>
        <v>#NAME?</v>
      </c>
      <c r="AI23" s="2" t="e">
        <f ca="1">_xll.BDH($C$3,"TOTAL_EQUITY_1_YEAR_GROWTH","FY 2018","FY 2018","Currency=INR","Period=FY","BEST_FPERIOD_OVERRIDE=FY","FILING_STATUS=OR","EQY_CONSOLIDATED=Y","Sort=A","Dates=H","DateFormat=P","Fill=—","Direction=H","UseDPDF=Y")</f>
        <v>#NAME?</v>
      </c>
      <c r="AJ23" s="2" t="e">
        <f ca="1">_xll.BDH($C$3,"GROWTH_IN_CAP","FY 2018","FY 2018","Currency=INR","Period=FY","BEST_FPERIOD_OVERRIDE=FY","FILING_STATUS=OR","EQY_CONSOLIDATED=Y","Sort=A","Dates=H","DateFormat=P","Fill=—","Direction=H","UseDPDF=Y")</f>
        <v>#NAME?</v>
      </c>
      <c r="AK23" s="2" t="e">
        <f ca="1">_xll.BDH($C$3,"BVPS_GROWTH","FY 2018","FY 2018","Currency=INR","Period=FY","BEST_FPERIOD_OVERRIDE=FY","FILING_STATUS=OR","EQY_CONSOLIDATED=Y","Sort=A","Dates=H","DateFormat=P","Fill=—","Direction=H","UseDPDF=Y")</f>
        <v>#NAME?</v>
      </c>
      <c r="AL23" s="2" t="e">
        <f ca="1">_xll.BDH($C$3,"CASH_FLOW_GROWTH","FY 2018","FY 2018","Currency=INR","Period=FY","BEST_FPERIOD_OVERRIDE=FY","FILING_STATUS=OR","EQY_CONSOLIDATED=Y","Sort=A","Dates=H","DateFormat=P","Fill=—","Direction=H","UseDPDF=Y")</f>
        <v>#NAME?</v>
      </c>
      <c r="AM23" s="2" t="e">
        <f ca="1">_xll.BDH($C$3,"GEO_GROW_NET_SALES","FY 2018","FY 2018","Currency=INR","Period=FY","BEST_FPERIOD_OVERRIDE=FY","FILING_STATUS=OR","EQY_CONSOLIDATED=Y","FA_ADJUSTED=GAAP","Sort=A","Dates=H","DateFormat=P","Fill=—","Direction=H","UseDPDF=Y")</f>
        <v>#NAME?</v>
      </c>
      <c r="AN23" s="2" t="e">
        <f ca="1">_xll.BDH($C$3,"GEO_GROW_EBITDA","FY 2018","FY 2018","Currency=INR","Period=FY","BEST_FPERIOD_OVERRIDE=FY","FILING_STATUS=OR","EQY_CONSOLIDATED=Y","FA_ADJUSTED=GAAP","Sort=A","Dates=H","DateFormat=P","Fill=—","Direction=H","UseDPDF=Y")</f>
        <v>#NAME?</v>
      </c>
      <c r="AO23" s="2" t="e">
        <f ca="1">_xll.BDH($C$3,"GEO_GROW_OPER_INC","FY 2018","FY 2018","Currency=INR","Period=FY","BEST_FPERIOD_OVERRIDE=FY","FILING_STATUS=OR","EQY_CONSOLIDATED=Y","FA_ADJUSTED=GAAP","Sort=A","Dates=H","DateFormat=P","Fill=—","Direction=H","UseDPDF=Y")</f>
        <v>#NAME?</v>
      </c>
      <c r="AP23" s="2" t="e">
        <f ca="1">_xll.BDH($C$3,"NET_INCOME_TO_COMMON_5_YR_GROWTH","FY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23" s="2" t="e">
        <f ca="1">_xll.BDH($C$3,"5Y_GEO_GROWTH_DILUTED_EPS","FY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23" s="2" t="e">
        <f ca="1">_xll.BDH($C$3,"GEO_GROW_DVD_PER_SH","FY 2018","FY 2018","Currency=INR","Period=FY","BEST_FPERIOD_OVERRIDE=FY","FILING_STATUS=OR","EQY_CONSOLIDATED=Y","Sort=A","Dates=H","DateFormat=P","Fill=—","Direction=H","UseDPDF=Y")</f>
        <v>#NAME?</v>
      </c>
      <c r="AS23" s="2" t="e">
        <f ca="1">_xll.BDH($C$3,"ACCOUNTS_RECEIVABLE_5_YR_GROWTH","FY 2018","FY 2018","Currency=INR","Period=FY","BEST_FPERIOD_OVERRIDE=FY","FILING_STATUS=OR","EQY_CONSOLIDATED=Y","Sort=A","Dates=H","DateFormat=P","Fill=—","Direction=H","UseDPDF=Y")</f>
        <v>#NAME?</v>
      </c>
      <c r="AT23" s="2" t="e">
        <f ca="1">_xll.BDH($C$3,"INVENTORY_5_YEAR_GROWTH","FY 2018","FY 2018","Currency=INR","Period=FY","BEST_FPERIOD_OVERRIDE=FY","FILING_STATUS=OR","EQY_CONSOLIDATED=Y","Sort=A","Dates=H","DateFormat=P","Fill=—","Direction=H","UseDPDF=Y")</f>
        <v>#NAME?</v>
      </c>
      <c r="AU23" s="2" t="e">
        <f ca="1">_xll.BDH($C$3,"NET_FIXED_ASSETS_5_YEAR_GROWTH","FY 2018","FY 2018","Currency=INR","Period=FY","BEST_FPERIOD_OVERRIDE=FY","FILING_STATUS=OR","EQY_CONSOLIDATED=Y","Sort=A","Dates=H","DateFormat=P","Fill=—","Direction=H","UseDPDF=Y")</f>
        <v>#NAME?</v>
      </c>
      <c r="AV23" s="2" t="e">
        <f ca="1">_xll.BDH($C$3,"GEO_GROW_TOT_ASSET","FY 2018","FY 2018","Currency=INR","Period=FY","BEST_FPERIOD_OVERRIDE=FY","FILING_STATUS=OR","EQY_CONSOLIDATED=Y","Sort=A","Dates=H","DateFormat=P","Fill=—","Direction=H","UseDPDF=Y")</f>
        <v>#NAME?</v>
      </c>
      <c r="AW23" s="2" t="e">
        <f ca="1">_xll.BDH($C$3,"MODIFIED_WORKING_CPTL_5YR_GRWTH","FY 2018","FY 2018","Currency=INR","Period=FY","BEST_FPERIOD_OVERRIDE=FY","FILING_STATUS=OR","EQY_CONSOLIDATED=Y","Sort=A","Dates=H","DateFormat=P","Fill=—","Direction=H","UseDPDF=Y")</f>
        <v>#NAME?</v>
      </c>
      <c r="AX23" s="2" t="e">
        <f ca="1">_xll.BDH($C$3,"WORKING_CAPITAL_5_YEAR_GROWTH","FY 2018","FY 2018","Currency=INR","Period=FY","BEST_FPERIOD_OVERRIDE=FY","FILING_STATUS=OR","EQY_CONSOLIDATED=Y","Sort=A","Dates=H","DateFormat=P","Fill=—","Direction=H","UseDPDF=Y")</f>
        <v>#NAME?</v>
      </c>
      <c r="AY23" s="2" t="e">
        <f ca="1">_xll.BDH($C$3,"ACCOUNTS_PAYABLE_5_YEAR_GROWTH","FY 2018","FY 2018","Currency=INR","Period=FY","BEST_FPERIOD_OVERRIDE=FY","FILING_STATUS=OR","EQY_CONSOLIDATED=Y","Sort=A","Dates=H","DateFormat=P","Fill=—","Direction=H","UseDPDF=Y")</f>
        <v>#NAME?</v>
      </c>
      <c r="AZ23" s="2" t="e">
        <f ca="1">_xll.BDH($C$3,"SHORT_TERM_DEBT_5_YEAR_GROWTH","FY 2018","FY 2018","Currency=INR","Period=FY","BEST_FPERIOD_OVERRIDE=FY","FILING_STATUS=OR","EQY_CONSOLIDATED=Y","Sort=A","Dates=H","DateFormat=P","Fill=—","Direction=H","UseDPDF=Y")</f>
        <v>#NAME?</v>
      </c>
      <c r="BA23" s="2" t="e">
        <f ca="1">_xll.BDH($C$3,"TOTAL_DEBT_5_YEAR_GROWTH","FY 2018","FY 2018","Currency=INR","Period=FY","BEST_FPERIOD_OVERRIDE=FY","FILING_STATUS=OR","EQY_CONSOLIDATED=Y","Sort=A","Dates=H","DateFormat=P","Fill=—","Direction=H","UseDPDF=Y")</f>
        <v>#NAME?</v>
      </c>
      <c r="BB23" s="2" t="e">
        <f ca="1">_xll.BDH($C$3,"GEO_GROW_TOT_SHRHLDR_EQY","FY 2018","FY 2018","Currency=INR","Period=FY","BEST_FPERIOD_OVERRIDE=FY","FILING_STATUS=OR","EQY_CONSOLIDATED=Y","Sort=A","Dates=H","DateFormat=P","Fill=—","Direction=H","UseDPDF=Y")</f>
        <v>#NAME?</v>
      </c>
      <c r="BC23" s="2" t="e">
        <f ca="1">_xll.BDH($C$3,"TOTAL_CAPITAL_5_YEAR_GROWTH","FY 2018","FY 2018","Currency=INR","Period=FY","BEST_FPERIOD_OVERRIDE=FY","FILING_STATUS=OR","EQY_CONSOLIDATED=Y","Sort=A","Dates=H","DateFormat=P","Fill=—","Direction=H","UseDPDF=Y")</f>
        <v>#NAME?</v>
      </c>
      <c r="BD23" s="2" t="e">
        <f ca="1">_xll.BDH($C$3,"GEO_GROW_BOOK_VAL","FY 2018","FY 2018","Currency=INR","Period=FY","BEST_FPERIOD_OVERRIDE=FY","FILING_STATUS=OR","EQY_CONSOLIDATED=Y","Sort=A","Dates=H","DateFormat=P","Fill=—","Direction=H","UseDPDF=Y")</f>
        <v>#NAME?</v>
      </c>
      <c r="BE23" s="2" t="e">
        <f ca="1">_xll.BDH($C$3,"GEO_GROW_CASH_OPER_ACT","FY 2018","FY 2018","Currency=INR","Period=FY","BEST_FPERIOD_OVERRIDE=FY","FILING_STATUS=OR","EQY_CONSOLIDATED=Y","Sort=A","Dates=H","DateFormat=P","Fill=—","Direction=H","UseDPDF=Y")</f>
        <v>#NAME?</v>
      </c>
      <c r="BF23" s="2" t="e">
        <f ca="1">_xll.BDH($C$3,"REVENUE_SEQUENTIAL_GROWTH","FY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23" s="2" t="e">
        <f ca="1">_xll.BDH($C$3,"EBITDA_SEQUENTIAL_GROWTH","FY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23" s="2" t="e">
        <f ca="1">_xll.BDH($C$3,"OPERATING_INCOME_SEQ_GROWTH","FY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23" s="2" t="e">
        <f ca="1">_xll.BDH($C$3,"NET_INCOME_TO_COMMON_SEQ_GROWTH","FY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23" s="2" t="e">
        <f ca="1">_xll.BDH($C$3,"EPS_DILUTED_SEQUENTIAL_GROWTH","FY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23" s="2" t="e">
        <f ca="1">_xll.BDH($C$3,"DPS_SEQUENTIAL_GROWTH","FY 2018","FY 2018","Currency=INR","Period=FY","BEST_FPERIOD_OVERRIDE=FY","FILING_STATUS=OR","EQY_CONSOLIDATED=Y","Sort=A","Dates=H","DateFormat=P","Fill=—","Direction=H","UseDPDF=Y")</f>
        <v>#NAME?</v>
      </c>
      <c r="BL23" s="2" t="e">
        <f ca="1">_xll.BDH($C$3,"ACCOUNTS_RECEIVABLE_SEQ_GROWTH","FY 2018","FY 2018","Currency=INR","Period=FY","BEST_FPERIOD_OVERRIDE=FY","FILING_STATUS=OR","EQY_CONSOLIDATED=Y","Sort=A","Dates=H","DateFormat=P","Fill=—","Direction=H","UseDPDF=Y")</f>
        <v>#NAME?</v>
      </c>
      <c r="BM23" s="2" t="e">
        <f ca="1">_xll.BDH($C$3,"INVENTORY_SEQUENTIAL_GROWTH","FY 2018","FY 2018","Currency=INR","Period=FY","BEST_FPERIOD_OVERRIDE=FY","FILING_STATUS=OR","EQY_CONSOLIDATED=Y","Sort=A","Dates=H","DateFormat=P","Fill=—","Direction=H","UseDPDF=Y")</f>
        <v>#NAME?</v>
      </c>
      <c r="BN23" s="2" t="e">
        <f ca="1">_xll.BDH($C$3,"FIXED_ASSETS_SEQUENTIAL_GROWTH","FY 2018","FY 2018","Currency=INR","Period=FY","BEST_FPERIOD_OVERRIDE=FY","FILING_STATUS=OR","EQY_CONSOLIDATED=Y","Sort=A","Dates=H","DateFormat=P","Fill=—","Direction=H","UseDPDF=Y")</f>
        <v>#NAME?</v>
      </c>
      <c r="BO23" s="2" t="e">
        <f ca="1">_xll.BDH($C$3,"TOTAL_ASSETS_SEQUENTIAL_GROWTH","FY 2018","FY 2018","Currency=INR","Period=FY","BEST_FPERIOD_OVERRIDE=FY","FILING_STATUS=OR","EQY_CONSOLIDATED=Y","Sort=A","Dates=H","DateFormat=P","Fill=—","Direction=H","UseDPDF=Y")</f>
        <v>#NAME?</v>
      </c>
      <c r="BP23" s="2" t="e">
        <f ca="1">_xll.BDH($C$3,"MODIFIED_WORKING_CPTL_SEQ_GRWTH","FY 2018","FY 2018","Currency=INR","Period=FY","BEST_FPERIOD_OVERRIDE=FY","FILING_STATUS=OR","EQY_CONSOLIDATED=Y","Sort=A","Dates=H","DateFormat=P","Fill=—","Direction=H","UseDPDF=Y")</f>
        <v>#NAME?</v>
      </c>
      <c r="BQ23" s="2" t="e">
        <f ca="1">_xll.BDH($C$3,"WORKING_CAPITAL_SEQ_GROWTH","FY 2018","FY 2018","Currency=INR","Period=FY","BEST_FPERIOD_OVERRIDE=FY","FILING_STATUS=OR","EQY_CONSOLIDATED=Y","Sort=A","Dates=H","DateFormat=P","Fill=—","Direction=H","UseDPDF=Y")</f>
        <v>#NAME?</v>
      </c>
      <c r="BR23" s="2" t="e">
        <f ca="1">_xll.BDH($C$3,"ACCOUNTS_PAYABLE_SEQ_GROWTH","FY 2018","FY 2018","Currency=INR","Period=FY","BEST_FPERIOD_OVERRIDE=FY","FILING_STATUS=OR","EQY_CONSOLIDATED=Y","Sort=A","Dates=H","DateFormat=P","Fill=—","Direction=H","UseDPDF=Y")</f>
        <v>#NAME?</v>
      </c>
      <c r="BS23" s="2" t="e">
        <f ca="1">_xll.BDH($C$3,"ST_DEBT_SEQUENTIAL_GROWTH","FY 2018","FY 2018","Currency=INR","Period=FY","BEST_FPERIOD_OVERRIDE=FY","FILING_STATUS=OR","EQY_CONSOLIDATED=Y","Sort=A","Dates=H","DateFormat=P","Fill=—","Direction=H","UseDPDF=Y")</f>
        <v>#NAME?</v>
      </c>
      <c r="BT23" s="2" t="e">
        <f ca="1">_xll.BDH($C$3,"TOTAL_DEBT_SEQUENTIAL_GROWTH","FY 2018","FY 2018","Currency=INR","Period=FY","BEST_FPERIOD_OVERRIDE=FY","FILING_STATUS=OR","EQY_CONSOLIDATED=Y","Sort=A","Dates=H","DateFormat=P","Fill=—","Direction=H","UseDPDF=Y")</f>
        <v>#NAME?</v>
      </c>
      <c r="BU23" s="2" t="e">
        <f ca="1">_xll.BDH($C$3,"TOTAL_EQUITY_SEQUENTIAL_GROWTH","FY 2018","FY 2018","Currency=INR","Period=FY","BEST_FPERIOD_OVERRIDE=FY","FILING_STATUS=OR","EQY_CONSOLIDATED=Y","Sort=A","Dates=H","DateFormat=P","Fill=—","Direction=H","UseDPDF=Y")</f>
        <v>#NAME?</v>
      </c>
      <c r="BV23" s="2" t="e">
        <f ca="1">_xll.BDH($C$3,"TOTAL_CAPITAL_SEQUENTIAL_GROWTH","FY 2018","FY 2018","Currency=INR","Period=FY","BEST_FPERIOD_OVERRIDE=FY","FILING_STATUS=OR","EQY_CONSOLIDATED=Y","Sort=A","Dates=H","DateFormat=P","Fill=—","Direction=H","UseDPDF=Y")</f>
        <v>#NAME?</v>
      </c>
      <c r="BW23" s="2" t="e">
        <f ca="1">_xll.BDH($C$3,"BPS_SEQUENTIAL_GROWTH","FY 2018","FY 2018","Currency=INR","Period=FY","BEST_FPERIOD_OVERRIDE=FY","FILING_STATUS=OR","EQY_CONSOLIDATED=Y","Sort=A","Dates=H","DateFormat=P","Fill=—","Direction=H","UseDPDF=Y")</f>
        <v>#NAME?</v>
      </c>
      <c r="BX23" s="2" t="e">
        <f ca="1">_xll.BDH($C$3,"CFO_SEQUENTIAL_GROWTH","FY 2018","FY 2018","Currency=INR","Period=FY","BEST_FPERIOD_OVERRIDE=FY","FILING_STATUS=OR","EQY_CONSOLIDATED=Y","Sort=A","Dates=H","DateFormat=P","Fill=—","Direction=H","UseDPDF=Y")</f>
        <v>#NAME?</v>
      </c>
      <c r="BY23" s="3" t="e">
        <f ca="1">_xll.BDH($C$3,"SHORT_AND_LONG_TERM_DEBT","FY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23" s="3" t="e">
        <f ca="1">_xll.BDH($C$3,"BS_ST_BORROW","FY 2018","FY 2018","Currency=INR","Period=FY","BEST_FPERIOD_OVERRIDE=FY","FILING_STATUS=OR","EQY_CONSOLIDATED=Y","SCALING_FORMAT=MLN","Sort=A","Dates=H","DateFormat=P","Fill=—","Direction=H","UseDPDF=Y")</f>
        <v>#NAME?</v>
      </c>
      <c r="CA23" s="3" t="e">
        <f ca="1">_xll.BDH($C$3,"BS_LT_BORROW","FY 2018","FY 2018","Currency=INR","Period=FY","BEST_FPERIOD_OVERRIDE=FY","FILING_STATUS=OR","EQY_CONSOLIDATED=Y","SCALING_FORMAT=MLN","Sort=A","Dates=H","DateFormat=P","Fill=—","Direction=H","UseDPDF=Y")</f>
        <v>#NAME?</v>
      </c>
      <c r="CB23" s="2" t="e">
        <f ca="1">_xll.BDH($C$3,"TOT_DEBT_TO_EBITDA","FY 2018","FY 2018","Currency=INR","Period=FY","BEST_FPERIOD_OVERRIDE=FY","FILING_STATUS=OR","EQY_CONSOLIDATED=Y","FA_ADJUSTED=GAAP","Sort=A","Dates=H","DateFormat=P","Fill=—","Direction=H","UseDPDF=Y")</f>
        <v>#NAME?</v>
      </c>
      <c r="CC23" s="2" t="e">
        <f ca="1">_xll.BDH($C$3,"NET_DEBT_TO_EBITDA","FY 2018","FY 2018","Currency=INR","Period=FY","BEST_FPERIOD_OVERRIDE=FY","FILING_STATUS=OR","EQY_CONSOLIDATED=Y","FA_ADJUSTED=GAAP","Sort=A","Dates=H","DateFormat=P","Fill=—","Direction=H","UseDPDF=Y")</f>
        <v>#NAME?</v>
      </c>
      <c r="CD23" s="2" t="e">
        <f ca="1">_xll.BDH($C$3,"TOTAL_DEBT_TO_EBIT","FY 2018","FY 2018","Currency=INR","Period=FY","BEST_FPERIOD_OVERRIDE=FY","FILING_STATUS=OR","EQY_CONSOLIDATED=Y","FA_ADJUSTED=GAAP","Sort=A","Dates=H","DateFormat=P","Fill=—","Direction=H","UseDPDF=Y")</f>
        <v>#NAME?</v>
      </c>
      <c r="CE23" s="2" t="e">
        <f ca="1">_xll.BDH($C$3,"NET_DEBT_TO_EBIT","FY 2018","FY 2018","Currency=INR","Period=FY","BEST_FPERIOD_OVERRIDE=FY","FILING_STATUS=OR","EQY_CONSOLIDATED=Y","FA_ADJUSTED=GAAP","Sort=A","Dates=H","DateFormat=P","Fill=—","Direction=H","UseDPDF=Y")</f>
        <v>#NAME?</v>
      </c>
      <c r="CF23" s="2" t="e">
        <f ca="1">_xll.BDH($C$3,"EBITDA_TO_INTEREST_EXPN","FY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23" s="2" t="e">
        <f ca="1">_xll.BDH($C$3,"COM_EQY_TO_TOT_ASSET","FY 2018","FY 2018","Currency=INR","Period=FY","BEST_FPERIOD_OVERRIDE=FY","FILING_STATUS=OR","EQY_CONSOLIDATED=Y","Sort=A","Dates=H","DateFormat=P","Fill=—","Direction=H","UseDPDF=Y")</f>
        <v>#NAME?</v>
      </c>
      <c r="CH23" s="2" t="e">
        <f ca="1">_xll.BDH($C$3,"LT_DEBT_TO_TOT_EQY","FY 2018","FY 2018","Currency=INR","Period=FY","BEST_FPERIOD_OVERRIDE=FY","FILING_STATUS=OR","EQY_CONSOLIDATED=Y","Sort=A","Dates=H","DateFormat=P","Fill=—","Direction=H","UseDPDF=Y")</f>
        <v>#NAME?</v>
      </c>
      <c r="CI23" s="2" t="e">
        <f ca="1">_xll.BDH($C$3,"LT_DEBT_TO_TOT_CAP","FY 2018","FY 2018","Currency=INR","Period=FY","BEST_FPERIOD_OVERRIDE=FY","FILING_STATUS=OR","EQY_CONSOLIDATED=Y","Sort=A","Dates=H","DateFormat=P","Fill=—","Direction=H","UseDPDF=Y")</f>
        <v>#NAME?</v>
      </c>
      <c r="CJ23" s="2" t="e">
        <f ca="1">_xll.BDH($C$3,"LT_DEBT_TO_TOT_ASSET","FY 2018","FY 2018","Currency=INR","Period=FY","BEST_FPERIOD_OVERRIDE=FY","FILING_STATUS=OR","EQY_CONSOLIDATED=Y","Sort=A","Dates=H","DateFormat=P","Fill=—","Direction=H","UseDPDF=Y")</f>
        <v>#NAME?</v>
      </c>
      <c r="CK23" s="2" t="e">
        <f ca="1">_xll.BDH($C$3,"TOT_DEBT_TO_TOT_EQY","FY 2018","FY 2018","Currency=INR","Period=FY","BEST_FPERIOD_OVERRIDE=FY","FILING_STATUS=OR","EQY_CONSOLIDATED=Y","Sort=A","Dates=H","DateFormat=P","Fill=—","Direction=H","UseDPDF=Y")</f>
        <v>#NAME?</v>
      </c>
      <c r="CL23" s="2" t="e">
        <f ca="1">_xll.BDH($C$3,"TOT_DEBT_TO_TOT_CAP","FY 2018","FY 2018","Currency=INR","Period=FY","BEST_FPERIOD_OVERRIDE=FY","FILING_STATUS=OR","EQY_CONSOLIDATED=Y","Sort=A","Dates=H","DateFormat=P","Fill=—","Direction=H","UseDPDF=Y")</f>
        <v>#NAME?</v>
      </c>
      <c r="CM23" s="2" t="e">
        <f ca="1">_xll.BDH($C$3,"TOT_DEBT_TO_TOT_ASSET","FY 2018","FY 2018","Currency=INR","Period=FY","BEST_FPERIOD_OVERRIDE=FY","FILING_STATUS=OR","EQY_CONSOLIDATED=Y","Sort=A","Dates=H","DateFormat=P","Fill=—","Direction=H","UseDPDF=Y")</f>
        <v>#NAME?</v>
      </c>
      <c r="CN23" s="2" t="e">
        <f ca="1">_xll.BDH($C$3,"NET_DEBT_TO_SHRHLDR_EQTY","FY 2018","FY 2018","Currency=INR","Period=FY","BEST_FPERIOD_OVERRIDE=FY","FILING_STATUS=OR","EQY_CONSOLIDATED=Y","Sort=A","Dates=H","DateFormat=P","Fill=—","Direction=H","UseDPDF=Y")</f>
        <v>#NAME?</v>
      </c>
      <c r="CO23" s="2" t="e">
        <f ca="1">_xll.BDH($C$3,"NET_DEBT_%_CAPITAL","FY 2018","FY 2018","Currency=INR","Period=FY","BEST_FPERIOD_OVERRIDE=FY","FILING_STATUS=OR","EQY_CONSOLIDATED=Y","Sort=A","Dates=H","DateFormat=P","Fill=—","Direction=H","UseDPDF=Y")</f>
        <v>#NAME?</v>
      </c>
      <c r="CP23" s="3" t="e">
        <f ca="1">_xll.BDH($C$3,"EBITDA","FY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23" s="3" t="e">
        <f ca="1">_xll.BDH($C$3,"EBITDA_AFTER_CAPEX","FY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23" s="3" t="e">
        <f ca="1">_xll.BDH($C$3,"IS_OPER_INC","FY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23" s="2" t="e">
        <f ca="1">_xll.BDH($C$3,"CASH_RATIO","FY 2018","FY 2018","Currency=INR","Period=FY","BEST_FPERIOD_OVERRIDE=FY","FILING_STATUS=OR","EQY_CONSOLIDATED=Y","Sort=A","Dates=H","DateFormat=P","Fill=—","Direction=H","UseDPDF=Y")</f>
        <v>#NAME?</v>
      </c>
      <c r="CT23" s="2" t="e">
        <f ca="1">_xll.BDH($C$3,"CUR_RATIO","FY 2018","FY 2018","Currency=INR","Period=FY","BEST_FPERIOD_OVERRIDE=FY","FILING_STATUS=OR","EQY_CONSOLIDATED=Y","Sort=A","Dates=H","DateFormat=P","Fill=—","Direction=H","UseDPDF=Y")</f>
        <v>#NAME?</v>
      </c>
      <c r="CU23" s="2" t="e">
        <f ca="1">_xll.BDH($C$3,"QUICK_RATIO","FY 2018","FY 2018","Currency=INR","Period=FY","BEST_FPERIOD_OVERRIDE=FY","FILING_STATUS=OR","EQY_CONSOLIDATED=Y","Sort=A","Dates=H","DateFormat=P","Fill=—","Direction=H","UseDPDF=Y")</f>
        <v>#NAME?</v>
      </c>
      <c r="CV23" s="2" t="e">
        <f ca="1">_xll.BDH($C$3,"ALTMAN_Z_SCORE","FY 2018","FY 2018","Currency=INR","Period=FY","BEST_FPERIOD_OVERRIDE=FY","FILING_STATUS=OR","EQY_CONSOLIDATED=Y","Sort=A","Dates=H","DateFormat=P","Fill=—","Direction=H","UseDPDF=Y")</f>
        <v>#NAME?</v>
      </c>
      <c r="CW23" s="4" t="e">
        <f ca="1">_xll.BDH($C$3,"ACCT_RCV_TURN","FY 2018","FY 2018","Currency=INR","Period=FY","BEST_FPERIOD_OVERRIDE=FY","FILING_STATUS=OR","EQY_CONSOLIDATED=Y","FA_ADJUSTED=GAAP","Sort=A","Dates=H","DateFormat=P","Fill=—","Direction=H","UseDPDF=Y")</f>
        <v>#NAME?</v>
      </c>
      <c r="CX23" s="2" t="e">
        <f ca="1">_xll.BDH($C$3,"ACCT_RCV_DAYS","FY 2018","FY 2018","Currency=INR","Period=FY","BEST_FPERIOD_OVERRIDE=FY","FILING_STATUS=OR","EQY_CONSOLIDATED=Y","FA_ADJUSTED=GAAP","Sort=A","Dates=H","DateFormat=P","Fill=—","Direction=H","UseDPDF=Y")</f>
        <v>#NAME?</v>
      </c>
      <c r="CY23" s="4" t="e">
        <f ca="1">_xll.BDH($C$3,"INVENT_TURN","FY 2018","FY 2018","Currency=INR","Period=FY","BEST_FPERIOD_OVERRIDE=FY","FILING_STATUS=OR","EQY_CONSOLIDATED=Y","FA_ADJUSTED=GAAP","Sort=A","Dates=H","DateFormat=P","Fill=—","Direction=H","UseDPDF=Y")</f>
        <v>#NAME?</v>
      </c>
      <c r="CZ23" s="2" t="e">
        <f ca="1">_xll.BDH($C$3,"INVENT_DAYS","FY 2018","FY 2018","Currency=INR","Period=FY","BEST_FPERIOD_OVERRIDE=FY","FILING_STATUS=OR","EQY_CONSOLIDATED=Y","FA_ADJUSTED=GAAP","Sort=A","Dates=H","DateFormat=P","Fill=—","Direction=H","UseDPDF=Y")</f>
        <v>#NAME?</v>
      </c>
      <c r="DA23" s="4" t="e">
        <f ca="1">_xll.BDH($C$3,"ACCOUNTS_PAYABLE_TURNOVER","FY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23" s="2" t="e">
        <f ca="1">_xll.BDH($C$3,"ACCOUNTS_PAYABLE_TURNOVER_DAYS","FY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23" s="4" t="e">
        <f ca="1">_xll.BDH($C$3,"CASH_CONVERSION_CYCLE","FY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23" s="4" t="e">
        <f ca="1">_xll.BDH($C$3,"INV_TO_CASH_DAYS","FY 2018","FY 2018","Currency=INR","Period=FY","BEST_FPERIOD_OVERRIDE=FY","FILING_STATUS=OR","EQY_CONSOLIDATED=Y","FA_ADJUSTED=GAAP","Sort=A","Dates=H","DateFormat=P","Fill=—","Direction=H","UseDPDF=Y")</f>
        <v>#NAME?</v>
      </c>
      <c r="DE23" s="5" t="e">
        <f ca="1">_xll.BDH($C$3,"BS_INVENTORIES","FY 2018","FY 2018","Currency=INR","Period=FY","BEST_FPERIOD_OVERRIDE=FY","FILING_STATUS=OR","EQY_CONSOLIDATED=Y","SCALING_FORMAT=MLN","Sort=A","Dates=H","DateFormat=P","Fill=—","Direction=H","UseDPDF=Y")</f>
        <v>#NAME?</v>
      </c>
      <c r="DF23" s="3" t="e">
        <f ca="1">_xll.BDH($C$3,"INVTRY_RAW_MATERIALS","FY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23" s="3" t="e">
        <f ca="1">_xll.BDH($C$3,"INVTRY_IN_PROGRESS","FY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23" s="3" t="e">
        <f ca="1">_xll.BDH($C$3,"INVTRY_FINISHED_GOODS","FY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23" s="3" t="e">
        <f ca="1">_xll.BDH($C$3,"BS_OTHER_INV","FY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24" spans="1:113" x14ac:dyDescent="0.3">
      <c r="A24" s="6"/>
      <c r="B24" s="6"/>
      <c r="C24" s="6"/>
      <c r="D24" s="6"/>
      <c r="E24" t="s">
        <v>78</v>
      </c>
      <c r="F24" t="e">
        <f ca="1">_xll.BDH($C$3,"RETURN_COM_EQY","FQ1 2018","FQ1 2018","Currency=INR","Period=FQ","BEST_FPERIOD_OVERRIDE=FQ","FILING_STATUS=OR","EQY_CONSOLIDATED=Y","FA_ADJUSTED=GAAP","Sort=A","Dates=H","DateFormat=P","Fill=—","Direction=H","UseDPDF=Y")</f>
        <v>#NAME?</v>
      </c>
      <c r="G24" t="e">
        <f ca="1">_xll.BDH($C$3,"RETURN_ON_ASSET","FQ1 2018","FQ1 2018","Currency=INR","Period=FQ","BEST_FPERIOD_OVERRIDE=FQ","FILING_STATUS=OR","EQY_CONSOLIDATED=Y","FA_ADJUSTED=GAAP","Sort=A","Dates=H","DateFormat=P","Fill=—","Direction=H","UseDPDF=Y")</f>
        <v>#NAME?</v>
      </c>
      <c r="H24" t="e">
        <f ca="1">_xll.BDH($C$3,"RETURN_ON_CAP","FQ1 2018","FQ1 2018","Currency=INR","Period=FQ","BEST_FPERIOD_OVERRIDE=FQ","FILING_STATUS=OR","EQY_CONSOLIDATED=Y","FA_ADJUSTED=GAAP","Sort=A","Dates=H","DateFormat=P","Fill=—","Direction=H","UseDPDF=Y")</f>
        <v>#NAME?</v>
      </c>
      <c r="I24" t="e">
        <f ca="1">_xll.BDH($C$3,"RETURN_ON_INV_CAPITAL","FQ1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24" t="e">
        <f ca="1">_xll.BDH($C$3,"EBITDA_TO_REVENUE","FQ1 2018","FQ1 2018","Currency=INR","Period=FQ","BEST_FPERIOD_OVERRIDE=FQ","FILING_STATUS=OR","EQY_CONSOLIDATED=Y","FA_ADJUSTED=GAAP","Sort=A","Dates=H","DateFormat=P","Fill=—","Direction=H","UseDPDF=Y")</f>
        <v>#NAME?</v>
      </c>
      <c r="K24" t="e">
        <f ca="1">_xll.BDH($C$3,"OPER_MARGIN","FQ1 2018","FQ1 2018","Currency=INR","Period=FQ","BEST_FPERIOD_OVERRIDE=FQ","FILING_STATUS=OR","EQY_CONSOLIDATED=Y","FA_ADJUSTED=GAAP","Sort=A","Dates=H","DateFormat=P","Fill=—","Direction=H","UseDPDF=Y")</f>
        <v>#NAME?</v>
      </c>
      <c r="L24" t="e">
        <f ca="1">_xll.BDH($C$3,"INCREMENTAL_OPERATING_MARGIN","FQ1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24" t="e">
        <f ca="1">_xll.BDH($C$3,"PRETAX_INC_TO_NET_SALES","FQ1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24" t="e">
        <f ca="1">_xll.BDH($C$3,"INC_BEF_XO_ITEMS_TO_NET_SALES","FQ1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24" t="e">
        <f ca="1">_xll.BDH($C$3,"PROF_MARGIN","FQ1 2018","FQ1 2018","Currency=INR","Period=FQ","BEST_FPERIOD_OVERRIDE=FQ","FILING_STATUS=OR","EQY_CONSOLIDATED=Y","FA_ADJUSTED=GAAP","Sort=A","Dates=H","DateFormat=P","Fill=—","Direction=H","UseDPDF=Y")</f>
        <v>#NAME?</v>
      </c>
      <c r="P24" t="e">
        <f ca="1">_xll.BDH($C$3,"NET_INCOME_TO_COMMON_MARGIN","FQ1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24" t="e">
        <f ca="1">_xll.BDH($C$3,"EFF_TAX_RATE","FQ1 2018","FQ1 2018","Currency=INR","Period=FQ","BEST_FPERIOD_OVERRIDE=FQ","FILING_STATUS=OR","EQY_CONSOLIDATED=Y","FA_ADJUSTED=GAAP","Sort=A","Dates=H","DateFormat=P","Fill=—","Direction=H","UseDPDF=Y")</f>
        <v>#NAME?</v>
      </c>
      <c r="R24" t="e">
        <f ca="1">_xll.BDH($C$3,"DVD_PAYOUT_RATIO","FQ1 2018","FQ1 2018","Currency=INR","Period=FQ","BEST_FPERIOD_OVERRIDE=FQ","FILING_STATUS=OR","EQY_CONSOLIDATED=Y","FA_ADJUSTED=GAAP","Sort=A","Dates=H","DateFormat=P","Fill=—","Direction=H","UseDPDF=Y")</f>
        <v>#NAME?</v>
      </c>
      <c r="S24" t="e">
        <f ca="1">_xll.BDH($C$3,"SUSTAIN_GROWTH_RT","FQ1 2018","FQ1 2018","Currency=INR","Period=FQ","BEST_FPERIOD_OVERRIDE=FQ","FILING_STATUS=OR","EQY_CONSOLIDATED=Y","FA_ADJUSTED=GAAP","Sort=A","Dates=H","DateFormat=P","Fill=—","Direction=H","UseDPDF=Y")</f>
        <v>#NAME?</v>
      </c>
      <c r="T24" s="2" t="e">
        <f ca="1">_xll.BDH($C$3,"SALES_GROWTH","FQ1 2018","FQ1 2018","Currency=INR","Period=FQ","BEST_FPERIOD_OVERRIDE=FQ","FILING_STATUS=OR","EQY_CONSOLIDATED=Y","FA_ADJUSTED=GAAP","Sort=A","Dates=H","DateFormat=P","Fill=—","Direction=H","UseDPDF=Y")</f>
        <v>#NAME?</v>
      </c>
      <c r="U24" s="2" t="e">
        <f ca="1">_xll.BDH($C$3,"EBITDA_GROWTH","FQ1 2018","FQ1 2018","Currency=INR","Period=FQ","BEST_FPERIOD_OVERRIDE=FQ","FILING_STATUS=OR","EQY_CONSOLIDATED=Y","FA_ADJUSTED=GAAP","Sort=A","Dates=H","DateFormat=P","Fill=—","Direction=H","UseDPDF=Y")</f>
        <v>#NAME?</v>
      </c>
      <c r="V24" s="2" t="e">
        <f ca="1">_xll.BDH($C$3,"OPER_INC_GROWTH","FQ1 2018","FQ1 2018","Currency=INR","Period=FQ","BEST_FPERIOD_OVERRIDE=FQ","FILING_STATUS=OR","EQY_CONSOLIDATED=Y","FA_ADJUSTED=GAAP","Sort=A","Dates=H","DateFormat=P","Fill=—","Direction=H","UseDPDF=Y")</f>
        <v>#NAME?</v>
      </c>
      <c r="W24" s="2" t="e">
        <f ca="1">_xll.BDH($C$3,"EARN_FOR_COM_GROWTH","FQ1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24" s="2" t="e">
        <f ca="1">_xll.BDH($C$3,"DILUTED_EPS_AFT_XO_ITEMS_GROWTH","FQ1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24" s="2" t="e">
        <f ca="1">_xll.BDH($C$3,"DIVIDEND_PER_SHARE_1_YEAR_GROWTH","FQ1 2018","FQ1 2018","Currency=INR","Period=FQ","BEST_FPERIOD_OVERRIDE=FQ","FILING_STATUS=OR","EQY_CONSOLIDATED=Y","Sort=A","Dates=H","DateFormat=P","Fill=—","Direction=H","UseDPDF=Y")</f>
        <v>#NAME?</v>
      </c>
      <c r="Z24" s="2" t="e">
        <f ca="1">_xll.BDH($C$3,"ACCOUNTS_RECEIVABLE_GROWTH","FQ1 2018","FQ1 2018","Currency=INR","Period=FQ","BEST_FPERIOD_OVERRIDE=FQ","FILING_STATUS=OR","EQY_CONSOLIDATED=Y","Sort=A","Dates=H","DateFormat=P","Fill=—","Direction=H","UseDPDF=Y")</f>
        <v>#NAME?</v>
      </c>
      <c r="AA24" s="2" t="e">
        <f ca="1">_xll.BDH($C$3,"INVENTORY_GROWTH","FQ1 2018","FQ1 2018","Currency=INR","Period=FQ","BEST_FPERIOD_OVERRIDE=FQ","FILING_STATUS=OR","EQY_CONSOLIDATED=Y","Sort=A","Dates=H","DateFormat=P","Fill=—","Direction=H","UseDPDF=Y")</f>
        <v>#NAME?</v>
      </c>
      <c r="AB24" s="2" t="e">
        <f ca="1">_xll.BDH($C$3,"NET_FIXED_ASSETS_1_YEAR_GROWTH","FQ1 2018","FQ1 2018","Currency=INR","Period=FQ","BEST_FPERIOD_OVERRIDE=FQ","FILING_STATUS=OR","EQY_CONSOLIDATED=Y","Sort=A","Dates=H","DateFormat=P","Fill=—","Direction=H","UseDPDF=Y")</f>
        <v>#NAME?</v>
      </c>
      <c r="AC24" s="2" t="e">
        <f ca="1">_xll.BDH($C$3,"ASSET_GROWTH","FQ1 2018","FQ1 2018","Currency=INR","Period=FQ","BEST_FPERIOD_OVERRIDE=FQ","FILING_STATUS=OR","EQY_CONSOLIDATED=Y","Sort=A","Dates=H","DateFormat=P","Fill=—","Direction=H","UseDPDF=Y")</f>
        <v>#NAME?</v>
      </c>
      <c r="AD24" s="2" t="e">
        <f ca="1">_xll.BDH($C$3,"MODIFIED_WORK_CAP_GROWTH","FQ1 2018","FQ1 2018","Currency=INR","Period=FQ","BEST_FPERIOD_OVERRIDE=FQ","FILING_STATUS=OR","EQY_CONSOLIDATED=Y","Sort=A","Dates=H","DateFormat=P","Fill=—","Direction=H","UseDPDF=Y")</f>
        <v>#NAME?</v>
      </c>
      <c r="AE24" s="2" t="e">
        <f ca="1">_xll.BDH($C$3,"WORK_CAP_GROWTH","FQ1 2018","FQ1 2018","Currency=INR","Period=FQ","BEST_FPERIOD_OVERRIDE=FQ","FILING_STATUS=OR","EQY_CONSOLIDATED=Y","Sort=A","Dates=H","DateFormat=P","Fill=—","Direction=H","UseDPDF=Y")</f>
        <v>#NAME?</v>
      </c>
      <c r="AF24" s="2" t="e">
        <f ca="1">_xll.BDH($C$3,"ACCOUNTS_PAYABLE_GROWTH_1YR","FQ1 2018","FQ1 2018","Currency=INR","Period=FQ","BEST_FPERIOD_OVERRIDE=FQ","FILING_STATUS=OR","EQY_CONSOLIDATED=Y","Sort=A","Dates=H","DateFormat=P","Fill=—","Direction=H","UseDPDF=Y")</f>
        <v>#NAME?</v>
      </c>
      <c r="AG24" s="2" t="e">
        <f ca="1">_xll.BDH($C$3,"SHORT_TERM_DEBT_1_YEAR_GROWTH","FQ1 2018","FQ1 2018","Currency=INR","Period=FQ","BEST_FPERIOD_OVERRIDE=FQ","FILING_STATUS=OR","EQY_CONSOLIDATED=Y","Sort=A","Dates=H","DateFormat=P","Fill=—","Direction=H","UseDPDF=Y")</f>
        <v>#NAME?</v>
      </c>
      <c r="AH24" s="2" t="e">
        <f ca="1">_xll.BDH($C$3,"TOTAL_DEBT_1_YEAR_GROWTH","FQ1 2018","FQ1 2018","Currency=INR","Period=FQ","BEST_FPERIOD_OVERRIDE=FQ","FILING_STATUS=OR","EQY_CONSOLIDATED=Y","Sort=A","Dates=H","DateFormat=P","Fill=—","Direction=H","UseDPDF=Y")</f>
        <v>#NAME?</v>
      </c>
      <c r="AI24" s="2" t="e">
        <f ca="1">_xll.BDH($C$3,"TOTAL_EQUITY_1_YEAR_GROWTH","FQ1 2018","FQ1 2018","Currency=INR","Period=FQ","BEST_FPERIOD_OVERRIDE=FQ","FILING_STATUS=OR","EQY_CONSOLIDATED=Y","Sort=A","Dates=H","DateFormat=P","Fill=—","Direction=H","UseDPDF=Y")</f>
        <v>#NAME?</v>
      </c>
      <c r="AJ24" s="2" t="e">
        <f ca="1">_xll.BDH($C$3,"GROWTH_IN_CAP","FQ1 2018","FQ1 2018","Currency=INR","Period=FQ","BEST_FPERIOD_OVERRIDE=FQ","FILING_STATUS=OR","EQY_CONSOLIDATED=Y","Sort=A","Dates=H","DateFormat=P","Fill=—","Direction=H","UseDPDF=Y")</f>
        <v>#NAME?</v>
      </c>
      <c r="AK24" s="2" t="e">
        <f ca="1">_xll.BDH($C$3,"BVPS_GROWTH","FQ1 2018","FQ1 2018","Currency=INR","Period=FQ","BEST_FPERIOD_OVERRIDE=FQ","FILING_STATUS=OR","EQY_CONSOLIDATED=Y","Sort=A","Dates=H","DateFormat=P","Fill=—","Direction=H","UseDPDF=Y")</f>
        <v>#NAME?</v>
      </c>
      <c r="AL24" s="2" t="e">
        <f ca="1">_xll.BDH($C$3,"CASH_FLOW_GROWTH","FQ1 2018","FQ1 2018","Currency=INR","Period=FQ","BEST_FPERIOD_OVERRIDE=FQ","FILING_STATUS=OR","EQY_CONSOLIDATED=Y","Sort=A","Dates=H","DateFormat=P","Fill=—","Direction=H","UseDPDF=Y")</f>
        <v>#NAME?</v>
      </c>
      <c r="AM24" s="2" t="e">
        <f ca="1">_xll.BDH($C$3,"GEO_GROW_NET_SALES","FQ1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24" s="2" t="e">
        <f ca="1">_xll.BDH($C$3,"GEO_GROW_EBITDA","FQ1 2018","FQ1 2018","Currency=INR","Period=FQ","BEST_FPERIOD_OVERRIDE=FQ","FILING_STATUS=OR","EQY_CONSOLIDATED=Y","FA_ADJUSTED=GAAP","Sort=A","Dates=H","DateFormat=P","Fill=—","Direction=H","UseDPDF=Y")</f>
        <v>#NAME?</v>
      </c>
      <c r="AO24" s="2" t="e">
        <f ca="1">_xll.BDH($C$3,"GEO_GROW_OPER_INC","FQ1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24" s="2" t="e">
        <f ca="1">_xll.BDH($C$3,"NET_INCOME_TO_COMMON_5_YR_GROWTH","FQ1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24" s="2" t="e">
        <f ca="1">_xll.BDH($C$3,"5Y_GEO_GROWTH_DILUTED_EPS","FQ1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24" s="2" t="e">
        <f ca="1">_xll.BDH($C$3,"GEO_GROW_DVD_PER_SH","FQ1 2018","FQ1 2018","Currency=INR","Period=FQ","BEST_FPERIOD_OVERRIDE=FQ","FILING_STATUS=OR","EQY_CONSOLIDATED=Y","Sort=A","Dates=H","DateFormat=P","Fill=—","Direction=H","UseDPDF=Y")</f>
        <v>#NAME?</v>
      </c>
      <c r="AS24" s="2" t="e">
        <f ca="1">_xll.BDH($C$3,"ACCOUNTS_RECEIVABLE_5_YR_GROWTH","FQ1 2018","FQ1 2018","Currency=INR","Period=FQ","BEST_FPERIOD_OVERRIDE=FQ","FILING_STATUS=OR","EQY_CONSOLIDATED=Y","Sort=A","Dates=H","DateFormat=P","Fill=—","Direction=H","UseDPDF=Y")</f>
        <v>#NAME?</v>
      </c>
      <c r="AT24" s="2" t="e">
        <f ca="1">_xll.BDH($C$3,"INVENTORY_5_YEAR_GROWTH","FQ1 2018","FQ1 2018","Currency=INR","Period=FQ","BEST_FPERIOD_OVERRIDE=FQ","FILING_STATUS=OR","EQY_CONSOLIDATED=Y","Sort=A","Dates=H","DateFormat=P","Fill=—","Direction=H","UseDPDF=Y")</f>
        <v>#NAME?</v>
      </c>
      <c r="AU24" s="2" t="e">
        <f ca="1">_xll.BDH($C$3,"NET_FIXED_ASSETS_5_YEAR_GROWTH","FQ1 2018","FQ1 2018","Currency=INR","Period=FQ","BEST_FPERIOD_OVERRIDE=FQ","FILING_STATUS=OR","EQY_CONSOLIDATED=Y","Sort=A","Dates=H","DateFormat=P","Fill=—","Direction=H","UseDPDF=Y")</f>
        <v>#NAME?</v>
      </c>
      <c r="AV24" s="2" t="e">
        <f ca="1">_xll.BDH($C$3,"GEO_GROW_TOT_ASSET","FQ1 2018","FQ1 2018","Currency=INR","Period=FQ","BEST_FPERIOD_OVERRIDE=FQ","FILING_STATUS=OR","EQY_CONSOLIDATED=Y","Sort=A","Dates=H","DateFormat=P","Fill=—","Direction=H","UseDPDF=Y")</f>
        <v>#NAME?</v>
      </c>
      <c r="AW24" s="2" t="e">
        <f ca="1">_xll.BDH($C$3,"MODIFIED_WORKING_CPTL_5YR_GRWTH","FQ1 2018","FQ1 2018","Currency=INR","Period=FQ","BEST_FPERIOD_OVERRIDE=FQ","FILING_STATUS=OR","EQY_CONSOLIDATED=Y","Sort=A","Dates=H","DateFormat=P","Fill=—","Direction=H","UseDPDF=Y")</f>
        <v>#NAME?</v>
      </c>
      <c r="AX24" s="2" t="e">
        <f ca="1">_xll.BDH($C$3,"WORKING_CAPITAL_5_YEAR_GROWTH","FQ1 2018","FQ1 2018","Currency=INR","Period=FQ","BEST_FPERIOD_OVERRIDE=FQ","FILING_STATUS=OR","EQY_CONSOLIDATED=Y","Sort=A","Dates=H","DateFormat=P","Fill=—","Direction=H","UseDPDF=Y")</f>
        <v>#NAME?</v>
      </c>
      <c r="AY24" s="2" t="e">
        <f ca="1">_xll.BDH($C$3,"ACCOUNTS_PAYABLE_5_YEAR_GROWTH","FQ1 2018","FQ1 2018","Currency=INR","Period=FQ","BEST_FPERIOD_OVERRIDE=FQ","FILING_STATUS=OR","EQY_CONSOLIDATED=Y","Sort=A","Dates=H","DateFormat=P","Fill=—","Direction=H","UseDPDF=Y")</f>
        <v>#NAME?</v>
      </c>
      <c r="AZ24" s="2" t="e">
        <f ca="1">_xll.BDH($C$3,"SHORT_TERM_DEBT_5_YEAR_GROWTH","FQ1 2018","FQ1 2018","Currency=INR","Period=FQ","BEST_FPERIOD_OVERRIDE=FQ","FILING_STATUS=OR","EQY_CONSOLIDATED=Y","Sort=A","Dates=H","DateFormat=P","Fill=—","Direction=H","UseDPDF=Y")</f>
        <v>#NAME?</v>
      </c>
      <c r="BA24" s="2" t="e">
        <f ca="1">_xll.BDH($C$3,"TOTAL_DEBT_5_YEAR_GROWTH","FQ1 2018","FQ1 2018","Currency=INR","Period=FQ","BEST_FPERIOD_OVERRIDE=FQ","FILING_STATUS=OR","EQY_CONSOLIDATED=Y","Sort=A","Dates=H","DateFormat=P","Fill=—","Direction=H","UseDPDF=Y")</f>
        <v>#NAME?</v>
      </c>
      <c r="BB24" s="2" t="e">
        <f ca="1">_xll.BDH($C$3,"GEO_GROW_TOT_SHRHLDR_EQY","FQ1 2018","FQ1 2018","Currency=INR","Period=FQ","BEST_FPERIOD_OVERRIDE=FQ","FILING_STATUS=OR","EQY_CONSOLIDATED=Y","Sort=A","Dates=H","DateFormat=P","Fill=—","Direction=H","UseDPDF=Y")</f>
        <v>#NAME?</v>
      </c>
      <c r="BC24" s="2" t="e">
        <f ca="1">_xll.BDH($C$3,"TOTAL_CAPITAL_5_YEAR_GROWTH","FQ1 2018","FQ1 2018","Currency=INR","Period=FQ","BEST_FPERIOD_OVERRIDE=FQ","FILING_STATUS=OR","EQY_CONSOLIDATED=Y","Sort=A","Dates=H","DateFormat=P","Fill=—","Direction=H","UseDPDF=Y")</f>
        <v>#NAME?</v>
      </c>
      <c r="BD24" s="2" t="e">
        <f ca="1">_xll.BDH($C$3,"GEO_GROW_BOOK_VAL","FQ1 2018","FQ1 2018","Currency=INR","Period=FQ","BEST_FPERIOD_OVERRIDE=FQ","FILING_STATUS=OR","EQY_CONSOLIDATED=Y","Sort=A","Dates=H","DateFormat=P","Fill=—","Direction=H","UseDPDF=Y")</f>
        <v>#NAME?</v>
      </c>
      <c r="BE24" s="2" t="e">
        <f ca="1">_xll.BDH($C$3,"GEO_GROW_CASH_OPER_ACT","FQ1 2018","FQ1 2018","Currency=INR","Period=FQ","BEST_FPERIOD_OVERRIDE=FQ","FILING_STATUS=OR","EQY_CONSOLIDATED=Y","Sort=A","Dates=H","DateFormat=P","Fill=—","Direction=H","UseDPDF=Y")</f>
        <v>#NAME?</v>
      </c>
      <c r="BF24" s="2" t="e">
        <f ca="1">_xll.BDH($C$3,"REVENUE_SEQUENTIAL_GROWTH","FQ1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24" s="2" t="e">
        <f ca="1">_xll.BDH($C$3,"EBITDA_SEQUENTIAL_GROWTH","FQ1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24" s="2" t="e">
        <f ca="1">_xll.BDH($C$3,"OPERATING_INCOME_SEQ_GROWTH","FQ1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24" s="2" t="e">
        <f ca="1">_xll.BDH($C$3,"NET_INCOME_TO_COMMON_SEQ_GROWTH","FQ1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24" s="2" t="e">
        <f ca="1">_xll.BDH($C$3,"EPS_DILUTED_SEQUENTIAL_GROWTH","FQ1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24" s="2" t="e">
        <f ca="1">_xll.BDH($C$3,"DPS_SEQUENTIAL_GROWTH","FQ1 2018","FQ1 2018","Currency=INR","Period=FQ","BEST_FPERIOD_OVERRIDE=FQ","FILING_STATUS=OR","EQY_CONSOLIDATED=Y","Sort=A","Dates=H","DateFormat=P","Fill=—","Direction=H","UseDPDF=Y")</f>
        <v>#NAME?</v>
      </c>
      <c r="BL24" s="2" t="e">
        <f ca="1">_xll.BDH($C$3,"ACCOUNTS_RECEIVABLE_SEQ_GROWTH","FQ1 2018","FQ1 2018","Currency=INR","Period=FQ","BEST_FPERIOD_OVERRIDE=FQ","FILING_STATUS=OR","EQY_CONSOLIDATED=Y","Sort=A","Dates=H","DateFormat=P","Fill=—","Direction=H","UseDPDF=Y")</f>
        <v>#NAME?</v>
      </c>
      <c r="BM24" s="2" t="e">
        <f ca="1">_xll.BDH($C$3,"INVENTORY_SEQUENTIAL_GROWTH","FQ1 2018","FQ1 2018","Currency=INR","Period=FQ","BEST_FPERIOD_OVERRIDE=FQ","FILING_STATUS=OR","EQY_CONSOLIDATED=Y","Sort=A","Dates=H","DateFormat=P","Fill=—","Direction=H","UseDPDF=Y")</f>
        <v>#NAME?</v>
      </c>
      <c r="BN24" s="2" t="e">
        <f ca="1">_xll.BDH($C$3,"FIXED_ASSETS_SEQUENTIAL_GROWTH","FQ1 2018","FQ1 2018","Currency=INR","Period=FQ","BEST_FPERIOD_OVERRIDE=FQ","FILING_STATUS=OR","EQY_CONSOLIDATED=Y","Sort=A","Dates=H","DateFormat=P","Fill=—","Direction=H","UseDPDF=Y")</f>
        <v>#NAME?</v>
      </c>
      <c r="BO24" s="2" t="e">
        <f ca="1">_xll.BDH($C$3,"TOTAL_ASSETS_SEQUENTIAL_GROWTH","FQ1 2018","FQ1 2018","Currency=INR","Period=FQ","BEST_FPERIOD_OVERRIDE=FQ","FILING_STATUS=OR","EQY_CONSOLIDATED=Y","Sort=A","Dates=H","DateFormat=P","Fill=—","Direction=H","UseDPDF=Y")</f>
        <v>#NAME?</v>
      </c>
      <c r="BP24" s="2" t="e">
        <f ca="1">_xll.BDH($C$3,"MODIFIED_WORKING_CPTL_SEQ_GRWTH","FQ1 2018","FQ1 2018","Currency=INR","Period=FQ","BEST_FPERIOD_OVERRIDE=FQ","FILING_STATUS=OR","EQY_CONSOLIDATED=Y","Sort=A","Dates=H","DateFormat=P","Fill=—","Direction=H","UseDPDF=Y")</f>
        <v>#NAME?</v>
      </c>
      <c r="BQ24" s="2" t="e">
        <f ca="1">_xll.BDH($C$3,"WORKING_CAPITAL_SEQ_GROWTH","FQ1 2018","FQ1 2018","Currency=INR","Period=FQ","BEST_FPERIOD_OVERRIDE=FQ","FILING_STATUS=OR","EQY_CONSOLIDATED=Y","Sort=A","Dates=H","DateFormat=P","Fill=—","Direction=H","UseDPDF=Y")</f>
        <v>#NAME?</v>
      </c>
      <c r="BR24" s="2" t="e">
        <f ca="1">_xll.BDH($C$3,"ACCOUNTS_PAYABLE_SEQ_GROWTH","FQ1 2018","FQ1 2018","Currency=INR","Period=FQ","BEST_FPERIOD_OVERRIDE=FQ","FILING_STATUS=OR","EQY_CONSOLIDATED=Y","Sort=A","Dates=H","DateFormat=P","Fill=—","Direction=H","UseDPDF=Y")</f>
        <v>#NAME?</v>
      </c>
      <c r="BS24" s="2" t="e">
        <f ca="1">_xll.BDH($C$3,"ST_DEBT_SEQUENTIAL_GROWTH","FQ1 2018","FQ1 2018","Currency=INR","Period=FQ","BEST_FPERIOD_OVERRIDE=FQ","FILING_STATUS=OR","EQY_CONSOLIDATED=Y","Sort=A","Dates=H","DateFormat=P","Fill=—","Direction=H","UseDPDF=Y")</f>
        <v>#NAME?</v>
      </c>
      <c r="BT24" s="2" t="e">
        <f ca="1">_xll.BDH($C$3,"TOTAL_DEBT_SEQUENTIAL_GROWTH","FQ1 2018","FQ1 2018","Currency=INR","Period=FQ","BEST_FPERIOD_OVERRIDE=FQ","FILING_STATUS=OR","EQY_CONSOLIDATED=Y","Sort=A","Dates=H","DateFormat=P","Fill=—","Direction=H","UseDPDF=Y")</f>
        <v>#NAME?</v>
      </c>
      <c r="BU24" s="2" t="e">
        <f ca="1">_xll.BDH($C$3,"TOTAL_EQUITY_SEQUENTIAL_GROWTH","FQ1 2018","FQ1 2018","Currency=INR","Period=FQ","BEST_FPERIOD_OVERRIDE=FQ","FILING_STATUS=OR","EQY_CONSOLIDATED=Y","Sort=A","Dates=H","DateFormat=P","Fill=—","Direction=H","UseDPDF=Y")</f>
        <v>#NAME?</v>
      </c>
      <c r="BV24" s="2" t="e">
        <f ca="1">_xll.BDH($C$3,"TOTAL_CAPITAL_SEQUENTIAL_GROWTH","FQ1 2018","FQ1 2018","Currency=INR","Period=FQ","BEST_FPERIOD_OVERRIDE=FQ","FILING_STATUS=OR","EQY_CONSOLIDATED=Y","Sort=A","Dates=H","DateFormat=P","Fill=—","Direction=H","UseDPDF=Y")</f>
        <v>#NAME?</v>
      </c>
      <c r="BW24" s="2" t="e">
        <f ca="1">_xll.BDH($C$3,"BPS_SEQUENTIAL_GROWTH","FQ1 2018","FQ1 2018","Currency=INR","Period=FQ","BEST_FPERIOD_OVERRIDE=FQ","FILING_STATUS=OR","EQY_CONSOLIDATED=Y","Sort=A","Dates=H","DateFormat=P","Fill=—","Direction=H","UseDPDF=Y")</f>
        <v>#NAME?</v>
      </c>
      <c r="BX24" s="2" t="e">
        <f ca="1">_xll.BDH($C$3,"CFO_SEQUENTIAL_GROWTH","FQ1 2018","FQ1 2018","Currency=INR","Period=FQ","BEST_FPERIOD_OVERRIDE=FQ","FILING_STATUS=OR","EQY_CONSOLIDATED=Y","Sort=A","Dates=H","DateFormat=P","Fill=—","Direction=H","UseDPDF=Y")</f>
        <v>#NAME?</v>
      </c>
      <c r="BY24" s="3" t="e">
        <f ca="1">_xll.BDH($C$3,"SHORT_AND_LONG_TERM_DEBT","FQ1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24" s="3" t="e">
        <f ca="1">_xll.BDH($C$3,"BS_ST_BORROW","FQ1 2018","FQ1 2018","Currency=INR","Period=FQ","BEST_FPERIOD_OVERRIDE=FQ","FILING_STATUS=OR","EQY_CONSOLIDATED=Y","SCALING_FORMAT=MLN","Sort=A","Dates=H","DateFormat=P","Fill=—","Direction=H","UseDPDF=Y")</f>
        <v>#NAME?</v>
      </c>
      <c r="CA24" s="3" t="e">
        <f ca="1">_xll.BDH($C$3,"BS_LT_BORROW","FQ1 2018","FQ1 2018","Currency=INR","Period=FQ","BEST_FPERIOD_OVERRIDE=FQ","FILING_STATUS=OR","EQY_CONSOLIDATED=Y","SCALING_FORMAT=MLN","Sort=A","Dates=H","DateFormat=P","Fill=—","Direction=H","UseDPDF=Y")</f>
        <v>#NAME?</v>
      </c>
      <c r="CB24" s="2" t="e">
        <f ca="1">_xll.BDH($C$3,"TOT_DEBT_TO_EBITDA","FQ1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24" s="2" t="e">
        <f ca="1">_xll.BDH($C$3,"NET_DEBT_TO_EBITDA","FQ1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24" s="2" t="e">
        <f ca="1">_xll.BDH($C$3,"TOTAL_DEBT_TO_EBIT","FQ1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24" s="2" t="e">
        <f ca="1">_xll.BDH($C$3,"NET_DEBT_TO_EBIT","FQ1 2018","FQ1 2018","Currency=INR","Period=FQ","BEST_FPERIOD_OVERRIDE=FQ","FILING_STATUS=OR","EQY_CONSOLIDATED=Y","FA_ADJUSTED=GAAP","Sort=A","Dates=H","DateFormat=P","Fill=—","Direction=H","UseDPDF=Y")</f>
        <v>#NAME?</v>
      </c>
      <c r="CF24" s="2" t="e">
        <f ca="1">_xll.BDH($C$3,"EBITDA_TO_INTEREST_EXPN","FQ1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24" s="2" t="e">
        <f ca="1">_xll.BDH($C$3,"COM_EQY_TO_TOT_ASSET","FQ1 2018","FQ1 2018","Currency=INR","Period=FQ","BEST_FPERIOD_OVERRIDE=FQ","FILING_STATUS=OR","EQY_CONSOLIDATED=Y","Sort=A","Dates=H","DateFormat=P","Fill=—","Direction=H","UseDPDF=Y")</f>
        <v>#NAME?</v>
      </c>
      <c r="CH24" s="2" t="e">
        <f ca="1">_xll.BDH($C$3,"LT_DEBT_TO_TOT_EQY","FQ1 2018","FQ1 2018","Currency=INR","Period=FQ","BEST_FPERIOD_OVERRIDE=FQ","FILING_STATUS=OR","EQY_CONSOLIDATED=Y","Sort=A","Dates=H","DateFormat=P","Fill=—","Direction=H","UseDPDF=Y")</f>
        <v>#NAME?</v>
      </c>
      <c r="CI24" s="2" t="e">
        <f ca="1">_xll.BDH($C$3,"LT_DEBT_TO_TOT_CAP","FQ1 2018","FQ1 2018","Currency=INR","Period=FQ","BEST_FPERIOD_OVERRIDE=FQ","FILING_STATUS=OR","EQY_CONSOLIDATED=Y","Sort=A","Dates=H","DateFormat=P","Fill=—","Direction=H","UseDPDF=Y")</f>
        <v>#NAME?</v>
      </c>
      <c r="CJ24" s="2" t="e">
        <f ca="1">_xll.BDH($C$3,"LT_DEBT_TO_TOT_ASSET","FQ1 2018","FQ1 2018","Currency=INR","Period=FQ","BEST_FPERIOD_OVERRIDE=FQ","FILING_STATUS=OR","EQY_CONSOLIDATED=Y","Sort=A","Dates=H","DateFormat=P","Fill=—","Direction=H","UseDPDF=Y")</f>
        <v>#NAME?</v>
      </c>
      <c r="CK24" s="2" t="e">
        <f ca="1">_xll.BDH($C$3,"TOT_DEBT_TO_TOT_EQY","FQ1 2018","FQ1 2018","Currency=INR","Period=FQ","BEST_FPERIOD_OVERRIDE=FQ","FILING_STATUS=OR","EQY_CONSOLIDATED=Y","Sort=A","Dates=H","DateFormat=P","Fill=—","Direction=H","UseDPDF=Y")</f>
        <v>#NAME?</v>
      </c>
      <c r="CL24" s="2" t="e">
        <f ca="1">_xll.BDH($C$3,"TOT_DEBT_TO_TOT_CAP","FQ1 2018","FQ1 2018","Currency=INR","Period=FQ","BEST_FPERIOD_OVERRIDE=FQ","FILING_STATUS=OR","EQY_CONSOLIDATED=Y","Sort=A","Dates=H","DateFormat=P","Fill=—","Direction=H","UseDPDF=Y")</f>
        <v>#NAME?</v>
      </c>
      <c r="CM24" s="2" t="e">
        <f ca="1">_xll.BDH($C$3,"TOT_DEBT_TO_TOT_ASSET","FQ1 2018","FQ1 2018","Currency=INR","Period=FQ","BEST_FPERIOD_OVERRIDE=FQ","FILING_STATUS=OR","EQY_CONSOLIDATED=Y","Sort=A","Dates=H","DateFormat=P","Fill=—","Direction=H","UseDPDF=Y")</f>
        <v>#NAME?</v>
      </c>
      <c r="CN24" s="2" t="e">
        <f ca="1">_xll.BDH($C$3,"NET_DEBT_TO_SHRHLDR_EQTY","FQ1 2018","FQ1 2018","Currency=INR","Period=FQ","BEST_FPERIOD_OVERRIDE=FQ","FILING_STATUS=OR","EQY_CONSOLIDATED=Y","Sort=A","Dates=H","DateFormat=P","Fill=—","Direction=H","UseDPDF=Y")</f>
        <v>#NAME?</v>
      </c>
      <c r="CO24" s="2" t="e">
        <f ca="1">_xll.BDH($C$3,"NET_DEBT_%_CAPITAL","FQ1 2018","FQ1 2018","Currency=INR","Period=FQ","BEST_FPERIOD_OVERRIDE=FQ","FILING_STATUS=OR","EQY_CONSOLIDATED=Y","Sort=A","Dates=H","DateFormat=P","Fill=—","Direction=H","UseDPDF=Y")</f>
        <v>#NAME?</v>
      </c>
      <c r="CP24" s="3" t="e">
        <f ca="1">_xll.BDH($C$3,"EBITDA","FQ1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24" s="3" t="e">
        <f ca="1">_xll.BDH($C$3,"EBITDA_AFTER_CAPEX","FQ1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24" s="3" t="e">
        <f ca="1">_xll.BDH($C$3,"IS_OPER_INC","FQ1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24" s="2" t="e">
        <f ca="1">_xll.BDH($C$3,"CASH_RATIO","FQ1 2018","FQ1 2018","Currency=INR","Period=FQ","BEST_FPERIOD_OVERRIDE=FQ","FILING_STATUS=OR","EQY_CONSOLIDATED=Y","Sort=A","Dates=H","DateFormat=P","Fill=—","Direction=H","UseDPDF=Y")</f>
        <v>#NAME?</v>
      </c>
      <c r="CT24" s="2" t="e">
        <f ca="1">_xll.BDH($C$3,"CUR_RATIO","FQ1 2018","FQ1 2018","Currency=INR","Period=FQ","BEST_FPERIOD_OVERRIDE=FQ","FILING_STATUS=OR","EQY_CONSOLIDATED=Y","Sort=A","Dates=H","DateFormat=P","Fill=—","Direction=H","UseDPDF=Y")</f>
        <v>#NAME?</v>
      </c>
      <c r="CU24" s="2" t="e">
        <f ca="1">_xll.BDH($C$3,"QUICK_RATIO","FQ1 2018","FQ1 2018","Currency=INR","Period=FQ","BEST_FPERIOD_OVERRIDE=FQ","FILING_STATUS=OR","EQY_CONSOLIDATED=Y","Sort=A","Dates=H","DateFormat=P","Fill=—","Direction=H","UseDPDF=Y")</f>
        <v>#NAME?</v>
      </c>
      <c r="CV24" s="2" t="e">
        <f ca="1">_xll.BDH($C$3,"ALTMAN_Z_SCORE","FQ1 2018","FQ1 2018","Currency=INR","Period=FQ","BEST_FPERIOD_OVERRIDE=FQ","FILING_STATUS=OR","EQY_CONSOLIDATED=Y","Sort=A","Dates=H","DateFormat=P","Fill=—","Direction=H","UseDPDF=Y")</f>
        <v>#NAME?</v>
      </c>
      <c r="CW24" s="4" t="e">
        <f ca="1">_xll.BDH($C$3,"ACCT_RCV_TURN","FQ1 2018","FQ1 2018","Currency=INR","Period=FQ","BEST_FPERIOD_OVERRIDE=FQ","FILING_STATUS=OR","EQY_CONSOLIDATED=Y","FA_ADJUSTED=GAAP","Sort=A","Dates=H","DateFormat=P","Fill=—","Direction=H","UseDPDF=Y")</f>
        <v>#NAME?</v>
      </c>
      <c r="CX24" s="2" t="e">
        <f ca="1">_xll.BDH($C$3,"ACCT_RCV_DAYS","FQ1 2018","FQ1 2018","Currency=INR","Period=FQ","BEST_FPERIOD_OVERRIDE=FQ","FILING_STATUS=OR","EQY_CONSOLIDATED=Y","FA_ADJUSTED=GAAP","Sort=A","Dates=H","DateFormat=P","Fill=—","Direction=H","UseDPDF=Y")</f>
        <v>#NAME?</v>
      </c>
      <c r="CY24" s="4" t="e">
        <f ca="1">_xll.BDH($C$3,"INVENT_TURN","FQ1 2018","FQ1 2018","Currency=INR","Period=FQ","BEST_FPERIOD_OVERRIDE=FQ","FILING_STATUS=OR","EQY_CONSOLIDATED=Y","FA_ADJUSTED=GAAP","Sort=A","Dates=H","DateFormat=P","Fill=—","Direction=H","UseDPDF=Y")</f>
        <v>#NAME?</v>
      </c>
      <c r="CZ24" s="2" t="e">
        <f ca="1">_xll.BDH($C$3,"INVENT_DAYS","FQ1 2018","FQ1 2018","Currency=INR","Period=FQ","BEST_FPERIOD_OVERRIDE=FQ","FILING_STATUS=OR","EQY_CONSOLIDATED=Y","FA_ADJUSTED=GAAP","Sort=A","Dates=H","DateFormat=P","Fill=—","Direction=H","UseDPDF=Y")</f>
        <v>#NAME?</v>
      </c>
      <c r="DA24" s="4" t="e">
        <f ca="1">_xll.BDH($C$3,"ACCOUNTS_PAYABLE_TURNOVER","FQ1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24" s="2" t="e">
        <f ca="1">_xll.BDH($C$3,"ACCOUNTS_PAYABLE_TURNOVER_DAYS","FQ1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24" s="4" t="e">
        <f ca="1">_xll.BDH($C$3,"CASH_CONVERSION_CYCLE","FQ1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24" s="4" t="e">
        <f ca="1">_xll.BDH($C$3,"INV_TO_CASH_DAYS","FQ1 2018","FQ1 2018","Currency=INR","Period=FQ","BEST_FPERIOD_OVERRIDE=FQ","FILING_STATUS=OR","EQY_CONSOLIDATED=Y","FA_ADJUSTED=GAAP","Sort=A","Dates=H","DateFormat=P","Fill=—","Direction=H","UseDPDF=Y")</f>
        <v>#NAME?</v>
      </c>
      <c r="DE24" s="5" t="e">
        <f ca="1">_xll.BDH($C$3,"BS_INVENTORIES","FQ1 2018","FQ1 2018","Currency=INR","Period=FQ","BEST_FPERIOD_OVERRIDE=FQ","FILING_STATUS=OR","EQY_CONSOLIDATED=Y","SCALING_FORMAT=MLN","Sort=A","Dates=H","DateFormat=P","Fill=—","Direction=H","UseDPDF=Y")</f>
        <v>#NAME?</v>
      </c>
      <c r="DF24" s="3" t="e">
        <f ca="1">_xll.BDH($C$3,"INVTRY_RAW_MATERIALS","FQ1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24" s="3" t="e">
        <f ca="1">_xll.BDH($C$3,"INVTRY_IN_PROGRESS","FQ1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24" s="3" t="e">
        <f ca="1">_xll.BDH($C$3,"INVTRY_FINISHED_GOODS","FQ1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24" s="3" t="e">
        <f ca="1">_xll.BDH($C$3,"BS_OTHER_INV","FQ1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25" spans="1:113" x14ac:dyDescent="0.3">
      <c r="A25" s="6"/>
      <c r="B25" s="6"/>
      <c r="C25" s="6"/>
      <c r="D25" s="6"/>
      <c r="E25" t="s">
        <v>79</v>
      </c>
      <c r="F25" t="e">
        <f ca="1">_xll.BDH($C$3,"RETURN_COM_EQY","FQ2 2018","FQ2 2018","Currency=INR","Period=FQ","BEST_FPERIOD_OVERRIDE=FQ","FILING_STATUS=OR","EQY_CONSOLIDATED=Y","FA_ADJUSTED=GAAP","Sort=A","Dates=H","DateFormat=P","Fill=—","Direction=H","UseDPDF=Y")</f>
        <v>#NAME?</v>
      </c>
      <c r="G25" t="e">
        <f ca="1">_xll.BDH($C$3,"RETURN_ON_ASSET","FQ2 2018","FQ2 2018","Currency=INR","Period=FQ","BEST_FPERIOD_OVERRIDE=FQ","FILING_STATUS=OR","EQY_CONSOLIDATED=Y","FA_ADJUSTED=GAAP","Sort=A","Dates=H","DateFormat=P","Fill=—","Direction=H","UseDPDF=Y")</f>
        <v>#NAME?</v>
      </c>
      <c r="H25" t="e">
        <f ca="1">_xll.BDH($C$3,"RETURN_ON_CAP","FQ2 2018","FQ2 2018","Currency=INR","Period=FQ","BEST_FPERIOD_OVERRIDE=FQ","FILING_STATUS=OR","EQY_CONSOLIDATED=Y","FA_ADJUSTED=GAAP","Sort=A","Dates=H","DateFormat=P","Fill=—","Direction=H","UseDPDF=Y")</f>
        <v>#NAME?</v>
      </c>
      <c r="I25" t="e">
        <f ca="1">_xll.BDH($C$3,"RETURN_ON_INV_CAPITAL","FQ2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25" t="e">
        <f ca="1">_xll.BDH($C$3,"EBITDA_TO_REVENUE","FQ2 2018","FQ2 2018","Currency=INR","Period=FQ","BEST_FPERIOD_OVERRIDE=FQ","FILING_STATUS=OR","EQY_CONSOLIDATED=Y","FA_ADJUSTED=GAAP","Sort=A","Dates=H","DateFormat=P","Fill=—","Direction=H","UseDPDF=Y")</f>
        <v>#NAME?</v>
      </c>
      <c r="K25" t="e">
        <f ca="1">_xll.BDH($C$3,"OPER_MARGIN","FQ2 2018","FQ2 2018","Currency=INR","Period=FQ","BEST_FPERIOD_OVERRIDE=FQ","FILING_STATUS=OR","EQY_CONSOLIDATED=Y","FA_ADJUSTED=GAAP","Sort=A","Dates=H","DateFormat=P","Fill=—","Direction=H","UseDPDF=Y")</f>
        <v>#NAME?</v>
      </c>
      <c r="L25" t="e">
        <f ca="1">_xll.BDH($C$3,"INCREMENTAL_OPERATING_MARGIN","FQ2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25" t="e">
        <f ca="1">_xll.BDH($C$3,"PRETAX_INC_TO_NET_SALES","FQ2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25" t="e">
        <f ca="1">_xll.BDH($C$3,"INC_BEF_XO_ITEMS_TO_NET_SALES","FQ2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25" t="e">
        <f ca="1">_xll.BDH($C$3,"PROF_MARGIN","FQ2 2018","FQ2 2018","Currency=INR","Period=FQ","BEST_FPERIOD_OVERRIDE=FQ","FILING_STATUS=OR","EQY_CONSOLIDATED=Y","FA_ADJUSTED=GAAP","Sort=A","Dates=H","DateFormat=P","Fill=—","Direction=H","UseDPDF=Y")</f>
        <v>#NAME?</v>
      </c>
      <c r="P25" t="e">
        <f ca="1">_xll.BDH($C$3,"NET_INCOME_TO_COMMON_MARGIN","FQ2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25" t="e">
        <f ca="1">_xll.BDH($C$3,"EFF_TAX_RATE","FQ2 2018","FQ2 2018","Currency=INR","Period=FQ","BEST_FPERIOD_OVERRIDE=FQ","FILING_STATUS=OR","EQY_CONSOLIDATED=Y","FA_ADJUSTED=GAAP","Sort=A","Dates=H","DateFormat=P","Fill=—","Direction=H","UseDPDF=Y")</f>
        <v>#NAME?</v>
      </c>
      <c r="R25" t="e">
        <f ca="1">_xll.BDH($C$3,"DVD_PAYOUT_RATIO","FQ2 2018","FQ2 2018","Currency=INR","Period=FQ","BEST_FPERIOD_OVERRIDE=FQ","FILING_STATUS=OR","EQY_CONSOLIDATED=Y","FA_ADJUSTED=GAAP","Sort=A","Dates=H","DateFormat=P","Fill=—","Direction=H","UseDPDF=Y")</f>
        <v>#NAME?</v>
      </c>
      <c r="S25" t="e">
        <f ca="1">_xll.BDH($C$3,"SUSTAIN_GROWTH_RT","FQ2 2018","FQ2 2018","Currency=INR","Period=FQ","BEST_FPERIOD_OVERRIDE=FQ","FILING_STATUS=OR","EQY_CONSOLIDATED=Y","FA_ADJUSTED=GAAP","Sort=A","Dates=H","DateFormat=P","Fill=—","Direction=H","UseDPDF=Y")</f>
        <v>#NAME?</v>
      </c>
      <c r="T25" s="2" t="e">
        <f ca="1">_xll.BDH($C$3,"SALES_GROWTH","FQ2 2018","FQ2 2018","Currency=INR","Period=FQ","BEST_FPERIOD_OVERRIDE=FQ","FILING_STATUS=OR","EQY_CONSOLIDATED=Y","FA_ADJUSTED=GAAP","Sort=A","Dates=H","DateFormat=P","Fill=—","Direction=H","UseDPDF=Y")</f>
        <v>#NAME?</v>
      </c>
      <c r="U25" s="2" t="e">
        <f ca="1">_xll.BDH($C$3,"EBITDA_GROWTH","FQ2 2018","FQ2 2018","Currency=INR","Period=FQ","BEST_FPERIOD_OVERRIDE=FQ","FILING_STATUS=OR","EQY_CONSOLIDATED=Y","FA_ADJUSTED=GAAP","Sort=A","Dates=H","DateFormat=P","Fill=—","Direction=H","UseDPDF=Y")</f>
        <v>#NAME?</v>
      </c>
      <c r="V25" s="2" t="e">
        <f ca="1">_xll.BDH($C$3,"OPER_INC_GROWTH","FQ2 2018","FQ2 2018","Currency=INR","Period=FQ","BEST_FPERIOD_OVERRIDE=FQ","FILING_STATUS=OR","EQY_CONSOLIDATED=Y","FA_ADJUSTED=GAAP","Sort=A","Dates=H","DateFormat=P","Fill=—","Direction=H","UseDPDF=Y")</f>
        <v>#NAME?</v>
      </c>
      <c r="W25" s="2" t="e">
        <f ca="1">_xll.BDH($C$3,"EARN_FOR_COM_GROWTH","FQ2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25" s="2" t="e">
        <f ca="1">_xll.BDH($C$3,"DILUTED_EPS_AFT_XO_ITEMS_GROWTH","FQ2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25" s="2" t="e">
        <f ca="1">_xll.BDH($C$3,"DIVIDEND_PER_SHARE_1_YEAR_GROWTH","FQ2 2018","FQ2 2018","Currency=INR","Period=FQ","BEST_FPERIOD_OVERRIDE=FQ","FILING_STATUS=OR","EQY_CONSOLIDATED=Y","Sort=A","Dates=H","DateFormat=P","Fill=—","Direction=H","UseDPDF=Y")</f>
        <v>#NAME?</v>
      </c>
      <c r="Z25" s="2" t="e">
        <f ca="1">_xll.BDH($C$3,"ACCOUNTS_RECEIVABLE_GROWTH","FQ2 2018","FQ2 2018","Currency=INR","Period=FQ","BEST_FPERIOD_OVERRIDE=FQ","FILING_STATUS=OR","EQY_CONSOLIDATED=Y","Sort=A","Dates=H","DateFormat=P","Fill=—","Direction=H","UseDPDF=Y")</f>
        <v>#NAME?</v>
      </c>
      <c r="AA25" s="2" t="e">
        <f ca="1">_xll.BDH($C$3,"INVENTORY_GROWTH","FQ2 2018","FQ2 2018","Currency=INR","Period=FQ","BEST_FPERIOD_OVERRIDE=FQ","FILING_STATUS=OR","EQY_CONSOLIDATED=Y","Sort=A","Dates=H","DateFormat=P","Fill=—","Direction=H","UseDPDF=Y")</f>
        <v>#NAME?</v>
      </c>
      <c r="AB25" s="2" t="e">
        <f ca="1">_xll.BDH($C$3,"NET_FIXED_ASSETS_1_YEAR_GROWTH","FQ2 2018","FQ2 2018","Currency=INR","Period=FQ","BEST_FPERIOD_OVERRIDE=FQ","FILING_STATUS=OR","EQY_CONSOLIDATED=Y","Sort=A","Dates=H","DateFormat=P","Fill=—","Direction=H","UseDPDF=Y")</f>
        <v>#NAME?</v>
      </c>
      <c r="AC25" s="2" t="e">
        <f ca="1">_xll.BDH($C$3,"ASSET_GROWTH","FQ2 2018","FQ2 2018","Currency=INR","Period=FQ","BEST_FPERIOD_OVERRIDE=FQ","FILING_STATUS=OR","EQY_CONSOLIDATED=Y","Sort=A","Dates=H","DateFormat=P","Fill=—","Direction=H","UseDPDF=Y")</f>
        <v>#NAME?</v>
      </c>
      <c r="AD25" s="2" t="e">
        <f ca="1">_xll.BDH($C$3,"MODIFIED_WORK_CAP_GROWTH","FQ2 2018","FQ2 2018","Currency=INR","Period=FQ","BEST_FPERIOD_OVERRIDE=FQ","FILING_STATUS=OR","EQY_CONSOLIDATED=Y","Sort=A","Dates=H","DateFormat=P","Fill=—","Direction=H","UseDPDF=Y")</f>
        <v>#NAME?</v>
      </c>
      <c r="AE25" s="2" t="e">
        <f ca="1">_xll.BDH($C$3,"WORK_CAP_GROWTH","FQ2 2018","FQ2 2018","Currency=INR","Period=FQ","BEST_FPERIOD_OVERRIDE=FQ","FILING_STATUS=OR","EQY_CONSOLIDATED=Y","Sort=A","Dates=H","DateFormat=P","Fill=—","Direction=H","UseDPDF=Y")</f>
        <v>#NAME?</v>
      </c>
      <c r="AF25" s="2" t="e">
        <f ca="1">_xll.BDH($C$3,"ACCOUNTS_PAYABLE_GROWTH_1YR","FQ2 2018","FQ2 2018","Currency=INR","Period=FQ","BEST_FPERIOD_OVERRIDE=FQ","FILING_STATUS=OR","EQY_CONSOLIDATED=Y","Sort=A","Dates=H","DateFormat=P","Fill=—","Direction=H","UseDPDF=Y")</f>
        <v>#NAME?</v>
      </c>
      <c r="AG25" s="2" t="e">
        <f ca="1">_xll.BDH($C$3,"SHORT_TERM_DEBT_1_YEAR_GROWTH","FQ2 2018","FQ2 2018","Currency=INR","Period=FQ","BEST_FPERIOD_OVERRIDE=FQ","FILING_STATUS=OR","EQY_CONSOLIDATED=Y","Sort=A","Dates=H","DateFormat=P","Fill=—","Direction=H","UseDPDF=Y")</f>
        <v>#NAME?</v>
      </c>
      <c r="AH25" s="2" t="e">
        <f ca="1">_xll.BDH($C$3,"TOTAL_DEBT_1_YEAR_GROWTH","FQ2 2018","FQ2 2018","Currency=INR","Period=FQ","BEST_FPERIOD_OVERRIDE=FQ","FILING_STATUS=OR","EQY_CONSOLIDATED=Y","Sort=A","Dates=H","DateFormat=P","Fill=—","Direction=H","UseDPDF=Y")</f>
        <v>#NAME?</v>
      </c>
      <c r="AI25" s="2" t="e">
        <f ca="1">_xll.BDH($C$3,"TOTAL_EQUITY_1_YEAR_GROWTH","FQ2 2018","FQ2 2018","Currency=INR","Period=FQ","BEST_FPERIOD_OVERRIDE=FQ","FILING_STATUS=OR","EQY_CONSOLIDATED=Y","Sort=A","Dates=H","DateFormat=P","Fill=—","Direction=H","UseDPDF=Y")</f>
        <v>#NAME?</v>
      </c>
      <c r="AJ25" s="2" t="e">
        <f ca="1">_xll.BDH($C$3,"GROWTH_IN_CAP","FQ2 2018","FQ2 2018","Currency=INR","Period=FQ","BEST_FPERIOD_OVERRIDE=FQ","FILING_STATUS=OR","EQY_CONSOLIDATED=Y","Sort=A","Dates=H","DateFormat=P","Fill=—","Direction=H","UseDPDF=Y")</f>
        <v>#NAME?</v>
      </c>
      <c r="AK25" s="2" t="e">
        <f ca="1">_xll.BDH($C$3,"BVPS_GROWTH","FQ2 2018","FQ2 2018","Currency=INR","Period=FQ","BEST_FPERIOD_OVERRIDE=FQ","FILING_STATUS=OR","EQY_CONSOLIDATED=Y","Sort=A","Dates=H","DateFormat=P","Fill=—","Direction=H","UseDPDF=Y")</f>
        <v>#NAME?</v>
      </c>
      <c r="AL25" s="2" t="e">
        <f ca="1">_xll.BDH($C$3,"CASH_FLOW_GROWTH","FQ2 2018","FQ2 2018","Currency=INR","Period=FQ","BEST_FPERIOD_OVERRIDE=FQ","FILING_STATUS=OR","EQY_CONSOLIDATED=Y","Sort=A","Dates=H","DateFormat=P","Fill=—","Direction=H","UseDPDF=Y")</f>
        <v>#NAME?</v>
      </c>
      <c r="AM25" s="2" t="e">
        <f ca="1">_xll.BDH($C$3,"GEO_GROW_NET_SALES","FQ2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25" s="2" t="e">
        <f ca="1">_xll.BDH($C$3,"GEO_GROW_EBITDA","FQ2 2018","FQ2 2018","Currency=INR","Period=FQ","BEST_FPERIOD_OVERRIDE=FQ","FILING_STATUS=OR","EQY_CONSOLIDATED=Y","FA_ADJUSTED=GAAP","Sort=A","Dates=H","DateFormat=P","Fill=—","Direction=H","UseDPDF=Y")</f>
        <v>#NAME?</v>
      </c>
      <c r="AO25" s="2" t="e">
        <f ca="1">_xll.BDH($C$3,"GEO_GROW_OPER_INC","FQ2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25" s="2" t="e">
        <f ca="1">_xll.BDH($C$3,"NET_INCOME_TO_COMMON_5_YR_GROWTH","FQ2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25" s="2" t="e">
        <f ca="1">_xll.BDH($C$3,"5Y_GEO_GROWTH_DILUTED_EPS","FQ2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25" s="2" t="e">
        <f ca="1">_xll.BDH($C$3,"GEO_GROW_DVD_PER_SH","FQ2 2018","FQ2 2018","Currency=INR","Period=FQ","BEST_FPERIOD_OVERRIDE=FQ","FILING_STATUS=OR","EQY_CONSOLIDATED=Y","Sort=A","Dates=H","DateFormat=P","Fill=—","Direction=H","UseDPDF=Y")</f>
        <v>#NAME?</v>
      </c>
      <c r="AS25" s="2" t="e">
        <f ca="1">_xll.BDH($C$3,"ACCOUNTS_RECEIVABLE_5_YR_GROWTH","FQ2 2018","FQ2 2018","Currency=INR","Period=FQ","BEST_FPERIOD_OVERRIDE=FQ","FILING_STATUS=OR","EQY_CONSOLIDATED=Y","Sort=A","Dates=H","DateFormat=P","Fill=—","Direction=H","UseDPDF=Y")</f>
        <v>#NAME?</v>
      </c>
      <c r="AT25" s="2" t="e">
        <f ca="1">_xll.BDH($C$3,"INVENTORY_5_YEAR_GROWTH","FQ2 2018","FQ2 2018","Currency=INR","Period=FQ","BEST_FPERIOD_OVERRIDE=FQ","FILING_STATUS=OR","EQY_CONSOLIDATED=Y","Sort=A","Dates=H","DateFormat=P","Fill=—","Direction=H","UseDPDF=Y")</f>
        <v>#NAME?</v>
      </c>
      <c r="AU25" s="2" t="e">
        <f ca="1">_xll.BDH($C$3,"NET_FIXED_ASSETS_5_YEAR_GROWTH","FQ2 2018","FQ2 2018","Currency=INR","Period=FQ","BEST_FPERIOD_OVERRIDE=FQ","FILING_STATUS=OR","EQY_CONSOLIDATED=Y","Sort=A","Dates=H","DateFormat=P","Fill=—","Direction=H","UseDPDF=Y")</f>
        <v>#NAME?</v>
      </c>
      <c r="AV25" s="2" t="e">
        <f ca="1">_xll.BDH($C$3,"GEO_GROW_TOT_ASSET","FQ2 2018","FQ2 2018","Currency=INR","Period=FQ","BEST_FPERIOD_OVERRIDE=FQ","FILING_STATUS=OR","EQY_CONSOLIDATED=Y","Sort=A","Dates=H","DateFormat=P","Fill=—","Direction=H","UseDPDF=Y")</f>
        <v>#NAME?</v>
      </c>
      <c r="AW25" s="2" t="e">
        <f ca="1">_xll.BDH($C$3,"MODIFIED_WORKING_CPTL_5YR_GRWTH","FQ2 2018","FQ2 2018","Currency=INR","Period=FQ","BEST_FPERIOD_OVERRIDE=FQ","FILING_STATUS=OR","EQY_CONSOLIDATED=Y","Sort=A","Dates=H","DateFormat=P","Fill=—","Direction=H","UseDPDF=Y")</f>
        <v>#NAME?</v>
      </c>
      <c r="AX25" s="2" t="e">
        <f ca="1">_xll.BDH($C$3,"WORKING_CAPITAL_5_YEAR_GROWTH","FQ2 2018","FQ2 2018","Currency=INR","Period=FQ","BEST_FPERIOD_OVERRIDE=FQ","FILING_STATUS=OR","EQY_CONSOLIDATED=Y","Sort=A","Dates=H","DateFormat=P","Fill=—","Direction=H","UseDPDF=Y")</f>
        <v>#NAME?</v>
      </c>
      <c r="AY25" s="2" t="e">
        <f ca="1">_xll.BDH($C$3,"ACCOUNTS_PAYABLE_5_YEAR_GROWTH","FQ2 2018","FQ2 2018","Currency=INR","Period=FQ","BEST_FPERIOD_OVERRIDE=FQ","FILING_STATUS=OR","EQY_CONSOLIDATED=Y","Sort=A","Dates=H","DateFormat=P","Fill=—","Direction=H","UseDPDF=Y")</f>
        <v>#NAME?</v>
      </c>
      <c r="AZ25" s="2" t="e">
        <f ca="1">_xll.BDH($C$3,"SHORT_TERM_DEBT_5_YEAR_GROWTH","FQ2 2018","FQ2 2018","Currency=INR","Period=FQ","BEST_FPERIOD_OVERRIDE=FQ","FILING_STATUS=OR","EQY_CONSOLIDATED=Y","Sort=A","Dates=H","DateFormat=P","Fill=—","Direction=H","UseDPDF=Y")</f>
        <v>#NAME?</v>
      </c>
      <c r="BA25" s="2" t="e">
        <f ca="1">_xll.BDH($C$3,"TOTAL_DEBT_5_YEAR_GROWTH","FQ2 2018","FQ2 2018","Currency=INR","Period=FQ","BEST_FPERIOD_OVERRIDE=FQ","FILING_STATUS=OR","EQY_CONSOLIDATED=Y","Sort=A","Dates=H","DateFormat=P","Fill=—","Direction=H","UseDPDF=Y")</f>
        <v>#NAME?</v>
      </c>
      <c r="BB25" s="2" t="e">
        <f ca="1">_xll.BDH($C$3,"GEO_GROW_TOT_SHRHLDR_EQY","FQ2 2018","FQ2 2018","Currency=INR","Period=FQ","BEST_FPERIOD_OVERRIDE=FQ","FILING_STATUS=OR","EQY_CONSOLIDATED=Y","Sort=A","Dates=H","DateFormat=P","Fill=—","Direction=H","UseDPDF=Y")</f>
        <v>#NAME?</v>
      </c>
      <c r="BC25" s="2" t="e">
        <f ca="1">_xll.BDH($C$3,"TOTAL_CAPITAL_5_YEAR_GROWTH","FQ2 2018","FQ2 2018","Currency=INR","Period=FQ","BEST_FPERIOD_OVERRIDE=FQ","FILING_STATUS=OR","EQY_CONSOLIDATED=Y","Sort=A","Dates=H","DateFormat=P","Fill=—","Direction=H","UseDPDF=Y")</f>
        <v>#NAME?</v>
      </c>
      <c r="BD25" s="2" t="e">
        <f ca="1">_xll.BDH($C$3,"GEO_GROW_BOOK_VAL","FQ2 2018","FQ2 2018","Currency=INR","Period=FQ","BEST_FPERIOD_OVERRIDE=FQ","FILING_STATUS=OR","EQY_CONSOLIDATED=Y","Sort=A","Dates=H","DateFormat=P","Fill=—","Direction=H","UseDPDF=Y")</f>
        <v>#NAME?</v>
      </c>
      <c r="BE25" s="2" t="e">
        <f ca="1">_xll.BDH($C$3,"GEO_GROW_CASH_OPER_ACT","FQ2 2018","FQ2 2018","Currency=INR","Period=FQ","BEST_FPERIOD_OVERRIDE=FQ","FILING_STATUS=OR","EQY_CONSOLIDATED=Y","Sort=A","Dates=H","DateFormat=P","Fill=—","Direction=H","UseDPDF=Y")</f>
        <v>#NAME?</v>
      </c>
      <c r="BF25" s="2" t="e">
        <f ca="1">_xll.BDH($C$3,"REVENUE_SEQUENTIAL_GROWTH","FQ2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25" s="2" t="e">
        <f ca="1">_xll.BDH($C$3,"EBITDA_SEQUENTIAL_GROWTH","FQ2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25" s="2" t="e">
        <f ca="1">_xll.BDH($C$3,"OPERATING_INCOME_SEQ_GROWTH","FQ2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25" s="2" t="e">
        <f ca="1">_xll.BDH($C$3,"NET_INCOME_TO_COMMON_SEQ_GROWTH","FQ2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25" s="2" t="e">
        <f ca="1">_xll.BDH($C$3,"EPS_DILUTED_SEQUENTIAL_GROWTH","FQ2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25" s="2" t="e">
        <f ca="1">_xll.BDH($C$3,"DPS_SEQUENTIAL_GROWTH","FQ2 2018","FQ2 2018","Currency=INR","Period=FQ","BEST_FPERIOD_OVERRIDE=FQ","FILING_STATUS=OR","EQY_CONSOLIDATED=Y","Sort=A","Dates=H","DateFormat=P","Fill=—","Direction=H","UseDPDF=Y")</f>
        <v>#NAME?</v>
      </c>
      <c r="BL25" s="2" t="e">
        <f ca="1">_xll.BDH($C$3,"ACCOUNTS_RECEIVABLE_SEQ_GROWTH","FQ2 2018","FQ2 2018","Currency=INR","Period=FQ","BEST_FPERIOD_OVERRIDE=FQ","FILING_STATUS=OR","EQY_CONSOLIDATED=Y","Sort=A","Dates=H","DateFormat=P","Fill=—","Direction=H","UseDPDF=Y")</f>
        <v>#NAME?</v>
      </c>
      <c r="BM25" s="2" t="e">
        <f ca="1">_xll.BDH($C$3,"INVENTORY_SEQUENTIAL_GROWTH","FQ2 2018","FQ2 2018","Currency=INR","Period=FQ","BEST_FPERIOD_OVERRIDE=FQ","FILING_STATUS=OR","EQY_CONSOLIDATED=Y","Sort=A","Dates=H","DateFormat=P","Fill=—","Direction=H","UseDPDF=Y")</f>
        <v>#NAME?</v>
      </c>
      <c r="BN25" s="2" t="e">
        <f ca="1">_xll.BDH($C$3,"FIXED_ASSETS_SEQUENTIAL_GROWTH","FQ2 2018","FQ2 2018","Currency=INR","Period=FQ","BEST_FPERIOD_OVERRIDE=FQ","FILING_STATUS=OR","EQY_CONSOLIDATED=Y","Sort=A","Dates=H","DateFormat=P","Fill=—","Direction=H","UseDPDF=Y")</f>
        <v>#NAME?</v>
      </c>
      <c r="BO25" s="2" t="e">
        <f ca="1">_xll.BDH($C$3,"TOTAL_ASSETS_SEQUENTIAL_GROWTH","FQ2 2018","FQ2 2018","Currency=INR","Period=FQ","BEST_FPERIOD_OVERRIDE=FQ","FILING_STATUS=OR","EQY_CONSOLIDATED=Y","Sort=A","Dates=H","DateFormat=P","Fill=—","Direction=H","UseDPDF=Y")</f>
        <v>#NAME?</v>
      </c>
      <c r="BP25" s="2" t="e">
        <f ca="1">_xll.BDH($C$3,"MODIFIED_WORKING_CPTL_SEQ_GRWTH","FQ2 2018","FQ2 2018","Currency=INR","Period=FQ","BEST_FPERIOD_OVERRIDE=FQ","FILING_STATUS=OR","EQY_CONSOLIDATED=Y","Sort=A","Dates=H","DateFormat=P","Fill=—","Direction=H","UseDPDF=Y")</f>
        <v>#NAME?</v>
      </c>
      <c r="BQ25" s="2" t="e">
        <f ca="1">_xll.BDH($C$3,"WORKING_CAPITAL_SEQ_GROWTH","FQ2 2018","FQ2 2018","Currency=INR","Period=FQ","BEST_FPERIOD_OVERRIDE=FQ","FILING_STATUS=OR","EQY_CONSOLIDATED=Y","Sort=A","Dates=H","DateFormat=P","Fill=—","Direction=H","UseDPDF=Y")</f>
        <v>#NAME?</v>
      </c>
      <c r="BR25" s="2" t="e">
        <f ca="1">_xll.BDH($C$3,"ACCOUNTS_PAYABLE_SEQ_GROWTH","FQ2 2018","FQ2 2018","Currency=INR","Period=FQ","BEST_FPERIOD_OVERRIDE=FQ","FILING_STATUS=OR","EQY_CONSOLIDATED=Y","Sort=A","Dates=H","DateFormat=P","Fill=—","Direction=H","UseDPDF=Y")</f>
        <v>#NAME?</v>
      </c>
      <c r="BS25" s="2" t="e">
        <f ca="1">_xll.BDH($C$3,"ST_DEBT_SEQUENTIAL_GROWTH","FQ2 2018","FQ2 2018","Currency=INR","Period=FQ","BEST_FPERIOD_OVERRIDE=FQ","FILING_STATUS=OR","EQY_CONSOLIDATED=Y","Sort=A","Dates=H","DateFormat=P","Fill=—","Direction=H","UseDPDF=Y")</f>
        <v>#NAME?</v>
      </c>
      <c r="BT25" s="2" t="e">
        <f ca="1">_xll.BDH($C$3,"TOTAL_DEBT_SEQUENTIAL_GROWTH","FQ2 2018","FQ2 2018","Currency=INR","Period=FQ","BEST_FPERIOD_OVERRIDE=FQ","FILING_STATUS=OR","EQY_CONSOLIDATED=Y","Sort=A","Dates=H","DateFormat=P","Fill=—","Direction=H","UseDPDF=Y")</f>
        <v>#NAME?</v>
      </c>
      <c r="BU25" s="2" t="e">
        <f ca="1">_xll.BDH($C$3,"TOTAL_EQUITY_SEQUENTIAL_GROWTH","FQ2 2018","FQ2 2018","Currency=INR","Period=FQ","BEST_FPERIOD_OVERRIDE=FQ","FILING_STATUS=OR","EQY_CONSOLIDATED=Y","Sort=A","Dates=H","DateFormat=P","Fill=—","Direction=H","UseDPDF=Y")</f>
        <v>#NAME?</v>
      </c>
      <c r="BV25" s="2" t="e">
        <f ca="1">_xll.BDH($C$3,"TOTAL_CAPITAL_SEQUENTIAL_GROWTH","FQ2 2018","FQ2 2018","Currency=INR","Period=FQ","BEST_FPERIOD_OVERRIDE=FQ","FILING_STATUS=OR","EQY_CONSOLIDATED=Y","Sort=A","Dates=H","DateFormat=P","Fill=—","Direction=H","UseDPDF=Y")</f>
        <v>#NAME?</v>
      </c>
      <c r="BW25" s="2" t="e">
        <f ca="1">_xll.BDH($C$3,"BPS_SEQUENTIAL_GROWTH","FQ2 2018","FQ2 2018","Currency=INR","Period=FQ","BEST_FPERIOD_OVERRIDE=FQ","FILING_STATUS=OR","EQY_CONSOLIDATED=Y","Sort=A","Dates=H","DateFormat=P","Fill=—","Direction=H","UseDPDF=Y")</f>
        <v>#NAME?</v>
      </c>
      <c r="BX25" s="2" t="e">
        <f ca="1">_xll.BDH($C$3,"CFO_SEQUENTIAL_GROWTH","FQ2 2018","FQ2 2018","Currency=INR","Period=FQ","BEST_FPERIOD_OVERRIDE=FQ","FILING_STATUS=OR","EQY_CONSOLIDATED=Y","Sort=A","Dates=H","DateFormat=P","Fill=—","Direction=H","UseDPDF=Y")</f>
        <v>#NAME?</v>
      </c>
      <c r="BY25" s="3" t="e">
        <f ca="1">_xll.BDH($C$3,"SHORT_AND_LONG_TERM_DEBT","FQ2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25" s="3" t="e">
        <f ca="1">_xll.BDH($C$3,"BS_ST_BORROW","FQ2 2018","FQ2 2018","Currency=INR","Period=FQ","BEST_FPERIOD_OVERRIDE=FQ","FILING_STATUS=OR","EQY_CONSOLIDATED=Y","SCALING_FORMAT=MLN","Sort=A","Dates=H","DateFormat=P","Fill=—","Direction=H","UseDPDF=Y")</f>
        <v>#NAME?</v>
      </c>
      <c r="CA25" s="3" t="e">
        <f ca="1">_xll.BDH($C$3,"BS_LT_BORROW","FQ2 2018","FQ2 2018","Currency=INR","Period=FQ","BEST_FPERIOD_OVERRIDE=FQ","FILING_STATUS=OR","EQY_CONSOLIDATED=Y","SCALING_FORMAT=MLN","Sort=A","Dates=H","DateFormat=P","Fill=—","Direction=H","UseDPDF=Y")</f>
        <v>#NAME?</v>
      </c>
      <c r="CB25" s="2" t="e">
        <f ca="1">_xll.BDH($C$3,"TOT_DEBT_TO_EBITDA","FQ2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25" s="2" t="e">
        <f ca="1">_xll.BDH($C$3,"NET_DEBT_TO_EBITDA","FQ2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25" s="2" t="e">
        <f ca="1">_xll.BDH($C$3,"TOTAL_DEBT_TO_EBIT","FQ2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25" s="2" t="e">
        <f ca="1">_xll.BDH($C$3,"NET_DEBT_TO_EBIT","FQ2 2018","FQ2 2018","Currency=INR","Period=FQ","BEST_FPERIOD_OVERRIDE=FQ","FILING_STATUS=OR","EQY_CONSOLIDATED=Y","FA_ADJUSTED=GAAP","Sort=A","Dates=H","DateFormat=P","Fill=—","Direction=H","UseDPDF=Y")</f>
        <v>#NAME?</v>
      </c>
      <c r="CF25" s="2" t="e">
        <f ca="1">_xll.BDH($C$3,"EBITDA_TO_INTEREST_EXPN","FQ2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25" s="2" t="e">
        <f ca="1">_xll.BDH($C$3,"COM_EQY_TO_TOT_ASSET","FQ2 2018","FQ2 2018","Currency=INR","Period=FQ","BEST_FPERIOD_OVERRIDE=FQ","FILING_STATUS=OR","EQY_CONSOLIDATED=Y","Sort=A","Dates=H","DateFormat=P","Fill=—","Direction=H","UseDPDF=Y")</f>
        <v>#NAME?</v>
      </c>
      <c r="CH25" s="2" t="e">
        <f ca="1">_xll.BDH($C$3,"LT_DEBT_TO_TOT_EQY","FQ2 2018","FQ2 2018","Currency=INR","Period=FQ","BEST_FPERIOD_OVERRIDE=FQ","FILING_STATUS=OR","EQY_CONSOLIDATED=Y","Sort=A","Dates=H","DateFormat=P","Fill=—","Direction=H","UseDPDF=Y")</f>
        <v>#NAME?</v>
      </c>
      <c r="CI25" s="2" t="e">
        <f ca="1">_xll.BDH($C$3,"LT_DEBT_TO_TOT_CAP","FQ2 2018","FQ2 2018","Currency=INR","Period=FQ","BEST_FPERIOD_OVERRIDE=FQ","FILING_STATUS=OR","EQY_CONSOLIDATED=Y","Sort=A","Dates=H","DateFormat=P","Fill=—","Direction=H","UseDPDF=Y")</f>
        <v>#NAME?</v>
      </c>
      <c r="CJ25" s="2" t="e">
        <f ca="1">_xll.BDH($C$3,"LT_DEBT_TO_TOT_ASSET","FQ2 2018","FQ2 2018","Currency=INR","Period=FQ","BEST_FPERIOD_OVERRIDE=FQ","FILING_STATUS=OR","EQY_CONSOLIDATED=Y","Sort=A","Dates=H","DateFormat=P","Fill=—","Direction=H","UseDPDF=Y")</f>
        <v>#NAME?</v>
      </c>
      <c r="CK25" s="2" t="e">
        <f ca="1">_xll.BDH($C$3,"TOT_DEBT_TO_TOT_EQY","FQ2 2018","FQ2 2018","Currency=INR","Period=FQ","BEST_FPERIOD_OVERRIDE=FQ","FILING_STATUS=OR","EQY_CONSOLIDATED=Y","Sort=A","Dates=H","DateFormat=P","Fill=—","Direction=H","UseDPDF=Y")</f>
        <v>#NAME?</v>
      </c>
      <c r="CL25" s="2" t="e">
        <f ca="1">_xll.BDH($C$3,"TOT_DEBT_TO_TOT_CAP","FQ2 2018","FQ2 2018","Currency=INR","Period=FQ","BEST_FPERIOD_OVERRIDE=FQ","FILING_STATUS=OR","EQY_CONSOLIDATED=Y","Sort=A","Dates=H","DateFormat=P","Fill=—","Direction=H","UseDPDF=Y")</f>
        <v>#NAME?</v>
      </c>
      <c r="CM25" s="2" t="e">
        <f ca="1">_xll.BDH($C$3,"TOT_DEBT_TO_TOT_ASSET","FQ2 2018","FQ2 2018","Currency=INR","Period=FQ","BEST_FPERIOD_OVERRIDE=FQ","FILING_STATUS=OR","EQY_CONSOLIDATED=Y","Sort=A","Dates=H","DateFormat=P","Fill=—","Direction=H","UseDPDF=Y")</f>
        <v>#NAME?</v>
      </c>
      <c r="CN25" s="2" t="e">
        <f ca="1">_xll.BDH($C$3,"NET_DEBT_TO_SHRHLDR_EQTY","FQ2 2018","FQ2 2018","Currency=INR","Period=FQ","BEST_FPERIOD_OVERRIDE=FQ","FILING_STATUS=OR","EQY_CONSOLIDATED=Y","Sort=A","Dates=H","DateFormat=P","Fill=—","Direction=H","UseDPDF=Y")</f>
        <v>#NAME?</v>
      </c>
      <c r="CO25" s="2" t="e">
        <f ca="1">_xll.BDH($C$3,"NET_DEBT_%_CAPITAL","FQ2 2018","FQ2 2018","Currency=INR","Period=FQ","BEST_FPERIOD_OVERRIDE=FQ","FILING_STATUS=OR","EQY_CONSOLIDATED=Y","Sort=A","Dates=H","DateFormat=P","Fill=—","Direction=H","UseDPDF=Y")</f>
        <v>#NAME?</v>
      </c>
      <c r="CP25" s="3" t="e">
        <f ca="1">_xll.BDH($C$3,"EBITDA","FQ2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25" s="3" t="e">
        <f ca="1">_xll.BDH($C$3,"EBITDA_AFTER_CAPEX","FQ2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25" s="3" t="e">
        <f ca="1">_xll.BDH($C$3,"IS_OPER_INC","FQ2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25" s="2" t="e">
        <f ca="1">_xll.BDH($C$3,"CASH_RATIO","FQ2 2018","FQ2 2018","Currency=INR","Period=FQ","BEST_FPERIOD_OVERRIDE=FQ","FILING_STATUS=OR","EQY_CONSOLIDATED=Y","Sort=A","Dates=H","DateFormat=P","Fill=—","Direction=H","UseDPDF=Y")</f>
        <v>#NAME?</v>
      </c>
      <c r="CT25" s="2" t="e">
        <f ca="1">_xll.BDH($C$3,"CUR_RATIO","FQ2 2018","FQ2 2018","Currency=INR","Period=FQ","BEST_FPERIOD_OVERRIDE=FQ","FILING_STATUS=OR","EQY_CONSOLIDATED=Y","Sort=A","Dates=H","DateFormat=P","Fill=—","Direction=H","UseDPDF=Y")</f>
        <v>#NAME?</v>
      </c>
      <c r="CU25" s="2" t="e">
        <f ca="1">_xll.BDH($C$3,"QUICK_RATIO","FQ2 2018","FQ2 2018","Currency=INR","Period=FQ","BEST_FPERIOD_OVERRIDE=FQ","FILING_STATUS=OR","EQY_CONSOLIDATED=Y","Sort=A","Dates=H","DateFormat=P","Fill=—","Direction=H","UseDPDF=Y")</f>
        <v>#NAME?</v>
      </c>
      <c r="CV25" s="2" t="e">
        <f ca="1">_xll.BDH($C$3,"ALTMAN_Z_SCORE","FQ2 2018","FQ2 2018","Currency=INR","Period=FQ","BEST_FPERIOD_OVERRIDE=FQ","FILING_STATUS=OR","EQY_CONSOLIDATED=Y","Sort=A","Dates=H","DateFormat=P","Fill=—","Direction=H","UseDPDF=Y")</f>
        <v>#NAME?</v>
      </c>
      <c r="CW25" s="4" t="e">
        <f ca="1">_xll.BDH($C$3,"ACCT_RCV_TURN","FQ2 2018","FQ2 2018","Currency=INR","Period=FQ","BEST_FPERIOD_OVERRIDE=FQ","FILING_STATUS=OR","EQY_CONSOLIDATED=Y","FA_ADJUSTED=GAAP","Sort=A","Dates=H","DateFormat=P","Fill=—","Direction=H","UseDPDF=Y")</f>
        <v>#NAME?</v>
      </c>
      <c r="CX25" s="2" t="e">
        <f ca="1">_xll.BDH($C$3,"ACCT_RCV_DAYS","FQ2 2018","FQ2 2018","Currency=INR","Period=FQ","BEST_FPERIOD_OVERRIDE=FQ","FILING_STATUS=OR","EQY_CONSOLIDATED=Y","FA_ADJUSTED=GAAP","Sort=A","Dates=H","DateFormat=P","Fill=—","Direction=H","UseDPDF=Y")</f>
        <v>#NAME?</v>
      </c>
      <c r="CY25" s="4" t="e">
        <f ca="1">_xll.BDH($C$3,"INVENT_TURN","FQ2 2018","FQ2 2018","Currency=INR","Period=FQ","BEST_FPERIOD_OVERRIDE=FQ","FILING_STATUS=OR","EQY_CONSOLIDATED=Y","FA_ADJUSTED=GAAP","Sort=A","Dates=H","DateFormat=P","Fill=—","Direction=H","UseDPDF=Y")</f>
        <v>#NAME?</v>
      </c>
      <c r="CZ25" s="2" t="e">
        <f ca="1">_xll.BDH($C$3,"INVENT_DAYS","FQ2 2018","FQ2 2018","Currency=INR","Period=FQ","BEST_FPERIOD_OVERRIDE=FQ","FILING_STATUS=OR","EQY_CONSOLIDATED=Y","FA_ADJUSTED=GAAP","Sort=A","Dates=H","DateFormat=P","Fill=—","Direction=H","UseDPDF=Y")</f>
        <v>#NAME?</v>
      </c>
      <c r="DA25" s="4" t="e">
        <f ca="1">_xll.BDH($C$3,"ACCOUNTS_PAYABLE_TURNOVER","FQ2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25" s="2" t="e">
        <f ca="1">_xll.BDH($C$3,"ACCOUNTS_PAYABLE_TURNOVER_DAYS","FQ2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25" s="4" t="e">
        <f ca="1">_xll.BDH($C$3,"CASH_CONVERSION_CYCLE","FQ2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25" s="4" t="e">
        <f ca="1">_xll.BDH($C$3,"INV_TO_CASH_DAYS","FQ2 2018","FQ2 2018","Currency=INR","Period=FQ","BEST_FPERIOD_OVERRIDE=FQ","FILING_STATUS=OR","EQY_CONSOLIDATED=Y","FA_ADJUSTED=GAAP","Sort=A","Dates=H","DateFormat=P","Fill=—","Direction=H","UseDPDF=Y")</f>
        <v>#NAME?</v>
      </c>
      <c r="DE25" s="5" t="e">
        <f ca="1">_xll.BDH($C$3,"BS_INVENTORIES","FQ2 2018","FQ2 2018","Currency=INR","Period=FQ","BEST_FPERIOD_OVERRIDE=FQ","FILING_STATUS=OR","EQY_CONSOLIDATED=Y","SCALING_FORMAT=MLN","Sort=A","Dates=H","DateFormat=P","Fill=—","Direction=H","UseDPDF=Y")</f>
        <v>#NAME?</v>
      </c>
      <c r="DF25" s="3" t="e">
        <f ca="1">_xll.BDH($C$3,"INVTRY_RAW_MATERIALS","FQ2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25" s="3" t="e">
        <f ca="1">_xll.BDH($C$3,"INVTRY_IN_PROGRESS","FQ2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25" s="3" t="e">
        <f ca="1">_xll.BDH($C$3,"INVTRY_FINISHED_GOODS","FQ2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25" s="3" t="e">
        <f ca="1">_xll.BDH($C$3,"BS_OTHER_INV","FQ2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26" spans="1:113" x14ac:dyDescent="0.3">
      <c r="A26" s="6"/>
      <c r="B26" s="6"/>
      <c r="C26" s="6"/>
      <c r="D26" s="6"/>
      <c r="E26" t="s">
        <v>80</v>
      </c>
      <c r="F26" t="e">
        <f ca="1">_xll.BDH($C$3,"RETURN_COM_EQY","FQ3 2018","FQ3 2018","Currency=INR","Period=FQ","BEST_FPERIOD_OVERRIDE=FQ","FILING_STATUS=OR","EQY_CONSOLIDATED=Y","FA_ADJUSTED=GAAP","Sort=A","Dates=H","DateFormat=P","Fill=—","Direction=H","UseDPDF=Y")</f>
        <v>#NAME?</v>
      </c>
      <c r="G26" t="e">
        <f ca="1">_xll.BDH($C$3,"RETURN_ON_ASSET","FQ3 2018","FQ3 2018","Currency=INR","Period=FQ","BEST_FPERIOD_OVERRIDE=FQ","FILING_STATUS=OR","EQY_CONSOLIDATED=Y","FA_ADJUSTED=GAAP","Sort=A","Dates=H","DateFormat=P","Fill=—","Direction=H","UseDPDF=Y")</f>
        <v>#NAME?</v>
      </c>
      <c r="H26" t="e">
        <f ca="1">_xll.BDH($C$3,"RETURN_ON_CAP","FQ3 2018","FQ3 2018","Currency=INR","Period=FQ","BEST_FPERIOD_OVERRIDE=FQ","FILING_STATUS=OR","EQY_CONSOLIDATED=Y","FA_ADJUSTED=GAAP","Sort=A","Dates=H","DateFormat=P","Fill=—","Direction=H","UseDPDF=Y")</f>
        <v>#NAME?</v>
      </c>
      <c r="I26" t="e">
        <f ca="1">_xll.BDH($C$3,"RETURN_ON_INV_CAPITAL","FQ3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26" t="e">
        <f ca="1">_xll.BDH($C$3,"EBITDA_TO_REVENUE","FQ3 2018","FQ3 2018","Currency=INR","Period=FQ","BEST_FPERIOD_OVERRIDE=FQ","FILING_STATUS=OR","EQY_CONSOLIDATED=Y","FA_ADJUSTED=GAAP","Sort=A","Dates=H","DateFormat=P","Fill=—","Direction=H","UseDPDF=Y")</f>
        <v>#NAME?</v>
      </c>
      <c r="K26" t="e">
        <f ca="1">_xll.BDH($C$3,"OPER_MARGIN","FQ3 2018","FQ3 2018","Currency=INR","Period=FQ","BEST_FPERIOD_OVERRIDE=FQ","FILING_STATUS=OR","EQY_CONSOLIDATED=Y","FA_ADJUSTED=GAAP","Sort=A","Dates=H","DateFormat=P","Fill=—","Direction=H","UseDPDF=Y")</f>
        <v>#NAME?</v>
      </c>
      <c r="L26" t="e">
        <f ca="1">_xll.BDH($C$3,"INCREMENTAL_OPERATING_MARGIN","FQ3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26" t="e">
        <f ca="1">_xll.BDH($C$3,"PRETAX_INC_TO_NET_SALES","FQ3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26" t="e">
        <f ca="1">_xll.BDH($C$3,"INC_BEF_XO_ITEMS_TO_NET_SALES","FQ3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26" t="e">
        <f ca="1">_xll.BDH($C$3,"PROF_MARGIN","FQ3 2018","FQ3 2018","Currency=INR","Period=FQ","BEST_FPERIOD_OVERRIDE=FQ","FILING_STATUS=OR","EQY_CONSOLIDATED=Y","FA_ADJUSTED=GAAP","Sort=A","Dates=H","DateFormat=P","Fill=—","Direction=H","UseDPDF=Y")</f>
        <v>#NAME?</v>
      </c>
      <c r="P26" t="e">
        <f ca="1">_xll.BDH($C$3,"NET_INCOME_TO_COMMON_MARGIN","FQ3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26" t="e">
        <f ca="1">_xll.BDH($C$3,"EFF_TAX_RATE","FQ3 2018","FQ3 2018","Currency=INR","Period=FQ","BEST_FPERIOD_OVERRIDE=FQ","FILING_STATUS=OR","EQY_CONSOLIDATED=Y","FA_ADJUSTED=GAAP","Sort=A","Dates=H","DateFormat=P","Fill=—","Direction=H","UseDPDF=Y")</f>
        <v>#NAME?</v>
      </c>
      <c r="R26" t="e">
        <f ca="1">_xll.BDH($C$3,"DVD_PAYOUT_RATIO","FQ3 2018","FQ3 2018","Currency=INR","Period=FQ","BEST_FPERIOD_OVERRIDE=FQ","FILING_STATUS=OR","EQY_CONSOLIDATED=Y","FA_ADJUSTED=GAAP","Sort=A","Dates=H","DateFormat=P","Fill=—","Direction=H","UseDPDF=Y")</f>
        <v>#NAME?</v>
      </c>
      <c r="S26" t="e">
        <f ca="1">_xll.BDH($C$3,"SUSTAIN_GROWTH_RT","FQ3 2018","FQ3 2018","Currency=INR","Period=FQ","BEST_FPERIOD_OVERRIDE=FQ","FILING_STATUS=OR","EQY_CONSOLIDATED=Y","FA_ADJUSTED=GAAP","Sort=A","Dates=H","DateFormat=P","Fill=—","Direction=H","UseDPDF=Y")</f>
        <v>#NAME?</v>
      </c>
      <c r="T26" s="2" t="e">
        <f ca="1">_xll.BDH($C$3,"SALES_GROWTH","FQ3 2018","FQ3 2018","Currency=INR","Period=FQ","BEST_FPERIOD_OVERRIDE=FQ","FILING_STATUS=OR","EQY_CONSOLIDATED=Y","FA_ADJUSTED=GAAP","Sort=A","Dates=H","DateFormat=P","Fill=—","Direction=H","UseDPDF=Y")</f>
        <v>#NAME?</v>
      </c>
      <c r="U26" s="2" t="e">
        <f ca="1">_xll.BDH($C$3,"EBITDA_GROWTH","FQ3 2018","FQ3 2018","Currency=INR","Period=FQ","BEST_FPERIOD_OVERRIDE=FQ","FILING_STATUS=OR","EQY_CONSOLIDATED=Y","FA_ADJUSTED=GAAP","Sort=A","Dates=H","DateFormat=P","Fill=—","Direction=H","UseDPDF=Y")</f>
        <v>#NAME?</v>
      </c>
      <c r="V26" s="2" t="e">
        <f ca="1">_xll.BDH($C$3,"OPER_INC_GROWTH","FQ3 2018","FQ3 2018","Currency=INR","Period=FQ","BEST_FPERIOD_OVERRIDE=FQ","FILING_STATUS=OR","EQY_CONSOLIDATED=Y","FA_ADJUSTED=GAAP","Sort=A","Dates=H","DateFormat=P","Fill=—","Direction=H","UseDPDF=Y")</f>
        <v>#NAME?</v>
      </c>
      <c r="W26" s="2" t="e">
        <f ca="1">_xll.BDH($C$3,"EARN_FOR_COM_GROWTH","FQ3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26" s="2" t="e">
        <f ca="1">_xll.BDH($C$3,"DILUTED_EPS_AFT_XO_ITEMS_GROWTH","FQ3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26" s="2" t="e">
        <f ca="1">_xll.BDH($C$3,"DIVIDEND_PER_SHARE_1_YEAR_GROWTH","FQ3 2018","FQ3 2018","Currency=INR","Period=FQ","BEST_FPERIOD_OVERRIDE=FQ","FILING_STATUS=OR","EQY_CONSOLIDATED=Y","Sort=A","Dates=H","DateFormat=P","Fill=—","Direction=H","UseDPDF=Y")</f>
        <v>#NAME?</v>
      </c>
      <c r="Z26" s="2" t="e">
        <f ca="1">_xll.BDH($C$3,"ACCOUNTS_RECEIVABLE_GROWTH","FQ3 2018","FQ3 2018","Currency=INR","Period=FQ","BEST_FPERIOD_OVERRIDE=FQ","FILING_STATUS=OR","EQY_CONSOLIDATED=Y","Sort=A","Dates=H","DateFormat=P","Fill=—","Direction=H","UseDPDF=Y")</f>
        <v>#NAME?</v>
      </c>
      <c r="AA26" s="2" t="e">
        <f ca="1">_xll.BDH($C$3,"INVENTORY_GROWTH","FQ3 2018","FQ3 2018","Currency=INR","Period=FQ","BEST_FPERIOD_OVERRIDE=FQ","FILING_STATUS=OR","EQY_CONSOLIDATED=Y","Sort=A","Dates=H","DateFormat=P","Fill=—","Direction=H","UseDPDF=Y")</f>
        <v>#NAME?</v>
      </c>
      <c r="AB26" s="2" t="e">
        <f ca="1">_xll.BDH($C$3,"NET_FIXED_ASSETS_1_YEAR_GROWTH","FQ3 2018","FQ3 2018","Currency=INR","Period=FQ","BEST_FPERIOD_OVERRIDE=FQ","FILING_STATUS=OR","EQY_CONSOLIDATED=Y","Sort=A","Dates=H","DateFormat=P","Fill=—","Direction=H","UseDPDF=Y")</f>
        <v>#NAME?</v>
      </c>
      <c r="AC26" s="2" t="e">
        <f ca="1">_xll.BDH($C$3,"ASSET_GROWTH","FQ3 2018","FQ3 2018","Currency=INR","Period=FQ","BEST_FPERIOD_OVERRIDE=FQ","FILING_STATUS=OR","EQY_CONSOLIDATED=Y","Sort=A","Dates=H","DateFormat=P","Fill=—","Direction=H","UseDPDF=Y")</f>
        <v>#NAME?</v>
      </c>
      <c r="AD26" s="2" t="e">
        <f ca="1">_xll.BDH($C$3,"MODIFIED_WORK_CAP_GROWTH","FQ3 2018","FQ3 2018","Currency=INR","Period=FQ","BEST_FPERIOD_OVERRIDE=FQ","FILING_STATUS=OR","EQY_CONSOLIDATED=Y","Sort=A","Dates=H","DateFormat=P","Fill=—","Direction=H","UseDPDF=Y")</f>
        <v>#NAME?</v>
      </c>
      <c r="AE26" s="2" t="e">
        <f ca="1">_xll.BDH($C$3,"WORK_CAP_GROWTH","FQ3 2018","FQ3 2018","Currency=INR","Period=FQ","BEST_FPERIOD_OVERRIDE=FQ","FILING_STATUS=OR","EQY_CONSOLIDATED=Y","Sort=A","Dates=H","DateFormat=P","Fill=—","Direction=H","UseDPDF=Y")</f>
        <v>#NAME?</v>
      </c>
      <c r="AF26" s="2" t="e">
        <f ca="1">_xll.BDH($C$3,"ACCOUNTS_PAYABLE_GROWTH_1YR","FQ3 2018","FQ3 2018","Currency=INR","Period=FQ","BEST_FPERIOD_OVERRIDE=FQ","FILING_STATUS=OR","EQY_CONSOLIDATED=Y","Sort=A","Dates=H","DateFormat=P","Fill=—","Direction=H","UseDPDF=Y")</f>
        <v>#NAME?</v>
      </c>
      <c r="AG26" s="2" t="e">
        <f ca="1">_xll.BDH($C$3,"SHORT_TERM_DEBT_1_YEAR_GROWTH","FQ3 2018","FQ3 2018","Currency=INR","Period=FQ","BEST_FPERIOD_OVERRIDE=FQ","FILING_STATUS=OR","EQY_CONSOLIDATED=Y","Sort=A","Dates=H","DateFormat=P","Fill=—","Direction=H","UseDPDF=Y")</f>
        <v>#NAME?</v>
      </c>
      <c r="AH26" s="2" t="e">
        <f ca="1">_xll.BDH($C$3,"TOTAL_DEBT_1_YEAR_GROWTH","FQ3 2018","FQ3 2018","Currency=INR","Period=FQ","BEST_FPERIOD_OVERRIDE=FQ","FILING_STATUS=OR","EQY_CONSOLIDATED=Y","Sort=A","Dates=H","DateFormat=P","Fill=—","Direction=H","UseDPDF=Y")</f>
        <v>#NAME?</v>
      </c>
      <c r="AI26" s="2" t="e">
        <f ca="1">_xll.BDH($C$3,"TOTAL_EQUITY_1_YEAR_GROWTH","FQ3 2018","FQ3 2018","Currency=INR","Period=FQ","BEST_FPERIOD_OVERRIDE=FQ","FILING_STATUS=OR","EQY_CONSOLIDATED=Y","Sort=A","Dates=H","DateFormat=P","Fill=—","Direction=H","UseDPDF=Y")</f>
        <v>#NAME?</v>
      </c>
      <c r="AJ26" s="2" t="e">
        <f ca="1">_xll.BDH($C$3,"GROWTH_IN_CAP","FQ3 2018","FQ3 2018","Currency=INR","Period=FQ","BEST_FPERIOD_OVERRIDE=FQ","FILING_STATUS=OR","EQY_CONSOLIDATED=Y","Sort=A","Dates=H","DateFormat=P","Fill=—","Direction=H","UseDPDF=Y")</f>
        <v>#NAME?</v>
      </c>
      <c r="AK26" s="2" t="e">
        <f ca="1">_xll.BDH($C$3,"BVPS_GROWTH","FQ3 2018","FQ3 2018","Currency=INR","Period=FQ","BEST_FPERIOD_OVERRIDE=FQ","FILING_STATUS=OR","EQY_CONSOLIDATED=Y","Sort=A","Dates=H","DateFormat=P","Fill=—","Direction=H","UseDPDF=Y")</f>
        <v>#NAME?</v>
      </c>
      <c r="AL26" s="2" t="e">
        <f ca="1">_xll.BDH($C$3,"CASH_FLOW_GROWTH","FQ3 2018","FQ3 2018","Currency=INR","Period=FQ","BEST_FPERIOD_OVERRIDE=FQ","FILING_STATUS=OR","EQY_CONSOLIDATED=Y","Sort=A","Dates=H","DateFormat=P","Fill=—","Direction=H","UseDPDF=Y")</f>
        <v>#NAME?</v>
      </c>
      <c r="AM26" s="2" t="e">
        <f ca="1">_xll.BDH($C$3,"GEO_GROW_NET_SALES","FQ3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26" s="2" t="e">
        <f ca="1">_xll.BDH($C$3,"GEO_GROW_EBITDA","FQ3 2018","FQ3 2018","Currency=INR","Period=FQ","BEST_FPERIOD_OVERRIDE=FQ","FILING_STATUS=OR","EQY_CONSOLIDATED=Y","FA_ADJUSTED=GAAP","Sort=A","Dates=H","DateFormat=P","Fill=—","Direction=H","UseDPDF=Y")</f>
        <v>#NAME?</v>
      </c>
      <c r="AO26" s="2" t="e">
        <f ca="1">_xll.BDH($C$3,"GEO_GROW_OPER_INC","FQ3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26" s="2" t="e">
        <f ca="1">_xll.BDH($C$3,"NET_INCOME_TO_COMMON_5_YR_GROWTH","FQ3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26" s="2" t="e">
        <f ca="1">_xll.BDH($C$3,"5Y_GEO_GROWTH_DILUTED_EPS","FQ3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26" s="2" t="e">
        <f ca="1">_xll.BDH($C$3,"GEO_GROW_DVD_PER_SH","FQ3 2018","FQ3 2018","Currency=INR","Period=FQ","BEST_FPERIOD_OVERRIDE=FQ","FILING_STATUS=OR","EQY_CONSOLIDATED=Y","Sort=A","Dates=H","DateFormat=P","Fill=—","Direction=H","UseDPDF=Y")</f>
        <v>#NAME?</v>
      </c>
      <c r="AS26" s="2" t="e">
        <f ca="1">_xll.BDH($C$3,"ACCOUNTS_RECEIVABLE_5_YR_GROWTH","FQ3 2018","FQ3 2018","Currency=INR","Period=FQ","BEST_FPERIOD_OVERRIDE=FQ","FILING_STATUS=OR","EQY_CONSOLIDATED=Y","Sort=A","Dates=H","DateFormat=P","Fill=—","Direction=H","UseDPDF=Y")</f>
        <v>#NAME?</v>
      </c>
      <c r="AT26" s="2" t="e">
        <f ca="1">_xll.BDH($C$3,"INVENTORY_5_YEAR_GROWTH","FQ3 2018","FQ3 2018","Currency=INR","Period=FQ","BEST_FPERIOD_OVERRIDE=FQ","FILING_STATUS=OR","EQY_CONSOLIDATED=Y","Sort=A","Dates=H","DateFormat=P","Fill=—","Direction=H","UseDPDF=Y")</f>
        <v>#NAME?</v>
      </c>
      <c r="AU26" s="2" t="e">
        <f ca="1">_xll.BDH($C$3,"NET_FIXED_ASSETS_5_YEAR_GROWTH","FQ3 2018","FQ3 2018","Currency=INR","Period=FQ","BEST_FPERIOD_OVERRIDE=FQ","FILING_STATUS=OR","EQY_CONSOLIDATED=Y","Sort=A","Dates=H","DateFormat=P","Fill=—","Direction=H","UseDPDF=Y")</f>
        <v>#NAME?</v>
      </c>
      <c r="AV26" s="2" t="e">
        <f ca="1">_xll.BDH($C$3,"GEO_GROW_TOT_ASSET","FQ3 2018","FQ3 2018","Currency=INR","Period=FQ","BEST_FPERIOD_OVERRIDE=FQ","FILING_STATUS=OR","EQY_CONSOLIDATED=Y","Sort=A","Dates=H","DateFormat=P","Fill=—","Direction=H","UseDPDF=Y")</f>
        <v>#NAME?</v>
      </c>
      <c r="AW26" s="2" t="e">
        <f ca="1">_xll.BDH($C$3,"MODIFIED_WORKING_CPTL_5YR_GRWTH","FQ3 2018","FQ3 2018","Currency=INR","Period=FQ","BEST_FPERIOD_OVERRIDE=FQ","FILING_STATUS=OR","EQY_CONSOLIDATED=Y","Sort=A","Dates=H","DateFormat=P","Fill=—","Direction=H","UseDPDF=Y")</f>
        <v>#NAME?</v>
      </c>
      <c r="AX26" s="2" t="e">
        <f ca="1">_xll.BDH($C$3,"WORKING_CAPITAL_5_YEAR_GROWTH","FQ3 2018","FQ3 2018","Currency=INR","Period=FQ","BEST_FPERIOD_OVERRIDE=FQ","FILING_STATUS=OR","EQY_CONSOLIDATED=Y","Sort=A","Dates=H","DateFormat=P","Fill=—","Direction=H","UseDPDF=Y")</f>
        <v>#NAME?</v>
      </c>
      <c r="AY26" s="2" t="e">
        <f ca="1">_xll.BDH($C$3,"ACCOUNTS_PAYABLE_5_YEAR_GROWTH","FQ3 2018","FQ3 2018","Currency=INR","Period=FQ","BEST_FPERIOD_OVERRIDE=FQ","FILING_STATUS=OR","EQY_CONSOLIDATED=Y","Sort=A","Dates=H","DateFormat=P","Fill=—","Direction=H","UseDPDF=Y")</f>
        <v>#NAME?</v>
      </c>
      <c r="AZ26" s="2" t="e">
        <f ca="1">_xll.BDH($C$3,"SHORT_TERM_DEBT_5_YEAR_GROWTH","FQ3 2018","FQ3 2018","Currency=INR","Period=FQ","BEST_FPERIOD_OVERRIDE=FQ","FILING_STATUS=OR","EQY_CONSOLIDATED=Y","Sort=A","Dates=H","DateFormat=P","Fill=—","Direction=H","UseDPDF=Y")</f>
        <v>#NAME?</v>
      </c>
      <c r="BA26" s="2" t="e">
        <f ca="1">_xll.BDH($C$3,"TOTAL_DEBT_5_YEAR_GROWTH","FQ3 2018","FQ3 2018","Currency=INR","Period=FQ","BEST_FPERIOD_OVERRIDE=FQ","FILING_STATUS=OR","EQY_CONSOLIDATED=Y","Sort=A","Dates=H","DateFormat=P","Fill=—","Direction=H","UseDPDF=Y")</f>
        <v>#NAME?</v>
      </c>
      <c r="BB26" s="2" t="e">
        <f ca="1">_xll.BDH($C$3,"GEO_GROW_TOT_SHRHLDR_EQY","FQ3 2018","FQ3 2018","Currency=INR","Period=FQ","BEST_FPERIOD_OVERRIDE=FQ","FILING_STATUS=OR","EQY_CONSOLIDATED=Y","Sort=A","Dates=H","DateFormat=P","Fill=—","Direction=H","UseDPDF=Y")</f>
        <v>#NAME?</v>
      </c>
      <c r="BC26" s="2" t="e">
        <f ca="1">_xll.BDH($C$3,"TOTAL_CAPITAL_5_YEAR_GROWTH","FQ3 2018","FQ3 2018","Currency=INR","Period=FQ","BEST_FPERIOD_OVERRIDE=FQ","FILING_STATUS=OR","EQY_CONSOLIDATED=Y","Sort=A","Dates=H","DateFormat=P","Fill=—","Direction=H","UseDPDF=Y")</f>
        <v>#NAME?</v>
      </c>
      <c r="BD26" s="2" t="e">
        <f ca="1">_xll.BDH($C$3,"GEO_GROW_BOOK_VAL","FQ3 2018","FQ3 2018","Currency=INR","Period=FQ","BEST_FPERIOD_OVERRIDE=FQ","FILING_STATUS=OR","EQY_CONSOLIDATED=Y","Sort=A","Dates=H","DateFormat=P","Fill=—","Direction=H","UseDPDF=Y")</f>
        <v>#NAME?</v>
      </c>
      <c r="BE26" s="2" t="e">
        <f ca="1">_xll.BDH($C$3,"GEO_GROW_CASH_OPER_ACT","FQ3 2018","FQ3 2018","Currency=INR","Period=FQ","BEST_FPERIOD_OVERRIDE=FQ","FILING_STATUS=OR","EQY_CONSOLIDATED=Y","Sort=A","Dates=H","DateFormat=P","Fill=—","Direction=H","UseDPDF=Y")</f>
        <v>#NAME?</v>
      </c>
      <c r="BF26" s="2" t="e">
        <f ca="1">_xll.BDH($C$3,"REVENUE_SEQUENTIAL_GROWTH","FQ3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26" s="2" t="e">
        <f ca="1">_xll.BDH($C$3,"EBITDA_SEQUENTIAL_GROWTH","FQ3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26" s="2" t="e">
        <f ca="1">_xll.BDH($C$3,"OPERATING_INCOME_SEQ_GROWTH","FQ3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26" s="2" t="e">
        <f ca="1">_xll.BDH($C$3,"NET_INCOME_TO_COMMON_SEQ_GROWTH","FQ3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26" s="2" t="e">
        <f ca="1">_xll.BDH($C$3,"EPS_DILUTED_SEQUENTIAL_GROWTH","FQ3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26" s="2" t="e">
        <f ca="1">_xll.BDH($C$3,"DPS_SEQUENTIAL_GROWTH","FQ3 2018","FQ3 2018","Currency=INR","Period=FQ","BEST_FPERIOD_OVERRIDE=FQ","FILING_STATUS=OR","EQY_CONSOLIDATED=Y","Sort=A","Dates=H","DateFormat=P","Fill=—","Direction=H","UseDPDF=Y")</f>
        <v>#NAME?</v>
      </c>
      <c r="BL26" s="2" t="e">
        <f ca="1">_xll.BDH($C$3,"ACCOUNTS_RECEIVABLE_SEQ_GROWTH","FQ3 2018","FQ3 2018","Currency=INR","Period=FQ","BEST_FPERIOD_OVERRIDE=FQ","FILING_STATUS=OR","EQY_CONSOLIDATED=Y","Sort=A","Dates=H","DateFormat=P","Fill=—","Direction=H","UseDPDF=Y")</f>
        <v>#NAME?</v>
      </c>
      <c r="BM26" s="2" t="e">
        <f ca="1">_xll.BDH($C$3,"INVENTORY_SEQUENTIAL_GROWTH","FQ3 2018","FQ3 2018","Currency=INR","Period=FQ","BEST_FPERIOD_OVERRIDE=FQ","FILING_STATUS=OR","EQY_CONSOLIDATED=Y","Sort=A","Dates=H","DateFormat=P","Fill=—","Direction=H","UseDPDF=Y")</f>
        <v>#NAME?</v>
      </c>
      <c r="BN26" s="2" t="e">
        <f ca="1">_xll.BDH($C$3,"FIXED_ASSETS_SEQUENTIAL_GROWTH","FQ3 2018","FQ3 2018","Currency=INR","Period=FQ","BEST_FPERIOD_OVERRIDE=FQ","FILING_STATUS=OR","EQY_CONSOLIDATED=Y","Sort=A","Dates=H","DateFormat=P","Fill=—","Direction=H","UseDPDF=Y")</f>
        <v>#NAME?</v>
      </c>
      <c r="BO26" s="2" t="e">
        <f ca="1">_xll.BDH($C$3,"TOTAL_ASSETS_SEQUENTIAL_GROWTH","FQ3 2018","FQ3 2018","Currency=INR","Period=FQ","BEST_FPERIOD_OVERRIDE=FQ","FILING_STATUS=OR","EQY_CONSOLIDATED=Y","Sort=A","Dates=H","DateFormat=P","Fill=—","Direction=H","UseDPDF=Y")</f>
        <v>#NAME?</v>
      </c>
      <c r="BP26" s="2" t="e">
        <f ca="1">_xll.BDH($C$3,"MODIFIED_WORKING_CPTL_SEQ_GRWTH","FQ3 2018","FQ3 2018","Currency=INR","Period=FQ","BEST_FPERIOD_OVERRIDE=FQ","FILING_STATUS=OR","EQY_CONSOLIDATED=Y","Sort=A","Dates=H","DateFormat=P","Fill=—","Direction=H","UseDPDF=Y")</f>
        <v>#NAME?</v>
      </c>
      <c r="BQ26" s="2" t="e">
        <f ca="1">_xll.BDH($C$3,"WORKING_CAPITAL_SEQ_GROWTH","FQ3 2018","FQ3 2018","Currency=INR","Period=FQ","BEST_FPERIOD_OVERRIDE=FQ","FILING_STATUS=OR","EQY_CONSOLIDATED=Y","Sort=A","Dates=H","DateFormat=P","Fill=—","Direction=H","UseDPDF=Y")</f>
        <v>#NAME?</v>
      </c>
      <c r="BR26" s="2" t="e">
        <f ca="1">_xll.BDH($C$3,"ACCOUNTS_PAYABLE_SEQ_GROWTH","FQ3 2018","FQ3 2018","Currency=INR","Period=FQ","BEST_FPERIOD_OVERRIDE=FQ","FILING_STATUS=OR","EQY_CONSOLIDATED=Y","Sort=A","Dates=H","DateFormat=P","Fill=—","Direction=H","UseDPDF=Y")</f>
        <v>#NAME?</v>
      </c>
      <c r="BS26" s="2" t="e">
        <f ca="1">_xll.BDH($C$3,"ST_DEBT_SEQUENTIAL_GROWTH","FQ3 2018","FQ3 2018","Currency=INR","Period=FQ","BEST_FPERIOD_OVERRIDE=FQ","FILING_STATUS=OR","EQY_CONSOLIDATED=Y","Sort=A","Dates=H","DateFormat=P","Fill=—","Direction=H","UseDPDF=Y")</f>
        <v>#NAME?</v>
      </c>
      <c r="BT26" s="2" t="e">
        <f ca="1">_xll.BDH($C$3,"TOTAL_DEBT_SEQUENTIAL_GROWTH","FQ3 2018","FQ3 2018","Currency=INR","Period=FQ","BEST_FPERIOD_OVERRIDE=FQ","FILING_STATUS=OR","EQY_CONSOLIDATED=Y","Sort=A","Dates=H","DateFormat=P","Fill=—","Direction=H","UseDPDF=Y")</f>
        <v>#NAME?</v>
      </c>
      <c r="BU26" s="2" t="e">
        <f ca="1">_xll.BDH($C$3,"TOTAL_EQUITY_SEQUENTIAL_GROWTH","FQ3 2018","FQ3 2018","Currency=INR","Period=FQ","BEST_FPERIOD_OVERRIDE=FQ","FILING_STATUS=OR","EQY_CONSOLIDATED=Y","Sort=A","Dates=H","DateFormat=P","Fill=—","Direction=H","UseDPDF=Y")</f>
        <v>#NAME?</v>
      </c>
      <c r="BV26" s="2" t="e">
        <f ca="1">_xll.BDH($C$3,"TOTAL_CAPITAL_SEQUENTIAL_GROWTH","FQ3 2018","FQ3 2018","Currency=INR","Period=FQ","BEST_FPERIOD_OVERRIDE=FQ","FILING_STATUS=OR","EQY_CONSOLIDATED=Y","Sort=A","Dates=H","DateFormat=P","Fill=—","Direction=H","UseDPDF=Y")</f>
        <v>#NAME?</v>
      </c>
      <c r="BW26" s="2" t="e">
        <f ca="1">_xll.BDH($C$3,"BPS_SEQUENTIAL_GROWTH","FQ3 2018","FQ3 2018","Currency=INR","Period=FQ","BEST_FPERIOD_OVERRIDE=FQ","FILING_STATUS=OR","EQY_CONSOLIDATED=Y","Sort=A","Dates=H","DateFormat=P","Fill=—","Direction=H","UseDPDF=Y")</f>
        <v>#NAME?</v>
      </c>
      <c r="BX26" s="2" t="e">
        <f ca="1">_xll.BDH($C$3,"CFO_SEQUENTIAL_GROWTH","FQ3 2018","FQ3 2018","Currency=INR","Period=FQ","BEST_FPERIOD_OVERRIDE=FQ","FILING_STATUS=OR","EQY_CONSOLIDATED=Y","Sort=A","Dates=H","DateFormat=P","Fill=—","Direction=H","UseDPDF=Y")</f>
        <v>#NAME?</v>
      </c>
      <c r="BY26" s="3" t="e">
        <f ca="1">_xll.BDH($C$3,"SHORT_AND_LONG_TERM_DEBT","FQ3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26" s="3" t="e">
        <f ca="1">_xll.BDH($C$3,"BS_ST_BORROW","FQ3 2018","FQ3 2018","Currency=INR","Period=FQ","BEST_FPERIOD_OVERRIDE=FQ","FILING_STATUS=OR","EQY_CONSOLIDATED=Y","SCALING_FORMAT=MLN","Sort=A","Dates=H","DateFormat=P","Fill=—","Direction=H","UseDPDF=Y")</f>
        <v>#NAME?</v>
      </c>
      <c r="CA26" s="3" t="e">
        <f ca="1">_xll.BDH($C$3,"BS_LT_BORROW","FQ3 2018","FQ3 2018","Currency=INR","Period=FQ","BEST_FPERIOD_OVERRIDE=FQ","FILING_STATUS=OR","EQY_CONSOLIDATED=Y","SCALING_FORMAT=MLN","Sort=A","Dates=H","DateFormat=P","Fill=—","Direction=H","UseDPDF=Y")</f>
        <v>#NAME?</v>
      </c>
      <c r="CB26" s="2" t="e">
        <f ca="1">_xll.BDH($C$3,"TOT_DEBT_TO_EBITDA","FQ3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26" s="2" t="e">
        <f ca="1">_xll.BDH($C$3,"NET_DEBT_TO_EBITDA","FQ3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26" s="2" t="e">
        <f ca="1">_xll.BDH($C$3,"TOTAL_DEBT_TO_EBIT","FQ3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26" s="2" t="e">
        <f ca="1">_xll.BDH($C$3,"NET_DEBT_TO_EBIT","FQ3 2018","FQ3 2018","Currency=INR","Period=FQ","BEST_FPERIOD_OVERRIDE=FQ","FILING_STATUS=OR","EQY_CONSOLIDATED=Y","FA_ADJUSTED=GAAP","Sort=A","Dates=H","DateFormat=P","Fill=—","Direction=H","UseDPDF=Y")</f>
        <v>#NAME?</v>
      </c>
      <c r="CF26" s="2" t="e">
        <f ca="1">_xll.BDH($C$3,"EBITDA_TO_INTEREST_EXPN","FQ3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26" s="2" t="e">
        <f ca="1">_xll.BDH($C$3,"COM_EQY_TO_TOT_ASSET","FQ3 2018","FQ3 2018","Currency=INR","Period=FQ","BEST_FPERIOD_OVERRIDE=FQ","FILING_STATUS=OR","EQY_CONSOLIDATED=Y","Sort=A","Dates=H","DateFormat=P","Fill=—","Direction=H","UseDPDF=Y")</f>
        <v>#NAME?</v>
      </c>
      <c r="CH26" s="2" t="e">
        <f ca="1">_xll.BDH($C$3,"LT_DEBT_TO_TOT_EQY","FQ3 2018","FQ3 2018","Currency=INR","Period=FQ","BEST_FPERIOD_OVERRIDE=FQ","FILING_STATUS=OR","EQY_CONSOLIDATED=Y","Sort=A","Dates=H","DateFormat=P","Fill=—","Direction=H","UseDPDF=Y")</f>
        <v>#NAME?</v>
      </c>
      <c r="CI26" s="2" t="e">
        <f ca="1">_xll.BDH($C$3,"LT_DEBT_TO_TOT_CAP","FQ3 2018","FQ3 2018","Currency=INR","Period=FQ","BEST_FPERIOD_OVERRIDE=FQ","FILING_STATUS=OR","EQY_CONSOLIDATED=Y","Sort=A","Dates=H","DateFormat=P","Fill=—","Direction=H","UseDPDF=Y")</f>
        <v>#NAME?</v>
      </c>
      <c r="CJ26" s="2" t="e">
        <f ca="1">_xll.BDH($C$3,"LT_DEBT_TO_TOT_ASSET","FQ3 2018","FQ3 2018","Currency=INR","Period=FQ","BEST_FPERIOD_OVERRIDE=FQ","FILING_STATUS=OR","EQY_CONSOLIDATED=Y","Sort=A","Dates=H","DateFormat=P","Fill=—","Direction=H","UseDPDF=Y")</f>
        <v>#NAME?</v>
      </c>
      <c r="CK26" s="2" t="e">
        <f ca="1">_xll.BDH($C$3,"TOT_DEBT_TO_TOT_EQY","FQ3 2018","FQ3 2018","Currency=INR","Period=FQ","BEST_FPERIOD_OVERRIDE=FQ","FILING_STATUS=OR","EQY_CONSOLIDATED=Y","Sort=A","Dates=H","DateFormat=P","Fill=—","Direction=H","UseDPDF=Y")</f>
        <v>#NAME?</v>
      </c>
      <c r="CL26" s="2" t="e">
        <f ca="1">_xll.BDH($C$3,"TOT_DEBT_TO_TOT_CAP","FQ3 2018","FQ3 2018","Currency=INR","Period=FQ","BEST_FPERIOD_OVERRIDE=FQ","FILING_STATUS=OR","EQY_CONSOLIDATED=Y","Sort=A","Dates=H","DateFormat=P","Fill=—","Direction=H","UseDPDF=Y")</f>
        <v>#NAME?</v>
      </c>
      <c r="CM26" s="2" t="e">
        <f ca="1">_xll.BDH($C$3,"TOT_DEBT_TO_TOT_ASSET","FQ3 2018","FQ3 2018","Currency=INR","Period=FQ","BEST_FPERIOD_OVERRIDE=FQ","FILING_STATUS=OR","EQY_CONSOLIDATED=Y","Sort=A","Dates=H","DateFormat=P","Fill=—","Direction=H","UseDPDF=Y")</f>
        <v>#NAME?</v>
      </c>
      <c r="CN26" s="2" t="e">
        <f ca="1">_xll.BDH($C$3,"NET_DEBT_TO_SHRHLDR_EQTY","FQ3 2018","FQ3 2018","Currency=INR","Period=FQ","BEST_FPERIOD_OVERRIDE=FQ","FILING_STATUS=OR","EQY_CONSOLIDATED=Y","Sort=A","Dates=H","DateFormat=P","Fill=—","Direction=H","UseDPDF=Y")</f>
        <v>#NAME?</v>
      </c>
      <c r="CO26" s="2" t="e">
        <f ca="1">_xll.BDH($C$3,"NET_DEBT_%_CAPITAL","FQ3 2018","FQ3 2018","Currency=INR","Period=FQ","BEST_FPERIOD_OVERRIDE=FQ","FILING_STATUS=OR","EQY_CONSOLIDATED=Y","Sort=A","Dates=H","DateFormat=P","Fill=—","Direction=H","UseDPDF=Y")</f>
        <v>#NAME?</v>
      </c>
      <c r="CP26" s="3" t="e">
        <f ca="1">_xll.BDH($C$3,"EBITDA","FQ3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26" s="3" t="e">
        <f ca="1">_xll.BDH($C$3,"EBITDA_AFTER_CAPEX","FQ3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26" s="3" t="e">
        <f ca="1">_xll.BDH($C$3,"IS_OPER_INC","FQ3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26" s="2" t="e">
        <f ca="1">_xll.BDH($C$3,"CASH_RATIO","FQ3 2018","FQ3 2018","Currency=INR","Period=FQ","BEST_FPERIOD_OVERRIDE=FQ","FILING_STATUS=OR","EQY_CONSOLIDATED=Y","Sort=A","Dates=H","DateFormat=P","Fill=—","Direction=H","UseDPDF=Y")</f>
        <v>#NAME?</v>
      </c>
      <c r="CT26" s="2" t="e">
        <f ca="1">_xll.BDH($C$3,"CUR_RATIO","FQ3 2018","FQ3 2018","Currency=INR","Period=FQ","BEST_FPERIOD_OVERRIDE=FQ","FILING_STATUS=OR","EQY_CONSOLIDATED=Y","Sort=A","Dates=H","DateFormat=P","Fill=—","Direction=H","UseDPDF=Y")</f>
        <v>#NAME?</v>
      </c>
      <c r="CU26" s="2" t="e">
        <f ca="1">_xll.BDH($C$3,"QUICK_RATIO","FQ3 2018","FQ3 2018","Currency=INR","Period=FQ","BEST_FPERIOD_OVERRIDE=FQ","FILING_STATUS=OR","EQY_CONSOLIDATED=Y","Sort=A","Dates=H","DateFormat=P","Fill=—","Direction=H","UseDPDF=Y")</f>
        <v>#NAME?</v>
      </c>
      <c r="CV26" s="2" t="e">
        <f ca="1">_xll.BDH($C$3,"ALTMAN_Z_SCORE","FQ3 2018","FQ3 2018","Currency=INR","Period=FQ","BEST_FPERIOD_OVERRIDE=FQ","FILING_STATUS=OR","EQY_CONSOLIDATED=Y","Sort=A","Dates=H","DateFormat=P","Fill=—","Direction=H","UseDPDF=Y")</f>
        <v>#NAME?</v>
      </c>
      <c r="CW26" s="4" t="e">
        <f ca="1">_xll.BDH($C$3,"ACCT_RCV_TURN","FQ3 2018","FQ3 2018","Currency=INR","Period=FQ","BEST_FPERIOD_OVERRIDE=FQ","FILING_STATUS=OR","EQY_CONSOLIDATED=Y","FA_ADJUSTED=GAAP","Sort=A","Dates=H","DateFormat=P","Fill=—","Direction=H","UseDPDF=Y")</f>
        <v>#NAME?</v>
      </c>
      <c r="CX26" s="2" t="e">
        <f ca="1">_xll.BDH($C$3,"ACCT_RCV_DAYS","FQ3 2018","FQ3 2018","Currency=INR","Period=FQ","BEST_FPERIOD_OVERRIDE=FQ","FILING_STATUS=OR","EQY_CONSOLIDATED=Y","FA_ADJUSTED=GAAP","Sort=A","Dates=H","DateFormat=P","Fill=—","Direction=H","UseDPDF=Y")</f>
        <v>#NAME?</v>
      </c>
      <c r="CY26" s="4" t="e">
        <f ca="1">_xll.BDH($C$3,"INVENT_TURN","FQ3 2018","FQ3 2018","Currency=INR","Period=FQ","BEST_FPERIOD_OVERRIDE=FQ","FILING_STATUS=OR","EQY_CONSOLIDATED=Y","FA_ADJUSTED=GAAP","Sort=A","Dates=H","DateFormat=P","Fill=—","Direction=H","UseDPDF=Y")</f>
        <v>#NAME?</v>
      </c>
      <c r="CZ26" s="2" t="e">
        <f ca="1">_xll.BDH($C$3,"INVENT_DAYS","FQ3 2018","FQ3 2018","Currency=INR","Period=FQ","BEST_FPERIOD_OVERRIDE=FQ","FILING_STATUS=OR","EQY_CONSOLIDATED=Y","FA_ADJUSTED=GAAP","Sort=A","Dates=H","DateFormat=P","Fill=—","Direction=H","UseDPDF=Y")</f>
        <v>#NAME?</v>
      </c>
      <c r="DA26" s="4" t="e">
        <f ca="1">_xll.BDH($C$3,"ACCOUNTS_PAYABLE_TURNOVER","FQ3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26" s="2" t="e">
        <f ca="1">_xll.BDH($C$3,"ACCOUNTS_PAYABLE_TURNOVER_DAYS","FQ3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26" s="4" t="e">
        <f ca="1">_xll.BDH($C$3,"CASH_CONVERSION_CYCLE","FQ3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26" s="4" t="e">
        <f ca="1">_xll.BDH($C$3,"INV_TO_CASH_DAYS","FQ3 2018","FQ3 2018","Currency=INR","Period=FQ","BEST_FPERIOD_OVERRIDE=FQ","FILING_STATUS=OR","EQY_CONSOLIDATED=Y","FA_ADJUSTED=GAAP","Sort=A","Dates=H","DateFormat=P","Fill=—","Direction=H","UseDPDF=Y")</f>
        <v>#NAME?</v>
      </c>
      <c r="DE26" s="5" t="e">
        <f ca="1">_xll.BDH($C$3,"BS_INVENTORIES","FQ3 2018","FQ3 2018","Currency=INR","Period=FQ","BEST_FPERIOD_OVERRIDE=FQ","FILING_STATUS=OR","EQY_CONSOLIDATED=Y","SCALING_FORMAT=MLN","Sort=A","Dates=H","DateFormat=P","Fill=—","Direction=H","UseDPDF=Y")</f>
        <v>#NAME?</v>
      </c>
      <c r="DF26" s="3" t="e">
        <f ca="1">_xll.BDH($C$3,"INVTRY_RAW_MATERIALS","FQ3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26" s="3" t="e">
        <f ca="1">_xll.BDH($C$3,"INVTRY_IN_PROGRESS","FQ3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26" s="3" t="e">
        <f ca="1">_xll.BDH($C$3,"INVTRY_FINISHED_GOODS","FQ3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26" s="3" t="e">
        <f ca="1">_xll.BDH($C$3,"BS_OTHER_INV","FQ3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27" spans="1:113" x14ac:dyDescent="0.3">
      <c r="A27" s="6"/>
      <c r="B27" s="6"/>
      <c r="C27" s="6"/>
      <c r="D27" s="6"/>
      <c r="E27" t="s">
        <v>81</v>
      </c>
      <c r="F27" t="e">
        <f ca="1">_xll.BDH($C$3,"RETURN_COM_EQY","FQ4 2018","FQ4 2018","Currency=INR","Period=FQ","BEST_FPERIOD_OVERRIDE=FQ","FILING_STATUS=OR","EQY_CONSOLIDATED=Y","FA_ADJUSTED=GAAP","Sort=A","Dates=H","DateFormat=P","Fill=—","Direction=H","UseDPDF=Y")</f>
        <v>#NAME?</v>
      </c>
      <c r="G27" t="e">
        <f ca="1">_xll.BDH($C$3,"RETURN_ON_ASSET","FQ4 2018","FQ4 2018","Currency=INR","Period=FQ","BEST_FPERIOD_OVERRIDE=FQ","FILING_STATUS=OR","EQY_CONSOLIDATED=Y","FA_ADJUSTED=GAAP","Sort=A","Dates=H","DateFormat=P","Fill=—","Direction=H","UseDPDF=Y")</f>
        <v>#NAME?</v>
      </c>
      <c r="H27" t="e">
        <f ca="1">_xll.BDH($C$3,"RETURN_ON_CAP","FQ4 2018","FQ4 2018","Currency=INR","Period=FQ","BEST_FPERIOD_OVERRIDE=FQ","FILING_STATUS=OR","EQY_CONSOLIDATED=Y","FA_ADJUSTED=GAAP","Sort=A","Dates=H","DateFormat=P","Fill=—","Direction=H","UseDPDF=Y")</f>
        <v>#NAME?</v>
      </c>
      <c r="I27" t="e">
        <f ca="1">_xll.BDH($C$3,"RETURN_ON_INV_CAPITAL","FQ4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27" t="e">
        <f ca="1">_xll.BDH($C$3,"EBITDA_TO_REVENUE","FQ4 2018","FQ4 2018","Currency=INR","Period=FQ","BEST_FPERIOD_OVERRIDE=FQ","FILING_STATUS=OR","EQY_CONSOLIDATED=Y","FA_ADJUSTED=GAAP","Sort=A","Dates=H","DateFormat=P","Fill=—","Direction=H","UseDPDF=Y")</f>
        <v>#NAME?</v>
      </c>
      <c r="K27" t="e">
        <f ca="1">_xll.BDH($C$3,"OPER_MARGIN","FQ4 2018","FQ4 2018","Currency=INR","Period=FQ","BEST_FPERIOD_OVERRIDE=FQ","FILING_STATUS=OR","EQY_CONSOLIDATED=Y","FA_ADJUSTED=GAAP","Sort=A","Dates=H","DateFormat=P","Fill=—","Direction=H","UseDPDF=Y")</f>
        <v>#NAME?</v>
      </c>
      <c r="L27" t="e">
        <f ca="1">_xll.BDH($C$3,"INCREMENTAL_OPERATING_MARGIN","FQ4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27" t="e">
        <f ca="1">_xll.BDH($C$3,"PRETAX_INC_TO_NET_SALES","FQ4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27" t="e">
        <f ca="1">_xll.BDH($C$3,"INC_BEF_XO_ITEMS_TO_NET_SALES","FQ4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27" t="e">
        <f ca="1">_xll.BDH($C$3,"PROF_MARGIN","FQ4 2018","FQ4 2018","Currency=INR","Period=FQ","BEST_FPERIOD_OVERRIDE=FQ","FILING_STATUS=OR","EQY_CONSOLIDATED=Y","FA_ADJUSTED=GAAP","Sort=A","Dates=H","DateFormat=P","Fill=—","Direction=H","UseDPDF=Y")</f>
        <v>#NAME?</v>
      </c>
      <c r="P27" t="e">
        <f ca="1">_xll.BDH($C$3,"NET_INCOME_TO_COMMON_MARGIN","FQ4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27" t="e">
        <f ca="1">_xll.BDH($C$3,"EFF_TAX_RATE","FQ4 2018","FQ4 2018","Currency=INR","Period=FQ","BEST_FPERIOD_OVERRIDE=FQ","FILING_STATUS=OR","EQY_CONSOLIDATED=Y","FA_ADJUSTED=GAAP","Sort=A","Dates=H","DateFormat=P","Fill=—","Direction=H","UseDPDF=Y")</f>
        <v>#NAME?</v>
      </c>
      <c r="R27" t="e">
        <f ca="1">_xll.BDH($C$3,"DVD_PAYOUT_RATIO","FQ4 2018","FQ4 2018","Currency=INR","Period=FQ","BEST_FPERIOD_OVERRIDE=FQ","FILING_STATUS=OR","EQY_CONSOLIDATED=Y","FA_ADJUSTED=GAAP","Sort=A","Dates=H","DateFormat=P","Fill=—","Direction=H","UseDPDF=Y")</f>
        <v>#NAME?</v>
      </c>
      <c r="S27" t="e">
        <f ca="1">_xll.BDH($C$3,"SUSTAIN_GROWTH_RT","FQ4 2018","FQ4 2018","Currency=INR","Period=FQ","BEST_FPERIOD_OVERRIDE=FQ","FILING_STATUS=OR","EQY_CONSOLIDATED=Y","FA_ADJUSTED=GAAP","Sort=A","Dates=H","DateFormat=P","Fill=—","Direction=H","UseDPDF=Y")</f>
        <v>#NAME?</v>
      </c>
      <c r="T27" s="2" t="e">
        <f ca="1">_xll.BDH($C$3,"SALES_GROWTH","FQ4 2018","FQ4 2018","Currency=INR","Period=FQ","BEST_FPERIOD_OVERRIDE=FQ","FILING_STATUS=OR","EQY_CONSOLIDATED=Y","FA_ADJUSTED=GAAP","Sort=A","Dates=H","DateFormat=P","Fill=—","Direction=H","UseDPDF=Y")</f>
        <v>#NAME?</v>
      </c>
      <c r="U27" s="2" t="e">
        <f ca="1">_xll.BDH($C$3,"EBITDA_GROWTH","FQ4 2018","FQ4 2018","Currency=INR","Period=FQ","BEST_FPERIOD_OVERRIDE=FQ","FILING_STATUS=OR","EQY_CONSOLIDATED=Y","FA_ADJUSTED=GAAP","Sort=A","Dates=H","DateFormat=P","Fill=—","Direction=H","UseDPDF=Y")</f>
        <v>#NAME?</v>
      </c>
      <c r="V27" s="2" t="e">
        <f ca="1">_xll.BDH($C$3,"OPER_INC_GROWTH","FQ4 2018","FQ4 2018","Currency=INR","Period=FQ","BEST_FPERIOD_OVERRIDE=FQ","FILING_STATUS=OR","EQY_CONSOLIDATED=Y","FA_ADJUSTED=GAAP","Sort=A","Dates=H","DateFormat=P","Fill=—","Direction=H","UseDPDF=Y")</f>
        <v>#NAME?</v>
      </c>
      <c r="W27" s="2" t="e">
        <f ca="1">_xll.BDH($C$3,"EARN_FOR_COM_GROWTH","FQ4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27" s="2" t="e">
        <f ca="1">_xll.BDH($C$3,"DILUTED_EPS_AFT_XO_ITEMS_GROWTH","FQ4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27" s="2" t="e">
        <f ca="1">_xll.BDH($C$3,"DIVIDEND_PER_SHARE_1_YEAR_GROWTH","FQ4 2018","FQ4 2018","Currency=INR","Period=FQ","BEST_FPERIOD_OVERRIDE=FQ","FILING_STATUS=OR","EQY_CONSOLIDATED=Y","Sort=A","Dates=H","DateFormat=P","Fill=—","Direction=H","UseDPDF=Y")</f>
        <v>#NAME?</v>
      </c>
      <c r="Z27" s="2" t="e">
        <f ca="1">_xll.BDH($C$3,"ACCOUNTS_RECEIVABLE_GROWTH","FQ4 2018","FQ4 2018","Currency=INR","Period=FQ","BEST_FPERIOD_OVERRIDE=FQ","FILING_STATUS=OR","EQY_CONSOLIDATED=Y","Sort=A","Dates=H","DateFormat=P","Fill=—","Direction=H","UseDPDF=Y")</f>
        <v>#NAME?</v>
      </c>
      <c r="AA27" s="2" t="e">
        <f ca="1">_xll.BDH($C$3,"INVENTORY_GROWTH","FQ4 2018","FQ4 2018","Currency=INR","Period=FQ","BEST_FPERIOD_OVERRIDE=FQ","FILING_STATUS=OR","EQY_CONSOLIDATED=Y","Sort=A","Dates=H","DateFormat=P","Fill=—","Direction=H","UseDPDF=Y")</f>
        <v>#NAME?</v>
      </c>
      <c r="AB27" s="2" t="e">
        <f ca="1">_xll.BDH($C$3,"NET_FIXED_ASSETS_1_YEAR_GROWTH","FQ4 2018","FQ4 2018","Currency=INR","Period=FQ","BEST_FPERIOD_OVERRIDE=FQ","FILING_STATUS=OR","EQY_CONSOLIDATED=Y","Sort=A","Dates=H","DateFormat=P","Fill=—","Direction=H","UseDPDF=Y")</f>
        <v>#NAME?</v>
      </c>
      <c r="AC27" s="2" t="e">
        <f ca="1">_xll.BDH($C$3,"ASSET_GROWTH","FQ4 2018","FQ4 2018","Currency=INR","Period=FQ","BEST_FPERIOD_OVERRIDE=FQ","FILING_STATUS=OR","EQY_CONSOLIDATED=Y","Sort=A","Dates=H","DateFormat=P","Fill=—","Direction=H","UseDPDF=Y")</f>
        <v>#NAME?</v>
      </c>
      <c r="AD27" s="2" t="e">
        <f ca="1">_xll.BDH($C$3,"MODIFIED_WORK_CAP_GROWTH","FQ4 2018","FQ4 2018","Currency=INR","Period=FQ","BEST_FPERIOD_OVERRIDE=FQ","FILING_STATUS=OR","EQY_CONSOLIDATED=Y","Sort=A","Dates=H","DateFormat=P","Fill=—","Direction=H","UseDPDF=Y")</f>
        <v>#NAME?</v>
      </c>
      <c r="AE27" s="2" t="e">
        <f ca="1">_xll.BDH($C$3,"WORK_CAP_GROWTH","FQ4 2018","FQ4 2018","Currency=INR","Period=FQ","BEST_FPERIOD_OVERRIDE=FQ","FILING_STATUS=OR","EQY_CONSOLIDATED=Y","Sort=A","Dates=H","DateFormat=P","Fill=—","Direction=H","UseDPDF=Y")</f>
        <v>#NAME?</v>
      </c>
      <c r="AF27" s="2" t="e">
        <f ca="1">_xll.BDH($C$3,"ACCOUNTS_PAYABLE_GROWTH_1YR","FQ4 2018","FQ4 2018","Currency=INR","Period=FQ","BEST_FPERIOD_OVERRIDE=FQ","FILING_STATUS=OR","EQY_CONSOLIDATED=Y","Sort=A","Dates=H","DateFormat=P","Fill=—","Direction=H","UseDPDF=Y")</f>
        <v>#NAME?</v>
      </c>
      <c r="AG27" s="2" t="e">
        <f ca="1">_xll.BDH($C$3,"SHORT_TERM_DEBT_1_YEAR_GROWTH","FQ4 2018","FQ4 2018","Currency=INR","Period=FQ","BEST_FPERIOD_OVERRIDE=FQ","FILING_STATUS=OR","EQY_CONSOLIDATED=Y","Sort=A","Dates=H","DateFormat=P","Fill=—","Direction=H","UseDPDF=Y")</f>
        <v>#NAME?</v>
      </c>
      <c r="AH27" s="2" t="e">
        <f ca="1">_xll.BDH($C$3,"TOTAL_DEBT_1_YEAR_GROWTH","FQ4 2018","FQ4 2018","Currency=INR","Period=FQ","BEST_FPERIOD_OVERRIDE=FQ","FILING_STATUS=OR","EQY_CONSOLIDATED=Y","Sort=A","Dates=H","DateFormat=P","Fill=—","Direction=H","UseDPDF=Y")</f>
        <v>#NAME?</v>
      </c>
      <c r="AI27" s="2" t="e">
        <f ca="1">_xll.BDH($C$3,"TOTAL_EQUITY_1_YEAR_GROWTH","FQ4 2018","FQ4 2018","Currency=INR","Period=FQ","BEST_FPERIOD_OVERRIDE=FQ","FILING_STATUS=OR","EQY_CONSOLIDATED=Y","Sort=A","Dates=H","DateFormat=P","Fill=—","Direction=H","UseDPDF=Y")</f>
        <v>#NAME?</v>
      </c>
      <c r="AJ27" s="2" t="e">
        <f ca="1">_xll.BDH($C$3,"GROWTH_IN_CAP","FQ4 2018","FQ4 2018","Currency=INR","Period=FQ","BEST_FPERIOD_OVERRIDE=FQ","FILING_STATUS=OR","EQY_CONSOLIDATED=Y","Sort=A","Dates=H","DateFormat=P","Fill=—","Direction=H","UseDPDF=Y")</f>
        <v>#NAME?</v>
      </c>
      <c r="AK27" s="2" t="e">
        <f ca="1">_xll.BDH($C$3,"BVPS_GROWTH","FQ4 2018","FQ4 2018","Currency=INR","Period=FQ","BEST_FPERIOD_OVERRIDE=FQ","FILING_STATUS=OR","EQY_CONSOLIDATED=Y","Sort=A","Dates=H","DateFormat=P","Fill=—","Direction=H","UseDPDF=Y")</f>
        <v>#NAME?</v>
      </c>
      <c r="AL27" s="2" t="e">
        <f ca="1">_xll.BDH($C$3,"CASH_FLOW_GROWTH","FQ4 2018","FQ4 2018","Currency=INR","Period=FQ","BEST_FPERIOD_OVERRIDE=FQ","FILING_STATUS=OR","EQY_CONSOLIDATED=Y","Sort=A","Dates=H","DateFormat=P","Fill=—","Direction=H","UseDPDF=Y")</f>
        <v>#NAME?</v>
      </c>
      <c r="AM27" s="2" t="e">
        <f ca="1">_xll.BDH($C$3,"GEO_GROW_NET_SALES","FQ4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27" s="2" t="e">
        <f ca="1">_xll.BDH($C$3,"GEO_GROW_EBITDA","FQ4 2018","FQ4 2018","Currency=INR","Period=FQ","BEST_FPERIOD_OVERRIDE=FQ","FILING_STATUS=OR","EQY_CONSOLIDATED=Y","FA_ADJUSTED=GAAP","Sort=A","Dates=H","DateFormat=P","Fill=—","Direction=H","UseDPDF=Y")</f>
        <v>#NAME?</v>
      </c>
      <c r="AO27" s="2" t="e">
        <f ca="1">_xll.BDH($C$3,"GEO_GROW_OPER_INC","FQ4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27" s="2" t="e">
        <f ca="1">_xll.BDH($C$3,"NET_INCOME_TO_COMMON_5_YR_GROWTH","FQ4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27" s="2" t="e">
        <f ca="1">_xll.BDH($C$3,"5Y_GEO_GROWTH_DILUTED_EPS","FQ4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27" s="2" t="e">
        <f ca="1">_xll.BDH($C$3,"GEO_GROW_DVD_PER_SH","FQ4 2018","FQ4 2018","Currency=INR","Period=FQ","BEST_FPERIOD_OVERRIDE=FQ","FILING_STATUS=OR","EQY_CONSOLIDATED=Y","Sort=A","Dates=H","DateFormat=P","Fill=—","Direction=H","UseDPDF=Y")</f>
        <v>#NAME?</v>
      </c>
      <c r="AS27" s="2" t="e">
        <f ca="1">_xll.BDH($C$3,"ACCOUNTS_RECEIVABLE_5_YR_GROWTH","FQ4 2018","FQ4 2018","Currency=INR","Period=FQ","BEST_FPERIOD_OVERRIDE=FQ","FILING_STATUS=OR","EQY_CONSOLIDATED=Y","Sort=A","Dates=H","DateFormat=P","Fill=—","Direction=H","UseDPDF=Y")</f>
        <v>#NAME?</v>
      </c>
      <c r="AT27" s="2" t="e">
        <f ca="1">_xll.BDH($C$3,"INVENTORY_5_YEAR_GROWTH","FQ4 2018","FQ4 2018","Currency=INR","Period=FQ","BEST_FPERIOD_OVERRIDE=FQ","FILING_STATUS=OR","EQY_CONSOLIDATED=Y","Sort=A","Dates=H","DateFormat=P","Fill=—","Direction=H","UseDPDF=Y")</f>
        <v>#NAME?</v>
      </c>
      <c r="AU27" s="2" t="e">
        <f ca="1">_xll.BDH($C$3,"NET_FIXED_ASSETS_5_YEAR_GROWTH","FQ4 2018","FQ4 2018","Currency=INR","Period=FQ","BEST_FPERIOD_OVERRIDE=FQ","FILING_STATUS=OR","EQY_CONSOLIDATED=Y","Sort=A","Dates=H","DateFormat=P","Fill=—","Direction=H","UseDPDF=Y")</f>
        <v>#NAME?</v>
      </c>
      <c r="AV27" s="2" t="e">
        <f ca="1">_xll.BDH($C$3,"GEO_GROW_TOT_ASSET","FQ4 2018","FQ4 2018","Currency=INR","Period=FQ","BEST_FPERIOD_OVERRIDE=FQ","FILING_STATUS=OR","EQY_CONSOLIDATED=Y","Sort=A","Dates=H","DateFormat=P","Fill=—","Direction=H","UseDPDF=Y")</f>
        <v>#NAME?</v>
      </c>
      <c r="AW27" s="2" t="e">
        <f ca="1">_xll.BDH($C$3,"MODIFIED_WORKING_CPTL_5YR_GRWTH","FQ4 2018","FQ4 2018","Currency=INR","Period=FQ","BEST_FPERIOD_OVERRIDE=FQ","FILING_STATUS=OR","EQY_CONSOLIDATED=Y","Sort=A","Dates=H","DateFormat=P","Fill=—","Direction=H","UseDPDF=Y")</f>
        <v>#NAME?</v>
      </c>
      <c r="AX27" s="2" t="e">
        <f ca="1">_xll.BDH($C$3,"WORKING_CAPITAL_5_YEAR_GROWTH","FQ4 2018","FQ4 2018","Currency=INR","Period=FQ","BEST_FPERIOD_OVERRIDE=FQ","FILING_STATUS=OR","EQY_CONSOLIDATED=Y","Sort=A","Dates=H","DateFormat=P","Fill=—","Direction=H","UseDPDF=Y")</f>
        <v>#NAME?</v>
      </c>
      <c r="AY27" s="2" t="e">
        <f ca="1">_xll.BDH($C$3,"ACCOUNTS_PAYABLE_5_YEAR_GROWTH","FQ4 2018","FQ4 2018","Currency=INR","Period=FQ","BEST_FPERIOD_OVERRIDE=FQ","FILING_STATUS=OR","EQY_CONSOLIDATED=Y","Sort=A","Dates=H","DateFormat=P","Fill=—","Direction=H","UseDPDF=Y")</f>
        <v>#NAME?</v>
      </c>
      <c r="AZ27" s="2" t="e">
        <f ca="1">_xll.BDH($C$3,"SHORT_TERM_DEBT_5_YEAR_GROWTH","FQ4 2018","FQ4 2018","Currency=INR","Period=FQ","BEST_FPERIOD_OVERRIDE=FQ","FILING_STATUS=OR","EQY_CONSOLIDATED=Y","Sort=A","Dates=H","DateFormat=P","Fill=—","Direction=H","UseDPDF=Y")</f>
        <v>#NAME?</v>
      </c>
      <c r="BA27" s="2" t="e">
        <f ca="1">_xll.BDH($C$3,"TOTAL_DEBT_5_YEAR_GROWTH","FQ4 2018","FQ4 2018","Currency=INR","Period=FQ","BEST_FPERIOD_OVERRIDE=FQ","FILING_STATUS=OR","EQY_CONSOLIDATED=Y","Sort=A","Dates=H","DateFormat=P","Fill=—","Direction=H","UseDPDF=Y")</f>
        <v>#NAME?</v>
      </c>
      <c r="BB27" s="2" t="e">
        <f ca="1">_xll.BDH($C$3,"GEO_GROW_TOT_SHRHLDR_EQY","FQ4 2018","FQ4 2018","Currency=INR","Period=FQ","BEST_FPERIOD_OVERRIDE=FQ","FILING_STATUS=OR","EQY_CONSOLIDATED=Y","Sort=A","Dates=H","DateFormat=P","Fill=—","Direction=H","UseDPDF=Y")</f>
        <v>#NAME?</v>
      </c>
      <c r="BC27" s="2" t="e">
        <f ca="1">_xll.BDH($C$3,"TOTAL_CAPITAL_5_YEAR_GROWTH","FQ4 2018","FQ4 2018","Currency=INR","Period=FQ","BEST_FPERIOD_OVERRIDE=FQ","FILING_STATUS=OR","EQY_CONSOLIDATED=Y","Sort=A","Dates=H","DateFormat=P","Fill=—","Direction=H","UseDPDF=Y")</f>
        <v>#NAME?</v>
      </c>
      <c r="BD27" s="2" t="e">
        <f ca="1">_xll.BDH($C$3,"GEO_GROW_BOOK_VAL","FQ4 2018","FQ4 2018","Currency=INR","Period=FQ","BEST_FPERIOD_OVERRIDE=FQ","FILING_STATUS=OR","EQY_CONSOLIDATED=Y","Sort=A","Dates=H","DateFormat=P","Fill=—","Direction=H","UseDPDF=Y")</f>
        <v>#NAME?</v>
      </c>
      <c r="BE27" s="2" t="e">
        <f ca="1">_xll.BDH($C$3,"GEO_GROW_CASH_OPER_ACT","FQ4 2018","FQ4 2018","Currency=INR","Period=FQ","BEST_FPERIOD_OVERRIDE=FQ","FILING_STATUS=OR","EQY_CONSOLIDATED=Y","Sort=A","Dates=H","DateFormat=P","Fill=—","Direction=H","UseDPDF=Y")</f>
        <v>#NAME?</v>
      </c>
      <c r="BF27" s="2" t="e">
        <f ca="1">_xll.BDH($C$3,"REVENUE_SEQUENTIAL_GROWTH","FQ4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27" s="2" t="e">
        <f ca="1">_xll.BDH($C$3,"EBITDA_SEQUENTIAL_GROWTH","FQ4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27" s="2" t="e">
        <f ca="1">_xll.BDH($C$3,"OPERATING_INCOME_SEQ_GROWTH","FQ4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27" s="2" t="e">
        <f ca="1">_xll.BDH($C$3,"NET_INCOME_TO_COMMON_SEQ_GROWTH","FQ4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27" s="2" t="e">
        <f ca="1">_xll.BDH($C$3,"EPS_DILUTED_SEQUENTIAL_GROWTH","FQ4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27" s="2" t="e">
        <f ca="1">_xll.BDH($C$3,"DPS_SEQUENTIAL_GROWTH","FQ4 2018","FQ4 2018","Currency=INR","Period=FQ","BEST_FPERIOD_OVERRIDE=FQ","FILING_STATUS=OR","EQY_CONSOLIDATED=Y","Sort=A","Dates=H","DateFormat=P","Fill=—","Direction=H","UseDPDF=Y")</f>
        <v>#NAME?</v>
      </c>
      <c r="BL27" s="2" t="e">
        <f ca="1">_xll.BDH($C$3,"ACCOUNTS_RECEIVABLE_SEQ_GROWTH","FQ4 2018","FQ4 2018","Currency=INR","Period=FQ","BEST_FPERIOD_OVERRIDE=FQ","FILING_STATUS=OR","EQY_CONSOLIDATED=Y","Sort=A","Dates=H","DateFormat=P","Fill=—","Direction=H","UseDPDF=Y")</f>
        <v>#NAME?</v>
      </c>
      <c r="BM27" s="2" t="e">
        <f ca="1">_xll.BDH($C$3,"INVENTORY_SEQUENTIAL_GROWTH","FQ4 2018","FQ4 2018","Currency=INR","Period=FQ","BEST_FPERIOD_OVERRIDE=FQ","FILING_STATUS=OR","EQY_CONSOLIDATED=Y","Sort=A","Dates=H","DateFormat=P","Fill=—","Direction=H","UseDPDF=Y")</f>
        <v>#NAME?</v>
      </c>
      <c r="BN27" s="2" t="e">
        <f ca="1">_xll.BDH($C$3,"FIXED_ASSETS_SEQUENTIAL_GROWTH","FQ4 2018","FQ4 2018","Currency=INR","Period=FQ","BEST_FPERIOD_OVERRIDE=FQ","FILING_STATUS=OR","EQY_CONSOLIDATED=Y","Sort=A","Dates=H","DateFormat=P","Fill=—","Direction=H","UseDPDF=Y")</f>
        <v>#NAME?</v>
      </c>
      <c r="BO27" s="2" t="e">
        <f ca="1">_xll.BDH($C$3,"TOTAL_ASSETS_SEQUENTIAL_GROWTH","FQ4 2018","FQ4 2018","Currency=INR","Period=FQ","BEST_FPERIOD_OVERRIDE=FQ","FILING_STATUS=OR","EQY_CONSOLIDATED=Y","Sort=A","Dates=H","DateFormat=P","Fill=—","Direction=H","UseDPDF=Y")</f>
        <v>#NAME?</v>
      </c>
      <c r="BP27" s="2" t="e">
        <f ca="1">_xll.BDH($C$3,"MODIFIED_WORKING_CPTL_SEQ_GRWTH","FQ4 2018","FQ4 2018","Currency=INR","Period=FQ","BEST_FPERIOD_OVERRIDE=FQ","FILING_STATUS=OR","EQY_CONSOLIDATED=Y","Sort=A","Dates=H","DateFormat=P","Fill=—","Direction=H","UseDPDF=Y")</f>
        <v>#NAME?</v>
      </c>
      <c r="BQ27" s="2" t="e">
        <f ca="1">_xll.BDH($C$3,"WORKING_CAPITAL_SEQ_GROWTH","FQ4 2018","FQ4 2018","Currency=INR","Period=FQ","BEST_FPERIOD_OVERRIDE=FQ","FILING_STATUS=OR","EQY_CONSOLIDATED=Y","Sort=A","Dates=H","DateFormat=P","Fill=—","Direction=H","UseDPDF=Y")</f>
        <v>#NAME?</v>
      </c>
      <c r="BR27" s="2" t="e">
        <f ca="1">_xll.BDH($C$3,"ACCOUNTS_PAYABLE_SEQ_GROWTH","FQ4 2018","FQ4 2018","Currency=INR","Period=FQ","BEST_FPERIOD_OVERRIDE=FQ","FILING_STATUS=OR","EQY_CONSOLIDATED=Y","Sort=A","Dates=H","DateFormat=P","Fill=—","Direction=H","UseDPDF=Y")</f>
        <v>#NAME?</v>
      </c>
      <c r="BS27" s="2" t="e">
        <f ca="1">_xll.BDH($C$3,"ST_DEBT_SEQUENTIAL_GROWTH","FQ4 2018","FQ4 2018","Currency=INR","Period=FQ","BEST_FPERIOD_OVERRIDE=FQ","FILING_STATUS=OR","EQY_CONSOLIDATED=Y","Sort=A","Dates=H","DateFormat=P","Fill=—","Direction=H","UseDPDF=Y")</f>
        <v>#NAME?</v>
      </c>
      <c r="BT27" s="2" t="e">
        <f ca="1">_xll.BDH($C$3,"TOTAL_DEBT_SEQUENTIAL_GROWTH","FQ4 2018","FQ4 2018","Currency=INR","Period=FQ","BEST_FPERIOD_OVERRIDE=FQ","FILING_STATUS=OR","EQY_CONSOLIDATED=Y","Sort=A","Dates=H","DateFormat=P","Fill=—","Direction=H","UseDPDF=Y")</f>
        <v>#NAME?</v>
      </c>
      <c r="BU27" s="2" t="e">
        <f ca="1">_xll.BDH($C$3,"TOTAL_EQUITY_SEQUENTIAL_GROWTH","FQ4 2018","FQ4 2018","Currency=INR","Period=FQ","BEST_FPERIOD_OVERRIDE=FQ","FILING_STATUS=OR","EQY_CONSOLIDATED=Y","Sort=A","Dates=H","DateFormat=P","Fill=—","Direction=H","UseDPDF=Y")</f>
        <v>#NAME?</v>
      </c>
      <c r="BV27" s="2" t="e">
        <f ca="1">_xll.BDH($C$3,"TOTAL_CAPITAL_SEQUENTIAL_GROWTH","FQ4 2018","FQ4 2018","Currency=INR","Period=FQ","BEST_FPERIOD_OVERRIDE=FQ","FILING_STATUS=OR","EQY_CONSOLIDATED=Y","Sort=A","Dates=H","DateFormat=P","Fill=—","Direction=H","UseDPDF=Y")</f>
        <v>#NAME?</v>
      </c>
      <c r="BW27" s="2" t="e">
        <f ca="1">_xll.BDH($C$3,"BPS_SEQUENTIAL_GROWTH","FQ4 2018","FQ4 2018","Currency=INR","Period=FQ","BEST_FPERIOD_OVERRIDE=FQ","FILING_STATUS=OR","EQY_CONSOLIDATED=Y","Sort=A","Dates=H","DateFormat=P","Fill=—","Direction=H","UseDPDF=Y")</f>
        <v>#NAME?</v>
      </c>
      <c r="BX27" s="2" t="e">
        <f ca="1">_xll.BDH($C$3,"CFO_SEQUENTIAL_GROWTH","FQ4 2018","FQ4 2018","Currency=INR","Period=FQ","BEST_FPERIOD_OVERRIDE=FQ","FILING_STATUS=OR","EQY_CONSOLIDATED=Y","Sort=A","Dates=H","DateFormat=P","Fill=—","Direction=H","UseDPDF=Y")</f>
        <v>#NAME?</v>
      </c>
      <c r="BY27" s="3" t="e">
        <f ca="1">_xll.BDH($C$3,"SHORT_AND_LONG_TERM_DEBT","FQ4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27" s="3" t="e">
        <f ca="1">_xll.BDH($C$3,"BS_ST_BORROW","FQ4 2018","FQ4 2018","Currency=INR","Period=FQ","BEST_FPERIOD_OVERRIDE=FQ","FILING_STATUS=OR","EQY_CONSOLIDATED=Y","SCALING_FORMAT=MLN","Sort=A","Dates=H","DateFormat=P","Fill=—","Direction=H","UseDPDF=Y")</f>
        <v>#NAME?</v>
      </c>
      <c r="CA27" s="3" t="e">
        <f ca="1">_xll.BDH($C$3,"BS_LT_BORROW","FQ4 2018","FQ4 2018","Currency=INR","Period=FQ","BEST_FPERIOD_OVERRIDE=FQ","FILING_STATUS=OR","EQY_CONSOLIDATED=Y","SCALING_FORMAT=MLN","Sort=A","Dates=H","DateFormat=P","Fill=—","Direction=H","UseDPDF=Y")</f>
        <v>#NAME?</v>
      </c>
      <c r="CB27" s="2" t="e">
        <f ca="1">_xll.BDH($C$3,"TOT_DEBT_TO_EBITDA","FQ4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27" s="2" t="e">
        <f ca="1">_xll.BDH($C$3,"NET_DEBT_TO_EBITDA","FQ4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27" s="2" t="e">
        <f ca="1">_xll.BDH($C$3,"TOTAL_DEBT_TO_EBIT","FQ4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27" s="2" t="e">
        <f ca="1">_xll.BDH($C$3,"NET_DEBT_TO_EBIT","FQ4 2018","FQ4 2018","Currency=INR","Period=FQ","BEST_FPERIOD_OVERRIDE=FQ","FILING_STATUS=OR","EQY_CONSOLIDATED=Y","FA_ADJUSTED=GAAP","Sort=A","Dates=H","DateFormat=P","Fill=—","Direction=H","UseDPDF=Y")</f>
        <v>#NAME?</v>
      </c>
      <c r="CF27" s="2" t="e">
        <f ca="1">_xll.BDH($C$3,"EBITDA_TO_INTEREST_EXPN","FQ4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27" s="2" t="e">
        <f ca="1">_xll.BDH($C$3,"COM_EQY_TO_TOT_ASSET","FQ4 2018","FQ4 2018","Currency=INR","Period=FQ","BEST_FPERIOD_OVERRIDE=FQ","FILING_STATUS=OR","EQY_CONSOLIDATED=Y","Sort=A","Dates=H","DateFormat=P","Fill=—","Direction=H","UseDPDF=Y")</f>
        <v>#NAME?</v>
      </c>
      <c r="CH27" s="2" t="e">
        <f ca="1">_xll.BDH($C$3,"LT_DEBT_TO_TOT_EQY","FQ4 2018","FQ4 2018","Currency=INR","Period=FQ","BEST_FPERIOD_OVERRIDE=FQ","FILING_STATUS=OR","EQY_CONSOLIDATED=Y","Sort=A","Dates=H","DateFormat=P","Fill=—","Direction=H","UseDPDF=Y")</f>
        <v>#NAME?</v>
      </c>
      <c r="CI27" s="2" t="e">
        <f ca="1">_xll.BDH($C$3,"LT_DEBT_TO_TOT_CAP","FQ4 2018","FQ4 2018","Currency=INR","Period=FQ","BEST_FPERIOD_OVERRIDE=FQ","FILING_STATUS=OR","EQY_CONSOLIDATED=Y","Sort=A","Dates=H","DateFormat=P","Fill=—","Direction=H","UseDPDF=Y")</f>
        <v>#NAME?</v>
      </c>
      <c r="CJ27" s="2" t="e">
        <f ca="1">_xll.BDH($C$3,"LT_DEBT_TO_TOT_ASSET","FQ4 2018","FQ4 2018","Currency=INR","Period=FQ","BEST_FPERIOD_OVERRIDE=FQ","FILING_STATUS=OR","EQY_CONSOLIDATED=Y","Sort=A","Dates=H","DateFormat=P","Fill=—","Direction=H","UseDPDF=Y")</f>
        <v>#NAME?</v>
      </c>
      <c r="CK27" s="2" t="e">
        <f ca="1">_xll.BDH($C$3,"TOT_DEBT_TO_TOT_EQY","FQ4 2018","FQ4 2018","Currency=INR","Period=FQ","BEST_FPERIOD_OVERRIDE=FQ","FILING_STATUS=OR","EQY_CONSOLIDATED=Y","Sort=A","Dates=H","DateFormat=P","Fill=—","Direction=H","UseDPDF=Y")</f>
        <v>#NAME?</v>
      </c>
      <c r="CL27" s="2" t="e">
        <f ca="1">_xll.BDH($C$3,"TOT_DEBT_TO_TOT_CAP","FQ4 2018","FQ4 2018","Currency=INR","Period=FQ","BEST_FPERIOD_OVERRIDE=FQ","FILING_STATUS=OR","EQY_CONSOLIDATED=Y","Sort=A","Dates=H","DateFormat=P","Fill=—","Direction=H","UseDPDF=Y")</f>
        <v>#NAME?</v>
      </c>
      <c r="CM27" s="2" t="e">
        <f ca="1">_xll.BDH($C$3,"TOT_DEBT_TO_TOT_ASSET","FQ4 2018","FQ4 2018","Currency=INR","Period=FQ","BEST_FPERIOD_OVERRIDE=FQ","FILING_STATUS=OR","EQY_CONSOLIDATED=Y","Sort=A","Dates=H","DateFormat=P","Fill=—","Direction=H","UseDPDF=Y")</f>
        <v>#NAME?</v>
      </c>
      <c r="CN27" s="2" t="e">
        <f ca="1">_xll.BDH($C$3,"NET_DEBT_TO_SHRHLDR_EQTY","FQ4 2018","FQ4 2018","Currency=INR","Period=FQ","BEST_FPERIOD_OVERRIDE=FQ","FILING_STATUS=OR","EQY_CONSOLIDATED=Y","Sort=A","Dates=H","DateFormat=P","Fill=—","Direction=H","UseDPDF=Y")</f>
        <v>#NAME?</v>
      </c>
      <c r="CO27" s="2" t="e">
        <f ca="1">_xll.BDH($C$3,"NET_DEBT_%_CAPITAL","FQ4 2018","FQ4 2018","Currency=INR","Period=FQ","BEST_FPERIOD_OVERRIDE=FQ","FILING_STATUS=OR","EQY_CONSOLIDATED=Y","Sort=A","Dates=H","DateFormat=P","Fill=—","Direction=H","UseDPDF=Y")</f>
        <v>#NAME?</v>
      </c>
      <c r="CP27" s="3" t="e">
        <f ca="1">_xll.BDH($C$3,"EBITDA","FQ4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27" s="3" t="e">
        <f ca="1">_xll.BDH($C$3,"EBITDA_AFTER_CAPEX","FQ4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27" s="3" t="e">
        <f ca="1">_xll.BDH($C$3,"IS_OPER_INC","FQ4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27" s="2" t="e">
        <f ca="1">_xll.BDH($C$3,"CASH_RATIO","FQ4 2018","FQ4 2018","Currency=INR","Period=FQ","BEST_FPERIOD_OVERRIDE=FQ","FILING_STATUS=OR","EQY_CONSOLIDATED=Y","Sort=A","Dates=H","DateFormat=P","Fill=—","Direction=H","UseDPDF=Y")</f>
        <v>#NAME?</v>
      </c>
      <c r="CT27" s="2" t="e">
        <f ca="1">_xll.BDH($C$3,"CUR_RATIO","FQ4 2018","FQ4 2018","Currency=INR","Period=FQ","BEST_FPERIOD_OVERRIDE=FQ","FILING_STATUS=OR","EQY_CONSOLIDATED=Y","Sort=A","Dates=H","DateFormat=P","Fill=—","Direction=H","UseDPDF=Y")</f>
        <v>#NAME?</v>
      </c>
      <c r="CU27" s="2" t="e">
        <f ca="1">_xll.BDH($C$3,"QUICK_RATIO","FQ4 2018","FQ4 2018","Currency=INR","Period=FQ","BEST_FPERIOD_OVERRIDE=FQ","FILING_STATUS=OR","EQY_CONSOLIDATED=Y","Sort=A","Dates=H","DateFormat=P","Fill=—","Direction=H","UseDPDF=Y")</f>
        <v>#NAME?</v>
      </c>
      <c r="CV27" s="2" t="e">
        <f ca="1">_xll.BDH($C$3,"ALTMAN_Z_SCORE","FQ4 2018","FQ4 2018","Currency=INR","Period=FQ","BEST_FPERIOD_OVERRIDE=FQ","FILING_STATUS=OR","EQY_CONSOLIDATED=Y","Sort=A","Dates=H","DateFormat=P","Fill=—","Direction=H","UseDPDF=Y")</f>
        <v>#NAME?</v>
      </c>
      <c r="CW27" s="4" t="e">
        <f ca="1">_xll.BDH($C$3,"ACCT_RCV_TURN","FQ4 2018","FQ4 2018","Currency=INR","Period=FQ","BEST_FPERIOD_OVERRIDE=FQ","FILING_STATUS=OR","EQY_CONSOLIDATED=Y","FA_ADJUSTED=GAAP","Sort=A","Dates=H","DateFormat=P","Fill=—","Direction=H","UseDPDF=Y")</f>
        <v>#NAME?</v>
      </c>
      <c r="CX27" s="2" t="e">
        <f ca="1">_xll.BDH($C$3,"ACCT_RCV_DAYS","FQ4 2018","FQ4 2018","Currency=INR","Period=FQ","BEST_FPERIOD_OVERRIDE=FQ","FILING_STATUS=OR","EQY_CONSOLIDATED=Y","FA_ADJUSTED=GAAP","Sort=A","Dates=H","DateFormat=P","Fill=—","Direction=H","UseDPDF=Y")</f>
        <v>#NAME?</v>
      </c>
      <c r="CY27" s="4" t="e">
        <f ca="1">_xll.BDH($C$3,"INVENT_TURN","FQ4 2018","FQ4 2018","Currency=INR","Period=FQ","BEST_FPERIOD_OVERRIDE=FQ","FILING_STATUS=OR","EQY_CONSOLIDATED=Y","FA_ADJUSTED=GAAP","Sort=A","Dates=H","DateFormat=P","Fill=—","Direction=H","UseDPDF=Y")</f>
        <v>#NAME?</v>
      </c>
      <c r="CZ27" s="2" t="e">
        <f ca="1">_xll.BDH($C$3,"INVENT_DAYS","FQ4 2018","FQ4 2018","Currency=INR","Period=FQ","BEST_FPERIOD_OVERRIDE=FQ","FILING_STATUS=OR","EQY_CONSOLIDATED=Y","FA_ADJUSTED=GAAP","Sort=A","Dates=H","DateFormat=P","Fill=—","Direction=H","UseDPDF=Y")</f>
        <v>#NAME?</v>
      </c>
      <c r="DA27" s="4" t="e">
        <f ca="1">_xll.BDH($C$3,"ACCOUNTS_PAYABLE_TURNOVER","FQ4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27" s="2" t="e">
        <f ca="1">_xll.BDH($C$3,"ACCOUNTS_PAYABLE_TURNOVER_DAYS","FQ4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27" s="4" t="e">
        <f ca="1">_xll.BDH($C$3,"CASH_CONVERSION_CYCLE","FQ4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27" s="4" t="e">
        <f ca="1">_xll.BDH($C$3,"INV_TO_CASH_DAYS","FQ4 2018","FQ4 2018","Currency=INR","Period=FQ","BEST_FPERIOD_OVERRIDE=FQ","FILING_STATUS=OR","EQY_CONSOLIDATED=Y","FA_ADJUSTED=GAAP","Sort=A","Dates=H","DateFormat=P","Fill=—","Direction=H","UseDPDF=Y")</f>
        <v>#NAME?</v>
      </c>
      <c r="DE27" s="5" t="e">
        <f ca="1">_xll.BDH($C$3,"BS_INVENTORIES","FQ4 2018","FQ4 2018","Currency=INR","Period=FQ","BEST_FPERIOD_OVERRIDE=FQ","FILING_STATUS=OR","EQY_CONSOLIDATED=Y","SCALING_FORMAT=MLN","Sort=A","Dates=H","DateFormat=P","Fill=—","Direction=H","UseDPDF=Y")</f>
        <v>#NAME?</v>
      </c>
      <c r="DF27" s="3" t="e">
        <f ca="1">_xll.BDH($C$3,"INVTRY_RAW_MATERIALS","FQ4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27" s="3" t="e">
        <f ca="1">_xll.BDH($C$3,"INVTRY_IN_PROGRESS","FQ4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27" s="3" t="e">
        <f ca="1">_xll.BDH($C$3,"INVTRY_FINISHED_GOODS","FQ4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27" s="3" t="e">
        <f ca="1">_xll.BDH($C$3,"BS_OTHER_INV","FQ4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28" spans="1:113" x14ac:dyDescent="0.3">
      <c r="A28" s="6">
        <v>2</v>
      </c>
      <c r="B28" s="6" t="s">
        <v>86</v>
      </c>
      <c r="C28" s="6" t="s">
        <v>87</v>
      </c>
      <c r="D28" s="6" t="s">
        <v>76</v>
      </c>
      <c r="E28" t="s">
        <v>77</v>
      </c>
      <c r="F28" t="e">
        <f ca="1">_xll.BDH($C$28,"RETURN_COM_EQY","FY 2014","FY 2014","Currency=INR","Period=FY","BEST_FPERIOD_OVERRIDE=FY","FILING_STATUS=OR","EQY_CONSOLIDATED=Y","FA_ADJUSTED=GAAP","Sort=A","Dates=H","DateFormat=P","Fill=—","Direction=H","UseDPDF=Y")</f>
        <v>#NAME?</v>
      </c>
      <c r="G28" t="e">
        <f ca="1">_xll.BDH($C$28,"RETURN_ON_ASSET","FY 2014","FY 2014","Currency=INR","Period=FY","BEST_FPERIOD_OVERRIDE=FY","FILING_STATUS=OR","EQY_CONSOLIDATED=Y","FA_ADJUSTED=GAAP","Sort=A","Dates=H","DateFormat=P","Fill=—","Direction=H","UseDPDF=Y")</f>
        <v>#NAME?</v>
      </c>
      <c r="H28" t="e">
        <f ca="1">_xll.BDH($C$28,"RETURN_ON_CAP","FY 2014","FY 2014","Currency=INR","Period=FY","BEST_FPERIOD_OVERRIDE=FY","FILING_STATUS=OR","EQY_CONSOLIDATED=Y","FA_ADJUSTED=GAAP","Sort=A","Dates=H","DateFormat=P","Fill=—","Direction=H","UseDPDF=Y")</f>
        <v>#NAME?</v>
      </c>
      <c r="I28" t="e">
        <f ca="1">_xll.BDH($C$28,"RETURN_ON_INV_CAPITAL","FY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28" t="e">
        <f ca="1">_xll.BDH($C$28,"EBITDA_TO_REVENUE","FY 2014","FY 2014","Currency=INR","Period=FY","BEST_FPERIOD_OVERRIDE=FY","FILING_STATUS=OR","EQY_CONSOLIDATED=Y","FA_ADJUSTED=GAAP","Sort=A","Dates=H","DateFormat=P","Fill=—","Direction=H","UseDPDF=Y")</f>
        <v>#NAME?</v>
      </c>
      <c r="K28" t="e">
        <f ca="1">_xll.BDH($C$28,"OPER_MARGIN","FY 2014","FY 2014","Currency=INR","Period=FY","BEST_FPERIOD_OVERRIDE=FY","FILING_STATUS=OR","EQY_CONSOLIDATED=Y","FA_ADJUSTED=GAAP","Sort=A","Dates=H","DateFormat=P","Fill=—","Direction=H","UseDPDF=Y")</f>
        <v>#NAME?</v>
      </c>
      <c r="L28" t="e">
        <f ca="1">_xll.BDH($C$28,"INCREMENTAL_OPERATING_MARGIN","FY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28" t="e">
        <f ca="1">_xll.BDH($C$28,"PRETAX_INC_TO_NET_SALES","FY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28" t="e">
        <f ca="1">_xll.BDH($C$28,"INC_BEF_XO_ITEMS_TO_NET_SALES","FY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28" t="e">
        <f ca="1">_xll.BDH($C$28,"PROF_MARGIN","FY 2014","FY 2014","Currency=INR","Period=FY","BEST_FPERIOD_OVERRIDE=FY","FILING_STATUS=OR","EQY_CONSOLIDATED=Y","FA_ADJUSTED=GAAP","Sort=A","Dates=H","DateFormat=P","Fill=—","Direction=H","UseDPDF=Y")</f>
        <v>#NAME?</v>
      </c>
      <c r="P28" t="e">
        <f ca="1">_xll.BDH($C$28,"NET_INCOME_TO_COMMON_MARGIN","FY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28" t="e">
        <f ca="1">_xll.BDH($C$28,"EFF_TAX_RATE","FY 2014","FY 2014","Currency=INR","Period=FY","BEST_FPERIOD_OVERRIDE=FY","FILING_STATUS=OR","EQY_CONSOLIDATED=Y","FA_ADJUSTED=GAAP","Sort=A","Dates=H","DateFormat=P","Fill=—","Direction=H","UseDPDF=Y")</f>
        <v>#NAME?</v>
      </c>
      <c r="R28" t="e">
        <f ca="1">_xll.BDH($C$28,"DVD_PAYOUT_RATIO","FY 2014","FY 2014","Currency=INR","Period=FY","BEST_FPERIOD_OVERRIDE=FY","FILING_STATUS=OR","EQY_CONSOLIDATED=Y","FA_ADJUSTED=GAAP","Sort=A","Dates=H","DateFormat=P","Fill=—","Direction=H","UseDPDF=Y")</f>
        <v>#NAME?</v>
      </c>
      <c r="S28" t="e">
        <f ca="1">_xll.BDH($C$28,"SUSTAIN_GROWTH_RT","FY 2014","FY 2014","Currency=INR","Period=FY","BEST_FPERIOD_OVERRIDE=FY","FILING_STATUS=OR","EQY_CONSOLIDATED=Y","FA_ADJUSTED=GAAP","Sort=A","Dates=H","DateFormat=P","Fill=—","Direction=H","UseDPDF=Y")</f>
        <v>#NAME?</v>
      </c>
      <c r="T28" s="2" t="e">
        <f ca="1">_xll.BDH($C$28,"SALES_GROWTH","FY 2014","FY 2014","Currency=INR","Period=FY","BEST_FPERIOD_OVERRIDE=FY","FILING_STATUS=OR","EQY_CONSOLIDATED=Y","FA_ADJUSTED=GAAP","Sort=A","Dates=H","DateFormat=P","Fill=—","Direction=H","UseDPDF=Y")</f>
        <v>#NAME?</v>
      </c>
      <c r="U28" s="2" t="e">
        <f ca="1">_xll.BDH($C$28,"EBITDA_GROWTH","FY 2014","FY 2014","Currency=INR","Period=FY","BEST_FPERIOD_OVERRIDE=FY","FILING_STATUS=OR","EQY_CONSOLIDATED=Y","FA_ADJUSTED=GAAP","Sort=A","Dates=H","DateFormat=P","Fill=—","Direction=H","UseDPDF=Y")</f>
        <v>#NAME?</v>
      </c>
      <c r="V28" s="2" t="e">
        <f ca="1">_xll.BDH($C$28,"OPER_INC_GROWTH","FY 2014","FY 2014","Currency=INR","Period=FY","BEST_FPERIOD_OVERRIDE=FY","FILING_STATUS=OR","EQY_CONSOLIDATED=Y","FA_ADJUSTED=GAAP","Sort=A","Dates=H","DateFormat=P","Fill=—","Direction=H","UseDPDF=Y")</f>
        <v>#NAME?</v>
      </c>
      <c r="W28" s="2" t="e">
        <f ca="1">_xll.BDH($C$28,"EARN_FOR_COM_GROWTH","FY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28" s="2" t="e">
        <f ca="1">_xll.BDH($C$28,"DILUTED_EPS_AFT_XO_ITEMS_GROWTH","FY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28" s="2" t="e">
        <f ca="1">_xll.BDH($C$28,"DIVIDEND_PER_SHARE_1_YEAR_GROWTH","FY 2014","FY 2014","Currency=INR","Period=FY","BEST_FPERIOD_OVERRIDE=FY","FILING_STATUS=OR","EQY_CONSOLIDATED=Y","Sort=A","Dates=H","DateFormat=P","Fill=—","Direction=H","UseDPDF=Y")</f>
        <v>#NAME?</v>
      </c>
      <c r="Z28" s="2" t="e">
        <f ca="1">_xll.BDH($C$28,"ACCOUNTS_RECEIVABLE_GROWTH","FY 2014","FY 2014","Currency=INR","Period=FY","BEST_FPERIOD_OVERRIDE=FY","FILING_STATUS=OR","EQY_CONSOLIDATED=Y","Sort=A","Dates=H","DateFormat=P","Fill=—","Direction=H","UseDPDF=Y")</f>
        <v>#NAME?</v>
      </c>
      <c r="AA28" s="2" t="e">
        <f ca="1">_xll.BDH($C$28,"INVENTORY_GROWTH","FY 2014","FY 2014","Currency=INR","Period=FY","BEST_FPERIOD_OVERRIDE=FY","FILING_STATUS=OR","EQY_CONSOLIDATED=Y","Sort=A","Dates=H","DateFormat=P","Fill=—","Direction=H","UseDPDF=Y")</f>
        <v>#NAME?</v>
      </c>
      <c r="AB28" s="2" t="e">
        <f ca="1">_xll.BDH($C$28,"NET_FIXED_ASSETS_1_YEAR_GROWTH","FY 2014","FY 2014","Currency=INR","Period=FY","BEST_FPERIOD_OVERRIDE=FY","FILING_STATUS=OR","EQY_CONSOLIDATED=Y","Sort=A","Dates=H","DateFormat=P","Fill=—","Direction=H","UseDPDF=Y")</f>
        <v>#NAME?</v>
      </c>
      <c r="AC28" s="2" t="e">
        <f ca="1">_xll.BDH($C$28,"ASSET_GROWTH","FY 2014","FY 2014","Currency=INR","Period=FY","BEST_FPERIOD_OVERRIDE=FY","FILING_STATUS=OR","EQY_CONSOLIDATED=Y","Sort=A","Dates=H","DateFormat=P","Fill=—","Direction=H","UseDPDF=Y")</f>
        <v>#NAME?</v>
      </c>
      <c r="AD28" s="2" t="e">
        <f ca="1">_xll.BDH($C$28,"MODIFIED_WORK_CAP_GROWTH","FY 2014","FY 2014","Currency=INR","Period=FY","BEST_FPERIOD_OVERRIDE=FY","FILING_STATUS=OR","EQY_CONSOLIDATED=Y","Sort=A","Dates=H","DateFormat=P","Fill=—","Direction=H","UseDPDF=Y")</f>
        <v>#NAME?</v>
      </c>
      <c r="AE28" s="2" t="e">
        <f ca="1">_xll.BDH($C$28,"WORK_CAP_GROWTH","FY 2014","FY 2014","Currency=INR","Period=FY","BEST_FPERIOD_OVERRIDE=FY","FILING_STATUS=OR","EQY_CONSOLIDATED=Y","Sort=A","Dates=H","DateFormat=P","Fill=—","Direction=H","UseDPDF=Y")</f>
        <v>#NAME?</v>
      </c>
      <c r="AF28" s="2" t="e">
        <f ca="1">_xll.BDH($C$28,"ACCOUNTS_PAYABLE_GROWTH_1YR","FY 2014","FY 2014","Currency=INR","Period=FY","BEST_FPERIOD_OVERRIDE=FY","FILING_STATUS=OR","EQY_CONSOLIDATED=Y","Sort=A","Dates=H","DateFormat=P","Fill=—","Direction=H","UseDPDF=Y")</f>
        <v>#NAME?</v>
      </c>
      <c r="AG28" s="2" t="e">
        <f ca="1">_xll.BDH($C$28,"SHORT_TERM_DEBT_1_YEAR_GROWTH","FY 2014","FY 2014","Currency=INR","Period=FY","BEST_FPERIOD_OVERRIDE=FY","FILING_STATUS=OR","EQY_CONSOLIDATED=Y","Sort=A","Dates=H","DateFormat=P","Fill=—","Direction=H","UseDPDF=Y")</f>
        <v>#NAME?</v>
      </c>
      <c r="AH28" s="2" t="e">
        <f ca="1">_xll.BDH($C$28,"TOTAL_DEBT_1_YEAR_GROWTH","FY 2014","FY 2014","Currency=INR","Period=FY","BEST_FPERIOD_OVERRIDE=FY","FILING_STATUS=OR","EQY_CONSOLIDATED=Y","Sort=A","Dates=H","DateFormat=P","Fill=—","Direction=H","UseDPDF=Y")</f>
        <v>#NAME?</v>
      </c>
      <c r="AI28" s="2" t="e">
        <f ca="1">_xll.BDH($C$28,"TOTAL_EQUITY_1_YEAR_GROWTH","FY 2014","FY 2014","Currency=INR","Period=FY","BEST_FPERIOD_OVERRIDE=FY","FILING_STATUS=OR","EQY_CONSOLIDATED=Y","Sort=A","Dates=H","DateFormat=P","Fill=—","Direction=H","UseDPDF=Y")</f>
        <v>#NAME?</v>
      </c>
      <c r="AJ28" s="2" t="e">
        <f ca="1">_xll.BDH($C$28,"GROWTH_IN_CAP","FY 2014","FY 2014","Currency=INR","Period=FY","BEST_FPERIOD_OVERRIDE=FY","FILING_STATUS=OR","EQY_CONSOLIDATED=Y","Sort=A","Dates=H","DateFormat=P","Fill=—","Direction=H","UseDPDF=Y")</f>
        <v>#NAME?</v>
      </c>
      <c r="AK28" s="2" t="e">
        <f ca="1">_xll.BDH($C$28,"BVPS_GROWTH","FY 2014","FY 2014","Currency=INR","Period=FY","BEST_FPERIOD_OVERRIDE=FY","FILING_STATUS=OR","EQY_CONSOLIDATED=Y","Sort=A","Dates=H","DateFormat=P","Fill=—","Direction=H","UseDPDF=Y")</f>
        <v>#NAME?</v>
      </c>
      <c r="AL28" s="2" t="e">
        <f ca="1">_xll.BDH($C$28,"CASH_FLOW_GROWTH","FY 2014","FY 2014","Currency=INR","Period=FY","BEST_FPERIOD_OVERRIDE=FY","FILING_STATUS=OR","EQY_CONSOLIDATED=Y","Sort=A","Dates=H","DateFormat=P","Fill=—","Direction=H","UseDPDF=Y")</f>
        <v>#NAME?</v>
      </c>
      <c r="AM28" s="2" t="e">
        <f ca="1">_xll.BDH($C$28,"GEO_GROW_NET_SALES","FY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28" s="2" t="e">
        <f ca="1">_xll.BDH($C$28,"GEO_GROW_EBITDA","FY 2014","FY 2014","Currency=INR","Period=FY","BEST_FPERIOD_OVERRIDE=FY","FILING_STATUS=OR","EQY_CONSOLIDATED=Y","FA_ADJUSTED=GAAP","Sort=A","Dates=H","DateFormat=P","Fill=—","Direction=H","UseDPDF=Y")</f>
        <v>#NAME?</v>
      </c>
      <c r="AO28" s="2" t="e">
        <f ca="1">_xll.BDH($C$28,"GEO_GROW_OPER_INC","FY 2014","FY 2014","Currency=INR","Period=FY","BEST_FPERIOD_OVERRIDE=FY","FILING_STATUS=OR","EQY_CONSOLIDATED=Y","FA_ADJUSTED=GAAP","Sort=A","Dates=H","DateFormat=P","Fill=—","Direction=H","UseDPDF=Y")</f>
        <v>#NAME?</v>
      </c>
      <c r="AP28" s="2" t="e">
        <f ca="1">_xll.BDH($C$28,"NET_INCOME_TO_COMMON_5_YR_GROWTH","FY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28" s="2" t="e">
        <f ca="1">_xll.BDH($C$28,"5Y_GEO_GROWTH_DILUTED_EPS","FY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28" s="2" t="e">
        <f ca="1">_xll.BDH($C$28,"GEO_GROW_DVD_PER_SH","FY 2014","FY 2014","Currency=INR","Period=FY","BEST_FPERIOD_OVERRIDE=FY","FILING_STATUS=OR","EQY_CONSOLIDATED=Y","Sort=A","Dates=H","DateFormat=P","Fill=—","Direction=H","UseDPDF=Y")</f>
        <v>#NAME?</v>
      </c>
      <c r="AS28" s="2" t="e">
        <f ca="1">_xll.BDH($C$28,"ACCOUNTS_RECEIVABLE_5_YR_GROWTH","FY 2014","FY 2014","Currency=INR","Period=FY","BEST_FPERIOD_OVERRIDE=FY","FILING_STATUS=OR","EQY_CONSOLIDATED=Y","Sort=A","Dates=H","DateFormat=P","Fill=—","Direction=H","UseDPDF=Y")</f>
        <v>#NAME?</v>
      </c>
      <c r="AT28" s="2" t="e">
        <f ca="1">_xll.BDH($C$28,"INVENTORY_5_YEAR_GROWTH","FY 2014","FY 2014","Currency=INR","Period=FY","BEST_FPERIOD_OVERRIDE=FY","FILING_STATUS=OR","EQY_CONSOLIDATED=Y","Sort=A","Dates=H","DateFormat=P","Fill=—","Direction=H","UseDPDF=Y")</f>
        <v>#NAME?</v>
      </c>
      <c r="AU28" s="2" t="e">
        <f ca="1">_xll.BDH($C$28,"NET_FIXED_ASSETS_5_YEAR_GROWTH","FY 2014","FY 2014","Currency=INR","Period=FY","BEST_FPERIOD_OVERRIDE=FY","FILING_STATUS=OR","EQY_CONSOLIDATED=Y","Sort=A","Dates=H","DateFormat=P","Fill=—","Direction=H","UseDPDF=Y")</f>
        <v>#NAME?</v>
      </c>
      <c r="AV28" s="2" t="e">
        <f ca="1">_xll.BDH($C$28,"GEO_GROW_TOT_ASSET","FY 2014","FY 2014","Currency=INR","Period=FY","BEST_FPERIOD_OVERRIDE=FY","FILING_STATUS=OR","EQY_CONSOLIDATED=Y","Sort=A","Dates=H","DateFormat=P","Fill=—","Direction=H","UseDPDF=Y")</f>
        <v>#NAME?</v>
      </c>
      <c r="AW28" s="2" t="e">
        <f ca="1">_xll.BDH($C$28,"MODIFIED_WORKING_CPTL_5YR_GRWTH","FY 2014","FY 2014","Currency=INR","Period=FY","BEST_FPERIOD_OVERRIDE=FY","FILING_STATUS=OR","EQY_CONSOLIDATED=Y","Sort=A","Dates=H","DateFormat=P","Fill=—","Direction=H","UseDPDF=Y")</f>
        <v>#NAME?</v>
      </c>
      <c r="AX28" s="2" t="e">
        <f ca="1">_xll.BDH($C$28,"WORKING_CAPITAL_5_YEAR_GROWTH","FY 2014","FY 2014","Currency=INR","Period=FY","BEST_FPERIOD_OVERRIDE=FY","FILING_STATUS=OR","EQY_CONSOLIDATED=Y","Sort=A","Dates=H","DateFormat=P","Fill=—","Direction=H","UseDPDF=Y")</f>
        <v>#NAME?</v>
      </c>
      <c r="AY28" s="2" t="e">
        <f ca="1">_xll.BDH($C$28,"ACCOUNTS_PAYABLE_5_YEAR_GROWTH","FY 2014","FY 2014","Currency=INR","Period=FY","BEST_FPERIOD_OVERRIDE=FY","FILING_STATUS=OR","EQY_CONSOLIDATED=Y","Sort=A","Dates=H","DateFormat=P","Fill=—","Direction=H","UseDPDF=Y")</f>
        <v>#NAME?</v>
      </c>
      <c r="AZ28" s="2" t="e">
        <f ca="1">_xll.BDH($C$28,"SHORT_TERM_DEBT_5_YEAR_GROWTH","FY 2014","FY 2014","Currency=INR","Period=FY","BEST_FPERIOD_OVERRIDE=FY","FILING_STATUS=OR","EQY_CONSOLIDATED=Y","Sort=A","Dates=H","DateFormat=P","Fill=—","Direction=H","UseDPDF=Y")</f>
        <v>#NAME?</v>
      </c>
      <c r="BA28" s="2" t="e">
        <f ca="1">_xll.BDH($C$28,"TOTAL_DEBT_5_YEAR_GROWTH","FY 2014","FY 2014","Currency=INR","Period=FY","BEST_FPERIOD_OVERRIDE=FY","FILING_STATUS=OR","EQY_CONSOLIDATED=Y","Sort=A","Dates=H","DateFormat=P","Fill=—","Direction=H","UseDPDF=Y")</f>
        <v>#NAME?</v>
      </c>
      <c r="BB28" s="2" t="e">
        <f ca="1">_xll.BDH($C$28,"GEO_GROW_TOT_SHRHLDR_EQY","FY 2014","FY 2014","Currency=INR","Period=FY","BEST_FPERIOD_OVERRIDE=FY","FILING_STATUS=OR","EQY_CONSOLIDATED=Y","Sort=A","Dates=H","DateFormat=P","Fill=—","Direction=H","UseDPDF=Y")</f>
        <v>#NAME?</v>
      </c>
      <c r="BC28" s="2" t="e">
        <f ca="1">_xll.BDH($C$28,"TOTAL_CAPITAL_5_YEAR_GROWTH","FY 2014","FY 2014","Currency=INR","Period=FY","BEST_FPERIOD_OVERRIDE=FY","FILING_STATUS=OR","EQY_CONSOLIDATED=Y","Sort=A","Dates=H","DateFormat=P","Fill=—","Direction=H","UseDPDF=Y")</f>
        <v>#NAME?</v>
      </c>
      <c r="BD28" s="2" t="e">
        <f ca="1">_xll.BDH($C$28,"GEO_GROW_BOOK_VAL","FY 2014","FY 2014","Currency=INR","Period=FY","BEST_FPERIOD_OVERRIDE=FY","FILING_STATUS=OR","EQY_CONSOLIDATED=Y","Sort=A","Dates=H","DateFormat=P","Fill=—","Direction=H","UseDPDF=Y")</f>
        <v>#NAME?</v>
      </c>
      <c r="BE28" s="2" t="e">
        <f ca="1">_xll.BDH($C$28,"GEO_GROW_CASH_OPER_ACT","FY 2014","FY 2014","Currency=INR","Period=FY","BEST_FPERIOD_OVERRIDE=FY","FILING_STATUS=OR","EQY_CONSOLIDATED=Y","Sort=A","Dates=H","DateFormat=P","Fill=—","Direction=H","UseDPDF=Y")</f>
        <v>#NAME?</v>
      </c>
      <c r="BF28" s="2" t="e">
        <f ca="1">_xll.BDH($C$28,"REVENUE_SEQUENTIAL_GROWTH","FY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28" s="2" t="e">
        <f ca="1">_xll.BDH($C$28,"EBITDA_SEQUENTIAL_GROWTH","FY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28" s="2" t="e">
        <f ca="1">_xll.BDH($C$28,"OPERATING_INCOME_SEQ_GROWTH","FY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28" s="2" t="e">
        <f ca="1">_xll.BDH($C$28,"NET_INCOME_TO_COMMON_SEQ_GROWTH","FY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28" s="2" t="e">
        <f ca="1">_xll.BDH($C$28,"EPS_DILUTED_SEQUENTIAL_GROWTH","FY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28" s="2" t="e">
        <f ca="1">_xll.BDH($C$28,"DPS_SEQUENTIAL_GROWTH","FY 2014","FY 2014","Currency=INR","Period=FY","BEST_FPERIOD_OVERRIDE=FY","FILING_STATUS=OR","EQY_CONSOLIDATED=Y","Sort=A","Dates=H","DateFormat=P","Fill=—","Direction=H","UseDPDF=Y")</f>
        <v>#NAME?</v>
      </c>
      <c r="BL28" s="2" t="e">
        <f ca="1">_xll.BDH($C$28,"ACCOUNTS_RECEIVABLE_SEQ_GROWTH","FY 2014","FY 2014","Currency=INR","Period=FY","BEST_FPERIOD_OVERRIDE=FY","FILING_STATUS=OR","EQY_CONSOLIDATED=Y","Sort=A","Dates=H","DateFormat=P","Fill=—","Direction=H","UseDPDF=Y")</f>
        <v>#NAME?</v>
      </c>
      <c r="BM28" s="2" t="e">
        <f ca="1">_xll.BDH($C$28,"INVENTORY_SEQUENTIAL_GROWTH","FY 2014","FY 2014","Currency=INR","Period=FY","BEST_FPERIOD_OVERRIDE=FY","FILING_STATUS=OR","EQY_CONSOLIDATED=Y","Sort=A","Dates=H","DateFormat=P","Fill=—","Direction=H","UseDPDF=Y")</f>
        <v>#NAME?</v>
      </c>
      <c r="BN28" s="2" t="e">
        <f ca="1">_xll.BDH($C$28,"FIXED_ASSETS_SEQUENTIAL_GROWTH","FY 2014","FY 2014","Currency=INR","Period=FY","BEST_FPERIOD_OVERRIDE=FY","FILING_STATUS=OR","EQY_CONSOLIDATED=Y","Sort=A","Dates=H","DateFormat=P","Fill=—","Direction=H","UseDPDF=Y")</f>
        <v>#NAME?</v>
      </c>
      <c r="BO28" s="2" t="e">
        <f ca="1">_xll.BDH($C$28,"TOTAL_ASSETS_SEQUENTIAL_GROWTH","FY 2014","FY 2014","Currency=INR","Period=FY","BEST_FPERIOD_OVERRIDE=FY","FILING_STATUS=OR","EQY_CONSOLIDATED=Y","Sort=A","Dates=H","DateFormat=P","Fill=—","Direction=H","UseDPDF=Y")</f>
        <v>#NAME?</v>
      </c>
      <c r="BP28" s="2" t="e">
        <f ca="1">_xll.BDH($C$28,"MODIFIED_WORKING_CPTL_SEQ_GRWTH","FY 2014","FY 2014","Currency=INR","Period=FY","BEST_FPERIOD_OVERRIDE=FY","FILING_STATUS=OR","EQY_CONSOLIDATED=Y","Sort=A","Dates=H","DateFormat=P","Fill=—","Direction=H","UseDPDF=Y")</f>
        <v>#NAME?</v>
      </c>
      <c r="BQ28" s="2" t="e">
        <f ca="1">_xll.BDH($C$28,"WORKING_CAPITAL_SEQ_GROWTH","FY 2014","FY 2014","Currency=INR","Period=FY","BEST_FPERIOD_OVERRIDE=FY","FILING_STATUS=OR","EQY_CONSOLIDATED=Y","Sort=A","Dates=H","DateFormat=P","Fill=—","Direction=H","UseDPDF=Y")</f>
        <v>#NAME?</v>
      </c>
      <c r="BR28" s="2" t="e">
        <f ca="1">_xll.BDH($C$28,"ACCOUNTS_PAYABLE_SEQ_GROWTH","FY 2014","FY 2014","Currency=INR","Period=FY","BEST_FPERIOD_OVERRIDE=FY","FILING_STATUS=OR","EQY_CONSOLIDATED=Y","Sort=A","Dates=H","DateFormat=P","Fill=—","Direction=H","UseDPDF=Y")</f>
        <v>#NAME?</v>
      </c>
      <c r="BS28" s="2" t="e">
        <f ca="1">_xll.BDH($C$28,"ST_DEBT_SEQUENTIAL_GROWTH","FY 2014","FY 2014","Currency=INR","Period=FY","BEST_FPERIOD_OVERRIDE=FY","FILING_STATUS=OR","EQY_CONSOLIDATED=Y","Sort=A","Dates=H","DateFormat=P","Fill=—","Direction=H","UseDPDF=Y")</f>
        <v>#NAME?</v>
      </c>
      <c r="BT28" s="2" t="e">
        <f ca="1">_xll.BDH($C$28,"TOTAL_DEBT_SEQUENTIAL_GROWTH","FY 2014","FY 2014","Currency=INR","Period=FY","BEST_FPERIOD_OVERRIDE=FY","FILING_STATUS=OR","EQY_CONSOLIDATED=Y","Sort=A","Dates=H","DateFormat=P","Fill=—","Direction=H","UseDPDF=Y")</f>
        <v>#NAME?</v>
      </c>
      <c r="BU28" s="2" t="e">
        <f ca="1">_xll.BDH($C$28,"TOTAL_EQUITY_SEQUENTIAL_GROWTH","FY 2014","FY 2014","Currency=INR","Period=FY","BEST_FPERIOD_OVERRIDE=FY","FILING_STATUS=OR","EQY_CONSOLIDATED=Y","Sort=A","Dates=H","DateFormat=P","Fill=—","Direction=H","UseDPDF=Y")</f>
        <v>#NAME?</v>
      </c>
      <c r="BV28" s="2" t="e">
        <f ca="1">_xll.BDH($C$28,"TOTAL_CAPITAL_SEQUENTIAL_GROWTH","FY 2014","FY 2014","Currency=INR","Period=FY","BEST_FPERIOD_OVERRIDE=FY","FILING_STATUS=OR","EQY_CONSOLIDATED=Y","Sort=A","Dates=H","DateFormat=P","Fill=—","Direction=H","UseDPDF=Y")</f>
        <v>#NAME?</v>
      </c>
      <c r="BW28" s="2" t="e">
        <f ca="1">_xll.BDH($C$28,"BPS_SEQUENTIAL_GROWTH","FY 2014","FY 2014","Currency=INR","Period=FY","BEST_FPERIOD_OVERRIDE=FY","FILING_STATUS=OR","EQY_CONSOLIDATED=Y","Sort=A","Dates=H","DateFormat=P","Fill=—","Direction=H","UseDPDF=Y")</f>
        <v>#NAME?</v>
      </c>
      <c r="BX28" s="2" t="e">
        <f ca="1">_xll.BDH($C$28,"CFO_SEQUENTIAL_GROWTH","FY 2014","FY 2014","Currency=INR","Period=FY","BEST_FPERIOD_OVERRIDE=FY","FILING_STATUS=OR","EQY_CONSOLIDATED=Y","Sort=A","Dates=H","DateFormat=P","Fill=—","Direction=H","UseDPDF=Y")</f>
        <v>#NAME?</v>
      </c>
      <c r="BY28" s="3" t="e">
        <f ca="1">_xll.BDH($C$28,"SHORT_AND_LONG_TERM_DEBT","FY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28" s="3" t="e">
        <f ca="1">_xll.BDH($C$28,"BS_ST_BORROW","FY 2014","FY 2014","Currency=INR","Period=FY","BEST_FPERIOD_OVERRIDE=FY","FILING_STATUS=OR","EQY_CONSOLIDATED=Y","SCALING_FORMAT=MLN","Sort=A","Dates=H","DateFormat=P","Fill=—","Direction=H","UseDPDF=Y")</f>
        <v>#NAME?</v>
      </c>
      <c r="CA28" s="3" t="e">
        <f ca="1">_xll.BDH($C$28,"BS_LT_BORROW","FY 2014","FY 2014","Currency=INR","Period=FY","BEST_FPERIOD_OVERRIDE=FY","FILING_STATUS=OR","EQY_CONSOLIDATED=Y","SCALING_FORMAT=MLN","Sort=A","Dates=H","DateFormat=P","Fill=—","Direction=H","UseDPDF=Y")</f>
        <v>#NAME?</v>
      </c>
      <c r="CB28" s="2" t="e">
        <f ca="1">_xll.BDH($C$28,"TOT_DEBT_TO_EBITDA","FY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28" s="2" t="e">
        <f ca="1">_xll.BDH($C$28,"NET_DEBT_TO_EBITDA","FY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28" s="2" t="e">
        <f ca="1">_xll.BDH($C$28,"TOTAL_DEBT_TO_EBIT","FY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28" s="2" t="e">
        <f ca="1">_xll.BDH($C$28,"NET_DEBT_TO_EBIT","FY 2014","FY 2014","Currency=INR","Period=FY","BEST_FPERIOD_OVERRIDE=FY","FILING_STATUS=OR","EQY_CONSOLIDATED=Y","FA_ADJUSTED=GAAP","Sort=A","Dates=H","DateFormat=P","Fill=—","Direction=H","UseDPDF=Y")</f>
        <v>#NAME?</v>
      </c>
      <c r="CF28" s="2" t="e">
        <f ca="1">_xll.BDH($C$28,"EBITDA_TO_INTEREST_EXPN","FY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28" s="2" t="e">
        <f ca="1">_xll.BDH($C$28,"COM_EQY_TO_TOT_ASSET","FY 2014","FY 2014","Currency=INR","Period=FY","BEST_FPERIOD_OVERRIDE=FY","FILING_STATUS=OR","EQY_CONSOLIDATED=Y","Sort=A","Dates=H","DateFormat=P","Fill=—","Direction=H","UseDPDF=Y")</f>
        <v>#NAME?</v>
      </c>
      <c r="CH28" s="2" t="e">
        <f ca="1">_xll.BDH($C$28,"LT_DEBT_TO_TOT_EQY","FY 2014","FY 2014","Currency=INR","Period=FY","BEST_FPERIOD_OVERRIDE=FY","FILING_STATUS=OR","EQY_CONSOLIDATED=Y","Sort=A","Dates=H","DateFormat=P","Fill=—","Direction=H","UseDPDF=Y")</f>
        <v>#NAME?</v>
      </c>
      <c r="CI28" s="2" t="e">
        <f ca="1">_xll.BDH($C$28,"LT_DEBT_TO_TOT_CAP","FY 2014","FY 2014","Currency=INR","Period=FY","BEST_FPERIOD_OVERRIDE=FY","FILING_STATUS=OR","EQY_CONSOLIDATED=Y","Sort=A","Dates=H","DateFormat=P","Fill=—","Direction=H","UseDPDF=Y")</f>
        <v>#NAME?</v>
      </c>
      <c r="CJ28" s="2" t="e">
        <f ca="1">_xll.BDH($C$28,"LT_DEBT_TO_TOT_ASSET","FY 2014","FY 2014","Currency=INR","Period=FY","BEST_FPERIOD_OVERRIDE=FY","FILING_STATUS=OR","EQY_CONSOLIDATED=Y","Sort=A","Dates=H","DateFormat=P","Fill=—","Direction=H","UseDPDF=Y")</f>
        <v>#NAME?</v>
      </c>
      <c r="CK28" s="2" t="e">
        <f ca="1">_xll.BDH($C$28,"TOT_DEBT_TO_TOT_EQY","FY 2014","FY 2014","Currency=INR","Period=FY","BEST_FPERIOD_OVERRIDE=FY","FILING_STATUS=OR","EQY_CONSOLIDATED=Y","Sort=A","Dates=H","DateFormat=P","Fill=—","Direction=H","UseDPDF=Y")</f>
        <v>#NAME?</v>
      </c>
      <c r="CL28" s="2" t="e">
        <f ca="1">_xll.BDH($C$28,"TOT_DEBT_TO_TOT_CAP","FY 2014","FY 2014","Currency=INR","Period=FY","BEST_FPERIOD_OVERRIDE=FY","FILING_STATUS=OR","EQY_CONSOLIDATED=Y","Sort=A","Dates=H","DateFormat=P","Fill=—","Direction=H","UseDPDF=Y")</f>
        <v>#NAME?</v>
      </c>
      <c r="CM28" s="2" t="e">
        <f ca="1">_xll.BDH($C$28,"TOT_DEBT_TO_TOT_ASSET","FY 2014","FY 2014","Currency=INR","Period=FY","BEST_FPERIOD_OVERRIDE=FY","FILING_STATUS=OR","EQY_CONSOLIDATED=Y","Sort=A","Dates=H","DateFormat=P","Fill=—","Direction=H","UseDPDF=Y")</f>
        <v>#NAME?</v>
      </c>
      <c r="CN28" s="2" t="e">
        <f ca="1">_xll.BDH($C$28,"NET_DEBT_TO_SHRHLDR_EQTY","FY 2014","FY 2014","Currency=INR","Period=FY","BEST_FPERIOD_OVERRIDE=FY","FILING_STATUS=OR","EQY_CONSOLIDATED=Y","Sort=A","Dates=H","DateFormat=P","Fill=—","Direction=H","UseDPDF=Y")</f>
        <v>#NAME?</v>
      </c>
      <c r="CO28" s="2" t="e">
        <f ca="1">_xll.BDH($C$28,"NET_DEBT_%_CAPITAL","FY 2014","FY 2014","Currency=INR","Period=FY","BEST_FPERIOD_OVERRIDE=FY","FILING_STATUS=OR","EQY_CONSOLIDATED=Y","Sort=A","Dates=H","DateFormat=P","Fill=—","Direction=H","UseDPDF=Y")</f>
        <v>#NAME?</v>
      </c>
      <c r="CP28" s="3" t="e">
        <f ca="1">_xll.BDH($C$28,"EBITDA","FY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28" s="3" t="e">
        <f ca="1">_xll.BDH($C$28,"EBITDA_AFTER_CAPEX","FY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28" s="3" t="e">
        <f ca="1">_xll.BDH($C$28,"IS_OPER_INC","FY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28" s="2" t="e">
        <f ca="1">_xll.BDH($C$28,"CASH_RATIO","FY 2014","FY 2014","Currency=INR","Period=FY","BEST_FPERIOD_OVERRIDE=FY","FILING_STATUS=OR","EQY_CONSOLIDATED=Y","Sort=A","Dates=H","DateFormat=P","Fill=—","Direction=H","UseDPDF=Y")</f>
        <v>#NAME?</v>
      </c>
      <c r="CT28" s="2" t="e">
        <f ca="1">_xll.BDH($C$28,"CUR_RATIO","FY 2014","FY 2014","Currency=INR","Period=FY","BEST_FPERIOD_OVERRIDE=FY","FILING_STATUS=OR","EQY_CONSOLIDATED=Y","Sort=A","Dates=H","DateFormat=P","Fill=—","Direction=H","UseDPDF=Y")</f>
        <v>#NAME?</v>
      </c>
      <c r="CU28" s="2" t="e">
        <f ca="1">_xll.BDH($C$28,"QUICK_RATIO","FY 2014","FY 2014","Currency=INR","Period=FY","BEST_FPERIOD_OVERRIDE=FY","FILING_STATUS=OR","EQY_CONSOLIDATED=Y","Sort=A","Dates=H","DateFormat=P","Fill=—","Direction=H","UseDPDF=Y")</f>
        <v>#NAME?</v>
      </c>
      <c r="CV28" s="2" t="e">
        <f ca="1">_xll.BDH($C$28,"ALTMAN_Z_SCORE","FY 2014","FY 2014","Currency=INR","Period=FY","BEST_FPERIOD_OVERRIDE=FY","FILING_STATUS=OR","EQY_CONSOLIDATED=Y","Sort=A","Dates=H","DateFormat=P","Fill=—","Direction=H","UseDPDF=Y")</f>
        <v>#NAME?</v>
      </c>
      <c r="CW28" s="4" t="e">
        <f ca="1">_xll.BDH($C$28,"ACCT_RCV_TURN","FY 2014","FY 2014","Currency=INR","Period=FY","BEST_FPERIOD_OVERRIDE=FY","FILING_STATUS=OR","EQY_CONSOLIDATED=Y","FA_ADJUSTED=GAAP","Sort=A","Dates=H","DateFormat=P","Fill=—","Direction=H","UseDPDF=Y")</f>
        <v>#NAME?</v>
      </c>
      <c r="CX28" s="2" t="e">
        <f ca="1">_xll.BDH($C$28,"ACCT_RCV_DAYS","FY 2014","FY 2014","Currency=INR","Period=FY","BEST_FPERIOD_OVERRIDE=FY","FILING_STATUS=OR","EQY_CONSOLIDATED=Y","FA_ADJUSTED=GAAP","Sort=A","Dates=H","DateFormat=P","Fill=—","Direction=H","UseDPDF=Y")</f>
        <v>#NAME?</v>
      </c>
      <c r="CY28" s="4" t="e">
        <f ca="1">_xll.BDH($C$28,"INVENT_TURN","FY 2014","FY 2014","Currency=INR","Period=FY","BEST_FPERIOD_OVERRIDE=FY","FILING_STATUS=OR","EQY_CONSOLIDATED=Y","FA_ADJUSTED=GAAP","Sort=A","Dates=H","DateFormat=P","Fill=—","Direction=H","UseDPDF=Y")</f>
        <v>#NAME?</v>
      </c>
      <c r="CZ28" s="2" t="e">
        <f ca="1">_xll.BDH($C$28,"INVENT_DAYS","FY 2014","FY 2014","Currency=INR","Period=FY","BEST_FPERIOD_OVERRIDE=FY","FILING_STATUS=OR","EQY_CONSOLIDATED=Y","FA_ADJUSTED=GAAP","Sort=A","Dates=H","DateFormat=P","Fill=—","Direction=H","UseDPDF=Y")</f>
        <v>#NAME?</v>
      </c>
      <c r="DA28" s="4" t="e">
        <f ca="1">_xll.BDH($C$28,"ACCOUNTS_PAYABLE_TURNOVER","FY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28" s="2" t="e">
        <f ca="1">_xll.BDH($C$28,"ACCOUNTS_PAYABLE_TURNOVER_DAYS","FY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28" s="4" t="e">
        <f ca="1">_xll.BDH($C$28,"CASH_CONVERSION_CYCLE","FY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28" s="4" t="e">
        <f ca="1">_xll.BDH($C$28,"INV_TO_CASH_DAYS","FY 2014","FY 2014","Currency=INR","Period=FY","BEST_FPERIOD_OVERRIDE=FY","FILING_STATUS=OR","EQY_CONSOLIDATED=Y","FA_ADJUSTED=GAAP","Sort=A","Dates=H","DateFormat=P","Fill=—","Direction=H","UseDPDF=Y")</f>
        <v>#NAME?</v>
      </c>
      <c r="DE28" s="5" t="e">
        <f ca="1">_xll.BDH($C$28,"BS_INVENTORIES","FY 2014","FY 2014","Currency=INR","Period=FY","BEST_FPERIOD_OVERRIDE=FY","FILING_STATUS=OR","EQY_CONSOLIDATED=Y","SCALING_FORMAT=MLN","Sort=A","Dates=H","DateFormat=P","Fill=—","Direction=H","UseDPDF=Y")</f>
        <v>#NAME?</v>
      </c>
      <c r="DF28" s="3" t="e">
        <f ca="1">_xll.BDH($C$28,"INVTRY_RAW_MATERIALS","FY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28" s="3" t="e">
        <f ca="1">_xll.BDH($C$28,"INVTRY_IN_PROGRESS","FY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28" s="3" t="e">
        <f ca="1">_xll.BDH($C$28,"INVTRY_FINISHED_GOODS","FY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28" s="3" t="e">
        <f ca="1">_xll.BDH($C$28,"BS_OTHER_INV","FY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29" spans="1:113" x14ac:dyDescent="0.3">
      <c r="A29" s="6"/>
      <c r="B29" s="6"/>
      <c r="C29" s="6"/>
      <c r="D29" s="6"/>
      <c r="E29" t="s">
        <v>78</v>
      </c>
      <c r="F29" t="e">
        <f ca="1">_xll.BDH($C$28,"RETURN_COM_EQY","FQ1 2014","FQ1 2014","Currency=INR","Period=FQ","BEST_FPERIOD_OVERRIDE=FQ","FILING_STATUS=OR","EQY_CONSOLIDATED=Y","FA_ADJUSTED=GAAP","Sort=A","Dates=H","DateFormat=P","Fill=—","Direction=H","UseDPDF=Y")</f>
        <v>#NAME?</v>
      </c>
      <c r="G29" t="e">
        <f ca="1">_xll.BDH($C$28,"RETURN_ON_ASSET","FQ1 2014","FQ1 2014","Currency=INR","Period=FQ","BEST_FPERIOD_OVERRIDE=FQ","FILING_STATUS=OR","EQY_CONSOLIDATED=Y","FA_ADJUSTED=GAAP","Sort=A","Dates=H","DateFormat=P","Fill=—","Direction=H","UseDPDF=Y")</f>
        <v>#NAME?</v>
      </c>
      <c r="H29" t="e">
        <f ca="1">_xll.BDH($C$28,"RETURN_ON_CAP","FQ1 2014","FQ1 2014","Currency=INR","Period=FQ","BEST_FPERIOD_OVERRIDE=FQ","FILING_STATUS=OR","EQY_CONSOLIDATED=Y","FA_ADJUSTED=GAAP","Sort=A","Dates=H","DateFormat=P","Fill=—","Direction=H","UseDPDF=Y")</f>
        <v>#NAME?</v>
      </c>
      <c r="I29" t="e">
        <f ca="1">_xll.BDH($C$28,"RETURN_ON_INV_CAPITAL","FQ1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29" t="e">
        <f ca="1">_xll.BDH($C$28,"EBITDA_TO_REVENUE","FQ1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29" t="e">
        <f ca="1">_xll.BDH($C$28,"OPER_MARGIN","FQ1 2014","FQ1 2014","Currency=INR","Period=FQ","BEST_FPERIOD_OVERRIDE=FQ","FILING_STATUS=OR","EQY_CONSOLIDATED=Y","FA_ADJUSTED=GAAP","Sort=A","Dates=H","DateFormat=P","Fill=—","Direction=H","UseDPDF=Y")</f>
        <v>#NAME?</v>
      </c>
      <c r="L29" t="e">
        <f ca="1">_xll.BDH($C$28,"INCREMENTAL_OPERATING_MARGIN","FQ1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29" t="e">
        <f ca="1">_xll.BDH($C$28,"PRETAX_INC_TO_NET_SALES","FQ1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29" t="e">
        <f ca="1">_xll.BDH($C$28,"INC_BEF_XO_ITEMS_TO_NET_SALES","FQ1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29" t="e">
        <f ca="1">_xll.BDH($C$28,"PROF_MARGIN","FQ1 2014","FQ1 2014","Currency=INR","Period=FQ","BEST_FPERIOD_OVERRIDE=FQ","FILING_STATUS=OR","EQY_CONSOLIDATED=Y","FA_ADJUSTED=GAAP","Sort=A","Dates=H","DateFormat=P","Fill=—","Direction=H","UseDPDF=Y")</f>
        <v>#NAME?</v>
      </c>
      <c r="P29" t="e">
        <f ca="1">_xll.BDH($C$28,"NET_INCOME_TO_COMMON_MARGIN","FQ1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29" t="e">
        <f ca="1">_xll.BDH($C$28,"EFF_TAX_RATE","FQ1 2014","FQ1 2014","Currency=INR","Period=FQ","BEST_FPERIOD_OVERRIDE=FQ","FILING_STATUS=OR","EQY_CONSOLIDATED=Y","FA_ADJUSTED=GAAP","Sort=A","Dates=H","DateFormat=P","Fill=—","Direction=H","UseDPDF=Y")</f>
        <v>#NAME?</v>
      </c>
      <c r="R29" t="e">
        <f ca="1">_xll.BDH($C$28,"DVD_PAYOUT_RATIO","FQ1 2014","FQ1 2014","Currency=INR","Period=FQ","BEST_FPERIOD_OVERRIDE=FQ","FILING_STATUS=OR","EQY_CONSOLIDATED=Y","FA_ADJUSTED=GAAP","Sort=A","Dates=H","DateFormat=P","Fill=—","Direction=H","UseDPDF=Y")</f>
        <v>#NAME?</v>
      </c>
      <c r="S29" t="e">
        <f ca="1">_xll.BDH($C$28,"SUSTAIN_GROWTH_RT","FQ1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29" s="2" t="e">
        <f ca="1">_xll.BDH($C$28,"SALES_GROWTH","FQ1 2014","FQ1 2014","Currency=INR","Period=FQ","BEST_FPERIOD_OVERRIDE=FQ","FILING_STATUS=OR","EQY_CONSOLIDATED=Y","FA_ADJUSTED=GAAP","Sort=A","Dates=H","DateFormat=P","Fill=—","Direction=H","UseDPDF=Y")</f>
        <v>#NAME?</v>
      </c>
      <c r="U29" s="2" t="e">
        <f ca="1">_xll.BDH($C$28,"EBITDA_GROWTH","FQ1 2014","FQ1 2014","Currency=INR","Period=FQ","BEST_FPERIOD_OVERRIDE=FQ","FILING_STATUS=OR","EQY_CONSOLIDATED=Y","FA_ADJUSTED=GAAP","Sort=A","Dates=H","DateFormat=P","Fill=—","Direction=H","UseDPDF=Y")</f>
        <v>#NAME?</v>
      </c>
      <c r="V29" s="2" t="e">
        <f ca="1">_xll.BDH($C$28,"OPER_INC_GROWTH","FQ1 2014","FQ1 2014","Currency=INR","Period=FQ","BEST_FPERIOD_OVERRIDE=FQ","FILING_STATUS=OR","EQY_CONSOLIDATED=Y","FA_ADJUSTED=GAAP","Sort=A","Dates=H","DateFormat=P","Fill=—","Direction=H","UseDPDF=Y")</f>
        <v>#NAME?</v>
      </c>
      <c r="W29" s="2" t="e">
        <f ca="1">_xll.BDH($C$28,"EARN_FOR_COM_GROWTH","FQ1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29" s="2" t="e">
        <f ca="1">_xll.BDH($C$28,"DILUTED_EPS_AFT_XO_ITEMS_GROWTH","FQ1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29" s="2" t="e">
        <f ca="1">_xll.BDH($C$28,"DIVIDEND_PER_SHARE_1_YEAR_GROWTH","FQ1 2014","FQ1 2014","Currency=INR","Period=FQ","BEST_FPERIOD_OVERRIDE=FQ","FILING_STATUS=OR","EQY_CONSOLIDATED=Y","Sort=A","Dates=H","DateFormat=P","Fill=—","Direction=H","UseDPDF=Y")</f>
        <v>#NAME?</v>
      </c>
      <c r="Z29" s="2" t="e">
        <f ca="1">_xll.BDH($C$28,"ACCOUNTS_RECEIVABLE_GROWTH","FQ1 2014","FQ1 2014","Currency=INR","Period=FQ","BEST_FPERIOD_OVERRIDE=FQ","FILING_STATUS=OR","EQY_CONSOLIDATED=Y","Sort=A","Dates=H","DateFormat=P","Fill=—","Direction=H","UseDPDF=Y")</f>
        <v>#NAME?</v>
      </c>
      <c r="AA29" s="2" t="e">
        <f ca="1">_xll.BDH($C$28,"INVENTORY_GROWTH","FQ1 2014","FQ1 2014","Currency=INR","Period=FQ","BEST_FPERIOD_OVERRIDE=FQ","FILING_STATUS=OR","EQY_CONSOLIDATED=Y","Sort=A","Dates=H","DateFormat=P","Fill=—","Direction=H","UseDPDF=Y")</f>
        <v>#NAME?</v>
      </c>
      <c r="AB29" s="2" t="e">
        <f ca="1">_xll.BDH($C$28,"NET_FIXED_ASSETS_1_YEAR_GROWTH","FQ1 2014","FQ1 2014","Currency=INR","Period=FQ","BEST_FPERIOD_OVERRIDE=FQ","FILING_STATUS=OR","EQY_CONSOLIDATED=Y","Sort=A","Dates=H","DateFormat=P","Fill=—","Direction=H","UseDPDF=Y")</f>
        <v>#NAME?</v>
      </c>
      <c r="AC29" s="2" t="e">
        <f ca="1">_xll.BDH($C$28,"ASSET_GROWTH","FQ1 2014","FQ1 2014","Currency=INR","Period=FQ","BEST_FPERIOD_OVERRIDE=FQ","FILING_STATUS=OR","EQY_CONSOLIDATED=Y","Sort=A","Dates=H","DateFormat=P","Fill=—","Direction=H","UseDPDF=Y")</f>
        <v>#NAME?</v>
      </c>
      <c r="AD29" s="2" t="e">
        <f ca="1">_xll.BDH($C$28,"MODIFIED_WORK_CAP_GROWTH","FQ1 2014","FQ1 2014","Currency=INR","Period=FQ","BEST_FPERIOD_OVERRIDE=FQ","FILING_STATUS=OR","EQY_CONSOLIDATED=Y","Sort=A","Dates=H","DateFormat=P","Fill=—","Direction=H","UseDPDF=Y")</f>
        <v>#NAME?</v>
      </c>
      <c r="AE29" s="2" t="e">
        <f ca="1">_xll.BDH($C$28,"WORK_CAP_GROWTH","FQ1 2014","FQ1 2014","Currency=INR","Period=FQ","BEST_FPERIOD_OVERRIDE=FQ","FILING_STATUS=OR","EQY_CONSOLIDATED=Y","Sort=A","Dates=H","DateFormat=P","Fill=—","Direction=H","UseDPDF=Y")</f>
        <v>#NAME?</v>
      </c>
      <c r="AF29" s="2" t="e">
        <f ca="1">_xll.BDH($C$28,"ACCOUNTS_PAYABLE_GROWTH_1YR","FQ1 2014","FQ1 2014","Currency=INR","Period=FQ","BEST_FPERIOD_OVERRIDE=FQ","FILING_STATUS=OR","EQY_CONSOLIDATED=Y","Sort=A","Dates=H","DateFormat=P","Fill=—","Direction=H","UseDPDF=Y")</f>
        <v>#NAME?</v>
      </c>
      <c r="AG29" s="2" t="e">
        <f ca="1">_xll.BDH($C$28,"SHORT_TERM_DEBT_1_YEAR_GROWTH","FQ1 2014","FQ1 2014","Currency=INR","Period=FQ","BEST_FPERIOD_OVERRIDE=FQ","FILING_STATUS=OR","EQY_CONSOLIDATED=Y","Sort=A","Dates=H","DateFormat=P","Fill=—","Direction=H","UseDPDF=Y")</f>
        <v>#NAME?</v>
      </c>
      <c r="AH29" s="2" t="e">
        <f ca="1">_xll.BDH($C$28,"TOTAL_DEBT_1_YEAR_GROWTH","FQ1 2014","FQ1 2014","Currency=INR","Period=FQ","BEST_FPERIOD_OVERRIDE=FQ","FILING_STATUS=OR","EQY_CONSOLIDATED=Y","Sort=A","Dates=H","DateFormat=P","Fill=—","Direction=H","UseDPDF=Y")</f>
        <v>#NAME?</v>
      </c>
      <c r="AI29" s="2" t="e">
        <f ca="1">_xll.BDH($C$28,"TOTAL_EQUITY_1_YEAR_GROWTH","FQ1 2014","FQ1 2014","Currency=INR","Period=FQ","BEST_FPERIOD_OVERRIDE=FQ","FILING_STATUS=OR","EQY_CONSOLIDATED=Y","Sort=A","Dates=H","DateFormat=P","Fill=—","Direction=H","UseDPDF=Y")</f>
        <v>#NAME?</v>
      </c>
      <c r="AJ29" s="2" t="e">
        <f ca="1">_xll.BDH($C$28,"GROWTH_IN_CAP","FQ1 2014","FQ1 2014","Currency=INR","Period=FQ","BEST_FPERIOD_OVERRIDE=FQ","FILING_STATUS=OR","EQY_CONSOLIDATED=Y","Sort=A","Dates=H","DateFormat=P","Fill=—","Direction=H","UseDPDF=Y")</f>
        <v>#NAME?</v>
      </c>
      <c r="AK29" s="2" t="e">
        <f ca="1">_xll.BDH($C$28,"BVPS_GROWTH","FQ1 2014","FQ1 2014","Currency=INR","Period=FQ","BEST_FPERIOD_OVERRIDE=FQ","FILING_STATUS=OR","EQY_CONSOLIDATED=Y","Sort=A","Dates=H","DateFormat=P","Fill=—","Direction=H","UseDPDF=Y")</f>
        <v>#NAME?</v>
      </c>
      <c r="AL29" s="2" t="e">
        <f ca="1">_xll.BDH($C$28,"CASH_FLOW_GROWTH","FQ1 2014","FQ1 2014","Currency=INR","Period=FQ","BEST_FPERIOD_OVERRIDE=FQ","FILING_STATUS=OR","EQY_CONSOLIDATED=Y","Sort=A","Dates=H","DateFormat=P","Fill=—","Direction=H","UseDPDF=Y")</f>
        <v>#NAME?</v>
      </c>
      <c r="AM29" s="2" t="e">
        <f ca="1">_xll.BDH($C$28,"GEO_GROW_NET_SALES","FQ1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29" s="2" t="e">
        <f ca="1">_xll.BDH($C$28,"GEO_GROW_EBITDA","FQ1 2014","FQ1 2014","Currency=INR","Period=FQ","BEST_FPERIOD_OVERRIDE=FQ","FILING_STATUS=OR","EQY_CONSOLIDATED=Y","FA_ADJUSTED=GAAP","Sort=A","Dates=H","DateFormat=P","Fill=—","Direction=H","UseDPDF=Y")</f>
        <v>#NAME?</v>
      </c>
      <c r="AO29" s="2" t="e">
        <f ca="1">_xll.BDH($C$28,"GEO_GROW_OPER_INC","FQ1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29" s="2" t="e">
        <f ca="1">_xll.BDH($C$28,"NET_INCOME_TO_COMMON_5_YR_GROWTH","FQ1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29" s="2" t="e">
        <f ca="1">_xll.BDH($C$28,"5Y_GEO_GROWTH_DILUTED_EPS","FQ1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29" s="2" t="e">
        <f ca="1">_xll.BDH($C$28,"GEO_GROW_DVD_PER_SH","FQ1 2014","FQ1 2014","Currency=INR","Period=FQ","BEST_FPERIOD_OVERRIDE=FQ","FILING_STATUS=OR","EQY_CONSOLIDATED=Y","Sort=A","Dates=H","DateFormat=P","Fill=—","Direction=H","UseDPDF=Y")</f>
        <v>#NAME?</v>
      </c>
      <c r="AS29" s="2" t="e">
        <f ca="1">_xll.BDH($C$28,"ACCOUNTS_RECEIVABLE_5_YR_GROWTH","FQ1 2014","FQ1 2014","Currency=INR","Period=FQ","BEST_FPERIOD_OVERRIDE=FQ","FILING_STATUS=OR","EQY_CONSOLIDATED=Y","Sort=A","Dates=H","DateFormat=P","Fill=—","Direction=H","UseDPDF=Y")</f>
        <v>#NAME?</v>
      </c>
      <c r="AT29" s="2" t="e">
        <f ca="1">_xll.BDH($C$28,"INVENTORY_5_YEAR_GROWTH","FQ1 2014","FQ1 2014","Currency=INR","Period=FQ","BEST_FPERIOD_OVERRIDE=FQ","FILING_STATUS=OR","EQY_CONSOLIDATED=Y","Sort=A","Dates=H","DateFormat=P","Fill=—","Direction=H","UseDPDF=Y")</f>
        <v>#NAME?</v>
      </c>
      <c r="AU29" s="2" t="e">
        <f ca="1">_xll.BDH($C$28,"NET_FIXED_ASSETS_5_YEAR_GROWTH","FQ1 2014","FQ1 2014","Currency=INR","Period=FQ","BEST_FPERIOD_OVERRIDE=FQ","FILING_STATUS=OR","EQY_CONSOLIDATED=Y","Sort=A","Dates=H","DateFormat=P","Fill=—","Direction=H","UseDPDF=Y")</f>
        <v>#NAME?</v>
      </c>
      <c r="AV29" s="2" t="e">
        <f ca="1">_xll.BDH($C$28,"GEO_GROW_TOT_ASSET","FQ1 2014","FQ1 2014","Currency=INR","Period=FQ","BEST_FPERIOD_OVERRIDE=FQ","FILING_STATUS=OR","EQY_CONSOLIDATED=Y","Sort=A","Dates=H","DateFormat=P","Fill=—","Direction=H","UseDPDF=Y")</f>
        <v>#NAME?</v>
      </c>
      <c r="AW29" s="2" t="e">
        <f ca="1">_xll.BDH($C$28,"MODIFIED_WORKING_CPTL_5YR_GRWTH","FQ1 2014","FQ1 2014","Currency=INR","Period=FQ","BEST_FPERIOD_OVERRIDE=FQ","FILING_STATUS=OR","EQY_CONSOLIDATED=Y","Sort=A","Dates=H","DateFormat=P","Fill=—","Direction=H","UseDPDF=Y")</f>
        <v>#NAME?</v>
      </c>
      <c r="AX29" s="2" t="e">
        <f ca="1">_xll.BDH($C$28,"WORKING_CAPITAL_5_YEAR_GROWTH","FQ1 2014","FQ1 2014","Currency=INR","Period=FQ","BEST_FPERIOD_OVERRIDE=FQ","FILING_STATUS=OR","EQY_CONSOLIDATED=Y","Sort=A","Dates=H","DateFormat=P","Fill=—","Direction=H","UseDPDF=Y")</f>
        <v>#NAME?</v>
      </c>
      <c r="AY29" s="2" t="e">
        <f ca="1">_xll.BDH($C$28,"ACCOUNTS_PAYABLE_5_YEAR_GROWTH","FQ1 2014","FQ1 2014","Currency=INR","Period=FQ","BEST_FPERIOD_OVERRIDE=FQ","FILING_STATUS=OR","EQY_CONSOLIDATED=Y","Sort=A","Dates=H","DateFormat=P","Fill=—","Direction=H","UseDPDF=Y")</f>
        <v>#NAME?</v>
      </c>
      <c r="AZ29" s="2" t="e">
        <f ca="1">_xll.BDH($C$28,"SHORT_TERM_DEBT_5_YEAR_GROWTH","FQ1 2014","FQ1 2014","Currency=INR","Period=FQ","BEST_FPERIOD_OVERRIDE=FQ","FILING_STATUS=OR","EQY_CONSOLIDATED=Y","Sort=A","Dates=H","DateFormat=P","Fill=—","Direction=H","UseDPDF=Y")</f>
        <v>#NAME?</v>
      </c>
      <c r="BA29" s="2" t="e">
        <f ca="1">_xll.BDH($C$28,"TOTAL_DEBT_5_YEAR_GROWTH","FQ1 2014","FQ1 2014","Currency=INR","Period=FQ","BEST_FPERIOD_OVERRIDE=FQ","FILING_STATUS=OR","EQY_CONSOLIDATED=Y","Sort=A","Dates=H","DateFormat=P","Fill=—","Direction=H","UseDPDF=Y")</f>
        <v>#NAME?</v>
      </c>
      <c r="BB29" s="2" t="e">
        <f ca="1">_xll.BDH($C$28,"GEO_GROW_TOT_SHRHLDR_EQY","FQ1 2014","FQ1 2014","Currency=INR","Period=FQ","BEST_FPERIOD_OVERRIDE=FQ","FILING_STATUS=OR","EQY_CONSOLIDATED=Y","Sort=A","Dates=H","DateFormat=P","Fill=—","Direction=H","UseDPDF=Y")</f>
        <v>#NAME?</v>
      </c>
      <c r="BC29" s="2" t="e">
        <f ca="1">_xll.BDH($C$28,"TOTAL_CAPITAL_5_YEAR_GROWTH","FQ1 2014","FQ1 2014","Currency=INR","Period=FQ","BEST_FPERIOD_OVERRIDE=FQ","FILING_STATUS=OR","EQY_CONSOLIDATED=Y","Sort=A","Dates=H","DateFormat=P","Fill=—","Direction=H","UseDPDF=Y")</f>
        <v>#NAME?</v>
      </c>
      <c r="BD29" s="2" t="e">
        <f ca="1">_xll.BDH($C$28,"GEO_GROW_BOOK_VAL","FQ1 2014","FQ1 2014","Currency=INR","Period=FQ","BEST_FPERIOD_OVERRIDE=FQ","FILING_STATUS=OR","EQY_CONSOLIDATED=Y","Sort=A","Dates=H","DateFormat=P","Fill=—","Direction=H","UseDPDF=Y")</f>
        <v>#NAME?</v>
      </c>
      <c r="BE29" s="2" t="e">
        <f ca="1">_xll.BDH($C$28,"GEO_GROW_CASH_OPER_ACT","FQ1 2014","FQ1 2014","Currency=INR","Period=FQ","BEST_FPERIOD_OVERRIDE=FQ","FILING_STATUS=OR","EQY_CONSOLIDATED=Y","Sort=A","Dates=H","DateFormat=P","Fill=—","Direction=H","UseDPDF=Y")</f>
        <v>#NAME?</v>
      </c>
      <c r="BF29" s="2" t="e">
        <f ca="1">_xll.BDH($C$28,"REVENUE_SEQUENTIAL_GROWTH","FQ1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29" s="2" t="e">
        <f ca="1">_xll.BDH($C$28,"EBITDA_SEQUENTIAL_GROWTH","FQ1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29" s="2" t="e">
        <f ca="1">_xll.BDH($C$28,"OPERATING_INCOME_SEQ_GROWTH","FQ1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29" s="2" t="e">
        <f ca="1">_xll.BDH($C$28,"NET_INCOME_TO_COMMON_SEQ_GROWTH","FQ1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29" s="2" t="e">
        <f ca="1">_xll.BDH($C$28,"EPS_DILUTED_SEQUENTIAL_GROWTH","FQ1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29" s="2" t="e">
        <f ca="1">_xll.BDH($C$28,"DPS_SEQUENTIAL_GROWTH","FQ1 2014","FQ1 2014","Currency=INR","Period=FQ","BEST_FPERIOD_OVERRIDE=FQ","FILING_STATUS=OR","EQY_CONSOLIDATED=Y","Sort=A","Dates=H","DateFormat=P","Fill=—","Direction=H","UseDPDF=Y")</f>
        <v>#NAME?</v>
      </c>
      <c r="BL29" s="2" t="e">
        <f ca="1">_xll.BDH($C$28,"ACCOUNTS_RECEIVABLE_SEQ_GROWTH","FQ1 2014","FQ1 2014","Currency=INR","Period=FQ","BEST_FPERIOD_OVERRIDE=FQ","FILING_STATUS=OR","EQY_CONSOLIDATED=Y","Sort=A","Dates=H","DateFormat=P","Fill=—","Direction=H","UseDPDF=Y")</f>
        <v>#NAME?</v>
      </c>
      <c r="BM29" s="2" t="e">
        <f ca="1">_xll.BDH($C$28,"INVENTORY_SEQUENTIAL_GROWTH","FQ1 2014","FQ1 2014","Currency=INR","Period=FQ","BEST_FPERIOD_OVERRIDE=FQ","FILING_STATUS=OR","EQY_CONSOLIDATED=Y","Sort=A","Dates=H","DateFormat=P","Fill=—","Direction=H","UseDPDF=Y")</f>
        <v>#NAME?</v>
      </c>
      <c r="BN29" s="2" t="e">
        <f ca="1">_xll.BDH($C$28,"FIXED_ASSETS_SEQUENTIAL_GROWTH","FQ1 2014","FQ1 2014","Currency=INR","Period=FQ","BEST_FPERIOD_OVERRIDE=FQ","FILING_STATUS=OR","EQY_CONSOLIDATED=Y","Sort=A","Dates=H","DateFormat=P","Fill=—","Direction=H","UseDPDF=Y")</f>
        <v>#NAME?</v>
      </c>
      <c r="BO29" s="2" t="e">
        <f ca="1">_xll.BDH($C$28,"TOTAL_ASSETS_SEQUENTIAL_GROWTH","FQ1 2014","FQ1 2014","Currency=INR","Period=FQ","BEST_FPERIOD_OVERRIDE=FQ","FILING_STATUS=OR","EQY_CONSOLIDATED=Y","Sort=A","Dates=H","DateFormat=P","Fill=—","Direction=H","UseDPDF=Y")</f>
        <v>#NAME?</v>
      </c>
      <c r="BP29" s="2" t="e">
        <f ca="1">_xll.BDH($C$28,"MODIFIED_WORKING_CPTL_SEQ_GRWTH","FQ1 2014","FQ1 2014","Currency=INR","Period=FQ","BEST_FPERIOD_OVERRIDE=FQ","FILING_STATUS=OR","EQY_CONSOLIDATED=Y","Sort=A","Dates=H","DateFormat=P","Fill=—","Direction=H","UseDPDF=Y")</f>
        <v>#NAME?</v>
      </c>
      <c r="BQ29" s="2" t="e">
        <f ca="1">_xll.BDH($C$28,"WORKING_CAPITAL_SEQ_GROWTH","FQ1 2014","FQ1 2014","Currency=INR","Period=FQ","BEST_FPERIOD_OVERRIDE=FQ","FILING_STATUS=OR","EQY_CONSOLIDATED=Y","Sort=A","Dates=H","DateFormat=P","Fill=—","Direction=H","UseDPDF=Y")</f>
        <v>#NAME?</v>
      </c>
      <c r="BR29" s="2" t="e">
        <f ca="1">_xll.BDH($C$28,"ACCOUNTS_PAYABLE_SEQ_GROWTH","FQ1 2014","FQ1 2014","Currency=INR","Period=FQ","BEST_FPERIOD_OVERRIDE=FQ","FILING_STATUS=OR","EQY_CONSOLIDATED=Y","Sort=A","Dates=H","DateFormat=P","Fill=—","Direction=H","UseDPDF=Y")</f>
        <v>#NAME?</v>
      </c>
      <c r="BS29" s="2" t="e">
        <f ca="1">_xll.BDH($C$28,"ST_DEBT_SEQUENTIAL_GROWTH","FQ1 2014","FQ1 2014","Currency=INR","Period=FQ","BEST_FPERIOD_OVERRIDE=FQ","FILING_STATUS=OR","EQY_CONSOLIDATED=Y","Sort=A","Dates=H","DateFormat=P","Fill=—","Direction=H","UseDPDF=Y")</f>
        <v>#NAME?</v>
      </c>
      <c r="BT29" s="2" t="e">
        <f ca="1">_xll.BDH($C$28,"TOTAL_DEBT_SEQUENTIAL_GROWTH","FQ1 2014","FQ1 2014","Currency=INR","Period=FQ","BEST_FPERIOD_OVERRIDE=FQ","FILING_STATUS=OR","EQY_CONSOLIDATED=Y","Sort=A","Dates=H","DateFormat=P","Fill=—","Direction=H","UseDPDF=Y")</f>
        <v>#NAME?</v>
      </c>
      <c r="BU29" s="2" t="e">
        <f ca="1">_xll.BDH($C$28,"TOTAL_EQUITY_SEQUENTIAL_GROWTH","FQ1 2014","FQ1 2014","Currency=INR","Period=FQ","BEST_FPERIOD_OVERRIDE=FQ","FILING_STATUS=OR","EQY_CONSOLIDATED=Y","Sort=A","Dates=H","DateFormat=P","Fill=—","Direction=H","UseDPDF=Y")</f>
        <v>#NAME?</v>
      </c>
      <c r="BV29" s="2" t="e">
        <f ca="1">_xll.BDH($C$28,"TOTAL_CAPITAL_SEQUENTIAL_GROWTH","FQ1 2014","FQ1 2014","Currency=INR","Period=FQ","BEST_FPERIOD_OVERRIDE=FQ","FILING_STATUS=OR","EQY_CONSOLIDATED=Y","Sort=A","Dates=H","DateFormat=P","Fill=—","Direction=H","UseDPDF=Y")</f>
        <v>#NAME?</v>
      </c>
      <c r="BW29" s="2" t="e">
        <f ca="1">_xll.BDH($C$28,"BPS_SEQUENTIAL_GROWTH","FQ1 2014","FQ1 2014","Currency=INR","Period=FQ","BEST_FPERIOD_OVERRIDE=FQ","FILING_STATUS=OR","EQY_CONSOLIDATED=Y","Sort=A","Dates=H","DateFormat=P","Fill=—","Direction=H","UseDPDF=Y")</f>
        <v>#NAME?</v>
      </c>
      <c r="BX29" s="2" t="e">
        <f ca="1">_xll.BDH($C$28,"CFO_SEQUENTIAL_GROWTH","FQ1 2014","FQ1 2014","Currency=INR","Period=FQ","BEST_FPERIOD_OVERRIDE=FQ","FILING_STATUS=OR","EQY_CONSOLIDATED=Y","Sort=A","Dates=H","DateFormat=P","Fill=—","Direction=H","UseDPDF=Y")</f>
        <v>#NAME?</v>
      </c>
      <c r="BY29" s="3" t="e">
        <f ca="1">_xll.BDH($C$28,"SHORT_AND_LONG_TERM_DEBT","FQ1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29" s="3" t="e">
        <f ca="1">_xll.BDH($C$28,"BS_ST_BORROW","FQ1 2014","FQ1 2014","Currency=INR","Period=FQ","BEST_FPERIOD_OVERRIDE=FQ","FILING_STATUS=OR","EQY_CONSOLIDATED=Y","SCALING_FORMAT=MLN","Sort=A","Dates=H","DateFormat=P","Fill=—","Direction=H","UseDPDF=Y")</f>
        <v>#NAME?</v>
      </c>
      <c r="CA29" s="3" t="e">
        <f ca="1">_xll.BDH($C$28,"BS_LT_BORROW","FQ1 2014","FQ1 2014","Currency=INR","Period=FQ","BEST_FPERIOD_OVERRIDE=FQ","FILING_STATUS=OR","EQY_CONSOLIDATED=Y","SCALING_FORMAT=MLN","Sort=A","Dates=H","DateFormat=P","Fill=—","Direction=H","UseDPDF=Y")</f>
        <v>#NAME?</v>
      </c>
      <c r="CB29" s="2" t="e">
        <f ca="1">_xll.BDH($C$28,"TOT_DEBT_TO_EBITDA","FQ1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29" s="2" t="e">
        <f ca="1">_xll.BDH($C$28,"NET_DEBT_TO_EBITDA","FQ1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29" s="2" t="e">
        <f ca="1">_xll.BDH($C$28,"TOTAL_DEBT_TO_EBIT","FQ1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29" s="2" t="e">
        <f ca="1">_xll.BDH($C$28,"NET_DEBT_TO_EBIT","FQ1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29" s="2" t="e">
        <f ca="1">_xll.BDH($C$28,"EBITDA_TO_INTEREST_EXPN","FQ1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29" s="2" t="e">
        <f ca="1">_xll.BDH($C$28,"COM_EQY_TO_TOT_ASSET","FQ1 2014","FQ1 2014","Currency=INR","Period=FQ","BEST_FPERIOD_OVERRIDE=FQ","FILING_STATUS=OR","EQY_CONSOLIDATED=Y","Sort=A","Dates=H","DateFormat=P","Fill=—","Direction=H","UseDPDF=Y")</f>
        <v>#NAME?</v>
      </c>
      <c r="CH29" s="2" t="e">
        <f ca="1">_xll.BDH($C$28,"LT_DEBT_TO_TOT_EQY","FQ1 2014","FQ1 2014","Currency=INR","Period=FQ","BEST_FPERIOD_OVERRIDE=FQ","FILING_STATUS=OR","EQY_CONSOLIDATED=Y","Sort=A","Dates=H","DateFormat=P","Fill=—","Direction=H","UseDPDF=Y")</f>
        <v>#NAME?</v>
      </c>
      <c r="CI29" s="2" t="e">
        <f ca="1">_xll.BDH($C$28,"LT_DEBT_TO_TOT_CAP","FQ1 2014","FQ1 2014","Currency=INR","Period=FQ","BEST_FPERIOD_OVERRIDE=FQ","FILING_STATUS=OR","EQY_CONSOLIDATED=Y","Sort=A","Dates=H","DateFormat=P","Fill=—","Direction=H","UseDPDF=Y")</f>
        <v>#NAME?</v>
      </c>
      <c r="CJ29" s="2" t="e">
        <f ca="1">_xll.BDH($C$28,"LT_DEBT_TO_TOT_ASSET","FQ1 2014","FQ1 2014","Currency=INR","Period=FQ","BEST_FPERIOD_OVERRIDE=FQ","FILING_STATUS=OR","EQY_CONSOLIDATED=Y","Sort=A","Dates=H","DateFormat=P","Fill=—","Direction=H","UseDPDF=Y")</f>
        <v>#NAME?</v>
      </c>
      <c r="CK29" s="2" t="e">
        <f ca="1">_xll.BDH($C$28,"TOT_DEBT_TO_TOT_EQY","FQ1 2014","FQ1 2014","Currency=INR","Period=FQ","BEST_FPERIOD_OVERRIDE=FQ","FILING_STATUS=OR","EQY_CONSOLIDATED=Y","Sort=A","Dates=H","DateFormat=P","Fill=—","Direction=H","UseDPDF=Y")</f>
        <v>#NAME?</v>
      </c>
      <c r="CL29" s="2" t="e">
        <f ca="1">_xll.BDH($C$28,"TOT_DEBT_TO_TOT_CAP","FQ1 2014","FQ1 2014","Currency=INR","Period=FQ","BEST_FPERIOD_OVERRIDE=FQ","FILING_STATUS=OR","EQY_CONSOLIDATED=Y","Sort=A","Dates=H","DateFormat=P","Fill=—","Direction=H","UseDPDF=Y")</f>
        <v>#NAME?</v>
      </c>
      <c r="CM29" s="2" t="e">
        <f ca="1">_xll.BDH($C$28,"TOT_DEBT_TO_TOT_ASSET","FQ1 2014","FQ1 2014","Currency=INR","Period=FQ","BEST_FPERIOD_OVERRIDE=FQ","FILING_STATUS=OR","EQY_CONSOLIDATED=Y","Sort=A","Dates=H","DateFormat=P","Fill=—","Direction=H","UseDPDF=Y")</f>
        <v>#NAME?</v>
      </c>
      <c r="CN29" s="2" t="e">
        <f ca="1">_xll.BDH($C$28,"NET_DEBT_TO_SHRHLDR_EQTY","FQ1 2014","FQ1 2014","Currency=INR","Period=FQ","BEST_FPERIOD_OVERRIDE=FQ","FILING_STATUS=OR","EQY_CONSOLIDATED=Y","Sort=A","Dates=H","DateFormat=P","Fill=—","Direction=H","UseDPDF=Y")</f>
        <v>#NAME?</v>
      </c>
      <c r="CO29" s="2" t="e">
        <f ca="1">_xll.BDH($C$28,"NET_DEBT_%_CAPITAL","FQ1 2014","FQ1 2014","Currency=INR","Period=FQ","BEST_FPERIOD_OVERRIDE=FQ","FILING_STATUS=OR","EQY_CONSOLIDATED=Y","Sort=A","Dates=H","DateFormat=P","Fill=—","Direction=H","UseDPDF=Y")</f>
        <v>#NAME?</v>
      </c>
      <c r="CP29" s="3" t="e">
        <f ca="1">_xll.BDH($C$28,"EBITDA","FQ1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29" s="3" t="e">
        <f ca="1">_xll.BDH($C$28,"EBITDA_AFTER_CAPEX","FQ1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29" s="3" t="e">
        <f ca="1">_xll.BDH($C$28,"IS_OPER_INC","FQ1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29" s="2" t="e">
        <f ca="1">_xll.BDH($C$28,"CASH_RATIO","FQ1 2014","FQ1 2014","Currency=INR","Period=FQ","BEST_FPERIOD_OVERRIDE=FQ","FILING_STATUS=OR","EQY_CONSOLIDATED=Y","Sort=A","Dates=H","DateFormat=P","Fill=—","Direction=H","UseDPDF=Y")</f>
        <v>#NAME?</v>
      </c>
      <c r="CT29" s="2" t="e">
        <f ca="1">_xll.BDH($C$28,"CUR_RATIO","FQ1 2014","FQ1 2014","Currency=INR","Period=FQ","BEST_FPERIOD_OVERRIDE=FQ","FILING_STATUS=OR","EQY_CONSOLIDATED=Y","Sort=A","Dates=H","DateFormat=P","Fill=—","Direction=H","UseDPDF=Y")</f>
        <v>#NAME?</v>
      </c>
      <c r="CU29" s="2" t="e">
        <f ca="1">_xll.BDH($C$28,"QUICK_RATIO","FQ1 2014","FQ1 2014","Currency=INR","Period=FQ","BEST_FPERIOD_OVERRIDE=FQ","FILING_STATUS=OR","EQY_CONSOLIDATED=Y","Sort=A","Dates=H","DateFormat=P","Fill=—","Direction=H","UseDPDF=Y")</f>
        <v>#NAME?</v>
      </c>
      <c r="CV29" s="2" t="e">
        <f ca="1">_xll.BDH($C$28,"ALTMAN_Z_SCORE","FQ1 2014","FQ1 2014","Currency=INR","Period=FQ","BEST_FPERIOD_OVERRIDE=FQ","FILING_STATUS=OR","EQY_CONSOLIDATED=Y","Sort=A","Dates=H","DateFormat=P","Fill=—","Direction=H","UseDPDF=Y")</f>
        <v>#NAME?</v>
      </c>
      <c r="CW29" s="4" t="e">
        <f ca="1">_xll.BDH($C$28,"ACCT_RCV_TURN","FQ1 2014","FQ1 2014","Currency=INR","Period=FQ","BEST_FPERIOD_OVERRIDE=FQ","FILING_STATUS=OR","EQY_CONSOLIDATED=Y","FA_ADJUSTED=GAAP","Sort=A","Dates=H","DateFormat=P","Fill=—","Direction=H","UseDPDF=Y")</f>
        <v>#NAME?</v>
      </c>
      <c r="CX29" s="2" t="e">
        <f ca="1">_xll.BDH($C$28,"ACCT_RCV_DAYS","FQ1 2014","FQ1 2014","Currency=INR","Period=FQ","BEST_FPERIOD_OVERRIDE=FQ","FILING_STATUS=OR","EQY_CONSOLIDATED=Y","FA_ADJUSTED=GAAP","Sort=A","Dates=H","DateFormat=P","Fill=—","Direction=H","UseDPDF=Y")</f>
        <v>#NAME?</v>
      </c>
      <c r="CY29" s="4" t="e">
        <f ca="1">_xll.BDH($C$28,"INVENT_TURN","FQ1 2014","FQ1 2014","Currency=INR","Period=FQ","BEST_FPERIOD_OVERRIDE=FQ","FILING_STATUS=OR","EQY_CONSOLIDATED=Y","FA_ADJUSTED=GAAP","Sort=A","Dates=H","DateFormat=P","Fill=—","Direction=H","UseDPDF=Y")</f>
        <v>#NAME?</v>
      </c>
      <c r="CZ29" s="2" t="e">
        <f ca="1">_xll.BDH($C$28,"INVENT_DAYS","FQ1 2014","FQ1 2014","Currency=INR","Period=FQ","BEST_FPERIOD_OVERRIDE=FQ","FILING_STATUS=OR","EQY_CONSOLIDATED=Y","FA_ADJUSTED=GAAP","Sort=A","Dates=H","DateFormat=P","Fill=—","Direction=H","UseDPDF=Y")</f>
        <v>#NAME?</v>
      </c>
      <c r="DA29" s="4" t="e">
        <f ca="1">_xll.BDH($C$28,"ACCOUNTS_PAYABLE_TURNOVER","FQ1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29" s="2" t="e">
        <f ca="1">_xll.BDH($C$28,"ACCOUNTS_PAYABLE_TURNOVER_DAYS","FQ1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29" s="4" t="e">
        <f ca="1">_xll.BDH($C$28,"CASH_CONVERSION_CYCLE","FQ1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29" s="4" t="e">
        <f ca="1">_xll.BDH($C$28,"INV_TO_CASH_DAYS","FQ1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29" s="5" t="e">
        <f ca="1">_xll.BDH($C$28,"BS_INVENTORIES","FQ1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29" s="3" t="e">
        <f ca="1">_xll.BDH($C$28,"INVTRY_RAW_MATERIALS","FQ1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29" s="3" t="e">
        <f ca="1">_xll.BDH($C$28,"INVTRY_IN_PROGRESS","FQ1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29" s="3" t="e">
        <f ca="1">_xll.BDH($C$28,"INVTRY_FINISHED_GOODS","FQ1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29" s="3" t="e">
        <f ca="1">_xll.BDH($C$28,"BS_OTHER_INV","FQ1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30" spans="1:113" x14ac:dyDescent="0.3">
      <c r="A30" s="6"/>
      <c r="B30" s="6"/>
      <c r="C30" s="6"/>
      <c r="D30" s="6"/>
      <c r="E30" t="s">
        <v>79</v>
      </c>
      <c r="F30" t="e">
        <f ca="1">_xll.BDH($C$28,"RETURN_COM_EQY","FQ2 2014","FQ2 2014","Currency=INR","Period=FQ","BEST_FPERIOD_OVERRIDE=FQ","FILING_STATUS=OR","EQY_CONSOLIDATED=Y","FA_ADJUSTED=GAAP","Sort=A","Dates=H","DateFormat=P","Fill=—","Direction=H","UseDPDF=Y")</f>
        <v>#NAME?</v>
      </c>
      <c r="G30" t="e">
        <f ca="1">_xll.BDH($C$28,"RETURN_ON_ASSET","FQ2 2014","FQ2 2014","Currency=INR","Period=FQ","BEST_FPERIOD_OVERRIDE=FQ","FILING_STATUS=OR","EQY_CONSOLIDATED=Y","FA_ADJUSTED=GAAP","Sort=A","Dates=H","DateFormat=P","Fill=—","Direction=H","UseDPDF=Y")</f>
        <v>#NAME?</v>
      </c>
      <c r="H30" t="e">
        <f ca="1">_xll.BDH($C$28,"RETURN_ON_CAP","FQ2 2014","FQ2 2014","Currency=INR","Period=FQ","BEST_FPERIOD_OVERRIDE=FQ","FILING_STATUS=OR","EQY_CONSOLIDATED=Y","FA_ADJUSTED=GAAP","Sort=A","Dates=H","DateFormat=P","Fill=—","Direction=H","UseDPDF=Y")</f>
        <v>#NAME?</v>
      </c>
      <c r="I30" t="e">
        <f ca="1">_xll.BDH($C$28,"RETURN_ON_INV_CAPITAL","FQ2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30" t="e">
        <f ca="1">_xll.BDH($C$28,"EBITDA_TO_REVENUE","FQ2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30" t="e">
        <f ca="1">_xll.BDH($C$28,"OPER_MARGIN","FQ2 2014","FQ2 2014","Currency=INR","Period=FQ","BEST_FPERIOD_OVERRIDE=FQ","FILING_STATUS=OR","EQY_CONSOLIDATED=Y","FA_ADJUSTED=GAAP","Sort=A","Dates=H","DateFormat=P","Fill=—","Direction=H","UseDPDF=Y")</f>
        <v>#NAME?</v>
      </c>
      <c r="L30" t="e">
        <f ca="1">_xll.BDH($C$28,"INCREMENTAL_OPERATING_MARGIN","FQ2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30" t="e">
        <f ca="1">_xll.BDH($C$28,"PRETAX_INC_TO_NET_SALES","FQ2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30" t="e">
        <f ca="1">_xll.BDH($C$28,"INC_BEF_XO_ITEMS_TO_NET_SALES","FQ2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30" t="e">
        <f ca="1">_xll.BDH($C$28,"PROF_MARGIN","FQ2 2014","FQ2 2014","Currency=INR","Period=FQ","BEST_FPERIOD_OVERRIDE=FQ","FILING_STATUS=OR","EQY_CONSOLIDATED=Y","FA_ADJUSTED=GAAP","Sort=A","Dates=H","DateFormat=P","Fill=—","Direction=H","UseDPDF=Y")</f>
        <v>#NAME?</v>
      </c>
      <c r="P30" t="e">
        <f ca="1">_xll.BDH($C$28,"NET_INCOME_TO_COMMON_MARGIN","FQ2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30" t="e">
        <f ca="1">_xll.BDH($C$28,"EFF_TAX_RATE","FQ2 2014","FQ2 2014","Currency=INR","Period=FQ","BEST_FPERIOD_OVERRIDE=FQ","FILING_STATUS=OR","EQY_CONSOLIDATED=Y","FA_ADJUSTED=GAAP","Sort=A","Dates=H","DateFormat=P","Fill=—","Direction=H","UseDPDF=Y")</f>
        <v>#NAME?</v>
      </c>
      <c r="R30" t="e">
        <f ca="1">_xll.BDH($C$28,"DVD_PAYOUT_RATIO","FQ2 2014","FQ2 2014","Currency=INR","Period=FQ","BEST_FPERIOD_OVERRIDE=FQ","FILING_STATUS=OR","EQY_CONSOLIDATED=Y","FA_ADJUSTED=GAAP","Sort=A","Dates=H","DateFormat=P","Fill=—","Direction=H","UseDPDF=Y")</f>
        <v>#NAME?</v>
      </c>
      <c r="S30" t="e">
        <f ca="1">_xll.BDH($C$28,"SUSTAIN_GROWTH_RT","FQ2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30" s="2" t="e">
        <f ca="1">_xll.BDH($C$28,"SALES_GROWTH","FQ2 2014","FQ2 2014","Currency=INR","Period=FQ","BEST_FPERIOD_OVERRIDE=FQ","FILING_STATUS=OR","EQY_CONSOLIDATED=Y","FA_ADJUSTED=GAAP","Sort=A","Dates=H","DateFormat=P","Fill=—","Direction=H","UseDPDF=Y")</f>
        <v>#NAME?</v>
      </c>
      <c r="U30" s="2" t="e">
        <f ca="1">_xll.BDH($C$28,"EBITDA_GROWTH","FQ2 2014","FQ2 2014","Currency=INR","Period=FQ","BEST_FPERIOD_OVERRIDE=FQ","FILING_STATUS=OR","EQY_CONSOLIDATED=Y","FA_ADJUSTED=GAAP","Sort=A","Dates=H","DateFormat=P","Fill=—","Direction=H","UseDPDF=Y")</f>
        <v>#NAME?</v>
      </c>
      <c r="V30" s="2" t="e">
        <f ca="1">_xll.BDH($C$28,"OPER_INC_GROWTH","FQ2 2014","FQ2 2014","Currency=INR","Period=FQ","BEST_FPERIOD_OVERRIDE=FQ","FILING_STATUS=OR","EQY_CONSOLIDATED=Y","FA_ADJUSTED=GAAP","Sort=A","Dates=H","DateFormat=P","Fill=—","Direction=H","UseDPDF=Y")</f>
        <v>#NAME?</v>
      </c>
      <c r="W30" s="2" t="e">
        <f ca="1">_xll.BDH($C$28,"EARN_FOR_COM_GROWTH","FQ2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30" s="2" t="e">
        <f ca="1">_xll.BDH($C$28,"DILUTED_EPS_AFT_XO_ITEMS_GROWTH","FQ2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30" s="2" t="e">
        <f ca="1">_xll.BDH($C$28,"DIVIDEND_PER_SHARE_1_YEAR_GROWTH","FQ2 2014","FQ2 2014","Currency=INR","Period=FQ","BEST_FPERIOD_OVERRIDE=FQ","FILING_STATUS=OR","EQY_CONSOLIDATED=Y","Sort=A","Dates=H","DateFormat=P","Fill=—","Direction=H","UseDPDF=Y")</f>
        <v>#NAME?</v>
      </c>
      <c r="Z30" s="2" t="e">
        <f ca="1">_xll.BDH($C$28,"ACCOUNTS_RECEIVABLE_GROWTH","FQ2 2014","FQ2 2014","Currency=INR","Period=FQ","BEST_FPERIOD_OVERRIDE=FQ","FILING_STATUS=OR","EQY_CONSOLIDATED=Y","Sort=A","Dates=H","DateFormat=P","Fill=—","Direction=H","UseDPDF=Y")</f>
        <v>#NAME?</v>
      </c>
      <c r="AA30" s="2" t="e">
        <f ca="1">_xll.BDH($C$28,"INVENTORY_GROWTH","FQ2 2014","FQ2 2014","Currency=INR","Period=FQ","BEST_FPERIOD_OVERRIDE=FQ","FILING_STATUS=OR","EQY_CONSOLIDATED=Y","Sort=A","Dates=H","DateFormat=P","Fill=—","Direction=H","UseDPDF=Y")</f>
        <v>#NAME?</v>
      </c>
      <c r="AB30" s="2" t="e">
        <f ca="1">_xll.BDH($C$28,"NET_FIXED_ASSETS_1_YEAR_GROWTH","FQ2 2014","FQ2 2014","Currency=INR","Period=FQ","BEST_FPERIOD_OVERRIDE=FQ","FILING_STATUS=OR","EQY_CONSOLIDATED=Y","Sort=A","Dates=H","DateFormat=P","Fill=—","Direction=H","UseDPDF=Y")</f>
        <v>#NAME?</v>
      </c>
      <c r="AC30" s="2" t="e">
        <f ca="1">_xll.BDH($C$28,"ASSET_GROWTH","FQ2 2014","FQ2 2014","Currency=INR","Period=FQ","BEST_FPERIOD_OVERRIDE=FQ","FILING_STATUS=OR","EQY_CONSOLIDATED=Y","Sort=A","Dates=H","DateFormat=P","Fill=—","Direction=H","UseDPDF=Y")</f>
        <v>#NAME?</v>
      </c>
      <c r="AD30" s="2" t="e">
        <f ca="1">_xll.BDH($C$28,"MODIFIED_WORK_CAP_GROWTH","FQ2 2014","FQ2 2014","Currency=INR","Period=FQ","BEST_FPERIOD_OVERRIDE=FQ","FILING_STATUS=OR","EQY_CONSOLIDATED=Y","Sort=A","Dates=H","DateFormat=P","Fill=—","Direction=H","UseDPDF=Y")</f>
        <v>#NAME?</v>
      </c>
      <c r="AE30" s="2" t="e">
        <f ca="1">_xll.BDH($C$28,"WORK_CAP_GROWTH","FQ2 2014","FQ2 2014","Currency=INR","Period=FQ","BEST_FPERIOD_OVERRIDE=FQ","FILING_STATUS=OR","EQY_CONSOLIDATED=Y","Sort=A","Dates=H","DateFormat=P","Fill=—","Direction=H","UseDPDF=Y")</f>
        <v>#NAME?</v>
      </c>
      <c r="AF30" s="2" t="e">
        <f ca="1">_xll.BDH($C$28,"ACCOUNTS_PAYABLE_GROWTH_1YR","FQ2 2014","FQ2 2014","Currency=INR","Period=FQ","BEST_FPERIOD_OVERRIDE=FQ","FILING_STATUS=OR","EQY_CONSOLIDATED=Y","Sort=A","Dates=H","DateFormat=P","Fill=—","Direction=H","UseDPDF=Y")</f>
        <v>#NAME?</v>
      </c>
      <c r="AG30" s="2" t="e">
        <f ca="1">_xll.BDH($C$28,"SHORT_TERM_DEBT_1_YEAR_GROWTH","FQ2 2014","FQ2 2014","Currency=INR","Period=FQ","BEST_FPERIOD_OVERRIDE=FQ","FILING_STATUS=OR","EQY_CONSOLIDATED=Y","Sort=A","Dates=H","DateFormat=P","Fill=—","Direction=H","UseDPDF=Y")</f>
        <v>#NAME?</v>
      </c>
      <c r="AH30" s="2" t="e">
        <f ca="1">_xll.BDH($C$28,"TOTAL_DEBT_1_YEAR_GROWTH","FQ2 2014","FQ2 2014","Currency=INR","Period=FQ","BEST_FPERIOD_OVERRIDE=FQ","FILING_STATUS=OR","EQY_CONSOLIDATED=Y","Sort=A","Dates=H","DateFormat=P","Fill=—","Direction=H","UseDPDF=Y")</f>
        <v>#NAME?</v>
      </c>
      <c r="AI30" s="2" t="e">
        <f ca="1">_xll.BDH($C$28,"TOTAL_EQUITY_1_YEAR_GROWTH","FQ2 2014","FQ2 2014","Currency=INR","Period=FQ","BEST_FPERIOD_OVERRIDE=FQ","FILING_STATUS=OR","EQY_CONSOLIDATED=Y","Sort=A","Dates=H","DateFormat=P","Fill=—","Direction=H","UseDPDF=Y")</f>
        <v>#NAME?</v>
      </c>
      <c r="AJ30" s="2" t="e">
        <f ca="1">_xll.BDH($C$28,"GROWTH_IN_CAP","FQ2 2014","FQ2 2014","Currency=INR","Period=FQ","BEST_FPERIOD_OVERRIDE=FQ","FILING_STATUS=OR","EQY_CONSOLIDATED=Y","Sort=A","Dates=H","DateFormat=P","Fill=—","Direction=H","UseDPDF=Y")</f>
        <v>#NAME?</v>
      </c>
      <c r="AK30" s="2" t="e">
        <f ca="1">_xll.BDH($C$28,"BVPS_GROWTH","FQ2 2014","FQ2 2014","Currency=INR","Period=FQ","BEST_FPERIOD_OVERRIDE=FQ","FILING_STATUS=OR","EQY_CONSOLIDATED=Y","Sort=A","Dates=H","DateFormat=P","Fill=—","Direction=H","UseDPDF=Y")</f>
        <v>#NAME?</v>
      </c>
      <c r="AL30" s="2" t="e">
        <f ca="1">_xll.BDH($C$28,"CASH_FLOW_GROWTH","FQ2 2014","FQ2 2014","Currency=INR","Period=FQ","BEST_FPERIOD_OVERRIDE=FQ","FILING_STATUS=OR","EQY_CONSOLIDATED=Y","Sort=A","Dates=H","DateFormat=P","Fill=—","Direction=H","UseDPDF=Y")</f>
        <v>#NAME?</v>
      </c>
      <c r="AM30" s="2" t="e">
        <f ca="1">_xll.BDH($C$28,"GEO_GROW_NET_SALES","FQ2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30" s="2" t="e">
        <f ca="1">_xll.BDH($C$28,"GEO_GROW_EBITDA","FQ2 2014","FQ2 2014","Currency=INR","Period=FQ","BEST_FPERIOD_OVERRIDE=FQ","FILING_STATUS=OR","EQY_CONSOLIDATED=Y","FA_ADJUSTED=GAAP","Sort=A","Dates=H","DateFormat=P","Fill=—","Direction=H","UseDPDF=Y")</f>
        <v>#NAME?</v>
      </c>
      <c r="AO30" s="2" t="e">
        <f ca="1">_xll.BDH($C$28,"GEO_GROW_OPER_INC","FQ2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30" s="2" t="e">
        <f ca="1">_xll.BDH($C$28,"NET_INCOME_TO_COMMON_5_YR_GROWTH","FQ2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30" s="2" t="e">
        <f ca="1">_xll.BDH($C$28,"5Y_GEO_GROWTH_DILUTED_EPS","FQ2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30" s="2" t="e">
        <f ca="1">_xll.BDH($C$28,"GEO_GROW_DVD_PER_SH","FQ2 2014","FQ2 2014","Currency=INR","Period=FQ","BEST_FPERIOD_OVERRIDE=FQ","FILING_STATUS=OR","EQY_CONSOLIDATED=Y","Sort=A","Dates=H","DateFormat=P","Fill=—","Direction=H","UseDPDF=Y")</f>
        <v>#NAME?</v>
      </c>
      <c r="AS30" s="2" t="e">
        <f ca="1">_xll.BDH($C$28,"ACCOUNTS_RECEIVABLE_5_YR_GROWTH","FQ2 2014","FQ2 2014","Currency=INR","Period=FQ","BEST_FPERIOD_OVERRIDE=FQ","FILING_STATUS=OR","EQY_CONSOLIDATED=Y","Sort=A","Dates=H","DateFormat=P","Fill=—","Direction=H","UseDPDF=Y")</f>
        <v>#NAME?</v>
      </c>
      <c r="AT30" s="2" t="e">
        <f ca="1">_xll.BDH($C$28,"INVENTORY_5_YEAR_GROWTH","FQ2 2014","FQ2 2014","Currency=INR","Period=FQ","BEST_FPERIOD_OVERRIDE=FQ","FILING_STATUS=OR","EQY_CONSOLIDATED=Y","Sort=A","Dates=H","DateFormat=P","Fill=—","Direction=H","UseDPDF=Y")</f>
        <v>#NAME?</v>
      </c>
      <c r="AU30" s="2" t="e">
        <f ca="1">_xll.BDH($C$28,"NET_FIXED_ASSETS_5_YEAR_GROWTH","FQ2 2014","FQ2 2014","Currency=INR","Period=FQ","BEST_FPERIOD_OVERRIDE=FQ","FILING_STATUS=OR","EQY_CONSOLIDATED=Y","Sort=A","Dates=H","DateFormat=P","Fill=—","Direction=H","UseDPDF=Y")</f>
        <v>#NAME?</v>
      </c>
      <c r="AV30" s="2" t="e">
        <f ca="1">_xll.BDH($C$28,"GEO_GROW_TOT_ASSET","FQ2 2014","FQ2 2014","Currency=INR","Period=FQ","BEST_FPERIOD_OVERRIDE=FQ","FILING_STATUS=OR","EQY_CONSOLIDATED=Y","Sort=A","Dates=H","DateFormat=P","Fill=—","Direction=H","UseDPDF=Y")</f>
        <v>#NAME?</v>
      </c>
      <c r="AW30" s="2" t="e">
        <f ca="1">_xll.BDH($C$28,"MODIFIED_WORKING_CPTL_5YR_GRWTH","FQ2 2014","FQ2 2014","Currency=INR","Period=FQ","BEST_FPERIOD_OVERRIDE=FQ","FILING_STATUS=OR","EQY_CONSOLIDATED=Y","Sort=A","Dates=H","DateFormat=P","Fill=—","Direction=H","UseDPDF=Y")</f>
        <v>#NAME?</v>
      </c>
      <c r="AX30" s="2" t="e">
        <f ca="1">_xll.BDH($C$28,"WORKING_CAPITAL_5_YEAR_GROWTH","FQ2 2014","FQ2 2014","Currency=INR","Period=FQ","BEST_FPERIOD_OVERRIDE=FQ","FILING_STATUS=OR","EQY_CONSOLIDATED=Y","Sort=A","Dates=H","DateFormat=P","Fill=—","Direction=H","UseDPDF=Y")</f>
        <v>#NAME?</v>
      </c>
      <c r="AY30" s="2" t="e">
        <f ca="1">_xll.BDH($C$28,"ACCOUNTS_PAYABLE_5_YEAR_GROWTH","FQ2 2014","FQ2 2014","Currency=INR","Period=FQ","BEST_FPERIOD_OVERRIDE=FQ","FILING_STATUS=OR","EQY_CONSOLIDATED=Y","Sort=A","Dates=H","DateFormat=P","Fill=—","Direction=H","UseDPDF=Y")</f>
        <v>#NAME?</v>
      </c>
      <c r="AZ30" s="2" t="e">
        <f ca="1">_xll.BDH($C$28,"SHORT_TERM_DEBT_5_YEAR_GROWTH","FQ2 2014","FQ2 2014","Currency=INR","Period=FQ","BEST_FPERIOD_OVERRIDE=FQ","FILING_STATUS=OR","EQY_CONSOLIDATED=Y","Sort=A","Dates=H","DateFormat=P","Fill=—","Direction=H","UseDPDF=Y")</f>
        <v>#NAME?</v>
      </c>
      <c r="BA30" s="2" t="e">
        <f ca="1">_xll.BDH($C$28,"TOTAL_DEBT_5_YEAR_GROWTH","FQ2 2014","FQ2 2014","Currency=INR","Period=FQ","BEST_FPERIOD_OVERRIDE=FQ","FILING_STATUS=OR","EQY_CONSOLIDATED=Y","Sort=A","Dates=H","DateFormat=P","Fill=—","Direction=H","UseDPDF=Y")</f>
        <v>#NAME?</v>
      </c>
      <c r="BB30" s="2" t="e">
        <f ca="1">_xll.BDH($C$28,"GEO_GROW_TOT_SHRHLDR_EQY","FQ2 2014","FQ2 2014","Currency=INR","Period=FQ","BEST_FPERIOD_OVERRIDE=FQ","FILING_STATUS=OR","EQY_CONSOLIDATED=Y","Sort=A","Dates=H","DateFormat=P","Fill=—","Direction=H","UseDPDF=Y")</f>
        <v>#NAME?</v>
      </c>
      <c r="BC30" s="2" t="e">
        <f ca="1">_xll.BDH($C$28,"TOTAL_CAPITAL_5_YEAR_GROWTH","FQ2 2014","FQ2 2014","Currency=INR","Period=FQ","BEST_FPERIOD_OVERRIDE=FQ","FILING_STATUS=OR","EQY_CONSOLIDATED=Y","Sort=A","Dates=H","DateFormat=P","Fill=—","Direction=H","UseDPDF=Y")</f>
        <v>#NAME?</v>
      </c>
      <c r="BD30" s="2" t="e">
        <f ca="1">_xll.BDH($C$28,"GEO_GROW_BOOK_VAL","FQ2 2014","FQ2 2014","Currency=INR","Period=FQ","BEST_FPERIOD_OVERRIDE=FQ","FILING_STATUS=OR","EQY_CONSOLIDATED=Y","Sort=A","Dates=H","DateFormat=P","Fill=—","Direction=H","UseDPDF=Y")</f>
        <v>#NAME?</v>
      </c>
      <c r="BE30" s="2" t="e">
        <f ca="1">_xll.BDH($C$28,"GEO_GROW_CASH_OPER_ACT","FQ2 2014","FQ2 2014","Currency=INR","Period=FQ","BEST_FPERIOD_OVERRIDE=FQ","FILING_STATUS=OR","EQY_CONSOLIDATED=Y","Sort=A","Dates=H","DateFormat=P","Fill=—","Direction=H","UseDPDF=Y")</f>
        <v>#NAME?</v>
      </c>
      <c r="BF30" s="2" t="e">
        <f ca="1">_xll.BDH($C$28,"REVENUE_SEQUENTIAL_GROWTH","FQ2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30" s="2" t="e">
        <f ca="1">_xll.BDH($C$28,"EBITDA_SEQUENTIAL_GROWTH","FQ2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30" s="2" t="e">
        <f ca="1">_xll.BDH($C$28,"OPERATING_INCOME_SEQ_GROWTH","FQ2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30" s="2" t="e">
        <f ca="1">_xll.BDH($C$28,"NET_INCOME_TO_COMMON_SEQ_GROWTH","FQ2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30" s="2" t="e">
        <f ca="1">_xll.BDH($C$28,"EPS_DILUTED_SEQUENTIAL_GROWTH","FQ2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30" s="2" t="e">
        <f ca="1">_xll.BDH($C$28,"DPS_SEQUENTIAL_GROWTH","FQ2 2014","FQ2 2014","Currency=INR","Period=FQ","BEST_FPERIOD_OVERRIDE=FQ","FILING_STATUS=OR","EQY_CONSOLIDATED=Y","Sort=A","Dates=H","DateFormat=P","Fill=—","Direction=H","UseDPDF=Y")</f>
        <v>#NAME?</v>
      </c>
      <c r="BL30" s="2" t="e">
        <f ca="1">_xll.BDH($C$28,"ACCOUNTS_RECEIVABLE_SEQ_GROWTH","FQ2 2014","FQ2 2014","Currency=INR","Period=FQ","BEST_FPERIOD_OVERRIDE=FQ","FILING_STATUS=OR","EQY_CONSOLIDATED=Y","Sort=A","Dates=H","DateFormat=P","Fill=—","Direction=H","UseDPDF=Y")</f>
        <v>#NAME?</v>
      </c>
      <c r="BM30" s="2" t="e">
        <f ca="1">_xll.BDH($C$28,"INVENTORY_SEQUENTIAL_GROWTH","FQ2 2014","FQ2 2014","Currency=INR","Period=FQ","BEST_FPERIOD_OVERRIDE=FQ","FILING_STATUS=OR","EQY_CONSOLIDATED=Y","Sort=A","Dates=H","DateFormat=P","Fill=—","Direction=H","UseDPDF=Y")</f>
        <v>#NAME?</v>
      </c>
      <c r="BN30" s="2" t="e">
        <f ca="1">_xll.BDH($C$28,"FIXED_ASSETS_SEQUENTIAL_GROWTH","FQ2 2014","FQ2 2014","Currency=INR","Period=FQ","BEST_FPERIOD_OVERRIDE=FQ","FILING_STATUS=OR","EQY_CONSOLIDATED=Y","Sort=A","Dates=H","DateFormat=P","Fill=—","Direction=H","UseDPDF=Y")</f>
        <v>#NAME?</v>
      </c>
      <c r="BO30" s="2" t="e">
        <f ca="1">_xll.BDH($C$28,"TOTAL_ASSETS_SEQUENTIAL_GROWTH","FQ2 2014","FQ2 2014","Currency=INR","Period=FQ","BEST_FPERIOD_OVERRIDE=FQ","FILING_STATUS=OR","EQY_CONSOLIDATED=Y","Sort=A","Dates=H","DateFormat=P","Fill=—","Direction=H","UseDPDF=Y")</f>
        <v>#NAME?</v>
      </c>
      <c r="BP30" s="2" t="e">
        <f ca="1">_xll.BDH($C$28,"MODIFIED_WORKING_CPTL_SEQ_GRWTH","FQ2 2014","FQ2 2014","Currency=INR","Period=FQ","BEST_FPERIOD_OVERRIDE=FQ","FILING_STATUS=OR","EQY_CONSOLIDATED=Y","Sort=A","Dates=H","DateFormat=P","Fill=—","Direction=H","UseDPDF=Y")</f>
        <v>#NAME?</v>
      </c>
      <c r="BQ30" s="2" t="e">
        <f ca="1">_xll.BDH($C$28,"WORKING_CAPITAL_SEQ_GROWTH","FQ2 2014","FQ2 2014","Currency=INR","Period=FQ","BEST_FPERIOD_OVERRIDE=FQ","FILING_STATUS=OR","EQY_CONSOLIDATED=Y","Sort=A","Dates=H","DateFormat=P","Fill=—","Direction=H","UseDPDF=Y")</f>
        <v>#NAME?</v>
      </c>
      <c r="BR30" s="2" t="e">
        <f ca="1">_xll.BDH($C$28,"ACCOUNTS_PAYABLE_SEQ_GROWTH","FQ2 2014","FQ2 2014","Currency=INR","Period=FQ","BEST_FPERIOD_OVERRIDE=FQ","FILING_STATUS=OR","EQY_CONSOLIDATED=Y","Sort=A","Dates=H","DateFormat=P","Fill=—","Direction=H","UseDPDF=Y")</f>
        <v>#NAME?</v>
      </c>
      <c r="BS30" s="2" t="e">
        <f ca="1">_xll.BDH($C$28,"ST_DEBT_SEQUENTIAL_GROWTH","FQ2 2014","FQ2 2014","Currency=INR","Period=FQ","BEST_FPERIOD_OVERRIDE=FQ","FILING_STATUS=OR","EQY_CONSOLIDATED=Y","Sort=A","Dates=H","DateFormat=P","Fill=—","Direction=H","UseDPDF=Y")</f>
        <v>#NAME?</v>
      </c>
      <c r="BT30" s="2" t="e">
        <f ca="1">_xll.BDH($C$28,"TOTAL_DEBT_SEQUENTIAL_GROWTH","FQ2 2014","FQ2 2014","Currency=INR","Period=FQ","BEST_FPERIOD_OVERRIDE=FQ","FILING_STATUS=OR","EQY_CONSOLIDATED=Y","Sort=A","Dates=H","DateFormat=P","Fill=—","Direction=H","UseDPDF=Y")</f>
        <v>#NAME?</v>
      </c>
      <c r="BU30" s="2" t="e">
        <f ca="1">_xll.BDH($C$28,"TOTAL_EQUITY_SEQUENTIAL_GROWTH","FQ2 2014","FQ2 2014","Currency=INR","Period=FQ","BEST_FPERIOD_OVERRIDE=FQ","FILING_STATUS=OR","EQY_CONSOLIDATED=Y","Sort=A","Dates=H","DateFormat=P","Fill=—","Direction=H","UseDPDF=Y")</f>
        <v>#NAME?</v>
      </c>
      <c r="BV30" s="2" t="e">
        <f ca="1">_xll.BDH($C$28,"TOTAL_CAPITAL_SEQUENTIAL_GROWTH","FQ2 2014","FQ2 2014","Currency=INR","Period=FQ","BEST_FPERIOD_OVERRIDE=FQ","FILING_STATUS=OR","EQY_CONSOLIDATED=Y","Sort=A","Dates=H","DateFormat=P","Fill=—","Direction=H","UseDPDF=Y")</f>
        <v>#NAME?</v>
      </c>
      <c r="BW30" s="2" t="e">
        <f ca="1">_xll.BDH($C$28,"BPS_SEQUENTIAL_GROWTH","FQ2 2014","FQ2 2014","Currency=INR","Period=FQ","BEST_FPERIOD_OVERRIDE=FQ","FILING_STATUS=OR","EQY_CONSOLIDATED=Y","Sort=A","Dates=H","DateFormat=P","Fill=—","Direction=H","UseDPDF=Y")</f>
        <v>#NAME?</v>
      </c>
      <c r="BX30" s="2" t="e">
        <f ca="1">_xll.BDH($C$28,"CFO_SEQUENTIAL_GROWTH","FQ2 2014","FQ2 2014","Currency=INR","Period=FQ","BEST_FPERIOD_OVERRIDE=FQ","FILING_STATUS=OR","EQY_CONSOLIDATED=Y","Sort=A","Dates=H","DateFormat=P","Fill=—","Direction=H","UseDPDF=Y")</f>
        <v>#NAME?</v>
      </c>
      <c r="BY30" s="3" t="e">
        <f ca="1">_xll.BDH($C$28,"SHORT_AND_LONG_TERM_DEBT","FQ2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30" s="3" t="e">
        <f ca="1">_xll.BDH($C$28,"BS_ST_BORROW","FQ2 2014","FQ2 2014","Currency=INR","Period=FQ","BEST_FPERIOD_OVERRIDE=FQ","FILING_STATUS=OR","EQY_CONSOLIDATED=Y","SCALING_FORMAT=MLN","Sort=A","Dates=H","DateFormat=P","Fill=—","Direction=H","UseDPDF=Y")</f>
        <v>#NAME?</v>
      </c>
      <c r="CA30" s="3" t="e">
        <f ca="1">_xll.BDH($C$28,"BS_LT_BORROW","FQ2 2014","FQ2 2014","Currency=INR","Period=FQ","BEST_FPERIOD_OVERRIDE=FQ","FILING_STATUS=OR","EQY_CONSOLIDATED=Y","SCALING_FORMAT=MLN","Sort=A","Dates=H","DateFormat=P","Fill=—","Direction=H","UseDPDF=Y")</f>
        <v>#NAME?</v>
      </c>
      <c r="CB30" s="2" t="e">
        <f ca="1">_xll.BDH($C$28,"TOT_DEBT_TO_EBITDA","FQ2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30" s="2" t="e">
        <f ca="1">_xll.BDH($C$28,"NET_DEBT_TO_EBITDA","FQ2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30" s="2" t="e">
        <f ca="1">_xll.BDH($C$28,"TOTAL_DEBT_TO_EBIT","FQ2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30" s="2" t="e">
        <f ca="1">_xll.BDH($C$28,"NET_DEBT_TO_EBIT","FQ2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30" s="2" t="e">
        <f ca="1">_xll.BDH($C$28,"EBITDA_TO_INTEREST_EXPN","FQ2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30" s="2" t="e">
        <f ca="1">_xll.BDH($C$28,"COM_EQY_TO_TOT_ASSET","FQ2 2014","FQ2 2014","Currency=INR","Period=FQ","BEST_FPERIOD_OVERRIDE=FQ","FILING_STATUS=OR","EQY_CONSOLIDATED=Y","Sort=A","Dates=H","DateFormat=P","Fill=—","Direction=H","UseDPDF=Y")</f>
        <v>#NAME?</v>
      </c>
      <c r="CH30" s="2" t="e">
        <f ca="1">_xll.BDH($C$28,"LT_DEBT_TO_TOT_EQY","FQ2 2014","FQ2 2014","Currency=INR","Period=FQ","BEST_FPERIOD_OVERRIDE=FQ","FILING_STATUS=OR","EQY_CONSOLIDATED=Y","Sort=A","Dates=H","DateFormat=P","Fill=—","Direction=H","UseDPDF=Y")</f>
        <v>#NAME?</v>
      </c>
      <c r="CI30" s="2" t="e">
        <f ca="1">_xll.BDH($C$28,"LT_DEBT_TO_TOT_CAP","FQ2 2014","FQ2 2014","Currency=INR","Period=FQ","BEST_FPERIOD_OVERRIDE=FQ","FILING_STATUS=OR","EQY_CONSOLIDATED=Y","Sort=A","Dates=H","DateFormat=P","Fill=—","Direction=H","UseDPDF=Y")</f>
        <v>#NAME?</v>
      </c>
      <c r="CJ30" s="2" t="e">
        <f ca="1">_xll.BDH($C$28,"LT_DEBT_TO_TOT_ASSET","FQ2 2014","FQ2 2014","Currency=INR","Period=FQ","BEST_FPERIOD_OVERRIDE=FQ","FILING_STATUS=OR","EQY_CONSOLIDATED=Y","Sort=A","Dates=H","DateFormat=P","Fill=—","Direction=H","UseDPDF=Y")</f>
        <v>#NAME?</v>
      </c>
      <c r="CK30" s="2" t="e">
        <f ca="1">_xll.BDH($C$28,"TOT_DEBT_TO_TOT_EQY","FQ2 2014","FQ2 2014","Currency=INR","Period=FQ","BEST_FPERIOD_OVERRIDE=FQ","FILING_STATUS=OR","EQY_CONSOLIDATED=Y","Sort=A","Dates=H","DateFormat=P","Fill=—","Direction=H","UseDPDF=Y")</f>
        <v>#NAME?</v>
      </c>
      <c r="CL30" s="2" t="e">
        <f ca="1">_xll.BDH($C$28,"TOT_DEBT_TO_TOT_CAP","FQ2 2014","FQ2 2014","Currency=INR","Period=FQ","BEST_FPERIOD_OVERRIDE=FQ","FILING_STATUS=OR","EQY_CONSOLIDATED=Y","Sort=A","Dates=H","DateFormat=P","Fill=—","Direction=H","UseDPDF=Y")</f>
        <v>#NAME?</v>
      </c>
      <c r="CM30" s="2" t="e">
        <f ca="1">_xll.BDH($C$28,"TOT_DEBT_TO_TOT_ASSET","FQ2 2014","FQ2 2014","Currency=INR","Period=FQ","BEST_FPERIOD_OVERRIDE=FQ","FILING_STATUS=OR","EQY_CONSOLIDATED=Y","Sort=A","Dates=H","DateFormat=P","Fill=—","Direction=H","UseDPDF=Y")</f>
        <v>#NAME?</v>
      </c>
      <c r="CN30" s="2" t="e">
        <f ca="1">_xll.BDH($C$28,"NET_DEBT_TO_SHRHLDR_EQTY","FQ2 2014","FQ2 2014","Currency=INR","Period=FQ","BEST_FPERIOD_OVERRIDE=FQ","FILING_STATUS=OR","EQY_CONSOLIDATED=Y","Sort=A","Dates=H","DateFormat=P","Fill=—","Direction=H","UseDPDF=Y")</f>
        <v>#NAME?</v>
      </c>
      <c r="CO30" s="2" t="e">
        <f ca="1">_xll.BDH($C$28,"NET_DEBT_%_CAPITAL","FQ2 2014","FQ2 2014","Currency=INR","Period=FQ","BEST_FPERIOD_OVERRIDE=FQ","FILING_STATUS=OR","EQY_CONSOLIDATED=Y","Sort=A","Dates=H","DateFormat=P","Fill=—","Direction=H","UseDPDF=Y")</f>
        <v>#NAME?</v>
      </c>
      <c r="CP30" s="3" t="e">
        <f ca="1">_xll.BDH($C$28,"EBITDA","FQ2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30" s="3" t="e">
        <f ca="1">_xll.BDH($C$28,"EBITDA_AFTER_CAPEX","FQ2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30" s="3" t="e">
        <f ca="1">_xll.BDH($C$28,"IS_OPER_INC","FQ2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30" s="2" t="e">
        <f ca="1">_xll.BDH($C$28,"CASH_RATIO","FQ2 2014","FQ2 2014","Currency=INR","Period=FQ","BEST_FPERIOD_OVERRIDE=FQ","FILING_STATUS=OR","EQY_CONSOLIDATED=Y","Sort=A","Dates=H","DateFormat=P","Fill=—","Direction=H","UseDPDF=Y")</f>
        <v>#NAME?</v>
      </c>
      <c r="CT30" s="2" t="e">
        <f ca="1">_xll.BDH($C$28,"CUR_RATIO","FQ2 2014","FQ2 2014","Currency=INR","Period=FQ","BEST_FPERIOD_OVERRIDE=FQ","FILING_STATUS=OR","EQY_CONSOLIDATED=Y","Sort=A","Dates=H","DateFormat=P","Fill=—","Direction=H","UseDPDF=Y")</f>
        <v>#NAME?</v>
      </c>
      <c r="CU30" s="2" t="e">
        <f ca="1">_xll.BDH($C$28,"QUICK_RATIO","FQ2 2014","FQ2 2014","Currency=INR","Period=FQ","BEST_FPERIOD_OVERRIDE=FQ","FILING_STATUS=OR","EQY_CONSOLIDATED=Y","Sort=A","Dates=H","DateFormat=P","Fill=—","Direction=H","UseDPDF=Y")</f>
        <v>#NAME?</v>
      </c>
      <c r="CV30" s="2" t="e">
        <f ca="1">_xll.BDH($C$28,"ALTMAN_Z_SCORE","FQ2 2014","FQ2 2014","Currency=INR","Period=FQ","BEST_FPERIOD_OVERRIDE=FQ","FILING_STATUS=OR","EQY_CONSOLIDATED=Y","Sort=A","Dates=H","DateFormat=P","Fill=—","Direction=H","UseDPDF=Y")</f>
        <v>#NAME?</v>
      </c>
      <c r="CW30" s="4" t="e">
        <f ca="1">_xll.BDH($C$28,"ACCT_RCV_TURN","FQ2 2014","FQ2 2014","Currency=INR","Period=FQ","BEST_FPERIOD_OVERRIDE=FQ","FILING_STATUS=OR","EQY_CONSOLIDATED=Y","FA_ADJUSTED=GAAP","Sort=A","Dates=H","DateFormat=P","Fill=—","Direction=H","UseDPDF=Y")</f>
        <v>#NAME?</v>
      </c>
      <c r="CX30" s="2" t="e">
        <f ca="1">_xll.BDH($C$28,"ACCT_RCV_DAYS","FQ2 2014","FQ2 2014","Currency=INR","Period=FQ","BEST_FPERIOD_OVERRIDE=FQ","FILING_STATUS=OR","EQY_CONSOLIDATED=Y","FA_ADJUSTED=GAAP","Sort=A","Dates=H","DateFormat=P","Fill=—","Direction=H","UseDPDF=Y")</f>
        <v>#NAME?</v>
      </c>
      <c r="CY30" s="4" t="e">
        <f ca="1">_xll.BDH($C$28,"INVENT_TURN","FQ2 2014","FQ2 2014","Currency=INR","Period=FQ","BEST_FPERIOD_OVERRIDE=FQ","FILING_STATUS=OR","EQY_CONSOLIDATED=Y","FA_ADJUSTED=GAAP","Sort=A","Dates=H","DateFormat=P","Fill=—","Direction=H","UseDPDF=Y")</f>
        <v>#NAME?</v>
      </c>
      <c r="CZ30" s="2" t="e">
        <f ca="1">_xll.BDH($C$28,"INVENT_DAYS","FQ2 2014","FQ2 2014","Currency=INR","Period=FQ","BEST_FPERIOD_OVERRIDE=FQ","FILING_STATUS=OR","EQY_CONSOLIDATED=Y","FA_ADJUSTED=GAAP","Sort=A","Dates=H","DateFormat=P","Fill=—","Direction=H","UseDPDF=Y")</f>
        <v>#NAME?</v>
      </c>
      <c r="DA30" s="4" t="e">
        <f ca="1">_xll.BDH($C$28,"ACCOUNTS_PAYABLE_TURNOVER","FQ2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30" s="2" t="e">
        <f ca="1">_xll.BDH($C$28,"ACCOUNTS_PAYABLE_TURNOVER_DAYS","FQ2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30" s="4" t="e">
        <f ca="1">_xll.BDH($C$28,"CASH_CONVERSION_CYCLE","FQ2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30" s="4" t="e">
        <f ca="1">_xll.BDH($C$28,"INV_TO_CASH_DAYS","FQ2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30" s="5" t="e">
        <f ca="1">_xll.BDH($C$28,"BS_INVENTORIES","FQ2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30" s="3" t="e">
        <f ca="1">_xll.BDH($C$28,"INVTRY_RAW_MATERIALS","FQ2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30" s="3" t="e">
        <f ca="1">_xll.BDH($C$28,"INVTRY_IN_PROGRESS","FQ2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30" s="3" t="e">
        <f ca="1">_xll.BDH($C$28,"INVTRY_FINISHED_GOODS","FQ2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30" s="3" t="e">
        <f ca="1">_xll.BDH($C$28,"BS_OTHER_INV","FQ2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31" spans="1:113" x14ac:dyDescent="0.3">
      <c r="A31" s="6"/>
      <c r="B31" s="6"/>
      <c r="C31" s="6"/>
      <c r="D31" s="6"/>
      <c r="E31" t="s">
        <v>80</v>
      </c>
      <c r="F31" t="e">
        <f ca="1">_xll.BDH($C$28,"RETURN_COM_EQY","FQ3 2014","FQ3 2014","Currency=INR","Period=FQ","BEST_FPERIOD_OVERRIDE=FQ","FILING_STATUS=OR","EQY_CONSOLIDATED=Y","FA_ADJUSTED=GAAP","Sort=A","Dates=H","DateFormat=P","Fill=—","Direction=H","UseDPDF=Y")</f>
        <v>#NAME?</v>
      </c>
      <c r="G31" t="e">
        <f ca="1">_xll.BDH($C$28,"RETURN_ON_ASSET","FQ3 2014","FQ3 2014","Currency=INR","Period=FQ","BEST_FPERIOD_OVERRIDE=FQ","FILING_STATUS=OR","EQY_CONSOLIDATED=Y","FA_ADJUSTED=GAAP","Sort=A","Dates=H","DateFormat=P","Fill=—","Direction=H","UseDPDF=Y")</f>
        <v>#NAME?</v>
      </c>
      <c r="H31" t="e">
        <f ca="1">_xll.BDH($C$28,"RETURN_ON_CAP","FQ3 2014","FQ3 2014","Currency=INR","Period=FQ","BEST_FPERIOD_OVERRIDE=FQ","FILING_STATUS=OR","EQY_CONSOLIDATED=Y","FA_ADJUSTED=GAAP","Sort=A","Dates=H","DateFormat=P","Fill=—","Direction=H","UseDPDF=Y")</f>
        <v>#NAME?</v>
      </c>
      <c r="I31" t="e">
        <f ca="1">_xll.BDH($C$28,"RETURN_ON_INV_CAPITAL","FQ3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31" t="e">
        <f ca="1">_xll.BDH($C$28,"EBITDA_TO_REVENUE","FQ3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31" t="e">
        <f ca="1">_xll.BDH($C$28,"OPER_MARGIN","FQ3 2014","FQ3 2014","Currency=INR","Period=FQ","BEST_FPERIOD_OVERRIDE=FQ","FILING_STATUS=OR","EQY_CONSOLIDATED=Y","FA_ADJUSTED=GAAP","Sort=A","Dates=H","DateFormat=P","Fill=—","Direction=H","UseDPDF=Y")</f>
        <v>#NAME?</v>
      </c>
      <c r="L31" t="e">
        <f ca="1">_xll.BDH($C$28,"INCREMENTAL_OPERATING_MARGIN","FQ3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31" t="e">
        <f ca="1">_xll.BDH($C$28,"PRETAX_INC_TO_NET_SALES","FQ3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31" t="e">
        <f ca="1">_xll.BDH($C$28,"INC_BEF_XO_ITEMS_TO_NET_SALES","FQ3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31" t="e">
        <f ca="1">_xll.BDH($C$28,"PROF_MARGIN","FQ3 2014","FQ3 2014","Currency=INR","Period=FQ","BEST_FPERIOD_OVERRIDE=FQ","FILING_STATUS=OR","EQY_CONSOLIDATED=Y","FA_ADJUSTED=GAAP","Sort=A","Dates=H","DateFormat=P","Fill=—","Direction=H","UseDPDF=Y")</f>
        <v>#NAME?</v>
      </c>
      <c r="P31" t="e">
        <f ca="1">_xll.BDH($C$28,"NET_INCOME_TO_COMMON_MARGIN","FQ3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31" t="e">
        <f ca="1">_xll.BDH($C$28,"EFF_TAX_RATE","FQ3 2014","FQ3 2014","Currency=INR","Period=FQ","BEST_FPERIOD_OVERRIDE=FQ","FILING_STATUS=OR","EQY_CONSOLIDATED=Y","FA_ADJUSTED=GAAP","Sort=A","Dates=H","DateFormat=P","Fill=—","Direction=H","UseDPDF=Y")</f>
        <v>#NAME?</v>
      </c>
      <c r="R31" t="e">
        <f ca="1">_xll.BDH($C$28,"DVD_PAYOUT_RATIO","FQ3 2014","FQ3 2014","Currency=INR","Period=FQ","BEST_FPERIOD_OVERRIDE=FQ","FILING_STATUS=OR","EQY_CONSOLIDATED=Y","FA_ADJUSTED=GAAP","Sort=A","Dates=H","DateFormat=P","Fill=—","Direction=H","UseDPDF=Y")</f>
        <v>#NAME?</v>
      </c>
      <c r="S31" t="e">
        <f ca="1">_xll.BDH($C$28,"SUSTAIN_GROWTH_RT","FQ3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31" s="2" t="e">
        <f ca="1">_xll.BDH($C$28,"SALES_GROWTH","FQ3 2014","FQ3 2014","Currency=INR","Period=FQ","BEST_FPERIOD_OVERRIDE=FQ","FILING_STATUS=OR","EQY_CONSOLIDATED=Y","FA_ADJUSTED=GAAP","Sort=A","Dates=H","DateFormat=P","Fill=—","Direction=H","UseDPDF=Y")</f>
        <v>#NAME?</v>
      </c>
      <c r="U31" s="2" t="e">
        <f ca="1">_xll.BDH($C$28,"EBITDA_GROWTH","FQ3 2014","FQ3 2014","Currency=INR","Period=FQ","BEST_FPERIOD_OVERRIDE=FQ","FILING_STATUS=OR","EQY_CONSOLIDATED=Y","FA_ADJUSTED=GAAP","Sort=A","Dates=H","DateFormat=P","Fill=—","Direction=H","UseDPDF=Y")</f>
        <v>#NAME?</v>
      </c>
      <c r="V31" s="2" t="e">
        <f ca="1">_xll.BDH($C$28,"OPER_INC_GROWTH","FQ3 2014","FQ3 2014","Currency=INR","Period=FQ","BEST_FPERIOD_OVERRIDE=FQ","FILING_STATUS=OR","EQY_CONSOLIDATED=Y","FA_ADJUSTED=GAAP","Sort=A","Dates=H","DateFormat=P","Fill=—","Direction=H","UseDPDF=Y")</f>
        <v>#NAME?</v>
      </c>
      <c r="W31" s="2" t="e">
        <f ca="1">_xll.BDH($C$28,"EARN_FOR_COM_GROWTH","FQ3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31" s="2" t="e">
        <f ca="1">_xll.BDH($C$28,"DILUTED_EPS_AFT_XO_ITEMS_GROWTH","FQ3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31" s="2" t="e">
        <f ca="1">_xll.BDH($C$28,"DIVIDEND_PER_SHARE_1_YEAR_GROWTH","FQ3 2014","FQ3 2014","Currency=INR","Period=FQ","BEST_FPERIOD_OVERRIDE=FQ","FILING_STATUS=OR","EQY_CONSOLIDATED=Y","Sort=A","Dates=H","DateFormat=P","Fill=—","Direction=H","UseDPDF=Y")</f>
        <v>#NAME?</v>
      </c>
      <c r="Z31" s="2" t="e">
        <f ca="1">_xll.BDH($C$28,"ACCOUNTS_RECEIVABLE_GROWTH","FQ3 2014","FQ3 2014","Currency=INR","Period=FQ","BEST_FPERIOD_OVERRIDE=FQ","FILING_STATUS=OR","EQY_CONSOLIDATED=Y","Sort=A","Dates=H","DateFormat=P","Fill=—","Direction=H","UseDPDF=Y")</f>
        <v>#NAME?</v>
      </c>
      <c r="AA31" s="2" t="e">
        <f ca="1">_xll.BDH($C$28,"INVENTORY_GROWTH","FQ3 2014","FQ3 2014","Currency=INR","Period=FQ","BEST_FPERIOD_OVERRIDE=FQ","FILING_STATUS=OR","EQY_CONSOLIDATED=Y","Sort=A","Dates=H","DateFormat=P","Fill=—","Direction=H","UseDPDF=Y")</f>
        <v>#NAME?</v>
      </c>
      <c r="AB31" s="2" t="e">
        <f ca="1">_xll.BDH($C$28,"NET_FIXED_ASSETS_1_YEAR_GROWTH","FQ3 2014","FQ3 2014","Currency=INR","Period=FQ","BEST_FPERIOD_OVERRIDE=FQ","FILING_STATUS=OR","EQY_CONSOLIDATED=Y","Sort=A","Dates=H","DateFormat=P","Fill=—","Direction=H","UseDPDF=Y")</f>
        <v>#NAME?</v>
      </c>
      <c r="AC31" s="2" t="e">
        <f ca="1">_xll.BDH($C$28,"ASSET_GROWTH","FQ3 2014","FQ3 2014","Currency=INR","Period=FQ","BEST_FPERIOD_OVERRIDE=FQ","FILING_STATUS=OR","EQY_CONSOLIDATED=Y","Sort=A","Dates=H","DateFormat=P","Fill=—","Direction=H","UseDPDF=Y")</f>
        <v>#NAME?</v>
      </c>
      <c r="AD31" s="2" t="e">
        <f ca="1">_xll.BDH($C$28,"MODIFIED_WORK_CAP_GROWTH","FQ3 2014","FQ3 2014","Currency=INR","Period=FQ","BEST_FPERIOD_OVERRIDE=FQ","FILING_STATUS=OR","EQY_CONSOLIDATED=Y","Sort=A","Dates=H","DateFormat=P","Fill=—","Direction=H","UseDPDF=Y")</f>
        <v>#NAME?</v>
      </c>
      <c r="AE31" s="2" t="e">
        <f ca="1">_xll.BDH($C$28,"WORK_CAP_GROWTH","FQ3 2014","FQ3 2014","Currency=INR","Period=FQ","BEST_FPERIOD_OVERRIDE=FQ","FILING_STATUS=OR","EQY_CONSOLIDATED=Y","Sort=A","Dates=H","DateFormat=P","Fill=—","Direction=H","UseDPDF=Y")</f>
        <v>#NAME?</v>
      </c>
      <c r="AF31" s="2" t="e">
        <f ca="1">_xll.BDH($C$28,"ACCOUNTS_PAYABLE_GROWTH_1YR","FQ3 2014","FQ3 2014","Currency=INR","Period=FQ","BEST_FPERIOD_OVERRIDE=FQ","FILING_STATUS=OR","EQY_CONSOLIDATED=Y","Sort=A","Dates=H","DateFormat=P","Fill=—","Direction=H","UseDPDF=Y")</f>
        <v>#NAME?</v>
      </c>
      <c r="AG31" s="2" t="e">
        <f ca="1">_xll.BDH($C$28,"SHORT_TERM_DEBT_1_YEAR_GROWTH","FQ3 2014","FQ3 2014","Currency=INR","Period=FQ","BEST_FPERIOD_OVERRIDE=FQ","FILING_STATUS=OR","EQY_CONSOLIDATED=Y","Sort=A","Dates=H","DateFormat=P","Fill=—","Direction=H","UseDPDF=Y")</f>
        <v>#NAME?</v>
      </c>
      <c r="AH31" s="2" t="e">
        <f ca="1">_xll.BDH($C$28,"TOTAL_DEBT_1_YEAR_GROWTH","FQ3 2014","FQ3 2014","Currency=INR","Period=FQ","BEST_FPERIOD_OVERRIDE=FQ","FILING_STATUS=OR","EQY_CONSOLIDATED=Y","Sort=A","Dates=H","DateFormat=P","Fill=—","Direction=H","UseDPDF=Y")</f>
        <v>#NAME?</v>
      </c>
      <c r="AI31" s="2" t="e">
        <f ca="1">_xll.BDH($C$28,"TOTAL_EQUITY_1_YEAR_GROWTH","FQ3 2014","FQ3 2014","Currency=INR","Period=FQ","BEST_FPERIOD_OVERRIDE=FQ","FILING_STATUS=OR","EQY_CONSOLIDATED=Y","Sort=A","Dates=H","DateFormat=P","Fill=—","Direction=H","UseDPDF=Y")</f>
        <v>#NAME?</v>
      </c>
      <c r="AJ31" s="2" t="e">
        <f ca="1">_xll.BDH($C$28,"GROWTH_IN_CAP","FQ3 2014","FQ3 2014","Currency=INR","Period=FQ","BEST_FPERIOD_OVERRIDE=FQ","FILING_STATUS=OR","EQY_CONSOLIDATED=Y","Sort=A","Dates=H","DateFormat=P","Fill=—","Direction=H","UseDPDF=Y")</f>
        <v>#NAME?</v>
      </c>
      <c r="AK31" s="2" t="e">
        <f ca="1">_xll.BDH($C$28,"BVPS_GROWTH","FQ3 2014","FQ3 2014","Currency=INR","Period=FQ","BEST_FPERIOD_OVERRIDE=FQ","FILING_STATUS=OR","EQY_CONSOLIDATED=Y","Sort=A","Dates=H","DateFormat=P","Fill=—","Direction=H","UseDPDF=Y")</f>
        <v>#NAME?</v>
      </c>
      <c r="AL31" s="2" t="e">
        <f ca="1">_xll.BDH($C$28,"CASH_FLOW_GROWTH","FQ3 2014","FQ3 2014","Currency=INR","Period=FQ","BEST_FPERIOD_OVERRIDE=FQ","FILING_STATUS=OR","EQY_CONSOLIDATED=Y","Sort=A","Dates=H","DateFormat=P","Fill=—","Direction=H","UseDPDF=Y")</f>
        <v>#NAME?</v>
      </c>
      <c r="AM31" s="2" t="e">
        <f ca="1">_xll.BDH($C$28,"GEO_GROW_NET_SALES","FQ3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31" s="2" t="e">
        <f ca="1">_xll.BDH($C$28,"GEO_GROW_EBITDA","FQ3 2014","FQ3 2014","Currency=INR","Period=FQ","BEST_FPERIOD_OVERRIDE=FQ","FILING_STATUS=OR","EQY_CONSOLIDATED=Y","FA_ADJUSTED=GAAP","Sort=A","Dates=H","DateFormat=P","Fill=—","Direction=H","UseDPDF=Y")</f>
        <v>#NAME?</v>
      </c>
      <c r="AO31" s="2" t="e">
        <f ca="1">_xll.BDH($C$28,"GEO_GROW_OPER_INC","FQ3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31" s="2" t="e">
        <f ca="1">_xll.BDH($C$28,"NET_INCOME_TO_COMMON_5_YR_GROWTH","FQ3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31" s="2" t="e">
        <f ca="1">_xll.BDH($C$28,"5Y_GEO_GROWTH_DILUTED_EPS","FQ3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31" s="2" t="e">
        <f ca="1">_xll.BDH($C$28,"GEO_GROW_DVD_PER_SH","FQ3 2014","FQ3 2014","Currency=INR","Period=FQ","BEST_FPERIOD_OVERRIDE=FQ","FILING_STATUS=OR","EQY_CONSOLIDATED=Y","Sort=A","Dates=H","DateFormat=P","Fill=—","Direction=H","UseDPDF=Y")</f>
        <v>#NAME?</v>
      </c>
      <c r="AS31" s="2" t="e">
        <f ca="1">_xll.BDH($C$28,"ACCOUNTS_RECEIVABLE_5_YR_GROWTH","FQ3 2014","FQ3 2014","Currency=INR","Period=FQ","BEST_FPERIOD_OVERRIDE=FQ","FILING_STATUS=OR","EQY_CONSOLIDATED=Y","Sort=A","Dates=H","DateFormat=P","Fill=—","Direction=H","UseDPDF=Y")</f>
        <v>#NAME?</v>
      </c>
      <c r="AT31" s="2" t="e">
        <f ca="1">_xll.BDH($C$28,"INVENTORY_5_YEAR_GROWTH","FQ3 2014","FQ3 2014","Currency=INR","Period=FQ","BEST_FPERIOD_OVERRIDE=FQ","FILING_STATUS=OR","EQY_CONSOLIDATED=Y","Sort=A","Dates=H","DateFormat=P","Fill=—","Direction=H","UseDPDF=Y")</f>
        <v>#NAME?</v>
      </c>
      <c r="AU31" s="2" t="e">
        <f ca="1">_xll.BDH($C$28,"NET_FIXED_ASSETS_5_YEAR_GROWTH","FQ3 2014","FQ3 2014","Currency=INR","Period=FQ","BEST_FPERIOD_OVERRIDE=FQ","FILING_STATUS=OR","EQY_CONSOLIDATED=Y","Sort=A","Dates=H","DateFormat=P","Fill=—","Direction=H","UseDPDF=Y")</f>
        <v>#NAME?</v>
      </c>
      <c r="AV31" s="2" t="e">
        <f ca="1">_xll.BDH($C$28,"GEO_GROW_TOT_ASSET","FQ3 2014","FQ3 2014","Currency=INR","Period=FQ","BEST_FPERIOD_OVERRIDE=FQ","FILING_STATUS=OR","EQY_CONSOLIDATED=Y","Sort=A","Dates=H","DateFormat=P","Fill=—","Direction=H","UseDPDF=Y")</f>
        <v>#NAME?</v>
      </c>
      <c r="AW31" s="2" t="e">
        <f ca="1">_xll.BDH($C$28,"MODIFIED_WORKING_CPTL_5YR_GRWTH","FQ3 2014","FQ3 2014","Currency=INR","Period=FQ","BEST_FPERIOD_OVERRIDE=FQ","FILING_STATUS=OR","EQY_CONSOLIDATED=Y","Sort=A","Dates=H","DateFormat=P","Fill=—","Direction=H","UseDPDF=Y")</f>
        <v>#NAME?</v>
      </c>
      <c r="AX31" s="2" t="e">
        <f ca="1">_xll.BDH($C$28,"WORKING_CAPITAL_5_YEAR_GROWTH","FQ3 2014","FQ3 2014","Currency=INR","Period=FQ","BEST_FPERIOD_OVERRIDE=FQ","FILING_STATUS=OR","EQY_CONSOLIDATED=Y","Sort=A","Dates=H","DateFormat=P","Fill=—","Direction=H","UseDPDF=Y")</f>
        <v>#NAME?</v>
      </c>
      <c r="AY31" s="2" t="e">
        <f ca="1">_xll.BDH($C$28,"ACCOUNTS_PAYABLE_5_YEAR_GROWTH","FQ3 2014","FQ3 2014","Currency=INR","Period=FQ","BEST_FPERIOD_OVERRIDE=FQ","FILING_STATUS=OR","EQY_CONSOLIDATED=Y","Sort=A","Dates=H","DateFormat=P","Fill=—","Direction=H","UseDPDF=Y")</f>
        <v>#NAME?</v>
      </c>
      <c r="AZ31" s="2" t="e">
        <f ca="1">_xll.BDH($C$28,"SHORT_TERM_DEBT_5_YEAR_GROWTH","FQ3 2014","FQ3 2014","Currency=INR","Period=FQ","BEST_FPERIOD_OVERRIDE=FQ","FILING_STATUS=OR","EQY_CONSOLIDATED=Y","Sort=A","Dates=H","DateFormat=P","Fill=—","Direction=H","UseDPDF=Y")</f>
        <v>#NAME?</v>
      </c>
      <c r="BA31" s="2" t="e">
        <f ca="1">_xll.BDH($C$28,"TOTAL_DEBT_5_YEAR_GROWTH","FQ3 2014","FQ3 2014","Currency=INR","Period=FQ","BEST_FPERIOD_OVERRIDE=FQ","FILING_STATUS=OR","EQY_CONSOLIDATED=Y","Sort=A","Dates=H","DateFormat=P","Fill=—","Direction=H","UseDPDF=Y")</f>
        <v>#NAME?</v>
      </c>
      <c r="BB31" s="2" t="e">
        <f ca="1">_xll.BDH($C$28,"GEO_GROW_TOT_SHRHLDR_EQY","FQ3 2014","FQ3 2014","Currency=INR","Period=FQ","BEST_FPERIOD_OVERRIDE=FQ","FILING_STATUS=OR","EQY_CONSOLIDATED=Y","Sort=A","Dates=H","DateFormat=P","Fill=—","Direction=H","UseDPDF=Y")</f>
        <v>#NAME?</v>
      </c>
      <c r="BC31" s="2" t="e">
        <f ca="1">_xll.BDH($C$28,"TOTAL_CAPITAL_5_YEAR_GROWTH","FQ3 2014","FQ3 2014","Currency=INR","Period=FQ","BEST_FPERIOD_OVERRIDE=FQ","FILING_STATUS=OR","EQY_CONSOLIDATED=Y","Sort=A","Dates=H","DateFormat=P","Fill=—","Direction=H","UseDPDF=Y")</f>
        <v>#NAME?</v>
      </c>
      <c r="BD31" s="2" t="e">
        <f ca="1">_xll.BDH($C$28,"GEO_GROW_BOOK_VAL","FQ3 2014","FQ3 2014","Currency=INR","Period=FQ","BEST_FPERIOD_OVERRIDE=FQ","FILING_STATUS=OR","EQY_CONSOLIDATED=Y","Sort=A","Dates=H","DateFormat=P","Fill=—","Direction=H","UseDPDF=Y")</f>
        <v>#NAME?</v>
      </c>
      <c r="BE31" s="2" t="e">
        <f ca="1">_xll.BDH($C$28,"GEO_GROW_CASH_OPER_ACT","FQ3 2014","FQ3 2014","Currency=INR","Period=FQ","BEST_FPERIOD_OVERRIDE=FQ","FILING_STATUS=OR","EQY_CONSOLIDATED=Y","Sort=A","Dates=H","DateFormat=P","Fill=—","Direction=H","UseDPDF=Y")</f>
        <v>#NAME?</v>
      </c>
      <c r="BF31" s="2" t="e">
        <f ca="1">_xll.BDH($C$28,"REVENUE_SEQUENTIAL_GROWTH","FQ3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31" s="2" t="e">
        <f ca="1">_xll.BDH($C$28,"EBITDA_SEQUENTIAL_GROWTH","FQ3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31" s="2" t="e">
        <f ca="1">_xll.BDH($C$28,"OPERATING_INCOME_SEQ_GROWTH","FQ3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31" s="2" t="e">
        <f ca="1">_xll.BDH($C$28,"NET_INCOME_TO_COMMON_SEQ_GROWTH","FQ3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31" s="2" t="e">
        <f ca="1">_xll.BDH($C$28,"EPS_DILUTED_SEQUENTIAL_GROWTH","FQ3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31" s="2" t="e">
        <f ca="1">_xll.BDH($C$28,"DPS_SEQUENTIAL_GROWTH","FQ3 2014","FQ3 2014","Currency=INR","Period=FQ","BEST_FPERIOD_OVERRIDE=FQ","FILING_STATUS=OR","EQY_CONSOLIDATED=Y","Sort=A","Dates=H","DateFormat=P","Fill=—","Direction=H","UseDPDF=Y")</f>
        <v>#NAME?</v>
      </c>
      <c r="BL31" s="2" t="e">
        <f ca="1">_xll.BDH($C$28,"ACCOUNTS_RECEIVABLE_SEQ_GROWTH","FQ3 2014","FQ3 2014","Currency=INR","Period=FQ","BEST_FPERIOD_OVERRIDE=FQ","FILING_STATUS=OR","EQY_CONSOLIDATED=Y","Sort=A","Dates=H","DateFormat=P","Fill=—","Direction=H","UseDPDF=Y")</f>
        <v>#NAME?</v>
      </c>
      <c r="BM31" s="2" t="e">
        <f ca="1">_xll.BDH($C$28,"INVENTORY_SEQUENTIAL_GROWTH","FQ3 2014","FQ3 2014","Currency=INR","Period=FQ","BEST_FPERIOD_OVERRIDE=FQ","FILING_STATUS=OR","EQY_CONSOLIDATED=Y","Sort=A","Dates=H","DateFormat=P","Fill=—","Direction=H","UseDPDF=Y")</f>
        <v>#NAME?</v>
      </c>
      <c r="BN31" s="2" t="e">
        <f ca="1">_xll.BDH($C$28,"FIXED_ASSETS_SEQUENTIAL_GROWTH","FQ3 2014","FQ3 2014","Currency=INR","Period=FQ","BEST_FPERIOD_OVERRIDE=FQ","FILING_STATUS=OR","EQY_CONSOLIDATED=Y","Sort=A","Dates=H","DateFormat=P","Fill=—","Direction=H","UseDPDF=Y")</f>
        <v>#NAME?</v>
      </c>
      <c r="BO31" s="2" t="e">
        <f ca="1">_xll.BDH($C$28,"TOTAL_ASSETS_SEQUENTIAL_GROWTH","FQ3 2014","FQ3 2014","Currency=INR","Period=FQ","BEST_FPERIOD_OVERRIDE=FQ","FILING_STATUS=OR","EQY_CONSOLIDATED=Y","Sort=A","Dates=H","DateFormat=P","Fill=—","Direction=H","UseDPDF=Y")</f>
        <v>#NAME?</v>
      </c>
      <c r="BP31" s="2" t="e">
        <f ca="1">_xll.BDH($C$28,"MODIFIED_WORKING_CPTL_SEQ_GRWTH","FQ3 2014","FQ3 2014","Currency=INR","Period=FQ","BEST_FPERIOD_OVERRIDE=FQ","FILING_STATUS=OR","EQY_CONSOLIDATED=Y","Sort=A","Dates=H","DateFormat=P","Fill=—","Direction=H","UseDPDF=Y")</f>
        <v>#NAME?</v>
      </c>
      <c r="BQ31" s="2" t="e">
        <f ca="1">_xll.BDH($C$28,"WORKING_CAPITAL_SEQ_GROWTH","FQ3 2014","FQ3 2014","Currency=INR","Period=FQ","BEST_FPERIOD_OVERRIDE=FQ","FILING_STATUS=OR","EQY_CONSOLIDATED=Y","Sort=A","Dates=H","DateFormat=P","Fill=—","Direction=H","UseDPDF=Y")</f>
        <v>#NAME?</v>
      </c>
      <c r="BR31" s="2" t="e">
        <f ca="1">_xll.BDH($C$28,"ACCOUNTS_PAYABLE_SEQ_GROWTH","FQ3 2014","FQ3 2014","Currency=INR","Period=FQ","BEST_FPERIOD_OVERRIDE=FQ","FILING_STATUS=OR","EQY_CONSOLIDATED=Y","Sort=A","Dates=H","DateFormat=P","Fill=—","Direction=H","UseDPDF=Y")</f>
        <v>#NAME?</v>
      </c>
      <c r="BS31" s="2" t="e">
        <f ca="1">_xll.BDH($C$28,"ST_DEBT_SEQUENTIAL_GROWTH","FQ3 2014","FQ3 2014","Currency=INR","Period=FQ","BEST_FPERIOD_OVERRIDE=FQ","FILING_STATUS=OR","EQY_CONSOLIDATED=Y","Sort=A","Dates=H","DateFormat=P","Fill=—","Direction=H","UseDPDF=Y")</f>
        <v>#NAME?</v>
      </c>
      <c r="BT31" s="2" t="e">
        <f ca="1">_xll.BDH($C$28,"TOTAL_DEBT_SEQUENTIAL_GROWTH","FQ3 2014","FQ3 2014","Currency=INR","Period=FQ","BEST_FPERIOD_OVERRIDE=FQ","FILING_STATUS=OR","EQY_CONSOLIDATED=Y","Sort=A","Dates=H","DateFormat=P","Fill=—","Direction=H","UseDPDF=Y")</f>
        <v>#NAME?</v>
      </c>
      <c r="BU31" s="2" t="e">
        <f ca="1">_xll.BDH($C$28,"TOTAL_EQUITY_SEQUENTIAL_GROWTH","FQ3 2014","FQ3 2014","Currency=INR","Period=FQ","BEST_FPERIOD_OVERRIDE=FQ","FILING_STATUS=OR","EQY_CONSOLIDATED=Y","Sort=A","Dates=H","DateFormat=P","Fill=—","Direction=H","UseDPDF=Y")</f>
        <v>#NAME?</v>
      </c>
      <c r="BV31" s="2" t="e">
        <f ca="1">_xll.BDH($C$28,"TOTAL_CAPITAL_SEQUENTIAL_GROWTH","FQ3 2014","FQ3 2014","Currency=INR","Period=FQ","BEST_FPERIOD_OVERRIDE=FQ","FILING_STATUS=OR","EQY_CONSOLIDATED=Y","Sort=A","Dates=H","DateFormat=P","Fill=—","Direction=H","UseDPDF=Y")</f>
        <v>#NAME?</v>
      </c>
      <c r="BW31" s="2" t="e">
        <f ca="1">_xll.BDH($C$28,"BPS_SEQUENTIAL_GROWTH","FQ3 2014","FQ3 2014","Currency=INR","Period=FQ","BEST_FPERIOD_OVERRIDE=FQ","FILING_STATUS=OR","EQY_CONSOLIDATED=Y","Sort=A","Dates=H","DateFormat=P","Fill=—","Direction=H","UseDPDF=Y")</f>
        <v>#NAME?</v>
      </c>
      <c r="BX31" s="2" t="e">
        <f ca="1">_xll.BDH($C$28,"CFO_SEQUENTIAL_GROWTH","FQ3 2014","FQ3 2014","Currency=INR","Period=FQ","BEST_FPERIOD_OVERRIDE=FQ","FILING_STATUS=OR","EQY_CONSOLIDATED=Y","Sort=A","Dates=H","DateFormat=P","Fill=—","Direction=H","UseDPDF=Y")</f>
        <v>#NAME?</v>
      </c>
      <c r="BY31" s="3" t="e">
        <f ca="1">_xll.BDH($C$28,"SHORT_AND_LONG_TERM_DEBT","FQ3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31" s="3" t="e">
        <f ca="1">_xll.BDH($C$28,"BS_ST_BORROW","FQ3 2014","FQ3 2014","Currency=INR","Period=FQ","BEST_FPERIOD_OVERRIDE=FQ","FILING_STATUS=OR","EQY_CONSOLIDATED=Y","SCALING_FORMAT=MLN","Sort=A","Dates=H","DateFormat=P","Fill=—","Direction=H","UseDPDF=Y")</f>
        <v>#NAME?</v>
      </c>
      <c r="CA31" s="3" t="e">
        <f ca="1">_xll.BDH($C$28,"BS_LT_BORROW","FQ3 2014","FQ3 2014","Currency=INR","Period=FQ","BEST_FPERIOD_OVERRIDE=FQ","FILING_STATUS=OR","EQY_CONSOLIDATED=Y","SCALING_FORMAT=MLN","Sort=A","Dates=H","DateFormat=P","Fill=—","Direction=H","UseDPDF=Y")</f>
        <v>#NAME?</v>
      </c>
      <c r="CB31" s="2" t="e">
        <f ca="1">_xll.BDH($C$28,"TOT_DEBT_TO_EBITDA","FQ3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31" s="2" t="e">
        <f ca="1">_xll.BDH($C$28,"NET_DEBT_TO_EBITDA","FQ3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31" s="2" t="e">
        <f ca="1">_xll.BDH($C$28,"TOTAL_DEBT_TO_EBIT","FQ3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31" s="2" t="e">
        <f ca="1">_xll.BDH($C$28,"NET_DEBT_TO_EBIT","FQ3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31" s="2" t="e">
        <f ca="1">_xll.BDH($C$28,"EBITDA_TO_INTEREST_EXPN","FQ3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31" s="2" t="e">
        <f ca="1">_xll.BDH($C$28,"COM_EQY_TO_TOT_ASSET","FQ3 2014","FQ3 2014","Currency=INR","Period=FQ","BEST_FPERIOD_OVERRIDE=FQ","FILING_STATUS=OR","EQY_CONSOLIDATED=Y","Sort=A","Dates=H","DateFormat=P","Fill=—","Direction=H","UseDPDF=Y")</f>
        <v>#NAME?</v>
      </c>
      <c r="CH31" s="2" t="e">
        <f ca="1">_xll.BDH($C$28,"LT_DEBT_TO_TOT_EQY","FQ3 2014","FQ3 2014","Currency=INR","Period=FQ","BEST_FPERIOD_OVERRIDE=FQ","FILING_STATUS=OR","EQY_CONSOLIDATED=Y","Sort=A","Dates=H","DateFormat=P","Fill=—","Direction=H","UseDPDF=Y")</f>
        <v>#NAME?</v>
      </c>
      <c r="CI31" s="2" t="e">
        <f ca="1">_xll.BDH($C$28,"LT_DEBT_TO_TOT_CAP","FQ3 2014","FQ3 2014","Currency=INR","Period=FQ","BEST_FPERIOD_OVERRIDE=FQ","FILING_STATUS=OR","EQY_CONSOLIDATED=Y","Sort=A","Dates=H","DateFormat=P","Fill=—","Direction=H","UseDPDF=Y")</f>
        <v>#NAME?</v>
      </c>
      <c r="CJ31" s="2" t="e">
        <f ca="1">_xll.BDH($C$28,"LT_DEBT_TO_TOT_ASSET","FQ3 2014","FQ3 2014","Currency=INR","Period=FQ","BEST_FPERIOD_OVERRIDE=FQ","FILING_STATUS=OR","EQY_CONSOLIDATED=Y","Sort=A","Dates=H","DateFormat=P","Fill=—","Direction=H","UseDPDF=Y")</f>
        <v>#NAME?</v>
      </c>
      <c r="CK31" s="2" t="e">
        <f ca="1">_xll.BDH($C$28,"TOT_DEBT_TO_TOT_EQY","FQ3 2014","FQ3 2014","Currency=INR","Period=FQ","BEST_FPERIOD_OVERRIDE=FQ","FILING_STATUS=OR","EQY_CONSOLIDATED=Y","Sort=A","Dates=H","DateFormat=P","Fill=—","Direction=H","UseDPDF=Y")</f>
        <v>#NAME?</v>
      </c>
      <c r="CL31" s="2" t="e">
        <f ca="1">_xll.BDH($C$28,"TOT_DEBT_TO_TOT_CAP","FQ3 2014","FQ3 2014","Currency=INR","Period=FQ","BEST_FPERIOD_OVERRIDE=FQ","FILING_STATUS=OR","EQY_CONSOLIDATED=Y","Sort=A","Dates=H","DateFormat=P","Fill=—","Direction=H","UseDPDF=Y")</f>
        <v>#NAME?</v>
      </c>
      <c r="CM31" s="2" t="e">
        <f ca="1">_xll.BDH($C$28,"TOT_DEBT_TO_TOT_ASSET","FQ3 2014","FQ3 2014","Currency=INR","Period=FQ","BEST_FPERIOD_OVERRIDE=FQ","FILING_STATUS=OR","EQY_CONSOLIDATED=Y","Sort=A","Dates=H","DateFormat=P","Fill=—","Direction=H","UseDPDF=Y")</f>
        <v>#NAME?</v>
      </c>
      <c r="CN31" s="2" t="e">
        <f ca="1">_xll.BDH($C$28,"NET_DEBT_TO_SHRHLDR_EQTY","FQ3 2014","FQ3 2014","Currency=INR","Period=FQ","BEST_FPERIOD_OVERRIDE=FQ","FILING_STATUS=OR","EQY_CONSOLIDATED=Y","Sort=A","Dates=H","DateFormat=P","Fill=—","Direction=H","UseDPDF=Y")</f>
        <v>#NAME?</v>
      </c>
      <c r="CO31" s="2" t="e">
        <f ca="1">_xll.BDH($C$28,"NET_DEBT_%_CAPITAL","FQ3 2014","FQ3 2014","Currency=INR","Period=FQ","BEST_FPERIOD_OVERRIDE=FQ","FILING_STATUS=OR","EQY_CONSOLIDATED=Y","Sort=A","Dates=H","DateFormat=P","Fill=—","Direction=H","UseDPDF=Y")</f>
        <v>#NAME?</v>
      </c>
      <c r="CP31" s="3" t="e">
        <f ca="1">_xll.BDH($C$28,"EBITDA","FQ3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31" s="3" t="e">
        <f ca="1">_xll.BDH($C$28,"EBITDA_AFTER_CAPEX","FQ3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31" s="3" t="e">
        <f ca="1">_xll.BDH($C$28,"IS_OPER_INC","FQ3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31" s="2" t="e">
        <f ca="1">_xll.BDH($C$28,"CASH_RATIO","FQ3 2014","FQ3 2014","Currency=INR","Period=FQ","BEST_FPERIOD_OVERRIDE=FQ","FILING_STATUS=OR","EQY_CONSOLIDATED=Y","Sort=A","Dates=H","DateFormat=P","Fill=—","Direction=H","UseDPDF=Y")</f>
        <v>#NAME?</v>
      </c>
      <c r="CT31" s="2" t="e">
        <f ca="1">_xll.BDH($C$28,"CUR_RATIO","FQ3 2014","FQ3 2014","Currency=INR","Period=FQ","BEST_FPERIOD_OVERRIDE=FQ","FILING_STATUS=OR","EQY_CONSOLIDATED=Y","Sort=A","Dates=H","DateFormat=P","Fill=—","Direction=H","UseDPDF=Y")</f>
        <v>#NAME?</v>
      </c>
      <c r="CU31" s="2" t="e">
        <f ca="1">_xll.BDH($C$28,"QUICK_RATIO","FQ3 2014","FQ3 2014","Currency=INR","Period=FQ","BEST_FPERIOD_OVERRIDE=FQ","FILING_STATUS=OR","EQY_CONSOLIDATED=Y","Sort=A","Dates=H","DateFormat=P","Fill=—","Direction=H","UseDPDF=Y")</f>
        <v>#NAME?</v>
      </c>
      <c r="CV31" s="2" t="e">
        <f ca="1">_xll.BDH($C$28,"ALTMAN_Z_SCORE","FQ3 2014","FQ3 2014","Currency=INR","Period=FQ","BEST_FPERIOD_OVERRIDE=FQ","FILING_STATUS=OR","EQY_CONSOLIDATED=Y","Sort=A","Dates=H","DateFormat=P","Fill=—","Direction=H","UseDPDF=Y")</f>
        <v>#NAME?</v>
      </c>
      <c r="CW31" s="4" t="e">
        <f ca="1">_xll.BDH($C$28,"ACCT_RCV_TURN","FQ3 2014","FQ3 2014","Currency=INR","Period=FQ","BEST_FPERIOD_OVERRIDE=FQ","FILING_STATUS=OR","EQY_CONSOLIDATED=Y","FA_ADJUSTED=GAAP","Sort=A","Dates=H","DateFormat=P","Fill=—","Direction=H","UseDPDF=Y")</f>
        <v>#NAME?</v>
      </c>
      <c r="CX31" s="2" t="e">
        <f ca="1">_xll.BDH($C$28,"ACCT_RCV_DAYS","FQ3 2014","FQ3 2014","Currency=INR","Period=FQ","BEST_FPERIOD_OVERRIDE=FQ","FILING_STATUS=OR","EQY_CONSOLIDATED=Y","FA_ADJUSTED=GAAP","Sort=A","Dates=H","DateFormat=P","Fill=—","Direction=H","UseDPDF=Y")</f>
        <v>#NAME?</v>
      </c>
      <c r="CY31" s="4" t="e">
        <f ca="1">_xll.BDH($C$28,"INVENT_TURN","FQ3 2014","FQ3 2014","Currency=INR","Period=FQ","BEST_FPERIOD_OVERRIDE=FQ","FILING_STATUS=OR","EQY_CONSOLIDATED=Y","FA_ADJUSTED=GAAP","Sort=A","Dates=H","DateFormat=P","Fill=—","Direction=H","UseDPDF=Y")</f>
        <v>#NAME?</v>
      </c>
      <c r="CZ31" s="2" t="e">
        <f ca="1">_xll.BDH($C$28,"INVENT_DAYS","FQ3 2014","FQ3 2014","Currency=INR","Period=FQ","BEST_FPERIOD_OVERRIDE=FQ","FILING_STATUS=OR","EQY_CONSOLIDATED=Y","FA_ADJUSTED=GAAP","Sort=A","Dates=H","DateFormat=P","Fill=—","Direction=H","UseDPDF=Y")</f>
        <v>#NAME?</v>
      </c>
      <c r="DA31" s="4" t="e">
        <f ca="1">_xll.BDH($C$28,"ACCOUNTS_PAYABLE_TURNOVER","FQ3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31" s="2" t="e">
        <f ca="1">_xll.BDH($C$28,"ACCOUNTS_PAYABLE_TURNOVER_DAYS","FQ3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31" s="4" t="e">
        <f ca="1">_xll.BDH($C$28,"CASH_CONVERSION_CYCLE","FQ3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31" s="4" t="e">
        <f ca="1">_xll.BDH($C$28,"INV_TO_CASH_DAYS","FQ3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31" s="5" t="e">
        <f ca="1">_xll.BDH($C$28,"BS_INVENTORIES","FQ3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31" s="3" t="e">
        <f ca="1">_xll.BDH($C$28,"INVTRY_RAW_MATERIALS","FQ3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31" s="3" t="e">
        <f ca="1">_xll.BDH($C$28,"INVTRY_IN_PROGRESS","FQ3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31" s="3" t="e">
        <f ca="1">_xll.BDH($C$28,"INVTRY_FINISHED_GOODS","FQ3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31" s="3" t="e">
        <f ca="1">_xll.BDH($C$28,"BS_OTHER_INV","FQ3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32" spans="1:113" x14ac:dyDescent="0.3">
      <c r="A32" s="6"/>
      <c r="B32" s="6"/>
      <c r="C32" s="6"/>
      <c r="D32" s="6"/>
      <c r="E32" t="s">
        <v>81</v>
      </c>
      <c r="F32" t="e">
        <f ca="1">_xll.BDH($C$28,"RETURN_COM_EQY","FQ4 2014","FQ4 2014","Currency=INR","Period=FQ","BEST_FPERIOD_OVERRIDE=FQ","FILING_STATUS=OR","EQY_CONSOLIDATED=Y","FA_ADJUSTED=GAAP","Sort=A","Dates=H","DateFormat=P","Fill=—","Direction=H","UseDPDF=Y")</f>
        <v>#NAME?</v>
      </c>
      <c r="G32" t="e">
        <f ca="1">_xll.BDH($C$28,"RETURN_ON_ASSET","FQ4 2014","FQ4 2014","Currency=INR","Period=FQ","BEST_FPERIOD_OVERRIDE=FQ","FILING_STATUS=OR","EQY_CONSOLIDATED=Y","FA_ADJUSTED=GAAP","Sort=A","Dates=H","DateFormat=P","Fill=—","Direction=H","UseDPDF=Y")</f>
        <v>#NAME?</v>
      </c>
      <c r="H32" t="e">
        <f ca="1">_xll.BDH($C$28,"RETURN_ON_CAP","FQ4 2014","FQ4 2014","Currency=INR","Period=FQ","BEST_FPERIOD_OVERRIDE=FQ","FILING_STATUS=OR","EQY_CONSOLIDATED=Y","FA_ADJUSTED=GAAP","Sort=A","Dates=H","DateFormat=P","Fill=—","Direction=H","UseDPDF=Y")</f>
        <v>#NAME?</v>
      </c>
      <c r="I32" t="e">
        <f ca="1">_xll.BDH($C$28,"RETURN_ON_INV_CAPITAL","FQ4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32" t="e">
        <f ca="1">_xll.BDH($C$28,"EBITDA_TO_REVENUE","FQ4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32" t="e">
        <f ca="1">_xll.BDH($C$28,"OPER_MARGIN","FQ4 2014","FQ4 2014","Currency=INR","Period=FQ","BEST_FPERIOD_OVERRIDE=FQ","FILING_STATUS=OR","EQY_CONSOLIDATED=Y","FA_ADJUSTED=GAAP","Sort=A","Dates=H","DateFormat=P","Fill=—","Direction=H","UseDPDF=Y")</f>
        <v>#NAME?</v>
      </c>
      <c r="L32" t="e">
        <f ca="1">_xll.BDH($C$28,"INCREMENTAL_OPERATING_MARGIN","FQ4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32" t="e">
        <f ca="1">_xll.BDH($C$28,"PRETAX_INC_TO_NET_SALES","FQ4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32" t="e">
        <f ca="1">_xll.BDH($C$28,"INC_BEF_XO_ITEMS_TO_NET_SALES","FQ4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32" t="e">
        <f ca="1">_xll.BDH($C$28,"PROF_MARGIN","FQ4 2014","FQ4 2014","Currency=INR","Period=FQ","BEST_FPERIOD_OVERRIDE=FQ","FILING_STATUS=OR","EQY_CONSOLIDATED=Y","FA_ADJUSTED=GAAP","Sort=A","Dates=H","DateFormat=P","Fill=—","Direction=H","UseDPDF=Y")</f>
        <v>#NAME?</v>
      </c>
      <c r="P32" t="e">
        <f ca="1">_xll.BDH($C$28,"NET_INCOME_TO_COMMON_MARGIN","FQ4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32" t="e">
        <f ca="1">_xll.BDH($C$28,"EFF_TAX_RATE","FQ4 2014","FQ4 2014","Currency=INR","Period=FQ","BEST_FPERIOD_OVERRIDE=FQ","FILING_STATUS=OR","EQY_CONSOLIDATED=Y","FA_ADJUSTED=GAAP","Sort=A","Dates=H","DateFormat=P","Fill=—","Direction=H","UseDPDF=Y")</f>
        <v>#NAME?</v>
      </c>
      <c r="R32" t="e">
        <f ca="1">_xll.BDH($C$28,"DVD_PAYOUT_RATIO","FQ4 2014","FQ4 2014","Currency=INR","Period=FQ","BEST_FPERIOD_OVERRIDE=FQ","FILING_STATUS=OR","EQY_CONSOLIDATED=Y","FA_ADJUSTED=GAAP","Sort=A","Dates=H","DateFormat=P","Fill=—","Direction=H","UseDPDF=Y")</f>
        <v>#NAME?</v>
      </c>
      <c r="S32" t="e">
        <f ca="1">_xll.BDH($C$28,"SUSTAIN_GROWTH_RT","FQ4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32" s="2" t="e">
        <f ca="1">_xll.BDH($C$28,"SALES_GROWTH","FQ4 2014","FQ4 2014","Currency=INR","Period=FQ","BEST_FPERIOD_OVERRIDE=FQ","FILING_STATUS=OR","EQY_CONSOLIDATED=Y","FA_ADJUSTED=GAAP","Sort=A","Dates=H","DateFormat=P","Fill=—","Direction=H","UseDPDF=Y")</f>
        <v>#NAME?</v>
      </c>
      <c r="U32" s="2" t="e">
        <f ca="1">_xll.BDH($C$28,"EBITDA_GROWTH","FQ4 2014","FQ4 2014","Currency=INR","Period=FQ","BEST_FPERIOD_OVERRIDE=FQ","FILING_STATUS=OR","EQY_CONSOLIDATED=Y","FA_ADJUSTED=GAAP","Sort=A","Dates=H","DateFormat=P","Fill=—","Direction=H","UseDPDF=Y")</f>
        <v>#NAME?</v>
      </c>
      <c r="V32" s="2" t="e">
        <f ca="1">_xll.BDH($C$28,"OPER_INC_GROWTH","FQ4 2014","FQ4 2014","Currency=INR","Period=FQ","BEST_FPERIOD_OVERRIDE=FQ","FILING_STATUS=OR","EQY_CONSOLIDATED=Y","FA_ADJUSTED=GAAP","Sort=A","Dates=H","DateFormat=P","Fill=—","Direction=H","UseDPDF=Y")</f>
        <v>#NAME?</v>
      </c>
      <c r="W32" s="2" t="e">
        <f ca="1">_xll.BDH($C$28,"EARN_FOR_COM_GROWTH","FQ4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32" s="2" t="e">
        <f ca="1">_xll.BDH($C$28,"DILUTED_EPS_AFT_XO_ITEMS_GROWTH","FQ4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32" s="2" t="e">
        <f ca="1">_xll.BDH($C$28,"DIVIDEND_PER_SHARE_1_YEAR_GROWTH","FQ4 2014","FQ4 2014","Currency=INR","Period=FQ","BEST_FPERIOD_OVERRIDE=FQ","FILING_STATUS=OR","EQY_CONSOLIDATED=Y","Sort=A","Dates=H","DateFormat=P","Fill=—","Direction=H","UseDPDF=Y")</f>
        <v>#NAME?</v>
      </c>
      <c r="Z32" s="2" t="e">
        <f ca="1">_xll.BDH($C$28,"ACCOUNTS_RECEIVABLE_GROWTH","FQ4 2014","FQ4 2014","Currency=INR","Period=FQ","BEST_FPERIOD_OVERRIDE=FQ","FILING_STATUS=OR","EQY_CONSOLIDATED=Y","Sort=A","Dates=H","DateFormat=P","Fill=—","Direction=H","UseDPDF=Y")</f>
        <v>#NAME?</v>
      </c>
      <c r="AA32" s="2" t="e">
        <f ca="1">_xll.BDH($C$28,"INVENTORY_GROWTH","FQ4 2014","FQ4 2014","Currency=INR","Period=FQ","BEST_FPERIOD_OVERRIDE=FQ","FILING_STATUS=OR","EQY_CONSOLIDATED=Y","Sort=A","Dates=H","DateFormat=P","Fill=—","Direction=H","UseDPDF=Y")</f>
        <v>#NAME?</v>
      </c>
      <c r="AB32" s="2" t="e">
        <f ca="1">_xll.BDH($C$28,"NET_FIXED_ASSETS_1_YEAR_GROWTH","FQ4 2014","FQ4 2014","Currency=INR","Period=FQ","BEST_FPERIOD_OVERRIDE=FQ","FILING_STATUS=OR","EQY_CONSOLIDATED=Y","Sort=A","Dates=H","DateFormat=P","Fill=—","Direction=H","UseDPDF=Y")</f>
        <v>#NAME?</v>
      </c>
      <c r="AC32" s="2" t="e">
        <f ca="1">_xll.BDH($C$28,"ASSET_GROWTH","FQ4 2014","FQ4 2014","Currency=INR","Period=FQ","BEST_FPERIOD_OVERRIDE=FQ","FILING_STATUS=OR","EQY_CONSOLIDATED=Y","Sort=A","Dates=H","DateFormat=P","Fill=—","Direction=H","UseDPDF=Y")</f>
        <v>#NAME?</v>
      </c>
      <c r="AD32" s="2" t="e">
        <f ca="1">_xll.BDH($C$28,"MODIFIED_WORK_CAP_GROWTH","FQ4 2014","FQ4 2014","Currency=INR","Period=FQ","BEST_FPERIOD_OVERRIDE=FQ","FILING_STATUS=OR","EQY_CONSOLIDATED=Y","Sort=A","Dates=H","DateFormat=P","Fill=—","Direction=H","UseDPDF=Y")</f>
        <v>#NAME?</v>
      </c>
      <c r="AE32" s="2" t="e">
        <f ca="1">_xll.BDH($C$28,"WORK_CAP_GROWTH","FQ4 2014","FQ4 2014","Currency=INR","Period=FQ","BEST_FPERIOD_OVERRIDE=FQ","FILING_STATUS=OR","EQY_CONSOLIDATED=Y","Sort=A","Dates=H","DateFormat=P","Fill=—","Direction=H","UseDPDF=Y")</f>
        <v>#NAME?</v>
      </c>
      <c r="AF32" s="2" t="e">
        <f ca="1">_xll.BDH($C$28,"ACCOUNTS_PAYABLE_GROWTH_1YR","FQ4 2014","FQ4 2014","Currency=INR","Period=FQ","BEST_FPERIOD_OVERRIDE=FQ","FILING_STATUS=OR","EQY_CONSOLIDATED=Y","Sort=A","Dates=H","DateFormat=P","Fill=—","Direction=H","UseDPDF=Y")</f>
        <v>#NAME?</v>
      </c>
      <c r="AG32" s="2" t="e">
        <f ca="1">_xll.BDH($C$28,"SHORT_TERM_DEBT_1_YEAR_GROWTH","FQ4 2014","FQ4 2014","Currency=INR","Period=FQ","BEST_FPERIOD_OVERRIDE=FQ","FILING_STATUS=OR","EQY_CONSOLIDATED=Y","Sort=A","Dates=H","DateFormat=P","Fill=—","Direction=H","UseDPDF=Y")</f>
        <v>#NAME?</v>
      </c>
      <c r="AH32" s="2" t="e">
        <f ca="1">_xll.BDH($C$28,"TOTAL_DEBT_1_YEAR_GROWTH","FQ4 2014","FQ4 2014","Currency=INR","Period=FQ","BEST_FPERIOD_OVERRIDE=FQ","FILING_STATUS=OR","EQY_CONSOLIDATED=Y","Sort=A","Dates=H","DateFormat=P","Fill=—","Direction=H","UseDPDF=Y")</f>
        <v>#NAME?</v>
      </c>
      <c r="AI32" s="2" t="e">
        <f ca="1">_xll.BDH($C$28,"TOTAL_EQUITY_1_YEAR_GROWTH","FQ4 2014","FQ4 2014","Currency=INR","Period=FQ","BEST_FPERIOD_OVERRIDE=FQ","FILING_STATUS=OR","EQY_CONSOLIDATED=Y","Sort=A","Dates=H","DateFormat=P","Fill=—","Direction=H","UseDPDF=Y")</f>
        <v>#NAME?</v>
      </c>
      <c r="AJ32" s="2" t="e">
        <f ca="1">_xll.BDH($C$28,"GROWTH_IN_CAP","FQ4 2014","FQ4 2014","Currency=INR","Period=FQ","BEST_FPERIOD_OVERRIDE=FQ","FILING_STATUS=OR","EQY_CONSOLIDATED=Y","Sort=A","Dates=H","DateFormat=P","Fill=—","Direction=H","UseDPDF=Y")</f>
        <v>#NAME?</v>
      </c>
      <c r="AK32" s="2" t="e">
        <f ca="1">_xll.BDH($C$28,"BVPS_GROWTH","FQ4 2014","FQ4 2014","Currency=INR","Period=FQ","BEST_FPERIOD_OVERRIDE=FQ","FILING_STATUS=OR","EQY_CONSOLIDATED=Y","Sort=A","Dates=H","DateFormat=P","Fill=—","Direction=H","UseDPDF=Y")</f>
        <v>#NAME?</v>
      </c>
      <c r="AL32" s="2" t="e">
        <f ca="1">_xll.BDH($C$28,"CASH_FLOW_GROWTH","FQ4 2014","FQ4 2014","Currency=INR","Period=FQ","BEST_FPERIOD_OVERRIDE=FQ","FILING_STATUS=OR","EQY_CONSOLIDATED=Y","Sort=A","Dates=H","DateFormat=P","Fill=—","Direction=H","UseDPDF=Y")</f>
        <v>#NAME?</v>
      </c>
      <c r="AM32" s="2" t="e">
        <f ca="1">_xll.BDH($C$28,"GEO_GROW_NET_SALES","FQ4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32" s="2" t="e">
        <f ca="1">_xll.BDH($C$28,"GEO_GROW_EBITDA","FQ4 2014","FQ4 2014","Currency=INR","Period=FQ","BEST_FPERIOD_OVERRIDE=FQ","FILING_STATUS=OR","EQY_CONSOLIDATED=Y","FA_ADJUSTED=GAAP","Sort=A","Dates=H","DateFormat=P","Fill=—","Direction=H","UseDPDF=Y")</f>
        <v>#NAME?</v>
      </c>
      <c r="AO32" s="2" t="e">
        <f ca="1">_xll.BDH($C$28,"GEO_GROW_OPER_INC","FQ4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32" s="2" t="e">
        <f ca="1">_xll.BDH($C$28,"NET_INCOME_TO_COMMON_5_YR_GROWTH","FQ4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32" s="2" t="e">
        <f ca="1">_xll.BDH($C$28,"5Y_GEO_GROWTH_DILUTED_EPS","FQ4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32" s="2" t="e">
        <f ca="1">_xll.BDH($C$28,"GEO_GROW_DVD_PER_SH","FQ4 2014","FQ4 2014","Currency=INR","Period=FQ","BEST_FPERIOD_OVERRIDE=FQ","FILING_STATUS=OR","EQY_CONSOLIDATED=Y","Sort=A","Dates=H","DateFormat=P","Fill=—","Direction=H","UseDPDF=Y")</f>
        <v>#NAME?</v>
      </c>
      <c r="AS32" s="2" t="e">
        <f ca="1">_xll.BDH($C$28,"ACCOUNTS_RECEIVABLE_5_YR_GROWTH","FQ4 2014","FQ4 2014","Currency=INR","Period=FQ","BEST_FPERIOD_OVERRIDE=FQ","FILING_STATUS=OR","EQY_CONSOLIDATED=Y","Sort=A","Dates=H","DateFormat=P","Fill=—","Direction=H","UseDPDF=Y")</f>
        <v>#NAME?</v>
      </c>
      <c r="AT32" s="2" t="e">
        <f ca="1">_xll.BDH($C$28,"INVENTORY_5_YEAR_GROWTH","FQ4 2014","FQ4 2014","Currency=INR","Period=FQ","BEST_FPERIOD_OVERRIDE=FQ","FILING_STATUS=OR","EQY_CONSOLIDATED=Y","Sort=A","Dates=H","DateFormat=P","Fill=—","Direction=H","UseDPDF=Y")</f>
        <v>#NAME?</v>
      </c>
      <c r="AU32" s="2" t="e">
        <f ca="1">_xll.BDH($C$28,"NET_FIXED_ASSETS_5_YEAR_GROWTH","FQ4 2014","FQ4 2014","Currency=INR","Period=FQ","BEST_FPERIOD_OVERRIDE=FQ","FILING_STATUS=OR","EQY_CONSOLIDATED=Y","Sort=A","Dates=H","DateFormat=P","Fill=—","Direction=H","UseDPDF=Y")</f>
        <v>#NAME?</v>
      </c>
      <c r="AV32" s="2" t="e">
        <f ca="1">_xll.BDH($C$28,"GEO_GROW_TOT_ASSET","FQ4 2014","FQ4 2014","Currency=INR","Period=FQ","BEST_FPERIOD_OVERRIDE=FQ","FILING_STATUS=OR","EQY_CONSOLIDATED=Y","Sort=A","Dates=H","DateFormat=P","Fill=—","Direction=H","UseDPDF=Y")</f>
        <v>#NAME?</v>
      </c>
      <c r="AW32" s="2" t="e">
        <f ca="1">_xll.BDH($C$28,"MODIFIED_WORKING_CPTL_5YR_GRWTH","FQ4 2014","FQ4 2014","Currency=INR","Period=FQ","BEST_FPERIOD_OVERRIDE=FQ","FILING_STATUS=OR","EQY_CONSOLIDATED=Y","Sort=A","Dates=H","DateFormat=P","Fill=—","Direction=H","UseDPDF=Y")</f>
        <v>#NAME?</v>
      </c>
      <c r="AX32" s="2" t="e">
        <f ca="1">_xll.BDH($C$28,"WORKING_CAPITAL_5_YEAR_GROWTH","FQ4 2014","FQ4 2014","Currency=INR","Period=FQ","BEST_FPERIOD_OVERRIDE=FQ","FILING_STATUS=OR","EQY_CONSOLIDATED=Y","Sort=A","Dates=H","DateFormat=P","Fill=—","Direction=H","UseDPDF=Y")</f>
        <v>#NAME?</v>
      </c>
      <c r="AY32" s="2" t="e">
        <f ca="1">_xll.BDH($C$28,"ACCOUNTS_PAYABLE_5_YEAR_GROWTH","FQ4 2014","FQ4 2014","Currency=INR","Period=FQ","BEST_FPERIOD_OVERRIDE=FQ","FILING_STATUS=OR","EQY_CONSOLIDATED=Y","Sort=A","Dates=H","DateFormat=P","Fill=—","Direction=H","UseDPDF=Y")</f>
        <v>#NAME?</v>
      </c>
      <c r="AZ32" s="2" t="e">
        <f ca="1">_xll.BDH($C$28,"SHORT_TERM_DEBT_5_YEAR_GROWTH","FQ4 2014","FQ4 2014","Currency=INR","Period=FQ","BEST_FPERIOD_OVERRIDE=FQ","FILING_STATUS=OR","EQY_CONSOLIDATED=Y","Sort=A","Dates=H","DateFormat=P","Fill=—","Direction=H","UseDPDF=Y")</f>
        <v>#NAME?</v>
      </c>
      <c r="BA32" s="2" t="e">
        <f ca="1">_xll.BDH($C$28,"TOTAL_DEBT_5_YEAR_GROWTH","FQ4 2014","FQ4 2014","Currency=INR","Period=FQ","BEST_FPERIOD_OVERRIDE=FQ","FILING_STATUS=OR","EQY_CONSOLIDATED=Y","Sort=A","Dates=H","DateFormat=P","Fill=—","Direction=H","UseDPDF=Y")</f>
        <v>#NAME?</v>
      </c>
      <c r="BB32" s="2" t="e">
        <f ca="1">_xll.BDH($C$28,"GEO_GROW_TOT_SHRHLDR_EQY","FQ4 2014","FQ4 2014","Currency=INR","Period=FQ","BEST_FPERIOD_OVERRIDE=FQ","FILING_STATUS=OR","EQY_CONSOLIDATED=Y","Sort=A","Dates=H","DateFormat=P","Fill=—","Direction=H","UseDPDF=Y")</f>
        <v>#NAME?</v>
      </c>
      <c r="BC32" s="2" t="e">
        <f ca="1">_xll.BDH($C$28,"TOTAL_CAPITAL_5_YEAR_GROWTH","FQ4 2014","FQ4 2014","Currency=INR","Period=FQ","BEST_FPERIOD_OVERRIDE=FQ","FILING_STATUS=OR","EQY_CONSOLIDATED=Y","Sort=A","Dates=H","DateFormat=P","Fill=—","Direction=H","UseDPDF=Y")</f>
        <v>#NAME?</v>
      </c>
      <c r="BD32" s="2" t="e">
        <f ca="1">_xll.BDH($C$28,"GEO_GROW_BOOK_VAL","FQ4 2014","FQ4 2014","Currency=INR","Period=FQ","BEST_FPERIOD_OVERRIDE=FQ","FILING_STATUS=OR","EQY_CONSOLIDATED=Y","Sort=A","Dates=H","DateFormat=P","Fill=—","Direction=H","UseDPDF=Y")</f>
        <v>#NAME?</v>
      </c>
      <c r="BE32" s="2" t="e">
        <f ca="1">_xll.BDH($C$28,"GEO_GROW_CASH_OPER_ACT","FQ4 2014","FQ4 2014","Currency=INR","Period=FQ","BEST_FPERIOD_OVERRIDE=FQ","FILING_STATUS=OR","EQY_CONSOLIDATED=Y","Sort=A","Dates=H","DateFormat=P","Fill=—","Direction=H","UseDPDF=Y")</f>
        <v>#NAME?</v>
      </c>
      <c r="BF32" s="2" t="e">
        <f ca="1">_xll.BDH($C$28,"REVENUE_SEQUENTIAL_GROWTH","FQ4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32" s="2" t="e">
        <f ca="1">_xll.BDH($C$28,"EBITDA_SEQUENTIAL_GROWTH","FQ4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32" s="2" t="e">
        <f ca="1">_xll.BDH($C$28,"OPERATING_INCOME_SEQ_GROWTH","FQ4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32" s="2" t="e">
        <f ca="1">_xll.BDH($C$28,"NET_INCOME_TO_COMMON_SEQ_GROWTH","FQ4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32" s="2" t="e">
        <f ca="1">_xll.BDH($C$28,"EPS_DILUTED_SEQUENTIAL_GROWTH","FQ4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32" s="2" t="e">
        <f ca="1">_xll.BDH($C$28,"DPS_SEQUENTIAL_GROWTH","FQ4 2014","FQ4 2014","Currency=INR","Period=FQ","BEST_FPERIOD_OVERRIDE=FQ","FILING_STATUS=OR","EQY_CONSOLIDATED=Y","Sort=A","Dates=H","DateFormat=P","Fill=—","Direction=H","UseDPDF=Y")</f>
        <v>#NAME?</v>
      </c>
      <c r="BL32" s="2" t="e">
        <f ca="1">_xll.BDH($C$28,"ACCOUNTS_RECEIVABLE_SEQ_GROWTH","FQ4 2014","FQ4 2014","Currency=INR","Period=FQ","BEST_FPERIOD_OVERRIDE=FQ","FILING_STATUS=OR","EQY_CONSOLIDATED=Y","Sort=A","Dates=H","DateFormat=P","Fill=—","Direction=H","UseDPDF=Y")</f>
        <v>#NAME?</v>
      </c>
      <c r="BM32" s="2" t="e">
        <f ca="1">_xll.BDH($C$28,"INVENTORY_SEQUENTIAL_GROWTH","FQ4 2014","FQ4 2014","Currency=INR","Period=FQ","BEST_FPERIOD_OVERRIDE=FQ","FILING_STATUS=OR","EQY_CONSOLIDATED=Y","Sort=A","Dates=H","DateFormat=P","Fill=—","Direction=H","UseDPDF=Y")</f>
        <v>#NAME?</v>
      </c>
      <c r="BN32" s="2" t="e">
        <f ca="1">_xll.BDH($C$28,"FIXED_ASSETS_SEQUENTIAL_GROWTH","FQ4 2014","FQ4 2014","Currency=INR","Period=FQ","BEST_FPERIOD_OVERRIDE=FQ","FILING_STATUS=OR","EQY_CONSOLIDATED=Y","Sort=A","Dates=H","DateFormat=P","Fill=—","Direction=H","UseDPDF=Y")</f>
        <v>#NAME?</v>
      </c>
      <c r="BO32" s="2" t="e">
        <f ca="1">_xll.BDH($C$28,"TOTAL_ASSETS_SEQUENTIAL_GROWTH","FQ4 2014","FQ4 2014","Currency=INR","Period=FQ","BEST_FPERIOD_OVERRIDE=FQ","FILING_STATUS=OR","EQY_CONSOLIDATED=Y","Sort=A","Dates=H","DateFormat=P","Fill=—","Direction=H","UseDPDF=Y")</f>
        <v>#NAME?</v>
      </c>
      <c r="BP32" s="2" t="e">
        <f ca="1">_xll.BDH($C$28,"MODIFIED_WORKING_CPTL_SEQ_GRWTH","FQ4 2014","FQ4 2014","Currency=INR","Period=FQ","BEST_FPERIOD_OVERRIDE=FQ","FILING_STATUS=OR","EQY_CONSOLIDATED=Y","Sort=A","Dates=H","DateFormat=P","Fill=—","Direction=H","UseDPDF=Y")</f>
        <v>#NAME?</v>
      </c>
      <c r="BQ32" s="2" t="e">
        <f ca="1">_xll.BDH($C$28,"WORKING_CAPITAL_SEQ_GROWTH","FQ4 2014","FQ4 2014","Currency=INR","Period=FQ","BEST_FPERIOD_OVERRIDE=FQ","FILING_STATUS=OR","EQY_CONSOLIDATED=Y","Sort=A","Dates=H","DateFormat=P","Fill=—","Direction=H","UseDPDF=Y")</f>
        <v>#NAME?</v>
      </c>
      <c r="BR32" s="2" t="e">
        <f ca="1">_xll.BDH($C$28,"ACCOUNTS_PAYABLE_SEQ_GROWTH","FQ4 2014","FQ4 2014","Currency=INR","Period=FQ","BEST_FPERIOD_OVERRIDE=FQ","FILING_STATUS=OR","EQY_CONSOLIDATED=Y","Sort=A","Dates=H","DateFormat=P","Fill=—","Direction=H","UseDPDF=Y")</f>
        <v>#NAME?</v>
      </c>
      <c r="BS32" s="2" t="e">
        <f ca="1">_xll.BDH($C$28,"ST_DEBT_SEQUENTIAL_GROWTH","FQ4 2014","FQ4 2014","Currency=INR","Period=FQ","BEST_FPERIOD_OVERRIDE=FQ","FILING_STATUS=OR","EQY_CONSOLIDATED=Y","Sort=A","Dates=H","DateFormat=P","Fill=—","Direction=H","UseDPDF=Y")</f>
        <v>#NAME?</v>
      </c>
      <c r="BT32" s="2" t="e">
        <f ca="1">_xll.BDH($C$28,"TOTAL_DEBT_SEQUENTIAL_GROWTH","FQ4 2014","FQ4 2014","Currency=INR","Period=FQ","BEST_FPERIOD_OVERRIDE=FQ","FILING_STATUS=OR","EQY_CONSOLIDATED=Y","Sort=A","Dates=H","DateFormat=P","Fill=—","Direction=H","UseDPDF=Y")</f>
        <v>#NAME?</v>
      </c>
      <c r="BU32" s="2" t="e">
        <f ca="1">_xll.BDH($C$28,"TOTAL_EQUITY_SEQUENTIAL_GROWTH","FQ4 2014","FQ4 2014","Currency=INR","Period=FQ","BEST_FPERIOD_OVERRIDE=FQ","FILING_STATUS=OR","EQY_CONSOLIDATED=Y","Sort=A","Dates=H","DateFormat=P","Fill=—","Direction=H","UseDPDF=Y")</f>
        <v>#NAME?</v>
      </c>
      <c r="BV32" s="2" t="e">
        <f ca="1">_xll.BDH($C$28,"TOTAL_CAPITAL_SEQUENTIAL_GROWTH","FQ4 2014","FQ4 2014","Currency=INR","Period=FQ","BEST_FPERIOD_OVERRIDE=FQ","FILING_STATUS=OR","EQY_CONSOLIDATED=Y","Sort=A","Dates=H","DateFormat=P","Fill=—","Direction=H","UseDPDF=Y")</f>
        <v>#NAME?</v>
      </c>
      <c r="BW32" s="2" t="e">
        <f ca="1">_xll.BDH($C$28,"BPS_SEQUENTIAL_GROWTH","FQ4 2014","FQ4 2014","Currency=INR","Period=FQ","BEST_FPERIOD_OVERRIDE=FQ","FILING_STATUS=OR","EQY_CONSOLIDATED=Y","Sort=A","Dates=H","DateFormat=P","Fill=—","Direction=H","UseDPDF=Y")</f>
        <v>#NAME?</v>
      </c>
      <c r="BX32" s="2" t="e">
        <f ca="1">_xll.BDH($C$28,"CFO_SEQUENTIAL_GROWTH","FQ4 2014","FQ4 2014","Currency=INR","Period=FQ","BEST_FPERIOD_OVERRIDE=FQ","FILING_STATUS=OR","EQY_CONSOLIDATED=Y","Sort=A","Dates=H","DateFormat=P","Fill=—","Direction=H","UseDPDF=Y")</f>
        <v>#NAME?</v>
      </c>
      <c r="BY32" s="3" t="e">
        <f ca="1">_xll.BDH($C$28,"SHORT_AND_LONG_TERM_DEBT","FQ4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32" s="3" t="e">
        <f ca="1">_xll.BDH($C$28,"BS_ST_BORROW","FQ4 2014","FQ4 2014","Currency=INR","Period=FQ","BEST_FPERIOD_OVERRIDE=FQ","FILING_STATUS=OR","EQY_CONSOLIDATED=Y","SCALING_FORMAT=MLN","Sort=A","Dates=H","DateFormat=P","Fill=—","Direction=H","UseDPDF=Y")</f>
        <v>#NAME?</v>
      </c>
      <c r="CA32" s="3" t="e">
        <f ca="1">_xll.BDH($C$28,"BS_LT_BORROW","FQ4 2014","FQ4 2014","Currency=INR","Period=FQ","BEST_FPERIOD_OVERRIDE=FQ","FILING_STATUS=OR","EQY_CONSOLIDATED=Y","SCALING_FORMAT=MLN","Sort=A","Dates=H","DateFormat=P","Fill=—","Direction=H","UseDPDF=Y")</f>
        <v>#NAME?</v>
      </c>
      <c r="CB32" s="2" t="e">
        <f ca="1">_xll.BDH($C$28,"TOT_DEBT_TO_EBITDA","FQ4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32" s="2" t="e">
        <f ca="1">_xll.BDH($C$28,"NET_DEBT_TO_EBITDA","FQ4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32" s="2" t="e">
        <f ca="1">_xll.BDH($C$28,"TOTAL_DEBT_TO_EBIT","FQ4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32" s="2" t="e">
        <f ca="1">_xll.BDH($C$28,"NET_DEBT_TO_EBIT","FQ4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32" s="2" t="e">
        <f ca="1">_xll.BDH($C$28,"EBITDA_TO_INTEREST_EXPN","FQ4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32" s="2" t="e">
        <f ca="1">_xll.BDH($C$28,"COM_EQY_TO_TOT_ASSET","FQ4 2014","FQ4 2014","Currency=INR","Period=FQ","BEST_FPERIOD_OVERRIDE=FQ","FILING_STATUS=OR","EQY_CONSOLIDATED=Y","Sort=A","Dates=H","DateFormat=P","Fill=—","Direction=H","UseDPDF=Y")</f>
        <v>#NAME?</v>
      </c>
      <c r="CH32" s="2" t="e">
        <f ca="1">_xll.BDH($C$28,"LT_DEBT_TO_TOT_EQY","FQ4 2014","FQ4 2014","Currency=INR","Period=FQ","BEST_FPERIOD_OVERRIDE=FQ","FILING_STATUS=OR","EQY_CONSOLIDATED=Y","Sort=A","Dates=H","DateFormat=P","Fill=—","Direction=H","UseDPDF=Y")</f>
        <v>#NAME?</v>
      </c>
      <c r="CI32" s="2" t="e">
        <f ca="1">_xll.BDH($C$28,"LT_DEBT_TO_TOT_CAP","FQ4 2014","FQ4 2014","Currency=INR","Period=FQ","BEST_FPERIOD_OVERRIDE=FQ","FILING_STATUS=OR","EQY_CONSOLIDATED=Y","Sort=A","Dates=H","DateFormat=P","Fill=—","Direction=H","UseDPDF=Y")</f>
        <v>#NAME?</v>
      </c>
      <c r="CJ32" s="2" t="e">
        <f ca="1">_xll.BDH($C$28,"LT_DEBT_TO_TOT_ASSET","FQ4 2014","FQ4 2014","Currency=INR","Period=FQ","BEST_FPERIOD_OVERRIDE=FQ","FILING_STATUS=OR","EQY_CONSOLIDATED=Y","Sort=A","Dates=H","DateFormat=P","Fill=—","Direction=H","UseDPDF=Y")</f>
        <v>#NAME?</v>
      </c>
      <c r="CK32" s="2" t="e">
        <f ca="1">_xll.BDH($C$28,"TOT_DEBT_TO_TOT_EQY","FQ4 2014","FQ4 2014","Currency=INR","Period=FQ","BEST_FPERIOD_OVERRIDE=FQ","FILING_STATUS=OR","EQY_CONSOLIDATED=Y","Sort=A","Dates=H","DateFormat=P","Fill=—","Direction=H","UseDPDF=Y")</f>
        <v>#NAME?</v>
      </c>
      <c r="CL32" s="2" t="e">
        <f ca="1">_xll.BDH($C$28,"TOT_DEBT_TO_TOT_CAP","FQ4 2014","FQ4 2014","Currency=INR","Period=FQ","BEST_FPERIOD_OVERRIDE=FQ","FILING_STATUS=OR","EQY_CONSOLIDATED=Y","Sort=A","Dates=H","DateFormat=P","Fill=—","Direction=H","UseDPDF=Y")</f>
        <v>#NAME?</v>
      </c>
      <c r="CM32" s="2" t="e">
        <f ca="1">_xll.BDH($C$28,"TOT_DEBT_TO_TOT_ASSET","FQ4 2014","FQ4 2014","Currency=INR","Period=FQ","BEST_FPERIOD_OVERRIDE=FQ","FILING_STATUS=OR","EQY_CONSOLIDATED=Y","Sort=A","Dates=H","DateFormat=P","Fill=—","Direction=H","UseDPDF=Y")</f>
        <v>#NAME?</v>
      </c>
      <c r="CN32" s="2" t="e">
        <f ca="1">_xll.BDH($C$28,"NET_DEBT_TO_SHRHLDR_EQTY","FQ4 2014","FQ4 2014","Currency=INR","Period=FQ","BEST_FPERIOD_OVERRIDE=FQ","FILING_STATUS=OR","EQY_CONSOLIDATED=Y","Sort=A","Dates=H","DateFormat=P","Fill=—","Direction=H","UseDPDF=Y")</f>
        <v>#NAME?</v>
      </c>
      <c r="CO32" s="2" t="e">
        <f ca="1">_xll.BDH($C$28,"NET_DEBT_%_CAPITAL","FQ4 2014","FQ4 2014","Currency=INR","Period=FQ","BEST_FPERIOD_OVERRIDE=FQ","FILING_STATUS=OR","EQY_CONSOLIDATED=Y","Sort=A","Dates=H","DateFormat=P","Fill=—","Direction=H","UseDPDF=Y")</f>
        <v>#NAME?</v>
      </c>
      <c r="CP32" s="3" t="e">
        <f ca="1">_xll.BDH($C$28,"EBITDA","FQ4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32" s="3" t="e">
        <f ca="1">_xll.BDH($C$28,"EBITDA_AFTER_CAPEX","FQ4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32" s="3" t="e">
        <f ca="1">_xll.BDH($C$28,"IS_OPER_INC","FQ4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32" s="2" t="e">
        <f ca="1">_xll.BDH($C$28,"CASH_RATIO","FQ4 2014","FQ4 2014","Currency=INR","Period=FQ","BEST_FPERIOD_OVERRIDE=FQ","FILING_STATUS=OR","EQY_CONSOLIDATED=Y","Sort=A","Dates=H","DateFormat=P","Fill=—","Direction=H","UseDPDF=Y")</f>
        <v>#NAME?</v>
      </c>
      <c r="CT32" s="2" t="e">
        <f ca="1">_xll.BDH($C$28,"CUR_RATIO","FQ4 2014","FQ4 2014","Currency=INR","Period=FQ","BEST_FPERIOD_OVERRIDE=FQ","FILING_STATUS=OR","EQY_CONSOLIDATED=Y","Sort=A","Dates=H","DateFormat=P","Fill=—","Direction=H","UseDPDF=Y")</f>
        <v>#NAME?</v>
      </c>
      <c r="CU32" s="2" t="e">
        <f ca="1">_xll.BDH($C$28,"QUICK_RATIO","FQ4 2014","FQ4 2014","Currency=INR","Period=FQ","BEST_FPERIOD_OVERRIDE=FQ","FILING_STATUS=OR","EQY_CONSOLIDATED=Y","Sort=A","Dates=H","DateFormat=P","Fill=—","Direction=H","UseDPDF=Y")</f>
        <v>#NAME?</v>
      </c>
      <c r="CV32" s="2" t="e">
        <f ca="1">_xll.BDH($C$28,"ALTMAN_Z_SCORE","FQ4 2014","FQ4 2014","Currency=INR","Period=FQ","BEST_FPERIOD_OVERRIDE=FQ","FILING_STATUS=OR","EQY_CONSOLIDATED=Y","Sort=A","Dates=H","DateFormat=P","Fill=—","Direction=H","UseDPDF=Y")</f>
        <v>#NAME?</v>
      </c>
      <c r="CW32" s="4" t="e">
        <f ca="1">_xll.BDH($C$28,"ACCT_RCV_TURN","FQ4 2014","FQ4 2014","Currency=INR","Period=FQ","BEST_FPERIOD_OVERRIDE=FQ","FILING_STATUS=OR","EQY_CONSOLIDATED=Y","FA_ADJUSTED=GAAP","Sort=A","Dates=H","DateFormat=P","Fill=—","Direction=H","UseDPDF=Y")</f>
        <v>#NAME?</v>
      </c>
      <c r="CX32" s="2" t="e">
        <f ca="1">_xll.BDH($C$28,"ACCT_RCV_DAYS","FQ4 2014","FQ4 2014","Currency=INR","Period=FQ","BEST_FPERIOD_OVERRIDE=FQ","FILING_STATUS=OR","EQY_CONSOLIDATED=Y","FA_ADJUSTED=GAAP","Sort=A","Dates=H","DateFormat=P","Fill=—","Direction=H","UseDPDF=Y")</f>
        <v>#NAME?</v>
      </c>
      <c r="CY32" s="4" t="e">
        <f ca="1">_xll.BDH($C$28,"INVENT_TURN","FQ4 2014","FQ4 2014","Currency=INR","Period=FQ","BEST_FPERIOD_OVERRIDE=FQ","FILING_STATUS=OR","EQY_CONSOLIDATED=Y","FA_ADJUSTED=GAAP","Sort=A","Dates=H","DateFormat=P","Fill=—","Direction=H","UseDPDF=Y")</f>
        <v>#NAME?</v>
      </c>
      <c r="CZ32" s="2" t="e">
        <f ca="1">_xll.BDH($C$28,"INVENT_DAYS","FQ4 2014","FQ4 2014","Currency=INR","Period=FQ","BEST_FPERIOD_OVERRIDE=FQ","FILING_STATUS=OR","EQY_CONSOLIDATED=Y","FA_ADJUSTED=GAAP","Sort=A","Dates=H","DateFormat=P","Fill=—","Direction=H","UseDPDF=Y")</f>
        <v>#NAME?</v>
      </c>
      <c r="DA32" s="4" t="e">
        <f ca="1">_xll.BDH($C$28,"ACCOUNTS_PAYABLE_TURNOVER","FQ4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32" s="2" t="e">
        <f ca="1">_xll.BDH($C$28,"ACCOUNTS_PAYABLE_TURNOVER_DAYS","FQ4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32" s="4" t="e">
        <f ca="1">_xll.BDH($C$28,"CASH_CONVERSION_CYCLE","FQ4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32" s="4" t="e">
        <f ca="1">_xll.BDH($C$28,"INV_TO_CASH_DAYS","FQ4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32" s="5" t="e">
        <f ca="1">_xll.BDH($C$28,"BS_INVENTORIES","FQ4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32" s="3" t="e">
        <f ca="1">_xll.BDH($C$28,"INVTRY_RAW_MATERIALS","FQ4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32" s="3" t="e">
        <f ca="1">_xll.BDH($C$28,"INVTRY_IN_PROGRESS","FQ4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32" s="3" t="e">
        <f ca="1">_xll.BDH($C$28,"INVTRY_FINISHED_GOODS","FQ4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32" s="3" t="e">
        <f ca="1">_xll.BDH($C$28,"BS_OTHER_INV","FQ4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33" spans="1:113" x14ac:dyDescent="0.3">
      <c r="A33" s="6"/>
      <c r="B33" s="6"/>
      <c r="C33" s="6"/>
      <c r="D33" s="6" t="s">
        <v>82</v>
      </c>
      <c r="E33" t="s">
        <v>77</v>
      </c>
      <c r="F33" t="e">
        <f ca="1">_xll.BDH($C$28,"RETURN_COM_EQY","FY 2015","FY 2015","Currency=INR","Period=FY","BEST_FPERIOD_OVERRIDE=FY","FILING_STATUS=OR","EQY_CONSOLIDATED=Y","FA_ADJUSTED=GAAP","Sort=A","Dates=H","DateFormat=P","Fill=—","Direction=H","UseDPDF=Y")</f>
        <v>#NAME?</v>
      </c>
      <c r="G33" t="e">
        <f ca="1">_xll.BDH($C$28,"RETURN_ON_ASSET","FY 2015","FY 2015","Currency=INR","Period=FY","BEST_FPERIOD_OVERRIDE=FY","FILING_STATUS=OR","EQY_CONSOLIDATED=Y","FA_ADJUSTED=GAAP","Sort=A","Dates=H","DateFormat=P","Fill=—","Direction=H","UseDPDF=Y")</f>
        <v>#NAME?</v>
      </c>
      <c r="H33" t="e">
        <f ca="1">_xll.BDH($C$28,"RETURN_ON_CAP","FY 2015","FY 2015","Currency=INR","Period=FY","BEST_FPERIOD_OVERRIDE=FY","FILING_STATUS=OR","EQY_CONSOLIDATED=Y","FA_ADJUSTED=GAAP","Sort=A","Dates=H","DateFormat=P","Fill=—","Direction=H","UseDPDF=Y")</f>
        <v>#NAME?</v>
      </c>
      <c r="I33" t="e">
        <f ca="1">_xll.BDH($C$28,"RETURN_ON_INV_CAPITAL","FY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33" t="e">
        <f ca="1">_xll.BDH($C$28,"EBITDA_TO_REVENUE","FY 2015","FY 2015","Currency=INR","Period=FY","BEST_FPERIOD_OVERRIDE=FY","FILING_STATUS=OR","EQY_CONSOLIDATED=Y","FA_ADJUSTED=GAAP","Sort=A","Dates=H","DateFormat=P","Fill=—","Direction=H","UseDPDF=Y")</f>
        <v>#NAME?</v>
      </c>
      <c r="K33" t="e">
        <f ca="1">_xll.BDH($C$28,"OPER_MARGIN","FY 2015","FY 2015","Currency=INR","Period=FY","BEST_FPERIOD_OVERRIDE=FY","FILING_STATUS=OR","EQY_CONSOLIDATED=Y","FA_ADJUSTED=GAAP","Sort=A","Dates=H","DateFormat=P","Fill=—","Direction=H","UseDPDF=Y")</f>
        <v>#NAME?</v>
      </c>
      <c r="L33" t="e">
        <f ca="1">_xll.BDH($C$28,"INCREMENTAL_OPERATING_MARGIN","FY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33" t="e">
        <f ca="1">_xll.BDH($C$28,"PRETAX_INC_TO_NET_SALES","FY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33" t="e">
        <f ca="1">_xll.BDH($C$28,"INC_BEF_XO_ITEMS_TO_NET_SALES","FY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33" t="e">
        <f ca="1">_xll.BDH($C$28,"PROF_MARGIN","FY 2015","FY 2015","Currency=INR","Period=FY","BEST_FPERIOD_OVERRIDE=FY","FILING_STATUS=OR","EQY_CONSOLIDATED=Y","FA_ADJUSTED=GAAP","Sort=A","Dates=H","DateFormat=P","Fill=—","Direction=H","UseDPDF=Y")</f>
        <v>#NAME?</v>
      </c>
      <c r="P33" t="e">
        <f ca="1">_xll.BDH($C$28,"NET_INCOME_TO_COMMON_MARGIN","FY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33" t="e">
        <f ca="1">_xll.BDH($C$28,"EFF_TAX_RATE","FY 2015","FY 2015","Currency=INR","Period=FY","BEST_FPERIOD_OVERRIDE=FY","FILING_STATUS=OR","EQY_CONSOLIDATED=Y","FA_ADJUSTED=GAAP","Sort=A","Dates=H","DateFormat=P","Fill=—","Direction=H","UseDPDF=Y")</f>
        <v>#NAME?</v>
      </c>
      <c r="R33" t="e">
        <f ca="1">_xll.BDH($C$28,"DVD_PAYOUT_RATIO","FY 2015","FY 2015","Currency=INR","Period=FY","BEST_FPERIOD_OVERRIDE=FY","FILING_STATUS=OR","EQY_CONSOLIDATED=Y","FA_ADJUSTED=GAAP","Sort=A","Dates=H","DateFormat=P","Fill=—","Direction=H","UseDPDF=Y")</f>
        <v>#NAME?</v>
      </c>
      <c r="S33" t="e">
        <f ca="1">_xll.BDH($C$28,"SUSTAIN_GROWTH_RT","FY 2015","FY 2015","Currency=INR","Period=FY","BEST_FPERIOD_OVERRIDE=FY","FILING_STATUS=OR","EQY_CONSOLIDATED=Y","FA_ADJUSTED=GAAP","Sort=A","Dates=H","DateFormat=P","Fill=—","Direction=H","UseDPDF=Y")</f>
        <v>#NAME?</v>
      </c>
      <c r="T33" s="2" t="e">
        <f ca="1">_xll.BDH($C$28,"SALES_GROWTH","FY 2015","FY 2015","Currency=INR","Period=FY","BEST_FPERIOD_OVERRIDE=FY","FILING_STATUS=OR","EQY_CONSOLIDATED=Y","FA_ADJUSTED=GAAP","Sort=A","Dates=H","DateFormat=P","Fill=—","Direction=H","UseDPDF=Y")</f>
        <v>#NAME?</v>
      </c>
      <c r="U33" s="2" t="e">
        <f ca="1">_xll.BDH($C$28,"EBITDA_GROWTH","FY 2015","FY 2015","Currency=INR","Period=FY","BEST_FPERIOD_OVERRIDE=FY","FILING_STATUS=OR","EQY_CONSOLIDATED=Y","FA_ADJUSTED=GAAP","Sort=A","Dates=H","DateFormat=P","Fill=—","Direction=H","UseDPDF=Y")</f>
        <v>#NAME?</v>
      </c>
      <c r="V33" s="2" t="e">
        <f ca="1">_xll.BDH($C$28,"OPER_INC_GROWTH","FY 2015","FY 2015","Currency=INR","Period=FY","BEST_FPERIOD_OVERRIDE=FY","FILING_STATUS=OR","EQY_CONSOLIDATED=Y","FA_ADJUSTED=GAAP","Sort=A","Dates=H","DateFormat=P","Fill=—","Direction=H","UseDPDF=Y")</f>
        <v>#NAME?</v>
      </c>
      <c r="W33" s="2" t="e">
        <f ca="1">_xll.BDH($C$28,"EARN_FOR_COM_GROWTH","FY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33" s="2" t="e">
        <f ca="1">_xll.BDH($C$28,"DILUTED_EPS_AFT_XO_ITEMS_GROWTH","FY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33" s="2" t="e">
        <f ca="1">_xll.BDH($C$28,"DIVIDEND_PER_SHARE_1_YEAR_GROWTH","FY 2015","FY 2015","Currency=INR","Period=FY","BEST_FPERIOD_OVERRIDE=FY","FILING_STATUS=OR","EQY_CONSOLIDATED=Y","Sort=A","Dates=H","DateFormat=P","Fill=—","Direction=H","UseDPDF=Y")</f>
        <v>#NAME?</v>
      </c>
      <c r="Z33" s="2" t="e">
        <f ca="1">_xll.BDH($C$28,"ACCOUNTS_RECEIVABLE_GROWTH","FY 2015","FY 2015","Currency=INR","Period=FY","BEST_FPERIOD_OVERRIDE=FY","FILING_STATUS=OR","EQY_CONSOLIDATED=Y","Sort=A","Dates=H","DateFormat=P","Fill=—","Direction=H","UseDPDF=Y")</f>
        <v>#NAME?</v>
      </c>
      <c r="AA33" s="2" t="e">
        <f ca="1">_xll.BDH($C$28,"INVENTORY_GROWTH","FY 2015","FY 2015","Currency=INR","Period=FY","BEST_FPERIOD_OVERRIDE=FY","FILING_STATUS=OR","EQY_CONSOLIDATED=Y","Sort=A","Dates=H","DateFormat=P","Fill=—","Direction=H","UseDPDF=Y")</f>
        <v>#NAME?</v>
      </c>
      <c r="AB33" s="2" t="e">
        <f ca="1">_xll.BDH($C$28,"NET_FIXED_ASSETS_1_YEAR_GROWTH","FY 2015","FY 2015","Currency=INR","Period=FY","BEST_FPERIOD_OVERRIDE=FY","FILING_STATUS=OR","EQY_CONSOLIDATED=Y","Sort=A","Dates=H","DateFormat=P","Fill=—","Direction=H","UseDPDF=Y")</f>
        <v>#NAME?</v>
      </c>
      <c r="AC33" s="2" t="e">
        <f ca="1">_xll.BDH($C$28,"ASSET_GROWTH","FY 2015","FY 2015","Currency=INR","Period=FY","BEST_FPERIOD_OVERRIDE=FY","FILING_STATUS=OR","EQY_CONSOLIDATED=Y","Sort=A","Dates=H","DateFormat=P","Fill=—","Direction=H","UseDPDF=Y")</f>
        <v>#NAME?</v>
      </c>
      <c r="AD33" s="2" t="e">
        <f ca="1">_xll.BDH($C$28,"MODIFIED_WORK_CAP_GROWTH","FY 2015","FY 2015","Currency=INR","Period=FY","BEST_FPERIOD_OVERRIDE=FY","FILING_STATUS=OR","EQY_CONSOLIDATED=Y","Sort=A","Dates=H","DateFormat=P","Fill=—","Direction=H","UseDPDF=Y")</f>
        <v>#NAME?</v>
      </c>
      <c r="AE33" s="2" t="e">
        <f ca="1">_xll.BDH($C$28,"WORK_CAP_GROWTH","FY 2015","FY 2015","Currency=INR","Period=FY","BEST_FPERIOD_OVERRIDE=FY","FILING_STATUS=OR","EQY_CONSOLIDATED=Y","Sort=A","Dates=H","DateFormat=P","Fill=—","Direction=H","UseDPDF=Y")</f>
        <v>#NAME?</v>
      </c>
      <c r="AF33" s="2" t="e">
        <f ca="1">_xll.BDH($C$28,"ACCOUNTS_PAYABLE_GROWTH_1YR","FY 2015","FY 2015","Currency=INR","Period=FY","BEST_FPERIOD_OVERRIDE=FY","FILING_STATUS=OR","EQY_CONSOLIDATED=Y","Sort=A","Dates=H","DateFormat=P","Fill=—","Direction=H","UseDPDF=Y")</f>
        <v>#NAME?</v>
      </c>
      <c r="AG33" s="2" t="e">
        <f ca="1">_xll.BDH($C$28,"SHORT_TERM_DEBT_1_YEAR_GROWTH","FY 2015","FY 2015","Currency=INR","Period=FY","BEST_FPERIOD_OVERRIDE=FY","FILING_STATUS=OR","EQY_CONSOLIDATED=Y","Sort=A","Dates=H","DateFormat=P","Fill=—","Direction=H","UseDPDF=Y")</f>
        <v>#NAME?</v>
      </c>
      <c r="AH33" s="2" t="e">
        <f ca="1">_xll.BDH($C$28,"TOTAL_DEBT_1_YEAR_GROWTH","FY 2015","FY 2015","Currency=INR","Period=FY","BEST_FPERIOD_OVERRIDE=FY","FILING_STATUS=OR","EQY_CONSOLIDATED=Y","Sort=A","Dates=H","DateFormat=P","Fill=—","Direction=H","UseDPDF=Y")</f>
        <v>#NAME?</v>
      </c>
      <c r="AI33" s="2" t="e">
        <f ca="1">_xll.BDH($C$28,"TOTAL_EQUITY_1_YEAR_GROWTH","FY 2015","FY 2015","Currency=INR","Period=FY","BEST_FPERIOD_OVERRIDE=FY","FILING_STATUS=OR","EQY_CONSOLIDATED=Y","Sort=A","Dates=H","DateFormat=P","Fill=—","Direction=H","UseDPDF=Y")</f>
        <v>#NAME?</v>
      </c>
      <c r="AJ33" s="2" t="e">
        <f ca="1">_xll.BDH($C$28,"GROWTH_IN_CAP","FY 2015","FY 2015","Currency=INR","Period=FY","BEST_FPERIOD_OVERRIDE=FY","FILING_STATUS=OR","EQY_CONSOLIDATED=Y","Sort=A","Dates=H","DateFormat=P","Fill=—","Direction=H","UseDPDF=Y")</f>
        <v>#NAME?</v>
      </c>
      <c r="AK33" s="2" t="e">
        <f ca="1">_xll.BDH($C$28,"BVPS_GROWTH","FY 2015","FY 2015","Currency=INR","Period=FY","BEST_FPERIOD_OVERRIDE=FY","FILING_STATUS=OR","EQY_CONSOLIDATED=Y","Sort=A","Dates=H","DateFormat=P","Fill=—","Direction=H","UseDPDF=Y")</f>
        <v>#NAME?</v>
      </c>
      <c r="AL33" s="2" t="e">
        <f ca="1">_xll.BDH($C$28,"CASH_FLOW_GROWTH","FY 2015","FY 2015","Currency=INR","Period=FY","BEST_FPERIOD_OVERRIDE=FY","FILING_STATUS=OR","EQY_CONSOLIDATED=Y","Sort=A","Dates=H","DateFormat=P","Fill=—","Direction=H","UseDPDF=Y")</f>
        <v>#NAME?</v>
      </c>
      <c r="AM33" s="2" t="e">
        <f ca="1">_xll.BDH($C$28,"GEO_GROW_NET_SALES","FY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33" s="2" t="e">
        <f ca="1">_xll.BDH($C$28,"GEO_GROW_EBITDA","FY 2015","FY 2015","Currency=INR","Period=FY","BEST_FPERIOD_OVERRIDE=FY","FILING_STATUS=OR","EQY_CONSOLIDATED=Y","FA_ADJUSTED=GAAP","Sort=A","Dates=H","DateFormat=P","Fill=—","Direction=H","UseDPDF=Y")</f>
        <v>#NAME?</v>
      </c>
      <c r="AO33" s="2" t="e">
        <f ca="1">_xll.BDH($C$28,"GEO_GROW_OPER_INC","FY 2015","FY 2015","Currency=INR","Period=FY","BEST_FPERIOD_OVERRIDE=FY","FILING_STATUS=OR","EQY_CONSOLIDATED=Y","FA_ADJUSTED=GAAP","Sort=A","Dates=H","DateFormat=P","Fill=—","Direction=H","UseDPDF=Y")</f>
        <v>#NAME?</v>
      </c>
      <c r="AP33" s="2" t="e">
        <f ca="1">_xll.BDH($C$28,"NET_INCOME_TO_COMMON_5_YR_GROWTH","FY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33" s="2" t="e">
        <f ca="1">_xll.BDH($C$28,"5Y_GEO_GROWTH_DILUTED_EPS","FY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33" s="2" t="e">
        <f ca="1">_xll.BDH($C$28,"GEO_GROW_DVD_PER_SH","FY 2015","FY 2015","Currency=INR","Period=FY","BEST_FPERIOD_OVERRIDE=FY","FILING_STATUS=OR","EQY_CONSOLIDATED=Y","Sort=A","Dates=H","DateFormat=P","Fill=—","Direction=H","UseDPDF=Y")</f>
        <v>#NAME?</v>
      </c>
      <c r="AS33" s="2" t="e">
        <f ca="1">_xll.BDH($C$28,"ACCOUNTS_RECEIVABLE_5_YR_GROWTH","FY 2015","FY 2015","Currency=INR","Period=FY","BEST_FPERIOD_OVERRIDE=FY","FILING_STATUS=OR","EQY_CONSOLIDATED=Y","Sort=A","Dates=H","DateFormat=P","Fill=—","Direction=H","UseDPDF=Y")</f>
        <v>#NAME?</v>
      </c>
      <c r="AT33" s="2" t="e">
        <f ca="1">_xll.BDH($C$28,"INVENTORY_5_YEAR_GROWTH","FY 2015","FY 2015","Currency=INR","Period=FY","BEST_FPERIOD_OVERRIDE=FY","FILING_STATUS=OR","EQY_CONSOLIDATED=Y","Sort=A","Dates=H","DateFormat=P","Fill=—","Direction=H","UseDPDF=Y")</f>
        <v>#NAME?</v>
      </c>
      <c r="AU33" s="2" t="e">
        <f ca="1">_xll.BDH($C$28,"NET_FIXED_ASSETS_5_YEAR_GROWTH","FY 2015","FY 2015","Currency=INR","Period=FY","BEST_FPERIOD_OVERRIDE=FY","FILING_STATUS=OR","EQY_CONSOLIDATED=Y","Sort=A","Dates=H","DateFormat=P","Fill=—","Direction=H","UseDPDF=Y")</f>
        <v>#NAME?</v>
      </c>
      <c r="AV33" s="2" t="e">
        <f ca="1">_xll.BDH($C$28,"GEO_GROW_TOT_ASSET","FY 2015","FY 2015","Currency=INR","Period=FY","BEST_FPERIOD_OVERRIDE=FY","FILING_STATUS=OR","EQY_CONSOLIDATED=Y","Sort=A","Dates=H","DateFormat=P","Fill=—","Direction=H","UseDPDF=Y")</f>
        <v>#NAME?</v>
      </c>
      <c r="AW33" s="2" t="e">
        <f ca="1">_xll.BDH($C$28,"MODIFIED_WORKING_CPTL_5YR_GRWTH","FY 2015","FY 2015","Currency=INR","Period=FY","BEST_FPERIOD_OVERRIDE=FY","FILING_STATUS=OR","EQY_CONSOLIDATED=Y","Sort=A","Dates=H","DateFormat=P","Fill=—","Direction=H","UseDPDF=Y")</f>
        <v>#NAME?</v>
      </c>
      <c r="AX33" s="2" t="e">
        <f ca="1">_xll.BDH($C$28,"WORKING_CAPITAL_5_YEAR_GROWTH","FY 2015","FY 2015","Currency=INR","Period=FY","BEST_FPERIOD_OVERRIDE=FY","FILING_STATUS=OR","EQY_CONSOLIDATED=Y","Sort=A","Dates=H","DateFormat=P","Fill=—","Direction=H","UseDPDF=Y")</f>
        <v>#NAME?</v>
      </c>
      <c r="AY33" s="2" t="e">
        <f ca="1">_xll.BDH($C$28,"ACCOUNTS_PAYABLE_5_YEAR_GROWTH","FY 2015","FY 2015","Currency=INR","Period=FY","BEST_FPERIOD_OVERRIDE=FY","FILING_STATUS=OR","EQY_CONSOLIDATED=Y","Sort=A","Dates=H","DateFormat=P","Fill=—","Direction=H","UseDPDF=Y")</f>
        <v>#NAME?</v>
      </c>
      <c r="AZ33" s="2" t="e">
        <f ca="1">_xll.BDH($C$28,"SHORT_TERM_DEBT_5_YEAR_GROWTH","FY 2015","FY 2015","Currency=INR","Period=FY","BEST_FPERIOD_OVERRIDE=FY","FILING_STATUS=OR","EQY_CONSOLIDATED=Y","Sort=A","Dates=H","DateFormat=P","Fill=—","Direction=H","UseDPDF=Y")</f>
        <v>#NAME?</v>
      </c>
      <c r="BA33" s="2" t="e">
        <f ca="1">_xll.BDH($C$28,"TOTAL_DEBT_5_YEAR_GROWTH","FY 2015","FY 2015","Currency=INR","Period=FY","BEST_FPERIOD_OVERRIDE=FY","FILING_STATUS=OR","EQY_CONSOLIDATED=Y","Sort=A","Dates=H","DateFormat=P","Fill=—","Direction=H","UseDPDF=Y")</f>
        <v>#NAME?</v>
      </c>
      <c r="BB33" s="2" t="e">
        <f ca="1">_xll.BDH($C$28,"GEO_GROW_TOT_SHRHLDR_EQY","FY 2015","FY 2015","Currency=INR","Period=FY","BEST_FPERIOD_OVERRIDE=FY","FILING_STATUS=OR","EQY_CONSOLIDATED=Y","Sort=A","Dates=H","DateFormat=P","Fill=—","Direction=H","UseDPDF=Y")</f>
        <v>#NAME?</v>
      </c>
      <c r="BC33" s="2" t="e">
        <f ca="1">_xll.BDH($C$28,"TOTAL_CAPITAL_5_YEAR_GROWTH","FY 2015","FY 2015","Currency=INR","Period=FY","BEST_FPERIOD_OVERRIDE=FY","FILING_STATUS=OR","EQY_CONSOLIDATED=Y","Sort=A","Dates=H","DateFormat=P","Fill=—","Direction=H","UseDPDF=Y")</f>
        <v>#NAME?</v>
      </c>
      <c r="BD33" s="2" t="e">
        <f ca="1">_xll.BDH($C$28,"GEO_GROW_BOOK_VAL","FY 2015","FY 2015","Currency=INR","Period=FY","BEST_FPERIOD_OVERRIDE=FY","FILING_STATUS=OR","EQY_CONSOLIDATED=Y","Sort=A","Dates=H","DateFormat=P","Fill=—","Direction=H","UseDPDF=Y")</f>
        <v>#NAME?</v>
      </c>
      <c r="BE33" s="2" t="e">
        <f ca="1">_xll.BDH($C$28,"GEO_GROW_CASH_OPER_ACT","FY 2015","FY 2015","Currency=INR","Period=FY","BEST_FPERIOD_OVERRIDE=FY","FILING_STATUS=OR","EQY_CONSOLIDATED=Y","Sort=A","Dates=H","DateFormat=P","Fill=—","Direction=H","UseDPDF=Y")</f>
        <v>#NAME?</v>
      </c>
      <c r="BF33" s="2" t="e">
        <f ca="1">_xll.BDH($C$28,"REVENUE_SEQUENTIAL_GROWTH","FY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33" s="2" t="e">
        <f ca="1">_xll.BDH($C$28,"EBITDA_SEQUENTIAL_GROWTH","FY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33" s="2" t="e">
        <f ca="1">_xll.BDH($C$28,"OPERATING_INCOME_SEQ_GROWTH","FY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33" s="2" t="e">
        <f ca="1">_xll.BDH($C$28,"NET_INCOME_TO_COMMON_SEQ_GROWTH","FY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33" s="2" t="e">
        <f ca="1">_xll.BDH($C$28,"EPS_DILUTED_SEQUENTIAL_GROWTH","FY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33" s="2" t="e">
        <f ca="1">_xll.BDH($C$28,"DPS_SEQUENTIAL_GROWTH","FY 2015","FY 2015","Currency=INR","Period=FY","BEST_FPERIOD_OVERRIDE=FY","FILING_STATUS=OR","EQY_CONSOLIDATED=Y","Sort=A","Dates=H","DateFormat=P","Fill=—","Direction=H","UseDPDF=Y")</f>
        <v>#NAME?</v>
      </c>
      <c r="BL33" s="2" t="e">
        <f ca="1">_xll.BDH($C$28,"ACCOUNTS_RECEIVABLE_SEQ_GROWTH","FY 2015","FY 2015","Currency=INR","Period=FY","BEST_FPERIOD_OVERRIDE=FY","FILING_STATUS=OR","EQY_CONSOLIDATED=Y","Sort=A","Dates=H","DateFormat=P","Fill=—","Direction=H","UseDPDF=Y")</f>
        <v>#NAME?</v>
      </c>
      <c r="BM33" s="2" t="e">
        <f ca="1">_xll.BDH($C$28,"INVENTORY_SEQUENTIAL_GROWTH","FY 2015","FY 2015","Currency=INR","Period=FY","BEST_FPERIOD_OVERRIDE=FY","FILING_STATUS=OR","EQY_CONSOLIDATED=Y","Sort=A","Dates=H","DateFormat=P","Fill=—","Direction=H","UseDPDF=Y")</f>
        <v>#NAME?</v>
      </c>
      <c r="BN33" s="2" t="e">
        <f ca="1">_xll.BDH($C$28,"FIXED_ASSETS_SEQUENTIAL_GROWTH","FY 2015","FY 2015","Currency=INR","Period=FY","BEST_FPERIOD_OVERRIDE=FY","FILING_STATUS=OR","EQY_CONSOLIDATED=Y","Sort=A","Dates=H","DateFormat=P","Fill=—","Direction=H","UseDPDF=Y")</f>
        <v>#NAME?</v>
      </c>
      <c r="BO33" s="2" t="e">
        <f ca="1">_xll.BDH($C$28,"TOTAL_ASSETS_SEQUENTIAL_GROWTH","FY 2015","FY 2015","Currency=INR","Period=FY","BEST_FPERIOD_OVERRIDE=FY","FILING_STATUS=OR","EQY_CONSOLIDATED=Y","Sort=A","Dates=H","DateFormat=P","Fill=—","Direction=H","UseDPDF=Y")</f>
        <v>#NAME?</v>
      </c>
      <c r="BP33" s="2" t="e">
        <f ca="1">_xll.BDH($C$28,"MODIFIED_WORKING_CPTL_SEQ_GRWTH","FY 2015","FY 2015","Currency=INR","Period=FY","BEST_FPERIOD_OVERRIDE=FY","FILING_STATUS=OR","EQY_CONSOLIDATED=Y","Sort=A","Dates=H","DateFormat=P","Fill=—","Direction=H","UseDPDF=Y")</f>
        <v>#NAME?</v>
      </c>
      <c r="BQ33" s="2" t="e">
        <f ca="1">_xll.BDH($C$28,"WORKING_CAPITAL_SEQ_GROWTH","FY 2015","FY 2015","Currency=INR","Period=FY","BEST_FPERIOD_OVERRIDE=FY","FILING_STATUS=OR","EQY_CONSOLIDATED=Y","Sort=A","Dates=H","DateFormat=P","Fill=—","Direction=H","UseDPDF=Y")</f>
        <v>#NAME?</v>
      </c>
      <c r="BR33" s="2" t="e">
        <f ca="1">_xll.BDH($C$28,"ACCOUNTS_PAYABLE_SEQ_GROWTH","FY 2015","FY 2015","Currency=INR","Period=FY","BEST_FPERIOD_OVERRIDE=FY","FILING_STATUS=OR","EQY_CONSOLIDATED=Y","Sort=A","Dates=H","DateFormat=P","Fill=—","Direction=H","UseDPDF=Y")</f>
        <v>#NAME?</v>
      </c>
      <c r="BS33" s="2" t="e">
        <f ca="1">_xll.BDH($C$28,"ST_DEBT_SEQUENTIAL_GROWTH","FY 2015","FY 2015","Currency=INR","Period=FY","BEST_FPERIOD_OVERRIDE=FY","FILING_STATUS=OR","EQY_CONSOLIDATED=Y","Sort=A","Dates=H","DateFormat=P","Fill=—","Direction=H","UseDPDF=Y")</f>
        <v>#NAME?</v>
      </c>
      <c r="BT33" s="2" t="e">
        <f ca="1">_xll.BDH($C$28,"TOTAL_DEBT_SEQUENTIAL_GROWTH","FY 2015","FY 2015","Currency=INR","Period=FY","BEST_FPERIOD_OVERRIDE=FY","FILING_STATUS=OR","EQY_CONSOLIDATED=Y","Sort=A","Dates=H","DateFormat=P","Fill=—","Direction=H","UseDPDF=Y")</f>
        <v>#NAME?</v>
      </c>
      <c r="BU33" s="2" t="e">
        <f ca="1">_xll.BDH($C$28,"TOTAL_EQUITY_SEQUENTIAL_GROWTH","FY 2015","FY 2015","Currency=INR","Period=FY","BEST_FPERIOD_OVERRIDE=FY","FILING_STATUS=OR","EQY_CONSOLIDATED=Y","Sort=A","Dates=H","DateFormat=P","Fill=—","Direction=H","UseDPDF=Y")</f>
        <v>#NAME?</v>
      </c>
      <c r="BV33" s="2" t="e">
        <f ca="1">_xll.BDH($C$28,"TOTAL_CAPITAL_SEQUENTIAL_GROWTH","FY 2015","FY 2015","Currency=INR","Period=FY","BEST_FPERIOD_OVERRIDE=FY","FILING_STATUS=OR","EQY_CONSOLIDATED=Y","Sort=A","Dates=H","DateFormat=P","Fill=—","Direction=H","UseDPDF=Y")</f>
        <v>#NAME?</v>
      </c>
      <c r="BW33" s="2" t="e">
        <f ca="1">_xll.BDH($C$28,"BPS_SEQUENTIAL_GROWTH","FY 2015","FY 2015","Currency=INR","Period=FY","BEST_FPERIOD_OVERRIDE=FY","FILING_STATUS=OR","EQY_CONSOLIDATED=Y","Sort=A","Dates=H","DateFormat=P","Fill=—","Direction=H","UseDPDF=Y")</f>
        <v>#NAME?</v>
      </c>
      <c r="BX33" s="2" t="e">
        <f ca="1">_xll.BDH($C$28,"CFO_SEQUENTIAL_GROWTH","FY 2015","FY 2015","Currency=INR","Period=FY","BEST_FPERIOD_OVERRIDE=FY","FILING_STATUS=OR","EQY_CONSOLIDATED=Y","Sort=A","Dates=H","DateFormat=P","Fill=—","Direction=H","UseDPDF=Y")</f>
        <v>#NAME?</v>
      </c>
      <c r="BY33" s="3" t="e">
        <f ca="1">_xll.BDH($C$28,"SHORT_AND_LONG_TERM_DEBT","FY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33" s="3" t="e">
        <f ca="1">_xll.BDH($C$28,"BS_ST_BORROW","FY 2015","FY 2015","Currency=INR","Period=FY","BEST_FPERIOD_OVERRIDE=FY","FILING_STATUS=OR","EQY_CONSOLIDATED=Y","SCALING_FORMAT=MLN","Sort=A","Dates=H","DateFormat=P","Fill=—","Direction=H","UseDPDF=Y")</f>
        <v>#NAME?</v>
      </c>
      <c r="CA33" s="3" t="e">
        <f ca="1">_xll.BDH($C$28,"BS_LT_BORROW","FY 2015","FY 2015","Currency=INR","Period=FY","BEST_FPERIOD_OVERRIDE=FY","FILING_STATUS=OR","EQY_CONSOLIDATED=Y","SCALING_FORMAT=MLN","Sort=A","Dates=H","DateFormat=P","Fill=—","Direction=H","UseDPDF=Y")</f>
        <v>#NAME?</v>
      </c>
      <c r="CB33" s="2" t="e">
        <f ca="1">_xll.BDH($C$28,"TOT_DEBT_TO_EBITDA","FY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33" s="2" t="e">
        <f ca="1">_xll.BDH($C$28,"NET_DEBT_TO_EBITDA","FY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33" s="2" t="e">
        <f ca="1">_xll.BDH($C$28,"TOTAL_DEBT_TO_EBIT","FY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33" s="2" t="e">
        <f ca="1">_xll.BDH($C$28,"NET_DEBT_TO_EBIT","FY 2015","FY 2015","Currency=INR","Period=FY","BEST_FPERIOD_OVERRIDE=FY","FILING_STATUS=OR","EQY_CONSOLIDATED=Y","FA_ADJUSTED=GAAP","Sort=A","Dates=H","DateFormat=P","Fill=—","Direction=H","UseDPDF=Y")</f>
        <v>#NAME?</v>
      </c>
      <c r="CF33" s="2" t="e">
        <f ca="1">_xll.BDH($C$28,"EBITDA_TO_INTEREST_EXPN","FY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33" s="2" t="e">
        <f ca="1">_xll.BDH($C$28,"COM_EQY_TO_TOT_ASSET","FY 2015","FY 2015","Currency=INR","Period=FY","BEST_FPERIOD_OVERRIDE=FY","FILING_STATUS=OR","EQY_CONSOLIDATED=Y","Sort=A","Dates=H","DateFormat=P","Fill=—","Direction=H","UseDPDF=Y")</f>
        <v>#NAME?</v>
      </c>
      <c r="CH33" s="2" t="e">
        <f ca="1">_xll.BDH($C$28,"LT_DEBT_TO_TOT_EQY","FY 2015","FY 2015","Currency=INR","Period=FY","BEST_FPERIOD_OVERRIDE=FY","FILING_STATUS=OR","EQY_CONSOLIDATED=Y","Sort=A","Dates=H","DateFormat=P","Fill=—","Direction=H","UseDPDF=Y")</f>
        <v>#NAME?</v>
      </c>
      <c r="CI33" s="2" t="e">
        <f ca="1">_xll.BDH($C$28,"LT_DEBT_TO_TOT_CAP","FY 2015","FY 2015","Currency=INR","Period=FY","BEST_FPERIOD_OVERRIDE=FY","FILING_STATUS=OR","EQY_CONSOLIDATED=Y","Sort=A","Dates=H","DateFormat=P","Fill=—","Direction=H","UseDPDF=Y")</f>
        <v>#NAME?</v>
      </c>
      <c r="CJ33" s="2" t="e">
        <f ca="1">_xll.BDH($C$28,"LT_DEBT_TO_TOT_ASSET","FY 2015","FY 2015","Currency=INR","Period=FY","BEST_FPERIOD_OVERRIDE=FY","FILING_STATUS=OR","EQY_CONSOLIDATED=Y","Sort=A","Dates=H","DateFormat=P","Fill=—","Direction=H","UseDPDF=Y")</f>
        <v>#NAME?</v>
      </c>
      <c r="CK33" s="2" t="e">
        <f ca="1">_xll.BDH($C$28,"TOT_DEBT_TO_TOT_EQY","FY 2015","FY 2015","Currency=INR","Period=FY","BEST_FPERIOD_OVERRIDE=FY","FILING_STATUS=OR","EQY_CONSOLIDATED=Y","Sort=A","Dates=H","DateFormat=P","Fill=—","Direction=H","UseDPDF=Y")</f>
        <v>#NAME?</v>
      </c>
      <c r="CL33" s="2" t="e">
        <f ca="1">_xll.BDH($C$28,"TOT_DEBT_TO_TOT_CAP","FY 2015","FY 2015","Currency=INR","Period=FY","BEST_FPERIOD_OVERRIDE=FY","FILING_STATUS=OR","EQY_CONSOLIDATED=Y","Sort=A","Dates=H","DateFormat=P","Fill=—","Direction=H","UseDPDF=Y")</f>
        <v>#NAME?</v>
      </c>
      <c r="CM33" s="2" t="e">
        <f ca="1">_xll.BDH($C$28,"TOT_DEBT_TO_TOT_ASSET","FY 2015","FY 2015","Currency=INR","Period=FY","BEST_FPERIOD_OVERRIDE=FY","FILING_STATUS=OR","EQY_CONSOLIDATED=Y","Sort=A","Dates=H","DateFormat=P","Fill=—","Direction=H","UseDPDF=Y")</f>
        <v>#NAME?</v>
      </c>
      <c r="CN33" s="2" t="e">
        <f ca="1">_xll.BDH($C$28,"NET_DEBT_TO_SHRHLDR_EQTY","FY 2015","FY 2015","Currency=INR","Period=FY","BEST_FPERIOD_OVERRIDE=FY","FILING_STATUS=OR","EQY_CONSOLIDATED=Y","Sort=A","Dates=H","DateFormat=P","Fill=—","Direction=H","UseDPDF=Y")</f>
        <v>#NAME?</v>
      </c>
      <c r="CO33" s="2" t="e">
        <f ca="1">_xll.BDH($C$28,"NET_DEBT_%_CAPITAL","FY 2015","FY 2015","Currency=INR","Period=FY","BEST_FPERIOD_OVERRIDE=FY","FILING_STATUS=OR","EQY_CONSOLIDATED=Y","Sort=A","Dates=H","DateFormat=P","Fill=—","Direction=H","UseDPDF=Y")</f>
        <v>#NAME?</v>
      </c>
      <c r="CP33" s="3" t="e">
        <f ca="1">_xll.BDH($C$28,"EBITDA","FY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33" s="3" t="e">
        <f ca="1">_xll.BDH($C$28,"EBITDA_AFTER_CAPEX","FY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33" s="3" t="e">
        <f ca="1">_xll.BDH($C$28,"IS_OPER_INC","FY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33" s="2" t="e">
        <f ca="1">_xll.BDH($C$28,"CASH_RATIO","FY 2015","FY 2015","Currency=INR","Period=FY","BEST_FPERIOD_OVERRIDE=FY","FILING_STATUS=OR","EQY_CONSOLIDATED=Y","Sort=A","Dates=H","DateFormat=P","Fill=—","Direction=H","UseDPDF=Y")</f>
        <v>#NAME?</v>
      </c>
      <c r="CT33" s="2" t="e">
        <f ca="1">_xll.BDH($C$28,"CUR_RATIO","FY 2015","FY 2015","Currency=INR","Period=FY","BEST_FPERIOD_OVERRIDE=FY","FILING_STATUS=OR","EQY_CONSOLIDATED=Y","Sort=A","Dates=H","DateFormat=P","Fill=—","Direction=H","UseDPDF=Y")</f>
        <v>#NAME?</v>
      </c>
      <c r="CU33" s="2" t="e">
        <f ca="1">_xll.BDH($C$28,"QUICK_RATIO","FY 2015","FY 2015","Currency=INR","Period=FY","BEST_FPERIOD_OVERRIDE=FY","FILING_STATUS=OR","EQY_CONSOLIDATED=Y","Sort=A","Dates=H","DateFormat=P","Fill=—","Direction=H","UseDPDF=Y")</f>
        <v>#NAME?</v>
      </c>
      <c r="CV33" s="2" t="e">
        <f ca="1">_xll.BDH($C$28,"ALTMAN_Z_SCORE","FY 2015","FY 2015","Currency=INR","Period=FY","BEST_FPERIOD_OVERRIDE=FY","FILING_STATUS=OR","EQY_CONSOLIDATED=Y","Sort=A","Dates=H","DateFormat=P","Fill=—","Direction=H","UseDPDF=Y")</f>
        <v>#NAME?</v>
      </c>
      <c r="CW33" s="4" t="e">
        <f ca="1">_xll.BDH($C$28,"ACCT_RCV_TURN","FY 2015","FY 2015","Currency=INR","Period=FY","BEST_FPERIOD_OVERRIDE=FY","FILING_STATUS=OR","EQY_CONSOLIDATED=Y","FA_ADJUSTED=GAAP","Sort=A","Dates=H","DateFormat=P","Fill=—","Direction=H","UseDPDF=Y")</f>
        <v>#NAME?</v>
      </c>
      <c r="CX33" s="2" t="e">
        <f ca="1">_xll.BDH($C$28,"ACCT_RCV_DAYS","FY 2015","FY 2015","Currency=INR","Period=FY","BEST_FPERIOD_OVERRIDE=FY","FILING_STATUS=OR","EQY_CONSOLIDATED=Y","FA_ADJUSTED=GAAP","Sort=A","Dates=H","DateFormat=P","Fill=—","Direction=H","UseDPDF=Y")</f>
        <v>#NAME?</v>
      </c>
      <c r="CY33" s="4" t="e">
        <f ca="1">_xll.BDH($C$28,"INVENT_TURN","FY 2015","FY 2015","Currency=INR","Period=FY","BEST_FPERIOD_OVERRIDE=FY","FILING_STATUS=OR","EQY_CONSOLIDATED=Y","FA_ADJUSTED=GAAP","Sort=A","Dates=H","DateFormat=P","Fill=—","Direction=H","UseDPDF=Y")</f>
        <v>#NAME?</v>
      </c>
      <c r="CZ33" s="2" t="e">
        <f ca="1">_xll.BDH($C$28,"INVENT_DAYS","FY 2015","FY 2015","Currency=INR","Period=FY","BEST_FPERIOD_OVERRIDE=FY","FILING_STATUS=OR","EQY_CONSOLIDATED=Y","FA_ADJUSTED=GAAP","Sort=A","Dates=H","DateFormat=P","Fill=—","Direction=H","UseDPDF=Y")</f>
        <v>#NAME?</v>
      </c>
      <c r="DA33" s="4" t="e">
        <f ca="1">_xll.BDH($C$28,"ACCOUNTS_PAYABLE_TURNOVER","FY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33" s="2" t="e">
        <f ca="1">_xll.BDH($C$28,"ACCOUNTS_PAYABLE_TURNOVER_DAYS","FY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33" s="4" t="e">
        <f ca="1">_xll.BDH($C$28,"CASH_CONVERSION_CYCLE","FY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33" s="4" t="e">
        <f ca="1">_xll.BDH($C$28,"INV_TO_CASH_DAYS","FY 2015","FY 2015","Currency=INR","Period=FY","BEST_FPERIOD_OVERRIDE=FY","FILING_STATUS=OR","EQY_CONSOLIDATED=Y","FA_ADJUSTED=GAAP","Sort=A","Dates=H","DateFormat=P","Fill=—","Direction=H","UseDPDF=Y")</f>
        <v>#NAME?</v>
      </c>
      <c r="DE33" s="5" t="e">
        <f ca="1">_xll.BDH($C$28,"BS_INVENTORIES","FY 2015","FY 2015","Currency=INR","Period=FY","BEST_FPERIOD_OVERRIDE=FY","FILING_STATUS=OR","EQY_CONSOLIDATED=Y","SCALING_FORMAT=MLN","Sort=A","Dates=H","DateFormat=P","Fill=—","Direction=H","UseDPDF=Y")</f>
        <v>#NAME?</v>
      </c>
      <c r="DF33" s="3" t="e">
        <f ca="1">_xll.BDH($C$28,"INVTRY_RAW_MATERIALS","FY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33" s="3" t="e">
        <f ca="1">_xll.BDH($C$28,"INVTRY_IN_PROGRESS","FY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33" s="3" t="e">
        <f ca="1">_xll.BDH($C$28,"INVTRY_FINISHED_GOODS","FY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33" s="3" t="e">
        <f ca="1">_xll.BDH($C$28,"BS_OTHER_INV","FY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34" spans="1:113" x14ac:dyDescent="0.3">
      <c r="A34" s="6"/>
      <c r="B34" s="6"/>
      <c r="C34" s="6"/>
      <c r="D34" s="6"/>
      <c r="E34" t="s">
        <v>78</v>
      </c>
      <c r="F34" t="e">
        <f ca="1">_xll.BDH($C$28,"RETURN_COM_EQY","FQ1 2015","FQ1 2015","Currency=INR","Period=FQ","BEST_FPERIOD_OVERRIDE=FQ","FILING_STATUS=OR","EQY_CONSOLIDATED=Y","FA_ADJUSTED=GAAP","Sort=A","Dates=H","DateFormat=P","Fill=—","Direction=H","UseDPDF=Y")</f>
        <v>#NAME?</v>
      </c>
      <c r="G34" t="e">
        <f ca="1">_xll.BDH($C$28,"RETURN_ON_ASSET","FQ1 2015","FQ1 2015","Currency=INR","Period=FQ","BEST_FPERIOD_OVERRIDE=FQ","FILING_STATUS=OR","EQY_CONSOLIDATED=Y","FA_ADJUSTED=GAAP","Sort=A","Dates=H","DateFormat=P","Fill=—","Direction=H","UseDPDF=Y")</f>
        <v>#NAME?</v>
      </c>
      <c r="H34" t="e">
        <f ca="1">_xll.BDH($C$28,"RETURN_ON_CAP","FQ1 2015","FQ1 2015","Currency=INR","Period=FQ","BEST_FPERIOD_OVERRIDE=FQ","FILING_STATUS=OR","EQY_CONSOLIDATED=Y","FA_ADJUSTED=GAAP","Sort=A","Dates=H","DateFormat=P","Fill=—","Direction=H","UseDPDF=Y")</f>
        <v>#NAME?</v>
      </c>
      <c r="I34" t="e">
        <f ca="1">_xll.BDH($C$28,"RETURN_ON_INV_CAPITAL","FQ1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34" t="e">
        <f ca="1">_xll.BDH($C$28,"EBITDA_TO_REVENUE","FQ1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34" t="e">
        <f ca="1">_xll.BDH($C$28,"OPER_MARGIN","FQ1 2015","FQ1 2015","Currency=INR","Period=FQ","BEST_FPERIOD_OVERRIDE=FQ","FILING_STATUS=OR","EQY_CONSOLIDATED=Y","FA_ADJUSTED=GAAP","Sort=A","Dates=H","DateFormat=P","Fill=—","Direction=H","UseDPDF=Y")</f>
        <v>#NAME?</v>
      </c>
      <c r="L34" t="e">
        <f ca="1">_xll.BDH($C$28,"INCREMENTAL_OPERATING_MARGIN","FQ1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34" t="e">
        <f ca="1">_xll.BDH($C$28,"PRETAX_INC_TO_NET_SALES","FQ1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34" t="e">
        <f ca="1">_xll.BDH($C$28,"INC_BEF_XO_ITEMS_TO_NET_SALES","FQ1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34" t="e">
        <f ca="1">_xll.BDH($C$28,"PROF_MARGIN","FQ1 2015","FQ1 2015","Currency=INR","Period=FQ","BEST_FPERIOD_OVERRIDE=FQ","FILING_STATUS=OR","EQY_CONSOLIDATED=Y","FA_ADJUSTED=GAAP","Sort=A","Dates=H","DateFormat=P","Fill=—","Direction=H","UseDPDF=Y")</f>
        <v>#NAME?</v>
      </c>
      <c r="P34" t="e">
        <f ca="1">_xll.BDH($C$28,"NET_INCOME_TO_COMMON_MARGIN","FQ1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34" t="e">
        <f ca="1">_xll.BDH($C$28,"EFF_TAX_RATE","FQ1 2015","FQ1 2015","Currency=INR","Period=FQ","BEST_FPERIOD_OVERRIDE=FQ","FILING_STATUS=OR","EQY_CONSOLIDATED=Y","FA_ADJUSTED=GAAP","Sort=A","Dates=H","DateFormat=P","Fill=—","Direction=H","UseDPDF=Y")</f>
        <v>#NAME?</v>
      </c>
      <c r="R34" t="e">
        <f ca="1">_xll.BDH($C$28,"DVD_PAYOUT_RATIO","FQ1 2015","FQ1 2015","Currency=INR","Period=FQ","BEST_FPERIOD_OVERRIDE=FQ","FILING_STATUS=OR","EQY_CONSOLIDATED=Y","FA_ADJUSTED=GAAP","Sort=A","Dates=H","DateFormat=P","Fill=—","Direction=H","UseDPDF=Y")</f>
        <v>#NAME?</v>
      </c>
      <c r="S34" t="e">
        <f ca="1">_xll.BDH($C$28,"SUSTAIN_GROWTH_RT","FQ1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34" s="2" t="e">
        <f ca="1">_xll.BDH($C$28,"SALES_GROWTH","FQ1 2015","FQ1 2015","Currency=INR","Period=FQ","BEST_FPERIOD_OVERRIDE=FQ","FILING_STATUS=OR","EQY_CONSOLIDATED=Y","FA_ADJUSTED=GAAP","Sort=A","Dates=H","DateFormat=P","Fill=—","Direction=H","UseDPDF=Y")</f>
        <v>#NAME?</v>
      </c>
      <c r="U34" s="2" t="e">
        <f ca="1">_xll.BDH($C$28,"EBITDA_GROWTH","FQ1 2015","FQ1 2015","Currency=INR","Period=FQ","BEST_FPERIOD_OVERRIDE=FQ","FILING_STATUS=OR","EQY_CONSOLIDATED=Y","FA_ADJUSTED=GAAP","Sort=A","Dates=H","DateFormat=P","Fill=—","Direction=H","UseDPDF=Y")</f>
        <v>#NAME?</v>
      </c>
      <c r="V34" s="2" t="e">
        <f ca="1">_xll.BDH($C$28,"OPER_INC_GROWTH","FQ1 2015","FQ1 2015","Currency=INR","Period=FQ","BEST_FPERIOD_OVERRIDE=FQ","FILING_STATUS=OR","EQY_CONSOLIDATED=Y","FA_ADJUSTED=GAAP","Sort=A","Dates=H","DateFormat=P","Fill=—","Direction=H","UseDPDF=Y")</f>
        <v>#NAME?</v>
      </c>
      <c r="W34" s="2" t="e">
        <f ca="1">_xll.BDH($C$28,"EARN_FOR_COM_GROWTH","FQ1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34" s="2" t="e">
        <f ca="1">_xll.BDH($C$28,"DILUTED_EPS_AFT_XO_ITEMS_GROWTH","FQ1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34" s="2" t="e">
        <f ca="1">_xll.BDH($C$28,"DIVIDEND_PER_SHARE_1_YEAR_GROWTH","FQ1 2015","FQ1 2015","Currency=INR","Period=FQ","BEST_FPERIOD_OVERRIDE=FQ","FILING_STATUS=OR","EQY_CONSOLIDATED=Y","Sort=A","Dates=H","DateFormat=P","Fill=—","Direction=H","UseDPDF=Y")</f>
        <v>#NAME?</v>
      </c>
      <c r="Z34" s="2" t="e">
        <f ca="1">_xll.BDH($C$28,"ACCOUNTS_RECEIVABLE_GROWTH","FQ1 2015","FQ1 2015","Currency=INR","Period=FQ","BEST_FPERIOD_OVERRIDE=FQ","FILING_STATUS=OR","EQY_CONSOLIDATED=Y","Sort=A","Dates=H","DateFormat=P","Fill=—","Direction=H","UseDPDF=Y")</f>
        <v>#NAME?</v>
      </c>
      <c r="AA34" s="2" t="e">
        <f ca="1">_xll.BDH($C$28,"INVENTORY_GROWTH","FQ1 2015","FQ1 2015","Currency=INR","Period=FQ","BEST_FPERIOD_OVERRIDE=FQ","FILING_STATUS=OR","EQY_CONSOLIDATED=Y","Sort=A","Dates=H","DateFormat=P","Fill=—","Direction=H","UseDPDF=Y")</f>
        <v>#NAME?</v>
      </c>
      <c r="AB34" s="2" t="e">
        <f ca="1">_xll.BDH($C$28,"NET_FIXED_ASSETS_1_YEAR_GROWTH","FQ1 2015","FQ1 2015","Currency=INR","Period=FQ","BEST_FPERIOD_OVERRIDE=FQ","FILING_STATUS=OR","EQY_CONSOLIDATED=Y","Sort=A","Dates=H","DateFormat=P","Fill=—","Direction=H","UseDPDF=Y")</f>
        <v>#NAME?</v>
      </c>
      <c r="AC34" s="2" t="e">
        <f ca="1">_xll.BDH($C$28,"ASSET_GROWTH","FQ1 2015","FQ1 2015","Currency=INR","Period=FQ","BEST_FPERIOD_OVERRIDE=FQ","FILING_STATUS=OR","EQY_CONSOLIDATED=Y","Sort=A","Dates=H","DateFormat=P","Fill=—","Direction=H","UseDPDF=Y")</f>
        <v>#NAME?</v>
      </c>
      <c r="AD34" s="2" t="e">
        <f ca="1">_xll.BDH($C$28,"MODIFIED_WORK_CAP_GROWTH","FQ1 2015","FQ1 2015","Currency=INR","Period=FQ","BEST_FPERIOD_OVERRIDE=FQ","FILING_STATUS=OR","EQY_CONSOLIDATED=Y","Sort=A","Dates=H","DateFormat=P","Fill=—","Direction=H","UseDPDF=Y")</f>
        <v>#NAME?</v>
      </c>
      <c r="AE34" s="2" t="e">
        <f ca="1">_xll.BDH($C$28,"WORK_CAP_GROWTH","FQ1 2015","FQ1 2015","Currency=INR","Period=FQ","BEST_FPERIOD_OVERRIDE=FQ","FILING_STATUS=OR","EQY_CONSOLIDATED=Y","Sort=A","Dates=H","DateFormat=P","Fill=—","Direction=H","UseDPDF=Y")</f>
        <v>#NAME?</v>
      </c>
      <c r="AF34" s="2" t="e">
        <f ca="1">_xll.BDH($C$28,"ACCOUNTS_PAYABLE_GROWTH_1YR","FQ1 2015","FQ1 2015","Currency=INR","Period=FQ","BEST_FPERIOD_OVERRIDE=FQ","FILING_STATUS=OR","EQY_CONSOLIDATED=Y","Sort=A","Dates=H","DateFormat=P","Fill=—","Direction=H","UseDPDF=Y")</f>
        <v>#NAME?</v>
      </c>
      <c r="AG34" s="2" t="e">
        <f ca="1">_xll.BDH($C$28,"SHORT_TERM_DEBT_1_YEAR_GROWTH","FQ1 2015","FQ1 2015","Currency=INR","Period=FQ","BEST_FPERIOD_OVERRIDE=FQ","FILING_STATUS=OR","EQY_CONSOLIDATED=Y","Sort=A","Dates=H","DateFormat=P","Fill=—","Direction=H","UseDPDF=Y")</f>
        <v>#NAME?</v>
      </c>
      <c r="AH34" s="2" t="e">
        <f ca="1">_xll.BDH($C$28,"TOTAL_DEBT_1_YEAR_GROWTH","FQ1 2015","FQ1 2015","Currency=INR","Period=FQ","BEST_FPERIOD_OVERRIDE=FQ","FILING_STATUS=OR","EQY_CONSOLIDATED=Y","Sort=A","Dates=H","DateFormat=P","Fill=—","Direction=H","UseDPDF=Y")</f>
        <v>#NAME?</v>
      </c>
      <c r="AI34" s="2" t="e">
        <f ca="1">_xll.BDH($C$28,"TOTAL_EQUITY_1_YEAR_GROWTH","FQ1 2015","FQ1 2015","Currency=INR","Period=FQ","BEST_FPERIOD_OVERRIDE=FQ","FILING_STATUS=OR","EQY_CONSOLIDATED=Y","Sort=A","Dates=H","DateFormat=P","Fill=—","Direction=H","UseDPDF=Y")</f>
        <v>#NAME?</v>
      </c>
      <c r="AJ34" s="2" t="e">
        <f ca="1">_xll.BDH($C$28,"GROWTH_IN_CAP","FQ1 2015","FQ1 2015","Currency=INR","Period=FQ","BEST_FPERIOD_OVERRIDE=FQ","FILING_STATUS=OR","EQY_CONSOLIDATED=Y","Sort=A","Dates=H","DateFormat=P","Fill=—","Direction=H","UseDPDF=Y")</f>
        <v>#NAME?</v>
      </c>
      <c r="AK34" s="2" t="e">
        <f ca="1">_xll.BDH($C$28,"BVPS_GROWTH","FQ1 2015","FQ1 2015","Currency=INR","Period=FQ","BEST_FPERIOD_OVERRIDE=FQ","FILING_STATUS=OR","EQY_CONSOLIDATED=Y","Sort=A","Dates=H","DateFormat=P","Fill=—","Direction=H","UseDPDF=Y")</f>
        <v>#NAME?</v>
      </c>
      <c r="AL34" s="2" t="e">
        <f ca="1">_xll.BDH($C$28,"CASH_FLOW_GROWTH","FQ1 2015","FQ1 2015","Currency=INR","Period=FQ","BEST_FPERIOD_OVERRIDE=FQ","FILING_STATUS=OR","EQY_CONSOLIDATED=Y","Sort=A","Dates=H","DateFormat=P","Fill=—","Direction=H","UseDPDF=Y")</f>
        <v>#NAME?</v>
      </c>
      <c r="AM34" s="2" t="e">
        <f ca="1">_xll.BDH($C$28,"GEO_GROW_NET_SALES","FQ1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34" s="2" t="e">
        <f ca="1">_xll.BDH($C$28,"GEO_GROW_EBITDA","FQ1 2015","FQ1 2015","Currency=INR","Period=FQ","BEST_FPERIOD_OVERRIDE=FQ","FILING_STATUS=OR","EQY_CONSOLIDATED=Y","FA_ADJUSTED=GAAP","Sort=A","Dates=H","DateFormat=P","Fill=—","Direction=H","UseDPDF=Y")</f>
        <v>#NAME?</v>
      </c>
      <c r="AO34" s="2" t="e">
        <f ca="1">_xll.BDH($C$28,"GEO_GROW_OPER_INC","FQ1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34" s="2" t="e">
        <f ca="1">_xll.BDH($C$28,"NET_INCOME_TO_COMMON_5_YR_GROWTH","FQ1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34" s="2" t="e">
        <f ca="1">_xll.BDH($C$28,"5Y_GEO_GROWTH_DILUTED_EPS","FQ1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34" s="2" t="e">
        <f ca="1">_xll.BDH($C$28,"GEO_GROW_DVD_PER_SH","FQ1 2015","FQ1 2015","Currency=INR","Period=FQ","BEST_FPERIOD_OVERRIDE=FQ","FILING_STATUS=OR","EQY_CONSOLIDATED=Y","Sort=A","Dates=H","DateFormat=P","Fill=—","Direction=H","UseDPDF=Y")</f>
        <v>#NAME?</v>
      </c>
      <c r="AS34" s="2" t="e">
        <f ca="1">_xll.BDH($C$28,"ACCOUNTS_RECEIVABLE_5_YR_GROWTH","FQ1 2015","FQ1 2015","Currency=INR","Period=FQ","BEST_FPERIOD_OVERRIDE=FQ","FILING_STATUS=OR","EQY_CONSOLIDATED=Y","Sort=A","Dates=H","DateFormat=P","Fill=—","Direction=H","UseDPDF=Y")</f>
        <v>#NAME?</v>
      </c>
      <c r="AT34" s="2" t="e">
        <f ca="1">_xll.BDH($C$28,"INVENTORY_5_YEAR_GROWTH","FQ1 2015","FQ1 2015","Currency=INR","Period=FQ","BEST_FPERIOD_OVERRIDE=FQ","FILING_STATUS=OR","EQY_CONSOLIDATED=Y","Sort=A","Dates=H","DateFormat=P","Fill=—","Direction=H","UseDPDF=Y")</f>
        <v>#NAME?</v>
      </c>
      <c r="AU34" s="2" t="e">
        <f ca="1">_xll.BDH($C$28,"NET_FIXED_ASSETS_5_YEAR_GROWTH","FQ1 2015","FQ1 2015","Currency=INR","Period=FQ","BEST_FPERIOD_OVERRIDE=FQ","FILING_STATUS=OR","EQY_CONSOLIDATED=Y","Sort=A","Dates=H","DateFormat=P","Fill=—","Direction=H","UseDPDF=Y")</f>
        <v>#NAME?</v>
      </c>
      <c r="AV34" s="2" t="e">
        <f ca="1">_xll.BDH($C$28,"GEO_GROW_TOT_ASSET","FQ1 2015","FQ1 2015","Currency=INR","Period=FQ","BEST_FPERIOD_OVERRIDE=FQ","FILING_STATUS=OR","EQY_CONSOLIDATED=Y","Sort=A","Dates=H","DateFormat=P","Fill=—","Direction=H","UseDPDF=Y")</f>
        <v>#NAME?</v>
      </c>
      <c r="AW34" s="2" t="e">
        <f ca="1">_xll.BDH($C$28,"MODIFIED_WORKING_CPTL_5YR_GRWTH","FQ1 2015","FQ1 2015","Currency=INR","Period=FQ","BEST_FPERIOD_OVERRIDE=FQ","FILING_STATUS=OR","EQY_CONSOLIDATED=Y","Sort=A","Dates=H","DateFormat=P","Fill=—","Direction=H","UseDPDF=Y")</f>
        <v>#NAME?</v>
      </c>
      <c r="AX34" s="2" t="e">
        <f ca="1">_xll.BDH($C$28,"WORKING_CAPITAL_5_YEAR_GROWTH","FQ1 2015","FQ1 2015","Currency=INR","Period=FQ","BEST_FPERIOD_OVERRIDE=FQ","FILING_STATUS=OR","EQY_CONSOLIDATED=Y","Sort=A","Dates=H","DateFormat=P","Fill=—","Direction=H","UseDPDF=Y")</f>
        <v>#NAME?</v>
      </c>
      <c r="AY34" s="2" t="e">
        <f ca="1">_xll.BDH($C$28,"ACCOUNTS_PAYABLE_5_YEAR_GROWTH","FQ1 2015","FQ1 2015","Currency=INR","Period=FQ","BEST_FPERIOD_OVERRIDE=FQ","FILING_STATUS=OR","EQY_CONSOLIDATED=Y","Sort=A","Dates=H","DateFormat=P","Fill=—","Direction=H","UseDPDF=Y")</f>
        <v>#NAME?</v>
      </c>
      <c r="AZ34" s="2" t="e">
        <f ca="1">_xll.BDH($C$28,"SHORT_TERM_DEBT_5_YEAR_GROWTH","FQ1 2015","FQ1 2015","Currency=INR","Period=FQ","BEST_FPERIOD_OVERRIDE=FQ","FILING_STATUS=OR","EQY_CONSOLIDATED=Y","Sort=A","Dates=H","DateFormat=P","Fill=—","Direction=H","UseDPDF=Y")</f>
        <v>#NAME?</v>
      </c>
      <c r="BA34" s="2" t="e">
        <f ca="1">_xll.BDH($C$28,"TOTAL_DEBT_5_YEAR_GROWTH","FQ1 2015","FQ1 2015","Currency=INR","Period=FQ","BEST_FPERIOD_OVERRIDE=FQ","FILING_STATUS=OR","EQY_CONSOLIDATED=Y","Sort=A","Dates=H","DateFormat=P","Fill=—","Direction=H","UseDPDF=Y")</f>
        <v>#NAME?</v>
      </c>
      <c r="BB34" s="2" t="e">
        <f ca="1">_xll.BDH($C$28,"GEO_GROW_TOT_SHRHLDR_EQY","FQ1 2015","FQ1 2015","Currency=INR","Period=FQ","BEST_FPERIOD_OVERRIDE=FQ","FILING_STATUS=OR","EQY_CONSOLIDATED=Y","Sort=A","Dates=H","DateFormat=P","Fill=—","Direction=H","UseDPDF=Y")</f>
        <v>#NAME?</v>
      </c>
      <c r="BC34" s="2" t="e">
        <f ca="1">_xll.BDH($C$28,"TOTAL_CAPITAL_5_YEAR_GROWTH","FQ1 2015","FQ1 2015","Currency=INR","Period=FQ","BEST_FPERIOD_OVERRIDE=FQ","FILING_STATUS=OR","EQY_CONSOLIDATED=Y","Sort=A","Dates=H","DateFormat=P","Fill=—","Direction=H","UseDPDF=Y")</f>
        <v>#NAME?</v>
      </c>
      <c r="BD34" s="2" t="e">
        <f ca="1">_xll.BDH($C$28,"GEO_GROW_BOOK_VAL","FQ1 2015","FQ1 2015","Currency=INR","Period=FQ","BEST_FPERIOD_OVERRIDE=FQ","FILING_STATUS=OR","EQY_CONSOLIDATED=Y","Sort=A","Dates=H","DateFormat=P","Fill=—","Direction=H","UseDPDF=Y")</f>
        <v>#NAME?</v>
      </c>
      <c r="BE34" s="2" t="e">
        <f ca="1">_xll.BDH($C$28,"GEO_GROW_CASH_OPER_ACT","FQ1 2015","FQ1 2015","Currency=INR","Period=FQ","BEST_FPERIOD_OVERRIDE=FQ","FILING_STATUS=OR","EQY_CONSOLIDATED=Y","Sort=A","Dates=H","DateFormat=P","Fill=—","Direction=H","UseDPDF=Y")</f>
        <v>#NAME?</v>
      </c>
      <c r="BF34" s="2" t="e">
        <f ca="1">_xll.BDH($C$28,"REVENUE_SEQUENTIAL_GROWTH","FQ1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34" s="2" t="e">
        <f ca="1">_xll.BDH($C$28,"EBITDA_SEQUENTIAL_GROWTH","FQ1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34" s="2" t="e">
        <f ca="1">_xll.BDH($C$28,"OPERATING_INCOME_SEQ_GROWTH","FQ1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34" s="2" t="e">
        <f ca="1">_xll.BDH($C$28,"NET_INCOME_TO_COMMON_SEQ_GROWTH","FQ1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34" s="2" t="e">
        <f ca="1">_xll.BDH($C$28,"EPS_DILUTED_SEQUENTIAL_GROWTH","FQ1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34" s="2" t="e">
        <f ca="1">_xll.BDH($C$28,"DPS_SEQUENTIAL_GROWTH","FQ1 2015","FQ1 2015","Currency=INR","Period=FQ","BEST_FPERIOD_OVERRIDE=FQ","FILING_STATUS=OR","EQY_CONSOLIDATED=Y","Sort=A","Dates=H","DateFormat=P","Fill=—","Direction=H","UseDPDF=Y")</f>
        <v>#NAME?</v>
      </c>
      <c r="BL34" s="2" t="e">
        <f ca="1">_xll.BDH($C$28,"ACCOUNTS_RECEIVABLE_SEQ_GROWTH","FQ1 2015","FQ1 2015","Currency=INR","Period=FQ","BEST_FPERIOD_OVERRIDE=FQ","FILING_STATUS=OR","EQY_CONSOLIDATED=Y","Sort=A","Dates=H","DateFormat=P","Fill=—","Direction=H","UseDPDF=Y")</f>
        <v>#NAME?</v>
      </c>
      <c r="BM34" s="2" t="e">
        <f ca="1">_xll.BDH($C$28,"INVENTORY_SEQUENTIAL_GROWTH","FQ1 2015","FQ1 2015","Currency=INR","Period=FQ","BEST_FPERIOD_OVERRIDE=FQ","FILING_STATUS=OR","EQY_CONSOLIDATED=Y","Sort=A","Dates=H","DateFormat=P","Fill=—","Direction=H","UseDPDF=Y")</f>
        <v>#NAME?</v>
      </c>
      <c r="BN34" s="2" t="e">
        <f ca="1">_xll.BDH($C$28,"FIXED_ASSETS_SEQUENTIAL_GROWTH","FQ1 2015","FQ1 2015","Currency=INR","Period=FQ","BEST_FPERIOD_OVERRIDE=FQ","FILING_STATUS=OR","EQY_CONSOLIDATED=Y","Sort=A","Dates=H","DateFormat=P","Fill=—","Direction=H","UseDPDF=Y")</f>
        <v>#NAME?</v>
      </c>
      <c r="BO34" s="2" t="e">
        <f ca="1">_xll.BDH($C$28,"TOTAL_ASSETS_SEQUENTIAL_GROWTH","FQ1 2015","FQ1 2015","Currency=INR","Period=FQ","BEST_FPERIOD_OVERRIDE=FQ","FILING_STATUS=OR","EQY_CONSOLIDATED=Y","Sort=A","Dates=H","DateFormat=P","Fill=—","Direction=H","UseDPDF=Y")</f>
        <v>#NAME?</v>
      </c>
      <c r="BP34" s="2" t="e">
        <f ca="1">_xll.BDH($C$28,"MODIFIED_WORKING_CPTL_SEQ_GRWTH","FQ1 2015","FQ1 2015","Currency=INR","Period=FQ","BEST_FPERIOD_OVERRIDE=FQ","FILING_STATUS=OR","EQY_CONSOLIDATED=Y","Sort=A","Dates=H","DateFormat=P","Fill=—","Direction=H","UseDPDF=Y")</f>
        <v>#NAME?</v>
      </c>
      <c r="BQ34" s="2" t="e">
        <f ca="1">_xll.BDH($C$28,"WORKING_CAPITAL_SEQ_GROWTH","FQ1 2015","FQ1 2015","Currency=INR","Period=FQ","BEST_FPERIOD_OVERRIDE=FQ","FILING_STATUS=OR","EQY_CONSOLIDATED=Y","Sort=A","Dates=H","DateFormat=P","Fill=—","Direction=H","UseDPDF=Y")</f>
        <v>#NAME?</v>
      </c>
      <c r="BR34" s="2" t="e">
        <f ca="1">_xll.BDH($C$28,"ACCOUNTS_PAYABLE_SEQ_GROWTH","FQ1 2015","FQ1 2015","Currency=INR","Period=FQ","BEST_FPERIOD_OVERRIDE=FQ","FILING_STATUS=OR","EQY_CONSOLIDATED=Y","Sort=A","Dates=H","DateFormat=P","Fill=—","Direction=H","UseDPDF=Y")</f>
        <v>#NAME?</v>
      </c>
      <c r="BS34" s="2" t="e">
        <f ca="1">_xll.BDH($C$28,"ST_DEBT_SEQUENTIAL_GROWTH","FQ1 2015","FQ1 2015","Currency=INR","Period=FQ","BEST_FPERIOD_OVERRIDE=FQ","FILING_STATUS=OR","EQY_CONSOLIDATED=Y","Sort=A","Dates=H","DateFormat=P","Fill=—","Direction=H","UseDPDF=Y")</f>
        <v>#NAME?</v>
      </c>
      <c r="BT34" s="2" t="e">
        <f ca="1">_xll.BDH($C$28,"TOTAL_DEBT_SEQUENTIAL_GROWTH","FQ1 2015","FQ1 2015","Currency=INR","Period=FQ","BEST_FPERIOD_OVERRIDE=FQ","FILING_STATUS=OR","EQY_CONSOLIDATED=Y","Sort=A","Dates=H","DateFormat=P","Fill=—","Direction=H","UseDPDF=Y")</f>
        <v>#NAME?</v>
      </c>
      <c r="BU34" s="2" t="e">
        <f ca="1">_xll.BDH($C$28,"TOTAL_EQUITY_SEQUENTIAL_GROWTH","FQ1 2015","FQ1 2015","Currency=INR","Period=FQ","BEST_FPERIOD_OVERRIDE=FQ","FILING_STATUS=OR","EQY_CONSOLIDATED=Y","Sort=A","Dates=H","DateFormat=P","Fill=—","Direction=H","UseDPDF=Y")</f>
        <v>#NAME?</v>
      </c>
      <c r="BV34" s="2" t="e">
        <f ca="1">_xll.BDH($C$28,"TOTAL_CAPITAL_SEQUENTIAL_GROWTH","FQ1 2015","FQ1 2015","Currency=INR","Period=FQ","BEST_FPERIOD_OVERRIDE=FQ","FILING_STATUS=OR","EQY_CONSOLIDATED=Y","Sort=A","Dates=H","DateFormat=P","Fill=—","Direction=H","UseDPDF=Y")</f>
        <v>#NAME?</v>
      </c>
      <c r="BW34" s="2" t="e">
        <f ca="1">_xll.BDH($C$28,"BPS_SEQUENTIAL_GROWTH","FQ1 2015","FQ1 2015","Currency=INR","Period=FQ","BEST_FPERIOD_OVERRIDE=FQ","FILING_STATUS=OR","EQY_CONSOLIDATED=Y","Sort=A","Dates=H","DateFormat=P","Fill=—","Direction=H","UseDPDF=Y")</f>
        <v>#NAME?</v>
      </c>
      <c r="BX34" s="2" t="e">
        <f ca="1">_xll.BDH($C$28,"CFO_SEQUENTIAL_GROWTH","FQ1 2015","FQ1 2015","Currency=INR","Period=FQ","BEST_FPERIOD_OVERRIDE=FQ","FILING_STATUS=OR","EQY_CONSOLIDATED=Y","Sort=A","Dates=H","DateFormat=P","Fill=—","Direction=H","UseDPDF=Y")</f>
        <v>#NAME?</v>
      </c>
      <c r="BY34" s="3" t="e">
        <f ca="1">_xll.BDH($C$28,"SHORT_AND_LONG_TERM_DEBT","FQ1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34" s="3" t="e">
        <f ca="1">_xll.BDH($C$28,"BS_ST_BORROW","FQ1 2015","FQ1 2015","Currency=INR","Period=FQ","BEST_FPERIOD_OVERRIDE=FQ","FILING_STATUS=OR","EQY_CONSOLIDATED=Y","SCALING_FORMAT=MLN","Sort=A","Dates=H","DateFormat=P","Fill=—","Direction=H","UseDPDF=Y")</f>
        <v>#NAME?</v>
      </c>
      <c r="CA34" s="3" t="e">
        <f ca="1">_xll.BDH($C$28,"BS_LT_BORROW","FQ1 2015","FQ1 2015","Currency=INR","Period=FQ","BEST_FPERIOD_OVERRIDE=FQ","FILING_STATUS=OR","EQY_CONSOLIDATED=Y","SCALING_FORMAT=MLN","Sort=A","Dates=H","DateFormat=P","Fill=—","Direction=H","UseDPDF=Y")</f>
        <v>#NAME?</v>
      </c>
      <c r="CB34" s="2" t="e">
        <f ca="1">_xll.BDH($C$28,"TOT_DEBT_TO_EBITDA","FQ1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34" s="2" t="e">
        <f ca="1">_xll.BDH($C$28,"NET_DEBT_TO_EBITDA","FQ1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34" s="2" t="e">
        <f ca="1">_xll.BDH($C$28,"TOTAL_DEBT_TO_EBIT","FQ1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34" s="2" t="e">
        <f ca="1">_xll.BDH($C$28,"NET_DEBT_TO_EBIT","FQ1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34" s="2" t="e">
        <f ca="1">_xll.BDH($C$28,"EBITDA_TO_INTEREST_EXPN","FQ1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34" s="2" t="e">
        <f ca="1">_xll.BDH($C$28,"COM_EQY_TO_TOT_ASSET","FQ1 2015","FQ1 2015","Currency=INR","Period=FQ","BEST_FPERIOD_OVERRIDE=FQ","FILING_STATUS=OR","EQY_CONSOLIDATED=Y","Sort=A","Dates=H","DateFormat=P","Fill=—","Direction=H","UseDPDF=Y")</f>
        <v>#NAME?</v>
      </c>
      <c r="CH34" s="2" t="e">
        <f ca="1">_xll.BDH($C$28,"LT_DEBT_TO_TOT_EQY","FQ1 2015","FQ1 2015","Currency=INR","Period=FQ","BEST_FPERIOD_OVERRIDE=FQ","FILING_STATUS=OR","EQY_CONSOLIDATED=Y","Sort=A","Dates=H","DateFormat=P","Fill=—","Direction=H","UseDPDF=Y")</f>
        <v>#NAME?</v>
      </c>
      <c r="CI34" s="2" t="e">
        <f ca="1">_xll.BDH($C$28,"LT_DEBT_TO_TOT_CAP","FQ1 2015","FQ1 2015","Currency=INR","Period=FQ","BEST_FPERIOD_OVERRIDE=FQ","FILING_STATUS=OR","EQY_CONSOLIDATED=Y","Sort=A","Dates=H","DateFormat=P","Fill=—","Direction=H","UseDPDF=Y")</f>
        <v>#NAME?</v>
      </c>
      <c r="CJ34" s="2" t="e">
        <f ca="1">_xll.BDH($C$28,"LT_DEBT_TO_TOT_ASSET","FQ1 2015","FQ1 2015","Currency=INR","Period=FQ","BEST_FPERIOD_OVERRIDE=FQ","FILING_STATUS=OR","EQY_CONSOLIDATED=Y","Sort=A","Dates=H","DateFormat=P","Fill=—","Direction=H","UseDPDF=Y")</f>
        <v>#NAME?</v>
      </c>
      <c r="CK34" s="2" t="e">
        <f ca="1">_xll.BDH($C$28,"TOT_DEBT_TO_TOT_EQY","FQ1 2015","FQ1 2015","Currency=INR","Period=FQ","BEST_FPERIOD_OVERRIDE=FQ","FILING_STATUS=OR","EQY_CONSOLIDATED=Y","Sort=A","Dates=H","DateFormat=P","Fill=—","Direction=H","UseDPDF=Y")</f>
        <v>#NAME?</v>
      </c>
      <c r="CL34" s="2" t="e">
        <f ca="1">_xll.BDH($C$28,"TOT_DEBT_TO_TOT_CAP","FQ1 2015","FQ1 2015","Currency=INR","Period=FQ","BEST_FPERIOD_OVERRIDE=FQ","FILING_STATUS=OR","EQY_CONSOLIDATED=Y","Sort=A","Dates=H","DateFormat=P","Fill=—","Direction=H","UseDPDF=Y")</f>
        <v>#NAME?</v>
      </c>
      <c r="CM34" s="2" t="e">
        <f ca="1">_xll.BDH($C$28,"TOT_DEBT_TO_TOT_ASSET","FQ1 2015","FQ1 2015","Currency=INR","Period=FQ","BEST_FPERIOD_OVERRIDE=FQ","FILING_STATUS=OR","EQY_CONSOLIDATED=Y","Sort=A","Dates=H","DateFormat=P","Fill=—","Direction=H","UseDPDF=Y")</f>
        <v>#NAME?</v>
      </c>
      <c r="CN34" s="2" t="e">
        <f ca="1">_xll.BDH($C$28,"NET_DEBT_TO_SHRHLDR_EQTY","FQ1 2015","FQ1 2015","Currency=INR","Period=FQ","BEST_FPERIOD_OVERRIDE=FQ","FILING_STATUS=OR","EQY_CONSOLIDATED=Y","Sort=A","Dates=H","DateFormat=P","Fill=—","Direction=H","UseDPDF=Y")</f>
        <v>#NAME?</v>
      </c>
      <c r="CO34" s="2" t="e">
        <f ca="1">_xll.BDH($C$28,"NET_DEBT_%_CAPITAL","FQ1 2015","FQ1 2015","Currency=INR","Period=FQ","BEST_FPERIOD_OVERRIDE=FQ","FILING_STATUS=OR","EQY_CONSOLIDATED=Y","Sort=A","Dates=H","DateFormat=P","Fill=—","Direction=H","UseDPDF=Y")</f>
        <v>#NAME?</v>
      </c>
      <c r="CP34" s="3" t="e">
        <f ca="1">_xll.BDH($C$28,"EBITDA","FQ1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34" s="3" t="e">
        <f ca="1">_xll.BDH($C$28,"EBITDA_AFTER_CAPEX","FQ1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34" s="3" t="e">
        <f ca="1">_xll.BDH($C$28,"IS_OPER_INC","FQ1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34" s="2" t="e">
        <f ca="1">_xll.BDH($C$28,"CASH_RATIO","FQ1 2015","FQ1 2015","Currency=INR","Period=FQ","BEST_FPERIOD_OVERRIDE=FQ","FILING_STATUS=OR","EQY_CONSOLIDATED=Y","Sort=A","Dates=H","DateFormat=P","Fill=—","Direction=H","UseDPDF=Y")</f>
        <v>#NAME?</v>
      </c>
      <c r="CT34" s="2" t="e">
        <f ca="1">_xll.BDH($C$28,"CUR_RATIO","FQ1 2015","FQ1 2015","Currency=INR","Period=FQ","BEST_FPERIOD_OVERRIDE=FQ","FILING_STATUS=OR","EQY_CONSOLIDATED=Y","Sort=A","Dates=H","DateFormat=P","Fill=—","Direction=H","UseDPDF=Y")</f>
        <v>#NAME?</v>
      </c>
      <c r="CU34" s="2" t="e">
        <f ca="1">_xll.BDH($C$28,"QUICK_RATIO","FQ1 2015","FQ1 2015","Currency=INR","Period=FQ","BEST_FPERIOD_OVERRIDE=FQ","FILING_STATUS=OR","EQY_CONSOLIDATED=Y","Sort=A","Dates=H","DateFormat=P","Fill=—","Direction=H","UseDPDF=Y")</f>
        <v>#NAME?</v>
      </c>
      <c r="CV34" s="2" t="e">
        <f ca="1">_xll.BDH($C$28,"ALTMAN_Z_SCORE","FQ1 2015","FQ1 2015","Currency=INR","Period=FQ","BEST_FPERIOD_OVERRIDE=FQ","FILING_STATUS=OR","EQY_CONSOLIDATED=Y","Sort=A","Dates=H","DateFormat=P","Fill=—","Direction=H","UseDPDF=Y")</f>
        <v>#NAME?</v>
      </c>
      <c r="CW34" s="4" t="e">
        <f ca="1">_xll.BDH($C$28,"ACCT_RCV_TURN","FQ1 2015","FQ1 2015","Currency=INR","Period=FQ","BEST_FPERIOD_OVERRIDE=FQ","FILING_STATUS=OR","EQY_CONSOLIDATED=Y","FA_ADJUSTED=GAAP","Sort=A","Dates=H","DateFormat=P","Fill=—","Direction=H","UseDPDF=Y")</f>
        <v>#NAME?</v>
      </c>
      <c r="CX34" s="2" t="e">
        <f ca="1">_xll.BDH($C$28,"ACCT_RCV_DAYS","FQ1 2015","FQ1 2015","Currency=INR","Period=FQ","BEST_FPERIOD_OVERRIDE=FQ","FILING_STATUS=OR","EQY_CONSOLIDATED=Y","FA_ADJUSTED=GAAP","Sort=A","Dates=H","DateFormat=P","Fill=—","Direction=H","UseDPDF=Y")</f>
        <v>#NAME?</v>
      </c>
      <c r="CY34" s="4" t="e">
        <f ca="1">_xll.BDH($C$28,"INVENT_TURN","FQ1 2015","FQ1 2015","Currency=INR","Period=FQ","BEST_FPERIOD_OVERRIDE=FQ","FILING_STATUS=OR","EQY_CONSOLIDATED=Y","FA_ADJUSTED=GAAP","Sort=A","Dates=H","DateFormat=P","Fill=—","Direction=H","UseDPDF=Y")</f>
        <v>#NAME?</v>
      </c>
      <c r="CZ34" s="2" t="e">
        <f ca="1">_xll.BDH($C$28,"INVENT_DAYS","FQ1 2015","FQ1 2015","Currency=INR","Period=FQ","BEST_FPERIOD_OVERRIDE=FQ","FILING_STATUS=OR","EQY_CONSOLIDATED=Y","FA_ADJUSTED=GAAP","Sort=A","Dates=H","DateFormat=P","Fill=—","Direction=H","UseDPDF=Y")</f>
        <v>#NAME?</v>
      </c>
      <c r="DA34" s="4" t="e">
        <f ca="1">_xll.BDH($C$28,"ACCOUNTS_PAYABLE_TURNOVER","FQ1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34" s="2" t="e">
        <f ca="1">_xll.BDH($C$28,"ACCOUNTS_PAYABLE_TURNOVER_DAYS","FQ1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34" s="4" t="e">
        <f ca="1">_xll.BDH($C$28,"CASH_CONVERSION_CYCLE","FQ1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34" s="4" t="e">
        <f ca="1">_xll.BDH($C$28,"INV_TO_CASH_DAYS","FQ1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34" s="5" t="e">
        <f ca="1">_xll.BDH($C$28,"BS_INVENTORIES","FQ1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34" s="3" t="e">
        <f ca="1">_xll.BDH($C$28,"INVTRY_RAW_MATERIALS","FQ1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34" s="3" t="e">
        <f ca="1">_xll.BDH($C$28,"INVTRY_IN_PROGRESS","FQ1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34" s="3" t="e">
        <f ca="1">_xll.BDH($C$28,"INVTRY_FINISHED_GOODS","FQ1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34" s="3" t="e">
        <f ca="1">_xll.BDH($C$28,"BS_OTHER_INV","FQ1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35" spans="1:113" x14ac:dyDescent="0.3">
      <c r="A35" s="6"/>
      <c r="B35" s="6"/>
      <c r="C35" s="6"/>
      <c r="D35" s="6"/>
      <c r="E35" t="s">
        <v>79</v>
      </c>
      <c r="F35" t="e">
        <f ca="1">_xll.BDH($C$28,"RETURN_COM_EQY","FQ2 2015","FQ2 2015","Currency=INR","Period=FQ","BEST_FPERIOD_OVERRIDE=FQ","FILING_STATUS=OR","EQY_CONSOLIDATED=Y","FA_ADJUSTED=GAAP","Sort=A","Dates=H","DateFormat=P","Fill=—","Direction=H","UseDPDF=Y")</f>
        <v>#NAME?</v>
      </c>
      <c r="G35" t="e">
        <f ca="1">_xll.BDH($C$28,"RETURN_ON_ASSET","FQ2 2015","FQ2 2015","Currency=INR","Period=FQ","BEST_FPERIOD_OVERRIDE=FQ","FILING_STATUS=OR","EQY_CONSOLIDATED=Y","FA_ADJUSTED=GAAP","Sort=A","Dates=H","DateFormat=P","Fill=—","Direction=H","UseDPDF=Y")</f>
        <v>#NAME?</v>
      </c>
      <c r="H35" t="e">
        <f ca="1">_xll.BDH($C$28,"RETURN_ON_CAP","FQ2 2015","FQ2 2015","Currency=INR","Period=FQ","BEST_FPERIOD_OVERRIDE=FQ","FILING_STATUS=OR","EQY_CONSOLIDATED=Y","FA_ADJUSTED=GAAP","Sort=A","Dates=H","DateFormat=P","Fill=—","Direction=H","UseDPDF=Y")</f>
        <v>#NAME?</v>
      </c>
      <c r="I35" t="e">
        <f ca="1">_xll.BDH($C$28,"RETURN_ON_INV_CAPITAL","FQ2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35" t="e">
        <f ca="1">_xll.BDH($C$28,"EBITDA_TO_REVENUE","FQ2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35" t="e">
        <f ca="1">_xll.BDH($C$28,"OPER_MARGIN","FQ2 2015","FQ2 2015","Currency=INR","Period=FQ","BEST_FPERIOD_OVERRIDE=FQ","FILING_STATUS=OR","EQY_CONSOLIDATED=Y","FA_ADJUSTED=GAAP","Sort=A","Dates=H","DateFormat=P","Fill=—","Direction=H","UseDPDF=Y")</f>
        <v>#NAME?</v>
      </c>
      <c r="L35" t="e">
        <f ca="1">_xll.BDH($C$28,"INCREMENTAL_OPERATING_MARGIN","FQ2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35" t="e">
        <f ca="1">_xll.BDH($C$28,"PRETAX_INC_TO_NET_SALES","FQ2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35" t="e">
        <f ca="1">_xll.BDH($C$28,"INC_BEF_XO_ITEMS_TO_NET_SALES","FQ2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35" t="e">
        <f ca="1">_xll.BDH($C$28,"PROF_MARGIN","FQ2 2015","FQ2 2015","Currency=INR","Period=FQ","BEST_FPERIOD_OVERRIDE=FQ","FILING_STATUS=OR","EQY_CONSOLIDATED=Y","FA_ADJUSTED=GAAP","Sort=A","Dates=H","DateFormat=P","Fill=—","Direction=H","UseDPDF=Y")</f>
        <v>#NAME?</v>
      </c>
      <c r="P35" t="e">
        <f ca="1">_xll.BDH($C$28,"NET_INCOME_TO_COMMON_MARGIN","FQ2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35" t="e">
        <f ca="1">_xll.BDH($C$28,"EFF_TAX_RATE","FQ2 2015","FQ2 2015","Currency=INR","Period=FQ","BEST_FPERIOD_OVERRIDE=FQ","FILING_STATUS=OR","EQY_CONSOLIDATED=Y","FA_ADJUSTED=GAAP","Sort=A","Dates=H","DateFormat=P","Fill=—","Direction=H","UseDPDF=Y")</f>
        <v>#NAME?</v>
      </c>
      <c r="R35" t="e">
        <f ca="1">_xll.BDH($C$28,"DVD_PAYOUT_RATIO","FQ2 2015","FQ2 2015","Currency=INR","Period=FQ","BEST_FPERIOD_OVERRIDE=FQ","FILING_STATUS=OR","EQY_CONSOLIDATED=Y","FA_ADJUSTED=GAAP","Sort=A","Dates=H","DateFormat=P","Fill=—","Direction=H","UseDPDF=Y")</f>
        <v>#NAME?</v>
      </c>
      <c r="S35" t="e">
        <f ca="1">_xll.BDH($C$28,"SUSTAIN_GROWTH_RT","FQ2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35" s="2" t="e">
        <f ca="1">_xll.BDH($C$28,"SALES_GROWTH","FQ2 2015","FQ2 2015","Currency=INR","Period=FQ","BEST_FPERIOD_OVERRIDE=FQ","FILING_STATUS=OR","EQY_CONSOLIDATED=Y","FA_ADJUSTED=GAAP","Sort=A","Dates=H","DateFormat=P","Fill=—","Direction=H","UseDPDF=Y")</f>
        <v>#NAME?</v>
      </c>
      <c r="U35" s="2" t="e">
        <f ca="1">_xll.BDH($C$28,"EBITDA_GROWTH","FQ2 2015","FQ2 2015","Currency=INR","Period=FQ","BEST_FPERIOD_OVERRIDE=FQ","FILING_STATUS=OR","EQY_CONSOLIDATED=Y","FA_ADJUSTED=GAAP","Sort=A","Dates=H","DateFormat=P","Fill=—","Direction=H","UseDPDF=Y")</f>
        <v>#NAME?</v>
      </c>
      <c r="V35" s="2" t="e">
        <f ca="1">_xll.BDH($C$28,"OPER_INC_GROWTH","FQ2 2015","FQ2 2015","Currency=INR","Period=FQ","BEST_FPERIOD_OVERRIDE=FQ","FILING_STATUS=OR","EQY_CONSOLIDATED=Y","FA_ADJUSTED=GAAP","Sort=A","Dates=H","DateFormat=P","Fill=—","Direction=H","UseDPDF=Y")</f>
        <v>#NAME?</v>
      </c>
      <c r="W35" s="2" t="e">
        <f ca="1">_xll.BDH($C$28,"EARN_FOR_COM_GROWTH","FQ2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35" s="2" t="e">
        <f ca="1">_xll.BDH($C$28,"DILUTED_EPS_AFT_XO_ITEMS_GROWTH","FQ2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35" s="2" t="e">
        <f ca="1">_xll.BDH($C$28,"DIVIDEND_PER_SHARE_1_YEAR_GROWTH","FQ2 2015","FQ2 2015","Currency=INR","Period=FQ","BEST_FPERIOD_OVERRIDE=FQ","FILING_STATUS=OR","EQY_CONSOLIDATED=Y","Sort=A","Dates=H","DateFormat=P","Fill=—","Direction=H","UseDPDF=Y")</f>
        <v>#NAME?</v>
      </c>
      <c r="Z35" s="2" t="e">
        <f ca="1">_xll.BDH($C$28,"ACCOUNTS_RECEIVABLE_GROWTH","FQ2 2015","FQ2 2015","Currency=INR","Period=FQ","BEST_FPERIOD_OVERRIDE=FQ","FILING_STATUS=OR","EQY_CONSOLIDATED=Y","Sort=A","Dates=H","DateFormat=P","Fill=—","Direction=H","UseDPDF=Y")</f>
        <v>#NAME?</v>
      </c>
      <c r="AA35" s="2" t="e">
        <f ca="1">_xll.BDH($C$28,"INVENTORY_GROWTH","FQ2 2015","FQ2 2015","Currency=INR","Period=FQ","BEST_FPERIOD_OVERRIDE=FQ","FILING_STATUS=OR","EQY_CONSOLIDATED=Y","Sort=A","Dates=H","DateFormat=P","Fill=—","Direction=H","UseDPDF=Y")</f>
        <v>#NAME?</v>
      </c>
      <c r="AB35" s="2" t="e">
        <f ca="1">_xll.BDH($C$28,"NET_FIXED_ASSETS_1_YEAR_GROWTH","FQ2 2015","FQ2 2015","Currency=INR","Period=FQ","BEST_FPERIOD_OVERRIDE=FQ","FILING_STATUS=OR","EQY_CONSOLIDATED=Y","Sort=A","Dates=H","DateFormat=P","Fill=—","Direction=H","UseDPDF=Y")</f>
        <v>#NAME?</v>
      </c>
      <c r="AC35" s="2" t="e">
        <f ca="1">_xll.BDH($C$28,"ASSET_GROWTH","FQ2 2015","FQ2 2015","Currency=INR","Period=FQ","BEST_FPERIOD_OVERRIDE=FQ","FILING_STATUS=OR","EQY_CONSOLIDATED=Y","Sort=A","Dates=H","DateFormat=P","Fill=—","Direction=H","UseDPDF=Y")</f>
        <v>#NAME?</v>
      </c>
      <c r="AD35" s="2" t="e">
        <f ca="1">_xll.BDH($C$28,"MODIFIED_WORK_CAP_GROWTH","FQ2 2015","FQ2 2015","Currency=INR","Period=FQ","BEST_FPERIOD_OVERRIDE=FQ","FILING_STATUS=OR","EQY_CONSOLIDATED=Y","Sort=A","Dates=H","DateFormat=P","Fill=—","Direction=H","UseDPDF=Y")</f>
        <v>#NAME?</v>
      </c>
      <c r="AE35" s="2" t="e">
        <f ca="1">_xll.BDH($C$28,"WORK_CAP_GROWTH","FQ2 2015","FQ2 2015","Currency=INR","Period=FQ","BEST_FPERIOD_OVERRIDE=FQ","FILING_STATUS=OR","EQY_CONSOLIDATED=Y","Sort=A","Dates=H","DateFormat=P","Fill=—","Direction=H","UseDPDF=Y")</f>
        <v>#NAME?</v>
      </c>
      <c r="AF35" s="2" t="e">
        <f ca="1">_xll.BDH($C$28,"ACCOUNTS_PAYABLE_GROWTH_1YR","FQ2 2015","FQ2 2015","Currency=INR","Period=FQ","BEST_FPERIOD_OVERRIDE=FQ","FILING_STATUS=OR","EQY_CONSOLIDATED=Y","Sort=A","Dates=H","DateFormat=P","Fill=—","Direction=H","UseDPDF=Y")</f>
        <v>#NAME?</v>
      </c>
      <c r="AG35" s="2" t="e">
        <f ca="1">_xll.BDH($C$28,"SHORT_TERM_DEBT_1_YEAR_GROWTH","FQ2 2015","FQ2 2015","Currency=INR","Period=FQ","BEST_FPERIOD_OVERRIDE=FQ","FILING_STATUS=OR","EQY_CONSOLIDATED=Y","Sort=A","Dates=H","DateFormat=P","Fill=—","Direction=H","UseDPDF=Y")</f>
        <v>#NAME?</v>
      </c>
      <c r="AH35" s="2" t="e">
        <f ca="1">_xll.BDH($C$28,"TOTAL_DEBT_1_YEAR_GROWTH","FQ2 2015","FQ2 2015","Currency=INR","Period=FQ","BEST_FPERIOD_OVERRIDE=FQ","FILING_STATUS=OR","EQY_CONSOLIDATED=Y","Sort=A","Dates=H","DateFormat=P","Fill=—","Direction=H","UseDPDF=Y")</f>
        <v>#NAME?</v>
      </c>
      <c r="AI35" s="2" t="e">
        <f ca="1">_xll.BDH($C$28,"TOTAL_EQUITY_1_YEAR_GROWTH","FQ2 2015","FQ2 2015","Currency=INR","Period=FQ","BEST_FPERIOD_OVERRIDE=FQ","FILING_STATUS=OR","EQY_CONSOLIDATED=Y","Sort=A","Dates=H","DateFormat=P","Fill=—","Direction=H","UseDPDF=Y")</f>
        <v>#NAME?</v>
      </c>
      <c r="AJ35" s="2" t="e">
        <f ca="1">_xll.BDH($C$28,"GROWTH_IN_CAP","FQ2 2015","FQ2 2015","Currency=INR","Period=FQ","BEST_FPERIOD_OVERRIDE=FQ","FILING_STATUS=OR","EQY_CONSOLIDATED=Y","Sort=A","Dates=H","DateFormat=P","Fill=—","Direction=H","UseDPDF=Y")</f>
        <v>#NAME?</v>
      </c>
      <c r="AK35" s="2" t="e">
        <f ca="1">_xll.BDH($C$28,"BVPS_GROWTH","FQ2 2015","FQ2 2015","Currency=INR","Period=FQ","BEST_FPERIOD_OVERRIDE=FQ","FILING_STATUS=OR","EQY_CONSOLIDATED=Y","Sort=A","Dates=H","DateFormat=P","Fill=—","Direction=H","UseDPDF=Y")</f>
        <v>#NAME?</v>
      </c>
      <c r="AL35" s="2" t="e">
        <f ca="1">_xll.BDH($C$28,"CASH_FLOW_GROWTH","FQ2 2015","FQ2 2015","Currency=INR","Period=FQ","BEST_FPERIOD_OVERRIDE=FQ","FILING_STATUS=OR","EQY_CONSOLIDATED=Y","Sort=A","Dates=H","DateFormat=P","Fill=—","Direction=H","UseDPDF=Y")</f>
        <v>#NAME?</v>
      </c>
      <c r="AM35" s="2" t="e">
        <f ca="1">_xll.BDH($C$28,"GEO_GROW_NET_SALES","FQ2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35" s="2" t="e">
        <f ca="1">_xll.BDH($C$28,"GEO_GROW_EBITDA","FQ2 2015","FQ2 2015","Currency=INR","Period=FQ","BEST_FPERIOD_OVERRIDE=FQ","FILING_STATUS=OR","EQY_CONSOLIDATED=Y","FA_ADJUSTED=GAAP","Sort=A","Dates=H","DateFormat=P","Fill=—","Direction=H","UseDPDF=Y")</f>
        <v>#NAME?</v>
      </c>
      <c r="AO35" s="2" t="e">
        <f ca="1">_xll.BDH($C$28,"GEO_GROW_OPER_INC","FQ2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35" s="2" t="e">
        <f ca="1">_xll.BDH($C$28,"NET_INCOME_TO_COMMON_5_YR_GROWTH","FQ2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35" s="2" t="e">
        <f ca="1">_xll.BDH($C$28,"5Y_GEO_GROWTH_DILUTED_EPS","FQ2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35" s="2" t="e">
        <f ca="1">_xll.BDH($C$28,"GEO_GROW_DVD_PER_SH","FQ2 2015","FQ2 2015","Currency=INR","Period=FQ","BEST_FPERIOD_OVERRIDE=FQ","FILING_STATUS=OR","EQY_CONSOLIDATED=Y","Sort=A","Dates=H","DateFormat=P","Fill=—","Direction=H","UseDPDF=Y")</f>
        <v>#NAME?</v>
      </c>
      <c r="AS35" s="2" t="e">
        <f ca="1">_xll.BDH($C$28,"ACCOUNTS_RECEIVABLE_5_YR_GROWTH","FQ2 2015","FQ2 2015","Currency=INR","Period=FQ","BEST_FPERIOD_OVERRIDE=FQ","FILING_STATUS=OR","EQY_CONSOLIDATED=Y","Sort=A","Dates=H","DateFormat=P","Fill=—","Direction=H","UseDPDF=Y")</f>
        <v>#NAME?</v>
      </c>
      <c r="AT35" s="2" t="e">
        <f ca="1">_xll.BDH($C$28,"INVENTORY_5_YEAR_GROWTH","FQ2 2015","FQ2 2015","Currency=INR","Period=FQ","BEST_FPERIOD_OVERRIDE=FQ","FILING_STATUS=OR","EQY_CONSOLIDATED=Y","Sort=A","Dates=H","DateFormat=P","Fill=—","Direction=H","UseDPDF=Y")</f>
        <v>#NAME?</v>
      </c>
      <c r="AU35" s="2" t="e">
        <f ca="1">_xll.BDH($C$28,"NET_FIXED_ASSETS_5_YEAR_GROWTH","FQ2 2015","FQ2 2015","Currency=INR","Period=FQ","BEST_FPERIOD_OVERRIDE=FQ","FILING_STATUS=OR","EQY_CONSOLIDATED=Y","Sort=A","Dates=H","DateFormat=P","Fill=—","Direction=H","UseDPDF=Y")</f>
        <v>#NAME?</v>
      </c>
      <c r="AV35" s="2" t="e">
        <f ca="1">_xll.BDH($C$28,"GEO_GROW_TOT_ASSET","FQ2 2015","FQ2 2015","Currency=INR","Period=FQ","BEST_FPERIOD_OVERRIDE=FQ","FILING_STATUS=OR","EQY_CONSOLIDATED=Y","Sort=A","Dates=H","DateFormat=P","Fill=—","Direction=H","UseDPDF=Y")</f>
        <v>#NAME?</v>
      </c>
      <c r="AW35" s="2" t="e">
        <f ca="1">_xll.BDH($C$28,"MODIFIED_WORKING_CPTL_5YR_GRWTH","FQ2 2015","FQ2 2015","Currency=INR","Period=FQ","BEST_FPERIOD_OVERRIDE=FQ","FILING_STATUS=OR","EQY_CONSOLIDATED=Y","Sort=A","Dates=H","DateFormat=P","Fill=—","Direction=H","UseDPDF=Y")</f>
        <v>#NAME?</v>
      </c>
      <c r="AX35" s="2" t="e">
        <f ca="1">_xll.BDH($C$28,"WORKING_CAPITAL_5_YEAR_GROWTH","FQ2 2015","FQ2 2015","Currency=INR","Period=FQ","BEST_FPERIOD_OVERRIDE=FQ","FILING_STATUS=OR","EQY_CONSOLIDATED=Y","Sort=A","Dates=H","DateFormat=P","Fill=—","Direction=H","UseDPDF=Y")</f>
        <v>#NAME?</v>
      </c>
      <c r="AY35" s="2" t="e">
        <f ca="1">_xll.BDH($C$28,"ACCOUNTS_PAYABLE_5_YEAR_GROWTH","FQ2 2015","FQ2 2015","Currency=INR","Period=FQ","BEST_FPERIOD_OVERRIDE=FQ","FILING_STATUS=OR","EQY_CONSOLIDATED=Y","Sort=A","Dates=H","DateFormat=P","Fill=—","Direction=H","UseDPDF=Y")</f>
        <v>#NAME?</v>
      </c>
      <c r="AZ35" s="2" t="e">
        <f ca="1">_xll.BDH($C$28,"SHORT_TERM_DEBT_5_YEAR_GROWTH","FQ2 2015","FQ2 2015","Currency=INR","Period=FQ","BEST_FPERIOD_OVERRIDE=FQ","FILING_STATUS=OR","EQY_CONSOLIDATED=Y","Sort=A","Dates=H","DateFormat=P","Fill=—","Direction=H","UseDPDF=Y")</f>
        <v>#NAME?</v>
      </c>
      <c r="BA35" s="2" t="e">
        <f ca="1">_xll.BDH($C$28,"TOTAL_DEBT_5_YEAR_GROWTH","FQ2 2015","FQ2 2015","Currency=INR","Period=FQ","BEST_FPERIOD_OVERRIDE=FQ","FILING_STATUS=OR","EQY_CONSOLIDATED=Y","Sort=A","Dates=H","DateFormat=P","Fill=—","Direction=H","UseDPDF=Y")</f>
        <v>#NAME?</v>
      </c>
      <c r="BB35" s="2" t="e">
        <f ca="1">_xll.BDH($C$28,"GEO_GROW_TOT_SHRHLDR_EQY","FQ2 2015","FQ2 2015","Currency=INR","Period=FQ","BEST_FPERIOD_OVERRIDE=FQ","FILING_STATUS=OR","EQY_CONSOLIDATED=Y","Sort=A","Dates=H","DateFormat=P","Fill=—","Direction=H","UseDPDF=Y")</f>
        <v>#NAME?</v>
      </c>
      <c r="BC35" s="2" t="e">
        <f ca="1">_xll.BDH($C$28,"TOTAL_CAPITAL_5_YEAR_GROWTH","FQ2 2015","FQ2 2015","Currency=INR","Period=FQ","BEST_FPERIOD_OVERRIDE=FQ","FILING_STATUS=OR","EQY_CONSOLIDATED=Y","Sort=A","Dates=H","DateFormat=P","Fill=—","Direction=H","UseDPDF=Y")</f>
        <v>#NAME?</v>
      </c>
      <c r="BD35" s="2" t="e">
        <f ca="1">_xll.BDH($C$28,"GEO_GROW_BOOK_VAL","FQ2 2015","FQ2 2015","Currency=INR","Period=FQ","BEST_FPERIOD_OVERRIDE=FQ","FILING_STATUS=OR","EQY_CONSOLIDATED=Y","Sort=A","Dates=H","DateFormat=P","Fill=—","Direction=H","UseDPDF=Y")</f>
        <v>#NAME?</v>
      </c>
      <c r="BE35" s="2" t="e">
        <f ca="1">_xll.BDH($C$28,"GEO_GROW_CASH_OPER_ACT","FQ2 2015","FQ2 2015","Currency=INR","Period=FQ","BEST_FPERIOD_OVERRIDE=FQ","FILING_STATUS=OR","EQY_CONSOLIDATED=Y","Sort=A","Dates=H","DateFormat=P","Fill=—","Direction=H","UseDPDF=Y")</f>
        <v>#NAME?</v>
      </c>
      <c r="BF35" s="2" t="e">
        <f ca="1">_xll.BDH($C$28,"REVENUE_SEQUENTIAL_GROWTH","FQ2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35" s="2" t="e">
        <f ca="1">_xll.BDH($C$28,"EBITDA_SEQUENTIAL_GROWTH","FQ2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35" s="2" t="e">
        <f ca="1">_xll.BDH($C$28,"OPERATING_INCOME_SEQ_GROWTH","FQ2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35" s="2" t="e">
        <f ca="1">_xll.BDH($C$28,"NET_INCOME_TO_COMMON_SEQ_GROWTH","FQ2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35" s="2" t="e">
        <f ca="1">_xll.BDH($C$28,"EPS_DILUTED_SEQUENTIAL_GROWTH","FQ2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35" s="2" t="e">
        <f ca="1">_xll.BDH($C$28,"DPS_SEQUENTIAL_GROWTH","FQ2 2015","FQ2 2015","Currency=INR","Period=FQ","BEST_FPERIOD_OVERRIDE=FQ","FILING_STATUS=OR","EQY_CONSOLIDATED=Y","Sort=A","Dates=H","DateFormat=P","Fill=—","Direction=H","UseDPDF=Y")</f>
        <v>#NAME?</v>
      </c>
      <c r="BL35" s="2" t="e">
        <f ca="1">_xll.BDH($C$28,"ACCOUNTS_RECEIVABLE_SEQ_GROWTH","FQ2 2015","FQ2 2015","Currency=INR","Period=FQ","BEST_FPERIOD_OVERRIDE=FQ","FILING_STATUS=OR","EQY_CONSOLIDATED=Y","Sort=A","Dates=H","DateFormat=P","Fill=—","Direction=H","UseDPDF=Y")</f>
        <v>#NAME?</v>
      </c>
      <c r="BM35" s="2" t="e">
        <f ca="1">_xll.BDH($C$28,"INVENTORY_SEQUENTIAL_GROWTH","FQ2 2015","FQ2 2015","Currency=INR","Period=FQ","BEST_FPERIOD_OVERRIDE=FQ","FILING_STATUS=OR","EQY_CONSOLIDATED=Y","Sort=A","Dates=H","DateFormat=P","Fill=—","Direction=H","UseDPDF=Y")</f>
        <v>#NAME?</v>
      </c>
      <c r="BN35" s="2" t="e">
        <f ca="1">_xll.BDH($C$28,"FIXED_ASSETS_SEQUENTIAL_GROWTH","FQ2 2015","FQ2 2015","Currency=INR","Period=FQ","BEST_FPERIOD_OVERRIDE=FQ","FILING_STATUS=OR","EQY_CONSOLIDATED=Y","Sort=A","Dates=H","DateFormat=P","Fill=—","Direction=H","UseDPDF=Y")</f>
        <v>#NAME?</v>
      </c>
      <c r="BO35" s="2" t="e">
        <f ca="1">_xll.BDH($C$28,"TOTAL_ASSETS_SEQUENTIAL_GROWTH","FQ2 2015","FQ2 2015","Currency=INR","Period=FQ","BEST_FPERIOD_OVERRIDE=FQ","FILING_STATUS=OR","EQY_CONSOLIDATED=Y","Sort=A","Dates=H","DateFormat=P","Fill=—","Direction=H","UseDPDF=Y")</f>
        <v>#NAME?</v>
      </c>
      <c r="BP35" s="2" t="e">
        <f ca="1">_xll.BDH($C$28,"MODIFIED_WORKING_CPTL_SEQ_GRWTH","FQ2 2015","FQ2 2015","Currency=INR","Period=FQ","BEST_FPERIOD_OVERRIDE=FQ","FILING_STATUS=OR","EQY_CONSOLIDATED=Y","Sort=A","Dates=H","DateFormat=P","Fill=—","Direction=H","UseDPDF=Y")</f>
        <v>#NAME?</v>
      </c>
      <c r="BQ35" s="2" t="e">
        <f ca="1">_xll.BDH($C$28,"WORKING_CAPITAL_SEQ_GROWTH","FQ2 2015","FQ2 2015","Currency=INR","Period=FQ","BEST_FPERIOD_OVERRIDE=FQ","FILING_STATUS=OR","EQY_CONSOLIDATED=Y","Sort=A","Dates=H","DateFormat=P","Fill=—","Direction=H","UseDPDF=Y")</f>
        <v>#NAME?</v>
      </c>
      <c r="BR35" s="2" t="e">
        <f ca="1">_xll.BDH($C$28,"ACCOUNTS_PAYABLE_SEQ_GROWTH","FQ2 2015","FQ2 2015","Currency=INR","Period=FQ","BEST_FPERIOD_OVERRIDE=FQ","FILING_STATUS=OR","EQY_CONSOLIDATED=Y","Sort=A","Dates=H","DateFormat=P","Fill=—","Direction=H","UseDPDF=Y")</f>
        <v>#NAME?</v>
      </c>
      <c r="BS35" s="2" t="e">
        <f ca="1">_xll.BDH($C$28,"ST_DEBT_SEQUENTIAL_GROWTH","FQ2 2015","FQ2 2015","Currency=INR","Period=FQ","BEST_FPERIOD_OVERRIDE=FQ","FILING_STATUS=OR","EQY_CONSOLIDATED=Y","Sort=A","Dates=H","DateFormat=P","Fill=—","Direction=H","UseDPDF=Y")</f>
        <v>#NAME?</v>
      </c>
      <c r="BT35" s="2" t="e">
        <f ca="1">_xll.BDH($C$28,"TOTAL_DEBT_SEQUENTIAL_GROWTH","FQ2 2015","FQ2 2015","Currency=INR","Period=FQ","BEST_FPERIOD_OVERRIDE=FQ","FILING_STATUS=OR","EQY_CONSOLIDATED=Y","Sort=A","Dates=H","DateFormat=P","Fill=—","Direction=H","UseDPDF=Y")</f>
        <v>#NAME?</v>
      </c>
      <c r="BU35" s="2" t="e">
        <f ca="1">_xll.BDH($C$28,"TOTAL_EQUITY_SEQUENTIAL_GROWTH","FQ2 2015","FQ2 2015","Currency=INR","Period=FQ","BEST_FPERIOD_OVERRIDE=FQ","FILING_STATUS=OR","EQY_CONSOLIDATED=Y","Sort=A","Dates=H","DateFormat=P","Fill=—","Direction=H","UseDPDF=Y")</f>
        <v>#NAME?</v>
      </c>
      <c r="BV35" s="2" t="e">
        <f ca="1">_xll.BDH($C$28,"TOTAL_CAPITAL_SEQUENTIAL_GROWTH","FQ2 2015","FQ2 2015","Currency=INR","Period=FQ","BEST_FPERIOD_OVERRIDE=FQ","FILING_STATUS=OR","EQY_CONSOLIDATED=Y","Sort=A","Dates=H","DateFormat=P","Fill=—","Direction=H","UseDPDF=Y")</f>
        <v>#NAME?</v>
      </c>
      <c r="BW35" s="2" t="e">
        <f ca="1">_xll.BDH($C$28,"BPS_SEQUENTIAL_GROWTH","FQ2 2015","FQ2 2015","Currency=INR","Period=FQ","BEST_FPERIOD_OVERRIDE=FQ","FILING_STATUS=OR","EQY_CONSOLIDATED=Y","Sort=A","Dates=H","DateFormat=P","Fill=—","Direction=H","UseDPDF=Y")</f>
        <v>#NAME?</v>
      </c>
      <c r="BX35" s="2" t="e">
        <f ca="1">_xll.BDH($C$28,"CFO_SEQUENTIAL_GROWTH","FQ2 2015","FQ2 2015","Currency=INR","Period=FQ","BEST_FPERIOD_OVERRIDE=FQ","FILING_STATUS=OR","EQY_CONSOLIDATED=Y","Sort=A","Dates=H","DateFormat=P","Fill=—","Direction=H","UseDPDF=Y")</f>
        <v>#NAME?</v>
      </c>
      <c r="BY35" s="3" t="e">
        <f ca="1">_xll.BDH($C$28,"SHORT_AND_LONG_TERM_DEBT","FQ2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35" s="3" t="e">
        <f ca="1">_xll.BDH($C$28,"BS_ST_BORROW","FQ2 2015","FQ2 2015","Currency=INR","Period=FQ","BEST_FPERIOD_OVERRIDE=FQ","FILING_STATUS=OR","EQY_CONSOLIDATED=Y","SCALING_FORMAT=MLN","Sort=A","Dates=H","DateFormat=P","Fill=—","Direction=H","UseDPDF=Y")</f>
        <v>#NAME?</v>
      </c>
      <c r="CA35" s="3" t="e">
        <f ca="1">_xll.BDH($C$28,"BS_LT_BORROW","FQ2 2015","FQ2 2015","Currency=INR","Period=FQ","BEST_FPERIOD_OVERRIDE=FQ","FILING_STATUS=OR","EQY_CONSOLIDATED=Y","SCALING_FORMAT=MLN","Sort=A","Dates=H","DateFormat=P","Fill=—","Direction=H","UseDPDF=Y")</f>
        <v>#NAME?</v>
      </c>
      <c r="CB35" s="2" t="e">
        <f ca="1">_xll.BDH($C$28,"TOT_DEBT_TO_EBITDA","FQ2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35" s="2" t="e">
        <f ca="1">_xll.BDH($C$28,"NET_DEBT_TO_EBITDA","FQ2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35" s="2" t="e">
        <f ca="1">_xll.BDH($C$28,"TOTAL_DEBT_TO_EBIT","FQ2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35" s="2" t="e">
        <f ca="1">_xll.BDH($C$28,"NET_DEBT_TO_EBIT","FQ2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35" s="2" t="e">
        <f ca="1">_xll.BDH($C$28,"EBITDA_TO_INTEREST_EXPN","FQ2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35" s="2" t="e">
        <f ca="1">_xll.BDH($C$28,"COM_EQY_TO_TOT_ASSET","FQ2 2015","FQ2 2015","Currency=INR","Period=FQ","BEST_FPERIOD_OVERRIDE=FQ","FILING_STATUS=OR","EQY_CONSOLIDATED=Y","Sort=A","Dates=H","DateFormat=P","Fill=—","Direction=H","UseDPDF=Y")</f>
        <v>#NAME?</v>
      </c>
      <c r="CH35" s="2" t="e">
        <f ca="1">_xll.BDH($C$28,"LT_DEBT_TO_TOT_EQY","FQ2 2015","FQ2 2015","Currency=INR","Period=FQ","BEST_FPERIOD_OVERRIDE=FQ","FILING_STATUS=OR","EQY_CONSOLIDATED=Y","Sort=A","Dates=H","DateFormat=P","Fill=—","Direction=H","UseDPDF=Y")</f>
        <v>#NAME?</v>
      </c>
      <c r="CI35" s="2" t="e">
        <f ca="1">_xll.BDH($C$28,"LT_DEBT_TO_TOT_CAP","FQ2 2015","FQ2 2015","Currency=INR","Period=FQ","BEST_FPERIOD_OVERRIDE=FQ","FILING_STATUS=OR","EQY_CONSOLIDATED=Y","Sort=A","Dates=H","DateFormat=P","Fill=—","Direction=H","UseDPDF=Y")</f>
        <v>#NAME?</v>
      </c>
      <c r="CJ35" s="2" t="e">
        <f ca="1">_xll.BDH($C$28,"LT_DEBT_TO_TOT_ASSET","FQ2 2015","FQ2 2015","Currency=INR","Period=FQ","BEST_FPERIOD_OVERRIDE=FQ","FILING_STATUS=OR","EQY_CONSOLIDATED=Y","Sort=A","Dates=H","DateFormat=P","Fill=—","Direction=H","UseDPDF=Y")</f>
        <v>#NAME?</v>
      </c>
      <c r="CK35" s="2" t="e">
        <f ca="1">_xll.BDH($C$28,"TOT_DEBT_TO_TOT_EQY","FQ2 2015","FQ2 2015","Currency=INR","Period=FQ","BEST_FPERIOD_OVERRIDE=FQ","FILING_STATUS=OR","EQY_CONSOLIDATED=Y","Sort=A","Dates=H","DateFormat=P","Fill=—","Direction=H","UseDPDF=Y")</f>
        <v>#NAME?</v>
      </c>
      <c r="CL35" s="2" t="e">
        <f ca="1">_xll.BDH($C$28,"TOT_DEBT_TO_TOT_CAP","FQ2 2015","FQ2 2015","Currency=INR","Period=FQ","BEST_FPERIOD_OVERRIDE=FQ","FILING_STATUS=OR","EQY_CONSOLIDATED=Y","Sort=A","Dates=H","DateFormat=P","Fill=—","Direction=H","UseDPDF=Y")</f>
        <v>#NAME?</v>
      </c>
      <c r="CM35" s="2" t="e">
        <f ca="1">_xll.BDH($C$28,"TOT_DEBT_TO_TOT_ASSET","FQ2 2015","FQ2 2015","Currency=INR","Period=FQ","BEST_FPERIOD_OVERRIDE=FQ","FILING_STATUS=OR","EQY_CONSOLIDATED=Y","Sort=A","Dates=H","DateFormat=P","Fill=—","Direction=H","UseDPDF=Y")</f>
        <v>#NAME?</v>
      </c>
      <c r="CN35" s="2" t="e">
        <f ca="1">_xll.BDH($C$28,"NET_DEBT_TO_SHRHLDR_EQTY","FQ2 2015","FQ2 2015","Currency=INR","Period=FQ","BEST_FPERIOD_OVERRIDE=FQ","FILING_STATUS=OR","EQY_CONSOLIDATED=Y","Sort=A","Dates=H","DateFormat=P","Fill=—","Direction=H","UseDPDF=Y")</f>
        <v>#NAME?</v>
      </c>
      <c r="CO35" s="2" t="e">
        <f ca="1">_xll.BDH($C$28,"NET_DEBT_%_CAPITAL","FQ2 2015","FQ2 2015","Currency=INR","Period=FQ","BEST_FPERIOD_OVERRIDE=FQ","FILING_STATUS=OR","EQY_CONSOLIDATED=Y","Sort=A","Dates=H","DateFormat=P","Fill=—","Direction=H","UseDPDF=Y")</f>
        <v>#NAME?</v>
      </c>
      <c r="CP35" s="3" t="e">
        <f ca="1">_xll.BDH($C$28,"EBITDA","FQ2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35" s="3" t="e">
        <f ca="1">_xll.BDH($C$28,"EBITDA_AFTER_CAPEX","FQ2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35" s="3" t="e">
        <f ca="1">_xll.BDH($C$28,"IS_OPER_INC","FQ2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35" s="2" t="e">
        <f ca="1">_xll.BDH($C$28,"CASH_RATIO","FQ2 2015","FQ2 2015","Currency=INR","Period=FQ","BEST_FPERIOD_OVERRIDE=FQ","FILING_STATUS=OR","EQY_CONSOLIDATED=Y","Sort=A","Dates=H","DateFormat=P","Fill=—","Direction=H","UseDPDF=Y")</f>
        <v>#NAME?</v>
      </c>
      <c r="CT35" s="2" t="e">
        <f ca="1">_xll.BDH($C$28,"CUR_RATIO","FQ2 2015","FQ2 2015","Currency=INR","Period=FQ","BEST_FPERIOD_OVERRIDE=FQ","FILING_STATUS=OR","EQY_CONSOLIDATED=Y","Sort=A","Dates=H","DateFormat=P","Fill=—","Direction=H","UseDPDF=Y")</f>
        <v>#NAME?</v>
      </c>
      <c r="CU35" s="2" t="e">
        <f ca="1">_xll.BDH($C$28,"QUICK_RATIO","FQ2 2015","FQ2 2015","Currency=INR","Period=FQ","BEST_FPERIOD_OVERRIDE=FQ","FILING_STATUS=OR","EQY_CONSOLIDATED=Y","Sort=A","Dates=H","DateFormat=P","Fill=—","Direction=H","UseDPDF=Y")</f>
        <v>#NAME?</v>
      </c>
      <c r="CV35" s="2" t="e">
        <f ca="1">_xll.BDH($C$28,"ALTMAN_Z_SCORE","FQ2 2015","FQ2 2015","Currency=INR","Period=FQ","BEST_FPERIOD_OVERRIDE=FQ","FILING_STATUS=OR","EQY_CONSOLIDATED=Y","Sort=A","Dates=H","DateFormat=P","Fill=—","Direction=H","UseDPDF=Y")</f>
        <v>#NAME?</v>
      </c>
      <c r="CW35" s="4" t="e">
        <f ca="1">_xll.BDH($C$28,"ACCT_RCV_TURN","FQ2 2015","FQ2 2015","Currency=INR","Period=FQ","BEST_FPERIOD_OVERRIDE=FQ","FILING_STATUS=OR","EQY_CONSOLIDATED=Y","FA_ADJUSTED=GAAP","Sort=A","Dates=H","DateFormat=P","Fill=—","Direction=H","UseDPDF=Y")</f>
        <v>#NAME?</v>
      </c>
      <c r="CX35" s="2" t="e">
        <f ca="1">_xll.BDH($C$28,"ACCT_RCV_DAYS","FQ2 2015","FQ2 2015","Currency=INR","Period=FQ","BEST_FPERIOD_OVERRIDE=FQ","FILING_STATUS=OR","EQY_CONSOLIDATED=Y","FA_ADJUSTED=GAAP","Sort=A","Dates=H","DateFormat=P","Fill=—","Direction=H","UseDPDF=Y")</f>
        <v>#NAME?</v>
      </c>
      <c r="CY35" s="4" t="e">
        <f ca="1">_xll.BDH($C$28,"INVENT_TURN","FQ2 2015","FQ2 2015","Currency=INR","Period=FQ","BEST_FPERIOD_OVERRIDE=FQ","FILING_STATUS=OR","EQY_CONSOLIDATED=Y","FA_ADJUSTED=GAAP","Sort=A","Dates=H","DateFormat=P","Fill=—","Direction=H","UseDPDF=Y")</f>
        <v>#NAME?</v>
      </c>
      <c r="CZ35" s="2" t="e">
        <f ca="1">_xll.BDH($C$28,"INVENT_DAYS","FQ2 2015","FQ2 2015","Currency=INR","Period=FQ","BEST_FPERIOD_OVERRIDE=FQ","FILING_STATUS=OR","EQY_CONSOLIDATED=Y","FA_ADJUSTED=GAAP","Sort=A","Dates=H","DateFormat=P","Fill=—","Direction=H","UseDPDF=Y")</f>
        <v>#NAME?</v>
      </c>
      <c r="DA35" s="4" t="e">
        <f ca="1">_xll.BDH($C$28,"ACCOUNTS_PAYABLE_TURNOVER","FQ2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35" s="2" t="e">
        <f ca="1">_xll.BDH($C$28,"ACCOUNTS_PAYABLE_TURNOVER_DAYS","FQ2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35" s="4" t="e">
        <f ca="1">_xll.BDH($C$28,"CASH_CONVERSION_CYCLE","FQ2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35" s="4" t="e">
        <f ca="1">_xll.BDH($C$28,"INV_TO_CASH_DAYS","FQ2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35" s="5" t="e">
        <f ca="1">_xll.BDH($C$28,"BS_INVENTORIES","FQ2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35" s="3" t="e">
        <f ca="1">_xll.BDH($C$28,"INVTRY_RAW_MATERIALS","FQ2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35" s="3" t="e">
        <f ca="1">_xll.BDH($C$28,"INVTRY_IN_PROGRESS","FQ2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35" s="3" t="e">
        <f ca="1">_xll.BDH($C$28,"INVTRY_FINISHED_GOODS","FQ2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35" s="3" t="e">
        <f ca="1">_xll.BDH($C$28,"BS_OTHER_INV","FQ2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36" spans="1:113" x14ac:dyDescent="0.3">
      <c r="A36" s="6"/>
      <c r="B36" s="6"/>
      <c r="C36" s="6"/>
      <c r="D36" s="6"/>
      <c r="E36" t="s">
        <v>80</v>
      </c>
      <c r="F36" t="e">
        <f ca="1">_xll.BDH($C$28,"RETURN_COM_EQY","FQ3 2015","FQ3 2015","Currency=INR","Period=FQ","BEST_FPERIOD_OVERRIDE=FQ","FILING_STATUS=OR","EQY_CONSOLIDATED=Y","FA_ADJUSTED=GAAP","Sort=A","Dates=H","DateFormat=P","Fill=—","Direction=H","UseDPDF=Y")</f>
        <v>#NAME?</v>
      </c>
      <c r="G36" t="e">
        <f ca="1">_xll.BDH($C$28,"RETURN_ON_ASSET","FQ3 2015","FQ3 2015","Currency=INR","Period=FQ","BEST_FPERIOD_OVERRIDE=FQ","FILING_STATUS=OR","EQY_CONSOLIDATED=Y","FA_ADJUSTED=GAAP","Sort=A","Dates=H","DateFormat=P","Fill=—","Direction=H","UseDPDF=Y")</f>
        <v>#NAME?</v>
      </c>
      <c r="H36" t="e">
        <f ca="1">_xll.BDH($C$28,"RETURN_ON_CAP","FQ3 2015","FQ3 2015","Currency=INR","Period=FQ","BEST_FPERIOD_OVERRIDE=FQ","FILING_STATUS=OR","EQY_CONSOLIDATED=Y","FA_ADJUSTED=GAAP","Sort=A","Dates=H","DateFormat=P","Fill=—","Direction=H","UseDPDF=Y")</f>
        <v>#NAME?</v>
      </c>
      <c r="I36" t="e">
        <f ca="1">_xll.BDH($C$28,"RETURN_ON_INV_CAPITAL","FQ3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36" t="e">
        <f ca="1">_xll.BDH($C$28,"EBITDA_TO_REVENUE","FQ3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36" t="e">
        <f ca="1">_xll.BDH($C$28,"OPER_MARGIN","FQ3 2015","FQ3 2015","Currency=INR","Period=FQ","BEST_FPERIOD_OVERRIDE=FQ","FILING_STATUS=OR","EQY_CONSOLIDATED=Y","FA_ADJUSTED=GAAP","Sort=A","Dates=H","DateFormat=P","Fill=—","Direction=H","UseDPDF=Y")</f>
        <v>#NAME?</v>
      </c>
      <c r="L36" t="e">
        <f ca="1">_xll.BDH($C$28,"INCREMENTAL_OPERATING_MARGIN","FQ3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36" t="e">
        <f ca="1">_xll.BDH($C$28,"PRETAX_INC_TO_NET_SALES","FQ3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36" t="e">
        <f ca="1">_xll.BDH($C$28,"INC_BEF_XO_ITEMS_TO_NET_SALES","FQ3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36" t="e">
        <f ca="1">_xll.BDH($C$28,"PROF_MARGIN","FQ3 2015","FQ3 2015","Currency=INR","Period=FQ","BEST_FPERIOD_OVERRIDE=FQ","FILING_STATUS=OR","EQY_CONSOLIDATED=Y","FA_ADJUSTED=GAAP","Sort=A","Dates=H","DateFormat=P","Fill=—","Direction=H","UseDPDF=Y")</f>
        <v>#NAME?</v>
      </c>
      <c r="P36" t="e">
        <f ca="1">_xll.BDH($C$28,"NET_INCOME_TO_COMMON_MARGIN","FQ3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36" t="e">
        <f ca="1">_xll.BDH($C$28,"EFF_TAX_RATE","FQ3 2015","FQ3 2015","Currency=INR","Period=FQ","BEST_FPERIOD_OVERRIDE=FQ","FILING_STATUS=OR","EQY_CONSOLIDATED=Y","FA_ADJUSTED=GAAP","Sort=A","Dates=H","DateFormat=P","Fill=—","Direction=H","UseDPDF=Y")</f>
        <v>#NAME?</v>
      </c>
      <c r="R36" t="e">
        <f ca="1">_xll.BDH($C$28,"DVD_PAYOUT_RATIO","FQ3 2015","FQ3 2015","Currency=INR","Period=FQ","BEST_FPERIOD_OVERRIDE=FQ","FILING_STATUS=OR","EQY_CONSOLIDATED=Y","FA_ADJUSTED=GAAP","Sort=A","Dates=H","DateFormat=P","Fill=—","Direction=H","UseDPDF=Y")</f>
        <v>#NAME?</v>
      </c>
      <c r="S36" t="e">
        <f ca="1">_xll.BDH($C$28,"SUSTAIN_GROWTH_RT","FQ3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36" s="2" t="e">
        <f ca="1">_xll.BDH($C$28,"SALES_GROWTH","FQ3 2015","FQ3 2015","Currency=INR","Period=FQ","BEST_FPERIOD_OVERRIDE=FQ","FILING_STATUS=OR","EQY_CONSOLIDATED=Y","FA_ADJUSTED=GAAP","Sort=A","Dates=H","DateFormat=P","Fill=—","Direction=H","UseDPDF=Y")</f>
        <v>#NAME?</v>
      </c>
      <c r="U36" s="2" t="e">
        <f ca="1">_xll.BDH($C$28,"EBITDA_GROWTH","FQ3 2015","FQ3 2015","Currency=INR","Period=FQ","BEST_FPERIOD_OVERRIDE=FQ","FILING_STATUS=OR","EQY_CONSOLIDATED=Y","FA_ADJUSTED=GAAP","Sort=A","Dates=H","DateFormat=P","Fill=—","Direction=H","UseDPDF=Y")</f>
        <v>#NAME?</v>
      </c>
      <c r="V36" s="2" t="e">
        <f ca="1">_xll.BDH($C$28,"OPER_INC_GROWTH","FQ3 2015","FQ3 2015","Currency=INR","Period=FQ","BEST_FPERIOD_OVERRIDE=FQ","FILING_STATUS=OR","EQY_CONSOLIDATED=Y","FA_ADJUSTED=GAAP","Sort=A","Dates=H","DateFormat=P","Fill=—","Direction=H","UseDPDF=Y")</f>
        <v>#NAME?</v>
      </c>
      <c r="W36" s="2" t="e">
        <f ca="1">_xll.BDH($C$28,"EARN_FOR_COM_GROWTH","FQ3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36" s="2" t="e">
        <f ca="1">_xll.BDH($C$28,"DILUTED_EPS_AFT_XO_ITEMS_GROWTH","FQ3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36" s="2" t="e">
        <f ca="1">_xll.BDH($C$28,"DIVIDEND_PER_SHARE_1_YEAR_GROWTH","FQ3 2015","FQ3 2015","Currency=INR","Period=FQ","BEST_FPERIOD_OVERRIDE=FQ","FILING_STATUS=OR","EQY_CONSOLIDATED=Y","Sort=A","Dates=H","DateFormat=P","Fill=—","Direction=H","UseDPDF=Y")</f>
        <v>#NAME?</v>
      </c>
      <c r="Z36" s="2" t="e">
        <f ca="1">_xll.BDH($C$28,"ACCOUNTS_RECEIVABLE_GROWTH","FQ3 2015","FQ3 2015","Currency=INR","Period=FQ","BEST_FPERIOD_OVERRIDE=FQ","FILING_STATUS=OR","EQY_CONSOLIDATED=Y","Sort=A","Dates=H","DateFormat=P","Fill=—","Direction=H","UseDPDF=Y")</f>
        <v>#NAME?</v>
      </c>
      <c r="AA36" s="2" t="e">
        <f ca="1">_xll.BDH($C$28,"INVENTORY_GROWTH","FQ3 2015","FQ3 2015","Currency=INR","Period=FQ","BEST_FPERIOD_OVERRIDE=FQ","FILING_STATUS=OR","EQY_CONSOLIDATED=Y","Sort=A","Dates=H","DateFormat=P","Fill=—","Direction=H","UseDPDF=Y")</f>
        <v>#NAME?</v>
      </c>
      <c r="AB36" s="2" t="e">
        <f ca="1">_xll.BDH($C$28,"NET_FIXED_ASSETS_1_YEAR_GROWTH","FQ3 2015","FQ3 2015","Currency=INR","Period=FQ","BEST_FPERIOD_OVERRIDE=FQ","FILING_STATUS=OR","EQY_CONSOLIDATED=Y","Sort=A","Dates=H","DateFormat=P","Fill=—","Direction=H","UseDPDF=Y")</f>
        <v>#NAME?</v>
      </c>
      <c r="AC36" s="2" t="e">
        <f ca="1">_xll.BDH($C$28,"ASSET_GROWTH","FQ3 2015","FQ3 2015","Currency=INR","Period=FQ","BEST_FPERIOD_OVERRIDE=FQ","FILING_STATUS=OR","EQY_CONSOLIDATED=Y","Sort=A","Dates=H","DateFormat=P","Fill=—","Direction=H","UseDPDF=Y")</f>
        <v>#NAME?</v>
      </c>
      <c r="AD36" s="2" t="e">
        <f ca="1">_xll.BDH($C$28,"MODIFIED_WORK_CAP_GROWTH","FQ3 2015","FQ3 2015","Currency=INR","Period=FQ","BEST_FPERIOD_OVERRIDE=FQ","FILING_STATUS=OR","EQY_CONSOLIDATED=Y","Sort=A","Dates=H","DateFormat=P","Fill=—","Direction=H","UseDPDF=Y")</f>
        <v>#NAME?</v>
      </c>
      <c r="AE36" s="2" t="e">
        <f ca="1">_xll.BDH($C$28,"WORK_CAP_GROWTH","FQ3 2015","FQ3 2015","Currency=INR","Period=FQ","BEST_FPERIOD_OVERRIDE=FQ","FILING_STATUS=OR","EQY_CONSOLIDATED=Y","Sort=A","Dates=H","DateFormat=P","Fill=—","Direction=H","UseDPDF=Y")</f>
        <v>#NAME?</v>
      </c>
      <c r="AF36" s="2" t="e">
        <f ca="1">_xll.BDH($C$28,"ACCOUNTS_PAYABLE_GROWTH_1YR","FQ3 2015","FQ3 2015","Currency=INR","Period=FQ","BEST_FPERIOD_OVERRIDE=FQ","FILING_STATUS=OR","EQY_CONSOLIDATED=Y","Sort=A","Dates=H","DateFormat=P","Fill=—","Direction=H","UseDPDF=Y")</f>
        <v>#NAME?</v>
      </c>
      <c r="AG36" s="2" t="e">
        <f ca="1">_xll.BDH($C$28,"SHORT_TERM_DEBT_1_YEAR_GROWTH","FQ3 2015","FQ3 2015","Currency=INR","Period=FQ","BEST_FPERIOD_OVERRIDE=FQ","FILING_STATUS=OR","EQY_CONSOLIDATED=Y","Sort=A","Dates=H","DateFormat=P","Fill=—","Direction=H","UseDPDF=Y")</f>
        <v>#NAME?</v>
      </c>
      <c r="AH36" s="2" t="e">
        <f ca="1">_xll.BDH($C$28,"TOTAL_DEBT_1_YEAR_GROWTH","FQ3 2015","FQ3 2015","Currency=INR","Period=FQ","BEST_FPERIOD_OVERRIDE=FQ","FILING_STATUS=OR","EQY_CONSOLIDATED=Y","Sort=A","Dates=H","DateFormat=P","Fill=—","Direction=H","UseDPDF=Y")</f>
        <v>#NAME?</v>
      </c>
      <c r="AI36" s="2" t="e">
        <f ca="1">_xll.BDH($C$28,"TOTAL_EQUITY_1_YEAR_GROWTH","FQ3 2015","FQ3 2015","Currency=INR","Period=FQ","BEST_FPERIOD_OVERRIDE=FQ","FILING_STATUS=OR","EQY_CONSOLIDATED=Y","Sort=A","Dates=H","DateFormat=P","Fill=—","Direction=H","UseDPDF=Y")</f>
        <v>#NAME?</v>
      </c>
      <c r="AJ36" s="2" t="e">
        <f ca="1">_xll.BDH($C$28,"GROWTH_IN_CAP","FQ3 2015","FQ3 2015","Currency=INR","Period=FQ","BEST_FPERIOD_OVERRIDE=FQ","FILING_STATUS=OR","EQY_CONSOLIDATED=Y","Sort=A","Dates=H","DateFormat=P","Fill=—","Direction=H","UseDPDF=Y")</f>
        <v>#NAME?</v>
      </c>
      <c r="AK36" s="2" t="e">
        <f ca="1">_xll.BDH($C$28,"BVPS_GROWTH","FQ3 2015","FQ3 2015","Currency=INR","Period=FQ","BEST_FPERIOD_OVERRIDE=FQ","FILING_STATUS=OR","EQY_CONSOLIDATED=Y","Sort=A","Dates=H","DateFormat=P","Fill=—","Direction=H","UseDPDF=Y")</f>
        <v>#NAME?</v>
      </c>
      <c r="AL36" s="2" t="e">
        <f ca="1">_xll.BDH($C$28,"CASH_FLOW_GROWTH","FQ3 2015","FQ3 2015","Currency=INR","Period=FQ","BEST_FPERIOD_OVERRIDE=FQ","FILING_STATUS=OR","EQY_CONSOLIDATED=Y","Sort=A","Dates=H","DateFormat=P","Fill=—","Direction=H","UseDPDF=Y")</f>
        <v>#NAME?</v>
      </c>
      <c r="AM36" s="2" t="e">
        <f ca="1">_xll.BDH($C$28,"GEO_GROW_NET_SALES","FQ3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36" s="2" t="e">
        <f ca="1">_xll.BDH($C$28,"GEO_GROW_EBITDA","FQ3 2015","FQ3 2015","Currency=INR","Period=FQ","BEST_FPERIOD_OVERRIDE=FQ","FILING_STATUS=OR","EQY_CONSOLIDATED=Y","FA_ADJUSTED=GAAP","Sort=A","Dates=H","DateFormat=P","Fill=—","Direction=H","UseDPDF=Y")</f>
        <v>#NAME?</v>
      </c>
      <c r="AO36" s="2" t="e">
        <f ca="1">_xll.BDH($C$28,"GEO_GROW_OPER_INC","FQ3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36" s="2" t="e">
        <f ca="1">_xll.BDH($C$28,"NET_INCOME_TO_COMMON_5_YR_GROWTH","FQ3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36" s="2" t="e">
        <f ca="1">_xll.BDH($C$28,"5Y_GEO_GROWTH_DILUTED_EPS","FQ3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36" s="2" t="e">
        <f ca="1">_xll.BDH($C$28,"GEO_GROW_DVD_PER_SH","FQ3 2015","FQ3 2015","Currency=INR","Period=FQ","BEST_FPERIOD_OVERRIDE=FQ","FILING_STATUS=OR","EQY_CONSOLIDATED=Y","Sort=A","Dates=H","DateFormat=P","Fill=—","Direction=H","UseDPDF=Y")</f>
        <v>#NAME?</v>
      </c>
      <c r="AS36" s="2" t="e">
        <f ca="1">_xll.BDH($C$28,"ACCOUNTS_RECEIVABLE_5_YR_GROWTH","FQ3 2015","FQ3 2015","Currency=INR","Period=FQ","BEST_FPERIOD_OVERRIDE=FQ","FILING_STATUS=OR","EQY_CONSOLIDATED=Y","Sort=A","Dates=H","DateFormat=P","Fill=—","Direction=H","UseDPDF=Y")</f>
        <v>#NAME?</v>
      </c>
      <c r="AT36" s="2" t="e">
        <f ca="1">_xll.BDH($C$28,"INVENTORY_5_YEAR_GROWTH","FQ3 2015","FQ3 2015","Currency=INR","Period=FQ","BEST_FPERIOD_OVERRIDE=FQ","FILING_STATUS=OR","EQY_CONSOLIDATED=Y","Sort=A","Dates=H","DateFormat=P","Fill=—","Direction=H","UseDPDF=Y")</f>
        <v>#NAME?</v>
      </c>
      <c r="AU36" s="2" t="e">
        <f ca="1">_xll.BDH($C$28,"NET_FIXED_ASSETS_5_YEAR_GROWTH","FQ3 2015","FQ3 2015","Currency=INR","Period=FQ","BEST_FPERIOD_OVERRIDE=FQ","FILING_STATUS=OR","EQY_CONSOLIDATED=Y","Sort=A","Dates=H","DateFormat=P","Fill=—","Direction=H","UseDPDF=Y")</f>
        <v>#NAME?</v>
      </c>
      <c r="AV36" s="2" t="e">
        <f ca="1">_xll.BDH($C$28,"GEO_GROW_TOT_ASSET","FQ3 2015","FQ3 2015","Currency=INR","Period=FQ","BEST_FPERIOD_OVERRIDE=FQ","FILING_STATUS=OR","EQY_CONSOLIDATED=Y","Sort=A","Dates=H","DateFormat=P","Fill=—","Direction=H","UseDPDF=Y")</f>
        <v>#NAME?</v>
      </c>
      <c r="AW36" s="2" t="e">
        <f ca="1">_xll.BDH($C$28,"MODIFIED_WORKING_CPTL_5YR_GRWTH","FQ3 2015","FQ3 2015","Currency=INR","Period=FQ","BEST_FPERIOD_OVERRIDE=FQ","FILING_STATUS=OR","EQY_CONSOLIDATED=Y","Sort=A","Dates=H","DateFormat=P","Fill=—","Direction=H","UseDPDF=Y")</f>
        <v>#NAME?</v>
      </c>
      <c r="AX36" s="2" t="e">
        <f ca="1">_xll.BDH($C$28,"WORKING_CAPITAL_5_YEAR_GROWTH","FQ3 2015","FQ3 2015","Currency=INR","Period=FQ","BEST_FPERIOD_OVERRIDE=FQ","FILING_STATUS=OR","EQY_CONSOLIDATED=Y","Sort=A","Dates=H","DateFormat=P","Fill=—","Direction=H","UseDPDF=Y")</f>
        <v>#NAME?</v>
      </c>
      <c r="AY36" s="2" t="e">
        <f ca="1">_xll.BDH($C$28,"ACCOUNTS_PAYABLE_5_YEAR_GROWTH","FQ3 2015","FQ3 2015","Currency=INR","Period=FQ","BEST_FPERIOD_OVERRIDE=FQ","FILING_STATUS=OR","EQY_CONSOLIDATED=Y","Sort=A","Dates=H","DateFormat=P","Fill=—","Direction=H","UseDPDF=Y")</f>
        <v>#NAME?</v>
      </c>
      <c r="AZ36" s="2" t="e">
        <f ca="1">_xll.BDH($C$28,"SHORT_TERM_DEBT_5_YEAR_GROWTH","FQ3 2015","FQ3 2015","Currency=INR","Period=FQ","BEST_FPERIOD_OVERRIDE=FQ","FILING_STATUS=OR","EQY_CONSOLIDATED=Y","Sort=A","Dates=H","DateFormat=P","Fill=—","Direction=H","UseDPDF=Y")</f>
        <v>#NAME?</v>
      </c>
      <c r="BA36" s="2" t="e">
        <f ca="1">_xll.BDH($C$28,"TOTAL_DEBT_5_YEAR_GROWTH","FQ3 2015","FQ3 2015","Currency=INR","Period=FQ","BEST_FPERIOD_OVERRIDE=FQ","FILING_STATUS=OR","EQY_CONSOLIDATED=Y","Sort=A","Dates=H","DateFormat=P","Fill=—","Direction=H","UseDPDF=Y")</f>
        <v>#NAME?</v>
      </c>
      <c r="BB36" s="2" t="e">
        <f ca="1">_xll.BDH($C$28,"GEO_GROW_TOT_SHRHLDR_EQY","FQ3 2015","FQ3 2015","Currency=INR","Period=FQ","BEST_FPERIOD_OVERRIDE=FQ","FILING_STATUS=OR","EQY_CONSOLIDATED=Y","Sort=A","Dates=H","DateFormat=P","Fill=—","Direction=H","UseDPDF=Y")</f>
        <v>#NAME?</v>
      </c>
      <c r="BC36" s="2" t="e">
        <f ca="1">_xll.BDH($C$28,"TOTAL_CAPITAL_5_YEAR_GROWTH","FQ3 2015","FQ3 2015","Currency=INR","Period=FQ","BEST_FPERIOD_OVERRIDE=FQ","FILING_STATUS=OR","EQY_CONSOLIDATED=Y","Sort=A","Dates=H","DateFormat=P","Fill=—","Direction=H","UseDPDF=Y")</f>
        <v>#NAME?</v>
      </c>
      <c r="BD36" s="2" t="e">
        <f ca="1">_xll.BDH($C$28,"GEO_GROW_BOOK_VAL","FQ3 2015","FQ3 2015","Currency=INR","Period=FQ","BEST_FPERIOD_OVERRIDE=FQ","FILING_STATUS=OR","EQY_CONSOLIDATED=Y","Sort=A","Dates=H","DateFormat=P","Fill=—","Direction=H","UseDPDF=Y")</f>
        <v>#NAME?</v>
      </c>
      <c r="BE36" s="2" t="e">
        <f ca="1">_xll.BDH($C$28,"GEO_GROW_CASH_OPER_ACT","FQ3 2015","FQ3 2015","Currency=INR","Period=FQ","BEST_FPERIOD_OVERRIDE=FQ","FILING_STATUS=OR","EQY_CONSOLIDATED=Y","Sort=A","Dates=H","DateFormat=P","Fill=—","Direction=H","UseDPDF=Y")</f>
        <v>#NAME?</v>
      </c>
      <c r="BF36" s="2" t="e">
        <f ca="1">_xll.BDH($C$28,"REVENUE_SEQUENTIAL_GROWTH","FQ3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36" s="2" t="e">
        <f ca="1">_xll.BDH($C$28,"EBITDA_SEQUENTIAL_GROWTH","FQ3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36" s="2" t="e">
        <f ca="1">_xll.BDH($C$28,"OPERATING_INCOME_SEQ_GROWTH","FQ3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36" s="2" t="e">
        <f ca="1">_xll.BDH($C$28,"NET_INCOME_TO_COMMON_SEQ_GROWTH","FQ3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36" s="2" t="e">
        <f ca="1">_xll.BDH($C$28,"EPS_DILUTED_SEQUENTIAL_GROWTH","FQ3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36" s="2" t="e">
        <f ca="1">_xll.BDH($C$28,"DPS_SEQUENTIAL_GROWTH","FQ3 2015","FQ3 2015","Currency=INR","Period=FQ","BEST_FPERIOD_OVERRIDE=FQ","FILING_STATUS=OR","EQY_CONSOLIDATED=Y","Sort=A","Dates=H","DateFormat=P","Fill=—","Direction=H","UseDPDF=Y")</f>
        <v>#NAME?</v>
      </c>
      <c r="BL36" s="2" t="e">
        <f ca="1">_xll.BDH($C$28,"ACCOUNTS_RECEIVABLE_SEQ_GROWTH","FQ3 2015","FQ3 2015","Currency=INR","Period=FQ","BEST_FPERIOD_OVERRIDE=FQ","FILING_STATUS=OR","EQY_CONSOLIDATED=Y","Sort=A","Dates=H","DateFormat=P","Fill=—","Direction=H","UseDPDF=Y")</f>
        <v>#NAME?</v>
      </c>
      <c r="BM36" s="2" t="e">
        <f ca="1">_xll.BDH($C$28,"INVENTORY_SEQUENTIAL_GROWTH","FQ3 2015","FQ3 2015","Currency=INR","Period=FQ","BEST_FPERIOD_OVERRIDE=FQ","FILING_STATUS=OR","EQY_CONSOLIDATED=Y","Sort=A","Dates=H","DateFormat=P","Fill=—","Direction=H","UseDPDF=Y")</f>
        <v>#NAME?</v>
      </c>
      <c r="BN36" s="2" t="e">
        <f ca="1">_xll.BDH($C$28,"FIXED_ASSETS_SEQUENTIAL_GROWTH","FQ3 2015","FQ3 2015","Currency=INR","Period=FQ","BEST_FPERIOD_OVERRIDE=FQ","FILING_STATUS=OR","EQY_CONSOLIDATED=Y","Sort=A","Dates=H","DateFormat=P","Fill=—","Direction=H","UseDPDF=Y")</f>
        <v>#NAME?</v>
      </c>
      <c r="BO36" s="2" t="e">
        <f ca="1">_xll.BDH($C$28,"TOTAL_ASSETS_SEQUENTIAL_GROWTH","FQ3 2015","FQ3 2015","Currency=INR","Period=FQ","BEST_FPERIOD_OVERRIDE=FQ","FILING_STATUS=OR","EQY_CONSOLIDATED=Y","Sort=A","Dates=H","DateFormat=P","Fill=—","Direction=H","UseDPDF=Y")</f>
        <v>#NAME?</v>
      </c>
      <c r="BP36" s="2" t="e">
        <f ca="1">_xll.BDH($C$28,"MODIFIED_WORKING_CPTL_SEQ_GRWTH","FQ3 2015","FQ3 2015","Currency=INR","Period=FQ","BEST_FPERIOD_OVERRIDE=FQ","FILING_STATUS=OR","EQY_CONSOLIDATED=Y","Sort=A","Dates=H","DateFormat=P","Fill=—","Direction=H","UseDPDF=Y")</f>
        <v>#NAME?</v>
      </c>
      <c r="BQ36" s="2" t="e">
        <f ca="1">_xll.BDH($C$28,"WORKING_CAPITAL_SEQ_GROWTH","FQ3 2015","FQ3 2015","Currency=INR","Period=FQ","BEST_FPERIOD_OVERRIDE=FQ","FILING_STATUS=OR","EQY_CONSOLIDATED=Y","Sort=A","Dates=H","DateFormat=P","Fill=—","Direction=H","UseDPDF=Y")</f>
        <v>#NAME?</v>
      </c>
      <c r="BR36" s="2" t="e">
        <f ca="1">_xll.BDH($C$28,"ACCOUNTS_PAYABLE_SEQ_GROWTH","FQ3 2015","FQ3 2015","Currency=INR","Period=FQ","BEST_FPERIOD_OVERRIDE=FQ","FILING_STATUS=OR","EQY_CONSOLIDATED=Y","Sort=A","Dates=H","DateFormat=P","Fill=—","Direction=H","UseDPDF=Y")</f>
        <v>#NAME?</v>
      </c>
      <c r="BS36" s="2" t="e">
        <f ca="1">_xll.BDH($C$28,"ST_DEBT_SEQUENTIAL_GROWTH","FQ3 2015","FQ3 2015","Currency=INR","Period=FQ","BEST_FPERIOD_OVERRIDE=FQ","FILING_STATUS=OR","EQY_CONSOLIDATED=Y","Sort=A","Dates=H","DateFormat=P","Fill=—","Direction=H","UseDPDF=Y")</f>
        <v>#NAME?</v>
      </c>
      <c r="BT36" s="2" t="e">
        <f ca="1">_xll.BDH($C$28,"TOTAL_DEBT_SEQUENTIAL_GROWTH","FQ3 2015","FQ3 2015","Currency=INR","Period=FQ","BEST_FPERIOD_OVERRIDE=FQ","FILING_STATUS=OR","EQY_CONSOLIDATED=Y","Sort=A","Dates=H","DateFormat=P","Fill=—","Direction=H","UseDPDF=Y")</f>
        <v>#NAME?</v>
      </c>
      <c r="BU36" s="2" t="e">
        <f ca="1">_xll.BDH($C$28,"TOTAL_EQUITY_SEQUENTIAL_GROWTH","FQ3 2015","FQ3 2015","Currency=INR","Period=FQ","BEST_FPERIOD_OVERRIDE=FQ","FILING_STATUS=OR","EQY_CONSOLIDATED=Y","Sort=A","Dates=H","DateFormat=P","Fill=—","Direction=H","UseDPDF=Y")</f>
        <v>#NAME?</v>
      </c>
      <c r="BV36" s="2" t="e">
        <f ca="1">_xll.BDH($C$28,"TOTAL_CAPITAL_SEQUENTIAL_GROWTH","FQ3 2015","FQ3 2015","Currency=INR","Period=FQ","BEST_FPERIOD_OVERRIDE=FQ","FILING_STATUS=OR","EQY_CONSOLIDATED=Y","Sort=A","Dates=H","DateFormat=P","Fill=—","Direction=H","UseDPDF=Y")</f>
        <v>#NAME?</v>
      </c>
      <c r="BW36" s="2" t="e">
        <f ca="1">_xll.BDH($C$28,"BPS_SEQUENTIAL_GROWTH","FQ3 2015","FQ3 2015","Currency=INR","Period=FQ","BEST_FPERIOD_OVERRIDE=FQ","FILING_STATUS=OR","EQY_CONSOLIDATED=Y","Sort=A","Dates=H","DateFormat=P","Fill=—","Direction=H","UseDPDF=Y")</f>
        <v>#NAME?</v>
      </c>
      <c r="BX36" s="2" t="e">
        <f ca="1">_xll.BDH($C$28,"CFO_SEQUENTIAL_GROWTH","FQ3 2015","FQ3 2015","Currency=INR","Period=FQ","BEST_FPERIOD_OVERRIDE=FQ","FILING_STATUS=OR","EQY_CONSOLIDATED=Y","Sort=A","Dates=H","DateFormat=P","Fill=—","Direction=H","UseDPDF=Y")</f>
        <v>#NAME?</v>
      </c>
      <c r="BY36" s="3" t="e">
        <f ca="1">_xll.BDH($C$28,"SHORT_AND_LONG_TERM_DEBT","FQ3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36" s="3" t="e">
        <f ca="1">_xll.BDH($C$28,"BS_ST_BORROW","FQ3 2015","FQ3 2015","Currency=INR","Period=FQ","BEST_FPERIOD_OVERRIDE=FQ","FILING_STATUS=OR","EQY_CONSOLIDATED=Y","SCALING_FORMAT=MLN","Sort=A","Dates=H","DateFormat=P","Fill=—","Direction=H","UseDPDF=Y")</f>
        <v>#NAME?</v>
      </c>
      <c r="CA36" s="3" t="e">
        <f ca="1">_xll.BDH($C$28,"BS_LT_BORROW","FQ3 2015","FQ3 2015","Currency=INR","Period=FQ","BEST_FPERIOD_OVERRIDE=FQ","FILING_STATUS=OR","EQY_CONSOLIDATED=Y","SCALING_FORMAT=MLN","Sort=A","Dates=H","DateFormat=P","Fill=—","Direction=H","UseDPDF=Y")</f>
        <v>#NAME?</v>
      </c>
      <c r="CB36" s="2" t="e">
        <f ca="1">_xll.BDH($C$28,"TOT_DEBT_TO_EBITDA","FQ3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36" s="2" t="e">
        <f ca="1">_xll.BDH($C$28,"NET_DEBT_TO_EBITDA","FQ3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36" s="2" t="e">
        <f ca="1">_xll.BDH($C$28,"TOTAL_DEBT_TO_EBIT","FQ3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36" s="2" t="e">
        <f ca="1">_xll.BDH($C$28,"NET_DEBT_TO_EBIT","FQ3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36" s="2" t="e">
        <f ca="1">_xll.BDH($C$28,"EBITDA_TO_INTEREST_EXPN","FQ3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36" s="2" t="e">
        <f ca="1">_xll.BDH($C$28,"COM_EQY_TO_TOT_ASSET","FQ3 2015","FQ3 2015","Currency=INR","Period=FQ","BEST_FPERIOD_OVERRIDE=FQ","FILING_STATUS=OR","EQY_CONSOLIDATED=Y","Sort=A","Dates=H","DateFormat=P","Fill=—","Direction=H","UseDPDF=Y")</f>
        <v>#NAME?</v>
      </c>
      <c r="CH36" s="2" t="e">
        <f ca="1">_xll.BDH($C$28,"LT_DEBT_TO_TOT_EQY","FQ3 2015","FQ3 2015","Currency=INR","Period=FQ","BEST_FPERIOD_OVERRIDE=FQ","FILING_STATUS=OR","EQY_CONSOLIDATED=Y","Sort=A","Dates=H","DateFormat=P","Fill=—","Direction=H","UseDPDF=Y")</f>
        <v>#NAME?</v>
      </c>
      <c r="CI36" s="2" t="e">
        <f ca="1">_xll.BDH($C$28,"LT_DEBT_TO_TOT_CAP","FQ3 2015","FQ3 2015","Currency=INR","Period=FQ","BEST_FPERIOD_OVERRIDE=FQ","FILING_STATUS=OR","EQY_CONSOLIDATED=Y","Sort=A","Dates=H","DateFormat=P","Fill=—","Direction=H","UseDPDF=Y")</f>
        <v>#NAME?</v>
      </c>
      <c r="CJ36" s="2" t="e">
        <f ca="1">_xll.BDH($C$28,"LT_DEBT_TO_TOT_ASSET","FQ3 2015","FQ3 2015","Currency=INR","Period=FQ","BEST_FPERIOD_OVERRIDE=FQ","FILING_STATUS=OR","EQY_CONSOLIDATED=Y","Sort=A","Dates=H","DateFormat=P","Fill=—","Direction=H","UseDPDF=Y")</f>
        <v>#NAME?</v>
      </c>
      <c r="CK36" s="2" t="e">
        <f ca="1">_xll.BDH($C$28,"TOT_DEBT_TO_TOT_EQY","FQ3 2015","FQ3 2015","Currency=INR","Period=FQ","BEST_FPERIOD_OVERRIDE=FQ","FILING_STATUS=OR","EQY_CONSOLIDATED=Y","Sort=A","Dates=H","DateFormat=P","Fill=—","Direction=H","UseDPDF=Y")</f>
        <v>#NAME?</v>
      </c>
      <c r="CL36" s="2" t="e">
        <f ca="1">_xll.BDH($C$28,"TOT_DEBT_TO_TOT_CAP","FQ3 2015","FQ3 2015","Currency=INR","Period=FQ","BEST_FPERIOD_OVERRIDE=FQ","FILING_STATUS=OR","EQY_CONSOLIDATED=Y","Sort=A","Dates=H","DateFormat=P","Fill=—","Direction=H","UseDPDF=Y")</f>
        <v>#NAME?</v>
      </c>
      <c r="CM36" s="2" t="e">
        <f ca="1">_xll.BDH($C$28,"TOT_DEBT_TO_TOT_ASSET","FQ3 2015","FQ3 2015","Currency=INR","Period=FQ","BEST_FPERIOD_OVERRIDE=FQ","FILING_STATUS=OR","EQY_CONSOLIDATED=Y","Sort=A","Dates=H","DateFormat=P","Fill=—","Direction=H","UseDPDF=Y")</f>
        <v>#NAME?</v>
      </c>
      <c r="CN36" s="2" t="e">
        <f ca="1">_xll.BDH($C$28,"NET_DEBT_TO_SHRHLDR_EQTY","FQ3 2015","FQ3 2015","Currency=INR","Period=FQ","BEST_FPERIOD_OVERRIDE=FQ","FILING_STATUS=OR","EQY_CONSOLIDATED=Y","Sort=A","Dates=H","DateFormat=P","Fill=—","Direction=H","UseDPDF=Y")</f>
        <v>#NAME?</v>
      </c>
      <c r="CO36" s="2" t="e">
        <f ca="1">_xll.BDH($C$28,"NET_DEBT_%_CAPITAL","FQ3 2015","FQ3 2015","Currency=INR","Period=FQ","BEST_FPERIOD_OVERRIDE=FQ","FILING_STATUS=OR","EQY_CONSOLIDATED=Y","Sort=A","Dates=H","DateFormat=P","Fill=—","Direction=H","UseDPDF=Y")</f>
        <v>#NAME?</v>
      </c>
      <c r="CP36" s="3" t="e">
        <f ca="1">_xll.BDH($C$28,"EBITDA","FQ3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36" s="3" t="e">
        <f ca="1">_xll.BDH($C$28,"EBITDA_AFTER_CAPEX","FQ3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36" s="3" t="e">
        <f ca="1">_xll.BDH($C$28,"IS_OPER_INC","FQ3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36" s="2" t="e">
        <f ca="1">_xll.BDH($C$28,"CASH_RATIO","FQ3 2015","FQ3 2015","Currency=INR","Period=FQ","BEST_FPERIOD_OVERRIDE=FQ","FILING_STATUS=OR","EQY_CONSOLIDATED=Y","Sort=A","Dates=H","DateFormat=P","Fill=—","Direction=H","UseDPDF=Y")</f>
        <v>#NAME?</v>
      </c>
      <c r="CT36" s="2" t="e">
        <f ca="1">_xll.BDH($C$28,"CUR_RATIO","FQ3 2015","FQ3 2015","Currency=INR","Period=FQ","BEST_FPERIOD_OVERRIDE=FQ","FILING_STATUS=OR","EQY_CONSOLIDATED=Y","Sort=A","Dates=H","DateFormat=P","Fill=—","Direction=H","UseDPDF=Y")</f>
        <v>#NAME?</v>
      </c>
      <c r="CU36" s="2" t="e">
        <f ca="1">_xll.BDH($C$28,"QUICK_RATIO","FQ3 2015","FQ3 2015","Currency=INR","Period=FQ","BEST_FPERIOD_OVERRIDE=FQ","FILING_STATUS=OR","EQY_CONSOLIDATED=Y","Sort=A","Dates=H","DateFormat=P","Fill=—","Direction=H","UseDPDF=Y")</f>
        <v>#NAME?</v>
      </c>
      <c r="CV36" s="2" t="e">
        <f ca="1">_xll.BDH($C$28,"ALTMAN_Z_SCORE","FQ3 2015","FQ3 2015","Currency=INR","Period=FQ","BEST_FPERIOD_OVERRIDE=FQ","FILING_STATUS=OR","EQY_CONSOLIDATED=Y","Sort=A","Dates=H","DateFormat=P","Fill=—","Direction=H","UseDPDF=Y")</f>
        <v>#NAME?</v>
      </c>
      <c r="CW36" s="4" t="e">
        <f ca="1">_xll.BDH($C$28,"ACCT_RCV_TURN","FQ3 2015","FQ3 2015","Currency=INR","Period=FQ","BEST_FPERIOD_OVERRIDE=FQ","FILING_STATUS=OR","EQY_CONSOLIDATED=Y","FA_ADJUSTED=GAAP","Sort=A","Dates=H","DateFormat=P","Fill=—","Direction=H","UseDPDF=Y")</f>
        <v>#NAME?</v>
      </c>
      <c r="CX36" s="2" t="e">
        <f ca="1">_xll.BDH($C$28,"ACCT_RCV_DAYS","FQ3 2015","FQ3 2015","Currency=INR","Period=FQ","BEST_FPERIOD_OVERRIDE=FQ","FILING_STATUS=OR","EQY_CONSOLIDATED=Y","FA_ADJUSTED=GAAP","Sort=A","Dates=H","DateFormat=P","Fill=—","Direction=H","UseDPDF=Y")</f>
        <v>#NAME?</v>
      </c>
      <c r="CY36" s="4" t="e">
        <f ca="1">_xll.BDH($C$28,"INVENT_TURN","FQ3 2015","FQ3 2015","Currency=INR","Period=FQ","BEST_FPERIOD_OVERRIDE=FQ","FILING_STATUS=OR","EQY_CONSOLIDATED=Y","FA_ADJUSTED=GAAP","Sort=A","Dates=H","DateFormat=P","Fill=—","Direction=H","UseDPDF=Y")</f>
        <v>#NAME?</v>
      </c>
      <c r="CZ36" s="2" t="e">
        <f ca="1">_xll.BDH($C$28,"INVENT_DAYS","FQ3 2015","FQ3 2015","Currency=INR","Period=FQ","BEST_FPERIOD_OVERRIDE=FQ","FILING_STATUS=OR","EQY_CONSOLIDATED=Y","FA_ADJUSTED=GAAP","Sort=A","Dates=H","DateFormat=P","Fill=—","Direction=H","UseDPDF=Y")</f>
        <v>#NAME?</v>
      </c>
      <c r="DA36" s="4" t="e">
        <f ca="1">_xll.BDH($C$28,"ACCOUNTS_PAYABLE_TURNOVER","FQ3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36" s="2" t="e">
        <f ca="1">_xll.BDH($C$28,"ACCOUNTS_PAYABLE_TURNOVER_DAYS","FQ3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36" s="4" t="e">
        <f ca="1">_xll.BDH($C$28,"CASH_CONVERSION_CYCLE","FQ3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36" s="4" t="e">
        <f ca="1">_xll.BDH($C$28,"INV_TO_CASH_DAYS","FQ3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36" s="5" t="e">
        <f ca="1">_xll.BDH($C$28,"BS_INVENTORIES","FQ3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36" s="3" t="e">
        <f ca="1">_xll.BDH($C$28,"INVTRY_RAW_MATERIALS","FQ3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36" s="3" t="e">
        <f ca="1">_xll.BDH($C$28,"INVTRY_IN_PROGRESS","FQ3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36" s="3" t="e">
        <f ca="1">_xll.BDH($C$28,"INVTRY_FINISHED_GOODS","FQ3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36" s="3" t="e">
        <f ca="1">_xll.BDH($C$28,"BS_OTHER_INV","FQ3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37" spans="1:113" x14ac:dyDescent="0.3">
      <c r="A37" s="6"/>
      <c r="B37" s="6"/>
      <c r="C37" s="6"/>
      <c r="D37" s="6"/>
      <c r="E37" t="s">
        <v>81</v>
      </c>
      <c r="F37" t="e">
        <f ca="1">_xll.BDH($C$28,"RETURN_COM_EQY","FQ4 2015","FQ4 2015","Currency=INR","Period=FQ","BEST_FPERIOD_OVERRIDE=FQ","FILING_STATUS=OR","EQY_CONSOLIDATED=Y","FA_ADJUSTED=GAAP","Sort=A","Dates=H","DateFormat=P","Fill=—","Direction=H","UseDPDF=Y")</f>
        <v>#NAME?</v>
      </c>
      <c r="G37" t="e">
        <f ca="1">_xll.BDH($C$28,"RETURN_ON_ASSET","FQ4 2015","FQ4 2015","Currency=INR","Period=FQ","BEST_FPERIOD_OVERRIDE=FQ","FILING_STATUS=OR","EQY_CONSOLIDATED=Y","FA_ADJUSTED=GAAP","Sort=A","Dates=H","DateFormat=P","Fill=—","Direction=H","UseDPDF=Y")</f>
        <v>#NAME?</v>
      </c>
      <c r="H37" t="e">
        <f ca="1">_xll.BDH($C$28,"RETURN_ON_CAP","FQ4 2015","FQ4 2015","Currency=INR","Period=FQ","BEST_FPERIOD_OVERRIDE=FQ","FILING_STATUS=OR","EQY_CONSOLIDATED=Y","FA_ADJUSTED=GAAP","Sort=A","Dates=H","DateFormat=P","Fill=—","Direction=H","UseDPDF=Y")</f>
        <v>#NAME?</v>
      </c>
      <c r="I37" t="e">
        <f ca="1">_xll.BDH($C$28,"RETURN_ON_INV_CAPITAL","FQ4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37" t="e">
        <f ca="1">_xll.BDH($C$28,"EBITDA_TO_REVENUE","FQ4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37" t="e">
        <f ca="1">_xll.BDH($C$28,"OPER_MARGIN","FQ4 2015","FQ4 2015","Currency=INR","Period=FQ","BEST_FPERIOD_OVERRIDE=FQ","FILING_STATUS=OR","EQY_CONSOLIDATED=Y","FA_ADJUSTED=GAAP","Sort=A","Dates=H","DateFormat=P","Fill=—","Direction=H","UseDPDF=Y")</f>
        <v>#NAME?</v>
      </c>
      <c r="L37" t="e">
        <f ca="1">_xll.BDH($C$28,"INCREMENTAL_OPERATING_MARGIN","FQ4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37" t="e">
        <f ca="1">_xll.BDH($C$28,"PRETAX_INC_TO_NET_SALES","FQ4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37" t="e">
        <f ca="1">_xll.BDH($C$28,"INC_BEF_XO_ITEMS_TO_NET_SALES","FQ4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37" t="e">
        <f ca="1">_xll.BDH($C$28,"PROF_MARGIN","FQ4 2015","FQ4 2015","Currency=INR","Period=FQ","BEST_FPERIOD_OVERRIDE=FQ","FILING_STATUS=OR","EQY_CONSOLIDATED=Y","FA_ADJUSTED=GAAP","Sort=A","Dates=H","DateFormat=P","Fill=—","Direction=H","UseDPDF=Y")</f>
        <v>#NAME?</v>
      </c>
      <c r="P37" t="e">
        <f ca="1">_xll.BDH($C$28,"NET_INCOME_TO_COMMON_MARGIN","FQ4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37" t="e">
        <f ca="1">_xll.BDH($C$28,"EFF_TAX_RATE","FQ4 2015","FQ4 2015","Currency=INR","Period=FQ","BEST_FPERIOD_OVERRIDE=FQ","FILING_STATUS=OR","EQY_CONSOLIDATED=Y","FA_ADJUSTED=GAAP","Sort=A","Dates=H","DateFormat=P","Fill=—","Direction=H","UseDPDF=Y")</f>
        <v>#NAME?</v>
      </c>
      <c r="R37" t="e">
        <f ca="1">_xll.BDH($C$28,"DVD_PAYOUT_RATIO","FQ4 2015","FQ4 2015","Currency=INR","Period=FQ","BEST_FPERIOD_OVERRIDE=FQ","FILING_STATUS=OR","EQY_CONSOLIDATED=Y","FA_ADJUSTED=GAAP","Sort=A","Dates=H","DateFormat=P","Fill=—","Direction=H","UseDPDF=Y")</f>
        <v>#NAME?</v>
      </c>
      <c r="S37" t="e">
        <f ca="1">_xll.BDH($C$28,"SUSTAIN_GROWTH_RT","FQ4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37" s="2" t="e">
        <f ca="1">_xll.BDH($C$28,"SALES_GROWTH","FQ4 2015","FQ4 2015","Currency=INR","Period=FQ","BEST_FPERIOD_OVERRIDE=FQ","FILING_STATUS=OR","EQY_CONSOLIDATED=Y","FA_ADJUSTED=GAAP","Sort=A","Dates=H","DateFormat=P","Fill=—","Direction=H","UseDPDF=Y")</f>
        <v>#NAME?</v>
      </c>
      <c r="U37" s="2" t="e">
        <f ca="1">_xll.BDH($C$28,"EBITDA_GROWTH","FQ4 2015","FQ4 2015","Currency=INR","Period=FQ","BEST_FPERIOD_OVERRIDE=FQ","FILING_STATUS=OR","EQY_CONSOLIDATED=Y","FA_ADJUSTED=GAAP","Sort=A","Dates=H","DateFormat=P","Fill=—","Direction=H","UseDPDF=Y")</f>
        <v>#NAME?</v>
      </c>
      <c r="V37" s="2" t="e">
        <f ca="1">_xll.BDH($C$28,"OPER_INC_GROWTH","FQ4 2015","FQ4 2015","Currency=INR","Period=FQ","BEST_FPERIOD_OVERRIDE=FQ","FILING_STATUS=OR","EQY_CONSOLIDATED=Y","FA_ADJUSTED=GAAP","Sort=A","Dates=H","DateFormat=P","Fill=—","Direction=H","UseDPDF=Y")</f>
        <v>#NAME?</v>
      </c>
      <c r="W37" s="2" t="e">
        <f ca="1">_xll.BDH($C$28,"EARN_FOR_COM_GROWTH","FQ4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37" s="2" t="e">
        <f ca="1">_xll.BDH($C$28,"DILUTED_EPS_AFT_XO_ITEMS_GROWTH","FQ4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37" s="2" t="e">
        <f ca="1">_xll.BDH($C$28,"DIVIDEND_PER_SHARE_1_YEAR_GROWTH","FQ4 2015","FQ4 2015","Currency=INR","Period=FQ","BEST_FPERIOD_OVERRIDE=FQ","FILING_STATUS=OR","EQY_CONSOLIDATED=Y","Sort=A","Dates=H","DateFormat=P","Fill=—","Direction=H","UseDPDF=Y")</f>
        <v>#NAME?</v>
      </c>
      <c r="Z37" s="2" t="e">
        <f ca="1">_xll.BDH($C$28,"ACCOUNTS_RECEIVABLE_GROWTH","FQ4 2015","FQ4 2015","Currency=INR","Period=FQ","BEST_FPERIOD_OVERRIDE=FQ","FILING_STATUS=OR","EQY_CONSOLIDATED=Y","Sort=A","Dates=H","DateFormat=P","Fill=—","Direction=H","UseDPDF=Y")</f>
        <v>#NAME?</v>
      </c>
      <c r="AA37" s="2" t="e">
        <f ca="1">_xll.BDH($C$28,"INVENTORY_GROWTH","FQ4 2015","FQ4 2015","Currency=INR","Period=FQ","BEST_FPERIOD_OVERRIDE=FQ","FILING_STATUS=OR","EQY_CONSOLIDATED=Y","Sort=A","Dates=H","DateFormat=P","Fill=—","Direction=H","UseDPDF=Y")</f>
        <v>#NAME?</v>
      </c>
      <c r="AB37" s="2" t="e">
        <f ca="1">_xll.BDH($C$28,"NET_FIXED_ASSETS_1_YEAR_GROWTH","FQ4 2015","FQ4 2015","Currency=INR","Period=FQ","BEST_FPERIOD_OVERRIDE=FQ","FILING_STATUS=OR","EQY_CONSOLIDATED=Y","Sort=A","Dates=H","DateFormat=P","Fill=—","Direction=H","UseDPDF=Y")</f>
        <v>#NAME?</v>
      </c>
      <c r="AC37" s="2" t="e">
        <f ca="1">_xll.BDH($C$28,"ASSET_GROWTH","FQ4 2015","FQ4 2015","Currency=INR","Period=FQ","BEST_FPERIOD_OVERRIDE=FQ","FILING_STATUS=OR","EQY_CONSOLIDATED=Y","Sort=A","Dates=H","DateFormat=P","Fill=—","Direction=H","UseDPDF=Y")</f>
        <v>#NAME?</v>
      </c>
      <c r="AD37" s="2" t="e">
        <f ca="1">_xll.BDH($C$28,"MODIFIED_WORK_CAP_GROWTH","FQ4 2015","FQ4 2015","Currency=INR","Period=FQ","BEST_FPERIOD_OVERRIDE=FQ","FILING_STATUS=OR","EQY_CONSOLIDATED=Y","Sort=A","Dates=H","DateFormat=P","Fill=—","Direction=H","UseDPDF=Y")</f>
        <v>#NAME?</v>
      </c>
      <c r="AE37" s="2" t="e">
        <f ca="1">_xll.BDH($C$28,"WORK_CAP_GROWTH","FQ4 2015","FQ4 2015","Currency=INR","Period=FQ","BEST_FPERIOD_OVERRIDE=FQ","FILING_STATUS=OR","EQY_CONSOLIDATED=Y","Sort=A","Dates=H","DateFormat=P","Fill=—","Direction=H","UseDPDF=Y")</f>
        <v>#NAME?</v>
      </c>
      <c r="AF37" s="2" t="e">
        <f ca="1">_xll.BDH($C$28,"ACCOUNTS_PAYABLE_GROWTH_1YR","FQ4 2015","FQ4 2015","Currency=INR","Period=FQ","BEST_FPERIOD_OVERRIDE=FQ","FILING_STATUS=OR","EQY_CONSOLIDATED=Y","Sort=A","Dates=H","DateFormat=P","Fill=—","Direction=H","UseDPDF=Y")</f>
        <v>#NAME?</v>
      </c>
      <c r="AG37" s="2" t="e">
        <f ca="1">_xll.BDH($C$28,"SHORT_TERM_DEBT_1_YEAR_GROWTH","FQ4 2015","FQ4 2015","Currency=INR","Period=FQ","BEST_FPERIOD_OVERRIDE=FQ","FILING_STATUS=OR","EQY_CONSOLIDATED=Y","Sort=A","Dates=H","DateFormat=P","Fill=—","Direction=H","UseDPDF=Y")</f>
        <v>#NAME?</v>
      </c>
      <c r="AH37" s="2" t="e">
        <f ca="1">_xll.BDH($C$28,"TOTAL_DEBT_1_YEAR_GROWTH","FQ4 2015","FQ4 2015","Currency=INR","Period=FQ","BEST_FPERIOD_OVERRIDE=FQ","FILING_STATUS=OR","EQY_CONSOLIDATED=Y","Sort=A","Dates=H","DateFormat=P","Fill=—","Direction=H","UseDPDF=Y")</f>
        <v>#NAME?</v>
      </c>
      <c r="AI37" s="2" t="e">
        <f ca="1">_xll.BDH($C$28,"TOTAL_EQUITY_1_YEAR_GROWTH","FQ4 2015","FQ4 2015","Currency=INR","Period=FQ","BEST_FPERIOD_OVERRIDE=FQ","FILING_STATUS=OR","EQY_CONSOLIDATED=Y","Sort=A","Dates=H","DateFormat=P","Fill=—","Direction=H","UseDPDF=Y")</f>
        <v>#NAME?</v>
      </c>
      <c r="AJ37" s="2" t="e">
        <f ca="1">_xll.BDH($C$28,"GROWTH_IN_CAP","FQ4 2015","FQ4 2015","Currency=INR","Period=FQ","BEST_FPERIOD_OVERRIDE=FQ","FILING_STATUS=OR","EQY_CONSOLIDATED=Y","Sort=A","Dates=H","DateFormat=P","Fill=—","Direction=H","UseDPDF=Y")</f>
        <v>#NAME?</v>
      </c>
      <c r="AK37" s="2" t="e">
        <f ca="1">_xll.BDH($C$28,"BVPS_GROWTH","FQ4 2015","FQ4 2015","Currency=INR","Period=FQ","BEST_FPERIOD_OVERRIDE=FQ","FILING_STATUS=OR","EQY_CONSOLIDATED=Y","Sort=A","Dates=H","DateFormat=P","Fill=—","Direction=H","UseDPDF=Y")</f>
        <v>#NAME?</v>
      </c>
      <c r="AL37" s="2" t="e">
        <f ca="1">_xll.BDH($C$28,"CASH_FLOW_GROWTH","FQ4 2015","FQ4 2015","Currency=INR","Period=FQ","BEST_FPERIOD_OVERRIDE=FQ","FILING_STATUS=OR","EQY_CONSOLIDATED=Y","Sort=A","Dates=H","DateFormat=P","Fill=—","Direction=H","UseDPDF=Y")</f>
        <v>#NAME?</v>
      </c>
      <c r="AM37" s="2" t="e">
        <f ca="1">_xll.BDH($C$28,"GEO_GROW_NET_SALES","FQ4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37" s="2" t="e">
        <f ca="1">_xll.BDH($C$28,"GEO_GROW_EBITDA","FQ4 2015","FQ4 2015","Currency=INR","Period=FQ","BEST_FPERIOD_OVERRIDE=FQ","FILING_STATUS=OR","EQY_CONSOLIDATED=Y","FA_ADJUSTED=GAAP","Sort=A","Dates=H","DateFormat=P","Fill=—","Direction=H","UseDPDF=Y")</f>
        <v>#NAME?</v>
      </c>
      <c r="AO37" s="2" t="e">
        <f ca="1">_xll.BDH($C$28,"GEO_GROW_OPER_INC","FQ4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37" s="2" t="e">
        <f ca="1">_xll.BDH($C$28,"NET_INCOME_TO_COMMON_5_YR_GROWTH","FQ4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37" s="2" t="e">
        <f ca="1">_xll.BDH($C$28,"5Y_GEO_GROWTH_DILUTED_EPS","FQ4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37" s="2" t="e">
        <f ca="1">_xll.BDH($C$28,"GEO_GROW_DVD_PER_SH","FQ4 2015","FQ4 2015","Currency=INR","Period=FQ","BEST_FPERIOD_OVERRIDE=FQ","FILING_STATUS=OR","EQY_CONSOLIDATED=Y","Sort=A","Dates=H","DateFormat=P","Fill=—","Direction=H","UseDPDF=Y")</f>
        <v>#NAME?</v>
      </c>
      <c r="AS37" s="2" t="e">
        <f ca="1">_xll.BDH($C$28,"ACCOUNTS_RECEIVABLE_5_YR_GROWTH","FQ4 2015","FQ4 2015","Currency=INR","Period=FQ","BEST_FPERIOD_OVERRIDE=FQ","FILING_STATUS=OR","EQY_CONSOLIDATED=Y","Sort=A","Dates=H","DateFormat=P","Fill=—","Direction=H","UseDPDF=Y")</f>
        <v>#NAME?</v>
      </c>
      <c r="AT37" s="2" t="e">
        <f ca="1">_xll.BDH($C$28,"INVENTORY_5_YEAR_GROWTH","FQ4 2015","FQ4 2015","Currency=INR","Period=FQ","BEST_FPERIOD_OVERRIDE=FQ","FILING_STATUS=OR","EQY_CONSOLIDATED=Y","Sort=A","Dates=H","DateFormat=P","Fill=—","Direction=H","UseDPDF=Y")</f>
        <v>#NAME?</v>
      </c>
      <c r="AU37" s="2" t="e">
        <f ca="1">_xll.BDH($C$28,"NET_FIXED_ASSETS_5_YEAR_GROWTH","FQ4 2015","FQ4 2015","Currency=INR","Period=FQ","BEST_FPERIOD_OVERRIDE=FQ","FILING_STATUS=OR","EQY_CONSOLIDATED=Y","Sort=A","Dates=H","DateFormat=P","Fill=—","Direction=H","UseDPDF=Y")</f>
        <v>#NAME?</v>
      </c>
      <c r="AV37" s="2" t="e">
        <f ca="1">_xll.BDH($C$28,"GEO_GROW_TOT_ASSET","FQ4 2015","FQ4 2015","Currency=INR","Period=FQ","BEST_FPERIOD_OVERRIDE=FQ","FILING_STATUS=OR","EQY_CONSOLIDATED=Y","Sort=A","Dates=H","DateFormat=P","Fill=—","Direction=H","UseDPDF=Y")</f>
        <v>#NAME?</v>
      </c>
      <c r="AW37" s="2" t="e">
        <f ca="1">_xll.BDH($C$28,"MODIFIED_WORKING_CPTL_5YR_GRWTH","FQ4 2015","FQ4 2015","Currency=INR","Period=FQ","BEST_FPERIOD_OVERRIDE=FQ","FILING_STATUS=OR","EQY_CONSOLIDATED=Y","Sort=A","Dates=H","DateFormat=P","Fill=—","Direction=H","UseDPDF=Y")</f>
        <v>#NAME?</v>
      </c>
      <c r="AX37" s="2" t="e">
        <f ca="1">_xll.BDH($C$28,"WORKING_CAPITAL_5_YEAR_GROWTH","FQ4 2015","FQ4 2015","Currency=INR","Period=FQ","BEST_FPERIOD_OVERRIDE=FQ","FILING_STATUS=OR","EQY_CONSOLIDATED=Y","Sort=A","Dates=H","DateFormat=P","Fill=—","Direction=H","UseDPDF=Y")</f>
        <v>#NAME?</v>
      </c>
      <c r="AY37" s="2" t="e">
        <f ca="1">_xll.BDH($C$28,"ACCOUNTS_PAYABLE_5_YEAR_GROWTH","FQ4 2015","FQ4 2015","Currency=INR","Period=FQ","BEST_FPERIOD_OVERRIDE=FQ","FILING_STATUS=OR","EQY_CONSOLIDATED=Y","Sort=A","Dates=H","DateFormat=P","Fill=—","Direction=H","UseDPDF=Y")</f>
        <v>#NAME?</v>
      </c>
      <c r="AZ37" s="2" t="e">
        <f ca="1">_xll.BDH($C$28,"SHORT_TERM_DEBT_5_YEAR_GROWTH","FQ4 2015","FQ4 2015","Currency=INR","Period=FQ","BEST_FPERIOD_OVERRIDE=FQ","FILING_STATUS=OR","EQY_CONSOLIDATED=Y","Sort=A","Dates=H","DateFormat=P","Fill=—","Direction=H","UseDPDF=Y")</f>
        <v>#NAME?</v>
      </c>
      <c r="BA37" s="2" t="e">
        <f ca="1">_xll.BDH($C$28,"TOTAL_DEBT_5_YEAR_GROWTH","FQ4 2015","FQ4 2015","Currency=INR","Period=FQ","BEST_FPERIOD_OVERRIDE=FQ","FILING_STATUS=OR","EQY_CONSOLIDATED=Y","Sort=A","Dates=H","DateFormat=P","Fill=—","Direction=H","UseDPDF=Y")</f>
        <v>#NAME?</v>
      </c>
      <c r="BB37" s="2" t="e">
        <f ca="1">_xll.BDH($C$28,"GEO_GROW_TOT_SHRHLDR_EQY","FQ4 2015","FQ4 2015","Currency=INR","Period=FQ","BEST_FPERIOD_OVERRIDE=FQ","FILING_STATUS=OR","EQY_CONSOLIDATED=Y","Sort=A","Dates=H","DateFormat=P","Fill=—","Direction=H","UseDPDF=Y")</f>
        <v>#NAME?</v>
      </c>
      <c r="BC37" s="2" t="e">
        <f ca="1">_xll.BDH($C$28,"TOTAL_CAPITAL_5_YEAR_GROWTH","FQ4 2015","FQ4 2015","Currency=INR","Period=FQ","BEST_FPERIOD_OVERRIDE=FQ","FILING_STATUS=OR","EQY_CONSOLIDATED=Y","Sort=A","Dates=H","DateFormat=P","Fill=—","Direction=H","UseDPDF=Y")</f>
        <v>#NAME?</v>
      </c>
      <c r="BD37" s="2" t="e">
        <f ca="1">_xll.BDH($C$28,"GEO_GROW_BOOK_VAL","FQ4 2015","FQ4 2015","Currency=INR","Period=FQ","BEST_FPERIOD_OVERRIDE=FQ","FILING_STATUS=OR","EQY_CONSOLIDATED=Y","Sort=A","Dates=H","DateFormat=P","Fill=—","Direction=H","UseDPDF=Y")</f>
        <v>#NAME?</v>
      </c>
      <c r="BE37" s="2" t="e">
        <f ca="1">_xll.BDH($C$28,"GEO_GROW_CASH_OPER_ACT","FQ4 2015","FQ4 2015","Currency=INR","Period=FQ","BEST_FPERIOD_OVERRIDE=FQ","FILING_STATUS=OR","EQY_CONSOLIDATED=Y","Sort=A","Dates=H","DateFormat=P","Fill=—","Direction=H","UseDPDF=Y")</f>
        <v>#NAME?</v>
      </c>
      <c r="BF37" s="2" t="e">
        <f ca="1">_xll.BDH($C$28,"REVENUE_SEQUENTIAL_GROWTH","FQ4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37" s="2" t="e">
        <f ca="1">_xll.BDH($C$28,"EBITDA_SEQUENTIAL_GROWTH","FQ4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37" s="2" t="e">
        <f ca="1">_xll.BDH($C$28,"OPERATING_INCOME_SEQ_GROWTH","FQ4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37" s="2" t="e">
        <f ca="1">_xll.BDH($C$28,"NET_INCOME_TO_COMMON_SEQ_GROWTH","FQ4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37" s="2" t="e">
        <f ca="1">_xll.BDH($C$28,"EPS_DILUTED_SEQUENTIAL_GROWTH","FQ4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37" s="2" t="e">
        <f ca="1">_xll.BDH($C$28,"DPS_SEQUENTIAL_GROWTH","FQ4 2015","FQ4 2015","Currency=INR","Period=FQ","BEST_FPERIOD_OVERRIDE=FQ","FILING_STATUS=OR","EQY_CONSOLIDATED=Y","Sort=A","Dates=H","DateFormat=P","Fill=—","Direction=H","UseDPDF=Y")</f>
        <v>#NAME?</v>
      </c>
      <c r="BL37" s="2" t="e">
        <f ca="1">_xll.BDH($C$28,"ACCOUNTS_RECEIVABLE_SEQ_GROWTH","FQ4 2015","FQ4 2015","Currency=INR","Period=FQ","BEST_FPERIOD_OVERRIDE=FQ","FILING_STATUS=OR","EQY_CONSOLIDATED=Y","Sort=A","Dates=H","DateFormat=P","Fill=—","Direction=H","UseDPDF=Y")</f>
        <v>#NAME?</v>
      </c>
      <c r="BM37" s="2" t="e">
        <f ca="1">_xll.BDH($C$28,"INVENTORY_SEQUENTIAL_GROWTH","FQ4 2015","FQ4 2015","Currency=INR","Period=FQ","BEST_FPERIOD_OVERRIDE=FQ","FILING_STATUS=OR","EQY_CONSOLIDATED=Y","Sort=A","Dates=H","DateFormat=P","Fill=—","Direction=H","UseDPDF=Y")</f>
        <v>#NAME?</v>
      </c>
      <c r="BN37" s="2" t="e">
        <f ca="1">_xll.BDH($C$28,"FIXED_ASSETS_SEQUENTIAL_GROWTH","FQ4 2015","FQ4 2015","Currency=INR","Period=FQ","BEST_FPERIOD_OVERRIDE=FQ","FILING_STATUS=OR","EQY_CONSOLIDATED=Y","Sort=A","Dates=H","DateFormat=P","Fill=—","Direction=H","UseDPDF=Y")</f>
        <v>#NAME?</v>
      </c>
      <c r="BO37" s="2" t="e">
        <f ca="1">_xll.BDH($C$28,"TOTAL_ASSETS_SEQUENTIAL_GROWTH","FQ4 2015","FQ4 2015","Currency=INR","Period=FQ","BEST_FPERIOD_OVERRIDE=FQ","FILING_STATUS=OR","EQY_CONSOLIDATED=Y","Sort=A","Dates=H","DateFormat=P","Fill=—","Direction=H","UseDPDF=Y")</f>
        <v>#NAME?</v>
      </c>
      <c r="BP37" s="2" t="e">
        <f ca="1">_xll.BDH($C$28,"MODIFIED_WORKING_CPTL_SEQ_GRWTH","FQ4 2015","FQ4 2015","Currency=INR","Period=FQ","BEST_FPERIOD_OVERRIDE=FQ","FILING_STATUS=OR","EQY_CONSOLIDATED=Y","Sort=A","Dates=H","DateFormat=P","Fill=—","Direction=H","UseDPDF=Y")</f>
        <v>#NAME?</v>
      </c>
      <c r="BQ37" s="2" t="e">
        <f ca="1">_xll.BDH($C$28,"WORKING_CAPITAL_SEQ_GROWTH","FQ4 2015","FQ4 2015","Currency=INR","Period=FQ","BEST_FPERIOD_OVERRIDE=FQ","FILING_STATUS=OR","EQY_CONSOLIDATED=Y","Sort=A","Dates=H","DateFormat=P","Fill=—","Direction=H","UseDPDF=Y")</f>
        <v>#NAME?</v>
      </c>
      <c r="BR37" s="2" t="e">
        <f ca="1">_xll.BDH($C$28,"ACCOUNTS_PAYABLE_SEQ_GROWTH","FQ4 2015","FQ4 2015","Currency=INR","Period=FQ","BEST_FPERIOD_OVERRIDE=FQ","FILING_STATUS=OR","EQY_CONSOLIDATED=Y","Sort=A","Dates=H","DateFormat=P","Fill=—","Direction=H","UseDPDF=Y")</f>
        <v>#NAME?</v>
      </c>
      <c r="BS37" s="2" t="e">
        <f ca="1">_xll.BDH($C$28,"ST_DEBT_SEQUENTIAL_GROWTH","FQ4 2015","FQ4 2015","Currency=INR","Period=FQ","BEST_FPERIOD_OVERRIDE=FQ","FILING_STATUS=OR","EQY_CONSOLIDATED=Y","Sort=A","Dates=H","DateFormat=P","Fill=—","Direction=H","UseDPDF=Y")</f>
        <v>#NAME?</v>
      </c>
      <c r="BT37" s="2" t="e">
        <f ca="1">_xll.BDH($C$28,"TOTAL_DEBT_SEQUENTIAL_GROWTH","FQ4 2015","FQ4 2015","Currency=INR","Period=FQ","BEST_FPERIOD_OVERRIDE=FQ","FILING_STATUS=OR","EQY_CONSOLIDATED=Y","Sort=A","Dates=H","DateFormat=P","Fill=—","Direction=H","UseDPDF=Y")</f>
        <v>#NAME?</v>
      </c>
      <c r="BU37" s="2" t="e">
        <f ca="1">_xll.BDH($C$28,"TOTAL_EQUITY_SEQUENTIAL_GROWTH","FQ4 2015","FQ4 2015","Currency=INR","Period=FQ","BEST_FPERIOD_OVERRIDE=FQ","FILING_STATUS=OR","EQY_CONSOLIDATED=Y","Sort=A","Dates=H","DateFormat=P","Fill=—","Direction=H","UseDPDF=Y")</f>
        <v>#NAME?</v>
      </c>
      <c r="BV37" s="2" t="e">
        <f ca="1">_xll.BDH($C$28,"TOTAL_CAPITAL_SEQUENTIAL_GROWTH","FQ4 2015","FQ4 2015","Currency=INR","Period=FQ","BEST_FPERIOD_OVERRIDE=FQ","FILING_STATUS=OR","EQY_CONSOLIDATED=Y","Sort=A","Dates=H","DateFormat=P","Fill=—","Direction=H","UseDPDF=Y")</f>
        <v>#NAME?</v>
      </c>
      <c r="BW37" s="2" t="e">
        <f ca="1">_xll.BDH($C$28,"BPS_SEQUENTIAL_GROWTH","FQ4 2015","FQ4 2015","Currency=INR","Period=FQ","BEST_FPERIOD_OVERRIDE=FQ","FILING_STATUS=OR","EQY_CONSOLIDATED=Y","Sort=A","Dates=H","DateFormat=P","Fill=—","Direction=H","UseDPDF=Y")</f>
        <v>#NAME?</v>
      </c>
      <c r="BX37" s="2" t="e">
        <f ca="1">_xll.BDH($C$28,"CFO_SEQUENTIAL_GROWTH","FQ4 2015","FQ4 2015","Currency=INR","Period=FQ","BEST_FPERIOD_OVERRIDE=FQ","FILING_STATUS=OR","EQY_CONSOLIDATED=Y","Sort=A","Dates=H","DateFormat=P","Fill=—","Direction=H","UseDPDF=Y")</f>
        <v>#NAME?</v>
      </c>
      <c r="BY37" s="3" t="e">
        <f ca="1">_xll.BDH($C$28,"SHORT_AND_LONG_TERM_DEBT","FQ4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37" s="3" t="e">
        <f ca="1">_xll.BDH($C$28,"BS_ST_BORROW","FQ4 2015","FQ4 2015","Currency=INR","Period=FQ","BEST_FPERIOD_OVERRIDE=FQ","FILING_STATUS=OR","EQY_CONSOLIDATED=Y","SCALING_FORMAT=MLN","Sort=A","Dates=H","DateFormat=P","Fill=—","Direction=H","UseDPDF=Y")</f>
        <v>#NAME?</v>
      </c>
      <c r="CA37" s="3" t="e">
        <f ca="1">_xll.BDH($C$28,"BS_LT_BORROW","FQ4 2015","FQ4 2015","Currency=INR","Period=FQ","BEST_FPERIOD_OVERRIDE=FQ","FILING_STATUS=OR","EQY_CONSOLIDATED=Y","SCALING_FORMAT=MLN","Sort=A","Dates=H","DateFormat=P","Fill=—","Direction=H","UseDPDF=Y")</f>
        <v>#NAME?</v>
      </c>
      <c r="CB37" s="2" t="e">
        <f ca="1">_xll.BDH($C$28,"TOT_DEBT_TO_EBITDA","FQ4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37" s="2" t="e">
        <f ca="1">_xll.BDH($C$28,"NET_DEBT_TO_EBITDA","FQ4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37" s="2" t="e">
        <f ca="1">_xll.BDH($C$28,"TOTAL_DEBT_TO_EBIT","FQ4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37" s="2" t="e">
        <f ca="1">_xll.BDH($C$28,"NET_DEBT_TO_EBIT","FQ4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37" s="2" t="e">
        <f ca="1">_xll.BDH($C$28,"EBITDA_TO_INTEREST_EXPN","FQ4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37" s="2" t="e">
        <f ca="1">_xll.BDH($C$28,"COM_EQY_TO_TOT_ASSET","FQ4 2015","FQ4 2015","Currency=INR","Period=FQ","BEST_FPERIOD_OVERRIDE=FQ","FILING_STATUS=OR","EQY_CONSOLIDATED=Y","Sort=A","Dates=H","DateFormat=P","Fill=—","Direction=H","UseDPDF=Y")</f>
        <v>#NAME?</v>
      </c>
      <c r="CH37" s="2" t="e">
        <f ca="1">_xll.BDH($C$28,"LT_DEBT_TO_TOT_EQY","FQ4 2015","FQ4 2015","Currency=INR","Period=FQ","BEST_FPERIOD_OVERRIDE=FQ","FILING_STATUS=OR","EQY_CONSOLIDATED=Y","Sort=A","Dates=H","DateFormat=P","Fill=—","Direction=H","UseDPDF=Y")</f>
        <v>#NAME?</v>
      </c>
      <c r="CI37" s="2" t="e">
        <f ca="1">_xll.BDH($C$28,"LT_DEBT_TO_TOT_CAP","FQ4 2015","FQ4 2015","Currency=INR","Period=FQ","BEST_FPERIOD_OVERRIDE=FQ","FILING_STATUS=OR","EQY_CONSOLIDATED=Y","Sort=A","Dates=H","DateFormat=P","Fill=—","Direction=H","UseDPDF=Y")</f>
        <v>#NAME?</v>
      </c>
      <c r="CJ37" s="2" t="e">
        <f ca="1">_xll.BDH($C$28,"LT_DEBT_TO_TOT_ASSET","FQ4 2015","FQ4 2015","Currency=INR","Period=FQ","BEST_FPERIOD_OVERRIDE=FQ","FILING_STATUS=OR","EQY_CONSOLIDATED=Y","Sort=A","Dates=H","DateFormat=P","Fill=—","Direction=H","UseDPDF=Y")</f>
        <v>#NAME?</v>
      </c>
      <c r="CK37" s="2" t="e">
        <f ca="1">_xll.BDH($C$28,"TOT_DEBT_TO_TOT_EQY","FQ4 2015","FQ4 2015","Currency=INR","Period=FQ","BEST_FPERIOD_OVERRIDE=FQ","FILING_STATUS=OR","EQY_CONSOLIDATED=Y","Sort=A","Dates=H","DateFormat=P","Fill=—","Direction=H","UseDPDF=Y")</f>
        <v>#NAME?</v>
      </c>
      <c r="CL37" s="2" t="e">
        <f ca="1">_xll.BDH($C$28,"TOT_DEBT_TO_TOT_CAP","FQ4 2015","FQ4 2015","Currency=INR","Period=FQ","BEST_FPERIOD_OVERRIDE=FQ","FILING_STATUS=OR","EQY_CONSOLIDATED=Y","Sort=A","Dates=H","DateFormat=P","Fill=—","Direction=H","UseDPDF=Y")</f>
        <v>#NAME?</v>
      </c>
      <c r="CM37" s="2" t="e">
        <f ca="1">_xll.BDH($C$28,"TOT_DEBT_TO_TOT_ASSET","FQ4 2015","FQ4 2015","Currency=INR","Period=FQ","BEST_FPERIOD_OVERRIDE=FQ","FILING_STATUS=OR","EQY_CONSOLIDATED=Y","Sort=A","Dates=H","DateFormat=P","Fill=—","Direction=H","UseDPDF=Y")</f>
        <v>#NAME?</v>
      </c>
      <c r="CN37" s="2" t="e">
        <f ca="1">_xll.BDH($C$28,"NET_DEBT_TO_SHRHLDR_EQTY","FQ4 2015","FQ4 2015","Currency=INR","Period=FQ","BEST_FPERIOD_OVERRIDE=FQ","FILING_STATUS=OR","EQY_CONSOLIDATED=Y","Sort=A","Dates=H","DateFormat=P","Fill=—","Direction=H","UseDPDF=Y")</f>
        <v>#NAME?</v>
      </c>
      <c r="CO37" s="2" t="e">
        <f ca="1">_xll.BDH($C$28,"NET_DEBT_%_CAPITAL","FQ4 2015","FQ4 2015","Currency=INR","Period=FQ","BEST_FPERIOD_OVERRIDE=FQ","FILING_STATUS=OR","EQY_CONSOLIDATED=Y","Sort=A","Dates=H","DateFormat=P","Fill=—","Direction=H","UseDPDF=Y")</f>
        <v>#NAME?</v>
      </c>
      <c r="CP37" s="3" t="e">
        <f ca="1">_xll.BDH($C$28,"EBITDA","FQ4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37" s="3" t="e">
        <f ca="1">_xll.BDH($C$28,"EBITDA_AFTER_CAPEX","FQ4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37" s="3" t="e">
        <f ca="1">_xll.BDH($C$28,"IS_OPER_INC","FQ4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37" s="2" t="e">
        <f ca="1">_xll.BDH($C$28,"CASH_RATIO","FQ4 2015","FQ4 2015","Currency=INR","Period=FQ","BEST_FPERIOD_OVERRIDE=FQ","FILING_STATUS=OR","EQY_CONSOLIDATED=Y","Sort=A","Dates=H","DateFormat=P","Fill=—","Direction=H","UseDPDF=Y")</f>
        <v>#NAME?</v>
      </c>
      <c r="CT37" s="2" t="e">
        <f ca="1">_xll.BDH($C$28,"CUR_RATIO","FQ4 2015","FQ4 2015","Currency=INR","Period=FQ","BEST_FPERIOD_OVERRIDE=FQ","FILING_STATUS=OR","EQY_CONSOLIDATED=Y","Sort=A","Dates=H","DateFormat=P","Fill=—","Direction=H","UseDPDF=Y")</f>
        <v>#NAME?</v>
      </c>
      <c r="CU37" s="2" t="e">
        <f ca="1">_xll.BDH($C$28,"QUICK_RATIO","FQ4 2015","FQ4 2015","Currency=INR","Period=FQ","BEST_FPERIOD_OVERRIDE=FQ","FILING_STATUS=OR","EQY_CONSOLIDATED=Y","Sort=A","Dates=H","DateFormat=P","Fill=—","Direction=H","UseDPDF=Y")</f>
        <v>#NAME?</v>
      </c>
      <c r="CV37" s="2" t="e">
        <f ca="1">_xll.BDH($C$28,"ALTMAN_Z_SCORE","FQ4 2015","FQ4 2015","Currency=INR","Period=FQ","BEST_FPERIOD_OVERRIDE=FQ","FILING_STATUS=OR","EQY_CONSOLIDATED=Y","Sort=A","Dates=H","DateFormat=P","Fill=—","Direction=H","UseDPDF=Y")</f>
        <v>#NAME?</v>
      </c>
      <c r="CW37" s="4" t="e">
        <f ca="1">_xll.BDH($C$28,"ACCT_RCV_TURN","FQ4 2015","FQ4 2015","Currency=INR","Period=FQ","BEST_FPERIOD_OVERRIDE=FQ","FILING_STATUS=OR","EQY_CONSOLIDATED=Y","FA_ADJUSTED=GAAP","Sort=A","Dates=H","DateFormat=P","Fill=—","Direction=H","UseDPDF=Y")</f>
        <v>#NAME?</v>
      </c>
      <c r="CX37" s="2" t="e">
        <f ca="1">_xll.BDH($C$28,"ACCT_RCV_DAYS","FQ4 2015","FQ4 2015","Currency=INR","Period=FQ","BEST_FPERIOD_OVERRIDE=FQ","FILING_STATUS=OR","EQY_CONSOLIDATED=Y","FA_ADJUSTED=GAAP","Sort=A","Dates=H","DateFormat=P","Fill=—","Direction=H","UseDPDF=Y")</f>
        <v>#NAME?</v>
      </c>
      <c r="CY37" s="4" t="e">
        <f ca="1">_xll.BDH($C$28,"INVENT_TURN","FQ4 2015","FQ4 2015","Currency=INR","Period=FQ","BEST_FPERIOD_OVERRIDE=FQ","FILING_STATUS=OR","EQY_CONSOLIDATED=Y","FA_ADJUSTED=GAAP","Sort=A","Dates=H","DateFormat=P","Fill=—","Direction=H","UseDPDF=Y")</f>
        <v>#NAME?</v>
      </c>
      <c r="CZ37" s="2" t="e">
        <f ca="1">_xll.BDH($C$28,"INVENT_DAYS","FQ4 2015","FQ4 2015","Currency=INR","Period=FQ","BEST_FPERIOD_OVERRIDE=FQ","FILING_STATUS=OR","EQY_CONSOLIDATED=Y","FA_ADJUSTED=GAAP","Sort=A","Dates=H","DateFormat=P","Fill=—","Direction=H","UseDPDF=Y")</f>
        <v>#NAME?</v>
      </c>
      <c r="DA37" s="4" t="e">
        <f ca="1">_xll.BDH($C$28,"ACCOUNTS_PAYABLE_TURNOVER","FQ4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37" s="2" t="e">
        <f ca="1">_xll.BDH($C$28,"ACCOUNTS_PAYABLE_TURNOVER_DAYS","FQ4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37" s="4" t="e">
        <f ca="1">_xll.BDH($C$28,"CASH_CONVERSION_CYCLE","FQ4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37" s="4" t="e">
        <f ca="1">_xll.BDH($C$28,"INV_TO_CASH_DAYS","FQ4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37" s="5" t="e">
        <f ca="1">_xll.BDH($C$28,"BS_INVENTORIES","FQ4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37" s="3" t="e">
        <f ca="1">_xll.BDH($C$28,"INVTRY_RAW_MATERIALS","FQ4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37" s="3" t="e">
        <f ca="1">_xll.BDH($C$28,"INVTRY_IN_PROGRESS","FQ4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37" s="3" t="e">
        <f ca="1">_xll.BDH($C$28,"INVTRY_FINISHED_GOODS","FQ4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37" s="3" t="e">
        <f ca="1">_xll.BDH($C$28,"BS_OTHER_INV","FQ4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38" spans="1:113" x14ac:dyDescent="0.3">
      <c r="A38" s="6"/>
      <c r="B38" s="6"/>
      <c r="C38" s="6"/>
      <c r="D38" s="6" t="s">
        <v>83</v>
      </c>
      <c r="E38" t="s">
        <v>77</v>
      </c>
      <c r="F38" t="e">
        <f ca="1">_xll.BDH($C$28,"RETURN_COM_EQY","FY 2016","FY 2016","Currency=INR","Period=FY","BEST_FPERIOD_OVERRIDE=FY","FILING_STATUS=OR","EQY_CONSOLIDATED=Y","FA_ADJUSTED=GAAP","Sort=A","Dates=H","DateFormat=P","Fill=—","Direction=H","UseDPDF=Y")</f>
        <v>#NAME?</v>
      </c>
      <c r="G38" t="e">
        <f ca="1">_xll.BDH($C$28,"RETURN_ON_ASSET","FY 2016","FY 2016","Currency=INR","Period=FY","BEST_FPERIOD_OVERRIDE=FY","FILING_STATUS=OR","EQY_CONSOLIDATED=Y","FA_ADJUSTED=GAAP","Sort=A","Dates=H","DateFormat=P","Fill=—","Direction=H","UseDPDF=Y")</f>
        <v>#NAME?</v>
      </c>
      <c r="H38" t="e">
        <f ca="1">_xll.BDH($C$28,"RETURN_ON_CAP","FY 2016","FY 2016","Currency=INR","Period=FY","BEST_FPERIOD_OVERRIDE=FY","FILING_STATUS=OR","EQY_CONSOLIDATED=Y","FA_ADJUSTED=GAAP","Sort=A","Dates=H","DateFormat=P","Fill=—","Direction=H","UseDPDF=Y")</f>
        <v>#NAME?</v>
      </c>
      <c r="I38" t="e">
        <f ca="1">_xll.BDH($C$28,"RETURN_ON_INV_CAPITAL","FY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38" t="e">
        <f ca="1">_xll.BDH($C$28,"EBITDA_TO_REVENUE","FY 2016","FY 2016","Currency=INR","Period=FY","BEST_FPERIOD_OVERRIDE=FY","FILING_STATUS=OR","EQY_CONSOLIDATED=Y","FA_ADJUSTED=GAAP","Sort=A","Dates=H","DateFormat=P","Fill=—","Direction=H","UseDPDF=Y")</f>
        <v>#NAME?</v>
      </c>
      <c r="K38" t="e">
        <f ca="1">_xll.BDH($C$28,"OPER_MARGIN","FY 2016","FY 2016","Currency=INR","Period=FY","BEST_FPERIOD_OVERRIDE=FY","FILING_STATUS=OR","EQY_CONSOLIDATED=Y","FA_ADJUSTED=GAAP","Sort=A","Dates=H","DateFormat=P","Fill=—","Direction=H","UseDPDF=Y")</f>
        <v>#NAME?</v>
      </c>
      <c r="L38" t="e">
        <f ca="1">_xll.BDH($C$28,"INCREMENTAL_OPERATING_MARGIN","FY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38" t="e">
        <f ca="1">_xll.BDH($C$28,"PRETAX_INC_TO_NET_SALES","FY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38" t="e">
        <f ca="1">_xll.BDH($C$28,"INC_BEF_XO_ITEMS_TO_NET_SALES","FY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38" t="e">
        <f ca="1">_xll.BDH($C$28,"PROF_MARGIN","FY 2016","FY 2016","Currency=INR","Period=FY","BEST_FPERIOD_OVERRIDE=FY","FILING_STATUS=OR","EQY_CONSOLIDATED=Y","FA_ADJUSTED=GAAP","Sort=A","Dates=H","DateFormat=P","Fill=—","Direction=H","UseDPDF=Y")</f>
        <v>#NAME?</v>
      </c>
      <c r="P38" t="e">
        <f ca="1">_xll.BDH($C$28,"NET_INCOME_TO_COMMON_MARGIN","FY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38" t="e">
        <f ca="1">_xll.BDH($C$28,"EFF_TAX_RATE","FY 2016","FY 2016","Currency=INR","Period=FY","BEST_FPERIOD_OVERRIDE=FY","FILING_STATUS=OR","EQY_CONSOLIDATED=Y","FA_ADJUSTED=GAAP","Sort=A","Dates=H","DateFormat=P","Fill=—","Direction=H","UseDPDF=Y")</f>
        <v>#NAME?</v>
      </c>
      <c r="R38" t="e">
        <f ca="1">_xll.BDH($C$28,"DVD_PAYOUT_RATIO","FY 2016","FY 2016","Currency=INR","Period=FY","BEST_FPERIOD_OVERRIDE=FY","FILING_STATUS=OR","EQY_CONSOLIDATED=Y","FA_ADJUSTED=GAAP","Sort=A","Dates=H","DateFormat=P","Fill=—","Direction=H","UseDPDF=Y")</f>
        <v>#NAME?</v>
      </c>
      <c r="S38" t="e">
        <f ca="1">_xll.BDH($C$28,"SUSTAIN_GROWTH_RT","FY 2016","FY 2016","Currency=INR","Period=FY","BEST_FPERIOD_OVERRIDE=FY","FILING_STATUS=OR","EQY_CONSOLIDATED=Y","FA_ADJUSTED=GAAP","Sort=A","Dates=H","DateFormat=P","Fill=—","Direction=H","UseDPDF=Y")</f>
        <v>#NAME?</v>
      </c>
      <c r="T38" s="2" t="e">
        <f ca="1">_xll.BDH($C$28,"SALES_GROWTH","FY 2016","FY 2016","Currency=INR","Period=FY","BEST_FPERIOD_OVERRIDE=FY","FILING_STATUS=OR","EQY_CONSOLIDATED=Y","FA_ADJUSTED=GAAP","Sort=A","Dates=H","DateFormat=P","Fill=—","Direction=H","UseDPDF=Y")</f>
        <v>#NAME?</v>
      </c>
      <c r="U38" s="2" t="e">
        <f ca="1">_xll.BDH($C$28,"EBITDA_GROWTH","FY 2016","FY 2016","Currency=INR","Period=FY","BEST_FPERIOD_OVERRIDE=FY","FILING_STATUS=OR","EQY_CONSOLIDATED=Y","FA_ADJUSTED=GAAP","Sort=A","Dates=H","DateFormat=P","Fill=—","Direction=H","UseDPDF=Y")</f>
        <v>#NAME?</v>
      </c>
      <c r="V38" s="2" t="e">
        <f ca="1">_xll.BDH($C$28,"OPER_INC_GROWTH","FY 2016","FY 2016","Currency=INR","Period=FY","BEST_FPERIOD_OVERRIDE=FY","FILING_STATUS=OR","EQY_CONSOLIDATED=Y","FA_ADJUSTED=GAAP","Sort=A","Dates=H","DateFormat=P","Fill=—","Direction=H","UseDPDF=Y")</f>
        <v>#NAME?</v>
      </c>
      <c r="W38" s="2" t="e">
        <f ca="1">_xll.BDH($C$28,"EARN_FOR_COM_GROWTH","FY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38" s="2" t="e">
        <f ca="1">_xll.BDH($C$28,"DILUTED_EPS_AFT_XO_ITEMS_GROWTH","FY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38" s="2" t="e">
        <f ca="1">_xll.BDH($C$28,"DIVIDEND_PER_SHARE_1_YEAR_GROWTH","FY 2016","FY 2016","Currency=INR","Period=FY","BEST_FPERIOD_OVERRIDE=FY","FILING_STATUS=OR","EQY_CONSOLIDATED=Y","Sort=A","Dates=H","DateFormat=P","Fill=—","Direction=H","UseDPDF=Y")</f>
        <v>#NAME?</v>
      </c>
      <c r="Z38" s="2" t="e">
        <f ca="1">_xll.BDH($C$28,"ACCOUNTS_RECEIVABLE_GROWTH","FY 2016","FY 2016","Currency=INR","Period=FY","BEST_FPERIOD_OVERRIDE=FY","FILING_STATUS=OR","EQY_CONSOLIDATED=Y","Sort=A","Dates=H","DateFormat=P","Fill=—","Direction=H","UseDPDF=Y")</f>
        <v>#NAME?</v>
      </c>
      <c r="AA38" s="2" t="e">
        <f ca="1">_xll.BDH($C$28,"INVENTORY_GROWTH","FY 2016","FY 2016","Currency=INR","Period=FY","BEST_FPERIOD_OVERRIDE=FY","FILING_STATUS=OR","EQY_CONSOLIDATED=Y","Sort=A","Dates=H","DateFormat=P","Fill=—","Direction=H","UseDPDF=Y")</f>
        <v>#NAME?</v>
      </c>
      <c r="AB38" s="2" t="e">
        <f ca="1">_xll.BDH($C$28,"NET_FIXED_ASSETS_1_YEAR_GROWTH","FY 2016","FY 2016","Currency=INR","Period=FY","BEST_FPERIOD_OVERRIDE=FY","FILING_STATUS=OR","EQY_CONSOLIDATED=Y","Sort=A","Dates=H","DateFormat=P","Fill=—","Direction=H","UseDPDF=Y")</f>
        <v>#NAME?</v>
      </c>
      <c r="AC38" s="2" t="e">
        <f ca="1">_xll.BDH($C$28,"ASSET_GROWTH","FY 2016","FY 2016","Currency=INR","Period=FY","BEST_FPERIOD_OVERRIDE=FY","FILING_STATUS=OR","EQY_CONSOLIDATED=Y","Sort=A","Dates=H","DateFormat=P","Fill=—","Direction=H","UseDPDF=Y")</f>
        <v>#NAME?</v>
      </c>
      <c r="AD38" s="2" t="e">
        <f ca="1">_xll.BDH($C$28,"MODIFIED_WORK_CAP_GROWTH","FY 2016","FY 2016","Currency=INR","Period=FY","BEST_FPERIOD_OVERRIDE=FY","FILING_STATUS=OR","EQY_CONSOLIDATED=Y","Sort=A","Dates=H","DateFormat=P","Fill=—","Direction=H","UseDPDF=Y")</f>
        <v>#NAME?</v>
      </c>
      <c r="AE38" s="2" t="e">
        <f ca="1">_xll.BDH($C$28,"WORK_CAP_GROWTH","FY 2016","FY 2016","Currency=INR","Period=FY","BEST_FPERIOD_OVERRIDE=FY","FILING_STATUS=OR","EQY_CONSOLIDATED=Y","Sort=A","Dates=H","DateFormat=P","Fill=—","Direction=H","UseDPDF=Y")</f>
        <v>#NAME?</v>
      </c>
      <c r="AF38" s="2" t="e">
        <f ca="1">_xll.BDH($C$28,"ACCOUNTS_PAYABLE_GROWTH_1YR","FY 2016","FY 2016","Currency=INR","Period=FY","BEST_FPERIOD_OVERRIDE=FY","FILING_STATUS=OR","EQY_CONSOLIDATED=Y","Sort=A","Dates=H","DateFormat=P","Fill=—","Direction=H","UseDPDF=Y")</f>
        <v>#NAME?</v>
      </c>
      <c r="AG38" s="2" t="e">
        <f ca="1">_xll.BDH($C$28,"SHORT_TERM_DEBT_1_YEAR_GROWTH","FY 2016","FY 2016","Currency=INR","Period=FY","BEST_FPERIOD_OVERRIDE=FY","FILING_STATUS=OR","EQY_CONSOLIDATED=Y","Sort=A","Dates=H","DateFormat=P","Fill=—","Direction=H","UseDPDF=Y")</f>
        <v>#NAME?</v>
      </c>
      <c r="AH38" s="2" t="e">
        <f ca="1">_xll.BDH($C$28,"TOTAL_DEBT_1_YEAR_GROWTH","FY 2016","FY 2016","Currency=INR","Period=FY","BEST_FPERIOD_OVERRIDE=FY","FILING_STATUS=OR","EQY_CONSOLIDATED=Y","Sort=A","Dates=H","DateFormat=P","Fill=—","Direction=H","UseDPDF=Y")</f>
        <v>#NAME?</v>
      </c>
      <c r="AI38" s="2" t="e">
        <f ca="1">_xll.BDH($C$28,"TOTAL_EQUITY_1_YEAR_GROWTH","FY 2016","FY 2016","Currency=INR","Period=FY","BEST_FPERIOD_OVERRIDE=FY","FILING_STATUS=OR","EQY_CONSOLIDATED=Y","Sort=A","Dates=H","DateFormat=P","Fill=—","Direction=H","UseDPDF=Y")</f>
        <v>#NAME?</v>
      </c>
      <c r="AJ38" s="2" t="e">
        <f ca="1">_xll.BDH($C$28,"GROWTH_IN_CAP","FY 2016","FY 2016","Currency=INR","Period=FY","BEST_FPERIOD_OVERRIDE=FY","FILING_STATUS=OR","EQY_CONSOLIDATED=Y","Sort=A","Dates=H","DateFormat=P","Fill=—","Direction=H","UseDPDF=Y")</f>
        <v>#NAME?</v>
      </c>
      <c r="AK38" s="2" t="e">
        <f ca="1">_xll.BDH($C$28,"BVPS_GROWTH","FY 2016","FY 2016","Currency=INR","Period=FY","BEST_FPERIOD_OVERRIDE=FY","FILING_STATUS=OR","EQY_CONSOLIDATED=Y","Sort=A","Dates=H","DateFormat=P","Fill=—","Direction=H","UseDPDF=Y")</f>
        <v>#NAME?</v>
      </c>
      <c r="AL38" s="2" t="e">
        <f ca="1">_xll.BDH($C$28,"CASH_FLOW_GROWTH","FY 2016","FY 2016","Currency=INR","Period=FY","BEST_FPERIOD_OVERRIDE=FY","FILING_STATUS=OR","EQY_CONSOLIDATED=Y","Sort=A","Dates=H","DateFormat=P","Fill=—","Direction=H","UseDPDF=Y")</f>
        <v>#NAME?</v>
      </c>
      <c r="AM38" s="2" t="e">
        <f ca="1">_xll.BDH($C$28,"GEO_GROW_NET_SALES","FY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38" s="2" t="e">
        <f ca="1">_xll.BDH($C$28,"GEO_GROW_EBITDA","FY 2016","FY 2016","Currency=INR","Period=FY","BEST_FPERIOD_OVERRIDE=FY","FILING_STATUS=OR","EQY_CONSOLIDATED=Y","FA_ADJUSTED=GAAP","Sort=A","Dates=H","DateFormat=P","Fill=—","Direction=H","UseDPDF=Y")</f>
        <v>#NAME?</v>
      </c>
      <c r="AO38" s="2" t="e">
        <f ca="1">_xll.BDH($C$28,"GEO_GROW_OPER_INC","FY 2016","FY 2016","Currency=INR","Period=FY","BEST_FPERIOD_OVERRIDE=FY","FILING_STATUS=OR","EQY_CONSOLIDATED=Y","FA_ADJUSTED=GAAP","Sort=A","Dates=H","DateFormat=P","Fill=—","Direction=H","UseDPDF=Y")</f>
        <v>#NAME?</v>
      </c>
      <c r="AP38" s="2" t="e">
        <f ca="1">_xll.BDH($C$28,"NET_INCOME_TO_COMMON_5_YR_GROWTH","FY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38" s="2" t="e">
        <f ca="1">_xll.BDH($C$28,"5Y_GEO_GROWTH_DILUTED_EPS","FY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38" s="2" t="e">
        <f ca="1">_xll.BDH($C$28,"GEO_GROW_DVD_PER_SH","FY 2016","FY 2016","Currency=INR","Period=FY","BEST_FPERIOD_OVERRIDE=FY","FILING_STATUS=OR","EQY_CONSOLIDATED=Y","Sort=A","Dates=H","DateFormat=P","Fill=—","Direction=H","UseDPDF=Y")</f>
        <v>#NAME?</v>
      </c>
      <c r="AS38" s="2" t="e">
        <f ca="1">_xll.BDH($C$28,"ACCOUNTS_RECEIVABLE_5_YR_GROWTH","FY 2016","FY 2016","Currency=INR","Period=FY","BEST_FPERIOD_OVERRIDE=FY","FILING_STATUS=OR","EQY_CONSOLIDATED=Y","Sort=A","Dates=H","DateFormat=P","Fill=—","Direction=H","UseDPDF=Y")</f>
        <v>#NAME?</v>
      </c>
      <c r="AT38" s="2" t="e">
        <f ca="1">_xll.BDH($C$28,"INVENTORY_5_YEAR_GROWTH","FY 2016","FY 2016","Currency=INR","Period=FY","BEST_FPERIOD_OVERRIDE=FY","FILING_STATUS=OR","EQY_CONSOLIDATED=Y","Sort=A","Dates=H","DateFormat=P","Fill=—","Direction=H","UseDPDF=Y")</f>
        <v>#NAME?</v>
      </c>
      <c r="AU38" s="2" t="e">
        <f ca="1">_xll.BDH($C$28,"NET_FIXED_ASSETS_5_YEAR_GROWTH","FY 2016","FY 2016","Currency=INR","Period=FY","BEST_FPERIOD_OVERRIDE=FY","FILING_STATUS=OR","EQY_CONSOLIDATED=Y","Sort=A","Dates=H","DateFormat=P","Fill=—","Direction=H","UseDPDF=Y")</f>
        <v>#NAME?</v>
      </c>
      <c r="AV38" s="2" t="e">
        <f ca="1">_xll.BDH($C$28,"GEO_GROW_TOT_ASSET","FY 2016","FY 2016","Currency=INR","Period=FY","BEST_FPERIOD_OVERRIDE=FY","FILING_STATUS=OR","EQY_CONSOLIDATED=Y","Sort=A","Dates=H","DateFormat=P","Fill=—","Direction=H","UseDPDF=Y")</f>
        <v>#NAME?</v>
      </c>
      <c r="AW38" s="2" t="e">
        <f ca="1">_xll.BDH($C$28,"MODIFIED_WORKING_CPTL_5YR_GRWTH","FY 2016","FY 2016","Currency=INR","Period=FY","BEST_FPERIOD_OVERRIDE=FY","FILING_STATUS=OR","EQY_CONSOLIDATED=Y","Sort=A","Dates=H","DateFormat=P","Fill=—","Direction=H","UseDPDF=Y")</f>
        <v>#NAME?</v>
      </c>
      <c r="AX38" s="2" t="e">
        <f ca="1">_xll.BDH($C$28,"WORKING_CAPITAL_5_YEAR_GROWTH","FY 2016","FY 2016","Currency=INR","Period=FY","BEST_FPERIOD_OVERRIDE=FY","FILING_STATUS=OR","EQY_CONSOLIDATED=Y","Sort=A","Dates=H","DateFormat=P","Fill=—","Direction=H","UseDPDF=Y")</f>
        <v>#NAME?</v>
      </c>
      <c r="AY38" s="2" t="e">
        <f ca="1">_xll.BDH($C$28,"ACCOUNTS_PAYABLE_5_YEAR_GROWTH","FY 2016","FY 2016","Currency=INR","Period=FY","BEST_FPERIOD_OVERRIDE=FY","FILING_STATUS=OR","EQY_CONSOLIDATED=Y","Sort=A","Dates=H","DateFormat=P","Fill=—","Direction=H","UseDPDF=Y")</f>
        <v>#NAME?</v>
      </c>
      <c r="AZ38" s="2" t="e">
        <f ca="1">_xll.BDH($C$28,"SHORT_TERM_DEBT_5_YEAR_GROWTH","FY 2016","FY 2016","Currency=INR","Period=FY","BEST_FPERIOD_OVERRIDE=FY","FILING_STATUS=OR","EQY_CONSOLIDATED=Y","Sort=A","Dates=H","DateFormat=P","Fill=—","Direction=H","UseDPDF=Y")</f>
        <v>#NAME?</v>
      </c>
      <c r="BA38" s="2" t="e">
        <f ca="1">_xll.BDH($C$28,"TOTAL_DEBT_5_YEAR_GROWTH","FY 2016","FY 2016","Currency=INR","Period=FY","BEST_FPERIOD_OVERRIDE=FY","FILING_STATUS=OR","EQY_CONSOLIDATED=Y","Sort=A","Dates=H","DateFormat=P","Fill=—","Direction=H","UseDPDF=Y")</f>
        <v>#NAME?</v>
      </c>
      <c r="BB38" s="2" t="e">
        <f ca="1">_xll.BDH($C$28,"GEO_GROW_TOT_SHRHLDR_EQY","FY 2016","FY 2016","Currency=INR","Period=FY","BEST_FPERIOD_OVERRIDE=FY","FILING_STATUS=OR","EQY_CONSOLIDATED=Y","Sort=A","Dates=H","DateFormat=P","Fill=—","Direction=H","UseDPDF=Y")</f>
        <v>#NAME?</v>
      </c>
      <c r="BC38" s="2" t="e">
        <f ca="1">_xll.BDH($C$28,"TOTAL_CAPITAL_5_YEAR_GROWTH","FY 2016","FY 2016","Currency=INR","Period=FY","BEST_FPERIOD_OVERRIDE=FY","FILING_STATUS=OR","EQY_CONSOLIDATED=Y","Sort=A","Dates=H","DateFormat=P","Fill=—","Direction=H","UseDPDF=Y")</f>
        <v>#NAME?</v>
      </c>
      <c r="BD38" s="2" t="e">
        <f ca="1">_xll.BDH($C$28,"GEO_GROW_BOOK_VAL","FY 2016","FY 2016","Currency=INR","Period=FY","BEST_FPERIOD_OVERRIDE=FY","FILING_STATUS=OR","EQY_CONSOLIDATED=Y","Sort=A","Dates=H","DateFormat=P","Fill=—","Direction=H","UseDPDF=Y")</f>
        <v>#NAME?</v>
      </c>
      <c r="BE38" s="2" t="e">
        <f ca="1">_xll.BDH($C$28,"GEO_GROW_CASH_OPER_ACT","FY 2016","FY 2016","Currency=INR","Period=FY","BEST_FPERIOD_OVERRIDE=FY","FILING_STATUS=OR","EQY_CONSOLIDATED=Y","Sort=A","Dates=H","DateFormat=P","Fill=—","Direction=H","UseDPDF=Y")</f>
        <v>#NAME?</v>
      </c>
      <c r="BF38" s="2" t="e">
        <f ca="1">_xll.BDH($C$28,"REVENUE_SEQUENTIAL_GROWTH","FY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38" s="2" t="e">
        <f ca="1">_xll.BDH($C$28,"EBITDA_SEQUENTIAL_GROWTH","FY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38" s="2" t="e">
        <f ca="1">_xll.BDH($C$28,"OPERATING_INCOME_SEQ_GROWTH","FY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38" s="2" t="e">
        <f ca="1">_xll.BDH($C$28,"NET_INCOME_TO_COMMON_SEQ_GROWTH","FY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38" s="2" t="e">
        <f ca="1">_xll.BDH($C$28,"EPS_DILUTED_SEQUENTIAL_GROWTH","FY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38" s="2" t="e">
        <f ca="1">_xll.BDH($C$28,"DPS_SEQUENTIAL_GROWTH","FY 2016","FY 2016","Currency=INR","Period=FY","BEST_FPERIOD_OVERRIDE=FY","FILING_STATUS=OR","EQY_CONSOLIDATED=Y","Sort=A","Dates=H","DateFormat=P","Fill=—","Direction=H","UseDPDF=Y")</f>
        <v>#NAME?</v>
      </c>
      <c r="BL38" s="2" t="e">
        <f ca="1">_xll.BDH($C$28,"ACCOUNTS_RECEIVABLE_SEQ_GROWTH","FY 2016","FY 2016","Currency=INR","Period=FY","BEST_FPERIOD_OVERRIDE=FY","FILING_STATUS=OR","EQY_CONSOLIDATED=Y","Sort=A","Dates=H","DateFormat=P","Fill=—","Direction=H","UseDPDF=Y")</f>
        <v>#NAME?</v>
      </c>
      <c r="BM38" s="2" t="e">
        <f ca="1">_xll.BDH($C$28,"INVENTORY_SEQUENTIAL_GROWTH","FY 2016","FY 2016","Currency=INR","Period=FY","BEST_FPERIOD_OVERRIDE=FY","FILING_STATUS=OR","EQY_CONSOLIDATED=Y","Sort=A","Dates=H","DateFormat=P","Fill=—","Direction=H","UseDPDF=Y")</f>
        <v>#NAME?</v>
      </c>
      <c r="BN38" s="2" t="e">
        <f ca="1">_xll.BDH($C$28,"FIXED_ASSETS_SEQUENTIAL_GROWTH","FY 2016","FY 2016","Currency=INR","Period=FY","BEST_FPERIOD_OVERRIDE=FY","FILING_STATUS=OR","EQY_CONSOLIDATED=Y","Sort=A","Dates=H","DateFormat=P","Fill=—","Direction=H","UseDPDF=Y")</f>
        <v>#NAME?</v>
      </c>
      <c r="BO38" s="2" t="e">
        <f ca="1">_xll.BDH($C$28,"TOTAL_ASSETS_SEQUENTIAL_GROWTH","FY 2016","FY 2016","Currency=INR","Period=FY","BEST_FPERIOD_OVERRIDE=FY","FILING_STATUS=OR","EQY_CONSOLIDATED=Y","Sort=A","Dates=H","DateFormat=P","Fill=—","Direction=H","UseDPDF=Y")</f>
        <v>#NAME?</v>
      </c>
      <c r="BP38" s="2" t="e">
        <f ca="1">_xll.BDH($C$28,"MODIFIED_WORKING_CPTL_SEQ_GRWTH","FY 2016","FY 2016","Currency=INR","Period=FY","BEST_FPERIOD_OVERRIDE=FY","FILING_STATUS=OR","EQY_CONSOLIDATED=Y","Sort=A","Dates=H","DateFormat=P","Fill=—","Direction=H","UseDPDF=Y")</f>
        <v>#NAME?</v>
      </c>
      <c r="BQ38" s="2" t="e">
        <f ca="1">_xll.BDH($C$28,"WORKING_CAPITAL_SEQ_GROWTH","FY 2016","FY 2016","Currency=INR","Period=FY","BEST_FPERIOD_OVERRIDE=FY","FILING_STATUS=OR","EQY_CONSOLIDATED=Y","Sort=A","Dates=H","DateFormat=P","Fill=—","Direction=H","UseDPDF=Y")</f>
        <v>#NAME?</v>
      </c>
      <c r="BR38" s="2" t="e">
        <f ca="1">_xll.BDH($C$28,"ACCOUNTS_PAYABLE_SEQ_GROWTH","FY 2016","FY 2016","Currency=INR","Period=FY","BEST_FPERIOD_OVERRIDE=FY","FILING_STATUS=OR","EQY_CONSOLIDATED=Y","Sort=A","Dates=H","DateFormat=P","Fill=—","Direction=H","UseDPDF=Y")</f>
        <v>#NAME?</v>
      </c>
      <c r="BS38" s="2" t="e">
        <f ca="1">_xll.BDH($C$28,"ST_DEBT_SEQUENTIAL_GROWTH","FY 2016","FY 2016","Currency=INR","Period=FY","BEST_FPERIOD_OVERRIDE=FY","FILING_STATUS=OR","EQY_CONSOLIDATED=Y","Sort=A","Dates=H","DateFormat=P","Fill=—","Direction=H","UseDPDF=Y")</f>
        <v>#NAME?</v>
      </c>
      <c r="BT38" s="2" t="e">
        <f ca="1">_xll.BDH($C$28,"TOTAL_DEBT_SEQUENTIAL_GROWTH","FY 2016","FY 2016","Currency=INR","Period=FY","BEST_FPERIOD_OVERRIDE=FY","FILING_STATUS=OR","EQY_CONSOLIDATED=Y","Sort=A","Dates=H","DateFormat=P","Fill=—","Direction=H","UseDPDF=Y")</f>
        <v>#NAME?</v>
      </c>
      <c r="BU38" s="2" t="e">
        <f ca="1">_xll.BDH($C$28,"TOTAL_EQUITY_SEQUENTIAL_GROWTH","FY 2016","FY 2016","Currency=INR","Period=FY","BEST_FPERIOD_OVERRIDE=FY","FILING_STATUS=OR","EQY_CONSOLIDATED=Y","Sort=A","Dates=H","DateFormat=P","Fill=—","Direction=H","UseDPDF=Y")</f>
        <v>#NAME?</v>
      </c>
      <c r="BV38" s="2" t="e">
        <f ca="1">_xll.BDH($C$28,"TOTAL_CAPITAL_SEQUENTIAL_GROWTH","FY 2016","FY 2016","Currency=INR","Period=FY","BEST_FPERIOD_OVERRIDE=FY","FILING_STATUS=OR","EQY_CONSOLIDATED=Y","Sort=A","Dates=H","DateFormat=P","Fill=—","Direction=H","UseDPDF=Y")</f>
        <v>#NAME?</v>
      </c>
      <c r="BW38" s="2" t="e">
        <f ca="1">_xll.BDH($C$28,"BPS_SEQUENTIAL_GROWTH","FY 2016","FY 2016","Currency=INR","Period=FY","BEST_FPERIOD_OVERRIDE=FY","FILING_STATUS=OR","EQY_CONSOLIDATED=Y","Sort=A","Dates=H","DateFormat=P","Fill=—","Direction=H","UseDPDF=Y")</f>
        <v>#NAME?</v>
      </c>
      <c r="BX38" s="2" t="e">
        <f ca="1">_xll.BDH($C$28,"CFO_SEQUENTIAL_GROWTH","FY 2016","FY 2016","Currency=INR","Period=FY","BEST_FPERIOD_OVERRIDE=FY","FILING_STATUS=OR","EQY_CONSOLIDATED=Y","Sort=A","Dates=H","DateFormat=P","Fill=—","Direction=H","UseDPDF=Y")</f>
        <v>#NAME?</v>
      </c>
      <c r="BY38" s="3" t="e">
        <f ca="1">_xll.BDH($C$28,"SHORT_AND_LONG_TERM_DEBT","FY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38" s="3" t="e">
        <f ca="1">_xll.BDH($C$28,"BS_ST_BORROW","FY 2016","FY 2016","Currency=INR","Period=FY","BEST_FPERIOD_OVERRIDE=FY","FILING_STATUS=OR","EQY_CONSOLIDATED=Y","SCALING_FORMAT=MLN","Sort=A","Dates=H","DateFormat=P","Fill=—","Direction=H","UseDPDF=Y")</f>
        <v>#NAME?</v>
      </c>
      <c r="CA38" s="3" t="e">
        <f ca="1">_xll.BDH($C$28,"BS_LT_BORROW","FY 2016","FY 2016","Currency=INR","Period=FY","BEST_FPERIOD_OVERRIDE=FY","FILING_STATUS=OR","EQY_CONSOLIDATED=Y","SCALING_FORMAT=MLN","Sort=A","Dates=H","DateFormat=P","Fill=—","Direction=H","UseDPDF=Y")</f>
        <v>#NAME?</v>
      </c>
      <c r="CB38" s="2" t="e">
        <f ca="1">_xll.BDH($C$28,"TOT_DEBT_TO_EBITDA","FY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38" s="2" t="e">
        <f ca="1">_xll.BDH($C$28,"NET_DEBT_TO_EBITDA","FY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38" s="2" t="e">
        <f ca="1">_xll.BDH($C$28,"TOTAL_DEBT_TO_EBIT","FY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38" s="2" t="e">
        <f ca="1">_xll.BDH($C$28,"NET_DEBT_TO_EBIT","FY 2016","FY 2016","Currency=INR","Period=FY","BEST_FPERIOD_OVERRIDE=FY","FILING_STATUS=OR","EQY_CONSOLIDATED=Y","FA_ADJUSTED=GAAP","Sort=A","Dates=H","DateFormat=P","Fill=—","Direction=H","UseDPDF=Y")</f>
        <v>#NAME?</v>
      </c>
      <c r="CF38" s="2" t="e">
        <f ca="1">_xll.BDH($C$28,"EBITDA_TO_INTEREST_EXPN","FY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38" s="2" t="e">
        <f ca="1">_xll.BDH($C$28,"COM_EQY_TO_TOT_ASSET","FY 2016","FY 2016","Currency=INR","Period=FY","BEST_FPERIOD_OVERRIDE=FY","FILING_STATUS=OR","EQY_CONSOLIDATED=Y","Sort=A","Dates=H","DateFormat=P","Fill=—","Direction=H","UseDPDF=Y")</f>
        <v>#NAME?</v>
      </c>
      <c r="CH38" s="2" t="e">
        <f ca="1">_xll.BDH($C$28,"LT_DEBT_TO_TOT_EQY","FY 2016","FY 2016","Currency=INR","Period=FY","BEST_FPERIOD_OVERRIDE=FY","FILING_STATUS=OR","EQY_CONSOLIDATED=Y","Sort=A","Dates=H","DateFormat=P","Fill=—","Direction=H","UseDPDF=Y")</f>
        <v>#NAME?</v>
      </c>
      <c r="CI38" s="2" t="e">
        <f ca="1">_xll.BDH($C$28,"LT_DEBT_TO_TOT_CAP","FY 2016","FY 2016","Currency=INR","Period=FY","BEST_FPERIOD_OVERRIDE=FY","FILING_STATUS=OR","EQY_CONSOLIDATED=Y","Sort=A","Dates=H","DateFormat=P","Fill=—","Direction=H","UseDPDF=Y")</f>
        <v>#NAME?</v>
      </c>
      <c r="CJ38" s="2" t="e">
        <f ca="1">_xll.BDH($C$28,"LT_DEBT_TO_TOT_ASSET","FY 2016","FY 2016","Currency=INR","Period=FY","BEST_FPERIOD_OVERRIDE=FY","FILING_STATUS=OR","EQY_CONSOLIDATED=Y","Sort=A","Dates=H","DateFormat=P","Fill=—","Direction=H","UseDPDF=Y")</f>
        <v>#NAME?</v>
      </c>
      <c r="CK38" s="2" t="e">
        <f ca="1">_xll.BDH($C$28,"TOT_DEBT_TO_TOT_EQY","FY 2016","FY 2016","Currency=INR","Period=FY","BEST_FPERIOD_OVERRIDE=FY","FILING_STATUS=OR","EQY_CONSOLIDATED=Y","Sort=A","Dates=H","DateFormat=P","Fill=—","Direction=H","UseDPDF=Y")</f>
        <v>#NAME?</v>
      </c>
      <c r="CL38" s="2" t="e">
        <f ca="1">_xll.BDH($C$28,"TOT_DEBT_TO_TOT_CAP","FY 2016","FY 2016","Currency=INR","Period=FY","BEST_FPERIOD_OVERRIDE=FY","FILING_STATUS=OR","EQY_CONSOLIDATED=Y","Sort=A","Dates=H","DateFormat=P","Fill=—","Direction=H","UseDPDF=Y")</f>
        <v>#NAME?</v>
      </c>
      <c r="CM38" s="2" t="e">
        <f ca="1">_xll.BDH($C$28,"TOT_DEBT_TO_TOT_ASSET","FY 2016","FY 2016","Currency=INR","Period=FY","BEST_FPERIOD_OVERRIDE=FY","FILING_STATUS=OR","EQY_CONSOLIDATED=Y","Sort=A","Dates=H","DateFormat=P","Fill=—","Direction=H","UseDPDF=Y")</f>
        <v>#NAME?</v>
      </c>
      <c r="CN38" s="2" t="e">
        <f ca="1">_xll.BDH($C$28,"NET_DEBT_TO_SHRHLDR_EQTY","FY 2016","FY 2016","Currency=INR","Period=FY","BEST_FPERIOD_OVERRIDE=FY","FILING_STATUS=OR","EQY_CONSOLIDATED=Y","Sort=A","Dates=H","DateFormat=P","Fill=—","Direction=H","UseDPDF=Y")</f>
        <v>#NAME?</v>
      </c>
      <c r="CO38" s="2" t="e">
        <f ca="1">_xll.BDH($C$28,"NET_DEBT_%_CAPITAL","FY 2016","FY 2016","Currency=INR","Period=FY","BEST_FPERIOD_OVERRIDE=FY","FILING_STATUS=OR","EQY_CONSOLIDATED=Y","Sort=A","Dates=H","DateFormat=P","Fill=—","Direction=H","UseDPDF=Y")</f>
        <v>#NAME?</v>
      </c>
      <c r="CP38" s="3" t="e">
        <f ca="1">_xll.BDH($C$28,"EBITDA","FY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38" s="3" t="e">
        <f ca="1">_xll.BDH($C$28,"EBITDA_AFTER_CAPEX","FY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38" s="3" t="e">
        <f ca="1">_xll.BDH($C$28,"IS_OPER_INC","FY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38" s="2" t="e">
        <f ca="1">_xll.BDH($C$28,"CASH_RATIO","FY 2016","FY 2016","Currency=INR","Period=FY","BEST_FPERIOD_OVERRIDE=FY","FILING_STATUS=OR","EQY_CONSOLIDATED=Y","Sort=A","Dates=H","DateFormat=P","Fill=—","Direction=H","UseDPDF=Y")</f>
        <v>#NAME?</v>
      </c>
      <c r="CT38" s="2" t="e">
        <f ca="1">_xll.BDH($C$28,"CUR_RATIO","FY 2016","FY 2016","Currency=INR","Period=FY","BEST_FPERIOD_OVERRIDE=FY","FILING_STATUS=OR","EQY_CONSOLIDATED=Y","Sort=A","Dates=H","DateFormat=P","Fill=—","Direction=H","UseDPDF=Y")</f>
        <v>#NAME?</v>
      </c>
      <c r="CU38" s="2" t="e">
        <f ca="1">_xll.BDH($C$28,"QUICK_RATIO","FY 2016","FY 2016","Currency=INR","Period=FY","BEST_FPERIOD_OVERRIDE=FY","FILING_STATUS=OR","EQY_CONSOLIDATED=Y","Sort=A","Dates=H","DateFormat=P","Fill=—","Direction=H","UseDPDF=Y")</f>
        <v>#NAME?</v>
      </c>
      <c r="CV38" s="2" t="e">
        <f ca="1">_xll.BDH($C$28,"ALTMAN_Z_SCORE","FY 2016","FY 2016","Currency=INR","Period=FY","BEST_FPERIOD_OVERRIDE=FY","FILING_STATUS=OR","EQY_CONSOLIDATED=Y","Sort=A","Dates=H","DateFormat=P","Fill=—","Direction=H","UseDPDF=Y")</f>
        <v>#NAME?</v>
      </c>
      <c r="CW38" s="4" t="e">
        <f ca="1">_xll.BDH($C$28,"ACCT_RCV_TURN","FY 2016","FY 2016","Currency=INR","Period=FY","BEST_FPERIOD_OVERRIDE=FY","FILING_STATUS=OR","EQY_CONSOLIDATED=Y","FA_ADJUSTED=GAAP","Sort=A","Dates=H","DateFormat=P","Fill=—","Direction=H","UseDPDF=Y")</f>
        <v>#NAME?</v>
      </c>
      <c r="CX38" s="2" t="e">
        <f ca="1">_xll.BDH($C$28,"ACCT_RCV_DAYS","FY 2016","FY 2016","Currency=INR","Period=FY","BEST_FPERIOD_OVERRIDE=FY","FILING_STATUS=OR","EQY_CONSOLIDATED=Y","FA_ADJUSTED=GAAP","Sort=A","Dates=H","DateFormat=P","Fill=—","Direction=H","UseDPDF=Y")</f>
        <v>#NAME?</v>
      </c>
      <c r="CY38" s="4" t="e">
        <f ca="1">_xll.BDH($C$28,"INVENT_TURN","FY 2016","FY 2016","Currency=INR","Period=FY","BEST_FPERIOD_OVERRIDE=FY","FILING_STATUS=OR","EQY_CONSOLIDATED=Y","FA_ADJUSTED=GAAP","Sort=A","Dates=H","DateFormat=P","Fill=—","Direction=H","UseDPDF=Y")</f>
        <v>#NAME?</v>
      </c>
      <c r="CZ38" s="2" t="e">
        <f ca="1">_xll.BDH($C$28,"INVENT_DAYS","FY 2016","FY 2016","Currency=INR","Period=FY","BEST_FPERIOD_OVERRIDE=FY","FILING_STATUS=OR","EQY_CONSOLIDATED=Y","FA_ADJUSTED=GAAP","Sort=A","Dates=H","DateFormat=P","Fill=—","Direction=H","UseDPDF=Y")</f>
        <v>#NAME?</v>
      </c>
      <c r="DA38" s="4" t="e">
        <f ca="1">_xll.BDH($C$28,"ACCOUNTS_PAYABLE_TURNOVER","FY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38" s="2" t="e">
        <f ca="1">_xll.BDH($C$28,"ACCOUNTS_PAYABLE_TURNOVER_DAYS","FY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38" s="4" t="e">
        <f ca="1">_xll.BDH($C$28,"CASH_CONVERSION_CYCLE","FY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38" s="4" t="e">
        <f ca="1">_xll.BDH($C$28,"INV_TO_CASH_DAYS","FY 2016","FY 2016","Currency=INR","Period=FY","BEST_FPERIOD_OVERRIDE=FY","FILING_STATUS=OR","EQY_CONSOLIDATED=Y","FA_ADJUSTED=GAAP","Sort=A","Dates=H","DateFormat=P","Fill=—","Direction=H","UseDPDF=Y")</f>
        <v>#NAME?</v>
      </c>
      <c r="DE38" s="5" t="e">
        <f ca="1">_xll.BDH($C$28,"BS_INVENTORIES","FY 2016","FY 2016","Currency=INR","Period=FY","BEST_FPERIOD_OVERRIDE=FY","FILING_STATUS=OR","EQY_CONSOLIDATED=Y","SCALING_FORMAT=MLN","Sort=A","Dates=H","DateFormat=P","Fill=—","Direction=H","UseDPDF=Y")</f>
        <v>#NAME?</v>
      </c>
      <c r="DF38" s="3" t="e">
        <f ca="1">_xll.BDH($C$28,"INVTRY_RAW_MATERIALS","FY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38" s="3" t="e">
        <f ca="1">_xll.BDH($C$28,"INVTRY_IN_PROGRESS","FY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38" s="3" t="e">
        <f ca="1">_xll.BDH($C$28,"INVTRY_FINISHED_GOODS","FY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38" s="3" t="e">
        <f ca="1">_xll.BDH($C$28,"BS_OTHER_INV","FY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39" spans="1:113" x14ac:dyDescent="0.3">
      <c r="A39" s="6"/>
      <c r="B39" s="6"/>
      <c r="C39" s="6"/>
      <c r="D39" s="6"/>
      <c r="E39" t="s">
        <v>78</v>
      </c>
      <c r="F39" t="e">
        <f ca="1">_xll.BDH($C$28,"RETURN_COM_EQY","FQ1 2016","FQ1 2016","Currency=INR","Period=FQ","BEST_FPERIOD_OVERRIDE=FQ","FILING_STATUS=OR","EQY_CONSOLIDATED=Y","FA_ADJUSTED=GAAP","Sort=A","Dates=H","DateFormat=P","Fill=—","Direction=H","UseDPDF=Y")</f>
        <v>#NAME?</v>
      </c>
      <c r="G39" t="e">
        <f ca="1">_xll.BDH($C$28,"RETURN_ON_ASSET","FQ1 2016","FQ1 2016","Currency=INR","Period=FQ","BEST_FPERIOD_OVERRIDE=FQ","FILING_STATUS=OR","EQY_CONSOLIDATED=Y","FA_ADJUSTED=GAAP","Sort=A","Dates=H","DateFormat=P","Fill=—","Direction=H","UseDPDF=Y")</f>
        <v>#NAME?</v>
      </c>
      <c r="H39" t="e">
        <f ca="1">_xll.BDH($C$28,"RETURN_ON_CAP","FQ1 2016","FQ1 2016","Currency=INR","Period=FQ","BEST_FPERIOD_OVERRIDE=FQ","FILING_STATUS=OR","EQY_CONSOLIDATED=Y","FA_ADJUSTED=GAAP","Sort=A","Dates=H","DateFormat=P","Fill=—","Direction=H","UseDPDF=Y")</f>
        <v>#NAME?</v>
      </c>
      <c r="I39" t="e">
        <f ca="1">_xll.BDH($C$28,"RETURN_ON_INV_CAPITAL","FQ1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39" t="e">
        <f ca="1">_xll.BDH($C$28,"EBITDA_TO_REVENUE","FQ1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39" t="e">
        <f ca="1">_xll.BDH($C$28,"OPER_MARGIN","FQ1 2016","FQ1 2016","Currency=INR","Period=FQ","BEST_FPERIOD_OVERRIDE=FQ","FILING_STATUS=OR","EQY_CONSOLIDATED=Y","FA_ADJUSTED=GAAP","Sort=A","Dates=H","DateFormat=P","Fill=—","Direction=H","UseDPDF=Y")</f>
        <v>#NAME?</v>
      </c>
      <c r="L39" t="e">
        <f ca="1">_xll.BDH($C$28,"INCREMENTAL_OPERATING_MARGIN","FQ1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39" t="e">
        <f ca="1">_xll.BDH($C$28,"PRETAX_INC_TO_NET_SALES","FQ1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39" t="e">
        <f ca="1">_xll.BDH($C$28,"INC_BEF_XO_ITEMS_TO_NET_SALES","FQ1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39" t="e">
        <f ca="1">_xll.BDH($C$28,"PROF_MARGIN","FQ1 2016","FQ1 2016","Currency=INR","Period=FQ","BEST_FPERIOD_OVERRIDE=FQ","FILING_STATUS=OR","EQY_CONSOLIDATED=Y","FA_ADJUSTED=GAAP","Sort=A","Dates=H","DateFormat=P","Fill=—","Direction=H","UseDPDF=Y")</f>
        <v>#NAME?</v>
      </c>
      <c r="P39" t="e">
        <f ca="1">_xll.BDH($C$28,"NET_INCOME_TO_COMMON_MARGIN","FQ1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39" t="e">
        <f ca="1">_xll.BDH($C$28,"EFF_TAX_RATE","FQ1 2016","FQ1 2016","Currency=INR","Period=FQ","BEST_FPERIOD_OVERRIDE=FQ","FILING_STATUS=OR","EQY_CONSOLIDATED=Y","FA_ADJUSTED=GAAP","Sort=A","Dates=H","DateFormat=P","Fill=—","Direction=H","UseDPDF=Y")</f>
        <v>#NAME?</v>
      </c>
      <c r="R39" t="e">
        <f ca="1">_xll.BDH($C$28,"DVD_PAYOUT_RATIO","FQ1 2016","FQ1 2016","Currency=INR","Period=FQ","BEST_FPERIOD_OVERRIDE=FQ","FILING_STATUS=OR","EQY_CONSOLIDATED=Y","FA_ADJUSTED=GAAP","Sort=A","Dates=H","DateFormat=P","Fill=—","Direction=H","UseDPDF=Y")</f>
        <v>#NAME?</v>
      </c>
      <c r="S39" t="e">
        <f ca="1">_xll.BDH($C$28,"SUSTAIN_GROWTH_RT","FQ1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39" s="2" t="e">
        <f ca="1">_xll.BDH($C$28,"SALES_GROWTH","FQ1 2016","FQ1 2016","Currency=INR","Period=FQ","BEST_FPERIOD_OVERRIDE=FQ","FILING_STATUS=OR","EQY_CONSOLIDATED=Y","FA_ADJUSTED=GAAP","Sort=A","Dates=H","DateFormat=P","Fill=—","Direction=H","UseDPDF=Y")</f>
        <v>#NAME?</v>
      </c>
      <c r="U39" s="2" t="e">
        <f ca="1">_xll.BDH($C$28,"EBITDA_GROWTH","FQ1 2016","FQ1 2016","Currency=INR","Period=FQ","BEST_FPERIOD_OVERRIDE=FQ","FILING_STATUS=OR","EQY_CONSOLIDATED=Y","FA_ADJUSTED=GAAP","Sort=A","Dates=H","DateFormat=P","Fill=—","Direction=H","UseDPDF=Y")</f>
        <v>#NAME?</v>
      </c>
      <c r="V39" s="2" t="e">
        <f ca="1">_xll.BDH($C$28,"OPER_INC_GROWTH","FQ1 2016","FQ1 2016","Currency=INR","Period=FQ","BEST_FPERIOD_OVERRIDE=FQ","FILING_STATUS=OR","EQY_CONSOLIDATED=Y","FA_ADJUSTED=GAAP","Sort=A","Dates=H","DateFormat=P","Fill=—","Direction=H","UseDPDF=Y")</f>
        <v>#NAME?</v>
      </c>
      <c r="W39" s="2" t="e">
        <f ca="1">_xll.BDH($C$28,"EARN_FOR_COM_GROWTH","FQ1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39" s="2" t="e">
        <f ca="1">_xll.BDH($C$28,"DILUTED_EPS_AFT_XO_ITEMS_GROWTH","FQ1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39" s="2" t="e">
        <f ca="1">_xll.BDH($C$28,"DIVIDEND_PER_SHARE_1_YEAR_GROWTH","FQ1 2016","FQ1 2016","Currency=INR","Period=FQ","BEST_FPERIOD_OVERRIDE=FQ","FILING_STATUS=OR","EQY_CONSOLIDATED=Y","Sort=A","Dates=H","DateFormat=P","Fill=—","Direction=H","UseDPDF=Y")</f>
        <v>#NAME?</v>
      </c>
      <c r="Z39" s="2" t="e">
        <f ca="1">_xll.BDH($C$28,"ACCOUNTS_RECEIVABLE_GROWTH","FQ1 2016","FQ1 2016","Currency=INR","Period=FQ","BEST_FPERIOD_OVERRIDE=FQ","FILING_STATUS=OR","EQY_CONSOLIDATED=Y","Sort=A","Dates=H","DateFormat=P","Fill=—","Direction=H","UseDPDF=Y")</f>
        <v>#NAME?</v>
      </c>
      <c r="AA39" s="2" t="e">
        <f ca="1">_xll.BDH($C$28,"INVENTORY_GROWTH","FQ1 2016","FQ1 2016","Currency=INR","Period=FQ","BEST_FPERIOD_OVERRIDE=FQ","FILING_STATUS=OR","EQY_CONSOLIDATED=Y","Sort=A","Dates=H","DateFormat=P","Fill=—","Direction=H","UseDPDF=Y")</f>
        <v>#NAME?</v>
      </c>
      <c r="AB39" s="2" t="e">
        <f ca="1">_xll.BDH($C$28,"NET_FIXED_ASSETS_1_YEAR_GROWTH","FQ1 2016","FQ1 2016","Currency=INR","Period=FQ","BEST_FPERIOD_OVERRIDE=FQ","FILING_STATUS=OR","EQY_CONSOLIDATED=Y","Sort=A","Dates=H","DateFormat=P","Fill=—","Direction=H","UseDPDF=Y")</f>
        <v>#NAME?</v>
      </c>
      <c r="AC39" s="2" t="e">
        <f ca="1">_xll.BDH($C$28,"ASSET_GROWTH","FQ1 2016","FQ1 2016","Currency=INR","Period=FQ","BEST_FPERIOD_OVERRIDE=FQ","FILING_STATUS=OR","EQY_CONSOLIDATED=Y","Sort=A","Dates=H","DateFormat=P","Fill=—","Direction=H","UseDPDF=Y")</f>
        <v>#NAME?</v>
      </c>
      <c r="AD39" s="2" t="e">
        <f ca="1">_xll.BDH($C$28,"MODIFIED_WORK_CAP_GROWTH","FQ1 2016","FQ1 2016","Currency=INR","Period=FQ","BEST_FPERIOD_OVERRIDE=FQ","FILING_STATUS=OR","EQY_CONSOLIDATED=Y","Sort=A","Dates=H","DateFormat=P","Fill=—","Direction=H","UseDPDF=Y")</f>
        <v>#NAME?</v>
      </c>
      <c r="AE39" s="2" t="e">
        <f ca="1">_xll.BDH($C$28,"WORK_CAP_GROWTH","FQ1 2016","FQ1 2016","Currency=INR","Period=FQ","BEST_FPERIOD_OVERRIDE=FQ","FILING_STATUS=OR","EQY_CONSOLIDATED=Y","Sort=A","Dates=H","DateFormat=P","Fill=—","Direction=H","UseDPDF=Y")</f>
        <v>#NAME?</v>
      </c>
      <c r="AF39" s="2" t="e">
        <f ca="1">_xll.BDH($C$28,"ACCOUNTS_PAYABLE_GROWTH_1YR","FQ1 2016","FQ1 2016","Currency=INR","Period=FQ","BEST_FPERIOD_OVERRIDE=FQ","FILING_STATUS=OR","EQY_CONSOLIDATED=Y","Sort=A","Dates=H","DateFormat=P","Fill=—","Direction=H","UseDPDF=Y")</f>
        <v>#NAME?</v>
      </c>
      <c r="AG39" s="2" t="e">
        <f ca="1">_xll.BDH($C$28,"SHORT_TERM_DEBT_1_YEAR_GROWTH","FQ1 2016","FQ1 2016","Currency=INR","Period=FQ","BEST_FPERIOD_OVERRIDE=FQ","FILING_STATUS=OR","EQY_CONSOLIDATED=Y","Sort=A","Dates=H","DateFormat=P","Fill=—","Direction=H","UseDPDF=Y")</f>
        <v>#NAME?</v>
      </c>
      <c r="AH39" s="2" t="e">
        <f ca="1">_xll.BDH($C$28,"TOTAL_DEBT_1_YEAR_GROWTH","FQ1 2016","FQ1 2016","Currency=INR","Period=FQ","BEST_FPERIOD_OVERRIDE=FQ","FILING_STATUS=OR","EQY_CONSOLIDATED=Y","Sort=A","Dates=H","DateFormat=P","Fill=—","Direction=H","UseDPDF=Y")</f>
        <v>#NAME?</v>
      </c>
      <c r="AI39" s="2" t="e">
        <f ca="1">_xll.BDH($C$28,"TOTAL_EQUITY_1_YEAR_GROWTH","FQ1 2016","FQ1 2016","Currency=INR","Period=FQ","BEST_FPERIOD_OVERRIDE=FQ","FILING_STATUS=OR","EQY_CONSOLIDATED=Y","Sort=A","Dates=H","DateFormat=P","Fill=—","Direction=H","UseDPDF=Y")</f>
        <v>#NAME?</v>
      </c>
      <c r="AJ39" s="2" t="e">
        <f ca="1">_xll.BDH($C$28,"GROWTH_IN_CAP","FQ1 2016","FQ1 2016","Currency=INR","Period=FQ","BEST_FPERIOD_OVERRIDE=FQ","FILING_STATUS=OR","EQY_CONSOLIDATED=Y","Sort=A","Dates=H","DateFormat=P","Fill=—","Direction=H","UseDPDF=Y")</f>
        <v>#NAME?</v>
      </c>
      <c r="AK39" s="2" t="e">
        <f ca="1">_xll.BDH($C$28,"BVPS_GROWTH","FQ1 2016","FQ1 2016","Currency=INR","Period=FQ","BEST_FPERIOD_OVERRIDE=FQ","FILING_STATUS=OR","EQY_CONSOLIDATED=Y","Sort=A","Dates=H","DateFormat=P","Fill=—","Direction=H","UseDPDF=Y")</f>
        <v>#NAME?</v>
      </c>
      <c r="AL39" s="2" t="e">
        <f ca="1">_xll.BDH($C$28,"CASH_FLOW_GROWTH","FQ1 2016","FQ1 2016","Currency=INR","Period=FQ","BEST_FPERIOD_OVERRIDE=FQ","FILING_STATUS=OR","EQY_CONSOLIDATED=Y","Sort=A","Dates=H","DateFormat=P","Fill=—","Direction=H","UseDPDF=Y")</f>
        <v>#NAME?</v>
      </c>
      <c r="AM39" s="2" t="e">
        <f ca="1">_xll.BDH($C$28,"GEO_GROW_NET_SALES","FQ1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39" s="2" t="e">
        <f ca="1">_xll.BDH($C$28,"GEO_GROW_EBITDA","FQ1 2016","FQ1 2016","Currency=INR","Period=FQ","BEST_FPERIOD_OVERRIDE=FQ","FILING_STATUS=OR","EQY_CONSOLIDATED=Y","FA_ADJUSTED=GAAP","Sort=A","Dates=H","DateFormat=P","Fill=—","Direction=H","UseDPDF=Y")</f>
        <v>#NAME?</v>
      </c>
      <c r="AO39" s="2" t="e">
        <f ca="1">_xll.BDH($C$28,"GEO_GROW_OPER_INC","FQ1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39" s="2" t="e">
        <f ca="1">_xll.BDH($C$28,"NET_INCOME_TO_COMMON_5_YR_GROWTH","FQ1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39" s="2" t="e">
        <f ca="1">_xll.BDH($C$28,"5Y_GEO_GROWTH_DILUTED_EPS","FQ1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39" s="2" t="e">
        <f ca="1">_xll.BDH($C$28,"GEO_GROW_DVD_PER_SH","FQ1 2016","FQ1 2016","Currency=INR","Period=FQ","BEST_FPERIOD_OVERRIDE=FQ","FILING_STATUS=OR","EQY_CONSOLIDATED=Y","Sort=A","Dates=H","DateFormat=P","Fill=—","Direction=H","UseDPDF=Y")</f>
        <v>#NAME?</v>
      </c>
      <c r="AS39" s="2" t="e">
        <f ca="1">_xll.BDH($C$28,"ACCOUNTS_RECEIVABLE_5_YR_GROWTH","FQ1 2016","FQ1 2016","Currency=INR","Period=FQ","BEST_FPERIOD_OVERRIDE=FQ","FILING_STATUS=OR","EQY_CONSOLIDATED=Y","Sort=A","Dates=H","DateFormat=P","Fill=—","Direction=H","UseDPDF=Y")</f>
        <v>#NAME?</v>
      </c>
      <c r="AT39" s="2" t="e">
        <f ca="1">_xll.BDH($C$28,"INVENTORY_5_YEAR_GROWTH","FQ1 2016","FQ1 2016","Currency=INR","Period=FQ","BEST_FPERIOD_OVERRIDE=FQ","FILING_STATUS=OR","EQY_CONSOLIDATED=Y","Sort=A","Dates=H","DateFormat=P","Fill=—","Direction=H","UseDPDF=Y")</f>
        <v>#NAME?</v>
      </c>
      <c r="AU39" s="2" t="e">
        <f ca="1">_xll.BDH($C$28,"NET_FIXED_ASSETS_5_YEAR_GROWTH","FQ1 2016","FQ1 2016","Currency=INR","Period=FQ","BEST_FPERIOD_OVERRIDE=FQ","FILING_STATUS=OR","EQY_CONSOLIDATED=Y","Sort=A","Dates=H","DateFormat=P","Fill=—","Direction=H","UseDPDF=Y")</f>
        <v>#NAME?</v>
      </c>
      <c r="AV39" s="2" t="e">
        <f ca="1">_xll.BDH($C$28,"GEO_GROW_TOT_ASSET","FQ1 2016","FQ1 2016","Currency=INR","Period=FQ","BEST_FPERIOD_OVERRIDE=FQ","FILING_STATUS=OR","EQY_CONSOLIDATED=Y","Sort=A","Dates=H","DateFormat=P","Fill=—","Direction=H","UseDPDF=Y")</f>
        <v>#NAME?</v>
      </c>
      <c r="AW39" s="2" t="e">
        <f ca="1">_xll.BDH($C$28,"MODIFIED_WORKING_CPTL_5YR_GRWTH","FQ1 2016","FQ1 2016","Currency=INR","Period=FQ","BEST_FPERIOD_OVERRIDE=FQ","FILING_STATUS=OR","EQY_CONSOLIDATED=Y","Sort=A","Dates=H","DateFormat=P","Fill=—","Direction=H","UseDPDF=Y")</f>
        <v>#NAME?</v>
      </c>
      <c r="AX39" s="2" t="e">
        <f ca="1">_xll.BDH($C$28,"WORKING_CAPITAL_5_YEAR_GROWTH","FQ1 2016","FQ1 2016","Currency=INR","Period=FQ","BEST_FPERIOD_OVERRIDE=FQ","FILING_STATUS=OR","EQY_CONSOLIDATED=Y","Sort=A","Dates=H","DateFormat=P","Fill=—","Direction=H","UseDPDF=Y")</f>
        <v>#NAME?</v>
      </c>
      <c r="AY39" s="2" t="e">
        <f ca="1">_xll.BDH($C$28,"ACCOUNTS_PAYABLE_5_YEAR_GROWTH","FQ1 2016","FQ1 2016","Currency=INR","Period=FQ","BEST_FPERIOD_OVERRIDE=FQ","FILING_STATUS=OR","EQY_CONSOLIDATED=Y","Sort=A","Dates=H","DateFormat=P","Fill=—","Direction=H","UseDPDF=Y")</f>
        <v>#NAME?</v>
      </c>
      <c r="AZ39" s="2" t="e">
        <f ca="1">_xll.BDH($C$28,"SHORT_TERM_DEBT_5_YEAR_GROWTH","FQ1 2016","FQ1 2016","Currency=INR","Period=FQ","BEST_FPERIOD_OVERRIDE=FQ","FILING_STATUS=OR","EQY_CONSOLIDATED=Y","Sort=A","Dates=H","DateFormat=P","Fill=—","Direction=H","UseDPDF=Y")</f>
        <v>#NAME?</v>
      </c>
      <c r="BA39" s="2" t="e">
        <f ca="1">_xll.BDH($C$28,"TOTAL_DEBT_5_YEAR_GROWTH","FQ1 2016","FQ1 2016","Currency=INR","Period=FQ","BEST_FPERIOD_OVERRIDE=FQ","FILING_STATUS=OR","EQY_CONSOLIDATED=Y","Sort=A","Dates=H","DateFormat=P","Fill=—","Direction=H","UseDPDF=Y")</f>
        <v>#NAME?</v>
      </c>
      <c r="BB39" s="2" t="e">
        <f ca="1">_xll.BDH($C$28,"GEO_GROW_TOT_SHRHLDR_EQY","FQ1 2016","FQ1 2016","Currency=INR","Period=FQ","BEST_FPERIOD_OVERRIDE=FQ","FILING_STATUS=OR","EQY_CONSOLIDATED=Y","Sort=A","Dates=H","DateFormat=P","Fill=—","Direction=H","UseDPDF=Y")</f>
        <v>#NAME?</v>
      </c>
      <c r="BC39" s="2" t="e">
        <f ca="1">_xll.BDH($C$28,"TOTAL_CAPITAL_5_YEAR_GROWTH","FQ1 2016","FQ1 2016","Currency=INR","Period=FQ","BEST_FPERIOD_OVERRIDE=FQ","FILING_STATUS=OR","EQY_CONSOLIDATED=Y","Sort=A","Dates=H","DateFormat=P","Fill=—","Direction=H","UseDPDF=Y")</f>
        <v>#NAME?</v>
      </c>
      <c r="BD39" s="2" t="e">
        <f ca="1">_xll.BDH($C$28,"GEO_GROW_BOOK_VAL","FQ1 2016","FQ1 2016","Currency=INR","Period=FQ","BEST_FPERIOD_OVERRIDE=FQ","FILING_STATUS=OR","EQY_CONSOLIDATED=Y","Sort=A","Dates=H","DateFormat=P","Fill=—","Direction=H","UseDPDF=Y")</f>
        <v>#NAME?</v>
      </c>
      <c r="BE39" s="2" t="e">
        <f ca="1">_xll.BDH($C$28,"GEO_GROW_CASH_OPER_ACT","FQ1 2016","FQ1 2016","Currency=INR","Period=FQ","BEST_FPERIOD_OVERRIDE=FQ","FILING_STATUS=OR","EQY_CONSOLIDATED=Y","Sort=A","Dates=H","DateFormat=P","Fill=—","Direction=H","UseDPDF=Y")</f>
        <v>#NAME?</v>
      </c>
      <c r="BF39" s="2" t="e">
        <f ca="1">_xll.BDH($C$28,"REVENUE_SEQUENTIAL_GROWTH","FQ1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39" s="2" t="e">
        <f ca="1">_xll.BDH($C$28,"EBITDA_SEQUENTIAL_GROWTH","FQ1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39" s="2" t="e">
        <f ca="1">_xll.BDH($C$28,"OPERATING_INCOME_SEQ_GROWTH","FQ1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39" s="2" t="e">
        <f ca="1">_xll.BDH($C$28,"NET_INCOME_TO_COMMON_SEQ_GROWTH","FQ1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39" s="2" t="e">
        <f ca="1">_xll.BDH($C$28,"EPS_DILUTED_SEQUENTIAL_GROWTH","FQ1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39" s="2" t="e">
        <f ca="1">_xll.BDH($C$28,"DPS_SEQUENTIAL_GROWTH","FQ1 2016","FQ1 2016","Currency=INR","Period=FQ","BEST_FPERIOD_OVERRIDE=FQ","FILING_STATUS=OR","EQY_CONSOLIDATED=Y","Sort=A","Dates=H","DateFormat=P","Fill=—","Direction=H","UseDPDF=Y")</f>
        <v>#NAME?</v>
      </c>
      <c r="BL39" s="2" t="e">
        <f ca="1">_xll.BDH($C$28,"ACCOUNTS_RECEIVABLE_SEQ_GROWTH","FQ1 2016","FQ1 2016","Currency=INR","Period=FQ","BEST_FPERIOD_OVERRIDE=FQ","FILING_STATUS=OR","EQY_CONSOLIDATED=Y","Sort=A","Dates=H","DateFormat=P","Fill=—","Direction=H","UseDPDF=Y")</f>
        <v>#NAME?</v>
      </c>
      <c r="BM39" s="2" t="e">
        <f ca="1">_xll.BDH($C$28,"INVENTORY_SEQUENTIAL_GROWTH","FQ1 2016","FQ1 2016","Currency=INR","Period=FQ","BEST_FPERIOD_OVERRIDE=FQ","FILING_STATUS=OR","EQY_CONSOLIDATED=Y","Sort=A","Dates=H","DateFormat=P","Fill=—","Direction=H","UseDPDF=Y")</f>
        <v>#NAME?</v>
      </c>
      <c r="BN39" s="2" t="e">
        <f ca="1">_xll.BDH($C$28,"FIXED_ASSETS_SEQUENTIAL_GROWTH","FQ1 2016","FQ1 2016","Currency=INR","Period=FQ","BEST_FPERIOD_OVERRIDE=FQ","FILING_STATUS=OR","EQY_CONSOLIDATED=Y","Sort=A","Dates=H","DateFormat=P","Fill=—","Direction=H","UseDPDF=Y")</f>
        <v>#NAME?</v>
      </c>
      <c r="BO39" s="2" t="e">
        <f ca="1">_xll.BDH($C$28,"TOTAL_ASSETS_SEQUENTIAL_GROWTH","FQ1 2016","FQ1 2016","Currency=INR","Period=FQ","BEST_FPERIOD_OVERRIDE=FQ","FILING_STATUS=OR","EQY_CONSOLIDATED=Y","Sort=A","Dates=H","DateFormat=P","Fill=—","Direction=H","UseDPDF=Y")</f>
        <v>#NAME?</v>
      </c>
      <c r="BP39" s="2" t="e">
        <f ca="1">_xll.BDH($C$28,"MODIFIED_WORKING_CPTL_SEQ_GRWTH","FQ1 2016","FQ1 2016","Currency=INR","Period=FQ","BEST_FPERIOD_OVERRIDE=FQ","FILING_STATUS=OR","EQY_CONSOLIDATED=Y","Sort=A","Dates=H","DateFormat=P","Fill=—","Direction=H","UseDPDF=Y")</f>
        <v>#NAME?</v>
      </c>
      <c r="BQ39" s="2" t="e">
        <f ca="1">_xll.BDH($C$28,"WORKING_CAPITAL_SEQ_GROWTH","FQ1 2016","FQ1 2016","Currency=INR","Period=FQ","BEST_FPERIOD_OVERRIDE=FQ","FILING_STATUS=OR","EQY_CONSOLIDATED=Y","Sort=A","Dates=H","DateFormat=P","Fill=—","Direction=H","UseDPDF=Y")</f>
        <v>#NAME?</v>
      </c>
      <c r="BR39" s="2" t="e">
        <f ca="1">_xll.BDH($C$28,"ACCOUNTS_PAYABLE_SEQ_GROWTH","FQ1 2016","FQ1 2016","Currency=INR","Period=FQ","BEST_FPERIOD_OVERRIDE=FQ","FILING_STATUS=OR","EQY_CONSOLIDATED=Y","Sort=A","Dates=H","DateFormat=P","Fill=—","Direction=H","UseDPDF=Y")</f>
        <v>#NAME?</v>
      </c>
      <c r="BS39" s="2" t="e">
        <f ca="1">_xll.BDH($C$28,"ST_DEBT_SEQUENTIAL_GROWTH","FQ1 2016","FQ1 2016","Currency=INR","Period=FQ","BEST_FPERIOD_OVERRIDE=FQ","FILING_STATUS=OR","EQY_CONSOLIDATED=Y","Sort=A","Dates=H","DateFormat=P","Fill=—","Direction=H","UseDPDF=Y")</f>
        <v>#NAME?</v>
      </c>
      <c r="BT39" s="2" t="e">
        <f ca="1">_xll.BDH($C$28,"TOTAL_DEBT_SEQUENTIAL_GROWTH","FQ1 2016","FQ1 2016","Currency=INR","Period=FQ","BEST_FPERIOD_OVERRIDE=FQ","FILING_STATUS=OR","EQY_CONSOLIDATED=Y","Sort=A","Dates=H","DateFormat=P","Fill=—","Direction=H","UseDPDF=Y")</f>
        <v>#NAME?</v>
      </c>
      <c r="BU39" s="2" t="e">
        <f ca="1">_xll.BDH($C$28,"TOTAL_EQUITY_SEQUENTIAL_GROWTH","FQ1 2016","FQ1 2016","Currency=INR","Period=FQ","BEST_FPERIOD_OVERRIDE=FQ","FILING_STATUS=OR","EQY_CONSOLIDATED=Y","Sort=A","Dates=H","DateFormat=P","Fill=—","Direction=H","UseDPDF=Y")</f>
        <v>#NAME?</v>
      </c>
      <c r="BV39" s="2" t="e">
        <f ca="1">_xll.BDH($C$28,"TOTAL_CAPITAL_SEQUENTIAL_GROWTH","FQ1 2016","FQ1 2016","Currency=INR","Period=FQ","BEST_FPERIOD_OVERRIDE=FQ","FILING_STATUS=OR","EQY_CONSOLIDATED=Y","Sort=A","Dates=H","DateFormat=P","Fill=—","Direction=H","UseDPDF=Y")</f>
        <v>#NAME?</v>
      </c>
      <c r="BW39" s="2" t="e">
        <f ca="1">_xll.BDH($C$28,"BPS_SEQUENTIAL_GROWTH","FQ1 2016","FQ1 2016","Currency=INR","Period=FQ","BEST_FPERIOD_OVERRIDE=FQ","FILING_STATUS=OR","EQY_CONSOLIDATED=Y","Sort=A","Dates=H","DateFormat=P","Fill=—","Direction=H","UseDPDF=Y")</f>
        <v>#NAME?</v>
      </c>
      <c r="BX39" s="2" t="e">
        <f ca="1">_xll.BDH($C$28,"CFO_SEQUENTIAL_GROWTH","FQ1 2016","FQ1 2016","Currency=INR","Period=FQ","BEST_FPERIOD_OVERRIDE=FQ","FILING_STATUS=OR","EQY_CONSOLIDATED=Y","Sort=A","Dates=H","DateFormat=P","Fill=—","Direction=H","UseDPDF=Y")</f>
        <v>#NAME?</v>
      </c>
      <c r="BY39" s="3" t="e">
        <f ca="1">_xll.BDH($C$28,"SHORT_AND_LONG_TERM_DEBT","FQ1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39" s="3" t="e">
        <f ca="1">_xll.BDH($C$28,"BS_ST_BORROW","FQ1 2016","FQ1 2016","Currency=INR","Period=FQ","BEST_FPERIOD_OVERRIDE=FQ","FILING_STATUS=OR","EQY_CONSOLIDATED=Y","SCALING_FORMAT=MLN","Sort=A","Dates=H","DateFormat=P","Fill=—","Direction=H","UseDPDF=Y")</f>
        <v>#NAME?</v>
      </c>
      <c r="CA39" s="3" t="e">
        <f ca="1">_xll.BDH($C$28,"BS_LT_BORROW","FQ1 2016","FQ1 2016","Currency=INR","Period=FQ","BEST_FPERIOD_OVERRIDE=FQ","FILING_STATUS=OR","EQY_CONSOLIDATED=Y","SCALING_FORMAT=MLN","Sort=A","Dates=H","DateFormat=P","Fill=—","Direction=H","UseDPDF=Y")</f>
        <v>#NAME?</v>
      </c>
      <c r="CB39" s="2" t="e">
        <f ca="1">_xll.BDH($C$28,"TOT_DEBT_TO_EBITDA","FQ1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39" s="2" t="e">
        <f ca="1">_xll.BDH($C$28,"NET_DEBT_TO_EBITDA","FQ1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39" s="2" t="e">
        <f ca="1">_xll.BDH($C$28,"TOTAL_DEBT_TO_EBIT","FQ1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39" s="2" t="e">
        <f ca="1">_xll.BDH($C$28,"NET_DEBT_TO_EBIT","FQ1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39" s="2" t="e">
        <f ca="1">_xll.BDH($C$28,"EBITDA_TO_INTEREST_EXPN","FQ1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39" s="2" t="e">
        <f ca="1">_xll.BDH($C$28,"COM_EQY_TO_TOT_ASSET","FQ1 2016","FQ1 2016","Currency=INR","Period=FQ","BEST_FPERIOD_OVERRIDE=FQ","FILING_STATUS=OR","EQY_CONSOLIDATED=Y","Sort=A","Dates=H","DateFormat=P","Fill=—","Direction=H","UseDPDF=Y")</f>
        <v>#NAME?</v>
      </c>
      <c r="CH39" s="2" t="e">
        <f ca="1">_xll.BDH($C$28,"LT_DEBT_TO_TOT_EQY","FQ1 2016","FQ1 2016","Currency=INR","Period=FQ","BEST_FPERIOD_OVERRIDE=FQ","FILING_STATUS=OR","EQY_CONSOLIDATED=Y","Sort=A","Dates=H","DateFormat=P","Fill=—","Direction=H","UseDPDF=Y")</f>
        <v>#NAME?</v>
      </c>
      <c r="CI39" s="2" t="e">
        <f ca="1">_xll.BDH($C$28,"LT_DEBT_TO_TOT_CAP","FQ1 2016","FQ1 2016","Currency=INR","Period=FQ","BEST_FPERIOD_OVERRIDE=FQ","FILING_STATUS=OR","EQY_CONSOLIDATED=Y","Sort=A","Dates=H","DateFormat=P","Fill=—","Direction=H","UseDPDF=Y")</f>
        <v>#NAME?</v>
      </c>
      <c r="CJ39" s="2" t="e">
        <f ca="1">_xll.BDH($C$28,"LT_DEBT_TO_TOT_ASSET","FQ1 2016","FQ1 2016","Currency=INR","Period=FQ","BEST_FPERIOD_OVERRIDE=FQ","FILING_STATUS=OR","EQY_CONSOLIDATED=Y","Sort=A","Dates=H","DateFormat=P","Fill=—","Direction=H","UseDPDF=Y")</f>
        <v>#NAME?</v>
      </c>
      <c r="CK39" s="2" t="e">
        <f ca="1">_xll.BDH($C$28,"TOT_DEBT_TO_TOT_EQY","FQ1 2016","FQ1 2016","Currency=INR","Period=FQ","BEST_FPERIOD_OVERRIDE=FQ","FILING_STATUS=OR","EQY_CONSOLIDATED=Y","Sort=A","Dates=H","DateFormat=P","Fill=—","Direction=H","UseDPDF=Y")</f>
        <v>#NAME?</v>
      </c>
      <c r="CL39" s="2" t="e">
        <f ca="1">_xll.BDH($C$28,"TOT_DEBT_TO_TOT_CAP","FQ1 2016","FQ1 2016","Currency=INR","Period=FQ","BEST_FPERIOD_OVERRIDE=FQ","FILING_STATUS=OR","EQY_CONSOLIDATED=Y","Sort=A","Dates=H","DateFormat=P","Fill=—","Direction=H","UseDPDF=Y")</f>
        <v>#NAME?</v>
      </c>
      <c r="CM39" s="2" t="e">
        <f ca="1">_xll.BDH($C$28,"TOT_DEBT_TO_TOT_ASSET","FQ1 2016","FQ1 2016","Currency=INR","Period=FQ","BEST_FPERIOD_OVERRIDE=FQ","FILING_STATUS=OR","EQY_CONSOLIDATED=Y","Sort=A","Dates=H","DateFormat=P","Fill=—","Direction=H","UseDPDF=Y")</f>
        <v>#NAME?</v>
      </c>
      <c r="CN39" s="2" t="e">
        <f ca="1">_xll.BDH($C$28,"NET_DEBT_TO_SHRHLDR_EQTY","FQ1 2016","FQ1 2016","Currency=INR","Period=FQ","BEST_FPERIOD_OVERRIDE=FQ","FILING_STATUS=OR","EQY_CONSOLIDATED=Y","Sort=A","Dates=H","DateFormat=P","Fill=—","Direction=H","UseDPDF=Y")</f>
        <v>#NAME?</v>
      </c>
      <c r="CO39" s="2" t="e">
        <f ca="1">_xll.BDH($C$28,"NET_DEBT_%_CAPITAL","FQ1 2016","FQ1 2016","Currency=INR","Period=FQ","BEST_FPERIOD_OVERRIDE=FQ","FILING_STATUS=OR","EQY_CONSOLIDATED=Y","Sort=A","Dates=H","DateFormat=P","Fill=—","Direction=H","UseDPDF=Y")</f>
        <v>#NAME?</v>
      </c>
      <c r="CP39" s="3" t="e">
        <f ca="1">_xll.BDH($C$28,"EBITDA","FQ1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39" s="3" t="e">
        <f ca="1">_xll.BDH($C$28,"EBITDA_AFTER_CAPEX","FQ1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39" s="3" t="e">
        <f ca="1">_xll.BDH($C$28,"IS_OPER_INC","FQ1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39" s="2" t="e">
        <f ca="1">_xll.BDH($C$28,"CASH_RATIO","FQ1 2016","FQ1 2016","Currency=INR","Period=FQ","BEST_FPERIOD_OVERRIDE=FQ","FILING_STATUS=OR","EQY_CONSOLIDATED=Y","Sort=A","Dates=H","DateFormat=P","Fill=—","Direction=H","UseDPDF=Y")</f>
        <v>#NAME?</v>
      </c>
      <c r="CT39" s="2" t="e">
        <f ca="1">_xll.BDH($C$28,"CUR_RATIO","FQ1 2016","FQ1 2016","Currency=INR","Period=FQ","BEST_FPERIOD_OVERRIDE=FQ","FILING_STATUS=OR","EQY_CONSOLIDATED=Y","Sort=A","Dates=H","DateFormat=P","Fill=—","Direction=H","UseDPDF=Y")</f>
        <v>#NAME?</v>
      </c>
      <c r="CU39" s="2" t="e">
        <f ca="1">_xll.BDH($C$28,"QUICK_RATIO","FQ1 2016","FQ1 2016","Currency=INR","Period=FQ","BEST_FPERIOD_OVERRIDE=FQ","FILING_STATUS=OR","EQY_CONSOLIDATED=Y","Sort=A","Dates=H","DateFormat=P","Fill=—","Direction=H","UseDPDF=Y")</f>
        <v>#NAME?</v>
      </c>
      <c r="CV39" s="2" t="e">
        <f ca="1">_xll.BDH($C$28,"ALTMAN_Z_SCORE","FQ1 2016","FQ1 2016","Currency=INR","Period=FQ","BEST_FPERIOD_OVERRIDE=FQ","FILING_STATUS=OR","EQY_CONSOLIDATED=Y","Sort=A","Dates=H","DateFormat=P","Fill=—","Direction=H","UseDPDF=Y")</f>
        <v>#NAME?</v>
      </c>
      <c r="CW39" s="4" t="e">
        <f ca="1">_xll.BDH($C$28,"ACCT_RCV_TURN","FQ1 2016","FQ1 2016","Currency=INR","Period=FQ","BEST_FPERIOD_OVERRIDE=FQ","FILING_STATUS=OR","EQY_CONSOLIDATED=Y","FA_ADJUSTED=GAAP","Sort=A","Dates=H","DateFormat=P","Fill=—","Direction=H","UseDPDF=Y")</f>
        <v>#NAME?</v>
      </c>
      <c r="CX39" s="2" t="e">
        <f ca="1">_xll.BDH($C$28,"ACCT_RCV_DAYS","FQ1 2016","FQ1 2016","Currency=INR","Period=FQ","BEST_FPERIOD_OVERRIDE=FQ","FILING_STATUS=OR","EQY_CONSOLIDATED=Y","FA_ADJUSTED=GAAP","Sort=A","Dates=H","DateFormat=P","Fill=—","Direction=H","UseDPDF=Y")</f>
        <v>#NAME?</v>
      </c>
      <c r="CY39" s="4" t="e">
        <f ca="1">_xll.BDH($C$28,"INVENT_TURN","FQ1 2016","FQ1 2016","Currency=INR","Period=FQ","BEST_FPERIOD_OVERRIDE=FQ","FILING_STATUS=OR","EQY_CONSOLIDATED=Y","FA_ADJUSTED=GAAP","Sort=A","Dates=H","DateFormat=P","Fill=—","Direction=H","UseDPDF=Y")</f>
        <v>#NAME?</v>
      </c>
      <c r="CZ39" s="2" t="e">
        <f ca="1">_xll.BDH($C$28,"INVENT_DAYS","FQ1 2016","FQ1 2016","Currency=INR","Period=FQ","BEST_FPERIOD_OVERRIDE=FQ","FILING_STATUS=OR","EQY_CONSOLIDATED=Y","FA_ADJUSTED=GAAP","Sort=A","Dates=H","DateFormat=P","Fill=—","Direction=H","UseDPDF=Y")</f>
        <v>#NAME?</v>
      </c>
      <c r="DA39" s="4" t="e">
        <f ca="1">_xll.BDH($C$28,"ACCOUNTS_PAYABLE_TURNOVER","FQ1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39" s="2" t="e">
        <f ca="1">_xll.BDH($C$28,"ACCOUNTS_PAYABLE_TURNOVER_DAYS","FQ1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39" s="4" t="e">
        <f ca="1">_xll.BDH($C$28,"CASH_CONVERSION_CYCLE","FQ1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39" s="4" t="e">
        <f ca="1">_xll.BDH($C$28,"INV_TO_CASH_DAYS","FQ1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39" s="5" t="e">
        <f ca="1">_xll.BDH($C$28,"BS_INVENTORIES","FQ1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39" s="3" t="e">
        <f ca="1">_xll.BDH($C$28,"INVTRY_RAW_MATERIALS","FQ1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39" s="3" t="e">
        <f ca="1">_xll.BDH($C$28,"INVTRY_IN_PROGRESS","FQ1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39" s="3" t="e">
        <f ca="1">_xll.BDH($C$28,"INVTRY_FINISHED_GOODS","FQ1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39" s="3" t="e">
        <f ca="1">_xll.BDH($C$28,"BS_OTHER_INV","FQ1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40" spans="1:113" x14ac:dyDescent="0.3">
      <c r="A40" s="6"/>
      <c r="B40" s="6"/>
      <c r="C40" s="6"/>
      <c r="D40" s="6"/>
      <c r="E40" t="s">
        <v>79</v>
      </c>
      <c r="F40" t="e">
        <f ca="1">_xll.BDH($C$28,"RETURN_COM_EQY","FQ2 2016","FQ2 2016","Currency=INR","Period=FQ","BEST_FPERIOD_OVERRIDE=FQ","FILING_STATUS=OR","EQY_CONSOLIDATED=Y","FA_ADJUSTED=GAAP","Sort=A","Dates=H","DateFormat=P","Fill=—","Direction=H","UseDPDF=Y")</f>
        <v>#NAME?</v>
      </c>
      <c r="G40" t="e">
        <f ca="1">_xll.BDH($C$28,"RETURN_ON_ASSET","FQ2 2016","FQ2 2016","Currency=INR","Period=FQ","BEST_FPERIOD_OVERRIDE=FQ","FILING_STATUS=OR","EQY_CONSOLIDATED=Y","FA_ADJUSTED=GAAP","Sort=A","Dates=H","DateFormat=P","Fill=—","Direction=H","UseDPDF=Y")</f>
        <v>#NAME?</v>
      </c>
      <c r="H40" t="e">
        <f ca="1">_xll.BDH($C$28,"RETURN_ON_CAP","FQ2 2016","FQ2 2016","Currency=INR","Period=FQ","BEST_FPERIOD_OVERRIDE=FQ","FILING_STATUS=OR","EQY_CONSOLIDATED=Y","FA_ADJUSTED=GAAP","Sort=A","Dates=H","DateFormat=P","Fill=—","Direction=H","UseDPDF=Y")</f>
        <v>#NAME?</v>
      </c>
      <c r="I40" t="e">
        <f ca="1">_xll.BDH($C$28,"RETURN_ON_INV_CAPITAL","FQ2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40" t="e">
        <f ca="1">_xll.BDH($C$28,"EBITDA_TO_REVENUE","FQ2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40" t="e">
        <f ca="1">_xll.BDH($C$28,"OPER_MARGIN","FQ2 2016","FQ2 2016","Currency=INR","Period=FQ","BEST_FPERIOD_OVERRIDE=FQ","FILING_STATUS=OR","EQY_CONSOLIDATED=Y","FA_ADJUSTED=GAAP","Sort=A","Dates=H","DateFormat=P","Fill=—","Direction=H","UseDPDF=Y")</f>
        <v>#NAME?</v>
      </c>
      <c r="L40" t="e">
        <f ca="1">_xll.BDH($C$28,"INCREMENTAL_OPERATING_MARGIN","FQ2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40" t="e">
        <f ca="1">_xll.BDH($C$28,"PRETAX_INC_TO_NET_SALES","FQ2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40" t="e">
        <f ca="1">_xll.BDH($C$28,"INC_BEF_XO_ITEMS_TO_NET_SALES","FQ2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40" t="e">
        <f ca="1">_xll.BDH($C$28,"PROF_MARGIN","FQ2 2016","FQ2 2016","Currency=INR","Period=FQ","BEST_FPERIOD_OVERRIDE=FQ","FILING_STATUS=OR","EQY_CONSOLIDATED=Y","FA_ADJUSTED=GAAP","Sort=A","Dates=H","DateFormat=P","Fill=—","Direction=H","UseDPDF=Y")</f>
        <v>#NAME?</v>
      </c>
      <c r="P40" t="e">
        <f ca="1">_xll.BDH($C$28,"NET_INCOME_TO_COMMON_MARGIN","FQ2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40" t="e">
        <f ca="1">_xll.BDH($C$28,"EFF_TAX_RATE","FQ2 2016","FQ2 2016","Currency=INR","Period=FQ","BEST_FPERIOD_OVERRIDE=FQ","FILING_STATUS=OR","EQY_CONSOLIDATED=Y","FA_ADJUSTED=GAAP","Sort=A","Dates=H","DateFormat=P","Fill=—","Direction=H","UseDPDF=Y")</f>
        <v>#NAME?</v>
      </c>
      <c r="R40" t="e">
        <f ca="1">_xll.BDH($C$28,"DVD_PAYOUT_RATIO","FQ2 2016","FQ2 2016","Currency=INR","Period=FQ","BEST_FPERIOD_OVERRIDE=FQ","FILING_STATUS=OR","EQY_CONSOLIDATED=Y","FA_ADJUSTED=GAAP","Sort=A","Dates=H","DateFormat=P","Fill=—","Direction=H","UseDPDF=Y")</f>
        <v>#NAME?</v>
      </c>
      <c r="S40" t="e">
        <f ca="1">_xll.BDH($C$28,"SUSTAIN_GROWTH_RT","FQ2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40" s="2" t="e">
        <f ca="1">_xll.BDH($C$28,"SALES_GROWTH","FQ2 2016","FQ2 2016","Currency=INR","Period=FQ","BEST_FPERIOD_OVERRIDE=FQ","FILING_STATUS=OR","EQY_CONSOLIDATED=Y","FA_ADJUSTED=GAAP","Sort=A","Dates=H","DateFormat=P","Fill=—","Direction=H","UseDPDF=Y")</f>
        <v>#NAME?</v>
      </c>
      <c r="U40" s="2" t="e">
        <f ca="1">_xll.BDH($C$28,"EBITDA_GROWTH","FQ2 2016","FQ2 2016","Currency=INR","Period=FQ","BEST_FPERIOD_OVERRIDE=FQ","FILING_STATUS=OR","EQY_CONSOLIDATED=Y","FA_ADJUSTED=GAAP","Sort=A","Dates=H","DateFormat=P","Fill=—","Direction=H","UseDPDF=Y")</f>
        <v>#NAME?</v>
      </c>
      <c r="V40" s="2" t="e">
        <f ca="1">_xll.BDH($C$28,"OPER_INC_GROWTH","FQ2 2016","FQ2 2016","Currency=INR","Period=FQ","BEST_FPERIOD_OVERRIDE=FQ","FILING_STATUS=OR","EQY_CONSOLIDATED=Y","FA_ADJUSTED=GAAP","Sort=A","Dates=H","DateFormat=P","Fill=—","Direction=H","UseDPDF=Y")</f>
        <v>#NAME?</v>
      </c>
      <c r="W40" s="2" t="e">
        <f ca="1">_xll.BDH($C$28,"EARN_FOR_COM_GROWTH","FQ2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40" s="2" t="e">
        <f ca="1">_xll.BDH($C$28,"DILUTED_EPS_AFT_XO_ITEMS_GROWTH","FQ2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40" s="2" t="e">
        <f ca="1">_xll.BDH($C$28,"DIVIDEND_PER_SHARE_1_YEAR_GROWTH","FQ2 2016","FQ2 2016","Currency=INR","Period=FQ","BEST_FPERIOD_OVERRIDE=FQ","FILING_STATUS=OR","EQY_CONSOLIDATED=Y","Sort=A","Dates=H","DateFormat=P","Fill=—","Direction=H","UseDPDF=Y")</f>
        <v>#NAME?</v>
      </c>
      <c r="Z40" s="2" t="e">
        <f ca="1">_xll.BDH($C$28,"ACCOUNTS_RECEIVABLE_GROWTH","FQ2 2016","FQ2 2016","Currency=INR","Period=FQ","BEST_FPERIOD_OVERRIDE=FQ","FILING_STATUS=OR","EQY_CONSOLIDATED=Y","Sort=A","Dates=H","DateFormat=P","Fill=—","Direction=H","UseDPDF=Y")</f>
        <v>#NAME?</v>
      </c>
      <c r="AA40" s="2" t="e">
        <f ca="1">_xll.BDH($C$28,"INVENTORY_GROWTH","FQ2 2016","FQ2 2016","Currency=INR","Period=FQ","BEST_FPERIOD_OVERRIDE=FQ","FILING_STATUS=OR","EQY_CONSOLIDATED=Y","Sort=A","Dates=H","DateFormat=P","Fill=—","Direction=H","UseDPDF=Y")</f>
        <v>#NAME?</v>
      </c>
      <c r="AB40" s="2" t="e">
        <f ca="1">_xll.BDH($C$28,"NET_FIXED_ASSETS_1_YEAR_GROWTH","FQ2 2016","FQ2 2016","Currency=INR","Period=FQ","BEST_FPERIOD_OVERRIDE=FQ","FILING_STATUS=OR","EQY_CONSOLIDATED=Y","Sort=A","Dates=H","DateFormat=P","Fill=—","Direction=H","UseDPDF=Y")</f>
        <v>#NAME?</v>
      </c>
      <c r="AC40" s="2" t="e">
        <f ca="1">_xll.BDH($C$28,"ASSET_GROWTH","FQ2 2016","FQ2 2016","Currency=INR","Period=FQ","BEST_FPERIOD_OVERRIDE=FQ","FILING_STATUS=OR","EQY_CONSOLIDATED=Y","Sort=A","Dates=H","DateFormat=P","Fill=—","Direction=H","UseDPDF=Y")</f>
        <v>#NAME?</v>
      </c>
      <c r="AD40" s="2" t="e">
        <f ca="1">_xll.BDH($C$28,"MODIFIED_WORK_CAP_GROWTH","FQ2 2016","FQ2 2016","Currency=INR","Period=FQ","BEST_FPERIOD_OVERRIDE=FQ","FILING_STATUS=OR","EQY_CONSOLIDATED=Y","Sort=A","Dates=H","DateFormat=P","Fill=—","Direction=H","UseDPDF=Y")</f>
        <v>#NAME?</v>
      </c>
      <c r="AE40" s="2" t="e">
        <f ca="1">_xll.BDH($C$28,"WORK_CAP_GROWTH","FQ2 2016","FQ2 2016","Currency=INR","Period=FQ","BEST_FPERIOD_OVERRIDE=FQ","FILING_STATUS=OR","EQY_CONSOLIDATED=Y","Sort=A","Dates=H","DateFormat=P","Fill=—","Direction=H","UseDPDF=Y")</f>
        <v>#NAME?</v>
      </c>
      <c r="AF40" s="2" t="e">
        <f ca="1">_xll.BDH($C$28,"ACCOUNTS_PAYABLE_GROWTH_1YR","FQ2 2016","FQ2 2016","Currency=INR","Period=FQ","BEST_FPERIOD_OVERRIDE=FQ","FILING_STATUS=OR","EQY_CONSOLIDATED=Y","Sort=A","Dates=H","DateFormat=P","Fill=—","Direction=H","UseDPDF=Y")</f>
        <v>#NAME?</v>
      </c>
      <c r="AG40" s="2" t="e">
        <f ca="1">_xll.BDH($C$28,"SHORT_TERM_DEBT_1_YEAR_GROWTH","FQ2 2016","FQ2 2016","Currency=INR","Period=FQ","BEST_FPERIOD_OVERRIDE=FQ","FILING_STATUS=OR","EQY_CONSOLIDATED=Y","Sort=A","Dates=H","DateFormat=P","Fill=—","Direction=H","UseDPDF=Y")</f>
        <v>#NAME?</v>
      </c>
      <c r="AH40" s="2" t="e">
        <f ca="1">_xll.BDH($C$28,"TOTAL_DEBT_1_YEAR_GROWTH","FQ2 2016","FQ2 2016","Currency=INR","Period=FQ","BEST_FPERIOD_OVERRIDE=FQ","FILING_STATUS=OR","EQY_CONSOLIDATED=Y","Sort=A","Dates=H","DateFormat=P","Fill=—","Direction=H","UseDPDF=Y")</f>
        <v>#NAME?</v>
      </c>
      <c r="AI40" s="2" t="e">
        <f ca="1">_xll.BDH($C$28,"TOTAL_EQUITY_1_YEAR_GROWTH","FQ2 2016","FQ2 2016","Currency=INR","Period=FQ","BEST_FPERIOD_OVERRIDE=FQ","FILING_STATUS=OR","EQY_CONSOLIDATED=Y","Sort=A","Dates=H","DateFormat=P","Fill=—","Direction=H","UseDPDF=Y")</f>
        <v>#NAME?</v>
      </c>
      <c r="AJ40" s="2" t="e">
        <f ca="1">_xll.BDH($C$28,"GROWTH_IN_CAP","FQ2 2016","FQ2 2016","Currency=INR","Period=FQ","BEST_FPERIOD_OVERRIDE=FQ","FILING_STATUS=OR","EQY_CONSOLIDATED=Y","Sort=A","Dates=H","DateFormat=P","Fill=—","Direction=H","UseDPDF=Y")</f>
        <v>#NAME?</v>
      </c>
      <c r="AK40" s="2" t="e">
        <f ca="1">_xll.BDH($C$28,"BVPS_GROWTH","FQ2 2016","FQ2 2016","Currency=INR","Period=FQ","BEST_FPERIOD_OVERRIDE=FQ","FILING_STATUS=OR","EQY_CONSOLIDATED=Y","Sort=A","Dates=H","DateFormat=P","Fill=—","Direction=H","UseDPDF=Y")</f>
        <v>#NAME?</v>
      </c>
      <c r="AL40" s="2" t="e">
        <f ca="1">_xll.BDH($C$28,"CASH_FLOW_GROWTH","FQ2 2016","FQ2 2016","Currency=INR","Period=FQ","BEST_FPERIOD_OVERRIDE=FQ","FILING_STATUS=OR","EQY_CONSOLIDATED=Y","Sort=A","Dates=H","DateFormat=P","Fill=—","Direction=H","UseDPDF=Y")</f>
        <v>#NAME?</v>
      </c>
      <c r="AM40" s="2" t="e">
        <f ca="1">_xll.BDH($C$28,"GEO_GROW_NET_SALES","FQ2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40" s="2" t="e">
        <f ca="1">_xll.BDH($C$28,"GEO_GROW_EBITDA","FQ2 2016","FQ2 2016","Currency=INR","Period=FQ","BEST_FPERIOD_OVERRIDE=FQ","FILING_STATUS=OR","EQY_CONSOLIDATED=Y","FA_ADJUSTED=GAAP","Sort=A","Dates=H","DateFormat=P","Fill=—","Direction=H","UseDPDF=Y")</f>
        <v>#NAME?</v>
      </c>
      <c r="AO40" s="2" t="e">
        <f ca="1">_xll.BDH($C$28,"GEO_GROW_OPER_INC","FQ2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40" s="2" t="e">
        <f ca="1">_xll.BDH($C$28,"NET_INCOME_TO_COMMON_5_YR_GROWTH","FQ2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40" s="2" t="e">
        <f ca="1">_xll.BDH($C$28,"5Y_GEO_GROWTH_DILUTED_EPS","FQ2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40" s="2" t="e">
        <f ca="1">_xll.BDH($C$28,"GEO_GROW_DVD_PER_SH","FQ2 2016","FQ2 2016","Currency=INR","Period=FQ","BEST_FPERIOD_OVERRIDE=FQ","FILING_STATUS=OR","EQY_CONSOLIDATED=Y","Sort=A","Dates=H","DateFormat=P","Fill=—","Direction=H","UseDPDF=Y")</f>
        <v>#NAME?</v>
      </c>
      <c r="AS40" s="2" t="e">
        <f ca="1">_xll.BDH($C$28,"ACCOUNTS_RECEIVABLE_5_YR_GROWTH","FQ2 2016","FQ2 2016","Currency=INR","Period=FQ","BEST_FPERIOD_OVERRIDE=FQ","FILING_STATUS=OR","EQY_CONSOLIDATED=Y","Sort=A","Dates=H","DateFormat=P","Fill=—","Direction=H","UseDPDF=Y")</f>
        <v>#NAME?</v>
      </c>
      <c r="AT40" s="2" t="e">
        <f ca="1">_xll.BDH($C$28,"INVENTORY_5_YEAR_GROWTH","FQ2 2016","FQ2 2016","Currency=INR","Period=FQ","BEST_FPERIOD_OVERRIDE=FQ","FILING_STATUS=OR","EQY_CONSOLIDATED=Y","Sort=A","Dates=H","DateFormat=P","Fill=—","Direction=H","UseDPDF=Y")</f>
        <v>#NAME?</v>
      </c>
      <c r="AU40" s="2" t="e">
        <f ca="1">_xll.BDH($C$28,"NET_FIXED_ASSETS_5_YEAR_GROWTH","FQ2 2016","FQ2 2016","Currency=INR","Period=FQ","BEST_FPERIOD_OVERRIDE=FQ","FILING_STATUS=OR","EQY_CONSOLIDATED=Y","Sort=A","Dates=H","DateFormat=P","Fill=—","Direction=H","UseDPDF=Y")</f>
        <v>#NAME?</v>
      </c>
      <c r="AV40" s="2" t="e">
        <f ca="1">_xll.BDH($C$28,"GEO_GROW_TOT_ASSET","FQ2 2016","FQ2 2016","Currency=INR","Period=FQ","BEST_FPERIOD_OVERRIDE=FQ","FILING_STATUS=OR","EQY_CONSOLIDATED=Y","Sort=A","Dates=H","DateFormat=P","Fill=—","Direction=H","UseDPDF=Y")</f>
        <v>#NAME?</v>
      </c>
      <c r="AW40" s="2" t="e">
        <f ca="1">_xll.BDH($C$28,"MODIFIED_WORKING_CPTL_5YR_GRWTH","FQ2 2016","FQ2 2016","Currency=INR","Period=FQ","BEST_FPERIOD_OVERRIDE=FQ","FILING_STATUS=OR","EQY_CONSOLIDATED=Y","Sort=A","Dates=H","DateFormat=P","Fill=—","Direction=H","UseDPDF=Y")</f>
        <v>#NAME?</v>
      </c>
      <c r="AX40" s="2" t="e">
        <f ca="1">_xll.BDH($C$28,"WORKING_CAPITAL_5_YEAR_GROWTH","FQ2 2016","FQ2 2016","Currency=INR","Period=FQ","BEST_FPERIOD_OVERRIDE=FQ","FILING_STATUS=OR","EQY_CONSOLIDATED=Y","Sort=A","Dates=H","DateFormat=P","Fill=—","Direction=H","UseDPDF=Y")</f>
        <v>#NAME?</v>
      </c>
      <c r="AY40" s="2" t="e">
        <f ca="1">_xll.BDH($C$28,"ACCOUNTS_PAYABLE_5_YEAR_GROWTH","FQ2 2016","FQ2 2016","Currency=INR","Period=FQ","BEST_FPERIOD_OVERRIDE=FQ","FILING_STATUS=OR","EQY_CONSOLIDATED=Y","Sort=A","Dates=H","DateFormat=P","Fill=—","Direction=H","UseDPDF=Y")</f>
        <v>#NAME?</v>
      </c>
      <c r="AZ40" s="2" t="e">
        <f ca="1">_xll.BDH($C$28,"SHORT_TERM_DEBT_5_YEAR_GROWTH","FQ2 2016","FQ2 2016","Currency=INR","Period=FQ","BEST_FPERIOD_OVERRIDE=FQ","FILING_STATUS=OR","EQY_CONSOLIDATED=Y","Sort=A","Dates=H","DateFormat=P","Fill=—","Direction=H","UseDPDF=Y")</f>
        <v>#NAME?</v>
      </c>
      <c r="BA40" s="2" t="e">
        <f ca="1">_xll.BDH($C$28,"TOTAL_DEBT_5_YEAR_GROWTH","FQ2 2016","FQ2 2016","Currency=INR","Period=FQ","BEST_FPERIOD_OVERRIDE=FQ","FILING_STATUS=OR","EQY_CONSOLIDATED=Y","Sort=A","Dates=H","DateFormat=P","Fill=—","Direction=H","UseDPDF=Y")</f>
        <v>#NAME?</v>
      </c>
      <c r="BB40" s="2" t="e">
        <f ca="1">_xll.BDH($C$28,"GEO_GROW_TOT_SHRHLDR_EQY","FQ2 2016","FQ2 2016","Currency=INR","Period=FQ","BEST_FPERIOD_OVERRIDE=FQ","FILING_STATUS=OR","EQY_CONSOLIDATED=Y","Sort=A","Dates=H","DateFormat=P","Fill=—","Direction=H","UseDPDF=Y")</f>
        <v>#NAME?</v>
      </c>
      <c r="BC40" s="2" t="e">
        <f ca="1">_xll.BDH($C$28,"TOTAL_CAPITAL_5_YEAR_GROWTH","FQ2 2016","FQ2 2016","Currency=INR","Period=FQ","BEST_FPERIOD_OVERRIDE=FQ","FILING_STATUS=OR","EQY_CONSOLIDATED=Y","Sort=A","Dates=H","DateFormat=P","Fill=—","Direction=H","UseDPDF=Y")</f>
        <v>#NAME?</v>
      </c>
      <c r="BD40" s="2" t="e">
        <f ca="1">_xll.BDH($C$28,"GEO_GROW_BOOK_VAL","FQ2 2016","FQ2 2016","Currency=INR","Period=FQ","BEST_FPERIOD_OVERRIDE=FQ","FILING_STATUS=OR","EQY_CONSOLIDATED=Y","Sort=A","Dates=H","DateFormat=P","Fill=—","Direction=H","UseDPDF=Y")</f>
        <v>#NAME?</v>
      </c>
      <c r="BE40" s="2" t="e">
        <f ca="1">_xll.BDH($C$28,"GEO_GROW_CASH_OPER_ACT","FQ2 2016","FQ2 2016","Currency=INR","Period=FQ","BEST_FPERIOD_OVERRIDE=FQ","FILING_STATUS=OR","EQY_CONSOLIDATED=Y","Sort=A","Dates=H","DateFormat=P","Fill=—","Direction=H","UseDPDF=Y")</f>
        <v>#NAME?</v>
      </c>
      <c r="BF40" s="2" t="e">
        <f ca="1">_xll.BDH($C$28,"REVENUE_SEQUENTIAL_GROWTH","FQ2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40" s="2" t="e">
        <f ca="1">_xll.BDH($C$28,"EBITDA_SEQUENTIAL_GROWTH","FQ2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40" s="2" t="e">
        <f ca="1">_xll.BDH($C$28,"OPERATING_INCOME_SEQ_GROWTH","FQ2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40" s="2" t="e">
        <f ca="1">_xll.BDH($C$28,"NET_INCOME_TO_COMMON_SEQ_GROWTH","FQ2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40" s="2" t="e">
        <f ca="1">_xll.BDH($C$28,"EPS_DILUTED_SEQUENTIAL_GROWTH","FQ2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40" s="2" t="e">
        <f ca="1">_xll.BDH($C$28,"DPS_SEQUENTIAL_GROWTH","FQ2 2016","FQ2 2016","Currency=INR","Period=FQ","BEST_FPERIOD_OVERRIDE=FQ","FILING_STATUS=OR","EQY_CONSOLIDATED=Y","Sort=A","Dates=H","DateFormat=P","Fill=—","Direction=H","UseDPDF=Y")</f>
        <v>#NAME?</v>
      </c>
      <c r="BL40" s="2" t="e">
        <f ca="1">_xll.BDH($C$28,"ACCOUNTS_RECEIVABLE_SEQ_GROWTH","FQ2 2016","FQ2 2016","Currency=INR","Period=FQ","BEST_FPERIOD_OVERRIDE=FQ","FILING_STATUS=OR","EQY_CONSOLIDATED=Y","Sort=A","Dates=H","DateFormat=P","Fill=—","Direction=H","UseDPDF=Y")</f>
        <v>#NAME?</v>
      </c>
      <c r="BM40" s="2" t="e">
        <f ca="1">_xll.BDH($C$28,"INVENTORY_SEQUENTIAL_GROWTH","FQ2 2016","FQ2 2016","Currency=INR","Period=FQ","BEST_FPERIOD_OVERRIDE=FQ","FILING_STATUS=OR","EQY_CONSOLIDATED=Y","Sort=A","Dates=H","DateFormat=P","Fill=—","Direction=H","UseDPDF=Y")</f>
        <v>#NAME?</v>
      </c>
      <c r="BN40" s="2" t="e">
        <f ca="1">_xll.BDH($C$28,"FIXED_ASSETS_SEQUENTIAL_GROWTH","FQ2 2016","FQ2 2016","Currency=INR","Period=FQ","BEST_FPERIOD_OVERRIDE=FQ","FILING_STATUS=OR","EQY_CONSOLIDATED=Y","Sort=A","Dates=H","DateFormat=P","Fill=—","Direction=H","UseDPDF=Y")</f>
        <v>#NAME?</v>
      </c>
      <c r="BO40" s="2" t="e">
        <f ca="1">_xll.BDH($C$28,"TOTAL_ASSETS_SEQUENTIAL_GROWTH","FQ2 2016","FQ2 2016","Currency=INR","Period=FQ","BEST_FPERIOD_OVERRIDE=FQ","FILING_STATUS=OR","EQY_CONSOLIDATED=Y","Sort=A","Dates=H","DateFormat=P","Fill=—","Direction=H","UseDPDF=Y")</f>
        <v>#NAME?</v>
      </c>
      <c r="BP40" s="2" t="e">
        <f ca="1">_xll.BDH($C$28,"MODIFIED_WORKING_CPTL_SEQ_GRWTH","FQ2 2016","FQ2 2016","Currency=INR","Period=FQ","BEST_FPERIOD_OVERRIDE=FQ","FILING_STATUS=OR","EQY_CONSOLIDATED=Y","Sort=A","Dates=H","DateFormat=P","Fill=—","Direction=H","UseDPDF=Y")</f>
        <v>#NAME?</v>
      </c>
      <c r="BQ40" s="2" t="e">
        <f ca="1">_xll.BDH($C$28,"WORKING_CAPITAL_SEQ_GROWTH","FQ2 2016","FQ2 2016","Currency=INR","Period=FQ","BEST_FPERIOD_OVERRIDE=FQ","FILING_STATUS=OR","EQY_CONSOLIDATED=Y","Sort=A","Dates=H","DateFormat=P","Fill=—","Direction=H","UseDPDF=Y")</f>
        <v>#NAME?</v>
      </c>
      <c r="BR40" s="2" t="e">
        <f ca="1">_xll.BDH($C$28,"ACCOUNTS_PAYABLE_SEQ_GROWTH","FQ2 2016","FQ2 2016","Currency=INR","Period=FQ","BEST_FPERIOD_OVERRIDE=FQ","FILING_STATUS=OR","EQY_CONSOLIDATED=Y","Sort=A","Dates=H","DateFormat=P","Fill=—","Direction=H","UseDPDF=Y")</f>
        <v>#NAME?</v>
      </c>
      <c r="BS40" s="2" t="e">
        <f ca="1">_xll.BDH($C$28,"ST_DEBT_SEQUENTIAL_GROWTH","FQ2 2016","FQ2 2016","Currency=INR","Period=FQ","BEST_FPERIOD_OVERRIDE=FQ","FILING_STATUS=OR","EQY_CONSOLIDATED=Y","Sort=A","Dates=H","DateFormat=P","Fill=—","Direction=H","UseDPDF=Y")</f>
        <v>#NAME?</v>
      </c>
      <c r="BT40" s="2" t="e">
        <f ca="1">_xll.BDH($C$28,"TOTAL_DEBT_SEQUENTIAL_GROWTH","FQ2 2016","FQ2 2016","Currency=INR","Period=FQ","BEST_FPERIOD_OVERRIDE=FQ","FILING_STATUS=OR","EQY_CONSOLIDATED=Y","Sort=A","Dates=H","DateFormat=P","Fill=—","Direction=H","UseDPDF=Y")</f>
        <v>#NAME?</v>
      </c>
      <c r="BU40" s="2" t="e">
        <f ca="1">_xll.BDH($C$28,"TOTAL_EQUITY_SEQUENTIAL_GROWTH","FQ2 2016","FQ2 2016","Currency=INR","Period=FQ","BEST_FPERIOD_OVERRIDE=FQ","FILING_STATUS=OR","EQY_CONSOLIDATED=Y","Sort=A","Dates=H","DateFormat=P","Fill=—","Direction=H","UseDPDF=Y")</f>
        <v>#NAME?</v>
      </c>
      <c r="BV40" s="2" t="e">
        <f ca="1">_xll.BDH($C$28,"TOTAL_CAPITAL_SEQUENTIAL_GROWTH","FQ2 2016","FQ2 2016","Currency=INR","Period=FQ","BEST_FPERIOD_OVERRIDE=FQ","FILING_STATUS=OR","EQY_CONSOLIDATED=Y","Sort=A","Dates=H","DateFormat=P","Fill=—","Direction=H","UseDPDF=Y")</f>
        <v>#NAME?</v>
      </c>
      <c r="BW40" s="2" t="e">
        <f ca="1">_xll.BDH($C$28,"BPS_SEQUENTIAL_GROWTH","FQ2 2016","FQ2 2016","Currency=INR","Period=FQ","BEST_FPERIOD_OVERRIDE=FQ","FILING_STATUS=OR","EQY_CONSOLIDATED=Y","Sort=A","Dates=H","DateFormat=P","Fill=—","Direction=H","UseDPDF=Y")</f>
        <v>#NAME?</v>
      </c>
      <c r="BX40" s="2" t="e">
        <f ca="1">_xll.BDH($C$28,"CFO_SEQUENTIAL_GROWTH","FQ2 2016","FQ2 2016","Currency=INR","Period=FQ","BEST_FPERIOD_OVERRIDE=FQ","FILING_STATUS=OR","EQY_CONSOLIDATED=Y","Sort=A","Dates=H","DateFormat=P","Fill=—","Direction=H","UseDPDF=Y")</f>
        <v>#NAME?</v>
      </c>
      <c r="BY40" s="3" t="e">
        <f ca="1">_xll.BDH($C$28,"SHORT_AND_LONG_TERM_DEBT","FQ2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40" s="3" t="e">
        <f ca="1">_xll.BDH($C$28,"BS_ST_BORROW","FQ2 2016","FQ2 2016","Currency=INR","Period=FQ","BEST_FPERIOD_OVERRIDE=FQ","FILING_STATUS=OR","EQY_CONSOLIDATED=Y","SCALING_FORMAT=MLN","Sort=A","Dates=H","DateFormat=P","Fill=—","Direction=H","UseDPDF=Y")</f>
        <v>#NAME?</v>
      </c>
      <c r="CA40" s="3" t="e">
        <f ca="1">_xll.BDH($C$28,"BS_LT_BORROW","FQ2 2016","FQ2 2016","Currency=INR","Period=FQ","BEST_FPERIOD_OVERRIDE=FQ","FILING_STATUS=OR","EQY_CONSOLIDATED=Y","SCALING_FORMAT=MLN","Sort=A","Dates=H","DateFormat=P","Fill=—","Direction=H","UseDPDF=Y")</f>
        <v>#NAME?</v>
      </c>
      <c r="CB40" s="2" t="e">
        <f ca="1">_xll.BDH($C$28,"TOT_DEBT_TO_EBITDA","FQ2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40" s="2" t="e">
        <f ca="1">_xll.BDH($C$28,"NET_DEBT_TO_EBITDA","FQ2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40" s="2" t="e">
        <f ca="1">_xll.BDH($C$28,"TOTAL_DEBT_TO_EBIT","FQ2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40" s="2" t="e">
        <f ca="1">_xll.BDH($C$28,"NET_DEBT_TO_EBIT","FQ2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40" s="2" t="e">
        <f ca="1">_xll.BDH($C$28,"EBITDA_TO_INTEREST_EXPN","FQ2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40" s="2" t="e">
        <f ca="1">_xll.BDH($C$28,"COM_EQY_TO_TOT_ASSET","FQ2 2016","FQ2 2016","Currency=INR","Period=FQ","BEST_FPERIOD_OVERRIDE=FQ","FILING_STATUS=OR","EQY_CONSOLIDATED=Y","Sort=A","Dates=H","DateFormat=P","Fill=—","Direction=H","UseDPDF=Y")</f>
        <v>#NAME?</v>
      </c>
      <c r="CH40" s="2" t="e">
        <f ca="1">_xll.BDH($C$28,"LT_DEBT_TO_TOT_EQY","FQ2 2016","FQ2 2016","Currency=INR","Period=FQ","BEST_FPERIOD_OVERRIDE=FQ","FILING_STATUS=OR","EQY_CONSOLIDATED=Y","Sort=A","Dates=H","DateFormat=P","Fill=—","Direction=H","UseDPDF=Y")</f>
        <v>#NAME?</v>
      </c>
      <c r="CI40" s="2" t="e">
        <f ca="1">_xll.BDH($C$28,"LT_DEBT_TO_TOT_CAP","FQ2 2016","FQ2 2016","Currency=INR","Period=FQ","BEST_FPERIOD_OVERRIDE=FQ","FILING_STATUS=OR","EQY_CONSOLIDATED=Y","Sort=A","Dates=H","DateFormat=P","Fill=—","Direction=H","UseDPDF=Y")</f>
        <v>#NAME?</v>
      </c>
      <c r="CJ40" s="2" t="e">
        <f ca="1">_xll.BDH($C$28,"LT_DEBT_TO_TOT_ASSET","FQ2 2016","FQ2 2016","Currency=INR","Period=FQ","BEST_FPERIOD_OVERRIDE=FQ","FILING_STATUS=OR","EQY_CONSOLIDATED=Y","Sort=A","Dates=H","DateFormat=P","Fill=—","Direction=H","UseDPDF=Y")</f>
        <v>#NAME?</v>
      </c>
      <c r="CK40" s="2" t="e">
        <f ca="1">_xll.BDH($C$28,"TOT_DEBT_TO_TOT_EQY","FQ2 2016","FQ2 2016","Currency=INR","Period=FQ","BEST_FPERIOD_OVERRIDE=FQ","FILING_STATUS=OR","EQY_CONSOLIDATED=Y","Sort=A","Dates=H","DateFormat=P","Fill=—","Direction=H","UseDPDF=Y")</f>
        <v>#NAME?</v>
      </c>
      <c r="CL40" s="2" t="e">
        <f ca="1">_xll.BDH($C$28,"TOT_DEBT_TO_TOT_CAP","FQ2 2016","FQ2 2016","Currency=INR","Period=FQ","BEST_FPERIOD_OVERRIDE=FQ","FILING_STATUS=OR","EQY_CONSOLIDATED=Y","Sort=A","Dates=H","DateFormat=P","Fill=—","Direction=H","UseDPDF=Y")</f>
        <v>#NAME?</v>
      </c>
      <c r="CM40" s="2" t="e">
        <f ca="1">_xll.BDH($C$28,"TOT_DEBT_TO_TOT_ASSET","FQ2 2016","FQ2 2016","Currency=INR","Period=FQ","BEST_FPERIOD_OVERRIDE=FQ","FILING_STATUS=OR","EQY_CONSOLIDATED=Y","Sort=A","Dates=H","DateFormat=P","Fill=—","Direction=H","UseDPDF=Y")</f>
        <v>#NAME?</v>
      </c>
      <c r="CN40" s="2" t="e">
        <f ca="1">_xll.BDH($C$28,"NET_DEBT_TO_SHRHLDR_EQTY","FQ2 2016","FQ2 2016","Currency=INR","Period=FQ","BEST_FPERIOD_OVERRIDE=FQ","FILING_STATUS=OR","EQY_CONSOLIDATED=Y","Sort=A","Dates=H","DateFormat=P","Fill=—","Direction=H","UseDPDF=Y")</f>
        <v>#NAME?</v>
      </c>
      <c r="CO40" s="2" t="e">
        <f ca="1">_xll.BDH($C$28,"NET_DEBT_%_CAPITAL","FQ2 2016","FQ2 2016","Currency=INR","Period=FQ","BEST_FPERIOD_OVERRIDE=FQ","FILING_STATUS=OR","EQY_CONSOLIDATED=Y","Sort=A","Dates=H","DateFormat=P","Fill=—","Direction=H","UseDPDF=Y")</f>
        <v>#NAME?</v>
      </c>
      <c r="CP40" s="3" t="e">
        <f ca="1">_xll.BDH($C$28,"EBITDA","FQ2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40" s="3" t="e">
        <f ca="1">_xll.BDH($C$28,"EBITDA_AFTER_CAPEX","FQ2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40" s="3" t="e">
        <f ca="1">_xll.BDH($C$28,"IS_OPER_INC","FQ2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40" s="2" t="e">
        <f ca="1">_xll.BDH($C$28,"CASH_RATIO","FQ2 2016","FQ2 2016","Currency=INR","Period=FQ","BEST_FPERIOD_OVERRIDE=FQ","FILING_STATUS=OR","EQY_CONSOLIDATED=Y","Sort=A","Dates=H","DateFormat=P","Fill=—","Direction=H","UseDPDF=Y")</f>
        <v>#NAME?</v>
      </c>
      <c r="CT40" s="2" t="e">
        <f ca="1">_xll.BDH($C$28,"CUR_RATIO","FQ2 2016","FQ2 2016","Currency=INR","Period=FQ","BEST_FPERIOD_OVERRIDE=FQ","FILING_STATUS=OR","EQY_CONSOLIDATED=Y","Sort=A","Dates=H","DateFormat=P","Fill=—","Direction=H","UseDPDF=Y")</f>
        <v>#NAME?</v>
      </c>
      <c r="CU40" s="2" t="e">
        <f ca="1">_xll.BDH($C$28,"QUICK_RATIO","FQ2 2016","FQ2 2016","Currency=INR","Period=FQ","BEST_FPERIOD_OVERRIDE=FQ","FILING_STATUS=OR","EQY_CONSOLIDATED=Y","Sort=A","Dates=H","DateFormat=P","Fill=—","Direction=H","UseDPDF=Y")</f>
        <v>#NAME?</v>
      </c>
      <c r="CV40" s="2" t="e">
        <f ca="1">_xll.BDH($C$28,"ALTMAN_Z_SCORE","FQ2 2016","FQ2 2016","Currency=INR","Period=FQ","BEST_FPERIOD_OVERRIDE=FQ","FILING_STATUS=OR","EQY_CONSOLIDATED=Y","Sort=A","Dates=H","DateFormat=P","Fill=—","Direction=H","UseDPDF=Y")</f>
        <v>#NAME?</v>
      </c>
      <c r="CW40" s="4" t="e">
        <f ca="1">_xll.BDH($C$28,"ACCT_RCV_TURN","FQ2 2016","FQ2 2016","Currency=INR","Period=FQ","BEST_FPERIOD_OVERRIDE=FQ","FILING_STATUS=OR","EQY_CONSOLIDATED=Y","FA_ADJUSTED=GAAP","Sort=A","Dates=H","DateFormat=P","Fill=—","Direction=H","UseDPDF=Y")</f>
        <v>#NAME?</v>
      </c>
      <c r="CX40" s="2" t="e">
        <f ca="1">_xll.BDH($C$28,"ACCT_RCV_DAYS","FQ2 2016","FQ2 2016","Currency=INR","Period=FQ","BEST_FPERIOD_OVERRIDE=FQ","FILING_STATUS=OR","EQY_CONSOLIDATED=Y","FA_ADJUSTED=GAAP","Sort=A","Dates=H","DateFormat=P","Fill=—","Direction=H","UseDPDF=Y")</f>
        <v>#NAME?</v>
      </c>
      <c r="CY40" s="4" t="e">
        <f ca="1">_xll.BDH($C$28,"INVENT_TURN","FQ2 2016","FQ2 2016","Currency=INR","Period=FQ","BEST_FPERIOD_OVERRIDE=FQ","FILING_STATUS=OR","EQY_CONSOLIDATED=Y","FA_ADJUSTED=GAAP","Sort=A","Dates=H","DateFormat=P","Fill=—","Direction=H","UseDPDF=Y")</f>
        <v>#NAME?</v>
      </c>
      <c r="CZ40" s="2" t="e">
        <f ca="1">_xll.BDH($C$28,"INVENT_DAYS","FQ2 2016","FQ2 2016","Currency=INR","Period=FQ","BEST_FPERIOD_OVERRIDE=FQ","FILING_STATUS=OR","EQY_CONSOLIDATED=Y","FA_ADJUSTED=GAAP","Sort=A","Dates=H","DateFormat=P","Fill=—","Direction=H","UseDPDF=Y")</f>
        <v>#NAME?</v>
      </c>
      <c r="DA40" s="4" t="e">
        <f ca="1">_xll.BDH($C$28,"ACCOUNTS_PAYABLE_TURNOVER","FQ2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40" s="2" t="e">
        <f ca="1">_xll.BDH($C$28,"ACCOUNTS_PAYABLE_TURNOVER_DAYS","FQ2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40" s="4" t="e">
        <f ca="1">_xll.BDH($C$28,"CASH_CONVERSION_CYCLE","FQ2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40" s="4" t="e">
        <f ca="1">_xll.BDH($C$28,"INV_TO_CASH_DAYS","FQ2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40" s="5" t="e">
        <f ca="1">_xll.BDH($C$28,"BS_INVENTORIES","FQ2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40" s="3" t="e">
        <f ca="1">_xll.BDH($C$28,"INVTRY_RAW_MATERIALS","FQ2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40" s="3" t="e">
        <f ca="1">_xll.BDH($C$28,"INVTRY_IN_PROGRESS","FQ2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40" s="3" t="e">
        <f ca="1">_xll.BDH($C$28,"INVTRY_FINISHED_GOODS","FQ2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40" s="3" t="e">
        <f ca="1">_xll.BDH($C$28,"BS_OTHER_INV","FQ2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41" spans="1:113" x14ac:dyDescent="0.3">
      <c r="A41" s="6"/>
      <c r="B41" s="6"/>
      <c r="C41" s="6"/>
      <c r="D41" s="6"/>
      <c r="E41" t="s">
        <v>80</v>
      </c>
      <c r="F41" t="e">
        <f ca="1">_xll.BDH($C$28,"RETURN_COM_EQY","FQ3 2016","FQ3 2016","Currency=INR","Period=FQ","BEST_FPERIOD_OVERRIDE=FQ","FILING_STATUS=OR","EQY_CONSOLIDATED=Y","FA_ADJUSTED=GAAP","Sort=A","Dates=H","DateFormat=P","Fill=—","Direction=H","UseDPDF=Y")</f>
        <v>#NAME?</v>
      </c>
      <c r="G41" t="e">
        <f ca="1">_xll.BDH($C$28,"RETURN_ON_ASSET","FQ3 2016","FQ3 2016","Currency=INR","Period=FQ","BEST_FPERIOD_OVERRIDE=FQ","FILING_STATUS=OR","EQY_CONSOLIDATED=Y","FA_ADJUSTED=GAAP","Sort=A","Dates=H","DateFormat=P","Fill=—","Direction=H","UseDPDF=Y")</f>
        <v>#NAME?</v>
      </c>
      <c r="H41" t="e">
        <f ca="1">_xll.BDH($C$28,"RETURN_ON_CAP","FQ3 2016","FQ3 2016","Currency=INR","Period=FQ","BEST_FPERIOD_OVERRIDE=FQ","FILING_STATUS=OR","EQY_CONSOLIDATED=Y","FA_ADJUSTED=GAAP","Sort=A","Dates=H","DateFormat=P","Fill=—","Direction=H","UseDPDF=Y")</f>
        <v>#NAME?</v>
      </c>
      <c r="I41" t="e">
        <f ca="1">_xll.BDH($C$28,"RETURN_ON_INV_CAPITAL","FQ3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41" t="e">
        <f ca="1">_xll.BDH($C$28,"EBITDA_TO_REVENUE","FQ3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41" t="e">
        <f ca="1">_xll.BDH($C$28,"OPER_MARGIN","FQ3 2016","FQ3 2016","Currency=INR","Period=FQ","BEST_FPERIOD_OVERRIDE=FQ","FILING_STATUS=OR","EQY_CONSOLIDATED=Y","FA_ADJUSTED=GAAP","Sort=A","Dates=H","DateFormat=P","Fill=—","Direction=H","UseDPDF=Y")</f>
        <v>#NAME?</v>
      </c>
      <c r="L41" t="e">
        <f ca="1">_xll.BDH($C$28,"INCREMENTAL_OPERATING_MARGIN","FQ3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41" t="e">
        <f ca="1">_xll.BDH($C$28,"PRETAX_INC_TO_NET_SALES","FQ3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41" t="e">
        <f ca="1">_xll.BDH($C$28,"INC_BEF_XO_ITEMS_TO_NET_SALES","FQ3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41" t="e">
        <f ca="1">_xll.BDH($C$28,"PROF_MARGIN","FQ3 2016","FQ3 2016","Currency=INR","Period=FQ","BEST_FPERIOD_OVERRIDE=FQ","FILING_STATUS=OR","EQY_CONSOLIDATED=Y","FA_ADJUSTED=GAAP","Sort=A","Dates=H","DateFormat=P","Fill=—","Direction=H","UseDPDF=Y")</f>
        <v>#NAME?</v>
      </c>
      <c r="P41" t="e">
        <f ca="1">_xll.BDH($C$28,"NET_INCOME_TO_COMMON_MARGIN","FQ3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41" t="e">
        <f ca="1">_xll.BDH($C$28,"EFF_TAX_RATE","FQ3 2016","FQ3 2016","Currency=INR","Period=FQ","BEST_FPERIOD_OVERRIDE=FQ","FILING_STATUS=OR","EQY_CONSOLIDATED=Y","FA_ADJUSTED=GAAP","Sort=A","Dates=H","DateFormat=P","Fill=—","Direction=H","UseDPDF=Y")</f>
        <v>#NAME?</v>
      </c>
      <c r="R41" t="e">
        <f ca="1">_xll.BDH($C$28,"DVD_PAYOUT_RATIO","FQ3 2016","FQ3 2016","Currency=INR","Period=FQ","BEST_FPERIOD_OVERRIDE=FQ","FILING_STATUS=OR","EQY_CONSOLIDATED=Y","FA_ADJUSTED=GAAP","Sort=A","Dates=H","DateFormat=P","Fill=—","Direction=H","UseDPDF=Y")</f>
        <v>#NAME?</v>
      </c>
      <c r="S41" t="e">
        <f ca="1">_xll.BDH($C$28,"SUSTAIN_GROWTH_RT","FQ3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41" s="2" t="e">
        <f ca="1">_xll.BDH($C$28,"SALES_GROWTH","FQ3 2016","FQ3 2016","Currency=INR","Period=FQ","BEST_FPERIOD_OVERRIDE=FQ","FILING_STATUS=OR","EQY_CONSOLIDATED=Y","FA_ADJUSTED=GAAP","Sort=A","Dates=H","DateFormat=P","Fill=—","Direction=H","UseDPDF=Y")</f>
        <v>#NAME?</v>
      </c>
      <c r="U41" s="2" t="e">
        <f ca="1">_xll.BDH($C$28,"EBITDA_GROWTH","FQ3 2016","FQ3 2016","Currency=INR","Period=FQ","BEST_FPERIOD_OVERRIDE=FQ","FILING_STATUS=OR","EQY_CONSOLIDATED=Y","FA_ADJUSTED=GAAP","Sort=A","Dates=H","DateFormat=P","Fill=—","Direction=H","UseDPDF=Y")</f>
        <v>#NAME?</v>
      </c>
      <c r="V41" s="2" t="e">
        <f ca="1">_xll.BDH($C$28,"OPER_INC_GROWTH","FQ3 2016","FQ3 2016","Currency=INR","Period=FQ","BEST_FPERIOD_OVERRIDE=FQ","FILING_STATUS=OR","EQY_CONSOLIDATED=Y","FA_ADJUSTED=GAAP","Sort=A","Dates=H","DateFormat=P","Fill=—","Direction=H","UseDPDF=Y")</f>
        <v>#NAME?</v>
      </c>
      <c r="W41" s="2" t="e">
        <f ca="1">_xll.BDH($C$28,"EARN_FOR_COM_GROWTH","FQ3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41" s="2" t="e">
        <f ca="1">_xll.BDH($C$28,"DILUTED_EPS_AFT_XO_ITEMS_GROWTH","FQ3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41" s="2" t="e">
        <f ca="1">_xll.BDH($C$28,"DIVIDEND_PER_SHARE_1_YEAR_GROWTH","FQ3 2016","FQ3 2016","Currency=INR","Period=FQ","BEST_FPERIOD_OVERRIDE=FQ","FILING_STATUS=OR","EQY_CONSOLIDATED=Y","Sort=A","Dates=H","DateFormat=P","Fill=—","Direction=H","UseDPDF=Y")</f>
        <v>#NAME?</v>
      </c>
      <c r="Z41" s="2" t="e">
        <f ca="1">_xll.BDH($C$28,"ACCOUNTS_RECEIVABLE_GROWTH","FQ3 2016","FQ3 2016","Currency=INR","Period=FQ","BEST_FPERIOD_OVERRIDE=FQ","FILING_STATUS=OR","EQY_CONSOLIDATED=Y","Sort=A","Dates=H","DateFormat=P","Fill=—","Direction=H","UseDPDF=Y")</f>
        <v>#NAME?</v>
      </c>
      <c r="AA41" s="2" t="e">
        <f ca="1">_xll.BDH($C$28,"INVENTORY_GROWTH","FQ3 2016","FQ3 2016","Currency=INR","Period=FQ","BEST_FPERIOD_OVERRIDE=FQ","FILING_STATUS=OR","EQY_CONSOLIDATED=Y","Sort=A","Dates=H","DateFormat=P","Fill=—","Direction=H","UseDPDF=Y")</f>
        <v>#NAME?</v>
      </c>
      <c r="AB41" s="2" t="e">
        <f ca="1">_xll.BDH($C$28,"NET_FIXED_ASSETS_1_YEAR_GROWTH","FQ3 2016","FQ3 2016","Currency=INR","Period=FQ","BEST_FPERIOD_OVERRIDE=FQ","FILING_STATUS=OR","EQY_CONSOLIDATED=Y","Sort=A","Dates=H","DateFormat=P","Fill=—","Direction=H","UseDPDF=Y")</f>
        <v>#NAME?</v>
      </c>
      <c r="AC41" s="2" t="e">
        <f ca="1">_xll.BDH($C$28,"ASSET_GROWTH","FQ3 2016","FQ3 2016","Currency=INR","Period=FQ","BEST_FPERIOD_OVERRIDE=FQ","FILING_STATUS=OR","EQY_CONSOLIDATED=Y","Sort=A","Dates=H","DateFormat=P","Fill=—","Direction=H","UseDPDF=Y")</f>
        <v>#NAME?</v>
      </c>
      <c r="AD41" s="2" t="e">
        <f ca="1">_xll.BDH($C$28,"MODIFIED_WORK_CAP_GROWTH","FQ3 2016","FQ3 2016","Currency=INR","Period=FQ","BEST_FPERIOD_OVERRIDE=FQ","FILING_STATUS=OR","EQY_CONSOLIDATED=Y","Sort=A","Dates=H","DateFormat=P","Fill=—","Direction=H","UseDPDF=Y")</f>
        <v>#NAME?</v>
      </c>
      <c r="AE41" s="2" t="e">
        <f ca="1">_xll.BDH($C$28,"WORK_CAP_GROWTH","FQ3 2016","FQ3 2016","Currency=INR","Period=FQ","BEST_FPERIOD_OVERRIDE=FQ","FILING_STATUS=OR","EQY_CONSOLIDATED=Y","Sort=A","Dates=H","DateFormat=P","Fill=—","Direction=H","UseDPDF=Y")</f>
        <v>#NAME?</v>
      </c>
      <c r="AF41" s="2" t="e">
        <f ca="1">_xll.BDH($C$28,"ACCOUNTS_PAYABLE_GROWTH_1YR","FQ3 2016","FQ3 2016","Currency=INR","Period=FQ","BEST_FPERIOD_OVERRIDE=FQ","FILING_STATUS=OR","EQY_CONSOLIDATED=Y","Sort=A","Dates=H","DateFormat=P","Fill=—","Direction=H","UseDPDF=Y")</f>
        <v>#NAME?</v>
      </c>
      <c r="AG41" s="2" t="e">
        <f ca="1">_xll.BDH($C$28,"SHORT_TERM_DEBT_1_YEAR_GROWTH","FQ3 2016","FQ3 2016","Currency=INR","Period=FQ","BEST_FPERIOD_OVERRIDE=FQ","FILING_STATUS=OR","EQY_CONSOLIDATED=Y","Sort=A","Dates=H","DateFormat=P","Fill=—","Direction=H","UseDPDF=Y")</f>
        <v>#NAME?</v>
      </c>
      <c r="AH41" s="2" t="e">
        <f ca="1">_xll.BDH($C$28,"TOTAL_DEBT_1_YEAR_GROWTH","FQ3 2016","FQ3 2016","Currency=INR","Period=FQ","BEST_FPERIOD_OVERRIDE=FQ","FILING_STATUS=OR","EQY_CONSOLIDATED=Y","Sort=A","Dates=H","DateFormat=P","Fill=—","Direction=H","UseDPDF=Y")</f>
        <v>#NAME?</v>
      </c>
      <c r="AI41" s="2" t="e">
        <f ca="1">_xll.BDH($C$28,"TOTAL_EQUITY_1_YEAR_GROWTH","FQ3 2016","FQ3 2016","Currency=INR","Period=FQ","BEST_FPERIOD_OVERRIDE=FQ","FILING_STATUS=OR","EQY_CONSOLIDATED=Y","Sort=A","Dates=H","DateFormat=P","Fill=—","Direction=H","UseDPDF=Y")</f>
        <v>#NAME?</v>
      </c>
      <c r="AJ41" s="2" t="e">
        <f ca="1">_xll.BDH($C$28,"GROWTH_IN_CAP","FQ3 2016","FQ3 2016","Currency=INR","Period=FQ","BEST_FPERIOD_OVERRIDE=FQ","FILING_STATUS=OR","EQY_CONSOLIDATED=Y","Sort=A","Dates=H","DateFormat=P","Fill=—","Direction=H","UseDPDF=Y")</f>
        <v>#NAME?</v>
      </c>
      <c r="AK41" s="2" t="e">
        <f ca="1">_xll.BDH($C$28,"BVPS_GROWTH","FQ3 2016","FQ3 2016","Currency=INR","Period=FQ","BEST_FPERIOD_OVERRIDE=FQ","FILING_STATUS=OR","EQY_CONSOLIDATED=Y","Sort=A","Dates=H","DateFormat=P","Fill=—","Direction=H","UseDPDF=Y")</f>
        <v>#NAME?</v>
      </c>
      <c r="AL41" s="2" t="e">
        <f ca="1">_xll.BDH($C$28,"CASH_FLOW_GROWTH","FQ3 2016","FQ3 2016","Currency=INR","Period=FQ","BEST_FPERIOD_OVERRIDE=FQ","FILING_STATUS=OR","EQY_CONSOLIDATED=Y","Sort=A","Dates=H","DateFormat=P","Fill=—","Direction=H","UseDPDF=Y")</f>
        <v>#NAME?</v>
      </c>
      <c r="AM41" s="2" t="e">
        <f ca="1">_xll.BDH($C$28,"GEO_GROW_NET_SALES","FQ3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41" s="2" t="e">
        <f ca="1">_xll.BDH($C$28,"GEO_GROW_EBITDA","FQ3 2016","FQ3 2016","Currency=INR","Period=FQ","BEST_FPERIOD_OVERRIDE=FQ","FILING_STATUS=OR","EQY_CONSOLIDATED=Y","FA_ADJUSTED=GAAP","Sort=A","Dates=H","DateFormat=P","Fill=—","Direction=H","UseDPDF=Y")</f>
        <v>#NAME?</v>
      </c>
      <c r="AO41" s="2" t="e">
        <f ca="1">_xll.BDH($C$28,"GEO_GROW_OPER_INC","FQ3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41" s="2" t="e">
        <f ca="1">_xll.BDH($C$28,"NET_INCOME_TO_COMMON_5_YR_GROWTH","FQ3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41" s="2" t="e">
        <f ca="1">_xll.BDH($C$28,"5Y_GEO_GROWTH_DILUTED_EPS","FQ3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41" s="2" t="e">
        <f ca="1">_xll.BDH($C$28,"GEO_GROW_DVD_PER_SH","FQ3 2016","FQ3 2016","Currency=INR","Period=FQ","BEST_FPERIOD_OVERRIDE=FQ","FILING_STATUS=OR","EQY_CONSOLIDATED=Y","Sort=A","Dates=H","DateFormat=P","Fill=—","Direction=H","UseDPDF=Y")</f>
        <v>#NAME?</v>
      </c>
      <c r="AS41" s="2" t="e">
        <f ca="1">_xll.BDH($C$28,"ACCOUNTS_RECEIVABLE_5_YR_GROWTH","FQ3 2016","FQ3 2016","Currency=INR","Period=FQ","BEST_FPERIOD_OVERRIDE=FQ","FILING_STATUS=OR","EQY_CONSOLIDATED=Y","Sort=A","Dates=H","DateFormat=P","Fill=—","Direction=H","UseDPDF=Y")</f>
        <v>#NAME?</v>
      </c>
      <c r="AT41" s="2" t="e">
        <f ca="1">_xll.BDH($C$28,"INVENTORY_5_YEAR_GROWTH","FQ3 2016","FQ3 2016","Currency=INR","Period=FQ","BEST_FPERIOD_OVERRIDE=FQ","FILING_STATUS=OR","EQY_CONSOLIDATED=Y","Sort=A","Dates=H","DateFormat=P","Fill=—","Direction=H","UseDPDF=Y")</f>
        <v>#NAME?</v>
      </c>
      <c r="AU41" s="2" t="e">
        <f ca="1">_xll.BDH($C$28,"NET_FIXED_ASSETS_5_YEAR_GROWTH","FQ3 2016","FQ3 2016","Currency=INR","Period=FQ","BEST_FPERIOD_OVERRIDE=FQ","FILING_STATUS=OR","EQY_CONSOLIDATED=Y","Sort=A","Dates=H","DateFormat=P","Fill=—","Direction=H","UseDPDF=Y")</f>
        <v>#NAME?</v>
      </c>
      <c r="AV41" s="2" t="e">
        <f ca="1">_xll.BDH($C$28,"GEO_GROW_TOT_ASSET","FQ3 2016","FQ3 2016","Currency=INR","Period=FQ","BEST_FPERIOD_OVERRIDE=FQ","FILING_STATUS=OR","EQY_CONSOLIDATED=Y","Sort=A","Dates=H","DateFormat=P","Fill=—","Direction=H","UseDPDF=Y")</f>
        <v>#NAME?</v>
      </c>
      <c r="AW41" s="2" t="e">
        <f ca="1">_xll.BDH($C$28,"MODIFIED_WORKING_CPTL_5YR_GRWTH","FQ3 2016","FQ3 2016","Currency=INR","Period=FQ","BEST_FPERIOD_OVERRIDE=FQ","FILING_STATUS=OR","EQY_CONSOLIDATED=Y","Sort=A","Dates=H","DateFormat=P","Fill=—","Direction=H","UseDPDF=Y")</f>
        <v>#NAME?</v>
      </c>
      <c r="AX41" s="2" t="e">
        <f ca="1">_xll.BDH($C$28,"WORKING_CAPITAL_5_YEAR_GROWTH","FQ3 2016","FQ3 2016","Currency=INR","Period=FQ","BEST_FPERIOD_OVERRIDE=FQ","FILING_STATUS=OR","EQY_CONSOLIDATED=Y","Sort=A","Dates=H","DateFormat=P","Fill=—","Direction=H","UseDPDF=Y")</f>
        <v>#NAME?</v>
      </c>
      <c r="AY41" s="2" t="e">
        <f ca="1">_xll.BDH($C$28,"ACCOUNTS_PAYABLE_5_YEAR_GROWTH","FQ3 2016","FQ3 2016","Currency=INR","Period=FQ","BEST_FPERIOD_OVERRIDE=FQ","FILING_STATUS=OR","EQY_CONSOLIDATED=Y","Sort=A","Dates=H","DateFormat=P","Fill=—","Direction=H","UseDPDF=Y")</f>
        <v>#NAME?</v>
      </c>
      <c r="AZ41" s="2" t="e">
        <f ca="1">_xll.BDH($C$28,"SHORT_TERM_DEBT_5_YEAR_GROWTH","FQ3 2016","FQ3 2016","Currency=INR","Period=FQ","BEST_FPERIOD_OVERRIDE=FQ","FILING_STATUS=OR","EQY_CONSOLIDATED=Y","Sort=A","Dates=H","DateFormat=P","Fill=—","Direction=H","UseDPDF=Y")</f>
        <v>#NAME?</v>
      </c>
      <c r="BA41" s="2" t="e">
        <f ca="1">_xll.BDH($C$28,"TOTAL_DEBT_5_YEAR_GROWTH","FQ3 2016","FQ3 2016","Currency=INR","Period=FQ","BEST_FPERIOD_OVERRIDE=FQ","FILING_STATUS=OR","EQY_CONSOLIDATED=Y","Sort=A","Dates=H","DateFormat=P","Fill=—","Direction=H","UseDPDF=Y")</f>
        <v>#NAME?</v>
      </c>
      <c r="BB41" s="2" t="e">
        <f ca="1">_xll.BDH($C$28,"GEO_GROW_TOT_SHRHLDR_EQY","FQ3 2016","FQ3 2016","Currency=INR","Period=FQ","BEST_FPERIOD_OVERRIDE=FQ","FILING_STATUS=OR","EQY_CONSOLIDATED=Y","Sort=A","Dates=H","DateFormat=P","Fill=—","Direction=H","UseDPDF=Y")</f>
        <v>#NAME?</v>
      </c>
      <c r="BC41" s="2" t="e">
        <f ca="1">_xll.BDH($C$28,"TOTAL_CAPITAL_5_YEAR_GROWTH","FQ3 2016","FQ3 2016","Currency=INR","Period=FQ","BEST_FPERIOD_OVERRIDE=FQ","FILING_STATUS=OR","EQY_CONSOLIDATED=Y","Sort=A","Dates=H","DateFormat=P","Fill=—","Direction=H","UseDPDF=Y")</f>
        <v>#NAME?</v>
      </c>
      <c r="BD41" s="2" t="e">
        <f ca="1">_xll.BDH($C$28,"GEO_GROW_BOOK_VAL","FQ3 2016","FQ3 2016","Currency=INR","Period=FQ","BEST_FPERIOD_OVERRIDE=FQ","FILING_STATUS=OR","EQY_CONSOLIDATED=Y","Sort=A","Dates=H","DateFormat=P","Fill=—","Direction=H","UseDPDF=Y")</f>
        <v>#NAME?</v>
      </c>
      <c r="BE41" s="2" t="e">
        <f ca="1">_xll.BDH($C$28,"GEO_GROW_CASH_OPER_ACT","FQ3 2016","FQ3 2016","Currency=INR","Period=FQ","BEST_FPERIOD_OVERRIDE=FQ","FILING_STATUS=OR","EQY_CONSOLIDATED=Y","Sort=A","Dates=H","DateFormat=P","Fill=—","Direction=H","UseDPDF=Y")</f>
        <v>#NAME?</v>
      </c>
      <c r="BF41" s="2" t="e">
        <f ca="1">_xll.BDH($C$28,"REVENUE_SEQUENTIAL_GROWTH","FQ3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41" s="2" t="e">
        <f ca="1">_xll.BDH($C$28,"EBITDA_SEQUENTIAL_GROWTH","FQ3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41" s="2" t="e">
        <f ca="1">_xll.BDH($C$28,"OPERATING_INCOME_SEQ_GROWTH","FQ3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41" s="2" t="e">
        <f ca="1">_xll.BDH($C$28,"NET_INCOME_TO_COMMON_SEQ_GROWTH","FQ3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41" s="2" t="e">
        <f ca="1">_xll.BDH($C$28,"EPS_DILUTED_SEQUENTIAL_GROWTH","FQ3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41" s="2" t="e">
        <f ca="1">_xll.BDH($C$28,"DPS_SEQUENTIAL_GROWTH","FQ3 2016","FQ3 2016","Currency=INR","Period=FQ","BEST_FPERIOD_OVERRIDE=FQ","FILING_STATUS=OR","EQY_CONSOLIDATED=Y","Sort=A","Dates=H","DateFormat=P","Fill=—","Direction=H","UseDPDF=Y")</f>
        <v>#NAME?</v>
      </c>
      <c r="BL41" s="2" t="e">
        <f ca="1">_xll.BDH($C$28,"ACCOUNTS_RECEIVABLE_SEQ_GROWTH","FQ3 2016","FQ3 2016","Currency=INR","Period=FQ","BEST_FPERIOD_OVERRIDE=FQ","FILING_STATUS=OR","EQY_CONSOLIDATED=Y","Sort=A","Dates=H","DateFormat=P","Fill=—","Direction=H","UseDPDF=Y")</f>
        <v>#NAME?</v>
      </c>
      <c r="BM41" s="2" t="e">
        <f ca="1">_xll.BDH($C$28,"INVENTORY_SEQUENTIAL_GROWTH","FQ3 2016","FQ3 2016","Currency=INR","Period=FQ","BEST_FPERIOD_OVERRIDE=FQ","FILING_STATUS=OR","EQY_CONSOLIDATED=Y","Sort=A","Dates=H","DateFormat=P","Fill=—","Direction=H","UseDPDF=Y")</f>
        <v>#NAME?</v>
      </c>
      <c r="BN41" s="2" t="e">
        <f ca="1">_xll.BDH($C$28,"FIXED_ASSETS_SEQUENTIAL_GROWTH","FQ3 2016","FQ3 2016","Currency=INR","Period=FQ","BEST_FPERIOD_OVERRIDE=FQ","FILING_STATUS=OR","EQY_CONSOLIDATED=Y","Sort=A","Dates=H","DateFormat=P","Fill=—","Direction=H","UseDPDF=Y")</f>
        <v>#NAME?</v>
      </c>
      <c r="BO41" s="2" t="e">
        <f ca="1">_xll.BDH($C$28,"TOTAL_ASSETS_SEQUENTIAL_GROWTH","FQ3 2016","FQ3 2016","Currency=INR","Period=FQ","BEST_FPERIOD_OVERRIDE=FQ","FILING_STATUS=OR","EQY_CONSOLIDATED=Y","Sort=A","Dates=H","DateFormat=P","Fill=—","Direction=H","UseDPDF=Y")</f>
        <v>#NAME?</v>
      </c>
      <c r="BP41" s="2" t="e">
        <f ca="1">_xll.BDH($C$28,"MODIFIED_WORKING_CPTL_SEQ_GRWTH","FQ3 2016","FQ3 2016","Currency=INR","Period=FQ","BEST_FPERIOD_OVERRIDE=FQ","FILING_STATUS=OR","EQY_CONSOLIDATED=Y","Sort=A","Dates=H","DateFormat=P","Fill=—","Direction=H","UseDPDF=Y")</f>
        <v>#NAME?</v>
      </c>
      <c r="BQ41" s="2" t="e">
        <f ca="1">_xll.BDH($C$28,"WORKING_CAPITAL_SEQ_GROWTH","FQ3 2016","FQ3 2016","Currency=INR","Period=FQ","BEST_FPERIOD_OVERRIDE=FQ","FILING_STATUS=OR","EQY_CONSOLIDATED=Y","Sort=A","Dates=H","DateFormat=P","Fill=—","Direction=H","UseDPDF=Y")</f>
        <v>#NAME?</v>
      </c>
      <c r="BR41" s="2" t="e">
        <f ca="1">_xll.BDH($C$28,"ACCOUNTS_PAYABLE_SEQ_GROWTH","FQ3 2016","FQ3 2016","Currency=INR","Period=FQ","BEST_FPERIOD_OVERRIDE=FQ","FILING_STATUS=OR","EQY_CONSOLIDATED=Y","Sort=A","Dates=H","DateFormat=P","Fill=—","Direction=H","UseDPDF=Y")</f>
        <v>#NAME?</v>
      </c>
      <c r="BS41" s="2" t="e">
        <f ca="1">_xll.BDH($C$28,"ST_DEBT_SEQUENTIAL_GROWTH","FQ3 2016","FQ3 2016","Currency=INR","Period=FQ","BEST_FPERIOD_OVERRIDE=FQ","FILING_STATUS=OR","EQY_CONSOLIDATED=Y","Sort=A","Dates=H","DateFormat=P","Fill=—","Direction=H","UseDPDF=Y")</f>
        <v>#NAME?</v>
      </c>
      <c r="BT41" s="2" t="e">
        <f ca="1">_xll.BDH($C$28,"TOTAL_DEBT_SEQUENTIAL_GROWTH","FQ3 2016","FQ3 2016","Currency=INR","Period=FQ","BEST_FPERIOD_OVERRIDE=FQ","FILING_STATUS=OR","EQY_CONSOLIDATED=Y","Sort=A","Dates=H","DateFormat=P","Fill=—","Direction=H","UseDPDF=Y")</f>
        <v>#NAME?</v>
      </c>
      <c r="BU41" s="2" t="e">
        <f ca="1">_xll.BDH($C$28,"TOTAL_EQUITY_SEQUENTIAL_GROWTH","FQ3 2016","FQ3 2016","Currency=INR","Period=FQ","BEST_FPERIOD_OVERRIDE=FQ","FILING_STATUS=OR","EQY_CONSOLIDATED=Y","Sort=A","Dates=H","DateFormat=P","Fill=—","Direction=H","UseDPDF=Y")</f>
        <v>#NAME?</v>
      </c>
      <c r="BV41" s="2" t="e">
        <f ca="1">_xll.BDH($C$28,"TOTAL_CAPITAL_SEQUENTIAL_GROWTH","FQ3 2016","FQ3 2016","Currency=INR","Period=FQ","BEST_FPERIOD_OVERRIDE=FQ","FILING_STATUS=OR","EQY_CONSOLIDATED=Y","Sort=A","Dates=H","DateFormat=P","Fill=—","Direction=H","UseDPDF=Y")</f>
        <v>#NAME?</v>
      </c>
      <c r="BW41" s="2" t="e">
        <f ca="1">_xll.BDH($C$28,"BPS_SEQUENTIAL_GROWTH","FQ3 2016","FQ3 2016","Currency=INR","Period=FQ","BEST_FPERIOD_OVERRIDE=FQ","FILING_STATUS=OR","EQY_CONSOLIDATED=Y","Sort=A","Dates=H","DateFormat=P","Fill=—","Direction=H","UseDPDF=Y")</f>
        <v>#NAME?</v>
      </c>
      <c r="BX41" s="2" t="e">
        <f ca="1">_xll.BDH($C$28,"CFO_SEQUENTIAL_GROWTH","FQ3 2016","FQ3 2016","Currency=INR","Period=FQ","BEST_FPERIOD_OVERRIDE=FQ","FILING_STATUS=OR","EQY_CONSOLIDATED=Y","Sort=A","Dates=H","DateFormat=P","Fill=—","Direction=H","UseDPDF=Y")</f>
        <v>#NAME?</v>
      </c>
      <c r="BY41" s="3" t="e">
        <f ca="1">_xll.BDH($C$28,"SHORT_AND_LONG_TERM_DEBT","FQ3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41" s="3" t="e">
        <f ca="1">_xll.BDH($C$28,"BS_ST_BORROW","FQ3 2016","FQ3 2016","Currency=INR","Period=FQ","BEST_FPERIOD_OVERRIDE=FQ","FILING_STATUS=OR","EQY_CONSOLIDATED=Y","SCALING_FORMAT=MLN","Sort=A","Dates=H","DateFormat=P","Fill=—","Direction=H","UseDPDF=Y")</f>
        <v>#NAME?</v>
      </c>
      <c r="CA41" s="3" t="e">
        <f ca="1">_xll.BDH($C$28,"BS_LT_BORROW","FQ3 2016","FQ3 2016","Currency=INR","Period=FQ","BEST_FPERIOD_OVERRIDE=FQ","FILING_STATUS=OR","EQY_CONSOLIDATED=Y","SCALING_FORMAT=MLN","Sort=A","Dates=H","DateFormat=P","Fill=—","Direction=H","UseDPDF=Y")</f>
        <v>#NAME?</v>
      </c>
      <c r="CB41" s="2" t="e">
        <f ca="1">_xll.BDH($C$28,"TOT_DEBT_TO_EBITDA","FQ3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41" s="2" t="e">
        <f ca="1">_xll.BDH($C$28,"NET_DEBT_TO_EBITDA","FQ3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41" s="2" t="e">
        <f ca="1">_xll.BDH($C$28,"TOTAL_DEBT_TO_EBIT","FQ3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41" s="2" t="e">
        <f ca="1">_xll.BDH($C$28,"NET_DEBT_TO_EBIT","FQ3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41" s="2" t="e">
        <f ca="1">_xll.BDH($C$28,"EBITDA_TO_INTEREST_EXPN","FQ3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41" s="2" t="e">
        <f ca="1">_xll.BDH($C$28,"COM_EQY_TO_TOT_ASSET","FQ3 2016","FQ3 2016","Currency=INR","Period=FQ","BEST_FPERIOD_OVERRIDE=FQ","FILING_STATUS=OR","EQY_CONSOLIDATED=Y","Sort=A","Dates=H","DateFormat=P","Fill=—","Direction=H","UseDPDF=Y")</f>
        <v>#NAME?</v>
      </c>
      <c r="CH41" s="2" t="e">
        <f ca="1">_xll.BDH($C$28,"LT_DEBT_TO_TOT_EQY","FQ3 2016","FQ3 2016","Currency=INR","Period=FQ","BEST_FPERIOD_OVERRIDE=FQ","FILING_STATUS=OR","EQY_CONSOLIDATED=Y","Sort=A","Dates=H","DateFormat=P","Fill=—","Direction=H","UseDPDF=Y")</f>
        <v>#NAME?</v>
      </c>
      <c r="CI41" s="2" t="e">
        <f ca="1">_xll.BDH($C$28,"LT_DEBT_TO_TOT_CAP","FQ3 2016","FQ3 2016","Currency=INR","Period=FQ","BEST_FPERIOD_OVERRIDE=FQ","FILING_STATUS=OR","EQY_CONSOLIDATED=Y","Sort=A","Dates=H","DateFormat=P","Fill=—","Direction=H","UseDPDF=Y")</f>
        <v>#NAME?</v>
      </c>
      <c r="CJ41" s="2" t="e">
        <f ca="1">_xll.BDH($C$28,"LT_DEBT_TO_TOT_ASSET","FQ3 2016","FQ3 2016","Currency=INR","Period=FQ","BEST_FPERIOD_OVERRIDE=FQ","FILING_STATUS=OR","EQY_CONSOLIDATED=Y","Sort=A","Dates=H","DateFormat=P","Fill=—","Direction=H","UseDPDF=Y")</f>
        <v>#NAME?</v>
      </c>
      <c r="CK41" s="2" t="e">
        <f ca="1">_xll.BDH($C$28,"TOT_DEBT_TO_TOT_EQY","FQ3 2016","FQ3 2016","Currency=INR","Period=FQ","BEST_FPERIOD_OVERRIDE=FQ","FILING_STATUS=OR","EQY_CONSOLIDATED=Y","Sort=A","Dates=H","DateFormat=P","Fill=—","Direction=H","UseDPDF=Y")</f>
        <v>#NAME?</v>
      </c>
      <c r="CL41" s="2" t="e">
        <f ca="1">_xll.BDH($C$28,"TOT_DEBT_TO_TOT_CAP","FQ3 2016","FQ3 2016","Currency=INR","Period=FQ","BEST_FPERIOD_OVERRIDE=FQ","FILING_STATUS=OR","EQY_CONSOLIDATED=Y","Sort=A","Dates=H","DateFormat=P","Fill=—","Direction=H","UseDPDF=Y")</f>
        <v>#NAME?</v>
      </c>
      <c r="CM41" s="2" t="e">
        <f ca="1">_xll.BDH($C$28,"TOT_DEBT_TO_TOT_ASSET","FQ3 2016","FQ3 2016","Currency=INR","Period=FQ","BEST_FPERIOD_OVERRIDE=FQ","FILING_STATUS=OR","EQY_CONSOLIDATED=Y","Sort=A","Dates=H","DateFormat=P","Fill=—","Direction=H","UseDPDF=Y")</f>
        <v>#NAME?</v>
      </c>
      <c r="CN41" s="2" t="e">
        <f ca="1">_xll.BDH($C$28,"NET_DEBT_TO_SHRHLDR_EQTY","FQ3 2016","FQ3 2016","Currency=INR","Period=FQ","BEST_FPERIOD_OVERRIDE=FQ","FILING_STATUS=OR","EQY_CONSOLIDATED=Y","Sort=A","Dates=H","DateFormat=P","Fill=—","Direction=H","UseDPDF=Y")</f>
        <v>#NAME?</v>
      </c>
      <c r="CO41" s="2" t="e">
        <f ca="1">_xll.BDH($C$28,"NET_DEBT_%_CAPITAL","FQ3 2016","FQ3 2016","Currency=INR","Period=FQ","BEST_FPERIOD_OVERRIDE=FQ","FILING_STATUS=OR","EQY_CONSOLIDATED=Y","Sort=A","Dates=H","DateFormat=P","Fill=—","Direction=H","UseDPDF=Y")</f>
        <v>#NAME?</v>
      </c>
      <c r="CP41" s="3" t="e">
        <f ca="1">_xll.BDH($C$28,"EBITDA","FQ3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41" s="3" t="e">
        <f ca="1">_xll.BDH($C$28,"EBITDA_AFTER_CAPEX","FQ3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41" s="3" t="e">
        <f ca="1">_xll.BDH($C$28,"IS_OPER_INC","FQ3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41" s="2" t="e">
        <f ca="1">_xll.BDH($C$28,"CASH_RATIO","FQ3 2016","FQ3 2016","Currency=INR","Period=FQ","BEST_FPERIOD_OVERRIDE=FQ","FILING_STATUS=OR","EQY_CONSOLIDATED=Y","Sort=A","Dates=H","DateFormat=P","Fill=—","Direction=H","UseDPDF=Y")</f>
        <v>#NAME?</v>
      </c>
      <c r="CT41" s="2" t="e">
        <f ca="1">_xll.BDH($C$28,"CUR_RATIO","FQ3 2016","FQ3 2016","Currency=INR","Period=FQ","BEST_FPERIOD_OVERRIDE=FQ","FILING_STATUS=OR","EQY_CONSOLIDATED=Y","Sort=A","Dates=H","DateFormat=P","Fill=—","Direction=H","UseDPDF=Y")</f>
        <v>#NAME?</v>
      </c>
      <c r="CU41" s="2" t="e">
        <f ca="1">_xll.BDH($C$28,"QUICK_RATIO","FQ3 2016","FQ3 2016","Currency=INR","Period=FQ","BEST_FPERIOD_OVERRIDE=FQ","FILING_STATUS=OR","EQY_CONSOLIDATED=Y","Sort=A","Dates=H","DateFormat=P","Fill=—","Direction=H","UseDPDF=Y")</f>
        <v>#NAME?</v>
      </c>
      <c r="CV41" s="2" t="e">
        <f ca="1">_xll.BDH($C$28,"ALTMAN_Z_SCORE","FQ3 2016","FQ3 2016","Currency=INR","Period=FQ","BEST_FPERIOD_OVERRIDE=FQ","FILING_STATUS=OR","EQY_CONSOLIDATED=Y","Sort=A","Dates=H","DateFormat=P","Fill=—","Direction=H","UseDPDF=Y")</f>
        <v>#NAME?</v>
      </c>
      <c r="CW41" s="4" t="e">
        <f ca="1">_xll.BDH($C$28,"ACCT_RCV_TURN","FQ3 2016","FQ3 2016","Currency=INR","Period=FQ","BEST_FPERIOD_OVERRIDE=FQ","FILING_STATUS=OR","EQY_CONSOLIDATED=Y","FA_ADJUSTED=GAAP","Sort=A","Dates=H","DateFormat=P","Fill=—","Direction=H","UseDPDF=Y")</f>
        <v>#NAME?</v>
      </c>
      <c r="CX41" s="2" t="e">
        <f ca="1">_xll.BDH($C$28,"ACCT_RCV_DAYS","FQ3 2016","FQ3 2016","Currency=INR","Period=FQ","BEST_FPERIOD_OVERRIDE=FQ","FILING_STATUS=OR","EQY_CONSOLIDATED=Y","FA_ADJUSTED=GAAP","Sort=A","Dates=H","DateFormat=P","Fill=—","Direction=H","UseDPDF=Y")</f>
        <v>#NAME?</v>
      </c>
      <c r="CY41" s="4" t="e">
        <f ca="1">_xll.BDH($C$28,"INVENT_TURN","FQ3 2016","FQ3 2016","Currency=INR","Period=FQ","BEST_FPERIOD_OVERRIDE=FQ","FILING_STATUS=OR","EQY_CONSOLIDATED=Y","FA_ADJUSTED=GAAP","Sort=A","Dates=H","DateFormat=P","Fill=—","Direction=H","UseDPDF=Y")</f>
        <v>#NAME?</v>
      </c>
      <c r="CZ41" s="2" t="e">
        <f ca="1">_xll.BDH($C$28,"INVENT_DAYS","FQ3 2016","FQ3 2016","Currency=INR","Period=FQ","BEST_FPERIOD_OVERRIDE=FQ","FILING_STATUS=OR","EQY_CONSOLIDATED=Y","FA_ADJUSTED=GAAP","Sort=A","Dates=H","DateFormat=P","Fill=—","Direction=H","UseDPDF=Y")</f>
        <v>#NAME?</v>
      </c>
      <c r="DA41" s="4" t="e">
        <f ca="1">_xll.BDH($C$28,"ACCOUNTS_PAYABLE_TURNOVER","FQ3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41" s="2" t="e">
        <f ca="1">_xll.BDH($C$28,"ACCOUNTS_PAYABLE_TURNOVER_DAYS","FQ3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41" s="4" t="e">
        <f ca="1">_xll.BDH($C$28,"CASH_CONVERSION_CYCLE","FQ3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41" s="4" t="e">
        <f ca="1">_xll.BDH($C$28,"INV_TO_CASH_DAYS","FQ3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41" s="5" t="e">
        <f ca="1">_xll.BDH($C$28,"BS_INVENTORIES","FQ3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41" s="3" t="e">
        <f ca="1">_xll.BDH($C$28,"INVTRY_RAW_MATERIALS","FQ3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41" s="3" t="e">
        <f ca="1">_xll.BDH($C$28,"INVTRY_IN_PROGRESS","FQ3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41" s="3" t="e">
        <f ca="1">_xll.BDH($C$28,"INVTRY_FINISHED_GOODS","FQ3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41" s="3" t="e">
        <f ca="1">_xll.BDH($C$28,"BS_OTHER_INV","FQ3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42" spans="1:113" x14ac:dyDescent="0.3">
      <c r="A42" s="6"/>
      <c r="B42" s="6"/>
      <c r="C42" s="6"/>
      <c r="D42" s="6"/>
      <c r="E42" t="s">
        <v>81</v>
      </c>
      <c r="F42" t="e">
        <f ca="1">_xll.BDH($C$28,"RETURN_COM_EQY","FQ4 2016","FQ4 2016","Currency=INR","Period=FQ","BEST_FPERIOD_OVERRIDE=FQ","FILING_STATUS=OR","EQY_CONSOLIDATED=Y","FA_ADJUSTED=GAAP","Sort=A","Dates=H","DateFormat=P","Fill=—","Direction=H","UseDPDF=Y")</f>
        <v>#NAME?</v>
      </c>
      <c r="G42" t="e">
        <f ca="1">_xll.BDH($C$28,"RETURN_ON_ASSET","FQ4 2016","FQ4 2016","Currency=INR","Period=FQ","BEST_FPERIOD_OVERRIDE=FQ","FILING_STATUS=OR","EQY_CONSOLIDATED=Y","FA_ADJUSTED=GAAP","Sort=A","Dates=H","DateFormat=P","Fill=—","Direction=H","UseDPDF=Y")</f>
        <v>#NAME?</v>
      </c>
      <c r="H42" t="e">
        <f ca="1">_xll.BDH($C$28,"RETURN_ON_CAP","FQ4 2016","FQ4 2016","Currency=INR","Period=FQ","BEST_FPERIOD_OVERRIDE=FQ","FILING_STATUS=OR","EQY_CONSOLIDATED=Y","FA_ADJUSTED=GAAP","Sort=A","Dates=H","DateFormat=P","Fill=—","Direction=H","UseDPDF=Y")</f>
        <v>#NAME?</v>
      </c>
      <c r="I42" t="e">
        <f ca="1">_xll.BDH($C$28,"RETURN_ON_INV_CAPITAL","FQ4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42" t="e">
        <f ca="1">_xll.BDH($C$28,"EBITDA_TO_REVENUE","FQ4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42" t="e">
        <f ca="1">_xll.BDH($C$28,"OPER_MARGIN","FQ4 2016","FQ4 2016","Currency=INR","Period=FQ","BEST_FPERIOD_OVERRIDE=FQ","FILING_STATUS=OR","EQY_CONSOLIDATED=Y","FA_ADJUSTED=GAAP","Sort=A","Dates=H","DateFormat=P","Fill=—","Direction=H","UseDPDF=Y")</f>
        <v>#NAME?</v>
      </c>
      <c r="L42" t="e">
        <f ca="1">_xll.BDH($C$28,"INCREMENTAL_OPERATING_MARGIN","FQ4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42" t="e">
        <f ca="1">_xll.BDH($C$28,"PRETAX_INC_TO_NET_SALES","FQ4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42" t="e">
        <f ca="1">_xll.BDH($C$28,"INC_BEF_XO_ITEMS_TO_NET_SALES","FQ4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42" t="e">
        <f ca="1">_xll.BDH($C$28,"PROF_MARGIN","FQ4 2016","FQ4 2016","Currency=INR","Period=FQ","BEST_FPERIOD_OVERRIDE=FQ","FILING_STATUS=OR","EQY_CONSOLIDATED=Y","FA_ADJUSTED=GAAP","Sort=A","Dates=H","DateFormat=P","Fill=—","Direction=H","UseDPDF=Y")</f>
        <v>#NAME?</v>
      </c>
      <c r="P42" t="e">
        <f ca="1">_xll.BDH($C$28,"NET_INCOME_TO_COMMON_MARGIN","FQ4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42" t="e">
        <f ca="1">_xll.BDH($C$28,"EFF_TAX_RATE","FQ4 2016","FQ4 2016","Currency=INR","Period=FQ","BEST_FPERIOD_OVERRIDE=FQ","FILING_STATUS=OR","EQY_CONSOLIDATED=Y","FA_ADJUSTED=GAAP","Sort=A","Dates=H","DateFormat=P","Fill=—","Direction=H","UseDPDF=Y")</f>
        <v>#NAME?</v>
      </c>
      <c r="R42" t="e">
        <f ca="1">_xll.BDH($C$28,"DVD_PAYOUT_RATIO","FQ4 2016","FQ4 2016","Currency=INR","Period=FQ","BEST_FPERIOD_OVERRIDE=FQ","FILING_STATUS=OR","EQY_CONSOLIDATED=Y","FA_ADJUSTED=GAAP","Sort=A","Dates=H","DateFormat=P","Fill=—","Direction=H","UseDPDF=Y")</f>
        <v>#NAME?</v>
      </c>
      <c r="S42" t="e">
        <f ca="1">_xll.BDH($C$28,"SUSTAIN_GROWTH_RT","FQ4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42" s="2" t="e">
        <f ca="1">_xll.BDH($C$28,"SALES_GROWTH","FQ4 2016","FQ4 2016","Currency=INR","Period=FQ","BEST_FPERIOD_OVERRIDE=FQ","FILING_STATUS=OR","EQY_CONSOLIDATED=Y","FA_ADJUSTED=GAAP","Sort=A","Dates=H","DateFormat=P","Fill=—","Direction=H","UseDPDF=Y")</f>
        <v>#NAME?</v>
      </c>
      <c r="U42" s="2" t="e">
        <f ca="1">_xll.BDH($C$28,"EBITDA_GROWTH","FQ4 2016","FQ4 2016","Currency=INR","Period=FQ","BEST_FPERIOD_OVERRIDE=FQ","FILING_STATUS=OR","EQY_CONSOLIDATED=Y","FA_ADJUSTED=GAAP","Sort=A","Dates=H","DateFormat=P","Fill=—","Direction=H","UseDPDF=Y")</f>
        <v>#NAME?</v>
      </c>
      <c r="V42" s="2" t="e">
        <f ca="1">_xll.BDH($C$28,"OPER_INC_GROWTH","FQ4 2016","FQ4 2016","Currency=INR","Period=FQ","BEST_FPERIOD_OVERRIDE=FQ","FILING_STATUS=OR","EQY_CONSOLIDATED=Y","FA_ADJUSTED=GAAP","Sort=A","Dates=H","DateFormat=P","Fill=—","Direction=H","UseDPDF=Y")</f>
        <v>#NAME?</v>
      </c>
      <c r="W42" s="2" t="e">
        <f ca="1">_xll.BDH($C$28,"EARN_FOR_COM_GROWTH","FQ4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42" s="2" t="e">
        <f ca="1">_xll.BDH($C$28,"DILUTED_EPS_AFT_XO_ITEMS_GROWTH","FQ4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42" s="2" t="e">
        <f ca="1">_xll.BDH($C$28,"DIVIDEND_PER_SHARE_1_YEAR_GROWTH","FQ4 2016","FQ4 2016","Currency=INR","Period=FQ","BEST_FPERIOD_OVERRIDE=FQ","FILING_STATUS=OR","EQY_CONSOLIDATED=Y","Sort=A","Dates=H","DateFormat=P","Fill=—","Direction=H","UseDPDF=Y")</f>
        <v>#NAME?</v>
      </c>
      <c r="Z42" s="2" t="e">
        <f ca="1">_xll.BDH($C$28,"ACCOUNTS_RECEIVABLE_GROWTH","FQ4 2016","FQ4 2016","Currency=INR","Period=FQ","BEST_FPERIOD_OVERRIDE=FQ","FILING_STATUS=OR","EQY_CONSOLIDATED=Y","Sort=A","Dates=H","DateFormat=P","Fill=—","Direction=H","UseDPDF=Y")</f>
        <v>#NAME?</v>
      </c>
      <c r="AA42" s="2" t="e">
        <f ca="1">_xll.BDH($C$28,"INVENTORY_GROWTH","FQ4 2016","FQ4 2016","Currency=INR","Period=FQ","BEST_FPERIOD_OVERRIDE=FQ","FILING_STATUS=OR","EQY_CONSOLIDATED=Y","Sort=A","Dates=H","DateFormat=P","Fill=—","Direction=H","UseDPDF=Y")</f>
        <v>#NAME?</v>
      </c>
      <c r="AB42" s="2" t="e">
        <f ca="1">_xll.BDH($C$28,"NET_FIXED_ASSETS_1_YEAR_GROWTH","FQ4 2016","FQ4 2016","Currency=INR","Period=FQ","BEST_FPERIOD_OVERRIDE=FQ","FILING_STATUS=OR","EQY_CONSOLIDATED=Y","Sort=A","Dates=H","DateFormat=P","Fill=—","Direction=H","UseDPDF=Y")</f>
        <v>#NAME?</v>
      </c>
      <c r="AC42" s="2" t="e">
        <f ca="1">_xll.BDH($C$28,"ASSET_GROWTH","FQ4 2016","FQ4 2016","Currency=INR","Period=FQ","BEST_FPERIOD_OVERRIDE=FQ","FILING_STATUS=OR","EQY_CONSOLIDATED=Y","Sort=A","Dates=H","DateFormat=P","Fill=—","Direction=H","UseDPDF=Y")</f>
        <v>#NAME?</v>
      </c>
      <c r="AD42" s="2" t="e">
        <f ca="1">_xll.BDH($C$28,"MODIFIED_WORK_CAP_GROWTH","FQ4 2016","FQ4 2016","Currency=INR","Period=FQ","BEST_FPERIOD_OVERRIDE=FQ","FILING_STATUS=OR","EQY_CONSOLIDATED=Y","Sort=A","Dates=H","DateFormat=P","Fill=—","Direction=H","UseDPDF=Y")</f>
        <v>#NAME?</v>
      </c>
      <c r="AE42" s="2" t="e">
        <f ca="1">_xll.BDH($C$28,"WORK_CAP_GROWTH","FQ4 2016","FQ4 2016","Currency=INR","Period=FQ","BEST_FPERIOD_OVERRIDE=FQ","FILING_STATUS=OR","EQY_CONSOLIDATED=Y","Sort=A","Dates=H","DateFormat=P","Fill=—","Direction=H","UseDPDF=Y")</f>
        <v>#NAME?</v>
      </c>
      <c r="AF42" s="2" t="e">
        <f ca="1">_xll.BDH($C$28,"ACCOUNTS_PAYABLE_GROWTH_1YR","FQ4 2016","FQ4 2016","Currency=INR","Period=FQ","BEST_FPERIOD_OVERRIDE=FQ","FILING_STATUS=OR","EQY_CONSOLIDATED=Y","Sort=A","Dates=H","DateFormat=P","Fill=—","Direction=H","UseDPDF=Y")</f>
        <v>#NAME?</v>
      </c>
      <c r="AG42" s="2" t="e">
        <f ca="1">_xll.BDH($C$28,"SHORT_TERM_DEBT_1_YEAR_GROWTH","FQ4 2016","FQ4 2016","Currency=INR","Period=FQ","BEST_FPERIOD_OVERRIDE=FQ","FILING_STATUS=OR","EQY_CONSOLIDATED=Y","Sort=A","Dates=H","DateFormat=P","Fill=—","Direction=H","UseDPDF=Y")</f>
        <v>#NAME?</v>
      </c>
      <c r="AH42" s="2" t="e">
        <f ca="1">_xll.BDH($C$28,"TOTAL_DEBT_1_YEAR_GROWTH","FQ4 2016","FQ4 2016","Currency=INR","Period=FQ","BEST_FPERIOD_OVERRIDE=FQ","FILING_STATUS=OR","EQY_CONSOLIDATED=Y","Sort=A","Dates=H","DateFormat=P","Fill=—","Direction=H","UseDPDF=Y")</f>
        <v>#NAME?</v>
      </c>
      <c r="AI42" s="2" t="e">
        <f ca="1">_xll.BDH($C$28,"TOTAL_EQUITY_1_YEAR_GROWTH","FQ4 2016","FQ4 2016","Currency=INR","Period=FQ","BEST_FPERIOD_OVERRIDE=FQ","FILING_STATUS=OR","EQY_CONSOLIDATED=Y","Sort=A","Dates=H","DateFormat=P","Fill=—","Direction=H","UseDPDF=Y")</f>
        <v>#NAME?</v>
      </c>
      <c r="AJ42" s="2" t="e">
        <f ca="1">_xll.BDH($C$28,"GROWTH_IN_CAP","FQ4 2016","FQ4 2016","Currency=INR","Period=FQ","BEST_FPERIOD_OVERRIDE=FQ","FILING_STATUS=OR","EQY_CONSOLIDATED=Y","Sort=A","Dates=H","DateFormat=P","Fill=—","Direction=H","UseDPDF=Y")</f>
        <v>#NAME?</v>
      </c>
      <c r="AK42" s="2" t="e">
        <f ca="1">_xll.BDH($C$28,"BVPS_GROWTH","FQ4 2016","FQ4 2016","Currency=INR","Period=FQ","BEST_FPERIOD_OVERRIDE=FQ","FILING_STATUS=OR","EQY_CONSOLIDATED=Y","Sort=A","Dates=H","DateFormat=P","Fill=—","Direction=H","UseDPDF=Y")</f>
        <v>#NAME?</v>
      </c>
      <c r="AL42" s="2" t="e">
        <f ca="1">_xll.BDH($C$28,"CASH_FLOW_GROWTH","FQ4 2016","FQ4 2016","Currency=INR","Period=FQ","BEST_FPERIOD_OVERRIDE=FQ","FILING_STATUS=OR","EQY_CONSOLIDATED=Y","Sort=A","Dates=H","DateFormat=P","Fill=—","Direction=H","UseDPDF=Y")</f>
        <v>#NAME?</v>
      </c>
      <c r="AM42" s="2" t="e">
        <f ca="1">_xll.BDH($C$28,"GEO_GROW_NET_SALES","FQ4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42" s="2" t="e">
        <f ca="1">_xll.BDH($C$28,"GEO_GROW_EBITDA","FQ4 2016","FQ4 2016","Currency=INR","Period=FQ","BEST_FPERIOD_OVERRIDE=FQ","FILING_STATUS=OR","EQY_CONSOLIDATED=Y","FA_ADJUSTED=GAAP","Sort=A","Dates=H","DateFormat=P","Fill=—","Direction=H","UseDPDF=Y")</f>
        <v>#NAME?</v>
      </c>
      <c r="AO42" s="2" t="e">
        <f ca="1">_xll.BDH($C$28,"GEO_GROW_OPER_INC","FQ4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42" s="2" t="e">
        <f ca="1">_xll.BDH($C$28,"NET_INCOME_TO_COMMON_5_YR_GROWTH","FQ4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42" s="2" t="e">
        <f ca="1">_xll.BDH($C$28,"5Y_GEO_GROWTH_DILUTED_EPS","FQ4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42" s="2" t="e">
        <f ca="1">_xll.BDH($C$28,"GEO_GROW_DVD_PER_SH","FQ4 2016","FQ4 2016","Currency=INR","Period=FQ","BEST_FPERIOD_OVERRIDE=FQ","FILING_STATUS=OR","EQY_CONSOLIDATED=Y","Sort=A","Dates=H","DateFormat=P","Fill=—","Direction=H","UseDPDF=Y")</f>
        <v>#NAME?</v>
      </c>
      <c r="AS42" s="2" t="e">
        <f ca="1">_xll.BDH($C$28,"ACCOUNTS_RECEIVABLE_5_YR_GROWTH","FQ4 2016","FQ4 2016","Currency=INR","Period=FQ","BEST_FPERIOD_OVERRIDE=FQ","FILING_STATUS=OR","EQY_CONSOLIDATED=Y","Sort=A","Dates=H","DateFormat=P","Fill=—","Direction=H","UseDPDF=Y")</f>
        <v>#NAME?</v>
      </c>
      <c r="AT42" s="2" t="e">
        <f ca="1">_xll.BDH($C$28,"INVENTORY_5_YEAR_GROWTH","FQ4 2016","FQ4 2016","Currency=INR","Period=FQ","BEST_FPERIOD_OVERRIDE=FQ","FILING_STATUS=OR","EQY_CONSOLIDATED=Y","Sort=A","Dates=H","DateFormat=P","Fill=—","Direction=H","UseDPDF=Y")</f>
        <v>#NAME?</v>
      </c>
      <c r="AU42" s="2" t="e">
        <f ca="1">_xll.BDH($C$28,"NET_FIXED_ASSETS_5_YEAR_GROWTH","FQ4 2016","FQ4 2016","Currency=INR","Period=FQ","BEST_FPERIOD_OVERRIDE=FQ","FILING_STATUS=OR","EQY_CONSOLIDATED=Y","Sort=A","Dates=H","DateFormat=P","Fill=—","Direction=H","UseDPDF=Y")</f>
        <v>#NAME?</v>
      </c>
      <c r="AV42" s="2" t="e">
        <f ca="1">_xll.BDH($C$28,"GEO_GROW_TOT_ASSET","FQ4 2016","FQ4 2016","Currency=INR","Period=FQ","BEST_FPERIOD_OVERRIDE=FQ","FILING_STATUS=OR","EQY_CONSOLIDATED=Y","Sort=A","Dates=H","DateFormat=P","Fill=—","Direction=H","UseDPDF=Y")</f>
        <v>#NAME?</v>
      </c>
      <c r="AW42" s="2" t="e">
        <f ca="1">_xll.BDH($C$28,"MODIFIED_WORKING_CPTL_5YR_GRWTH","FQ4 2016","FQ4 2016","Currency=INR","Period=FQ","BEST_FPERIOD_OVERRIDE=FQ","FILING_STATUS=OR","EQY_CONSOLIDATED=Y","Sort=A","Dates=H","DateFormat=P","Fill=—","Direction=H","UseDPDF=Y")</f>
        <v>#NAME?</v>
      </c>
      <c r="AX42" s="2" t="e">
        <f ca="1">_xll.BDH($C$28,"WORKING_CAPITAL_5_YEAR_GROWTH","FQ4 2016","FQ4 2016","Currency=INR","Period=FQ","BEST_FPERIOD_OVERRIDE=FQ","FILING_STATUS=OR","EQY_CONSOLIDATED=Y","Sort=A","Dates=H","DateFormat=P","Fill=—","Direction=H","UseDPDF=Y")</f>
        <v>#NAME?</v>
      </c>
      <c r="AY42" s="2" t="e">
        <f ca="1">_xll.BDH($C$28,"ACCOUNTS_PAYABLE_5_YEAR_GROWTH","FQ4 2016","FQ4 2016","Currency=INR","Period=FQ","BEST_FPERIOD_OVERRIDE=FQ","FILING_STATUS=OR","EQY_CONSOLIDATED=Y","Sort=A","Dates=H","DateFormat=P","Fill=—","Direction=H","UseDPDF=Y")</f>
        <v>#NAME?</v>
      </c>
      <c r="AZ42" s="2" t="e">
        <f ca="1">_xll.BDH($C$28,"SHORT_TERM_DEBT_5_YEAR_GROWTH","FQ4 2016","FQ4 2016","Currency=INR","Period=FQ","BEST_FPERIOD_OVERRIDE=FQ","FILING_STATUS=OR","EQY_CONSOLIDATED=Y","Sort=A","Dates=H","DateFormat=P","Fill=—","Direction=H","UseDPDF=Y")</f>
        <v>#NAME?</v>
      </c>
      <c r="BA42" s="2" t="e">
        <f ca="1">_xll.BDH($C$28,"TOTAL_DEBT_5_YEAR_GROWTH","FQ4 2016","FQ4 2016","Currency=INR","Period=FQ","BEST_FPERIOD_OVERRIDE=FQ","FILING_STATUS=OR","EQY_CONSOLIDATED=Y","Sort=A","Dates=H","DateFormat=P","Fill=—","Direction=H","UseDPDF=Y")</f>
        <v>#NAME?</v>
      </c>
      <c r="BB42" s="2" t="e">
        <f ca="1">_xll.BDH($C$28,"GEO_GROW_TOT_SHRHLDR_EQY","FQ4 2016","FQ4 2016","Currency=INR","Period=FQ","BEST_FPERIOD_OVERRIDE=FQ","FILING_STATUS=OR","EQY_CONSOLIDATED=Y","Sort=A","Dates=H","DateFormat=P","Fill=—","Direction=H","UseDPDF=Y")</f>
        <v>#NAME?</v>
      </c>
      <c r="BC42" s="2" t="e">
        <f ca="1">_xll.BDH($C$28,"TOTAL_CAPITAL_5_YEAR_GROWTH","FQ4 2016","FQ4 2016","Currency=INR","Period=FQ","BEST_FPERIOD_OVERRIDE=FQ","FILING_STATUS=OR","EQY_CONSOLIDATED=Y","Sort=A","Dates=H","DateFormat=P","Fill=—","Direction=H","UseDPDF=Y")</f>
        <v>#NAME?</v>
      </c>
      <c r="BD42" s="2" t="e">
        <f ca="1">_xll.BDH($C$28,"GEO_GROW_BOOK_VAL","FQ4 2016","FQ4 2016","Currency=INR","Period=FQ","BEST_FPERIOD_OVERRIDE=FQ","FILING_STATUS=OR","EQY_CONSOLIDATED=Y","Sort=A","Dates=H","DateFormat=P","Fill=—","Direction=H","UseDPDF=Y")</f>
        <v>#NAME?</v>
      </c>
      <c r="BE42" s="2" t="e">
        <f ca="1">_xll.BDH($C$28,"GEO_GROW_CASH_OPER_ACT","FQ4 2016","FQ4 2016","Currency=INR","Period=FQ","BEST_FPERIOD_OVERRIDE=FQ","FILING_STATUS=OR","EQY_CONSOLIDATED=Y","Sort=A","Dates=H","DateFormat=P","Fill=—","Direction=H","UseDPDF=Y")</f>
        <v>#NAME?</v>
      </c>
      <c r="BF42" s="2" t="e">
        <f ca="1">_xll.BDH($C$28,"REVENUE_SEQUENTIAL_GROWTH","FQ4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42" s="2" t="e">
        <f ca="1">_xll.BDH($C$28,"EBITDA_SEQUENTIAL_GROWTH","FQ4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42" s="2" t="e">
        <f ca="1">_xll.BDH($C$28,"OPERATING_INCOME_SEQ_GROWTH","FQ4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42" s="2" t="e">
        <f ca="1">_xll.BDH($C$28,"NET_INCOME_TO_COMMON_SEQ_GROWTH","FQ4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42" s="2" t="e">
        <f ca="1">_xll.BDH($C$28,"EPS_DILUTED_SEQUENTIAL_GROWTH","FQ4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42" s="2" t="e">
        <f ca="1">_xll.BDH($C$28,"DPS_SEQUENTIAL_GROWTH","FQ4 2016","FQ4 2016","Currency=INR","Period=FQ","BEST_FPERIOD_OVERRIDE=FQ","FILING_STATUS=OR","EQY_CONSOLIDATED=Y","Sort=A","Dates=H","DateFormat=P","Fill=—","Direction=H","UseDPDF=Y")</f>
        <v>#NAME?</v>
      </c>
      <c r="BL42" s="2" t="e">
        <f ca="1">_xll.BDH($C$28,"ACCOUNTS_RECEIVABLE_SEQ_GROWTH","FQ4 2016","FQ4 2016","Currency=INR","Period=FQ","BEST_FPERIOD_OVERRIDE=FQ","FILING_STATUS=OR","EQY_CONSOLIDATED=Y","Sort=A","Dates=H","DateFormat=P","Fill=—","Direction=H","UseDPDF=Y")</f>
        <v>#NAME?</v>
      </c>
      <c r="BM42" s="2" t="e">
        <f ca="1">_xll.BDH($C$28,"INVENTORY_SEQUENTIAL_GROWTH","FQ4 2016","FQ4 2016","Currency=INR","Period=FQ","BEST_FPERIOD_OVERRIDE=FQ","FILING_STATUS=OR","EQY_CONSOLIDATED=Y","Sort=A","Dates=H","DateFormat=P","Fill=—","Direction=H","UseDPDF=Y")</f>
        <v>#NAME?</v>
      </c>
      <c r="BN42" s="2" t="e">
        <f ca="1">_xll.BDH($C$28,"FIXED_ASSETS_SEQUENTIAL_GROWTH","FQ4 2016","FQ4 2016","Currency=INR","Period=FQ","BEST_FPERIOD_OVERRIDE=FQ","FILING_STATUS=OR","EQY_CONSOLIDATED=Y","Sort=A","Dates=H","DateFormat=P","Fill=—","Direction=H","UseDPDF=Y")</f>
        <v>#NAME?</v>
      </c>
      <c r="BO42" s="2" t="e">
        <f ca="1">_xll.BDH($C$28,"TOTAL_ASSETS_SEQUENTIAL_GROWTH","FQ4 2016","FQ4 2016","Currency=INR","Period=FQ","BEST_FPERIOD_OVERRIDE=FQ","FILING_STATUS=OR","EQY_CONSOLIDATED=Y","Sort=A","Dates=H","DateFormat=P","Fill=—","Direction=H","UseDPDF=Y")</f>
        <v>#NAME?</v>
      </c>
      <c r="BP42" s="2" t="e">
        <f ca="1">_xll.BDH($C$28,"MODIFIED_WORKING_CPTL_SEQ_GRWTH","FQ4 2016","FQ4 2016","Currency=INR","Period=FQ","BEST_FPERIOD_OVERRIDE=FQ","FILING_STATUS=OR","EQY_CONSOLIDATED=Y","Sort=A","Dates=H","DateFormat=P","Fill=—","Direction=H","UseDPDF=Y")</f>
        <v>#NAME?</v>
      </c>
      <c r="BQ42" s="2" t="e">
        <f ca="1">_xll.BDH($C$28,"WORKING_CAPITAL_SEQ_GROWTH","FQ4 2016","FQ4 2016","Currency=INR","Period=FQ","BEST_FPERIOD_OVERRIDE=FQ","FILING_STATUS=OR","EQY_CONSOLIDATED=Y","Sort=A","Dates=H","DateFormat=P","Fill=—","Direction=H","UseDPDF=Y")</f>
        <v>#NAME?</v>
      </c>
      <c r="BR42" s="2" t="e">
        <f ca="1">_xll.BDH($C$28,"ACCOUNTS_PAYABLE_SEQ_GROWTH","FQ4 2016","FQ4 2016","Currency=INR","Period=FQ","BEST_FPERIOD_OVERRIDE=FQ","FILING_STATUS=OR","EQY_CONSOLIDATED=Y","Sort=A","Dates=H","DateFormat=P","Fill=—","Direction=H","UseDPDF=Y")</f>
        <v>#NAME?</v>
      </c>
      <c r="BS42" s="2" t="e">
        <f ca="1">_xll.BDH($C$28,"ST_DEBT_SEQUENTIAL_GROWTH","FQ4 2016","FQ4 2016","Currency=INR","Period=FQ","BEST_FPERIOD_OVERRIDE=FQ","FILING_STATUS=OR","EQY_CONSOLIDATED=Y","Sort=A","Dates=H","DateFormat=P","Fill=—","Direction=H","UseDPDF=Y")</f>
        <v>#NAME?</v>
      </c>
      <c r="BT42" s="2" t="e">
        <f ca="1">_xll.BDH($C$28,"TOTAL_DEBT_SEQUENTIAL_GROWTH","FQ4 2016","FQ4 2016","Currency=INR","Period=FQ","BEST_FPERIOD_OVERRIDE=FQ","FILING_STATUS=OR","EQY_CONSOLIDATED=Y","Sort=A","Dates=H","DateFormat=P","Fill=—","Direction=H","UseDPDF=Y")</f>
        <v>#NAME?</v>
      </c>
      <c r="BU42" s="2" t="e">
        <f ca="1">_xll.BDH($C$28,"TOTAL_EQUITY_SEQUENTIAL_GROWTH","FQ4 2016","FQ4 2016","Currency=INR","Period=FQ","BEST_FPERIOD_OVERRIDE=FQ","FILING_STATUS=OR","EQY_CONSOLIDATED=Y","Sort=A","Dates=H","DateFormat=P","Fill=—","Direction=H","UseDPDF=Y")</f>
        <v>#NAME?</v>
      </c>
      <c r="BV42" s="2" t="e">
        <f ca="1">_xll.BDH($C$28,"TOTAL_CAPITAL_SEQUENTIAL_GROWTH","FQ4 2016","FQ4 2016","Currency=INR","Period=FQ","BEST_FPERIOD_OVERRIDE=FQ","FILING_STATUS=OR","EQY_CONSOLIDATED=Y","Sort=A","Dates=H","DateFormat=P","Fill=—","Direction=H","UseDPDF=Y")</f>
        <v>#NAME?</v>
      </c>
      <c r="BW42" s="2" t="e">
        <f ca="1">_xll.BDH($C$28,"BPS_SEQUENTIAL_GROWTH","FQ4 2016","FQ4 2016","Currency=INR","Period=FQ","BEST_FPERIOD_OVERRIDE=FQ","FILING_STATUS=OR","EQY_CONSOLIDATED=Y","Sort=A","Dates=H","DateFormat=P","Fill=—","Direction=H","UseDPDF=Y")</f>
        <v>#NAME?</v>
      </c>
      <c r="BX42" s="2" t="e">
        <f ca="1">_xll.BDH($C$28,"CFO_SEQUENTIAL_GROWTH","FQ4 2016","FQ4 2016","Currency=INR","Period=FQ","BEST_FPERIOD_OVERRIDE=FQ","FILING_STATUS=OR","EQY_CONSOLIDATED=Y","Sort=A","Dates=H","DateFormat=P","Fill=—","Direction=H","UseDPDF=Y")</f>
        <v>#NAME?</v>
      </c>
      <c r="BY42" s="3" t="e">
        <f ca="1">_xll.BDH($C$28,"SHORT_AND_LONG_TERM_DEBT","FQ4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42" s="3" t="e">
        <f ca="1">_xll.BDH($C$28,"BS_ST_BORROW","FQ4 2016","FQ4 2016","Currency=INR","Period=FQ","BEST_FPERIOD_OVERRIDE=FQ","FILING_STATUS=OR","EQY_CONSOLIDATED=Y","SCALING_FORMAT=MLN","Sort=A","Dates=H","DateFormat=P","Fill=—","Direction=H","UseDPDF=Y")</f>
        <v>#NAME?</v>
      </c>
      <c r="CA42" s="3" t="e">
        <f ca="1">_xll.BDH($C$28,"BS_LT_BORROW","FQ4 2016","FQ4 2016","Currency=INR","Period=FQ","BEST_FPERIOD_OVERRIDE=FQ","FILING_STATUS=OR","EQY_CONSOLIDATED=Y","SCALING_FORMAT=MLN","Sort=A","Dates=H","DateFormat=P","Fill=—","Direction=H","UseDPDF=Y")</f>
        <v>#NAME?</v>
      </c>
      <c r="CB42" s="2" t="e">
        <f ca="1">_xll.BDH($C$28,"TOT_DEBT_TO_EBITDA","FQ4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42" s="2" t="e">
        <f ca="1">_xll.BDH($C$28,"NET_DEBT_TO_EBITDA","FQ4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42" s="2" t="e">
        <f ca="1">_xll.BDH($C$28,"TOTAL_DEBT_TO_EBIT","FQ4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42" s="2" t="e">
        <f ca="1">_xll.BDH($C$28,"NET_DEBT_TO_EBIT","FQ4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42" s="2" t="e">
        <f ca="1">_xll.BDH($C$28,"EBITDA_TO_INTEREST_EXPN","FQ4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42" s="2" t="e">
        <f ca="1">_xll.BDH($C$28,"COM_EQY_TO_TOT_ASSET","FQ4 2016","FQ4 2016","Currency=INR","Period=FQ","BEST_FPERIOD_OVERRIDE=FQ","FILING_STATUS=OR","EQY_CONSOLIDATED=Y","Sort=A","Dates=H","DateFormat=P","Fill=—","Direction=H","UseDPDF=Y")</f>
        <v>#NAME?</v>
      </c>
      <c r="CH42" s="2" t="e">
        <f ca="1">_xll.BDH($C$28,"LT_DEBT_TO_TOT_EQY","FQ4 2016","FQ4 2016","Currency=INR","Period=FQ","BEST_FPERIOD_OVERRIDE=FQ","FILING_STATUS=OR","EQY_CONSOLIDATED=Y","Sort=A","Dates=H","DateFormat=P","Fill=—","Direction=H","UseDPDF=Y")</f>
        <v>#NAME?</v>
      </c>
      <c r="CI42" s="2" t="e">
        <f ca="1">_xll.BDH($C$28,"LT_DEBT_TO_TOT_CAP","FQ4 2016","FQ4 2016","Currency=INR","Period=FQ","BEST_FPERIOD_OVERRIDE=FQ","FILING_STATUS=OR","EQY_CONSOLIDATED=Y","Sort=A","Dates=H","DateFormat=P","Fill=—","Direction=H","UseDPDF=Y")</f>
        <v>#NAME?</v>
      </c>
      <c r="CJ42" s="2" t="e">
        <f ca="1">_xll.BDH($C$28,"LT_DEBT_TO_TOT_ASSET","FQ4 2016","FQ4 2016","Currency=INR","Period=FQ","BEST_FPERIOD_OVERRIDE=FQ","FILING_STATUS=OR","EQY_CONSOLIDATED=Y","Sort=A","Dates=H","DateFormat=P","Fill=—","Direction=H","UseDPDF=Y")</f>
        <v>#NAME?</v>
      </c>
      <c r="CK42" s="2" t="e">
        <f ca="1">_xll.BDH($C$28,"TOT_DEBT_TO_TOT_EQY","FQ4 2016","FQ4 2016","Currency=INR","Period=FQ","BEST_FPERIOD_OVERRIDE=FQ","FILING_STATUS=OR","EQY_CONSOLIDATED=Y","Sort=A","Dates=H","DateFormat=P","Fill=—","Direction=H","UseDPDF=Y")</f>
        <v>#NAME?</v>
      </c>
      <c r="CL42" s="2" t="e">
        <f ca="1">_xll.BDH($C$28,"TOT_DEBT_TO_TOT_CAP","FQ4 2016","FQ4 2016","Currency=INR","Period=FQ","BEST_FPERIOD_OVERRIDE=FQ","FILING_STATUS=OR","EQY_CONSOLIDATED=Y","Sort=A","Dates=H","DateFormat=P","Fill=—","Direction=H","UseDPDF=Y")</f>
        <v>#NAME?</v>
      </c>
      <c r="CM42" s="2" t="e">
        <f ca="1">_xll.BDH($C$28,"TOT_DEBT_TO_TOT_ASSET","FQ4 2016","FQ4 2016","Currency=INR","Period=FQ","BEST_FPERIOD_OVERRIDE=FQ","FILING_STATUS=OR","EQY_CONSOLIDATED=Y","Sort=A","Dates=H","DateFormat=P","Fill=—","Direction=H","UseDPDF=Y")</f>
        <v>#NAME?</v>
      </c>
      <c r="CN42" s="2" t="e">
        <f ca="1">_xll.BDH($C$28,"NET_DEBT_TO_SHRHLDR_EQTY","FQ4 2016","FQ4 2016","Currency=INR","Period=FQ","BEST_FPERIOD_OVERRIDE=FQ","FILING_STATUS=OR","EQY_CONSOLIDATED=Y","Sort=A","Dates=H","DateFormat=P","Fill=—","Direction=H","UseDPDF=Y")</f>
        <v>#NAME?</v>
      </c>
      <c r="CO42" s="2" t="e">
        <f ca="1">_xll.BDH($C$28,"NET_DEBT_%_CAPITAL","FQ4 2016","FQ4 2016","Currency=INR","Period=FQ","BEST_FPERIOD_OVERRIDE=FQ","FILING_STATUS=OR","EQY_CONSOLIDATED=Y","Sort=A","Dates=H","DateFormat=P","Fill=—","Direction=H","UseDPDF=Y")</f>
        <v>#NAME?</v>
      </c>
      <c r="CP42" s="3" t="e">
        <f ca="1">_xll.BDH($C$28,"EBITDA","FQ4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42" s="3" t="e">
        <f ca="1">_xll.BDH($C$28,"EBITDA_AFTER_CAPEX","FQ4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42" s="3" t="e">
        <f ca="1">_xll.BDH($C$28,"IS_OPER_INC","FQ4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42" s="2" t="e">
        <f ca="1">_xll.BDH($C$28,"CASH_RATIO","FQ4 2016","FQ4 2016","Currency=INR","Period=FQ","BEST_FPERIOD_OVERRIDE=FQ","FILING_STATUS=OR","EQY_CONSOLIDATED=Y","Sort=A","Dates=H","DateFormat=P","Fill=—","Direction=H","UseDPDF=Y")</f>
        <v>#NAME?</v>
      </c>
      <c r="CT42" s="2" t="e">
        <f ca="1">_xll.BDH($C$28,"CUR_RATIO","FQ4 2016","FQ4 2016","Currency=INR","Period=FQ","BEST_FPERIOD_OVERRIDE=FQ","FILING_STATUS=OR","EQY_CONSOLIDATED=Y","Sort=A","Dates=H","DateFormat=P","Fill=—","Direction=H","UseDPDF=Y")</f>
        <v>#NAME?</v>
      </c>
      <c r="CU42" s="2" t="e">
        <f ca="1">_xll.BDH($C$28,"QUICK_RATIO","FQ4 2016","FQ4 2016","Currency=INR","Period=FQ","BEST_FPERIOD_OVERRIDE=FQ","FILING_STATUS=OR","EQY_CONSOLIDATED=Y","Sort=A","Dates=H","DateFormat=P","Fill=—","Direction=H","UseDPDF=Y")</f>
        <v>#NAME?</v>
      </c>
      <c r="CV42" s="2" t="e">
        <f ca="1">_xll.BDH($C$28,"ALTMAN_Z_SCORE","FQ4 2016","FQ4 2016","Currency=INR","Period=FQ","BEST_FPERIOD_OVERRIDE=FQ","FILING_STATUS=OR","EQY_CONSOLIDATED=Y","Sort=A","Dates=H","DateFormat=P","Fill=—","Direction=H","UseDPDF=Y")</f>
        <v>#NAME?</v>
      </c>
      <c r="CW42" s="4" t="e">
        <f ca="1">_xll.BDH($C$28,"ACCT_RCV_TURN","FQ4 2016","FQ4 2016","Currency=INR","Period=FQ","BEST_FPERIOD_OVERRIDE=FQ","FILING_STATUS=OR","EQY_CONSOLIDATED=Y","FA_ADJUSTED=GAAP","Sort=A","Dates=H","DateFormat=P","Fill=—","Direction=H","UseDPDF=Y")</f>
        <v>#NAME?</v>
      </c>
      <c r="CX42" s="2" t="e">
        <f ca="1">_xll.BDH($C$28,"ACCT_RCV_DAYS","FQ4 2016","FQ4 2016","Currency=INR","Period=FQ","BEST_FPERIOD_OVERRIDE=FQ","FILING_STATUS=OR","EQY_CONSOLIDATED=Y","FA_ADJUSTED=GAAP","Sort=A","Dates=H","DateFormat=P","Fill=—","Direction=H","UseDPDF=Y")</f>
        <v>#NAME?</v>
      </c>
      <c r="CY42" s="4" t="e">
        <f ca="1">_xll.BDH($C$28,"INVENT_TURN","FQ4 2016","FQ4 2016","Currency=INR","Period=FQ","BEST_FPERIOD_OVERRIDE=FQ","FILING_STATUS=OR","EQY_CONSOLIDATED=Y","FA_ADJUSTED=GAAP","Sort=A","Dates=H","DateFormat=P","Fill=—","Direction=H","UseDPDF=Y")</f>
        <v>#NAME?</v>
      </c>
      <c r="CZ42" s="2" t="e">
        <f ca="1">_xll.BDH($C$28,"INVENT_DAYS","FQ4 2016","FQ4 2016","Currency=INR","Period=FQ","BEST_FPERIOD_OVERRIDE=FQ","FILING_STATUS=OR","EQY_CONSOLIDATED=Y","FA_ADJUSTED=GAAP","Sort=A","Dates=H","DateFormat=P","Fill=—","Direction=H","UseDPDF=Y")</f>
        <v>#NAME?</v>
      </c>
      <c r="DA42" s="4" t="e">
        <f ca="1">_xll.BDH($C$28,"ACCOUNTS_PAYABLE_TURNOVER","FQ4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42" s="2" t="e">
        <f ca="1">_xll.BDH($C$28,"ACCOUNTS_PAYABLE_TURNOVER_DAYS","FQ4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42" s="4" t="e">
        <f ca="1">_xll.BDH($C$28,"CASH_CONVERSION_CYCLE","FQ4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42" s="4" t="e">
        <f ca="1">_xll.BDH($C$28,"INV_TO_CASH_DAYS","FQ4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42" s="5" t="e">
        <f ca="1">_xll.BDH($C$28,"BS_INVENTORIES","FQ4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42" s="3" t="e">
        <f ca="1">_xll.BDH($C$28,"INVTRY_RAW_MATERIALS","FQ4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42" s="3" t="e">
        <f ca="1">_xll.BDH($C$28,"INVTRY_IN_PROGRESS","FQ4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42" s="3" t="e">
        <f ca="1">_xll.BDH($C$28,"INVTRY_FINISHED_GOODS","FQ4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42" s="3" t="e">
        <f ca="1">_xll.BDH($C$28,"BS_OTHER_INV","FQ4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43" spans="1:113" x14ac:dyDescent="0.3">
      <c r="A43" s="6"/>
      <c r="B43" s="6"/>
      <c r="C43" s="6"/>
      <c r="D43" s="6" t="s">
        <v>84</v>
      </c>
      <c r="E43" t="s">
        <v>77</v>
      </c>
      <c r="F43" t="e">
        <f ca="1">_xll.BDH($C$28,"RETURN_COM_EQY","FY 2017","FY 2017","Currency=INR","Period=FY","BEST_FPERIOD_OVERRIDE=FY","FILING_STATUS=OR","EQY_CONSOLIDATED=Y","FA_ADJUSTED=GAAP","Sort=A","Dates=H","DateFormat=P","Fill=—","Direction=H","UseDPDF=Y")</f>
        <v>#NAME?</v>
      </c>
      <c r="G43" t="e">
        <f ca="1">_xll.BDH($C$28,"RETURN_ON_ASSET","FY 2017","FY 2017","Currency=INR","Period=FY","BEST_FPERIOD_OVERRIDE=FY","FILING_STATUS=OR","EQY_CONSOLIDATED=Y","FA_ADJUSTED=GAAP","Sort=A","Dates=H","DateFormat=P","Fill=—","Direction=H","UseDPDF=Y")</f>
        <v>#NAME?</v>
      </c>
      <c r="H43" t="e">
        <f ca="1">_xll.BDH($C$28,"RETURN_ON_CAP","FY 2017","FY 2017","Currency=INR","Period=FY","BEST_FPERIOD_OVERRIDE=FY","FILING_STATUS=OR","EQY_CONSOLIDATED=Y","FA_ADJUSTED=GAAP","Sort=A","Dates=H","DateFormat=P","Fill=—","Direction=H","UseDPDF=Y")</f>
        <v>#NAME?</v>
      </c>
      <c r="I43" t="e">
        <f ca="1">_xll.BDH($C$28,"RETURN_ON_INV_CAPITAL","FY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43" t="e">
        <f ca="1">_xll.BDH($C$28,"EBITDA_TO_REVENUE","FY 2017","FY 2017","Currency=INR","Period=FY","BEST_FPERIOD_OVERRIDE=FY","FILING_STATUS=OR","EQY_CONSOLIDATED=Y","FA_ADJUSTED=GAAP","Sort=A","Dates=H","DateFormat=P","Fill=—","Direction=H","UseDPDF=Y")</f>
        <v>#NAME?</v>
      </c>
      <c r="K43" t="e">
        <f ca="1">_xll.BDH($C$28,"OPER_MARGIN","FY 2017","FY 2017","Currency=INR","Period=FY","BEST_FPERIOD_OVERRIDE=FY","FILING_STATUS=OR","EQY_CONSOLIDATED=Y","FA_ADJUSTED=GAAP","Sort=A","Dates=H","DateFormat=P","Fill=—","Direction=H","UseDPDF=Y")</f>
        <v>#NAME?</v>
      </c>
      <c r="L43" t="e">
        <f ca="1">_xll.BDH($C$28,"INCREMENTAL_OPERATING_MARGIN","FY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43" t="e">
        <f ca="1">_xll.BDH($C$28,"PRETAX_INC_TO_NET_SALES","FY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43" t="e">
        <f ca="1">_xll.BDH($C$28,"INC_BEF_XO_ITEMS_TO_NET_SALES","FY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43" t="e">
        <f ca="1">_xll.BDH($C$28,"PROF_MARGIN","FY 2017","FY 2017","Currency=INR","Period=FY","BEST_FPERIOD_OVERRIDE=FY","FILING_STATUS=OR","EQY_CONSOLIDATED=Y","FA_ADJUSTED=GAAP","Sort=A","Dates=H","DateFormat=P","Fill=—","Direction=H","UseDPDF=Y")</f>
        <v>#NAME?</v>
      </c>
      <c r="P43" t="e">
        <f ca="1">_xll.BDH($C$28,"NET_INCOME_TO_COMMON_MARGIN","FY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43" t="e">
        <f ca="1">_xll.BDH($C$28,"EFF_TAX_RATE","FY 2017","FY 2017","Currency=INR","Period=FY","BEST_FPERIOD_OVERRIDE=FY","FILING_STATUS=OR","EQY_CONSOLIDATED=Y","FA_ADJUSTED=GAAP","Sort=A","Dates=H","DateFormat=P","Fill=—","Direction=H","UseDPDF=Y")</f>
        <v>#NAME?</v>
      </c>
      <c r="R43" t="e">
        <f ca="1">_xll.BDH($C$28,"DVD_PAYOUT_RATIO","FY 2017","FY 2017","Currency=INR","Period=FY","BEST_FPERIOD_OVERRIDE=FY","FILING_STATUS=OR","EQY_CONSOLIDATED=Y","FA_ADJUSTED=GAAP","Sort=A","Dates=H","DateFormat=P","Fill=—","Direction=H","UseDPDF=Y")</f>
        <v>#NAME?</v>
      </c>
      <c r="S43" t="e">
        <f ca="1">_xll.BDH($C$28,"SUSTAIN_GROWTH_RT","FY 2017","FY 2017","Currency=INR","Period=FY","BEST_FPERIOD_OVERRIDE=FY","FILING_STATUS=OR","EQY_CONSOLIDATED=Y","FA_ADJUSTED=GAAP","Sort=A","Dates=H","DateFormat=P","Fill=—","Direction=H","UseDPDF=Y")</f>
        <v>#NAME?</v>
      </c>
      <c r="T43" s="2" t="e">
        <f ca="1">_xll.BDH($C$28,"SALES_GROWTH","FY 2017","FY 2017","Currency=INR","Period=FY","BEST_FPERIOD_OVERRIDE=FY","FILING_STATUS=OR","EQY_CONSOLIDATED=Y","FA_ADJUSTED=GAAP","Sort=A","Dates=H","DateFormat=P","Fill=—","Direction=H","UseDPDF=Y")</f>
        <v>#NAME?</v>
      </c>
      <c r="U43" s="2" t="e">
        <f ca="1">_xll.BDH($C$28,"EBITDA_GROWTH","FY 2017","FY 2017","Currency=INR","Period=FY","BEST_FPERIOD_OVERRIDE=FY","FILING_STATUS=OR","EQY_CONSOLIDATED=Y","FA_ADJUSTED=GAAP","Sort=A","Dates=H","DateFormat=P","Fill=—","Direction=H","UseDPDF=Y")</f>
        <v>#NAME?</v>
      </c>
      <c r="V43" s="2" t="e">
        <f ca="1">_xll.BDH($C$28,"OPER_INC_GROWTH","FY 2017","FY 2017","Currency=INR","Period=FY","BEST_FPERIOD_OVERRIDE=FY","FILING_STATUS=OR","EQY_CONSOLIDATED=Y","FA_ADJUSTED=GAAP","Sort=A","Dates=H","DateFormat=P","Fill=—","Direction=H","UseDPDF=Y")</f>
        <v>#NAME?</v>
      </c>
      <c r="W43" s="2" t="e">
        <f ca="1">_xll.BDH($C$28,"EARN_FOR_COM_GROWTH","FY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43" s="2" t="e">
        <f ca="1">_xll.BDH($C$28,"DILUTED_EPS_AFT_XO_ITEMS_GROWTH","FY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43" s="2" t="e">
        <f ca="1">_xll.BDH($C$28,"DIVIDEND_PER_SHARE_1_YEAR_GROWTH","FY 2017","FY 2017","Currency=INR","Period=FY","BEST_FPERIOD_OVERRIDE=FY","FILING_STATUS=OR","EQY_CONSOLIDATED=Y","Sort=A","Dates=H","DateFormat=P","Fill=—","Direction=H","UseDPDF=Y")</f>
        <v>#NAME?</v>
      </c>
      <c r="Z43" s="2" t="e">
        <f ca="1">_xll.BDH($C$28,"ACCOUNTS_RECEIVABLE_GROWTH","FY 2017","FY 2017","Currency=INR","Period=FY","BEST_FPERIOD_OVERRIDE=FY","FILING_STATUS=OR","EQY_CONSOLIDATED=Y","Sort=A","Dates=H","DateFormat=P","Fill=—","Direction=H","UseDPDF=Y")</f>
        <v>#NAME?</v>
      </c>
      <c r="AA43" s="2" t="e">
        <f ca="1">_xll.BDH($C$28,"INVENTORY_GROWTH","FY 2017","FY 2017","Currency=INR","Period=FY","BEST_FPERIOD_OVERRIDE=FY","FILING_STATUS=OR","EQY_CONSOLIDATED=Y","Sort=A","Dates=H","DateFormat=P","Fill=—","Direction=H","UseDPDF=Y")</f>
        <v>#NAME?</v>
      </c>
      <c r="AB43" s="2" t="e">
        <f ca="1">_xll.BDH($C$28,"NET_FIXED_ASSETS_1_YEAR_GROWTH","FY 2017","FY 2017","Currency=INR","Period=FY","BEST_FPERIOD_OVERRIDE=FY","FILING_STATUS=OR","EQY_CONSOLIDATED=Y","Sort=A","Dates=H","DateFormat=P","Fill=—","Direction=H","UseDPDF=Y")</f>
        <v>#NAME?</v>
      </c>
      <c r="AC43" s="2" t="e">
        <f ca="1">_xll.BDH($C$28,"ASSET_GROWTH","FY 2017","FY 2017","Currency=INR","Period=FY","BEST_FPERIOD_OVERRIDE=FY","FILING_STATUS=OR","EQY_CONSOLIDATED=Y","Sort=A","Dates=H","DateFormat=P","Fill=—","Direction=H","UseDPDF=Y")</f>
        <v>#NAME?</v>
      </c>
      <c r="AD43" s="2" t="e">
        <f ca="1">_xll.BDH($C$28,"MODIFIED_WORK_CAP_GROWTH","FY 2017","FY 2017","Currency=INR","Period=FY","BEST_FPERIOD_OVERRIDE=FY","FILING_STATUS=OR","EQY_CONSOLIDATED=Y","Sort=A","Dates=H","DateFormat=P","Fill=—","Direction=H","UseDPDF=Y")</f>
        <v>#NAME?</v>
      </c>
      <c r="AE43" s="2" t="e">
        <f ca="1">_xll.BDH($C$28,"WORK_CAP_GROWTH","FY 2017","FY 2017","Currency=INR","Period=FY","BEST_FPERIOD_OVERRIDE=FY","FILING_STATUS=OR","EQY_CONSOLIDATED=Y","Sort=A","Dates=H","DateFormat=P","Fill=—","Direction=H","UseDPDF=Y")</f>
        <v>#NAME?</v>
      </c>
      <c r="AF43" s="2" t="e">
        <f ca="1">_xll.BDH($C$28,"ACCOUNTS_PAYABLE_GROWTH_1YR","FY 2017","FY 2017","Currency=INR","Period=FY","BEST_FPERIOD_OVERRIDE=FY","FILING_STATUS=OR","EQY_CONSOLIDATED=Y","Sort=A","Dates=H","DateFormat=P","Fill=—","Direction=H","UseDPDF=Y")</f>
        <v>#NAME?</v>
      </c>
      <c r="AG43" s="2" t="e">
        <f ca="1">_xll.BDH($C$28,"SHORT_TERM_DEBT_1_YEAR_GROWTH","FY 2017","FY 2017","Currency=INR","Period=FY","BEST_FPERIOD_OVERRIDE=FY","FILING_STATUS=OR","EQY_CONSOLIDATED=Y","Sort=A","Dates=H","DateFormat=P","Fill=—","Direction=H","UseDPDF=Y")</f>
        <v>#NAME?</v>
      </c>
      <c r="AH43" s="2" t="e">
        <f ca="1">_xll.BDH($C$28,"TOTAL_DEBT_1_YEAR_GROWTH","FY 2017","FY 2017","Currency=INR","Period=FY","BEST_FPERIOD_OVERRIDE=FY","FILING_STATUS=OR","EQY_CONSOLIDATED=Y","Sort=A","Dates=H","DateFormat=P","Fill=—","Direction=H","UseDPDF=Y")</f>
        <v>#NAME?</v>
      </c>
      <c r="AI43" s="2" t="e">
        <f ca="1">_xll.BDH($C$28,"TOTAL_EQUITY_1_YEAR_GROWTH","FY 2017","FY 2017","Currency=INR","Period=FY","BEST_FPERIOD_OVERRIDE=FY","FILING_STATUS=OR","EQY_CONSOLIDATED=Y","Sort=A","Dates=H","DateFormat=P","Fill=—","Direction=H","UseDPDF=Y")</f>
        <v>#NAME?</v>
      </c>
      <c r="AJ43" s="2" t="e">
        <f ca="1">_xll.BDH($C$28,"GROWTH_IN_CAP","FY 2017","FY 2017","Currency=INR","Period=FY","BEST_FPERIOD_OVERRIDE=FY","FILING_STATUS=OR","EQY_CONSOLIDATED=Y","Sort=A","Dates=H","DateFormat=P","Fill=—","Direction=H","UseDPDF=Y")</f>
        <v>#NAME?</v>
      </c>
      <c r="AK43" s="2" t="e">
        <f ca="1">_xll.BDH($C$28,"BVPS_GROWTH","FY 2017","FY 2017","Currency=INR","Period=FY","BEST_FPERIOD_OVERRIDE=FY","FILING_STATUS=OR","EQY_CONSOLIDATED=Y","Sort=A","Dates=H","DateFormat=P","Fill=—","Direction=H","UseDPDF=Y")</f>
        <v>#NAME?</v>
      </c>
      <c r="AL43" s="2" t="e">
        <f ca="1">_xll.BDH($C$28,"CASH_FLOW_GROWTH","FY 2017","FY 2017","Currency=INR","Period=FY","BEST_FPERIOD_OVERRIDE=FY","FILING_STATUS=OR","EQY_CONSOLIDATED=Y","Sort=A","Dates=H","DateFormat=P","Fill=—","Direction=H","UseDPDF=Y")</f>
        <v>#NAME?</v>
      </c>
      <c r="AM43" s="2" t="e">
        <f ca="1">_xll.BDH($C$28,"GEO_GROW_NET_SALES","FY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43" s="2" t="e">
        <f ca="1">_xll.BDH($C$28,"GEO_GROW_EBITDA","FY 2017","FY 2017","Currency=INR","Period=FY","BEST_FPERIOD_OVERRIDE=FY","FILING_STATUS=OR","EQY_CONSOLIDATED=Y","FA_ADJUSTED=GAAP","Sort=A","Dates=H","DateFormat=P","Fill=—","Direction=H","UseDPDF=Y")</f>
        <v>#NAME?</v>
      </c>
      <c r="AO43" s="2" t="e">
        <f ca="1">_xll.BDH($C$28,"GEO_GROW_OPER_INC","FY 2017","FY 2017","Currency=INR","Period=FY","BEST_FPERIOD_OVERRIDE=FY","FILING_STATUS=OR","EQY_CONSOLIDATED=Y","FA_ADJUSTED=GAAP","Sort=A","Dates=H","DateFormat=P","Fill=—","Direction=H","UseDPDF=Y")</f>
        <v>#NAME?</v>
      </c>
      <c r="AP43" s="2" t="e">
        <f ca="1">_xll.BDH($C$28,"NET_INCOME_TO_COMMON_5_YR_GROWTH","FY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43" s="2" t="e">
        <f ca="1">_xll.BDH($C$28,"5Y_GEO_GROWTH_DILUTED_EPS","FY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43" s="2" t="e">
        <f ca="1">_xll.BDH($C$28,"GEO_GROW_DVD_PER_SH","FY 2017","FY 2017","Currency=INR","Period=FY","BEST_FPERIOD_OVERRIDE=FY","FILING_STATUS=OR","EQY_CONSOLIDATED=Y","Sort=A","Dates=H","DateFormat=P","Fill=—","Direction=H","UseDPDF=Y")</f>
        <v>#NAME?</v>
      </c>
      <c r="AS43" s="2" t="e">
        <f ca="1">_xll.BDH($C$28,"ACCOUNTS_RECEIVABLE_5_YR_GROWTH","FY 2017","FY 2017","Currency=INR","Period=FY","BEST_FPERIOD_OVERRIDE=FY","FILING_STATUS=OR","EQY_CONSOLIDATED=Y","Sort=A","Dates=H","DateFormat=P","Fill=—","Direction=H","UseDPDF=Y")</f>
        <v>#NAME?</v>
      </c>
      <c r="AT43" s="2" t="e">
        <f ca="1">_xll.BDH($C$28,"INVENTORY_5_YEAR_GROWTH","FY 2017","FY 2017","Currency=INR","Period=FY","BEST_FPERIOD_OVERRIDE=FY","FILING_STATUS=OR","EQY_CONSOLIDATED=Y","Sort=A","Dates=H","DateFormat=P","Fill=—","Direction=H","UseDPDF=Y")</f>
        <v>#NAME?</v>
      </c>
      <c r="AU43" s="2" t="e">
        <f ca="1">_xll.BDH($C$28,"NET_FIXED_ASSETS_5_YEAR_GROWTH","FY 2017","FY 2017","Currency=INR","Period=FY","BEST_FPERIOD_OVERRIDE=FY","FILING_STATUS=OR","EQY_CONSOLIDATED=Y","Sort=A","Dates=H","DateFormat=P","Fill=—","Direction=H","UseDPDF=Y")</f>
        <v>#NAME?</v>
      </c>
      <c r="AV43" s="2" t="e">
        <f ca="1">_xll.BDH($C$28,"GEO_GROW_TOT_ASSET","FY 2017","FY 2017","Currency=INR","Period=FY","BEST_FPERIOD_OVERRIDE=FY","FILING_STATUS=OR","EQY_CONSOLIDATED=Y","Sort=A","Dates=H","DateFormat=P","Fill=—","Direction=H","UseDPDF=Y")</f>
        <v>#NAME?</v>
      </c>
      <c r="AW43" s="2" t="e">
        <f ca="1">_xll.BDH($C$28,"MODIFIED_WORKING_CPTL_5YR_GRWTH","FY 2017","FY 2017","Currency=INR","Period=FY","BEST_FPERIOD_OVERRIDE=FY","FILING_STATUS=OR","EQY_CONSOLIDATED=Y","Sort=A","Dates=H","DateFormat=P","Fill=—","Direction=H","UseDPDF=Y")</f>
        <v>#NAME?</v>
      </c>
      <c r="AX43" s="2" t="e">
        <f ca="1">_xll.BDH($C$28,"WORKING_CAPITAL_5_YEAR_GROWTH","FY 2017","FY 2017","Currency=INR","Period=FY","BEST_FPERIOD_OVERRIDE=FY","FILING_STATUS=OR","EQY_CONSOLIDATED=Y","Sort=A","Dates=H","DateFormat=P","Fill=—","Direction=H","UseDPDF=Y")</f>
        <v>#NAME?</v>
      </c>
      <c r="AY43" s="2" t="e">
        <f ca="1">_xll.BDH($C$28,"ACCOUNTS_PAYABLE_5_YEAR_GROWTH","FY 2017","FY 2017","Currency=INR","Period=FY","BEST_FPERIOD_OVERRIDE=FY","FILING_STATUS=OR","EQY_CONSOLIDATED=Y","Sort=A","Dates=H","DateFormat=P","Fill=—","Direction=H","UseDPDF=Y")</f>
        <v>#NAME?</v>
      </c>
      <c r="AZ43" s="2" t="e">
        <f ca="1">_xll.BDH($C$28,"SHORT_TERM_DEBT_5_YEAR_GROWTH","FY 2017","FY 2017","Currency=INR","Period=FY","BEST_FPERIOD_OVERRIDE=FY","FILING_STATUS=OR","EQY_CONSOLIDATED=Y","Sort=A","Dates=H","DateFormat=P","Fill=—","Direction=H","UseDPDF=Y")</f>
        <v>#NAME?</v>
      </c>
      <c r="BA43" s="2" t="e">
        <f ca="1">_xll.BDH($C$28,"TOTAL_DEBT_5_YEAR_GROWTH","FY 2017","FY 2017","Currency=INR","Period=FY","BEST_FPERIOD_OVERRIDE=FY","FILING_STATUS=OR","EQY_CONSOLIDATED=Y","Sort=A","Dates=H","DateFormat=P","Fill=—","Direction=H","UseDPDF=Y")</f>
        <v>#NAME?</v>
      </c>
      <c r="BB43" s="2" t="e">
        <f ca="1">_xll.BDH($C$28,"GEO_GROW_TOT_SHRHLDR_EQY","FY 2017","FY 2017","Currency=INR","Period=FY","BEST_FPERIOD_OVERRIDE=FY","FILING_STATUS=OR","EQY_CONSOLIDATED=Y","Sort=A","Dates=H","DateFormat=P","Fill=—","Direction=H","UseDPDF=Y")</f>
        <v>#NAME?</v>
      </c>
      <c r="BC43" s="2" t="e">
        <f ca="1">_xll.BDH($C$28,"TOTAL_CAPITAL_5_YEAR_GROWTH","FY 2017","FY 2017","Currency=INR","Period=FY","BEST_FPERIOD_OVERRIDE=FY","FILING_STATUS=OR","EQY_CONSOLIDATED=Y","Sort=A","Dates=H","DateFormat=P","Fill=—","Direction=H","UseDPDF=Y")</f>
        <v>#NAME?</v>
      </c>
      <c r="BD43" s="2" t="e">
        <f ca="1">_xll.BDH($C$28,"GEO_GROW_BOOK_VAL","FY 2017","FY 2017","Currency=INR","Period=FY","BEST_FPERIOD_OVERRIDE=FY","FILING_STATUS=OR","EQY_CONSOLIDATED=Y","Sort=A","Dates=H","DateFormat=P","Fill=—","Direction=H","UseDPDF=Y")</f>
        <v>#NAME?</v>
      </c>
      <c r="BE43" s="2" t="e">
        <f ca="1">_xll.BDH($C$28,"GEO_GROW_CASH_OPER_ACT","FY 2017","FY 2017","Currency=INR","Period=FY","BEST_FPERIOD_OVERRIDE=FY","FILING_STATUS=OR","EQY_CONSOLIDATED=Y","Sort=A","Dates=H","DateFormat=P","Fill=—","Direction=H","UseDPDF=Y")</f>
        <v>#NAME?</v>
      </c>
      <c r="BF43" s="2" t="e">
        <f ca="1">_xll.BDH($C$28,"REVENUE_SEQUENTIAL_GROWTH","FY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43" s="2" t="e">
        <f ca="1">_xll.BDH($C$28,"EBITDA_SEQUENTIAL_GROWTH","FY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43" s="2" t="e">
        <f ca="1">_xll.BDH($C$28,"OPERATING_INCOME_SEQ_GROWTH","FY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43" s="2" t="e">
        <f ca="1">_xll.BDH($C$28,"NET_INCOME_TO_COMMON_SEQ_GROWTH","FY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43" s="2" t="e">
        <f ca="1">_xll.BDH($C$28,"EPS_DILUTED_SEQUENTIAL_GROWTH","FY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43" s="2" t="e">
        <f ca="1">_xll.BDH($C$28,"DPS_SEQUENTIAL_GROWTH","FY 2017","FY 2017","Currency=INR","Period=FY","BEST_FPERIOD_OVERRIDE=FY","FILING_STATUS=OR","EQY_CONSOLIDATED=Y","Sort=A","Dates=H","DateFormat=P","Fill=—","Direction=H","UseDPDF=Y")</f>
        <v>#NAME?</v>
      </c>
      <c r="BL43" s="2" t="e">
        <f ca="1">_xll.BDH($C$28,"ACCOUNTS_RECEIVABLE_SEQ_GROWTH","FY 2017","FY 2017","Currency=INR","Period=FY","BEST_FPERIOD_OVERRIDE=FY","FILING_STATUS=OR","EQY_CONSOLIDATED=Y","Sort=A","Dates=H","DateFormat=P","Fill=—","Direction=H","UseDPDF=Y")</f>
        <v>#NAME?</v>
      </c>
      <c r="BM43" s="2" t="e">
        <f ca="1">_xll.BDH($C$28,"INVENTORY_SEQUENTIAL_GROWTH","FY 2017","FY 2017","Currency=INR","Period=FY","BEST_FPERIOD_OVERRIDE=FY","FILING_STATUS=OR","EQY_CONSOLIDATED=Y","Sort=A","Dates=H","DateFormat=P","Fill=—","Direction=H","UseDPDF=Y")</f>
        <v>#NAME?</v>
      </c>
      <c r="BN43" s="2" t="e">
        <f ca="1">_xll.BDH($C$28,"FIXED_ASSETS_SEQUENTIAL_GROWTH","FY 2017","FY 2017","Currency=INR","Period=FY","BEST_FPERIOD_OVERRIDE=FY","FILING_STATUS=OR","EQY_CONSOLIDATED=Y","Sort=A","Dates=H","DateFormat=P","Fill=—","Direction=H","UseDPDF=Y")</f>
        <v>#NAME?</v>
      </c>
      <c r="BO43" s="2" t="e">
        <f ca="1">_xll.BDH($C$28,"TOTAL_ASSETS_SEQUENTIAL_GROWTH","FY 2017","FY 2017","Currency=INR","Period=FY","BEST_FPERIOD_OVERRIDE=FY","FILING_STATUS=OR","EQY_CONSOLIDATED=Y","Sort=A","Dates=H","DateFormat=P","Fill=—","Direction=H","UseDPDF=Y")</f>
        <v>#NAME?</v>
      </c>
      <c r="BP43" s="2" t="e">
        <f ca="1">_xll.BDH($C$28,"MODIFIED_WORKING_CPTL_SEQ_GRWTH","FY 2017","FY 2017","Currency=INR","Period=FY","BEST_FPERIOD_OVERRIDE=FY","FILING_STATUS=OR","EQY_CONSOLIDATED=Y","Sort=A","Dates=H","DateFormat=P","Fill=—","Direction=H","UseDPDF=Y")</f>
        <v>#NAME?</v>
      </c>
      <c r="BQ43" s="2" t="e">
        <f ca="1">_xll.BDH($C$28,"WORKING_CAPITAL_SEQ_GROWTH","FY 2017","FY 2017","Currency=INR","Period=FY","BEST_FPERIOD_OVERRIDE=FY","FILING_STATUS=OR","EQY_CONSOLIDATED=Y","Sort=A","Dates=H","DateFormat=P","Fill=—","Direction=H","UseDPDF=Y")</f>
        <v>#NAME?</v>
      </c>
      <c r="BR43" s="2" t="e">
        <f ca="1">_xll.BDH($C$28,"ACCOUNTS_PAYABLE_SEQ_GROWTH","FY 2017","FY 2017","Currency=INR","Period=FY","BEST_FPERIOD_OVERRIDE=FY","FILING_STATUS=OR","EQY_CONSOLIDATED=Y","Sort=A","Dates=H","DateFormat=P","Fill=—","Direction=H","UseDPDF=Y")</f>
        <v>#NAME?</v>
      </c>
      <c r="BS43" s="2" t="e">
        <f ca="1">_xll.BDH($C$28,"ST_DEBT_SEQUENTIAL_GROWTH","FY 2017","FY 2017","Currency=INR","Period=FY","BEST_FPERIOD_OVERRIDE=FY","FILING_STATUS=OR","EQY_CONSOLIDATED=Y","Sort=A","Dates=H","DateFormat=P","Fill=—","Direction=H","UseDPDF=Y")</f>
        <v>#NAME?</v>
      </c>
      <c r="BT43" s="2" t="e">
        <f ca="1">_xll.BDH($C$28,"TOTAL_DEBT_SEQUENTIAL_GROWTH","FY 2017","FY 2017","Currency=INR","Period=FY","BEST_FPERIOD_OVERRIDE=FY","FILING_STATUS=OR","EQY_CONSOLIDATED=Y","Sort=A","Dates=H","DateFormat=P","Fill=—","Direction=H","UseDPDF=Y")</f>
        <v>#NAME?</v>
      </c>
      <c r="BU43" s="2" t="e">
        <f ca="1">_xll.BDH($C$28,"TOTAL_EQUITY_SEQUENTIAL_GROWTH","FY 2017","FY 2017","Currency=INR","Period=FY","BEST_FPERIOD_OVERRIDE=FY","FILING_STATUS=OR","EQY_CONSOLIDATED=Y","Sort=A","Dates=H","DateFormat=P","Fill=—","Direction=H","UseDPDF=Y")</f>
        <v>#NAME?</v>
      </c>
      <c r="BV43" s="2" t="e">
        <f ca="1">_xll.BDH($C$28,"TOTAL_CAPITAL_SEQUENTIAL_GROWTH","FY 2017","FY 2017","Currency=INR","Period=FY","BEST_FPERIOD_OVERRIDE=FY","FILING_STATUS=OR","EQY_CONSOLIDATED=Y","Sort=A","Dates=H","DateFormat=P","Fill=—","Direction=H","UseDPDF=Y")</f>
        <v>#NAME?</v>
      </c>
      <c r="BW43" s="2" t="e">
        <f ca="1">_xll.BDH($C$28,"BPS_SEQUENTIAL_GROWTH","FY 2017","FY 2017","Currency=INR","Period=FY","BEST_FPERIOD_OVERRIDE=FY","FILING_STATUS=OR","EQY_CONSOLIDATED=Y","Sort=A","Dates=H","DateFormat=P","Fill=—","Direction=H","UseDPDF=Y")</f>
        <v>#NAME?</v>
      </c>
      <c r="BX43" s="2" t="e">
        <f ca="1">_xll.BDH($C$28,"CFO_SEQUENTIAL_GROWTH","FY 2017","FY 2017","Currency=INR","Period=FY","BEST_FPERIOD_OVERRIDE=FY","FILING_STATUS=OR","EQY_CONSOLIDATED=Y","Sort=A","Dates=H","DateFormat=P","Fill=—","Direction=H","UseDPDF=Y")</f>
        <v>#NAME?</v>
      </c>
      <c r="BY43" s="3" t="e">
        <f ca="1">_xll.BDH($C$28,"SHORT_AND_LONG_TERM_DEBT","FY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43" s="3" t="e">
        <f ca="1">_xll.BDH($C$28,"BS_ST_BORROW","FY 2017","FY 2017","Currency=INR","Period=FY","BEST_FPERIOD_OVERRIDE=FY","FILING_STATUS=OR","EQY_CONSOLIDATED=Y","SCALING_FORMAT=MLN","Sort=A","Dates=H","DateFormat=P","Fill=—","Direction=H","UseDPDF=Y")</f>
        <v>#NAME?</v>
      </c>
      <c r="CA43" s="3" t="e">
        <f ca="1">_xll.BDH($C$28,"BS_LT_BORROW","FY 2017","FY 2017","Currency=INR","Period=FY","BEST_FPERIOD_OVERRIDE=FY","FILING_STATUS=OR","EQY_CONSOLIDATED=Y","SCALING_FORMAT=MLN","Sort=A","Dates=H","DateFormat=P","Fill=—","Direction=H","UseDPDF=Y")</f>
        <v>#NAME?</v>
      </c>
      <c r="CB43" s="2" t="e">
        <f ca="1">_xll.BDH($C$28,"TOT_DEBT_TO_EBITDA","FY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43" s="2" t="e">
        <f ca="1">_xll.BDH($C$28,"NET_DEBT_TO_EBITDA","FY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43" s="2" t="e">
        <f ca="1">_xll.BDH($C$28,"TOTAL_DEBT_TO_EBIT","FY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43" s="2" t="e">
        <f ca="1">_xll.BDH($C$28,"NET_DEBT_TO_EBIT","FY 2017","FY 2017","Currency=INR","Period=FY","BEST_FPERIOD_OVERRIDE=FY","FILING_STATUS=OR","EQY_CONSOLIDATED=Y","FA_ADJUSTED=GAAP","Sort=A","Dates=H","DateFormat=P","Fill=—","Direction=H","UseDPDF=Y")</f>
        <v>#NAME?</v>
      </c>
      <c r="CF43" s="2" t="e">
        <f ca="1">_xll.BDH($C$28,"EBITDA_TO_INTEREST_EXPN","FY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43" s="2" t="e">
        <f ca="1">_xll.BDH($C$28,"COM_EQY_TO_TOT_ASSET","FY 2017","FY 2017","Currency=INR","Period=FY","BEST_FPERIOD_OVERRIDE=FY","FILING_STATUS=OR","EQY_CONSOLIDATED=Y","Sort=A","Dates=H","DateFormat=P","Fill=—","Direction=H","UseDPDF=Y")</f>
        <v>#NAME?</v>
      </c>
      <c r="CH43" s="2" t="e">
        <f ca="1">_xll.BDH($C$28,"LT_DEBT_TO_TOT_EQY","FY 2017","FY 2017","Currency=INR","Period=FY","BEST_FPERIOD_OVERRIDE=FY","FILING_STATUS=OR","EQY_CONSOLIDATED=Y","Sort=A","Dates=H","DateFormat=P","Fill=—","Direction=H","UseDPDF=Y")</f>
        <v>#NAME?</v>
      </c>
      <c r="CI43" s="2" t="e">
        <f ca="1">_xll.BDH($C$28,"LT_DEBT_TO_TOT_CAP","FY 2017","FY 2017","Currency=INR","Period=FY","BEST_FPERIOD_OVERRIDE=FY","FILING_STATUS=OR","EQY_CONSOLIDATED=Y","Sort=A","Dates=H","DateFormat=P","Fill=—","Direction=H","UseDPDF=Y")</f>
        <v>#NAME?</v>
      </c>
      <c r="CJ43" s="2" t="e">
        <f ca="1">_xll.BDH($C$28,"LT_DEBT_TO_TOT_ASSET","FY 2017","FY 2017","Currency=INR","Period=FY","BEST_FPERIOD_OVERRIDE=FY","FILING_STATUS=OR","EQY_CONSOLIDATED=Y","Sort=A","Dates=H","DateFormat=P","Fill=—","Direction=H","UseDPDF=Y")</f>
        <v>#NAME?</v>
      </c>
      <c r="CK43" s="2" t="e">
        <f ca="1">_xll.BDH($C$28,"TOT_DEBT_TO_TOT_EQY","FY 2017","FY 2017","Currency=INR","Period=FY","BEST_FPERIOD_OVERRIDE=FY","FILING_STATUS=OR","EQY_CONSOLIDATED=Y","Sort=A","Dates=H","DateFormat=P","Fill=—","Direction=H","UseDPDF=Y")</f>
        <v>#NAME?</v>
      </c>
      <c r="CL43" s="2" t="e">
        <f ca="1">_xll.BDH($C$28,"TOT_DEBT_TO_TOT_CAP","FY 2017","FY 2017","Currency=INR","Period=FY","BEST_FPERIOD_OVERRIDE=FY","FILING_STATUS=OR","EQY_CONSOLIDATED=Y","Sort=A","Dates=H","DateFormat=P","Fill=—","Direction=H","UseDPDF=Y")</f>
        <v>#NAME?</v>
      </c>
      <c r="CM43" s="2" t="e">
        <f ca="1">_xll.BDH($C$28,"TOT_DEBT_TO_TOT_ASSET","FY 2017","FY 2017","Currency=INR","Period=FY","BEST_FPERIOD_OVERRIDE=FY","FILING_STATUS=OR","EQY_CONSOLIDATED=Y","Sort=A","Dates=H","DateFormat=P","Fill=—","Direction=H","UseDPDF=Y")</f>
        <v>#NAME?</v>
      </c>
      <c r="CN43" s="2" t="e">
        <f ca="1">_xll.BDH($C$28,"NET_DEBT_TO_SHRHLDR_EQTY","FY 2017","FY 2017","Currency=INR","Period=FY","BEST_FPERIOD_OVERRIDE=FY","FILING_STATUS=OR","EQY_CONSOLIDATED=Y","Sort=A","Dates=H","DateFormat=P","Fill=—","Direction=H","UseDPDF=Y")</f>
        <v>#NAME?</v>
      </c>
      <c r="CO43" s="2" t="e">
        <f ca="1">_xll.BDH($C$28,"NET_DEBT_%_CAPITAL","FY 2017","FY 2017","Currency=INR","Period=FY","BEST_FPERIOD_OVERRIDE=FY","FILING_STATUS=OR","EQY_CONSOLIDATED=Y","Sort=A","Dates=H","DateFormat=P","Fill=—","Direction=H","UseDPDF=Y")</f>
        <v>#NAME?</v>
      </c>
      <c r="CP43" s="3" t="e">
        <f ca="1">_xll.BDH($C$28,"EBITDA","FY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43" s="3" t="e">
        <f ca="1">_xll.BDH($C$28,"EBITDA_AFTER_CAPEX","FY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43" s="3" t="e">
        <f ca="1">_xll.BDH($C$28,"IS_OPER_INC","FY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43" s="2" t="e">
        <f ca="1">_xll.BDH($C$28,"CASH_RATIO","FY 2017","FY 2017","Currency=INR","Period=FY","BEST_FPERIOD_OVERRIDE=FY","FILING_STATUS=OR","EQY_CONSOLIDATED=Y","Sort=A","Dates=H","DateFormat=P","Fill=—","Direction=H","UseDPDF=Y")</f>
        <v>#NAME?</v>
      </c>
      <c r="CT43" s="2" t="e">
        <f ca="1">_xll.BDH($C$28,"CUR_RATIO","FY 2017","FY 2017","Currency=INR","Period=FY","BEST_FPERIOD_OVERRIDE=FY","FILING_STATUS=OR","EQY_CONSOLIDATED=Y","Sort=A","Dates=H","DateFormat=P","Fill=—","Direction=H","UseDPDF=Y")</f>
        <v>#NAME?</v>
      </c>
      <c r="CU43" s="2" t="e">
        <f ca="1">_xll.BDH($C$28,"QUICK_RATIO","FY 2017","FY 2017","Currency=INR","Period=FY","BEST_FPERIOD_OVERRIDE=FY","FILING_STATUS=OR","EQY_CONSOLIDATED=Y","Sort=A","Dates=H","DateFormat=P","Fill=—","Direction=H","UseDPDF=Y")</f>
        <v>#NAME?</v>
      </c>
      <c r="CV43" s="2" t="e">
        <f ca="1">_xll.BDH($C$28,"ALTMAN_Z_SCORE","FY 2017","FY 2017","Currency=INR","Period=FY","BEST_FPERIOD_OVERRIDE=FY","FILING_STATUS=OR","EQY_CONSOLIDATED=Y","Sort=A","Dates=H","DateFormat=P","Fill=—","Direction=H","UseDPDF=Y")</f>
        <v>#NAME?</v>
      </c>
      <c r="CW43" s="4" t="e">
        <f ca="1">_xll.BDH($C$28,"ACCT_RCV_TURN","FY 2017","FY 2017","Currency=INR","Period=FY","BEST_FPERIOD_OVERRIDE=FY","FILING_STATUS=OR","EQY_CONSOLIDATED=Y","FA_ADJUSTED=GAAP","Sort=A","Dates=H","DateFormat=P","Fill=—","Direction=H","UseDPDF=Y")</f>
        <v>#NAME?</v>
      </c>
      <c r="CX43" s="2" t="e">
        <f ca="1">_xll.BDH($C$28,"ACCT_RCV_DAYS","FY 2017","FY 2017","Currency=INR","Period=FY","BEST_FPERIOD_OVERRIDE=FY","FILING_STATUS=OR","EQY_CONSOLIDATED=Y","FA_ADJUSTED=GAAP","Sort=A","Dates=H","DateFormat=P","Fill=—","Direction=H","UseDPDF=Y")</f>
        <v>#NAME?</v>
      </c>
      <c r="CY43" s="4" t="e">
        <f ca="1">_xll.BDH($C$28,"INVENT_TURN","FY 2017","FY 2017","Currency=INR","Period=FY","BEST_FPERIOD_OVERRIDE=FY","FILING_STATUS=OR","EQY_CONSOLIDATED=Y","FA_ADJUSTED=GAAP","Sort=A","Dates=H","DateFormat=P","Fill=—","Direction=H","UseDPDF=Y")</f>
        <v>#NAME?</v>
      </c>
      <c r="CZ43" s="2" t="e">
        <f ca="1">_xll.BDH($C$28,"INVENT_DAYS","FY 2017","FY 2017","Currency=INR","Period=FY","BEST_FPERIOD_OVERRIDE=FY","FILING_STATUS=OR","EQY_CONSOLIDATED=Y","FA_ADJUSTED=GAAP","Sort=A","Dates=H","DateFormat=P","Fill=—","Direction=H","UseDPDF=Y")</f>
        <v>#NAME?</v>
      </c>
      <c r="DA43" s="4" t="e">
        <f ca="1">_xll.BDH($C$28,"ACCOUNTS_PAYABLE_TURNOVER","FY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43" s="2" t="e">
        <f ca="1">_xll.BDH($C$28,"ACCOUNTS_PAYABLE_TURNOVER_DAYS","FY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43" s="4" t="e">
        <f ca="1">_xll.BDH($C$28,"CASH_CONVERSION_CYCLE","FY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43" s="4" t="e">
        <f ca="1">_xll.BDH($C$28,"INV_TO_CASH_DAYS","FY 2017","FY 2017","Currency=INR","Period=FY","BEST_FPERIOD_OVERRIDE=FY","FILING_STATUS=OR","EQY_CONSOLIDATED=Y","FA_ADJUSTED=GAAP","Sort=A","Dates=H","DateFormat=P","Fill=—","Direction=H","UseDPDF=Y")</f>
        <v>#NAME?</v>
      </c>
      <c r="DE43" s="5" t="e">
        <f ca="1">_xll.BDH($C$28,"BS_INVENTORIES","FY 2017","FY 2017","Currency=INR","Period=FY","BEST_FPERIOD_OVERRIDE=FY","FILING_STATUS=OR","EQY_CONSOLIDATED=Y","SCALING_FORMAT=MLN","Sort=A","Dates=H","DateFormat=P","Fill=—","Direction=H","UseDPDF=Y")</f>
        <v>#NAME?</v>
      </c>
      <c r="DF43" s="3" t="e">
        <f ca="1">_xll.BDH($C$28,"INVTRY_RAW_MATERIALS","FY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43" s="3" t="e">
        <f ca="1">_xll.BDH($C$28,"INVTRY_IN_PROGRESS","FY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43" s="3" t="e">
        <f ca="1">_xll.BDH($C$28,"INVTRY_FINISHED_GOODS","FY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43" s="3" t="e">
        <f ca="1">_xll.BDH($C$28,"BS_OTHER_INV","FY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44" spans="1:113" x14ac:dyDescent="0.3">
      <c r="A44" s="6"/>
      <c r="B44" s="6"/>
      <c r="C44" s="6"/>
      <c r="D44" s="6"/>
      <c r="E44" t="s">
        <v>78</v>
      </c>
      <c r="F44" t="e">
        <f ca="1">_xll.BDH($C$28,"RETURN_COM_EQY","FQ1 2017","FQ1 2017","Currency=INR","Period=FQ","BEST_FPERIOD_OVERRIDE=FQ","FILING_STATUS=OR","EQY_CONSOLIDATED=Y","FA_ADJUSTED=GAAP","Sort=A","Dates=H","DateFormat=P","Fill=—","Direction=H","UseDPDF=Y")</f>
        <v>#NAME?</v>
      </c>
      <c r="G44" t="e">
        <f ca="1">_xll.BDH($C$28,"RETURN_ON_ASSET","FQ1 2017","FQ1 2017","Currency=INR","Period=FQ","BEST_FPERIOD_OVERRIDE=FQ","FILING_STATUS=OR","EQY_CONSOLIDATED=Y","FA_ADJUSTED=GAAP","Sort=A","Dates=H","DateFormat=P","Fill=—","Direction=H","UseDPDF=Y")</f>
        <v>#NAME?</v>
      </c>
      <c r="H44" t="e">
        <f ca="1">_xll.BDH($C$28,"RETURN_ON_CAP","FQ1 2017","FQ1 2017","Currency=INR","Period=FQ","BEST_FPERIOD_OVERRIDE=FQ","FILING_STATUS=OR","EQY_CONSOLIDATED=Y","FA_ADJUSTED=GAAP","Sort=A","Dates=H","DateFormat=P","Fill=—","Direction=H","UseDPDF=Y")</f>
        <v>#NAME?</v>
      </c>
      <c r="I44" t="e">
        <f ca="1">_xll.BDH($C$28,"RETURN_ON_INV_CAPITAL","FQ1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44" t="e">
        <f ca="1">_xll.BDH($C$28,"EBITDA_TO_REVENUE","FQ1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44" t="e">
        <f ca="1">_xll.BDH($C$28,"OPER_MARGIN","FQ1 2017","FQ1 2017","Currency=INR","Period=FQ","BEST_FPERIOD_OVERRIDE=FQ","FILING_STATUS=OR","EQY_CONSOLIDATED=Y","FA_ADJUSTED=GAAP","Sort=A","Dates=H","DateFormat=P","Fill=—","Direction=H","UseDPDF=Y")</f>
        <v>#NAME?</v>
      </c>
      <c r="L44" t="e">
        <f ca="1">_xll.BDH($C$28,"INCREMENTAL_OPERATING_MARGIN","FQ1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44" t="e">
        <f ca="1">_xll.BDH($C$28,"PRETAX_INC_TO_NET_SALES","FQ1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44" t="e">
        <f ca="1">_xll.BDH($C$28,"INC_BEF_XO_ITEMS_TO_NET_SALES","FQ1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44" t="e">
        <f ca="1">_xll.BDH($C$28,"PROF_MARGIN","FQ1 2017","FQ1 2017","Currency=INR","Period=FQ","BEST_FPERIOD_OVERRIDE=FQ","FILING_STATUS=OR","EQY_CONSOLIDATED=Y","FA_ADJUSTED=GAAP","Sort=A","Dates=H","DateFormat=P","Fill=—","Direction=H","UseDPDF=Y")</f>
        <v>#NAME?</v>
      </c>
      <c r="P44" t="e">
        <f ca="1">_xll.BDH($C$28,"NET_INCOME_TO_COMMON_MARGIN","FQ1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44" t="e">
        <f ca="1">_xll.BDH($C$28,"EFF_TAX_RATE","FQ1 2017","FQ1 2017","Currency=INR","Period=FQ","BEST_FPERIOD_OVERRIDE=FQ","FILING_STATUS=OR","EQY_CONSOLIDATED=Y","FA_ADJUSTED=GAAP","Sort=A","Dates=H","DateFormat=P","Fill=—","Direction=H","UseDPDF=Y")</f>
        <v>#NAME?</v>
      </c>
      <c r="R44" t="e">
        <f ca="1">_xll.BDH($C$28,"DVD_PAYOUT_RATIO","FQ1 2017","FQ1 2017","Currency=INR","Period=FQ","BEST_FPERIOD_OVERRIDE=FQ","FILING_STATUS=OR","EQY_CONSOLIDATED=Y","FA_ADJUSTED=GAAP","Sort=A","Dates=H","DateFormat=P","Fill=—","Direction=H","UseDPDF=Y")</f>
        <v>#NAME?</v>
      </c>
      <c r="S44" t="e">
        <f ca="1">_xll.BDH($C$28,"SUSTAIN_GROWTH_RT","FQ1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44" s="2" t="e">
        <f ca="1">_xll.BDH($C$28,"SALES_GROWTH","FQ1 2017","FQ1 2017","Currency=INR","Period=FQ","BEST_FPERIOD_OVERRIDE=FQ","FILING_STATUS=OR","EQY_CONSOLIDATED=Y","FA_ADJUSTED=GAAP","Sort=A","Dates=H","DateFormat=P","Fill=—","Direction=H","UseDPDF=Y")</f>
        <v>#NAME?</v>
      </c>
      <c r="U44" s="2" t="e">
        <f ca="1">_xll.BDH($C$28,"EBITDA_GROWTH","FQ1 2017","FQ1 2017","Currency=INR","Period=FQ","BEST_FPERIOD_OVERRIDE=FQ","FILING_STATUS=OR","EQY_CONSOLIDATED=Y","FA_ADJUSTED=GAAP","Sort=A","Dates=H","DateFormat=P","Fill=—","Direction=H","UseDPDF=Y")</f>
        <v>#NAME?</v>
      </c>
      <c r="V44" s="2" t="e">
        <f ca="1">_xll.BDH($C$28,"OPER_INC_GROWTH","FQ1 2017","FQ1 2017","Currency=INR","Period=FQ","BEST_FPERIOD_OVERRIDE=FQ","FILING_STATUS=OR","EQY_CONSOLIDATED=Y","FA_ADJUSTED=GAAP","Sort=A","Dates=H","DateFormat=P","Fill=—","Direction=H","UseDPDF=Y")</f>
        <v>#NAME?</v>
      </c>
      <c r="W44" s="2" t="e">
        <f ca="1">_xll.BDH($C$28,"EARN_FOR_COM_GROWTH","FQ1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44" s="2" t="e">
        <f ca="1">_xll.BDH($C$28,"DILUTED_EPS_AFT_XO_ITEMS_GROWTH","FQ1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44" s="2" t="e">
        <f ca="1">_xll.BDH($C$28,"DIVIDEND_PER_SHARE_1_YEAR_GROWTH","FQ1 2017","FQ1 2017","Currency=INR","Period=FQ","BEST_FPERIOD_OVERRIDE=FQ","FILING_STATUS=OR","EQY_CONSOLIDATED=Y","Sort=A","Dates=H","DateFormat=P","Fill=—","Direction=H","UseDPDF=Y")</f>
        <v>#NAME?</v>
      </c>
      <c r="Z44" s="2" t="e">
        <f ca="1">_xll.BDH($C$28,"ACCOUNTS_RECEIVABLE_GROWTH","FQ1 2017","FQ1 2017","Currency=INR","Period=FQ","BEST_FPERIOD_OVERRIDE=FQ","FILING_STATUS=OR","EQY_CONSOLIDATED=Y","Sort=A","Dates=H","DateFormat=P","Fill=—","Direction=H","UseDPDF=Y")</f>
        <v>#NAME?</v>
      </c>
      <c r="AA44" s="2" t="e">
        <f ca="1">_xll.BDH($C$28,"INVENTORY_GROWTH","FQ1 2017","FQ1 2017","Currency=INR","Period=FQ","BEST_FPERIOD_OVERRIDE=FQ","FILING_STATUS=OR","EQY_CONSOLIDATED=Y","Sort=A","Dates=H","DateFormat=P","Fill=—","Direction=H","UseDPDF=Y")</f>
        <v>#NAME?</v>
      </c>
      <c r="AB44" s="2" t="e">
        <f ca="1">_xll.BDH($C$28,"NET_FIXED_ASSETS_1_YEAR_GROWTH","FQ1 2017","FQ1 2017","Currency=INR","Period=FQ","BEST_FPERIOD_OVERRIDE=FQ","FILING_STATUS=OR","EQY_CONSOLIDATED=Y","Sort=A","Dates=H","DateFormat=P","Fill=—","Direction=H","UseDPDF=Y")</f>
        <v>#NAME?</v>
      </c>
      <c r="AC44" s="2" t="e">
        <f ca="1">_xll.BDH($C$28,"ASSET_GROWTH","FQ1 2017","FQ1 2017","Currency=INR","Period=FQ","BEST_FPERIOD_OVERRIDE=FQ","FILING_STATUS=OR","EQY_CONSOLIDATED=Y","Sort=A","Dates=H","DateFormat=P","Fill=—","Direction=H","UseDPDF=Y")</f>
        <v>#NAME?</v>
      </c>
      <c r="AD44" s="2" t="e">
        <f ca="1">_xll.BDH($C$28,"MODIFIED_WORK_CAP_GROWTH","FQ1 2017","FQ1 2017","Currency=INR","Period=FQ","BEST_FPERIOD_OVERRIDE=FQ","FILING_STATUS=OR","EQY_CONSOLIDATED=Y","Sort=A","Dates=H","DateFormat=P","Fill=—","Direction=H","UseDPDF=Y")</f>
        <v>#NAME?</v>
      </c>
      <c r="AE44" s="2" t="e">
        <f ca="1">_xll.BDH($C$28,"WORK_CAP_GROWTH","FQ1 2017","FQ1 2017","Currency=INR","Period=FQ","BEST_FPERIOD_OVERRIDE=FQ","FILING_STATUS=OR","EQY_CONSOLIDATED=Y","Sort=A","Dates=H","DateFormat=P","Fill=—","Direction=H","UseDPDF=Y")</f>
        <v>#NAME?</v>
      </c>
      <c r="AF44" s="2" t="e">
        <f ca="1">_xll.BDH($C$28,"ACCOUNTS_PAYABLE_GROWTH_1YR","FQ1 2017","FQ1 2017","Currency=INR","Period=FQ","BEST_FPERIOD_OVERRIDE=FQ","FILING_STATUS=OR","EQY_CONSOLIDATED=Y","Sort=A","Dates=H","DateFormat=P","Fill=—","Direction=H","UseDPDF=Y")</f>
        <v>#NAME?</v>
      </c>
      <c r="AG44" s="2" t="e">
        <f ca="1">_xll.BDH($C$28,"SHORT_TERM_DEBT_1_YEAR_GROWTH","FQ1 2017","FQ1 2017","Currency=INR","Period=FQ","BEST_FPERIOD_OVERRIDE=FQ","FILING_STATUS=OR","EQY_CONSOLIDATED=Y","Sort=A","Dates=H","DateFormat=P","Fill=—","Direction=H","UseDPDF=Y")</f>
        <v>#NAME?</v>
      </c>
      <c r="AH44" s="2" t="e">
        <f ca="1">_xll.BDH($C$28,"TOTAL_DEBT_1_YEAR_GROWTH","FQ1 2017","FQ1 2017","Currency=INR","Period=FQ","BEST_FPERIOD_OVERRIDE=FQ","FILING_STATUS=OR","EQY_CONSOLIDATED=Y","Sort=A","Dates=H","DateFormat=P","Fill=—","Direction=H","UseDPDF=Y")</f>
        <v>#NAME?</v>
      </c>
      <c r="AI44" s="2" t="e">
        <f ca="1">_xll.BDH($C$28,"TOTAL_EQUITY_1_YEAR_GROWTH","FQ1 2017","FQ1 2017","Currency=INR","Period=FQ","BEST_FPERIOD_OVERRIDE=FQ","FILING_STATUS=OR","EQY_CONSOLIDATED=Y","Sort=A","Dates=H","DateFormat=P","Fill=—","Direction=H","UseDPDF=Y")</f>
        <v>#NAME?</v>
      </c>
      <c r="AJ44" s="2" t="e">
        <f ca="1">_xll.BDH($C$28,"GROWTH_IN_CAP","FQ1 2017","FQ1 2017","Currency=INR","Period=FQ","BEST_FPERIOD_OVERRIDE=FQ","FILING_STATUS=OR","EQY_CONSOLIDATED=Y","Sort=A","Dates=H","DateFormat=P","Fill=—","Direction=H","UseDPDF=Y")</f>
        <v>#NAME?</v>
      </c>
      <c r="AK44" s="2" t="e">
        <f ca="1">_xll.BDH($C$28,"BVPS_GROWTH","FQ1 2017","FQ1 2017","Currency=INR","Period=FQ","BEST_FPERIOD_OVERRIDE=FQ","FILING_STATUS=OR","EQY_CONSOLIDATED=Y","Sort=A","Dates=H","DateFormat=P","Fill=—","Direction=H","UseDPDF=Y")</f>
        <v>#NAME?</v>
      </c>
      <c r="AL44" s="2" t="e">
        <f ca="1">_xll.BDH($C$28,"CASH_FLOW_GROWTH","FQ1 2017","FQ1 2017","Currency=INR","Period=FQ","BEST_FPERIOD_OVERRIDE=FQ","FILING_STATUS=OR","EQY_CONSOLIDATED=Y","Sort=A","Dates=H","DateFormat=P","Fill=—","Direction=H","UseDPDF=Y")</f>
        <v>#NAME?</v>
      </c>
      <c r="AM44" s="2" t="e">
        <f ca="1">_xll.BDH($C$28,"GEO_GROW_NET_SALES","FQ1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44" s="2" t="e">
        <f ca="1">_xll.BDH($C$28,"GEO_GROW_EBITDA","FQ1 2017","FQ1 2017","Currency=INR","Period=FQ","BEST_FPERIOD_OVERRIDE=FQ","FILING_STATUS=OR","EQY_CONSOLIDATED=Y","FA_ADJUSTED=GAAP","Sort=A","Dates=H","DateFormat=P","Fill=—","Direction=H","UseDPDF=Y")</f>
        <v>#NAME?</v>
      </c>
      <c r="AO44" s="2" t="e">
        <f ca="1">_xll.BDH($C$28,"GEO_GROW_OPER_INC","FQ1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44" s="2" t="e">
        <f ca="1">_xll.BDH($C$28,"NET_INCOME_TO_COMMON_5_YR_GROWTH","FQ1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44" s="2" t="e">
        <f ca="1">_xll.BDH($C$28,"5Y_GEO_GROWTH_DILUTED_EPS","FQ1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44" s="2" t="e">
        <f ca="1">_xll.BDH($C$28,"GEO_GROW_DVD_PER_SH","FQ1 2017","FQ1 2017","Currency=INR","Period=FQ","BEST_FPERIOD_OVERRIDE=FQ","FILING_STATUS=OR","EQY_CONSOLIDATED=Y","Sort=A","Dates=H","DateFormat=P","Fill=—","Direction=H","UseDPDF=Y")</f>
        <v>#NAME?</v>
      </c>
      <c r="AS44" s="2" t="e">
        <f ca="1">_xll.BDH($C$28,"ACCOUNTS_RECEIVABLE_5_YR_GROWTH","FQ1 2017","FQ1 2017","Currency=INR","Period=FQ","BEST_FPERIOD_OVERRIDE=FQ","FILING_STATUS=OR","EQY_CONSOLIDATED=Y","Sort=A","Dates=H","DateFormat=P","Fill=—","Direction=H","UseDPDF=Y")</f>
        <v>#NAME?</v>
      </c>
      <c r="AT44" s="2" t="e">
        <f ca="1">_xll.BDH($C$28,"INVENTORY_5_YEAR_GROWTH","FQ1 2017","FQ1 2017","Currency=INR","Period=FQ","BEST_FPERIOD_OVERRIDE=FQ","FILING_STATUS=OR","EQY_CONSOLIDATED=Y","Sort=A","Dates=H","DateFormat=P","Fill=—","Direction=H","UseDPDF=Y")</f>
        <v>#NAME?</v>
      </c>
      <c r="AU44" s="2" t="e">
        <f ca="1">_xll.BDH($C$28,"NET_FIXED_ASSETS_5_YEAR_GROWTH","FQ1 2017","FQ1 2017","Currency=INR","Period=FQ","BEST_FPERIOD_OVERRIDE=FQ","FILING_STATUS=OR","EQY_CONSOLIDATED=Y","Sort=A","Dates=H","DateFormat=P","Fill=—","Direction=H","UseDPDF=Y")</f>
        <v>#NAME?</v>
      </c>
      <c r="AV44" s="2" t="e">
        <f ca="1">_xll.BDH($C$28,"GEO_GROW_TOT_ASSET","FQ1 2017","FQ1 2017","Currency=INR","Period=FQ","BEST_FPERIOD_OVERRIDE=FQ","FILING_STATUS=OR","EQY_CONSOLIDATED=Y","Sort=A","Dates=H","DateFormat=P","Fill=—","Direction=H","UseDPDF=Y")</f>
        <v>#NAME?</v>
      </c>
      <c r="AW44" s="2" t="e">
        <f ca="1">_xll.BDH($C$28,"MODIFIED_WORKING_CPTL_5YR_GRWTH","FQ1 2017","FQ1 2017","Currency=INR","Period=FQ","BEST_FPERIOD_OVERRIDE=FQ","FILING_STATUS=OR","EQY_CONSOLIDATED=Y","Sort=A","Dates=H","DateFormat=P","Fill=—","Direction=H","UseDPDF=Y")</f>
        <v>#NAME?</v>
      </c>
      <c r="AX44" s="2" t="e">
        <f ca="1">_xll.BDH($C$28,"WORKING_CAPITAL_5_YEAR_GROWTH","FQ1 2017","FQ1 2017","Currency=INR","Period=FQ","BEST_FPERIOD_OVERRIDE=FQ","FILING_STATUS=OR","EQY_CONSOLIDATED=Y","Sort=A","Dates=H","DateFormat=P","Fill=—","Direction=H","UseDPDF=Y")</f>
        <v>#NAME?</v>
      </c>
      <c r="AY44" s="2" t="e">
        <f ca="1">_xll.BDH($C$28,"ACCOUNTS_PAYABLE_5_YEAR_GROWTH","FQ1 2017","FQ1 2017","Currency=INR","Period=FQ","BEST_FPERIOD_OVERRIDE=FQ","FILING_STATUS=OR","EQY_CONSOLIDATED=Y","Sort=A","Dates=H","DateFormat=P","Fill=—","Direction=H","UseDPDF=Y")</f>
        <v>#NAME?</v>
      </c>
      <c r="AZ44" s="2" t="e">
        <f ca="1">_xll.BDH($C$28,"SHORT_TERM_DEBT_5_YEAR_GROWTH","FQ1 2017","FQ1 2017","Currency=INR","Period=FQ","BEST_FPERIOD_OVERRIDE=FQ","FILING_STATUS=OR","EQY_CONSOLIDATED=Y","Sort=A","Dates=H","DateFormat=P","Fill=—","Direction=H","UseDPDF=Y")</f>
        <v>#NAME?</v>
      </c>
      <c r="BA44" s="2" t="e">
        <f ca="1">_xll.BDH($C$28,"TOTAL_DEBT_5_YEAR_GROWTH","FQ1 2017","FQ1 2017","Currency=INR","Period=FQ","BEST_FPERIOD_OVERRIDE=FQ","FILING_STATUS=OR","EQY_CONSOLIDATED=Y","Sort=A","Dates=H","DateFormat=P","Fill=—","Direction=H","UseDPDF=Y")</f>
        <v>#NAME?</v>
      </c>
      <c r="BB44" s="2" t="e">
        <f ca="1">_xll.BDH($C$28,"GEO_GROW_TOT_SHRHLDR_EQY","FQ1 2017","FQ1 2017","Currency=INR","Period=FQ","BEST_FPERIOD_OVERRIDE=FQ","FILING_STATUS=OR","EQY_CONSOLIDATED=Y","Sort=A","Dates=H","DateFormat=P","Fill=—","Direction=H","UseDPDF=Y")</f>
        <v>#NAME?</v>
      </c>
      <c r="BC44" s="2" t="e">
        <f ca="1">_xll.BDH($C$28,"TOTAL_CAPITAL_5_YEAR_GROWTH","FQ1 2017","FQ1 2017","Currency=INR","Period=FQ","BEST_FPERIOD_OVERRIDE=FQ","FILING_STATUS=OR","EQY_CONSOLIDATED=Y","Sort=A","Dates=H","DateFormat=P","Fill=—","Direction=H","UseDPDF=Y")</f>
        <v>#NAME?</v>
      </c>
      <c r="BD44" s="2" t="e">
        <f ca="1">_xll.BDH($C$28,"GEO_GROW_BOOK_VAL","FQ1 2017","FQ1 2017","Currency=INR","Period=FQ","BEST_FPERIOD_OVERRIDE=FQ","FILING_STATUS=OR","EQY_CONSOLIDATED=Y","Sort=A","Dates=H","DateFormat=P","Fill=—","Direction=H","UseDPDF=Y")</f>
        <v>#NAME?</v>
      </c>
      <c r="BE44" s="2" t="e">
        <f ca="1">_xll.BDH($C$28,"GEO_GROW_CASH_OPER_ACT","FQ1 2017","FQ1 2017","Currency=INR","Period=FQ","BEST_FPERIOD_OVERRIDE=FQ","FILING_STATUS=OR","EQY_CONSOLIDATED=Y","Sort=A","Dates=H","DateFormat=P","Fill=—","Direction=H","UseDPDF=Y")</f>
        <v>#NAME?</v>
      </c>
      <c r="BF44" s="2" t="e">
        <f ca="1">_xll.BDH($C$28,"REVENUE_SEQUENTIAL_GROWTH","FQ1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44" s="2" t="e">
        <f ca="1">_xll.BDH($C$28,"EBITDA_SEQUENTIAL_GROWTH","FQ1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44" s="2" t="e">
        <f ca="1">_xll.BDH($C$28,"OPERATING_INCOME_SEQ_GROWTH","FQ1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44" s="2" t="e">
        <f ca="1">_xll.BDH($C$28,"NET_INCOME_TO_COMMON_SEQ_GROWTH","FQ1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44" s="2" t="e">
        <f ca="1">_xll.BDH($C$28,"EPS_DILUTED_SEQUENTIAL_GROWTH","FQ1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44" s="2" t="e">
        <f ca="1">_xll.BDH($C$28,"DPS_SEQUENTIAL_GROWTH","FQ1 2017","FQ1 2017","Currency=INR","Period=FQ","BEST_FPERIOD_OVERRIDE=FQ","FILING_STATUS=OR","EQY_CONSOLIDATED=Y","Sort=A","Dates=H","DateFormat=P","Fill=—","Direction=H","UseDPDF=Y")</f>
        <v>#NAME?</v>
      </c>
      <c r="BL44" s="2" t="e">
        <f ca="1">_xll.BDH($C$28,"ACCOUNTS_RECEIVABLE_SEQ_GROWTH","FQ1 2017","FQ1 2017","Currency=INR","Period=FQ","BEST_FPERIOD_OVERRIDE=FQ","FILING_STATUS=OR","EQY_CONSOLIDATED=Y","Sort=A","Dates=H","DateFormat=P","Fill=—","Direction=H","UseDPDF=Y")</f>
        <v>#NAME?</v>
      </c>
      <c r="BM44" s="2" t="e">
        <f ca="1">_xll.BDH($C$28,"INVENTORY_SEQUENTIAL_GROWTH","FQ1 2017","FQ1 2017","Currency=INR","Period=FQ","BEST_FPERIOD_OVERRIDE=FQ","FILING_STATUS=OR","EQY_CONSOLIDATED=Y","Sort=A","Dates=H","DateFormat=P","Fill=—","Direction=H","UseDPDF=Y")</f>
        <v>#NAME?</v>
      </c>
      <c r="BN44" s="2" t="e">
        <f ca="1">_xll.BDH($C$28,"FIXED_ASSETS_SEQUENTIAL_GROWTH","FQ1 2017","FQ1 2017","Currency=INR","Period=FQ","BEST_FPERIOD_OVERRIDE=FQ","FILING_STATUS=OR","EQY_CONSOLIDATED=Y","Sort=A","Dates=H","DateFormat=P","Fill=—","Direction=H","UseDPDF=Y")</f>
        <v>#NAME?</v>
      </c>
      <c r="BO44" s="2" t="e">
        <f ca="1">_xll.BDH($C$28,"TOTAL_ASSETS_SEQUENTIAL_GROWTH","FQ1 2017","FQ1 2017","Currency=INR","Period=FQ","BEST_FPERIOD_OVERRIDE=FQ","FILING_STATUS=OR","EQY_CONSOLIDATED=Y","Sort=A","Dates=H","DateFormat=P","Fill=—","Direction=H","UseDPDF=Y")</f>
        <v>#NAME?</v>
      </c>
      <c r="BP44" s="2" t="e">
        <f ca="1">_xll.BDH($C$28,"MODIFIED_WORKING_CPTL_SEQ_GRWTH","FQ1 2017","FQ1 2017","Currency=INR","Period=FQ","BEST_FPERIOD_OVERRIDE=FQ","FILING_STATUS=OR","EQY_CONSOLIDATED=Y","Sort=A","Dates=H","DateFormat=P","Fill=—","Direction=H","UseDPDF=Y")</f>
        <v>#NAME?</v>
      </c>
      <c r="BQ44" s="2" t="e">
        <f ca="1">_xll.BDH($C$28,"WORKING_CAPITAL_SEQ_GROWTH","FQ1 2017","FQ1 2017","Currency=INR","Period=FQ","BEST_FPERIOD_OVERRIDE=FQ","FILING_STATUS=OR","EQY_CONSOLIDATED=Y","Sort=A","Dates=H","DateFormat=P","Fill=—","Direction=H","UseDPDF=Y")</f>
        <v>#NAME?</v>
      </c>
      <c r="BR44" s="2" t="e">
        <f ca="1">_xll.BDH($C$28,"ACCOUNTS_PAYABLE_SEQ_GROWTH","FQ1 2017","FQ1 2017","Currency=INR","Period=FQ","BEST_FPERIOD_OVERRIDE=FQ","FILING_STATUS=OR","EQY_CONSOLIDATED=Y","Sort=A","Dates=H","DateFormat=P","Fill=—","Direction=H","UseDPDF=Y")</f>
        <v>#NAME?</v>
      </c>
      <c r="BS44" s="2" t="e">
        <f ca="1">_xll.BDH($C$28,"ST_DEBT_SEQUENTIAL_GROWTH","FQ1 2017","FQ1 2017","Currency=INR","Period=FQ","BEST_FPERIOD_OVERRIDE=FQ","FILING_STATUS=OR","EQY_CONSOLIDATED=Y","Sort=A","Dates=H","DateFormat=P","Fill=—","Direction=H","UseDPDF=Y")</f>
        <v>#NAME?</v>
      </c>
      <c r="BT44" s="2" t="e">
        <f ca="1">_xll.BDH($C$28,"TOTAL_DEBT_SEQUENTIAL_GROWTH","FQ1 2017","FQ1 2017","Currency=INR","Period=FQ","BEST_FPERIOD_OVERRIDE=FQ","FILING_STATUS=OR","EQY_CONSOLIDATED=Y","Sort=A","Dates=H","DateFormat=P","Fill=—","Direction=H","UseDPDF=Y")</f>
        <v>#NAME?</v>
      </c>
      <c r="BU44" s="2" t="e">
        <f ca="1">_xll.BDH($C$28,"TOTAL_EQUITY_SEQUENTIAL_GROWTH","FQ1 2017","FQ1 2017","Currency=INR","Period=FQ","BEST_FPERIOD_OVERRIDE=FQ","FILING_STATUS=OR","EQY_CONSOLIDATED=Y","Sort=A","Dates=H","DateFormat=P","Fill=—","Direction=H","UseDPDF=Y")</f>
        <v>#NAME?</v>
      </c>
      <c r="BV44" s="2" t="e">
        <f ca="1">_xll.BDH($C$28,"TOTAL_CAPITAL_SEQUENTIAL_GROWTH","FQ1 2017","FQ1 2017","Currency=INR","Period=FQ","BEST_FPERIOD_OVERRIDE=FQ","FILING_STATUS=OR","EQY_CONSOLIDATED=Y","Sort=A","Dates=H","DateFormat=P","Fill=—","Direction=H","UseDPDF=Y")</f>
        <v>#NAME?</v>
      </c>
      <c r="BW44" s="2" t="e">
        <f ca="1">_xll.BDH($C$28,"BPS_SEQUENTIAL_GROWTH","FQ1 2017","FQ1 2017","Currency=INR","Period=FQ","BEST_FPERIOD_OVERRIDE=FQ","FILING_STATUS=OR","EQY_CONSOLIDATED=Y","Sort=A","Dates=H","DateFormat=P","Fill=—","Direction=H","UseDPDF=Y")</f>
        <v>#NAME?</v>
      </c>
      <c r="BX44" s="2" t="e">
        <f ca="1">_xll.BDH($C$28,"CFO_SEQUENTIAL_GROWTH","FQ1 2017","FQ1 2017","Currency=INR","Period=FQ","BEST_FPERIOD_OVERRIDE=FQ","FILING_STATUS=OR","EQY_CONSOLIDATED=Y","Sort=A","Dates=H","DateFormat=P","Fill=—","Direction=H","UseDPDF=Y")</f>
        <v>#NAME?</v>
      </c>
      <c r="BY44" s="3" t="e">
        <f ca="1">_xll.BDH($C$28,"SHORT_AND_LONG_TERM_DEBT","FQ1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44" s="3" t="e">
        <f ca="1">_xll.BDH($C$28,"BS_ST_BORROW","FQ1 2017","FQ1 2017","Currency=INR","Period=FQ","BEST_FPERIOD_OVERRIDE=FQ","FILING_STATUS=OR","EQY_CONSOLIDATED=Y","SCALING_FORMAT=MLN","Sort=A","Dates=H","DateFormat=P","Fill=—","Direction=H","UseDPDF=Y")</f>
        <v>#NAME?</v>
      </c>
      <c r="CA44" s="3" t="e">
        <f ca="1">_xll.BDH($C$28,"BS_LT_BORROW","FQ1 2017","FQ1 2017","Currency=INR","Period=FQ","BEST_FPERIOD_OVERRIDE=FQ","FILING_STATUS=OR","EQY_CONSOLIDATED=Y","SCALING_FORMAT=MLN","Sort=A","Dates=H","DateFormat=P","Fill=—","Direction=H","UseDPDF=Y")</f>
        <v>#NAME?</v>
      </c>
      <c r="CB44" s="2" t="e">
        <f ca="1">_xll.BDH($C$28,"TOT_DEBT_TO_EBITDA","FQ1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44" s="2" t="e">
        <f ca="1">_xll.BDH($C$28,"NET_DEBT_TO_EBITDA","FQ1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44" s="2" t="e">
        <f ca="1">_xll.BDH($C$28,"TOTAL_DEBT_TO_EBIT","FQ1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44" s="2" t="e">
        <f ca="1">_xll.BDH($C$28,"NET_DEBT_TO_EBIT","FQ1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44" s="2" t="e">
        <f ca="1">_xll.BDH($C$28,"EBITDA_TO_INTEREST_EXPN","FQ1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44" s="2" t="e">
        <f ca="1">_xll.BDH($C$28,"COM_EQY_TO_TOT_ASSET","FQ1 2017","FQ1 2017","Currency=INR","Period=FQ","BEST_FPERIOD_OVERRIDE=FQ","FILING_STATUS=OR","EQY_CONSOLIDATED=Y","Sort=A","Dates=H","DateFormat=P","Fill=—","Direction=H","UseDPDF=Y")</f>
        <v>#NAME?</v>
      </c>
      <c r="CH44" s="2" t="e">
        <f ca="1">_xll.BDH($C$28,"LT_DEBT_TO_TOT_EQY","FQ1 2017","FQ1 2017","Currency=INR","Period=FQ","BEST_FPERIOD_OVERRIDE=FQ","FILING_STATUS=OR","EQY_CONSOLIDATED=Y","Sort=A","Dates=H","DateFormat=P","Fill=—","Direction=H","UseDPDF=Y")</f>
        <v>#NAME?</v>
      </c>
      <c r="CI44" s="2" t="e">
        <f ca="1">_xll.BDH($C$28,"LT_DEBT_TO_TOT_CAP","FQ1 2017","FQ1 2017","Currency=INR","Period=FQ","BEST_FPERIOD_OVERRIDE=FQ","FILING_STATUS=OR","EQY_CONSOLIDATED=Y","Sort=A","Dates=H","DateFormat=P","Fill=—","Direction=H","UseDPDF=Y")</f>
        <v>#NAME?</v>
      </c>
      <c r="CJ44" s="2" t="e">
        <f ca="1">_xll.BDH($C$28,"LT_DEBT_TO_TOT_ASSET","FQ1 2017","FQ1 2017","Currency=INR","Period=FQ","BEST_FPERIOD_OVERRIDE=FQ","FILING_STATUS=OR","EQY_CONSOLIDATED=Y","Sort=A","Dates=H","DateFormat=P","Fill=—","Direction=H","UseDPDF=Y")</f>
        <v>#NAME?</v>
      </c>
      <c r="CK44" s="2" t="e">
        <f ca="1">_xll.BDH($C$28,"TOT_DEBT_TO_TOT_EQY","FQ1 2017","FQ1 2017","Currency=INR","Period=FQ","BEST_FPERIOD_OVERRIDE=FQ","FILING_STATUS=OR","EQY_CONSOLIDATED=Y","Sort=A","Dates=H","DateFormat=P","Fill=—","Direction=H","UseDPDF=Y")</f>
        <v>#NAME?</v>
      </c>
      <c r="CL44" s="2" t="e">
        <f ca="1">_xll.BDH($C$28,"TOT_DEBT_TO_TOT_CAP","FQ1 2017","FQ1 2017","Currency=INR","Period=FQ","BEST_FPERIOD_OVERRIDE=FQ","FILING_STATUS=OR","EQY_CONSOLIDATED=Y","Sort=A","Dates=H","DateFormat=P","Fill=—","Direction=H","UseDPDF=Y")</f>
        <v>#NAME?</v>
      </c>
      <c r="CM44" s="2" t="e">
        <f ca="1">_xll.BDH($C$28,"TOT_DEBT_TO_TOT_ASSET","FQ1 2017","FQ1 2017","Currency=INR","Period=FQ","BEST_FPERIOD_OVERRIDE=FQ","FILING_STATUS=OR","EQY_CONSOLIDATED=Y","Sort=A","Dates=H","DateFormat=P","Fill=—","Direction=H","UseDPDF=Y")</f>
        <v>#NAME?</v>
      </c>
      <c r="CN44" s="2" t="e">
        <f ca="1">_xll.BDH($C$28,"NET_DEBT_TO_SHRHLDR_EQTY","FQ1 2017","FQ1 2017","Currency=INR","Period=FQ","BEST_FPERIOD_OVERRIDE=FQ","FILING_STATUS=OR","EQY_CONSOLIDATED=Y","Sort=A","Dates=H","DateFormat=P","Fill=—","Direction=H","UseDPDF=Y")</f>
        <v>#NAME?</v>
      </c>
      <c r="CO44" s="2" t="e">
        <f ca="1">_xll.BDH($C$28,"NET_DEBT_%_CAPITAL","FQ1 2017","FQ1 2017","Currency=INR","Period=FQ","BEST_FPERIOD_OVERRIDE=FQ","FILING_STATUS=OR","EQY_CONSOLIDATED=Y","Sort=A","Dates=H","DateFormat=P","Fill=—","Direction=H","UseDPDF=Y")</f>
        <v>#NAME?</v>
      </c>
      <c r="CP44" s="3" t="e">
        <f ca="1">_xll.BDH($C$28,"EBITDA","FQ1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44" s="3" t="e">
        <f ca="1">_xll.BDH($C$28,"EBITDA_AFTER_CAPEX","FQ1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44" s="3" t="e">
        <f ca="1">_xll.BDH($C$28,"IS_OPER_INC","FQ1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44" s="2" t="e">
        <f ca="1">_xll.BDH($C$28,"CASH_RATIO","FQ1 2017","FQ1 2017","Currency=INR","Period=FQ","BEST_FPERIOD_OVERRIDE=FQ","FILING_STATUS=OR","EQY_CONSOLIDATED=Y","Sort=A","Dates=H","DateFormat=P","Fill=—","Direction=H","UseDPDF=Y")</f>
        <v>#NAME?</v>
      </c>
      <c r="CT44" s="2" t="e">
        <f ca="1">_xll.BDH($C$28,"CUR_RATIO","FQ1 2017","FQ1 2017","Currency=INR","Period=FQ","BEST_FPERIOD_OVERRIDE=FQ","FILING_STATUS=OR","EQY_CONSOLIDATED=Y","Sort=A","Dates=H","DateFormat=P","Fill=—","Direction=H","UseDPDF=Y")</f>
        <v>#NAME?</v>
      </c>
      <c r="CU44" s="2" t="e">
        <f ca="1">_xll.BDH($C$28,"QUICK_RATIO","FQ1 2017","FQ1 2017","Currency=INR","Period=FQ","BEST_FPERIOD_OVERRIDE=FQ","FILING_STATUS=OR","EQY_CONSOLIDATED=Y","Sort=A","Dates=H","DateFormat=P","Fill=—","Direction=H","UseDPDF=Y")</f>
        <v>#NAME?</v>
      </c>
      <c r="CV44" s="2" t="e">
        <f ca="1">_xll.BDH($C$28,"ALTMAN_Z_SCORE","FQ1 2017","FQ1 2017","Currency=INR","Period=FQ","BEST_FPERIOD_OVERRIDE=FQ","FILING_STATUS=OR","EQY_CONSOLIDATED=Y","Sort=A","Dates=H","DateFormat=P","Fill=—","Direction=H","UseDPDF=Y")</f>
        <v>#NAME?</v>
      </c>
      <c r="CW44" s="4" t="e">
        <f ca="1">_xll.BDH($C$28,"ACCT_RCV_TURN","FQ1 2017","FQ1 2017","Currency=INR","Period=FQ","BEST_FPERIOD_OVERRIDE=FQ","FILING_STATUS=OR","EQY_CONSOLIDATED=Y","FA_ADJUSTED=GAAP","Sort=A","Dates=H","DateFormat=P","Fill=—","Direction=H","UseDPDF=Y")</f>
        <v>#NAME?</v>
      </c>
      <c r="CX44" s="2" t="e">
        <f ca="1">_xll.BDH($C$28,"ACCT_RCV_DAYS","FQ1 2017","FQ1 2017","Currency=INR","Period=FQ","BEST_FPERIOD_OVERRIDE=FQ","FILING_STATUS=OR","EQY_CONSOLIDATED=Y","FA_ADJUSTED=GAAP","Sort=A","Dates=H","DateFormat=P","Fill=—","Direction=H","UseDPDF=Y")</f>
        <v>#NAME?</v>
      </c>
      <c r="CY44" s="4" t="e">
        <f ca="1">_xll.BDH($C$28,"INVENT_TURN","FQ1 2017","FQ1 2017","Currency=INR","Period=FQ","BEST_FPERIOD_OVERRIDE=FQ","FILING_STATUS=OR","EQY_CONSOLIDATED=Y","FA_ADJUSTED=GAAP","Sort=A","Dates=H","DateFormat=P","Fill=—","Direction=H","UseDPDF=Y")</f>
        <v>#NAME?</v>
      </c>
      <c r="CZ44" s="2" t="e">
        <f ca="1">_xll.BDH($C$28,"INVENT_DAYS","FQ1 2017","FQ1 2017","Currency=INR","Period=FQ","BEST_FPERIOD_OVERRIDE=FQ","FILING_STATUS=OR","EQY_CONSOLIDATED=Y","FA_ADJUSTED=GAAP","Sort=A","Dates=H","DateFormat=P","Fill=—","Direction=H","UseDPDF=Y")</f>
        <v>#NAME?</v>
      </c>
      <c r="DA44" s="4" t="e">
        <f ca="1">_xll.BDH($C$28,"ACCOUNTS_PAYABLE_TURNOVER","FQ1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44" s="2" t="e">
        <f ca="1">_xll.BDH($C$28,"ACCOUNTS_PAYABLE_TURNOVER_DAYS","FQ1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44" s="4" t="e">
        <f ca="1">_xll.BDH($C$28,"CASH_CONVERSION_CYCLE","FQ1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44" s="4" t="e">
        <f ca="1">_xll.BDH($C$28,"INV_TO_CASH_DAYS","FQ1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44" s="5" t="e">
        <f ca="1">_xll.BDH($C$28,"BS_INVENTORIES","FQ1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44" s="3" t="e">
        <f ca="1">_xll.BDH($C$28,"INVTRY_RAW_MATERIALS","FQ1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44" s="3" t="e">
        <f ca="1">_xll.BDH($C$28,"INVTRY_IN_PROGRESS","FQ1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44" s="3" t="e">
        <f ca="1">_xll.BDH($C$28,"INVTRY_FINISHED_GOODS","FQ1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44" s="3" t="e">
        <f ca="1">_xll.BDH($C$28,"BS_OTHER_INV","FQ1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45" spans="1:113" x14ac:dyDescent="0.3">
      <c r="A45" s="6"/>
      <c r="B45" s="6"/>
      <c r="C45" s="6"/>
      <c r="D45" s="6"/>
      <c r="E45" t="s">
        <v>79</v>
      </c>
      <c r="F45" t="e">
        <f ca="1">_xll.BDH($C$28,"RETURN_COM_EQY","FQ2 2017","FQ2 2017","Currency=INR","Period=FQ","BEST_FPERIOD_OVERRIDE=FQ","FILING_STATUS=OR","EQY_CONSOLIDATED=Y","FA_ADJUSTED=GAAP","Sort=A","Dates=H","DateFormat=P","Fill=—","Direction=H","UseDPDF=Y")</f>
        <v>#NAME?</v>
      </c>
      <c r="G45" t="e">
        <f ca="1">_xll.BDH($C$28,"RETURN_ON_ASSET","FQ2 2017","FQ2 2017","Currency=INR","Period=FQ","BEST_FPERIOD_OVERRIDE=FQ","FILING_STATUS=OR","EQY_CONSOLIDATED=Y","FA_ADJUSTED=GAAP","Sort=A","Dates=H","DateFormat=P","Fill=—","Direction=H","UseDPDF=Y")</f>
        <v>#NAME?</v>
      </c>
      <c r="H45" t="e">
        <f ca="1">_xll.BDH($C$28,"RETURN_ON_CAP","FQ2 2017","FQ2 2017","Currency=INR","Period=FQ","BEST_FPERIOD_OVERRIDE=FQ","FILING_STATUS=OR","EQY_CONSOLIDATED=Y","FA_ADJUSTED=GAAP","Sort=A","Dates=H","DateFormat=P","Fill=—","Direction=H","UseDPDF=Y")</f>
        <v>#NAME?</v>
      </c>
      <c r="I45" t="e">
        <f ca="1">_xll.BDH($C$28,"RETURN_ON_INV_CAPITAL","FQ2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45" t="e">
        <f ca="1">_xll.BDH($C$28,"EBITDA_TO_REVENUE","FQ2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45" t="e">
        <f ca="1">_xll.BDH($C$28,"OPER_MARGIN","FQ2 2017","FQ2 2017","Currency=INR","Period=FQ","BEST_FPERIOD_OVERRIDE=FQ","FILING_STATUS=OR","EQY_CONSOLIDATED=Y","FA_ADJUSTED=GAAP","Sort=A","Dates=H","DateFormat=P","Fill=—","Direction=H","UseDPDF=Y")</f>
        <v>#NAME?</v>
      </c>
      <c r="L45" t="e">
        <f ca="1">_xll.BDH($C$28,"INCREMENTAL_OPERATING_MARGIN","FQ2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45" t="e">
        <f ca="1">_xll.BDH($C$28,"PRETAX_INC_TO_NET_SALES","FQ2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45" t="e">
        <f ca="1">_xll.BDH($C$28,"INC_BEF_XO_ITEMS_TO_NET_SALES","FQ2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45" t="e">
        <f ca="1">_xll.BDH($C$28,"PROF_MARGIN","FQ2 2017","FQ2 2017","Currency=INR","Period=FQ","BEST_FPERIOD_OVERRIDE=FQ","FILING_STATUS=OR","EQY_CONSOLIDATED=Y","FA_ADJUSTED=GAAP","Sort=A","Dates=H","DateFormat=P","Fill=—","Direction=H","UseDPDF=Y")</f>
        <v>#NAME?</v>
      </c>
      <c r="P45" t="e">
        <f ca="1">_xll.BDH($C$28,"NET_INCOME_TO_COMMON_MARGIN","FQ2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45" t="e">
        <f ca="1">_xll.BDH($C$28,"EFF_TAX_RATE","FQ2 2017","FQ2 2017","Currency=INR","Period=FQ","BEST_FPERIOD_OVERRIDE=FQ","FILING_STATUS=OR","EQY_CONSOLIDATED=Y","FA_ADJUSTED=GAAP","Sort=A","Dates=H","DateFormat=P","Fill=—","Direction=H","UseDPDF=Y")</f>
        <v>#NAME?</v>
      </c>
      <c r="R45" t="e">
        <f ca="1">_xll.BDH($C$28,"DVD_PAYOUT_RATIO","FQ2 2017","FQ2 2017","Currency=INR","Period=FQ","BEST_FPERIOD_OVERRIDE=FQ","FILING_STATUS=OR","EQY_CONSOLIDATED=Y","FA_ADJUSTED=GAAP","Sort=A","Dates=H","DateFormat=P","Fill=—","Direction=H","UseDPDF=Y")</f>
        <v>#NAME?</v>
      </c>
      <c r="S45" t="e">
        <f ca="1">_xll.BDH($C$28,"SUSTAIN_GROWTH_RT","FQ2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45" s="2" t="e">
        <f ca="1">_xll.BDH($C$28,"SALES_GROWTH","FQ2 2017","FQ2 2017","Currency=INR","Period=FQ","BEST_FPERIOD_OVERRIDE=FQ","FILING_STATUS=OR","EQY_CONSOLIDATED=Y","FA_ADJUSTED=GAAP","Sort=A","Dates=H","DateFormat=P","Fill=—","Direction=H","UseDPDF=Y")</f>
        <v>#NAME?</v>
      </c>
      <c r="U45" s="2" t="e">
        <f ca="1">_xll.BDH($C$28,"EBITDA_GROWTH","FQ2 2017","FQ2 2017","Currency=INR","Period=FQ","BEST_FPERIOD_OVERRIDE=FQ","FILING_STATUS=OR","EQY_CONSOLIDATED=Y","FA_ADJUSTED=GAAP","Sort=A","Dates=H","DateFormat=P","Fill=—","Direction=H","UseDPDF=Y")</f>
        <v>#NAME?</v>
      </c>
      <c r="V45" s="2" t="e">
        <f ca="1">_xll.BDH($C$28,"OPER_INC_GROWTH","FQ2 2017","FQ2 2017","Currency=INR","Period=FQ","BEST_FPERIOD_OVERRIDE=FQ","FILING_STATUS=OR","EQY_CONSOLIDATED=Y","FA_ADJUSTED=GAAP","Sort=A","Dates=H","DateFormat=P","Fill=—","Direction=H","UseDPDF=Y")</f>
        <v>#NAME?</v>
      </c>
      <c r="W45" s="2" t="e">
        <f ca="1">_xll.BDH($C$28,"EARN_FOR_COM_GROWTH","FQ2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45" s="2" t="e">
        <f ca="1">_xll.BDH($C$28,"DILUTED_EPS_AFT_XO_ITEMS_GROWTH","FQ2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45" s="2" t="e">
        <f ca="1">_xll.BDH($C$28,"DIVIDEND_PER_SHARE_1_YEAR_GROWTH","FQ2 2017","FQ2 2017","Currency=INR","Period=FQ","BEST_FPERIOD_OVERRIDE=FQ","FILING_STATUS=OR","EQY_CONSOLIDATED=Y","Sort=A","Dates=H","DateFormat=P","Fill=—","Direction=H","UseDPDF=Y")</f>
        <v>#NAME?</v>
      </c>
      <c r="Z45" s="2" t="e">
        <f ca="1">_xll.BDH($C$28,"ACCOUNTS_RECEIVABLE_GROWTH","FQ2 2017","FQ2 2017","Currency=INR","Period=FQ","BEST_FPERIOD_OVERRIDE=FQ","FILING_STATUS=OR","EQY_CONSOLIDATED=Y","Sort=A","Dates=H","DateFormat=P","Fill=—","Direction=H","UseDPDF=Y")</f>
        <v>#NAME?</v>
      </c>
      <c r="AA45" s="2" t="e">
        <f ca="1">_xll.BDH($C$28,"INVENTORY_GROWTH","FQ2 2017","FQ2 2017","Currency=INR","Period=FQ","BEST_FPERIOD_OVERRIDE=FQ","FILING_STATUS=OR","EQY_CONSOLIDATED=Y","Sort=A","Dates=H","DateFormat=P","Fill=—","Direction=H","UseDPDF=Y")</f>
        <v>#NAME?</v>
      </c>
      <c r="AB45" s="2" t="e">
        <f ca="1">_xll.BDH($C$28,"NET_FIXED_ASSETS_1_YEAR_GROWTH","FQ2 2017","FQ2 2017","Currency=INR","Period=FQ","BEST_FPERIOD_OVERRIDE=FQ","FILING_STATUS=OR","EQY_CONSOLIDATED=Y","Sort=A","Dates=H","DateFormat=P","Fill=—","Direction=H","UseDPDF=Y")</f>
        <v>#NAME?</v>
      </c>
      <c r="AC45" s="2" t="e">
        <f ca="1">_xll.BDH($C$28,"ASSET_GROWTH","FQ2 2017","FQ2 2017","Currency=INR","Period=FQ","BEST_FPERIOD_OVERRIDE=FQ","FILING_STATUS=OR","EQY_CONSOLIDATED=Y","Sort=A","Dates=H","DateFormat=P","Fill=—","Direction=H","UseDPDF=Y")</f>
        <v>#NAME?</v>
      </c>
      <c r="AD45" s="2" t="e">
        <f ca="1">_xll.BDH($C$28,"MODIFIED_WORK_CAP_GROWTH","FQ2 2017","FQ2 2017","Currency=INR","Period=FQ","BEST_FPERIOD_OVERRIDE=FQ","FILING_STATUS=OR","EQY_CONSOLIDATED=Y","Sort=A","Dates=H","DateFormat=P","Fill=—","Direction=H","UseDPDF=Y")</f>
        <v>#NAME?</v>
      </c>
      <c r="AE45" s="2" t="e">
        <f ca="1">_xll.BDH($C$28,"WORK_CAP_GROWTH","FQ2 2017","FQ2 2017","Currency=INR","Period=FQ","BEST_FPERIOD_OVERRIDE=FQ","FILING_STATUS=OR","EQY_CONSOLIDATED=Y","Sort=A","Dates=H","DateFormat=P","Fill=—","Direction=H","UseDPDF=Y")</f>
        <v>#NAME?</v>
      </c>
      <c r="AF45" s="2" t="e">
        <f ca="1">_xll.BDH($C$28,"ACCOUNTS_PAYABLE_GROWTH_1YR","FQ2 2017","FQ2 2017","Currency=INR","Period=FQ","BEST_FPERIOD_OVERRIDE=FQ","FILING_STATUS=OR","EQY_CONSOLIDATED=Y","Sort=A","Dates=H","DateFormat=P","Fill=—","Direction=H","UseDPDF=Y")</f>
        <v>#NAME?</v>
      </c>
      <c r="AG45" s="2" t="e">
        <f ca="1">_xll.BDH($C$28,"SHORT_TERM_DEBT_1_YEAR_GROWTH","FQ2 2017","FQ2 2017","Currency=INR","Period=FQ","BEST_FPERIOD_OVERRIDE=FQ","FILING_STATUS=OR","EQY_CONSOLIDATED=Y","Sort=A","Dates=H","DateFormat=P","Fill=—","Direction=H","UseDPDF=Y")</f>
        <v>#NAME?</v>
      </c>
      <c r="AH45" s="2" t="e">
        <f ca="1">_xll.BDH($C$28,"TOTAL_DEBT_1_YEAR_GROWTH","FQ2 2017","FQ2 2017","Currency=INR","Period=FQ","BEST_FPERIOD_OVERRIDE=FQ","FILING_STATUS=OR","EQY_CONSOLIDATED=Y","Sort=A","Dates=H","DateFormat=P","Fill=—","Direction=H","UseDPDF=Y")</f>
        <v>#NAME?</v>
      </c>
      <c r="AI45" s="2" t="e">
        <f ca="1">_xll.BDH($C$28,"TOTAL_EQUITY_1_YEAR_GROWTH","FQ2 2017","FQ2 2017","Currency=INR","Period=FQ","BEST_FPERIOD_OVERRIDE=FQ","FILING_STATUS=OR","EQY_CONSOLIDATED=Y","Sort=A","Dates=H","DateFormat=P","Fill=—","Direction=H","UseDPDF=Y")</f>
        <v>#NAME?</v>
      </c>
      <c r="AJ45" s="2" t="e">
        <f ca="1">_xll.BDH($C$28,"GROWTH_IN_CAP","FQ2 2017","FQ2 2017","Currency=INR","Period=FQ","BEST_FPERIOD_OVERRIDE=FQ","FILING_STATUS=OR","EQY_CONSOLIDATED=Y","Sort=A","Dates=H","DateFormat=P","Fill=—","Direction=H","UseDPDF=Y")</f>
        <v>#NAME?</v>
      </c>
      <c r="AK45" s="2" t="e">
        <f ca="1">_xll.BDH($C$28,"BVPS_GROWTH","FQ2 2017","FQ2 2017","Currency=INR","Period=FQ","BEST_FPERIOD_OVERRIDE=FQ","FILING_STATUS=OR","EQY_CONSOLIDATED=Y","Sort=A","Dates=H","DateFormat=P","Fill=—","Direction=H","UseDPDF=Y")</f>
        <v>#NAME?</v>
      </c>
      <c r="AL45" s="2" t="e">
        <f ca="1">_xll.BDH($C$28,"CASH_FLOW_GROWTH","FQ2 2017","FQ2 2017","Currency=INR","Period=FQ","BEST_FPERIOD_OVERRIDE=FQ","FILING_STATUS=OR","EQY_CONSOLIDATED=Y","Sort=A","Dates=H","DateFormat=P","Fill=—","Direction=H","UseDPDF=Y")</f>
        <v>#NAME?</v>
      </c>
      <c r="AM45" s="2" t="e">
        <f ca="1">_xll.BDH($C$28,"GEO_GROW_NET_SALES","FQ2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45" s="2" t="e">
        <f ca="1">_xll.BDH($C$28,"GEO_GROW_EBITDA","FQ2 2017","FQ2 2017","Currency=INR","Period=FQ","BEST_FPERIOD_OVERRIDE=FQ","FILING_STATUS=OR","EQY_CONSOLIDATED=Y","FA_ADJUSTED=GAAP","Sort=A","Dates=H","DateFormat=P","Fill=—","Direction=H","UseDPDF=Y")</f>
        <v>#NAME?</v>
      </c>
      <c r="AO45" s="2" t="e">
        <f ca="1">_xll.BDH($C$28,"GEO_GROW_OPER_INC","FQ2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45" s="2" t="e">
        <f ca="1">_xll.BDH($C$28,"NET_INCOME_TO_COMMON_5_YR_GROWTH","FQ2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45" s="2" t="e">
        <f ca="1">_xll.BDH($C$28,"5Y_GEO_GROWTH_DILUTED_EPS","FQ2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45" s="2" t="e">
        <f ca="1">_xll.BDH($C$28,"GEO_GROW_DVD_PER_SH","FQ2 2017","FQ2 2017","Currency=INR","Period=FQ","BEST_FPERIOD_OVERRIDE=FQ","FILING_STATUS=OR","EQY_CONSOLIDATED=Y","Sort=A","Dates=H","DateFormat=P","Fill=—","Direction=H","UseDPDF=Y")</f>
        <v>#NAME?</v>
      </c>
      <c r="AS45" s="2" t="e">
        <f ca="1">_xll.BDH($C$28,"ACCOUNTS_RECEIVABLE_5_YR_GROWTH","FQ2 2017","FQ2 2017","Currency=INR","Period=FQ","BEST_FPERIOD_OVERRIDE=FQ","FILING_STATUS=OR","EQY_CONSOLIDATED=Y","Sort=A","Dates=H","DateFormat=P","Fill=—","Direction=H","UseDPDF=Y")</f>
        <v>#NAME?</v>
      </c>
      <c r="AT45" s="2" t="e">
        <f ca="1">_xll.BDH($C$28,"INVENTORY_5_YEAR_GROWTH","FQ2 2017","FQ2 2017","Currency=INR","Period=FQ","BEST_FPERIOD_OVERRIDE=FQ","FILING_STATUS=OR","EQY_CONSOLIDATED=Y","Sort=A","Dates=H","DateFormat=P","Fill=—","Direction=H","UseDPDF=Y")</f>
        <v>#NAME?</v>
      </c>
      <c r="AU45" s="2" t="e">
        <f ca="1">_xll.BDH($C$28,"NET_FIXED_ASSETS_5_YEAR_GROWTH","FQ2 2017","FQ2 2017","Currency=INR","Period=FQ","BEST_FPERIOD_OVERRIDE=FQ","FILING_STATUS=OR","EQY_CONSOLIDATED=Y","Sort=A","Dates=H","DateFormat=P","Fill=—","Direction=H","UseDPDF=Y")</f>
        <v>#NAME?</v>
      </c>
      <c r="AV45" s="2" t="e">
        <f ca="1">_xll.BDH($C$28,"GEO_GROW_TOT_ASSET","FQ2 2017","FQ2 2017","Currency=INR","Period=FQ","BEST_FPERIOD_OVERRIDE=FQ","FILING_STATUS=OR","EQY_CONSOLIDATED=Y","Sort=A","Dates=H","DateFormat=P","Fill=—","Direction=H","UseDPDF=Y")</f>
        <v>#NAME?</v>
      </c>
      <c r="AW45" s="2" t="e">
        <f ca="1">_xll.BDH($C$28,"MODIFIED_WORKING_CPTL_5YR_GRWTH","FQ2 2017","FQ2 2017","Currency=INR","Period=FQ","BEST_FPERIOD_OVERRIDE=FQ","FILING_STATUS=OR","EQY_CONSOLIDATED=Y","Sort=A","Dates=H","DateFormat=P","Fill=—","Direction=H","UseDPDF=Y")</f>
        <v>#NAME?</v>
      </c>
      <c r="AX45" s="2" t="e">
        <f ca="1">_xll.BDH($C$28,"WORKING_CAPITAL_5_YEAR_GROWTH","FQ2 2017","FQ2 2017","Currency=INR","Period=FQ","BEST_FPERIOD_OVERRIDE=FQ","FILING_STATUS=OR","EQY_CONSOLIDATED=Y","Sort=A","Dates=H","DateFormat=P","Fill=—","Direction=H","UseDPDF=Y")</f>
        <v>#NAME?</v>
      </c>
      <c r="AY45" s="2" t="e">
        <f ca="1">_xll.BDH($C$28,"ACCOUNTS_PAYABLE_5_YEAR_GROWTH","FQ2 2017","FQ2 2017","Currency=INR","Period=FQ","BEST_FPERIOD_OVERRIDE=FQ","FILING_STATUS=OR","EQY_CONSOLIDATED=Y","Sort=A","Dates=H","DateFormat=P","Fill=—","Direction=H","UseDPDF=Y")</f>
        <v>#NAME?</v>
      </c>
      <c r="AZ45" s="2" t="e">
        <f ca="1">_xll.BDH($C$28,"SHORT_TERM_DEBT_5_YEAR_GROWTH","FQ2 2017","FQ2 2017","Currency=INR","Period=FQ","BEST_FPERIOD_OVERRIDE=FQ","FILING_STATUS=OR","EQY_CONSOLIDATED=Y","Sort=A","Dates=H","DateFormat=P","Fill=—","Direction=H","UseDPDF=Y")</f>
        <v>#NAME?</v>
      </c>
      <c r="BA45" s="2" t="e">
        <f ca="1">_xll.BDH($C$28,"TOTAL_DEBT_5_YEAR_GROWTH","FQ2 2017","FQ2 2017","Currency=INR","Period=FQ","BEST_FPERIOD_OVERRIDE=FQ","FILING_STATUS=OR","EQY_CONSOLIDATED=Y","Sort=A","Dates=H","DateFormat=P","Fill=—","Direction=H","UseDPDF=Y")</f>
        <v>#NAME?</v>
      </c>
      <c r="BB45" s="2" t="e">
        <f ca="1">_xll.BDH($C$28,"GEO_GROW_TOT_SHRHLDR_EQY","FQ2 2017","FQ2 2017","Currency=INR","Period=FQ","BEST_FPERIOD_OVERRIDE=FQ","FILING_STATUS=OR","EQY_CONSOLIDATED=Y","Sort=A","Dates=H","DateFormat=P","Fill=—","Direction=H","UseDPDF=Y")</f>
        <v>#NAME?</v>
      </c>
      <c r="BC45" s="2" t="e">
        <f ca="1">_xll.BDH($C$28,"TOTAL_CAPITAL_5_YEAR_GROWTH","FQ2 2017","FQ2 2017","Currency=INR","Period=FQ","BEST_FPERIOD_OVERRIDE=FQ","FILING_STATUS=OR","EQY_CONSOLIDATED=Y","Sort=A","Dates=H","DateFormat=P","Fill=—","Direction=H","UseDPDF=Y")</f>
        <v>#NAME?</v>
      </c>
      <c r="BD45" s="2" t="e">
        <f ca="1">_xll.BDH($C$28,"GEO_GROW_BOOK_VAL","FQ2 2017","FQ2 2017","Currency=INR","Period=FQ","BEST_FPERIOD_OVERRIDE=FQ","FILING_STATUS=OR","EQY_CONSOLIDATED=Y","Sort=A","Dates=H","DateFormat=P","Fill=—","Direction=H","UseDPDF=Y")</f>
        <v>#NAME?</v>
      </c>
      <c r="BE45" s="2" t="e">
        <f ca="1">_xll.BDH($C$28,"GEO_GROW_CASH_OPER_ACT","FQ2 2017","FQ2 2017","Currency=INR","Period=FQ","BEST_FPERIOD_OVERRIDE=FQ","FILING_STATUS=OR","EQY_CONSOLIDATED=Y","Sort=A","Dates=H","DateFormat=P","Fill=—","Direction=H","UseDPDF=Y")</f>
        <v>#NAME?</v>
      </c>
      <c r="BF45" s="2" t="e">
        <f ca="1">_xll.BDH($C$28,"REVENUE_SEQUENTIAL_GROWTH","FQ2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45" s="2" t="e">
        <f ca="1">_xll.BDH($C$28,"EBITDA_SEQUENTIAL_GROWTH","FQ2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45" s="2" t="e">
        <f ca="1">_xll.BDH($C$28,"OPERATING_INCOME_SEQ_GROWTH","FQ2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45" s="2" t="e">
        <f ca="1">_xll.BDH($C$28,"NET_INCOME_TO_COMMON_SEQ_GROWTH","FQ2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45" s="2" t="e">
        <f ca="1">_xll.BDH($C$28,"EPS_DILUTED_SEQUENTIAL_GROWTH","FQ2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45" s="2" t="e">
        <f ca="1">_xll.BDH($C$28,"DPS_SEQUENTIAL_GROWTH","FQ2 2017","FQ2 2017","Currency=INR","Period=FQ","BEST_FPERIOD_OVERRIDE=FQ","FILING_STATUS=OR","EQY_CONSOLIDATED=Y","Sort=A","Dates=H","DateFormat=P","Fill=—","Direction=H","UseDPDF=Y")</f>
        <v>#NAME?</v>
      </c>
      <c r="BL45" s="2" t="e">
        <f ca="1">_xll.BDH($C$28,"ACCOUNTS_RECEIVABLE_SEQ_GROWTH","FQ2 2017","FQ2 2017","Currency=INR","Period=FQ","BEST_FPERIOD_OVERRIDE=FQ","FILING_STATUS=OR","EQY_CONSOLIDATED=Y","Sort=A","Dates=H","DateFormat=P","Fill=—","Direction=H","UseDPDF=Y")</f>
        <v>#NAME?</v>
      </c>
      <c r="BM45" s="2" t="e">
        <f ca="1">_xll.BDH($C$28,"INVENTORY_SEQUENTIAL_GROWTH","FQ2 2017","FQ2 2017","Currency=INR","Period=FQ","BEST_FPERIOD_OVERRIDE=FQ","FILING_STATUS=OR","EQY_CONSOLIDATED=Y","Sort=A","Dates=H","DateFormat=P","Fill=—","Direction=H","UseDPDF=Y")</f>
        <v>#NAME?</v>
      </c>
      <c r="BN45" s="2" t="e">
        <f ca="1">_xll.BDH($C$28,"FIXED_ASSETS_SEQUENTIAL_GROWTH","FQ2 2017","FQ2 2017","Currency=INR","Period=FQ","BEST_FPERIOD_OVERRIDE=FQ","FILING_STATUS=OR","EQY_CONSOLIDATED=Y","Sort=A","Dates=H","DateFormat=P","Fill=—","Direction=H","UseDPDF=Y")</f>
        <v>#NAME?</v>
      </c>
      <c r="BO45" s="2" t="e">
        <f ca="1">_xll.BDH($C$28,"TOTAL_ASSETS_SEQUENTIAL_GROWTH","FQ2 2017","FQ2 2017","Currency=INR","Period=FQ","BEST_FPERIOD_OVERRIDE=FQ","FILING_STATUS=OR","EQY_CONSOLIDATED=Y","Sort=A","Dates=H","DateFormat=P","Fill=—","Direction=H","UseDPDF=Y")</f>
        <v>#NAME?</v>
      </c>
      <c r="BP45" s="2" t="e">
        <f ca="1">_xll.BDH($C$28,"MODIFIED_WORKING_CPTL_SEQ_GRWTH","FQ2 2017","FQ2 2017","Currency=INR","Period=FQ","BEST_FPERIOD_OVERRIDE=FQ","FILING_STATUS=OR","EQY_CONSOLIDATED=Y","Sort=A","Dates=H","DateFormat=P","Fill=—","Direction=H","UseDPDF=Y")</f>
        <v>#NAME?</v>
      </c>
      <c r="BQ45" s="2" t="e">
        <f ca="1">_xll.BDH($C$28,"WORKING_CAPITAL_SEQ_GROWTH","FQ2 2017","FQ2 2017","Currency=INR","Period=FQ","BEST_FPERIOD_OVERRIDE=FQ","FILING_STATUS=OR","EQY_CONSOLIDATED=Y","Sort=A","Dates=H","DateFormat=P","Fill=—","Direction=H","UseDPDF=Y")</f>
        <v>#NAME?</v>
      </c>
      <c r="BR45" s="2" t="e">
        <f ca="1">_xll.BDH($C$28,"ACCOUNTS_PAYABLE_SEQ_GROWTH","FQ2 2017","FQ2 2017","Currency=INR","Period=FQ","BEST_FPERIOD_OVERRIDE=FQ","FILING_STATUS=OR","EQY_CONSOLIDATED=Y","Sort=A","Dates=H","DateFormat=P","Fill=—","Direction=H","UseDPDF=Y")</f>
        <v>#NAME?</v>
      </c>
      <c r="BS45" s="2" t="e">
        <f ca="1">_xll.BDH($C$28,"ST_DEBT_SEQUENTIAL_GROWTH","FQ2 2017","FQ2 2017","Currency=INR","Period=FQ","BEST_FPERIOD_OVERRIDE=FQ","FILING_STATUS=OR","EQY_CONSOLIDATED=Y","Sort=A","Dates=H","DateFormat=P","Fill=—","Direction=H","UseDPDF=Y")</f>
        <v>#NAME?</v>
      </c>
      <c r="BT45" s="2" t="e">
        <f ca="1">_xll.BDH($C$28,"TOTAL_DEBT_SEQUENTIAL_GROWTH","FQ2 2017","FQ2 2017","Currency=INR","Period=FQ","BEST_FPERIOD_OVERRIDE=FQ","FILING_STATUS=OR","EQY_CONSOLIDATED=Y","Sort=A","Dates=H","DateFormat=P","Fill=—","Direction=H","UseDPDF=Y")</f>
        <v>#NAME?</v>
      </c>
      <c r="BU45" s="2" t="e">
        <f ca="1">_xll.BDH($C$28,"TOTAL_EQUITY_SEQUENTIAL_GROWTH","FQ2 2017","FQ2 2017","Currency=INR","Period=FQ","BEST_FPERIOD_OVERRIDE=FQ","FILING_STATUS=OR","EQY_CONSOLIDATED=Y","Sort=A","Dates=H","DateFormat=P","Fill=—","Direction=H","UseDPDF=Y")</f>
        <v>#NAME?</v>
      </c>
      <c r="BV45" s="2" t="e">
        <f ca="1">_xll.BDH($C$28,"TOTAL_CAPITAL_SEQUENTIAL_GROWTH","FQ2 2017","FQ2 2017","Currency=INR","Period=FQ","BEST_FPERIOD_OVERRIDE=FQ","FILING_STATUS=OR","EQY_CONSOLIDATED=Y","Sort=A","Dates=H","DateFormat=P","Fill=—","Direction=H","UseDPDF=Y")</f>
        <v>#NAME?</v>
      </c>
      <c r="BW45" s="2" t="e">
        <f ca="1">_xll.BDH($C$28,"BPS_SEQUENTIAL_GROWTH","FQ2 2017","FQ2 2017","Currency=INR","Period=FQ","BEST_FPERIOD_OVERRIDE=FQ","FILING_STATUS=OR","EQY_CONSOLIDATED=Y","Sort=A","Dates=H","DateFormat=P","Fill=—","Direction=H","UseDPDF=Y")</f>
        <v>#NAME?</v>
      </c>
      <c r="BX45" s="2" t="e">
        <f ca="1">_xll.BDH($C$28,"CFO_SEQUENTIAL_GROWTH","FQ2 2017","FQ2 2017","Currency=INR","Period=FQ","BEST_FPERIOD_OVERRIDE=FQ","FILING_STATUS=OR","EQY_CONSOLIDATED=Y","Sort=A","Dates=H","DateFormat=P","Fill=—","Direction=H","UseDPDF=Y")</f>
        <v>#NAME?</v>
      </c>
      <c r="BY45" s="3" t="e">
        <f ca="1">_xll.BDH($C$28,"SHORT_AND_LONG_TERM_DEBT","FQ2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45" s="3" t="e">
        <f ca="1">_xll.BDH($C$28,"BS_ST_BORROW","FQ2 2017","FQ2 2017","Currency=INR","Period=FQ","BEST_FPERIOD_OVERRIDE=FQ","FILING_STATUS=OR","EQY_CONSOLIDATED=Y","SCALING_FORMAT=MLN","Sort=A","Dates=H","DateFormat=P","Fill=—","Direction=H","UseDPDF=Y")</f>
        <v>#NAME?</v>
      </c>
      <c r="CA45" s="3" t="e">
        <f ca="1">_xll.BDH($C$28,"BS_LT_BORROW","FQ2 2017","FQ2 2017","Currency=INR","Period=FQ","BEST_FPERIOD_OVERRIDE=FQ","FILING_STATUS=OR","EQY_CONSOLIDATED=Y","SCALING_FORMAT=MLN","Sort=A","Dates=H","DateFormat=P","Fill=—","Direction=H","UseDPDF=Y")</f>
        <v>#NAME?</v>
      </c>
      <c r="CB45" s="2" t="e">
        <f ca="1">_xll.BDH($C$28,"TOT_DEBT_TO_EBITDA","FQ2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45" s="2" t="e">
        <f ca="1">_xll.BDH($C$28,"NET_DEBT_TO_EBITDA","FQ2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45" s="2" t="e">
        <f ca="1">_xll.BDH($C$28,"TOTAL_DEBT_TO_EBIT","FQ2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45" s="2" t="e">
        <f ca="1">_xll.BDH($C$28,"NET_DEBT_TO_EBIT","FQ2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45" s="2" t="e">
        <f ca="1">_xll.BDH($C$28,"EBITDA_TO_INTEREST_EXPN","FQ2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45" s="2" t="e">
        <f ca="1">_xll.BDH($C$28,"COM_EQY_TO_TOT_ASSET","FQ2 2017","FQ2 2017","Currency=INR","Period=FQ","BEST_FPERIOD_OVERRIDE=FQ","FILING_STATUS=OR","EQY_CONSOLIDATED=Y","Sort=A","Dates=H","DateFormat=P","Fill=—","Direction=H","UseDPDF=Y")</f>
        <v>#NAME?</v>
      </c>
      <c r="CH45" s="2" t="e">
        <f ca="1">_xll.BDH($C$28,"LT_DEBT_TO_TOT_EQY","FQ2 2017","FQ2 2017","Currency=INR","Period=FQ","BEST_FPERIOD_OVERRIDE=FQ","FILING_STATUS=OR","EQY_CONSOLIDATED=Y","Sort=A","Dates=H","DateFormat=P","Fill=—","Direction=H","UseDPDF=Y")</f>
        <v>#NAME?</v>
      </c>
      <c r="CI45" s="2" t="e">
        <f ca="1">_xll.BDH($C$28,"LT_DEBT_TO_TOT_CAP","FQ2 2017","FQ2 2017","Currency=INR","Period=FQ","BEST_FPERIOD_OVERRIDE=FQ","FILING_STATUS=OR","EQY_CONSOLIDATED=Y","Sort=A","Dates=H","DateFormat=P","Fill=—","Direction=H","UseDPDF=Y")</f>
        <v>#NAME?</v>
      </c>
      <c r="CJ45" s="2" t="e">
        <f ca="1">_xll.BDH($C$28,"LT_DEBT_TO_TOT_ASSET","FQ2 2017","FQ2 2017","Currency=INR","Period=FQ","BEST_FPERIOD_OVERRIDE=FQ","FILING_STATUS=OR","EQY_CONSOLIDATED=Y","Sort=A","Dates=H","DateFormat=P","Fill=—","Direction=H","UseDPDF=Y")</f>
        <v>#NAME?</v>
      </c>
      <c r="CK45" s="2" t="e">
        <f ca="1">_xll.BDH($C$28,"TOT_DEBT_TO_TOT_EQY","FQ2 2017","FQ2 2017","Currency=INR","Period=FQ","BEST_FPERIOD_OVERRIDE=FQ","FILING_STATUS=OR","EQY_CONSOLIDATED=Y","Sort=A","Dates=H","DateFormat=P","Fill=—","Direction=H","UseDPDF=Y")</f>
        <v>#NAME?</v>
      </c>
      <c r="CL45" s="2" t="e">
        <f ca="1">_xll.BDH($C$28,"TOT_DEBT_TO_TOT_CAP","FQ2 2017","FQ2 2017","Currency=INR","Period=FQ","BEST_FPERIOD_OVERRIDE=FQ","FILING_STATUS=OR","EQY_CONSOLIDATED=Y","Sort=A","Dates=H","DateFormat=P","Fill=—","Direction=H","UseDPDF=Y")</f>
        <v>#NAME?</v>
      </c>
      <c r="CM45" s="2" t="e">
        <f ca="1">_xll.BDH($C$28,"TOT_DEBT_TO_TOT_ASSET","FQ2 2017","FQ2 2017","Currency=INR","Period=FQ","BEST_FPERIOD_OVERRIDE=FQ","FILING_STATUS=OR","EQY_CONSOLIDATED=Y","Sort=A","Dates=H","DateFormat=P","Fill=—","Direction=H","UseDPDF=Y")</f>
        <v>#NAME?</v>
      </c>
      <c r="CN45" s="2" t="e">
        <f ca="1">_xll.BDH($C$28,"NET_DEBT_TO_SHRHLDR_EQTY","FQ2 2017","FQ2 2017","Currency=INR","Period=FQ","BEST_FPERIOD_OVERRIDE=FQ","FILING_STATUS=OR","EQY_CONSOLIDATED=Y","Sort=A","Dates=H","DateFormat=P","Fill=—","Direction=H","UseDPDF=Y")</f>
        <v>#NAME?</v>
      </c>
      <c r="CO45" s="2" t="e">
        <f ca="1">_xll.BDH($C$28,"NET_DEBT_%_CAPITAL","FQ2 2017","FQ2 2017","Currency=INR","Period=FQ","BEST_FPERIOD_OVERRIDE=FQ","FILING_STATUS=OR","EQY_CONSOLIDATED=Y","Sort=A","Dates=H","DateFormat=P","Fill=—","Direction=H","UseDPDF=Y")</f>
        <v>#NAME?</v>
      </c>
      <c r="CP45" s="3" t="e">
        <f ca="1">_xll.BDH($C$28,"EBITDA","FQ2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45" s="3" t="e">
        <f ca="1">_xll.BDH($C$28,"EBITDA_AFTER_CAPEX","FQ2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45" s="3" t="e">
        <f ca="1">_xll.BDH($C$28,"IS_OPER_INC","FQ2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45" s="2" t="e">
        <f ca="1">_xll.BDH($C$28,"CASH_RATIO","FQ2 2017","FQ2 2017","Currency=INR","Period=FQ","BEST_FPERIOD_OVERRIDE=FQ","FILING_STATUS=OR","EQY_CONSOLIDATED=Y","Sort=A","Dates=H","DateFormat=P","Fill=—","Direction=H","UseDPDF=Y")</f>
        <v>#NAME?</v>
      </c>
      <c r="CT45" s="2" t="e">
        <f ca="1">_xll.BDH($C$28,"CUR_RATIO","FQ2 2017","FQ2 2017","Currency=INR","Period=FQ","BEST_FPERIOD_OVERRIDE=FQ","FILING_STATUS=OR","EQY_CONSOLIDATED=Y","Sort=A","Dates=H","DateFormat=P","Fill=—","Direction=H","UseDPDF=Y")</f>
        <v>#NAME?</v>
      </c>
      <c r="CU45" s="2" t="e">
        <f ca="1">_xll.BDH($C$28,"QUICK_RATIO","FQ2 2017","FQ2 2017","Currency=INR","Period=FQ","BEST_FPERIOD_OVERRIDE=FQ","FILING_STATUS=OR","EQY_CONSOLIDATED=Y","Sort=A","Dates=H","DateFormat=P","Fill=—","Direction=H","UseDPDF=Y")</f>
        <v>#NAME?</v>
      </c>
      <c r="CV45" s="2" t="e">
        <f ca="1">_xll.BDH($C$28,"ALTMAN_Z_SCORE","FQ2 2017","FQ2 2017","Currency=INR","Period=FQ","BEST_FPERIOD_OVERRIDE=FQ","FILING_STATUS=OR","EQY_CONSOLIDATED=Y","Sort=A","Dates=H","DateFormat=P","Fill=—","Direction=H","UseDPDF=Y")</f>
        <v>#NAME?</v>
      </c>
      <c r="CW45" s="4" t="e">
        <f ca="1">_xll.BDH($C$28,"ACCT_RCV_TURN","FQ2 2017","FQ2 2017","Currency=INR","Period=FQ","BEST_FPERIOD_OVERRIDE=FQ","FILING_STATUS=OR","EQY_CONSOLIDATED=Y","FA_ADJUSTED=GAAP","Sort=A","Dates=H","DateFormat=P","Fill=—","Direction=H","UseDPDF=Y")</f>
        <v>#NAME?</v>
      </c>
      <c r="CX45" s="2" t="e">
        <f ca="1">_xll.BDH($C$28,"ACCT_RCV_DAYS","FQ2 2017","FQ2 2017","Currency=INR","Period=FQ","BEST_FPERIOD_OVERRIDE=FQ","FILING_STATUS=OR","EQY_CONSOLIDATED=Y","FA_ADJUSTED=GAAP","Sort=A","Dates=H","DateFormat=P","Fill=—","Direction=H","UseDPDF=Y")</f>
        <v>#NAME?</v>
      </c>
      <c r="CY45" s="4" t="e">
        <f ca="1">_xll.BDH($C$28,"INVENT_TURN","FQ2 2017","FQ2 2017","Currency=INR","Period=FQ","BEST_FPERIOD_OVERRIDE=FQ","FILING_STATUS=OR","EQY_CONSOLIDATED=Y","FA_ADJUSTED=GAAP","Sort=A","Dates=H","DateFormat=P","Fill=—","Direction=H","UseDPDF=Y")</f>
        <v>#NAME?</v>
      </c>
      <c r="CZ45" s="2" t="e">
        <f ca="1">_xll.BDH($C$28,"INVENT_DAYS","FQ2 2017","FQ2 2017","Currency=INR","Period=FQ","BEST_FPERIOD_OVERRIDE=FQ","FILING_STATUS=OR","EQY_CONSOLIDATED=Y","FA_ADJUSTED=GAAP","Sort=A","Dates=H","DateFormat=P","Fill=—","Direction=H","UseDPDF=Y")</f>
        <v>#NAME?</v>
      </c>
      <c r="DA45" s="4" t="e">
        <f ca="1">_xll.BDH($C$28,"ACCOUNTS_PAYABLE_TURNOVER","FQ2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45" s="2" t="e">
        <f ca="1">_xll.BDH($C$28,"ACCOUNTS_PAYABLE_TURNOVER_DAYS","FQ2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45" s="4" t="e">
        <f ca="1">_xll.BDH($C$28,"CASH_CONVERSION_CYCLE","FQ2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45" s="4" t="e">
        <f ca="1">_xll.BDH($C$28,"INV_TO_CASH_DAYS","FQ2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45" s="5" t="e">
        <f ca="1">_xll.BDH($C$28,"BS_INVENTORIES","FQ2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45" s="3" t="e">
        <f ca="1">_xll.BDH($C$28,"INVTRY_RAW_MATERIALS","FQ2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45" s="3" t="e">
        <f ca="1">_xll.BDH($C$28,"INVTRY_IN_PROGRESS","FQ2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45" s="3" t="e">
        <f ca="1">_xll.BDH($C$28,"INVTRY_FINISHED_GOODS","FQ2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45" s="3" t="e">
        <f ca="1">_xll.BDH($C$28,"BS_OTHER_INV","FQ2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46" spans="1:113" x14ac:dyDescent="0.3">
      <c r="A46" s="6"/>
      <c r="B46" s="6"/>
      <c r="C46" s="6"/>
      <c r="D46" s="6"/>
      <c r="E46" t="s">
        <v>80</v>
      </c>
      <c r="F46" t="e">
        <f ca="1">_xll.BDH($C$28,"RETURN_COM_EQY","FQ3 2017","FQ3 2017","Currency=INR","Period=FQ","BEST_FPERIOD_OVERRIDE=FQ","FILING_STATUS=OR","EQY_CONSOLIDATED=Y","FA_ADJUSTED=GAAP","Sort=A","Dates=H","DateFormat=P","Fill=—","Direction=H","UseDPDF=Y")</f>
        <v>#NAME?</v>
      </c>
      <c r="G46" t="e">
        <f ca="1">_xll.BDH($C$28,"RETURN_ON_ASSET","FQ3 2017","FQ3 2017","Currency=INR","Period=FQ","BEST_FPERIOD_OVERRIDE=FQ","FILING_STATUS=OR","EQY_CONSOLIDATED=Y","FA_ADJUSTED=GAAP","Sort=A","Dates=H","DateFormat=P","Fill=—","Direction=H","UseDPDF=Y")</f>
        <v>#NAME?</v>
      </c>
      <c r="H46" t="e">
        <f ca="1">_xll.BDH($C$28,"RETURN_ON_CAP","FQ3 2017","FQ3 2017","Currency=INR","Period=FQ","BEST_FPERIOD_OVERRIDE=FQ","FILING_STATUS=OR","EQY_CONSOLIDATED=Y","FA_ADJUSTED=GAAP","Sort=A","Dates=H","DateFormat=P","Fill=—","Direction=H","UseDPDF=Y")</f>
        <v>#NAME?</v>
      </c>
      <c r="I46" t="e">
        <f ca="1">_xll.BDH($C$28,"RETURN_ON_INV_CAPITAL","FQ3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46" t="e">
        <f ca="1">_xll.BDH($C$28,"EBITDA_TO_REVENUE","FQ3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46" t="e">
        <f ca="1">_xll.BDH($C$28,"OPER_MARGIN","FQ3 2017","FQ3 2017","Currency=INR","Period=FQ","BEST_FPERIOD_OVERRIDE=FQ","FILING_STATUS=OR","EQY_CONSOLIDATED=Y","FA_ADJUSTED=GAAP","Sort=A","Dates=H","DateFormat=P","Fill=—","Direction=H","UseDPDF=Y")</f>
        <v>#NAME?</v>
      </c>
      <c r="L46" t="e">
        <f ca="1">_xll.BDH($C$28,"INCREMENTAL_OPERATING_MARGIN","FQ3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46" t="e">
        <f ca="1">_xll.BDH($C$28,"PRETAX_INC_TO_NET_SALES","FQ3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46" t="e">
        <f ca="1">_xll.BDH($C$28,"INC_BEF_XO_ITEMS_TO_NET_SALES","FQ3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46" t="e">
        <f ca="1">_xll.BDH($C$28,"PROF_MARGIN","FQ3 2017","FQ3 2017","Currency=INR","Period=FQ","BEST_FPERIOD_OVERRIDE=FQ","FILING_STATUS=OR","EQY_CONSOLIDATED=Y","FA_ADJUSTED=GAAP","Sort=A","Dates=H","DateFormat=P","Fill=—","Direction=H","UseDPDF=Y")</f>
        <v>#NAME?</v>
      </c>
      <c r="P46" t="e">
        <f ca="1">_xll.BDH($C$28,"NET_INCOME_TO_COMMON_MARGIN","FQ3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46" t="e">
        <f ca="1">_xll.BDH($C$28,"EFF_TAX_RATE","FQ3 2017","FQ3 2017","Currency=INR","Period=FQ","BEST_FPERIOD_OVERRIDE=FQ","FILING_STATUS=OR","EQY_CONSOLIDATED=Y","FA_ADJUSTED=GAAP","Sort=A","Dates=H","DateFormat=P","Fill=—","Direction=H","UseDPDF=Y")</f>
        <v>#NAME?</v>
      </c>
      <c r="R46" t="e">
        <f ca="1">_xll.BDH($C$28,"DVD_PAYOUT_RATIO","FQ3 2017","FQ3 2017","Currency=INR","Period=FQ","BEST_FPERIOD_OVERRIDE=FQ","FILING_STATUS=OR","EQY_CONSOLIDATED=Y","FA_ADJUSTED=GAAP","Sort=A","Dates=H","DateFormat=P","Fill=—","Direction=H","UseDPDF=Y")</f>
        <v>#NAME?</v>
      </c>
      <c r="S46" t="e">
        <f ca="1">_xll.BDH($C$28,"SUSTAIN_GROWTH_RT","FQ3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46" s="2" t="e">
        <f ca="1">_xll.BDH($C$28,"SALES_GROWTH","FQ3 2017","FQ3 2017","Currency=INR","Period=FQ","BEST_FPERIOD_OVERRIDE=FQ","FILING_STATUS=OR","EQY_CONSOLIDATED=Y","FA_ADJUSTED=GAAP","Sort=A","Dates=H","DateFormat=P","Fill=—","Direction=H","UseDPDF=Y")</f>
        <v>#NAME?</v>
      </c>
      <c r="U46" s="2" t="e">
        <f ca="1">_xll.BDH($C$28,"EBITDA_GROWTH","FQ3 2017","FQ3 2017","Currency=INR","Period=FQ","BEST_FPERIOD_OVERRIDE=FQ","FILING_STATUS=OR","EQY_CONSOLIDATED=Y","FA_ADJUSTED=GAAP","Sort=A","Dates=H","DateFormat=P","Fill=—","Direction=H","UseDPDF=Y")</f>
        <v>#NAME?</v>
      </c>
      <c r="V46" s="2" t="e">
        <f ca="1">_xll.BDH($C$28,"OPER_INC_GROWTH","FQ3 2017","FQ3 2017","Currency=INR","Period=FQ","BEST_FPERIOD_OVERRIDE=FQ","FILING_STATUS=OR","EQY_CONSOLIDATED=Y","FA_ADJUSTED=GAAP","Sort=A","Dates=H","DateFormat=P","Fill=—","Direction=H","UseDPDF=Y")</f>
        <v>#NAME?</v>
      </c>
      <c r="W46" s="2" t="e">
        <f ca="1">_xll.BDH($C$28,"EARN_FOR_COM_GROWTH","FQ3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46" s="2" t="e">
        <f ca="1">_xll.BDH($C$28,"DILUTED_EPS_AFT_XO_ITEMS_GROWTH","FQ3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46" s="2" t="e">
        <f ca="1">_xll.BDH($C$28,"DIVIDEND_PER_SHARE_1_YEAR_GROWTH","FQ3 2017","FQ3 2017","Currency=INR","Period=FQ","BEST_FPERIOD_OVERRIDE=FQ","FILING_STATUS=OR","EQY_CONSOLIDATED=Y","Sort=A","Dates=H","DateFormat=P","Fill=—","Direction=H","UseDPDF=Y")</f>
        <v>#NAME?</v>
      </c>
      <c r="Z46" s="2" t="e">
        <f ca="1">_xll.BDH($C$28,"ACCOUNTS_RECEIVABLE_GROWTH","FQ3 2017","FQ3 2017","Currency=INR","Period=FQ","BEST_FPERIOD_OVERRIDE=FQ","FILING_STATUS=OR","EQY_CONSOLIDATED=Y","Sort=A","Dates=H","DateFormat=P","Fill=—","Direction=H","UseDPDF=Y")</f>
        <v>#NAME?</v>
      </c>
      <c r="AA46" s="2" t="e">
        <f ca="1">_xll.BDH($C$28,"INVENTORY_GROWTH","FQ3 2017","FQ3 2017","Currency=INR","Period=FQ","BEST_FPERIOD_OVERRIDE=FQ","FILING_STATUS=OR","EQY_CONSOLIDATED=Y","Sort=A","Dates=H","DateFormat=P","Fill=—","Direction=H","UseDPDF=Y")</f>
        <v>#NAME?</v>
      </c>
      <c r="AB46" s="2" t="e">
        <f ca="1">_xll.BDH($C$28,"NET_FIXED_ASSETS_1_YEAR_GROWTH","FQ3 2017","FQ3 2017","Currency=INR","Period=FQ","BEST_FPERIOD_OVERRIDE=FQ","FILING_STATUS=OR","EQY_CONSOLIDATED=Y","Sort=A","Dates=H","DateFormat=P","Fill=—","Direction=H","UseDPDF=Y")</f>
        <v>#NAME?</v>
      </c>
      <c r="AC46" s="2" t="e">
        <f ca="1">_xll.BDH($C$28,"ASSET_GROWTH","FQ3 2017","FQ3 2017","Currency=INR","Period=FQ","BEST_FPERIOD_OVERRIDE=FQ","FILING_STATUS=OR","EQY_CONSOLIDATED=Y","Sort=A","Dates=H","DateFormat=P","Fill=—","Direction=H","UseDPDF=Y")</f>
        <v>#NAME?</v>
      </c>
      <c r="AD46" s="2" t="e">
        <f ca="1">_xll.BDH($C$28,"MODIFIED_WORK_CAP_GROWTH","FQ3 2017","FQ3 2017","Currency=INR","Period=FQ","BEST_FPERIOD_OVERRIDE=FQ","FILING_STATUS=OR","EQY_CONSOLIDATED=Y","Sort=A","Dates=H","DateFormat=P","Fill=—","Direction=H","UseDPDF=Y")</f>
        <v>#NAME?</v>
      </c>
      <c r="AE46" s="2" t="e">
        <f ca="1">_xll.BDH($C$28,"WORK_CAP_GROWTH","FQ3 2017","FQ3 2017","Currency=INR","Period=FQ","BEST_FPERIOD_OVERRIDE=FQ","FILING_STATUS=OR","EQY_CONSOLIDATED=Y","Sort=A","Dates=H","DateFormat=P","Fill=—","Direction=H","UseDPDF=Y")</f>
        <v>#NAME?</v>
      </c>
      <c r="AF46" s="2" t="e">
        <f ca="1">_xll.BDH($C$28,"ACCOUNTS_PAYABLE_GROWTH_1YR","FQ3 2017","FQ3 2017","Currency=INR","Period=FQ","BEST_FPERIOD_OVERRIDE=FQ","FILING_STATUS=OR","EQY_CONSOLIDATED=Y","Sort=A","Dates=H","DateFormat=P","Fill=—","Direction=H","UseDPDF=Y")</f>
        <v>#NAME?</v>
      </c>
      <c r="AG46" s="2" t="e">
        <f ca="1">_xll.BDH($C$28,"SHORT_TERM_DEBT_1_YEAR_GROWTH","FQ3 2017","FQ3 2017","Currency=INR","Period=FQ","BEST_FPERIOD_OVERRIDE=FQ","FILING_STATUS=OR","EQY_CONSOLIDATED=Y","Sort=A","Dates=H","DateFormat=P","Fill=—","Direction=H","UseDPDF=Y")</f>
        <v>#NAME?</v>
      </c>
      <c r="AH46" s="2" t="e">
        <f ca="1">_xll.BDH($C$28,"TOTAL_DEBT_1_YEAR_GROWTH","FQ3 2017","FQ3 2017","Currency=INR","Period=FQ","BEST_FPERIOD_OVERRIDE=FQ","FILING_STATUS=OR","EQY_CONSOLIDATED=Y","Sort=A","Dates=H","DateFormat=P","Fill=—","Direction=H","UseDPDF=Y")</f>
        <v>#NAME?</v>
      </c>
      <c r="AI46" s="2" t="e">
        <f ca="1">_xll.BDH($C$28,"TOTAL_EQUITY_1_YEAR_GROWTH","FQ3 2017","FQ3 2017","Currency=INR","Period=FQ","BEST_FPERIOD_OVERRIDE=FQ","FILING_STATUS=OR","EQY_CONSOLIDATED=Y","Sort=A","Dates=H","DateFormat=P","Fill=—","Direction=H","UseDPDF=Y")</f>
        <v>#NAME?</v>
      </c>
      <c r="AJ46" s="2" t="e">
        <f ca="1">_xll.BDH($C$28,"GROWTH_IN_CAP","FQ3 2017","FQ3 2017","Currency=INR","Period=FQ","BEST_FPERIOD_OVERRIDE=FQ","FILING_STATUS=OR","EQY_CONSOLIDATED=Y","Sort=A","Dates=H","DateFormat=P","Fill=—","Direction=H","UseDPDF=Y")</f>
        <v>#NAME?</v>
      </c>
      <c r="AK46" s="2" t="e">
        <f ca="1">_xll.BDH($C$28,"BVPS_GROWTH","FQ3 2017","FQ3 2017","Currency=INR","Period=FQ","BEST_FPERIOD_OVERRIDE=FQ","FILING_STATUS=OR","EQY_CONSOLIDATED=Y","Sort=A","Dates=H","DateFormat=P","Fill=—","Direction=H","UseDPDF=Y")</f>
        <v>#NAME?</v>
      </c>
      <c r="AL46" s="2" t="e">
        <f ca="1">_xll.BDH($C$28,"CASH_FLOW_GROWTH","FQ3 2017","FQ3 2017","Currency=INR","Period=FQ","BEST_FPERIOD_OVERRIDE=FQ","FILING_STATUS=OR","EQY_CONSOLIDATED=Y","Sort=A","Dates=H","DateFormat=P","Fill=—","Direction=H","UseDPDF=Y")</f>
        <v>#NAME?</v>
      </c>
      <c r="AM46" s="2" t="e">
        <f ca="1">_xll.BDH($C$28,"GEO_GROW_NET_SALES","FQ3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46" s="2" t="e">
        <f ca="1">_xll.BDH($C$28,"GEO_GROW_EBITDA","FQ3 2017","FQ3 2017","Currency=INR","Period=FQ","BEST_FPERIOD_OVERRIDE=FQ","FILING_STATUS=OR","EQY_CONSOLIDATED=Y","FA_ADJUSTED=GAAP","Sort=A","Dates=H","DateFormat=P","Fill=—","Direction=H","UseDPDF=Y")</f>
        <v>#NAME?</v>
      </c>
      <c r="AO46" s="2" t="e">
        <f ca="1">_xll.BDH($C$28,"GEO_GROW_OPER_INC","FQ3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46" s="2" t="e">
        <f ca="1">_xll.BDH($C$28,"NET_INCOME_TO_COMMON_5_YR_GROWTH","FQ3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46" s="2" t="e">
        <f ca="1">_xll.BDH($C$28,"5Y_GEO_GROWTH_DILUTED_EPS","FQ3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46" s="2" t="e">
        <f ca="1">_xll.BDH($C$28,"GEO_GROW_DVD_PER_SH","FQ3 2017","FQ3 2017","Currency=INR","Period=FQ","BEST_FPERIOD_OVERRIDE=FQ","FILING_STATUS=OR","EQY_CONSOLIDATED=Y","Sort=A","Dates=H","DateFormat=P","Fill=—","Direction=H","UseDPDF=Y")</f>
        <v>#NAME?</v>
      </c>
      <c r="AS46" s="2" t="e">
        <f ca="1">_xll.BDH($C$28,"ACCOUNTS_RECEIVABLE_5_YR_GROWTH","FQ3 2017","FQ3 2017","Currency=INR","Period=FQ","BEST_FPERIOD_OVERRIDE=FQ","FILING_STATUS=OR","EQY_CONSOLIDATED=Y","Sort=A","Dates=H","DateFormat=P","Fill=—","Direction=H","UseDPDF=Y")</f>
        <v>#NAME?</v>
      </c>
      <c r="AT46" s="2" t="e">
        <f ca="1">_xll.BDH($C$28,"INVENTORY_5_YEAR_GROWTH","FQ3 2017","FQ3 2017","Currency=INR","Period=FQ","BEST_FPERIOD_OVERRIDE=FQ","FILING_STATUS=OR","EQY_CONSOLIDATED=Y","Sort=A","Dates=H","DateFormat=P","Fill=—","Direction=H","UseDPDF=Y")</f>
        <v>#NAME?</v>
      </c>
      <c r="AU46" s="2" t="e">
        <f ca="1">_xll.BDH($C$28,"NET_FIXED_ASSETS_5_YEAR_GROWTH","FQ3 2017","FQ3 2017","Currency=INR","Period=FQ","BEST_FPERIOD_OVERRIDE=FQ","FILING_STATUS=OR","EQY_CONSOLIDATED=Y","Sort=A","Dates=H","DateFormat=P","Fill=—","Direction=H","UseDPDF=Y")</f>
        <v>#NAME?</v>
      </c>
      <c r="AV46" s="2" t="e">
        <f ca="1">_xll.BDH($C$28,"GEO_GROW_TOT_ASSET","FQ3 2017","FQ3 2017","Currency=INR","Period=FQ","BEST_FPERIOD_OVERRIDE=FQ","FILING_STATUS=OR","EQY_CONSOLIDATED=Y","Sort=A","Dates=H","DateFormat=P","Fill=—","Direction=H","UseDPDF=Y")</f>
        <v>#NAME?</v>
      </c>
      <c r="AW46" s="2" t="e">
        <f ca="1">_xll.BDH($C$28,"MODIFIED_WORKING_CPTL_5YR_GRWTH","FQ3 2017","FQ3 2017","Currency=INR","Period=FQ","BEST_FPERIOD_OVERRIDE=FQ","FILING_STATUS=OR","EQY_CONSOLIDATED=Y","Sort=A","Dates=H","DateFormat=P","Fill=—","Direction=H","UseDPDF=Y")</f>
        <v>#NAME?</v>
      </c>
      <c r="AX46" s="2" t="e">
        <f ca="1">_xll.BDH($C$28,"WORKING_CAPITAL_5_YEAR_GROWTH","FQ3 2017","FQ3 2017","Currency=INR","Period=FQ","BEST_FPERIOD_OVERRIDE=FQ","FILING_STATUS=OR","EQY_CONSOLIDATED=Y","Sort=A","Dates=H","DateFormat=P","Fill=—","Direction=H","UseDPDF=Y")</f>
        <v>#NAME?</v>
      </c>
      <c r="AY46" s="2" t="e">
        <f ca="1">_xll.BDH($C$28,"ACCOUNTS_PAYABLE_5_YEAR_GROWTH","FQ3 2017","FQ3 2017","Currency=INR","Period=FQ","BEST_FPERIOD_OVERRIDE=FQ","FILING_STATUS=OR","EQY_CONSOLIDATED=Y","Sort=A","Dates=H","DateFormat=P","Fill=—","Direction=H","UseDPDF=Y")</f>
        <v>#NAME?</v>
      </c>
      <c r="AZ46" s="2" t="e">
        <f ca="1">_xll.BDH($C$28,"SHORT_TERM_DEBT_5_YEAR_GROWTH","FQ3 2017","FQ3 2017","Currency=INR","Period=FQ","BEST_FPERIOD_OVERRIDE=FQ","FILING_STATUS=OR","EQY_CONSOLIDATED=Y","Sort=A","Dates=H","DateFormat=P","Fill=—","Direction=H","UseDPDF=Y")</f>
        <v>#NAME?</v>
      </c>
      <c r="BA46" s="2" t="e">
        <f ca="1">_xll.BDH($C$28,"TOTAL_DEBT_5_YEAR_GROWTH","FQ3 2017","FQ3 2017","Currency=INR","Period=FQ","BEST_FPERIOD_OVERRIDE=FQ","FILING_STATUS=OR","EQY_CONSOLIDATED=Y","Sort=A","Dates=H","DateFormat=P","Fill=—","Direction=H","UseDPDF=Y")</f>
        <v>#NAME?</v>
      </c>
      <c r="BB46" s="2" t="e">
        <f ca="1">_xll.BDH($C$28,"GEO_GROW_TOT_SHRHLDR_EQY","FQ3 2017","FQ3 2017","Currency=INR","Period=FQ","BEST_FPERIOD_OVERRIDE=FQ","FILING_STATUS=OR","EQY_CONSOLIDATED=Y","Sort=A","Dates=H","DateFormat=P","Fill=—","Direction=H","UseDPDF=Y")</f>
        <v>#NAME?</v>
      </c>
      <c r="BC46" s="2" t="e">
        <f ca="1">_xll.BDH($C$28,"TOTAL_CAPITAL_5_YEAR_GROWTH","FQ3 2017","FQ3 2017","Currency=INR","Period=FQ","BEST_FPERIOD_OVERRIDE=FQ","FILING_STATUS=OR","EQY_CONSOLIDATED=Y","Sort=A","Dates=H","DateFormat=P","Fill=—","Direction=H","UseDPDF=Y")</f>
        <v>#NAME?</v>
      </c>
      <c r="BD46" s="2" t="e">
        <f ca="1">_xll.BDH($C$28,"GEO_GROW_BOOK_VAL","FQ3 2017","FQ3 2017","Currency=INR","Period=FQ","BEST_FPERIOD_OVERRIDE=FQ","FILING_STATUS=OR","EQY_CONSOLIDATED=Y","Sort=A","Dates=H","DateFormat=P","Fill=—","Direction=H","UseDPDF=Y")</f>
        <v>#NAME?</v>
      </c>
      <c r="BE46" s="2" t="e">
        <f ca="1">_xll.BDH($C$28,"GEO_GROW_CASH_OPER_ACT","FQ3 2017","FQ3 2017","Currency=INR","Period=FQ","BEST_FPERIOD_OVERRIDE=FQ","FILING_STATUS=OR","EQY_CONSOLIDATED=Y","Sort=A","Dates=H","DateFormat=P","Fill=—","Direction=H","UseDPDF=Y")</f>
        <v>#NAME?</v>
      </c>
      <c r="BF46" s="2" t="e">
        <f ca="1">_xll.BDH($C$28,"REVENUE_SEQUENTIAL_GROWTH","FQ3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46" s="2" t="e">
        <f ca="1">_xll.BDH($C$28,"EBITDA_SEQUENTIAL_GROWTH","FQ3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46" s="2" t="e">
        <f ca="1">_xll.BDH($C$28,"OPERATING_INCOME_SEQ_GROWTH","FQ3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46" s="2" t="e">
        <f ca="1">_xll.BDH($C$28,"NET_INCOME_TO_COMMON_SEQ_GROWTH","FQ3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46" s="2" t="e">
        <f ca="1">_xll.BDH($C$28,"EPS_DILUTED_SEQUENTIAL_GROWTH","FQ3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46" s="2" t="e">
        <f ca="1">_xll.BDH($C$28,"DPS_SEQUENTIAL_GROWTH","FQ3 2017","FQ3 2017","Currency=INR","Period=FQ","BEST_FPERIOD_OVERRIDE=FQ","FILING_STATUS=OR","EQY_CONSOLIDATED=Y","Sort=A","Dates=H","DateFormat=P","Fill=—","Direction=H","UseDPDF=Y")</f>
        <v>#NAME?</v>
      </c>
      <c r="BL46" s="2" t="e">
        <f ca="1">_xll.BDH($C$28,"ACCOUNTS_RECEIVABLE_SEQ_GROWTH","FQ3 2017","FQ3 2017","Currency=INR","Period=FQ","BEST_FPERIOD_OVERRIDE=FQ","FILING_STATUS=OR","EQY_CONSOLIDATED=Y","Sort=A","Dates=H","DateFormat=P","Fill=—","Direction=H","UseDPDF=Y")</f>
        <v>#NAME?</v>
      </c>
      <c r="BM46" s="2" t="e">
        <f ca="1">_xll.BDH($C$28,"INVENTORY_SEQUENTIAL_GROWTH","FQ3 2017","FQ3 2017","Currency=INR","Period=FQ","BEST_FPERIOD_OVERRIDE=FQ","FILING_STATUS=OR","EQY_CONSOLIDATED=Y","Sort=A","Dates=H","DateFormat=P","Fill=—","Direction=H","UseDPDF=Y")</f>
        <v>#NAME?</v>
      </c>
      <c r="BN46" s="2" t="e">
        <f ca="1">_xll.BDH($C$28,"FIXED_ASSETS_SEQUENTIAL_GROWTH","FQ3 2017","FQ3 2017","Currency=INR","Period=FQ","BEST_FPERIOD_OVERRIDE=FQ","FILING_STATUS=OR","EQY_CONSOLIDATED=Y","Sort=A","Dates=H","DateFormat=P","Fill=—","Direction=H","UseDPDF=Y")</f>
        <v>#NAME?</v>
      </c>
      <c r="BO46" s="2" t="e">
        <f ca="1">_xll.BDH($C$28,"TOTAL_ASSETS_SEQUENTIAL_GROWTH","FQ3 2017","FQ3 2017","Currency=INR","Period=FQ","BEST_FPERIOD_OVERRIDE=FQ","FILING_STATUS=OR","EQY_CONSOLIDATED=Y","Sort=A","Dates=H","DateFormat=P","Fill=—","Direction=H","UseDPDF=Y")</f>
        <v>#NAME?</v>
      </c>
      <c r="BP46" s="2" t="e">
        <f ca="1">_xll.BDH($C$28,"MODIFIED_WORKING_CPTL_SEQ_GRWTH","FQ3 2017","FQ3 2017","Currency=INR","Period=FQ","BEST_FPERIOD_OVERRIDE=FQ","FILING_STATUS=OR","EQY_CONSOLIDATED=Y","Sort=A","Dates=H","DateFormat=P","Fill=—","Direction=H","UseDPDF=Y")</f>
        <v>#NAME?</v>
      </c>
      <c r="BQ46" s="2" t="e">
        <f ca="1">_xll.BDH($C$28,"WORKING_CAPITAL_SEQ_GROWTH","FQ3 2017","FQ3 2017","Currency=INR","Period=FQ","BEST_FPERIOD_OVERRIDE=FQ","FILING_STATUS=OR","EQY_CONSOLIDATED=Y","Sort=A","Dates=H","DateFormat=P","Fill=—","Direction=H","UseDPDF=Y")</f>
        <v>#NAME?</v>
      </c>
      <c r="BR46" s="2" t="e">
        <f ca="1">_xll.BDH($C$28,"ACCOUNTS_PAYABLE_SEQ_GROWTH","FQ3 2017","FQ3 2017","Currency=INR","Period=FQ","BEST_FPERIOD_OVERRIDE=FQ","FILING_STATUS=OR","EQY_CONSOLIDATED=Y","Sort=A","Dates=H","DateFormat=P","Fill=—","Direction=H","UseDPDF=Y")</f>
        <v>#NAME?</v>
      </c>
      <c r="BS46" s="2" t="e">
        <f ca="1">_xll.BDH($C$28,"ST_DEBT_SEQUENTIAL_GROWTH","FQ3 2017","FQ3 2017","Currency=INR","Period=FQ","BEST_FPERIOD_OVERRIDE=FQ","FILING_STATUS=OR","EQY_CONSOLIDATED=Y","Sort=A","Dates=H","DateFormat=P","Fill=—","Direction=H","UseDPDF=Y")</f>
        <v>#NAME?</v>
      </c>
      <c r="BT46" s="2" t="e">
        <f ca="1">_xll.BDH($C$28,"TOTAL_DEBT_SEQUENTIAL_GROWTH","FQ3 2017","FQ3 2017","Currency=INR","Period=FQ","BEST_FPERIOD_OVERRIDE=FQ","FILING_STATUS=OR","EQY_CONSOLIDATED=Y","Sort=A","Dates=H","DateFormat=P","Fill=—","Direction=H","UseDPDF=Y")</f>
        <v>#NAME?</v>
      </c>
      <c r="BU46" s="2" t="e">
        <f ca="1">_xll.BDH($C$28,"TOTAL_EQUITY_SEQUENTIAL_GROWTH","FQ3 2017","FQ3 2017","Currency=INR","Period=FQ","BEST_FPERIOD_OVERRIDE=FQ","FILING_STATUS=OR","EQY_CONSOLIDATED=Y","Sort=A","Dates=H","DateFormat=P","Fill=—","Direction=H","UseDPDF=Y")</f>
        <v>#NAME?</v>
      </c>
      <c r="BV46" s="2" t="e">
        <f ca="1">_xll.BDH($C$28,"TOTAL_CAPITAL_SEQUENTIAL_GROWTH","FQ3 2017","FQ3 2017","Currency=INR","Period=FQ","BEST_FPERIOD_OVERRIDE=FQ","FILING_STATUS=OR","EQY_CONSOLIDATED=Y","Sort=A","Dates=H","DateFormat=P","Fill=—","Direction=H","UseDPDF=Y")</f>
        <v>#NAME?</v>
      </c>
      <c r="BW46" s="2" t="e">
        <f ca="1">_xll.BDH($C$28,"BPS_SEQUENTIAL_GROWTH","FQ3 2017","FQ3 2017","Currency=INR","Period=FQ","BEST_FPERIOD_OVERRIDE=FQ","FILING_STATUS=OR","EQY_CONSOLIDATED=Y","Sort=A","Dates=H","DateFormat=P","Fill=—","Direction=H","UseDPDF=Y")</f>
        <v>#NAME?</v>
      </c>
      <c r="BX46" s="2" t="e">
        <f ca="1">_xll.BDH($C$28,"CFO_SEQUENTIAL_GROWTH","FQ3 2017","FQ3 2017","Currency=INR","Period=FQ","BEST_FPERIOD_OVERRIDE=FQ","FILING_STATUS=OR","EQY_CONSOLIDATED=Y","Sort=A","Dates=H","DateFormat=P","Fill=—","Direction=H","UseDPDF=Y")</f>
        <v>#NAME?</v>
      </c>
      <c r="BY46" s="3" t="e">
        <f ca="1">_xll.BDH($C$28,"SHORT_AND_LONG_TERM_DEBT","FQ3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46" s="3" t="e">
        <f ca="1">_xll.BDH($C$28,"BS_ST_BORROW","FQ3 2017","FQ3 2017","Currency=INR","Period=FQ","BEST_FPERIOD_OVERRIDE=FQ","FILING_STATUS=OR","EQY_CONSOLIDATED=Y","SCALING_FORMAT=MLN","Sort=A","Dates=H","DateFormat=P","Fill=—","Direction=H","UseDPDF=Y")</f>
        <v>#NAME?</v>
      </c>
      <c r="CA46" s="3" t="e">
        <f ca="1">_xll.BDH($C$28,"BS_LT_BORROW","FQ3 2017","FQ3 2017","Currency=INR","Period=FQ","BEST_FPERIOD_OVERRIDE=FQ","FILING_STATUS=OR","EQY_CONSOLIDATED=Y","SCALING_FORMAT=MLN","Sort=A","Dates=H","DateFormat=P","Fill=—","Direction=H","UseDPDF=Y")</f>
        <v>#NAME?</v>
      </c>
      <c r="CB46" s="2" t="e">
        <f ca="1">_xll.BDH($C$28,"TOT_DEBT_TO_EBITDA","FQ3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46" s="2" t="e">
        <f ca="1">_xll.BDH($C$28,"NET_DEBT_TO_EBITDA","FQ3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46" s="2" t="e">
        <f ca="1">_xll.BDH($C$28,"TOTAL_DEBT_TO_EBIT","FQ3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46" s="2" t="e">
        <f ca="1">_xll.BDH($C$28,"NET_DEBT_TO_EBIT","FQ3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46" s="2" t="e">
        <f ca="1">_xll.BDH($C$28,"EBITDA_TO_INTEREST_EXPN","FQ3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46" s="2" t="e">
        <f ca="1">_xll.BDH($C$28,"COM_EQY_TO_TOT_ASSET","FQ3 2017","FQ3 2017","Currency=INR","Period=FQ","BEST_FPERIOD_OVERRIDE=FQ","FILING_STATUS=OR","EQY_CONSOLIDATED=Y","Sort=A","Dates=H","DateFormat=P","Fill=—","Direction=H","UseDPDF=Y")</f>
        <v>#NAME?</v>
      </c>
      <c r="CH46" s="2" t="e">
        <f ca="1">_xll.BDH($C$28,"LT_DEBT_TO_TOT_EQY","FQ3 2017","FQ3 2017","Currency=INR","Period=FQ","BEST_FPERIOD_OVERRIDE=FQ","FILING_STATUS=OR","EQY_CONSOLIDATED=Y","Sort=A","Dates=H","DateFormat=P","Fill=—","Direction=H","UseDPDF=Y")</f>
        <v>#NAME?</v>
      </c>
      <c r="CI46" s="2" t="e">
        <f ca="1">_xll.BDH($C$28,"LT_DEBT_TO_TOT_CAP","FQ3 2017","FQ3 2017","Currency=INR","Period=FQ","BEST_FPERIOD_OVERRIDE=FQ","FILING_STATUS=OR","EQY_CONSOLIDATED=Y","Sort=A","Dates=H","DateFormat=P","Fill=—","Direction=H","UseDPDF=Y")</f>
        <v>#NAME?</v>
      </c>
      <c r="CJ46" s="2" t="e">
        <f ca="1">_xll.BDH($C$28,"LT_DEBT_TO_TOT_ASSET","FQ3 2017","FQ3 2017","Currency=INR","Period=FQ","BEST_FPERIOD_OVERRIDE=FQ","FILING_STATUS=OR","EQY_CONSOLIDATED=Y","Sort=A","Dates=H","DateFormat=P","Fill=—","Direction=H","UseDPDF=Y")</f>
        <v>#NAME?</v>
      </c>
      <c r="CK46" s="2" t="e">
        <f ca="1">_xll.BDH($C$28,"TOT_DEBT_TO_TOT_EQY","FQ3 2017","FQ3 2017","Currency=INR","Period=FQ","BEST_FPERIOD_OVERRIDE=FQ","FILING_STATUS=OR","EQY_CONSOLIDATED=Y","Sort=A","Dates=H","DateFormat=P","Fill=—","Direction=H","UseDPDF=Y")</f>
        <v>#NAME?</v>
      </c>
      <c r="CL46" s="2" t="e">
        <f ca="1">_xll.BDH($C$28,"TOT_DEBT_TO_TOT_CAP","FQ3 2017","FQ3 2017","Currency=INR","Period=FQ","BEST_FPERIOD_OVERRIDE=FQ","FILING_STATUS=OR","EQY_CONSOLIDATED=Y","Sort=A","Dates=H","DateFormat=P","Fill=—","Direction=H","UseDPDF=Y")</f>
        <v>#NAME?</v>
      </c>
      <c r="CM46" s="2" t="e">
        <f ca="1">_xll.BDH($C$28,"TOT_DEBT_TO_TOT_ASSET","FQ3 2017","FQ3 2017","Currency=INR","Period=FQ","BEST_FPERIOD_OVERRIDE=FQ","FILING_STATUS=OR","EQY_CONSOLIDATED=Y","Sort=A","Dates=H","DateFormat=P","Fill=—","Direction=H","UseDPDF=Y")</f>
        <v>#NAME?</v>
      </c>
      <c r="CN46" s="2" t="e">
        <f ca="1">_xll.BDH($C$28,"NET_DEBT_TO_SHRHLDR_EQTY","FQ3 2017","FQ3 2017","Currency=INR","Period=FQ","BEST_FPERIOD_OVERRIDE=FQ","FILING_STATUS=OR","EQY_CONSOLIDATED=Y","Sort=A","Dates=H","DateFormat=P","Fill=—","Direction=H","UseDPDF=Y")</f>
        <v>#NAME?</v>
      </c>
      <c r="CO46" s="2" t="e">
        <f ca="1">_xll.BDH($C$28,"NET_DEBT_%_CAPITAL","FQ3 2017","FQ3 2017","Currency=INR","Period=FQ","BEST_FPERIOD_OVERRIDE=FQ","FILING_STATUS=OR","EQY_CONSOLIDATED=Y","Sort=A","Dates=H","DateFormat=P","Fill=—","Direction=H","UseDPDF=Y")</f>
        <v>#NAME?</v>
      </c>
      <c r="CP46" s="3" t="e">
        <f ca="1">_xll.BDH($C$28,"EBITDA","FQ3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46" s="3" t="e">
        <f ca="1">_xll.BDH($C$28,"EBITDA_AFTER_CAPEX","FQ3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46" s="3" t="e">
        <f ca="1">_xll.BDH($C$28,"IS_OPER_INC","FQ3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46" s="2" t="e">
        <f ca="1">_xll.BDH($C$28,"CASH_RATIO","FQ3 2017","FQ3 2017","Currency=INR","Period=FQ","BEST_FPERIOD_OVERRIDE=FQ","FILING_STATUS=OR","EQY_CONSOLIDATED=Y","Sort=A","Dates=H","DateFormat=P","Fill=—","Direction=H","UseDPDF=Y")</f>
        <v>#NAME?</v>
      </c>
      <c r="CT46" s="2" t="e">
        <f ca="1">_xll.BDH($C$28,"CUR_RATIO","FQ3 2017","FQ3 2017","Currency=INR","Period=FQ","BEST_FPERIOD_OVERRIDE=FQ","FILING_STATUS=OR","EQY_CONSOLIDATED=Y","Sort=A","Dates=H","DateFormat=P","Fill=—","Direction=H","UseDPDF=Y")</f>
        <v>#NAME?</v>
      </c>
      <c r="CU46" s="2" t="e">
        <f ca="1">_xll.BDH($C$28,"QUICK_RATIO","FQ3 2017","FQ3 2017","Currency=INR","Period=FQ","BEST_FPERIOD_OVERRIDE=FQ","FILING_STATUS=OR","EQY_CONSOLIDATED=Y","Sort=A","Dates=H","DateFormat=P","Fill=—","Direction=H","UseDPDF=Y")</f>
        <v>#NAME?</v>
      </c>
      <c r="CV46" s="2" t="e">
        <f ca="1">_xll.BDH($C$28,"ALTMAN_Z_SCORE","FQ3 2017","FQ3 2017","Currency=INR","Period=FQ","BEST_FPERIOD_OVERRIDE=FQ","FILING_STATUS=OR","EQY_CONSOLIDATED=Y","Sort=A","Dates=H","DateFormat=P","Fill=—","Direction=H","UseDPDF=Y")</f>
        <v>#NAME?</v>
      </c>
      <c r="CW46" s="4" t="e">
        <f ca="1">_xll.BDH($C$28,"ACCT_RCV_TURN","FQ3 2017","FQ3 2017","Currency=INR","Period=FQ","BEST_FPERIOD_OVERRIDE=FQ","FILING_STATUS=OR","EQY_CONSOLIDATED=Y","FA_ADJUSTED=GAAP","Sort=A","Dates=H","DateFormat=P","Fill=—","Direction=H","UseDPDF=Y")</f>
        <v>#NAME?</v>
      </c>
      <c r="CX46" s="2" t="e">
        <f ca="1">_xll.BDH($C$28,"ACCT_RCV_DAYS","FQ3 2017","FQ3 2017","Currency=INR","Period=FQ","BEST_FPERIOD_OVERRIDE=FQ","FILING_STATUS=OR","EQY_CONSOLIDATED=Y","FA_ADJUSTED=GAAP","Sort=A","Dates=H","DateFormat=P","Fill=—","Direction=H","UseDPDF=Y")</f>
        <v>#NAME?</v>
      </c>
      <c r="CY46" s="4" t="e">
        <f ca="1">_xll.BDH($C$28,"INVENT_TURN","FQ3 2017","FQ3 2017","Currency=INR","Period=FQ","BEST_FPERIOD_OVERRIDE=FQ","FILING_STATUS=OR","EQY_CONSOLIDATED=Y","FA_ADJUSTED=GAAP","Sort=A","Dates=H","DateFormat=P","Fill=—","Direction=H","UseDPDF=Y")</f>
        <v>#NAME?</v>
      </c>
      <c r="CZ46" s="2" t="e">
        <f ca="1">_xll.BDH($C$28,"INVENT_DAYS","FQ3 2017","FQ3 2017","Currency=INR","Period=FQ","BEST_FPERIOD_OVERRIDE=FQ","FILING_STATUS=OR","EQY_CONSOLIDATED=Y","FA_ADJUSTED=GAAP","Sort=A","Dates=H","DateFormat=P","Fill=—","Direction=H","UseDPDF=Y")</f>
        <v>#NAME?</v>
      </c>
      <c r="DA46" s="4" t="e">
        <f ca="1">_xll.BDH($C$28,"ACCOUNTS_PAYABLE_TURNOVER","FQ3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46" s="2" t="e">
        <f ca="1">_xll.BDH($C$28,"ACCOUNTS_PAYABLE_TURNOVER_DAYS","FQ3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46" s="4" t="e">
        <f ca="1">_xll.BDH($C$28,"CASH_CONVERSION_CYCLE","FQ3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46" s="4" t="e">
        <f ca="1">_xll.BDH($C$28,"INV_TO_CASH_DAYS","FQ3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46" s="5" t="e">
        <f ca="1">_xll.BDH($C$28,"BS_INVENTORIES","FQ3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46" s="3" t="e">
        <f ca="1">_xll.BDH($C$28,"INVTRY_RAW_MATERIALS","FQ3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46" s="3" t="e">
        <f ca="1">_xll.BDH($C$28,"INVTRY_IN_PROGRESS","FQ3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46" s="3" t="e">
        <f ca="1">_xll.BDH($C$28,"INVTRY_FINISHED_GOODS","FQ3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46" s="3" t="e">
        <f ca="1">_xll.BDH($C$28,"BS_OTHER_INV","FQ3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47" spans="1:113" x14ac:dyDescent="0.3">
      <c r="A47" s="6"/>
      <c r="B47" s="6"/>
      <c r="C47" s="6"/>
      <c r="D47" s="6"/>
      <c r="E47" t="s">
        <v>81</v>
      </c>
      <c r="F47" t="e">
        <f ca="1">_xll.BDH($C$28,"RETURN_COM_EQY","FQ4 2017","FQ4 2017","Currency=INR","Period=FQ","BEST_FPERIOD_OVERRIDE=FQ","FILING_STATUS=OR","EQY_CONSOLIDATED=Y","FA_ADJUSTED=GAAP","Sort=A","Dates=H","DateFormat=P","Fill=—","Direction=H","UseDPDF=Y")</f>
        <v>#NAME?</v>
      </c>
      <c r="G47" t="e">
        <f ca="1">_xll.BDH($C$28,"RETURN_ON_ASSET","FQ4 2017","FQ4 2017","Currency=INR","Period=FQ","BEST_FPERIOD_OVERRIDE=FQ","FILING_STATUS=OR","EQY_CONSOLIDATED=Y","FA_ADJUSTED=GAAP","Sort=A","Dates=H","DateFormat=P","Fill=—","Direction=H","UseDPDF=Y")</f>
        <v>#NAME?</v>
      </c>
      <c r="H47" t="e">
        <f ca="1">_xll.BDH($C$28,"RETURN_ON_CAP","FQ4 2017","FQ4 2017","Currency=INR","Period=FQ","BEST_FPERIOD_OVERRIDE=FQ","FILING_STATUS=OR","EQY_CONSOLIDATED=Y","FA_ADJUSTED=GAAP","Sort=A","Dates=H","DateFormat=P","Fill=—","Direction=H","UseDPDF=Y")</f>
        <v>#NAME?</v>
      </c>
      <c r="I47" t="e">
        <f ca="1">_xll.BDH($C$28,"RETURN_ON_INV_CAPITAL","FQ4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47" t="e">
        <f ca="1">_xll.BDH($C$28,"EBITDA_TO_REVENUE","FQ4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47" t="e">
        <f ca="1">_xll.BDH($C$28,"OPER_MARGIN","FQ4 2017","FQ4 2017","Currency=INR","Period=FQ","BEST_FPERIOD_OVERRIDE=FQ","FILING_STATUS=OR","EQY_CONSOLIDATED=Y","FA_ADJUSTED=GAAP","Sort=A","Dates=H","DateFormat=P","Fill=—","Direction=H","UseDPDF=Y")</f>
        <v>#NAME?</v>
      </c>
      <c r="L47" t="e">
        <f ca="1">_xll.BDH($C$28,"INCREMENTAL_OPERATING_MARGIN","FQ4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47" t="e">
        <f ca="1">_xll.BDH($C$28,"PRETAX_INC_TO_NET_SALES","FQ4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47" t="e">
        <f ca="1">_xll.BDH($C$28,"INC_BEF_XO_ITEMS_TO_NET_SALES","FQ4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47" t="e">
        <f ca="1">_xll.BDH($C$28,"PROF_MARGIN","FQ4 2017","FQ4 2017","Currency=INR","Period=FQ","BEST_FPERIOD_OVERRIDE=FQ","FILING_STATUS=OR","EQY_CONSOLIDATED=Y","FA_ADJUSTED=GAAP","Sort=A","Dates=H","DateFormat=P","Fill=—","Direction=H","UseDPDF=Y")</f>
        <v>#NAME?</v>
      </c>
      <c r="P47" t="e">
        <f ca="1">_xll.BDH($C$28,"NET_INCOME_TO_COMMON_MARGIN","FQ4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47" t="e">
        <f ca="1">_xll.BDH($C$28,"EFF_TAX_RATE","FQ4 2017","FQ4 2017","Currency=INR","Period=FQ","BEST_FPERIOD_OVERRIDE=FQ","FILING_STATUS=OR","EQY_CONSOLIDATED=Y","FA_ADJUSTED=GAAP","Sort=A","Dates=H","DateFormat=P","Fill=—","Direction=H","UseDPDF=Y")</f>
        <v>#NAME?</v>
      </c>
      <c r="R47" t="e">
        <f ca="1">_xll.BDH($C$28,"DVD_PAYOUT_RATIO","FQ4 2017","FQ4 2017","Currency=INR","Period=FQ","BEST_FPERIOD_OVERRIDE=FQ","FILING_STATUS=OR","EQY_CONSOLIDATED=Y","FA_ADJUSTED=GAAP","Sort=A","Dates=H","DateFormat=P","Fill=—","Direction=H","UseDPDF=Y")</f>
        <v>#NAME?</v>
      </c>
      <c r="S47" t="e">
        <f ca="1">_xll.BDH($C$28,"SUSTAIN_GROWTH_RT","FQ4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47" s="2" t="e">
        <f ca="1">_xll.BDH($C$28,"SALES_GROWTH","FQ4 2017","FQ4 2017","Currency=INR","Period=FQ","BEST_FPERIOD_OVERRIDE=FQ","FILING_STATUS=OR","EQY_CONSOLIDATED=Y","FA_ADJUSTED=GAAP","Sort=A","Dates=H","DateFormat=P","Fill=—","Direction=H","UseDPDF=Y")</f>
        <v>#NAME?</v>
      </c>
      <c r="U47" s="2" t="e">
        <f ca="1">_xll.BDH($C$28,"EBITDA_GROWTH","FQ4 2017","FQ4 2017","Currency=INR","Period=FQ","BEST_FPERIOD_OVERRIDE=FQ","FILING_STATUS=OR","EQY_CONSOLIDATED=Y","FA_ADJUSTED=GAAP","Sort=A","Dates=H","DateFormat=P","Fill=—","Direction=H","UseDPDF=Y")</f>
        <v>#NAME?</v>
      </c>
      <c r="V47" s="2" t="e">
        <f ca="1">_xll.BDH($C$28,"OPER_INC_GROWTH","FQ4 2017","FQ4 2017","Currency=INR","Period=FQ","BEST_FPERIOD_OVERRIDE=FQ","FILING_STATUS=OR","EQY_CONSOLIDATED=Y","FA_ADJUSTED=GAAP","Sort=A","Dates=H","DateFormat=P","Fill=—","Direction=H","UseDPDF=Y")</f>
        <v>#NAME?</v>
      </c>
      <c r="W47" s="2" t="e">
        <f ca="1">_xll.BDH($C$28,"EARN_FOR_COM_GROWTH","FQ4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47" s="2" t="e">
        <f ca="1">_xll.BDH($C$28,"DILUTED_EPS_AFT_XO_ITEMS_GROWTH","FQ4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47" s="2" t="e">
        <f ca="1">_xll.BDH($C$28,"DIVIDEND_PER_SHARE_1_YEAR_GROWTH","FQ4 2017","FQ4 2017","Currency=INR","Period=FQ","BEST_FPERIOD_OVERRIDE=FQ","FILING_STATUS=OR","EQY_CONSOLIDATED=Y","Sort=A","Dates=H","DateFormat=P","Fill=—","Direction=H","UseDPDF=Y")</f>
        <v>#NAME?</v>
      </c>
      <c r="Z47" s="2" t="e">
        <f ca="1">_xll.BDH($C$28,"ACCOUNTS_RECEIVABLE_GROWTH","FQ4 2017","FQ4 2017","Currency=INR","Period=FQ","BEST_FPERIOD_OVERRIDE=FQ","FILING_STATUS=OR","EQY_CONSOLIDATED=Y","Sort=A","Dates=H","DateFormat=P","Fill=—","Direction=H","UseDPDF=Y")</f>
        <v>#NAME?</v>
      </c>
      <c r="AA47" s="2" t="e">
        <f ca="1">_xll.BDH($C$28,"INVENTORY_GROWTH","FQ4 2017","FQ4 2017","Currency=INR","Period=FQ","BEST_FPERIOD_OVERRIDE=FQ","FILING_STATUS=OR","EQY_CONSOLIDATED=Y","Sort=A","Dates=H","DateFormat=P","Fill=—","Direction=H","UseDPDF=Y")</f>
        <v>#NAME?</v>
      </c>
      <c r="AB47" s="2" t="e">
        <f ca="1">_xll.BDH($C$28,"NET_FIXED_ASSETS_1_YEAR_GROWTH","FQ4 2017","FQ4 2017","Currency=INR","Period=FQ","BEST_FPERIOD_OVERRIDE=FQ","FILING_STATUS=OR","EQY_CONSOLIDATED=Y","Sort=A","Dates=H","DateFormat=P","Fill=—","Direction=H","UseDPDF=Y")</f>
        <v>#NAME?</v>
      </c>
      <c r="AC47" s="2" t="e">
        <f ca="1">_xll.BDH($C$28,"ASSET_GROWTH","FQ4 2017","FQ4 2017","Currency=INR","Period=FQ","BEST_FPERIOD_OVERRIDE=FQ","FILING_STATUS=OR","EQY_CONSOLIDATED=Y","Sort=A","Dates=H","DateFormat=P","Fill=—","Direction=H","UseDPDF=Y")</f>
        <v>#NAME?</v>
      </c>
      <c r="AD47" s="2" t="e">
        <f ca="1">_xll.BDH($C$28,"MODIFIED_WORK_CAP_GROWTH","FQ4 2017","FQ4 2017","Currency=INR","Period=FQ","BEST_FPERIOD_OVERRIDE=FQ","FILING_STATUS=OR","EQY_CONSOLIDATED=Y","Sort=A","Dates=H","DateFormat=P","Fill=—","Direction=H","UseDPDF=Y")</f>
        <v>#NAME?</v>
      </c>
      <c r="AE47" s="2" t="e">
        <f ca="1">_xll.BDH($C$28,"WORK_CAP_GROWTH","FQ4 2017","FQ4 2017","Currency=INR","Period=FQ","BEST_FPERIOD_OVERRIDE=FQ","FILING_STATUS=OR","EQY_CONSOLIDATED=Y","Sort=A","Dates=H","DateFormat=P","Fill=—","Direction=H","UseDPDF=Y")</f>
        <v>#NAME?</v>
      </c>
      <c r="AF47" s="2" t="e">
        <f ca="1">_xll.BDH($C$28,"ACCOUNTS_PAYABLE_GROWTH_1YR","FQ4 2017","FQ4 2017","Currency=INR","Period=FQ","BEST_FPERIOD_OVERRIDE=FQ","FILING_STATUS=OR","EQY_CONSOLIDATED=Y","Sort=A","Dates=H","DateFormat=P","Fill=—","Direction=H","UseDPDF=Y")</f>
        <v>#NAME?</v>
      </c>
      <c r="AG47" s="2" t="e">
        <f ca="1">_xll.BDH($C$28,"SHORT_TERM_DEBT_1_YEAR_GROWTH","FQ4 2017","FQ4 2017","Currency=INR","Period=FQ","BEST_FPERIOD_OVERRIDE=FQ","FILING_STATUS=OR","EQY_CONSOLIDATED=Y","Sort=A","Dates=H","DateFormat=P","Fill=—","Direction=H","UseDPDF=Y")</f>
        <v>#NAME?</v>
      </c>
      <c r="AH47" s="2" t="e">
        <f ca="1">_xll.BDH($C$28,"TOTAL_DEBT_1_YEAR_GROWTH","FQ4 2017","FQ4 2017","Currency=INR","Period=FQ","BEST_FPERIOD_OVERRIDE=FQ","FILING_STATUS=OR","EQY_CONSOLIDATED=Y","Sort=A","Dates=H","DateFormat=P","Fill=—","Direction=H","UseDPDF=Y")</f>
        <v>#NAME?</v>
      </c>
      <c r="AI47" s="2" t="e">
        <f ca="1">_xll.BDH($C$28,"TOTAL_EQUITY_1_YEAR_GROWTH","FQ4 2017","FQ4 2017","Currency=INR","Period=FQ","BEST_FPERIOD_OVERRIDE=FQ","FILING_STATUS=OR","EQY_CONSOLIDATED=Y","Sort=A","Dates=H","DateFormat=P","Fill=—","Direction=H","UseDPDF=Y")</f>
        <v>#NAME?</v>
      </c>
      <c r="AJ47" s="2" t="e">
        <f ca="1">_xll.BDH($C$28,"GROWTH_IN_CAP","FQ4 2017","FQ4 2017","Currency=INR","Period=FQ","BEST_FPERIOD_OVERRIDE=FQ","FILING_STATUS=OR","EQY_CONSOLIDATED=Y","Sort=A","Dates=H","DateFormat=P","Fill=—","Direction=H","UseDPDF=Y")</f>
        <v>#NAME?</v>
      </c>
      <c r="AK47" s="2" t="e">
        <f ca="1">_xll.BDH($C$28,"BVPS_GROWTH","FQ4 2017","FQ4 2017","Currency=INR","Period=FQ","BEST_FPERIOD_OVERRIDE=FQ","FILING_STATUS=OR","EQY_CONSOLIDATED=Y","Sort=A","Dates=H","DateFormat=P","Fill=—","Direction=H","UseDPDF=Y")</f>
        <v>#NAME?</v>
      </c>
      <c r="AL47" s="2" t="e">
        <f ca="1">_xll.BDH($C$28,"CASH_FLOW_GROWTH","FQ4 2017","FQ4 2017","Currency=INR","Period=FQ","BEST_FPERIOD_OVERRIDE=FQ","FILING_STATUS=OR","EQY_CONSOLIDATED=Y","Sort=A","Dates=H","DateFormat=P","Fill=—","Direction=H","UseDPDF=Y")</f>
        <v>#NAME?</v>
      </c>
      <c r="AM47" s="2" t="e">
        <f ca="1">_xll.BDH($C$28,"GEO_GROW_NET_SALES","FQ4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47" s="2" t="e">
        <f ca="1">_xll.BDH($C$28,"GEO_GROW_EBITDA","FQ4 2017","FQ4 2017","Currency=INR","Period=FQ","BEST_FPERIOD_OVERRIDE=FQ","FILING_STATUS=OR","EQY_CONSOLIDATED=Y","FA_ADJUSTED=GAAP","Sort=A","Dates=H","DateFormat=P","Fill=—","Direction=H","UseDPDF=Y")</f>
        <v>#NAME?</v>
      </c>
      <c r="AO47" s="2" t="e">
        <f ca="1">_xll.BDH($C$28,"GEO_GROW_OPER_INC","FQ4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47" s="2" t="e">
        <f ca="1">_xll.BDH($C$28,"NET_INCOME_TO_COMMON_5_YR_GROWTH","FQ4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47" s="2" t="e">
        <f ca="1">_xll.BDH($C$28,"5Y_GEO_GROWTH_DILUTED_EPS","FQ4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47" s="2" t="e">
        <f ca="1">_xll.BDH($C$28,"GEO_GROW_DVD_PER_SH","FQ4 2017","FQ4 2017","Currency=INR","Period=FQ","BEST_FPERIOD_OVERRIDE=FQ","FILING_STATUS=OR","EQY_CONSOLIDATED=Y","Sort=A","Dates=H","DateFormat=P","Fill=—","Direction=H","UseDPDF=Y")</f>
        <v>#NAME?</v>
      </c>
      <c r="AS47" s="2" t="e">
        <f ca="1">_xll.BDH($C$28,"ACCOUNTS_RECEIVABLE_5_YR_GROWTH","FQ4 2017","FQ4 2017","Currency=INR","Period=FQ","BEST_FPERIOD_OVERRIDE=FQ","FILING_STATUS=OR","EQY_CONSOLIDATED=Y","Sort=A","Dates=H","DateFormat=P","Fill=—","Direction=H","UseDPDF=Y")</f>
        <v>#NAME?</v>
      </c>
      <c r="AT47" s="2" t="e">
        <f ca="1">_xll.BDH($C$28,"INVENTORY_5_YEAR_GROWTH","FQ4 2017","FQ4 2017","Currency=INR","Period=FQ","BEST_FPERIOD_OVERRIDE=FQ","FILING_STATUS=OR","EQY_CONSOLIDATED=Y","Sort=A","Dates=H","DateFormat=P","Fill=—","Direction=H","UseDPDF=Y")</f>
        <v>#NAME?</v>
      </c>
      <c r="AU47" s="2" t="e">
        <f ca="1">_xll.BDH($C$28,"NET_FIXED_ASSETS_5_YEAR_GROWTH","FQ4 2017","FQ4 2017","Currency=INR","Period=FQ","BEST_FPERIOD_OVERRIDE=FQ","FILING_STATUS=OR","EQY_CONSOLIDATED=Y","Sort=A","Dates=H","DateFormat=P","Fill=—","Direction=H","UseDPDF=Y")</f>
        <v>#NAME?</v>
      </c>
      <c r="AV47" s="2" t="e">
        <f ca="1">_xll.BDH($C$28,"GEO_GROW_TOT_ASSET","FQ4 2017","FQ4 2017","Currency=INR","Period=FQ","BEST_FPERIOD_OVERRIDE=FQ","FILING_STATUS=OR","EQY_CONSOLIDATED=Y","Sort=A","Dates=H","DateFormat=P","Fill=—","Direction=H","UseDPDF=Y")</f>
        <v>#NAME?</v>
      </c>
      <c r="AW47" s="2" t="e">
        <f ca="1">_xll.BDH($C$28,"MODIFIED_WORKING_CPTL_5YR_GRWTH","FQ4 2017","FQ4 2017","Currency=INR","Period=FQ","BEST_FPERIOD_OVERRIDE=FQ","FILING_STATUS=OR","EQY_CONSOLIDATED=Y","Sort=A","Dates=H","DateFormat=P","Fill=—","Direction=H","UseDPDF=Y")</f>
        <v>#NAME?</v>
      </c>
      <c r="AX47" s="2" t="e">
        <f ca="1">_xll.BDH($C$28,"WORKING_CAPITAL_5_YEAR_GROWTH","FQ4 2017","FQ4 2017","Currency=INR","Period=FQ","BEST_FPERIOD_OVERRIDE=FQ","FILING_STATUS=OR","EQY_CONSOLIDATED=Y","Sort=A","Dates=H","DateFormat=P","Fill=—","Direction=H","UseDPDF=Y")</f>
        <v>#NAME?</v>
      </c>
      <c r="AY47" s="2" t="e">
        <f ca="1">_xll.BDH($C$28,"ACCOUNTS_PAYABLE_5_YEAR_GROWTH","FQ4 2017","FQ4 2017","Currency=INR","Period=FQ","BEST_FPERIOD_OVERRIDE=FQ","FILING_STATUS=OR","EQY_CONSOLIDATED=Y","Sort=A","Dates=H","DateFormat=P","Fill=—","Direction=H","UseDPDF=Y")</f>
        <v>#NAME?</v>
      </c>
      <c r="AZ47" s="2" t="e">
        <f ca="1">_xll.BDH($C$28,"SHORT_TERM_DEBT_5_YEAR_GROWTH","FQ4 2017","FQ4 2017","Currency=INR","Period=FQ","BEST_FPERIOD_OVERRIDE=FQ","FILING_STATUS=OR","EQY_CONSOLIDATED=Y","Sort=A","Dates=H","DateFormat=P","Fill=—","Direction=H","UseDPDF=Y")</f>
        <v>#NAME?</v>
      </c>
      <c r="BA47" s="2" t="e">
        <f ca="1">_xll.BDH($C$28,"TOTAL_DEBT_5_YEAR_GROWTH","FQ4 2017","FQ4 2017","Currency=INR","Period=FQ","BEST_FPERIOD_OVERRIDE=FQ","FILING_STATUS=OR","EQY_CONSOLIDATED=Y","Sort=A","Dates=H","DateFormat=P","Fill=—","Direction=H","UseDPDF=Y")</f>
        <v>#NAME?</v>
      </c>
      <c r="BB47" s="2" t="e">
        <f ca="1">_xll.BDH($C$28,"GEO_GROW_TOT_SHRHLDR_EQY","FQ4 2017","FQ4 2017","Currency=INR","Period=FQ","BEST_FPERIOD_OVERRIDE=FQ","FILING_STATUS=OR","EQY_CONSOLIDATED=Y","Sort=A","Dates=H","DateFormat=P","Fill=—","Direction=H","UseDPDF=Y")</f>
        <v>#NAME?</v>
      </c>
      <c r="BC47" s="2" t="e">
        <f ca="1">_xll.BDH($C$28,"TOTAL_CAPITAL_5_YEAR_GROWTH","FQ4 2017","FQ4 2017","Currency=INR","Period=FQ","BEST_FPERIOD_OVERRIDE=FQ","FILING_STATUS=OR","EQY_CONSOLIDATED=Y","Sort=A","Dates=H","DateFormat=P","Fill=—","Direction=H","UseDPDF=Y")</f>
        <v>#NAME?</v>
      </c>
      <c r="BD47" s="2" t="e">
        <f ca="1">_xll.BDH($C$28,"GEO_GROW_BOOK_VAL","FQ4 2017","FQ4 2017","Currency=INR","Period=FQ","BEST_FPERIOD_OVERRIDE=FQ","FILING_STATUS=OR","EQY_CONSOLIDATED=Y","Sort=A","Dates=H","DateFormat=P","Fill=—","Direction=H","UseDPDF=Y")</f>
        <v>#NAME?</v>
      </c>
      <c r="BE47" s="2" t="e">
        <f ca="1">_xll.BDH($C$28,"GEO_GROW_CASH_OPER_ACT","FQ4 2017","FQ4 2017","Currency=INR","Period=FQ","BEST_FPERIOD_OVERRIDE=FQ","FILING_STATUS=OR","EQY_CONSOLIDATED=Y","Sort=A","Dates=H","DateFormat=P","Fill=—","Direction=H","UseDPDF=Y")</f>
        <v>#NAME?</v>
      </c>
      <c r="BF47" s="2" t="e">
        <f ca="1">_xll.BDH($C$28,"REVENUE_SEQUENTIAL_GROWTH","FQ4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47" s="2" t="e">
        <f ca="1">_xll.BDH($C$28,"EBITDA_SEQUENTIAL_GROWTH","FQ4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47" s="2" t="e">
        <f ca="1">_xll.BDH($C$28,"OPERATING_INCOME_SEQ_GROWTH","FQ4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47" s="2" t="e">
        <f ca="1">_xll.BDH($C$28,"NET_INCOME_TO_COMMON_SEQ_GROWTH","FQ4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47" s="2" t="e">
        <f ca="1">_xll.BDH($C$28,"EPS_DILUTED_SEQUENTIAL_GROWTH","FQ4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47" s="2" t="e">
        <f ca="1">_xll.BDH($C$28,"DPS_SEQUENTIAL_GROWTH","FQ4 2017","FQ4 2017","Currency=INR","Period=FQ","BEST_FPERIOD_OVERRIDE=FQ","FILING_STATUS=OR","EQY_CONSOLIDATED=Y","Sort=A","Dates=H","DateFormat=P","Fill=—","Direction=H","UseDPDF=Y")</f>
        <v>#NAME?</v>
      </c>
      <c r="BL47" s="2" t="e">
        <f ca="1">_xll.BDH($C$28,"ACCOUNTS_RECEIVABLE_SEQ_GROWTH","FQ4 2017","FQ4 2017","Currency=INR","Period=FQ","BEST_FPERIOD_OVERRIDE=FQ","FILING_STATUS=OR","EQY_CONSOLIDATED=Y","Sort=A","Dates=H","DateFormat=P","Fill=—","Direction=H","UseDPDF=Y")</f>
        <v>#NAME?</v>
      </c>
      <c r="BM47" s="2" t="e">
        <f ca="1">_xll.BDH($C$28,"INVENTORY_SEQUENTIAL_GROWTH","FQ4 2017","FQ4 2017","Currency=INR","Period=FQ","BEST_FPERIOD_OVERRIDE=FQ","FILING_STATUS=OR","EQY_CONSOLIDATED=Y","Sort=A","Dates=H","DateFormat=P","Fill=—","Direction=H","UseDPDF=Y")</f>
        <v>#NAME?</v>
      </c>
      <c r="BN47" s="2" t="e">
        <f ca="1">_xll.BDH($C$28,"FIXED_ASSETS_SEQUENTIAL_GROWTH","FQ4 2017","FQ4 2017","Currency=INR","Period=FQ","BEST_FPERIOD_OVERRIDE=FQ","FILING_STATUS=OR","EQY_CONSOLIDATED=Y","Sort=A","Dates=H","DateFormat=P","Fill=—","Direction=H","UseDPDF=Y")</f>
        <v>#NAME?</v>
      </c>
      <c r="BO47" s="2" t="e">
        <f ca="1">_xll.BDH($C$28,"TOTAL_ASSETS_SEQUENTIAL_GROWTH","FQ4 2017","FQ4 2017","Currency=INR","Period=FQ","BEST_FPERIOD_OVERRIDE=FQ","FILING_STATUS=OR","EQY_CONSOLIDATED=Y","Sort=A","Dates=H","DateFormat=P","Fill=—","Direction=H","UseDPDF=Y")</f>
        <v>#NAME?</v>
      </c>
      <c r="BP47" s="2" t="e">
        <f ca="1">_xll.BDH($C$28,"MODIFIED_WORKING_CPTL_SEQ_GRWTH","FQ4 2017","FQ4 2017","Currency=INR","Period=FQ","BEST_FPERIOD_OVERRIDE=FQ","FILING_STATUS=OR","EQY_CONSOLIDATED=Y","Sort=A","Dates=H","DateFormat=P","Fill=—","Direction=H","UseDPDF=Y")</f>
        <v>#NAME?</v>
      </c>
      <c r="BQ47" s="2" t="e">
        <f ca="1">_xll.BDH($C$28,"WORKING_CAPITAL_SEQ_GROWTH","FQ4 2017","FQ4 2017","Currency=INR","Period=FQ","BEST_FPERIOD_OVERRIDE=FQ","FILING_STATUS=OR","EQY_CONSOLIDATED=Y","Sort=A","Dates=H","DateFormat=P","Fill=—","Direction=H","UseDPDF=Y")</f>
        <v>#NAME?</v>
      </c>
      <c r="BR47" s="2" t="e">
        <f ca="1">_xll.BDH($C$28,"ACCOUNTS_PAYABLE_SEQ_GROWTH","FQ4 2017","FQ4 2017","Currency=INR","Period=FQ","BEST_FPERIOD_OVERRIDE=FQ","FILING_STATUS=OR","EQY_CONSOLIDATED=Y","Sort=A","Dates=H","DateFormat=P","Fill=—","Direction=H","UseDPDF=Y")</f>
        <v>#NAME?</v>
      </c>
      <c r="BS47" s="2" t="e">
        <f ca="1">_xll.BDH($C$28,"ST_DEBT_SEQUENTIAL_GROWTH","FQ4 2017","FQ4 2017","Currency=INR","Period=FQ","BEST_FPERIOD_OVERRIDE=FQ","FILING_STATUS=OR","EQY_CONSOLIDATED=Y","Sort=A","Dates=H","DateFormat=P","Fill=—","Direction=H","UseDPDF=Y")</f>
        <v>#NAME?</v>
      </c>
      <c r="BT47" s="2" t="e">
        <f ca="1">_xll.BDH($C$28,"TOTAL_DEBT_SEQUENTIAL_GROWTH","FQ4 2017","FQ4 2017","Currency=INR","Period=FQ","BEST_FPERIOD_OVERRIDE=FQ","FILING_STATUS=OR","EQY_CONSOLIDATED=Y","Sort=A","Dates=H","DateFormat=P","Fill=—","Direction=H","UseDPDF=Y")</f>
        <v>#NAME?</v>
      </c>
      <c r="BU47" s="2" t="e">
        <f ca="1">_xll.BDH($C$28,"TOTAL_EQUITY_SEQUENTIAL_GROWTH","FQ4 2017","FQ4 2017","Currency=INR","Period=FQ","BEST_FPERIOD_OVERRIDE=FQ","FILING_STATUS=OR","EQY_CONSOLIDATED=Y","Sort=A","Dates=H","DateFormat=P","Fill=—","Direction=H","UseDPDF=Y")</f>
        <v>#NAME?</v>
      </c>
      <c r="BV47" s="2" t="e">
        <f ca="1">_xll.BDH($C$28,"TOTAL_CAPITAL_SEQUENTIAL_GROWTH","FQ4 2017","FQ4 2017","Currency=INR","Period=FQ","BEST_FPERIOD_OVERRIDE=FQ","FILING_STATUS=OR","EQY_CONSOLIDATED=Y","Sort=A","Dates=H","DateFormat=P","Fill=—","Direction=H","UseDPDF=Y")</f>
        <v>#NAME?</v>
      </c>
      <c r="BW47" s="2" t="e">
        <f ca="1">_xll.BDH($C$28,"BPS_SEQUENTIAL_GROWTH","FQ4 2017","FQ4 2017","Currency=INR","Period=FQ","BEST_FPERIOD_OVERRIDE=FQ","FILING_STATUS=OR","EQY_CONSOLIDATED=Y","Sort=A","Dates=H","DateFormat=P","Fill=—","Direction=H","UseDPDF=Y")</f>
        <v>#NAME?</v>
      </c>
      <c r="BX47" s="2" t="e">
        <f ca="1">_xll.BDH($C$28,"CFO_SEQUENTIAL_GROWTH","FQ4 2017","FQ4 2017","Currency=INR","Period=FQ","BEST_FPERIOD_OVERRIDE=FQ","FILING_STATUS=OR","EQY_CONSOLIDATED=Y","Sort=A","Dates=H","DateFormat=P","Fill=—","Direction=H","UseDPDF=Y")</f>
        <v>#NAME?</v>
      </c>
      <c r="BY47" s="3" t="e">
        <f ca="1">_xll.BDH($C$28,"SHORT_AND_LONG_TERM_DEBT","FQ4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47" s="3" t="e">
        <f ca="1">_xll.BDH($C$28,"BS_ST_BORROW","FQ4 2017","FQ4 2017","Currency=INR","Period=FQ","BEST_FPERIOD_OVERRIDE=FQ","FILING_STATUS=OR","EQY_CONSOLIDATED=Y","SCALING_FORMAT=MLN","Sort=A","Dates=H","DateFormat=P","Fill=—","Direction=H","UseDPDF=Y")</f>
        <v>#NAME?</v>
      </c>
      <c r="CA47" s="3" t="e">
        <f ca="1">_xll.BDH($C$28,"BS_LT_BORROW","FQ4 2017","FQ4 2017","Currency=INR","Period=FQ","BEST_FPERIOD_OVERRIDE=FQ","FILING_STATUS=OR","EQY_CONSOLIDATED=Y","SCALING_FORMAT=MLN","Sort=A","Dates=H","DateFormat=P","Fill=—","Direction=H","UseDPDF=Y")</f>
        <v>#NAME?</v>
      </c>
      <c r="CB47" s="2" t="e">
        <f ca="1">_xll.BDH($C$28,"TOT_DEBT_TO_EBITDA","FQ4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47" s="2" t="e">
        <f ca="1">_xll.BDH($C$28,"NET_DEBT_TO_EBITDA","FQ4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47" s="2" t="e">
        <f ca="1">_xll.BDH($C$28,"TOTAL_DEBT_TO_EBIT","FQ4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47" s="2" t="e">
        <f ca="1">_xll.BDH($C$28,"NET_DEBT_TO_EBIT","FQ4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47" s="2" t="e">
        <f ca="1">_xll.BDH($C$28,"EBITDA_TO_INTEREST_EXPN","FQ4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47" s="2" t="e">
        <f ca="1">_xll.BDH($C$28,"COM_EQY_TO_TOT_ASSET","FQ4 2017","FQ4 2017","Currency=INR","Period=FQ","BEST_FPERIOD_OVERRIDE=FQ","FILING_STATUS=OR","EQY_CONSOLIDATED=Y","Sort=A","Dates=H","DateFormat=P","Fill=—","Direction=H","UseDPDF=Y")</f>
        <v>#NAME?</v>
      </c>
      <c r="CH47" s="2" t="e">
        <f ca="1">_xll.BDH($C$28,"LT_DEBT_TO_TOT_EQY","FQ4 2017","FQ4 2017","Currency=INR","Period=FQ","BEST_FPERIOD_OVERRIDE=FQ","FILING_STATUS=OR","EQY_CONSOLIDATED=Y","Sort=A","Dates=H","DateFormat=P","Fill=—","Direction=H","UseDPDF=Y")</f>
        <v>#NAME?</v>
      </c>
      <c r="CI47" s="2" t="e">
        <f ca="1">_xll.BDH($C$28,"LT_DEBT_TO_TOT_CAP","FQ4 2017","FQ4 2017","Currency=INR","Period=FQ","BEST_FPERIOD_OVERRIDE=FQ","FILING_STATUS=OR","EQY_CONSOLIDATED=Y","Sort=A","Dates=H","DateFormat=P","Fill=—","Direction=H","UseDPDF=Y")</f>
        <v>#NAME?</v>
      </c>
      <c r="CJ47" s="2" t="e">
        <f ca="1">_xll.BDH($C$28,"LT_DEBT_TO_TOT_ASSET","FQ4 2017","FQ4 2017","Currency=INR","Period=FQ","BEST_FPERIOD_OVERRIDE=FQ","FILING_STATUS=OR","EQY_CONSOLIDATED=Y","Sort=A","Dates=H","DateFormat=P","Fill=—","Direction=H","UseDPDF=Y")</f>
        <v>#NAME?</v>
      </c>
      <c r="CK47" s="2" t="e">
        <f ca="1">_xll.BDH($C$28,"TOT_DEBT_TO_TOT_EQY","FQ4 2017","FQ4 2017","Currency=INR","Period=FQ","BEST_FPERIOD_OVERRIDE=FQ","FILING_STATUS=OR","EQY_CONSOLIDATED=Y","Sort=A","Dates=H","DateFormat=P","Fill=—","Direction=H","UseDPDF=Y")</f>
        <v>#NAME?</v>
      </c>
      <c r="CL47" s="2" t="e">
        <f ca="1">_xll.BDH($C$28,"TOT_DEBT_TO_TOT_CAP","FQ4 2017","FQ4 2017","Currency=INR","Period=FQ","BEST_FPERIOD_OVERRIDE=FQ","FILING_STATUS=OR","EQY_CONSOLIDATED=Y","Sort=A","Dates=H","DateFormat=P","Fill=—","Direction=H","UseDPDF=Y")</f>
        <v>#NAME?</v>
      </c>
      <c r="CM47" s="2" t="e">
        <f ca="1">_xll.BDH($C$28,"TOT_DEBT_TO_TOT_ASSET","FQ4 2017","FQ4 2017","Currency=INR","Period=FQ","BEST_FPERIOD_OVERRIDE=FQ","FILING_STATUS=OR","EQY_CONSOLIDATED=Y","Sort=A","Dates=H","DateFormat=P","Fill=—","Direction=H","UseDPDF=Y")</f>
        <v>#NAME?</v>
      </c>
      <c r="CN47" s="2" t="e">
        <f ca="1">_xll.BDH($C$28,"NET_DEBT_TO_SHRHLDR_EQTY","FQ4 2017","FQ4 2017","Currency=INR","Period=FQ","BEST_FPERIOD_OVERRIDE=FQ","FILING_STATUS=OR","EQY_CONSOLIDATED=Y","Sort=A","Dates=H","DateFormat=P","Fill=—","Direction=H","UseDPDF=Y")</f>
        <v>#NAME?</v>
      </c>
      <c r="CO47" s="2" t="e">
        <f ca="1">_xll.BDH($C$28,"NET_DEBT_%_CAPITAL","FQ4 2017","FQ4 2017","Currency=INR","Period=FQ","BEST_FPERIOD_OVERRIDE=FQ","FILING_STATUS=OR","EQY_CONSOLIDATED=Y","Sort=A","Dates=H","DateFormat=P","Fill=—","Direction=H","UseDPDF=Y")</f>
        <v>#NAME?</v>
      </c>
      <c r="CP47" s="3" t="e">
        <f ca="1">_xll.BDH($C$28,"EBITDA","FQ4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47" s="3" t="e">
        <f ca="1">_xll.BDH($C$28,"EBITDA_AFTER_CAPEX","FQ4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47" s="3" t="e">
        <f ca="1">_xll.BDH($C$28,"IS_OPER_INC","FQ4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47" s="2" t="e">
        <f ca="1">_xll.BDH($C$28,"CASH_RATIO","FQ4 2017","FQ4 2017","Currency=INR","Period=FQ","BEST_FPERIOD_OVERRIDE=FQ","FILING_STATUS=OR","EQY_CONSOLIDATED=Y","Sort=A","Dates=H","DateFormat=P","Fill=—","Direction=H","UseDPDF=Y")</f>
        <v>#NAME?</v>
      </c>
      <c r="CT47" s="2" t="e">
        <f ca="1">_xll.BDH($C$28,"CUR_RATIO","FQ4 2017","FQ4 2017","Currency=INR","Period=FQ","BEST_FPERIOD_OVERRIDE=FQ","FILING_STATUS=OR","EQY_CONSOLIDATED=Y","Sort=A","Dates=H","DateFormat=P","Fill=—","Direction=H","UseDPDF=Y")</f>
        <v>#NAME?</v>
      </c>
      <c r="CU47" s="2" t="e">
        <f ca="1">_xll.BDH($C$28,"QUICK_RATIO","FQ4 2017","FQ4 2017","Currency=INR","Period=FQ","BEST_FPERIOD_OVERRIDE=FQ","FILING_STATUS=OR","EQY_CONSOLIDATED=Y","Sort=A","Dates=H","DateFormat=P","Fill=—","Direction=H","UseDPDF=Y")</f>
        <v>#NAME?</v>
      </c>
      <c r="CV47" s="2" t="e">
        <f ca="1">_xll.BDH($C$28,"ALTMAN_Z_SCORE","FQ4 2017","FQ4 2017","Currency=INR","Period=FQ","BEST_FPERIOD_OVERRIDE=FQ","FILING_STATUS=OR","EQY_CONSOLIDATED=Y","Sort=A","Dates=H","DateFormat=P","Fill=—","Direction=H","UseDPDF=Y")</f>
        <v>#NAME?</v>
      </c>
      <c r="CW47" s="4" t="e">
        <f ca="1">_xll.BDH($C$28,"ACCT_RCV_TURN","FQ4 2017","FQ4 2017","Currency=INR","Period=FQ","BEST_FPERIOD_OVERRIDE=FQ","FILING_STATUS=OR","EQY_CONSOLIDATED=Y","FA_ADJUSTED=GAAP","Sort=A","Dates=H","DateFormat=P","Fill=—","Direction=H","UseDPDF=Y")</f>
        <v>#NAME?</v>
      </c>
      <c r="CX47" s="2" t="e">
        <f ca="1">_xll.BDH($C$28,"ACCT_RCV_DAYS","FQ4 2017","FQ4 2017","Currency=INR","Period=FQ","BEST_FPERIOD_OVERRIDE=FQ","FILING_STATUS=OR","EQY_CONSOLIDATED=Y","FA_ADJUSTED=GAAP","Sort=A","Dates=H","DateFormat=P","Fill=—","Direction=H","UseDPDF=Y")</f>
        <v>#NAME?</v>
      </c>
      <c r="CY47" s="4" t="e">
        <f ca="1">_xll.BDH($C$28,"INVENT_TURN","FQ4 2017","FQ4 2017","Currency=INR","Period=FQ","BEST_FPERIOD_OVERRIDE=FQ","FILING_STATUS=OR","EQY_CONSOLIDATED=Y","FA_ADJUSTED=GAAP","Sort=A","Dates=H","DateFormat=P","Fill=—","Direction=H","UseDPDF=Y")</f>
        <v>#NAME?</v>
      </c>
      <c r="CZ47" s="2" t="e">
        <f ca="1">_xll.BDH($C$28,"INVENT_DAYS","FQ4 2017","FQ4 2017","Currency=INR","Period=FQ","BEST_FPERIOD_OVERRIDE=FQ","FILING_STATUS=OR","EQY_CONSOLIDATED=Y","FA_ADJUSTED=GAAP","Sort=A","Dates=H","DateFormat=P","Fill=—","Direction=H","UseDPDF=Y")</f>
        <v>#NAME?</v>
      </c>
      <c r="DA47" s="4" t="e">
        <f ca="1">_xll.BDH($C$28,"ACCOUNTS_PAYABLE_TURNOVER","FQ4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47" s="2" t="e">
        <f ca="1">_xll.BDH($C$28,"ACCOUNTS_PAYABLE_TURNOVER_DAYS","FQ4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47" s="4" t="e">
        <f ca="1">_xll.BDH($C$28,"CASH_CONVERSION_CYCLE","FQ4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47" s="4" t="e">
        <f ca="1">_xll.BDH($C$28,"INV_TO_CASH_DAYS","FQ4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47" s="5" t="e">
        <f ca="1">_xll.BDH($C$28,"BS_INVENTORIES","FQ4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47" s="3" t="e">
        <f ca="1">_xll.BDH($C$28,"INVTRY_RAW_MATERIALS","FQ4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47" s="3" t="e">
        <f ca="1">_xll.BDH($C$28,"INVTRY_IN_PROGRESS","FQ4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47" s="3" t="e">
        <f ca="1">_xll.BDH($C$28,"INVTRY_FINISHED_GOODS","FQ4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47" s="3" t="e">
        <f ca="1">_xll.BDH($C$28,"BS_OTHER_INV","FQ4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48" spans="1:113" x14ac:dyDescent="0.3">
      <c r="A48" s="6"/>
      <c r="B48" s="6"/>
      <c r="C48" s="6"/>
      <c r="D48" s="6" t="s">
        <v>85</v>
      </c>
      <c r="E48" t="s">
        <v>77</v>
      </c>
      <c r="F48" t="e">
        <f ca="1">_xll.BDH($C$28,"RETURN_COM_EQY","FY 2018","FY 2018","Currency=INR","Period=FY","BEST_FPERIOD_OVERRIDE=FY","FILING_STATUS=OR","EQY_CONSOLIDATED=Y","FA_ADJUSTED=GAAP","Sort=A","Dates=H","DateFormat=P","Fill=—","Direction=H","UseDPDF=Y")</f>
        <v>#NAME?</v>
      </c>
      <c r="G48" t="e">
        <f ca="1">_xll.BDH($C$28,"RETURN_ON_ASSET","FY 2018","FY 2018","Currency=INR","Period=FY","BEST_FPERIOD_OVERRIDE=FY","FILING_STATUS=OR","EQY_CONSOLIDATED=Y","FA_ADJUSTED=GAAP","Sort=A","Dates=H","DateFormat=P","Fill=—","Direction=H","UseDPDF=Y")</f>
        <v>#NAME?</v>
      </c>
      <c r="H48" t="e">
        <f ca="1">_xll.BDH($C$28,"RETURN_ON_CAP","FY 2018","FY 2018","Currency=INR","Period=FY","BEST_FPERIOD_OVERRIDE=FY","FILING_STATUS=OR","EQY_CONSOLIDATED=Y","FA_ADJUSTED=GAAP","Sort=A","Dates=H","DateFormat=P","Fill=—","Direction=H","UseDPDF=Y")</f>
        <v>#NAME?</v>
      </c>
      <c r="I48" t="e">
        <f ca="1">_xll.BDH($C$28,"RETURN_ON_INV_CAPITAL","FY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48" t="e">
        <f ca="1">_xll.BDH($C$28,"EBITDA_TO_REVENUE","FY 2018","FY 2018","Currency=INR","Period=FY","BEST_FPERIOD_OVERRIDE=FY","FILING_STATUS=OR","EQY_CONSOLIDATED=Y","FA_ADJUSTED=GAAP","Sort=A","Dates=H","DateFormat=P","Fill=—","Direction=H","UseDPDF=Y")</f>
        <v>#NAME?</v>
      </c>
      <c r="K48" t="e">
        <f ca="1">_xll.BDH($C$28,"OPER_MARGIN","FY 2018","FY 2018","Currency=INR","Period=FY","BEST_FPERIOD_OVERRIDE=FY","FILING_STATUS=OR","EQY_CONSOLIDATED=Y","FA_ADJUSTED=GAAP","Sort=A","Dates=H","DateFormat=P","Fill=—","Direction=H","UseDPDF=Y")</f>
        <v>#NAME?</v>
      </c>
      <c r="L48" t="e">
        <f ca="1">_xll.BDH($C$28,"INCREMENTAL_OPERATING_MARGIN","FY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48" t="e">
        <f ca="1">_xll.BDH($C$28,"PRETAX_INC_TO_NET_SALES","FY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48" t="e">
        <f ca="1">_xll.BDH($C$28,"INC_BEF_XO_ITEMS_TO_NET_SALES","FY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48" t="e">
        <f ca="1">_xll.BDH($C$28,"PROF_MARGIN","FY 2018","FY 2018","Currency=INR","Period=FY","BEST_FPERIOD_OVERRIDE=FY","FILING_STATUS=OR","EQY_CONSOLIDATED=Y","FA_ADJUSTED=GAAP","Sort=A","Dates=H","DateFormat=P","Fill=—","Direction=H","UseDPDF=Y")</f>
        <v>#NAME?</v>
      </c>
      <c r="P48" t="e">
        <f ca="1">_xll.BDH($C$28,"NET_INCOME_TO_COMMON_MARGIN","FY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48" t="e">
        <f ca="1">_xll.BDH($C$28,"EFF_TAX_RATE","FY 2018","FY 2018","Currency=INR","Period=FY","BEST_FPERIOD_OVERRIDE=FY","FILING_STATUS=OR","EQY_CONSOLIDATED=Y","FA_ADJUSTED=GAAP","Sort=A","Dates=H","DateFormat=P","Fill=—","Direction=H","UseDPDF=Y")</f>
        <v>#NAME?</v>
      </c>
      <c r="R48" t="e">
        <f ca="1">_xll.BDH($C$28,"DVD_PAYOUT_RATIO","FY 2018","FY 2018","Currency=INR","Period=FY","BEST_FPERIOD_OVERRIDE=FY","FILING_STATUS=OR","EQY_CONSOLIDATED=Y","FA_ADJUSTED=GAAP","Sort=A","Dates=H","DateFormat=P","Fill=—","Direction=H","UseDPDF=Y")</f>
        <v>#NAME?</v>
      </c>
      <c r="S48" t="e">
        <f ca="1">_xll.BDH($C$28,"SUSTAIN_GROWTH_RT","FY 2018","FY 2018","Currency=INR","Period=FY","BEST_FPERIOD_OVERRIDE=FY","FILING_STATUS=OR","EQY_CONSOLIDATED=Y","FA_ADJUSTED=GAAP","Sort=A","Dates=H","DateFormat=P","Fill=—","Direction=H","UseDPDF=Y")</f>
        <v>#NAME?</v>
      </c>
      <c r="T48" s="2" t="e">
        <f ca="1">_xll.BDH($C$28,"SALES_GROWTH","FY 2018","FY 2018","Currency=INR","Period=FY","BEST_FPERIOD_OVERRIDE=FY","FILING_STATUS=OR","EQY_CONSOLIDATED=Y","FA_ADJUSTED=GAAP","Sort=A","Dates=H","DateFormat=P","Fill=—","Direction=H","UseDPDF=Y")</f>
        <v>#NAME?</v>
      </c>
      <c r="U48" s="2" t="e">
        <f ca="1">_xll.BDH($C$28,"EBITDA_GROWTH","FY 2018","FY 2018","Currency=INR","Period=FY","BEST_FPERIOD_OVERRIDE=FY","FILING_STATUS=OR","EQY_CONSOLIDATED=Y","FA_ADJUSTED=GAAP","Sort=A","Dates=H","DateFormat=P","Fill=—","Direction=H","UseDPDF=Y")</f>
        <v>#NAME?</v>
      </c>
      <c r="V48" s="2" t="e">
        <f ca="1">_xll.BDH($C$28,"OPER_INC_GROWTH","FY 2018","FY 2018","Currency=INR","Period=FY","BEST_FPERIOD_OVERRIDE=FY","FILING_STATUS=OR","EQY_CONSOLIDATED=Y","FA_ADJUSTED=GAAP","Sort=A","Dates=H","DateFormat=P","Fill=—","Direction=H","UseDPDF=Y")</f>
        <v>#NAME?</v>
      </c>
      <c r="W48" s="2" t="e">
        <f ca="1">_xll.BDH($C$28,"EARN_FOR_COM_GROWTH","FY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48" s="2" t="e">
        <f ca="1">_xll.BDH($C$28,"DILUTED_EPS_AFT_XO_ITEMS_GROWTH","FY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48" s="2" t="e">
        <f ca="1">_xll.BDH($C$28,"DIVIDEND_PER_SHARE_1_YEAR_GROWTH","FY 2018","FY 2018","Currency=INR","Period=FY","BEST_FPERIOD_OVERRIDE=FY","FILING_STATUS=OR","EQY_CONSOLIDATED=Y","Sort=A","Dates=H","DateFormat=P","Fill=—","Direction=H","UseDPDF=Y")</f>
        <v>#NAME?</v>
      </c>
      <c r="Z48" s="2" t="e">
        <f ca="1">_xll.BDH($C$28,"ACCOUNTS_RECEIVABLE_GROWTH","FY 2018","FY 2018","Currency=INR","Period=FY","BEST_FPERIOD_OVERRIDE=FY","FILING_STATUS=OR","EQY_CONSOLIDATED=Y","Sort=A","Dates=H","DateFormat=P","Fill=—","Direction=H","UseDPDF=Y")</f>
        <v>#NAME?</v>
      </c>
      <c r="AA48" s="2" t="e">
        <f ca="1">_xll.BDH($C$28,"INVENTORY_GROWTH","FY 2018","FY 2018","Currency=INR","Period=FY","BEST_FPERIOD_OVERRIDE=FY","FILING_STATUS=OR","EQY_CONSOLIDATED=Y","Sort=A","Dates=H","DateFormat=P","Fill=—","Direction=H","UseDPDF=Y")</f>
        <v>#NAME?</v>
      </c>
      <c r="AB48" s="2" t="e">
        <f ca="1">_xll.BDH($C$28,"NET_FIXED_ASSETS_1_YEAR_GROWTH","FY 2018","FY 2018","Currency=INR","Period=FY","BEST_FPERIOD_OVERRIDE=FY","FILING_STATUS=OR","EQY_CONSOLIDATED=Y","Sort=A","Dates=H","DateFormat=P","Fill=—","Direction=H","UseDPDF=Y")</f>
        <v>#NAME?</v>
      </c>
      <c r="AC48" s="2" t="e">
        <f ca="1">_xll.BDH($C$28,"ASSET_GROWTH","FY 2018","FY 2018","Currency=INR","Period=FY","BEST_FPERIOD_OVERRIDE=FY","FILING_STATUS=OR","EQY_CONSOLIDATED=Y","Sort=A","Dates=H","DateFormat=P","Fill=—","Direction=H","UseDPDF=Y")</f>
        <v>#NAME?</v>
      </c>
      <c r="AD48" s="2" t="e">
        <f ca="1">_xll.BDH($C$28,"MODIFIED_WORK_CAP_GROWTH","FY 2018","FY 2018","Currency=INR","Period=FY","BEST_FPERIOD_OVERRIDE=FY","FILING_STATUS=OR","EQY_CONSOLIDATED=Y","Sort=A","Dates=H","DateFormat=P","Fill=—","Direction=H","UseDPDF=Y")</f>
        <v>#NAME?</v>
      </c>
      <c r="AE48" s="2" t="e">
        <f ca="1">_xll.BDH($C$28,"WORK_CAP_GROWTH","FY 2018","FY 2018","Currency=INR","Period=FY","BEST_FPERIOD_OVERRIDE=FY","FILING_STATUS=OR","EQY_CONSOLIDATED=Y","Sort=A","Dates=H","DateFormat=P","Fill=—","Direction=H","UseDPDF=Y")</f>
        <v>#NAME?</v>
      </c>
      <c r="AF48" s="2" t="e">
        <f ca="1">_xll.BDH($C$28,"ACCOUNTS_PAYABLE_GROWTH_1YR","FY 2018","FY 2018","Currency=INR","Period=FY","BEST_FPERIOD_OVERRIDE=FY","FILING_STATUS=OR","EQY_CONSOLIDATED=Y","Sort=A","Dates=H","DateFormat=P","Fill=—","Direction=H","UseDPDF=Y")</f>
        <v>#NAME?</v>
      </c>
      <c r="AG48" s="2" t="e">
        <f ca="1">_xll.BDH($C$28,"SHORT_TERM_DEBT_1_YEAR_GROWTH","FY 2018","FY 2018","Currency=INR","Period=FY","BEST_FPERIOD_OVERRIDE=FY","FILING_STATUS=OR","EQY_CONSOLIDATED=Y","Sort=A","Dates=H","DateFormat=P","Fill=—","Direction=H","UseDPDF=Y")</f>
        <v>#NAME?</v>
      </c>
      <c r="AH48" s="2" t="e">
        <f ca="1">_xll.BDH($C$28,"TOTAL_DEBT_1_YEAR_GROWTH","FY 2018","FY 2018","Currency=INR","Period=FY","BEST_FPERIOD_OVERRIDE=FY","FILING_STATUS=OR","EQY_CONSOLIDATED=Y","Sort=A","Dates=H","DateFormat=P","Fill=—","Direction=H","UseDPDF=Y")</f>
        <v>#NAME?</v>
      </c>
      <c r="AI48" s="2" t="e">
        <f ca="1">_xll.BDH($C$28,"TOTAL_EQUITY_1_YEAR_GROWTH","FY 2018","FY 2018","Currency=INR","Period=FY","BEST_FPERIOD_OVERRIDE=FY","FILING_STATUS=OR","EQY_CONSOLIDATED=Y","Sort=A","Dates=H","DateFormat=P","Fill=—","Direction=H","UseDPDF=Y")</f>
        <v>#NAME?</v>
      </c>
      <c r="AJ48" s="2" t="e">
        <f ca="1">_xll.BDH($C$28,"GROWTH_IN_CAP","FY 2018","FY 2018","Currency=INR","Period=FY","BEST_FPERIOD_OVERRIDE=FY","FILING_STATUS=OR","EQY_CONSOLIDATED=Y","Sort=A","Dates=H","DateFormat=P","Fill=—","Direction=H","UseDPDF=Y")</f>
        <v>#NAME?</v>
      </c>
      <c r="AK48" s="2" t="e">
        <f ca="1">_xll.BDH($C$28,"BVPS_GROWTH","FY 2018","FY 2018","Currency=INR","Period=FY","BEST_FPERIOD_OVERRIDE=FY","FILING_STATUS=OR","EQY_CONSOLIDATED=Y","Sort=A","Dates=H","DateFormat=P","Fill=—","Direction=H","UseDPDF=Y")</f>
        <v>#NAME?</v>
      </c>
      <c r="AL48" s="2" t="e">
        <f ca="1">_xll.BDH($C$28,"CASH_FLOW_GROWTH","FY 2018","FY 2018","Currency=INR","Period=FY","BEST_FPERIOD_OVERRIDE=FY","FILING_STATUS=OR","EQY_CONSOLIDATED=Y","Sort=A","Dates=H","DateFormat=P","Fill=—","Direction=H","UseDPDF=Y")</f>
        <v>#NAME?</v>
      </c>
      <c r="AM48" s="2" t="e">
        <f ca="1">_xll.BDH($C$28,"GEO_GROW_NET_SALES","FY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48" s="2" t="e">
        <f ca="1">_xll.BDH($C$28,"GEO_GROW_EBITDA","FY 2018","FY 2018","Currency=INR","Period=FY","BEST_FPERIOD_OVERRIDE=FY","FILING_STATUS=OR","EQY_CONSOLIDATED=Y","FA_ADJUSTED=GAAP","Sort=A","Dates=H","DateFormat=P","Fill=—","Direction=H","UseDPDF=Y")</f>
        <v>#NAME?</v>
      </c>
      <c r="AO48" s="2" t="e">
        <f ca="1">_xll.BDH($C$28,"GEO_GROW_OPER_INC","FY 2018","FY 2018","Currency=INR","Period=FY","BEST_FPERIOD_OVERRIDE=FY","FILING_STATUS=OR","EQY_CONSOLIDATED=Y","FA_ADJUSTED=GAAP","Sort=A","Dates=H","DateFormat=P","Fill=—","Direction=H","UseDPDF=Y")</f>
        <v>#NAME?</v>
      </c>
      <c r="AP48" s="2" t="e">
        <f ca="1">_xll.BDH($C$28,"NET_INCOME_TO_COMMON_5_YR_GROWTH","FY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48" s="2" t="e">
        <f ca="1">_xll.BDH($C$28,"5Y_GEO_GROWTH_DILUTED_EPS","FY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48" s="2" t="e">
        <f ca="1">_xll.BDH($C$28,"GEO_GROW_DVD_PER_SH","FY 2018","FY 2018","Currency=INR","Period=FY","BEST_FPERIOD_OVERRIDE=FY","FILING_STATUS=OR","EQY_CONSOLIDATED=Y","Sort=A","Dates=H","DateFormat=P","Fill=—","Direction=H","UseDPDF=Y")</f>
        <v>#NAME?</v>
      </c>
      <c r="AS48" s="2" t="e">
        <f ca="1">_xll.BDH($C$28,"ACCOUNTS_RECEIVABLE_5_YR_GROWTH","FY 2018","FY 2018","Currency=INR","Period=FY","BEST_FPERIOD_OVERRIDE=FY","FILING_STATUS=OR","EQY_CONSOLIDATED=Y","Sort=A","Dates=H","DateFormat=P","Fill=—","Direction=H","UseDPDF=Y")</f>
        <v>#NAME?</v>
      </c>
      <c r="AT48" s="2" t="e">
        <f ca="1">_xll.BDH($C$28,"INVENTORY_5_YEAR_GROWTH","FY 2018","FY 2018","Currency=INR","Period=FY","BEST_FPERIOD_OVERRIDE=FY","FILING_STATUS=OR","EQY_CONSOLIDATED=Y","Sort=A","Dates=H","DateFormat=P","Fill=—","Direction=H","UseDPDF=Y")</f>
        <v>#NAME?</v>
      </c>
      <c r="AU48" s="2" t="e">
        <f ca="1">_xll.BDH($C$28,"NET_FIXED_ASSETS_5_YEAR_GROWTH","FY 2018","FY 2018","Currency=INR","Period=FY","BEST_FPERIOD_OVERRIDE=FY","FILING_STATUS=OR","EQY_CONSOLIDATED=Y","Sort=A","Dates=H","DateFormat=P","Fill=—","Direction=H","UseDPDF=Y")</f>
        <v>#NAME?</v>
      </c>
      <c r="AV48" s="2" t="e">
        <f ca="1">_xll.BDH($C$28,"GEO_GROW_TOT_ASSET","FY 2018","FY 2018","Currency=INR","Period=FY","BEST_FPERIOD_OVERRIDE=FY","FILING_STATUS=OR","EQY_CONSOLIDATED=Y","Sort=A","Dates=H","DateFormat=P","Fill=—","Direction=H","UseDPDF=Y")</f>
        <v>#NAME?</v>
      </c>
      <c r="AW48" s="2" t="e">
        <f ca="1">_xll.BDH($C$28,"MODIFIED_WORKING_CPTL_5YR_GRWTH","FY 2018","FY 2018","Currency=INR","Period=FY","BEST_FPERIOD_OVERRIDE=FY","FILING_STATUS=OR","EQY_CONSOLIDATED=Y","Sort=A","Dates=H","DateFormat=P","Fill=—","Direction=H","UseDPDF=Y")</f>
        <v>#NAME?</v>
      </c>
      <c r="AX48" s="2" t="e">
        <f ca="1">_xll.BDH($C$28,"WORKING_CAPITAL_5_YEAR_GROWTH","FY 2018","FY 2018","Currency=INR","Period=FY","BEST_FPERIOD_OVERRIDE=FY","FILING_STATUS=OR","EQY_CONSOLIDATED=Y","Sort=A","Dates=H","DateFormat=P","Fill=—","Direction=H","UseDPDF=Y")</f>
        <v>#NAME?</v>
      </c>
      <c r="AY48" s="2" t="e">
        <f ca="1">_xll.BDH($C$28,"ACCOUNTS_PAYABLE_5_YEAR_GROWTH","FY 2018","FY 2018","Currency=INR","Period=FY","BEST_FPERIOD_OVERRIDE=FY","FILING_STATUS=OR","EQY_CONSOLIDATED=Y","Sort=A","Dates=H","DateFormat=P","Fill=—","Direction=H","UseDPDF=Y")</f>
        <v>#NAME?</v>
      </c>
      <c r="AZ48" s="2" t="e">
        <f ca="1">_xll.BDH($C$28,"SHORT_TERM_DEBT_5_YEAR_GROWTH","FY 2018","FY 2018","Currency=INR","Period=FY","BEST_FPERIOD_OVERRIDE=FY","FILING_STATUS=OR","EQY_CONSOLIDATED=Y","Sort=A","Dates=H","DateFormat=P","Fill=—","Direction=H","UseDPDF=Y")</f>
        <v>#NAME?</v>
      </c>
      <c r="BA48" s="2" t="e">
        <f ca="1">_xll.BDH($C$28,"TOTAL_DEBT_5_YEAR_GROWTH","FY 2018","FY 2018","Currency=INR","Period=FY","BEST_FPERIOD_OVERRIDE=FY","FILING_STATUS=OR","EQY_CONSOLIDATED=Y","Sort=A","Dates=H","DateFormat=P","Fill=—","Direction=H","UseDPDF=Y")</f>
        <v>#NAME?</v>
      </c>
      <c r="BB48" s="2" t="e">
        <f ca="1">_xll.BDH($C$28,"GEO_GROW_TOT_SHRHLDR_EQY","FY 2018","FY 2018","Currency=INR","Period=FY","BEST_FPERIOD_OVERRIDE=FY","FILING_STATUS=OR","EQY_CONSOLIDATED=Y","Sort=A","Dates=H","DateFormat=P","Fill=—","Direction=H","UseDPDF=Y")</f>
        <v>#NAME?</v>
      </c>
      <c r="BC48" s="2" t="e">
        <f ca="1">_xll.BDH($C$28,"TOTAL_CAPITAL_5_YEAR_GROWTH","FY 2018","FY 2018","Currency=INR","Period=FY","BEST_FPERIOD_OVERRIDE=FY","FILING_STATUS=OR","EQY_CONSOLIDATED=Y","Sort=A","Dates=H","DateFormat=P","Fill=—","Direction=H","UseDPDF=Y")</f>
        <v>#NAME?</v>
      </c>
      <c r="BD48" s="2" t="e">
        <f ca="1">_xll.BDH($C$28,"GEO_GROW_BOOK_VAL","FY 2018","FY 2018","Currency=INR","Period=FY","BEST_FPERIOD_OVERRIDE=FY","FILING_STATUS=OR","EQY_CONSOLIDATED=Y","Sort=A","Dates=H","DateFormat=P","Fill=—","Direction=H","UseDPDF=Y")</f>
        <v>#NAME?</v>
      </c>
      <c r="BE48" s="2" t="e">
        <f ca="1">_xll.BDH($C$28,"GEO_GROW_CASH_OPER_ACT","FY 2018","FY 2018","Currency=INR","Period=FY","BEST_FPERIOD_OVERRIDE=FY","FILING_STATUS=OR","EQY_CONSOLIDATED=Y","Sort=A","Dates=H","DateFormat=P","Fill=—","Direction=H","UseDPDF=Y")</f>
        <v>#NAME?</v>
      </c>
      <c r="BF48" s="2" t="e">
        <f ca="1">_xll.BDH($C$28,"REVENUE_SEQUENTIAL_GROWTH","FY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48" s="2" t="e">
        <f ca="1">_xll.BDH($C$28,"EBITDA_SEQUENTIAL_GROWTH","FY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48" s="2" t="e">
        <f ca="1">_xll.BDH($C$28,"OPERATING_INCOME_SEQ_GROWTH","FY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48" s="2" t="e">
        <f ca="1">_xll.BDH($C$28,"NET_INCOME_TO_COMMON_SEQ_GROWTH","FY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48" s="2" t="e">
        <f ca="1">_xll.BDH($C$28,"EPS_DILUTED_SEQUENTIAL_GROWTH","FY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48" s="2" t="e">
        <f ca="1">_xll.BDH($C$28,"DPS_SEQUENTIAL_GROWTH","FY 2018","FY 2018","Currency=INR","Period=FY","BEST_FPERIOD_OVERRIDE=FY","FILING_STATUS=OR","EQY_CONSOLIDATED=Y","Sort=A","Dates=H","DateFormat=P","Fill=—","Direction=H","UseDPDF=Y")</f>
        <v>#NAME?</v>
      </c>
      <c r="BL48" s="2" t="e">
        <f ca="1">_xll.BDH($C$28,"ACCOUNTS_RECEIVABLE_SEQ_GROWTH","FY 2018","FY 2018","Currency=INR","Period=FY","BEST_FPERIOD_OVERRIDE=FY","FILING_STATUS=OR","EQY_CONSOLIDATED=Y","Sort=A","Dates=H","DateFormat=P","Fill=—","Direction=H","UseDPDF=Y")</f>
        <v>#NAME?</v>
      </c>
      <c r="BM48" s="2" t="e">
        <f ca="1">_xll.BDH($C$28,"INVENTORY_SEQUENTIAL_GROWTH","FY 2018","FY 2018","Currency=INR","Period=FY","BEST_FPERIOD_OVERRIDE=FY","FILING_STATUS=OR","EQY_CONSOLIDATED=Y","Sort=A","Dates=H","DateFormat=P","Fill=—","Direction=H","UseDPDF=Y")</f>
        <v>#NAME?</v>
      </c>
      <c r="BN48" s="2" t="e">
        <f ca="1">_xll.BDH($C$28,"FIXED_ASSETS_SEQUENTIAL_GROWTH","FY 2018","FY 2018","Currency=INR","Period=FY","BEST_FPERIOD_OVERRIDE=FY","FILING_STATUS=OR","EQY_CONSOLIDATED=Y","Sort=A","Dates=H","DateFormat=P","Fill=—","Direction=H","UseDPDF=Y")</f>
        <v>#NAME?</v>
      </c>
      <c r="BO48" s="2" t="e">
        <f ca="1">_xll.BDH($C$28,"TOTAL_ASSETS_SEQUENTIAL_GROWTH","FY 2018","FY 2018","Currency=INR","Period=FY","BEST_FPERIOD_OVERRIDE=FY","FILING_STATUS=OR","EQY_CONSOLIDATED=Y","Sort=A","Dates=H","DateFormat=P","Fill=—","Direction=H","UseDPDF=Y")</f>
        <v>#NAME?</v>
      </c>
      <c r="BP48" s="2" t="e">
        <f ca="1">_xll.BDH($C$28,"MODIFIED_WORKING_CPTL_SEQ_GRWTH","FY 2018","FY 2018","Currency=INR","Period=FY","BEST_FPERIOD_OVERRIDE=FY","FILING_STATUS=OR","EQY_CONSOLIDATED=Y","Sort=A","Dates=H","DateFormat=P","Fill=—","Direction=H","UseDPDF=Y")</f>
        <v>#NAME?</v>
      </c>
      <c r="BQ48" s="2" t="e">
        <f ca="1">_xll.BDH($C$28,"WORKING_CAPITAL_SEQ_GROWTH","FY 2018","FY 2018","Currency=INR","Period=FY","BEST_FPERIOD_OVERRIDE=FY","FILING_STATUS=OR","EQY_CONSOLIDATED=Y","Sort=A","Dates=H","DateFormat=P","Fill=—","Direction=H","UseDPDF=Y")</f>
        <v>#NAME?</v>
      </c>
      <c r="BR48" s="2" t="e">
        <f ca="1">_xll.BDH($C$28,"ACCOUNTS_PAYABLE_SEQ_GROWTH","FY 2018","FY 2018","Currency=INR","Period=FY","BEST_FPERIOD_OVERRIDE=FY","FILING_STATUS=OR","EQY_CONSOLIDATED=Y","Sort=A","Dates=H","DateFormat=P","Fill=—","Direction=H","UseDPDF=Y")</f>
        <v>#NAME?</v>
      </c>
      <c r="BS48" s="2" t="e">
        <f ca="1">_xll.BDH($C$28,"ST_DEBT_SEQUENTIAL_GROWTH","FY 2018","FY 2018","Currency=INR","Period=FY","BEST_FPERIOD_OVERRIDE=FY","FILING_STATUS=OR","EQY_CONSOLIDATED=Y","Sort=A","Dates=H","DateFormat=P","Fill=—","Direction=H","UseDPDF=Y")</f>
        <v>#NAME?</v>
      </c>
      <c r="BT48" s="2" t="e">
        <f ca="1">_xll.BDH($C$28,"TOTAL_DEBT_SEQUENTIAL_GROWTH","FY 2018","FY 2018","Currency=INR","Period=FY","BEST_FPERIOD_OVERRIDE=FY","FILING_STATUS=OR","EQY_CONSOLIDATED=Y","Sort=A","Dates=H","DateFormat=P","Fill=—","Direction=H","UseDPDF=Y")</f>
        <v>#NAME?</v>
      </c>
      <c r="BU48" s="2" t="e">
        <f ca="1">_xll.BDH($C$28,"TOTAL_EQUITY_SEQUENTIAL_GROWTH","FY 2018","FY 2018","Currency=INR","Period=FY","BEST_FPERIOD_OVERRIDE=FY","FILING_STATUS=OR","EQY_CONSOLIDATED=Y","Sort=A","Dates=H","DateFormat=P","Fill=—","Direction=H","UseDPDF=Y")</f>
        <v>#NAME?</v>
      </c>
      <c r="BV48" s="2" t="e">
        <f ca="1">_xll.BDH($C$28,"TOTAL_CAPITAL_SEQUENTIAL_GROWTH","FY 2018","FY 2018","Currency=INR","Period=FY","BEST_FPERIOD_OVERRIDE=FY","FILING_STATUS=OR","EQY_CONSOLIDATED=Y","Sort=A","Dates=H","DateFormat=P","Fill=—","Direction=H","UseDPDF=Y")</f>
        <v>#NAME?</v>
      </c>
      <c r="BW48" s="2" t="e">
        <f ca="1">_xll.BDH($C$28,"BPS_SEQUENTIAL_GROWTH","FY 2018","FY 2018","Currency=INR","Period=FY","BEST_FPERIOD_OVERRIDE=FY","FILING_STATUS=OR","EQY_CONSOLIDATED=Y","Sort=A","Dates=H","DateFormat=P","Fill=—","Direction=H","UseDPDF=Y")</f>
        <v>#NAME?</v>
      </c>
      <c r="BX48" s="2" t="e">
        <f ca="1">_xll.BDH($C$28,"CFO_SEQUENTIAL_GROWTH","FY 2018","FY 2018","Currency=INR","Period=FY","BEST_FPERIOD_OVERRIDE=FY","FILING_STATUS=OR","EQY_CONSOLIDATED=Y","Sort=A","Dates=H","DateFormat=P","Fill=—","Direction=H","UseDPDF=Y")</f>
        <v>#NAME?</v>
      </c>
      <c r="BY48" s="3" t="e">
        <f ca="1">_xll.BDH($C$28,"SHORT_AND_LONG_TERM_DEBT","FY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48" s="3" t="e">
        <f ca="1">_xll.BDH($C$28,"BS_ST_BORROW","FY 2018","FY 2018","Currency=INR","Period=FY","BEST_FPERIOD_OVERRIDE=FY","FILING_STATUS=OR","EQY_CONSOLIDATED=Y","SCALING_FORMAT=MLN","Sort=A","Dates=H","DateFormat=P","Fill=—","Direction=H","UseDPDF=Y")</f>
        <v>#NAME?</v>
      </c>
      <c r="CA48" s="3" t="e">
        <f ca="1">_xll.BDH($C$28,"BS_LT_BORROW","FY 2018","FY 2018","Currency=INR","Period=FY","BEST_FPERIOD_OVERRIDE=FY","FILING_STATUS=OR","EQY_CONSOLIDATED=Y","SCALING_FORMAT=MLN","Sort=A","Dates=H","DateFormat=P","Fill=—","Direction=H","UseDPDF=Y")</f>
        <v>#NAME?</v>
      </c>
      <c r="CB48" s="2" t="e">
        <f ca="1">_xll.BDH($C$28,"TOT_DEBT_TO_EBITDA","FY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48" s="2" t="e">
        <f ca="1">_xll.BDH($C$28,"NET_DEBT_TO_EBITDA","FY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48" s="2" t="e">
        <f ca="1">_xll.BDH($C$28,"TOTAL_DEBT_TO_EBIT","FY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48" s="2" t="e">
        <f ca="1">_xll.BDH($C$28,"NET_DEBT_TO_EBIT","FY 2018","FY 2018","Currency=INR","Period=FY","BEST_FPERIOD_OVERRIDE=FY","FILING_STATUS=OR","EQY_CONSOLIDATED=Y","FA_ADJUSTED=GAAP","Sort=A","Dates=H","DateFormat=P","Fill=—","Direction=H","UseDPDF=Y")</f>
        <v>#NAME?</v>
      </c>
      <c r="CF48" s="2" t="e">
        <f ca="1">_xll.BDH($C$28,"EBITDA_TO_INTEREST_EXPN","FY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48" s="2" t="e">
        <f ca="1">_xll.BDH($C$28,"COM_EQY_TO_TOT_ASSET","FY 2018","FY 2018","Currency=INR","Period=FY","BEST_FPERIOD_OVERRIDE=FY","FILING_STATUS=OR","EQY_CONSOLIDATED=Y","Sort=A","Dates=H","DateFormat=P","Fill=—","Direction=H","UseDPDF=Y")</f>
        <v>#NAME?</v>
      </c>
      <c r="CH48" s="2" t="e">
        <f ca="1">_xll.BDH($C$28,"LT_DEBT_TO_TOT_EQY","FY 2018","FY 2018","Currency=INR","Period=FY","BEST_FPERIOD_OVERRIDE=FY","FILING_STATUS=OR","EQY_CONSOLIDATED=Y","Sort=A","Dates=H","DateFormat=P","Fill=—","Direction=H","UseDPDF=Y")</f>
        <v>#NAME?</v>
      </c>
      <c r="CI48" s="2" t="e">
        <f ca="1">_xll.BDH($C$28,"LT_DEBT_TO_TOT_CAP","FY 2018","FY 2018","Currency=INR","Period=FY","BEST_FPERIOD_OVERRIDE=FY","FILING_STATUS=OR","EQY_CONSOLIDATED=Y","Sort=A","Dates=H","DateFormat=P","Fill=—","Direction=H","UseDPDF=Y")</f>
        <v>#NAME?</v>
      </c>
      <c r="CJ48" s="2" t="e">
        <f ca="1">_xll.BDH($C$28,"LT_DEBT_TO_TOT_ASSET","FY 2018","FY 2018","Currency=INR","Period=FY","BEST_FPERIOD_OVERRIDE=FY","FILING_STATUS=OR","EQY_CONSOLIDATED=Y","Sort=A","Dates=H","DateFormat=P","Fill=—","Direction=H","UseDPDF=Y")</f>
        <v>#NAME?</v>
      </c>
      <c r="CK48" s="2" t="e">
        <f ca="1">_xll.BDH($C$28,"TOT_DEBT_TO_TOT_EQY","FY 2018","FY 2018","Currency=INR","Period=FY","BEST_FPERIOD_OVERRIDE=FY","FILING_STATUS=OR","EQY_CONSOLIDATED=Y","Sort=A","Dates=H","DateFormat=P","Fill=—","Direction=H","UseDPDF=Y")</f>
        <v>#NAME?</v>
      </c>
      <c r="CL48" s="2" t="e">
        <f ca="1">_xll.BDH($C$28,"TOT_DEBT_TO_TOT_CAP","FY 2018","FY 2018","Currency=INR","Period=FY","BEST_FPERIOD_OVERRIDE=FY","FILING_STATUS=OR","EQY_CONSOLIDATED=Y","Sort=A","Dates=H","DateFormat=P","Fill=—","Direction=H","UseDPDF=Y")</f>
        <v>#NAME?</v>
      </c>
      <c r="CM48" s="2" t="e">
        <f ca="1">_xll.BDH($C$28,"TOT_DEBT_TO_TOT_ASSET","FY 2018","FY 2018","Currency=INR","Period=FY","BEST_FPERIOD_OVERRIDE=FY","FILING_STATUS=OR","EQY_CONSOLIDATED=Y","Sort=A","Dates=H","DateFormat=P","Fill=—","Direction=H","UseDPDF=Y")</f>
        <v>#NAME?</v>
      </c>
      <c r="CN48" s="2" t="e">
        <f ca="1">_xll.BDH($C$28,"NET_DEBT_TO_SHRHLDR_EQTY","FY 2018","FY 2018","Currency=INR","Period=FY","BEST_FPERIOD_OVERRIDE=FY","FILING_STATUS=OR","EQY_CONSOLIDATED=Y","Sort=A","Dates=H","DateFormat=P","Fill=—","Direction=H","UseDPDF=Y")</f>
        <v>#NAME?</v>
      </c>
      <c r="CO48" s="2" t="e">
        <f ca="1">_xll.BDH($C$28,"NET_DEBT_%_CAPITAL","FY 2018","FY 2018","Currency=INR","Period=FY","BEST_FPERIOD_OVERRIDE=FY","FILING_STATUS=OR","EQY_CONSOLIDATED=Y","Sort=A","Dates=H","DateFormat=P","Fill=—","Direction=H","UseDPDF=Y")</f>
        <v>#NAME?</v>
      </c>
      <c r="CP48" s="3" t="e">
        <f ca="1">_xll.BDH($C$28,"EBITDA","FY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48" s="3" t="e">
        <f ca="1">_xll.BDH($C$28,"EBITDA_AFTER_CAPEX","FY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48" s="3" t="e">
        <f ca="1">_xll.BDH($C$28,"IS_OPER_INC","FY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48" s="2" t="e">
        <f ca="1">_xll.BDH($C$28,"CASH_RATIO","FY 2018","FY 2018","Currency=INR","Period=FY","BEST_FPERIOD_OVERRIDE=FY","FILING_STATUS=OR","EQY_CONSOLIDATED=Y","Sort=A","Dates=H","DateFormat=P","Fill=—","Direction=H","UseDPDF=Y")</f>
        <v>#NAME?</v>
      </c>
      <c r="CT48" s="2" t="e">
        <f ca="1">_xll.BDH($C$28,"CUR_RATIO","FY 2018","FY 2018","Currency=INR","Period=FY","BEST_FPERIOD_OVERRIDE=FY","FILING_STATUS=OR","EQY_CONSOLIDATED=Y","Sort=A","Dates=H","DateFormat=P","Fill=—","Direction=H","UseDPDF=Y")</f>
        <v>#NAME?</v>
      </c>
      <c r="CU48" s="2" t="e">
        <f ca="1">_xll.BDH($C$28,"QUICK_RATIO","FY 2018","FY 2018","Currency=INR","Period=FY","BEST_FPERIOD_OVERRIDE=FY","FILING_STATUS=OR","EQY_CONSOLIDATED=Y","Sort=A","Dates=H","DateFormat=P","Fill=—","Direction=H","UseDPDF=Y")</f>
        <v>#NAME?</v>
      </c>
      <c r="CV48" s="2" t="e">
        <f ca="1">_xll.BDH($C$28,"ALTMAN_Z_SCORE","FY 2018","FY 2018","Currency=INR","Period=FY","BEST_FPERIOD_OVERRIDE=FY","FILING_STATUS=OR","EQY_CONSOLIDATED=Y","Sort=A","Dates=H","DateFormat=P","Fill=—","Direction=H","UseDPDF=Y")</f>
        <v>#NAME?</v>
      </c>
      <c r="CW48" s="4" t="e">
        <f ca="1">_xll.BDH($C$28,"ACCT_RCV_TURN","FY 2018","FY 2018","Currency=INR","Period=FY","BEST_FPERIOD_OVERRIDE=FY","FILING_STATUS=OR","EQY_CONSOLIDATED=Y","FA_ADJUSTED=GAAP","Sort=A","Dates=H","DateFormat=P","Fill=—","Direction=H","UseDPDF=Y")</f>
        <v>#NAME?</v>
      </c>
      <c r="CX48" s="2" t="e">
        <f ca="1">_xll.BDH($C$28,"ACCT_RCV_DAYS","FY 2018","FY 2018","Currency=INR","Period=FY","BEST_FPERIOD_OVERRIDE=FY","FILING_STATUS=OR","EQY_CONSOLIDATED=Y","FA_ADJUSTED=GAAP","Sort=A","Dates=H","DateFormat=P","Fill=—","Direction=H","UseDPDF=Y")</f>
        <v>#NAME?</v>
      </c>
      <c r="CY48" s="4" t="e">
        <f ca="1">_xll.BDH($C$28,"INVENT_TURN","FY 2018","FY 2018","Currency=INR","Period=FY","BEST_FPERIOD_OVERRIDE=FY","FILING_STATUS=OR","EQY_CONSOLIDATED=Y","FA_ADJUSTED=GAAP","Sort=A","Dates=H","DateFormat=P","Fill=—","Direction=H","UseDPDF=Y")</f>
        <v>#NAME?</v>
      </c>
      <c r="CZ48" s="2" t="e">
        <f ca="1">_xll.BDH($C$28,"INVENT_DAYS","FY 2018","FY 2018","Currency=INR","Period=FY","BEST_FPERIOD_OVERRIDE=FY","FILING_STATUS=OR","EQY_CONSOLIDATED=Y","FA_ADJUSTED=GAAP","Sort=A","Dates=H","DateFormat=P","Fill=—","Direction=H","UseDPDF=Y")</f>
        <v>#NAME?</v>
      </c>
      <c r="DA48" s="4" t="e">
        <f ca="1">_xll.BDH($C$28,"ACCOUNTS_PAYABLE_TURNOVER","FY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48" s="2" t="e">
        <f ca="1">_xll.BDH($C$28,"ACCOUNTS_PAYABLE_TURNOVER_DAYS","FY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48" s="4" t="e">
        <f ca="1">_xll.BDH($C$28,"CASH_CONVERSION_CYCLE","FY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48" s="4" t="e">
        <f ca="1">_xll.BDH($C$28,"INV_TO_CASH_DAYS","FY 2018","FY 2018","Currency=INR","Period=FY","BEST_FPERIOD_OVERRIDE=FY","FILING_STATUS=OR","EQY_CONSOLIDATED=Y","FA_ADJUSTED=GAAP","Sort=A","Dates=H","DateFormat=P","Fill=—","Direction=H","UseDPDF=Y")</f>
        <v>#NAME?</v>
      </c>
      <c r="DE48" s="5" t="e">
        <f ca="1">_xll.BDH($C$28,"BS_INVENTORIES","FY 2018","FY 2018","Currency=INR","Period=FY","BEST_FPERIOD_OVERRIDE=FY","FILING_STATUS=OR","EQY_CONSOLIDATED=Y","SCALING_FORMAT=MLN","Sort=A","Dates=H","DateFormat=P","Fill=—","Direction=H","UseDPDF=Y")</f>
        <v>#NAME?</v>
      </c>
      <c r="DF48" s="3" t="e">
        <f ca="1">_xll.BDH($C$28,"INVTRY_RAW_MATERIALS","FY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48" s="3" t="e">
        <f ca="1">_xll.BDH($C$28,"INVTRY_IN_PROGRESS","FY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48" s="3" t="e">
        <f ca="1">_xll.BDH($C$28,"INVTRY_FINISHED_GOODS","FY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48" s="3" t="e">
        <f ca="1">_xll.BDH($C$28,"BS_OTHER_INV","FY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49" spans="1:113" x14ac:dyDescent="0.3">
      <c r="A49" s="6"/>
      <c r="B49" s="6"/>
      <c r="C49" s="6"/>
      <c r="D49" s="6"/>
      <c r="E49" t="s">
        <v>78</v>
      </c>
      <c r="F49" t="e">
        <f ca="1">_xll.BDH($C$28,"RETURN_COM_EQY","FQ1 2018","FQ1 2018","Currency=INR","Period=FQ","BEST_FPERIOD_OVERRIDE=FQ","FILING_STATUS=OR","EQY_CONSOLIDATED=Y","FA_ADJUSTED=GAAP","Sort=A","Dates=H","DateFormat=P","Fill=—","Direction=H","UseDPDF=Y")</f>
        <v>#NAME?</v>
      </c>
      <c r="G49" t="e">
        <f ca="1">_xll.BDH($C$28,"RETURN_ON_ASSET","FQ1 2018","FQ1 2018","Currency=INR","Period=FQ","BEST_FPERIOD_OVERRIDE=FQ","FILING_STATUS=OR","EQY_CONSOLIDATED=Y","FA_ADJUSTED=GAAP","Sort=A","Dates=H","DateFormat=P","Fill=—","Direction=H","UseDPDF=Y")</f>
        <v>#NAME?</v>
      </c>
      <c r="H49" t="e">
        <f ca="1">_xll.BDH($C$28,"RETURN_ON_CAP","FQ1 2018","FQ1 2018","Currency=INR","Period=FQ","BEST_FPERIOD_OVERRIDE=FQ","FILING_STATUS=OR","EQY_CONSOLIDATED=Y","FA_ADJUSTED=GAAP","Sort=A","Dates=H","DateFormat=P","Fill=—","Direction=H","UseDPDF=Y")</f>
        <v>#NAME?</v>
      </c>
      <c r="I49" t="e">
        <f ca="1">_xll.BDH($C$28,"RETURN_ON_INV_CAPITAL","FQ1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49" t="e">
        <f ca="1">_xll.BDH($C$28,"EBITDA_TO_REVENUE","FQ1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49" t="e">
        <f ca="1">_xll.BDH($C$28,"OPER_MARGIN","FQ1 2018","FQ1 2018","Currency=INR","Period=FQ","BEST_FPERIOD_OVERRIDE=FQ","FILING_STATUS=OR","EQY_CONSOLIDATED=Y","FA_ADJUSTED=GAAP","Sort=A","Dates=H","DateFormat=P","Fill=—","Direction=H","UseDPDF=Y")</f>
        <v>#NAME?</v>
      </c>
      <c r="L49" t="e">
        <f ca="1">_xll.BDH($C$28,"INCREMENTAL_OPERATING_MARGIN","FQ1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49" t="e">
        <f ca="1">_xll.BDH($C$28,"PRETAX_INC_TO_NET_SALES","FQ1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49" t="e">
        <f ca="1">_xll.BDH($C$28,"INC_BEF_XO_ITEMS_TO_NET_SALES","FQ1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49" t="e">
        <f ca="1">_xll.BDH($C$28,"PROF_MARGIN","FQ1 2018","FQ1 2018","Currency=INR","Period=FQ","BEST_FPERIOD_OVERRIDE=FQ","FILING_STATUS=OR","EQY_CONSOLIDATED=Y","FA_ADJUSTED=GAAP","Sort=A","Dates=H","DateFormat=P","Fill=—","Direction=H","UseDPDF=Y")</f>
        <v>#NAME?</v>
      </c>
      <c r="P49" t="e">
        <f ca="1">_xll.BDH($C$28,"NET_INCOME_TO_COMMON_MARGIN","FQ1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49" t="e">
        <f ca="1">_xll.BDH($C$28,"EFF_TAX_RATE","FQ1 2018","FQ1 2018","Currency=INR","Period=FQ","BEST_FPERIOD_OVERRIDE=FQ","FILING_STATUS=OR","EQY_CONSOLIDATED=Y","FA_ADJUSTED=GAAP","Sort=A","Dates=H","DateFormat=P","Fill=—","Direction=H","UseDPDF=Y")</f>
        <v>#NAME?</v>
      </c>
      <c r="R49" t="e">
        <f ca="1">_xll.BDH($C$28,"DVD_PAYOUT_RATIO","FQ1 2018","FQ1 2018","Currency=INR","Period=FQ","BEST_FPERIOD_OVERRIDE=FQ","FILING_STATUS=OR","EQY_CONSOLIDATED=Y","FA_ADJUSTED=GAAP","Sort=A","Dates=H","DateFormat=P","Fill=—","Direction=H","UseDPDF=Y")</f>
        <v>#NAME?</v>
      </c>
      <c r="S49" t="e">
        <f ca="1">_xll.BDH($C$28,"SUSTAIN_GROWTH_RT","FQ1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49" s="2" t="e">
        <f ca="1">_xll.BDH($C$28,"SALES_GROWTH","FQ1 2018","FQ1 2018","Currency=INR","Period=FQ","BEST_FPERIOD_OVERRIDE=FQ","FILING_STATUS=OR","EQY_CONSOLIDATED=Y","FA_ADJUSTED=GAAP","Sort=A","Dates=H","DateFormat=P","Fill=—","Direction=H","UseDPDF=Y")</f>
        <v>#NAME?</v>
      </c>
      <c r="U49" s="2" t="e">
        <f ca="1">_xll.BDH($C$28,"EBITDA_GROWTH","FQ1 2018","FQ1 2018","Currency=INR","Period=FQ","BEST_FPERIOD_OVERRIDE=FQ","FILING_STATUS=OR","EQY_CONSOLIDATED=Y","FA_ADJUSTED=GAAP","Sort=A","Dates=H","DateFormat=P","Fill=—","Direction=H","UseDPDF=Y")</f>
        <v>#NAME?</v>
      </c>
      <c r="V49" s="2" t="e">
        <f ca="1">_xll.BDH($C$28,"OPER_INC_GROWTH","FQ1 2018","FQ1 2018","Currency=INR","Period=FQ","BEST_FPERIOD_OVERRIDE=FQ","FILING_STATUS=OR","EQY_CONSOLIDATED=Y","FA_ADJUSTED=GAAP","Sort=A","Dates=H","DateFormat=P","Fill=—","Direction=H","UseDPDF=Y")</f>
        <v>#NAME?</v>
      </c>
      <c r="W49" s="2" t="e">
        <f ca="1">_xll.BDH($C$28,"EARN_FOR_COM_GROWTH","FQ1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49" s="2" t="e">
        <f ca="1">_xll.BDH($C$28,"DILUTED_EPS_AFT_XO_ITEMS_GROWTH","FQ1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49" s="2" t="e">
        <f ca="1">_xll.BDH($C$28,"DIVIDEND_PER_SHARE_1_YEAR_GROWTH","FQ1 2018","FQ1 2018","Currency=INR","Period=FQ","BEST_FPERIOD_OVERRIDE=FQ","FILING_STATUS=OR","EQY_CONSOLIDATED=Y","Sort=A","Dates=H","DateFormat=P","Fill=—","Direction=H","UseDPDF=Y")</f>
        <v>#NAME?</v>
      </c>
      <c r="Z49" s="2" t="e">
        <f ca="1">_xll.BDH($C$28,"ACCOUNTS_RECEIVABLE_GROWTH","FQ1 2018","FQ1 2018","Currency=INR","Period=FQ","BEST_FPERIOD_OVERRIDE=FQ","FILING_STATUS=OR","EQY_CONSOLIDATED=Y","Sort=A","Dates=H","DateFormat=P","Fill=—","Direction=H","UseDPDF=Y")</f>
        <v>#NAME?</v>
      </c>
      <c r="AA49" s="2" t="e">
        <f ca="1">_xll.BDH($C$28,"INVENTORY_GROWTH","FQ1 2018","FQ1 2018","Currency=INR","Period=FQ","BEST_FPERIOD_OVERRIDE=FQ","FILING_STATUS=OR","EQY_CONSOLIDATED=Y","Sort=A","Dates=H","DateFormat=P","Fill=—","Direction=H","UseDPDF=Y")</f>
        <v>#NAME?</v>
      </c>
      <c r="AB49" s="2" t="e">
        <f ca="1">_xll.BDH($C$28,"NET_FIXED_ASSETS_1_YEAR_GROWTH","FQ1 2018","FQ1 2018","Currency=INR","Period=FQ","BEST_FPERIOD_OVERRIDE=FQ","FILING_STATUS=OR","EQY_CONSOLIDATED=Y","Sort=A","Dates=H","DateFormat=P","Fill=—","Direction=H","UseDPDF=Y")</f>
        <v>#NAME?</v>
      </c>
      <c r="AC49" s="2" t="e">
        <f ca="1">_xll.BDH($C$28,"ASSET_GROWTH","FQ1 2018","FQ1 2018","Currency=INR","Period=FQ","BEST_FPERIOD_OVERRIDE=FQ","FILING_STATUS=OR","EQY_CONSOLIDATED=Y","Sort=A","Dates=H","DateFormat=P","Fill=—","Direction=H","UseDPDF=Y")</f>
        <v>#NAME?</v>
      </c>
      <c r="AD49" s="2" t="e">
        <f ca="1">_xll.BDH($C$28,"MODIFIED_WORK_CAP_GROWTH","FQ1 2018","FQ1 2018","Currency=INR","Period=FQ","BEST_FPERIOD_OVERRIDE=FQ","FILING_STATUS=OR","EQY_CONSOLIDATED=Y","Sort=A","Dates=H","DateFormat=P","Fill=—","Direction=H","UseDPDF=Y")</f>
        <v>#NAME?</v>
      </c>
      <c r="AE49" s="2" t="e">
        <f ca="1">_xll.BDH($C$28,"WORK_CAP_GROWTH","FQ1 2018","FQ1 2018","Currency=INR","Period=FQ","BEST_FPERIOD_OVERRIDE=FQ","FILING_STATUS=OR","EQY_CONSOLIDATED=Y","Sort=A","Dates=H","DateFormat=P","Fill=—","Direction=H","UseDPDF=Y")</f>
        <v>#NAME?</v>
      </c>
      <c r="AF49" s="2" t="e">
        <f ca="1">_xll.BDH($C$28,"ACCOUNTS_PAYABLE_GROWTH_1YR","FQ1 2018","FQ1 2018","Currency=INR","Period=FQ","BEST_FPERIOD_OVERRIDE=FQ","FILING_STATUS=OR","EQY_CONSOLIDATED=Y","Sort=A","Dates=H","DateFormat=P","Fill=—","Direction=H","UseDPDF=Y")</f>
        <v>#NAME?</v>
      </c>
      <c r="AG49" s="2" t="e">
        <f ca="1">_xll.BDH($C$28,"SHORT_TERM_DEBT_1_YEAR_GROWTH","FQ1 2018","FQ1 2018","Currency=INR","Period=FQ","BEST_FPERIOD_OVERRIDE=FQ","FILING_STATUS=OR","EQY_CONSOLIDATED=Y","Sort=A","Dates=H","DateFormat=P","Fill=—","Direction=H","UseDPDF=Y")</f>
        <v>#NAME?</v>
      </c>
      <c r="AH49" s="2" t="e">
        <f ca="1">_xll.BDH($C$28,"TOTAL_DEBT_1_YEAR_GROWTH","FQ1 2018","FQ1 2018","Currency=INR","Period=FQ","BEST_FPERIOD_OVERRIDE=FQ","FILING_STATUS=OR","EQY_CONSOLIDATED=Y","Sort=A","Dates=H","DateFormat=P","Fill=—","Direction=H","UseDPDF=Y")</f>
        <v>#NAME?</v>
      </c>
      <c r="AI49" s="2" t="e">
        <f ca="1">_xll.BDH($C$28,"TOTAL_EQUITY_1_YEAR_GROWTH","FQ1 2018","FQ1 2018","Currency=INR","Period=FQ","BEST_FPERIOD_OVERRIDE=FQ","FILING_STATUS=OR","EQY_CONSOLIDATED=Y","Sort=A","Dates=H","DateFormat=P","Fill=—","Direction=H","UseDPDF=Y")</f>
        <v>#NAME?</v>
      </c>
      <c r="AJ49" s="2" t="e">
        <f ca="1">_xll.BDH($C$28,"GROWTH_IN_CAP","FQ1 2018","FQ1 2018","Currency=INR","Period=FQ","BEST_FPERIOD_OVERRIDE=FQ","FILING_STATUS=OR","EQY_CONSOLIDATED=Y","Sort=A","Dates=H","DateFormat=P","Fill=—","Direction=H","UseDPDF=Y")</f>
        <v>#NAME?</v>
      </c>
      <c r="AK49" s="2" t="e">
        <f ca="1">_xll.BDH($C$28,"BVPS_GROWTH","FQ1 2018","FQ1 2018","Currency=INR","Period=FQ","BEST_FPERIOD_OVERRIDE=FQ","FILING_STATUS=OR","EQY_CONSOLIDATED=Y","Sort=A","Dates=H","DateFormat=P","Fill=—","Direction=H","UseDPDF=Y")</f>
        <v>#NAME?</v>
      </c>
      <c r="AL49" s="2" t="e">
        <f ca="1">_xll.BDH($C$28,"CASH_FLOW_GROWTH","FQ1 2018","FQ1 2018","Currency=INR","Period=FQ","BEST_FPERIOD_OVERRIDE=FQ","FILING_STATUS=OR","EQY_CONSOLIDATED=Y","Sort=A","Dates=H","DateFormat=P","Fill=—","Direction=H","UseDPDF=Y")</f>
        <v>#NAME?</v>
      </c>
      <c r="AM49" s="2" t="e">
        <f ca="1">_xll.BDH($C$28,"GEO_GROW_NET_SALES","FQ1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49" s="2" t="e">
        <f ca="1">_xll.BDH($C$28,"GEO_GROW_EBITDA","FQ1 2018","FQ1 2018","Currency=INR","Period=FQ","BEST_FPERIOD_OVERRIDE=FQ","FILING_STATUS=OR","EQY_CONSOLIDATED=Y","FA_ADJUSTED=GAAP","Sort=A","Dates=H","DateFormat=P","Fill=—","Direction=H","UseDPDF=Y")</f>
        <v>#NAME?</v>
      </c>
      <c r="AO49" s="2" t="e">
        <f ca="1">_xll.BDH($C$28,"GEO_GROW_OPER_INC","FQ1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49" s="2" t="e">
        <f ca="1">_xll.BDH($C$28,"NET_INCOME_TO_COMMON_5_YR_GROWTH","FQ1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49" s="2" t="e">
        <f ca="1">_xll.BDH($C$28,"5Y_GEO_GROWTH_DILUTED_EPS","FQ1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49" s="2" t="e">
        <f ca="1">_xll.BDH($C$28,"GEO_GROW_DVD_PER_SH","FQ1 2018","FQ1 2018","Currency=INR","Period=FQ","BEST_FPERIOD_OVERRIDE=FQ","FILING_STATUS=OR","EQY_CONSOLIDATED=Y","Sort=A","Dates=H","DateFormat=P","Fill=—","Direction=H","UseDPDF=Y")</f>
        <v>#NAME?</v>
      </c>
      <c r="AS49" s="2" t="e">
        <f ca="1">_xll.BDH($C$28,"ACCOUNTS_RECEIVABLE_5_YR_GROWTH","FQ1 2018","FQ1 2018","Currency=INR","Period=FQ","BEST_FPERIOD_OVERRIDE=FQ","FILING_STATUS=OR","EQY_CONSOLIDATED=Y","Sort=A","Dates=H","DateFormat=P","Fill=—","Direction=H","UseDPDF=Y")</f>
        <v>#NAME?</v>
      </c>
      <c r="AT49" s="2" t="e">
        <f ca="1">_xll.BDH($C$28,"INVENTORY_5_YEAR_GROWTH","FQ1 2018","FQ1 2018","Currency=INR","Period=FQ","BEST_FPERIOD_OVERRIDE=FQ","FILING_STATUS=OR","EQY_CONSOLIDATED=Y","Sort=A","Dates=H","DateFormat=P","Fill=—","Direction=H","UseDPDF=Y")</f>
        <v>#NAME?</v>
      </c>
      <c r="AU49" s="2" t="e">
        <f ca="1">_xll.BDH($C$28,"NET_FIXED_ASSETS_5_YEAR_GROWTH","FQ1 2018","FQ1 2018","Currency=INR","Period=FQ","BEST_FPERIOD_OVERRIDE=FQ","FILING_STATUS=OR","EQY_CONSOLIDATED=Y","Sort=A","Dates=H","DateFormat=P","Fill=—","Direction=H","UseDPDF=Y")</f>
        <v>#NAME?</v>
      </c>
      <c r="AV49" s="2" t="e">
        <f ca="1">_xll.BDH($C$28,"GEO_GROW_TOT_ASSET","FQ1 2018","FQ1 2018","Currency=INR","Period=FQ","BEST_FPERIOD_OVERRIDE=FQ","FILING_STATUS=OR","EQY_CONSOLIDATED=Y","Sort=A","Dates=H","DateFormat=P","Fill=—","Direction=H","UseDPDF=Y")</f>
        <v>#NAME?</v>
      </c>
      <c r="AW49" s="2" t="e">
        <f ca="1">_xll.BDH($C$28,"MODIFIED_WORKING_CPTL_5YR_GRWTH","FQ1 2018","FQ1 2018","Currency=INR","Period=FQ","BEST_FPERIOD_OVERRIDE=FQ","FILING_STATUS=OR","EQY_CONSOLIDATED=Y","Sort=A","Dates=H","DateFormat=P","Fill=—","Direction=H","UseDPDF=Y")</f>
        <v>#NAME?</v>
      </c>
      <c r="AX49" s="2" t="e">
        <f ca="1">_xll.BDH($C$28,"WORKING_CAPITAL_5_YEAR_GROWTH","FQ1 2018","FQ1 2018","Currency=INR","Period=FQ","BEST_FPERIOD_OVERRIDE=FQ","FILING_STATUS=OR","EQY_CONSOLIDATED=Y","Sort=A","Dates=H","DateFormat=P","Fill=—","Direction=H","UseDPDF=Y")</f>
        <v>#NAME?</v>
      </c>
      <c r="AY49" s="2" t="e">
        <f ca="1">_xll.BDH($C$28,"ACCOUNTS_PAYABLE_5_YEAR_GROWTH","FQ1 2018","FQ1 2018","Currency=INR","Period=FQ","BEST_FPERIOD_OVERRIDE=FQ","FILING_STATUS=OR","EQY_CONSOLIDATED=Y","Sort=A","Dates=H","DateFormat=P","Fill=—","Direction=H","UseDPDF=Y")</f>
        <v>#NAME?</v>
      </c>
      <c r="AZ49" s="2" t="e">
        <f ca="1">_xll.BDH($C$28,"SHORT_TERM_DEBT_5_YEAR_GROWTH","FQ1 2018","FQ1 2018","Currency=INR","Period=FQ","BEST_FPERIOD_OVERRIDE=FQ","FILING_STATUS=OR","EQY_CONSOLIDATED=Y","Sort=A","Dates=H","DateFormat=P","Fill=—","Direction=H","UseDPDF=Y")</f>
        <v>#NAME?</v>
      </c>
      <c r="BA49" s="2" t="e">
        <f ca="1">_xll.BDH($C$28,"TOTAL_DEBT_5_YEAR_GROWTH","FQ1 2018","FQ1 2018","Currency=INR","Period=FQ","BEST_FPERIOD_OVERRIDE=FQ","FILING_STATUS=OR","EQY_CONSOLIDATED=Y","Sort=A","Dates=H","DateFormat=P","Fill=—","Direction=H","UseDPDF=Y")</f>
        <v>#NAME?</v>
      </c>
      <c r="BB49" s="2" t="e">
        <f ca="1">_xll.BDH($C$28,"GEO_GROW_TOT_SHRHLDR_EQY","FQ1 2018","FQ1 2018","Currency=INR","Period=FQ","BEST_FPERIOD_OVERRIDE=FQ","FILING_STATUS=OR","EQY_CONSOLIDATED=Y","Sort=A","Dates=H","DateFormat=P","Fill=—","Direction=H","UseDPDF=Y")</f>
        <v>#NAME?</v>
      </c>
      <c r="BC49" s="2" t="e">
        <f ca="1">_xll.BDH($C$28,"TOTAL_CAPITAL_5_YEAR_GROWTH","FQ1 2018","FQ1 2018","Currency=INR","Period=FQ","BEST_FPERIOD_OVERRIDE=FQ","FILING_STATUS=OR","EQY_CONSOLIDATED=Y","Sort=A","Dates=H","DateFormat=P","Fill=—","Direction=H","UseDPDF=Y")</f>
        <v>#NAME?</v>
      </c>
      <c r="BD49" s="2" t="e">
        <f ca="1">_xll.BDH($C$28,"GEO_GROW_BOOK_VAL","FQ1 2018","FQ1 2018","Currency=INR","Period=FQ","BEST_FPERIOD_OVERRIDE=FQ","FILING_STATUS=OR","EQY_CONSOLIDATED=Y","Sort=A","Dates=H","DateFormat=P","Fill=—","Direction=H","UseDPDF=Y")</f>
        <v>#NAME?</v>
      </c>
      <c r="BE49" s="2" t="e">
        <f ca="1">_xll.BDH($C$28,"GEO_GROW_CASH_OPER_ACT","FQ1 2018","FQ1 2018","Currency=INR","Period=FQ","BEST_FPERIOD_OVERRIDE=FQ","FILING_STATUS=OR","EQY_CONSOLIDATED=Y","Sort=A","Dates=H","DateFormat=P","Fill=—","Direction=H","UseDPDF=Y")</f>
        <v>#NAME?</v>
      </c>
      <c r="BF49" s="2" t="e">
        <f ca="1">_xll.BDH($C$28,"REVENUE_SEQUENTIAL_GROWTH","FQ1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49" s="2" t="e">
        <f ca="1">_xll.BDH($C$28,"EBITDA_SEQUENTIAL_GROWTH","FQ1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49" s="2" t="e">
        <f ca="1">_xll.BDH($C$28,"OPERATING_INCOME_SEQ_GROWTH","FQ1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49" s="2" t="e">
        <f ca="1">_xll.BDH($C$28,"NET_INCOME_TO_COMMON_SEQ_GROWTH","FQ1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49" s="2" t="e">
        <f ca="1">_xll.BDH($C$28,"EPS_DILUTED_SEQUENTIAL_GROWTH","FQ1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49" s="2" t="e">
        <f ca="1">_xll.BDH($C$28,"DPS_SEQUENTIAL_GROWTH","FQ1 2018","FQ1 2018","Currency=INR","Period=FQ","BEST_FPERIOD_OVERRIDE=FQ","FILING_STATUS=OR","EQY_CONSOLIDATED=Y","Sort=A","Dates=H","DateFormat=P","Fill=—","Direction=H","UseDPDF=Y")</f>
        <v>#NAME?</v>
      </c>
      <c r="BL49" s="2" t="e">
        <f ca="1">_xll.BDH($C$28,"ACCOUNTS_RECEIVABLE_SEQ_GROWTH","FQ1 2018","FQ1 2018","Currency=INR","Period=FQ","BEST_FPERIOD_OVERRIDE=FQ","FILING_STATUS=OR","EQY_CONSOLIDATED=Y","Sort=A","Dates=H","DateFormat=P","Fill=—","Direction=H","UseDPDF=Y")</f>
        <v>#NAME?</v>
      </c>
      <c r="BM49" s="2" t="e">
        <f ca="1">_xll.BDH($C$28,"INVENTORY_SEQUENTIAL_GROWTH","FQ1 2018","FQ1 2018","Currency=INR","Period=FQ","BEST_FPERIOD_OVERRIDE=FQ","FILING_STATUS=OR","EQY_CONSOLIDATED=Y","Sort=A","Dates=H","DateFormat=P","Fill=—","Direction=H","UseDPDF=Y")</f>
        <v>#NAME?</v>
      </c>
      <c r="BN49" s="2" t="e">
        <f ca="1">_xll.BDH($C$28,"FIXED_ASSETS_SEQUENTIAL_GROWTH","FQ1 2018","FQ1 2018","Currency=INR","Period=FQ","BEST_FPERIOD_OVERRIDE=FQ","FILING_STATUS=OR","EQY_CONSOLIDATED=Y","Sort=A","Dates=H","DateFormat=P","Fill=—","Direction=H","UseDPDF=Y")</f>
        <v>#NAME?</v>
      </c>
      <c r="BO49" s="2" t="e">
        <f ca="1">_xll.BDH($C$28,"TOTAL_ASSETS_SEQUENTIAL_GROWTH","FQ1 2018","FQ1 2018","Currency=INR","Period=FQ","BEST_FPERIOD_OVERRIDE=FQ","FILING_STATUS=OR","EQY_CONSOLIDATED=Y","Sort=A","Dates=H","DateFormat=P","Fill=—","Direction=H","UseDPDF=Y")</f>
        <v>#NAME?</v>
      </c>
      <c r="BP49" s="2" t="e">
        <f ca="1">_xll.BDH($C$28,"MODIFIED_WORKING_CPTL_SEQ_GRWTH","FQ1 2018","FQ1 2018","Currency=INR","Period=FQ","BEST_FPERIOD_OVERRIDE=FQ","FILING_STATUS=OR","EQY_CONSOLIDATED=Y","Sort=A","Dates=H","DateFormat=P","Fill=—","Direction=H","UseDPDF=Y")</f>
        <v>#NAME?</v>
      </c>
      <c r="BQ49" s="2" t="e">
        <f ca="1">_xll.BDH($C$28,"WORKING_CAPITAL_SEQ_GROWTH","FQ1 2018","FQ1 2018","Currency=INR","Period=FQ","BEST_FPERIOD_OVERRIDE=FQ","FILING_STATUS=OR","EQY_CONSOLIDATED=Y","Sort=A","Dates=H","DateFormat=P","Fill=—","Direction=H","UseDPDF=Y")</f>
        <v>#NAME?</v>
      </c>
      <c r="BR49" s="2" t="e">
        <f ca="1">_xll.BDH($C$28,"ACCOUNTS_PAYABLE_SEQ_GROWTH","FQ1 2018","FQ1 2018","Currency=INR","Period=FQ","BEST_FPERIOD_OVERRIDE=FQ","FILING_STATUS=OR","EQY_CONSOLIDATED=Y","Sort=A","Dates=H","DateFormat=P","Fill=—","Direction=H","UseDPDF=Y")</f>
        <v>#NAME?</v>
      </c>
      <c r="BS49" s="2" t="e">
        <f ca="1">_xll.BDH($C$28,"ST_DEBT_SEQUENTIAL_GROWTH","FQ1 2018","FQ1 2018","Currency=INR","Period=FQ","BEST_FPERIOD_OVERRIDE=FQ","FILING_STATUS=OR","EQY_CONSOLIDATED=Y","Sort=A","Dates=H","DateFormat=P","Fill=—","Direction=H","UseDPDF=Y")</f>
        <v>#NAME?</v>
      </c>
      <c r="BT49" s="2" t="e">
        <f ca="1">_xll.BDH($C$28,"TOTAL_DEBT_SEQUENTIAL_GROWTH","FQ1 2018","FQ1 2018","Currency=INR","Period=FQ","BEST_FPERIOD_OVERRIDE=FQ","FILING_STATUS=OR","EQY_CONSOLIDATED=Y","Sort=A","Dates=H","DateFormat=P","Fill=—","Direction=H","UseDPDF=Y")</f>
        <v>#NAME?</v>
      </c>
      <c r="BU49" s="2" t="e">
        <f ca="1">_xll.BDH($C$28,"TOTAL_EQUITY_SEQUENTIAL_GROWTH","FQ1 2018","FQ1 2018","Currency=INR","Period=FQ","BEST_FPERIOD_OVERRIDE=FQ","FILING_STATUS=OR","EQY_CONSOLIDATED=Y","Sort=A","Dates=H","DateFormat=P","Fill=—","Direction=H","UseDPDF=Y")</f>
        <v>#NAME?</v>
      </c>
      <c r="BV49" s="2" t="e">
        <f ca="1">_xll.BDH($C$28,"TOTAL_CAPITAL_SEQUENTIAL_GROWTH","FQ1 2018","FQ1 2018","Currency=INR","Period=FQ","BEST_FPERIOD_OVERRIDE=FQ","FILING_STATUS=OR","EQY_CONSOLIDATED=Y","Sort=A","Dates=H","DateFormat=P","Fill=—","Direction=H","UseDPDF=Y")</f>
        <v>#NAME?</v>
      </c>
      <c r="BW49" s="2" t="e">
        <f ca="1">_xll.BDH($C$28,"BPS_SEQUENTIAL_GROWTH","FQ1 2018","FQ1 2018","Currency=INR","Period=FQ","BEST_FPERIOD_OVERRIDE=FQ","FILING_STATUS=OR","EQY_CONSOLIDATED=Y","Sort=A","Dates=H","DateFormat=P","Fill=—","Direction=H","UseDPDF=Y")</f>
        <v>#NAME?</v>
      </c>
      <c r="BX49" s="2" t="e">
        <f ca="1">_xll.BDH($C$28,"CFO_SEQUENTIAL_GROWTH","FQ1 2018","FQ1 2018","Currency=INR","Period=FQ","BEST_FPERIOD_OVERRIDE=FQ","FILING_STATUS=OR","EQY_CONSOLIDATED=Y","Sort=A","Dates=H","DateFormat=P","Fill=—","Direction=H","UseDPDF=Y")</f>
        <v>#NAME?</v>
      </c>
      <c r="BY49" s="3" t="e">
        <f ca="1">_xll.BDH($C$28,"SHORT_AND_LONG_TERM_DEBT","FQ1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49" s="3" t="e">
        <f ca="1">_xll.BDH($C$28,"BS_ST_BORROW","FQ1 2018","FQ1 2018","Currency=INR","Period=FQ","BEST_FPERIOD_OVERRIDE=FQ","FILING_STATUS=OR","EQY_CONSOLIDATED=Y","SCALING_FORMAT=MLN","Sort=A","Dates=H","DateFormat=P","Fill=—","Direction=H","UseDPDF=Y")</f>
        <v>#NAME?</v>
      </c>
      <c r="CA49" s="3" t="e">
        <f ca="1">_xll.BDH($C$28,"BS_LT_BORROW","FQ1 2018","FQ1 2018","Currency=INR","Period=FQ","BEST_FPERIOD_OVERRIDE=FQ","FILING_STATUS=OR","EQY_CONSOLIDATED=Y","SCALING_FORMAT=MLN","Sort=A","Dates=H","DateFormat=P","Fill=—","Direction=H","UseDPDF=Y")</f>
        <v>#NAME?</v>
      </c>
      <c r="CB49" s="2" t="e">
        <f ca="1">_xll.BDH($C$28,"TOT_DEBT_TO_EBITDA","FQ1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49" s="2" t="e">
        <f ca="1">_xll.BDH($C$28,"NET_DEBT_TO_EBITDA","FQ1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49" s="2" t="e">
        <f ca="1">_xll.BDH($C$28,"TOTAL_DEBT_TO_EBIT","FQ1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49" s="2" t="e">
        <f ca="1">_xll.BDH($C$28,"NET_DEBT_TO_EBIT","FQ1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49" s="2" t="e">
        <f ca="1">_xll.BDH($C$28,"EBITDA_TO_INTEREST_EXPN","FQ1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49" s="2" t="e">
        <f ca="1">_xll.BDH($C$28,"COM_EQY_TO_TOT_ASSET","FQ1 2018","FQ1 2018","Currency=INR","Period=FQ","BEST_FPERIOD_OVERRIDE=FQ","FILING_STATUS=OR","EQY_CONSOLIDATED=Y","Sort=A","Dates=H","DateFormat=P","Fill=—","Direction=H","UseDPDF=Y")</f>
        <v>#NAME?</v>
      </c>
      <c r="CH49" s="2" t="e">
        <f ca="1">_xll.BDH($C$28,"LT_DEBT_TO_TOT_EQY","FQ1 2018","FQ1 2018","Currency=INR","Period=FQ","BEST_FPERIOD_OVERRIDE=FQ","FILING_STATUS=OR","EQY_CONSOLIDATED=Y","Sort=A","Dates=H","DateFormat=P","Fill=—","Direction=H","UseDPDF=Y")</f>
        <v>#NAME?</v>
      </c>
      <c r="CI49" s="2" t="e">
        <f ca="1">_xll.BDH($C$28,"LT_DEBT_TO_TOT_CAP","FQ1 2018","FQ1 2018","Currency=INR","Period=FQ","BEST_FPERIOD_OVERRIDE=FQ","FILING_STATUS=OR","EQY_CONSOLIDATED=Y","Sort=A","Dates=H","DateFormat=P","Fill=—","Direction=H","UseDPDF=Y")</f>
        <v>#NAME?</v>
      </c>
      <c r="CJ49" s="2" t="e">
        <f ca="1">_xll.BDH($C$28,"LT_DEBT_TO_TOT_ASSET","FQ1 2018","FQ1 2018","Currency=INR","Period=FQ","BEST_FPERIOD_OVERRIDE=FQ","FILING_STATUS=OR","EQY_CONSOLIDATED=Y","Sort=A","Dates=H","DateFormat=P","Fill=—","Direction=H","UseDPDF=Y")</f>
        <v>#NAME?</v>
      </c>
      <c r="CK49" s="2" t="e">
        <f ca="1">_xll.BDH($C$28,"TOT_DEBT_TO_TOT_EQY","FQ1 2018","FQ1 2018","Currency=INR","Period=FQ","BEST_FPERIOD_OVERRIDE=FQ","FILING_STATUS=OR","EQY_CONSOLIDATED=Y","Sort=A","Dates=H","DateFormat=P","Fill=—","Direction=H","UseDPDF=Y")</f>
        <v>#NAME?</v>
      </c>
      <c r="CL49" s="2" t="e">
        <f ca="1">_xll.BDH($C$28,"TOT_DEBT_TO_TOT_CAP","FQ1 2018","FQ1 2018","Currency=INR","Period=FQ","BEST_FPERIOD_OVERRIDE=FQ","FILING_STATUS=OR","EQY_CONSOLIDATED=Y","Sort=A","Dates=H","DateFormat=P","Fill=—","Direction=H","UseDPDF=Y")</f>
        <v>#NAME?</v>
      </c>
      <c r="CM49" s="2" t="e">
        <f ca="1">_xll.BDH($C$28,"TOT_DEBT_TO_TOT_ASSET","FQ1 2018","FQ1 2018","Currency=INR","Period=FQ","BEST_FPERIOD_OVERRIDE=FQ","FILING_STATUS=OR","EQY_CONSOLIDATED=Y","Sort=A","Dates=H","DateFormat=P","Fill=—","Direction=H","UseDPDF=Y")</f>
        <v>#NAME?</v>
      </c>
      <c r="CN49" s="2" t="e">
        <f ca="1">_xll.BDH($C$28,"NET_DEBT_TO_SHRHLDR_EQTY","FQ1 2018","FQ1 2018","Currency=INR","Period=FQ","BEST_FPERIOD_OVERRIDE=FQ","FILING_STATUS=OR","EQY_CONSOLIDATED=Y","Sort=A","Dates=H","DateFormat=P","Fill=—","Direction=H","UseDPDF=Y")</f>
        <v>#NAME?</v>
      </c>
      <c r="CO49" s="2" t="e">
        <f ca="1">_xll.BDH($C$28,"NET_DEBT_%_CAPITAL","FQ1 2018","FQ1 2018","Currency=INR","Period=FQ","BEST_FPERIOD_OVERRIDE=FQ","FILING_STATUS=OR","EQY_CONSOLIDATED=Y","Sort=A","Dates=H","DateFormat=P","Fill=—","Direction=H","UseDPDF=Y")</f>
        <v>#NAME?</v>
      </c>
      <c r="CP49" s="3" t="e">
        <f ca="1">_xll.BDH($C$28,"EBITDA","FQ1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49" s="3" t="e">
        <f ca="1">_xll.BDH($C$28,"EBITDA_AFTER_CAPEX","FQ1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49" s="3" t="e">
        <f ca="1">_xll.BDH($C$28,"IS_OPER_INC","FQ1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49" s="2" t="e">
        <f ca="1">_xll.BDH($C$28,"CASH_RATIO","FQ1 2018","FQ1 2018","Currency=INR","Period=FQ","BEST_FPERIOD_OVERRIDE=FQ","FILING_STATUS=OR","EQY_CONSOLIDATED=Y","Sort=A","Dates=H","DateFormat=P","Fill=—","Direction=H","UseDPDF=Y")</f>
        <v>#NAME?</v>
      </c>
      <c r="CT49" s="2" t="e">
        <f ca="1">_xll.BDH($C$28,"CUR_RATIO","FQ1 2018","FQ1 2018","Currency=INR","Period=FQ","BEST_FPERIOD_OVERRIDE=FQ","FILING_STATUS=OR","EQY_CONSOLIDATED=Y","Sort=A","Dates=H","DateFormat=P","Fill=—","Direction=H","UseDPDF=Y")</f>
        <v>#NAME?</v>
      </c>
      <c r="CU49" s="2" t="e">
        <f ca="1">_xll.BDH($C$28,"QUICK_RATIO","FQ1 2018","FQ1 2018","Currency=INR","Period=FQ","BEST_FPERIOD_OVERRIDE=FQ","FILING_STATUS=OR","EQY_CONSOLIDATED=Y","Sort=A","Dates=H","DateFormat=P","Fill=—","Direction=H","UseDPDF=Y")</f>
        <v>#NAME?</v>
      </c>
      <c r="CV49" s="2" t="e">
        <f ca="1">_xll.BDH($C$28,"ALTMAN_Z_SCORE","FQ1 2018","FQ1 2018","Currency=INR","Period=FQ","BEST_FPERIOD_OVERRIDE=FQ","FILING_STATUS=OR","EQY_CONSOLIDATED=Y","Sort=A","Dates=H","DateFormat=P","Fill=—","Direction=H","UseDPDF=Y")</f>
        <v>#NAME?</v>
      </c>
      <c r="CW49" s="4" t="e">
        <f ca="1">_xll.BDH($C$28,"ACCT_RCV_TURN","FQ1 2018","FQ1 2018","Currency=INR","Period=FQ","BEST_FPERIOD_OVERRIDE=FQ","FILING_STATUS=OR","EQY_CONSOLIDATED=Y","FA_ADJUSTED=GAAP","Sort=A","Dates=H","DateFormat=P","Fill=—","Direction=H","UseDPDF=Y")</f>
        <v>#NAME?</v>
      </c>
      <c r="CX49" s="2" t="e">
        <f ca="1">_xll.BDH($C$28,"ACCT_RCV_DAYS","FQ1 2018","FQ1 2018","Currency=INR","Period=FQ","BEST_FPERIOD_OVERRIDE=FQ","FILING_STATUS=OR","EQY_CONSOLIDATED=Y","FA_ADJUSTED=GAAP","Sort=A","Dates=H","DateFormat=P","Fill=—","Direction=H","UseDPDF=Y")</f>
        <v>#NAME?</v>
      </c>
      <c r="CY49" s="4" t="e">
        <f ca="1">_xll.BDH($C$28,"INVENT_TURN","FQ1 2018","FQ1 2018","Currency=INR","Period=FQ","BEST_FPERIOD_OVERRIDE=FQ","FILING_STATUS=OR","EQY_CONSOLIDATED=Y","FA_ADJUSTED=GAAP","Sort=A","Dates=H","DateFormat=P","Fill=—","Direction=H","UseDPDF=Y")</f>
        <v>#NAME?</v>
      </c>
      <c r="CZ49" s="2" t="e">
        <f ca="1">_xll.BDH($C$28,"INVENT_DAYS","FQ1 2018","FQ1 2018","Currency=INR","Period=FQ","BEST_FPERIOD_OVERRIDE=FQ","FILING_STATUS=OR","EQY_CONSOLIDATED=Y","FA_ADJUSTED=GAAP","Sort=A","Dates=H","DateFormat=P","Fill=—","Direction=H","UseDPDF=Y")</f>
        <v>#NAME?</v>
      </c>
      <c r="DA49" s="4" t="e">
        <f ca="1">_xll.BDH($C$28,"ACCOUNTS_PAYABLE_TURNOVER","FQ1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49" s="2" t="e">
        <f ca="1">_xll.BDH($C$28,"ACCOUNTS_PAYABLE_TURNOVER_DAYS","FQ1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49" s="4" t="e">
        <f ca="1">_xll.BDH($C$28,"CASH_CONVERSION_CYCLE","FQ1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49" s="4" t="e">
        <f ca="1">_xll.BDH($C$28,"INV_TO_CASH_DAYS","FQ1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49" s="5" t="e">
        <f ca="1">_xll.BDH($C$28,"BS_INVENTORIES","FQ1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49" s="3" t="e">
        <f ca="1">_xll.BDH($C$28,"INVTRY_RAW_MATERIALS","FQ1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49" s="3" t="e">
        <f ca="1">_xll.BDH($C$28,"INVTRY_IN_PROGRESS","FQ1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49" s="3" t="e">
        <f ca="1">_xll.BDH($C$28,"INVTRY_FINISHED_GOODS","FQ1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49" s="3" t="e">
        <f ca="1">_xll.BDH($C$28,"BS_OTHER_INV","FQ1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50" spans="1:113" x14ac:dyDescent="0.3">
      <c r="A50" s="6"/>
      <c r="B50" s="6"/>
      <c r="C50" s="6"/>
      <c r="D50" s="6"/>
      <c r="E50" t="s">
        <v>79</v>
      </c>
      <c r="F50" t="e">
        <f ca="1">_xll.BDH($C$28,"RETURN_COM_EQY","FQ2 2018","FQ2 2018","Currency=INR","Period=FQ","BEST_FPERIOD_OVERRIDE=FQ","FILING_STATUS=OR","EQY_CONSOLIDATED=Y","FA_ADJUSTED=GAAP","Sort=A","Dates=H","DateFormat=P","Fill=—","Direction=H","UseDPDF=Y")</f>
        <v>#NAME?</v>
      </c>
      <c r="G50" t="e">
        <f ca="1">_xll.BDH($C$28,"RETURN_ON_ASSET","FQ2 2018","FQ2 2018","Currency=INR","Period=FQ","BEST_FPERIOD_OVERRIDE=FQ","FILING_STATUS=OR","EQY_CONSOLIDATED=Y","FA_ADJUSTED=GAAP","Sort=A","Dates=H","DateFormat=P","Fill=—","Direction=H","UseDPDF=Y")</f>
        <v>#NAME?</v>
      </c>
      <c r="H50" t="e">
        <f ca="1">_xll.BDH($C$28,"RETURN_ON_CAP","FQ2 2018","FQ2 2018","Currency=INR","Period=FQ","BEST_FPERIOD_OVERRIDE=FQ","FILING_STATUS=OR","EQY_CONSOLIDATED=Y","FA_ADJUSTED=GAAP","Sort=A","Dates=H","DateFormat=P","Fill=—","Direction=H","UseDPDF=Y")</f>
        <v>#NAME?</v>
      </c>
      <c r="I50" t="e">
        <f ca="1">_xll.BDH($C$28,"RETURN_ON_INV_CAPITAL","FQ2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50" t="e">
        <f ca="1">_xll.BDH($C$28,"EBITDA_TO_REVENUE","FQ2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50" t="e">
        <f ca="1">_xll.BDH($C$28,"OPER_MARGIN","FQ2 2018","FQ2 2018","Currency=INR","Period=FQ","BEST_FPERIOD_OVERRIDE=FQ","FILING_STATUS=OR","EQY_CONSOLIDATED=Y","FA_ADJUSTED=GAAP","Sort=A","Dates=H","DateFormat=P","Fill=—","Direction=H","UseDPDF=Y")</f>
        <v>#NAME?</v>
      </c>
      <c r="L50" t="e">
        <f ca="1">_xll.BDH($C$28,"INCREMENTAL_OPERATING_MARGIN","FQ2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50" t="e">
        <f ca="1">_xll.BDH($C$28,"PRETAX_INC_TO_NET_SALES","FQ2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50" t="e">
        <f ca="1">_xll.BDH($C$28,"INC_BEF_XO_ITEMS_TO_NET_SALES","FQ2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50" t="e">
        <f ca="1">_xll.BDH($C$28,"PROF_MARGIN","FQ2 2018","FQ2 2018","Currency=INR","Period=FQ","BEST_FPERIOD_OVERRIDE=FQ","FILING_STATUS=OR","EQY_CONSOLIDATED=Y","FA_ADJUSTED=GAAP","Sort=A","Dates=H","DateFormat=P","Fill=—","Direction=H","UseDPDF=Y")</f>
        <v>#NAME?</v>
      </c>
      <c r="P50" t="e">
        <f ca="1">_xll.BDH($C$28,"NET_INCOME_TO_COMMON_MARGIN","FQ2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50" t="e">
        <f ca="1">_xll.BDH($C$28,"EFF_TAX_RATE","FQ2 2018","FQ2 2018","Currency=INR","Period=FQ","BEST_FPERIOD_OVERRIDE=FQ","FILING_STATUS=OR","EQY_CONSOLIDATED=Y","FA_ADJUSTED=GAAP","Sort=A","Dates=H","DateFormat=P","Fill=—","Direction=H","UseDPDF=Y")</f>
        <v>#NAME?</v>
      </c>
      <c r="R50" t="e">
        <f ca="1">_xll.BDH($C$28,"DVD_PAYOUT_RATIO","FQ2 2018","FQ2 2018","Currency=INR","Period=FQ","BEST_FPERIOD_OVERRIDE=FQ","FILING_STATUS=OR","EQY_CONSOLIDATED=Y","FA_ADJUSTED=GAAP","Sort=A","Dates=H","DateFormat=P","Fill=—","Direction=H","UseDPDF=Y")</f>
        <v>#NAME?</v>
      </c>
      <c r="S50" t="e">
        <f ca="1">_xll.BDH($C$28,"SUSTAIN_GROWTH_RT","FQ2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50" s="2" t="e">
        <f ca="1">_xll.BDH($C$28,"SALES_GROWTH","FQ2 2018","FQ2 2018","Currency=INR","Period=FQ","BEST_FPERIOD_OVERRIDE=FQ","FILING_STATUS=OR","EQY_CONSOLIDATED=Y","FA_ADJUSTED=GAAP","Sort=A","Dates=H","DateFormat=P","Fill=—","Direction=H","UseDPDF=Y")</f>
        <v>#NAME?</v>
      </c>
      <c r="U50" s="2" t="e">
        <f ca="1">_xll.BDH($C$28,"EBITDA_GROWTH","FQ2 2018","FQ2 2018","Currency=INR","Period=FQ","BEST_FPERIOD_OVERRIDE=FQ","FILING_STATUS=OR","EQY_CONSOLIDATED=Y","FA_ADJUSTED=GAAP","Sort=A","Dates=H","DateFormat=P","Fill=—","Direction=H","UseDPDF=Y")</f>
        <v>#NAME?</v>
      </c>
      <c r="V50" s="2" t="e">
        <f ca="1">_xll.BDH($C$28,"OPER_INC_GROWTH","FQ2 2018","FQ2 2018","Currency=INR","Period=FQ","BEST_FPERIOD_OVERRIDE=FQ","FILING_STATUS=OR","EQY_CONSOLIDATED=Y","FA_ADJUSTED=GAAP","Sort=A","Dates=H","DateFormat=P","Fill=—","Direction=H","UseDPDF=Y")</f>
        <v>#NAME?</v>
      </c>
      <c r="W50" s="2" t="e">
        <f ca="1">_xll.BDH($C$28,"EARN_FOR_COM_GROWTH","FQ2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50" s="2" t="e">
        <f ca="1">_xll.BDH($C$28,"DILUTED_EPS_AFT_XO_ITEMS_GROWTH","FQ2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50" s="2" t="e">
        <f ca="1">_xll.BDH($C$28,"DIVIDEND_PER_SHARE_1_YEAR_GROWTH","FQ2 2018","FQ2 2018","Currency=INR","Period=FQ","BEST_FPERIOD_OVERRIDE=FQ","FILING_STATUS=OR","EQY_CONSOLIDATED=Y","Sort=A","Dates=H","DateFormat=P","Fill=—","Direction=H","UseDPDF=Y")</f>
        <v>#NAME?</v>
      </c>
      <c r="Z50" s="2" t="e">
        <f ca="1">_xll.BDH($C$28,"ACCOUNTS_RECEIVABLE_GROWTH","FQ2 2018","FQ2 2018","Currency=INR","Period=FQ","BEST_FPERIOD_OVERRIDE=FQ","FILING_STATUS=OR","EQY_CONSOLIDATED=Y","Sort=A","Dates=H","DateFormat=P","Fill=—","Direction=H","UseDPDF=Y")</f>
        <v>#NAME?</v>
      </c>
      <c r="AA50" s="2" t="e">
        <f ca="1">_xll.BDH($C$28,"INVENTORY_GROWTH","FQ2 2018","FQ2 2018","Currency=INR","Period=FQ","BEST_FPERIOD_OVERRIDE=FQ","FILING_STATUS=OR","EQY_CONSOLIDATED=Y","Sort=A","Dates=H","DateFormat=P","Fill=—","Direction=H","UseDPDF=Y")</f>
        <v>#NAME?</v>
      </c>
      <c r="AB50" s="2" t="e">
        <f ca="1">_xll.BDH($C$28,"NET_FIXED_ASSETS_1_YEAR_GROWTH","FQ2 2018","FQ2 2018","Currency=INR","Period=FQ","BEST_FPERIOD_OVERRIDE=FQ","FILING_STATUS=OR","EQY_CONSOLIDATED=Y","Sort=A","Dates=H","DateFormat=P","Fill=—","Direction=H","UseDPDF=Y")</f>
        <v>#NAME?</v>
      </c>
      <c r="AC50" s="2" t="e">
        <f ca="1">_xll.BDH($C$28,"ASSET_GROWTH","FQ2 2018","FQ2 2018","Currency=INR","Period=FQ","BEST_FPERIOD_OVERRIDE=FQ","FILING_STATUS=OR","EQY_CONSOLIDATED=Y","Sort=A","Dates=H","DateFormat=P","Fill=—","Direction=H","UseDPDF=Y")</f>
        <v>#NAME?</v>
      </c>
      <c r="AD50" s="2" t="e">
        <f ca="1">_xll.BDH($C$28,"MODIFIED_WORK_CAP_GROWTH","FQ2 2018","FQ2 2018","Currency=INR","Period=FQ","BEST_FPERIOD_OVERRIDE=FQ","FILING_STATUS=OR","EQY_CONSOLIDATED=Y","Sort=A","Dates=H","DateFormat=P","Fill=—","Direction=H","UseDPDF=Y")</f>
        <v>#NAME?</v>
      </c>
      <c r="AE50" s="2" t="e">
        <f ca="1">_xll.BDH($C$28,"WORK_CAP_GROWTH","FQ2 2018","FQ2 2018","Currency=INR","Period=FQ","BEST_FPERIOD_OVERRIDE=FQ","FILING_STATUS=OR","EQY_CONSOLIDATED=Y","Sort=A","Dates=H","DateFormat=P","Fill=—","Direction=H","UseDPDF=Y")</f>
        <v>#NAME?</v>
      </c>
      <c r="AF50" s="2" t="e">
        <f ca="1">_xll.BDH($C$28,"ACCOUNTS_PAYABLE_GROWTH_1YR","FQ2 2018","FQ2 2018","Currency=INR","Period=FQ","BEST_FPERIOD_OVERRIDE=FQ","FILING_STATUS=OR","EQY_CONSOLIDATED=Y","Sort=A","Dates=H","DateFormat=P","Fill=—","Direction=H","UseDPDF=Y")</f>
        <v>#NAME?</v>
      </c>
      <c r="AG50" s="2" t="e">
        <f ca="1">_xll.BDH($C$28,"SHORT_TERM_DEBT_1_YEAR_GROWTH","FQ2 2018","FQ2 2018","Currency=INR","Period=FQ","BEST_FPERIOD_OVERRIDE=FQ","FILING_STATUS=OR","EQY_CONSOLIDATED=Y","Sort=A","Dates=H","DateFormat=P","Fill=—","Direction=H","UseDPDF=Y")</f>
        <v>#NAME?</v>
      </c>
      <c r="AH50" s="2" t="e">
        <f ca="1">_xll.BDH($C$28,"TOTAL_DEBT_1_YEAR_GROWTH","FQ2 2018","FQ2 2018","Currency=INR","Period=FQ","BEST_FPERIOD_OVERRIDE=FQ","FILING_STATUS=OR","EQY_CONSOLIDATED=Y","Sort=A","Dates=H","DateFormat=P","Fill=—","Direction=H","UseDPDF=Y")</f>
        <v>#NAME?</v>
      </c>
      <c r="AI50" s="2" t="e">
        <f ca="1">_xll.BDH($C$28,"TOTAL_EQUITY_1_YEAR_GROWTH","FQ2 2018","FQ2 2018","Currency=INR","Period=FQ","BEST_FPERIOD_OVERRIDE=FQ","FILING_STATUS=OR","EQY_CONSOLIDATED=Y","Sort=A","Dates=H","DateFormat=P","Fill=—","Direction=H","UseDPDF=Y")</f>
        <v>#NAME?</v>
      </c>
      <c r="AJ50" s="2" t="e">
        <f ca="1">_xll.BDH($C$28,"GROWTH_IN_CAP","FQ2 2018","FQ2 2018","Currency=INR","Period=FQ","BEST_FPERIOD_OVERRIDE=FQ","FILING_STATUS=OR","EQY_CONSOLIDATED=Y","Sort=A","Dates=H","DateFormat=P","Fill=—","Direction=H","UseDPDF=Y")</f>
        <v>#NAME?</v>
      </c>
      <c r="AK50" s="2" t="e">
        <f ca="1">_xll.BDH($C$28,"BVPS_GROWTH","FQ2 2018","FQ2 2018","Currency=INR","Period=FQ","BEST_FPERIOD_OVERRIDE=FQ","FILING_STATUS=OR","EQY_CONSOLIDATED=Y","Sort=A","Dates=H","DateFormat=P","Fill=—","Direction=H","UseDPDF=Y")</f>
        <v>#NAME?</v>
      </c>
      <c r="AL50" s="2" t="e">
        <f ca="1">_xll.BDH($C$28,"CASH_FLOW_GROWTH","FQ2 2018","FQ2 2018","Currency=INR","Period=FQ","BEST_FPERIOD_OVERRIDE=FQ","FILING_STATUS=OR","EQY_CONSOLIDATED=Y","Sort=A","Dates=H","DateFormat=P","Fill=—","Direction=H","UseDPDF=Y")</f>
        <v>#NAME?</v>
      </c>
      <c r="AM50" s="2" t="e">
        <f ca="1">_xll.BDH($C$28,"GEO_GROW_NET_SALES","FQ2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50" s="2" t="e">
        <f ca="1">_xll.BDH($C$28,"GEO_GROW_EBITDA","FQ2 2018","FQ2 2018","Currency=INR","Period=FQ","BEST_FPERIOD_OVERRIDE=FQ","FILING_STATUS=OR","EQY_CONSOLIDATED=Y","FA_ADJUSTED=GAAP","Sort=A","Dates=H","DateFormat=P","Fill=—","Direction=H","UseDPDF=Y")</f>
        <v>#NAME?</v>
      </c>
      <c r="AO50" s="2" t="e">
        <f ca="1">_xll.BDH($C$28,"GEO_GROW_OPER_INC","FQ2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50" s="2" t="e">
        <f ca="1">_xll.BDH($C$28,"NET_INCOME_TO_COMMON_5_YR_GROWTH","FQ2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50" s="2" t="e">
        <f ca="1">_xll.BDH($C$28,"5Y_GEO_GROWTH_DILUTED_EPS","FQ2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50" s="2" t="e">
        <f ca="1">_xll.BDH($C$28,"GEO_GROW_DVD_PER_SH","FQ2 2018","FQ2 2018","Currency=INR","Period=FQ","BEST_FPERIOD_OVERRIDE=FQ","FILING_STATUS=OR","EQY_CONSOLIDATED=Y","Sort=A","Dates=H","DateFormat=P","Fill=—","Direction=H","UseDPDF=Y")</f>
        <v>#NAME?</v>
      </c>
      <c r="AS50" s="2" t="e">
        <f ca="1">_xll.BDH($C$28,"ACCOUNTS_RECEIVABLE_5_YR_GROWTH","FQ2 2018","FQ2 2018","Currency=INR","Period=FQ","BEST_FPERIOD_OVERRIDE=FQ","FILING_STATUS=OR","EQY_CONSOLIDATED=Y","Sort=A","Dates=H","DateFormat=P","Fill=—","Direction=H","UseDPDF=Y")</f>
        <v>#NAME?</v>
      </c>
      <c r="AT50" s="2" t="e">
        <f ca="1">_xll.BDH($C$28,"INVENTORY_5_YEAR_GROWTH","FQ2 2018","FQ2 2018","Currency=INR","Period=FQ","BEST_FPERIOD_OVERRIDE=FQ","FILING_STATUS=OR","EQY_CONSOLIDATED=Y","Sort=A","Dates=H","DateFormat=P","Fill=—","Direction=H","UseDPDF=Y")</f>
        <v>#NAME?</v>
      </c>
      <c r="AU50" s="2" t="e">
        <f ca="1">_xll.BDH($C$28,"NET_FIXED_ASSETS_5_YEAR_GROWTH","FQ2 2018","FQ2 2018","Currency=INR","Period=FQ","BEST_FPERIOD_OVERRIDE=FQ","FILING_STATUS=OR","EQY_CONSOLIDATED=Y","Sort=A","Dates=H","DateFormat=P","Fill=—","Direction=H","UseDPDF=Y")</f>
        <v>#NAME?</v>
      </c>
      <c r="AV50" s="2" t="e">
        <f ca="1">_xll.BDH($C$28,"GEO_GROW_TOT_ASSET","FQ2 2018","FQ2 2018","Currency=INR","Period=FQ","BEST_FPERIOD_OVERRIDE=FQ","FILING_STATUS=OR","EQY_CONSOLIDATED=Y","Sort=A","Dates=H","DateFormat=P","Fill=—","Direction=H","UseDPDF=Y")</f>
        <v>#NAME?</v>
      </c>
      <c r="AW50" s="2" t="e">
        <f ca="1">_xll.BDH($C$28,"MODIFIED_WORKING_CPTL_5YR_GRWTH","FQ2 2018","FQ2 2018","Currency=INR","Period=FQ","BEST_FPERIOD_OVERRIDE=FQ","FILING_STATUS=OR","EQY_CONSOLIDATED=Y","Sort=A","Dates=H","DateFormat=P","Fill=—","Direction=H","UseDPDF=Y")</f>
        <v>#NAME?</v>
      </c>
      <c r="AX50" s="2" t="e">
        <f ca="1">_xll.BDH($C$28,"WORKING_CAPITAL_5_YEAR_GROWTH","FQ2 2018","FQ2 2018","Currency=INR","Period=FQ","BEST_FPERIOD_OVERRIDE=FQ","FILING_STATUS=OR","EQY_CONSOLIDATED=Y","Sort=A","Dates=H","DateFormat=P","Fill=—","Direction=H","UseDPDF=Y")</f>
        <v>#NAME?</v>
      </c>
      <c r="AY50" s="2" t="e">
        <f ca="1">_xll.BDH($C$28,"ACCOUNTS_PAYABLE_5_YEAR_GROWTH","FQ2 2018","FQ2 2018","Currency=INR","Period=FQ","BEST_FPERIOD_OVERRIDE=FQ","FILING_STATUS=OR","EQY_CONSOLIDATED=Y","Sort=A","Dates=H","DateFormat=P","Fill=—","Direction=H","UseDPDF=Y")</f>
        <v>#NAME?</v>
      </c>
      <c r="AZ50" s="2" t="e">
        <f ca="1">_xll.BDH($C$28,"SHORT_TERM_DEBT_5_YEAR_GROWTH","FQ2 2018","FQ2 2018","Currency=INR","Period=FQ","BEST_FPERIOD_OVERRIDE=FQ","FILING_STATUS=OR","EQY_CONSOLIDATED=Y","Sort=A","Dates=H","DateFormat=P","Fill=—","Direction=H","UseDPDF=Y")</f>
        <v>#NAME?</v>
      </c>
      <c r="BA50" s="2" t="e">
        <f ca="1">_xll.BDH($C$28,"TOTAL_DEBT_5_YEAR_GROWTH","FQ2 2018","FQ2 2018","Currency=INR","Period=FQ","BEST_FPERIOD_OVERRIDE=FQ","FILING_STATUS=OR","EQY_CONSOLIDATED=Y","Sort=A","Dates=H","DateFormat=P","Fill=—","Direction=H","UseDPDF=Y")</f>
        <v>#NAME?</v>
      </c>
      <c r="BB50" s="2" t="e">
        <f ca="1">_xll.BDH($C$28,"GEO_GROW_TOT_SHRHLDR_EQY","FQ2 2018","FQ2 2018","Currency=INR","Period=FQ","BEST_FPERIOD_OVERRIDE=FQ","FILING_STATUS=OR","EQY_CONSOLIDATED=Y","Sort=A","Dates=H","DateFormat=P","Fill=—","Direction=H","UseDPDF=Y")</f>
        <v>#NAME?</v>
      </c>
      <c r="BC50" s="2" t="e">
        <f ca="1">_xll.BDH($C$28,"TOTAL_CAPITAL_5_YEAR_GROWTH","FQ2 2018","FQ2 2018","Currency=INR","Period=FQ","BEST_FPERIOD_OVERRIDE=FQ","FILING_STATUS=OR","EQY_CONSOLIDATED=Y","Sort=A","Dates=H","DateFormat=P","Fill=—","Direction=H","UseDPDF=Y")</f>
        <v>#NAME?</v>
      </c>
      <c r="BD50" s="2" t="e">
        <f ca="1">_xll.BDH($C$28,"GEO_GROW_BOOK_VAL","FQ2 2018","FQ2 2018","Currency=INR","Period=FQ","BEST_FPERIOD_OVERRIDE=FQ","FILING_STATUS=OR","EQY_CONSOLIDATED=Y","Sort=A","Dates=H","DateFormat=P","Fill=—","Direction=H","UseDPDF=Y")</f>
        <v>#NAME?</v>
      </c>
      <c r="BE50" s="2" t="e">
        <f ca="1">_xll.BDH($C$28,"GEO_GROW_CASH_OPER_ACT","FQ2 2018","FQ2 2018","Currency=INR","Period=FQ","BEST_FPERIOD_OVERRIDE=FQ","FILING_STATUS=OR","EQY_CONSOLIDATED=Y","Sort=A","Dates=H","DateFormat=P","Fill=—","Direction=H","UseDPDF=Y")</f>
        <v>#NAME?</v>
      </c>
      <c r="BF50" s="2" t="e">
        <f ca="1">_xll.BDH($C$28,"REVENUE_SEQUENTIAL_GROWTH","FQ2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50" s="2" t="e">
        <f ca="1">_xll.BDH($C$28,"EBITDA_SEQUENTIAL_GROWTH","FQ2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50" s="2" t="e">
        <f ca="1">_xll.BDH($C$28,"OPERATING_INCOME_SEQ_GROWTH","FQ2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50" s="2" t="e">
        <f ca="1">_xll.BDH($C$28,"NET_INCOME_TO_COMMON_SEQ_GROWTH","FQ2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50" s="2" t="e">
        <f ca="1">_xll.BDH($C$28,"EPS_DILUTED_SEQUENTIAL_GROWTH","FQ2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50" s="2" t="e">
        <f ca="1">_xll.BDH($C$28,"DPS_SEQUENTIAL_GROWTH","FQ2 2018","FQ2 2018","Currency=INR","Period=FQ","BEST_FPERIOD_OVERRIDE=FQ","FILING_STATUS=OR","EQY_CONSOLIDATED=Y","Sort=A","Dates=H","DateFormat=P","Fill=—","Direction=H","UseDPDF=Y")</f>
        <v>#NAME?</v>
      </c>
      <c r="BL50" s="2" t="e">
        <f ca="1">_xll.BDH($C$28,"ACCOUNTS_RECEIVABLE_SEQ_GROWTH","FQ2 2018","FQ2 2018","Currency=INR","Period=FQ","BEST_FPERIOD_OVERRIDE=FQ","FILING_STATUS=OR","EQY_CONSOLIDATED=Y","Sort=A","Dates=H","DateFormat=P","Fill=—","Direction=H","UseDPDF=Y")</f>
        <v>#NAME?</v>
      </c>
      <c r="BM50" s="2" t="e">
        <f ca="1">_xll.BDH($C$28,"INVENTORY_SEQUENTIAL_GROWTH","FQ2 2018","FQ2 2018","Currency=INR","Period=FQ","BEST_FPERIOD_OVERRIDE=FQ","FILING_STATUS=OR","EQY_CONSOLIDATED=Y","Sort=A","Dates=H","DateFormat=P","Fill=—","Direction=H","UseDPDF=Y")</f>
        <v>#NAME?</v>
      </c>
      <c r="BN50" s="2" t="e">
        <f ca="1">_xll.BDH($C$28,"FIXED_ASSETS_SEQUENTIAL_GROWTH","FQ2 2018","FQ2 2018","Currency=INR","Period=FQ","BEST_FPERIOD_OVERRIDE=FQ","FILING_STATUS=OR","EQY_CONSOLIDATED=Y","Sort=A","Dates=H","DateFormat=P","Fill=—","Direction=H","UseDPDF=Y")</f>
        <v>#NAME?</v>
      </c>
      <c r="BO50" s="2" t="e">
        <f ca="1">_xll.BDH($C$28,"TOTAL_ASSETS_SEQUENTIAL_GROWTH","FQ2 2018","FQ2 2018","Currency=INR","Period=FQ","BEST_FPERIOD_OVERRIDE=FQ","FILING_STATUS=OR","EQY_CONSOLIDATED=Y","Sort=A","Dates=H","DateFormat=P","Fill=—","Direction=H","UseDPDF=Y")</f>
        <v>#NAME?</v>
      </c>
      <c r="BP50" s="2" t="e">
        <f ca="1">_xll.BDH($C$28,"MODIFIED_WORKING_CPTL_SEQ_GRWTH","FQ2 2018","FQ2 2018","Currency=INR","Period=FQ","BEST_FPERIOD_OVERRIDE=FQ","FILING_STATUS=OR","EQY_CONSOLIDATED=Y","Sort=A","Dates=H","DateFormat=P","Fill=—","Direction=H","UseDPDF=Y")</f>
        <v>#NAME?</v>
      </c>
      <c r="BQ50" s="2" t="e">
        <f ca="1">_xll.BDH($C$28,"WORKING_CAPITAL_SEQ_GROWTH","FQ2 2018","FQ2 2018","Currency=INR","Period=FQ","BEST_FPERIOD_OVERRIDE=FQ","FILING_STATUS=OR","EQY_CONSOLIDATED=Y","Sort=A","Dates=H","DateFormat=P","Fill=—","Direction=H","UseDPDF=Y")</f>
        <v>#NAME?</v>
      </c>
      <c r="BR50" s="2" t="e">
        <f ca="1">_xll.BDH($C$28,"ACCOUNTS_PAYABLE_SEQ_GROWTH","FQ2 2018","FQ2 2018","Currency=INR","Period=FQ","BEST_FPERIOD_OVERRIDE=FQ","FILING_STATUS=OR","EQY_CONSOLIDATED=Y","Sort=A","Dates=H","DateFormat=P","Fill=—","Direction=H","UseDPDF=Y")</f>
        <v>#NAME?</v>
      </c>
      <c r="BS50" s="2" t="e">
        <f ca="1">_xll.BDH($C$28,"ST_DEBT_SEQUENTIAL_GROWTH","FQ2 2018","FQ2 2018","Currency=INR","Period=FQ","BEST_FPERIOD_OVERRIDE=FQ","FILING_STATUS=OR","EQY_CONSOLIDATED=Y","Sort=A","Dates=H","DateFormat=P","Fill=—","Direction=H","UseDPDF=Y")</f>
        <v>#NAME?</v>
      </c>
      <c r="BT50" s="2" t="e">
        <f ca="1">_xll.BDH($C$28,"TOTAL_DEBT_SEQUENTIAL_GROWTH","FQ2 2018","FQ2 2018","Currency=INR","Period=FQ","BEST_FPERIOD_OVERRIDE=FQ","FILING_STATUS=OR","EQY_CONSOLIDATED=Y","Sort=A","Dates=H","DateFormat=P","Fill=—","Direction=H","UseDPDF=Y")</f>
        <v>#NAME?</v>
      </c>
      <c r="BU50" s="2" t="e">
        <f ca="1">_xll.BDH($C$28,"TOTAL_EQUITY_SEQUENTIAL_GROWTH","FQ2 2018","FQ2 2018","Currency=INR","Period=FQ","BEST_FPERIOD_OVERRIDE=FQ","FILING_STATUS=OR","EQY_CONSOLIDATED=Y","Sort=A","Dates=H","DateFormat=P","Fill=—","Direction=H","UseDPDF=Y")</f>
        <v>#NAME?</v>
      </c>
      <c r="BV50" s="2" t="e">
        <f ca="1">_xll.BDH($C$28,"TOTAL_CAPITAL_SEQUENTIAL_GROWTH","FQ2 2018","FQ2 2018","Currency=INR","Period=FQ","BEST_FPERIOD_OVERRIDE=FQ","FILING_STATUS=OR","EQY_CONSOLIDATED=Y","Sort=A","Dates=H","DateFormat=P","Fill=—","Direction=H","UseDPDF=Y")</f>
        <v>#NAME?</v>
      </c>
      <c r="BW50" s="2" t="e">
        <f ca="1">_xll.BDH($C$28,"BPS_SEQUENTIAL_GROWTH","FQ2 2018","FQ2 2018","Currency=INR","Period=FQ","BEST_FPERIOD_OVERRIDE=FQ","FILING_STATUS=OR","EQY_CONSOLIDATED=Y","Sort=A","Dates=H","DateFormat=P","Fill=—","Direction=H","UseDPDF=Y")</f>
        <v>#NAME?</v>
      </c>
      <c r="BX50" s="2" t="e">
        <f ca="1">_xll.BDH($C$28,"CFO_SEQUENTIAL_GROWTH","FQ2 2018","FQ2 2018","Currency=INR","Period=FQ","BEST_FPERIOD_OVERRIDE=FQ","FILING_STATUS=OR","EQY_CONSOLIDATED=Y","Sort=A","Dates=H","DateFormat=P","Fill=—","Direction=H","UseDPDF=Y")</f>
        <v>#NAME?</v>
      </c>
      <c r="BY50" s="3" t="e">
        <f ca="1">_xll.BDH($C$28,"SHORT_AND_LONG_TERM_DEBT","FQ2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50" s="3" t="e">
        <f ca="1">_xll.BDH($C$28,"BS_ST_BORROW","FQ2 2018","FQ2 2018","Currency=INR","Period=FQ","BEST_FPERIOD_OVERRIDE=FQ","FILING_STATUS=OR","EQY_CONSOLIDATED=Y","SCALING_FORMAT=MLN","Sort=A","Dates=H","DateFormat=P","Fill=—","Direction=H","UseDPDF=Y")</f>
        <v>#NAME?</v>
      </c>
      <c r="CA50" s="3" t="e">
        <f ca="1">_xll.BDH($C$28,"BS_LT_BORROW","FQ2 2018","FQ2 2018","Currency=INR","Period=FQ","BEST_FPERIOD_OVERRIDE=FQ","FILING_STATUS=OR","EQY_CONSOLIDATED=Y","SCALING_FORMAT=MLN","Sort=A","Dates=H","DateFormat=P","Fill=—","Direction=H","UseDPDF=Y")</f>
        <v>#NAME?</v>
      </c>
      <c r="CB50" s="2" t="e">
        <f ca="1">_xll.BDH($C$28,"TOT_DEBT_TO_EBITDA","FQ2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50" s="2" t="e">
        <f ca="1">_xll.BDH($C$28,"NET_DEBT_TO_EBITDA","FQ2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50" s="2" t="e">
        <f ca="1">_xll.BDH($C$28,"TOTAL_DEBT_TO_EBIT","FQ2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50" s="2" t="e">
        <f ca="1">_xll.BDH($C$28,"NET_DEBT_TO_EBIT","FQ2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50" s="2" t="e">
        <f ca="1">_xll.BDH($C$28,"EBITDA_TO_INTEREST_EXPN","FQ2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50" s="2" t="e">
        <f ca="1">_xll.BDH($C$28,"COM_EQY_TO_TOT_ASSET","FQ2 2018","FQ2 2018","Currency=INR","Period=FQ","BEST_FPERIOD_OVERRIDE=FQ","FILING_STATUS=OR","EQY_CONSOLIDATED=Y","Sort=A","Dates=H","DateFormat=P","Fill=—","Direction=H","UseDPDF=Y")</f>
        <v>#NAME?</v>
      </c>
      <c r="CH50" s="2" t="e">
        <f ca="1">_xll.BDH($C$28,"LT_DEBT_TO_TOT_EQY","FQ2 2018","FQ2 2018","Currency=INR","Period=FQ","BEST_FPERIOD_OVERRIDE=FQ","FILING_STATUS=OR","EQY_CONSOLIDATED=Y","Sort=A","Dates=H","DateFormat=P","Fill=—","Direction=H","UseDPDF=Y")</f>
        <v>#NAME?</v>
      </c>
      <c r="CI50" s="2" t="e">
        <f ca="1">_xll.BDH($C$28,"LT_DEBT_TO_TOT_CAP","FQ2 2018","FQ2 2018","Currency=INR","Period=FQ","BEST_FPERIOD_OVERRIDE=FQ","FILING_STATUS=OR","EQY_CONSOLIDATED=Y","Sort=A","Dates=H","DateFormat=P","Fill=—","Direction=H","UseDPDF=Y")</f>
        <v>#NAME?</v>
      </c>
      <c r="CJ50" s="2" t="e">
        <f ca="1">_xll.BDH($C$28,"LT_DEBT_TO_TOT_ASSET","FQ2 2018","FQ2 2018","Currency=INR","Period=FQ","BEST_FPERIOD_OVERRIDE=FQ","FILING_STATUS=OR","EQY_CONSOLIDATED=Y","Sort=A","Dates=H","DateFormat=P","Fill=—","Direction=H","UseDPDF=Y")</f>
        <v>#NAME?</v>
      </c>
      <c r="CK50" s="2" t="e">
        <f ca="1">_xll.BDH($C$28,"TOT_DEBT_TO_TOT_EQY","FQ2 2018","FQ2 2018","Currency=INR","Period=FQ","BEST_FPERIOD_OVERRIDE=FQ","FILING_STATUS=OR","EQY_CONSOLIDATED=Y","Sort=A","Dates=H","DateFormat=P","Fill=—","Direction=H","UseDPDF=Y")</f>
        <v>#NAME?</v>
      </c>
      <c r="CL50" s="2" t="e">
        <f ca="1">_xll.BDH($C$28,"TOT_DEBT_TO_TOT_CAP","FQ2 2018","FQ2 2018","Currency=INR","Period=FQ","BEST_FPERIOD_OVERRIDE=FQ","FILING_STATUS=OR","EQY_CONSOLIDATED=Y","Sort=A","Dates=H","DateFormat=P","Fill=—","Direction=H","UseDPDF=Y")</f>
        <v>#NAME?</v>
      </c>
      <c r="CM50" s="2" t="e">
        <f ca="1">_xll.BDH($C$28,"TOT_DEBT_TO_TOT_ASSET","FQ2 2018","FQ2 2018","Currency=INR","Period=FQ","BEST_FPERIOD_OVERRIDE=FQ","FILING_STATUS=OR","EQY_CONSOLIDATED=Y","Sort=A","Dates=H","DateFormat=P","Fill=—","Direction=H","UseDPDF=Y")</f>
        <v>#NAME?</v>
      </c>
      <c r="CN50" s="2" t="e">
        <f ca="1">_xll.BDH($C$28,"NET_DEBT_TO_SHRHLDR_EQTY","FQ2 2018","FQ2 2018","Currency=INR","Period=FQ","BEST_FPERIOD_OVERRIDE=FQ","FILING_STATUS=OR","EQY_CONSOLIDATED=Y","Sort=A","Dates=H","DateFormat=P","Fill=—","Direction=H","UseDPDF=Y")</f>
        <v>#NAME?</v>
      </c>
      <c r="CO50" s="2" t="e">
        <f ca="1">_xll.BDH($C$28,"NET_DEBT_%_CAPITAL","FQ2 2018","FQ2 2018","Currency=INR","Period=FQ","BEST_FPERIOD_OVERRIDE=FQ","FILING_STATUS=OR","EQY_CONSOLIDATED=Y","Sort=A","Dates=H","DateFormat=P","Fill=—","Direction=H","UseDPDF=Y")</f>
        <v>#NAME?</v>
      </c>
      <c r="CP50" s="3" t="e">
        <f ca="1">_xll.BDH($C$28,"EBITDA","FQ2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50" s="3" t="e">
        <f ca="1">_xll.BDH($C$28,"EBITDA_AFTER_CAPEX","FQ2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50" s="3" t="e">
        <f ca="1">_xll.BDH($C$28,"IS_OPER_INC","FQ2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50" s="2" t="e">
        <f ca="1">_xll.BDH($C$28,"CASH_RATIO","FQ2 2018","FQ2 2018","Currency=INR","Period=FQ","BEST_FPERIOD_OVERRIDE=FQ","FILING_STATUS=OR","EQY_CONSOLIDATED=Y","Sort=A","Dates=H","DateFormat=P","Fill=—","Direction=H","UseDPDF=Y")</f>
        <v>#NAME?</v>
      </c>
      <c r="CT50" s="2" t="e">
        <f ca="1">_xll.BDH($C$28,"CUR_RATIO","FQ2 2018","FQ2 2018","Currency=INR","Period=FQ","BEST_FPERIOD_OVERRIDE=FQ","FILING_STATUS=OR","EQY_CONSOLIDATED=Y","Sort=A","Dates=H","DateFormat=P","Fill=—","Direction=H","UseDPDF=Y")</f>
        <v>#NAME?</v>
      </c>
      <c r="CU50" s="2" t="e">
        <f ca="1">_xll.BDH($C$28,"QUICK_RATIO","FQ2 2018","FQ2 2018","Currency=INR","Period=FQ","BEST_FPERIOD_OVERRIDE=FQ","FILING_STATUS=OR","EQY_CONSOLIDATED=Y","Sort=A","Dates=H","DateFormat=P","Fill=—","Direction=H","UseDPDF=Y")</f>
        <v>#NAME?</v>
      </c>
      <c r="CV50" s="2" t="e">
        <f ca="1">_xll.BDH($C$28,"ALTMAN_Z_SCORE","FQ2 2018","FQ2 2018","Currency=INR","Period=FQ","BEST_FPERIOD_OVERRIDE=FQ","FILING_STATUS=OR","EQY_CONSOLIDATED=Y","Sort=A","Dates=H","DateFormat=P","Fill=—","Direction=H","UseDPDF=Y")</f>
        <v>#NAME?</v>
      </c>
      <c r="CW50" s="4" t="e">
        <f ca="1">_xll.BDH($C$28,"ACCT_RCV_TURN","FQ2 2018","FQ2 2018","Currency=INR","Period=FQ","BEST_FPERIOD_OVERRIDE=FQ","FILING_STATUS=OR","EQY_CONSOLIDATED=Y","FA_ADJUSTED=GAAP","Sort=A","Dates=H","DateFormat=P","Fill=—","Direction=H","UseDPDF=Y")</f>
        <v>#NAME?</v>
      </c>
      <c r="CX50" s="2" t="e">
        <f ca="1">_xll.BDH($C$28,"ACCT_RCV_DAYS","FQ2 2018","FQ2 2018","Currency=INR","Period=FQ","BEST_FPERIOD_OVERRIDE=FQ","FILING_STATUS=OR","EQY_CONSOLIDATED=Y","FA_ADJUSTED=GAAP","Sort=A","Dates=H","DateFormat=P","Fill=—","Direction=H","UseDPDF=Y")</f>
        <v>#NAME?</v>
      </c>
      <c r="CY50" s="4" t="e">
        <f ca="1">_xll.BDH($C$28,"INVENT_TURN","FQ2 2018","FQ2 2018","Currency=INR","Period=FQ","BEST_FPERIOD_OVERRIDE=FQ","FILING_STATUS=OR","EQY_CONSOLIDATED=Y","FA_ADJUSTED=GAAP","Sort=A","Dates=H","DateFormat=P","Fill=—","Direction=H","UseDPDF=Y")</f>
        <v>#NAME?</v>
      </c>
      <c r="CZ50" s="2" t="e">
        <f ca="1">_xll.BDH($C$28,"INVENT_DAYS","FQ2 2018","FQ2 2018","Currency=INR","Period=FQ","BEST_FPERIOD_OVERRIDE=FQ","FILING_STATUS=OR","EQY_CONSOLIDATED=Y","FA_ADJUSTED=GAAP","Sort=A","Dates=H","DateFormat=P","Fill=—","Direction=H","UseDPDF=Y")</f>
        <v>#NAME?</v>
      </c>
      <c r="DA50" s="4" t="e">
        <f ca="1">_xll.BDH($C$28,"ACCOUNTS_PAYABLE_TURNOVER","FQ2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50" s="2" t="e">
        <f ca="1">_xll.BDH($C$28,"ACCOUNTS_PAYABLE_TURNOVER_DAYS","FQ2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50" s="4" t="e">
        <f ca="1">_xll.BDH($C$28,"CASH_CONVERSION_CYCLE","FQ2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50" s="4" t="e">
        <f ca="1">_xll.BDH($C$28,"INV_TO_CASH_DAYS","FQ2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50" s="5" t="e">
        <f ca="1">_xll.BDH($C$28,"BS_INVENTORIES","FQ2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50" s="3" t="e">
        <f ca="1">_xll.BDH($C$28,"INVTRY_RAW_MATERIALS","FQ2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50" s="3" t="e">
        <f ca="1">_xll.BDH($C$28,"INVTRY_IN_PROGRESS","FQ2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50" s="3" t="e">
        <f ca="1">_xll.BDH($C$28,"INVTRY_FINISHED_GOODS","FQ2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50" s="3" t="e">
        <f ca="1">_xll.BDH($C$28,"BS_OTHER_INV","FQ2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51" spans="1:113" x14ac:dyDescent="0.3">
      <c r="A51" s="6"/>
      <c r="B51" s="6"/>
      <c r="C51" s="6"/>
      <c r="D51" s="6"/>
      <c r="E51" t="s">
        <v>80</v>
      </c>
      <c r="F51" t="e">
        <f ca="1">_xll.BDH($C$28,"RETURN_COM_EQY","FQ3 2018","FQ3 2018","Currency=INR","Period=FQ","BEST_FPERIOD_OVERRIDE=FQ","FILING_STATUS=OR","EQY_CONSOLIDATED=Y","FA_ADJUSTED=GAAP","Sort=A","Dates=H","DateFormat=P","Fill=—","Direction=H","UseDPDF=Y")</f>
        <v>#NAME?</v>
      </c>
      <c r="G51" t="e">
        <f ca="1">_xll.BDH($C$28,"RETURN_ON_ASSET","FQ3 2018","FQ3 2018","Currency=INR","Period=FQ","BEST_FPERIOD_OVERRIDE=FQ","FILING_STATUS=OR","EQY_CONSOLIDATED=Y","FA_ADJUSTED=GAAP","Sort=A","Dates=H","DateFormat=P","Fill=—","Direction=H","UseDPDF=Y")</f>
        <v>#NAME?</v>
      </c>
      <c r="H51" t="e">
        <f ca="1">_xll.BDH($C$28,"RETURN_ON_CAP","FQ3 2018","FQ3 2018","Currency=INR","Period=FQ","BEST_FPERIOD_OVERRIDE=FQ","FILING_STATUS=OR","EQY_CONSOLIDATED=Y","FA_ADJUSTED=GAAP","Sort=A","Dates=H","DateFormat=P","Fill=—","Direction=H","UseDPDF=Y")</f>
        <v>#NAME?</v>
      </c>
      <c r="I51" t="e">
        <f ca="1">_xll.BDH($C$28,"RETURN_ON_INV_CAPITAL","FQ3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51" t="e">
        <f ca="1">_xll.BDH($C$28,"EBITDA_TO_REVENUE","FQ3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51" t="e">
        <f ca="1">_xll.BDH($C$28,"OPER_MARGIN","FQ3 2018","FQ3 2018","Currency=INR","Period=FQ","BEST_FPERIOD_OVERRIDE=FQ","FILING_STATUS=OR","EQY_CONSOLIDATED=Y","FA_ADJUSTED=GAAP","Sort=A","Dates=H","DateFormat=P","Fill=—","Direction=H","UseDPDF=Y")</f>
        <v>#NAME?</v>
      </c>
      <c r="L51" t="e">
        <f ca="1">_xll.BDH($C$28,"INCREMENTAL_OPERATING_MARGIN","FQ3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51" t="e">
        <f ca="1">_xll.BDH($C$28,"PRETAX_INC_TO_NET_SALES","FQ3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51" t="e">
        <f ca="1">_xll.BDH($C$28,"INC_BEF_XO_ITEMS_TO_NET_SALES","FQ3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51" t="e">
        <f ca="1">_xll.BDH($C$28,"PROF_MARGIN","FQ3 2018","FQ3 2018","Currency=INR","Period=FQ","BEST_FPERIOD_OVERRIDE=FQ","FILING_STATUS=OR","EQY_CONSOLIDATED=Y","FA_ADJUSTED=GAAP","Sort=A","Dates=H","DateFormat=P","Fill=—","Direction=H","UseDPDF=Y")</f>
        <v>#NAME?</v>
      </c>
      <c r="P51" t="e">
        <f ca="1">_xll.BDH($C$28,"NET_INCOME_TO_COMMON_MARGIN","FQ3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51" t="e">
        <f ca="1">_xll.BDH($C$28,"EFF_TAX_RATE","FQ3 2018","FQ3 2018","Currency=INR","Period=FQ","BEST_FPERIOD_OVERRIDE=FQ","FILING_STATUS=OR","EQY_CONSOLIDATED=Y","FA_ADJUSTED=GAAP","Sort=A","Dates=H","DateFormat=P","Fill=—","Direction=H","UseDPDF=Y")</f>
        <v>#NAME?</v>
      </c>
      <c r="R51" t="e">
        <f ca="1">_xll.BDH($C$28,"DVD_PAYOUT_RATIO","FQ3 2018","FQ3 2018","Currency=INR","Period=FQ","BEST_FPERIOD_OVERRIDE=FQ","FILING_STATUS=OR","EQY_CONSOLIDATED=Y","FA_ADJUSTED=GAAP","Sort=A","Dates=H","DateFormat=P","Fill=—","Direction=H","UseDPDF=Y")</f>
        <v>#NAME?</v>
      </c>
      <c r="S51" t="e">
        <f ca="1">_xll.BDH($C$28,"SUSTAIN_GROWTH_RT","FQ3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51" s="2" t="e">
        <f ca="1">_xll.BDH($C$28,"SALES_GROWTH","FQ3 2018","FQ3 2018","Currency=INR","Period=FQ","BEST_FPERIOD_OVERRIDE=FQ","FILING_STATUS=OR","EQY_CONSOLIDATED=Y","FA_ADJUSTED=GAAP","Sort=A","Dates=H","DateFormat=P","Fill=—","Direction=H","UseDPDF=Y")</f>
        <v>#NAME?</v>
      </c>
      <c r="U51" s="2" t="e">
        <f ca="1">_xll.BDH($C$28,"EBITDA_GROWTH","FQ3 2018","FQ3 2018","Currency=INR","Period=FQ","BEST_FPERIOD_OVERRIDE=FQ","FILING_STATUS=OR","EQY_CONSOLIDATED=Y","FA_ADJUSTED=GAAP","Sort=A","Dates=H","DateFormat=P","Fill=—","Direction=H","UseDPDF=Y")</f>
        <v>#NAME?</v>
      </c>
      <c r="V51" s="2" t="e">
        <f ca="1">_xll.BDH($C$28,"OPER_INC_GROWTH","FQ3 2018","FQ3 2018","Currency=INR","Period=FQ","BEST_FPERIOD_OVERRIDE=FQ","FILING_STATUS=OR","EQY_CONSOLIDATED=Y","FA_ADJUSTED=GAAP","Sort=A","Dates=H","DateFormat=P","Fill=—","Direction=H","UseDPDF=Y")</f>
        <v>#NAME?</v>
      </c>
      <c r="W51" s="2" t="e">
        <f ca="1">_xll.BDH($C$28,"EARN_FOR_COM_GROWTH","FQ3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51" s="2" t="e">
        <f ca="1">_xll.BDH($C$28,"DILUTED_EPS_AFT_XO_ITEMS_GROWTH","FQ3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51" s="2" t="e">
        <f ca="1">_xll.BDH($C$28,"DIVIDEND_PER_SHARE_1_YEAR_GROWTH","FQ3 2018","FQ3 2018","Currency=INR","Period=FQ","BEST_FPERIOD_OVERRIDE=FQ","FILING_STATUS=OR","EQY_CONSOLIDATED=Y","Sort=A","Dates=H","DateFormat=P","Fill=—","Direction=H","UseDPDF=Y")</f>
        <v>#NAME?</v>
      </c>
      <c r="Z51" s="2" t="e">
        <f ca="1">_xll.BDH($C$28,"ACCOUNTS_RECEIVABLE_GROWTH","FQ3 2018","FQ3 2018","Currency=INR","Period=FQ","BEST_FPERIOD_OVERRIDE=FQ","FILING_STATUS=OR","EQY_CONSOLIDATED=Y","Sort=A","Dates=H","DateFormat=P","Fill=—","Direction=H","UseDPDF=Y")</f>
        <v>#NAME?</v>
      </c>
      <c r="AA51" s="2" t="e">
        <f ca="1">_xll.BDH($C$28,"INVENTORY_GROWTH","FQ3 2018","FQ3 2018","Currency=INR","Period=FQ","BEST_FPERIOD_OVERRIDE=FQ","FILING_STATUS=OR","EQY_CONSOLIDATED=Y","Sort=A","Dates=H","DateFormat=P","Fill=—","Direction=H","UseDPDF=Y")</f>
        <v>#NAME?</v>
      </c>
      <c r="AB51" s="2" t="e">
        <f ca="1">_xll.BDH($C$28,"NET_FIXED_ASSETS_1_YEAR_GROWTH","FQ3 2018","FQ3 2018","Currency=INR","Period=FQ","BEST_FPERIOD_OVERRIDE=FQ","FILING_STATUS=OR","EQY_CONSOLIDATED=Y","Sort=A","Dates=H","DateFormat=P","Fill=—","Direction=H","UseDPDF=Y")</f>
        <v>#NAME?</v>
      </c>
      <c r="AC51" s="2" t="e">
        <f ca="1">_xll.BDH($C$28,"ASSET_GROWTH","FQ3 2018","FQ3 2018","Currency=INR","Period=FQ","BEST_FPERIOD_OVERRIDE=FQ","FILING_STATUS=OR","EQY_CONSOLIDATED=Y","Sort=A","Dates=H","DateFormat=P","Fill=—","Direction=H","UseDPDF=Y")</f>
        <v>#NAME?</v>
      </c>
      <c r="AD51" s="2" t="e">
        <f ca="1">_xll.BDH($C$28,"MODIFIED_WORK_CAP_GROWTH","FQ3 2018","FQ3 2018","Currency=INR","Period=FQ","BEST_FPERIOD_OVERRIDE=FQ","FILING_STATUS=OR","EQY_CONSOLIDATED=Y","Sort=A","Dates=H","DateFormat=P","Fill=—","Direction=H","UseDPDF=Y")</f>
        <v>#NAME?</v>
      </c>
      <c r="AE51" s="2" t="e">
        <f ca="1">_xll.BDH($C$28,"WORK_CAP_GROWTH","FQ3 2018","FQ3 2018","Currency=INR","Period=FQ","BEST_FPERIOD_OVERRIDE=FQ","FILING_STATUS=OR","EQY_CONSOLIDATED=Y","Sort=A","Dates=H","DateFormat=P","Fill=—","Direction=H","UseDPDF=Y")</f>
        <v>#NAME?</v>
      </c>
      <c r="AF51" s="2" t="e">
        <f ca="1">_xll.BDH($C$28,"ACCOUNTS_PAYABLE_GROWTH_1YR","FQ3 2018","FQ3 2018","Currency=INR","Period=FQ","BEST_FPERIOD_OVERRIDE=FQ","FILING_STATUS=OR","EQY_CONSOLIDATED=Y","Sort=A","Dates=H","DateFormat=P","Fill=—","Direction=H","UseDPDF=Y")</f>
        <v>#NAME?</v>
      </c>
      <c r="AG51" s="2" t="e">
        <f ca="1">_xll.BDH($C$28,"SHORT_TERM_DEBT_1_YEAR_GROWTH","FQ3 2018","FQ3 2018","Currency=INR","Period=FQ","BEST_FPERIOD_OVERRIDE=FQ","FILING_STATUS=OR","EQY_CONSOLIDATED=Y","Sort=A","Dates=H","DateFormat=P","Fill=—","Direction=H","UseDPDF=Y")</f>
        <v>#NAME?</v>
      </c>
      <c r="AH51" s="2" t="e">
        <f ca="1">_xll.BDH($C$28,"TOTAL_DEBT_1_YEAR_GROWTH","FQ3 2018","FQ3 2018","Currency=INR","Period=FQ","BEST_FPERIOD_OVERRIDE=FQ","FILING_STATUS=OR","EQY_CONSOLIDATED=Y","Sort=A","Dates=H","DateFormat=P","Fill=—","Direction=H","UseDPDF=Y")</f>
        <v>#NAME?</v>
      </c>
      <c r="AI51" s="2" t="e">
        <f ca="1">_xll.BDH($C$28,"TOTAL_EQUITY_1_YEAR_GROWTH","FQ3 2018","FQ3 2018","Currency=INR","Period=FQ","BEST_FPERIOD_OVERRIDE=FQ","FILING_STATUS=OR","EQY_CONSOLIDATED=Y","Sort=A","Dates=H","DateFormat=P","Fill=—","Direction=H","UseDPDF=Y")</f>
        <v>#NAME?</v>
      </c>
      <c r="AJ51" s="2" t="e">
        <f ca="1">_xll.BDH($C$28,"GROWTH_IN_CAP","FQ3 2018","FQ3 2018","Currency=INR","Period=FQ","BEST_FPERIOD_OVERRIDE=FQ","FILING_STATUS=OR","EQY_CONSOLIDATED=Y","Sort=A","Dates=H","DateFormat=P","Fill=—","Direction=H","UseDPDF=Y")</f>
        <v>#NAME?</v>
      </c>
      <c r="AK51" s="2" t="e">
        <f ca="1">_xll.BDH($C$28,"BVPS_GROWTH","FQ3 2018","FQ3 2018","Currency=INR","Period=FQ","BEST_FPERIOD_OVERRIDE=FQ","FILING_STATUS=OR","EQY_CONSOLIDATED=Y","Sort=A","Dates=H","DateFormat=P","Fill=—","Direction=H","UseDPDF=Y")</f>
        <v>#NAME?</v>
      </c>
      <c r="AL51" s="2" t="e">
        <f ca="1">_xll.BDH($C$28,"CASH_FLOW_GROWTH","FQ3 2018","FQ3 2018","Currency=INR","Period=FQ","BEST_FPERIOD_OVERRIDE=FQ","FILING_STATUS=OR","EQY_CONSOLIDATED=Y","Sort=A","Dates=H","DateFormat=P","Fill=—","Direction=H","UseDPDF=Y")</f>
        <v>#NAME?</v>
      </c>
      <c r="AM51" s="2" t="e">
        <f ca="1">_xll.BDH($C$28,"GEO_GROW_NET_SALES","FQ3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51" s="2" t="e">
        <f ca="1">_xll.BDH($C$28,"GEO_GROW_EBITDA","FQ3 2018","FQ3 2018","Currency=INR","Period=FQ","BEST_FPERIOD_OVERRIDE=FQ","FILING_STATUS=OR","EQY_CONSOLIDATED=Y","FA_ADJUSTED=GAAP","Sort=A","Dates=H","DateFormat=P","Fill=—","Direction=H","UseDPDF=Y")</f>
        <v>#NAME?</v>
      </c>
      <c r="AO51" s="2" t="e">
        <f ca="1">_xll.BDH($C$28,"GEO_GROW_OPER_INC","FQ3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51" s="2" t="e">
        <f ca="1">_xll.BDH($C$28,"NET_INCOME_TO_COMMON_5_YR_GROWTH","FQ3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51" s="2" t="e">
        <f ca="1">_xll.BDH($C$28,"5Y_GEO_GROWTH_DILUTED_EPS","FQ3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51" s="2" t="e">
        <f ca="1">_xll.BDH($C$28,"GEO_GROW_DVD_PER_SH","FQ3 2018","FQ3 2018","Currency=INR","Period=FQ","BEST_FPERIOD_OVERRIDE=FQ","FILING_STATUS=OR","EQY_CONSOLIDATED=Y","Sort=A","Dates=H","DateFormat=P","Fill=—","Direction=H","UseDPDF=Y")</f>
        <v>#NAME?</v>
      </c>
      <c r="AS51" s="2" t="e">
        <f ca="1">_xll.BDH($C$28,"ACCOUNTS_RECEIVABLE_5_YR_GROWTH","FQ3 2018","FQ3 2018","Currency=INR","Period=FQ","BEST_FPERIOD_OVERRIDE=FQ","FILING_STATUS=OR","EQY_CONSOLIDATED=Y","Sort=A","Dates=H","DateFormat=P","Fill=—","Direction=H","UseDPDF=Y")</f>
        <v>#NAME?</v>
      </c>
      <c r="AT51" s="2" t="e">
        <f ca="1">_xll.BDH($C$28,"INVENTORY_5_YEAR_GROWTH","FQ3 2018","FQ3 2018","Currency=INR","Period=FQ","BEST_FPERIOD_OVERRIDE=FQ","FILING_STATUS=OR","EQY_CONSOLIDATED=Y","Sort=A","Dates=H","DateFormat=P","Fill=—","Direction=H","UseDPDF=Y")</f>
        <v>#NAME?</v>
      </c>
      <c r="AU51" s="2" t="e">
        <f ca="1">_xll.BDH($C$28,"NET_FIXED_ASSETS_5_YEAR_GROWTH","FQ3 2018","FQ3 2018","Currency=INR","Period=FQ","BEST_FPERIOD_OVERRIDE=FQ","FILING_STATUS=OR","EQY_CONSOLIDATED=Y","Sort=A","Dates=H","DateFormat=P","Fill=—","Direction=H","UseDPDF=Y")</f>
        <v>#NAME?</v>
      </c>
      <c r="AV51" s="2" t="e">
        <f ca="1">_xll.BDH($C$28,"GEO_GROW_TOT_ASSET","FQ3 2018","FQ3 2018","Currency=INR","Period=FQ","BEST_FPERIOD_OVERRIDE=FQ","FILING_STATUS=OR","EQY_CONSOLIDATED=Y","Sort=A","Dates=H","DateFormat=P","Fill=—","Direction=H","UseDPDF=Y")</f>
        <v>#NAME?</v>
      </c>
      <c r="AW51" s="2" t="e">
        <f ca="1">_xll.BDH($C$28,"MODIFIED_WORKING_CPTL_5YR_GRWTH","FQ3 2018","FQ3 2018","Currency=INR","Period=FQ","BEST_FPERIOD_OVERRIDE=FQ","FILING_STATUS=OR","EQY_CONSOLIDATED=Y","Sort=A","Dates=H","DateFormat=P","Fill=—","Direction=H","UseDPDF=Y")</f>
        <v>#NAME?</v>
      </c>
      <c r="AX51" s="2" t="e">
        <f ca="1">_xll.BDH($C$28,"WORKING_CAPITAL_5_YEAR_GROWTH","FQ3 2018","FQ3 2018","Currency=INR","Period=FQ","BEST_FPERIOD_OVERRIDE=FQ","FILING_STATUS=OR","EQY_CONSOLIDATED=Y","Sort=A","Dates=H","DateFormat=P","Fill=—","Direction=H","UseDPDF=Y")</f>
        <v>#NAME?</v>
      </c>
      <c r="AY51" s="2" t="e">
        <f ca="1">_xll.BDH($C$28,"ACCOUNTS_PAYABLE_5_YEAR_GROWTH","FQ3 2018","FQ3 2018","Currency=INR","Period=FQ","BEST_FPERIOD_OVERRIDE=FQ","FILING_STATUS=OR","EQY_CONSOLIDATED=Y","Sort=A","Dates=H","DateFormat=P","Fill=—","Direction=H","UseDPDF=Y")</f>
        <v>#NAME?</v>
      </c>
      <c r="AZ51" s="2" t="e">
        <f ca="1">_xll.BDH($C$28,"SHORT_TERM_DEBT_5_YEAR_GROWTH","FQ3 2018","FQ3 2018","Currency=INR","Period=FQ","BEST_FPERIOD_OVERRIDE=FQ","FILING_STATUS=OR","EQY_CONSOLIDATED=Y","Sort=A","Dates=H","DateFormat=P","Fill=—","Direction=H","UseDPDF=Y")</f>
        <v>#NAME?</v>
      </c>
      <c r="BA51" s="2" t="e">
        <f ca="1">_xll.BDH($C$28,"TOTAL_DEBT_5_YEAR_GROWTH","FQ3 2018","FQ3 2018","Currency=INR","Period=FQ","BEST_FPERIOD_OVERRIDE=FQ","FILING_STATUS=OR","EQY_CONSOLIDATED=Y","Sort=A","Dates=H","DateFormat=P","Fill=—","Direction=H","UseDPDF=Y")</f>
        <v>#NAME?</v>
      </c>
      <c r="BB51" s="2" t="e">
        <f ca="1">_xll.BDH($C$28,"GEO_GROW_TOT_SHRHLDR_EQY","FQ3 2018","FQ3 2018","Currency=INR","Period=FQ","BEST_FPERIOD_OVERRIDE=FQ","FILING_STATUS=OR","EQY_CONSOLIDATED=Y","Sort=A","Dates=H","DateFormat=P","Fill=—","Direction=H","UseDPDF=Y")</f>
        <v>#NAME?</v>
      </c>
      <c r="BC51" s="2" t="e">
        <f ca="1">_xll.BDH($C$28,"TOTAL_CAPITAL_5_YEAR_GROWTH","FQ3 2018","FQ3 2018","Currency=INR","Period=FQ","BEST_FPERIOD_OVERRIDE=FQ","FILING_STATUS=OR","EQY_CONSOLIDATED=Y","Sort=A","Dates=H","DateFormat=P","Fill=—","Direction=H","UseDPDF=Y")</f>
        <v>#NAME?</v>
      </c>
      <c r="BD51" s="2" t="e">
        <f ca="1">_xll.BDH($C$28,"GEO_GROW_BOOK_VAL","FQ3 2018","FQ3 2018","Currency=INR","Period=FQ","BEST_FPERIOD_OVERRIDE=FQ","FILING_STATUS=OR","EQY_CONSOLIDATED=Y","Sort=A","Dates=H","DateFormat=P","Fill=—","Direction=H","UseDPDF=Y")</f>
        <v>#NAME?</v>
      </c>
      <c r="BE51" s="2" t="e">
        <f ca="1">_xll.BDH($C$28,"GEO_GROW_CASH_OPER_ACT","FQ3 2018","FQ3 2018","Currency=INR","Period=FQ","BEST_FPERIOD_OVERRIDE=FQ","FILING_STATUS=OR","EQY_CONSOLIDATED=Y","Sort=A","Dates=H","DateFormat=P","Fill=—","Direction=H","UseDPDF=Y")</f>
        <v>#NAME?</v>
      </c>
      <c r="BF51" s="2" t="e">
        <f ca="1">_xll.BDH($C$28,"REVENUE_SEQUENTIAL_GROWTH","FQ3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51" s="2" t="e">
        <f ca="1">_xll.BDH($C$28,"EBITDA_SEQUENTIAL_GROWTH","FQ3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51" s="2" t="e">
        <f ca="1">_xll.BDH($C$28,"OPERATING_INCOME_SEQ_GROWTH","FQ3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51" s="2" t="e">
        <f ca="1">_xll.BDH($C$28,"NET_INCOME_TO_COMMON_SEQ_GROWTH","FQ3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51" s="2" t="e">
        <f ca="1">_xll.BDH($C$28,"EPS_DILUTED_SEQUENTIAL_GROWTH","FQ3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51" s="2" t="e">
        <f ca="1">_xll.BDH($C$28,"DPS_SEQUENTIAL_GROWTH","FQ3 2018","FQ3 2018","Currency=INR","Period=FQ","BEST_FPERIOD_OVERRIDE=FQ","FILING_STATUS=OR","EQY_CONSOLIDATED=Y","Sort=A","Dates=H","DateFormat=P","Fill=—","Direction=H","UseDPDF=Y")</f>
        <v>#NAME?</v>
      </c>
      <c r="BL51" s="2" t="e">
        <f ca="1">_xll.BDH($C$28,"ACCOUNTS_RECEIVABLE_SEQ_GROWTH","FQ3 2018","FQ3 2018","Currency=INR","Period=FQ","BEST_FPERIOD_OVERRIDE=FQ","FILING_STATUS=OR","EQY_CONSOLIDATED=Y","Sort=A","Dates=H","DateFormat=P","Fill=—","Direction=H","UseDPDF=Y")</f>
        <v>#NAME?</v>
      </c>
      <c r="BM51" s="2" t="e">
        <f ca="1">_xll.BDH($C$28,"INVENTORY_SEQUENTIAL_GROWTH","FQ3 2018","FQ3 2018","Currency=INR","Period=FQ","BEST_FPERIOD_OVERRIDE=FQ","FILING_STATUS=OR","EQY_CONSOLIDATED=Y","Sort=A","Dates=H","DateFormat=P","Fill=—","Direction=H","UseDPDF=Y")</f>
        <v>#NAME?</v>
      </c>
      <c r="BN51" s="2" t="e">
        <f ca="1">_xll.BDH($C$28,"FIXED_ASSETS_SEQUENTIAL_GROWTH","FQ3 2018","FQ3 2018","Currency=INR","Period=FQ","BEST_FPERIOD_OVERRIDE=FQ","FILING_STATUS=OR","EQY_CONSOLIDATED=Y","Sort=A","Dates=H","DateFormat=P","Fill=—","Direction=H","UseDPDF=Y")</f>
        <v>#NAME?</v>
      </c>
      <c r="BO51" s="2" t="e">
        <f ca="1">_xll.BDH($C$28,"TOTAL_ASSETS_SEQUENTIAL_GROWTH","FQ3 2018","FQ3 2018","Currency=INR","Period=FQ","BEST_FPERIOD_OVERRIDE=FQ","FILING_STATUS=OR","EQY_CONSOLIDATED=Y","Sort=A","Dates=H","DateFormat=P","Fill=—","Direction=H","UseDPDF=Y")</f>
        <v>#NAME?</v>
      </c>
      <c r="BP51" s="2" t="e">
        <f ca="1">_xll.BDH($C$28,"MODIFIED_WORKING_CPTL_SEQ_GRWTH","FQ3 2018","FQ3 2018","Currency=INR","Period=FQ","BEST_FPERIOD_OVERRIDE=FQ","FILING_STATUS=OR","EQY_CONSOLIDATED=Y","Sort=A","Dates=H","DateFormat=P","Fill=—","Direction=H","UseDPDF=Y")</f>
        <v>#NAME?</v>
      </c>
      <c r="BQ51" s="2" t="e">
        <f ca="1">_xll.BDH($C$28,"WORKING_CAPITAL_SEQ_GROWTH","FQ3 2018","FQ3 2018","Currency=INR","Period=FQ","BEST_FPERIOD_OVERRIDE=FQ","FILING_STATUS=OR","EQY_CONSOLIDATED=Y","Sort=A","Dates=H","DateFormat=P","Fill=—","Direction=H","UseDPDF=Y")</f>
        <v>#NAME?</v>
      </c>
      <c r="BR51" s="2" t="e">
        <f ca="1">_xll.BDH($C$28,"ACCOUNTS_PAYABLE_SEQ_GROWTH","FQ3 2018","FQ3 2018","Currency=INR","Period=FQ","BEST_FPERIOD_OVERRIDE=FQ","FILING_STATUS=OR","EQY_CONSOLIDATED=Y","Sort=A","Dates=H","DateFormat=P","Fill=—","Direction=H","UseDPDF=Y")</f>
        <v>#NAME?</v>
      </c>
      <c r="BS51" s="2" t="e">
        <f ca="1">_xll.BDH($C$28,"ST_DEBT_SEQUENTIAL_GROWTH","FQ3 2018","FQ3 2018","Currency=INR","Period=FQ","BEST_FPERIOD_OVERRIDE=FQ","FILING_STATUS=OR","EQY_CONSOLIDATED=Y","Sort=A","Dates=H","DateFormat=P","Fill=—","Direction=H","UseDPDF=Y")</f>
        <v>#NAME?</v>
      </c>
      <c r="BT51" s="2" t="e">
        <f ca="1">_xll.BDH($C$28,"TOTAL_DEBT_SEQUENTIAL_GROWTH","FQ3 2018","FQ3 2018","Currency=INR","Period=FQ","BEST_FPERIOD_OVERRIDE=FQ","FILING_STATUS=OR","EQY_CONSOLIDATED=Y","Sort=A","Dates=H","DateFormat=P","Fill=—","Direction=H","UseDPDF=Y")</f>
        <v>#NAME?</v>
      </c>
      <c r="BU51" s="2" t="e">
        <f ca="1">_xll.BDH($C$28,"TOTAL_EQUITY_SEQUENTIAL_GROWTH","FQ3 2018","FQ3 2018","Currency=INR","Period=FQ","BEST_FPERIOD_OVERRIDE=FQ","FILING_STATUS=OR","EQY_CONSOLIDATED=Y","Sort=A","Dates=H","DateFormat=P","Fill=—","Direction=H","UseDPDF=Y")</f>
        <v>#NAME?</v>
      </c>
      <c r="BV51" s="2" t="e">
        <f ca="1">_xll.BDH($C$28,"TOTAL_CAPITAL_SEQUENTIAL_GROWTH","FQ3 2018","FQ3 2018","Currency=INR","Period=FQ","BEST_FPERIOD_OVERRIDE=FQ","FILING_STATUS=OR","EQY_CONSOLIDATED=Y","Sort=A","Dates=H","DateFormat=P","Fill=—","Direction=H","UseDPDF=Y")</f>
        <v>#NAME?</v>
      </c>
      <c r="BW51" s="2" t="e">
        <f ca="1">_xll.BDH($C$28,"BPS_SEQUENTIAL_GROWTH","FQ3 2018","FQ3 2018","Currency=INR","Period=FQ","BEST_FPERIOD_OVERRIDE=FQ","FILING_STATUS=OR","EQY_CONSOLIDATED=Y","Sort=A","Dates=H","DateFormat=P","Fill=—","Direction=H","UseDPDF=Y")</f>
        <v>#NAME?</v>
      </c>
      <c r="BX51" s="2" t="e">
        <f ca="1">_xll.BDH($C$28,"CFO_SEQUENTIAL_GROWTH","FQ3 2018","FQ3 2018","Currency=INR","Period=FQ","BEST_FPERIOD_OVERRIDE=FQ","FILING_STATUS=OR","EQY_CONSOLIDATED=Y","Sort=A","Dates=H","DateFormat=P","Fill=—","Direction=H","UseDPDF=Y")</f>
        <v>#NAME?</v>
      </c>
      <c r="BY51" s="3" t="e">
        <f ca="1">_xll.BDH($C$28,"SHORT_AND_LONG_TERM_DEBT","FQ3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51" s="3" t="e">
        <f ca="1">_xll.BDH($C$28,"BS_ST_BORROW","FQ3 2018","FQ3 2018","Currency=INR","Period=FQ","BEST_FPERIOD_OVERRIDE=FQ","FILING_STATUS=OR","EQY_CONSOLIDATED=Y","SCALING_FORMAT=MLN","Sort=A","Dates=H","DateFormat=P","Fill=—","Direction=H","UseDPDF=Y")</f>
        <v>#NAME?</v>
      </c>
      <c r="CA51" s="3" t="e">
        <f ca="1">_xll.BDH($C$28,"BS_LT_BORROW","FQ3 2018","FQ3 2018","Currency=INR","Period=FQ","BEST_FPERIOD_OVERRIDE=FQ","FILING_STATUS=OR","EQY_CONSOLIDATED=Y","SCALING_FORMAT=MLN","Sort=A","Dates=H","DateFormat=P","Fill=—","Direction=H","UseDPDF=Y")</f>
        <v>#NAME?</v>
      </c>
      <c r="CB51" s="2" t="e">
        <f ca="1">_xll.BDH($C$28,"TOT_DEBT_TO_EBITDA","FQ3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51" s="2" t="e">
        <f ca="1">_xll.BDH($C$28,"NET_DEBT_TO_EBITDA","FQ3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51" s="2" t="e">
        <f ca="1">_xll.BDH($C$28,"TOTAL_DEBT_TO_EBIT","FQ3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51" s="2" t="e">
        <f ca="1">_xll.BDH($C$28,"NET_DEBT_TO_EBIT","FQ3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51" s="2" t="e">
        <f ca="1">_xll.BDH($C$28,"EBITDA_TO_INTEREST_EXPN","FQ3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51" s="2" t="e">
        <f ca="1">_xll.BDH($C$28,"COM_EQY_TO_TOT_ASSET","FQ3 2018","FQ3 2018","Currency=INR","Period=FQ","BEST_FPERIOD_OVERRIDE=FQ","FILING_STATUS=OR","EQY_CONSOLIDATED=Y","Sort=A","Dates=H","DateFormat=P","Fill=—","Direction=H","UseDPDF=Y")</f>
        <v>#NAME?</v>
      </c>
      <c r="CH51" s="2" t="e">
        <f ca="1">_xll.BDH($C$28,"LT_DEBT_TO_TOT_EQY","FQ3 2018","FQ3 2018","Currency=INR","Period=FQ","BEST_FPERIOD_OVERRIDE=FQ","FILING_STATUS=OR","EQY_CONSOLIDATED=Y","Sort=A","Dates=H","DateFormat=P","Fill=—","Direction=H","UseDPDF=Y")</f>
        <v>#NAME?</v>
      </c>
      <c r="CI51" s="2" t="e">
        <f ca="1">_xll.BDH($C$28,"LT_DEBT_TO_TOT_CAP","FQ3 2018","FQ3 2018","Currency=INR","Period=FQ","BEST_FPERIOD_OVERRIDE=FQ","FILING_STATUS=OR","EQY_CONSOLIDATED=Y","Sort=A","Dates=H","DateFormat=P","Fill=—","Direction=H","UseDPDF=Y")</f>
        <v>#NAME?</v>
      </c>
      <c r="CJ51" s="2" t="e">
        <f ca="1">_xll.BDH($C$28,"LT_DEBT_TO_TOT_ASSET","FQ3 2018","FQ3 2018","Currency=INR","Period=FQ","BEST_FPERIOD_OVERRIDE=FQ","FILING_STATUS=OR","EQY_CONSOLIDATED=Y","Sort=A","Dates=H","DateFormat=P","Fill=—","Direction=H","UseDPDF=Y")</f>
        <v>#NAME?</v>
      </c>
      <c r="CK51" s="2" t="e">
        <f ca="1">_xll.BDH($C$28,"TOT_DEBT_TO_TOT_EQY","FQ3 2018","FQ3 2018","Currency=INR","Period=FQ","BEST_FPERIOD_OVERRIDE=FQ","FILING_STATUS=OR","EQY_CONSOLIDATED=Y","Sort=A","Dates=H","DateFormat=P","Fill=—","Direction=H","UseDPDF=Y")</f>
        <v>#NAME?</v>
      </c>
      <c r="CL51" s="2" t="e">
        <f ca="1">_xll.BDH($C$28,"TOT_DEBT_TO_TOT_CAP","FQ3 2018","FQ3 2018","Currency=INR","Period=FQ","BEST_FPERIOD_OVERRIDE=FQ","FILING_STATUS=OR","EQY_CONSOLIDATED=Y","Sort=A","Dates=H","DateFormat=P","Fill=—","Direction=H","UseDPDF=Y")</f>
        <v>#NAME?</v>
      </c>
      <c r="CM51" s="2" t="e">
        <f ca="1">_xll.BDH($C$28,"TOT_DEBT_TO_TOT_ASSET","FQ3 2018","FQ3 2018","Currency=INR","Period=FQ","BEST_FPERIOD_OVERRIDE=FQ","FILING_STATUS=OR","EQY_CONSOLIDATED=Y","Sort=A","Dates=H","DateFormat=P","Fill=—","Direction=H","UseDPDF=Y")</f>
        <v>#NAME?</v>
      </c>
      <c r="CN51" s="2" t="e">
        <f ca="1">_xll.BDH($C$28,"NET_DEBT_TO_SHRHLDR_EQTY","FQ3 2018","FQ3 2018","Currency=INR","Period=FQ","BEST_FPERIOD_OVERRIDE=FQ","FILING_STATUS=OR","EQY_CONSOLIDATED=Y","Sort=A","Dates=H","DateFormat=P","Fill=—","Direction=H","UseDPDF=Y")</f>
        <v>#NAME?</v>
      </c>
      <c r="CO51" s="2" t="e">
        <f ca="1">_xll.BDH($C$28,"NET_DEBT_%_CAPITAL","FQ3 2018","FQ3 2018","Currency=INR","Period=FQ","BEST_FPERIOD_OVERRIDE=FQ","FILING_STATUS=OR","EQY_CONSOLIDATED=Y","Sort=A","Dates=H","DateFormat=P","Fill=—","Direction=H","UseDPDF=Y")</f>
        <v>#NAME?</v>
      </c>
      <c r="CP51" s="3" t="e">
        <f ca="1">_xll.BDH($C$28,"EBITDA","FQ3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51" s="3" t="e">
        <f ca="1">_xll.BDH($C$28,"EBITDA_AFTER_CAPEX","FQ3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51" s="3" t="e">
        <f ca="1">_xll.BDH($C$28,"IS_OPER_INC","FQ3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51" s="2" t="e">
        <f ca="1">_xll.BDH($C$28,"CASH_RATIO","FQ3 2018","FQ3 2018","Currency=INR","Period=FQ","BEST_FPERIOD_OVERRIDE=FQ","FILING_STATUS=OR","EQY_CONSOLIDATED=Y","Sort=A","Dates=H","DateFormat=P","Fill=—","Direction=H","UseDPDF=Y")</f>
        <v>#NAME?</v>
      </c>
      <c r="CT51" s="2" t="e">
        <f ca="1">_xll.BDH($C$28,"CUR_RATIO","FQ3 2018","FQ3 2018","Currency=INR","Period=FQ","BEST_FPERIOD_OVERRIDE=FQ","FILING_STATUS=OR","EQY_CONSOLIDATED=Y","Sort=A","Dates=H","DateFormat=P","Fill=—","Direction=H","UseDPDF=Y")</f>
        <v>#NAME?</v>
      </c>
      <c r="CU51" s="2" t="e">
        <f ca="1">_xll.BDH($C$28,"QUICK_RATIO","FQ3 2018","FQ3 2018","Currency=INR","Period=FQ","BEST_FPERIOD_OVERRIDE=FQ","FILING_STATUS=OR","EQY_CONSOLIDATED=Y","Sort=A","Dates=H","DateFormat=P","Fill=—","Direction=H","UseDPDF=Y")</f>
        <v>#NAME?</v>
      </c>
      <c r="CV51" s="2" t="e">
        <f ca="1">_xll.BDH($C$28,"ALTMAN_Z_SCORE","FQ3 2018","FQ3 2018","Currency=INR","Period=FQ","BEST_FPERIOD_OVERRIDE=FQ","FILING_STATUS=OR","EQY_CONSOLIDATED=Y","Sort=A","Dates=H","DateFormat=P","Fill=—","Direction=H","UseDPDF=Y")</f>
        <v>#NAME?</v>
      </c>
      <c r="CW51" s="4" t="e">
        <f ca="1">_xll.BDH($C$28,"ACCT_RCV_TURN","FQ3 2018","FQ3 2018","Currency=INR","Period=FQ","BEST_FPERIOD_OVERRIDE=FQ","FILING_STATUS=OR","EQY_CONSOLIDATED=Y","FA_ADJUSTED=GAAP","Sort=A","Dates=H","DateFormat=P","Fill=—","Direction=H","UseDPDF=Y")</f>
        <v>#NAME?</v>
      </c>
      <c r="CX51" s="2" t="e">
        <f ca="1">_xll.BDH($C$28,"ACCT_RCV_DAYS","FQ3 2018","FQ3 2018","Currency=INR","Period=FQ","BEST_FPERIOD_OVERRIDE=FQ","FILING_STATUS=OR","EQY_CONSOLIDATED=Y","FA_ADJUSTED=GAAP","Sort=A","Dates=H","DateFormat=P","Fill=—","Direction=H","UseDPDF=Y")</f>
        <v>#NAME?</v>
      </c>
      <c r="CY51" s="4" t="e">
        <f ca="1">_xll.BDH($C$28,"INVENT_TURN","FQ3 2018","FQ3 2018","Currency=INR","Period=FQ","BEST_FPERIOD_OVERRIDE=FQ","FILING_STATUS=OR","EQY_CONSOLIDATED=Y","FA_ADJUSTED=GAAP","Sort=A","Dates=H","DateFormat=P","Fill=—","Direction=H","UseDPDF=Y")</f>
        <v>#NAME?</v>
      </c>
      <c r="CZ51" s="2" t="e">
        <f ca="1">_xll.BDH($C$28,"INVENT_DAYS","FQ3 2018","FQ3 2018","Currency=INR","Period=FQ","BEST_FPERIOD_OVERRIDE=FQ","FILING_STATUS=OR","EQY_CONSOLIDATED=Y","FA_ADJUSTED=GAAP","Sort=A","Dates=H","DateFormat=P","Fill=—","Direction=H","UseDPDF=Y")</f>
        <v>#NAME?</v>
      </c>
      <c r="DA51" s="4" t="e">
        <f ca="1">_xll.BDH($C$28,"ACCOUNTS_PAYABLE_TURNOVER","FQ3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51" s="2" t="e">
        <f ca="1">_xll.BDH($C$28,"ACCOUNTS_PAYABLE_TURNOVER_DAYS","FQ3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51" s="4" t="e">
        <f ca="1">_xll.BDH($C$28,"CASH_CONVERSION_CYCLE","FQ3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51" s="4" t="e">
        <f ca="1">_xll.BDH($C$28,"INV_TO_CASH_DAYS","FQ3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51" s="5" t="e">
        <f ca="1">_xll.BDH($C$28,"BS_INVENTORIES","FQ3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51" s="3" t="e">
        <f ca="1">_xll.BDH($C$28,"INVTRY_RAW_MATERIALS","FQ3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51" s="3" t="e">
        <f ca="1">_xll.BDH($C$28,"INVTRY_IN_PROGRESS","FQ3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51" s="3" t="e">
        <f ca="1">_xll.BDH($C$28,"INVTRY_FINISHED_GOODS","FQ3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51" s="3" t="e">
        <f ca="1">_xll.BDH($C$28,"BS_OTHER_INV","FQ3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52" spans="1:113" x14ac:dyDescent="0.3">
      <c r="A52" s="6"/>
      <c r="B52" s="6"/>
      <c r="C52" s="6"/>
      <c r="D52" s="6"/>
      <c r="E52" t="s">
        <v>81</v>
      </c>
      <c r="F52" t="e">
        <f ca="1">_xll.BDH($C$28,"RETURN_COM_EQY","FQ4 2018","FQ4 2018","Currency=INR","Period=FQ","BEST_FPERIOD_OVERRIDE=FQ","FILING_STATUS=OR","EQY_CONSOLIDATED=Y","FA_ADJUSTED=GAAP","Sort=A","Dates=H","DateFormat=P","Fill=—","Direction=H","UseDPDF=Y")</f>
        <v>#NAME?</v>
      </c>
      <c r="G52" t="e">
        <f ca="1">_xll.BDH($C$28,"RETURN_ON_ASSET","FQ4 2018","FQ4 2018","Currency=INR","Period=FQ","BEST_FPERIOD_OVERRIDE=FQ","FILING_STATUS=OR","EQY_CONSOLIDATED=Y","FA_ADJUSTED=GAAP","Sort=A","Dates=H","DateFormat=P","Fill=—","Direction=H","UseDPDF=Y")</f>
        <v>#NAME?</v>
      </c>
      <c r="H52" t="e">
        <f ca="1">_xll.BDH($C$28,"RETURN_ON_CAP","FQ4 2018","FQ4 2018","Currency=INR","Period=FQ","BEST_FPERIOD_OVERRIDE=FQ","FILING_STATUS=OR","EQY_CONSOLIDATED=Y","FA_ADJUSTED=GAAP","Sort=A","Dates=H","DateFormat=P","Fill=—","Direction=H","UseDPDF=Y")</f>
        <v>#NAME?</v>
      </c>
      <c r="I52" t="e">
        <f ca="1">_xll.BDH($C$28,"RETURN_ON_INV_CAPITAL","FQ4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52" t="e">
        <f ca="1">_xll.BDH($C$28,"EBITDA_TO_REVENUE","FQ4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52" t="e">
        <f ca="1">_xll.BDH($C$28,"OPER_MARGIN","FQ4 2018","FQ4 2018","Currency=INR","Period=FQ","BEST_FPERIOD_OVERRIDE=FQ","FILING_STATUS=OR","EQY_CONSOLIDATED=Y","FA_ADJUSTED=GAAP","Sort=A","Dates=H","DateFormat=P","Fill=—","Direction=H","UseDPDF=Y")</f>
        <v>#NAME?</v>
      </c>
      <c r="L52" t="e">
        <f ca="1">_xll.BDH($C$28,"INCREMENTAL_OPERATING_MARGIN","FQ4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52" t="e">
        <f ca="1">_xll.BDH($C$28,"PRETAX_INC_TO_NET_SALES","FQ4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52" t="e">
        <f ca="1">_xll.BDH($C$28,"INC_BEF_XO_ITEMS_TO_NET_SALES","FQ4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52" t="e">
        <f ca="1">_xll.BDH($C$28,"PROF_MARGIN","FQ4 2018","FQ4 2018","Currency=INR","Period=FQ","BEST_FPERIOD_OVERRIDE=FQ","FILING_STATUS=OR","EQY_CONSOLIDATED=Y","FA_ADJUSTED=GAAP","Sort=A","Dates=H","DateFormat=P","Fill=—","Direction=H","UseDPDF=Y")</f>
        <v>#NAME?</v>
      </c>
      <c r="P52" t="e">
        <f ca="1">_xll.BDH($C$28,"NET_INCOME_TO_COMMON_MARGIN","FQ4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52" t="e">
        <f ca="1">_xll.BDH($C$28,"EFF_TAX_RATE","FQ4 2018","FQ4 2018","Currency=INR","Period=FQ","BEST_FPERIOD_OVERRIDE=FQ","FILING_STATUS=OR","EQY_CONSOLIDATED=Y","FA_ADJUSTED=GAAP","Sort=A","Dates=H","DateFormat=P","Fill=—","Direction=H","UseDPDF=Y")</f>
        <v>#NAME?</v>
      </c>
      <c r="R52" t="e">
        <f ca="1">_xll.BDH($C$28,"DVD_PAYOUT_RATIO","FQ4 2018","FQ4 2018","Currency=INR","Period=FQ","BEST_FPERIOD_OVERRIDE=FQ","FILING_STATUS=OR","EQY_CONSOLIDATED=Y","FA_ADJUSTED=GAAP","Sort=A","Dates=H","DateFormat=P","Fill=—","Direction=H","UseDPDF=Y")</f>
        <v>#NAME?</v>
      </c>
      <c r="S52" t="e">
        <f ca="1">_xll.BDH($C$28,"SUSTAIN_GROWTH_RT","FQ4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52" s="2" t="e">
        <f ca="1">_xll.BDH($C$28,"SALES_GROWTH","FQ4 2018","FQ4 2018","Currency=INR","Period=FQ","BEST_FPERIOD_OVERRIDE=FQ","FILING_STATUS=OR","EQY_CONSOLIDATED=Y","FA_ADJUSTED=GAAP","Sort=A","Dates=H","DateFormat=P","Fill=—","Direction=H","UseDPDF=Y")</f>
        <v>#NAME?</v>
      </c>
      <c r="U52" s="2" t="e">
        <f ca="1">_xll.BDH($C$28,"EBITDA_GROWTH","FQ4 2018","FQ4 2018","Currency=INR","Period=FQ","BEST_FPERIOD_OVERRIDE=FQ","FILING_STATUS=OR","EQY_CONSOLIDATED=Y","FA_ADJUSTED=GAAP","Sort=A","Dates=H","DateFormat=P","Fill=—","Direction=H","UseDPDF=Y")</f>
        <v>#NAME?</v>
      </c>
      <c r="V52" s="2" t="e">
        <f ca="1">_xll.BDH($C$28,"OPER_INC_GROWTH","FQ4 2018","FQ4 2018","Currency=INR","Period=FQ","BEST_FPERIOD_OVERRIDE=FQ","FILING_STATUS=OR","EQY_CONSOLIDATED=Y","FA_ADJUSTED=GAAP","Sort=A","Dates=H","DateFormat=P","Fill=—","Direction=H","UseDPDF=Y")</f>
        <v>#NAME?</v>
      </c>
      <c r="W52" s="2" t="e">
        <f ca="1">_xll.BDH($C$28,"EARN_FOR_COM_GROWTH","FQ4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52" s="2" t="e">
        <f ca="1">_xll.BDH($C$28,"DILUTED_EPS_AFT_XO_ITEMS_GROWTH","FQ4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52" s="2" t="e">
        <f ca="1">_xll.BDH($C$28,"DIVIDEND_PER_SHARE_1_YEAR_GROWTH","FQ4 2018","FQ4 2018","Currency=INR","Period=FQ","BEST_FPERIOD_OVERRIDE=FQ","FILING_STATUS=OR","EQY_CONSOLIDATED=Y","Sort=A","Dates=H","DateFormat=P","Fill=—","Direction=H","UseDPDF=Y")</f>
        <v>#NAME?</v>
      </c>
      <c r="Z52" s="2" t="e">
        <f ca="1">_xll.BDH($C$28,"ACCOUNTS_RECEIVABLE_GROWTH","FQ4 2018","FQ4 2018","Currency=INR","Period=FQ","BEST_FPERIOD_OVERRIDE=FQ","FILING_STATUS=OR","EQY_CONSOLIDATED=Y","Sort=A","Dates=H","DateFormat=P","Fill=—","Direction=H","UseDPDF=Y")</f>
        <v>#NAME?</v>
      </c>
      <c r="AA52" s="2" t="e">
        <f ca="1">_xll.BDH($C$28,"INVENTORY_GROWTH","FQ4 2018","FQ4 2018","Currency=INR","Period=FQ","BEST_FPERIOD_OVERRIDE=FQ","FILING_STATUS=OR","EQY_CONSOLIDATED=Y","Sort=A","Dates=H","DateFormat=P","Fill=—","Direction=H","UseDPDF=Y")</f>
        <v>#NAME?</v>
      </c>
      <c r="AB52" s="2" t="e">
        <f ca="1">_xll.BDH($C$28,"NET_FIXED_ASSETS_1_YEAR_GROWTH","FQ4 2018","FQ4 2018","Currency=INR","Period=FQ","BEST_FPERIOD_OVERRIDE=FQ","FILING_STATUS=OR","EQY_CONSOLIDATED=Y","Sort=A","Dates=H","DateFormat=P","Fill=—","Direction=H","UseDPDF=Y")</f>
        <v>#NAME?</v>
      </c>
      <c r="AC52" s="2" t="e">
        <f ca="1">_xll.BDH($C$28,"ASSET_GROWTH","FQ4 2018","FQ4 2018","Currency=INR","Period=FQ","BEST_FPERIOD_OVERRIDE=FQ","FILING_STATUS=OR","EQY_CONSOLIDATED=Y","Sort=A","Dates=H","DateFormat=P","Fill=—","Direction=H","UseDPDF=Y")</f>
        <v>#NAME?</v>
      </c>
      <c r="AD52" s="2" t="e">
        <f ca="1">_xll.BDH($C$28,"MODIFIED_WORK_CAP_GROWTH","FQ4 2018","FQ4 2018","Currency=INR","Period=FQ","BEST_FPERIOD_OVERRIDE=FQ","FILING_STATUS=OR","EQY_CONSOLIDATED=Y","Sort=A","Dates=H","DateFormat=P","Fill=—","Direction=H","UseDPDF=Y")</f>
        <v>#NAME?</v>
      </c>
      <c r="AE52" s="2" t="e">
        <f ca="1">_xll.BDH($C$28,"WORK_CAP_GROWTH","FQ4 2018","FQ4 2018","Currency=INR","Period=FQ","BEST_FPERIOD_OVERRIDE=FQ","FILING_STATUS=OR","EQY_CONSOLIDATED=Y","Sort=A","Dates=H","DateFormat=P","Fill=—","Direction=H","UseDPDF=Y")</f>
        <v>#NAME?</v>
      </c>
      <c r="AF52" s="2" t="e">
        <f ca="1">_xll.BDH($C$28,"ACCOUNTS_PAYABLE_GROWTH_1YR","FQ4 2018","FQ4 2018","Currency=INR","Period=FQ","BEST_FPERIOD_OVERRIDE=FQ","FILING_STATUS=OR","EQY_CONSOLIDATED=Y","Sort=A","Dates=H","DateFormat=P","Fill=—","Direction=H","UseDPDF=Y")</f>
        <v>#NAME?</v>
      </c>
      <c r="AG52" s="2" t="e">
        <f ca="1">_xll.BDH($C$28,"SHORT_TERM_DEBT_1_YEAR_GROWTH","FQ4 2018","FQ4 2018","Currency=INR","Period=FQ","BEST_FPERIOD_OVERRIDE=FQ","FILING_STATUS=OR","EQY_CONSOLIDATED=Y","Sort=A","Dates=H","DateFormat=P","Fill=—","Direction=H","UseDPDF=Y")</f>
        <v>#NAME?</v>
      </c>
      <c r="AH52" s="2" t="e">
        <f ca="1">_xll.BDH($C$28,"TOTAL_DEBT_1_YEAR_GROWTH","FQ4 2018","FQ4 2018","Currency=INR","Period=FQ","BEST_FPERIOD_OVERRIDE=FQ","FILING_STATUS=OR","EQY_CONSOLIDATED=Y","Sort=A","Dates=H","DateFormat=P","Fill=—","Direction=H","UseDPDF=Y")</f>
        <v>#NAME?</v>
      </c>
      <c r="AI52" s="2" t="e">
        <f ca="1">_xll.BDH($C$28,"TOTAL_EQUITY_1_YEAR_GROWTH","FQ4 2018","FQ4 2018","Currency=INR","Period=FQ","BEST_FPERIOD_OVERRIDE=FQ","FILING_STATUS=OR","EQY_CONSOLIDATED=Y","Sort=A","Dates=H","DateFormat=P","Fill=—","Direction=H","UseDPDF=Y")</f>
        <v>#NAME?</v>
      </c>
      <c r="AJ52" s="2" t="e">
        <f ca="1">_xll.BDH($C$28,"GROWTH_IN_CAP","FQ4 2018","FQ4 2018","Currency=INR","Period=FQ","BEST_FPERIOD_OVERRIDE=FQ","FILING_STATUS=OR","EQY_CONSOLIDATED=Y","Sort=A","Dates=H","DateFormat=P","Fill=—","Direction=H","UseDPDF=Y")</f>
        <v>#NAME?</v>
      </c>
      <c r="AK52" s="2" t="e">
        <f ca="1">_xll.BDH($C$28,"BVPS_GROWTH","FQ4 2018","FQ4 2018","Currency=INR","Period=FQ","BEST_FPERIOD_OVERRIDE=FQ","FILING_STATUS=OR","EQY_CONSOLIDATED=Y","Sort=A","Dates=H","DateFormat=P","Fill=—","Direction=H","UseDPDF=Y")</f>
        <v>#NAME?</v>
      </c>
      <c r="AL52" s="2" t="e">
        <f ca="1">_xll.BDH($C$28,"CASH_FLOW_GROWTH","FQ4 2018","FQ4 2018","Currency=INR","Period=FQ","BEST_FPERIOD_OVERRIDE=FQ","FILING_STATUS=OR","EQY_CONSOLIDATED=Y","Sort=A","Dates=H","DateFormat=P","Fill=—","Direction=H","UseDPDF=Y")</f>
        <v>#NAME?</v>
      </c>
      <c r="AM52" s="2" t="e">
        <f ca="1">_xll.BDH($C$28,"GEO_GROW_NET_SALES","FQ4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52" s="2" t="e">
        <f ca="1">_xll.BDH($C$28,"GEO_GROW_EBITDA","FQ4 2018","FQ4 2018","Currency=INR","Period=FQ","BEST_FPERIOD_OVERRIDE=FQ","FILING_STATUS=OR","EQY_CONSOLIDATED=Y","FA_ADJUSTED=GAAP","Sort=A","Dates=H","DateFormat=P","Fill=—","Direction=H","UseDPDF=Y")</f>
        <v>#NAME?</v>
      </c>
      <c r="AO52" s="2" t="e">
        <f ca="1">_xll.BDH($C$28,"GEO_GROW_OPER_INC","FQ4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52" s="2" t="e">
        <f ca="1">_xll.BDH($C$28,"NET_INCOME_TO_COMMON_5_YR_GROWTH","FQ4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52" s="2" t="e">
        <f ca="1">_xll.BDH($C$28,"5Y_GEO_GROWTH_DILUTED_EPS","FQ4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52" s="2" t="e">
        <f ca="1">_xll.BDH($C$28,"GEO_GROW_DVD_PER_SH","FQ4 2018","FQ4 2018","Currency=INR","Period=FQ","BEST_FPERIOD_OVERRIDE=FQ","FILING_STATUS=OR","EQY_CONSOLIDATED=Y","Sort=A","Dates=H","DateFormat=P","Fill=—","Direction=H","UseDPDF=Y")</f>
        <v>#NAME?</v>
      </c>
      <c r="AS52" s="2" t="e">
        <f ca="1">_xll.BDH($C$28,"ACCOUNTS_RECEIVABLE_5_YR_GROWTH","FQ4 2018","FQ4 2018","Currency=INR","Period=FQ","BEST_FPERIOD_OVERRIDE=FQ","FILING_STATUS=OR","EQY_CONSOLIDATED=Y","Sort=A","Dates=H","DateFormat=P","Fill=—","Direction=H","UseDPDF=Y")</f>
        <v>#NAME?</v>
      </c>
      <c r="AT52" s="2" t="e">
        <f ca="1">_xll.BDH($C$28,"INVENTORY_5_YEAR_GROWTH","FQ4 2018","FQ4 2018","Currency=INR","Period=FQ","BEST_FPERIOD_OVERRIDE=FQ","FILING_STATUS=OR","EQY_CONSOLIDATED=Y","Sort=A","Dates=H","DateFormat=P","Fill=—","Direction=H","UseDPDF=Y")</f>
        <v>#NAME?</v>
      </c>
      <c r="AU52" s="2" t="e">
        <f ca="1">_xll.BDH($C$28,"NET_FIXED_ASSETS_5_YEAR_GROWTH","FQ4 2018","FQ4 2018","Currency=INR","Period=FQ","BEST_FPERIOD_OVERRIDE=FQ","FILING_STATUS=OR","EQY_CONSOLIDATED=Y","Sort=A","Dates=H","DateFormat=P","Fill=—","Direction=H","UseDPDF=Y")</f>
        <v>#NAME?</v>
      </c>
      <c r="AV52" s="2" t="e">
        <f ca="1">_xll.BDH($C$28,"GEO_GROW_TOT_ASSET","FQ4 2018","FQ4 2018","Currency=INR","Period=FQ","BEST_FPERIOD_OVERRIDE=FQ","FILING_STATUS=OR","EQY_CONSOLIDATED=Y","Sort=A","Dates=H","DateFormat=P","Fill=—","Direction=H","UseDPDF=Y")</f>
        <v>#NAME?</v>
      </c>
      <c r="AW52" s="2" t="e">
        <f ca="1">_xll.BDH($C$28,"MODIFIED_WORKING_CPTL_5YR_GRWTH","FQ4 2018","FQ4 2018","Currency=INR","Period=FQ","BEST_FPERIOD_OVERRIDE=FQ","FILING_STATUS=OR","EQY_CONSOLIDATED=Y","Sort=A","Dates=H","DateFormat=P","Fill=—","Direction=H","UseDPDF=Y")</f>
        <v>#NAME?</v>
      </c>
      <c r="AX52" s="2" t="e">
        <f ca="1">_xll.BDH($C$28,"WORKING_CAPITAL_5_YEAR_GROWTH","FQ4 2018","FQ4 2018","Currency=INR","Period=FQ","BEST_FPERIOD_OVERRIDE=FQ","FILING_STATUS=OR","EQY_CONSOLIDATED=Y","Sort=A","Dates=H","DateFormat=P","Fill=—","Direction=H","UseDPDF=Y")</f>
        <v>#NAME?</v>
      </c>
      <c r="AY52" s="2" t="e">
        <f ca="1">_xll.BDH($C$28,"ACCOUNTS_PAYABLE_5_YEAR_GROWTH","FQ4 2018","FQ4 2018","Currency=INR","Period=FQ","BEST_FPERIOD_OVERRIDE=FQ","FILING_STATUS=OR","EQY_CONSOLIDATED=Y","Sort=A","Dates=H","DateFormat=P","Fill=—","Direction=H","UseDPDF=Y")</f>
        <v>#NAME?</v>
      </c>
      <c r="AZ52" s="2" t="e">
        <f ca="1">_xll.BDH($C$28,"SHORT_TERM_DEBT_5_YEAR_GROWTH","FQ4 2018","FQ4 2018","Currency=INR","Period=FQ","BEST_FPERIOD_OVERRIDE=FQ","FILING_STATUS=OR","EQY_CONSOLIDATED=Y","Sort=A","Dates=H","DateFormat=P","Fill=—","Direction=H","UseDPDF=Y")</f>
        <v>#NAME?</v>
      </c>
      <c r="BA52" s="2" t="e">
        <f ca="1">_xll.BDH($C$28,"TOTAL_DEBT_5_YEAR_GROWTH","FQ4 2018","FQ4 2018","Currency=INR","Period=FQ","BEST_FPERIOD_OVERRIDE=FQ","FILING_STATUS=OR","EQY_CONSOLIDATED=Y","Sort=A","Dates=H","DateFormat=P","Fill=—","Direction=H","UseDPDF=Y")</f>
        <v>#NAME?</v>
      </c>
      <c r="BB52" s="2" t="e">
        <f ca="1">_xll.BDH($C$28,"GEO_GROW_TOT_SHRHLDR_EQY","FQ4 2018","FQ4 2018","Currency=INR","Period=FQ","BEST_FPERIOD_OVERRIDE=FQ","FILING_STATUS=OR","EQY_CONSOLIDATED=Y","Sort=A","Dates=H","DateFormat=P","Fill=—","Direction=H","UseDPDF=Y")</f>
        <v>#NAME?</v>
      </c>
      <c r="BC52" s="2" t="e">
        <f ca="1">_xll.BDH($C$28,"TOTAL_CAPITAL_5_YEAR_GROWTH","FQ4 2018","FQ4 2018","Currency=INR","Period=FQ","BEST_FPERIOD_OVERRIDE=FQ","FILING_STATUS=OR","EQY_CONSOLIDATED=Y","Sort=A","Dates=H","DateFormat=P","Fill=—","Direction=H","UseDPDF=Y")</f>
        <v>#NAME?</v>
      </c>
      <c r="BD52" s="2" t="e">
        <f ca="1">_xll.BDH($C$28,"GEO_GROW_BOOK_VAL","FQ4 2018","FQ4 2018","Currency=INR","Period=FQ","BEST_FPERIOD_OVERRIDE=FQ","FILING_STATUS=OR","EQY_CONSOLIDATED=Y","Sort=A","Dates=H","DateFormat=P","Fill=—","Direction=H","UseDPDF=Y")</f>
        <v>#NAME?</v>
      </c>
      <c r="BE52" s="2" t="e">
        <f ca="1">_xll.BDH($C$28,"GEO_GROW_CASH_OPER_ACT","FQ4 2018","FQ4 2018","Currency=INR","Period=FQ","BEST_FPERIOD_OVERRIDE=FQ","FILING_STATUS=OR","EQY_CONSOLIDATED=Y","Sort=A","Dates=H","DateFormat=P","Fill=—","Direction=H","UseDPDF=Y")</f>
        <v>#NAME?</v>
      </c>
      <c r="BF52" s="2" t="e">
        <f ca="1">_xll.BDH($C$28,"REVENUE_SEQUENTIAL_GROWTH","FQ4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52" s="2" t="e">
        <f ca="1">_xll.BDH($C$28,"EBITDA_SEQUENTIAL_GROWTH","FQ4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52" s="2" t="e">
        <f ca="1">_xll.BDH($C$28,"OPERATING_INCOME_SEQ_GROWTH","FQ4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52" s="2" t="e">
        <f ca="1">_xll.BDH($C$28,"NET_INCOME_TO_COMMON_SEQ_GROWTH","FQ4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52" s="2" t="e">
        <f ca="1">_xll.BDH($C$28,"EPS_DILUTED_SEQUENTIAL_GROWTH","FQ4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52" s="2" t="e">
        <f ca="1">_xll.BDH($C$28,"DPS_SEQUENTIAL_GROWTH","FQ4 2018","FQ4 2018","Currency=INR","Period=FQ","BEST_FPERIOD_OVERRIDE=FQ","FILING_STATUS=OR","EQY_CONSOLIDATED=Y","Sort=A","Dates=H","DateFormat=P","Fill=—","Direction=H","UseDPDF=Y")</f>
        <v>#NAME?</v>
      </c>
      <c r="BL52" s="2" t="e">
        <f ca="1">_xll.BDH($C$28,"ACCOUNTS_RECEIVABLE_SEQ_GROWTH","FQ4 2018","FQ4 2018","Currency=INR","Period=FQ","BEST_FPERIOD_OVERRIDE=FQ","FILING_STATUS=OR","EQY_CONSOLIDATED=Y","Sort=A","Dates=H","DateFormat=P","Fill=—","Direction=H","UseDPDF=Y")</f>
        <v>#NAME?</v>
      </c>
      <c r="BM52" s="2" t="e">
        <f ca="1">_xll.BDH($C$28,"INVENTORY_SEQUENTIAL_GROWTH","FQ4 2018","FQ4 2018","Currency=INR","Period=FQ","BEST_FPERIOD_OVERRIDE=FQ","FILING_STATUS=OR","EQY_CONSOLIDATED=Y","Sort=A","Dates=H","DateFormat=P","Fill=—","Direction=H","UseDPDF=Y")</f>
        <v>#NAME?</v>
      </c>
      <c r="BN52" s="2" t="e">
        <f ca="1">_xll.BDH($C$28,"FIXED_ASSETS_SEQUENTIAL_GROWTH","FQ4 2018","FQ4 2018","Currency=INR","Period=FQ","BEST_FPERIOD_OVERRIDE=FQ","FILING_STATUS=OR","EQY_CONSOLIDATED=Y","Sort=A","Dates=H","DateFormat=P","Fill=—","Direction=H","UseDPDF=Y")</f>
        <v>#NAME?</v>
      </c>
      <c r="BO52" s="2" t="e">
        <f ca="1">_xll.BDH($C$28,"TOTAL_ASSETS_SEQUENTIAL_GROWTH","FQ4 2018","FQ4 2018","Currency=INR","Period=FQ","BEST_FPERIOD_OVERRIDE=FQ","FILING_STATUS=OR","EQY_CONSOLIDATED=Y","Sort=A","Dates=H","DateFormat=P","Fill=—","Direction=H","UseDPDF=Y")</f>
        <v>#NAME?</v>
      </c>
      <c r="BP52" s="2" t="e">
        <f ca="1">_xll.BDH($C$28,"MODIFIED_WORKING_CPTL_SEQ_GRWTH","FQ4 2018","FQ4 2018","Currency=INR","Period=FQ","BEST_FPERIOD_OVERRIDE=FQ","FILING_STATUS=OR","EQY_CONSOLIDATED=Y","Sort=A","Dates=H","DateFormat=P","Fill=—","Direction=H","UseDPDF=Y")</f>
        <v>#NAME?</v>
      </c>
      <c r="BQ52" s="2" t="e">
        <f ca="1">_xll.BDH($C$28,"WORKING_CAPITAL_SEQ_GROWTH","FQ4 2018","FQ4 2018","Currency=INR","Period=FQ","BEST_FPERIOD_OVERRIDE=FQ","FILING_STATUS=OR","EQY_CONSOLIDATED=Y","Sort=A","Dates=H","DateFormat=P","Fill=—","Direction=H","UseDPDF=Y")</f>
        <v>#NAME?</v>
      </c>
      <c r="BR52" s="2" t="e">
        <f ca="1">_xll.BDH($C$28,"ACCOUNTS_PAYABLE_SEQ_GROWTH","FQ4 2018","FQ4 2018","Currency=INR","Period=FQ","BEST_FPERIOD_OVERRIDE=FQ","FILING_STATUS=OR","EQY_CONSOLIDATED=Y","Sort=A","Dates=H","DateFormat=P","Fill=—","Direction=H","UseDPDF=Y")</f>
        <v>#NAME?</v>
      </c>
      <c r="BS52" s="2" t="e">
        <f ca="1">_xll.BDH($C$28,"ST_DEBT_SEQUENTIAL_GROWTH","FQ4 2018","FQ4 2018","Currency=INR","Period=FQ","BEST_FPERIOD_OVERRIDE=FQ","FILING_STATUS=OR","EQY_CONSOLIDATED=Y","Sort=A","Dates=H","DateFormat=P","Fill=—","Direction=H","UseDPDF=Y")</f>
        <v>#NAME?</v>
      </c>
      <c r="BT52" s="2" t="e">
        <f ca="1">_xll.BDH($C$28,"TOTAL_DEBT_SEQUENTIAL_GROWTH","FQ4 2018","FQ4 2018","Currency=INR","Period=FQ","BEST_FPERIOD_OVERRIDE=FQ","FILING_STATUS=OR","EQY_CONSOLIDATED=Y","Sort=A","Dates=H","DateFormat=P","Fill=—","Direction=H","UseDPDF=Y")</f>
        <v>#NAME?</v>
      </c>
      <c r="BU52" s="2" t="e">
        <f ca="1">_xll.BDH($C$28,"TOTAL_EQUITY_SEQUENTIAL_GROWTH","FQ4 2018","FQ4 2018","Currency=INR","Period=FQ","BEST_FPERIOD_OVERRIDE=FQ","FILING_STATUS=OR","EQY_CONSOLIDATED=Y","Sort=A","Dates=H","DateFormat=P","Fill=—","Direction=H","UseDPDF=Y")</f>
        <v>#NAME?</v>
      </c>
      <c r="BV52" s="2" t="e">
        <f ca="1">_xll.BDH($C$28,"TOTAL_CAPITAL_SEQUENTIAL_GROWTH","FQ4 2018","FQ4 2018","Currency=INR","Period=FQ","BEST_FPERIOD_OVERRIDE=FQ","FILING_STATUS=OR","EQY_CONSOLIDATED=Y","Sort=A","Dates=H","DateFormat=P","Fill=—","Direction=H","UseDPDF=Y")</f>
        <v>#NAME?</v>
      </c>
      <c r="BW52" s="2" t="e">
        <f ca="1">_xll.BDH($C$28,"BPS_SEQUENTIAL_GROWTH","FQ4 2018","FQ4 2018","Currency=INR","Period=FQ","BEST_FPERIOD_OVERRIDE=FQ","FILING_STATUS=OR","EQY_CONSOLIDATED=Y","Sort=A","Dates=H","DateFormat=P","Fill=—","Direction=H","UseDPDF=Y")</f>
        <v>#NAME?</v>
      </c>
      <c r="BX52" s="2" t="e">
        <f ca="1">_xll.BDH($C$28,"CFO_SEQUENTIAL_GROWTH","FQ4 2018","FQ4 2018","Currency=INR","Period=FQ","BEST_FPERIOD_OVERRIDE=FQ","FILING_STATUS=OR","EQY_CONSOLIDATED=Y","Sort=A","Dates=H","DateFormat=P","Fill=—","Direction=H","UseDPDF=Y")</f>
        <v>#NAME?</v>
      </c>
      <c r="BY52" s="3" t="e">
        <f ca="1">_xll.BDH($C$28,"SHORT_AND_LONG_TERM_DEBT","FQ4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52" s="3" t="e">
        <f ca="1">_xll.BDH($C$28,"BS_ST_BORROW","FQ4 2018","FQ4 2018","Currency=INR","Period=FQ","BEST_FPERIOD_OVERRIDE=FQ","FILING_STATUS=OR","EQY_CONSOLIDATED=Y","SCALING_FORMAT=MLN","Sort=A","Dates=H","DateFormat=P","Fill=—","Direction=H","UseDPDF=Y")</f>
        <v>#NAME?</v>
      </c>
      <c r="CA52" s="3" t="e">
        <f ca="1">_xll.BDH($C$28,"BS_LT_BORROW","FQ4 2018","FQ4 2018","Currency=INR","Period=FQ","BEST_FPERIOD_OVERRIDE=FQ","FILING_STATUS=OR","EQY_CONSOLIDATED=Y","SCALING_FORMAT=MLN","Sort=A","Dates=H","DateFormat=P","Fill=—","Direction=H","UseDPDF=Y")</f>
        <v>#NAME?</v>
      </c>
      <c r="CB52" s="2" t="e">
        <f ca="1">_xll.BDH($C$28,"TOT_DEBT_TO_EBITDA","FQ4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52" s="2" t="e">
        <f ca="1">_xll.BDH($C$28,"NET_DEBT_TO_EBITDA","FQ4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52" s="2" t="e">
        <f ca="1">_xll.BDH($C$28,"TOTAL_DEBT_TO_EBIT","FQ4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52" s="2" t="e">
        <f ca="1">_xll.BDH($C$28,"NET_DEBT_TO_EBIT","FQ4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52" s="2" t="e">
        <f ca="1">_xll.BDH($C$28,"EBITDA_TO_INTEREST_EXPN","FQ4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52" s="2" t="e">
        <f ca="1">_xll.BDH($C$28,"COM_EQY_TO_TOT_ASSET","FQ4 2018","FQ4 2018","Currency=INR","Period=FQ","BEST_FPERIOD_OVERRIDE=FQ","FILING_STATUS=OR","EQY_CONSOLIDATED=Y","Sort=A","Dates=H","DateFormat=P","Fill=—","Direction=H","UseDPDF=Y")</f>
        <v>#NAME?</v>
      </c>
      <c r="CH52" s="2" t="e">
        <f ca="1">_xll.BDH($C$28,"LT_DEBT_TO_TOT_EQY","FQ4 2018","FQ4 2018","Currency=INR","Period=FQ","BEST_FPERIOD_OVERRIDE=FQ","FILING_STATUS=OR","EQY_CONSOLIDATED=Y","Sort=A","Dates=H","DateFormat=P","Fill=—","Direction=H","UseDPDF=Y")</f>
        <v>#NAME?</v>
      </c>
      <c r="CI52" s="2" t="e">
        <f ca="1">_xll.BDH($C$28,"LT_DEBT_TO_TOT_CAP","FQ4 2018","FQ4 2018","Currency=INR","Period=FQ","BEST_FPERIOD_OVERRIDE=FQ","FILING_STATUS=OR","EQY_CONSOLIDATED=Y","Sort=A","Dates=H","DateFormat=P","Fill=—","Direction=H","UseDPDF=Y")</f>
        <v>#NAME?</v>
      </c>
      <c r="CJ52" s="2" t="e">
        <f ca="1">_xll.BDH($C$28,"LT_DEBT_TO_TOT_ASSET","FQ4 2018","FQ4 2018","Currency=INR","Period=FQ","BEST_FPERIOD_OVERRIDE=FQ","FILING_STATUS=OR","EQY_CONSOLIDATED=Y","Sort=A","Dates=H","DateFormat=P","Fill=—","Direction=H","UseDPDF=Y")</f>
        <v>#NAME?</v>
      </c>
      <c r="CK52" s="2" t="e">
        <f ca="1">_xll.BDH($C$28,"TOT_DEBT_TO_TOT_EQY","FQ4 2018","FQ4 2018","Currency=INR","Period=FQ","BEST_FPERIOD_OVERRIDE=FQ","FILING_STATUS=OR","EQY_CONSOLIDATED=Y","Sort=A","Dates=H","DateFormat=P","Fill=—","Direction=H","UseDPDF=Y")</f>
        <v>#NAME?</v>
      </c>
      <c r="CL52" s="2" t="e">
        <f ca="1">_xll.BDH($C$28,"TOT_DEBT_TO_TOT_CAP","FQ4 2018","FQ4 2018","Currency=INR","Period=FQ","BEST_FPERIOD_OVERRIDE=FQ","FILING_STATUS=OR","EQY_CONSOLIDATED=Y","Sort=A","Dates=H","DateFormat=P","Fill=—","Direction=H","UseDPDF=Y")</f>
        <v>#NAME?</v>
      </c>
      <c r="CM52" s="2" t="e">
        <f ca="1">_xll.BDH($C$28,"TOT_DEBT_TO_TOT_ASSET","FQ4 2018","FQ4 2018","Currency=INR","Period=FQ","BEST_FPERIOD_OVERRIDE=FQ","FILING_STATUS=OR","EQY_CONSOLIDATED=Y","Sort=A","Dates=H","DateFormat=P","Fill=—","Direction=H","UseDPDF=Y")</f>
        <v>#NAME?</v>
      </c>
      <c r="CN52" s="2" t="e">
        <f ca="1">_xll.BDH($C$28,"NET_DEBT_TO_SHRHLDR_EQTY","FQ4 2018","FQ4 2018","Currency=INR","Period=FQ","BEST_FPERIOD_OVERRIDE=FQ","FILING_STATUS=OR","EQY_CONSOLIDATED=Y","Sort=A","Dates=H","DateFormat=P","Fill=—","Direction=H","UseDPDF=Y")</f>
        <v>#NAME?</v>
      </c>
      <c r="CO52" s="2" t="e">
        <f ca="1">_xll.BDH($C$28,"NET_DEBT_%_CAPITAL","FQ4 2018","FQ4 2018","Currency=INR","Period=FQ","BEST_FPERIOD_OVERRIDE=FQ","FILING_STATUS=OR","EQY_CONSOLIDATED=Y","Sort=A","Dates=H","DateFormat=P","Fill=—","Direction=H","UseDPDF=Y")</f>
        <v>#NAME?</v>
      </c>
      <c r="CP52" s="3" t="e">
        <f ca="1">_xll.BDH($C$28,"EBITDA","FQ4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52" s="3" t="e">
        <f ca="1">_xll.BDH($C$28,"EBITDA_AFTER_CAPEX","FQ4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52" s="3" t="e">
        <f ca="1">_xll.BDH($C$28,"IS_OPER_INC","FQ4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52" s="2" t="e">
        <f ca="1">_xll.BDH($C$28,"CASH_RATIO","FQ4 2018","FQ4 2018","Currency=INR","Period=FQ","BEST_FPERIOD_OVERRIDE=FQ","FILING_STATUS=OR","EQY_CONSOLIDATED=Y","Sort=A","Dates=H","DateFormat=P","Fill=—","Direction=H","UseDPDF=Y")</f>
        <v>#NAME?</v>
      </c>
      <c r="CT52" s="2" t="e">
        <f ca="1">_xll.BDH($C$28,"CUR_RATIO","FQ4 2018","FQ4 2018","Currency=INR","Period=FQ","BEST_FPERIOD_OVERRIDE=FQ","FILING_STATUS=OR","EQY_CONSOLIDATED=Y","Sort=A","Dates=H","DateFormat=P","Fill=—","Direction=H","UseDPDF=Y")</f>
        <v>#NAME?</v>
      </c>
      <c r="CU52" s="2" t="e">
        <f ca="1">_xll.BDH($C$28,"QUICK_RATIO","FQ4 2018","FQ4 2018","Currency=INR","Period=FQ","BEST_FPERIOD_OVERRIDE=FQ","FILING_STATUS=OR","EQY_CONSOLIDATED=Y","Sort=A","Dates=H","DateFormat=P","Fill=—","Direction=H","UseDPDF=Y")</f>
        <v>#NAME?</v>
      </c>
      <c r="CV52" s="2" t="e">
        <f ca="1">_xll.BDH($C$28,"ALTMAN_Z_SCORE","FQ4 2018","FQ4 2018","Currency=INR","Period=FQ","BEST_FPERIOD_OVERRIDE=FQ","FILING_STATUS=OR","EQY_CONSOLIDATED=Y","Sort=A","Dates=H","DateFormat=P","Fill=—","Direction=H","UseDPDF=Y")</f>
        <v>#NAME?</v>
      </c>
      <c r="CW52" s="4" t="e">
        <f ca="1">_xll.BDH($C$28,"ACCT_RCV_TURN","FQ4 2018","FQ4 2018","Currency=INR","Period=FQ","BEST_FPERIOD_OVERRIDE=FQ","FILING_STATUS=OR","EQY_CONSOLIDATED=Y","FA_ADJUSTED=GAAP","Sort=A","Dates=H","DateFormat=P","Fill=—","Direction=H","UseDPDF=Y")</f>
        <v>#NAME?</v>
      </c>
      <c r="CX52" s="2" t="e">
        <f ca="1">_xll.BDH($C$28,"ACCT_RCV_DAYS","FQ4 2018","FQ4 2018","Currency=INR","Period=FQ","BEST_FPERIOD_OVERRIDE=FQ","FILING_STATUS=OR","EQY_CONSOLIDATED=Y","FA_ADJUSTED=GAAP","Sort=A","Dates=H","DateFormat=P","Fill=—","Direction=H","UseDPDF=Y")</f>
        <v>#NAME?</v>
      </c>
      <c r="CY52" s="4" t="e">
        <f ca="1">_xll.BDH($C$28,"INVENT_TURN","FQ4 2018","FQ4 2018","Currency=INR","Period=FQ","BEST_FPERIOD_OVERRIDE=FQ","FILING_STATUS=OR","EQY_CONSOLIDATED=Y","FA_ADJUSTED=GAAP","Sort=A","Dates=H","DateFormat=P","Fill=—","Direction=H","UseDPDF=Y")</f>
        <v>#NAME?</v>
      </c>
      <c r="CZ52" s="2" t="e">
        <f ca="1">_xll.BDH($C$28,"INVENT_DAYS","FQ4 2018","FQ4 2018","Currency=INR","Period=FQ","BEST_FPERIOD_OVERRIDE=FQ","FILING_STATUS=OR","EQY_CONSOLIDATED=Y","FA_ADJUSTED=GAAP","Sort=A","Dates=H","DateFormat=P","Fill=—","Direction=H","UseDPDF=Y")</f>
        <v>#NAME?</v>
      </c>
      <c r="DA52" s="4" t="e">
        <f ca="1">_xll.BDH($C$28,"ACCOUNTS_PAYABLE_TURNOVER","FQ4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52" s="2" t="e">
        <f ca="1">_xll.BDH($C$28,"ACCOUNTS_PAYABLE_TURNOVER_DAYS","FQ4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52" s="4" t="e">
        <f ca="1">_xll.BDH($C$28,"CASH_CONVERSION_CYCLE","FQ4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52" s="4" t="e">
        <f ca="1">_xll.BDH($C$28,"INV_TO_CASH_DAYS","FQ4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52" s="5" t="e">
        <f ca="1">_xll.BDH($C$28,"BS_INVENTORIES","FQ4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52" s="3" t="e">
        <f ca="1">_xll.BDH($C$28,"INVTRY_RAW_MATERIALS","FQ4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52" s="3" t="e">
        <f ca="1">_xll.BDH($C$28,"INVTRY_IN_PROGRESS","FQ4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52" s="3" t="e">
        <f ca="1">_xll.BDH($C$28,"INVTRY_FINISHED_GOODS","FQ4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52" s="3" t="e">
        <f ca="1">_xll.BDH($C$28,"BS_OTHER_INV","FQ4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53" spans="1:113" x14ac:dyDescent="0.3">
      <c r="A53" s="6">
        <v>3</v>
      </c>
      <c r="B53" s="6" t="s">
        <v>88</v>
      </c>
      <c r="C53" s="6" t="s">
        <v>89</v>
      </c>
      <c r="D53" s="6" t="s">
        <v>76</v>
      </c>
      <c r="E53" t="s">
        <v>77</v>
      </c>
      <c r="F53" t="e">
        <f ca="1">_xll.BDH($C$53,"RETURN_COM_EQY","FY 2014","FY 2014","Currency=INR","Period=FY","BEST_FPERIOD_OVERRIDE=FY","FILING_STATUS=OR","EQY_CONSOLIDATED=Y","FA_ADJUSTED=GAAP","Sort=A","Dates=H","DateFormat=P","Fill=—","Direction=H","UseDPDF=Y")</f>
        <v>#NAME?</v>
      </c>
      <c r="G53" t="e">
        <f ca="1">_xll.BDH($C$53,"RETURN_ON_ASSET","FY 2014","FY 2014","Currency=INR","Period=FY","BEST_FPERIOD_OVERRIDE=FY","FILING_STATUS=OR","EQY_CONSOLIDATED=Y","FA_ADJUSTED=GAAP","Sort=A","Dates=H","DateFormat=P","Fill=—","Direction=H","UseDPDF=Y")</f>
        <v>#NAME?</v>
      </c>
      <c r="H53" t="e">
        <f ca="1">_xll.BDH($C$53,"RETURN_ON_CAP","FY 2014","FY 2014","Currency=INR","Period=FY","BEST_FPERIOD_OVERRIDE=FY","FILING_STATUS=OR","EQY_CONSOLIDATED=Y","FA_ADJUSTED=GAAP","Sort=A","Dates=H","DateFormat=P","Fill=—","Direction=H","UseDPDF=Y")</f>
        <v>#NAME?</v>
      </c>
      <c r="I53" t="e">
        <f ca="1">_xll.BDH($C$53,"RETURN_ON_INV_CAPITAL","FY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53" t="e">
        <f ca="1">_xll.BDH($C$53,"EBITDA_TO_REVENUE","FY 2014","FY 2014","Currency=INR","Period=FY","BEST_FPERIOD_OVERRIDE=FY","FILING_STATUS=OR","EQY_CONSOLIDATED=Y","FA_ADJUSTED=GAAP","Sort=A","Dates=H","DateFormat=P","Fill=—","Direction=H","UseDPDF=Y")</f>
        <v>#NAME?</v>
      </c>
      <c r="K53" t="e">
        <f ca="1">_xll.BDH($C$53,"OPER_MARGIN","FY 2014","FY 2014","Currency=INR","Period=FY","BEST_FPERIOD_OVERRIDE=FY","FILING_STATUS=OR","EQY_CONSOLIDATED=Y","FA_ADJUSTED=GAAP","Sort=A","Dates=H","DateFormat=P","Fill=—","Direction=H","UseDPDF=Y")</f>
        <v>#NAME?</v>
      </c>
      <c r="L53" t="e">
        <f ca="1">_xll.BDH($C$53,"INCREMENTAL_OPERATING_MARGIN","FY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53" t="e">
        <f ca="1">_xll.BDH($C$53,"PRETAX_INC_TO_NET_SALES","FY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53" t="e">
        <f ca="1">_xll.BDH($C$53,"INC_BEF_XO_ITEMS_TO_NET_SALES","FY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53" t="e">
        <f ca="1">_xll.BDH($C$53,"PROF_MARGIN","FY 2014","FY 2014","Currency=INR","Period=FY","BEST_FPERIOD_OVERRIDE=FY","FILING_STATUS=OR","EQY_CONSOLIDATED=Y","FA_ADJUSTED=GAAP","Sort=A","Dates=H","DateFormat=P","Fill=—","Direction=H","UseDPDF=Y")</f>
        <v>#NAME?</v>
      </c>
      <c r="P53" t="e">
        <f ca="1">_xll.BDH($C$53,"NET_INCOME_TO_COMMON_MARGIN","FY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53" t="e">
        <f ca="1">_xll.BDH($C$53,"EFF_TAX_RATE","FY 2014","FY 2014","Currency=INR","Period=FY","BEST_FPERIOD_OVERRIDE=FY","FILING_STATUS=OR","EQY_CONSOLIDATED=Y","FA_ADJUSTED=GAAP","Sort=A","Dates=H","DateFormat=P","Fill=—","Direction=H","UseDPDF=Y")</f>
        <v>#NAME?</v>
      </c>
      <c r="R53" t="e">
        <f ca="1">_xll.BDH($C$53,"DVD_PAYOUT_RATIO","FY 2014","FY 2014","Currency=INR","Period=FY","BEST_FPERIOD_OVERRIDE=FY","FILING_STATUS=OR","EQY_CONSOLIDATED=Y","FA_ADJUSTED=GAAP","Sort=A","Dates=H","DateFormat=P","Fill=—","Direction=H","UseDPDF=Y")</f>
        <v>#NAME?</v>
      </c>
      <c r="S53" t="e">
        <f ca="1">_xll.BDH($C$53,"SUSTAIN_GROWTH_RT","FY 2014","FY 2014","Currency=INR","Period=FY","BEST_FPERIOD_OVERRIDE=FY","FILING_STATUS=OR","EQY_CONSOLIDATED=Y","FA_ADJUSTED=GAAP","Sort=A","Dates=H","DateFormat=P","Fill=—","Direction=H","UseDPDF=Y")</f>
        <v>#NAME?</v>
      </c>
      <c r="T53" s="2" t="e">
        <f ca="1">_xll.BDH($C$53,"SALES_GROWTH","FY 2014","FY 2014","Currency=INR","Period=FY","BEST_FPERIOD_OVERRIDE=FY","FILING_STATUS=OR","EQY_CONSOLIDATED=Y","FA_ADJUSTED=GAAP","Sort=A","Dates=H","DateFormat=P","Fill=—","Direction=H","UseDPDF=Y")</f>
        <v>#NAME?</v>
      </c>
      <c r="U53" s="2" t="e">
        <f ca="1">_xll.BDH($C$53,"EBITDA_GROWTH","FY 2014","FY 2014","Currency=INR","Period=FY","BEST_FPERIOD_OVERRIDE=FY","FILING_STATUS=OR","EQY_CONSOLIDATED=Y","FA_ADJUSTED=GAAP","Sort=A","Dates=H","DateFormat=P","Fill=—","Direction=H","UseDPDF=Y")</f>
        <v>#NAME?</v>
      </c>
      <c r="V53" s="2" t="e">
        <f ca="1">_xll.BDH($C$53,"OPER_INC_GROWTH","FY 2014","FY 2014","Currency=INR","Period=FY","BEST_FPERIOD_OVERRIDE=FY","FILING_STATUS=OR","EQY_CONSOLIDATED=Y","FA_ADJUSTED=GAAP","Sort=A","Dates=H","DateFormat=P","Fill=—","Direction=H","UseDPDF=Y")</f>
        <v>#NAME?</v>
      </c>
      <c r="W53" s="2" t="e">
        <f ca="1">_xll.BDH($C$53,"EARN_FOR_COM_GROWTH","FY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53" s="2" t="e">
        <f ca="1">_xll.BDH($C$53,"DILUTED_EPS_AFT_XO_ITEMS_GROWTH","FY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53" s="2" t="e">
        <f ca="1">_xll.BDH($C$53,"DIVIDEND_PER_SHARE_1_YEAR_GROWTH","FY 2014","FY 2014","Currency=INR","Period=FY","BEST_FPERIOD_OVERRIDE=FY","FILING_STATUS=OR","EQY_CONSOLIDATED=Y","Sort=A","Dates=H","DateFormat=P","Fill=—","Direction=H","UseDPDF=Y")</f>
        <v>#NAME?</v>
      </c>
      <c r="Z53" s="2" t="e">
        <f ca="1">_xll.BDH($C$53,"ACCOUNTS_RECEIVABLE_GROWTH","FY 2014","FY 2014","Currency=INR","Period=FY","BEST_FPERIOD_OVERRIDE=FY","FILING_STATUS=OR","EQY_CONSOLIDATED=Y","Sort=A","Dates=H","DateFormat=P","Fill=—","Direction=H","UseDPDF=Y")</f>
        <v>#NAME?</v>
      </c>
      <c r="AA53" s="2" t="e">
        <f ca="1">_xll.BDH($C$53,"INVENTORY_GROWTH","FY 2014","FY 2014","Currency=INR","Period=FY","BEST_FPERIOD_OVERRIDE=FY","FILING_STATUS=OR","EQY_CONSOLIDATED=Y","Sort=A","Dates=H","DateFormat=P","Fill=—","Direction=H","UseDPDF=Y")</f>
        <v>#NAME?</v>
      </c>
      <c r="AB53" s="2" t="e">
        <f ca="1">_xll.BDH($C$53,"NET_FIXED_ASSETS_1_YEAR_GROWTH","FY 2014","FY 2014","Currency=INR","Period=FY","BEST_FPERIOD_OVERRIDE=FY","FILING_STATUS=OR","EQY_CONSOLIDATED=Y","Sort=A","Dates=H","DateFormat=P","Fill=—","Direction=H","UseDPDF=Y")</f>
        <v>#NAME?</v>
      </c>
      <c r="AC53" s="2" t="e">
        <f ca="1">_xll.BDH($C$53,"ASSET_GROWTH","FY 2014","FY 2014","Currency=INR","Period=FY","BEST_FPERIOD_OVERRIDE=FY","FILING_STATUS=OR","EQY_CONSOLIDATED=Y","Sort=A","Dates=H","DateFormat=P","Fill=—","Direction=H","UseDPDF=Y")</f>
        <v>#NAME?</v>
      </c>
      <c r="AD53" s="2" t="e">
        <f ca="1">_xll.BDH($C$53,"MODIFIED_WORK_CAP_GROWTH","FY 2014","FY 2014","Currency=INR","Period=FY","BEST_FPERIOD_OVERRIDE=FY","FILING_STATUS=OR","EQY_CONSOLIDATED=Y","Sort=A","Dates=H","DateFormat=P","Fill=—","Direction=H","UseDPDF=Y")</f>
        <v>#NAME?</v>
      </c>
      <c r="AE53" s="2" t="e">
        <f ca="1">_xll.BDH($C$53,"WORK_CAP_GROWTH","FY 2014","FY 2014","Currency=INR","Period=FY","BEST_FPERIOD_OVERRIDE=FY","FILING_STATUS=OR","EQY_CONSOLIDATED=Y","Sort=A","Dates=H","DateFormat=P","Fill=—","Direction=H","UseDPDF=Y")</f>
        <v>#NAME?</v>
      </c>
      <c r="AF53" s="2" t="e">
        <f ca="1">_xll.BDH($C$53,"ACCOUNTS_PAYABLE_GROWTH_1YR","FY 2014","FY 2014","Currency=INR","Period=FY","BEST_FPERIOD_OVERRIDE=FY","FILING_STATUS=OR","EQY_CONSOLIDATED=Y","Sort=A","Dates=H","DateFormat=P","Fill=—","Direction=H","UseDPDF=Y")</f>
        <v>#NAME?</v>
      </c>
      <c r="AG53" s="2" t="e">
        <f ca="1">_xll.BDH($C$53,"SHORT_TERM_DEBT_1_YEAR_GROWTH","FY 2014","FY 2014","Currency=INR","Period=FY","BEST_FPERIOD_OVERRIDE=FY","FILING_STATUS=OR","EQY_CONSOLIDATED=Y","Sort=A","Dates=H","DateFormat=P","Fill=—","Direction=H","UseDPDF=Y")</f>
        <v>#NAME?</v>
      </c>
      <c r="AH53" s="2" t="e">
        <f ca="1">_xll.BDH($C$53,"TOTAL_DEBT_1_YEAR_GROWTH","FY 2014","FY 2014","Currency=INR","Period=FY","BEST_FPERIOD_OVERRIDE=FY","FILING_STATUS=OR","EQY_CONSOLIDATED=Y","Sort=A","Dates=H","DateFormat=P","Fill=—","Direction=H","UseDPDF=Y")</f>
        <v>#NAME?</v>
      </c>
      <c r="AI53" s="2" t="e">
        <f ca="1">_xll.BDH($C$53,"TOTAL_EQUITY_1_YEAR_GROWTH","FY 2014","FY 2014","Currency=INR","Period=FY","BEST_FPERIOD_OVERRIDE=FY","FILING_STATUS=OR","EQY_CONSOLIDATED=Y","Sort=A","Dates=H","DateFormat=P","Fill=—","Direction=H","UseDPDF=Y")</f>
        <v>#NAME?</v>
      </c>
      <c r="AJ53" s="2" t="e">
        <f ca="1">_xll.BDH($C$53,"GROWTH_IN_CAP","FY 2014","FY 2014","Currency=INR","Period=FY","BEST_FPERIOD_OVERRIDE=FY","FILING_STATUS=OR","EQY_CONSOLIDATED=Y","Sort=A","Dates=H","DateFormat=P","Fill=—","Direction=H","UseDPDF=Y")</f>
        <v>#NAME?</v>
      </c>
      <c r="AK53" s="2" t="e">
        <f ca="1">_xll.BDH($C$53,"BVPS_GROWTH","FY 2014","FY 2014","Currency=INR","Period=FY","BEST_FPERIOD_OVERRIDE=FY","FILING_STATUS=OR","EQY_CONSOLIDATED=Y","Sort=A","Dates=H","DateFormat=P","Fill=—","Direction=H","UseDPDF=Y")</f>
        <v>#NAME?</v>
      </c>
      <c r="AL53" s="2" t="e">
        <f ca="1">_xll.BDH($C$53,"CASH_FLOW_GROWTH","FY 2014","FY 2014","Currency=INR","Period=FY","BEST_FPERIOD_OVERRIDE=FY","FILING_STATUS=OR","EQY_CONSOLIDATED=Y","Sort=A","Dates=H","DateFormat=P","Fill=—","Direction=H","UseDPDF=Y")</f>
        <v>#NAME?</v>
      </c>
      <c r="AM53" s="2" t="e">
        <f ca="1">_xll.BDH($C$53,"GEO_GROW_NET_SALES","FY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53" s="2" t="e">
        <f ca="1">_xll.BDH($C$53,"GEO_GROW_EBITDA","FY 2014","FY 2014","Currency=INR","Period=FY","BEST_FPERIOD_OVERRIDE=FY","FILING_STATUS=OR","EQY_CONSOLIDATED=Y","FA_ADJUSTED=GAAP","Sort=A","Dates=H","DateFormat=P","Fill=—","Direction=H","UseDPDF=Y")</f>
        <v>#NAME?</v>
      </c>
      <c r="AO53" s="2" t="e">
        <f ca="1">_xll.BDH($C$53,"GEO_GROW_OPER_INC","FY 2014","FY 2014","Currency=INR","Period=FY","BEST_FPERIOD_OVERRIDE=FY","FILING_STATUS=OR","EQY_CONSOLIDATED=Y","FA_ADJUSTED=GAAP","Sort=A","Dates=H","DateFormat=P","Fill=—","Direction=H","UseDPDF=Y")</f>
        <v>#NAME?</v>
      </c>
      <c r="AP53" s="2" t="e">
        <f ca="1">_xll.BDH($C$53,"NET_INCOME_TO_COMMON_5_YR_GROWTH","FY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53" s="2" t="e">
        <f ca="1">_xll.BDH($C$53,"5Y_GEO_GROWTH_DILUTED_EPS","FY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53" s="2" t="e">
        <f ca="1">_xll.BDH($C$53,"GEO_GROW_DVD_PER_SH","FY 2014","FY 2014","Currency=INR","Period=FY","BEST_FPERIOD_OVERRIDE=FY","FILING_STATUS=OR","EQY_CONSOLIDATED=Y","Sort=A","Dates=H","DateFormat=P","Fill=—","Direction=H","UseDPDF=Y")</f>
        <v>#NAME?</v>
      </c>
      <c r="AS53" s="2" t="e">
        <f ca="1">_xll.BDH($C$53,"ACCOUNTS_RECEIVABLE_5_YR_GROWTH","FY 2014","FY 2014","Currency=INR","Period=FY","BEST_FPERIOD_OVERRIDE=FY","FILING_STATUS=OR","EQY_CONSOLIDATED=Y","Sort=A","Dates=H","DateFormat=P","Fill=—","Direction=H","UseDPDF=Y")</f>
        <v>#NAME?</v>
      </c>
      <c r="AT53" s="2" t="e">
        <f ca="1">_xll.BDH($C$53,"INVENTORY_5_YEAR_GROWTH","FY 2014","FY 2014","Currency=INR","Period=FY","BEST_FPERIOD_OVERRIDE=FY","FILING_STATUS=OR","EQY_CONSOLIDATED=Y","Sort=A","Dates=H","DateFormat=P","Fill=—","Direction=H","UseDPDF=Y")</f>
        <v>#NAME?</v>
      </c>
      <c r="AU53" s="2" t="e">
        <f ca="1">_xll.BDH($C$53,"NET_FIXED_ASSETS_5_YEAR_GROWTH","FY 2014","FY 2014","Currency=INR","Period=FY","BEST_FPERIOD_OVERRIDE=FY","FILING_STATUS=OR","EQY_CONSOLIDATED=Y","Sort=A","Dates=H","DateFormat=P","Fill=—","Direction=H","UseDPDF=Y")</f>
        <v>#NAME?</v>
      </c>
      <c r="AV53" s="2" t="e">
        <f ca="1">_xll.BDH($C$53,"GEO_GROW_TOT_ASSET","FY 2014","FY 2014","Currency=INR","Period=FY","BEST_FPERIOD_OVERRIDE=FY","FILING_STATUS=OR","EQY_CONSOLIDATED=Y","Sort=A","Dates=H","DateFormat=P","Fill=—","Direction=H","UseDPDF=Y")</f>
        <v>#NAME?</v>
      </c>
      <c r="AW53" s="2" t="e">
        <f ca="1">_xll.BDH($C$53,"MODIFIED_WORKING_CPTL_5YR_GRWTH","FY 2014","FY 2014","Currency=INR","Period=FY","BEST_FPERIOD_OVERRIDE=FY","FILING_STATUS=OR","EQY_CONSOLIDATED=Y","Sort=A","Dates=H","DateFormat=P","Fill=—","Direction=H","UseDPDF=Y")</f>
        <v>#NAME?</v>
      </c>
      <c r="AX53" s="2" t="e">
        <f ca="1">_xll.BDH($C$53,"WORKING_CAPITAL_5_YEAR_GROWTH","FY 2014","FY 2014","Currency=INR","Period=FY","BEST_FPERIOD_OVERRIDE=FY","FILING_STATUS=OR","EQY_CONSOLIDATED=Y","Sort=A","Dates=H","DateFormat=P","Fill=—","Direction=H","UseDPDF=Y")</f>
        <v>#NAME?</v>
      </c>
      <c r="AY53" s="2" t="e">
        <f ca="1">_xll.BDH($C$53,"ACCOUNTS_PAYABLE_5_YEAR_GROWTH","FY 2014","FY 2014","Currency=INR","Period=FY","BEST_FPERIOD_OVERRIDE=FY","FILING_STATUS=OR","EQY_CONSOLIDATED=Y","Sort=A","Dates=H","DateFormat=P","Fill=—","Direction=H","UseDPDF=Y")</f>
        <v>#NAME?</v>
      </c>
      <c r="AZ53" s="2" t="e">
        <f ca="1">_xll.BDH($C$53,"SHORT_TERM_DEBT_5_YEAR_GROWTH","FY 2014","FY 2014","Currency=INR","Period=FY","BEST_FPERIOD_OVERRIDE=FY","FILING_STATUS=OR","EQY_CONSOLIDATED=Y","Sort=A","Dates=H","DateFormat=P","Fill=—","Direction=H","UseDPDF=Y")</f>
        <v>#NAME?</v>
      </c>
      <c r="BA53" s="2" t="e">
        <f ca="1">_xll.BDH($C$53,"TOTAL_DEBT_5_YEAR_GROWTH","FY 2014","FY 2014","Currency=INR","Period=FY","BEST_FPERIOD_OVERRIDE=FY","FILING_STATUS=OR","EQY_CONSOLIDATED=Y","Sort=A","Dates=H","DateFormat=P","Fill=—","Direction=H","UseDPDF=Y")</f>
        <v>#NAME?</v>
      </c>
      <c r="BB53" s="2" t="e">
        <f ca="1">_xll.BDH($C$53,"GEO_GROW_TOT_SHRHLDR_EQY","FY 2014","FY 2014","Currency=INR","Period=FY","BEST_FPERIOD_OVERRIDE=FY","FILING_STATUS=OR","EQY_CONSOLIDATED=Y","Sort=A","Dates=H","DateFormat=P","Fill=—","Direction=H","UseDPDF=Y")</f>
        <v>#NAME?</v>
      </c>
      <c r="BC53" s="2" t="e">
        <f ca="1">_xll.BDH($C$53,"TOTAL_CAPITAL_5_YEAR_GROWTH","FY 2014","FY 2014","Currency=INR","Period=FY","BEST_FPERIOD_OVERRIDE=FY","FILING_STATUS=OR","EQY_CONSOLIDATED=Y","Sort=A","Dates=H","DateFormat=P","Fill=—","Direction=H","UseDPDF=Y")</f>
        <v>#NAME?</v>
      </c>
      <c r="BD53" s="2" t="e">
        <f ca="1">_xll.BDH($C$53,"GEO_GROW_BOOK_VAL","FY 2014","FY 2014","Currency=INR","Period=FY","BEST_FPERIOD_OVERRIDE=FY","FILING_STATUS=OR","EQY_CONSOLIDATED=Y","Sort=A","Dates=H","DateFormat=P","Fill=—","Direction=H","UseDPDF=Y")</f>
        <v>#NAME?</v>
      </c>
      <c r="BE53" s="2" t="e">
        <f ca="1">_xll.BDH($C$53,"GEO_GROW_CASH_OPER_ACT","FY 2014","FY 2014","Currency=INR","Period=FY","BEST_FPERIOD_OVERRIDE=FY","FILING_STATUS=OR","EQY_CONSOLIDATED=Y","Sort=A","Dates=H","DateFormat=P","Fill=—","Direction=H","UseDPDF=Y")</f>
        <v>#NAME?</v>
      </c>
      <c r="BF53" s="2" t="e">
        <f ca="1">_xll.BDH($C$53,"REVENUE_SEQUENTIAL_GROWTH","FY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53" s="2" t="e">
        <f ca="1">_xll.BDH($C$53,"EBITDA_SEQUENTIAL_GROWTH","FY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53" s="2" t="e">
        <f ca="1">_xll.BDH($C$53,"OPERATING_INCOME_SEQ_GROWTH","FY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53" s="2" t="e">
        <f ca="1">_xll.BDH($C$53,"NET_INCOME_TO_COMMON_SEQ_GROWTH","FY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53" s="2" t="e">
        <f ca="1">_xll.BDH($C$53,"EPS_DILUTED_SEQUENTIAL_GROWTH","FY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53" s="2" t="e">
        <f ca="1">_xll.BDH($C$53,"DPS_SEQUENTIAL_GROWTH","FY 2014","FY 2014","Currency=INR","Period=FY","BEST_FPERIOD_OVERRIDE=FY","FILING_STATUS=OR","EQY_CONSOLIDATED=Y","Sort=A","Dates=H","DateFormat=P","Fill=—","Direction=H","UseDPDF=Y")</f>
        <v>#NAME?</v>
      </c>
      <c r="BL53" s="2" t="e">
        <f ca="1">_xll.BDH($C$53,"ACCOUNTS_RECEIVABLE_SEQ_GROWTH","FY 2014","FY 2014","Currency=INR","Period=FY","BEST_FPERIOD_OVERRIDE=FY","FILING_STATUS=OR","EQY_CONSOLIDATED=Y","Sort=A","Dates=H","DateFormat=P","Fill=—","Direction=H","UseDPDF=Y")</f>
        <v>#NAME?</v>
      </c>
      <c r="BM53" s="2" t="e">
        <f ca="1">_xll.BDH($C$53,"INVENTORY_SEQUENTIAL_GROWTH","FY 2014","FY 2014","Currency=INR","Period=FY","BEST_FPERIOD_OVERRIDE=FY","FILING_STATUS=OR","EQY_CONSOLIDATED=Y","Sort=A","Dates=H","DateFormat=P","Fill=—","Direction=H","UseDPDF=Y")</f>
        <v>#NAME?</v>
      </c>
      <c r="BN53" s="2" t="e">
        <f ca="1">_xll.BDH($C$53,"FIXED_ASSETS_SEQUENTIAL_GROWTH","FY 2014","FY 2014","Currency=INR","Period=FY","BEST_FPERIOD_OVERRIDE=FY","FILING_STATUS=OR","EQY_CONSOLIDATED=Y","Sort=A","Dates=H","DateFormat=P","Fill=—","Direction=H","UseDPDF=Y")</f>
        <v>#NAME?</v>
      </c>
      <c r="BO53" s="2" t="e">
        <f ca="1">_xll.BDH($C$53,"TOTAL_ASSETS_SEQUENTIAL_GROWTH","FY 2014","FY 2014","Currency=INR","Period=FY","BEST_FPERIOD_OVERRIDE=FY","FILING_STATUS=OR","EQY_CONSOLIDATED=Y","Sort=A","Dates=H","DateFormat=P","Fill=—","Direction=H","UseDPDF=Y")</f>
        <v>#NAME?</v>
      </c>
      <c r="BP53" s="2" t="e">
        <f ca="1">_xll.BDH($C$53,"MODIFIED_WORKING_CPTL_SEQ_GRWTH","FY 2014","FY 2014","Currency=INR","Period=FY","BEST_FPERIOD_OVERRIDE=FY","FILING_STATUS=OR","EQY_CONSOLIDATED=Y","Sort=A","Dates=H","DateFormat=P","Fill=—","Direction=H","UseDPDF=Y")</f>
        <v>#NAME?</v>
      </c>
      <c r="BQ53" s="2" t="e">
        <f ca="1">_xll.BDH($C$53,"WORKING_CAPITAL_SEQ_GROWTH","FY 2014","FY 2014","Currency=INR","Period=FY","BEST_FPERIOD_OVERRIDE=FY","FILING_STATUS=OR","EQY_CONSOLIDATED=Y","Sort=A","Dates=H","DateFormat=P","Fill=—","Direction=H","UseDPDF=Y")</f>
        <v>#NAME?</v>
      </c>
      <c r="BR53" s="2" t="e">
        <f ca="1">_xll.BDH($C$53,"ACCOUNTS_PAYABLE_SEQ_GROWTH","FY 2014","FY 2014","Currency=INR","Period=FY","BEST_FPERIOD_OVERRIDE=FY","FILING_STATUS=OR","EQY_CONSOLIDATED=Y","Sort=A","Dates=H","DateFormat=P","Fill=—","Direction=H","UseDPDF=Y")</f>
        <v>#NAME?</v>
      </c>
      <c r="BS53" s="2" t="e">
        <f ca="1">_xll.BDH($C$53,"ST_DEBT_SEQUENTIAL_GROWTH","FY 2014","FY 2014","Currency=INR","Period=FY","BEST_FPERIOD_OVERRIDE=FY","FILING_STATUS=OR","EQY_CONSOLIDATED=Y","Sort=A","Dates=H","DateFormat=P","Fill=—","Direction=H","UseDPDF=Y")</f>
        <v>#NAME?</v>
      </c>
      <c r="BT53" s="2" t="e">
        <f ca="1">_xll.BDH($C$53,"TOTAL_DEBT_SEQUENTIAL_GROWTH","FY 2014","FY 2014","Currency=INR","Period=FY","BEST_FPERIOD_OVERRIDE=FY","FILING_STATUS=OR","EQY_CONSOLIDATED=Y","Sort=A","Dates=H","DateFormat=P","Fill=—","Direction=H","UseDPDF=Y")</f>
        <v>#NAME?</v>
      </c>
      <c r="BU53" s="2" t="e">
        <f ca="1">_xll.BDH($C$53,"TOTAL_EQUITY_SEQUENTIAL_GROWTH","FY 2014","FY 2014","Currency=INR","Period=FY","BEST_FPERIOD_OVERRIDE=FY","FILING_STATUS=OR","EQY_CONSOLIDATED=Y","Sort=A","Dates=H","DateFormat=P","Fill=—","Direction=H","UseDPDF=Y")</f>
        <v>#NAME?</v>
      </c>
      <c r="BV53" s="2" t="e">
        <f ca="1">_xll.BDH($C$53,"TOTAL_CAPITAL_SEQUENTIAL_GROWTH","FY 2014","FY 2014","Currency=INR","Period=FY","BEST_FPERIOD_OVERRIDE=FY","FILING_STATUS=OR","EQY_CONSOLIDATED=Y","Sort=A","Dates=H","DateFormat=P","Fill=—","Direction=H","UseDPDF=Y")</f>
        <v>#NAME?</v>
      </c>
      <c r="BW53" s="2" t="e">
        <f ca="1">_xll.BDH($C$53,"BPS_SEQUENTIAL_GROWTH","FY 2014","FY 2014","Currency=INR","Period=FY","BEST_FPERIOD_OVERRIDE=FY","FILING_STATUS=OR","EQY_CONSOLIDATED=Y","Sort=A","Dates=H","DateFormat=P","Fill=—","Direction=H","UseDPDF=Y")</f>
        <v>#NAME?</v>
      </c>
      <c r="BX53" s="2" t="e">
        <f ca="1">_xll.BDH($C$53,"CFO_SEQUENTIAL_GROWTH","FY 2014","FY 2014","Currency=INR","Period=FY","BEST_FPERIOD_OVERRIDE=FY","FILING_STATUS=OR","EQY_CONSOLIDATED=Y","Sort=A","Dates=H","DateFormat=P","Fill=—","Direction=H","UseDPDF=Y")</f>
        <v>#NAME?</v>
      </c>
      <c r="BY53" s="3" t="e">
        <f ca="1">_xll.BDH($C$53,"SHORT_AND_LONG_TERM_DEBT","FY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53" s="3" t="e">
        <f ca="1">_xll.BDH($C$53,"BS_ST_BORROW","FY 2014","FY 2014","Currency=INR","Period=FY","BEST_FPERIOD_OVERRIDE=FY","FILING_STATUS=OR","EQY_CONSOLIDATED=Y","SCALING_FORMAT=MLN","Sort=A","Dates=H","DateFormat=P","Fill=—","Direction=H","UseDPDF=Y")</f>
        <v>#NAME?</v>
      </c>
      <c r="CA53" s="3" t="e">
        <f ca="1">_xll.BDH($C$53,"BS_LT_BORROW","FY 2014","FY 2014","Currency=INR","Period=FY","BEST_FPERIOD_OVERRIDE=FY","FILING_STATUS=OR","EQY_CONSOLIDATED=Y","SCALING_FORMAT=MLN","Sort=A","Dates=H","DateFormat=P","Fill=—","Direction=H","UseDPDF=Y")</f>
        <v>#NAME?</v>
      </c>
      <c r="CB53" s="2" t="e">
        <f ca="1">_xll.BDH($C$53,"TOT_DEBT_TO_EBITDA","FY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53" s="2" t="e">
        <f ca="1">_xll.BDH($C$53,"NET_DEBT_TO_EBITDA","FY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53" s="2" t="e">
        <f ca="1">_xll.BDH($C$53,"TOTAL_DEBT_TO_EBIT","FY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53" s="2" t="e">
        <f ca="1">_xll.BDH($C$53,"NET_DEBT_TO_EBIT","FY 2014","FY 2014","Currency=INR","Period=FY","BEST_FPERIOD_OVERRIDE=FY","FILING_STATUS=OR","EQY_CONSOLIDATED=Y","FA_ADJUSTED=GAAP","Sort=A","Dates=H","DateFormat=P","Fill=—","Direction=H","UseDPDF=Y")</f>
        <v>#NAME?</v>
      </c>
      <c r="CF53" s="2" t="e">
        <f ca="1">_xll.BDH($C$53,"EBITDA_TO_INTEREST_EXPN","FY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53" s="2" t="e">
        <f ca="1">_xll.BDH($C$53,"COM_EQY_TO_TOT_ASSET","FY 2014","FY 2014","Currency=INR","Period=FY","BEST_FPERIOD_OVERRIDE=FY","FILING_STATUS=OR","EQY_CONSOLIDATED=Y","Sort=A","Dates=H","DateFormat=P","Fill=—","Direction=H","UseDPDF=Y")</f>
        <v>#NAME?</v>
      </c>
      <c r="CH53" s="2" t="e">
        <f ca="1">_xll.BDH($C$53,"LT_DEBT_TO_TOT_EQY","FY 2014","FY 2014","Currency=INR","Period=FY","BEST_FPERIOD_OVERRIDE=FY","FILING_STATUS=OR","EQY_CONSOLIDATED=Y","Sort=A","Dates=H","DateFormat=P","Fill=—","Direction=H","UseDPDF=Y")</f>
        <v>#NAME?</v>
      </c>
      <c r="CI53" s="2" t="e">
        <f ca="1">_xll.BDH($C$53,"LT_DEBT_TO_TOT_CAP","FY 2014","FY 2014","Currency=INR","Period=FY","BEST_FPERIOD_OVERRIDE=FY","FILING_STATUS=OR","EQY_CONSOLIDATED=Y","Sort=A","Dates=H","DateFormat=P","Fill=—","Direction=H","UseDPDF=Y")</f>
        <v>#NAME?</v>
      </c>
      <c r="CJ53" s="2" t="e">
        <f ca="1">_xll.BDH($C$53,"LT_DEBT_TO_TOT_ASSET","FY 2014","FY 2014","Currency=INR","Period=FY","BEST_FPERIOD_OVERRIDE=FY","FILING_STATUS=OR","EQY_CONSOLIDATED=Y","Sort=A","Dates=H","DateFormat=P","Fill=—","Direction=H","UseDPDF=Y")</f>
        <v>#NAME?</v>
      </c>
      <c r="CK53" s="2" t="e">
        <f ca="1">_xll.BDH($C$53,"TOT_DEBT_TO_TOT_EQY","FY 2014","FY 2014","Currency=INR","Period=FY","BEST_FPERIOD_OVERRIDE=FY","FILING_STATUS=OR","EQY_CONSOLIDATED=Y","Sort=A","Dates=H","DateFormat=P","Fill=—","Direction=H","UseDPDF=Y")</f>
        <v>#NAME?</v>
      </c>
      <c r="CL53" s="2" t="e">
        <f ca="1">_xll.BDH($C$53,"TOT_DEBT_TO_TOT_CAP","FY 2014","FY 2014","Currency=INR","Period=FY","BEST_FPERIOD_OVERRIDE=FY","FILING_STATUS=OR","EQY_CONSOLIDATED=Y","Sort=A","Dates=H","DateFormat=P","Fill=—","Direction=H","UseDPDF=Y")</f>
        <v>#NAME?</v>
      </c>
      <c r="CM53" s="2" t="e">
        <f ca="1">_xll.BDH($C$53,"TOT_DEBT_TO_TOT_ASSET","FY 2014","FY 2014","Currency=INR","Period=FY","BEST_FPERIOD_OVERRIDE=FY","FILING_STATUS=OR","EQY_CONSOLIDATED=Y","Sort=A","Dates=H","DateFormat=P","Fill=—","Direction=H","UseDPDF=Y")</f>
        <v>#NAME?</v>
      </c>
      <c r="CN53" s="2" t="e">
        <f ca="1">_xll.BDH($C$53,"NET_DEBT_TO_SHRHLDR_EQTY","FY 2014","FY 2014","Currency=INR","Period=FY","BEST_FPERIOD_OVERRIDE=FY","FILING_STATUS=OR","EQY_CONSOLIDATED=Y","Sort=A","Dates=H","DateFormat=P","Fill=—","Direction=H","UseDPDF=Y")</f>
        <v>#NAME?</v>
      </c>
      <c r="CO53" s="2" t="e">
        <f ca="1">_xll.BDH($C$53,"NET_DEBT_%_CAPITAL","FY 2014","FY 2014","Currency=INR","Period=FY","BEST_FPERIOD_OVERRIDE=FY","FILING_STATUS=OR","EQY_CONSOLIDATED=Y","Sort=A","Dates=H","DateFormat=P","Fill=—","Direction=H","UseDPDF=Y")</f>
        <v>#NAME?</v>
      </c>
      <c r="CP53" s="3" t="e">
        <f ca="1">_xll.BDH($C$53,"EBITDA","FY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53" s="3" t="e">
        <f ca="1">_xll.BDH($C$53,"EBITDA_AFTER_CAPEX","FY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53" s="3" t="e">
        <f ca="1">_xll.BDH($C$53,"IS_OPER_INC","FY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53" s="2" t="e">
        <f ca="1">_xll.BDH($C$53,"CASH_RATIO","FY 2014","FY 2014","Currency=INR","Period=FY","BEST_FPERIOD_OVERRIDE=FY","FILING_STATUS=OR","EQY_CONSOLIDATED=Y","Sort=A","Dates=H","DateFormat=P","Fill=—","Direction=H","UseDPDF=Y")</f>
        <v>#NAME?</v>
      </c>
      <c r="CT53" s="2" t="e">
        <f ca="1">_xll.BDH($C$53,"CUR_RATIO","FY 2014","FY 2014","Currency=INR","Period=FY","BEST_FPERIOD_OVERRIDE=FY","FILING_STATUS=OR","EQY_CONSOLIDATED=Y","Sort=A","Dates=H","DateFormat=P","Fill=—","Direction=H","UseDPDF=Y")</f>
        <v>#NAME?</v>
      </c>
      <c r="CU53" s="2" t="e">
        <f ca="1">_xll.BDH($C$53,"QUICK_RATIO","FY 2014","FY 2014","Currency=INR","Period=FY","BEST_FPERIOD_OVERRIDE=FY","FILING_STATUS=OR","EQY_CONSOLIDATED=Y","Sort=A","Dates=H","DateFormat=P","Fill=—","Direction=H","UseDPDF=Y")</f>
        <v>#NAME?</v>
      </c>
      <c r="CV53" s="2" t="e">
        <f ca="1">_xll.BDH($C$53,"ALTMAN_Z_SCORE","FY 2014","FY 2014","Currency=INR","Period=FY","BEST_FPERIOD_OVERRIDE=FY","FILING_STATUS=OR","EQY_CONSOLIDATED=Y","Sort=A","Dates=H","DateFormat=P","Fill=—","Direction=H","UseDPDF=Y")</f>
        <v>#NAME?</v>
      </c>
      <c r="CW53" s="4" t="e">
        <f ca="1">_xll.BDH($C$53,"ACCT_RCV_TURN","FY 2014","FY 2014","Currency=INR","Period=FY","BEST_FPERIOD_OVERRIDE=FY","FILING_STATUS=OR","EQY_CONSOLIDATED=Y","FA_ADJUSTED=GAAP","Sort=A","Dates=H","DateFormat=P","Fill=—","Direction=H","UseDPDF=Y")</f>
        <v>#NAME?</v>
      </c>
      <c r="CX53" s="2" t="e">
        <f ca="1">_xll.BDH($C$53,"ACCT_RCV_DAYS","FY 2014","FY 2014","Currency=INR","Period=FY","BEST_FPERIOD_OVERRIDE=FY","FILING_STATUS=OR","EQY_CONSOLIDATED=Y","FA_ADJUSTED=GAAP","Sort=A","Dates=H","DateFormat=P","Fill=—","Direction=H","UseDPDF=Y")</f>
        <v>#NAME?</v>
      </c>
      <c r="CY53" s="4" t="e">
        <f ca="1">_xll.BDH($C$53,"INVENT_TURN","FY 2014","FY 2014","Currency=INR","Period=FY","BEST_FPERIOD_OVERRIDE=FY","FILING_STATUS=OR","EQY_CONSOLIDATED=Y","FA_ADJUSTED=GAAP","Sort=A","Dates=H","DateFormat=P","Fill=—","Direction=H","UseDPDF=Y")</f>
        <v>#NAME?</v>
      </c>
      <c r="CZ53" s="2" t="e">
        <f ca="1">_xll.BDH($C$53,"INVENT_DAYS","FY 2014","FY 2014","Currency=INR","Period=FY","BEST_FPERIOD_OVERRIDE=FY","FILING_STATUS=OR","EQY_CONSOLIDATED=Y","FA_ADJUSTED=GAAP","Sort=A","Dates=H","DateFormat=P","Fill=—","Direction=H","UseDPDF=Y")</f>
        <v>#NAME?</v>
      </c>
      <c r="DA53" s="4" t="e">
        <f ca="1">_xll.BDH($C$53,"ACCOUNTS_PAYABLE_TURNOVER","FY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53" s="2" t="e">
        <f ca="1">_xll.BDH($C$53,"ACCOUNTS_PAYABLE_TURNOVER_DAYS","FY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53" s="4" t="e">
        <f ca="1">_xll.BDH($C$53,"CASH_CONVERSION_CYCLE","FY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53" s="4" t="e">
        <f ca="1">_xll.BDH($C$53,"INV_TO_CASH_DAYS","FY 2014","FY 2014","Currency=INR","Period=FY","BEST_FPERIOD_OVERRIDE=FY","FILING_STATUS=OR","EQY_CONSOLIDATED=Y","FA_ADJUSTED=GAAP","Sort=A","Dates=H","DateFormat=P","Fill=—","Direction=H","UseDPDF=Y")</f>
        <v>#NAME?</v>
      </c>
      <c r="DE53" s="5" t="e">
        <f ca="1">_xll.BDH($C$53,"BS_INVENTORIES","FY 2014","FY 2014","Currency=INR","Period=FY","BEST_FPERIOD_OVERRIDE=FY","FILING_STATUS=OR","EQY_CONSOLIDATED=Y","SCALING_FORMAT=MLN","Sort=A","Dates=H","DateFormat=P","Fill=—","Direction=H","UseDPDF=Y")</f>
        <v>#NAME?</v>
      </c>
      <c r="DF53" s="3" t="e">
        <f ca="1">_xll.BDH($C$53,"INVTRY_RAW_MATERIALS","FY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53" s="3" t="e">
        <f ca="1">_xll.BDH($C$53,"INVTRY_IN_PROGRESS","FY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53" s="3" t="e">
        <f ca="1">_xll.BDH($C$53,"INVTRY_FINISHED_GOODS","FY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53" s="3" t="e">
        <f ca="1">_xll.BDH($C$53,"BS_OTHER_INV","FY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54" spans="1:113" x14ac:dyDescent="0.3">
      <c r="A54" s="6"/>
      <c r="B54" s="6"/>
      <c r="C54" s="6"/>
      <c r="D54" s="6"/>
      <c r="E54" t="s">
        <v>78</v>
      </c>
      <c r="F54" t="e">
        <f ca="1">_xll.BDH($C$53,"RETURN_COM_EQY","FQ1 2014","FQ1 2014","Currency=INR","Period=FQ","BEST_FPERIOD_OVERRIDE=FQ","FILING_STATUS=OR","EQY_CONSOLIDATED=Y","FA_ADJUSTED=GAAP","Sort=A","Dates=H","DateFormat=P","Fill=—","Direction=H","UseDPDF=Y")</f>
        <v>#NAME?</v>
      </c>
      <c r="G54" t="e">
        <f ca="1">_xll.BDH($C$53,"RETURN_ON_ASSET","FQ1 2014","FQ1 2014","Currency=INR","Period=FQ","BEST_FPERIOD_OVERRIDE=FQ","FILING_STATUS=OR","EQY_CONSOLIDATED=Y","FA_ADJUSTED=GAAP","Sort=A","Dates=H","DateFormat=P","Fill=—","Direction=H","UseDPDF=Y")</f>
        <v>#NAME?</v>
      </c>
      <c r="H54" t="e">
        <f ca="1">_xll.BDH($C$53,"RETURN_ON_CAP","FQ1 2014","FQ1 2014","Currency=INR","Period=FQ","BEST_FPERIOD_OVERRIDE=FQ","FILING_STATUS=OR","EQY_CONSOLIDATED=Y","FA_ADJUSTED=GAAP","Sort=A","Dates=H","DateFormat=P","Fill=—","Direction=H","UseDPDF=Y")</f>
        <v>#NAME?</v>
      </c>
      <c r="I54" t="e">
        <f ca="1">_xll.BDH($C$53,"RETURN_ON_INV_CAPITAL","FQ1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54" t="e">
        <f ca="1">_xll.BDH($C$53,"EBITDA_TO_REVENUE","FQ1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54" t="e">
        <f ca="1">_xll.BDH($C$53,"OPER_MARGIN","FQ1 2014","FQ1 2014","Currency=INR","Period=FQ","BEST_FPERIOD_OVERRIDE=FQ","FILING_STATUS=OR","EQY_CONSOLIDATED=Y","FA_ADJUSTED=GAAP","Sort=A","Dates=H","DateFormat=P","Fill=—","Direction=H","UseDPDF=Y")</f>
        <v>#NAME?</v>
      </c>
      <c r="L54" t="e">
        <f ca="1">_xll.BDH($C$53,"INCREMENTAL_OPERATING_MARGIN","FQ1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54" t="e">
        <f ca="1">_xll.BDH($C$53,"PRETAX_INC_TO_NET_SALES","FQ1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54" t="e">
        <f ca="1">_xll.BDH($C$53,"INC_BEF_XO_ITEMS_TO_NET_SALES","FQ1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54" t="e">
        <f ca="1">_xll.BDH($C$53,"PROF_MARGIN","FQ1 2014","FQ1 2014","Currency=INR","Period=FQ","BEST_FPERIOD_OVERRIDE=FQ","FILING_STATUS=OR","EQY_CONSOLIDATED=Y","FA_ADJUSTED=GAAP","Sort=A","Dates=H","DateFormat=P","Fill=—","Direction=H","UseDPDF=Y")</f>
        <v>#NAME?</v>
      </c>
      <c r="P54" t="e">
        <f ca="1">_xll.BDH($C$53,"NET_INCOME_TO_COMMON_MARGIN","FQ1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54" t="e">
        <f ca="1">_xll.BDH($C$53,"EFF_TAX_RATE","FQ1 2014","FQ1 2014","Currency=INR","Period=FQ","BEST_FPERIOD_OVERRIDE=FQ","FILING_STATUS=OR","EQY_CONSOLIDATED=Y","FA_ADJUSTED=GAAP","Sort=A","Dates=H","DateFormat=P","Fill=—","Direction=H","UseDPDF=Y")</f>
        <v>#NAME?</v>
      </c>
      <c r="R54" t="e">
        <f ca="1">_xll.BDH($C$53,"DVD_PAYOUT_RATIO","FQ1 2014","FQ1 2014","Currency=INR","Period=FQ","BEST_FPERIOD_OVERRIDE=FQ","FILING_STATUS=OR","EQY_CONSOLIDATED=Y","FA_ADJUSTED=GAAP","Sort=A","Dates=H","DateFormat=P","Fill=—","Direction=H","UseDPDF=Y")</f>
        <v>#NAME?</v>
      </c>
      <c r="S54" t="e">
        <f ca="1">_xll.BDH($C$53,"SUSTAIN_GROWTH_RT","FQ1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54" s="2" t="e">
        <f ca="1">_xll.BDH($C$53,"SALES_GROWTH","FQ1 2014","FQ1 2014","Currency=INR","Period=FQ","BEST_FPERIOD_OVERRIDE=FQ","FILING_STATUS=OR","EQY_CONSOLIDATED=Y","FA_ADJUSTED=GAAP","Sort=A","Dates=H","DateFormat=P","Fill=—","Direction=H","UseDPDF=Y")</f>
        <v>#NAME?</v>
      </c>
      <c r="U54" s="2" t="e">
        <f ca="1">_xll.BDH($C$53,"EBITDA_GROWTH","FQ1 2014","FQ1 2014","Currency=INR","Period=FQ","BEST_FPERIOD_OVERRIDE=FQ","FILING_STATUS=OR","EQY_CONSOLIDATED=Y","FA_ADJUSTED=GAAP","Sort=A","Dates=H","DateFormat=P","Fill=—","Direction=H","UseDPDF=Y")</f>
        <v>#NAME?</v>
      </c>
      <c r="V54" s="2" t="e">
        <f ca="1">_xll.BDH($C$53,"OPER_INC_GROWTH","FQ1 2014","FQ1 2014","Currency=INR","Period=FQ","BEST_FPERIOD_OVERRIDE=FQ","FILING_STATUS=OR","EQY_CONSOLIDATED=Y","FA_ADJUSTED=GAAP","Sort=A","Dates=H","DateFormat=P","Fill=—","Direction=H","UseDPDF=Y")</f>
        <v>#NAME?</v>
      </c>
      <c r="W54" s="2" t="e">
        <f ca="1">_xll.BDH($C$53,"EARN_FOR_COM_GROWTH","FQ1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54" s="2" t="e">
        <f ca="1">_xll.BDH($C$53,"DILUTED_EPS_AFT_XO_ITEMS_GROWTH","FQ1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54" s="2" t="e">
        <f ca="1">_xll.BDH($C$53,"DIVIDEND_PER_SHARE_1_YEAR_GROWTH","FQ1 2014","FQ1 2014","Currency=INR","Period=FQ","BEST_FPERIOD_OVERRIDE=FQ","FILING_STATUS=OR","EQY_CONSOLIDATED=Y","Sort=A","Dates=H","DateFormat=P","Fill=—","Direction=H","UseDPDF=Y")</f>
        <v>#NAME?</v>
      </c>
      <c r="Z54" s="2" t="e">
        <f ca="1">_xll.BDH($C$53,"ACCOUNTS_RECEIVABLE_GROWTH","FQ1 2014","FQ1 2014","Currency=INR","Period=FQ","BEST_FPERIOD_OVERRIDE=FQ","FILING_STATUS=OR","EQY_CONSOLIDATED=Y","Sort=A","Dates=H","DateFormat=P","Fill=—","Direction=H","UseDPDF=Y")</f>
        <v>#NAME?</v>
      </c>
      <c r="AA54" s="2" t="e">
        <f ca="1">_xll.BDH($C$53,"INVENTORY_GROWTH","FQ1 2014","FQ1 2014","Currency=INR","Period=FQ","BEST_FPERIOD_OVERRIDE=FQ","FILING_STATUS=OR","EQY_CONSOLIDATED=Y","Sort=A","Dates=H","DateFormat=P","Fill=—","Direction=H","UseDPDF=Y")</f>
        <v>#NAME?</v>
      </c>
      <c r="AB54" s="2" t="e">
        <f ca="1">_xll.BDH($C$53,"NET_FIXED_ASSETS_1_YEAR_GROWTH","FQ1 2014","FQ1 2014","Currency=INR","Period=FQ","BEST_FPERIOD_OVERRIDE=FQ","FILING_STATUS=OR","EQY_CONSOLIDATED=Y","Sort=A","Dates=H","DateFormat=P","Fill=—","Direction=H","UseDPDF=Y")</f>
        <v>#NAME?</v>
      </c>
      <c r="AC54" s="2" t="e">
        <f ca="1">_xll.BDH($C$53,"ASSET_GROWTH","FQ1 2014","FQ1 2014","Currency=INR","Period=FQ","BEST_FPERIOD_OVERRIDE=FQ","FILING_STATUS=OR","EQY_CONSOLIDATED=Y","Sort=A","Dates=H","DateFormat=P","Fill=—","Direction=H","UseDPDF=Y")</f>
        <v>#NAME?</v>
      </c>
      <c r="AD54" s="2" t="e">
        <f ca="1">_xll.BDH($C$53,"MODIFIED_WORK_CAP_GROWTH","FQ1 2014","FQ1 2014","Currency=INR","Period=FQ","BEST_FPERIOD_OVERRIDE=FQ","FILING_STATUS=OR","EQY_CONSOLIDATED=Y","Sort=A","Dates=H","DateFormat=P","Fill=—","Direction=H","UseDPDF=Y")</f>
        <v>#NAME?</v>
      </c>
      <c r="AE54" s="2" t="e">
        <f ca="1">_xll.BDH($C$53,"WORK_CAP_GROWTH","FQ1 2014","FQ1 2014","Currency=INR","Period=FQ","BEST_FPERIOD_OVERRIDE=FQ","FILING_STATUS=OR","EQY_CONSOLIDATED=Y","Sort=A","Dates=H","DateFormat=P","Fill=—","Direction=H","UseDPDF=Y")</f>
        <v>#NAME?</v>
      </c>
      <c r="AF54" s="2" t="e">
        <f ca="1">_xll.BDH($C$53,"ACCOUNTS_PAYABLE_GROWTH_1YR","FQ1 2014","FQ1 2014","Currency=INR","Period=FQ","BEST_FPERIOD_OVERRIDE=FQ","FILING_STATUS=OR","EQY_CONSOLIDATED=Y","Sort=A","Dates=H","DateFormat=P","Fill=—","Direction=H","UseDPDF=Y")</f>
        <v>#NAME?</v>
      </c>
      <c r="AG54" s="2" t="e">
        <f ca="1">_xll.BDH($C$53,"SHORT_TERM_DEBT_1_YEAR_GROWTH","FQ1 2014","FQ1 2014","Currency=INR","Period=FQ","BEST_FPERIOD_OVERRIDE=FQ","FILING_STATUS=OR","EQY_CONSOLIDATED=Y","Sort=A","Dates=H","DateFormat=P","Fill=—","Direction=H","UseDPDF=Y")</f>
        <v>#NAME?</v>
      </c>
      <c r="AH54" s="2" t="e">
        <f ca="1">_xll.BDH($C$53,"TOTAL_DEBT_1_YEAR_GROWTH","FQ1 2014","FQ1 2014","Currency=INR","Period=FQ","BEST_FPERIOD_OVERRIDE=FQ","FILING_STATUS=OR","EQY_CONSOLIDATED=Y","Sort=A","Dates=H","DateFormat=P","Fill=—","Direction=H","UseDPDF=Y")</f>
        <v>#NAME?</v>
      </c>
      <c r="AI54" s="2" t="e">
        <f ca="1">_xll.BDH($C$53,"TOTAL_EQUITY_1_YEAR_GROWTH","FQ1 2014","FQ1 2014","Currency=INR","Period=FQ","BEST_FPERIOD_OVERRIDE=FQ","FILING_STATUS=OR","EQY_CONSOLIDATED=Y","Sort=A","Dates=H","DateFormat=P","Fill=—","Direction=H","UseDPDF=Y")</f>
        <v>#NAME?</v>
      </c>
      <c r="AJ54" s="2" t="e">
        <f ca="1">_xll.BDH($C$53,"GROWTH_IN_CAP","FQ1 2014","FQ1 2014","Currency=INR","Period=FQ","BEST_FPERIOD_OVERRIDE=FQ","FILING_STATUS=OR","EQY_CONSOLIDATED=Y","Sort=A","Dates=H","DateFormat=P","Fill=—","Direction=H","UseDPDF=Y")</f>
        <v>#NAME?</v>
      </c>
      <c r="AK54" s="2" t="e">
        <f ca="1">_xll.BDH($C$53,"BVPS_GROWTH","FQ1 2014","FQ1 2014","Currency=INR","Period=FQ","BEST_FPERIOD_OVERRIDE=FQ","FILING_STATUS=OR","EQY_CONSOLIDATED=Y","Sort=A","Dates=H","DateFormat=P","Fill=—","Direction=H","UseDPDF=Y")</f>
        <v>#NAME?</v>
      </c>
      <c r="AL54" s="2" t="e">
        <f ca="1">_xll.BDH($C$53,"CASH_FLOW_GROWTH","FQ1 2014","FQ1 2014","Currency=INR","Period=FQ","BEST_FPERIOD_OVERRIDE=FQ","FILING_STATUS=OR","EQY_CONSOLIDATED=Y","Sort=A","Dates=H","DateFormat=P","Fill=—","Direction=H","UseDPDF=Y")</f>
        <v>#NAME?</v>
      </c>
      <c r="AM54" s="2" t="e">
        <f ca="1">_xll.BDH($C$53,"GEO_GROW_NET_SALES","FQ1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54" s="2" t="e">
        <f ca="1">_xll.BDH($C$53,"GEO_GROW_EBITDA","FQ1 2014","FQ1 2014","Currency=INR","Period=FQ","BEST_FPERIOD_OVERRIDE=FQ","FILING_STATUS=OR","EQY_CONSOLIDATED=Y","FA_ADJUSTED=GAAP","Sort=A","Dates=H","DateFormat=P","Fill=—","Direction=H","UseDPDF=Y")</f>
        <v>#NAME?</v>
      </c>
      <c r="AO54" s="2" t="e">
        <f ca="1">_xll.BDH($C$53,"GEO_GROW_OPER_INC","FQ1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54" s="2" t="e">
        <f ca="1">_xll.BDH($C$53,"NET_INCOME_TO_COMMON_5_YR_GROWTH","FQ1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54" s="2" t="e">
        <f ca="1">_xll.BDH($C$53,"5Y_GEO_GROWTH_DILUTED_EPS","FQ1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54" s="2" t="e">
        <f ca="1">_xll.BDH($C$53,"GEO_GROW_DVD_PER_SH","FQ1 2014","FQ1 2014","Currency=INR","Period=FQ","BEST_FPERIOD_OVERRIDE=FQ","FILING_STATUS=OR","EQY_CONSOLIDATED=Y","Sort=A","Dates=H","DateFormat=P","Fill=—","Direction=H","UseDPDF=Y")</f>
        <v>#NAME?</v>
      </c>
      <c r="AS54" s="2" t="e">
        <f ca="1">_xll.BDH($C$53,"ACCOUNTS_RECEIVABLE_5_YR_GROWTH","FQ1 2014","FQ1 2014","Currency=INR","Period=FQ","BEST_FPERIOD_OVERRIDE=FQ","FILING_STATUS=OR","EQY_CONSOLIDATED=Y","Sort=A","Dates=H","DateFormat=P","Fill=—","Direction=H","UseDPDF=Y")</f>
        <v>#NAME?</v>
      </c>
      <c r="AT54" s="2" t="e">
        <f ca="1">_xll.BDH($C$53,"INVENTORY_5_YEAR_GROWTH","FQ1 2014","FQ1 2014","Currency=INR","Period=FQ","BEST_FPERIOD_OVERRIDE=FQ","FILING_STATUS=OR","EQY_CONSOLIDATED=Y","Sort=A","Dates=H","DateFormat=P","Fill=—","Direction=H","UseDPDF=Y")</f>
        <v>#NAME?</v>
      </c>
      <c r="AU54" s="2" t="e">
        <f ca="1">_xll.BDH($C$53,"NET_FIXED_ASSETS_5_YEAR_GROWTH","FQ1 2014","FQ1 2014","Currency=INR","Period=FQ","BEST_FPERIOD_OVERRIDE=FQ","FILING_STATUS=OR","EQY_CONSOLIDATED=Y","Sort=A","Dates=H","DateFormat=P","Fill=—","Direction=H","UseDPDF=Y")</f>
        <v>#NAME?</v>
      </c>
      <c r="AV54" s="2" t="e">
        <f ca="1">_xll.BDH($C$53,"GEO_GROW_TOT_ASSET","FQ1 2014","FQ1 2014","Currency=INR","Period=FQ","BEST_FPERIOD_OVERRIDE=FQ","FILING_STATUS=OR","EQY_CONSOLIDATED=Y","Sort=A","Dates=H","DateFormat=P","Fill=—","Direction=H","UseDPDF=Y")</f>
        <v>#NAME?</v>
      </c>
      <c r="AW54" s="2" t="e">
        <f ca="1">_xll.BDH($C$53,"MODIFIED_WORKING_CPTL_5YR_GRWTH","FQ1 2014","FQ1 2014","Currency=INR","Period=FQ","BEST_FPERIOD_OVERRIDE=FQ","FILING_STATUS=OR","EQY_CONSOLIDATED=Y","Sort=A","Dates=H","DateFormat=P","Fill=—","Direction=H","UseDPDF=Y")</f>
        <v>#NAME?</v>
      </c>
      <c r="AX54" s="2" t="e">
        <f ca="1">_xll.BDH($C$53,"WORKING_CAPITAL_5_YEAR_GROWTH","FQ1 2014","FQ1 2014","Currency=INR","Period=FQ","BEST_FPERIOD_OVERRIDE=FQ","FILING_STATUS=OR","EQY_CONSOLIDATED=Y","Sort=A","Dates=H","DateFormat=P","Fill=—","Direction=H","UseDPDF=Y")</f>
        <v>#NAME?</v>
      </c>
      <c r="AY54" s="2" t="e">
        <f ca="1">_xll.BDH($C$53,"ACCOUNTS_PAYABLE_5_YEAR_GROWTH","FQ1 2014","FQ1 2014","Currency=INR","Period=FQ","BEST_FPERIOD_OVERRIDE=FQ","FILING_STATUS=OR","EQY_CONSOLIDATED=Y","Sort=A","Dates=H","DateFormat=P","Fill=—","Direction=H","UseDPDF=Y")</f>
        <v>#NAME?</v>
      </c>
      <c r="AZ54" s="2" t="e">
        <f ca="1">_xll.BDH($C$53,"SHORT_TERM_DEBT_5_YEAR_GROWTH","FQ1 2014","FQ1 2014","Currency=INR","Period=FQ","BEST_FPERIOD_OVERRIDE=FQ","FILING_STATUS=OR","EQY_CONSOLIDATED=Y","Sort=A","Dates=H","DateFormat=P","Fill=—","Direction=H","UseDPDF=Y")</f>
        <v>#NAME?</v>
      </c>
      <c r="BA54" s="2" t="e">
        <f ca="1">_xll.BDH($C$53,"TOTAL_DEBT_5_YEAR_GROWTH","FQ1 2014","FQ1 2014","Currency=INR","Period=FQ","BEST_FPERIOD_OVERRIDE=FQ","FILING_STATUS=OR","EQY_CONSOLIDATED=Y","Sort=A","Dates=H","DateFormat=P","Fill=—","Direction=H","UseDPDF=Y")</f>
        <v>#NAME?</v>
      </c>
      <c r="BB54" s="2" t="e">
        <f ca="1">_xll.BDH($C$53,"GEO_GROW_TOT_SHRHLDR_EQY","FQ1 2014","FQ1 2014","Currency=INR","Period=FQ","BEST_FPERIOD_OVERRIDE=FQ","FILING_STATUS=OR","EQY_CONSOLIDATED=Y","Sort=A","Dates=H","DateFormat=P","Fill=—","Direction=H","UseDPDF=Y")</f>
        <v>#NAME?</v>
      </c>
      <c r="BC54" s="2" t="e">
        <f ca="1">_xll.BDH($C$53,"TOTAL_CAPITAL_5_YEAR_GROWTH","FQ1 2014","FQ1 2014","Currency=INR","Period=FQ","BEST_FPERIOD_OVERRIDE=FQ","FILING_STATUS=OR","EQY_CONSOLIDATED=Y","Sort=A","Dates=H","DateFormat=P","Fill=—","Direction=H","UseDPDF=Y")</f>
        <v>#NAME?</v>
      </c>
      <c r="BD54" s="2" t="e">
        <f ca="1">_xll.BDH($C$53,"GEO_GROW_BOOK_VAL","FQ1 2014","FQ1 2014","Currency=INR","Period=FQ","BEST_FPERIOD_OVERRIDE=FQ","FILING_STATUS=OR","EQY_CONSOLIDATED=Y","Sort=A","Dates=H","DateFormat=P","Fill=—","Direction=H","UseDPDF=Y")</f>
        <v>#NAME?</v>
      </c>
      <c r="BE54" s="2" t="e">
        <f ca="1">_xll.BDH($C$53,"GEO_GROW_CASH_OPER_ACT","FQ1 2014","FQ1 2014","Currency=INR","Period=FQ","BEST_FPERIOD_OVERRIDE=FQ","FILING_STATUS=OR","EQY_CONSOLIDATED=Y","Sort=A","Dates=H","DateFormat=P","Fill=—","Direction=H","UseDPDF=Y")</f>
        <v>#NAME?</v>
      </c>
      <c r="BF54" s="2" t="e">
        <f ca="1">_xll.BDH($C$53,"REVENUE_SEQUENTIAL_GROWTH","FQ1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54" s="2" t="e">
        <f ca="1">_xll.BDH($C$53,"EBITDA_SEQUENTIAL_GROWTH","FQ1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54" s="2" t="e">
        <f ca="1">_xll.BDH($C$53,"OPERATING_INCOME_SEQ_GROWTH","FQ1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54" s="2" t="e">
        <f ca="1">_xll.BDH($C$53,"NET_INCOME_TO_COMMON_SEQ_GROWTH","FQ1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54" s="2" t="e">
        <f ca="1">_xll.BDH($C$53,"EPS_DILUTED_SEQUENTIAL_GROWTH","FQ1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54" s="2" t="e">
        <f ca="1">_xll.BDH($C$53,"DPS_SEQUENTIAL_GROWTH","FQ1 2014","FQ1 2014","Currency=INR","Period=FQ","BEST_FPERIOD_OVERRIDE=FQ","FILING_STATUS=OR","EQY_CONSOLIDATED=Y","Sort=A","Dates=H","DateFormat=P","Fill=—","Direction=H","UseDPDF=Y")</f>
        <v>#NAME?</v>
      </c>
      <c r="BL54" s="2" t="e">
        <f ca="1">_xll.BDH($C$53,"ACCOUNTS_RECEIVABLE_SEQ_GROWTH","FQ1 2014","FQ1 2014","Currency=INR","Period=FQ","BEST_FPERIOD_OVERRIDE=FQ","FILING_STATUS=OR","EQY_CONSOLIDATED=Y","Sort=A","Dates=H","DateFormat=P","Fill=—","Direction=H","UseDPDF=Y")</f>
        <v>#NAME?</v>
      </c>
      <c r="BM54" s="2" t="e">
        <f ca="1">_xll.BDH($C$53,"INVENTORY_SEQUENTIAL_GROWTH","FQ1 2014","FQ1 2014","Currency=INR","Period=FQ","BEST_FPERIOD_OVERRIDE=FQ","FILING_STATUS=OR","EQY_CONSOLIDATED=Y","Sort=A","Dates=H","DateFormat=P","Fill=—","Direction=H","UseDPDF=Y")</f>
        <v>#NAME?</v>
      </c>
      <c r="BN54" s="2" t="e">
        <f ca="1">_xll.BDH($C$53,"FIXED_ASSETS_SEQUENTIAL_GROWTH","FQ1 2014","FQ1 2014","Currency=INR","Period=FQ","BEST_FPERIOD_OVERRIDE=FQ","FILING_STATUS=OR","EQY_CONSOLIDATED=Y","Sort=A","Dates=H","DateFormat=P","Fill=—","Direction=H","UseDPDF=Y")</f>
        <v>#NAME?</v>
      </c>
      <c r="BO54" s="2" t="e">
        <f ca="1">_xll.BDH($C$53,"TOTAL_ASSETS_SEQUENTIAL_GROWTH","FQ1 2014","FQ1 2014","Currency=INR","Period=FQ","BEST_FPERIOD_OVERRIDE=FQ","FILING_STATUS=OR","EQY_CONSOLIDATED=Y","Sort=A","Dates=H","DateFormat=P","Fill=—","Direction=H","UseDPDF=Y")</f>
        <v>#NAME?</v>
      </c>
      <c r="BP54" s="2" t="e">
        <f ca="1">_xll.BDH($C$53,"MODIFIED_WORKING_CPTL_SEQ_GRWTH","FQ1 2014","FQ1 2014","Currency=INR","Period=FQ","BEST_FPERIOD_OVERRIDE=FQ","FILING_STATUS=OR","EQY_CONSOLIDATED=Y","Sort=A","Dates=H","DateFormat=P","Fill=—","Direction=H","UseDPDF=Y")</f>
        <v>#NAME?</v>
      </c>
      <c r="BQ54" s="2" t="e">
        <f ca="1">_xll.BDH($C$53,"WORKING_CAPITAL_SEQ_GROWTH","FQ1 2014","FQ1 2014","Currency=INR","Period=FQ","BEST_FPERIOD_OVERRIDE=FQ","FILING_STATUS=OR","EQY_CONSOLIDATED=Y","Sort=A","Dates=H","DateFormat=P","Fill=—","Direction=H","UseDPDF=Y")</f>
        <v>#NAME?</v>
      </c>
      <c r="BR54" s="2" t="e">
        <f ca="1">_xll.BDH($C$53,"ACCOUNTS_PAYABLE_SEQ_GROWTH","FQ1 2014","FQ1 2014","Currency=INR","Period=FQ","BEST_FPERIOD_OVERRIDE=FQ","FILING_STATUS=OR","EQY_CONSOLIDATED=Y","Sort=A","Dates=H","DateFormat=P","Fill=—","Direction=H","UseDPDF=Y")</f>
        <v>#NAME?</v>
      </c>
      <c r="BS54" s="2" t="e">
        <f ca="1">_xll.BDH($C$53,"ST_DEBT_SEQUENTIAL_GROWTH","FQ1 2014","FQ1 2014","Currency=INR","Period=FQ","BEST_FPERIOD_OVERRIDE=FQ","FILING_STATUS=OR","EQY_CONSOLIDATED=Y","Sort=A","Dates=H","DateFormat=P","Fill=—","Direction=H","UseDPDF=Y")</f>
        <v>#NAME?</v>
      </c>
      <c r="BT54" s="2" t="e">
        <f ca="1">_xll.BDH($C$53,"TOTAL_DEBT_SEQUENTIAL_GROWTH","FQ1 2014","FQ1 2014","Currency=INR","Period=FQ","BEST_FPERIOD_OVERRIDE=FQ","FILING_STATUS=OR","EQY_CONSOLIDATED=Y","Sort=A","Dates=H","DateFormat=P","Fill=—","Direction=H","UseDPDF=Y")</f>
        <v>#NAME?</v>
      </c>
      <c r="BU54" s="2" t="e">
        <f ca="1">_xll.BDH($C$53,"TOTAL_EQUITY_SEQUENTIAL_GROWTH","FQ1 2014","FQ1 2014","Currency=INR","Period=FQ","BEST_FPERIOD_OVERRIDE=FQ","FILING_STATUS=OR","EQY_CONSOLIDATED=Y","Sort=A","Dates=H","DateFormat=P","Fill=—","Direction=H","UseDPDF=Y")</f>
        <v>#NAME?</v>
      </c>
      <c r="BV54" s="2" t="e">
        <f ca="1">_xll.BDH($C$53,"TOTAL_CAPITAL_SEQUENTIAL_GROWTH","FQ1 2014","FQ1 2014","Currency=INR","Period=FQ","BEST_FPERIOD_OVERRIDE=FQ","FILING_STATUS=OR","EQY_CONSOLIDATED=Y","Sort=A","Dates=H","DateFormat=P","Fill=—","Direction=H","UseDPDF=Y")</f>
        <v>#NAME?</v>
      </c>
      <c r="BW54" s="2" t="e">
        <f ca="1">_xll.BDH($C$53,"BPS_SEQUENTIAL_GROWTH","FQ1 2014","FQ1 2014","Currency=INR","Period=FQ","BEST_FPERIOD_OVERRIDE=FQ","FILING_STATUS=OR","EQY_CONSOLIDATED=Y","Sort=A","Dates=H","DateFormat=P","Fill=—","Direction=H","UseDPDF=Y")</f>
        <v>#NAME?</v>
      </c>
      <c r="BX54" s="2" t="e">
        <f ca="1">_xll.BDH($C$53,"CFO_SEQUENTIAL_GROWTH","FQ1 2014","FQ1 2014","Currency=INR","Period=FQ","BEST_FPERIOD_OVERRIDE=FQ","FILING_STATUS=OR","EQY_CONSOLIDATED=Y","Sort=A","Dates=H","DateFormat=P","Fill=—","Direction=H","UseDPDF=Y")</f>
        <v>#NAME?</v>
      </c>
      <c r="BY54" s="3" t="e">
        <f ca="1">_xll.BDH($C$53,"SHORT_AND_LONG_TERM_DEBT","FQ1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54" s="3" t="e">
        <f ca="1">_xll.BDH($C$53,"BS_ST_BORROW","FQ1 2014","FQ1 2014","Currency=INR","Period=FQ","BEST_FPERIOD_OVERRIDE=FQ","FILING_STATUS=OR","EQY_CONSOLIDATED=Y","SCALING_FORMAT=MLN","Sort=A","Dates=H","DateFormat=P","Fill=—","Direction=H","UseDPDF=Y")</f>
        <v>#NAME?</v>
      </c>
      <c r="CA54" s="3" t="e">
        <f ca="1">_xll.BDH($C$53,"BS_LT_BORROW","FQ1 2014","FQ1 2014","Currency=INR","Period=FQ","BEST_FPERIOD_OVERRIDE=FQ","FILING_STATUS=OR","EQY_CONSOLIDATED=Y","SCALING_FORMAT=MLN","Sort=A","Dates=H","DateFormat=P","Fill=—","Direction=H","UseDPDF=Y")</f>
        <v>#NAME?</v>
      </c>
      <c r="CB54" s="2" t="e">
        <f ca="1">_xll.BDH($C$53,"TOT_DEBT_TO_EBITDA","FQ1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54" s="2" t="e">
        <f ca="1">_xll.BDH($C$53,"NET_DEBT_TO_EBITDA","FQ1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54" s="2" t="e">
        <f ca="1">_xll.BDH($C$53,"TOTAL_DEBT_TO_EBIT","FQ1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54" s="2" t="e">
        <f ca="1">_xll.BDH($C$53,"NET_DEBT_TO_EBIT","FQ1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54" s="2" t="e">
        <f ca="1">_xll.BDH($C$53,"EBITDA_TO_INTEREST_EXPN","FQ1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54" s="2" t="e">
        <f ca="1">_xll.BDH($C$53,"COM_EQY_TO_TOT_ASSET","FQ1 2014","FQ1 2014","Currency=INR","Period=FQ","BEST_FPERIOD_OVERRIDE=FQ","FILING_STATUS=OR","EQY_CONSOLIDATED=Y","Sort=A","Dates=H","DateFormat=P","Fill=—","Direction=H","UseDPDF=Y")</f>
        <v>#NAME?</v>
      </c>
      <c r="CH54" s="2" t="e">
        <f ca="1">_xll.BDH($C$53,"LT_DEBT_TO_TOT_EQY","FQ1 2014","FQ1 2014","Currency=INR","Period=FQ","BEST_FPERIOD_OVERRIDE=FQ","FILING_STATUS=OR","EQY_CONSOLIDATED=Y","Sort=A","Dates=H","DateFormat=P","Fill=—","Direction=H","UseDPDF=Y")</f>
        <v>#NAME?</v>
      </c>
      <c r="CI54" s="2" t="e">
        <f ca="1">_xll.BDH($C$53,"LT_DEBT_TO_TOT_CAP","FQ1 2014","FQ1 2014","Currency=INR","Period=FQ","BEST_FPERIOD_OVERRIDE=FQ","FILING_STATUS=OR","EQY_CONSOLIDATED=Y","Sort=A","Dates=H","DateFormat=P","Fill=—","Direction=H","UseDPDF=Y")</f>
        <v>#NAME?</v>
      </c>
      <c r="CJ54" s="2" t="e">
        <f ca="1">_xll.BDH($C$53,"LT_DEBT_TO_TOT_ASSET","FQ1 2014","FQ1 2014","Currency=INR","Period=FQ","BEST_FPERIOD_OVERRIDE=FQ","FILING_STATUS=OR","EQY_CONSOLIDATED=Y","Sort=A","Dates=H","DateFormat=P","Fill=—","Direction=H","UseDPDF=Y")</f>
        <v>#NAME?</v>
      </c>
      <c r="CK54" s="2" t="e">
        <f ca="1">_xll.BDH($C$53,"TOT_DEBT_TO_TOT_EQY","FQ1 2014","FQ1 2014","Currency=INR","Period=FQ","BEST_FPERIOD_OVERRIDE=FQ","FILING_STATUS=OR","EQY_CONSOLIDATED=Y","Sort=A","Dates=H","DateFormat=P","Fill=—","Direction=H","UseDPDF=Y")</f>
        <v>#NAME?</v>
      </c>
      <c r="CL54" s="2" t="e">
        <f ca="1">_xll.BDH($C$53,"TOT_DEBT_TO_TOT_CAP","FQ1 2014","FQ1 2014","Currency=INR","Period=FQ","BEST_FPERIOD_OVERRIDE=FQ","FILING_STATUS=OR","EQY_CONSOLIDATED=Y","Sort=A","Dates=H","DateFormat=P","Fill=—","Direction=H","UseDPDF=Y")</f>
        <v>#NAME?</v>
      </c>
      <c r="CM54" s="2" t="e">
        <f ca="1">_xll.BDH($C$53,"TOT_DEBT_TO_TOT_ASSET","FQ1 2014","FQ1 2014","Currency=INR","Period=FQ","BEST_FPERIOD_OVERRIDE=FQ","FILING_STATUS=OR","EQY_CONSOLIDATED=Y","Sort=A","Dates=H","DateFormat=P","Fill=—","Direction=H","UseDPDF=Y")</f>
        <v>#NAME?</v>
      </c>
      <c r="CN54" s="2" t="e">
        <f ca="1">_xll.BDH($C$53,"NET_DEBT_TO_SHRHLDR_EQTY","FQ1 2014","FQ1 2014","Currency=INR","Period=FQ","BEST_FPERIOD_OVERRIDE=FQ","FILING_STATUS=OR","EQY_CONSOLIDATED=Y","Sort=A","Dates=H","DateFormat=P","Fill=—","Direction=H","UseDPDF=Y")</f>
        <v>#NAME?</v>
      </c>
      <c r="CO54" s="2" t="e">
        <f ca="1">_xll.BDH($C$53,"NET_DEBT_%_CAPITAL","FQ1 2014","FQ1 2014","Currency=INR","Period=FQ","BEST_FPERIOD_OVERRIDE=FQ","FILING_STATUS=OR","EQY_CONSOLIDATED=Y","Sort=A","Dates=H","DateFormat=P","Fill=—","Direction=H","UseDPDF=Y")</f>
        <v>#NAME?</v>
      </c>
      <c r="CP54" s="3" t="e">
        <f ca="1">_xll.BDH($C$53,"EBITDA","FQ1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54" s="3" t="e">
        <f ca="1">_xll.BDH($C$53,"EBITDA_AFTER_CAPEX","FQ1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54" s="3" t="e">
        <f ca="1">_xll.BDH($C$53,"IS_OPER_INC","FQ1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54" s="2" t="e">
        <f ca="1">_xll.BDH($C$53,"CASH_RATIO","FQ1 2014","FQ1 2014","Currency=INR","Period=FQ","BEST_FPERIOD_OVERRIDE=FQ","FILING_STATUS=OR","EQY_CONSOLIDATED=Y","Sort=A","Dates=H","DateFormat=P","Fill=—","Direction=H","UseDPDF=Y")</f>
        <v>#NAME?</v>
      </c>
      <c r="CT54" s="2" t="e">
        <f ca="1">_xll.BDH($C$53,"CUR_RATIO","FQ1 2014","FQ1 2014","Currency=INR","Period=FQ","BEST_FPERIOD_OVERRIDE=FQ","FILING_STATUS=OR","EQY_CONSOLIDATED=Y","Sort=A","Dates=H","DateFormat=P","Fill=—","Direction=H","UseDPDF=Y")</f>
        <v>#NAME?</v>
      </c>
      <c r="CU54" s="2" t="e">
        <f ca="1">_xll.BDH($C$53,"QUICK_RATIO","FQ1 2014","FQ1 2014","Currency=INR","Period=FQ","BEST_FPERIOD_OVERRIDE=FQ","FILING_STATUS=OR","EQY_CONSOLIDATED=Y","Sort=A","Dates=H","DateFormat=P","Fill=—","Direction=H","UseDPDF=Y")</f>
        <v>#NAME?</v>
      </c>
      <c r="CV54" s="2" t="e">
        <f ca="1">_xll.BDH($C$53,"ALTMAN_Z_SCORE","FQ1 2014","FQ1 2014","Currency=INR","Period=FQ","BEST_FPERIOD_OVERRIDE=FQ","FILING_STATUS=OR","EQY_CONSOLIDATED=Y","Sort=A","Dates=H","DateFormat=P","Fill=—","Direction=H","UseDPDF=Y")</f>
        <v>#NAME?</v>
      </c>
      <c r="CW54" s="4" t="e">
        <f ca="1">_xll.BDH($C$53,"ACCT_RCV_TURN","FQ1 2014","FQ1 2014","Currency=INR","Period=FQ","BEST_FPERIOD_OVERRIDE=FQ","FILING_STATUS=OR","EQY_CONSOLIDATED=Y","FA_ADJUSTED=GAAP","Sort=A","Dates=H","DateFormat=P","Fill=—","Direction=H","UseDPDF=Y")</f>
        <v>#NAME?</v>
      </c>
      <c r="CX54" s="2" t="e">
        <f ca="1">_xll.BDH($C$53,"ACCT_RCV_DAYS","FQ1 2014","FQ1 2014","Currency=INR","Period=FQ","BEST_FPERIOD_OVERRIDE=FQ","FILING_STATUS=OR","EQY_CONSOLIDATED=Y","FA_ADJUSTED=GAAP","Sort=A","Dates=H","DateFormat=P","Fill=—","Direction=H","UseDPDF=Y")</f>
        <v>#NAME?</v>
      </c>
      <c r="CY54" s="4" t="e">
        <f ca="1">_xll.BDH($C$53,"INVENT_TURN","FQ1 2014","FQ1 2014","Currency=INR","Period=FQ","BEST_FPERIOD_OVERRIDE=FQ","FILING_STATUS=OR","EQY_CONSOLIDATED=Y","FA_ADJUSTED=GAAP","Sort=A","Dates=H","DateFormat=P","Fill=—","Direction=H","UseDPDF=Y")</f>
        <v>#NAME?</v>
      </c>
      <c r="CZ54" s="2" t="e">
        <f ca="1">_xll.BDH($C$53,"INVENT_DAYS","FQ1 2014","FQ1 2014","Currency=INR","Period=FQ","BEST_FPERIOD_OVERRIDE=FQ","FILING_STATUS=OR","EQY_CONSOLIDATED=Y","FA_ADJUSTED=GAAP","Sort=A","Dates=H","DateFormat=P","Fill=—","Direction=H","UseDPDF=Y")</f>
        <v>#NAME?</v>
      </c>
      <c r="DA54" s="4" t="e">
        <f ca="1">_xll.BDH($C$53,"ACCOUNTS_PAYABLE_TURNOVER","FQ1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54" s="2" t="e">
        <f ca="1">_xll.BDH($C$53,"ACCOUNTS_PAYABLE_TURNOVER_DAYS","FQ1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54" s="4" t="e">
        <f ca="1">_xll.BDH($C$53,"CASH_CONVERSION_CYCLE","FQ1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54" s="4" t="e">
        <f ca="1">_xll.BDH($C$53,"INV_TO_CASH_DAYS","FQ1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54" s="5" t="e">
        <f ca="1">_xll.BDH($C$53,"BS_INVENTORIES","FQ1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54" s="3" t="e">
        <f ca="1">_xll.BDH($C$53,"INVTRY_RAW_MATERIALS","FQ1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54" s="3" t="e">
        <f ca="1">_xll.BDH($C$53,"INVTRY_IN_PROGRESS","FQ1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54" s="3" t="e">
        <f ca="1">_xll.BDH($C$53,"INVTRY_FINISHED_GOODS","FQ1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54" s="3" t="e">
        <f ca="1">_xll.BDH($C$53,"BS_OTHER_INV","FQ1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5" spans="1:113" x14ac:dyDescent="0.3">
      <c r="A55" s="6"/>
      <c r="B55" s="6"/>
      <c r="C55" s="6"/>
      <c r="D55" s="6"/>
      <c r="E55" t="s">
        <v>79</v>
      </c>
      <c r="F55" t="e">
        <f ca="1">_xll.BDH($C$53,"RETURN_COM_EQY","FQ2 2014","FQ2 2014","Currency=INR","Period=FQ","BEST_FPERIOD_OVERRIDE=FQ","FILING_STATUS=OR","EQY_CONSOLIDATED=Y","FA_ADJUSTED=GAAP","Sort=A","Dates=H","DateFormat=P","Fill=—","Direction=H","UseDPDF=Y")</f>
        <v>#NAME?</v>
      </c>
      <c r="G55" t="e">
        <f ca="1">_xll.BDH($C$53,"RETURN_ON_ASSET","FQ2 2014","FQ2 2014","Currency=INR","Period=FQ","BEST_FPERIOD_OVERRIDE=FQ","FILING_STATUS=OR","EQY_CONSOLIDATED=Y","FA_ADJUSTED=GAAP","Sort=A","Dates=H","DateFormat=P","Fill=—","Direction=H","UseDPDF=Y")</f>
        <v>#NAME?</v>
      </c>
      <c r="H55" t="e">
        <f ca="1">_xll.BDH($C$53,"RETURN_ON_CAP","FQ2 2014","FQ2 2014","Currency=INR","Period=FQ","BEST_FPERIOD_OVERRIDE=FQ","FILING_STATUS=OR","EQY_CONSOLIDATED=Y","FA_ADJUSTED=GAAP","Sort=A","Dates=H","DateFormat=P","Fill=—","Direction=H","UseDPDF=Y")</f>
        <v>#NAME?</v>
      </c>
      <c r="I55" t="e">
        <f ca="1">_xll.BDH($C$53,"RETURN_ON_INV_CAPITAL","FQ2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5" t="e">
        <f ca="1">_xll.BDH($C$53,"EBITDA_TO_REVENUE","FQ2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55" t="e">
        <f ca="1">_xll.BDH($C$53,"OPER_MARGIN","FQ2 2014","FQ2 2014","Currency=INR","Period=FQ","BEST_FPERIOD_OVERRIDE=FQ","FILING_STATUS=OR","EQY_CONSOLIDATED=Y","FA_ADJUSTED=GAAP","Sort=A","Dates=H","DateFormat=P","Fill=—","Direction=H","UseDPDF=Y")</f>
        <v>#NAME?</v>
      </c>
      <c r="L55" t="e">
        <f ca="1">_xll.BDH($C$53,"INCREMENTAL_OPERATING_MARGIN","FQ2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5" t="e">
        <f ca="1">_xll.BDH($C$53,"PRETAX_INC_TO_NET_SALES","FQ2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5" t="e">
        <f ca="1">_xll.BDH($C$53,"INC_BEF_XO_ITEMS_TO_NET_SALES","FQ2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5" t="e">
        <f ca="1">_xll.BDH($C$53,"PROF_MARGIN","FQ2 2014","FQ2 2014","Currency=INR","Period=FQ","BEST_FPERIOD_OVERRIDE=FQ","FILING_STATUS=OR","EQY_CONSOLIDATED=Y","FA_ADJUSTED=GAAP","Sort=A","Dates=H","DateFormat=P","Fill=—","Direction=H","UseDPDF=Y")</f>
        <v>#NAME?</v>
      </c>
      <c r="P55" t="e">
        <f ca="1">_xll.BDH($C$53,"NET_INCOME_TO_COMMON_MARGIN","FQ2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5" t="e">
        <f ca="1">_xll.BDH($C$53,"EFF_TAX_RATE","FQ2 2014","FQ2 2014","Currency=INR","Period=FQ","BEST_FPERIOD_OVERRIDE=FQ","FILING_STATUS=OR","EQY_CONSOLIDATED=Y","FA_ADJUSTED=GAAP","Sort=A","Dates=H","DateFormat=P","Fill=—","Direction=H","UseDPDF=Y")</f>
        <v>#NAME?</v>
      </c>
      <c r="R55" t="e">
        <f ca="1">_xll.BDH($C$53,"DVD_PAYOUT_RATIO","FQ2 2014","FQ2 2014","Currency=INR","Period=FQ","BEST_FPERIOD_OVERRIDE=FQ","FILING_STATUS=OR","EQY_CONSOLIDATED=Y","FA_ADJUSTED=GAAP","Sort=A","Dates=H","DateFormat=P","Fill=—","Direction=H","UseDPDF=Y")</f>
        <v>#NAME?</v>
      </c>
      <c r="S55" t="e">
        <f ca="1">_xll.BDH($C$53,"SUSTAIN_GROWTH_RT","FQ2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55" s="2" t="e">
        <f ca="1">_xll.BDH($C$53,"SALES_GROWTH","FQ2 2014","FQ2 2014","Currency=INR","Period=FQ","BEST_FPERIOD_OVERRIDE=FQ","FILING_STATUS=OR","EQY_CONSOLIDATED=Y","FA_ADJUSTED=GAAP","Sort=A","Dates=H","DateFormat=P","Fill=—","Direction=H","UseDPDF=Y")</f>
        <v>#NAME?</v>
      </c>
      <c r="U55" s="2" t="e">
        <f ca="1">_xll.BDH($C$53,"EBITDA_GROWTH","FQ2 2014","FQ2 2014","Currency=INR","Period=FQ","BEST_FPERIOD_OVERRIDE=FQ","FILING_STATUS=OR","EQY_CONSOLIDATED=Y","FA_ADJUSTED=GAAP","Sort=A","Dates=H","DateFormat=P","Fill=—","Direction=H","UseDPDF=Y")</f>
        <v>#NAME?</v>
      </c>
      <c r="V55" s="2" t="e">
        <f ca="1">_xll.BDH($C$53,"OPER_INC_GROWTH","FQ2 2014","FQ2 2014","Currency=INR","Period=FQ","BEST_FPERIOD_OVERRIDE=FQ","FILING_STATUS=OR","EQY_CONSOLIDATED=Y","FA_ADJUSTED=GAAP","Sort=A","Dates=H","DateFormat=P","Fill=—","Direction=H","UseDPDF=Y")</f>
        <v>#NAME?</v>
      </c>
      <c r="W55" s="2" t="e">
        <f ca="1">_xll.BDH($C$53,"EARN_FOR_COM_GROWTH","FQ2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5" s="2" t="e">
        <f ca="1">_xll.BDH($C$53,"DILUTED_EPS_AFT_XO_ITEMS_GROWTH","FQ2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5" s="2" t="e">
        <f ca="1">_xll.BDH($C$53,"DIVIDEND_PER_SHARE_1_YEAR_GROWTH","FQ2 2014","FQ2 2014","Currency=INR","Period=FQ","BEST_FPERIOD_OVERRIDE=FQ","FILING_STATUS=OR","EQY_CONSOLIDATED=Y","Sort=A","Dates=H","DateFormat=P","Fill=—","Direction=H","UseDPDF=Y")</f>
        <v>#NAME?</v>
      </c>
      <c r="Z55" s="2" t="e">
        <f ca="1">_xll.BDH($C$53,"ACCOUNTS_RECEIVABLE_GROWTH","FQ2 2014","FQ2 2014","Currency=INR","Period=FQ","BEST_FPERIOD_OVERRIDE=FQ","FILING_STATUS=OR","EQY_CONSOLIDATED=Y","Sort=A","Dates=H","DateFormat=P","Fill=—","Direction=H","UseDPDF=Y")</f>
        <v>#NAME?</v>
      </c>
      <c r="AA55" s="2" t="e">
        <f ca="1">_xll.BDH($C$53,"INVENTORY_GROWTH","FQ2 2014","FQ2 2014","Currency=INR","Period=FQ","BEST_FPERIOD_OVERRIDE=FQ","FILING_STATUS=OR","EQY_CONSOLIDATED=Y","Sort=A","Dates=H","DateFormat=P","Fill=—","Direction=H","UseDPDF=Y")</f>
        <v>#NAME?</v>
      </c>
      <c r="AB55" s="2" t="e">
        <f ca="1">_xll.BDH($C$53,"NET_FIXED_ASSETS_1_YEAR_GROWTH","FQ2 2014","FQ2 2014","Currency=INR","Period=FQ","BEST_FPERIOD_OVERRIDE=FQ","FILING_STATUS=OR","EQY_CONSOLIDATED=Y","Sort=A","Dates=H","DateFormat=P","Fill=—","Direction=H","UseDPDF=Y")</f>
        <v>#NAME?</v>
      </c>
      <c r="AC55" s="2" t="e">
        <f ca="1">_xll.BDH($C$53,"ASSET_GROWTH","FQ2 2014","FQ2 2014","Currency=INR","Period=FQ","BEST_FPERIOD_OVERRIDE=FQ","FILING_STATUS=OR","EQY_CONSOLIDATED=Y","Sort=A","Dates=H","DateFormat=P","Fill=—","Direction=H","UseDPDF=Y")</f>
        <v>#NAME?</v>
      </c>
      <c r="AD55" s="2" t="e">
        <f ca="1">_xll.BDH($C$53,"MODIFIED_WORK_CAP_GROWTH","FQ2 2014","FQ2 2014","Currency=INR","Period=FQ","BEST_FPERIOD_OVERRIDE=FQ","FILING_STATUS=OR","EQY_CONSOLIDATED=Y","Sort=A","Dates=H","DateFormat=P","Fill=—","Direction=H","UseDPDF=Y")</f>
        <v>#NAME?</v>
      </c>
      <c r="AE55" s="2" t="e">
        <f ca="1">_xll.BDH($C$53,"WORK_CAP_GROWTH","FQ2 2014","FQ2 2014","Currency=INR","Period=FQ","BEST_FPERIOD_OVERRIDE=FQ","FILING_STATUS=OR","EQY_CONSOLIDATED=Y","Sort=A","Dates=H","DateFormat=P","Fill=—","Direction=H","UseDPDF=Y")</f>
        <v>#NAME?</v>
      </c>
      <c r="AF55" s="2" t="e">
        <f ca="1">_xll.BDH($C$53,"ACCOUNTS_PAYABLE_GROWTH_1YR","FQ2 2014","FQ2 2014","Currency=INR","Period=FQ","BEST_FPERIOD_OVERRIDE=FQ","FILING_STATUS=OR","EQY_CONSOLIDATED=Y","Sort=A","Dates=H","DateFormat=P","Fill=—","Direction=H","UseDPDF=Y")</f>
        <v>#NAME?</v>
      </c>
      <c r="AG55" s="2" t="e">
        <f ca="1">_xll.BDH($C$53,"SHORT_TERM_DEBT_1_YEAR_GROWTH","FQ2 2014","FQ2 2014","Currency=INR","Period=FQ","BEST_FPERIOD_OVERRIDE=FQ","FILING_STATUS=OR","EQY_CONSOLIDATED=Y","Sort=A","Dates=H","DateFormat=P","Fill=—","Direction=H","UseDPDF=Y")</f>
        <v>#NAME?</v>
      </c>
      <c r="AH55" s="2" t="e">
        <f ca="1">_xll.BDH($C$53,"TOTAL_DEBT_1_YEAR_GROWTH","FQ2 2014","FQ2 2014","Currency=INR","Period=FQ","BEST_FPERIOD_OVERRIDE=FQ","FILING_STATUS=OR","EQY_CONSOLIDATED=Y","Sort=A","Dates=H","DateFormat=P","Fill=—","Direction=H","UseDPDF=Y")</f>
        <v>#NAME?</v>
      </c>
      <c r="AI55" s="2" t="e">
        <f ca="1">_xll.BDH($C$53,"TOTAL_EQUITY_1_YEAR_GROWTH","FQ2 2014","FQ2 2014","Currency=INR","Period=FQ","BEST_FPERIOD_OVERRIDE=FQ","FILING_STATUS=OR","EQY_CONSOLIDATED=Y","Sort=A","Dates=H","DateFormat=P","Fill=—","Direction=H","UseDPDF=Y")</f>
        <v>#NAME?</v>
      </c>
      <c r="AJ55" s="2" t="e">
        <f ca="1">_xll.BDH($C$53,"GROWTH_IN_CAP","FQ2 2014","FQ2 2014","Currency=INR","Period=FQ","BEST_FPERIOD_OVERRIDE=FQ","FILING_STATUS=OR","EQY_CONSOLIDATED=Y","Sort=A","Dates=H","DateFormat=P","Fill=—","Direction=H","UseDPDF=Y")</f>
        <v>#NAME?</v>
      </c>
      <c r="AK55" s="2" t="e">
        <f ca="1">_xll.BDH($C$53,"BVPS_GROWTH","FQ2 2014","FQ2 2014","Currency=INR","Period=FQ","BEST_FPERIOD_OVERRIDE=FQ","FILING_STATUS=OR","EQY_CONSOLIDATED=Y","Sort=A","Dates=H","DateFormat=P","Fill=—","Direction=H","UseDPDF=Y")</f>
        <v>#NAME?</v>
      </c>
      <c r="AL55" s="2" t="e">
        <f ca="1">_xll.BDH($C$53,"CASH_FLOW_GROWTH","FQ2 2014","FQ2 2014","Currency=INR","Period=FQ","BEST_FPERIOD_OVERRIDE=FQ","FILING_STATUS=OR","EQY_CONSOLIDATED=Y","Sort=A","Dates=H","DateFormat=P","Fill=—","Direction=H","UseDPDF=Y")</f>
        <v>#NAME?</v>
      </c>
      <c r="AM55" s="2" t="e">
        <f ca="1">_xll.BDH($C$53,"GEO_GROW_NET_SALES","FQ2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5" s="2" t="e">
        <f ca="1">_xll.BDH($C$53,"GEO_GROW_EBITDA","FQ2 2014","FQ2 2014","Currency=INR","Period=FQ","BEST_FPERIOD_OVERRIDE=FQ","FILING_STATUS=OR","EQY_CONSOLIDATED=Y","FA_ADJUSTED=GAAP","Sort=A","Dates=H","DateFormat=P","Fill=—","Direction=H","UseDPDF=Y")</f>
        <v>#NAME?</v>
      </c>
      <c r="AO55" s="2" t="e">
        <f ca="1">_xll.BDH($C$53,"GEO_GROW_OPER_INC","FQ2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5" s="2" t="e">
        <f ca="1">_xll.BDH($C$53,"NET_INCOME_TO_COMMON_5_YR_GROWTH","FQ2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5" s="2" t="e">
        <f ca="1">_xll.BDH($C$53,"5Y_GEO_GROWTH_DILUTED_EPS","FQ2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5" s="2" t="e">
        <f ca="1">_xll.BDH($C$53,"GEO_GROW_DVD_PER_SH","FQ2 2014","FQ2 2014","Currency=INR","Period=FQ","BEST_FPERIOD_OVERRIDE=FQ","FILING_STATUS=OR","EQY_CONSOLIDATED=Y","Sort=A","Dates=H","DateFormat=P","Fill=—","Direction=H","UseDPDF=Y")</f>
        <v>#NAME?</v>
      </c>
      <c r="AS55" s="2" t="e">
        <f ca="1">_xll.BDH($C$53,"ACCOUNTS_RECEIVABLE_5_YR_GROWTH","FQ2 2014","FQ2 2014","Currency=INR","Period=FQ","BEST_FPERIOD_OVERRIDE=FQ","FILING_STATUS=OR","EQY_CONSOLIDATED=Y","Sort=A","Dates=H","DateFormat=P","Fill=—","Direction=H","UseDPDF=Y")</f>
        <v>#NAME?</v>
      </c>
      <c r="AT55" s="2" t="e">
        <f ca="1">_xll.BDH($C$53,"INVENTORY_5_YEAR_GROWTH","FQ2 2014","FQ2 2014","Currency=INR","Period=FQ","BEST_FPERIOD_OVERRIDE=FQ","FILING_STATUS=OR","EQY_CONSOLIDATED=Y","Sort=A","Dates=H","DateFormat=P","Fill=—","Direction=H","UseDPDF=Y")</f>
        <v>#NAME?</v>
      </c>
      <c r="AU55" s="2" t="e">
        <f ca="1">_xll.BDH($C$53,"NET_FIXED_ASSETS_5_YEAR_GROWTH","FQ2 2014","FQ2 2014","Currency=INR","Period=FQ","BEST_FPERIOD_OVERRIDE=FQ","FILING_STATUS=OR","EQY_CONSOLIDATED=Y","Sort=A","Dates=H","DateFormat=P","Fill=—","Direction=H","UseDPDF=Y")</f>
        <v>#NAME?</v>
      </c>
      <c r="AV55" s="2" t="e">
        <f ca="1">_xll.BDH($C$53,"GEO_GROW_TOT_ASSET","FQ2 2014","FQ2 2014","Currency=INR","Period=FQ","BEST_FPERIOD_OVERRIDE=FQ","FILING_STATUS=OR","EQY_CONSOLIDATED=Y","Sort=A","Dates=H","DateFormat=P","Fill=—","Direction=H","UseDPDF=Y")</f>
        <v>#NAME?</v>
      </c>
      <c r="AW55" s="2" t="e">
        <f ca="1">_xll.BDH($C$53,"MODIFIED_WORKING_CPTL_5YR_GRWTH","FQ2 2014","FQ2 2014","Currency=INR","Period=FQ","BEST_FPERIOD_OVERRIDE=FQ","FILING_STATUS=OR","EQY_CONSOLIDATED=Y","Sort=A","Dates=H","DateFormat=P","Fill=—","Direction=H","UseDPDF=Y")</f>
        <v>#NAME?</v>
      </c>
      <c r="AX55" s="2" t="e">
        <f ca="1">_xll.BDH($C$53,"WORKING_CAPITAL_5_YEAR_GROWTH","FQ2 2014","FQ2 2014","Currency=INR","Period=FQ","BEST_FPERIOD_OVERRIDE=FQ","FILING_STATUS=OR","EQY_CONSOLIDATED=Y","Sort=A","Dates=H","DateFormat=P","Fill=—","Direction=H","UseDPDF=Y")</f>
        <v>#NAME?</v>
      </c>
      <c r="AY55" s="2" t="e">
        <f ca="1">_xll.BDH($C$53,"ACCOUNTS_PAYABLE_5_YEAR_GROWTH","FQ2 2014","FQ2 2014","Currency=INR","Period=FQ","BEST_FPERIOD_OVERRIDE=FQ","FILING_STATUS=OR","EQY_CONSOLIDATED=Y","Sort=A","Dates=H","DateFormat=P","Fill=—","Direction=H","UseDPDF=Y")</f>
        <v>#NAME?</v>
      </c>
      <c r="AZ55" s="2" t="e">
        <f ca="1">_xll.BDH($C$53,"SHORT_TERM_DEBT_5_YEAR_GROWTH","FQ2 2014","FQ2 2014","Currency=INR","Period=FQ","BEST_FPERIOD_OVERRIDE=FQ","FILING_STATUS=OR","EQY_CONSOLIDATED=Y","Sort=A","Dates=H","DateFormat=P","Fill=—","Direction=H","UseDPDF=Y")</f>
        <v>#NAME?</v>
      </c>
      <c r="BA55" s="2" t="e">
        <f ca="1">_xll.BDH($C$53,"TOTAL_DEBT_5_YEAR_GROWTH","FQ2 2014","FQ2 2014","Currency=INR","Period=FQ","BEST_FPERIOD_OVERRIDE=FQ","FILING_STATUS=OR","EQY_CONSOLIDATED=Y","Sort=A","Dates=H","DateFormat=P","Fill=—","Direction=H","UseDPDF=Y")</f>
        <v>#NAME?</v>
      </c>
      <c r="BB55" s="2" t="e">
        <f ca="1">_xll.BDH($C$53,"GEO_GROW_TOT_SHRHLDR_EQY","FQ2 2014","FQ2 2014","Currency=INR","Period=FQ","BEST_FPERIOD_OVERRIDE=FQ","FILING_STATUS=OR","EQY_CONSOLIDATED=Y","Sort=A","Dates=H","DateFormat=P","Fill=—","Direction=H","UseDPDF=Y")</f>
        <v>#NAME?</v>
      </c>
      <c r="BC55" s="2" t="e">
        <f ca="1">_xll.BDH($C$53,"TOTAL_CAPITAL_5_YEAR_GROWTH","FQ2 2014","FQ2 2014","Currency=INR","Period=FQ","BEST_FPERIOD_OVERRIDE=FQ","FILING_STATUS=OR","EQY_CONSOLIDATED=Y","Sort=A","Dates=H","DateFormat=P","Fill=—","Direction=H","UseDPDF=Y")</f>
        <v>#NAME?</v>
      </c>
      <c r="BD55" s="2" t="e">
        <f ca="1">_xll.BDH($C$53,"GEO_GROW_BOOK_VAL","FQ2 2014","FQ2 2014","Currency=INR","Period=FQ","BEST_FPERIOD_OVERRIDE=FQ","FILING_STATUS=OR","EQY_CONSOLIDATED=Y","Sort=A","Dates=H","DateFormat=P","Fill=—","Direction=H","UseDPDF=Y")</f>
        <v>#NAME?</v>
      </c>
      <c r="BE55" s="2" t="e">
        <f ca="1">_xll.BDH($C$53,"GEO_GROW_CASH_OPER_ACT","FQ2 2014","FQ2 2014","Currency=INR","Period=FQ","BEST_FPERIOD_OVERRIDE=FQ","FILING_STATUS=OR","EQY_CONSOLIDATED=Y","Sort=A","Dates=H","DateFormat=P","Fill=—","Direction=H","UseDPDF=Y")</f>
        <v>#NAME?</v>
      </c>
      <c r="BF55" s="2" t="e">
        <f ca="1">_xll.BDH($C$53,"REVENUE_SEQUENTIAL_GROWTH","FQ2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5" s="2" t="e">
        <f ca="1">_xll.BDH($C$53,"EBITDA_SEQUENTIAL_GROWTH","FQ2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5" s="2" t="e">
        <f ca="1">_xll.BDH($C$53,"OPERATING_INCOME_SEQ_GROWTH","FQ2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5" s="2" t="e">
        <f ca="1">_xll.BDH($C$53,"NET_INCOME_TO_COMMON_SEQ_GROWTH","FQ2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5" s="2" t="e">
        <f ca="1">_xll.BDH($C$53,"EPS_DILUTED_SEQUENTIAL_GROWTH","FQ2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5" s="2" t="e">
        <f ca="1">_xll.BDH($C$53,"DPS_SEQUENTIAL_GROWTH","FQ2 2014","FQ2 2014","Currency=INR","Period=FQ","BEST_FPERIOD_OVERRIDE=FQ","FILING_STATUS=OR","EQY_CONSOLIDATED=Y","Sort=A","Dates=H","DateFormat=P","Fill=—","Direction=H","UseDPDF=Y")</f>
        <v>#NAME?</v>
      </c>
      <c r="BL55" s="2" t="e">
        <f ca="1">_xll.BDH($C$53,"ACCOUNTS_RECEIVABLE_SEQ_GROWTH","FQ2 2014","FQ2 2014","Currency=INR","Period=FQ","BEST_FPERIOD_OVERRIDE=FQ","FILING_STATUS=OR","EQY_CONSOLIDATED=Y","Sort=A","Dates=H","DateFormat=P","Fill=—","Direction=H","UseDPDF=Y")</f>
        <v>#NAME?</v>
      </c>
      <c r="BM55" s="2" t="e">
        <f ca="1">_xll.BDH($C$53,"INVENTORY_SEQUENTIAL_GROWTH","FQ2 2014","FQ2 2014","Currency=INR","Period=FQ","BEST_FPERIOD_OVERRIDE=FQ","FILING_STATUS=OR","EQY_CONSOLIDATED=Y","Sort=A","Dates=H","DateFormat=P","Fill=—","Direction=H","UseDPDF=Y")</f>
        <v>#NAME?</v>
      </c>
      <c r="BN55" s="2" t="e">
        <f ca="1">_xll.BDH($C$53,"FIXED_ASSETS_SEQUENTIAL_GROWTH","FQ2 2014","FQ2 2014","Currency=INR","Period=FQ","BEST_FPERIOD_OVERRIDE=FQ","FILING_STATUS=OR","EQY_CONSOLIDATED=Y","Sort=A","Dates=H","DateFormat=P","Fill=—","Direction=H","UseDPDF=Y")</f>
        <v>#NAME?</v>
      </c>
      <c r="BO55" s="2" t="e">
        <f ca="1">_xll.BDH($C$53,"TOTAL_ASSETS_SEQUENTIAL_GROWTH","FQ2 2014","FQ2 2014","Currency=INR","Period=FQ","BEST_FPERIOD_OVERRIDE=FQ","FILING_STATUS=OR","EQY_CONSOLIDATED=Y","Sort=A","Dates=H","DateFormat=P","Fill=—","Direction=H","UseDPDF=Y")</f>
        <v>#NAME?</v>
      </c>
      <c r="BP55" s="2" t="e">
        <f ca="1">_xll.BDH($C$53,"MODIFIED_WORKING_CPTL_SEQ_GRWTH","FQ2 2014","FQ2 2014","Currency=INR","Period=FQ","BEST_FPERIOD_OVERRIDE=FQ","FILING_STATUS=OR","EQY_CONSOLIDATED=Y","Sort=A","Dates=H","DateFormat=P","Fill=—","Direction=H","UseDPDF=Y")</f>
        <v>#NAME?</v>
      </c>
      <c r="BQ55" s="2" t="e">
        <f ca="1">_xll.BDH($C$53,"WORKING_CAPITAL_SEQ_GROWTH","FQ2 2014","FQ2 2014","Currency=INR","Period=FQ","BEST_FPERIOD_OVERRIDE=FQ","FILING_STATUS=OR","EQY_CONSOLIDATED=Y","Sort=A","Dates=H","DateFormat=P","Fill=—","Direction=H","UseDPDF=Y")</f>
        <v>#NAME?</v>
      </c>
      <c r="BR55" s="2" t="e">
        <f ca="1">_xll.BDH($C$53,"ACCOUNTS_PAYABLE_SEQ_GROWTH","FQ2 2014","FQ2 2014","Currency=INR","Period=FQ","BEST_FPERIOD_OVERRIDE=FQ","FILING_STATUS=OR","EQY_CONSOLIDATED=Y","Sort=A","Dates=H","DateFormat=P","Fill=—","Direction=H","UseDPDF=Y")</f>
        <v>#NAME?</v>
      </c>
      <c r="BS55" s="2" t="e">
        <f ca="1">_xll.BDH($C$53,"ST_DEBT_SEQUENTIAL_GROWTH","FQ2 2014","FQ2 2014","Currency=INR","Period=FQ","BEST_FPERIOD_OVERRIDE=FQ","FILING_STATUS=OR","EQY_CONSOLIDATED=Y","Sort=A","Dates=H","DateFormat=P","Fill=—","Direction=H","UseDPDF=Y")</f>
        <v>#NAME?</v>
      </c>
      <c r="BT55" s="2" t="e">
        <f ca="1">_xll.BDH($C$53,"TOTAL_DEBT_SEQUENTIAL_GROWTH","FQ2 2014","FQ2 2014","Currency=INR","Period=FQ","BEST_FPERIOD_OVERRIDE=FQ","FILING_STATUS=OR","EQY_CONSOLIDATED=Y","Sort=A","Dates=H","DateFormat=P","Fill=—","Direction=H","UseDPDF=Y")</f>
        <v>#NAME?</v>
      </c>
      <c r="BU55" s="2" t="e">
        <f ca="1">_xll.BDH($C$53,"TOTAL_EQUITY_SEQUENTIAL_GROWTH","FQ2 2014","FQ2 2014","Currency=INR","Period=FQ","BEST_FPERIOD_OVERRIDE=FQ","FILING_STATUS=OR","EQY_CONSOLIDATED=Y","Sort=A","Dates=H","DateFormat=P","Fill=—","Direction=H","UseDPDF=Y")</f>
        <v>#NAME?</v>
      </c>
      <c r="BV55" s="2" t="e">
        <f ca="1">_xll.BDH($C$53,"TOTAL_CAPITAL_SEQUENTIAL_GROWTH","FQ2 2014","FQ2 2014","Currency=INR","Period=FQ","BEST_FPERIOD_OVERRIDE=FQ","FILING_STATUS=OR","EQY_CONSOLIDATED=Y","Sort=A","Dates=H","DateFormat=P","Fill=—","Direction=H","UseDPDF=Y")</f>
        <v>#NAME?</v>
      </c>
      <c r="BW55" s="2" t="e">
        <f ca="1">_xll.BDH($C$53,"BPS_SEQUENTIAL_GROWTH","FQ2 2014","FQ2 2014","Currency=INR","Period=FQ","BEST_FPERIOD_OVERRIDE=FQ","FILING_STATUS=OR","EQY_CONSOLIDATED=Y","Sort=A","Dates=H","DateFormat=P","Fill=—","Direction=H","UseDPDF=Y")</f>
        <v>#NAME?</v>
      </c>
      <c r="BX55" s="2" t="e">
        <f ca="1">_xll.BDH($C$53,"CFO_SEQUENTIAL_GROWTH","FQ2 2014","FQ2 2014","Currency=INR","Period=FQ","BEST_FPERIOD_OVERRIDE=FQ","FILING_STATUS=OR","EQY_CONSOLIDATED=Y","Sort=A","Dates=H","DateFormat=P","Fill=—","Direction=H","UseDPDF=Y")</f>
        <v>#NAME?</v>
      </c>
      <c r="BY55" s="3" t="e">
        <f ca="1">_xll.BDH($C$53,"SHORT_AND_LONG_TERM_DEBT","FQ2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5" s="3" t="e">
        <f ca="1">_xll.BDH($C$53,"BS_ST_BORROW","FQ2 2014","FQ2 2014","Currency=INR","Period=FQ","BEST_FPERIOD_OVERRIDE=FQ","FILING_STATUS=OR","EQY_CONSOLIDATED=Y","SCALING_FORMAT=MLN","Sort=A","Dates=H","DateFormat=P","Fill=—","Direction=H","UseDPDF=Y")</f>
        <v>#NAME?</v>
      </c>
      <c r="CA55" s="3" t="e">
        <f ca="1">_xll.BDH($C$53,"BS_LT_BORROW","FQ2 2014","FQ2 2014","Currency=INR","Period=FQ","BEST_FPERIOD_OVERRIDE=FQ","FILING_STATUS=OR","EQY_CONSOLIDATED=Y","SCALING_FORMAT=MLN","Sort=A","Dates=H","DateFormat=P","Fill=—","Direction=H","UseDPDF=Y")</f>
        <v>#NAME?</v>
      </c>
      <c r="CB55" s="2" t="e">
        <f ca="1">_xll.BDH($C$53,"TOT_DEBT_TO_EBITDA","FQ2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5" s="2" t="e">
        <f ca="1">_xll.BDH($C$53,"NET_DEBT_TO_EBITDA","FQ2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5" s="2" t="e">
        <f ca="1">_xll.BDH($C$53,"TOTAL_DEBT_TO_EBIT","FQ2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5" s="2" t="e">
        <f ca="1">_xll.BDH($C$53,"NET_DEBT_TO_EBIT","FQ2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55" s="2" t="e">
        <f ca="1">_xll.BDH($C$53,"EBITDA_TO_INTEREST_EXPN","FQ2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5" s="2" t="e">
        <f ca="1">_xll.BDH($C$53,"COM_EQY_TO_TOT_ASSET","FQ2 2014","FQ2 2014","Currency=INR","Period=FQ","BEST_FPERIOD_OVERRIDE=FQ","FILING_STATUS=OR","EQY_CONSOLIDATED=Y","Sort=A","Dates=H","DateFormat=P","Fill=—","Direction=H","UseDPDF=Y")</f>
        <v>#NAME?</v>
      </c>
      <c r="CH55" s="2" t="e">
        <f ca="1">_xll.BDH($C$53,"LT_DEBT_TO_TOT_EQY","FQ2 2014","FQ2 2014","Currency=INR","Period=FQ","BEST_FPERIOD_OVERRIDE=FQ","FILING_STATUS=OR","EQY_CONSOLIDATED=Y","Sort=A","Dates=H","DateFormat=P","Fill=—","Direction=H","UseDPDF=Y")</f>
        <v>#NAME?</v>
      </c>
      <c r="CI55" s="2" t="e">
        <f ca="1">_xll.BDH($C$53,"LT_DEBT_TO_TOT_CAP","FQ2 2014","FQ2 2014","Currency=INR","Period=FQ","BEST_FPERIOD_OVERRIDE=FQ","FILING_STATUS=OR","EQY_CONSOLIDATED=Y","Sort=A","Dates=H","DateFormat=P","Fill=—","Direction=H","UseDPDF=Y")</f>
        <v>#NAME?</v>
      </c>
      <c r="CJ55" s="2" t="e">
        <f ca="1">_xll.BDH($C$53,"LT_DEBT_TO_TOT_ASSET","FQ2 2014","FQ2 2014","Currency=INR","Period=FQ","BEST_FPERIOD_OVERRIDE=FQ","FILING_STATUS=OR","EQY_CONSOLIDATED=Y","Sort=A","Dates=H","DateFormat=P","Fill=—","Direction=H","UseDPDF=Y")</f>
        <v>#NAME?</v>
      </c>
      <c r="CK55" s="2" t="e">
        <f ca="1">_xll.BDH($C$53,"TOT_DEBT_TO_TOT_EQY","FQ2 2014","FQ2 2014","Currency=INR","Period=FQ","BEST_FPERIOD_OVERRIDE=FQ","FILING_STATUS=OR","EQY_CONSOLIDATED=Y","Sort=A","Dates=H","DateFormat=P","Fill=—","Direction=H","UseDPDF=Y")</f>
        <v>#NAME?</v>
      </c>
      <c r="CL55" s="2" t="e">
        <f ca="1">_xll.BDH($C$53,"TOT_DEBT_TO_TOT_CAP","FQ2 2014","FQ2 2014","Currency=INR","Period=FQ","BEST_FPERIOD_OVERRIDE=FQ","FILING_STATUS=OR","EQY_CONSOLIDATED=Y","Sort=A","Dates=H","DateFormat=P","Fill=—","Direction=H","UseDPDF=Y")</f>
        <v>#NAME?</v>
      </c>
      <c r="CM55" s="2" t="e">
        <f ca="1">_xll.BDH($C$53,"TOT_DEBT_TO_TOT_ASSET","FQ2 2014","FQ2 2014","Currency=INR","Period=FQ","BEST_FPERIOD_OVERRIDE=FQ","FILING_STATUS=OR","EQY_CONSOLIDATED=Y","Sort=A","Dates=H","DateFormat=P","Fill=—","Direction=H","UseDPDF=Y")</f>
        <v>#NAME?</v>
      </c>
      <c r="CN55" s="2" t="e">
        <f ca="1">_xll.BDH($C$53,"NET_DEBT_TO_SHRHLDR_EQTY","FQ2 2014","FQ2 2014","Currency=INR","Period=FQ","BEST_FPERIOD_OVERRIDE=FQ","FILING_STATUS=OR","EQY_CONSOLIDATED=Y","Sort=A","Dates=H","DateFormat=P","Fill=—","Direction=H","UseDPDF=Y")</f>
        <v>#NAME?</v>
      </c>
      <c r="CO55" s="2" t="e">
        <f ca="1">_xll.BDH($C$53,"NET_DEBT_%_CAPITAL","FQ2 2014","FQ2 2014","Currency=INR","Period=FQ","BEST_FPERIOD_OVERRIDE=FQ","FILING_STATUS=OR","EQY_CONSOLIDATED=Y","Sort=A","Dates=H","DateFormat=P","Fill=—","Direction=H","UseDPDF=Y")</f>
        <v>#NAME?</v>
      </c>
      <c r="CP55" s="3" t="e">
        <f ca="1">_xll.BDH($C$53,"EBITDA","FQ2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5" s="3" t="e">
        <f ca="1">_xll.BDH($C$53,"EBITDA_AFTER_CAPEX","FQ2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5" s="3" t="e">
        <f ca="1">_xll.BDH($C$53,"IS_OPER_INC","FQ2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5" s="2" t="e">
        <f ca="1">_xll.BDH($C$53,"CASH_RATIO","FQ2 2014","FQ2 2014","Currency=INR","Period=FQ","BEST_FPERIOD_OVERRIDE=FQ","FILING_STATUS=OR","EQY_CONSOLIDATED=Y","Sort=A","Dates=H","DateFormat=P","Fill=—","Direction=H","UseDPDF=Y")</f>
        <v>#NAME?</v>
      </c>
      <c r="CT55" s="2" t="e">
        <f ca="1">_xll.BDH($C$53,"CUR_RATIO","FQ2 2014","FQ2 2014","Currency=INR","Period=FQ","BEST_FPERIOD_OVERRIDE=FQ","FILING_STATUS=OR","EQY_CONSOLIDATED=Y","Sort=A","Dates=H","DateFormat=P","Fill=—","Direction=H","UseDPDF=Y")</f>
        <v>#NAME?</v>
      </c>
      <c r="CU55" s="2" t="e">
        <f ca="1">_xll.BDH($C$53,"QUICK_RATIO","FQ2 2014","FQ2 2014","Currency=INR","Period=FQ","BEST_FPERIOD_OVERRIDE=FQ","FILING_STATUS=OR","EQY_CONSOLIDATED=Y","Sort=A","Dates=H","DateFormat=P","Fill=—","Direction=H","UseDPDF=Y")</f>
        <v>#NAME?</v>
      </c>
      <c r="CV55" s="2" t="e">
        <f ca="1">_xll.BDH($C$53,"ALTMAN_Z_SCORE","FQ2 2014","FQ2 2014","Currency=INR","Period=FQ","BEST_FPERIOD_OVERRIDE=FQ","FILING_STATUS=OR","EQY_CONSOLIDATED=Y","Sort=A","Dates=H","DateFormat=P","Fill=—","Direction=H","UseDPDF=Y")</f>
        <v>#NAME?</v>
      </c>
      <c r="CW55" s="4" t="e">
        <f ca="1">_xll.BDH($C$53,"ACCT_RCV_TURN","FQ2 2014","FQ2 2014","Currency=INR","Period=FQ","BEST_FPERIOD_OVERRIDE=FQ","FILING_STATUS=OR","EQY_CONSOLIDATED=Y","FA_ADJUSTED=GAAP","Sort=A","Dates=H","DateFormat=P","Fill=—","Direction=H","UseDPDF=Y")</f>
        <v>#NAME?</v>
      </c>
      <c r="CX55" s="2" t="e">
        <f ca="1">_xll.BDH($C$53,"ACCT_RCV_DAYS","FQ2 2014","FQ2 2014","Currency=INR","Period=FQ","BEST_FPERIOD_OVERRIDE=FQ","FILING_STATUS=OR","EQY_CONSOLIDATED=Y","FA_ADJUSTED=GAAP","Sort=A","Dates=H","DateFormat=P","Fill=—","Direction=H","UseDPDF=Y")</f>
        <v>#NAME?</v>
      </c>
      <c r="CY55" s="4" t="e">
        <f ca="1">_xll.BDH($C$53,"INVENT_TURN","FQ2 2014","FQ2 2014","Currency=INR","Period=FQ","BEST_FPERIOD_OVERRIDE=FQ","FILING_STATUS=OR","EQY_CONSOLIDATED=Y","FA_ADJUSTED=GAAP","Sort=A","Dates=H","DateFormat=P","Fill=—","Direction=H","UseDPDF=Y")</f>
        <v>#NAME?</v>
      </c>
      <c r="CZ55" s="2" t="e">
        <f ca="1">_xll.BDH($C$53,"INVENT_DAYS","FQ2 2014","FQ2 2014","Currency=INR","Period=FQ","BEST_FPERIOD_OVERRIDE=FQ","FILING_STATUS=OR","EQY_CONSOLIDATED=Y","FA_ADJUSTED=GAAP","Sort=A","Dates=H","DateFormat=P","Fill=—","Direction=H","UseDPDF=Y")</f>
        <v>#NAME?</v>
      </c>
      <c r="DA55" s="4" t="e">
        <f ca="1">_xll.BDH($C$53,"ACCOUNTS_PAYABLE_TURNOVER","FQ2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5" s="2" t="e">
        <f ca="1">_xll.BDH($C$53,"ACCOUNTS_PAYABLE_TURNOVER_DAYS","FQ2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5" s="4" t="e">
        <f ca="1">_xll.BDH($C$53,"CASH_CONVERSION_CYCLE","FQ2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5" s="4" t="e">
        <f ca="1">_xll.BDH($C$53,"INV_TO_CASH_DAYS","FQ2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55" s="5" t="e">
        <f ca="1">_xll.BDH($C$53,"BS_INVENTORIES","FQ2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55" s="3" t="e">
        <f ca="1">_xll.BDH($C$53,"INVTRY_RAW_MATERIALS","FQ2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5" s="3" t="e">
        <f ca="1">_xll.BDH($C$53,"INVTRY_IN_PROGRESS","FQ2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5" s="3" t="e">
        <f ca="1">_xll.BDH($C$53,"INVTRY_FINISHED_GOODS","FQ2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5" s="3" t="e">
        <f ca="1">_xll.BDH($C$53,"BS_OTHER_INV","FQ2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56" spans="1:113" x14ac:dyDescent="0.3">
      <c r="A56" s="6"/>
      <c r="B56" s="6"/>
      <c r="C56" s="6"/>
      <c r="D56" s="6"/>
      <c r="E56" t="s">
        <v>80</v>
      </c>
      <c r="F56" t="e">
        <f ca="1">_xll.BDH($C$53,"RETURN_COM_EQY","FQ3 2014","FQ3 2014","Currency=INR","Period=FQ","BEST_FPERIOD_OVERRIDE=FQ","FILING_STATUS=OR","EQY_CONSOLIDATED=Y","FA_ADJUSTED=GAAP","Sort=A","Dates=H","DateFormat=P","Fill=—","Direction=H","UseDPDF=Y")</f>
        <v>#NAME?</v>
      </c>
      <c r="G56" t="e">
        <f ca="1">_xll.BDH($C$53,"RETURN_ON_ASSET","FQ3 2014","FQ3 2014","Currency=INR","Period=FQ","BEST_FPERIOD_OVERRIDE=FQ","FILING_STATUS=OR","EQY_CONSOLIDATED=Y","FA_ADJUSTED=GAAP","Sort=A","Dates=H","DateFormat=P","Fill=—","Direction=H","UseDPDF=Y")</f>
        <v>#NAME?</v>
      </c>
      <c r="H56" t="e">
        <f ca="1">_xll.BDH($C$53,"RETURN_ON_CAP","FQ3 2014","FQ3 2014","Currency=INR","Period=FQ","BEST_FPERIOD_OVERRIDE=FQ","FILING_STATUS=OR","EQY_CONSOLIDATED=Y","FA_ADJUSTED=GAAP","Sort=A","Dates=H","DateFormat=P","Fill=—","Direction=H","UseDPDF=Y")</f>
        <v>#NAME?</v>
      </c>
      <c r="I56" t="e">
        <f ca="1">_xll.BDH($C$53,"RETURN_ON_INV_CAPITAL","FQ3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56" t="e">
        <f ca="1">_xll.BDH($C$53,"EBITDA_TO_REVENUE","FQ3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56" t="e">
        <f ca="1">_xll.BDH($C$53,"OPER_MARGIN","FQ3 2014","FQ3 2014","Currency=INR","Period=FQ","BEST_FPERIOD_OVERRIDE=FQ","FILING_STATUS=OR","EQY_CONSOLIDATED=Y","FA_ADJUSTED=GAAP","Sort=A","Dates=H","DateFormat=P","Fill=—","Direction=H","UseDPDF=Y")</f>
        <v>#NAME?</v>
      </c>
      <c r="L56" t="e">
        <f ca="1">_xll.BDH($C$53,"INCREMENTAL_OPERATING_MARGIN","FQ3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56" t="e">
        <f ca="1">_xll.BDH($C$53,"PRETAX_INC_TO_NET_SALES","FQ3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56" t="e">
        <f ca="1">_xll.BDH($C$53,"INC_BEF_XO_ITEMS_TO_NET_SALES","FQ3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56" t="e">
        <f ca="1">_xll.BDH($C$53,"PROF_MARGIN","FQ3 2014","FQ3 2014","Currency=INR","Period=FQ","BEST_FPERIOD_OVERRIDE=FQ","FILING_STATUS=OR","EQY_CONSOLIDATED=Y","FA_ADJUSTED=GAAP","Sort=A","Dates=H","DateFormat=P","Fill=—","Direction=H","UseDPDF=Y")</f>
        <v>#NAME?</v>
      </c>
      <c r="P56" t="e">
        <f ca="1">_xll.BDH($C$53,"NET_INCOME_TO_COMMON_MARGIN","FQ3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56" t="e">
        <f ca="1">_xll.BDH($C$53,"EFF_TAX_RATE","FQ3 2014","FQ3 2014","Currency=INR","Period=FQ","BEST_FPERIOD_OVERRIDE=FQ","FILING_STATUS=OR","EQY_CONSOLIDATED=Y","FA_ADJUSTED=GAAP","Sort=A","Dates=H","DateFormat=P","Fill=—","Direction=H","UseDPDF=Y")</f>
        <v>#NAME?</v>
      </c>
      <c r="R56" t="e">
        <f ca="1">_xll.BDH($C$53,"DVD_PAYOUT_RATIO","FQ3 2014","FQ3 2014","Currency=INR","Period=FQ","BEST_FPERIOD_OVERRIDE=FQ","FILING_STATUS=OR","EQY_CONSOLIDATED=Y","FA_ADJUSTED=GAAP","Sort=A","Dates=H","DateFormat=P","Fill=—","Direction=H","UseDPDF=Y")</f>
        <v>#NAME?</v>
      </c>
      <c r="S56" t="e">
        <f ca="1">_xll.BDH($C$53,"SUSTAIN_GROWTH_RT","FQ3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56" s="2" t="e">
        <f ca="1">_xll.BDH($C$53,"SALES_GROWTH","FQ3 2014","FQ3 2014","Currency=INR","Period=FQ","BEST_FPERIOD_OVERRIDE=FQ","FILING_STATUS=OR","EQY_CONSOLIDATED=Y","FA_ADJUSTED=GAAP","Sort=A","Dates=H","DateFormat=P","Fill=—","Direction=H","UseDPDF=Y")</f>
        <v>#NAME?</v>
      </c>
      <c r="U56" s="2" t="e">
        <f ca="1">_xll.BDH($C$53,"EBITDA_GROWTH","FQ3 2014","FQ3 2014","Currency=INR","Period=FQ","BEST_FPERIOD_OVERRIDE=FQ","FILING_STATUS=OR","EQY_CONSOLIDATED=Y","FA_ADJUSTED=GAAP","Sort=A","Dates=H","DateFormat=P","Fill=—","Direction=H","UseDPDF=Y")</f>
        <v>#NAME?</v>
      </c>
      <c r="V56" s="2" t="e">
        <f ca="1">_xll.BDH($C$53,"OPER_INC_GROWTH","FQ3 2014","FQ3 2014","Currency=INR","Period=FQ","BEST_FPERIOD_OVERRIDE=FQ","FILING_STATUS=OR","EQY_CONSOLIDATED=Y","FA_ADJUSTED=GAAP","Sort=A","Dates=H","DateFormat=P","Fill=—","Direction=H","UseDPDF=Y")</f>
        <v>#NAME?</v>
      </c>
      <c r="W56" s="2" t="e">
        <f ca="1">_xll.BDH($C$53,"EARN_FOR_COM_GROWTH","FQ3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56" s="2" t="e">
        <f ca="1">_xll.BDH($C$53,"DILUTED_EPS_AFT_XO_ITEMS_GROWTH","FQ3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56" s="2" t="e">
        <f ca="1">_xll.BDH($C$53,"DIVIDEND_PER_SHARE_1_YEAR_GROWTH","FQ3 2014","FQ3 2014","Currency=INR","Period=FQ","BEST_FPERIOD_OVERRIDE=FQ","FILING_STATUS=OR","EQY_CONSOLIDATED=Y","Sort=A","Dates=H","DateFormat=P","Fill=—","Direction=H","UseDPDF=Y")</f>
        <v>#NAME?</v>
      </c>
      <c r="Z56" s="2" t="e">
        <f ca="1">_xll.BDH($C$53,"ACCOUNTS_RECEIVABLE_GROWTH","FQ3 2014","FQ3 2014","Currency=INR","Period=FQ","BEST_FPERIOD_OVERRIDE=FQ","FILING_STATUS=OR","EQY_CONSOLIDATED=Y","Sort=A","Dates=H","DateFormat=P","Fill=—","Direction=H","UseDPDF=Y")</f>
        <v>#NAME?</v>
      </c>
      <c r="AA56" s="2" t="e">
        <f ca="1">_xll.BDH($C$53,"INVENTORY_GROWTH","FQ3 2014","FQ3 2014","Currency=INR","Period=FQ","BEST_FPERIOD_OVERRIDE=FQ","FILING_STATUS=OR","EQY_CONSOLIDATED=Y","Sort=A","Dates=H","DateFormat=P","Fill=—","Direction=H","UseDPDF=Y")</f>
        <v>#NAME?</v>
      </c>
      <c r="AB56" s="2" t="e">
        <f ca="1">_xll.BDH($C$53,"NET_FIXED_ASSETS_1_YEAR_GROWTH","FQ3 2014","FQ3 2014","Currency=INR","Period=FQ","BEST_FPERIOD_OVERRIDE=FQ","FILING_STATUS=OR","EQY_CONSOLIDATED=Y","Sort=A","Dates=H","DateFormat=P","Fill=—","Direction=H","UseDPDF=Y")</f>
        <v>#NAME?</v>
      </c>
      <c r="AC56" s="2" t="e">
        <f ca="1">_xll.BDH($C$53,"ASSET_GROWTH","FQ3 2014","FQ3 2014","Currency=INR","Period=FQ","BEST_FPERIOD_OVERRIDE=FQ","FILING_STATUS=OR","EQY_CONSOLIDATED=Y","Sort=A","Dates=H","DateFormat=P","Fill=—","Direction=H","UseDPDF=Y")</f>
        <v>#NAME?</v>
      </c>
      <c r="AD56" s="2" t="e">
        <f ca="1">_xll.BDH($C$53,"MODIFIED_WORK_CAP_GROWTH","FQ3 2014","FQ3 2014","Currency=INR","Period=FQ","BEST_FPERIOD_OVERRIDE=FQ","FILING_STATUS=OR","EQY_CONSOLIDATED=Y","Sort=A","Dates=H","DateFormat=P","Fill=—","Direction=H","UseDPDF=Y")</f>
        <v>#NAME?</v>
      </c>
      <c r="AE56" s="2" t="e">
        <f ca="1">_xll.BDH($C$53,"WORK_CAP_GROWTH","FQ3 2014","FQ3 2014","Currency=INR","Period=FQ","BEST_FPERIOD_OVERRIDE=FQ","FILING_STATUS=OR","EQY_CONSOLIDATED=Y","Sort=A","Dates=H","DateFormat=P","Fill=—","Direction=H","UseDPDF=Y")</f>
        <v>#NAME?</v>
      </c>
      <c r="AF56" s="2" t="e">
        <f ca="1">_xll.BDH($C$53,"ACCOUNTS_PAYABLE_GROWTH_1YR","FQ3 2014","FQ3 2014","Currency=INR","Period=FQ","BEST_FPERIOD_OVERRIDE=FQ","FILING_STATUS=OR","EQY_CONSOLIDATED=Y","Sort=A","Dates=H","DateFormat=P","Fill=—","Direction=H","UseDPDF=Y")</f>
        <v>#NAME?</v>
      </c>
      <c r="AG56" s="2" t="e">
        <f ca="1">_xll.BDH($C$53,"SHORT_TERM_DEBT_1_YEAR_GROWTH","FQ3 2014","FQ3 2014","Currency=INR","Period=FQ","BEST_FPERIOD_OVERRIDE=FQ","FILING_STATUS=OR","EQY_CONSOLIDATED=Y","Sort=A","Dates=H","DateFormat=P","Fill=—","Direction=H","UseDPDF=Y")</f>
        <v>#NAME?</v>
      </c>
      <c r="AH56" s="2" t="e">
        <f ca="1">_xll.BDH($C$53,"TOTAL_DEBT_1_YEAR_GROWTH","FQ3 2014","FQ3 2014","Currency=INR","Period=FQ","BEST_FPERIOD_OVERRIDE=FQ","FILING_STATUS=OR","EQY_CONSOLIDATED=Y","Sort=A","Dates=H","DateFormat=P","Fill=—","Direction=H","UseDPDF=Y")</f>
        <v>#NAME?</v>
      </c>
      <c r="AI56" s="2" t="e">
        <f ca="1">_xll.BDH($C$53,"TOTAL_EQUITY_1_YEAR_GROWTH","FQ3 2014","FQ3 2014","Currency=INR","Period=FQ","BEST_FPERIOD_OVERRIDE=FQ","FILING_STATUS=OR","EQY_CONSOLIDATED=Y","Sort=A","Dates=H","DateFormat=P","Fill=—","Direction=H","UseDPDF=Y")</f>
        <v>#NAME?</v>
      </c>
      <c r="AJ56" s="2" t="e">
        <f ca="1">_xll.BDH($C$53,"GROWTH_IN_CAP","FQ3 2014","FQ3 2014","Currency=INR","Period=FQ","BEST_FPERIOD_OVERRIDE=FQ","FILING_STATUS=OR","EQY_CONSOLIDATED=Y","Sort=A","Dates=H","DateFormat=P","Fill=—","Direction=H","UseDPDF=Y")</f>
        <v>#NAME?</v>
      </c>
      <c r="AK56" s="2" t="e">
        <f ca="1">_xll.BDH($C$53,"BVPS_GROWTH","FQ3 2014","FQ3 2014","Currency=INR","Period=FQ","BEST_FPERIOD_OVERRIDE=FQ","FILING_STATUS=OR","EQY_CONSOLIDATED=Y","Sort=A","Dates=H","DateFormat=P","Fill=—","Direction=H","UseDPDF=Y")</f>
        <v>#NAME?</v>
      </c>
      <c r="AL56" s="2" t="e">
        <f ca="1">_xll.BDH($C$53,"CASH_FLOW_GROWTH","FQ3 2014","FQ3 2014","Currency=INR","Period=FQ","BEST_FPERIOD_OVERRIDE=FQ","FILING_STATUS=OR","EQY_CONSOLIDATED=Y","Sort=A","Dates=H","DateFormat=P","Fill=—","Direction=H","UseDPDF=Y")</f>
        <v>#NAME?</v>
      </c>
      <c r="AM56" s="2" t="e">
        <f ca="1">_xll.BDH($C$53,"GEO_GROW_NET_SALES","FQ3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56" s="2" t="e">
        <f ca="1">_xll.BDH($C$53,"GEO_GROW_EBITDA","FQ3 2014","FQ3 2014","Currency=INR","Period=FQ","BEST_FPERIOD_OVERRIDE=FQ","FILING_STATUS=OR","EQY_CONSOLIDATED=Y","FA_ADJUSTED=GAAP","Sort=A","Dates=H","DateFormat=P","Fill=—","Direction=H","UseDPDF=Y")</f>
        <v>#NAME?</v>
      </c>
      <c r="AO56" s="2" t="e">
        <f ca="1">_xll.BDH($C$53,"GEO_GROW_OPER_INC","FQ3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56" s="2" t="e">
        <f ca="1">_xll.BDH($C$53,"NET_INCOME_TO_COMMON_5_YR_GROWTH","FQ3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56" s="2" t="e">
        <f ca="1">_xll.BDH($C$53,"5Y_GEO_GROWTH_DILUTED_EPS","FQ3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56" s="2" t="e">
        <f ca="1">_xll.BDH($C$53,"GEO_GROW_DVD_PER_SH","FQ3 2014","FQ3 2014","Currency=INR","Period=FQ","BEST_FPERIOD_OVERRIDE=FQ","FILING_STATUS=OR","EQY_CONSOLIDATED=Y","Sort=A","Dates=H","DateFormat=P","Fill=—","Direction=H","UseDPDF=Y")</f>
        <v>#NAME?</v>
      </c>
      <c r="AS56" s="2" t="e">
        <f ca="1">_xll.BDH($C$53,"ACCOUNTS_RECEIVABLE_5_YR_GROWTH","FQ3 2014","FQ3 2014","Currency=INR","Period=FQ","BEST_FPERIOD_OVERRIDE=FQ","FILING_STATUS=OR","EQY_CONSOLIDATED=Y","Sort=A","Dates=H","DateFormat=P","Fill=—","Direction=H","UseDPDF=Y")</f>
        <v>#NAME?</v>
      </c>
      <c r="AT56" s="2" t="e">
        <f ca="1">_xll.BDH($C$53,"INVENTORY_5_YEAR_GROWTH","FQ3 2014","FQ3 2014","Currency=INR","Period=FQ","BEST_FPERIOD_OVERRIDE=FQ","FILING_STATUS=OR","EQY_CONSOLIDATED=Y","Sort=A","Dates=H","DateFormat=P","Fill=—","Direction=H","UseDPDF=Y")</f>
        <v>#NAME?</v>
      </c>
      <c r="AU56" s="2" t="e">
        <f ca="1">_xll.BDH($C$53,"NET_FIXED_ASSETS_5_YEAR_GROWTH","FQ3 2014","FQ3 2014","Currency=INR","Period=FQ","BEST_FPERIOD_OVERRIDE=FQ","FILING_STATUS=OR","EQY_CONSOLIDATED=Y","Sort=A","Dates=H","DateFormat=P","Fill=—","Direction=H","UseDPDF=Y")</f>
        <v>#NAME?</v>
      </c>
      <c r="AV56" s="2" t="e">
        <f ca="1">_xll.BDH($C$53,"GEO_GROW_TOT_ASSET","FQ3 2014","FQ3 2014","Currency=INR","Period=FQ","BEST_FPERIOD_OVERRIDE=FQ","FILING_STATUS=OR","EQY_CONSOLIDATED=Y","Sort=A","Dates=H","DateFormat=P","Fill=—","Direction=H","UseDPDF=Y")</f>
        <v>#NAME?</v>
      </c>
      <c r="AW56" s="2" t="e">
        <f ca="1">_xll.BDH($C$53,"MODIFIED_WORKING_CPTL_5YR_GRWTH","FQ3 2014","FQ3 2014","Currency=INR","Period=FQ","BEST_FPERIOD_OVERRIDE=FQ","FILING_STATUS=OR","EQY_CONSOLIDATED=Y","Sort=A","Dates=H","DateFormat=P","Fill=—","Direction=H","UseDPDF=Y")</f>
        <v>#NAME?</v>
      </c>
      <c r="AX56" s="2" t="e">
        <f ca="1">_xll.BDH($C$53,"WORKING_CAPITAL_5_YEAR_GROWTH","FQ3 2014","FQ3 2014","Currency=INR","Period=FQ","BEST_FPERIOD_OVERRIDE=FQ","FILING_STATUS=OR","EQY_CONSOLIDATED=Y","Sort=A","Dates=H","DateFormat=P","Fill=—","Direction=H","UseDPDF=Y")</f>
        <v>#NAME?</v>
      </c>
      <c r="AY56" s="2" t="e">
        <f ca="1">_xll.BDH($C$53,"ACCOUNTS_PAYABLE_5_YEAR_GROWTH","FQ3 2014","FQ3 2014","Currency=INR","Period=FQ","BEST_FPERIOD_OVERRIDE=FQ","FILING_STATUS=OR","EQY_CONSOLIDATED=Y","Sort=A","Dates=H","DateFormat=P","Fill=—","Direction=H","UseDPDF=Y")</f>
        <v>#NAME?</v>
      </c>
      <c r="AZ56" s="2" t="e">
        <f ca="1">_xll.BDH($C$53,"SHORT_TERM_DEBT_5_YEAR_GROWTH","FQ3 2014","FQ3 2014","Currency=INR","Period=FQ","BEST_FPERIOD_OVERRIDE=FQ","FILING_STATUS=OR","EQY_CONSOLIDATED=Y","Sort=A","Dates=H","DateFormat=P","Fill=—","Direction=H","UseDPDF=Y")</f>
        <v>#NAME?</v>
      </c>
      <c r="BA56" s="2" t="e">
        <f ca="1">_xll.BDH($C$53,"TOTAL_DEBT_5_YEAR_GROWTH","FQ3 2014","FQ3 2014","Currency=INR","Period=FQ","BEST_FPERIOD_OVERRIDE=FQ","FILING_STATUS=OR","EQY_CONSOLIDATED=Y","Sort=A","Dates=H","DateFormat=P","Fill=—","Direction=H","UseDPDF=Y")</f>
        <v>#NAME?</v>
      </c>
      <c r="BB56" s="2" t="e">
        <f ca="1">_xll.BDH($C$53,"GEO_GROW_TOT_SHRHLDR_EQY","FQ3 2014","FQ3 2014","Currency=INR","Period=FQ","BEST_FPERIOD_OVERRIDE=FQ","FILING_STATUS=OR","EQY_CONSOLIDATED=Y","Sort=A","Dates=H","DateFormat=P","Fill=—","Direction=H","UseDPDF=Y")</f>
        <v>#NAME?</v>
      </c>
      <c r="BC56" s="2" t="e">
        <f ca="1">_xll.BDH($C$53,"TOTAL_CAPITAL_5_YEAR_GROWTH","FQ3 2014","FQ3 2014","Currency=INR","Period=FQ","BEST_FPERIOD_OVERRIDE=FQ","FILING_STATUS=OR","EQY_CONSOLIDATED=Y","Sort=A","Dates=H","DateFormat=P","Fill=—","Direction=H","UseDPDF=Y")</f>
        <v>#NAME?</v>
      </c>
      <c r="BD56" s="2" t="e">
        <f ca="1">_xll.BDH($C$53,"GEO_GROW_BOOK_VAL","FQ3 2014","FQ3 2014","Currency=INR","Period=FQ","BEST_FPERIOD_OVERRIDE=FQ","FILING_STATUS=OR","EQY_CONSOLIDATED=Y","Sort=A","Dates=H","DateFormat=P","Fill=—","Direction=H","UseDPDF=Y")</f>
        <v>#NAME?</v>
      </c>
      <c r="BE56" s="2" t="e">
        <f ca="1">_xll.BDH($C$53,"GEO_GROW_CASH_OPER_ACT","FQ3 2014","FQ3 2014","Currency=INR","Period=FQ","BEST_FPERIOD_OVERRIDE=FQ","FILING_STATUS=OR","EQY_CONSOLIDATED=Y","Sort=A","Dates=H","DateFormat=P","Fill=—","Direction=H","UseDPDF=Y")</f>
        <v>#NAME?</v>
      </c>
      <c r="BF56" s="2" t="e">
        <f ca="1">_xll.BDH($C$53,"REVENUE_SEQUENTIAL_GROWTH","FQ3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56" s="2" t="e">
        <f ca="1">_xll.BDH($C$53,"EBITDA_SEQUENTIAL_GROWTH","FQ3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56" s="2" t="e">
        <f ca="1">_xll.BDH($C$53,"OPERATING_INCOME_SEQ_GROWTH","FQ3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56" s="2" t="e">
        <f ca="1">_xll.BDH($C$53,"NET_INCOME_TO_COMMON_SEQ_GROWTH","FQ3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56" s="2" t="e">
        <f ca="1">_xll.BDH($C$53,"EPS_DILUTED_SEQUENTIAL_GROWTH","FQ3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56" s="2" t="e">
        <f ca="1">_xll.BDH($C$53,"DPS_SEQUENTIAL_GROWTH","FQ3 2014","FQ3 2014","Currency=INR","Period=FQ","BEST_FPERIOD_OVERRIDE=FQ","FILING_STATUS=OR","EQY_CONSOLIDATED=Y","Sort=A","Dates=H","DateFormat=P","Fill=—","Direction=H","UseDPDF=Y")</f>
        <v>#NAME?</v>
      </c>
      <c r="BL56" s="2" t="e">
        <f ca="1">_xll.BDH($C$53,"ACCOUNTS_RECEIVABLE_SEQ_GROWTH","FQ3 2014","FQ3 2014","Currency=INR","Period=FQ","BEST_FPERIOD_OVERRIDE=FQ","FILING_STATUS=OR","EQY_CONSOLIDATED=Y","Sort=A","Dates=H","DateFormat=P","Fill=—","Direction=H","UseDPDF=Y")</f>
        <v>#NAME?</v>
      </c>
      <c r="BM56" s="2" t="e">
        <f ca="1">_xll.BDH($C$53,"INVENTORY_SEQUENTIAL_GROWTH","FQ3 2014","FQ3 2014","Currency=INR","Period=FQ","BEST_FPERIOD_OVERRIDE=FQ","FILING_STATUS=OR","EQY_CONSOLIDATED=Y","Sort=A","Dates=H","DateFormat=P","Fill=—","Direction=H","UseDPDF=Y")</f>
        <v>#NAME?</v>
      </c>
      <c r="BN56" s="2" t="e">
        <f ca="1">_xll.BDH($C$53,"FIXED_ASSETS_SEQUENTIAL_GROWTH","FQ3 2014","FQ3 2014","Currency=INR","Period=FQ","BEST_FPERIOD_OVERRIDE=FQ","FILING_STATUS=OR","EQY_CONSOLIDATED=Y","Sort=A","Dates=H","DateFormat=P","Fill=—","Direction=H","UseDPDF=Y")</f>
        <v>#NAME?</v>
      </c>
      <c r="BO56" s="2" t="e">
        <f ca="1">_xll.BDH($C$53,"TOTAL_ASSETS_SEQUENTIAL_GROWTH","FQ3 2014","FQ3 2014","Currency=INR","Period=FQ","BEST_FPERIOD_OVERRIDE=FQ","FILING_STATUS=OR","EQY_CONSOLIDATED=Y","Sort=A","Dates=H","DateFormat=P","Fill=—","Direction=H","UseDPDF=Y")</f>
        <v>#NAME?</v>
      </c>
      <c r="BP56" s="2" t="e">
        <f ca="1">_xll.BDH($C$53,"MODIFIED_WORKING_CPTL_SEQ_GRWTH","FQ3 2014","FQ3 2014","Currency=INR","Period=FQ","BEST_FPERIOD_OVERRIDE=FQ","FILING_STATUS=OR","EQY_CONSOLIDATED=Y","Sort=A","Dates=H","DateFormat=P","Fill=—","Direction=H","UseDPDF=Y")</f>
        <v>#NAME?</v>
      </c>
      <c r="BQ56" s="2" t="e">
        <f ca="1">_xll.BDH($C$53,"WORKING_CAPITAL_SEQ_GROWTH","FQ3 2014","FQ3 2014","Currency=INR","Period=FQ","BEST_FPERIOD_OVERRIDE=FQ","FILING_STATUS=OR","EQY_CONSOLIDATED=Y","Sort=A","Dates=H","DateFormat=P","Fill=—","Direction=H","UseDPDF=Y")</f>
        <v>#NAME?</v>
      </c>
      <c r="BR56" s="2" t="e">
        <f ca="1">_xll.BDH($C$53,"ACCOUNTS_PAYABLE_SEQ_GROWTH","FQ3 2014","FQ3 2014","Currency=INR","Period=FQ","BEST_FPERIOD_OVERRIDE=FQ","FILING_STATUS=OR","EQY_CONSOLIDATED=Y","Sort=A","Dates=H","DateFormat=P","Fill=—","Direction=H","UseDPDF=Y")</f>
        <v>#NAME?</v>
      </c>
      <c r="BS56" s="2" t="e">
        <f ca="1">_xll.BDH($C$53,"ST_DEBT_SEQUENTIAL_GROWTH","FQ3 2014","FQ3 2014","Currency=INR","Period=FQ","BEST_FPERIOD_OVERRIDE=FQ","FILING_STATUS=OR","EQY_CONSOLIDATED=Y","Sort=A","Dates=H","DateFormat=P","Fill=—","Direction=H","UseDPDF=Y")</f>
        <v>#NAME?</v>
      </c>
      <c r="BT56" s="2" t="e">
        <f ca="1">_xll.BDH($C$53,"TOTAL_DEBT_SEQUENTIAL_GROWTH","FQ3 2014","FQ3 2014","Currency=INR","Period=FQ","BEST_FPERIOD_OVERRIDE=FQ","FILING_STATUS=OR","EQY_CONSOLIDATED=Y","Sort=A","Dates=H","DateFormat=P","Fill=—","Direction=H","UseDPDF=Y")</f>
        <v>#NAME?</v>
      </c>
      <c r="BU56" s="2" t="e">
        <f ca="1">_xll.BDH($C$53,"TOTAL_EQUITY_SEQUENTIAL_GROWTH","FQ3 2014","FQ3 2014","Currency=INR","Period=FQ","BEST_FPERIOD_OVERRIDE=FQ","FILING_STATUS=OR","EQY_CONSOLIDATED=Y","Sort=A","Dates=H","DateFormat=P","Fill=—","Direction=H","UseDPDF=Y")</f>
        <v>#NAME?</v>
      </c>
      <c r="BV56" s="2" t="e">
        <f ca="1">_xll.BDH($C$53,"TOTAL_CAPITAL_SEQUENTIAL_GROWTH","FQ3 2014","FQ3 2014","Currency=INR","Period=FQ","BEST_FPERIOD_OVERRIDE=FQ","FILING_STATUS=OR","EQY_CONSOLIDATED=Y","Sort=A","Dates=H","DateFormat=P","Fill=—","Direction=H","UseDPDF=Y")</f>
        <v>#NAME?</v>
      </c>
      <c r="BW56" s="2" t="e">
        <f ca="1">_xll.BDH($C$53,"BPS_SEQUENTIAL_GROWTH","FQ3 2014","FQ3 2014","Currency=INR","Period=FQ","BEST_FPERIOD_OVERRIDE=FQ","FILING_STATUS=OR","EQY_CONSOLIDATED=Y","Sort=A","Dates=H","DateFormat=P","Fill=—","Direction=H","UseDPDF=Y")</f>
        <v>#NAME?</v>
      </c>
      <c r="BX56" s="2" t="e">
        <f ca="1">_xll.BDH($C$53,"CFO_SEQUENTIAL_GROWTH","FQ3 2014","FQ3 2014","Currency=INR","Period=FQ","BEST_FPERIOD_OVERRIDE=FQ","FILING_STATUS=OR","EQY_CONSOLIDATED=Y","Sort=A","Dates=H","DateFormat=P","Fill=—","Direction=H","UseDPDF=Y")</f>
        <v>#NAME?</v>
      </c>
      <c r="BY56" s="3" t="e">
        <f ca="1">_xll.BDH($C$53,"SHORT_AND_LONG_TERM_DEBT","FQ3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56" s="3" t="e">
        <f ca="1">_xll.BDH($C$53,"BS_ST_BORROW","FQ3 2014","FQ3 2014","Currency=INR","Period=FQ","BEST_FPERIOD_OVERRIDE=FQ","FILING_STATUS=OR","EQY_CONSOLIDATED=Y","SCALING_FORMAT=MLN","Sort=A","Dates=H","DateFormat=P","Fill=—","Direction=H","UseDPDF=Y")</f>
        <v>#NAME?</v>
      </c>
      <c r="CA56" s="3" t="e">
        <f ca="1">_xll.BDH($C$53,"BS_LT_BORROW","FQ3 2014","FQ3 2014","Currency=INR","Period=FQ","BEST_FPERIOD_OVERRIDE=FQ","FILING_STATUS=OR","EQY_CONSOLIDATED=Y","SCALING_FORMAT=MLN","Sort=A","Dates=H","DateFormat=P","Fill=—","Direction=H","UseDPDF=Y")</f>
        <v>#NAME?</v>
      </c>
      <c r="CB56" s="2" t="e">
        <f ca="1">_xll.BDH($C$53,"TOT_DEBT_TO_EBITDA","FQ3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56" s="2" t="e">
        <f ca="1">_xll.BDH($C$53,"NET_DEBT_TO_EBITDA","FQ3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56" s="2" t="e">
        <f ca="1">_xll.BDH($C$53,"TOTAL_DEBT_TO_EBIT","FQ3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56" s="2" t="e">
        <f ca="1">_xll.BDH($C$53,"NET_DEBT_TO_EBIT","FQ3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56" s="2" t="e">
        <f ca="1">_xll.BDH($C$53,"EBITDA_TO_INTEREST_EXPN","FQ3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56" s="2" t="e">
        <f ca="1">_xll.BDH($C$53,"COM_EQY_TO_TOT_ASSET","FQ3 2014","FQ3 2014","Currency=INR","Period=FQ","BEST_FPERIOD_OVERRIDE=FQ","FILING_STATUS=OR","EQY_CONSOLIDATED=Y","Sort=A","Dates=H","DateFormat=P","Fill=—","Direction=H","UseDPDF=Y")</f>
        <v>#NAME?</v>
      </c>
      <c r="CH56" s="2" t="e">
        <f ca="1">_xll.BDH($C$53,"LT_DEBT_TO_TOT_EQY","FQ3 2014","FQ3 2014","Currency=INR","Period=FQ","BEST_FPERIOD_OVERRIDE=FQ","FILING_STATUS=OR","EQY_CONSOLIDATED=Y","Sort=A","Dates=H","DateFormat=P","Fill=—","Direction=H","UseDPDF=Y")</f>
        <v>#NAME?</v>
      </c>
      <c r="CI56" s="2" t="e">
        <f ca="1">_xll.BDH($C$53,"LT_DEBT_TO_TOT_CAP","FQ3 2014","FQ3 2014","Currency=INR","Period=FQ","BEST_FPERIOD_OVERRIDE=FQ","FILING_STATUS=OR","EQY_CONSOLIDATED=Y","Sort=A","Dates=H","DateFormat=P","Fill=—","Direction=H","UseDPDF=Y")</f>
        <v>#NAME?</v>
      </c>
      <c r="CJ56" s="2" t="e">
        <f ca="1">_xll.BDH($C$53,"LT_DEBT_TO_TOT_ASSET","FQ3 2014","FQ3 2014","Currency=INR","Period=FQ","BEST_FPERIOD_OVERRIDE=FQ","FILING_STATUS=OR","EQY_CONSOLIDATED=Y","Sort=A","Dates=H","DateFormat=P","Fill=—","Direction=H","UseDPDF=Y")</f>
        <v>#NAME?</v>
      </c>
      <c r="CK56" s="2" t="e">
        <f ca="1">_xll.BDH($C$53,"TOT_DEBT_TO_TOT_EQY","FQ3 2014","FQ3 2014","Currency=INR","Period=FQ","BEST_FPERIOD_OVERRIDE=FQ","FILING_STATUS=OR","EQY_CONSOLIDATED=Y","Sort=A","Dates=H","DateFormat=P","Fill=—","Direction=H","UseDPDF=Y")</f>
        <v>#NAME?</v>
      </c>
      <c r="CL56" s="2" t="e">
        <f ca="1">_xll.BDH($C$53,"TOT_DEBT_TO_TOT_CAP","FQ3 2014","FQ3 2014","Currency=INR","Period=FQ","BEST_FPERIOD_OVERRIDE=FQ","FILING_STATUS=OR","EQY_CONSOLIDATED=Y","Sort=A","Dates=H","DateFormat=P","Fill=—","Direction=H","UseDPDF=Y")</f>
        <v>#NAME?</v>
      </c>
      <c r="CM56" s="2" t="e">
        <f ca="1">_xll.BDH($C$53,"TOT_DEBT_TO_TOT_ASSET","FQ3 2014","FQ3 2014","Currency=INR","Period=FQ","BEST_FPERIOD_OVERRIDE=FQ","FILING_STATUS=OR","EQY_CONSOLIDATED=Y","Sort=A","Dates=H","DateFormat=P","Fill=—","Direction=H","UseDPDF=Y")</f>
        <v>#NAME?</v>
      </c>
      <c r="CN56" s="2" t="e">
        <f ca="1">_xll.BDH($C$53,"NET_DEBT_TO_SHRHLDR_EQTY","FQ3 2014","FQ3 2014","Currency=INR","Period=FQ","BEST_FPERIOD_OVERRIDE=FQ","FILING_STATUS=OR","EQY_CONSOLIDATED=Y","Sort=A","Dates=H","DateFormat=P","Fill=—","Direction=H","UseDPDF=Y")</f>
        <v>#NAME?</v>
      </c>
      <c r="CO56" s="2" t="e">
        <f ca="1">_xll.BDH($C$53,"NET_DEBT_%_CAPITAL","FQ3 2014","FQ3 2014","Currency=INR","Period=FQ","BEST_FPERIOD_OVERRIDE=FQ","FILING_STATUS=OR","EQY_CONSOLIDATED=Y","Sort=A","Dates=H","DateFormat=P","Fill=—","Direction=H","UseDPDF=Y")</f>
        <v>#NAME?</v>
      </c>
      <c r="CP56" s="3" t="e">
        <f ca="1">_xll.BDH($C$53,"EBITDA","FQ3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56" s="3" t="e">
        <f ca="1">_xll.BDH($C$53,"EBITDA_AFTER_CAPEX","FQ3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56" s="3" t="e">
        <f ca="1">_xll.BDH($C$53,"IS_OPER_INC","FQ3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56" s="2" t="e">
        <f ca="1">_xll.BDH($C$53,"CASH_RATIO","FQ3 2014","FQ3 2014","Currency=INR","Period=FQ","BEST_FPERIOD_OVERRIDE=FQ","FILING_STATUS=OR","EQY_CONSOLIDATED=Y","Sort=A","Dates=H","DateFormat=P","Fill=—","Direction=H","UseDPDF=Y")</f>
        <v>#NAME?</v>
      </c>
      <c r="CT56" s="2" t="e">
        <f ca="1">_xll.BDH($C$53,"CUR_RATIO","FQ3 2014","FQ3 2014","Currency=INR","Period=FQ","BEST_FPERIOD_OVERRIDE=FQ","FILING_STATUS=OR","EQY_CONSOLIDATED=Y","Sort=A","Dates=H","DateFormat=P","Fill=—","Direction=H","UseDPDF=Y")</f>
        <v>#NAME?</v>
      </c>
      <c r="CU56" s="2" t="e">
        <f ca="1">_xll.BDH($C$53,"QUICK_RATIO","FQ3 2014","FQ3 2014","Currency=INR","Period=FQ","BEST_FPERIOD_OVERRIDE=FQ","FILING_STATUS=OR","EQY_CONSOLIDATED=Y","Sort=A","Dates=H","DateFormat=P","Fill=—","Direction=H","UseDPDF=Y")</f>
        <v>#NAME?</v>
      </c>
      <c r="CV56" s="2" t="e">
        <f ca="1">_xll.BDH($C$53,"ALTMAN_Z_SCORE","FQ3 2014","FQ3 2014","Currency=INR","Period=FQ","BEST_FPERIOD_OVERRIDE=FQ","FILING_STATUS=OR","EQY_CONSOLIDATED=Y","Sort=A","Dates=H","DateFormat=P","Fill=—","Direction=H","UseDPDF=Y")</f>
        <v>#NAME?</v>
      </c>
      <c r="CW56" s="4" t="e">
        <f ca="1">_xll.BDH($C$53,"ACCT_RCV_TURN","FQ3 2014","FQ3 2014","Currency=INR","Period=FQ","BEST_FPERIOD_OVERRIDE=FQ","FILING_STATUS=OR","EQY_CONSOLIDATED=Y","FA_ADJUSTED=GAAP","Sort=A","Dates=H","DateFormat=P","Fill=—","Direction=H","UseDPDF=Y")</f>
        <v>#NAME?</v>
      </c>
      <c r="CX56" s="2" t="e">
        <f ca="1">_xll.BDH($C$53,"ACCT_RCV_DAYS","FQ3 2014","FQ3 2014","Currency=INR","Period=FQ","BEST_FPERIOD_OVERRIDE=FQ","FILING_STATUS=OR","EQY_CONSOLIDATED=Y","FA_ADJUSTED=GAAP","Sort=A","Dates=H","DateFormat=P","Fill=—","Direction=H","UseDPDF=Y")</f>
        <v>#NAME?</v>
      </c>
      <c r="CY56" s="4" t="e">
        <f ca="1">_xll.BDH($C$53,"INVENT_TURN","FQ3 2014","FQ3 2014","Currency=INR","Period=FQ","BEST_FPERIOD_OVERRIDE=FQ","FILING_STATUS=OR","EQY_CONSOLIDATED=Y","FA_ADJUSTED=GAAP","Sort=A","Dates=H","DateFormat=P","Fill=—","Direction=H","UseDPDF=Y")</f>
        <v>#NAME?</v>
      </c>
      <c r="CZ56" s="2" t="e">
        <f ca="1">_xll.BDH($C$53,"INVENT_DAYS","FQ3 2014","FQ3 2014","Currency=INR","Period=FQ","BEST_FPERIOD_OVERRIDE=FQ","FILING_STATUS=OR","EQY_CONSOLIDATED=Y","FA_ADJUSTED=GAAP","Sort=A","Dates=H","DateFormat=P","Fill=—","Direction=H","UseDPDF=Y")</f>
        <v>#NAME?</v>
      </c>
      <c r="DA56" s="4" t="e">
        <f ca="1">_xll.BDH($C$53,"ACCOUNTS_PAYABLE_TURNOVER","FQ3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56" s="2" t="e">
        <f ca="1">_xll.BDH($C$53,"ACCOUNTS_PAYABLE_TURNOVER_DAYS","FQ3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56" s="4" t="e">
        <f ca="1">_xll.BDH($C$53,"CASH_CONVERSION_CYCLE","FQ3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56" s="4" t="e">
        <f ca="1">_xll.BDH($C$53,"INV_TO_CASH_DAYS","FQ3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56" s="5" t="e">
        <f ca="1">_xll.BDH($C$53,"BS_INVENTORIES","FQ3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56" s="3" t="e">
        <f ca="1">_xll.BDH($C$53,"INVTRY_RAW_MATERIALS","FQ3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56" s="3" t="e">
        <f ca="1">_xll.BDH($C$53,"INVTRY_IN_PROGRESS","FQ3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56" s="3" t="e">
        <f ca="1">_xll.BDH($C$53,"INVTRY_FINISHED_GOODS","FQ3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56" s="3" t="e">
        <f ca="1">_xll.BDH($C$53,"BS_OTHER_INV","FQ3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57" spans="1:113" x14ac:dyDescent="0.3">
      <c r="A57" s="6"/>
      <c r="B57" s="6"/>
      <c r="C57" s="6"/>
      <c r="D57" s="6"/>
      <c r="E57" t="s">
        <v>81</v>
      </c>
      <c r="F57" t="e">
        <f ca="1">_xll.BDH($C$53,"RETURN_COM_EQY","FQ4 2014","FQ4 2014","Currency=INR","Period=FQ","BEST_FPERIOD_OVERRIDE=FQ","FILING_STATUS=OR","EQY_CONSOLIDATED=Y","FA_ADJUSTED=GAAP","Sort=A","Dates=H","DateFormat=P","Fill=—","Direction=H","UseDPDF=Y")</f>
        <v>#NAME?</v>
      </c>
      <c r="G57" t="e">
        <f ca="1">_xll.BDH($C$53,"RETURN_ON_ASSET","FQ4 2014","FQ4 2014","Currency=INR","Period=FQ","BEST_FPERIOD_OVERRIDE=FQ","FILING_STATUS=OR","EQY_CONSOLIDATED=Y","FA_ADJUSTED=GAAP","Sort=A","Dates=H","DateFormat=P","Fill=—","Direction=H","UseDPDF=Y")</f>
        <v>#NAME?</v>
      </c>
      <c r="H57" t="e">
        <f ca="1">_xll.BDH($C$53,"RETURN_ON_CAP","FQ4 2014","FQ4 2014","Currency=INR","Period=FQ","BEST_FPERIOD_OVERRIDE=FQ","FILING_STATUS=OR","EQY_CONSOLIDATED=Y","FA_ADJUSTED=GAAP","Sort=A","Dates=H","DateFormat=P","Fill=—","Direction=H","UseDPDF=Y")</f>
        <v>#NAME?</v>
      </c>
      <c r="I57" t="e">
        <f ca="1">_xll.BDH($C$53,"RETURN_ON_INV_CAPITAL","FQ4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57" t="e">
        <f ca="1">_xll.BDH($C$53,"EBITDA_TO_REVENUE","FQ4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57" t="e">
        <f ca="1">_xll.BDH($C$53,"OPER_MARGIN","FQ4 2014","FQ4 2014","Currency=INR","Period=FQ","BEST_FPERIOD_OVERRIDE=FQ","FILING_STATUS=OR","EQY_CONSOLIDATED=Y","FA_ADJUSTED=GAAP","Sort=A","Dates=H","DateFormat=P","Fill=—","Direction=H","UseDPDF=Y")</f>
        <v>#NAME?</v>
      </c>
      <c r="L57" t="e">
        <f ca="1">_xll.BDH($C$53,"INCREMENTAL_OPERATING_MARGIN","FQ4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57" t="e">
        <f ca="1">_xll.BDH($C$53,"PRETAX_INC_TO_NET_SALES","FQ4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57" t="e">
        <f ca="1">_xll.BDH($C$53,"INC_BEF_XO_ITEMS_TO_NET_SALES","FQ4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57" t="e">
        <f ca="1">_xll.BDH($C$53,"PROF_MARGIN","FQ4 2014","FQ4 2014","Currency=INR","Period=FQ","BEST_FPERIOD_OVERRIDE=FQ","FILING_STATUS=OR","EQY_CONSOLIDATED=Y","FA_ADJUSTED=GAAP","Sort=A","Dates=H","DateFormat=P","Fill=—","Direction=H","UseDPDF=Y")</f>
        <v>#NAME?</v>
      </c>
      <c r="P57" t="e">
        <f ca="1">_xll.BDH($C$53,"NET_INCOME_TO_COMMON_MARGIN","FQ4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57" t="e">
        <f ca="1">_xll.BDH($C$53,"EFF_TAX_RATE","FQ4 2014","FQ4 2014","Currency=INR","Period=FQ","BEST_FPERIOD_OVERRIDE=FQ","FILING_STATUS=OR","EQY_CONSOLIDATED=Y","FA_ADJUSTED=GAAP","Sort=A","Dates=H","DateFormat=P","Fill=—","Direction=H","UseDPDF=Y")</f>
        <v>#NAME?</v>
      </c>
      <c r="R57" t="e">
        <f ca="1">_xll.BDH($C$53,"DVD_PAYOUT_RATIO","FQ4 2014","FQ4 2014","Currency=INR","Period=FQ","BEST_FPERIOD_OVERRIDE=FQ","FILING_STATUS=OR","EQY_CONSOLIDATED=Y","FA_ADJUSTED=GAAP","Sort=A","Dates=H","DateFormat=P","Fill=—","Direction=H","UseDPDF=Y")</f>
        <v>#NAME?</v>
      </c>
      <c r="S57" t="e">
        <f ca="1">_xll.BDH($C$53,"SUSTAIN_GROWTH_RT","FQ4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57" s="2" t="e">
        <f ca="1">_xll.BDH($C$53,"SALES_GROWTH","FQ4 2014","FQ4 2014","Currency=INR","Period=FQ","BEST_FPERIOD_OVERRIDE=FQ","FILING_STATUS=OR","EQY_CONSOLIDATED=Y","FA_ADJUSTED=GAAP","Sort=A","Dates=H","DateFormat=P","Fill=—","Direction=H","UseDPDF=Y")</f>
        <v>#NAME?</v>
      </c>
      <c r="U57" s="2" t="e">
        <f ca="1">_xll.BDH($C$53,"EBITDA_GROWTH","FQ4 2014","FQ4 2014","Currency=INR","Period=FQ","BEST_FPERIOD_OVERRIDE=FQ","FILING_STATUS=OR","EQY_CONSOLIDATED=Y","FA_ADJUSTED=GAAP","Sort=A","Dates=H","DateFormat=P","Fill=—","Direction=H","UseDPDF=Y")</f>
        <v>#NAME?</v>
      </c>
      <c r="V57" s="2" t="e">
        <f ca="1">_xll.BDH($C$53,"OPER_INC_GROWTH","FQ4 2014","FQ4 2014","Currency=INR","Period=FQ","BEST_FPERIOD_OVERRIDE=FQ","FILING_STATUS=OR","EQY_CONSOLIDATED=Y","FA_ADJUSTED=GAAP","Sort=A","Dates=H","DateFormat=P","Fill=—","Direction=H","UseDPDF=Y")</f>
        <v>#NAME?</v>
      </c>
      <c r="W57" s="2" t="e">
        <f ca="1">_xll.BDH($C$53,"EARN_FOR_COM_GROWTH","FQ4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57" s="2" t="e">
        <f ca="1">_xll.BDH($C$53,"DILUTED_EPS_AFT_XO_ITEMS_GROWTH","FQ4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57" s="2" t="e">
        <f ca="1">_xll.BDH($C$53,"DIVIDEND_PER_SHARE_1_YEAR_GROWTH","FQ4 2014","FQ4 2014","Currency=INR","Period=FQ","BEST_FPERIOD_OVERRIDE=FQ","FILING_STATUS=OR","EQY_CONSOLIDATED=Y","Sort=A","Dates=H","DateFormat=P","Fill=—","Direction=H","UseDPDF=Y")</f>
        <v>#NAME?</v>
      </c>
      <c r="Z57" s="2" t="e">
        <f ca="1">_xll.BDH($C$53,"ACCOUNTS_RECEIVABLE_GROWTH","FQ4 2014","FQ4 2014","Currency=INR","Period=FQ","BEST_FPERIOD_OVERRIDE=FQ","FILING_STATUS=OR","EQY_CONSOLIDATED=Y","Sort=A","Dates=H","DateFormat=P","Fill=—","Direction=H","UseDPDF=Y")</f>
        <v>#NAME?</v>
      </c>
      <c r="AA57" s="2" t="e">
        <f ca="1">_xll.BDH($C$53,"INVENTORY_GROWTH","FQ4 2014","FQ4 2014","Currency=INR","Period=FQ","BEST_FPERIOD_OVERRIDE=FQ","FILING_STATUS=OR","EQY_CONSOLIDATED=Y","Sort=A","Dates=H","DateFormat=P","Fill=—","Direction=H","UseDPDF=Y")</f>
        <v>#NAME?</v>
      </c>
      <c r="AB57" s="2" t="e">
        <f ca="1">_xll.BDH($C$53,"NET_FIXED_ASSETS_1_YEAR_GROWTH","FQ4 2014","FQ4 2014","Currency=INR","Period=FQ","BEST_FPERIOD_OVERRIDE=FQ","FILING_STATUS=OR","EQY_CONSOLIDATED=Y","Sort=A","Dates=H","DateFormat=P","Fill=—","Direction=H","UseDPDF=Y")</f>
        <v>#NAME?</v>
      </c>
      <c r="AC57" s="2" t="e">
        <f ca="1">_xll.BDH($C$53,"ASSET_GROWTH","FQ4 2014","FQ4 2014","Currency=INR","Period=FQ","BEST_FPERIOD_OVERRIDE=FQ","FILING_STATUS=OR","EQY_CONSOLIDATED=Y","Sort=A","Dates=H","DateFormat=P","Fill=—","Direction=H","UseDPDF=Y")</f>
        <v>#NAME?</v>
      </c>
      <c r="AD57" s="2" t="e">
        <f ca="1">_xll.BDH($C$53,"MODIFIED_WORK_CAP_GROWTH","FQ4 2014","FQ4 2014","Currency=INR","Period=FQ","BEST_FPERIOD_OVERRIDE=FQ","FILING_STATUS=OR","EQY_CONSOLIDATED=Y","Sort=A","Dates=H","DateFormat=P","Fill=—","Direction=H","UseDPDF=Y")</f>
        <v>#NAME?</v>
      </c>
      <c r="AE57" s="2" t="e">
        <f ca="1">_xll.BDH($C$53,"WORK_CAP_GROWTH","FQ4 2014","FQ4 2014","Currency=INR","Period=FQ","BEST_FPERIOD_OVERRIDE=FQ","FILING_STATUS=OR","EQY_CONSOLIDATED=Y","Sort=A","Dates=H","DateFormat=P","Fill=—","Direction=H","UseDPDF=Y")</f>
        <v>#NAME?</v>
      </c>
      <c r="AF57" s="2" t="e">
        <f ca="1">_xll.BDH($C$53,"ACCOUNTS_PAYABLE_GROWTH_1YR","FQ4 2014","FQ4 2014","Currency=INR","Period=FQ","BEST_FPERIOD_OVERRIDE=FQ","FILING_STATUS=OR","EQY_CONSOLIDATED=Y","Sort=A","Dates=H","DateFormat=P","Fill=—","Direction=H","UseDPDF=Y")</f>
        <v>#NAME?</v>
      </c>
      <c r="AG57" s="2" t="e">
        <f ca="1">_xll.BDH($C$53,"SHORT_TERM_DEBT_1_YEAR_GROWTH","FQ4 2014","FQ4 2014","Currency=INR","Period=FQ","BEST_FPERIOD_OVERRIDE=FQ","FILING_STATUS=OR","EQY_CONSOLIDATED=Y","Sort=A","Dates=H","DateFormat=P","Fill=—","Direction=H","UseDPDF=Y")</f>
        <v>#NAME?</v>
      </c>
      <c r="AH57" s="2" t="e">
        <f ca="1">_xll.BDH($C$53,"TOTAL_DEBT_1_YEAR_GROWTH","FQ4 2014","FQ4 2014","Currency=INR","Period=FQ","BEST_FPERIOD_OVERRIDE=FQ","FILING_STATUS=OR","EQY_CONSOLIDATED=Y","Sort=A","Dates=H","DateFormat=P","Fill=—","Direction=H","UseDPDF=Y")</f>
        <v>#NAME?</v>
      </c>
      <c r="AI57" s="2" t="e">
        <f ca="1">_xll.BDH($C$53,"TOTAL_EQUITY_1_YEAR_GROWTH","FQ4 2014","FQ4 2014","Currency=INR","Period=FQ","BEST_FPERIOD_OVERRIDE=FQ","FILING_STATUS=OR","EQY_CONSOLIDATED=Y","Sort=A","Dates=H","DateFormat=P","Fill=—","Direction=H","UseDPDF=Y")</f>
        <v>#NAME?</v>
      </c>
      <c r="AJ57" s="2" t="e">
        <f ca="1">_xll.BDH($C$53,"GROWTH_IN_CAP","FQ4 2014","FQ4 2014","Currency=INR","Period=FQ","BEST_FPERIOD_OVERRIDE=FQ","FILING_STATUS=OR","EQY_CONSOLIDATED=Y","Sort=A","Dates=H","DateFormat=P","Fill=—","Direction=H","UseDPDF=Y")</f>
        <v>#NAME?</v>
      </c>
      <c r="AK57" s="2" t="e">
        <f ca="1">_xll.BDH($C$53,"BVPS_GROWTH","FQ4 2014","FQ4 2014","Currency=INR","Period=FQ","BEST_FPERIOD_OVERRIDE=FQ","FILING_STATUS=OR","EQY_CONSOLIDATED=Y","Sort=A","Dates=H","DateFormat=P","Fill=—","Direction=H","UseDPDF=Y")</f>
        <v>#NAME?</v>
      </c>
      <c r="AL57" s="2" t="e">
        <f ca="1">_xll.BDH($C$53,"CASH_FLOW_GROWTH","FQ4 2014","FQ4 2014","Currency=INR","Period=FQ","BEST_FPERIOD_OVERRIDE=FQ","FILING_STATUS=OR","EQY_CONSOLIDATED=Y","Sort=A","Dates=H","DateFormat=P","Fill=—","Direction=H","UseDPDF=Y")</f>
        <v>#NAME?</v>
      </c>
      <c r="AM57" s="2" t="e">
        <f ca="1">_xll.BDH($C$53,"GEO_GROW_NET_SALES","FQ4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57" s="2" t="e">
        <f ca="1">_xll.BDH($C$53,"GEO_GROW_EBITDA","FQ4 2014","FQ4 2014","Currency=INR","Period=FQ","BEST_FPERIOD_OVERRIDE=FQ","FILING_STATUS=OR","EQY_CONSOLIDATED=Y","FA_ADJUSTED=GAAP","Sort=A","Dates=H","DateFormat=P","Fill=—","Direction=H","UseDPDF=Y")</f>
        <v>#NAME?</v>
      </c>
      <c r="AO57" s="2" t="e">
        <f ca="1">_xll.BDH($C$53,"GEO_GROW_OPER_INC","FQ4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57" s="2" t="e">
        <f ca="1">_xll.BDH($C$53,"NET_INCOME_TO_COMMON_5_YR_GROWTH","FQ4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57" s="2" t="e">
        <f ca="1">_xll.BDH($C$53,"5Y_GEO_GROWTH_DILUTED_EPS","FQ4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57" s="2" t="e">
        <f ca="1">_xll.BDH($C$53,"GEO_GROW_DVD_PER_SH","FQ4 2014","FQ4 2014","Currency=INR","Period=FQ","BEST_FPERIOD_OVERRIDE=FQ","FILING_STATUS=OR","EQY_CONSOLIDATED=Y","Sort=A","Dates=H","DateFormat=P","Fill=—","Direction=H","UseDPDF=Y")</f>
        <v>#NAME?</v>
      </c>
      <c r="AS57" s="2" t="e">
        <f ca="1">_xll.BDH($C$53,"ACCOUNTS_RECEIVABLE_5_YR_GROWTH","FQ4 2014","FQ4 2014","Currency=INR","Period=FQ","BEST_FPERIOD_OVERRIDE=FQ","FILING_STATUS=OR","EQY_CONSOLIDATED=Y","Sort=A","Dates=H","DateFormat=P","Fill=—","Direction=H","UseDPDF=Y")</f>
        <v>#NAME?</v>
      </c>
      <c r="AT57" s="2" t="e">
        <f ca="1">_xll.BDH($C$53,"INVENTORY_5_YEAR_GROWTH","FQ4 2014","FQ4 2014","Currency=INR","Period=FQ","BEST_FPERIOD_OVERRIDE=FQ","FILING_STATUS=OR","EQY_CONSOLIDATED=Y","Sort=A","Dates=H","DateFormat=P","Fill=—","Direction=H","UseDPDF=Y")</f>
        <v>#NAME?</v>
      </c>
      <c r="AU57" s="2" t="e">
        <f ca="1">_xll.BDH($C$53,"NET_FIXED_ASSETS_5_YEAR_GROWTH","FQ4 2014","FQ4 2014","Currency=INR","Period=FQ","BEST_FPERIOD_OVERRIDE=FQ","FILING_STATUS=OR","EQY_CONSOLIDATED=Y","Sort=A","Dates=H","DateFormat=P","Fill=—","Direction=H","UseDPDF=Y")</f>
        <v>#NAME?</v>
      </c>
      <c r="AV57" s="2" t="e">
        <f ca="1">_xll.BDH($C$53,"GEO_GROW_TOT_ASSET","FQ4 2014","FQ4 2014","Currency=INR","Period=FQ","BEST_FPERIOD_OVERRIDE=FQ","FILING_STATUS=OR","EQY_CONSOLIDATED=Y","Sort=A","Dates=H","DateFormat=P","Fill=—","Direction=H","UseDPDF=Y")</f>
        <v>#NAME?</v>
      </c>
      <c r="AW57" s="2" t="e">
        <f ca="1">_xll.BDH($C$53,"MODIFIED_WORKING_CPTL_5YR_GRWTH","FQ4 2014","FQ4 2014","Currency=INR","Period=FQ","BEST_FPERIOD_OVERRIDE=FQ","FILING_STATUS=OR","EQY_CONSOLIDATED=Y","Sort=A","Dates=H","DateFormat=P","Fill=—","Direction=H","UseDPDF=Y")</f>
        <v>#NAME?</v>
      </c>
      <c r="AX57" s="2" t="e">
        <f ca="1">_xll.BDH($C$53,"WORKING_CAPITAL_5_YEAR_GROWTH","FQ4 2014","FQ4 2014","Currency=INR","Period=FQ","BEST_FPERIOD_OVERRIDE=FQ","FILING_STATUS=OR","EQY_CONSOLIDATED=Y","Sort=A","Dates=H","DateFormat=P","Fill=—","Direction=H","UseDPDF=Y")</f>
        <v>#NAME?</v>
      </c>
      <c r="AY57" s="2" t="e">
        <f ca="1">_xll.BDH($C$53,"ACCOUNTS_PAYABLE_5_YEAR_GROWTH","FQ4 2014","FQ4 2014","Currency=INR","Period=FQ","BEST_FPERIOD_OVERRIDE=FQ","FILING_STATUS=OR","EQY_CONSOLIDATED=Y","Sort=A","Dates=H","DateFormat=P","Fill=—","Direction=H","UseDPDF=Y")</f>
        <v>#NAME?</v>
      </c>
      <c r="AZ57" s="2" t="e">
        <f ca="1">_xll.BDH($C$53,"SHORT_TERM_DEBT_5_YEAR_GROWTH","FQ4 2014","FQ4 2014","Currency=INR","Period=FQ","BEST_FPERIOD_OVERRIDE=FQ","FILING_STATUS=OR","EQY_CONSOLIDATED=Y","Sort=A","Dates=H","DateFormat=P","Fill=—","Direction=H","UseDPDF=Y")</f>
        <v>#NAME?</v>
      </c>
      <c r="BA57" s="2" t="e">
        <f ca="1">_xll.BDH($C$53,"TOTAL_DEBT_5_YEAR_GROWTH","FQ4 2014","FQ4 2014","Currency=INR","Period=FQ","BEST_FPERIOD_OVERRIDE=FQ","FILING_STATUS=OR","EQY_CONSOLIDATED=Y","Sort=A","Dates=H","DateFormat=P","Fill=—","Direction=H","UseDPDF=Y")</f>
        <v>#NAME?</v>
      </c>
      <c r="BB57" s="2" t="e">
        <f ca="1">_xll.BDH($C$53,"GEO_GROW_TOT_SHRHLDR_EQY","FQ4 2014","FQ4 2014","Currency=INR","Period=FQ","BEST_FPERIOD_OVERRIDE=FQ","FILING_STATUS=OR","EQY_CONSOLIDATED=Y","Sort=A","Dates=H","DateFormat=P","Fill=—","Direction=H","UseDPDF=Y")</f>
        <v>#NAME?</v>
      </c>
      <c r="BC57" s="2" t="e">
        <f ca="1">_xll.BDH($C$53,"TOTAL_CAPITAL_5_YEAR_GROWTH","FQ4 2014","FQ4 2014","Currency=INR","Period=FQ","BEST_FPERIOD_OVERRIDE=FQ","FILING_STATUS=OR","EQY_CONSOLIDATED=Y","Sort=A","Dates=H","DateFormat=P","Fill=—","Direction=H","UseDPDF=Y")</f>
        <v>#NAME?</v>
      </c>
      <c r="BD57" s="2" t="e">
        <f ca="1">_xll.BDH($C$53,"GEO_GROW_BOOK_VAL","FQ4 2014","FQ4 2014","Currency=INR","Period=FQ","BEST_FPERIOD_OVERRIDE=FQ","FILING_STATUS=OR","EQY_CONSOLIDATED=Y","Sort=A","Dates=H","DateFormat=P","Fill=—","Direction=H","UseDPDF=Y")</f>
        <v>#NAME?</v>
      </c>
      <c r="BE57" s="2" t="e">
        <f ca="1">_xll.BDH($C$53,"GEO_GROW_CASH_OPER_ACT","FQ4 2014","FQ4 2014","Currency=INR","Period=FQ","BEST_FPERIOD_OVERRIDE=FQ","FILING_STATUS=OR","EQY_CONSOLIDATED=Y","Sort=A","Dates=H","DateFormat=P","Fill=—","Direction=H","UseDPDF=Y")</f>
        <v>#NAME?</v>
      </c>
      <c r="BF57" s="2" t="e">
        <f ca="1">_xll.BDH($C$53,"REVENUE_SEQUENTIAL_GROWTH","FQ4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57" s="2" t="e">
        <f ca="1">_xll.BDH($C$53,"EBITDA_SEQUENTIAL_GROWTH","FQ4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57" s="2" t="e">
        <f ca="1">_xll.BDH($C$53,"OPERATING_INCOME_SEQ_GROWTH","FQ4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57" s="2" t="e">
        <f ca="1">_xll.BDH($C$53,"NET_INCOME_TO_COMMON_SEQ_GROWTH","FQ4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57" s="2" t="e">
        <f ca="1">_xll.BDH($C$53,"EPS_DILUTED_SEQUENTIAL_GROWTH","FQ4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57" s="2" t="e">
        <f ca="1">_xll.BDH($C$53,"DPS_SEQUENTIAL_GROWTH","FQ4 2014","FQ4 2014","Currency=INR","Period=FQ","BEST_FPERIOD_OVERRIDE=FQ","FILING_STATUS=OR","EQY_CONSOLIDATED=Y","Sort=A","Dates=H","DateFormat=P","Fill=—","Direction=H","UseDPDF=Y")</f>
        <v>#NAME?</v>
      </c>
      <c r="BL57" s="2" t="e">
        <f ca="1">_xll.BDH($C$53,"ACCOUNTS_RECEIVABLE_SEQ_GROWTH","FQ4 2014","FQ4 2014","Currency=INR","Period=FQ","BEST_FPERIOD_OVERRIDE=FQ","FILING_STATUS=OR","EQY_CONSOLIDATED=Y","Sort=A","Dates=H","DateFormat=P","Fill=—","Direction=H","UseDPDF=Y")</f>
        <v>#NAME?</v>
      </c>
      <c r="BM57" s="2" t="e">
        <f ca="1">_xll.BDH($C$53,"INVENTORY_SEQUENTIAL_GROWTH","FQ4 2014","FQ4 2014","Currency=INR","Period=FQ","BEST_FPERIOD_OVERRIDE=FQ","FILING_STATUS=OR","EQY_CONSOLIDATED=Y","Sort=A","Dates=H","DateFormat=P","Fill=—","Direction=H","UseDPDF=Y")</f>
        <v>#NAME?</v>
      </c>
      <c r="BN57" s="2" t="e">
        <f ca="1">_xll.BDH($C$53,"FIXED_ASSETS_SEQUENTIAL_GROWTH","FQ4 2014","FQ4 2014","Currency=INR","Period=FQ","BEST_FPERIOD_OVERRIDE=FQ","FILING_STATUS=OR","EQY_CONSOLIDATED=Y","Sort=A","Dates=H","DateFormat=P","Fill=—","Direction=H","UseDPDF=Y")</f>
        <v>#NAME?</v>
      </c>
      <c r="BO57" s="2" t="e">
        <f ca="1">_xll.BDH($C$53,"TOTAL_ASSETS_SEQUENTIAL_GROWTH","FQ4 2014","FQ4 2014","Currency=INR","Period=FQ","BEST_FPERIOD_OVERRIDE=FQ","FILING_STATUS=OR","EQY_CONSOLIDATED=Y","Sort=A","Dates=H","DateFormat=P","Fill=—","Direction=H","UseDPDF=Y")</f>
        <v>#NAME?</v>
      </c>
      <c r="BP57" s="2" t="e">
        <f ca="1">_xll.BDH($C$53,"MODIFIED_WORKING_CPTL_SEQ_GRWTH","FQ4 2014","FQ4 2014","Currency=INR","Period=FQ","BEST_FPERIOD_OVERRIDE=FQ","FILING_STATUS=OR","EQY_CONSOLIDATED=Y","Sort=A","Dates=H","DateFormat=P","Fill=—","Direction=H","UseDPDF=Y")</f>
        <v>#NAME?</v>
      </c>
      <c r="BQ57" s="2" t="e">
        <f ca="1">_xll.BDH($C$53,"WORKING_CAPITAL_SEQ_GROWTH","FQ4 2014","FQ4 2014","Currency=INR","Period=FQ","BEST_FPERIOD_OVERRIDE=FQ","FILING_STATUS=OR","EQY_CONSOLIDATED=Y","Sort=A","Dates=H","DateFormat=P","Fill=—","Direction=H","UseDPDF=Y")</f>
        <v>#NAME?</v>
      </c>
      <c r="BR57" s="2" t="e">
        <f ca="1">_xll.BDH($C$53,"ACCOUNTS_PAYABLE_SEQ_GROWTH","FQ4 2014","FQ4 2014","Currency=INR","Period=FQ","BEST_FPERIOD_OVERRIDE=FQ","FILING_STATUS=OR","EQY_CONSOLIDATED=Y","Sort=A","Dates=H","DateFormat=P","Fill=—","Direction=H","UseDPDF=Y")</f>
        <v>#NAME?</v>
      </c>
      <c r="BS57" s="2" t="e">
        <f ca="1">_xll.BDH($C$53,"ST_DEBT_SEQUENTIAL_GROWTH","FQ4 2014","FQ4 2014","Currency=INR","Period=FQ","BEST_FPERIOD_OVERRIDE=FQ","FILING_STATUS=OR","EQY_CONSOLIDATED=Y","Sort=A","Dates=H","DateFormat=P","Fill=—","Direction=H","UseDPDF=Y")</f>
        <v>#NAME?</v>
      </c>
      <c r="BT57" s="2" t="e">
        <f ca="1">_xll.BDH($C$53,"TOTAL_DEBT_SEQUENTIAL_GROWTH","FQ4 2014","FQ4 2014","Currency=INR","Period=FQ","BEST_FPERIOD_OVERRIDE=FQ","FILING_STATUS=OR","EQY_CONSOLIDATED=Y","Sort=A","Dates=H","DateFormat=P","Fill=—","Direction=H","UseDPDF=Y")</f>
        <v>#NAME?</v>
      </c>
      <c r="BU57" s="2" t="e">
        <f ca="1">_xll.BDH($C$53,"TOTAL_EQUITY_SEQUENTIAL_GROWTH","FQ4 2014","FQ4 2014","Currency=INR","Period=FQ","BEST_FPERIOD_OVERRIDE=FQ","FILING_STATUS=OR","EQY_CONSOLIDATED=Y","Sort=A","Dates=H","DateFormat=P","Fill=—","Direction=H","UseDPDF=Y")</f>
        <v>#NAME?</v>
      </c>
      <c r="BV57" s="2" t="e">
        <f ca="1">_xll.BDH($C$53,"TOTAL_CAPITAL_SEQUENTIAL_GROWTH","FQ4 2014","FQ4 2014","Currency=INR","Period=FQ","BEST_FPERIOD_OVERRIDE=FQ","FILING_STATUS=OR","EQY_CONSOLIDATED=Y","Sort=A","Dates=H","DateFormat=P","Fill=—","Direction=H","UseDPDF=Y")</f>
        <v>#NAME?</v>
      </c>
      <c r="BW57" s="2" t="e">
        <f ca="1">_xll.BDH($C$53,"BPS_SEQUENTIAL_GROWTH","FQ4 2014","FQ4 2014","Currency=INR","Period=FQ","BEST_FPERIOD_OVERRIDE=FQ","FILING_STATUS=OR","EQY_CONSOLIDATED=Y","Sort=A","Dates=H","DateFormat=P","Fill=—","Direction=H","UseDPDF=Y")</f>
        <v>#NAME?</v>
      </c>
      <c r="BX57" s="2" t="e">
        <f ca="1">_xll.BDH($C$53,"CFO_SEQUENTIAL_GROWTH","FQ4 2014","FQ4 2014","Currency=INR","Period=FQ","BEST_FPERIOD_OVERRIDE=FQ","FILING_STATUS=OR","EQY_CONSOLIDATED=Y","Sort=A","Dates=H","DateFormat=P","Fill=—","Direction=H","UseDPDF=Y")</f>
        <v>#NAME?</v>
      </c>
      <c r="BY57" s="3" t="e">
        <f ca="1">_xll.BDH($C$53,"SHORT_AND_LONG_TERM_DEBT","FQ4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57" s="3" t="e">
        <f ca="1">_xll.BDH($C$53,"BS_ST_BORROW","FQ4 2014","FQ4 2014","Currency=INR","Period=FQ","BEST_FPERIOD_OVERRIDE=FQ","FILING_STATUS=OR","EQY_CONSOLIDATED=Y","SCALING_FORMAT=MLN","Sort=A","Dates=H","DateFormat=P","Fill=—","Direction=H","UseDPDF=Y")</f>
        <v>#NAME?</v>
      </c>
      <c r="CA57" s="3" t="e">
        <f ca="1">_xll.BDH($C$53,"BS_LT_BORROW","FQ4 2014","FQ4 2014","Currency=INR","Period=FQ","BEST_FPERIOD_OVERRIDE=FQ","FILING_STATUS=OR","EQY_CONSOLIDATED=Y","SCALING_FORMAT=MLN","Sort=A","Dates=H","DateFormat=P","Fill=—","Direction=H","UseDPDF=Y")</f>
        <v>#NAME?</v>
      </c>
      <c r="CB57" s="2" t="e">
        <f ca="1">_xll.BDH($C$53,"TOT_DEBT_TO_EBITDA","FQ4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57" s="2" t="e">
        <f ca="1">_xll.BDH($C$53,"NET_DEBT_TO_EBITDA","FQ4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57" s="2" t="e">
        <f ca="1">_xll.BDH($C$53,"TOTAL_DEBT_TO_EBIT","FQ4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57" s="2" t="e">
        <f ca="1">_xll.BDH($C$53,"NET_DEBT_TO_EBIT","FQ4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57" s="2" t="e">
        <f ca="1">_xll.BDH($C$53,"EBITDA_TO_INTEREST_EXPN","FQ4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57" s="2" t="e">
        <f ca="1">_xll.BDH($C$53,"COM_EQY_TO_TOT_ASSET","FQ4 2014","FQ4 2014","Currency=INR","Period=FQ","BEST_FPERIOD_OVERRIDE=FQ","FILING_STATUS=OR","EQY_CONSOLIDATED=Y","Sort=A","Dates=H","DateFormat=P","Fill=—","Direction=H","UseDPDF=Y")</f>
        <v>#NAME?</v>
      </c>
      <c r="CH57" s="2" t="e">
        <f ca="1">_xll.BDH($C$53,"LT_DEBT_TO_TOT_EQY","FQ4 2014","FQ4 2014","Currency=INR","Period=FQ","BEST_FPERIOD_OVERRIDE=FQ","FILING_STATUS=OR","EQY_CONSOLIDATED=Y","Sort=A","Dates=H","DateFormat=P","Fill=—","Direction=H","UseDPDF=Y")</f>
        <v>#NAME?</v>
      </c>
      <c r="CI57" s="2" t="e">
        <f ca="1">_xll.BDH($C$53,"LT_DEBT_TO_TOT_CAP","FQ4 2014","FQ4 2014","Currency=INR","Period=FQ","BEST_FPERIOD_OVERRIDE=FQ","FILING_STATUS=OR","EQY_CONSOLIDATED=Y","Sort=A","Dates=H","DateFormat=P","Fill=—","Direction=H","UseDPDF=Y")</f>
        <v>#NAME?</v>
      </c>
      <c r="CJ57" s="2" t="e">
        <f ca="1">_xll.BDH($C$53,"LT_DEBT_TO_TOT_ASSET","FQ4 2014","FQ4 2014","Currency=INR","Period=FQ","BEST_FPERIOD_OVERRIDE=FQ","FILING_STATUS=OR","EQY_CONSOLIDATED=Y","Sort=A","Dates=H","DateFormat=P","Fill=—","Direction=H","UseDPDF=Y")</f>
        <v>#NAME?</v>
      </c>
      <c r="CK57" s="2" t="e">
        <f ca="1">_xll.BDH($C$53,"TOT_DEBT_TO_TOT_EQY","FQ4 2014","FQ4 2014","Currency=INR","Period=FQ","BEST_FPERIOD_OVERRIDE=FQ","FILING_STATUS=OR","EQY_CONSOLIDATED=Y","Sort=A","Dates=H","DateFormat=P","Fill=—","Direction=H","UseDPDF=Y")</f>
        <v>#NAME?</v>
      </c>
      <c r="CL57" s="2" t="e">
        <f ca="1">_xll.BDH($C$53,"TOT_DEBT_TO_TOT_CAP","FQ4 2014","FQ4 2014","Currency=INR","Period=FQ","BEST_FPERIOD_OVERRIDE=FQ","FILING_STATUS=OR","EQY_CONSOLIDATED=Y","Sort=A","Dates=H","DateFormat=P","Fill=—","Direction=H","UseDPDF=Y")</f>
        <v>#NAME?</v>
      </c>
      <c r="CM57" s="2" t="e">
        <f ca="1">_xll.BDH($C$53,"TOT_DEBT_TO_TOT_ASSET","FQ4 2014","FQ4 2014","Currency=INR","Period=FQ","BEST_FPERIOD_OVERRIDE=FQ","FILING_STATUS=OR","EQY_CONSOLIDATED=Y","Sort=A","Dates=H","DateFormat=P","Fill=—","Direction=H","UseDPDF=Y")</f>
        <v>#NAME?</v>
      </c>
      <c r="CN57" s="2" t="e">
        <f ca="1">_xll.BDH($C$53,"NET_DEBT_TO_SHRHLDR_EQTY","FQ4 2014","FQ4 2014","Currency=INR","Period=FQ","BEST_FPERIOD_OVERRIDE=FQ","FILING_STATUS=OR","EQY_CONSOLIDATED=Y","Sort=A","Dates=H","DateFormat=P","Fill=—","Direction=H","UseDPDF=Y")</f>
        <v>#NAME?</v>
      </c>
      <c r="CO57" s="2" t="e">
        <f ca="1">_xll.BDH($C$53,"NET_DEBT_%_CAPITAL","FQ4 2014","FQ4 2014","Currency=INR","Period=FQ","BEST_FPERIOD_OVERRIDE=FQ","FILING_STATUS=OR","EQY_CONSOLIDATED=Y","Sort=A","Dates=H","DateFormat=P","Fill=—","Direction=H","UseDPDF=Y")</f>
        <v>#NAME?</v>
      </c>
      <c r="CP57" s="3" t="e">
        <f ca="1">_xll.BDH($C$53,"EBITDA","FQ4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57" s="3" t="e">
        <f ca="1">_xll.BDH($C$53,"EBITDA_AFTER_CAPEX","FQ4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57" s="3" t="e">
        <f ca="1">_xll.BDH($C$53,"IS_OPER_INC","FQ4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57" s="2" t="e">
        <f ca="1">_xll.BDH($C$53,"CASH_RATIO","FQ4 2014","FQ4 2014","Currency=INR","Period=FQ","BEST_FPERIOD_OVERRIDE=FQ","FILING_STATUS=OR","EQY_CONSOLIDATED=Y","Sort=A","Dates=H","DateFormat=P","Fill=—","Direction=H","UseDPDF=Y")</f>
        <v>#NAME?</v>
      </c>
      <c r="CT57" s="2" t="e">
        <f ca="1">_xll.BDH($C$53,"CUR_RATIO","FQ4 2014","FQ4 2014","Currency=INR","Period=FQ","BEST_FPERIOD_OVERRIDE=FQ","FILING_STATUS=OR","EQY_CONSOLIDATED=Y","Sort=A","Dates=H","DateFormat=P","Fill=—","Direction=H","UseDPDF=Y")</f>
        <v>#NAME?</v>
      </c>
      <c r="CU57" s="2" t="e">
        <f ca="1">_xll.BDH($C$53,"QUICK_RATIO","FQ4 2014","FQ4 2014","Currency=INR","Period=FQ","BEST_FPERIOD_OVERRIDE=FQ","FILING_STATUS=OR","EQY_CONSOLIDATED=Y","Sort=A","Dates=H","DateFormat=P","Fill=—","Direction=H","UseDPDF=Y")</f>
        <v>#NAME?</v>
      </c>
      <c r="CV57" s="2" t="e">
        <f ca="1">_xll.BDH($C$53,"ALTMAN_Z_SCORE","FQ4 2014","FQ4 2014","Currency=INR","Period=FQ","BEST_FPERIOD_OVERRIDE=FQ","FILING_STATUS=OR","EQY_CONSOLIDATED=Y","Sort=A","Dates=H","DateFormat=P","Fill=—","Direction=H","UseDPDF=Y")</f>
        <v>#NAME?</v>
      </c>
      <c r="CW57" s="4" t="e">
        <f ca="1">_xll.BDH($C$53,"ACCT_RCV_TURN","FQ4 2014","FQ4 2014","Currency=INR","Period=FQ","BEST_FPERIOD_OVERRIDE=FQ","FILING_STATUS=OR","EQY_CONSOLIDATED=Y","FA_ADJUSTED=GAAP","Sort=A","Dates=H","DateFormat=P","Fill=—","Direction=H","UseDPDF=Y")</f>
        <v>#NAME?</v>
      </c>
      <c r="CX57" s="2" t="e">
        <f ca="1">_xll.BDH($C$53,"ACCT_RCV_DAYS","FQ4 2014","FQ4 2014","Currency=INR","Period=FQ","BEST_FPERIOD_OVERRIDE=FQ","FILING_STATUS=OR","EQY_CONSOLIDATED=Y","FA_ADJUSTED=GAAP","Sort=A","Dates=H","DateFormat=P","Fill=—","Direction=H","UseDPDF=Y")</f>
        <v>#NAME?</v>
      </c>
      <c r="CY57" s="4" t="e">
        <f ca="1">_xll.BDH($C$53,"INVENT_TURN","FQ4 2014","FQ4 2014","Currency=INR","Period=FQ","BEST_FPERIOD_OVERRIDE=FQ","FILING_STATUS=OR","EQY_CONSOLIDATED=Y","FA_ADJUSTED=GAAP","Sort=A","Dates=H","DateFormat=P","Fill=—","Direction=H","UseDPDF=Y")</f>
        <v>#NAME?</v>
      </c>
      <c r="CZ57" s="2" t="e">
        <f ca="1">_xll.BDH($C$53,"INVENT_DAYS","FQ4 2014","FQ4 2014","Currency=INR","Period=FQ","BEST_FPERIOD_OVERRIDE=FQ","FILING_STATUS=OR","EQY_CONSOLIDATED=Y","FA_ADJUSTED=GAAP","Sort=A","Dates=H","DateFormat=P","Fill=—","Direction=H","UseDPDF=Y")</f>
        <v>#NAME?</v>
      </c>
      <c r="DA57" s="4" t="e">
        <f ca="1">_xll.BDH($C$53,"ACCOUNTS_PAYABLE_TURNOVER","FQ4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57" s="2" t="e">
        <f ca="1">_xll.BDH($C$53,"ACCOUNTS_PAYABLE_TURNOVER_DAYS","FQ4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57" s="4" t="e">
        <f ca="1">_xll.BDH($C$53,"CASH_CONVERSION_CYCLE","FQ4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57" s="4" t="e">
        <f ca="1">_xll.BDH($C$53,"INV_TO_CASH_DAYS","FQ4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57" s="5" t="e">
        <f ca="1">_xll.BDH($C$53,"BS_INVENTORIES","FQ4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57" s="3" t="e">
        <f ca="1">_xll.BDH($C$53,"INVTRY_RAW_MATERIALS","FQ4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57" s="3" t="e">
        <f ca="1">_xll.BDH($C$53,"INVTRY_IN_PROGRESS","FQ4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57" s="3" t="e">
        <f ca="1">_xll.BDH($C$53,"INVTRY_FINISHED_GOODS","FQ4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57" s="3" t="e">
        <f ca="1">_xll.BDH($C$53,"BS_OTHER_INV","FQ4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58" spans="1:113" x14ac:dyDescent="0.3">
      <c r="A58" s="6"/>
      <c r="B58" s="6"/>
      <c r="C58" s="6"/>
      <c r="D58" s="6" t="s">
        <v>82</v>
      </c>
      <c r="E58" t="s">
        <v>77</v>
      </c>
      <c r="F58" t="e">
        <f ca="1">_xll.BDH($C$53,"RETURN_COM_EQY","FY 2015","FY 2015","Currency=INR","Period=FY","BEST_FPERIOD_OVERRIDE=FY","FILING_STATUS=OR","EQY_CONSOLIDATED=Y","FA_ADJUSTED=GAAP","Sort=A","Dates=H","DateFormat=P","Fill=—","Direction=H","UseDPDF=Y")</f>
        <v>#NAME?</v>
      </c>
      <c r="G58" t="e">
        <f ca="1">_xll.BDH($C$53,"RETURN_ON_ASSET","FY 2015","FY 2015","Currency=INR","Period=FY","BEST_FPERIOD_OVERRIDE=FY","FILING_STATUS=OR","EQY_CONSOLIDATED=Y","FA_ADJUSTED=GAAP","Sort=A","Dates=H","DateFormat=P","Fill=—","Direction=H","UseDPDF=Y")</f>
        <v>#NAME?</v>
      </c>
      <c r="H58" t="e">
        <f ca="1">_xll.BDH($C$53,"RETURN_ON_CAP","FY 2015","FY 2015","Currency=INR","Period=FY","BEST_FPERIOD_OVERRIDE=FY","FILING_STATUS=OR","EQY_CONSOLIDATED=Y","FA_ADJUSTED=GAAP","Sort=A","Dates=H","DateFormat=P","Fill=—","Direction=H","UseDPDF=Y")</f>
        <v>#NAME?</v>
      </c>
      <c r="I58" t="e">
        <f ca="1">_xll.BDH($C$53,"RETURN_ON_INV_CAPITAL","FY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58" t="e">
        <f ca="1">_xll.BDH($C$53,"EBITDA_TO_REVENUE","FY 2015","FY 2015","Currency=INR","Period=FY","BEST_FPERIOD_OVERRIDE=FY","FILING_STATUS=OR","EQY_CONSOLIDATED=Y","FA_ADJUSTED=GAAP","Sort=A","Dates=H","DateFormat=P","Fill=—","Direction=H","UseDPDF=Y")</f>
        <v>#NAME?</v>
      </c>
      <c r="K58" t="e">
        <f ca="1">_xll.BDH($C$53,"OPER_MARGIN","FY 2015","FY 2015","Currency=INR","Period=FY","BEST_FPERIOD_OVERRIDE=FY","FILING_STATUS=OR","EQY_CONSOLIDATED=Y","FA_ADJUSTED=GAAP","Sort=A","Dates=H","DateFormat=P","Fill=—","Direction=H","UseDPDF=Y")</f>
        <v>#NAME?</v>
      </c>
      <c r="L58" t="e">
        <f ca="1">_xll.BDH($C$53,"INCREMENTAL_OPERATING_MARGIN","FY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58" t="e">
        <f ca="1">_xll.BDH($C$53,"PRETAX_INC_TO_NET_SALES","FY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58" t="e">
        <f ca="1">_xll.BDH($C$53,"INC_BEF_XO_ITEMS_TO_NET_SALES","FY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58" t="e">
        <f ca="1">_xll.BDH($C$53,"PROF_MARGIN","FY 2015","FY 2015","Currency=INR","Period=FY","BEST_FPERIOD_OVERRIDE=FY","FILING_STATUS=OR","EQY_CONSOLIDATED=Y","FA_ADJUSTED=GAAP","Sort=A","Dates=H","DateFormat=P","Fill=—","Direction=H","UseDPDF=Y")</f>
        <v>#NAME?</v>
      </c>
      <c r="P58" t="e">
        <f ca="1">_xll.BDH($C$53,"NET_INCOME_TO_COMMON_MARGIN","FY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58" t="e">
        <f ca="1">_xll.BDH($C$53,"EFF_TAX_RATE","FY 2015","FY 2015","Currency=INR","Period=FY","BEST_FPERIOD_OVERRIDE=FY","FILING_STATUS=OR","EQY_CONSOLIDATED=Y","FA_ADJUSTED=GAAP","Sort=A","Dates=H","DateFormat=P","Fill=—","Direction=H","UseDPDF=Y")</f>
        <v>#NAME?</v>
      </c>
      <c r="R58" t="e">
        <f ca="1">_xll.BDH($C$53,"DVD_PAYOUT_RATIO","FY 2015","FY 2015","Currency=INR","Period=FY","BEST_FPERIOD_OVERRIDE=FY","FILING_STATUS=OR","EQY_CONSOLIDATED=Y","FA_ADJUSTED=GAAP","Sort=A","Dates=H","DateFormat=P","Fill=—","Direction=H","UseDPDF=Y")</f>
        <v>#NAME?</v>
      </c>
      <c r="S58" t="e">
        <f ca="1">_xll.BDH($C$53,"SUSTAIN_GROWTH_RT","FY 2015","FY 2015","Currency=INR","Period=FY","BEST_FPERIOD_OVERRIDE=FY","FILING_STATUS=OR","EQY_CONSOLIDATED=Y","FA_ADJUSTED=GAAP","Sort=A","Dates=H","DateFormat=P","Fill=—","Direction=H","UseDPDF=Y")</f>
        <v>#NAME?</v>
      </c>
      <c r="T58" s="2" t="e">
        <f ca="1">_xll.BDH($C$53,"SALES_GROWTH","FY 2015","FY 2015","Currency=INR","Period=FY","BEST_FPERIOD_OVERRIDE=FY","FILING_STATUS=OR","EQY_CONSOLIDATED=Y","FA_ADJUSTED=GAAP","Sort=A","Dates=H","DateFormat=P","Fill=—","Direction=H","UseDPDF=Y")</f>
        <v>#NAME?</v>
      </c>
      <c r="U58" s="2" t="e">
        <f ca="1">_xll.BDH($C$53,"EBITDA_GROWTH","FY 2015","FY 2015","Currency=INR","Period=FY","BEST_FPERIOD_OVERRIDE=FY","FILING_STATUS=OR","EQY_CONSOLIDATED=Y","FA_ADJUSTED=GAAP","Sort=A","Dates=H","DateFormat=P","Fill=—","Direction=H","UseDPDF=Y")</f>
        <v>#NAME?</v>
      </c>
      <c r="V58" s="2" t="e">
        <f ca="1">_xll.BDH($C$53,"OPER_INC_GROWTH","FY 2015","FY 2015","Currency=INR","Period=FY","BEST_FPERIOD_OVERRIDE=FY","FILING_STATUS=OR","EQY_CONSOLIDATED=Y","FA_ADJUSTED=GAAP","Sort=A","Dates=H","DateFormat=P","Fill=—","Direction=H","UseDPDF=Y")</f>
        <v>#NAME?</v>
      </c>
      <c r="W58" s="2" t="e">
        <f ca="1">_xll.BDH($C$53,"EARN_FOR_COM_GROWTH","FY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58" s="2" t="e">
        <f ca="1">_xll.BDH($C$53,"DILUTED_EPS_AFT_XO_ITEMS_GROWTH","FY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58" s="2" t="e">
        <f ca="1">_xll.BDH($C$53,"DIVIDEND_PER_SHARE_1_YEAR_GROWTH","FY 2015","FY 2015","Currency=INR","Period=FY","BEST_FPERIOD_OVERRIDE=FY","FILING_STATUS=OR","EQY_CONSOLIDATED=Y","Sort=A","Dates=H","DateFormat=P","Fill=—","Direction=H","UseDPDF=Y")</f>
        <v>#NAME?</v>
      </c>
      <c r="Z58" s="2" t="e">
        <f ca="1">_xll.BDH($C$53,"ACCOUNTS_RECEIVABLE_GROWTH","FY 2015","FY 2015","Currency=INR","Period=FY","BEST_FPERIOD_OVERRIDE=FY","FILING_STATUS=OR","EQY_CONSOLIDATED=Y","Sort=A","Dates=H","DateFormat=P","Fill=—","Direction=H","UseDPDF=Y")</f>
        <v>#NAME?</v>
      </c>
      <c r="AA58" s="2" t="e">
        <f ca="1">_xll.BDH($C$53,"INVENTORY_GROWTH","FY 2015","FY 2015","Currency=INR","Period=FY","BEST_FPERIOD_OVERRIDE=FY","FILING_STATUS=OR","EQY_CONSOLIDATED=Y","Sort=A","Dates=H","DateFormat=P","Fill=—","Direction=H","UseDPDF=Y")</f>
        <v>#NAME?</v>
      </c>
      <c r="AB58" s="2" t="e">
        <f ca="1">_xll.BDH($C$53,"NET_FIXED_ASSETS_1_YEAR_GROWTH","FY 2015","FY 2015","Currency=INR","Period=FY","BEST_FPERIOD_OVERRIDE=FY","FILING_STATUS=OR","EQY_CONSOLIDATED=Y","Sort=A","Dates=H","DateFormat=P","Fill=—","Direction=H","UseDPDF=Y")</f>
        <v>#NAME?</v>
      </c>
      <c r="AC58" s="2" t="e">
        <f ca="1">_xll.BDH($C$53,"ASSET_GROWTH","FY 2015","FY 2015","Currency=INR","Period=FY","BEST_FPERIOD_OVERRIDE=FY","FILING_STATUS=OR","EQY_CONSOLIDATED=Y","Sort=A","Dates=H","DateFormat=P","Fill=—","Direction=H","UseDPDF=Y")</f>
        <v>#NAME?</v>
      </c>
      <c r="AD58" s="2" t="e">
        <f ca="1">_xll.BDH($C$53,"MODIFIED_WORK_CAP_GROWTH","FY 2015","FY 2015","Currency=INR","Period=FY","BEST_FPERIOD_OVERRIDE=FY","FILING_STATUS=OR","EQY_CONSOLIDATED=Y","Sort=A","Dates=H","DateFormat=P","Fill=—","Direction=H","UseDPDF=Y")</f>
        <v>#NAME?</v>
      </c>
      <c r="AE58" s="2" t="e">
        <f ca="1">_xll.BDH($C$53,"WORK_CAP_GROWTH","FY 2015","FY 2015","Currency=INR","Period=FY","BEST_FPERIOD_OVERRIDE=FY","FILING_STATUS=OR","EQY_CONSOLIDATED=Y","Sort=A","Dates=H","DateFormat=P","Fill=—","Direction=H","UseDPDF=Y")</f>
        <v>#NAME?</v>
      </c>
      <c r="AF58" s="2" t="e">
        <f ca="1">_xll.BDH($C$53,"ACCOUNTS_PAYABLE_GROWTH_1YR","FY 2015","FY 2015","Currency=INR","Period=FY","BEST_FPERIOD_OVERRIDE=FY","FILING_STATUS=OR","EQY_CONSOLIDATED=Y","Sort=A","Dates=H","DateFormat=P","Fill=—","Direction=H","UseDPDF=Y")</f>
        <v>#NAME?</v>
      </c>
      <c r="AG58" s="2" t="e">
        <f ca="1">_xll.BDH($C$53,"SHORT_TERM_DEBT_1_YEAR_GROWTH","FY 2015","FY 2015","Currency=INR","Period=FY","BEST_FPERIOD_OVERRIDE=FY","FILING_STATUS=OR","EQY_CONSOLIDATED=Y","Sort=A","Dates=H","DateFormat=P","Fill=—","Direction=H","UseDPDF=Y")</f>
        <v>#NAME?</v>
      </c>
      <c r="AH58" s="2" t="e">
        <f ca="1">_xll.BDH($C$53,"TOTAL_DEBT_1_YEAR_GROWTH","FY 2015","FY 2015","Currency=INR","Period=FY","BEST_FPERIOD_OVERRIDE=FY","FILING_STATUS=OR","EQY_CONSOLIDATED=Y","Sort=A","Dates=H","DateFormat=P","Fill=—","Direction=H","UseDPDF=Y")</f>
        <v>#NAME?</v>
      </c>
      <c r="AI58" s="2" t="e">
        <f ca="1">_xll.BDH($C$53,"TOTAL_EQUITY_1_YEAR_GROWTH","FY 2015","FY 2015","Currency=INR","Period=FY","BEST_FPERIOD_OVERRIDE=FY","FILING_STATUS=OR","EQY_CONSOLIDATED=Y","Sort=A","Dates=H","DateFormat=P","Fill=—","Direction=H","UseDPDF=Y")</f>
        <v>#NAME?</v>
      </c>
      <c r="AJ58" s="2" t="e">
        <f ca="1">_xll.BDH($C$53,"GROWTH_IN_CAP","FY 2015","FY 2015","Currency=INR","Period=FY","BEST_FPERIOD_OVERRIDE=FY","FILING_STATUS=OR","EQY_CONSOLIDATED=Y","Sort=A","Dates=H","DateFormat=P","Fill=—","Direction=H","UseDPDF=Y")</f>
        <v>#NAME?</v>
      </c>
      <c r="AK58" s="2" t="e">
        <f ca="1">_xll.BDH($C$53,"BVPS_GROWTH","FY 2015","FY 2015","Currency=INR","Period=FY","BEST_FPERIOD_OVERRIDE=FY","FILING_STATUS=OR","EQY_CONSOLIDATED=Y","Sort=A","Dates=H","DateFormat=P","Fill=—","Direction=H","UseDPDF=Y")</f>
        <v>#NAME?</v>
      </c>
      <c r="AL58" s="2" t="e">
        <f ca="1">_xll.BDH($C$53,"CASH_FLOW_GROWTH","FY 2015","FY 2015","Currency=INR","Period=FY","BEST_FPERIOD_OVERRIDE=FY","FILING_STATUS=OR","EQY_CONSOLIDATED=Y","Sort=A","Dates=H","DateFormat=P","Fill=—","Direction=H","UseDPDF=Y")</f>
        <v>#NAME?</v>
      </c>
      <c r="AM58" s="2" t="e">
        <f ca="1">_xll.BDH($C$53,"GEO_GROW_NET_SALES","FY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58" s="2" t="e">
        <f ca="1">_xll.BDH($C$53,"GEO_GROW_EBITDA","FY 2015","FY 2015","Currency=INR","Period=FY","BEST_FPERIOD_OVERRIDE=FY","FILING_STATUS=OR","EQY_CONSOLIDATED=Y","FA_ADJUSTED=GAAP","Sort=A","Dates=H","DateFormat=P","Fill=—","Direction=H","UseDPDF=Y")</f>
        <v>#NAME?</v>
      </c>
      <c r="AO58" s="2" t="e">
        <f ca="1">_xll.BDH($C$53,"GEO_GROW_OPER_INC","FY 2015","FY 2015","Currency=INR","Period=FY","BEST_FPERIOD_OVERRIDE=FY","FILING_STATUS=OR","EQY_CONSOLIDATED=Y","FA_ADJUSTED=GAAP","Sort=A","Dates=H","DateFormat=P","Fill=—","Direction=H","UseDPDF=Y")</f>
        <v>#NAME?</v>
      </c>
      <c r="AP58" s="2" t="e">
        <f ca="1">_xll.BDH($C$53,"NET_INCOME_TO_COMMON_5_YR_GROWTH","FY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58" s="2" t="e">
        <f ca="1">_xll.BDH($C$53,"5Y_GEO_GROWTH_DILUTED_EPS","FY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58" s="2" t="e">
        <f ca="1">_xll.BDH($C$53,"GEO_GROW_DVD_PER_SH","FY 2015","FY 2015","Currency=INR","Period=FY","BEST_FPERIOD_OVERRIDE=FY","FILING_STATUS=OR","EQY_CONSOLIDATED=Y","Sort=A","Dates=H","DateFormat=P","Fill=—","Direction=H","UseDPDF=Y")</f>
        <v>#NAME?</v>
      </c>
      <c r="AS58" s="2" t="e">
        <f ca="1">_xll.BDH($C$53,"ACCOUNTS_RECEIVABLE_5_YR_GROWTH","FY 2015","FY 2015","Currency=INR","Period=FY","BEST_FPERIOD_OVERRIDE=FY","FILING_STATUS=OR","EQY_CONSOLIDATED=Y","Sort=A","Dates=H","DateFormat=P","Fill=—","Direction=H","UseDPDF=Y")</f>
        <v>#NAME?</v>
      </c>
      <c r="AT58" s="2" t="e">
        <f ca="1">_xll.BDH($C$53,"INVENTORY_5_YEAR_GROWTH","FY 2015","FY 2015","Currency=INR","Period=FY","BEST_FPERIOD_OVERRIDE=FY","FILING_STATUS=OR","EQY_CONSOLIDATED=Y","Sort=A","Dates=H","DateFormat=P","Fill=—","Direction=H","UseDPDF=Y")</f>
        <v>#NAME?</v>
      </c>
      <c r="AU58" s="2" t="e">
        <f ca="1">_xll.BDH($C$53,"NET_FIXED_ASSETS_5_YEAR_GROWTH","FY 2015","FY 2015","Currency=INR","Period=FY","BEST_FPERIOD_OVERRIDE=FY","FILING_STATUS=OR","EQY_CONSOLIDATED=Y","Sort=A","Dates=H","DateFormat=P","Fill=—","Direction=H","UseDPDF=Y")</f>
        <v>#NAME?</v>
      </c>
      <c r="AV58" s="2" t="e">
        <f ca="1">_xll.BDH($C$53,"GEO_GROW_TOT_ASSET","FY 2015","FY 2015","Currency=INR","Period=FY","BEST_FPERIOD_OVERRIDE=FY","FILING_STATUS=OR","EQY_CONSOLIDATED=Y","Sort=A","Dates=H","DateFormat=P","Fill=—","Direction=H","UseDPDF=Y")</f>
        <v>#NAME?</v>
      </c>
      <c r="AW58" s="2" t="e">
        <f ca="1">_xll.BDH($C$53,"MODIFIED_WORKING_CPTL_5YR_GRWTH","FY 2015","FY 2015","Currency=INR","Period=FY","BEST_FPERIOD_OVERRIDE=FY","FILING_STATUS=OR","EQY_CONSOLIDATED=Y","Sort=A","Dates=H","DateFormat=P","Fill=—","Direction=H","UseDPDF=Y")</f>
        <v>#NAME?</v>
      </c>
      <c r="AX58" s="2" t="e">
        <f ca="1">_xll.BDH($C$53,"WORKING_CAPITAL_5_YEAR_GROWTH","FY 2015","FY 2015","Currency=INR","Period=FY","BEST_FPERIOD_OVERRIDE=FY","FILING_STATUS=OR","EQY_CONSOLIDATED=Y","Sort=A","Dates=H","DateFormat=P","Fill=—","Direction=H","UseDPDF=Y")</f>
        <v>#NAME?</v>
      </c>
      <c r="AY58" s="2" t="e">
        <f ca="1">_xll.BDH($C$53,"ACCOUNTS_PAYABLE_5_YEAR_GROWTH","FY 2015","FY 2015","Currency=INR","Period=FY","BEST_FPERIOD_OVERRIDE=FY","FILING_STATUS=OR","EQY_CONSOLIDATED=Y","Sort=A","Dates=H","DateFormat=P","Fill=—","Direction=H","UseDPDF=Y")</f>
        <v>#NAME?</v>
      </c>
      <c r="AZ58" s="2" t="e">
        <f ca="1">_xll.BDH($C$53,"SHORT_TERM_DEBT_5_YEAR_GROWTH","FY 2015","FY 2015","Currency=INR","Period=FY","BEST_FPERIOD_OVERRIDE=FY","FILING_STATUS=OR","EQY_CONSOLIDATED=Y","Sort=A","Dates=H","DateFormat=P","Fill=—","Direction=H","UseDPDF=Y")</f>
        <v>#NAME?</v>
      </c>
      <c r="BA58" s="2" t="e">
        <f ca="1">_xll.BDH($C$53,"TOTAL_DEBT_5_YEAR_GROWTH","FY 2015","FY 2015","Currency=INR","Period=FY","BEST_FPERIOD_OVERRIDE=FY","FILING_STATUS=OR","EQY_CONSOLIDATED=Y","Sort=A","Dates=H","DateFormat=P","Fill=—","Direction=H","UseDPDF=Y")</f>
        <v>#NAME?</v>
      </c>
      <c r="BB58" s="2" t="e">
        <f ca="1">_xll.BDH($C$53,"GEO_GROW_TOT_SHRHLDR_EQY","FY 2015","FY 2015","Currency=INR","Period=FY","BEST_FPERIOD_OVERRIDE=FY","FILING_STATUS=OR","EQY_CONSOLIDATED=Y","Sort=A","Dates=H","DateFormat=P","Fill=—","Direction=H","UseDPDF=Y")</f>
        <v>#NAME?</v>
      </c>
      <c r="BC58" s="2" t="e">
        <f ca="1">_xll.BDH($C$53,"TOTAL_CAPITAL_5_YEAR_GROWTH","FY 2015","FY 2015","Currency=INR","Period=FY","BEST_FPERIOD_OVERRIDE=FY","FILING_STATUS=OR","EQY_CONSOLIDATED=Y","Sort=A","Dates=H","DateFormat=P","Fill=—","Direction=H","UseDPDF=Y")</f>
        <v>#NAME?</v>
      </c>
      <c r="BD58" s="2" t="e">
        <f ca="1">_xll.BDH($C$53,"GEO_GROW_BOOK_VAL","FY 2015","FY 2015","Currency=INR","Period=FY","BEST_FPERIOD_OVERRIDE=FY","FILING_STATUS=OR","EQY_CONSOLIDATED=Y","Sort=A","Dates=H","DateFormat=P","Fill=—","Direction=H","UseDPDF=Y")</f>
        <v>#NAME?</v>
      </c>
      <c r="BE58" s="2" t="e">
        <f ca="1">_xll.BDH($C$53,"GEO_GROW_CASH_OPER_ACT","FY 2015","FY 2015","Currency=INR","Period=FY","BEST_FPERIOD_OVERRIDE=FY","FILING_STATUS=OR","EQY_CONSOLIDATED=Y","Sort=A","Dates=H","DateFormat=P","Fill=—","Direction=H","UseDPDF=Y")</f>
        <v>#NAME?</v>
      </c>
      <c r="BF58" s="2" t="e">
        <f ca="1">_xll.BDH($C$53,"REVENUE_SEQUENTIAL_GROWTH","FY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58" s="2" t="e">
        <f ca="1">_xll.BDH($C$53,"EBITDA_SEQUENTIAL_GROWTH","FY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58" s="2" t="e">
        <f ca="1">_xll.BDH($C$53,"OPERATING_INCOME_SEQ_GROWTH","FY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58" s="2" t="e">
        <f ca="1">_xll.BDH($C$53,"NET_INCOME_TO_COMMON_SEQ_GROWTH","FY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58" s="2" t="e">
        <f ca="1">_xll.BDH($C$53,"EPS_DILUTED_SEQUENTIAL_GROWTH","FY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58" s="2" t="e">
        <f ca="1">_xll.BDH($C$53,"DPS_SEQUENTIAL_GROWTH","FY 2015","FY 2015","Currency=INR","Period=FY","BEST_FPERIOD_OVERRIDE=FY","FILING_STATUS=OR","EQY_CONSOLIDATED=Y","Sort=A","Dates=H","DateFormat=P","Fill=—","Direction=H","UseDPDF=Y")</f>
        <v>#NAME?</v>
      </c>
      <c r="BL58" s="2" t="e">
        <f ca="1">_xll.BDH($C$53,"ACCOUNTS_RECEIVABLE_SEQ_GROWTH","FY 2015","FY 2015","Currency=INR","Period=FY","BEST_FPERIOD_OVERRIDE=FY","FILING_STATUS=OR","EQY_CONSOLIDATED=Y","Sort=A","Dates=H","DateFormat=P","Fill=—","Direction=H","UseDPDF=Y")</f>
        <v>#NAME?</v>
      </c>
      <c r="BM58" s="2" t="e">
        <f ca="1">_xll.BDH($C$53,"INVENTORY_SEQUENTIAL_GROWTH","FY 2015","FY 2015","Currency=INR","Period=FY","BEST_FPERIOD_OVERRIDE=FY","FILING_STATUS=OR","EQY_CONSOLIDATED=Y","Sort=A","Dates=H","DateFormat=P","Fill=—","Direction=H","UseDPDF=Y")</f>
        <v>#NAME?</v>
      </c>
      <c r="BN58" s="2" t="e">
        <f ca="1">_xll.BDH($C$53,"FIXED_ASSETS_SEQUENTIAL_GROWTH","FY 2015","FY 2015","Currency=INR","Period=FY","BEST_FPERIOD_OVERRIDE=FY","FILING_STATUS=OR","EQY_CONSOLIDATED=Y","Sort=A","Dates=H","DateFormat=P","Fill=—","Direction=H","UseDPDF=Y")</f>
        <v>#NAME?</v>
      </c>
      <c r="BO58" s="2" t="e">
        <f ca="1">_xll.BDH($C$53,"TOTAL_ASSETS_SEQUENTIAL_GROWTH","FY 2015","FY 2015","Currency=INR","Period=FY","BEST_FPERIOD_OVERRIDE=FY","FILING_STATUS=OR","EQY_CONSOLIDATED=Y","Sort=A","Dates=H","DateFormat=P","Fill=—","Direction=H","UseDPDF=Y")</f>
        <v>#NAME?</v>
      </c>
      <c r="BP58" s="2" t="e">
        <f ca="1">_xll.BDH($C$53,"MODIFIED_WORKING_CPTL_SEQ_GRWTH","FY 2015","FY 2015","Currency=INR","Period=FY","BEST_FPERIOD_OVERRIDE=FY","FILING_STATUS=OR","EQY_CONSOLIDATED=Y","Sort=A","Dates=H","DateFormat=P","Fill=—","Direction=H","UseDPDF=Y")</f>
        <v>#NAME?</v>
      </c>
      <c r="BQ58" s="2" t="e">
        <f ca="1">_xll.BDH($C$53,"WORKING_CAPITAL_SEQ_GROWTH","FY 2015","FY 2015","Currency=INR","Period=FY","BEST_FPERIOD_OVERRIDE=FY","FILING_STATUS=OR","EQY_CONSOLIDATED=Y","Sort=A","Dates=H","DateFormat=P","Fill=—","Direction=H","UseDPDF=Y")</f>
        <v>#NAME?</v>
      </c>
      <c r="BR58" s="2" t="e">
        <f ca="1">_xll.BDH($C$53,"ACCOUNTS_PAYABLE_SEQ_GROWTH","FY 2015","FY 2015","Currency=INR","Period=FY","BEST_FPERIOD_OVERRIDE=FY","FILING_STATUS=OR","EQY_CONSOLIDATED=Y","Sort=A","Dates=H","DateFormat=P","Fill=—","Direction=H","UseDPDF=Y")</f>
        <v>#NAME?</v>
      </c>
      <c r="BS58" s="2" t="e">
        <f ca="1">_xll.BDH($C$53,"ST_DEBT_SEQUENTIAL_GROWTH","FY 2015","FY 2015","Currency=INR","Period=FY","BEST_FPERIOD_OVERRIDE=FY","FILING_STATUS=OR","EQY_CONSOLIDATED=Y","Sort=A","Dates=H","DateFormat=P","Fill=—","Direction=H","UseDPDF=Y")</f>
        <v>#NAME?</v>
      </c>
      <c r="BT58" s="2" t="e">
        <f ca="1">_xll.BDH($C$53,"TOTAL_DEBT_SEQUENTIAL_GROWTH","FY 2015","FY 2015","Currency=INR","Period=FY","BEST_FPERIOD_OVERRIDE=FY","FILING_STATUS=OR","EQY_CONSOLIDATED=Y","Sort=A","Dates=H","DateFormat=P","Fill=—","Direction=H","UseDPDF=Y")</f>
        <v>#NAME?</v>
      </c>
      <c r="BU58" s="2" t="e">
        <f ca="1">_xll.BDH($C$53,"TOTAL_EQUITY_SEQUENTIAL_GROWTH","FY 2015","FY 2015","Currency=INR","Period=FY","BEST_FPERIOD_OVERRIDE=FY","FILING_STATUS=OR","EQY_CONSOLIDATED=Y","Sort=A","Dates=H","DateFormat=P","Fill=—","Direction=H","UseDPDF=Y")</f>
        <v>#NAME?</v>
      </c>
      <c r="BV58" s="2" t="e">
        <f ca="1">_xll.BDH($C$53,"TOTAL_CAPITAL_SEQUENTIAL_GROWTH","FY 2015","FY 2015","Currency=INR","Period=FY","BEST_FPERIOD_OVERRIDE=FY","FILING_STATUS=OR","EQY_CONSOLIDATED=Y","Sort=A","Dates=H","DateFormat=P","Fill=—","Direction=H","UseDPDF=Y")</f>
        <v>#NAME?</v>
      </c>
      <c r="BW58" s="2" t="e">
        <f ca="1">_xll.BDH($C$53,"BPS_SEQUENTIAL_GROWTH","FY 2015","FY 2015","Currency=INR","Period=FY","BEST_FPERIOD_OVERRIDE=FY","FILING_STATUS=OR","EQY_CONSOLIDATED=Y","Sort=A","Dates=H","DateFormat=P","Fill=—","Direction=H","UseDPDF=Y")</f>
        <v>#NAME?</v>
      </c>
      <c r="BX58" s="2" t="e">
        <f ca="1">_xll.BDH($C$53,"CFO_SEQUENTIAL_GROWTH","FY 2015","FY 2015","Currency=INR","Period=FY","BEST_FPERIOD_OVERRIDE=FY","FILING_STATUS=OR","EQY_CONSOLIDATED=Y","Sort=A","Dates=H","DateFormat=P","Fill=—","Direction=H","UseDPDF=Y")</f>
        <v>#NAME?</v>
      </c>
      <c r="BY58" s="3" t="e">
        <f ca="1">_xll.BDH($C$53,"SHORT_AND_LONG_TERM_DEBT","FY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58" s="3" t="e">
        <f ca="1">_xll.BDH($C$53,"BS_ST_BORROW","FY 2015","FY 2015","Currency=INR","Period=FY","BEST_FPERIOD_OVERRIDE=FY","FILING_STATUS=OR","EQY_CONSOLIDATED=Y","SCALING_FORMAT=MLN","Sort=A","Dates=H","DateFormat=P","Fill=—","Direction=H","UseDPDF=Y")</f>
        <v>#NAME?</v>
      </c>
      <c r="CA58" s="3" t="e">
        <f ca="1">_xll.BDH($C$53,"BS_LT_BORROW","FY 2015","FY 2015","Currency=INR","Period=FY","BEST_FPERIOD_OVERRIDE=FY","FILING_STATUS=OR","EQY_CONSOLIDATED=Y","SCALING_FORMAT=MLN","Sort=A","Dates=H","DateFormat=P","Fill=—","Direction=H","UseDPDF=Y")</f>
        <v>#NAME?</v>
      </c>
      <c r="CB58" s="2" t="e">
        <f ca="1">_xll.BDH($C$53,"TOT_DEBT_TO_EBITDA","FY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58" s="2" t="e">
        <f ca="1">_xll.BDH($C$53,"NET_DEBT_TO_EBITDA","FY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58" s="2" t="e">
        <f ca="1">_xll.BDH($C$53,"TOTAL_DEBT_TO_EBIT","FY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58" s="2" t="e">
        <f ca="1">_xll.BDH($C$53,"NET_DEBT_TO_EBIT","FY 2015","FY 2015","Currency=INR","Period=FY","BEST_FPERIOD_OVERRIDE=FY","FILING_STATUS=OR","EQY_CONSOLIDATED=Y","FA_ADJUSTED=GAAP","Sort=A","Dates=H","DateFormat=P","Fill=—","Direction=H","UseDPDF=Y")</f>
        <v>#NAME?</v>
      </c>
      <c r="CF58" s="2" t="e">
        <f ca="1">_xll.BDH($C$53,"EBITDA_TO_INTEREST_EXPN","FY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58" s="2" t="e">
        <f ca="1">_xll.BDH($C$53,"COM_EQY_TO_TOT_ASSET","FY 2015","FY 2015","Currency=INR","Period=FY","BEST_FPERIOD_OVERRIDE=FY","FILING_STATUS=OR","EQY_CONSOLIDATED=Y","Sort=A","Dates=H","DateFormat=P","Fill=—","Direction=H","UseDPDF=Y")</f>
        <v>#NAME?</v>
      </c>
      <c r="CH58" s="2" t="e">
        <f ca="1">_xll.BDH($C$53,"LT_DEBT_TO_TOT_EQY","FY 2015","FY 2015","Currency=INR","Period=FY","BEST_FPERIOD_OVERRIDE=FY","FILING_STATUS=OR","EQY_CONSOLIDATED=Y","Sort=A","Dates=H","DateFormat=P","Fill=—","Direction=H","UseDPDF=Y")</f>
        <v>#NAME?</v>
      </c>
      <c r="CI58" s="2" t="e">
        <f ca="1">_xll.BDH($C$53,"LT_DEBT_TO_TOT_CAP","FY 2015","FY 2015","Currency=INR","Period=FY","BEST_FPERIOD_OVERRIDE=FY","FILING_STATUS=OR","EQY_CONSOLIDATED=Y","Sort=A","Dates=H","DateFormat=P","Fill=—","Direction=H","UseDPDF=Y")</f>
        <v>#NAME?</v>
      </c>
      <c r="CJ58" s="2" t="e">
        <f ca="1">_xll.BDH($C$53,"LT_DEBT_TO_TOT_ASSET","FY 2015","FY 2015","Currency=INR","Period=FY","BEST_FPERIOD_OVERRIDE=FY","FILING_STATUS=OR","EQY_CONSOLIDATED=Y","Sort=A","Dates=H","DateFormat=P","Fill=—","Direction=H","UseDPDF=Y")</f>
        <v>#NAME?</v>
      </c>
      <c r="CK58" s="2" t="e">
        <f ca="1">_xll.BDH($C$53,"TOT_DEBT_TO_TOT_EQY","FY 2015","FY 2015","Currency=INR","Period=FY","BEST_FPERIOD_OVERRIDE=FY","FILING_STATUS=OR","EQY_CONSOLIDATED=Y","Sort=A","Dates=H","DateFormat=P","Fill=—","Direction=H","UseDPDF=Y")</f>
        <v>#NAME?</v>
      </c>
      <c r="CL58" s="2" t="e">
        <f ca="1">_xll.BDH($C$53,"TOT_DEBT_TO_TOT_CAP","FY 2015","FY 2015","Currency=INR","Period=FY","BEST_FPERIOD_OVERRIDE=FY","FILING_STATUS=OR","EQY_CONSOLIDATED=Y","Sort=A","Dates=H","DateFormat=P","Fill=—","Direction=H","UseDPDF=Y")</f>
        <v>#NAME?</v>
      </c>
      <c r="CM58" s="2" t="e">
        <f ca="1">_xll.BDH($C$53,"TOT_DEBT_TO_TOT_ASSET","FY 2015","FY 2015","Currency=INR","Period=FY","BEST_FPERIOD_OVERRIDE=FY","FILING_STATUS=OR","EQY_CONSOLIDATED=Y","Sort=A","Dates=H","DateFormat=P","Fill=—","Direction=H","UseDPDF=Y")</f>
        <v>#NAME?</v>
      </c>
      <c r="CN58" s="2" t="e">
        <f ca="1">_xll.BDH($C$53,"NET_DEBT_TO_SHRHLDR_EQTY","FY 2015","FY 2015","Currency=INR","Period=FY","BEST_FPERIOD_OVERRIDE=FY","FILING_STATUS=OR","EQY_CONSOLIDATED=Y","Sort=A","Dates=H","DateFormat=P","Fill=—","Direction=H","UseDPDF=Y")</f>
        <v>#NAME?</v>
      </c>
      <c r="CO58" s="2" t="e">
        <f ca="1">_xll.BDH($C$53,"NET_DEBT_%_CAPITAL","FY 2015","FY 2015","Currency=INR","Period=FY","BEST_FPERIOD_OVERRIDE=FY","FILING_STATUS=OR","EQY_CONSOLIDATED=Y","Sort=A","Dates=H","DateFormat=P","Fill=—","Direction=H","UseDPDF=Y")</f>
        <v>#NAME?</v>
      </c>
      <c r="CP58" s="3" t="e">
        <f ca="1">_xll.BDH($C$53,"EBITDA","FY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58" s="3" t="e">
        <f ca="1">_xll.BDH($C$53,"EBITDA_AFTER_CAPEX","FY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58" s="3" t="e">
        <f ca="1">_xll.BDH($C$53,"IS_OPER_INC","FY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58" s="2" t="e">
        <f ca="1">_xll.BDH($C$53,"CASH_RATIO","FY 2015","FY 2015","Currency=INR","Period=FY","BEST_FPERIOD_OVERRIDE=FY","FILING_STATUS=OR","EQY_CONSOLIDATED=Y","Sort=A","Dates=H","DateFormat=P","Fill=—","Direction=H","UseDPDF=Y")</f>
        <v>#NAME?</v>
      </c>
      <c r="CT58" s="2" t="e">
        <f ca="1">_xll.BDH($C$53,"CUR_RATIO","FY 2015","FY 2015","Currency=INR","Period=FY","BEST_FPERIOD_OVERRIDE=FY","FILING_STATUS=OR","EQY_CONSOLIDATED=Y","Sort=A","Dates=H","DateFormat=P","Fill=—","Direction=H","UseDPDF=Y")</f>
        <v>#NAME?</v>
      </c>
      <c r="CU58" s="2" t="e">
        <f ca="1">_xll.BDH($C$53,"QUICK_RATIO","FY 2015","FY 2015","Currency=INR","Period=FY","BEST_FPERIOD_OVERRIDE=FY","FILING_STATUS=OR","EQY_CONSOLIDATED=Y","Sort=A","Dates=H","DateFormat=P","Fill=—","Direction=H","UseDPDF=Y")</f>
        <v>#NAME?</v>
      </c>
      <c r="CV58" s="2" t="e">
        <f ca="1">_xll.BDH($C$53,"ALTMAN_Z_SCORE","FY 2015","FY 2015","Currency=INR","Period=FY","BEST_FPERIOD_OVERRIDE=FY","FILING_STATUS=OR","EQY_CONSOLIDATED=Y","Sort=A","Dates=H","DateFormat=P","Fill=—","Direction=H","UseDPDF=Y")</f>
        <v>#NAME?</v>
      </c>
      <c r="CW58" s="4" t="e">
        <f ca="1">_xll.BDH($C$53,"ACCT_RCV_TURN","FY 2015","FY 2015","Currency=INR","Period=FY","BEST_FPERIOD_OVERRIDE=FY","FILING_STATUS=OR","EQY_CONSOLIDATED=Y","FA_ADJUSTED=GAAP","Sort=A","Dates=H","DateFormat=P","Fill=—","Direction=H","UseDPDF=Y")</f>
        <v>#NAME?</v>
      </c>
      <c r="CX58" s="2" t="e">
        <f ca="1">_xll.BDH($C$53,"ACCT_RCV_DAYS","FY 2015","FY 2015","Currency=INR","Period=FY","BEST_FPERIOD_OVERRIDE=FY","FILING_STATUS=OR","EQY_CONSOLIDATED=Y","FA_ADJUSTED=GAAP","Sort=A","Dates=H","DateFormat=P","Fill=—","Direction=H","UseDPDF=Y")</f>
        <v>#NAME?</v>
      </c>
      <c r="CY58" s="4" t="e">
        <f ca="1">_xll.BDH($C$53,"INVENT_TURN","FY 2015","FY 2015","Currency=INR","Period=FY","BEST_FPERIOD_OVERRIDE=FY","FILING_STATUS=OR","EQY_CONSOLIDATED=Y","FA_ADJUSTED=GAAP","Sort=A","Dates=H","DateFormat=P","Fill=—","Direction=H","UseDPDF=Y")</f>
        <v>#NAME?</v>
      </c>
      <c r="CZ58" s="2" t="e">
        <f ca="1">_xll.BDH($C$53,"INVENT_DAYS","FY 2015","FY 2015","Currency=INR","Period=FY","BEST_FPERIOD_OVERRIDE=FY","FILING_STATUS=OR","EQY_CONSOLIDATED=Y","FA_ADJUSTED=GAAP","Sort=A","Dates=H","DateFormat=P","Fill=—","Direction=H","UseDPDF=Y")</f>
        <v>#NAME?</v>
      </c>
      <c r="DA58" s="4" t="e">
        <f ca="1">_xll.BDH($C$53,"ACCOUNTS_PAYABLE_TURNOVER","FY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58" s="2" t="e">
        <f ca="1">_xll.BDH($C$53,"ACCOUNTS_PAYABLE_TURNOVER_DAYS","FY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58" s="4" t="e">
        <f ca="1">_xll.BDH($C$53,"CASH_CONVERSION_CYCLE","FY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58" s="4" t="e">
        <f ca="1">_xll.BDH($C$53,"INV_TO_CASH_DAYS","FY 2015","FY 2015","Currency=INR","Period=FY","BEST_FPERIOD_OVERRIDE=FY","FILING_STATUS=OR","EQY_CONSOLIDATED=Y","FA_ADJUSTED=GAAP","Sort=A","Dates=H","DateFormat=P","Fill=—","Direction=H","UseDPDF=Y")</f>
        <v>#NAME?</v>
      </c>
      <c r="DE58" s="5" t="e">
        <f ca="1">_xll.BDH($C$53,"BS_INVENTORIES","FY 2015","FY 2015","Currency=INR","Period=FY","BEST_FPERIOD_OVERRIDE=FY","FILING_STATUS=OR","EQY_CONSOLIDATED=Y","SCALING_FORMAT=MLN","Sort=A","Dates=H","DateFormat=P","Fill=—","Direction=H","UseDPDF=Y")</f>
        <v>#NAME?</v>
      </c>
      <c r="DF58" s="3" t="e">
        <f ca="1">_xll.BDH($C$53,"INVTRY_RAW_MATERIALS","FY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58" s="3" t="e">
        <f ca="1">_xll.BDH($C$53,"INVTRY_IN_PROGRESS","FY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58" s="3" t="e">
        <f ca="1">_xll.BDH($C$53,"INVTRY_FINISHED_GOODS","FY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58" s="3" t="e">
        <f ca="1">_xll.BDH($C$53,"BS_OTHER_INV","FY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59" spans="1:113" x14ac:dyDescent="0.3">
      <c r="A59" s="6"/>
      <c r="B59" s="6"/>
      <c r="C59" s="6"/>
      <c r="D59" s="6"/>
      <c r="E59" t="s">
        <v>78</v>
      </c>
      <c r="F59" t="e">
        <f ca="1">_xll.BDH($C$53,"RETURN_COM_EQY","FQ1 2015","FQ1 2015","Currency=INR","Period=FQ","BEST_FPERIOD_OVERRIDE=FQ","FILING_STATUS=OR","EQY_CONSOLIDATED=Y","FA_ADJUSTED=GAAP","Sort=A","Dates=H","DateFormat=P","Fill=—","Direction=H","UseDPDF=Y")</f>
        <v>#NAME?</v>
      </c>
      <c r="G59" t="e">
        <f ca="1">_xll.BDH($C$53,"RETURN_ON_ASSET","FQ1 2015","FQ1 2015","Currency=INR","Period=FQ","BEST_FPERIOD_OVERRIDE=FQ","FILING_STATUS=OR","EQY_CONSOLIDATED=Y","FA_ADJUSTED=GAAP","Sort=A","Dates=H","DateFormat=P","Fill=—","Direction=H","UseDPDF=Y")</f>
        <v>#NAME?</v>
      </c>
      <c r="H59" t="e">
        <f ca="1">_xll.BDH($C$53,"RETURN_ON_CAP","FQ1 2015","FQ1 2015","Currency=INR","Period=FQ","BEST_FPERIOD_OVERRIDE=FQ","FILING_STATUS=OR","EQY_CONSOLIDATED=Y","FA_ADJUSTED=GAAP","Sort=A","Dates=H","DateFormat=P","Fill=—","Direction=H","UseDPDF=Y")</f>
        <v>#NAME?</v>
      </c>
      <c r="I59" t="e">
        <f ca="1">_xll.BDH($C$53,"RETURN_ON_INV_CAPITAL","FQ1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59" t="e">
        <f ca="1">_xll.BDH($C$53,"EBITDA_TO_REVENUE","FQ1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59" t="e">
        <f ca="1">_xll.BDH($C$53,"OPER_MARGIN","FQ1 2015","FQ1 2015","Currency=INR","Period=FQ","BEST_FPERIOD_OVERRIDE=FQ","FILING_STATUS=OR","EQY_CONSOLIDATED=Y","FA_ADJUSTED=GAAP","Sort=A","Dates=H","DateFormat=P","Fill=—","Direction=H","UseDPDF=Y")</f>
        <v>#NAME?</v>
      </c>
      <c r="L59" t="e">
        <f ca="1">_xll.BDH($C$53,"INCREMENTAL_OPERATING_MARGIN","FQ1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59" t="e">
        <f ca="1">_xll.BDH($C$53,"PRETAX_INC_TO_NET_SALES","FQ1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59" t="e">
        <f ca="1">_xll.BDH($C$53,"INC_BEF_XO_ITEMS_TO_NET_SALES","FQ1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59" t="e">
        <f ca="1">_xll.BDH($C$53,"PROF_MARGIN","FQ1 2015","FQ1 2015","Currency=INR","Period=FQ","BEST_FPERIOD_OVERRIDE=FQ","FILING_STATUS=OR","EQY_CONSOLIDATED=Y","FA_ADJUSTED=GAAP","Sort=A","Dates=H","DateFormat=P","Fill=—","Direction=H","UseDPDF=Y")</f>
        <v>#NAME?</v>
      </c>
      <c r="P59" t="e">
        <f ca="1">_xll.BDH($C$53,"NET_INCOME_TO_COMMON_MARGIN","FQ1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59" t="e">
        <f ca="1">_xll.BDH($C$53,"EFF_TAX_RATE","FQ1 2015","FQ1 2015","Currency=INR","Period=FQ","BEST_FPERIOD_OVERRIDE=FQ","FILING_STATUS=OR","EQY_CONSOLIDATED=Y","FA_ADJUSTED=GAAP","Sort=A","Dates=H","DateFormat=P","Fill=—","Direction=H","UseDPDF=Y")</f>
        <v>#NAME?</v>
      </c>
      <c r="R59" t="e">
        <f ca="1">_xll.BDH($C$53,"DVD_PAYOUT_RATIO","FQ1 2015","FQ1 2015","Currency=INR","Period=FQ","BEST_FPERIOD_OVERRIDE=FQ","FILING_STATUS=OR","EQY_CONSOLIDATED=Y","FA_ADJUSTED=GAAP","Sort=A","Dates=H","DateFormat=P","Fill=—","Direction=H","UseDPDF=Y")</f>
        <v>#NAME?</v>
      </c>
      <c r="S59" t="e">
        <f ca="1">_xll.BDH($C$53,"SUSTAIN_GROWTH_RT","FQ1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59" s="2" t="e">
        <f ca="1">_xll.BDH($C$53,"SALES_GROWTH","FQ1 2015","FQ1 2015","Currency=INR","Period=FQ","BEST_FPERIOD_OVERRIDE=FQ","FILING_STATUS=OR","EQY_CONSOLIDATED=Y","FA_ADJUSTED=GAAP","Sort=A","Dates=H","DateFormat=P","Fill=—","Direction=H","UseDPDF=Y")</f>
        <v>#NAME?</v>
      </c>
      <c r="U59" s="2" t="e">
        <f ca="1">_xll.BDH($C$53,"EBITDA_GROWTH","FQ1 2015","FQ1 2015","Currency=INR","Period=FQ","BEST_FPERIOD_OVERRIDE=FQ","FILING_STATUS=OR","EQY_CONSOLIDATED=Y","FA_ADJUSTED=GAAP","Sort=A","Dates=H","DateFormat=P","Fill=—","Direction=H","UseDPDF=Y")</f>
        <v>#NAME?</v>
      </c>
      <c r="V59" s="2" t="e">
        <f ca="1">_xll.BDH($C$53,"OPER_INC_GROWTH","FQ1 2015","FQ1 2015","Currency=INR","Period=FQ","BEST_FPERIOD_OVERRIDE=FQ","FILING_STATUS=OR","EQY_CONSOLIDATED=Y","FA_ADJUSTED=GAAP","Sort=A","Dates=H","DateFormat=P","Fill=—","Direction=H","UseDPDF=Y")</f>
        <v>#NAME?</v>
      </c>
      <c r="W59" s="2" t="e">
        <f ca="1">_xll.BDH($C$53,"EARN_FOR_COM_GROWTH","FQ1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59" s="2" t="e">
        <f ca="1">_xll.BDH($C$53,"DILUTED_EPS_AFT_XO_ITEMS_GROWTH","FQ1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59" s="2" t="e">
        <f ca="1">_xll.BDH($C$53,"DIVIDEND_PER_SHARE_1_YEAR_GROWTH","FQ1 2015","FQ1 2015","Currency=INR","Period=FQ","BEST_FPERIOD_OVERRIDE=FQ","FILING_STATUS=OR","EQY_CONSOLIDATED=Y","Sort=A","Dates=H","DateFormat=P","Fill=—","Direction=H","UseDPDF=Y")</f>
        <v>#NAME?</v>
      </c>
      <c r="Z59" s="2" t="e">
        <f ca="1">_xll.BDH($C$53,"ACCOUNTS_RECEIVABLE_GROWTH","FQ1 2015","FQ1 2015","Currency=INR","Period=FQ","BEST_FPERIOD_OVERRIDE=FQ","FILING_STATUS=OR","EQY_CONSOLIDATED=Y","Sort=A","Dates=H","DateFormat=P","Fill=—","Direction=H","UseDPDF=Y")</f>
        <v>#NAME?</v>
      </c>
      <c r="AA59" s="2" t="e">
        <f ca="1">_xll.BDH($C$53,"INVENTORY_GROWTH","FQ1 2015","FQ1 2015","Currency=INR","Period=FQ","BEST_FPERIOD_OVERRIDE=FQ","FILING_STATUS=OR","EQY_CONSOLIDATED=Y","Sort=A","Dates=H","DateFormat=P","Fill=—","Direction=H","UseDPDF=Y")</f>
        <v>#NAME?</v>
      </c>
      <c r="AB59" s="2" t="e">
        <f ca="1">_xll.BDH($C$53,"NET_FIXED_ASSETS_1_YEAR_GROWTH","FQ1 2015","FQ1 2015","Currency=INR","Period=FQ","BEST_FPERIOD_OVERRIDE=FQ","FILING_STATUS=OR","EQY_CONSOLIDATED=Y","Sort=A","Dates=H","DateFormat=P","Fill=—","Direction=H","UseDPDF=Y")</f>
        <v>#NAME?</v>
      </c>
      <c r="AC59" s="2" t="e">
        <f ca="1">_xll.BDH($C$53,"ASSET_GROWTH","FQ1 2015","FQ1 2015","Currency=INR","Period=FQ","BEST_FPERIOD_OVERRIDE=FQ","FILING_STATUS=OR","EQY_CONSOLIDATED=Y","Sort=A","Dates=H","DateFormat=P","Fill=—","Direction=H","UseDPDF=Y")</f>
        <v>#NAME?</v>
      </c>
      <c r="AD59" s="2" t="e">
        <f ca="1">_xll.BDH($C$53,"MODIFIED_WORK_CAP_GROWTH","FQ1 2015","FQ1 2015","Currency=INR","Period=FQ","BEST_FPERIOD_OVERRIDE=FQ","FILING_STATUS=OR","EQY_CONSOLIDATED=Y","Sort=A","Dates=H","DateFormat=P","Fill=—","Direction=H","UseDPDF=Y")</f>
        <v>#NAME?</v>
      </c>
      <c r="AE59" s="2" t="e">
        <f ca="1">_xll.BDH($C$53,"WORK_CAP_GROWTH","FQ1 2015","FQ1 2015","Currency=INR","Period=FQ","BEST_FPERIOD_OVERRIDE=FQ","FILING_STATUS=OR","EQY_CONSOLIDATED=Y","Sort=A","Dates=H","DateFormat=P","Fill=—","Direction=H","UseDPDF=Y")</f>
        <v>#NAME?</v>
      </c>
      <c r="AF59" s="2" t="e">
        <f ca="1">_xll.BDH($C$53,"ACCOUNTS_PAYABLE_GROWTH_1YR","FQ1 2015","FQ1 2015","Currency=INR","Period=FQ","BEST_FPERIOD_OVERRIDE=FQ","FILING_STATUS=OR","EQY_CONSOLIDATED=Y","Sort=A","Dates=H","DateFormat=P","Fill=—","Direction=H","UseDPDF=Y")</f>
        <v>#NAME?</v>
      </c>
      <c r="AG59" s="2" t="e">
        <f ca="1">_xll.BDH($C$53,"SHORT_TERM_DEBT_1_YEAR_GROWTH","FQ1 2015","FQ1 2015","Currency=INR","Period=FQ","BEST_FPERIOD_OVERRIDE=FQ","FILING_STATUS=OR","EQY_CONSOLIDATED=Y","Sort=A","Dates=H","DateFormat=P","Fill=—","Direction=H","UseDPDF=Y")</f>
        <v>#NAME?</v>
      </c>
      <c r="AH59" s="2" t="e">
        <f ca="1">_xll.BDH($C$53,"TOTAL_DEBT_1_YEAR_GROWTH","FQ1 2015","FQ1 2015","Currency=INR","Period=FQ","BEST_FPERIOD_OVERRIDE=FQ","FILING_STATUS=OR","EQY_CONSOLIDATED=Y","Sort=A","Dates=H","DateFormat=P","Fill=—","Direction=H","UseDPDF=Y")</f>
        <v>#NAME?</v>
      </c>
      <c r="AI59" s="2" t="e">
        <f ca="1">_xll.BDH($C$53,"TOTAL_EQUITY_1_YEAR_GROWTH","FQ1 2015","FQ1 2015","Currency=INR","Period=FQ","BEST_FPERIOD_OVERRIDE=FQ","FILING_STATUS=OR","EQY_CONSOLIDATED=Y","Sort=A","Dates=H","DateFormat=P","Fill=—","Direction=H","UseDPDF=Y")</f>
        <v>#NAME?</v>
      </c>
      <c r="AJ59" s="2" t="e">
        <f ca="1">_xll.BDH($C$53,"GROWTH_IN_CAP","FQ1 2015","FQ1 2015","Currency=INR","Period=FQ","BEST_FPERIOD_OVERRIDE=FQ","FILING_STATUS=OR","EQY_CONSOLIDATED=Y","Sort=A","Dates=H","DateFormat=P","Fill=—","Direction=H","UseDPDF=Y")</f>
        <v>#NAME?</v>
      </c>
      <c r="AK59" s="2" t="e">
        <f ca="1">_xll.BDH($C$53,"BVPS_GROWTH","FQ1 2015","FQ1 2015","Currency=INR","Period=FQ","BEST_FPERIOD_OVERRIDE=FQ","FILING_STATUS=OR","EQY_CONSOLIDATED=Y","Sort=A","Dates=H","DateFormat=P","Fill=—","Direction=H","UseDPDF=Y")</f>
        <v>#NAME?</v>
      </c>
      <c r="AL59" s="2" t="e">
        <f ca="1">_xll.BDH($C$53,"CASH_FLOW_GROWTH","FQ1 2015","FQ1 2015","Currency=INR","Period=FQ","BEST_FPERIOD_OVERRIDE=FQ","FILING_STATUS=OR","EQY_CONSOLIDATED=Y","Sort=A","Dates=H","DateFormat=P","Fill=—","Direction=H","UseDPDF=Y")</f>
        <v>#NAME?</v>
      </c>
      <c r="AM59" s="2" t="e">
        <f ca="1">_xll.BDH($C$53,"GEO_GROW_NET_SALES","FQ1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59" s="2" t="e">
        <f ca="1">_xll.BDH($C$53,"GEO_GROW_EBITDA","FQ1 2015","FQ1 2015","Currency=INR","Period=FQ","BEST_FPERIOD_OVERRIDE=FQ","FILING_STATUS=OR","EQY_CONSOLIDATED=Y","FA_ADJUSTED=GAAP","Sort=A","Dates=H","DateFormat=P","Fill=—","Direction=H","UseDPDF=Y")</f>
        <v>#NAME?</v>
      </c>
      <c r="AO59" s="2" t="e">
        <f ca="1">_xll.BDH($C$53,"GEO_GROW_OPER_INC","FQ1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59" s="2" t="e">
        <f ca="1">_xll.BDH($C$53,"NET_INCOME_TO_COMMON_5_YR_GROWTH","FQ1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59" s="2" t="e">
        <f ca="1">_xll.BDH($C$53,"5Y_GEO_GROWTH_DILUTED_EPS","FQ1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59" s="2" t="e">
        <f ca="1">_xll.BDH($C$53,"GEO_GROW_DVD_PER_SH","FQ1 2015","FQ1 2015","Currency=INR","Period=FQ","BEST_FPERIOD_OVERRIDE=FQ","FILING_STATUS=OR","EQY_CONSOLIDATED=Y","Sort=A","Dates=H","DateFormat=P","Fill=—","Direction=H","UseDPDF=Y")</f>
        <v>#NAME?</v>
      </c>
      <c r="AS59" s="2" t="e">
        <f ca="1">_xll.BDH($C$53,"ACCOUNTS_RECEIVABLE_5_YR_GROWTH","FQ1 2015","FQ1 2015","Currency=INR","Period=FQ","BEST_FPERIOD_OVERRIDE=FQ","FILING_STATUS=OR","EQY_CONSOLIDATED=Y","Sort=A","Dates=H","DateFormat=P","Fill=—","Direction=H","UseDPDF=Y")</f>
        <v>#NAME?</v>
      </c>
      <c r="AT59" s="2" t="e">
        <f ca="1">_xll.BDH($C$53,"INVENTORY_5_YEAR_GROWTH","FQ1 2015","FQ1 2015","Currency=INR","Period=FQ","BEST_FPERIOD_OVERRIDE=FQ","FILING_STATUS=OR","EQY_CONSOLIDATED=Y","Sort=A","Dates=H","DateFormat=P","Fill=—","Direction=H","UseDPDF=Y")</f>
        <v>#NAME?</v>
      </c>
      <c r="AU59" s="2" t="e">
        <f ca="1">_xll.BDH($C$53,"NET_FIXED_ASSETS_5_YEAR_GROWTH","FQ1 2015","FQ1 2015","Currency=INR","Period=FQ","BEST_FPERIOD_OVERRIDE=FQ","FILING_STATUS=OR","EQY_CONSOLIDATED=Y","Sort=A","Dates=H","DateFormat=P","Fill=—","Direction=H","UseDPDF=Y")</f>
        <v>#NAME?</v>
      </c>
      <c r="AV59" s="2" t="e">
        <f ca="1">_xll.BDH($C$53,"GEO_GROW_TOT_ASSET","FQ1 2015","FQ1 2015","Currency=INR","Period=FQ","BEST_FPERIOD_OVERRIDE=FQ","FILING_STATUS=OR","EQY_CONSOLIDATED=Y","Sort=A","Dates=H","DateFormat=P","Fill=—","Direction=H","UseDPDF=Y")</f>
        <v>#NAME?</v>
      </c>
      <c r="AW59" s="2" t="e">
        <f ca="1">_xll.BDH($C$53,"MODIFIED_WORKING_CPTL_5YR_GRWTH","FQ1 2015","FQ1 2015","Currency=INR","Period=FQ","BEST_FPERIOD_OVERRIDE=FQ","FILING_STATUS=OR","EQY_CONSOLIDATED=Y","Sort=A","Dates=H","DateFormat=P","Fill=—","Direction=H","UseDPDF=Y")</f>
        <v>#NAME?</v>
      </c>
      <c r="AX59" s="2" t="e">
        <f ca="1">_xll.BDH($C$53,"WORKING_CAPITAL_5_YEAR_GROWTH","FQ1 2015","FQ1 2015","Currency=INR","Period=FQ","BEST_FPERIOD_OVERRIDE=FQ","FILING_STATUS=OR","EQY_CONSOLIDATED=Y","Sort=A","Dates=H","DateFormat=P","Fill=—","Direction=H","UseDPDF=Y")</f>
        <v>#NAME?</v>
      </c>
      <c r="AY59" s="2" t="e">
        <f ca="1">_xll.BDH($C$53,"ACCOUNTS_PAYABLE_5_YEAR_GROWTH","FQ1 2015","FQ1 2015","Currency=INR","Period=FQ","BEST_FPERIOD_OVERRIDE=FQ","FILING_STATUS=OR","EQY_CONSOLIDATED=Y","Sort=A","Dates=H","DateFormat=P","Fill=—","Direction=H","UseDPDF=Y")</f>
        <v>#NAME?</v>
      </c>
      <c r="AZ59" s="2" t="e">
        <f ca="1">_xll.BDH($C$53,"SHORT_TERM_DEBT_5_YEAR_GROWTH","FQ1 2015","FQ1 2015","Currency=INR","Period=FQ","BEST_FPERIOD_OVERRIDE=FQ","FILING_STATUS=OR","EQY_CONSOLIDATED=Y","Sort=A","Dates=H","DateFormat=P","Fill=—","Direction=H","UseDPDF=Y")</f>
        <v>#NAME?</v>
      </c>
      <c r="BA59" s="2" t="e">
        <f ca="1">_xll.BDH($C$53,"TOTAL_DEBT_5_YEAR_GROWTH","FQ1 2015","FQ1 2015","Currency=INR","Period=FQ","BEST_FPERIOD_OVERRIDE=FQ","FILING_STATUS=OR","EQY_CONSOLIDATED=Y","Sort=A","Dates=H","DateFormat=P","Fill=—","Direction=H","UseDPDF=Y")</f>
        <v>#NAME?</v>
      </c>
      <c r="BB59" s="2" t="e">
        <f ca="1">_xll.BDH($C$53,"GEO_GROW_TOT_SHRHLDR_EQY","FQ1 2015","FQ1 2015","Currency=INR","Period=FQ","BEST_FPERIOD_OVERRIDE=FQ","FILING_STATUS=OR","EQY_CONSOLIDATED=Y","Sort=A","Dates=H","DateFormat=P","Fill=—","Direction=H","UseDPDF=Y")</f>
        <v>#NAME?</v>
      </c>
      <c r="BC59" s="2" t="e">
        <f ca="1">_xll.BDH($C$53,"TOTAL_CAPITAL_5_YEAR_GROWTH","FQ1 2015","FQ1 2015","Currency=INR","Period=FQ","BEST_FPERIOD_OVERRIDE=FQ","FILING_STATUS=OR","EQY_CONSOLIDATED=Y","Sort=A","Dates=H","DateFormat=P","Fill=—","Direction=H","UseDPDF=Y")</f>
        <v>#NAME?</v>
      </c>
      <c r="BD59" s="2" t="e">
        <f ca="1">_xll.BDH($C$53,"GEO_GROW_BOOK_VAL","FQ1 2015","FQ1 2015","Currency=INR","Period=FQ","BEST_FPERIOD_OVERRIDE=FQ","FILING_STATUS=OR","EQY_CONSOLIDATED=Y","Sort=A","Dates=H","DateFormat=P","Fill=—","Direction=H","UseDPDF=Y")</f>
        <v>#NAME?</v>
      </c>
      <c r="BE59" s="2" t="e">
        <f ca="1">_xll.BDH($C$53,"GEO_GROW_CASH_OPER_ACT","FQ1 2015","FQ1 2015","Currency=INR","Period=FQ","BEST_FPERIOD_OVERRIDE=FQ","FILING_STATUS=OR","EQY_CONSOLIDATED=Y","Sort=A","Dates=H","DateFormat=P","Fill=—","Direction=H","UseDPDF=Y")</f>
        <v>#NAME?</v>
      </c>
      <c r="BF59" s="2" t="e">
        <f ca="1">_xll.BDH($C$53,"REVENUE_SEQUENTIAL_GROWTH","FQ1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59" s="2" t="e">
        <f ca="1">_xll.BDH($C$53,"EBITDA_SEQUENTIAL_GROWTH","FQ1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59" s="2" t="e">
        <f ca="1">_xll.BDH($C$53,"OPERATING_INCOME_SEQ_GROWTH","FQ1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59" s="2" t="e">
        <f ca="1">_xll.BDH($C$53,"NET_INCOME_TO_COMMON_SEQ_GROWTH","FQ1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59" s="2" t="e">
        <f ca="1">_xll.BDH($C$53,"EPS_DILUTED_SEQUENTIAL_GROWTH","FQ1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59" s="2" t="e">
        <f ca="1">_xll.BDH($C$53,"DPS_SEQUENTIAL_GROWTH","FQ1 2015","FQ1 2015","Currency=INR","Period=FQ","BEST_FPERIOD_OVERRIDE=FQ","FILING_STATUS=OR","EQY_CONSOLIDATED=Y","Sort=A","Dates=H","DateFormat=P","Fill=—","Direction=H","UseDPDF=Y")</f>
        <v>#NAME?</v>
      </c>
      <c r="BL59" s="2" t="e">
        <f ca="1">_xll.BDH($C$53,"ACCOUNTS_RECEIVABLE_SEQ_GROWTH","FQ1 2015","FQ1 2015","Currency=INR","Period=FQ","BEST_FPERIOD_OVERRIDE=FQ","FILING_STATUS=OR","EQY_CONSOLIDATED=Y","Sort=A","Dates=H","DateFormat=P","Fill=—","Direction=H","UseDPDF=Y")</f>
        <v>#NAME?</v>
      </c>
      <c r="BM59" s="2" t="e">
        <f ca="1">_xll.BDH($C$53,"INVENTORY_SEQUENTIAL_GROWTH","FQ1 2015","FQ1 2015","Currency=INR","Period=FQ","BEST_FPERIOD_OVERRIDE=FQ","FILING_STATUS=OR","EQY_CONSOLIDATED=Y","Sort=A","Dates=H","DateFormat=P","Fill=—","Direction=H","UseDPDF=Y")</f>
        <v>#NAME?</v>
      </c>
      <c r="BN59" s="2" t="e">
        <f ca="1">_xll.BDH($C$53,"FIXED_ASSETS_SEQUENTIAL_GROWTH","FQ1 2015","FQ1 2015","Currency=INR","Period=FQ","BEST_FPERIOD_OVERRIDE=FQ","FILING_STATUS=OR","EQY_CONSOLIDATED=Y","Sort=A","Dates=H","DateFormat=P","Fill=—","Direction=H","UseDPDF=Y")</f>
        <v>#NAME?</v>
      </c>
      <c r="BO59" s="2" t="e">
        <f ca="1">_xll.BDH($C$53,"TOTAL_ASSETS_SEQUENTIAL_GROWTH","FQ1 2015","FQ1 2015","Currency=INR","Period=FQ","BEST_FPERIOD_OVERRIDE=FQ","FILING_STATUS=OR","EQY_CONSOLIDATED=Y","Sort=A","Dates=H","DateFormat=P","Fill=—","Direction=H","UseDPDF=Y")</f>
        <v>#NAME?</v>
      </c>
      <c r="BP59" s="2" t="e">
        <f ca="1">_xll.BDH($C$53,"MODIFIED_WORKING_CPTL_SEQ_GRWTH","FQ1 2015","FQ1 2015","Currency=INR","Period=FQ","BEST_FPERIOD_OVERRIDE=FQ","FILING_STATUS=OR","EQY_CONSOLIDATED=Y","Sort=A","Dates=H","DateFormat=P","Fill=—","Direction=H","UseDPDF=Y")</f>
        <v>#NAME?</v>
      </c>
      <c r="BQ59" s="2" t="e">
        <f ca="1">_xll.BDH($C$53,"WORKING_CAPITAL_SEQ_GROWTH","FQ1 2015","FQ1 2015","Currency=INR","Period=FQ","BEST_FPERIOD_OVERRIDE=FQ","FILING_STATUS=OR","EQY_CONSOLIDATED=Y","Sort=A","Dates=H","DateFormat=P","Fill=—","Direction=H","UseDPDF=Y")</f>
        <v>#NAME?</v>
      </c>
      <c r="BR59" s="2" t="e">
        <f ca="1">_xll.BDH($C$53,"ACCOUNTS_PAYABLE_SEQ_GROWTH","FQ1 2015","FQ1 2015","Currency=INR","Period=FQ","BEST_FPERIOD_OVERRIDE=FQ","FILING_STATUS=OR","EQY_CONSOLIDATED=Y","Sort=A","Dates=H","DateFormat=P","Fill=—","Direction=H","UseDPDF=Y")</f>
        <v>#NAME?</v>
      </c>
      <c r="BS59" s="2" t="e">
        <f ca="1">_xll.BDH($C$53,"ST_DEBT_SEQUENTIAL_GROWTH","FQ1 2015","FQ1 2015","Currency=INR","Period=FQ","BEST_FPERIOD_OVERRIDE=FQ","FILING_STATUS=OR","EQY_CONSOLIDATED=Y","Sort=A","Dates=H","DateFormat=P","Fill=—","Direction=H","UseDPDF=Y")</f>
        <v>#NAME?</v>
      </c>
      <c r="BT59" s="2" t="e">
        <f ca="1">_xll.BDH($C$53,"TOTAL_DEBT_SEQUENTIAL_GROWTH","FQ1 2015","FQ1 2015","Currency=INR","Period=FQ","BEST_FPERIOD_OVERRIDE=FQ","FILING_STATUS=OR","EQY_CONSOLIDATED=Y","Sort=A","Dates=H","DateFormat=P","Fill=—","Direction=H","UseDPDF=Y")</f>
        <v>#NAME?</v>
      </c>
      <c r="BU59" s="2" t="e">
        <f ca="1">_xll.BDH($C$53,"TOTAL_EQUITY_SEQUENTIAL_GROWTH","FQ1 2015","FQ1 2015","Currency=INR","Period=FQ","BEST_FPERIOD_OVERRIDE=FQ","FILING_STATUS=OR","EQY_CONSOLIDATED=Y","Sort=A","Dates=H","DateFormat=P","Fill=—","Direction=H","UseDPDF=Y")</f>
        <v>#NAME?</v>
      </c>
      <c r="BV59" s="2" t="e">
        <f ca="1">_xll.BDH($C$53,"TOTAL_CAPITAL_SEQUENTIAL_GROWTH","FQ1 2015","FQ1 2015","Currency=INR","Period=FQ","BEST_FPERIOD_OVERRIDE=FQ","FILING_STATUS=OR","EQY_CONSOLIDATED=Y","Sort=A","Dates=H","DateFormat=P","Fill=—","Direction=H","UseDPDF=Y")</f>
        <v>#NAME?</v>
      </c>
      <c r="BW59" s="2" t="e">
        <f ca="1">_xll.BDH($C$53,"BPS_SEQUENTIAL_GROWTH","FQ1 2015","FQ1 2015","Currency=INR","Period=FQ","BEST_FPERIOD_OVERRIDE=FQ","FILING_STATUS=OR","EQY_CONSOLIDATED=Y","Sort=A","Dates=H","DateFormat=P","Fill=—","Direction=H","UseDPDF=Y")</f>
        <v>#NAME?</v>
      </c>
      <c r="BX59" s="2" t="e">
        <f ca="1">_xll.BDH($C$53,"CFO_SEQUENTIAL_GROWTH","FQ1 2015","FQ1 2015","Currency=INR","Period=FQ","BEST_FPERIOD_OVERRIDE=FQ","FILING_STATUS=OR","EQY_CONSOLIDATED=Y","Sort=A","Dates=H","DateFormat=P","Fill=—","Direction=H","UseDPDF=Y")</f>
        <v>#NAME?</v>
      </c>
      <c r="BY59" s="3" t="e">
        <f ca="1">_xll.BDH($C$53,"SHORT_AND_LONG_TERM_DEBT","FQ1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59" s="3" t="e">
        <f ca="1">_xll.BDH($C$53,"BS_ST_BORROW","FQ1 2015","FQ1 2015","Currency=INR","Period=FQ","BEST_FPERIOD_OVERRIDE=FQ","FILING_STATUS=OR","EQY_CONSOLIDATED=Y","SCALING_FORMAT=MLN","Sort=A","Dates=H","DateFormat=P","Fill=—","Direction=H","UseDPDF=Y")</f>
        <v>#NAME?</v>
      </c>
      <c r="CA59" s="3" t="e">
        <f ca="1">_xll.BDH($C$53,"BS_LT_BORROW","FQ1 2015","FQ1 2015","Currency=INR","Period=FQ","BEST_FPERIOD_OVERRIDE=FQ","FILING_STATUS=OR","EQY_CONSOLIDATED=Y","SCALING_FORMAT=MLN","Sort=A","Dates=H","DateFormat=P","Fill=—","Direction=H","UseDPDF=Y")</f>
        <v>#NAME?</v>
      </c>
      <c r="CB59" s="2" t="e">
        <f ca="1">_xll.BDH($C$53,"TOT_DEBT_TO_EBITDA","FQ1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59" s="2" t="e">
        <f ca="1">_xll.BDH($C$53,"NET_DEBT_TO_EBITDA","FQ1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59" s="2" t="e">
        <f ca="1">_xll.BDH($C$53,"TOTAL_DEBT_TO_EBIT","FQ1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59" s="2" t="e">
        <f ca="1">_xll.BDH($C$53,"NET_DEBT_TO_EBIT","FQ1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59" s="2" t="e">
        <f ca="1">_xll.BDH($C$53,"EBITDA_TO_INTEREST_EXPN","FQ1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59" s="2" t="e">
        <f ca="1">_xll.BDH($C$53,"COM_EQY_TO_TOT_ASSET","FQ1 2015","FQ1 2015","Currency=INR","Period=FQ","BEST_FPERIOD_OVERRIDE=FQ","FILING_STATUS=OR","EQY_CONSOLIDATED=Y","Sort=A","Dates=H","DateFormat=P","Fill=—","Direction=H","UseDPDF=Y")</f>
        <v>#NAME?</v>
      </c>
      <c r="CH59" s="2" t="e">
        <f ca="1">_xll.BDH($C$53,"LT_DEBT_TO_TOT_EQY","FQ1 2015","FQ1 2015","Currency=INR","Period=FQ","BEST_FPERIOD_OVERRIDE=FQ","FILING_STATUS=OR","EQY_CONSOLIDATED=Y","Sort=A","Dates=H","DateFormat=P","Fill=—","Direction=H","UseDPDF=Y")</f>
        <v>#NAME?</v>
      </c>
      <c r="CI59" s="2" t="e">
        <f ca="1">_xll.BDH($C$53,"LT_DEBT_TO_TOT_CAP","FQ1 2015","FQ1 2015","Currency=INR","Period=FQ","BEST_FPERIOD_OVERRIDE=FQ","FILING_STATUS=OR","EQY_CONSOLIDATED=Y","Sort=A","Dates=H","DateFormat=P","Fill=—","Direction=H","UseDPDF=Y")</f>
        <v>#NAME?</v>
      </c>
      <c r="CJ59" s="2" t="e">
        <f ca="1">_xll.BDH($C$53,"LT_DEBT_TO_TOT_ASSET","FQ1 2015","FQ1 2015","Currency=INR","Period=FQ","BEST_FPERIOD_OVERRIDE=FQ","FILING_STATUS=OR","EQY_CONSOLIDATED=Y","Sort=A","Dates=H","DateFormat=P","Fill=—","Direction=H","UseDPDF=Y")</f>
        <v>#NAME?</v>
      </c>
      <c r="CK59" s="2" t="e">
        <f ca="1">_xll.BDH($C$53,"TOT_DEBT_TO_TOT_EQY","FQ1 2015","FQ1 2015","Currency=INR","Period=FQ","BEST_FPERIOD_OVERRIDE=FQ","FILING_STATUS=OR","EQY_CONSOLIDATED=Y","Sort=A","Dates=H","DateFormat=P","Fill=—","Direction=H","UseDPDF=Y")</f>
        <v>#NAME?</v>
      </c>
      <c r="CL59" s="2" t="e">
        <f ca="1">_xll.BDH($C$53,"TOT_DEBT_TO_TOT_CAP","FQ1 2015","FQ1 2015","Currency=INR","Period=FQ","BEST_FPERIOD_OVERRIDE=FQ","FILING_STATUS=OR","EQY_CONSOLIDATED=Y","Sort=A","Dates=H","DateFormat=P","Fill=—","Direction=H","UseDPDF=Y")</f>
        <v>#NAME?</v>
      </c>
      <c r="CM59" s="2" t="e">
        <f ca="1">_xll.BDH($C$53,"TOT_DEBT_TO_TOT_ASSET","FQ1 2015","FQ1 2015","Currency=INR","Period=FQ","BEST_FPERIOD_OVERRIDE=FQ","FILING_STATUS=OR","EQY_CONSOLIDATED=Y","Sort=A","Dates=H","DateFormat=P","Fill=—","Direction=H","UseDPDF=Y")</f>
        <v>#NAME?</v>
      </c>
      <c r="CN59" s="2" t="e">
        <f ca="1">_xll.BDH($C$53,"NET_DEBT_TO_SHRHLDR_EQTY","FQ1 2015","FQ1 2015","Currency=INR","Period=FQ","BEST_FPERIOD_OVERRIDE=FQ","FILING_STATUS=OR","EQY_CONSOLIDATED=Y","Sort=A","Dates=H","DateFormat=P","Fill=—","Direction=H","UseDPDF=Y")</f>
        <v>#NAME?</v>
      </c>
      <c r="CO59" s="2" t="e">
        <f ca="1">_xll.BDH($C$53,"NET_DEBT_%_CAPITAL","FQ1 2015","FQ1 2015","Currency=INR","Period=FQ","BEST_FPERIOD_OVERRIDE=FQ","FILING_STATUS=OR","EQY_CONSOLIDATED=Y","Sort=A","Dates=H","DateFormat=P","Fill=—","Direction=H","UseDPDF=Y")</f>
        <v>#NAME?</v>
      </c>
      <c r="CP59" s="3" t="e">
        <f ca="1">_xll.BDH($C$53,"EBITDA","FQ1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59" s="3" t="e">
        <f ca="1">_xll.BDH($C$53,"EBITDA_AFTER_CAPEX","FQ1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59" s="3" t="e">
        <f ca="1">_xll.BDH($C$53,"IS_OPER_INC","FQ1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59" s="2" t="e">
        <f ca="1">_xll.BDH($C$53,"CASH_RATIO","FQ1 2015","FQ1 2015","Currency=INR","Period=FQ","BEST_FPERIOD_OVERRIDE=FQ","FILING_STATUS=OR","EQY_CONSOLIDATED=Y","Sort=A","Dates=H","DateFormat=P","Fill=—","Direction=H","UseDPDF=Y")</f>
        <v>#NAME?</v>
      </c>
      <c r="CT59" s="2" t="e">
        <f ca="1">_xll.BDH($C$53,"CUR_RATIO","FQ1 2015","FQ1 2015","Currency=INR","Period=FQ","BEST_FPERIOD_OVERRIDE=FQ","FILING_STATUS=OR","EQY_CONSOLIDATED=Y","Sort=A","Dates=H","DateFormat=P","Fill=—","Direction=H","UseDPDF=Y")</f>
        <v>#NAME?</v>
      </c>
      <c r="CU59" s="2" t="e">
        <f ca="1">_xll.BDH($C$53,"QUICK_RATIO","FQ1 2015","FQ1 2015","Currency=INR","Period=FQ","BEST_FPERIOD_OVERRIDE=FQ","FILING_STATUS=OR","EQY_CONSOLIDATED=Y","Sort=A","Dates=H","DateFormat=P","Fill=—","Direction=H","UseDPDF=Y")</f>
        <v>#NAME?</v>
      </c>
      <c r="CV59" s="2" t="e">
        <f ca="1">_xll.BDH($C$53,"ALTMAN_Z_SCORE","FQ1 2015","FQ1 2015","Currency=INR","Period=FQ","BEST_FPERIOD_OVERRIDE=FQ","FILING_STATUS=OR","EQY_CONSOLIDATED=Y","Sort=A","Dates=H","DateFormat=P","Fill=—","Direction=H","UseDPDF=Y")</f>
        <v>#NAME?</v>
      </c>
      <c r="CW59" s="4" t="e">
        <f ca="1">_xll.BDH($C$53,"ACCT_RCV_TURN","FQ1 2015","FQ1 2015","Currency=INR","Period=FQ","BEST_FPERIOD_OVERRIDE=FQ","FILING_STATUS=OR","EQY_CONSOLIDATED=Y","FA_ADJUSTED=GAAP","Sort=A","Dates=H","DateFormat=P","Fill=—","Direction=H","UseDPDF=Y")</f>
        <v>#NAME?</v>
      </c>
      <c r="CX59" s="2" t="e">
        <f ca="1">_xll.BDH($C$53,"ACCT_RCV_DAYS","FQ1 2015","FQ1 2015","Currency=INR","Period=FQ","BEST_FPERIOD_OVERRIDE=FQ","FILING_STATUS=OR","EQY_CONSOLIDATED=Y","FA_ADJUSTED=GAAP","Sort=A","Dates=H","DateFormat=P","Fill=—","Direction=H","UseDPDF=Y")</f>
        <v>#NAME?</v>
      </c>
      <c r="CY59" s="4" t="e">
        <f ca="1">_xll.BDH($C$53,"INVENT_TURN","FQ1 2015","FQ1 2015","Currency=INR","Period=FQ","BEST_FPERIOD_OVERRIDE=FQ","FILING_STATUS=OR","EQY_CONSOLIDATED=Y","FA_ADJUSTED=GAAP","Sort=A","Dates=H","DateFormat=P","Fill=—","Direction=H","UseDPDF=Y")</f>
        <v>#NAME?</v>
      </c>
      <c r="CZ59" s="2" t="e">
        <f ca="1">_xll.BDH($C$53,"INVENT_DAYS","FQ1 2015","FQ1 2015","Currency=INR","Period=FQ","BEST_FPERIOD_OVERRIDE=FQ","FILING_STATUS=OR","EQY_CONSOLIDATED=Y","FA_ADJUSTED=GAAP","Sort=A","Dates=H","DateFormat=P","Fill=—","Direction=H","UseDPDF=Y")</f>
        <v>#NAME?</v>
      </c>
      <c r="DA59" s="4" t="e">
        <f ca="1">_xll.BDH($C$53,"ACCOUNTS_PAYABLE_TURNOVER","FQ1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59" s="2" t="e">
        <f ca="1">_xll.BDH($C$53,"ACCOUNTS_PAYABLE_TURNOVER_DAYS","FQ1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59" s="4" t="e">
        <f ca="1">_xll.BDH($C$53,"CASH_CONVERSION_CYCLE","FQ1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59" s="4" t="e">
        <f ca="1">_xll.BDH($C$53,"INV_TO_CASH_DAYS","FQ1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59" s="5" t="e">
        <f ca="1">_xll.BDH($C$53,"BS_INVENTORIES","FQ1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59" s="3" t="e">
        <f ca="1">_xll.BDH($C$53,"INVTRY_RAW_MATERIALS","FQ1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59" s="3" t="e">
        <f ca="1">_xll.BDH($C$53,"INVTRY_IN_PROGRESS","FQ1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59" s="3" t="e">
        <f ca="1">_xll.BDH($C$53,"INVTRY_FINISHED_GOODS","FQ1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59" s="3" t="e">
        <f ca="1">_xll.BDH($C$53,"BS_OTHER_INV","FQ1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60" spans="1:113" x14ac:dyDescent="0.3">
      <c r="A60" s="6"/>
      <c r="B60" s="6"/>
      <c r="C60" s="6"/>
      <c r="D60" s="6"/>
      <c r="E60" t="s">
        <v>79</v>
      </c>
      <c r="F60" t="e">
        <f ca="1">_xll.BDH($C$53,"RETURN_COM_EQY","FQ2 2015","FQ2 2015","Currency=INR","Period=FQ","BEST_FPERIOD_OVERRIDE=FQ","FILING_STATUS=OR","EQY_CONSOLIDATED=Y","FA_ADJUSTED=GAAP","Sort=A","Dates=H","DateFormat=P","Fill=—","Direction=H","UseDPDF=Y")</f>
        <v>#NAME?</v>
      </c>
      <c r="G60" t="e">
        <f ca="1">_xll.BDH($C$53,"RETURN_ON_ASSET","FQ2 2015","FQ2 2015","Currency=INR","Period=FQ","BEST_FPERIOD_OVERRIDE=FQ","FILING_STATUS=OR","EQY_CONSOLIDATED=Y","FA_ADJUSTED=GAAP","Sort=A","Dates=H","DateFormat=P","Fill=—","Direction=H","UseDPDF=Y")</f>
        <v>#NAME?</v>
      </c>
      <c r="H60" t="e">
        <f ca="1">_xll.BDH($C$53,"RETURN_ON_CAP","FQ2 2015","FQ2 2015","Currency=INR","Period=FQ","BEST_FPERIOD_OVERRIDE=FQ","FILING_STATUS=OR","EQY_CONSOLIDATED=Y","FA_ADJUSTED=GAAP","Sort=A","Dates=H","DateFormat=P","Fill=—","Direction=H","UseDPDF=Y")</f>
        <v>#NAME?</v>
      </c>
      <c r="I60" t="e">
        <f ca="1">_xll.BDH($C$53,"RETURN_ON_INV_CAPITAL","FQ2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60" t="e">
        <f ca="1">_xll.BDH($C$53,"EBITDA_TO_REVENUE","FQ2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60" t="e">
        <f ca="1">_xll.BDH($C$53,"OPER_MARGIN","FQ2 2015","FQ2 2015","Currency=INR","Period=FQ","BEST_FPERIOD_OVERRIDE=FQ","FILING_STATUS=OR","EQY_CONSOLIDATED=Y","FA_ADJUSTED=GAAP","Sort=A","Dates=H","DateFormat=P","Fill=—","Direction=H","UseDPDF=Y")</f>
        <v>#NAME?</v>
      </c>
      <c r="L60" t="e">
        <f ca="1">_xll.BDH($C$53,"INCREMENTAL_OPERATING_MARGIN","FQ2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60" t="e">
        <f ca="1">_xll.BDH($C$53,"PRETAX_INC_TO_NET_SALES","FQ2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60" t="e">
        <f ca="1">_xll.BDH($C$53,"INC_BEF_XO_ITEMS_TO_NET_SALES","FQ2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60" t="e">
        <f ca="1">_xll.BDH($C$53,"PROF_MARGIN","FQ2 2015","FQ2 2015","Currency=INR","Period=FQ","BEST_FPERIOD_OVERRIDE=FQ","FILING_STATUS=OR","EQY_CONSOLIDATED=Y","FA_ADJUSTED=GAAP","Sort=A","Dates=H","DateFormat=P","Fill=—","Direction=H","UseDPDF=Y")</f>
        <v>#NAME?</v>
      </c>
      <c r="P60" t="e">
        <f ca="1">_xll.BDH($C$53,"NET_INCOME_TO_COMMON_MARGIN","FQ2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60" t="e">
        <f ca="1">_xll.BDH($C$53,"EFF_TAX_RATE","FQ2 2015","FQ2 2015","Currency=INR","Period=FQ","BEST_FPERIOD_OVERRIDE=FQ","FILING_STATUS=OR","EQY_CONSOLIDATED=Y","FA_ADJUSTED=GAAP","Sort=A","Dates=H","DateFormat=P","Fill=—","Direction=H","UseDPDF=Y")</f>
        <v>#NAME?</v>
      </c>
      <c r="R60" t="e">
        <f ca="1">_xll.BDH($C$53,"DVD_PAYOUT_RATIO","FQ2 2015","FQ2 2015","Currency=INR","Period=FQ","BEST_FPERIOD_OVERRIDE=FQ","FILING_STATUS=OR","EQY_CONSOLIDATED=Y","FA_ADJUSTED=GAAP","Sort=A","Dates=H","DateFormat=P","Fill=—","Direction=H","UseDPDF=Y")</f>
        <v>#NAME?</v>
      </c>
      <c r="S60" t="e">
        <f ca="1">_xll.BDH($C$53,"SUSTAIN_GROWTH_RT","FQ2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60" s="2" t="e">
        <f ca="1">_xll.BDH($C$53,"SALES_GROWTH","FQ2 2015","FQ2 2015","Currency=INR","Period=FQ","BEST_FPERIOD_OVERRIDE=FQ","FILING_STATUS=OR","EQY_CONSOLIDATED=Y","FA_ADJUSTED=GAAP","Sort=A","Dates=H","DateFormat=P","Fill=—","Direction=H","UseDPDF=Y")</f>
        <v>#NAME?</v>
      </c>
      <c r="U60" s="2" t="e">
        <f ca="1">_xll.BDH($C$53,"EBITDA_GROWTH","FQ2 2015","FQ2 2015","Currency=INR","Period=FQ","BEST_FPERIOD_OVERRIDE=FQ","FILING_STATUS=OR","EQY_CONSOLIDATED=Y","FA_ADJUSTED=GAAP","Sort=A","Dates=H","DateFormat=P","Fill=—","Direction=H","UseDPDF=Y")</f>
        <v>#NAME?</v>
      </c>
      <c r="V60" s="2" t="e">
        <f ca="1">_xll.BDH($C$53,"OPER_INC_GROWTH","FQ2 2015","FQ2 2015","Currency=INR","Period=FQ","BEST_FPERIOD_OVERRIDE=FQ","FILING_STATUS=OR","EQY_CONSOLIDATED=Y","FA_ADJUSTED=GAAP","Sort=A","Dates=H","DateFormat=P","Fill=—","Direction=H","UseDPDF=Y")</f>
        <v>#NAME?</v>
      </c>
      <c r="W60" s="2" t="e">
        <f ca="1">_xll.BDH($C$53,"EARN_FOR_COM_GROWTH","FQ2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60" s="2" t="e">
        <f ca="1">_xll.BDH($C$53,"DILUTED_EPS_AFT_XO_ITEMS_GROWTH","FQ2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60" s="2" t="e">
        <f ca="1">_xll.BDH($C$53,"DIVIDEND_PER_SHARE_1_YEAR_GROWTH","FQ2 2015","FQ2 2015","Currency=INR","Period=FQ","BEST_FPERIOD_OVERRIDE=FQ","FILING_STATUS=OR","EQY_CONSOLIDATED=Y","Sort=A","Dates=H","DateFormat=P","Fill=—","Direction=H","UseDPDF=Y")</f>
        <v>#NAME?</v>
      </c>
      <c r="Z60" s="2" t="e">
        <f ca="1">_xll.BDH($C$53,"ACCOUNTS_RECEIVABLE_GROWTH","FQ2 2015","FQ2 2015","Currency=INR","Period=FQ","BEST_FPERIOD_OVERRIDE=FQ","FILING_STATUS=OR","EQY_CONSOLIDATED=Y","Sort=A","Dates=H","DateFormat=P","Fill=—","Direction=H","UseDPDF=Y")</f>
        <v>#NAME?</v>
      </c>
      <c r="AA60" s="2" t="e">
        <f ca="1">_xll.BDH($C$53,"INVENTORY_GROWTH","FQ2 2015","FQ2 2015","Currency=INR","Period=FQ","BEST_FPERIOD_OVERRIDE=FQ","FILING_STATUS=OR","EQY_CONSOLIDATED=Y","Sort=A","Dates=H","DateFormat=P","Fill=—","Direction=H","UseDPDF=Y")</f>
        <v>#NAME?</v>
      </c>
      <c r="AB60" s="2" t="e">
        <f ca="1">_xll.BDH($C$53,"NET_FIXED_ASSETS_1_YEAR_GROWTH","FQ2 2015","FQ2 2015","Currency=INR","Period=FQ","BEST_FPERIOD_OVERRIDE=FQ","FILING_STATUS=OR","EQY_CONSOLIDATED=Y","Sort=A","Dates=H","DateFormat=P","Fill=—","Direction=H","UseDPDF=Y")</f>
        <v>#NAME?</v>
      </c>
      <c r="AC60" s="2" t="e">
        <f ca="1">_xll.BDH($C$53,"ASSET_GROWTH","FQ2 2015","FQ2 2015","Currency=INR","Period=FQ","BEST_FPERIOD_OVERRIDE=FQ","FILING_STATUS=OR","EQY_CONSOLIDATED=Y","Sort=A","Dates=H","DateFormat=P","Fill=—","Direction=H","UseDPDF=Y")</f>
        <v>#NAME?</v>
      </c>
      <c r="AD60" s="2" t="e">
        <f ca="1">_xll.BDH($C$53,"MODIFIED_WORK_CAP_GROWTH","FQ2 2015","FQ2 2015","Currency=INR","Period=FQ","BEST_FPERIOD_OVERRIDE=FQ","FILING_STATUS=OR","EQY_CONSOLIDATED=Y","Sort=A","Dates=H","DateFormat=P","Fill=—","Direction=H","UseDPDF=Y")</f>
        <v>#NAME?</v>
      </c>
      <c r="AE60" s="2" t="e">
        <f ca="1">_xll.BDH($C$53,"WORK_CAP_GROWTH","FQ2 2015","FQ2 2015","Currency=INR","Period=FQ","BEST_FPERIOD_OVERRIDE=FQ","FILING_STATUS=OR","EQY_CONSOLIDATED=Y","Sort=A","Dates=H","DateFormat=P","Fill=—","Direction=H","UseDPDF=Y")</f>
        <v>#NAME?</v>
      </c>
      <c r="AF60" s="2" t="e">
        <f ca="1">_xll.BDH($C$53,"ACCOUNTS_PAYABLE_GROWTH_1YR","FQ2 2015","FQ2 2015","Currency=INR","Period=FQ","BEST_FPERIOD_OVERRIDE=FQ","FILING_STATUS=OR","EQY_CONSOLIDATED=Y","Sort=A","Dates=H","DateFormat=P","Fill=—","Direction=H","UseDPDF=Y")</f>
        <v>#NAME?</v>
      </c>
      <c r="AG60" s="2" t="e">
        <f ca="1">_xll.BDH($C$53,"SHORT_TERM_DEBT_1_YEAR_GROWTH","FQ2 2015","FQ2 2015","Currency=INR","Period=FQ","BEST_FPERIOD_OVERRIDE=FQ","FILING_STATUS=OR","EQY_CONSOLIDATED=Y","Sort=A","Dates=H","DateFormat=P","Fill=—","Direction=H","UseDPDF=Y")</f>
        <v>#NAME?</v>
      </c>
      <c r="AH60" s="2" t="e">
        <f ca="1">_xll.BDH($C$53,"TOTAL_DEBT_1_YEAR_GROWTH","FQ2 2015","FQ2 2015","Currency=INR","Period=FQ","BEST_FPERIOD_OVERRIDE=FQ","FILING_STATUS=OR","EQY_CONSOLIDATED=Y","Sort=A","Dates=H","DateFormat=P","Fill=—","Direction=H","UseDPDF=Y")</f>
        <v>#NAME?</v>
      </c>
      <c r="AI60" s="2" t="e">
        <f ca="1">_xll.BDH($C$53,"TOTAL_EQUITY_1_YEAR_GROWTH","FQ2 2015","FQ2 2015","Currency=INR","Period=FQ","BEST_FPERIOD_OVERRIDE=FQ","FILING_STATUS=OR","EQY_CONSOLIDATED=Y","Sort=A","Dates=H","DateFormat=P","Fill=—","Direction=H","UseDPDF=Y")</f>
        <v>#NAME?</v>
      </c>
      <c r="AJ60" s="2" t="e">
        <f ca="1">_xll.BDH($C$53,"GROWTH_IN_CAP","FQ2 2015","FQ2 2015","Currency=INR","Period=FQ","BEST_FPERIOD_OVERRIDE=FQ","FILING_STATUS=OR","EQY_CONSOLIDATED=Y","Sort=A","Dates=H","DateFormat=P","Fill=—","Direction=H","UseDPDF=Y")</f>
        <v>#NAME?</v>
      </c>
      <c r="AK60" s="2" t="e">
        <f ca="1">_xll.BDH($C$53,"BVPS_GROWTH","FQ2 2015","FQ2 2015","Currency=INR","Period=FQ","BEST_FPERIOD_OVERRIDE=FQ","FILING_STATUS=OR","EQY_CONSOLIDATED=Y","Sort=A","Dates=H","DateFormat=P","Fill=—","Direction=H","UseDPDF=Y")</f>
        <v>#NAME?</v>
      </c>
      <c r="AL60" s="2" t="e">
        <f ca="1">_xll.BDH($C$53,"CASH_FLOW_GROWTH","FQ2 2015","FQ2 2015","Currency=INR","Period=FQ","BEST_FPERIOD_OVERRIDE=FQ","FILING_STATUS=OR","EQY_CONSOLIDATED=Y","Sort=A","Dates=H","DateFormat=P","Fill=—","Direction=H","UseDPDF=Y")</f>
        <v>#NAME?</v>
      </c>
      <c r="AM60" s="2" t="e">
        <f ca="1">_xll.BDH($C$53,"GEO_GROW_NET_SALES","FQ2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60" s="2" t="e">
        <f ca="1">_xll.BDH($C$53,"GEO_GROW_EBITDA","FQ2 2015","FQ2 2015","Currency=INR","Period=FQ","BEST_FPERIOD_OVERRIDE=FQ","FILING_STATUS=OR","EQY_CONSOLIDATED=Y","FA_ADJUSTED=GAAP","Sort=A","Dates=H","DateFormat=P","Fill=—","Direction=H","UseDPDF=Y")</f>
        <v>#NAME?</v>
      </c>
      <c r="AO60" s="2" t="e">
        <f ca="1">_xll.BDH($C$53,"GEO_GROW_OPER_INC","FQ2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60" s="2" t="e">
        <f ca="1">_xll.BDH($C$53,"NET_INCOME_TO_COMMON_5_YR_GROWTH","FQ2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60" s="2" t="e">
        <f ca="1">_xll.BDH($C$53,"5Y_GEO_GROWTH_DILUTED_EPS","FQ2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60" s="2" t="e">
        <f ca="1">_xll.BDH($C$53,"GEO_GROW_DVD_PER_SH","FQ2 2015","FQ2 2015","Currency=INR","Period=FQ","BEST_FPERIOD_OVERRIDE=FQ","FILING_STATUS=OR","EQY_CONSOLIDATED=Y","Sort=A","Dates=H","DateFormat=P","Fill=—","Direction=H","UseDPDF=Y")</f>
        <v>#NAME?</v>
      </c>
      <c r="AS60" s="2" t="e">
        <f ca="1">_xll.BDH($C$53,"ACCOUNTS_RECEIVABLE_5_YR_GROWTH","FQ2 2015","FQ2 2015","Currency=INR","Period=FQ","BEST_FPERIOD_OVERRIDE=FQ","FILING_STATUS=OR","EQY_CONSOLIDATED=Y","Sort=A","Dates=H","DateFormat=P","Fill=—","Direction=H","UseDPDF=Y")</f>
        <v>#NAME?</v>
      </c>
      <c r="AT60" s="2" t="e">
        <f ca="1">_xll.BDH($C$53,"INVENTORY_5_YEAR_GROWTH","FQ2 2015","FQ2 2015","Currency=INR","Period=FQ","BEST_FPERIOD_OVERRIDE=FQ","FILING_STATUS=OR","EQY_CONSOLIDATED=Y","Sort=A","Dates=H","DateFormat=P","Fill=—","Direction=H","UseDPDF=Y")</f>
        <v>#NAME?</v>
      </c>
      <c r="AU60" s="2" t="e">
        <f ca="1">_xll.BDH($C$53,"NET_FIXED_ASSETS_5_YEAR_GROWTH","FQ2 2015","FQ2 2015","Currency=INR","Period=FQ","BEST_FPERIOD_OVERRIDE=FQ","FILING_STATUS=OR","EQY_CONSOLIDATED=Y","Sort=A","Dates=H","DateFormat=P","Fill=—","Direction=H","UseDPDF=Y")</f>
        <v>#NAME?</v>
      </c>
      <c r="AV60" s="2" t="e">
        <f ca="1">_xll.BDH($C$53,"GEO_GROW_TOT_ASSET","FQ2 2015","FQ2 2015","Currency=INR","Period=FQ","BEST_FPERIOD_OVERRIDE=FQ","FILING_STATUS=OR","EQY_CONSOLIDATED=Y","Sort=A","Dates=H","DateFormat=P","Fill=—","Direction=H","UseDPDF=Y")</f>
        <v>#NAME?</v>
      </c>
      <c r="AW60" s="2" t="e">
        <f ca="1">_xll.BDH($C$53,"MODIFIED_WORKING_CPTL_5YR_GRWTH","FQ2 2015","FQ2 2015","Currency=INR","Period=FQ","BEST_FPERIOD_OVERRIDE=FQ","FILING_STATUS=OR","EQY_CONSOLIDATED=Y","Sort=A","Dates=H","DateFormat=P","Fill=—","Direction=H","UseDPDF=Y")</f>
        <v>#NAME?</v>
      </c>
      <c r="AX60" s="2" t="e">
        <f ca="1">_xll.BDH($C$53,"WORKING_CAPITAL_5_YEAR_GROWTH","FQ2 2015","FQ2 2015","Currency=INR","Period=FQ","BEST_FPERIOD_OVERRIDE=FQ","FILING_STATUS=OR","EQY_CONSOLIDATED=Y","Sort=A","Dates=H","DateFormat=P","Fill=—","Direction=H","UseDPDF=Y")</f>
        <v>#NAME?</v>
      </c>
      <c r="AY60" s="2" t="e">
        <f ca="1">_xll.BDH($C$53,"ACCOUNTS_PAYABLE_5_YEAR_GROWTH","FQ2 2015","FQ2 2015","Currency=INR","Period=FQ","BEST_FPERIOD_OVERRIDE=FQ","FILING_STATUS=OR","EQY_CONSOLIDATED=Y","Sort=A","Dates=H","DateFormat=P","Fill=—","Direction=H","UseDPDF=Y")</f>
        <v>#NAME?</v>
      </c>
      <c r="AZ60" s="2" t="e">
        <f ca="1">_xll.BDH($C$53,"SHORT_TERM_DEBT_5_YEAR_GROWTH","FQ2 2015","FQ2 2015","Currency=INR","Period=FQ","BEST_FPERIOD_OVERRIDE=FQ","FILING_STATUS=OR","EQY_CONSOLIDATED=Y","Sort=A","Dates=H","DateFormat=P","Fill=—","Direction=H","UseDPDF=Y")</f>
        <v>#NAME?</v>
      </c>
      <c r="BA60" s="2" t="e">
        <f ca="1">_xll.BDH($C$53,"TOTAL_DEBT_5_YEAR_GROWTH","FQ2 2015","FQ2 2015","Currency=INR","Period=FQ","BEST_FPERIOD_OVERRIDE=FQ","FILING_STATUS=OR","EQY_CONSOLIDATED=Y","Sort=A","Dates=H","DateFormat=P","Fill=—","Direction=H","UseDPDF=Y")</f>
        <v>#NAME?</v>
      </c>
      <c r="BB60" s="2" t="e">
        <f ca="1">_xll.BDH($C$53,"GEO_GROW_TOT_SHRHLDR_EQY","FQ2 2015","FQ2 2015","Currency=INR","Period=FQ","BEST_FPERIOD_OVERRIDE=FQ","FILING_STATUS=OR","EQY_CONSOLIDATED=Y","Sort=A","Dates=H","DateFormat=P","Fill=—","Direction=H","UseDPDF=Y")</f>
        <v>#NAME?</v>
      </c>
      <c r="BC60" s="2" t="e">
        <f ca="1">_xll.BDH($C$53,"TOTAL_CAPITAL_5_YEAR_GROWTH","FQ2 2015","FQ2 2015","Currency=INR","Period=FQ","BEST_FPERIOD_OVERRIDE=FQ","FILING_STATUS=OR","EQY_CONSOLIDATED=Y","Sort=A","Dates=H","DateFormat=P","Fill=—","Direction=H","UseDPDF=Y")</f>
        <v>#NAME?</v>
      </c>
      <c r="BD60" s="2" t="e">
        <f ca="1">_xll.BDH($C$53,"GEO_GROW_BOOK_VAL","FQ2 2015","FQ2 2015","Currency=INR","Period=FQ","BEST_FPERIOD_OVERRIDE=FQ","FILING_STATUS=OR","EQY_CONSOLIDATED=Y","Sort=A","Dates=H","DateFormat=P","Fill=—","Direction=H","UseDPDF=Y")</f>
        <v>#NAME?</v>
      </c>
      <c r="BE60" s="2" t="e">
        <f ca="1">_xll.BDH($C$53,"GEO_GROW_CASH_OPER_ACT","FQ2 2015","FQ2 2015","Currency=INR","Period=FQ","BEST_FPERIOD_OVERRIDE=FQ","FILING_STATUS=OR","EQY_CONSOLIDATED=Y","Sort=A","Dates=H","DateFormat=P","Fill=—","Direction=H","UseDPDF=Y")</f>
        <v>#NAME?</v>
      </c>
      <c r="BF60" s="2" t="e">
        <f ca="1">_xll.BDH($C$53,"REVENUE_SEQUENTIAL_GROWTH","FQ2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60" s="2" t="e">
        <f ca="1">_xll.BDH($C$53,"EBITDA_SEQUENTIAL_GROWTH","FQ2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60" s="2" t="e">
        <f ca="1">_xll.BDH($C$53,"OPERATING_INCOME_SEQ_GROWTH","FQ2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60" s="2" t="e">
        <f ca="1">_xll.BDH($C$53,"NET_INCOME_TO_COMMON_SEQ_GROWTH","FQ2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60" s="2" t="e">
        <f ca="1">_xll.BDH($C$53,"EPS_DILUTED_SEQUENTIAL_GROWTH","FQ2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60" s="2" t="e">
        <f ca="1">_xll.BDH($C$53,"DPS_SEQUENTIAL_GROWTH","FQ2 2015","FQ2 2015","Currency=INR","Period=FQ","BEST_FPERIOD_OVERRIDE=FQ","FILING_STATUS=OR","EQY_CONSOLIDATED=Y","Sort=A","Dates=H","DateFormat=P","Fill=—","Direction=H","UseDPDF=Y")</f>
        <v>#NAME?</v>
      </c>
      <c r="BL60" s="2" t="e">
        <f ca="1">_xll.BDH($C$53,"ACCOUNTS_RECEIVABLE_SEQ_GROWTH","FQ2 2015","FQ2 2015","Currency=INR","Period=FQ","BEST_FPERIOD_OVERRIDE=FQ","FILING_STATUS=OR","EQY_CONSOLIDATED=Y","Sort=A","Dates=H","DateFormat=P","Fill=—","Direction=H","UseDPDF=Y")</f>
        <v>#NAME?</v>
      </c>
      <c r="BM60" s="2" t="e">
        <f ca="1">_xll.BDH($C$53,"INVENTORY_SEQUENTIAL_GROWTH","FQ2 2015","FQ2 2015","Currency=INR","Period=FQ","BEST_FPERIOD_OVERRIDE=FQ","FILING_STATUS=OR","EQY_CONSOLIDATED=Y","Sort=A","Dates=H","DateFormat=P","Fill=—","Direction=H","UseDPDF=Y")</f>
        <v>#NAME?</v>
      </c>
      <c r="BN60" s="2" t="e">
        <f ca="1">_xll.BDH($C$53,"FIXED_ASSETS_SEQUENTIAL_GROWTH","FQ2 2015","FQ2 2015","Currency=INR","Period=FQ","BEST_FPERIOD_OVERRIDE=FQ","FILING_STATUS=OR","EQY_CONSOLIDATED=Y","Sort=A","Dates=H","DateFormat=P","Fill=—","Direction=H","UseDPDF=Y")</f>
        <v>#NAME?</v>
      </c>
      <c r="BO60" s="2" t="e">
        <f ca="1">_xll.BDH($C$53,"TOTAL_ASSETS_SEQUENTIAL_GROWTH","FQ2 2015","FQ2 2015","Currency=INR","Period=FQ","BEST_FPERIOD_OVERRIDE=FQ","FILING_STATUS=OR","EQY_CONSOLIDATED=Y","Sort=A","Dates=H","DateFormat=P","Fill=—","Direction=H","UseDPDF=Y")</f>
        <v>#NAME?</v>
      </c>
      <c r="BP60" s="2" t="e">
        <f ca="1">_xll.BDH($C$53,"MODIFIED_WORKING_CPTL_SEQ_GRWTH","FQ2 2015","FQ2 2015","Currency=INR","Period=FQ","BEST_FPERIOD_OVERRIDE=FQ","FILING_STATUS=OR","EQY_CONSOLIDATED=Y","Sort=A","Dates=H","DateFormat=P","Fill=—","Direction=H","UseDPDF=Y")</f>
        <v>#NAME?</v>
      </c>
      <c r="BQ60" s="2" t="e">
        <f ca="1">_xll.BDH($C$53,"WORKING_CAPITAL_SEQ_GROWTH","FQ2 2015","FQ2 2015","Currency=INR","Period=FQ","BEST_FPERIOD_OVERRIDE=FQ","FILING_STATUS=OR","EQY_CONSOLIDATED=Y","Sort=A","Dates=H","DateFormat=P","Fill=—","Direction=H","UseDPDF=Y")</f>
        <v>#NAME?</v>
      </c>
      <c r="BR60" s="2" t="e">
        <f ca="1">_xll.BDH($C$53,"ACCOUNTS_PAYABLE_SEQ_GROWTH","FQ2 2015","FQ2 2015","Currency=INR","Period=FQ","BEST_FPERIOD_OVERRIDE=FQ","FILING_STATUS=OR","EQY_CONSOLIDATED=Y","Sort=A","Dates=H","DateFormat=P","Fill=—","Direction=H","UseDPDF=Y")</f>
        <v>#NAME?</v>
      </c>
      <c r="BS60" s="2" t="e">
        <f ca="1">_xll.BDH($C$53,"ST_DEBT_SEQUENTIAL_GROWTH","FQ2 2015","FQ2 2015","Currency=INR","Period=FQ","BEST_FPERIOD_OVERRIDE=FQ","FILING_STATUS=OR","EQY_CONSOLIDATED=Y","Sort=A","Dates=H","DateFormat=P","Fill=—","Direction=H","UseDPDF=Y")</f>
        <v>#NAME?</v>
      </c>
      <c r="BT60" s="2" t="e">
        <f ca="1">_xll.BDH($C$53,"TOTAL_DEBT_SEQUENTIAL_GROWTH","FQ2 2015","FQ2 2015","Currency=INR","Period=FQ","BEST_FPERIOD_OVERRIDE=FQ","FILING_STATUS=OR","EQY_CONSOLIDATED=Y","Sort=A","Dates=H","DateFormat=P","Fill=—","Direction=H","UseDPDF=Y")</f>
        <v>#NAME?</v>
      </c>
      <c r="BU60" s="2" t="e">
        <f ca="1">_xll.BDH($C$53,"TOTAL_EQUITY_SEQUENTIAL_GROWTH","FQ2 2015","FQ2 2015","Currency=INR","Period=FQ","BEST_FPERIOD_OVERRIDE=FQ","FILING_STATUS=OR","EQY_CONSOLIDATED=Y","Sort=A","Dates=H","DateFormat=P","Fill=—","Direction=H","UseDPDF=Y")</f>
        <v>#NAME?</v>
      </c>
      <c r="BV60" s="2" t="e">
        <f ca="1">_xll.BDH($C$53,"TOTAL_CAPITAL_SEQUENTIAL_GROWTH","FQ2 2015","FQ2 2015","Currency=INR","Period=FQ","BEST_FPERIOD_OVERRIDE=FQ","FILING_STATUS=OR","EQY_CONSOLIDATED=Y","Sort=A","Dates=H","DateFormat=P","Fill=—","Direction=H","UseDPDF=Y")</f>
        <v>#NAME?</v>
      </c>
      <c r="BW60" s="2" t="e">
        <f ca="1">_xll.BDH($C$53,"BPS_SEQUENTIAL_GROWTH","FQ2 2015","FQ2 2015","Currency=INR","Period=FQ","BEST_FPERIOD_OVERRIDE=FQ","FILING_STATUS=OR","EQY_CONSOLIDATED=Y","Sort=A","Dates=H","DateFormat=P","Fill=—","Direction=H","UseDPDF=Y")</f>
        <v>#NAME?</v>
      </c>
      <c r="BX60" s="2" t="e">
        <f ca="1">_xll.BDH($C$53,"CFO_SEQUENTIAL_GROWTH","FQ2 2015","FQ2 2015","Currency=INR","Period=FQ","BEST_FPERIOD_OVERRIDE=FQ","FILING_STATUS=OR","EQY_CONSOLIDATED=Y","Sort=A","Dates=H","DateFormat=P","Fill=—","Direction=H","UseDPDF=Y")</f>
        <v>#NAME?</v>
      </c>
      <c r="BY60" s="3" t="e">
        <f ca="1">_xll.BDH($C$53,"SHORT_AND_LONG_TERM_DEBT","FQ2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60" s="3" t="e">
        <f ca="1">_xll.BDH($C$53,"BS_ST_BORROW","FQ2 2015","FQ2 2015","Currency=INR","Period=FQ","BEST_FPERIOD_OVERRIDE=FQ","FILING_STATUS=OR","EQY_CONSOLIDATED=Y","SCALING_FORMAT=MLN","Sort=A","Dates=H","DateFormat=P","Fill=—","Direction=H","UseDPDF=Y")</f>
        <v>#NAME?</v>
      </c>
      <c r="CA60" s="3" t="e">
        <f ca="1">_xll.BDH($C$53,"BS_LT_BORROW","FQ2 2015","FQ2 2015","Currency=INR","Period=FQ","BEST_FPERIOD_OVERRIDE=FQ","FILING_STATUS=OR","EQY_CONSOLIDATED=Y","SCALING_FORMAT=MLN","Sort=A","Dates=H","DateFormat=P","Fill=—","Direction=H","UseDPDF=Y")</f>
        <v>#NAME?</v>
      </c>
      <c r="CB60" s="2" t="e">
        <f ca="1">_xll.BDH($C$53,"TOT_DEBT_TO_EBITDA","FQ2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60" s="2" t="e">
        <f ca="1">_xll.BDH($C$53,"NET_DEBT_TO_EBITDA","FQ2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60" s="2" t="e">
        <f ca="1">_xll.BDH($C$53,"TOTAL_DEBT_TO_EBIT","FQ2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60" s="2" t="e">
        <f ca="1">_xll.BDH($C$53,"NET_DEBT_TO_EBIT","FQ2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60" s="2" t="e">
        <f ca="1">_xll.BDH($C$53,"EBITDA_TO_INTEREST_EXPN","FQ2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60" s="2" t="e">
        <f ca="1">_xll.BDH($C$53,"COM_EQY_TO_TOT_ASSET","FQ2 2015","FQ2 2015","Currency=INR","Period=FQ","BEST_FPERIOD_OVERRIDE=FQ","FILING_STATUS=OR","EQY_CONSOLIDATED=Y","Sort=A","Dates=H","DateFormat=P","Fill=—","Direction=H","UseDPDF=Y")</f>
        <v>#NAME?</v>
      </c>
      <c r="CH60" s="2" t="e">
        <f ca="1">_xll.BDH($C$53,"LT_DEBT_TO_TOT_EQY","FQ2 2015","FQ2 2015","Currency=INR","Period=FQ","BEST_FPERIOD_OVERRIDE=FQ","FILING_STATUS=OR","EQY_CONSOLIDATED=Y","Sort=A","Dates=H","DateFormat=P","Fill=—","Direction=H","UseDPDF=Y")</f>
        <v>#NAME?</v>
      </c>
      <c r="CI60" s="2" t="e">
        <f ca="1">_xll.BDH($C$53,"LT_DEBT_TO_TOT_CAP","FQ2 2015","FQ2 2015","Currency=INR","Period=FQ","BEST_FPERIOD_OVERRIDE=FQ","FILING_STATUS=OR","EQY_CONSOLIDATED=Y","Sort=A","Dates=H","DateFormat=P","Fill=—","Direction=H","UseDPDF=Y")</f>
        <v>#NAME?</v>
      </c>
      <c r="CJ60" s="2" t="e">
        <f ca="1">_xll.BDH($C$53,"LT_DEBT_TO_TOT_ASSET","FQ2 2015","FQ2 2015","Currency=INR","Period=FQ","BEST_FPERIOD_OVERRIDE=FQ","FILING_STATUS=OR","EQY_CONSOLIDATED=Y","Sort=A","Dates=H","DateFormat=P","Fill=—","Direction=H","UseDPDF=Y")</f>
        <v>#NAME?</v>
      </c>
      <c r="CK60" s="2" t="e">
        <f ca="1">_xll.BDH($C$53,"TOT_DEBT_TO_TOT_EQY","FQ2 2015","FQ2 2015","Currency=INR","Period=FQ","BEST_FPERIOD_OVERRIDE=FQ","FILING_STATUS=OR","EQY_CONSOLIDATED=Y","Sort=A","Dates=H","DateFormat=P","Fill=—","Direction=H","UseDPDF=Y")</f>
        <v>#NAME?</v>
      </c>
      <c r="CL60" s="2" t="e">
        <f ca="1">_xll.BDH($C$53,"TOT_DEBT_TO_TOT_CAP","FQ2 2015","FQ2 2015","Currency=INR","Period=FQ","BEST_FPERIOD_OVERRIDE=FQ","FILING_STATUS=OR","EQY_CONSOLIDATED=Y","Sort=A","Dates=H","DateFormat=P","Fill=—","Direction=H","UseDPDF=Y")</f>
        <v>#NAME?</v>
      </c>
      <c r="CM60" s="2" t="e">
        <f ca="1">_xll.BDH($C$53,"TOT_DEBT_TO_TOT_ASSET","FQ2 2015","FQ2 2015","Currency=INR","Period=FQ","BEST_FPERIOD_OVERRIDE=FQ","FILING_STATUS=OR","EQY_CONSOLIDATED=Y","Sort=A","Dates=H","DateFormat=P","Fill=—","Direction=H","UseDPDF=Y")</f>
        <v>#NAME?</v>
      </c>
      <c r="CN60" s="2" t="e">
        <f ca="1">_xll.BDH($C$53,"NET_DEBT_TO_SHRHLDR_EQTY","FQ2 2015","FQ2 2015","Currency=INR","Period=FQ","BEST_FPERIOD_OVERRIDE=FQ","FILING_STATUS=OR","EQY_CONSOLIDATED=Y","Sort=A","Dates=H","DateFormat=P","Fill=—","Direction=H","UseDPDF=Y")</f>
        <v>#NAME?</v>
      </c>
      <c r="CO60" s="2" t="e">
        <f ca="1">_xll.BDH($C$53,"NET_DEBT_%_CAPITAL","FQ2 2015","FQ2 2015","Currency=INR","Period=FQ","BEST_FPERIOD_OVERRIDE=FQ","FILING_STATUS=OR","EQY_CONSOLIDATED=Y","Sort=A","Dates=H","DateFormat=P","Fill=—","Direction=H","UseDPDF=Y")</f>
        <v>#NAME?</v>
      </c>
      <c r="CP60" s="3" t="e">
        <f ca="1">_xll.BDH($C$53,"EBITDA","FQ2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60" s="3" t="e">
        <f ca="1">_xll.BDH($C$53,"EBITDA_AFTER_CAPEX","FQ2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60" s="3" t="e">
        <f ca="1">_xll.BDH($C$53,"IS_OPER_INC","FQ2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60" s="2" t="e">
        <f ca="1">_xll.BDH($C$53,"CASH_RATIO","FQ2 2015","FQ2 2015","Currency=INR","Period=FQ","BEST_FPERIOD_OVERRIDE=FQ","FILING_STATUS=OR","EQY_CONSOLIDATED=Y","Sort=A","Dates=H","DateFormat=P","Fill=—","Direction=H","UseDPDF=Y")</f>
        <v>#NAME?</v>
      </c>
      <c r="CT60" s="2" t="e">
        <f ca="1">_xll.BDH($C$53,"CUR_RATIO","FQ2 2015","FQ2 2015","Currency=INR","Period=FQ","BEST_FPERIOD_OVERRIDE=FQ","FILING_STATUS=OR","EQY_CONSOLIDATED=Y","Sort=A","Dates=H","DateFormat=P","Fill=—","Direction=H","UseDPDF=Y")</f>
        <v>#NAME?</v>
      </c>
      <c r="CU60" s="2" t="e">
        <f ca="1">_xll.BDH($C$53,"QUICK_RATIO","FQ2 2015","FQ2 2015","Currency=INR","Period=FQ","BEST_FPERIOD_OVERRIDE=FQ","FILING_STATUS=OR","EQY_CONSOLIDATED=Y","Sort=A","Dates=H","DateFormat=P","Fill=—","Direction=H","UseDPDF=Y")</f>
        <v>#NAME?</v>
      </c>
      <c r="CV60" s="2" t="e">
        <f ca="1">_xll.BDH($C$53,"ALTMAN_Z_SCORE","FQ2 2015","FQ2 2015","Currency=INR","Period=FQ","BEST_FPERIOD_OVERRIDE=FQ","FILING_STATUS=OR","EQY_CONSOLIDATED=Y","Sort=A","Dates=H","DateFormat=P","Fill=—","Direction=H","UseDPDF=Y")</f>
        <v>#NAME?</v>
      </c>
      <c r="CW60" s="4" t="e">
        <f ca="1">_xll.BDH($C$53,"ACCT_RCV_TURN","FQ2 2015","FQ2 2015","Currency=INR","Period=FQ","BEST_FPERIOD_OVERRIDE=FQ","FILING_STATUS=OR","EQY_CONSOLIDATED=Y","FA_ADJUSTED=GAAP","Sort=A","Dates=H","DateFormat=P","Fill=—","Direction=H","UseDPDF=Y")</f>
        <v>#NAME?</v>
      </c>
      <c r="CX60" s="2" t="e">
        <f ca="1">_xll.BDH($C$53,"ACCT_RCV_DAYS","FQ2 2015","FQ2 2015","Currency=INR","Period=FQ","BEST_FPERIOD_OVERRIDE=FQ","FILING_STATUS=OR","EQY_CONSOLIDATED=Y","FA_ADJUSTED=GAAP","Sort=A","Dates=H","DateFormat=P","Fill=—","Direction=H","UseDPDF=Y")</f>
        <v>#NAME?</v>
      </c>
      <c r="CY60" s="4" t="e">
        <f ca="1">_xll.BDH($C$53,"INVENT_TURN","FQ2 2015","FQ2 2015","Currency=INR","Period=FQ","BEST_FPERIOD_OVERRIDE=FQ","FILING_STATUS=OR","EQY_CONSOLIDATED=Y","FA_ADJUSTED=GAAP","Sort=A","Dates=H","DateFormat=P","Fill=—","Direction=H","UseDPDF=Y")</f>
        <v>#NAME?</v>
      </c>
      <c r="CZ60" s="2" t="e">
        <f ca="1">_xll.BDH($C$53,"INVENT_DAYS","FQ2 2015","FQ2 2015","Currency=INR","Period=FQ","BEST_FPERIOD_OVERRIDE=FQ","FILING_STATUS=OR","EQY_CONSOLIDATED=Y","FA_ADJUSTED=GAAP","Sort=A","Dates=H","DateFormat=P","Fill=—","Direction=H","UseDPDF=Y")</f>
        <v>#NAME?</v>
      </c>
      <c r="DA60" s="4" t="e">
        <f ca="1">_xll.BDH($C$53,"ACCOUNTS_PAYABLE_TURNOVER","FQ2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60" s="2" t="e">
        <f ca="1">_xll.BDH($C$53,"ACCOUNTS_PAYABLE_TURNOVER_DAYS","FQ2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60" s="4" t="e">
        <f ca="1">_xll.BDH($C$53,"CASH_CONVERSION_CYCLE","FQ2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60" s="4" t="e">
        <f ca="1">_xll.BDH($C$53,"INV_TO_CASH_DAYS","FQ2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60" s="5" t="e">
        <f ca="1">_xll.BDH($C$53,"BS_INVENTORIES","FQ2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60" s="3" t="e">
        <f ca="1">_xll.BDH($C$53,"INVTRY_RAW_MATERIALS","FQ2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60" s="3" t="e">
        <f ca="1">_xll.BDH($C$53,"INVTRY_IN_PROGRESS","FQ2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60" s="3" t="e">
        <f ca="1">_xll.BDH($C$53,"INVTRY_FINISHED_GOODS","FQ2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60" s="3" t="e">
        <f ca="1">_xll.BDH($C$53,"BS_OTHER_INV","FQ2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61" spans="1:113" x14ac:dyDescent="0.3">
      <c r="A61" s="6"/>
      <c r="B61" s="6"/>
      <c r="C61" s="6"/>
      <c r="D61" s="6"/>
      <c r="E61" t="s">
        <v>80</v>
      </c>
      <c r="F61" t="e">
        <f ca="1">_xll.BDH($C$53,"RETURN_COM_EQY","FQ3 2015","FQ3 2015","Currency=INR","Period=FQ","BEST_FPERIOD_OVERRIDE=FQ","FILING_STATUS=OR","EQY_CONSOLIDATED=Y","FA_ADJUSTED=GAAP","Sort=A","Dates=H","DateFormat=P","Fill=—","Direction=H","UseDPDF=Y")</f>
        <v>#NAME?</v>
      </c>
      <c r="G61" t="e">
        <f ca="1">_xll.BDH($C$53,"RETURN_ON_ASSET","FQ3 2015","FQ3 2015","Currency=INR","Period=FQ","BEST_FPERIOD_OVERRIDE=FQ","FILING_STATUS=OR","EQY_CONSOLIDATED=Y","FA_ADJUSTED=GAAP","Sort=A","Dates=H","DateFormat=P","Fill=—","Direction=H","UseDPDF=Y")</f>
        <v>#NAME?</v>
      </c>
      <c r="H61" t="e">
        <f ca="1">_xll.BDH($C$53,"RETURN_ON_CAP","FQ3 2015","FQ3 2015","Currency=INR","Period=FQ","BEST_FPERIOD_OVERRIDE=FQ","FILING_STATUS=OR","EQY_CONSOLIDATED=Y","FA_ADJUSTED=GAAP","Sort=A","Dates=H","DateFormat=P","Fill=—","Direction=H","UseDPDF=Y")</f>
        <v>#NAME?</v>
      </c>
      <c r="I61" t="e">
        <f ca="1">_xll.BDH($C$53,"RETURN_ON_INV_CAPITAL","FQ3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61" t="e">
        <f ca="1">_xll.BDH($C$53,"EBITDA_TO_REVENUE","FQ3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61" t="e">
        <f ca="1">_xll.BDH($C$53,"OPER_MARGIN","FQ3 2015","FQ3 2015","Currency=INR","Period=FQ","BEST_FPERIOD_OVERRIDE=FQ","FILING_STATUS=OR","EQY_CONSOLIDATED=Y","FA_ADJUSTED=GAAP","Sort=A","Dates=H","DateFormat=P","Fill=—","Direction=H","UseDPDF=Y")</f>
        <v>#NAME?</v>
      </c>
      <c r="L61" t="e">
        <f ca="1">_xll.BDH($C$53,"INCREMENTAL_OPERATING_MARGIN","FQ3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61" t="e">
        <f ca="1">_xll.BDH($C$53,"PRETAX_INC_TO_NET_SALES","FQ3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61" t="e">
        <f ca="1">_xll.BDH($C$53,"INC_BEF_XO_ITEMS_TO_NET_SALES","FQ3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61" t="e">
        <f ca="1">_xll.BDH($C$53,"PROF_MARGIN","FQ3 2015","FQ3 2015","Currency=INR","Period=FQ","BEST_FPERIOD_OVERRIDE=FQ","FILING_STATUS=OR","EQY_CONSOLIDATED=Y","FA_ADJUSTED=GAAP","Sort=A","Dates=H","DateFormat=P","Fill=—","Direction=H","UseDPDF=Y")</f>
        <v>#NAME?</v>
      </c>
      <c r="P61" t="e">
        <f ca="1">_xll.BDH($C$53,"NET_INCOME_TO_COMMON_MARGIN","FQ3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61" t="e">
        <f ca="1">_xll.BDH($C$53,"EFF_TAX_RATE","FQ3 2015","FQ3 2015","Currency=INR","Period=FQ","BEST_FPERIOD_OVERRIDE=FQ","FILING_STATUS=OR","EQY_CONSOLIDATED=Y","FA_ADJUSTED=GAAP","Sort=A","Dates=H","DateFormat=P","Fill=—","Direction=H","UseDPDF=Y")</f>
        <v>#NAME?</v>
      </c>
      <c r="R61" t="e">
        <f ca="1">_xll.BDH($C$53,"DVD_PAYOUT_RATIO","FQ3 2015","FQ3 2015","Currency=INR","Period=FQ","BEST_FPERIOD_OVERRIDE=FQ","FILING_STATUS=OR","EQY_CONSOLIDATED=Y","FA_ADJUSTED=GAAP","Sort=A","Dates=H","DateFormat=P","Fill=—","Direction=H","UseDPDF=Y")</f>
        <v>#NAME?</v>
      </c>
      <c r="S61" t="e">
        <f ca="1">_xll.BDH($C$53,"SUSTAIN_GROWTH_RT","FQ3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61" s="2" t="e">
        <f ca="1">_xll.BDH($C$53,"SALES_GROWTH","FQ3 2015","FQ3 2015","Currency=INR","Period=FQ","BEST_FPERIOD_OVERRIDE=FQ","FILING_STATUS=OR","EQY_CONSOLIDATED=Y","FA_ADJUSTED=GAAP","Sort=A","Dates=H","DateFormat=P","Fill=—","Direction=H","UseDPDF=Y")</f>
        <v>#NAME?</v>
      </c>
      <c r="U61" s="2" t="e">
        <f ca="1">_xll.BDH($C$53,"EBITDA_GROWTH","FQ3 2015","FQ3 2015","Currency=INR","Period=FQ","BEST_FPERIOD_OVERRIDE=FQ","FILING_STATUS=OR","EQY_CONSOLIDATED=Y","FA_ADJUSTED=GAAP","Sort=A","Dates=H","DateFormat=P","Fill=—","Direction=H","UseDPDF=Y")</f>
        <v>#NAME?</v>
      </c>
      <c r="V61" s="2" t="e">
        <f ca="1">_xll.BDH($C$53,"OPER_INC_GROWTH","FQ3 2015","FQ3 2015","Currency=INR","Period=FQ","BEST_FPERIOD_OVERRIDE=FQ","FILING_STATUS=OR","EQY_CONSOLIDATED=Y","FA_ADJUSTED=GAAP","Sort=A","Dates=H","DateFormat=P","Fill=—","Direction=H","UseDPDF=Y")</f>
        <v>#NAME?</v>
      </c>
      <c r="W61" s="2" t="e">
        <f ca="1">_xll.BDH($C$53,"EARN_FOR_COM_GROWTH","FQ3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61" s="2" t="e">
        <f ca="1">_xll.BDH($C$53,"DILUTED_EPS_AFT_XO_ITEMS_GROWTH","FQ3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61" s="2" t="e">
        <f ca="1">_xll.BDH($C$53,"DIVIDEND_PER_SHARE_1_YEAR_GROWTH","FQ3 2015","FQ3 2015","Currency=INR","Period=FQ","BEST_FPERIOD_OVERRIDE=FQ","FILING_STATUS=OR","EQY_CONSOLIDATED=Y","Sort=A","Dates=H","DateFormat=P","Fill=—","Direction=H","UseDPDF=Y")</f>
        <v>#NAME?</v>
      </c>
      <c r="Z61" s="2" t="e">
        <f ca="1">_xll.BDH($C$53,"ACCOUNTS_RECEIVABLE_GROWTH","FQ3 2015","FQ3 2015","Currency=INR","Period=FQ","BEST_FPERIOD_OVERRIDE=FQ","FILING_STATUS=OR","EQY_CONSOLIDATED=Y","Sort=A","Dates=H","DateFormat=P","Fill=—","Direction=H","UseDPDF=Y")</f>
        <v>#NAME?</v>
      </c>
      <c r="AA61" s="2" t="e">
        <f ca="1">_xll.BDH($C$53,"INVENTORY_GROWTH","FQ3 2015","FQ3 2015","Currency=INR","Period=FQ","BEST_FPERIOD_OVERRIDE=FQ","FILING_STATUS=OR","EQY_CONSOLIDATED=Y","Sort=A","Dates=H","DateFormat=P","Fill=—","Direction=H","UseDPDF=Y")</f>
        <v>#NAME?</v>
      </c>
      <c r="AB61" s="2" t="e">
        <f ca="1">_xll.BDH($C$53,"NET_FIXED_ASSETS_1_YEAR_GROWTH","FQ3 2015","FQ3 2015","Currency=INR","Period=FQ","BEST_FPERIOD_OVERRIDE=FQ","FILING_STATUS=OR","EQY_CONSOLIDATED=Y","Sort=A","Dates=H","DateFormat=P","Fill=—","Direction=H","UseDPDF=Y")</f>
        <v>#NAME?</v>
      </c>
      <c r="AC61" s="2" t="e">
        <f ca="1">_xll.BDH($C$53,"ASSET_GROWTH","FQ3 2015","FQ3 2015","Currency=INR","Period=FQ","BEST_FPERIOD_OVERRIDE=FQ","FILING_STATUS=OR","EQY_CONSOLIDATED=Y","Sort=A","Dates=H","DateFormat=P","Fill=—","Direction=H","UseDPDF=Y")</f>
        <v>#NAME?</v>
      </c>
      <c r="AD61" s="2" t="e">
        <f ca="1">_xll.BDH($C$53,"MODIFIED_WORK_CAP_GROWTH","FQ3 2015","FQ3 2015","Currency=INR","Period=FQ","BEST_FPERIOD_OVERRIDE=FQ","FILING_STATUS=OR","EQY_CONSOLIDATED=Y","Sort=A","Dates=H","DateFormat=P","Fill=—","Direction=H","UseDPDF=Y")</f>
        <v>#NAME?</v>
      </c>
      <c r="AE61" s="2" t="e">
        <f ca="1">_xll.BDH($C$53,"WORK_CAP_GROWTH","FQ3 2015","FQ3 2015","Currency=INR","Period=FQ","BEST_FPERIOD_OVERRIDE=FQ","FILING_STATUS=OR","EQY_CONSOLIDATED=Y","Sort=A","Dates=H","DateFormat=P","Fill=—","Direction=H","UseDPDF=Y")</f>
        <v>#NAME?</v>
      </c>
      <c r="AF61" s="2" t="e">
        <f ca="1">_xll.BDH($C$53,"ACCOUNTS_PAYABLE_GROWTH_1YR","FQ3 2015","FQ3 2015","Currency=INR","Period=FQ","BEST_FPERIOD_OVERRIDE=FQ","FILING_STATUS=OR","EQY_CONSOLIDATED=Y","Sort=A","Dates=H","DateFormat=P","Fill=—","Direction=H","UseDPDF=Y")</f>
        <v>#NAME?</v>
      </c>
      <c r="AG61" s="2" t="e">
        <f ca="1">_xll.BDH($C$53,"SHORT_TERM_DEBT_1_YEAR_GROWTH","FQ3 2015","FQ3 2015","Currency=INR","Period=FQ","BEST_FPERIOD_OVERRIDE=FQ","FILING_STATUS=OR","EQY_CONSOLIDATED=Y","Sort=A","Dates=H","DateFormat=P","Fill=—","Direction=H","UseDPDF=Y")</f>
        <v>#NAME?</v>
      </c>
      <c r="AH61" s="2" t="e">
        <f ca="1">_xll.BDH($C$53,"TOTAL_DEBT_1_YEAR_GROWTH","FQ3 2015","FQ3 2015","Currency=INR","Period=FQ","BEST_FPERIOD_OVERRIDE=FQ","FILING_STATUS=OR","EQY_CONSOLIDATED=Y","Sort=A","Dates=H","DateFormat=P","Fill=—","Direction=H","UseDPDF=Y")</f>
        <v>#NAME?</v>
      </c>
      <c r="AI61" s="2" t="e">
        <f ca="1">_xll.BDH($C$53,"TOTAL_EQUITY_1_YEAR_GROWTH","FQ3 2015","FQ3 2015","Currency=INR","Period=FQ","BEST_FPERIOD_OVERRIDE=FQ","FILING_STATUS=OR","EQY_CONSOLIDATED=Y","Sort=A","Dates=H","DateFormat=P","Fill=—","Direction=H","UseDPDF=Y")</f>
        <v>#NAME?</v>
      </c>
      <c r="AJ61" s="2" t="e">
        <f ca="1">_xll.BDH($C$53,"GROWTH_IN_CAP","FQ3 2015","FQ3 2015","Currency=INR","Period=FQ","BEST_FPERIOD_OVERRIDE=FQ","FILING_STATUS=OR","EQY_CONSOLIDATED=Y","Sort=A","Dates=H","DateFormat=P","Fill=—","Direction=H","UseDPDF=Y")</f>
        <v>#NAME?</v>
      </c>
      <c r="AK61" s="2" t="e">
        <f ca="1">_xll.BDH($C$53,"BVPS_GROWTH","FQ3 2015","FQ3 2015","Currency=INR","Period=FQ","BEST_FPERIOD_OVERRIDE=FQ","FILING_STATUS=OR","EQY_CONSOLIDATED=Y","Sort=A","Dates=H","DateFormat=P","Fill=—","Direction=H","UseDPDF=Y")</f>
        <v>#NAME?</v>
      </c>
      <c r="AL61" s="2" t="e">
        <f ca="1">_xll.BDH($C$53,"CASH_FLOW_GROWTH","FQ3 2015","FQ3 2015","Currency=INR","Period=FQ","BEST_FPERIOD_OVERRIDE=FQ","FILING_STATUS=OR","EQY_CONSOLIDATED=Y","Sort=A","Dates=H","DateFormat=P","Fill=—","Direction=H","UseDPDF=Y")</f>
        <v>#NAME?</v>
      </c>
      <c r="AM61" s="2" t="e">
        <f ca="1">_xll.BDH($C$53,"GEO_GROW_NET_SALES","FQ3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61" s="2" t="e">
        <f ca="1">_xll.BDH($C$53,"GEO_GROW_EBITDA","FQ3 2015","FQ3 2015","Currency=INR","Period=FQ","BEST_FPERIOD_OVERRIDE=FQ","FILING_STATUS=OR","EQY_CONSOLIDATED=Y","FA_ADJUSTED=GAAP","Sort=A","Dates=H","DateFormat=P","Fill=—","Direction=H","UseDPDF=Y")</f>
        <v>#NAME?</v>
      </c>
      <c r="AO61" s="2" t="e">
        <f ca="1">_xll.BDH($C$53,"GEO_GROW_OPER_INC","FQ3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61" s="2" t="e">
        <f ca="1">_xll.BDH($C$53,"NET_INCOME_TO_COMMON_5_YR_GROWTH","FQ3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61" s="2" t="e">
        <f ca="1">_xll.BDH($C$53,"5Y_GEO_GROWTH_DILUTED_EPS","FQ3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61" s="2" t="e">
        <f ca="1">_xll.BDH($C$53,"GEO_GROW_DVD_PER_SH","FQ3 2015","FQ3 2015","Currency=INR","Period=FQ","BEST_FPERIOD_OVERRIDE=FQ","FILING_STATUS=OR","EQY_CONSOLIDATED=Y","Sort=A","Dates=H","DateFormat=P","Fill=—","Direction=H","UseDPDF=Y")</f>
        <v>#NAME?</v>
      </c>
      <c r="AS61" s="2" t="e">
        <f ca="1">_xll.BDH($C$53,"ACCOUNTS_RECEIVABLE_5_YR_GROWTH","FQ3 2015","FQ3 2015","Currency=INR","Period=FQ","BEST_FPERIOD_OVERRIDE=FQ","FILING_STATUS=OR","EQY_CONSOLIDATED=Y","Sort=A","Dates=H","DateFormat=P","Fill=—","Direction=H","UseDPDF=Y")</f>
        <v>#NAME?</v>
      </c>
      <c r="AT61" s="2" t="e">
        <f ca="1">_xll.BDH($C$53,"INVENTORY_5_YEAR_GROWTH","FQ3 2015","FQ3 2015","Currency=INR","Period=FQ","BEST_FPERIOD_OVERRIDE=FQ","FILING_STATUS=OR","EQY_CONSOLIDATED=Y","Sort=A","Dates=H","DateFormat=P","Fill=—","Direction=H","UseDPDF=Y")</f>
        <v>#NAME?</v>
      </c>
      <c r="AU61" s="2" t="e">
        <f ca="1">_xll.BDH($C$53,"NET_FIXED_ASSETS_5_YEAR_GROWTH","FQ3 2015","FQ3 2015","Currency=INR","Period=FQ","BEST_FPERIOD_OVERRIDE=FQ","FILING_STATUS=OR","EQY_CONSOLIDATED=Y","Sort=A","Dates=H","DateFormat=P","Fill=—","Direction=H","UseDPDF=Y")</f>
        <v>#NAME?</v>
      </c>
      <c r="AV61" s="2" t="e">
        <f ca="1">_xll.BDH($C$53,"GEO_GROW_TOT_ASSET","FQ3 2015","FQ3 2015","Currency=INR","Period=FQ","BEST_FPERIOD_OVERRIDE=FQ","FILING_STATUS=OR","EQY_CONSOLIDATED=Y","Sort=A","Dates=H","DateFormat=P","Fill=—","Direction=H","UseDPDF=Y")</f>
        <v>#NAME?</v>
      </c>
      <c r="AW61" s="2" t="e">
        <f ca="1">_xll.BDH($C$53,"MODIFIED_WORKING_CPTL_5YR_GRWTH","FQ3 2015","FQ3 2015","Currency=INR","Period=FQ","BEST_FPERIOD_OVERRIDE=FQ","FILING_STATUS=OR","EQY_CONSOLIDATED=Y","Sort=A","Dates=H","DateFormat=P","Fill=—","Direction=H","UseDPDF=Y")</f>
        <v>#NAME?</v>
      </c>
      <c r="AX61" s="2" t="e">
        <f ca="1">_xll.BDH($C$53,"WORKING_CAPITAL_5_YEAR_GROWTH","FQ3 2015","FQ3 2015","Currency=INR","Period=FQ","BEST_FPERIOD_OVERRIDE=FQ","FILING_STATUS=OR","EQY_CONSOLIDATED=Y","Sort=A","Dates=H","DateFormat=P","Fill=—","Direction=H","UseDPDF=Y")</f>
        <v>#NAME?</v>
      </c>
      <c r="AY61" s="2" t="e">
        <f ca="1">_xll.BDH($C$53,"ACCOUNTS_PAYABLE_5_YEAR_GROWTH","FQ3 2015","FQ3 2015","Currency=INR","Period=FQ","BEST_FPERIOD_OVERRIDE=FQ","FILING_STATUS=OR","EQY_CONSOLIDATED=Y","Sort=A","Dates=H","DateFormat=P","Fill=—","Direction=H","UseDPDF=Y")</f>
        <v>#NAME?</v>
      </c>
      <c r="AZ61" s="2" t="e">
        <f ca="1">_xll.BDH($C$53,"SHORT_TERM_DEBT_5_YEAR_GROWTH","FQ3 2015","FQ3 2015","Currency=INR","Period=FQ","BEST_FPERIOD_OVERRIDE=FQ","FILING_STATUS=OR","EQY_CONSOLIDATED=Y","Sort=A","Dates=H","DateFormat=P","Fill=—","Direction=H","UseDPDF=Y")</f>
        <v>#NAME?</v>
      </c>
      <c r="BA61" s="2" t="e">
        <f ca="1">_xll.BDH($C$53,"TOTAL_DEBT_5_YEAR_GROWTH","FQ3 2015","FQ3 2015","Currency=INR","Period=FQ","BEST_FPERIOD_OVERRIDE=FQ","FILING_STATUS=OR","EQY_CONSOLIDATED=Y","Sort=A","Dates=H","DateFormat=P","Fill=—","Direction=H","UseDPDF=Y")</f>
        <v>#NAME?</v>
      </c>
      <c r="BB61" s="2" t="e">
        <f ca="1">_xll.BDH($C$53,"GEO_GROW_TOT_SHRHLDR_EQY","FQ3 2015","FQ3 2015","Currency=INR","Period=FQ","BEST_FPERIOD_OVERRIDE=FQ","FILING_STATUS=OR","EQY_CONSOLIDATED=Y","Sort=A","Dates=H","DateFormat=P","Fill=—","Direction=H","UseDPDF=Y")</f>
        <v>#NAME?</v>
      </c>
      <c r="BC61" s="2" t="e">
        <f ca="1">_xll.BDH($C$53,"TOTAL_CAPITAL_5_YEAR_GROWTH","FQ3 2015","FQ3 2015","Currency=INR","Period=FQ","BEST_FPERIOD_OVERRIDE=FQ","FILING_STATUS=OR","EQY_CONSOLIDATED=Y","Sort=A","Dates=H","DateFormat=P","Fill=—","Direction=H","UseDPDF=Y")</f>
        <v>#NAME?</v>
      </c>
      <c r="BD61" s="2" t="e">
        <f ca="1">_xll.BDH($C$53,"GEO_GROW_BOOK_VAL","FQ3 2015","FQ3 2015","Currency=INR","Period=FQ","BEST_FPERIOD_OVERRIDE=FQ","FILING_STATUS=OR","EQY_CONSOLIDATED=Y","Sort=A","Dates=H","DateFormat=P","Fill=—","Direction=H","UseDPDF=Y")</f>
        <v>#NAME?</v>
      </c>
      <c r="BE61" s="2" t="e">
        <f ca="1">_xll.BDH($C$53,"GEO_GROW_CASH_OPER_ACT","FQ3 2015","FQ3 2015","Currency=INR","Period=FQ","BEST_FPERIOD_OVERRIDE=FQ","FILING_STATUS=OR","EQY_CONSOLIDATED=Y","Sort=A","Dates=H","DateFormat=P","Fill=—","Direction=H","UseDPDF=Y")</f>
        <v>#NAME?</v>
      </c>
      <c r="BF61" s="2" t="e">
        <f ca="1">_xll.BDH($C$53,"REVENUE_SEQUENTIAL_GROWTH","FQ3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61" s="2" t="e">
        <f ca="1">_xll.BDH($C$53,"EBITDA_SEQUENTIAL_GROWTH","FQ3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61" s="2" t="e">
        <f ca="1">_xll.BDH($C$53,"OPERATING_INCOME_SEQ_GROWTH","FQ3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61" s="2" t="e">
        <f ca="1">_xll.BDH($C$53,"NET_INCOME_TO_COMMON_SEQ_GROWTH","FQ3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61" s="2" t="e">
        <f ca="1">_xll.BDH($C$53,"EPS_DILUTED_SEQUENTIAL_GROWTH","FQ3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61" s="2" t="e">
        <f ca="1">_xll.BDH($C$53,"DPS_SEQUENTIAL_GROWTH","FQ3 2015","FQ3 2015","Currency=INR","Period=FQ","BEST_FPERIOD_OVERRIDE=FQ","FILING_STATUS=OR","EQY_CONSOLIDATED=Y","Sort=A","Dates=H","DateFormat=P","Fill=—","Direction=H","UseDPDF=Y")</f>
        <v>#NAME?</v>
      </c>
      <c r="BL61" s="2" t="e">
        <f ca="1">_xll.BDH($C$53,"ACCOUNTS_RECEIVABLE_SEQ_GROWTH","FQ3 2015","FQ3 2015","Currency=INR","Period=FQ","BEST_FPERIOD_OVERRIDE=FQ","FILING_STATUS=OR","EQY_CONSOLIDATED=Y","Sort=A","Dates=H","DateFormat=P","Fill=—","Direction=H","UseDPDF=Y")</f>
        <v>#NAME?</v>
      </c>
      <c r="BM61" s="2" t="e">
        <f ca="1">_xll.BDH($C$53,"INVENTORY_SEQUENTIAL_GROWTH","FQ3 2015","FQ3 2015","Currency=INR","Period=FQ","BEST_FPERIOD_OVERRIDE=FQ","FILING_STATUS=OR","EQY_CONSOLIDATED=Y","Sort=A","Dates=H","DateFormat=P","Fill=—","Direction=H","UseDPDF=Y")</f>
        <v>#NAME?</v>
      </c>
      <c r="BN61" s="2" t="e">
        <f ca="1">_xll.BDH($C$53,"FIXED_ASSETS_SEQUENTIAL_GROWTH","FQ3 2015","FQ3 2015","Currency=INR","Period=FQ","BEST_FPERIOD_OVERRIDE=FQ","FILING_STATUS=OR","EQY_CONSOLIDATED=Y","Sort=A","Dates=H","DateFormat=P","Fill=—","Direction=H","UseDPDF=Y")</f>
        <v>#NAME?</v>
      </c>
      <c r="BO61" s="2" t="e">
        <f ca="1">_xll.BDH($C$53,"TOTAL_ASSETS_SEQUENTIAL_GROWTH","FQ3 2015","FQ3 2015","Currency=INR","Period=FQ","BEST_FPERIOD_OVERRIDE=FQ","FILING_STATUS=OR","EQY_CONSOLIDATED=Y","Sort=A","Dates=H","DateFormat=P","Fill=—","Direction=H","UseDPDF=Y")</f>
        <v>#NAME?</v>
      </c>
      <c r="BP61" s="2" t="e">
        <f ca="1">_xll.BDH($C$53,"MODIFIED_WORKING_CPTL_SEQ_GRWTH","FQ3 2015","FQ3 2015","Currency=INR","Period=FQ","BEST_FPERIOD_OVERRIDE=FQ","FILING_STATUS=OR","EQY_CONSOLIDATED=Y","Sort=A","Dates=H","DateFormat=P","Fill=—","Direction=H","UseDPDF=Y")</f>
        <v>#NAME?</v>
      </c>
      <c r="BQ61" s="2" t="e">
        <f ca="1">_xll.BDH($C$53,"WORKING_CAPITAL_SEQ_GROWTH","FQ3 2015","FQ3 2015","Currency=INR","Period=FQ","BEST_FPERIOD_OVERRIDE=FQ","FILING_STATUS=OR","EQY_CONSOLIDATED=Y","Sort=A","Dates=H","DateFormat=P","Fill=—","Direction=H","UseDPDF=Y")</f>
        <v>#NAME?</v>
      </c>
      <c r="BR61" s="2" t="e">
        <f ca="1">_xll.BDH($C$53,"ACCOUNTS_PAYABLE_SEQ_GROWTH","FQ3 2015","FQ3 2015","Currency=INR","Period=FQ","BEST_FPERIOD_OVERRIDE=FQ","FILING_STATUS=OR","EQY_CONSOLIDATED=Y","Sort=A","Dates=H","DateFormat=P","Fill=—","Direction=H","UseDPDF=Y")</f>
        <v>#NAME?</v>
      </c>
      <c r="BS61" s="2" t="e">
        <f ca="1">_xll.BDH($C$53,"ST_DEBT_SEQUENTIAL_GROWTH","FQ3 2015","FQ3 2015","Currency=INR","Period=FQ","BEST_FPERIOD_OVERRIDE=FQ","FILING_STATUS=OR","EQY_CONSOLIDATED=Y","Sort=A","Dates=H","DateFormat=P","Fill=—","Direction=H","UseDPDF=Y")</f>
        <v>#NAME?</v>
      </c>
      <c r="BT61" s="2" t="e">
        <f ca="1">_xll.BDH($C$53,"TOTAL_DEBT_SEQUENTIAL_GROWTH","FQ3 2015","FQ3 2015","Currency=INR","Period=FQ","BEST_FPERIOD_OVERRIDE=FQ","FILING_STATUS=OR","EQY_CONSOLIDATED=Y","Sort=A","Dates=H","DateFormat=P","Fill=—","Direction=H","UseDPDF=Y")</f>
        <v>#NAME?</v>
      </c>
      <c r="BU61" s="2" t="e">
        <f ca="1">_xll.BDH($C$53,"TOTAL_EQUITY_SEQUENTIAL_GROWTH","FQ3 2015","FQ3 2015","Currency=INR","Period=FQ","BEST_FPERIOD_OVERRIDE=FQ","FILING_STATUS=OR","EQY_CONSOLIDATED=Y","Sort=A","Dates=H","DateFormat=P","Fill=—","Direction=H","UseDPDF=Y")</f>
        <v>#NAME?</v>
      </c>
      <c r="BV61" s="2" t="e">
        <f ca="1">_xll.BDH($C$53,"TOTAL_CAPITAL_SEQUENTIAL_GROWTH","FQ3 2015","FQ3 2015","Currency=INR","Period=FQ","BEST_FPERIOD_OVERRIDE=FQ","FILING_STATUS=OR","EQY_CONSOLIDATED=Y","Sort=A","Dates=H","DateFormat=P","Fill=—","Direction=H","UseDPDF=Y")</f>
        <v>#NAME?</v>
      </c>
      <c r="BW61" s="2" t="e">
        <f ca="1">_xll.BDH($C$53,"BPS_SEQUENTIAL_GROWTH","FQ3 2015","FQ3 2015","Currency=INR","Period=FQ","BEST_FPERIOD_OVERRIDE=FQ","FILING_STATUS=OR","EQY_CONSOLIDATED=Y","Sort=A","Dates=H","DateFormat=P","Fill=—","Direction=H","UseDPDF=Y")</f>
        <v>#NAME?</v>
      </c>
      <c r="BX61" s="2" t="e">
        <f ca="1">_xll.BDH($C$53,"CFO_SEQUENTIAL_GROWTH","FQ3 2015","FQ3 2015","Currency=INR","Period=FQ","BEST_FPERIOD_OVERRIDE=FQ","FILING_STATUS=OR","EQY_CONSOLIDATED=Y","Sort=A","Dates=H","DateFormat=P","Fill=—","Direction=H","UseDPDF=Y")</f>
        <v>#NAME?</v>
      </c>
      <c r="BY61" s="3" t="e">
        <f ca="1">_xll.BDH($C$53,"SHORT_AND_LONG_TERM_DEBT","FQ3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61" s="3" t="e">
        <f ca="1">_xll.BDH($C$53,"BS_ST_BORROW","FQ3 2015","FQ3 2015","Currency=INR","Period=FQ","BEST_FPERIOD_OVERRIDE=FQ","FILING_STATUS=OR","EQY_CONSOLIDATED=Y","SCALING_FORMAT=MLN","Sort=A","Dates=H","DateFormat=P","Fill=—","Direction=H","UseDPDF=Y")</f>
        <v>#NAME?</v>
      </c>
      <c r="CA61" s="3" t="e">
        <f ca="1">_xll.BDH($C$53,"BS_LT_BORROW","FQ3 2015","FQ3 2015","Currency=INR","Period=FQ","BEST_FPERIOD_OVERRIDE=FQ","FILING_STATUS=OR","EQY_CONSOLIDATED=Y","SCALING_FORMAT=MLN","Sort=A","Dates=H","DateFormat=P","Fill=—","Direction=H","UseDPDF=Y")</f>
        <v>#NAME?</v>
      </c>
      <c r="CB61" s="2" t="e">
        <f ca="1">_xll.BDH($C$53,"TOT_DEBT_TO_EBITDA","FQ3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61" s="2" t="e">
        <f ca="1">_xll.BDH($C$53,"NET_DEBT_TO_EBITDA","FQ3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61" s="2" t="e">
        <f ca="1">_xll.BDH($C$53,"TOTAL_DEBT_TO_EBIT","FQ3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61" s="2" t="e">
        <f ca="1">_xll.BDH($C$53,"NET_DEBT_TO_EBIT","FQ3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61" s="2" t="e">
        <f ca="1">_xll.BDH($C$53,"EBITDA_TO_INTEREST_EXPN","FQ3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61" s="2" t="e">
        <f ca="1">_xll.BDH($C$53,"COM_EQY_TO_TOT_ASSET","FQ3 2015","FQ3 2015","Currency=INR","Period=FQ","BEST_FPERIOD_OVERRIDE=FQ","FILING_STATUS=OR","EQY_CONSOLIDATED=Y","Sort=A","Dates=H","DateFormat=P","Fill=—","Direction=H","UseDPDF=Y")</f>
        <v>#NAME?</v>
      </c>
      <c r="CH61" s="2" t="e">
        <f ca="1">_xll.BDH($C$53,"LT_DEBT_TO_TOT_EQY","FQ3 2015","FQ3 2015","Currency=INR","Period=FQ","BEST_FPERIOD_OVERRIDE=FQ","FILING_STATUS=OR","EQY_CONSOLIDATED=Y","Sort=A","Dates=H","DateFormat=P","Fill=—","Direction=H","UseDPDF=Y")</f>
        <v>#NAME?</v>
      </c>
      <c r="CI61" s="2" t="e">
        <f ca="1">_xll.BDH($C$53,"LT_DEBT_TO_TOT_CAP","FQ3 2015","FQ3 2015","Currency=INR","Period=FQ","BEST_FPERIOD_OVERRIDE=FQ","FILING_STATUS=OR","EQY_CONSOLIDATED=Y","Sort=A","Dates=H","DateFormat=P","Fill=—","Direction=H","UseDPDF=Y")</f>
        <v>#NAME?</v>
      </c>
      <c r="CJ61" s="2" t="e">
        <f ca="1">_xll.BDH($C$53,"LT_DEBT_TO_TOT_ASSET","FQ3 2015","FQ3 2015","Currency=INR","Period=FQ","BEST_FPERIOD_OVERRIDE=FQ","FILING_STATUS=OR","EQY_CONSOLIDATED=Y","Sort=A","Dates=H","DateFormat=P","Fill=—","Direction=H","UseDPDF=Y")</f>
        <v>#NAME?</v>
      </c>
      <c r="CK61" s="2" t="e">
        <f ca="1">_xll.BDH($C$53,"TOT_DEBT_TO_TOT_EQY","FQ3 2015","FQ3 2015","Currency=INR","Period=FQ","BEST_FPERIOD_OVERRIDE=FQ","FILING_STATUS=OR","EQY_CONSOLIDATED=Y","Sort=A","Dates=H","DateFormat=P","Fill=—","Direction=H","UseDPDF=Y")</f>
        <v>#NAME?</v>
      </c>
      <c r="CL61" s="2" t="e">
        <f ca="1">_xll.BDH($C$53,"TOT_DEBT_TO_TOT_CAP","FQ3 2015","FQ3 2015","Currency=INR","Period=FQ","BEST_FPERIOD_OVERRIDE=FQ","FILING_STATUS=OR","EQY_CONSOLIDATED=Y","Sort=A","Dates=H","DateFormat=P","Fill=—","Direction=H","UseDPDF=Y")</f>
        <v>#NAME?</v>
      </c>
      <c r="CM61" s="2" t="e">
        <f ca="1">_xll.BDH($C$53,"TOT_DEBT_TO_TOT_ASSET","FQ3 2015","FQ3 2015","Currency=INR","Period=FQ","BEST_FPERIOD_OVERRIDE=FQ","FILING_STATUS=OR","EQY_CONSOLIDATED=Y","Sort=A","Dates=H","DateFormat=P","Fill=—","Direction=H","UseDPDF=Y")</f>
        <v>#NAME?</v>
      </c>
      <c r="CN61" s="2" t="e">
        <f ca="1">_xll.BDH($C$53,"NET_DEBT_TO_SHRHLDR_EQTY","FQ3 2015","FQ3 2015","Currency=INR","Period=FQ","BEST_FPERIOD_OVERRIDE=FQ","FILING_STATUS=OR","EQY_CONSOLIDATED=Y","Sort=A","Dates=H","DateFormat=P","Fill=—","Direction=H","UseDPDF=Y")</f>
        <v>#NAME?</v>
      </c>
      <c r="CO61" s="2" t="e">
        <f ca="1">_xll.BDH($C$53,"NET_DEBT_%_CAPITAL","FQ3 2015","FQ3 2015","Currency=INR","Period=FQ","BEST_FPERIOD_OVERRIDE=FQ","FILING_STATUS=OR","EQY_CONSOLIDATED=Y","Sort=A","Dates=H","DateFormat=P","Fill=—","Direction=H","UseDPDF=Y")</f>
        <v>#NAME?</v>
      </c>
      <c r="CP61" s="3" t="e">
        <f ca="1">_xll.BDH($C$53,"EBITDA","FQ3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61" s="3" t="e">
        <f ca="1">_xll.BDH($C$53,"EBITDA_AFTER_CAPEX","FQ3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61" s="3" t="e">
        <f ca="1">_xll.BDH($C$53,"IS_OPER_INC","FQ3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61" s="2" t="e">
        <f ca="1">_xll.BDH($C$53,"CASH_RATIO","FQ3 2015","FQ3 2015","Currency=INR","Period=FQ","BEST_FPERIOD_OVERRIDE=FQ","FILING_STATUS=OR","EQY_CONSOLIDATED=Y","Sort=A","Dates=H","DateFormat=P","Fill=—","Direction=H","UseDPDF=Y")</f>
        <v>#NAME?</v>
      </c>
      <c r="CT61" s="2" t="e">
        <f ca="1">_xll.BDH($C$53,"CUR_RATIO","FQ3 2015","FQ3 2015","Currency=INR","Period=FQ","BEST_FPERIOD_OVERRIDE=FQ","FILING_STATUS=OR","EQY_CONSOLIDATED=Y","Sort=A","Dates=H","DateFormat=P","Fill=—","Direction=H","UseDPDF=Y")</f>
        <v>#NAME?</v>
      </c>
      <c r="CU61" s="2" t="e">
        <f ca="1">_xll.BDH($C$53,"QUICK_RATIO","FQ3 2015","FQ3 2015","Currency=INR","Period=FQ","BEST_FPERIOD_OVERRIDE=FQ","FILING_STATUS=OR","EQY_CONSOLIDATED=Y","Sort=A","Dates=H","DateFormat=P","Fill=—","Direction=H","UseDPDF=Y")</f>
        <v>#NAME?</v>
      </c>
      <c r="CV61" s="2" t="e">
        <f ca="1">_xll.BDH($C$53,"ALTMAN_Z_SCORE","FQ3 2015","FQ3 2015","Currency=INR","Period=FQ","BEST_FPERIOD_OVERRIDE=FQ","FILING_STATUS=OR","EQY_CONSOLIDATED=Y","Sort=A","Dates=H","DateFormat=P","Fill=—","Direction=H","UseDPDF=Y")</f>
        <v>#NAME?</v>
      </c>
      <c r="CW61" s="4" t="e">
        <f ca="1">_xll.BDH($C$53,"ACCT_RCV_TURN","FQ3 2015","FQ3 2015","Currency=INR","Period=FQ","BEST_FPERIOD_OVERRIDE=FQ","FILING_STATUS=OR","EQY_CONSOLIDATED=Y","FA_ADJUSTED=GAAP","Sort=A","Dates=H","DateFormat=P","Fill=—","Direction=H","UseDPDF=Y")</f>
        <v>#NAME?</v>
      </c>
      <c r="CX61" s="2" t="e">
        <f ca="1">_xll.BDH($C$53,"ACCT_RCV_DAYS","FQ3 2015","FQ3 2015","Currency=INR","Period=FQ","BEST_FPERIOD_OVERRIDE=FQ","FILING_STATUS=OR","EQY_CONSOLIDATED=Y","FA_ADJUSTED=GAAP","Sort=A","Dates=H","DateFormat=P","Fill=—","Direction=H","UseDPDF=Y")</f>
        <v>#NAME?</v>
      </c>
      <c r="CY61" s="4" t="e">
        <f ca="1">_xll.BDH($C$53,"INVENT_TURN","FQ3 2015","FQ3 2015","Currency=INR","Period=FQ","BEST_FPERIOD_OVERRIDE=FQ","FILING_STATUS=OR","EQY_CONSOLIDATED=Y","FA_ADJUSTED=GAAP","Sort=A","Dates=H","DateFormat=P","Fill=—","Direction=H","UseDPDF=Y")</f>
        <v>#NAME?</v>
      </c>
      <c r="CZ61" s="2" t="e">
        <f ca="1">_xll.BDH($C$53,"INVENT_DAYS","FQ3 2015","FQ3 2015","Currency=INR","Period=FQ","BEST_FPERIOD_OVERRIDE=FQ","FILING_STATUS=OR","EQY_CONSOLIDATED=Y","FA_ADJUSTED=GAAP","Sort=A","Dates=H","DateFormat=P","Fill=—","Direction=H","UseDPDF=Y")</f>
        <v>#NAME?</v>
      </c>
      <c r="DA61" s="4" t="e">
        <f ca="1">_xll.BDH($C$53,"ACCOUNTS_PAYABLE_TURNOVER","FQ3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61" s="2" t="e">
        <f ca="1">_xll.BDH($C$53,"ACCOUNTS_PAYABLE_TURNOVER_DAYS","FQ3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61" s="4" t="e">
        <f ca="1">_xll.BDH($C$53,"CASH_CONVERSION_CYCLE","FQ3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61" s="4" t="e">
        <f ca="1">_xll.BDH($C$53,"INV_TO_CASH_DAYS","FQ3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61" s="5" t="e">
        <f ca="1">_xll.BDH($C$53,"BS_INVENTORIES","FQ3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61" s="3" t="e">
        <f ca="1">_xll.BDH($C$53,"INVTRY_RAW_MATERIALS","FQ3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61" s="3" t="e">
        <f ca="1">_xll.BDH($C$53,"INVTRY_IN_PROGRESS","FQ3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61" s="3" t="e">
        <f ca="1">_xll.BDH($C$53,"INVTRY_FINISHED_GOODS","FQ3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61" s="3" t="e">
        <f ca="1">_xll.BDH($C$53,"BS_OTHER_INV","FQ3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62" spans="1:113" x14ac:dyDescent="0.3">
      <c r="A62" s="6"/>
      <c r="B62" s="6"/>
      <c r="C62" s="6"/>
      <c r="D62" s="6"/>
      <c r="E62" t="s">
        <v>81</v>
      </c>
      <c r="F62" t="e">
        <f ca="1">_xll.BDH($C$53,"RETURN_COM_EQY","FQ4 2015","FQ4 2015","Currency=INR","Period=FQ","BEST_FPERIOD_OVERRIDE=FQ","FILING_STATUS=OR","EQY_CONSOLIDATED=Y","FA_ADJUSTED=GAAP","Sort=A","Dates=H","DateFormat=P","Fill=—","Direction=H","UseDPDF=Y")</f>
        <v>#NAME?</v>
      </c>
      <c r="G62" t="e">
        <f ca="1">_xll.BDH($C$53,"RETURN_ON_ASSET","FQ4 2015","FQ4 2015","Currency=INR","Period=FQ","BEST_FPERIOD_OVERRIDE=FQ","FILING_STATUS=OR","EQY_CONSOLIDATED=Y","FA_ADJUSTED=GAAP","Sort=A","Dates=H","DateFormat=P","Fill=—","Direction=H","UseDPDF=Y")</f>
        <v>#NAME?</v>
      </c>
      <c r="H62" t="e">
        <f ca="1">_xll.BDH($C$53,"RETURN_ON_CAP","FQ4 2015","FQ4 2015","Currency=INR","Period=FQ","BEST_FPERIOD_OVERRIDE=FQ","FILING_STATUS=OR","EQY_CONSOLIDATED=Y","FA_ADJUSTED=GAAP","Sort=A","Dates=H","DateFormat=P","Fill=—","Direction=H","UseDPDF=Y")</f>
        <v>#NAME?</v>
      </c>
      <c r="I62" t="e">
        <f ca="1">_xll.BDH($C$53,"RETURN_ON_INV_CAPITAL","FQ4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62" t="e">
        <f ca="1">_xll.BDH($C$53,"EBITDA_TO_REVENUE","FQ4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62" t="e">
        <f ca="1">_xll.BDH($C$53,"OPER_MARGIN","FQ4 2015","FQ4 2015","Currency=INR","Period=FQ","BEST_FPERIOD_OVERRIDE=FQ","FILING_STATUS=OR","EQY_CONSOLIDATED=Y","FA_ADJUSTED=GAAP","Sort=A","Dates=H","DateFormat=P","Fill=—","Direction=H","UseDPDF=Y")</f>
        <v>#NAME?</v>
      </c>
      <c r="L62" t="e">
        <f ca="1">_xll.BDH($C$53,"INCREMENTAL_OPERATING_MARGIN","FQ4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62" t="e">
        <f ca="1">_xll.BDH($C$53,"PRETAX_INC_TO_NET_SALES","FQ4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62" t="e">
        <f ca="1">_xll.BDH($C$53,"INC_BEF_XO_ITEMS_TO_NET_SALES","FQ4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62" t="e">
        <f ca="1">_xll.BDH($C$53,"PROF_MARGIN","FQ4 2015","FQ4 2015","Currency=INR","Period=FQ","BEST_FPERIOD_OVERRIDE=FQ","FILING_STATUS=OR","EQY_CONSOLIDATED=Y","FA_ADJUSTED=GAAP","Sort=A","Dates=H","DateFormat=P","Fill=—","Direction=H","UseDPDF=Y")</f>
        <v>#NAME?</v>
      </c>
      <c r="P62" t="e">
        <f ca="1">_xll.BDH($C$53,"NET_INCOME_TO_COMMON_MARGIN","FQ4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62" t="e">
        <f ca="1">_xll.BDH($C$53,"EFF_TAX_RATE","FQ4 2015","FQ4 2015","Currency=INR","Period=FQ","BEST_FPERIOD_OVERRIDE=FQ","FILING_STATUS=OR","EQY_CONSOLIDATED=Y","FA_ADJUSTED=GAAP","Sort=A","Dates=H","DateFormat=P","Fill=—","Direction=H","UseDPDF=Y")</f>
        <v>#NAME?</v>
      </c>
      <c r="R62" t="e">
        <f ca="1">_xll.BDH($C$53,"DVD_PAYOUT_RATIO","FQ4 2015","FQ4 2015","Currency=INR","Period=FQ","BEST_FPERIOD_OVERRIDE=FQ","FILING_STATUS=OR","EQY_CONSOLIDATED=Y","FA_ADJUSTED=GAAP","Sort=A","Dates=H","DateFormat=P","Fill=—","Direction=H","UseDPDF=Y")</f>
        <v>#NAME?</v>
      </c>
      <c r="S62" t="e">
        <f ca="1">_xll.BDH($C$53,"SUSTAIN_GROWTH_RT","FQ4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62" s="2" t="e">
        <f ca="1">_xll.BDH($C$53,"SALES_GROWTH","FQ4 2015","FQ4 2015","Currency=INR","Period=FQ","BEST_FPERIOD_OVERRIDE=FQ","FILING_STATUS=OR","EQY_CONSOLIDATED=Y","FA_ADJUSTED=GAAP","Sort=A","Dates=H","DateFormat=P","Fill=—","Direction=H","UseDPDF=Y")</f>
        <v>#NAME?</v>
      </c>
      <c r="U62" s="2" t="e">
        <f ca="1">_xll.BDH($C$53,"EBITDA_GROWTH","FQ4 2015","FQ4 2015","Currency=INR","Period=FQ","BEST_FPERIOD_OVERRIDE=FQ","FILING_STATUS=OR","EQY_CONSOLIDATED=Y","FA_ADJUSTED=GAAP","Sort=A","Dates=H","DateFormat=P","Fill=—","Direction=H","UseDPDF=Y")</f>
        <v>#NAME?</v>
      </c>
      <c r="V62" s="2" t="e">
        <f ca="1">_xll.BDH($C$53,"OPER_INC_GROWTH","FQ4 2015","FQ4 2015","Currency=INR","Period=FQ","BEST_FPERIOD_OVERRIDE=FQ","FILING_STATUS=OR","EQY_CONSOLIDATED=Y","FA_ADJUSTED=GAAP","Sort=A","Dates=H","DateFormat=P","Fill=—","Direction=H","UseDPDF=Y")</f>
        <v>#NAME?</v>
      </c>
      <c r="W62" s="2" t="e">
        <f ca="1">_xll.BDH($C$53,"EARN_FOR_COM_GROWTH","FQ4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62" s="2" t="e">
        <f ca="1">_xll.BDH($C$53,"DILUTED_EPS_AFT_XO_ITEMS_GROWTH","FQ4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62" s="2" t="e">
        <f ca="1">_xll.BDH($C$53,"DIVIDEND_PER_SHARE_1_YEAR_GROWTH","FQ4 2015","FQ4 2015","Currency=INR","Period=FQ","BEST_FPERIOD_OVERRIDE=FQ","FILING_STATUS=OR","EQY_CONSOLIDATED=Y","Sort=A","Dates=H","DateFormat=P","Fill=—","Direction=H","UseDPDF=Y")</f>
        <v>#NAME?</v>
      </c>
      <c r="Z62" s="2" t="e">
        <f ca="1">_xll.BDH($C$53,"ACCOUNTS_RECEIVABLE_GROWTH","FQ4 2015","FQ4 2015","Currency=INR","Period=FQ","BEST_FPERIOD_OVERRIDE=FQ","FILING_STATUS=OR","EQY_CONSOLIDATED=Y","Sort=A","Dates=H","DateFormat=P","Fill=—","Direction=H","UseDPDF=Y")</f>
        <v>#NAME?</v>
      </c>
      <c r="AA62" s="2" t="e">
        <f ca="1">_xll.BDH($C$53,"INVENTORY_GROWTH","FQ4 2015","FQ4 2015","Currency=INR","Period=FQ","BEST_FPERIOD_OVERRIDE=FQ","FILING_STATUS=OR","EQY_CONSOLIDATED=Y","Sort=A","Dates=H","DateFormat=P","Fill=—","Direction=H","UseDPDF=Y")</f>
        <v>#NAME?</v>
      </c>
      <c r="AB62" s="2" t="e">
        <f ca="1">_xll.BDH($C$53,"NET_FIXED_ASSETS_1_YEAR_GROWTH","FQ4 2015","FQ4 2015","Currency=INR","Period=FQ","BEST_FPERIOD_OVERRIDE=FQ","FILING_STATUS=OR","EQY_CONSOLIDATED=Y","Sort=A","Dates=H","DateFormat=P","Fill=—","Direction=H","UseDPDF=Y")</f>
        <v>#NAME?</v>
      </c>
      <c r="AC62" s="2" t="e">
        <f ca="1">_xll.BDH($C$53,"ASSET_GROWTH","FQ4 2015","FQ4 2015","Currency=INR","Period=FQ","BEST_FPERIOD_OVERRIDE=FQ","FILING_STATUS=OR","EQY_CONSOLIDATED=Y","Sort=A","Dates=H","DateFormat=P","Fill=—","Direction=H","UseDPDF=Y")</f>
        <v>#NAME?</v>
      </c>
      <c r="AD62" s="2" t="e">
        <f ca="1">_xll.BDH($C$53,"MODIFIED_WORK_CAP_GROWTH","FQ4 2015","FQ4 2015","Currency=INR","Period=FQ","BEST_FPERIOD_OVERRIDE=FQ","FILING_STATUS=OR","EQY_CONSOLIDATED=Y","Sort=A","Dates=H","DateFormat=P","Fill=—","Direction=H","UseDPDF=Y")</f>
        <v>#NAME?</v>
      </c>
      <c r="AE62" s="2" t="e">
        <f ca="1">_xll.BDH($C$53,"WORK_CAP_GROWTH","FQ4 2015","FQ4 2015","Currency=INR","Period=FQ","BEST_FPERIOD_OVERRIDE=FQ","FILING_STATUS=OR","EQY_CONSOLIDATED=Y","Sort=A","Dates=H","DateFormat=P","Fill=—","Direction=H","UseDPDF=Y")</f>
        <v>#NAME?</v>
      </c>
      <c r="AF62" s="2" t="e">
        <f ca="1">_xll.BDH($C$53,"ACCOUNTS_PAYABLE_GROWTH_1YR","FQ4 2015","FQ4 2015","Currency=INR","Period=FQ","BEST_FPERIOD_OVERRIDE=FQ","FILING_STATUS=OR","EQY_CONSOLIDATED=Y","Sort=A","Dates=H","DateFormat=P","Fill=—","Direction=H","UseDPDF=Y")</f>
        <v>#NAME?</v>
      </c>
      <c r="AG62" s="2" t="e">
        <f ca="1">_xll.BDH($C$53,"SHORT_TERM_DEBT_1_YEAR_GROWTH","FQ4 2015","FQ4 2015","Currency=INR","Period=FQ","BEST_FPERIOD_OVERRIDE=FQ","FILING_STATUS=OR","EQY_CONSOLIDATED=Y","Sort=A","Dates=H","DateFormat=P","Fill=—","Direction=H","UseDPDF=Y")</f>
        <v>#NAME?</v>
      </c>
      <c r="AH62" s="2" t="e">
        <f ca="1">_xll.BDH($C$53,"TOTAL_DEBT_1_YEAR_GROWTH","FQ4 2015","FQ4 2015","Currency=INR","Period=FQ","BEST_FPERIOD_OVERRIDE=FQ","FILING_STATUS=OR","EQY_CONSOLIDATED=Y","Sort=A","Dates=H","DateFormat=P","Fill=—","Direction=H","UseDPDF=Y")</f>
        <v>#NAME?</v>
      </c>
      <c r="AI62" s="2" t="e">
        <f ca="1">_xll.BDH($C$53,"TOTAL_EQUITY_1_YEAR_GROWTH","FQ4 2015","FQ4 2015","Currency=INR","Period=FQ","BEST_FPERIOD_OVERRIDE=FQ","FILING_STATUS=OR","EQY_CONSOLIDATED=Y","Sort=A","Dates=H","DateFormat=P","Fill=—","Direction=H","UseDPDF=Y")</f>
        <v>#NAME?</v>
      </c>
      <c r="AJ62" s="2" t="e">
        <f ca="1">_xll.BDH($C$53,"GROWTH_IN_CAP","FQ4 2015","FQ4 2015","Currency=INR","Period=FQ","BEST_FPERIOD_OVERRIDE=FQ","FILING_STATUS=OR","EQY_CONSOLIDATED=Y","Sort=A","Dates=H","DateFormat=P","Fill=—","Direction=H","UseDPDF=Y")</f>
        <v>#NAME?</v>
      </c>
      <c r="AK62" s="2" t="e">
        <f ca="1">_xll.BDH($C$53,"BVPS_GROWTH","FQ4 2015","FQ4 2015","Currency=INR","Period=FQ","BEST_FPERIOD_OVERRIDE=FQ","FILING_STATUS=OR","EQY_CONSOLIDATED=Y","Sort=A","Dates=H","DateFormat=P","Fill=—","Direction=H","UseDPDF=Y")</f>
        <v>#NAME?</v>
      </c>
      <c r="AL62" s="2" t="e">
        <f ca="1">_xll.BDH($C$53,"CASH_FLOW_GROWTH","FQ4 2015","FQ4 2015","Currency=INR","Period=FQ","BEST_FPERIOD_OVERRIDE=FQ","FILING_STATUS=OR","EQY_CONSOLIDATED=Y","Sort=A","Dates=H","DateFormat=P","Fill=—","Direction=H","UseDPDF=Y")</f>
        <v>#NAME?</v>
      </c>
      <c r="AM62" s="2" t="e">
        <f ca="1">_xll.BDH($C$53,"GEO_GROW_NET_SALES","FQ4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62" s="2" t="e">
        <f ca="1">_xll.BDH($C$53,"GEO_GROW_EBITDA","FQ4 2015","FQ4 2015","Currency=INR","Period=FQ","BEST_FPERIOD_OVERRIDE=FQ","FILING_STATUS=OR","EQY_CONSOLIDATED=Y","FA_ADJUSTED=GAAP","Sort=A","Dates=H","DateFormat=P","Fill=—","Direction=H","UseDPDF=Y")</f>
        <v>#NAME?</v>
      </c>
      <c r="AO62" s="2" t="e">
        <f ca="1">_xll.BDH($C$53,"GEO_GROW_OPER_INC","FQ4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62" s="2" t="e">
        <f ca="1">_xll.BDH($C$53,"NET_INCOME_TO_COMMON_5_YR_GROWTH","FQ4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62" s="2" t="e">
        <f ca="1">_xll.BDH($C$53,"5Y_GEO_GROWTH_DILUTED_EPS","FQ4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62" s="2" t="e">
        <f ca="1">_xll.BDH($C$53,"GEO_GROW_DVD_PER_SH","FQ4 2015","FQ4 2015","Currency=INR","Period=FQ","BEST_FPERIOD_OVERRIDE=FQ","FILING_STATUS=OR","EQY_CONSOLIDATED=Y","Sort=A","Dates=H","DateFormat=P","Fill=—","Direction=H","UseDPDF=Y")</f>
        <v>#NAME?</v>
      </c>
      <c r="AS62" s="2" t="e">
        <f ca="1">_xll.BDH($C$53,"ACCOUNTS_RECEIVABLE_5_YR_GROWTH","FQ4 2015","FQ4 2015","Currency=INR","Period=FQ","BEST_FPERIOD_OVERRIDE=FQ","FILING_STATUS=OR","EQY_CONSOLIDATED=Y","Sort=A","Dates=H","DateFormat=P","Fill=—","Direction=H","UseDPDF=Y")</f>
        <v>#NAME?</v>
      </c>
      <c r="AT62" s="2" t="e">
        <f ca="1">_xll.BDH($C$53,"INVENTORY_5_YEAR_GROWTH","FQ4 2015","FQ4 2015","Currency=INR","Period=FQ","BEST_FPERIOD_OVERRIDE=FQ","FILING_STATUS=OR","EQY_CONSOLIDATED=Y","Sort=A","Dates=H","DateFormat=P","Fill=—","Direction=H","UseDPDF=Y")</f>
        <v>#NAME?</v>
      </c>
      <c r="AU62" s="2" t="e">
        <f ca="1">_xll.BDH($C$53,"NET_FIXED_ASSETS_5_YEAR_GROWTH","FQ4 2015","FQ4 2015","Currency=INR","Period=FQ","BEST_FPERIOD_OVERRIDE=FQ","FILING_STATUS=OR","EQY_CONSOLIDATED=Y","Sort=A","Dates=H","DateFormat=P","Fill=—","Direction=H","UseDPDF=Y")</f>
        <v>#NAME?</v>
      </c>
      <c r="AV62" s="2" t="e">
        <f ca="1">_xll.BDH($C$53,"GEO_GROW_TOT_ASSET","FQ4 2015","FQ4 2015","Currency=INR","Period=FQ","BEST_FPERIOD_OVERRIDE=FQ","FILING_STATUS=OR","EQY_CONSOLIDATED=Y","Sort=A","Dates=H","DateFormat=P","Fill=—","Direction=H","UseDPDF=Y")</f>
        <v>#NAME?</v>
      </c>
      <c r="AW62" s="2" t="e">
        <f ca="1">_xll.BDH($C$53,"MODIFIED_WORKING_CPTL_5YR_GRWTH","FQ4 2015","FQ4 2015","Currency=INR","Period=FQ","BEST_FPERIOD_OVERRIDE=FQ","FILING_STATUS=OR","EQY_CONSOLIDATED=Y","Sort=A","Dates=H","DateFormat=P","Fill=—","Direction=H","UseDPDF=Y")</f>
        <v>#NAME?</v>
      </c>
      <c r="AX62" s="2" t="e">
        <f ca="1">_xll.BDH($C$53,"WORKING_CAPITAL_5_YEAR_GROWTH","FQ4 2015","FQ4 2015","Currency=INR","Period=FQ","BEST_FPERIOD_OVERRIDE=FQ","FILING_STATUS=OR","EQY_CONSOLIDATED=Y","Sort=A","Dates=H","DateFormat=P","Fill=—","Direction=H","UseDPDF=Y")</f>
        <v>#NAME?</v>
      </c>
      <c r="AY62" s="2" t="e">
        <f ca="1">_xll.BDH($C$53,"ACCOUNTS_PAYABLE_5_YEAR_GROWTH","FQ4 2015","FQ4 2015","Currency=INR","Period=FQ","BEST_FPERIOD_OVERRIDE=FQ","FILING_STATUS=OR","EQY_CONSOLIDATED=Y","Sort=A","Dates=H","DateFormat=P","Fill=—","Direction=H","UseDPDF=Y")</f>
        <v>#NAME?</v>
      </c>
      <c r="AZ62" s="2" t="e">
        <f ca="1">_xll.BDH($C$53,"SHORT_TERM_DEBT_5_YEAR_GROWTH","FQ4 2015","FQ4 2015","Currency=INR","Period=FQ","BEST_FPERIOD_OVERRIDE=FQ","FILING_STATUS=OR","EQY_CONSOLIDATED=Y","Sort=A","Dates=H","DateFormat=P","Fill=—","Direction=H","UseDPDF=Y")</f>
        <v>#NAME?</v>
      </c>
      <c r="BA62" s="2" t="e">
        <f ca="1">_xll.BDH($C$53,"TOTAL_DEBT_5_YEAR_GROWTH","FQ4 2015","FQ4 2015","Currency=INR","Period=FQ","BEST_FPERIOD_OVERRIDE=FQ","FILING_STATUS=OR","EQY_CONSOLIDATED=Y","Sort=A","Dates=H","DateFormat=P","Fill=—","Direction=H","UseDPDF=Y")</f>
        <v>#NAME?</v>
      </c>
      <c r="BB62" s="2" t="e">
        <f ca="1">_xll.BDH($C$53,"GEO_GROW_TOT_SHRHLDR_EQY","FQ4 2015","FQ4 2015","Currency=INR","Period=FQ","BEST_FPERIOD_OVERRIDE=FQ","FILING_STATUS=OR","EQY_CONSOLIDATED=Y","Sort=A","Dates=H","DateFormat=P","Fill=—","Direction=H","UseDPDF=Y")</f>
        <v>#NAME?</v>
      </c>
      <c r="BC62" s="2" t="e">
        <f ca="1">_xll.BDH($C$53,"TOTAL_CAPITAL_5_YEAR_GROWTH","FQ4 2015","FQ4 2015","Currency=INR","Period=FQ","BEST_FPERIOD_OVERRIDE=FQ","FILING_STATUS=OR","EQY_CONSOLIDATED=Y","Sort=A","Dates=H","DateFormat=P","Fill=—","Direction=H","UseDPDF=Y")</f>
        <v>#NAME?</v>
      </c>
      <c r="BD62" s="2" t="e">
        <f ca="1">_xll.BDH($C$53,"GEO_GROW_BOOK_VAL","FQ4 2015","FQ4 2015","Currency=INR","Period=FQ","BEST_FPERIOD_OVERRIDE=FQ","FILING_STATUS=OR","EQY_CONSOLIDATED=Y","Sort=A","Dates=H","DateFormat=P","Fill=—","Direction=H","UseDPDF=Y")</f>
        <v>#NAME?</v>
      </c>
      <c r="BE62" s="2" t="e">
        <f ca="1">_xll.BDH($C$53,"GEO_GROW_CASH_OPER_ACT","FQ4 2015","FQ4 2015","Currency=INR","Period=FQ","BEST_FPERIOD_OVERRIDE=FQ","FILING_STATUS=OR","EQY_CONSOLIDATED=Y","Sort=A","Dates=H","DateFormat=P","Fill=—","Direction=H","UseDPDF=Y")</f>
        <v>#NAME?</v>
      </c>
      <c r="BF62" s="2" t="e">
        <f ca="1">_xll.BDH($C$53,"REVENUE_SEQUENTIAL_GROWTH","FQ4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62" s="2" t="e">
        <f ca="1">_xll.BDH($C$53,"EBITDA_SEQUENTIAL_GROWTH","FQ4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62" s="2" t="e">
        <f ca="1">_xll.BDH($C$53,"OPERATING_INCOME_SEQ_GROWTH","FQ4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62" s="2" t="e">
        <f ca="1">_xll.BDH($C$53,"NET_INCOME_TO_COMMON_SEQ_GROWTH","FQ4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62" s="2" t="e">
        <f ca="1">_xll.BDH($C$53,"EPS_DILUTED_SEQUENTIAL_GROWTH","FQ4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62" s="2" t="e">
        <f ca="1">_xll.BDH($C$53,"DPS_SEQUENTIAL_GROWTH","FQ4 2015","FQ4 2015","Currency=INR","Period=FQ","BEST_FPERIOD_OVERRIDE=FQ","FILING_STATUS=OR","EQY_CONSOLIDATED=Y","Sort=A","Dates=H","DateFormat=P","Fill=—","Direction=H","UseDPDF=Y")</f>
        <v>#NAME?</v>
      </c>
      <c r="BL62" s="2" t="e">
        <f ca="1">_xll.BDH($C$53,"ACCOUNTS_RECEIVABLE_SEQ_GROWTH","FQ4 2015","FQ4 2015","Currency=INR","Period=FQ","BEST_FPERIOD_OVERRIDE=FQ","FILING_STATUS=OR","EQY_CONSOLIDATED=Y","Sort=A","Dates=H","DateFormat=P","Fill=—","Direction=H","UseDPDF=Y")</f>
        <v>#NAME?</v>
      </c>
      <c r="BM62" s="2" t="e">
        <f ca="1">_xll.BDH($C$53,"INVENTORY_SEQUENTIAL_GROWTH","FQ4 2015","FQ4 2015","Currency=INR","Period=FQ","BEST_FPERIOD_OVERRIDE=FQ","FILING_STATUS=OR","EQY_CONSOLIDATED=Y","Sort=A","Dates=H","DateFormat=P","Fill=—","Direction=H","UseDPDF=Y")</f>
        <v>#NAME?</v>
      </c>
      <c r="BN62" s="2" t="e">
        <f ca="1">_xll.BDH($C$53,"FIXED_ASSETS_SEQUENTIAL_GROWTH","FQ4 2015","FQ4 2015","Currency=INR","Period=FQ","BEST_FPERIOD_OVERRIDE=FQ","FILING_STATUS=OR","EQY_CONSOLIDATED=Y","Sort=A","Dates=H","DateFormat=P","Fill=—","Direction=H","UseDPDF=Y")</f>
        <v>#NAME?</v>
      </c>
      <c r="BO62" s="2" t="e">
        <f ca="1">_xll.BDH($C$53,"TOTAL_ASSETS_SEQUENTIAL_GROWTH","FQ4 2015","FQ4 2015","Currency=INR","Period=FQ","BEST_FPERIOD_OVERRIDE=FQ","FILING_STATUS=OR","EQY_CONSOLIDATED=Y","Sort=A","Dates=H","DateFormat=P","Fill=—","Direction=H","UseDPDF=Y")</f>
        <v>#NAME?</v>
      </c>
      <c r="BP62" s="2" t="e">
        <f ca="1">_xll.BDH($C$53,"MODIFIED_WORKING_CPTL_SEQ_GRWTH","FQ4 2015","FQ4 2015","Currency=INR","Period=FQ","BEST_FPERIOD_OVERRIDE=FQ","FILING_STATUS=OR","EQY_CONSOLIDATED=Y","Sort=A","Dates=H","DateFormat=P","Fill=—","Direction=H","UseDPDF=Y")</f>
        <v>#NAME?</v>
      </c>
      <c r="BQ62" s="2" t="e">
        <f ca="1">_xll.BDH($C$53,"WORKING_CAPITAL_SEQ_GROWTH","FQ4 2015","FQ4 2015","Currency=INR","Period=FQ","BEST_FPERIOD_OVERRIDE=FQ","FILING_STATUS=OR","EQY_CONSOLIDATED=Y","Sort=A","Dates=H","DateFormat=P","Fill=—","Direction=H","UseDPDF=Y")</f>
        <v>#NAME?</v>
      </c>
      <c r="BR62" s="2" t="e">
        <f ca="1">_xll.BDH($C$53,"ACCOUNTS_PAYABLE_SEQ_GROWTH","FQ4 2015","FQ4 2015","Currency=INR","Period=FQ","BEST_FPERIOD_OVERRIDE=FQ","FILING_STATUS=OR","EQY_CONSOLIDATED=Y","Sort=A","Dates=H","DateFormat=P","Fill=—","Direction=H","UseDPDF=Y")</f>
        <v>#NAME?</v>
      </c>
      <c r="BS62" s="2" t="e">
        <f ca="1">_xll.BDH($C$53,"ST_DEBT_SEQUENTIAL_GROWTH","FQ4 2015","FQ4 2015","Currency=INR","Period=FQ","BEST_FPERIOD_OVERRIDE=FQ","FILING_STATUS=OR","EQY_CONSOLIDATED=Y","Sort=A","Dates=H","DateFormat=P","Fill=—","Direction=H","UseDPDF=Y")</f>
        <v>#NAME?</v>
      </c>
      <c r="BT62" s="2" t="e">
        <f ca="1">_xll.BDH($C$53,"TOTAL_DEBT_SEQUENTIAL_GROWTH","FQ4 2015","FQ4 2015","Currency=INR","Period=FQ","BEST_FPERIOD_OVERRIDE=FQ","FILING_STATUS=OR","EQY_CONSOLIDATED=Y","Sort=A","Dates=H","DateFormat=P","Fill=—","Direction=H","UseDPDF=Y")</f>
        <v>#NAME?</v>
      </c>
      <c r="BU62" s="2" t="e">
        <f ca="1">_xll.BDH($C$53,"TOTAL_EQUITY_SEQUENTIAL_GROWTH","FQ4 2015","FQ4 2015","Currency=INR","Period=FQ","BEST_FPERIOD_OVERRIDE=FQ","FILING_STATUS=OR","EQY_CONSOLIDATED=Y","Sort=A","Dates=H","DateFormat=P","Fill=—","Direction=H","UseDPDF=Y")</f>
        <v>#NAME?</v>
      </c>
      <c r="BV62" s="2" t="e">
        <f ca="1">_xll.BDH($C$53,"TOTAL_CAPITAL_SEQUENTIAL_GROWTH","FQ4 2015","FQ4 2015","Currency=INR","Period=FQ","BEST_FPERIOD_OVERRIDE=FQ","FILING_STATUS=OR","EQY_CONSOLIDATED=Y","Sort=A","Dates=H","DateFormat=P","Fill=—","Direction=H","UseDPDF=Y")</f>
        <v>#NAME?</v>
      </c>
      <c r="BW62" s="2" t="e">
        <f ca="1">_xll.BDH($C$53,"BPS_SEQUENTIAL_GROWTH","FQ4 2015","FQ4 2015","Currency=INR","Period=FQ","BEST_FPERIOD_OVERRIDE=FQ","FILING_STATUS=OR","EQY_CONSOLIDATED=Y","Sort=A","Dates=H","DateFormat=P","Fill=—","Direction=H","UseDPDF=Y")</f>
        <v>#NAME?</v>
      </c>
      <c r="BX62" s="2" t="e">
        <f ca="1">_xll.BDH($C$53,"CFO_SEQUENTIAL_GROWTH","FQ4 2015","FQ4 2015","Currency=INR","Period=FQ","BEST_FPERIOD_OVERRIDE=FQ","FILING_STATUS=OR","EQY_CONSOLIDATED=Y","Sort=A","Dates=H","DateFormat=P","Fill=—","Direction=H","UseDPDF=Y")</f>
        <v>#NAME?</v>
      </c>
      <c r="BY62" s="3" t="e">
        <f ca="1">_xll.BDH($C$53,"SHORT_AND_LONG_TERM_DEBT","FQ4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62" s="3" t="e">
        <f ca="1">_xll.BDH($C$53,"BS_ST_BORROW","FQ4 2015","FQ4 2015","Currency=INR","Period=FQ","BEST_FPERIOD_OVERRIDE=FQ","FILING_STATUS=OR","EQY_CONSOLIDATED=Y","SCALING_FORMAT=MLN","Sort=A","Dates=H","DateFormat=P","Fill=—","Direction=H","UseDPDF=Y")</f>
        <v>#NAME?</v>
      </c>
      <c r="CA62" s="3" t="e">
        <f ca="1">_xll.BDH($C$53,"BS_LT_BORROW","FQ4 2015","FQ4 2015","Currency=INR","Period=FQ","BEST_FPERIOD_OVERRIDE=FQ","FILING_STATUS=OR","EQY_CONSOLIDATED=Y","SCALING_FORMAT=MLN","Sort=A","Dates=H","DateFormat=P","Fill=—","Direction=H","UseDPDF=Y")</f>
        <v>#NAME?</v>
      </c>
      <c r="CB62" s="2" t="e">
        <f ca="1">_xll.BDH($C$53,"TOT_DEBT_TO_EBITDA","FQ4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62" s="2" t="e">
        <f ca="1">_xll.BDH($C$53,"NET_DEBT_TO_EBITDA","FQ4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62" s="2" t="e">
        <f ca="1">_xll.BDH($C$53,"TOTAL_DEBT_TO_EBIT","FQ4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62" s="2" t="e">
        <f ca="1">_xll.BDH($C$53,"NET_DEBT_TO_EBIT","FQ4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62" s="2" t="e">
        <f ca="1">_xll.BDH($C$53,"EBITDA_TO_INTEREST_EXPN","FQ4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62" s="2" t="e">
        <f ca="1">_xll.BDH($C$53,"COM_EQY_TO_TOT_ASSET","FQ4 2015","FQ4 2015","Currency=INR","Period=FQ","BEST_FPERIOD_OVERRIDE=FQ","FILING_STATUS=OR","EQY_CONSOLIDATED=Y","Sort=A","Dates=H","DateFormat=P","Fill=—","Direction=H","UseDPDF=Y")</f>
        <v>#NAME?</v>
      </c>
      <c r="CH62" s="2" t="e">
        <f ca="1">_xll.BDH($C$53,"LT_DEBT_TO_TOT_EQY","FQ4 2015","FQ4 2015","Currency=INR","Period=FQ","BEST_FPERIOD_OVERRIDE=FQ","FILING_STATUS=OR","EQY_CONSOLIDATED=Y","Sort=A","Dates=H","DateFormat=P","Fill=—","Direction=H","UseDPDF=Y")</f>
        <v>#NAME?</v>
      </c>
      <c r="CI62" s="2" t="e">
        <f ca="1">_xll.BDH($C$53,"LT_DEBT_TO_TOT_CAP","FQ4 2015","FQ4 2015","Currency=INR","Period=FQ","BEST_FPERIOD_OVERRIDE=FQ","FILING_STATUS=OR","EQY_CONSOLIDATED=Y","Sort=A","Dates=H","DateFormat=P","Fill=—","Direction=H","UseDPDF=Y")</f>
        <v>#NAME?</v>
      </c>
      <c r="CJ62" s="2" t="e">
        <f ca="1">_xll.BDH($C$53,"LT_DEBT_TO_TOT_ASSET","FQ4 2015","FQ4 2015","Currency=INR","Period=FQ","BEST_FPERIOD_OVERRIDE=FQ","FILING_STATUS=OR","EQY_CONSOLIDATED=Y","Sort=A","Dates=H","DateFormat=P","Fill=—","Direction=H","UseDPDF=Y")</f>
        <v>#NAME?</v>
      </c>
      <c r="CK62" s="2" t="e">
        <f ca="1">_xll.BDH($C$53,"TOT_DEBT_TO_TOT_EQY","FQ4 2015","FQ4 2015","Currency=INR","Period=FQ","BEST_FPERIOD_OVERRIDE=FQ","FILING_STATUS=OR","EQY_CONSOLIDATED=Y","Sort=A","Dates=H","DateFormat=P","Fill=—","Direction=H","UseDPDF=Y")</f>
        <v>#NAME?</v>
      </c>
      <c r="CL62" s="2" t="e">
        <f ca="1">_xll.BDH($C$53,"TOT_DEBT_TO_TOT_CAP","FQ4 2015","FQ4 2015","Currency=INR","Period=FQ","BEST_FPERIOD_OVERRIDE=FQ","FILING_STATUS=OR","EQY_CONSOLIDATED=Y","Sort=A","Dates=H","DateFormat=P","Fill=—","Direction=H","UseDPDF=Y")</f>
        <v>#NAME?</v>
      </c>
      <c r="CM62" s="2" t="e">
        <f ca="1">_xll.BDH($C$53,"TOT_DEBT_TO_TOT_ASSET","FQ4 2015","FQ4 2015","Currency=INR","Period=FQ","BEST_FPERIOD_OVERRIDE=FQ","FILING_STATUS=OR","EQY_CONSOLIDATED=Y","Sort=A","Dates=H","DateFormat=P","Fill=—","Direction=H","UseDPDF=Y")</f>
        <v>#NAME?</v>
      </c>
      <c r="CN62" s="2" t="e">
        <f ca="1">_xll.BDH($C$53,"NET_DEBT_TO_SHRHLDR_EQTY","FQ4 2015","FQ4 2015","Currency=INR","Period=FQ","BEST_FPERIOD_OVERRIDE=FQ","FILING_STATUS=OR","EQY_CONSOLIDATED=Y","Sort=A","Dates=H","DateFormat=P","Fill=—","Direction=H","UseDPDF=Y")</f>
        <v>#NAME?</v>
      </c>
      <c r="CO62" s="2" t="e">
        <f ca="1">_xll.BDH($C$53,"NET_DEBT_%_CAPITAL","FQ4 2015","FQ4 2015","Currency=INR","Period=FQ","BEST_FPERIOD_OVERRIDE=FQ","FILING_STATUS=OR","EQY_CONSOLIDATED=Y","Sort=A","Dates=H","DateFormat=P","Fill=—","Direction=H","UseDPDF=Y")</f>
        <v>#NAME?</v>
      </c>
      <c r="CP62" s="3" t="e">
        <f ca="1">_xll.BDH($C$53,"EBITDA","FQ4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62" s="3" t="e">
        <f ca="1">_xll.BDH($C$53,"EBITDA_AFTER_CAPEX","FQ4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62" s="3" t="e">
        <f ca="1">_xll.BDH($C$53,"IS_OPER_INC","FQ4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62" s="2" t="e">
        <f ca="1">_xll.BDH($C$53,"CASH_RATIO","FQ4 2015","FQ4 2015","Currency=INR","Period=FQ","BEST_FPERIOD_OVERRIDE=FQ","FILING_STATUS=OR","EQY_CONSOLIDATED=Y","Sort=A","Dates=H","DateFormat=P","Fill=—","Direction=H","UseDPDF=Y")</f>
        <v>#NAME?</v>
      </c>
      <c r="CT62" s="2" t="e">
        <f ca="1">_xll.BDH($C$53,"CUR_RATIO","FQ4 2015","FQ4 2015","Currency=INR","Period=FQ","BEST_FPERIOD_OVERRIDE=FQ","FILING_STATUS=OR","EQY_CONSOLIDATED=Y","Sort=A","Dates=H","DateFormat=P","Fill=—","Direction=H","UseDPDF=Y")</f>
        <v>#NAME?</v>
      </c>
      <c r="CU62" s="2" t="e">
        <f ca="1">_xll.BDH($C$53,"QUICK_RATIO","FQ4 2015","FQ4 2015","Currency=INR","Period=FQ","BEST_FPERIOD_OVERRIDE=FQ","FILING_STATUS=OR","EQY_CONSOLIDATED=Y","Sort=A","Dates=H","DateFormat=P","Fill=—","Direction=H","UseDPDF=Y")</f>
        <v>#NAME?</v>
      </c>
      <c r="CV62" s="2" t="e">
        <f ca="1">_xll.BDH($C$53,"ALTMAN_Z_SCORE","FQ4 2015","FQ4 2015","Currency=INR","Period=FQ","BEST_FPERIOD_OVERRIDE=FQ","FILING_STATUS=OR","EQY_CONSOLIDATED=Y","Sort=A","Dates=H","DateFormat=P","Fill=—","Direction=H","UseDPDF=Y")</f>
        <v>#NAME?</v>
      </c>
      <c r="CW62" s="4" t="e">
        <f ca="1">_xll.BDH($C$53,"ACCT_RCV_TURN","FQ4 2015","FQ4 2015","Currency=INR","Period=FQ","BEST_FPERIOD_OVERRIDE=FQ","FILING_STATUS=OR","EQY_CONSOLIDATED=Y","FA_ADJUSTED=GAAP","Sort=A","Dates=H","DateFormat=P","Fill=—","Direction=H","UseDPDF=Y")</f>
        <v>#NAME?</v>
      </c>
      <c r="CX62" s="2" t="e">
        <f ca="1">_xll.BDH($C$53,"ACCT_RCV_DAYS","FQ4 2015","FQ4 2015","Currency=INR","Period=FQ","BEST_FPERIOD_OVERRIDE=FQ","FILING_STATUS=OR","EQY_CONSOLIDATED=Y","FA_ADJUSTED=GAAP","Sort=A","Dates=H","DateFormat=P","Fill=—","Direction=H","UseDPDF=Y")</f>
        <v>#NAME?</v>
      </c>
      <c r="CY62" s="4" t="e">
        <f ca="1">_xll.BDH($C$53,"INVENT_TURN","FQ4 2015","FQ4 2015","Currency=INR","Period=FQ","BEST_FPERIOD_OVERRIDE=FQ","FILING_STATUS=OR","EQY_CONSOLIDATED=Y","FA_ADJUSTED=GAAP","Sort=A","Dates=H","DateFormat=P","Fill=—","Direction=H","UseDPDF=Y")</f>
        <v>#NAME?</v>
      </c>
      <c r="CZ62" s="2" t="e">
        <f ca="1">_xll.BDH($C$53,"INVENT_DAYS","FQ4 2015","FQ4 2015","Currency=INR","Period=FQ","BEST_FPERIOD_OVERRIDE=FQ","FILING_STATUS=OR","EQY_CONSOLIDATED=Y","FA_ADJUSTED=GAAP","Sort=A","Dates=H","DateFormat=P","Fill=—","Direction=H","UseDPDF=Y")</f>
        <v>#NAME?</v>
      </c>
      <c r="DA62" s="4" t="e">
        <f ca="1">_xll.BDH($C$53,"ACCOUNTS_PAYABLE_TURNOVER","FQ4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62" s="2" t="e">
        <f ca="1">_xll.BDH($C$53,"ACCOUNTS_PAYABLE_TURNOVER_DAYS","FQ4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62" s="4" t="e">
        <f ca="1">_xll.BDH($C$53,"CASH_CONVERSION_CYCLE","FQ4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62" s="4" t="e">
        <f ca="1">_xll.BDH($C$53,"INV_TO_CASH_DAYS","FQ4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62" s="5" t="e">
        <f ca="1">_xll.BDH($C$53,"BS_INVENTORIES","FQ4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62" s="3" t="e">
        <f ca="1">_xll.BDH($C$53,"INVTRY_RAW_MATERIALS","FQ4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62" s="3" t="e">
        <f ca="1">_xll.BDH($C$53,"INVTRY_IN_PROGRESS","FQ4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62" s="3" t="e">
        <f ca="1">_xll.BDH($C$53,"INVTRY_FINISHED_GOODS","FQ4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62" s="3" t="e">
        <f ca="1">_xll.BDH($C$53,"BS_OTHER_INV","FQ4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63" spans="1:113" x14ac:dyDescent="0.3">
      <c r="A63" s="6"/>
      <c r="B63" s="6"/>
      <c r="C63" s="6"/>
      <c r="D63" s="6" t="s">
        <v>83</v>
      </c>
      <c r="E63" t="s">
        <v>77</v>
      </c>
      <c r="F63" t="e">
        <f ca="1">_xll.BDH($C$53,"RETURN_COM_EQY","FY 2016","FY 2016","Currency=INR","Period=FY","BEST_FPERIOD_OVERRIDE=FY","FILING_STATUS=OR","EQY_CONSOLIDATED=Y","FA_ADJUSTED=GAAP","Sort=A","Dates=H","DateFormat=P","Fill=—","Direction=H","UseDPDF=Y")</f>
        <v>#NAME?</v>
      </c>
      <c r="G63" t="e">
        <f ca="1">_xll.BDH($C$53,"RETURN_ON_ASSET","FY 2016","FY 2016","Currency=INR","Period=FY","BEST_FPERIOD_OVERRIDE=FY","FILING_STATUS=OR","EQY_CONSOLIDATED=Y","FA_ADJUSTED=GAAP","Sort=A","Dates=H","DateFormat=P","Fill=—","Direction=H","UseDPDF=Y")</f>
        <v>#NAME?</v>
      </c>
      <c r="H63" t="e">
        <f ca="1">_xll.BDH($C$53,"RETURN_ON_CAP","FY 2016","FY 2016","Currency=INR","Period=FY","BEST_FPERIOD_OVERRIDE=FY","FILING_STATUS=OR","EQY_CONSOLIDATED=Y","FA_ADJUSTED=GAAP","Sort=A","Dates=H","DateFormat=P","Fill=—","Direction=H","UseDPDF=Y")</f>
        <v>#NAME?</v>
      </c>
      <c r="I63" t="e">
        <f ca="1">_xll.BDH($C$53,"RETURN_ON_INV_CAPITAL","FY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63" t="e">
        <f ca="1">_xll.BDH($C$53,"EBITDA_TO_REVENUE","FY 2016","FY 2016","Currency=INR","Period=FY","BEST_FPERIOD_OVERRIDE=FY","FILING_STATUS=OR","EQY_CONSOLIDATED=Y","FA_ADJUSTED=GAAP","Sort=A","Dates=H","DateFormat=P","Fill=—","Direction=H","UseDPDF=Y")</f>
        <v>#NAME?</v>
      </c>
      <c r="K63" t="e">
        <f ca="1">_xll.BDH($C$53,"OPER_MARGIN","FY 2016","FY 2016","Currency=INR","Period=FY","BEST_FPERIOD_OVERRIDE=FY","FILING_STATUS=OR","EQY_CONSOLIDATED=Y","FA_ADJUSTED=GAAP","Sort=A","Dates=H","DateFormat=P","Fill=—","Direction=H","UseDPDF=Y")</f>
        <v>#NAME?</v>
      </c>
      <c r="L63" t="e">
        <f ca="1">_xll.BDH($C$53,"INCREMENTAL_OPERATING_MARGIN","FY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63" t="e">
        <f ca="1">_xll.BDH($C$53,"PRETAX_INC_TO_NET_SALES","FY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63" t="e">
        <f ca="1">_xll.BDH($C$53,"INC_BEF_XO_ITEMS_TO_NET_SALES","FY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63" t="e">
        <f ca="1">_xll.BDH($C$53,"PROF_MARGIN","FY 2016","FY 2016","Currency=INR","Period=FY","BEST_FPERIOD_OVERRIDE=FY","FILING_STATUS=OR","EQY_CONSOLIDATED=Y","FA_ADJUSTED=GAAP","Sort=A","Dates=H","DateFormat=P","Fill=—","Direction=H","UseDPDF=Y")</f>
        <v>#NAME?</v>
      </c>
      <c r="P63" t="e">
        <f ca="1">_xll.BDH($C$53,"NET_INCOME_TO_COMMON_MARGIN","FY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63" t="e">
        <f ca="1">_xll.BDH($C$53,"EFF_TAX_RATE","FY 2016","FY 2016","Currency=INR","Period=FY","BEST_FPERIOD_OVERRIDE=FY","FILING_STATUS=OR","EQY_CONSOLIDATED=Y","FA_ADJUSTED=GAAP","Sort=A","Dates=H","DateFormat=P","Fill=—","Direction=H","UseDPDF=Y")</f>
        <v>#NAME?</v>
      </c>
      <c r="R63" t="e">
        <f ca="1">_xll.BDH($C$53,"DVD_PAYOUT_RATIO","FY 2016","FY 2016","Currency=INR","Period=FY","BEST_FPERIOD_OVERRIDE=FY","FILING_STATUS=OR","EQY_CONSOLIDATED=Y","FA_ADJUSTED=GAAP","Sort=A","Dates=H","DateFormat=P","Fill=—","Direction=H","UseDPDF=Y")</f>
        <v>#NAME?</v>
      </c>
      <c r="S63" t="e">
        <f ca="1">_xll.BDH($C$53,"SUSTAIN_GROWTH_RT","FY 2016","FY 2016","Currency=INR","Period=FY","BEST_FPERIOD_OVERRIDE=FY","FILING_STATUS=OR","EQY_CONSOLIDATED=Y","FA_ADJUSTED=GAAP","Sort=A","Dates=H","DateFormat=P","Fill=—","Direction=H","UseDPDF=Y")</f>
        <v>#NAME?</v>
      </c>
      <c r="T63" s="2" t="e">
        <f ca="1">_xll.BDH($C$53,"SALES_GROWTH","FY 2016","FY 2016","Currency=INR","Period=FY","BEST_FPERIOD_OVERRIDE=FY","FILING_STATUS=OR","EQY_CONSOLIDATED=Y","FA_ADJUSTED=GAAP","Sort=A","Dates=H","DateFormat=P","Fill=—","Direction=H","UseDPDF=Y")</f>
        <v>#NAME?</v>
      </c>
      <c r="U63" s="2" t="e">
        <f ca="1">_xll.BDH($C$53,"EBITDA_GROWTH","FY 2016","FY 2016","Currency=INR","Period=FY","BEST_FPERIOD_OVERRIDE=FY","FILING_STATUS=OR","EQY_CONSOLIDATED=Y","FA_ADJUSTED=GAAP","Sort=A","Dates=H","DateFormat=P","Fill=—","Direction=H","UseDPDF=Y")</f>
        <v>#NAME?</v>
      </c>
      <c r="V63" s="2" t="e">
        <f ca="1">_xll.BDH($C$53,"OPER_INC_GROWTH","FY 2016","FY 2016","Currency=INR","Period=FY","BEST_FPERIOD_OVERRIDE=FY","FILING_STATUS=OR","EQY_CONSOLIDATED=Y","FA_ADJUSTED=GAAP","Sort=A","Dates=H","DateFormat=P","Fill=—","Direction=H","UseDPDF=Y")</f>
        <v>#NAME?</v>
      </c>
      <c r="W63" s="2" t="e">
        <f ca="1">_xll.BDH($C$53,"EARN_FOR_COM_GROWTH","FY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63" s="2" t="e">
        <f ca="1">_xll.BDH($C$53,"DILUTED_EPS_AFT_XO_ITEMS_GROWTH","FY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63" s="2" t="e">
        <f ca="1">_xll.BDH($C$53,"DIVIDEND_PER_SHARE_1_YEAR_GROWTH","FY 2016","FY 2016","Currency=INR","Period=FY","BEST_FPERIOD_OVERRIDE=FY","FILING_STATUS=OR","EQY_CONSOLIDATED=Y","Sort=A","Dates=H","DateFormat=P","Fill=—","Direction=H","UseDPDF=Y")</f>
        <v>#NAME?</v>
      </c>
      <c r="Z63" s="2" t="e">
        <f ca="1">_xll.BDH($C$53,"ACCOUNTS_RECEIVABLE_GROWTH","FY 2016","FY 2016","Currency=INR","Period=FY","BEST_FPERIOD_OVERRIDE=FY","FILING_STATUS=OR","EQY_CONSOLIDATED=Y","Sort=A","Dates=H","DateFormat=P","Fill=—","Direction=H","UseDPDF=Y")</f>
        <v>#NAME?</v>
      </c>
      <c r="AA63" s="2" t="e">
        <f ca="1">_xll.BDH($C$53,"INVENTORY_GROWTH","FY 2016","FY 2016","Currency=INR","Period=FY","BEST_FPERIOD_OVERRIDE=FY","FILING_STATUS=OR","EQY_CONSOLIDATED=Y","Sort=A","Dates=H","DateFormat=P","Fill=—","Direction=H","UseDPDF=Y")</f>
        <v>#NAME?</v>
      </c>
      <c r="AB63" s="2" t="e">
        <f ca="1">_xll.BDH($C$53,"NET_FIXED_ASSETS_1_YEAR_GROWTH","FY 2016","FY 2016","Currency=INR","Period=FY","BEST_FPERIOD_OVERRIDE=FY","FILING_STATUS=OR","EQY_CONSOLIDATED=Y","Sort=A","Dates=H","DateFormat=P","Fill=—","Direction=H","UseDPDF=Y")</f>
        <v>#NAME?</v>
      </c>
      <c r="AC63" s="2" t="e">
        <f ca="1">_xll.BDH($C$53,"ASSET_GROWTH","FY 2016","FY 2016","Currency=INR","Period=FY","BEST_FPERIOD_OVERRIDE=FY","FILING_STATUS=OR","EQY_CONSOLIDATED=Y","Sort=A","Dates=H","DateFormat=P","Fill=—","Direction=H","UseDPDF=Y")</f>
        <v>#NAME?</v>
      </c>
      <c r="AD63" s="2" t="e">
        <f ca="1">_xll.BDH($C$53,"MODIFIED_WORK_CAP_GROWTH","FY 2016","FY 2016","Currency=INR","Period=FY","BEST_FPERIOD_OVERRIDE=FY","FILING_STATUS=OR","EQY_CONSOLIDATED=Y","Sort=A","Dates=H","DateFormat=P","Fill=—","Direction=H","UseDPDF=Y")</f>
        <v>#NAME?</v>
      </c>
      <c r="AE63" s="2" t="e">
        <f ca="1">_xll.BDH($C$53,"WORK_CAP_GROWTH","FY 2016","FY 2016","Currency=INR","Period=FY","BEST_FPERIOD_OVERRIDE=FY","FILING_STATUS=OR","EQY_CONSOLIDATED=Y","Sort=A","Dates=H","DateFormat=P","Fill=—","Direction=H","UseDPDF=Y")</f>
        <v>#NAME?</v>
      </c>
      <c r="AF63" s="2" t="e">
        <f ca="1">_xll.BDH($C$53,"ACCOUNTS_PAYABLE_GROWTH_1YR","FY 2016","FY 2016","Currency=INR","Period=FY","BEST_FPERIOD_OVERRIDE=FY","FILING_STATUS=OR","EQY_CONSOLIDATED=Y","Sort=A","Dates=H","DateFormat=P","Fill=—","Direction=H","UseDPDF=Y")</f>
        <v>#NAME?</v>
      </c>
      <c r="AG63" s="2" t="e">
        <f ca="1">_xll.BDH($C$53,"SHORT_TERM_DEBT_1_YEAR_GROWTH","FY 2016","FY 2016","Currency=INR","Period=FY","BEST_FPERIOD_OVERRIDE=FY","FILING_STATUS=OR","EQY_CONSOLIDATED=Y","Sort=A","Dates=H","DateFormat=P","Fill=—","Direction=H","UseDPDF=Y")</f>
        <v>#NAME?</v>
      </c>
      <c r="AH63" s="2" t="e">
        <f ca="1">_xll.BDH($C$53,"TOTAL_DEBT_1_YEAR_GROWTH","FY 2016","FY 2016","Currency=INR","Period=FY","BEST_FPERIOD_OVERRIDE=FY","FILING_STATUS=OR","EQY_CONSOLIDATED=Y","Sort=A","Dates=H","DateFormat=P","Fill=—","Direction=H","UseDPDF=Y")</f>
        <v>#NAME?</v>
      </c>
      <c r="AI63" s="2" t="e">
        <f ca="1">_xll.BDH($C$53,"TOTAL_EQUITY_1_YEAR_GROWTH","FY 2016","FY 2016","Currency=INR","Period=FY","BEST_FPERIOD_OVERRIDE=FY","FILING_STATUS=OR","EQY_CONSOLIDATED=Y","Sort=A","Dates=H","DateFormat=P","Fill=—","Direction=H","UseDPDF=Y")</f>
        <v>#NAME?</v>
      </c>
      <c r="AJ63" s="2" t="e">
        <f ca="1">_xll.BDH($C$53,"GROWTH_IN_CAP","FY 2016","FY 2016","Currency=INR","Period=FY","BEST_FPERIOD_OVERRIDE=FY","FILING_STATUS=OR","EQY_CONSOLIDATED=Y","Sort=A","Dates=H","DateFormat=P","Fill=—","Direction=H","UseDPDF=Y")</f>
        <v>#NAME?</v>
      </c>
      <c r="AK63" s="2" t="e">
        <f ca="1">_xll.BDH($C$53,"BVPS_GROWTH","FY 2016","FY 2016","Currency=INR","Period=FY","BEST_FPERIOD_OVERRIDE=FY","FILING_STATUS=OR","EQY_CONSOLIDATED=Y","Sort=A","Dates=H","DateFormat=P","Fill=—","Direction=H","UseDPDF=Y")</f>
        <v>#NAME?</v>
      </c>
      <c r="AL63" s="2" t="e">
        <f ca="1">_xll.BDH($C$53,"CASH_FLOW_GROWTH","FY 2016","FY 2016","Currency=INR","Period=FY","BEST_FPERIOD_OVERRIDE=FY","FILING_STATUS=OR","EQY_CONSOLIDATED=Y","Sort=A","Dates=H","DateFormat=P","Fill=—","Direction=H","UseDPDF=Y")</f>
        <v>#NAME?</v>
      </c>
      <c r="AM63" s="2" t="e">
        <f ca="1">_xll.BDH($C$53,"GEO_GROW_NET_SALES","FY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63" s="2" t="e">
        <f ca="1">_xll.BDH($C$53,"GEO_GROW_EBITDA","FY 2016","FY 2016","Currency=INR","Period=FY","BEST_FPERIOD_OVERRIDE=FY","FILING_STATUS=OR","EQY_CONSOLIDATED=Y","FA_ADJUSTED=GAAP","Sort=A","Dates=H","DateFormat=P","Fill=—","Direction=H","UseDPDF=Y")</f>
        <v>#NAME?</v>
      </c>
      <c r="AO63" s="2" t="e">
        <f ca="1">_xll.BDH($C$53,"GEO_GROW_OPER_INC","FY 2016","FY 2016","Currency=INR","Period=FY","BEST_FPERIOD_OVERRIDE=FY","FILING_STATUS=OR","EQY_CONSOLIDATED=Y","FA_ADJUSTED=GAAP","Sort=A","Dates=H","DateFormat=P","Fill=—","Direction=H","UseDPDF=Y")</f>
        <v>#NAME?</v>
      </c>
      <c r="AP63" s="2" t="e">
        <f ca="1">_xll.BDH($C$53,"NET_INCOME_TO_COMMON_5_YR_GROWTH","FY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63" s="2" t="e">
        <f ca="1">_xll.BDH($C$53,"5Y_GEO_GROWTH_DILUTED_EPS","FY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63" s="2" t="e">
        <f ca="1">_xll.BDH($C$53,"GEO_GROW_DVD_PER_SH","FY 2016","FY 2016","Currency=INR","Period=FY","BEST_FPERIOD_OVERRIDE=FY","FILING_STATUS=OR","EQY_CONSOLIDATED=Y","Sort=A","Dates=H","DateFormat=P","Fill=—","Direction=H","UseDPDF=Y")</f>
        <v>#NAME?</v>
      </c>
      <c r="AS63" s="2" t="e">
        <f ca="1">_xll.BDH($C$53,"ACCOUNTS_RECEIVABLE_5_YR_GROWTH","FY 2016","FY 2016","Currency=INR","Period=FY","BEST_FPERIOD_OVERRIDE=FY","FILING_STATUS=OR","EQY_CONSOLIDATED=Y","Sort=A","Dates=H","DateFormat=P","Fill=—","Direction=H","UseDPDF=Y")</f>
        <v>#NAME?</v>
      </c>
      <c r="AT63" s="2" t="e">
        <f ca="1">_xll.BDH($C$53,"INVENTORY_5_YEAR_GROWTH","FY 2016","FY 2016","Currency=INR","Period=FY","BEST_FPERIOD_OVERRIDE=FY","FILING_STATUS=OR","EQY_CONSOLIDATED=Y","Sort=A","Dates=H","DateFormat=P","Fill=—","Direction=H","UseDPDF=Y")</f>
        <v>#NAME?</v>
      </c>
      <c r="AU63" s="2" t="e">
        <f ca="1">_xll.BDH($C$53,"NET_FIXED_ASSETS_5_YEAR_GROWTH","FY 2016","FY 2016","Currency=INR","Period=FY","BEST_FPERIOD_OVERRIDE=FY","FILING_STATUS=OR","EQY_CONSOLIDATED=Y","Sort=A","Dates=H","DateFormat=P","Fill=—","Direction=H","UseDPDF=Y")</f>
        <v>#NAME?</v>
      </c>
      <c r="AV63" s="2" t="e">
        <f ca="1">_xll.BDH($C$53,"GEO_GROW_TOT_ASSET","FY 2016","FY 2016","Currency=INR","Period=FY","BEST_FPERIOD_OVERRIDE=FY","FILING_STATUS=OR","EQY_CONSOLIDATED=Y","Sort=A","Dates=H","DateFormat=P","Fill=—","Direction=H","UseDPDF=Y")</f>
        <v>#NAME?</v>
      </c>
      <c r="AW63" s="2" t="e">
        <f ca="1">_xll.BDH($C$53,"MODIFIED_WORKING_CPTL_5YR_GRWTH","FY 2016","FY 2016","Currency=INR","Period=FY","BEST_FPERIOD_OVERRIDE=FY","FILING_STATUS=OR","EQY_CONSOLIDATED=Y","Sort=A","Dates=H","DateFormat=P","Fill=—","Direction=H","UseDPDF=Y")</f>
        <v>#NAME?</v>
      </c>
      <c r="AX63" s="2" t="e">
        <f ca="1">_xll.BDH($C$53,"WORKING_CAPITAL_5_YEAR_GROWTH","FY 2016","FY 2016","Currency=INR","Period=FY","BEST_FPERIOD_OVERRIDE=FY","FILING_STATUS=OR","EQY_CONSOLIDATED=Y","Sort=A","Dates=H","DateFormat=P","Fill=—","Direction=H","UseDPDF=Y")</f>
        <v>#NAME?</v>
      </c>
      <c r="AY63" s="2" t="e">
        <f ca="1">_xll.BDH($C$53,"ACCOUNTS_PAYABLE_5_YEAR_GROWTH","FY 2016","FY 2016","Currency=INR","Period=FY","BEST_FPERIOD_OVERRIDE=FY","FILING_STATUS=OR","EQY_CONSOLIDATED=Y","Sort=A","Dates=H","DateFormat=P","Fill=—","Direction=H","UseDPDF=Y")</f>
        <v>#NAME?</v>
      </c>
      <c r="AZ63" s="2" t="e">
        <f ca="1">_xll.BDH($C$53,"SHORT_TERM_DEBT_5_YEAR_GROWTH","FY 2016","FY 2016","Currency=INR","Period=FY","BEST_FPERIOD_OVERRIDE=FY","FILING_STATUS=OR","EQY_CONSOLIDATED=Y","Sort=A","Dates=H","DateFormat=P","Fill=—","Direction=H","UseDPDF=Y")</f>
        <v>#NAME?</v>
      </c>
      <c r="BA63" s="2" t="e">
        <f ca="1">_xll.BDH($C$53,"TOTAL_DEBT_5_YEAR_GROWTH","FY 2016","FY 2016","Currency=INR","Period=FY","BEST_FPERIOD_OVERRIDE=FY","FILING_STATUS=OR","EQY_CONSOLIDATED=Y","Sort=A","Dates=H","DateFormat=P","Fill=—","Direction=H","UseDPDF=Y")</f>
        <v>#NAME?</v>
      </c>
      <c r="BB63" s="2" t="e">
        <f ca="1">_xll.BDH($C$53,"GEO_GROW_TOT_SHRHLDR_EQY","FY 2016","FY 2016","Currency=INR","Period=FY","BEST_FPERIOD_OVERRIDE=FY","FILING_STATUS=OR","EQY_CONSOLIDATED=Y","Sort=A","Dates=H","DateFormat=P","Fill=—","Direction=H","UseDPDF=Y")</f>
        <v>#NAME?</v>
      </c>
      <c r="BC63" s="2" t="e">
        <f ca="1">_xll.BDH($C$53,"TOTAL_CAPITAL_5_YEAR_GROWTH","FY 2016","FY 2016","Currency=INR","Period=FY","BEST_FPERIOD_OVERRIDE=FY","FILING_STATUS=OR","EQY_CONSOLIDATED=Y","Sort=A","Dates=H","DateFormat=P","Fill=—","Direction=H","UseDPDF=Y")</f>
        <v>#NAME?</v>
      </c>
      <c r="BD63" s="2" t="e">
        <f ca="1">_xll.BDH($C$53,"GEO_GROW_BOOK_VAL","FY 2016","FY 2016","Currency=INR","Period=FY","BEST_FPERIOD_OVERRIDE=FY","FILING_STATUS=OR","EQY_CONSOLIDATED=Y","Sort=A","Dates=H","DateFormat=P","Fill=—","Direction=H","UseDPDF=Y")</f>
        <v>#NAME?</v>
      </c>
      <c r="BE63" s="2" t="e">
        <f ca="1">_xll.BDH($C$53,"GEO_GROW_CASH_OPER_ACT","FY 2016","FY 2016","Currency=INR","Period=FY","BEST_FPERIOD_OVERRIDE=FY","FILING_STATUS=OR","EQY_CONSOLIDATED=Y","Sort=A","Dates=H","DateFormat=P","Fill=—","Direction=H","UseDPDF=Y")</f>
        <v>#NAME?</v>
      </c>
      <c r="BF63" s="2" t="e">
        <f ca="1">_xll.BDH($C$53,"REVENUE_SEQUENTIAL_GROWTH","FY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63" s="2" t="e">
        <f ca="1">_xll.BDH($C$53,"EBITDA_SEQUENTIAL_GROWTH","FY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63" s="2" t="e">
        <f ca="1">_xll.BDH($C$53,"OPERATING_INCOME_SEQ_GROWTH","FY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63" s="2" t="e">
        <f ca="1">_xll.BDH($C$53,"NET_INCOME_TO_COMMON_SEQ_GROWTH","FY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63" s="2" t="e">
        <f ca="1">_xll.BDH($C$53,"EPS_DILUTED_SEQUENTIAL_GROWTH","FY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63" s="2" t="e">
        <f ca="1">_xll.BDH($C$53,"DPS_SEQUENTIAL_GROWTH","FY 2016","FY 2016","Currency=INR","Period=FY","BEST_FPERIOD_OVERRIDE=FY","FILING_STATUS=OR","EQY_CONSOLIDATED=Y","Sort=A","Dates=H","DateFormat=P","Fill=—","Direction=H","UseDPDF=Y")</f>
        <v>#NAME?</v>
      </c>
      <c r="BL63" s="2" t="e">
        <f ca="1">_xll.BDH($C$53,"ACCOUNTS_RECEIVABLE_SEQ_GROWTH","FY 2016","FY 2016","Currency=INR","Period=FY","BEST_FPERIOD_OVERRIDE=FY","FILING_STATUS=OR","EQY_CONSOLIDATED=Y","Sort=A","Dates=H","DateFormat=P","Fill=—","Direction=H","UseDPDF=Y")</f>
        <v>#NAME?</v>
      </c>
      <c r="BM63" s="2" t="e">
        <f ca="1">_xll.BDH($C$53,"INVENTORY_SEQUENTIAL_GROWTH","FY 2016","FY 2016","Currency=INR","Period=FY","BEST_FPERIOD_OVERRIDE=FY","FILING_STATUS=OR","EQY_CONSOLIDATED=Y","Sort=A","Dates=H","DateFormat=P","Fill=—","Direction=H","UseDPDF=Y")</f>
        <v>#NAME?</v>
      </c>
      <c r="BN63" s="2" t="e">
        <f ca="1">_xll.BDH($C$53,"FIXED_ASSETS_SEQUENTIAL_GROWTH","FY 2016","FY 2016","Currency=INR","Period=FY","BEST_FPERIOD_OVERRIDE=FY","FILING_STATUS=OR","EQY_CONSOLIDATED=Y","Sort=A","Dates=H","DateFormat=P","Fill=—","Direction=H","UseDPDF=Y")</f>
        <v>#NAME?</v>
      </c>
      <c r="BO63" s="2" t="e">
        <f ca="1">_xll.BDH($C$53,"TOTAL_ASSETS_SEQUENTIAL_GROWTH","FY 2016","FY 2016","Currency=INR","Period=FY","BEST_FPERIOD_OVERRIDE=FY","FILING_STATUS=OR","EQY_CONSOLIDATED=Y","Sort=A","Dates=H","DateFormat=P","Fill=—","Direction=H","UseDPDF=Y")</f>
        <v>#NAME?</v>
      </c>
      <c r="BP63" s="2" t="e">
        <f ca="1">_xll.BDH($C$53,"MODIFIED_WORKING_CPTL_SEQ_GRWTH","FY 2016","FY 2016","Currency=INR","Period=FY","BEST_FPERIOD_OVERRIDE=FY","FILING_STATUS=OR","EQY_CONSOLIDATED=Y","Sort=A","Dates=H","DateFormat=P","Fill=—","Direction=H","UseDPDF=Y")</f>
        <v>#NAME?</v>
      </c>
      <c r="BQ63" s="2" t="e">
        <f ca="1">_xll.BDH($C$53,"WORKING_CAPITAL_SEQ_GROWTH","FY 2016","FY 2016","Currency=INR","Period=FY","BEST_FPERIOD_OVERRIDE=FY","FILING_STATUS=OR","EQY_CONSOLIDATED=Y","Sort=A","Dates=H","DateFormat=P","Fill=—","Direction=H","UseDPDF=Y")</f>
        <v>#NAME?</v>
      </c>
      <c r="BR63" s="2" t="e">
        <f ca="1">_xll.BDH($C$53,"ACCOUNTS_PAYABLE_SEQ_GROWTH","FY 2016","FY 2016","Currency=INR","Period=FY","BEST_FPERIOD_OVERRIDE=FY","FILING_STATUS=OR","EQY_CONSOLIDATED=Y","Sort=A","Dates=H","DateFormat=P","Fill=—","Direction=H","UseDPDF=Y")</f>
        <v>#NAME?</v>
      </c>
      <c r="BS63" s="2" t="e">
        <f ca="1">_xll.BDH($C$53,"ST_DEBT_SEQUENTIAL_GROWTH","FY 2016","FY 2016","Currency=INR","Period=FY","BEST_FPERIOD_OVERRIDE=FY","FILING_STATUS=OR","EQY_CONSOLIDATED=Y","Sort=A","Dates=H","DateFormat=P","Fill=—","Direction=H","UseDPDF=Y")</f>
        <v>#NAME?</v>
      </c>
      <c r="BT63" s="2" t="e">
        <f ca="1">_xll.BDH($C$53,"TOTAL_DEBT_SEQUENTIAL_GROWTH","FY 2016","FY 2016","Currency=INR","Period=FY","BEST_FPERIOD_OVERRIDE=FY","FILING_STATUS=OR","EQY_CONSOLIDATED=Y","Sort=A","Dates=H","DateFormat=P","Fill=—","Direction=H","UseDPDF=Y")</f>
        <v>#NAME?</v>
      </c>
      <c r="BU63" s="2" t="e">
        <f ca="1">_xll.BDH($C$53,"TOTAL_EQUITY_SEQUENTIAL_GROWTH","FY 2016","FY 2016","Currency=INR","Period=FY","BEST_FPERIOD_OVERRIDE=FY","FILING_STATUS=OR","EQY_CONSOLIDATED=Y","Sort=A","Dates=H","DateFormat=P","Fill=—","Direction=H","UseDPDF=Y")</f>
        <v>#NAME?</v>
      </c>
      <c r="BV63" s="2" t="e">
        <f ca="1">_xll.BDH($C$53,"TOTAL_CAPITAL_SEQUENTIAL_GROWTH","FY 2016","FY 2016","Currency=INR","Period=FY","BEST_FPERIOD_OVERRIDE=FY","FILING_STATUS=OR","EQY_CONSOLIDATED=Y","Sort=A","Dates=H","DateFormat=P","Fill=—","Direction=H","UseDPDF=Y")</f>
        <v>#NAME?</v>
      </c>
      <c r="BW63" s="2" t="e">
        <f ca="1">_xll.BDH($C$53,"BPS_SEQUENTIAL_GROWTH","FY 2016","FY 2016","Currency=INR","Period=FY","BEST_FPERIOD_OVERRIDE=FY","FILING_STATUS=OR","EQY_CONSOLIDATED=Y","Sort=A","Dates=H","DateFormat=P","Fill=—","Direction=H","UseDPDF=Y")</f>
        <v>#NAME?</v>
      </c>
      <c r="BX63" s="2" t="e">
        <f ca="1">_xll.BDH($C$53,"CFO_SEQUENTIAL_GROWTH","FY 2016","FY 2016","Currency=INR","Period=FY","BEST_FPERIOD_OVERRIDE=FY","FILING_STATUS=OR","EQY_CONSOLIDATED=Y","Sort=A","Dates=H","DateFormat=P","Fill=—","Direction=H","UseDPDF=Y")</f>
        <v>#NAME?</v>
      </c>
      <c r="BY63" s="3" t="e">
        <f ca="1">_xll.BDH($C$53,"SHORT_AND_LONG_TERM_DEBT","FY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63" s="3" t="e">
        <f ca="1">_xll.BDH($C$53,"BS_ST_BORROW","FY 2016","FY 2016","Currency=INR","Period=FY","BEST_FPERIOD_OVERRIDE=FY","FILING_STATUS=OR","EQY_CONSOLIDATED=Y","SCALING_FORMAT=MLN","Sort=A","Dates=H","DateFormat=P","Fill=—","Direction=H","UseDPDF=Y")</f>
        <v>#NAME?</v>
      </c>
      <c r="CA63" s="3" t="e">
        <f ca="1">_xll.BDH($C$53,"BS_LT_BORROW","FY 2016","FY 2016","Currency=INR","Period=FY","BEST_FPERIOD_OVERRIDE=FY","FILING_STATUS=OR","EQY_CONSOLIDATED=Y","SCALING_FORMAT=MLN","Sort=A","Dates=H","DateFormat=P","Fill=—","Direction=H","UseDPDF=Y")</f>
        <v>#NAME?</v>
      </c>
      <c r="CB63" s="2" t="e">
        <f ca="1">_xll.BDH($C$53,"TOT_DEBT_TO_EBITDA","FY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63" s="2" t="e">
        <f ca="1">_xll.BDH($C$53,"NET_DEBT_TO_EBITDA","FY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63" s="2" t="e">
        <f ca="1">_xll.BDH($C$53,"TOTAL_DEBT_TO_EBIT","FY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63" s="2" t="e">
        <f ca="1">_xll.BDH($C$53,"NET_DEBT_TO_EBIT","FY 2016","FY 2016","Currency=INR","Period=FY","BEST_FPERIOD_OVERRIDE=FY","FILING_STATUS=OR","EQY_CONSOLIDATED=Y","FA_ADJUSTED=GAAP","Sort=A","Dates=H","DateFormat=P","Fill=—","Direction=H","UseDPDF=Y")</f>
        <v>#NAME?</v>
      </c>
      <c r="CF63" s="2" t="e">
        <f ca="1">_xll.BDH($C$53,"EBITDA_TO_INTEREST_EXPN","FY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63" s="2" t="e">
        <f ca="1">_xll.BDH($C$53,"COM_EQY_TO_TOT_ASSET","FY 2016","FY 2016","Currency=INR","Period=FY","BEST_FPERIOD_OVERRIDE=FY","FILING_STATUS=OR","EQY_CONSOLIDATED=Y","Sort=A","Dates=H","DateFormat=P","Fill=—","Direction=H","UseDPDF=Y")</f>
        <v>#NAME?</v>
      </c>
      <c r="CH63" s="2" t="e">
        <f ca="1">_xll.BDH($C$53,"LT_DEBT_TO_TOT_EQY","FY 2016","FY 2016","Currency=INR","Period=FY","BEST_FPERIOD_OVERRIDE=FY","FILING_STATUS=OR","EQY_CONSOLIDATED=Y","Sort=A","Dates=H","DateFormat=P","Fill=—","Direction=H","UseDPDF=Y")</f>
        <v>#NAME?</v>
      </c>
      <c r="CI63" s="2" t="e">
        <f ca="1">_xll.BDH($C$53,"LT_DEBT_TO_TOT_CAP","FY 2016","FY 2016","Currency=INR","Period=FY","BEST_FPERIOD_OVERRIDE=FY","FILING_STATUS=OR","EQY_CONSOLIDATED=Y","Sort=A","Dates=H","DateFormat=P","Fill=—","Direction=H","UseDPDF=Y")</f>
        <v>#NAME?</v>
      </c>
      <c r="CJ63" s="2" t="e">
        <f ca="1">_xll.BDH($C$53,"LT_DEBT_TO_TOT_ASSET","FY 2016","FY 2016","Currency=INR","Period=FY","BEST_FPERIOD_OVERRIDE=FY","FILING_STATUS=OR","EQY_CONSOLIDATED=Y","Sort=A","Dates=H","DateFormat=P","Fill=—","Direction=H","UseDPDF=Y")</f>
        <v>#NAME?</v>
      </c>
      <c r="CK63" s="2" t="e">
        <f ca="1">_xll.BDH($C$53,"TOT_DEBT_TO_TOT_EQY","FY 2016","FY 2016","Currency=INR","Period=FY","BEST_FPERIOD_OVERRIDE=FY","FILING_STATUS=OR","EQY_CONSOLIDATED=Y","Sort=A","Dates=H","DateFormat=P","Fill=—","Direction=H","UseDPDF=Y")</f>
        <v>#NAME?</v>
      </c>
      <c r="CL63" s="2" t="e">
        <f ca="1">_xll.BDH($C$53,"TOT_DEBT_TO_TOT_CAP","FY 2016","FY 2016","Currency=INR","Period=FY","BEST_FPERIOD_OVERRIDE=FY","FILING_STATUS=OR","EQY_CONSOLIDATED=Y","Sort=A","Dates=H","DateFormat=P","Fill=—","Direction=H","UseDPDF=Y")</f>
        <v>#NAME?</v>
      </c>
      <c r="CM63" s="2" t="e">
        <f ca="1">_xll.BDH($C$53,"TOT_DEBT_TO_TOT_ASSET","FY 2016","FY 2016","Currency=INR","Period=FY","BEST_FPERIOD_OVERRIDE=FY","FILING_STATUS=OR","EQY_CONSOLIDATED=Y","Sort=A","Dates=H","DateFormat=P","Fill=—","Direction=H","UseDPDF=Y")</f>
        <v>#NAME?</v>
      </c>
      <c r="CN63" s="2" t="e">
        <f ca="1">_xll.BDH($C$53,"NET_DEBT_TO_SHRHLDR_EQTY","FY 2016","FY 2016","Currency=INR","Period=FY","BEST_FPERIOD_OVERRIDE=FY","FILING_STATUS=OR","EQY_CONSOLIDATED=Y","Sort=A","Dates=H","DateFormat=P","Fill=—","Direction=H","UseDPDF=Y")</f>
        <v>#NAME?</v>
      </c>
      <c r="CO63" s="2" t="e">
        <f ca="1">_xll.BDH($C$53,"NET_DEBT_%_CAPITAL","FY 2016","FY 2016","Currency=INR","Period=FY","BEST_FPERIOD_OVERRIDE=FY","FILING_STATUS=OR","EQY_CONSOLIDATED=Y","Sort=A","Dates=H","DateFormat=P","Fill=—","Direction=H","UseDPDF=Y")</f>
        <v>#NAME?</v>
      </c>
      <c r="CP63" s="3" t="e">
        <f ca="1">_xll.BDH($C$53,"EBITDA","FY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63" s="3" t="e">
        <f ca="1">_xll.BDH($C$53,"EBITDA_AFTER_CAPEX","FY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63" s="3" t="e">
        <f ca="1">_xll.BDH($C$53,"IS_OPER_INC","FY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63" s="2" t="e">
        <f ca="1">_xll.BDH($C$53,"CASH_RATIO","FY 2016","FY 2016","Currency=INR","Period=FY","BEST_FPERIOD_OVERRIDE=FY","FILING_STATUS=OR","EQY_CONSOLIDATED=Y","Sort=A","Dates=H","DateFormat=P","Fill=—","Direction=H","UseDPDF=Y")</f>
        <v>#NAME?</v>
      </c>
      <c r="CT63" s="2" t="e">
        <f ca="1">_xll.BDH($C$53,"CUR_RATIO","FY 2016","FY 2016","Currency=INR","Period=FY","BEST_FPERIOD_OVERRIDE=FY","FILING_STATUS=OR","EQY_CONSOLIDATED=Y","Sort=A","Dates=H","DateFormat=P","Fill=—","Direction=H","UseDPDF=Y")</f>
        <v>#NAME?</v>
      </c>
      <c r="CU63" s="2" t="e">
        <f ca="1">_xll.BDH($C$53,"QUICK_RATIO","FY 2016","FY 2016","Currency=INR","Period=FY","BEST_FPERIOD_OVERRIDE=FY","FILING_STATUS=OR","EQY_CONSOLIDATED=Y","Sort=A","Dates=H","DateFormat=P","Fill=—","Direction=H","UseDPDF=Y")</f>
        <v>#NAME?</v>
      </c>
      <c r="CV63" s="2" t="e">
        <f ca="1">_xll.BDH($C$53,"ALTMAN_Z_SCORE","FY 2016","FY 2016","Currency=INR","Period=FY","BEST_FPERIOD_OVERRIDE=FY","FILING_STATUS=OR","EQY_CONSOLIDATED=Y","Sort=A","Dates=H","DateFormat=P","Fill=—","Direction=H","UseDPDF=Y")</f>
        <v>#NAME?</v>
      </c>
      <c r="CW63" s="4" t="e">
        <f ca="1">_xll.BDH($C$53,"ACCT_RCV_TURN","FY 2016","FY 2016","Currency=INR","Period=FY","BEST_FPERIOD_OVERRIDE=FY","FILING_STATUS=OR","EQY_CONSOLIDATED=Y","FA_ADJUSTED=GAAP","Sort=A","Dates=H","DateFormat=P","Fill=—","Direction=H","UseDPDF=Y")</f>
        <v>#NAME?</v>
      </c>
      <c r="CX63" s="2" t="e">
        <f ca="1">_xll.BDH($C$53,"ACCT_RCV_DAYS","FY 2016","FY 2016","Currency=INR","Period=FY","BEST_FPERIOD_OVERRIDE=FY","FILING_STATUS=OR","EQY_CONSOLIDATED=Y","FA_ADJUSTED=GAAP","Sort=A","Dates=H","DateFormat=P","Fill=—","Direction=H","UseDPDF=Y")</f>
        <v>#NAME?</v>
      </c>
      <c r="CY63" s="4" t="e">
        <f ca="1">_xll.BDH($C$53,"INVENT_TURN","FY 2016","FY 2016","Currency=INR","Period=FY","BEST_FPERIOD_OVERRIDE=FY","FILING_STATUS=OR","EQY_CONSOLIDATED=Y","FA_ADJUSTED=GAAP","Sort=A","Dates=H","DateFormat=P","Fill=—","Direction=H","UseDPDF=Y")</f>
        <v>#NAME?</v>
      </c>
      <c r="CZ63" s="2" t="e">
        <f ca="1">_xll.BDH($C$53,"INVENT_DAYS","FY 2016","FY 2016","Currency=INR","Period=FY","BEST_FPERIOD_OVERRIDE=FY","FILING_STATUS=OR","EQY_CONSOLIDATED=Y","FA_ADJUSTED=GAAP","Sort=A","Dates=H","DateFormat=P","Fill=—","Direction=H","UseDPDF=Y")</f>
        <v>#NAME?</v>
      </c>
      <c r="DA63" s="4" t="e">
        <f ca="1">_xll.BDH($C$53,"ACCOUNTS_PAYABLE_TURNOVER","FY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63" s="2" t="e">
        <f ca="1">_xll.BDH($C$53,"ACCOUNTS_PAYABLE_TURNOVER_DAYS","FY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63" s="4" t="e">
        <f ca="1">_xll.BDH($C$53,"CASH_CONVERSION_CYCLE","FY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63" s="4" t="e">
        <f ca="1">_xll.BDH($C$53,"INV_TO_CASH_DAYS","FY 2016","FY 2016","Currency=INR","Period=FY","BEST_FPERIOD_OVERRIDE=FY","FILING_STATUS=OR","EQY_CONSOLIDATED=Y","FA_ADJUSTED=GAAP","Sort=A","Dates=H","DateFormat=P","Fill=—","Direction=H","UseDPDF=Y")</f>
        <v>#NAME?</v>
      </c>
      <c r="DE63" s="5" t="e">
        <f ca="1">_xll.BDH($C$53,"BS_INVENTORIES","FY 2016","FY 2016","Currency=INR","Period=FY","BEST_FPERIOD_OVERRIDE=FY","FILING_STATUS=OR","EQY_CONSOLIDATED=Y","SCALING_FORMAT=MLN","Sort=A","Dates=H","DateFormat=P","Fill=—","Direction=H","UseDPDF=Y")</f>
        <v>#NAME?</v>
      </c>
      <c r="DF63" s="3" t="e">
        <f ca="1">_xll.BDH($C$53,"INVTRY_RAW_MATERIALS","FY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63" s="3" t="e">
        <f ca="1">_xll.BDH($C$53,"INVTRY_IN_PROGRESS","FY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63" s="3" t="e">
        <f ca="1">_xll.BDH($C$53,"INVTRY_FINISHED_GOODS","FY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63" s="3" t="e">
        <f ca="1">_xll.BDH($C$53,"BS_OTHER_INV","FY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64" spans="1:113" x14ac:dyDescent="0.3">
      <c r="A64" s="6"/>
      <c r="B64" s="6"/>
      <c r="C64" s="6"/>
      <c r="D64" s="6"/>
      <c r="E64" t="s">
        <v>78</v>
      </c>
      <c r="F64" t="e">
        <f ca="1">_xll.BDH($C$53,"RETURN_COM_EQY","FQ1 2016","FQ1 2016","Currency=INR","Period=FQ","BEST_FPERIOD_OVERRIDE=FQ","FILING_STATUS=OR","EQY_CONSOLIDATED=Y","FA_ADJUSTED=GAAP","Sort=A","Dates=H","DateFormat=P","Fill=—","Direction=H","UseDPDF=Y")</f>
        <v>#NAME?</v>
      </c>
      <c r="G64" t="e">
        <f ca="1">_xll.BDH($C$53,"RETURN_ON_ASSET","FQ1 2016","FQ1 2016","Currency=INR","Period=FQ","BEST_FPERIOD_OVERRIDE=FQ","FILING_STATUS=OR","EQY_CONSOLIDATED=Y","FA_ADJUSTED=GAAP","Sort=A","Dates=H","DateFormat=P","Fill=—","Direction=H","UseDPDF=Y")</f>
        <v>#NAME?</v>
      </c>
      <c r="H64" t="e">
        <f ca="1">_xll.BDH($C$53,"RETURN_ON_CAP","FQ1 2016","FQ1 2016","Currency=INR","Period=FQ","BEST_FPERIOD_OVERRIDE=FQ","FILING_STATUS=OR","EQY_CONSOLIDATED=Y","FA_ADJUSTED=GAAP","Sort=A","Dates=H","DateFormat=P","Fill=—","Direction=H","UseDPDF=Y")</f>
        <v>#NAME?</v>
      </c>
      <c r="I64" t="e">
        <f ca="1">_xll.BDH($C$53,"RETURN_ON_INV_CAPITAL","FQ1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64" t="e">
        <f ca="1">_xll.BDH($C$53,"EBITDA_TO_REVENUE","FQ1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64" t="e">
        <f ca="1">_xll.BDH($C$53,"OPER_MARGIN","FQ1 2016","FQ1 2016","Currency=INR","Period=FQ","BEST_FPERIOD_OVERRIDE=FQ","FILING_STATUS=OR","EQY_CONSOLIDATED=Y","FA_ADJUSTED=GAAP","Sort=A","Dates=H","DateFormat=P","Fill=—","Direction=H","UseDPDF=Y")</f>
        <v>#NAME?</v>
      </c>
      <c r="L64" t="e">
        <f ca="1">_xll.BDH($C$53,"INCREMENTAL_OPERATING_MARGIN","FQ1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64" t="e">
        <f ca="1">_xll.BDH($C$53,"PRETAX_INC_TO_NET_SALES","FQ1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64" t="e">
        <f ca="1">_xll.BDH($C$53,"INC_BEF_XO_ITEMS_TO_NET_SALES","FQ1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64" t="e">
        <f ca="1">_xll.BDH($C$53,"PROF_MARGIN","FQ1 2016","FQ1 2016","Currency=INR","Period=FQ","BEST_FPERIOD_OVERRIDE=FQ","FILING_STATUS=OR","EQY_CONSOLIDATED=Y","FA_ADJUSTED=GAAP","Sort=A","Dates=H","DateFormat=P","Fill=—","Direction=H","UseDPDF=Y")</f>
        <v>#NAME?</v>
      </c>
      <c r="P64" t="e">
        <f ca="1">_xll.BDH($C$53,"NET_INCOME_TO_COMMON_MARGIN","FQ1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64" t="e">
        <f ca="1">_xll.BDH($C$53,"EFF_TAX_RATE","FQ1 2016","FQ1 2016","Currency=INR","Period=FQ","BEST_FPERIOD_OVERRIDE=FQ","FILING_STATUS=OR","EQY_CONSOLIDATED=Y","FA_ADJUSTED=GAAP","Sort=A","Dates=H","DateFormat=P","Fill=—","Direction=H","UseDPDF=Y")</f>
        <v>#NAME?</v>
      </c>
      <c r="R64" t="e">
        <f ca="1">_xll.BDH($C$53,"DVD_PAYOUT_RATIO","FQ1 2016","FQ1 2016","Currency=INR","Period=FQ","BEST_FPERIOD_OVERRIDE=FQ","FILING_STATUS=OR","EQY_CONSOLIDATED=Y","FA_ADJUSTED=GAAP","Sort=A","Dates=H","DateFormat=P","Fill=—","Direction=H","UseDPDF=Y")</f>
        <v>#NAME?</v>
      </c>
      <c r="S64" t="e">
        <f ca="1">_xll.BDH($C$53,"SUSTAIN_GROWTH_RT","FQ1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64" s="2" t="e">
        <f ca="1">_xll.BDH($C$53,"SALES_GROWTH","FQ1 2016","FQ1 2016","Currency=INR","Period=FQ","BEST_FPERIOD_OVERRIDE=FQ","FILING_STATUS=OR","EQY_CONSOLIDATED=Y","FA_ADJUSTED=GAAP","Sort=A","Dates=H","DateFormat=P","Fill=—","Direction=H","UseDPDF=Y")</f>
        <v>#NAME?</v>
      </c>
      <c r="U64" s="2" t="e">
        <f ca="1">_xll.BDH($C$53,"EBITDA_GROWTH","FQ1 2016","FQ1 2016","Currency=INR","Period=FQ","BEST_FPERIOD_OVERRIDE=FQ","FILING_STATUS=OR","EQY_CONSOLIDATED=Y","FA_ADJUSTED=GAAP","Sort=A","Dates=H","DateFormat=P","Fill=—","Direction=H","UseDPDF=Y")</f>
        <v>#NAME?</v>
      </c>
      <c r="V64" s="2" t="e">
        <f ca="1">_xll.BDH($C$53,"OPER_INC_GROWTH","FQ1 2016","FQ1 2016","Currency=INR","Period=FQ","BEST_FPERIOD_OVERRIDE=FQ","FILING_STATUS=OR","EQY_CONSOLIDATED=Y","FA_ADJUSTED=GAAP","Sort=A","Dates=H","DateFormat=P","Fill=—","Direction=H","UseDPDF=Y")</f>
        <v>#NAME?</v>
      </c>
      <c r="W64" s="2" t="e">
        <f ca="1">_xll.BDH($C$53,"EARN_FOR_COM_GROWTH","FQ1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64" s="2" t="e">
        <f ca="1">_xll.BDH($C$53,"DILUTED_EPS_AFT_XO_ITEMS_GROWTH","FQ1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64" s="2" t="e">
        <f ca="1">_xll.BDH($C$53,"DIVIDEND_PER_SHARE_1_YEAR_GROWTH","FQ1 2016","FQ1 2016","Currency=INR","Period=FQ","BEST_FPERIOD_OVERRIDE=FQ","FILING_STATUS=OR","EQY_CONSOLIDATED=Y","Sort=A","Dates=H","DateFormat=P","Fill=—","Direction=H","UseDPDF=Y")</f>
        <v>#NAME?</v>
      </c>
      <c r="Z64" s="2" t="e">
        <f ca="1">_xll.BDH($C$53,"ACCOUNTS_RECEIVABLE_GROWTH","FQ1 2016","FQ1 2016","Currency=INR","Period=FQ","BEST_FPERIOD_OVERRIDE=FQ","FILING_STATUS=OR","EQY_CONSOLIDATED=Y","Sort=A","Dates=H","DateFormat=P","Fill=—","Direction=H","UseDPDF=Y")</f>
        <v>#NAME?</v>
      </c>
      <c r="AA64" s="2" t="e">
        <f ca="1">_xll.BDH($C$53,"INVENTORY_GROWTH","FQ1 2016","FQ1 2016","Currency=INR","Period=FQ","BEST_FPERIOD_OVERRIDE=FQ","FILING_STATUS=OR","EQY_CONSOLIDATED=Y","Sort=A","Dates=H","DateFormat=P","Fill=—","Direction=H","UseDPDF=Y")</f>
        <v>#NAME?</v>
      </c>
      <c r="AB64" s="2" t="e">
        <f ca="1">_xll.BDH($C$53,"NET_FIXED_ASSETS_1_YEAR_GROWTH","FQ1 2016","FQ1 2016","Currency=INR","Period=FQ","BEST_FPERIOD_OVERRIDE=FQ","FILING_STATUS=OR","EQY_CONSOLIDATED=Y","Sort=A","Dates=H","DateFormat=P","Fill=—","Direction=H","UseDPDF=Y")</f>
        <v>#NAME?</v>
      </c>
      <c r="AC64" s="2" t="e">
        <f ca="1">_xll.BDH($C$53,"ASSET_GROWTH","FQ1 2016","FQ1 2016","Currency=INR","Period=FQ","BEST_FPERIOD_OVERRIDE=FQ","FILING_STATUS=OR","EQY_CONSOLIDATED=Y","Sort=A","Dates=H","DateFormat=P","Fill=—","Direction=H","UseDPDF=Y")</f>
        <v>#NAME?</v>
      </c>
      <c r="AD64" s="2" t="e">
        <f ca="1">_xll.BDH($C$53,"MODIFIED_WORK_CAP_GROWTH","FQ1 2016","FQ1 2016","Currency=INR","Period=FQ","BEST_FPERIOD_OVERRIDE=FQ","FILING_STATUS=OR","EQY_CONSOLIDATED=Y","Sort=A","Dates=H","DateFormat=P","Fill=—","Direction=H","UseDPDF=Y")</f>
        <v>#NAME?</v>
      </c>
      <c r="AE64" s="2" t="e">
        <f ca="1">_xll.BDH($C$53,"WORK_CAP_GROWTH","FQ1 2016","FQ1 2016","Currency=INR","Period=FQ","BEST_FPERIOD_OVERRIDE=FQ","FILING_STATUS=OR","EQY_CONSOLIDATED=Y","Sort=A","Dates=H","DateFormat=P","Fill=—","Direction=H","UseDPDF=Y")</f>
        <v>#NAME?</v>
      </c>
      <c r="AF64" s="2" t="e">
        <f ca="1">_xll.BDH($C$53,"ACCOUNTS_PAYABLE_GROWTH_1YR","FQ1 2016","FQ1 2016","Currency=INR","Period=FQ","BEST_FPERIOD_OVERRIDE=FQ","FILING_STATUS=OR","EQY_CONSOLIDATED=Y","Sort=A","Dates=H","DateFormat=P","Fill=—","Direction=H","UseDPDF=Y")</f>
        <v>#NAME?</v>
      </c>
      <c r="AG64" s="2" t="e">
        <f ca="1">_xll.BDH($C$53,"SHORT_TERM_DEBT_1_YEAR_GROWTH","FQ1 2016","FQ1 2016","Currency=INR","Period=FQ","BEST_FPERIOD_OVERRIDE=FQ","FILING_STATUS=OR","EQY_CONSOLIDATED=Y","Sort=A","Dates=H","DateFormat=P","Fill=—","Direction=H","UseDPDF=Y")</f>
        <v>#NAME?</v>
      </c>
      <c r="AH64" s="2" t="e">
        <f ca="1">_xll.BDH($C$53,"TOTAL_DEBT_1_YEAR_GROWTH","FQ1 2016","FQ1 2016","Currency=INR","Period=FQ","BEST_FPERIOD_OVERRIDE=FQ","FILING_STATUS=OR","EQY_CONSOLIDATED=Y","Sort=A","Dates=H","DateFormat=P","Fill=—","Direction=H","UseDPDF=Y")</f>
        <v>#NAME?</v>
      </c>
      <c r="AI64" s="2" t="e">
        <f ca="1">_xll.BDH($C$53,"TOTAL_EQUITY_1_YEAR_GROWTH","FQ1 2016","FQ1 2016","Currency=INR","Period=FQ","BEST_FPERIOD_OVERRIDE=FQ","FILING_STATUS=OR","EQY_CONSOLIDATED=Y","Sort=A","Dates=H","DateFormat=P","Fill=—","Direction=H","UseDPDF=Y")</f>
        <v>#NAME?</v>
      </c>
      <c r="AJ64" s="2" t="e">
        <f ca="1">_xll.BDH($C$53,"GROWTH_IN_CAP","FQ1 2016","FQ1 2016","Currency=INR","Period=FQ","BEST_FPERIOD_OVERRIDE=FQ","FILING_STATUS=OR","EQY_CONSOLIDATED=Y","Sort=A","Dates=H","DateFormat=P","Fill=—","Direction=H","UseDPDF=Y")</f>
        <v>#NAME?</v>
      </c>
      <c r="AK64" s="2" t="e">
        <f ca="1">_xll.BDH($C$53,"BVPS_GROWTH","FQ1 2016","FQ1 2016","Currency=INR","Period=FQ","BEST_FPERIOD_OVERRIDE=FQ","FILING_STATUS=OR","EQY_CONSOLIDATED=Y","Sort=A","Dates=H","DateFormat=P","Fill=—","Direction=H","UseDPDF=Y")</f>
        <v>#NAME?</v>
      </c>
      <c r="AL64" s="2" t="e">
        <f ca="1">_xll.BDH($C$53,"CASH_FLOW_GROWTH","FQ1 2016","FQ1 2016","Currency=INR","Period=FQ","BEST_FPERIOD_OVERRIDE=FQ","FILING_STATUS=OR","EQY_CONSOLIDATED=Y","Sort=A","Dates=H","DateFormat=P","Fill=—","Direction=H","UseDPDF=Y")</f>
        <v>#NAME?</v>
      </c>
      <c r="AM64" s="2" t="e">
        <f ca="1">_xll.BDH($C$53,"GEO_GROW_NET_SALES","FQ1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64" s="2" t="e">
        <f ca="1">_xll.BDH($C$53,"GEO_GROW_EBITDA","FQ1 2016","FQ1 2016","Currency=INR","Period=FQ","BEST_FPERIOD_OVERRIDE=FQ","FILING_STATUS=OR","EQY_CONSOLIDATED=Y","FA_ADJUSTED=GAAP","Sort=A","Dates=H","DateFormat=P","Fill=—","Direction=H","UseDPDF=Y")</f>
        <v>#NAME?</v>
      </c>
      <c r="AO64" s="2" t="e">
        <f ca="1">_xll.BDH($C$53,"GEO_GROW_OPER_INC","FQ1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64" s="2" t="e">
        <f ca="1">_xll.BDH($C$53,"NET_INCOME_TO_COMMON_5_YR_GROWTH","FQ1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64" s="2" t="e">
        <f ca="1">_xll.BDH($C$53,"5Y_GEO_GROWTH_DILUTED_EPS","FQ1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64" s="2" t="e">
        <f ca="1">_xll.BDH($C$53,"GEO_GROW_DVD_PER_SH","FQ1 2016","FQ1 2016","Currency=INR","Period=FQ","BEST_FPERIOD_OVERRIDE=FQ","FILING_STATUS=OR","EQY_CONSOLIDATED=Y","Sort=A","Dates=H","DateFormat=P","Fill=—","Direction=H","UseDPDF=Y")</f>
        <v>#NAME?</v>
      </c>
      <c r="AS64" s="2" t="e">
        <f ca="1">_xll.BDH($C$53,"ACCOUNTS_RECEIVABLE_5_YR_GROWTH","FQ1 2016","FQ1 2016","Currency=INR","Period=FQ","BEST_FPERIOD_OVERRIDE=FQ","FILING_STATUS=OR","EQY_CONSOLIDATED=Y","Sort=A","Dates=H","DateFormat=P","Fill=—","Direction=H","UseDPDF=Y")</f>
        <v>#NAME?</v>
      </c>
      <c r="AT64" s="2" t="e">
        <f ca="1">_xll.BDH($C$53,"INVENTORY_5_YEAR_GROWTH","FQ1 2016","FQ1 2016","Currency=INR","Period=FQ","BEST_FPERIOD_OVERRIDE=FQ","FILING_STATUS=OR","EQY_CONSOLIDATED=Y","Sort=A","Dates=H","DateFormat=P","Fill=—","Direction=H","UseDPDF=Y")</f>
        <v>#NAME?</v>
      </c>
      <c r="AU64" s="2" t="e">
        <f ca="1">_xll.BDH($C$53,"NET_FIXED_ASSETS_5_YEAR_GROWTH","FQ1 2016","FQ1 2016","Currency=INR","Period=FQ","BEST_FPERIOD_OVERRIDE=FQ","FILING_STATUS=OR","EQY_CONSOLIDATED=Y","Sort=A","Dates=H","DateFormat=P","Fill=—","Direction=H","UseDPDF=Y")</f>
        <v>#NAME?</v>
      </c>
      <c r="AV64" s="2" t="e">
        <f ca="1">_xll.BDH($C$53,"GEO_GROW_TOT_ASSET","FQ1 2016","FQ1 2016","Currency=INR","Period=FQ","BEST_FPERIOD_OVERRIDE=FQ","FILING_STATUS=OR","EQY_CONSOLIDATED=Y","Sort=A","Dates=H","DateFormat=P","Fill=—","Direction=H","UseDPDF=Y")</f>
        <v>#NAME?</v>
      </c>
      <c r="AW64" s="2" t="e">
        <f ca="1">_xll.BDH($C$53,"MODIFIED_WORKING_CPTL_5YR_GRWTH","FQ1 2016","FQ1 2016","Currency=INR","Period=FQ","BEST_FPERIOD_OVERRIDE=FQ","FILING_STATUS=OR","EQY_CONSOLIDATED=Y","Sort=A","Dates=H","DateFormat=P","Fill=—","Direction=H","UseDPDF=Y")</f>
        <v>#NAME?</v>
      </c>
      <c r="AX64" s="2" t="e">
        <f ca="1">_xll.BDH($C$53,"WORKING_CAPITAL_5_YEAR_GROWTH","FQ1 2016","FQ1 2016","Currency=INR","Period=FQ","BEST_FPERIOD_OVERRIDE=FQ","FILING_STATUS=OR","EQY_CONSOLIDATED=Y","Sort=A","Dates=H","DateFormat=P","Fill=—","Direction=H","UseDPDF=Y")</f>
        <v>#NAME?</v>
      </c>
      <c r="AY64" s="2" t="e">
        <f ca="1">_xll.BDH($C$53,"ACCOUNTS_PAYABLE_5_YEAR_GROWTH","FQ1 2016","FQ1 2016","Currency=INR","Period=FQ","BEST_FPERIOD_OVERRIDE=FQ","FILING_STATUS=OR","EQY_CONSOLIDATED=Y","Sort=A","Dates=H","DateFormat=P","Fill=—","Direction=H","UseDPDF=Y")</f>
        <v>#NAME?</v>
      </c>
      <c r="AZ64" s="2" t="e">
        <f ca="1">_xll.BDH($C$53,"SHORT_TERM_DEBT_5_YEAR_GROWTH","FQ1 2016","FQ1 2016","Currency=INR","Period=FQ","BEST_FPERIOD_OVERRIDE=FQ","FILING_STATUS=OR","EQY_CONSOLIDATED=Y","Sort=A","Dates=H","DateFormat=P","Fill=—","Direction=H","UseDPDF=Y")</f>
        <v>#NAME?</v>
      </c>
      <c r="BA64" s="2" t="e">
        <f ca="1">_xll.BDH($C$53,"TOTAL_DEBT_5_YEAR_GROWTH","FQ1 2016","FQ1 2016","Currency=INR","Period=FQ","BEST_FPERIOD_OVERRIDE=FQ","FILING_STATUS=OR","EQY_CONSOLIDATED=Y","Sort=A","Dates=H","DateFormat=P","Fill=—","Direction=H","UseDPDF=Y")</f>
        <v>#NAME?</v>
      </c>
      <c r="BB64" s="2" t="e">
        <f ca="1">_xll.BDH($C$53,"GEO_GROW_TOT_SHRHLDR_EQY","FQ1 2016","FQ1 2016","Currency=INR","Period=FQ","BEST_FPERIOD_OVERRIDE=FQ","FILING_STATUS=OR","EQY_CONSOLIDATED=Y","Sort=A","Dates=H","DateFormat=P","Fill=—","Direction=H","UseDPDF=Y")</f>
        <v>#NAME?</v>
      </c>
      <c r="BC64" s="2" t="e">
        <f ca="1">_xll.BDH($C$53,"TOTAL_CAPITAL_5_YEAR_GROWTH","FQ1 2016","FQ1 2016","Currency=INR","Period=FQ","BEST_FPERIOD_OVERRIDE=FQ","FILING_STATUS=OR","EQY_CONSOLIDATED=Y","Sort=A","Dates=H","DateFormat=P","Fill=—","Direction=H","UseDPDF=Y")</f>
        <v>#NAME?</v>
      </c>
      <c r="BD64" s="2" t="e">
        <f ca="1">_xll.BDH($C$53,"GEO_GROW_BOOK_VAL","FQ1 2016","FQ1 2016","Currency=INR","Period=FQ","BEST_FPERIOD_OVERRIDE=FQ","FILING_STATUS=OR","EQY_CONSOLIDATED=Y","Sort=A","Dates=H","DateFormat=P","Fill=—","Direction=H","UseDPDF=Y")</f>
        <v>#NAME?</v>
      </c>
      <c r="BE64" s="2" t="e">
        <f ca="1">_xll.BDH($C$53,"GEO_GROW_CASH_OPER_ACT","FQ1 2016","FQ1 2016","Currency=INR","Period=FQ","BEST_FPERIOD_OVERRIDE=FQ","FILING_STATUS=OR","EQY_CONSOLIDATED=Y","Sort=A","Dates=H","DateFormat=P","Fill=—","Direction=H","UseDPDF=Y")</f>
        <v>#NAME?</v>
      </c>
      <c r="BF64" s="2" t="e">
        <f ca="1">_xll.BDH($C$53,"REVENUE_SEQUENTIAL_GROWTH","FQ1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64" s="2" t="e">
        <f ca="1">_xll.BDH($C$53,"EBITDA_SEQUENTIAL_GROWTH","FQ1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64" s="2" t="e">
        <f ca="1">_xll.BDH($C$53,"OPERATING_INCOME_SEQ_GROWTH","FQ1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64" s="2" t="e">
        <f ca="1">_xll.BDH($C$53,"NET_INCOME_TO_COMMON_SEQ_GROWTH","FQ1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64" s="2" t="e">
        <f ca="1">_xll.BDH($C$53,"EPS_DILUTED_SEQUENTIAL_GROWTH","FQ1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64" s="2" t="e">
        <f ca="1">_xll.BDH($C$53,"DPS_SEQUENTIAL_GROWTH","FQ1 2016","FQ1 2016","Currency=INR","Period=FQ","BEST_FPERIOD_OVERRIDE=FQ","FILING_STATUS=OR","EQY_CONSOLIDATED=Y","Sort=A","Dates=H","DateFormat=P","Fill=—","Direction=H","UseDPDF=Y")</f>
        <v>#NAME?</v>
      </c>
      <c r="BL64" s="2" t="e">
        <f ca="1">_xll.BDH($C$53,"ACCOUNTS_RECEIVABLE_SEQ_GROWTH","FQ1 2016","FQ1 2016","Currency=INR","Period=FQ","BEST_FPERIOD_OVERRIDE=FQ","FILING_STATUS=OR","EQY_CONSOLIDATED=Y","Sort=A","Dates=H","DateFormat=P","Fill=—","Direction=H","UseDPDF=Y")</f>
        <v>#NAME?</v>
      </c>
      <c r="BM64" s="2" t="e">
        <f ca="1">_xll.BDH($C$53,"INVENTORY_SEQUENTIAL_GROWTH","FQ1 2016","FQ1 2016","Currency=INR","Period=FQ","BEST_FPERIOD_OVERRIDE=FQ","FILING_STATUS=OR","EQY_CONSOLIDATED=Y","Sort=A","Dates=H","DateFormat=P","Fill=—","Direction=H","UseDPDF=Y")</f>
        <v>#NAME?</v>
      </c>
      <c r="BN64" s="2" t="e">
        <f ca="1">_xll.BDH($C$53,"FIXED_ASSETS_SEQUENTIAL_GROWTH","FQ1 2016","FQ1 2016","Currency=INR","Period=FQ","BEST_FPERIOD_OVERRIDE=FQ","FILING_STATUS=OR","EQY_CONSOLIDATED=Y","Sort=A","Dates=H","DateFormat=P","Fill=—","Direction=H","UseDPDF=Y")</f>
        <v>#NAME?</v>
      </c>
      <c r="BO64" s="2" t="e">
        <f ca="1">_xll.BDH($C$53,"TOTAL_ASSETS_SEQUENTIAL_GROWTH","FQ1 2016","FQ1 2016","Currency=INR","Period=FQ","BEST_FPERIOD_OVERRIDE=FQ","FILING_STATUS=OR","EQY_CONSOLIDATED=Y","Sort=A","Dates=H","DateFormat=P","Fill=—","Direction=H","UseDPDF=Y")</f>
        <v>#NAME?</v>
      </c>
      <c r="BP64" s="2" t="e">
        <f ca="1">_xll.BDH($C$53,"MODIFIED_WORKING_CPTL_SEQ_GRWTH","FQ1 2016","FQ1 2016","Currency=INR","Period=FQ","BEST_FPERIOD_OVERRIDE=FQ","FILING_STATUS=OR","EQY_CONSOLIDATED=Y","Sort=A","Dates=H","DateFormat=P","Fill=—","Direction=H","UseDPDF=Y")</f>
        <v>#NAME?</v>
      </c>
      <c r="BQ64" s="2" t="e">
        <f ca="1">_xll.BDH($C$53,"WORKING_CAPITAL_SEQ_GROWTH","FQ1 2016","FQ1 2016","Currency=INR","Period=FQ","BEST_FPERIOD_OVERRIDE=FQ","FILING_STATUS=OR","EQY_CONSOLIDATED=Y","Sort=A","Dates=H","DateFormat=P","Fill=—","Direction=H","UseDPDF=Y")</f>
        <v>#NAME?</v>
      </c>
      <c r="BR64" s="2" t="e">
        <f ca="1">_xll.BDH($C$53,"ACCOUNTS_PAYABLE_SEQ_GROWTH","FQ1 2016","FQ1 2016","Currency=INR","Period=FQ","BEST_FPERIOD_OVERRIDE=FQ","FILING_STATUS=OR","EQY_CONSOLIDATED=Y","Sort=A","Dates=H","DateFormat=P","Fill=—","Direction=H","UseDPDF=Y")</f>
        <v>#NAME?</v>
      </c>
      <c r="BS64" s="2" t="e">
        <f ca="1">_xll.BDH($C$53,"ST_DEBT_SEQUENTIAL_GROWTH","FQ1 2016","FQ1 2016","Currency=INR","Period=FQ","BEST_FPERIOD_OVERRIDE=FQ","FILING_STATUS=OR","EQY_CONSOLIDATED=Y","Sort=A","Dates=H","DateFormat=P","Fill=—","Direction=H","UseDPDF=Y")</f>
        <v>#NAME?</v>
      </c>
      <c r="BT64" s="2" t="e">
        <f ca="1">_xll.BDH($C$53,"TOTAL_DEBT_SEQUENTIAL_GROWTH","FQ1 2016","FQ1 2016","Currency=INR","Period=FQ","BEST_FPERIOD_OVERRIDE=FQ","FILING_STATUS=OR","EQY_CONSOLIDATED=Y","Sort=A","Dates=H","DateFormat=P","Fill=—","Direction=H","UseDPDF=Y")</f>
        <v>#NAME?</v>
      </c>
      <c r="BU64" s="2" t="e">
        <f ca="1">_xll.BDH($C$53,"TOTAL_EQUITY_SEQUENTIAL_GROWTH","FQ1 2016","FQ1 2016","Currency=INR","Period=FQ","BEST_FPERIOD_OVERRIDE=FQ","FILING_STATUS=OR","EQY_CONSOLIDATED=Y","Sort=A","Dates=H","DateFormat=P","Fill=—","Direction=H","UseDPDF=Y")</f>
        <v>#NAME?</v>
      </c>
      <c r="BV64" s="2" t="e">
        <f ca="1">_xll.BDH($C$53,"TOTAL_CAPITAL_SEQUENTIAL_GROWTH","FQ1 2016","FQ1 2016","Currency=INR","Period=FQ","BEST_FPERIOD_OVERRIDE=FQ","FILING_STATUS=OR","EQY_CONSOLIDATED=Y","Sort=A","Dates=H","DateFormat=P","Fill=—","Direction=H","UseDPDF=Y")</f>
        <v>#NAME?</v>
      </c>
      <c r="BW64" s="2" t="e">
        <f ca="1">_xll.BDH($C$53,"BPS_SEQUENTIAL_GROWTH","FQ1 2016","FQ1 2016","Currency=INR","Period=FQ","BEST_FPERIOD_OVERRIDE=FQ","FILING_STATUS=OR","EQY_CONSOLIDATED=Y","Sort=A","Dates=H","DateFormat=P","Fill=—","Direction=H","UseDPDF=Y")</f>
        <v>#NAME?</v>
      </c>
      <c r="BX64" s="2" t="e">
        <f ca="1">_xll.BDH($C$53,"CFO_SEQUENTIAL_GROWTH","FQ1 2016","FQ1 2016","Currency=INR","Period=FQ","BEST_FPERIOD_OVERRIDE=FQ","FILING_STATUS=OR","EQY_CONSOLIDATED=Y","Sort=A","Dates=H","DateFormat=P","Fill=—","Direction=H","UseDPDF=Y")</f>
        <v>#NAME?</v>
      </c>
      <c r="BY64" s="3" t="e">
        <f ca="1">_xll.BDH($C$53,"SHORT_AND_LONG_TERM_DEBT","FQ1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64" s="3" t="e">
        <f ca="1">_xll.BDH($C$53,"BS_ST_BORROW","FQ1 2016","FQ1 2016","Currency=INR","Period=FQ","BEST_FPERIOD_OVERRIDE=FQ","FILING_STATUS=OR","EQY_CONSOLIDATED=Y","SCALING_FORMAT=MLN","Sort=A","Dates=H","DateFormat=P","Fill=—","Direction=H","UseDPDF=Y")</f>
        <v>#NAME?</v>
      </c>
      <c r="CA64" s="3" t="e">
        <f ca="1">_xll.BDH($C$53,"BS_LT_BORROW","FQ1 2016","FQ1 2016","Currency=INR","Period=FQ","BEST_FPERIOD_OVERRIDE=FQ","FILING_STATUS=OR","EQY_CONSOLIDATED=Y","SCALING_FORMAT=MLN","Sort=A","Dates=H","DateFormat=P","Fill=—","Direction=H","UseDPDF=Y")</f>
        <v>#NAME?</v>
      </c>
      <c r="CB64" s="2" t="e">
        <f ca="1">_xll.BDH($C$53,"TOT_DEBT_TO_EBITDA","FQ1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64" s="2" t="e">
        <f ca="1">_xll.BDH($C$53,"NET_DEBT_TO_EBITDA","FQ1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64" s="2" t="e">
        <f ca="1">_xll.BDH($C$53,"TOTAL_DEBT_TO_EBIT","FQ1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64" s="2" t="e">
        <f ca="1">_xll.BDH($C$53,"NET_DEBT_TO_EBIT","FQ1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64" s="2" t="e">
        <f ca="1">_xll.BDH($C$53,"EBITDA_TO_INTEREST_EXPN","FQ1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64" s="2" t="e">
        <f ca="1">_xll.BDH($C$53,"COM_EQY_TO_TOT_ASSET","FQ1 2016","FQ1 2016","Currency=INR","Period=FQ","BEST_FPERIOD_OVERRIDE=FQ","FILING_STATUS=OR","EQY_CONSOLIDATED=Y","Sort=A","Dates=H","DateFormat=P","Fill=—","Direction=H","UseDPDF=Y")</f>
        <v>#NAME?</v>
      </c>
      <c r="CH64" s="2" t="e">
        <f ca="1">_xll.BDH($C$53,"LT_DEBT_TO_TOT_EQY","FQ1 2016","FQ1 2016","Currency=INR","Period=FQ","BEST_FPERIOD_OVERRIDE=FQ","FILING_STATUS=OR","EQY_CONSOLIDATED=Y","Sort=A","Dates=H","DateFormat=P","Fill=—","Direction=H","UseDPDF=Y")</f>
        <v>#NAME?</v>
      </c>
      <c r="CI64" s="2" t="e">
        <f ca="1">_xll.BDH($C$53,"LT_DEBT_TO_TOT_CAP","FQ1 2016","FQ1 2016","Currency=INR","Period=FQ","BEST_FPERIOD_OVERRIDE=FQ","FILING_STATUS=OR","EQY_CONSOLIDATED=Y","Sort=A","Dates=H","DateFormat=P","Fill=—","Direction=H","UseDPDF=Y")</f>
        <v>#NAME?</v>
      </c>
      <c r="CJ64" s="2" t="e">
        <f ca="1">_xll.BDH($C$53,"LT_DEBT_TO_TOT_ASSET","FQ1 2016","FQ1 2016","Currency=INR","Period=FQ","BEST_FPERIOD_OVERRIDE=FQ","FILING_STATUS=OR","EQY_CONSOLIDATED=Y","Sort=A","Dates=H","DateFormat=P","Fill=—","Direction=H","UseDPDF=Y")</f>
        <v>#NAME?</v>
      </c>
      <c r="CK64" s="2" t="e">
        <f ca="1">_xll.BDH($C$53,"TOT_DEBT_TO_TOT_EQY","FQ1 2016","FQ1 2016","Currency=INR","Period=FQ","BEST_FPERIOD_OVERRIDE=FQ","FILING_STATUS=OR","EQY_CONSOLIDATED=Y","Sort=A","Dates=H","DateFormat=P","Fill=—","Direction=H","UseDPDF=Y")</f>
        <v>#NAME?</v>
      </c>
      <c r="CL64" s="2" t="e">
        <f ca="1">_xll.BDH($C$53,"TOT_DEBT_TO_TOT_CAP","FQ1 2016","FQ1 2016","Currency=INR","Period=FQ","BEST_FPERIOD_OVERRIDE=FQ","FILING_STATUS=OR","EQY_CONSOLIDATED=Y","Sort=A","Dates=H","DateFormat=P","Fill=—","Direction=H","UseDPDF=Y")</f>
        <v>#NAME?</v>
      </c>
      <c r="CM64" s="2" t="e">
        <f ca="1">_xll.BDH($C$53,"TOT_DEBT_TO_TOT_ASSET","FQ1 2016","FQ1 2016","Currency=INR","Period=FQ","BEST_FPERIOD_OVERRIDE=FQ","FILING_STATUS=OR","EQY_CONSOLIDATED=Y","Sort=A","Dates=H","DateFormat=P","Fill=—","Direction=H","UseDPDF=Y")</f>
        <v>#NAME?</v>
      </c>
      <c r="CN64" s="2" t="e">
        <f ca="1">_xll.BDH($C$53,"NET_DEBT_TO_SHRHLDR_EQTY","FQ1 2016","FQ1 2016","Currency=INR","Period=FQ","BEST_FPERIOD_OVERRIDE=FQ","FILING_STATUS=OR","EQY_CONSOLIDATED=Y","Sort=A","Dates=H","DateFormat=P","Fill=—","Direction=H","UseDPDF=Y")</f>
        <v>#NAME?</v>
      </c>
      <c r="CO64" s="2" t="e">
        <f ca="1">_xll.BDH($C$53,"NET_DEBT_%_CAPITAL","FQ1 2016","FQ1 2016","Currency=INR","Period=FQ","BEST_FPERIOD_OVERRIDE=FQ","FILING_STATUS=OR","EQY_CONSOLIDATED=Y","Sort=A","Dates=H","DateFormat=P","Fill=—","Direction=H","UseDPDF=Y")</f>
        <v>#NAME?</v>
      </c>
      <c r="CP64" s="3" t="e">
        <f ca="1">_xll.BDH($C$53,"EBITDA","FQ1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64" s="3" t="e">
        <f ca="1">_xll.BDH($C$53,"EBITDA_AFTER_CAPEX","FQ1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64" s="3" t="e">
        <f ca="1">_xll.BDH($C$53,"IS_OPER_INC","FQ1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64" s="2" t="e">
        <f ca="1">_xll.BDH($C$53,"CASH_RATIO","FQ1 2016","FQ1 2016","Currency=INR","Period=FQ","BEST_FPERIOD_OVERRIDE=FQ","FILING_STATUS=OR","EQY_CONSOLIDATED=Y","Sort=A","Dates=H","DateFormat=P","Fill=—","Direction=H","UseDPDF=Y")</f>
        <v>#NAME?</v>
      </c>
      <c r="CT64" s="2" t="e">
        <f ca="1">_xll.BDH($C$53,"CUR_RATIO","FQ1 2016","FQ1 2016","Currency=INR","Period=FQ","BEST_FPERIOD_OVERRIDE=FQ","FILING_STATUS=OR","EQY_CONSOLIDATED=Y","Sort=A","Dates=H","DateFormat=P","Fill=—","Direction=H","UseDPDF=Y")</f>
        <v>#NAME?</v>
      </c>
      <c r="CU64" s="2" t="e">
        <f ca="1">_xll.BDH($C$53,"QUICK_RATIO","FQ1 2016","FQ1 2016","Currency=INR","Period=FQ","BEST_FPERIOD_OVERRIDE=FQ","FILING_STATUS=OR","EQY_CONSOLIDATED=Y","Sort=A","Dates=H","DateFormat=P","Fill=—","Direction=H","UseDPDF=Y")</f>
        <v>#NAME?</v>
      </c>
      <c r="CV64" s="2" t="e">
        <f ca="1">_xll.BDH($C$53,"ALTMAN_Z_SCORE","FQ1 2016","FQ1 2016","Currency=INR","Period=FQ","BEST_FPERIOD_OVERRIDE=FQ","FILING_STATUS=OR","EQY_CONSOLIDATED=Y","Sort=A","Dates=H","DateFormat=P","Fill=—","Direction=H","UseDPDF=Y")</f>
        <v>#NAME?</v>
      </c>
      <c r="CW64" s="4" t="e">
        <f ca="1">_xll.BDH($C$53,"ACCT_RCV_TURN","FQ1 2016","FQ1 2016","Currency=INR","Period=FQ","BEST_FPERIOD_OVERRIDE=FQ","FILING_STATUS=OR","EQY_CONSOLIDATED=Y","FA_ADJUSTED=GAAP","Sort=A","Dates=H","DateFormat=P","Fill=—","Direction=H","UseDPDF=Y")</f>
        <v>#NAME?</v>
      </c>
      <c r="CX64" s="2" t="e">
        <f ca="1">_xll.BDH($C$53,"ACCT_RCV_DAYS","FQ1 2016","FQ1 2016","Currency=INR","Period=FQ","BEST_FPERIOD_OVERRIDE=FQ","FILING_STATUS=OR","EQY_CONSOLIDATED=Y","FA_ADJUSTED=GAAP","Sort=A","Dates=H","DateFormat=P","Fill=—","Direction=H","UseDPDF=Y")</f>
        <v>#NAME?</v>
      </c>
      <c r="CY64" s="4" t="e">
        <f ca="1">_xll.BDH($C$53,"INVENT_TURN","FQ1 2016","FQ1 2016","Currency=INR","Period=FQ","BEST_FPERIOD_OVERRIDE=FQ","FILING_STATUS=OR","EQY_CONSOLIDATED=Y","FA_ADJUSTED=GAAP","Sort=A","Dates=H","DateFormat=P","Fill=—","Direction=H","UseDPDF=Y")</f>
        <v>#NAME?</v>
      </c>
      <c r="CZ64" s="2" t="e">
        <f ca="1">_xll.BDH($C$53,"INVENT_DAYS","FQ1 2016","FQ1 2016","Currency=INR","Period=FQ","BEST_FPERIOD_OVERRIDE=FQ","FILING_STATUS=OR","EQY_CONSOLIDATED=Y","FA_ADJUSTED=GAAP","Sort=A","Dates=H","DateFormat=P","Fill=—","Direction=H","UseDPDF=Y")</f>
        <v>#NAME?</v>
      </c>
      <c r="DA64" s="4" t="e">
        <f ca="1">_xll.BDH($C$53,"ACCOUNTS_PAYABLE_TURNOVER","FQ1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64" s="2" t="e">
        <f ca="1">_xll.BDH($C$53,"ACCOUNTS_PAYABLE_TURNOVER_DAYS","FQ1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64" s="4" t="e">
        <f ca="1">_xll.BDH($C$53,"CASH_CONVERSION_CYCLE","FQ1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64" s="4" t="e">
        <f ca="1">_xll.BDH($C$53,"INV_TO_CASH_DAYS","FQ1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64" s="5" t="e">
        <f ca="1">_xll.BDH($C$53,"BS_INVENTORIES","FQ1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64" s="3" t="e">
        <f ca="1">_xll.BDH($C$53,"INVTRY_RAW_MATERIALS","FQ1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64" s="3" t="e">
        <f ca="1">_xll.BDH($C$53,"INVTRY_IN_PROGRESS","FQ1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64" s="3" t="e">
        <f ca="1">_xll.BDH($C$53,"INVTRY_FINISHED_GOODS","FQ1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64" s="3" t="e">
        <f ca="1">_xll.BDH($C$53,"BS_OTHER_INV","FQ1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65" spans="1:113" x14ac:dyDescent="0.3">
      <c r="A65" s="6"/>
      <c r="B65" s="6"/>
      <c r="C65" s="6"/>
      <c r="D65" s="6"/>
      <c r="E65" t="s">
        <v>79</v>
      </c>
      <c r="F65" t="e">
        <f ca="1">_xll.BDH($C$53,"RETURN_COM_EQY","FQ2 2016","FQ2 2016","Currency=INR","Period=FQ","BEST_FPERIOD_OVERRIDE=FQ","FILING_STATUS=OR","EQY_CONSOLIDATED=Y","FA_ADJUSTED=GAAP","Sort=A","Dates=H","DateFormat=P","Fill=—","Direction=H","UseDPDF=Y")</f>
        <v>#NAME?</v>
      </c>
      <c r="G65" t="e">
        <f ca="1">_xll.BDH($C$53,"RETURN_ON_ASSET","FQ2 2016","FQ2 2016","Currency=INR","Period=FQ","BEST_FPERIOD_OVERRIDE=FQ","FILING_STATUS=OR","EQY_CONSOLIDATED=Y","FA_ADJUSTED=GAAP","Sort=A","Dates=H","DateFormat=P","Fill=—","Direction=H","UseDPDF=Y")</f>
        <v>#NAME?</v>
      </c>
      <c r="H65" t="e">
        <f ca="1">_xll.BDH($C$53,"RETURN_ON_CAP","FQ2 2016","FQ2 2016","Currency=INR","Period=FQ","BEST_FPERIOD_OVERRIDE=FQ","FILING_STATUS=OR","EQY_CONSOLIDATED=Y","FA_ADJUSTED=GAAP","Sort=A","Dates=H","DateFormat=P","Fill=—","Direction=H","UseDPDF=Y")</f>
        <v>#NAME?</v>
      </c>
      <c r="I65" t="e">
        <f ca="1">_xll.BDH($C$53,"RETURN_ON_INV_CAPITAL","FQ2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65" t="e">
        <f ca="1">_xll.BDH($C$53,"EBITDA_TO_REVENUE","FQ2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65" t="e">
        <f ca="1">_xll.BDH($C$53,"OPER_MARGIN","FQ2 2016","FQ2 2016","Currency=INR","Period=FQ","BEST_FPERIOD_OVERRIDE=FQ","FILING_STATUS=OR","EQY_CONSOLIDATED=Y","FA_ADJUSTED=GAAP","Sort=A","Dates=H","DateFormat=P","Fill=—","Direction=H","UseDPDF=Y")</f>
        <v>#NAME?</v>
      </c>
      <c r="L65" t="e">
        <f ca="1">_xll.BDH($C$53,"INCREMENTAL_OPERATING_MARGIN","FQ2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65" t="e">
        <f ca="1">_xll.BDH($C$53,"PRETAX_INC_TO_NET_SALES","FQ2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65" t="e">
        <f ca="1">_xll.BDH($C$53,"INC_BEF_XO_ITEMS_TO_NET_SALES","FQ2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65" t="e">
        <f ca="1">_xll.BDH($C$53,"PROF_MARGIN","FQ2 2016","FQ2 2016","Currency=INR","Period=FQ","BEST_FPERIOD_OVERRIDE=FQ","FILING_STATUS=OR","EQY_CONSOLIDATED=Y","FA_ADJUSTED=GAAP","Sort=A","Dates=H","DateFormat=P","Fill=—","Direction=H","UseDPDF=Y")</f>
        <v>#NAME?</v>
      </c>
      <c r="P65" t="e">
        <f ca="1">_xll.BDH($C$53,"NET_INCOME_TO_COMMON_MARGIN","FQ2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65" t="e">
        <f ca="1">_xll.BDH($C$53,"EFF_TAX_RATE","FQ2 2016","FQ2 2016","Currency=INR","Period=FQ","BEST_FPERIOD_OVERRIDE=FQ","FILING_STATUS=OR","EQY_CONSOLIDATED=Y","FA_ADJUSTED=GAAP","Sort=A","Dates=H","DateFormat=P","Fill=—","Direction=H","UseDPDF=Y")</f>
        <v>#NAME?</v>
      </c>
      <c r="R65" t="e">
        <f ca="1">_xll.BDH($C$53,"DVD_PAYOUT_RATIO","FQ2 2016","FQ2 2016","Currency=INR","Period=FQ","BEST_FPERIOD_OVERRIDE=FQ","FILING_STATUS=OR","EQY_CONSOLIDATED=Y","FA_ADJUSTED=GAAP","Sort=A","Dates=H","DateFormat=P","Fill=—","Direction=H","UseDPDF=Y")</f>
        <v>#NAME?</v>
      </c>
      <c r="S65" t="e">
        <f ca="1">_xll.BDH($C$53,"SUSTAIN_GROWTH_RT","FQ2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65" s="2" t="e">
        <f ca="1">_xll.BDH($C$53,"SALES_GROWTH","FQ2 2016","FQ2 2016","Currency=INR","Period=FQ","BEST_FPERIOD_OVERRIDE=FQ","FILING_STATUS=OR","EQY_CONSOLIDATED=Y","FA_ADJUSTED=GAAP","Sort=A","Dates=H","DateFormat=P","Fill=—","Direction=H","UseDPDF=Y")</f>
        <v>#NAME?</v>
      </c>
      <c r="U65" s="2" t="e">
        <f ca="1">_xll.BDH($C$53,"EBITDA_GROWTH","FQ2 2016","FQ2 2016","Currency=INR","Period=FQ","BEST_FPERIOD_OVERRIDE=FQ","FILING_STATUS=OR","EQY_CONSOLIDATED=Y","FA_ADJUSTED=GAAP","Sort=A","Dates=H","DateFormat=P","Fill=—","Direction=H","UseDPDF=Y")</f>
        <v>#NAME?</v>
      </c>
      <c r="V65" s="2" t="e">
        <f ca="1">_xll.BDH($C$53,"OPER_INC_GROWTH","FQ2 2016","FQ2 2016","Currency=INR","Period=FQ","BEST_FPERIOD_OVERRIDE=FQ","FILING_STATUS=OR","EQY_CONSOLIDATED=Y","FA_ADJUSTED=GAAP","Sort=A","Dates=H","DateFormat=P","Fill=—","Direction=H","UseDPDF=Y")</f>
        <v>#NAME?</v>
      </c>
      <c r="W65" s="2" t="e">
        <f ca="1">_xll.BDH($C$53,"EARN_FOR_COM_GROWTH","FQ2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65" s="2" t="e">
        <f ca="1">_xll.BDH($C$53,"DILUTED_EPS_AFT_XO_ITEMS_GROWTH","FQ2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65" s="2" t="e">
        <f ca="1">_xll.BDH($C$53,"DIVIDEND_PER_SHARE_1_YEAR_GROWTH","FQ2 2016","FQ2 2016","Currency=INR","Period=FQ","BEST_FPERIOD_OVERRIDE=FQ","FILING_STATUS=OR","EQY_CONSOLIDATED=Y","Sort=A","Dates=H","DateFormat=P","Fill=—","Direction=H","UseDPDF=Y")</f>
        <v>#NAME?</v>
      </c>
      <c r="Z65" s="2" t="e">
        <f ca="1">_xll.BDH($C$53,"ACCOUNTS_RECEIVABLE_GROWTH","FQ2 2016","FQ2 2016","Currency=INR","Period=FQ","BEST_FPERIOD_OVERRIDE=FQ","FILING_STATUS=OR","EQY_CONSOLIDATED=Y","Sort=A","Dates=H","DateFormat=P","Fill=—","Direction=H","UseDPDF=Y")</f>
        <v>#NAME?</v>
      </c>
      <c r="AA65" s="2" t="e">
        <f ca="1">_xll.BDH($C$53,"INVENTORY_GROWTH","FQ2 2016","FQ2 2016","Currency=INR","Period=FQ","BEST_FPERIOD_OVERRIDE=FQ","FILING_STATUS=OR","EQY_CONSOLIDATED=Y","Sort=A","Dates=H","DateFormat=P","Fill=—","Direction=H","UseDPDF=Y")</f>
        <v>#NAME?</v>
      </c>
      <c r="AB65" s="2" t="e">
        <f ca="1">_xll.BDH($C$53,"NET_FIXED_ASSETS_1_YEAR_GROWTH","FQ2 2016","FQ2 2016","Currency=INR","Period=FQ","BEST_FPERIOD_OVERRIDE=FQ","FILING_STATUS=OR","EQY_CONSOLIDATED=Y","Sort=A","Dates=H","DateFormat=P","Fill=—","Direction=H","UseDPDF=Y")</f>
        <v>#NAME?</v>
      </c>
      <c r="AC65" s="2" t="e">
        <f ca="1">_xll.BDH($C$53,"ASSET_GROWTH","FQ2 2016","FQ2 2016","Currency=INR","Period=FQ","BEST_FPERIOD_OVERRIDE=FQ","FILING_STATUS=OR","EQY_CONSOLIDATED=Y","Sort=A","Dates=H","DateFormat=P","Fill=—","Direction=H","UseDPDF=Y")</f>
        <v>#NAME?</v>
      </c>
      <c r="AD65" s="2" t="e">
        <f ca="1">_xll.BDH($C$53,"MODIFIED_WORK_CAP_GROWTH","FQ2 2016","FQ2 2016","Currency=INR","Period=FQ","BEST_FPERIOD_OVERRIDE=FQ","FILING_STATUS=OR","EQY_CONSOLIDATED=Y","Sort=A","Dates=H","DateFormat=P","Fill=—","Direction=H","UseDPDF=Y")</f>
        <v>#NAME?</v>
      </c>
      <c r="AE65" s="2" t="e">
        <f ca="1">_xll.BDH($C$53,"WORK_CAP_GROWTH","FQ2 2016","FQ2 2016","Currency=INR","Period=FQ","BEST_FPERIOD_OVERRIDE=FQ","FILING_STATUS=OR","EQY_CONSOLIDATED=Y","Sort=A","Dates=H","DateFormat=P","Fill=—","Direction=H","UseDPDF=Y")</f>
        <v>#NAME?</v>
      </c>
      <c r="AF65" s="2" t="e">
        <f ca="1">_xll.BDH($C$53,"ACCOUNTS_PAYABLE_GROWTH_1YR","FQ2 2016","FQ2 2016","Currency=INR","Period=FQ","BEST_FPERIOD_OVERRIDE=FQ","FILING_STATUS=OR","EQY_CONSOLIDATED=Y","Sort=A","Dates=H","DateFormat=P","Fill=—","Direction=H","UseDPDF=Y")</f>
        <v>#NAME?</v>
      </c>
      <c r="AG65" s="2" t="e">
        <f ca="1">_xll.BDH($C$53,"SHORT_TERM_DEBT_1_YEAR_GROWTH","FQ2 2016","FQ2 2016","Currency=INR","Period=FQ","BEST_FPERIOD_OVERRIDE=FQ","FILING_STATUS=OR","EQY_CONSOLIDATED=Y","Sort=A","Dates=H","DateFormat=P","Fill=—","Direction=H","UseDPDF=Y")</f>
        <v>#NAME?</v>
      </c>
      <c r="AH65" s="2" t="e">
        <f ca="1">_xll.BDH($C$53,"TOTAL_DEBT_1_YEAR_GROWTH","FQ2 2016","FQ2 2016","Currency=INR","Period=FQ","BEST_FPERIOD_OVERRIDE=FQ","FILING_STATUS=OR","EQY_CONSOLIDATED=Y","Sort=A","Dates=H","DateFormat=P","Fill=—","Direction=H","UseDPDF=Y")</f>
        <v>#NAME?</v>
      </c>
      <c r="AI65" s="2" t="e">
        <f ca="1">_xll.BDH($C$53,"TOTAL_EQUITY_1_YEAR_GROWTH","FQ2 2016","FQ2 2016","Currency=INR","Period=FQ","BEST_FPERIOD_OVERRIDE=FQ","FILING_STATUS=OR","EQY_CONSOLIDATED=Y","Sort=A","Dates=H","DateFormat=P","Fill=—","Direction=H","UseDPDF=Y")</f>
        <v>#NAME?</v>
      </c>
      <c r="AJ65" s="2" t="e">
        <f ca="1">_xll.BDH($C$53,"GROWTH_IN_CAP","FQ2 2016","FQ2 2016","Currency=INR","Period=FQ","BEST_FPERIOD_OVERRIDE=FQ","FILING_STATUS=OR","EQY_CONSOLIDATED=Y","Sort=A","Dates=H","DateFormat=P","Fill=—","Direction=H","UseDPDF=Y")</f>
        <v>#NAME?</v>
      </c>
      <c r="AK65" s="2" t="e">
        <f ca="1">_xll.BDH($C$53,"BVPS_GROWTH","FQ2 2016","FQ2 2016","Currency=INR","Period=FQ","BEST_FPERIOD_OVERRIDE=FQ","FILING_STATUS=OR","EQY_CONSOLIDATED=Y","Sort=A","Dates=H","DateFormat=P","Fill=—","Direction=H","UseDPDF=Y")</f>
        <v>#NAME?</v>
      </c>
      <c r="AL65" s="2" t="e">
        <f ca="1">_xll.BDH($C$53,"CASH_FLOW_GROWTH","FQ2 2016","FQ2 2016","Currency=INR","Period=FQ","BEST_FPERIOD_OVERRIDE=FQ","FILING_STATUS=OR","EQY_CONSOLIDATED=Y","Sort=A","Dates=H","DateFormat=P","Fill=—","Direction=H","UseDPDF=Y")</f>
        <v>#NAME?</v>
      </c>
      <c r="AM65" s="2" t="e">
        <f ca="1">_xll.BDH($C$53,"GEO_GROW_NET_SALES","FQ2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65" s="2" t="e">
        <f ca="1">_xll.BDH($C$53,"GEO_GROW_EBITDA","FQ2 2016","FQ2 2016","Currency=INR","Period=FQ","BEST_FPERIOD_OVERRIDE=FQ","FILING_STATUS=OR","EQY_CONSOLIDATED=Y","FA_ADJUSTED=GAAP","Sort=A","Dates=H","DateFormat=P","Fill=—","Direction=H","UseDPDF=Y")</f>
        <v>#NAME?</v>
      </c>
      <c r="AO65" s="2" t="e">
        <f ca="1">_xll.BDH($C$53,"GEO_GROW_OPER_INC","FQ2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65" s="2" t="e">
        <f ca="1">_xll.BDH($C$53,"NET_INCOME_TO_COMMON_5_YR_GROWTH","FQ2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65" s="2" t="e">
        <f ca="1">_xll.BDH($C$53,"5Y_GEO_GROWTH_DILUTED_EPS","FQ2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65" s="2" t="e">
        <f ca="1">_xll.BDH($C$53,"GEO_GROW_DVD_PER_SH","FQ2 2016","FQ2 2016","Currency=INR","Period=FQ","BEST_FPERIOD_OVERRIDE=FQ","FILING_STATUS=OR","EQY_CONSOLIDATED=Y","Sort=A","Dates=H","DateFormat=P","Fill=—","Direction=H","UseDPDF=Y")</f>
        <v>#NAME?</v>
      </c>
      <c r="AS65" s="2" t="e">
        <f ca="1">_xll.BDH($C$53,"ACCOUNTS_RECEIVABLE_5_YR_GROWTH","FQ2 2016","FQ2 2016","Currency=INR","Period=FQ","BEST_FPERIOD_OVERRIDE=FQ","FILING_STATUS=OR","EQY_CONSOLIDATED=Y","Sort=A","Dates=H","DateFormat=P","Fill=—","Direction=H","UseDPDF=Y")</f>
        <v>#NAME?</v>
      </c>
      <c r="AT65" s="2" t="e">
        <f ca="1">_xll.BDH($C$53,"INVENTORY_5_YEAR_GROWTH","FQ2 2016","FQ2 2016","Currency=INR","Period=FQ","BEST_FPERIOD_OVERRIDE=FQ","FILING_STATUS=OR","EQY_CONSOLIDATED=Y","Sort=A","Dates=H","DateFormat=P","Fill=—","Direction=H","UseDPDF=Y")</f>
        <v>#NAME?</v>
      </c>
      <c r="AU65" s="2" t="e">
        <f ca="1">_xll.BDH($C$53,"NET_FIXED_ASSETS_5_YEAR_GROWTH","FQ2 2016","FQ2 2016","Currency=INR","Period=FQ","BEST_FPERIOD_OVERRIDE=FQ","FILING_STATUS=OR","EQY_CONSOLIDATED=Y","Sort=A","Dates=H","DateFormat=P","Fill=—","Direction=H","UseDPDF=Y")</f>
        <v>#NAME?</v>
      </c>
      <c r="AV65" s="2" t="e">
        <f ca="1">_xll.BDH($C$53,"GEO_GROW_TOT_ASSET","FQ2 2016","FQ2 2016","Currency=INR","Period=FQ","BEST_FPERIOD_OVERRIDE=FQ","FILING_STATUS=OR","EQY_CONSOLIDATED=Y","Sort=A","Dates=H","DateFormat=P","Fill=—","Direction=H","UseDPDF=Y")</f>
        <v>#NAME?</v>
      </c>
      <c r="AW65" s="2" t="e">
        <f ca="1">_xll.BDH($C$53,"MODIFIED_WORKING_CPTL_5YR_GRWTH","FQ2 2016","FQ2 2016","Currency=INR","Period=FQ","BEST_FPERIOD_OVERRIDE=FQ","FILING_STATUS=OR","EQY_CONSOLIDATED=Y","Sort=A","Dates=H","DateFormat=P","Fill=—","Direction=H","UseDPDF=Y")</f>
        <v>#NAME?</v>
      </c>
      <c r="AX65" s="2" t="e">
        <f ca="1">_xll.BDH($C$53,"WORKING_CAPITAL_5_YEAR_GROWTH","FQ2 2016","FQ2 2016","Currency=INR","Period=FQ","BEST_FPERIOD_OVERRIDE=FQ","FILING_STATUS=OR","EQY_CONSOLIDATED=Y","Sort=A","Dates=H","DateFormat=P","Fill=—","Direction=H","UseDPDF=Y")</f>
        <v>#NAME?</v>
      </c>
      <c r="AY65" s="2" t="e">
        <f ca="1">_xll.BDH($C$53,"ACCOUNTS_PAYABLE_5_YEAR_GROWTH","FQ2 2016","FQ2 2016","Currency=INR","Period=FQ","BEST_FPERIOD_OVERRIDE=FQ","FILING_STATUS=OR","EQY_CONSOLIDATED=Y","Sort=A","Dates=H","DateFormat=P","Fill=—","Direction=H","UseDPDF=Y")</f>
        <v>#NAME?</v>
      </c>
      <c r="AZ65" s="2" t="e">
        <f ca="1">_xll.BDH($C$53,"SHORT_TERM_DEBT_5_YEAR_GROWTH","FQ2 2016","FQ2 2016","Currency=INR","Period=FQ","BEST_FPERIOD_OVERRIDE=FQ","FILING_STATUS=OR","EQY_CONSOLIDATED=Y","Sort=A","Dates=H","DateFormat=P","Fill=—","Direction=H","UseDPDF=Y")</f>
        <v>#NAME?</v>
      </c>
      <c r="BA65" s="2" t="e">
        <f ca="1">_xll.BDH($C$53,"TOTAL_DEBT_5_YEAR_GROWTH","FQ2 2016","FQ2 2016","Currency=INR","Period=FQ","BEST_FPERIOD_OVERRIDE=FQ","FILING_STATUS=OR","EQY_CONSOLIDATED=Y","Sort=A","Dates=H","DateFormat=P","Fill=—","Direction=H","UseDPDF=Y")</f>
        <v>#NAME?</v>
      </c>
      <c r="BB65" s="2" t="e">
        <f ca="1">_xll.BDH($C$53,"GEO_GROW_TOT_SHRHLDR_EQY","FQ2 2016","FQ2 2016","Currency=INR","Period=FQ","BEST_FPERIOD_OVERRIDE=FQ","FILING_STATUS=OR","EQY_CONSOLIDATED=Y","Sort=A","Dates=H","DateFormat=P","Fill=—","Direction=H","UseDPDF=Y")</f>
        <v>#NAME?</v>
      </c>
      <c r="BC65" s="2" t="e">
        <f ca="1">_xll.BDH($C$53,"TOTAL_CAPITAL_5_YEAR_GROWTH","FQ2 2016","FQ2 2016","Currency=INR","Period=FQ","BEST_FPERIOD_OVERRIDE=FQ","FILING_STATUS=OR","EQY_CONSOLIDATED=Y","Sort=A","Dates=H","DateFormat=P","Fill=—","Direction=H","UseDPDF=Y")</f>
        <v>#NAME?</v>
      </c>
      <c r="BD65" s="2" t="e">
        <f ca="1">_xll.BDH($C$53,"GEO_GROW_BOOK_VAL","FQ2 2016","FQ2 2016","Currency=INR","Period=FQ","BEST_FPERIOD_OVERRIDE=FQ","FILING_STATUS=OR","EQY_CONSOLIDATED=Y","Sort=A","Dates=H","DateFormat=P","Fill=—","Direction=H","UseDPDF=Y")</f>
        <v>#NAME?</v>
      </c>
      <c r="BE65" s="2" t="e">
        <f ca="1">_xll.BDH($C$53,"GEO_GROW_CASH_OPER_ACT","FQ2 2016","FQ2 2016","Currency=INR","Period=FQ","BEST_FPERIOD_OVERRIDE=FQ","FILING_STATUS=OR","EQY_CONSOLIDATED=Y","Sort=A","Dates=H","DateFormat=P","Fill=—","Direction=H","UseDPDF=Y")</f>
        <v>#NAME?</v>
      </c>
      <c r="BF65" s="2" t="e">
        <f ca="1">_xll.BDH($C$53,"REVENUE_SEQUENTIAL_GROWTH","FQ2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65" s="2" t="e">
        <f ca="1">_xll.BDH($C$53,"EBITDA_SEQUENTIAL_GROWTH","FQ2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65" s="2" t="e">
        <f ca="1">_xll.BDH($C$53,"OPERATING_INCOME_SEQ_GROWTH","FQ2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65" s="2" t="e">
        <f ca="1">_xll.BDH($C$53,"NET_INCOME_TO_COMMON_SEQ_GROWTH","FQ2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65" s="2" t="e">
        <f ca="1">_xll.BDH($C$53,"EPS_DILUTED_SEQUENTIAL_GROWTH","FQ2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65" s="2" t="e">
        <f ca="1">_xll.BDH($C$53,"DPS_SEQUENTIAL_GROWTH","FQ2 2016","FQ2 2016","Currency=INR","Period=FQ","BEST_FPERIOD_OVERRIDE=FQ","FILING_STATUS=OR","EQY_CONSOLIDATED=Y","Sort=A","Dates=H","DateFormat=P","Fill=—","Direction=H","UseDPDF=Y")</f>
        <v>#NAME?</v>
      </c>
      <c r="BL65" s="2" t="e">
        <f ca="1">_xll.BDH($C$53,"ACCOUNTS_RECEIVABLE_SEQ_GROWTH","FQ2 2016","FQ2 2016","Currency=INR","Period=FQ","BEST_FPERIOD_OVERRIDE=FQ","FILING_STATUS=OR","EQY_CONSOLIDATED=Y","Sort=A","Dates=H","DateFormat=P","Fill=—","Direction=H","UseDPDF=Y")</f>
        <v>#NAME?</v>
      </c>
      <c r="BM65" s="2" t="e">
        <f ca="1">_xll.BDH($C$53,"INVENTORY_SEQUENTIAL_GROWTH","FQ2 2016","FQ2 2016","Currency=INR","Period=FQ","BEST_FPERIOD_OVERRIDE=FQ","FILING_STATUS=OR","EQY_CONSOLIDATED=Y","Sort=A","Dates=H","DateFormat=P","Fill=—","Direction=H","UseDPDF=Y")</f>
        <v>#NAME?</v>
      </c>
      <c r="BN65" s="2" t="e">
        <f ca="1">_xll.BDH($C$53,"FIXED_ASSETS_SEQUENTIAL_GROWTH","FQ2 2016","FQ2 2016","Currency=INR","Period=FQ","BEST_FPERIOD_OVERRIDE=FQ","FILING_STATUS=OR","EQY_CONSOLIDATED=Y","Sort=A","Dates=H","DateFormat=P","Fill=—","Direction=H","UseDPDF=Y")</f>
        <v>#NAME?</v>
      </c>
      <c r="BO65" s="2" t="e">
        <f ca="1">_xll.BDH($C$53,"TOTAL_ASSETS_SEQUENTIAL_GROWTH","FQ2 2016","FQ2 2016","Currency=INR","Period=FQ","BEST_FPERIOD_OVERRIDE=FQ","FILING_STATUS=OR","EQY_CONSOLIDATED=Y","Sort=A","Dates=H","DateFormat=P","Fill=—","Direction=H","UseDPDF=Y")</f>
        <v>#NAME?</v>
      </c>
      <c r="BP65" s="2" t="e">
        <f ca="1">_xll.BDH($C$53,"MODIFIED_WORKING_CPTL_SEQ_GRWTH","FQ2 2016","FQ2 2016","Currency=INR","Period=FQ","BEST_FPERIOD_OVERRIDE=FQ","FILING_STATUS=OR","EQY_CONSOLIDATED=Y","Sort=A","Dates=H","DateFormat=P","Fill=—","Direction=H","UseDPDF=Y")</f>
        <v>#NAME?</v>
      </c>
      <c r="BQ65" s="2" t="e">
        <f ca="1">_xll.BDH($C$53,"WORKING_CAPITAL_SEQ_GROWTH","FQ2 2016","FQ2 2016","Currency=INR","Period=FQ","BEST_FPERIOD_OVERRIDE=FQ","FILING_STATUS=OR","EQY_CONSOLIDATED=Y","Sort=A","Dates=H","DateFormat=P","Fill=—","Direction=H","UseDPDF=Y")</f>
        <v>#NAME?</v>
      </c>
      <c r="BR65" s="2" t="e">
        <f ca="1">_xll.BDH($C$53,"ACCOUNTS_PAYABLE_SEQ_GROWTH","FQ2 2016","FQ2 2016","Currency=INR","Period=FQ","BEST_FPERIOD_OVERRIDE=FQ","FILING_STATUS=OR","EQY_CONSOLIDATED=Y","Sort=A","Dates=H","DateFormat=P","Fill=—","Direction=H","UseDPDF=Y")</f>
        <v>#NAME?</v>
      </c>
      <c r="BS65" s="2" t="e">
        <f ca="1">_xll.BDH($C$53,"ST_DEBT_SEQUENTIAL_GROWTH","FQ2 2016","FQ2 2016","Currency=INR","Period=FQ","BEST_FPERIOD_OVERRIDE=FQ","FILING_STATUS=OR","EQY_CONSOLIDATED=Y","Sort=A","Dates=H","DateFormat=P","Fill=—","Direction=H","UseDPDF=Y")</f>
        <v>#NAME?</v>
      </c>
      <c r="BT65" s="2" t="e">
        <f ca="1">_xll.BDH($C$53,"TOTAL_DEBT_SEQUENTIAL_GROWTH","FQ2 2016","FQ2 2016","Currency=INR","Period=FQ","BEST_FPERIOD_OVERRIDE=FQ","FILING_STATUS=OR","EQY_CONSOLIDATED=Y","Sort=A","Dates=H","DateFormat=P","Fill=—","Direction=H","UseDPDF=Y")</f>
        <v>#NAME?</v>
      </c>
      <c r="BU65" s="2" t="e">
        <f ca="1">_xll.BDH($C$53,"TOTAL_EQUITY_SEQUENTIAL_GROWTH","FQ2 2016","FQ2 2016","Currency=INR","Period=FQ","BEST_FPERIOD_OVERRIDE=FQ","FILING_STATUS=OR","EQY_CONSOLIDATED=Y","Sort=A","Dates=H","DateFormat=P","Fill=—","Direction=H","UseDPDF=Y")</f>
        <v>#NAME?</v>
      </c>
      <c r="BV65" s="2" t="e">
        <f ca="1">_xll.BDH($C$53,"TOTAL_CAPITAL_SEQUENTIAL_GROWTH","FQ2 2016","FQ2 2016","Currency=INR","Period=FQ","BEST_FPERIOD_OVERRIDE=FQ","FILING_STATUS=OR","EQY_CONSOLIDATED=Y","Sort=A","Dates=H","DateFormat=P","Fill=—","Direction=H","UseDPDF=Y")</f>
        <v>#NAME?</v>
      </c>
      <c r="BW65" s="2" t="e">
        <f ca="1">_xll.BDH($C$53,"BPS_SEQUENTIAL_GROWTH","FQ2 2016","FQ2 2016","Currency=INR","Period=FQ","BEST_FPERIOD_OVERRIDE=FQ","FILING_STATUS=OR","EQY_CONSOLIDATED=Y","Sort=A","Dates=H","DateFormat=P","Fill=—","Direction=H","UseDPDF=Y")</f>
        <v>#NAME?</v>
      </c>
      <c r="BX65" s="2" t="e">
        <f ca="1">_xll.BDH($C$53,"CFO_SEQUENTIAL_GROWTH","FQ2 2016","FQ2 2016","Currency=INR","Period=FQ","BEST_FPERIOD_OVERRIDE=FQ","FILING_STATUS=OR","EQY_CONSOLIDATED=Y","Sort=A","Dates=H","DateFormat=P","Fill=—","Direction=H","UseDPDF=Y")</f>
        <v>#NAME?</v>
      </c>
      <c r="BY65" s="3" t="e">
        <f ca="1">_xll.BDH($C$53,"SHORT_AND_LONG_TERM_DEBT","FQ2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65" s="3" t="e">
        <f ca="1">_xll.BDH($C$53,"BS_ST_BORROW","FQ2 2016","FQ2 2016","Currency=INR","Period=FQ","BEST_FPERIOD_OVERRIDE=FQ","FILING_STATUS=OR","EQY_CONSOLIDATED=Y","SCALING_FORMAT=MLN","Sort=A","Dates=H","DateFormat=P","Fill=—","Direction=H","UseDPDF=Y")</f>
        <v>#NAME?</v>
      </c>
      <c r="CA65" s="3" t="e">
        <f ca="1">_xll.BDH($C$53,"BS_LT_BORROW","FQ2 2016","FQ2 2016","Currency=INR","Period=FQ","BEST_FPERIOD_OVERRIDE=FQ","FILING_STATUS=OR","EQY_CONSOLIDATED=Y","SCALING_FORMAT=MLN","Sort=A","Dates=H","DateFormat=P","Fill=—","Direction=H","UseDPDF=Y")</f>
        <v>#NAME?</v>
      </c>
      <c r="CB65" s="2" t="e">
        <f ca="1">_xll.BDH($C$53,"TOT_DEBT_TO_EBITDA","FQ2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65" s="2" t="e">
        <f ca="1">_xll.BDH($C$53,"NET_DEBT_TO_EBITDA","FQ2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65" s="2" t="e">
        <f ca="1">_xll.BDH($C$53,"TOTAL_DEBT_TO_EBIT","FQ2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65" s="2" t="e">
        <f ca="1">_xll.BDH($C$53,"NET_DEBT_TO_EBIT","FQ2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65" s="2" t="e">
        <f ca="1">_xll.BDH($C$53,"EBITDA_TO_INTEREST_EXPN","FQ2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65" s="2" t="e">
        <f ca="1">_xll.BDH($C$53,"COM_EQY_TO_TOT_ASSET","FQ2 2016","FQ2 2016","Currency=INR","Period=FQ","BEST_FPERIOD_OVERRIDE=FQ","FILING_STATUS=OR","EQY_CONSOLIDATED=Y","Sort=A","Dates=H","DateFormat=P","Fill=—","Direction=H","UseDPDF=Y")</f>
        <v>#NAME?</v>
      </c>
      <c r="CH65" s="2" t="e">
        <f ca="1">_xll.BDH($C$53,"LT_DEBT_TO_TOT_EQY","FQ2 2016","FQ2 2016","Currency=INR","Period=FQ","BEST_FPERIOD_OVERRIDE=FQ","FILING_STATUS=OR","EQY_CONSOLIDATED=Y","Sort=A","Dates=H","DateFormat=P","Fill=—","Direction=H","UseDPDF=Y")</f>
        <v>#NAME?</v>
      </c>
      <c r="CI65" s="2" t="e">
        <f ca="1">_xll.BDH($C$53,"LT_DEBT_TO_TOT_CAP","FQ2 2016","FQ2 2016","Currency=INR","Period=FQ","BEST_FPERIOD_OVERRIDE=FQ","FILING_STATUS=OR","EQY_CONSOLIDATED=Y","Sort=A","Dates=H","DateFormat=P","Fill=—","Direction=H","UseDPDF=Y")</f>
        <v>#NAME?</v>
      </c>
      <c r="CJ65" s="2" t="e">
        <f ca="1">_xll.BDH($C$53,"LT_DEBT_TO_TOT_ASSET","FQ2 2016","FQ2 2016","Currency=INR","Period=FQ","BEST_FPERIOD_OVERRIDE=FQ","FILING_STATUS=OR","EQY_CONSOLIDATED=Y","Sort=A","Dates=H","DateFormat=P","Fill=—","Direction=H","UseDPDF=Y")</f>
        <v>#NAME?</v>
      </c>
      <c r="CK65" s="2" t="e">
        <f ca="1">_xll.BDH($C$53,"TOT_DEBT_TO_TOT_EQY","FQ2 2016","FQ2 2016","Currency=INR","Period=FQ","BEST_FPERIOD_OVERRIDE=FQ","FILING_STATUS=OR","EQY_CONSOLIDATED=Y","Sort=A","Dates=H","DateFormat=P","Fill=—","Direction=H","UseDPDF=Y")</f>
        <v>#NAME?</v>
      </c>
      <c r="CL65" s="2" t="e">
        <f ca="1">_xll.BDH($C$53,"TOT_DEBT_TO_TOT_CAP","FQ2 2016","FQ2 2016","Currency=INR","Period=FQ","BEST_FPERIOD_OVERRIDE=FQ","FILING_STATUS=OR","EQY_CONSOLIDATED=Y","Sort=A","Dates=H","DateFormat=P","Fill=—","Direction=H","UseDPDF=Y")</f>
        <v>#NAME?</v>
      </c>
      <c r="CM65" s="2" t="e">
        <f ca="1">_xll.BDH($C$53,"TOT_DEBT_TO_TOT_ASSET","FQ2 2016","FQ2 2016","Currency=INR","Period=FQ","BEST_FPERIOD_OVERRIDE=FQ","FILING_STATUS=OR","EQY_CONSOLIDATED=Y","Sort=A","Dates=H","DateFormat=P","Fill=—","Direction=H","UseDPDF=Y")</f>
        <v>#NAME?</v>
      </c>
      <c r="CN65" s="2" t="e">
        <f ca="1">_xll.BDH($C$53,"NET_DEBT_TO_SHRHLDR_EQTY","FQ2 2016","FQ2 2016","Currency=INR","Period=FQ","BEST_FPERIOD_OVERRIDE=FQ","FILING_STATUS=OR","EQY_CONSOLIDATED=Y","Sort=A","Dates=H","DateFormat=P","Fill=—","Direction=H","UseDPDF=Y")</f>
        <v>#NAME?</v>
      </c>
      <c r="CO65" s="2" t="e">
        <f ca="1">_xll.BDH($C$53,"NET_DEBT_%_CAPITAL","FQ2 2016","FQ2 2016","Currency=INR","Period=FQ","BEST_FPERIOD_OVERRIDE=FQ","FILING_STATUS=OR","EQY_CONSOLIDATED=Y","Sort=A","Dates=H","DateFormat=P","Fill=—","Direction=H","UseDPDF=Y")</f>
        <v>#NAME?</v>
      </c>
      <c r="CP65" s="3" t="e">
        <f ca="1">_xll.BDH($C$53,"EBITDA","FQ2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65" s="3" t="e">
        <f ca="1">_xll.BDH($C$53,"EBITDA_AFTER_CAPEX","FQ2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65" s="3" t="e">
        <f ca="1">_xll.BDH($C$53,"IS_OPER_INC","FQ2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65" s="2" t="e">
        <f ca="1">_xll.BDH($C$53,"CASH_RATIO","FQ2 2016","FQ2 2016","Currency=INR","Period=FQ","BEST_FPERIOD_OVERRIDE=FQ","FILING_STATUS=OR","EQY_CONSOLIDATED=Y","Sort=A","Dates=H","DateFormat=P","Fill=—","Direction=H","UseDPDF=Y")</f>
        <v>#NAME?</v>
      </c>
      <c r="CT65" s="2" t="e">
        <f ca="1">_xll.BDH($C$53,"CUR_RATIO","FQ2 2016","FQ2 2016","Currency=INR","Period=FQ","BEST_FPERIOD_OVERRIDE=FQ","FILING_STATUS=OR","EQY_CONSOLIDATED=Y","Sort=A","Dates=H","DateFormat=P","Fill=—","Direction=H","UseDPDF=Y")</f>
        <v>#NAME?</v>
      </c>
      <c r="CU65" s="2" t="e">
        <f ca="1">_xll.BDH($C$53,"QUICK_RATIO","FQ2 2016","FQ2 2016","Currency=INR","Period=FQ","BEST_FPERIOD_OVERRIDE=FQ","FILING_STATUS=OR","EQY_CONSOLIDATED=Y","Sort=A","Dates=H","DateFormat=P","Fill=—","Direction=H","UseDPDF=Y")</f>
        <v>#NAME?</v>
      </c>
      <c r="CV65" s="2" t="e">
        <f ca="1">_xll.BDH($C$53,"ALTMAN_Z_SCORE","FQ2 2016","FQ2 2016","Currency=INR","Period=FQ","BEST_FPERIOD_OVERRIDE=FQ","FILING_STATUS=OR","EQY_CONSOLIDATED=Y","Sort=A","Dates=H","DateFormat=P","Fill=—","Direction=H","UseDPDF=Y")</f>
        <v>#NAME?</v>
      </c>
      <c r="CW65" s="4" t="e">
        <f ca="1">_xll.BDH($C$53,"ACCT_RCV_TURN","FQ2 2016","FQ2 2016","Currency=INR","Period=FQ","BEST_FPERIOD_OVERRIDE=FQ","FILING_STATUS=OR","EQY_CONSOLIDATED=Y","FA_ADJUSTED=GAAP","Sort=A","Dates=H","DateFormat=P","Fill=—","Direction=H","UseDPDF=Y")</f>
        <v>#NAME?</v>
      </c>
      <c r="CX65" s="2" t="e">
        <f ca="1">_xll.BDH($C$53,"ACCT_RCV_DAYS","FQ2 2016","FQ2 2016","Currency=INR","Period=FQ","BEST_FPERIOD_OVERRIDE=FQ","FILING_STATUS=OR","EQY_CONSOLIDATED=Y","FA_ADJUSTED=GAAP","Sort=A","Dates=H","DateFormat=P","Fill=—","Direction=H","UseDPDF=Y")</f>
        <v>#NAME?</v>
      </c>
      <c r="CY65" s="4" t="e">
        <f ca="1">_xll.BDH($C$53,"INVENT_TURN","FQ2 2016","FQ2 2016","Currency=INR","Period=FQ","BEST_FPERIOD_OVERRIDE=FQ","FILING_STATUS=OR","EQY_CONSOLIDATED=Y","FA_ADJUSTED=GAAP","Sort=A","Dates=H","DateFormat=P","Fill=—","Direction=H","UseDPDF=Y")</f>
        <v>#NAME?</v>
      </c>
      <c r="CZ65" s="2" t="e">
        <f ca="1">_xll.BDH($C$53,"INVENT_DAYS","FQ2 2016","FQ2 2016","Currency=INR","Period=FQ","BEST_FPERIOD_OVERRIDE=FQ","FILING_STATUS=OR","EQY_CONSOLIDATED=Y","FA_ADJUSTED=GAAP","Sort=A","Dates=H","DateFormat=P","Fill=—","Direction=H","UseDPDF=Y")</f>
        <v>#NAME?</v>
      </c>
      <c r="DA65" s="4" t="e">
        <f ca="1">_xll.BDH($C$53,"ACCOUNTS_PAYABLE_TURNOVER","FQ2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65" s="2" t="e">
        <f ca="1">_xll.BDH($C$53,"ACCOUNTS_PAYABLE_TURNOVER_DAYS","FQ2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65" s="4" t="e">
        <f ca="1">_xll.BDH($C$53,"CASH_CONVERSION_CYCLE","FQ2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65" s="4" t="e">
        <f ca="1">_xll.BDH($C$53,"INV_TO_CASH_DAYS","FQ2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65" s="5" t="e">
        <f ca="1">_xll.BDH($C$53,"BS_INVENTORIES","FQ2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65" s="3" t="e">
        <f ca="1">_xll.BDH($C$53,"INVTRY_RAW_MATERIALS","FQ2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65" s="3" t="e">
        <f ca="1">_xll.BDH($C$53,"INVTRY_IN_PROGRESS","FQ2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65" s="3" t="e">
        <f ca="1">_xll.BDH($C$53,"INVTRY_FINISHED_GOODS","FQ2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65" s="3" t="e">
        <f ca="1">_xll.BDH($C$53,"BS_OTHER_INV","FQ2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66" spans="1:113" x14ac:dyDescent="0.3">
      <c r="A66" s="6"/>
      <c r="B66" s="6"/>
      <c r="C66" s="6"/>
      <c r="D66" s="6"/>
      <c r="E66" t="s">
        <v>80</v>
      </c>
      <c r="F66" t="e">
        <f ca="1">_xll.BDH($C$53,"RETURN_COM_EQY","FQ3 2016","FQ3 2016","Currency=INR","Period=FQ","BEST_FPERIOD_OVERRIDE=FQ","FILING_STATUS=OR","EQY_CONSOLIDATED=Y","FA_ADJUSTED=GAAP","Sort=A","Dates=H","DateFormat=P","Fill=—","Direction=H","UseDPDF=Y")</f>
        <v>#NAME?</v>
      </c>
      <c r="G66" t="e">
        <f ca="1">_xll.BDH($C$53,"RETURN_ON_ASSET","FQ3 2016","FQ3 2016","Currency=INR","Period=FQ","BEST_FPERIOD_OVERRIDE=FQ","FILING_STATUS=OR","EQY_CONSOLIDATED=Y","FA_ADJUSTED=GAAP","Sort=A","Dates=H","DateFormat=P","Fill=—","Direction=H","UseDPDF=Y")</f>
        <v>#NAME?</v>
      </c>
      <c r="H66" t="e">
        <f ca="1">_xll.BDH($C$53,"RETURN_ON_CAP","FQ3 2016","FQ3 2016","Currency=INR","Period=FQ","BEST_FPERIOD_OVERRIDE=FQ","FILING_STATUS=OR","EQY_CONSOLIDATED=Y","FA_ADJUSTED=GAAP","Sort=A","Dates=H","DateFormat=P","Fill=—","Direction=H","UseDPDF=Y")</f>
        <v>#NAME?</v>
      </c>
      <c r="I66" t="e">
        <f ca="1">_xll.BDH($C$53,"RETURN_ON_INV_CAPITAL","FQ3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66" t="e">
        <f ca="1">_xll.BDH($C$53,"EBITDA_TO_REVENUE","FQ3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66" t="e">
        <f ca="1">_xll.BDH($C$53,"OPER_MARGIN","FQ3 2016","FQ3 2016","Currency=INR","Period=FQ","BEST_FPERIOD_OVERRIDE=FQ","FILING_STATUS=OR","EQY_CONSOLIDATED=Y","FA_ADJUSTED=GAAP","Sort=A","Dates=H","DateFormat=P","Fill=—","Direction=H","UseDPDF=Y")</f>
        <v>#NAME?</v>
      </c>
      <c r="L66" t="e">
        <f ca="1">_xll.BDH($C$53,"INCREMENTAL_OPERATING_MARGIN","FQ3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66" t="e">
        <f ca="1">_xll.BDH($C$53,"PRETAX_INC_TO_NET_SALES","FQ3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66" t="e">
        <f ca="1">_xll.BDH($C$53,"INC_BEF_XO_ITEMS_TO_NET_SALES","FQ3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66" t="e">
        <f ca="1">_xll.BDH($C$53,"PROF_MARGIN","FQ3 2016","FQ3 2016","Currency=INR","Period=FQ","BEST_FPERIOD_OVERRIDE=FQ","FILING_STATUS=OR","EQY_CONSOLIDATED=Y","FA_ADJUSTED=GAAP","Sort=A","Dates=H","DateFormat=P","Fill=—","Direction=H","UseDPDF=Y")</f>
        <v>#NAME?</v>
      </c>
      <c r="P66" t="e">
        <f ca="1">_xll.BDH($C$53,"NET_INCOME_TO_COMMON_MARGIN","FQ3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66" t="e">
        <f ca="1">_xll.BDH($C$53,"EFF_TAX_RATE","FQ3 2016","FQ3 2016","Currency=INR","Period=FQ","BEST_FPERIOD_OVERRIDE=FQ","FILING_STATUS=OR","EQY_CONSOLIDATED=Y","FA_ADJUSTED=GAAP","Sort=A","Dates=H","DateFormat=P","Fill=—","Direction=H","UseDPDF=Y")</f>
        <v>#NAME?</v>
      </c>
      <c r="R66" t="e">
        <f ca="1">_xll.BDH($C$53,"DVD_PAYOUT_RATIO","FQ3 2016","FQ3 2016","Currency=INR","Period=FQ","BEST_FPERIOD_OVERRIDE=FQ","FILING_STATUS=OR","EQY_CONSOLIDATED=Y","FA_ADJUSTED=GAAP","Sort=A","Dates=H","DateFormat=P","Fill=—","Direction=H","UseDPDF=Y")</f>
        <v>#NAME?</v>
      </c>
      <c r="S66" t="e">
        <f ca="1">_xll.BDH($C$53,"SUSTAIN_GROWTH_RT","FQ3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66" s="2" t="e">
        <f ca="1">_xll.BDH($C$53,"SALES_GROWTH","FQ3 2016","FQ3 2016","Currency=INR","Period=FQ","BEST_FPERIOD_OVERRIDE=FQ","FILING_STATUS=OR","EQY_CONSOLIDATED=Y","FA_ADJUSTED=GAAP","Sort=A","Dates=H","DateFormat=P","Fill=—","Direction=H","UseDPDF=Y")</f>
        <v>#NAME?</v>
      </c>
      <c r="U66" s="2" t="e">
        <f ca="1">_xll.BDH($C$53,"EBITDA_GROWTH","FQ3 2016","FQ3 2016","Currency=INR","Period=FQ","BEST_FPERIOD_OVERRIDE=FQ","FILING_STATUS=OR","EQY_CONSOLIDATED=Y","FA_ADJUSTED=GAAP","Sort=A","Dates=H","DateFormat=P","Fill=—","Direction=H","UseDPDF=Y")</f>
        <v>#NAME?</v>
      </c>
      <c r="V66" s="2" t="e">
        <f ca="1">_xll.BDH($C$53,"OPER_INC_GROWTH","FQ3 2016","FQ3 2016","Currency=INR","Period=FQ","BEST_FPERIOD_OVERRIDE=FQ","FILING_STATUS=OR","EQY_CONSOLIDATED=Y","FA_ADJUSTED=GAAP","Sort=A","Dates=H","DateFormat=P","Fill=—","Direction=H","UseDPDF=Y")</f>
        <v>#NAME?</v>
      </c>
      <c r="W66" s="2" t="e">
        <f ca="1">_xll.BDH($C$53,"EARN_FOR_COM_GROWTH","FQ3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66" s="2" t="e">
        <f ca="1">_xll.BDH($C$53,"DILUTED_EPS_AFT_XO_ITEMS_GROWTH","FQ3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66" s="2" t="e">
        <f ca="1">_xll.BDH($C$53,"DIVIDEND_PER_SHARE_1_YEAR_GROWTH","FQ3 2016","FQ3 2016","Currency=INR","Period=FQ","BEST_FPERIOD_OVERRIDE=FQ","FILING_STATUS=OR","EQY_CONSOLIDATED=Y","Sort=A","Dates=H","DateFormat=P","Fill=—","Direction=H","UseDPDF=Y")</f>
        <v>#NAME?</v>
      </c>
      <c r="Z66" s="2" t="e">
        <f ca="1">_xll.BDH($C$53,"ACCOUNTS_RECEIVABLE_GROWTH","FQ3 2016","FQ3 2016","Currency=INR","Period=FQ","BEST_FPERIOD_OVERRIDE=FQ","FILING_STATUS=OR","EQY_CONSOLIDATED=Y","Sort=A","Dates=H","DateFormat=P","Fill=—","Direction=H","UseDPDF=Y")</f>
        <v>#NAME?</v>
      </c>
      <c r="AA66" s="2" t="e">
        <f ca="1">_xll.BDH($C$53,"INVENTORY_GROWTH","FQ3 2016","FQ3 2016","Currency=INR","Period=FQ","BEST_FPERIOD_OVERRIDE=FQ","FILING_STATUS=OR","EQY_CONSOLIDATED=Y","Sort=A","Dates=H","DateFormat=P","Fill=—","Direction=H","UseDPDF=Y")</f>
        <v>#NAME?</v>
      </c>
      <c r="AB66" s="2" t="e">
        <f ca="1">_xll.BDH($C$53,"NET_FIXED_ASSETS_1_YEAR_GROWTH","FQ3 2016","FQ3 2016","Currency=INR","Period=FQ","BEST_FPERIOD_OVERRIDE=FQ","FILING_STATUS=OR","EQY_CONSOLIDATED=Y","Sort=A","Dates=H","DateFormat=P","Fill=—","Direction=H","UseDPDF=Y")</f>
        <v>#NAME?</v>
      </c>
      <c r="AC66" s="2" t="e">
        <f ca="1">_xll.BDH($C$53,"ASSET_GROWTH","FQ3 2016","FQ3 2016","Currency=INR","Period=FQ","BEST_FPERIOD_OVERRIDE=FQ","FILING_STATUS=OR","EQY_CONSOLIDATED=Y","Sort=A","Dates=H","DateFormat=P","Fill=—","Direction=H","UseDPDF=Y")</f>
        <v>#NAME?</v>
      </c>
      <c r="AD66" s="2" t="e">
        <f ca="1">_xll.BDH($C$53,"MODIFIED_WORK_CAP_GROWTH","FQ3 2016","FQ3 2016","Currency=INR","Period=FQ","BEST_FPERIOD_OVERRIDE=FQ","FILING_STATUS=OR","EQY_CONSOLIDATED=Y","Sort=A","Dates=H","DateFormat=P","Fill=—","Direction=H","UseDPDF=Y")</f>
        <v>#NAME?</v>
      </c>
      <c r="AE66" s="2" t="e">
        <f ca="1">_xll.BDH($C$53,"WORK_CAP_GROWTH","FQ3 2016","FQ3 2016","Currency=INR","Period=FQ","BEST_FPERIOD_OVERRIDE=FQ","FILING_STATUS=OR","EQY_CONSOLIDATED=Y","Sort=A","Dates=H","DateFormat=P","Fill=—","Direction=H","UseDPDF=Y")</f>
        <v>#NAME?</v>
      </c>
      <c r="AF66" s="2" t="e">
        <f ca="1">_xll.BDH($C$53,"ACCOUNTS_PAYABLE_GROWTH_1YR","FQ3 2016","FQ3 2016","Currency=INR","Period=FQ","BEST_FPERIOD_OVERRIDE=FQ","FILING_STATUS=OR","EQY_CONSOLIDATED=Y","Sort=A","Dates=H","DateFormat=P","Fill=—","Direction=H","UseDPDF=Y")</f>
        <v>#NAME?</v>
      </c>
      <c r="AG66" s="2" t="e">
        <f ca="1">_xll.BDH($C$53,"SHORT_TERM_DEBT_1_YEAR_GROWTH","FQ3 2016","FQ3 2016","Currency=INR","Period=FQ","BEST_FPERIOD_OVERRIDE=FQ","FILING_STATUS=OR","EQY_CONSOLIDATED=Y","Sort=A","Dates=H","DateFormat=P","Fill=—","Direction=H","UseDPDF=Y")</f>
        <v>#NAME?</v>
      </c>
      <c r="AH66" s="2" t="e">
        <f ca="1">_xll.BDH($C$53,"TOTAL_DEBT_1_YEAR_GROWTH","FQ3 2016","FQ3 2016","Currency=INR","Period=FQ","BEST_FPERIOD_OVERRIDE=FQ","FILING_STATUS=OR","EQY_CONSOLIDATED=Y","Sort=A","Dates=H","DateFormat=P","Fill=—","Direction=H","UseDPDF=Y")</f>
        <v>#NAME?</v>
      </c>
      <c r="AI66" s="2" t="e">
        <f ca="1">_xll.BDH($C$53,"TOTAL_EQUITY_1_YEAR_GROWTH","FQ3 2016","FQ3 2016","Currency=INR","Period=FQ","BEST_FPERIOD_OVERRIDE=FQ","FILING_STATUS=OR","EQY_CONSOLIDATED=Y","Sort=A","Dates=H","DateFormat=P","Fill=—","Direction=H","UseDPDF=Y")</f>
        <v>#NAME?</v>
      </c>
      <c r="AJ66" s="2" t="e">
        <f ca="1">_xll.BDH($C$53,"GROWTH_IN_CAP","FQ3 2016","FQ3 2016","Currency=INR","Period=FQ","BEST_FPERIOD_OVERRIDE=FQ","FILING_STATUS=OR","EQY_CONSOLIDATED=Y","Sort=A","Dates=H","DateFormat=P","Fill=—","Direction=H","UseDPDF=Y")</f>
        <v>#NAME?</v>
      </c>
      <c r="AK66" s="2" t="e">
        <f ca="1">_xll.BDH($C$53,"BVPS_GROWTH","FQ3 2016","FQ3 2016","Currency=INR","Period=FQ","BEST_FPERIOD_OVERRIDE=FQ","FILING_STATUS=OR","EQY_CONSOLIDATED=Y","Sort=A","Dates=H","DateFormat=P","Fill=—","Direction=H","UseDPDF=Y")</f>
        <v>#NAME?</v>
      </c>
      <c r="AL66" s="2" t="e">
        <f ca="1">_xll.BDH($C$53,"CASH_FLOW_GROWTH","FQ3 2016","FQ3 2016","Currency=INR","Period=FQ","BEST_FPERIOD_OVERRIDE=FQ","FILING_STATUS=OR","EQY_CONSOLIDATED=Y","Sort=A","Dates=H","DateFormat=P","Fill=—","Direction=H","UseDPDF=Y")</f>
        <v>#NAME?</v>
      </c>
      <c r="AM66" s="2" t="e">
        <f ca="1">_xll.BDH($C$53,"GEO_GROW_NET_SALES","FQ3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66" s="2" t="e">
        <f ca="1">_xll.BDH($C$53,"GEO_GROW_EBITDA","FQ3 2016","FQ3 2016","Currency=INR","Period=FQ","BEST_FPERIOD_OVERRIDE=FQ","FILING_STATUS=OR","EQY_CONSOLIDATED=Y","FA_ADJUSTED=GAAP","Sort=A","Dates=H","DateFormat=P","Fill=—","Direction=H","UseDPDF=Y")</f>
        <v>#NAME?</v>
      </c>
      <c r="AO66" s="2" t="e">
        <f ca="1">_xll.BDH($C$53,"GEO_GROW_OPER_INC","FQ3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66" s="2" t="e">
        <f ca="1">_xll.BDH($C$53,"NET_INCOME_TO_COMMON_5_YR_GROWTH","FQ3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66" s="2" t="e">
        <f ca="1">_xll.BDH($C$53,"5Y_GEO_GROWTH_DILUTED_EPS","FQ3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66" s="2" t="e">
        <f ca="1">_xll.BDH($C$53,"GEO_GROW_DVD_PER_SH","FQ3 2016","FQ3 2016","Currency=INR","Period=FQ","BEST_FPERIOD_OVERRIDE=FQ","FILING_STATUS=OR","EQY_CONSOLIDATED=Y","Sort=A","Dates=H","DateFormat=P","Fill=—","Direction=H","UseDPDF=Y")</f>
        <v>#NAME?</v>
      </c>
      <c r="AS66" s="2" t="e">
        <f ca="1">_xll.BDH($C$53,"ACCOUNTS_RECEIVABLE_5_YR_GROWTH","FQ3 2016","FQ3 2016","Currency=INR","Period=FQ","BEST_FPERIOD_OVERRIDE=FQ","FILING_STATUS=OR","EQY_CONSOLIDATED=Y","Sort=A","Dates=H","DateFormat=P","Fill=—","Direction=H","UseDPDF=Y")</f>
        <v>#NAME?</v>
      </c>
      <c r="AT66" s="2" t="e">
        <f ca="1">_xll.BDH($C$53,"INVENTORY_5_YEAR_GROWTH","FQ3 2016","FQ3 2016","Currency=INR","Period=FQ","BEST_FPERIOD_OVERRIDE=FQ","FILING_STATUS=OR","EQY_CONSOLIDATED=Y","Sort=A","Dates=H","DateFormat=P","Fill=—","Direction=H","UseDPDF=Y")</f>
        <v>#NAME?</v>
      </c>
      <c r="AU66" s="2" t="e">
        <f ca="1">_xll.BDH($C$53,"NET_FIXED_ASSETS_5_YEAR_GROWTH","FQ3 2016","FQ3 2016","Currency=INR","Period=FQ","BEST_FPERIOD_OVERRIDE=FQ","FILING_STATUS=OR","EQY_CONSOLIDATED=Y","Sort=A","Dates=H","DateFormat=P","Fill=—","Direction=H","UseDPDF=Y")</f>
        <v>#NAME?</v>
      </c>
      <c r="AV66" s="2" t="e">
        <f ca="1">_xll.BDH($C$53,"GEO_GROW_TOT_ASSET","FQ3 2016","FQ3 2016","Currency=INR","Period=FQ","BEST_FPERIOD_OVERRIDE=FQ","FILING_STATUS=OR","EQY_CONSOLIDATED=Y","Sort=A","Dates=H","DateFormat=P","Fill=—","Direction=H","UseDPDF=Y")</f>
        <v>#NAME?</v>
      </c>
      <c r="AW66" s="2" t="e">
        <f ca="1">_xll.BDH($C$53,"MODIFIED_WORKING_CPTL_5YR_GRWTH","FQ3 2016","FQ3 2016","Currency=INR","Period=FQ","BEST_FPERIOD_OVERRIDE=FQ","FILING_STATUS=OR","EQY_CONSOLIDATED=Y","Sort=A","Dates=H","DateFormat=P","Fill=—","Direction=H","UseDPDF=Y")</f>
        <v>#NAME?</v>
      </c>
      <c r="AX66" s="2" t="e">
        <f ca="1">_xll.BDH($C$53,"WORKING_CAPITAL_5_YEAR_GROWTH","FQ3 2016","FQ3 2016","Currency=INR","Period=FQ","BEST_FPERIOD_OVERRIDE=FQ","FILING_STATUS=OR","EQY_CONSOLIDATED=Y","Sort=A","Dates=H","DateFormat=P","Fill=—","Direction=H","UseDPDF=Y")</f>
        <v>#NAME?</v>
      </c>
      <c r="AY66" s="2" t="e">
        <f ca="1">_xll.BDH($C$53,"ACCOUNTS_PAYABLE_5_YEAR_GROWTH","FQ3 2016","FQ3 2016","Currency=INR","Period=FQ","BEST_FPERIOD_OVERRIDE=FQ","FILING_STATUS=OR","EQY_CONSOLIDATED=Y","Sort=A","Dates=H","DateFormat=P","Fill=—","Direction=H","UseDPDF=Y")</f>
        <v>#NAME?</v>
      </c>
      <c r="AZ66" s="2" t="e">
        <f ca="1">_xll.BDH($C$53,"SHORT_TERM_DEBT_5_YEAR_GROWTH","FQ3 2016","FQ3 2016","Currency=INR","Period=FQ","BEST_FPERIOD_OVERRIDE=FQ","FILING_STATUS=OR","EQY_CONSOLIDATED=Y","Sort=A","Dates=H","DateFormat=P","Fill=—","Direction=H","UseDPDF=Y")</f>
        <v>#NAME?</v>
      </c>
      <c r="BA66" s="2" t="e">
        <f ca="1">_xll.BDH($C$53,"TOTAL_DEBT_5_YEAR_GROWTH","FQ3 2016","FQ3 2016","Currency=INR","Period=FQ","BEST_FPERIOD_OVERRIDE=FQ","FILING_STATUS=OR","EQY_CONSOLIDATED=Y","Sort=A","Dates=H","DateFormat=P","Fill=—","Direction=H","UseDPDF=Y")</f>
        <v>#NAME?</v>
      </c>
      <c r="BB66" s="2" t="e">
        <f ca="1">_xll.BDH($C$53,"GEO_GROW_TOT_SHRHLDR_EQY","FQ3 2016","FQ3 2016","Currency=INR","Period=FQ","BEST_FPERIOD_OVERRIDE=FQ","FILING_STATUS=OR","EQY_CONSOLIDATED=Y","Sort=A","Dates=H","DateFormat=P","Fill=—","Direction=H","UseDPDF=Y")</f>
        <v>#NAME?</v>
      </c>
      <c r="BC66" s="2" t="e">
        <f ca="1">_xll.BDH($C$53,"TOTAL_CAPITAL_5_YEAR_GROWTH","FQ3 2016","FQ3 2016","Currency=INR","Period=FQ","BEST_FPERIOD_OVERRIDE=FQ","FILING_STATUS=OR","EQY_CONSOLIDATED=Y","Sort=A","Dates=H","DateFormat=P","Fill=—","Direction=H","UseDPDF=Y")</f>
        <v>#NAME?</v>
      </c>
      <c r="BD66" s="2" t="e">
        <f ca="1">_xll.BDH($C$53,"GEO_GROW_BOOK_VAL","FQ3 2016","FQ3 2016","Currency=INR","Period=FQ","BEST_FPERIOD_OVERRIDE=FQ","FILING_STATUS=OR","EQY_CONSOLIDATED=Y","Sort=A","Dates=H","DateFormat=P","Fill=—","Direction=H","UseDPDF=Y")</f>
        <v>#NAME?</v>
      </c>
      <c r="BE66" s="2" t="e">
        <f ca="1">_xll.BDH($C$53,"GEO_GROW_CASH_OPER_ACT","FQ3 2016","FQ3 2016","Currency=INR","Period=FQ","BEST_FPERIOD_OVERRIDE=FQ","FILING_STATUS=OR","EQY_CONSOLIDATED=Y","Sort=A","Dates=H","DateFormat=P","Fill=—","Direction=H","UseDPDF=Y")</f>
        <v>#NAME?</v>
      </c>
      <c r="BF66" s="2" t="e">
        <f ca="1">_xll.BDH($C$53,"REVENUE_SEQUENTIAL_GROWTH","FQ3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66" s="2" t="e">
        <f ca="1">_xll.BDH($C$53,"EBITDA_SEQUENTIAL_GROWTH","FQ3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66" s="2" t="e">
        <f ca="1">_xll.BDH($C$53,"OPERATING_INCOME_SEQ_GROWTH","FQ3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66" s="2" t="e">
        <f ca="1">_xll.BDH($C$53,"NET_INCOME_TO_COMMON_SEQ_GROWTH","FQ3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66" s="2" t="e">
        <f ca="1">_xll.BDH($C$53,"EPS_DILUTED_SEQUENTIAL_GROWTH","FQ3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66" s="2" t="e">
        <f ca="1">_xll.BDH($C$53,"DPS_SEQUENTIAL_GROWTH","FQ3 2016","FQ3 2016","Currency=INR","Period=FQ","BEST_FPERIOD_OVERRIDE=FQ","FILING_STATUS=OR","EQY_CONSOLIDATED=Y","Sort=A","Dates=H","DateFormat=P","Fill=—","Direction=H","UseDPDF=Y")</f>
        <v>#NAME?</v>
      </c>
      <c r="BL66" s="2" t="e">
        <f ca="1">_xll.BDH($C$53,"ACCOUNTS_RECEIVABLE_SEQ_GROWTH","FQ3 2016","FQ3 2016","Currency=INR","Period=FQ","BEST_FPERIOD_OVERRIDE=FQ","FILING_STATUS=OR","EQY_CONSOLIDATED=Y","Sort=A","Dates=H","DateFormat=P","Fill=—","Direction=H","UseDPDF=Y")</f>
        <v>#NAME?</v>
      </c>
      <c r="BM66" s="2" t="e">
        <f ca="1">_xll.BDH($C$53,"INVENTORY_SEQUENTIAL_GROWTH","FQ3 2016","FQ3 2016","Currency=INR","Period=FQ","BEST_FPERIOD_OVERRIDE=FQ","FILING_STATUS=OR","EQY_CONSOLIDATED=Y","Sort=A","Dates=H","DateFormat=P","Fill=—","Direction=H","UseDPDF=Y")</f>
        <v>#NAME?</v>
      </c>
      <c r="BN66" s="2" t="e">
        <f ca="1">_xll.BDH($C$53,"FIXED_ASSETS_SEQUENTIAL_GROWTH","FQ3 2016","FQ3 2016","Currency=INR","Period=FQ","BEST_FPERIOD_OVERRIDE=FQ","FILING_STATUS=OR","EQY_CONSOLIDATED=Y","Sort=A","Dates=H","DateFormat=P","Fill=—","Direction=H","UseDPDF=Y")</f>
        <v>#NAME?</v>
      </c>
      <c r="BO66" s="2" t="e">
        <f ca="1">_xll.BDH($C$53,"TOTAL_ASSETS_SEQUENTIAL_GROWTH","FQ3 2016","FQ3 2016","Currency=INR","Period=FQ","BEST_FPERIOD_OVERRIDE=FQ","FILING_STATUS=OR","EQY_CONSOLIDATED=Y","Sort=A","Dates=H","DateFormat=P","Fill=—","Direction=H","UseDPDF=Y")</f>
        <v>#NAME?</v>
      </c>
      <c r="BP66" s="2" t="e">
        <f ca="1">_xll.BDH($C$53,"MODIFIED_WORKING_CPTL_SEQ_GRWTH","FQ3 2016","FQ3 2016","Currency=INR","Period=FQ","BEST_FPERIOD_OVERRIDE=FQ","FILING_STATUS=OR","EQY_CONSOLIDATED=Y","Sort=A","Dates=H","DateFormat=P","Fill=—","Direction=H","UseDPDF=Y")</f>
        <v>#NAME?</v>
      </c>
      <c r="BQ66" s="2" t="e">
        <f ca="1">_xll.BDH($C$53,"WORKING_CAPITAL_SEQ_GROWTH","FQ3 2016","FQ3 2016","Currency=INR","Period=FQ","BEST_FPERIOD_OVERRIDE=FQ","FILING_STATUS=OR","EQY_CONSOLIDATED=Y","Sort=A","Dates=H","DateFormat=P","Fill=—","Direction=H","UseDPDF=Y")</f>
        <v>#NAME?</v>
      </c>
      <c r="BR66" s="2" t="e">
        <f ca="1">_xll.BDH($C$53,"ACCOUNTS_PAYABLE_SEQ_GROWTH","FQ3 2016","FQ3 2016","Currency=INR","Period=FQ","BEST_FPERIOD_OVERRIDE=FQ","FILING_STATUS=OR","EQY_CONSOLIDATED=Y","Sort=A","Dates=H","DateFormat=P","Fill=—","Direction=H","UseDPDF=Y")</f>
        <v>#NAME?</v>
      </c>
      <c r="BS66" s="2" t="e">
        <f ca="1">_xll.BDH($C$53,"ST_DEBT_SEQUENTIAL_GROWTH","FQ3 2016","FQ3 2016","Currency=INR","Period=FQ","BEST_FPERIOD_OVERRIDE=FQ","FILING_STATUS=OR","EQY_CONSOLIDATED=Y","Sort=A","Dates=H","DateFormat=P","Fill=—","Direction=H","UseDPDF=Y")</f>
        <v>#NAME?</v>
      </c>
      <c r="BT66" s="2" t="e">
        <f ca="1">_xll.BDH($C$53,"TOTAL_DEBT_SEQUENTIAL_GROWTH","FQ3 2016","FQ3 2016","Currency=INR","Period=FQ","BEST_FPERIOD_OVERRIDE=FQ","FILING_STATUS=OR","EQY_CONSOLIDATED=Y","Sort=A","Dates=H","DateFormat=P","Fill=—","Direction=H","UseDPDF=Y")</f>
        <v>#NAME?</v>
      </c>
      <c r="BU66" s="2" t="e">
        <f ca="1">_xll.BDH($C$53,"TOTAL_EQUITY_SEQUENTIAL_GROWTH","FQ3 2016","FQ3 2016","Currency=INR","Period=FQ","BEST_FPERIOD_OVERRIDE=FQ","FILING_STATUS=OR","EQY_CONSOLIDATED=Y","Sort=A","Dates=H","DateFormat=P","Fill=—","Direction=H","UseDPDF=Y")</f>
        <v>#NAME?</v>
      </c>
      <c r="BV66" s="2" t="e">
        <f ca="1">_xll.BDH($C$53,"TOTAL_CAPITAL_SEQUENTIAL_GROWTH","FQ3 2016","FQ3 2016","Currency=INR","Period=FQ","BEST_FPERIOD_OVERRIDE=FQ","FILING_STATUS=OR","EQY_CONSOLIDATED=Y","Sort=A","Dates=H","DateFormat=P","Fill=—","Direction=H","UseDPDF=Y")</f>
        <v>#NAME?</v>
      </c>
      <c r="BW66" s="2" t="e">
        <f ca="1">_xll.BDH($C$53,"BPS_SEQUENTIAL_GROWTH","FQ3 2016","FQ3 2016","Currency=INR","Period=FQ","BEST_FPERIOD_OVERRIDE=FQ","FILING_STATUS=OR","EQY_CONSOLIDATED=Y","Sort=A","Dates=H","DateFormat=P","Fill=—","Direction=H","UseDPDF=Y")</f>
        <v>#NAME?</v>
      </c>
      <c r="BX66" s="2" t="e">
        <f ca="1">_xll.BDH($C$53,"CFO_SEQUENTIAL_GROWTH","FQ3 2016","FQ3 2016","Currency=INR","Period=FQ","BEST_FPERIOD_OVERRIDE=FQ","FILING_STATUS=OR","EQY_CONSOLIDATED=Y","Sort=A","Dates=H","DateFormat=P","Fill=—","Direction=H","UseDPDF=Y")</f>
        <v>#NAME?</v>
      </c>
      <c r="BY66" s="3" t="e">
        <f ca="1">_xll.BDH($C$53,"SHORT_AND_LONG_TERM_DEBT","FQ3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66" s="3" t="e">
        <f ca="1">_xll.BDH($C$53,"BS_ST_BORROW","FQ3 2016","FQ3 2016","Currency=INR","Period=FQ","BEST_FPERIOD_OVERRIDE=FQ","FILING_STATUS=OR","EQY_CONSOLIDATED=Y","SCALING_FORMAT=MLN","Sort=A","Dates=H","DateFormat=P","Fill=—","Direction=H","UseDPDF=Y")</f>
        <v>#NAME?</v>
      </c>
      <c r="CA66" s="3" t="e">
        <f ca="1">_xll.BDH($C$53,"BS_LT_BORROW","FQ3 2016","FQ3 2016","Currency=INR","Period=FQ","BEST_FPERIOD_OVERRIDE=FQ","FILING_STATUS=OR","EQY_CONSOLIDATED=Y","SCALING_FORMAT=MLN","Sort=A","Dates=H","DateFormat=P","Fill=—","Direction=H","UseDPDF=Y")</f>
        <v>#NAME?</v>
      </c>
      <c r="CB66" s="2" t="e">
        <f ca="1">_xll.BDH($C$53,"TOT_DEBT_TO_EBITDA","FQ3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66" s="2" t="e">
        <f ca="1">_xll.BDH($C$53,"NET_DEBT_TO_EBITDA","FQ3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66" s="2" t="e">
        <f ca="1">_xll.BDH($C$53,"TOTAL_DEBT_TO_EBIT","FQ3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66" s="2" t="e">
        <f ca="1">_xll.BDH($C$53,"NET_DEBT_TO_EBIT","FQ3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66" s="2" t="e">
        <f ca="1">_xll.BDH($C$53,"EBITDA_TO_INTEREST_EXPN","FQ3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66" s="2" t="e">
        <f ca="1">_xll.BDH($C$53,"COM_EQY_TO_TOT_ASSET","FQ3 2016","FQ3 2016","Currency=INR","Period=FQ","BEST_FPERIOD_OVERRIDE=FQ","FILING_STATUS=OR","EQY_CONSOLIDATED=Y","Sort=A","Dates=H","DateFormat=P","Fill=—","Direction=H","UseDPDF=Y")</f>
        <v>#NAME?</v>
      </c>
      <c r="CH66" s="2" t="e">
        <f ca="1">_xll.BDH($C$53,"LT_DEBT_TO_TOT_EQY","FQ3 2016","FQ3 2016","Currency=INR","Period=FQ","BEST_FPERIOD_OVERRIDE=FQ","FILING_STATUS=OR","EQY_CONSOLIDATED=Y","Sort=A","Dates=H","DateFormat=P","Fill=—","Direction=H","UseDPDF=Y")</f>
        <v>#NAME?</v>
      </c>
      <c r="CI66" s="2" t="e">
        <f ca="1">_xll.BDH($C$53,"LT_DEBT_TO_TOT_CAP","FQ3 2016","FQ3 2016","Currency=INR","Period=FQ","BEST_FPERIOD_OVERRIDE=FQ","FILING_STATUS=OR","EQY_CONSOLIDATED=Y","Sort=A","Dates=H","DateFormat=P","Fill=—","Direction=H","UseDPDF=Y")</f>
        <v>#NAME?</v>
      </c>
      <c r="CJ66" s="2" t="e">
        <f ca="1">_xll.BDH($C$53,"LT_DEBT_TO_TOT_ASSET","FQ3 2016","FQ3 2016","Currency=INR","Period=FQ","BEST_FPERIOD_OVERRIDE=FQ","FILING_STATUS=OR","EQY_CONSOLIDATED=Y","Sort=A","Dates=H","DateFormat=P","Fill=—","Direction=H","UseDPDF=Y")</f>
        <v>#NAME?</v>
      </c>
      <c r="CK66" s="2" t="e">
        <f ca="1">_xll.BDH($C$53,"TOT_DEBT_TO_TOT_EQY","FQ3 2016","FQ3 2016","Currency=INR","Period=FQ","BEST_FPERIOD_OVERRIDE=FQ","FILING_STATUS=OR","EQY_CONSOLIDATED=Y","Sort=A","Dates=H","DateFormat=P","Fill=—","Direction=H","UseDPDF=Y")</f>
        <v>#NAME?</v>
      </c>
      <c r="CL66" s="2" t="e">
        <f ca="1">_xll.BDH($C$53,"TOT_DEBT_TO_TOT_CAP","FQ3 2016","FQ3 2016","Currency=INR","Period=FQ","BEST_FPERIOD_OVERRIDE=FQ","FILING_STATUS=OR","EQY_CONSOLIDATED=Y","Sort=A","Dates=H","DateFormat=P","Fill=—","Direction=H","UseDPDF=Y")</f>
        <v>#NAME?</v>
      </c>
      <c r="CM66" s="2" t="e">
        <f ca="1">_xll.BDH($C$53,"TOT_DEBT_TO_TOT_ASSET","FQ3 2016","FQ3 2016","Currency=INR","Period=FQ","BEST_FPERIOD_OVERRIDE=FQ","FILING_STATUS=OR","EQY_CONSOLIDATED=Y","Sort=A","Dates=H","DateFormat=P","Fill=—","Direction=H","UseDPDF=Y")</f>
        <v>#NAME?</v>
      </c>
      <c r="CN66" s="2" t="e">
        <f ca="1">_xll.BDH($C$53,"NET_DEBT_TO_SHRHLDR_EQTY","FQ3 2016","FQ3 2016","Currency=INR","Period=FQ","BEST_FPERIOD_OVERRIDE=FQ","FILING_STATUS=OR","EQY_CONSOLIDATED=Y","Sort=A","Dates=H","DateFormat=P","Fill=—","Direction=H","UseDPDF=Y")</f>
        <v>#NAME?</v>
      </c>
      <c r="CO66" s="2" t="e">
        <f ca="1">_xll.BDH($C$53,"NET_DEBT_%_CAPITAL","FQ3 2016","FQ3 2016","Currency=INR","Period=FQ","BEST_FPERIOD_OVERRIDE=FQ","FILING_STATUS=OR","EQY_CONSOLIDATED=Y","Sort=A","Dates=H","DateFormat=P","Fill=—","Direction=H","UseDPDF=Y")</f>
        <v>#NAME?</v>
      </c>
      <c r="CP66" s="3" t="e">
        <f ca="1">_xll.BDH($C$53,"EBITDA","FQ3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66" s="3" t="e">
        <f ca="1">_xll.BDH($C$53,"EBITDA_AFTER_CAPEX","FQ3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66" s="3" t="e">
        <f ca="1">_xll.BDH($C$53,"IS_OPER_INC","FQ3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66" s="2" t="e">
        <f ca="1">_xll.BDH($C$53,"CASH_RATIO","FQ3 2016","FQ3 2016","Currency=INR","Period=FQ","BEST_FPERIOD_OVERRIDE=FQ","FILING_STATUS=OR","EQY_CONSOLIDATED=Y","Sort=A","Dates=H","DateFormat=P","Fill=—","Direction=H","UseDPDF=Y")</f>
        <v>#NAME?</v>
      </c>
      <c r="CT66" s="2" t="e">
        <f ca="1">_xll.BDH($C$53,"CUR_RATIO","FQ3 2016","FQ3 2016","Currency=INR","Period=FQ","BEST_FPERIOD_OVERRIDE=FQ","FILING_STATUS=OR","EQY_CONSOLIDATED=Y","Sort=A","Dates=H","DateFormat=P","Fill=—","Direction=H","UseDPDF=Y")</f>
        <v>#NAME?</v>
      </c>
      <c r="CU66" s="2" t="e">
        <f ca="1">_xll.BDH($C$53,"QUICK_RATIO","FQ3 2016","FQ3 2016","Currency=INR","Period=FQ","BEST_FPERIOD_OVERRIDE=FQ","FILING_STATUS=OR","EQY_CONSOLIDATED=Y","Sort=A","Dates=H","DateFormat=P","Fill=—","Direction=H","UseDPDF=Y")</f>
        <v>#NAME?</v>
      </c>
      <c r="CV66" s="2" t="e">
        <f ca="1">_xll.BDH($C$53,"ALTMAN_Z_SCORE","FQ3 2016","FQ3 2016","Currency=INR","Period=FQ","BEST_FPERIOD_OVERRIDE=FQ","FILING_STATUS=OR","EQY_CONSOLIDATED=Y","Sort=A","Dates=H","DateFormat=P","Fill=—","Direction=H","UseDPDF=Y")</f>
        <v>#NAME?</v>
      </c>
      <c r="CW66" s="4" t="e">
        <f ca="1">_xll.BDH($C$53,"ACCT_RCV_TURN","FQ3 2016","FQ3 2016","Currency=INR","Period=FQ","BEST_FPERIOD_OVERRIDE=FQ","FILING_STATUS=OR","EQY_CONSOLIDATED=Y","FA_ADJUSTED=GAAP","Sort=A","Dates=H","DateFormat=P","Fill=—","Direction=H","UseDPDF=Y")</f>
        <v>#NAME?</v>
      </c>
      <c r="CX66" s="2" t="e">
        <f ca="1">_xll.BDH($C$53,"ACCT_RCV_DAYS","FQ3 2016","FQ3 2016","Currency=INR","Period=FQ","BEST_FPERIOD_OVERRIDE=FQ","FILING_STATUS=OR","EQY_CONSOLIDATED=Y","FA_ADJUSTED=GAAP","Sort=A","Dates=H","DateFormat=P","Fill=—","Direction=H","UseDPDF=Y")</f>
        <v>#NAME?</v>
      </c>
      <c r="CY66" s="4" t="e">
        <f ca="1">_xll.BDH($C$53,"INVENT_TURN","FQ3 2016","FQ3 2016","Currency=INR","Period=FQ","BEST_FPERIOD_OVERRIDE=FQ","FILING_STATUS=OR","EQY_CONSOLIDATED=Y","FA_ADJUSTED=GAAP","Sort=A","Dates=H","DateFormat=P","Fill=—","Direction=H","UseDPDF=Y")</f>
        <v>#NAME?</v>
      </c>
      <c r="CZ66" s="2" t="e">
        <f ca="1">_xll.BDH($C$53,"INVENT_DAYS","FQ3 2016","FQ3 2016","Currency=INR","Period=FQ","BEST_FPERIOD_OVERRIDE=FQ","FILING_STATUS=OR","EQY_CONSOLIDATED=Y","FA_ADJUSTED=GAAP","Sort=A","Dates=H","DateFormat=P","Fill=—","Direction=H","UseDPDF=Y")</f>
        <v>#NAME?</v>
      </c>
      <c r="DA66" s="4" t="e">
        <f ca="1">_xll.BDH($C$53,"ACCOUNTS_PAYABLE_TURNOVER","FQ3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66" s="2" t="e">
        <f ca="1">_xll.BDH($C$53,"ACCOUNTS_PAYABLE_TURNOVER_DAYS","FQ3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66" s="4" t="e">
        <f ca="1">_xll.BDH($C$53,"CASH_CONVERSION_CYCLE","FQ3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66" s="4" t="e">
        <f ca="1">_xll.BDH($C$53,"INV_TO_CASH_DAYS","FQ3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66" s="5" t="e">
        <f ca="1">_xll.BDH($C$53,"BS_INVENTORIES","FQ3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66" s="3" t="e">
        <f ca="1">_xll.BDH($C$53,"INVTRY_RAW_MATERIALS","FQ3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66" s="3" t="e">
        <f ca="1">_xll.BDH($C$53,"INVTRY_IN_PROGRESS","FQ3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66" s="3" t="e">
        <f ca="1">_xll.BDH($C$53,"INVTRY_FINISHED_GOODS","FQ3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66" s="3" t="e">
        <f ca="1">_xll.BDH($C$53,"BS_OTHER_INV","FQ3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67" spans="1:113" x14ac:dyDescent="0.3">
      <c r="A67" s="6"/>
      <c r="B67" s="6"/>
      <c r="C67" s="6"/>
      <c r="D67" s="6"/>
      <c r="E67" t="s">
        <v>81</v>
      </c>
      <c r="F67" t="e">
        <f ca="1">_xll.BDH($C$53,"RETURN_COM_EQY","FQ4 2016","FQ4 2016","Currency=INR","Period=FQ","BEST_FPERIOD_OVERRIDE=FQ","FILING_STATUS=OR","EQY_CONSOLIDATED=Y","FA_ADJUSTED=GAAP","Sort=A","Dates=H","DateFormat=P","Fill=—","Direction=H","UseDPDF=Y")</f>
        <v>#NAME?</v>
      </c>
      <c r="G67" t="e">
        <f ca="1">_xll.BDH($C$53,"RETURN_ON_ASSET","FQ4 2016","FQ4 2016","Currency=INR","Period=FQ","BEST_FPERIOD_OVERRIDE=FQ","FILING_STATUS=OR","EQY_CONSOLIDATED=Y","FA_ADJUSTED=GAAP","Sort=A","Dates=H","DateFormat=P","Fill=—","Direction=H","UseDPDF=Y")</f>
        <v>#NAME?</v>
      </c>
      <c r="H67" t="e">
        <f ca="1">_xll.BDH($C$53,"RETURN_ON_CAP","FQ4 2016","FQ4 2016","Currency=INR","Period=FQ","BEST_FPERIOD_OVERRIDE=FQ","FILING_STATUS=OR","EQY_CONSOLIDATED=Y","FA_ADJUSTED=GAAP","Sort=A","Dates=H","DateFormat=P","Fill=—","Direction=H","UseDPDF=Y")</f>
        <v>#NAME?</v>
      </c>
      <c r="I67" t="e">
        <f ca="1">_xll.BDH($C$53,"RETURN_ON_INV_CAPITAL","FQ4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67" t="e">
        <f ca="1">_xll.BDH($C$53,"EBITDA_TO_REVENUE","FQ4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67" t="e">
        <f ca="1">_xll.BDH($C$53,"OPER_MARGIN","FQ4 2016","FQ4 2016","Currency=INR","Period=FQ","BEST_FPERIOD_OVERRIDE=FQ","FILING_STATUS=OR","EQY_CONSOLIDATED=Y","FA_ADJUSTED=GAAP","Sort=A","Dates=H","DateFormat=P","Fill=—","Direction=H","UseDPDF=Y")</f>
        <v>#NAME?</v>
      </c>
      <c r="L67" t="e">
        <f ca="1">_xll.BDH($C$53,"INCREMENTAL_OPERATING_MARGIN","FQ4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67" t="e">
        <f ca="1">_xll.BDH($C$53,"PRETAX_INC_TO_NET_SALES","FQ4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67" t="e">
        <f ca="1">_xll.BDH($C$53,"INC_BEF_XO_ITEMS_TO_NET_SALES","FQ4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67" t="e">
        <f ca="1">_xll.BDH($C$53,"PROF_MARGIN","FQ4 2016","FQ4 2016","Currency=INR","Period=FQ","BEST_FPERIOD_OVERRIDE=FQ","FILING_STATUS=OR","EQY_CONSOLIDATED=Y","FA_ADJUSTED=GAAP","Sort=A","Dates=H","DateFormat=P","Fill=—","Direction=H","UseDPDF=Y")</f>
        <v>#NAME?</v>
      </c>
      <c r="P67" t="e">
        <f ca="1">_xll.BDH($C$53,"NET_INCOME_TO_COMMON_MARGIN","FQ4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67" t="e">
        <f ca="1">_xll.BDH($C$53,"EFF_TAX_RATE","FQ4 2016","FQ4 2016","Currency=INR","Period=FQ","BEST_FPERIOD_OVERRIDE=FQ","FILING_STATUS=OR","EQY_CONSOLIDATED=Y","FA_ADJUSTED=GAAP","Sort=A","Dates=H","DateFormat=P","Fill=—","Direction=H","UseDPDF=Y")</f>
        <v>#NAME?</v>
      </c>
      <c r="R67" t="e">
        <f ca="1">_xll.BDH($C$53,"DVD_PAYOUT_RATIO","FQ4 2016","FQ4 2016","Currency=INR","Period=FQ","BEST_FPERIOD_OVERRIDE=FQ","FILING_STATUS=OR","EQY_CONSOLIDATED=Y","FA_ADJUSTED=GAAP","Sort=A","Dates=H","DateFormat=P","Fill=—","Direction=H","UseDPDF=Y")</f>
        <v>#NAME?</v>
      </c>
      <c r="S67" t="e">
        <f ca="1">_xll.BDH($C$53,"SUSTAIN_GROWTH_RT","FQ4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67" s="2" t="e">
        <f ca="1">_xll.BDH($C$53,"SALES_GROWTH","FQ4 2016","FQ4 2016","Currency=INR","Period=FQ","BEST_FPERIOD_OVERRIDE=FQ","FILING_STATUS=OR","EQY_CONSOLIDATED=Y","FA_ADJUSTED=GAAP","Sort=A","Dates=H","DateFormat=P","Fill=—","Direction=H","UseDPDF=Y")</f>
        <v>#NAME?</v>
      </c>
      <c r="U67" s="2" t="e">
        <f ca="1">_xll.BDH($C$53,"EBITDA_GROWTH","FQ4 2016","FQ4 2016","Currency=INR","Period=FQ","BEST_FPERIOD_OVERRIDE=FQ","FILING_STATUS=OR","EQY_CONSOLIDATED=Y","FA_ADJUSTED=GAAP","Sort=A","Dates=H","DateFormat=P","Fill=—","Direction=H","UseDPDF=Y")</f>
        <v>#NAME?</v>
      </c>
      <c r="V67" s="2" t="e">
        <f ca="1">_xll.BDH($C$53,"OPER_INC_GROWTH","FQ4 2016","FQ4 2016","Currency=INR","Period=FQ","BEST_FPERIOD_OVERRIDE=FQ","FILING_STATUS=OR","EQY_CONSOLIDATED=Y","FA_ADJUSTED=GAAP","Sort=A","Dates=H","DateFormat=P","Fill=—","Direction=H","UseDPDF=Y")</f>
        <v>#NAME?</v>
      </c>
      <c r="W67" s="2" t="e">
        <f ca="1">_xll.BDH($C$53,"EARN_FOR_COM_GROWTH","FQ4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67" s="2" t="e">
        <f ca="1">_xll.BDH($C$53,"DILUTED_EPS_AFT_XO_ITEMS_GROWTH","FQ4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67" s="2" t="e">
        <f ca="1">_xll.BDH($C$53,"DIVIDEND_PER_SHARE_1_YEAR_GROWTH","FQ4 2016","FQ4 2016","Currency=INR","Period=FQ","BEST_FPERIOD_OVERRIDE=FQ","FILING_STATUS=OR","EQY_CONSOLIDATED=Y","Sort=A","Dates=H","DateFormat=P","Fill=—","Direction=H","UseDPDF=Y")</f>
        <v>#NAME?</v>
      </c>
      <c r="Z67" s="2" t="e">
        <f ca="1">_xll.BDH($C$53,"ACCOUNTS_RECEIVABLE_GROWTH","FQ4 2016","FQ4 2016","Currency=INR","Period=FQ","BEST_FPERIOD_OVERRIDE=FQ","FILING_STATUS=OR","EQY_CONSOLIDATED=Y","Sort=A","Dates=H","DateFormat=P","Fill=—","Direction=H","UseDPDF=Y")</f>
        <v>#NAME?</v>
      </c>
      <c r="AA67" s="2" t="e">
        <f ca="1">_xll.BDH($C$53,"INVENTORY_GROWTH","FQ4 2016","FQ4 2016","Currency=INR","Period=FQ","BEST_FPERIOD_OVERRIDE=FQ","FILING_STATUS=OR","EQY_CONSOLIDATED=Y","Sort=A","Dates=H","DateFormat=P","Fill=—","Direction=H","UseDPDF=Y")</f>
        <v>#NAME?</v>
      </c>
      <c r="AB67" s="2" t="e">
        <f ca="1">_xll.BDH($C$53,"NET_FIXED_ASSETS_1_YEAR_GROWTH","FQ4 2016","FQ4 2016","Currency=INR","Period=FQ","BEST_FPERIOD_OVERRIDE=FQ","FILING_STATUS=OR","EQY_CONSOLIDATED=Y","Sort=A","Dates=H","DateFormat=P","Fill=—","Direction=H","UseDPDF=Y")</f>
        <v>#NAME?</v>
      </c>
      <c r="AC67" s="2" t="e">
        <f ca="1">_xll.BDH($C$53,"ASSET_GROWTH","FQ4 2016","FQ4 2016","Currency=INR","Period=FQ","BEST_FPERIOD_OVERRIDE=FQ","FILING_STATUS=OR","EQY_CONSOLIDATED=Y","Sort=A","Dates=H","DateFormat=P","Fill=—","Direction=H","UseDPDF=Y")</f>
        <v>#NAME?</v>
      </c>
      <c r="AD67" s="2" t="e">
        <f ca="1">_xll.BDH($C$53,"MODIFIED_WORK_CAP_GROWTH","FQ4 2016","FQ4 2016","Currency=INR","Period=FQ","BEST_FPERIOD_OVERRIDE=FQ","FILING_STATUS=OR","EQY_CONSOLIDATED=Y","Sort=A","Dates=H","DateFormat=P","Fill=—","Direction=H","UseDPDF=Y")</f>
        <v>#NAME?</v>
      </c>
      <c r="AE67" s="2" t="e">
        <f ca="1">_xll.BDH($C$53,"WORK_CAP_GROWTH","FQ4 2016","FQ4 2016","Currency=INR","Period=FQ","BEST_FPERIOD_OVERRIDE=FQ","FILING_STATUS=OR","EQY_CONSOLIDATED=Y","Sort=A","Dates=H","DateFormat=P","Fill=—","Direction=H","UseDPDF=Y")</f>
        <v>#NAME?</v>
      </c>
      <c r="AF67" s="2" t="e">
        <f ca="1">_xll.BDH($C$53,"ACCOUNTS_PAYABLE_GROWTH_1YR","FQ4 2016","FQ4 2016","Currency=INR","Period=FQ","BEST_FPERIOD_OVERRIDE=FQ","FILING_STATUS=OR","EQY_CONSOLIDATED=Y","Sort=A","Dates=H","DateFormat=P","Fill=—","Direction=H","UseDPDF=Y")</f>
        <v>#NAME?</v>
      </c>
      <c r="AG67" s="2" t="e">
        <f ca="1">_xll.BDH($C$53,"SHORT_TERM_DEBT_1_YEAR_GROWTH","FQ4 2016","FQ4 2016","Currency=INR","Period=FQ","BEST_FPERIOD_OVERRIDE=FQ","FILING_STATUS=OR","EQY_CONSOLIDATED=Y","Sort=A","Dates=H","DateFormat=P","Fill=—","Direction=H","UseDPDF=Y")</f>
        <v>#NAME?</v>
      </c>
      <c r="AH67" s="2" t="e">
        <f ca="1">_xll.BDH($C$53,"TOTAL_DEBT_1_YEAR_GROWTH","FQ4 2016","FQ4 2016","Currency=INR","Period=FQ","BEST_FPERIOD_OVERRIDE=FQ","FILING_STATUS=OR","EQY_CONSOLIDATED=Y","Sort=A","Dates=H","DateFormat=P","Fill=—","Direction=H","UseDPDF=Y")</f>
        <v>#NAME?</v>
      </c>
      <c r="AI67" s="2" t="e">
        <f ca="1">_xll.BDH($C$53,"TOTAL_EQUITY_1_YEAR_GROWTH","FQ4 2016","FQ4 2016","Currency=INR","Period=FQ","BEST_FPERIOD_OVERRIDE=FQ","FILING_STATUS=OR","EQY_CONSOLIDATED=Y","Sort=A","Dates=H","DateFormat=P","Fill=—","Direction=H","UseDPDF=Y")</f>
        <v>#NAME?</v>
      </c>
      <c r="AJ67" s="2" t="e">
        <f ca="1">_xll.BDH($C$53,"GROWTH_IN_CAP","FQ4 2016","FQ4 2016","Currency=INR","Period=FQ","BEST_FPERIOD_OVERRIDE=FQ","FILING_STATUS=OR","EQY_CONSOLIDATED=Y","Sort=A","Dates=H","DateFormat=P","Fill=—","Direction=H","UseDPDF=Y")</f>
        <v>#NAME?</v>
      </c>
      <c r="AK67" s="2" t="e">
        <f ca="1">_xll.BDH($C$53,"BVPS_GROWTH","FQ4 2016","FQ4 2016","Currency=INR","Period=FQ","BEST_FPERIOD_OVERRIDE=FQ","FILING_STATUS=OR","EQY_CONSOLIDATED=Y","Sort=A","Dates=H","DateFormat=P","Fill=—","Direction=H","UseDPDF=Y")</f>
        <v>#NAME?</v>
      </c>
      <c r="AL67" s="2" t="e">
        <f ca="1">_xll.BDH($C$53,"CASH_FLOW_GROWTH","FQ4 2016","FQ4 2016","Currency=INR","Period=FQ","BEST_FPERIOD_OVERRIDE=FQ","FILING_STATUS=OR","EQY_CONSOLIDATED=Y","Sort=A","Dates=H","DateFormat=P","Fill=—","Direction=H","UseDPDF=Y")</f>
        <v>#NAME?</v>
      </c>
      <c r="AM67" s="2" t="e">
        <f ca="1">_xll.BDH($C$53,"GEO_GROW_NET_SALES","FQ4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67" s="2" t="e">
        <f ca="1">_xll.BDH($C$53,"GEO_GROW_EBITDA","FQ4 2016","FQ4 2016","Currency=INR","Period=FQ","BEST_FPERIOD_OVERRIDE=FQ","FILING_STATUS=OR","EQY_CONSOLIDATED=Y","FA_ADJUSTED=GAAP","Sort=A","Dates=H","DateFormat=P","Fill=—","Direction=H","UseDPDF=Y")</f>
        <v>#NAME?</v>
      </c>
      <c r="AO67" s="2" t="e">
        <f ca="1">_xll.BDH($C$53,"GEO_GROW_OPER_INC","FQ4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67" s="2" t="e">
        <f ca="1">_xll.BDH($C$53,"NET_INCOME_TO_COMMON_5_YR_GROWTH","FQ4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67" s="2" t="e">
        <f ca="1">_xll.BDH($C$53,"5Y_GEO_GROWTH_DILUTED_EPS","FQ4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67" s="2" t="e">
        <f ca="1">_xll.BDH($C$53,"GEO_GROW_DVD_PER_SH","FQ4 2016","FQ4 2016","Currency=INR","Period=FQ","BEST_FPERIOD_OVERRIDE=FQ","FILING_STATUS=OR","EQY_CONSOLIDATED=Y","Sort=A","Dates=H","DateFormat=P","Fill=—","Direction=H","UseDPDF=Y")</f>
        <v>#NAME?</v>
      </c>
      <c r="AS67" s="2" t="e">
        <f ca="1">_xll.BDH($C$53,"ACCOUNTS_RECEIVABLE_5_YR_GROWTH","FQ4 2016","FQ4 2016","Currency=INR","Period=FQ","BEST_FPERIOD_OVERRIDE=FQ","FILING_STATUS=OR","EQY_CONSOLIDATED=Y","Sort=A","Dates=H","DateFormat=P","Fill=—","Direction=H","UseDPDF=Y")</f>
        <v>#NAME?</v>
      </c>
      <c r="AT67" s="2" t="e">
        <f ca="1">_xll.BDH($C$53,"INVENTORY_5_YEAR_GROWTH","FQ4 2016","FQ4 2016","Currency=INR","Period=FQ","BEST_FPERIOD_OVERRIDE=FQ","FILING_STATUS=OR","EQY_CONSOLIDATED=Y","Sort=A","Dates=H","DateFormat=P","Fill=—","Direction=H","UseDPDF=Y")</f>
        <v>#NAME?</v>
      </c>
      <c r="AU67" s="2" t="e">
        <f ca="1">_xll.BDH($C$53,"NET_FIXED_ASSETS_5_YEAR_GROWTH","FQ4 2016","FQ4 2016","Currency=INR","Period=FQ","BEST_FPERIOD_OVERRIDE=FQ","FILING_STATUS=OR","EQY_CONSOLIDATED=Y","Sort=A","Dates=H","DateFormat=P","Fill=—","Direction=H","UseDPDF=Y")</f>
        <v>#NAME?</v>
      </c>
      <c r="AV67" s="2" t="e">
        <f ca="1">_xll.BDH($C$53,"GEO_GROW_TOT_ASSET","FQ4 2016","FQ4 2016","Currency=INR","Period=FQ","BEST_FPERIOD_OVERRIDE=FQ","FILING_STATUS=OR","EQY_CONSOLIDATED=Y","Sort=A","Dates=H","DateFormat=P","Fill=—","Direction=H","UseDPDF=Y")</f>
        <v>#NAME?</v>
      </c>
      <c r="AW67" s="2" t="e">
        <f ca="1">_xll.BDH($C$53,"MODIFIED_WORKING_CPTL_5YR_GRWTH","FQ4 2016","FQ4 2016","Currency=INR","Period=FQ","BEST_FPERIOD_OVERRIDE=FQ","FILING_STATUS=OR","EQY_CONSOLIDATED=Y","Sort=A","Dates=H","DateFormat=P","Fill=—","Direction=H","UseDPDF=Y")</f>
        <v>#NAME?</v>
      </c>
      <c r="AX67" s="2" t="e">
        <f ca="1">_xll.BDH($C$53,"WORKING_CAPITAL_5_YEAR_GROWTH","FQ4 2016","FQ4 2016","Currency=INR","Period=FQ","BEST_FPERIOD_OVERRIDE=FQ","FILING_STATUS=OR","EQY_CONSOLIDATED=Y","Sort=A","Dates=H","DateFormat=P","Fill=—","Direction=H","UseDPDF=Y")</f>
        <v>#NAME?</v>
      </c>
      <c r="AY67" s="2" t="e">
        <f ca="1">_xll.BDH($C$53,"ACCOUNTS_PAYABLE_5_YEAR_GROWTH","FQ4 2016","FQ4 2016","Currency=INR","Period=FQ","BEST_FPERIOD_OVERRIDE=FQ","FILING_STATUS=OR","EQY_CONSOLIDATED=Y","Sort=A","Dates=H","DateFormat=P","Fill=—","Direction=H","UseDPDF=Y")</f>
        <v>#NAME?</v>
      </c>
      <c r="AZ67" s="2" t="e">
        <f ca="1">_xll.BDH($C$53,"SHORT_TERM_DEBT_5_YEAR_GROWTH","FQ4 2016","FQ4 2016","Currency=INR","Period=FQ","BEST_FPERIOD_OVERRIDE=FQ","FILING_STATUS=OR","EQY_CONSOLIDATED=Y","Sort=A","Dates=H","DateFormat=P","Fill=—","Direction=H","UseDPDF=Y")</f>
        <v>#NAME?</v>
      </c>
      <c r="BA67" s="2" t="e">
        <f ca="1">_xll.BDH($C$53,"TOTAL_DEBT_5_YEAR_GROWTH","FQ4 2016","FQ4 2016","Currency=INR","Period=FQ","BEST_FPERIOD_OVERRIDE=FQ","FILING_STATUS=OR","EQY_CONSOLIDATED=Y","Sort=A","Dates=H","DateFormat=P","Fill=—","Direction=H","UseDPDF=Y")</f>
        <v>#NAME?</v>
      </c>
      <c r="BB67" s="2" t="e">
        <f ca="1">_xll.BDH($C$53,"GEO_GROW_TOT_SHRHLDR_EQY","FQ4 2016","FQ4 2016","Currency=INR","Period=FQ","BEST_FPERIOD_OVERRIDE=FQ","FILING_STATUS=OR","EQY_CONSOLIDATED=Y","Sort=A","Dates=H","DateFormat=P","Fill=—","Direction=H","UseDPDF=Y")</f>
        <v>#NAME?</v>
      </c>
      <c r="BC67" s="2" t="e">
        <f ca="1">_xll.BDH($C$53,"TOTAL_CAPITAL_5_YEAR_GROWTH","FQ4 2016","FQ4 2016","Currency=INR","Period=FQ","BEST_FPERIOD_OVERRIDE=FQ","FILING_STATUS=OR","EQY_CONSOLIDATED=Y","Sort=A","Dates=H","DateFormat=P","Fill=—","Direction=H","UseDPDF=Y")</f>
        <v>#NAME?</v>
      </c>
      <c r="BD67" s="2" t="e">
        <f ca="1">_xll.BDH($C$53,"GEO_GROW_BOOK_VAL","FQ4 2016","FQ4 2016","Currency=INR","Period=FQ","BEST_FPERIOD_OVERRIDE=FQ","FILING_STATUS=OR","EQY_CONSOLIDATED=Y","Sort=A","Dates=H","DateFormat=P","Fill=—","Direction=H","UseDPDF=Y")</f>
        <v>#NAME?</v>
      </c>
      <c r="BE67" s="2" t="e">
        <f ca="1">_xll.BDH($C$53,"GEO_GROW_CASH_OPER_ACT","FQ4 2016","FQ4 2016","Currency=INR","Period=FQ","BEST_FPERIOD_OVERRIDE=FQ","FILING_STATUS=OR","EQY_CONSOLIDATED=Y","Sort=A","Dates=H","DateFormat=P","Fill=—","Direction=H","UseDPDF=Y")</f>
        <v>#NAME?</v>
      </c>
      <c r="BF67" s="2" t="e">
        <f ca="1">_xll.BDH($C$53,"REVENUE_SEQUENTIAL_GROWTH","FQ4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67" s="2" t="e">
        <f ca="1">_xll.BDH($C$53,"EBITDA_SEQUENTIAL_GROWTH","FQ4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67" s="2" t="e">
        <f ca="1">_xll.BDH($C$53,"OPERATING_INCOME_SEQ_GROWTH","FQ4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67" s="2" t="e">
        <f ca="1">_xll.BDH($C$53,"NET_INCOME_TO_COMMON_SEQ_GROWTH","FQ4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67" s="2" t="e">
        <f ca="1">_xll.BDH($C$53,"EPS_DILUTED_SEQUENTIAL_GROWTH","FQ4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67" s="2" t="e">
        <f ca="1">_xll.BDH($C$53,"DPS_SEQUENTIAL_GROWTH","FQ4 2016","FQ4 2016","Currency=INR","Period=FQ","BEST_FPERIOD_OVERRIDE=FQ","FILING_STATUS=OR","EQY_CONSOLIDATED=Y","Sort=A","Dates=H","DateFormat=P","Fill=—","Direction=H","UseDPDF=Y")</f>
        <v>#NAME?</v>
      </c>
      <c r="BL67" s="2" t="e">
        <f ca="1">_xll.BDH($C$53,"ACCOUNTS_RECEIVABLE_SEQ_GROWTH","FQ4 2016","FQ4 2016","Currency=INR","Period=FQ","BEST_FPERIOD_OVERRIDE=FQ","FILING_STATUS=OR","EQY_CONSOLIDATED=Y","Sort=A","Dates=H","DateFormat=P","Fill=—","Direction=H","UseDPDF=Y")</f>
        <v>#NAME?</v>
      </c>
      <c r="BM67" s="2" t="e">
        <f ca="1">_xll.BDH($C$53,"INVENTORY_SEQUENTIAL_GROWTH","FQ4 2016","FQ4 2016","Currency=INR","Period=FQ","BEST_FPERIOD_OVERRIDE=FQ","FILING_STATUS=OR","EQY_CONSOLIDATED=Y","Sort=A","Dates=H","DateFormat=P","Fill=—","Direction=H","UseDPDF=Y")</f>
        <v>#NAME?</v>
      </c>
      <c r="BN67" s="2" t="e">
        <f ca="1">_xll.BDH($C$53,"FIXED_ASSETS_SEQUENTIAL_GROWTH","FQ4 2016","FQ4 2016","Currency=INR","Period=FQ","BEST_FPERIOD_OVERRIDE=FQ","FILING_STATUS=OR","EQY_CONSOLIDATED=Y","Sort=A","Dates=H","DateFormat=P","Fill=—","Direction=H","UseDPDF=Y")</f>
        <v>#NAME?</v>
      </c>
      <c r="BO67" s="2" t="e">
        <f ca="1">_xll.BDH($C$53,"TOTAL_ASSETS_SEQUENTIAL_GROWTH","FQ4 2016","FQ4 2016","Currency=INR","Period=FQ","BEST_FPERIOD_OVERRIDE=FQ","FILING_STATUS=OR","EQY_CONSOLIDATED=Y","Sort=A","Dates=H","DateFormat=P","Fill=—","Direction=H","UseDPDF=Y")</f>
        <v>#NAME?</v>
      </c>
      <c r="BP67" s="2" t="e">
        <f ca="1">_xll.BDH($C$53,"MODIFIED_WORKING_CPTL_SEQ_GRWTH","FQ4 2016","FQ4 2016","Currency=INR","Period=FQ","BEST_FPERIOD_OVERRIDE=FQ","FILING_STATUS=OR","EQY_CONSOLIDATED=Y","Sort=A","Dates=H","DateFormat=P","Fill=—","Direction=H","UseDPDF=Y")</f>
        <v>#NAME?</v>
      </c>
      <c r="BQ67" s="2" t="e">
        <f ca="1">_xll.BDH($C$53,"WORKING_CAPITAL_SEQ_GROWTH","FQ4 2016","FQ4 2016","Currency=INR","Period=FQ","BEST_FPERIOD_OVERRIDE=FQ","FILING_STATUS=OR","EQY_CONSOLIDATED=Y","Sort=A","Dates=H","DateFormat=P","Fill=—","Direction=H","UseDPDF=Y")</f>
        <v>#NAME?</v>
      </c>
      <c r="BR67" s="2" t="e">
        <f ca="1">_xll.BDH($C$53,"ACCOUNTS_PAYABLE_SEQ_GROWTH","FQ4 2016","FQ4 2016","Currency=INR","Period=FQ","BEST_FPERIOD_OVERRIDE=FQ","FILING_STATUS=OR","EQY_CONSOLIDATED=Y","Sort=A","Dates=H","DateFormat=P","Fill=—","Direction=H","UseDPDF=Y")</f>
        <v>#NAME?</v>
      </c>
      <c r="BS67" s="2" t="e">
        <f ca="1">_xll.BDH($C$53,"ST_DEBT_SEQUENTIAL_GROWTH","FQ4 2016","FQ4 2016","Currency=INR","Period=FQ","BEST_FPERIOD_OVERRIDE=FQ","FILING_STATUS=OR","EQY_CONSOLIDATED=Y","Sort=A","Dates=H","DateFormat=P","Fill=—","Direction=H","UseDPDF=Y")</f>
        <v>#NAME?</v>
      </c>
      <c r="BT67" s="2" t="e">
        <f ca="1">_xll.BDH($C$53,"TOTAL_DEBT_SEQUENTIAL_GROWTH","FQ4 2016","FQ4 2016","Currency=INR","Period=FQ","BEST_FPERIOD_OVERRIDE=FQ","FILING_STATUS=OR","EQY_CONSOLIDATED=Y","Sort=A","Dates=H","DateFormat=P","Fill=—","Direction=H","UseDPDF=Y")</f>
        <v>#NAME?</v>
      </c>
      <c r="BU67" s="2" t="e">
        <f ca="1">_xll.BDH($C$53,"TOTAL_EQUITY_SEQUENTIAL_GROWTH","FQ4 2016","FQ4 2016","Currency=INR","Period=FQ","BEST_FPERIOD_OVERRIDE=FQ","FILING_STATUS=OR","EQY_CONSOLIDATED=Y","Sort=A","Dates=H","DateFormat=P","Fill=—","Direction=H","UseDPDF=Y")</f>
        <v>#NAME?</v>
      </c>
      <c r="BV67" s="2" t="e">
        <f ca="1">_xll.BDH($C$53,"TOTAL_CAPITAL_SEQUENTIAL_GROWTH","FQ4 2016","FQ4 2016","Currency=INR","Period=FQ","BEST_FPERIOD_OVERRIDE=FQ","FILING_STATUS=OR","EQY_CONSOLIDATED=Y","Sort=A","Dates=H","DateFormat=P","Fill=—","Direction=H","UseDPDF=Y")</f>
        <v>#NAME?</v>
      </c>
      <c r="BW67" s="2" t="e">
        <f ca="1">_xll.BDH($C$53,"BPS_SEQUENTIAL_GROWTH","FQ4 2016","FQ4 2016","Currency=INR","Period=FQ","BEST_FPERIOD_OVERRIDE=FQ","FILING_STATUS=OR","EQY_CONSOLIDATED=Y","Sort=A","Dates=H","DateFormat=P","Fill=—","Direction=H","UseDPDF=Y")</f>
        <v>#NAME?</v>
      </c>
      <c r="BX67" s="2" t="e">
        <f ca="1">_xll.BDH($C$53,"CFO_SEQUENTIAL_GROWTH","FQ4 2016","FQ4 2016","Currency=INR","Period=FQ","BEST_FPERIOD_OVERRIDE=FQ","FILING_STATUS=OR","EQY_CONSOLIDATED=Y","Sort=A","Dates=H","DateFormat=P","Fill=—","Direction=H","UseDPDF=Y")</f>
        <v>#NAME?</v>
      </c>
      <c r="BY67" s="3" t="e">
        <f ca="1">_xll.BDH($C$53,"SHORT_AND_LONG_TERM_DEBT","FQ4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67" s="3" t="e">
        <f ca="1">_xll.BDH($C$53,"BS_ST_BORROW","FQ4 2016","FQ4 2016","Currency=INR","Period=FQ","BEST_FPERIOD_OVERRIDE=FQ","FILING_STATUS=OR","EQY_CONSOLIDATED=Y","SCALING_FORMAT=MLN","Sort=A","Dates=H","DateFormat=P","Fill=—","Direction=H","UseDPDF=Y")</f>
        <v>#NAME?</v>
      </c>
      <c r="CA67" s="3" t="e">
        <f ca="1">_xll.BDH($C$53,"BS_LT_BORROW","FQ4 2016","FQ4 2016","Currency=INR","Period=FQ","BEST_FPERIOD_OVERRIDE=FQ","FILING_STATUS=OR","EQY_CONSOLIDATED=Y","SCALING_FORMAT=MLN","Sort=A","Dates=H","DateFormat=P","Fill=—","Direction=H","UseDPDF=Y")</f>
        <v>#NAME?</v>
      </c>
      <c r="CB67" s="2" t="e">
        <f ca="1">_xll.BDH($C$53,"TOT_DEBT_TO_EBITDA","FQ4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67" s="2" t="e">
        <f ca="1">_xll.BDH($C$53,"NET_DEBT_TO_EBITDA","FQ4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67" s="2" t="e">
        <f ca="1">_xll.BDH($C$53,"TOTAL_DEBT_TO_EBIT","FQ4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67" s="2" t="e">
        <f ca="1">_xll.BDH($C$53,"NET_DEBT_TO_EBIT","FQ4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67" s="2" t="e">
        <f ca="1">_xll.BDH($C$53,"EBITDA_TO_INTEREST_EXPN","FQ4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67" s="2" t="e">
        <f ca="1">_xll.BDH($C$53,"COM_EQY_TO_TOT_ASSET","FQ4 2016","FQ4 2016","Currency=INR","Period=FQ","BEST_FPERIOD_OVERRIDE=FQ","FILING_STATUS=OR","EQY_CONSOLIDATED=Y","Sort=A","Dates=H","DateFormat=P","Fill=—","Direction=H","UseDPDF=Y")</f>
        <v>#NAME?</v>
      </c>
      <c r="CH67" s="2" t="e">
        <f ca="1">_xll.BDH($C$53,"LT_DEBT_TO_TOT_EQY","FQ4 2016","FQ4 2016","Currency=INR","Period=FQ","BEST_FPERIOD_OVERRIDE=FQ","FILING_STATUS=OR","EQY_CONSOLIDATED=Y","Sort=A","Dates=H","DateFormat=P","Fill=—","Direction=H","UseDPDF=Y")</f>
        <v>#NAME?</v>
      </c>
      <c r="CI67" s="2" t="e">
        <f ca="1">_xll.BDH($C$53,"LT_DEBT_TO_TOT_CAP","FQ4 2016","FQ4 2016","Currency=INR","Period=FQ","BEST_FPERIOD_OVERRIDE=FQ","FILING_STATUS=OR","EQY_CONSOLIDATED=Y","Sort=A","Dates=H","DateFormat=P","Fill=—","Direction=H","UseDPDF=Y")</f>
        <v>#NAME?</v>
      </c>
      <c r="CJ67" s="2" t="e">
        <f ca="1">_xll.BDH($C$53,"LT_DEBT_TO_TOT_ASSET","FQ4 2016","FQ4 2016","Currency=INR","Period=FQ","BEST_FPERIOD_OVERRIDE=FQ","FILING_STATUS=OR","EQY_CONSOLIDATED=Y","Sort=A","Dates=H","DateFormat=P","Fill=—","Direction=H","UseDPDF=Y")</f>
        <v>#NAME?</v>
      </c>
      <c r="CK67" s="2" t="e">
        <f ca="1">_xll.BDH($C$53,"TOT_DEBT_TO_TOT_EQY","FQ4 2016","FQ4 2016","Currency=INR","Period=FQ","BEST_FPERIOD_OVERRIDE=FQ","FILING_STATUS=OR","EQY_CONSOLIDATED=Y","Sort=A","Dates=H","DateFormat=P","Fill=—","Direction=H","UseDPDF=Y")</f>
        <v>#NAME?</v>
      </c>
      <c r="CL67" s="2" t="e">
        <f ca="1">_xll.BDH($C$53,"TOT_DEBT_TO_TOT_CAP","FQ4 2016","FQ4 2016","Currency=INR","Period=FQ","BEST_FPERIOD_OVERRIDE=FQ","FILING_STATUS=OR","EQY_CONSOLIDATED=Y","Sort=A","Dates=H","DateFormat=P","Fill=—","Direction=H","UseDPDF=Y")</f>
        <v>#NAME?</v>
      </c>
      <c r="CM67" s="2" t="e">
        <f ca="1">_xll.BDH($C$53,"TOT_DEBT_TO_TOT_ASSET","FQ4 2016","FQ4 2016","Currency=INR","Period=FQ","BEST_FPERIOD_OVERRIDE=FQ","FILING_STATUS=OR","EQY_CONSOLIDATED=Y","Sort=A","Dates=H","DateFormat=P","Fill=—","Direction=H","UseDPDF=Y")</f>
        <v>#NAME?</v>
      </c>
      <c r="CN67" s="2" t="e">
        <f ca="1">_xll.BDH($C$53,"NET_DEBT_TO_SHRHLDR_EQTY","FQ4 2016","FQ4 2016","Currency=INR","Period=FQ","BEST_FPERIOD_OVERRIDE=FQ","FILING_STATUS=OR","EQY_CONSOLIDATED=Y","Sort=A","Dates=H","DateFormat=P","Fill=—","Direction=H","UseDPDF=Y")</f>
        <v>#NAME?</v>
      </c>
      <c r="CO67" s="2" t="e">
        <f ca="1">_xll.BDH($C$53,"NET_DEBT_%_CAPITAL","FQ4 2016","FQ4 2016","Currency=INR","Period=FQ","BEST_FPERIOD_OVERRIDE=FQ","FILING_STATUS=OR","EQY_CONSOLIDATED=Y","Sort=A","Dates=H","DateFormat=P","Fill=—","Direction=H","UseDPDF=Y")</f>
        <v>#NAME?</v>
      </c>
      <c r="CP67" s="3" t="e">
        <f ca="1">_xll.BDH($C$53,"EBITDA","FQ4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67" s="3" t="e">
        <f ca="1">_xll.BDH($C$53,"EBITDA_AFTER_CAPEX","FQ4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67" s="3" t="e">
        <f ca="1">_xll.BDH($C$53,"IS_OPER_INC","FQ4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67" s="2" t="e">
        <f ca="1">_xll.BDH($C$53,"CASH_RATIO","FQ4 2016","FQ4 2016","Currency=INR","Period=FQ","BEST_FPERIOD_OVERRIDE=FQ","FILING_STATUS=OR","EQY_CONSOLIDATED=Y","Sort=A","Dates=H","DateFormat=P","Fill=—","Direction=H","UseDPDF=Y")</f>
        <v>#NAME?</v>
      </c>
      <c r="CT67" s="2" t="e">
        <f ca="1">_xll.BDH($C$53,"CUR_RATIO","FQ4 2016","FQ4 2016","Currency=INR","Period=FQ","BEST_FPERIOD_OVERRIDE=FQ","FILING_STATUS=OR","EQY_CONSOLIDATED=Y","Sort=A","Dates=H","DateFormat=P","Fill=—","Direction=H","UseDPDF=Y")</f>
        <v>#NAME?</v>
      </c>
      <c r="CU67" s="2" t="e">
        <f ca="1">_xll.BDH($C$53,"QUICK_RATIO","FQ4 2016","FQ4 2016","Currency=INR","Period=FQ","BEST_FPERIOD_OVERRIDE=FQ","FILING_STATUS=OR","EQY_CONSOLIDATED=Y","Sort=A","Dates=H","DateFormat=P","Fill=—","Direction=H","UseDPDF=Y")</f>
        <v>#NAME?</v>
      </c>
      <c r="CV67" s="2" t="e">
        <f ca="1">_xll.BDH($C$53,"ALTMAN_Z_SCORE","FQ4 2016","FQ4 2016","Currency=INR","Period=FQ","BEST_FPERIOD_OVERRIDE=FQ","FILING_STATUS=OR","EQY_CONSOLIDATED=Y","Sort=A","Dates=H","DateFormat=P","Fill=—","Direction=H","UseDPDF=Y")</f>
        <v>#NAME?</v>
      </c>
      <c r="CW67" s="4" t="e">
        <f ca="1">_xll.BDH($C$53,"ACCT_RCV_TURN","FQ4 2016","FQ4 2016","Currency=INR","Period=FQ","BEST_FPERIOD_OVERRIDE=FQ","FILING_STATUS=OR","EQY_CONSOLIDATED=Y","FA_ADJUSTED=GAAP","Sort=A","Dates=H","DateFormat=P","Fill=—","Direction=H","UseDPDF=Y")</f>
        <v>#NAME?</v>
      </c>
      <c r="CX67" s="2" t="e">
        <f ca="1">_xll.BDH($C$53,"ACCT_RCV_DAYS","FQ4 2016","FQ4 2016","Currency=INR","Period=FQ","BEST_FPERIOD_OVERRIDE=FQ","FILING_STATUS=OR","EQY_CONSOLIDATED=Y","FA_ADJUSTED=GAAP","Sort=A","Dates=H","DateFormat=P","Fill=—","Direction=H","UseDPDF=Y")</f>
        <v>#NAME?</v>
      </c>
      <c r="CY67" s="4" t="e">
        <f ca="1">_xll.BDH($C$53,"INVENT_TURN","FQ4 2016","FQ4 2016","Currency=INR","Period=FQ","BEST_FPERIOD_OVERRIDE=FQ","FILING_STATUS=OR","EQY_CONSOLIDATED=Y","FA_ADJUSTED=GAAP","Sort=A","Dates=H","DateFormat=P","Fill=—","Direction=H","UseDPDF=Y")</f>
        <v>#NAME?</v>
      </c>
      <c r="CZ67" s="2" t="e">
        <f ca="1">_xll.BDH($C$53,"INVENT_DAYS","FQ4 2016","FQ4 2016","Currency=INR","Period=FQ","BEST_FPERIOD_OVERRIDE=FQ","FILING_STATUS=OR","EQY_CONSOLIDATED=Y","FA_ADJUSTED=GAAP","Sort=A","Dates=H","DateFormat=P","Fill=—","Direction=H","UseDPDF=Y")</f>
        <v>#NAME?</v>
      </c>
      <c r="DA67" s="4" t="e">
        <f ca="1">_xll.BDH($C$53,"ACCOUNTS_PAYABLE_TURNOVER","FQ4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67" s="2" t="e">
        <f ca="1">_xll.BDH($C$53,"ACCOUNTS_PAYABLE_TURNOVER_DAYS","FQ4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67" s="4" t="e">
        <f ca="1">_xll.BDH($C$53,"CASH_CONVERSION_CYCLE","FQ4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67" s="4" t="e">
        <f ca="1">_xll.BDH($C$53,"INV_TO_CASH_DAYS","FQ4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67" s="5" t="e">
        <f ca="1">_xll.BDH($C$53,"BS_INVENTORIES","FQ4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67" s="3" t="e">
        <f ca="1">_xll.BDH($C$53,"INVTRY_RAW_MATERIALS","FQ4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67" s="3" t="e">
        <f ca="1">_xll.BDH($C$53,"INVTRY_IN_PROGRESS","FQ4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67" s="3" t="e">
        <f ca="1">_xll.BDH($C$53,"INVTRY_FINISHED_GOODS","FQ4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67" s="3" t="e">
        <f ca="1">_xll.BDH($C$53,"BS_OTHER_INV","FQ4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68" spans="1:113" x14ac:dyDescent="0.3">
      <c r="A68" s="6"/>
      <c r="B68" s="6"/>
      <c r="C68" s="6"/>
      <c r="D68" s="6" t="s">
        <v>84</v>
      </c>
      <c r="E68" t="s">
        <v>77</v>
      </c>
      <c r="F68" t="e">
        <f ca="1">_xll.BDH($C$53,"RETURN_COM_EQY","FY 2017","FY 2017","Currency=INR","Period=FY","BEST_FPERIOD_OVERRIDE=FY","FILING_STATUS=OR","EQY_CONSOLIDATED=Y","FA_ADJUSTED=GAAP","Sort=A","Dates=H","DateFormat=P","Fill=—","Direction=H","UseDPDF=Y")</f>
        <v>#NAME?</v>
      </c>
      <c r="G68" t="e">
        <f ca="1">_xll.BDH($C$53,"RETURN_ON_ASSET","FY 2017","FY 2017","Currency=INR","Period=FY","BEST_FPERIOD_OVERRIDE=FY","FILING_STATUS=OR","EQY_CONSOLIDATED=Y","FA_ADJUSTED=GAAP","Sort=A","Dates=H","DateFormat=P","Fill=—","Direction=H","UseDPDF=Y")</f>
        <v>#NAME?</v>
      </c>
      <c r="H68" t="e">
        <f ca="1">_xll.BDH($C$53,"RETURN_ON_CAP","FY 2017","FY 2017","Currency=INR","Period=FY","BEST_FPERIOD_OVERRIDE=FY","FILING_STATUS=OR","EQY_CONSOLIDATED=Y","FA_ADJUSTED=GAAP","Sort=A","Dates=H","DateFormat=P","Fill=—","Direction=H","UseDPDF=Y")</f>
        <v>#NAME?</v>
      </c>
      <c r="I68" t="e">
        <f ca="1">_xll.BDH($C$53,"RETURN_ON_INV_CAPITAL","FY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68" t="e">
        <f ca="1">_xll.BDH($C$53,"EBITDA_TO_REVENUE","FY 2017","FY 2017","Currency=INR","Period=FY","BEST_FPERIOD_OVERRIDE=FY","FILING_STATUS=OR","EQY_CONSOLIDATED=Y","FA_ADJUSTED=GAAP","Sort=A","Dates=H","DateFormat=P","Fill=—","Direction=H","UseDPDF=Y")</f>
        <v>#NAME?</v>
      </c>
      <c r="K68" t="e">
        <f ca="1">_xll.BDH($C$53,"OPER_MARGIN","FY 2017","FY 2017","Currency=INR","Period=FY","BEST_FPERIOD_OVERRIDE=FY","FILING_STATUS=OR","EQY_CONSOLIDATED=Y","FA_ADJUSTED=GAAP","Sort=A","Dates=H","DateFormat=P","Fill=—","Direction=H","UseDPDF=Y")</f>
        <v>#NAME?</v>
      </c>
      <c r="L68" t="e">
        <f ca="1">_xll.BDH($C$53,"INCREMENTAL_OPERATING_MARGIN","FY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68" t="e">
        <f ca="1">_xll.BDH($C$53,"PRETAX_INC_TO_NET_SALES","FY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68" t="e">
        <f ca="1">_xll.BDH($C$53,"INC_BEF_XO_ITEMS_TO_NET_SALES","FY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68" t="e">
        <f ca="1">_xll.BDH($C$53,"PROF_MARGIN","FY 2017","FY 2017","Currency=INR","Period=FY","BEST_FPERIOD_OVERRIDE=FY","FILING_STATUS=OR","EQY_CONSOLIDATED=Y","FA_ADJUSTED=GAAP","Sort=A","Dates=H","DateFormat=P","Fill=—","Direction=H","UseDPDF=Y")</f>
        <v>#NAME?</v>
      </c>
      <c r="P68" t="e">
        <f ca="1">_xll.BDH($C$53,"NET_INCOME_TO_COMMON_MARGIN","FY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68" t="e">
        <f ca="1">_xll.BDH($C$53,"EFF_TAX_RATE","FY 2017","FY 2017","Currency=INR","Period=FY","BEST_FPERIOD_OVERRIDE=FY","FILING_STATUS=OR","EQY_CONSOLIDATED=Y","FA_ADJUSTED=GAAP","Sort=A","Dates=H","DateFormat=P","Fill=—","Direction=H","UseDPDF=Y")</f>
        <v>#NAME?</v>
      </c>
      <c r="R68" t="e">
        <f ca="1">_xll.BDH($C$53,"DVD_PAYOUT_RATIO","FY 2017","FY 2017","Currency=INR","Period=FY","BEST_FPERIOD_OVERRIDE=FY","FILING_STATUS=OR","EQY_CONSOLIDATED=Y","FA_ADJUSTED=GAAP","Sort=A","Dates=H","DateFormat=P","Fill=—","Direction=H","UseDPDF=Y")</f>
        <v>#NAME?</v>
      </c>
      <c r="S68" t="e">
        <f ca="1">_xll.BDH($C$53,"SUSTAIN_GROWTH_RT","FY 2017","FY 2017","Currency=INR","Period=FY","BEST_FPERIOD_OVERRIDE=FY","FILING_STATUS=OR","EQY_CONSOLIDATED=Y","FA_ADJUSTED=GAAP","Sort=A","Dates=H","DateFormat=P","Fill=—","Direction=H","UseDPDF=Y")</f>
        <v>#NAME?</v>
      </c>
      <c r="T68" s="2" t="e">
        <f ca="1">_xll.BDH($C$53,"SALES_GROWTH","FY 2017","FY 2017","Currency=INR","Period=FY","BEST_FPERIOD_OVERRIDE=FY","FILING_STATUS=OR","EQY_CONSOLIDATED=Y","FA_ADJUSTED=GAAP","Sort=A","Dates=H","DateFormat=P","Fill=—","Direction=H","UseDPDF=Y")</f>
        <v>#NAME?</v>
      </c>
      <c r="U68" s="2" t="e">
        <f ca="1">_xll.BDH($C$53,"EBITDA_GROWTH","FY 2017","FY 2017","Currency=INR","Period=FY","BEST_FPERIOD_OVERRIDE=FY","FILING_STATUS=OR","EQY_CONSOLIDATED=Y","FA_ADJUSTED=GAAP","Sort=A","Dates=H","DateFormat=P","Fill=—","Direction=H","UseDPDF=Y")</f>
        <v>#NAME?</v>
      </c>
      <c r="V68" s="2" t="e">
        <f ca="1">_xll.BDH($C$53,"OPER_INC_GROWTH","FY 2017","FY 2017","Currency=INR","Period=FY","BEST_FPERIOD_OVERRIDE=FY","FILING_STATUS=OR","EQY_CONSOLIDATED=Y","FA_ADJUSTED=GAAP","Sort=A","Dates=H","DateFormat=P","Fill=—","Direction=H","UseDPDF=Y")</f>
        <v>#NAME?</v>
      </c>
      <c r="W68" s="2" t="e">
        <f ca="1">_xll.BDH($C$53,"EARN_FOR_COM_GROWTH","FY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68" s="2" t="e">
        <f ca="1">_xll.BDH($C$53,"DILUTED_EPS_AFT_XO_ITEMS_GROWTH","FY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68" s="2" t="e">
        <f ca="1">_xll.BDH($C$53,"DIVIDEND_PER_SHARE_1_YEAR_GROWTH","FY 2017","FY 2017","Currency=INR","Period=FY","BEST_FPERIOD_OVERRIDE=FY","FILING_STATUS=OR","EQY_CONSOLIDATED=Y","Sort=A","Dates=H","DateFormat=P","Fill=—","Direction=H","UseDPDF=Y")</f>
        <v>#NAME?</v>
      </c>
      <c r="Z68" s="2" t="e">
        <f ca="1">_xll.BDH($C$53,"ACCOUNTS_RECEIVABLE_GROWTH","FY 2017","FY 2017","Currency=INR","Period=FY","BEST_FPERIOD_OVERRIDE=FY","FILING_STATUS=OR","EQY_CONSOLIDATED=Y","Sort=A","Dates=H","DateFormat=P","Fill=—","Direction=H","UseDPDF=Y")</f>
        <v>#NAME?</v>
      </c>
      <c r="AA68" s="2" t="e">
        <f ca="1">_xll.BDH($C$53,"INVENTORY_GROWTH","FY 2017","FY 2017","Currency=INR","Period=FY","BEST_FPERIOD_OVERRIDE=FY","FILING_STATUS=OR","EQY_CONSOLIDATED=Y","Sort=A","Dates=H","DateFormat=P","Fill=—","Direction=H","UseDPDF=Y")</f>
        <v>#NAME?</v>
      </c>
      <c r="AB68" s="2" t="e">
        <f ca="1">_xll.BDH($C$53,"NET_FIXED_ASSETS_1_YEAR_GROWTH","FY 2017","FY 2017","Currency=INR","Period=FY","BEST_FPERIOD_OVERRIDE=FY","FILING_STATUS=OR","EQY_CONSOLIDATED=Y","Sort=A","Dates=H","DateFormat=P","Fill=—","Direction=H","UseDPDF=Y")</f>
        <v>#NAME?</v>
      </c>
      <c r="AC68" s="2" t="e">
        <f ca="1">_xll.BDH($C$53,"ASSET_GROWTH","FY 2017","FY 2017","Currency=INR","Period=FY","BEST_FPERIOD_OVERRIDE=FY","FILING_STATUS=OR","EQY_CONSOLIDATED=Y","Sort=A","Dates=H","DateFormat=P","Fill=—","Direction=H","UseDPDF=Y")</f>
        <v>#NAME?</v>
      </c>
      <c r="AD68" s="2" t="e">
        <f ca="1">_xll.BDH($C$53,"MODIFIED_WORK_CAP_GROWTH","FY 2017","FY 2017","Currency=INR","Period=FY","BEST_FPERIOD_OVERRIDE=FY","FILING_STATUS=OR","EQY_CONSOLIDATED=Y","Sort=A","Dates=H","DateFormat=P","Fill=—","Direction=H","UseDPDF=Y")</f>
        <v>#NAME?</v>
      </c>
      <c r="AE68" s="2" t="e">
        <f ca="1">_xll.BDH($C$53,"WORK_CAP_GROWTH","FY 2017","FY 2017","Currency=INR","Period=FY","BEST_FPERIOD_OVERRIDE=FY","FILING_STATUS=OR","EQY_CONSOLIDATED=Y","Sort=A","Dates=H","DateFormat=P","Fill=—","Direction=H","UseDPDF=Y")</f>
        <v>#NAME?</v>
      </c>
      <c r="AF68" s="2" t="e">
        <f ca="1">_xll.BDH($C$53,"ACCOUNTS_PAYABLE_GROWTH_1YR","FY 2017","FY 2017","Currency=INR","Period=FY","BEST_FPERIOD_OVERRIDE=FY","FILING_STATUS=OR","EQY_CONSOLIDATED=Y","Sort=A","Dates=H","DateFormat=P","Fill=—","Direction=H","UseDPDF=Y")</f>
        <v>#NAME?</v>
      </c>
      <c r="AG68" s="2" t="e">
        <f ca="1">_xll.BDH($C$53,"SHORT_TERM_DEBT_1_YEAR_GROWTH","FY 2017","FY 2017","Currency=INR","Period=FY","BEST_FPERIOD_OVERRIDE=FY","FILING_STATUS=OR","EQY_CONSOLIDATED=Y","Sort=A","Dates=H","DateFormat=P","Fill=—","Direction=H","UseDPDF=Y")</f>
        <v>#NAME?</v>
      </c>
      <c r="AH68" s="2" t="e">
        <f ca="1">_xll.BDH($C$53,"TOTAL_DEBT_1_YEAR_GROWTH","FY 2017","FY 2017","Currency=INR","Period=FY","BEST_FPERIOD_OVERRIDE=FY","FILING_STATUS=OR","EQY_CONSOLIDATED=Y","Sort=A","Dates=H","DateFormat=P","Fill=—","Direction=H","UseDPDF=Y")</f>
        <v>#NAME?</v>
      </c>
      <c r="AI68" s="2" t="e">
        <f ca="1">_xll.BDH($C$53,"TOTAL_EQUITY_1_YEAR_GROWTH","FY 2017","FY 2017","Currency=INR","Period=FY","BEST_FPERIOD_OVERRIDE=FY","FILING_STATUS=OR","EQY_CONSOLIDATED=Y","Sort=A","Dates=H","DateFormat=P","Fill=—","Direction=H","UseDPDF=Y")</f>
        <v>#NAME?</v>
      </c>
      <c r="AJ68" s="2" t="e">
        <f ca="1">_xll.BDH($C$53,"GROWTH_IN_CAP","FY 2017","FY 2017","Currency=INR","Period=FY","BEST_FPERIOD_OVERRIDE=FY","FILING_STATUS=OR","EQY_CONSOLIDATED=Y","Sort=A","Dates=H","DateFormat=P","Fill=—","Direction=H","UseDPDF=Y")</f>
        <v>#NAME?</v>
      </c>
      <c r="AK68" s="2" t="e">
        <f ca="1">_xll.BDH($C$53,"BVPS_GROWTH","FY 2017","FY 2017","Currency=INR","Period=FY","BEST_FPERIOD_OVERRIDE=FY","FILING_STATUS=OR","EQY_CONSOLIDATED=Y","Sort=A","Dates=H","DateFormat=P","Fill=—","Direction=H","UseDPDF=Y")</f>
        <v>#NAME?</v>
      </c>
      <c r="AL68" s="2" t="e">
        <f ca="1">_xll.BDH($C$53,"CASH_FLOW_GROWTH","FY 2017","FY 2017","Currency=INR","Period=FY","BEST_FPERIOD_OVERRIDE=FY","FILING_STATUS=OR","EQY_CONSOLIDATED=Y","Sort=A","Dates=H","DateFormat=P","Fill=—","Direction=H","UseDPDF=Y")</f>
        <v>#NAME?</v>
      </c>
      <c r="AM68" s="2" t="e">
        <f ca="1">_xll.BDH($C$53,"GEO_GROW_NET_SALES","FY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68" s="2" t="e">
        <f ca="1">_xll.BDH($C$53,"GEO_GROW_EBITDA","FY 2017","FY 2017","Currency=INR","Period=FY","BEST_FPERIOD_OVERRIDE=FY","FILING_STATUS=OR","EQY_CONSOLIDATED=Y","FA_ADJUSTED=GAAP","Sort=A","Dates=H","DateFormat=P","Fill=—","Direction=H","UseDPDF=Y")</f>
        <v>#NAME?</v>
      </c>
      <c r="AO68" s="2" t="e">
        <f ca="1">_xll.BDH($C$53,"GEO_GROW_OPER_INC","FY 2017","FY 2017","Currency=INR","Period=FY","BEST_FPERIOD_OVERRIDE=FY","FILING_STATUS=OR","EQY_CONSOLIDATED=Y","FA_ADJUSTED=GAAP","Sort=A","Dates=H","DateFormat=P","Fill=—","Direction=H","UseDPDF=Y")</f>
        <v>#NAME?</v>
      </c>
      <c r="AP68" s="2" t="e">
        <f ca="1">_xll.BDH($C$53,"NET_INCOME_TO_COMMON_5_YR_GROWTH","FY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68" s="2" t="e">
        <f ca="1">_xll.BDH($C$53,"5Y_GEO_GROWTH_DILUTED_EPS","FY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68" s="2" t="e">
        <f ca="1">_xll.BDH($C$53,"GEO_GROW_DVD_PER_SH","FY 2017","FY 2017","Currency=INR","Period=FY","BEST_FPERIOD_OVERRIDE=FY","FILING_STATUS=OR","EQY_CONSOLIDATED=Y","Sort=A","Dates=H","DateFormat=P","Fill=—","Direction=H","UseDPDF=Y")</f>
        <v>#NAME?</v>
      </c>
      <c r="AS68" s="2" t="e">
        <f ca="1">_xll.BDH($C$53,"ACCOUNTS_RECEIVABLE_5_YR_GROWTH","FY 2017","FY 2017","Currency=INR","Period=FY","BEST_FPERIOD_OVERRIDE=FY","FILING_STATUS=OR","EQY_CONSOLIDATED=Y","Sort=A","Dates=H","DateFormat=P","Fill=—","Direction=H","UseDPDF=Y")</f>
        <v>#NAME?</v>
      </c>
      <c r="AT68" s="2" t="e">
        <f ca="1">_xll.BDH($C$53,"INVENTORY_5_YEAR_GROWTH","FY 2017","FY 2017","Currency=INR","Period=FY","BEST_FPERIOD_OVERRIDE=FY","FILING_STATUS=OR","EQY_CONSOLIDATED=Y","Sort=A","Dates=H","DateFormat=P","Fill=—","Direction=H","UseDPDF=Y")</f>
        <v>#NAME?</v>
      </c>
      <c r="AU68" s="2" t="e">
        <f ca="1">_xll.BDH($C$53,"NET_FIXED_ASSETS_5_YEAR_GROWTH","FY 2017","FY 2017","Currency=INR","Period=FY","BEST_FPERIOD_OVERRIDE=FY","FILING_STATUS=OR","EQY_CONSOLIDATED=Y","Sort=A","Dates=H","DateFormat=P","Fill=—","Direction=H","UseDPDF=Y")</f>
        <v>#NAME?</v>
      </c>
      <c r="AV68" s="2" t="e">
        <f ca="1">_xll.BDH($C$53,"GEO_GROW_TOT_ASSET","FY 2017","FY 2017","Currency=INR","Period=FY","BEST_FPERIOD_OVERRIDE=FY","FILING_STATUS=OR","EQY_CONSOLIDATED=Y","Sort=A","Dates=H","DateFormat=P","Fill=—","Direction=H","UseDPDF=Y")</f>
        <v>#NAME?</v>
      </c>
      <c r="AW68" s="2" t="e">
        <f ca="1">_xll.BDH($C$53,"MODIFIED_WORKING_CPTL_5YR_GRWTH","FY 2017","FY 2017","Currency=INR","Period=FY","BEST_FPERIOD_OVERRIDE=FY","FILING_STATUS=OR","EQY_CONSOLIDATED=Y","Sort=A","Dates=H","DateFormat=P","Fill=—","Direction=H","UseDPDF=Y")</f>
        <v>#NAME?</v>
      </c>
      <c r="AX68" s="2" t="e">
        <f ca="1">_xll.BDH($C$53,"WORKING_CAPITAL_5_YEAR_GROWTH","FY 2017","FY 2017","Currency=INR","Period=FY","BEST_FPERIOD_OVERRIDE=FY","FILING_STATUS=OR","EQY_CONSOLIDATED=Y","Sort=A","Dates=H","DateFormat=P","Fill=—","Direction=H","UseDPDF=Y")</f>
        <v>#NAME?</v>
      </c>
      <c r="AY68" s="2" t="e">
        <f ca="1">_xll.BDH($C$53,"ACCOUNTS_PAYABLE_5_YEAR_GROWTH","FY 2017","FY 2017","Currency=INR","Period=FY","BEST_FPERIOD_OVERRIDE=FY","FILING_STATUS=OR","EQY_CONSOLIDATED=Y","Sort=A","Dates=H","DateFormat=P","Fill=—","Direction=H","UseDPDF=Y")</f>
        <v>#NAME?</v>
      </c>
      <c r="AZ68" s="2" t="e">
        <f ca="1">_xll.BDH($C$53,"SHORT_TERM_DEBT_5_YEAR_GROWTH","FY 2017","FY 2017","Currency=INR","Period=FY","BEST_FPERIOD_OVERRIDE=FY","FILING_STATUS=OR","EQY_CONSOLIDATED=Y","Sort=A","Dates=H","DateFormat=P","Fill=—","Direction=H","UseDPDF=Y")</f>
        <v>#NAME?</v>
      </c>
      <c r="BA68" s="2" t="e">
        <f ca="1">_xll.BDH($C$53,"TOTAL_DEBT_5_YEAR_GROWTH","FY 2017","FY 2017","Currency=INR","Period=FY","BEST_FPERIOD_OVERRIDE=FY","FILING_STATUS=OR","EQY_CONSOLIDATED=Y","Sort=A","Dates=H","DateFormat=P","Fill=—","Direction=H","UseDPDF=Y")</f>
        <v>#NAME?</v>
      </c>
      <c r="BB68" s="2" t="e">
        <f ca="1">_xll.BDH($C$53,"GEO_GROW_TOT_SHRHLDR_EQY","FY 2017","FY 2017","Currency=INR","Period=FY","BEST_FPERIOD_OVERRIDE=FY","FILING_STATUS=OR","EQY_CONSOLIDATED=Y","Sort=A","Dates=H","DateFormat=P","Fill=—","Direction=H","UseDPDF=Y")</f>
        <v>#NAME?</v>
      </c>
      <c r="BC68" s="2" t="e">
        <f ca="1">_xll.BDH($C$53,"TOTAL_CAPITAL_5_YEAR_GROWTH","FY 2017","FY 2017","Currency=INR","Period=FY","BEST_FPERIOD_OVERRIDE=FY","FILING_STATUS=OR","EQY_CONSOLIDATED=Y","Sort=A","Dates=H","DateFormat=P","Fill=—","Direction=H","UseDPDF=Y")</f>
        <v>#NAME?</v>
      </c>
      <c r="BD68" s="2" t="e">
        <f ca="1">_xll.BDH($C$53,"GEO_GROW_BOOK_VAL","FY 2017","FY 2017","Currency=INR","Period=FY","BEST_FPERIOD_OVERRIDE=FY","FILING_STATUS=OR","EQY_CONSOLIDATED=Y","Sort=A","Dates=H","DateFormat=P","Fill=—","Direction=H","UseDPDF=Y")</f>
        <v>#NAME?</v>
      </c>
      <c r="BE68" s="2" t="e">
        <f ca="1">_xll.BDH($C$53,"GEO_GROW_CASH_OPER_ACT","FY 2017","FY 2017","Currency=INR","Period=FY","BEST_FPERIOD_OVERRIDE=FY","FILING_STATUS=OR","EQY_CONSOLIDATED=Y","Sort=A","Dates=H","DateFormat=P","Fill=—","Direction=H","UseDPDF=Y")</f>
        <v>#NAME?</v>
      </c>
      <c r="BF68" s="2" t="e">
        <f ca="1">_xll.BDH($C$53,"REVENUE_SEQUENTIAL_GROWTH","FY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68" s="2" t="e">
        <f ca="1">_xll.BDH($C$53,"EBITDA_SEQUENTIAL_GROWTH","FY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68" s="2" t="e">
        <f ca="1">_xll.BDH($C$53,"OPERATING_INCOME_SEQ_GROWTH","FY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68" s="2" t="e">
        <f ca="1">_xll.BDH($C$53,"NET_INCOME_TO_COMMON_SEQ_GROWTH","FY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68" s="2" t="e">
        <f ca="1">_xll.BDH($C$53,"EPS_DILUTED_SEQUENTIAL_GROWTH","FY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68" s="2" t="e">
        <f ca="1">_xll.BDH($C$53,"DPS_SEQUENTIAL_GROWTH","FY 2017","FY 2017","Currency=INR","Period=FY","BEST_FPERIOD_OVERRIDE=FY","FILING_STATUS=OR","EQY_CONSOLIDATED=Y","Sort=A","Dates=H","DateFormat=P","Fill=—","Direction=H","UseDPDF=Y")</f>
        <v>#NAME?</v>
      </c>
      <c r="BL68" s="2" t="e">
        <f ca="1">_xll.BDH($C$53,"ACCOUNTS_RECEIVABLE_SEQ_GROWTH","FY 2017","FY 2017","Currency=INR","Period=FY","BEST_FPERIOD_OVERRIDE=FY","FILING_STATUS=OR","EQY_CONSOLIDATED=Y","Sort=A","Dates=H","DateFormat=P","Fill=—","Direction=H","UseDPDF=Y")</f>
        <v>#NAME?</v>
      </c>
      <c r="BM68" s="2" t="e">
        <f ca="1">_xll.BDH($C$53,"INVENTORY_SEQUENTIAL_GROWTH","FY 2017","FY 2017","Currency=INR","Period=FY","BEST_FPERIOD_OVERRIDE=FY","FILING_STATUS=OR","EQY_CONSOLIDATED=Y","Sort=A","Dates=H","DateFormat=P","Fill=—","Direction=H","UseDPDF=Y")</f>
        <v>#NAME?</v>
      </c>
      <c r="BN68" s="2" t="e">
        <f ca="1">_xll.BDH($C$53,"FIXED_ASSETS_SEQUENTIAL_GROWTH","FY 2017","FY 2017","Currency=INR","Period=FY","BEST_FPERIOD_OVERRIDE=FY","FILING_STATUS=OR","EQY_CONSOLIDATED=Y","Sort=A","Dates=H","DateFormat=P","Fill=—","Direction=H","UseDPDF=Y")</f>
        <v>#NAME?</v>
      </c>
      <c r="BO68" s="2" t="e">
        <f ca="1">_xll.BDH($C$53,"TOTAL_ASSETS_SEQUENTIAL_GROWTH","FY 2017","FY 2017","Currency=INR","Period=FY","BEST_FPERIOD_OVERRIDE=FY","FILING_STATUS=OR","EQY_CONSOLIDATED=Y","Sort=A","Dates=H","DateFormat=P","Fill=—","Direction=H","UseDPDF=Y")</f>
        <v>#NAME?</v>
      </c>
      <c r="BP68" s="2" t="e">
        <f ca="1">_xll.BDH($C$53,"MODIFIED_WORKING_CPTL_SEQ_GRWTH","FY 2017","FY 2017","Currency=INR","Period=FY","BEST_FPERIOD_OVERRIDE=FY","FILING_STATUS=OR","EQY_CONSOLIDATED=Y","Sort=A","Dates=H","DateFormat=P","Fill=—","Direction=H","UseDPDF=Y")</f>
        <v>#NAME?</v>
      </c>
      <c r="BQ68" s="2" t="e">
        <f ca="1">_xll.BDH($C$53,"WORKING_CAPITAL_SEQ_GROWTH","FY 2017","FY 2017","Currency=INR","Period=FY","BEST_FPERIOD_OVERRIDE=FY","FILING_STATUS=OR","EQY_CONSOLIDATED=Y","Sort=A","Dates=H","DateFormat=P","Fill=—","Direction=H","UseDPDF=Y")</f>
        <v>#NAME?</v>
      </c>
      <c r="BR68" s="2" t="e">
        <f ca="1">_xll.BDH($C$53,"ACCOUNTS_PAYABLE_SEQ_GROWTH","FY 2017","FY 2017","Currency=INR","Period=FY","BEST_FPERIOD_OVERRIDE=FY","FILING_STATUS=OR","EQY_CONSOLIDATED=Y","Sort=A","Dates=H","DateFormat=P","Fill=—","Direction=H","UseDPDF=Y")</f>
        <v>#NAME?</v>
      </c>
      <c r="BS68" s="2" t="e">
        <f ca="1">_xll.BDH($C$53,"ST_DEBT_SEQUENTIAL_GROWTH","FY 2017","FY 2017","Currency=INR","Period=FY","BEST_FPERIOD_OVERRIDE=FY","FILING_STATUS=OR","EQY_CONSOLIDATED=Y","Sort=A","Dates=H","DateFormat=P","Fill=—","Direction=H","UseDPDF=Y")</f>
        <v>#NAME?</v>
      </c>
      <c r="BT68" s="2" t="e">
        <f ca="1">_xll.BDH($C$53,"TOTAL_DEBT_SEQUENTIAL_GROWTH","FY 2017","FY 2017","Currency=INR","Period=FY","BEST_FPERIOD_OVERRIDE=FY","FILING_STATUS=OR","EQY_CONSOLIDATED=Y","Sort=A","Dates=H","DateFormat=P","Fill=—","Direction=H","UseDPDF=Y")</f>
        <v>#NAME?</v>
      </c>
      <c r="BU68" s="2" t="e">
        <f ca="1">_xll.BDH($C$53,"TOTAL_EQUITY_SEQUENTIAL_GROWTH","FY 2017","FY 2017","Currency=INR","Period=FY","BEST_FPERIOD_OVERRIDE=FY","FILING_STATUS=OR","EQY_CONSOLIDATED=Y","Sort=A","Dates=H","DateFormat=P","Fill=—","Direction=H","UseDPDF=Y")</f>
        <v>#NAME?</v>
      </c>
      <c r="BV68" s="2" t="e">
        <f ca="1">_xll.BDH($C$53,"TOTAL_CAPITAL_SEQUENTIAL_GROWTH","FY 2017","FY 2017","Currency=INR","Period=FY","BEST_FPERIOD_OVERRIDE=FY","FILING_STATUS=OR","EQY_CONSOLIDATED=Y","Sort=A","Dates=H","DateFormat=P","Fill=—","Direction=H","UseDPDF=Y")</f>
        <v>#NAME?</v>
      </c>
      <c r="BW68" s="2" t="e">
        <f ca="1">_xll.BDH($C$53,"BPS_SEQUENTIAL_GROWTH","FY 2017","FY 2017","Currency=INR","Period=FY","BEST_FPERIOD_OVERRIDE=FY","FILING_STATUS=OR","EQY_CONSOLIDATED=Y","Sort=A","Dates=H","DateFormat=P","Fill=—","Direction=H","UseDPDF=Y")</f>
        <v>#NAME?</v>
      </c>
      <c r="BX68" s="2" t="e">
        <f ca="1">_xll.BDH($C$53,"CFO_SEQUENTIAL_GROWTH","FY 2017","FY 2017","Currency=INR","Period=FY","BEST_FPERIOD_OVERRIDE=FY","FILING_STATUS=OR","EQY_CONSOLIDATED=Y","Sort=A","Dates=H","DateFormat=P","Fill=—","Direction=H","UseDPDF=Y")</f>
        <v>#NAME?</v>
      </c>
      <c r="BY68" s="3" t="e">
        <f ca="1">_xll.BDH($C$53,"SHORT_AND_LONG_TERM_DEBT","FY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68" s="3" t="e">
        <f ca="1">_xll.BDH($C$53,"BS_ST_BORROW","FY 2017","FY 2017","Currency=INR","Period=FY","BEST_FPERIOD_OVERRIDE=FY","FILING_STATUS=OR","EQY_CONSOLIDATED=Y","SCALING_FORMAT=MLN","Sort=A","Dates=H","DateFormat=P","Fill=—","Direction=H","UseDPDF=Y")</f>
        <v>#NAME?</v>
      </c>
      <c r="CA68" s="3" t="e">
        <f ca="1">_xll.BDH($C$53,"BS_LT_BORROW","FY 2017","FY 2017","Currency=INR","Period=FY","BEST_FPERIOD_OVERRIDE=FY","FILING_STATUS=OR","EQY_CONSOLIDATED=Y","SCALING_FORMAT=MLN","Sort=A","Dates=H","DateFormat=P","Fill=—","Direction=H","UseDPDF=Y")</f>
        <v>#NAME?</v>
      </c>
      <c r="CB68" s="2" t="e">
        <f ca="1">_xll.BDH($C$53,"TOT_DEBT_TO_EBITDA","FY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68" s="2" t="e">
        <f ca="1">_xll.BDH($C$53,"NET_DEBT_TO_EBITDA","FY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68" s="2" t="e">
        <f ca="1">_xll.BDH($C$53,"TOTAL_DEBT_TO_EBIT","FY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68" s="2" t="e">
        <f ca="1">_xll.BDH($C$53,"NET_DEBT_TO_EBIT","FY 2017","FY 2017","Currency=INR","Period=FY","BEST_FPERIOD_OVERRIDE=FY","FILING_STATUS=OR","EQY_CONSOLIDATED=Y","FA_ADJUSTED=GAAP","Sort=A","Dates=H","DateFormat=P","Fill=—","Direction=H","UseDPDF=Y")</f>
        <v>#NAME?</v>
      </c>
      <c r="CF68" s="2" t="e">
        <f ca="1">_xll.BDH($C$53,"EBITDA_TO_INTEREST_EXPN","FY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68" s="2" t="e">
        <f ca="1">_xll.BDH($C$53,"COM_EQY_TO_TOT_ASSET","FY 2017","FY 2017","Currency=INR","Period=FY","BEST_FPERIOD_OVERRIDE=FY","FILING_STATUS=OR","EQY_CONSOLIDATED=Y","Sort=A","Dates=H","DateFormat=P","Fill=—","Direction=H","UseDPDF=Y")</f>
        <v>#NAME?</v>
      </c>
      <c r="CH68" s="2" t="e">
        <f ca="1">_xll.BDH($C$53,"LT_DEBT_TO_TOT_EQY","FY 2017","FY 2017","Currency=INR","Period=FY","BEST_FPERIOD_OVERRIDE=FY","FILING_STATUS=OR","EQY_CONSOLIDATED=Y","Sort=A","Dates=H","DateFormat=P","Fill=—","Direction=H","UseDPDF=Y")</f>
        <v>#NAME?</v>
      </c>
      <c r="CI68" s="2" t="e">
        <f ca="1">_xll.BDH($C$53,"LT_DEBT_TO_TOT_CAP","FY 2017","FY 2017","Currency=INR","Period=FY","BEST_FPERIOD_OVERRIDE=FY","FILING_STATUS=OR","EQY_CONSOLIDATED=Y","Sort=A","Dates=H","DateFormat=P","Fill=—","Direction=H","UseDPDF=Y")</f>
        <v>#NAME?</v>
      </c>
      <c r="CJ68" s="2" t="e">
        <f ca="1">_xll.BDH($C$53,"LT_DEBT_TO_TOT_ASSET","FY 2017","FY 2017","Currency=INR","Period=FY","BEST_FPERIOD_OVERRIDE=FY","FILING_STATUS=OR","EQY_CONSOLIDATED=Y","Sort=A","Dates=H","DateFormat=P","Fill=—","Direction=H","UseDPDF=Y")</f>
        <v>#NAME?</v>
      </c>
      <c r="CK68" s="2" t="e">
        <f ca="1">_xll.BDH($C$53,"TOT_DEBT_TO_TOT_EQY","FY 2017","FY 2017","Currency=INR","Period=FY","BEST_FPERIOD_OVERRIDE=FY","FILING_STATUS=OR","EQY_CONSOLIDATED=Y","Sort=A","Dates=H","DateFormat=P","Fill=—","Direction=H","UseDPDF=Y")</f>
        <v>#NAME?</v>
      </c>
      <c r="CL68" s="2" t="e">
        <f ca="1">_xll.BDH($C$53,"TOT_DEBT_TO_TOT_CAP","FY 2017","FY 2017","Currency=INR","Period=FY","BEST_FPERIOD_OVERRIDE=FY","FILING_STATUS=OR","EQY_CONSOLIDATED=Y","Sort=A","Dates=H","DateFormat=P","Fill=—","Direction=H","UseDPDF=Y")</f>
        <v>#NAME?</v>
      </c>
      <c r="CM68" s="2" t="e">
        <f ca="1">_xll.BDH($C$53,"TOT_DEBT_TO_TOT_ASSET","FY 2017","FY 2017","Currency=INR","Period=FY","BEST_FPERIOD_OVERRIDE=FY","FILING_STATUS=OR","EQY_CONSOLIDATED=Y","Sort=A","Dates=H","DateFormat=P","Fill=—","Direction=H","UseDPDF=Y")</f>
        <v>#NAME?</v>
      </c>
      <c r="CN68" s="2" t="e">
        <f ca="1">_xll.BDH($C$53,"NET_DEBT_TO_SHRHLDR_EQTY","FY 2017","FY 2017","Currency=INR","Period=FY","BEST_FPERIOD_OVERRIDE=FY","FILING_STATUS=OR","EQY_CONSOLIDATED=Y","Sort=A","Dates=H","DateFormat=P","Fill=—","Direction=H","UseDPDF=Y")</f>
        <v>#NAME?</v>
      </c>
      <c r="CO68" s="2" t="e">
        <f ca="1">_xll.BDH($C$53,"NET_DEBT_%_CAPITAL","FY 2017","FY 2017","Currency=INR","Period=FY","BEST_FPERIOD_OVERRIDE=FY","FILING_STATUS=OR","EQY_CONSOLIDATED=Y","Sort=A","Dates=H","DateFormat=P","Fill=—","Direction=H","UseDPDF=Y")</f>
        <v>#NAME?</v>
      </c>
      <c r="CP68" s="3" t="e">
        <f ca="1">_xll.BDH($C$53,"EBITDA","FY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68" s="3" t="e">
        <f ca="1">_xll.BDH($C$53,"EBITDA_AFTER_CAPEX","FY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68" s="3" t="e">
        <f ca="1">_xll.BDH($C$53,"IS_OPER_INC","FY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68" s="2" t="e">
        <f ca="1">_xll.BDH($C$53,"CASH_RATIO","FY 2017","FY 2017","Currency=INR","Period=FY","BEST_FPERIOD_OVERRIDE=FY","FILING_STATUS=OR","EQY_CONSOLIDATED=Y","Sort=A","Dates=H","DateFormat=P","Fill=—","Direction=H","UseDPDF=Y")</f>
        <v>#NAME?</v>
      </c>
      <c r="CT68" s="2" t="e">
        <f ca="1">_xll.BDH($C$53,"CUR_RATIO","FY 2017","FY 2017","Currency=INR","Period=FY","BEST_FPERIOD_OVERRIDE=FY","FILING_STATUS=OR","EQY_CONSOLIDATED=Y","Sort=A","Dates=H","DateFormat=P","Fill=—","Direction=H","UseDPDF=Y")</f>
        <v>#NAME?</v>
      </c>
      <c r="CU68" s="2" t="e">
        <f ca="1">_xll.BDH($C$53,"QUICK_RATIO","FY 2017","FY 2017","Currency=INR","Period=FY","BEST_FPERIOD_OVERRIDE=FY","FILING_STATUS=OR","EQY_CONSOLIDATED=Y","Sort=A","Dates=H","DateFormat=P","Fill=—","Direction=H","UseDPDF=Y")</f>
        <v>#NAME?</v>
      </c>
      <c r="CV68" s="2" t="e">
        <f ca="1">_xll.BDH($C$53,"ALTMAN_Z_SCORE","FY 2017","FY 2017","Currency=INR","Period=FY","BEST_FPERIOD_OVERRIDE=FY","FILING_STATUS=OR","EQY_CONSOLIDATED=Y","Sort=A","Dates=H","DateFormat=P","Fill=—","Direction=H","UseDPDF=Y")</f>
        <v>#NAME?</v>
      </c>
      <c r="CW68" s="4" t="e">
        <f ca="1">_xll.BDH($C$53,"ACCT_RCV_TURN","FY 2017","FY 2017","Currency=INR","Period=FY","BEST_FPERIOD_OVERRIDE=FY","FILING_STATUS=OR","EQY_CONSOLIDATED=Y","FA_ADJUSTED=GAAP","Sort=A","Dates=H","DateFormat=P","Fill=—","Direction=H","UseDPDF=Y")</f>
        <v>#NAME?</v>
      </c>
      <c r="CX68" s="2" t="e">
        <f ca="1">_xll.BDH($C$53,"ACCT_RCV_DAYS","FY 2017","FY 2017","Currency=INR","Period=FY","BEST_FPERIOD_OVERRIDE=FY","FILING_STATUS=OR","EQY_CONSOLIDATED=Y","FA_ADJUSTED=GAAP","Sort=A","Dates=H","DateFormat=P","Fill=—","Direction=H","UseDPDF=Y")</f>
        <v>#NAME?</v>
      </c>
      <c r="CY68" s="4" t="e">
        <f ca="1">_xll.BDH($C$53,"INVENT_TURN","FY 2017","FY 2017","Currency=INR","Period=FY","BEST_FPERIOD_OVERRIDE=FY","FILING_STATUS=OR","EQY_CONSOLIDATED=Y","FA_ADJUSTED=GAAP","Sort=A","Dates=H","DateFormat=P","Fill=—","Direction=H","UseDPDF=Y")</f>
        <v>#NAME?</v>
      </c>
      <c r="CZ68" s="2" t="e">
        <f ca="1">_xll.BDH($C$53,"INVENT_DAYS","FY 2017","FY 2017","Currency=INR","Period=FY","BEST_FPERIOD_OVERRIDE=FY","FILING_STATUS=OR","EQY_CONSOLIDATED=Y","FA_ADJUSTED=GAAP","Sort=A","Dates=H","DateFormat=P","Fill=—","Direction=H","UseDPDF=Y")</f>
        <v>#NAME?</v>
      </c>
      <c r="DA68" s="4" t="e">
        <f ca="1">_xll.BDH($C$53,"ACCOUNTS_PAYABLE_TURNOVER","FY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68" s="2" t="e">
        <f ca="1">_xll.BDH($C$53,"ACCOUNTS_PAYABLE_TURNOVER_DAYS","FY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68" s="4" t="e">
        <f ca="1">_xll.BDH($C$53,"CASH_CONVERSION_CYCLE","FY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68" s="4" t="e">
        <f ca="1">_xll.BDH($C$53,"INV_TO_CASH_DAYS","FY 2017","FY 2017","Currency=INR","Period=FY","BEST_FPERIOD_OVERRIDE=FY","FILING_STATUS=OR","EQY_CONSOLIDATED=Y","FA_ADJUSTED=GAAP","Sort=A","Dates=H","DateFormat=P","Fill=—","Direction=H","UseDPDF=Y")</f>
        <v>#NAME?</v>
      </c>
      <c r="DE68" s="5" t="e">
        <f ca="1">_xll.BDH($C$53,"BS_INVENTORIES","FY 2017","FY 2017","Currency=INR","Period=FY","BEST_FPERIOD_OVERRIDE=FY","FILING_STATUS=OR","EQY_CONSOLIDATED=Y","SCALING_FORMAT=MLN","Sort=A","Dates=H","DateFormat=P","Fill=—","Direction=H","UseDPDF=Y")</f>
        <v>#NAME?</v>
      </c>
      <c r="DF68" s="3" t="e">
        <f ca="1">_xll.BDH($C$53,"INVTRY_RAW_MATERIALS","FY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68" s="3" t="e">
        <f ca="1">_xll.BDH($C$53,"INVTRY_IN_PROGRESS","FY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68" s="3" t="e">
        <f ca="1">_xll.BDH($C$53,"INVTRY_FINISHED_GOODS","FY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68" s="3" t="e">
        <f ca="1">_xll.BDH($C$53,"BS_OTHER_INV","FY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69" spans="1:113" x14ac:dyDescent="0.3">
      <c r="A69" s="6"/>
      <c r="B69" s="6"/>
      <c r="C69" s="6"/>
      <c r="D69" s="6"/>
      <c r="E69" t="s">
        <v>78</v>
      </c>
      <c r="F69" t="e">
        <f ca="1">_xll.BDH($C$53,"RETURN_COM_EQY","FQ1 2017","FQ1 2017","Currency=INR","Period=FQ","BEST_FPERIOD_OVERRIDE=FQ","FILING_STATUS=OR","EQY_CONSOLIDATED=Y","FA_ADJUSTED=GAAP","Sort=A","Dates=H","DateFormat=P","Fill=—","Direction=H","UseDPDF=Y")</f>
        <v>#NAME?</v>
      </c>
      <c r="G69" t="e">
        <f ca="1">_xll.BDH($C$53,"RETURN_ON_ASSET","FQ1 2017","FQ1 2017","Currency=INR","Period=FQ","BEST_FPERIOD_OVERRIDE=FQ","FILING_STATUS=OR","EQY_CONSOLIDATED=Y","FA_ADJUSTED=GAAP","Sort=A","Dates=H","DateFormat=P","Fill=—","Direction=H","UseDPDF=Y")</f>
        <v>#NAME?</v>
      </c>
      <c r="H69" t="e">
        <f ca="1">_xll.BDH($C$53,"RETURN_ON_CAP","FQ1 2017","FQ1 2017","Currency=INR","Period=FQ","BEST_FPERIOD_OVERRIDE=FQ","FILING_STATUS=OR","EQY_CONSOLIDATED=Y","FA_ADJUSTED=GAAP","Sort=A","Dates=H","DateFormat=P","Fill=—","Direction=H","UseDPDF=Y")</f>
        <v>#NAME?</v>
      </c>
      <c r="I69" t="e">
        <f ca="1">_xll.BDH($C$53,"RETURN_ON_INV_CAPITAL","FQ1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69" t="e">
        <f ca="1">_xll.BDH($C$53,"EBITDA_TO_REVENUE","FQ1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69" t="e">
        <f ca="1">_xll.BDH($C$53,"OPER_MARGIN","FQ1 2017","FQ1 2017","Currency=INR","Period=FQ","BEST_FPERIOD_OVERRIDE=FQ","FILING_STATUS=OR","EQY_CONSOLIDATED=Y","FA_ADJUSTED=GAAP","Sort=A","Dates=H","DateFormat=P","Fill=—","Direction=H","UseDPDF=Y")</f>
        <v>#NAME?</v>
      </c>
      <c r="L69" t="e">
        <f ca="1">_xll.BDH($C$53,"INCREMENTAL_OPERATING_MARGIN","FQ1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69" t="e">
        <f ca="1">_xll.BDH($C$53,"PRETAX_INC_TO_NET_SALES","FQ1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69" t="e">
        <f ca="1">_xll.BDH($C$53,"INC_BEF_XO_ITEMS_TO_NET_SALES","FQ1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69" t="e">
        <f ca="1">_xll.BDH($C$53,"PROF_MARGIN","FQ1 2017","FQ1 2017","Currency=INR","Period=FQ","BEST_FPERIOD_OVERRIDE=FQ","FILING_STATUS=OR","EQY_CONSOLIDATED=Y","FA_ADJUSTED=GAAP","Sort=A","Dates=H","DateFormat=P","Fill=—","Direction=H","UseDPDF=Y")</f>
        <v>#NAME?</v>
      </c>
      <c r="P69" t="e">
        <f ca="1">_xll.BDH($C$53,"NET_INCOME_TO_COMMON_MARGIN","FQ1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69" t="e">
        <f ca="1">_xll.BDH($C$53,"EFF_TAX_RATE","FQ1 2017","FQ1 2017","Currency=INR","Period=FQ","BEST_FPERIOD_OVERRIDE=FQ","FILING_STATUS=OR","EQY_CONSOLIDATED=Y","FA_ADJUSTED=GAAP","Sort=A","Dates=H","DateFormat=P","Fill=—","Direction=H","UseDPDF=Y")</f>
        <v>#NAME?</v>
      </c>
      <c r="R69" t="e">
        <f ca="1">_xll.BDH($C$53,"DVD_PAYOUT_RATIO","FQ1 2017","FQ1 2017","Currency=INR","Period=FQ","BEST_FPERIOD_OVERRIDE=FQ","FILING_STATUS=OR","EQY_CONSOLIDATED=Y","FA_ADJUSTED=GAAP","Sort=A","Dates=H","DateFormat=P","Fill=—","Direction=H","UseDPDF=Y")</f>
        <v>#NAME?</v>
      </c>
      <c r="S69" t="e">
        <f ca="1">_xll.BDH($C$53,"SUSTAIN_GROWTH_RT","FQ1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69" s="2" t="e">
        <f ca="1">_xll.BDH($C$53,"SALES_GROWTH","FQ1 2017","FQ1 2017","Currency=INR","Period=FQ","BEST_FPERIOD_OVERRIDE=FQ","FILING_STATUS=OR","EQY_CONSOLIDATED=Y","FA_ADJUSTED=GAAP","Sort=A","Dates=H","DateFormat=P","Fill=—","Direction=H","UseDPDF=Y")</f>
        <v>#NAME?</v>
      </c>
      <c r="U69" s="2" t="e">
        <f ca="1">_xll.BDH($C$53,"EBITDA_GROWTH","FQ1 2017","FQ1 2017","Currency=INR","Period=FQ","BEST_FPERIOD_OVERRIDE=FQ","FILING_STATUS=OR","EQY_CONSOLIDATED=Y","FA_ADJUSTED=GAAP","Sort=A","Dates=H","DateFormat=P","Fill=—","Direction=H","UseDPDF=Y")</f>
        <v>#NAME?</v>
      </c>
      <c r="V69" s="2" t="e">
        <f ca="1">_xll.BDH($C$53,"OPER_INC_GROWTH","FQ1 2017","FQ1 2017","Currency=INR","Period=FQ","BEST_FPERIOD_OVERRIDE=FQ","FILING_STATUS=OR","EQY_CONSOLIDATED=Y","FA_ADJUSTED=GAAP","Sort=A","Dates=H","DateFormat=P","Fill=—","Direction=H","UseDPDF=Y")</f>
        <v>#NAME?</v>
      </c>
      <c r="W69" s="2" t="e">
        <f ca="1">_xll.BDH($C$53,"EARN_FOR_COM_GROWTH","FQ1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69" s="2" t="e">
        <f ca="1">_xll.BDH($C$53,"DILUTED_EPS_AFT_XO_ITEMS_GROWTH","FQ1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69" s="2" t="e">
        <f ca="1">_xll.BDH($C$53,"DIVIDEND_PER_SHARE_1_YEAR_GROWTH","FQ1 2017","FQ1 2017","Currency=INR","Period=FQ","BEST_FPERIOD_OVERRIDE=FQ","FILING_STATUS=OR","EQY_CONSOLIDATED=Y","Sort=A","Dates=H","DateFormat=P","Fill=—","Direction=H","UseDPDF=Y")</f>
        <v>#NAME?</v>
      </c>
      <c r="Z69" s="2" t="e">
        <f ca="1">_xll.BDH($C$53,"ACCOUNTS_RECEIVABLE_GROWTH","FQ1 2017","FQ1 2017","Currency=INR","Period=FQ","BEST_FPERIOD_OVERRIDE=FQ","FILING_STATUS=OR","EQY_CONSOLIDATED=Y","Sort=A","Dates=H","DateFormat=P","Fill=—","Direction=H","UseDPDF=Y")</f>
        <v>#NAME?</v>
      </c>
      <c r="AA69" s="2" t="e">
        <f ca="1">_xll.BDH($C$53,"INVENTORY_GROWTH","FQ1 2017","FQ1 2017","Currency=INR","Period=FQ","BEST_FPERIOD_OVERRIDE=FQ","FILING_STATUS=OR","EQY_CONSOLIDATED=Y","Sort=A","Dates=H","DateFormat=P","Fill=—","Direction=H","UseDPDF=Y")</f>
        <v>#NAME?</v>
      </c>
      <c r="AB69" s="2" t="e">
        <f ca="1">_xll.BDH($C$53,"NET_FIXED_ASSETS_1_YEAR_GROWTH","FQ1 2017","FQ1 2017","Currency=INR","Period=FQ","BEST_FPERIOD_OVERRIDE=FQ","FILING_STATUS=OR","EQY_CONSOLIDATED=Y","Sort=A","Dates=H","DateFormat=P","Fill=—","Direction=H","UseDPDF=Y")</f>
        <v>#NAME?</v>
      </c>
      <c r="AC69" s="2" t="e">
        <f ca="1">_xll.BDH($C$53,"ASSET_GROWTH","FQ1 2017","FQ1 2017","Currency=INR","Period=FQ","BEST_FPERIOD_OVERRIDE=FQ","FILING_STATUS=OR","EQY_CONSOLIDATED=Y","Sort=A","Dates=H","DateFormat=P","Fill=—","Direction=H","UseDPDF=Y")</f>
        <v>#NAME?</v>
      </c>
      <c r="AD69" s="2" t="e">
        <f ca="1">_xll.BDH($C$53,"MODIFIED_WORK_CAP_GROWTH","FQ1 2017","FQ1 2017","Currency=INR","Period=FQ","BEST_FPERIOD_OVERRIDE=FQ","FILING_STATUS=OR","EQY_CONSOLIDATED=Y","Sort=A","Dates=H","DateFormat=P","Fill=—","Direction=H","UseDPDF=Y")</f>
        <v>#NAME?</v>
      </c>
      <c r="AE69" s="2" t="e">
        <f ca="1">_xll.BDH($C$53,"WORK_CAP_GROWTH","FQ1 2017","FQ1 2017","Currency=INR","Period=FQ","BEST_FPERIOD_OVERRIDE=FQ","FILING_STATUS=OR","EQY_CONSOLIDATED=Y","Sort=A","Dates=H","DateFormat=P","Fill=—","Direction=H","UseDPDF=Y")</f>
        <v>#NAME?</v>
      </c>
      <c r="AF69" s="2" t="e">
        <f ca="1">_xll.BDH($C$53,"ACCOUNTS_PAYABLE_GROWTH_1YR","FQ1 2017","FQ1 2017","Currency=INR","Period=FQ","BEST_FPERIOD_OVERRIDE=FQ","FILING_STATUS=OR","EQY_CONSOLIDATED=Y","Sort=A","Dates=H","DateFormat=P","Fill=—","Direction=H","UseDPDF=Y")</f>
        <v>#NAME?</v>
      </c>
      <c r="AG69" s="2" t="e">
        <f ca="1">_xll.BDH($C$53,"SHORT_TERM_DEBT_1_YEAR_GROWTH","FQ1 2017","FQ1 2017","Currency=INR","Period=FQ","BEST_FPERIOD_OVERRIDE=FQ","FILING_STATUS=OR","EQY_CONSOLIDATED=Y","Sort=A","Dates=H","DateFormat=P","Fill=—","Direction=H","UseDPDF=Y")</f>
        <v>#NAME?</v>
      </c>
      <c r="AH69" s="2" t="e">
        <f ca="1">_xll.BDH($C$53,"TOTAL_DEBT_1_YEAR_GROWTH","FQ1 2017","FQ1 2017","Currency=INR","Period=FQ","BEST_FPERIOD_OVERRIDE=FQ","FILING_STATUS=OR","EQY_CONSOLIDATED=Y","Sort=A","Dates=H","DateFormat=P","Fill=—","Direction=H","UseDPDF=Y")</f>
        <v>#NAME?</v>
      </c>
      <c r="AI69" s="2" t="e">
        <f ca="1">_xll.BDH($C$53,"TOTAL_EQUITY_1_YEAR_GROWTH","FQ1 2017","FQ1 2017","Currency=INR","Period=FQ","BEST_FPERIOD_OVERRIDE=FQ","FILING_STATUS=OR","EQY_CONSOLIDATED=Y","Sort=A","Dates=H","DateFormat=P","Fill=—","Direction=H","UseDPDF=Y")</f>
        <v>#NAME?</v>
      </c>
      <c r="AJ69" s="2" t="e">
        <f ca="1">_xll.BDH($C$53,"GROWTH_IN_CAP","FQ1 2017","FQ1 2017","Currency=INR","Period=FQ","BEST_FPERIOD_OVERRIDE=FQ","FILING_STATUS=OR","EQY_CONSOLIDATED=Y","Sort=A","Dates=H","DateFormat=P","Fill=—","Direction=H","UseDPDF=Y")</f>
        <v>#NAME?</v>
      </c>
      <c r="AK69" s="2" t="e">
        <f ca="1">_xll.BDH($C$53,"BVPS_GROWTH","FQ1 2017","FQ1 2017","Currency=INR","Period=FQ","BEST_FPERIOD_OVERRIDE=FQ","FILING_STATUS=OR","EQY_CONSOLIDATED=Y","Sort=A","Dates=H","DateFormat=P","Fill=—","Direction=H","UseDPDF=Y")</f>
        <v>#NAME?</v>
      </c>
      <c r="AL69" s="2" t="e">
        <f ca="1">_xll.BDH($C$53,"CASH_FLOW_GROWTH","FQ1 2017","FQ1 2017","Currency=INR","Period=FQ","BEST_FPERIOD_OVERRIDE=FQ","FILING_STATUS=OR","EQY_CONSOLIDATED=Y","Sort=A","Dates=H","DateFormat=P","Fill=—","Direction=H","UseDPDF=Y")</f>
        <v>#NAME?</v>
      </c>
      <c r="AM69" s="2" t="e">
        <f ca="1">_xll.BDH($C$53,"GEO_GROW_NET_SALES","FQ1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69" s="2" t="e">
        <f ca="1">_xll.BDH($C$53,"GEO_GROW_EBITDA","FQ1 2017","FQ1 2017","Currency=INR","Period=FQ","BEST_FPERIOD_OVERRIDE=FQ","FILING_STATUS=OR","EQY_CONSOLIDATED=Y","FA_ADJUSTED=GAAP","Sort=A","Dates=H","DateFormat=P","Fill=—","Direction=H","UseDPDF=Y")</f>
        <v>#NAME?</v>
      </c>
      <c r="AO69" s="2" t="e">
        <f ca="1">_xll.BDH($C$53,"GEO_GROW_OPER_INC","FQ1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69" s="2" t="e">
        <f ca="1">_xll.BDH($C$53,"NET_INCOME_TO_COMMON_5_YR_GROWTH","FQ1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69" s="2" t="e">
        <f ca="1">_xll.BDH($C$53,"5Y_GEO_GROWTH_DILUTED_EPS","FQ1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69" s="2" t="e">
        <f ca="1">_xll.BDH($C$53,"GEO_GROW_DVD_PER_SH","FQ1 2017","FQ1 2017","Currency=INR","Period=FQ","BEST_FPERIOD_OVERRIDE=FQ","FILING_STATUS=OR","EQY_CONSOLIDATED=Y","Sort=A","Dates=H","DateFormat=P","Fill=—","Direction=H","UseDPDF=Y")</f>
        <v>#NAME?</v>
      </c>
      <c r="AS69" s="2" t="e">
        <f ca="1">_xll.BDH($C$53,"ACCOUNTS_RECEIVABLE_5_YR_GROWTH","FQ1 2017","FQ1 2017","Currency=INR","Period=FQ","BEST_FPERIOD_OVERRIDE=FQ","FILING_STATUS=OR","EQY_CONSOLIDATED=Y","Sort=A","Dates=H","DateFormat=P","Fill=—","Direction=H","UseDPDF=Y")</f>
        <v>#NAME?</v>
      </c>
      <c r="AT69" s="2" t="e">
        <f ca="1">_xll.BDH($C$53,"INVENTORY_5_YEAR_GROWTH","FQ1 2017","FQ1 2017","Currency=INR","Period=FQ","BEST_FPERIOD_OVERRIDE=FQ","FILING_STATUS=OR","EQY_CONSOLIDATED=Y","Sort=A","Dates=H","DateFormat=P","Fill=—","Direction=H","UseDPDF=Y")</f>
        <v>#NAME?</v>
      </c>
      <c r="AU69" s="2" t="e">
        <f ca="1">_xll.BDH($C$53,"NET_FIXED_ASSETS_5_YEAR_GROWTH","FQ1 2017","FQ1 2017","Currency=INR","Period=FQ","BEST_FPERIOD_OVERRIDE=FQ","FILING_STATUS=OR","EQY_CONSOLIDATED=Y","Sort=A","Dates=H","DateFormat=P","Fill=—","Direction=H","UseDPDF=Y")</f>
        <v>#NAME?</v>
      </c>
      <c r="AV69" s="2" t="e">
        <f ca="1">_xll.BDH($C$53,"GEO_GROW_TOT_ASSET","FQ1 2017","FQ1 2017","Currency=INR","Period=FQ","BEST_FPERIOD_OVERRIDE=FQ","FILING_STATUS=OR","EQY_CONSOLIDATED=Y","Sort=A","Dates=H","DateFormat=P","Fill=—","Direction=H","UseDPDF=Y")</f>
        <v>#NAME?</v>
      </c>
      <c r="AW69" s="2" t="e">
        <f ca="1">_xll.BDH($C$53,"MODIFIED_WORKING_CPTL_5YR_GRWTH","FQ1 2017","FQ1 2017","Currency=INR","Period=FQ","BEST_FPERIOD_OVERRIDE=FQ","FILING_STATUS=OR","EQY_CONSOLIDATED=Y","Sort=A","Dates=H","DateFormat=P","Fill=—","Direction=H","UseDPDF=Y")</f>
        <v>#NAME?</v>
      </c>
      <c r="AX69" s="2" t="e">
        <f ca="1">_xll.BDH($C$53,"WORKING_CAPITAL_5_YEAR_GROWTH","FQ1 2017","FQ1 2017","Currency=INR","Period=FQ","BEST_FPERIOD_OVERRIDE=FQ","FILING_STATUS=OR","EQY_CONSOLIDATED=Y","Sort=A","Dates=H","DateFormat=P","Fill=—","Direction=H","UseDPDF=Y")</f>
        <v>#NAME?</v>
      </c>
      <c r="AY69" s="2" t="e">
        <f ca="1">_xll.BDH($C$53,"ACCOUNTS_PAYABLE_5_YEAR_GROWTH","FQ1 2017","FQ1 2017","Currency=INR","Period=FQ","BEST_FPERIOD_OVERRIDE=FQ","FILING_STATUS=OR","EQY_CONSOLIDATED=Y","Sort=A","Dates=H","DateFormat=P","Fill=—","Direction=H","UseDPDF=Y")</f>
        <v>#NAME?</v>
      </c>
      <c r="AZ69" s="2" t="e">
        <f ca="1">_xll.BDH($C$53,"SHORT_TERM_DEBT_5_YEAR_GROWTH","FQ1 2017","FQ1 2017","Currency=INR","Period=FQ","BEST_FPERIOD_OVERRIDE=FQ","FILING_STATUS=OR","EQY_CONSOLIDATED=Y","Sort=A","Dates=H","DateFormat=P","Fill=—","Direction=H","UseDPDF=Y")</f>
        <v>#NAME?</v>
      </c>
      <c r="BA69" s="2" t="e">
        <f ca="1">_xll.BDH($C$53,"TOTAL_DEBT_5_YEAR_GROWTH","FQ1 2017","FQ1 2017","Currency=INR","Period=FQ","BEST_FPERIOD_OVERRIDE=FQ","FILING_STATUS=OR","EQY_CONSOLIDATED=Y","Sort=A","Dates=H","DateFormat=P","Fill=—","Direction=H","UseDPDF=Y")</f>
        <v>#NAME?</v>
      </c>
      <c r="BB69" s="2" t="e">
        <f ca="1">_xll.BDH($C$53,"GEO_GROW_TOT_SHRHLDR_EQY","FQ1 2017","FQ1 2017","Currency=INR","Period=FQ","BEST_FPERIOD_OVERRIDE=FQ","FILING_STATUS=OR","EQY_CONSOLIDATED=Y","Sort=A","Dates=H","DateFormat=P","Fill=—","Direction=H","UseDPDF=Y")</f>
        <v>#NAME?</v>
      </c>
      <c r="BC69" s="2" t="e">
        <f ca="1">_xll.BDH($C$53,"TOTAL_CAPITAL_5_YEAR_GROWTH","FQ1 2017","FQ1 2017","Currency=INR","Period=FQ","BEST_FPERIOD_OVERRIDE=FQ","FILING_STATUS=OR","EQY_CONSOLIDATED=Y","Sort=A","Dates=H","DateFormat=P","Fill=—","Direction=H","UseDPDF=Y")</f>
        <v>#NAME?</v>
      </c>
      <c r="BD69" s="2" t="e">
        <f ca="1">_xll.BDH($C$53,"GEO_GROW_BOOK_VAL","FQ1 2017","FQ1 2017","Currency=INR","Period=FQ","BEST_FPERIOD_OVERRIDE=FQ","FILING_STATUS=OR","EQY_CONSOLIDATED=Y","Sort=A","Dates=H","DateFormat=P","Fill=—","Direction=H","UseDPDF=Y")</f>
        <v>#NAME?</v>
      </c>
      <c r="BE69" s="2" t="e">
        <f ca="1">_xll.BDH($C$53,"GEO_GROW_CASH_OPER_ACT","FQ1 2017","FQ1 2017","Currency=INR","Period=FQ","BEST_FPERIOD_OVERRIDE=FQ","FILING_STATUS=OR","EQY_CONSOLIDATED=Y","Sort=A","Dates=H","DateFormat=P","Fill=—","Direction=H","UseDPDF=Y")</f>
        <v>#NAME?</v>
      </c>
      <c r="BF69" s="2" t="e">
        <f ca="1">_xll.BDH($C$53,"REVENUE_SEQUENTIAL_GROWTH","FQ1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69" s="2" t="e">
        <f ca="1">_xll.BDH($C$53,"EBITDA_SEQUENTIAL_GROWTH","FQ1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69" s="2" t="e">
        <f ca="1">_xll.BDH($C$53,"OPERATING_INCOME_SEQ_GROWTH","FQ1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69" s="2" t="e">
        <f ca="1">_xll.BDH($C$53,"NET_INCOME_TO_COMMON_SEQ_GROWTH","FQ1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69" s="2" t="e">
        <f ca="1">_xll.BDH($C$53,"EPS_DILUTED_SEQUENTIAL_GROWTH","FQ1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69" s="2" t="e">
        <f ca="1">_xll.BDH($C$53,"DPS_SEQUENTIAL_GROWTH","FQ1 2017","FQ1 2017","Currency=INR","Period=FQ","BEST_FPERIOD_OVERRIDE=FQ","FILING_STATUS=OR","EQY_CONSOLIDATED=Y","Sort=A","Dates=H","DateFormat=P","Fill=—","Direction=H","UseDPDF=Y")</f>
        <v>#NAME?</v>
      </c>
      <c r="BL69" s="2" t="e">
        <f ca="1">_xll.BDH($C$53,"ACCOUNTS_RECEIVABLE_SEQ_GROWTH","FQ1 2017","FQ1 2017","Currency=INR","Period=FQ","BEST_FPERIOD_OVERRIDE=FQ","FILING_STATUS=OR","EQY_CONSOLIDATED=Y","Sort=A","Dates=H","DateFormat=P","Fill=—","Direction=H","UseDPDF=Y")</f>
        <v>#NAME?</v>
      </c>
      <c r="BM69" s="2" t="e">
        <f ca="1">_xll.BDH($C$53,"INVENTORY_SEQUENTIAL_GROWTH","FQ1 2017","FQ1 2017","Currency=INR","Period=FQ","BEST_FPERIOD_OVERRIDE=FQ","FILING_STATUS=OR","EQY_CONSOLIDATED=Y","Sort=A","Dates=H","DateFormat=P","Fill=—","Direction=H","UseDPDF=Y")</f>
        <v>#NAME?</v>
      </c>
      <c r="BN69" s="2" t="e">
        <f ca="1">_xll.BDH($C$53,"FIXED_ASSETS_SEQUENTIAL_GROWTH","FQ1 2017","FQ1 2017","Currency=INR","Period=FQ","BEST_FPERIOD_OVERRIDE=FQ","FILING_STATUS=OR","EQY_CONSOLIDATED=Y","Sort=A","Dates=H","DateFormat=P","Fill=—","Direction=H","UseDPDF=Y")</f>
        <v>#NAME?</v>
      </c>
      <c r="BO69" s="2" t="e">
        <f ca="1">_xll.BDH($C$53,"TOTAL_ASSETS_SEQUENTIAL_GROWTH","FQ1 2017","FQ1 2017","Currency=INR","Period=FQ","BEST_FPERIOD_OVERRIDE=FQ","FILING_STATUS=OR","EQY_CONSOLIDATED=Y","Sort=A","Dates=H","DateFormat=P","Fill=—","Direction=H","UseDPDF=Y")</f>
        <v>#NAME?</v>
      </c>
      <c r="BP69" s="2" t="e">
        <f ca="1">_xll.BDH($C$53,"MODIFIED_WORKING_CPTL_SEQ_GRWTH","FQ1 2017","FQ1 2017","Currency=INR","Period=FQ","BEST_FPERIOD_OVERRIDE=FQ","FILING_STATUS=OR","EQY_CONSOLIDATED=Y","Sort=A","Dates=H","DateFormat=P","Fill=—","Direction=H","UseDPDF=Y")</f>
        <v>#NAME?</v>
      </c>
      <c r="BQ69" s="2" t="e">
        <f ca="1">_xll.BDH($C$53,"WORKING_CAPITAL_SEQ_GROWTH","FQ1 2017","FQ1 2017","Currency=INR","Period=FQ","BEST_FPERIOD_OVERRIDE=FQ","FILING_STATUS=OR","EQY_CONSOLIDATED=Y","Sort=A","Dates=H","DateFormat=P","Fill=—","Direction=H","UseDPDF=Y")</f>
        <v>#NAME?</v>
      </c>
      <c r="BR69" s="2" t="e">
        <f ca="1">_xll.BDH($C$53,"ACCOUNTS_PAYABLE_SEQ_GROWTH","FQ1 2017","FQ1 2017","Currency=INR","Period=FQ","BEST_FPERIOD_OVERRIDE=FQ","FILING_STATUS=OR","EQY_CONSOLIDATED=Y","Sort=A","Dates=H","DateFormat=P","Fill=—","Direction=H","UseDPDF=Y")</f>
        <v>#NAME?</v>
      </c>
      <c r="BS69" s="2" t="e">
        <f ca="1">_xll.BDH($C$53,"ST_DEBT_SEQUENTIAL_GROWTH","FQ1 2017","FQ1 2017","Currency=INR","Period=FQ","BEST_FPERIOD_OVERRIDE=FQ","FILING_STATUS=OR","EQY_CONSOLIDATED=Y","Sort=A","Dates=H","DateFormat=P","Fill=—","Direction=H","UseDPDF=Y")</f>
        <v>#NAME?</v>
      </c>
      <c r="BT69" s="2" t="e">
        <f ca="1">_xll.BDH($C$53,"TOTAL_DEBT_SEQUENTIAL_GROWTH","FQ1 2017","FQ1 2017","Currency=INR","Period=FQ","BEST_FPERIOD_OVERRIDE=FQ","FILING_STATUS=OR","EQY_CONSOLIDATED=Y","Sort=A","Dates=H","DateFormat=P","Fill=—","Direction=H","UseDPDF=Y")</f>
        <v>#NAME?</v>
      </c>
      <c r="BU69" s="2" t="e">
        <f ca="1">_xll.BDH($C$53,"TOTAL_EQUITY_SEQUENTIAL_GROWTH","FQ1 2017","FQ1 2017","Currency=INR","Period=FQ","BEST_FPERIOD_OVERRIDE=FQ","FILING_STATUS=OR","EQY_CONSOLIDATED=Y","Sort=A","Dates=H","DateFormat=P","Fill=—","Direction=H","UseDPDF=Y")</f>
        <v>#NAME?</v>
      </c>
      <c r="BV69" s="2" t="e">
        <f ca="1">_xll.BDH($C$53,"TOTAL_CAPITAL_SEQUENTIAL_GROWTH","FQ1 2017","FQ1 2017","Currency=INR","Period=FQ","BEST_FPERIOD_OVERRIDE=FQ","FILING_STATUS=OR","EQY_CONSOLIDATED=Y","Sort=A","Dates=H","DateFormat=P","Fill=—","Direction=H","UseDPDF=Y")</f>
        <v>#NAME?</v>
      </c>
      <c r="BW69" s="2" t="e">
        <f ca="1">_xll.BDH($C$53,"BPS_SEQUENTIAL_GROWTH","FQ1 2017","FQ1 2017","Currency=INR","Period=FQ","BEST_FPERIOD_OVERRIDE=FQ","FILING_STATUS=OR","EQY_CONSOLIDATED=Y","Sort=A","Dates=H","DateFormat=P","Fill=—","Direction=H","UseDPDF=Y")</f>
        <v>#NAME?</v>
      </c>
      <c r="BX69" s="2" t="e">
        <f ca="1">_xll.BDH($C$53,"CFO_SEQUENTIAL_GROWTH","FQ1 2017","FQ1 2017","Currency=INR","Period=FQ","BEST_FPERIOD_OVERRIDE=FQ","FILING_STATUS=OR","EQY_CONSOLIDATED=Y","Sort=A","Dates=H","DateFormat=P","Fill=—","Direction=H","UseDPDF=Y")</f>
        <v>#NAME?</v>
      </c>
      <c r="BY69" s="3" t="e">
        <f ca="1">_xll.BDH($C$53,"SHORT_AND_LONG_TERM_DEBT","FQ1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69" s="3" t="e">
        <f ca="1">_xll.BDH($C$53,"BS_ST_BORROW","FQ1 2017","FQ1 2017","Currency=INR","Period=FQ","BEST_FPERIOD_OVERRIDE=FQ","FILING_STATUS=OR","EQY_CONSOLIDATED=Y","SCALING_FORMAT=MLN","Sort=A","Dates=H","DateFormat=P","Fill=—","Direction=H","UseDPDF=Y")</f>
        <v>#NAME?</v>
      </c>
      <c r="CA69" s="3" t="e">
        <f ca="1">_xll.BDH($C$53,"BS_LT_BORROW","FQ1 2017","FQ1 2017","Currency=INR","Period=FQ","BEST_FPERIOD_OVERRIDE=FQ","FILING_STATUS=OR","EQY_CONSOLIDATED=Y","SCALING_FORMAT=MLN","Sort=A","Dates=H","DateFormat=P","Fill=—","Direction=H","UseDPDF=Y")</f>
        <v>#NAME?</v>
      </c>
      <c r="CB69" s="2" t="e">
        <f ca="1">_xll.BDH($C$53,"TOT_DEBT_TO_EBITDA","FQ1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69" s="2" t="e">
        <f ca="1">_xll.BDH($C$53,"NET_DEBT_TO_EBITDA","FQ1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69" s="2" t="e">
        <f ca="1">_xll.BDH($C$53,"TOTAL_DEBT_TO_EBIT","FQ1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69" s="2" t="e">
        <f ca="1">_xll.BDH($C$53,"NET_DEBT_TO_EBIT","FQ1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69" s="2" t="e">
        <f ca="1">_xll.BDH($C$53,"EBITDA_TO_INTEREST_EXPN","FQ1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69" s="2" t="e">
        <f ca="1">_xll.BDH($C$53,"COM_EQY_TO_TOT_ASSET","FQ1 2017","FQ1 2017","Currency=INR","Period=FQ","BEST_FPERIOD_OVERRIDE=FQ","FILING_STATUS=OR","EQY_CONSOLIDATED=Y","Sort=A","Dates=H","DateFormat=P","Fill=—","Direction=H","UseDPDF=Y")</f>
        <v>#NAME?</v>
      </c>
      <c r="CH69" s="2" t="e">
        <f ca="1">_xll.BDH($C$53,"LT_DEBT_TO_TOT_EQY","FQ1 2017","FQ1 2017","Currency=INR","Period=FQ","BEST_FPERIOD_OVERRIDE=FQ","FILING_STATUS=OR","EQY_CONSOLIDATED=Y","Sort=A","Dates=H","DateFormat=P","Fill=—","Direction=H","UseDPDF=Y")</f>
        <v>#NAME?</v>
      </c>
      <c r="CI69" s="2" t="e">
        <f ca="1">_xll.BDH($C$53,"LT_DEBT_TO_TOT_CAP","FQ1 2017","FQ1 2017","Currency=INR","Period=FQ","BEST_FPERIOD_OVERRIDE=FQ","FILING_STATUS=OR","EQY_CONSOLIDATED=Y","Sort=A","Dates=H","DateFormat=P","Fill=—","Direction=H","UseDPDF=Y")</f>
        <v>#NAME?</v>
      </c>
      <c r="CJ69" s="2" t="e">
        <f ca="1">_xll.BDH($C$53,"LT_DEBT_TO_TOT_ASSET","FQ1 2017","FQ1 2017","Currency=INR","Period=FQ","BEST_FPERIOD_OVERRIDE=FQ","FILING_STATUS=OR","EQY_CONSOLIDATED=Y","Sort=A","Dates=H","DateFormat=P","Fill=—","Direction=H","UseDPDF=Y")</f>
        <v>#NAME?</v>
      </c>
      <c r="CK69" s="2" t="e">
        <f ca="1">_xll.BDH($C$53,"TOT_DEBT_TO_TOT_EQY","FQ1 2017","FQ1 2017","Currency=INR","Period=FQ","BEST_FPERIOD_OVERRIDE=FQ","FILING_STATUS=OR","EQY_CONSOLIDATED=Y","Sort=A","Dates=H","DateFormat=P","Fill=—","Direction=H","UseDPDF=Y")</f>
        <v>#NAME?</v>
      </c>
      <c r="CL69" s="2" t="e">
        <f ca="1">_xll.BDH($C$53,"TOT_DEBT_TO_TOT_CAP","FQ1 2017","FQ1 2017","Currency=INR","Period=FQ","BEST_FPERIOD_OVERRIDE=FQ","FILING_STATUS=OR","EQY_CONSOLIDATED=Y","Sort=A","Dates=H","DateFormat=P","Fill=—","Direction=H","UseDPDF=Y")</f>
        <v>#NAME?</v>
      </c>
      <c r="CM69" s="2" t="e">
        <f ca="1">_xll.BDH($C$53,"TOT_DEBT_TO_TOT_ASSET","FQ1 2017","FQ1 2017","Currency=INR","Period=FQ","BEST_FPERIOD_OVERRIDE=FQ","FILING_STATUS=OR","EQY_CONSOLIDATED=Y","Sort=A","Dates=H","DateFormat=P","Fill=—","Direction=H","UseDPDF=Y")</f>
        <v>#NAME?</v>
      </c>
      <c r="CN69" s="2" t="e">
        <f ca="1">_xll.BDH($C$53,"NET_DEBT_TO_SHRHLDR_EQTY","FQ1 2017","FQ1 2017","Currency=INR","Period=FQ","BEST_FPERIOD_OVERRIDE=FQ","FILING_STATUS=OR","EQY_CONSOLIDATED=Y","Sort=A","Dates=H","DateFormat=P","Fill=—","Direction=H","UseDPDF=Y")</f>
        <v>#NAME?</v>
      </c>
      <c r="CO69" s="2" t="e">
        <f ca="1">_xll.BDH($C$53,"NET_DEBT_%_CAPITAL","FQ1 2017","FQ1 2017","Currency=INR","Period=FQ","BEST_FPERIOD_OVERRIDE=FQ","FILING_STATUS=OR","EQY_CONSOLIDATED=Y","Sort=A","Dates=H","DateFormat=P","Fill=—","Direction=H","UseDPDF=Y")</f>
        <v>#NAME?</v>
      </c>
      <c r="CP69" s="3" t="e">
        <f ca="1">_xll.BDH($C$53,"EBITDA","FQ1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69" s="3" t="e">
        <f ca="1">_xll.BDH($C$53,"EBITDA_AFTER_CAPEX","FQ1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69" s="3" t="e">
        <f ca="1">_xll.BDH($C$53,"IS_OPER_INC","FQ1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69" s="2" t="e">
        <f ca="1">_xll.BDH($C$53,"CASH_RATIO","FQ1 2017","FQ1 2017","Currency=INR","Period=FQ","BEST_FPERIOD_OVERRIDE=FQ","FILING_STATUS=OR","EQY_CONSOLIDATED=Y","Sort=A","Dates=H","DateFormat=P","Fill=—","Direction=H","UseDPDF=Y")</f>
        <v>#NAME?</v>
      </c>
      <c r="CT69" s="2" t="e">
        <f ca="1">_xll.BDH($C$53,"CUR_RATIO","FQ1 2017","FQ1 2017","Currency=INR","Period=FQ","BEST_FPERIOD_OVERRIDE=FQ","FILING_STATUS=OR","EQY_CONSOLIDATED=Y","Sort=A","Dates=H","DateFormat=P","Fill=—","Direction=H","UseDPDF=Y")</f>
        <v>#NAME?</v>
      </c>
      <c r="CU69" s="2" t="e">
        <f ca="1">_xll.BDH($C$53,"QUICK_RATIO","FQ1 2017","FQ1 2017","Currency=INR","Period=FQ","BEST_FPERIOD_OVERRIDE=FQ","FILING_STATUS=OR","EQY_CONSOLIDATED=Y","Sort=A","Dates=H","DateFormat=P","Fill=—","Direction=H","UseDPDF=Y")</f>
        <v>#NAME?</v>
      </c>
      <c r="CV69" s="2" t="e">
        <f ca="1">_xll.BDH($C$53,"ALTMAN_Z_SCORE","FQ1 2017","FQ1 2017","Currency=INR","Period=FQ","BEST_FPERIOD_OVERRIDE=FQ","FILING_STATUS=OR","EQY_CONSOLIDATED=Y","Sort=A","Dates=H","DateFormat=P","Fill=—","Direction=H","UseDPDF=Y")</f>
        <v>#NAME?</v>
      </c>
      <c r="CW69" s="4" t="e">
        <f ca="1">_xll.BDH($C$53,"ACCT_RCV_TURN","FQ1 2017","FQ1 2017","Currency=INR","Period=FQ","BEST_FPERIOD_OVERRIDE=FQ","FILING_STATUS=OR","EQY_CONSOLIDATED=Y","FA_ADJUSTED=GAAP","Sort=A","Dates=H","DateFormat=P","Fill=—","Direction=H","UseDPDF=Y")</f>
        <v>#NAME?</v>
      </c>
      <c r="CX69" s="2" t="e">
        <f ca="1">_xll.BDH($C$53,"ACCT_RCV_DAYS","FQ1 2017","FQ1 2017","Currency=INR","Period=FQ","BEST_FPERIOD_OVERRIDE=FQ","FILING_STATUS=OR","EQY_CONSOLIDATED=Y","FA_ADJUSTED=GAAP","Sort=A","Dates=H","DateFormat=P","Fill=—","Direction=H","UseDPDF=Y")</f>
        <v>#NAME?</v>
      </c>
      <c r="CY69" s="4" t="e">
        <f ca="1">_xll.BDH($C$53,"INVENT_TURN","FQ1 2017","FQ1 2017","Currency=INR","Period=FQ","BEST_FPERIOD_OVERRIDE=FQ","FILING_STATUS=OR","EQY_CONSOLIDATED=Y","FA_ADJUSTED=GAAP","Sort=A","Dates=H","DateFormat=P","Fill=—","Direction=H","UseDPDF=Y")</f>
        <v>#NAME?</v>
      </c>
      <c r="CZ69" s="2" t="e">
        <f ca="1">_xll.BDH($C$53,"INVENT_DAYS","FQ1 2017","FQ1 2017","Currency=INR","Period=FQ","BEST_FPERIOD_OVERRIDE=FQ","FILING_STATUS=OR","EQY_CONSOLIDATED=Y","FA_ADJUSTED=GAAP","Sort=A","Dates=H","DateFormat=P","Fill=—","Direction=H","UseDPDF=Y")</f>
        <v>#NAME?</v>
      </c>
      <c r="DA69" s="4" t="e">
        <f ca="1">_xll.BDH($C$53,"ACCOUNTS_PAYABLE_TURNOVER","FQ1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69" s="2" t="e">
        <f ca="1">_xll.BDH($C$53,"ACCOUNTS_PAYABLE_TURNOVER_DAYS","FQ1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69" s="4" t="e">
        <f ca="1">_xll.BDH($C$53,"CASH_CONVERSION_CYCLE","FQ1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69" s="4" t="e">
        <f ca="1">_xll.BDH($C$53,"INV_TO_CASH_DAYS","FQ1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69" s="5" t="e">
        <f ca="1">_xll.BDH($C$53,"BS_INVENTORIES","FQ1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69" s="3" t="e">
        <f ca="1">_xll.BDH($C$53,"INVTRY_RAW_MATERIALS","FQ1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69" s="3" t="e">
        <f ca="1">_xll.BDH($C$53,"INVTRY_IN_PROGRESS","FQ1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69" s="3" t="e">
        <f ca="1">_xll.BDH($C$53,"INVTRY_FINISHED_GOODS","FQ1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69" s="3" t="e">
        <f ca="1">_xll.BDH($C$53,"BS_OTHER_INV","FQ1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70" spans="1:113" x14ac:dyDescent="0.3">
      <c r="A70" s="6"/>
      <c r="B70" s="6"/>
      <c r="C70" s="6"/>
      <c r="D70" s="6"/>
      <c r="E70" t="s">
        <v>79</v>
      </c>
      <c r="F70" t="e">
        <f ca="1">_xll.BDH($C$53,"RETURN_COM_EQY","FQ2 2017","FQ2 2017","Currency=INR","Period=FQ","BEST_FPERIOD_OVERRIDE=FQ","FILING_STATUS=OR","EQY_CONSOLIDATED=Y","FA_ADJUSTED=GAAP","Sort=A","Dates=H","DateFormat=P","Fill=—","Direction=H","UseDPDF=Y")</f>
        <v>#NAME?</v>
      </c>
      <c r="G70" t="e">
        <f ca="1">_xll.BDH($C$53,"RETURN_ON_ASSET","FQ2 2017","FQ2 2017","Currency=INR","Period=FQ","BEST_FPERIOD_OVERRIDE=FQ","FILING_STATUS=OR","EQY_CONSOLIDATED=Y","FA_ADJUSTED=GAAP","Sort=A","Dates=H","DateFormat=P","Fill=—","Direction=H","UseDPDF=Y")</f>
        <v>#NAME?</v>
      </c>
      <c r="H70" t="e">
        <f ca="1">_xll.BDH($C$53,"RETURN_ON_CAP","FQ2 2017","FQ2 2017","Currency=INR","Period=FQ","BEST_FPERIOD_OVERRIDE=FQ","FILING_STATUS=OR","EQY_CONSOLIDATED=Y","FA_ADJUSTED=GAAP","Sort=A","Dates=H","DateFormat=P","Fill=—","Direction=H","UseDPDF=Y")</f>
        <v>#NAME?</v>
      </c>
      <c r="I70" t="e">
        <f ca="1">_xll.BDH($C$53,"RETURN_ON_INV_CAPITAL","FQ2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70" t="e">
        <f ca="1">_xll.BDH($C$53,"EBITDA_TO_REVENUE","FQ2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70" t="e">
        <f ca="1">_xll.BDH($C$53,"OPER_MARGIN","FQ2 2017","FQ2 2017","Currency=INR","Period=FQ","BEST_FPERIOD_OVERRIDE=FQ","FILING_STATUS=OR","EQY_CONSOLIDATED=Y","FA_ADJUSTED=GAAP","Sort=A","Dates=H","DateFormat=P","Fill=—","Direction=H","UseDPDF=Y")</f>
        <v>#NAME?</v>
      </c>
      <c r="L70" t="e">
        <f ca="1">_xll.BDH($C$53,"INCREMENTAL_OPERATING_MARGIN","FQ2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70" t="e">
        <f ca="1">_xll.BDH($C$53,"PRETAX_INC_TO_NET_SALES","FQ2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70" t="e">
        <f ca="1">_xll.BDH($C$53,"INC_BEF_XO_ITEMS_TO_NET_SALES","FQ2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70" t="e">
        <f ca="1">_xll.BDH($C$53,"PROF_MARGIN","FQ2 2017","FQ2 2017","Currency=INR","Period=FQ","BEST_FPERIOD_OVERRIDE=FQ","FILING_STATUS=OR","EQY_CONSOLIDATED=Y","FA_ADJUSTED=GAAP","Sort=A","Dates=H","DateFormat=P","Fill=—","Direction=H","UseDPDF=Y")</f>
        <v>#NAME?</v>
      </c>
      <c r="P70" t="e">
        <f ca="1">_xll.BDH($C$53,"NET_INCOME_TO_COMMON_MARGIN","FQ2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70" t="e">
        <f ca="1">_xll.BDH($C$53,"EFF_TAX_RATE","FQ2 2017","FQ2 2017","Currency=INR","Period=FQ","BEST_FPERIOD_OVERRIDE=FQ","FILING_STATUS=OR","EQY_CONSOLIDATED=Y","FA_ADJUSTED=GAAP","Sort=A","Dates=H","DateFormat=P","Fill=—","Direction=H","UseDPDF=Y")</f>
        <v>#NAME?</v>
      </c>
      <c r="R70" t="e">
        <f ca="1">_xll.BDH($C$53,"DVD_PAYOUT_RATIO","FQ2 2017","FQ2 2017","Currency=INR","Period=FQ","BEST_FPERIOD_OVERRIDE=FQ","FILING_STATUS=OR","EQY_CONSOLIDATED=Y","FA_ADJUSTED=GAAP","Sort=A","Dates=H","DateFormat=P","Fill=—","Direction=H","UseDPDF=Y")</f>
        <v>#NAME?</v>
      </c>
      <c r="S70" t="e">
        <f ca="1">_xll.BDH($C$53,"SUSTAIN_GROWTH_RT","FQ2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70" s="2" t="e">
        <f ca="1">_xll.BDH($C$53,"SALES_GROWTH","FQ2 2017","FQ2 2017","Currency=INR","Period=FQ","BEST_FPERIOD_OVERRIDE=FQ","FILING_STATUS=OR","EQY_CONSOLIDATED=Y","FA_ADJUSTED=GAAP","Sort=A","Dates=H","DateFormat=P","Fill=—","Direction=H","UseDPDF=Y")</f>
        <v>#NAME?</v>
      </c>
      <c r="U70" s="2" t="e">
        <f ca="1">_xll.BDH($C$53,"EBITDA_GROWTH","FQ2 2017","FQ2 2017","Currency=INR","Period=FQ","BEST_FPERIOD_OVERRIDE=FQ","FILING_STATUS=OR","EQY_CONSOLIDATED=Y","FA_ADJUSTED=GAAP","Sort=A","Dates=H","DateFormat=P","Fill=—","Direction=H","UseDPDF=Y")</f>
        <v>#NAME?</v>
      </c>
      <c r="V70" s="2" t="e">
        <f ca="1">_xll.BDH($C$53,"OPER_INC_GROWTH","FQ2 2017","FQ2 2017","Currency=INR","Period=FQ","BEST_FPERIOD_OVERRIDE=FQ","FILING_STATUS=OR","EQY_CONSOLIDATED=Y","FA_ADJUSTED=GAAP","Sort=A","Dates=H","DateFormat=P","Fill=—","Direction=H","UseDPDF=Y")</f>
        <v>#NAME?</v>
      </c>
      <c r="W70" s="2" t="e">
        <f ca="1">_xll.BDH($C$53,"EARN_FOR_COM_GROWTH","FQ2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70" s="2" t="e">
        <f ca="1">_xll.BDH($C$53,"DILUTED_EPS_AFT_XO_ITEMS_GROWTH","FQ2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70" s="2" t="e">
        <f ca="1">_xll.BDH($C$53,"DIVIDEND_PER_SHARE_1_YEAR_GROWTH","FQ2 2017","FQ2 2017","Currency=INR","Period=FQ","BEST_FPERIOD_OVERRIDE=FQ","FILING_STATUS=OR","EQY_CONSOLIDATED=Y","Sort=A","Dates=H","DateFormat=P","Fill=—","Direction=H","UseDPDF=Y")</f>
        <v>#NAME?</v>
      </c>
      <c r="Z70" s="2" t="e">
        <f ca="1">_xll.BDH($C$53,"ACCOUNTS_RECEIVABLE_GROWTH","FQ2 2017","FQ2 2017","Currency=INR","Period=FQ","BEST_FPERIOD_OVERRIDE=FQ","FILING_STATUS=OR","EQY_CONSOLIDATED=Y","Sort=A","Dates=H","DateFormat=P","Fill=—","Direction=H","UseDPDF=Y")</f>
        <v>#NAME?</v>
      </c>
      <c r="AA70" s="2" t="e">
        <f ca="1">_xll.BDH($C$53,"INVENTORY_GROWTH","FQ2 2017","FQ2 2017","Currency=INR","Period=FQ","BEST_FPERIOD_OVERRIDE=FQ","FILING_STATUS=OR","EQY_CONSOLIDATED=Y","Sort=A","Dates=H","DateFormat=P","Fill=—","Direction=H","UseDPDF=Y")</f>
        <v>#NAME?</v>
      </c>
      <c r="AB70" s="2" t="e">
        <f ca="1">_xll.BDH($C$53,"NET_FIXED_ASSETS_1_YEAR_GROWTH","FQ2 2017","FQ2 2017","Currency=INR","Period=FQ","BEST_FPERIOD_OVERRIDE=FQ","FILING_STATUS=OR","EQY_CONSOLIDATED=Y","Sort=A","Dates=H","DateFormat=P","Fill=—","Direction=H","UseDPDF=Y")</f>
        <v>#NAME?</v>
      </c>
      <c r="AC70" s="2" t="e">
        <f ca="1">_xll.BDH($C$53,"ASSET_GROWTH","FQ2 2017","FQ2 2017","Currency=INR","Period=FQ","BEST_FPERIOD_OVERRIDE=FQ","FILING_STATUS=OR","EQY_CONSOLIDATED=Y","Sort=A","Dates=H","DateFormat=P","Fill=—","Direction=H","UseDPDF=Y")</f>
        <v>#NAME?</v>
      </c>
      <c r="AD70" s="2" t="e">
        <f ca="1">_xll.BDH($C$53,"MODIFIED_WORK_CAP_GROWTH","FQ2 2017","FQ2 2017","Currency=INR","Period=FQ","BEST_FPERIOD_OVERRIDE=FQ","FILING_STATUS=OR","EQY_CONSOLIDATED=Y","Sort=A","Dates=H","DateFormat=P","Fill=—","Direction=H","UseDPDF=Y")</f>
        <v>#NAME?</v>
      </c>
      <c r="AE70" s="2" t="e">
        <f ca="1">_xll.BDH($C$53,"WORK_CAP_GROWTH","FQ2 2017","FQ2 2017","Currency=INR","Period=FQ","BEST_FPERIOD_OVERRIDE=FQ","FILING_STATUS=OR","EQY_CONSOLIDATED=Y","Sort=A","Dates=H","DateFormat=P","Fill=—","Direction=H","UseDPDF=Y")</f>
        <v>#NAME?</v>
      </c>
      <c r="AF70" s="2" t="e">
        <f ca="1">_xll.BDH($C$53,"ACCOUNTS_PAYABLE_GROWTH_1YR","FQ2 2017","FQ2 2017","Currency=INR","Period=FQ","BEST_FPERIOD_OVERRIDE=FQ","FILING_STATUS=OR","EQY_CONSOLIDATED=Y","Sort=A","Dates=H","DateFormat=P","Fill=—","Direction=H","UseDPDF=Y")</f>
        <v>#NAME?</v>
      </c>
      <c r="AG70" s="2" t="e">
        <f ca="1">_xll.BDH($C$53,"SHORT_TERM_DEBT_1_YEAR_GROWTH","FQ2 2017","FQ2 2017","Currency=INR","Period=FQ","BEST_FPERIOD_OVERRIDE=FQ","FILING_STATUS=OR","EQY_CONSOLIDATED=Y","Sort=A","Dates=H","DateFormat=P","Fill=—","Direction=H","UseDPDF=Y")</f>
        <v>#NAME?</v>
      </c>
      <c r="AH70" s="2" t="e">
        <f ca="1">_xll.BDH($C$53,"TOTAL_DEBT_1_YEAR_GROWTH","FQ2 2017","FQ2 2017","Currency=INR","Period=FQ","BEST_FPERIOD_OVERRIDE=FQ","FILING_STATUS=OR","EQY_CONSOLIDATED=Y","Sort=A","Dates=H","DateFormat=P","Fill=—","Direction=H","UseDPDF=Y")</f>
        <v>#NAME?</v>
      </c>
      <c r="AI70" s="2" t="e">
        <f ca="1">_xll.BDH($C$53,"TOTAL_EQUITY_1_YEAR_GROWTH","FQ2 2017","FQ2 2017","Currency=INR","Period=FQ","BEST_FPERIOD_OVERRIDE=FQ","FILING_STATUS=OR","EQY_CONSOLIDATED=Y","Sort=A","Dates=H","DateFormat=P","Fill=—","Direction=H","UseDPDF=Y")</f>
        <v>#NAME?</v>
      </c>
      <c r="AJ70" s="2" t="e">
        <f ca="1">_xll.BDH($C$53,"GROWTH_IN_CAP","FQ2 2017","FQ2 2017","Currency=INR","Period=FQ","BEST_FPERIOD_OVERRIDE=FQ","FILING_STATUS=OR","EQY_CONSOLIDATED=Y","Sort=A","Dates=H","DateFormat=P","Fill=—","Direction=H","UseDPDF=Y")</f>
        <v>#NAME?</v>
      </c>
      <c r="AK70" s="2" t="e">
        <f ca="1">_xll.BDH($C$53,"BVPS_GROWTH","FQ2 2017","FQ2 2017","Currency=INR","Period=FQ","BEST_FPERIOD_OVERRIDE=FQ","FILING_STATUS=OR","EQY_CONSOLIDATED=Y","Sort=A","Dates=H","DateFormat=P","Fill=—","Direction=H","UseDPDF=Y")</f>
        <v>#NAME?</v>
      </c>
      <c r="AL70" s="2" t="e">
        <f ca="1">_xll.BDH($C$53,"CASH_FLOW_GROWTH","FQ2 2017","FQ2 2017","Currency=INR","Period=FQ","BEST_FPERIOD_OVERRIDE=FQ","FILING_STATUS=OR","EQY_CONSOLIDATED=Y","Sort=A","Dates=H","DateFormat=P","Fill=—","Direction=H","UseDPDF=Y")</f>
        <v>#NAME?</v>
      </c>
      <c r="AM70" s="2" t="e">
        <f ca="1">_xll.BDH($C$53,"GEO_GROW_NET_SALES","FQ2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70" s="2" t="e">
        <f ca="1">_xll.BDH($C$53,"GEO_GROW_EBITDA","FQ2 2017","FQ2 2017","Currency=INR","Period=FQ","BEST_FPERIOD_OVERRIDE=FQ","FILING_STATUS=OR","EQY_CONSOLIDATED=Y","FA_ADJUSTED=GAAP","Sort=A","Dates=H","DateFormat=P","Fill=—","Direction=H","UseDPDF=Y")</f>
        <v>#NAME?</v>
      </c>
      <c r="AO70" s="2" t="e">
        <f ca="1">_xll.BDH($C$53,"GEO_GROW_OPER_INC","FQ2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70" s="2" t="e">
        <f ca="1">_xll.BDH($C$53,"NET_INCOME_TO_COMMON_5_YR_GROWTH","FQ2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70" s="2" t="e">
        <f ca="1">_xll.BDH($C$53,"5Y_GEO_GROWTH_DILUTED_EPS","FQ2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70" s="2" t="e">
        <f ca="1">_xll.BDH($C$53,"GEO_GROW_DVD_PER_SH","FQ2 2017","FQ2 2017","Currency=INR","Period=FQ","BEST_FPERIOD_OVERRIDE=FQ","FILING_STATUS=OR","EQY_CONSOLIDATED=Y","Sort=A","Dates=H","DateFormat=P","Fill=—","Direction=H","UseDPDF=Y")</f>
        <v>#NAME?</v>
      </c>
      <c r="AS70" s="2" t="e">
        <f ca="1">_xll.BDH($C$53,"ACCOUNTS_RECEIVABLE_5_YR_GROWTH","FQ2 2017","FQ2 2017","Currency=INR","Period=FQ","BEST_FPERIOD_OVERRIDE=FQ","FILING_STATUS=OR","EQY_CONSOLIDATED=Y","Sort=A","Dates=H","DateFormat=P","Fill=—","Direction=H","UseDPDF=Y")</f>
        <v>#NAME?</v>
      </c>
      <c r="AT70" s="2" t="e">
        <f ca="1">_xll.BDH($C$53,"INVENTORY_5_YEAR_GROWTH","FQ2 2017","FQ2 2017","Currency=INR","Period=FQ","BEST_FPERIOD_OVERRIDE=FQ","FILING_STATUS=OR","EQY_CONSOLIDATED=Y","Sort=A","Dates=H","DateFormat=P","Fill=—","Direction=H","UseDPDF=Y")</f>
        <v>#NAME?</v>
      </c>
      <c r="AU70" s="2" t="e">
        <f ca="1">_xll.BDH($C$53,"NET_FIXED_ASSETS_5_YEAR_GROWTH","FQ2 2017","FQ2 2017","Currency=INR","Period=FQ","BEST_FPERIOD_OVERRIDE=FQ","FILING_STATUS=OR","EQY_CONSOLIDATED=Y","Sort=A","Dates=H","DateFormat=P","Fill=—","Direction=H","UseDPDF=Y")</f>
        <v>#NAME?</v>
      </c>
      <c r="AV70" s="2" t="e">
        <f ca="1">_xll.BDH($C$53,"GEO_GROW_TOT_ASSET","FQ2 2017","FQ2 2017","Currency=INR","Period=FQ","BEST_FPERIOD_OVERRIDE=FQ","FILING_STATUS=OR","EQY_CONSOLIDATED=Y","Sort=A","Dates=H","DateFormat=P","Fill=—","Direction=H","UseDPDF=Y")</f>
        <v>#NAME?</v>
      </c>
      <c r="AW70" s="2" t="e">
        <f ca="1">_xll.BDH($C$53,"MODIFIED_WORKING_CPTL_5YR_GRWTH","FQ2 2017","FQ2 2017","Currency=INR","Period=FQ","BEST_FPERIOD_OVERRIDE=FQ","FILING_STATUS=OR","EQY_CONSOLIDATED=Y","Sort=A","Dates=H","DateFormat=P","Fill=—","Direction=H","UseDPDF=Y")</f>
        <v>#NAME?</v>
      </c>
      <c r="AX70" s="2" t="e">
        <f ca="1">_xll.BDH($C$53,"WORKING_CAPITAL_5_YEAR_GROWTH","FQ2 2017","FQ2 2017","Currency=INR","Period=FQ","BEST_FPERIOD_OVERRIDE=FQ","FILING_STATUS=OR","EQY_CONSOLIDATED=Y","Sort=A","Dates=H","DateFormat=P","Fill=—","Direction=H","UseDPDF=Y")</f>
        <v>#NAME?</v>
      </c>
      <c r="AY70" s="2" t="e">
        <f ca="1">_xll.BDH($C$53,"ACCOUNTS_PAYABLE_5_YEAR_GROWTH","FQ2 2017","FQ2 2017","Currency=INR","Period=FQ","BEST_FPERIOD_OVERRIDE=FQ","FILING_STATUS=OR","EQY_CONSOLIDATED=Y","Sort=A","Dates=H","DateFormat=P","Fill=—","Direction=H","UseDPDF=Y")</f>
        <v>#NAME?</v>
      </c>
      <c r="AZ70" s="2" t="e">
        <f ca="1">_xll.BDH($C$53,"SHORT_TERM_DEBT_5_YEAR_GROWTH","FQ2 2017","FQ2 2017","Currency=INR","Period=FQ","BEST_FPERIOD_OVERRIDE=FQ","FILING_STATUS=OR","EQY_CONSOLIDATED=Y","Sort=A","Dates=H","DateFormat=P","Fill=—","Direction=H","UseDPDF=Y")</f>
        <v>#NAME?</v>
      </c>
      <c r="BA70" s="2" t="e">
        <f ca="1">_xll.BDH($C$53,"TOTAL_DEBT_5_YEAR_GROWTH","FQ2 2017","FQ2 2017","Currency=INR","Period=FQ","BEST_FPERIOD_OVERRIDE=FQ","FILING_STATUS=OR","EQY_CONSOLIDATED=Y","Sort=A","Dates=H","DateFormat=P","Fill=—","Direction=H","UseDPDF=Y")</f>
        <v>#NAME?</v>
      </c>
      <c r="BB70" s="2" t="e">
        <f ca="1">_xll.BDH($C$53,"GEO_GROW_TOT_SHRHLDR_EQY","FQ2 2017","FQ2 2017","Currency=INR","Period=FQ","BEST_FPERIOD_OVERRIDE=FQ","FILING_STATUS=OR","EQY_CONSOLIDATED=Y","Sort=A","Dates=H","DateFormat=P","Fill=—","Direction=H","UseDPDF=Y")</f>
        <v>#NAME?</v>
      </c>
      <c r="BC70" s="2" t="e">
        <f ca="1">_xll.BDH($C$53,"TOTAL_CAPITAL_5_YEAR_GROWTH","FQ2 2017","FQ2 2017","Currency=INR","Period=FQ","BEST_FPERIOD_OVERRIDE=FQ","FILING_STATUS=OR","EQY_CONSOLIDATED=Y","Sort=A","Dates=H","DateFormat=P","Fill=—","Direction=H","UseDPDF=Y")</f>
        <v>#NAME?</v>
      </c>
      <c r="BD70" s="2" t="e">
        <f ca="1">_xll.BDH($C$53,"GEO_GROW_BOOK_VAL","FQ2 2017","FQ2 2017","Currency=INR","Period=FQ","BEST_FPERIOD_OVERRIDE=FQ","FILING_STATUS=OR","EQY_CONSOLIDATED=Y","Sort=A","Dates=H","DateFormat=P","Fill=—","Direction=H","UseDPDF=Y")</f>
        <v>#NAME?</v>
      </c>
      <c r="BE70" s="2" t="e">
        <f ca="1">_xll.BDH($C$53,"GEO_GROW_CASH_OPER_ACT","FQ2 2017","FQ2 2017","Currency=INR","Period=FQ","BEST_FPERIOD_OVERRIDE=FQ","FILING_STATUS=OR","EQY_CONSOLIDATED=Y","Sort=A","Dates=H","DateFormat=P","Fill=—","Direction=H","UseDPDF=Y")</f>
        <v>#NAME?</v>
      </c>
      <c r="BF70" s="2" t="e">
        <f ca="1">_xll.BDH($C$53,"REVENUE_SEQUENTIAL_GROWTH","FQ2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70" s="2" t="e">
        <f ca="1">_xll.BDH($C$53,"EBITDA_SEQUENTIAL_GROWTH","FQ2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70" s="2" t="e">
        <f ca="1">_xll.BDH($C$53,"OPERATING_INCOME_SEQ_GROWTH","FQ2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70" s="2" t="e">
        <f ca="1">_xll.BDH($C$53,"NET_INCOME_TO_COMMON_SEQ_GROWTH","FQ2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70" s="2" t="e">
        <f ca="1">_xll.BDH($C$53,"EPS_DILUTED_SEQUENTIAL_GROWTH","FQ2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70" s="2" t="e">
        <f ca="1">_xll.BDH($C$53,"DPS_SEQUENTIAL_GROWTH","FQ2 2017","FQ2 2017","Currency=INR","Period=FQ","BEST_FPERIOD_OVERRIDE=FQ","FILING_STATUS=OR","EQY_CONSOLIDATED=Y","Sort=A","Dates=H","DateFormat=P","Fill=—","Direction=H","UseDPDF=Y")</f>
        <v>#NAME?</v>
      </c>
      <c r="BL70" s="2" t="e">
        <f ca="1">_xll.BDH($C$53,"ACCOUNTS_RECEIVABLE_SEQ_GROWTH","FQ2 2017","FQ2 2017","Currency=INR","Period=FQ","BEST_FPERIOD_OVERRIDE=FQ","FILING_STATUS=OR","EQY_CONSOLIDATED=Y","Sort=A","Dates=H","DateFormat=P","Fill=—","Direction=H","UseDPDF=Y")</f>
        <v>#NAME?</v>
      </c>
      <c r="BM70" s="2" t="e">
        <f ca="1">_xll.BDH($C$53,"INVENTORY_SEQUENTIAL_GROWTH","FQ2 2017","FQ2 2017","Currency=INR","Period=FQ","BEST_FPERIOD_OVERRIDE=FQ","FILING_STATUS=OR","EQY_CONSOLIDATED=Y","Sort=A","Dates=H","DateFormat=P","Fill=—","Direction=H","UseDPDF=Y")</f>
        <v>#NAME?</v>
      </c>
      <c r="BN70" s="2" t="e">
        <f ca="1">_xll.BDH($C$53,"FIXED_ASSETS_SEQUENTIAL_GROWTH","FQ2 2017","FQ2 2017","Currency=INR","Period=FQ","BEST_FPERIOD_OVERRIDE=FQ","FILING_STATUS=OR","EQY_CONSOLIDATED=Y","Sort=A","Dates=H","DateFormat=P","Fill=—","Direction=H","UseDPDF=Y")</f>
        <v>#NAME?</v>
      </c>
      <c r="BO70" s="2" t="e">
        <f ca="1">_xll.BDH($C$53,"TOTAL_ASSETS_SEQUENTIAL_GROWTH","FQ2 2017","FQ2 2017","Currency=INR","Period=FQ","BEST_FPERIOD_OVERRIDE=FQ","FILING_STATUS=OR","EQY_CONSOLIDATED=Y","Sort=A","Dates=H","DateFormat=P","Fill=—","Direction=H","UseDPDF=Y")</f>
        <v>#NAME?</v>
      </c>
      <c r="BP70" s="2" t="e">
        <f ca="1">_xll.BDH($C$53,"MODIFIED_WORKING_CPTL_SEQ_GRWTH","FQ2 2017","FQ2 2017","Currency=INR","Period=FQ","BEST_FPERIOD_OVERRIDE=FQ","FILING_STATUS=OR","EQY_CONSOLIDATED=Y","Sort=A","Dates=H","DateFormat=P","Fill=—","Direction=H","UseDPDF=Y")</f>
        <v>#NAME?</v>
      </c>
      <c r="BQ70" s="2" t="e">
        <f ca="1">_xll.BDH($C$53,"WORKING_CAPITAL_SEQ_GROWTH","FQ2 2017","FQ2 2017","Currency=INR","Period=FQ","BEST_FPERIOD_OVERRIDE=FQ","FILING_STATUS=OR","EQY_CONSOLIDATED=Y","Sort=A","Dates=H","DateFormat=P","Fill=—","Direction=H","UseDPDF=Y")</f>
        <v>#NAME?</v>
      </c>
      <c r="BR70" s="2" t="e">
        <f ca="1">_xll.BDH($C$53,"ACCOUNTS_PAYABLE_SEQ_GROWTH","FQ2 2017","FQ2 2017","Currency=INR","Period=FQ","BEST_FPERIOD_OVERRIDE=FQ","FILING_STATUS=OR","EQY_CONSOLIDATED=Y","Sort=A","Dates=H","DateFormat=P","Fill=—","Direction=H","UseDPDF=Y")</f>
        <v>#NAME?</v>
      </c>
      <c r="BS70" s="2" t="e">
        <f ca="1">_xll.BDH($C$53,"ST_DEBT_SEQUENTIAL_GROWTH","FQ2 2017","FQ2 2017","Currency=INR","Period=FQ","BEST_FPERIOD_OVERRIDE=FQ","FILING_STATUS=OR","EQY_CONSOLIDATED=Y","Sort=A","Dates=H","DateFormat=P","Fill=—","Direction=H","UseDPDF=Y")</f>
        <v>#NAME?</v>
      </c>
      <c r="BT70" s="2" t="e">
        <f ca="1">_xll.BDH($C$53,"TOTAL_DEBT_SEQUENTIAL_GROWTH","FQ2 2017","FQ2 2017","Currency=INR","Period=FQ","BEST_FPERIOD_OVERRIDE=FQ","FILING_STATUS=OR","EQY_CONSOLIDATED=Y","Sort=A","Dates=H","DateFormat=P","Fill=—","Direction=H","UseDPDF=Y")</f>
        <v>#NAME?</v>
      </c>
      <c r="BU70" s="2" t="e">
        <f ca="1">_xll.BDH($C$53,"TOTAL_EQUITY_SEQUENTIAL_GROWTH","FQ2 2017","FQ2 2017","Currency=INR","Period=FQ","BEST_FPERIOD_OVERRIDE=FQ","FILING_STATUS=OR","EQY_CONSOLIDATED=Y","Sort=A","Dates=H","DateFormat=P","Fill=—","Direction=H","UseDPDF=Y")</f>
        <v>#NAME?</v>
      </c>
      <c r="BV70" s="2" t="e">
        <f ca="1">_xll.BDH($C$53,"TOTAL_CAPITAL_SEQUENTIAL_GROWTH","FQ2 2017","FQ2 2017","Currency=INR","Period=FQ","BEST_FPERIOD_OVERRIDE=FQ","FILING_STATUS=OR","EQY_CONSOLIDATED=Y","Sort=A","Dates=H","DateFormat=P","Fill=—","Direction=H","UseDPDF=Y")</f>
        <v>#NAME?</v>
      </c>
      <c r="BW70" s="2" t="e">
        <f ca="1">_xll.BDH($C$53,"BPS_SEQUENTIAL_GROWTH","FQ2 2017","FQ2 2017","Currency=INR","Period=FQ","BEST_FPERIOD_OVERRIDE=FQ","FILING_STATUS=OR","EQY_CONSOLIDATED=Y","Sort=A","Dates=H","DateFormat=P","Fill=—","Direction=H","UseDPDF=Y")</f>
        <v>#NAME?</v>
      </c>
      <c r="BX70" s="2" t="e">
        <f ca="1">_xll.BDH($C$53,"CFO_SEQUENTIAL_GROWTH","FQ2 2017","FQ2 2017","Currency=INR","Period=FQ","BEST_FPERIOD_OVERRIDE=FQ","FILING_STATUS=OR","EQY_CONSOLIDATED=Y","Sort=A","Dates=H","DateFormat=P","Fill=—","Direction=H","UseDPDF=Y")</f>
        <v>#NAME?</v>
      </c>
      <c r="BY70" s="3" t="e">
        <f ca="1">_xll.BDH($C$53,"SHORT_AND_LONG_TERM_DEBT","FQ2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70" s="3" t="e">
        <f ca="1">_xll.BDH($C$53,"BS_ST_BORROW","FQ2 2017","FQ2 2017","Currency=INR","Period=FQ","BEST_FPERIOD_OVERRIDE=FQ","FILING_STATUS=OR","EQY_CONSOLIDATED=Y","SCALING_FORMAT=MLN","Sort=A","Dates=H","DateFormat=P","Fill=—","Direction=H","UseDPDF=Y")</f>
        <v>#NAME?</v>
      </c>
      <c r="CA70" s="3" t="e">
        <f ca="1">_xll.BDH($C$53,"BS_LT_BORROW","FQ2 2017","FQ2 2017","Currency=INR","Period=FQ","BEST_FPERIOD_OVERRIDE=FQ","FILING_STATUS=OR","EQY_CONSOLIDATED=Y","SCALING_FORMAT=MLN","Sort=A","Dates=H","DateFormat=P","Fill=—","Direction=H","UseDPDF=Y")</f>
        <v>#NAME?</v>
      </c>
      <c r="CB70" s="2" t="e">
        <f ca="1">_xll.BDH($C$53,"TOT_DEBT_TO_EBITDA","FQ2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70" s="2" t="e">
        <f ca="1">_xll.BDH($C$53,"NET_DEBT_TO_EBITDA","FQ2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70" s="2" t="e">
        <f ca="1">_xll.BDH($C$53,"TOTAL_DEBT_TO_EBIT","FQ2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70" s="2" t="e">
        <f ca="1">_xll.BDH($C$53,"NET_DEBT_TO_EBIT","FQ2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70" s="2" t="e">
        <f ca="1">_xll.BDH($C$53,"EBITDA_TO_INTEREST_EXPN","FQ2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70" s="2" t="e">
        <f ca="1">_xll.BDH($C$53,"COM_EQY_TO_TOT_ASSET","FQ2 2017","FQ2 2017","Currency=INR","Period=FQ","BEST_FPERIOD_OVERRIDE=FQ","FILING_STATUS=OR","EQY_CONSOLIDATED=Y","Sort=A","Dates=H","DateFormat=P","Fill=—","Direction=H","UseDPDF=Y")</f>
        <v>#NAME?</v>
      </c>
      <c r="CH70" s="2" t="e">
        <f ca="1">_xll.BDH($C$53,"LT_DEBT_TO_TOT_EQY","FQ2 2017","FQ2 2017","Currency=INR","Period=FQ","BEST_FPERIOD_OVERRIDE=FQ","FILING_STATUS=OR","EQY_CONSOLIDATED=Y","Sort=A","Dates=H","DateFormat=P","Fill=—","Direction=H","UseDPDF=Y")</f>
        <v>#NAME?</v>
      </c>
      <c r="CI70" s="2" t="e">
        <f ca="1">_xll.BDH($C$53,"LT_DEBT_TO_TOT_CAP","FQ2 2017","FQ2 2017","Currency=INR","Period=FQ","BEST_FPERIOD_OVERRIDE=FQ","FILING_STATUS=OR","EQY_CONSOLIDATED=Y","Sort=A","Dates=H","DateFormat=P","Fill=—","Direction=H","UseDPDF=Y")</f>
        <v>#NAME?</v>
      </c>
      <c r="CJ70" s="2" t="e">
        <f ca="1">_xll.BDH($C$53,"LT_DEBT_TO_TOT_ASSET","FQ2 2017","FQ2 2017","Currency=INR","Period=FQ","BEST_FPERIOD_OVERRIDE=FQ","FILING_STATUS=OR","EQY_CONSOLIDATED=Y","Sort=A","Dates=H","DateFormat=P","Fill=—","Direction=H","UseDPDF=Y")</f>
        <v>#NAME?</v>
      </c>
      <c r="CK70" s="2" t="e">
        <f ca="1">_xll.BDH($C$53,"TOT_DEBT_TO_TOT_EQY","FQ2 2017","FQ2 2017","Currency=INR","Period=FQ","BEST_FPERIOD_OVERRIDE=FQ","FILING_STATUS=OR","EQY_CONSOLIDATED=Y","Sort=A","Dates=H","DateFormat=P","Fill=—","Direction=H","UseDPDF=Y")</f>
        <v>#NAME?</v>
      </c>
      <c r="CL70" s="2" t="e">
        <f ca="1">_xll.BDH($C$53,"TOT_DEBT_TO_TOT_CAP","FQ2 2017","FQ2 2017","Currency=INR","Period=FQ","BEST_FPERIOD_OVERRIDE=FQ","FILING_STATUS=OR","EQY_CONSOLIDATED=Y","Sort=A","Dates=H","DateFormat=P","Fill=—","Direction=H","UseDPDF=Y")</f>
        <v>#NAME?</v>
      </c>
      <c r="CM70" s="2" t="e">
        <f ca="1">_xll.BDH($C$53,"TOT_DEBT_TO_TOT_ASSET","FQ2 2017","FQ2 2017","Currency=INR","Period=FQ","BEST_FPERIOD_OVERRIDE=FQ","FILING_STATUS=OR","EQY_CONSOLIDATED=Y","Sort=A","Dates=H","DateFormat=P","Fill=—","Direction=H","UseDPDF=Y")</f>
        <v>#NAME?</v>
      </c>
      <c r="CN70" s="2" t="e">
        <f ca="1">_xll.BDH($C$53,"NET_DEBT_TO_SHRHLDR_EQTY","FQ2 2017","FQ2 2017","Currency=INR","Period=FQ","BEST_FPERIOD_OVERRIDE=FQ","FILING_STATUS=OR","EQY_CONSOLIDATED=Y","Sort=A","Dates=H","DateFormat=P","Fill=—","Direction=H","UseDPDF=Y")</f>
        <v>#NAME?</v>
      </c>
      <c r="CO70" s="2" t="e">
        <f ca="1">_xll.BDH($C$53,"NET_DEBT_%_CAPITAL","FQ2 2017","FQ2 2017","Currency=INR","Period=FQ","BEST_FPERIOD_OVERRIDE=FQ","FILING_STATUS=OR","EQY_CONSOLIDATED=Y","Sort=A","Dates=H","DateFormat=P","Fill=—","Direction=H","UseDPDF=Y")</f>
        <v>#NAME?</v>
      </c>
      <c r="CP70" s="3" t="e">
        <f ca="1">_xll.BDH($C$53,"EBITDA","FQ2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70" s="3" t="e">
        <f ca="1">_xll.BDH($C$53,"EBITDA_AFTER_CAPEX","FQ2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70" s="3" t="e">
        <f ca="1">_xll.BDH($C$53,"IS_OPER_INC","FQ2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70" s="2" t="e">
        <f ca="1">_xll.BDH($C$53,"CASH_RATIO","FQ2 2017","FQ2 2017","Currency=INR","Period=FQ","BEST_FPERIOD_OVERRIDE=FQ","FILING_STATUS=OR","EQY_CONSOLIDATED=Y","Sort=A","Dates=H","DateFormat=P","Fill=—","Direction=H","UseDPDF=Y")</f>
        <v>#NAME?</v>
      </c>
      <c r="CT70" s="2" t="e">
        <f ca="1">_xll.BDH($C$53,"CUR_RATIO","FQ2 2017","FQ2 2017","Currency=INR","Period=FQ","BEST_FPERIOD_OVERRIDE=FQ","FILING_STATUS=OR","EQY_CONSOLIDATED=Y","Sort=A","Dates=H","DateFormat=P","Fill=—","Direction=H","UseDPDF=Y")</f>
        <v>#NAME?</v>
      </c>
      <c r="CU70" s="2" t="e">
        <f ca="1">_xll.BDH($C$53,"QUICK_RATIO","FQ2 2017","FQ2 2017","Currency=INR","Period=FQ","BEST_FPERIOD_OVERRIDE=FQ","FILING_STATUS=OR","EQY_CONSOLIDATED=Y","Sort=A","Dates=H","DateFormat=P","Fill=—","Direction=H","UseDPDF=Y")</f>
        <v>#NAME?</v>
      </c>
      <c r="CV70" s="2" t="e">
        <f ca="1">_xll.BDH($C$53,"ALTMAN_Z_SCORE","FQ2 2017","FQ2 2017","Currency=INR","Period=FQ","BEST_FPERIOD_OVERRIDE=FQ","FILING_STATUS=OR","EQY_CONSOLIDATED=Y","Sort=A","Dates=H","DateFormat=P","Fill=—","Direction=H","UseDPDF=Y")</f>
        <v>#NAME?</v>
      </c>
      <c r="CW70" s="4" t="e">
        <f ca="1">_xll.BDH($C$53,"ACCT_RCV_TURN","FQ2 2017","FQ2 2017","Currency=INR","Period=FQ","BEST_FPERIOD_OVERRIDE=FQ","FILING_STATUS=OR","EQY_CONSOLIDATED=Y","FA_ADJUSTED=GAAP","Sort=A","Dates=H","DateFormat=P","Fill=—","Direction=H","UseDPDF=Y")</f>
        <v>#NAME?</v>
      </c>
      <c r="CX70" s="2" t="e">
        <f ca="1">_xll.BDH($C$53,"ACCT_RCV_DAYS","FQ2 2017","FQ2 2017","Currency=INR","Period=FQ","BEST_FPERIOD_OVERRIDE=FQ","FILING_STATUS=OR","EQY_CONSOLIDATED=Y","FA_ADJUSTED=GAAP","Sort=A","Dates=H","DateFormat=P","Fill=—","Direction=H","UseDPDF=Y")</f>
        <v>#NAME?</v>
      </c>
      <c r="CY70" s="4" t="e">
        <f ca="1">_xll.BDH($C$53,"INVENT_TURN","FQ2 2017","FQ2 2017","Currency=INR","Period=FQ","BEST_FPERIOD_OVERRIDE=FQ","FILING_STATUS=OR","EQY_CONSOLIDATED=Y","FA_ADJUSTED=GAAP","Sort=A","Dates=H","DateFormat=P","Fill=—","Direction=H","UseDPDF=Y")</f>
        <v>#NAME?</v>
      </c>
      <c r="CZ70" s="2" t="e">
        <f ca="1">_xll.BDH($C$53,"INVENT_DAYS","FQ2 2017","FQ2 2017","Currency=INR","Period=FQ","BEST_FPERIOD_OVERRIDE=FQ","FILING_STATUS=OR","EQY_CONSOLIDATED=Y","FA_ADJUSTED=GAAP","Sort=A","Dates=H","DateFormat=P","Fill=—","Direction=H","UseDPDF=Y")</f>
        <v>#NAME?</v>
      </c>
      <c r="DA70" s="4" t="e">
        <f ca="1">_xll.BDH($C$53,"ACCOUNTS_PAYABLE_TURNOVER","FQ2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70" s="2" t="e">
        <f ca="1">_xll.BDH($C$53,"ACCOUNTS_PAYABLE_TURNOVER_DAYS","FQ2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70" s="4" t="e">
        <f ca="1">_xll.BDH($C$53,"CASH_CONVERSION_CYCLE","FQ2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70" s="4" t="e">
        <f ca="1">_xll.BDH($C$53,"INV_TO_CASH_DAYS","FQ2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70" s="5" t="e">
        <f ca="1">_xll.BDH($C$53,"BS_INVENTORIES","FQ2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70" s="3" t="e">
        <f ca="1">_xll.BDH($C$53,"INVTRY_RAW_MATERIALS","FQ2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70" s="3" t="e">
        <f ca="1">_xll.BDH($C$53,"INVTRY_IN_PROGRESS","FQ2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70" s="3" t="e">
        <f ca="1">_xll.BDH($C$53,"INVTRY_FINISHED_GOODS","FQ2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70" s="3" t="e">
        <f ca="1">_xll.BDH($C$53,"BS_OTHER_INV","FQ2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71" spans="1:113" x14ac:dyDescent="0.3">
      <c r="A71" s="6"/>
      <c r="B71" s="6"/>
      <c r="C71" s="6"/>
      <c r="D71" s="6"/>
      <c r="E71" t="s">
        <v>80</v>
      </c>
      <c r="F71" t="e">
        <f ca="1">_xll.BDH($C$53,"RETURN_COM_EQY","FQ3 2017","FQ3 2017","Currency=INR","Period=FQ","BEST_FPERIOD_OVERRIDE=FQ","FILING_STATUS=OR","EQY_CONSOLIDATED=Y","FA_ADJUSTED=GAAP","Sort=A","Dates=H","DateFormat=P","Fill=—","Direction=H","UseDPDF=Y")</f>
        <v>#NAME?</v>
      </c>
      <c r="G71" t="e">
        <f ca="1">_xll.BDH($C$53,"RETURN_ON_ASSET","FQ3 2017","FQ3 2017","Currency=INR","Period=FQ","BEST_FPERIOD_OVERRIDE=FQ","FILING_STATUS=OR","EQY_CONSOLIDATED=Y","FA_ADJUSTED=GAAP","Sort=A","Dates=H","DateFormat=P","Fill=—","Direction=H","UseDPDF=Y")</f>
        <v>#NAME?</v>
      </c>
      <c r="H71" t="e">
        <f ca="1">_xll.BDH($C$53,"RETURN_ON_CAP","FQ3 2017","FQ3 2017","Currency=INR","Period=FQ","BEST_FPERIOD_OVERRIDE=FQ","FILING_STATUS=OR","EQY_CONSOLIDATED=Y","FA_ADJUSTED=GAAP","Sort=A","Dates=H","DateFormat=P","Fill=—","Direction=H","UseDPDF=Y")</f>
        <v>#NAME?</v>
      </c>
      <c r="I71" t="e">
        <f ca="1">_xll.BDH($C$53,"RETURN_ON_INV_CAPITAL","FQ3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71" t="e">
        <f ca="1">_xll.BDH($C$53,"EBITDA_TO_REVENUE","FQ3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71" t="e">
        <f ca="1">_xll.BDH($C$53,"OPER_MARGIN","FQ3 2017","FQ3 2017","Currency=INR","Period=FQ","BEST_FPERIOD_OVERRIDE=FQ","FILING_STATUS=OR","EQY_CONSOLIDATED=Y","FA_ADJUSTED=GAAP","Sort=A","Dates=H","DateFormat=P","Fill=—","Direction=H","UseDPDF=Y")</f>
        <v>#NAME?</v>
      </c>
      <c r="L71" t="e">
        <f ca="1">_xll.BDH($C$53,"INCREMENTAL_OPERATING_MARGIN","FQ3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71" t="e">
        <f ca="1">_xll.BDH($C$53,"PRETAX_INC_TO_NET_SALES","FQ3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71" t="e">
        <f ca="1">_xll.BDH($C$53,"INC_BEF_XO_ITEMS_TO_NET_SALES","FQ3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71" t="e">
        <f ca="1">_xll.BDH($C$53,"PROF_MARGIN","FQ3 2017","FQ3 2017","Currency=INR","Period=FQ","BEST_FPERIOD_OVERRIDE=FQ","FILING_STATUS=OR","EQY_CONSOLIDATED=Y","FA_ADJUSTED=GAAP","Sort=A","Dates=H","DateFormat=P","Fill=—","Direction=H","UseDPDF=Y")</f>
        <v>#NAME?</v>
      </c>
      <c r="P71" t="e">
        <f ca="1">_xll.BDH($C$53,"NET_INCOME_TO_COMMON_MARGIN","FQ3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71" t="e">
        <f ca="1">_xll.BDH($C$53,"EFF_TAX_RATE","FQ3 2017","FQ3 2017","Currency=INR","Period=FQ","BEST_FPERIOD_OVERRIDE=FQ","FILING_STATUS=OR","EQY_CONSOLIDATED=Y","FA_ADJUSTED=GAAP","Sort=A","Dates=H","DateFormat=P","Fill=—","Direction=H","UseDPDF=Y")</f>
        <v>#NAME?</v>
      </c>
      <c r="R71" t="e">
        <f ca="1">_xll.BDH($C$53,"DVD_PAYOUT_RATIO","FQ3 2017","FQ3 2017","Currency=INR","Period=FQ","BEST_FPERIOD_OVERRIDE=FQ","FILING_STATUS=OR","EQY_CONSOLIDATED=Y","FA_ADJUSTED=GAAP","Sort=A","Dates=H","DateFormat=P","Fill=—","Direction=H","UseDPDF=Y")</f>
        <v>#NAME?</v>
      </c>
      <c r="S71" t="e">
        <f ca="1">_xll.BDH($C$53,"SUSTAIN_GROWTH_RT","FQ3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71" s="2" t="e">
        <f ca="1">_xll.BDH($C$53,"SALES_GROWTH","FQ3 2017","FQ3 2017","Currency=INR","Period=FQ","BEST_FPERIOD_OVERRIDE=FQ","FILING_STATUS=OR","EQY_CONSOLIDATED=Y","FA_ADJUSTED=GAAP","Sort=A","Dates=H","DateFormat=P","Fill=—","Direction=H","UseDPDF=Y")</f>
        <v>#NAME?</v>
      </c>
      <c r="U71" s="2" t="e">
        <f ca="1">_xll.BDH($C$53,"EBITDA_GROWTH","FQ3 2017","FQ3 2017","Currency=INR","Period=FQ","BEST_FPERIOD_OVERRIDE=FQ","FILING_STATUS=OR","EQY_CONSOLIDATED=Y","FA_ADJUSTED=GAAP","Sort=A","Dates=H","DateFormat=P","Fill=—","Direction=H","UseDPDF=Y")</f>
        <v>#NAME?</v>
      </c>
      <c r="V71" s="2" t="e">
        <f ca="1">_xll.BDH($C$53,"OPER_INC_GROWTH","FQ3 2017","FQ3 2017","Currency=INR","Period=FQ","BEST_FPERIOD_OVERRIDE=FQ","FILING_STATUS=OR","EQY_CONSOLIDATED=Y","FA_ADJUSTED=GAAP","Sort=A","Dates=H","DateFormat=P","Fill=—","Direction=H","UseDPDF=Y")</f>
        <v>#NAME?</v>
      </c>
      <c r="W71" s="2" t="e">
        <f ca="1">_xll.BDH($C$53,"EARN_FOR_COM_GROWTH","FQ3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71" s="2" t="e">
        <f ca="1">_xll.BDH($C$53,"DILUTED_EPS_AFT_XO_ITEMS_GROWTH","FQ3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71" s="2" t="e">
        <f ca="1">_xll.BDH($C$53,"DIVIDEND_PER_SHARE_1_YEAR_GROWTH","FQ3 2017","FQ3 2017","Currency=INR","Period=FQ","BEST_FPERIOD_OVERRIDE=FQ","FILING_STATUS=OR","EQY_CONSOLIDATED=Y","Sort=A","Dates=H","DateFormat=P","Fill=—","Direction=H","UseDPDF=Y")</f>
        <v>#NAME?</v>
      </c>
      <c r="Z71" s="2" t="e">
        <f ca="1">_xll.BDH($C$53,"ACCOUNTS_RECEIVABLE_GROWTH","FQ3 2017","FQ3 2017","Currency=INR","Period=FQ","BEST_FPERIOD_OVERRIDE=FQ","FILING_STATUS=OR","EQY_CONSOLIDATED=Y","Sort=A","Dates=H","DateFormat=P","Fill=—","Direction=H","UseDPDF=Y")</f>
        <v>#NAME?</v>
      </c>
      <c r="AA71" s="2" t="e">
        <f ca="1">_xll.BDH($C$53,"INVENTORY_GROWTH","FQ3 2017","FQ3 2017","Currency=INR","Period=FQ","BEST_FPERIOD_OVERRIDE=FQ","FILING_STATUS=OR","EQY_CONSOLIDATED=Y","Sort=A","Dates=H","DateFormat=P","Fill=—","Direction=H","UseDPDF=Y")</f>
        <v>#NAME?</v>
      </c>
      <c r="AB71" s="2" t="e">
        <f ca="1">_xll.BDH($C$53,"NET_FIXED_ASSETS_1_YEAR_GROWTH","FQ3 2017","FQ3 2017","Currency=INR","Period=FQ","BEST_FPERIOD_OVERRIDE=FQ","FILING_STATUS=OR","EQY_CONSOLIDATED=Y","Sort=A","Dates=H","DateFormat=P","Fill=—","Direction=H","UseDPDF=Y")</f>
        <v>#NAME?</v>
      </c>
      <c r="AC71" s="2" t="e">
        <f ca="1">_xll.BDH($C$53,"ASSET_GROWTH","FQ3 2017","FQ3 2017","Currency=INR","Period=FQ","BEST_FPERIOD_OVERRIDE=FQ","FILING_STATUS=OR","EQY_CONSOLIDATED=Y","Sort=A","Dates=H","DateFormat=P","Fill=—","Direction=H","UseDPDF=Y")</f>
        <v>#NAME?</v>
      </c>
      <c r="AD71" s="2" t="e">
        <f ca="1">_xll.BDH($C$53,"MODIFIED_WORK_CAP_GROWTH","FQ3 2017","FQ3 2017","Currency=INR","Period=FQ","BEST_FPERIOD_OVERRIDE=FQ","FILING_STATUS=OR","EQY_CONSOLIDATED=Y","Sort=A","Dates=H","DateFormat=P","Fill=—","Direction=H","UseDPDF=Y")</f>
        <v>#NAME?</v>
      </c>
      <c r="AE71" s="2" t="e">
        <f ca="1">_xll.BDH($C$53,"WORK_CAP_GROWTH","FQ3 2017","FQ3 2017","Currency=INR","Period=FQ","BEST_FPERIOD_OVERRIDE=FQ","FILING_STATUS=OR","EQY_CONSOLIDATED=Y","Sort=A","Dates=H","DateFormat=P","Fill=—","Direction=H","UseDPDF=Y")</f>
        <v>#NAME?</v>
      </c>
      <c r="AF71" s="2" t="e">
        <f ca="1">_xll.BDH($C$53,"ACCOUNTS_PAYABLE_GROWTH_1YR","FQ3 2017","FQ3 2017","Currency=INR","Period=FQ","BEST_FPERIOD_OVERRIDE=FQ","FILING_STATUS=OR","EQY_CONSOLIDATED=Y","Sort=A","Dates=H","DateFormat=P","Fill=—","Direction=H","UseDPDF=Y")</f>
        <v>#NAME?</v>
      </c>
      <c r="AG71" s="2" t="e">
        <f ca="1">_xll.BDH($C$53,"SHORT_TERM_DEBT_1_YEAR_GROWTH","FQ3 2017","FQ3 2017","Currency=INR","Period=FQ","BEST_FPERIOD_OVERRIDE=FQ","FILING_STATUS=OR","EQY_CONSOLIDATED=Y","Sort=A","Dates=H","DateFormat=P","Fill=—","Direction=H","UseDPDF=Y")</f>
        <v>#NAME?</v>
      </c>
      <c r="AH71" s="2" t="e">
        <f ca="1">_xll.BDH($C$53,"TOTAL_DEBT_1_YEAR_GROWTH","FQ3 2017","FQ3 2017","Currency=INR","Period=FQ","BEST_FPERIOD_OVERRIDE=FQ","FILING_STATUS=OR","EQY_CONSOLIDATED=Y","Sort=A","Dates=H","DateFormat=P","Fill=—","Direction=H","UseDPDF=Y")</f>
        <v>#NAME?</v>
      </c>
      <c r="AI71" s="2" t="e">
        <f ca="1">_xll.BDH($C$53,"TOTAL_EQUITY_1_YEAR_GROWTH","FQ3 2017","FQ3 2017","Currency=INR","Period=FQ","BEST_FPERIOD_OVERRIDE=FQ","FILING_STATUS=OR","EQY_CONSOLIDATED=Y","Sort=A","Dates=H","DateFormat=P","Fill=—","Direction=H","UseDPDF=Y")</f>
        <v>#NAME?</v>
      </c>
      <c r="AJ71" s="2" t="e">
        <f ca="1">_xll.BDH($C$53,"GROWTH_IN_CAP","FQ3 2017","FQ3 2017","Currency=INR","Period=FQ","BEST_FPERIOD_OVERRIDE=FQ","FILING_STATUS=OR","EQY_CONSOLIDATED=Y","Sort=A","Dates=H","DateFormat=P","Fill=—","Direction=H","UseDPDF=Y")</f>
        <v>#NAME?</v>
      </c>
      <c r="AK71" s="2" t="e">
        <f ca="1">_xll.BDH($C$53,"BVPS_GROWTH","FQ3 2017","FQ3 2017","Currency=INR","Period=FQ","BEST_FPERIOD_OVERRIDE=FQ","FILING_STATUS=OR","EQY_CONSOLIDATED=Y","Sort=A","Dates=H","DateFormat=P","Fill=—","Direction=H","UseDPDF=Y")</f>
        <v>#NAME?</v>
      </c>
      <c r="AL71" s="2" t="e">
        <f ca="1">_xll.BDH($C$53,"CASH_FLOW_GROWTH","FQ3 2017","FQ3 2017","Currency=INR","Period=FQ","BEST_FPERIOD_OVERRIDE=FQ","FILING_STATUS=OR","EQY_CONSOLIDATED=Y","Sort=A","Dates=H","DateFormat=P","Fill=—","Direction=H","UseDPDF=Y")</f>
        <v>#NAME?</v>
      </c>
      <c r="AM71" s="2" t="e">
        <f ca="1">_xll.BDH($C$53,"GEO_GROW_NET_SALES","FQ3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71" s="2" t="e">
        <f ca="1">_xll.BDH($C$53,"GEO_GROW_EBITDA","FQ3 2017","FQ3 2017","Currency=INR","Period=FQ","BEST_FPERIOD_OVERRIDE=FQ","FILING_STATUS=OR","EQY_CONSOLIDATED=Y","FA_ADJUSTED=GAAP","Sort=A","Dates=H","DateFormat=P","Fill=—","Direction=H","UseDPDF=Y")</f>
        <v>#NAME?</v>
      </c>
      <c r="AO71" s="2" t="e">
        <f ca="1">_xll.BDH($C$53,"GEO_GROW_OPER_INC","FQ3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71" s="2" t="e">
        <f ca="1">_xll.BDH($C$53,"NET_INCOME_TO_COMMON_5_YR_GROWTH","FQ3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71" s="2" t="e">
        <f ca="1">_xll.BDH($C$53,"5Y_GEO_GROWTH_DILUTED_EPS","FQ3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71" s="2" t="e">
        <f ca="1">_xll.BDH($C$53,"GEO_GROW_DVD_PER_SH","FQ3 2017","FQ3 2017","Currency=INR","Period=FQ","BEST_FPERIOD_OVERRIDE=FQ","FILING_STATUS=OR","EQY_CONSOLIDATED=Y","Sort=A","Dates=H","DateFormat=P","Fill=—","Direction=H","UseDPDF=Y")</f>
        <v>#NAME?</v>
      </c>
      <c r="AS71" s="2" t="e">
        <f ca="1">_xll.BDH($C$53,"ACCOUNTS_RECEIVABLE_5_YR_GROWTH","FQ3 2017","FQ3 2017","Currency=INR","Period=FQ","BEST_FPERIOD_OVERRIDE=FQ","FILING_STATUS=OR","EQY_CONSOLIDATED=Y","Sort=A","Dates=H","DateFormat=P","Fill=—","Direction=H","UseDPDF=Y")</f>
        <v>#NAME?</v>
      </c>
      <c r="AT71" s="2" t="e">
        <f ca="1">_xll.BDH($C$53,"INVENTORY_5_YEAR_GROWTH","FQ3 2017","FQ3 2017","Currency=INR","Period=FQ","BEST_FPERIOD_OVERRIDE=FQ","FILING_STATUS=OR","EQY_CONSOLIDATED=Y","Sort=A","Dates=H","DateFormat=P","Fill=—","Direction=H","UseDPDF=Y")</f>
        <v>#NAME?</v>
      </c>
      <c r="AU71" s="2" t="e">
        <f ca="1">_xll.BDH($C$53,"NET_FIXED_ASSETS_5_YEAR_GROWTH","FQ3 2017","FQ3 2017","Currency=INR","Period=FQ","BEST_FPERIOD_OVERRIDE=FQ","FILING_STATUS=OR","EQY_CONSOLIDATED=Y","Sort=A","Dates=H","DateFormat=P","Fill=—","Direction=H","UseDPDF=Y")</f>
        <v>#NAME?</v>
      </c>
      <c r="AV71" s="2" t="e">
        <f ca="1">_xll.BDH($C$53,"GEO_GROW_TOT_ASSET","FQ3 2017","FQ3 2017","Currency=INR","Period=FQ","BEST_FPERIOD_OVERRIDE=FQ","FILING_STATUS=OR","EQY_CONSOLIDATED=Y","Sort=A","Dates=H","DateFormat=P","Fill=—","Direction=H","UseDPDF=Y")</f>
        <v>#NAME?</v>
      </c>
      <c r="AW71" s="2" t="e">
        <f ca="1">_xll.BDH($C$53,"MODIFIED_WORKING_CPTL_5YR_GRWTH","FQ3 2017","FQ3 2017","Currency=INR","Period=FQ","BEST_FPERIOD_OVERRIDE=FQ","FILING_STATUS=OR","EQY_CONSOLIDATED=Y","Sort=A","Dates=H","DateFormat=P","Fill=—","Direction=H","UseDPDF=Y")</f>
        <v>#NAME?</v>
      </c>
      <c r="AX71" s="2" t="e">
        <f ca="1">_xll.BDH($C$53,"WORKING_CAPITAL_5_YEAR_GROWTH","FQ3 2017","FQ3 2017","Currency=INR","Period=FQ","BEST_FPERIOD_OVERRIDE=FQ","FILING_STATUS=OR","EQY_CONSOLIDATED=Y","Sort=A","Dates=H","DateFormat=P","Fill=—","Direction=H","UseDPDF=Y")</f>
        <v>#NAME?</v>
      </c>
      <c r="AY71" s="2" t="e">
        <f ca="1">_xll.BDH($C$53,"ACCOUNTS_PAYABLE_5_YEAR_GROWTH","FQ3 2017","FQ3 2017","Currency=INR","Period=FQ","BEST_FPERIOD_OVERRIDE=FQ","FILING_STATUS=OR","EQY_CONSOLIDATED=Y","Sort=A","Dates=H","DateFormat=P","Fill=—","Direction=H","UseDPDF=Y")</f>
        <v>#NAME?</v>
      </c>
      <c r="AZ71" s="2" t="e">
        <f ca="1">_xll.BDH($C$53,"SHORT_TERM_DEBT_5_YEAR_GROWTH","FQ3 2017","FQ3 2017","Currency=INR","Period=FQ","BEST_FPERIOD_OVERRIDE=FQ","FILING_STATUS=OR","EQY_CONSOLIDATED=Y","Sort=A","Dates=H","DateFormat=P","Fill=—","Direction=H","UseDPDF=Y")</f>
        <v>#NAME?</v>
      </c>
      <c r="BA71" s="2" t="e">
        <f ca="1">_xll.BDH($C$53,"TOTAL_DEBT_5_YEAR_GROWTH","FQ3 2017","FQ3 2017","Currency=INR","Period=FQ","BEST_FPERIOD_OVERRIDE=FQ","FILING_STATUS=OR","EQY_CONSOLIDATED=Y","Sort=A","Dates=H","DateFormat=P","Fill=—","Direction=H","UseDPDF=Y")</f>
        <v>#NAME?</v>
      </c>
      <c r="BB71" s="2" t="e">
        <f ca="1">_xll.BDH($C$53,"GEO_GROW_TOT_SHRHLDR_EQY","FQ3 2017","FQ3 2017","Currency=INR","Period=FQ","BEST_FPERIOD_OVERRIDE=FQ","FILING_STATUS=OR","EQY_CONSOLIDATED=Y","Sort=A","Dates=H","DateFormat=P","Fill=—","Direction=H","UseDPDF=Y")</f>
        <v>#NAME?</v>
      </c>
      <c r="BC71" s="2" t="e">
        <f ca="1">_xll.BDH($C$53,"TOTAL_CAPITAL_5_YEAR_GROWTH","FQ3 2017","FQ3 2017","Currency=INR","Period=FQ","BEST_FPERIOD_OVERRIDE=FQ","FILING_STATUS=OR","EQY_CONSOLIDATED=Y","Sort=A","Dates=H","DateFormat=P","Fill=—","Direction=H","UseDPDF=Y")</f>
        <v>#NAME?</v>
      </c>
      <c r="BD71" s="2" t="e">
        <f ca="1">_xll.BDH($C$53,"GEO_GROW_BOOK_VAL","FQ3 2017","FQ3 2017","Currency=INR","Period=FQ","BEST_FPERIOD_OVERRIDE=FQ","FILING_STATUS=OR","EQY_CONSOLIDATED=Y","Sort=A","Dates=H","DateFormat=P","Fill=—","Direction=H","UseDPDF=Y")</f>
        <v>#NAME?</v>
      </c>
      <c r="BE71" s="2" t="e">
        <f ca="1">_xll.BDH($C$53,"GEO_GROW_CASH_OPER_ACT","FQ3 2017","FQ3 2017","Currency=INR","Period=FQ","BEST_FPERIOD_OVERRIDE=FQ","FILING_STATUS=OR","EQY_CONSOLIDATED=Y","Sort=A","Dates=H","DateFormat=P","Fill=—","Direction=H","UseDPDF=Y")</f>
        <v>#NAME?</v>
      </c>
      <c r="BF71" s="2" t="e">
        <f ca="1">_xll.BDH($C$53,"REVENUE_SEQUENTIAL_GROWTH","FQ3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71" s="2" t="e">
        <f ca="1">_xll.BDH($C$53,"EBITDA_SEQUENTIAL_GROWTH","FQ3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71" s="2" t="e">
        <f ca="1">_xll.BDH($C$53,"OPERATING_INCOME_SEQ_GROWTH","FQ3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71" s="2" t="e">
        <f ca="1">_xll.BDH($C$53,"NET_INCOME_TO_COMMON_SEQ_GROWTH","FQ3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71" s="2" t="e">
        <f ca="1">_xll.BDH($C$53,"EPS_DILUTED_SEQUENTIAL_GROWTH","FQ3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71" s="2" t="e">
        <f ca="1">_xll.BDH($C$53,"DPS_SEQUENTIAL_GROWTH","FQ3 2017","FQ3 2017","Currency=INR","Period=FQ","BEST_FPERIOD_OVERRIDE=FQ","FILING_STATUS=OR","EQY_CONSOLIDATED=Y","Sort=A","Dates=H","DateFormat=P","Fill=—","Direction=H","UseDPDF=Y")</f>
        <v>#NAME?</v>
      </c>
      <c r="BL71" s="2" t="e">
        <f ca="1">_xll.BDH($C$53,"ACCOUNTS_RECEIVABLE_SEQ_GROWTH","FQ3 2017","FQ3 2017","Currency=INR","Period=FQ","BEST_FPERIOD_OVERRIDE=FQ","FILING_STATUS=OR","EQY_CONSOLIDATED=Y","Sort=A","Dates=H","DateFormat=P","Fill=—","Direction=H","UseDPDF=Y")</f>
        <v>#NAME?</v>
      </c>
      <c r="BM71" s="2" t="e">
        <f ca="1">_xll.BDH($C$53,"INVENTORY_SEQUENTIAL_GROWTH","FQ3 2017","FQ3 2017","Currency=INR","Period=FQ","BEST_FPERIOD_OVERRIDE=FQ","FILING_STATUS=OR","EQY_CONSOLIDATED=Y","Sort=A","Dates=H","DateFormat=P","Fill=—","Direction=H","UseDPDF=Y")</f>
        <v>#NAME?</v>
      </c>
      <c r="BN71" s="2" t="e">
        <f ca="1">_xll.BDH($C$53,"FIXED_ASSETS_SEQUENTIAL_GROWTH","FQ3 2017","FQ3 2017","Currency=INR","Period=FQ","BEST_FPERIOD_OVERRIDE=FQ","FILING_STATUS=OR","EQY_CONSOLIDATED=Y","Sort=A","Dates=H","DateFormat=P","Fill=—","Direction=H","UseDPDF=Y")</f>
        <v>#NAME?</v>
      </c>
      <c r="BO71" s="2" t="e">
        <f ca="1">_xll.BDH($C$53,"TOTAL_ASSETS_SEQUENTIAL_GROWTH","FQ3 2017","FQ3 2017","Currency=INR","Period=FQ","BEST_FPERIOD_OVERRIDE=FQ","FILING_STATUS=OR","EQY_CONSOLIDATED=Y","Sort=A","Dates=H","DateFormat=P","Fill=—","Direction=H","UseDPDF=Y")</f>
        <v>#NAME?</v>
      </c>
      <c r="BP71" s="2" t="e">
        <f ca="1">_xll.BDH($C$53,"MODIFIED_WORKING_CPTL_SEQ_GRWTH","FQ3 2017","FQ3 2017","Currency=INR","Period=FQ","BEST_FPERIOD_OVERRIDE=FQ","FILING_STATUS=OR","EQY_CONSOLIDATED=Y","Sort=A","Dates=H","DateFormat=P","Fill=—","Direction=H","UseDPDF=Y")</f>
        <v>#NAME?</v>
      </c>
      <c r="BQ71" s="2" t="e">
        <f ca="1">_xll.BDH($C$53,"WORKING_CAPITAL_SEQ_GROWTH","FQ3 2017","FQ3 2017","Currency=INR","Period=FQ","BEST_FPERIOD_OVERRIDE=FQ","FILING_STATUS=OR","EQY_CONSOLIDATED=Y","Sort=A","Dates=H","DateFormat=P","Fill=—","Direction=H","UseDPDF=Y")</f>
        <v>#NAME?</v>
      </c>
      <c r="BR71" s="2" t="e">
        <f ca="1">_xll.BDH($C$53,"ACCOUNTS_PAYABLE_SEQ_GROWTH","FQ3 2017","FQ3 2017","Currency=INR","Period=FQ","BEST_FPERIOD_OVERRIDE=FQ","FILING_STATUS=OR","EQY_CONSOLIDATED=Y","Sort=A","Dates=H","DateFormat=P","Fill=—","Direction=H","UseDPDF=Y")</f>
        <v>#NAME?</v>
      </c>
      <c r="BS71" s="2" t="e">
        <f ca="1">_xll.BDH($C$53,"ST_DEBT_SEQUENTIAL_GROWTH","FQ3 2017","FQ3 2017","Currency=INR","Period=FQ","BEST_FPERIOD_OVERRIDE=FQ","FILING_STATUS=OR","EQY_CONSOLIDATED=Y","Sort=A","Dates=H","DateFormat=P","Fill=—","Direction=H","UseDPDF=Y")</f>
        <v>#NAME?</v>
      </c>
      <c r="BT71" s="2" t="e">
        <f ca="1">_xll.BDH($C$53,"TOTAL_DEBT_SEQUENTIAL_GROWTH","FQ3 2017","FQ3 2017","Currency=INR","Period=FQ","BEST_FPERIOD_OVERRIDE=FQ","FILING_STATUS=OR","EQY_CONSOLIDATED=Y","Sort=A","Dates=H","DateFormat=P","Fill=—","Direction=H","UseDPDF=Y")</f>
        <v>#NAME?</v>
      </c>
      <c r="BU71" s="2" t="e">
        <f ca="1">_xll.BDH($C$53,"TOTAL_EQUITY_SEQUENTIAL_GROWTH","FQ3 2017","FQ3 2017","Currency=INR","Period=FQ","BEST_FPERIOD_OVERRIDE=FQ","FILING_STATUS=OR","EQY_CONSOLIDATED=Y","Sort=A","Dates=H","DateFormat=P","Fill=—","Direction=H","UseDPDF=Y")</f>
        <v>#NAME?</v>
      </c>
      <c r="BV71" s="2" t="e">
        <f ca="1">_xll.BDH($C$53,"TOTAL_CAPITAL_SEQUENTIAL_GROWTH","FQ3 2017","FQ3 2017","Currency=INR","Period=FQ","BEST_FPERIOD_OVERRIDE=FQ","FILING_STATUS=OR","EQY_CONSOLIDATED=Y","Sort=A","Dates=H","DateFormat=P","Fill=—","Direction=H","UseDPDF=Y")</f>
        <v>#NAME?</v>
      </c>
      <c r="BW71" s="2" t="e">
        <f ca="1">_xll.BDH($C$53,"BPS_SEQUENTIAL_GROWTH","FQ3 2017","FQ3 2017","Currency=INR","Period=FQ","BEST_FPERIOD_OVERRIDE=FQ","FILING_STATUS=OR","EQY_CONSOLIDATED=Y","Sort=A","Dates=H","DateFormat=P","Fill=—","Direction=H","UseDPDF=Y")</f>
        <v>#NAME?</v>
      </c>
      <c r="BX71" s="2" t="e">
        <f ca="1">_xll.BDH($C$53,"CFO_SEQUENTIAL_GROWTH","FQ3 2017","FQ3 2017","Currency=INR","Period=FQ","BEST_FPERIOD_OVERRIDE=FQ","FILING_STATUS=OR","EQY_CONSOLIDATED=Y","Sort=A","Dates=H","DateFormat=P","Fill=—","Direction=H","UseDPDF=Y")</f>
        <v>#NAME?</v>
      </c>
      <c r="BY71" s="3" t="e">
        <f ca="1">_xll.BDH($C$53,"SHORT_AND_LONG_TERM_DEBT","FQ3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71" s="3" t="e">
        <f ca="1">_xll.BDH($C$53,"BS_ST_BORROW","FQ3 2017","FQ3 2017","Currency=INR","Period=FQ","BEST_FPERIOD_OVERRIDE=FQ","FILING_STATUS=OR","EQY_CONSOLIDATED=Y","SCALING_FORMAT=MLN","Sort=A","Dates=H","DateFormat=P","Fill=—","Direction=H","UseDPDF=Y")</f>
        <v>#NAME?</v>
      </c>
      <c r="CA71" s="3" t="e">
        <f ca="1">_xll.BDH($C$53,"BS_LT_BORROW","FQ3 2017","FQ3 2017","Currency=INR","Period=FQ","BEST_FPERIOD_OVERRIDE=FQ","FILING_STATUS=OR","EQY_CONSOLIDATED=Y","SCALING_FORMAT=MLN","Sort=A","Dates=H","DateFormat=P","Fill=—","Direction=H","UseDPDF=Y")</f>
        <v>#NAME?</v>
      </c>
      <c r="CB71" s="2" t="e">
        <f ca="1">_xll.BDH($C$53,"TOT_DEBT_TO_EBITDA","FQ3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71" s="2" t="e">
        <f ca="1">_xll.BDH($C$53,"NET_DEBT_TO_EBITDA","FQ3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71" s="2" t="e">
        <f ca="1">_xll.BDH($C$53,"TOTAL_DEBT_TO_EBIT","FQ3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71" s="2" t="e">
        <f ca="1">_xll.BDH($C$53,"NET_DEBT_TO_EBIT","FQ3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71" s="2" t="e">
        <f ca="1">_xll.BDH($C$53,"EBITDA_TO_INTEREST_EXPN","FQ3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71" s="2" t="e">
        <f ca="1">_xll.BDH($C$53,"COM_EQY_TO_TOT_ASSET","FQ3 2017","FQ3 2017","Currency=INR","Period=FQ","BEST_FPERIOD_OVERRIDE=FQ","FILING_STATUS=OR","EQY_CONSOLIDATED=Y","Sort=A","Dates=H","DateFormat=P","Fill=—","Direction=H","UseDPDF=Y")</f>
        <v>#NAME?</v>
      </c>
      <c r="CH71" s="2" t="e">
        <f ca="1">_xll.BDH($C$53,"LT_DEBT_TO_TOT_EQY","FQ3 2017","FQ3 2017","Currency=INR","Period=FQ","BEST_FPERIOD_OVERRIDE=FQ","FILING_STATUS=OR","EQY_CONSOLIDATED=Y","Sort=A","Dates=H","DateFormat=P","Fill=—","Direction=H","UseDPDF=Y")</f>
        <v>#NAME?</v>
      </c>
      <c r="CI71" s="2" t="e">
        <f ca="1">_xll.BDH($C$53,"LT_DEBT_TO_TOT_CAP","FQ3 2017","FQ3 2017","Currency=INR","Period=FQ","BEST_FPERIOD_OVERRIDE=FQ","FILING_STATUS=OR","EQY_CONSOLIDATED=Y","Sort=A","Dates=H","DateFormat=P","Fill=—","Direction=H","UseDPDF=Y")</f>
        <v>#NAME?</v>
      </c>
      <c r="CJ71" s="2" t="e">
        <f ca="1">_xll.BDH($C$53,"LT_DEBT_TO_TOT_ASSET","FQ3 2017","FQ3 2017","Currency=INR","Period=FQ","BEST_FPERIOD_OVERRIDE=FQ","FILING_STATUS=OR","EQY_CONSOLIDATED=Y","Sort=A","Dates=H","DateFormat=P","Fill=—","Direction=H","UseDPDF=Y")</f>
        <v>#NAME?</v>
      </c>
      <c r="CK71" s="2" t="e">
        <f ca="1">_xll.BDH($C$53,"TOT_DEBT_TO_TOT_EQY","FQ3 2017","FQ3 2017","Currency=INR","Period=FQ","BEST_FPERIOD_OVERRIDE=FQ","FILING_STATUS=OR","EQY_CONSOLIDATED=Y","Sort=A","Dates=H","DateFormat=P","Fill=—","Direction=H","UseDPDF=Y")</f>
        <v>#NAME?</v>
      </c>
      <c r="CL71" s="2" t="e">
        <f ca="1">_xll.BDH($C$53,"TOT_DEBT_TO_TOT_CAP","FQ3 2017","FQ3 2017","Currency=INR","Period=FQ","BEST_FPERIOD_OVERRIDE=FQ","FILING_STATUS=OR","EQY_CONSOLIDATED=Y","Sort=A","Dates=H","DateFormat=P","Fill=—","Direction=H","UseDPDF=Y")</f>
        <v>#NAME?</v>
      </c>
      <c r="CM71" s="2" t="e">
        <f ca="1">_xll.BDH($C$53,"TOT_DEBT_TO_TOT_ASSET","FQ3 2017","FQ3 2017","Currency=INR","Period=FQ","BEST_FPERIOD_OVERRIDE=FQ","FILING_STATUS=OR","EQY_CONSOLIDATED=Y","Sort=A","Dates=H","DateFormat=P","Fill=—","Direction=H","UseDPDF=Y")</f>
        <v>#NAME?</v>
      </c>
      <c r="CN71" s="2" t="e">
        <f ca="1">_xll.BDH($C$53,"NET_DEBT_TO_SHRHLDR_EQTY","FQ3 2017","FQ3 2017","Currency=INR","Period=FQ","BEST_FPERIOD_OVERRIDE=FQ","FILING_STATUS=OR","EQY_CONSOLIDATED=Y","Sort=A","Dates=H","DateFormat=P","Fill=—","Direction=H","UseDPDF=Y")</f>
        <v>#NAME?</v>
      </c>
      <c r="CO71" s="2" t="e">
        <f ca="1">_xll.BDH($C$53,"NET_DEBT_%_CAPITAL","FQ3 2017","FQ3 2017","Currency=INR","Period=FQ","BEST_FPERIOD_OVERRIDE=FQ","FILING_STATUS=OR","EQY_CONSOLIDATED=Y","Sort=A","Dates=H","DateFormat=P","Fill=—","Direction=H","UseDPDF=Y")</f>
        <v>#NAME?</v>
      </c>
      <c r="CP71" s="3" t="e">
        <f ca="1">_xll.BDH($C$53,"EBITDA","FQ3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71" s="3" t="e">
        <f ca="1">_xll.BDH($C$53,"EBITDA_AFTER_CAPEX","FQ3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71" s="3" t="e">
        <f ca="1">_xll.BDH($C$53,"IS_OPER_INC","FQ3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71" s="2" t="e">
        <f ca="1">_xll.BDH($C$53,"CASH_RATIO","FQ3 2017","FQ3 2017","Currency=INR","Period=FQ","BEST_FPERIOD_OVERRIDE=FQ","FILING_STATUS=OR","EQY_CONSOLIDATED=Y","Sort=A","Dates=H","DateFormat=P","Fill=—","Direction=H","UseDPDF=Y")</f>
        <v>#NAME?</v>
      </c>
      <c r="CT71" s="2" t="e">
        <f ca="1">_xll.BDH($C$53,"CUR_RATIO","FQ3 2017","FQ3 2017","Currency=INR","Period=FQ","BEST_FPERIOD_OVERRIDE=FQ","FILING_STATUS=OR","EQY_CONSOLIDATED=Y","Sort=A","Dates=H","DateFormat=P","Fill=—","Direction=H","UseDPDF=Y")</f>
        <v>#NAME?</v>
      </c>
      <c r="CU71" s="2" t="e">
        <f ca="1">_xll.BDH($C$53,"QUICK_RATIO","FQ3 2017","FQ3 2017","Currency=INR","Period=FQ","BEST_FPERIOD_OVERRIDE=FQ","FILING_STATUS=OR","EQY_CONSOLIDATED=Y","Sort=A","Dates=H","DateFormat=P","Fill=—","Direction=H","UseDPDF=Y")</f>
        <v>#NAME?</v>
      </c>
      <c r="CV71" s="2" t="e">
        <f ca="1">_xll.BDH($C$53,"ALTMAN_Z_SCORE","FQ3 2017","FQ3 2017","Currency=INR","Period=FQ","BEST_FPERIOD_OVERRIDE=FQ","FILING_STATUS=OR","EQY_CONSOLIDATED=Y","Sort=A","Dates=H","DateFormat=P","Fill=—","Direction=H","UseDPDF=Y")</f>
        <v>#NAME?</v>
      </c>
      <c r="CW71" s="4" t="e">
        <f ca="1">_xll.BDH($C$53,"ACCT_RCV_TURN","FQ3 2017","FQ3 2017","Currency=INR","Period=FQ","BEST_FPERIOD_OVERRIDE=FQ","FILING_STATUS=OR","EQY_CONSOLIDATED=Y","FA_ADJUSTED=GAAP","Sort=A","Dates=H","DateFormat=P","Fill=—","Direction=H","UseDPDF=Y")</f>
        <v>#NAME?</v>
      </c>
      <c r="CX71" s="2" t="e">
        <f ca="1">_xll.BDH($C$53,"ACCT_RCV_DAYS","FQ3 2017","FQ3 2017","Currency=INR","Period=FQ","BEST_FPERIOD_OVERRIDE=FQ","FILING_STATUS=OR","EQY_CONSOLIDATED=Y","FA_ADJUSTED=GAAP","Sort=A","Dates=H","DateFormat=P","Fill=—","Direction=H","UseDPDF=Y")</f>
        <v>#NAME?</v>
      </c>
      <c r="CY71" s="4" t="e">
        <f ca="1">_xll.BDH($C$53,"INVENT_TURN","FQ3 2017","FQ3 2017","Currency=INR","Period=FQ","BEST_FPERIOD_OVERRIDE=FQ","FILING_STATUS=OR","EQY_CONSOLIDATED=Y","FA_ADJUSTED=GAAP","Sort=A","Dates=H","DateFormat=P","Fill=—","Direction=H","UseDPDF=Y")</f>
        <v>#NAME?</v>
      </c>
      <c r="CZ71" s="2" t="e">
        <f ca="1">_xll.BDH($C$53,"INVENT_DAYS","FQ3 2017","FQ3 2017","Currency=INR","Period=FQ","BEST_FPERIOD_OVERRIDE=FQ","FILING_STATUS=OR","EQY_CONSOLIDATED=Y","FA_ADJUSTED=GAAP","Sort=A","Dates=H","DateFormat=P","Fill=—","Direction=H","UseDPDF=Y")</f>
        <v>#NAME?</v>
      </c>
      <c r="DA71" s="4" t="e">
        <f ca="1">_xll.BDH($C$53,"ACCOUNTS_PAYABLE_TURNOVER","FQ3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71" s="2" t="e">
        <f ca="1">_xll.BDH($C$53,"ACCOUNTS_PAYABLE_TURNOVER_DAYS","FQ3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71" s="4" t="e">
        <f ca="1">_xll.BDH($C$53,"CASH_CONVERSION_CYCLE","FQ3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71" s="4" t="e">
        <f ca="1">_xll.BDH($C$53,"INV_TO_CASH_DAYS","FQ3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71" s="5" t="e">
        <f ca="1">_xll.BDH($C$53,"BS_INVENTORIES","FQ3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71" s="3" t="e">
        <f ca="1">_xll.BDH($C$53,"INVTRY_RAW_MATERIALS","FQ3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71" s="3" t="e">
        <f ca="1">_xll.BDH($C$53,"INVTRY_IN_PROGRESS","FQ3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71" s="3" t="e">
        <f ca="1">_xll.BDH($C$53,"INVTRY_FINISHED_GOODS","FQ3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71" s="3" t="e">
        <f ca="1">_xll.BDH($C$53,"BS_OTHER_INV","FQ3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72" spans="1:113" x14ac:dyDescent="0.3">
      <c r="A72" s="6"/>
      <c r="B72" s="6"/>
      <c r="C72" s="6"/>
      <c r="D72" s="6"/>
      <c r="E72" t="s">
        <v>81</v>
      </c>
      <c r="F72" t="e">
        <f ca="1">_xll.BDH($C$53,"RETURN_COM_EQY","FQ4 2017","FQ4 2017","Currency=INR","Period=FQ","BEST_FPERIOD_OVERRIDE=FQ","FILING_STATUS=OR","EQY_CONSOLIDATED=Y","FA_ADJUSTED=GAAP","Sort=A","Dates=H","DateFormat=P","Fill=—","Direction=H","UseDPDF=Y")</f>
        <v>#NAME?</v>
      </c>
      <c r="G72" t="e">
        <f ca="1">_xll.BDH($C$53,"RETURN_ON_ASSET","FQ4 2017","FQ4 2017","Currency=INR","Period=FQ","BEST_FPERIOD_OVERRIDE=FQ","FILING_STATUS=OR","EQY_CONSOLIDATED=Y","FA_ADJUSTED=GAAP","Sort=A","Dates=H","DateFormat=P","Fill=—","Direction=H","UseDPDF=Y")</f>
        <v>#NAME?</v>
      </c>
      <c r="H72" t="e">
        <f ca="1">_xll.BDH($C$53,"RETURN_ON_CAP","FQ4 2017","FQ4 2017","Currency=INR","Period=FQ","BEST_FPERIOD_OVERRIDE=FQ","FILING_STATUS=OR","EQY_CONSOLIDATED=Y","FA_ADJUSTED=GAAP","Sort=A","Dates=H","DateFormat=P","Fill=—","Direction=H","UseDPDF=Y")</f>
        <v>#NAME?</v>
      </c>
      <c r="I72" t="e">
        <f ca="1">_xll.BDH($C$53,"RETURN_ON_INV_CAPITAL","FQ4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72" t="e">
        <f ca="1">_xll.BDH($C$53,"EBITDA_TO_REVENUE","FQ4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72" t="e">
        <f ca="1">_xll.BDH($C$53,"OPER_MARGIN","FQ4 2017","FQ4 2017","Currency=INR","Period=FQ","BEST_FPERIOD_OVERRIDE=FQ","FILING_STATUS=OR","EQY_CONSOLIDATED=Y","FA_ADJUSTED=GAAP","Sort=A","Dates=H","DateFormat=P","Fill=—","Direction=H","UseDPDF=Y")</f>
        <v>#NAME?</v>
      </c>
      <c r="L72" t="e">
        <f ca="1">_xll.BDH($C$53,"INCREMENTAL_OPERATING_MARGIN","FQ4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72" t="e">
        <f ca="1">_xll.BDH($C$53,"PRETAX_INC_TO_NET_SALES","FQ4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72" t="e">
        <f ca="1">_xll.BDH($C$53,"INC_BEF_XO_ITEMS_TO_NET_SALES","FQ4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72" t="e">
        <f ca="1">_xll.BDH($C$53,"PROF_MARGIN","FQ4 2017","FQ4 2017","Currency=INR","Period=FQ","BEST_FPERIOD_OVERRIDE=FQ","FILING_STATUS=OR","EQY_CONSOLIDATED=Y","FA_ADJUSTED=GAAP","Sort=A","Dates=H","DateFormat=P","Fill=—","Direction=H","UseDPDF=Y")</f>
        <v>#NAME?</v>
      </c>
      <c r="P72" t="e">
        <f ca="1">_xll.BDH($C$53,"NET_INCOME_TO_COMMON_MARGIN","FQ4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72" t="e">
        <f ca="1">_xll.BDH($C$53,"EFF_TAX_RATE","FQ4 2017","FQ4 2017","Currency=INR","Period=FQ","BEST_FPERIOD_OVERRIDE=FQ","FILING_STATUS=OR","EQY_CONSOLIDATED=Y","FA_ADJUSTED=GAAP","Sort=A","Dates=H","DateFormat=P","Fill=—","Direction=H","UseDPDF=Y")</f>
        <v>#NAME?</v>
      </c>
      <c r="R72" t="e">
        <f ca="1">_xll.BDH($C$53,"DVD_PAYOUT_RATIO","FQ4 2017","FQ4 2017","Currency=INR","Period=FQ","BEST_FPERIOD_OVERRIDE=FQ","FILING_STATUS=OR","EQY_CONSOLIDATED=Y","FA_ADJUSTED=GAAP","Sort=A","Dates=H","DateFormat=P","Fill=—","Direction=H","UseDPDF=Y")</f>
        <v>#NAME?</v>
      </c>
      <c r="S72" t="e">
        <f ca="1">_xll.BDH($C$53,"SUSTAIN_GROWTH_RT","FQ4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72" s="2" t="e">
        <f ca="1">_xll.BDH($C$53,"SALES_GROWTH","FQ4 2017","FQ4 2017","Currency=INR","Period=FQ","BEST_FPERIOD_OVERRIDE=FQ","FILING_STATUS=OR","EQY_CONSOLIDATED=Y","FA_ADJUSTED=GAAP","Sort=A","Dates=H","DateFormat=P","Fill=—","Direction=H","UseDPDF=Y")</f>
        <v>#NAME?</v>
      </c>
      <c r="U72" s="2" t="e">
        <f ca="1">_xll.BDH($C$53,"EBITDA_GROWTH","FQ4 2017","FQ4 2017","Currency=INR","Period=FQ","BEST_FPERIOD_OVERRIDE=FQ","FILING_STATUS=OR","EQY_CONSOLIDATED=Y","FA_ADJUSTED=GAAP","Sort=A","Dates=H","DateFormat=P","Fill=—","Direction=H","UseDPDF=Y")</f>
        <v>#NAME?</v>
      </c>
      <c r="V72" s="2" t="e">
        <f ca="1">_xll.BDH($C$53,"OPER_INC_GROWTH","FQ4 2017","FQ4 2017","Currency=INR","Period=FQ","BEST_FPERIOD_OVERRIDE=FQ","FILING_STATUS=OR","EQY_CONSOLIDATED=Y","FA_ADJUSTED=GAAP","Sort=A","Dates=H","DateFormat=P","Fill=—","Direction=H","UseDPDF=Y")</f>
        <v>#NAME?</v>
      </c>
      <c r="W72" s="2" t="e">
        <f ca="1">_xll.BDH($C$53,"EARN_FOR_COM_GROWTH","FQ4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72" s="2" t="e">
        <f ca="1">_xll.BDH($C$53,"DILUTED_EPS_AFT_XO_ITEMS_GROWTH","FQ4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72" s="2" t="e">
        <f ca="1">_xll.BDH($C$53,"DIVIDEND_PER_SHARE_1_YEAR_GROWTH","FQ4 2017","FQ4 2017","Currency=INR","Period=FQ","BEST_FPERIOD_OVERRIDE=FQ","FILING_STATUS=OR","EQY_CONSOLIDATED=Y","Sort=A","Dates=H","DateFormat=P","Fill=—","Direction=H","UseDPDF=Y")</f>
        <v>#NAME?</v>
      </c>
      <c r="Z72" s="2" t="e">
        <f ca="1">_xll.BDH($C$53,"ACCOUNTS_RECEIVABLE_GROWTH","FQ4 2017","FQ4 2017","Currency=INR","Period=FQ","BEST_FPERIOD_OVERRIDE=FQ","FILING_STATUS=OR","EQY_CONSOLIDATED=Y","Sort=A","Dates=H","DateFormat=P","Fill=—","Direction=H","UseDPDF=Y")</f>
        <v>#NAME?</v>
      </c>
      <c r="AA72" s="2" t="e">
        <f ca="1">_xll.BDH($C$53,"INVENTORY_GROWTH","FQ4 2017","FQ4 2017","Currency=INR","Period=FQ","BEST_FPERIOD_OVERRIDE=FQ","FILING_STATUS=OR","EQY_CONSOLIDATED=Y","Sort=A","Dates=H","DateFormat=P","Fill=—","Direction=H","UseDPDF=Y")</f>
        <v>#NAME?</v>
      </c>
      <c r="AB72" s="2" t="e">
        <f ca="1">_xll.BDH($C$53,"NET_FIXED_ASSETS_1_YEAR_GROWTH","FQ4 2017","FQ4 2017","Currency=INR","Period=FQ","BEST_FPERIOD_OVERRIDE=FQ","FILING_STATUS=OR","EQY_CONSOLIDATED=Y","Sort=A","Dates=H","DateFormat=P","Fill=—","Direction=H","UseDPDF=Y")</f>
        <v>#NAME?</v>
      </c>
      <c r="AC72" s="2" t="e">
        <f ca="1">_xll.BDH($C$53,"ASSET_GROWTH","FQ4 2017","FQ4 2017","Currency=INR","Period=FQ","BEST_FPERIOD_OVERRIDE=FQ","FILING_STATUS=OR","EQY_CONSOLIDATED=Y","Sort=A","Dates=H","DateFormat=P","Fill=—","Direction=H","UseDPDF=Y")</f>
        <v>#NAME?</v>
      </c>
      <c r="AD72" s="2" t="e">
        <f ca="1">_xll.BDH($C$53,"MODIFIED_WORK_CAP_GROWTH","FQ4 2017","FQ4 2017","Currency=INR","Period=FQ","BEST_FPERIOD_OVERRIDE=FQ","FILING_STATUS=OR","EQY_CONSOLIDATED=Y","Sort=A","Dates=H","DateFormat=P","Fill=—","Direction=H","UseDPDF=Y")</f>
        <v>#NAME?</v>
      </c>
      <c r="AE72" s="2" t="e">
        <f ca="1">_xll.BDH($C$53,"WORK_CAP_GROWTH","FQ4 2017","FQ4 2017","Currency=INR","Period=FQ","BEST_FPERIOD_OVERRIDE=FQ","FILING_STATUS=OR","EQY_CONSOLIDATED=Y","Sort=A","Dates=H","DateFormat=P","Fill=—","Direction=H","UseDPDF=Y")</f>
        <v>#NAME?</v>
      </c>
      <c r="AF72" s="2" t="e">
        <f ca="1">_xll.BDH($C$53,"ACCOUNTS_PAYABLE_GROWTH_1YR","FQ4 2017","FQ4 2017","Currency=INR","Period=FQ","BEST_FPERIOD_OVERRIDE=FQ","FILING_STATUS=OR","EQY_CONSOLIDATED=Y","Sort=A","Dates=H","DateFormat=P","Fill=—","Direction=H","UseDPDF=Y")</f>
        <v>#NAME?</v>
      </c>
      <c r="AG72" s="2" t="e">
        <f ca="1">_xll.BDH($C$53,"SHORT_TERM_DEBT_1_YEAR_GROWTH","FQ4 2017","FQ4 2017","Currency=INR","Period=FQ","BEST_FPERIOD_OVERRIDE=FQ","FILING_STATUS=OR","EQY_CONSOLIDATED=Y","Sort=A","Dates=H","DateFormat=P","Fill=—","Direction=H","UseDPDF=Y")</f>
        <v>#NAME?</v>
      </c>
      <c r="AH72" s="2" t="e">
        <f ca="1">_xll.BDH($C$53,"TOTAL_DEBT_1_YEAR_GROWTH","FQ4 2017","FQ4 2017","Currency=INR","Period=FQ","BEST_FPERIOD_OVERRIDE=FQ","FILING_STATUS=OR","EQY_CONSOLIDATED=Y","Sort=A","Dates=H","DateFormat=P","Fill=—","Direction=H","UseDPDF=Y")</f>
        <v>#NAME?</v>
      </c>
      <c r="AI72" s="2" t="e">
        <f ca="1">_xll.BDH($C$53,"TOTAL_EQUITY_1_YEAR_GROWTH","FQ4 2017","FQ4 2017","Currency=INR","Period=FQ","BEST_FPERIOD_OVERRIDE=FQ","FILING_STATUS=OR","EQY_CONSOLIDATED=Y","Sort=A","Dates=H","DateFormat=P","Fill=—","Direction=H","UseDPDF=Y")</f>
        <v>#NAME?</v>
      </c>
      <c r="AJ72" s="2" t="e">
        <f ca="1">_xll.BDH($C$53,"GROWTH_IN_CAP","FQ4 2017","FQ4 2017","Currency=INR","Period=FQ","BEST_FPERIOD_OVERRIDE=FQ","FILING_STATUS=OR","EQY_CONSOLIDATED=Y","Sort=A","Dates=H","DateFormat=P","Fill=—","Direction=H","UseDPDF=Y")</f>
        <v>#NAME?</v>
      </c>
      <c r="AK72" s="2" t="e">
        <f ca="1">_xll.BDH($C$53,"BVPS_GROWTH","FQ4 2017","FQ4 2017","Currency=INR","Period=FQ","BEST_FPERIOD_OVERRIDE=FQ","FILING_STATUS=OR","EQY_CONSOLIDATED=Y","Sort=A","Dates=H","DateFormat=P","Fill=—","Direction=H","UseDPDF=Y")</f>
        <v>#NAME?</v>
      </c>
      <c r="AL72" s="2" t="e">
        <f ca="1">_xll.BDH($C$53,"CASH_FLOW_GROWTH","FQ4 2017","FQ4 2017","Currency=INR","Period=FQ","BEST_FPERIOD_OVERRIDE=FQ","FILING_STATUS=OR","EQY_CONSOLIDATED=Y","Sort=A","Dates=H","DateFormat=P","Fill=—","Direction=H","UseDPDF=Y")</f>
        <v>#NAME?</v>
      </c>
      <c r="AM72" s="2" t="e">
        <f ca="1">_xll.BDH($C$53,"GEO_GROW_NET_SALES","FQ4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72" s="2" t="e">
        <f ca="1">_xll.BDH($C$53,"GEO_GROW_EBITDA","FQ4 2017","FQ4 2017","Currency=INR","Period=FQ","BEST_FPERIOD_OVERRIDE=FQ","FILING_STATUS=OR","EQY_CONSOLIDATED=Y","FA_ADJUSTED=GAAP","Sort=A","Dates=H","DateFormat=P","Fill=—","Direction=H","UseDPDF=Y")</f>
        <v>#NAME?</v>
      </c>
      <c r="AO72" s="2" t="e">
        <f ca="1">_xll.BDH($C$53,"GEO_GROW_OPER_INC","FQ4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72" s="2" t="e">
        <f ca="1">_xll.BDH($C$53,"NET_INCOME_TO_COMMON_5_YR_GROWTH","FQ4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72" s="2" t="e">
        <f ca="1">_xll.BDH($C$53,"5Y_GEO_GROWTH_DILUTED_EPS","FQ4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72" s="2" t="e">
        <f ca="1">_xll.BDH($C$53,"GEO_GROW_DVD_PER_SH","FQ4 2017","FQ4 2017","Currency=INR","Period=FQ","BEST_FPERIOD_OVERRIDE=FQ","FILING_STATUS=OR","EQY_CONSOLIDATED=Y","Sort=A","Dates=H","DateFormat=P","Fill=—","Direction=H","UseDPDF=Y")</f>
        <v>#NAME?</v>
      </c>
      <c r="AS72" s="2" t="e">
        <f ca="1">_xll.BDH($C$53,"ACCOUNTS_RECEIVABLE_5_YR_GROWTH","FQ4 2017","FQ4 2017","Currency=INR","Period=FQ","BEST_FPERIOD_OVERRIDE=FQ","FILING_STATUS=OR","EQY_CONSOLIDATED=Y","Sort=A","Dates=H","DateFormat=P","Fill=—","Direction=H","UseDPDF=Y")</f>
        <v>#NAME?</v>
      </c>
      <c r="AT72" s="2" t="e">
        <f ca="1">_xll.BDH($C$53,"INVENTORY_5_YEAR_GROWTH","FQ4 2017","FQ4 2017","Currency=INR","Period=FQ","BEST_FPERIOD_OVERRIDE=FQ","FILING_STATUS=OR","EQY_CONSOLIDATED=Y","Sort=A","Dates=H","DateFormat=P","Fill=—","Direction=H","UseDPDF=Y")</f>
        <v>#NAME?</v>
      </c>
      <c r="AU72" s="2" t="e">
        <f ca="1">_xll.BDH($C$53,"NET_FIXED_ASSETS_5_YEAR_GROWTH","FQ4 2017","FQ4 2017","Currency=INR","Period=FQ","BEST_FPERIOD_OVERRIDE=FQ","FILING_STATUS=OR","EQY_CONSOLIDATED=Y","Sort=A","Dates=H","DateFormat=P","Fill=—","Direction=H","UseDPDF=Y")</f>
        <v>#NAME?</v>
      </c>
      <c r="AV72" s="2" t="e">
        <f ca="1">_xll.BDH($C$53,"GEO_GROW_TOT_ASSET","FQ4 2017","FQ4 2017","Currency=INR","Period=FQ","BEST_FPERIOD_OVERRIDE=FQ","FILING_STATUS=OR","EQY_CONSOLIDATED=Y","Sort=A","Dates=H","DateFormat=P","Fill=—","Direction=H","UseDPDF=Y")</f>
        <v>#NAME?</v>
      </c>
      <c r="AW72" s="2" t="e">
        <f ca="1">_xll.BDH($C$53,"MODIFIED_WORKING_CPTL_5YR_GRWTH","FQ4 2017","FQ4 2017","Currency=INR","Period=FQ","BEST_FPERIOD_OVERRIDE=FQ","FILING_STATUS=OR","EQY_CONSOLIDATED=Y","Sort=A","Dates=H","DateFormat=P","Fill=—","Direction=H","UseDPDF=Y")</f>
        <v>#NAME?</v>
      </c>
      <c r="AX72" s="2" t="e">
        <f ca="1">_xll.BDH($C$53,"WORKING_CAPITAL_5_YEAR_GROWTH","FQ4 2017","FQ4 2017","Currency=INR","Period=FQ","BEST_FPERIOD_OVERRIDE=FQ","FILING_STATUS=OR","EQY_CONSOLIDATED=Y","Sort=A","Dates=H","DateFormat=P","Fill=—","Direction=H","UseDPDF=Y")</f>
        <v>#NAME?</v>
      </c>
      <c r="AY72" s="2" t="e">
        <f ca="1">_xll.BDH($C$53,"ACCOUNTS_PAYABLE_5_YEAR_GROWTH","FQ4 2017","FQ4 2017","Currency=INR","Period=FQ","BEST_FPERIOD_OVERRIDE=FQ","FILING_STATUS=OR","EQY_CONSOLIDATED=Y","Sort=A","Dates=H","DateFormat=P","Fill=—","Direction=H","UseDPDF=Y")</f>
        <v>#NAME?</v>
      </c>
      <c r="AZ72" s="2" t="e">
        <f ca="1">_xll.BDH($C$53,"SHORT_TERM_DEBT_5_YEAR_GROWTH","FQ4 2017","FQ4 2017","Currency=INR","Period=FQ","BEST_FPERIOD_OVERRIDE=FQ","FILING_STATUS=OR","EQY_CONSOLIDATED=Y","Sort=A","Dates=H","DateFormat=P","Fill=—","Direction=H","UseDPDF=Y")</f>
        <v>#NAME?</v>
      </c>
      <c r="BA72" s="2" t="e">
        <f ca="1">_xll.BDH($C$53,"TOTAL_DEBT_5_YEAR_GROWTH","FQ4 2017","FQ4 2017","Currency=INR","Period=FQ","BEST_FPERIOD_OVERRIDE=FQ","FILING_STATUS=OR","EQY_CONSOLIDATED=Y","Sort=A","Dates=H","DateFormat=P","Fill=—","Direction=H","UseDPDF=Y")</f>
        <v>#NAME?</v>
      </c>
      <c r="BB72" s="2" t="e">
        <f ca="1">_xll.BDH($C$53,"GEO_GROW_TOT_SHRHLDR_EQY","FQ4 2017","FQ4 2017","Currency=INR","Period=FQ","BEST_FPERIOD_OVERRIDE=FQ","FILING_STATUS=OR","EQY_CONSOLIDATED=Y","Sort=A","Dates=H","DateFormat=P","Fill=—","Direction=H","UseDPDF=Y")</f>
        <v>#NAME?</v>
      </c>
      <c r="BC72" s="2" t="e">
        <f ca="1">_xll.BDH($C$53,"TOTAL_CAPITAL_5_YEAR_GROWTH","FQ4 2017","FQ4 2017","Currency=INR","Period=FQ","BEST_FPERIOD_OVERRIDE=FQ","FILING_STATUS=OR","EQY_CONSOLIDATED=Y","Sort=A","Dates=H","DateFormat=P","Fill=—","Direction=H","UseDPDF=Y")</f>
        <v>#NAME?</v>
      </c>
      <c r="BD72" s="2" t="e">
        <f ca="1">_xll.BDH($C$53,"GEO_GROW_BOOK_VAL","FQ4 2017","FQ4 2017","Currency=INR","Period=FQ","BEST_FPERIOD_OVERRIDE=FQ","FILING_STATUS=OR","EQY_CONSOLIDATED=Y","Sort=A","Dates=H","DateFormat=P","Fill=—","Direction=H","UseDPDF=Y")</f>
        <v>#NAME?</v>
      </c>
      <c r="BE72" s="2" t="e">
        <f ca="1">_xll.BDH($C$53,"GEO_GROW_CASH_OPER_ACT","FQ4 2017","FQ4 2017","Currency=INR","Period=FQ","BEST_FPERIOD_OVERRIDE=FQ","FILING_STATUS=OR","EQY_CONSOLIDATED=Y","Sort=A","Dates=H","DateFormat=P","Fill=—","Direction=H","UseDPDF=Y")</f>
        <v>#NAME?</v>
      </c>
      <c r="BF72" s="2" t="e">
        <f ca="1">_xll.BDH($C$53,"REVENUE_SEQUENTIAL_GROWTH","FQ4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72" s="2" t="e">
        <f ca="1">_xll.BDH($C$53,"EBITDA_SEQUENTIAL_GROWTH","FQ4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72" s="2" t="e">
        <f ca="1">_xll.BDH($C$53,"OPERATING_INCOME_SEQ_GROWTH","FQ4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72" s="2" t="e">
        <f ca="1">_xll.BDH($C$53,"NET_INCOME_TO_COMMON_SEQ_GROWTH","FQ4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72" s="2" t="e">
        <f ca="1">_xll.BDH($C$53,"EPS_DILUTED_SEQUENTIAL_GROWTH","FQ4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72" s="2" t="e">
        <f ca="1">_xll.BDH($C$53,"DPS_SEQUENTIAL_GROWTH","FQ4 2017","FQ4 2017","Currency=INR","Period=FQ","BEST_FPERIOD_OVERRIDE=FQ","FILING_STATUS=OR","EQY_CONSOLIDATED=Y","Sort=A","Dates=H","DateFormat=P","Fill=—","Direction=H","UseDPDF=Y")</f>
        <v>#NAME?</v>
      </c>
      <c r="BL72" s="2" t="e">
        <f ca="1">_xll.BDH($C$53,"ACCOUNTS_RECEIVABLE_SEQ_GROWTH","FQ4 2017","FQ4 2017","Currency=INR","Period=FQ","BEST_FPERIOD_OVERRIDE=FQ","FILING_STATUS=OR","EQY_CONSOLIDATED=Y","Sort=A","Dates=H","DateFormat=P","Fill=—","Direction=H","UseDPDF=Y")</f>
        <v>#NAME?</v>
      </c>
      <c r="BM72" s="2" t="e">
        <f ca="1">_xll.BDH($C$53,"INVENTORY_SEQUENTIAL_GROWTH","FQ4 2017","FQ4 2017","Currency=INR","Period=FQ","BEST_FPERIOD_OVERRIDE=FQ","FILING_STATUS=OR","EQY_CONSOLIDATED=Y","Sort=A","Dates=H","DateFormat=P","Fill=—","Direction=H","UseDPDF=Y")</f>
        <v>#NAME?</v>
      </c>
      <c r="BN72" s="2" t="e">
        <f ca="1">_xll.BDH($C$53,"FIXED_ASSETS_SEQUENTIAL_GROWTH","FQ4 2017","FQ4 2017","Currency=INR","Period=FQ","BEST_FPERIOD_OVERRIDE=FQ","FILING_STATUS=OR","EQY_CONSOLIDATED=Y","Sort=A","Dates=H","DateFormat=P","Fill=—","Direction=H","UseDPDF=Y")</f>
        <v>#NAME?</v>
      </c>
      <c r="BO72" s="2" t="e">
        <f ca="1">_xll.BDH($C$53,"TOTAL_ASSETS_SEQUENTIAL_GROWTH","FQ4 2017","FQ4 2017","Currency=INR","Period=FQ","BEST_FPERIOD_OVERRIDE=FQ","FILING_STATUS=OR","EQY_CONSOLIDATED=Y","Sort=A","Dates=H","DateFormat=P","Fill=—","Direction=H","UseDPDF=Y")</f>
        <v>#NAME?</v>
      </c>
      <c r="BP72" s="2" t="e">
        <f ca="1">_xll.BDH($C$53,"MODIFIED_WORKING_CPTL_SEQ_GRWTH","FQ4 2017","FQ4 2017","Currency=INR","Period=FQ","BEST_FPERIOD_OVERRIDE=FQ","FILING_STATUS=OR","EQY_CONSOLIDATED=Y","Sort=A","Dates=H","DateFormat=P","Fill=—","Direction=H","UseDPDF=Y")</f>
        <v>#NAME?</v>
      </c>
      <c r="BQ72" s="2" t="e">
        <f ca="1">_xll.BDH($C$53,"WORKING_CAPITAL_SEQ_GROWTH","FQ4 2017","FQ4 2017","Currency=INR","Period=FQ","BEST_FPERIOD_OVERRIDE=FQ","FILING_STATUS=OR","EQY_CONSOLIDATED=Y","Sort=A","Dates=H","DateFormat=P","Fill=—","Direction=H","UseDPDF=Y")</f>
        <v>#NAME?</v>
      </c>
      <c r="BR72" s="2" t="e">
        <f ca="1">_xll.BDH($C$53,"ACCOUNTS_PAYABLE_SEQ_GROWTH","FQ4 2017","FQ4 2017","Currency=INR","Period=FQ","BEST_FPERIOD_OVERRIDE=FQ","FILING_STATUS=OR","EQY_CONSOLIDATED=Y","Sort=A","Dates=H","DateFormat=P","Fill=—","Direction=H","UseDPDF=Y")</f>
        <v>#NAME?</v>
      </c>
      <c r="BS72" s="2" t="e">
        <f ca="1">_xll.BDH($C$53,"ST_DEBT_SEQUENTIAL_GROWTH","FQ4 2017","FQ4 2017","Currency=INR","Period=FQ","BEST_FPERIOD_OVERRIDE=FQ","FILING_STATUS=OR","EQY_CONSOLIDATED=Y","Sort=A","Dates=H","DateFormat=P","Fill=—","Direction=H","UseDPDF=Y")</f>
        <v>#NAME?</v>
      </c>
      <c r="BT72" s="2" t="e">
        <f ca="1">_xll.BDH($C$53,"TOTAL_DEBT_SEQUENTIAL_GROWTH","FQ4 2017","FQ4 2017","Currency=INR","Period=FQ","BEST_FPERIOD_OVERRIDE=FQ","FILING_STATUS=OR","EQY_CONSOLIDATED=Y","Sort=A","Dates=H","DateFormat=P","Fill=—","Direction=H","UseDPDF=Y")</f>
        <v>#NAME?</v>
      </c>
      <c r="BU72" s="2" t="e">
        <f ca="1">_xll.BDH($C$53,"TOTAL_EQUITY_SEQUENTIAL_GROWTH","FQ4 2017","FQ4 2017","Currency=INR","Period=FQ","BEST_FPERIOD_OVERRIDE=FQ","FILING_STATUS=OR","EQY_CONSOLIDATED=Y","Sort=A","Dates=H","DateFormat=P","Fill=—","Direction=H","UseDPDF=Y")</f>
        <v>#NAME?</v>
      </c>
      <c r="BV72" s="2" t="e">
        <f ca="1">_xll.BDH($C$53,"TOTAL_CAPITAL_SEQUENTIAL_GROWTH","FQ4 2017","FQ4 2017","Currency=INR","Period=FQ","BEST_FPERIOD_OVERRIDE=FQ","FILING_STATUS=OR","EQY_CONSOLIDATED=Y","Sort=A","Dates=H","DateFormat=P","Fill=—","Direction=H","UseDPDF=Y")</f>
        <v>#NAME?</v>
      </c>
      <c r="BW72" s="2" t="e">
        <f ca="1">_xll.BDH($C$53,"BPS_SEQUENTIAL_GROWTH","FQ4 2017","FQ4 2017","Currency=INR","Period=FQ","BEST_FPERIOD_OVERRIDE=FQ","FILING_STATUS=OR","EQY_CONSOLIDATED=Y","Sort=A","Dates=H","DateFormat=P","Fill=—","Direction=H","UseDPDF=Y")</f>
        <v>#NAME?</v>
      </c>
      <c r="BX72" s="2" t="e">
        <f ca="1">_xll.BDH($C$53,"CFO_SEQUENTIAL_GROWTH","FQ4 2017","FQ4 2017","Currency=INR","Period=FQ","BEST_FPERIOD_OVERRIDE=FQ","FILING_STATUS=OR","EQY_CONSOLIDATED=Y","Sort=A","Dates=H","DateFormat=P","Fill=—","Direction=H","UseDPDF=Y")</f>
        <v>#NAME?</v>
      </c>
      <c r="BY72" s="3" t="e">
        <f ca="1">_xll.BDH($C$53,"SHORT_AND_LONG_TERM_DEBT","FQ4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72" s="3" t="e">
        <f ca="1">_xll.BDH($C$53,"BS_ST_BORROW","FQ4 2017","FQ4 2017","Currency=INR","Period=FQ","BEST_FPERIOD_OVERRIDE=FQ","FILING_STATUS=OR","EQY_CONSOLIDATED=Y","SCALING_FORMAT=MLN","Sort=A","Dates=H","DateFormat=P","Fill=—","Direction=H","UseDPDF=Y")</f>
        <v>#NAME?</v>
      </c>
      <c r="CA72" s="3" t="e">
        <f ca="1">_xll.BDH($C$53,"BS_LT_BORROW","FQ4 2017","FQ4 2017","Currency=INR","Period=FQ","BEST_FPERIOD_OVERRIDE=FQ","FILING_STATUS=OR","EQY_CONSOLIDATED=Y","SCALING_FORMAT=MLN","Sort=A","Dates=H","DateFormat=P","Fill=—","Direction=H","UseDPDF=Y")</f>
        <v>#NAME?</v>
      </c>
      <c r="CB72" s="2" t="e">
        <f ca="1">_xll.BDH($C$53,"TOT_DEBT_TO_EBITDA","FQ4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72" s="2" t="e">
        <f ca="1">_xll.BDH($C$53,"NET_DEBT_TO_EBITDA","FQ4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72" s="2" t="e">
        <f ca="1">_xll.BDH($C$53,"TOTAL_DEBT_TO_EBIT","FQ4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72" s="2" t="e">
        <f ca="1">_xll.BDH($C$53,"NET_DEBT_TO_EBIT","FQ4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72" s="2" t="e">
        <f ca="1">_xll.BDH($C$53,"EBITDA_TO_INTEREST_EXPN","FQ4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72" s="2" t="e">
        <f ca="1">_xll.BDH($C$53,"COM_EQY_TO_TOT_ASSET","FQ4 2017","FQ4 2017","Currency=INR","Period=FQ","BEST_FPERIOD_OVERRIDE=FQ","FILING_STATUS=OR","EQY_CONSOLIDATED=Y","Sort=A","Dates=H","DateFormat=P","Fill=—","Direction=H","UseDPDF=Y")</f>
        <v>#NAME?</v>
      </c>
      <c r="CH72" s="2" t="e">
        <f ca="1">_xll.BDH($C$53,"LT_DEBT_TO_TOT_EQY","FQ4 2017","FQ4 2017","Currency=INR","Period=FQ","BEST_FPERIOD_OVERRIDE=FQ","FILING_STATUS=OR","EQY_CONSOLIDATED=Y","Sort=A","Dates=H","DateFormat=P","Fill=—","Direction=H","UseDPDF=Y")</f>
        <v>#NAME?</v>
      </c>
      <c r="CI72" s="2" t="e">
        <f ca="1">_xll.BDH($C$53,"LT_DEBT_TO_TOT_CAP","FQ4 2017","FQ4 2017","Currency=INR","Period=FQ","BEST_FPERIOD_OVERRIDE=FQ","FILING_STATUS=OR","EQY_CONSOLIDATED=Y","Sort=A","Dates=H","DateFormat=P","Fill=—","Direction=H","UseDPDF=Y")</f>
        <v>#NAME?</v>
      </c>
      <c r="CJ72" s="2" t="e">
        <f ca="1">_xll.BDH($C$53,"LT_DEBT_TO_TOT_ASSET","FQ4 2017","FQ4 2017","Currency=INR","Period=FQ","BEST_FPERIOD_OVERRIDE=FQ","FILING_STATUS=OR","EQY_CONSOLIDATED=Y","Sort=A","Dates=H","DateFormat=P","Fill=—","Direction=H","UseDPDF=Y")</f>
        <v>#NAME?</v>
      </c>
      <c r="CK72" s="2" t="e">
        <f ca="1">_xll.BDH($C$53,"TOT_DEBT_TO_TOT_EQY","FQ4 2017","FQ4 2017","Currency=INR","Period=FQ","BEST_FPERIOD_OVERRIDE=FQ","FILING_STATUS=OR","EQY_CONSOLIDATED=Y","Sort=A","Dates=H","DateFormat=P","Fill=—","Direction=H","UseDPDF=Y")</f>
        <v>#NAME?</v>
      </c>
      <c r="CL72" s="2" t="e">
        <f ca="1">_xll.BDH($C$53,"TOT_DEBT_TO_TOT_CAP","FQ4 2017","FQ4 2017","Currency=INR","Period=FQ","BEST_FPERIOD_OVERRIDE=FQ","FILING_STATUS=OR","EQY_CONSOLIDATED=Y","Sort=A","Dates=H","DateFormat=P","Fill=—","Direction=H","UseDPDF=Y")</f>
        <v>#NAME?</v>
      </c>
      <c r="CM72" s="2" t="e">
        <f ca="1">_xll.BDH($C$53,"TOT_DEBT_TO_TOT_ASSET","FQ4 2017","FQ4 2017","Currency=INR","Period=FQ","BEST_FPERIOD_OVERRIDE=FQ","FILING_STATUS=OR","EQY_CONSOLIDATED=Y","Sort=A","Dates=H","DateFormat=P","Fill=—","Direction=H","UseDPDF=Y")</f>
        <v>#NAME?</v>
      </c>
      <c r="CN72" s="2" t="e">
        <f ca="1">_xll.BDH($C$53,"NET_DEBT_TO_SHRHLDR_EQTY","FQ4 2017","FQ4 2017","Currency=INR","Period=FQ","BEST_FPERIOD_OVERRIDE=FQ","FILING_STATUS=OR","EQY_CONSOLIDATED=Y","Sort=A","Dates=H","DateFormat=P","Fill=—","Direction=H","UseDPDF=Y")</f>
        <v>#NAME?</v>
      </c>
      <c r="CO72" s="2" t="e">
        <f ca="1">_xll.BDH($C$53,"NET_DEBT_%_CAPITAL","FQ4 2017","FQ4 2017","Currency=INR","Period=FQ","BEST_FPERIOD_OVERRIDE=FQ","FILING_STATUS=OR","EQY_CONSOLIDATED=Y","Sort=A","Dates=H","DateFormat=P","Fill=—","Direction=H","UseDPDF=Y")</f>
        <v>#NAME?</v>
      </c>
      <c r="CP72" s="3" t="e">
        <f ca="1">_xll.BDH($C$53,"EBITDA","FQ4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72" s="3" t="e">
        <f ca="1">_xll.BDH($C$53,"EBITDA_AFTER_CAPEX","FQ4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72" s="3" t="e">
        <f ca="1">_xll.BDH($C$53,"IS_OPER_INC","FQ4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72" s="2" t="e">
        <f ca="1">_xll.BDH($C$53,"CASH_RATIO","FQ4 2017","FQ4 2017","Currency=INR","Period=FQ","BEST_FPERIOD_OVERRIDE=FQ","FILING_STATUS=OR","EQY_CONSOLIDATED=Y","Sort=A","Dates=H","DateFormat=P","Fill=—","Direction=H","UseDPDF=Y")</f>
        <v>#NAME?</v>
      </c>
      <c r="CT72" s="2" t="e">
        <f ca="1">_xll.BDH($C$53,"CUR_RATIO","FQ4 2017","FQ4 2017","Currency=INR","Period=FQ","BEST_FPERIOD_OVERRIDE=FQ","FILING_STATUS=OR","EQY_CONSOLIDATED=Y","Sort=A","Dates=H","DateFormat=P","Fill=—","Direction=H","UseDPDF=Y")</f>
        <v>#NAME?</v>
      </c>
      <c r="CU72" s="2" t="e">
        <f ca="1">_xll.BDH($C$53,"QUICK_RATIO","FQ4 2017","FQ4 2017","Currency=INR","Period=FQ","BEST_FPERIOD_OVERRIDE=FQ","FILING_STATUS=OR","EQY_CONSOLIDATED=Y","Sort=A","Dates=H","DateFormat=P","Fill=—","Direction=H","UseDPDF=Y")</f>
        <v>#NAME?</v>
      </c>
      <c r="CV72" s="2" t="e">
        <f ca="1">_xll.BDH($C$53,"ALTMAN_Z_SCORE","FQ4 2017","FQ4 2017","Currency=INR","Period=FQ","BEST_FPERIOD_OVERRIDE=FQ","FILING_STATUS=OR","EQY_CONSOLIDATED=Y","Sort=A","Dates=H","DateFormat=P","Fill=—","Direction=H","UseDPDF=Y")</f>
        <v>#NAME?</v>
      </c>
      <c r="CW72" s="4" t="e">
        <f ca="1">_xll.BDH($C$53,"ACCT_RCV_TURN","FQ4 2017","FQ4 2017","Currency=INR","Period=FQ","BEST_FPERIOD_OVERRIDE=FQ","FILING_STATUS=OR","EQY_CONSOLIDATED=Y","FA_ADJUSTED=GAAP","Sort=A","Dates=H","DateFormat=P","Fill=—","Direction=H","UseDPDF=Y")</f>
        <v>#NAME?</v>
      </c>
      <c r="CX72" s="2" t="e">
        <f ca="1">_xll.BDH($C$53,"ACCT_RCV_DAYS","FQ4 2017","FQ4 2017","Currency=INR","Period=FQ","BEST_FPERIOD_OVERRIDE=FQ","FILING_STATUS=OR","EQY_CONSOLIDATED=Y","FA_ADJUSTED=GAAP","Sort=A","Dates=H","DateFormat=P","Fill=—","Direction=H","UseDPDF=Y")</f>
        <v>#NAME?</v>
      </c>
      <c r="CY72" s="4" t="e">
        <f ca="1">_xll.BDH($C$53,"INVENT_TURN","FQ4 2017","FQ4 2017","Currency=INR","Period=FQ","BEST_FPERIOD_OVERRIDE=FQ","FILING_STATUS=OR","EQY_CONSOLIDATED=Y","FA_ADJUSTED=GAAP","Sort=A","Dates=H","DateFormat=P","Fill=—","Direction=H","UseDPDF=Y")</f>
        <v>#NAME?</v>
      </c>
      <c r="CZ72" s="2" t="e">
        <f ca="1">_xll.BDH($C$53,"INVENT_DAYS","FQ4 2017","FQ4 2017","Currency=INR","Period=FQ","BEST_FPERIOD_OVERRIDE=FQ","FILING_STATUS=OR","EQY_CONSOLIDATED=Y","FA_ADJUSTED=GAAP","Sort=A","Dates=H","DateFormat=P","Fill=—","Direction=H","UseDPDF=Y")</f>
        <v>#NAME?</v>
      </c>
      <c r="DA72" s="4" t="e">
        <f ca="1">_xll.BDH($C$53,"ACCOUNTS_PAYABLE_TURNOVER","FQ4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72" s="2" t="e">
        <f ca="1">_xll.BDH($C$53,"ACCOUNTS_PAYABLE_TURNOVER_DAYS","FQ4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72" s="4" t="e">
        <f ca="1">_xll.BDH($C$53,"CASH_CONVERSION_CYCLE","FQ4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72" s="4" t="e">
        <f ca="1">_xll.BDH($C$53,"INV_TO_CASH_DAYS","FQ4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72" s="5" t="e">
        <f ca="1">_xll.BDH($C$53,"BS_INVENTORIES","FQ4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72" s="3" t="e">
        <f ca="1">_xll.BDH($C$53,"INVTRY_RAW_MATERIALS","FQ4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72" s="3" t="e">
        <f ca="1">_xll.BDH($C$53,"INVTRY_IN_PROGRESS","FQ4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72" s="3" t="e">
        <f ca="1">_xll.BDH($C$53,"INVTRY_FINISHED_GOODS","FQ4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72" s="3" t="e">
        <f ca="1">_xll.BDH($C$53,"BS_OTHER_INV","FQ4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73" spans="1:113" x14ac:dyDescent="0.3">
      <c r="A73" s="6"/>
      <c r="B73" s="6"/>
      <c r="C73" s="6"/>
      <c r="D73" s="6" t="s">
        <v>85</v>
      </c>
      <c r="E73" t="s">
        <v>77</v>
      </c>
      <c r="F73" t="e">
        <f ca="1">_xll.BDH($C$53,"RETURN_COM_EQY","FY 2018","FY 2018","Currency=INR","Period=FY","BEST_FPERIOD_OVERRIDE=FY","FILING_STATUS=OR","EQY_CONSOLIDATED=Y","FA_ADJUSTED=GAAP","Sort=A","Dates=H","DateFormat=P","Fill=—","Direction=H","UseDPDF=Y")</f>
        <v>#NAME?</v>
      </c>
      <c r="G73" t="e">
        <f ca="1">_xll.BDH($C$53,"RETURN_ON_ASSET","FY 2018","FY 2018","Currency=INR","Period=FY","BEST_FPERIOD_OVERRIDE=FY","FILING_STATUS=OR","EQY_CONSOLIDATED=Y","FA_ADJUSTED=GAAP","Sort=A","Dates=H","DateFormat=P","Fill=—","Direction=H","UseDPDF=Y")</f>
        <v>#NAME?</v>
      </c>
      <c r="H73" t="e">
        <f ca="1">_xll.BDH($C$53,"RETURN_ON_CAP","FY 2018","FY 2018","Currency=INR","Period=FY","BEST_FPERIOD_OVERRIDE=FY","FILING_STATUS=OR","EQY_CONSOLIDATED=Y","FA_ADJUSTED=GAAP","Sort=A","Dates=H","DateFormat=P","Fill=—","Direction=H","UseDPDF=Y")</f>
        <v>#NAME?</v>
      </c>
      <c r="I73" t="e">
        <f ca="1">_xll.BDH($C$53,"RETURN_ON_INV_CAPITAL","FY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73" t="e">
        <f ca="1">_xll.BDH($C$53,"EBITDA_TO_REVENUE","FY 2018","FY 2018","Currency=INR","Period=FY","BEST_FPERIOD_OVERRIDE=FY","FILING_STATUS=OR","EQY_CONSOLIDATED=Y","FA_ADJUSTED=GAAP","Sort=A","Dates=H","DateFormat=P","Fill=—","Direction=H","UseDPDF=Y")</f>
        <v>#NAME?</v>
      </c>
      <c r="K73" t="e">
        <f ca="1">_xll.BDH($C$53,"OPER_MARGIN","FY 2018","FY 2018","Currency=INR","Period=FY","BEST_FPERIOD_OVERRIDE=FY","FILING_STATUS=OR","EQY_CONSOLIDATED=Y","FA_ADJUSTED=GAAP","Sort=A","Dates=H","DateFormat=P","Fill=—","Direction=H","UseDPDF=Y")</f>
        <v>#NAME?</v>
      </c>
      <c r="L73" t="e">
        <f ca="1">_xll.BDH($C$53,"INCREMENTAL_OPERATING_MARGIN","FY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73" t="e">
        <f ca="1">_xll.BDH($C$53,"PRETAX_INC_TO_NET_SALES","FY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73" t="e">
        <f ca="1">_xll.BDH($C$53,"INC_BEF_XO_ITEMS_TO_NET_SALES","FY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73" t="e">
        <f ca="1">_xll.BDH($C$53,"PROF_MARGIN","FY 2018","FY 2018","Currency=INR","Period=FY","BEST_FPERIOD_OVERRIDE=FY","FILING_STATUS=OR","EQY_CONSOLIDATED=Y","FA_ADJUSTED=GAAP","Sort=A","Dates=H","DateFormat=P","Fill=—","Direction=H","UseDPDF=Y")</f>
        <v>#NAME?</v>
      </c>
      <c r="P73" t="e">
        <f ca="1">_xll.BDH($C$53,"NET_INCOME_TO_COMMON_MARGIN","FY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73" t="e">
        <f ca="1">_xll.BDH($C$53,"EFF_TAX_RATE","FY 2018","FY 2018","Currency=INR","Period=FY","BEST_FPERIOD_OVERRIDE=FY","FILING_STATUS=OR","EQY_CONSOLIDATED=Y","FA_ADJUSTED=GAAP","Sort=A","Dates=H","DateFormat=P","Fill=—","Direction=H","UseDPDF=Y")</f>
        <v>#NAME?</v>
      </c>
      <c r="R73" t="e">
        <f ca="1">_xll.BDH($C$53,"DVD_PAYOUT_RATIO","FY 2018","FY 2018","Currency=INR","Period=FY","BEST_FPERIOD_OVERRIDE=FY","FILING_STATUS=OR","EQY_CONSOLIDATED=Y","FA_ADJUSTED=GAAP","Sort=A","Dates=H","DateFormat=P","Fill=—","Direction=H","UseDPDF=Y")</f>
        <v>#NAME?</v>
      </c>
      <c r="S73" t="e">
        <f ca="1">_xll.BDH($C$53,"SUSTAIN_GROWTH_RT","FY 2018","FY 2018","Currency=INR","Period=FY","BEST_FPERIOD_OVERRIDE=FY","FILING_STATUS=OR","EQY_CONSOLIDATED=Y","FA_ADJUSTED=GAAP","Sort=A","Dates=H","DateFormat=P","Fill=—","Direction=H","UseDPDF=Y")</f>
        <v>#NAME?</v>
      </c>
      <c r="T73" s="2" t="e">
        <f ca="1">_xll.BDH($C$53,"SALES_GROWTH","FY 2018","FY 2018","Currency=INR","Period=FY","BEST_FPERIOD_OVERRIDE=FY","FILING_STATUS=OR","EQY_CONSOLIDATED=Y","FA_ADJUSTED=GAAP","Sort=A","Dates=H","DateFormat=P","Fill=—","Direction=H","UseDPDF=Y")</f>
        <v>#NAME?</v>
      </c>
      <c r="U73" s="2" t="e">
        <f ca="1">_xll.BDH($C$53,"EBITDA_GROWTH","FY 2018","FY 2018","Currency=INR","Period=FY","BEST_FPERIOD_OVERRIDE=FY","FILING_STATUS=OR","EQY_CONSOLIDATED=Y","FA_ADJUSTED=GAAP","Sort=A","Dates=H","DateFormat=P","Fill=—","Direction=H","UseDPDF=Y")</f>
        <v>#NAME?</v>
      </c>
      <c r="V73" s="2" t="e">
        <f ca="1">_xll.BDH($C$53,"OPER_INC_GROWTH","FY 2018","FY 2018","Currency=INR","Period=FY","BEST_FPERIOD_OVERRIDE=FY","FILING_STATUS=OR","EQY_CONSOLIDATED=Y","FA_ADJUSTED=GAAP","Sort=A","Dates=H","DateFormat=P","Fill=—","Direction=H","UseDPDF=Y")</f>
        <v>#NAME?</v>
      </c>
      <c r="W73" s="2" t="e">
        <f ca="1">_xll.BDH($C$53,"EARN_FOR_COM_GROWTH","FY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73" s="2" t="e">
        <f ca="1">_xll.BDH($C$53,"DILUTED_EPS_AFT_XO_ITEMS_GROWTH","FY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73" s="2" t="e">
        <f ca="1">_xll.BDH($C$53,"DIVIDEND_PER_SHARE_1_YEAR_GROWTH","FY 2018","FY 2018","Currency=INR","Period=FY","BEST_FPERIOD_OVERRIDE=FY","FILING_STATUS=OR","EQY_CONSOLIDATED=Y","Sort=A","Dates=H","DateFormat=P","Fill=—","Direction=H","UseDPDF=Y")</f>
        <v>#NAME?</v>
      </c>
      <c r="Z73" s="2" t="e">
        <f ca="1">_xll.BDH($C$53,"ACCOUNTS_RECEIVABLE_GROWTH","FY 2018","FY 2018","Currency=INR","Period=FY","BEST_FPERIOD_OVERRIDE=FY","FILING_STATUS=OR","EQY_CONSOLIDATED=Y","Sort=A","Dates=H","DateFormat=P","Fill=—","Direction=H","UseDPDF=Y")</f>
        <v>#NAME?</v>
      </c>
      <c r="AA73" s="2" t="e">
        <f ca="1">_xll.BDH($C$53,"INVENTORY_GROWTH","FY 2018","FY 2018","Currency=INR","Period=FY","BEST_FPERIOD_OVERRIDE=FY","FILING_STATUS=OR","EQY_CONSOLIDATED=Y","Sort=A","Dates=H","DateFormat=P","Fill=—","Direction=H","UseDPDF=Y")</f>
        <v>#NAME?</v>
      </c>
      <c r="AB73" s="2" t="e">
        <f ca="1">_xll.BDH($C$53,"NET_FIXED_ASSETS_1_YEAR_GROWTH","FY 2018","FY 2018","Currency=INR","Period=FY","BEST_FPERIOD_OVERRIDE=FY","FILING_STATUS=OR","EQY_CONSOLIDATED=Y","Sort=A","Dates=H","DateFormat=P","Fill=—","Direction=H","UseDPDF=Y")</f>
        <v>#NAME?</v>
      </c>
      <c r="AC73" s="2" t="e">
        <f ca="1">_xll.BDH($C$53,"ASSET_GROWTH","FY 2018","FY 2018","Currency=INR","Period=FY","BEST_FPERIOD_OVERRIDE=FY","FILING_STATUS=OR","EQY_CONSOLIDATED=Y","Sort=A","Dates=H","DateFormat=P","Fill=—","Direction=H","UseDPDF=Y")</f>
        <v>#NAME?</v>
      </c>
      <c r="AD73" s="2" t="e">
        <f ca="1">_xll.BDH($C$53,"MODIFIED_WORK_CAP_GROWTH","FY 2018","FY 2018","Currency=INR","Period=FY","BEST_FPERIOD_OVERRIDE=FY","FILING_STATUS=OR","EQY_CONSOLIDATED=Y","Sort=A","Dates=H","DateFormat=P","Fill=—","Direction=H","UseDPDF=Y")</f>
        <v>#NAME?</v>
      </c>
      <c r="AE73" s="2" t="e">
        <f ca="1">_xll.BDH($C$53,"WORK_CAP_GROWTH","FY 2018","FY 2018","Currency=INR","Period=FY","BEST_FPERIOD_OVERRIDE=FY","FILING_STATUS=OR","EQY_CONSOLIDATED=Y","Sort=A","Dates=H","DateFormat=P","Fill=—","Direction=H","UseDPDF=Y")</f>
        <v>#NAME?</v>
      </c>
      <c r="AF73" s="2" t="e">
        <f ca="1">_xll.BDH($C$53,"ACCOUNTS_PAYABLE_GROWTH_1YR","FY 2018","FY 2018","Currency=INR","Period=FY","BEST_FPERIOD_OVERRIDE=FY","FILING_STATUS=OR","EQY_CONSOLIDATED=Y","Sort=A","Dates=H","DateFormat=P","Fill=—","Direction=H","UseDPDF=Y")</f>
        <v>#NAME?</v>
      </c>
      <c r="AG73" s="2" t="e">
        <f ca="1">_xll.BDH($C$53,"SHORT_TERM_DEBT_1_YEAR_GROWTH","FY 2018","FY 2018","Currency=INR","Period=FY","BEST_FPERIOD_OVERRIDE=FY","FILING_STATUS=OR","EQY_CONSOLIDATED=Y","Sort=A","Dates=H","DateFormat=P","Fill=—","Direction=H","UseDPDF=Y")</f>
        <v>#NAME?</v>
      </c>
      <c r="AH73" s="2" t="e">
        <f ca="1">_xll.BDH($C$53,"TOTAL_DEBT_1_YEAR_GROWTH","FY 2018","FY 2018","Currency=INR","Period=FY","BEST_FPERIOD_OVERRIDE=FY","FILING_STATUS=OR","EQY_CONSOLIDATED=Y","Sort=A","Dates=H","DateFormat=P","Fill=—","Direction=H","UseDPDF=Y")</f>
        <v>#NAME?</v>
      </c>
      <c r="AI73" s="2" t="e">
        <f ca="1">_xll.BDH($C$53,"TOTAL_EQUITY_1_YEAR_GROWTH","FY 2018","FY 2018","Currency=INR","Period=FY","BEST_FPERIOD_OVERRIDE=FY","FILING_STATUS=OR","EQY_CONSOLIDATED=Y","Sort=A","Dates=H","DateFormat=P","Fill=—","Direction=H","UseDPDF=Y")</f>
        <v>#NAME?</v>
      </c>
      <c r="AJ73" s="2" t="e">
        <f ca="1">_xll.BDH($C$53,"GROWTH_IN_CAP","FY 2018","FY 2018","Currency=INR","Period=FY","BEST_FPERIOD_OVERRIDE=FY","FILING_STATUS=OR","EQY_CONSOLIDATED=Y","Sort=A","Dates=H","DateFormat=P","Fill=—","Direction=H","UseDPDF=Y")</f>
        <v>#NAME?</v>
      </c>
      <c r="AK73" s="2" t="e">
        <f ca="1">_xll.BDH($C$53,"BVPS_GROWTH","FY 2018","FY 2018","Currency=INR","Period=FY","BEST_FPERIOD_OVERRIDE=FY","FILING_STATUS=OR","EQY_CONSOLIDATED=Y","Sort=A","Dates=H","DateFormat=P","Fill=—","Direction=H","UseDPDF=Y")</f>
        <v>#NAME?</v>
      </c>
      <c r="AL73" s="2" t="e">
        <f ca="1">_xll.BDH($C$53,"CASH_FLOW_GROWTH","FY 2018","FY 2018","Currency=INR","Period=FY","BEST_FPERIOD_OVERRIDE=FY","FILING_STATUS=OR","EQY_CONSOLIDATED=Y","Sort=A","Dates=H","DateFormat=P","Fill=—","Direction=H","UseDPDF=Y")</f>
        <v>#NAME?</v>
      </c>
      <c r="AM73" s="2" t="e">
        <f ca="1">_xll.BDH($C$53,"GEO_GROW_NET_SALES","FY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73" s="2" t="e">
        <f ca="1">_xll.BDH($C$53,"GEO_GROW_EBITDA","FY 2018","FY 2018","Currency=INR","Period=FY","BEST_FPERIOD_OVERRIDE=FY","FILING_STATUS=OR","EQY_CONSOLIDATED=Y","FA_ADJUSTED=GAAP","Sort=A","Dates=H","DateFormat=P","Fill=—","Direction=H","UseDPDF=Y")</f>
        <v>#NAME?</v>
      </c>
      <c r="AO73" s="2" t="e">
        <f ca="1">_xll.BDH($C$53,"GEO_GROW_OPER_INC","FY 2018","FY 2018","Currency=INR","Period=FY","BEST_FPERIOD_OVERRIDE=FY","FILING_STATUS=OR","EQY_CONSOLIDATED=Y","FA_ADJUSTED=GAAP","Sort=A","Dates=H","DateFormat=P","Fill=—","Direction=H","UseDPDF=Y")</f>
        <v>#NAME?</v>
      </c>
      <c r="AP73" s="2" t="e">
        <f ca="1">_xll.BDH($C$53,"NET_INCOME_TO_COMMON_5_YR_GROWTH","FY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73" s="2" t="e">
        <f ca="1">_xll.BDH($C$53,"5Y_GEO_GROWTH_DILUTED_EPS","FY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73" s="2" t="e">
        <f ca="1">_xll.BDH($C$53,"GEO_GROW_DVD_PER_SH","FY 2018","FY 2018","Currency=INR","Period=FY","BEST_FPERIOD_OVERRIDE=FY","FILING_STATUS=OR","EQY_CONSOLIDATED=Y","Sort=A","Dates=H","DateFormat=P","Fill=—","Direction=H","UseDPDF=Y")</f>
        <v>#NAME?</v>
      </c>
      <c r="AS73" s="2" t="e">
        <f ca="1">_xll.BDH($C$53,"ACCOUNTS_RECEIVABLE_5_YR_GROWTH","FY 2018","FY 2018","Currency=INR","Period=FY","BEST_FPERIOD_OVERRIDE=FY","FILING_STATUS=OR","EQY_CONSOLIDATED=Y","Sort=A","Dates=H","DateFormat=P","Fill=—","Direction=H","UseDPDF=Y")</f>
        <v>#NAME?</v>
      </c>
      <c r="AT73" s="2" t="e">
        <f ca="1">_xll.BDH($C$53,"INVENTORY_5_YEAR_GROWTH","FY 2018","FY 2018","Currency=INR","Period=FY","BEST_FPERIOD_OVERRIDE=FY","FILING_STATUS=OR","EQY_CONSOLIDATED=Y","Sort=A","Dates=H","DateFormat=P","Fill=—","Direction=H","UseDPDF=Y")</f>
        <v>#NAME?</v>
      </c>
      <c r="AU73" s="2" t="e">
        <f ca="1">_xll.BDH($C$53,"NET_FIXED_ASSETS_5_YEAR_GROWTH","FY 2018","FY 2018","Currency=INR","Period=FY","BEST_FPERIOD_OVERRIDE=FY","FILING_STATUS=OR","EQY_CONSOLIDATED=Y","Sort=A","Dates=H","DateFormat=P","Fill=—","Direction=H","UseDPDF=Y")</f>
        <v>#NAME?</v>
      </c>
      <c r="AV73" s="2" t="e">
        <f ca="1">_xll.BDH($C$53,"GEO_GROW_TOT_ASSET","FY 2018","FY 2018","Currency=INR","Period=FY","BEST_FPERIOD_OVERRIDE=FY","FILING_STATUS=OR","EQY_CONSOLIDATED=Y","Sort=A","Dates=H","DateFormat=P","Fill=—","Direction=H","UseDPDF=Y")</f>
        <v>#NAME?</v>
      </c>
      <c r="AW73" s="2" t="e">
        <f ca="1">_xll.BDH($C$53,"MODIFIED_WORKING_CPTL_5YR_GRWTH","FY 2018","FY 2018","Currency=INR","Period=FY","BEST_FPERIOD_OVERRIDE=FY","FILING_STATUS=OR","EQY_CONSOLIDATED=Y","Sort=A","Dates=H","DateFormat=P","Fill=—","Direction=H","UseDPDF=Y")</f>
        <v>#NAME?</v>
      </c>
      <c r="AX73" s="2" t="e">
        <f ca="1">_xll.BDH($C$53,"WORKING_CAPITAL_5_YEAR_GROWTH","FY 2018","FY 2018","Currency=INR","Period=FY","BEST_FPERIOD_OVERRIDE=FY","FILING_STATUS=OR","EQY_CONSOLIDATED=Y","Sort=A","Dates=H","DateFormat=P","Fill=—","Direction=H","UseDPDF=Y")</f>
        <v>#NAME?</v>
      </c>
      <c r="AY73" s="2" t="e">
        <f ca="1">_xll.BDH($C$53,"ACCOUNTS_PAYABLE_5_YEAR_GROWTH","FY 2018","FY 2018","Currency=INR","Period=FY","BEST_FPERIOD_OVERRIDE=FY","FILING_STATUS=OR","EQY_CONSOLIDATED=Y","Sort=A","Dates=H","DateFormat=P","Fill=—","Direction=H","UseDPDF=Y")</f>
        <v>#NAME?</v>
      </c>
      <c r="AZ73" s="2" t="e">
        <f ca="1">_xll.BDH($C$53,"SHORT_TERM_DEBT_5_YEAR_GROWTH","FY 2018","FY 2018","Currency=INR","Period=FY","BEST_FPERIOD_OVERRIDE=FY","FILING_STATUS=OR","EQY_CONSOLIDATED=Y","Sort=A","Dates=H","DateFormat=P","Fill=—","Direction=H","UseDPDF=Y")</f>
        <v>#NAME?</v>
      </c>
      <c r="BA73" s="2" t="e">
        <f ca="1">_xll.BDH($C$53,"TOTAL_DEBT_5_YEAR_GROWTH","FY 2018","FY 2018","Currency=INR","Period=FY","BEST_FPERIOD_OVERRIDE=FY","FILING_STATUS=OR","EQY_CONSOLIDATED=Y","Sort=A","Dates=H","DateFormat=P","Fill=—","Direction=H","UseDPDF=Y")</f>
        <v>#NAME?</v>
      </c>
      <c r="BB73" s="2" t="e">
        <f ca="1">_xll.BDH($C$53,"GEO_GROW_TOT_SHRHLDR_EQY","FY 2018","FY 2018","Currency=INR","Period=FY","BEST_FPERIOD_OVERRIDE=FY","FILING_STATUS=OR","EQY_CONSOLIDATED=Y","Sort=A","Dates=H","DateFormat=P","Fill=—","Direction=H","UseDPDF=Y")</f>
        <v>#NAME?</v>
      </c>
      <c r="BC73" s="2" t="e">
        <f ca="1">_xll.BDH($C$53,"TOTAL_CAPITAL_5_YEAR_GROWTH","FY 2018","FY 2018","Currency=INR","Period=FY","BEST_FPERIOD_OVERRIDE=FY","FILING_STATUS=OR","EQY_CONSOLIDATED=Y","Sort=A","Dates=H","DateFormat=P","Fill=—","Direction=H","UseDPDF=Y")</f>
        <v>#NAME?</v>
      </c>
      <c r="BD73" s="2" t="e">
        <f ca="1">_xll.BDH($C$53,"GEO_GROW_BOOK_VAL","FY 2018","FY 2018","Currency=INR","Period=FY","BEST_FPERIOD_OVERRIDE=FY","FILING_STATUS=OR","EQY_CONSOLIDATED=Y","Sort=A","Dates=H","DateFormat=P","Fill=—","Direction=H","UseDPDF=Y")</f>
        <v>#NAME?</v>
      </c>
      <c r="BE73" s="2" t="e">
        <f ca="1">_xll.BDH($C$53,"GEO_GROW_CASH_OPER_ACT","FY 2018","FY 2018","Currency=INR","Period=FY","BEST_FPERIOD_OVERRIDE=FY","FILING_STATUS=OR","EQY_CONSOLIDATED=Y","Sort=A","Dates=H","DateFormat=P","Fill=—","Direction=H","UseDPDF=Y")</f>
        <v>#NAME?</v>
      </c>
      <c r="BF73" s="2" t="e">
        <f ca="1">_xll.BDH($C$53,"REVENUE_SEQUENTIAL_GROWTH","FY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73" s="2" t="e">
        <f ca="1">_xll.BDH($C$53,"EBITDA_SEQUENTIAL_GROWTH","FY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73" s="2" t="e">
        <f ca="1">_xll.BDH($C$53,"OPERATING_INCOME_SEQ_GROWTH","FY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73" s="2" t="e">
        <f ca="1">_xll.BDH($C$53,"NET_INCOME_TO_COMMON_SEQ_GROWTH","FY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73" s="2" t="e">
        <f ca="1">_xll.BDH($C$53,"EPS_DILUTED_SEQUENTIAL_GROWTH","FY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73" s="2" t="e">
        <f ca="1">_xll.BDH($C$53,"DPS_SEQUENTIAL_GROWTH","FY 2018","FY 2018","Currency=INR","Period=FY","BEST_FPERIOD_OVERRIDE=FY","FILING_STATUS=OR","EQY_CONSOLIDATED=Y","Sort=A","Dates=H","DateFormat=P","Fill=—","Direction=H","UseDPDF=Y")</f>
        <v>#NAME?</v>
      </c>
      <c r="BL73" s="2" t="e">
        <f ca="1">_xll.BDH($C$53,"ACCOUNTS_RECEIVABLE_SEQ_GROWTH","FY 2018","FY 2018","Currency=INR","Period=FY","BEST_FPERIOD_OVERRIDE=FY","FILING_STATUS=OR","EQY_CONSOLIDATED=Y","Sort=A","Dates=H","DateFormat=P","Fill=—","Direction=H","UseDPDF=Y")</f>
        <v>#NAME?</v>
      </c>
      <c r="BM73" s="2" t="e">
        <f ca="1">_xll.BDH($C$53,"INVENTORY_SEQUENTIAL_GROWTH","FY 2018","FY 2018","Currency=INR","Period=FY","BEST_FPERIOD_OVERRIDE=FY","FILING_STATUS=OR","EQY_CONSOLIDATED=Y","Sort=A","Dates=H","DateFormat=P","Fill=—","Direction=H","UseDPDF=Y")</f>
        <v>#NAME?</v>
      </c>
      <c r="BN73" s="2" t="e">
        <f ca="1">_xll.BDH($C$53,"FIXED_ASSETS_SEQUENTIAL_GROWTH","FY 2018","FY 2018","Currency=INR","Period=FY","BEST_FPERIOD_OVERRIDE=FY","FILING_STATUS=OR","EQY_CONSOLIDATED=Y","Sort=A","Dates=H","DateFormat=P","Fill=—","Direction=H","UseDPDF=Y")</f>
        <v>#NAME?</v>
      </c>
      <c r="BO73" s="2" t="e">
        <f ca="1">_xll.BDH($C$53,"TOTAL_ASSETS_SEQUENTIAL_GROWTH","FY 2018","FY 2018","Currency=INR","Period=FY","BEST_FPERIOD_OVERRIDE=FY","FILING_STATUS=OR","EQY_CONSOLIDATED=Y","Sort=A","Dates=H","DateFormat=P","Fill=—","Direction=H","UseDPDF=Y")</f>
        <v>#NAME?</v>
      </c>
      <c r="BP73" s="2" t="e">
        <f ca="1">_xll.BDH($C$53,"MODIFIED_WORKING_CPTL_SEQ_GRWTH","FY 2018","FY 2018","Currency=INR","Period=FY","BEST_FPERIOD_OVERRIDE=FY","FILING_STATUS=OR","EQY_CONSOLIDATED=Y","Sort=A","Dates=H","DateFormat=P","Fill=—","Direction=H","UseDPDF=Y")</f>
        <v>#NAME?</v>
      </c>
      <c r="BQ73" s="2" t="e">
        <f ca="1">_xll.BDH($C$53,"WORKING_CAPITAL_SEQ_GROWTH","FY 2018","FY 2018","Currency=INR","Period=FY","BEST_FPERIOD_OVERRIDE=FY","FILING_STATUS=OR","EQY_CONSOLIDATED=Y","Sort=A","Dates=H","DateFormat=P","Fill=—","Direction=H","UseDPDF=Y")</f>
        <v>#NAME?</v>
      </c>
      <c r="BR73" s="2" t="e">
        <f ca="1">_xll.BDH($C$53,"ACCOUNTS_PAYABLE_SEQ_GROWTH","FY 2018","FY 2018","Currency=INR","Period=FY","BEST_FPERIOD_OVERRIDE=FY","FILING_STATUS=OR","EQY_CONSOLIDATED=Y","Sort=A","Dates=H","DateFormat=P","Fill=—","Direction=H","UseDPDF=Y")</f>
        <v>#NAME?</v>
      </c>
      <c r="BS73" s="2" t="e">
        <f ca="1">_xll.BDH($C$53,"ST_DEBT_SEQUENTIAL_GROWTH","FY 2018","FY 2018","Currency=INR","Period=FY","BEST_FPERIOD_OVERRIDE=FY","FILING_STATUS=OR","EQY_CONSOLIDATED=Y","Sort=A","Dates=H","DateFormat=P","Fill=—","Direction=H","UseDPDF=Y")</f>
        <v>#NAME?</v>
      </c>
      <c r="BT73" s="2" t="e">
        <f ca="1">_xll.BDH($C$53,"TOTAL_DEBT_SEQUENTIAL_GROWTH","FY 2018","FY 2018","Currency=INR","Period=FY","BEST_FPERIOD_OVERRIDE=FY","FILING_STATUS=OR","EQY_CONSOLIDATED=Y","Sort=A","Dates=H","DateFormat=P","Fill=—","Direction=H","UseDPDF=Y")</f>
        <v>#NAME?</v>
      </c>
      <c r="BU73" s="2" t="e">
        <f ca="1">_xll.BDH($C$53,"TOTAL_EQUITY_SEQUENTIAL_GROWTH","FY 2018","FY 2018","Currency=INR","Period=FY","BEST_FPERIOD_OVERRIDE=FY","FILING_STATUS=OR","EQY_CONSOLIDATED=Y","Sort=A","Dates=H","DateFormat=P","Fill=—","Direction=H","UseDPDF=Y")</f>
        <v>#NAME?</v>
      </c>
      <c r="BV73" s="2" t="e">
        <f ca="1">_xll.BDH($C$53,"TOTAL_CAPITAL_SEQUENTIAL_GROWTH","FY 2018","FY 2018","Currency=INR","Period=FY","BEST_FPERIOD_OVERRIDE=FY","FILING_STATUS=OR","EQY_CONSOLIDATED=Y","Sort=A","Dates=H","DateFormat=P","Fill=—","Direction=H","UseDPDF=Y")</f>
        <v>#NAME?</v>
      </c>
      <c r="BW73" s="2" t="e">
        <f ca="1">_xll.BDH($C$53,"BPS_SEQUENTIAL_GROWTH","FY 2018","FY 2018","Currency=INR","Period=FY","BEST_FPERIOD_OVERRIDE=FY","FILING_STATUS=OR","EQY_CONSOLIDATED=Y","Sort=A","Dates=H","DateFormat=P","Fill=—","Direction=H","UseDPDF=Y")</f>
        <v>#NAME?</v>
      </c>
      <c r="BX73" s="2" t="e">
        <f ca="1">_xll.BDH($C$53,"CFO_SEQUENTIAL_GROWTH","FY 2018","FY 2018","Currency=INR","Period=FY","BEST_FPERIOD_OVERRIDE=FY","FILING_STATUS=OR","EQY_CONSOLIDATED=Y","Sort=A","Dates=H","DateFormat=P","Fill=—","Direction=H","UseDPDF=Y")</f>
        <v>#NAME?</v>
      </c>
      <c r="BY73" s="3" t="e">
        <f ca="1">_xll.BDH($C$53,"SHORT_AND_LONG_TERM_DEBT","FY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73" s="3" t="e">
        <f ca="1">_xll.BDH($C$53,"BS_ST_BORROW","FY 2018","FY 2018","Currency=INR","Period=FY","BEST_FPERIOD_OVERRIDE=FY","FILING_STATUS=OR","EQY_CONSOLIDATED=Y","SCALING_FORMAT=MLN","Sort=A","Dates=H","DateFormat=P","Fill=—","Direction=H","UseDPDF=Y")</f>
        <v>#NAME?</v>
      </c>
      <c r="CA73" s="3" t="e">
        <f ca="1">_xll.BDH($C$53,"BS_LT_BORROW","FY 2018","FY 2018","Currency=INR","Period=FY","BEST_FPERIOD_OVERRIDE=FY","FILING_STATUS=OR","EQY_CONSOLIDATED=Y","SCALING_FORMAT=MLN","Sort=A","Dates=H","DateFormat=P","Fill=—","Direction=H","UseDPDF=Y")</f>
        <v>#NAME?</v>
      </c>
      <c r="CB73" s="2" t="e">
        <f ca="1">_xll.BDH($C$53,"TOT_DEBT_TO_EBITDA","FY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73" s="2" t="e">
        <f ca="1">_xll.BDH($C$53,"NET_DEBT_TO_EBITDA","FY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73" s="2" t="e">
        <f ca="1">_xll.BDH($C$53,"TOTAL_DEBT_TO_EBIT","FY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73" s="2" t="e">
        <f ca="1">_xll.BDH($C$53,"NET_DEBT_TO_EBIT","FY 2018","FY 2018","Currency=INR","Period=FY","BEST_FPERIOD_OVERRIDE=FY","FILING_STATUS=OR","EQY_CONSOLIDATED=Y","FA_ADJUSTED=GAAP","Sort=A","Dates=H","DateFormat=P","Fill=—","Direction=H","UseDPDF=Y")</f>
        <v>#NAME?</v>
      </c>
      <c r="CF73" s="2" t="e">
        <f ca="1">_xll.BDH($C$53,"EBITDA_TO_INTEREST_EXPN","FY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73" s="2" t="e">
        <f ca="1">_xll.BDH($C$53,"COM_EQY_TO_TOT_ASSET","FY 2018","FY 2018","Currency=INR","Period=FY","BEST_FPERIOD_OVERRIDE=FY","FILING_STATUS=OR","EQY_CONSOLIDATED=Y","Sort=A","Dates=H","DateFormat=P","Fill=—","Direction=H","UseDPDF=Y")</f>
        <v>#NAME?</v>
      </c>
      <c r="CH73" s="2" t="e">
        <f ca="1">_xll.BDH($C$53,"LT_DEBT_TO_TOT_EQY","FY 2018","FY 2018","Currency=INR","Period=FY","BEST_FPERIOD_OVERRIDE=FY","FILING_STATUS=OR","EQY_CONSOLIDATED=Y","Sort=A","Dates=H","DateFormat=P","Fill=—","Direction=H","UseDPDF=Y")</f>
        <v>#NAME?</v>
      </c>
      <c r="CI73" s="2" t="e">
        <f ca="1">_xll.BDH($C$53,"LT_DEBT_TO_TOT_CAP","FY 2018","FY 2018","Currency=INR","Period=FY","BEST_FPERIOD_OVERRIDE=FY","FILING_STATUS=OR","EQY_CONSOLIDATED=Y","Sort=A","Dates=H","DateFormat=P","Fill=—","Direction=H","UseDPDF=Y")</f>
        <v>#NAME?</v>
      </c>
      <c r="CJ73" s="2" t="e">
        <f ca="1">_xll.BDH($C$53,"LT_DEBT_TO_TOT_ASSET","FY 2018","FY 2018","Currency=INR","Period=FY","BEST_FPERIOD_OVERRIDE=FY","FILING_STATUS=OR","EQY_CONSOLIDATED=Y","Sort=A","Dates=H","DateFormat=P","Fill=—","Direction=H","UseDPDF=Y")</f>
        <v>#NAME?</v>
      </c>
      <c r="CK73" s="2" t="e">
        <f ca="1">_xll.BDH($C$53,"TOT_DEBT_TO_TOT_EQY","FY 2018","FY 2018","Currency=INR","Period=FY","BEST_FPERIOD_OVERRIDE=FY","FILING_STATUS=OR","EQY_CONSOLIDATED=Y","Sort=A","Dates=H","DateFormat=P","Fill=—","Direction=H","UseDPDF=Y")</f>
        <v>#NAME?</v>
      </c>
      <c r="CL73" s="2" t="e">
        <f ca="1">_xll.BDH($C$53,"TOT_DEBT_TO_TOT_CAP","FY 2018","FY 2018","Currency=INR","Period=FY","BEST_FPERIOD_OVERRIDE=FY","FILING_STATUS=OR","EQY_CONSOLIDATED=Y","Sort=A","Dates=H","DateFormat=P","Fill=—","Direction=H","UseDPDF=Y")</f>
        <v>#NAME?</v>
      </c>
      <c r="CM73" s="2" t="e">
        <f ca="1">_xll.BDH($C$53,"TOT_DEBT_TO_TOT_ASSET","FY 2018","FY 2018","Currency=INR","Period=FY","BEST_FPERIOD_OVERRIDE=FY","FILING_STATUS=OR","EQY_CONSOLIDATED=Y","Sort=A","Dates=H","DateFormat=P","Fill=—","Direction=H","UseDPDF=Y")</f>
        <v>#NAME?</v>
      </c>
      <c r="CN73" s="2" t="e">
        <f ca="1">_xll.BDH($C$53,"NET_DEBT_TO_SHRHLDR_EQTY","FY 2018","FY 2018","Currency=INR","Period=FY","BEST_FPERIOD_OVERRIDE=FY","FILING_STATUS=OR","EQY_CONSOLIDATED=Y","Sort=A","Dates=H","DateFormat=P","Fill=—","Direction=H","UseDPDF=Y")</f>
        <v>#NAME?</v>
      </c>
      <c r="CO73" s="2" t="e">
        <f ca="1">_xll.BDH($C$53,"NET_DEBT_%_CAPITAL","FY 2018","FY 2018","Currency=INR","Period=FY","BEST_FPERIOD_OVERRIDE=FY","FILING_STATUS=OR","EQY_CONSOLIDATED=Y","Sort=A","Dates=H","DateFormat=P","Fill=—","Direction=H","UseDPDF=Y")</f>
        <v>#NAME?</v>
      </c>
      <c r="CP73" s="3" t="e">
        <f ca="1">_xll.BDH($C$53,"EBITDA","FY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73" s="3" t="e">
        <f ca="1">_xll.BDH($C$53,"EBITDA_AFTER_CAPEX","FY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73" s="3" t="e">
        <f ca="1">_xll.BDH($C$53,"IS_OPER_INC","FY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73" s="2" t="e">
        <f ca="1">_xll.BDH($C$53,"CASH_RATIO","FY 2018","FY 2018","Currency=INR","Period=FY","BEST_FPERIOD_OVERRIDE=FY","FILING_STATUS=OR","EQY_CONSOLIDATED=Y","Sort=A","Dates=H","DateFormat=P","Fill=—","Direction=H","UseDPDF=Y")</f>
        <v>#NAME?</v>
      </c>
      <c r="CT73" s="2" t="e">
        <f ca="1">_xll.BDH($C$53,"CUR_RATIO","FY 2018","FY 2018","Currency=INR","Period=FY","BEST_FPERIOD_OVERRIDE=FY","FILING_STATUS=OR","EQY_CONSOLIDATED=Y","Sort=A","Dates=H","DateFormat=P","Fill=—","Direction=H","UseDPDF=Y")</f>
        <v>#NAME?</v>
      </c>
      <c r="CU73" s="2" t="e">
        <f ca="1">_xll.BDH($C$53,"QUICK_RATIO","FY 2018","FY 2018","Currency=INR","Period=FY","BEST_FPERIOD_OVERRIDE=FY","FILING_STATUS=OR","EQY_CONSOLIDATED=Y","Sort=A","Dates=H","DateFormat=P","Fill=—","Direction=H","UseDPDF=Y")</f>
        <v>#NAME?</v>
      </c>
      <c r="CV73" s="2" t="e">
        <f ca="1">_xll.BDH($C$53,"ALTMAN_Z_SCORE","FY 2018","FY 2018","Currency=INR","Period=FY","BEST_FPERIOD_OVERRIDE=FY","FILING_STATUS=OR","EQY_CONSOLIDATED=Y","Sort=A","Dates=H","DateFormat=P","Fill=—","Direction=H","UseDPDF=Y")</f>
        <v>#NAME?</v>
      </c>
      <c r="CW73" s="4" t="e">
        <f ca="1">_xll.BDH($C$53,"ACCT_RCV_TURN","FY 2018","FY 2018","Currency=INR","Period=FY","BEST_FPERIOD_OVERRIDE=FY","FILING_STATUS=OR","EQY_CONSOLIDATED=Y","FA_ADJUSTED=GAAP","Sort=A","Dates=H","DateFormat=P","Fill=—","Direction=H","UseDPDF=Y")</f>
        <v>#NAME?</v>
      </c>
      <c r="CX73" s="2" t="e">
        <f ca="1">_xll.BDH($C$53,"ACCT_RCV_DAYS","FY 2018","FY 2018","Currency=INR","Period=FY","BEST_FPERIOD_OVERRIDE=FY","FILING_STATUS=OR","EQY_CONSOLIDATED=Y","FA_ADJUSTED=GAAP","Sort=A","Dates=H","DateFormat=P","Fill=—","Direction=H","UseDPDF=Y")</f>
        <v>#NAME?</v>
      </c>
      <c r="CY73" s="4" t="e">
        <f ca="1">_xll.BDH($C$53,"INVENT_TURN","FY 2018","FY 2018","Currency=INR","Period=FY","BEST_FPERIOD_OVERRIDE=FY","FILING_STATUS=OR","EQY_CONSOLIDATED=Y","FA_ADJUSTED=GAAP","Sort=A","Dates=H","DateFormat=P","Fill=—","Direction=H","UseDPDF=Y")</f>
        <v>#NAME?</v>
      </c>
      <c r="CZ73" s="2" t="e">
        <f ca="1">_xll.BDH($C$53,"INVENT_DAYS","FY 2018","FY 2018","Currency=INR","Period=FY","BEST_FPERIOD_OVERRIDE=FY","FILING_STATUS=OR","EQY_CONSOLIDATED=Y","FA_ADJUSTED=GAAP","Sort=A","Dates=H","DateFormat=P","Fill=—","Direction=H","UseDPDF=Y")</f>
        <v>#NAME?</v>
      </c>
      <c r="DA73" s="4" t="e">
        <f ca="1">_xll.BDH($C$53,"ACCOUNTS_PAYABLE_TURNOVER","FY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73" s="2" t="e">
        <f ca="1">_xll.BDH($C$53,"ACCOUNTS_PAYABLE_TURNOVER_DAYS","FY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73" s="4" t="e">
        <f ca="1">_xll.BDH($C$53,"CASH_CONVERSION_CYCLE","FY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73" s="4" t="e">
        <f ca="1">_xll.BDH($C$53,"INV_TO_CASH_DAYS","FY 2018","FY 2018","Currency=INR","Period=FY","BEST_FPERIOD_OVERRIDE=FY","FILING_STATUS=OR","EQY_CONSOLIDATED=Y","FA_ADJUSTED=GAAP","Sort=A","Dates=H","DateFormat=P","Fill=—","Direction=H","UseDPDF=Y")</f>
        <v>#NAME?</v>
      </c>
      <c r="DE73" s="5" t="e">
        <f ca="1">_xll.BDH($C$53,"BS_INVENTORIES","FY 2018","FY 2018","Currency=INR","Period=FY","BEST_FPERIOD_OVERRIDE=FY","FILING_STATUS=OR","EQY_CONSOLIDATED=Y","SCALING_FORMAT=MLN","Sort=A","Dates=H","DateFormat=P","Fill=—","Direction=H","UseDPDF=Y")</f>
        <v>#NAME?</v>
      </c>
      <c r="DF73" s="3" t="e">
        <f ca="1">_xll.BDH($C$53,"INVTRY_RAW_MATERIALS","FY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73" s="3" t="e">
        <f ca="1">_xll.BDH($C$53,"INVTRY_IN_PROGRESS","FY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73" s="3" t="e">
        <f ca="1">_xll.BDH($C$53,"INVTRY_FINISHED_GOODS","FY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73" s="3" t="e">
        <f ca="1">_xll.BDH($C$53,"BS_OTHER_INV","FY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74" spans="1:113" x14ac:dyDescent="0.3">
      <c r="A74" s="6"/>
      <c r="B74" s="6"/>
      <c r="C74" s="6"/>
      <c r="D74" s="6"/>
      <c r="E74" t="s">
        <v>78</v>
      </c>
      <c r="F74" t="e">
        <f ca="1">_xll.BDH($C$53,"RETURN_COM_EQY","FQ1 2018","FQ1 2018","Currency=INR","Period=FQ","BEST_FPERIOD_OVERRIDE=FQ","FILING_STATUS=OR","EQY_CONSOLIDATED=Y","FA_ADJUSTED=GAAP","Sort=A","Dates=H","DateFormat=P","Fill=—","Direction=H","UseDPDF=Y")</f>
        <v>#NAME?</v>
      </c>
      <c r="G74" t="e">
        <f ca="1">_xll.BDH($C$53,"RETURN_ON_ASSET","FQ1 2018","FQ1 2018","Currency=INR","Period=FQ","BEST_FPERIOD_OVERRIDE=FQ","FILING_STATUS=OR","EQY_CONSOLIDATED=Y","FA_ADJUSTED=GAAP","Sort=A","Dates=H","DateFormat=P","Fill=—","Direction=H","UseDPDF=Y")</f>
        <v>#NAME?</v>
      </c>
      <c r="H74" t="e">
        <f ca="1">_xll.BDH($C$53,"RETURN_ON_CAP","FQ1 2018","FQ1 2018","Currency=INR","Period=FQ","BEST_FPERIOD_OVERRIDE=FQ","FILING_STATUS=OR","EQY_CONSOLIDATED=Y","FA_ADJUSTED=GAAP","Sort=A","Dates=H","DateFormat=P","Fill=—","Direction=H","UseDPDF=Y")</f>
        <v>#NAME?</v>
      </c>
      <c r="I74" t="e">
        <f ca="1">_xll.BDH($C$53,"RETURN_ON_INV_CAPITAL","FQ1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74" t="e">
        <f ca="1">_xll.BDH($C$53,"EBITDA_TO_REVENUE","FQ1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74" t="e">
        <f ca="1">_xll.BDH($C$53,"OPER_MARGIN","FQ1 2018","FQ1 2018","Currency=INR","Period=FQ","BEST_FPERIOD_OVERRIDE=FQ","FILING_STATUS=OR","EQY_CONSOLIDATED=Y","FA_ADJUSTED=GAAP","Sort=A","Dates=H","DateFormat=P","Fill=—","Direction=H","UseDPDF=Y")</f>
        <v>#NAME?</v>
      </c>
      <c r="L74" t="e">
        <f ca="1">_xll.BDH($C$53,"INCREMENTAL_OPERATING_MARGIN","FQ1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74" t="e">
        <f ca="1">_xll.BDH($C$53,"PRETAX_INC_TO_NET_SALES","FQ1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74" t="e">
        <f ca="1">_xll.BDH($C$53,"INC_BEF_XO_ITEMS_TO_NET_SALES","FQ1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74" t="e">
        <f ca="1">_xll.BDH($C$53,"PROF_MARGIN","FQ1 2018","FQ1 2018","Currency=INR","Period=FQ","BEST_FPERIOD_OVERRIDE=FQ","FILING_STATUS=OR","EQY_CONSOLIDATED=Y","FA_ADJUSTED=GAAP","Sort=A","Dates=H","DateFormat=P","Fill=—","Direction=H","UseDPDF=Y")</f>
        <v>#NAME?</v>
      </c>
      <c r="P74" t="e">
        <f ca="1">_xll.BDH($C$53,"NET_INCOME_TO_COMMON_MARGIN","FQ1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74" t="e">
        <f ca="1">_xll.BDH($C$53,"EFF_TAX_RATE","FQ1 2018","FQ1 2018","Currency=INR","Period=FQ","BEST_FPERIOD_OVERRIDE=FQ","FILING_STATUS=OR","EQY_CONSOLIDATED=Y","FA_ADJUSTED=GAAP","Sort=A","Dates=H","DateFormat=P","Fill=—","Direction=H","UseDPDF=Y")</f>
        <v>#NAME?</v>
      </c>
      <c r="R74" t="e">
        <f ca="1">_xll.BDH($C$53,"DVD_PAYOUT_RATIO","FQ1 2018","FQ1 2018","Currency=INR","Period=FQ","BEST_FPERIOD_OVERRIDE=FQ","FILING_STATUS=OR","EQY_CONSOLIDATED=Y","FA_ADJUSTED=GAAP","Sort=A","Dates=H","DateFormat=P","Fill=—","Direction=H","UseDPDF=Y")</f>
        <v>#NAME?</v>
      </c>
      <c r="S74" t="e">
        <f ca="1">_xll.BDH($C$53,"SUSTAIN_GROWTH_RT","FQ1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74" s="2" t="e">
        <f ca="1">_xll.BDH($C$53,"SALES_GROWTH","FQ1 2018","FQ1 2018","Currency=INR","Period=FQ","BEST_FPERIOD_OVERRIDE=FQ","FILING_STATUS=OR","EQY_CONSOLIDATED=Y","FA_ADJUSTED=GAAP","Sort=A","Dates=H","DateFormat=P","Fill=—","Direction=H","UseDPDF=Y")</f>
        <v>#NAME?</v>
      </c>
      <c r="U74" s="2" t="e">
        <f ca="1">_xll.BDH($C$53,"EBITDA_GROWTH","FQ1 2018","FQ1 2018","Currency=INR","Period=FQ","BEST_FPERIOD_OVERRIDE=FQ","FILING_STATUS=OR","EQY_CONSOLIDATED=Y","FA_ADJUSTED=GAAP","Sort=A","Dates=H","DateFormat=P","Fill=—","Direction=H","UseDPDF=Y")</f>
        <v>#NAME?</v>
      </c>
      <c r="V74" s="2" t="e">
        <f ca="1">_xll.BDH($C$53,"OPER_INC_GROWTH","FQ1 2018","FQ1 2018","Currency=INR","Period=FQ","BEST_FPERIOD_OVERRIDE=FQ","FILING_STATUS=OR","EQY_CONSOLIDATED=Y","FA_ADJUSTED=GAAP","Sort=A","Dates=H","DateFormat=P","Fill=—","Direction=H","UseDPDF=Y")</f>
        <v>#NAME?</v>
      </c>
      <c r="W74" s="2" t="e">
        <f ca="1">_xll.BDH($C$53,"EARN_FOR_COM_GROWTH","FQ1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74" s="2" t="e">
        <f ca="1">_xll.BDH($C$53,"DILUTED_EPS_AFT_XO_ITEMS_GROWTH","FQ1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74" s="2" t="e">
        <f ca="1">_xll.BDH($C$53,"DIVIDEND_PER_SHARE_1_YEAR_GROWTH","FQ1 2018","FQ1 2018","Currency=INR","Period=FQ","BEST_FPERIOD_OVERRIDE=FQ","FILING_STATUS=OR","EQY_CONSOLIDATED=Y","Sort=A","Dates=H","DateFormat=P","Fill=—","Direction=H","UseDPDF=Y")</f>
        <v>#NAME?</v>
      </c>
      <c r="Z74" s="2" t="e">
        <f ca="1">_xll.BDH($C$53,"ACCOUNTS_RECEIVABLE_GROWTH","FQ1 2018","FQ1 2018","Currency=INR","Period=FQ","BEST_FPERIOD_OVERRIDE=FQ","FILING_STATUS=OR","EQY_CONSOLIDATED=Y","Sort=A","Dates=H","DateFormat=P","Fill=—","Direction=H","UseDPDF=Y")</f>
        <v>#NAME?</v>
      </c>
      <c r="AA74" s="2" t="e">
        <f ca="1">_xll.BDH($C$53,"INVENTORY_GROWTH","FQ1 2018","FQ1 2018","Currency=INR","Period=FQ","BEST_FPERIOD_OVERRIDE=FQ","FILING_STATUS=OR","EQY_CONSOLIDATED=Y","Sort=A","Dates=H","DateFormat=P","Fill=—","Direction=H","UseDPDF=Y")</f>
        <v>#NAME?</v>
      </c>
      <c r="AB74" s="2" t="e">
        <f ca="1">_xll.BDH($C$53,"NET_FIXED_ASSETS_1_YEAR_GROWTH","FQ1 2018","FQ1 2018","Currency=INR","Period=FQ","BEST_FPERIOD_OVERRIDE=FQ","FILING_STATUS=OR","EQY_CONSOLIDATED=Y","Sort=A","Dates=H","DateFormat=P","Fill=—","Direction=H","UseDPDF=Y")</f>
        <v>#NAME?</v>
      </c>
      <c r="AC74" s="2" t="e">
        <f ca="1">_xll.BDH($C$53,"ASSET_GROWTH","FQ1 2018","FQ1 2018","Currency=INR","Period=FQ","BEST_FPERIOD_OVERRIDE=FQ","FILING_STATUS=OR","EQY_CONSOLIDATED=Y","Sort=A","Dates=H","DateFormat=P","Fill=—","Direction=H","UseDPDF=Y")</f>
        <v>#NAME?</v>
      </c>
      <c r="AD74" s="2" t="e">
        <f ca="1">_xll.BDH($C$53,"MODIFIED_WORK_CAP_GROWTH","FQ1 2018","FQ1 2018","Currency=INR","Period=FQ","BEST_FPERIOD_OVERRIDE=FQ","FILING_STATUS=OR","EQY_CONSOLIDATED=Y","Sort=A","Dates=H","DateFormat=P","Fill=—","Direction=H","UseDPDF=Y")</f>
        <v>#NAME?</v>
      </c>
      <c r="AE74" s="2" t="e">
        <f ca="1">_xll.BDH($C$53,"WORK_CAP_GROWTH","FQ1 2018","FQ1 2018","Currency=INR","Period=FQ","BEST_FPERIOD_OVERRIDE=FQ","FILING_STATUS=OR","EQY_CONSOLIDATED=Y","Sort=A","Dates=H","DateFormat=P","Fill=—","Direction=H","UseDPDF=Y")</f>
        <v>#NAME?</v>
      </c>
      <c r="AF74" s="2" t="e">
        <f ca="1">_xll.BDH($C$53,"ACCOUNTS_PAYABLE_GROWTH_1YR","FQ1 2018","FQ1 2018","Currency=INR","Period=FQ","BEST_FPERIOD_OVERRIDE=FQ","FILING_STATUS=OR","EQY_CONSOLIDATED=Y","Sort=A","Dates=H","DateFormat=P","Fill=—","Direction=H","UseDPDF=Y")</f>
        <v>#NAME?</v>
      </c>
      <c r="AG74" s="2" t="e">
        <f ca="1">_xll.BDH($C$53,"SHORT_TERM_DEBT_1_YEAR_GROWTH","FQ1 2018","FQ1 2018","Currency=INR","Period=FQ","BEST_FPERIOD_OVERRIDE=FQ","FILING_STATUS=OR","EQY_CONSOLIDATED=Y","Sort=A","Dates=H","DateFormat=P","Fill=—","Direction=H","UseDPDF=Y")</f>
        <v>#NAME?</v>
      </c>
      <c r="AH74" s="2" t="e">
        <f ca="1">_xll.BDH($C$53,"TOTAL_DEBT_1_YEAR_GROWTH","FQ1 2018","FQ1 2018","Currency=INR","Period=FQ","BEST_FPERIOD_OVERRIDE=FQ","FILING_STATUS=OR","EQY_CONSOLIDATED=Y","Sort=A","Dates=H","DateFormat=P","Fill=—","Direction=H","UseDPDF=Y")</f>
        <v>#NAME?</v>
      </c>
      <c r="AI74" s="2" t="e">
        <f ca="1">_xll.BDH($C$53,"TOTAL_EQUITY_1_YEAR_GROWTH","FQ1 2018","FQ1 2018","Currency=INR","Period=FQ","BEST_FPERIOD_OVERRIDE=FQ","FILING_STATUS=OR","EQY_CONSOLIDATED=Y","Sort=A","Dates=H","DateFormat=P","Fill=—","Direction=H","UseDPDF=Y")</f>
        <v>#NAME?</v>
      </c>
      <c r="AJ74" s="2" t="e">
        <f ca="1">_xll.BDH($C$53,"GROWTH_IN_CAP","FQ1 2018","FQ1 2018","Currency=INR","Period=FQ","BEST_FPERIOD_OVERRIDE=FQ","FILING_STATUS=OR","EQY_CONSOLIDATED=Y","Sort=A","Dates=H","DateFormat=P","Fill=—","Direction=H","UseDPDF=Y")</f>
        <v>#NAME?</v>
      </c>
      <c r="AK74" s="2" t="e">
        <f ca="1">_xll.BDH($C$53,"BVPS_GROWTH","FQ1 2018","FQ1 2018","Currency=INR","Period=FQ","BEST_FPERIOD_OVERRIDE=FQ","FILING_STATUS=OR","EQY_CONSOLIDATED=Y","Sort=A","Dates=H","DateFormat=P","Fill=—","Direction=H","UseDPDF=Y")</f>
        <v>#NAME?</v>
      </c>
      <c r="AL74" s="2" t="e">
        <f ca="1">_xll.BDH($C$53,"CASH_FLOW_GROWTH","FQ1 2018","FQ1 2018","Currency=INR","Period=FQ","BEST_FPERIOD_OVERRIDE=FQ","FILING_STATUS=OR","EQY_CONSOLIDATED=Y","Sort=A","Dates=H","DateFormat=P","Fill=—","Direction=H","UseDPDF=Y")</f>
        <v>#NAME?</v>
      </c>
      <c r="AM74" s="2" t="e">
        <f ca="1">_xll.BDH($C$53,"GEO_GROW_NET_SALES","FQ1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74" s="2" t="e">
        <f ca="1">_xll.BDH($C$53,"GEO_GROW_EBITDA","FQ1 2018","FQ1 2018","Currency=INR","Period=FQ","BEST_FPERIOD_OVERRIDE=FQ","FILING_STATUS=OR","EQY_CONSOLIDATED=Y","FA_ADJUSTED=GAAP","Sort=A","Dates=H","DateFormat=P","Fill=—","Direction=H","UseDPDF=Y")</f>
        <v>#NAME?</v>
      </c>
      <c r="AO74" s="2" t="e">
        <f ca="1">_xll.BDH($C$53,"GEO_GROW_OPER_INC","FQ1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74" s="2" t="e">
        <f ca="1">_xll.BDH($C$53,"NET_INCOME_TO_COMMON_5_YR_GROWTH","FQ1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74" s="2" t="e">
        <f ca="1">_xll.BDH($C$53,"5Y_GEO_GROWTH_DILUTED_EPS","FQ1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74" s="2" t="e">
        <f ca="1">_xll.BDH($C$53,"GEO_GROW_DVD_PER_SH","FQ1 2018","FQ1 2018","Currency=INR","Period=FQ","BEST_FPERIOD_OVERRIDE=FQ","FILING_STATUS=OR","EQY_CONSOLIDATED=Y","Sort=A","Dates=H","DateFormat=P","Fill=—","Direction=H","UseDPDF=Y")</f>
        <v>#NAME?</v>
      </c>
      <c r="AS74" s="2" t="e">
        <f ca="1">_xll.BDH($C$53,"ACCOUNTS_RECEIVABLE_5_YR_GROWTH","FQ1 2018","FQ1 2018","Currency=INR","Period=FQ","BEST_FPERIOD_OVERRIDE=FQ","FILING_STATUS=OR","EQY_CONSOLIDATED=Y","Sort=A","Dates=H","DateFormat=P","Fill=—","Direction=H","UseDPDF=Y")</f>
        <v>#NAME?</v>
      </c>
      <c r="AT74" s="2" t="e">
        <f ca="1">_xll.BDH($C$53,"INVENTORY_5_YEAR_GROWTH","FQ1 2018","FQ1 2018","Currency=INR","Period=FQ","BEST_FPERIOD_OVERRIDE=FQ","FILING_STATUS=OR","EQY_CONSOLIDATED=Y","Sort=A","Dates=H","DateFormat=P","Fill=—","Direction=H","UseDPDF=Y")</f>
        <v>#NAME?</v>
      </c>
      <c r="AU74" s="2" t="e">
        <f ca="1">_xll.BDH($C$53,"NET_FIXED_ASSETS_5_YEAR_GROWTH","FQ1 2018","FQ1 2018","Currency=INR","Period=FQ","BEST_FPERIOD_OVERRIDE=FQ","FILING_STATUS=OR","EQY_CONSOLIDATED=Y","Sort=A","Dates=H","DateFormat=P","Fill=—","Direction=H","UseDPDF=Y")</f>
        <v>#NAME?</v>
      </c>
      <c r="AV74" s="2" t="e">
        <f ca="1">_xll.BDH($C$53,"GEO_GROW_TOT_ASSET","FQ1 2018","FQ1 2018","Currency=INR","Period=FQ","BEST_FPERIOD_OVERRIDE=FQ","FILING_STATUS=OR","EQY_CONSOLIDATED=Y","Sort=A","Dates=H","DateFormat=P","Fill=—","Direction=H","UseDPDF=Y")</f>
        <v>#NAME?</v>
      </c>
      <c r="AW74" s="2" t="e">
        <f ca="1">_xll.BDH($C$53,"MODIFIED_WORKING_CPTL_5YR_GRWTH","FQ1 2018","FQ1 2018","Currency=INR","Period=FQ","BEST_FPERIOD_OVERRIDE=FQ","FILING_STATUS=OR","EQY_CONSOLIDATED=Y","Sort=A","Dates=H","DateFormat=P","Fill=—","Direction=H","UseDPDF=Y")</f>
        <v>#NAME?</v>
      </c>
      <c r="AX74" s="2" t="e">
        <f ca="1">_xll.BDH($C$53,"WORKING_CAPITAL_5_YEAR_GROWTH","FQ1 2018","FQ1 2018","Currency=INR","Period=FQ","BEST_FPERIOD_OVERRIDE=FQ","FILING_STATUS=OR","EQY_CONSOLIDATED=Y","Sort=A","Dates=H","DateFormat=P","Fill=—","Direction=H","UseDPDF=Y")</f>
        <v>#NAME?</v>
      </c>
      <c r="AY74" s="2" t="e">
        <f ca="1">_xll.BDH($C$53,"ACCOUNTS_PAYABLE_5_YEAR_GROWTH","FQ1 2018","FQ1 2018","Currency=INR","Period=FQ","BEST_FPERIOD_OVERRIDE=FQ","FILING_STATUS=OR","EQY_CONSOLIDATED=Y","Sort=A","Dates=H","DateFormat=P","Fill=—","Direction=H","UseDPDF=Y")</f>
        <v>#NAME?</v>
      </c>
      <c r="AZ74" s="2" t="e">
        <f ca="1">_xll.BDH($C$53,"SHORT_TERM_DEBT_5_YEAR_GROWTH","FQ1 2018","FQ1 2018","Currency=INR","Period=FQ","BEST_FPERIOD_OVERRIDE=FQ","FILING_STATUS=OR","EQY_CONSOLIDATED=Y","Sort=A","Dates=H","DateFormat=P","Fill=—","Direction=H","UseDPDF=Y")</f>
        <v>#NAME?</v>
      </c>
      <c r="BA74" s="2" t="e">
        <f ca="1">_xll.BDH($C$53,"TOTAL_DEBT_5_YEAR_GROWTH","FQ1 2018","FQ1 2018","Currency=INR","Period=FQ","BEST_FPERIOD_OVERRIDE=FQ","FILING_STATUS=OR","EQY_CONSOLIDATED=Y","Sort=A","Dates=H","DateFormat=P","Fill=—","Direction=H","UseDPDF=Y")</f>
        <v>#NAME?</v>
      </c>
      <c r="BB74" s="2" t="e">
        <f ca="1">_xll.BDH($C$53,"GEO_GROW_TOT_SHRHLDR_EQY","FQ1 2018","FQ1 2018","Currency=INR","Period=FQ","BEST_FPERIOD_OVERRIDE=FQ","FILING_STATUS=OR","EQY_CONSOLIDATED=Y","Sort=A","Dates=H","DateFormat=P","Fill=—","Direction=H","UseDPDF=Y")</f>
        <v>#NAME?</v>
      </c>
      <c r="BC74" s="2" t="e">
        <f ca="1">_xll.BDH($C$53,"TOTAL_CAPITAL_5_YEAR_GROWTH","FQ1 2018","FQ1 2018","Currency=INR","Period=FQ","BEST_FPERIOD_OVERRIDE=FQ","FILING_STATUS=OR","EQY_CONSOLIDATED=Y","Sort=A","Dates=H","DateFormat=P","Fill=—","Direction=H","UseDPDF=Y")</f>
        <v>#NAME?</v>
      </c>
      <c r="BD74" s="2" t="e">
        <f ca="1">_xll.BDH($C$53,"GEO_GROW_BOOK_VAL","FQ1 2018","FQ1 2018","Currency=INR","Period=FQ","BEST_FPERIOD_OVERRIDE=FQ","FILING_STATUS=OR","EQY_CONSOLIDATED=Y","Sort=A","Dates=H","DateFormat=P","Fill=—","Direction=H","UseDPDF=Y")</f>
        <v>#NAME?</v>
      </c>
      <c r="BE74" s="2" t="e">
        <f ca="1">_xll.BDH($C$53,"GEO_GROW_CASH_OPER_ACT","FQ1 2018","FQ1 2018","Currency=INR","Period=FQ","BEST_FPERIOD_OVERRIDE=FQ","FILING_STATUS=OR","EQY_CONSOLIDATED=Y","Sort=A","Dates=H","DateFormat=P","Fill=—","Direction=H","UseDPDF=Y")</f>
        <v>#NAME?</v>
      </c>
      <c r="BF74" s="2" t="e">
        <f ca="1">_xll.BDH($C$53,"REVENUE_SEQUENTIAL_GROWTH","FQ1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74" s="2" t="e">
        <f ca="1">_xll.BDH($C$53,"EBITDA_SEQUENTIAL_GROWTH","FQ1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74" s="2" t="e">
        <f ca="1">_xll.BDH($C$53,"OPERATING_INCOME_SEQ_GROWTH","FQ1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74" s="2" t="e">
        <f ca="1">_xll.BDH($C$53,"NET_INCOME_TO_COMMON_SEQ_GROWTH","FQ1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74" s="2" t="e">
        <f ca="1">_xll.BDH($C$53,"EPS_DILUTED_SEQUENTIAL_GROWTH","FQ1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74" s="2" t="e">
        <f ca="1">_xll.BDH($C$53,"DPS_SEQUENTIAL_GROWTH","FQ1 2018","FQ1 2018","Currency=INR","Period=FQ","BEST_FPERIOD_OVERRIDE=FQ","FILING_STATUS=OR","EQY_CONSOLIDATED=Y","Sort=A","Dates=H","DateFormat=P","Fill=—","Direction=H","UseDPDF=Y")</f>
        <v>#NAME?</v>
      </c>
      <c r="BL74" s="2" t="e">
        <f ca="1">_xll.BDH($C$53,"ACCOUNTS_RECEIVABLE_SEQ_GROWTH","FQ1 2018","FQ1 2018","Currency=INR","Period=FQ","BEST_FPERIOD_OVERRIDE=FQ","FILING_STATUS=OR","EQY_CONSOLIDATED=Y","Sort=A","Dates=H","DateFormat=P","Fill=—","Direction=H","UseDPDF=Y")</f>
        <v>#NAME?</v>
      </c>
      <c r="BM74" s="2" t="e">
        <f ca="1">_xll.BDH($C$53,"INVENTORY_SEQUENTIAL_GROWTH","FQ1 2018","FQ1 2018","Currency=INR","Period=FQ","BEST_FPERIOD_OVERRIDE=FQ","FILING_STATUS=OR","EQY_CONSOLIDATED=Y","Sort=A","Dates=H","DateFormat=P","Fill=—","Direction=H","UseDPDF=Y")</f>
        <v>#NAME?</v>
      </c>
      <c r="BN74" s="2" t="e">
        <f ca="1">_xll.BDH($C$53,"FIXED_ASSETS_SEQUENTIAL_GROWTH","FQ1 2018","FQ1 2018","Currency=INR","Period=FQ","BEST_FPERIOD_OVERRIDE=FQ","FILING_STATUS=OR","EQY_CONSOLIDATED=Y","Sort=A","Dates=H","DateFormat=P","Fill=—","Direction=H","UseDPDF=Y")</f>
        <v>#NAME?</v>
      </c>
      <c r="BO74" s="2" t="e">
        <f ca="1">_xll.BDH($C$53,"TOTAL_ASSETS_SEQUENTIAL_GROWTH","FQ1 2018","FQ1 2018","Currency=INR","Period=FQ","BEST_FPERIOD_OVERRIDE=FQ","FILING_STATUS=OR","EQY_CONSOLIDATED=Y","Sort=A","Dates=H","DateFormat=P","Fill=—","Direction=H","UseDPDF=Y")</f>
        <v>#NAME?</v>
      </c>
      <c r="BP74" s="2" t="e">
        <f ca="1">_xll.BDH($C$53,"MODIFIED_WORKING_CPTL_SEQ_GRWTH","FQ1 2018","FQ1 2018","Currency=INR","Period=FQ","BEST_FPERIOD_OVERRIDE=FQ","FILING_STATUS=OR","EQY_CONSOLIDATED=Y","Sort=A","Dates=H","DateFormat=P","Fill=—","Direction=H","UseDPDF=Y")</f>
        <v>#NAME?</v>
      </c>
      <c r="BQ74" s="2" t="e">
        <f ca="1">_xll.BDH($C$53,"WORKING_CAPITAL_SEQ_GROWTH","FQ1 2018","FQ1 2018","Currency=INR","Period=FQ","BEST_FPERIOD_OVERRIDE=FQ","FILING_STATUS=OR","EQY_CONSOLIDATED=Y","Sort=A","Dates=H","DateFormat=P","Fill=—","Direction=H","UseDPDF=Y")</f>
        <v>#NAME?</v>
      </c>
      <c r="BR74" s="2" t="e">
        <f ca="1">_xll.BDH($C$53,"ACCOUNTS_PAYABLE_SEQ_GROWTH","FQ1 2018","FQ1 2018","Currency=INR","Period=FQ","BEST_FPERIOD_OVERRIDE=FQ","FILING_STATUS=OR","EQY_CONSOLIDATED=Y","Sort=A","Dates=H","DateFormat=P","Fill=—","Direction=H","UseDPDF=Y")</f>
        <v>#NAME?</v>
      </c>
      <c r="BS74" s="2" t="e">
        <f ca="1">_xll.BDH($C$53,"ST_DEBT_SEQUENTIAL_GROWTH","FQ1 2018","FQ1 2018","Currency=INR","Period=FQ","BEST_FPERIOD_OVERRIDE=FQ","FILING_STATUS=OR","EQY_CONSOLIDATED=Y","Sort=A","Dates=H","DateFormat=P","Fill=—","Direction=H","UseDPDF=Y")</f>
        <v>#NAME?</v>
      </c>
      <c r="BT74" s="2" t="e">
        <f ca="1">_xll.BDH($C$53,"TOTAL_DEBT_SEQUENTIAL_GROWTH","FQ1 2018","FQ1 2018","Currency=INR","Period=FQ","BEST_FPERIOD_OVERRIDE=FQ","FILING_STATUS=OR","EQY_CONSOLIDATED=Y","Sort=A","Dates=H","DateFormat=P","Fill=—","Direction=H","UseDPDF=Y")</f>
        <v>#NAME?</v>
      </c>
      <c r="BU74" s="2" t="e">
        <f ca="1">_xll.BDH($C$53,"TOTAL_EQUITY_SEQUENTIAL_GROWTH","FQ1 2018","FQ1 2018","Currency=INR","Period=FQ","BEST_FPERIOD_OVERRIDE=FQ","FILING_STATUS=OR","EQY_CONSOLIDATED=Y","Sort=A","Dates=H","DateFormat=P","Fill=—","Direction=H","UseDPDF=Y")</f>
        <v>#NAME?</v>
      </c>
      <c r="BV74" s="2" t="e">
        <f ca="1">_xll.BDH($C$53,"TOTAL_CAPITAL_SEQUENTIAL_GROWTH","FQ1 2018","FQ1 2018","Currency=INR","Period=FQ","BEST_FPERIOD_OVERRIDE=FQ","FILING_STATUS=OR","EQY_CONSOLIDATED=Y","Sort=A","Dates=H","DateFormat=P","Fill=—","Direction=H","UseDPDF=Y")</f>
        <v>#NAME?</v>
      </c>
      <c r="BW74" s="2" t="e">
        <f ca="1">_xll.BDH($C$53,"BPS_SEQUENTIAL_GROWTH","FQ1 2018","FQ1 2018","Currency=INR","Period=FQ","BEST_FPERIOD_OVERRIDE=FQ","FILING_STATUS=OR","EQY_CONSOLIDATED=Y","Sort=A","Dates=H","DateFormat=P","Fill=—","Direction=H","UseDPDF=Y")</f>
        <v>#NAME?</v>
      </c>
      <c r="BX74" s="2" t="e">
        <f ca="1">_xll.BDH($C$53,"CFO_SEQUENTIAL_GROWTH","FQ1 2018","FQ1 2018","Currency=INR","Period=FQ","BEST_FPERIOD_OVERRIDE=FQ","FILING_STATUS=OR","EQY_CONSOLIDATED=Y","Sort=A","Dates=H","DateFormat=P","Fill=—","Direction=H","UseDPDF=Y")</f>
        <v>#NAME?</v>
      </c>
      <c r="BY74" s="3" t="e">
        <f ca="1">_xll.BDH($C$53,"SHORT_AND_LONG_TERM_DEBT","FQ1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74" s="3" t="e">
        <f ca="1">_xll.BDH($C$53,"BS_ST_BORROW","FQ1 2018","FQ1 2018","Currency=INR","Period=FQ","BEST_FPERIOD_OVERRIDE=FQ","FILING_STATUS=OR","EQY_CONSOLIDATED=Y","SCALING_FORMAT=MLN","Sort=A","Dates=H","DateFormat=P","Fill=—","Direction=H","UseDPDF=Y")</f>
        <v>#NAME?</v>
      </c>
      <c r="CA74" s="3" t="e">
        <f ca="1">_xll.BDH($C$53,"BS_LT_BORROW","FQ1 2018","FQ1 2018","Currency=INR","Period=FQ","BEST_FPERIOD_OVERRIDE=FQ","FILING_STATUS=OR","EQY_CONSOLIDATED=Y","SCALING_FORMAT=MLN","Sort=A","Dates=H","DateFormat=P","Fill=—","Direction=H","UseDPDF=Y")</f>
        <v>#NAME?</v>
      </c>
      <c r="CB74" s="2" t="e">
        <f ca="1">_xll.BDH($C$53,"TOT_DEBT_TO_EBITDA","FQ1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74" s="2" t="e">
        <f ca="1">_xll.BDH($C$53,"NET_DEBT_TO_EBITDA","FQ1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74" s="2" t="e">
        <f ca="1">_xll.BDH($C$53,"TOTAL_DEBT_TO_EBIT","FQ1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74" s="2" t="e">
        <f ca="1">_xll.BDH($C$53,"NET_DEBT_TO_EBIT","FQ1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74" s="2" t="e">
        <f ca="1">_xll.BDH($C$53,"EBITDA_TO_INTEREST_EXPN","FQ1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74" s="2" t="e">
        <f ca="1">_xll.BDH($C$53,"COM_EQY_TO_TOT_ASSET","FQ1 2018","FQ1 2018","Currency=INR","Period=FQ","BEST_FPERIOD_OVERRIDE=FQ","FILING_STATUS=OR","EQY_CONSOLIDATED=Y","Sort=A","Dates=H","DateFormat=P","Fill=—","Direction=H","UseDPDF=Y")</f>
        <v>#NAME?</v>
      </c>
      <c r="CH74" s="2" t="e">
        <f ca="1">_xll.BDH($C$53,"LT_DEBT_TO_TOT_EQY","FQ1 2018","FQ1 2018","Currency=INR","Period=FQ","BEST_FPERIOD_OVERRIDE=FQ","FILING_STATUS=OR","EQY_CONSOLIDATED=Y","Sort=A","Dates=H","DateFormat=P","Fill=—","Direction=H","UseDPDF=Y")</f>
        <v>#NAME?</v>
      </c>
      <c r="CI74" s="2" t="e">
        <f ca="1">_xll.BDH($C$53,"LT_DEBT_TO_TOT_CAP","FQ1 2018","FQ1 2018","Currency=INR","Period=FQ","BEST_FPERIOD_OVERRIDE=FQ","FILING_STATUS=OR","EQY_CONSOLIDATED=Y","Sort=A","Dates=H","DateFormat=P","Fill=—","Direction=H","UseDPDF=Y")</f>
        <v>#NAME?</v>
      </c>
      <c r="CJ74" s="2" t="e">
        <f ca="1">_xll.BDH($C$53,"LT_DEBT_TO_TOT_ASSET","FQ1 2018","FQ1 2018","Currency=INR","Period=FQ","BEST_FPERIOD_OVERRIDE=FQ","FILING_STATUS=OR","EQY_CONSOLIDATED=Y","Sort=A","Dates=H","DateFormat=P","Fill=—","Direction=H","UseDPDF=Y")</f>
        <v>#NAME?</v>
      </c>
      <c r="CK74" s="2" t="e">
        <f ca="1">_xll.BDH($C$53,"TOT_DEBT_TO_TOT_EQY","FQ1 2018","FQ1 2018","Currency=INR","Period=FQ","BEST_FPERIOD_OVERRIDE=FQ","FILING_STATUS=OR","EQY_CONSOLIDATED=Y","Sort=A","Dates=H","DateFormat=P","Fill=—","Direction=H","UseDPDF=Y")</f>
        <v>#NAME?</v>
      </c>
      <c r="CL74" s="2" t="e">
        <f ca="1">_xll.BDH($C$53,"TOT_DEBT_TO_TOT_CAP","FQ1 2018","FQ1 2018","Currency=INR","Period=FQ","BEST_FPERIOD_OVERRIDE=FQ","FILING_STATUS=OR","EQY_CONSOLIDATED=Y","Sort=A","Dates=H","DateFormat=P","Fill=—","Direction=H","UseDPDF=Y")</f>
        <v>#NAME?</v>
      </c>
      <c r="CM74" s="2" t="e">
        <f ca="1">_xll.BDH($C$53,"TOT_DEBT_TO_TOT_ASSET","FQ1 2018","FQ1 2018","Currency=INR","Period=FQ","BEST_FPERIOD_OVERRIDE=FQ","FILING_STATUS=OR","EQY_CONSOLIDATED=Y","Sort=A","Dates=H","DateFormat=P","Fill=—","Direction=H","UseDPDF=Y")</f>
        <v>#NAME?</v>
      </c>
      <c r="CN74" s="2" t="e">
        <f ca="1">_xll.BDH($C$53,"NET_DEBT_TO_SHRHLDR_EQTY","FQ1 2018","FQ1 2018","Currency=INR","Period=FQ","BEST_FPERIOD_OVERRIDE=FQ","FILING_STATUS=OR","EQY_CONSOLIDATED=Y","Sort=A","Dates=H","DateFormat=P","Fill=—","Direction=H","UseDPDF=Y")</f>
        <v>#NAME?</v>
      </c>
      <c r="CO74" s="2" t="e">
        <f ca="1">_xll.BDH($C$53,"NET_DEBT_%_CAPITAL","FQ1 2018","FQ1 2018","Currency=INR","Period=FQ","BEST_FPERIOD_OVERRIDE=FQ","FILING_STATUS=OR","EQY_CONSOLIDATED=Y","Sort=A","Dates=H","DateFormat=P","Fill=—","Direction=H","UseDPDF=Y")</f>
        <v>#NAME?</v>
      </c>
      <c r="CP74" s="3" t="e">
        <f ca="1">_xll.BDH($C$53,"EBITDA","FQ1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74" s="3" t="e">
        <f ca="1">_xll.BDH($C$53,"EBITDA_AFTER_CAPEX","FQ1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74" s="3" t="e">
        <f ca="1">_xll.BDH($C$53,"IS_OPER_INC","FQ1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74" s="2" t="e">
        <f ca="1">_xll.BDH($C$53,"CASH_RATIO","FQ1 2018","FQ1 2018","Currency=INR","Period=FQ","BEST_FPERIOD_OVERRIDE=FQ","FILING_STATUS=OR","EQY_CONSOLIDATED=Y","Sort=A","Dates=H","DateFormat=P","Fill=—","Direction=H","UseDPDF=Y")</f>
        <v>#NAME?</v>
      </c>
      <c r="CT74" s="2" t="e">
        <f ca="1">_xll.BDH($C$53,"CUR_RATIO","FQ1 2018","FQ1 2018","Currency=INR","Period=FQ","BEST_FPERIOD_OVERRIDE=FQ","FILING_STATUS=OR","EQY_CONSOLIDATED=Y","Sort=A","Dates=H","DateFormat=P","Fill=—","Direction=H","UseDPDF=Y")</f>
        <v>#NAME?</v>
      </c>
      <c r="CU74" s="2" t="e">
        <f ca="1">_xll.BDH($C$53,"QUICK_RATIO","FQ1 2018","FQ1 2018","Currency=INR","Period=FQ","BEST_FPERIOD_OVERRIDE=FQ","FILING_STATUS=OR","EQY_CONSOLIDATED=Y","Sort=A","Dates=H","DateFormat=P","Fill=—","Direction=H","UseDPDF=Y")</f>
        <v>#NAME?</v>
      </c>
      <c r="CV74" s="2" t="e">
        <f ca="1">_xll.BDH($C$53,"ALTMAN_Z_SCORE","FQ1 2018","FQ1 2018","Currency=INR","Period=FQ","BEST_FPERIOD_OVERRIDE=FQ","FILING_STATUS=OR","EQY_CONSOLIDATED=Y","Sort=A","Dates=H","DateFormat=P","Fill=—","Direction=H","UseDPDF=Y")</f>
        <v>#NAME?</v>
      </c>
      <c r="CW74" s="4" t="e">
        <f ca="1">_xll.BDH($C$53,"ACCT_RCV_TURN","FQ1 2018","FQ1 2018","Currency=INR","Period=FQ","BEST_FPERIOD_OVERRIDE=FQ","FILING_STATUS=OR","EQY_CONSOLIDATED=Y","FA_ADJUSTED=GAAP","Sort=A","Dates=H","DateFormat=P","Fill=—","Direction=H","UseDPDF=Y")</f>
        <v>#NAME?</v>
      </c>
      <c r="CX74" s="2" t="e">
        <f ca="1">_xll.BDH($C$53,"ACCT_RCV_DAYS","FQ1 2018","FQ1 2018","Currency=INR","Period=FQ","BEST_FPERIOD_OVERRIDE=FQ","FILING_STATUS=OR","EQY_CONSOLIDATED=Y","FA_ADJUSTED=GAAP","Sort=A","Dates=H","DateFormat=P","Fill=—","Direction=H","UseDPDF=Y")</f>
        <v>#NAME?</v>
      </c>
      <c r="CY74" s="4" t="e">
        <f ca="1">_xll.BDH($C$53,"INVENT_TURN","FQ1 2018","FQ1 2018","Currency=INR","Period=FQ","BEST_FPERIOD_OVERRIDE=FQ","FILING_STATUS=OR","EQY_CONSOLIDATED=Y","FA_ADJUSTED=GAAP","Sort=A","Dates=H","DateFormat=P","Fill=—","Direction=H","UseDPDF=Y")</f>
        <v>#NAME?</v>
      </c>
      <c r="CZ74" s="2" t="e">
        <f ca="1">_xll.BDH($C$53,"INVENT_DAYS","FQ1 2018","FQ1 2018","Currency=INR","Period=FQ","BEST_FPERIOD_OVERRIDE=FQ","FILING_STATUS=OR","EQY_CONSOLIDATED=Y","FA_ADJUSTED=GAAP","Sort=A","Dates=H","DateFormat=P","Fill=—","Direction=H","UseDPDF=Y")</f>
        <v>#NAME?</v>
      </c>
      <c r="DA74" s="4" t="e">
        <f ca="1">_xll.BDH($C$53,"ACCOUNTS_PAYABLE_TURNOVER","FQ1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74" s="2" t="e">
        <f ca="1">_xll.BDH($C$53,"ACCOUNTS_PAYABLE_TURNOVER_DAYS","FQ1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74" s="4" t="e">
        <f ca="1">_xll.BDH($C$53,"CASH_CONVERSION_CYCLE","FQ1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74" s="4" t="e">
        <f ca="1">_xll.BDH($C$53,"INV_TO_CASH_DAYS","FQ1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74" s="5" t="e">
        <f ca="1">_xll.BDH($C$53,"BS_INVENTORIES","FQ1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74" s="3" t="e">
        <f ca="1">_xll.BDH($C$53,"INVTRY_RAW_MATERIALS","FQ1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74" s="3" t="e">
        <f ca="1">_xll.BDH($C$53,"INVTRY_IN_PROGRESS","FQ1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74" s="3" t="e">
        <f ca="1">_xll.BDH($C$53,"INVTRY_FINISHED_GOODS","FQ1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74" s="3" t="e">
        <f ca="1">_xll.BDH($C$53,"BS_OTHER_INV","FQ1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75" spans="1:113" x14ac:dyDescent="0.3">
      <c r="A75" s="6"/>
      <c r="B75" s="6"/>
      <c r="C75" s="6"/>
      <c r="D75" s="6"/>
      <c r="E75" t="s">
        <v>79</v>
      </c>
      <c r="F75" t="e">
        <f ca="1">_xll.BDH($C$53,"RETURN_COM_EQY","FQ2 2018","FQ2 2018","Currency=INR","Period=FQ","BEST_FPERIOD_OVERRIDE=FQ","FILING_STATUS=OR","EQY_CONSOLIDATED=Y","FA_ADJUSTED=GAAP","Sort=A","Dates=H","DateFormat=P","Fill=—","Direction=H","UseDPDF=Y")</f>
        <v>#NAME?</v>
      </c>
      <c r="G75" t="e">
        <f ca="1">_xll.BDH($C$53,"RETURN_ON_ASSET","FQ2 2018","FQ2 2018","Currency=INR","Period=FQ","BEST_FPERIOD_OVERRIDE=FQ","FILING_STATUS=OR","EQY_CONSOLIDATED=Y","FA_ADJUSTED=GAAP","Sort=A","Dates=H","DateFormat=P","Fill=—","Direction=H","UseDPDF=Y")</f>
        <v>#NAME?</v>
      </c>
      <c r="H75" t="e">
        <f ca="1">_xll.BDH($C$53,"RETURN_ON_CAP","FQ2 2018","FQ2 2018","Currency=INR","Period=FQ","BEST_FPERIOD_OVERRIDE=FQ","FILING_STATUS=OR","EQY_CONSOLIDATED=Y","FA_ADJUSTED=GAAP","Sort=A","Dates=H","DateFormat=P","Fill=—","Direction=H","UseDPDF=Y")</f>
        <v>#NAME?</v>
      </c>
      <c r="I75" t="e">
        <f ca="1">_xll.BDH($C$53,"RETURN_ON_INV_CAPITAL","FQ2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75" t="e">
        <f ca="1">_xll.BDH($C$53,"EBITDA_TO_REVENUE","FQ2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75" t="e">
        <f ca="1">_xll.BDH($C$53,"OPER_MARGIN","FQ2 2018","FQ2 2018","Currency=INR","Period=FQ","BEST_FPERIOD_OVERRIDE=FQ","FILING_STATUS=OR","EQY_CONSOLIDATED=Y","FA_ADJUSTED=GAAP","Sort=A","Dates=H","DateFormat=P","Fill=—","Direction=H","UseDPDF=Y")</f>
        <v>#NAME?</v>
      </c>
      <c r="L75" t="e">
        <f ca="1">_xll.BDH($C$53,"INCREMENTAL_OPERATING_MARGIN","FQ2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75" t="e">
        <f ca="1">_xll.BDH($C$53,"PRETAX_INC_TO_NET_SALES","FQ2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75" t="e">
        <f ca="1">_xll.BDH($C$53,"INC_BEF_XO_ITEMS_TO_NET_SALES","FQ2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75" t="e">
        <f ca="1">_xll.BDH($C$53,"PROF_MARGIN","FQ2 2018","FQ2 2018","Currency=INR","Period=FQ","BEST_FPERIOD_OVERRIDE=FQ","FILING_STATUS=OR","EQY_CONSOLIDATED=Y","FA_ADJUSTED=GAAP","Sort=A","Dates=H","DateFormat=P","Fill=—","Direction=H","UseDPDF=Y")</f>
        <v>#NAME?</v>
      </c>
      <c r="P75" t="e">
        <f ca="1">_xll.BDH($C$53,"NET_INCOME_TO_COMMON_MARGIN","FQ2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75" t="e">
        <f ca="1">_xll.BDH($C$53,"EFF_TAX_RATE","FQ2 2018","FQ2 2018","Currency=INR","Period=FQ","BEST_FPERIOD_OVERRIDE=FQ","FILING_STATUS=OR","EQY_CONSOLIDATED=Y","FA_ADJUSTED=GAAP","Sort=A","Dates=H","DateFormat=P","Fill=—","Direction=H","UseDPDF=Y")</f>
        <v>#NAME?</v>
      </c>
      <c r="R75" t="e">
        <f ca="1">_xll.BDH($C$53,"DVD_PAYOUT_RATIO","FQ2 2018","FQ2 2018","Currency=INR","Period=FQ","BEST_FPERIOD_OVERRIDE=FQ","FILING_STATUS=OR","EQY_CONSOLIDATED=Y","FA_ADJUSTED=GAAP","Sort=A","Dates=H","DateFormat=P","Fill=—","Direction=H","UseDPDF=Y")</f>
        <v>#NAME?</v>
      </c>
      <c r="S75" t="e">
        <f ca="1">_xll.BDH($C$53,"SUSTAIN_GROWTH_RT","FQ2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75" s="2" t="e">
        <f ca="1">_xll.BDH($C$53,"SALES_GROWTH","FQ2 2018","FQ2 2018","Currency=INR","Period=FQ","BEST_FPERIOD_OVERRIDE=FQ","FILING_STATUS=OR","EQY_CONSOLIDATED=Y","FA_ADJUSTED=GAAP","Sort=A","Dates=H","DateFormat=P","Fill=—","Direction=H","UseDPDF=Y")</f>
        <v>#NAME?</v>
      </c>
      <c r="U75" s="2" t="e">
        <f ca="1">_xll.BDH($C$53,"EBITDA_GROWTH","FQ2 2018","FQ2 2018","Currency=INR","Period=FQ","BEST_FPERIOD_OVERRIDE=FQ","FILING_STATUS=OR","EQY_CONSOLIDATED=Y","FA_ADJUSTED=GAAP","Sort=A","Dates=H","DateFormat=P","Fill=—","Direction=H","UseDPDF=Y")</f>
        <v>#NAME?</v>
      </c>
      <c r="V75" s="2" t="e">
        <f ca="1">_xll.BDH($C$53,"OPER_INC_GROWTH","FQ2 2018","FQ2 2018","Currency=INR","Period=FQ","BEST_FPERIOD_OVERRIDE=FQ","FILING_STATUS=OR","EQY_CONSOLIDATED=Y","FA_ADJUSTED=GAAP","Sort=A","Dates=H","DateFormat=P","Fill=—","Direction=H","UseDPDF=Y")</f>
        <v>#NAME?</v>
      </c>
      <c r="W75" s="2" t="e">
        <f ca="1">_xll.BDH($C$53,"EARN_FOR_COM_GROWTH","FQ2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75" s="2" t="e">
        <f ca="1">_xll.BDH($C$53,"DILUTED_EPS_AFT_XO_ITEMS_GROWTH","FQ2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75" s="2" t="e">
        <f ca="1">_xll.BDH($C$53,"DIVIDEND_PER_SHARE_1_YEAR_GROWTH","FQ2 2018","FQ2 2018","Currency=INR","Period=FQ","BEST_FPERIOD_OVERRIDE=FQ","FILING_STATUS=OR","EQY_CONSOLIDATED=Y","Sort=A","Dates=H","DateFormat=P","Fill=—","Direction=H","UseDPDF=Y")</f>
        <v>#NAME?</v>
      </c>
      <c r="Z75" s="2" t="e">
        <f ca="1">_xll.BDH($C$53,"ACCOUNTS_RECEIVABLE_GROWTH","FQ2 2018","FQ2 2018","Currency=INR","Period=FQ","BEST_FPERIOD_OVERRIDE=FQ","FILING_STATUS=OR","EQY_CONSOLIDATED=Y","Sort=A","Dates=H","DateFormat=P","Fill=—","Direction=H","UseDPDF=Y")</f>
        <v>#NAME?</v>
      </c>
      <c r="AA75" s="2" t="e">
        <f ca="1">_xll.BDH($C$53,"INVENTORY_GROWTH","FQ2 2018","FQ2 2018","Currency=INR","Period=FQ","BEST_FPERIOD_OVERRIDE=FQ","FILING_STATUS=OR","EQY_CONSOLIDATED=Y","Sort=A","Dates=H","DateFormat=P","Fill=—","Direction=H","UseDPDF=Y")</f>
        <v>#NAME?</v>
      </c>
      <c r="AB75" s="2" t="e">
        <f ca="1">_xll.BDH($C$53,"NET_FIXED_ASSETS_1_YEAR_GROWTH","FQ2 2018","FQ2 2018","Currency=INR","Period=FQ","BEST_FPERIOD_OVERRIDE=FQ","FILING_STATUS=OR","EQY_CONSOLIDATED=Y","Sort=A","Dates=H","DateFormat=P","Fill=—","Direction=H","UseDPDF=Y")</f>
        <v>#NAME?</v>
      </c>
      <c r="AC75" s="2" t="e">
        <f ca="1">_xll.BDH($C$53,"ASSET_GROWTH","FQ2 2018","FQ2 2018","Currency=INR","Period=FQ","BEST_FPERIOD_OVERRIDE=FQ","FILING_STATUS=OR","EQY_CONSOLIDATED=Y","Sort=A","Dates=H","DateFormat=P","Fill=—","Direction=H","UseDPDF=Y")</f>
        <v>#NAME?</v>
      </c>
      <c r="AD75" s="2" t="e">
        <f ca="1">_xll.BDH($C$53,"MODIFIED_WORK_CAP_GROWTH","FQ2 2018","FQ2 2018","Currency=INR","Period=FQ","BEST_FPERIOD_OVERRIDE=FQ","FILING_STATUS=OR","EQY_CONSOLIDATED=Y","Sort=A","Dates=H","DateFormat=P","Fill=—","Direction=H","UseDPDF=Y")</f>
        <v>#NAME?</v>
      </c>
      <c r="AE75" s="2" t="e">
        <f ca="1">_xll.BDH($C$53,"WORK_CAP_GROWTH","FQ2 2018","FQ2 2018","Currency=INR","Period=FQ","BEST_FPERIOD_OVERRIDE=FQ","FILING_STATUS=OR","EQY_CONSOLIDATED=Y","Sort=A","Dates=H","DateFormat=P","Fill=—","Direction=H","UseDPDF=Y")</f>
        <v>#NAME?</v>
      </c>
      <c r="AF75" s="2" t="e">
        <f ca="1">_xll.BDH($C$53,"ACCOUNTS_PAYABLE_GROWTH_1YR","FQ2 2018","FQ2 2018","Currency=INR","Period=FQ","BEST_FPERIOD_OVERRIDE=FQ","FILING_STATUS=OR","EQY_CONSOLIDATED=Y","Sort=A","Dates=H","DateFormat=P","Fill=—","Direction=H","UseDPDF=Y")</f>
        <v>#NAME?</v>
      </c>
      <c r="AG75" s="2" t="e">
        <f ca="1">_xll.BDH($C$53,"SHORT_TERM_DEBT_1_YEAR_GROWTH","FQ2 2018","FQ2 2018","Currency=INR","Period=FQ","BEST_FPERIOD_OVERRIDE=FQ","FILING_STATUS=OR","EQY_CONSOLIDATED=Y","Sort=A","Dates=H","DateFormat=P","Fill=—","Direction=H","UseDPDF=Y")</f>
        <v>#NAME?</v>
      </c>
      <c r="AH75" s="2" t="e">
        <f ca="1">_xll.BDH($C$53,"TOTAL_DEBT_1_YEAR_GROWTH","FQ2 2018","FQ2 2018","Currency=INR","Period=FQ","BEST_FPERIOD_OVERRIDE=FQ","FILING_STATUS=OR","EQY_CONSOLIDATED=Y","Sort=A","Dates=H","DateFormat=P","Fill=—","Direction=H","UseDPDF=Y")</f>
        <v>#NAME?</v>
      </c>
      <c r="AI75" s="2" t="e">
        <f ca="1">_xll.BDH($C$53,"TOTAL_EQUITY_1_YEAR_GROWTH","FQ2 2018","FQ2 2018","Currency=INR","Period=FQ","BEST_FPERIOD_OVERRIDE=FQ","FILING_STATUS=OR","EQY_CONSOLIDATED=Y","Sort=A","Dates=H","DateFormat=P","Fill=—","Direction=H","UseDPDF=Y")</f>
        <v>#NAME?</v>
      </c>
      <c r="AJ75" s="2" t="e">
        <f ca="1">_xll.BDH($C$53,"GROWTH_IN_CAP","FQ2 2018","FQ2 2018","Currency=INR","Period=FQ","BEST_FPERIOD_OVERRIDE=FQ","FILING_STATUS=OR","EQY_CONSOLIDATED=Y","Sort=A","Dates=H","DateFormat=P","Fill=—","Direction=H","UseDPDF=Y")</f>
        <v>#NAME?</v>
      </c>
      <c r="AK75" s="2" t="e">
        <f ca="1">_xll.BDH($C$53,"BVPS_GROWTH","FQ2 2018","FQ2 2018","Currency=INR","Period=FQ","BEST_FPERIOD_OVERRIDE=FQ","FILING_STATUS=OR","EQY_CONSOLIDATED=Y","Sort=A","Dates=H","DateFormat=P","Fill=—","Direction=H","UseDPDF=Y")</f>
        <v>#NAME?</v>
      </c>
      <c r="AL75" s="2" t="e">
        <f ca="1">_xll.BDH($C$53,"CASH_FLOW_GROWTH","FQ2 2018","FQ2 2018","Currency=INR","Period=FQ","BEST_FPERIOD_OVERRIDE=FQ","FILING_STATUS=OR","EQY_CONSOLIDATED=Y","Sort=A","Dates=H","DateFormat=P","Fill=—","Direction=H","UseDPDF=Y")</f>
        <v>#NAME?</v>
      </c>
      <c r="AM75" s="2" t="e">
        <f ca="1">_xll.BDH($C$53,"GEO_GROW_NET_SALES","FQ2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75" s="2" t="e">
        <f ca="1">_xll.BDH($C$53,"GEO_GROW_EBITDA","FQ2 2018","FQ2 2018","Currency=INR","Period=FQ","BEST_FPERIOD_OVERRIDE=FQ","FILING_STATUS=OR","EQY_CONSOLIDATED=Y","FA_ADJUSTED=GAAP","Sort=A","Dates=H","DateFormat=P","Fill=—","Direction=H","UseDPDF=Y")</f>
        <v>#NAME?</v>
      </c>
      <c r="AO75" s="2" t="e">
        <f ca="1">_xll.BDH($C$53,"GEO_GROW_OPER_INC","FQ2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75" s="2" t="e">
        <f ca="1">_xll.BDH($C$53,"NET_INCOME_TO_COMMON_5_YR_GROWTH","FQ2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75" s="2" t="e">
        <f ca="1">_xll.BDH($C$53,"5Y_GEO_GROWTH_DILUTED_EPS","FQ2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75" s="2" t="e">
        <f ca="1">_xll.BDH($C$53,"GEO_GROW_DVD_PER_SH","FQ2 2018","FQ2 2018","Currency=INR","Period=FQ","BEST_FPERIOD_OVERRIDE=FQ","FILING_STATUS=OR","EQY_CONSOLIDATED=Y","Sort=A","Dates=H","DateFormat=P","Fill=—","Direction=H","UseDPDF=Y")</f>
        <v>#NAME?</v>
      </c>
      <c r="AS75" s="2" t="e">
        <f ca="1">_xll.BDH($C$53,"ACCOUNTS_RECEIVABLE_5_YR_GROWTH","FQ2 2018","FQ2 2018","Currency=INR","Period=FQ","BEST_FPERIOD_OVERRIDE=FQ","FILING_STATUS=OR","EQY_CONSOLIDATED=Y","Sort=A","Dates=H","DateFormat=P","Fill=—","Direction=H","UseDPDF=Y")</f>
        <v>#NAME?</v>
      </c>
      <c r="AT75" s="2" t="e">
        <f ca="1">_xll.BDH($C$53,"INVENTORY_5_YEAR_GROWTH","FQ2 2018","FQ2 2018","Currency=INR","Period=FQ","BEST_FPERIOD_OVERRIDE=FQ","FILING_STATUS=OR","EQY_CONSOLIDATED=Y","Sort=A","Dates=H","DateFormat=P","Fill=—","Direction=H","UseDPDF=Y")</f>
        <v>#NAME?</v>
      </c>
      <c r="AU75" s="2" t="e">
        <f ca="1">_xll.BDH($C$53,"NET_FIXED_ASSETS_5_YEAR_GROWTH","FQ2 2018","FQ2 2018","Currency=INR","Period=FQ","BEST_FPERIOD_OVERRIDE=FQ","FILING_STATUS=OR","EQY_CONSOLIDATED=Y","Sort=A","Dates=H","DateFormat=P","Fill=—","Direction=H","UseDPDF=Y")</f>
        <v>#NAME?</v>
      </c>
      <c r="AV75" s="2" t="e">
        <f ca="1">_xll.BDH($C$53,"GEO_GROW_TOT_ASSET","FQ2 2018","FQ2 2018","Currency=INR","Period=FQ","BEST_FPERIOD_OVERRIDE=FQ","FILING_STATUS=OR","EQY_CONSOLIDATED=Y","Sort=A","Dates=H","DateFormat=P","Fill=—","Direction=H","UseDPDF=Y")</f>
        <v>#NAME?</v>
      </c>
      <c r="AW75" s="2" t="e">
        <f ca="1">_xll.BDH($C$53,"MODIFIED_WORKING_CPTL_5YR_GRWTH","FQ2 2018","FQ2 2018","Currency=INR","Period=FQ","BEST_FPERIOD_OVERRIDE=FQ","FILING_STATUS=OR","EQY_CONSOLIDATED=Y","Sort=A","Dates=H","DateFormat=P","Fill=—","Direction=H","UseDPDF=Y")</f>
        <v>#NAME?</v>
      </c>
      <c r="AX75" s="2" t="e">
        <f ca="1">_xll.BDH($C$53,"WORKING_CAPITAL_5_YEAR_GROWTH","FQ2 2018","FQ2 2018","Currency=INR","Period=FQ","BEST_FPERIOD_OVERRIDE=FQ","FILING_STATUS=OR","EQY_CONSOLIDATED=Y","Sort=A","Dates=H","DateFormat=P","Fill=—","Direction=H","UseDPDF=Y")</f>
        <v>#NAME?</v>
      </c>
      <c r="AY75" s="2" t="e">
        <f ca="1">_xll.BDH($C$53,"ACCOUNTS_PAYABLE_5_YEAR_GROWTH","FQ2 2018","FQ2 2018","Currency=INR","Period=FQ","BEST_FPERIOD_OVERRIDE=FQ","FILING_STATUS=OR","EQY_CONSOLIDATED=Y","Sort=A","Dates=H","DateFormat=P","Fill=—","Direction=H","UseDPDF=Y")</f>
        <v>#NAME?</v>
      </c>
      <c r="AZ75" s="2" t="e">
        <f ca="1">_xll.BDH($C$53,"SHORT_TERM_DEBT_5_YEAR_GROWTH","FQ2 2018","FQ2 2018","Currency=INR","Period=FQ","BEST_FPERIOD_OVERRIDE=FQ","FILING_STATUS=OR","EQY_CONSOLIDATED=Y","Sort=A","Dates=H","DateFormat=P","Fill=—","Direction=H","UseDPDF=Y")</f>
        <v>#NAME?</v>
      </c>
      <c r="BA75" s="2" t="e">
        <f ca="1">_xll.BDH($C$53,"TOTAL_DEBT_5_YEAR_GROWTH","FQ2 2018","FQ2 2018","Currency=INR","Period=FQ","BEST_FPERIOD_OVERRIDE=FQ","FILING_STATUS=OR","EQY_CONSOLIDATED=Y","Sort=A","Dates=H","DateFormat=P","Fill=—","Direction=H","UseDPDF=Y")</f>
        <v>#NAME?</v>
      </c>
      <c r="BB75" s="2" t="e">
        <f ca="1">_xll.BDH($C$53,"GEO_GROW_TOT_SHRHLDR_EQY","FQ2 2018","FQ2 2018","Currency=INR","Period=FQ","BEST_FPERIOD_OVERRIDE=FQ","FILING_STATUS=OR","EQY_CONSOLIDATED=Y","Sort=A","Dates=H","DateFormat=P","Fill=—","Direction=H","UseDPDF=Y")</f>
        <v>#NAME?</v>
      </c>
      <c r="BC75" s="2" t="e">
        <f ca="1">_xll.BDH($C$53,"TOTAL_CAPITAL_5_YEAR_GROWTH","FQ2 2018","FQ2 2018","Currency=INR","Period=FQ","BEST_FPERIOD_OVERRIDE=FQ","FILING_STATUS=OR","EQY_CONSOLIDATED=Y","Sort=A","Dates=H","DateFormat=P","Fill=—","Direction=H","UseDPDF=Y")</f>
        <v>#NAME?</v>
      </c>
      <c r="BD75" s="2" t="e">
        <f ca="1">_xll.BDH($C$53,"GEO_GROW_BOOK_VAL","FQ2 2018","FQ2 2018","Currency=INR","Period=FQ","BEST_FPERIOD_OVERRIDE=FQ","FILING_STATUS=OR","EQY_CONSOLIDATED=Y","Sort=A","Dates=H","DateFormat=P","Fill=—","Direction=H","UseDPDF=Y")</f>
        <v>#NAME?</v>
      </c>
      <c r="BE75" s="2" t="e">
        <f ca="1">_xll.BDH($C$53,"GEO_GROW_CASH_OPER_ACT","FQ2 2018","FQ2 2018","Currency=INR","Period=FQ","BEST_FPERIOD_OVERRIDE=FQ","FILING_STATUS=OR","EQY_CONSOLIDATED=Y","Sort=A","Dates=H","DateFormat=P","Fill=—","Direction=H","UseDPDF=Y")</f>
        <v>#NAME?</v>
      </c>
      <c r="BF75" s="2" t="e">
        <f ca="1">_xll.BDH($C$53,"REVENUE_SEQUENTIAL_GROWTH","FQ2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75" s="2" t="e">
        <f ca="1">_xll.BDH($C$53,"EBITDA_SEQUENTIAL_GROWTH","FQ2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75" s="2" t="e">
        <f ca="1">_xll.BDH($C$53,"OPERATING_INCOME_SEQ_GROWTH","FQ2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75" s="2" t="e">
        <f ca="1">_xll.BDH($C$53,"NET_INCOME_TO_COMMON_SEQ_GROWTH","FQ2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75" s="2" t="e">
        <f ca="1">_xll.BDH($C$53,"EPS_DILUTED_SEQUENTIAL_GROWTH","FQ2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75" s="2" t="e">
        <f ca="1">_xll.BDH($C$53,"DPS_SEQUENTIAL_GROWTH","FQ2 2018","FQ2 2018","Currency=INR","Period=FQ","BEST_FPERIOD_OVERRIDE=FQ","FILING_STATUS=OR","EQY_CONSOLIDATED=Y","Sort=A","Dates=H","DateFormat=P","Fill=—","Direction=H","UseDPDF=Y")</f>
        <v>#NAME?</v>
      </c>
      <c r="BL75" s="2" t="e">
        <f ca="1">_xll.BDH($C$53,"ACCOUNTS_RECEIVABLE_SEQ_GROWTH","FQ2 2018","FQ2 2018","Currency=INR","Period=FQ","BEST_FPERIOD_OVERRIDE=FQ","FILING_STATUS=OR","EQY_CONSOLIDATED=Y","Sort=A","Dates=H","DateFormat=P","Fill=—","Direction=H","UseDPDF=Y")</f>
        <v>#NAME?</v>
      </c>
      <c r="BM75" s="2" t="e">
        <f ca="1">_xll.BDH($C$53,"INVENTORY_SEQUENTIAL_GROWTH","FQ2 2018","FQ2 2018","Currency=INR","Period=FQ","BEST_FPERIOD_OVERRIDE=FQ","FILING_STATUS=OR","EQY_CONSOLIDATED=Y","Sort=A","Dates=H","DateFormat=P","Fill=—","Direction=H","UseDPDF=Y")</f>
        <v>#NAME?</v>
      </c>
      <c r="BN75" s="2" t="e">
        <f ca="1">_xll.BDH($C$53,"FIXED_ASSETS_SEQUENTIAL_GROWTH","FQ2 2018","FQ2 2018","Currency=INR","Period=FQ","BEST_FPERIOD_OVERRIDE=FQ","FILING_STATUS=OR","EQY_CONSOLIDATED=Y","Sort=A","Dates=H","DateFormat=P","Fill=—","Direction=H","UseDPDF=Y")</f>
        <v>#NAME?</v>
      </c>
      <c r="BO75" s="2" t="e">
        <f ca="1">_xll.BDH($C$53,"TOTAL_ASSETS_SEQUENTIAL_GROWTH","FQ2 2018","FQ2 2018","Currency=INR","Period=FQ","BEST_FPERIOD_OVERRIDE=FQ","FILING_STATUS=OR","EQY_CONSOLIDATED=Y","Sort=A","Dates=H","DateFormat=P","Fill=—","Direction=H","UseDPDF=Y")</f>
        <v>#NAME?</v>
      </c>
      <c r="BP75" s="2" t="e">
        <f ca="1">_xll.BDH($C$53,"MODIFIED_WORKING_CPTL_SEQ_GRWTH","FQ2 2018","FQ2 2018","Currency=INR","Period=FQ","BEST_FPERIOD_OVERRIDE=FQ","FILING_STATUS=OR","EQY_CONSOLIDATED=Y","Sort=A","Dates=H","DateFormat=P","Fill=—","Direction=H","UseDPDF=Y")</f>
        <v>#NAME?</v>
      </c>
      <c r="BQ75" s="2" t="e">
        <f ca="1">_xll.BDH($C$53,"WORKING_CAPITAL_SEQ_GROWTH","FQ2 2018","FQ2 2018","Currency=INR","Period=FQ","BEST_FPERIOD_OVERRIDE=FQ","FILING_STATUS=OR","EQY_CONSOLIDATED=Y","Sort=A","Dates=H","DateFormat=P","Fill=—","Direction=H","UseDPDF=Y")</f>
        <v>#NAME?</v>
      </c>
      <c r="BR75" s="2" t="e">
        <f ca="1">_xll.BDH($C$53,"ACCOUNTS_PAYABLE_SEQ_GROWTH","FQ2 2018","FQ2 2018","Currency=INR","Period=FQ","BEST_FPERIOD_OVERRIDE=FQ","FILING_STATUS=OR","EQY_CONSOLIDATED=Y","Sort=A","Dates=H","DateFormat=P","Fill=—","Direction=H","UseDPDF=Y")</f>
        <v>#NAME?</v>
      </c>
      <c r="BS75" s="2" t="e">
        <f ca="1">_xll.BDH($C$53,"ST_DEBT_SEQUENTIAL_GROWTH","FQ2 2018","FQ2 2018","Currency=INR","Period=FQ","BEST_FPERIOD_OVERRIDE=FQ","FILING_STATUS=OR","EQY_CONSOLIDATED=Y","Sort=A","Dates=H","DateFormat=P","Fill=—","Direction=H","UseDPDF=Y")</f>
        <v>#NAME?</v>
      </c>
      <c r="BT75" s="2" t="e">
        <f ca="1">_xll.BDH($C$53,"TOTAL_DEBT_SEQUENTIAL_GROWTH","FQ2 2018","FQ2 2018","Currency=INR","Period=FQ","BEST_FPERIOD_OVERRIDE=FQ","FILING_STATUS=OR","EQY_CONSOLIDATED=Y","Sort=A","Dates=H","DateFormat=P","Fill=—","Direction=H","UseDPDF=Y")</f>
        <v>#NAME?</v>
      </c>
      <c r="BU75" s="2" t="e">
        <f ca="1">_xll.BDH($C$53,"TOTAL_EQUITY_SEQUENTIAL_GROWTH","FQ2 2018","FQ2 2018","Currency=INR","Period=FQ","BEST_FPERIOD_OVERRIDE=FQ","FILING_STATUS=OR","EQY_CONSOLIDATED=Y","Sort=A","Dates=H","DateFormat=P","Fill=—","Direction=H","UseDPDF=Y")</f>
        <v>#NAME?</v>
      </c>
      <c r="BV75" s="2" t="e">
        <f ca="1">_xll.BDH($C$53,"TOTAL_CAPITAL_SEQUENTIAL_GROWTH","FQ2 2018","FQ2 2018","Currency=INR","Period=FQ","BEST_FPERIOD_OVERRIDE=FQ","FILING_STATUS=OR","EQY_CONSOLIDATED=Y","Sort=A","Dates=H","DateFormat=P","Fill=—","Direction=H","UseDPDF=Y")</f>
        <v>#NAME?</v>
      </c>
      <c r="BW75" s="2" t="e">
        <f ca="1">_xll.BDH($C$53,"BPS_SEQUENTIAL_GROWTH","FQ2 2018","FQ2 2018","Currency=INR","Period=FQ","BEST_FPERIOD_OVERRIDE=FQ","FILING_STATUS=OR","EQY_CONSOLIDATED=Y","Sort=A","Dates=H","DateFormat=P","Fill=—","Direction=H","UseDPDF=Y")</f>
        <v>#NAME?</v>
      </c>
      <c r="BX75" s="2" t="e">
        <f ca="1">_xll.BDH($C$53,"CFO_SEQUENTIAL_GROWTH","FQ2 2018","FQ2 2018","Currency=INR","Period=FQ","BEST_FPERIOD_OVERRIDE=FQ","FILING_STATUS=OR","EQY_CONSOLIDATED=Y","Sort=A","Dates=H","DateFormat=P","Fill=—","Direction=H","UseDPDF=Y")</f>
        <v>#NAME?</v>
      </c>
      <c r="BY75" s="3" t="e">
        <f ca="1">_xll.BDH($C$53,"SHORT_AND_LONG_TERM_DEBT","FQ2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75" s="3" t="e">
        <f ca="1">_xll.BDH($C$53,"BS_ST_BORROW","FQ2 2018","FQ2 2018","Currency=INR","Period=FQ","BEST_FPERIOD_OVERRIDE=FQ","FILING_STATUS=OR","EQY_CONSOLIDATED=Y","SCALING_FORMAT=MLN","Sort=A","Dates=H","DateFormat=P","Fill=—","Direction=H","UseDPDF=Y")</f>
        <v>#NAME?</v>
      </c>
      <c r="CA75" s="3" t="e">
        <f ca="1">_xll.BDH($C$53,"BS_LT_BORROW","FQ2 2018","FQ2 2018","Currency=INR","Period=FQ","BEST_FPERIOD_OVERRIDE=FQ","FILING_STATUS=OR","EQY_CONSOLIDATED=Y","SCALING_FORMAT=MLN","Sort=A","Dates=H","DateFormat=P","Fill=—","Direction=H","UseDPDF=Y")</f>
        <v>#NAME?</v>
      </c>
      <c r="CB75" s="2" t="e">
        <f ca="1">_xll.BDH($C$53,"TOT_DEBT_TO_EBITDA","FQ2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75" s="2" t="e">
        <f ca="1">_xll.BDH($C$53,"NET_DEBT_TO_EBITDA","FQ2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75" s="2" t="e">
        <f ca="1">_xll.BDH($C$53,"TOTAL_DEBT_TO_EBIT","FQ2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75" s="2" t="e">
        <f ca="1">_xll.BDH($C$53,"NET_DEBT_TO_EBIT","FQ2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75" s="2" t="e">
        <f ca="1">_xll.BDH($C$53,"EBITDA_TO_INTEREST_EXPN","FQ2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75" s="2" t="e">
        <f ca="1">_xll.BDH($C$53,"COM_EQY_TO_TOT_ASSET","FQ2 2018","FQ2 2018","Currency=INR","Period=FQ","BEST_FPERIOD_OVERRIDE=FQ","FILING_STATUS=OR","EQY_CONSOLIDATED=Y","Sort=A","Dates=H","DateFormat=P","Fill=—","Direction=H","UseDPDF=Y")</f>
        <v>#NAME?</v>
      </c>
      <c r="CH75" s="2" t="e">
        <f ca="1">_xll.BDH($C$53,"LT_DEBT_TO_TOT_EQY","FQ2 2018","FQ2 2018","Currency=INR","Period=FQ","BEST_FPERIOD_OVERRIDE=FQ","FILING_STATUS=OR","EQY_CONSOLIDATED=Y","Sort=A","Dates=H","DateFormat=P","Fill=—","Direction=H","UseDPDF=Y")</f>
        <v>#NAME?</v>
      </c>
      <c r="CI75" s="2" t="e">
        <f ca="1">_xll.BDH($C$53,"LT_DEBT_TO_TOT_CAP","FQ2 2018","FQ2 2018","Currency=INR","Period=FQ","BEST_FPERIOD_OVERRIDE=FQ","FILING_STATUS=OR","EQY_CONSOLIDATED=Y","Sort=A","Dates=H","DateFormat=P","Fill=—","Direction=H","UseDPDF=Y")</f>
        <v>#NAME?</v>
      </c>
      <c r="CJ75" s="2" t="e">
        <f ca="1">_xll.BDH($C$53,"LT_DEBT_TO_TOT_ASSET","FQ2 2018","FQ2 2018","Currency=INR","Period=FQ","BEST_FPERIOD_OVERRIDE=FQ","FILING_STATUS=OR","EQY_CONSOLIDATED=Y","Sort=A","Dates=H","DateFormat=P","Fill=—","Direction=H","UseDPDF=Y")</f>
        <v>#NAME?</v>
      </c>
      <c r="CK75" s="2" t="e">
        <f ca="1">_xll.BDH($C$53,"TOT_DEBT_TO_TOT_EQY","FQ2 2018","FQ2 2018","Currency=INR","Period=FQ","BEST_FPERIOD_OVERRIDE=FQ","FILING_STATUS=OR","EQY_CONSOLIDATED=Y","Sort=A","Dates=H","DateFormat=P","Fill=—","Direction=H","UseDPDF=Y")</f>
        <v>#NAME?</v>
      </c>
      <c r="CL75" s="2" t="e">
        <f ca="1">_xll.BDH($C$53,"TOT_DEBT_TO_TOT_CAP","FQ2 2018","FQ2 2018","Currency=INR","Period=FQ","BEST_FPERIOD_OVERRIDE=FQ","FILING_STATUS=OR","EQY_CONSOLIDATED=Y","Sort=A","Dates=H","DateFormat=P","Fill=—","Direction=H","UseDPDF=Y")</f>
        <v>#NAME?</v>
      </c>
      <c r="CM75" s="2" t="e">
        <f ca="1">_xll.BDH($C$53,"TOT_DEBT_TO_TOT_ASSET","FQ2 2018","FQ2 2018","Currency=INR","Period=FQ","BEST_FPERIOD_OVERRIDE=FQ","FILING_STATUS=OR","EQY_CONSOLIDATED=Y","Sort=A","Dates=H","DateFormat=P","Fill=—","Direction=H","UseDPDF=Y")</f>
        <v>#NAME?</v>
      </c>
      <c r="CN75" s="2" t="e">
        <f ca="1">_xll.BDH($C$53,"NET_DEBT_TO_SHRHLDR_EQTY","FQ2 2018","FQ2 2018","Currency=INR","Period=FQ","BEST_FPERIOD_OVERRIDE=FQ","FILING_STATUS=OR","EQY_CONSOLIDATED=Y","Sort=A","Dates=H","DateFormat=P","Fill=—","Direction=H","UseDPDF=Y")</f>
        <v>#NAME?</v>
      </c>
      <c r="CO75" s="2" t="e">
        <f ca="1">_xll.BDH($C$53,"NET_DEBT_%_CAPITAL","FQ2 2018","FQ2 2018","Currency=INR","Period=FQ","BEST_FPERIOD_OVERRIDE=FQ","FILING_STATUS=OR","EQY_CONSOLIDATED=Y","Sort=A","Dates=H","DateFormat=P","Fill=—","Direction=H","UseDPDF=Y")</f>
        <v>#NAME?</v>
      </c>
      <c r="CP75" s="3" t="e">
        <f ca="1">_xll.BDH($C$53,"EBITDA","FQ2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75" s="3" t="e">
        <f ca="1">_xll.BDH($C$53,"EBITDA_AFTER_CAPEX","FQ2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75" s="3" t="e">
        <f ca="1">_xll.BDH($C$53,"IS_OPER_INC","FQ2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75" s="2" t="e">
        <f ca="1">_xll.BDH($C$53,"CASH_RATIO","FQ2 2018","FQ2 2018","Currency=INR","Period=FQ","BEST_FPERIOD_OVERRIDE=FQ","FILING_STATUS=OR","EQY_CONSOLIDATED=Y","Sort=A","Dates=H","DateFormat=P","Fill=—","Direction=H","UseDPDF=Y")</f>
        <v>#NAME?</v>
      </c>
      <c r="CT75" s="2" t="e">
        <f ca="1">_xll.BDH($C$53,"CUR_RATIO","FQ2 2018","FQ2 2018","Currency=INR","Period=FQ","BEST_FPERIOD_OVERRIDE=FQ","FILING_STATUS=OR","EQY_CONSOLIDATED=Y","Sort=A","Dates=H","DateFormat=P","Fill=—","Direction=H","UseDPDF=Y")</f>
        <v>#NAME?</v>
      </c>
      <c r="CU75" s="2" t="e">
        <f ca="1">_xll.BDH($C$53,"QUICK_RATIO","FQ2 2018","FQ2 2018","Currency=INR","Period=FQ","BEST_FPERIOD_OVERRIDE=FQ","FILING_STATUS=OR","EQY_CONSOLIDATED=Y","Sort=A","Dates=H","DateFormat=P","Fill=—","Direction=H","UseDPDF=Y")</f>
        <v>#NAME?</v>
      </c>
      <c r="CV75" s="2" t="e">
        <f ca="1">_xll.BDH($C$53,"ALTMAN_Z_SCORE","FQ2 2018","FQ2 2018","Currency=INR","Period=FQ","BEST_FPERIOD_OVERRIDE=FQ","FILING_STATUS=OR","EQY_CONSOLIDATED=Y","Sort=A","Dates=H","DateFormat=P","Fill=—","Direction=H","UseDPDF=Y")</f>
        <v>#NAME?</v>
      </c>
      <c r="CW75" s="4" t="e">
        <f ca="1">_xll.BDH($C$53,"ACCT_RCV_TURN","FQ2 2018","FQ2 2018","Currency=INR","Period=FQ","BEST_FPERIOD_OVERRIDE=FQ","FILING_STATUS=OR","EQY_CONSOLIDATED=Y","FA_ADJUSTED=GAAP","Sort=A","Dates=H","DateFormat=P","Fill=—","Direction=H","UseDPDF=Y")</f>
        <v>#NAME?</v>
      </c>
      <c r="CX75" s="2" t="e">
        <f ca="1">_xll.BDH($C$53,"ACCT_RCV_DAYS","FQ2 2018","FQ2 2018","Currency=INR","Period=FQ","BEST_FPERIOD_OVERRIDE=FQ","FILING_STATUS=OR","EQY_CONSOLIDATED=Y","FA_ADJUSTED=GAAP","Sort=A","Dates=H","DateFormat=P","Fill=—","Direction=H","UseDPDF=Y")</f>
        <v>#NAME?</v>
      </c>
      <c r="CY75" s="4" t="e">
        <f ca="1">_xll.BDH($C$53,"INVENT_TURN","FQ2 2018","FQ2 2018","Currency=INR","Period=FQ","BEST_FPERIOD_OVERRIDE=FQ","FILING_STATUS=OR","EQY_CONSOLIDATED=Y","FA_ADJUSTED=GAAP","Sort=A","Dates=H","DateFormat=P","Fill=—","Direction=H","UseDPDF=Y")</f>
        <v>#NAME?</v>
      </c>
      <c r="CZ75" s="2" t="e">
        <f ca="1">_xll.BDH($C$53,"INVENT_DAYS","FQ2 2018","FQ2 2018","Currency=INR","Period=FQ","BEST_FPERIOD_OVERRIDE=FQ","FILING_STATUS=OR","EQY_CONSOLIDATED=Y","FA_ADJUSTED=GAAP","Sort=A","Dates=H","DateFormat=P","Fill=—","Direction=H","UseDPDF=Y")</f>
        <v>#NAME?</v>
      </c>
      <c r="DA75" s="4" t="e">
        <f ca="1">_xll.BDH($C$53,"ACCOUNTS_PAYABLE_TURNOVER","FQ2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75" s="2" t="e">
        <f ca="1">_xll.BDH($C$53,"ACCOUNTS_PAYABLE_TURNOVER_DAYS","FQ2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75" s="4" t="e">
        <f ca="1">_xll.BDH($C$53,"CASH_CONVERSION_CYCLE","FQ2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75" s="4" t="e">
        <f ca="1">_xll.BDH($C$53,"INV_TO_CASH_DAYS","FQ2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75" s="5" t="e">
        <f ca="1">_xll.BDH($C$53,"BS_INVENTORIES","FQ2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75" s="3" t="e">
        <f ca="1">_xll.BDH($C$53,"INVTRY_RAW_MATERIALS","FQ2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75" s="3" t="e">
        <f ca="1">_xll.BDH($C$53,"INVTRY_IN_PROGRESS","FQ2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75" s="3" t="e">
        <f ca="1">_xll.BDH($C$53,"INVTRY_FINISHED_GOODS","FQ2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75" s="3" t="e">
        <f ca="1">_xll.BDH($C$53,"BS_OTHER_INV","FQ2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76" spans="1:113" x14ac:dyDescent="0.3">
      <c r="A76" s="6"/>
      <c r="B76" s="6"/>
      <c r="C76" s="6"/>
      <c r="D76" s="6"/>
      <c r="E76" t="s">
        <v>80</v>
      </c>
      <c r="F76" t="e">
        <f ca="1">_xll.BDH($C$53,"RETURN_COM_EQY","FQ3 2018","FQ3 2018","Currency=INR","Period=FQ","BEST_FPERIOD_OVERRIDE=FQ","FILING_STATUS=OR","EQY_CONSOLIDATED=Y","FA_ADJUSTED=GAAP","Sort=A","Dates=H","DateFormat=P","Fill=—","Direction=H","UseDPDF=Y")</f>
        <v>#NAME?</v>
      </c>
      <c r="G76" t="e">
        <f ca="1">_xll.BDH($C$53,"RETURN_ON_ASSET","FQ3 2018","FQ3 2018","Currency=INR","Period=FQ","BEST_FPERIOD_OVERRIDE=FQ","FILING_STATUS=OR","EQY_CONSOLIDATED=Y","FA_ADJUSTED=GAAP","Sort=A","Dates=H","DateFormat=P","Fill=—","Direction=H","UseDPDF=Y")</f>
        <v>#NAME?</v>
      </c>
      <c r="H76" t="e">
        <f ca="1">_xll.BDH($C$53,"RETURN_ON_CAP","FQ3 2018","FQ3 2018","Currency=INR","Period=FQ","BEST_FPERIOD_OVERRIDE=FQ","FILING_STATUS=OR","EQY_CONSOLIDATED=Y","FA_ADJUSTED=GAAP","Sort=A","Dates=H","DateFormat=P","Fill=—","Direction=H","UseDPDF=Y")</f>
        <v>#NAME?</v>
      </c>
      <c r="I76" t="e">
        <f ca="1">_xll.BDH($C$53,"RETURN_ON_INV_CAPITAL","FQ3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76" t="e">
        <f ca="1">_xll.BDH($C$53,"EBITDA_TO_REVENUE","FQ3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76" t="e">
        <f ca="1">_xll.BDH($C$53,"OPER_MARGIN","FQ3 2018","FQ3 2018","Currency=INR","Period=FQ","BEST_FPERIOD_OVERRIDE=FQ","FILING_STATUS=OR","EQY_CONSOLIDATED=Y","FA_ADJUSTED=GAAP","Sort=A","Dates=H","DateFormat=P","Fill=—","Direction=H","UseDPDF=Y")</f>
        <v>#NAME?</v>
      </c>
      <c r="L76" t="e">
        <f ca="1">_xll.BDH($C$53,"INCREMENTAL_OPERATING_MARGIN","FQ3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76" t="e">
        <f ca="1">_xll.BDH($C$53,"PRETAX_INC_TO_NET_SALES","FQ3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76" t="e">
        <f ca="1">_xll.BDH($C$53,"INC_BEF_XO_ITEMS_TO_NET_SALES","FQ3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76" t="e">
        <f ca="1">_xll.BDH($C$53,"PROF_MARGIN","FQ3 2018","FQ3 2018","Currency=INR","Period=FQ","BEST_FPERIOD_OVERRIDE=FQ","FILING_STATUS=OR","EQY_CONSOLIDATED=Y","FA_ADJUSTED=GAAP","Sort=A","Dates=H","DateFormat=P","Fill=—","Direction=H","UseDPDF=Y")</f>
        <v>#NAME?</v>
      </c>
      <c r="P76" t="e">
        <f ca="1">_xll.BDH($C$53,"NET_INCOME_TO_COMMON_MARGIN","FQ3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76" t="e">
        <f ca="1">_xll.BDH($C$53,"EFF_TAX_RATE","FQ3 2018","FQ3 2018","Currency=INR","Period=FQ","BEST_FPERIOD_OVERRIDE=FQ","FILING_STATUS=OR","EQY_CONSOLIDATED=Y","FA_ADJUSTED=GAAP","Sort=A","Dates=H","DateFormat=P","Fill=—","Direction=H","UseDPDF=Y")</f>
        <v>#NAME?</v>
      </c>
      <c r="R76" t="e">
        <f ca="1">_xll.BDH($C$53,"DVD_PAYOUT_RATIO","FQ3 2018","FQ3 2018","Currency=INR","Period=FQ","BEST_FPERIOD_OVERRIDE=FQ","FILING_STATUS=OR","EQY_CONSOLIDATED=Y","FA_ADJUSTED=GAAP","Sort=A","Dates=H","DateFormat=P","Fill=—","Direction=H","UseDPDF=Y")</f>
        <v>#NAME?</v>
      </c>
      <c r="S76" t="e">
        <f ca="1">_xll.BDH($C$53,"SUSTAIN_GROWTH_RT","FQ3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76" s="2" t="e">
        <f ca="1">_xll.BDH($C$53,"SALES_GROWTH","FQ3 2018","FQ3 2018","Currency=INR","Period=FQ","BEST_FPERIOD_OVERRIDE=FQ","FILING_STATUS=OR","EQY_CONSOLIDATED=Y","FA_ADJUSTED=GAAP","Sort=A","Dates=H","DateFormat=P","Fill=—","Direction=H","UseDPDF=Y")</f>
        <v>#NAME?</v>
      </c>
      <c r="U76" s="2" t="e">
        <f ca="1">_xll.BDH($C$53,"EBITDA_GROWTH","FQ3 2018","FQ3 2018","Currency=INR","Period=FQ","BEST_FPERIOD_OVERRIDE=FQ","FILING_STATUS=OR","EQY_CONSOLIDATED=Y","FA_ADJUSTED=GAAP","Sort=A","Dates=H","DateFormat=P","Fill=—","Direction=H","UseDPDF=Y")</f>
        <v>#NAME?</v>
      </c>
      <c r="V76" s="2" t="e">
        <f ca="1">_xll.BDH($C$53,"OPER_INC_GROWTH","FQ3 2018","FQ3 2018","Currency=INR","Period=FQ","BEST_FPERIOD_OVERRIDE=FQ","FILING_STATUS=OR","EQY_CONSOLIDATED=Y","FA_ADJUSTED=GAAP","Sort=A","Dates=H","DateFormat=P","Fill=—","Direction=H","UseDPDF=Y")</f>
        <v>#NAME?</v>
      </c>
      <c r="W76" s="2" t="e">
        <f ca="1">_xll.BDH($C$53,"EARN_FOR_COM_GROWTH","FQ3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76" s="2" t="e">
        <f ca="1">_xll.BDH($C$53,"DILUTED_EPS_AFT_XO_ITEMS_GROWTH","FQ3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76" s="2" t="e">
        <f ca="1">_xll.BDH($C$53,"DIVIDEND_PER_SHARE_1_YEAR_GROWTH","FQ3 2018","FQ3 2018","Currency=INR","Period=FQ","BEST_FPERIOD_OVERRIDE=FQ","FILING_STATUS=OR","EQY_CONSOLIDATED=Y","Sort=A","Dates=H","DateFormat=P","Fill=—","Direction=H","UseDPDF=Y")</f>
        <v>#NAME?</v>
      </c>
      <c r="Z76" s="2" t="e">
        <f ca="1">_xll.BDH($C$53,"ACCOUNTS_RECEIVABLE_GROWTH","FQ3 2018","FQ3 2018","Currency=INR","Period=FQ","BEST_FPERIOD_OVERRIDE=FQ","FILING_STATUS=OR","EQY_CONSOLIDATED=Y","Sort=A","Dates=H","DateFormat=P","Fill=—","Direction=H","UseDPDF=Y")</f>
        <v>#NAME?</v>
      </c>
      <c r="AA76" s="2" t="e">
        <f ca="1">_xll.BDH($C$53,"INVENTORY_GROWTH","FQ3 2018","FQ3 2018","Currency=INR","Period=FQ","BEST_FPERIOD_OVERRIDE=FQ","FILING_STATUS=OR","EQY_CONSOLIDATED=Y","Sort=A","Dates=H","DateFormat=P","Fill=—","Direction=H","UseDPDF=Y")</f>
        <v>#NAME?</v>
      </c>
      <c r="AB76" s="2" t="e">
        <f ca="1">_xll.BDH($C$53,"NET_FIXED_ASSETS_1_YEAR_GROWTH","FQ3 2018","FQ3 2018","Currency=INR","Period=FQ","BEST_FPERIOD_OVERRIDE=FQ","FILING_STATUS=OR","EQY_CONSOLIDATED=Y","Sort=A","Dates=H","DateFormat=P","Fill=—","Direction=H","UseDPDF=Y")</f>
        <v>#NAME?</v>
      </c>
      <c r="AC76" s="2" t="e">
        <f ca="1">_xll.BDH($C$53,"ASSET_GROWTH","FQ3 2018","FQ3 2018","Currency=INR","Period=FQ","BEST_FPERIOD_OVERRIDE=FQ","FILING_STATUS=OR","EQY_CONSOLIDATED=Y","Sort=A","Dates=H","DateFormat=P","Fill=—","Direction=H","UseDPDF=Y")</f>
        <v>#NAME?</v>
      </c>
      <c r="AD76" s="2" t="e">
        <f ca="1">_xll.BDH($C$53,"MODIFIED_WORK_CAP_GROWTH","FQ3 2018","FQ3 2018","Currency=INR","Period=FQ","BEST_FPERIOD_OVERRIDE=FQ","FILING_STATUS=OR","EQY_CONSOLIDATED=Y","Sort=A","Dates=H","DateFormat=P","Fill=—","Direction=H","UseDPDF=Y")</f>
        <v>#NAME?</v>
      </c>
      <c r="AE76" s="2" t="e">
        <f ca="1">_xll.BDH($C$53,"WORK_CAP_GROWTH","FQ3 2018","FQ3 2018","Currency=INR","Period=FQ","BEST_FPERIOD_OVERRIDE=FQ","FILING_STATUS=OR","EQY_CONSOLIDATED=Y","Sort=A","Dates=H","DateFormat=P","Fill=—","Direction=H","UseDPDF=Y")</f>
        <v>#NAME?</v>
      </c>
      <c r="AF76" s="2" t="e">
        <f ca="1">_xll.BDH($C$53,"ACCOUNTS_PAYABLE_GROWTH_1YR","FQ3 2018","FQ3 2018","Currency=INR","Period=FQ","BEST_FPERIOD_OVERRIDE=FQ","FILING_STATUS=OR","EQY_CONSOLIDATED=Y","Sort=A","Dates=H","DateFormat=P","Fill=—","Direction=H","UseDPDF=Y")</f>
        <v>#NAME?</v>
      </c>
      <c r="AG76" s="2" t="e">
        <f ca="1">_xll.BDH($C$53,"SHORT_TERM_DEBT_1_YEAR_GROWTH","FQ3 2018","FQ3 2018","Currency=INR","Period=FQ","BEST_FPERIOD_OVERRIDE=FQ","FILING_STATUS=OR","EQY_CONSOLIDATED=Y","Sort=A","Dates=H","DateFormat=P","Fill=—","Direction=H","UseDPDF=Y")</f>
        <v>#NAME?</v>
      </c>
      <c r="AH76" s="2" t="e">
        <f ca="1">_xll.BDH($C$53,"TOTAL_DEBT_1_YEAR_GROWTH","FQ3 2018","FQ3 2018","Currency=INR","Period=FQ","BEST_FPERIOD_OVERRIDE=FQ","FILING_STATUS=OR","EQY_CONSOLIDATED=Y","Sort=A","Dates=H","DateFormat=P","Fill=—","Direction=H","UseDPDF=Y")</f>
        <v>#NAME?</v>
      </c>
      <c r="AI76" s="2" t="e">
        <f ca="1">_xll.BDH($C$53,"TOTAL_EQUITY_1_YEAR_GROWTH","FQ3 2018","FQ3 2018","Currency=INR","Period=FQ","BEST_FPERIOD_OVERRIDE=FQ","FILING_STATUS=OR","EQY_CONSOLIDATED=Y","Sort=A","Dates=H","DateFormat=P","Fill=—","Direction=H","UseDPDF=Y")</f>
        <v>#NAME?</v>
      </c>
      <c r="AJ76" s="2" t="e">
        <f ca="1">_xll.BDH($C$53,"GROWTH_IN_CAP","FQ3 2018","FQ3 2018","Currency=INR","Period=FQ","BEST_FPERIOD_OVERRIDE=FQ","FILING_STATUS=OR","EQY_CONSOLIDATED=Y","Sort=A","Dates=H","DateFormat=P","Fill=—","Direction=H","UseDPDF=Y")</f>
        <v>#NAME?</v>
      </c>
      <c r="AK76" s="2" t="e">
        <f ca="1">_xll.BDH($C$53,"BVPS_GROWTH","FQ3 2018","FQ3 2018","Currency=INR","Period=FQ","BEST_FPERIOD_OVERRIDE=FQ","FILING_STATUS=OR","EQY_CONSOLIDATED=Y","Sort=A","Dates=H","DateFormat=P","Fill=—","Direction=H","UseDPDF=Y")</f>
        <v>#NAME?</v>
      </c>
      <c r="AL76" s="2" t="e">
        <f ca="1">_xll.BDH($C$53,"CASH_FLOW_GROWTH","FQ3 2018","FQ3 2018","Currency=INR","Period=FQ","BEST_FPERIOD_OVERRIDE=FQ","FILING_STATUS=OR","EQY_CONSOLIDATED=Y","Sort=A","Dates=H","DateFormat=P","Fill=—","Direction=H","UseDPDF=Y")</f>
        <v>#NAME?</v>
      </c>
      <c r="AM76" s="2" t="e">
        <f ca="1">_xll.BDH($C$53,"GEO_GROW_NET_SALES","FQ3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76" s="2" t="e">
        <f ca="1">_xll.BDH($C$53,"GEO_GROW_EBITDA","FQ3 2018","FQ3 2018","Currency=INR","Period=FQ","BEST_FPERIOD_OVERRIDE=FQ","FILING_STATUS=OR","EQY_CONSOLIDATED=Y","FA_ADJUSTED=GAAP","Sort=A","Dates=H","DateFormat=P","Fill=—","Direction=H","UseDPDF=Y")</f>
        <v>#NAME?</v>
      </c>
      <c r="AO76" s="2" t="e">
        <f ca="1">_xll.BDH($C$53,"GEO_GROW_OPER_INC","FQ3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76" s="2" t="e">
        <f ca="1">_xll.BDH($C$53,"NET_INCOME_TO_COMMON_5_YR_GROWTH","FQ3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76" s="2" t="e">
        <f ca="1">_xll.BDH($C$53,"5Y_GEO_GROWTH_DILUTED_EPS","FQ3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76" s="2" t="e">
        <f ca="1">_xll.BDH($C$53,"GEO_GROW_DVD_PER_SH","FQ3 2018","FQ3 2018","Currency=INR","Period=FQ","BEST_FPERIOD_OVERRIDE=FQ","FILING_STATUS=OR","EQY_CONSOLIDATED=Y","Sort=A","Dates=H","DateFormat=P","Fill=—","Direction=H","UseDPDF=Y")</f>
        <v>#NAME?</v>
      </c>
      <c r="AS76" s="2" t="e">
        <f ca="1">_xll.BDH($C$53,"ACCOUNTS_RECEIVABLE_5_YR_GROWTH","FQ3 2018","FQ3 2018","Currency=INR","Period=FQ","BEST_FPERIOD_OVERRIDE=FQ","FILING_STATUS=OR","EQY_CONSOLIDATED=Y","Sort=A","Dates=H","DateFormat=P","Fill=—","Direction=H","UseDPDF=Y")</f>
        <v>#NAME?</v>
      </c>
      <c r="AT76" s="2" t="e">
        <f ca="1">_xll.BDH($C$53,"INVENTORY_5_YEAR_GROWTH","FQ3 2018","FQ3 2018","Currency=INR","Period=FQ","BEST_FPERIOD_OVERRIDE=FQ","FILING_STATUS=OR","EQY_CONSOLIDATED=Y","Sort=A","Dates=H","DateFormat=P","Fill=—","Direction=H","UseDPDF=Y")</f>
        <v>#NAME?</v>
      </c>
      <c r="AU76" s="2" t="e">
        <f ca="1">_xll.BDH($C$53,"NET_FIXED_ASSETS_5_YEAR_GROWTH","FQ3 2018","FQ3 2018","Currency=INR","Period=FQ","BEST_FPERIOD_OVERRIDE=FQ","FILING_STATUS=OR","EQY_CONSOLIDATED=Y","Sort=A","Dates=H","DateFormat=P","Fill=—","Direction=H","UseDPDF=Y")</f>
        <v>#NAME?</v>
      </c>
      <c r="AV76" s="2" t="e">
        <f ca="1">_xll.BDH($C$53,"GEO_GROW_TOT_ASSET","FQ3 2018","FQ3 2018","Currency=INR","Period=FQ","BEST_FPERIOD_OVERRIDE=FQ","FILING_STATUS=OR","EQY_CONSOLIDATED=Y","Sort=A","Dates=H","DateFormat=P","Fill=—","Direction=H","UseDPDF=Y")</f>
        <v>#NAME?</v>
      </c>
      <c r="AW76" s="2" t="e">
        <f ca="1">_xll.BDH($C$53,"MODIFIED_WORKING_CPTL_5YR_GRWTH","FQ3 2018","FQ3 2018","Currency=INR","Period=FQ","BEST_FPERIOD_OVERRIDE=FQ","FILING_STATUS=OR","EQY_CONSOLIDATED=Y","Sort=A","Dates=H","DateFormat=P","Fill=—","Direction=H","UseDPDF=Y")</f>
        <v>#NAME?</v>
      </c>
      <c r="AX76" s="2" t="e">
        <f ca="1">_xll.BDH($C$53,"WORKING_CAPITAL_5_YEAR_GROWTH","FQ3 2018","FQ3 2018","Currency=INR","Period=FQ","BEST_FPERIOD_OVERRIDE=FQ","FILING_STATUS=OR","EQY_CONSOLIDATED=Y","Sort=A","Dates=H","DateFormat=P","Fill=—","Direction=H","UseDPDF=Y")</f>
        <v>#NAME?</v>
      </c>
      <c r="AY76" s="2" t="e">
        <f ca="1">_xll.BDH($C$53,"ACCOUNTS_PAYABLE_5_YEAR_GROWTH","FQ3 2018","FQ3 2018","Currency=INR","Period=FQ","BEST_FPERIOD_OVERRIDE=FQ","FILING_STATUS=OR","EQY_CONSOLIDATED=Y","Sort=A","Dates=H","DateFormat=P","Fill=—","Direction=H","UseDPDF=Y")</f>
        <v>#NAME?</v>
      </c>
      <c r="AZ76" s="2" t="e">
        <f ca="1">_xll.BDH($C$53,"SHORT_TERM_DEBT_5_YEAR_GROWTH","FQ3 2018","FQ3 2018","Currency=INR","Period=FQ","BEST_FPERIOD_OVERRIDE=FQ","FILING_STATUS=OR","EQY_CONSOLIDATED=Y","Sort=A","Dates=H","DateFormat=P","Fill=—","Direction=H","UseDPDF=Y")</f>
        <v>#NAME?</v>
      </c>
      <c r="BA76" s="2" t="e">
        <f ca="1">_xll.BDH($C$53,"TOTAL_DEBT_5_YEAR_GROWTH","FQ3 2018","FQ3 2018","Currency=INR","Period=FQ","BEST_FPERIOD_OVERRIDE=FQ","FILING_STATUS=OR","EQY_CONSOLIDATED=Y","Sort=A","Dates=H","DateFormat=P","Fill=—","Direction=H","UseDPDF=Y")</f>
        <v>#NAME?</v>
      </c>
      <c r="BB76" s="2" t="e">
        <f ca="1">_xll.BDH($C$53,"GEO_GROW_TOT_SHRHLDR_EQY","FQ3 2018","FQ3 2018","Currency=INR","Period=FQ","BEST_FPERIOD_OVERRIDE=FQ","FILING_STATUS=OR","EQY_CONSOLIDATED=Y","Sort=A","Dates=H","DateFormat=P","Fill=—","Direction=H","UseDPDF=Y")</f>
        <v>#NAME?</v>
      </c>
      <c r="BC76" s="2" t="e">
        <f ca="1">_xll.BDH($C$53,"TOTAL_CAPITAL_5_YEAR_GROWTH","FQ3 2018","FQ3 2018","Currency=INR","Period=FQ","BEST_FPERIOD_OVERRIDE=FQ","FILING_STATUS=OR","EQY_CONSOLIDATED=Y","Sort=A","Dates=H","DateFormat=P","Fill=—","Direction=H","UseDPDF=Y")</f>
        <v>#NAME?</v>
      </c>
      <c r="BD76" s="2" t="e">
        <f ca="1">_xll.BDH($C$53,"GEO_GROW_BOOK_VAL","FQ3 2018","FQ3 2018","Currency=INR","Period=FQ","BEST_FPERIOD_OVERRIDE=FQ","FILING_STATUS=OR","EQY_CONSOLIDATED=Y","Sort=A","Dates=H","DateFormat=P","Fill=—","Direction=H","UseDPDF=Y")</f>
        <v>#NAME?</v>
      </c>
      <c r="BE76" s="2" t="e">
        <f ca="1">_xll.BDH($C$53,"GEO_GROW_CASH_OPER_ACT","FQ3 2018","FQ3 2018","Currency=INR","Period=FQ","BEST_FPERIOD_OVERRIDE=FQ","FILING_STATUS=OR","EQY_CONSOLIDATED=Y","Sort=A","Dates=H","DateFormat=P","Fill=—","Direction=H","UseDPDF=Y")</f>
        <v>#NAME?</v>
      </c>
      <c r="BF76" s="2" t="e">
        <f ca="1">_xll.BDH($C$53,"REVENUE_SEQUENTIAL_GROWTH","FQ3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76" s="2" t="e">
        <f ca="1">_xll.BDH($C$53,"EBITDA_SEQUENTIAL_GROWTH","FQ3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76" s="2" t="e">
        <f ca="1">_xll.BDH($C$53,"OPERATING_INCOME_SEQ_GROWTH","FQ3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76" s="2" t="e">
        <f ca="1">_xll.BDH($C$53,"NET_INCOME_TO_COMMON_SEQ_GROWTH","FQ3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76" s="2" t="e">
        <f ca="1">_xll.BDH($C$53,"EPS_DILUTED_SEQUENTIAL_GROWTH","FQ3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76" s="2" t="e">
        <f ca="1">_xll.BDH($C$53,"DPS_SEQUENTIAL_GROWTH","FQ3 2018","FQ3 2018","Currency=INR","Period=FQ","BEST_FPERIOD_OVERRIDE=FQ","FILING_STATUS=OR","EQY_CONSOLIDATED=Y","Sort=A","Dates=H","DateFormat=P","Fill=—","Direction=H","UseDPDF=Y")</f>
        <v>#NAME?</v>
      </c>
      <c r="BL76" s="2" t="e">
        <f ca="1">_xll.BDH($C$53,"ACCOUNTS_RECEIVABLE_SEQ_GROWTH","FQ3 2018","FQ3 2018","Currency=INR","Period=FQ","BEST_FPERIOD_OVERRIDE=FQ","FILING_STATUS=OR","EQY_CONSOLIDATED=Y","Sort=A","Dates=H","DateFormat=P","Fill=—","Direction=H","UseDPDF=Y")</f>
        <v>#NAME?</v>
      </c>
      <c r="BM76" s="2" t="e">
        <f ca="1">_xll.BDH($C$53,"INVENTORY_SEQUENTIAL_GROWTH","FQ3 2018","FQ3 2018","Currency=INR","Period=FQ","BEST_FPERIOD_OVERRIDE=FQ","FILING_STATUS=OR","EQY_CONSOLIDATED=Y","Sort=A","Dates=H","DateFormat=P","Fill=—","Direction=H","UseDPDF=Y")</f>
        <v>#NAME?</v>
      </c>
      <c r="BN76" s="2" t="e">
        <f ca="1">_xll.BDH($C$53,"FIXED_ASSETS_SEQUENTIAL_GROWTH","FQ3 2018","FQ3 2018","Currency=INR","Period=FQ","BEST_FPERIOD_OVERRIDE=FQ","FILING_STATUS=OR","EQY_CONSOLIDATED=Y","Sort=A","Dates=H","DateFormat=P","Fill=—","Direction=H","UseDPDF=Y")</f>
        <v>#NAME?</v>
      </c>
      <c r="BO76" s="2" t="e">
        <f ca="1">_xll.BDH($C$53,"TOTAL_ASSETS_SEQUENTIAL_GROWTH","FQ3 2018","FQ3 2018","Currency=INR","Period=FQ","BEST_FPERIOD_OVERRIDE=FQ","FILING_STATUS=OR","EQY_CONSOLIDATED=Y","Sort=A","Dates=H","DateFormat=P","Fill=—","Direction=H","UseDPDF=Y")</f>
        <v>#NAME?</v>
      </c>
      <c r="BP76" s="2" t="e">
        <f ca="1">_xll.BDH($C$53,"MODIFIED_WORKING_CPTL_SEQ_GRWTH","FQ3 2018","FQ3 2018","Currency=INR","Period=FQ","BEST_FPERIOD_OVERRIDE=FQ","FILING_STATUS=OR","EQY_CONSOLIDATED=Y","Sort=A","Dates=H","DateFormat=P","Fill=—","Direction=H","UseDPDF=Y")</f>
        <v>#NAME?</v>
      </c>
      <c r="BQ76" s="2" t="e">
        <f ca="1">_xll.BDH($C$53,"WORKING_CAPITAL_SEQ_GROWTH","FQ3 2018","FQ3 2018","Currency=INR","Period=FQ","BEST_FPERIOD_OVERRIDE=FQ","FILING_STATUS=OR","EQY_CONSOLIDATED=Y","Sort=A","Dates=H","DateFormat=P","Fill=—","Direction=H","UseDPDF=Y")</f>
        <v>#NAME?</v>
      </c>
      <c r="BR76" s="2" t="e">
        <f ca="1">_xll.BDH($C$53,"ACCOUNTS_PAYABLE_SEQ_GROWTH","FQ3 2018","FQ3 2018","Currency=INR","Period=FQ","BEST_FPERIOD_OVERRIDE=FQ","FILING_STATUS=OR","EQY_CONSOLIDATED=Y","Sort=A","Dates=H","DateFormat=P","Fill=—","Direction=H","UseDPDF=Y")</f>
        <v>#NAME?</v>
      </c>
      <c r="BS76" s="2" t="e">
        <f ca="1">_xll.BDH($C$53,"ST_DEBT_SEQUENTIAL_GROWTH","FQ3 2018","FQ3 2018","Currency=INR","Period=FQ","BEST_FPERIOD_OVERRIDE=FQ","FILING_STATUS=OR","EQY_CONSOLIDATED=Y","Sort=A","Dates=H","DateFormat=P","Fill=—","Direction=H","UseDPDF=Y")</f>
        <v>#NAME?</v>
      </c>
      <c r="BT76" s="2" t="e">
        <f ca="1">_xll.BDH($C$53,"TOTAL_DEBT_SEQUENTIAL_GROWTH","FQ3 2018","FQ3 2018","Currency=INR","Period=FQ","BEST_FPERIOD_OVERRIDE=FQ","FILING_STATUS=OR","EQY_CONSOLIDATED=Y","Sort=A","Dates=H","DateFormat=P","Fill=—","Direction=H","UseDPDF=Y")</f>
        <v>#NAME?</v>
      </c>
      <c r="BU76" s="2" t="e">
        <f ca="1">_xll.BDH($C$53,"TOTAL_EQUITY_SEQUENTIAL_GROWTH","FQ3 2018","FQ3 2018","Currency=INR","Period=FQ","BEST_FPERIOD_OVERRIDE=FQ","FILING_STATUS=OR","EQY_CONSOLIDATED=Y","Sort=A","Dates=H","DateFormat=P","Fill=—","Direction=H","UseDPDF=Y")</f>
        <v>#NAME?</v>
      </c>
      <c r="BV76" s="2" t="e">
        <f ca="1">_xll.BDH($C$53,"TOTAL_CAPITAL_SEQUENTIAL_GROWTH","FQ3 2018","FQ3 2018","Currency=INR","Period=FQ","BEST_FPERIOD_OVERRIDE=FQ","FILING_STATUS=OR","EQY_CONSOLIDATED=Y","Sort=A","Dates=H","DateFormat=P","Fill=—","Direction=H","UseDPDF=Y")</f>
        <v>#NAME?</v>
      </c>
      <c r="BW76" s="2" t="e">
        <f ca="1">_xll.BDH($C$53,"BPS_SEQUENTIAL_GROWTH","FQ3 2018","FQ3 2018","Currency=INR","Period=FQ","BEST_FPERIOD_OVERRIDE=FQ","FILING_STATUS=OR","EQY_CONSOLIDATED=Y","Sort=A","Dates=H","DateFormat=P","Fill=—","Direction=H","UseDPDF=Y")</f>
        <v>#NAME?</v>
      </c>
      <c r="BX76" s="2" t="e">
        <f ca="1">_xll.BDH($C$53,"CFO_SEQUENTIAL_GROWTH","FQ3 2018","FQ3 2018","Currency=INR","Period=FQ","BEST_FPERIOD_OVERRIDE=FQ","FILING_STATUS=OR","EQY_CONSOLIDATED=Y","Sort=A","Dates=H","DateFormat=P","Fill=—","Direction=H","UseDPDF=Y")</f>
        <v>#NAME?</v>
      </c>
      <c r="BY76" s="3" t="e">
        <f ca="1">_xll.BDH($C$53,"SHORT_AND_LONG_TERM_DEBT","FQ3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76" s="3" t="e">
        <f ca="1">_xll.BDH($C$53,"BS_ST_BORROW","FQ3 2018","FQ3 2018","Currency=INR","Period=FQ","BEST_FPERIOD_OVERRIDE=FQ","FILING_STATUS=OR","EQY_CONSOLIDATED=Y","SCALING_FORMAT=MLN","Sort=A","Dates=H","DateFormat=P","Fill=—","Direction=H","UseDPDF=Y")</f>
        <v>#NAME?</v>
      </c>
      <c r="CA76" s="3" t="e">
        <f ca="1">_xll.BDH($C$53,"BS_LT_BORROW","FQ3 2018","FQ3 2018","Currency=INR","Period=FQ","BEST_FPERIOD_OVERRIDE=FQ","FILING_STATUS=OR","EQY_CONSOLIDATED=Y","SCALING_FORMAT=MLN","Sort=A","Dates=H","DateFormat=P","Fill=—","Direction=H","UseDPDF=Y")</f>
        <v>#NAME?</v>
      </c>
      <c r="CB76" s="2" t="e">
        <f ca="1">_xll.BDH($C$53,"TOT_DEBT_TO_EBITDA","FQ3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76" s="2" t="e">
        <f ca="1">_xll.BDH($C$53,"NET_DEBT_TO_EBITDA","FQ3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76" s="2" t="e">
        <f ca="1">_xll.BDH($C$53,"TOTAL_DEBT_TO_EBIT","FQ3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76" s="2" t="e">
        <f ca="1">_xll.BDH($C$53,"NET_DEBT_TO_EBIT","FQ3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76" s="2" t="e">
        <f ca="1">_xll.BDH($C$53,"EBITDA_TO_INTEREST_EXPN","FQ3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76" s="2" t="e">
        <f ca="1">_xll.BDH($C$53,"COM_EQY_TO_TOT_ASSET","FQ3 2018","FQ3 2018","Currency=INR","Period=FQ","BEST_FPERIOD_OVERRIDE=FQ","FILING_STATUS=OR","EQY_CONSOLIDATED=Y","Sort=A","Dates=H","DateFormat=P","Fill=—","Direction=H","UseDPDF=Y")</f>
        <v>#NAME?</v>
      </c>
      <c r="CH76" s="2" t="e">
        <f ca="1">_xll.BDH($C$53,"LT_DEBT_TO_TOT_EQY","FQ3 2018","FQ3 2018","Currency=INR","Period=FQ","BEST_FPERIOD_OVERRIDE=FQ","FILING_STATUS=OR","EQY_CONSOLIDATED=Y","Sort=A","Dates=H","DateFormat=P","Fill=—","Direction=H","UseDPDF=Y")</f>
        <v>#NAME?</v>
      </c>
      <c r="CI76" s="2" t="e">
        <f ca="1">_xll.BDH($C$53,"LT_DEBT_TO_TOT_CAP","FQ3 2018","FQ3 2018","Currency=INR","Period=FQ","BEST_FPERIOD_OVERRIDE=FQ","FILING_STATUS=OR","EQY_CONSOLIDATED=Y","Sort=A","Dates=H","DateFormat=P","Fill=—","Direction=H","UseDPDF=Y")</f>
        <v>#NAME?</v>
      </c>
      <c r="CJ76" s="2" t="e">
        <f ca="1">_xll.BDH($C$53,"LT_DEBT_TO_TOT_ASSET","FQ3 2018","FQ3 2018","Currency=INR","Period=FQ","BEST_FPERIOD_OVERRIDE=FQ","FILING_STATUS=OR","EQY_CONSOLIDATED=Y","Sort=A","Dates=H","DateFormat=P","Fill=—","Direction=H","UseDPDF=Y")</f>
        <v>#NAME?</v>
      </c>
      <c r="CK76" s="2" t="e">
        <f ca="1">_xll.BDH($C$53,"TOT_DEBT_TO_TOT_EQY","FQ3 2018","FQ3 2018","Currency=INR","Period=FQ","BEST_FPERIOD_OVERRIDE=FQ","FILING_STATUS=OR","EQY_CONSOLIDATED=Y","Sort=A","Dates=H","DateFormat=P","Fill=—","Direction=H","UseDPDF=Y")</f>
        <v>#NAME?</v>
      </c>
      <c r="CL76" s="2" t="e">
        <f ca="1">_xll.BDH($C$53,"TOT_DEBT_TO_TOT_CAP","FQ3 2018","FQ3 2018","Currency=INR","Period=FQ","BEST_FPERIOD_OVERRIDE=FQ","FILING_STATUS=OR","EQY_CONSOLIDATED=Y","Sort=A","Dates=H","DateFormat=P","Fill=—","Direction=H","UseDPDF=Y")</f>
        <v>#NAME?</v>
      </c>
      <c r="CM76" s="2" t="e">
        <f ca="1">_xll.BDH($C$53,"TOT_DEBT_TO_TOT_ASSET","FQ3 2018","FQ3 2018","Currency=INR","Period=FQ","BEST_FPERIOD_OVERRIDE=FQ","FILING_STATUS=OR","EQY_CONSOLIDATED=Y","Sort=A","Dates=H","DateFormat=P","Fill=—","Direction=H","UseDPDF=Y")</f>
        <v>#NAME?</v>
      </c>
      <c r="CN76" s="2" t="e">
        <f ca="1">_xll.BDH($C$53,"NET_DEBT_TO_SHRHLDR_EQTY","FQ3 2018","FQ3 2018","Currency=INR","Period=FQ","BEST_FPERIOD_OVERRIDE=FQ","FILING_STATUS=OR","EQY_CONSOLIDATED=Y","Sort=A","Dates=H","DateFormat=P","Fill=—","Direction=H","UseDPDF=Y")</f>
        <v>#NAME?</v>
      </c>
      <c r="CO76" s="2" t="e">
        <f ca="1">_xll.BDH($C$53,"NET_DEBT_%_CAPITAL","FQ3 2018","FQ3 2018","Currency=INR","Period=FQ","BEST_FPERIOD_OVERRIDE=FQ","FILING_STATUS=OR","EQY_CONSOLIDATED=Y","Sort=A","Dates=H","DateFormat=P","Fill=—","Direction=H","UseDPDF=Y")</f>
        <v>#NAME?</v>
      </c>
      <c r="CP76" s="3" t="e">
        <f ca="1">_xll.BDH($C$53,"EBITDA","FQ3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76" s="3" t="e">
        <f ca="1">_xll.BDH($C$53,"EBITDA_AFTER_CAPEX","FQ3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76" s="3" t="e">
        <f ca="1">_xll.BDH($C$53,"IS_OPER_INC","FQ3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76" s="2" t="e">
        <f ca="1">_xll.BDH($C$53,"CASH_RATIO","FQ3 2018","FQ3 2018","Currency=INR","Period=FQ","BEST_FPERIOD_OVERRIDE=FQ","FILING_STATUS=OR","EQY_CONSOLIDATED=Y","Sort=A","Dates=H","DateFormat=P","Fill=—","Direction=H","UseDPDF=Y")</f>
        <v>#NAME?</v>
      </c>
      <c r="CT76" s="2" t="e">
        <f ca="1">_xll.BDH($C$53,"CUR_RATIO","FQ3 2018","FQ3 2018","Currency=INR","Period=FQ","BEST_FPERIOD_OVERRIDE=FQ","FILING_STATUS=OR","EQY_CONSOLIDATED=Y","Sort=A","Dates=H","DateFormat=P","Fill=—","Direction=H","UseDPDF=Y")</f>
        <v>#NAME?</v>
      </c>
      <c r="CU76" s="2" t="e">
        <f ca="1">_xll.BDH($C$53,"QUICK_RATIO","FQ3 2018","FQ3 2018","Currency=INR","Period=FQ","BEST_FPERIOD_OVERRIDE=FQ","FILING_STATUS=OR","EQY_CONSOLIDATED=Y","Sort=A","Dates=H","DateFormat=P","Fill=—","Direction=H","UseDPDF=Y")</f>
        <v>#NAME?</v>
      </c>
      <c r="CV76" s="2" t="e">
        <f ca="1">_xll.BDH($C$53,"ALTMAN_Z_SCORE","FQ3 2018","FQ3 2018","Currency=INR","Period=FQ","BEST_FPERIOD_OVERRIDE=FQ","FILING_STATUS=OR","EQY_CONSOLIDATED=Y","Sort=A","Dates=H","DateFormat=P","Fill=—","Direction=H","UseDPDF=Y")</f>
        <v>#NAME?</v>
      </c>
      <c r="CW76" s="4" t="e">
        <f ca="1">_xll.BDH($C$53,"ACCT_RCV_TURN","FQ3 2018","FQ3 2018","Currency=INR","Period=FQ","BEST_FPERIOD_OVERRIDE=FQ","FILING_STATUS=OR","EQY_CONSOLIDATED=Y","FA_ADJUSTED=GAAP","Sort=A","Dates=H","DateFormat=P","Fill=—","Direction=H","UseDPDF=Y")</f>
        <v>#NAME?</v>
      </c>
      <c r="CX76" s="2" t="e">
        <f ca="1">_xll.BDH($C$53,"ACCT_RCV_DAYS","FQ3 2018","FQ3 2018","Currency=INR","Period=FQ","BEST_FPERIOD_OVERRIDE=FQ","FILING_STATUS=OR","EQY_CONSOLIDATED=Y","FA_ADJUSTED=GAAP","Sort=A","Dates=H","DateFormat=P","Fill=—","Direction=H","UseDPDF=Y")</f>
        <v>#NAME?</v>
      </c>
      <c r="CY76" s="4" t="e">
        <f ca="1">_xll.BDH($C$53,"INVENT_TURN","FQ3 2018","FQ3 2018","Currency=INR","Period=FQ","BEST_FPERIOD_OVERRIDE=FQ","FILING_STATUS=OR","EQY_CONSOLIDATED=Y","FA_ADJUSTED=GAAP","Sort=A","Dates=H","DateFormat=P","Fill=—","Direction=H","UseDPDF=Y")</f>
        <v>#NAME?</v>
      </c>
      <c r="CZ76" s="2" t="e">
        <f ca="1">_xll.BDH($C$53,"INVENT_DAYS","FQ3 2018","FQ3 2018","Currency=INR","Period=FQ","BEST_FPERIOD_OVERRIDE=FQ","FILING_STATUS=OR","EQY_CONSOLIDATED=Y","FA_ADJUSTED=GAAP","Sort=A","Dates=H","DateFormat=P","Fill=—","Direction=H","UseDPDF=Y")</f>
        <v>#NAME?</v>
      </c>
      <c r="DA76" s="4" t="e">
        <f ca="1">_xll.BDH($C$53,"ACCOUNTS_PAYABLE_TURNOVER","FQ3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76" s="2" t="e">
        <f ca="1">_xll.BDH($C$53,"ACCOUNTS_PAYABLE_TURNOVER_DAYS","FQ3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76" s="4" t="e">
        <f ca="1">_xll.BDH($C$53,"CASH_CONVERSION_CYCLE","FQ3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76" s="4" t="e">
        <f ca="1">_xll.BDH($C$53,"INV_TO_CASH_DAYS","FQ3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76" s="5" t="e">
        <f ca="1">_xll.BDH($C$53,"BS_INVENTORIES","FQ3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76" s="3" t="e">
        <f ca="1">_xll.BDH($C$53,"INVTRY_RAW_MATERIALS","FQ3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76" s="3" t="e">
        <f ca="1">_xll.BDH($C$53,"INVTRY_IN_PROGRESS","FQ3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76" s="3" t="e">
        <f ca="1">_xll.BDH($C$53,"INVTRY_FINISHED_GOODS","FQ3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76" s="3" t="e">
        <f ca="1">_xll.BDH($C$53,"BS_OTHER_INV","FQ3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77" spans="1:113" x14ac:dyDescent="0.3">
      <c r="A77" s="6"/>
      <c r="B77" s="6"/>
      <c r="C77" s="6"/>
      <c r="D77" s="6"/>
      <c r="E77" t="s">
        <v>81</v>
      </c>
      <c r="F77" t="e">
        <f ca="1">_xll.BDH($C$53,"RETURN_COM_EQY","FQ4 2018","FQ4 2018","Currency=INR","Period=FQ","BEST_FPERIOD_OVERRIDE=FQ","FILING_STATUS=OR","EQY_CONSOLIDATED=Y","FA_ADJUSTED=GAAP","Sort=A","Dates=H","DateFormat=P","Fill=—","Direction=H","UseDPDF=Y")</f>
        <v>#NAME?</v>
      </c>
      <c r="G77" t="e">
        <f ca="1">_xll.BDH($C$53,"RETURN_ON_ASSET","FQ4 2018","FQ4 2018","Currency=INR","Period=FQ","BEST_FPERIOD_OVERRIDE=FQ","FILING_STATUS=OR","EQY_CONSOLIDATED=Y","FA_ADJUSTED=GAAP","Sort=A","Dates=H","DateFormat=P","Fill=—","Direction=H","UseDPDF=Y")</f>
        <v>#NAME?</v>
      </c>
      <c r="H77" t="e">
        <f ca="1">_xll.BDH($C$53,"RETURN_ON_CAP","FQ4 2018","FQ4 2018","Currency=INR","Period=FQ","BEST_FPERIOD_OVERRIDE=FQ","FILING_STATUS=OR","EQY_CONSOLIDATED=Y","FA_ADJUSTED=GAAP","Sort=A","Dates=H","DateFormat=P","Fill=—","Direction=H","UseDPDF=Y")</f>
        <v>#NAME?</v>
      </c>
      <c r="I77" t="e">
        <f ca="1">_xll.BDH($C$53,"RETURN_ON_INV_CAPITAL","FQ4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77" t="e">
        <f ca="1">_xll.BDH($C$53,"EBITDA_TO_REVENUE","FQ4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77" t="e">
        <f ca="1">_xll.BDH($C$53,"OPER_MARGIN","FQ4 2018","FQ4 2018","Currency=INR","Period=FQ","BEST_FPERIOD_OVERRIDE=FQ","FILING_STATUS=OR","EQY_CONSOLIDATED=Y","FA_ADJUSTED=GAAP","Sort=A","Dates=H","DateFormat=P","Fill=—","Direction=H","UseDPDF=Y")</f>
        <v>#NAME?</v>
      </c>
      <c r="L77" t="e">
        <f ca="1">_xll.BDH($C$53,"INCREMENTAL_OPERATING_MARGIN","FQ4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77" t="e">
        <f ca="1">_xll.BDH($C$53,"PRETAX_INC_TO_NET_SALES","FQ4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77" t="e">
        <f ca="1">_xll.BDH($C$53,"INC_BEF_XO_ITEMS_TO_NET_SALES","FQ4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77" t="e">
        <f ca="1">_xll.BDH($C$53,"PROF_MARGIN","FQ4 2018","FQ4 2018","Currency=INR","Period=FQ","BEST_FPERIOD_OVERRIDE=FQ","FILING_STATUS=OR","EQY_CONSOLIDATED=Y","FA_ADJUSTED=GAAP","Sort=A","Dates=H","DateFormat=P","Fill=—","Direction=H","UseDPDF=Y")</f>
        <v>#NAME?</v>
      </c>
      <c r="P77" t="e">
        <f ca="1">_xll.BDH($C$53,"NET_INCOME_TO_COMMON_MARGIN","FQ4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77" t="e">
        <f ca="1">_xll.BDH($C$53,"EFF_TAX_RATE","FQ4 2018","FQ4 2018","Currency=INR","Period=FQ","BEST_FPERIOD_OVERRIDE=FQ","FILING_STATUS=OR","EQY_CONSOLIDATED=Y","FA_ADJUSTED=GAAP","Sort=A","Dates=H","DateFormat=P","Fill=—","Direction=H","UseDPDF=Y")</f>
        <v>#NAME?</v>
      </c>
      <c r="R77" t="e">
        <f ca="1">_xll.BDH($C$53,"DVD_PAYOUT_RATIO","FQ4 2018","FQ4 2018","Currency=INR","Period=FQ","BEST_FPERIOD_OVERRIDE=FQ","FILING_STATUS=OR","EQY_CONSOLIDATED=Y","FA_ADJUSTED=GAAP","Sort=A","Dates=H","DateFormat=P","Fill=—","Direction=H","UseDPDF=Y")</f>
        <v>#NAME?</v>
      </c>
      <c r="S77" t="e">
        <f ca="1">_xll.BDH($C$53,"SUSTAIN_GROWTH_RT","FQ4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77" s="2" t="e">
        <f ca="1">_xll.BDH($C$53,"SALES_GROWTH","FQ4 2018","FQ4 2018","Currency=INR","Period=FQ","BEST_FPERIOD_OVERRIDE=FQ","FILING_STATUS=OR","EQY_CONSOLIDATED=Y","FA_ADJUSTED=GAAP","Sort=A","Dates=H","DateFormat=P","Fill=—","Direction=H","UseDPDF=Y")</f>
        <v>#NAME?</v>
      </c>
      <c r="U77" s="2" t="e">
        <f ca="1">_xll.BDH($C$53,"EBITDA_GROWTH","FQ4 2018","FQ4 2018","Currency=INR","Period=FQ","BEST_FPERIOD_OVERRIDE=FQ","FILING_STATUS=OR","EQY_CONSOLIDATED=Y","FA_ADJUSTED=GAAP","Sort=A","Dates=H","DateFormat=P","Fill=—","Direction=H","UseDPDF=Y")</f>
        <v>#NAME?</v>
      </c>
      <c r="V77" s="2" t="e">
        <f ca="1">_xll.BDH($C$53,"OPER_INC_GROWTH","FQ4 2018","FQ4 2018","Currency=INR","Period=FQ","BEST_FPERIOD_OVERRIDE=FQ","FILING_STATUS=OR","EQY_CONSOLIDATED=Y","FA_ADJUSTED=GAAP","Sort=A","Dates=H","DateFormat=P","Fill=—","Direction=H","UseDPDF=Y")</f>
        <v>#NAME?</v>
      </c>
      <c r="W77" s="2" t="e">
        <f ca="1">_xll.BDH($C$53,"EARN_FOR_COM_GROWTH","FQ4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77" s="2" t="e">
        <f ca="1">_xll.BDH($C$53,"DILUTED_EPS_AFT_XO_ITEMS_GROWTH","FQ4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77" s="2" t="e">
        <f ca="1">_xll.BDH($C$53,"DIVIDEND_PER_SHARE_1_YEAR_GROWTH","FQ4 2018","FQ4 2018","Currency=INR","Period=FQ","BEST_FPERIOD_OVERRIDE=FQ","FILING_STATUS=OR","EQY_CONSOLIDATED=Y","Sort=A","Dates=H","DateFormat=P","Fill=—","Direction=H","UseDPDF=Y")</f>
        <v>#NAME?</v>
      </c>
      <c r="Z77" s="2" t="e">
        <f ca="1">_xll.BDH($C$53,"ACCOUNTS_RECEIVABLE_GROWTH","FQ4 2018","FQ4 2018","Currency=INR","Period=FQ","BEST_FPERIOD_OVERRIDE=FQ","FILING_STATUS=OR","EQY_CONSOLIDATED=Y","Sort=A","Dates=H","DateFormat=P","Fill=—","Direction=H","UseDPDF=Y")</f>
        <v>#NAME?</v>
      </c>
      <c r="AA77" s="2" t="e">
        <f ca="1">_xll.BDH($C$53,"INVENTORY_GROWTH","FQ4 2018","FQ4 2018","Currency=INR","Period=FQ","BEST_FPERIOD_OVERRIDE=FQ","FILING_STATUS=OR","EQY_CONSOLIDATED=Y","Sort=A","Dates=H","DateFormat=P","Fill=—","Direction=H","UseDPDF=Y")</f>
        <v>#NAME?</v>
      </c>
      <c r="AB77" s="2" t="e">
        <f ca="1">_xll.BDH($C$53,"NET_FIXED_ASSETS_1_YEAR_GROWTH","FQ4 2018","FQ4 2018","Currency=INR","Period=FQ","BEST_FPERIOD_OVERRIDE=FQ","FILING_STATUS=OR","EQY_CONSOLIDATED=Y","Sort=A","Dates=H","DateFormat=P","Fill=—","Direction=H","UseDPDF=Y")</f>
        <v>#NAME?</v>
      </c>
      <c r="AC77" s="2" t="e">
        <f ca="1">_xll.BDH($C$53,"ASSET_GROWTH","FQ4 2018","FQ4 2018","Currency=INR","Period=FQ","BEST_FPERIOD_OVERRIDE=FQ","FILING_STATUS=OR","EQY_CONSOLIDATED=Y","Sort=A","Dates=H","DateFormat=P","Fill=—","Direction=H","UseDPDF=Y")</f>
        <v>#NAME?</v>
      </c>
      <c r="AD77" s="2" t="e">
        <f ca="1">_xll.BDH($C$53,"MODIFIED_WORK_CAP_GROWTH","FQ4 2018","FQ4 2018","Currency=INR","Period=FQ","BEST_FPERIOD_OVERRIDE=FQ","FILING_STATUS=OR","EQY_CONSOLIDATED=Y","Sort=A","Dates=H","DateFormat=P","Fill=—","Direction=H","UseDPDF=Y")</f>
        <v>#NAME?</v>
      </c>
      <c r="AE77" s="2" t="e">
        <f ca="1">_xll.BDH($C$53,"WORK_CAP_GROWTH","FQ4 2018","FQ4 2018","Currency=INR","Period=FQ","BEST_FPERIOD_OVERRIDE=FQ","FILING_STATUS=OR","EQY_CONSOLIDATED=Y","Sort=A","Dates=H","DateFormat=P","Fill=—","Direction=H","UseDPDF=Y")</f>
        <v>#NAME?</v>
      </c>
      <c r="AF77" s="2" t="e">
        <f ca="1">_xll.BDH($C$53,"ACCOUNTS_PAYABLE_GROWTH_1YR","FQ4 2018","FQ4 2018","Currency=INR","Period=FQ","BEST_FPERIOD_OVERRIDE=FQ","FILING_STATUS=OR","EQY_CONSOLIDATED=Y","Sort=A","Dates=H","DateFormat=P","Fill=—","Direction=H","UseDPDF=Y")</f>
        <v>#NAME?</v>
      </c>
      <c r="AG77" s="2" t="e">
        <f ca="1">_xll.BDH($C$53,"SHORT_TERM_DEBT_1_YEAR_GROWTH","FQ4 2018","FQ4 2018","Currency=INR","Period=FQ","BEST_FPERIOD_OVERRIDE=FQ","FILING_STATUS=OR","EQY_CONSOLIDATED=Y","Sort=A","Dates=H","DateFormat=P","Fill=—","Direction=H","UseDPDF=Y")</f>
        <v>#NAME?</v>
      </c>
      <c r="AH77" s="2" t="e">
        <f ca="1">_xll.BDH($C$53,"TOTAL_DEBT_1_YEAR_GROWTH","FQ4 2018","FQ4 2018","Currency=INR","Period=FQ","BEST_FPERIOD_OVERRIDE=FQ","FILING_STATUS=OR","EQY_CONSOLIDATED=Y","Sort=A","Dates=H","DateFormat=P","Fill=—","Direction=H","UseDPDF=Y")</f>
        <v>#NAME?</v>
      </c>
      <c r="AI77" s="2" t="e">
        <f ca="1">_xll.BDH($C$53,"TOTAL_EQUITY_1_YEAR_GROWTH","FQ4 2018","FQ4 2018","Currency=INR","Period=FQ","BEST_FPERIOD_OVERRIDE=FQ","FILING_STATUS=OR","EQY_CONSOLIDATED=Y","Sort=A","Dates=H","DateFormat=P","Fill=—","Direction=H","UseDPDF=Y")</f>
        <v>#NAME?</v>
      </c>
      <c r="AJ77" s="2" t="e">
        <f ca="1">_xll.BDH($C$53,"GROWTH_IN_CAP","FQ4 2018","FQ4 2018","Currency=INR","Period=FQ","BEST_FPERIOD_OVERRIDE=FQ","FILING_STATUS=OR","EQY_CONSOLIDATED=Y","Sort=A","Dates=H","DateFormat=P","Fill=—","Direction=H","UseDPDF=Y")</f>
        <v>#NAME?</v>
      </c>
      <c r="AK77" s="2" t="e">
        <f ca="1">_xll.BDH($C$53,"BVPS_GROWTH","FQ4 2018","FQ4 2018","Currency=INR","Period=FQ","BEST_FPERIOD_OVERRIDE=FQ","FILING_STATUS=OR","EQY_CONSOLIDATED=Y","Sort=A","Dates=H","DateFormat=P","Fill=—","Direction=H","UseDPDF=Y")</f>
        <v>#NAME?</v>
      </c>
      <c r="AL77" s="2" t="e">
        <f ca="1">_xll.BDH($C$53,"CASH_FLOW_GROWTH","FQ4 2018","FQ4 2018","Currency=INR","Period=FQ","BEST_FPERIOD_OVERRIDE=FQ","FILING_STATUS=OR","EQY_CONSOLIDATED=Y","Sort=A","Dates=H","DateFormat=P","Fill=—","Direction=H","UseDPDF=Y")</f>
        <v>#NAME?</v>
      </c>
      <c r="AM77" s="2" t="e">
        <f ca="1">_xll.BDH($C$53,"GEO_GROW_NET_SALES","FQ4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77" s="2" t="e">
        <f ca="1">_xll.BDH($C$53,"GEO_GROW_EBITDA","FQ4 2018","FQ4 2018","Currency=INR","Period=FQ","BEST_FPERIOD_OVERRIDE=FQ","FILING_STATUS=OR","EQY_CONSOLIDATED=Y","FA_ADJUSTED=GAAP","Sort=A","Dates=H","DateFormat=P","Fill=—","Direction=H","UseDPDF=Y")</f>
        <v>#NAME?</v>
      </c>
      <c r="AO77" s="2" t="e">
        <f ca="1">_xll.BDH($C$53,"GEO_GROW_OPER_INC","FQ4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77" s="2" t="e">
        <f ca="1">_xll.BDH($C$53,"NET_INCOME_TO_COMMON_5_YR_GROWTH","FQ4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77" s="2" t="e">
        <f ca="1">_xll.BDH($C$53,"5Y_GEO_GROWTH_DILUTED_EPS","FQ4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77" s="2" t="e">
        <f ca="1">_xll.BDH($C$53,"GEO_GROW_DVD_PER_SH","FQ4 2018","FQ4 2018","Currency=INR","Period=FQ","BEST_FPERIOD_OVERRIDE=FQ","FILING_STATUS=OR","EQY_CONSOLIDATED=Y","Sort=A","Dates=H","DateFormat=P","Fill=—","Direction=H","UseDPDF=Y")</f>
        <v>#NAME?</v>
      </c>
      <c r="AS77" s="2" t="e">
        <f ca="1">_xll.BDH($C$53,"ACCOUNTS_RECEIVABLE_5_YR_GROWTH","FQ4 2018","FQ4 2018","Currency=INR","Period=FQ","BEST_FPERIOD_OVERRIDE=FQ","FILING_STATUS=OR","EQY_CONSOLIDATED=Y","Sort=A","Dates=H","DateFormat=P","Fill=—","Direction=H","UseDPDF=Y")</f>
        <v>#NAME?</v>
      </c>
      <c r="AT77" s="2" t="e">
        <f ca="1">_xll.BDH($C$53,"INVENTORY_5_YEAR_GROWTH","FQ4 2018","FQ4 2018","Currency=INR","Period=FQ","BEST_FPERIOD_OVERRIDE=FQ","FILING_STATUS=OR","EQY_CONSOLIDATED=Y","Sort=A","Dates=H","DateFormat=P","Fill=—","Direction=H","UseDPDF=Y")</f>
        <v>#NAME?</v>
      </c>
      <c r="AU77" s="2" t="e">
        <f ca="1">_xll.BDH($C$53,"NET_FIXED_ASSETS_5_YEAR_GROWTH","FQ4 2018","FQ4 2018","Currency=INR","Period=FQ","BEST_FPERIOD_OVERRIDE=FQ","FILING_STATUS=OR","EQY_CONSOLIDATED=Y","Sort=A","Dates=H","DateFormat=P","Fill=—","Direction=H","UseDPDF=Y")</f>
        <v>#NAME?</v>
      </c>
      <c r="AV77" s="2" t="e">
        <f ca="1">_xll.BDH($C$53,"GEO_GROW_TOT_ASSET","FQ4 2018","FQ4 2018","Currency=INR","Period=FQ","BEST_FPERIOD_OVERRIDE=FQ","FILING_STATUS=OR","EQY_CONSOLIDATED=Y","Sort=A","Dates=H","DateFormat=P","Fill=—","Direction=H","UseDPDF=Y")</f>
        <v>#NAME?</v>
      </c>
      <c r="AW77" s="2" t="e">
        <f ca="1">_xll.BDH($C$53,"MODIFIED_WORKING_CPTL_5YR_GRWTH","FQ4 2018","FQ4 2018","Currency=INR","Period=FQ","BEST_FPERIOD_OVERRIDE=FQ","FILING_STATUS=OR","EQY_CONSOLIDATED=Y","Sort=A","Dates=H","DateFormat=P","Fill=—","Direction=H","UseDPDF=Y")</f>
        <v>#NAME?</v>
      </c>
      <c r="AX77" s="2" t="e">
        <f ca="1">_xll.BDH($C$53,"WORKING_CAPITAL_5_YEAR_GROWTH","FQ4 2018","FQ4 2018","Currency=INR","Period=FQ","BEST_FPERIOD_OVERRIDE=FQ","FILING_STATUS=OR","EQY_CONSOLIDATED=Y","Sort=A","Dates=H","DateFormat=P","Fill=—","Direction=H","UseDPDF=Y")</f>
        <v>#NAME?</v>
      </c>
      <c r="AY77" s="2" t="e">
        <f ca="1">_xll.BDH($C$53,"ACCOUNTS_PAYABLE_5_YEAR_GROWTH","FQ4 2018","FQ4 2018","Currency=INR","Period=FQ","BEST_FPERIOD_OVERRIDE=FQ","FILING_STATUS=OR","EQY_CONSOLIDATED=Y","Sort=A","Dates=H","DateFormat=P","Fill=—","Direction=H","UseDPDF=Y")</f>
        <v>#NAME?</v>
      </c>
      <c r="AZ77" s="2" t="e">
        <f ca="1">_xll.BDH($C$53,"SHORT_TERM_DEBT_5_YEAR_GROWTH","FQ4 2018","FQ4 2018","Currency=INR","Period=FQ","BEST_FPERIOD_OVERRIDE=FQ","FILING_STATUS=OR","EQY_CONSOLIDATED=Y","Sort=A","Dates=H","DateFormat=P","Fill=—","Direction=H","UseDPDF=Y")</f>
        <v>#NAME?</v>
      </c>
      <c r="BA77" s="2" t="e">
        <f ca="1">_xll.BDH($C$53,"TOTAL_DEBT_5_YEAR_GROWTH","FQ4 2018","FQ4 2018","Currency=INR","Period=FQ","BEST_FPERIOD_OVERRIDE=FQ","FILING_STATUS=OR","EQY_CONSOLIDATED=Y","Sort=A","Dates=H","DateFormat=P","Fill=—","Direction=H","UseDPDF=Y")</f>
        <v>#NAME?</v>
      </c>
      <c r="BB77" s="2" t="e">
        <f ca="1">_xll.BDH($C$53,"GEO_GROW_TOT_SHRHLDR_EQY","FQ4 2018","FQ4 2018","Currency=INR","Period=FQ","BEST_FPERIOD_OVERRIDE=FQ","FILING_STATUS=OR","EQY_CONSOLIDATED=Y","Sort=A","Dates=H","DateFormat=P","Fill=—","Direction=H","UseDPDF=Y")</f>
        <v>#NAME?</v>
      </c>
      <c r="BC77" s="2" t="e">
        <f ca="1">_xll.BDH($C$53,"TOTAL_CAPITAL_5_YEAR_GROWTH","FQ4 2018","FQ4 2018","Currency=INR","Period=FQ","BEST_FPERIOD_OVERRIDE=FQ","FILING_STATUS=OR","EQY_CONSOLIDATED=Y","Sort=A","Dates=H","DateFormat=P","Fill=—","Direction=H","UseDPDF=Y")</f>
        <v>#NAME?</v>
      </c>
      <c r="BD77" s="2" t="e">
        <f ca="1">_xll.BDH($C$53,"GEO_GROW_BOOK_VAL","FQ4 2018","FQ4 2018","Currency=INR","Period=FQ","BEST_FPERIOD_OVERRIDE=FQ","FILING_STATUS=OR","EQY_CONSOLIDATED=Y","Sort=A","Dates=H","DateFormat=P","Fill=—","Direction=H","UseDPDF=Y")</f>
        <v>#NAME?</v>
      </c>
      <c r="BE77" s="2" t="e">
        <f ca="1">_xll.BDH($C$53,"GEO_GROW_CASH_OPER_ACT","FQ4 2018","FQ4 2018","Currency=INR","Period=FQ","BEST_FPERIOD_OVERRIDE=FQ","FILING_STATUS=OR","EQY_CONSOLIDATED=Y","Sort=A","Dates=H","DateFormat=P","Fill=—","Direction=H","UseDPDF=Y")</f>
        <v>#NAME?</v>
      </c>
      <c r="BF77" s="2" t="e">
        <f ca="1">_xll.BDH($C$53,"REVENUE_SEQUENTIAL_GROWTH","FQ4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77" s="2" t="e">
        <f ca="1">_xll.BDH($C$53,"EBITDA_SEQUENTIAL_GROWTH","FQ4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77" s="2" t="e">
        <f ca="1">_xll.BDH($C$53,"OPERATING_INCOME_SEQ_GROWTH","FQ4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77" s="2" t="e">
        <f ca="1">_xll.BDH($C$53,"NET_INCOME_TO_COMMON_SEQ_GROWTH","FQ4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77" s="2" t="e">
        <f ca="1">_xll.BDH($C$53,"EPS_DILUTED_SEQUENTIAL_GROWTH","FQ4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77" s="2" t="e">
        <f ca="1">_xll.BDH($C$53,"DPS_SEQUENTIAL_GROWTH","FQ4 2018","FQ4 2018","Currency=INR","Period=FQ","BEST_FPERIOD_OVERRIDE=FQ","FILING_STATUS=OR","EQY_CONSOLIDATED=Y","Sort=A","Dates=H","DateFormat=P","Fill=—","Direction=H","UseDPDF=Y")</f>
        <v>#NAME?</v>
      </c>
      <c r="BL77" s="2" t="e">
        <f ca="1">_xll.BDH($C$53,"ACCOUNTS_RECEIVABLE_SEQ_GROWTH","FQ4 2018","FQ4 2018","Currency=INR","Period=FQ","BEST_FPERIOD_OVERRIDE=FQ","FILING_STATUS=OR","EQY_CONSOLIDATED=Y","Sort=A","Dates=H","DateFormat=P","Fill=—","Direction=H","UseDPDF=Y")</f>
        <v>#NAME?</v>
      </c>
      <c r="BM77" s="2" t="e">
        <f ca="1">_xll.BDH($C$53,"INVENTORY_SEQUENTIAL_GROWTH","FQ4 2018","FQ4 2018","Currency=INR","Period=FQ","BEST_FPERIOD_OVERRIDE=FQ","FILING_STATUS=OR","EQY_CONSOLIDATED=Y","Sort=A","Dates=H","DateFormat=P","Fill=—","Direction=H","UseDPDF=Y")</f>
        <v>#NAME?</v>
      </c>
      <c r="BN77" s="2" t="e">
        <f ca="1">_xll.BDH($C$53,"FIXED_ASSETS_SEQUENTIAL_GROWTH","FQ4 2018","FQ4 2018","Currency=INR","Period=FQ","BEST_FPERIOD_OVERRIDE=FQ","FILING_STATUS=OR","EQY_CONSOLIDATED=Y","Sort=A","Dates=H","DateFormat=P","Fill=—","Direction=H","UseDPDF=Y")</f>
        <v>#NAME?</v>
      </c>
      <c r="BO77" s="2" t="e">
        <f ca="1">_xll.BDH($C$53,"TOTAL_ASSETS_SEQUENTIAL_GROWTH","FQ4 2018","FQ4 2018","Currency=INR","Period=FQ","BEST_FPERIOD_OVERRIDE=FQ","FILING_STATUS=OR","EQY_CONSOLIDATED=Y","Sort=A","Dates=H","DateFormat=P","Fill=—","Direction=H","UseDPDF=Y")</f>
        <v>#NAME?</v>
      </c>
      <c r="BP77" s="2" t="e">
        <f ca="1">_xll.BDH($C$53,"MODIFIED_WORKING_CPTL_SEQ_GRWTH","FQ4 2018","FQ4 2018","Currency=INR","Period=FQ","BEST_FPERIOD_OVERRIDE=FQ","FILING_STATUS=OR","EQY_CONSOLIDATED=Y","Sort=A","Dates=H","DateFormat=P","Fill=—","Direction=H","UseDPDF=Y")</f>
        <v>#NAME?</v>
      </c>
      <c r="BQ77" s="2" t="e">
        <f ca="1">_xll.BDH($C$53,"WORKING_CAPITAL_SEQ_GROWTH","FQ4 2018","FQ4 2018","Currency=INR","Period=FQ","BEST_FPERIOD_OVERRIDE=FQ","FILING_STATUS=OR","EQY_CONSOLIDATED=Y","Sort=A","Dates=H","DateFormat=P","Fill=—","Direction=H","UseDPDF=Y")</f>
        <v>#NAME?</v>
      </c>
      <c r="BR77" s="2" t="e">
        <f ca="1">_xll.BDH($C$53,"ACCOUNTS_PAYABLE_SEQ_GROWTH","FQ4 2018","FQ4 2018","Currency=INR","Period=FQ","BEST_FPERIOD_OVERRIDE=FQ","FILING_STATUS=OR","EQY_CONSOLIDATED=Y","Sort=A","Dates=H","DateFormat=P","Fill=—","Direction=H","UseDPDF=Y")</f>
        <v>#NAME?</v>
      </c>
      <c r="BS77" s="2" t="e">
        <f ca="1">_xll.BDH($C$53,"ST_DEBT_SEQUENTIAL_GROWTH","FQ4 2018","FQ4 2018","Currency=INR","Period=FQ","BEST_FPERIOD_OVERRIDE=FQ","FILING_STATUS=OR","EQY_CONSOLIDATED=Y","Sort=A","Dates=H","DateFormat=P","Fill=—","Direction=H","UseDPDF=Y")</f>
        <v>#NAME?</v>
      </c>
      <c r="BT77" s="2" t="e">
        <f ca="1">_xll.BDH($C$53,"TOTAL_DEBT_SEQUENTIAL_GROWTH","FQ4 2018","FQ4 2018","Currency=INR","Period=FQ","BEST_FPERIOD_OVERRIDE=FQ","FILING_STATUS=OR","EQY_CONSOLIDATED=Y","Sort=A","Dates=H","DateFormat=P","Fill=—","Direction=H","UseDPDF=Y")</f>
        <v>#NAME?</v>
      </c>
      <c r="BU77" s="2" t="e">
        <f ca="1">_xll.BDH($C$53,"TOTAL_EQUITY_SEQUENTIAL_GROWTH","FQ4 2018","FQ4 2018","Currency=INR","Period=FQ","BEST_FPERIOD_OVERRIDE=FQ","FILING_STATUS=OR","EQY_CONSOLIDATED=Y","Sort=A","Dates=H","DateFormat=P","Fill=—","Direction=H","UseDPDF=Y")</f>
        <v>#NAME?</v>
      </c>
      <c r="BV77" s="2" t="e">
        <f ca="1">_xll.BDH($C$53,"TOTAL_CAPITAL_SEQUENTIAL_GROWTH","FQ4 2018","FQ4 2018","Currency=INR","Period=FQ","BEST_FPERIOD_OVERRIDE=FQ","FILING_STATUS=OR","EQY_CONSOLIDATED=Y","Sort=A","Dates=H","DateFormat=P","Fill=—","Direction=H","UseDPDF=Y")</f>
        <v>#NAME?</v>
      </c>
      <c r="BW77" s="2" t="e">
        <f ca="1">_xll.BDH($C$53,"BPS_SEQUENTIAL_GROWTH","FQ4 2018","FQ4 2018","Currency=INR","Period=FQ","BEST_FPERIOD_OVERRIDE=FQ","FILING_STATUS=OR","EQY_CONSOLIDATED=Y","Sort=A","Dates=H","DateFormat=P","Fill=—","Direction=H","UseDPDF=Y")</f>
        <v>#NAME?</v>
      </c>
      <c r="BX77" s="2" t="e">
        <f ca="1">_xll.BDH($C$53,"CFO_SEQUENTIAL_GROWTH","FQ4 2018","FQ4 2018","Currency=INR","Period=FQ","BEST_FPERIOD_OVERRIDE=FQ","FILING_STATUS=OR","EQY_CONSOLIDATED=Y","Sort=A","Dates=H","DateFormat=P","Fill=—","Direction=H","UseDPDF=Y")</f>
        <v>#NAME?</v>
      </c>
      <c r="BY77" s="3" t="e">
        <f ca="1">_xll.BDH($C$53,"SHORT_AND_LONG_TERM_DEBT","FQ4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77" s="3" t="e">
        <f ca="1">_xll.BDH($C$53,"BS_ST_BORROW","FQ4 2018","FQ4 2018","Currency=INR","Period=FQ","BEST_FPERIOD_OVERRIDE=FQ","FILING_STATUS=OR","EQY_CONSOLIDATED=Y","SCALING_FORMAT=MLN","Sort=A","Dates=H","DateFormat=P","Fill=—","Direction=H","UseDPDF=Y")</f>
        <v>#NAME?</v>
      </c>
      <c r="CA77" s="3" t="e">
        <f ca="1">_xll.BDH($C$53,"BS_LT_BORROW","FQ4 2018","FQ4 2018","Currency=INR","Period=FQ","BEST_FPERIOD_OVERRIDE=FQ","FILING_STATUS=OR","EQY_CONSOLIDATED=Y","SCALING_FORMAT=MLN","Sort=A","Dates=H","DateFormat=P","Fill=—","Direction=H","UseDPDF=Y")</f>
        <v>#NAME?</v>
      </c>
      <c r="CB77" s="2" t="e">
        <f ca="1">_xll.BDH($C$53,"TOT_DEBT_TO_EBITDA","FQ4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77" s="2" t="e">
        <f ca="1">_xll.BDH($C$53,"NET_DEBT_TO_EBITDA","FQ4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77" s="2" t="e">
        <f ca="1">_xll.BDH($C$53,"TOTAL_DEBT_TO_EBIT","FQ4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77" s="2" t="e">
        <f ca="1">_xll.BDH($C$53,"NET_DEBT_TO_EBIT","FQ4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77" s="2" t="e">
        <f ca="1">_xll.BDH($C$53,"EBITDA_TO_INTEREST_EXPN","FQ4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77" s="2" t="e">
        <f ca="1">_xll.BDH($C$53,"COM_EQY_TO_TOT_ASSET","FQ4 2018","FQ4 2018","Currency=INR","Period=FQ","BEST_FPERIOD_OVERRIDE=FQ","FILING_STATUS=OR","EQY_CONSOLIDATED=Y","Sort=A","Dates=H","DateFormat=P","Fill=—","Direction=H","UseDPDF=Y")</f>
        <v>#NAME?</v>
      </c>
      <c r="CH77" s="2" t="e">
        <f ca="1">_xll.BDH($C$53,"LT_DEBT_TO_TOT_EQY","FQ4 2018","FQ4 2018","Currency=INR","Period=FQ","BEST_FPERIOD_OVERRIDE=FQ","FILING_STATUS=OR","EQY_CONSOLIDATED=Y","Sort=A","Dates=H","DateFormat=P","Fill=—","Direction=H","UseDPDF=Y")</f>
        <v>#NAME?</v>
      </c>
      <c r="CI77" s="2" t="e">
        <f ca="1">_xll.BDH($C$53,"LT_DEBT_TO_TOT_CAP","FQ4 2018","FQ4 2018","Currency=INR","Period=FQ","BEST_FPERIOD_OVERRIDE=FQ","FILING_STATUS=OR","EQY_CONSOLIDATED=Y","Sort=A","Dates=H","DateFormat=P","Fill=—","Direction=H","UseDPDF=Y")</f>
        <v>#NAME?</v>
      </c>
      <c r="CJ77" s="2" t="e">
        <f ca="1">_xll.BDH($C$53,"LT_DEBT_TO_TOT_ASSET","FQ4 2018","FQ4 2018","Currency=INR","Period=FQ","BEST_FPERIOD_OVERRIDE=FQ","FILING_STATUS=OR","EQY_CONSOLIDATED=Y","Sort=A","Dates=H","DateFormat=P","Fill=—","Direction=H","UseDPDF=Y")</f>
        <v>#NAME?</v>
      </c>
      <c r="CK77" s="2" t="e">
        <f ca="1">_xll.BDH($C$53,"TOT_DEBT_TO_TOT_EQY","FQ4 2018","FQ4 2018","Currency=INR","Period=FQ","BEST_FPERIOD_OVERRIDE=FQ","FILING_STATUS=OR","EQY_CONSOLIDATED=Y","Sort=A","Dates=H","DateFormat=P","Fill=—","Direction=H","UseDPDF=Y")</f>
        <v>#NAME?</v>
      </c>
      <c r="CL77" s="2" t="e">
        <f ca="1">_xll.BDH($C$53,"TOT_DEBT_TO_TOT_CAP","FQ4 2018","FQ4 2018","Currency=INR","Period=FQ","BEST_FPERIOD_OVERRIDE=FQ","FILING_STATUS=OR","EQY_CONSOLIDATED=Y","Sort=A","Dates=H","DateFormat=P","Fill=—","Direction=H","UseDPDF=Y")</f>
        <v>#NAME?</v>
      </c>
      <c r="CM77" s="2" t="e">
        <f ca="1">_xll.BDH($C$53,"TOT_DEBT_TO_TOT_ASSET","FQ4 2018","FQ4 2018","Currency=INR","Period=FQ","BEST_FPERIOD_OVERRIDE=FQ","FILING_STATUS=OR","EQY_CONSOLIDATED=Y","Sort=A","Dates=H","DateFormat=P","Fill=—","Direction=H","UseDPDF=Y")</f>
        <v>#NAME?</v>
      </c>
      <c r="CN77" s="2" t="e">
        <f ca="1">_xll.BDH($C$53,"NET_DEBT_TO_SHRHLDR_EQTY","FQ4 2018","FQ4 2018","Currency=INR","Period=FQ","BEST_FPERIOD_OVERRIDE=FQ","FILING_STATUS=OR","EQY_CONSOLIDATED=Y","Sort=A","Dates=H","DateFormat=P","Fill=—","Direction=H","UseDPDF=Y")</f>
        <v>#NAME?</v>
      </c>
      <c r="CO77" s="2" t="e">
        <f ca="1">_xll.BDH($C$53,"NET_DEBT_%_CAPITAL","FQ4 2018","FQ4 2018","Currency=INR","Period=FQ","BEST_FPERIOD_OVERRIDE=FQ","FILING_STATUS=OR","EQY_CONSOLIDATED=Y","Sort=A","Dates=H","DateFormat=P","Fill=—","Direction=H","UseDPDF=Y")</f>
        <v>#NAME?</v>
      </c>
      <c r="CP77" s="3" t="e">
        <f ca="1">_xll.BDH($C$53,"EBITDA","FQ4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77" s="3" t="e">
        <f ca="1">_xll.BDH($C$53,"EBITDA_AFTER_CAPEX","FQ4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77" s="3" t="e">
        <f ca="1">_xll.BDH($C$53,"IS_OPER_INC","FQ4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77" s="2" t="e">
        <f ca="1">_xll.BDH($C$53,"CASH_RATIO","FQ4 2018","FQ4 2018","Currency=INR","Period=FQ","BEST_FPERIOD_OVERRIDE=FQ","FILING_STATUS=OR","EQY_CONSOLIDATED=Y","Sort=A","Dates=H","DateFormat=P","Fill=—","Direction=H","UseDPDF=Y")</f>
        <v>#NAME?</v>
      </c>
      <c r="CT77" s="2" t="e">
        <f ca="1">_xll.BDH($C$53,"CUR_RATIO","FQ4 2018","FQ4 2018","Currency=INR","Period=FQ","BEST_FPERIOD_OVERRIDE=FQ","FILING_STATUS=OR","EQY_CONSOLIDATED=Y","Sort=A","Dates=H","DateFormat=P","Fill=—","Direction=H","UseDPDF=Y")</f>
        <v>#NAME?</v>
      </c>
      <c r="CU77" s="2" t="e">
        <f ca="1">_xll.BDH($C$53,"QUICK_RATIO","FQ4 2018","FQ4 2018","Currency=INR","Period=FQ","BEST_FPERIOD_OVERRIDE=FQ","FILING_STATUS=OR","EQY_CONSOLIDATED=Y","Sort=A","Dates=H","DateFormat=P","Fill=—","Direction=H","UseDPDF=Y")</f>
        <v>#NAME?</v>
      </c>
      <c r="CV77" s="2" t="e">
        <f ca="1">_xll.BDH($C$53,"ALTMAN_Z_SCORE","FQ4 2018","FQ4 2018","Currency=INR","Period=FQ","BEST_FPERIOD_OVERRIDE=FQ","FILING_STATUS=OR","EQY_CONSOLIDATED=Y","Sort=A","Dates=H","DateFormat=P","Fill=—","Direction=H","UseDPDF=Y")</f>
        <v>#NAME?</v>
      </c>
      <c r="CW77" s="4" t="e">
        <f ca="1">_xll.BDH($C$53,"ACCT_RCV_TURN","FQ4 2018","FQ4 2018","Currency=INR","Period=FQ","BEST_FPERIOD_OVERRIDE=FQ","FILING_STATUS=OR","EQY_CONSOLIDATED=Y","FA_ADJUSTED=GAAP","Sort=A","Dates=H","DateFormat=P","Fill=—","Direction=H","UseDPDF=Y")</f>
        <v>#NAME?</v>
      </c>
      <c r="CX77" s="2" t="e">
        <f ca="1">_xll.BDH($C$53,"ACCT_RCV_DAYS","FQ4 2018","FQ4 2018","Currency=INR","Period=FQ","BEST_FPERIOD_OVERRIDE=FQ","FILING_STATUS=OR","EQY_CONSOLIDATED=Y","FA_ADJUSTED=GAAP","Sort=A","Dates=H","DateFormat=P","Fill=—","Direction=H","UseDPDF=Y")</f>
        <v>#NAME?</v>
      </c>
      <c r="CY77" s="4" t="e">
        <f ca="1">_xll.BDH($C$53,"INVENT_TURN","FQ4 2018","FQ4 2018","Currency=INR","Period=FQ","BEST_FPERIOD_OVERRIDE=FQ","FILING_STATUS=OR","EQY_CONSOLIDATED=Y","FA_ADJUSTED=GAAP","Sort=A","Dates=H","DateFormat=P","Fill=—","Direction=H","UseDPDF=Y")</f>
        <v>#NAME?</v>
      </c>
      <c r="CZ77" s="2" t="e">
        <f ca="1">_xll.BDH($C$53,"INVENT_DAYS","FQ4 2018","FQ4 2018","Currency=INR","Period=FQ","BEST_FPERIOD_OVERRIDE=FQ","FILING_STATUS=OR","EQY_CONSOLIDATED=Y","FA_ADJUSTED=GAAP","Sort=A","Dates=H","DateFormat=P","Fill=—","Direction=H","UseDPDF=Y")</f>
        <v>#NAME?</v>
      </c>
      <c r="DA77" s="4" t="e">
        <f ca="1">_xll.BDH($C$53,"ACCOUNTS_PAYABLE_TURNOVER","FQ4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77" s="2" t="e">
        <f ca="1">_xll.BDH($C$53,"ACCOUNTS_PAYABLE_TURNOVER_DAYS","FQ4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77" s="4" t="e">
        <f ca="1">_xll.BDH($C$53,"CASH_CONVERSION_CYCLE","FQ4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77" s="4" t="e">
        <f ca="1">_xll.BDH($C$53,"INV_TO_CASH_DAYS","FQ4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77" s="5" t="e">
        <f ca="1">_xll.BDH($C$53,"BS_INVENTORIES","FQ4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77" s="3" t="e">
        <f ca="1">_xll.BDH($C$53,"INVTRY_RAW_MATERIALS","FQ4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77" s="3" t="e">
        <f ca="1">_xll.BDH($C$53,"INVTRY_IN_PROGRESS","FQ4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77" s="3" t="e">
        <f ca="1">_xll.BDH($C$53,"INVTRY_FINISHED_GOODS","FQ4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77" s="3" t="e">
        <f ca="1">_xll.BDH($C$53,"BS_OTHER_INV","FQ4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78" spans="1:113" x14ac:dyDescent="0.3">
      <c r="A78" s="6">
        <v>4</v>
      </c>
      <c r="B78" s="6" t="s">
        <v>90</v>
      </c>
      <c r="C78" s="6" t="s">
        <v>91</v>
      </c>
      <c r="D78" s="6" t="s">
        <v>76</v>
      </c>
      <c r="E78" t="s">
        <v>77</v>
      </c>
      <c r="F78" t="e">
        <f ca="1">_xll.BDH($C$78,"RETURN_COM_EQY","FY 2014","FY 2014","Currency=INR","Period=FY","BEST_FPERIOD_OVERRIDE=FY","FILING_STATUS=OR","EQY_CONSOLIDATED=Y","FA_ADJUSTED=GAAP","Sort=A","Dates=H","DateFormat=P","Fill=—","Direction=H","UseDPDF=Y")</f>
        <v>#NAME?</v>
      </c>
      <c r="G78" t="e">
        <f ca="1">_xll.BDH($C$78,"RETURN_ON_ASSET","FY 2014","FY 2014","Currency=INR","Period=FY","BEST_FPERIOD_OVERRIDE=FY","FILING_STATUS=OR","EQY_CONSOLIDATED=Y","FA_ADJUSTED=GAAP","Sort=A","Dates=H","DateFormat=P","Fill=—","Direction=H","UseDPDF=Y")</f>
        <v>#NAME?</v>
      </c>
      <c r="H78" t="e">
        <f ca="1">_xll.BDH($C$78,"RETURN_ON_CAP","FY 2014","FY 2014","Currency=INR","Period=FY","BEST_FPERIOD_OVERRIDE=FY","FILING_STATUS=OR","EQY_CONSOLIDATED=Y","FA_ADJUSTED=GAAP","Sort=A","Dates=H","DateFormat=P","Fill=—","Direction=H","UseDPDF=Y")</f>
        <v>#NAME?</v>
      </c>
      <c r="I78" t="e">
        <f ca="1">_xll.BDH($C$78,"RETURN_ON_INV_CAPITAL","FY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78" t="e">
        <f ca="1">_xll.BDH($C$78,"EBITDA_TO_REVENUE","FY 2014","FY 2014","Currency=INR","Period=FY","BEST_FPERIOD_OVERRIDE=FY","FILING_STATUS=OR","EQY_CONSOLIDATED=Y","FA_ADJUSTED=GAAP","Sort=A","Dates=H","DateFormat=P","Fill=—","Direction=H","UseDPDF=Y")</f>
        <v>#NAME?</v>
      </c>
      <c r="K78" t="e">
        <f ca="1">_xll.BDH($C$78,"OPER_MARGIN","FY 2014","FY 2014","Currency=INR","Period=FY","BEST_FPERIOD_OVERRIDE=FY","FILING_STATUS=OR","EQY_CONSOLIDATED=Y","FA_ADJUSTED=GAAP","Sort=A","Dates=H","DateFormat=P","Fill=—","Direction=H","UseDPDF=Y")</f>
        <v>#NAME?</v>
      </c>
      <c r="L78" t="e">
        <f ca="1">_xll.BDH($C$78,"INCREMENTAL_OPERATING_MARGIN","FY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78" t="e">
        <f ca="1">_xll.BDH($C$78,"PRETAX_INC_TO_NET_SALES","FY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78" t="e">
        <f ca="1">_xll.BDH($C$78,"INC_BEF_XO_ITEMS_TO_NET_SALES","FY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78" t="e">
        <f ca="1">_xll.BDH($C$78,"PROF_MARGIN","FY 2014","FY 2014","Currency=INR","Period=FY","BEST_FPERIOD_OVERRIDE=FY","FILING_STATUS=OR","EQY_CONSOLIDATED=Y","FA_ADJUSTED=GAAP","Sort=A","Dates=H","DateFormat=P","Fill=—","Direction=H","UseDPDF=Y")</f>
        <v>#NAME?</v>
      </c>
      <c r="P78" t="e">
        <f ca="1">_xll.BDH($C$78,"NET_INCOME_TO_COMMON_MARGIN","FY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78" t="e">
        <f ca="1">_xll.BDH($C$78,"EFF_TAX_RATE","FY 2014","FY 2014","Currency=INR","Period=FY","BEST_FPERIOD_OVERRIDE=FY","FILING_STATUS=OR","EQY_CONSOLIDATED=Y","FA_ADJUSTED=GAAP","Sort=A","Dates=H","DateFormat=P","Fill=—","Direction=H","UseDPDF=Y")</f>
        <v>#NAME?</v>
      </c>
      <c r="R78" t="e">
        <f ca="1">_xll.BDH($C$78,"DVD_PAYOUT_RATIO","FY 2014","FY 2014","Currency=INR","Period=FY","BEST_FPERIOD_OVERRIDE=FY","FILING_STATUS=OR","EQY_CONSOLIDATED=Y","FA_ADJUSTED=GAAP","Sort=A","Dates=H","DateFormat=P","Fill=—","Direction=H","UseDPDF=Y")</f>
        <v>#NAME?</v>
      </c>
      <c r="S78" t="e">
        <f ca="1">_xll.BDH($C$78,"SUSTAIN_GROWTH_RT","FY 2014","FY 2014","Currency=INR","Period=FY","BEST_FPERIOD_OVERRIDE=FY","FILING_STATUS=OR","EQY_CONSOLIDATED=Y","FA_ADJUSTED=GAAP","Sort=A","Dates=H","DateFormat=P","Fill=—","Direction=H","UseDPDF=Y")</f>
        <v>#NAME?</v>
      </c>
      <c r="T78" s="2" t="e">
        <f ca="1">_xll.BDH($C$78,"SALES_GROWTH","FY 2014","FY 2014","Currency=INR","Period=FY","BEST_FPERIOD_OVERRIDE=FY","FILING_STATUS=OR","EQY_CONSOLIDATED=Y","FA_ADJUSTED=GAAP","Sort=A","Dates=H","DateFormat=P","Fill=—","Direction=H","UseDPDF=Y")</f>
        <v>#NAME?</v>
      </c>
      <c r="U78" s="2" t="e">
        <f ca="1">_xll.BDH($C$78,"EBITDA_GROWTH","FY 2014","FY 2014","Currency=INR","Period=FY","BEST_FPERIOD_OVERRIDE=FY","FILING_STATUS=OR","EQY_CONSOLIDATED=Y","FA_ADJUSTED=GAAP","Sort=A","Dates=H","DateFormat=P","Fill=—","Direction=H","UseDPDF=Y")</f>
        <v>#NAME?</v>
      </c>
      <c r="V78" s="2" t="e">
        <f ca="1">_xll.BDH($C$78,"OPER_INC_GROWTH","FY 2014","FY 2014","Currency=INR","Period=FY","BEST_FPERIOD_OVERRIDE=FY","FILING_STATUS=OR","EQY_CONSOLIDATED=Y","FA_ADJUSTED=GAAP","Sort=A","Dates=H","DateFormat=P","Fill=—","Direction=H","UseDPDF=Y")</f>
        <v>#NAME?</v>
      </c>
      <c r="W78" s="2" t="e">
        <f ca="1">_xll.BDH($C$78,"EARN_FOR_COM_GROWTH","FY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78" s="2" t="e">
        <f ca="1">_xll.BDH($C$78,"DILUTED_EPS_AFT_XO_ITEMS_GROWTH","FY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78" s="2" t="e">
        <f ca="1">_xll.BDH($C$78,"DIVIDEND_PER_SHARE_1_YEAR_GROWTH","FY 2014","FY 2014","Currency=INR","Period=FY","BEST_FPERIOD_OVERRIDE=FY","FILING_STATUS=OR","EQY_CONSOLIDATED=Y","Sort=A","Dates=H","DateFormat=P","Fill=—","Direction=H","UseDPDF=Y")</f>
        <v>#NAME?</v>
      </c>
      <c r="Z78" s="2" t="e">
        <f ca="1">_xll.BDH($C$78,"ACCOUNTS_RECEIVABLE_GROWTH","FY 2014","FY 2014","Currency=INR","Period=FY","BEST_FPERIOD_OVERRIDE=FY","FILING_STATUS=OR","EQY_CONSOLIDATED=Y","Sort=A","Dates=H","DateFormat=P","Fill=—","Direction=H","UseDPDF=Y")</f>
        <v>#NAME?</v>
      </c>
      <c r="AA78" s="2" t="e">
        <f ca="1">_xll.BDH($C$78,"INVENTORY_GROWTH","FY 2014","FY 2014","Currency=INR","Period=FY","BEST_FPERIOD_OVERRIDE=FY","FILING_STATUS=OR","EQY_CONSOLIDATED=Y","Sort=A","Dates=H","DateFormat=P","Fill=—","Direction=H","UseDPDF=Y")</f>
        <v>#NAME?</v>
      </c>
      <c r="AB78" s="2" t="e">
        <f ca="1">_xll.BDH($C$78,"NET_FIXED_ASSETS_1_YEAR_GROWTH","FY 2014","FY 2014","Currency=INR","Period=FY","BEST_FPERIOD_OVERRIDE=FY","FILING_STATUS=OR","EQY_CONSOLIDATED=Y","Sort=A","Dates=H","DateFormat=P","Fill=—","Direction=H","UseDPDF=Y")</f>
        <v>#NAME?</v>
      </c>
      <c r="AC78" s="2" t="e">
        <f ca="1">_xll.BDH($C$78,"ASSET_GROWTH","FY 2014","FY 2014","Currency=INR","Period=FY","BEST_FPERIOD_OVERRIDE=FY","FILING_STATUS=OR","EQY_CONSOLIDATED=Y","Sort=A","Dates=H","DateFormat=P","Fill=—","Direction=H","UseDPDF=Y")</f>
        <v>#NAME?</v>
      </c>
      <c r="AD78" s="2" t="e">
        <f ca="1">_xll.BDH($C$78,"MODIFIED_WORK_CAP_GROWTH","FY 2014","FY 2014","Currency=INR","Period=FY","BEST_FPERIOD_OVERRIDE=FY","FILING_STATUS=OR","EQY_CONSOLIDATED=Y","Sort=A","Dates=H","DateFormat=P","Fill=—","Direction=H","UseDPDF=Y")</f>
        <v>#NAME?</v>
      </c>
      <c r="AE78" s="2" t="e">
        <f ca="1">_xll.BDH($C$78,"WORK_CAP_GROWTH","FY 2014","FY 2014","Currency=INR","Period=FY","BEST_FPERIOD_OVERRIDE=FY","FILING_STATUS=OR","EQY_CONSOLIDATED=Y","Sort=A","Dates=H","DateFormat=P","Fill=—","Direction=H","UseDPDF=Y")</f>
        <v>#NAME?</v>
      </c>
      <c r="AF78" s="2" t="e">
        <f ca="1">_xll.BDH($C$78,"ACCOUNTS_PAYABLE_GROWTH_1YR","FY 2014","FY 2014","Currency=INR","Period=FY","BEST_FPERIOD_OVERRIDE=FY","FILING_STATUS=OR","EQY_CONSOLIDATED=Y","Sort=A","Dates=H","DateFormat=P","Fill=—","Direction=H","UseDPDF=Y")</f>
        <v>#NAME?</v>
      </c>
      <c r="AG78" s="2" t="e">
        <f ca="1">_xll.BDH($C$78,"SHORT_TERM_DEBT_1_YEAR_GROWTH","FY 2014","FY 2014","Currency=INR","Period=FY","BEST_FPERIOD_OVERRIDE=FY","FILING_STATUS=OR","EQY_CONSOLIDATED=Y","Sort=A","Dates=H","DateFormat=P","Fill=—","Direction=H","UseDPDF=Y")</f>
        <v>#NAME?</v>
      </c>
      <c r="AH78" s="2" t="e">
        <f ca="1">_xll.BDH($C$78,"TOTAL_DEBT_1_YEAR_GROWTH","FY 2014","FY 2014","Currency=INR","Period=FY","BEST_FPERIOD_OVERRIDE=FY","FILING_STATUS=OR","EQY_CONSOLIDATED=Y","Sort=A","Dates=H","DateFormat=P","Fill=—","Direction=H","UseDPDF=Y")</f>
        <v>#NAME?</v>
      </c>
      <c r="AI78" s="2" t="e">
        <f ca="1">_xll.BDH($C$78,"TOTAL_EQUITY_1_YEAR_GROWTH","FY 2014","FY 2014","Currency=INR","Period=FY","BEST_FPERIOD_OVERRIDE=FY","FILING_STATUS=OR","EQY_CONSOLIDATED=Y","Sort=A","Dates=H","DateFormat=P","Fill=—","Direction=H","UseDPDF=Y")</f>
        <v>#NAME?</v>
      </c>
      <c r="AJ78" s="2" t="e">
        <f ca="1">_xll.BDH($C$78,"GROWTH_IN_CAP","FY 2014","FY 2014","Currency=INR","Period=FY","BEST_FPERIOD_OVERRIDE=FY","FILING_STATUS=OR","EQY_CONSOLIDATED=Y","Sort=A","Dates=H","DateFormat=P","Fill=—","Direction=H","UseDPDF=Y")</f>
        <v>#NAME?</v>
      </c>
      <c r="AK78" s="2" t="e">
        <f ca="1">_xll.BDH($C$78,"BVPS_GROWTH","FY 2014","FY 2014","Currency=INR","Period=FY","BEST_FPERIOD_OVERRIDE=FY","FILING_STATUS=OR","EQY_CONSOLIDATED=Y","Sort=A","Dates=H","DateFormat=P","Fill=—","Direction=H","UseDPDF=Y")</f>
        <v>#NAME?</v>
      </c>
      <c r="AL78" s="2" t="e">
        <f ca="1">_xll.BDH($C$78,"CASH_FLOW_GROWTH","FY 2014","FY 2014","Currency=INR","Period=FY","BEST_FPERIOD_OVERRIDE=FY","FILING_STATUS=OR","EQY_CONSOLIDATED=Y","Sort=A","Dates=H","DateFormat=P","Fill=—","Direction=H","UseDPDF=Y")</f>
        <v>#NAME?</v>
      </c>
      <c r="AM78" s="2" t="e">
        <f ca="1">_xll.BDH($C$78,"GEO_GROW_NET_SALES","FY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78" s="2" t="e">
        <f ca="1">_xll.BDH($C$78,"GEO_GROW_EBITDA","FY 2014","FY 2014","Currency=INR","Period=FY","BEST_FPERIOD_OVERRIDE=FY","FILING_STATUS=OR","EQY_CONSOLIDATED=Y","FA_ADJUSTED=GAAP","Sort=A","Dates=H","DateFormat=P","Fill=—","Direction=H","UseDPDF=Y")</f>
        <v>#NAME?</v>
      </c>
      <c r="AO78" s="2" t="e">
        <f ca="1">_xll.BDH($C$78,"GEO_GROW_OPER_INC","FY 2014","FY 2014","Currency=INR","Period=FY","BEST_FPERIOD_OVERRIDE=FY","FILING_STATUS=OR","EQY_CONSOLIDATED=Y","FA_ADJUSTED=GAAP","Sort=A","Dates=H","DateFormat=P","Fill=—","Direction=H","UseDPDF=Y")</f>
        <v>#NAME?</v>
      </c>
      <c r="AP78" s="2" t="e">
        <f ca="1">_xll.BDH($C$78,"NET_INCOME_TO_COMMON_5_YR_GROWTH","FY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78" s="2" t="e">
        <f ca="1">_xll.BDH($C$78,"5Y_GEO_GROWTH_DILUTED_EPS","FY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78" s="2" t="e">
        <f ca="1">_xll.BDH($C$78,"GEO_GROW_DVD_PER_SH","FY 2014","FY 2014","Currency=INR","Period=FY","BEST_FPERIOD_OVERRIDE=FY","FILING_STATUS=OR","EQY_CONSOLIDATED=Y","Sort=A","Dates=H","DateFormat=P","Fill=—","Direction=H","UseDPDF=Y")</f>
        <v>#NAME?</v>
      </c>
      <c r="AS78" s="2" t="e">
        <f ca="1">_xll.BDH($C$78,"ACCOUNTS_RECEIVABLE_5_YR_GROWTH","FY 2014","FY 2014","Currency=INR","Period=FY","BEST_FPERIOD_OVERRIDE=FY","FILING_STATUS=OR","EQY_CONSOLIDATED=Y","Sort=A","Dates=H","DateFormat=P","Fill=—","Direction=H","UseDPDF=Y")</f>
        <v>#NAME?</v>
      </c>
      <c r="AT78" s="2" t="e">
        <f ca="1">_xll.BDH($C$78,"INVENTORY_5_YEAR_GROWTH","FY 2014","FY 2014","Currency=INR","Period=FY","BEST_FPERIOD_OVERRIDE=FY","FILING_STATUS=OR","EQY_CONSOLIDATED=Y","Sort=A","Dates=H","DateFormat=P","Fill=—","Direction=H","UseDPDF=Y")</f>
        <v>#NAME?</v>
      </c>
      <c r="AU78" s="2" t="e">
        <f ca="1">_xll.BDH($C$78,"NET_FIXED_ASSETS_5_YEAR_GROWTH","FY 2014","FY 2014","Currency=INR","Period=FY","BEST_FPERIOD_OVERRIDE=FY","FILING_STATUS=OR","EQY_CONSOLIDATED=Y","Sort=A","Dates=H","DateFormat=P","Fill=—","Direction=H","UseDPDF=Y")</f>
        <v>#NAME?</v>
      </c>
      <c r="AV78" s="2" t="e">
        <f ca="1">_xll.BDH($C$78,"GEO_GROW_TOT_ASSET","FY 2014","FY 2014","Currency=INR","Period=FY","BEST_FPERIOD_OVERRIDE=FY","FILING_STATUS=OR","EQY_CONSOLIDATED=Y","Sort=A","Dates=H","DateFormat=P","Fill=—","Direction=H","UseDPDF=Y")</f>
        <v>#NAME?</v>
      </c>
      <c r="AW78" s="2" t="e">
        <f ca="1">_xll.BDH($C$78,"MODIFIED_WORKING_CPTL_5YR_GRWTH","FY 2014","FY 2014","Currency=INR","Period=FY","BEST_FPERIOD_OVERRIDE=FY","FILING_STATUS=OR","EQY_CONSOLIDATED=Y","Sort=A","Dates=H","DateFormat=P","Fill=—","Direction=H","UseDPDF=Y")</f>
        <v>#NAME?</v>
      </c>
      <c r="AX78" s="2" t="e">
        <f ca="1">_xll.BDH($C$78,"WORKING_CAPITAL_5_YEAR_GROWTH","FY 2014","FY 2014","Currency=INR","Period=FY","BEST_FPERIOD_OVERRIDE=FY","FILING_STATUS=OR","EQY_CONSOLIDATED=Y","Sort=A","Dates=H","DateFormat=P","Fill=—","Direction=H","UseDPDF=Y")</f>
        <v>#NAME?</v>
      </c>
      <c r="AY78" s="2" t="e">
        <f ca="1">_xll.BDH($C$78,"ACCOUNTS_PAYABLE_5_YEAR_GROWTH","FY 2014","FY 2014","Currency=INR","Period=FY","BEST_FPERIOD_OVERRIDE=FY","FILING_STATUS=OR","EQY_CONSOLIDATED=Y","Sort=A","Dates=H","DateFormat=P","Fill=—","Direction=H","UseDPDF=Y")</f>
        <v>#NAME?</v>
      </c>
      <c r="AZ78" s="2" t="e">
        <f ca="1">_xll.BDH($C$78,"SHORT_TERM_DEBT_5_YEAR_GROWTH","FY 2014","FY 2014","Currency=INR","Period=FY","BEST_FPERIOD_OVERRIDE=FY","FILING_STATUS=OR","EQY_CONSOLIDATED=Y","Sort=A","Dates=H","DateFormat=P","Fill=—","Direction=H","UseDPDF=Y")</f>
        <v>#NAME?</v>
      </c>
      <c r="BA78" s="2" t="e">
        <f ca="1">_xll.BDH($C$78,"TOTAL_DEBT_5_YEAR_GROWTH","FY 2014","FY 2014","Currency=INR","Period=FY","BEST_FPERIOD_OVERRIDE=FY","FILING_STATUS=OR","EQY_CONSOLIDATED=Y","Sort=A","Dates=H","DateFormat=P","Fill=—","Direction=H","UseDPDF=Y")</f>
        <v>#NAME?</v>
      </c>
      <c r="BB78" s="2" t="e">
        <f ca="1">_xll.BDH($C$78,"GEO_GROW_TOT_SHRHLDR_EQY","FY 2014","FY 2014","Currency=INR","Period=FY","BEST_FPERIOD_OVERRIDE=FY","FILING_STATUS=OR","EQY_CONSOLIDATED=Y","Sort=A","Dates=H","DateFormat=P","Fill=—","Direction=H","UseDPDF=Y")</f>
        <v>#NAME?</v>
      </c>
      <c r="BC78" s="2" t="e">
        <f ca="1">_xll.BDH($C$78,"TOTAL_CAPITAL_5_YEAR_GROWTH","FY 2014","FY 2014","Currency=INR","Period=FY","BEST_FPERIOD_OVERRIDE=FY","FILING_STATUS=OR","EQY_CONSOLIDATED=Y","Sort=A","Dates=H","DateFormat=P","Fill=—","Direction=H","UseDPDF=Y")</f>
        <v>#NAME?</v>
      </c>
      <c r="BD78" s="2" t="e">
        <f ca="1">_xll.BDH($C$78,"GEO_GROW_BOOK_VAL","FY 2014","FY 2014","Currency=INR","Period=FY","BEST_FPERIOD_OVERRIDE=FY","FILING_STATUS=OR","EQY_CONSOLIDATED=Y","Sort=A","Dates=H","DateFormat=P","Fill=—","Direction=H","UseDPDF=Y")</f>
        <v>#NAME?</v>
      </c>
      <c r="BE78" s="2" t="e">
        <f ca="1">_xll.BDH($C$78,"GEO_GROW_CASH_OPER_ACT","FY 2014","FY 2014","Currency=INR","Period=FY","BEST_FPERIOD_OVERRIDE=FY","FILING_STATUS=OR","EQY_CONSOLIDATED=Y","Sort=A","Dates=H","DateFormat=P","Fill=—","Direction=H","UseDPDF=Y")</f>
        <v>#NAME?</v>
      </c>
      <c r="BF78" s="2" t="e">
        <f ca="1">_xll.BDH($C$78,"REVENUE_SEQUENTIAL_GROWTH","FY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78" s="2" t="e">
        <f ca="1">_xll.BDH($C$78,"EBITDA_SEQUENTIAL_GROWTH","FY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78" s="2" t="e">
        <f ca="1">_xll.BDH($C$78,"OPERATING_INCOME_SEQ_GROWTH","FY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78" s="2" t="e">
        <f ca="1">_xll.BDH($C$78,"NET_INCOME_TO_COMMON_SEQ_GROWTH","FY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78" s="2" t="e">
        <f ca="1">_xll.BDH($C$78,"EPS_DILUTED_SEQUENTIAL_GROWTH","FY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78" s="2" t="e">
        <f ca="1">_xll.BDH($C$78,"DPS_SEQUENTIAL_GROWTH","FY 2014","FY 2014","Currency=INR","Period=FY","BEST_FPERIOD_OVERRIDE=FY","FILING_STATUS=OR","EQY_CONSOLIDATED=Y","Sort=A","Dates=H","DateFormat=P","Fill=—","Direction=H","UseDPDF=Y")</f>
        <v>#NAME?</v>
      </c>
      <c r="BL78" s="2" t="e">
        <f ca="1">_xll.BDH($C$78,"ACCOUNTS_RECEIVABLE_SEQ_GROWTH","FY 2014","FY 2014","Currency=INR","Period=FY","BEST_FPERIOD_OVERRIDE=FY","FILING_STATUS=OR","EQY_CONSOLIDATED=Y","Sort=A","Dates=H","DateFormat=P","Fill=—","Direction=H","UseDPDF=Y")</f>
        <v>#NAME?</v>
      </c>
      <c r="BM78" s="2" t="e">
        <f ca="1">_xll.BDH($C$78,"INVENTORY_SEQUENTIAL_GROWTH","FY 2014","FY 2014","Currency=INR","Period=FY","BEST_FPERIOD_OVERRIDE=FY","FILING_STATUS=OR","EQY_CONSOLIDATED=Y","Sort=A","Dates=H","DateFormat=P","Fill=—","Direction=H","UseDPDF=Y")</f>
        <v>#NAME?</v>
      </c>
      <c r="BN78" s="2" t="e">
        <f ca="1">_xll.BDH($C$78,"FIXED_ASSETS_SEQUENTIAL_GROWTH","FY 2014","FY 2014","Currency=INR","Period=FY","BEST_FPERIOD_OVERRIDE=FY","FILING_STATUS=OR","EQY_CONSOLIDATED=Y","Sort=A","Dates=H","DateFormat=P","Fill=—","Direction=H","UseDPDF=Y")</f>
        <v>#NAME?</v>
      </c>
      <c r="BO78" s="2" t="e">
        <f ca="1">_xll.BDH($C$78,"TOTAL_ASSETS_SEQUENTIAL_GROWTH","FY 2014","FY 2014","Currency=INR","Period=FY","BEST_FPERIOD_OVERRIDE=FY","FILING_STATUS=OR","EQY_CONSOLIDATED=Y","Sort=A","Dates=H","DateFormat=P","Fill=—","Direction=H","UseDPDF=Y")</f>
        <v>#NAME?</v>
      </c>
      <c r="BP78" s="2" t="e">
        <f ca="1">_xll.BDH($C$78,"MODIFIED_WORKING_CPTL_SEQ_GRWTH","FY 2014","FY 2014","Currency=INR","Period=FY","BEST_FPERIOD_OVERRIDE=FY","FILING_STATUS=OR","EQY_CONSOLIDATED=Y","Sort=A","Dates=H","DateFormat=P","Fill=—","Direction=H","UseDPDF=Y")</f>
        <v>#NAME?</v>
      </c>
      <c r="BQ78" s="2" t="e">
        <f ca="1">_xll.BDH($C$78,"WORKING_CAPITAL_SEQ_GROWTH","FY 2014","FY 2014","Currency=INR","Period=FY","BEST_FPERIOD_OVERRIDE=FY","FILING_STATUS=OR","EQY_CONSOLIDATED=Y","Sort=A","Dates=H","DateFormat=P","Fill=—","Direction=H","UseDPDF=Y")</f>
        <v>#NAME?</v>
      </c>
      <c r="BR78" s="2" t="e">
        <f ca="1">_xll.BDH($C$78,"ACCOUNTS_PAYABLE_SEQ_GROWTH","FY 2014","FY 2014","Currency=INR","Period=FY","BEST_FPERIOD_OVERRIDE=FY","FILING_STATUS=OR","EQY_CONSOLIDATED=Y","Sort=A","Dates=H","DateFormat=P","Fill=—","Direction=H","UseDPDF=Y")</f>
        <v>#NAME?</v>
      </c>
      <c r="BS78" s="2" t="e">
        <f ca="1">_xll.BDH($C$78,"ST_DEBT_SEQUENTIAL_GROWTH","FY 2014","FY 2014","Currency=INR","Period=FY","BEST_FPERIOD_OVERRIDE=FY","FILING_STATUS=OR","EQY_CONSOLIDATED=Y","Sort=A","Dates=H","DateFormat=P","Fill=—","Direction=H","UseDPDF=Y")</f>
        <v>#NAME?</v>
      </c>
      <c r="BT78" s="2" t="e">
        <f ca="1">_xll.BDH($C$78,"TOTAL_DEBT_SEQUENTIAL_GROWTH","FY 2014","FY 2014","Currency=INR","Period=FY","BEST_FPERIOD_OVERRIDE=FY","FILING_STATUS=OR","EQY_CONSOLIDATED=Y","Sort=A","Dates=H","DateFormat=P","Fill=—","Direction=H","UseDPDF=Y")</f>
        <v>#NAME?</v>
      </c>
      <c r="BU78" s="2" t="e">
        <f ca="1">_xll.BDH($C$78,"TOTAL_EQUITY_SEQUENTIAL_GROWTH","FY 2014","FY 2014","Currency=INR","Period=FY","BEST_FPERIOD_OVERRIDE=FY","FILING_STATUS=OR","EQY_CONSOLIDATED=Y","Sort=A","Dates=H","DateFormat=P","Fill=—","Direction=H","UseDPDF=Y")</f>
        <v>#NAME?</v>
      </c>
      <c r="BV78" s="2" t="e">
        <f ca="1">_xll.BDH($C$78,"TOTAL_CAPITAL_SEQUENTIAL_GROWTH","FY 2014","FY 2014","Currency=INR","Period=FY","BEST_FPERIOD_OVERRIDE=FY","FILING_STATUS=OR","EQY_CONSOLIDATED=Y","Sort=A","Dates=H","DateFormat=P","Fill=—","Direction=H","UseDPDF=Y")</f>
        <v>#NAME?</v>
      </c>
      <c r="BW78" s="2" t="e">
        <f ca="1">_xll.BDH($C$78,"BPS_SEQUENTIAL_GROWTH","FY 2014","FY 2014","Currency=INR","Period=FY","BEST_FPERIOD_OVERRIDE=FY","FILING_STATUS=OR","EQY_CONSOLIDATED=Y","Sort=A","Dates=H","DateFormat=P","Fill=—","Direction=H","UseDPDF=Y")</f>
        <v>#NAME?</v>
      </c>
      <c r="BX78" s="2" t="e">
        <f ca="1">_xll.BDH($C$78,"CFO_SEQUENTIAL_GROWTH","FY 2014","FY 2014","Currency=INR","Period=FY","BEST_FPERIOD_OVERRIDE=FY","FILING_STATUS=OR","EQY_CONSOLIDATED=Y","Sort=A","Dates=H","DateFormat=P","Fill=—","Direction=H","UseDPDF=Y")</f>
        <v>#NAME?</v>
      </c>
      <c r="BY78" s="3" t="e">
        <f ca="1">_xll.BDH($C$78,"SHORT_AND_LONG_TERM_DEBT","FY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78" s="3" t="e">
        <f ca="1">_xll.BDH($C$78,"BS_ST_BORROW","FY 2014","FY 2014","Currency=INR","Period=FY","BEST_FPERIOD_OVERRIDE=FY","FILING_STATUS=OR","EQY_CONSOLIDATED=Y","SCALING_FORMAT=MLN","Sort=A","Dates=H","DateFormat=P","Fill=—","Direction=H","UseDPDF=Y")</f>
        <v>#NAME?</v>
      </c>
      <c r="CA78" s="3" t="e">
        <f ca="1">_xll.BDH($C$78,"BS_LT_BORROW","FY 2014","FY 2014","Currency=INR","Period=FY","BEST_FPERIOD_OVERRIDE=FY","FILING_STATUS=OR","EQY_CONSOLIDATED=Y","SCALING_FORMAT=MLN","Sort=A","Dates=H","DateFormat=P","Fill=—","Direction=H","UseDPDF=Y")</f>
        <v>#NAME?</v>
      </c>
      <c r="CB78" s="2" t="e">
        <f ca="1">_xll.BDH($C$78,"TOT_DEBT_TO_EBITDA","FY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78" s="2" t="e">
        <f ca="1">_xll.BDH($C$78,"NET_DEBT_TO_EBITDA","FY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78" s="2" t="e">
        <f ca="1">_xll.BDH($C$78,"TOTAL_DEBT_TO_EBIT","FY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78" s="2" t="e">
        <f ca="1">_xll.BDH($C$78,"NET_DEBT_TO_EBIT","FY 2014","FY 2014","Currency=INR","Period=FY","BEST_FPERIOD_OVERRIDE=FY","FILING_STATUS=OR","EQY_CONSOLIDATED=Y","FA_ADJUSTED=GAAP","Sort=A","Dates=H","DateFormat=P","Fill=—","Direction=H","UseDPDF=Y")</f>
        <v>#NAME?</v>
      </c>
      <c r="CF78" s="2" t="e">
        <f ca="1">_xll.BDH($C$78,"EBITDA_TO_INTEREST_EXPN","FY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78" s="2" t="e">
        <f ca="1">_xll.BDH($C$78,"COM_EQY_TO_TOT_ASSET","FY 2014","FY 2014","Currency=INR","Period=FY","BEST_FPERIOD_OVERRIDE=FY","FILING_STATUS=OR","EQY_CONSOLIDATED=Y","Sort=A","Dates=H","DateFormat=P","Fill=—","Direction=H","UseDPDF=Y")</f>
        <v>#NAME?</v>
      </c>
      <c r="CH78" s="2" t="e">
        <f ca="1">_xll.BDH($C$78,"LT_DEBT_TO_TOT_EQY","FY 2014","FY 2014","Currency=INR","Period=FY","BEST_FPERIOD_OVERRIDE=FY","FILING_STATUS=OR","EQY_CONSOLIDATED=Y","Sort=A","Dates=H","DateFormat=P","Fill=—","Direction=H","UseDPDF=Y")</f>
        <v>#NAME?</v>
      </c>
      <c r="CI78" s="2" t="e">
        <f ca="1">_xll.BDH($C$78,"LT_DEBT_TO_TOT_CAP","FY 2014","FY 2014","Currency=INR","Period=FY","BEST_FPERIOD_OVERRIDE=FY","FILING_STATUS=OR","EQY_CONSOLIDATED=Y","Sort=A","Dates=H","DateFormat=P","Fill=—","Direction=H","UseDPDF=Y")</f>
        <v>#NAME?</v>
      </c>
      <c r="CJ78" s="2" t="e">
        <f ca="1">_xll.BDH($C$78,"LT_DEBT_TO_TOT_ASSET","FY 2014","FY 2014","Currency=INR","Period=FY","BEST_FPERIOD_OVERRIDE=FY","FILING_STATUS=OR","EQY_CONSOLIDATED=Y","Sort=A","Dates=H","DateFormat=P","Fill=—","Direction=H","UseDPDF=Y")</f>
        <v>#NAME?</v>
      </c>
      <c r="CK78" s="2" t="e">
        <f ca="1">_xll.BDH($C$78,"TOT_DEBT_TO_TOT_EQY","FY 2014","FY 2014","Currency=INR","Period=FY","BEST_FPERIOD_OVERRIDE=FY","FILING_STATUS=OR","EQY_CONSOLIDATED=Y","Sort=A","Dates=H","DateFormat=P","Fill=—","Direction=H","UseDPDF=Y")</f>
        <v>#NAME?</v>
      </c>
      <c r="CL78" s="2" t="e">
        <f ca="1">_xll.BDH($C$78,"TOT_DEBT_TO_TOT_CAP","FY 2014","FY 2014","Currency=INR","Period=FY","BEST_FPERIOD_OVERRIDE=FY","FILING_STATUS=OR","EQY_CONSOLIDATED=Y","Sort=A","Dates=H","DateFormat=P","Fill=—","Direction=H","UseDPDF=Y")</f>
        <v>#NAME?</v>
      </c>
      <c r="CM78" s="2" t="e">
        <f ca="1">_xll.BDH($C$78,"TOT_DEBT_TO_TOT_ASSET","FY 2014","FY 2014","Currency=INR","Period=FY","BEST_FPERIOD_OVERRIDE=FY","FILING_STATUS=OR","EQY_CONSOLIDATED=Y","Sort=A","Dates=H","DateFormat=P","Fill=—","Direction=H","UseDPDF=Y")</f>
        <v>#NAME?</v>
      </c>
      <c r="CN78" s="2" t="e">
        <f ca="1">_xll.BDH($C$78,"NET_DEBT_TO_SHRHLDR_EQTY","FY 2014","FY 2014","Currency=INR","Period=FY","BEST_FPERIOD_OVERRIDE=FY","FILING_STATUS=OR","EQY_CONSOLIDATED=Y","Sort=A","Dates=H","DateFormat=P","Fill=—","Direction=H","UseDPDF=Y")</f>
        <v>#NAME?</v>
      </c>
      <c r="CO78" s="2" t="e">
        <f ca="1">_xll.BDH($C$78,"NET_DEBT_%_CAPITAL","FY 2014","FY 2014","Currency=INR","Period=FY","BEST_FPERIOD_OVERRIDE=FY","FILING_STATUS=OR","EQY_CONSOLIDATED=Y","Sort=A","Dates=H","DateFormat=P","Fill=—","Direction=H","UseDPDF=Y")</f>
        <v>#NAME?</v>
      </c>
      <c r="CP78" s="3" t="e">
        <f ca="1">_xll.BDH($C$78,"EBITDA","FY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78" s="3" t="e">
        <f ca="1">_xll.BDH($C$78,"EBITDA_AFTER_CAPEX","FY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78" s="3" t="e">
        <f ca="1">_xll.BDH($C$78,"IS_OPER_INC","FY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78" s="2" t="e">
        <f ca="1">_xll.BDH($C$78,"CASH_RATIO","FY 2014","FY 2014","Currency=INR","Period=FY","BEST_FPERIOD_OVERRIDE=FY","FILING_STATUS=OR","EQY_CONSOLIDATED=Y","Sort=A","Dates=H","DateFormat=P","Fill=—","Direction=H","UseDPDF=Y")</f>
        <v>#NAME?</v>
      </c>
      <c r="CT78" s="2" t="e">
        <f ca="1">_xll.BDH($C$78,"CUR_RATIO","FY 2014","FY 2014","Currency=INR","Period=FY","BEST_FPERIOD_OVERRIDE=FY","FILING_STATUS=OR","EQY_CONSOLIDATED=Y","Sort=A","Dates=H","DateFormat=P","Fill=—","Direction=H","UseDPDF=Y")</f>
        <v>#NAME?</v>
      </c>
      <c r="CU78" s="2" t="e">
        <f ca="1">_xll.BDH($C$78,"QUICK_RATIO","FY 2014","FY 2014","Currency=INR","Period=FY","BEST_FPERIOD_OVERRIDE=FY","FILING_STATUS=OR","EQY_CONSOLIDATED=Y","Sort=A","Dates=H","DateFormat=P","Fill=—","Direction=H","UseDPDF=Y")</f>
        <v>#NAME?</v>
      </c>
      <c r="CV78" s="2" t="e">
        <f ca="1">_xll.BDH($C$78,"ALTMAN_Z_SCORE","FY 2014","FY 2014","Currency=INR","Period=FY","BEST_FPERIOD_OVERRIDE=FY","FILING_STATUS=OR","EQY_CONSOLIDATED=Y","Sort=A","Dates=H","DateFormat=P","Fill=—","Direction=H","UseDPDF=Y")</f>
        <v>#NAME?</v>
      </c>
      <c r="CW78" s="4" t="e">
        <f ca="1">_xll.BDH($C$78,"ACCT_RCV_TURN","FY 2014","FY 2014","Currency=INR","Period=FY","BEST_FPERIOD_OVERRIDE=FY","FILING_STATUS=OR","EQY_CONSOLIDATED=Y","FA_ADJUSTED=GAAP","Sort=A","Dates=H","DateFormat=P","Fill=—","Direction=H","UseDPDF=Y")</f>
        <v>#NAME?</v>
      </c>
      <c r="CX78" s="2" t="e">
        <f ca="1">_xll.BDH($C$78,"ACCT_RCV_DAYS","FY 2014","FY 2014","Currency=INR","Period=FY","BEST_FPERIOD_OVERRIDE=FY","FILING_STATUS=OR","EQY_CONSOLIDATED=Y","FA_ADJUSTED=GAAP","Sort=A","Dates=H","DateFormat=P","Fill=—","Direction=H","UseDPDF=Y")</f>
        <v>#NAME?</v>
      </c>
      <c r="CY78" s="4" t="e">
        <f ca="1">_xll.BDH($C$78,"INVENT_TURN","FY 2014","FY 2014","Currency=INR","Period=FY","BEST_FPERIOD_OVERRIDE=FY","FILING_STATUS=OR","EQY_CONSOLIDATED=Y","FA_ADJUSTED=GAAP","Sort=A","Dates=H","DateFormat=P","Fill=—","Direction=H","UseDPDF=Y")</f>
        <v>#NAME?</v>
      </c>
      <c r="CZ78" s="2" t="e">
        <f ca="1">_xll.BDH($C$78,"INVENT_DAYS","FY 2014","FY 2014","Currency=INR","Period=FY","BEST_FPERIOD_OVERRIDE=FY","FILING_STATUS=OR","EQY_CONSOLIDATED=Y","FA_ADJUSTED=GAAP","Sort=A","Dates=H","DateFormat=P","Fill=—","Direction=H","UseDPDF=Y")</f>
        <v>#NAME?</v>
      </c>
      <c r="DA78" s="4" t="e">
        <f ca="1">_xll.BDH($C$78,"ACCOUNTS_PAYABLE_TURNOVER","FY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78" s="2" t="e">
        <f ca="1">_xll.BDH($C$78,"ACCOUNTS_PAYABLE_TURNOVER_DAYS","FY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78" s="4" t="e">
        <f ca="1">_xll.BDH($C$78,"CASH_CONVERSION_CYCLE","FY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78" s="4" t="e">
        <f ca="1">_xll.BDH($C$78,"INV_TO_CASH_DAYS","FY 2014","FY 2014","Currency=INR","Period=FY","BEST_FPERIOD_OVERRIDE=FY","FILING_STATUS=OR","EQY_CONSOLIDATED=Y","FA_ADJUSTED=GAAP","Sort=A","Dates=H","DateFormat=P","Fill=—","Direction=H","UseDPDF=Y")</f>
        <v>#NAME?</v>
      </c>
      <c r="DE78" s="5" t="e">
        <f ca="1">_xll.BDH($C$78,"BS_INVENTORIES","FY 2014","FY 2014","Currency=INR","Period=FY","BEST_FPERIOD_OVERRIDE=FY","FILING_STATUS=OR","EQY_CONSOLIDATED=Y","SCALING_FORMAT=MLN","Sort=A","Dates=H","DateFormat=P","Fill=—","Direction=H","UseDPDF=Y")</f>
        <v>#NAME?</v>
      </c>
      <c r="DF78" s="3" t="e">
        <f ca="1">_xll.BDH($C$78,"INVTRY_RAW_MATERIALS","FY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78" s="3" t="e">
        <f ca="1">_xll.BDH($C$78,"INVTRY_IN_PROGRESS","FY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78" s="3" t="e">
        <f ca="1">_xll.BDH($C$78,"INVTRY_FINISHED_GOODS","FY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78" s="3" t="e">
        <f ca="1">_xll.BDH($C$78,"BS_OTHER_INV","FY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79" spans="1:113" x14ac:dyDescent="0.3">
      <c r="A79" s="6"/>
      <c r="B79" s="6"/>
      <c r="C79" s="6"/>
      <c r="D79" s="6"/>
      <c r="E79" t="s">
        <v>78</v>
      </c>
      <c r="F79" t="e">
        <f ca="1">_xll.BDH($C$78,"RETURN_COM_EQY","FQ1 2014","FQ1 2014","Currency=INR","Period=FQ","BEST_FPERIOD_OVERRIDE=FQ","FILING_STATUS=OR","EQY_CONSOLIDATED=Y","FA_ADJUSTED=GAAP","Sort=A","Dates=H","DateFormat=P","Fill=—","Direction=H","UseDPDF=Y")</f>
        <v>#NAME?</v>
      </c>
      <c r="G79" t="e">
        <f ca="1">_xll.BDH($C$78,"RETURN_ON_ASSET","FQ1 2014","FQ1 2014","Currency=INR","Period=FQ","BEST_FPERIOD_OVERRIDE=FQ","FILING_STATUS=OR","EQY_CONSOLIDATED=Y","FA_ADJUSTED=GAAP","Sort=A","Dates=H","DateFormat=P","Fill=—","Direction=H","UseDPDF=Y")</f>
        <v>#NAME?</v>
      </c>
      <c r="H79" t="e">
        <f ca="1">_xll.BDH($C$78,"RETURN_ON_CAP","FQ1 2014","FQ1 2014","Currency=INR","Period=FQ","BEST_FPERIOD_OVERRIDE=FQ","FILING_STATUS=OR","EQY_CONSOLIDATED=Y","FA_ADJUSTED=GAAP","Sort=A","Dates=H","DateFormat=P","Fill=—","Direction=H","UseDPDF=Y")</f>
        <v>#NAME?</v>
      </c>
      <c r="I79" t="e">
        <f ca="1">_xll.BDH($C$78,"RETURN_ON_INV_CAPITAL","FQ1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79" t="e">
        <f ca="1">_xll.BDH($C$78,"EBITDA_TO_REVENUE","FQ1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79" t="e">
        <f ca="1">_xll.BDH($C$78,"OPER_MARGIN","FQ1 2014","FQ1 2014","Currency=INR","Period=FQ","BEST_FPERIOD_OVERRIDE=FQ","FILING_STATUS=OR","EQY_CONSOLIDATED=Y","FA_ADJUSTED=GAAP","Sort=A","Dates=H","DateFormat=P","Fill=—","Direction=H","UseDPDF=Y")</f>
        <v>#NAME?</v>
      </c>
      <c r="L79" t="e">
        <f ca="1">_xll.BDH($C$78,"INCREMENTAL_OPERATING_MARGIN","FQ1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79" t="e">
        <f ca="1">_xll.BDH($C$78,"PRETAX_INC_TO_NET_SALES","FQ1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79" t="e">
        <f ca="1">_xll.BDH($C$78,"INC_BEF_XO_ITEMS_TO_NET_SALES","FQ1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79" t="e">
        <f ca="1">_xll.BDH($C$78,"PROF_MARGIN","FQ1 2014","FQ1 2014","Currency=INR","Period=FQ","BEST_FPERIOD_OVERRIDE=FQ","FILING_STATUS=OR","EQY_CONSOLIDATED=Y","FA_ADJUSTED=GAAP","Sort=A","Dates=H","DateFormat=P","Fill=—","Direction=H","UseDPDF=Y")</f>
        <v>#NAME?</v>
      </c>
      <c r="P79" t="e">
        <f ca="1">_xll.BDH($C$78,"NET_INCOME_TO_COMMON_MARGIN","FQ1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79" t="e">
        <f ca="1">_xll.BDH($C$78,"EFF_TAX_RATE","FQ1 2014","FQ1 2014","Currency=INR","Period=FQ","BEST_FPERIOD_OVERRIDE=FQ","FILING_STATUS=OR","EQY_CONSOLIDATED=Y","FA_ADJUSTED=GAAP","Sort=A","Dates=H","DateFormat=P","Fill=—","Direction=H","UseDPDF=Y")</f>
        <v>#NAME?</v>
      </c>
      <c r="R79" t="e">
        <f ca="1">_xll.BDH($C$78,"DVD_PAYOUT_RATIO","FQ1 2014","FQ1 2014","Currency=INR","Period=FQ","BEST_FPERIOD_OVERRIDE=FQ","FILING_STATUS=OR","EQY_CONSOLIDATED=Y","FA_ADJUSTED=GAAP","Sort=A","Dates=H","DateFormat=P","Fill=—","Direction=H","UseDPDF=Y")</f>
        <v>#NAME?</v>
      </c>
      <c r="S79" t="e">
        <f ca="1">_xll.BDH($C$78,"SUSTAIN_GROWTH_RT","FQ1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79" s="2" t="e">
        <f ca="1">_xll.BDH($C$78,"SALES_GROWTH","FQ1 2014","FQ1 2014","Currency=INR","Period=FQ","BEST_FPERIOD_OVERRIDE=FQ","FILING_STATUS=OR","EQY_CONSOLIDATED=Y","FA_ADJUSTED=GAAP","Sort=A","Dates=H","DateFormat=P","Fill=—","Direction=H","UseDPDF=Y")</f>
        <v>#NAME?</v>
      </c>
      <c r="U79" s="2" t="e">
        <f ca="1">_xll.BDH($C$78,"EBITDA_GROWTH","FQ1 2014","FQ1 2014","Currency=INR","Period=FQ","BEST_FPERIOD_OVERRIDE=FQ","FILING_STATUS=OR","EQY_CONSOLIDATED=Y","FA_ADJUSTED=GAAP","Sort=A","Dates=H","DateFormat=P","Fill=—","Direction=H","UseDPDF=Y")</f>
        <v>#NAME?</v>
      </c>
      <c r="V79" s="2" t="e">
        <f ca="1">_xll.BDH($C$78,"OPER_INC_GROWTH","FQ1 2014","FQ1 2014","Currency=INR","Period=FQ","BEST_FPERIOD_OVERRIDE=FQ","FILING_STATUS=OR","EQY_CONSOLIDATED=Y","FA_ADJUSTED=GAAP","Sort=A","Dates=H","DateFormat=P","Fill=—","Direction=H","UseDPDF=Y")</f>
        <v>#NAME?</v>
      </c>
      <c r="W79" s="2" t="e">
        <f ca="1">_xll.BDH($C$78,"EARN_FOR_COM_GROWTH","FQ1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79" s="2" t="e">
        <f ca="1">_xll.BDH($C$78,"DILUTED_EPS_AFT_XO_ITEMS_GROWTH","FQ1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79" s="2" t="e">
        <f ca="1">_xll.BDH($C$78,"DIVIDEND_PER_SHARE_1_YEAR_GROWTH","FQ1 2014","FQ1 2014","Currency=INR","Period=FQ","BEST_FPERIOD_OVERRIDE=FQ","FILING_STATUS=OR","EQY_CONSOLIDATED=Y","Sort=A","Dates=H","DateFormat=P","Fill=—","Direction=H","UseDPDF=Y")</f>
        <v>#NAME?</v>
      </c>
      <c r="Z79" s="2" t="e">
        <f ca="1">_xll.BDH($C$78,"ACCOUNTS_RECEIVABLE_GROWTH","FQ1 2014","FQ1 2014","Currency=INR","Period=FQ","BEST_FPERIOD_OVERRIDE=FQ","FILING_STATUS=OR","EQY_CONSOLIDATED=Y","Sort=A","Dates=H","DateFormat=P","Fill=—","Direction=H","UseDPDF=Y")</f>
        <v>#NAME?</v>
      </c>
      <c r="AA79" s="2" t="e">
        <f ca="1">_xll.BDH($C$78,"INVENTORY_GROWTH","FQ1 2014","FQ1 2014","Currency=INR","Period=FQ","BEST_FPERIOD_OVERRIDE=FQ","FILING_STATUS=OR","EQY_CONSOLIDATED=Y","Sort=A","Dates=H","DateFormat=P","Fill=—","Direction=H","UseDPDF=Y")</f>
        <v>#NAME?</v>
      </c>
      <c r="AB79" s="2" t="e">
        <f ca="1">_xll.BDH($C$78,"NET_FIXED_ASSETS_1_YEAR_GROWTH","FQ1 2014","FQ1 2014","Currency=INR","Period=FQ","BEST_FPERIOD_OVERRIDE=FQ","FILING_STATUS=OR","EQY_CONSOLIDATED=Y","Sort=A","Dates=H","DateFormat=P","Fill=—","Direction=H","UseDPDF=Y")</f>
        <v>#NAME?</v>
      </c>
      <c r="AC79" s="2" t="e">
        <f ca="1">_xll.BDH($C$78,"ASSET_GROWTH","FQ1 2014","FQ1 2014","Currency=INR","Period=FQ","BEST_FPERIOD_OVERRIDE=FQ","FILING_STATUS=OR","EQY_CONSOLIDATED=Y","Sort=A","Dates=H","DateFormat=P","Fill=—","Direction=H","UseDPDF=Y")</f>
        <v>#NAME?</v>
      </c>
      <c r="AD79" s="2" t="e">
        <f ca="1">_xll.BDH($C$78,"MODIFIED_WORK_CAP_GROWTH","FQ1 2014","FQ1 2014","Currency=INR","Period=FQ","BEST_FPERIOD_OVERRIDE=FQ","FILING_STATUS=OR","EQY_CONSOLIDATED=Y","Sort=A","Dates=H","DateFormat=P","Fill=—","Direction=H","UseDPDF=Y")</f>
        <v>#NAME?</v>
      </c>
      <c r="AE79" s="2" t="e">
        <f ca="1">_xll.BDH($C$78,"WORK_CAP_GROWTH","FQ1 2014","FQ1 2014","Currency=INR","Period=FQ","BEST_FPERIOD_OVERRIDE=FQ","FILING_STATUS=OR","EQY_CONSOLIDATED=Y","Sort=A","Dates=H","DateFormat=P","Fill=—","Direction=H","UseDPDF=Y")</f>
        <v>#NAME?</v>
      </c>
      <c r="AF79" s="2" t="e">
        <f ca="1">_xll.BDH($C$78,"ACCOUNTS_PAYABLE_GROWTH_1YR","FQ1 2014","FQ1 2014","Currency=INR","Period=FQ","BEST_FPERIOD_OVERRIDE=FQ","FILING_STATUS=OR","EQY_CONSOLIDATED=Y","Sort=A","Dates=H","DateFormat=P","Fill=—","Direction=H","UseDPDF=Y")</f>
        <v>#NAME?</v>
      </c>
      <c r="AG79" s="2" t="e">
        <f ca="1">_xll.BDH($C$78,"SHORT_TERM_DEBT_1_YEAR_GROWTH","FQ1 2014","FQ1 2014","Currency=INR","Period=FQ","BEST_FPERIOD_OVERRIDE=FQ","FILING_STATUS=OR","EQY_CONSOLIDATED=Y","Sort=A","Dates=H","DateFormat=P","Fill=—","Direction=H","UseDPDF=Y")</f>
        <v>#NAME?</v>
      </c>
      <c r="AH79" s="2" t="e">
        <f ca="1">_xll.BDH($C$78,"TOTAL_DEBT_1_YEAR_GROWTH","FQ1 2014","FQ1 2014","Currency=INR","Period=FQ","BEST_FPERIOD_OVERRIDE=FQ","FILING_STATUS=OR","EQY_CONSOLIDATED=Y","Sort=A","Dates=H","DateFormat=P","Fill=—","Direction=H","UseDPDF=Y")</f>
        <v>#NAME?</v>
      </c>
      <c r="AI79" s="2" t="e">
        <f ca="1">_xll.BDH($C$78,"TOTAL_EQUITY_1_YEAR_GROWTH","FQ1 2014","FQ1 2014","Currency=INR","Period=FQ","BEST_FPERIOD_OVERRIDE=FQ","FILING_STATUS=OR","EQY_CONSOLIDATED=Y","Sort=A","Dates=H","DateFormat=P","Fill=—","Direction=H","UseDPDF=Y")</f>
        <v>#NAME?</v>
      </c>
      <c r="AJ79" s="2" t="e">
        <f ca="1">_xll.BDH($C$78,"GROWTH_IN_CAP","FQ1 2014","FQ1 2014","Currency=INR","Period=FQ","BEST_FPERIOD_OVERRIDE=FQ","FILING_STATUS=OR","EQY_CONSOLIDATED=Y","Sort=A","Dates=H","DateFormat=P","Fill=—","Direction=H","UseDPDF=Y")</f>
        <v>#NAME?</v>
      </c>
      <c r="AK79" s="2" t="e">
        <f ca="1">_xll.BDH($C$78,"BVPS_GROWTH","FQ1 2014","FQ1 2014","Currency=INR","Period=FQ","BEST_FPERIOD_OVERRIDE=FQ","FILING_STATUS=OR","EQY_CONSOLIDATED=Y","Sort=A","Dates=H","DateFormat=P","Fill=—","Direction=H","UseDPDF=Y")</f>
        <v>#NAME?</v>
      </c>
      <c r="AL79" s="2" t="e">
        <f ca="1">_xll.BDH($C$78,"CASH_FLOW_GROWTH","FQ1 2014","FQ1 2014","Currency=INR","Period=FQ","BEST_FPERIOD_OVERRIDE=FQ","FILING_STATUS=OR","EQY_CONSOLIDATED=Y","Sort=A","Dates=H","DateFormat=P","Fill=—","Direction=H","UseDPDF=Y")</f>
        <v>#NAME?</v>
      </c>
      <c r="AM79" s="2" t="e">
        <f ca="1">_xll.BDH($C$78,"GEO_GROW_NET_SALES","FQ1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79" s="2" t="e">
        <f ca="1">_xll.BDH($C$78,"GEO_GROW_EBITDA","FQ1 2014","FQ1 2014","Currency=INR","Period=FQ","BEST_FPERIOD_OVERRIDE=FQ","FILING_STATUS=OR","EQY_CONSOLIDATED=Y","FA_ADJUSTED=GAAP","Sort=A","Dates=H","DateFormat=P","Fill=—","Direction=H","UseDPDF=Y")</f>
        <v>#NAME?</v>
      </c>
      <c r="AO79" s="2" t="e">
        <f ca="1">_xll.BDH($C$78,"GEO_GROW_OPER_INC","FQ1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79" s="2" t="e">
        <f ca="1">_xll.BDH($C$78,"NET_INCOME_TO_COMMON_5_YR_GROWTH","FQ1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79" s="2" t="e">
        <f ca="1">_xll.BDH($C$78,"5Y_GEO_GROWTH_DILUTED_EPS","FQ1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79" s="2" t="e">
        <f ca="1">_xll.BDH($C$78,"GEO_GROW_DVD_PER_SH","FQ1 2014","FQ1 2014","Currency=INR","Period=FQ","BEST_FPERIOD_OVERRIDE=FQ","FILING_STATUS=OR","EQY_CONSOLIDATED=Y","Sort=A","Dates=H","DateFormat=P","Fill=—","Direction=H","UseDPDF=Y")</f>
        <v>#NAME?</v>
      </c>
      <c r="AS79" s="2" t="e">
        <f ca="1">_xll.BDH($C$78,"ACCOUNTS_RECEIVABLE_5_YR_GROWTH","FQ1 2014","FQ1 2014","Currency=INR","Period=FQ","BEST_FPERIOD_OVERRIDE=FQ","FILING_STATUS=OR","EQY_CONSOLIDATED=Y","Sort=A","Dates=H","DateFormat=P","Fill=—","Direction=H","UseDPDF=Y")</f>
        <v>#NAME?</v>
      </c>
      <c r="AT79" s="2" t="e">
        <f ca="1">_xll.BDH($C$78,"INVENTORY_5_YEAR_GROWTH","FQ1 2014","FQ1 2014","Currency=INR","Period=FQ","BEST_FPERIOD_OVERRIDE=FQ","FILING_STATUS=OR","EQY_CONSOLIDATED=Y","Sort=A","Dates=H","DateFormat=P","Fill=—","Direction=H","UseDPDF=Y")</f>
        <v>#NAME?</v>
      </c>
      <c r="AU79" s="2" t="e">
        <f ca="1">_xll.BDH($C$78,"NET_FIXED_ASSETS_5_YEAR_GROWTH","FQ1 2014","FQ1 2014","Currency=INR","Period=FQ","BEST_FPERIOD_OVERRIDE=FQ","FILING_STATUS=OR","EQY_CONSOLIDATED=Y","Sort=A","Dates=H","DateFormat=P","Fill=—","Direction=H","UseDPDF=Y")</f>
        <v>#NAME?</v>
      </c>
      <c r="AV79" s="2" t="e">
        <f ca="1">_xll.BDH($C$78,"GEO_GROW_TOT_ASSET","FQ1 2014","FQ1 2014","Currency=INR","Period=FQ","BEST_FPERIOD_OVERRIDE=FQ","FILING_STATUS=OR","EQY_CONSOLIDATED=Y","Sort=A","Dates=H","DateFormat=P","Fill=—","Direction=H","UseDPDF=Y")</f>
        <v>#NAME?</v>
      </c>
      <c r="AW79" s="2" t="e">
        <f ca="1">_xll.BDH($C$78,"MODIFIED_WORKING_CPTL_5YR_GRWTH","FQ1 2014","FQ1 2014","Currency=INR","Period=FQ","BEST_FPERIOD_OVERRIDE=FQ","FILING_STATUS=OR","EQY_CONSOLIDATED=Y","Sort=A","Dates=H","DateFormat=P","Fill=—","Direction=H","UseDPDF=Y")</f>
        <v>#NAME?</v>
      </c>
      <c r="AX79" s="2" t="e">
        <f ca="1">_xll.BDH($C$78,"WORKING_CAPITAL_5_YEAR_GROWTH","FQ1 2014","FQ1 2014","Currency=INR","Period=FQ","BEST_FPERIOD_OVERRIDE=FQ","FILING_STATUS=OR","EQY_CONSOLIDATED=Y","Sort=A","Dates=H","DateFormat=P","Fill=—","Direction=H","UseDPDF=Y")</f>
        <v>#NAME?</v>
      </c>
      <c r="AY79" s="2" t="e">
        <f ca="1">_xll.BDH($C$78,"ACCOUNTS_PAYABLE_5_YEAR_GROWTH","FQ1 2014","FQ1 2014","Currency=INR","Period=FQ","BEST_FPERIOD_OVERRIDE=FQ","FILING_STATUS=OR","EQY_CONSOLIDATED=Y","Sort=A","Dates=H","DateFormat=P","Fill=—","Direction=H","UseDPDF=Y")</f>
        <v>#NAME?</v>
      </c>
      <c r="AZ79" s="2" t="e">
        <f ca="1">_xll.BDH($C$78,"SHORT_TERM_DEBT_5_YEAR_GROWTH","FQ1 2014","FQ1 2014","Currency=INR","Period=FQ","BEST_FPERIOD_OVERRIDE=FQ","FILING_STATUS=OR","EQY_CONSOLIDATED=Y","Sort=A","Dates=H","DateFormat=P","Fill=—","Direction=H","UseDPDF=Y")</f>
        <v>#NAME?</v>
      </c>
      <c r="BA79" s="2" t="e">
        <f ca="1">_xll.BDH($C$78,"TOTAL_DEBT_5_YEAR_GROWTH","FQ1 2014","FQ1 2014","Currency=INR","Period=FQ","BEST_FPERIOD_OVERRIDE=FQ","FILING_STATUS=OR","EQY_CONSOLIDATED=Y","Sort=A","Dates=H","DateFormat=P","Fill=—","Direction=H","UseDPDF=Y")</f>
        <v>#NAME?</v>
      </c>
      <c r="BB79" s="2" t="e">
        <f ca="1">_xll.BDH($C$78,"GEO_GROW_TOT_SHRHLDR_EQY","FQ1 2014","FQ1 2014","Currency=INR","Period=FQ","BEST_FPERIOD_OVERRIDE=FQ","FILING_STATUS=OR","EQY_CONSOLIDATED=Y","Sort=A","Dates=H","DateFormat=P","Fill=—","Direction=H","UseDPDF=Y")</f>
        <v>#NAME?</v>
      </c>
      <c r="BC79" s="2" t="e">
        <f ca="1">_xll.BDH($C$78,"TOTAL_CAPITAL_5_YEAR_GROWTH","FQ1 2014","FQ1 2014","Currency=INR","Period=FQ","BEST_FPERIOD_OVERRIDE=FQ","FILING_STATUS=OR","EQY_CONSOLIDATED=Y","Sort=A","Dates=H","DateFormat=P","Fill=—","Direction=H","UseDPDF=Y")</f>
        <v>#NAME?</v>
      </c>
      <c r="BD79" s="2" t="e">
        <f ca="1">_xll.BDH($C$78,"GEO_GROW_BOOK_VAL","FQ1 2014","FQ1 2014","Currency=INR","Period=FQ","BEST_FPERIOD_OVERRIDE=FQ","FILING_STATUS=OR","EQY_CONSOLIDATED=Y","Sort=A","Dates=H","DateFormat=P","Fill=—","Direction=H","UseDPDF=Y")</f>
        <v>#NAME?</v>
      </c>
      <c r="BE79" s="2" t="e">
        <f ca="1">_xll.BDH($C$78,"GEO_GROW_CASH_OPER_ACT","FQ1 2014","FQ1 2014","Currency=INR","Period=FQ","BEST_FPERIOD_OVERRIDE=FQ","FILING_STATUS=OR","EQY_CONSOLIDATED=Y","Sort=A","Dates=H","DateFormat=P","Fill=—","Direction=H","UseDPDF=Y")</f>
        <v>#NAME?</v>
      </c>
      <c r="BF79" s="2" t="e">
        <f ca="1">_xll.BDH($C$78,"REVENUE_SEQUENTIAL_GROWTH","FQ1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79" s="2" t="e">
        <f ca="1">_xll.BDH($C$78,"EBITDA_SEQUENTIAL_GROWTH","FQ1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79" s="2" t="e">
        <f ca="1">_xll.BDH($C$78,"OPERATING_INCOME_SEQ_GROWTH","FQ1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79" s="2" t="e">
        <f ca="1">_xll.BDH($C$78,"NET_INCOME_TO_COMMON_SEQ_GROWTH","FQ1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79" s="2" t="e">
        <f ca="1">_xll.BDH($C$78,"EPS_DILUTED_SEQUENTIAL_GROWTH","FQ1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79" s="2" t="e">
        <f ca="1">_xll.BDH($C$78,"DPS_SEQUENTIAL_GROWTH","FQ1 2014","FQ1 2014","Currency=INR","Period=FQ","BEST_FPERIOD_OVERRIDE=FQ","FILING_STATUS=OR","EQY_CONSOLIDATED=Y","Sort=A","Dates=H","DateFormat=P","Fill=—","Direction=H","UseDPDF=Y")</f>
        <v>#NAME?</v>
      </c>
      <c r="BL79" s="2" t="e">
        <f ca="1">_xll.BDH($C$78,"ACCOUNTS_RECEIVABLE_SEQ_GROWTH","FQ1 2014","FQ1 2014","Currency=INR","Period=FQ","BEST_FPERIOD_OVERRIDE=FQ","FILING_STATUS=OR","EQY_CONSOLIDATED=Y","Sort=A","Dates=H","DateFormat=P","Fill=—","Direction=H","UseDPDF=Y")</f>
        <v>#NAME?</v>
      </c>
      <c r="BM79" s="2" t="e">
        <f ca="1">_xll.BDH($C$78,"INVENTORY_SEQUENTIAL_GROWTH","FQ1 2014","FQ1 2014","Currency=INR","Period=FQ","BEST_FPERIOD_OVERRIDE=FQ","FILING_STATUS=OR","EQY_CONSOLIDATED=Y","Sort=A","Dates=H","DateFormat=P","Fill=—","Direction=H","UseDPDF=Y")</f>
        <v>#NAME?</v>
      </c>
      <c r="BN79" s="2" t="e">
        <f ca="1">_xll.BDH($C$78,"FIXED_ASSETS_SEQUENTIAL_GROWTH","FQ1 2014","FQ1 2014","Currency=INR","Period=FQ","BEST_FPERIOD_OVERRIDE=FQ","FILING_STATUS=OR","EQY_CONSOLIDATED=Y","Sort=A","Dates=H","DateFormat=P","Fill=—","Direction=H","UseDPDF=Y")</f>
        <v>#NAME?</v>
      </c>
      <c r="BO79" s="2" t="e">
        <f ca="1">_xll.BDH($C$78,"TOTAL_ASSETS_SEQUENTIAL_GROWTH","FQ1 2014","FQ1 2014","Currency=INR","Period=FQ","BEST_FPERIOD_OVERRIDE=FQ","FILING_STATUS=OR","EQY_CONSOLIDATED=Y","Sort=A","Dates=H","DateFormat=P","Fill=—","Direction=H","UseDPDF=Y")</f>
        <v>#NAME?</v>
      </c>
      <c r="BP79" s="2" t="e">
        <f ca="1">_xll.BDH($C$78,"MODIFIED_WORKING_CPTL_SEQ_GRWTH","FQ1 2014","FQ1 2014","Currency=INR","Period=FQ","BEST_FPERIOD_OVERRIDE=FQ","FILING_STATUS=OR","EQY_CONSOLIDATED=Y","Sort=A","Dates=H","DateFormat=P","Fill=—","Direction=H","UseDPDF=Y")</f>
        <v>#NAME?</v>
      </c>
      <c r="BQ79" s="2" t="e">
        <f ca="1">_xll.BDH($C$78,"WORKING_CAPITAL_SEQ_GROWTH","FQ1 2014","FQ1 2014","Currency=INR","Period=FQ","BEST_FPERIOD_OVERRIDE=FQ","FILING_STATUS=OR","EQY_CONSOLIDATED=Y","Sort=A","Dates=H","DateFormat=P","Fill=—","Direction=H","UseDPDF=Y")</f>
        <v>#NAME?</v>
      </c>
      <c r="BR79" s="2" t="e">
        <f ca="1">_xll.BDH($C$78,"ACCOUNTS_PAYABLE_SEQ_GROWTH","FQ1 2014","FQ1 2014","Currency=INR","Period=FQ","BEST_FPERIOD_OVERRIDE=FQ","FILING_STATUS=OR","EQY_CONSOLIDATED=Y","Sort=A","Dates=H","DateFormat=P","Fill=—","Direction=H","UseDPDF=Y")</f>
        <v>#NAME?</v>
      </c>
      <c r="BS79" s="2" t="e">
        <f ca="1">_xll.BDH($C$78,"ST_DEBT_SEQUENTIAL_GROWTH","FQ1 2014","FQ1 2014","Currency=INR","Period=FQ","BEST_FPERIOD_OVERRIDE=FQ","FILING_STATUS=OR","EQY_CONSOLIDATED=Y","Sort=A","Dates=H","DateFormat=P","Fill=—","Direction=H","UseDPDF=Y")</f>
        <v>#NAME?</v>
      </c>
      <c r="BT79" s="2" t="e">
        <f ca="1">_xll.BDH($C$78,"TOTAL_DEBT_SEQUENTIAL_GROWTH","FQ1 2014","FQ1 2014","Currency=INR","Period=FQ","BEST_FPERIOD_OVERRIDE=FQ","FILING_STATUS=OR","EQY_CONSOLIDATED=Y","Sort=A","Dates=H","DateFormat=P","Fill=—","Direction=H","UseDPDF=Y")</f>
        <v>#NAME?</v>
      </c>
      <c r="BU79" s="2" t="e">
        <f ca="1">_xll.BDH($C$78,"TOTAL_EQUITY_SEQUENTIAL_GROWTH","FQ1 2014","FQ1 2014","Currency=INR","Period=FQ","BEST_FPERIOD_OVERRIDE=FQ","FILING_STATUS=OR","EQY_CONSOLIDATED=Y","Sort=A","Dates=H","DateFormat=P","Fill=—","Direction=H","UseDPDF=Y")</f>
        <v>#NAME?</v>
      </c>
      <c r="BV79" s="2" t="e">
        <f ca="1">_xll.BDH($C$78,"TOTAL_CAPITAL_SEQUENTIAL_GROWTH","FQ1 2014","FQ1 2014","Currency=INR","Period=FQ","BEST_FPERIOD_OVERRIDE=FQ","FILING_STATUS=OR","EQY_CONSOLIDATED=Y","Sort=A","Dates=H","DateFormat=P","Fill=—","Direction=H","UseDPDF=Y")</f>
        <v>#NAME?</v>
      </c>
      <c r="BW79" s="2" t="e">
        <f ca="1">_xll.BDH($C$78,"BPS_SEQUENTIAL_GROWTH","FQ1 2014","FQ1 2014","Currency=INR","Period=FQ","BEST_FPERIOD_OVERRIDE=FQ","FILING_STATUS=OR","EQY_CONSOLIDATED=Y","Sort=A","Dates=H","DateFormat=P","Fill=—","Direction=H","UseDPDF=Y")</f>
        <v>#NAME?</v>
      </c>
      <c r="BX79" s="2" t="e">
        <f ca="1">_xll.BDH($C$78,"CFO_SEQUENTIAL_GROWTH","FQ1 2014","FQ1 2014","Currency=INR","Period=FQ","BEST_FPERIOD_OVERRIDE=FQ","FILING_STATUS=OR","EQY_CONSOLIDATED=Y","Sort=A","Dates=H","DateFormat=P","Fill=—","Direction=H","UseDPDF=Y")</f>
        <v>#NAME?</v>
      </c>
      <c r="BY79" s="3" t="e">
        <f ca="1">_xll.BDH($C$78,"SHORT_AND_LONG_TERM_DEBT","FQ1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79" s="3" t="e">
        <f ca="1">_xll.BDH($C$78,"BS_ST_BORROW","FQ1 2014","FQ1 2014","Currency=INR","Period=FQ","BEST_FPERIOD_OVERRIDE=FQ","FILING_STATUS=OR","EQY_CONSOLIDATED=Y","SCALING_FORMAT=MLN","Sort=A","Dates=H","DateFormat=P","Fill=—","Direction=H","UseDPDF=Y")</f>
        <v>#NAME?</v>
      </c>
      <c r="CA79" s="3" t="e">
        <f ca="1">_xll.BDH($C$78,"BS_LT_BORROW","FQ1 2014","FQ1 2014","Currency=INR","Period=FQ","BEST_FPERIOD_OVERRIDE=FQ","FILING_STATUS=OR","EQY_CONSOLIDATED=Y","SCALING_FORMAT=MLN","Sort=A","Dates=H","DateFormat=P","Fill=—","Direction=H","UseDPDF=Y")</f>
        <v>#NAME?</v>
      </c>
      <c r="CB79" s="2" t="e">
        <f ca="1">_xll.BDH($C$78,"TOT_DEBT_TO_EBITDA","FQ1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79" s="2" t="e">
        <f ca="1">_xll.BDH($C$78,"NET_DEBT_TO_EBITDA","FQ1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79" s="2" t="e">
        <f ca="1">_xll.BDH($C$78,"TOTAL_DEBT_TO_EBIT","FQ1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79" s="2" t="e">
        <f ca="1">_xll.BDH($C$78,"NET_DEBT_TO_EBIT","FQ1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79" s="2" t="e">
        <f ca="1">_xll.BDH($C$78,"EBITDA_TO_INTEREST_EXPN","FQ1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79" s="2" t="e">
        <f ca="1">_xll.BDH($C$78,"COM_EQY_TO_TOT_ASSET","FQ1 2014","FQ1 2014","Currency=INR","Period=FQ","BEST_FPERIOD_OVERRIDE=FQ","FILING_STATUS=OR","EQY_CONSOLIDATED=Y","Sort=A","Dates=H","DateFormat=P","Fill=—","Direction=H","UseDPDF=Y")</f>
        <v>#NAME?</v>
      </c>
      <c r="CH79" s="2" t="e">
        <f ca="1">_xll.BDH($C$78,"LT_DEBT_TO_TOT_EQY","FQ1 2014","FQ1 2014","Currency=INR","Period=FQ","BEST_FPERIOD_OVERRIDE=FQ","FILING_STATUS=OR","EQY_CONSOLIDATED=Y","Sort=A","Dates=H","DateFormat=P","Fill=—","Direction=H","UseDPDF=Y")</f>
        <v>#NAME?</v>
      </c>
      <c r="CI79" s="2" t="e">
        <f ca="1">_xll.BDH($C$78,"LT_DEBT_TO_TOT_CAP","FQ1 2014","FQ1 2014","Currency=INR","Period=FQ","BEST_FPERIOD_OVERRIDE=FQ","FILING_STATUS=OR","EQY_CONSOLIDATED=Y","Sort=A","Dates=H","DateFormat=P","Fill=—","Direction=H","UseDPDF=Y")</f>
        <v>#NAME?</v>
      </c>
      <c r="CJ79" s="2" t="e">
        <f ca="1">_xll.BDH($C$78,"LT_DEBT_TO_TOT_ASSET","FQ1 2014","FQ1 2014","Currency=INR","Period=FQ","BEST_FPERIOD_OVERRIDE=FQ","FILING_STATUS=OR","EQY_CONSOLIDATED=Y","Sort=A","Dates=H","DateFormat=P","Fill=—","Direction=H","UseDPDF=Y")</f>
        <v>#NAME?</v>
      </c>
      <c r="CK79" s="2" t="e">
        <f ca="1">_xll.BDH($C$78,"TOT_DEBT_TO_TOT_EQY","FQ1 2014","FQ1 2014","Currency=INR","Period=FQ","BEST_FPERIOD_OVERRIDE=FQ","FILING_STATUS=OR","EQY_CONSOLIDATED=Y","Sort=A","Dates=H","DateFormat=P","Fill=—","Direction=H","UseDPDF=Y")</f>
        <v>#NAME?</v>
      </c>
      <c r="CL79" s="2" t="e">
        <f ca="1">_xll.BDH($C$78,"TOT_DEBT_TO_TOT_CAP","FQ1 2014","FQ1 2014","Currency=INR","Period=FQ","BEST_FPERIOD_OVERRIDE=FQ","FILING_STATUS=OR","EQY_CONSOLIDATED=Y","Sort=A","Dates=H","DateFormat=P","Fill=—","Direction=H","UseDPDF=Y")</f>
        <v>#NAME?</v>
      </c>
      <c r="CM79" s="2" t="e">
        <f ca="1">_xll.BDH($C$78,"TOT_DEBT_TO_TOT_ASSET","FQ1 2014","FQ1 2014","Currency=INR","Period=FQ","BEST_FPERIOD_OVERRIDE=FQ","FILING_STATUS=OR","EQY_CONSOLIDATED=Y","Sort=A","Dates=H","DateFormat=P","Fill=—","Direction=H","UseDPDF=Y")</f>
        <v>#NAME?</v>
      </c>
      <c r="CN79" s="2" t="e">
        <f ca="1">_xll.BDH($C$78,"NET_DEBT_TO_SHRHLDR_EQTY","FQ1 2014","FQ1 2014","Currency=INR","Period=FQ","BEST_FPERIOD_OVERRIDE=FQ","FILING_STATUS=OR","EQY_CONSOLIDATED=Y","Sort=A","Dates=H","DateFormat=P","Fill=—","Direction=H","UseDPDF=Y")</f>
        <v>#NAME?</v>
      </c>
      <c r="CO79" s="2" t="e">
        <f ca="1">_xll.BDH($C$78,"NET_DEBT_%_CAPITAL","FQ1 2014","FQ1 2014","Currency=INR","Period=FQ","BEST_FPERIOD_OVERRIDE=FQ","FILING_STATUS=OR","EQY_CONSOLIDATED=Y","Sort=A","Dates=H","DateFormat=P","Fill=—","Direction=H","UseDPDF=Y")</f>
        <v>#NAME?</v>
      </c>
      <c r="CP79" s="3" t="e">
        <f ca="1">_xll.BDH($C$78,"EBITDA","FQ1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79" s="3" t="e">
        <f ca="1">_xll.BDH($C$78,"EBITDA_AFTER_CAPEX","FQ1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79" s="3" t="e">
        <f ca="1">_xll.BDH($C$78,"IS_OPER_INC","FQ1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79" s="2" t="e">
        <f ca="1">_xll.BDH($C$78,"CASH_RATIO","FQ1 2014","FQ1 2014","Currency=INR","Period=FQ","BEST_FPERIOD_OVERRIDE=FQ","FILING_STATUS=OR","EQY_CONSOLIDATED=Y","Sort=A","Dates=H","DateFormat=P","Fill=—","Direction=H","UseDPDF=Y")</f>
        <v>#NAME?</v>
      </c>
      <c r="CT79" s="2" t="e">
        <f ca="1">_xll.BDH($C$78,"CUR_RATIO","FQ1 2014","FQ1 2014","Currency=INR","Period=FQ","BEST_FPERIOD_OVERRIDE=FQ","FILING_STATUS=OR","EQY_CONSOLIDATED=Y","Sort=A","Dates=H","DateFormat=P","Fill=—","Direction=H","UseDPDF=Y")</f>
        <v>#NAME?</v>
      </c>
      <c r="CU79" s="2" t="e">
        <f ca="1">_xll.BDH($C$78,"QUICK_RATIO","FQ1 2014","FQ1 2014","Currency=INR","Period=FQ","BEST_FPERIOD_OVERRIDE=FQ","FILING_STATUS=OR","EQY_CONSOLIDATED=Y","Sort=A","Dates=H","DateFormat=P","Fill=—","Direction=H","UseDPDF=Y")</f>
        <v>#NAME?</v>
      </c>
      <c r="CV79" s="2" t="e">
        <f ca="1">_xll.BDH($C$78,"ALTMAN_Z_SCORE","FQ1 2014","FQ1 2014","Currency=INR","Period=FQ","BEST_FPERIOD_OVERRIDE=FQ","FILING_STATUS=OR","EQY_CONSOLIDATED=Y","Sort=A","Dates=H","DateFormat=P","Fill=—","Direction=H","UseDPDF=Y")</f>
        <v>#NAME?</v>
      </c>
      <c r="CW79" s="4" t="e">
        <f ca="1">_xll.BDH($C$78,"ACCT_RCV_TURN","FQ1 2014","FQ1 2014","Currency=INR","Period=FQ","BEST_FPERIOD_OVERRIDE=FQ","FILING_STATUS=OR","EQY_CONSOLIDATED=Y","FA_ADJUSTED=GAAP","Sort=A","Dates=H","DateFormat=P","Fill=—","Direction=H","UseDPDF=Y")</f>
        <v>#NAME?</v>
      </c>
      <c r="CX79" s="2" t="e">
        <f ca="1">_xll.BDH($C$78,"ACCT_RCV_DAYS","FQ1 2014","FQ1 2014","Currency=INR","Period=FQ","BEST_FPERIOD_OVERRIDE=FQ","FILING_STATUS=OR","EQY_CONSOLIDATED=Y","FA_ADJUSTED=GAAP","Sort=A","Dates=H","DateFormat=P","Fill=—","Direction=H","UseDPDF=Y")</f>
        <v>#NAME?</v>
      </c>
      <c r="CY79" s="4" t="e">
        <f ca="1">_xll.BDH($C$78,"INVENT_TURN","FQ1 2014","FQ1 2014","Currency=INR","Period=FQ","BEST_FPERIOD_OVERRIDE=FQ","FILING_STATUS=OR","EQY_CONSOLIDATED=Y","FA_ADJUSTED=GAAP","Sort=A","Dates=H","DateFormat=P","Fill=—","Direction=H","UseDPDF=Y")</f>
        <v>#NAME?</v>
      </c>
      <c r="CZ79" s="2" t="e">
        <f ca="1">_xll.BDH($C$78,"INVENT_DAYS","FQ1 2014","FQ1 2014","Currency=INR","Period=FQ","BEST_FPERIOD_OVERRIDE=FQ","FILING_STATUS=OR","EQY_CONSOLIDATED=Y","FA_ADJUSTED=GAAP","Sort=A","Dates=H","DateFormat=P","Fill=—","Direction=H","UseDPDF=Y")</f>
        <v>#NAME?</v>
      </c>
      <c r="DA79" s="4" t="e">
        <f ca="1">_xll.BDH($C$78,"ACCOUNTS_PAYABLE_TURNOVER","FQ1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79" s="2" t="e">
        <f ca="1">_xll.BDH($C$78,"ACCOUNTS_PAYABLE_TURNOVER_DAYS","FQ1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79" s="4" t="e">
        <f ca="1">_xll.BDH($C$78,"CASH_CONVERSION_CYCLE","FQ1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79" s="4" t="e">
        <f ca="1">_xll.BDH($C$78,"INV_TO_CASH_DAYS","FQ1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79" s="5" t="e">
        <f ca="1">_xll.BDH($C$78,"BS_INVENTORIES","FQ1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79" s="3" t="e">
        <f ca="1">_xll.BDH($C$78,"INVTRY_RAW_MATERIALS","FQ1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79" s="3" t="e">
        <f ca="1">_xll.BDH($C$78,"INVTRY_IN_PROGRESS","FQ1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79" s="3" t="e">
        <f ca="1">_xll.BDH($C$78,"INVTRY_FINISHED_GOODS","FQ1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79" s="3" t="e">
        <f ca="1">_xll.BDH($C$78,"BS_OTHER_INV","FQ1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80" spans="1:113" x14ac:dyDescent="0.3">
      <c r="A80" s="6"/>
      <c r="B80" s="6"/>
      <c r="C80" s="6"/>
      <c r="D80" s="6"/>
      <c r="E80" t="s">
        <v>79</v>
      </c>
      <c r="F80" t="e">
        <f ca="1">_xll.BDH($C$78,"RETURN_COM_EQY","FQ2 2014","FQ2 2014","Currency=INR","Period=FQ","BEST_FPERIOD_OVERRIDE=FQ","FILING_STATUS=OR","EQY_CONSOLIDATED=Y","FA_ADJUSTED=GAAP","Sort=A","Dates=H","DateFormat=P","Fill=—","Direction=H","UseDPDF=Y")</f>
        <v>#NAME?</v>
      </c>
      <c r="G80" t="e">
        <f ca="1">_xll.BDH($C$78,"RETURN_ON_ASSET","FQ2 2014","FQ2 2014","Currency=INR","Period=FQ","BEST_FPERIOD_OVERRIDE=FQ","FILING_STATUS=OR","EQY_CONSOLIDATED=Y","FA_ADJUSTED=GAAP","Sort=A","Dates=H","DateFormat=P","Fill=—","Direction=H","UseDPDF=Y")</f>
        <v>#NAME?</v>
      </c>
      <c r="H80" t="e">
        <f ca="1">_xll.BDH($C$78,"RETURN_ON_CAP","FQ2 2014","FQ2 2014","Currency=INR","Period=FQ","BEST_FPERIOD_OVERRIDE=FQ","FILING_STATUS=OR","EQY_CONSOLIDATED=Y","FA_ADJUSTED=GAAP","Sort=A","Dates=H","DateFormat=P","Fill=—","Direction=H","UseDPDF=Y")</f>
        <v>#NAME?</v>
      </c>
      <c r="I80" t="e">
        <f ca="1">_xll.BDH($C$78,"RETURN_ON_INV_CAPITAL","FQ2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80" t="e">
        <f ca="1">_xll.BDH($C$78,"EBITDA_TO_REVENUE","FQ2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80" t="e">
        <f ca="1">_xll.BDH($C$78,"OPER_MARGIN","FQ2 2014","FQ2 2014","Currency=INR","Period=FQ","BEST_FPERIOD_OVERRIDE=FQ","FILING_STATUS=OR","EQY_CONSOLIDATED=Y","FA_ADJUSTED=GAAP","Sort=A","Dates=H","DateFormat=P","Fill=—","Direction=H","UseDPDF=Y")</f>
        <v>#NAME?</v>
      </c>
      <c r="L80" t="e">
        <f ca="1">_xll.BDH($C$78,"INCREMENTAL_OPERATING_MARGIN","FQ2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80" t="e">
        <f ca="1">_xll.BDH($C$78,"PRETAX_INC_TO_NET_SALES","FQ2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80" t="e">
        <f ca="1">_xll.BDH($C$78,"INC_BEF_XO_ITEMS_TO_NET_SALES","FQ2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80" t="e">
        <f ca="1">_xll.BDH($C$78,"PROF_MARGIN","FQ2 2014","FQ2 2014","Currency=INR","Period=FQ","BEST_FPERIOD_OVERRIDE=FQ","FILING_STATUS=OR","EQY_CONSOLIDATED=Y","FA_ADJUSTED=GAAP","Sort=A","Dates=H","DateFormat=P","Fill=—","Direction=H","UseDPDF=Y")</f>
        <v>#NAME?</v>
      </c>
      <c r="P80" t="e">
        <f ca="1">_xll.BDH($C$78,"NET_INCOME_TO_COMMON_MARGIN","FQ2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80" t="e">
        <f ca="1">_xll.BDH($C$78,"EFF_TAX_RATE","FQ2 2014","FQ2 2014","Currency=INR","Period=FQ","BEST_FPERIOD_OVERRIDE=FQ","FILING_STATUS=OR","EQY_CONSOLIDATED=Y","FA_ADJUSTED=GAAP","Sort=A","Dates=H","DateFormat=P","Fill=—","Direction=H","UseDPDF=Y")</f>
        <v>#NAME?</v>
      </c>
      <c r="R80" t="e">
        <f ca="1">_xll.BDH($C$78,"DVD_PAYOUT_RATIO","FQ2 2014","FQ2 2014","Currency=INR","Period=FQ","BEST_FPERIOD_OVERRIDE=FQ","FILING_STATUS=OR","EQY_CONSOLIDATED=Y","FA_ADJUSTED=GAAP","Sort=A","Dates=H","DateFormat=P","Fill=—","Direction=H","UseDPDF=Y")</f>
        <v>#NAME?</v>
      </c>
      <c r="S80" t="e">
        <f ca="1">_xll.BDH($C$78,"SUSTAIN_GROWTH_RT","FQ2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80" s="2" t="e">
        <f ca="1">_xll.BDH($C$78,"SALES_GROWTH","FQ2 2014","FQ2 2014","Currency=INR","Period=FQ","BEST_FPERIOD_OVERRIDE=FQ","FILING_STATUS=OR","EQY_CONSOLIDATED=Y","FA_ADJUSTED=GAAP","Sort=A","Dates=H","DateFormat=P","Fill=—","Direction=H","UseDPDF=Y")</f>
        <v>#NAME?</v>
      </c>
      <c r="U80" s="2" t="e">
        <f ca="1">_xll.BDH($C$78,"EBITDA_GROWTH","FQ2 2014","FQ2 2014","Currency=INR","Period=FQ","BEST_FPERIOD_OVERRIDE=FQ","FILING_STATUS=OR","EQY_CONSOLIDATED=Y","FA_ADJUSTED=GAAP","Sort=A","Dates=H","DateFormat=P","Fill=—","Direction=H","UseDPDF=Y")</f>
        <v>#NAME?</v>
      </c>
      <c r="V80" s="2" t="e">
        <f ca="1">_xll.BDH($C$78,"OPER_INC_GROWTH","FQ2 2014","FQ2 2014","Currency=INR","Period=FQ","BEST_FPERIOD_OVERRIDE=FQ","FILING_STATUS=OR","EQY_CONSOLIDATED=Y","FA_ADJUSTED=GAAP","Sort=A","Dates=H","DateFormat=P","Fill=—","Direction=H","UseDPDF=Y")</f>
        <v>#NAME?</v>
      </c>
      <c r="W80" s="2" t="e">
        <f ca="1">_xll.BDH($C$78,"EARN_FOR_COM_GROWTH","FQ2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80" s="2" t="e">
        <f ca="1">_xll.BDH($C$78,"DILUTED_EPS_AFT_XO_ITEMS_GROWTH","FQ2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80" s="2" t="e">
        <f ca="1">_xll.BDH($C$78,"DIVIDEND_PER_SHARE_1_YEAR_GROWTH","FQ2 2014","FQ2 2014","Currency=INR","Period=FQ","BEST_FPERIOD_OVERRIDE=FQ","FILING_STATUS=OR","EQY_CONSOLIDATED=Y","Sort=A","Dates=H","DateFormat=P","Fill=—","Direction=H","UseDPDF=Y")</f>
        <v>#NAME?</v>
      </c>
      <c r="Z80" s="2" t="e">
        <f ca="1">_xll.BDH($C$78,"ACCOUNTS_RECEIVABLE_GROWTH","FQ2 2014","FQ2 2014","Currency=INR","Period=FQ","BEST_FPERIOD_OVERRIDE=FQ","FILING_STATUS=OR","EQY_CONSOLIDATED=Y","Sort=A","Dates=H","DateFormat=P","Fill=—","Direction=H","UseDPDF=Y")</f>
        <v>#NAME?</v>
      </c>
      <c r="AA80" s="2" t="e">
        <f ca="1">_xll.BDH($C$78,"INVENTORY_GROWTH","FQ2 2014","FQ2 2014","Currency=INR","Period=FQ","BEST_FPERIOD_OVERRIDE=FQ","FILING_STATUS=OR","EQY_CONSOLIDATED=Y","Sort=A","Dates=H","DateFormat=P","Fill=—","Direction=H","UseDPDF=Y")</f>
        <v>#NAME?</v>
      </c>
      <c r="AB80" s="2" t="e">
        <f ca="1">_xll.BDH($C$78,"NET_FIXED_ASSETS_1_YEAR_GROWTH","FQ2 2014","FQ2 2014","Currency=INR","Period=FQ","BEST_FPERIOD_OVERRIDE=FQ","FILING_STATUS=OR","EQY_CONSOLIDATED=Y","Sort=A","Dates=H","DateFormat=P","Fill=—","Direction=H","UseDPDF=Y")</f>
        <v>#NAME?</v>
      </c>
      <c r="AC80" s="2" t="e">
        <f ca="1">_xll.BDH($C$78,"ASSET_GROWTH","FQ2 2014","FQ2 2014","Currency=INR","Period=FQ","BEST_FPERIOD_OVERRIDE=FQ","FILING_STATUS=OR","EQY_CONSOLIDATED=Y","Sort=A","Dates=H","DateFormat=P","Fill=—","Direction=H","UseDPDF=Y")</f>
        <v>#NAME?</v>
      </c>
      <c r="AD80" s="2" t="e">
        <f ca="1">_xll.BDH($C$78,"MODIFIED_WORK_CAP_GROWTH","FQ2 2014","FQ2 2014","Currency=INR","Period=FQ","BEST_FPERIOD_OVERRIDE=FQ","FILING_STATUS=OR","EQY_CONSOLIDATED=Y","Sort=A","Dates=H","DateFormat=P","Fill=—","Direction=H","UseDPDF=Y")</f>
        <v>#NAME?</v>
      </c>
      <c r="AE80" s="2" t="e">
        <f ca="1">_xll.BDH($C$78,"WORK_CAP_GROWTH","FQ2 2014","FQ2 2014","Currency=INR","Period=FQ","BEST_FPERIOD_OVERRIDE=FQ","FILING_STATUS=OR","EQY_CONSOLIDATED=Y","Sort=A","Dates=H","DateFormat=P","Fill=—","Direction=H","UseDPDF=Y")</f>
        <v>#NAME?</v>
      </c>
      <c r="AF80" s="2" t="e">
        <f ca="1">_xll.BDH($C$78,"ACCOUNTS_PAYABLE_GROWTH_1YR","FQ2 2014","FQ2 2014","Currency=INR","Period=FQ","BEST_FPERIOD_OVERRIDE=FQ","FILING_STATUS=OR","EQY_CONSOLIDATED=Y","Sort=A","Dates=H","DateFormat=P","Fill=—","Direction=H","UseDPDF=Y")</f>
        <v>#NAME?</v>
      </c>
      <c r="AG80" s="2" t="e">
        <f ca="1">_xll.BDH($C$78,"SHORT_TERM_DEBT_1_YEAR_GROWTH","FQ2 2014","FQ2 2014","Currency=INR","Period=FQ","BEST_FPERIOD_OVERRIDE=FQ","FILING_STATUS=OR","EQY_CONSOLIDATED=Y","Sort=A","Dates=H","DateFormat=P","Fill=—","Direction=H","UseDPDF=Y")</f>
        <v>#NAME?</v>
      </c>
      <c r="AH80" s="2" t="e">
        <f ca="1">_xll.BDH($C$78,"TOTAL_DEBT_1_YEAR_GROWTH","FQ2 2014","FQ2 2014","Currency=INR","Period=FQ","BEST_FPERIOD_OVERRIDE=FQ","FILING_STATUS=OR","EQY_CONSOLIDATED=Y","Sort=A","Dates=H","DateFormat=P","Fill=—","Direction=H","UseDPDF=Y")</f>
        <v>#NAME?</v>
      </c>
      <c r="AI80" s="2" t="e">
        <f ca="1">_xll.BDH($C$78,"TOTAL_EQUITY_1_YEAR_GROWTH","FQ2 2014","FQ2 2014","Currency=INR","Period=FQ","BEST_FPERIOD_OVERRIDE=FQ","FILING_STATUS=OR","EQY_CONSOLIDATED=Y","Sort=A","Dates=H","DateFormat=P","Fill=—","Direction=H","UseDPDF=Y")</f>
        <v>#NAME?</v>
      </c>
      <c r="AJ80" s="2" t="e">
        <f ca="1">_xll.BDH($C$78,"GROWTH_IN_CAP","FQ2 2014","FQ2 2014","Currency=INR","Period=FQ","BEST_FPERIOD_OVERRIDE=FQ","FILING_STATUS=OR","EQY_CONSOLIDATED=Y","Sort=A","Dates=H","DateFormat=P","Fill=—","Direction=H","UseDPDF=Y")</f>
        <v>#NAME?</v>
      </c>
      <c r="AK80" s="2" t="e">
        <f ca="1">_xll.BDH($C$78,"BVPS_GROWTH","FQ2 2014","FQ2 2014","Currency=INR","Period=FQ","BEST_FPERIOD_OVERRIDE=FQ","FILING_STATUS=OR","EQY_CONSOLIDATED=Y","Sort=A","Dates=H","DateFormat=P","Fill=—","Direction=H","UseDPDF=Y")</f>
        <v>#NAME?</v>
      </c>
      <c r="AL80" s="2" t="e">
        <f ca="1">_xll.BDH($C$78,"CASH_FLOW_GROWTH","FQ2 2014","FQ2 2014","Currency=INR","Period=FQ","BEST_FPERIOD_OVERRIDE=FQ","FILING_STATUS=OR","EQY_CONSOLIDATED=Y","Sort=A","Dates=H","DateFormat=P","Fill=—","Direction=H","UseDPDF=Y")</f>
        <v>#NAME?</v>
      </c>
      <c r="AM80" s="2" t="e">
        <f ca="1">_xll.BDH($C$78,"GEO_GROW_NET_SALES","FQ2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80" s="2" t="e">
        <f ca="1">_xll.BDH($C$78,"GEO_GROW_EBITDA","FQ2 2014","FQ2 2014","Currency=INR","Period=FQ","BEST_FPERIOD_OVERRIDE=FQ","FILING_STATUS=OR","EQY_CONSOLIDATED=Y","FA_ADJUSTED=GAAP","Sort=A","Dates=H","DateFormat=P","Fill=—","Direction=H","UseDPDF=Y")</f>
        <v>#NAME?</v>
      </c>
      <c r="AO80" s="2" t="e">
        <f ca="1">_xll.BDH($C$78,"GEO_GROW_OPER_INC","FQ2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80" s="2" t="e">
        <f ca="1">_xll.BDH($C$78,"NET_INCOME_TO_COMMON_5_YR_GROWTH","FQ2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80" s="2" t="e">
        <f ca="1">_xll.BDH($C$78,"5Y_GEO_GROWTH_DILUTED_EPS","FQ2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80" s="2" t="e">
        <f ca="1">_xll.BDH($C$78,"GEO_GROW_DVD_PER_SH","FQ2 2014","FQ2 2014","Currency=INR","Period=FQ","BEST_FPERIOD_OVERRIDE=FQ","FILING_STATUS=OR","EQY_CONSOLIDATED=Y","Sort=A","Dates=H","DateFormat=P","Fill=—","Direction=H","UseDPDF=Y")</f>
        <v>#NAME?</v>
      </c>
      <c r="AS80" s="2" t="e">
        <f ca="1">_xll.BDH($C$78,"ACCOUNTS_RECEIVABLE_5_YR_GROWTH","FQ2 2014","FQ2 2014","Currency=INR","Period=FQ","BEST_FPERIOD_OVERRIDE=FQ","FILING_STATUS=OR","EQY_CONSOLIDATED=Y","Sort=A","Dates=H","DateFormat=P","Fill=—","Direction=H","UseDPDF=Y")</f>
        <v>#NAME?</v>
      </c>
      <c r="AT80" s="2" t="e">
        <f ca="1">_xll.BDH($C$78,"INVENTORY_5_YEAR_GROWTH","FQ2 2014","FQ2 2014","Currency=INR","Period=FQ","BEST_FPERIOD_OVERRIDE=FQ","FILING_STATUS=OR","EQY_CONSOLIDATED=Y","Sort=A","Dates=H","DateFormat=P","Fill=—","Direction=H","UseDPDF=Y")</f>
        <v>#NAME?</v>
      </c>
      <c r="AU80" s="2" t="e">
        <f ca="1">_xll.BDH($C$78,"NET_FIXED_ASSETS_5_YEAR_GROWTH","FQ2 2014","FQ2 2014","Currency=INR","Period=FQ","BEST_FPERIOD_OVERRIDE=FQ","FILING_STATUS=OR","EQY_CONSOLIDATED=Y","Sort=A","Dates=H","DateFormat=P","Fill=—","Direction=H","UseDPDF=Y")</f>
        <v>#NAME?</v>
      </c>
      <c r="AV80" s="2" t="e">
        <f ca="1">_xll.BDH($C$78,"GEO_GROW_TOT_ASSET","FQ2 2014","FQ2 2014","Currency=INR","Period=FQ","BEST_FPERIOD_OVERRIDE=FQ","FILING_STATUS=OR","EQY_CONSOLIDATED=Y","Sort=A","Dates=H","DateFormat=P","Fill=—","Direction=H","UseDPDF=Y")</f>
        <v>#NAME?</v>
      </c>
      <c r="AW80" s="2" t="e">
        <f ca="1">_xll.BDH($C$78,"MODIFIED_WORKING_CPTL_5YR_GRWTH","FQ2 2014","FQ2 2014","Currency=INR","Period=FQ","BEST_FPERIOD_OVERRIDE=FQ","FILING_STATUS=OR","EQY_CONSOLIDATED=Y","Sort=A","Dates=H","DateFormat=P","Fill=—","Direction=H","UseDPDF=Y")</f>
        <v>#NAME?</v>
      </c>
      <c r="AX80" s="2" t="e">
        <f ca="1">_xll.BDH($C$78,"WORKING_CAPITAL_5_YEAR_GROWTH","FQ2 2014","FQ2 2014","Currency=INR","Period=FQ","BEST_FPERIOD_OVERRIDE=FQ","FILING_STATUS=OR","EQY_CONSOLIDATED=Y","Sort=A","Dates=H","DateFormat=P","Fill=—","Direction=H","UseDPDF=Y")</f>
        <v>#NAME?</v>
      </c>
      <c r="AY80" s="2" t="e">
        <f ca="1">_xll.BDH($C$78,"ACCOUNTS_PAYABLE_5_YEAR_GROWTH","FQ2 2014","FQ2 2014","Currency=INR","Period=FQ","BEST_FPERIOD_OVERRIDE=FQ","FILING_STATUS=OR","EQY_CONSOLIDATED=Y","Sort=A","Dates=H","DateFormat=P","Fill=—","Direction=H","UseDPDF=Y")</f>
        <v>#NAME?</v>
      </c>
      <c r="AZ80" s="2" t="e">
        <f ca="1">_xll.BDH($C$78,"SHORT_TERM_DEBT_5_YEAR_GROWTH","FQ2 2014","FQ2 2014","Currency=INR","Period=FQ","BEST_FPERIOD_OVERRIDE=FQ","FILING_STATUS=OR","EQY_CONSOLIDATED=Y","Sort=A","Dates=H","DateFormat=P","Fill=—","Direction=H","UseDPDF=Y")</f>
        <v>#NAME?</v>
      </c>
      <c r="BA80" s="2" t="e">
        <f ca="1">_xll.BDH($C$78,"TOTAL_DEBT_5_YEAR_GROWTH","FQ2 2014","FQ2 2014","Currency=INR","Period=FQ","BEST_FPERIOD_OVERRIDE=FQ","FILING_STATUS=OR","EQY_CONSOLIDATED=Y","Sort=A","Dates=H","DateFormat=P","Fill=—","Direction=H","UseDPDF=Y")</f>
        <v>#NAME?</v>
      </c>
      <c r="BB80" s="2" t="e">
        <f ca="1">_xll.BDH($C$78,"GEO_GROW_TOT_SHRHLDR_EQY","FQ2 2014","FQ2 2014","Currency=INR","Period=FQ","BEST_FPERIOD_OVERRIDE=FQ","FILING_STATUS=OR","EQY_CONSOLIDATED=Y","Sort=A","Dates=H","DateFormat=P","Fill=—","Direction=H","UseDPDF=Y")</f>
        <v>#NAME?</v>
      </c>
      <c r="BC80" s="2" t="e">
        <f ca="1">_xll.BDH($C$78,"TOTAL_CAPITAL_5_YEAR_GROWTH","FQ2 2014","FQ2 2014","Currency=INR","Period=FQ","BEST_FPERIOD_OVERRIDE=FQ","FILING_STATUS=OR","EQY_CONSOLIDATED=Y","Sort=A","Dates=H","DateFormat=P","Fill=—","Direction=H","UseDPDF=Y")</f>
        <v>#NAME?</v>
      </c>
      <c r="BD80" s="2" t="e">
        <f ca="1">_xll.BDH($C$78,"GEO_GROW_BOOK_VAL","FQ2 2014","FQ2 2014","Currency=INR","Period=FQ","BEST_FPERIOD_OVERRIDE=FQ","FILING_STATUS=OR","EQY_CONSOLIDATED=Y","Sort=A","Dates=H","DateFormat=P","Fill=—","Direction=H","UseDPDF=Y")</f>
        <v>#NAME?</v>
      </c>
      <c r="BE80" s="2" t="e">
        <f ca="1">_xll.BDH($C$78,"GEO_GROW_CASH_OPER_ACT","FQ2 2014","FQ2 2014","Currency=INR","Period=FQ","BEST_FPERIOD_OVERRIDE=FQ","FILING_STATUS=OR","EQY_CONSOLIDATED=Y","Sort=A","Dates=H","DateFormat=P","Fill=—","Direction=H","UseDPDF=Y")</f>
        <v>#NAME?</v>
      </c>
      <c r="BF80" s="2" t="e">
        <f ca="1">_xll.BDH($C$78,"REVENUE_SEQUENTIAL_GROWTH","FQ2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80" s="2" t="e">
        <f ca="1">_xll.BDH($C$78,"EBITDA_SEQUENTIAL_GROWTH","FQ2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80" s="2" t="e">
        <f ca="1">_xll.BDH($C$78,"OPERATING_INCOME_SEQ_GROWTH","FQ2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80" s="2" t="e">
        <f ca="1">_xll.BDH($C$78,"NET_INCOME_TO_COMMON_SEQ_GROWTH","FQ2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80" s="2" t="e">
        <f ca="1">_xll.BDH($C$78,"EPS_DILUTED_SEQUENTIAL_GROWTH","FQ2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80" s="2" t="e">
        <f ca="1">_xll.BDH($C$78,"DPS_SEQUENTIAL_GROWTH","FQ2 2014","FQ2 2014","Currency=INR","Period=FQ","BEST_FPERIOD_OVERRIDE=FQ","FILING_STATUS=OR","EQY_CONSOLIDATED=Y","Sort=A","Dates=H","DateFormat=P","Fill=—","Direction=H","UseDPDF=Y")</f>
        <v>#NAME?</v>
      </c>
      <c r="BL80" s="2" t="e">
        <f ca="1">_xll.BDH($C$78,"ACCOUNTS_RECEIVABLE_SEQ_GROWTH","FQ2 2014","FQ2 2014","Currency=INR","Period=FQ","BEST_FPERIOD_OVERRIDE=FQ","FILING_STATUS=OR","EQY_CONSOLIDATED=Y","Sort=A","Dates=H","DateFormat=P","Fill=—","Direction=H","UseDPDF=Y")</f>
        <v>#NAME?</v>
      </c>
      <c r="BM80" s="2" t="e">
        <f ca="1">_xll.BDH($C$78,"INVENTORY_SEQUENTIAL_GROWTH","FQ2 2014","FQ2 2014","Currency=INR","Period=FQ","BEST_FPERIOD_OVERRIDE=FQ","FILING_STATUS=OR","EQY_CONSOLIDATED=Y","Sort=A","Dates=H","DateFormat=P","Fill=—","Direction=H","UseDPDF=Y")</f>
        <v>#NAME?</v>
      </c>
      <c r="BN80" s="2" t="e">
        <f ca="1">_xll.BDH($C$78,"FIXED_ASSETS_SEQUENTIAL_GROWTH","FQ2 2014","FQ2 2014","Currency=INR","Period=FQ","BEST_FPERIOD_OVERRIDE=FQ","FILING_STATUS=OR","EQY_CONSOLIDATED=Y","Sort=A","Dates=H","DateFormat=P","Fill=—","Direction=H","UseDPDF=Y")</f>
        <v>#NAME?</v>
      </c>
      <c r="BO80" s="2" t="e">
        <f ca="1">_xll.BDH($C$78,"TOTAL_ASSETS_SEQUENTIAL_GROWTH","FQ2 2014","FQ2 2014","Currency=INR","Period=FQ","BEST_FPERIOD_OVERRIDE=FQ","FILING_STATUS=OR","EQY_CONSOLIDATED=Y","Sort=A","Dates=H","DateFormat=P","Fill=—","Direction=H","UseDPDF=Y")</f>
        <v>#NAME?</v>
      </c>
      <c r="BP80" s="2" t="e">
        <f ca="1">_xll.BDH($C$78,"MODIFIED_WORKING_CPTL_SEQ_GRWTH","FQ2 2014","FQ2 2014","Currency=INR","Period=FQ","BEST_FPERIOD_OVERRIDE=FQ","FILING_STATUS=OR","EQY_CONSOLIDATED=Y","Sort=A","Dates=H","DateFormat=P","Fill=—","Direction=H","UseDPDF=Y")</f>
        <v>#NAME?</v>
      </c>
      <c r="BQ80" s="2" t="e">
        <f ca="1">_xll.BDH($C$78,"WORKING_CAPITAL_SEQ_GROWTH","FQ2 2014","FQ2 2014","Currency=INR","Period=FQ","BEST_FPERIOD_OVERRIDE=FQ","FILING_STATUS=OR","EQY_CONSOLIDATED=Y","Sort=A","Dates=H","DateFormat=P","Fill=—","Direction=H","UseDPDF=Y")</f>
        <v>#NAME?</v>
      </c>
      <c r="BR80" s="2" t="e">
        <f ca="1">_xll.BDH($C$78,"ACCOUNTS_PAYABLE_SEQ_GROWTH","FQ2 2014","FQ2 2014","Currency=INR","Period=FQ","BEST_FPERIOD_OVERRIDE=FQ","FILING_STATUS=OR","EQY_CONSOLIDATED=Y","Sort=A","Dates=H","DateFormat=P","Fill=—","Direction=H","UseDPDF=Y")</f>
        <v>#NAME?</v>
      </c>
      <c r="BS80" s="2" t="e">
        <f ca="1">_xll.BDH($C$78,"ST_DEBT_SEQUENTIAL_GROWTH","FQ2 2014","FQ2 2014","Currency=INR","Period=FQ","BEST_FPERIOD_OVERRIDE=FQ","FILING_STATUS=OR","EQY_CONSOLIDATED=Y","Sort=A","Dates=H","DateFormat=P","Fill=—","Direction=H","UseDPDF=Y")</f>
        <v>#NAME?</v>
      </c>
      <c r="BT80" s="2" t="e">
        <f ca="1">_xll.BDH($C$78,"TOTAL_DEBT_SEQUENTIAL_GROWTH","FQ2 2014","FQ2 2014","Currency=INR","Period=FQ","BEST_FPERIOD_OVERRIDE=FQ","FILING_STATUS=OR","EQY_CONSOLIDATED=Y","Sort=A","Dates=H","DateFormat=P","Fill=—","Direction=H","UseDPDF=Y")</f>
        <v>#NAME?</v>
      </c>
      <c r="BU80" s="2" t="e">
        <f ca="1">_xll.BDH($C$78,"TOTAL_EQUITY_SEQUENTIAL_GROWTH","FQ2 2014","FQ2 2014","Currency=INR","Period=FQ","BEST_FPERIOD_OVERRIDE=FQ","FILING_STATUS=OR","EQY_CONSOLIDATED=Y","Sort=A","Dates=H","DateFormat=P","Fill=—","Direction=H","UseDPDF=Y")</f>
        <v>#NAME?</v>
      </c>
      <c r="BV80" s="2" t="e">
        <f ca="1">_xll.BDH($C$78,"TOTAL_CAPITAL_SEQUENTIAL_GROWTH","FQ2 2014","FQ2 2014","Currency=INR","Period=FQ","BEST_FPERIOD_OVERRIDE=FQ","FILING_STATUS=OR","EQY_CONSOLIDATED=Y","Sort=A","Dates=H","DateFormat=P","Fill=—","Direction=H","UseDPDF=Y")</f>
        <v>#NAME?</v>
      </c>
      <c r="BW80" s="2" t="e">
        <f ca="1">_xll.BDH($C$78,"BPS_SEQUENTIAL_GROWTH","FQ2 2014","FQ2 2014","Currency=INR","Period=FQ","BEST_FPERIOD_OVERRIDE=FQ","FILING_STATUS=OR","EQY_CONSOLIDATED=Y","Sort=A","Dates=H","DateFormat=P","Fill=—","Direction=H","UseDPDF=Y")</f>
        <v>#NAME?</v>
      </c>
      <c r="BX80" s="2" t="e">
        <f ca="1">_xll.BDH($C$78,"CFO_SEQUENTIAL_GROWTH","FQ2 2014","FQ2 2014","Currency=INR","Period=FQ","BEST_FPERIOD_OVERRIDE=FQ","FILING_STATUS=OR","EQY_CONSOLIDATED=Y","Sort=A","Dates=H","DateFormat=P","Fill=—","Direction=H","UseDPDF=Y")</f>
        <v>#NAME?</v>
      </c>
      <c r="BY80" s="3" t="e">
        <f ca="1">_xll.BDH($C$78,"SHORT_AND_LONG_TERM_DEBT","FQ2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80" s="3" t="e">
        <f ca="1">_xll.BDH($C$78,"BS_ST_BORROW","FQ2 2014","FQ2 2014","Currency=INR","Period=FQ","BEST_FPERIOD_OVERRIDE=FQ","FILING_STATUS=OR","EQY_CONSOLIDATED=Y","SCALING_FORMAT=MLN","Sort=A","Dates=H","DateFormat=P","Fill=—","Direction=H","UseDPDF=Y")</f>
        <v>#NAME?</v>
      </c>
      <c r="CA80" s="3" t="e">
        <f ca="1">_xll.BDH($C$78,"BS_LT_BORROW","FQ2 2014","FQ2 2014","Currency=INR","Period=FQ","BEST_FPERIOD_OVERRIDE=FQ","FILING_STATUS=OR","EQY_CONSOLIDATED=Y","SCALING_FORMAT=MLN","Sort=A","Dates=H","DateFormat=P","Fill=—","Direction=H","UseDPDF=Y")</f>
        <v>#NAME?</v>
      </c>
      <c r="CB80" s="2" t="e">
        <f ca="1">_xll.BDH($C$78,"TOT_DEBT_TO_EBITDA","FQ2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80" s="2" t="e">
        <f ca="1">_xll.BDH($C$78,"NET_DEBT_TO_EBITDA","FQ2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80" s="2" t="e">
        <f ca="1">_xll.BDH($C$78,"TOTAL_DEBT_TO_EBIT","FQ2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80" s="2" t="e">
        <f ca="1">_xll.BDH($C$78,"NET_DEBT_TO_EBIT","FQ2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80" s="2" t="e">
        <f ca="1">_xll.BDH($C$78,"EBITDA_TO_INTEREST_EXPN","FQ2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80" s="2" t="e">
        <f ca="1">_xll.BDH($C$78,"COM_EQY_TO_TOT_ASSET","FQ2 2014","FQ2 2014","Currency=INR","Period=FQ","BEST_FPERIOD_OVERRIDE=FQ","FILING_STATUS=OR","EQY_CONSOLIDATED=Y","Sort=A","Dates=H","DateFormat=P","Fill=—","Direction=H","UseDPDF=Y")</f>
        <v>#NAME?</v>
      </c>
      <c r="CH80" s="2" t="e">
        <f ca="1">_xll.BDH($C$78,"LT_DEBT_TO_TOT_EQY","FQ2 2014","FQ2 2014","Currency=INR","Period=FQ","BEST_FPERIOD_OVERRIDE=FQ","FILING_STATUS=OR","EQY_CONSOLIDATED=Y","Sort=A","Dates=H","DateFormat=P","Fill=—","Direction=H","UseDPDF=Y")</f>
        <v>#NAME?</v>
      </c>
      <c r="CI80" s="2" t="e">
        <f ca="1">_xll.BDH($C$78,"LT_DEBT_TO_TOT_CAP","FQ2 2014","FQ2 2014","Currency=INR","Period=FQ","BEST_FPERIOD_OVERRIDE=FQ","FILING_STATUS=OR","EQY_CONSOLIDATED=Y","Sort=A","Dates=H","DateFormat=P","Fill=—","Direction=H","UseDPDF=Y")</f>
        <v>#NAME?</v>
      </c>
      <c r="CJ80" s="2" t="e">
        <f ca="1">_xll.BDH($C$78,"LT_DEBT_TO_TOT_ASSET","FQ2 2014","FQ2 2014","Currency=INR","Period=FQ","BEST_FPERIOD_OVERRIDE=FQ","FILING_STATUS=OR","EQY_CONSOLIDATED=Y","Sort=A","Dates=H","DateFormat=P","Fill=—","Direction=H","UseDPDF=Y")</f>
        <v>#NAME?</v>
      </c>
      <c r="CK80" s="2" t="e">
        <f ca="1">_xll.BDH($C$78,"TOT_DEBT_TO_TOT_EQY","FQ2 2014","FQ2 2014","Currency=INR","Period=FQ","BEST_FPERIOD_OVERRIDE=FQ","FILING_STATUS=OR","EQY_CONSOLIDATED=Y","Sort=A","Dates=H","DateFormat=P","Fill=—","Direction=H","UseDPDF=Y")</f>
        <v>#NAME?</v>
      </c>
      <c r="CL80" s="2" t="e">
        <f ca="1">_xll.BDH($C$78,"TOT_DEBT_TO_TOT_CAP","FQ2 2014","FQ2 2014","Currency=INR","Period=FQ","BEST_FPERIOD_OVERRIDE=FQ","FILING_STATUS=OR","EQY_CONSOLIDATED=Y","Sort=A","Dates=H","DateFormat=P","Fill=—","Direction=H","UseDPDF=Y")</f>
        <v>#NAME?</v>
      </c>
      <c r="CM80" s="2" t="e">
        <f ca="1">_xll.BDH($C$78,"TOT_DEBT_TO_TOT_ASSET","FQ2 2014","FQ2 2014","Currency=INR","Period=FQ","BEST_FPERIOD_OVERRIDE=FQ","FILING_STATUS=OR","EQY_CONSOLIDATED=Y","Sort=A","Dates=H","DateFormat=P","Fill=—","Direction=H","UseDPDF=Y")</f>
        <v>#NAME?</v>
      </c>
      <c r="CN80" s="2" t="e">
        <f ca="1">_xll.BDH($C$78,"NET_DEBT_TO_SHRHLDR_EQTY","FQ2 2014","FQ2 2014","Currency=INR","Period=FQ","BEST_FPERIOD_OVERRIDE=FQ","FILING_STATUS=OR","EQY_CONSOLIDATED=Y","Sort=A","Dates=H","DateFormat=P","Fill=—","Direction=H","UseDPDF=Y")</f>
        <v>#NAME?</v>
      </c>
      <c r="CO80" s="2" t="e">
        <f ca="1">_xll.BDH($C$78,"NET_DEBT_%_CAPITAL","FQ2 2014","FQ2 2014","Currency=INR","Period=FQ","BEST_FPERIOD_OVERRIDE=FQ","FILING_STATUS=OR","EQY_CONSOLIDATED=Y","Sort=A","Dates=H","DateFormat=P","Fill=—","Direction=H","UseDPDF=Y")</f>
        <v>#NAME?</v>
      </c>
      <c r="CP80" s="3" t="e">
        <f ca="1">_xll.BDH($C$78,"EBITDA","FQ2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80" s="3" t="e">
        <f ca="1">_xll.BDH($C$78,"EBITDA_AFTER_CAPEX","FQ2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80" s="3" t="e">
        <f ca="1">_xll.BDH($C$78,"IS_OPER_INC","FQ2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80" s="2" t="e">
        <f ca="1">_xll.BDH($C$78,"CASH_RATIO","FQ2 2014","FQ2 2014","Currency=INR","Period=FQ","BEST_FPERIOD_OVERRIDE=FQ","FILING_STATUS=OR","EQY_CONSOLIDATED=Y","Sort=A","Dates=H","DateFormat=P","Fill=—","Direction=H","UseDPDF=Y")</f>
        <v>#NAME?</v>
      </c>
      <c r="CT80" s="2" t="e">
        <f ca="1">_xll.BDH($C$78,"CUR_RATIO","FQ2 2014","FQ2 2014","Currency=INR","Period=FQ","BEST_FPERIOD_OVERRIDE=FQ","FILING_STATUS=OR","EQY_CONSOLIDATED=Y","Sort=A","Dates=H","DateFormat=P","Fill=—","Direction=H","UseDPDF=Y")</f>
        <v>#NAME?</v>
      </c>
      <c r="CU80" s="2" t="e">
        <f ca="1">_xll.BDH($C$78,"QUICK_RATIO","FQ2 2014","FQ2 2014","Currency=INR","Period=FQ","BEST_FPERIOD_OVERRIDE=FQ","FILING_STATUS=OR","EQY_CONSOLIDATED=Y","Sort=A","Dates=H","DateFormat=P","Fill=—","Direction=H","UseDPDF=Y")</f>
        <v>#NAME?</v>
      </c>
      <c r="CV80" s="2" t="e">
        <f ca="1">_xll.BDH($C$78,"ALTMAN_Z_SCORE","FQ2 2014","FQ2 2014","Currency=INR","Period=FQ","BEST_FPERIOD_OVERRIDE=FQ","FILING_STATUS=OR","EQY_CONSOLIDATED=Y","Sort=A","Dates=H","DateFormat=P","Fill=—","Direction=H","UseDPDF=Y")</f>
        <v>#NAME?</v>
      </c>
      <c r="CW80" s="4" t="e">
        <f ca="1">_xll.BDH($C$78,"ACCT_RCV_TURN","FQ2 2014","FQ2 2014","Currency=INR","Period=FQ","BEST_FPERIOD_OVERRIDE=FQ","FILING_STATUS=OR","EQY_CONSOLIDATED=Y","FA_ADJUSTED=GAAP","Sort=A","Dates=H","DateFormat=P","Fill=—","Direction=H","UseDPDF=Y")</f>
        <v>#NAME?</v>
      </c>
      <c r="CX80" s="2" t="e">
        <f ca="1">_xll.BDH($C$78,"ACCT_RCV_DAYS","FQ2 2014","FQ2 2014","Currency=INR","Period=FQ","BEST_FPERIOD_OVERRIDE=FQ","FILING_STATUS=OR","EQY_CONSOLIDATED=Y","FA_ADJUSTED=GAAP","Sort=A","Dates=H","DateFormat=P","Fill=—","Direction=H","UseDPDF=Y")</f>
        <v>#NAME?</v>
      </c>
      <c r="CY80" s="4" t="e">
        <f ca="1">_xll.BDH($C$78,"INVENT_TURN","FQ2 2014","FQ2 2014","Currency=INR","Period=FQ","BEST_FPERIOD_OVERRIDE=FQ","FILING_STATUS=OR","EQY_CONSOLIDATED=Y","FA_ADJUSTED=GAAP","Sort=A","Dates=H","DateFormat=P","Fill=—","Direction=H","UseDPDF=Y")</f>
        <v>#NAME?</v>
      </c>
      <c r="CZ80" s="2" t="e">
        <f ca="1">_xll.BDH($C$78,"INVENT_DAYS","FQ2 2014","FQ2 2014","Currency=INR","Period=FQ","BEST_FPERIOD_OVERRIDE=FQ","FILING_STATUS=OR","EQY_CONSOLIDATED=Y","FA_ADJUSTED=GAAP","Sort=A","Dates=H","DateFormat=P","Fill=—","Direction=H","UseDPDF=Y")</f>
        <v>#NAME?</v>
      </c>
      <c r="DA80" s="4" t="e">
        <f ca="1">_xll.BDH($C$78,"ACCOUNTS_PAYABLE_TURNOVER","FQ2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80" s="2" t="e">
        <f ca="1">_xll.BDH($C$78,"ACCOUNTS_PAYABLE_TURNOVER_DAYS","FQ2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80" s="4" t="e">
        <f ca="1">_xll.BDH($C$78,"CASH_CONVERSION_CYCLE","FQ2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80" s="4" t="e">
        <f ca="1">_xll.BDH($C$78,"INV_TO_CASH_DAYS","FQ2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80" s="5" t="e">
        <f ca="1">_xll.BDH($C$78,"BS_INVENTORIES","FQ2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80" s="3" t="e">
        <f ca="1">_xll.BDH($C$78,"INVTRY_RAW_MATERIALS","FQ2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80" s="3" t="e">
        <f ca="1">_xll.BDH($C$78,"INVTRY_IN_PROGRESS","FQ2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80" s="3" t="e">
        <f ca="1">_xll.BDH($C$78,"INVTRY_FINISHED_GOODS","FQ2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80" s="3" t="e">
        <f ca="1">_xll.BDH($C$78,"BS_OTHER_INV","FQ2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81" spans="1:113" x14ac:dyDescent="0.3">
      <c r="A81" s="6"/>
      <c r="B81" s="6"/>
      <c r="C81" s="6"/>
      <c r="D81" s="6"/>
      <c r="E81" t="s">
        <v>80</v>
      </c>
      <c r="F81" t="e">
        <f ca="1">_xll.BDH($C$78,"RETURN_COM_EQY","FQ3 2014","FQ3 2014","Currency=INR","Period=FQ","BEST_FPERIOD_OVERRIDE=FQ","FILING_STATUS=OR","EQY_CONSOLIDATED=Y","FA_ADJUSTED=GAAP","Sort=A","Dates=H","DateFormat=P","Fill=—","Direction=H","UseDPDF=Y")</f>
        <v>#NAME?</v>
      </c>
      <c r="G81" t="e">
        <f ca="1">_xll.BDH($C$78,"RETURN_ON_ASSET","FQ3 2014","FQ3 2014","Currency=INR","Period=FQ","BEST_FPERIOD_OVERRIDE=FQ","FILING_STATUS=OR","EQY_CONSOLIDATED=Y","FA_ADJUSTED=GAAP","Sort=A","Dates=H","DateFormat=P","Fill=—","Direction=H","UseDPDF=Y")</f>
        <v>#NAME?</v>
      </c>
      <c r="H81" t="e">
        <f ca="1">_xll.BDH($C$78,"RETURN_ON_CAP","FQ3 2014","FQ3 2014","Currency=INR","Period=FQ","BEST_FPERIOD_OVERRIDE=FQ","FILING_STATUS=OR","EQY_CONSOLIDATED=Y","FA_ADJUSTED=GAAP","Sort=A","Dates=H","DateFormat=P","Fill=—","Direction=H","UseDPDF=Y")</f>
        <v>#NAME?</v>
      </c>
      <c r="I81" t="e">
        <f ca="1">_xll.BDH($C$78,"RETURN_ON_INV_CAPITAL","FQ3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81" t="e">
        <f ca="1">_xll.BDH($C$78,"EBITDA_TO_REVENUE","FQ3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81" t="e">
        <f ca="1">_xll.BDH($C$78,"OPER_MARGIN","FQ3 2014","FQ3 2014","Currency=INR","Period=FQ","BEST_FPERIOD_OVERRIDE=FQ","FILING_STATUS=OR","EQY_CONSOLIDATED=Y","FA_ADJUSTED=GAAP","Sort=A","Dates=H","DateFormat=P","Fill=—","Direction=H","UseDPDF=Y")</f>
        <v>#NAME?</v>
      </c>
      <c r="L81" t="e">
        <f ca="1">_xll.BDH($C$78,"INCREMENTAL_OPERATING_MARGIN","FQ3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81" t="e">
        <f ca="1">_xll.BDH($C$78,"PRETAX_INC_TO_NET_SALES","FQ3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81" t="e">
        <f ca="1">_xll.BDH($C$78,"INC_BEF_XO_ITEMS_TO_NET_SALES","FQ3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81" t="e">
        <f ca="1">_xll.BDH($C$78,"PROF_MARGIN","FQ3 2014","FQ3 2014","Currency=INR","Period=FQ","BEST_FPERIOD_OVERRIDE=FQ","FILING_STATUS=OR","EQY_CONSOLIDATED=Y","FA_ADJUSTED=GAAP","Sort=A","Dates=H","DateFormat=P","Fill=—","Direction=H","UseDPDF=Y")</f>
        <v>#NAME?</v>
      </c>
      <c r="P81" t="e">
        <f ca="1">_xll.BDH($C$78,"NET_INCOME_TO_COMMON_MARGIN","FQ3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81" t="e">
        <f ca="1">_xll.BDH($C$78,"EFF_TAX_RATE","FQ3 2014","FQ3 2014","Currency=INR","Period=FQ","BEST_FPERIOD_OVERRIDE=FQ","FILING_STATUS=OR","EQY_CONSOLIDATED=Y","FA_ADJUSTED=GAAP","Sort=A","Dates=H","DateFormat=P","Fill=—","Direction=H","UseDPDF=Y")</f>
        <v>#NAME?</v>
      </c>
      <c r="R81" t="e">
        <f ca="1">_xll.BDH($C$78,"DVD_PAYOUT_RATIO","FQ3 2014","FQ3 2014","Currency=INR","Period=FQ","BEST_FPERIOD_OVERRIDE=FQ","FILING_STATUS=OR","EQY_CONSOLIDATED=Y","FA_ADJUSTED=GAAP","Sort=A","Dates=H","DateFormat=P","Fill=—","Direction=H","UseDPDF=Y")</f>
        <v>#NAME?</v>
      </c>
      <c r="S81" t="e">
        <f ca="1">_xll.BDH($C$78,"SUSTAIN_GROWTH_RT","FQ3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81" s="2" t="e">
        <f ca="1">_xll.BDH($C$78,"SALES_GROWTH","FQ3 2014","FQ3 2014","Currency=INR","Period=FQ","BEST_FPERIOD_OVERRIDE=FQ","FILING_STATUS=OR","EQY_CONSOLIDATED=Y","FA_ADJUSTED=GAAP","Sort=A","Dates=H","DateFormat=P","Fill=—","Direction=H","UseDPDF=Y")</f>
        <v>#NAME?</v>
      </c>
      <c r="U81" s="2" t="e">
        <f ca="1">_xll.BDH($C$78,"EBITDA_GROWTH","FQ3 2014","FQ3 2014","Currency=INR","Period=FQ","BEST_FPERIOD_OVERRIDE=FQ","FILING_STATUS=OR","EQY_CONSOLIDATED=Y","FA_ADJUSTED=GAAP","Sort=A","Dates=H","DateFormat=P","Fill=—","Direction=H","UseDPDF=Y")</f>
        <v>#NAME?</v>
      </c>
      <c r="V81" s="2" t="e">
        <f ca="1">_xll.BDH($C$78,"OPER_INC_GROWTH","FQ3 2014","FQ3 2014","Currency=INR","Period=FQ","BEST_FPERIOD_OVERRIDE=FQ","FILING_STATUS=OR","EQY_CONSOLIDATED=Y","FA_ADJUSTED=GAAP","Sort=A","Dates=H","DateFormat=P","Fill=—","Direction=H","UseDPDF=Y")</f>
        <v>#NAME?</v>
      </c>
      <c r="W81" s="2" t="e">
        <f ca="1">_xll.BDH($C$78,"EARN_FOR_COM_GROWTH","FQ3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81" s="2" t="e">
        <f ca="1">_xll.BDH($C$78,"DILUTED_EPS_AFT_XO_ITEMS_GROWTH","FQ3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81" s="2" t="e">
        <f ca="1">_xll.BDH($C$78,"DIVIDEND_PER_SHARE_1_YEAR_GROWTH","FQ3 2014","FQ3 2014","Currency=INR","Period=FQ","BEST_FPERIOD_OVERRIDE=FQ","FILING_STATUS=OR","EQY_CONSOLIDATED=Y","Sort=A","Dates=H","DateFormat=P","Fill=—","Direction=H","UseDPDF=Y")</f>
        <v>#NAME?</v>
      </c>
      <c r="Z81" s="2" t="e">
        <f ca="1">_xll.BDH($C$78,"ACCOUNTS_RECEIVABLE_GROWTH","FQ3 2014","FQ3 2014","Currency=INR","Period=FQ","BEST_FPERIOD_OVERRIDE=FQ","FILING_STATUS=OR","EQY_CONSOLIDATED=Y","Sort=A","Dates=H","DateFormat=P","Fill=—","Direction=H","UseDPDF=Y")</f>
        <v>#NAME?</v>
      </c>
      <c r="AA81" s="2" t="e">
        <f ca="1">_xll.BDH($C$78,"INVENTORY_GROWTH","FQ3 2014","FQ3 2014","Currency=INR","Period=FQ","BEST_FPERIOD_OVERRIDE=FQ","FILING_STATUS=OR","EQY_CONSOLIDATED=Y","Sort=A","Dates=H","DateFormat=P","Fill=—","Direction=H","UseDPDF=Y")</f>
        <v>#NAME?</v>
      </c>
      <c r="AB81" s="2" t="e">
        <f ca="1">_xll.BDH($C$78,"NET_FIXED_ASSETS_1_YEAR_GROWTH","FQ3 2014","FQ3 2014","Currency=INR","Period=FQ","BEST_FPERIOD_OVERRIDE=FQ","FILING_STATUS=OR","EQY_CONSOLIDATED=Y","Sort=A","Dates=H","DateFormat=P","Fill=—","Direction=H","UseDPDF=Y")</f>
        <v>#NAME?</v>
      </c>
      <c r="AC81" s="2" t="e">
        <f ca="1">_xll.BDH($C$78,"ASSET_GROWTH","FQ3 2014","FQ3 2014","Currency=INR","Period=FQ","BEST_FPERIOD_OVERRIDE=FQ","FILING_STATUS=OR","EQY_CONSOLIDATED=Y","Sort=A","Dates=H","DateFormat=P","Fill=—","Direction=H","UseDPDF=Y")</f>
        <v>#NAME?</v>
      </c>
      <c r="AD81" s="2" t="e">
        <f ca="1">_xll.BDH($C$78,"MODIFIED_WORK_CAP_GROWTH","FQ3 2014","FQ3 2014","Currency=INR","Period=FQ","BEST_FPERIOD_OVERRIDE=FQ","FILING_STATUS=OR","EQY_CONSOLIDATED=Y","Sort=A","Dates=H","DateFormat=P","Fill=—","Direction=H","UseDPDF=Y")</f>
        <v>#NAME?</v>
      </c>
      <c r="AE81" s="2" t="e">
        <f ca="1">_xll.BDH($C$78,"WORK_CAP_GROWTH","FQ3 2014","FQ3 2014","Currency=INR","Period=FQ","BEST_FPERIOD_OVERRIDE=FQ","FILING_STATUS=OR","EQY_CONSOLIDATED=Y","Sort=A","Dates=H","DateFormat=P","Fill=—","Direction=H","UseDPDF=Y")</f>
        <v>#NAME?</v>
      </c>
      <c r="AF81" s="2" t="e">
        <f ca="1">_xll.BDH($C$78,"ACCOUNTS_PAYABLE_GROWTH_1YR","FQ3 2014","FQ3 2014","Currency=INR","Period=FQ","BEST_FPERIOD_OVERRIDE=FQ","FILING_STATUS=OR","EQY_CONSOLIDATED=Y","Sort=A","Dates=H","DateFormat=P","Fill=—","Direction=H","UseDPDF=Y")</f>
        <v>#NAME?</v>
      </c>
      <c r="AG81" s="2" t="e">
        <f ca="1">_xll.BDH($C$78,"SHORT_TERM_DEBT_1_YEAR_GROWTH","FQ3 2014","FQ3 2014","Currency=INR","Period=FQ","BEST_FPERIOD_OVERRIDE=FQ","FILING_STATUS=OR","EQY_CONSOLIDATED=Y","Sort=A","Dates=H","DateFormat=P","Fill=—","Direction=H","UseDPDF=Y")</f>
        <v>#NAME?</v>
      </c>
      <c r="AH81" s="2" t="e">
        <f ca="1">_xll.BDH($C$78,"TOTAL_DEBT_1_YEAR_GROWTH","FQ3 2014","FQ3 2014","Currency=INR","Period=FQ","BEST_FPERIOD_OVERRIDE=FQ","FILING_STATUS=OR","EQY_CONSOLIDATED=Y","Sort=A","Dates=H","DateFormat=P","Fill=—","Direction=H","UseDPDF=Y")</f>
        <v>#NAME?</v>
      </c>
      <c r="AI81" s="2" t="e">
        <f ca="1">_xll.BDH($C$78,"TOTAL_EQUITY_1_YEAR_GROWTH","FQ3 2014","FQ3 2014","Currency=INR","Period=FQ","BEST_FPERIOD_OVERRIDE=FQ","FILING_STATUS=OR","EQY_CONSOLIDATED=Y","Sort=A","Dates=H","DateFormat=P","Fill=—","Direction=H","UseDPDF=Y")</f>
        <v>#NAME?</v>
      </c>
      <c r="AJ81" s="2" t="e">
        <f ca="1">_xll.BDH($C$78,"GROWTH_IN_CAP","FQ3 2014","FQ3 2014","Currency=INR","Period=FQ","BEST_FPERIOD_OVERRIDE=FQ","FILING_STATUS=OR","EQY_CONSOLIDATED=Y","Sort=A","Dates=H","DateFormat=P","Fill=—","Direction=H","UseDPDF=Y")</f>
        <v>#NAME?</v>
      </c>
      <c r="AK81" s="2" t="e">
        <f ca="1">_xll.BDH($C$78,"BVPS_GROWTH","FQ3 2014","FQ3 2014","Currency=INR","Period=FQ","BEST_FPERIOD_OVERRIDE=FQ","FILING_STATUS=OR","EQY_CONSOLIDATED=Y","Sort=A","Dates=H","DateFormat=P","Fill=—","Direction=H","UseDPDF=Y")</f>
        <v>#NAME?</v>
      </c>
      <c r="AL81" s="2" t="e">
        <f ca="1">_xll.BDH($C$78,"CASH_FLOW_GROWTH","FQ3 2014","FQ3 2014","Currency=INR","Period=FQ","BEST_FPERIOD_OVERRIDE=FQ","FILING_STATUS=OR","EQY_CONSOLIDATED=Y","Sort=A","Dates=H","DateFormat=P","Fill=—","Direction=H","UseDPDF=Y")</f>
        <v>#NAME?</v>
      </c>
      <c r="AM81" s="2" t="e">
        <f ca="1">_xll.BDH($C$78,"GEO_GROW_NET_SALES","FQ3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81" s="2" t="e">
        <f ca="1">_xll.BDH($C$78,"GEO_GROW_EBITDA","FQ3 2014","FQ3 2014","Currency=INR","Period=FQ","BEST_FPERIOD_OVERRIDE=FQ","FILING_STATUS=OR","EQY_CONSOLIDATED=Y","FA_ADJUSTED=GAAP","Sort=A","Dates=H","DateFormat=P","Fill=—","Direction=H","UseDPDF=Y")</f>
        <v>#NAME?</v>
      </c>
      <c r="AO81" s="2" t="e">
        <f ca="1">_xll.BDH($C$78,"GEO_GROW_OPER_INC","FQ3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81" s="2" t="e">
        <f ca="1">_xll.BDH($C$78,"NET_INCOME_TO_COMMON_5_YR_GROWTH","FQ3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81" s="2" t="e">
        <f ca="1">_xll.BDH($C$78,"5Y_GEO_GROWTH_DILUTED_EPS","FQ3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81" s="2" t="e">
        <f ca="1">_xll.BDH($C$78,"GEO_GROW_DVD_PER_SH","FQ3 2014","FQ3 2014","Currency=INR","Period=FQ","BEST_FPERIOD_OVERRIDE=FQ","FILING_STATUS=OR","EQY_CONSOLIDATED=Y","Sort=A","Dates=H","DateFormat=P","Fill=—","Direction=H","UseDPDF=Y")</f>
        <v>#NAME?</v>
      </c>
      <c r="AS81" s="2" t="e">
        <f ca="1">_xll.BDH($C$78,"ACCOUNTS_RECEIVABLE_5_YR_GROWTH","FQ3 2014","FQ3 2014","Currency=INR","Period=FQ","BEST_FPERIOD_OVERRIDE=FQ","FILING_STATUS=OR","EQY_CONSOLIDATED=Y","Sort=A","Dates=H","DateFormat=P","Fill=—","Direction=H","UseDPDF=Y")</f>
        <v>#NAME?</v>
      </c>
      <c r="AT81" s="2" t="e">
        <f ca="1">_xll.BDH($C$78,"INVENTORY_5_YEAR_GROWTH","FQ3 2014","FQ3 2014","Currency=INR","Period=FQ","BEST_FPERIOD_OVERRIDE=FQ","FILING_STATUS=OR","EQY_CONSOLIDATED=Y","Sort=A","Dates=H","DateFormat=P","Fill=—","Direction=H","UseDPDF=Y")</f>
        <v>#NAME?</v>
      </c>
      <c r="AU81" s="2" t="e">
        <f ca="1">_xll.BDH($C$78,"NET_FIXED_ASSETS_5_YEAR_GROWTH","FQ3 2014","FQ3 2014","Currency=INR","Period=FQ","BEST_FPERIOD_OVERRIDE=FQ","FILING_STATUS=OR","EQY_CONSOLIDATED=Y","Sort=A","Dates=H","DateFormat=P","Fill=—","Direction=H","UseDPDF=Y")</f>
        <v>#NAME?</v>
      </c>
      <c r="AV81" s="2" t="e">
        <f ca="1">_xll.BDH($C$78,"GEO_GROW_TOT_ASSET","FQ3 2014","FQ3 2014","Currency=INR","Period=FQ","BEST_FPERIOD_OVERRIDE=FQ","FILING_STATUS=OR","EQY_CONSOLIDATED=Y","Sort=A","Dates=H","DateFormat=P","Fill=—","Direction=H","UseDPDF=Y")</f>
        <v>#NAME?</v>
      </c>
      <c r="AW81" s="2" t="e">
        <f ca="1">_xll.BDH($C$78,"MODIFIED_WORKING_CPTL_5YR_GRWTH","FQ3 2014","FQ3 2014","Currency=INR","Period=FQ","BEST_FPERIOD_OVERRIDE=FQ","FILING_STATUS=OR","EQY_CONSOLIDATED=Y","Sort=A","Dates=H","DateFormat=P","Fill=—","Direction=H","UseDPDF=Y")</f>
        <v>#NAME?</v>
      </c>
      <c r="AX81" s="2" t="e">
        <f ca="1">_xll.BDH($C$78,"WORKING_CAPITAL_5_YEAR_GROWTH","FQ3 2014","FQ3 2014","Currency=INR","Period=FQ","BEST_FPERIOD_OVERRIDE=FQ","FILING_STATUS=OR","EQY_CONSOLIDATED=Y","Sort=A","Dates=H","DateFormat=P","Fill=—","Direction=H","UseDPDF=Y")</f>
        <v>#NAME?</v>
      </c>
      <c r="AY81" s="2" t="e">
        <f ca="1">_xll.BDH($C$78,"ACCOUNTS_PAYABLE_5_YEAR_GROWTH","FQ3 2014","FQ3 2014","Currency=INR","Period=FQ","BEST_FPERIOD_OVERRIDE=FQ","FILING_STATUS=OR","EQY_CONSOLIDATED=Y","Sort=A","Dates=H","DateFormat=P","Fill=—","Direction=H","UseDPDF=Y")</f>
        <v>#NAME?</v>
      </c>
      <c r="AZ81" s="2" t="e">
        <f ca="1">_xll.BDH($C$78,"SHORT_TERM_DEBT_5_YEAR_GROWTH","FQ3 2014","FQ3 2014","Currency=INR","Period=FQ","BEST_FPERIOD_OVERRIDE=FQ","FILING_STATUS=OR","EQY_CONSOLIDATED=Y","Sort=A","Dates=H","DateFormat=P","Fill=—","Direction=H","UseDPDF=Y")</f>
        <v>#NAME?</v>
      </c>
      <c r="BA81" s="2" t="e">
        <f ca="1">_xll.BDH($C$78,"TOTAL_DEBT_5_YEAR_GROWTH","FQ3 2014","FQ3 2014","Currency=INR","Period=FQ","BEST_FPERIOD_OVERRIDE=FQ","FILING_STATUS=OR","EQY_CONSOLIDATED=Y","Sort=A","Dates=H","DateFormat=P","Fill=—","Direction=H","UseDPDF=Y")</f>
        <v>#NAME?</v>
      </c>
      <c r="BB81" s="2" t="e">
        <f ca="1">_xll.BDH($C$78,"GEO_GROW_TOT_SHRHLDR_EQY","FQ3 2014","FQ3 2014","Currency=INR","Period=FQ","BEST_FPERIOD_OVERRIDE=FQ","FILING_STATUS=OR","EQY_CONSOLIDATED=Y","Sort=A","Dates=H","DateFormat=P","Fill=—","Direction=H","UseDPDF=Y")</f>
        <v>#NAME?</v>
      </c>
      <c r="BC81" s="2" t="e">
        <f ca="1">_xll.BDH($C$78,"TOTAL_CAPITAL_5_YEAR_GROWTH","FQ3 2014","FQ3 2014","Currency=INR","Period=FQ","BEST_FPERIOD_OVERRIDE=FQ","FILING_STATUS=OR","EQY_CONSOLIDATED=Y","Sort=A","Dates=H","DateFormat=P","Fill=—","Direction=H","UseDPDF=Y")</f>
        <v>#NAME?</v>
      </c>
      <c r="BD81" s="2" t="e">
        <f ca="1">_xll.BDH($C$78,"GEO_GROW_BOOK_VAL","FQ3 2014","FQ3 2014","Currency=INR","Period=FQ","BEST_FPERIOD_OVERRIDE=FQ","FILING_STATUS=OR","EQY_CONSOLIDATED=Y","Sort=A","Dates=H","DateFormat=P","Fill=—","Direction=H","UseDPDF=Y")</f>
        <v>#NAME?</v>
      </c>
      <c r="BE81" s="2" t="e">
        <f ca="1">_xll.BDH($C$78,"GEO_GROW_CASH_OPER_ACT","FQ3 2014","FQ3 2014","Currency=INR","Period=FQ","BEST_FPERIOD_OVERRIDE=FQ","FILING_STATUS=OR","EQY_CONSOLIDATED=Y","Sort=A","Dates=H","DateFormat=P","Fill=—","Direction=H","UseDPDF=Y")</f>
        <v>#NAME?</v>
      </c>
      <c r="BF81" s="2" t="e">
        <f ca="1">_xll.BDH($C$78,"REVENUE_SEQUENTIAL_GROWTH","FQ3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81" s="2" t="e">
        <f ca="1">_xll.BDH($C$78,"EBITDA_SEQUENTIAL_GROWTH","FQ3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81" s="2" t="e">
        <f ca="1">_xll.BDH($C$78,"OPERATING_INCOME_SEQ_GROWTH","FQ3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81" s="2" t="e">
        <f ca="1">_xll.BDH($C$78,"NET_INCOME_TO_COMMON_SEQ_GROWTH","FQ3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81" s="2" t="e">
        <f ca="1">_xll.BDH($C$78,"EPS_DILUTED_SEQUENTIAL_GROWTH","FQ3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81" s="2" t="e">
        <f ca="1">_xll.BDH($C$78,"DPS_SEQUENTIAL_GROWTH","FQ3 2014","FQ3 2014","Currency=INR","Period=FQ","BEST_FPERIOD_OVERRIDE=FQ","FILING_STATUS=OR","EQY_CONSOLIDATED=Y","Sort=A","Dates=H","DateFormat=P","Fill=—","Direction=H","UseDPDF=Y")</f>
        <v>#NAME?</v>
      </c>
      <c r="BL81" s="2" t="e">
        <f ca="1">_xll.BDH($C$78,"ACCOUNTS_RECEIVABLE_SEQ_GROWTH","FQ3 2014","FQ3 2014","Currency=INR","Period=FQ","BEST_FPERIOD_OVERRIDE=FQ","FILING_STATUS=OR","EQY_CONSOLIDATED=Y","Sort=A","Dates=H","DateFormat=P","Fill=—","Direction=H","UseDPDF=Y")</f>
        <v>#NAME?</v>
      </c>
      <c r="BM81" s="2" t="e">
        <f ca="1">_xll.BDH($C$78,"INVENTORY_SEQUENTIAL_GROWTH","FQ3 2014","FQ3 2014","Currency=INR","Period=FQ","BEST_FPERIOD_OVERRIDE=FQ","FILING_STATUS=OR","EQY_CONSOLIDATED=Y","Sort=A","Dates=H","DateFormat=P","Fill=—","Direction=H","UseDPDF=Y")</f>
        <v>#NAME?</v>
      </c>
      <c r="BN81" s="2" t="e">
        <f ca="1">_xll.BDH($C$78,"FIXED_ASSETS_SEQUENTIAL_GROWTH","FQ3 2014","FQ3 2014","Currency=INR","Period=FQ","BEST_FPERIOD_OVERRIDE=FQ","FILING_STATUS=OR","EQY_CONSOLIDATED=Y","Sort=A","Dates=H","DateFormat=P","Fill=—","Direction=H","UseDPDF=Y")</f>
        <v>#NAME?</v>
      </c>
      <c r="BO81" s="2" t="e">
        <f ca="1">_xll.BDH($C$78,"TOTAL_ASSETS_SEQUENTIAL_GROWTH","FQ3 2014","FQ3 2014","Currency=INR","Period=FQ","BEST_FPERIOD_OVERRIDE=FQ","FILING_STATUS=OR","EQY_CONSOLIDATED=Y","Sort=A","Dates=H","DateFormat=P","Fill=—","Direction=H","UseDPDF=Y")</f>
        <v>#NAME?</v>
      </c>
      <c r="BP81" s="2" t="e">
        <f ca="1">_xll.BDH($C$78,"MODIFIED_WORKING_CPTL_SEQ_GRWTH","FQ3 2014","FQ3 2014","Currency=INR","Period=FQ","BEST_FPERIOD_OVERRIDE=FQ","FILING_STATUS=OR","EQY_CONSOLIDATED=Y","Sort=A","Dates=H","DateFormat=P","Fill=—","Direction=H","UseDPDF=Y")</f>
        <v>#NAME?</v>
      </c>
      <c r="BQ81" s="2" t="e">
        <f ca="1">_xll.BDH($C$78,"WORKING_CAPITAL_SEQ_GROWTH","FQ3 2014","FQ3 2014","Currency=INR","Period=FQ","BEST_FPERIOD_OVERRIDE=FQ","FILING_STATUS=OR","EQY_CONSOLIDATED=Y","Sort=A","Dates=H","DateFormat=P","Fill=—","Direction=H","UseDPDF=Y")</f>
        <v>#NAME?</v>
      </c>
      <c r="BR81" s="2" t="e">
        <f ca="1">_xll.BDH($C$78,"ACCOUNTS_PAYABLE_SEQ_GROWTH","FQ3 2014","FQ3 2014","Currency=INR","Period=FQ","BEST_FPERIOD_OVERRIDE=FQ","FILING_STATUS=OR","EQY_CONSOLIDATED=Y","Sort=A","Dates=H","DateFormat=P","Fill=—","Direction=H","UseDPDF=Y")</f>
        <v>#NAME?</v>
      </c>
      <c r="BS81" s="2" t="e">
        <f ca="1">_xll.BDH($C$78,"ST_DEBT_SEQUENTIAL_GROWTH","FQ3 2014","FQ3 2014","Currency=INR","Period=FQ","BEST_FPERIOD_OVERRIDE=FQ","FILING_STATUS=OR","EQY_CONSOLIDATED=Y","Sort=A","Dates=H","DateFormat=P","Fill=—","Direction=H","UseDPDF=Y")</f>
        <v>#NAME?</v>
      </c>
      <c r="BT81" s="2" t="e">
        <f ca="1">_xll.BDH($C$78,"TOTAL_DEBT_SEQUENTIAL_GROWTH","FQ3 2014","FQ3 2014","Currency=INR","Period=FQ","BEST_FPERIOD_OVERRIDE=FQ","FILING_STATUS=OR","EQY_CONSOLIDATED=Y","Sort=A","Dates=H","DateFormat=P","Fill=—","Direction=H","UseDPDF=Y")</f>
        <v>#NAME?</v>
      </c>
      <c r="BU81" s="2" t="e">
        <f ca="1">_xll.BDH($C$78,"TOTAL_EQUITY_SEQUENTIAL_GROWTH","FQ3 2014","FQ3 2014","Currency=INR","Period=FQ","BEST_FPERIOD_OVERRIDE=FQ","FILING_STATUS=OR","EQY_CONSOLIDATED=Y","Sort=A","Dates=H","DateFormat=P","Fill=—","Direction=H","UseDPDF=Y")</f>
        <v>#NAME?</v>
      </c>
      <c r="BV81" s="2" t="e">
        <f ca="1">_xll.BDH($C$78,"TOTAL_CAPITAL_SEQUENTIAL_GROWTH","FQ3 2014","FQ3 2014","Currency=INR","Period=FQ","BEST_FPERIOD_OVERRIDE=FQ","FILING_STATUS=OR","EQY_CONSOLIDATED=Y","Sort=A","Dates=H","DateFormat=P","Fill=—","Direction=H","UseDPDF=Y")</f>
        <v>#NAME?</v>
      </c>
      <c r="BW81" s="2" t="e">
        <f ca="1">_xll.BDH($C$78,"BPS_SEQUENTIAL_GROWTH","FQ3 2014","FQ3 2014","Currency=INR","Period=FQ","BEST_FPERIOD_OVERRIDE=FQ","FILING_STATUS=OR","EQY_CONSOLIDATED=Y","Sort=A","Dates=H","DateFormat=P","Fill=—","Direction=H","UseDPDF=Y")</f>
        <v>#NAME?</v>
      </c>
      <c r="BX81" s="2" t="e">
        <f ca="1">_xll.BDH($C$78,"CFO_SEQUENTIAL_GROWTH","FQ3 2014","FQ3 2014","Currency=INR","Period=FQ","BEST_FPERIOD_OVERRIDE=FQ","FILING_STATUS=OR","EQY_CONSOLIDATED=Y","Sort=A","Dates=H","DateFormat=P","Fill=—","Direction=H","UseDPDF=Y")</f>
        <v>#NAME?</v>
      </c>
      <c r="BY81" s="3" t="e">
        <f ca="1">_xll.BDH($C$78,"SHORT_AND_LONG_TERM_DEBT","FQ3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81" s="3" t="e">
        <f ca="1">_xll.BDH($C$78,"BS_ST_BORROW","FQ3 2014","FQ3 2014","Currency=INR","Period=FQ","BEST_FPERIOD_OVERRIDE=FQ","FILING_STATUS=OR","EQY_CONSOLIDATED=Y","SCALING_FORMAT=MLN","Sort=A","Dates=H","DateFormat=P","Fill=—","Direction=H","UseDPDF=Y")</f>
        <v>#NAME?</v>
      </c>
      <c r="CA81" s="3" t="e">
        <f ca="1">_xll.BDH($C$78,"BS_LT_BORROW","FQ3 2014","FQ3 2014","Currency=INR","Period=FQ","BEST_FPERIOD_OVERRIDE=FQ","FILING_STATUS=OR","EQY_CONSOLIDATED=Y","SCALING_FORMAT=MLN","Sort=A","Dates=H","DateFormat=P","Fill=—","Direction=H","UseDPDF=Y")</f>
        <v>#NAME?</v>
      </c>
      <c r="CB81" s="2" t="e">
        <f ca="1">_xll.BDH($C$78,"TOT_DEBT_TO_EBITDA","FQ3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81" s="2" t="e">
        <f ca="1">_xll.BDH($C$78,"NET_DEBT_TO_EBITDA","FQ3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81" s="2" t="e">
        <f ca="1">_xll.BDH($C$78,"TOTAL_DEBT_TO_EBIT","FQ3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81" s="2" t="e">
        <f ca="1">_xll.BDH($C$78,"NET_DEBT_TO_EBIT","FQ3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81" s="2" t="e">
        <f ca="1">_xll.BDH($C$78,"EBITDA_TO_INTEREST_EXPN","FQ3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81" s="2" t="e">
        <f ca="1">_xll.BDH($C$78,"COM_EQY_TO_TOT_ASSET","FQ3 2014","FQ3 2014","Currency=INR","Period=FQ","BEST_FPERIOD_OVERRIDE=FQ","FILING_STATUS=OR","EQY_CONSOLIDATED=Y","Sort=A","Dates=H","DateFormat=P","Fill=—","Direction=H","UseDPDF=Y")</f>
        <v>#NAME?</v>
      </c>
      <c r="CH81" s="2" t="e">
        <f ca="1">_xll.BDH($C$78,"LT_DEBT_TO_TOT_EQY","FQ3 2014","FQ3 2014","Currency=INR","Period=FQ","BEST_FPERIOD_OVERRIDE=FQ","FILING_STATUS=OR","EQY_CONSOLIDATED=Y","Sort=A","Dates=H","DateFormat=P","Fill=—","Direction=H","UseDPDF=Y")</f>
        <v>#NAME?</v>
      </c>
      <c r="CI81" s="2" t="e">
        <f ca="1">_xll.BDH($C$78,"LT_DEBT_TO_TOT_CAP","FQ3 2014","FQ3 2014","Currency=INR","Period=FQ","BEST_FPERIOD_OVERRIDE=FQ","FILING_STATUS=OR","EQY_CONSOLIDATED=Y","Sort=A","Dates=H","DateFormat=P","Fill=—","Direction=H","UseDPDF=Y")</f>
        <v>#NAME?</v>
      </c>
      <c r="CJ81" s="2" t="e">
        <f ca="1">_xll.BDH($C$78,"LT_DEBT_TO_TOT_ASSET","FQ3 2014","FQ3 2014","Currency=INR","Period=FQ","BEST_FPERIOD_OVERRIDE=FQ","FILING_STATUS=OR","EQY_CONSOLIDATED=Y","Sort=A","Dates=H","DateFormat=P","Fill=—","Direction=H","UseDPDF=Y")</f>
        <v>#NAME?</v>
      </c>
      <c r="CK81" s="2" t="e">
        <f ca="1">_xll.BDH($C$78,"TOT_DEBT_TO_TOT_EQY","FQ3 2014","FQ3 2014","Currency=INR","Period=FQ","BEST_FPERIOD_OVERRIDE=FQ","FILING_STATUS=OR","EQY_CONSOLIDATED=Y","Sort=A","Dates=H","DateFormat=P","Fill=—","Direction=H","UseDPDF=Y")</f>
        <v>#NAME?</v>
      </c>
      <c r="CL81" s="2" t="e">
        <f ca="1">_xll.BDH($C$78,"TOT_DEBT_TO_TOT_CAP","FQ3 2014","FQ3 2014","Currency=INR","Period=FQ","BEST_FPERIOD_OVERRIDE=FQ","FILING_STATUS=OR","EQY_CONSOLIDATED=Y","Sort=A","Dates=H","DateFormat=P","Fill=—","Direction=H","UseDPDF=Y")</f>
        <v>#NAME?</v>
      </c>
      <c r="CM81" s="2" t="e">
        <f ca="1">_xll.BDH($C$78,"TOT_DEBT_TO_TOT_ASSET","FQ3 2014","FQ3 2014","Currency=INR","Period=FQ","BEST_FPERIOD_OVERRIDE=FQ","FILING_STATUS=OR","EQY_CONSOLIDATED=Y","Sort=A","Dates=H","DateFormat=P","Fill=—","Direction=H","UseDPDF=Y")</f>
        <v>#NAME?</v>
      </c>
      <c r="CN81" s="2" t="e">
        <f ca="1">_xll.BDH($C$78,"NET_DEBT_TO_SHRHLDR_EQTY","FQ3 2014","FQ3 2014","Currency=INR","Period=FQ","BEST_FPERIOD_OVERRIDE=FQ","FILING_STATUS=OR","EQY_CONSOLIDATED=Y","Sort=A","Dates=H","DateFormat=P","Fill=—","Direction=H","UseDPDF=Y")</f>
        <v>#NAME?</v>
      </c>
      <c r="CO81" s="2" t="e">
        <f ca="1">_xll.BDH($C$78,"NET_DEBT_%_CAPITAL","FQ3 2014","FQ3 2014","Currency=INR","Period=FQ","BEST_FPERIOD_OVERRIDE=FQ","FILING_STATUS=OR","EQY_CONSOLIDATED=Y","Sort=A","Dates=H","DateFormat=P","Fill=—","Direction=H","UseDPDF=Y")</f>
        <v>#NAME?</v>
      </c>
      <c r="CP81" s="3" t="e">
        <f ca="1">_xll.BDH($C$78,"EBITDA","FQ3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81" s="3" t="e">
        <f ca="1">_xll.BDH($C$78,"EBITDA_AFTER_CAPEX","FQ3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81" s="3" t="e">
        <f ca="1">_xll.BDH($C$78,"IS_OPER_INC","FQ3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81" s="2" t="e">
        <f ca="1">_xll.BDH($C$78,"CASH_RATIO","FQ3 2014","FQ3 2014","Currency=INR","Period=FQ","BEST_FPERIOD_OVERRIDE=FQ","FILING_STATUS=OR","EQY_CONSOLIDATED=Y","Sort=A","Dates=H","DateFormat=P","Fill=—","Direction=H","UseDPDF=Y")</f>
        <v>#NAME?</v>
      </c>
      <c r="CT81" s="2" t="e">
        <f ca="1">_xll.BDH($C$78,"CUR_RATIO","FQ3 2014","FQ3 2014","Currency=INR","Period=FQ","BEST_FPERIOD_OVERRIDE=FQ","FILING_STATUS=OR","EQY_CONSOLIDATED=Y","Sort=A","Dates=H","DateFormat=P","Fill=—","Direction=H","UseDPDF=Y")</f>
        <v>#NAME?</v>
      </c>
      <c r="CU81" s="2" t="e">
        <f ca="1">_xll.BDH($C$78,"QUICK_RATIO","FQ3 2014","FQ3 2014","Currency=INR","Period=FQ","BEST_FPERIOD_OVERRIDE=FQ","FILING_STATUS=OR","EQY_CONSOLIDATED=Y","Sort=A","Dates=H","DateFormat=P","Fill=—","Direction=H","UseDPDF=Y")</f>
        <v>#NAME?</v>
      </c>
      <c r="CV81" s="2" t="e">
        <f ca="1">_xll.BDH($C$78,"ALTMAN_Z_SCORE","FQ3 2014","FQ3 2014","Currency=INR","Period=FQ","BEST_FPERIOD_OVERRIDE=FQ","FILING_STATUS=OR","EQY_CONSOLIDATED=Y","Sort=A","Dates=H","DateFormat=P","Fill=—","Direction=H","UseDPDF=Y")</f>
        <v>#NAME?</v>
      </c>
      <c r="CW81" s="4" t="e">
        <f ca="1">_xll.BDH($C$78,"ACCT_RCV_TURN","FQ3 2014","FQ3 2014","Currency=INR","Period=FQ","BEST_FPERIOD_OVERRIDE=FQ","FILING_STATUS=OR","EQY_CONSOLIDATED=Y","FA_ADJUSTED=GAAP","Sort=A","Dates=H","DateFormat=P","Fill=—","Direction=H","UseDPDF=Y")</f>
        <v>#NAME?</v>
      </c>
      <c r="CX81" s="2" t="e">
        <f ca="1">_xll.BDH($C$78,"ACCT_RCV_DAYS","FQ3 2014","FQ3 2014","Currency=INR","Period=FQ","BEST_FPERIOD_OVERRIDE=FQ","FILING_STATUS=OR","EQY_CONSOLIDATED=Y","FA_ADJUSTED=GAAP","Sort=A","Dates=H","DateFormat=P","Fill=—","Direction=H","UseDPDF=Y")</f>
        <v>#NAME?</v>
      </c>
      <c r="CY81" s="4" t="e">
        <f ca="1">_xll.BDH($C$78,"INVENT_TURN","FQ3 2014","FQ3 2014","Currency=INR","Period=FQ","BEST_FPERIOD_OVERRIDE=FQ","FILING_STATUS=OR","EQY_CONSOLIDATED=Y","FA_ADJUSTED=GAAP","Sort=A","Dates=H","DateFormat=P","Fill=—","Direction=H","UseDPDF=Y")</f>
        <v>#NAME?</v>
      </c>
      <c r="CZ81" s="2" t="e">
        <f ca="1">_xll.BDH($C$78,"INVENT_DAYS","FQ3 2014","FQ3 2014","Currency=INR","Period=FQ","BEST_FPERIOD_OVERRIDE=FQ","FILING_STATUS=OR","EQY_CONSOLIDATED=Y","FA_ADJUSTED=GAAP","Sort=A","Dates=H","DateFormat=P","Fill=—","Direction=H","UseDPDF=Y")</f>
        <v>#NAME?</v>
      </c>
      <c r="DA81" s="4" t="e">
        <f ca="1">_xll.BDH($C$78,"ACCOUNTS_PAYABLE_TURNOVER","FQ3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81" s="2" t="e">
        <f ca="1">_xll.BDH($C$78,"ACCOUNTS_PAYABLE_TURNOVER_DAYS","FQ3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81" s="4" t="e">
        <f ca="1">_xll.BDH($C$78,"CASH_CONVERSION_CYCLE","FQ3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81" s="4" t="e">
        <f ca="1">_xll.BDH($C$78,"INV_TO_CASH_DAYS","FQ3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81" s="5" t="e">
        <f ca="1">_xll.BDH($C$78,"BS_INVENTORIES","FQ3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81" s="3" t="e">
        <f ca="1">_xll.BDH($C$78,"INVTRY_RAW_MATERIALS","FQ3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81" s="3" t="e">
        <f ca="1">_xll.BDH($C$78,"INVTRY_IN_PROGRESS","FQ3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81" s="3" t="e">
        <f ca="1">_xll.BDH($C$78,"INVTRY_FINISHED_GOODS","FQ3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81" s="3" t="e">
        <f ca="1">_xll.BDH($C$78,"BS_OTHER_INV","FQ3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82" spans="1:113" x14ac:dyDescent="0.3">
      <c r="A82" s="6"/>
      <c r="B82" s="6"/>
      <c r="C82" s="6"/>
      <c r="D82" s="6"/>
      <c r="E82" t="s">
        <v>81</v>
      </c>
      <c r="F82" t="e">
        <f ca="1">_xll.BDH($C$78,"RETURN_COM_EQY","FQ4 2014","FQ4 2014","Currency=INR","Period=FQ","BEST_FPERIOD_OVERRIDE=FQ","FILING_STATUS=OR","EQY_CONSOLIDATED=Y","FA_ADJUSTED=GAAP","Sort=A","Dates=H","DateFormat=P","Fill=—","Direction=H","UseDPDF=Y")</f>
        <v>#NAME?</v>
      </c>
      <c r="G82" t="e">
        <f ca="1">_xll.BDH($C$78,"RETURN_ON_ASSET","FQ4 2014","FQ4 2014","Currency=INR","Period=FQ","BEST_FPERIOD_OVERRIDE=FQ","FILING_STATUS=OR","EQY_CONSOLIDATED=Y","FA_ADJUSTED=GAAP","Sort=A","Dates=H","DateFormat=P","Fill=—","Direction=H","UseDPDF=Y")</f>
        <v>#NAME?</v>
      </c>
      <c r="H82" t="e">
        <f ca="1">_xll.BDH($C$78,"RETURN_ON_CAP","FQ4 2014","FQ4 2014","Currency=INR","Period=FQ","BEST_FPERIOD_OVERRIDE=FQ","FILING_STATUS=OR","EQY_CONSOLIDATED=Y","FA_ADJUSTED=GAAP","Sort=A","Dates=H","DateFormat=P","Fill=—","Direction=H","UseDPDF=Y")</f>
        <v>#NAME?</v>
      </c>
      <c r="I82" t="e">
        <f ca="1">_xll.BDH($C$78,"RETURN_ON_INV_CAPITAL","FQ4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82" t="e">
        <f ca="1">_xll.BDH($C$78,"EBITDA_TO_REVENUE","FQ4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82" t="e">
        <f ca="1">_xll.BDH($C$78,"OPER_MARGIN","FQ4 2014","FQ4 2014","Currency=INR","Period=FQ","BEST_FPERIOD_OVERRIDE=FQ","FILING_STATUS=OR","EQY_CONSOLIDATED=Y","FA_ADJUSTED=GAAP","Sort=A","Dates=H","DateFormat=P","Fill=—","Direction=H","UseDPDF=Y")</f>
        <v>#NAME?</v>
      </c>
      <c r="L82" t="e">
        <f ca="1">_xll.BDH($C$78,"INCREMENTAL_OPERATING_MARGIN","FQ4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82" t="e">
        <f ca="1">_xll.BDH($C$78,"PRETAX_INC_TO_NET_SALES","FQ4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82" t="e">
        <f ca="1">_xll.BDH($C$78,"INC_BEF_XO_ITEMS_TO_NET_SALES","FQ4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82" t="e">
        <f ca="1">_xll.BDH($C$78,"PROF_MARGIN","FQ4 2014","FQ4 2014","Currency=INR","Period=FQ","BEST_FPERIOD_OVERRIDE=FQ","FILING_STATUS=OR","EQY_CONSOLIDATED=Y","FA_ADJUSTED=GAAP","Sort=A","Dates=H","DateFormat=P","Fill=—","Direction=H","UseDPDF=Y")</f>
        <v>#NAME?</v>
      </c>
      <c r="P82" t="e">
        <f ca="1">_xll.BDH($C$78,"NET_INCOME_TO_COMMON_MARGIN","FQ4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82" t="e">
        <f ca="1">_xll.BDH($C$78,"EFF_TAX_RATE","FQ4 2014","FQ4 2014","Currency=INR","Period=FQ","BEST_FPERIOD_OVERRIDE=FQ","FILING_STATUS=OR","EQY_CONSOLIDATED=Y","FA_ADJUSTED=GAAP","Sort=A","Dates=H","DateFormat=P","Fill=—","Direction=H","UseDPDF=Y")</f>
        <v>#NAME?</v>
      </c>
      <c r="R82" t="e">
        <f ca="1">_xll.BDH($C$78,"DVD_PAYOUT_RATIO","FQ4 2014","FQ4 2014","Currency=INR","Period=FQ","BEST_FPERIOD_OVERRIDE=FQ","FILING_STATUS=OR","EQY_CONSOLIDATED=Y","FA_ADJUSTED=GAAP","Sort=A","Dates=H","DateFormat=P","Fill=—","Direction=H","UseDPDF=Y")</f>
        <v>#NAME?</v>
      </c>
      <c r="S82" t="e">
        <f ca="1">_xll.BDH($C$78,"SUSTAIN_GROWTH_RT","FQ4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82" s="2" t="e">
        <f ca="1">_xll.BDH($C$78,"SALES_GROWTH","FQ4 2014","FQ4 2014","Currency=INR","Period=FQ","BEST_FPERIOD_OVERRIDE=FQ","FILING_STATUS=OR","EQY_CONSOLIDATED=Y","FA_ADJUSTED=GAAP","Sort=A","Dates=H","DateFormat=P","Fill=—","Direction=H","UseDPDF=Y")</f>
        <v>#NAME?</v>
      </c>
      <c r="U82" s="2" t="e">
        <f ca="1">_xll.BDH($C$78,"EBITDA_GROWTH","FQ4 2014","FQ4 2014","Currency=INR","Period=FQ","BEST_FPERIOD_OVERRIDE=FQ","FILING_STATUS=OR","EQY_CONSOLIDATED=Y","FA_ADJUSTED=GAAP","Sort=A","Dates=H","DateFormat=P","Fill=—","Direction=H","UseDPDF=Y")</f>
        <v>#NAME?</v>
      </c>
      <c r="V82" s="2" t="e">
        <f ca="1">_xll.BDH($C$78,"OPER_INC_GROWTH","FQ4 2014","FQ4 2014","Currency=INR","Period=FQ","BEST_FPERIOD_OVERRIDE=FQ","FILING_STATUS=OR","EQY_CONSOLIDATED=Y","FA_ADJUSTED=GAAP","Sort=A","Dates=H","DateFormat=P","Fill=—","Direction=H","UseDPDF=Y")</f>
        <v>#NAME?</v>
      </c>
      <c r="W82" s="2" t="e">
        <f ca="1">_xll.BDH($C$78,"EARN_FOR_COM_GROWTH","FQ4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82" s="2" t="e">
        <f ca="1">_xll.BDH($C$78,"DILUTED_EPS_AFT_XO_ITEMS_GROWTH","FQ4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82" s="2" t="e">
        <f ca="1">_xll.BDH($C$78,"DIVIDEND_PER_SHARE_1_YEAR_GROWTH","FQ4 2014","FQ4 2014","Currency=INR","Period=FQ","BEST_FPERIOD_OVERRIDE=FQ","FILING_STATUS=OR","EQY_CONSOLIDATED=Y","Sort=A","Dates=H","DateFormat=P","Fill=—","Direction=H","UseDPDF=Y")</f>
        <v>#NAME?</v>
      </c>
      <c r="Z82" s="2" t="e">
        <f ca="1">_xll.BDH($C$78,"ACCOUNTS_RECEIVABLE_GROWTH","FQ4 2014","FQ4 2014","Currency=INR","Period=FQ","BEST_FPERIOD_OVERRIDE=FQ","FILING_STATUS=OR","EQY_CONSOLIDATED=Y","Sort=A","Dates=H","DateFormat=P","Fill=—","Direction=H","UseDPDF=Y")</f>
        <v>#NAME?</v>
      </c>
      <c r="AA82" s="2" t="e">
        <f ca="1">_xll.BDH($C$78,"INVENTORY_GROWTH","FQ4 2014","FQ4 2014","Currency=INR","Period=FQ","BEST_FPERIOD_OVERRIDE=FQ","FILING_STATUS=OR","EQY_CONSOLIDATED=Y","Sort=A","Dates=H","DateFormat=P","Fill=—","Direction=H","UseDPDF=Y")</f>
        <v>#NAME?</v>
      </c>
      <c r="AB82" s="2" t="e">
        <f ca="1">_xll.BDH($C$78,"NET_FIXED_ASSETS_1_YEAR_GROWTH","FQ4 2014","FQ4 2014","Currency=INR","Period=FQ","BEST_FPERIOD_OVERRIDE=FQ","FILING_STATUS=OR","EQY_CONSOLIDATED=Y","Sort=A","Dates=H","DateFormat=P","Fill=—","Direction=H","UseDPDF=Y")</f>
        <v>#NAME?</v>
      </c>
      <c r="AC82" s="2" t="e">
        <f ca="1">_xll.BDH($C$78,"ASSET_GROWTH","FQ4 2014","FQ4 2014","Currency=INR","Period=FQ","BEST_FPERIOD_OVERRIDE=FQ","FILING_STATUS=OR","EQY_CONSOLIDATED=Y","Sort=A","Dates=H","DateFormat=P","Fill=—","Direction=H","UseDPDF=Y")</f>
        <v>#NAME?</v>
      </c>
      <c r="AD82" s="2" t="e">
        <f ca="1">_xll.BDH($C$78,"MODIFIED_WORK_CAP_GROWTH","FQ4 2014","FQ4 2014","Currency=INR","Period=FQ","BEST_FPERIOD_OVERRIDE=FQ","FILING_STATUS=OR","EQY_CONSOLIDATED=Y","Sort=A","Dates=H","DateFormat=P","Fill=—","Direction=H","UseDPDF=Y")</f>
        <v>#NAME?</v>
      </c>
      <c r="AE82" s="2" t="e">
        <f ca="1">_xll.BDH($C$78,"WORK_CAP_GROWTH","FQ4 2014","FQ4 2014","Currency=INR","Period=FQ","BEST_FPERIOD_OVERRIDE=FQ","FILING_STATUS=OR","EQY_CONSOLIDATED=Y","Sort=A","Dates=H","DateFormat=P","Fill=—","Direction=H","UseDPDF=Y")</f>
        <v>#NAME?</v>
      </c>
      <c r="AF82" s="2" t="e">
        <f ca="1">_xll.BDH($C$78,"ACCOUNTS_PAYABLE_GROWTH_1YR","FQ4 2014","FQ4 2014","Currency=INR","Period=FQ","BEST_FPERIOD_OVERRIDE=FQ","FILING_STATUS=OR","EQY_CONSOLIDATED=Y","Sort=A","Dates=H","DateFormat=P","Fill=—","Direction=H","UseDPDF=Y")</f>
        <v>#NAME?</v>
      </c>
      <c r="AG82" s="2" t="e">
        <f ca="1">_xll.BDH($C$78,"SHORT_TERM_DEBT_1_YEAR_GROWTH","FQ4 2014","FQ4 2014","Currency=INR","Period=FQ","BEST_FPERIOD_OVERRIDE=FQ","FILING_STATUS=OR","EQY_CONSOLIDATED=Y","Sort=A","Dates=H","DateFormat=P","Fill=—","Direction=H","UseDPDF=Y")</f>
        <v>#NAME?</v>
      </c>
      <c r="AH82" s="2" t="e">
        <f ca="1">_xll.BDH($C$78,"TOTAL_DEBT_1_YEAR_GROWTH","FQ4 2014","FQ4 2014","Currency=INR","Period=FQ","BEST_FPERIOD_OVERRIDE=FQ","FILING_STATUS=OR","EQY_CONSOLIDATED=Y","Sort=A","Dates=H","DateFormat=P","Fill=—","Direction=H","UseDPDF=Y")</f>
        <v>#NAME?</v>
      </c>
      <c r="AI82" s="2" t="e">
        <f ca="1">_xll.BDH($C$78,"TOTAL_EQUITY_1_YEAR_GROWTH","FQ4 2014","FQ4 2014","Currency=INR","Period=FQ","BEST_FPERIOD_OVERRIDE=FQ","FILING_STATUS=OR","EQY_CONSOLIDATED=Y","Sort=A","Dates=H","DateFormat=P","Fill=—","Direction=H","UseDPDF=Y")</f>
        <v>#NAME?</v>
      </c>
      <c r="AJ82" s="2" t="e">
        <f ca="1">_xll.BDH($C$78,"GROWTH_IN_CAP","FQ4 2014","FQ4 2014","Currency=INR","Period=FQ","BEST_FPERIOD_OVERRIDE=FQ","FILING_STATUS=OR","EQY_CONSOLIDATED=Y","Sort=A","Dates=H","DateFormat=P","Fill=—","Direction=H","UseDPDF=Y")</f>
        <v>#NAME?</v>
      </c>
      <c r="AK82" s="2" t="e">
        <f ca="1">_xll.BDH($C$78,"BVPS_GROWTH","FQ4 2014","FQ4 2014","Currency=INR","Period=FQ","BEST_FPERIOD_OVERRIDE=FQ","FILING_STATUS=OR","EQY_CONSOLIDATED=Y","Sort=A","Dates=H","DateFormat=P","Fill=—","Direction=H","UseDPDF=Y")</f>
        <v>#NAME?</v>
      </c>
      <c r="AL82" s="2" t="e">
        <f ca="1">_xll.BDH($C$78,"CASH_FLOW_GROWTH","FQ4 2014","FQ4 2014","Currency=INR","Period=FQ","BEST_FPERIOD_OVERRIDE=FQ","FILING_STATUS=OR","EQY_CONSOLIDATED=Y","Sort=A","Dates=H","DateFormat=P","Fill=—","Direction=H","UseDPDF=Y")</f>
        <v>#NAME?</v>
      </c>
      <c r="AM82" s="2" t="e">
        <f ca="1">_xll.BDH($C$78,"GEO_GROW_NET_SALES","FQ4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82" s="2" t="e">
        <f ca="1">_xll.BDH($C$78,"GEO_GROW_EBITDA","FQ4 2014","FQ4 2014","Currency=INR","Period=FQ","BEST_FPERIOD_OVERRIDE=FQ","FILING_STATUS=OR","EQY_CONSOLIDATED=Y","FA_ADJUSTED=GAAP","Sort=A","Dates=H","DateFormat=P","Fill=—","Direction=H","UseDPDF=Y")</f>
        <v>#NAME?</v>
      </c>
      <c r="AO82" s="2" t="e">
        <f ca="1">_xll.BDH($C$78,"GEO_GROW_OPER_INC","FQ4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82" s="2" t="e">
        <f ca="1">_xll.BDH($C$78,"NET_INCOME_TO_COMMON_5_YR_GROWTH","FQ4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82" s="2" t="e">
        <f ca="1">_xll.BDH($C$78,"5Y_GEO_GROWTH_DILUTED_EPS","FQ4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82" s="2" t="e">
        <f ca="1">_xll.BDH($C$78,"GEO_GROW_DVD_PER_SH","FQ4 2014","FQ4 2014","Currency=INR","Period=FQ","BEST_FPERIOD_OVERRIDE=FQ","FILING_STATUS=OR","EQY_CONSOLIDATED=Y","Sort=A","Dates=H","DateFormat=P","Fill=—","Direction=H","UseDPDF=Y")</f>
        <v>#NAME?</v>
      </c>
      <c r="AS82" s="2" t="e">
        <f ca="1">_xll.BDH($C$78,"ACCOUNTS_RECEIVABLE_5_YR_GROWTH","FQ4 2014","FQ4 2014","Currency=INR","Period=FQ","BEST_FPERIOD_OVERRIDE=FQ","FILING_STATUS=OR","EQY_CONSOLIDATED=Y","Sort=A","Dates=H","DateFormat=P","Fill=—","Direction=H","UseDPDF=Y")</f>
        <v>#NAME?</v>
      </c>
      <c r="AT82" s="2" t="e">
        <f ca="1">_xll.BDH($C$78,"INVENTORY_5_YEAR_GROWTH","FQ4 2014","FQ4 2014","Currency=INR","Period=FQ","BEST_FPERIOD_OVERRIDE=FQ","FILING_STATUS=OR","EQY_CONSOLIDATED=Y","Sort=A","Dates=H","DateFormat=P","Fill=—","Direction=H","UseDPDF=Y")</f>
        <v>#NAME?</v>
      </c>
      <c r="AU82" s="2" t="e">
        <f ca="1">_xll.BDH($C$78,"NET_FIXED_ASSETS_5_YEAR_GROWTH","FQ4 2014","FQ4 2014","Currency=INR","Period=FQ","BEST_FPERIOD_OVERRIDE=FQ","FILING_STATUS=OR","EQY_CONSOLIDATED=Y","Sort=A","Dates=H","DateFormat=P","Fill=—","Direction=H","UseDPDF=Y")</f>
        <v>#NAME?</v>
      </c>
      <c r="AV82" s="2" t="e">
        <f ca="1">_xll.BDH($C$78,"GEO_GROW_TOT_ASSET","FQ4 2014","FQ4 2014","Currency=INR","Period=FQ","BEST_FPERIOD_OVERRIDE=FQ","FILING_STATUS=OR","EQY_CONSOLIDATED=Y","Sort=A","Dates=H","DateFormat=P","Fill=—","Direction=H","UseDPDF=Y")</f>
        <v>#NAME?</v>
      </c>
      <c r="AW82" s="2" t="e">
        <f ca="1">_xll.BDH($C$78,"MODIFIED_WORKING_CPTL_5YR_GRWTH","FQ4 2014","FQ4 2014","Currency=INR","Period=FQ","BEST_FPERIOD_OVERRIDE=FQ","FILING_STATUS=OR","EQY_CONSOLIDATED=Y","Sort=A","Dates=H","DateFormat=P","Fill=—","Direction=H","UseDPDF=Y")</f>
        <v>#NAME?</v>
      </c>
      <c r="AX82" s="2" t="e">
        <f ca="1">_xll.BDH($C$78,"WORKING_CAPITAL_5_YEAR_GROWTH","FQ4 2014","FQ4 2014","Currency=INR","Period=FQ","BEST_FPERIOD_OVERRIDE=FQ","FILING_STATUS=OR","EQY_CONSOLIDATED=Y","Sort=A","Dates=H","DateFormat=P","Fill=—","Direction=H","UseDPDF=Y")</f>
        <v>#NAME?</v>
      </c>
      <c r="AY82" s="2" t="e">
        <f ca="1">_xll.BDH($C$78,"ACCOUNTS_PAYABLE_5_YEAR_GROWTH","FQ4 2014","FQ4 2014","Currency=INR","Period=FQ","BEST_FPERIOD_OVERRIDE=FQ","FILING_STATUS=OR","EQY_CONSOLIDATED=Y","Sort=A","Dates=H","DateFormat=P","Fill=—","Direction=H","UseDPDF=Y")</f>
        <v>#NAME?</v>
      </c>
      <c r="AZ82" s="2" t="e">
        <f ca="1">_xll.BDH($C$78,"SHORT_TERM_DEBT_5_YEAR_GROWTH","FQ4 2014","FQ4 2014","Currency=INR","Period=FQ","BEST_FPERIOD_OVERRIDE=FQ","FILING_STATUS=OR","EQY_CONSOLIDATED=Y","Sort=A","Dates=H","DateFormat=P","Fill=—","Direction=H","UseDPDF=Y")</f>
        <v>#NAME?</v>
      </c>
      <c r="BA82" s="2" t="e">
        <f ca="1">_xll.BDH($C$78,"TOTAL_DEBT_5_YEAR_GROWTH","FQ4 2014","FQ4 2014","Currency=INR","Period=FQ","BEST_FPERIOD_OVERRIDE=FQ","FILING_STATUS=OR","EQY_CONSOLIDATED=Y","Sort=A","Dates=H","DateFormat=P","Fill=—","Direction=H","UseDPDF=Y")</f>
        <v>#NAME?</v>
      </c>
      <c r="BB82" s="2" t="e">
        <f ca="1">_xll.BDH($C$78,"GEO_GROW_TOT_SHRHLDR_EQY","FQ4 2014","FQ4 2014","Currency=INR","Period=FQ","BEST_FPERIOD_OVERRIDE=FQ","FILING_STATUS=OR","EQY_CONSOLIDATED=Y","Sort=A","Dates=H","DateFormat=P","Fill=—","Direction=H","UseDPDF=Y")</f>
        <v>#NAME?</v>
      </c>
      <c r="BC82" s="2" t="e">
        <f ca="1">_xll.BDH($C$78,"TOTAL_CAPITAL_5_YEAR_GROWTH","FQ4 2014","FQ4 2014","Currency=INR","Period=FQ","BEST_FPERIOD_OVERRIDE=FQ","FILING_STATUS=OR","EQY_CONSOLIDATED=Y","Sort=A","Dates=H","DateFormat=P","Fill=—","Direction=H","UseDPDF=Y")</f>
        <v>#NAME?</v>
      </c>
      <c r="BD82" s="2" t="e">
        <f ca="1">_xll.BDH($C$78,"GEO_GROW_BOOK_VAL","FQ4 2014","FQ4 2014","Currency=INR","Period=FQ","BEST_FPERIOD_OVERRIDE=FQ","FILING_STATUS=OR","EQY_CONSOLIDATED=Y","Sort=A","Dates=H","DateFormat=P","Fill=—","Direction=H","UseDPDF=Y")</f>
        <v>#NAME?</v>
      </c>
      <c r="BE82" s="2" t="e">
        <f ca="1">_xll.BDH($C$78,"GEO_GROW_CASH_OPER_ACT","FQ4 2014","FQ4 2014","Currency=INR","Period=FQ","BEST_FPERIOD_OVERRIDE=FQ","FILING_STATUS=OR","EQY_CONSOLIDATED=Y","Sort=A","Dates=H","DateFormat=P","Fill=—","Direction=H","UseDPDF=Y")</f>
        <v>#NAME?</v>
      </c>
      <c r="BF82" s="2" t="e">
        <f ca="1">_xll.BDH($C$78,"REVENUE_SEQUENTIAL_GROWTH","FQ4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82" s="2" t="e">
        <f ca="1">_xll.BDH($C$78,"EBITDA_SEQUENTIAL_GROWTH","FQ4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82" s="2" t="e">
        <f ca="1">_xll.BDH($C$78,"OPERATING_INCOME_SEQ_GROWTH","FQ4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82" s="2" t="e">
        <f ca="1">_xll.BDH($C$78,"NET_INCOME_TO_COMMON_SEQ_GROWTH","FQ4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82" s="2" t="e">
        <f ca="1">_xll.BDH($C$78,"EPS_DILUTED_SEQUENTIAL_GROWTH","FQ4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82" s="2" t="e">
        <f ca="1">_xll.BDH($C$78,"DPS_SEQUENTIAL_GROWTH","FQ4 2014","FQ4 2014","Currency=INR","Period=FQ","BEST_FPERIOD_OVERRIDE=FQ","FILING_STATUS=OR","EQY_CONSOLIDATED=Y","Sort=A","Dates=H","DateFormat=P","Fill=—","Direction=H","UseDPDF=Y")</f>
        <v>#NAME?</v>
      </c>
      <c r="BL82" s="2" t="e">
        <f ca="1">_xll.BDH($C$78,"ACCOUNTS_RECEIVABLE_SEQ_GROWTH","FQ4 2014","FQ4 2014","Currency=INR","Period=FQ","BEST_FPERIOD_OVERRIDE=FQ","FILING_STATUS=OR","EQY_CONSOLIDATED=Y","Sort=A","Dates=H","DateFormat=P","Fill=—","Direction=H","UseDPDF=Y")</f>
        <v>#NAME?</v>
      </c>
      <c r="BM82" s="2" t="e">
        <f ca="1">_xll.BDH($C$78,"INVENTORY_SEQUENTIAL_GROWTH","FQ4 2014","FQ4 2014","Currency=INR","Period=FQ","BEST_FPERIOD_OVERRIDE=FQ","FILING_STATUS=OR","EQY_CONSOLIDATED=Y","Sort=A","Dates=H","DateFormat=P","Fill=—","Direction=H","UseDPDF=Y")</f>
        <v>#NAME?</v>
      </c>
      <c r="BN82" s="2" t="e">
        <f ca="1">_xll.BDH($C$78,"FIXED_ASSETS_SEQUENTIAL_GROWTH","FQ4 2014","FQ4 2014","Currency=INR","Period=FQ","BEST_FPERIOD_OVERRIDE=FQ","FILING_STATUS=OR","EQY_CONSOLIDATED=Y","Sort=A","Dates=H","DateFormat=P","Fill=—","Direction=H","UseDPDF=Y")</f>
        <v>#NAME?</v>
      </c>
      <c r="BO82" s="2" t="e">
        <f ca="1">_xll.BDH($C$78,"TOTAL_ASSETS_SEQUENTIAL_GROWTH","FQ4 2014","FQ4 2014","Currency=INR","Period=FQ","BEST_FPERIOD_OVERRIDE=FQ","FILING_STATUS=OR","EQY_CONSOLIDATED=Y","Sort=A","Dates=H","DateFormat=P","Fill=—","Direction=H","UseDPDF=Y")</f>
        <v>#NAME?</v>
      </c>
      <c r="BP82" s="2" t="e">
        <f ca="1">_xll.BDH($C$78,"MODIFIED_WORKING_CPTL_SEQ_GRWTH","FQ4 2014","FQ4 2014","Currency=INR","Period=FQ","BEST_FPERIOD_OVERRIDE=FQ","FILING_STATUS=OR","EQY_CONSOLIDATED=Y","Sort=A","Dates=H","DateFormat=P","Fill=—","Direction=H","UseDPDF=Y")</f>
        <v>#NAME?</v>
      </c>
      <c r="BQ82" s="2" t="e">
        <f ca="1">_xll.BDH($C$78,"WORKING_CAPITAL_SEQ_GROWTH","FQ4 2014","FQ4 2014","Currency=INR","Period=FQ","BEST_FPERIOD_OVERRIDE=FQ","FILING_STATUS=OR","EQY_CONSOLIDATED=Y","Sort=A","Dates=H","DateFormat=P","Fill=—","Direction=H","UseDPDF=Y")</f>
        <v>#NAME?</v>
      </c>
      <c r="BR82" s="2" t="e">
        <f ca="1">_xll.BDH($C$78,"ACCOUNTS_PAYABLE_SEQ_GROWTH","FQ4 2014","FQ4 2014","Currency=INR","Period=FQ","BEST_FPERIOD_OVERRIDE=FQ","FILING_STATUS=OR","EQY_CONSOLIDATED=Y","Sort=A","Dates=H","DateFormat=P","Fill=—","Direction=H","UseDPDF=Y")</f>
        <v>#NAME?</v>
      </c>
      <c r="BS82" s="2" t="e">
        <f ca="1">_xll.BDH($C$78,"ST_DEBT_SEQUENTIAL_GROWTH","FQ4 2014","FQ4 2014","Currency=INR","Period=FQ","BEST_FPERIOD_OVERRIDE=FQ","FILING_STATUS=OR","EQY_CONSOLIDATED=Y","Sort=A","Dates=H","DateFormat=P","Fill=—","Direction=H","UseDPDF=Y")</f>
        <v>#NAME?</v>
      </c>
      <c r="BT82" s="2" t="e">
        <f ca="1">_xll.BDH($C$78,"TOTAL_DEBT_SEQUENTIAL_GROWTH","FQ4 2014","FQ4 2014","Currency=INR","Period=FQ","BEST_FPERIOD_OVERRIDE=FQ","FILING_STATUS=OR","EQY_CONSOLIDATED=Y","Sort=A","Dates=H","DateFormat=P","Fill=—","Direction=H","UseDPDF=Y")</f>
        <v>#NAME?</v>
      </c>
      <c r="BU82" s="2" t="e">
        <f ca="1">_xll.BDH($C$78,"TOTAL_EQUITY_SEQUENTIAL_GROWTH","FQ4 2014","FQ4 2014","Currency=INR","Period=FQ","BEST_FPERIOD_OVERRIDE=FQ","FILING_STATUS=OR","EQY_CONSOLIDATED=Y","Sort=A","Dates=H","DateFormat=P","Fill=—","Direction=H","UseDPDF=Y")</f>
        <v>#NAME?</v>
      </c>
      <c r="BV82" s="2" t="e">
        <f ca="1">_xll.BDH($C$78,"TOTAL_CAPITAL_SEQUENTIAL_GROWTH","FQ4 2014","FQ4 2014","Currency=INR","Period=FQ","BEST_FPERIOD_OVERRIDE=FQ","FILING_STATUS=OR","EQY_CONSOLIDATED=Y","Sort=A","Dates=H","DateFormat=P","Fill=—","Direction=H","UseDPDF=Y")</f>
        <v>#NAME?</v>
      </c>
      <c r="BW82" s="2" t="e">
        <f ca="1">_xll.BDH($C$78,"BPS_SEQUENTIAL_GROWTH","FQ4 2014","FQ4 2014","Currency=INR","Period=FQ","BEST_FPERIOD_OVERRIDE=FQ","FILING_STATUS=OR","EQY_CONSOLIDATED=Y","Sort=A","Dates=H","DateFormat=P","Fill=—","Direction=H","UseDPDF=Y")</f>
        <v>#NAME?</v>
      </c>
      <c r="BX82" s="2" t="e">
        <f ca="1">_xll.BDH($C$78,"CFO_SEQUENTIAL_GROWTH","FQ4 2014","FQ4 2014","Currency=INR","Period=FQ","BEST_FPERIOD_OVERRIDE=FQ","FILING_STATUS=OR","EQY_CONSOLIDATED=Y","Sort=A","Dates=H","DateFormat=P","Fill=—","Direction=H","UseDPDF=Y")</f>
        <v>#NAME?</v>
      </c>
      <c r="BY82" s="3" t="e">
        <f ca="1">_xll.BDH($C$78,"SHORT_AND_LONG_TERM_DEBT","FQ4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82" s="3" t="e">
        <f ca="1">_xll.BDH($C$78,"BS_ST_BORROW","FQ4 2014","FQ4 2014","Currency=INR","Period=FQ","BEST_FPERIOD_OVERRIDE=FQ","FILING_STATUS=OR","EQY_CONSOLIDATED=Y","SCALING_FORMAT=MLN","Sort=A","Dates=H","DateFormat=P","Fill=—","Direction=H","UseDPDF=Y")</f>
        <v>#NAME?</v>
      </c>
      <c r="CA82" s="3" t="e">
        <f ca="1">_xll.BDH($C$78,"BS_LT_BORROW","FQ4 2014","FQ4 2014","Currency=INR","Period=FQ","BEST_FPERIOD_OVERRIDE=FQ","FILING_STATUS=OR","EQY_CONSOLIDATED=Y","SCALING_FORMAT=MLN","Sort=A","Dates=H","DateFormat=P","Fill=—","Direction=H","UseDPDF=Y")</f>
        <v>#NAME?</v>
      </c>
      <c r="CB82" s="2" t="e">
        <f ca="1">_xll.BDH($C$78,"TOT_DEBT_TO_EBITDA","FQ4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82" s="2" t="e">
        <f ca="1">_xll.BDH($C$78,"NET_DEBT_TO_EBITDA","FQ4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82" s="2" t="e">
        <f ca="1">_xll.BDH($C$78,"TOTAL_DEBT_TO_EBIT","FQ4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82" s="2" t="e">
        <f ca="1">_xll.BDH($C$78,"NET_DEBT_TO_EBIT","FQ4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82" s="2" t="e">
        <f ca="1">_xll.BDH($C$78,"EBITDA_TO_INTEREST_EXPN","FQ4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82" s="2" t="e">
        <f ca="1">_xll.BDH($C$78,"COM_EQY_TO_TOT_ASSET","FQ4 2014","FQ4 2014","Currency=INR","Period=FQ","BEST_FPERIOD_OVERRIDE=FQ","FILING_STATUS=OR","EQY_CONSOLIDATED=Y","Sort=A","Dates=H","DateFormat=P","Fill=—","Direction=H","UseDPDF=Y")</f>
        <v>#NAME?</v>
      </c>
      <c r="CH82" s="2" t="e">
        <f ca="1">_xll.BDH($C$78,"LT_DEBT_TO_TOT_EQY","FQ4 2014","FQ4 2014","Currency=INR","Period=FQ","BEST_FPERIOD_OVERRIDE=FQ","FILING_STATUS=OR","EQY_CONSOLIDATED=Y","Sort=A","Dates=H","DateFormat=P","Fill=—","Direction=H","UseDPDF=Y")</f>
        <v>#NAME?</v>
      </c>
      <c r="CI82" s="2" t="e">
        <f ca="1">_xll.BDH($C$78,"LT_DEBT_TO_TOT_CAP","FQ4 2014","FQ4 2014","Currency=INR","Period=FQ","BEST_FPERIOD_OVERRIDE=FQ","FILING_STATUS=OR","EQY_CONSOLIDATED=Y","Sort=A","Dates=H","DateFormat=P","Fill=—","Direction=H","UseDPDF=Y")</f>
        <v>#NAME?</v>
      </c>
      <c r="CJ82" s="2" t="e">
        <f ca="1">_xll.BDH($C$78,"LT_DEBT_TO_TOT_ASSET","FQ4 2014","FQ4 2014","Currency=INR","Period=FQ","BEST_FPERIOD_OVERRIDE=FQ","FILING_STATUS=OR","EQY_CONSOLIDATED=Y","Sort=A","Dates=H","DateFormat=P","Fill=—","Direction=H","UseDPDF=Y")</f>
        <v>#NAME?</v>
      </c>
      <c r="CK82" s="2" t="e">
        <f ca="1">_xll.BDH($C$78,"TOT_DEBT_TO_TOT_EQY","FQ4 2014","FQ4 2014","Currency=INR","Period=FQ","BEST_FPERIOD_OVERRIDE=FQ","FILING_STATUS=OR","EQY_CONSOLIDATED=Y","Sort=A","Dates=H","DateFormat=P","Fill=—","Direction=H","UseDPDF=Y")</f>
        <v>#NAME?</v>
      </c>
      <c r="CL82" s="2" t="e">
        <f ca="1">_xll.BDH($C$78,"TOT_DEBT_TO_TOT_CAP","FQ4 2014","FQ4 2014","Currency=INR","Period=FQ","BEST_FPERIOD_OVERRIDE=FQ","FILING_STATUS=OR","EQY_CONSOLIDATED=Y","Sort=A","Dates=H","DateFormat=P","Fill=—","Direction=H","UseDPDF=Y")</f>
        <v>#NAME?</v>
      </c>
      <c r="CM82" s="2" t="e">
        <f ca="1">_xll.BDH($C$78,"TOT_DEBT_TO_TOT_ASSET","FQ4 2014","FQ4 2014","Currency=INR","Period=FQ","BEST_FPERIOD_OVERRIDE=FQ","FILING_STATUS=OR","EQY_CONSOLIDATED=Y","Sort=A","Dates=H","DateFormat=P","Fill=—","Direction=H","UseDPDF=Y")</f>
        <v>#NAME?</v>
      </c>
      <c r="CN82" s="2" t="e">
        <f ca="1">_xll.BDH($C$78,"NET_DEBT_TO_SHRHLDR_EQTY","FQ4 2014","FQ4 2014","Currency=INR","Period=FQ","BEST_FPERIOD_OVERRIDE=FQ","FILING_STATUS=OR","EQY_CONSOLIDATED=Y","Sort=A","Dates=H","DateFormat=P","Fill=—","Direction=H","UseDPDF=Y")</f>
        <v>#NAME?</v>
      </c>
      <c r="CO82" s="2" t="e">
        <f ca="1">_xll.BDH($C$78,"NET_DEBT_%_CAPITAL","FQ4 2014","FQ4 2014","Currency=INR","Period=FQ","BEST_FPERIOD_OVERRIDE=FQ","FILING_STATUS=OR","EQY_CONSOLIDATED=Y","Sort=A","Dates=H","DateFormat=P","Fill=—","Direction=H","UseDPDF=Y")</f>
        <v>#NAME?</v>
      </c>
      <c r="CP82" s="3" t="e">
        <f ca="1">_xll.BDH($C$78,"EBITDA","FQ4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82" s="3" t="e">
        <f ca="1">_xll.BDH($C$78,"EBITDA_AFTER_CAPEX","FQ4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82" s="3" t="e">
        <f ca="1">_xll.BDH($C$78,"IS_OPER_INC","FQ4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82" s="2" t="e">
        <f ca="1">_xll.BDH($C$78,"CASH_RATIO","FQ4 2014","FQ4 2014","Currency=INR","Period=FQ","BEST_FPERIOD_OVERRIDE=FQ","FILING_STATUS=OR","EQY_CONSOLIDATED=Y","Sort=A","Dates=H","DateFormat=P","Fill=—","Direction=H","UseDPDF=Y")</f>
        <v>#NAME?</v>
      </c>
      <c r="CT82" s="2" t="e">
        <f ca="1">_xll.BDH($C$78,"CUR_RATIO","FQ4 2014","FQ4 2014","Currency=INR","Period=FQ","BEST_FPERIOD_OVERRIDE=FQ","FILING_STATUS=OR","EQY_CONSOLIDATED=Y","Sort=A","Dates=H","DateFormat=P","Fill=—","Direction=H","UseDPDF=Y")</f>
        <v>#NAME?</v>
      </c>
      <c r="CU82" s="2" t="e">
        <f ca="1">_xll.BDH($C$78,"QUICK_RATIO","FQ4 2014","FQ4 2014","Currency=INR","Period=FQ","BEST_FPERIOD_OVERRIDE=FQ","FILING_STATUS=OR","EQY_CONSOLIDATED=Y","Sort=A","Dates=H","DateFormat=P","Fill=—","Direction=H","UseDPDF=Y")</f>
        <v>#NAME?</v>
      </c>
      <c r="CV82" s="2" t="e">
        <f ca="1">_xll.BDH($C$78,"ALTMAN_Z_SCORE","FQ4 2014","FQ4 2014","Currency=INR","Period=FQ","BEST_FPERIOD_OVERRIDE=FQ","FILING_STATUS=OR","EQY_CONSOLIDATED=Y","Sort=A","Dates=H","DateFormat=P","Fill=—","Direction=H","UseDPDF=Y")</f>
        <v>#NAME?</v>
      </c>
      <c r="CW82" s="4" t="e">
        <f ca="1">_xll.BDH($C$78,"ACCT_RCV_TURN","FQ4 2014","FQ4 2014","Currency=INR","Period=FQ","BEST_FPERIOD_OVERRIDE=FQ","FILING_STATUS=OR","EQY_CONSOLIDATED=Y","FA_ADJUSTED=GAAP","Sort=A","Dates=H","DateFormat=P","Fill=—","Direction=H","UseDPDF=Y")</f>
        <v>#NAME?</v>
      </c>
      <c r="CX82" s="2" t="e">
        <f ca="1">_xll.BDH($C$78,"ACCT_RCV_DAYS","FQ4 2014","FQ4 2014","Currency=INR","Period=FQ","BEST_FPERIOD_OVERRIDE=FQ","FILING_STATUS=OR","EQY_CONSOLIDATED=Y","FA_ADJUSTED=GAAP","Sort=A","Dates=H","DateFormat=P","Fill=—","Direction=H","UseDPDF=Y")</f>
        <v>#NAME?</v>
      </c>
      <c r="CY82" s="4" t="e">
        <f ca="1">_xll.BDH($C$78,"INVENT_TURN","FQ4 2014","FQ4 2014","Currency=INR","Period=FQ","BEST_FPERIOD_OVERRIDE=FQ","FILING_STATUS=OR","EQY_CONSOLIDATED=Y","FA_ADJUSTED=GAAP","Sort=A","Dates=H","DateFormat=P","Fill=—","Direction=H","UseDPDF=Y")</f>
        <v>#NAME?</v>
      </c>
      <c r="CZ82" s="2" t="e">
        <f ca="1">_xll.BDH($C$78,"INVENT_DAYS","FQ4 2014","FQ4 2014","Currency=INR","Period=FQ","BEST_FPERIOD_OVERRIDE=FQ","FILING_STATUS=OR","EQY_CONSOLIDATED=Y","FA_ADJUSTED=GAAP","Sort=A","Dates=H","DateFormat=P","Fill=—","Direction=H","UseDPDF=Y")</f>
        <v>#NAME?</v>
      </c>
      <c r="DA82" s="4" t="e">
        <f ca="1">_xll.BDH($C$78,"ACCOUNTS_PAYABLE_TURNOVER","FQ4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82" s="2" t="e">
        <f ca="1">_xll.BDH($C$78,"ACCOUNTS_PAYABLE_TURNOVER_DAYS","FQ4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82" s="4" t="e">
        <f ca="1">_xll.BDH($C$78,"CASH_CONVERSION_CYCLE","FQ4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82" s="4" t="e">
        <f ca="1">_xll.BDH($C$78,"INV_TO_CASH_DAYS","FQ4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82" s="5" t="e">
        <f ca="1">_xll.BDH($C$78,"BS_INVENTORIES","FQ4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82" s="3" t="e">
        <f ca="1">_xll.BDH($C$78,"INVTRY_RAW_MATERIALS","FQ4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82" s="3" t="e">
        <f ca="1">_xll.BDH($C$78,"INVTRY_IN_PROGRESS","FQ4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82" s="3" t="e">
        <f ca="1">_xll.BDH($C$78,"INVTRY_FINISHED_GOODS","FQ4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82" s="3" t="e">
        <f ca="1">_xll.BDH($C$78,"BS_OTHER_INV","FQ4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83" spans="1:113" x14ac:dyDescent="0.3">
      <c r="A83" s="6"/>
      <c r="B83" s="6"/>
      <c r="C83" s="6"/>
      <c r="D83" s="6" t="s">
        <v>82</v>
      </c>
      <c r="E83" t="s">
        <v>77</v>
      </c>
      <c r="F83" t="e">
        <f ca="1">_xll.BDH($C$78,"RETURN_COM_EQY","FY 2015","FY 2015","Currency=INR","Period=FY","BEST_FPERIOD_OVERRIDE=FY","FILING_STATUS=OR","EQY_CONSOLIDATED=Y","FA_ADJUSTED=GAAP","Sort=A","Dates=H","DateFormat=P","Fill=—","Direction=H","UseDPDF=Y")</f>
        <v>#NAME?</v>
      </c>
      <c r="G83" t="e">
        <f ca="1">_xll.BDH($C$78,"RETURN_ON_ASSET","FY 2015","FY 2015","Currency=INR","Period=FY","BEST_FPERIOD_OVERRIDE=FY","FILING_STATUS=OR","EQY_CONSOLIDATED=Y","FA_ADJUSTED=GAAP","Sort=A","Dates=H","DateFormat=P","Fill=—","Direction=H","UseDPDF=Y")</f>
        <v>#NAME?</v>
      </c>
      <c r="H83" t="e">
        <f ca="1">_xll.BDH($C$78,"RETURN_ON_CAP","FY 2015","FY 2015","Currency=INR","Period=FY","BEST_FPERIOD_OVERRIDE=FY","FILING_STATUS=OR","EQY_CONSOLIDATED=Y","FA_ADJUSTED=GAAP","Sort=A","Dates=H","DateFormat=P","Fill=—","Direction=H","UseDPDF=Y")</f>
        <v>#NAME?</v>
      </c>
      <c r="I83" t="e">
        <f ca="1">_xll.BDH($C$78,"RETURN_ON_INV_CAPITAL","FY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83" t="e">
        <f ca="1">_xll.BDH($C$78,"EBITDA_TO_REVENUE","FY 2015","FY 2015","Currency=INR","Period=FY","BEST_FPERIOD_OVERRIDE=FY","FILING_STATUS=OR","EQY_CONSOLIDATED=Y","FA_ADJUSTED=GAAP","Sort=A","Dates=H","DateFormat=P","Fill=—","Direction=H","UseDPDF=Y")</f>
        <v>#NAME?</v>
      </c>
      <c r="K83" t="e">
        <f ca="1">_xll.BDH($C$78,"OPER_MARGIN","FY 2015","FY 2015","Currency=INR","Period=FY","BEST_FPERIOD_OVERRIDE=FY","FILING_STATUS=OR","EQY_CONSOLIDATED=Y","FA_ADJUSTED=GAAP","Sort=A","Dates=H","DateFormat=P","Fill=—","Direction=H","UseDPDF=Y")</f>
        <v>#NAME?</v>
      </c>
      <c r="L83" t="e">
        <f ca="1">_xll.BDH($C$78,"INCREMENTAL_OPERATING_MARGIN","FY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83" t="e">
        <f ca="1">_xll.BDH($C$78,"PRETAX_INC_TO_NET_SALES","FY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83" t="e">
        <f ca="1">_xll.BDH($C$78,"INC_BEF_XO_ITEMS_TO_NET_SALES","FY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83" t="e">
        <f ca="1">_xll.BDH($C$78,"PROF_MARGIN","FY 2015","FY 2015","Currency=INR","Period=FY","BEST_FPERIOD_OVERRIDE=FY","FILING_STATUS=OR","EQY_CONSOLIDATED=Y","FA_ADJUSTED=GAAP","Sort=A","Dates=H","DateFormat=P","Fill=—","Direction=H","UseDPDF=Y")</f>
        <v>#NAME?</v>
      </c>
      <c r="P83" t="e">
        <f ca="1">_xll.BDH($C$78,"NET_INCOME_TO_COMMON_MARGIN","FY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83" t="e">
        <f ca="1">_xll.BDH($C$78,"EFF_TAX_RATE","FY 2015","FY 2015","Currency=INR","Period=FY","BEST_FPERIOD_OVERRIDE=FY","FILING_STATUS=OR","EQY_CONSOLIDATED=Y","FA_ADJUSTED=GAAP","Sort=A","Dates=H","DateFormat=P","Fill=—","Direction=H","UseDPDF=Y")</f>
        <v>#NAME?</v>
      </c>
      <c r="R83" t="e">
        <f ca="1">_xll.BDH($C$78,"DVD_PAYOUT_RATIO","FY 2015","FY 2015","Currency=INR","Period=FY","BEST_FPERIOD_OVERRIDE=FY","FILING_STATUS=OR","EQY_CONSOLIDATED=Y","FA_ADJUSTED=GAAP","Sort=A","Dates=H","DateFormat=P","Fill=—","Direction=H","UseDPDF=Y")</f>
        <v>#NAME?</v>
      </c>
      <c r="S83" t="e">
        <f ca="1">_xll.BDH($C$78,"SUSTAIN_GROWTH_RT","FY 2015","FY 2015","Currency=INR","Period=FY","BEST_FPERIOD_OVERRIDE=FY","FILING_STATUS=OR","EQY_CONSOLIDATED=Y","FA_ADJUSTED=GAAP","Sort=A","Dates=H","DateFormat=P","Fill=—","Direction=H","UseDPDF=Y")</f>
        <v>#NAME?</v>
      </c>
      <c r="T83" s="2" t="e">
        <f ca="1">_xll.BDH($C$78,"SALES_GROWTH","FY 2015","FY 2015","Currency=INR","Period=FY","BEST_FPERIOD_OVERRIDE=FY","FILING_STATUS=OR","EQY_CONSOLIDATED=Y","FA_ADJUSTED=GAAP","Sort=A","Dates=H","DateFormat=P","Fill=—","Direction=H","UseDPDF=Y")</f>
        <v>#NAME?</v>
      </c>
      <c r="U83" s="2" t="e">
        <f ca="1">_xll.BDH($C$78,"EBITDA_GROWTH","FY 2015","FY 2015","Currency=INR","Period=FY","BEST_FPERIOD_OVERRIDE=FY","FILING_STATUS=OR","EQY_CONSOLIDATED=Y","FA_ADJUSTED=GAAP","Sort=A","Dates=H","DateFormat=P","Fill=—","Direction=H","UseDPDF=Y")</f>
        <v>#NAME?</v>
      </c>
      <c r="V83" s="2" t="e">
        <f ca="1">_xll.BDH($C$78,"OPER_INC_GROWTH","FY 2015","FY 2015","Currency=INR","Period=FY","BEST_FPERIOD_OVERRIDE=FY","FILING_STATUS=OR","EQY_CONSOLIDATED=Y","FA_ADJUSTED=GAAP","Sort=A","Dates=H","DateFormat=P","Fill=—","Direction=H","UseDPDF=Y")</f>
        <v>#NAME?</v>
      </c>
      <c r="W83" s="2" t="e">
        <f ca="1">_xll.BDH($C$78,"EARN_FOR_COM_GROWTH","FY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83" s="2" t="e">
        <f ca="1">_xll.BDH($C$78,"DILUTED_EPS_AFT_XO_ITEMS_GROWTH","FY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83" s="2" t="e">
        <f ca="1">_xll.BDH($C$78,"DIVIDEND_PER_SHARE_1_YEAR_GROWTH","FY 2015","FY 2015","Currency=INR","Period=FY","BEST_FPERIOD_OVERRIDE=FY","FILING_STATUS=OR","EQY_CONSOLIDATED=Y","Sort=A","Dates=H","DateFormat=P","Fill=—","Direction=H","UseDPDF=Y")</f>
        <v>#NAME?</v>
      </c>
      <c r="Z83" s="2" t="e">
        <f ca="1">_xll.BDH($C$78,"ACCOUNTS_RECEIVABLE_GROWTH","FY 2015","FY 2015","Currency=INR","Period=FY","BEST_FPERIOD_OVERRIDE=FY","FILING_STATUS=OR","EQY_CONSOLIDATED=Y","Sort=A","Dates=H","DateFormat=P","Fill=—","Direction=H","UseDPDF=Y")</f>
        <v>#NAME?</v>
      </c>
      <c r="AA83" s="2" t="e">
        <f ca="1">_xll.BDH($C$78,"INVENTORY_GROWTH","FY 2015","FY 2015","Currency=INR","Period=FY","BEST_FPERIOD_OVERRIDE=FY","FILING_STATUS=OR","EQY_CONSOLIDATED=Y","Sort=A","Dates=H","DateFormat=P","Fill=—","Direction=H","UseDPDF=Y")</f>
        <v>#NAME?</v>
      </c>
      <c r="AB83" s="2" t="e">
        <f ca="1">_xll.BDH($C$78,"NET_FIXED_ASSETS_1_YEAR_GROWTH","FY 2015","FY 2015","Currency=INR","Period=FY","BEST_FPERIOD_OVERRIDE=FY","FILING_STATUS=OR","EQY_CONSOLIDATED=Y","Sort=A","Dates=H","DateFormat=P","Fill=—","Direction=H","UseDPDF=Y")</f>
        <v>#NAME?</v>
      </c>
      <c r="AC83" s="2" t="e">
        <f ca="1">_xll.BDH($C$78,"ASSET_GROWTH","FY 2015","FY 2015","Currency=INR","Period=FY","BEST_FPERIOD_OVERRIDE=FY","FILING_STATUS=OR","EQY_CONSOLIDATED=Y","Sort=A","Dates=H","DateFormat=P","Fill=—","Direction=H","UseDPDF=Y")</f>
        <v>#NAME?</v>
      </c>
      <c r="AD83" s="2" t="e">
        <f ca="1">_xll.BDH($C$78,"MODIFIED_WORK_CAP_GROWTH","FY 2015","FY 2015","Currency=INR","Period=FY","BEST_FPERIOD_OVERRIDE=FY","FILING_STATUS=OR","EQY_CONSOLIDATED=Y","Sort=A","Dates=H","DateFormat=P","Fill=—","Direction=H","UseDPDF=Y")</f>
        <v>#NAME?</v>
      </c>
      <c r="AE83" s="2" t="e">
        <f ca="1">_xll.BDH($C$78,"WORK_CAP_GROWTH","FY 2015","FY 2015","Currency=INR","Period=FY","BEST_FPERIOD_OVERRIDE=FY","FILING_STATUS=OR","EQY_CONSOLIDATED=Y","Sort=A","Dates=H","DateFormat=P","Fill=—","Direction=H","UseDPDF=Y")</f>
        <v>#NAME?</v>
      </c>
      <c r="AF83" s="2" t="e">
        <f ca="1">_xll.BDH($C$78,"ACCOUNTS_PAYABLE_GROWTH_1YR","FY 2015","FY 2015","Currency=INR","Period=FY","BEST_FPERIOD_OVERRIDE=FY","FILING_STATUS=OR","EQY_CONSOLIDATED=Y","Sort=A","Dates=H","DateFormat=P","Fill=—","Direction=H","UseDPDF=Y")</f>
        <v>#NAME?</v>
      </c>
      <c r="AG83" s="2" t="e">
        <f ca="1">_xll.BDH($C$78,"SHORT_TERM_DEBT_1_YEAR_GROWTH","FY 2015","FY 2015","Currency=INR","Period=FY","BEST_FPERIOD_OVERRIDE=FY","FILING_STATUS=OR","EQY_CONSOLIDATED=Y","Sort=A","Dates=H","DateFormat=P","Fill=—","Direction=H","UseDPDF=Y")</f>
        <v>#NAME?</v>
      </c>
      <c r="AH83" s="2" t="e">
        <f ca="1">_xll.BDH($C$78,"TOTAL_DEBT_1_YEAR_GROWTH","FY 2015","FY 2015","Currency=INR","Period=FY","BEST_FPERIOD_OVERRIDE=FY","FILING_STATUS=OR","EQY_CONSOLIDATED=Y","Sort=A","Dates=H","DateFormat=P","Fill=—","Direction=H","UseDPDF=Y")</f>
        <v>#NAME?</v>
      </c>
      <c r="AI83" s="2" t="e">
        <f ca="1">_xll.BDH($C$78,"TOTAL_EQUITY_1_YEAR_GROWTH","FY 2015","FY 2015","Currency=INR","Period=FY","BEST_FPERIOD_OVERRIDE=FY","FILING_STATUS=OR","EQY_CONSOLIDATED=Y","Sort=A","Dates=H","DateFormat=P","Fill=—","Direction=H","UseDPDF=Y")</f>
        <v>#NAME?</v>
      </c>
      <c r="AJ83" s="2" t="e">
        <f ca="1">_xll.BDH($C$78,"GROWTH_IN_CAP","FY 2015","FY 2015","Currency=INR","Period=FY","BEST_FPERIOD_OVERRIDE=FY","FILING_STATUS=OR","EQY_CONSOLIDATED=Y","Sort=A","Dates=H","DateFormat=P","Fill=—","Direction=H","UseDPDF=Y")</f>
        <v>#NAME?</v>
      </c>
      <c r="AK83" s="2" t="e">
        <f ca="1">_xll.BDH($C$78,"BVPS_GROWTH","FY 2015","FY 2015","Currency=INR","Period=FY","BEST_FPERIOD_OVERRIDE=FY","FILING_STATUS=OR","EQY_CONSOLIDATED=Y","Sort=A","Dates=H","DateFormat=P","Fill=—","Direction=H","UseDPDF=Y")</f>
        <v>#NAME?</v>
      </c>
      <c r="AL83" s="2" t="e">
        <f ca="1">_xll.BDH($C$78,"CASH_FLOW_GROWTH","FY 2015","FY 2015","Currency=INR","Period=FY","BEST_FPERIOD_OVERRIDE=FY","FILING_STATUS=OR","EQY_CONSOLIDATED=Y","Sort=A","Dates=H","DateFormat=P","Fill=—","Direction=H","UseDPDF=Y")</f>
        <v>#NAME?</v>
      </c>
      <c r="AM83" s="2" t="e">
        <f ca="1">_xll.BDH($C$78,"GEO_GROW_NET_SALES","FY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83" s="2" t="e">
        <f ca="1">_xll.BDH($C$78,"GEO_GROW_EBITDA","FY 2015","FY 2015","Currency=INR","Period=FY","BEST_FPERIOD_OVERRIDE=FY","FILING_STATUS=OR","EQY_CONSOLIDATED=Y","FA_ADJUSTED=GAAP","Sort=A","Dates=H","DateFormat=P","Fill=—","Direction=H","UseDPDF=Y")</f>
        <v>#NAME?</v>
      </c>
      <c r="AO83" s="2" t="e">
        <f ca="1">_xll.BDH($C$78,"GEO_GROW_OPER_INC","FY 2015","FY 2015","Currency=INR","Period=FY","BEST_FPERIOD_OVERRIDE=FY","FILING_STATUS=OR","EQY_CONSOLIDATED=Y","FA_ADJUSTED=GAAP","Sort=A","Dates=H","DateFormat=P","Fill=—","Direction=H","UseDPDF=Y")</f>
        <v>#NAME?</v>
      </c>
      <c r="AP83" s="2" t="e">
        <f ca="1">_xll.BDH($C$78,"NET_INCOME_TO_COMMON_5_YR_GROWTH","FY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83" s="2" t="e">
        <f ca="1">_xll.BDH($C$78,"5Y_GEO_GROWTH_DILUTED_EPS","FY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83" s="2" t="e">
        <f ca="1">_xll.BDH($C$78,"GEO_GROW_DVD_PER_SH","FY 2015","FY 2015","Currency=INR","Period=FY","BEST_FPERIOD_OVERRIDE=FY","FILING_STATUS=OR","EQY_CONSOLIDATED=Y","Sort=A","Dates=H","DateFormat=P","Fill=—","Direction=H","UseDPDF=Y")</f>
        <v>#NAME?</v>
      </c>
      <c r="AS83" s="2" t="e">
        <f ca="1">_xll.BDH($C$78,"ACCOUNTS_RECEIVABLE_5_YR_GROWTH","FY 2015","FY 2015","Currency=INR","Period=FY","BEST_FPERIOD_OVERRIDE=FY","FILING_STATUS=OR","EQY_CONSOLIDATED=Y","Sort=A","Dates=H","DateFormat=P","Fill=—","Direction=H","UseDPDF=Y")</f>
        <v>#NAME?</v>
      </c>
      <c r="AT83" s="2" t="e">
        <f ca="1">_xll.BDH($C$78,"INVENTORY_5_YEAR_GROWTH","FY 2015","FY 2015","Currency=INR","Period=FY","BEST_FPERIOD_OVERRIDE=FY","FILING_STATUS=OR","EQY_CONSOLIDATED=Y","Sort=A","Dates=H","DateFormat=P","Fill=—","Direction=H","UseDPDF=Y")</f>
        <v>#NAME?</v>
      </c>
      <c r="AU83" s="2" t="e">
        <f ca="1">_xll.BDH($C$78,"NET_FIXED_ASSETS_5_YEAR_GROWTH","FY 2015","FY 2015","Currency=INR","Period=FY","BEST_FPERIOD_OVERRIDE=FY","FILING_STATUS=OR","EQY_CONSOLIDATED=Y","Sort=A","Dates=H","DateFormat=P","Fill=—","Direction=H","UseDPDF=Y")</f>
        <v>#NAME?</v>
      </c>
      <c r="AV83" s="2" t="e">
        <f ca="1">_xll.BDH($C$78,"GEO_GROW_TOT_ASSET","FY 2015","FY 2015","Currency=INR","Period=FY","BEST_FPERIOD_OVERRIDE=FY","FILING_STATUS=OR","EQY_CONSOLIDATED=Y","Sort=A","Dates=H","DateFormat=P","Fill=—","Direction=H","UseDPDF=Y")</f>
        <v>#NAME?</v>
      </c>
      <c r="AW83" s="2" t="e">
        <f ca="1">_xll.BDH($C$78,"MODIFIED_WORKING_CPTL_5YR_GRWTH","FY 2015","FY 2015","Currency=INR","Period=FY","BEST_FPERIOD_OVERRIDE=FY","FILING_STATUS=OR","EQY_CONSOLIDATED=Y","Sort=A","Dates=H","DateFormat=P","Fill=—","Direction=H","UseDPDF=Y")</f>
        <v>#NAME?</v>
      </c>
      <c r="AX83" s="2" t="e">
        <f ca="1">_xll.BDH($C$78,"WORKING_CAPITAL_5_YEAR_GROWTH","FY 2015","FY 2015","Currency=INR","Period=FY","BEST_FPERIOD_OVERRIDE=FY","FILING_STATUS=OR","EQY_CONSOLIDATED=Y","Sort=A","Dates=H","DateFormat=P","Fill=—","Direction=H","UseDPDF=Y")</f>
        <v>#NAME?</v>
      </c>
      <c r="AY83" s="2" t="e">
        <f ca="1">_xll.BDH($C$78,"ACCOUNTS_PAYABLE_5_YEAR_GROWTH","FY 2015","FY 2015","Currency=INR","Period=FY","BEST_FPERIOD_OVERRIDE=FY","FILING_STATUS=OR","EQY_CONSOLIDATED=Y","Sort=A","Dates=H","DateFormat=P","Fill=—","Direction=H","UseDPDF=Y")</f>
        <v>#NAME?</v>
      </c>
      <c r="AZ83" s="2" t="e">
        <f ca="1">_xll.BDH($C$78,"SHORT_TERM_DEBT_5_YEAR_GROWTH","FY 2015","FY 2015","Currency=INR","Period=FY","BEST_FPERIOD_OVERRIDE=FY","FILING_STATUS=OR","EQY_CONSOLIDATED=Y","Sort=A","Dates=H","DateFormat=P","Fill=—","Direction=H","UseDPDF=Y")</f>
        <v>#NAME?</v>
      </c>
      <c r="BA83" s="2" t="e">
        <f ca="1">_xll.BDH($C$78,"TOTAL_DEBT_5_YEAR_GROWTH","FY 2015","FY 2015","Currency=INR","Period=FY","BEST_FPERIOD_OVERRIDE=FY","FILING_STATUS=OR","EQY_CONSOLIDATED=Y","Sort=A","Dates=H","DateFormat=P","Fill=—","Direction=H","UseDPDF=Y")</f>
        <v>#NAME?</v>
      </c>
      <c r="BB83" s="2" t="e">
        <f ca="1">_xll.BDH($C$78,"GEO_GROW_TOT_SHRHLDR_EQY","FY 2015","FY 2015","Currency=INR","Period=FY","BEST_FPERIOD_OVERRIDE=FY","FILING_STATUS=OR","EQY_CONSOLIDATED=Y","Sort=A","Dates=H","DateFormat=P","Fill=—","Direction=H","UseDPDF=Y")</f>
        <v>#NAME?</v>
      </c>
      <c r="BC83" s="2" t="e">
        <f ca="1">_xll.BDH($C$78,"TOTAL_CAPITAL_5_YEAR_GROWTH","FY 2015","FY 2015","Currency=INR","Period=FY","BEST_FPERIOD_OVERRIDE=FY","FILING_STATUS=OR","EQY_CONSOLIDATED=Y","Sort=A","Dates=H","DateFormat=P","Fill=—","Direction=H","UseDPDF=Y")</f>
        <v>#NAME?</v>
      </c>
      <c r="BD83" s="2" t="e">
        <f ca="1">_xll.BDH($C$78,"GEO_GROW_BOOK_VAL","FY 2015","FY 2015","Currency=INR","Period=FY","BEST_FPERIOD_OVERRIDE=FY","FILING_STATUS=OR","EQY_CONSOLIDATED=Y","Sort=A","Dates=H","DateFormat=P","Fill=—","Direction=H","UseDPDF=Y")</f>
        <v>#NAME?</v>
      </c>
      <c r="BE83" s="2" t="e">
        <f ca="1">_xll.BDH($C$78,"GEO_GROW_CASH_OPER_ACT","FY 2015","FY 2015","Currency=INR","Period=FY","BEST_FPERIOD_OVERRIDE=FY","FILING_STATUS=OR","EQY_CONSOLIDATED=Y","Sort=A","Dates=H","DateFormat=P","Fill=—","Direction=H","UseDPDF=Y")</f>
        <v>#NAME?</v>
      </c>
      <c r="BF83" s="2" t="e">
        <f ca="1">_xll.BDH($C$78,"REVENUE_SEQUENTIAL_GROWTH","FY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83" s="2" t="e">
        <f ca="1">_xll.BDH($C$78,"EBITDA_SEQUENTIAL_GROWTH","FY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83" s="2" t="e">
        <f ca="1">_xll.BDH($C$78,"OPERATING_INCOME_SEQ_GROWTH","FY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83" s="2" t="e">
        <f ca="1">_xll.BDH($C$78,"NET_INCOME_TO_COMMON_SEQ_GROWTH","FY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83" s="2" t="e">
        <f ca="1">_xll.BDH($C$78,"EPS_DILUTED_SEQUENTIAL_GROWTH","FY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83" s="2" t="e">
        <f ca="1">_xll.BDH($C$78,"DPS_SEQUENTIAL_GROWTH","FY 2015","FY 2015","Currency=INR","Period=FY","BEST_FPERIOD_OVERRIDE=FY","FILING_STATUS=OR","EQY_CONSOLIDATED=Y","Sort=A","Dates=H","DateFormat=P","Fill=—","Direction=H","UseDPDF=Y")</f>
        <v>#NAME?</v>
      </c>
      <c r="BL83" s="2" t="e">
        <f ca="1">_xll.BDH($C$78,"ACCOUNTS_RECEIVABLE_SEQ_GROWTH","FY 2015","FY 2015","Currency=INR","Period=FY","BEST_FPERIOD_OVERRIDE=FY","FILING_STATUS=OR","EQY_CONSOLIDATED=Y","Sort=A","Dates=H","DateFormat=P","Fill=—","Direction=H","UseDPDF=Y")</f>
        <v>#NAME?</v>
      </c>
      <c r="BM83" s="2" t="e">
        <f ca="1">_xll.BDH($C$78,"INVENTORY_SEQUENTIAL_GROWTH","FY 2015","FY 2015","Currency=INR","Period=FY","BEST_FPERIOD_OVERRIDE=FY","FILING_STATUS=OR","EQY_CONSOLIDATED=Y","Sort=A","Dates=H","DateFormat=P","Fill=—","Direction=H","UseDPDF=Y")</f>
        <v>#NAME?</v>
      </c>
      <c r="BN83" s="2" t="e">
        <f ca="1">_xll.BDH($C$78,"FIXED_ASSETS_SEQUENTIAL_GROWTH","FY 2015","FY 2015","Currency=INR","Period=FY","BEST_FPERIOD_OVERRIDE=FY","FILING_STATUS=OR","EQY_CONSOLIDATED=Y","Sort=A","Dates=H","DateFormat=P","Fill=—","Direction=H","UseDPDF=Y")</f>
        <v>#NAME?</v>
      </c>
      <c r="BO83" s="2" t="e">
        <f ca="1">_xll.BDH($C$78,"TOTAL_ASSETS_SEQUENTIAL_GROWTH","FY 2015","FY 2015","Currency=INR","Period=FY","BEST_FPERIOD_OVERRIDE=FY","FILING_STATUS=OR","EQY_CONSOLIDATED=Y","Sort=A","Dates=H","DateFormat=P","Fill=—","Direction=H","UseDPDF=Y")</f>
        <v>#NAME?</v>
      </c>
      <c r="BP83" s="2" t="e">
        <f ca="1">_xll.BDH($C$78,"MODIFIED_WORKING_CPTL_SEQ_GRWTH","FY 2015","FY 2015","Currency=INR","Period=FY","BEST_FPERIOD_OVERRIDE=FY","FILING_STATUS=OR","EQY_CONSOLIDATED=Y","Sort=A","Dates=H","DateFormat=P","Fill=—","Direction=H","UseDPDF=Y")</f>
        <v>#NAME?</v>
      </c>
      <c r="BQ83" s="2" t="e">
        <f ca="1">_xll.BDH($C$78,"WORKING_CAPITAL_SEQ_GROWTH","FY 2015","FY 2015","Currency=INR","Period=FY","BEST_FPERIOD_OVERRIDE=FY","FILING_STATUS=OR","EQY_CONSOLIDATED=Y","Sort=A","Dates=H","DateFormat=P","Fill=—","Direction=H","UseDPDF=Y")</f>
        <v>#NAME?</v>
      </c>
      <c r="BR83" s="2" t="e">
        <f ca="1">_xll.BDH($C$78,"ACCOUNTS_PAYABLE_SEQ_GROWTH","FY 2015","FY 2015","Currency=INR","Period=FY","BEST_FPERIOD_OVERRIDE=FY","FILING_STATUS=OR","EQY_CONSOLIDATED=Y","Sort=A","Dates=H","DateFormat=P","Fill=—","Direction=H","UseDPDF=Y")</f>
        <v>#NAME?</v>
      </c>
      <c r="BS83" s="2" t="e">
        <f ca="1">_xll.BDH($C$78,"ST_DEBT_SEQUENTIAL_GROWTH","FY 2015","FY 2015","Currency=INR","Period=FY","BEST_FPERIOD_OVERRIDE=FY","FILING_STATUS=OR","EQY_CONSOLIDATED=Y","Sort=A","Dates=H","DateFormat=P","Fill=—","Direction=H","UseDPDF=Y")</f>
        <v>#NAME?</v>
      </c>
      <c r="BT83" s="2" t="e">
        <f ca="1">_xll.BDH($C$78,"TOTAL_DEBT_SEQUENTIAL_GROWTH","FY 2015","FY 2015","Currency=INR","Period=FY","BEST_FPERIOD_OVERRIDE=FY","FILING_STATUS=OR","EQY_CONSOLIDATED=Y","Sort=A","Dates=H","DateFormat=P","Fill=—","Direction=H","UseDPDF=Y")</f>
        <v>#NAME?</v>
      </c>
      <c r="BU83" s="2" t="e">
        <f ca="1">_xll.BDH($C$78,"TOTAL_EQUITY_SEQUENTIAL_GROWTH","FY 2015","FY 2015","Currency=INR","Period=FY","BEST_FPERIOD_OVERRIDE=FY","FILING_STATUS=OR","EQY_CONSOLIDATED=Y","Sort=A","Dates=H","DateFormat=P","Fill=—","Direction=H","UseDPDF=Y")</f>
        <v>#NAME?</v>
      </c>
      <c r="BV83" s="2" t="e">
        <f ca="1">_xll.BDH($C$78,"TOTAL_CAPITAL_SEQUENTIAL_GROWTH","FY 2015","FY 2015","Currency=INR","Period=FY","BEST_FPERIOD_OVERRIDE=FY","FILING_STATUS=OR","EQY_CONSOLIDATED=Y","Sort=A","Dates=H","DateFormat=P","Fill=—","Direction=H","UseDPDF=Y")</f>
        <v>#NAME?</v>
      </c>
      <c r="BW83" s="2" t="e">
        <f ca="1">_xll.BDH($C$78,"BPS_SEQUENTIAL_GROWTH","FY 2015","FY 2015","Currency=INR","Period=FY","BEST_FPERIOD_OVERRIDE=FY","FILING_STATUS=OR","EQY_CONSOLIDATED=Y","Sort=A","Dates=H","DateFormat=P","Fill=—","Direction=H","UseDPDF=Y")</f>
        <v>#NAME?</v>
      </c>
      <c r="BX83" s="2" t="e">
        <f ca="1">_xll.BDH($C$78,"CFO_SEQUENTIAL_GROWTH","FY 2015","FY 2015","Currency=INR","Period=FY","BEST_FPERIOD_OVERRIDE=FY","FILING_STATUS=OR","EQY_CONSOLIDATED=Y","Sort=A","Dates=H","DateFormat=P","Fill=—","Direction=H","UseDPDF=Y")</f>
        <v>#NAME?</v>
      </c>
      <c r="BY83" s="3" t="e">
        <f ca="1">_xll.BDH($C$78,"SHORT_AND_LONG_TERM_DEBT","FY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83" s="3" t="e">
        <f ca="1">_xll.BDH($C$78,"BS_ST_BORROW","FY 2015","FY 2015","Currency=INR","Period=FY","BEST_FPERIOD_OVERRIDE=FY","FILING_STATUS=OR","EQY_CONSOLIDATED=Y","SCALING_FORMAT=MLN","Sort=A","Dates=H","DateFormat=P","Fill=—","Direction=H","UseDPDF=Y")</f>
        <v>#NAME?</v>
      </c>
      <c r="CA83" s="3" t="e">
        <f ca="1">_xll.BDH($C$78,"BS_LT_BORROW","FY 2015","FY 2015","Currency=INR","Period=FY","BEST_FPERIOD_OVERRIDE=FY","FILING_STATUS=OR","EQY_CONSOLIDATED=Y","SCALING_FORMAT=MLN","Sort=A","Dates=H","DateFormat=P","Fill=—","Direction=H","UseDPDF=Y")</f>
        <v>#NAME?</v>
      </c>
      <c r="CB83" s="2" t="e">
        <f ca="1">_xll.BDH($C$78,"TOT_DEBT_TO_EBITDA","FY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83" s="2" t="e">
        <f ca="1">_xll.BDH($C$78,"NET_DEBT_TO_EBITDA","FY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83" s="2" t="e">
        <f ca="1">_xll.BDH($C$78,"TOTAL_DEBT_TO_EBIT","FY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83" s="2" t="e">
        <f ca="1">_xll.BDH($C$78,"NET_DEBT_TO_EBIT","FY 2015","FY 2015","Currency=INR","Period=FY","BEST_FPERIOD_OVERRIDE=FY","FILING_STATUS=OR","EQY_CONSOLIDATED=Y","FA_ADJUSTED=GAAP","Sort=A","Dates=H","DateFormat=P","Fill=—","Direction=H","UseDPDF=Y")</f>
        <v>#NAME?</v>
      </c>
      <c r="CF83" s="2" t="e">
        <f ca="1">_xll.BDH($C$78,"EBITDA_TO_INTEREST_EXPN","FY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83" s="2" t="e">
        <f ca="1">_xll.BDH($C$78,"COM_EQY_TO_TOT_ASSET","FY 2015","FY 2015","Currency=INR","Period=FY","BEST_FPERIOD_OVERRIDE=FY","FILING_STATUS=OR","EQY_CONSOLIDATED=Y","Sort=A","Dates=H","DateFormat=P","Fill=—","Direction=H","UseDPDF=Y")</f>
        <v>#NAME?</v>
      </c>
      <c r="CH83" s="2" t="e">
        <f ca="1">_xll.BDH($C$78,"LT_DEBT_TO_TOT_EQY","FY 2015","FY 2015","Currency=INR","Period=FY","BEST_FPERIOD_OVERRIDE=FY","FILING_STATUS=OR","EQY_CONSOLIDATED=Y","Sort=A","Dates=H","DateFormat=P","Fill=—","Direction=H","UseDPDF=Y")</f>
        <v>#NAME?</v>
      </c>
      <c r="CI83" s="2" t="e">
        <f ca="1">_xll.BDH($C$78,"LT_DEBT_TO_TOT_CAP","FY 2015","FY 2015","Currency=INR","Period=FY","BEST_FPERIOD_OVERRIDE=FY","FILING_STATUS=OR","EQY_CONSOLIDATED=Y","Sort=A","Dates=H","DateFormat=P","Fill=—","Direction=H","UseDPDF=Y")</f>
        <v>#NAME?</v>
      </c>
      <c r="CJ83" s="2" t="e">
        <f ca="1">_xll.BDH($C$78,"LT_DEBT_TO_TOT_ASSET","FY 2015","FY 2015","Currency=INR","Period=FY","BEST_FPERIOD_OVERRIDE=FY","FILING_STATUS=OR","EQY_CONSOLIDATED=Y","Sort=A","Dates=H","DateFormat=P","Fill=—","Direction=H","UseDPDF=Y")</f>
        <v>#NAME?</v>
      </c>
      <c r="CK83" s="2" t="e">
        <f ca="1">_xll.BDH($C$78,"TOT_DEBT_TO_TOT_EQY","FY 2015","FY 2015","Currency=INR","Period=FY","BEST_FPERIOD_OVERRIDE=FY","FILING_STATUS=OR","EQY_CONSOLIDATED=Y","Sort=A","Dates=H","DateFormat=P","Fill=—","Direction=H","UseDPDF=Y")</f>
        <v>#NAME?</v>
      </c>
      <c r="CL83" s="2" t="e">
        <f ca="1">_xll.BDH($C$78,"TOT_DEBT_TO_TOT_CAP","FY 2015","FY 2015","Currency=INR","Period=FY","BEST_FPERIOD_OVERRIDE=FY","FILING_STATUS=OR","EQY_CONSOLIDATED=Y","Sort=A","Dates=H","DateFormat=P","Fill=—","Direction=H","UseDPDF=Y")</f>
        <v>#NAME?</v>
      </c>
      <c r="CM83" s="2" t="e">
        <f ca="1">_xll.BDH($C$78,"TOT_DEBT_TO_TOT_ASSET","FY 2015","FY 2015","Currency=INR","Period=FY","BEST_FPERIOD_OVERRIDE=FY","FILING_STATUS=OR","EQY_CONSOLIDATED=Y","Sort=A","Dates=H","DateFormat=P","Fill=—","Direction=H","UseDPDF=Y")</f>
        <v>#NAME?</v>
      </c>
      <c r="CN83" s="2" t="e">
        <f ca="1">_xll.BDH($C$78,"NET_DEBT_TO_SHRHLDR_EQTY","FY 2015","FY 2015","Currency=INR","Period=FY","BEST_FPERIOD_OVERRIDE=FY","FILING_STATUS=OR","EQY_CONSOLIDATED=Y","Sort=A","Dates=H","DateFormat=P","Fill=—","Direction=H","UseDPDF=Y")</f>
        <v>#NAME?</v>
      </c>
      <c r="CO83" s="2" t="e">
        <f ca="1">_xll.BDH($C$78,"NET_DEBT_%_CAPITAL","FY 2015","FY 2015","Currency=INR","Period=FY","BEST_FPERIOD_OVERRIDE=FY","FILING_STATUS=OR","EQY_CONSOLIDATED=Y","Sort=A","Dates=H","DateFormat=P","Fill=—","Direction=H","UseDPDF=Y")</f>
        <v>#NAME?</v>
      </c>
      <c r="CP83" s="3" t="e">
        <f ca="1">_xll.BDH($C$78,"EBITDA","FY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83" s="3" t="e">
        <f ca="1">_xll.BDH($C$78,"EBITDA_AFTER_CAPEX","FY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83" s="3" t="e">
        <f ca="1">_xll.BDH($C$78,"IS_OPER_INC","FY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83" s="2" t="e">
        <f ca="1">_xll.BDH($C$78,"CASH_RATIO","FY 2015","FY 2015","Currency=INR","Period=FY","BEST_FPERIOD_OVERRIDE=FY","FILING_STATUS=OR","EQY_CONSOLIDATED=Y","Sort=A","Dates=H","DateFormat=P","Fill=—","Direction=H","UseDPDF=Y")</f>
        <v>#NAME?</v>
      </c>
      <c r="CT83" s="2" t="e">
        <f ca="1">_xll.BDH($C$78,"CUR_RATIO","FY 2015","FY 2015","Currency=INR","Period=FY","BEST_FPERIOD_OVERRIDE=FY","FILING_STATUS=OR","EQY_CONSOLIDATED=Y","Sort=A","Dates=H","DateFormat=P","Fill=—","Direction=H","UseDPDF=Y")</f>
        <v>#NAME?</v>
      </c>
      <c r="CU83" s="2" t="e">
        <f ca="1">_xll.BDH($C$78,"QUICK_RATIO","FY 2015","FY 2015","Currency=INR","Period=FY","BEST_FPERIOD_OVERRIDE=FY","FILING_STATUS=OR","EQY_CONSOLIDATED=Y","Sort=A","Dates=H","DateFormat=P","Fill=—","Direction=H","UseDPDF=Y")</f>
        <v>#NAME?</v>
      </c>
      <c r="CV83" s="2" t="e">
        <f ca="1">_xll.BDH($C$78,"ALTMAN_Z_SCORE","FY 2015","FY 2015","Currency=INR","Period=FY","BEST_FPERIOD_OVERRIDE=FY","FILING_STATUS=OR","EQY_CONSOLIDATED=Y","Sort=A","Dates=H","DateFormat=P","Fill=—","Direction=H","UseDPDF=Y")</f>
        <v>#NAME?</v>
      </c>
      <c r="CW83" s="4" t="e">
        <f ca="1">_xll.BDH($C$78,"ACCT_RCV_TURN","FY 2015","FY 2015","Currency=INR","Period=FY","BEST_FPERIOD_OVERRIDE=FY","FILING_STATUS=OR","EQY_CONSOLIDATED=Y","FA_ADJUSTED=GAAP","Sort=A","Dates=H","DateFormat=P","Fill=—","Direction=H","UseDPDF=Y")</f>
        <v>#NAME?</v>
      </c>
      <c r="CX83" s="2" t="e">
        <f ca="1">_xll.BDH($C$78,"ACCT_RCV_DAYS","FY 2015","FY 2015","Currency=INR","Period=FY","BEST_FPERIOD_OVERRIDE=FY","FILING_STATUS=OR","EQY_CONSOLIDATED=Y","FA_ADJUSTED=GAAP","Sort=A","Dates=H","DateFormat=P","Fill=—","Direction=H","UseDPDF=Y")</f>
        <v>#NAME?</v>
      </c>
      <c r="CY83" s="4" t="e">
        <f ca="1">_xll.BDH($C$78,"INVENT_TURN","FY 2015","FY 2015","Currency=INR","Period=FY","BEST_FPERIOD_OVERRIDE=FY","FILING_STATUS=OR","EQY_CONSOLIDATED=Y","FA_ADJUSTED=GAAP","Sort=A","Dates=H","DateFormat=P","Fill=—","Direction=H","UseDPDF=Y")</f>
        <v>#NAME?</v>
      </c>
      <c r="CZ83" s="2" t="e">
        <f ca="1">_xll.BDH($C$78,"INVENT_DAYS","FY 2015","FY 2015","Currency=INR","Period=FY","BEST_FPERIOD_OVERRIDE=FY","FILING_STATUS=OR","EQY_CONSOLIDATED=Y","FA_ADJUSTED=GAAP","Sort=A","Dates=H","DateFormat=P","Fill=—","Direction=H","UseDPDF=Y")</f>
        <v>#NAME?</v>
      </c>
      <c r="DA83" s="4" t="e">
        <f ca="1">_xll.BDH($C$78,"ACCOUNTS_PAYABLE_TURNOVER","FY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83" s="2" t="e">
        <f ca="1">_xll.BDH($C$78,"ACCOUNTS_PAYABLE_TURNOVER_DAYS","FY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83" s="4" t="e">
        <f ca="1">_xll.BDH($C$78,"CASH_CONVERSION_CYCLE","FY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83" s="4" t="e">
        <f ca="1">_xll.BDH($C$78,"INV_TO_CASH_DAYS","FY 2015","FY 2015","Currency=INR","Period=FY","BEST_FPERIOD_OVERRIDE=FY","FILING_STATUS=OR","EQY_CONSOLIDATED=Y","FA_ADJUSTED=GAAP","Sort=A","Dates=H","DateFormat=P","Fill=—","Direction=H","UseDPDF=Y")</f>
        <v>#NAME?</v>
      </c>
      <c r="DE83" s="5" t="e">
        <f ca="1">_xll.BDH($C$78,"BS_INVENTORIES","FY 2015","FY 2015","Currency=INR","Period=FY","BEST_FPERIOD_OVERRIDE=FY","FILING_STATUS=OR","EQY_CONSOLIDATED=Y","SCALING_FORMAT=MLN","Sort=A","Dates=H","DateFormat=P","Fill=—","Direction=H","UseDPDF=Y")</f>
        <v>#NAME?</v>
      </c>
      <c r="DF83" s="3" t="e">
        <f ca="1">_xll.BDH($C$78,"INVTRY_RAW_MATERIALS","FY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83" s="3" t="e">
        <f ca="1">_xll.BDH($C$78,"INVTRY_IN_PROGRESS","FY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83" s="3" t="e">
        <f ca="1">_xll.BDH($C$78,"INVTRY_FINISHED_GOODS","FY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83" s="3" t="e">
        <f ca="1">_xll.BDH($C$78,"BS_OTHER_INV","FY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84" spans="1:113" x14ac:dyDescent="0.3">
      <c r="A84" s="6"/>
      <c r="B84" s="6"/>
      <c r="C84" s="6"/>
      <c r="D84" s="6"/>
      <c r="E84" t="s">
        <v>78</v>
      </c>
      <c r="F84" t="e">
        <f ca="1">_xll.BDH($C$78,"RETURN_COM_EQY","FQ1 2015","FQ1 2015","Currency=INR","Period=FQ","BEST_FPERIOD_OVERRIDE=FQ","FILING_STATUS=OR","EQY_CONSOLIDATED=Y","FA_ADJUSTED=GAAP","Sort=A","Dates=H","DateFormat=P","Fill=—","Direction=H","UseDPDF=Y")</f>
        <v>#NAME?</v>
      </c>
      <c r="G84" t="e">
        <f ca="1">_xll.BDH($C$78,"RETURN_ON_ASSET","FQ1 2015","FQ1 2015","Currency=INR","Period=FQ","BEST_FPERIOD_OVERRIDE=FQ","FILING_STATUS=OR","EQY_CONSOLIDATED=Y","FA_ADJUSTED=GAAP","Sort=A","Dates=H","DateFormat=P","Fill=—","Direction=H","UseDPDF=Y")</f>
        <v>#NAME?</v>
      </c>
      <c r="H84" t="e">
        <f ca="1">_xll.BDH($C$78,"RETURN_ON_CAP","FQ1 2015","FQ1 2015","Currency=INR","Period=FQ","BEST_FPERIOD_OVERRIDE=FQ","FILING_STATUS=OR","EQY_CONSOLIDATED=Y","FA_ADJUSTED=GAAP","Sort=A","Dates=H","DateFormat=P","Fill=—","Direction=H","UseDPDF=Y")</f>
        <v>#NAME?</v>
      </c>
      <c r="I84" t="e">
        <f ca="1">_xll.BDH($C$78,"RETURN_ON_INV_CAPITAL","FQ1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84" t="e">
        <f ca="1">_xll.BDH($C$78,"EBITDA_TO_REVENUE","FQ1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84" t="e">
        <f ca="1">_xll.BDH($C$78,"OPER_MARGIN","FQ1 2015","FQ1 2015","Currency=INR","Period=FQ","BEST_FPERIOD_OVERRIDE=FQ","FILING_STATUS=OR","EQY_CONSOLIDATED=Y","FA_ADJUSTED=GAAP","Sort=A","Dates=H","DateFormat=P","Fill=—","Direction=H","UseDPDF=Y")</f>
        <v>#NAME?</v>
      </c>
      <c r="L84" t="e">
        <f ca="1">_xll.BDH($C$78,"INCREMENTAL_OPERATING_MARGIN","FQ1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84" t="e">
        <f ca="1">_xll.BDH($C$78,"PRETAX_INC_TO_NET_SALES","FQ1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84" t="e">
        <f ca="1">_xll.BDH($C$78,"INC_BEF_XO_ITEMS_TO_NET_SALES","FQ1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84" t="e">
        <f ca="1">_xll.BDH($C$78,"PROF_MARGIN","FQ1 2015","FQ1 2015","Currency=INR","Period=FQ","BEST_FPERIOD_OVERRIDE=FQ","FILING_STATUS=OR","EQY_CONSOLIDATED=Y","FA_ADJUSTED=GAAP","Sort=A","Dates=H","DateFormat=P","Fill=—","Direction=H","UseDPDF=Y")</f>
        <v>#NAME?</v>
      </c>
      <c r="P84" t="e">
        <f ca="1">_xll.BDH($C$78,"NET_INCOME_TO_COMMON_MARGIN","FQ1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84" t="e">
        <f ca="1">_xll.BDH($C$78,"EFF_TAX_RATE","FQ1 2015","FQ1 2015","Currency=INR","Period=FQ","BEST_FPERIOD_OVERRIDE=FQ","FILING_STATUS=OR","EQY_CONSOLIDATED=Y","FA_ADJUSTED=GAAP","Sort=A","Dates=H","DateFormat=P","Fill=—","Direction=H","UseDPDF=Y")</f>
        <v>#NAME?</v>
      </c>
      <c r="R84" t="e">
        <f ca="1">_xll.BDH($C$78,"DVD_PAYOUT_RATIO","FQ1 2015","FQ1 2015","Currency=INR","Period=FQ","BEST_FPERIOD_OVERRIDE=FQ","FILING_STATUS=OR","EQY_CONSOLIDATED=Y","FA_ADJUSTED=GAAP","Sort=A","Dates=H","DateFormat=P","Fill=—","Direction=H","UseDPDF=Y")</f>
        <v>#NAME?</v>
      </c>
      <c r="S84" t="e">
        <f ca="1">_xll.BDH($C$78,"SUSTAIN_GROWTH_RT","FQ1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84" s="2" t="e">
        <f ca="1">_xll.BDH($C$78,"SALES_GROWTH","FQ1 2015","FQ1 2015","Currency=INR","Period=FQ","BEST_FPERIOD_OVERRIDE=FQ","FILING_STATUS=OR","EQY_CONSOLIDATED=Y","FA_ADJUSTED=GAAP","Sort=A","Dates=H","DateFormat=P","Fill=—","Direction=H","UseDPDF=Y")</f>
        <v>#NAME?</v>
      </c>
      <c r="U84" s="2" t="e">
        <f ca="1">_xll.BDH($C$78,"EBITDA_GROWTH","FQ1 2015","FQ1 2015","Currency=INR","Period=FQ","BEST_FPERIOD_OVERRIDE=FQ","FILING_STATUS=OR","EQY_CONSOLIDATED=Y","FA_ADJUSTED=GAAP","Sort=A","Dates=H","DateFormat=P","Fill=—","Direction=H","UseDPDF=Y")</f>
        <v>#NAME?</v>
      </c>
      <c r="V84" s="2" t="e">
        <f ca="1">_xll.BDH($C$78,"OPER_INC_GROWTH","FQ1 2015","FQ1 2015","Currency=INR","Period=FQ","BEST_FPERIOD_OVERRIDE=FQ","FILING_STATUS=OR","EQY_CONSOLIDATED=Y","FA_ADJUSTED=GAAP","Sort=A","Dates=H","DateFormat=P","Fill=—","Direction=H","UseDPDF=Y")</f>
        <v>#NAME?</v>
      </c>
      <c r="W84" s="2" t="e">
        <f ca="1">_xll.BDH($C$78,"EARN_FOR_COM_GROWTH","FQ1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84" s="2" t="e">
        <f ca="1">_xll.BDH($C$78,"DILUTED_EPS_AFT_XO_ITEMS_GROWTH","FQ1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84" s="2" t="e">
        <f ca="1">_xll.BDH($C$78,"DIVIDEND_PER_SHARE_1_YEAR_GROWTH","FQ1 2015","FQ1 2015","Currency=INR","Period=FQ","BEST_FPERIOD_OVERRIDE=FQ","FILING_STATUS=OR","EQY_CONSOLIDATED=Y","Sort=A","Dates=H","DateFormat=P","Fill=—","Direction=H","UseDPDF=Y")</f>
        <v>#NAME?</v>
      </c>
      <c r="Z84" s="2" t="e">
        <f ca="1">_xll.BDH($C$78,"ACCOUNTS_RECEIVABLE_GROWTH","FQ1 2015","FQ1 2015","Currency=INR","Period=FQ","BEST_FPERIOD_OVERRIDE=FQ","FILING_STATUS=OR","EQY_CONSOLIDATED=Y","Sort=A","Dates=H","DateFormat=P","Fill=—","Direction=H","UseDPDF=Y")</f>
        <v>#NAME?</v>
      </c>
      <c r="AA84" s="2" t="e">
        <f ca="1">_xll.BDH($C$78,"INVENTORY_GROWTH","FQ1 2015","FQ1 2015","Currency=INR","Period=FQ","BEST_FPERIOD_OVERRIDE=FQ","FILING_STATUS=OR","EQY_CONSOLIDATED=Y","Sort=A","Dates=H","DateFormat=P","Fill=—","Direction=H","UseDPDF=Y")</f>
        <v>#NAME?</v>
      </c>
      <c r="AB84" s="2" t="e">
        <f ca="1">_xll.BDH($C$78,"NET_FIXED_ASSETS_1_YEAR_GROWTH","FQ1 2015","FQ1 2015","Currency=INR","Period=FQ","BEST_FPERIOD_OVERRIDE=FQ","FILING_STATUS=OR","EQY_CONSOLIDATED=Y","Sort=A","Dates=H","DateFormat=P","Fill=—","Direction=H","UseDPDF=Y")</f>
        <v>#NAME?</v>
      </c>
      <c r="AC84" s="2" t="e">
        <f ca="1">_xll.BDH($C$78,"ASSET_GROWTH","FQ1 2015","FQ1 2015","Currency=INR","Period=FQ","BEST_FPERIOD_OVERRIDE=FQ","FILING_STATUS=OR","EQY_CONSOLIDATED=Y","Sort=A","Dates=H","DateFormat=P","Fill=—","Direction=H","UseDPDF=Y")</f>
        <v>#NAME?</v>
      </c>
      <c r="AD84" s="2" t="e">
        <f ca="1">_xll.BDH($C$78,"MODIFIED_WORK_CAP_GROWTH","FQ1 2015","FQ1 2015","Currency=INR","Period=FQ","BEST_FPERIOD_OVERRIDE=FQ","FILING_STATUS=OR","EQY_CONSOLIDATED=Y","Sort=A","Dates=H","DateFormat=P","Fill=—","Direction=H","UseDPDF=Y")</f>
        <v>#NAME?</v>
      </c>
      <c r="AE84" s="2" t="e">
        <f ca="1">_xll.BDH($C$78,"WORK_CAP_GROWTH","FQ1 2015","FQ1 2015","Currency=INR","Period=FQ","BEST_FPERIOD_OVERRIDE=FQ","FILING_STATUS=OR","EQY_CONSOLIDATED=Y","Sort=A","Dates=H","DateFormat=P","Fill=—","Direction=H","UseDPDF=Y")</f>
        <v>#NAME?</v>
      </c>
      <c r="AF84" s="2" t="e">
        <f ca="1">_xll.BDH($C$78,"ACCOUNTS_PAYABLE_GROWTH_1YR","FQ1 2015","FQ1 2015","Currency=INR","Period=FQ","BEST_FPERIOD_OVERRIDE=FQ","FILING_STATUS=OR","EQY_CONSOLIDATED=Y","Sort=A","Dates=H","DateFormat=P","Fill=—","Direction=H","UseDPDF=Y")</f>
        <v>#NAME?</v>
      </c>
      <c r="AG84" s="2" t="e">
        <f ca="1">_xll.BDH($C$78,"SHORT_TERM_DEBT_1_YEAR_GROWTH","FQ1 2015","FQ1 2015","Currency=INR","Period=FQ","BEST_FPERIOD_OVERRIDE=FQ","FILING_STATUS=OR","EQY_CONSOLIDATED=Y","Sort=A","Dates=H","DateFormat=P","Fill=—","Direction=H","UseDPDF=Y")</f>
        <v>#NAME?</v>
      </c>
      <c r="AH84" s="2" t="e">
        <f ca="1">_xll.BDH($C$78,"TOTAL_DEBT_1_YEAR_GROWTH","FQ1 2015","FQ1 2015","Currency=INR","Period=FQ","BEST_FPERIOD_OVERRIDE=FQ","FILING_STATUS=OR","EQY_CONSOLIDATED=Y","Sort=A","Dates=H","DateFormat=P","Fill=—","Direction=H","UseDPDF=Y")</f>
        <v>#NAME?</v>
      </c>
      <c r="AI84" s="2" t="e">
        <f ca="1">_xll.BDH($C$78,"TOTAL_EQUITY_1_YEAR_GROWTH","FQ1 2015","FQ1 2015","Currency=INR","Period=FQ","BEST_FPERIOD_OVERRIDE=FQ","FILING_STATUS=OR","EQY_CONSOLIDATED=Y","Sort=A","Dates=H","DateFormat=P","Fill=—","Direction=H","UseDPDF=Y")</f>
        <v>#NAME?</v>
      </c>
      <c r="AJ84" s="2" t="e">
        <f ca="1">_xll.BDH($C$78,"GROWTH_IN_CAP","FQ1 2015","FQ1 2015","Currency=INR","Period=FQ","BEST_FPERIOD_OVERRIDE=FQ","FILING_STATUS=OR","EQY_CONSOLIDATED=Y","Sort=A","Dates=H","DateFormat=P","Fill=—","Direction=H","UseDPDF=Y")</f>
        <v>#NAME?</v>
      </c>
      <c r="AK84" s="2" t="e">
        <f ca="1">_xll.BDH($C$78,"BVPS_GROWTH","FQ1 2015","FQ1 2015","Currency=INR","Period=FQ","BEST_FPERIOD_OVERRIDE=FQ","FILING_STATUS=OR","EQY_CONSOLIDATED=Y","Sort=A","Dates=H","DateFormat=P","Fill=—","Direction=H","UseDPDF=Y")</f>
        <v>#NAME?</v>
      </c>
      <c r="AL84" s="2" t="e">
        <f ca="1">_xll.BDH($C$78,"CASH_FLOW_GROWTH","FQ1 2015","FQ1 2015","Currency=INR","Period=FQ","BEST_FPERIOD_OVERRIDE=FQ","FILING_STATUS=OR","EQY_CONSOLIDATED=Y","Sort=A","Dates=H","DateFormat=P","Fill=—","Direction=H","UseDPDF=Y")</f>
        <v>#NAME?</v>
      </c>
      <c r="AM84" s="2" t="e">
        <f ca="1">_xll.BDH($C$78,"GEO_GROW_NET_SALES","FQ1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84" s="2" t="e">
        <f ca="1">_xll.BDH($C$78,"GEO_GROW_EBITDA","FQ1 2015","FQ1 2015","Currency=INR","Period=FQ","BEST_FPERIOD_OVERRIDE=FQ","FILING_STATUS=OR","EQY_CONSOLIDATED=Y","FA_ADJUSTED=GAAP","Sort=A","Dates=H","DateFormat=P","Fill=—","Direction=H","UseDPDF=Y")</f>
        <v>#NAME?</v>
      </c>
      <c r="AO84" s="2" t="e">
        <f ca="1">_xll.BDH($C$78,"GEO_GROW_OPER_INC","FQ1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84" s="2" t="e">
        <f ca="1">_xll.BDH($C$78,"NET_INCOME_TO_COMMON_5_YR_GROWTH","FQ1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84" s="2" t="e">
        <f ca="1">_xll.BDH($C$78,"5Y_GEO_GROWTH_DILUTED_EPS","FQ1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84" s="2" t="e">
        <f ca="1">_xll.BDH($C$78,"GEO_GROW_DVD_PER_SH","FQ1 2015","FQ1 2015","Currency=INR","Period=FQ","BEST_FPERIOD_OVERRIDE=FQ","FILING_STATUS=OR","EQY_CONSOLIDATED=Y","Sort=A","Dates=H","DateFormat=P","Fill=—","Direction=H","UseDPDF=Y")</f>
        <v>#NAME?</v>
      </c>
      <c r="AS84" s="2" t="e">
        <f ca="1">_xll.BDH($C$78,"ACCOUNTS_RECEIVABLE_5_YR_GROWTH","FQ1 2015","FQ1 2015","Currency=INR","Period=FQ","BEST_FPERIOD_OVERRIDE=FQ","FILING_STATUS=OR","EQY_CONSOLIDATED=Y","Sort=A","Dates=H","DateFormat=P","Fill=—","Direction=H","UseDPDF=Y")</f>
        <v>#NAME?</v>
      </c>
      <c r="AT84" s="2" t="e">
        <f ca="1">_xll.BDH($C$78,"INVENTORY_5_YEAR_GROWTH","FQ1 2015","FQ1 2015","Currency=INR","Period=FQ","BEST_FPERIOD_OVERRIDE=FQ","FILING_STATUS=OR","EQY_CONSOLIDATED=Y","Sort=A","Dates=H","DateFormat=P","Fill=—","Direction=H","UseDPDF=Y")</f>
        <v>#NAME?</v>
      </c>
      <c r="AU84" s="2" t="e">
        <f ca="1">_xll.BDH($C$78,"NET_FIXED_ASSETS_5_YEAR_GROWTH","FQ1 2015","FQ1 2015","Currency=INR","Period=FQ","BEST_FPERIOD_OVERRIDE=FQ","FILING_STATUS=OR","EQY_CONSOLIDATED=Y","Sort=A","Dates=H","DateFormat=P","Fill=—","Direction=H","UseDPDF=Y")</f>
        <v>#NAME?</v>
      </c>
      <c r="AV84" s="2" t="e">
        <f ca="1">_xll.BDH($C$78,"GEO_GROW_TOT_ASSET","FQ1 2015","FQ1 2015","Currency=INR","Period=FQ","BEST_FPERIOD_OVERRIDE=FQ","FILING_STATUS=OR","EQY_CONSOLIDATED=Y","Sort=A","Dates=H","DateFormat=P","Fill=—","Direction=H","UseDPDF=Y")</f>
        <v>#NAME?</v>
      </c>
      <c r="AW84" s="2" t="e">
        <f ca="1">_xll.BDH($C$78,"MODIFIED_WORKING_CPTL_5YR_GRWTH","FQ1 2015","FQ1 2015","Currency=INR","Period=FQ","BEST_FPERIOD_OVERRIDE=FQ","FILING_STATUS=OR","EQY_CONSOLIDATED=Y","Sort=A","Dates=H","DateFormat=P","Fill=—","Direction=H","UseDPDF=Y")</f>
        <v>#NAME?</v>
      </c>
      <c r="AX84" s="2" t="e">
        <f ca="1">_xll.BDH($C$78,"WORKING_CAPITAL_5_YEAR_GROWTH","FQ1 2015","FQ1 2015","Currency=INR","Period=FQ","BEST_FPERIOD_OVERRIDE=FQ","FILING_STATUS=OR","EQY_CONSOLIDATED=Y","Sort=A","Dates=H","DateFormat=P","Fill=—","Direction=H","UseDPDF=Y")</f>
        <v>#NAME?</v>
      </c>
      <c r="AY84" s="2" t="e">
        <f ca="1">_xll.BDH($C$78,"ACCOUNTS_PAYABLE_5_YEAR_GROWTH","FQ1 2015","FQ1 2015","Currency=INR","Period=FQ","BEST_FPERIOD_OVERRIDE=FQ","FILING_STATUS=OR","EQY_CONSOLIDATED=Y","Sort=A","Dates=H","DateFormat=P","Fill=—","Direction=H","UseDPDF=Y")</f>
        <v>#NAME?</v>
      </c>
      <c r="AZ84" s="2" t="e">
        <f ca="1">_xll.BDH($C$78,"SHORT_TERM_DEBT_5_YEAR_GROWTH","FQ1 2015","FQ1 2015","Currency=INR","Period=FQ","BEST_FPERIOD_OVERRIDE=FQ","FILING_STATUS=OR","EQY_CONSOLIDATED=Y","Sort=A","Dates=H","DateFormat=P","Fill=—","Direction=H","UseDPDF=Y")</f>
        <v>#NAME?</v>
      </c>
      <c r="BA84" s="2" t="e">
        <f ca="1">_xll.BDH($C$78,"TOTAL_DEBT_5_YEAR_GROWTH","FQ1 2015","FQ1 2015","Currency=INR","Period=FQ","BEST_FPERIOD_OVERRIDE=FQ","FILING_STATUS=OR","EQY_CONSOLIDATED=Y","Sort=A","Dates=H","DateFormat=P","Fill=—","Direction=H","UseDPDF=Y")</f>
        <v>#NAME?</v>
      </c>
      <c r="BB84" s="2" t="e">
        <f ca="1">_xll.BDH($C$78,"GEO_GROW_TOT_SHRHLDR_EQY","FQ1 2015","FQ1 2015","Currency=INR","Period=FQ","BEST_FPERIOD_OVERRIDE=FQ","FILING_STATUS=OR","EQY_CONSOLIDATED=Y","Sort=A","Dates=H","DateFormat=P","Fill=—","Direction=H","UseDPDF=Y")</f>
        <v>#NAME?</v>
      </c>
      <c r="BC84" s="2" t="e">
        <f ca="1">_xll.BDH($C$78,"TOTAL_CAPITAL_5_YEAR_GROWTH","FQ1 2015","FQ1 2015","Currency=INR","Period=FQ","BEST_FPERIOD_OVERRIDE=FQ","FILING_STATUS=OR","EQY_CONSOLIDATED=Y","Sort=A","Dates=H","DateFormat=P","Fill=—","Direction=H","UseDPDF=Y")</f>
        <v>#NAME?</v>
      </c>
      <c r="BD84" s="2" t="e">
        <f ca="1">_xll.BDH($C$78,"GEO_GROW_BOOK_VAL","FQ1 2015","FQ1 2015","Currency=INR","Period=FQ","BEST_FPERIOD_OVERRIDE=FQ","FILING_STATUS=OR","EQY_CONSOLIDATED=Y","Sort=A","Dates=H","DateFormat=P","Fill=—","Direction=H","UseDPDF=Y")</f>
        <v>#NAME?</v>
      </c>
      <c r="BE84" s="2" t="e">
        <f ca="1">_xll.BDH($C$78,"GEO_GROW_CASH_OPER_ACT","FQ1 2015","FQ1 2015","Currency=INR","Period=FQ","BEST_FPERIOD_OVERRIDE=FQ","FILING_STATUS=OR","EQY_CONSOLIDATED=Y","Sort=A","Dates=H","DateFormat=P","Fill=—","Direction=H","UseDPDF=Y")</f>
        <v>#NAME?</v>
      </c>
      <c r="BF84" s="2" t="e">
        <f ca="1">_xll.BDH($C$78,"REVENUE_SEQUENTIAL_GROWTH","FQ1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84" s="2" t="e">
        <f ca="1">_xll.BDH($C$78,"EBITDA_SEQUENTIAL_GROWTH","FQ1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84" s="2" t="e">
        <f ca="1">_xll.BDH($C$78,"OPERATING_INCOME_SEQ_GROWTH","FQ1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84" s="2" t="e">
        <f ca="1">_xll.BDH($C$78,"NET_INCOME_TO_COMMON_SEQ_GROWTH","FQ1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84" s="2" t="e">
        <f ca="1">_xll.BDH($C$78,"EPS_DILUTED_SEQUENTIAL_GROWTH","FQ1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84" s="2" t="e">
        <f ca="1">_xll.BDH($C$78,"DPS_SEQUENTIAL_GROWTH","FQ1 2015","FQ1 2015","Currency=INR","Period=FQ","BEST_FPERIOD_OVERRIDE=FQ","FILING_STATUS=OR","EQY_CONSOLIDATED=Y","Sort=A","Dates=H","DateFormat=P","Fill=—","Direction=H","UseDPDF=Y")</f>
        <v>#NAME?</v>
      </c>
      <c r="BL84" s="2" t="e">
        <f ca="1">_xll.BDH($C$78,"ACCOUNTS_RECEIVABLE_SEQ_GROWTH","FQ1 2015","FQ1 2015","Currency=INR","Period=FQ","BEST_FPERIOD_OVERRIDE=FQ","FILING_STATUS=OR","EQY_CONSOLIDATED=Y","Sort=A","Dates=H","DateFormat=P","Fill=—","Direction=H","UseDPDF=Y")</f>
        <v>#NAME?</v>
      </c>
      <c r="BM84" s="2" t="e">
        <f ca="1">_xll.BDH($C$78,"INVENTORY_SEQUENTIAL_GROWTH","FQ1 2015","FQ1 2015","Currency=INR","Period=FQ","BEST_FPERIOD_OVERRIDE=FQ","FILING_STATUS=OR","EQY_CONSOLIDATED=Y","Sort=A","Dates=H","DateFormat=P","Fill=—","Direction=H","UseDPDF=Y")</f>
        <v>#NAME?</v>
      </c>
      <c r="BN84" s="2" t="e">
        <f ca="1">_xll.BDH($C$78,"FIXED_ASSETS_SEQUENTIAL_GROWTH","FQ1 2015","FQ1 2015","Currency=INR","Period=FQ","BEST_FPERIOD_OVERRIDE=FQ","FILING_STATUS=OR","EQY_CONSOLIDATED=Y","Sort=A","Dates=H","DateFormat=P","Fill=—","Direction=H","UseDPDF=Y")</f>
        <v>#NAME?</v>
      </c>
      <c r="BO84" s="2" t="e">
        <f ca="1">_xll.BDH($C$78,"TOTAL_ASSETS_SEQUENTIAL_GROWTH","FQ1 2015","FQ1 2015","Currency=INR","Period=FQ","BEST_FPERIOD_OVERRIDE=FQ","FILING_STATUS=OR","EQY_CONSOLIDATED=Y","Sort=A","Dates=H","DateFormat=P","Fill=—","Direction=H","UseDPDF=Y")</f>
        <v>#NAME?</v>
      </c>
      <c r="BP84" s="2" t="e">
        <f ca="1">_xll.BDH($C$78,"MODIFIED_WORKING_CPTL_SEQ_GRWTH","FQ1 2015","FQ1 2015","Currency=INR","Period=FQ","BEST_FPERIOD_OVERRIDE=FQ","FILING_STATUS=OR","EQY_CONSOLIDATED=Y","Sort=A","Dates=H","DateFormat=P","Fill=—","Direction=H","UseDPDF=Y")</f>
        <v>#NAME?</v>
      </c>
      <c r="BQ84" s="2" t="e">
        <f ca="1">_xll.BDH($C$78,"WORKING_CAPITAL_SEQ_GROWTH","FQ1 2015","FQ1 2015","Currency=INR","Period=FQ","BEST_FPERIOD_OVERRIDE=FQ","FILING_STATUS=OR","EQY_CONSOLIDATED=Y","Sort=A","Dates=H","DateFormat=P","Fill=—","Direction=H","UseDPDF=Y")</f>
        <v>#NAME?</v>
      </c>
      <c r="BR84" s="2" t="e">
        <f ca="1">_xll.BDH($C$78,"ACCOUNTS_PAYABLE_SEQ_GROWTH","FQ1 2015","FQ1 2015","Currency=INR","Period=FQ","BEST_FPERIOD_OVERRIDE=FQ","FILING_STATUS=OR","EQY_CONSOLIDATED=Y","Sort=A","Dates=H","DateFormat=P","Fill=—","Direction=H","UseDPDF=Y")</f>
        <v>#NAME?</v>
      </c>
      <c r="BS84" s="2" t="e">
        <f ca="1">_xll.BDH($C$78,"ST_DEBT_SEQUENTIAL_GROWTH","FQ1 2015","FQ1 2015","Currency=INR","Period=FQ","BEST_FPERIOD_OVERRIDE=FQ","FILING_STATUS=OR","EQY_CONSOLIDATED=Y","Sort=A","Dates=H","DateFormat=P","Fill=—","Direction=H","UseDPDF=Y")</f>
        <v>#NAME?</v>
      </c>
      <c r="BT84" s="2" t="e">
        <f ca="1">_xll.BDH($C$78,"TOTAL_DEBT_SEQUENTIAL_GROWTH","FQ1 2015","FQ1 2015","Currency=INR","Period=FQ","BEST_FPERIOD_OVERRIDE=FQ","FILING_STATUS=OR","EQY_CONSOLIDATED=Y","Sort=A","Dates=H","DateFormat=P","Fill=—","Direction=H","UseDPDF=Y")</f>
        <v>#NAME?</v>
      </c>
      <c r="BU84" s="2" t="e">
        <f ca="1">_xll.BDH($C$78,"TOTAL_EQUITY_SEQUENTIAL_GROWTH","FQ1 2015","FQ1 2015","Currency=INR","Period=FQ","BEST_FPERIOD_OVERRIDE=FQ","FILING_STATUS=OR","EQY_CONSOLIDATED=Y","Sort=A","Dates=H","DateFormat=P","Fill=—","Direction=H","UseDPDF=Y")</f>
        <v>#NAME?</v>
      </c>
      <c r="BV84" s="2" t="e">
        <f ca="1">_xll.BDH($C$78,"TOTAL_CAPITAL_SEQUENTIAL_GROWTH","FQ1 2015","FQ1 2015","Currency=INR","Period=FQ","BEST_FPERIOD_OVERRIDE=FQ","FILING_STATUS=OR","EQY_CONSOLIDATED=Y","Sort=A","Dates=H","DateFormat=P","Fill=—","Direction=H","UseDPDF=Y")</f>
        <v>#NAME?</v>
      </c>
      <c r="BW84" s="2" t="e">
        <f ca="1">_xll.BDH($C$78,"BPS_SEQUENTIAL_GROWTH","FQ1 2015","FQ1 2015","Currency=INR","Period=FQ","BEST_FPERIOD_OVERRIDE=FQ","FILING_STATUS=OR","EQY_CONSOLIDATED=Y","Sort=A","Dates=H","DateFormat=P","Fill=—","Direction=H","UseDPDF=Y")</f>
        <v>#NAME?</v>
      </c>
      <c r="BX84" s="2" t="e">
        <f ca="1">_xll.BDH($C$78,"CFO_SEQUENTIAL_GROWTH","FQ1 2015","FQ1 2015","Currency=INR","Period=FQ","BEST_FPERIOD_OVERRIDE=FQ","FILING_STATUS=OR","EQY_CONSOLIDATED=Y","Sort=A","Dates=H","DateFormat=P","Fill=—","Direction=H","UseDPDF=Y")</f>
        <v>#NAME?</v>
      </c>
      <c r="BY84" s="3" t="e">
        <f ca="1">_xll.BDH($C$78,"SHORT_AND_LONG_TERM_DEBT","FQ1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84" s="3" t="e">
        <f ca="1">_xll.BDH($C$78,"BS_ST_BORROW","FQ1 2015","FQ1 2015","Currency=INR","Period=FQ","BEST_FPERIOD_OVERRIDE=FQ","FILING_STATUS=OR","EQY_CONSOLIDATED=Y","SCALING_FORMAT=MLN","Sort=A","Dates=H","DateFormat=P","Fill=—","Direction=H","UseDPDF=Y")</f>
        <v>#NAME?</v>
      </c>
      <c r="CA84" s="3" t="e">
        <f ca="1">_xll.BDH($C$78,"BS_LT_BORROW","FQ1 2015","FQ1 2015","Currency=INR","Period=FQ","BEST_FPERIOD_OVERRIDE=FQ","FILING_STATUS=OR","EQY_CONSOLIDATED=Y","SCALING_FORMAT=MLN","Sort=A","Dates=H","DateFormat=P","Fill=—","Direction=H","UseDPDF=Y")</f>
        <v>#NAME?</v>
      </c>
      <c r="CB84" s="2" t="e">
        <f ca="1">_xll.BDH($C$78,"TOT_DEBT_TO_EBITDA","FQ1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84" s="2" t="e">
        <f ca="1">_xll.BDH($C$78,"NET_DEBT_TO_EBITDA","FQ1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84" s="2" t="e">
        <f ca="1">_xll.BDH($C$78,"TOTAL_DEBT_TO_EBIT","FQ1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84" s="2" t="e">
        <f ca="1">_xll.BDH($C$78,"NET_DEBT_TO_EBIT","FQ1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84" s="2" t="e">
        <f ca="1">_xll.BDH($C$78,"EBITDA_TO_INTEREST_EXPN","FQ1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84" s="2" t="e">
        <f ca="1">_xll.BDH($C$78,"COM_EQY_TO_TOT_ASSET","FQ1 2015","FQ1 2015","Currency=INR","Period=FQ","BEST_FPERIOD_OVERRIDE=FQ","FILING_STATUS=OR","EQY_CONSOLIDATED=Y","Sort=A","Dates=H","DateFormat=P","Fill=—","Direction=H","UseDPDF=Y")</f>
        <v>#NAME?</v>
      </c>
      <c r="CH84" s="2" t="e">
        <f ca="1">_xll.BDH($C$78,"LT_DEBT_TO_TOT_EQY","FQ1 2015","FQ1 2015","Currency=INR","Period=FQ","BEST_FPERIOD_OVERRIDE=FQ","FILING_STATUS=OR","EQY_CONSOLIDATED=Y","Sort=A","Dates=H","DateFormat=P","Fill=—","Direction=H","UseDPDF=Y")</f>
        <v>#NAME?</v>
      </c>
      <c r="CI84" s="2" t="e">
        <f ca="1">_xll.BDH($C$78,"LT_DEBT_TO_TOT_CAP","FQ1 2015","FQ1 2015","Currency=INR","Period=FQ","BEST_FPERIOD_OVERRIDE=FQ","FILING_STATUS=OR","EQY_CONSOLIDATED=Y","Sort=A","Dates=H","DateFormat=P","Fill=—","Direction=H","UseDPDF=Y")</f>
        <v>#NAME?</v>
      </c>
      <c r="CJ84" s="2" t="e">
        <f ca="1">_xll.BDH($C$78,"LT_DEBT_TO_TOT_ASSET","FQ1 2015","FQ1 2015","Currency=INR","Period=FQ","BEST_FPERIOD_OVERRIDE=FQ","FILING_STATUS=OR","EQY_CONSOLIDATED=Y","Sort=A","Dates=H","DateFormat=P","Fill=—","Direction=H","UseDPDF=Y")</f>
        <v>#NAME?</v>
      </c>
      <c r="CK84" s="2" t="e">
        <f ca="1">_xll.BDH($C$78,"TOT_DEBT_TO_TOT_EQY","FQ1 2015","FQ1 2015","Currency=INR","Period=FQ","BEST_FPERIOD_OVERRIDE=FQ","FILING_STATUS=OR","EQY_CONSOLIDATED=Y","Sort=A","Dates=H","DateFormat=P","Fill=—","Direction=H","UseDPDF=Y")</f>
        <v>#NAME?</v>
      </c>
      <c r="CL84" s="2" t="e">
        <f ca="1">_xll.BDH($C$78,"TOT_DEBT_TO_TOT_CAP","FQ1 2015","FQ1 2015","Currency=INR","Period=FQ","BEST_FPERIOD_OVERRIDE=FQ","FILING_STATUS=OR","EQY_CONSOLIDATED=Y","Sort=A","Dates=H","DateFormat=P","Fill=—","Direction=H","UseDPDF=Y")</f>
        <v>#NAME?</v>
      </c>
      <c r="CM84" s="2" t="e">
        <f ca="1">_xll.BDH($C$78,"TOT_DEBT_TO_TOT_ASSET","FQ1 2015","FQ1 2015","Currency=INR","Period=FQ","BEST_FPERIOD_OVERRIDE=FQ","FILING_STATUS=OR","EQY_CONSOLIDATED=Y","Sort=A","Dates=H","DateFormat=P","Fill=—","Direction=H","UseDPDF=Y")</f>
        <v>#NAME?</v>
      </c>
      <c r="CN84" s="2" t="e">
        <f ca="1">_xll.BDH($C$78,"NET_DEBT_TO_SHRHLDR_EQTY","FQ1 2015","FQ1 2015","Currency=INR","Period=FQ","BEST_FPERIOD_OVERRIDE=FQ","FILING_STATUS=OR","EQY_CONSOLIDATED=Y","Sort=A","Dates=H","DateFormat=P","Fill=—","Direction=H","UseDPDF=Y")</f>
        <v>#NAME?</v>
      </c>
      <c r="CO84" s="2" t="e">
        <f ca="1">_xll.BDH($C$78,"NET_DEBT_%_CAPITAL","FQ1 2015","FQ1 2015","Currency=INR","Period=FQ","BEST_FPERIOD_OVERRIDE=FQ","FILING_STATUS=OR","EQY_CONSOLIDATED=Y","Sort=A","Dates=H","DateFormat=P","Fill=—","Direction=H","UseDPDF=Y")</f>
        <v>#NAME?</v>
      </c>
      <c r="CP84" s="3" t="e">
        <f ca="1">_xll.BDH($C$78,"EBITDA","FQ1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84" s="3" t="e">
        <f ca="1">_xll.BDH($C$78,"EBITDA_AFTER_CAPEX","FQ1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84" s="3" t="e">
        <f ca="1">_xll.BDH($C$78,"IS_OPER_INC","FQ1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84" s="2" t="e">
        <f ca="1">_xll.BDH($C$78,"CASH_RATIO","FQ1 2015","FQ1 2015","Currency=INR","Period=FQ","BEST_FPERIOD_OVERRIDE=FQ","FILING_STATUS=OR","EQY_CONSOLIDATED=Y","Sort=A","Dates=H","DateFormat=P","Fill=—","Direction=H","UseDPDF=Y")</f>
        <v>#NAME?</v>
      </c>
      <c r="CT84" s="2" t="e">
        <f ca="1">_xll.BDH($C$78,"CUR_RATIO","FQ1 2015","FQ1 2015","Currency=INR","Period=FQ","BEST_FPERIOD_OVERRIDE=FQ","FILING_STATUS=OR","EQY_CONSOLIDATED=Y","Sort=A","Dates=H","DateFormat=P","Fill=—","Direction=H","UseDPDF=Y")</f>
        <v>#NAME?</v>
      </c>
      <c r="CU84" s="2" t="e">
        <f ca="1">_xll.BDH($C$78,"QUICK_RATIO","FQ1 2015","FQ1 2015","Currency=INR","Period=FQ","BEST_FPERIOD_OVERRIDE=FQ","FILING_STATUS=OR","EQY_CONSOLIDATED=Y","Sort=A","Dates=H","DateFormat=P","Fill=—","Direction=H","UseDPDF=Y")</f>
        <v>#NAME?</v>
      </c>
      <c r="CV84" s="2" t="e">
        <f ca="1">_xll.BDH($C$78,"ALTMAN_Z_SCORE","FQ1 2015","FQ1 2015","Currency=INR","Period=FQ","BEST_FPERIOD_OVERRIDE=FQ","FILING_STATUS=OR","EQY_CONSOLIDATED=Y","Sort=A","Dates=H","DateFormat=P","Fill=—","Direction=H","UseDPDF=Y")</f>
        <v>#NAME?</v>
      </c>
      <c r="CW84" s="4" t="e">
        <f ca="1">_xll.BDH($C$78,"ACCT_RCV_TURN","FQ1 2015","FQ1 2015","Currency=INR","Period=FQ","BEST_FPERIOD_OVERRIDE=FQ","FILING_STATUS=OR","EQY_CONSOLIDATED=Y","FA_ADJUSTED=GAAP","Sort=A","Dates=H","DateFormat=P","Fill=—","Direction=H","UseDPDF=Y")</f>
        <v>#NAME?</v>
      </c>
      <c r="CX84" s="2" t="e">
        <f ca="1">_xll.BDH($C$78,"ACCT_RCV_DAYS","FQ1 2015","FQ1 2015","Currency=INR","Period=FQ","BEST_FPERIOD_OVERRIDE=FQ","FILING_STATUS=OR","EQY_CONSOLIDATED=Y","FA_ADJUSTED=GAAP","Sort=A","Dates=H","DateFormat=P","Fill=—","Direction=H","UseDPDF=Y")</f>
        <v>#NAME?</v>
      </c>
      <c r="CY84" s="4" t="e">
        <f ca="1">_xll.BDH($C$78,"INVENT_TURN","FQ1 2015","FQ1 2015","Currency=INR","Period=FQ","BEST_FPERIOD_OVERRIDE=FQ","FILING_STATUS=OR","EQY_CONSOLIDATED=Y","FA_ADJUSTED=GAAP","Sort=A","Dates=H","DateFormat=P","Fill=—","Direction=H","UseDPDF=Y")</f>
        <v>#NAME?</v>
      </c>
      <c r="CZ84" s="2" t="e">
        <f ca="1">_xll.BDH($C$78,"INVENT_DAYS","FQ1 2015","FQ1 2015","Currency=INR","Period=FQ","BEST_FPERIOD_OVERRIDE=FQ","FILING_STATUS=OR","EQY_CONSOLIDATED=Y","FA_ADJUSTED=GAAP","Sort=A","Dates=H","DateFormat=P","Fill=—","Direction=H","UseDPDF=Y")</f>
        <v>#NAME?</v>
      </c>
      <c r="DA84" s="4" t="e">
        <f ca="1">_xll.BDH($C$78,"ACCOUNTS_PAYABLE_TURNOVER","FQ1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84" s="2" t="e">
        <f ca="1">_xll.BDH($C$78,"ACCOUNTS_PAYABLE_TURNOVER_DAYS","FQ1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84" s="4" t="e">
        <f ca="1">_xll.BDH($C$78,"CASH_CONVERSION_CYCLE","FQ1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84" s="4" t="e">
        <f ca="1">_xll.BDH($C$78,"INV_TO_CASH_DAYS","FQ1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84" s="5" t="e">
        <f ca="1">_xll.BDH($C$78,"BS_INVENTORIES","FQ1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84" s="3" t="e">
        <f ca="1">_xll.BDH($C$78,"INVTRY_RAW_MATERIALS","FQ1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84" s="3" t="e">
        <f ca="1">_xll.BDH($C$78,"INVTRY_IN_PROGRESS","FQ1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84" s="3" t="e">
        <f ca="1">_xll.BDH($C$78,"INVTRY_FINISHED_GOODS","FQ1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84" s="3" t="e">
        <f ca="1">_xll.BDH($C$78,"BS_OTHER_INV","FQ1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85" spans="1:113" x14ac:dyDescent="0.3">
      <c r="A85" s="6"/>
      <c r="B85" s="6"/>
      <c r="C85" s="6"/>
      <c r="D85" s="6"/>
      <c r="E85" t="s">
        <v>79</v>
      </c>
      <c r="F85" t="e">
        <f ca="1">_xll.BDH($C$78,"RETURN_COM_EQY","FQ2 2015","FQ2 2015","Currency=INR","Period=FQ","BEST_FPERIOD_OVERRIDE=FQ","FILING_STATUS=OR","EQY_CONSOLIDATED=Y","FA_ADJUSTED=GAAP","Sort=A","Dates=H","DateFormat=P","Fill=—","Direction=H","UseDPDF=Y")</f>
        <v>#NAME?</v>
      </c>
      <c r="G85" t="e">
        <f ca="1">_xll.BDH($C$78,"RETURN_ON_ASSET","FQ2 2015","FQ2 2015","Currency=INR","Period=FQ","BEST_FPERIOD_OVERRIDE=FQ","FILING_STATUS=OR","EQY_CONSOLIDATED=Y","FA_ADJUSTED=GAAP","Sort=A","Dates=H","DateFormat=P","Fill=—","Direction=H","UseDPDF=Y")</f>
        <v>#NAME?</v>
      </c>
      <c r="H85" t="e">
        <f ca="1">_xll.BDH($C$78,"RETURN_ON_CAP","FQ2 2015","FQ2 2015","Currency=INR","Period=FQ","BEST_FPERIOD_OVERRIDE=FQ","FILING_STATUS=OR","EQY_CONSOLIDATED=Y","FA_ADJUSTED=GAAP","Sort=A","Dates=H","DateFormat=P","Fill=—","Direction=H","UseDPDF=Y")</f>
        <v>#NAME?</v>
      </c>
      <c r="I85" t="e">
        <f ca="1">_xll.BDH($C$78,"RETURN_ON_INV_CAPITAL","FQ2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85" t="e">
        <f ca="1">_xll.BDH($C$78,"EBITDA_TO_REVENUE","FQ2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85" t="e">
        <f ca="1">_xll.BDH($C$78,"OPER_MARGIN","FQ2 2015","FQ2 2015","Currency=INR","Period=FQ","BEST_FPERIOD_OVERRIDE=FQ","FILING_STATUS=OR","EQY_CONSOLIDATED=Y","FA_ADJUSTED=GAAP","Sort=A","Dates=H","DateFormat=P","Fill=—","Direction=H","UseDPDF=Y")</f>
        <v>#NAME?</v>
      </c>
      <c r="L85" t="e">
        <f ca="1">_xll.BDH($C$78,"INCREMENTAL_OPERATING_MARGIN","FQ2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85" t="e">
        <f ca="1">_xll.BDH($C$78,"PRETAX_INC_TO_NET_SALES","FQ2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85" t="e">
        <f ca="1">_xll.BDH($C$78,"INC_BEF_XO_ITEMS_TO_NET_SALES","FQ2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85" t="e">
        <f ca="1">_xll.BDH($C$78,"PROF_MARGIN","FQ2 2015","FQ2 2015","Currency=INR","Period=FQ","BEST_FPERIOD_OVERRIDE=FQ","FILING_STATUS=OR","EQY_CONSOLIDATED=Y","FA_ADJUSTED=GAAP","Sort=A","Dates=H","DateFormat=P","Fill=—","Direction=H","UseDPDF=Y")</f>
        <v>#NAME?</v>
      </c>
      <c r="P85" t="e">
        <f ca="1">_xll.BDH($C$78,"NET_INCOME_TO_COMMON_MARGIN","FQ2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85" t="e">
        <f ca="1">_xll.BDH($C$78,"EFF_TAX_RATE","FQ2 2015","FQ2 2015","Currency=INR","Period=FQ","BEST_FPERIOD_OVERRIDE=FQ","FILING_STATUS=OR","EQY_CONSOLIDATED=Y","FA_ADJUSTED=GAAP","Sort=A","Dates=H","DateFormat=P","Fill=—","Direction=H","UseDPDF=Y")</f>
        <v>#NAME?</v>
      </c>
      <c r="R85" t="e">
        <f ca="1">_xll.BDH($C$78,"DVD_PAYOUT_RATIO","FQ2 2015","FQ2 2015","Currency=INR","Period=FQ","BEST_FPERIOD_OVERRIDE=FQ","FILING_STATUS=OR","EQY_CONSOLIDATED=Y","FA_ADJUSTED=GAAP","Sort=A","Dates=H","DateFormat=P","Fill=—","Direction=H","UseDPDF=Y")</f>
        <v>#NAME?</v>
      </c>
      <c r="S85" t="e">
        <f ca="1">_xll.BDH($C$78,"SUSTAIN_GROWTH_RT","FQ2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85" s="2" t="e">
        <f ca="1">_xll.BDH($C$78,"SALES_GROWTH","FQ2 2015","FQ2 2015","Currency=INR","Period=FQ","BEST_FPERIOD_OVERRIDE=FQ","FILING_STATUS=OR","EQY_CONSOLIDATED=Y","FA_ADJUSTED=GAAP","Sort=A","Dates=H","DateFormat=P","Fill=—","Direction=H","UseDPDF=Y")</f>
        <v>#NAME?</v>
      </c>
      <c r="U85" s="2" t="e">
        <f ca="1">_xll.BDH($C$78,"EBITDA_GROWTH","FQ2 2015","FQ2 2015","Currency=INR","Period=FQ","BEST_FPERIOD_OVERRIDE=FQ","FILING_STATUS=OR","EQY_CONSOLIDATED=Y","FA_ADJUSTED=GAAP","Sort=A","Dates=H","DateFormat=P","Fill=—","Direction=H","UseDPDF=Y")</f>
        <v>#NAME?</v>
      </c>
      <c r="V85" s="2" t="e">
        <f ca="1">_xll.BDH($C$78,"OPER_INC_GROWTH","FQ2 2015","FQ2 2015","Currency=INR","Period=FQ","BEST_FPERIOD_OVERRIDE=FQ","FILING_STATUS=OR","EQY_CONSOLIDATED=Y","FA_ADJUSTED=GAAP","Sort=A","Dates=H","DateFormat=P","Fill=—","Direction=H","UseDPDF=Y")</f>
        <v>#NAME?</v>
      </c>
      <c r="W85" s="2" t="e">
        <f ca="1">_xll.BDH($C$78,"EARN_FOR_COM_GROWTH","FQ2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85" s="2" t="e">
        <f ca="1">_xll.BDH($C$78,"DILUTED_EPS_AFT_XO_ITEMS_GROWTH","FQ2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85" s="2" t="e">
        <f ca="1">_xll.BDH($C$78,"DIVIDEND_PER_SHARE_1_YEAR_GROWTH","FQ2 2015","FQ2 2015","Currency=INR","Period=FQ","BEST_FPERIOD_OVERRIDE=FQ","FILING_STATUS=OR","EQY_CONSOLIDATED=Y","Sort=A","Dates=H","DateFormat=P","Fill=—","Direction=H","UseDPDF=Y")</f>
        <v>#NAME?</v>
      </c>
      <c r="Z85" s="2" t="e">
        <f ca="1">_xll.BDH($C$78,"ACCOUNTS_RECEIVABLE_GROWTH","FQ2 2015","FQ2 2015","Currency=INR","Period=FQ","BEST_FPERIOD_OVERRIDE=FQ","FILING_STATUS=OR","EQY_CONSOLIDATED=Y","Sort=A","Dates=H","DateFormat=P","Fill=—","Direction=H","UseDPDF=Y")</f>
        <v>#NAME?</v>
      </c>
      <c r="AA85" s="2" t="e">
        <f ca="1">_xll.BDH($C$78,"INVENTORY_GROWTH","FQ2 2015","FQ2 2015","Currency=INR","Period=FQ","BEST_FPERIOD_OVERRIDE=FQ","FILING_STATUS=OR","EQY_CONSOLIDATED=Y","Sort=A","Dates=H","DateFormat=P","Fill=—","Direction=H","UseDPDF=Y")</f>
        <v>#NAME?</v>
      </c>
      <c r="AB85" s="2" t="e">
        <f ca="1">_xll.BDH($C$78,"NET_FIXED_ASSETS_1_YEAR_GROWTH","FQ2 2015","FQ2 2015","Currency=INR","Period=FQ","BEST_FPERIOD_OVERRIDE=FQ","FILING_STATUS=OR","EQY_CONSOLIDATED=Y","Sort=A","Dates=H","DateFormat=P","Fill=—","Direction=H","UseDPDF=Y")</f>
        <v>#NAME?</v>
      </c>
      <c r="AC85" s="2" t="e">
        <f ca="1">_xll.BDH($C$78,"ASSET_GROWTH","FQ2 2015","FQ2 2015","Currency=INR","Period=FQ","BEST_FPERIOD_OVERRIDE=FQ","FILING_STATUS=OR","EQY_CONSOLIDATED=Y","Sort=A","Dates=H","DateFormat=P","Fill=—","Direction=H","UseDPDF=Y")</f>
        <v>#NAME?</v>
      </c>
      <c r="AD85" s="2" t="e">
        <f ca="1">_xll.BDH($C$78,"MODIFIED_WORK_CAP_GROWTH","FQ2 2015","FQ2 2015","Currency=INR","Period=FQ","BEST_FPERIOD_OVERRIDE=FQ","FILING_STATUS=OR","EQY_CONSOLIDATED=Y","Sort=A","Dates=H","DateFormat=P","Fill=—","Direction=H","UseDPDF=Y")</f>
        <v>#NAME?</v>
      </c>
      <c r="AE85" s="2" t="e">
        <f ca="1">_xll.BDH($C$78,"WORK_CAP_GROWTH","FQ2 2015","FQ2 2015","Currency=INR","Period=FQ","BEST_FPERIOD_OVERRIDE=FQ","FILING_STATUS=OR","EQY_CONSOLIDATED=Y","Sort=A","Dates=H","DateFormat=P","Fill=—","Direction=H","UseDPDF=Y")</f>
        <v>#NAME?</v>
      </c>
      <c r="AF85" s="2" t="e">
        <f ca="1">_xll.BDH($C$78,"ACCOUNTS_PAYABLE_GROWTH_1YR","FQ2 2015","FQ2 2015","Currency=INR","Period=FQ","BEST_FPERIOD_OVERRIDE=FQ","FILING_STATUS=OR","EQY_CONSOLIDATED=Y","Sort=A","Dates=H","DateFormat=P","Fill=—","Direction=H","UseDPDF=Y")</f>
        <v>#NAME?</v>
      </c>
      <c r="AG85" s="2" t="e">
        <f ca="1">_xll.BDH($C$78,"SHORT_TERM_DEBT_1_YEAR_GROWTH","FQ2 2015","FQ2 2015","Currency=INR","Period=FQ","BEST_FPERIOD_OVERRIDE=FQ","FILING_STATUS=OR","EQY_CONSOLIDATED=Y","Sort=A","Dates=H","DateFormat=P","Fill=—","Direction=H","UseDPDF=Y")</f>
        <v>#NAME?</v>
      </c>
      <c r="AH85" s="2" t="e">
        <f ca="1">_xll.BDH($C$78,"TOTAL_DEBT_1_YEAR_GROWTH","FQ2 2015","FQ2 2015","Currency=INR","Period=FQ","BEST_FPERIOD_OVERRIDE=FQ","FILING_STATUS=OR","EQY_CONSOLIDATED=Y","Sort=A","Dates=H","DateFormat=P","Fill=—","Direction=H","UseDPDF=Y")</f>
        <v>#NAME?</v>
      </c>
      <c r="AI85" s="2" t="e">
        <f ca="1">_xll.BDH($C$78,"TOTAL_EQUITY_1_YEAR_GROWTH","FQ2 2015","FQ2 2015","Currency=INR","Period=FQ","BEST_FPERIOD_OVERRIDE=FQ","FILING_STATUS=OR","EQY_CONSOLIDATED=Y","Sort=A","Dates=H","DateFormat=P","Fill=—","Direction=H","UseDPDF=Y")</f>
        <v>#NAME?</v>
      </c>
      <c r="AJ85" s="2" t="e">
        <f ca="1">_xll.BDH($C$78,"GROWTH_IN_CAP","FQ2 2015","FQ2 2015","Currency=INR","Period=FQ","BEST_FPERIOD_OVERRIDE=FQ","FILING_STATUS=OR","EQY_CONSOLIDATED=Y","Sort=A","Dates=H","DateFormat=P","Fill=—","Direction=H","UseDPDF=Y")</f>
        <v>#NAME?</v>
      </c>
      <c r="AK85" s="2" t="e">
        <f ca="1">_xll.BDH($C$78,"BVPS_GROWTH","FQ2 2015","FQ2 2015","Currency=INR","Period=FQ","BEST_FPERIOD_OVERRIDE=FQ","FILING_STATUS=OR","EQY_CONSOLIDATED=Y","Sort=A","Dates=H","DateFormat=P","Fill=—","Direction=H","UseDPDF=Y")</f>
        <v>#NAME?</v>
      </c>
      <c r="AL85" s="2" t="e">
        <f ca="1">_xll.BDH($C$78,"CASH_FLOW_GROWTH","FQ2 2015","FQ2 2015","Currency=INR","Period=FQ","BEST_FPERIOD_OVERRIDE=FQ","FILING_STATUS=OR","EQY_CONSOLIDATED=Y","Sort=A","Dates=H","DateFormat=P","Fill=—","Direction=H","UseDPDF=Y")</f>
        <v>#NAME?</v>
      </c>
      <c r="AM85" s="2" t="e">
        <f ca="1">_xll.BDH($C$78,"GEO_GROW_NET_SALES","FQ2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85" s="2" t="e">
        <f ca="1">_xll.BDH($C$78,"GEO_GROW_EBITDA","FQ2 2015","FQ2 2015","Currency=INR","Period=FQ","BEST_FPERIOD_OVERRIDE=FQ","FILING_STATUS=OR","EQY_CONSOLIDATED=Y","FA_ADJUSTED=GAAP","Sort=A","Dates=H","DateFormat=P","Fill=—","Direction=H","UseDPDF=Y")</f>
        <v>#NAME?</v>
      </c>
      <c r="AO85" s="2" t="e">
        <f ca="1">_xll.BDH($C$78,"GEO_GROW_OPER_INC","FQ2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85" s="2" t="e">
        <f ca="1">_xll.BDH($C$78,"NET_INCOME_TO_COMMON_5_YR_GROWTH","FQ2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85" s="2" t="e">
        <f ca="1">_xll.BDH($C$78,"5Y_GEO_GROWTH_DILUTED_EPS","FQ2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85" s="2" t="e">
        <f ca="1">_xll.BDH($C$78,"GEO_GROW_DVD_PER_SH","FQ2 2015","FQ2 2015","Currency=INR","Period=FQ","BEST_FPERIOD_OVERRIDE=FQ","FILING_STATUS=OR","EQY_CONSOLIDATED=Y","Sort=A","Dates=H","DateFormat=P","Fill=—","Direction=H","UseDPDF=Y")</f>
        <v>#NAME?</v>
      </c>
      <c r="AS85" s="2" t="e">
        <f ca="1">_xll.BDH($C$78,"ACCOUNTS_RECEIVABLE_5_YR_GROWTH","FQ2 2015","FQ2 2015","Currency=INR","Period=FQ","BEST_FPERIOD_OVERRIDE=FQ","FILING_STATUS=OR","EQY_CONSOLIDATED=Y","Sort=A","Dates=H","DateFormat=P","Fill=—","Direction=H","UseDPDF=Y")</f>
        <v>#NAME?</v>
      </c>
      <c r="AT85" s="2" t="e">
        <f ca="1">_xll.BDH($C$78,"INVENTORY_5_YEAR_GROWTH","FQ2 2015","FQ2 2015","Currency=INR","Period=FQ","BEST_FPERIOD_OVERRIDE=FQ","FILING_STATUS=OR","EQY_CONSOLIDATED=Y","Sort=A","Dates=H","DateFormat=P","Fill=—","Direction=H","UseDPDF=Y")</f>
        <v>#NAME?</v>
      </c>
      <c r="AU85" s="2" t="e">
        <f ca="1">_xll.BDH($C$78,"NET_FIXED_ASSETS_5_YEAR_GROWTH","FQ2 2015","FQ2 2015","Currency=INR","Period=FQ","BEST_FPERIOD_OVERRIDE=FQ","FILING_STATUS=OR","EQY_CONSOLIDATED=Y","Sort=A","Dates=H","DateFormat=P","Fill=—","Direction=H","UseDPDF=Y")</f>
        <v>#NAME?</v>
      </c>
      <c r="AV85" s="2" t="e">
        <f ca="1">_xll.BDH($C$78,"GEO_GROW_TOT_ASSET","FQ2 2015","FQ2 2015","Currency=INR","Period=FQ","BEST_FPERIOD_OVERRIDE=FQ","FILING_STATUS=OR","EQY_CONSOLIDATED=Y","Sort=A","Dates=H","DateFormat=P","Fill=—","Direction=H","UseDPDF=Y")</f>
        <v>#NAME?</v>
      </c>
      <c r="AW85" s="2" t="e">
        <f ca="1">_xll.BDH($C$78,"MODIFIED_WORKING_CPTL_5YR_GRWTH","FQ2 2015","FQ2 2015","Currency=INR","Period=FQ","BEST_FPERIOD_OVERRIDE=FQ","FILING_STATUS=OR","EQY_CONSOLIDATED=Y","Sort=A","Dates=H","DateFormat=P","Fill=—","Direction=H","UseDPDF=Y")</f>
        <v>#NAME?</v>
      </c>
      <c r="AX85" s="2" t="e">
        <f ca="1">_xll.BDH($C$78,"WORKING_CAPITAL_5_YEAR_GROWTH","FQ2 2015","FQ2 2015","Currency=INR","Period=FQ","BEST_FPERIOD_OVERRIDE=FQ","FILING_STATUS=OR","EQY_CONSOLIDATED=Y","Sort=A","Dates=H","DateFormat=P","Fill=—","Direction=H","UseDPDF=Y")</f>
        <v>#NAME?</v>
      </c>
      <c r="AY85" s="2" t="e">
        <f ca="1">_xll.BDH($C$78,"ACCOUNTS_PAYABLE_5_YEAR_GROWTH","FQ2 2015","FQ2 2015","Currency=INR","Period=FQ","BEST_FPERIOD_OVERRIDE=FQ","FILING_STATUS=OR","EQY_CONSOLIDATED=Y","Sort=A","Dates=H","DateFormat=P","Fill=—","Direction=H","UseDPDF=Y")</f>
        <v>#NAME?</v>
      </c>
      <c r="AZ85" s="2" t="e">
        <f ca="1">_xll.BDH($C$78,"SHORT_TERM_DEBT_5_YEAR_GROWTH","FQ2 2015","FQ2 2015","Currency=INR","Period=FQ","BEST_FPERIOD_OVERRIDE=FQ","FILING_STATUS=OR","EQY_CONSOLIDATED=Y","Sort=A","Dates=H","DateFormat=P","Fill=—","Direction=H","UseDPDF=Y")</f>
        <v>#NAME?</v>
      </c>
      <c r="BA85" s="2" t="e">
        <f ca="1">_xll.BDH($C$78,"TOTAL_DEBT_5_YEAR_GROWTH","FQ2 2015","FQ2 2015","Currency=INR","Period=FQ","BEST_FPERIOD_OVERRIDE=FQ","FILING_STATUS=OR","EQY_CONSOLIDATED=Y","Sort=A","Dates=H","DateFormat=P","Fill=—","Direction=H","UseDPDF=Y")</f>
        <v>#NAME?</v>
      </c>
      <c r="BB85" s="2" t="e">
        <f ca="1">_xll.BDH($C$78,"GEO_GROW_TOT_SHRHLDR_EQY","FQ2 2015","FQ2 2015","Currency=INR","Period=FQ","BEST_FPERIOD_OVERRIDE=FQ","FILING_STATUS=OR","EQY_CONSOLIDATED=Y","Sort=A","Dates=H","DateFormat=P","Fill=—","Direction=H","UseDPDF=Y")</f>
        <v>#NAME?</v>
      </c>
      <c r="BC85" s="2" t="e">
        <f ca="1">_xll.BDH($C$78,"TOTAL_CAPITAL_5_YEAR_GROWTH","FQ2 2015","FQ2 2015","Currency=INR","Period=FQ","BEST_FPERIOD_OVERRIDE=FQ","FILING_STATUS=OR","EQY_CONSOLIDATED=Y","Sort=A","Dates=H","DateFormat=P","Fill=—","Direction=H","UseDPDF=Y")</f>
        <v>#NAME?</v>
      </c>
      <c r="BD85" s="2" t="e">
        <f ca="1">_xll.BDH($C$78,"GEO_GROW_BOOK_VAL","FQ2 2015","FQ2 2015","Currency=INR","Period=FQ","BEST_FPERIOD_OVERRIDE=FQ","FILING_STATUS=OR","EQY_CONSOLIDATED=Y","Sort=A","Dates=H","DateFormat=P","Fill=—","Direction=H","UseDPDF=Y")</f>
        <v>#NAME?</v>
      </c>
      <c r="BE85" s="2" t="e">
        <f ca="1">_xll.BDH($C$78,"GEO_GROW_CASH_OPER_ACT","FQ2 2015","FQ2 2015","Currency=INR","Period=FQ","BEST_FPERIOD_OVERRIDE=FQ","FILING_STATUS=OR","EQY_CONSOLIDATED=Y","Sort=A","Dates=H","DateFormat=P","Fill=—","Direction=H","UseDPDF=Y")</f>
        <v>#NAME?</v>
      </c>
      <c r="BF85" s="2" t="e">
        <f ca="1">_xll.BDH($C$78,"REVENUE_SEQUENTIAL_GROWTH","FQ2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85" s="2" t="e">
        <f ca="1">_xll.BDH($C$78,"EBITDA_SEQUENTIAL_GROWTH","FQ2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85" s="2" t="e">
        <f ca="1">_xll.BDH($C$78,"OPERATING_INCOME_SEQ_GROWTH","FQ2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85" s="2" t="e">
        <f ca="1">_xll.BDH($C$78,"NET_INCOME_TO_COMMON_SEQ_GROWTH","FQ2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85" s="2" t="e">
        <f ca="1">_xll.BDH($C$78,"EPS_DILUTED_SEQUENTIAL_GROWTH","FQ2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85" s="2" t="e">
        <f ca="1">_xll.BDH($C$78,"DPS_SEQUENTIAL_GROWTH","FQ2 2015","FQ2 2015","Currency=INR","Period=FQ","BEST_FPERIOD_OVERRIDE=FQ","FILING_STATUS=OR","EQY_CONSOLIDATED=Y","Sort=A","Dates=H","DateFormat=P","Fill=—","Direction=H","UseDPDF=Y")</f>
        <v>#NAME?</v>
      </c>
      <c r="BL85" s="2" t="e">
        <f ca="1">_xll.BDH($C$78,"ACCOUNTS_RECEIVABLE_SEQ_GROWTH","FQ2 2015","FQ2 2015","Currency=INR","Period=FQ","BEST_FPERIOD_OVERRIDE=FQ","FILING_STATUS=OR","EQY_CONSOLIDATED=Y","Sort=A","Dates=H","DateFormat=P","Fill=—","Direction=H","UseDPDF=Y")</f>
        <v>#NAME?</v>
      </c>
      <c r="BM85" s="2" t="e">
        <f ca="1">_xll.BDH($C$78,"INVENTORY_SEQUENTIAL_GROWTH","FQ2 2015","FQ2 2015","Currency=INR","Period=FQ","BEST_FPERIOD_OVERRIDE=FQ","FILING_STATUS=OR","EQY_CONSOLIDATED=Y","Sort=A","Dates=H","DateFormat=P","Fill=—","Direction=H","UseDPDF=Y")</f>
        <v>#NAME?</v>
      </c>
      <c r="BN85" s="2" t="e">
        <f ca="1">_xll.BDH($C$78,"FIXED_ASSETS_SEQUENTIAL_GROWTH","FQ2 2015","FQ2 2015","Currency=INR","Period=FQ","BEST_FPERIOD_OVERRIDE=FQ","FILING_STATUS=OR","EQY_CONSOLIDATED=Y","Sort=A","Dates=H","DateFormat=P","Fill=—","Direction=H","UseDPDF=Y")</f>
        <v>#NAME?</v>
      </c>
      <c r="BO85" s="2" t="e">
        <f ca="1">_xll.BDH($C$78,"TOTAL_ASSETS_SEQUENTIAL_GROWTH","FQ2 2015","FQ2 2015","Currency=INR","Period=FQ","BEST_FPERIOD_OVERRIDE=FQ","FILING_STATUS=OR","EQY_CONSOLIDATED=Y","Sort=A","Dates=H","DateFormat=P","Fill=—","Direction=H","UseDPDF=Y")</f>
        <v>#NAME?</v>
      </c>
      <c r="BP85" s="2" t="e">
        <f ca="1">_xll.BDH($C$78,"MODIFIED_WORKING_CPTL_SEQ_GRWTH","FQ2 2015","FQ2 2015","Currency=INR","Period=FQ","BEST_FPERIOD_OVERRIDE=FQ","FILING_STATUS=OR","EQY_CONSOLIDATED=Y","Sort=A","Dates=H","DateFormat=P","Fill=—","Direction=H","UseDPDF=Y")</f>
        <v>#NAME?</v>
      </c>
      <c r="BQ85" s="2" t="e">
        <f ca="1">_xll.BDH($C$78,"WORKING_CAPITAL_SEQ_GROWTH","FQ2 2015","FQ2 2015","Currency=INR","Period=FQ","BEST_FPERIOD_OVERRIDE=FQ","FILING_STATUS=OR","EQY_CONSOLIDATED=Y","Sort=A","Dates=H","DateFormat=P","Fill=—","Direction=H","UseDPDF=Y")</f>
        <v>#NAME?</v>
      </c>
      <c r="BR85" s="2" t="e">
        <f ca="1">_xll.BDH($C$78,"ACCOUNTS_PAYABLE_SEQ_GROWTH","FQ2 2015","FQ2 2015","Currency=INR","Period=FQ","BEST_FPERIOD_OVERRIDE=FQ","FILING_STATUS=OR","EQY_CONSOLIDATED=Y","Sort=A","Dates=H","DateFormat=P","Fill=—","Direction=H","UseDPDF=Y")</f>
        <v>#NAME?</v>
      </c>
      <c r="BS85" s="2" t="e">
        <f ca="1">_xll.BDH($C$78,"ST_DEBT_SEQUENTIAL_GROWTH","FQ2 2015","FQ2 2015","Currency=INR","Period=FQ","BEST_FPERIOD_OVERRIDE=FQ","FILING_STATUS=OR","EQY_CONSOLIDATED=Y","Sort=A","Dates=H","DateFormat=P","Fill=—","Direction=H","UseDPDF=Y")</f>
        <v>#NAME?</v>
      </c>
      <c r="BT85" s="2" t="e">
        <f ca="1">_xll.BDH($C$78,"TOTAL_DEBT_SEQUENTIAL_GROWTH","FQ2 2015","FQ2 2015","Currency=INR","Period=FQ","BEST_FPERIOD_OVERRIDE=FQ","FILING_STATUS=OR","EQY_CONSOLIDATED=Y","Sort=A","Dates=H","DateFormat=P","Fill=—","Direction=H","UseDPDF=Y")</f>
        <v>#NAME?</v>
      </c>
      <c r="BU85" s="2" t="e">
        <f ca="1">_xll.BDH($C$78,"TOTAL_EQUITY_SEQUENTIAL_GROWTH","FQ2 2015","FQ2 2015","Currency=INR","Period=FQ","BEST_FPERIOD_OVERRIDE=FQ","FILING_STATUS=OR","EQY_CONSOLIDATED=Y","Sort=A","Dates=H","DateFormat=P","Fill=—","Direction=H","UseDPDF=Y")</f>
        <v>#NAME?</v>
      </c>
      <c r="BV85" s="2" t="e">
        <f ca="1">_xll.BDH($C$78,"TOTAL_CAPITAL_SEQUENTIAL_GROWTH","FQ2 2015","FQ2 2015","Currency=INR","Period=FQ","BEST_FPERIOD_OVERRIDE=FQ","FILING_STATUS=OR","EQY_CONSOLIDATED=Y","Sort=A","Dates=H","DateFormat=P","Fill=—","Direction=H","UseDPDF=Y")</f>
        <v>#NAME?</v>
      </c>
      <c r="BW85" s="2" t="e">
        <f ca="1">_xll.BDH($C$78,"BPS_SEQUENTIAL_GROWTH","FQ2 2015","FQ2 2015","Currency=INR","Period=FQ","BEST_FPERIOD_OVERRIDE=FQ","FILING_STATUS=OR","EQY_CONSOLIDATED=Y","Sort=A","Dates=H","DateFormat=P","Fill=—","Direction=H","UseDPDF=Y")</f>
        <v>#NAME?</v>
      </c>
      <c r="BX85" s="2" t="e">
        <f ca="1">_xll.BDH($C$78,"CFO_SEQUENTIAL_GROWTH","FQ2 2015","FQ2 2015","Currency=INR","Period=FQ","BEST_FPERIOD_OVERRIDE=FQ","FILING_STATUS=OR","EQY_CONSOLIDATED=Y","Sort=A","Dates=H","DateFormat=P","Fill=—","Direction=H","UseDPDF=Y")</f>
        <v>#NAME?</v>
      </c>
      <c r="BY85" s="3" t="e">
        <f ca="1">_xll.BDH($C$78,"SHORT_AND_LONG_TERM_DEBT","FQ2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85" s="3" t="e">
        <f ca="1">_xll.BDH($C$78,"BS_ST_BORROW","FQ2 2015","FQ2 2015","Currency=INR","Period=FQ","BEST_FPERIOD_OVERRIDE=FQ","FILING_STATUS=OR","EQY_CONSOLIDATED=Y","SCALING_FORMAT=MLN","Sort=A","Dates=H","DateFormat=P","Fill=—","Direction=H","UseDPDF=Y")</f>
        <v>#NAME?</v>
      </c>
      <c r="CA85" s="3" t="e">
        <f ca="1">_xll.BDH($C$78,"BS_LT_BORROW","FQ2 2015","FQ2 2015","Currency=INR","Period=FQ","BEST_FPERIOD_OVERRIDE=FQ","FILING_STATUS=OR","EQY_CONSOLIDATED=Y","SCALING_FORMAT=MLN","Sort=A","Dates=H","DateFormat=P","Fill=—","Direction=H","UseDPDF=Y")</f>
        <v>#NAME?</v>
      </c>
      <c r="CB85" s="2" t="e">
        <f ca="1">_xll.BDH($C$78,"TOT_DEBT_TO_EBITDA","FQ2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85" s="2" t="e">
        <f ca="1">_xll.BDH($C$78,"NET_DEBT_TO_EBITDA","FQ2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85" s="2" t="e">
        <f ca="1">_xll.BDH($C$78,"TOTAL_DEBT_TO_EBIT","FQ2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85" s="2" t="e">
        <f ca="1">_xll.BDH($C$78,"NET_DEBT_TO_EBIT","FQ2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85" s="2" t="e">
        <f ca="1">_xll.BDH($C$78,"EBITDA_TO_INTEREST_EXPN","FQ2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85" s="2" t="e">
        <f ca="1">_xll.BDH($C$78,"COM_EQY_TO_TOT_ASSET","FQ2 2015","FQ2 2015","Currency=INR","Period=FQ","BEST_FPERIOD_OVERRIDE=FQ","FILING_STATUS=OR","EQY_CONSOLIDATED=Y","Sort=A","Dates=H","DateFormat=P","Fill=—","Direction=H","UseDPDF=Y")</f>
        <v>#NAME?</v>
      </c>
      <c r="CH85" s="2" t="e">
        <f ca="1">_xll.BDH($C$78,"LT_DEBT_TO_TOT_EQY","FQ2 2015","FQ2 2015","Currency=INR","Period=FQ","BEST_FPERIOD_OVERRIDE=FQ","FILING_STATUS=OR","EQY_CONSOLIDATED=Y","Sort=A","Dates=H","DateFormat=P","Fill=—","Direction=H","UseDPDF=Y")</f>
        <v>#NAME?</v>
      </c>
      <c r="CI85" s="2" t="e">
        <f ca="1">_xll.BDH($C$78,"LT_DEBT_TO_TOT_CAP","FQ2 2015","FQ2 2015","Currency=INR","Period=FQ","BEST_FPERIOD_OVERRIDE=FQ","FILING_STATUS=OR","EQY_CONSOLIDATED=Y","Sort=A","Dates=H","DateFormat=P","Fill=—","Direction=H","UseDPDF=Y")</f>
        <v>#NAME?</v>
      </c>
      <c r="CJ85" s="2" t="e">
        <f ca="1">_xll.BDH($C$78,"LT_DEBT_TO_TOT_ASSET","FQ2 2015","FQ2 2015","Currency=INR","Period=FQ","BEST_FPERIOD_OVERRIDE=FQ","FILING_STATUS=OR","EQY_CONSOLIDATED=Y","Sort=A","Dates=H","DateFormat=P","Fill=—","Direction=H","UseDPDF=Y")</f>
        <v>#NAME?</v>
      </c>
      <c r="CK85" s="2" t="e">
        <f ca="1">_xll.BDH($C$78,"TOT_DEBT_TO_TOT_EQY","FQ2 2015","FQ2 2015","Currency=INR","Period=FQ","BEST_FPERIOD_OVERRIDE=FQ","FILING_STATUS=OR","EQY_CONSOLIDATED=Y","Sort=A","Dates=H","DateFormat=P","Fill=—","Direction=H","UseDPDF=Y")</f>
        <v>#NAME?</v>
      </c>
      <c r="CL85" s="2" t="e">
        <f ca="1">_xll.BDH($C$78,"TOT_DEBT_TO_TOT_CAP","FQ2 2015","FQ2 2015","Currency=INR","Period=FQ","BEST_FPERIOD_OVERRIDE=FQ","FILING_STATUS=OR","EQY_CONSOLIDATED=Y","Sort=A","Dates=H","DateFormat=P","Fill=—","Direction=H","UseDPDF=Y")</f>
        <v>#NAME?</v>
      </c>
      <c r="CM85" s="2" t="e">
        <f ca="1">_xll.BDH($C$78,"TOT_DEBT_TO_TOT_ASSET","FQ2 2015","FQ2 2015","Currency=INR","Period=FQ","BEST_FPERIOD_OVERRIDE=FQ","FILING_STATUS=OR","EQY_CONSOLIDATED=Y","Sort=A","Dates=H","DateFormat=P","Fill=—","Direction=H","UseDPDF=Y")</f>
        <v>#NAME?</v>
      </c>
      <c r="CN85" s="2" t="e">
        <f ca="1">_xll.BDH($C$78,"NET_DEBT_TO_SHRHLDR_EQTY","FQ2 2015","FQ2 2015","Currency=INR","Period=FQ","BEST_FPERIOD_OVERRIDE=FQ","FILING_STATUS=OR","EQY_CONSOLIDATED=Y","Sort=A","Dates=H","DateFormat=P","Fill=—","Direction=H","UseDPDF=Y")</f>
        <v>#NAME?</v>
      </c>
      <c r="CO85" s="2" t="e">
        <f ca="1">_xll.BDH($C$78,"NET_DEBT_%_CAPITAL","FQ2 2015","FQ2 2015","Currency=INR","Period=FQ","BEST_FPERIOD_OVERRIDE=FQ","FILING_STATUS=OR","EQY_CONSOLIDATED=Y","Sort=A","Dates=H","DateFormat=P","Fill=—","Direction=H","UseDPDF=Y")</f>
        <v>#NAME?</v>
      </c>
      <c r="CP85" s="3" t="e">
        <f ca="1">_xll.BDH($C$78,"EBITDA","FQ2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85" s="3" t="e">
        <f ca="1">_xll.BDH($C$78,"EBITDA_AFTER_CAPEX","FQ2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85" s="3" t="e">
        <f ca="1">_xll.BDH($C$78,"IS_OPER_INC","FQ2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85" s="2" t="e">
        <f ca="1">_xll.BDH($C$78,"CASH_RATIO","FQ2 2015","FQ2 2015","Currency=INR","Period=FQ","BEST_FPERIOD_OVERRIDE=FQ","FILING_STATUS=OR","EQY_CONSOLIDATED=Y","Sort=A","Dates=H","DateFormat=P","Fill=—","Direction=H","UseDPDF=Y")</f>
        <v>#NAME?</v>
      </c>
      <c r="CT85" s="2" t="e">
        <f ca="1">_xll.BDH($C$78,"CUR_RATIO","FQ2 2015","FQ2 2015","Currency=INR","Period=FQ","BEST_FPERIOD_OVERRIDE=FQ","FILING_STATUS=OR","EQY_CONSOLIDATED=Y","Sort=A","Dates=H","DateFormat=P","Fill=—","Direction=H","UseDPDF=Y")</f>
        <v>#NAME?</v>
      </c>
      <c r="CU85" s="2" t="e">
        <f ca="1">_xll.BDH($C$78,"QUICK_RATIO","FQ2 2015","FQ2 2015","Currency=INR","Period=FQ","BEST_FPERIOD_OVERRIDE=FQ","FILING_STATUS=OR","EQY_CONSOLIDATED=Y","Sort=A","Dates=H","DateFormat=P","Fill=—","Direction=H","UseDPDF=Y")</f>
        <v>#NAME?</v>
      </c>
      <c r="CV85" s="2" t="e">
        <f ca="1">_xll.BDH($C$78,"ALTMAN_Z_SCORE","FQ2 2015","FQ2 2015","Currency=INR","Period=FQ","BEST_FPERIOD_OVERRIDE=FQ","FILING_STATUS=OR","EQY_CONSOLIDATED=Y","Sort=A","Dates=H","DateFormat=P","Fill=—","Direction=H","UseDPDF=Y")</f>
        <v>#NAME?</v>
      </c>
      <c r="CW85" s="4" t="e">
        <f ca="1">_xll.BDH($C$78,"ACCT_RCV_TURN","FQ2 2015","FQ2 2015","Currency=INR","Period=FQ","BEST_FPERIOD_OVERRIDE=FQ","FILING_STATUS=OR","EQY_CONSOLIDATED=Y","FA_ADJUSTED=GAAP","Sort=A","Dates=H","DateFormat=P","Fill=—","Direction=H","UseDPDF=Y")</f>
        <v>#NAME?</v>
      </c>
      <c r="CX85" s="2" t="e">
        <f ca="1">_xll.BDH($C$78,"ACCT_RCV_DAYS","FQ2 2015","FQ2 2015","Currency=INR","Period=FQ","BEST_FPERIOD_OVERRIDE=FQ","FILING_STATUS=OR","EQY_CONSOLIDATED=Y","FA_ADJUSTED=GAAP","Sort=A","Dates=H","DateFormat=P","Fill=—","Direction=H","UseDPDF=Y")</f>
        <v>#NAME?</v>
      </c>
      <c r="CY85" s="4" t="e">
        <f ca="1">_xll.BDH($C$78,"INVENT_TURN","FQ2 2015","FQ2 2015","Currency=INR","Period=FQ","BEST_FPERIOD_OVERRIDE=FQ","FILING_STATUS=OR","EQY_CONSOLIDATED=Y","FA_ADJUSTED=GAAP","Sort=A","Dates=H","DateFormat=P","Fill=—","Direction=H","UseDPDF=Y")</f>
        <v>#NAME?</v>
      </c>
      <c r="CZ85" s="2" t="e">
        <f ca="1">_xll.BDH($C$78,"INVENT_DAYS","FQ2 2015","FQ2 2015","Currency=INR","Period=FQ","BEST_FPERIOD_OVERRIDE=FQ","FILING_STATUS=OR","EQY_CONSOLIDATED=Y","FA_ADJUSTED=GAAP","Sort=A","Dates=H","DateFormat=P","Fill=—","Direction=H","UseDPDF=Y")</f>
        <v>#NAME?</v>
      </c>
      <c r="DA85" s="4" t="e">
        <f ca="1">_xll.BDH($C$78,"ACCOUNTS_PAYABLE_TURNOVER","FQ2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85" s="2" t="e">
        <f ca="1">_xll.BDH($C$78,"ACCOUNTS_PAYABLE_TURNOVER_DAYS","FQ2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85" s="4" t="e">
        <f ca="1">_xll.BDH($C$78,"CASH_CONVERSION_CYCLE","FQ2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85" s="4" t="e">
        <f ca="1">_xll.BDH($C$78,"INV_TO_CASH_DAYS","FQ2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85" s="5" t="e">
        <f ca="1">_xll.BDH($C$78,"BS_INVENTORIES","FQ2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85" s="3" t="e">
        <f ca="1">_xll.BDH($C$78,"INVTRY_RAW_MATERIALS","FQ2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85" s="3" t="e">
        <f ca="1">_xll.BDH($C$78,"INVTRY_IN_PROGRESS","FQ2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85" s="3" t="e">
        <f ca="1">_xll.BDH($C$78,"INVTRY_FINISHED_GOODS","FQ2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85" s="3" t="e">
        <f ca="1">_xll.BDH($C$78,"BS_OTHER_INV","FQ2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86" spans="1:113" x14ac:dyDescent="0.3">
      <c r="A86" s="6"/>
      <c r="B86" s="6"/>
      <c r="C86" s="6"/>
      <c r="D86" s="6"/>
      <c r="E86" t="s">
        <v>80</v>
      </c>
      <c r="F86" t="e">
        <f ca="1">_xll.BDH($C$78,"RETURN_COM_EQY","FQ3 2015","FQ3 2015","Currency=INR","Period=FQ","BEST_FPERIOD_OVERRIDE=FQ","FILING_STATUS=OR","EQY_CONSOLIDATED=Y","FA_ADJUSTED=GAAP","Sort=A","Dates=H","DateFormat=P","Fill=—","Direction=H","UseDPDF=Y")</f>
        <v>#NAME?</v>
      </c>
      <c r="G86" t="e">
        <f ca="1">_xll.BDH($C$78,"RETURN_ON_ASSET","FQ3 2015","FQ3 2015","Currency=INR","Period=FQ","BEST_FPERIOD_OVERRIDE=FQ","FILING_STATUS=OR","EQY_CONSOLIDATED=Y","FA_ADJUSTED=GAAP","Sort=A","Dates=H","DateFormat=P","Fill=—","Direction=H","UseDPDF=Y")</f>
        <v>#NAME?</v>
      </c>
      <c r="H86" t="e">
        <f ca="1">_xll.BDH($C$78,"RETURN_ON_CAP","FQ3 2015","FQ3 2015","Currency=INR","Period=FQ","BEST_FPERIOD_OVERRIDE=FQ","FILING_STATUS=OR","EQY_CONSOLIDATED=Y","FA_ADJUSTED=GAAP","Sort=A","Dates=H","DateFormat=P","Fill=—","Direction=H","UseDPDF=Y")</f>
        <v>#NAME?</v>
      </c>
      <c r="I86" t="e">
        <f ca="1">_xll.BDH($C$78,"RETURN_ON_INV_CAPITAL","FQ3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86" t="e">
        <f ca="1">_xll.BDH($C$78,"EBITDA_TO_REVENUE","FQ3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86" t="e">
        <f ca="1">_xll.BDH($C$78,"OPER_MARGIN","FQ3 2015","FQ3 2015","Currency=INR","Period=FQ","BEST_FPERIOD_OVERRIDE=FQ","FILING_STATUS=OR","EQY_CONSOLIDATED=Y","FA_ADJUSTED=GAAP","Sort=A","Dates=H","DateFormat=P","Fill=—","Direction=H","UseDPDF=Y")</f>
        <v>#NAME?</v>
      </c>
      <c r="L86" t="e">
        <f ca="1">_xll.BDH($C$78,"INCREMENTAL_OPERATING_MARGIN","FQ3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86" t="e">
        <f ca="1">_xll.BDH($C$78,"PRETAX_INC_TO_NET_SALES","FQ3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86" t="e">
        <f ca="1">_xll.BDH($C$78,"INC_BEF_XO_ITEMS_TO_NET_SALES","FQ3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86" t="e">
        <f ca="1">_xll.BDH($C$78,"PROF_MARGIN","FQ3 2015","FQ3 2015","Currency=INR","Period=FQ","BEST_FPERIOD_OVERRIDE=FQ","FILING_STATUS=OR","EQY_CONSOLIDATED=Y","FA_ADJUSTED=GAAP","Sort=A","Dates=H","DateFormat=P","Fill=—","Direction=H","UseDPDF=Y")</f>
        <v>#NAME?</v>
      </c>
      <c r="P86" t="e">
        <f ca="1">_xll.BDH($C$78,"NET_INCOME_TO_COMMON_MARGIN","FQ3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86" t="e">
        <f ca="1">_xll.BDH($C$78,"EFF_TAX_RATE","FQ3 2015","FQ3 2015","Currency=INR","Period=FQ","BEST_FPERIOD_OVERRIDE=FQ","FILING_STATUS=OR","EQY_CONSOLIDATED=Y","FA_ADJUSTED=GAAP","Sort=A","Dates=H","DateFormat=P","Fill=—","Direction=H","UseDPDF=Y")</f>
        <v>#NAME?</v>
      </c>
      <c r="R86" t="e">
        <f ca="1">_xll.BDH($C$78,"DVD_PAYOUT_RATIO","FQ3 2015","FQ3 2015","Currency=INR","Period=FQ","BEST_FPERIOD_OVERRIDE=FQ","FILING_STATUS=OR","EQY_CONSOLIDATED=Y","FA_ADJUSTED=GAAP","Sort=A","Dates=H","DateFormat=P","Fill=—","Direction=H","UseDPDF=Y")</f>
        <v>#NAME?</v>
      </c>
      <c r="S86" t="e">
        <f ca="1">_xll.BDH($C$78,"SUSTAIN_GROWTH_RT","FQ3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86" s="2" t="e">
        <f ca="1">_xll.BDH($C$78,"SALES_GROWTH","FQ3 2015","FQ3 2015","Currency=INR","Period=FQ","BEST_FPERIOD_OVERRIDE=FQ","FILING_STATUS=OR","EQY_CONSOLIDATED=Y","FA_ADJUSTED=GAAP","Sort=A","Dates=H","DateFormat=P","Fill=—","Direction=H","UseDPDF=Y")</f>
        <v>#NAME?</v>
      </c>
      <c r="U86" s="2" t="e">
        <f ca="1">_xll.BDH($C$78,"EBITDA_GROWTH","FQ3 2015","FQ3 2015","Currency=INR","Period=FQ","BEST_FPERIOD_OVERRIDE=FQ","FILING_STATUS=OR","EQY_CONSOLIDATED=Y","FA_ADJUSTED=GAAP","Sort=A","Dates=H","DateFormat=P","Fill=—","Direction=H","UseDPDF=Y")</f>
        <v>#NAME?</v>
      </c>
      <c r="V86" s="2" t="e">
        <f ca="1">_xll.BDH($C$78,"OPER_INC_GROWTH","FQ3 2015","FQ3 2015","Currency=INR","Period=FQ","BEST_FPERIOD_OVERRIDE=FQ","FILING_STATUS=OR","EQY_CONSOLIDATED=Y","FA_ADJUSTED=GAAP","Sort=A","Dates=H","DateFormat=P","Fill=—","Direction=H","UseDPDF=Y")</f>
        <v>#NAME?</v>
      </c>
      <c r="W86" s="2" t="e">
        <f ca="1">_xll.BDH($C$78,"EARN_FOR_COM_GROWTH","FQ3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86" s="2" t="e">
        <f ca="1">_xll.BDH($C$78,"DILUTED_EPS_AFT_XO_ITEMS_GROWTH","FQ3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86" s="2" t="e">
        <f ca="1">_xll.BDH($C$78,"DIVIDEND_PER_SHARE_1_YEAR_GROWTH","FQ3 2015","FQ3 2015","Currency=INR","Period=FQ","BEST_FPERIOD_OVERRIDE=FQ","FILING_STATUS=OR","EQY_CONSOLIDATED=Y","Sort=A","Dates=H","DateFormat=P","Fill=—","Direction=H","UseDPDF=Y")</f>
        <v>#NAME?</v>
      </c>
      <c r="Z86" s="2" t="e">
        <f ca="1">_xll.BDH($C$78,"ACCOUNTS_RECEIVABLE_GROWTH","FQ3 2015","FQ3 2015","Currency=INR","Period=FQ","BEST_FPERIOD_OVERRIDE=FQ","FILING_STATUS=OR","EQY_CONSOLIDATED=Y","Sort=A","Dates=H","DateFormat=P","Fill=—","Direction=H","UseDPDF=Y")</f>
        <v>#NAME?</v>
      </c>
      <c r="AA86" s="2" t="e">
        <f ca="1">_xll.BDH($C$78,"INVENTORY_GROWTH","FQ3 2015","FQ3 2015","Currency=INR","Period=FQ","BEST_FPERIOD_OVERRIDE=FQ","FILING_STATUS=OR","EQY_CONSOLIDATED=Y","Sort=A","Dates=H","DateFormat=P","Fill=—","Direction=H","UseDPDF=Y")</f>
        <v>#NAME?</v>
      </c>
      <c r="AB86" s="2" t="e">
        <f ca="1">_xll.BDH($C$78,"NET_FIXED_ASSETS_1_YEAR_GROWTH","FQ3 2015","FQ3 2015","Currency=INR","Period=FQ","BEST_FPERIOD_OVERRIDE=FQ","FILING_STATUS=OR","EQY_CONSOLIDATED=Y","Sort=A","Dates=H","DateFormat=P","Fill=—","Direction=H","UseDPDF=Y")</f>
        <v>#NAME?</v>
      </c>
      <c r="AC86" s="2" t="e">
        <f ca="1">_xll.BDH($C$78,"ASSET_GROWTH","FQ3 2015","FQ3 2015","Currency=INR","Period=FQ","BEST_FPERIOD_OVERRIDE=FQ","FILING_STATUS=OR","EQY_CONSOLIDATED=Y","Sort=A","Dates=H","DateFormat=P","Fill=—","Direction=H","UseDPDF=Y")</f>
        <v>#NAME?</v>
      </c>
      <c r="AD86" s="2" t="e">
        <f ca="1">_xll.BDH($C$78,"MODIFIED_WORK_CAP_GROWTH","FQ3 2015","FQ3 2015","Currency=INR","Period=FQ","BEST_FPERIOD_OVERRIDE=FQ","FILING_STATUS=OR","EQY_CONSOLIDATED=Y","Sort=A","Dates=H","DateFormat=P","Fill=—","Direction=H","UseDPDF=Y")</f>
        <v>#NAME?</v>
      </c>
      <c r="AE86" s="2" t="e">
        <f ca="1">_xll.BDH($C$78,"WORK_CAP_GROWTH","FQ3 2015","FQ3 2015","Currency=INR","Period=FQ","BEST_FPERIOD_OVERRIDE=FQ","FILING_STATUS=OR","EQY_CONSOLIDATED=Y","Sort=A","Dates=H","DateFormat=P","Fill=—","Direction=H","UseDPDF=Y")</f>
        <v>#NAME?</v>
      </c>
      <c r="AF86" s="2" t="e">
        <f ca="1">_xll.BDH($C$78,"ACCOUNTS_PAYABLE_GROWTH_1YR","FQ3 2015","FQ3 2015","Currency=INR","Period=FQ","BEST_FPERIOD_OVERRIDE=FQ","FILING_STATUS=OR","EQY_CONSOLIDATED=Y","Sort=A","Dates=H","DateFormat=P","Fill=—","Direction=H","UseDPDF=Y")</f>
        <v>#NAME?</v>
      </c>
      <c r="AG86" s="2" t="e">
        <f ca="1">_xll.BDH($C$78,"SHORT_TERM_DEBT_1_YEAR_GROWTH","FQ3 2015","FQ3 2015","Currency=INR","Period=FQ","BEST_FPERIOD_OVERRIDE=FQ","FILING_STATUS=OR","EQY_CONSOLIDATED=Y","Sort=A","Dates=H","DateFormat=P","Fill=—","Direction=H","UseDPDF=Y")</f>
        <v>#NAME?</v>
      </c>
      <c r="AH86" s="2" t="e">
        <f ca="1">_xll.BDH($C$78,"TOTAL_DEBT_1_YEAR_GROWTH","FQ3 2015","FQ3 2015","Currency=INR","Period=FQ","BEST_FPERIOD_OVERRIDE=FQ","FILING_STATUS=OR","EQY_CONSOLIDATED=Y","Sort=A","Dates=H","DateFormat=P","Fill=—","Direction=H","UseDPDF=Y")</f>
        <v>#NAME?</v>
      </c>
      <c r="AI86" s="2" t="e">
        <f ca="1">_xll.BDH($C$78,"TOTAL_EQUITY_1_YEAR_GROWTH","FQ3 2015","FQ3 2015","Currency=INR","Period=FQ","BEST_FPERIOD_OVERRIDE=FQ","FILING_STATUS=OR","EQY_CONSOLIDATED=Y","Sort=A","Dates=H","DateFormat=P","Fill=—","Direction=H","UseDPDF=Y")</f>
        <v>#NAME?</v>
      </c>
      <c r="AJ86" s="2" t="e">
        <f ca="1">_xll.BDH($C$78,"GROWTH_IN_CAP","FQ3 2015","FQ3 2015","Currency=INR","Period=FQ","BEST_FPERIOD_OVERRIDE=FQ","FILING_STATUS=OR","EQY_CONSOLIDATED=Y","Sort=A","Dates=H","DateFormat=P","Fill=—","Direction=H","UseDPDF=Y")</f>
        <v>#NAME?</v>
      </c>
      <c r="AK86" s="2" t="e">
        <f ca="1">_xll.BDH($C$78,"BVPS_GROWTH","FQ3 2015","FQ3 2015","Currency=INR","Period=FQ","BEST_FPERIOD_OVERRIDE=FQ","FILING_STATUS=OR","EQY_CONSOLIDATED=Y","Sort=A","Dates=H","DateFormat=P","Fill=—","Direction=H","UseDPDF=Y")</f>
        <v>#NAME?</v>
      </c>
      <c r="AL86" s="2" t="e">
        <f ca="1">_xll.BDH($C$78,"CASH_FLOW_GROWTH","FQ3 2015","FQ3 2015","Currency=INR","Period=FQ","BEST_FPERIOD_OVERRIDE=FQ","FILING_STATUS=OR","EQY_CONSOLIDATED=Y","Sort=A","Dates=H","DateFormat=P","Fill=—","Direction=H","UseDPDF=Y")</f>
        <v>#NAME?</v>
      </c>
      <c r="AM86" s="2" t="e">
        <f ca="1">_xll.BDH($C$78,"GEO_GROW_NET_SALES","FQ3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86" s="2" t="e">
        <f ca="1">_xll.BDH($C$78,"GEO_GROW_EBITDA","FQ3 2015","FQ3 2015","Currency=INR","Period=FQ","BEST_FPERIOD_OVERRIDE=FQ","FILING_STATUS=OR","EQY_CONSOLIDATED=Y","FA_ADJUSTED=GAAP","Sort=A","Dates=H","DateFormat=P","Fill=—","Direction=H","UseDPDF=Y")</f>
        <v>#NAME?</v>
      </c>
      <c r="AO86" s="2" t="e">
        <f ca="1">_xll.BDH($C$78,"GEO_GROW_OPER_INC","FQ3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86" s="2" t="e">
        <f ca="1">_xll.BDH($C$78,"NET_INCOME_TO_COMMON_5_YR_GROWTH","FQ3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86" s="2" t="e">
        <f ca="1">_xll.BDH($C$78,"5Y_GEO_GROWTH_DILUTED_EPS","FQ3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86" s="2" t="e">
        <f ca="1">_xll.BDH($C$78,"GEO_GROW_DVD_PER_SH","FQ3 2015","FQ3 2015","Currency=INR","Period=FQ","BEST_FPERIOD_OVERRIDE=FQ","FILING_STATUS=OR","EQY_CONSOLIDATED=Y","Sort=A","Dates=H","DateFormat=P","Fill=—","Direction=H","UseDPDF=Y")</f>
        <v>#NAME?</v>
      </c>
      <c r="AS86" s="2" t="e">
        <f ca="1">_xll.BDH($C$78,"ACCOUNTS_RECEIVABLE_5_YR_GROWTH","FQ3 2015","FQ3 2015","Currency=INR","Period=FQ","BEST_FPERIOD_OVERRIDE=FQ","FILING_STATUS=OR","EQY_CONSOLIDATED=Y","Sort=A","Dates=H","DateFormat=P","Fill=—","Direction=H","UseDPDF=Y")</f>
        <v>#NAME?</v>
      </c>
      <c r="AT86" s="2" t="e">
        <f ca="1">_xll.BDH($C$78,"INVENTORY_5_YEAR_GROWTH","FQ3 2015","FQ3 2015","Currency=INR","Period=FQ","BEST_FPERIOD_OVERRIDE=FQ","FILING_STATUS=OR","EQY_CONSOLIDATED=Y","Sort=A","Dates=H","DateFormat=P","Fill=—","Direction=H","UseDPDF=Y")</f>
        <v>#NAME?</v>
      </c>
      <c r="AU86" s="2" t="e">
        <f ca="1">_xll.BDH($C$78,"NET_FIXED_ASSETS_5_YEAR_GROWTH","FQ3 2015","FQ3 2015","Currency=INR","Period=FQ","BEST_FPERIOD_OVERRIDE=FQ","FILING_STATUS=OR","EQY_CONSOLIDATED=Y","Sort=A","Dates=H","DateFormat=P","Fill=—","Direction=H","UseDPDF=Y")</f>
        <v>#NAME?</v>
      </c>
      <c r="AV86" s="2" t="e">
        <f ca="1">_xll.BDH($C$78,"GEO_GROW_TOT_ASSET","FQ3 2015","FQ3 2015","Currency=INR","Period=FQ","BEST_FPERIOD_OVERRIDE=FQ","FILING_STATUS=OR","EQY_CONSOLIDATED=Y","Sort=A","Dates=H","DateFormat=P","Fill=—","Direction=H","UseDPDF=Y")</f>
        <v>#NAME?</v>
      </c>
      <c r="AW86" s="2" t="e">
        <f ca="1">_xll.BDH($C$78,"MODIFIED_WORKING_CPTL_5YR_GRWTH","FQ3 2015","FQ3 2015","Currency=INR","Period=FQ","BEST_FPERIOD_OVERRIDE=FQ","FILING_STATUS=OR","EQY_CONSOLIDATED=Y","Sort=A","Dates=H","DateFormat=P","Fill=—","Direction=H","UseDPDF=Y")</f>
        <v>#NAME?</v>
      </c>
      <c r="AX86" s="2" t="e">
        <f ca="1">_xll.BDH($C$78,"WORKING_CAPITAL_5_YEAR_GROWTH","FQ3 2015","FQ3 2015","Currency=INR","Period=FQ","BEST_FPERIOD_OVERRIDE=FQ","FILING_STATUS=OR","EQY_CONSOLIDATED=Y","Sort=A","Dates=H","DateFormat=P","Fill=—","Direction=H","UseDPDF=Y")</f>
        <v>#NAME?</v>
      </c>
      <c r="AY86" s="2" t="e">
        <f ca="1">_xll.BDH($C$78,"ACCOUNTS_PAYABLE_5_YEAR_GROWTH","FQ3 2015","FQ3 2015","Currency=INR","Period=FQ","BEST_FPERIOD_OVERRIDE=FQ","FILING_STATUS=OR","EQY_CONSOLIDATED=Y","Sort=A","Dates=H","DateFormat=P","Fill=—","Direction=H","UseDPDF=Y")</f>
        <v>#NAME?</v>
      </c>
      <c r="AZ86" s="2" t="e">
        <f ca="1">_xll.BDH($C$78,"SHORT_TERM_DEBT_5_YEAR_GROWTH","FQ3 2015","FQ3 2015","Currency=INR","Period=FQ","BEST_FPERIOD_OVERRIDE=FQ","FILING_STATUS=OR","EQY_CONSOLIDATED=Y","Sort=A","Dates=H","DateFormat=P","Fill=—","Direction=H","UseDPDF=Y")</f>
        <v>#NAME?</v>
      </c>
      <c r="BA86" s="2" t="e">
        <f ca="1">_xll.BDH($C$78,"TOTAL_DEBT_5_YEAR_GROWTH","FQ3 2015","FQ3 2015","Currency=INR","Period=FQ","BEST_FPERIOD_OVERRIDE=FQ","FILING_STATUS=OR","EQY_CONSOLIDATED=Y","Sort=A","Dates=H","DateFormat=P","Fill=—","Direction=H","UseDPDF=Y")</f>
        <v>#NAME?</v>
      </c>
      <c r="BB86" s="2" t="e">
        <f ca="1">_xll.BDH($C$78,"GEO_GROW_TOT_SHRHLDR_EQY","FQ3 2015","FQ3 2015","Currency=INR","Period=FQ","BEST_FPERIOD_OVERRIDE=FQ","FILING_STATUS=OR","EQY_CONSOLIDATED=Y","Sort=A","Dates=H","DateFormat=P","Fill=—","Direction=H","UseDPDF=Y")</f>
        <v>#NAME?</v>
      </c>
      <c r="BC86" s="2" t="e">
        <f ca="1">_xll.BDH($C$78,"TOTAL_CAPITAL_5_YEAR_GROWTH","FQ3 2015","FQ3 2015","Currency=INR","Period=FQ","BEST_FPERIOD_OVERRIDE=FQ","FILING_STATUS=OR","EQY_CONSOLIDATED=Y","Sort=A","Dates=H","DateFormat=P","Fill=—","Direction=H","UseDPDF=Y")</f>
        <v>#NAME?</v>
      </c>
      <c r="BD86" s="2" t="e">
        <f ca="1">_xll.BDH($C$78,"GEO_GROW_BOOK_VAL","FQ3 2015","FQ3 2015","Currency=INR","Period=FQ","BEST_FPERIOD_OVERRIDE=FQ","FILING_STATUS=OR","EQY_CONSOLIDATED=Y","Sort=A","Dates=H","DateFormat=P","Fill=—","Direction=H","UseDPDF=Y")</f>
        <v>#NAME?</v>
      </c>
      <c r="BE86" s="2" t="e">
        <f ca="1">_xll.BDH($C$78,"GEO_GROW_CASH_OPER_ACT","FQ3 2015","FQ3 2015","Currency=INR","Period=FQ","BEST_FPERIOD_OVERRIDE=FQ","FILING_STATUS=OR","EQY_CONSOLIDATED=Y","Sort=A","Dates=H","DateFormat=P","Fill=—","Direction=H","UseDPDF=Y")</f>
        <v>#NAME?</v>
      </c>
      <c r="BF86" s="2" t="e">
        <f ca="1">_xll.BDH($C$78,"REVENUE_SEQUENTIAL_GROWTH","FQ3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86" s="2" t="e">
        <f ca="1">_xll.BDH($C$78,"EBITDA_SEQUENTIAL_GROWTH","FQ3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86" s="2" t="e">
        <f ca="1">_xll.BDH($C$78,"OPERATING_INCOME_SEQ_GROWTH","FQ3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86" s="2" t="e">
        <f ca="1">_xll.BDH($C$78,"NET_INCOME_TO_COMMON_SEQ_GROWTH","FQ3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86" s="2" t="e">
        <f ca="1">_xll.BDH($C$78,"EPS_DILUTED_SEQUENTIAL_GROWTH","FQ3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86" s="2" t="e">
        <f ca="1">_xll.BDH($C$78,"DPS_SEQUENTIAL_GROWTH","FQ3 2015","FQ3 2015","Currency=INR","Period=FQ","BEST_FPERIOD_OVERRIDE=FQ","FILING_STATUS=OR","EQY_CONSOLIDATED=Y","Sort=A","Dates=H","DateFormat=P","Fill=—","Direction=H","UseDPDF=Y")</f>
        <v>#NAME?</v>
      </c>
      <c r="BL86" s="2" t="e">
        <f ca="1">_xll.BDH($C$78,"ACCOUNTS_RECEIVABLE_SEQ_GROWTH","FQ3 2015","FQ3 2015","Currency=INR","Period=FQ","BEST_FPERIOD_OVERRIDE=FQ","FILING_STATUS=OR","EQY_CONSOLIDATED=Y","Sort=A","Dates=H","DateFormat=P","Fill=—","Direction=H","UseDPDF=Y")</f>
        <v>#NAME?</v>
      </c>
      <c r="BM86" s="2" t="e">
        <f ca="1">_xll.BDH($C$78,"INVENTORY_SEQUENTIAL_GROWTH","FQ3 2015","FQ3 2015","Currency=INR","Period=FQ","BEST_FPERIOD_OVERRIDE=FQ","FILING_STATUS=OR","EQY_CONSOLIDATED=Y","Sort=A","Dates=H","DateFormat=P","Fill=—","Direction=H","UseDPDF=Y")</f>
        <v>#NAME?</v>
      </c>
      <c r="BN86" s="2" t="e">
        <f ca="1">_xll.BDH($C$78,"FIXED_ASSETS_SEQUENTIAL_GROWTH","FQ3 2015","FQ3 2015","Currency=INR","Period=FQ","BEST_FPERIOD_OVERRIDE=FQ","FILING_STATUS=OR","EQY_CONSOLIDATED=Y","Sort=A","Dates=H","DateFormat=P","Fill=—","Direction=H","UseDPDF=Y")</f>
        <v>#NAME?</v>
      </c>
      <c r="BO86" s="2" t="e">
        <f ca="1">_xll.BDH($C$78,"TOTAL_ASSETS_SEQUENTIAL_GROWTH","FQ3 2015","FQ3 2015","Currency=INR","Period=FQ","BEST_FPERIOD_OVERRIDE=FQ","FILING_STATUS=OR","EQY_CONSOLIDATED=Y","Sort=A","Dates=H","DateFormat=P","Fill=—","Direction=H","UseDPDF=Y")</f>
        <v>#NAME?</v>
      </c>
      <c r="BP86" s="2" t="e">
        <f ca="1">_xll.BDH($C$78,"MODIFIED_WORKING_CPTL_SEQ_GRWTH","FQ3 2015","FQ3 2015","Currency=INR","Period=FQ","BEST_FPERIOD_OVERRIDE=FQ","FILING_STATUS=OR","EQY_CONSOLIDATED=Y","Sort=A","Dates=H","DateFormat=P","Fill=—","Direction=H","UseDPDF=Y")</f>
        <v>#NAME?</v>
      </c>
      <c r="BQ86" s="2" t="e">
        <f ca="1">_xll.BDH($C$78,"WORKING_CAPITAL_SEQ_GROWTH","FQ3 2015","FQ3 2015","Currency=INR","Period=FQ","BEST_FPERIOD_OVERRIDE=FQ","FILING_STATUS=OR","EQY_CONSOLIDATED=Y","Sort=A","Dates=H","DateFormat=P","Fill=—","Direction=H","UseDPDF=Y")</f>
        <v>#NAME?</v>
      </c>
      <c r="BR86" s="2" t="e">
        <f ca="1">_xll.BDH($C$78,"ACCOUNTS_PAYABLE_SEQ_GROWTH","FQ3 2015","FQ3 2015","Currency=INR","Period=FQ","BEST_FPERIOD_OVERRIDE=FQ","FILING_STATUS=OR","EQY_CONSOLIDATED=Y","Sort=A","Dates=H","DateFormat=P","Fill=—","Direction=H","UseDPDF=Y")</f>
        <v>#NAME?</v>
      </c>
      <c r="BS86" s="2" t="e">
        <f ca="1">_xll.BDH($C$78,"ST_DEBT_SEQUENTIAL_GROWTH","FQ3 2015","FQ3 2015","Currency=INR","Period=FQ","BEST_FPERIOD_OVERRIDE=FQ","FILING_STATUS=OR","EQY_CONSOLIDATED=Y","Sort=A","Dates=H","DateFormat=P","Fill=—","Direction=H","UseDPDF=Y")</f>
        <v>#NAME?</v>
      </c>
      <c r="BT86" s="2" t="e">
        <f ca="1">_xll.BDH($C$78,"TOTAL_DEBT_SEQUENTIAL_GROWTH","FQ3 2015","FQ3 2015","Currency=INR","Period=FQ","BEST_FPERIOD_OVERRIDE=FQ","FILING_STATUS=OR","EQY_CONSOLIDATED=Y","Sort=A","Dates=H","DateFormat=P","Fill=—","Direction=H","UseDPDF=Y")</f>
        <v>#NAME?</v>
      </c>
      <c r="BU86" s="2" t="e">
        <f ca="1">_xll.BDH($C$78,"TOTAL_EQUITY_SEQUENTIAL_GROWTH","FQ3 2015","FQ3 2015","Currency=INR","Period=FQ","BEST_FPERIOD_OVERRIDE=FQ","FILING_STATUS=OR","EQY_CONSOLIDATED=Y","Sort=A","Dates=H","DateFormat=P","Fill=—","Direction=H","UseDPDF=Y")</f>
        <v>#NAME?</v>
      </c>
      <c r="BV86" s="2" t="e">
        <f ca="1">_xll.BDH($C$78,"TOTAL_CAPITAL_SEQUENTIAL_GROWTH","FQ3 2015","FQ3 2015","Currency=INR","Period=FQ","BEST_FPERIOD_OVERRIDE=FQ","FILING_STATUS=OR","EQY_CONSOLIDATED=Y","Sort=A","Dates=H","DateFormat=P","Fill=—","Direction=H","UseDPDF=Y")</f>
        <v>#NAME?</v>
      </c>
      <c r="BW86" s="2" t="e">
        <f ca="1">_xll.BDH($C$78,"BPS_SEQUENTIAL_GROWTH","FQ3 2015","FQ3 2015","Currency=INR","Period=FQ","BEST_FPERIOD_OVERRIDE=FQ","FILING_STATUS=OR","EQY_CONSOLIDATED=Y","Sort=A","Dates=H","DateFormat=P","Fill=—","Direction=H","UseDPDF=Y")</f>
        <v>#NAME?</v>
      </c>
      <c r="BX86" s="2" t="e">
        <f ca="1">_xll.BDH($C$78,"CFO_SEQUENTIAL_GROWTH","FQ3 2015","FQ3 2015","Currency=INR","Period=FQ","BEST_FPERIOD_OVERRIDE=FQ","FILING_STATUS=OR","EQY_CONSOLIDATED=Y","Sort=A","Dates=H","DateFormat=P","Fill=—","Direction=H","UseDPDF=Y")</f>
        <v>#NAME?</v>
      </c>
      <c r="BY86" s="3" t="e">
        <f ca="1">_xll.BDH($C$78,"SHORT_AND_LONG_TERM_DEBT","FQ3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86" s="3" t="e">
        <f ca="1">_xll.BDH($C$78,"BS_ST_BORROW","FQ3 2015","FQ3 2015","Currency=INR","Period=FQ","BEST_FPERIOD_OVERRIDE=FQ","FILING_STATUS=OR","EQY_CONSOLIDATED=Y","SCALING_FORMAT=MLN","Sort=A","Dates=H","DateFormat=P","Fill=—","Direction=H","UseDPDF=Y")</f>
        <v>#NAME?</v>
      </c>
      <c r="CA86" s="3" t="e">
        <f ca="1">_xll.BDH($C$78,"BS_LT_BORROW","FQ3 2015","FQ3 2015","Currency=INR","Period=FQ","BEST_FPERIOD_OVERRIDE=FQ","FILING_STATUS=OR","EQY_CONSOLIDATED=Y","SCALING_FORMAT=MLN","Sort=A","Dates=H","DateFormat=P","Fill=—","Direction=H","UseDPDF=Y")</f>
        <v>#NAME?</v>
      </c>
      <c r="CB86" s="2" t="e">
        <f ca="1">_xll.BDH($C$78,"TOT_DEBT_TO_EBITDA","FQ3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86" s="2" t="e">
        <f ca="1">_xll.BDH($C$78,"NET_DEBT_TO_EBITDA","FQ3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86" s="2" t="e">
        <f ca="1">_xll.BDH($C$78,"TOTAL_DEBT_TO_EBIT","FQ3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86" s="2" t="e">
        <f ca="1">_xll.BDH($C$78,"NET_DEBT_TO_EBIT","FQ3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86" s="2" t="e">
        <f ca="1">_xll.BDH($C$78,"EBITDA_TO_INTEREST_EXPN","FQ3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86" s="2" t="e">
        <f ca="1">_xll.BDH($C$78,"COM_EQY_TO_TOT_ASSET","FQ3 2015","FQ3 2015","Currency=INR","Period=FQ","BEST_FPERIOD_OVERRIDE=FQ","FILING_STATUS=OR","EQY_CONSOLIDATED=Y","Sort=A","Dates=H","DateFormat=P","Fill=—","Direction=H","UseDPDF=Y")</f>
        <v>#NAME?</v>
      </c>
      <c r="CH86" s="2" t="e">
        <f ca="1">_xll.BDH($C$78,"LT_DEBT_TO_TOT_EQY","FQ3 2015","FQ3 2015","Currency=INR","Period=FQ","BEST_FPERIOD_OVERRIDE=FQ","FILING_STATUS=OR","EQY_CONSOLIDATED=Y","Sort=A","Dates=H","DateFormat=P","Fill=—","Direction=H","UseDPDF=Y")</f>
        <v>#NAME?</v>
      </c>
      <c r="CI86" s="2" t="e">
        <f ca="1">_xll.BDH($C$78,"LT_DEBT_TO_TOT_CAP","FQ3 2015","FQ3 2015","Currency=INR","Period=FQ","BEST_FPERIOD_OVERRIDE=FQ","FILING_STATUS=OR","EQY_CONSOLIDATED=Y","Sort=A","Dates=H","DateFormat=P","Fill=—","Direction=H","UseDPDF=Y")</f>
        <v>#NAME?</v>
      </c>
      <c r="CJ86" s="2" t="e">
        <f ca="1">_xll.BDH($C$78,"LT_DEBT_TO_TOT_ASSET","FQ3 2015","FQ3 2015","Currency=INR","Period=FQ","BEST_FPERIOD_OVERRIDE=FQ","FILING_STATUS=OR","EQY_CONSOLIDATED=Y","Sort=A","Dates=H","DateFormat=P","Fill=—","Direction=H","UseDPDF=Y")</f>
        <v>#NAME?</v>
      </c>
      <c r="CK86" s="2" t="e">
        <f ca="1">_xll.BDH($C$78,"TOT_DEBT_TO_TOT_EQY","FQ3 2015","FQ3 2015","Currency=INR","Period=FQ","BEST_FPERIOD_OVERRIDE=FQ","FILING_STATUS=OR","EQY_CONSOLIDATED=Y","Sort=A","Dates=H","DateFormat=P","Fill=—","Direction=H","UseDPDF=Y")</f>
        <v>#NAME?</v>
      </c>
      <c r="CL86" s="2" t="e">
        <f ca="1">_xll.BDH($C$78,"TOT_DEBT_TO_TOT_CAP","FQ3 2015","FQ3 2015","Currency=INR","Period=FQ","BEST_FPERIOD_OVERRIDE=FQ","FILING_STATUS=OR","EQY_CONSOLIDATED=Y","Sort=A","Dates=H","DateFormat=P","Fill=—","Direction=H","UseDPDF=Y")</f>
        <v>#NAME?</v>
      </c>
      <c r="CM86" s="2" t="e">
        <f ca="1">_xll.BDH($C$78,"TOT_DEBT_TO_TOT_ASSET","FQ3 2015","FQ3 2015","Currency=INR","Period=FQ","BEST_FPERIOD_OVERRIDE=FQ","FILING_STATUS=OR","EQY_CONSOLIDATED=Y","Sort=A","Dates=H","DateFormat=P","Fill=—","Direction=H","UseDPDF=Y")</f>
        <v>#NAME?</v>
      </c>
      <c r="CN86" s="2" t="e">
        <f ca="1">_xll.BDH($C$78,"NET_DEBT_TO_SHRHLDR_EQTY","FQ3 2015","FQ3 2015","Currency=INR","Period=FQ","BEST_FPERIOD_OVERRIDE=FQ","FILING_STATUS=OR","EQY_CONSOLIDATED=Y","Sort=A","Dates=H","DateFormat=P","Fill=—","Direction=H","UseDPDF=Y")</f>
        <v>#NAME?</v>
      </c>
      <c r="CO86" s="2" t="e">
        <f ca="1">_xll.BDH($C$78,"NET_DEBT_%_CAPITAL","FQ3 2015","FQ3 2015","Currency=INR","Period=FQ","BEST_FPERIOD_OVERRIDE=FQ","FILING_STATUS=OR","EQY_CONSOLIDATED=Y","Sort=A","Dates=H","DateFormat=P","Fill=—","Direction=H","UseDPDF=Y")</f>
        <v>#NAME?</v>
      </c>
      <c r="CP86" s="3" t="e">
        <f ca="1">_xll.BDH($C$78,"EBITDA","FQ3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86" s="3" t="e">
        <f ca="1">_xll.BDH($C$78,"EBITDA_AFTER_CAPEX","FQ3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86" s="3" t="e">
        <f ca="1">_xll.BDH($C$78,"IS_OPER_INC","FQ3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86" s="2" t="e">
        <f ca="1">_xll.BDH($C$78,"CASH_RATIO","FQ3 2015","FQ3 2015","Currency=INR","Period=FQ","BEST_FPERIOD_OVERRIDE=FQ","FILING_STATUS=OR","EQY_CONSOLIDATED=Y","Sort=A","Dates=H","DateFormat=P","Fill=—","Direction=H","UseDPDF=Y")</f>
        <v>#NAME?</v>
      </c>
      <c r="CT86" s="2" t="e">
        <f ca="1">_xll.BDH($C$78,"CUR_RATIO","FQ3 2015","FQ3 2015","Currency=INR","Period=FQ","BEST_FPERIOD_OVERRIDE=FQ","FILING_STATUS=OR","EQY_CONSOLIDATED=Y","Sort=A","Dates=H","DateFormat=P","Fill=—","Direction=H","UseDPDF=Y")</f>
        <v>#NAME?</v>
      </c>
      <c r="CU86" s="2" t="e">
        <f ca="1">_xll.BDH($C$78,"QUICK_RATIO","FQ3 2015","FQ3 2015","Currency=INR","Period=FQ","BEST_FPERIOD_OVERRIDE=FQ","FILING_STATUS=OR","EQY_CONSOLIDATED=Y","Sort=A","Dates=H","DateFormat=P","Fill=—","Direction=H","UseDPDF=Y")</f>
        <v>#NAME?</v>
      </c>
      <c r="CV86" s="2" t="e">
        <f ca="1">_xll.BDH($C$78,"ALTMAN_Z_SCORE","FQ3 2015","FQ3 2015","Currency=INR","Period=FQ","BEST_FPERIOD_OVERRIDE=FQ","FILING_STATUS=OR","EQY_CONSOLIDATED=Y","Sort=A","Dates=H","DateFormat=P","Fill=—","Direction=H","UseDPDF=Y")</f>
        <v>#NAME?</v>
      </c>
      <c r="CW86" s="4" t="e">
        <f ca="1">_xll.BDH($C$78,"ACCT_RCV_TURN","FQ3 2015","FQ3 2015","Currency=INR","Period=FQ","BEST_FPERIOD_OVERRIDE=FQ","FILING_STATUS=OR","EQY_CONSOLIDATED=Y","FA_ADJUSTED=GAAP","Sort=A","Dates=H","DateFormat=P","Fill=—","Direction=H","UseDPDF=Y")</f>
        <v>#NAME?</v>
      </c>
      <c r="CX86" s="2" t="e">
        <f ca="1">_xll.BDH($C$78,"ACCT_RCV_DAYS","FQ3 2015","FQ3 2015","Currency=INR","Period=FQ","BEST_FPERIOD_OVERRIDE=FQ","FILING_STATUS=OR","EQY_CONSOLIDATED=Y","FA_ADJUSTED=GAAP","Sort=A","Dates=H","DateFormat=P","Fill=—","Direction=H","UseDPDF=Y")</f>
        <v>#NAME?</v>
      </c>
      <c r="CY86" s="4" t="e">
        <f ca="1">_xll.BDH($C$78,"INVENT_TURN","FQ3 2015","FQ3 2015","Currency=INR","Period=FQ","BEST_FPERIOD_OVERRIDE=FQ","FILING_STATUS=OR","EQY_CONSOLIDATED=Y","FA_ADJUSTED=GAAP","Sort=A","Dates=H","DateFormat=P","Fill=—","Direction=H","UseDPDF=Y")</f>
        <v>#NAME?</v>
      </c>
      <c r="CZ86" s="2" t="e">
        <f ca="1">_xll.BDH($C$78,"INVENT_DAYS","FQ3 2015","FQ3 2015","Currency=INR","Period=FQ","BEST_FPERIOD_OVERRIDE=FQ","FILING_STATUS=OR","EQY_CONSOLIDATED=Y","FA_ADJUSTED=GAAP","Sort=A","Dates=H","DateFormat=P","Fill=—","Direction=H","UseDPDF=Y")</f>
        <v>#NAME?</v>
      </c>
      <c r="DA86" s="4" t="e">
        <f ca="1">_xll.BDH($C$78,"ACCOUNTS_PAYABLE_TURNOVER","FQ3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86" s="2" t="e">
        <f ca="1">_xll.BDH($C$78,"ACCOUNTS_PAYABLE_TURNOVER_DAYS","FQ3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86" s="4" t="e">
        <f ca="1">_xll.BDH($C$78,"CASH_CONVERSION_CYCLE","FQ3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86" s="4" t="e">
        <f ca="1">_xll.BDH($C$78,"INV_TO_CASH_DAYS","FQ3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86" s="5" t="e">
        <f ca="1">_xll.BDH($C$78,"BS_INVENTORIES","FQ3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86" s="3" t="e">
        <f ca="1">_xll.BDH($C$78,"INVTRY_RAW_MATERIALS","FQ3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86" s="3" t="e">
        <f ca="1">_xll.BDH($C$78,"INVTRY_IN_PROGRESS","FQ3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86" s="3" t="e">
        <f ca="1">_xll.BDH($C$78,"INVTRY_FINISHED_GOODS","FQ3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86" s="3" t="e">
        <f ca="1">_xll.BDH($C$78,"BS_OTHER_INV","FQ3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87" spans="1:113" x14ac:dyDescent="0.3">
      <c r="A87" s="6"/>
      <c r="B87" s="6"/>
      <c r="C87" s="6"/>
      <c r="D87" s="6"/>
      <c r="E87" t="s">
        <v>81</v>
      </c>
      <c r="F87" t="e">
        <f ca="1">_xll.BDH($C$78,"RETURN_COM_EQY","FQ4 2015","FQ4 2015","Currency=INR","Period=FQ","BEST_FPERIOD_OVERRIDE=FQ","FILING_STATUS=OR","EQY_CONSOLIDATED=Y","FA_ADJUSTED=GAAP","Sort=A","Dates=H","DateFormat=P","Fill=—","Direction=H","UseDPDF=Y")</f>
        <v>#NAME?</v>
      </c>
      <c r="G87" t="e">
        <f ca="1">_xll.BDH($C$78,"RETURN_ON_ASSET","FQ4 2015","FQ4 2015","Currency=INR","Period=FQ","BEST_FPERIOD_OVERRIDE=FQ","FILING_STATUS=OR","EQY_CONSOLIDATED=Y","FA_ADJUSTED=GAAP","Sort=A","Dates=H","DateFormat=P","Fill=—","Direction=H","UseDPDF=Y")</f>
        <v>#NAME?</v>
      </c>
      <c r="H87" t="e">
        <f ca="1">_xll.BDH($C$78,"RETURN_ON_CAP","FQ4 2015","FQ4 2015","Currency=INR","Period=FQ","BEST_FPERIOD_OVERRIDE=FQ","FILING_STATUS=OR","EQY_CONSOLIDATED=Y","FA_ADJUSTED=GAAP","Sort=A","Dates=H","DateFormat=P","Fill=—","Direction=H","UseDPDF=Y")</f>
        <v>#NAME?</v>
      </c>
      <c r="I87" t="e">
        <f ca="1">_xll.BDH($C$78,"RETURN_ON_INV_CAPITAL","FQ4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87" t="e">
        <f ca="1">_xll.BDH($C$78,"EBITDA_TO_REVENUE","FQ4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87" t="e">
        <f ca="1">_xll.BDH($C$78,"OPER_MARGIN","FQ4 2015","FQ4 2015","Currency=INR","Period=FQ","BEST_FPERIOD_OVERRIDE=FQ","FILING_STATUS=OR","EQY_CONSOLIDATED=Y","FA_ADJUSTED=GAAP","Sort=A","Dates=H","DateFormat=P","Fill=—","Direction=H","UseDPDF=Y")</f>
        <v>#NAME?</v>
      </c>
      <c r="L87" t="e">
        <f ca="1">_xll.BDH($C$78,"INCREMENTAL_OPERATING_MARGIN","FQ4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87" t="e">
        <f ca="1">_xll.BDH($C$78,"PRETAX_INC_TO_NET_SALES","FQ4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87" t="e">
        <f ca="1">_xll.BDH($C$78,"INC_BEF_XO_ITEMS_TO_NET_SALES","FQ4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87" t="e">
        <f ca="1">_xll.BDH($C$78,"PROF_MARGIN","FQ4 2015","FQ4 2015","Currency=INR","Period=FQ","BEST_FPERIOD_OVERRIDE=FQ","FILING_STATUS=OR","EQY_CONSOLIDATED=Y","FA_ADJUSTED=GAAP","Sort=A","Dates=H","DateFormat=P","Fill=—","Direction=H","UseDPDF=Y")</f>
        <v>#NAME?</v>
      </c>
      <c r="P87" t="e">
        <f ca="1">_xll.BDH($C$78,"NET_INCOME_TO_COMMON_MARGIN","FQ4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87" t="e">
        <f ca="1">_xll.BDH($C$78,"EFF_TAX_RATE","FQ4 2015","FQ4 2015","Currency=INR","Period=FQ","BEST_FPERIOD_OVERRIDE=FQ","FILING_STATUS=OR","EQY_CONSOLIDATED=Y","FA_ADJUSTED=GAAP","Sort=A","Dates=H","DateFormat=P","Fill=—","Direction=H","UseDPDF=Y")</f>
        <v>#NAME?</v>
      </c>
      <c r="R87" t="e">
        <f ca="1">_xll.BDH($C$78,"DVD_PAYOUT_RATIO","FQ4 2015","FQ4 2015","Currency=INR","Period=FQ","BEST_FPERIOD_OVERRIDE=FQ","FILING_STATUS=OR","EQY_CONSOLIDATED=Y","FA_ADJUSTED=GAAP","Sort=A","Dates=H","DateFormat=P","Fill=—","Direction=H","UseDPDF=Y")</f>
        <v>#NAME?</v>
      </c>
      <c r="S87" t="e">
        <f ca="1">_xll.BDH($C$78,"SUSTAIN_GROWTH_RT","FQ4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87" s="2" t="e">
        <f ca="1">_xll.BDH($C$78,"SALES_GROWTH","FQ4 2015","FQ4 2015","Currency=INR","Period=FQ","BEST_FPERIOD_OVERRIDE=FQ","FILING_STATUS=OR","EQY_CONSOLIDATED=Y","FA_ADJUSTED=GAAP","Sort=A","Dates=H","DateFormat=P","Fill=—","Direction=H","UseDPDF=Y")</f>
        <v>#NAME?</v>
      </c>
      <c r="U87" s="2" t="e">
        <f ca="1">_xll.BDH($C$78,"EBITDA_GROWTH","FQ4 2015","FQ4 2015","Currency=INR","Period=FQ","BEST_FPERIOD_OVERRIDE=FQ","FILING_STATUS=OR","EQY_CONSOLIDATED=Y","FA_ADJUSTED=GAAP","Sort=A","Dates=H","DateFormat=P","Fill=—","Direction=H","UseDPDF=Y")</f>
        <v>#NAME?</v>
      </c>
      <c r="V87" s="2" t="e">
        <f ca="1">_xll.BDH($C$78,"OPER_INC_GROWTH","FQ4 2015","FQ4 2015","Currency=INR","Period=FQ","BEST_FPERIOD_OVERRIDE=FQ","FILING_STATUS=OR","EQY_CONSOLIDATED=Y","FA_ADJUSTED=GAAP","Sort=A","Dates=H","DateFormat=P","Fill=—","Direction=H","UseDPDF=Y")</f>
        <v>#NAME?</v>
      </c>
      <c r="W87" s="2" t="e">
        <f ca="1">_xll.BDH($C$78,"EARN_FOR_COM_GROWTH","FQ4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87" s="2" t="e">
        <f ca="1">_xll.BDH($C$78,"DILUTED_EPS_AFT_XO_ITEMS_GROWTH","FQ4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87" s="2" t="e">
        <f ca="1">_xll.BDH($C$78,"DIVIDEND_PER_SHARE_1_YEAR_GROWTH","FQ4 2015","FQ4 2015","Currency=INR","Period=FQ","BEST_FPERIOD_OVERRIDE=FQ","FILING_STATUS=OR","EQY_CONSOLIDATED=Y","Sort=A","Dates=H","DateFormat=P","Fill=—","Direction=H","UseDPDF=Y")</f>
        <v>#NAME?</v>
      </c>
      <c r="Z87" s="2" t="e">
        <f ca="1">_xll.BDH($C$78,"ACCOUNTS_RECEIVABLE_GROWTH","FQ4 2015","FQ4 2015","Currency=INR","Period=FQ","BEST_FPERIOD_OVERRIDE=FQ","FILING_STATUS=OR","EQY_CONSOLIDATED=Y","Sort=A","Dates=H","DateFormat=P","Fill=—","Direction=H","UseDPDF=Y")</f>
        <v>#NAME?</v>
      </c>
      <c r="AA87" s="2" t="e">
        <f ca="1">_xll.BDH($C$78,"INVENTORY_GROWTH","FQ4 2015","FQ4 2015","Currency=INR","Period=FQ","BEST_FPERIOD_OVERRIDE=FQ","FILING_STATUS=OR","EQY_CONSOLIDATED=Y","Sort=A","Dates=H","DateFormat=P","Fill=—","Direction=H","UseDPDF=Y")</f>
        <v>#NAME?</v>
      </c>
      <c r="AB87" s="2" t="e">
        <f ca="1">_xll.BDH($C$78,"NET_FIXED_ASSETS_1_YEAR_GROWTH","FQ4 2015","FQ4 2015","Currency=INR","Period=FQ","BEST_FPERIOD_OVERRIDE=FQ","FILING_STATUS=OR","EQY_CONSOLIDATED=Y","Sort=A","Dates=H","DateFormat=P","Fill=—","Direction=H","UseDPDF=Y")</f>
        <v>#NAME?</v>
      </c>
      <c r="AC87" s="2" t="e">
        <f ca="1">_xll.BDH($C$78,"ASSET_GROWTH","FQ4 2015","FQ4 2015","Currency=INR","Period=FQ","BEST_FPERIOD_OVERRIDE=FQ","FILING_STATUS=OR","EQY_CONSOLIDATED=Y","Sort=A","Dates=H","DateFormat=P","Fill=—","Direction=H","UseDPDF=Y")</f>
        <v>#NAME?</v>
      </c>
      <c r="AD87" s="2" t="e">
        <f ca="1">_xll.BDH($C$78,"MODIFIED_WORK_CAP_GROWTH","FQ4 2015","FQ4 2015","Currency=INR","Period=FQ","BEST_FPERIOD_OVERRIDE=FQ","FILING_STATUS=OR","EQY_CONSOLIDATED=Y","Sort=A","Dates=H","DateFormat=P","Fill=—","Direction=H","UseDPDF=Y")</f>
        <v>#NAME?</v>
      </c>
      <c r="AE87" s="2" t="e">
        <f ca="1">_xll.BDH($C$78,"WORK_CAP_GROWTH","FQ4 2015","FQ4 2015","Currency=INR","Period=FQ","BEST_FPERIOD_OVERRIDE=FQ","FILING_STATUS=OR","EQY_CONSOLIDATED=Y","Sort=A","Dates=H","DateFormat=P","Fill=—","Direction=H","UseDPDF=Y")</f>
        <v>#NAME?</v>
      </c>
      <c r="AF87" s="2" t="e">
        <f ca="1">_xll.BDH($C$78,"ACCOUNTS_PAYABLE_GROWTH_1YR","FQ4 2015","FQ4 2015","Currency=INR","Period=FQ","BEST_FPERIOD_OVERRIDE=FQ","FILING_STATUS=OR","EQY_CONSOLIDATED=Y","Sort=A","Dates=H","DateFormat=P","Fill=—","Direction=H","UseDPDF=Y")</f>
        <v>#NAME?</v>
      </c>
      <c r="AG87" s="2" t="e">
        <f ca="1">_xll.BDH($C$78,"SHORT_TERM_DEBT_1_YEAR_GROWTH","FQ4 2015","FQ4 2015","Currency=INR","Period=FQ","BEST_FPERIOD_OVERRIDE=FQ","FILING_STATUS=OR","EQY_CONSOLIDATED=Y","Sort=A","Dates=H","DateFormat=P","Fill=—","Direction=H","UseDPDF=Y")</f>
        <v>#NAME?</v>
      </c>
      <c r="AH87" s="2" t="e">
        <f ca="1">_xll.BDH($C$78,"TOTAL_DEBT_1_YEAR_GROWTH","FQ4 2015","FQ4 2015","Currency=INR","Period=FQ","BEST_FPERIOD_OVERRIDE=FQ","FILING_STATUS=OR","EQY_CONSOLIDATED=Y","Sort=A","Dates=H","DateFormat=P","Fill=—","Direction=H","UseDPDF=Y")</f>
        <v>#NAME?</v>
      </c>
      <c r="AI87" s="2" t="e">
        <f ca="1">_xll.BDH($C$78,"TOTAL_EQUITY_1_YEAR_GROWTH","FQ4 2015","FQ4 2015","Currency=INR","Period=FQ","BEST_FPERIOD_OVERRIDE=FQ","FILING_STATUS=OR","EQY_CONSOLIDATED=Y","Sort=A","Dates=H","DateFormat=P","Fill=—","Direction=H","UseDPDF=Y")</f>
        <v>#NAME?</v>
      </c>
      <c r="AJ87" s="2" t="e">
        <f ca="1">_xll.BDH($C$78,"GROWTH_IN_CAP","FQ4 2015","FQ4 2015","Currency=INR","Period=FQ","BEST_FPERIOD_OVERRIDE=FQ","FILING_STATUS=OR","EQY_CONSOLIDATED=Y","Sort=A","Dates=H","DateFormat=P","Fill=—","Direction=H","UseDPDF=Y")</f>
        <v>#NAME?</v>
      </c>
      <c r="AK87" s="2" t="e">
        <f ca="1">_xll.BDH($C$78,"BVPS_GROWTH","FQ4 2015","FQ4 2015","Currency=INR","Period=FQ","BEST_FPERIOD_OVERRIDE=FQ","FILING_STATUS=OR","EQY_CONSOLIDATED=Y","Sort=A","Dates=H","DateFormat=P","Fill=—","Direction=H","UseDPDF=Y")</f>
        <v>#NAME?</v>
      </c>
      <c r="AL87" s="2" t="e">
        <f ca="1">_xll.BDH($C$78,"CASH_FLOW_GROWTH","FQ4 2015","FQ4 2015","Currency=INR","Period=FQ","BEST_FPERIOD_OVERRIDE=FQ","FILING_STATUS=OR","EQY_CONSOLIDATED=Y","Sort=A","Dates=H","DateFormat=P","Fill=—","Direction=H","UseDPDF=Y")</f>
        <v>#NAME?</v>
      </c>
      <c r="AM87" s="2" t="e">
        <f ca="1">_xll.BDH($C$78,"GEO_GROW_NET_SALES","FQ4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87" s="2" t="e">
        <f ca="1">_xll.BDH($C$78,"GEO_GROW_EBITDA","FQ4 2015","FQ4 2015","Currency=INR","Period=FQ","BEST_FPERIOD_OVERRIDE=FQ","FILING_STATUS=OR","EQY_CONSOLIDATED=Y","FA_ADJUSTED=GAAP","Sort=A","Dates=H","DateFormat=P","Fill=—","Direction=H","UseDPDF=Y")</f>
        <v>#NAME?</v>
      </c>
      <c r="AO87" s="2" t="e">
        <f ca="1">_xll.BDH($C$78,"GEO_GROW_OPER_INC","FQ4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87" s="2" t="e">
        <f ca="1">_xll.BDH($C$78,"NET_INCOME_TO_COMMON_5_YR_GROWTH","FQ4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87" s="2" t="e">
        <f ca="1">_xll.BDH($C$78,"5Y_GEO_GROWTH_DILUTED_EPS","FQ4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87" s="2" t="e">
        <f ca="1">_xll.BDH($C$78,"GEO_GROW_DVD_PER_SH","FQ4 2015","FQ4 2015","Currency=INR","Period=FQ","BEST_FPERIOD_OVERRIDE=FQ","FILING_STATUS=OR","EQY_CONSOLIDATED=Y","Sort=A","Dates=H","DateFormat=P","Fill=—","Direction=H","UseDPDF=Y")</f>
        <v>#NAME?</v>
      </c>
      <c r="AS87" s="2" t="e">
        <f ca="1">_xll.BDH($C$78,"ACCOUNTS_RECEIVABLE_5_YR_GROWTH","FQ4 2015","FQ4 2015","Currency=INR","Period=FQ","BEST_FPERIOD_OVERRIDE=FQ","FILING_STATUS=OR","EQY_CONSOLIDATED=Y","Sort=A","Dates=H","DateFormat=P","Fill=—","Direction=H","UseDPDF=Y")</f>
        <v>#NAME?</v>
      </c>
      <c r="AT87" s="2" t="e">
        <f ca="1">_xll.BDH($C$78,"INVENTORY_5_YEAR_GROWTH","FQ4 2015","FQ4 2015","Currency=INR","Period=FQ","BEST_FPERIOD_OVERRIDE=FQ","FILING_STATUS=OR","EQY_CONSOLIDATED=Y","Sort=A","Dates=H","DateFormat=P","Fill=—","Direction=H","UseDPDF=Y")</f>
        <v>#NAME?</v>
      </c>
      <c r="AU87" s="2" t="e">
        <f ca="1">_xll.BDH($C$78,"NET_FIXED_ASSETS_5_YEAR_GROWTH","FQ4 2015","FQ4 2015","Currency=INR","Period=FQ","BEST_FPERIOD_OVERRIDE=FQ","FILING_STATUS=OR","EQY_CONSOLIDATED=Y","Sort=A","Dates=H","DateFormat=P","Fill=—","Direction=H","UseDPDF=Y")</f>
        <v>#NAME?</v>
      </c>
      <c r="AV87" s="2" t="e">
        <f ca="1">_xll.BDH($C$78,"GEO_GROW_TOT_ASSET","FQ4 2015","FQ4 2015","Currency=INR","Period=FQ","BEST_FPERIOD_OVERRIDE=FQ","FILING_STATUS=OR","EQY_CONSOLIDATED=Y","Sort=A","Dates=H","DateFormat=P","Fill=—","Direction=H","UseDPDF=Y")</f>
        <v>#NAME?</v>
      </c>
      <c r="AW87" s="2" t="e">
        <f ca="1">_xll.BDH($C$78,"MODIFIED_WORKING_CPTL_5YR_GRWTH","FQ4 2015","FQ4 2015","Currency=INR","Period=FQ","BEST_FPERIOD_OVERRIDE=FQ","FILING_STATUS=OR","EQY_CONSOLIDATED=Y","Sort=A","Dates=H","DateFormat=P","Fill=—","Direction=H","UseDPDF=Y")</f>
        <v>#NAME?</v>
      </c>
      <c r="AX87" s="2" t="e">
        <f ca="1">_xll.BDH($C$78,"WORKING_CAPITAL_5_YEAR_GROWTH","FQ4 2015","FQ4 2015","Currency=INR","Period=FQ","BEST_FPERIOD_OVERRIDE=FQ","FILING_STATUS=OR","EQY_CONSOLIDATED=Y","Sort=A","Dates=H","DateFormat=P","Fill=—","Direction=H","UseDPDF=Y")</f>
        <v>#NAME?</v>
      </c>
      <c r="AY87" s="2" t="e">
        <f ca="1">_xll.BDH($C$78,"ACCOUNTS_PAYABLE_5_YEAR_GROWTH","FQ4 2015","FQ4 2015","Currency=INR","Period=FQ","BEST_FPERIOD_OVERRIDE=FQ","FILING_STATUS=OR","EQY_CONSOLIDATED=Y","Sort=A","Dates=H","DateFormat=P","Fill=—","Direction=H","UseDPDF=Y")</f>
        <v>#NAME?</v>
      </c>
      <c r="AZ87" s="2" t="e">
        <f ca="1">_xll.BDH($C$78,"SHORT_TERM_DEBT_5_YEAR_GROWTH","FQ4 2015","FQ4 2015","Currency=INR","Period=FQ","BEST_FPERIOD_OVERRIDE=FQ","FILING_STATUS=OR","EQY_CONSOLIDATED=Y","Sort=A","Dates=H","DateFormat=P","Fill=—","Direction=H","UseDPDF=Y")</f>
        <v>#NAME?</v>
      </c>
      <c r="BA87" s="2" t="e">
        <f ca="1">_xll.BDH($C$78,"TOTAL_DEBT_5_YEAR_GROWTH","FQ4 2015","FQ4 2015","Currency=INR","Period=FQ","BEST_FPERIOD_OVERRIDE=FQ","FILING_STATUS=OR","EQY_CONSOLIDATED=Y","Sort=A","Dates=H","DateFormat=P","Fill=—","Direction=H","UseDPDF=Y")</f>
        <v>#NAME?</v>
      </c>
      <c r="BB87" s="2" t="e">
        <f ca="1">_xll.BDH($C$78,"GEO_GROW_TOT_SHRHLDR_EQY","FQ4 2015","FQ4 2015","Currency=INR","Period=FQ","BEST_FPERIOD_OVERRIDE=FQ","FILING_STATUS=OR","EQY_CONSOLIDATED=Y","Sort=A","Dates=H","DateFormat=P","Fill=—","Direction=H","UseDPDF=Y")</f>
        <v>#NAME?</v>
      </c>
      <c r="BC87" s="2" t="e">
        <f ca="1">_xll.BDH($C$78,"TOTAL_CAPITAL_5_YEAR_GROWTH","FQ4 2015","FQ4 2015","Currency=INR","Period=FQ","BEST_FPERIOD_OVERRIDE=FQ","FILING_STATUS=OR","EQY_CONSOLIDATED=Y","Sort=A","Dates=H","DateFormat=P","Fill=—","Direction=H","UseDPDF=Y")</f>
        <v>#NAME?</v>
      </c>
      <c r="BD87" s="2" t="e">
        <f ca="1">_xll.BDH($C$78,"GEO_GROW_BOOK_VAL","FQ4 2015","FQ4 2015","Currency=INR","Period=FQ","BEST_FPERIOD_OVERRIDE=FQ","FILING_STATUS=OR","EQY_CONSOLIDATED=Y","Sort=A","Dates=H","DateFormat=P","Fill=—","Direction=H","UseDPDF=Y")</f>
        <v>#NAME?</v>
      </c>
      <c r="BE87" s="2" t="e">
        <f ca="1">_xll.BDH($C$78,"GEO_GROW_CASH_OPER_ACT","FQ4 2015","FQ4 2015","Currency=INR","Period=FQ","BEST_FPERIOD_OVERRIDE=FQ","FILING_STATUS=OR","EQY_CONSOLIDATED=Y","Sort=A","Dates=H","DateFormat=P","Fill=—","Direction=H","UseDPDF=Y")</f>
        <v>#NAME?</v>
      </c>
      <c r="BF87" s="2" t="e">
        <f ca="1">_xll.BDH($C$78,"REVENUE_SEQUENTIAL_GROWTH","FQ4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87" s="2" t="e">
        <f ca="1">_xll.BDH($C$78,"EBITDA_SEQUENTIAL_GROWTH","FQ4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87" s="2" t="e">
        <f ca="1">_xll.BDH($C$78,"OPERATING_INCOME_SEQ_GROWTH","FQ4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87" s="2" t="e">
        <f ca="1">_xll.BDH($C$78,"NET_INCOME_TO_COMMON_SEQ_GROWTH","FQ4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87" s="2" t="e">
        <f ca="1">_xll.BDH($C$78,"EPS_DILUTED_SEQUENTIAL_GROWTH","FQ4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87" s="2" t="e">
        <f ca="1">_xll.BDH($C$78,"DPS_SEQUENTIAL_GROWTH","FQ4 2015","FQ4 2015","Currency=INR","Period=FQ","BEST_FPERIOD_OVERRIDE=FQ","FILING_STATUS=OR","EQY_CONSOLIDATED=Y","Sort=A","Dates=H","DateFormat=P","Fill=—","Direction=H","UseDPDF=Y")</f>
        <v>#NAME?</v>
      </c>
      <c r="BL87" s="2" t="e">
        <f ca="1">_xll.BDH($C$78,"ACCOUNTS_RECEIVABLE_SEQ_GROWTH","FQ4 2015","FQ4 2015","Currency=INR","Period=FQ","BEST_FPERIOD_OVERRIDE=FQ","FILING_STATUS=OR","EQY_CONSOLIDATED=Y","Sort=A","Dates=H","DateFormat=P","Fill=—","Direction=H","UseDPDF=Y")</f>
        <v>#NAME?</v>
      </c>
      <c r="BM87" s="2" t="e">
        <f ca="1">_xll.BDH($C$78,"INVENTORY_SEQUENTIAL_GROWTH","FQ4 2015","FQ4 2015","Currency=INR","Period=FQ","BEST_FPERIOD_OVERRIDE=FQ","FILING_STATUS=OR","EQY_CONSOLIDATED=Y","Sort=A","Dates=H","DateFormat=P","Fill=—","Direction=H","UseDPDF=Y")</f>
        <v>#NAME?</v>
      </c>
      <c r="BN87" s="2" t="e">
        <f ca="1">_xll.BDH($C$78,"FIXED_ASSETS_SEQUENTIAL_GROWTH","FQ4 2015","FQ4 2015","Currency=INR","Period=FQ","BEST_FPERIOD_OVERRIDE=FQ","FILING_STATUS=OR","EQY_CONSOLIDATED=Y","Sort=A","Dates=H","DateFormat=P","Fill=—","Direction=H","UseDPDF=Y")</f>
        <v>#NAME?</v>
      </c>
      <c r="BO87" s="2" t="e">
        <f ca="1">_xll.BDH($C$78,"TOTAL_ASSETS_SEQUENTIAL_GROWTH","FQ4 2015","FQ4 2015","Currency=INR","Period=FQ","BEST_FPERIOD_OVERRIDE=FQ","FILING_STATUS=OR","EQY_CONSOLIDATED=Y","Sort=A","Dates=H","DateFormat=P","Fill=—","Direction=H","UseDPDF=Y")</f>
        <v>#NAME?</v>
      </c>
      <c r="BP87" s="2" t="e">
        <f ca="1">_xll.BDH($C$78,"MODIFIED_WORKING_CPTL_SEQ_GRWTH","FQ4 2015","FQ4 2015","Currency=INR","Period=FQ","BEST_FPERIOD_OVERRIDE=FQ","FILING_STATUS=OR","EQY_CONSOLIDATED=Y","Sort=A","Dates=H","DateFormat=P","Fill=—","Direction=H","UseDPDF=Y")</f>
        <v>#NAME?</v>
      </c>
      <c r="BQ87" s="2" t="e">
        <f ca="1">_xll.BDH($C$78,"WORKING_CAPITAL_SEQ_GROWTH","FQ4 2015","FQ4 2015","Currency=INR","Period=FQ","BEST_FPERIOD_OVERRIDE=FQ","FILING_STATUS=OR","EQY_CONSOLIDATED=Y","Sort=A","Dates=H","DateFormat=P","Fill=—","Direction=H","UseDPDF=Y")</f>
        <v>#NAME?</v>
      </c>
      <c r="BR87" s="2" t="e">
        <f ca="1">_xll.BDH($C$78,"ACCOUNTS_PAYABLE_SEQ_GROWTH","FQ4 2015","FQ4 2015","Currency=INR","Period=FQ","BEST_FPERIOD_OVERRIDE=FQ","FILING_STATUS=OR","EQY_CONSOLIDATED=Y","Sort=A","Dates=H","DateFormat=P","Fill=—","Direction=H","UseDPDF=Y")</f>
        <v>#NAME?</v>
      </c>
      <c r="BS87" s="2" t="e">
        <f ca="1">_xll.BDH($C$78,"ST_DEBT_SEQUENTIAL_GROWTH","FQ4 2015","FQ4 2015","Currency=INR","Period=FQ","BEST_FPERIOD_OVERRIDE=FQ","FILING_STATUS=OR","EQY_CONSOLIDATED=Y","Sort=A","Dates=H","DateFormat=P","Fill=—","Direction=H","UseDPDF=Y")</f>
        <v>#NAME?</v>
      </c>
      <c r="BT87" s="2" t="e">
        <f ca="1">_xll.BDH($C$78,"TOTAL_DEBT_SEQUENTIAL_GROWTH","FQ4 2015","FQ4 2015","Currency=INR","Period=FQ","BEST_FPERIOD_OVERRIDE=FQ","FILING_STATUS=OR","EQY_CONSOLIDATED=Y","Sort=A","Dates=H","DateFormat=P","Fill=—","Direction=H","UseDPDF=Y")</f>
        <v>#NAME?</v>
      </c>
      <c r="BU87" s="2" t="e">
        <f ca="1">_xll.BDH($C$78,"TOTAL_EQUITY_SEQUENTIAL_GROWTH","FQ4 2015","FQ4 2015","Currency=INR","Period=FQ","BEST_FPERIOD_OVERRIDE=FQ","FILING_STATUS=OR","EQY_CONSOLIDATED=Y","Sort=A","Dates=H","DateFormat=P","Fill=—","Direction=H","UseDPDF=Y")</f>
        <v>#NAME?</v>
      </c>
      <c r="BV87" s="2" t="e">
        <f ca="1">_xll.BDH($C$78,"TOTAL_CAPITAL_SEQUENTIAL_GROWTH","FQ4 2015","FQ4 2015","Currency=INR","Period=FQ","BEST_FPERIOD_OVERRIDE=FQ","FILING_STATUS=OR","EQY_CONSOLIDATED=Y","Sort=A","Dates=H","DateFormat=P","Fill=—","Direction=H","UseDPDF=Y")</f>
        <v>#NAME?</v>
      </c>
      <c r="BW87" s="2" t="e">
        <f ca="1">_xll.BDH($C$78,"BPS_SEQUENTIAL_GROWTH","FQ4 2015","FQ4 2015","Currency=INR","Period=FQ","BEST_FPERIOD_OVERRIDE=FQ","FILING_STATUS=OR","EQY_CONSOLIDATED=Y","Sort=A","Dates=H","DateFormat=P","Fill=—","Direction=H","UseDPDF=Y")</f>
        <v>#NAME?</v>
      </c>
      <c r="BX87" s="2" t="e">
        <f ca="1">_xll.BDH($C$78,"CFO_SEQUENTIAL_GROWTH","FQ4 2015","FQ4 2015","Currency=INR","Period=FQ","BEST_FPERIOD_OVERRIDE=FQ","FILING_STATUS=OR","EQY_CONSOLIDATED=Y","Sort=A","Dates=H","DateFormat=P","Fill=—","Direction=H","UseDPDF=Y")</f>
        <v>#NAME?</v>
      </c>
      <c r="BY87" s="3" t="e">
        <f ca="1">_xll.BDH($C$78,"SHORT_AND_LONG_TERM_DEBT","FQ4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87" s="3" t="e">
        <f ca="1">_xll.BDH($C$78,"BS_ST_BORROW","FQ4 2015","FQ4 2015","Currency=INR","Period=FQ","BEST_FPERIOD_OVERRIDE=FQ","FILING_STATUS=OR","EQY_CONSOLIDATED=Y","SCALING_FORMAT=MLN","Sort=A","Dates=H","DateFormat=P","Fill=—","Direction=H","UseDPDF=Y")</f>
        <v>#NAME?</v>
      </c>
      <c r="CA87" s="3" t="e">
        <f ca="1">_xll.BDH($C$78,"BS_LT_BORROW","FQ4 2015","FQ4 2015","Currency=INR","Period=FQ","BEST_FPERIOD_OVERRIDE=FQ","FILING_STATUS=OR","EQY_CONSOLIDATED=Y","SCALING_FORMAT=MLN","Sort=A","Dates=H","DateFormat=P","Fill=—","Direction=H","UseDPDF=Y")</f>
        <v>#NAME?</v>
      </c>
      <c r="CB87" s="2" t="e">
        <f ca="1">_xll.BDH($C$78,"TOT_DEBT_TO_EBITDA","FQ4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87" s="2" t="e">
        <f ca="1">_xll.BDH($C$78,"NET_DEBT_TO_EBITDA","FQ4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87" s="2" t="e">
        <f ca="1">_xll.BDH($C$78,"TOTAL_DEBT_TO_EBIT","FQ4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87" s="2" t="e">
        <f ca="1">_xll.BDH($C$78,"NET_DEBT_TO_EBIT","FQ4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87" s="2" t="e">
        <f ca="1">_xll.BDH($C$78,"EBITDA_TO_INTEREST_EXPN","FQ4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87" s="2" t="e">
        <f ca="1">_xll.BDH($C$78,"COM_EQY_TO_TOT_ASSET","FQ4 2015","FQ4 2015","Currency=INR","Period=FQ","BEST_FPERIOD_OVERRIDE=FQ","FILING_STATUS=OR","EQY_CONSOLIDATED=Y","Sort=A","Dates=H","DateFormat=P","Fill=—","Direction=H","UseDPDF=Y")</f>
        <v>#NAME?</v>
      </c>
      <c r="CH87" s="2" t="e">
        <f ca="1">_xll.BDH($C$78,"LT_DEBT_TO_TOT_EQY","FQ4 2015","FQ4 2015","Currency=INR","Period=FQ","BEST_FPERIOD_OVERRIDE=FQ","FILING_STATUS=OR","EQY_CONSOLIDATED=Y","Sort=A","Dates=H","DateFormat=P","Fill=—","Direction=H","UseDPDF=Y")</f>
        <v>#NAME?</v>
      </c>
      <c r="CI87" s="2" t="e">
        <f ca="1">_xll.BDH($C$78,"LT_DEBT_TO_TOT_CAP","FQ4 2015","FQ4 2015","Currency=INR","Period=FQ","BEST_FPERIOD_OVERRIDE=FQ","FILING_STATUS=OR","EQY_CONSOLIDATED=Y","Sort=A","Dates=H","DateFormat=P","Fill=—","Direction=H","UseDPDF=Y")</f>
        <v>#NAME?</v>
      </c>
      <c r="CJ87" s="2" t="e">
        <f ca="1">_xll.BDH($C$78,"LT_DEBT_TO_TOT_ASSET","FQ4 2015","FQ4 2015","Currency=INR","Period=FQ","BEST_FPERIOD_OVERRIDE=FQ","FILING_STATUS=OR","EQY_CONSOLIDATED=Y","Sort=A","Dates=H","DateFormat=P","Fill=—","Direction=H","UseDPDF=Y")</f>
        <v>#NAME?</v>
      </c>
      <c r="CK87" s="2" t="e">
        <f ca="1">_xll.BDH($C$78,"TOT_DEBT_TO_TOT_EQY","FQ4 2015","FQ4 2015","Currency=INR","Period=FQ","BEST_FPERIOD_OVERRIDE=FQ","FILING_STATUS=OR","EQY_CONSOLIDATED=Y","Sort=A","Dates=H","DateFormat=P","Fill=—","Direction=H","UseDPDF=Y")</f>
        <v>#NAME?</v>
      </c>
      <c r="CL87" s="2" t="e">
        <f ca="1">_xll.BDH($C$78,"TOT_DEBT_TO_TOT_CAP","FQ4 2015","FQ4 2015","Currency=INR","Period=FQ","BEST_FPERIOD_OVERRIDE=FQ","FILING_STATUS=OR","EQY_CONSOLIDATED=Y","Sort=A","Dates=H","DateFormat=P","Fill=—","Direction=H","UseDPDF=Y")</f>
        <v>#NAME?</v>
      </c>
      <c r="CM87" s="2" t="e">
        <f ca="1">_xll.BDH($C$78,"TOT_DEBT_TO_TOT_ASSET","FQ4 2015","FQ4 2015","Currency=INR","Period=FQ","BEST_FPERIOD_OVERRIDE=FQ","FILING_STATUS=OR","EQY_CONSOLIDATED=Y","Sort=A","Dates=H","DateFormat=P","Fill=—","Direction=H","UseDPDF=Y")</f>
        <v>#NAME?</v>
      </c>
      <c r="CN87" s="2" t="e">
        <f ca="1">_xll.BDH($C$78,"NET_DEBT_TO_SHRHLDR_EQTY","FQ4 2015","FQ4 2015","Currency=INR","Period=FQ","BEST_FPERIOD_OVERRIDE=FQ","FILING_STATUS=OR","EQY_CONSOLIDATED=Y","Sort=A","Dates=H","DateFormat=P","Fill=—","Direction=H","UseDPDF=Y")</f>
        <v>#NAME?</v>
      </c>
      <c r="CO87" s="2" t="e">
        <f ca="1">_xll.BDH($C$78,"NET_DEBT_%_CAPITAL","FQ4 2015","FQ4 2015","Currency=INR","Period=FQ","BEST_FPERIOD_OVERRIDE=FQ","FILING_STATUS=OR","EQY_CONSOLIDATED=Y","Sort=A","Dates=H","DateFormat=P","Fill=—","Direction=H","UseDPDF=Y")</f>
        <v>#NAME?</v>
      </c>
      <c r="CP87" s="3" t="e">
        <f ca="1">_xll.BDH($C$78,"EBITDA","FQ4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87" s="3" t="e">
        <f ca="1">_xll.BDH($C$78,"EBITDA_AFTER_CAPEX","FQ4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87" s="3" t="e">
        <f ca="1">_xll.BDH($C$78,"IS_OPER_INC","FQ4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87" s="2" t="e">
        <f ca="1">_xll.BDH($C$78,"CASH_RATIO","FQ4 2015","FQ4 2015","Currency=INR","Period=FQ","BEST_FPERIOD_OVERRIDE=FQ","FILING_STATUS=OR","EQY_CONSOLIDATED=Y","Sort=A","Dates=H","DateFormat=P","Fill=—","Direction=H","UseDPDF=Y")</f>
        <v>#NAME?</v>
      </c>
      <c r="CT87" s="2" t="e">
        <f ca="1">_xll.BDH($C$78,"CUR_RATIO","FQ4 2015","FQ4 2015","Currency=INR","Period=FQ","BEST_FPERIOD_OVERRIDE=FQ","FILING_STATUS=OR","EQY_CONSOLIDATED=Y","Sort=A","Dates=H","DateFormat=P","Fill=—","Direction=H","UseDPDF=Y")</f>
        <v>#NAME?</v>
      </c>
      <c r="CU87" s="2" t="e">
        <f ca="1">_xll.BDH($C$78,"QUICK_RATIO","FQ4 2015","FQ4 2015","Currency=INR","Period=FQ","BEST_FPERIOD_OVERRIDE=FQ","FILING_STATUS=OR","EQY_CONSOLIDATED=Y","Sort=A","Dates=H","DateFormat=P","Fill=—","Direction=H","UseDPDF=Y")</f>
        <v>#NAME?</v>
      </c>
      <c r="CV87" s="2" t="e">
        <f ca="1">_xll.BDH($C$78,"ALTMAN_Z_SCORE","FQ4 2015","FQ4 2015","Currency=INR","Period=FQ","BEST_FPERIOD_OVERRIDE=FQ","FILING_STATUS=OR","EQY_CONSOLIDATED=Y","Sort=A","Dates=H","DateFormat=P","Fill=—","Direction=H","UseDPDF=Y")</f>
        <v>#NAME?</v>
      </c>
      <c r="CW87" s="4" t="e">
        <f ca="1">_xll.BDH($C$78,"ACCT_RCV_TURN","FQ4 2015","FQ4 2015","Currency=INR","Period=FQ","BEST_FPERIOD_OVERRIDE=FQ","FILING_STATUS=OR","EQY_CONSOLIDATED=Y","FA_ADJUSTED=GAAP","Sort=A","Dates=H","DateFormat=P","Fill=—","Direction=H","UseDPDF=Y")</f>
        <v>#NAME?</v>
      </c>
      <c r="CX87" s="2" t="e">
        <f ca="1">_xll.BDH($C$78,"ACCT_RCV_DAYS","FQ4 2015","FQ4 2015","Currency=INR","Period=FQ","BEST_FPERIOD_OVERRIDE=FQ","FILING_STATUS=OR","EQY_CONSOLIDATED=Y","FA_ADJUSTED=GAAP","Sort=A","Dates=H","DateFormat=P","Fill=—","Direction=H","UseDPDF=Y")</f>
        <v>#NAME?</v>
      </c>
      <c r="CY87" s="4" t="e">
        <f ca="1">_xll.BDH($C$78,"INVENT_TURN","FQ4 2015","FQ4 2015","Currency=INR","Period=FQ","BEST_FPERIOD_OVERRIDE=FQ","FILING_STATUS=OR","EQY_CONSOLIDATED=Y","FA_ADJUSTED=GAAP","Sort=A","Dates=H","DateFormat=P","Fill=—","Direction=H","UseDPDF=Y")</f>
        <v>#NAME?</v>
      </c>
      <c r="CZ87" s="2" t="e">
        <f ca="1">_xll.BDH($C$78,"INVENT_DAYS","FQ4 2015","FQ4 2015","Currency=INR","Period=FQ","BEST_FPERIOD_OVERRIDE=FQ","FILING_STATUS=OR","EQY_CONSOLIDATED=Y","FA_ADJUSTED=GAAP","Sort=A","Dates=H","DateFormat=P","Fill=—","Direction=H","UseDPDF=Y")</f>
        <v>#NAME?</v>
      </c>
      <c r="DA87" s="4" t="e">
        <f ca="1">_xll.BDH($C$78,"ACCOUNTS_PAYABLE_TURNOVER","FQ4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87" s="2" t="e">
        <f ca="1">_xll.BDH($C$78,"ACCOUNTS_PAYABLE_TURNOVER_DAYS","FQ4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87" s="4" t="e">
        <f ca="1">_xll.BDH($C$78,"CASH_CONVERSION_CYCLE","FQ4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87" s="4" t="e">
        <f ca="1">_xll.BDH($C$78,"INV_TO_CASH_DAYS","FQ4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87" s="5" t="e">
        <f ca="1">_xll.BDH($C$78,"BS_INVENTORIES","FQ4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87" s="3" t="e">
        <f ca="1">_xll.BDH($C$78,"INVTRY_RAW_MATERIALS","FQ4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87" s="3" t="e">
        <f ca="1">_xll.BDH($C$78,"INVTRY_IN_PROGRESS","FQ4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87" s="3" t="e">
        <f ca="1">_xll.BDH($C$78,"INVTRY_FINISHED_GOODS","FQ4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87" s="3" t="e">
        <f ca="1">_xll.BDH($C$78,"BS_OTHER_INV","FQ4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88" spans="1:113" x14ac:dyDescent="0.3">
      <c r="A88" s="6"/>
      <c r="B88" s="6"/>
      <c r="C88" s="6"/>
      <c r="D88" s="6" t="s">
        <v>83</v>
      </c>
      <c r="E88" t="s">
        <v>77</v>
      </c>
      <c r="F88" t="e">
        <f ca="1">_xll.BDH($C$78,"RETURN_COM_EQY","FY 2016","FY 2016","Currency=INR","Period=FY","BEST_FPERIOD_OVERRIDE=FY","FILING_STATUS=OR","EQY_CONSOLIDATED=Y","FA_ADJUSTED=GAAP","Sort=A","Dates=H","DateFormat=P","Fill=—","Direction=H","UseDPDF=Y")</f>
        <v>#NAME?</v>
      </c>
      <c r="G88" t="e">
        <f ca="1">_xll.BDH($C$78,"RETURN_ON_ASSET","FY 2016","FY 2016","Currency=INR","Period=FY","BEST_FPERIOD_OVERRIDE=FY","FILING_STATUS=OR","EQY_CONSOLIDATED=Y","FA_ADJUSTED=GAAP","Sort=A","Dates=H","DateFormat=P","Fill=—","Direction=H","UseDPDF=Y")</f>
        <v>#NAME?</v>
      </c>
      <c r="H88" t="e">
        <f ca="1">_xll.BDH($C$78,"RETURN_ON_CAP","FY 2016","FY 2016","Currency=INR","Period=FY","BEST_FPERIOD_OVERRIDE=FY","FILING_STATUS=OR","EQY_CONSOLIDATED=Y","FA_ADJUSTED=GAAP","Sort=A","Dates=H","DateFormat=P","Fill=—","Direction=H","UseDPDF=Y")</f>
        <v>#NAME?</v>
      </c>
      <c r="I88" t="e">
        <f ca="1">_xll.BDH($C$78,"RETURN_ON_INV_CAPITAL","FY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88" t="e">
        <f ca="1">_xll.BDH($C$78,"EBITDA_TO_REVENUE","FY 2016","FY 2016","Currency=INR","Period=FY","BEST_FPERIOD_OVERRIDE=FY","FILING_STATUS=OR","EQY_CONSOLIDATED=Y","FA_ADJUSTED=GAAP","Sort=A","Dates=H","DateFormat=P","Fill=—","Direction=H","UseDPDF=Y")</f>
        <v>#NAME?</v>
      </c>
      <c r="K88" t="e">
        <f ca="1">_xll.BDH($C$78,"OPER_MARGIN","FY 2016","FY 2016","Currency=INR","Period=FY","BEST_FPERIOD_OVERRIDE=FY","FILING_STATUS=OR","EQY_CONSOLIDATED=Y","FA_ADJUSTED=GAAP","Sort=A","Dates=H","DateFormat=P","Fill=—","Direction=H","UseDPDF=Y")</f>
        <v>#NAME?</v>
      </c>
      <c r="L88" t="e">
        <f ca="1">_xll.BDH($C$78,"INCREMENTAL_OPERATING_MARGIN","FY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88" t="e">
        <f ca="1">_xll.BDH($C$78,"PRETAX_INC_TO_NET_SALES","FY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88" t="e">
        <f ca="1">_xll.BDH($C$78,"INC_BEF_XO_ITEMS_TO_NET_SALES","FY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88" t="e">
        <f ca="1">_xll.BDH($C$78,"PROF_MARGIN","FY 2016","FY 2016","Currency=INR","Period=FY","BEST_FPERIOD_OVERRIDE=FY","FILING_STATUS=OR","EQY_CONSOLIDATED=Y","FA_ADJUSTED=GAAP","Sort=A","Dates=H","DateFormat=P","Fill=—","Direction=H","UseDPDF=Y")</f>
        <v>#NAME?</v>
      </c>
      <c r="P88" t="e">
        <f ca="1">_xll.BDH($C$78,"NET_INCOME_TO_COMMON_MARGIN","FY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88" t="e">
        <f ca="1">_xll.BDH($C$78,"EFF_TAX_RATE","FY 2016","FY 2016","Currency=INR","Period=FY","BEST_FPERIOD_OVERRIDE=FY","FILING_STATUS=OR","EQY_CONSOLIDATED=Y","FA_ADJUSTED=GAAP","Sort=A","Dates=H","DateFormat=P","Fill=—","Direction=H","UseDPDF=Y")</f>
        <v>#NAME?</v>
      </c>
      <c r="R88" t="e">
        <f ca="1">_xll.BDH($C$78,"DVD_PAYOUT_RATIO","FY 2016","FY 2016","Currency=INR","Period=FY","BEST_FPERIOD_OVERRIDE=FY","FILING_STATUS=OR","EQY_CONSOLIDATED=Y","FA_ADJUSTED=GAAP","Sort=A","Dates=H","DateFormat=P","Fill=—","Direction=H","UseDPDF=Y")</f>
        <v>#NAME?</v>
      </c>
      <c r="S88" t="e">
        <f ca="1">_xll.BDH($C$78,"SUSTAIN_GROWTH_RT","FY 2016","FY 2016","Currency=INR","Period=FY","BEST_FPERIOD_OVERRIDE=FY","FILING_STATUS=OR","EQY_CONSOLIDATED=Y","FA_ADJUSTED=GAAP","Sort=A","Dates=H","DateFormat=P","Fill=—","Direction=H","UseDPDF=Y")</f>
        <v>#NAME?</v>
      </c>
      <c r="T88" s="2" t="e">
        <f ca="1">_xll.BDH($C$78,"SALES_GROWTH","FY 2016","FY 2016","Currency=INR","Period=FY","BEST_FPERIOD_OVERRIDE=FY","FILING_STATUS=OR","EQY_CONSOLIDATED=Y","FA_ADJUSTED=GAAP","Sort=A","Dates=H","DateFormat=P","Fill=—","Direction=H","UseDPDF=Y")</f>
        <v>#NAME?</v>
      </c>
      <c r="U88" s="2" t="e">
        <f ca="1">_xll.BDH($C$78,"EBITDA_GROWTH","FY 2016","FY 2016","Currency=INR","Period=FY","BEST_FPERIOD_OVERRIDE=FY","FILING_STATUS=OR","EQY_CONSOLIDATED=Y","FA_ADJUSTED=GAAP","Sort=A","Dates=H","DateFormat=P","Fill=—","Direction=H","UseDPDF=Y")</f>
        <v>#NAME?</v>
      </c>
      <c r="V88" s="2" t="e">
        <f ca="1">_xll.BDH($C$78,"OPER_INC_GROWTH","FY 2016","FY 2016","Currency=INR","Period=FY","BEST_FPERIOD_OVERRIDE=FY","FILING_STATUS=OR","EQY_CONSOLIDATED=Y","FA_ADJUSTED=GAAP","Sort=A","Dates=H","DateFormat=P","Fill=—","Direction=H","UseDPDF=Y")</f>
        <v>#NAME?</v>
      </c>
      <c r="W88" s="2" t="e">
        <f ca="1">_xll.BDH($C$78,"EARN_FOR_COM_GROWTH","FY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88" s="2" t="e">
        <f ca="1">_xll.BDH($C$78,"DILUTED_EPS_AFT_XO_ITEMS_GROWTH","FY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88" s="2" t="e">
        <f ca="1">_xll.BDH($C$78,"DIVIDEND_PER_SHARE_1_YEAR_GROWTH","FY 2016","FY 2016","Currency=INR","Period=FY","BEST_FPERIOD_OVERRIDE=FY","FILING_STATUS=OR","EQY_CONSOLIDATED=Y","Sort=A","Dates=H","DateFormat=P","Fill=—","Direction=H","UseDPDF=Y")</f>
        <v>#NAME?</v>
      </c>
      <c r="Z88" s="2" t="e">
        <f ca="1">_xll.BDH($C$78,"ACCOUNTS_RECEIVABLE_GROWTH","FY 2016","FY 2016","Currency=INR","Period=FY","BEST_FPERIOD_OVERRIDE=FY","FILING_STATUS=OR","EQY_CONSOLIDATED=Y","Sort=A","Dates=H","DateFormat=P","Fill=—","Direction=H","UseDPDF=Y")</f>
        <v>#NAME?</v>
      </c>
      <c r="AA88" s="2" t="e">
        <f ca="1">_xll.BDH($C$78,"INVENTORY_GROWTH","FY 2016","FY 2016","Currency=INR","Period=FY","BEST_FPERIOD_OVERRIDE=FY","FILING_STATUS=OR","EQY_CONSOLIDATED=Y","Sort=A","Dates=H","DateFormat=P","Fill=—","Direction=H","UseDPDF=Y")</f>
        <v>#NAME?</v>
      </c>
      <c r="AB88" s="2" t="e">
        <f ca="1">_xll.BDH($C$78,"NET_FIXED_ASSETS_1_YEAR_GROWTH","FY 2016","FY 2016","Currency=INR","Period=FY","BEST_FPERIOD_OVERRIDE=FY","FILING_STATUS=OR","EQY_CONSOLIDATED=Y","Sort=A","Dates=H","DateFormat=P","Fill=—","Direction=H","UseDPDF=Y")</f>
        <v>#NAME?</v>
      </c>
      <c r="AC88" s="2" t="e">
        <f ca="1">_xll.BDH($C$78,"ASSET_GROWTH","FY 2016","FY 2016","Currency=INR","Period=FY","BEST_FPERIOD_OVERRIDE=FY","FILING_STATUS=OR","EQY_CONSOLIDATED=Y","Sort=A","Dates=H","DateFormat=P","Fill=—","Direction=H","UseDPDF=Y")</f>
        <v>#NAME?</v>
      </c>
      <c r="AD88" s="2" t="e">
        <f ca="1">_xll.BDH($C$78,"MODIFIED_WORK_CAP_GROWTH","FY 2016","FY 2016","Currency=INR","Period=FY","BEST_FPERIOD_OVERRIDE=FY","FILING_STATUS=OR","EQY_CONSOLIDATED=Y","Sort=A","Dates=H","DateFormat=P","Fill=—","Direction=H","UseDPDF=Y")</f>
        <v>#NAME?</v>
      </c>
      <c r="AE88" s="2" t="e">
        <f ca="1">_xll.BDH($C$78,"WORK_CAP_GROWTH","FY 2016","FY 2016","Currency=INR","Period=FY","BEST_FPERIOD_OVERRIDE=FY","FILING_STATUS=OR","EQY_CONSOLIDATED=Y","Sort=A","Dates=H","DateFormat=P","Fill=—","Direction=H","UseDPDF=Y")</f>
        <v>#NAME?</v>
      </c>
      <c r="AF88" s="2" t="e">
        <f ca="1">_xll.BDH($C$78,"ACCOUNTS_PAYABLE_GROWTH_1YR","FY 2016","FY 2016","Currency=INR","Period=FY","BEST_FPERIOD_OVERRIDE=FY","FILING_STATUS=OR","EQY_CONSOLIDATED=Y","Sort=A","Dates=H","DateFormat=P","Fill=—","Direction=H","UseDPDF=Y")</f>
        <v>#NAME?</v>
      </c>
      <c r="AG88" s="2" t="e">
        <f ca="1">_xll.BDH($C$78,"SHORT_TERM_DEBT_1_YEAR_GROWTH","FY 2016","FY 2016","Currency=INR","Period=FY","BEST_FPERIOD_OVERRIDE=FY","FILING_STATUS=OR","EQY_CONSOLIDATED=Y","Sort=A","Dates=H","DateFormat=P","Fill=—","Direction=H","UseDPDF=Y")</f>
        <v>#NAME?</v>
      </c>
      <c r="AH88" s="2" t="e">
        <f ca="1">_xll.BDH($C$78,"TOTAL_DEBT_1_YEAR_GROWTH","FY 2016","FY 2016","Currency=INR","Period=FY","BEST_FPERIOD_OVERRIDE=FY","FILING_STATUS=OR","EQY_CONSOLIDATED=Y","Sort=A","Dates=H","DateFormat=P","Fill=—","Direction=H","UseDPDF=Y")</f>
        <v>#NAME?</v>
      </c>
      <c r="AI88" s="2" t="e">
        <f ca="1">_xll.BDH($C$78,"TOTAL_EQUITY_1_YEAR_GROWTH","FY 2016","FY 2016","Currency=INR","Period=FY","BEST_FPERIOD_OVERRIDE=FY","FILING_STATUS=OR","EQY_CONSOLIDATED=Y","Sort=A","Dates=H","DateFormat=P","Fill=—","Direction=H","UseDPDF=Y")</f>
        <v>#NAME?</v>
      </c>
      <c r="AJ88" s="2" t="e">
        <f ca="1">_xll.BDH($C$78,"GROWTH_IN_CAP","FY 2016","FY 2016","Currency=INR","Period=FY","BEST_FPERIOD_OVERRIDE=FY","FILING_STATUS=OR","EQY_CONSOLIDATED=Y","Sort=A","Dates=H","DateFormat=P","Fill=—","Direction=H","UseDPDF=Y")</f>
        <v>#NAME?</v>
      </c>
      <c r="AK88" s="2" t="e">
        <f ca="1">_xll.BDH($C$78,"BVPS_GROWTH","FY 2016","FY 2016","Currency=INR","Period=FY","BEST_FPERIOD_OVERRIDE=FY","FILING_STATUS=OR","EQY_CONSOLIDATED=Y","Sort=A","Dates=H","DateFormat=P","Fill=—","Direction=H","UseDPDF=Y")</f>
        <v>#NAME?</v>
      </c>
      <c r="AL88" s="2" t="e">
        <f ca="1">_xll.BDH($C$78,"CASH_FLOW_GROWTH","FY 2016","FY 2016","Currency=INR","Period=FY","BEST_FPERIOD_OVERRIDE=FY","FILING_STATUS=OR","EQY_CONSOLIDATED=Y","Sort=A","Dates=H","DateFormat=P","Fill=—","Direction=H","UseDPDF=Y")</f>
        <v>#NAME?</v>
      </c>
      <c r="AM88" s="2" t="e">
        <f ca="1">_xll.BDH($C$78,"GEO_GROW_NET_SALES","FY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88" s="2" t="e">
        <f ca="1">_xll.BDH($C$78,"GEO_GROW_EBITDA","FY 2016","FY 2016","Currency=INR","Period=FY","BEST_FPERIOD_OVERRIDE=FY","FILING_STATUS=OR","EQY_CONSOLIDATED=Y","FA_ADJUSTED=GAAP","Sort=A","Dates=H","DateFormat=P","Fill=—","Direction=H","UseDPDF=Y")</f>
        <v>#NAME?</v>
      </c>
      <c r="AO88" s="2" t="e">
        <f ca="1">_xll.BDH($C$78,"GEO_GROW_OPER_INC","FY 2016","FY 2016","Currency=INR","Period=FY","BEST_FPERIOD_OVERRIDE=FY","FILING_STATUS=OR","EQY_CONSOLIDATED=Y","FA_ADJUSTED=GAAP","Sort=A","Dates=H","DateFormat=P","Fill=—","Direction=H","UseDPDF=Y")</f>
        <v>#NAME?</v>
      </c>
      <c r="AP88" s="2" t="e">
        <f ca="1">_xll.BDH($C$78,"NET_INCOME_TO_COMMON_5_YR_GROWTH","FY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88" s="2" t="e">
        <f ca="1">_xll.BDH($C$78,"5Y_GEO_GROWTH_DILUTED_EPS","FY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88" s="2" t="e">
        <f ca="1">_xll.BDH($C$78,"GEO_GROW_DVD_PER_SH","FY 2016","FY 2016","Currency=INR","Period=FY","BEST_FPERIOD_OVERRIDE=FY","FILING_STATUS=OR","EQY_CONSOLIDATED=Y","Sort=A","Dates=H","DateFormat=P","Fill=—","Direction=H","UseDPDF=Y")</f>
        <v>#NAME?</v>
      </c>
      <c r="AS88" s="2" t="e">
        <f ca="1">_xll.BDH($C$78,"ACCOUNTS_RECEIVABLE_5_YR_GROWTH","FY 2016","FY 2016","Currency=INR","Period=FY","BEST_FPERIOD_OVERRIDE=FY","FILING_STATUS=OR","EQY_CONSOLIDATED=Y","Sort=A","Dates=H","DateFormat=P","Fill=—","Direction=H","UseDPDF=Y")</f>
        <v>#NAME?</v>
      </c>
      <c r="AT88" s="2" t="e">
        <f ca="1">_xll.BDH($C$78,"INVENTORY_5_YEAR_GROWTH","FY 2016","FY 2016","Currency=INR","Period=FY","BEST_FPERIOD_OVERRIDE=FY","FILING_STATUS=OR","EQY_CONSOLIDATED=Y","Sort=A","Dates=H","DateFormat=P","Fill=—","Direction=H","UseDPDF=Y")</f>
        <v>#NAME?</v>
      </c>
      <c r="AU88" s="2" t="e">
        <f ca="1">_xll.BDH($C$78,"NET_FIXED_ASSETS_5_YEAR_GROWTH","FY 2016","FY 2016","Currency=INR","Period=FY","BEST_FPERIOD_OVERRIDE=FY","FILING_STATUS=OR","EQY_CONSOLIDATED=Y","Sort=A","Dates=H","DateFormat=P","Fill=—","Direction=H","UseDPDF=Y")</f>
        <v>#NAME?</v>
      </c>
      <c r="AV88" s="2" t="e">
        <f ca="1">_xll.BDH($C$78,"GEO_GROW_TOT_ASSET","FY 2016","FY 2016","Currency=INR","Period=FY","BEST_FPERIOD_OVERRIDE=FY","FILING_STATUS=OR","EQY_CONSOLIDATED=Y","Sort=A","Dates=H","DateFormat=P","Fill=—","Direction=H","UseDPDF=Y")</f>
        <v>#NAME?</v>
      </c>
      <c r="AW88" s="2" t="e">
        <f ca="1">_xll.BDH($C$78,"MODIFIED_WORKING_CPTL_5YR_GRWTH","FY 2016","FY 2016","Currency=INR","Period=FY","BEST_FPERIOD_OVERRIDE=FY","FILING_STATUS=OR","EQY_CONSOLIDATED=Y","Sort=A","Dates=H","DateFormat=P","Fill=—","Direction=H","UseDPDF=Y")</f>
        <v>#NAME?</v>
      </c>
      <c r="AX88" s="2" t="e">
        <f ca="1">_xll.BDH($C$78,"WORKING_CAPITAL_5_YEAR_GROWTH","FY 2016","FY 2016","Currency=INR","Period=FY","BEST_FPERIOD_OVERRIDE=FY","FILING_STATUS=OR","EQY_CONSOLIDATED=Y","Sort=A","Dates=H","DateFormat=P","Fill=—","Direction=H","UseDPDF=Y")</f>
        <v>#NAME?</v>
      </c>
      <c r="AY88" s="2" t="e">
        <f ca="1">_xll.BDH($C$78,"ACCOUNTS_PAYABLE_5_YEAR_GROWTH","FY 2016","FY 2016","Currency=INR","Period=FY","BEST_FPERIOD_OVERRIDE=FY","FILING_STATUS=OR","EQY_CONSOLIDATED=Y","Sort=A","Dates=H","DateFormat=P","Fill=—","Direction=H","UseDPDF=Y")</f>
        <v>#NAME?</v>
      </c>
      <c r="AZ88" s="2" t="e">
        <f ca="1">_xll.BDH($C$78,"SHORT_TERM_DEBT_5_YEAR_GROWTH","FY 2016","FY 2016","Currency=INR","Period=FY","BEST_FPERIOD_OVERRIDE=FY","FILING_STATUS=OR","EQY_CONSOLIDATED=Y","Sort=A","Dates=H","DateFormat=P","Fill=—","Direction=H","UseDPDF=Y")</f>
        <v>#NAME?</v>
      </c>
      <c r="BA88" s="2" t="e">
        <f ca="1">_xll.BDH($C$78,"TOTAL_DEBT_5_YEAR_GROWTH","FY 2016","FY 2016","Currency=INR","Period=FY","BEST_FPERIOD_OVERRIDE=FY","FILING_STATUS=OR","EQY_CONSOLIDATED=Y","Sort=A","Dates=H","DateFormat=P","Fill=—","Direction=H","UseDPDF=Y")</f>
        <v>#NAME?</v>
      </c>
      <c r="BB88" s="2" t="e">
        <f ca="1">_xll.BDH($C$78,"GEO_GROW_TOT_SHRHLDR_EQY","FY 2016","FY 2016","Currency=INR","Period=FY","BEST_FPERIOD_OVERRIDE=FY","FILING_STATUS=OR","EQY_CONSOLIDATED=Y","Sort=A","Dates=H","DateFormat=P","Fill=—","Direction=H","UseDPDF=Y")</f>
        <v>#NAME?</v>
      </c>
      <c r="BC88" s="2" t="e">
        <f ca="1">_xll.BDH($C$78,"TOTAL_CAPITAL_5_YEAR_GROWTH","FY 2016","FY 2016","Currency=INR","Period=FY","BEST_FPERIOD_OVERRIDE=FY","FILING_STATUS=OR","EQY_CONSOLIDATED=Y","Sort=A","Dates=H","DateFormat=P","Fill=—","Direction=H","UseDPDF=Y")</f>
        <v>#NAME?</v>
      </c>
      <c r="BD88" s="2" t="e">
        <f ca="1">_xll.BDH($C$78,"GEO_GROW_BOOK_VAL","FY 2016","FY 2016","Currency=INR","Period=FY","BEST_FPERIOD_OVERRIDE=FY","FILING_STATUS=OR","EQY_CONSOLIDATED=Y","Sort=A","Dates=H","DateFormat=P","Fill=—","Direction=H","UseDPDF=Y")</f>
        <v>#NAME?</v>
      </c>
      <c r="BE88" s="2" t="e">
        <f ca="1">_xll.BDH($C$78,"GEO_GROW_CASH_OPER_ACT","FY 2016","FY 2016","Currency=INR","Period=FY","BEST_FPERIOD_OVERRIDE=FY","FILING_STATUS=OR","EQY_CONSOLIDATED=Y","Sort=A","Dates=H","DateFormat=P","Fill=—","Direction=H","UseDPDF=Y")</f>
        <v>#NAME?</v>
      </c>
      <c r="BF88" s="2" t="e">
        <f ca="1">_xll.BDH($C$78,"REVENUE_SEQUENTIAL_GROWTH","FY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88" s="2" t="e">
        <f ca="1">_xll.BDH($C$78,"EBITDA_SEQUENTIAL_GROWTH","FY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88" s="2" t="e">
        <f ca="1">_xll.BDH($C$78,"OPERATING_INCOME_SEQ_GROWTH","FY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88" s="2" t="e">
        <f ca="1">_xll.BDH($C$78,"NET_INCOME_TO_COMMON_SEQ_GROWTH","FY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88" s="2" t="e">
        <f ca="1">_xll.BDH($C$78,"EPS_DILUTED_SEQUENTIAL_GROWTH","FY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88" s="2" t="e">
        <f ca="1">_xll.BDH($C$78,"DPS_SEQUENTIAL_GROWTH","FY 2016","FY 2016","Currency=INR","Period=FY","BEST_FPERIOD_OVERRIDE=FY","FILING_STATUS=OR","EQY_CONSOLIDATED=Y","Sort=A","Dates=H","DateFormat=P","Fill=—","Direction=H","UseDPDF=Y")</f>
        <v>#NAME?</v>
      </c>
      <c r="BL88" s="2" t="e">
        <f ca="1">_xll.BDH($C$78,"ACCOUNTS_RECEIVABLE_SEQ_GROWTH","FY 2016","FY 2016","Currency=INR","Period=FY","BEST_FPERIOD_OVERRIDE=FY","FILING_STATUS=OR","EQY_CONSOLIDATED=Y","Sort=A","Dates=H","DateFormat=P","Fill=—","Direction=H","UseDPDF=Y")</f>
        <v>#NAME?</v>
      </c>
      <c r="BM88" s="2" t="e">
        <f ca="1">_xll.BDH($C$78,"INVENTORY_SEQUENTIAL_GROWTH","FY 2016","FY 2016","Currency=INR","Period=FY","BEST_FPERIOD_OVERRIDE=FY","FILING_STATUS=OR","EQY_CONSOLIDATED=Y","Sort=A","Dates=H","DateFormat=P","Fill=—","Direction=H","UseDPDF=Y")</f>
        <v>#NAME?</v>
      </c>
      <c r="BN88" s="2" t="e">
        <f ca="1">_xll.BDH($C$78,"FIXED_ASSETS_SEQUENTIAL_GROWTH","FY 2016","FY 2016","Currency=INR","Period=FY","BEST_FPERIOD_OVERRIDE=FY","FILING_STATUS=OR","EQY_CONSOLIDATED=Y","Sort=A","Dates=H","DateFormat=P","Fill=—","Direction=H","UseDPDF=Y")</f>
        <v>#NAME?</v>
      </c>
      <c r="BO88" s="2" t="e">
        <f ca="1">_xll.BDH($C$78,"TOTAL_ASSETS_SEQUENTIAL_GROWTH","FY 2016","FY 2016","Currency=INR","Period=FY","BEST_FPERIOD_OVERRIDE=FY","FILING_STATUS=OR","EQY_CONSOLIDATED=Y","Sort=A","Dates=H","DateFormat=P","Fill=—","Direction=H","UseDPDF=Y")</f>
        <v>#NAME?</v>
      </c>
      <c r="BP88" s="2" t="e">
        <f ca="1">_xll.BDH($C$78,"MODIFIED_WORKING_CPTL_SEQ_GRWTH","FY 2016","FY 2016","Currency=INR","Period=FY","BEST_FPERIOD_OVERRIDE=FY","FILING_STATUS=OR","EQY_CONSOLIDATED=Y","Sort=A","Dates=H","DateFormat=P","Fill=—","Direction=H","UseDPDF=Y")</f>
        <v>#NAME?</v>
      </c>
      <c r="BQ88" s="2" t="e">
        <f ca="1">_xll.BDH($C$78,"WORKING_CAPITAL_SEQ_GROWTH","FY 2016","FY 2016","Currency=INR","Period=FY","BEST_FPERIOD_OVERRIDE=FY","FILING_STATUS=OR","EQY_CONSOLIDATED=Y","Sort=A","Dates=H","DateFormat=P","Fill=—","Direction=H","UseDPDF=Y")</f>
        <v>#NAME?</v>
      </c>
      <c r="BR88" s="2" t="e">
        <f ca="1">_xll.BDH($C$78,"ACCOUNTS_PAYABLE_SEQ_GROWTH","FY 2016","FY 2016","Currency=INR","Period=FY","BEST_FPERIOD_OVERRIDE=FY","FILING_STATUS=OR","EQY_CONSOLIDATED=Y","Sort=A","Dates=H","DateFormat=P","Fill=—","Direction=H","UseDPDF=Y")</f>
        <v>#NAME?</v>
      </c>
      <c r="BS88" s="2" t="e">
        <f ca="1">_xll.BDH($C$78,"ST_DEBT_SEQUENTIAL_GROWTH","FY 2016","FY 2016","Currency=INR","Period=FY","BEST_FPERIOD_OVERRIDE=FY","FILING_STATUS=OR","EQY_CONSOLIDATED=Y","Sort=A","Dates=H","DateFormat=P","Fill=—","Direction=H","UseDPDF=Y")</f>
        <v>#NAME?</v>
      </c>
      <c r="BT88" s="2" t="e">
        <f ca="1">_xll.BDH($C$78,"TOTAL_DEBT_SEQUENTIAL_GROWTH","FY 2016","FY 2016","Currency=INR","Period=FY","BEST_FPERIOD_OVERRIDE=FY","FILING_STATUS=OR","EQY_CONSOLIDATED=Y","Sort=A","Dates=H","DateFormat=P","Fill=—","Direction=H","UseDPDF=Y")</f>
        <v>#NAME?</v>
      </c>
      <c r="BU88" s="2" t="e">
        <f ca="1">_xll.BDH($C$78,"TOTAL_EQUITY_SEQUENTIAL_GROWTH","FY 2016","FY 2016","Currency=INR","Period=FY","BEST_FPERIOD_OVERRIDE=FY","FILING_STATUS=OR","EQY_CONSOLIDATED=Y","Sort=A","Dates=H","DateFormat=P","Fill=—","Direction=H","UseDPDF=Y")</f>
        <v>#NAME?</v>
      </c>
      <c r="BV88" s="2" t="e">
        <f ca="1">_xll.BDH($C$78,"TOTAL_CAPITAL_SEQUENTIAL_GROWTH","FY 2016","FY 2016","Currency=INR","Period=FY","BEST_FPERIOD_OVERRIDE=FY","FILING_STATUS=OR","EQY_CONSOLIDATED=Y","Sort=A","Dates=H","DateFormat=P","Fill=—","Direction=H","UseDPDF=Y")</f>
        <v>#NAME?</v>
      </c>
      <c r="BW88" s="2" t="e">
        <f ca="1">_xll.BDH($C$78,"BPS_SEQUENTIAL_GROWTH","FY 2016","FY 2016","Currency=INR","Period=FY","BEST_FPERIOD_OVERRIDE=FY","FILING_STATUS=OR","EQY_CONSOLIDATED=Y","Sort=A","Dates=H","DateFormat=P","Fill=—","Direction=H","UseDPDF=Y")</f>
        <v>#NAME?</v>
      </c>
      <c r="BX88" s="2" t="e">
        <f ca="1">_xll.BDH($C$78,"CFO_SEQUENTIAL_GROWTH","FY 2016","FY 2016","Currency=INR","Period=FY","BEST_FPERIOD_OVERRIDE=FY","FILING_STATUS=OR","EQY_CONSOLIDATED=Y","Sort=A","Dates=H","DateFormat=P","Fill=—","Direction=H","UseDPDF=Y")</f>
        <v>#NAME?</v>
      </c>
      <c r="BY88" s="3" t="e">
        <f ca="1">_xll.BDH($C$78,"SHORT_AND_LONG_TERM_DEBT","FY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88" s="3" t="e">
        <f ca="1">_xll.BDH($C$78,"BS_ST_BORROW","FY 2016","FY 2016","Currency=INR","Period=FY","BEST_FPERIOD_OVERRIDE=FY","FILING_STATUS=OR","EQY_CONSOLIDATED=Y","SCALING_FORMAT=MLN","Sort=A","Dates=H","DateFormat=P","Fill=—","Direction=H","UseDPDF=Y")</f>
        <v>#NAME?</v>
      </c>
      <c r="CA88" s="3" t="e">
        <f ca="1">_xll.BDH($C$78,"BS_LT_BORROW","FY 2016","FY 2016","Currency=INR","Period=FY","BEST_FPERIOD_OVERRIDE=FY","FILING_STATUS=OR","EQY_CONSOLIDATED=Y","SCALING_FORMAT=MLN","Sort=A","Dates=H","DateFormat=P","Fill=—","Direction=H","UseDPDF=Y")</f>
        <v>#NAME?</v>
      </c>
      <c r="CB88" s="2" t="e">
        <f ca="1">_xll.BDH($C$78,"TOT_DEBT_TO_EBITDA","FY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88" s="2" t="e">
        <f ca="1">_xll.BDH($C$78,"NET_DEBT_TO_EBITDA","FY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88" s="2" t="e">
        <f ca="1">_xll.BDH($C$78,"TOTAL_DEBT_TO_EBIT","FY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88" s="2" t="e">
        <f ca="1">_xll.BDH($C$78,"NET_DEBT_TO_EBIT","FY 2016","FY 2016","Currency=INR","Period=FY","BEST_FPERIOD_OVERRIDE=FY","FILING_STATUS=OR","EQY_CONSOLIDATED=Y","FA_ADJUSTED=GAAP","Sort=A","Dates=H","DateFormat=P","Fill=—","Direction=H","UseDPDF=Y")</f>
        <v>#NAME?</v>
      </c>
      <c r="CF88" s="2" t="e">
        <f ca="1">_xll.BDH($C$78,"EBITDA_TO_INTEREST_EXPN","FY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88" s="2" t="e">
        <f ca="1">_xll.BDH($C$78,"COM_EQY_TO_TOT_ASSET","FY 2016","FY 2016","Currency=INR","Period=FY","BEST_FPERIOD_OVERRIDE=FY","FILING_STATUS=OR","EQY_CONSOLIDATED=Y","Sort=A","Dates=H","DateFormat=P","Fill=—","Direction=H","UseDPDF=Y")</f>
        <v>#NAME?</v>
      </c>
      <c r="CH88" s="2" t="e">
        <f ca="1">_xll.BDH($C$78,"LT_DEBT_TO_TOT_EQY","FY 2016","FY 2016","Currency=INR","Period=FY","BEST_FPERIOD_OVERRIDE=FY","FILING_STATUS=OR","EQY_CONSOLIDATED=Y","Sort=A","Dates=H","DateFormat=P","Fill=—","Direction=H","UseDPDF=Y")</f>
        <v>#NAME?</v>
      </c>
      <c r="CI88" s="2" t="e">
        <f ca="1">_xll.BDH($C$78,"LT_DEBT_TO_TOT_CAP","FY 2016","FY 2016","Currency=INR","Period=FY","BEST_FPERIOD_OVERRIDE=FY","FILING_STATUS=OR","EQY_CONSOLIDATED=Y","Sort=A","Dates=H","DateFormat=P","Fill=—","Direction=H","UseDPDF=Y")</f>
        <v>#NAME?</v>
      </c>
      <c r="CJ88" s="2" t="e">
        <f ca="1">_xll.BDH($C$78,"LT_DEBT_TO_TOT_ASSET","FY 2016","FY 2016","Currency=INR","Period=FY","BEST_FPERIOD_OVERRIDE=FY","FILING_STATUS=OR","EQY_CONSOLIDATED=Y","Sort=A","Dates=H","DateFormat=P","Fill=—","Direction=H","UseDPDF=Y")</f>
        <v>#NAME?</v>
      </c>
      <c r="CK88" s="2" t="e">
        <f ca="1">_xll.BDH($C$78,"TOT_DEBT_TO_TOT_EQY","FY 2016","FY 2016","Currency=INR","Period=FY","BEST_FPERIOD_OVERRIDE=FY","FILING_STATUS=OR","EQY_CONSOLIDATED=Y","Sort=A","Dates=H","DateFormat=P","Fill=—","Direction=H","UseDPDF=Y")</f>
        <v>#NAME?</v>
      </c>
      <c r="CL88" s="2" t="e">
        <f ca="1">_xll.BDH($C$78,"TOT_DEBT_TO_TOT_CAP","FY 2016","FY 2016","Currency=INR","Period=FY","BEST_FPERIOD_OVERRIDE=FY","FILING_STATUS=OR","EQY_CONSOLIDATED=Y","Sort=A","Dates=H","DateFormat=P","Fill=—","Direction=H","UseDPDF=Y")</f>
        <v>#NAME?</v>
      </c>
      <c r="CM88" s="2" t="e">
        <f ca="1">_xll.BDH($C$78,"TOT_DEBT_TO_TOT_ASSET","FY 2016","FY 2016","Currency=INR","Period=FY","BEST_FPERIOD_OVERRIDE=FY","FILING_STATUS=OR","EQY_CONSOLIDATED=Y","Sort=A","Dates=H","DateFormat=P","Fill=—","Direction=H","UseDPDF=Y")</f>
        <v>#NAME?</v>
      </c>
      <c r="CN88" s="2" t="e">
        <f ca="1">_xll.BDH($C$78,"NET_DEBT_TO_SHRHLDR_EQTY","FY 2016","FY 2016","Currency=INR","Period=FY","BEST_FPERIOD_OVERRIDE=FY","FILING_STATUS=OR","EQY_CONSOLIDATED=Y","Sort=A","Dates=H","DateFormat=P","Fill=—","Direction=H","UseDPDF=Y")</f>
        <v>#NAME?</v>
      </c>
      <c r="CO88" s="2" t="e">
        <f ca="1">_xll.BDH($C$78,"NET_DEBT_%_CAPITAL","FY 2016","FY 2016","Currency=INR","Period=FY","BEST_FPERIOD_OVERRIDE=FY","FILING_STATUS=OR","EQY_CONSOLIDATED=Y","Sort=A","Dates=H","DateFormat=P","Fill=—","Direction=H","UseDPDF=Y")</f>
        <v>#NAME?</v>
      </c>
      <c r="CP88" s="3" t="e">
        <f ca="1">_xll.BDH($C$78,"EBITDA","FY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88" s="3" t="e">
        <f ca="1">_xll.BDH($C$78,"EBITDA_AFTER_CAPEX","FY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88" s="3" t="e">
        <f ca="1">_xll.BDH($C$78,"IS_OPER_INC","FY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88" s="2" t="e">
        <f ca="1">_xll.BDH($C$78,"CASH_RATIO","FY 2016","FY 2016","Currency=INR","Period=FY","BEST_FPERIOD_OVERRIDE=FY","FILING_STATUS=OR","EQY_CONSOLIDATED=Y","Sort=A","Dates=H","DateFormat=P","Fill=—","Direction=H","UseDPDF=Y")</f>
        <v>#NAME?</v>
      </c>
      <c r="CT88" s="2" t="e">
        <f ca="1">_xll.BDH($C$78,"CUR_RATIO","FY 2016","FY 2016","Currency=INR","Period=FY","BEST_FPERIOD_OVERRIDE=FY","FILING_STATUS=OR","EQY_CONSOLIDATED=Y","Sort=A","Dates=H","DateFormat=P","Fill=—","Direction=H","UseDPDF=Y")</f>
        <v>#NAME?</v>
      </c>
      <c r="CU88" s="2" t="e">
        <f ca="1">_xll.BDH($C$78,"QUICK_RATIO","FY 2016","FY 2016","Currency=INR","Period=FY","BEST_FPERIOD_OVERRIDE=FY","FILING_STATUS=OR","EQY_CONSOLIDATED=Y","Sort=A","Dates=H","DateFormat=P","Fill=—","Direction=H","UseDPDF=Y")</f>
        <v>#NAME?</v>
      </c>
      <c r="CV88" s="2" t="e">
        <f ca="1">_xll.BDH($C$78,"ALTMAN_Z_SCORE","FY 2016","FY 2016","Currency=INR","Period=FY","BEST_FPERIOD_OVERRIDE=FY","FILING_STATUS=OR","EQY_CONSOLIDATED=Y","Sort=A","Dates=H","DateFormat=P","Fill=—","Direction=H","UseDPDF=Y")</f>
        <v>#NAME?</v>
      </c>
      <c r="CW88" s="4" t="e">
        <f ca="1">_xll.BDH($C$78,"ACCT_RCV_TURN","FY 2016","FY 2016","Currency=INR","Period=FY","BEST_FPERIOD_OVERRIDE=FY","FILING_STATUS=OR","EQY_CONSOLIDATED=Y","FA_ADJUSTED=GAAP","Sort=A","Dates=H","DateFormat=P","Fill=—","Direction=H","UseDPDF=Y")</f>
        <v>#NAME?</v>
      </c>
      <c r="CX88" s="2" t="e">
        <f ca="1">_xll.BDH($C$78,"ACCT_RCV_DAYS","FY 2016","FY 2016","Currency=INR","Period=FY","BEST_FPERIOD_OVERRIDE=FY","FILING_STATUS=OR","EQY_CONSOLIDATED=Y","FA_ADJUSTED=GAAP","Sort=A","Dates=H","DateFormat=P","Fill=—","Direction=H","UseDPDF=Y")</f>
        <v>#NAME?</v>
      </c>
      <c r="CY88" s="4" t="e">
        <f ca="1">_xll.BDH($C$78,"INVENT_TURN","FY 2016","FY 2016","Currency=INR","Period=FY","BEST_FPERIOD_OVERRIDE=FY","FILING_STATUS=OR","EQY_CONSOLIDATED=Y","FA_ADJUSTED=GAAP","Sort=A","Dates=H","DateFormat=P","Fill=—","Direction=H","UseDPDF=Y")</f>
        <v>#NAME?</v>
      </c>
      <c r="CZ88" s="2" t="e">
        <f ca="1">_xll.BDH($C$78,"INVENT_DAYS","FY 2016","FY 2016","Currency=INR","Period=FY","BEST_FPERIOD_OVERRIDE=FY","FILING_STATUS=OR","EQY_CONSOLIDATED=Y","FA_ADJUSTED=GAAP","Sort=A","Dates=H","DateFormat=P","Fill=—","Direction=H","UseDPDF=Y")</f>
        <v>#NAME?</v>
      </c>
      <c r="DA88" s="4" t="e">
        <f ca="1">_xll.BDH($C$78,"ACCOUNTS_PAYABLE_TURNOVER","FY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88" s="2" t="e">
        <f ca="1">_xll.BDH($C$78,"ACCOUNTS_PAYABLE_TURNOVER_DAYS","FY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88" s="4" t="e">
        <f ca="1">_xll.BDH($C$78,"CASH_CONVERSION_CYCLE","FY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88" s="4" t="e">
        <f ca="1">_xll.BDH($C$78,"INV_TO_CASH_DAYS","FY 2016","FY 2016","Currency=INR","Period=FY","BEST_FPERIOD_OVERRIDE=FY","FILING_STATUS=OR","EQY_CONSOLIDATED=Y","FA_ADJUSTED=GAAP","Sort=A","Dates=H","DateFormat=P","Fill=—","Direction=H","UseDPDF=Y")</f>
        <v>#NAME?</v>
      </c>
      <c r="DE88" s="5" t="e">
        <f ca="1">_xll.BDH($C$78,"BS_INVENTORIES","FY 2016","FY 2016","Currency=INR","Period=FY","BEST_FPERIOD_OVERRIDE=FY","FILING_STATUS=OR","EQY_CONSOLIDATED=Y","SCALING_FORMAT=MLN","Sort=A","Dates=H","DateFormat=P","Fill=—","Direction=H","UseDPDF=Y")</f>
        <v>#NAME?</v>
      </c>
      <c r="DF88" s="3" t="e">
        <f ca="1">_xll.BDH($C$78,"INVTRY_RAW_MATERIALS","FY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88" s="3" t="e">
        <f ca="1">_xll.BDH($C$78,"INVTRY_IN_PROGRESS","FY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88" s="3" t="e">
        <f ca="1">_xll.BDH($C$78,"INVTRY_FINISHED_GOODS","FY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88" s="3" t="e">
        <f ca="1">_xll.BDH($C$78,"BS_OTHER_INV","FY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89" spans="1:113" x14ac:dyDescent="0.3">
      <c r="A89" s="6"/>
      <c r="B89" s="6"/>
      <c r="C89" s="6"/>
      <c r="D89" s="6"/>
      <c r="E89" t="s">
        <v>78</v>
      </c>
      <c r="F89" t="e">
        <f ca="1">_xll.BDH($C$78,"RETURN_COM_EQY","FQ1 2016","FQ1 2016","Currency=INR","Period=FQ","BEST_FPERIOD_OVERRIDE=FQ","FILING_STATUS=OR","EQY_CONSOLIDATED=Y","FA_ADJUSTED=GAAP","Sort=A","Dates=H","DateFormat=P","Fill=—","Direction=H","UseDPDF=Y")</f>
        <v>#NAME?</v>
      </c>
      <c r="G89" t="e">
        <f ca="1">_xll.BDH($C$78,"RETURN_ON_ASSET","FQ1 2016","FQ1 2016","Currency=INR","Period=FQ","BEST_FPERIOD_OVERRIDE=FQ","FILING_STATUS=OR","EQY_CONSOLIDATED=Y","FA_ADJUSTED=GAAP","Sort=A","Dates=H","DateFormat=P","Fill=—","Direction=H","UseDPDF=Y")</f>
        <v>#NAME?</v>
      </c>
      <c r="H89" t="e">
        <f ca="1">_xll.BDH($C$78,"RETURN_ON_CAP","FQ1 2016","FQ1 2016","Currency=INR","Period=FQ","BEST_FPERIOD_OVERRIDE=FQ","FILING_STATUS=OR","EQY_CONSOLIDATED=Y","FA_ADJUSTED=GAAP","Sort=A","Dates=H","DateFormat=P","Fill=—","Direction=H","UseDPDF=Y")</f>
        <v>#NAME?</v>
      </c>
      <c r="I89" t="e">
        <f ca="1">_xll.BDH($C$78,"RETURN_ON_INV_CAPITAL","FQ1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89" t="e">
        <f ca="1">_xll.BDH($C$78,"EBITDA_TO_REVENUE","FQ1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89" t="e">
        <f ca="1">_xll.BDH($C$78,"OPER_MARGIN","FQ1 2016","FQ1 2016","Currency=INR","Period=FQ","BEST_FPERIOD_OVERRIDE=FQ","FILING_STATUS=OR","EQY_CONSOLIDATED=Y","FA_ADJUSTED=GAAP","Sort=A","Dates=H","DateFormat=P","Fill=—","Direction=H","UseDPDF=Y")</f>
        <v>#NAME?</v>
      </c>
      <c r="L89" t="e">
        <f ca="1">_xll.BDH($C$78,"INCREMENTAL_OPERATING_MARGIN","FQ1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89" t="e">
        <f ca="1">_xll.BDH($C$78,"PRETAX_INC_TO_NET_SALES","FQ1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89" t="e">
        <f ca="1">_xll.BDH($C$78,"INC_BEF_XO_ITEMS_TO_NET_SALES","FQ1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89" t="e">
        <f ca="1">_xll.BDH($C$78,"PROF_MARGIN","FQ1 2016","FQ1 2016","Currency=INR","Period=FQ","BEST_FPERIOD_OVERRIDE=FQ","FILING_STATUS=OR","EQY_CONSOLIDATED=Y","FA_ADJUSTED=GAAP","Sort=A","Dates=H","DateFormat=P","Fill=—","Direction=H","UseDPDF=Y")</f>
        <v>#NAME?</v>
      </c>
      <c r="P89" t="e">
        <f ca="1">_xll.BDH($C$78,"NET_INCOME_TO_COMMON_MARGIN","FQ1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89" t="e">
        <f ca="1">_xll.BDH($C$78,"EFF_TAX_RATE","FQ1 2016","FQ1 2016","Currency=INR","Period=FQ","BEST_FPERIOD_OVERRIDE=FQ","FILING_STATUS=OR","EQY_CONSOLIDATED=Y","FA_ADJUSTED=GAAP","Sort=A","Dates=H","DateFormat=P","Fill=—","Direction=H","UseDPDF=Y")</f>
        <v>#NAME?</v>
      </c>
      <c r="R89" t="e">
        <f ca="1">_xll.BDH($C$78,"DVD_PAYOUT_RATIO","FQ1 2016","FQ1 2016","Currency=INR","Period=FQ","BEST_FPERIOD_OVERRIDE=FQ","FILING_STATUS=OR","EQY_CONSOLIDATED=Y","FA_ADJUSTED=GAAP","Sort=A","Dates=H","DateFormat=P","Fill=—","Direction=H","UseDPDF=Y")</f>
        <v>#NAME?</v>
      </c>
      <c r="S89" t="e">
        <f ca="1">_xll.BDH($C$78,"SUSTAIN_GROWTH_RT","FQ1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89" s="2" t="e">
        <f ca="1">_xll.BDH($C$78,"SALES_GROWTH","FQ1 2016","FQ1 2016","Currency=INR","Period=FQ","BEST_FPERIOD_OVERRIDE=FQ","FILING_STATUS=OR","EQY_CONSOLIDATED=Y","FA_ADJUSTED=GAAP","Sort=A","Dates=H","DateFormat=P","Fill=—","Direction=H","UseDPDF=Y")</f>
        <v>#NAME?</v>
      </c>
      <c r="U89" s="2" t="e">
        <f ca="1">_xll.BDH($C$78,"EBITDA_GROWTH","FQ1 2016","FQ1 2016","Currency=INR","Period=FQ","BEST_FPERIOD_OVERRIDE=FQ","FILING_STATUS=OR","EQY_CONSOLIDATED=Y","FA_ADJUSTED=GAAP","Sort=A","Dates=H","DateFormat=P","Fill=—","Direction=H","UseDPDF=Y")</f>
        <v>#NAME?</v>
      </c>
      <c r="V89" s="2" t="e">
        <f ca="1">_xll.BDH($C$78,"OPER_INC_GROWTH","FQ1 2016","FQ1 2016","Currency=INR","Period=FQ","BEST_FPERIOD_OVERRIDE=FQ","FILING_STATUS=OR","EQY_CONSOLIDATED=Y","FA_ADJUSTED=GAAP","Sort=A","Dates=H","DateFormat=P","Fill=—","Direction=H","UseDPDF=Y")</f>
        <v>#NAME?</v>
      </c>
      <c r="W89" s="2" t="e">
        <f ca="1">_xll.BDH($C$78,"EARN_FOR_COM_GROWTH","FQ1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89" s="2" t="e">
        <f ca="1">_xll.BDH($C$78,"DILUTED_EPS_AFT_XO_ITEMS_GROWTH","FQ1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89" s="2" t="e">
        <f ca="1">_xll.BDH($C$78,"DIVIDEND_PER_SHARE_1_YEAR_GROWTH","FQ1 2016","FQ1 2016","Currency=INR","Period=FQ","BEST_FPERIOD_OVERRIDE=FQ","FILING_STATUS=OR","EQY_CONSOLIDATED=Y","Sort=A","Dates=H","DateFormat=P","Fill=—","Direction=H","UseDPDF=Y")</f>
        <v>#NAME?</v>
      </c>
      <c r="Z89" s="2" t="e">
        <f ca="1">_xll.BDH($C$78,"ACCOUNTS_RECEIVABLE_GROWTH","FQ1 2016","FQ1 2016","Currency=INR","Period=FQ","BEST_FPERIOD_OVERRIDE=FQ","FILING_STATUS=OR","EQY_CONSOLIDATED=Y","Sort=A","Dates=H","DateFormat=P","Fill=—","Direction=H","UseDPDF=Y")</f>
        <v>#NAME?</v>
      </c>
      <c r="AA89" s="2" t="e">
        <f ca="1">_xll.BDH($C$78,"INVENTORY_GROWTH","FQ1 2016","FQ1 2016","Currency=INR","Period=FQ","BEST_FPERIOD_OVERRIDE=FQ","FILING_STATUS=OR","EQY_CONSOLIDATED=Y","Sort=A","Dates=H","DateFormat=P","Fill=—","Direction=H","UseDPDF=Y")</f>
        <v>#NAME?</v>
      </c>
      <c r="AB89" s="2" t="e">
        <f ca="1">_xll.BDH($C$78,"NET_FIXED_ASSETS_1_YEAR_GROWTH","FQ1 2016","FQ1 2016","Currency=INR","Period=FQ","BEST_FPERIOD_OVERRIDE=FQ","FILING_STATUS=OR","EQY_CONSOLIDATED=Y","Sort=A","Dates=H","DateFormat=P","Fill=—","Direction=H","UseDPDF=Y")</f>
        <v>#NAME?</v>
      </c>
      <c r="AC89" s="2" t="e">
        <f ca="1">_xll.BDH($C$78,"ASSET_GROWTH","FQ1 2016","FQ1 2016","Currency=INR","Period=FQ","BEST_FPERIOD_OVERRIDE=FQ","FILING_STATUS=OR","EQY_CONSOLIDATED=Y","Sort=A","Dates=H","DateFormat=P","Fill=—","Direction=H","UseDPDF=Y")</f>
        <v>#NAME?</v>
      </c>
      <c r="AD89" s="2" t="e">
        <f ca="1">_xll.BDH($C$78,"MODIFIED_WORK_CAP_GROWTH","FQ1 2016","FQ1 2016","Currency=INR","Period=FQ","BEST_FPERIOD_OVERRIDE=FQ","FILING_STATUS=OR","EQY_CONSOLIDATED=Y","Sort=A","Dates=H","DateFormat=P","Fill=—","Direction=H","UseDPDF=Y")</f>
        <v>#NAME?</v>
      </c>
      <c r="AE89" s="2" t="e">
        <f ca="1">_xll.BDH($C$78,"WORK_CAP_GROWTH","FQ1 2016","FQ1 2016","Currency=INR","Period=FQ","BEST_FPERIOD_OVERRIDE=FQ","FILING_STATUS=OR","EQY_CONSOLIDATED=Y","Sort=A","Dates=H","DateFormat=P","Fill=—","Direction=H","UseDPDF=Y")</f>
        <v>#NAME?</v>
      </c>
      <c r="AF89" s="2" t="e">
        <f ca="1">_xll.BDH($C$78,"ACCOUNTS_PAYABLE_GROWTH_1YR","FQ1 2016","FQ1 2016","Currency=INR","Period=FQ","BEST_FPERIOD_OVERRIDE=FQ","FILING_STATUS=OR","EQY_CONSOLIDATED=Y","Sort=A","Dates=H","DateFormat=P","Fill=—","Direction=H","UseDPDF=Y")</f>
        <v>#NAME?</v>
      </c>
      <c r="AG89" s="2" t="e">
        <f ca="1">_xll.BDH($C$78,"SHORT_TERM_DEBT_1_YEAR_GROWTH","FQ1 2016","FQ1 2016","Currency=INR","Period=FQ","BEST_FPERIOD_OVERRIDE=FQ","FILING_STATUS=OR","EQY_CONSOLIDATED=Y","Sort=A","Dates=H","DateFormat=P","Fill=—","Direction=H","UseDPDF=Y")</f>
        <v>#NAME?</v>
      </c>
      <c r="AH89" s="2" t="e">
        <f ca="1">_xll.BDH($C$78,"TOTAL_DEBT_1_YEAR_GROWTH","FQ1 2016","FQ1 2016","Currency=INR","Period=FQ","BEST_FPERIOD_OVERRIDE=FQ","FILING_STATUS=OR","EQY_CONSOLIDATED=Y","Sort=A","Dates=H","DateFormat=P","Fill=—","Direction=H","UseDPDF=Y")</f>
        <v>#NAME?</v>
      </c>
      <c r="AI89" s="2" t="e">
        <f ca="1">_xll.BDH($C$78,"TOTAL_EQUITY_1_YEAR_GROWTH","FQ1 2016","FQ1 2016","Currency=INR","Period=FQ","BEST_FPERIOD_OVERRIDE=FQ","FILING_STATUS=OR","EQY_CONSOLIDATED=Y","Sort=A","Dates=H","DateFormat=P","Fill=—","Direction=H","UseDPDF=Y")</f>
        <v>#NAME?</v>
      </c>
      <c r="AJ89" s="2" t="e">
        <f ca="1">_xll.BDH($C$78,"GROWTH_IN_CAP","FQ1 2016","FQ1 2016","Currency=INR","Period=FQ","BEST_FPERIOD_OVERRIDE=FQ","FILING_STATUS=OR","EQY_CONSOLIDATED=Y","Sort=A","Dates=H","DateFormat=P","Fill=—","Direction=H","UseDPDF=Y")</f>
        <v>#NAME?</v>
      </c>
      <c r="AK89" s="2" t="e">
        <f ca="1">_xll.BDH($C$78,"BVPS_GROWTH","FQ1 2016","FQ1 2016","Currency=INR","Period=FQ","BEST_FPERIOD_OVERRIDE=FQ","FILING_STATUS=OR","EQY_CONSOLIDATED=Y","Sort=A","Dates=H","DateFormat=P","Fill=—","Direction=H","UseDPDF=Y")</f>
        <v>#NAME?</v>
      </c>
      <c r="AL89" s="2" t="e">
        <f ca="1">_xll.BDH($C$78,"CASH_FLOW_GROWTH","FQ1 2016","FQ1 2016","Currency=INR","Period=FQ","BEST_FPERIOD_OVERRIDE=FQ","FILING_STATUS=OR","EQY_CONSOLIDATED=Y","Sort=A","Dates=H","DateFormat=P","Fill=—","Direction=H","UseDPDF=Y")</f>
        <v>#NAME?</v>
      </c>
      <c r="AM89" s="2" t="e">
        <f ca="1">_xll.BDH($C$78,"GEO_GROW_NET_SALES","FQ1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89" s="2" t="e">
        <f ca="1">_xll.BDH($C$78,"GEO_GROW_EBITDA","FQ1 2016","FQ1 2016","Currency=INR","Period=FQ","BEST_FPERIOD_OVERRIDE=FQ","FILING_STATUS=OR","EQY_CONSOLIDATED=Y","FA_ADJUSTED=GAAP","Sort=A","Dates=H","DateFormat=P","Fill=—","Direction=H","UseDPDF=Y")</f>
        <v>#NAME?</v>
      </c>
      <c r="AO89" s="2" t="e">
        <f ca="1">_xll.BDH($C$78,"GEO_GROW_OPER_INC","FQ1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89" s="2" t="e">
        <f ca="1">_xll.BDH($C$78,"NET_INCOME_TO_COMMON_5_YR_GROWTH","FQ1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89" s="2" t="e">
        <f ca="1">_xll.BDH($C$78,"5Y_GEO_GROWTH_DILUTED_EPS","FQ1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89" s="2" t="e">
        <f ca="1">_xll.BDH($C$78,"GEO_GROW_DVD_PER_SH","FQ1 2016","FQ1 2016","Currency=INR","Period=FQ","BEST_FPERIOD_OVERRIDE=FQ","FILING_STATUS=OR","EQY_CONSOLIDATED=Y","Sort=A","Dates=H","DateFormat=P","Fill=—","Direction=H","UseDPDF=Y")</f>
        <v>#NAME?</v>
      </c>
      <c r="AS89" s="2" t="e">
        <f ca="1">_xll.BDH($C$78,"ACCOUNTS_RECEIVABLE_5_YR_GROWTH","FQ1 2016","FQ1 2016","Currency=INR","Period=FQ","BEST_FPERIOD_OVERRIDE=FQ","FILING_STATUS=OR","EQY_CONSOLIDATED=Y","Sort=A","Dates=H","DateFormat=P","Fill=—","Direction=H","UseDPDF=Y")</f>
        <v>#NAME?</v>
      </c>
      <c r="AT89" s="2" t="e">
        <f ca="1">_xll.BDH($C$78,"INVENTORY_5_YEAR_GROWTH","FQ1 2016","FQ1 2016","Currency=INR","Period=FQ","BEST_FPERIOD_OVERRIDE=FQ","FILING_STATUS=OR","EQY_CONSOLIDATED=Y","Sort=A","Dates=H","DateFormat=P","Fill=—","Direction=H","UseDPDF=Y")</f>
        <v>#NAME?</v>
      </c>
      <c r="AU89" s="2" t="e">
        <f ca="1">_xll.BDH($C$78,"NET_FIXED_ASSETS_5_YEAR_GROWTH","FQ1 2016","FQ1 2016","Currency=INR","Period=FQ","BEST_FPERIOD_OVERRIDE=FQ","FILING_STATUS=OR","EQY_CONSOLIDATED=Y","Sort=A","Dates=H","DateFormat=P","Fill=—","Direction=H","UseDPDF=Y")</f>
        <v>#NAME?</v>
      </c>
      <c r="AV89" s="2" t="e">
        <f ca="1">_xll.BDH($C$78,"GEO_GROW_TOT_ASSET","FQ1 2016","FQ1 2016","Currency=INR","Period=FQ","BEST_FPERIOD_OVERRIDE=FQ","FILING_STATUS=OR","EQY_CONSOLIDATED=Y","Sort=A","Dates=H","DateFormat=P","Fill=—","Direction=H","UseDPDF=Y")</f>
        <v>#NAME?</v>
      </c>
      <c r="AW89" s="2" t="e">
        <f ca="1">_xll.BDH($C$78,"MODIFIED_WORKING_CPTL_5YR_GRWTH","FQ1 2016","FQ1 2016","Currency=INR","Period=FQ","BEST_FPERIOD_OVERRIDE=FQ","FILING_STATUS=OR","EQY_CONSOLIDATED=Y","Sort=A","Dates=H","DateFormat=P","Fill=—","Direction=H","UseDPDF=Y")</f>
        <v>#NAME?</v>
      </c>
      <c r="AX89" s="2" t="e">
        <f ca="1">_xll.BDH($C$78,"WORKING_CAPITAL_5_YEAR_GROWTH","FQ1 2016","FQ1 2016","Currency=INR","Period=FQ","BEST_FPERIOD_OVERRIDE=FQ","FILING_STATUS=OR","EQY_CONSOLIDATED=Y","Sort=A","Dates=H","DateFormat=P","Fill=—","Direction=H","UseDPDF=Y")</f>
        <v>#NAME?</v>
      </c>
      <c r="AY89" s="2" t="e">
        <f ca="1">_xll.BDH($C$78,"ACCOUNTS_PAYABLE_5_YEAR_GROWTH","FQ1 2016","FQ1 2016","Currency=INR","Period=FQ","BEST_FPERIOD_OVERRIDE=FQ","FILING_STATUS=OR","EQY_CONSOLIDATED=Y","Sort=A","Dates=H","DateFormat=P","Fill=—","Direction=H","UseDPDF=Y")</f>
        <v>#NAME?</v>
      </c>
      <c r="AZ89" s="2" t="e">
        <f ca="1">_xll.BDH($C$78,"SHORT_TERM_DEBT_5_YEAR_GROWTH","FQ1 2016","FQ1 2016","Currency=INR","Period=FQ","BEST_FPERIOD_OVERRIDE=FQ","FILING_STATUS=OR","EQY_CONSOLIDATED=Y","Sort=A","Dates=H","DateFormat=P","Fill=—","Direction=H","UseDPDF=Y")</f>
        <v>#NAME?</v>
      </c>
      <c r="BA89" s="2" t="e">
        <f ca="1">_xll.BDH($C$78,"TOTAL_DEBT_5_YEAR_GROWTH","FQ1 2016","FQ1 2016","Currency=INR","Period=FQ","BEST_FPERIOD_OVERRIDE=FQ","FILING_STATUS=OR","EQY_CONSOLIDATED=Y","Sort=A","Dates=H","DateFormat=P","Fill=—","Direction=H","UseDPDF=Y")</f>
        <v>#NAME?</v>
      </c>
      <c r="BB89" s="2" t="e">
        <f ca="1">_xll.BDH($C$78,"GEO_GROW_TOT_SHRHLDR_EQY","FQ1 2016","FQ1 2016","Currency=INR","Period=FQ","BEST_FPERIOD_OVERRIDE=FQ","FILING_STATUS=OR","EQY_CONSOLIDATED=Y","Sort=A","Dates=H","DateFormat=P","Fill=—","Direction=H","UseDPDF=Y")</f>
        <v>#NAME?</v>
      </c>
      <c r="BC89" s="2" t="e">
        <f ca="1">_xll.BDH($C$78,"TOTAL_CAPITAL_5_YEAR_GROWTH","FQ1 2016","FQ1 2016","Currency=INR","Period=FQ","BEST_FPERIOD_OVERRIDE=FQ","FILING_STATUS=OR","EQY_CONSOLIDATED=Y","Sort=A","Dates=H","DateFormat=P","Fill=—","Direction=H","UseDPDF=Y")</f>
        <v>#NAME?</v>
      </c>
      <c r="BD89" s="2" t="e">
        <f ca="1">_xll.BDH($C$78,"GEO_GROW_BOOK_VAL","FQ1 2016","FQ1 2016","Currency=INR","Period=FQ","BEST_FPERIOD_OVERRIDE=FQ","FILING_STATUS=OR","EQY_CONSOLIDATED=Y","Sort=A","Dates=H","DateFormat=P","Fill=—","Direction=H","UseDPDF=Y")</f>
        <v>#NAME?</v>
      </c>
      <c r="BE89" s="2" t="e">
        <f ca="1">_xll.BDH($C$78,"GEO_GROW_CASH_OPER_ACT","FQ1 2016","FQ1 2016","Currency=INR","Period=FQ","BEST_FPERIOD_OVERRIDE=FQ","FILING_STATUS=OR","EQY_CONSOLIDATED=Y","Sort=A","Dates=H","DateFormat=P","Fill=—","Direction=H","UseDPDF=Y")</f>
        <v>#NAME?</v>
      </c>
      <c r="BF89" s="2" t="e">
        <f ca="1">_xll.BDH($C$78,"REVENUE_SEQUENTIAL_GROWTH","FQ1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89" s="2" t="e">
        <f ca="1">_xll.BDH($C$78,"EBITDA_SEQUENTIAL_GROWTH","FQ1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89" s="2" t="e">
        <f ca="1">_xll.BDH($C$78,"OPERATING_INCOME_SEQ_GROWTH","FQ1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89" s="2" t="e">
        <f ca="1">_xll.BDH($C$78,"NET_INCOME_TO_COMMON_SEQ_GROWTH","FQ1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89" s="2" t="e">
        <f ca="1">_xll.BDH($C$78,"EPS_DILUTED_SEQUENTIAL_GROWTH","FQ1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89" s="2" t="e">
        <f ca="1">_xll.BDH($C$78,"DPS_SEQUENTIAL_GROWTH","FQ1 2016","FQ1 2016","Currency=INR","Period=FQ","BEST_FPERIOD_OVERRIDE=FQ","FILING_STATUS=OR","EQY_CONSOLIDATED=Y","Sort=A","Dates=H","DateFormat=P","Fill=—","Direction=H","UseDPDF=Y")</f>
        <v>#NAME?</v>
      </c>
      <c r="BL89" s="2" t="e">
        <f ca="1">_xll.BDH($C$78,"ACCOUNTS_RECEIVABLE_SEQ_GROWTH","FQ1 2016","FQ1 2016","Currency=INR","Period=FQ","BEST_FPERIOD_OVERRIDE=FQ","FILING_STATUS=OR","EQY_CONSOLIDATED=Y","Sort=A","Dates=H","DateFormat=P","Fill=—","Direction=H","UseDPDF=Y")</f>
        <v>#NAME?</v>
      </c>
      <c r="BM89" s="2" t="e">
        <f ca="1">_xll.BDH($C$78,"INVENTORY_SEQUENTIAL_GROWTH","FQ1 2016","FQ1 2016","Currency=INR","Period=FQ","BEST_FPERIOD_OVERRIDE=FQ","FILING_STATUS=OR","EQY_CONSOLIDATED=Y","Sort=A","Dates=H","DateFormat=P","Fill=—","Direction=H","UseDPDF=Y")</f>
        <v>#NAME?</v>
      </c>
      <c r="BN89" s="2" t="e">
        <f ca="1">_xll.BDH($C$78,"FIXED_ASSETS_SEQUENTIAL_GROWTH","FQ1 2016","FQ1 2016","Currency=INR","Period=FQ","BEST_FPERIOD_OVERRIDE=FQ","FILING_STATUS=OR","EQY_CONSOLIDATED=Y","Sort=A","Dates=H","DateFormat=P","Fill=—","Direction=H","UseDPDF=Y")</f>
        <v>#NAME?</v>
      </c>
      <c r="BO89" s="2" t="e">
        <f ca="1">_xll.BDH($C$78,"TOTAL_ASSETS_SEQUENTIAL_GROWTH","FQ1 2016","FQ1 2016","Currency=INR","Period=FQ","BEST_FPERIOD_OVERRIDE=FQ","FILING_STATUS=OR","EQY_CONSOLIDATED=Y","Sort=A","Dates=H","DateFormat=P","Fill=—","Direction=H","UseDPDF=Y")</f>
        <v>#NAME?</v>
      </c>
      <c r="BP89" s="2" t="e">
        <f ca="1">_xll.BDH($C$78,"MODIFIED_WORKING_CPTL_SEQ_GRWTH","FQ1 2016","FQ1 2016","Currency=INR","Period=FQ","BEST_FPERIOD_OVERRIDE=FQ","FILING_STATUS=OR","EQY_CONSOLIDATED=Y","Sort=A","Dates=H","DateFormat=P","Fill=—","Direction=H","UseDPDF=Y")</f>
        <v>#NAME?</v>
      </c>
      <c r="BQ89" s="2" t="e">
        <f ca="1">_xll.BDH($C$78,"WORKING_CAPITAL_SEQ_GROWTH","FQ1 2016","FQ1 2016","Currency=INR","Period=FQ","BEST_FPERIOD_OVERRIDE=FQ","FILING_STATUS=OR","EQY_CONSOLIDATED=Y","Sort=A","Dates=H","DateFormat=P","Fill=—","Direction=H","UseDPDF=Y")</f>
        <v>#NAME?</v>
      </c>
      <c r="BR89" s="2" t="e">
        <f ca="1">_xll.BDH($C$78,"ACCOUNTS_PAYABLE_SEQ_GROWTH","FQ1 2016","FQ1 2016","Currency=INR","Period=FQ","BEST_FPERIOD_OVERRIDE=FQ","FILING_STATUS=OR","EQY_CONSOLIDATED=Y","Sort=A","Dates=H","DateFormat=P","Fill=—","Direction=H","UseDPDF=Y")</f>
        <v>#NAME?</v>
      </c>
      <c r="BS89" s="2" t="e">
        <f ca="1">_xll.BDH($C$78,"ST_DEBT_SEQUENTIAL_GROWTH","FQ1 2016","FQ1 2016","Currency=INR","Period=FQ","BEST_FPERIOD_OVERRIDE=FQ","FILING_STATUS=OR","EQY_CONSOLIDATED=Y","Sort=A","Dates=H","DateFormat=P","Fill=—","Direction=H","UseDPDF=Y")</f>
        <v>#NAME?</v>
      </c>
      <c r="BT89" s="2" t="e">
        <f ca="1">_xll.BDH($C$78,"TOTAL_DEBT_SEQUENTIAL_GROWTH","FQ1 2016","FQ1 2016","Currency=INR","Period=FQ","BEST_FPERIOD_OVERRIDE=FQ","FILING_STATUS=OR","EQY_CONSOLIDATED=Y","Sort=A","Dates=H","DateFormat=P","Fill=—","Direction=H","UseDPDF=Y")</f>
        <v>#NAME?</v>
      </c>
      <c r="BU89" s="2" t="e">
        <f ca="1">_xll.BDH($C$78,"TOTAL_EQUITY_SEQUENTIAL_GROWTH","FQ1 2016","FQ1 2016","Currency=INR","Period=FQ","BEST_FPERIOD_OVERRIDE=FQ","FILING_STATUS=OR","EQY_CONSOLIDATED=Y","Sort=A","Dates=H","DateFormat=P","Fill=—","Direction=H","UseDPDF=Y")</f>
        <v>#NAME?</v>
      </c>
      <c r="BV89" s="2" t="e">
        <f ca="1">_xll.BDH($C$78,"TOTAL_CAPITAL_SEQUENTIAL_GROWTH","FQ1 2016","FQ1 2016","Currency=INR","Period=FQ","BEST_FPERIOD_OVERRIDE=FQ","FILING_STATUS=OR","EQY_CONSOLIDATED=Y","Sort=A","Dates=H","DateFormat=P","Fill=—","Direction=H","UseDPDF=Y")</f>
        <v>#NAME?</v>
      </c>
      <c r="BW89" s="2" t="e">
        <f ca="1">_xll.BDH($C$78,"BPS_SEQUENTIAL_GROWTH","FQ1 2016","FQ1 2016","Currency=INR","Period=FQ","BEST_FPERIOD_OVERRIDE=FQ","FILING_STATUS=OR","EQY_CONSOLIDATED=Y","Sort=A","Dates=H","DateFormat=P","Fill=—","Direction=H","UseDPDF=Y")</f>
        <v>#NAME?</v>
      </c>
      <c r="BX89" s="2" t="e">
        <f ca="1">_xll.BDH($C$78,"CFO_SEQUENTIAL_GROWTH","FQ1 2016","FQ1 2016","Currency=INR","Period=FQ","BEST_FPERIOD_OVERRIDE=FQ","FILING_STATUS=OR","EQY_CONSOLIDATED=Y","Sort=A","Dates=H","DateFormat=P","Fill=—","Direction=H","UseDPDF=Y")</f>
        <v>#NAME?</v>
      </c>
      <c r="BY89" s="3" t="e">
        <f ca="1">_xll.BDH($C$78,"SHORT_AND_LONG_TERM_DEBT","FQ1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89" s="3" t="e">
        <f ca="1">_xll.BDH($C$78,"BS_ST_BORROW","FQ1 2016","FQ1 2016","Currency=INR","Period=FQ","BEST_FPERIOD_OVERRIDE=FQ","FILING_STATUS=OR","EQY_CONSOLIDATED=Y","SCALING_FORMAT=MLN","Sort=A","Dates=H","DateFormat=P","Fill=—","Direction=H","UseDPDF=Y")</f>
        <v>#NAME?</v>
      </c>
      <c r="CA89" s="3" t="e">
        <f ca="1">_xll.BDH($C$78,"BS_LT_BORROW","FQ1 2016","FQ1 2016","Currency=INR","Period=FQ","BEST_FPERIOD_OVERRIDE=FQ","FILING_STATUS=OR","EQY_CONSOLIDATED=Y","SCALING_FORMAT=MLN","Sort=A","Dates=H","DateFormat=P","Fill=—","Direction=H","UseDPDF=Y")</f>
        <v>#NAME?</v>
      </c>
      <c r="CB89" s="2" t="e">
        <f ca="1">_xll.BDH($C$78,"TOT_DEBT_TO_EBITDA","FQ1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89" s="2" t="e">
        <f ca="1">_xll.BDH($C$78,"NET_DEBT_TO_EBITDA","FQ1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89" s="2" t="e">
        <f ca="1">_xll.BDH($C$78,"TOTAL_DEBT_TO_EBIT","FQ1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89" s="2" t="e">
        <f ca="1">_xll.BDH($C$78,"NET_DEBT_TO_EBIT","FQ1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89" s="2" t="e">
        <f ca="1">_xll.BDH($C$78,"EBITDA_TO_INTEREST_EXPN","FQ1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89" s="2" t="e">
        <f ca="1">_xll.BDH($C$78,"COM_EQY_TO_TOT_ASSET","FQ1 2016","FQ1 2016","Currency=INR","Period=FQ","BEST_FPERIOD_OVERRIDE=FQ","FILING_STATUS=OR","EQY_CONSOLIDATED=Y","Sort=A","Dates=H","DateFormat=P","Fill=—","Direction=H","UseDPDF=Y")</f>
        <v>#NAME?</v>
      </c>
      <c r="CH89" s="2" t="e">
        <f ca="1">_xll.BDH($C$78,"LT_DEBT_TO_TOT_EQY","FQ1 2016","FQ1 2016","Currency=INR","Period=FQ","BEST_FPERIOD_OVERRIDE=FQ","FILING_STATUS=OR","EQY_CONSOLIDATED=Y","Sort=A","Dates=H","DateFormat=P","Fill=—","Direction=H","UseDPDF=Y")</f>
        <v>#NAME?</v>
      </c>
      <c r="CI89" s="2" t="e">
        <f ca="1">_xll.BDH($C$78,"LT_DEBT_TO_TOT_CAP","FQ1 2016","FQ1 2016","Currency=INR","Period=FQ","BEST_FPERIOD_OVERRIDE=FQ","FILING_STATUS=OR","EQY_CONSOLIDATED=Y","Sort=A","Dates=H","DateFormat=P","Fill=—","Direction=H","UseDPDF=Y")</f>
        <v>#NAME?</v>
      </c>
      <c r="CJ89" s="2" t="e">
        <f ca="1">_xll.BDH($C$78,"LT_DEBT_TO_TOT_ASSET","FQ1 2016","FQ1 2016","Currency=INR","Period=FQ","BEST_FPERIOD_OVERRIDE=FQ","FILING_STATUS=OR","EQY_CONSOLIDATED=Y","Sort=A","Dates=H","DateFormat=P","Fill=—","Direction=H","UseDPDF=Y")</f>
        <v>#NAME?</v>
      </c>
      <c r="CK89" s="2" t="e">
        <f ca="1">_xll.BDH($C$78,"TOT_DEBT_TO_TOT_EQY","FQ1 2016","FQ1 2016","Currency=INR","Period=FQ","BEST_FPERIOD_OVERRIDE=FQ","FILING_STATUS=OR","EQY_CONSOLIDATED=Y","Sort=A","Dates=H","DateFormat=P","Fill=—","Direction=H","UseDPDF=Y")</f>
        <v>#NAME?</v>
      </c>
      <c r="CL89" s="2" t="e">
        <f ca="1">_xll.BDH($C$78,"TOT_DEBT_TO_TOT_CAP","FQ1 2016","FQ1 2016","Currency=INR","Period=FQ","BEST_FPERIOD_OVERRIDE=FQ","FILING_STATUS=OR","EQY_CONSOLIDATED=Y","Sort=A","Dates=H","DateFormat=P","Fill=—","Direction=H","UseDPDF=Y")</f>
        <v>#NAME?</v>
      </c>
      <c r="CM89" s="2" t="e">
        <f ca="1">_xll.BDH($C$78,"TOT_DEBT_TO_TOT_ASSET","FQ1 2016","FQ1 2016","Currency=INR","Period=FQ","BEST_FPERIOD_OVERRIDE=FQ","FILING_STATUS=OR","EQY_CONSOLIDATED=Y","Sort=A","Dates=H","DateFormat=P","Fill=—","Direction=H","UseDPDF=Y")</f>
        <v>#NAME?</v>
      </c>
      <c r="CN89" s="2" t="e">
        <f ca="1">_xll.BDH($C$78,"NET_DEBT_TO_SHRHLDR_EQTY","FQ1 2016","FQ1 2016","Currency=INR","Period=FQ","BEST_FPERIOD_OVERRIDE=FQ","FILING_STATUS=OR","EQY_CONSOLIDATED=Y","Sort=A","Dates=H","DateFormat=P","Fill=—","Direction=H","UseDPDF=Y")</f>
        <v>#NAME?</v>
      </c>
      <c r="CO89" s="2" t="e">
        <f ca="1">_xll.BDH($C$78,"NET_DEBT_%_CAPITAL","FQ1 2016","FQ1 2016","Currency=INR","Period=FQ","BEST_FPERIOD_OVERRIDE=FQ","FILING_STATUS=OR","EQY_CONSOLIDATED=Y","Sort=A","Dates=H","DateFormat=P","Fill=—","Direction=H","UseDPDF=Y")</f>
        <v>#NAME?</v>
      </c>
      <c r="CP89" s="3" t="e">
        <f ca="1">_xll.BDH($C$78,"EBITDA","FQ1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89" s="3" t="e">
        <f ca="1">_xll.BDH($C$78,"EBITDA_AFTER_CAPEX","FQ1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89" s="3" t="e">
        <f ca="1">_xll.BDH($C$78,"IS_OPER_INC","FQ1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89" s="2" t="e">
        <f ca="1">_xll.BDH($C$78,"CASH_RATIO","FQ1 2016","FQ1 2016","Currency=INR","Period=FQ","BEST_FPERIOD_OVERRIDE=FQ","FILING_STATUS=OR","EQY_CONSOLIDATED=Y","Sort=A","Dates=H","DateFormat=P","Fill=—","Direction=H","UseDPDF=Y")</f>
        <v>#NAME?</v>
      </c>
      <c r="CT89" s="2" t="e">
        <f ca="1">_xll.BDH($C$78,"CUR_RATIO","FQ1 2016","FQ1 2016","Currency=INR","Period=FQ","BEST_FPERIOD_OVERRIDE=FQ","FILING_STATUS=OR","EQY_CONSOLIDATED=Y","Sort=A","Dates=H","DateFormat=P","Fill=—","Direction=H","UseDPDF=Y")</f>
        <v>#NAME?</v>
      </c>
      <c r="CU89" s="2" t="e">
        <f ca="1">_xll.BDH($C$78,"QUICK_RATIO","FQ1 2016","FQ1 2016","Currency=INR","Period=FQ","BEST_FPERIOD_OVERRIDE=FQ","FILING_STATUS=OR","EQY_CONSOLIDATED=Y","Sort=A","Dates=H","DateFormat=P","Fill=—","Direction=H","UseDPDF=Y")</f>
        <v>#NAME?</v>
      </c>
      <c r="CV89" s="2" t="e">
        <f ca="1">_xll.BDH($C$78,"ALTMAN_Z_SCORE","FQ1 2016","FQ1 2016","Currency=INR","Period=FQ","BEST_FPERIOD_OVERRIDE=FQ","FILING_STATUS=OR","EQY_CONSOLIDATED=Y","Sort=A","Dates=H","DateFormat=P","Fill=—","Direction=H","UseDPDF=Y")</f>
        <v>#NAME?</v>
      </c>
      <c r="CW89" s="4" t="e">
        <f ca="1">_xll.BDH($C$78,"ACCT_RCV_TURN","FQ1 2016","FQ1 2016","Currency=INR","Period=FQ","BEST_FPERIOD_OVERRIDE=FQ","FILING_STATUS=OR","EQY_CONSOLIDATED=Y","FA_ADJUSTED=GAAP","Sort=A","Dates=H","DateFormat=P","Fill=—","Direction=H","UseDPDF=Y")</f>
        <v>#NAME?</v>
      </c>
      <c r="CX89" s="2" t="e">
        <f ca="1">_xll.BDH($C$78,"ACCT_RCV_DAYS","FQ1 2016","FQ1 2016","Currency=INR","Period=FQ","BEST_FPERIOD_OVERRIDE=FQ","FILING_STATUS=OR","EQY_CONSOLIDATED=Y","FA_ADJUSTED=GAAP","Sort=A","Dates=H","DateFormat=P","Fill=—","Direction=H","UseDPDF=Y")</f>
        <v>#NAME?</v>
      </c>
      <c r="CY89" s="4" t="e">
        <f ca="1">_xll.BDH($C$78,"INVENT_TURN","FQ1 2016","FQ1 2016","Currency=INR","Period=FQ","BEST_FPERIOD_OVERRIDE=FQ","FILING_STATUS=OR","EQY_CONSOLIDATED=Y","FA_ADJUSTED=GAAP","Sort=A","Dates=H","DateFormat=P","Fill=—","Direction=H","UseDPDF=Y")</f>
        <v>#NAME?</v>
      </c>
      <c r="CZ89" s="2" t="e">
        <f ca="1">_xll.BDH($C$78,"INVENT_DAYS","FQ1 2016","FQ1 2016","Currency=INR","Period=FQ","BEST_FPERIOD_OVERRIDE=FQ","FILING_STATUS=OR","EQY_CONSOLIDATED=Y","FA_ADJUSTED=GAAP","Sort=A","Dates=H","DateFormat=P","Fill=—","Direction=H","UseDPDF=Y")</f>
        <v>#NAME?</v>
      </c>
      <c r="DA89" s="4" t="e">
        <f ca="1">_xll.BDH($C$78,"ACCOUNTS_PAYABLE_TURNOVER","FQ1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89" s="2" t="e">
        <f ca="1">_xll.BDH($C$78,"ACCOUNTS_PAYABLE_TURNOVER_DAYS","FQ1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89" s="4" t="e">
        <f ca="1">_xll.BDH($C$78,"CASH_CONVERSION_CYCLE","FQ1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89" s="4" t="e">
        <f ca="1">_xll.BDH($C$78,"INV_TO_CASH_DAYS","FQ1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89" s="5" t="e">
        <f ca="1">_xll.BDH($C$78,"BS_INVENTORIES","FQ1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89" s="3" t="e">
        <f ca="1">_xll.BDH($C$78,"INVTRY_RAW_MATERIALS","FQ1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89" s="3" t="e">
        <f ca="1">_xll.BDH($C$78,"INVTRY_IN_PROGRESS","FQ1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89" s="3" t="e">
        <f ca="1">_xll.BDH($C$78,"INVTRY_FINISHED_GOODS","FQ1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89" s="3" t="e">
        <f ca="1">_xll.BDH($C$78,"BS_OTHER_INV","FQ1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90" spans="1:113" x14ac:dyDescent="0.3">
      <c r="A90" s="6"/>
      <c r="B90" s="6"/>
      <c r="C90" s="6"/>
      <c r="D90" s="6"/>
      <c r="E90" t="s">
        <v>79</v>
      </c>
      <c r="F90" t="e">
        <f ca="1">_xll.BDH($C$78,"RETURN_COM_EQY","FQ2 2016","FQ2 2016","Currency=INR","Period=FQ","BEST_FPERIOD_OVERRIDE=FQ","FILING_STATUS=OR","EQY_CONSOLIDATED=Y","FA_ADJUSTED=GAAP","Sort=A","Dates=H","DateFormat=P","Fill=—","Direction=H","UseDPDF=Y")</f>
        <v>#NAME?</v>
      </c>
      <c r="G90" t="e">
        <f ca="1">_xll.BDH($C$78,"RETURN_ON_ASSET","FQ2 2016","FQ2 2016","Currency=INR","Period=FQ","BEST_FPERIOD_OVERRIDE=FQ","FILING_STATUS=OR","EQY_CONSOLIDATED=Y","FA_ADJUSTED=GAAP","Sort=A","Dates=H","DateFormat=P","Fill=—","Direction=H","UseDPDF=Y")</f>
        <v>#NAME?</v>
      </c>
      <c r="H90" t="e">
        <f ca="1">_xll.BDH($C$78,"RETURN_ON_CAP","FQ2 2016","FQ2 2016","Currency=INR","Period=FQ","BEST_FPERIOD_OVERRIDE=FQ","FILING_STATUS=OR","EQY_CONSOLIDATED=Y","FA_ADJUSTED=GAAP","Sort=A","Dates=H","DateFormat=P","Fill=—","Direction=H","UseDPDF=Y")</f>
        <v>#NAME?</v>
      </c>
      <c r="I90" t="e">
        <f ca="1">_xll.BDH($C$78,"RETURN_ON_INV_CAPITAL","FQ2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90" t="e">
        <f ca="1">_xll.BDH($C$78,"EBITDA_TO_REVENUE","FQ2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90" t="e">
        <f ca="1">_xll.BDH($C$78,"OPER_MARGIN","FQ2 2016","FQ2 2016","Currency=INR","Period=FQ","BEST_FPERIOD_OVERRIDE=FQ","FILING_STATUS=OR","EQY_CONSOLIDATED=Y","FA_ADJUSTED=GAAP","Sort=A","Dates=H","DateFormat=P","Fill=—","Direction=H","UseDPDF=Y")</f>
        <v>#NAME?</v>
      </c>
      <c r="L90" t="e">
        <f ca="1">_xll.BDH($C$78,"INCREMENTAL_OPERATING_MARGIN","FQ2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90" t="e">
        <f ca="1">_xll.BDH($C$78,"PRETAX_INC_TO_NET_SALES","FQ2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90" t="e">
        <f ca="1">_xll.BDH($C$78,"INC_BEF_XO_ITEMS_TO_NET_SALES","FQ2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90" t="e">
        <f ca="1">_xll.BDH($C$78,"PROF_MARGIN","FQ2 2016","FQ2 2016","Currency=INR","Period=FQ","BEST_FPERIOD_OVERRIDE=FQ","FILING_STATUS=OR","EQY_CONSOLIDATED=Y","FA_ADJUSTED=GAAP","Sort=A","Dates=H","DateFormat=P","Fill=—","Direction=H","UseDPDF=Y")</f>
        <v>#NAME?</v>
      </c>
      <c r="P90" t="e">
        <f ca="1">_xll.BDH($C$78,"NET_INCOME_TO_COMMON_MARGIN","FQ2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90" t="e">
        <f ca="1">_xll.BDH($C$78,"EFF_TAX_RATE","FQ2 2016","FQ2 2016","Currency=INR","Period=FQ","BEST_FPERIOD_OVERRIDE=FQ","FILING_STATUS=OR","EQY_CONSOLIDATED=Y","FA_ADJUSTED=GAAP","Sort=A","Dates=H","DateFormat=P","Fill=—","Direction=H","UseDPDF=Y")</f>
        <v>#NAME?</v>
      </c>
      <c r="R90" t="e">
        <f ca="1">_xll.BDH($C$78,"DVD_PAYOUT_RATIO","FQ2 2016","FQ2 2016","Currency=INR","Period=FQ","BEST_FPERIOD_OVERRIDE=FQ","FILING_STATUS=OR","EQY_CONSOLIDATED=Y","FA_ADJUSTED=GAAP","Sort=A","Dates=H","DateFormat=P","Fill=—","Direction=H","UseDPDF=Y")</f>
        <v>#NAME?</v>
      </c>
      <c r="S90" t="e">
        <f ca="1">_xll.BDH($C$78,"SUSTAIN_GROWTH_RT","FQ2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90" s="2" t="e">
        <f ca="1">_xll.BDH($C$78,"SALES_GROWTH","FQ2 2016","FQ2 2016","Currency=INR","Period=FQ","BEST_FPERIOD_OVERRIDE=FQ","FILING_STATUS=OR","EQY_CONSOLIDATED=Y","FA_ADJUSTED=GAAP","Sort=A","Dates=H","DateFormat=P","Fill=—","Direction=H","UseDPDF=Y")</f>
        <v>#NAME?</v>
      </c>
      <c r="U90" s="2" t="e">
        <f ca="1">_xll.BDH($C$78,"EBITDA_GROWTH","FQ2 2016","FQ2 2016","Currency=INR","Period=FQ","BEST_FPERIOD_OVERRIDE=FQ","FILING_STATUS=OR","EQY_CONSOLIDATED=Y","FA_ADJUSTED=GAAP","Sort=A","Dates=H","DateFormat=P","Fill=—","Direction=H","UseDPDF=Y")</f>
        <v>#NAME?</v>
      </c>
      <c r="V90" s="2" t="e">
        <f ca="1">_xll.BDH($C$78,"OPER_INC_GROWTH","FQ2 2016","FQ2 2016","Currency=INR","Period=FQ","BEST_FPERIOD_OVERRIDE=FQ","FILING_STATUS=OR","EQY_CONSOLIDATED=Y","FA_ADJUSTED=GAAP","Sort=A","Dates=H","DateFormat=P","Fill=—","Direction=H","UseDPDF=Y")</f>
        <v>#NAME?</v>
      </c>
      <c r="W90" s="2" t="e">
        <f ca="1">_xll.BDH($C$78,"EARN_FOR_COM_GROWTH","FQ2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90" s="2" t="e">
        <f ca="1">_xll.BDH($C$78,"DILUTED_EPS_AFT_XO_ITEMS_GROWTH","FQ2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90" s="2" t="e">
        <f ca="1">_xll.BDH($C$78,"DIVIDEND_PER_SHARE_1_YEAR_GROWTH","FQ2 2016","FQ2 2016","Currency=INR","Period=FQ","BEST_FPERIOD_OVERRIDE=FQ","FILING_STATUS=OR","EQY_CONSOLIDATED=Y","Sort=A","Dates=H","DateFormat=P","Fill=—","Direction=H","UseDPDF=Y")</f>
        <v>#NAME?</v>
      </c>
      <c r="Z90" s="2" t="e">
        <f ca="1">_xll.BDH($C$78,"ACCOUNTS_RECEIVABLE_GROWTH","FQ2 2016","FQ2 2016","Currency=INR","Period=FQ","BEST_FPERIOD_OVERRIDE=FQ","FILING_STATUS=OR","EQY_CONSOLIDATED=Y","Sort=A","Dates=H","DateFormat=P","Fill=—","Direction=H","UseDPDF=Y")</f>
        <v>#NAME?</v>
      </c>
      <c r="AA90" s="2" t="e">
        <f ca="1">_xll.BDH($C$78,"INVENTORY_GROWTH","FQ2 2016","FQ2 2016","Currency=INR","Period=FQ","BEST_FPERIOD_OVERRIDE=FQ","FILING_STATUS=OR","EQY_CONSOLIDATED=Y","Sort=A","Dates=H","DateFormat=P","Fill=—","Direction=H","UseDPDF=Y")</f>
        <v>#NAME?</v>
      </c>
      <c r="AB90" s="2" t="e">
        <f ca="1">_xll.BDH($C$78,"NET_FIXED_ASSETS_1_YEAR_GROWTH","FQ2 2016","FQ2 2016","Currency=INR","Period=FQ","BEST_FPERIOD_OVERRIDE=FQ","FILING_STATUS=OR","EQY_CONSOLIDATED=Y","Sort=A","Dates=H","DateFormat=P","Fill=—","Direction=H","UseDPDF=Y")</f>
        <v>#NAME?</v>
      </c>
      <c r="AC90" s="2" t="e">
        <f ca="1">_xll.BDH($C$78,"ASSET_GROWTH","FQ2 2016","FQ2 2016","Currency=INR","Period=FQ","BEST_FPERIOD_OVERRIDE=FQ","FILING_STATUS=OR","EQY_CONSOLIDATED=Y","Sort=A","Dates=H","DateFormat=P","Fill=—","Direction=H","UseDPDF=Y")</f>
        <v>#NAME?</v>
      </c>
      <c r="AD90" s="2" t="e">
        <f ca="1">_xll.BDH($C$78,"MODIFIED_WORK_CAP_GROWTH","FQ2 2016","FQ2 2016","Currency=INR","Period=FQ","BEST_FPERIOD_OVERRIDE=FQ","FILING_STATUS=OR","EQY_CONSOLIDATED=Y","Sort=A","Dates=H","DateFormat=P","Fill=—","Direction=H","UseDPDF=Y")</f>
        <v>#NAME?</v>
      </c>
      <c r="AE90" s="2" t="e">
        <f ca="1">_xll.BDH($C$78,"WORK_CAP_GROWTH","FQ2 2016","FQ2 2016","Currency=INR","Period=FQ","BEST_FPERIOD_OVERRIDE=FQ","FILING_STATUS=OR","EQY_CONSOLIDATED=Y","Sort=A","Dates=H","DateFormat=P","Fill=—","Direction=H","UseDPDF=Y")</f>
        <v>#NAME?</v>
      </c>
      <c r="AF90" s="2" t="e">
        <f ca="1">_xll.BDH($C$78,"ACCOUNTS_PAYABLE_GROWTH_1YR","FQ2 2016","FQ2 2016","Currency=INR","Period=FQ","BEST_FPERIOD_OVERRIDE=FQ","FILING_STATUS=OR","EQY_CONSOLIDATED=Y","Sort=A","Dates=H","DateFormat=P","Fill=—","Direction=H","UseDPDF=Y")</f>
        <v>#NAME?</v>
      </c>
      <c r="AG90" s="2" t="e">
        <f ca="1">_xll.BDH($C$78,"SHORT_TERM_DEBT_1_YEAR_GROWTH","FQ2 2016","FQ2 2016","Currency=INR","Period=FQ","BEST_FPERIOD_OVERRIDE=FQ","FILING_STATUS=OR","EQY_CONSOLIDATED=Y","Sort=A","Dates=H","DateFormat=P","Fill=—","Direction=H","UseDPDF=Y")</f>
        <v>#NAME?</v>
      </c>
      <c r="AH90" s="2" t="e">
        <f ca="1">_xll.BDH($C$78,"TOTAL_DEBT_1_YEAR_GROWTH","FQ2 2016","FQ2 2016","Currency=INR","Period=FQ","BEST_FPERIOD_OVERRIDE=FQ","FILING_STATUS=OR","EQY_CONSOLIDATED=Y","Sort=A","Dates=H","DateFormat=P","Fill=—","Direction=H","UseDPDF=Y")</f>
        <v>#NAME?</v>
      </c>
      <c r="AI90" s="2" t="e">
        <f ca="1">_xll.BDH($C$78,"TOTAL_EQUITY_1_YEAR_GROWTH","FQ2 2016","FQ2 2016","Currency=INR","Period=FQ","BEST_FPERIOD_OVERRIDE=FQ","FILING_STATUS=OR","EQY_CONSOLIDATED=Y","Sort=A","Dates=H","DateFormat=P","Fill=—","Direction=H","UseDPDF=Y")</f>
        <v>#NAME?</v>
      </c>
      <c r="AJ90" s="2" t="e">
        <f ca="1">_xll.BDH($C$78,"GROWTH_IN_CAP","FQ2 2016","FQ2 2016","Currency=INR","Period=FQ","BEST_FPERIOD_OVERRIDE=FQ","FILING_STATUS=OR","EQY_CONSOLIDATED=Y","Sort=A","Dates=H","DateFormat=P","Fill=—","Direction=H","UseDPDF=Y")</f>
        <v>#NAME?</v>
      </c>
      <c r="AK90" s="2" t="e">
        <f ca="1">_xll.BDH($C$78,"BVPS_GROWTH","FQ2 2016","FQ2 2016","Currency=INR","Period=FQ","BEST_FPERIOD_OVERRIDE=FQ","FILING_STATUS=OR","EQY_CONSOLIDATED=Y","Sort=A","Dates=H","DateFormat=P","Fill=—","Direction=H","UseDPDF=Y")</f>
        <v>#NAME?</v>
      </c>
      <c r="AL90" s="2" t="e">
        <f ca="1">_xll.BDH($C$78,"CASH_FLOW_GROWTH","FQ2 2016","FQ2 2016","Currency=INR","Period=FQ","BEST_FPERIOD_OVERRIDE=FQ","FILING_STATUS=OR","EQY_CONSOLIDATED=Y","Sort=A","Dates=H","DateFormat=P","Fill=—","Direction=H","UseDPDF=Y")</f>
        <v>#NAME?</v>
      </c>
      <c r="AM90" s="2" t="e">
        <f ca="1">_xll.BDH($C$78,"GEO_GROW_NET_SALES","FQ2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90" s="2" t="e">
        <f ca="1">_xll.BDH($C$78,"GEO_GROW_EBITDA","FQ2 2016","FQ2 2016","Currency=INR","Period=FQ","BEST_FPERIOD_OVERRIDE=FQ","FILING_STATUS=OR","EQY_CONSOLIDATED=Y","FA_ADJUSTED=GAAP","Sort=A","Dates=H","DateFormat=P","Fill=—","Direction=H","UseDPDF=Y")</f>
        <v>#NAME?</v>
      </c>
      <c r="AO90" s="2" t="e">
        <f ca="1">_xll.BDH($C$78,"GEO_GROW_OPER_INC","FQ2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90" s="2" t="e">
        <f ca="1">_xll.BDH($C$78,"NET_INCOME_TO_COMMON_5_YR_GROWTH","FQ2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90" s="2" t="e">
        <f ca="1">_xll.BDH($C$78,"5Y_GEO_GROWTH_DILUTED_EPS","FQ2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90" s="2" t="e">
        <f ca="1">_xll.BDH($C$78,"GEO_GROW_DVD_PER_SH","FQ2 2016","FQ2 2016","Currency=INR","Period=FQ","BEST_FPERIOD_OVERRIDE=FQ","FILING_STATUS=OR","EQY_CONSOLIDATED=Y","Sort=A","Dates=H","DateFormat=P","Fill=—","Direction=H","UseDPDF=Y")</f>
        <v>#NAME?</v>
      </c>
      <c r="AS90" s="2" t="e">
        <f ca="1">_xll.BDH($C$78,"ACCOUNTS_RECEIVABLE_5_YR_GROWTH","FQ2 2016","FQ2 2016","Currency=INR","Period=FQ","BEST_FPERIOD_OVERRIDE=FQ","FILING_STATUS=OR","EQY_CONSOLIDATED=Y","Sort=A","Dates=H","DateFormat=P","Fill=—","Direction=H","UseDPDF=Y")</f>
        <v>#NAME?</v>
      </c>
      <c r="AT90" s="2" t="e">
        <f ca="1">_xll.BDH($C$78,"INVENTORY_5_YEAR_GROWTH","FQ2 2016","FQ2 2016","Currency=INR","Period=FQ","BEST_FPERIOD_OVERRIDE=FQ","FILING_STATUS=OR","EQY_CONSOLIDATED=Y","Sort=A","Dates=H","DateFormat=P","Fill=—","Direction=H","UseDPDF=Y")</f>
        <v>#NAME?</v>
      </c>
      <c r="AU90" s="2" t="e">
        <f ca="1">_xll.BDH($C$78,"NET_FIXED_ASSETS_5_YEAR_GROWTH","FQ2 2016","FQ2 2016","Currency=INR","Period=FQ","BEST_FPERIOD_OVERRIDE=FQ","FILING_STATUS=OR","EQY_CONSOLIDATED=Y","Sort=A","Dates=H","DateFormat=P","Fill=—","Direction=H","UseDPDF=Y")</f>
        <v>#NAME?</v>
      </c>
      <c r="AV90" s="2" t="e">
        <f ca="1">_xll.BDH($C$78,"GEO_GROW_TOT_ASSET","FQ2 2016","FQ2 2016","Currency=INR","Period=FQ","BEST_FPERIOD_OVERRIDE=FQ","FILING_STATUS=OR","EQY_CONSOLIDATED=Y","Sort=A","Dates=H","DateFormat=P","Fill=—","Direction=H","UseDPDF=Y")</f>
        <v>#NAME?</v>
      </c>
      <c r="AW90" s="2" t="e">
        <f ca="1">_xll.BDH($C$78,"MODIFIED_WORKING_CPTL_5YR_GRWTH","FQ2 2016","FQ2 2016","Currency=INR","Period=FQ","BEST_FPERIOD_OVERRIDE=FQ","FILING_STATUS=OR","EQY_CONSOLIDATED=Y","Sort=A","Dates=H","DateFormat=P","Fill=—","Direction=H","UseDPDF=Y")</f>
        <v>#NAME?</v>
      </c>
      <c r="AX90" s="2" t="e">
        <f ca="1">_xll.BDH($C$78,"WORKING_CAPITAL_5_YEAR_GROWTH","FQ2 2016","FQ2 2016","Currency=INR","Period=FQ","BEST_FPERIOD_OVERRIDE=FQ","FILING_STATUS=OR","EQY_CONSOLIDATED=Y","Sort=A","Dates=H","DateFormat=P","Fill=—","Direction=H","UseDPDF=Y")</f>
        <v>#NAME?</v>
      </c>
      <c r="AY90" s="2" t="e">
        <f ca="1">_xll.BDH($C$78,"ACCOUNTS_PAYABLE_5_YEAR_GROWTH","FQ2 2016","FQ2 2016","Currency=INR","Period=FQ","BEST_FPERIOD_OVERRIDE=FQ","FILING_STATUS=OR","EQY_CONSOLIDATED=Y","Sort=A","Dates=H","DateFormat=P","Fill=—","Direction=H","UseDPDF=Y")</f>
        <v>#NAME?</v>
      </c>
      <c r="AZ90" s="2" t="e">
        <f ca="1">_xll.BDH($C$78,"SHORT_TERM_DEBT_5_YEAR_GROWTH","FQ2 2016","FQ2 2016","Currency=INR","Period=FQ","BEST_FPERIOD_OVERRIDE=FQ","FILING_STATUS=OR","EQY_CONSOLIDATED=Y","Sort=A","Dates=H","DateFormat=P","Fill=—","Direction=H","UseDPDF=Y")</f>
        <v>#NAME?</v>
      </c>
      <c r="BA90" s="2" t="e">
        <f ca="1">_xll.BDH($C$78,"TOTAL_DEBT_5_YEAR_GROWTH","FQ2 2016","FQ2 2016","Currency=INR","Period=FQ","BEST_FPERIOD_OVERRIDE=FQ","FILING_STATUS=OR","EQY_CONSOLIDATED=Y","Sort=A","Dates=H","DateFormat=P","Fill=—","Direction=H","UseDPDF=Y")</f>
        <v>#NAME?</v>
      </c>
      <c r="BB90" s="2" t="e">
        <f ca="1">_xll.BDH($C$78,"GEO_GROW_TOT_SHRHLDR_EQY","FQ2 2016","FQ2 2016","Currency=INR","Period=FQ","BEST_FPERIOD_OVERRIDE=FQ","FILING_STATUS=OR","EQY_CONSOLIDATED=Y","Sort=A","Dates=H","DateFormat=P","Fill=—","Direction=H","UseDPDF=Y")</f>
        <v>#NAME?</v>
      </c>
      <c r="BC90" s="2" t="e">
        <f ca="1">_xll.BDH($C$78,"TOTAL_CAPITAL_5_YEAR_GROWTH","FQ2 2016","FQ2 2016","Currency=INR","Period=FQ","BEST_FPERIOD_OVERRIDE=FQ","FILING_STATUS=OR","EQY_CONSOLIDATED=Y","Sort=A","Dates=H","DateFormat=P","Fill=—","Direction=H","UseDPDF=Y")</f>
        <v>#NAME?</v>
      </c>
      <c r="BD90" s="2" t="e">
        <f ca="1">_xll.BDH($C$78,"GEO_GROW_BOOK_VAL","FQ2 2016","FQ2 2016","Currency=INR","Period=FQ","BEST_FPERIOD_OVERRIDE=FQ","FILING_STATUS=OR","EQY_CONSOLIDATED=Y","Sort=A","Dates=H","DateFormat=P","Fill=—","Direction=H","UseDPDF=Y")</f>
        <v>#NAME?</v>
      </c>
      <c r="BE90" s="2" t="e">
        <f ca="1">_xll.BDH($C$78,"GEO_GROW_CASH_OPER_ACT","FQ2 2016","FQ2 2016","Currency=INR","Period=FQ","BEST_FPERIOD_OVERRIDE=FQ","FILING_STATUS=OR","EQY_CONSOLIDATED=Y","Sort=A","Dates=H","DateFormat=P","Fill=—","Direction=H","UseDPDF=Y")</f>
        <v>#NAME?</v>
      </c>
      <c r="BF90" s="2" t="e">
        <f ca="1">_xll.BDH($C$78,"REVENUE_SEQUENTIAL_GROWTH","FQ2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90" s="2" t="e">
        <f ca="1">_xll.BDH($C$78,"EBITDA_SEQUENTIAL_GROWTH","FQ2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90" s="2" t="e">
        <f ca="1">_xll.BDH($C$78,"OPERATING_INCOME_SEQ_GROWTH","FQ2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90" s="2" t="e">
        <f ca="1">_xll.BDH($C$78,"NET_INCOME_TO_COMMON_SEQ_GROWTH","FQ2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90" s="2" t="e">
        <f ca="1">_xll.BDH($C$78,"EPS_DILUTED_SEQUENTIAL_GROWTH","FQ2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90" s="2" t="e">
        <f ca="1">_xll.BDH($C$78,"DPS_SEQUENTIAL_GROWTH","FQ2 2016","FQ2 2016","Currency=INR","Period=FQ","BEST_FPERIOD_OVERRIDE=FQ","FILING_STATUS=OR","EQY_CONSOLIDATED=Y","Sort=A","Dates=H","DateFormat=P","Fill=—","Direction=H","UseDPDF=Y")</f>
        <v>#NAME?</v>
      </c>
      <c r="BL90" s="2" t="e">
        <f ca="1">_xll.BDH($C$78,"ACCOUNTS_RECEIVABLE_SEQ_GROWTH","FQ2 2016","FQ2 2016","Currency=INR","Period=FQ","BEST_FPERIOD_OVERRIDE=FQ","FILING_STATUS=OR","EQY_CONSOLIDATED=Y","Sort=A","Dates=H","DateFormat=P","Fill=—","Direction=H","UseDPDF=Y")</f>
        <v>#NAME?</v>
      </c>
      <c r="BM90" s="2" t="e">
        <f ca="1">_xll.BDH($C$78,"INVENTORY_SEQUENTIAL_GROWTH","FQ2 2016","FQ2 2016","Currency=INR","Period=FQ","BEST_FPERIOD_OVERRIDE=FQ","FILING_STATUS=OR","EQY_CONSOLIDATED=Y","Sort=A","Dates=H","DateFormat=P","Fill=—","Direction=H","UseDPDF=Y")</f>
        <v>#NAME?</v>
      </c>
      <c r="BN90" s="2" t="e">
        <f ca="1">_xll.BDH($C$78,"FIXED_ASSETS_SEQUENTIAL_GROWTH","FQ2 2016","FQ2 2016","Currency=INR","Period=FQ","BEST_FPERIOD_OVERRIDE=FQ","FILING_STATUS=OR","EQY_CONSOLIDATED=Y","Sort=A","Dates=H","DateFormat=P","Fill=—","Direction=H","UseDPDF=Y")</f>
        <v>#NAME?</v>
      </c>
      <c r="BO90" s="2" t="e">
        <f ca="1">_xll.BDH($C$78,"TOTAL_ASSETS_SEQUENTIAL_GROWTH","FQ2 2016","FQ2 2016","Currency=INR","Period=FQ","BEST_FPERIOD_OVERRIDE=FQ","FILING_STATUS=OR","EQY_CONSOLIDATED=Y","Sort=A","Dates=H","DateFormat=P","Fill=—","Direction=H","UseDPDF=Y")</f>
        <v>#NAME?</v>
      </c>
      <c r="BP90" s="2" t="e">
        <f ca="1">_xll.BDH($C$78,"MODIFIED_WORKING_CPTL_SEQ_GRWTH","FQ2 2016","FQ2 2016","Currency=INR","Period=FQ","BEST_FPERIOD_OVERRIDE=FQ","FILING_STATUS=OR","EQY_CONSOLIDATED=Y","Sort=A","Dates=H","DateFormat=P","Fill=—","Direction=H","UseDPDF=Y")</f>
        <v>#NAME?</v>
      </c>
      <c r="BQ90" s="2" t="e">
        <f ca="1">_xll.BDH($C$78,"WORKING_CAPITAL_SEQ_GROWTH","FQ2 2016","FQ2 2016","Currency=INR","Period=FQ","BEST_FPERIOD_OVERRIDE=FQ","FILING_STATUS=OR","EQY_CONSOLIDATED=Y","Sort=A","Dates=H","DateFormat=P","Fill=—","Direction=H","UseDPDF=Y")</f>
        <v>#NAME?</v>
      </c>
      <c r="BR90" s="2" t="e">
        <f ca="1">_xll.BDH($C$78,"ACCOUNTS_PAYABLE_SEQ_GROWTH","FQ2 2016","FQ2 2016","Currency=INR","Period=FQ","BEST_FPERIOD_OVERRIDE=FQ","FILING_STATUS=OR","EQY_CONSOLIDATED=Y","Sort=A","Dates=H","DateFormat=P","Fill=—","Direction=H","UseDPDF=Y")</f>
        <v>#NAME?</v>
      </c>
      <c r="BS90" s="2" t="e">
        <f ca="1">_xll.BDH($C$78,"ST_DEBT_SEQUENTIAL_GROWTH","FQ2 2016","FQ2 2016","Currency=INR","Period=FQ","BEST_FPERIOD_OVERRIDE=FQ","FILING_STATUS=OR","EQY_CONSOLIDATED=Y","Sort=A","Dates=H","DateFormat=P","Fill=—","Direction=H","UseDPDF=Y")</f>
        <v>#NAME?</v>
      </c>
      <c r="BT90" s="2" t="e">
        <f ca="1">_xll.BDH($C$78,"TOTAL_DEBT_SEQUENTIAL_GROWTH","FQ2 2016","FQ2 2016","Currency=INR","Period=FQ","BEST_FPERIOD_OVERRIDE=FQ","FILING_STATUS=OR","EQY_CONSOLIDATED=Y","Sort=A","Dates=H","DateFormat=P","Fill=—","Direction=H","UseDPDF=Y")</f>
        <v>#NAME?</v>
      </c>
      <c r="BU90" s="2" t="e">
        <f ca="1">_xll.BDH($C$78,"TOTAL_EQUITY_SEQUENTIAL_GROWTH","FQ2 2016","FQ2 2016","Currency=INR","Period=FQ","BEST_FPERIOD_OVERRIDE=FQ","FILING_STATUS=OR","EQY_CONSOLIDATED=Y","Sort=A","Dates=H","DateFormat=P","Fill=—","Direction=H","UseDPDF=Y")</f>
        <v>#NAME?</v>
      </c>
      <c r="BV90" s="2" t="e">
        <f ca="1">_xll.BDH($C$78,"TOTAL_CAPITAL_SEQUENTIAL_GROWTH","FQ2 2016","FQ2 2016","Currency=INR","Period=FQ","BEST_FPERIOD_OVERRIDE=FQ","FILING_STATUS=OR","EQY_CONSOLIDATED=Y","Sort=A","Dates=H","DateFormat=P","Fill=—","Direction=H","UseDPDF=Y")</f>
        <v>#NAME?</v>
      </c>
      <c r="BW90" s="2" t="e">
        <f ca="1">_xll.BDH($C$78,"BPS_SEQUENTIAL_GROWTH","FQ2 2016","FQ2 2016","Currency=INR","Period=FQ","BEST_FPERIOD_OVERRIDE=FQ","FILING_STATUS=OR","EQY_CONSOLIDATED=Y","Sort=A","Dates=H","DateFormat=P","Fill=—","Direction=H","UseDPDF=Y")</f>
        <v>#NAME?</v>
      </c>
      <c r="BX90" s="2" t="e">
        <f ca="1">_xll.BDH($C$78,"CFO_SEQUENTIAL_GROWTH","FQ2 2016","FQ2 2016","Currency=INR","Period=FQ","BEST_FPERIOD_OVERRIDE=FQ","FILING_STATUS=OR","EQY_CONSOLIDATED=Y","Sort=A","Dates=H","DateFormat=P","Fill=—","Direction=H","UseDPDF=Y")</f>
        <v>#NAME?</v>
      </c>
      <c r="BY90" s="3" t="e">
        <f ca="1">_xll.BDH($C$78,"SHORT_AND_LONG_TERM_DEBT","FQ2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90" s="3" t="e">
        <f ca="1">_xll.BDH($C$78,"BS_ST_BORROW","FQ2 2016","FQ2 2016","Currency=INR","Period=FQ","BEST_FPERIOD_OVERRIDE=FQ","FILING_STATUS=OR","EQY_CONSOLIDATED=Y","SCALING_FORMAT=MLN","Sort=A","Dates=H","DateFormat=P","Fill=—","Direction=H","UseDPDF=Y")</f>
        <v>#NAME?</v>
      </c>
      <c r="CA90" s="3" t="e">
        <f ca="1">_xll.BDH($C$78,"BS_LT_BORROW","FQ2 2016","FQ2 2016","Currency=INR","Period=FQ","BEST_FPERIOD_OVERRIDE=FQ","FILING_STATUS=OR","EQY_CONSOLIDATED=Y","SCALING_FORMAT=MLN","Sort=A","Dates=H","DateFormat=P","Fill=—","Direction=H","UseDPDF=Y")</f>
        <v>#NAME?</v>
      </c>
      <c r="CB90" s="2" t="e">
        <f ca="1">_xll.BDH($C$78,"TOT_DEBT_TO_EBITDA","FQ2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90" s="2" t="e">
        <f ca="1">_xll.BDH($C$78,"NET_DEBT_TO_EBITDA","FQ2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90" s="2" t="e">
        <f ca="1">_xll.BDH($C$78,"TOTAL_DEBT_TO_EBIT","FQ2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90" s="2" t="e">
        <f ca="1">_xll.BDH($C$78,"NET_DEBT_TO_EBIT","FQ2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90" s="2" t="e">
        <f ca="1">_xll.BDH($C$78,"EBITDA_TO_INTEREST_EXPN","FQ2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90" s="2" t="e">
        <f ca="1">_xll.BDH($C$78,"COM_EQY_TO_TOT_ASSET","FQ2 2016","FQ2 2016","Currency=INR","Period=FQ","BEST_FPERIOD_OVERRIDE=FQ","FILING_STATUS=OR","EQY_CONSOLIDATED=Y","Sort=A","Dates=H","DateFormat=P","Fill=—","Direction=H","UseDPDF=Y")</f>
        <v>#NAME?</v>
      </c>
      <c r="CH90" s="2" t="e">
        <f ca="1">_xll.BDH($C$78,"LT_DEBT_TO_TOT_EQY","FQ2 2016","FQ2 2016","Currency=INR","Period=FQ","BEST_FPERIOD_OVERRIDE=FQ","FILING_STATUS=OR","EQY_CONSOLIDATED=Y","Sort=A","Dates=H","DateFormat=P","Fill=—","Direction=H","UseDPDF=Y")</f>
        <v>#NAME?</v>
      </c>
      <c r="CI90" s="2" t="e">
        <f ca="1">_xll.BDH($C$78,"LT_DEBT_TO_TOT_CAP","FQ2 2016","FQ2 2016","Currency=INR","Period=FQ","BEST_FPERIOD_OVERRIDE=FQ","FILING_STATUS=OR","EQY_CONSOLIDATED=Y","Sort=A","Dates=H","DateFormat=P","Fill=—","Direction=H","UseDPDF=Y")</f>
        <v>#NAME?</v>
      </c>
      <c r="CJ90" s="2" t="e">
        <f ca="1">_xll.BDH($C$78,"LT_DEBT_TO_TOT_ASSET","FQ2 2016","FQ2 2016","Currency=INR","Period=FQ","BEST_FPERIOD_OVERRIDE=FQ","FILING_STATUS=OR","EQY_CONSOLIDATED=Y","Sort=A","Dates=H","DateFormat=P","Fill=—","Direction=H","UseDPDF=Y")</f>
        <v>#NAME?</v>
      </c>
      <c r="CK90" s="2" t="e">
        <f ca="1">_xll.BDH($C$78,"TOT_DEBT_TO_TOT_EQY","FQ2 2016","FQ2 2016","Currency=INR","Period=FQ","BEST_FPERIOD_OVERRIDE=FQ","FILING_STATUS=OR","EQY_CONSOLIDATED=Y","Sort=A","Dates=H","DateFormat=P","Fill=—","Direction=H","UseDPDF=Y")</f>
        <v>#NAME?</v>
      </c>
      <c r="CL90" s="2" t="e">
        <f ca="1">_xll.BDH($C$78,"TOT_DEBT_TO_TOT_CAP","FQ2 2016","FQ2 2016","Currency=INR","Period=FQ","BEST_FPERIOD_OVERRIDE=FQ","FILING_STATUS=OR","EQY_CONSOLIDATED=Y","Sort=A","Dates=H","DateFormat=P","Fill=—","Direction=H","UseDPDF=Y")</f>
        <v>#NAME?</v>
      </c>
      <c r="CM90" s="2" t="e">
        <f ca="1">_xll.BDH($C$78,"TOT_DEBT_TO_TOT_ASSET","FQ2 2016","FQ2 2016","Currency=INR","Period=FQ","BEST_FPERIOD_OVERRIDE=FQ","FILING_STATUS=OR","EQY_CONSOLIDATED=Y","Sort=A","Dates=H","DateFormat=P","Fill=—","Direction=H","UseDPDF=Y")</f>
        <v>#NAME?</v>
      </c>
      <c r="CN90" s="2" t="e">
        <f ca="1">_xll.BDH($C$78,"NET_DEBT_TO_SHRHLDR_EQTY","FQ2 2016","FQ2 2016","Currency=INR","Period=FQ","BEST_FPERIOD_OVERRIDE=FQ","FILING_STATUS=OR","EQY_CONSOLIDATED=Y","Sort=A","Dates=H","DateFormat=P","Fill=—","Direction=H","UseDPDF=Y")</f>
        <v>#NAME?</v>
      </c>
      <c r="CO90" s="2" t="e">
        <f ca="1">_xll.BDH($C$78,"NET_DEBT_%_CAPITAL","FQ2 2016","FQ2 2016","Currency=INR","Period=FQ","BEST_FPERIOD_OVERRIDE=FQ","FILING_STATUS=OR","EQY_CONSOLIDATED=Y","Sort=A","Dates=H","DateFormat=P","Fill=—","Direction=H","UseDPDF=Y")</f>
        <v>#NAME?</v>
      </c>
      <c r="CP90" s="3" t="e">
        <f ca="1">_xll.BDH($C$78,"EBITDA","FQ2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90" s="3" t="e">
        <f ca="1">_xll.BDH($C$78,"EBITDA_AFTER_CAPEX","FQ2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90" s="3" t="e">
        <f ca="1">_xll.BDH($C$78,"IS_OPER_INC","FQ2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90" s="2" t="e">
        <f ca="1">_xll.BDH($C$78,"CASH_RATIO","FQ2 2016","FQ2 2016","Currency=INR","Period=FQ","BEST_FPERIOD_OVERRIDE=FQ","FILING_STATUS=OR","EQY_CONSOLIDATED=Y","Sort=A","Dates=H","DateFormat=P","Fill=—","Direction=H","UseDPDF=Y")</f>
        <v>#NAME?</v>
      </c>
      <c r="CT90" s="2" t="e">
        <f ca="1">_xll.BDH($C$78,"CUR_RATIO","FQ2 2016","FQ2 2016","Currency=INR","Period=FQ","BEST_FPERIOD_OVERRIDE=FQ","FILING_STATUS=OR","EQY_CONSOLIDATED=Y","Sort=A","Dates=H","DateFormat=P","Fill=—","Direction=H","UseDPDF=Y")</f>
        <v>#NAME?</v>
      </c>
      <c r="CU90" s="2" t="e">
        <f ca="1">_xll.BDH($C$78,"QUICK_RATIO","FQ2 2016","FQ2 2016","Currency=INR","Period=FQ","BEST_FPERIOD_OVERRIDE=FQ","FILING_STATUS=OR","EQY_CONSOLIDATED=Y","Sort=A","Dates=H","DateFormat=P","Fill=—","Direction=H","UseDPDF=Y")</f>
        <v>#NAME?</v>
      </c>
      <c r="CV90" s="2" t="e">
        <f ca="1">_xll.BDH($C$78,"ALTMAN_Z_SCORE","FQ2 2016","FQ2 2016","Currency=INR","Period=FQ","BEST_FPERIOD_OVERRIDE=FQ","FILING_STATUS=OR","EQY_CONSOLIDATED=Y","Sort=A","Dates=H","DateFormat=P","Fill=—","Direction=H","UseDPDF=Y")</f>
        <v>#NAME?</v>
      </c>
      <c r="CW90" s="4" t="e">
        <f ca="1">_xll.BDH($C$78,"ACCT_RCV_TURN","FQ2 2016","FQ2 2016","Currency=INR","Period=FQ","BEST_FPERIOD_OVERRIDE=FQ","FILING_STATUS=OR","EQY_CONSOLIDATED=Y","FA_ADJUSTED=GAAP","Sort=A","Dates=H","DateFormat=P","Fill=—","Direction=H","UseDPDF=Y")</f>
        <v>#NAME?</v>
      </c>
      <c r="CX90" s="2" t="e">
        <f ca="1">_xll.BDH($C$78,"ACCT_RCV_DAYS","FQ2 2016","FQ2 2016","Currency=INR","Period=FQ","BEST_FPERIOD_OVERRIDE=FQ","FILING_STATUS=OR","EQY_CONSOLIDATED=Y","FA_ADJUSTED=GAAP","Sort=A","Dates=H","DateFormat=P","Fill=—","Direction=H","UseDPDF=Y")</f>
        <v>#NAME?</v>
      </c>
      <c r="CY90" s="4" t="e">
        <f ca="1">_xll.BDH($C$78,"INVENT_TURN","FQ2 2016","FQ2 2016","Currency=INR","Period=FQ","BEST_FPERIOD_OVERRIDE=FQ","FILING_STATUS=OR","EQY_CONSOLIDATED=Y","FA_ADJUSTED=GAAP","Sort=A","Dates=H","DateFormat=P","Fill=—","Direction=H","UseDPDF=Y")</f>
        <v>#NAME?</v>
      </c>
      <c r="CZ90" s="2" t="e">
        <f ca="1">_xll.BDH($C$78,"INVENT_DAYS","FQ2 2016","FQ2 2016","Currency=INR","Period=FQ","BEST_FPERIOD_OVERRIDE=FQ","FILING_STATUS=OR","EQY_CONSOLIDATED=Y","FA_ADJUSTED=GAAP","Sort=A","Dates=H","DateFormat=P","Fill=—","Direction=H","UseDPDF=Y")</f>
        <v>#NAME?</v>
      </c>
      <c r="DA90" s="4" t="e">
        <f ca="1">_xll.BDH($C$78,"ACCOUNTS_PAYABLE_TURNOVER","FQ2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90" s="2" t="e">
        <f ca="1">_xll.BDH($C$78,"ACCOUNTS_PAYABLE_TURNOVER_DAYS","FQ2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90" s="4" t="e">
        <f ca="1">_xll.BDH($C$78,"CASH_CONVERSION_CYCLE","FQ2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90" s="4" t="e">
        <f ca="1">_xll.BDH($C$78,"INV_TO_CASH_DAYS","FQ2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90" s="5" t="e">
        <f ca="1">_xll.BDH($C$78,"BS_INVENTORIES","FQ2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90" s="3" t="e">
        <f ca="1">_xll.BDH($C$78,"INVTRY_RAW_MATERIALS","FQ2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90" s="3" t="e">
        <f ca="1">_xll.BDH($C$78,"INVTRY_IN_PROGRESS","FQ2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90" s="3" t="e">
        <f ca="1">_xll.BDH($C$78,"INVTRY_FINISHED_GOODS","FQ2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90" s="3" t="e">
        <f ca="1">_xll.BDH($C$78,"BS_OTHER_INV","FQ2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91" spans="1:113" x14ac:dyDescent="0.3">
      <c r="A91" s="6"/>
      <c r="B91" s="6"/>
      <c r="C91" s="6"/>
      <c r="D91" s="6"/>
      <c r="E91" t="s">
        <v>80</v>
      </c>
      <c r="F91" t="e">
        <f ca="1">_xll.BDH($C$78,"RETURN_COM_EQY","FQ3 2016","FQ3 2016","Currency=INR","Period=FQ","BEST_FPERIOD_OVERRIDE=FQ","FILING_STATUS=OR","EQY_CONSOLIDATED=Y","FA_ADJUSTED=GAAP","Sort=A","Dates=H","DateFormat=P","Fill=—","Direction=H","UseDPDF=Y")</f>
        <v>#NAME?</v>
      </c>
      <c r="G91" t="e">
        <f ca="1">_xll.BDH($C$78,"RETURN_ON_ASSET","FQ3 2016","FQ3 2016","Currency=INR","Period=FQ","BEST_FPERIOD_OVERRIDE=FQ","FILING_STATUS=OR","EQY_CONSOLIDATED=Y","FA_ADJUSTED=GAAP","Sort=A","Dates=H","DateFormat=P","Fill=—","Direction=H","UseDPDF=Y")</f>
        <v>#NAME?</v>
      </c>
      <c r="H91" t="e">
        <f ca="1">_xll.BDH($C$78,"RETURN_ON_CAP","FQ3 2016","FQ3 2016","Currency=INR","Period=FQ","BEST_FPERIOD_OVERRIDE=FQ","FILING_STATUS=OR","EQY_CONSOLIDATED=Y","FA_ADJUSTED=GAAP","Sort=A","Dates=H","DateFormat=P","Fill=—","Direction=H","UseDPDF=Y")</f>
        <v>#NAME?</v>
      </c>
      <c r="I91" t="e">
        <f ca="1">_xll.BDH($C$78,"RETURN_ON_INV_CAPITAL","FQ3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91" t="e">
        <f ca="1">_xll.BDH($C$78,"EBITDA_TO_REVENUE","FQ3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91" t="e">
        <f ca="1">_xll.BDH($C$78,"OPER_MARGIN","FQ3 2016","FQ3 2016","Currency=INR","Period=FQ","BEST_FPERIOD_OVERRIDE=FQ","FILING_STATUS=OR","EQY_CONSOLIDATED=Y","FA_ADJUSTED=GAAP","Sort=A","Dates=H","DateFormat=P","Fill=—","Direction=H","UseDPDF=Y")</f>
        <v>#NAME?</v>
      </c>
      <c r="L91" t="e">
        <f ca="1">_xll.BDH($C$78,"INCREMENTAL_OPERATING_MARGIN","FQ3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91" t="e">
        <f ca="1">_xll.BDH($C$78,"PRETAX_INC_TO_NET_SALES","FQ3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91" t="e">
        <f ca="1">_xll.BDH($C$78,"INC_BEF_XO_ITEMS_TO_NET_SALES","FQ3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91" t="e">
        <f ca="1">_xll.BDH($C$78,"PROF_MARGIN","FQ3 2016","FQ3 2016","Currency=INR","Period=FQ","BEST_FPERIOD_OVERRIDE=FQ","FILING_STATUS=OR","EQY_CONSOLIDATED=Y","FA_ADJUSTED=GAAP","Sort=A","Dates=H","DateFormat=P","Fill=—","Direction=H","UseDPDF=Y")</f>
        <v>#NAME?</v>
      </c>
      <c r="P91" t="e">
        <f ca="1">_xll.BDH($C$78,"NET_INCOME_TO_COMMON_MARGIN","FQ3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91" t="e">
        <f ca="1">_xll.BDH($C$78,"EFF_TAX_RATE","FQ3 2016","FQ3 2016","Currency=INR","Period=FQ","BEST_FPERIOD_OVERRIDE=FQ","FILING_STATUS=OR","EQY_CONSOLIDATED=Y","FA_ADJUSTED=GAAP","Sort=A","Dates=H","DateFormat=P","Fill=—","Direction=H","UseDPDF=Y")</f>
        <v>#NAME?</v>
      </c>
      <c r="R91" t="e">
        <f ca="1">_xll.BDH($C$78,"DVD_PAYOUT_RATIO","FQ3 2016","FQ3 2016","Currency=INR","Period=FQ","BEST_FPERIOD_OVERRIDE=FQ","FILING_STATUS=OR","EQY_CONSOLIDATED=Y","FA_ADJUSTED=GAAP","Sort=A","Dates=H","DateFormat=P","Fill=—","Direction=H","UseDPDF=Y")</f>
        <v>#NAME?</v>
      </c>
      <c r="S91" t="e">
        <f ca="1">_xll.BDH($C$78,"SUSTAIN_GROWTH_RT","FQ3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91" s="2" t="e">
        <f ca="1">_xll.BDH($C$78,"SALES_GROWTH","FQ3 2016","FQ3 2016","Currency=INR","Period=FQ","BEST_FPERIOD_OVERRIDE=FQ","FILING_STATUS=OR","EQY_CONSOLIDATED=Y","FA_ADJUSTED=GAAP","Sort=A","Dates=H","DateFormat=P","Fill=—","Direction=H","UseDPDF=Y")</f>
        <v>#NAME?</v>
      </c>
      <c r="U91" s="2" t="e">
        <f ca="1">_xll.BDH($C$78,"EBITDA_GROWTH","FQ3 2016","FQ3 2016","Currency=INR","Period=FQ","BEST_FPERIOD_OVERRIDE=FQ","FILING_STATUS=OR","EQY_CONSOLIDATED=Y","FA_ADJUSTED=GAAP","Sort=A","Dates=H","DateFormat=P","Fill=—","Direction=H","UseDPDF=Y")</f>
        <v>#NAME?</v>
      </c>
      <c r="V91" s="2" t="e">
        <f ca="1">_xll.BDH($C$78,"OPER_INC_GROWTH","FQ3 2016","FQ3 2016","Currency=INR","Period=FQ","BEST_FPERIOD_OVERRIDE=FQ","FILING_STATUS=OR","EQY_CONSOLIDATED=Y","FA_ADJUSTED=GAAP","Sort=A","Dates=H","DateFormat=P","Fill=—","Direction=H","UseDPDF=Y")</f>
        <v>#NAME?</v>
      </c>
      <c r="W91" s="2" t="e">
        <f ca="1">_xll.BDH($C$78,"EARN_FOR_COM_GROWTH","FQ3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91" s="2" t="e">
        <f ca="1">_xll.BDH($C$78,"DILUTED_EPS_AFT_XO_ITEMS_GROWTH","FQ3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91" s="2" t="e">
        <f ca="1">_xll.BDH($C$78,"DIVIDEND_PER_SHARE_1_YEAR_GROWTH","FQ3 2016","FQ3 2016","Currency=INR","Period=FQ","BEST_FPERIOD_OVERRIDE=FQ","FILING_STATUS=OR","EQY_CONSOLIDATED=Y","Sort=A","Dates=H","DateFormat=P","Fill=—","Direction=H","UseDPDF=Y")</f>
        <v>#NAME?</v>
      </c>
      <c r="Z91" s="2" t="e">
        <f ca="1">_xll.BDH($C$78,"ACCOUNTS_RECEIVABLE_GROWTH","FQ3 2016","FQ3 2016","Currency=INR","Period=FQ","BEST_FPERIOD_OVERRIDE=FQ","FILING_STATUS=OR","EQY_CONSOLIDATED=Y","Sort=A","Dates=H","DateFormat=P","Fill=—","Direction=H","UseDPDF=Y")</f>
        <v>#NAME?</v>
      </c>
      <c r="AA91" s="2" t="e">
        <f ca="1">_xll.BDH($C$78,"INVENTORY_GROWTH","FQ3 2016","FQ3 2016","Currency=INR","Period=FQ","BEST_FPERIOD_OVERRIDE=FQ","FILING_STATUS=OR","EQY_CONSOLIDATED=Y","Sort=A","Dates=H","DateFormat=P","Fill=—","Direction=H","UseDPDF=Y")</f>
        <v>#NAME?</v>
      </c>
      <c r="AB91" s="2" t="e">
        <f ca="1">_xll.BDH($C$78,"NET_FIXED_ASSETS_1_YEAR_GROWTH","FQ3 2016","FQ3 2016","Currency=INR","Period=FQ","BEST_FPERIOD_OVERRIDE=FQ","FILING_STATUS=OR","EQY_CONSOLIDATED=Y","Sort=A","Dates=H","DateFormat=P","Fill=—","Direction=H","UseDPDF=Y")</f>
        <v>#NAME?</v>
      </c>
      <c r="AC91" s="2" t="e">
        <f ca="1">_xll.BDH($C$78,"ASSET_GROWTH","FQ3 2016","FQ3 2016","Currency=INR","Period=FQ","BEST_FPERIOD_OVERRIDE=FQ","FILING_STATUS=OR","EQY_CONSOLIDATED=Y","Sort=A","Dates=H","DateFormat=P","Fill=—","Direction=H","UseDPDF=Y")</f>
        <v>#NAME?</v>
      </c>
      <c r="AD91" s="2" t="e">
        <f ca="1">_xll.BDH($C$78,"MODIFIED_WORK_CAP_GROWTH","FQ3 2016","FQ3 2016","Currency=INR","Period=FQ","BEST_FPERIOD_OVERRIDE=FQ","FILING_STATUS=OR","EQY_CONSOLIDATED=Y","Sort=A","Dates=H","DateFormat=P","Fill=—","Direction=H","UseDPDF=Y")</f>
        <v>#NAME?</v>
      </c>
      <c r="AE91" s="2" t="e">
        <f ca="1">_xll.BDH($C$78,"WORK_CAP_GROWTH","FQ3 2016","FQ3 2016","Currency=INR","Period=FQ","BEST_FPERIOD_OVERRIDE=FQ","FILING_STATUS=OR","EQY_CONSOLIDATED=Y","Sort=A","Dates=H","DateFormat=P","Fill=—","Direction=H","UseDPDF=Y")</f>
        <v>#NAME?</v>
      </c>
      <c r="AF91" s="2" t="e">
        <f ca="1">_xll.BDH($C$78,"ACCOUNTS_PAYABLE_GROWTH_1YR","FQ3 2016","FQ3 2016","Currency=INR","Period=FQ","BEST_FPERIOD_OVERRIDE=FQ","FILING_STATUS=OR","EQY_CONSOLIDATED=Y","Sort=A","Dates=H","DateFormat=P","Fill=—","Direction=H","UseDPDF=Y")</f>
        <v>#NAME?</v>
      </c>
      <c r="AG91" s="2" t="e">
        <f ca="1">_xll.BDH($C$78,"SHORT_TERM_DEBT_1_YEAR_GROWTH","FQ3 2016","FQ3 2016","Currency=INR","Period=FQ","BEST_FPERIOD_OVERRIDE=FQ","FILING_STATUS=OR","EQY_CONSOLIDATED=Y","Sort=A","Dates=H","DateFormat=P","Fill=—","Direction=H","UseDPDF=Y")</f>
        <v>#NAME?</v>
      </c>
      <c r="AH91" s="2" t="e">
        <f ca="1">_xll.BDH($C$78,"TOTAL_DEBT_1_YEAR_GROWTH","FQ3 2016","FQ3 2016","Currency=INR","Period=FQ","BEST_FPERIOD_OVERRIDE=FQ","FILING_STATUS=OR","EQY_CONSOLIDATED=Y","Sort=A","Dates=H","DateFormat=P","Fill=—","Direction=H","UseDPDF=Y")</f>
        <v>#NAME?</v>
      </c>
      <c r="AI91" s="2" t="e">
        <f ca="1">_xll.BDH($C$78,"TOTAL_EQUITY_1_YEAR_GROWTH","FQ3 2016","FQ3 2016","Currency=INR","Period=FQ","BEST_FPERIOD_OVERRIDE=FQ","FILING_STATUS=OR","EQY_CONSOLIDATED=Y","Sort=A","Dates=H","DateFormat=P","Fill=—","Direction=H","UseDPDF=Y")</f>
        <v>#NAME?</v>
      </c>
      <c r="AJ91" s="2" t="e">
        <f ca="1">_xll.BDH($C$78,"GROWTH_IN_CAP","FQ3 2016","FQ3 2016","Currency=INR","Period=FQ","BEST_FPERIOD_OVERRIDE=FQ","FILING_STATUS=OR","EQY_CONSOLIDATED=Y","Sort=A","Dates=H","DateFormat=P","Fill=—","Direction=H","UseDPDF=Y")</f>
        <v>#NAME?</v>
      </c>
      <c r="AK91" s="2" t="e">
        <f ca="1">_xll.BDH($C$78,"BVPS_GROWTH","FQ3 2016","FQ3 2016","Currency=INR","Period=FQ","BEST_FPERIOD_OVERRIDE=FQ","FILING_STATUS=OR","EQY_CONSOLIDATED=Y","Sort=A","Dates=H","DateFormat=P","Fill=—","Direction=H","UseDPDF=Y")</f>
        <v>#NAME?</v>
      </c>
      <c r="AL91" s="2" t="e">
        <f ca="1">_xll.BDH($C$78,"CASH_FLOW_GROWTH","FQ3 2016","FQ3 2016","Currency=INR","Period=FQ","BEST_FPERIOD_OVERRIDE=FQ","FILING_STATUS=OR","EQY_CONSOLIDATED=Y","Sort=A","Dates=H","DateFormat=P","Fill=—","Direction=H","UseDPDF=Y")</f>
        <v>#NAME?</v>
      </c>
      <c r="AM91" s="2" t="e">
        <f ca="1">_xll.BDH($C$78,"GEO_GROW_NET_SALES","FQ3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91" s="2" t="e">
        <f ca="1">_xll.BDH($C$78,"GEO_GROW_EBITDA","FQ3 2016","FQ3 2016","Currency=INR","Period=FQ","BEST_FPERIOD_OVERRIDE=FQ","FILING_STATUS=OR","EQY_CONSOLIDATED=Y","FA_ADJUSTED=GAAP","Sort=A","Dates=H","DateFormat=P","Fill=—","Direction=H","UseDPDF=Y")</f>
        <v>#NAME?</v>
      </c>
      <c r="AO91" s="2" t="e">
        <f ca="1">_xll.BDH($C$78,"GEO_GROW_OPER_INC","FQ3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91" s="2" t="e">
        <f ca="1">_xll.BDH($C$78,"NET_INCOME_TO_COMMON_5_YR_GROWTH","FQ3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91" s="2" t="e">
        <f ca="1">_xll.BDH($C$78,"5Y_GEO_GROWTH_DILUTED_EPS","FQ3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91" s="2" t="e">
        <f ca="1">_xll.BDH($C$78,"GEO_GROW_DVD_PER_SH","FQ3 2016","FQ3 2016","Currency=INR","Period=FQ","BEST_FPERIOD_OVERRIDE=FQ","FILING_STATUS=OR","EQY_CONSOLIDATED=Y","Sort=A","Dates=H","DateFormat=P","Fill=—","Direction=H","UseDPDF=Y")</f>
        <v>#NAME?</v>
      </c>
      <c r="AS91" s="2" t="e">
        <f ca="1">_xll.BDH($C$78,"ACCOUNTS_RECEIVABLE_5_YR_GROWTH","FQ3 2016","FQ3 2016","Currency=INR","Period=FQ","BEST_FPERIOD_OVERRIDE=FQ","FILING_STATUS=OR","EQY_CONSOLIDATED=Y","Sort=A","Dates=H","DateFormat=P","Fill=—","Direction=H","UseDPDF=Y")</f>
        <v>#NAME?</v>
      </c>
      <c r="AT91" s="2" t="e">
        <f ca="1">_xll.BDH($C$78,"INVENTORY_5_YEAR_GROWTH","FQ3 2016","FQ3 2016","Currency=INR","Period=FQ","BEST_FPERIOD_OVERRIDE=FQ","FILING_STATUS=OR","EQY_CONSOLIDATED=Y","Sort=A","Dates=H","DateFormat=P","Fill=—","Direction=H","UseDPDF=Y")</f>
        <v>#NAME?</v>
      </c>
      <c r="AU91" s="2" t="e">
        <f ca="1">_xll.BDH($C$78,"NET_FIXED_ASSETS_5_YEAR_GROWTH","FQ3 2016","FQ3 2016","Currency=INR","Period=FQ","BEST_FPERIOD_OVERRIDE=FQ","FILING_STATUS=OR","EQY_CONSOLIDATED=Y","Sort=A","Dates=H","DateFormat=P","Fill=—","Direction=H","UseDPDF=Y")</f>
        <v>#NAME?</v>
      </c>
      <c r="AV91" s="2" t="e">
        <f ca="1">_xll.BDH($C$78,"GEO_GROW_TOT_ASSET","FQ3 2016","FQ3 2016","Currency=INR","Period=FQ","BEST_FPERIOD_OVERRIDE=FQ","FILING_STATUS=OR","EQY_CONSOLIDATED=Y","Sort=A","Dates=H","DateFormat=P","Fill=—","Direction=H","UseDPDF=Y")</f>
        <v>#NAME?</v>
      </c>
      <c r="AW91" s="2" t="e">
        <f ca="1">_xll.BDH($C$78,"MODIFIED_WORKING_CPTL_5YR_GRWTH","FQ3 2016","FQ3 2016","Currency=INR","Period=FQ","BEST_FPERIOD_OVERRIDE=FQ","FILING_STATUS=OR","EQY_CONSOLIDATED=Y","Sort=A","Dates=H","DateFormat=P","Fill=—","Direction=H","UseDPDF=Y")</f>
        <v>#NAME?</v>
      </c>
      <c r="AX91" s="2" t="e">
        <f ca="1">_xll.BDH($C$78,"WORKING_CAPITAL_5_YEAR_GROWTH","FQ3 2016","FQ3 2016","Currency=INR","Period=FQ","BEST_FPERIOD_OVERRIDE=FQ","FILING_STATUS=OR","EQY_CONSOLIDATED=Y","Sort=A","Dates=H","DateFormat=P","Fill=—","Direction=H","UseDPDF=Y")</f>
        <v>#NAME?</v>
      </c>
      <c r="AY91" s="2" t="e">
        <f ca="1">_xll.BDH($C$78,"ACCOUNTS_PAYABLE_5_YEAR_GROWTH","FQ3 2016","FQ3 2016","Currency=INR","Period=FQ","BEST_FPERIOD_OVERRIDE=FQ","FILING_STATUS=OR","EQY_CONSOLIDATED=Y","Sort=A","Dates=H","DateFormat=P","Fill=—","Direction=H","UseDPDF=Y")</f>
        <v>#NAME?</v>
      </c>
      <c r="AZ91" s="2" t="e">
        <f ca="1">_xll.BDH($C$78,"SHORT_TERM_DEBT_5_YEAR_GROWTH","FQ3 2016","FQ3 2016","Currency=INR","Period=FQ","BEST_FPERIOD_OVERRIDE=FQ","FILING_STATUS=OR","EQY_CONSOLIDATED=Y","Sort=A","Dates=H","DateFormat=P","Fill=—","Direction=H","UseDPDF=Y")</f>
        <v>#NAME?</v>
      </c>
      <c r="BA91" s="2" t="e">
        <f ca="1">_xll.BDH($C$78,"TOTAL_DEBT_5_YEAR_GROWTH","FQ3 2016","FQ3 2016","Currency=INR","Period=FQ","BEST_FPERIOD_OVERRIDE=FQ","FILING_STATUS=OR","EQY_CONSOLIDATED=Y","Sort=A","Dates=H","DateFormat=P","Fill=—","Direction=H","UseDPDF=Y")</f>
        <v>#NAME?</v>
      </c>
      <c r="BB91" s="2" t="e">
        <f ca="1">_xll.BDH($C$78,"GEO_GROW_TOT_SHRHLDR_EQY","FQ3 2016","FQ3 2016","Currency=INR","Period=FQ","BEST_FPERIOD_OVERRIDE=FQ","FILING_STATUS=OR","EQY_CONSOLIDATED=Y","Sort=A","Dates=H","DateFormat=P","Fill=—","Direction=H","UseDPDF=Y")</f>
        <v>#NAME?</v>
      </c>
      <c r="BC91" s="2" t="e">
        <f ca="1">_xll.BDH($C$78,"TOTAL_CAPITAL_5_YEAR_GROWTH","FQ3 2016","FQ3 2016","Currency=INR","Period=FQ","BEST_FPERIOD_OVERRIDE=FQ","FILING_STATUS=OR","EQY_CONSOLIDATED=Y","Sort=A","Dates=H","DateFormat=P","Fill=—","Direction=H","UseDPDF=Y")</f>
        <v>#NAME?</v>
      </c>
      <c r="BD91" s="2" t="e">
        <f ca="1">_xll.BDH($C$78,"GEO_GROW_BOOK_VAL","FQ3 2016","FQ3 2016","Currency=INR","Period=FQ","BEST_FPERIOD_OVERRIDE=FQ","FILING_STATUS=OR","EQY_CONSOLIDATED=Y","Sort=A","Dates=H","DateFormat=P","Fill=—","Direction=H","UseDPDF=Y")</f>
        <v>#NAME?</v>
      </c>
      <c r="BE91" s="2" t="e">
        <f ca="1">_xll.BDH($C$78,"GEO_GROW_CASH_OPER_ACT","FQ3 2016","FQ3 2016","Currency=INR","Period=FQ","BEST_FPERIOD_OVERRIDE=FQ","FILING_STATUS=OR","EQY_CONSOLIDATED=Y","Sort=A","Dates=H","DateFormat=P","Fill=—","Direction=H","UseDPDF=Y")</f>
        <v>#NAME?</v>
      </c>
      <c r="BF91" s="2" t="e">
        <f ca="1">_xll.BDH($C$78,"REVENUE_SEQUENTIAL_GROWTH","FQ3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91" s="2" t="e">
        <f ca="1">_xll.BDH($C$78,"EBITDA_SEQUENTIAL_GROWTH","FQ3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91" s="2" t="e">
        <f ca="1">_xll.BDH($C$78,"OPERATING_INCOME_SEQ_GROWTH","FQ3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91" s="2" t="e">
        <f ca="1">_xll.BDH($C$78,"NET_INCOME_TO_COMMON_SEQ_GROWTH","FQ3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91" s="2" t="e">
        <f ca="1">_xll.BDH($C$78,"EPS_DILUTED_SEQUENTIAL_GROWTH","FQ3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91" s="2" t="e">
        <f ca="1">_xll.BDH($C$78,"DPS_SEQUENTIAL_GROWTH","FQ3 2016","FQ3 2016","Currency=INR","Period=FQ","BEST_FPERIOD_OVERRIDE=FQ","FILING_STATUS=OR","EQY_CONSOLIDATED=Y","Sort=A","Dates=H","DateFormat=P","Fill=—","Direction=H","UseDPDF=Y")</f>
        <v>#NAME?</v>
      </c>
      <c r="BL91" s="2" t="e">
        <f ca="1">_xll.BDH($C$78,"ACCOUNTS_RECEIVABLE_SEQ_GROWTH","FQ3 2016","FQ3 2016","Currency=INR","Period=FQ","BEST_FPERIOD_OVERRIDE=FQ","FILING_STATUS=OR","EQY_CONSOLIDATED=Y","Sort=A","Dates=H","DateFormat=P","Fill=—","Direction=H","UseDPDF=Y")</f>
        <v>#NAME?</v>
      </c>
      <c r="BM91" s="2" t="e">
        <f ca="1">_xll.BDH($C$78,"INVENTORY_SEQUENTIAL_GROWTH","FQ3 2016","FQ3 2016","Currency=INR","Period=FQ","BEST_FPERIOD_OVERRIDE=FQ","FILING_STATUS=OR","EQY_CONSOLIDATED=Y","Sort=A","Dates=H","DateFormat=P","Fill=—","Direction=H","UseDPDF=Y")</f>
        <v>#NAME?</v>
      </c>
      <c r="BN91" s="2" t="e">
        <f ca="1">_xll.BDH($C$78,"FIXED_ASSETS_SEQUENTIAL_GROWTH","FQ3 2016","FQ3 2016","Currency=INR","Period=FQ","BEST_FPERIOD_OVERRIDE=FQ","FILING_STATUS=OR","EQY_CONSOLIDATED=Y","Sort=A","Dates=H","DateFormat=P","Fill=—","Direction=H","UseDPDF=Y")</f>
        <v>#NAME?</v>
      </c>
      <c r="BO91" s="2" t="e">
        <f ca="1">_xll.BDH($C$78,"TOTAL_ASSETS_SEQUENTIAL_GROWTH","FQ3 2016","FQ3 2016","Currency=INR","Period=FQ","BEST_FPERIOD_OVERRIDE=FQ","FILING_STATUS=OR","EQY_CONSOLIDATED=Y","Sort=A","Dates=H","DateFormat=P","Fill=—","Direction=H","UseDPDF=Y")</f>
        <v>#NAME?</v>
      </c>
      <c r="BP91" s="2" t="e">
        <f ca="1">_xll.BDH($C$78,"MODIFIED_WORKING_CPTL_SEQ_GRWTH","FQ3 2016","FQ3 2016","Currency=INR","Period=FQ","BEST_FPERIOD_OVERRIDE=FQ","FILING_STATUS=OR","EQY_CONSOLIDATED=Y","Sort=A","Dates=H","DateFormat=P","Fill=—","Direction=H","UseDPDF=Y")</f>
        <v>#NAME?</v>
      </c>
      <c r="BQ91" s="2" t="e">
        <f ca="1">_xll.BDH($C$78,"WORKING_CAPITAL_SEQ_GROWTH","FQ3 2016","FQ3 2016","Currency=INR","Period=FQ","BEST_FPERIOD_OVERRIDE=FQ","FILING_STATUS=OR","EQY_CONSOLIDATED=Y","Sort=A","Dates=H","DateFormat=P","Fill=—","Direction=H","UseDPDF=Y")</f>
        <v>#NAME?</v>
      </c>
      <c r="BR91" s="2" t="e">
        <f ca="1">_xll.BDH($C$78,"ACCOUNTS_PAYABLE_SEQ_GROWTH","FQ3 2016","FQ3 2016","Currency=INR","Period=FQ","BEST_FPERIOD_OVERRIDE=FQ","FILING_STATUS=OR","EQY_CONSOLIDATED=Y","Sort=A","Dates=H","DateFormat=P","Fill=—","Direction=H","UseDPDF=Y")</f>
        <v>#NAME?</v>
      </c>
      <c r="BS91" s="2" t="e">
        <f ca="1">_xll.BDH($C$78,"ST_DEBT_SEQUENTIAL_GROWTH","FQ3 2016","FQ3 2016","Currency=INR","Period=FQ","BEST_FPERIOD_OVERRIDE=FQ","FILING_STATUS=OR","EQY_CONSOLIDATED=Y","Sort=A","Dates=H","DateFormat=P","Fill=—","Direction=H","UseDPDF=Y")</f>
        <v>#NAME?</v>
      </c>
      <c r="BT91" s="2" t="e">
        <f ca="1">_xll.BDH($C$78,"TOTAL_DEBT_SEQUENTIAL_GROWTH","FQ3 2016","FQ3 2016","Currency=INR","Period=FQ","BEST_FPERIOD_OVERRIDE=FQ","FILING_STATUS=OR","EQY_CONSOLIDATED=Y","Sort=A","Dates=H","DateFormat=P","Fill=—","Direction=H","UseDPDF=Y")</f>
        <v>#NAME?</v>
      </c>
      <c r="BU91" s="2" t="e">
        <f ca="1">_xll.BDH($C$78,"TOTAL_EQUITY_SEQUENTIAL_GROWTH","FQ3 2016","FQ3 2016","Currency=INR","Period=FQ","BEST_FPERIOD_OVERRIDE=FQ","FILING_STATUS=OR","EQY_CONSOLIDATED=Y","Sort=A","Dates=H","DateFormat=P","Fill=—","Direction=H","UseDPDF=Y")</f>
        <v>#NAME?</v>
      </c>
      <c r="BV91" s="2" t="e">
        <f ca="1">_xll.BDH($C$78,"TOTAL_CAPITAL_SEQUENTIAL_GROWTH","FQ3 2016","FQ3 2016","Currency=INR","Period=FQ","BEST_FPERIOD_OVERRIDE=FQ","FILING_STATUS=OR","EQY_CONSOLIDATED=Y","Sort=A","Dates=H","DateFormat=P","Fill=—","Direction=H","UseDPDF=Y")</f>
        <v>#NAME?</v>
      </c>
      <c r="BW91" s="2" t="e">
        <f ca="1">_xll.BDH($C$78,"BPS_SEQUENTIAL_GROWTH","FQ3 2016","FQ3 2016","Currency=INR","Period=FQ","BEST_FPERIOD_OVERRIDE=FQ","FILING_STATUS=OR","EQY_CONSOLIDATED=Y","Sort=A","Dates=H","DateFormat=P","Fill=—","Direction=H","UseDPDF=Y")</f>
        <v>#NAME?</v>
      </c>
      <c r="BX91" s="2" t="e">
        <f ca="1">_xll.BDH($C$78,"CFO_SEQUENTIAL_GROWTH","FQ3 2016","FQ3 2016","Currency=INR","Period=FQ","BEST_FPERIOD_OVERRIDE=FQ","FILING_STATUS=OR","EQY_CONSOLIDATED=Y","Sort=A","Dates=H","DateFormat=P","Fill=—","Direction=H","UseDPDF=Y")</f>
        <v>#NAME?</v>
      </c>
      <c r="BY91" s="3" t="e">
        <f ca="1">_xll.BDH($C$78,"SHORT_AND_LONG_TERM_DEBT","FQ3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91" s="3" t="e">
        <f ca="1">_xll.BDH($C$78,"BS_ST_BORROW","FQ3 2016","FQ3 2016","Currency=INR","Period=FQ","BEST_FPERIOD_OVERRIDE=FQ","FILING_STATUS=OR","EQY_CONSOLIDATED=Y","SCALING_FORMAT=MLN","Sort=A","Dates=H","DateFormat=P","Fill=—","Direction=H","UseDPDF=Y")</f>
        <v>#NAME?</v>
      </c>
      <c r="CA91" s="3" t="e">
        <f ca="1">_xll.BDH($C$78,"BS_LT_BORROW","FQ3 2016","FQ3 2016","Currency=INR","Period=FQ","BEST_FPERIOD_OVERRIDE=FQ","FILING_STATUS=OR","EQY_CONSOLIDATED=Y","SCALING_FORMAT=MLN","Sort=A","Dates=H","DateFormat=P","Fill=—","Direction=H","UseDPDF=Y")</f>
        <v>#NAME?</v>
      </c>
      <c r="CB91" s="2" t="e">
        <f ca="1">_xll.BDH($C$78,"TOT_DEBT_TO_EBITDA","FQ3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91" s="2" t="e">
        <f ca="1">_xll.BDH($C$78,"NET_DEBT_TO_EBITDA","FQ3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91" s="2" t="e">
        <f ca="1">_xll.BDH($C$78,"TOTAL_DEBT_TO_EBIT","FQ3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91" s="2" t="e">
        <f ca="1">_xll.BDH($C$78,"NET_DEBT_TO_EBIT","FQ3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91" s="2" t="e">
        <f ca="1">_xll.BDH($C$78,"EBITDA_TO_INTEREST_EXPN","FQ3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91" s="2" t="e">
        <f ca="1">_xll.BDH($C$78,"COM_EQY_TO_TOT_ASSET","FQ3 2016","FQ3 2016","Currency=INR","Period=FQ","BEST_FPERIOD_OVERRIDE=FQ","FILING_STATUS=OR","EQY_CONSOLIDATED=Y","Sort=A","Dates=H","DateFormat=P","Fill=—","Direction=H","UseDPDF=Y")</f>
        <v>#NAME?</v>
      </c>
      <c r="CH91" s="2" t="e">
        <f ca="1">_xll.BDH($C$78,"LT_DEBT_TO_TOT_EQY","FQ3 2016","FQ3 2016","Currency=INR","Period=FQ","BEST_FPERIOD_OVERRIDE=FQ","FILING_STATUS=OR","EQY_CONSOLIDATED=Y","Sort=A","Dates=H","DateFormat=P","Fill=—","Direction=H","UseDPDF=Y")</f>
        <v>#NAME?</v>
      </c>
      <c r="CI91" s="2" t="e">
        <f ca="1">_xll.BDH($C$78,"LT_DEBT_TO_TOT_CAP","FQ3 2016","FQ3 2016","Currency=INR","Period=FQ","BEST_FPERIOD_OVERRIDE=FQ","FILING_STATUS=OR","EQY_CONSOLIDATED=Y","Sort=A","Dates=H","DateFormat=P","Fill=—","Direction=H","UseDPDF=Y")</f>
        <v>#NAME?</v>
      </c>
      <c r="CJ91" s="2" t="e">
        <f ca="1">_xll.BDH($C$78,"LT_DEBT_TO_TOT_ASSET","FQ3 2016","FQ3 2016","Currency=INR","Period=FQ","BEST_FPERIOD_OVERRIDE=FQ","FILING_STATUS=OR","EQY_CONSOLIDATED=Y","Sort=A","Dates=H","DateFormat=P","Fill=—","Direction=H","UseDPDF=Y")</f>
        <v>#NAME?</v>
      </c>
      <c r="CK91" s="2" t="e">
        <f ca="1">_xll.BDH($C$78,"TOT_DEBT_TO_TOT_EQY","FQ3 2016","FQ3 2016","Currency=INR","Period=FQ","BEST_FPERIOD_OVERRIDE=FQ","FILING_STATUS=OR","EQY_CONSOLIDATED=Y","Sort=A","Dates=H","DateFormat=P","Fill=—","Direction=H","UseDPDF=Y")</f>
        <v>#NAME?</v>
      </c>
      <c r="CL91" s="2" t="e">
        <f ca="1">_xll.BDH($C$78,"TOT_DEBT_TO_TOT_CAP","FQ3 2016","FQ3 2016","Currency=INR","Period=FQ","BEST_FPERIOD_OVERRIDE=FQ","FILING_STATUS=OR","EQY_CONSOLIDATED=Y","Sort=A","Dates=H","DateFormat=P","Fill=—","Direction=H","UseDPDF=Y")</f>
        <v>#NAME?</v>
      </c>
      <c r="CM91" s="2" t="e">
        <f ca="1">_xll.BDH($C$78,"TOT_DEBT_TO_TOT_ASSET","FQ3 2016","FQ3 2016","Currency=INR","Period=FQ","BEST_FPERIOD_OVERRIDE=FQ","FILING_STATUS=OR","EQY_CONSOLIDATED=Y","Sort=A","Dates=H","DateFormat=P","Fill=—","Direction=H","UseDPDF=Y")</f>
        <v>#NAME?</v>
      </c>
      <c r="CN91" s="2" t="e">
        <f ca="1">_xll.BDH($C$78,"NET_DEBT_TO_SHRHLDR_EQTY","FQ3 2016","FQ3 2016","Currency=INR","Period=FQ","BEST_FPERIOD_OVERRIDE=FQ","FILING_STATUS=OR","EQY_CONSOLIDATED=Y","Sort=A","Dates=H","DateFormat=P","Fill=—","Direction=H","UseDPDF=Y")</f>
        <v>#NAME?</v>
      </c>
      <c r="CO91" s="2" t="e">
        <f ca="1">_xll.BDH($C$78,"NET_DEBT_%_CAPITAL","FQ3 2016","FQ3 2016","Currency=INR","Period=FQ","BEST_FPERIOD_OVERRIDE=FQ","FILING_STATUS=OR","EQY_CONSOLIDATED=Y","Sort=A","Dates=H","DateFormat=P","Fill=—","Direction=H","UseDPDF=Y")</f>
        <v>#NAME?</v>
      </c>
      <c r="CP91" s="3" t="e">
        <f ca="1">_xll.BDH($C$78,"EBITDA","FQ3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91" s="3" t="e">
        <f ca="1">_xll.BDH($C$78,"EBITDA_AFTER_CAPEX","FQ3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91" s="3" t="e">
        <f ca="1">_xll.BDH($C$78,"IS_OPER_INC","FQ3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91" s="2" t="e">
        <f ca="1">_xll.BDH($C$78,"CASH_RATIO","FQ3 2016","FQ3 2016","Currency=INR","Period=FQ","BEST_FPERIOD_OVERRIDE=FQ","FILING_STATUS=OR","EQY_CONSOLIDATED=Y","Sort=A","Dates=H","DateFormat=P","Fill=—","Direction=H","UseDPDF=Y")</f>
        <v>#NAME?</v>
      </c>
      <c r="CT91" s="2" t="e">
        <f ca="1">_xll.BDH($C$78,"CUR_RATIO","FQ3 2016","FQ3 2016","Currency=INR","Period=FQ","BEST_FPERIOD_OVERRIDE=FQ","FILING_STATUS=OR","EQY_CONSOLIDATED=Y","Sort=A","Dates=H","DateFormat=P","Fill=—","Direction=H","UseDPDF=Y")</f>
        <v>#NAME?</v>
      </c>
      <c r="CU91" s="2" t="e">
        <f ca="1">_xll.BDH($C$78,"QUICK_RATIO","FQ3 2016","FQ3 2016","Currency=INR","Period=FQ","BEST_FPERIOD_OVERRIDE=FQ","FILING_STATUS=OR","EQY_CONSOLIDATED=Y","Sort=A","Dates=H","DateFormat=P","Fill=—","Direction=H","UseDPDF=Y")</f>
        <v>#NAME?</v>
      </c>
      <c r="CV91" s="2" t="e">
        <f ca="1">_xll.BDH($C$78,"ALTMAN_Z_SCORE","FQ3 2016","FQ3 2016","Currency=INR","Period=FQ","BEST_FPERIOD_OVERRIDE=FQ","FILING_STATUS=OR","EQY_CONSOLIDATED=Y","Sort=A","Dates=H","DateFormat=P","Fill=—","Direction=H","UseDPDF=Y")</f>
        <v>#NAME?</v>
      </c>
      <c r="CW91" s="4" t="e">
        <f ca="1">_xll.BDH($C$78,"ACCT_RCV_TURN","FQ3 2016","FQ3 2016","Currency=INR","Period=FQ","BEST_FPERIOD_OVERRIDE=FQ","FILING_STATUS=OR","EQY_CONSOLIDATED=Y","FA_ADJUSTED=GAAP","Sort=A","Dates=H","DateFormat=P","Fill=—","Direction=H","UseDPDF=Y")</f>
        <v>#NAME?</v>
      </c>
      <c r="CX91" s="2" t="e">
        <f ca="1">_xll.BDH($C$78,"ACCT_RCV_DAYS","FQ3 2016","FQ3 2016","Currency=INR","Period=FQ","BEST_FPERIOD_OVERRIDE=FQ","FILING_STATUS=OR","EQY_CONSOLIDATED=Y","FA_ADJUSTED=GAAP","Sort=A","Dates=H","DateFormat=P","Fill=—","Direction=H","UseDPDF=Y")</f>
        <v>#NAME?</v>
      </c>
      <c r="CY91" s="4" t="e">
        <f ca="1">_xll.BDH($C$78,"INVENT_TURN","FQ3 2016","FQ3 2016","Currency=INR","Period=FQ","BEST_FPERIOD_OVERRIDE=FQ","FILING_STATUS=OR","EQY_CONSOLIDATED=Y","FA_ADJUSTED=GAAP","Sort=A","Dates=H","DateFormat=P","Fill=—","Direction=H","UseDPDF=Y")</f>
        <v>#NAME?</v>
      </c>
      <c r="CZ91" s="2" t="e">
        <f ca="1">_xll.BDH($C$78,"INVENT_DAYS","FQ3 2016","FQ3 2016","Currency=INR","Period=FQ","BEST_FPERIOD_OVERRIDE=FQ","FILING_STATUS=OR","EQY_CONSOLIDATED=Y","FA_ADJUSTED=GAAP","Sort=A","Dates=H","DateFormat=P","Fill=—","Direction=H","UseDPDF=Y")</f>
        <v>#NAME?</v>
      </c>
      <c r="DA91" s="4" t="e">
        <f ca="1">_xll.BDH($C$78,"ACCOUNTS_PAYABLE_TURNOVER","FQ3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91" s="2" t="e">
        <f ca="1">_xll.BDH($C$78,"ACCOUNTS_PAYABLE_TURNOVER_DAYS","FQ3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91" s="4" t="e">
        <f ca="1">_xll.BDH($C$78,"CASH_CONVERSION_CYCLE","FQ3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91" s="4" t="e">
        <f ca="1">_xll.BDH($C$78,"INV_TO_CASH_DAYS","FQ3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91" s="5" t="e">
        <f ca="1">_xll.BDH($C$78,"BS_INVENTORIES","FQ3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91" s="3" t="e">
        <f ca="1">_xll.BDH($C$78,"INVTRY_RAW_MATERIALS","FQ3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91" s="3" t="e">
        <f ca="1">_xll.BDH($C$78,"INVTRY_IN_PROGRESS","FQ3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91" s="3" t="e">
        <f ca="1">_xll.BDH($C$78,"INVTRY_FINISHED_GOODS","FQ3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91" s="3" t="e">
        <f ca="1">_xll.BDH($C$78,"BS_OTHER_INV","FQ3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92" spans="1:113" x14ac:dyDescent="0.3">
      <c r="A92" s="6"/>
      <c r="B92" s="6"/>
      <c r="C92" s="6"/>
      <c r="D92" s="6"/>
      <c r="E92" t="s">
        <v>81</v>
      </c>
      <c r="F92" t="e">
        <f ca="1">_xll.BDH($C$78,"RETURN_COM_EQY","FQ4 2016","FQ4 2016","Currency=INR","Period=FQ","BEST_FPERIOD_OVERRIDE=FQ","FILING_STATUS=OR","EQY_CONSOLIDATED=Y","FA_ADJUSTED=GAAP","Sort=A","Dates=H","DateFormat=P","Fill=—","Direction=H","UseDPDF=Y")</f>
        <v>#NAME?</v>
      </c>
      <c r="G92" t="e">
        <f ca="1">_xll.BDH($C$78,"RETURN_ON_ASSET","FQ4 2016","FQ4 2016","Currency=INR","Period=FQ","BEST_FPERIOD_OVERRIDE=FQ","FILING_STATUS=OR","EQY_CONSOLIDATED=Y","FA_ADJUSTED=GAAP","Sort=A","Dates=H","DateFormat=P","Fill=—","Direction=H","UseDPDF=Y")</f>
        <v>#NAME?</v>
      </c>
      <c r="H92" t="e">
        <f ca="1">_xll.BDH($C$78,"RETURN_ON_CAP","FQ4 2016","FQ4 2016","Currency=INR","Period=FQ","BEST_FPERIOD_OVERRIDE=FQ","FILING_STATUS=OR","EQY_CONSOLIDATED=Y","FA_ADJUSTED=GAAP","Sort=A","Dates=H","DateFormat=P","Fill=—","Direction=H","UseDPDF=Y")</f>
        <v>#NAME?</v>
      </c>
      <c r="I92" t="e">
        <f ca="1">_xll.BDH($C$78,"RETURN_ON_INV_CAPITAL","FQ4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92" t="e">
        <f ca="1">_xll.BDH($C$78,"EBITDA_TO_REVENUE","FQ4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92" t="e">
        <f ca="1">_xll.BDH($C$78,"OPER_MARGIN","FQ4 2016","FQ4 2016","Currency=INR","Period=FQ","BEST_FPERIOD_OVERRIDE=FQ","FILING_STATUS=OR","EQY_CONSOLIDATED=Y","FA_ADJUSTED=GAAP","Sort=A","Dates=H","DateFormat=P","Fill=—","Direction=H","UseDPDF=Y")</f>
        <v>#NAME?</v>
      </c>
      <c r="L92" t="e">
        <f ca="1">_xll.BDH($C$78,"INCREMENTAL_OPERATING_MARGIN","FQ4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92" t="e">
        <f ca="1">_xll.BDH($C$78,"PRETAX_INC_TO_NET_SALES","FQ4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92" t="e">
        <f ca="1">_xll.BDH($C$78,"INC_BEF_XO_ITEMS_TO_NET_SALES","FQ4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92" t="e">
        <f ca="1">_xll.BDH($C$78,"PROF_MARGIN","FQ4 2016","FQ4 2016","Currency=INR","Period=FQ","BEST_FPERIOD_OVERRIDE=FQ","FILING_STATUS=OR","EQY_CONSOLIDATED=Y","FA_ADJUSTED=GAAP","Sort=A","Dates=H","DateFormat=P","Fill=—","Direction=H","UseDPDF=Y")</f>
        <v>#NAME?</v>
      </c>
      <c r="P92" t="e">
        <f ca="1">_xll.BDH($C$78,"NET_INCOME_TO_COMMON_MARGIN","FQ4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92" t="e">
        <f ca="1">_xll.BDH($C$78,"EFF_TAX_RATE","FQ4 2016","FQ4 2016","Currency=INR","Period=FQ","BEST_FPERIOD_OVERRIDE=FQ","FILING_STATUS=OR","EQY_CONSOLIDATED=Y","FA_ADJUSTED=GAAP","Sort=A","Dates=H","DateFormat=P","Fill=—","Direction=H","UseDPDF=Y")</f>
        <v>#NAME?</v>
      </c>
      <c r="R92" t="e">
        <f ca="1">_xll.BDH($C$78,"DVD_PAYOUT_RATIO","FQ4 2016","FQ4 2016","Currency=INR","Period=FQ","BEST_FPERIOD_OVERRIDE=FQ","FILING_STATUS=OR","EQY_CONSOLIDATED=Y","FA_ADJUSTED=GAAP","Sort=A","Dates=H","DateFormat=P","Fill=—","Direction=H","UseDPDF=Y")</f>
        <v>#NAME?</v>
      </c>
      <c r="S92" t="e">
        <f ca="1">_xll.BDH($C$78,"SUSTAIN_GROWTH_RT","FQ4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92" s="2" t="e">
        <f ca="1">_xll.BDH($C$78,"SALES_GROWTH","FQ4 2016","FQ4 2016","Currency=INR","Period=FQ","BEST_FPERIOD_OVERRIDE=FQ","FILING_STATUS=OR","EQY_CONSOLIDATED=Y","FA_ADJUSTED=GAAP","Sort=A","Dates=H","DateFormat=P","Fill=—","Direction=H","UseDPDF=Y")</f>
        <v>#NAME?</v>
      </c>
      <c r="U92" s="2" t="e">
        <f ca="1">_xll.BDH($C$78,"EBITDA_GROWTH","FQ4 2016","FQ4 2016","Currency=INR","Period=FQ","BEST_FPERIOD_OVERRIDE=FQ","FILING_STATUS=OR","EQY_CONSOLIDATED=Y","FA_ADJUSTED=GAAP","Sort=A","Dates=H","DateFormat=P","Fill=—","Direction=H","UseDPDF=Y")</f>
        <v>#NAME?</v>
      </c>
      <c r="V92" s="2" t="e">
        <f ca="1">_xll.BDH($C$78,"OPER_INC_GROWTH","FQ4 2016","FQ4 2016","Currency=INR","Period=FQ","BEST_FPERIOD_OVERRIDE=FQ","FILING_STATUS=OR","EQY_CONSOLIDATED=Y","FA_ADJUSTED=GAAP","Sort=A","Dates=H","DateFormat=P","Fill=—","Direction=H","UseDPDF=Y")</f>
        <v>#NAME?</v>
      </c>
      <c r="W92" s="2" t="e">
        <f ca="1">_xll.BDH($C$78,"EARN_FOR_COM_GROWTH","FQ4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92" s="2" t="e">
        <f ca="1">_xll.BDH($C$78,"DILUTED_EPS_AFT_XO_ITEMS_GROWTH","FQ4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92" s="2" t="e">
        <f ca="1">_xll.BDH($C$78,"DIVIDEND_PER_SHARE_1_YEAR_GROWTH","FQ4 2016","FQ4 2016","Currency=INR","Period=FQ","BEST_FPERIOD_OVERRIDE=FQ","FILING_STATUS=OR","EQY_CONSOLIDATED=Y","Sort=A","Dates=H","DateFormat=P","Fill=—","Direction=H","UseDPDF=Y")</f>
        <v>#NAME?</v>
      </c>
      <c r="Z92" s="2" t="e">
        <f ca="1">_xll.BDH($C$78,"ACCOUNTS_RECEIVABLE_GROWTH","FQ4 2016","FQ4 2016","Currency=INR","Period=FQ","BEST_FPERIOD_OVERRIDE=FQ","FILING_STATUS=OR","EQY_CONSOLIDATED=Y","Sort=A","Dates=H","DateFormat=P","Fill=—","Direction=H","UseDPDF=Y")</f>
        <v>#NAME?</v>
      </c>
      <c r="AA92" s="2" t="e">
        <f ca="1">_xll.BDH($C$78,"INVENTORY_GROWTH","FQ4 2016","FQ4 2016","Currency=INR","Period=FQ","BEST_FPERIOD_OVERRIDE=FQ","FILING_STATUS=OR","EQY_CONSOLIDATED=Y","Sort=A","Dates=H","DateFormat=P","Fill=—","Direction=H","UseDPDF=Y")</f>
        <v>#NAME?</v>
      </c>
      <c r="AB92" s="2" t="e">
        <f ca="1">_xll.BDH($C$78,"NET_FIXED_ASSETS_1_YEAR_GROWTH","FQ4 2016","FQ4 2016","Currency=INR","Period=FQ","BEST_FPERIOD_OVERRIDE=FQ","FILING_STATUS=OR","EQY_CONSOLIDATED=Y","Sort=A","Dates=H","DateFormat=P","Fill=—","Direction=H","UseDPDF=Y")</f>
        <v>#NAME?</v>
      </c>
      <c r="AC92" s="2" t="e">
        <f ca="1">_xll.BDH($C$78,"ASSET_GROWTH","FQ4 2016","FQ4 2016","Currency=INR","Period=FQ","BEST_FPERIOD_OVERRIDE=FQ","FILING_STATUS=OR","EQY_CONSOLIDATED=Y","Sort=A","Dates=H","DateFormat=P","Fill=—","Direction=H","UseDPDF=Y")</f>
        <v>#NAME?</v>
      </c>
      <c r="AD92" s="2" t="e">
        <f ca="1">_xll.BDH($C$78,"MODIFIED_WORK_CAP_GROWTH","FQ4 2016","FQ4 2016","Currency=INR","Period=FQ","BEST_FPERIOD_OVERRIDE=FQ","FILING_STATUS=OR","EQY_CONSOLIDATED=Y","Sort=A","Dates=H","DateFormat=P","Fill=—","Direction=H","UseDPDF=Y")</f>
        <v>#NAME?</v>
      </c>
      <c r="AE92" s="2" t="e">
        <f ca="1">_xll.BDH($C$78,"WORK_CAP_GROWTH","FQ4 2016","FQ4 2016","Currency=INR","Period=FQ","BEST_FPERIOD_OVERRIDE=FQ","FILING_STATUS=OR","EQY_CONSOLIDATED=Y","Sort=A","Dates=H","DateFormat=P","Fill=—","Direction=H","UseDPDF=Y")</f>
        <v>#NAME?</v>
      </c>
      <c r="AF92" s="2" t="e">
        <f ca="1">_xll.BDH($C$78,"ACCOUNTS_PAYABLE_GROWTH_1YR","FQ4 2016","FQ4 2016","Currency=INR","Period=FQ","BEST_FPERIOD_OVERRIDE=FQ","FILING_STATUS=OR","EQY_CONSOLIDATED=Y","Sort=A","Dates=H","DateFormat=P","Fill=—","Direction=H","UseDPDF=Y")</f>
        <v>#NAME?</v>
      </c>
      <c r="AG92" s="2" t="e">
        <f ca="1">_xll.BDH($C$78,"SHORT_TERM_DEBT_1_YEAR_GROWTH","FQ4 2016","FQ4 2016","Currency=INR","Period=FQ","BEST_FPERIOD_OVERRIDE=FQ","FILING_STATUS=OR","EQY_CONSOLIDATED=Y","Sort=A","Dates=H","DateFormat=P","Fill=—","Direction=H","UseDPDF=Y")</f>
        <v>#NAME?</v>
      </c>
      <c r="AH92" s="2" t="e">
        <f ca="1">_xll.BDH($C$78,"TOTAL_DEBT_1_YEAR_GROWTH","FQ4 2016","FQ4 2016","Currency=INR","Period=FQ","BEST_FPERIOD_OVERRIDE=FQ","FILING_STATUS=OR","EQY_CONSOLIDATED=Y","Sort=A","Dates=H","DateFormat=P","Fill=—","Direction=H","UseDPDF=Y")</f>
        <v>#NAME?</v>
      </c>
      <c r="AI92" s="2" t="e">
        <f ca="1">_xll.BDH($C$78,"TOTAL_EQUITY_1_YEAR_GROWTH","FQ4 2016","FQ4 2016","Currency=INR","Period=FQ","BEST_FPERIOD_OVERRIDE=FQ","FILING_STATUS=OR","EQY_CONSOLIDATED=Y","Sort=A","Dates=H","DateFormat=P","Fill=—","Direction=H","UseDPDF=Y")</f>
        <v>#NAME?</v>
      </c>
      <c r="AJ92" s="2" t="e">
        <f ca="1">_xll.BDH($C$78,"GROWTH_IN_CAP","FQ4 2016","FQ4 2016","Currency=INR","Period=FQ","BEST_FPERIOD_OVERRIDE=FQ","FILING_STATUS=OR","EQY_CONSOLIDATED=Y","Sort=A","Dates=H","DateFormat=P","Fill=—","Direction=H","UseDPDF=Y")</f>
        <v>#NAME?</v>
      </c>
      <c r="AK92" s="2" t="e">
        <f ca="1">_xll.BDH($C$78,"BVPS_GROWTH","FQ4 2016","FQ4 2016","Currency=INR","Period=FQ","BEST_FPERIOD_OVERRIDE=FQ","FILING_STATUS=OR","EQY_CONSOLIDATED=Y","Sort=A","Dates=H","DateFormat=P","Fill=—","Direction=H","UseDPDF=Y")</f>
        <v>#NAME?</v>
      </c>
      <c r="AL92" s="2" t="e">
        <f ca="1">_xll.BDH($C$78,"CASH_FLOW_GROWTH","FQ4 2016","FQ4 2016","Currency=INR","Period=FQ","BEST_FPERIOD_OVERRIDE=FQ","FILING_STATUS=OR","EQY_CONSOLIDATED=Y","Sort=A","Dates=H","DateFormat=P","Fill=—","Direction=H","UseDPDF=Y")</f>
        <v>#NAME?</v>
      </c>
      <c r="AM92" s="2" t="e">
        <f ca="1">_xll.BDH($C$78,"GEO_GROW_NET_SALES","FQ4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92" s="2" t="e">
        <f ca="1">_xll.BDH($C$78,"GEO_GROW_EBITDA","FQ4 2016","FQ4 2016","Currency=INR","Period=FQ","BEST_FPERIOD_OVERRIDE=FQ","FILING_STATUS=OR","EQY_CONSOLIDATED=Y","FA_ADJUSTED=GAAP","Sort=A","Dates=H","DateFormat=P","Fill=—","Direction=H","UseDPDF=Y")</f>
        <v>#NAME?</v>
      </c>
      <c r="AO92" s="2" t="e">
        <f ca="1">_xll.BDH($C$78,"GEO_GROW_OPER_INC","FQ4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92" s="2" t="e">
        <f ca="1">_xll.BDH($C$78,"NET_INCOME_TO_COMMON_5_YR_GROWTH","FQ4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92" s="2" t="e">
        <f ca="1">_xll.BDH($C$78,"5Y_GEO_GROWTH_DILUTED_EPS","FQ4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92" s="2" t="e">
        <f ca="1">_xll.BDH($C$78,"GEO_GROW_DVD_PER_SH","FQ4 2016","FQ4 2016","Currency=INR","Period=FQ","BEST_FPERIOD_OVERRIDE=FQ","FILING_STATUS=OR","EQY_CONSOLIDATED=Y","Sort=A","Dates=H","DateFormat=P","Fill=—","Direction=H","UseDPDF=Y")</f>
        <v>#NAME?</v>
      </c>
      <c r="AS92" s="2" t="e">
        <f ca="1">_xll.BDH($C$78,"ACCOUNTS_RECEIVABLE_5_YR_GROWTH","FQ4 2016","FQ4 2016","Currency=INR","Period=FQ","BEST_FPERIOD_OVERRIDE=FQ","FILING_STATUS=OR","EQY_CONSOLIDATED=Y","Sort=A","Dates=H","DateFormat=P","Fill=—","Direction=H","UseDPDF=Y")</f>
        <v>#NAME?</v>
      </c>
      <c r="AT92" s="2" t="e">
        <f ca="1">_xll.BDH($C$78,"INVENTORY_5_YEAR_GROWTH","FQ4 2016","FQ4 2016","Currency=INR","Period=FQ","BEST_FPERIOD_OVERRIDE=FQ","FILING_STATUS=OR","EQY_CONSOLIDATED=Y","Sort=A","Dates=H","DateFormat=P","Fill=—","Direction=H","UseDPDF=Y")</f>
        <v>#NAME?</v>
      </c>
      <c r="AU92" s="2" t="e">
        <f ca="1">_xll.BDH($C$78,"NET_FIXED_ASSETS_5_YEAR_GROWTH","FQ4 2016","FQ4 2016","Currency=INR","Period=FQ","BEST_FPERIOD_OVERRIDE=FQ","FILING_STATUS=OR","EQY_CONSOLIDATED=Y","Sort=A","Dates=H","DateFormat=P","Fill=—","Direction=H","UseDPDF=Y")</f>
        <v>#NAME?</v>
      </c>
      <c r="AV92" s="2" t="e">
        <f ca="1">_xll.BDH($C$78,"GEO_GROW_TOT_ASSET","FQ4 2016","FQ4 2016","Currency=INR","Period=FQ","BEST_FPERIOD_OVERRIDE=FQ","FILING_STATUS=OR","EQY_CONSOLIDATED=Y","Sort=A","Dates=H","DateFormat=P","Fill=—","Direction=H","UseDPDF=Y")</f>
        <v>#NAME?</v>
      </c>
      <c r="AW92" s="2" t="e">
        <f ca="1">_xll.BDH($C$78,"MODIFIED_WORKING_CPTL_5YR_GRWTH","FQ4 2016","FQ4 2016","Currency=INR","Period=FQ","BEST_FPERIOD_OVERRIDE=FQ","FILING_STATUS=OR","EQY_CONSOLIDATED=Y","Sort=A","Dates=H","DateFormat=P","Fill=—","Direction=H","UseDPDF=Y")</f>
        <v>#NAME?</v>
      </c>
      <c r="AX92" s="2" t="e">
        <f ca="1">_xll.BDH($C$78,"WORKING_CAPITAL_5_YEAR_GROWTH","FQ4 2016","FQ4 2016","Currency=INR","Period=FQ","BEST_FPERIOD_OVERRIDE=FQ","FILING_STATUS=OR","EQY_CONSOLIDATED=Y","Sort=A","Dates=H","DateFormat=P","Fill=—","Direction=H","UseDPDF=Y")</f>
        <v>#NAME?</v>
      </c>
      <c r="AY92" s="2" t="e">
        <f ca="1">_xll.BDH($C$78,"ACCOUNTS_PAYABLE_5_YEAR_GROWTH","FQ4 2016","FQ4 2016","Currency=INR","Period=FQ","BEST_FPERIOD_OVERRIDE=FQ","FILING_STATUS=OR","EQY_CONSOLIDATED=Y","Sort=A","Dates=H","DateFormat=P","Fill=—","Direction=H","UseDPDF=Y")</f>
        <v>#NAME?</v>
      </c>
      <c r="AZ92" s="2" t="e">
        <f ca="1">_xll.BDH($C$78,"SHORT_TERM_DEBT_5_YEAR_GROWTH","FQ4 2016","FQ4 2016","Currency=INR","Period=FQ","BEST_FPERIOD_OVERRIDE=FQ","FILING_STATUS=OR","EQY_CONSOLIDATED=Y","Sort=A","Dates=H","DateFormat=P","Fill=—","Direction=H","UseDPDF=Y")</f>
        <v>#NAME?</v>
      </c>
      <c r="BA92" s="2" t="e">
        <f ca="1">_xll.BDH($C$78,"TOTAL_DEBT_5_YEAR_GROWTH","FQ4 2016","FQ4 2016","Currency=INR","Period=FQ","BEST_FPERIOD_OVERRIDE=FQ","FILING_STATUS=OR","EQY_CONSOLIDATED=Y","Sort=A","Dates=H","DateFormat=P","Fill=—","Direction=H","UseDPDF=Y")</f>
        <v>#NAME?</v>
      </c>
      <c r="BB92" s="2" t="e">
        <f ca="1">_xll.BDH($C$78,"GEO_GROW_TOT_SHRHLDR_EQY","FQ4 2016","FQ4 2016","Currency=INR","Period=FQ","BEST_FPERIOD_OVERRIDE=FQ","FILING_STATUS=OR","EQY_CONSOLIDATED=Y","Sort=A","Dates=H","DateFormat=P","Fill=—","Direction=H","UseDPDF=Y")</f>
        <v>#NAME?</v>
      </c>
      <c r="BC92" s="2" t="e">
        <f ca="1">_xll.BDH($C$78,"TOTAL_CAPITAL_5_YEAR_GROWTH","FQ4 2016","FQ4 2016","Currency=INR","Period=FQ","BEST_FPERIOD_OVERRIDE=FQ","FILING_STATUS=OR","EQY_CONSOLIDATED=Y","Sort=A","Dates=H","DateFormat=P","Fill=—","Direction=H","UseDPDF=Y")</f>
        <v>#NAME?</v>
      </c>
      <c r="BD92" s="2" t="e">
        <f ca="1">_xll.BDH($C$78,"GEO_GROW_BOOK_VAL","FQ4 2016","FQ4 2016","Currency=INR","Period=FQ","BEST_FPERIOD_OVERRIDE=FQ","FILING_STATUS=OR","EQY_CONSOLIDATED=Y","Sort=A","Dates=H","DateFormat=P","Fill=—","Direction=H","UseDPDF=Y")</f>
        <v>#NAME?</v>
      </c>
      <c r="BE92" s="2" t="e">
        <f ca="1">_xll.BDH($C$78,"GEO_GROW_CASH_OPER_ACT","FQ4 2016","FQ4 2016","Currency=INR","Period=FQ","BEST_FPERIOD_OVERRIDE=FQ","FILING_STATUS=OR","EQY_CONSOLIDATED=Y","Sort=A","Dates=H","DateFormat=P","Fill=—","Direction=H","UseDPDF=Y")</f>
        <v>#NAME?</v>
      </c>
      <c r="BF92" s="2" t="e">
        <f ca="1">_xll.BDH($C$78,"REVENUE_SEQUENTIAL_GROWTH","FQ4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92" s="2" t="e">
        <f ca="1">_xll.BDH($C$78,"EBITDA_SEQUENTIAL_GROWTH","FQ4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92" s="2" t="e">
        <f ca="1">_xll.BDH($C$78,"OPERATING_INCOME_SEQ_GROWTH","FQ4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92" s="2" t="e">
        <f ca="1">_xll.BDH($C$78,"NET_INCOME_TO_COMMON_SEQ_GROWTH","FQ4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92" s="2" t="e">
        <f ca="1">_xll.BDH($C$78,"EPS_DILUTED_SEQUENTIAL_GROWTH","FQ4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92" s="2" t="e">
        <f ca="1">_xll.BDH($C$78,"DPS_SEQUENTIAL_GROWTH","FQ4 2016","FQ4 2016","Currency=INR","Period=FQ","BEST_FPERIOD_OVERRIDE=FQ","FILING_STATUS=OR","EQY_CONSOLIDATED=Y","Sort=A","Dates=H","DateFormat=P","Fill=—","Direction=H","UseDPDF=Y")</f>
        <v>#NAME?</v>
      </c>
      <c r="BL92" s="2" t="e">
        <f ca="1">_xll.BDH($C$78,"ACCOUNTS_RECEIVABLE_SEQ_GROWTH","FQ4 2016","FQ4 2016","Currency=INR","Period=FQ","BEST_FPERIOD_OVERRIDE=FQ","FILING_STATUS=OR","EQY_CONSOLIDATED=Y","Sort=A","Dates=H","DateFormat=P","Fill=—","Direction=H","UseDPDF=Y")</f>
        <v>#NAME?</v>
      </c>
      <c r="BM92" s="2" t="e">
        <f ca="1">_xll.BDH($C$78,"INVENTORY_SEQUENTIAL_GROWTH","FQ4 2016","FQ4 2016","Currency=INR","Period=FQ","BEST_FPERIOD_OVERRIDE=FQ","FILING_STATUS=OR","EQY_CONSOLIDATED=Y","Sort=A","Dates=H","DateFormat=P","Fill=—","Direction=H","UseDPDF=Y")</f>
        <v>#NAME?</v>
      </c>
      <c r="BN92" s="2" t="e">
        <f ca="1">_xll.BDH($C$78,"FIXED_ASSETS_SEQUENTIAL_GROWTH","FQ4 2016","FQ4 2016","Currency=INR","Period=FQ","BEST_FPERIOD_OVERRIDE=FQ","FILING_STATUS=OR","EQY_CONSOLIDATED=Y","Sort=A","Dates=H","DateFormat=P","Fill=—","Direction=H","UseDPDF=Y")</f>
        <v>#NAME?</v>
      </c>
      <c r="BO92" s="2" t="e">
        <f ca="1">_xll.BDH($C$78,"TOTAL_ASSETS_SEQUENTIAL_GROWTH","FQ4 2016","FQ4 2016","Currency=INR","Period=FQ","BEST_FPERIOD_OVERRIDE=FQ","FILING_STATUS=OR","EQY_CONSOLIDATED=Y","Sort=A","Dates=H","DateFormat=P","Fill=—","Direction=H","UseDPDF=Y")</f>
        <v>#NAME?</v>
      </c>
      <c r="BP92" s="2" t="e">
        <f ca="1">_xll.BDH($C$78,"MODIFIED_WORKING_CPTL_SEQ_GRWTH","FQ4 2016","FQ4 2016","Currency=INR","Period=FQ","BEST_FPERIOD_OVERRIDE=FQ","FILING_STATUS=OR","EQY_CONSOLIDATED=Y","Sort=A","Dates=H","DateFormat=P","Fill=—","Direction=H","UseDPDF=Y")</f>
        <v>#NAME?</v>
      </c>
      <c r="BQ92" s="2" t="e">
        <f ca="1">_xll.BDH($C$78,"WORKING_CAPITAL_SEQ_GROWTH","FQ4 2016","FQ4 2016","Currency=INR","Period=FQ","BEST_FPERIOD_OVERRIDE=FQ","FILING_STATUS=OR","EQY_CONSOLIDATED=Y","Sort=A","Dates=H","DateFormat=P","Fill=—","Direction=H","UseDPDF=Y")</f>
        <v>#NAME?</v>
      </c>
      <c r="BR92" s="2" t="e">
        <f ca="1">_xll.BDH($C$78,"ACCOUNTS_PAYABLE_SEQ_GROWTH","FQ4 2016","FQ4 2016","Currency=INR","Period=FQ","BEST_FPERIOD_OVERRIDE=FQ","FILING_STATUS=OR","EQY_CONSOLIDATED=Y","Sort=A","Dates=H","DateFormat=P","Fill=—","Direction=H","UseDPDF=Y")</f>
        <v>#NAME?</v>
      </c>
      <c r="BS92" s="2" t="e">
        <f ca="1">_xll.BDH($C$78,"ST_DEBT_SEQUENTIAL_GROWTH","FQ4 2016","FQ4 2016","Currency=INR","Period=FQ","BEST_FPERIOD_OVERRIDE=FQ","FILING_STATUS=OR","EQY_CONSOLIDATED=Y","Sort=A","Dates=H","DateFormat=P","Fill=—","Direction=H","UseDPDF=Y")</f>
        <v>#NAME?</v>
      </c>
      <c r="BT92" s="2" t="e">
        <f ca="1">_xll.BDH($C$78,"TOTAL_DEBT_SEQUENTIAL_GROWTH","FQ4 2016","FQ4 2016","Currency=INR","Period=FQ","BEST_FPERIOD_OVERRIDE=FQ","FILING_STATUS=OR","EQY_CONSOLIDATED=Y","Sort=A","Dates=H","DateFormat=P","Fill=—","Direction=H","UseDPDF=Y")</f>
        <v>#NAME?</v>
      </c>
      <c r="BU92" s="2" t="e">
        <f ca="1">_xll.BDH($C$78,"TOTAL_EQUITY_SEQUENTIAL_GROWTH","FQ4 2016","FQ4 2016","Currency=INR","Period=FQ","BEST_FPERIOD_OVERRIDE=FQ","FILING_STATUS=OR","EQY_CONSOLIDATED=Y","Sort=A","Dates=H","DateFormat=P","Fill=—","Direction=H","UseDPDF=Y")</f>
        <v>#NAME?</v>
      </c>
      <c r="BV92" s="2" t="e">
        <f ca="1">_xll.BDH($C$78,"TOTAL_CAPITAL_SEQUENTIAL_GROWTH","FQ4 2016","FQ4 2016","Currency=INR","Period=FQ","BEST_FPERIOD_OVERRIDE=FQ","FILING_STATUS=OR","EQY_CONSOLIDATED=Y","Sort=A","Dates=H","DateFormat=P","Fill=—","Direction=H","UseDPDF=Y")</f>
        <v>#NAME?</v>
      </c>
      <c r="BW92" s="2" t="e">
        <f ca="1">_xll.BDH($C$78,"BPS_SEQUENTIAL_GROWTH","FQ4 2016","FQ4 2016","Currency=INR","Period=FQ","BEST_FPERIOD_OVERRIDE=FQ","FILING_STATUS=OR","EQY_CONSOLIDATED=Y","Sort=A","Dates=H","DateFormat=P","Fill=—","Direction=H","UseDPDF=Y")</f>
        <v>#NAME?</v>
      </c>
      <c r="BX92" s="2" t="e">
        <f ca="1">_xll.BDH($C$78,"CFO_SEQUENTIAL_GROWTH","FQ4 2016","FQ4 2016","Currency=INR","Period=FQ","BEST_FPERIOD_OVERRIDE=FQ","FILING_STATUS=OR","EQY_CONSOLIDATED=Y","Sort=A","Dates=H","DateFormat=P","Fill=—","Direction=H","UseDPDF=Y")</f>
        <v>#NAME?</v>
      </c>
      <c r="BY92" s="3" t="e">
        <f ca="1">_xll.BDH($C$78,"SHORT_AND_LONG_TERM_DEBT","FQ4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92" s="3" t="e">
        <f ca="1">_xll.BDH($C$78,"BS_ST_BORROW","FQ4 2016","FQ4 2016","Currency=INR","Period=FQ","BEST_FPERIOD_OVERRIDE=FQ","FILING_STATUS=OR","EQY_CONSOLIDATED=Y","SCALING_FORMAT=MLN","Sort=A","Dates=H","DateFormat=P","Fill=—","Direction=H","UseDPDF=Y")</f>
        <v>#NAME?</v>
      </c>
      <c r="CA92" s="3" t="e">
        <f ca="1">_xll.BDH($C$78,"BS_LT_BORROW","FQ4 2016","FQ4 2016","Currency=INR","Period=FQ","BEST_FPERIOD_OVERRIDE=FQ","FILING_STATUS=OR","EQY_CONSOLIDATED=Y","SCALING_FORMAT=MLN","Sort=A","Dates=H","DateFormat=P","Fill=—","Direction=H","UseDPDF=Y")</f>
        <v>#NAME?</v>
      </c>
      <c r="CB92" s="2" t="e">
        <f ca="1">_xll.BDH($C$78,"TOT_DEBT_TO_EBITDA","FQ4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92" s="2" t="e">
        <f ca="1">_xll.BDH($C$78,"NET_DEBT_TO_EBITDA","FQ4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92" s="2" t="e">
        <f ca="1">_xll.BDH($C$78,"TOTAL_DEBT_TO_EBIT","FQ4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92" s="2" t="e">
        <f ca="1">_xll.BDH($C$78,"NET_DEBT_TO_EBIT","FQ4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92" s="2" t="e">
        <f ca="1">_xll.BDH($C$78,"EBITDA_TO_INTEREST_EXPN","FQ4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92" s="2" t="e">
        <f ca="1">_xll.BDH($C$78,"COM_EQY_TO_TOT_ASSET","FQ4 2016","FQ4 2016","Currency=INR","Period=FQ","BEST_FPERIOD_OVERRIDE=FQ","FILING_STATUS=OR","EQY_CONSOLIDATED=Y","Sort=A","Dates=H","DateFormat=P","Fill=—","Direction=H","UseDPDF=Y")</f>
        <v>#NAME?</v>
      </c>
      <c r="CH92" s="2" t="e">
        <f ca="1">_xll.BDH($C$78,"LT_DEBT_TO_TOT_EQY","FQ4 2016","FQ4 2016","Currency=INR","Period=FQ","BEST_FPERIOD_OVERRIDE=FQ","FILING_STATUS=OR","EQY_CONSOLIDATED=Y","Sort=A","Dates=H","DateFormat=P","Fill=—","Direction=H","UseDPDF=Y")</f>
        <v>#NAME?</v>
      </c>
      <c r="CI92" s="2" t="e">
        <f ca="1">_xll.BDH($C$78,"LT_DEBT_TO_TOT_CAP","FQ4 2016","FQ4 2016","Currency=INR","Period=FQ","BEST_FPERIOD_OVERRIDE=FQ","FILING_STATUS=OR","EQY_CONSOLIDATED=Y","Sort=A","Dates=H","DateFormat=P","Fill=—","Direction=H","UseDPDF=Y")</f>
        <v>#NAME?</v>
      </c>
      <c r="CJ92" s="2" t="e">
        <f ca="1">_xll.BDH($C$78,"LT_DEBT_TO_TOT_ASSET","FQ4 2016","FQ4 2016","Currency=INR","Period=FQ","BEST_FPERIOD_OVERRIDE=FQ","FILING_STATUS=OR","EQY_CONSOLIDATED=Y","Sort=A","Dates=H","DateFormat=P","Fill=—","Direction=H","UseDPDF=Y")</f>
        <v>#NAME?</v>
      </c>
      <c r="CK92" s="2" t="e">
        <f ca="1">_xll.BDH($C$78,"TOT_DEBT_TO_TOT_EQY","FQ4 2016","FQ4 2016","Currency=INR","Period=FQ","BEST_FPERIOD_OVERRIDE=FQ","FILING_STATUS=OR","EQY_CONSOLIDATED=Y","Sort=A","Dates=H","DateFormat=P","Fill=—","Direction=H","UseDPDF=Y")</f>
        <v>#NAME?</v>
      </c>
      <c r="CL92" s="2" t="e">
        <f ca="1">_xll.BDH($C$78,"TOT_DEBT_TO_TOT_CAP","FQ4 2016","FQ4 2016","Currency=INR","Period=FQ","BEST_FPERIOD_OVERRIDE=FQ","FILING_STATUS=OR","EQY_CONSOLIDATED=Y","Sort=A","Dates=H","DateFormat=P","Fill=—","Direction=H","UseDPDF=Y")</f>
        <v>#NAME?</v>
      </c>
      <c r="CM92" s="2" t="e">
        <f ca="1">_xll.BDH($C$78,"TOT_DEBT_TO_TOT_ASSET","FQ4 2016","FQ4 2016","Currency=INR","Period=FQ","BEST_FPERIOD_OVERRIDE=FQ","FILING_STATUS=OR","EQY_CONSOLIDATED=Y","Sort=A","Dates=H","DateFormat=P","Fill=—","Direction=H","UseDPDF=Y")</f>
        <v>#NAME?</v>
      </c>
      <c r="CN92" s="2" t="e">
        <f ca="1">_xll.BDH($C$78,"NET_DEBT_TO_SHRHLDR_EQTY","FQ4 2016","FQ4 2016","Currency=INR","Period=FQ","BEST_FPERIOD_OVERRIDE=FQ","FILING_STATUS=OR","EQY_CONSOLIDATED=Y","Sort=A","Dates=H","DateFormat=P","Fill=—","Direction=H","UseDPDF=Y")</f>
        <v>#NAME?</v>
      </c>
      <c r="CO92" s="2" t="e">
        <f ca="1">_xll.BDH($C$78,"NET_DEBT_%_CAPITAL","FQ4 2016","FQ4 2016","Currency=INR","Period=FQ","BEST_FPERIOD_OVERRIDE=FQ","FILING_STATUS=OR","EQY_CONSOLIDATED=Y","Sort=A","Dates=H","DateFormat=P","Fill=—","Direction=H","UseDPDF=Y")</f>
        <v>#NAME?</v>
      </c>
      <c r="CP92" s="3" t="e">
        <f ca="1">_xll.BDH($C$78,"EBITDA","FQ4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92" s="3" t="e">
        <f ca="1">_xll.BDH($C$78,"EBITDA_AFTER_CAPEX","FQ4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92" s="3" t="e">
        <f ca="1">_xll.BDH($C$78,"IS_OPER_INC","FQ4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92" s="2" t="e">
        <f ca="1">_xll.BDH($C$78,"CASH_RATIO","FQ4 2016","FQ4 2016","Currency=INR","Period=FQ","BEST_FPERIOD_OVERRIDE=FQ","FILING_STATUS=OR","EQY_CONSOLIDATED=Y","Sort=A","Dates=H","DateFormat=P","Fill=—","Direction=H","UseDPDF=Y")</f>
        <v>#NAME?</v>
      </c>
      <c r="CT92" s="2" t="e">
        <f ca="1">_xll.BDH($C$78,"CUR_RATIO","FQ4 2016","FQ4 2016","Currency=INR","Period=FQ","BEST_FPERIOD_OVERRIDE=FQ","FILING_STATUS=OR","EQY_CONSOLIDATED=Y","Sort=A","Dates=H","DateFormat=P","Fill=—","Direction=H","UseDPDF=Y")</f>
        <v>#NAME?</v>
      </c>
      <c r="CU92" s="2" t="e">
        <f ca="1">_xll.BDH($C$78,"QUICK_RATIO","FQ4 2016","FQ4 2016","Currency=INR","Period=FQ","BEST_FPERIOD_OVERRIDE=FQ","FILING_STATUS=OR","EQY_CONSOLIDATED=Y","Sort=A","Dates=H","DateFormat=P","Fill=—","Direction=H","UseDPDF=Y")</f>
        <v>#NAME?</v>
      </c>
      <c r="CV92" s="2" t="e">
        <f ca="1">_xll.BDH($C$78,"ALTMAN_Z_SCORE","FQ4 2016","FQ4 2016","Currency=INR","Period=FQ","BEST_FPERIOD_OVERRIDE=FQ","FILING_STATUS=OR","EQY_CONSOLIDATED=Y","Sort=A","Dates=H","DateFormat=P","Fill=—","Direction=H","UseDPDF=Y")</f>
        <v>#NAME?</v>
      </c>
      <c r="CW92" s="4" t="e">
        <f ca="1">_xll.BDH($C$78,"ACCT_RCV_TURN","FQ4 2016","FQ4 2016","Currency=INR","Period=FQ","BEST_FPERIOD_OVERRIDE=FQ","FILING_STATUS=OR","EQY_CONSOLIDATED=Y","FA_ADJUSTED=GAAP","Sort=A","Dates=H","DateFormat=P","Fill=—","Direction=H","UseDPDF=Y")</f>
        <v>#NAME?</v>
      </c>
      <c r="CX92" s="2" t="e">
        <f ca="1">_xll.BDH($C$78,"ACCT_RCV_DAYS","FQ4 2016","FQ4 2016","Currency=INR","Period=FQ","BEST_FPERIOD_OVERRIDE=FQ","FILING_STATUS=OR","EQY_CONSOLIDATED=Y","FA_ADJUSTED=GAAP","Sort=A","Dates=H","DateFormat=P","Fill=—","Direction=H","UseDPDF=Y")</f>
        <v>#NAME?</v>
      </c>
      <c r="CY92" s="4" t="e">
        <f ca="1">_xll.BDH($C$78,"INVENT_TURN","FQ4 2016","FQ4 2016","Currency=INR","Period=FQ","BEST_FPERIOD_OVERRIDE=FQ","FILING_STATUS=OR","EQY_CONSOLIDATED=Y","FA_ADJUSTED=GAAP","Sort=A","Dates=H","DateFormat=P","Fill=—","Direction=H","UseDPDF=Y")</f>
        <v>#NAME?</v>
      </c>
      <c r="CZ92" s="2" t="e">
        <f ca="1">_xll.BDH($C$78,"INVENT_DAYS","FQ4 2016","FQ4 2016","Currency=INR","Period=FQ","BEST_FPERIOD_OVERRIDE=FQ","FILING_STATUS=OR","EQY_CONSOLIDATED=Y","FA_ADJUSTED=GAAP","Sort=A","Dates=H","DateFormat=P","Fill=—","Direction=H","UseDPDF=Y")</f>
        <v>#NAME?</v>
      </c>
      <c r="DA92" s="4" t="e">
        <f ca="1">_xll.BDH($C$78,"ACCOUNTS_PAYABLE_TURNOVER","FQ4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92" s="2" t="e">
        <f ca="1">_xll.BDH($C$78,"ACCOUNTS_PAYABLE_TURNOVER_DAYS","FQ4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92" s="4" t="e">
        <f ca="1">_xll.BDH($C$78,"CASH_CONVERSION_CYCLE","FQ4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92" s="4" t="e">
        <f ca="1">_xll.BDH($C$78,"INV_TO_CASH_DAYS","FQ4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92" s="5" t="e">
        <f ca="1">_xll.BDH($C$78,"BS_INVENTORIES","FQ4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92" s="3" t="e">
        <f ca="1">_xll.BDH($C$78,"INVTRY_RAW_MATERIALS","FQ4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92" s="3" t="e">
        <f ca="1">_xll.BDH($C$78,"INVTRY_IN_PROGRESS","FQ4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92" s="3" t="e">
        <f ca="1">_xll.BDH($C$78,"INVTRY_FINISHED_GOODS","FQ4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92" s="3" t="e">
        <f ca="1">_xll.BDH($C$78,"BS_OTHER_INV","FQ4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93" spans="1:113" x14ac:dyDescent="0.3">
      <c r="A93" s="6"/>
      <c r="B93" s="6"/>
      <c r="C93" s="6"/>
      <c r="D93" s="6" t="s">
        <v>84</v>
      </c>
      <c r="E93" t="s">
        <v>77</v>
      </c>
      <c r="F93" t="e">
        <f ca="1">_xll.BDH($C$78,"RETURN_COM_EQY","FY 2017","FY 2017","Currency=INR","Period=FY","BEST_FPERIOD_OVERRIDE=FY","FILING_STATUS=OR","EQY_CONSOLIDATED=Y","FA_ADJUSTED=GAAP","Sort=A","Dates=H","DateFormat=P","Fill=—","Direction=H","UseDPDF=Y")</f>
        <v>#NAME?</v>
      </c>
      <c r="G93" t="e">
        <f ca="1">_xll.BDH($C$78,"RETURN_ON_ASSET","FY 2017","FY 2017","Currency=INR","Period=FY","BEST_FPERIOD_OVERRIDE=FY","FILING_STATUS=OR","EQY_CONSOLIDATED=Y","FA_ADJUSTED=GAAP","Sort=A","Dates=H","DateFormat=P","Fill=—","Direction=H","UseDPDF=Y")</f>
        <v>#NAME?</v>
      </c>
      <c r="H93" t="e">
        <f ca="1">_xll.BDH($C$78,"RETURN_ON_CAP","FY 2017","FY 2017","Currency=INR","Period=FY","BEST_FPERIOD_OVERRIDE=FY","FILING_STATUS=OR","EQY_CONSOLIDATED=Y","FA_ADJUSTED=GAAP","Sort=A","Dates=H","DateFormat=P","Fill=—","Direction=H","UseDPDF=Y")</f>
        <v>#NAME?</v>
      </c>
      <c r="I93" t="e">
        <f ca="1">_xll.BDH($C$78,"RETURN_ON_INV_CAPITAL","FY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93" t="e">
        <f ca="1">_xll.BDH($C$78,"EBITDA_TO_REVENUE","FY 2017","FY 2017","Currency=INR","Period=FY","BEST_FPERIOD_OVERRIDE=FY","FILING_STATUS=OR","EQY_CONSOLIDATED=Y","FA_ADJUSTED=GAAP","Sort=A","Dates=H","DateFormat=P","Fill=—","Direction=H","UseDPDF=Y")</f>
        <v>#NAME?</v>
      </c>
      <c r="K93" t="e">
        <f ca="1">_xll.BDH($C$78,"OPER_MARGIN","FY 2017","FY 2017","Currency=INR","Period=FY","BEST_FPERIOD_OVERRIDE=FY","FILING_STATUS=OR","EQY_CONSOLIDATED=Y","FA_ADJUSTED=GAAP","Sort=A","Dates=H","DateFormat=P","Fill=—","Direction=H","UseDPDF=Y")</f>
        <v>#NAME?</v>
      </c>
      <c r="L93" t="e">
        <f ca="1">_xll.BDH($C$78,"INCREMENTAL_OPERATING_MARGIN","FY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93" t="e">
        <f ca="1">_xll.BDH($C$78,"PRETAX_INC_TO_NET_SALES","FY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93" t="e">
        <f ca="1">_xll.BDH($C$78,"INC_BEF_XO_ITEMS_TO_NET_SALES","FY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93" t="e">
        <f ca="1">_xll.BDH($C$78,"PROF_MARGIN","FY 2017","FY 2017","Currency=INR","Period=FY","BEST_FPERIOD_OVERRIDE=FY","FILING_STATUS=OR","EQY_CONSOLIDATED=Y","FA_ADJUSTED=GAAP","Sort=A","Dates=H","DateFormat=P","Fill=—","Direction=H","UseDPDF=Y")</f>
        <v>#NAME?</v>
      </c>
      <c r="P93" t="e">
        <f ca="1">_xll.BDH($C$78,"NET_INCOME_TO_COMMON_MARGIN","FY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93" t="e">
        <f ca="1">_xll.BDH($C$78,"EFF_TAX_RATE","FY 2017","FY 2017","Currency=INR","Period=FY","BEST_FPERIOD_OVERRIDE=FY","FILING_STATUS=OR","EQY_CONSOLIDATED=Y","FA_ADJUSTED=GAAP","Sort=A","Dates=H","DateFormat=P","Fill=—","Direction=H","UseDPDF=Y")</f>
        <v>#NAME?</v>
      </c>
      <c r="R93" t="e">
        <f ca="1">_xll.BDH($C$78,"DVD_PAYOUT_RATIO","FY 2017","FY 2017","Currency=INR","Period=FY","BEST_FPERIOD_OVERRIDE=FY","FILING_STATUS=OR","EQY_CONSOLIDATED=Y","FA_ADJUSTED=GAAP","Sort=A","Dates=H","DateFormat=P","Fill=—","Direction=H","UseDPDF=Y")</f>
        <v>#NAME?</v>
      </c>
      <c r="S93" t="e">
        <f ca="1">_xll.BDH($C$78,"SUSTAIN_GROWTH_RT","FY 2017","FY 2017","Currency=INR","Period=FY","BEST_FPERIOD_OVERRIDE=FY","FILING_STATUS=OR","EQY_CONSOLIDATED=Y","FA_ADJUSTED=GAAP","Sort=A","Dates=H","DateFormat=P","Fill=—","Direction=H","UseDPDF=Y")</f>
        <v>#NAME?</v>
      </c>
      <c r="T93" s="2" t="e">
        <f ca="1">_xll.BDH($C$78,"SALES_GROWTH","FY 2017","FY 2017","Currency=INR","Period=FY","BEST_FPERIOD_OVERRIDE=FY","FILING_STATUS=OR","EQY_CONSOLIDATED=Y","FA_ADJUSTED=GAAP","Sort=A","Dates=H","DateFormat=P","Fill=—","Direction=H","UseDPDF=Y")</f>
        <v>#NAME?</v>
      </c>
      <c r="U93" s="2" t="e">
        <f ca="1">_xll.BDH($C$78,"EBITDA_GROWTH","FY 2017","FY 2017","Currency=INR","Period=FY","BEST_FPERIOD_OVERRIDE=FY","FILING_STATUS=OR","EQY_CONSOLIDATED=Y","FA_ADJUSTED=GAAP","Sort=A","Dates=H","DateFormat=P","Fill=—","Direction=H","UseDPDF=Y")</f>
        <v>#NAME?</v>
      </c>
      <c r="V93" s="2" t="e">
        <f ca="1">_xll.BDH($C$78,"OPER_INC_GROWTH","FY 2017","FY 2017","Currency=INR","Period=FY","BEST_FPERIOD_OVERRIDE=FY","FILING_STATUS=OR","EQY_CONSOLIDATED=Y","FA_ADJUSTED=GAAP","Sort=A","Dates=H","DateFormat=P","Fill=—","Direction=H","UseDPDF=Y")</f>
        <v>#NAME?</v>
      </c>
      <c r="W93" s="2" t="e">
        <f ca="1">_xll.BDH($C$78,"EARN_FOR_COM_GROWTH","FY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93" s="2" t="e">
        <f ca="1">_xll.BDH($C$78,"DILUTED_EPS_AFT_XO_ITEMS_GROWTH","FY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93" s="2" t="e">
        <f ca="1">_xll.BDH($C$78,"DIVIDEND_PER_SHARE_1_YEAR_GROWTH","FY 2017","FY 2017","Currency=INR","Period=FY","BEST_FPERIOD_OVERRIDE=FY","FILING_STATUS=OR","EQY_CONSOLIDATED=Y","Sort=A","Dates=H","DateFormat=P","Fill=—","Direction=H","UseDPDF=Y")</f>
        <v>#NAME?</v>
      </c>
      <c r="Z93" s="2" t="e">
        <f ca="1">_xll.BDH($C$78,"ACCOUNTS_RECEIVABLE_GROWTH","FY 2017","FY 2017","Currency=INR","Period=FY","BEST_FPERIOD_OVERRIDE=FY","FILING_STATUS=OR","EQY_CONSOLIDATED=Y","Sort=A","Dates=H","DateFormat=P","Fill=—","Direction=H","UseDPDF=Y")</f>
        <v>#NAME?</v>
      </c>
      <c r="AA93" s="2" t="e">
        <f ca="1">_xll.BDH($C$78,"INVENTORY_GROWTH","FY 2017","FY 2017","Currency=INR","Period=FY","BEST_FPERIOD_OVERRIDE=FY","FILING_STATUS=OR","EQY_CONSOLIDATED=Y","Sort=A","Dates=H","DateFormat=P","Fill=—","Direction=H","UseDPDF=Y")</f>
        <v>#NAME?</v>
      </c>
      <c r="AB93" s="2" t="e">
        <f ca="1">_xll.BDH($C$78,"NET_FIXED_ASSETS_1_YEAR_GROWTH","FY 2017","FY 2017","Currency=INR","Period=FY","BEST_FPERIOD_OVERRIDE=FY","FILING_STATUS=OR","EQY_CONSOLIDATED=Y","Sort=A","Dates=H","DateFormat=P","Fill=—","Direction=H","UseDPDF=Y")</f>
        <v>#NAME?</v>
      </c>
      <c r="AC93" s="2" t="e">
        <f ca="1">_xll.BDH($C$78,"ASSET_GROWTH","FY 2017","FY 2017","Currency=INR","Period=FY","BEST_FPERIOD_OVERRIDE=FY","FILING_STATUS=OR","EQY_CONSOLIDATED=Y","Sort=A","Dates=H","DateFormat=P","Fill=—","Direction=H","UseDPDF=Y")</f>
        <v>#NAME?</v>
      </c>
      <c r="AD93" s="2" t="e">
        <f ca="1">_xll.BDH($C$78,"MODIFIED_WORK_CAP_GROWTH","FY 2017","FY 2017","Currency=INR","Period=FY","BEST_FPERIOD_OVERRIDE=FY","FILING_STATUS=OR","EQY_CONSOLIDATED=Y","Sort=A","Dates=H","DateFormat=P","Fill=—","Direction=H","UseDPDF=Y")</f>
        <v>#NAME?</v>
      </c>
      <c r="AE93" s="2" t="e">
        <f ca="1">_xll.BDH($C$78,"WORK_CAP_GROWTH","FY 2017","FY 2017","Currency=INR","Period=FY","BEST_FPERIOD_OVERRIDE=FY","FILING_STATUS=OR","EQY_CONSOLIDATED=Y","Sort=A","Dates=H","DateFormat=P","Fill=—","Direction=H","UseDPDF=Y")</f>
        <v>#NAME?</v>
      </c>
      <c r="AF93" s="2" t="e">
        <f ca="1">_xll.BDH($C$78,"ACCOUNTS_PAYABLE_GROWTH_1YR","FY 2017","FY 2017","Currency=INR","Period=FY","BEST_FPERIOD_OVERRIDE=FY","FILING_STATUS=OR","EQY_CONSOLIDATED=Y","Sort=A","Dates=H","DateFormat=P","Fill=—","Direction=H","UseDPDF=Y")</f>
        <v>#NAME?</v>
      </c>
      <c r="AG93" s="2" t="e">
        <f ca="1">_xll.BDH($C$78,"SHORT_TERM_DEBT_1_YEAR_GROWTH","FY 2017","FY 2017","Currency=INR","Period=FY","BEST_FPERIOD_OVERRIDE=FY","FILING_STATUS=OR","EQY_CONSOLIDATED=Y","Sort=A","Dates=H","DateFormat=P","Fill=—","Direction=H","UseDPDF=Y")</f>
        <v>#NAME?</v>
      </c>
      <c r="AH93" s="2" t="e">
        <f ca="1">_xll.BDH($C$78,"TOTAL_DEBT_1_YEAR_GROWTH","FY 2017","FY 2017","Currency=INR","Period=FY","BEST_FPERIOD_OVERRIDE=FY","FILING_STATUS=OR","EQY_CONSOLIDATED=Y","Sort=A","Dates=H","DateFormat=P","Fill=—","Direction=H","UseDPDF=Y")</f>
        <v>#NAME?</v>
      </c>
      <c r="AI93" s="2" t="e">
        <f ca="1">_xll.BDH($C$78,"TOTAL_EQUITY_1_YEAR_GROWTH","FY 2017","FY 2017","Currency=INR","Period=FY","BEST_FPERIOD_OVERRIDE=FY","FILING_STATUS=OR","EQY_CONSOLIDATED=Y","Sort=A","Dates=H","DateFormat=P","Fill=—","Direction=H","UseDPDF=Y")</f>
        <v>#NAME?</v>
      </c>
      <c r="AJ93" s="2" t="e">
        <f ca="1">_xll.BDH($C$78,"GROWTH_IN_CAP","FY 2017","FY 2017","Currency=INR","Period=FY","BEST_FPERIOD_OVERRIDE=FY","FILING_STATUS=OR","EQY_CONSOLIDATED=Y","Sort=A","Dates=H","DateFormat=P","Fill=—","Direction=H","UseDPDF=Y")</f>
        <v>#NAME?</v>
      </c>
      <c r="AK93" s="2" t="e">
        <f ca="1">_xll.BDH($C$78,"BVPS_GROWTH","FY 2017","FY 2017","Currency=INR","Period=FY","BEST_FPERIOD_OVERRIDE=FY","FILING_STATUS=OR","EQY_CONSOLIDATED=Y","Sort=A","Dates=H","DateFormat=P","Fill=—","Direction=H","UseDPDF=Y")</f>
        <v>#NAME?</v>
      </c>
      <c r="AL93" s="2" t="e">
        <f ca="1">_xll.BDH($C$78,"CASH_FLOW_GROWTH","FY 2017","FY 2017","Currency=INR","Period=FY","BEST_FPERIOD_OVERRIDE=FY","FILING_STATUS=OR","EQY_CONSOLIDATED=Y","Sort=A","Dates=H","DateFormat=P","Fill=—","Direction=H","UseDPDF=Y")</f>
        <v>#NAME?</v>
      </c>
      <c r="AM93" s="2" t="e">
        <f ca="1">_xll.BDH($C$78,"GEO_GROW_NET_SALES","FY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93" s="2" t="e">
        <f ca="1">_xll.BDH($C$78,"GEO_GROW_EBITDA","FY 2017","FY 2017","Currency=INR","Period=FY","BEST_FPERIOD_OVERRIDE=FY","FILING_STATUS=OR","EQY_CONSOLIDATED=Y","FA_ADJUSTED=GAAP","Sort=A","Dates=H","DateFormat=P","Fill=—","Direction=H","UseDPDF=Y")</f>
        <v>#NAME?</v>
      </c>
      <c r="AO93" s="2" t="e">
        <f ca="1">_xll.BDH($C$78,"GEO_GROW_OPER_INC","FY 2017","FY 2017","Currency=INR","Period=FY","BEST_FPERIOD_OVERRIDE=FY","FILING_STATUS=OR","EQY_CONSOLIDATED=Y","FA_ADJUSTED=GAAP","Sort=A","Dates=H","DateFormat=P","Fill=—","Direction=H","UseDPDF=Y")</f>
        <v>#NAME?</v>
      </c>
      <c r="AP93" s="2" t="e">
        <f ca="1">_xll.BDH($C$78,"NET_INCOME_TO_COMMON_5_YR_GROWTH","FY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93" s="2" t="e">
        <f ca="1">_xll.BDH($C$78,"5Y_GEO_GROWTH_DILUTED_EPS","FY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93" s="2" t="e">
        <f ca="1">_xll.BDH($C$78,"GEO_GROW_DVD_PER_SH","FY 2017","FY 2017","Currency=INR","Period=FY","BEST_FPERIOD_OVERRIDE=FY","FILING_STATUS=OR","EQY_CONSOLIDATED=Y","Sort=A","Dates=H","DateFormat=P","Fill=—","Direction=H","UseDPDF=Y")</f>
        <v>#NAME?</v>
      </c>
      <c r="AS93" s="2" t="e">
        <f ca="1">_xll.BDH($C$78,"ACCOUNTS_RECEIVABLE_5_YR_GROWTH","FY 2017","FY 2017","Currency=INR","Period=FY","BEST_FPERIOD_OVERRIDE=FY","FILING_STATUS=OR","EQY_CONSOLIDATED=Y","Sort=A","Dates=H","DateFormat=P","Fill=—","Direction=H","UseDPDF=Y")</f>
        <v>#NAME?</v>
      </c>
      <c r="AT93" s="2" t="e">
        <f ca="1">_xll.BDH($C$78,"INVENTORY_5_YEAR_GROWTH","FY 2017","FY 2017","Currency=INR","Period=FY","BEST_FPERIOD_OVERRIDE=FY","FILING_STATUS=OR","EQY_CONSOLIDATED=Y","Sort=A","Dates=H","DateFormat=P","Fill=—","Direction=H","UseDPDF=Y")</f>
        <v>#NAME?</v>
      </c>
      <c r="AU93" s="2" t="e">
        <f ca="1">_xll.BDH($C$78,"NET_FIXED_ASSETS_5_YEAR_GROWTH","FY 2017","FY 2017","Currency=INR","Period=FY","BEST_FPERIOD_OVERRIDE=FY","FILING_STATUS=OR","EQY_CONSOLIDATED=Y","Sort=A","Dates=H","DateFormat=P","Fill=—","Direction=H","UseDPDF=Y")</f>
        <v>#NAME?</v>
      </c>
      <c r="AV93" s="2" t="e">
        <f ca="1">_xll.BDH($C$78,"GEO_GROW_TOT_ASSET","FY 2017","FY 2017","Currency=INR","Period=FY","BEST_FPERIOD_OVERRIDE=FY","FILING_STATUS=OR","EQY_CONSOLIDATED=Y","Sort=A","Dates=H","DateFormat=P","Fill=—","Direction=H","UseDPDF=Y")</f>
        <v>#NAME?</v>
      </c>
      <c r="AW93" s="2" t="e">
        <f ca="1">_xll.BDH($C$78,"MODIFIED_WORKING_CPTL_5YR_GRWTH","FY 2017","FY 2017","Currency=INR","Period=FY","BEST_FPERIOD_OVERRIDE=FY","FILING_STATUS=OR","EQY_CONSOLIDATED=Y","Sort=A","Dates=H","DateFormat=P","Fill=—","Direction=H","UseDPDF=Y")</f>
        <v>#NAME?</v>
      </c>
      <c r="AX93" s="2" t="e">
        <f ca="1">_xll.BDH($C$78,"WORKING_CAPITAL_5_YEAR_GROWTH","FY 2017","FY 2017","Currency=INR","Period=FY","BEST_FPERIOD_OVERRIDE=FY","FILING_STATUS=OR","EQY_CONSOLIDATED=Y","Sort=A","Dates=H","DateFormat=P","Fill=—","Direction=H","UseDPDF=Y")</f>
        <v>#NAME?</v>
      </c>
      <c r="AY93" s="2" t="e">
        <f ca="1">_xll.BDH($C$78,"ACCOUNTS_PAYABLE_5_YEAR_GROWTH","FY 2017","FY 2017","Currency=INR","Period=FY","BEST_FPERIOD_OVERRIDE=FY","FILING_STATUS=OR","EQY_CONSOLIDATED=Y","Sort=A","Dates=H","DateFormat=P","Fill=—","Direction=H","UseDPDF=Y")</f>
        <v>#NAME?</v>
      </c>
      <c r="AZ93" s="2" t="e">
        <f ca="1">_xll.BDH($C$78,"SHORT_TERM_DEBT_5_YEAR_GROWTH","FY 2017","FY 2017","Currency=INR","Period=FY","BEST_FPERIOD_OVERRIDE=FY","FILING_STATUS=OR","EQY_CONSOLIDATED=Y","Sort=A","Dates=H","DateFormat=P","Fill=—","Direction=H","UseDPDF=Y")</f>
        <v>#NAME?</v>
      </c>
      <c r="BA93" s="2" t="e">
        <f ca="1">_xll.BDH($C$78,"TOTAL_DEBT_5_YEAR_GROWTH","FY 2017","FY 2017","Currency=INR","Period=FY","BEST_FPERIOD_OVERRIDE=FY","FILING_STATUS=OR","EQY_CONSOLIDATED=Y","Sort=A","Dates=H","DateFormat=P","Fill=—","Direction=H","UseDPDF=Y")</f>
        <v>#NAME?</v>
      </c>
      <c r="BB93" s="2" t="e">
        <f ca="1">_xll.BDH($C$78,"GEO_GROW_TOT_SHRHLDR_EQY","FY 2017","FY 2017","Currency=INR","Period=FY","BEST_FPERIOD_OVERRIDE=FY","FILING_STATUS=OR","EQY_CONSOLIDATED=Y","Sort=A","Dates=H","DateFormat=P","Fill=—","Direction=H","UseDPDF=Y")</f>
        <v>#NAME?</v>
      </c>
      <c r="BC93" s="2" t="e">
        <f ca="1">_xll.BDH($C$78,"TOTAL_CAPITAL_5_YEAR_GROWTH","FY 2017","FY 2017","Currency=INR","Period=FY","BEST_FPERIOD_OVERRIDE=FY","FILING_STATUS=OR","EQY_CONSOLIDATED=Y","Sort=A","Dates=H","DateFormat=P","Fill=—","Direction=H","UseDPDF=Y")</f>
        <v>#NAME?</v>
      </c>
      <c r="BD93" s="2" t="e">
        <f ca="1">_xll.BDH($C$78,"GEO_GROW_BOOK_VAL","FY 2017","FY 2017","Currency=INR","Period=FY","BEST_FPERIOD_OVERRIDE=FY","FILING_STATUS=OR","EQY_CONSOLIDATED=Y","Sort=A","Dates=H","DateFormat=P","Fill=—","Direction=H","UseDPDF=Y")</f>
        <v>#NAME?</v>
      </c>
      <c r="BE93" s="2" t="e">
        <f ca="1">_xll.BDH($C$78,"GEO_GROW_CASH_OPER_ACT","FY 2017","FY 2017","Currency=INR","Period=FY","BEST_FPERIOD_OVERRIDE=FY","FILING_STATUS=OR","EQY_CONSOLIDATED=Y","Sort=A","Dates=H","DateFormat=P","Fill=—","Direction=H","UseDPDF=Y")</f>
        <v>#NAME?</v>
      </c>
      <c r="BF93" s="2" t="e">
        <f ca="1">_xll.BDH($C$78,"REVENUE_SEQUENTIAL_GROWTH","FY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93" s="2" t="e">
        <f ca="1">_xll.BDH($C$78,"EBITDA_SEQUENTIAL_GROWTH","FY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93" s="2" t="e">
        <f ca="1">_xll.BDH($C$78,"OPERATING_INCOME_SEQ_GROWTH","FY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93" s="2" t="e">
        <f ca="1">_xll.BDH($C$78,"NET_INCOME_TO_COMMON_SEQ_GROWTH","FY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93" s="2" t="e">
        <f ca="1">_xll.BDH($C$78,"EPS_DILUTED_SEQUENTIAL_GROWTH","FY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93" s="2" t="e">
        <f ca="1">_xll.BDH($C$78,"DPS_SEQUENTIAL_GROWTH","FY 2017","FY 2017","Currency=INR","Period=FY","BEST_FPERIOD_OVERRIDE=FY","FILING_STATUS=OR","EQY_CONSOLIDATED=Y","Sort=A","Dates=H","DateFormat=P","Fill=—","Direction=H","UseDPDF=Y")</f>
        <v>#NAME?</v>
      </c>
      <c r="BL93" s="2" t="e">
        <f ca="1">_xll.BDH($C$78,"ACCOUNTS_RECEIVABLE_SEQ_GROWTH","FY 2017","FY 2017","Currency=INR","Period=FY","BEST_FPERIOD_OVERRIDE=FY","FILING_STATUS=OR","EQY_CONSOLIDATED=Y","Sort=A","Dates=H","DateFormat=P","Fill=—","Direction=H","UseDPDF=Y")</f>
        <v>#NAME?</v>
      </c>
      <c r="BM93" s="2" t="e">
        <f ca="1">_xll.BDH($C$78,"INVENTORY_SEQUENTIAL_GROWTH","FY 2017","FY 2017","Currency=INR","Period=FY","BEST_FPERIOD_OVERRIDE=FY","FILING_STATUS=OR","EQY_CONSOLIDATED=Y","Sort=A","Dates=H","DateFormat=P","Fill=—","Direction=H","UseDPDF=Y")</f>
        <v>#NAME?</v>
      </c>
      <c r="BN93" s="2" t="e">
        <f ca="1">_xll.BDH($C$78,"FIXED_ASSETS_SEQUENTIAL_GROWTH","FY 2017","FY 2017","Currency=INR","Period=FY","BEST_FPERIOD_OVERRIDE=FY","FILING_STATUS=OR","EQY_CONSOLIDATED=Y","Sort=A","Dates=H","DateFormat=P","Fill=—","Direction=H","UseDPDF=Y")</f>
        <v>#NAME?</v>
      </c>
      <c r="BO93" s="2" t="e">
        <f ca="1">_xll.BDH($C$78,"TOTAL_ASSETS_SEQUENTIAL_GROWTH","FY 2017","FY 2017","Currency=INR","Period=FY","BEST_FPERIOD_OVERRIDE=FY","FILING_STATUS=OR","EQY_CONSOLIDATED=Y","Sort=A","Dates=H","DateFormat=P","Fill=—","Direction=H","UseDPDF=Y")</f>
        <v>#NAME?</v>
      </c>
      <c r="BP93" s="2" t="e">
        <f ca="1">_xll.BDH($C$78,"MODIFIED_WORKING_CPTL_SEQ_GRWTH","FY 2017","FY 2017","Currency=INR","Period=FY","BEST_FPERIOD_OVERRIDE=FY","FILING_STATUS=OR","EQY_CONSOLIDATED=Y","Sort=A","Dates=H","DateFormat=P","Fill=—","Direction=H","UseDPDF=Y")</f>
        <v>#NAME?</v>
      </c>
      <c r="BQ93" s="2" t="e">
        <f ca="1">_xll.BDH($C$78,"WORKING_CAPITAL_SEQ_GROWTH","FY 2017","FY 2017","Currency=INR","Period=FY","BEST_FPERIOD_OVERRIDE=FY","FILING_STATUS=OR","EQY_CONSOLIDATED=Y","Sort=A","Dates=H","DateFormat=P","Fill=—","Direction=H","UseDPDF=Y")</f>
        <v>#NAME?</v>
      </c>
      <c r="BR93" s="2" t="e">
        <f ca="1">_xll.BDH($C$78,"ACCOUNTS_PAYABLE_SEQ_GROWTH","FY 2017","FY 2017","Currency=INR","Period=FY","BEST_FPERIOD_OVERRIDE=FY","FILING_STATUS=OR","EQY_CONSOLIDATED=Y","Sort=A","Dates=H","DateFormat=P","Fill=—","Direction=H","UseDPDF=Y")</f>
        <v>#NAME?</v>
      </c>
      <c r="BS93" s="2" t="e">
        <f ca="1">_xll.BDH($C$78,"ST_DEBT_SEQUENTIAL_GROWTH","FY 2017","FY 2017","Currency=INR","Period=FY","BEST_FPERIOD_OVERRIDE=FY","FILING_STATUS=OR","EQY_CONSOLIDATED=Y","Sort=A","Dates=H","DateFormat=P","Fill=—","Direction=H","UseDPDF=Y")</f>
        <v>#NAME?</v>
      </c>
      <c r="BT93" s="2" t="e">
        <f ca="1">_xll.BDH($C$78,"TOTAL_DEBT_SEQUENTIAL_GROWTH","FY 2017","FY 2017","Currency=INR","Period=FY","BEST_FPERIOD_OVERRIDE=FY","FILING_STATUS=OR","EQY_CONSOLIDATED=Y","Sort=A","Dates=H","DateFormat=P","Fill=—","Direction=H","UseDPDF=Y")</f>
        <v>#NAME?</v>
      </c>
      <c r="BU93" s="2" t="e">
        <f ca="1">_xll.BDH($C$78,"TOTAL_EQUITY_SEQUENTIAL_GROWTH","FY 2017","FY 2017","Currency=INR","Period=FY","BEST_FPERIOD_OVERRIDE=FY","FILING_STATUS=OR","EQY_CONSOLIDATED=Y","Sort=A","Dates=H","DateFormat=P","Fill=—","Direction=H","UseDPDF=Y")</f>
        <v>#NAME?</v>
      </c>
      <c r="BV93" s="2" t="e">
        <f ca="1">_xll.BDH($C$78,"TOTAL_CAPITAL_SEQUENTIAL_GROWTH","FY 2017","FY 2017","Currency=INR","Period=FY","BEST_FPERIOD_OVERRIDE=FY","FILING_STATUS=OR","EQY_CONSOLIDATED=Y","Sort=A","Dates=H","DateFormat=P","Fill=—","Direction=H","UseDPDF=Y")</f>
        <v>#NAME?</v>
      </c>
      <c r="BW93" s="2" t="e">
        <f ca="1">_xll.BDH($C$78,"BPS_SEQUENTIAL_GROWTH","FY 2017","FY 2017","Currency=INR","Period=FY","BEST_FPERIOD_OVERRIDE=FY","FILING_STATUS=OR","EQY_CONSOLIDATED=Y","Sort=A","Dates=H","DateFormat=P","Fill=—","Direction=H","UseDPDF=Y")</f>
        <v>#NAME?</v>
      </c>
      <c r="BX93" s="2" t="e">
        <f ca="1">_xll.BDH($C$78,"CFO_SEQUENTIAL_GROWTH","FY 2017","FY 2017","Currency=INR","Period=FY","BEST_FPERIOD_OVERRIDE=FY","FILING_STATUS=OR","EQY_CONSOLIDATED=Y","Sort=A","Dates=H","DateFormat=P","Fill=—","Direction=H","UseDPDF=Y")</f>
        <v>#NAME?</v>
      </c>
      <c r="BY93" s="3" t="e">
        <f ca="1">_xll.BDH($C$78,"SHORT_AND_LONG_TERM_DEBT","FY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93" s="3" t="e">
        <f ca="1">_xll.BDH($C$78,"BS_ST_BORROW","FY 2017","FY 2017","Currency=INR","Period=FY","BEST_FPERIOD_OVERRIDE=FY","FILING_STATUS=OR","EQY_CONSOLIDATED=Y","SCALING_FORMAT=MLN","Sort=A","Dates=H","DateFormat=P","Fill=—","Direction=H","UseDPDF=Y")</f>
        <v>#NAME?</v>
      </c>
      <c r="CA93" s="3" t="e">
        <f ca="1">_xll.BDH($C$78,"BS_LT_BORROW","FY 2017","FY 2017","Currency=INR","Period=FY","BEST_FPERIOD_OVERRIDE=FY","FILING_STATUS=OR","EQY_CONSOLIDATED=Y","SCALING_FORMAT=MLN","Sort=A","Dates=H","DateFormat=P","Fill=—","Direction=H","UseDPDF=Y")</f>
        <v>#NAME?</v>
      </c>
      <c r="CB93" s="2" t="e">
        <f ca="1">_xll.BDH($C$78,"TOT_DEBT_TO_EBITDA","FY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93" s="2" t="e">
        <f ca="1">_xll.BDH($C$78,"NET_DEBT_TO_EBITDA","FY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93" s="2" t="e">
        <f ca="1">_xll.BDH($C$78,"TOTAL_DEBT_TO_EBIT","FY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93" s="2" t="e">
        <f ca="1">_xll.BDH($C$78,"NET_DEBT_TO_EBIT","FY 2017","FY 2017","Currency=INR","Period=FY","BEST_FPERIOD_OVERRIDE=FY","FILING_STATUS=OR","EQY_CONSOLIDATED=Y","FA_ADJUSTED=GAAP","Sort=A","Dates=H","DateFormat=P","Fill=—","Direction=H","UseDPDF=Y")</f>
        <v>#NAME?</v>
      </c>
      <c r="CF93" s="2" t="e">
        <f ca="1">_xll.BDH($C$78,"EBITDA_TO_INTEREST_EXPN","FY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93" s="2" t="e">
        <f ca="1">_xll.BDH($C$78,"COM_EQY_TO_TOT_ASSET","FY 2017","FY 2017","Currency=INR","Period=FY","BEST_FPERIOD_OVERRIDE=FY","FILING_STATUS=OR","EQY_CONSOLIDATED=Y","Sort=A","Dates=H","DateFormat=P","Fill=—","Direction=H","UseDPDF=Y")</f>
        <v>#NAME?</v>
      </c>
      <c r="CH93" s="2" t="e">
        <f ca="1">_xll.BDH($C$78,"LT_DEBT_TO_TOT_EQY","FY 2017","FY 2017","Currency=INR","Period=FY","BEST_FPERIOD_OVERRIDE=FY","FILING_STATUS=OR","EQY_CONSOLIDATED=Y","Sort=A","Dates=H","DateFormat=P","Fill=—","Direction=H","UseDPDF=Y")</f>
        <v>#NAME?</v>
      </c>
      <c r="CI93" s="2" t="e">
        <f ca="1">_xll.BDH($C$78,"LT_DEBT_TO_TOT_CAP","FY 2017","FY 2017","Currency=INR","Period=FY","BEST_FPERIOD_OVERRIDE=FY","FILING_STATUS=OR","EQY_CONSOLIDATED=Y","Sort=A","Dates=H","DateFormat=P","Fill=—","Direction=H","UseDPDF=Y")</f>
        <v>#NAME?</v>
      </c>
      <c r="CJ93" s="2" t="e">
        <f ca="1">_xll.BDH($C$78,"LT_DEBT_TO_TOT_ASSET","FY 2017","FY 2017","Currency=INR","Period=FY","BEST_FPERIOD_OVERRIDE=FY","FILING_STATUS=OR","EQY_CONSOLIDATED=Y","Sort=A","Dates=H","DateFormat=P","Fill=—","Direction=H","UseDPDF=Y")</f>
        <v>#NAME?</v>
      </c>
      <c r="CK93" s="2" t="e">
        <f ca="1">_xll.BDH($C$78,"TOT_DEBT_TO_TOT_EQY","FY 2017","FY 2017","Currency=INR","Period=FY","BEST_FPERIOD_OVERRIDE=FY","FILING_STATUS=OR","EQY_CONSOLIDATED=Y","Sort=A","Dates=H","DateFormat=P","Fill=—","Direction=H","UseDPDF=Y")</f>
        <v>#NAME?</v>
      </c>
      <c r="CL93" s="2" t="e">
        <f ca="1">_xll.BDH($C$78,"TOT_DEBT_TO_TOT_CAP","FY 2017","FY 2017","Currency=INR","Period=FY","BEST_FPERIOD_OVERRIDE=FY","FILING_STATUS=OR","EQY_CONSOLIDATED=Y","Sort=A","Dates=H","DateFormat=P","Fill=—","Direction=H","UseDPDF=Y")</f>
        <v>#NAME?</v>
      </c>
      <c r="CM93" s="2" t="e">
        <f ca="1">_xll.BDH($C$78,"TOT_DEBT_TO_TOT_ASSET","FY 2017","FY 2017","Currency=INR","Period=FY","BEST_FPERIOD_OVERRIDE=FY","FILING_STATUS=OR","EQY_CONSOLIDATED=Y","Sort=A","Dates=H","DateFormat=P","Fill=—","Direction=H","UseDPDF=Y")</f>
        <v>#NAME?</v>
      </c>
      <c r="CN93" s="2" t="e">
        <f ca="1">_xll.BDH($C$78,"NET_DEBT_TO_SHRHLDR_EQTY","FY 2017","FY 2017","Currency=INR","Period=FY","BEST_FPERIOD_OVERRIDE=FY","FILING_STATUS=OR","EQY_CONSOLIDATED=Y","Sort=A","Dates=H","DateFormat=P","Fill=—","Direction=H","UseDPDF=Y")</f>
        <v>#NAME?</v>
      </c>
      <c r="CO93" s="2" t="e">
        <f ca="1">_xll.BDH($C$78,"NET_DEBT_%_CAPITAL","FY 2017","FY 2017","Currency=INR","Period=FY","BEST_FPERIOD_OVERRIDE=FY","FILING_STATUS=OR","EQY_CONSOLIDATED=Y","Sort=A","Dates=H","DateFormat=P","Fill=—","Direction=H","UseDPDF=Y")</f>
        <v>#NAME?</v>
      </c>
      <c r="CP93" s="3" t="e">
        <f ca="1">_xll.BDH($C$78,"EBITDA","FY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93" s="3" t="e">
        <f ca="1">_xll.BDH($C$78,"EBITDA_AFTER_CAPEX","FY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93" s="3" t="e">
        <f ca="1">_xll.BDH($C$78,"IS_OPER_INC","FY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93" s="2" t="e">
        <f ca="1">_xll.BDH($C$78,"CASH_RATIO","FY 2017","FY 2017","Currency=INR","Period=FY","BEST_FPERIOD_OVERRIDE=FY","FILING_STATUS=OR","EQY_CONSOLIDATED=Y","Sort=A","Dates=H","DateFormat=P","Fill=—","Direction=H","UseDPDF=Y")</f>
        <v>#NAME?</v>
      </c>
      <c r="CT93" s="2" t="e">
        <f ca="1">_xll.BDH($C$78,"CUR_RATIO","FY 2017","FY 2017","Currency=INR","Period=FY","BEST_FPERIOD_OVERRIDE=FY","FILING_STATUS=OR","EQY_CONSOLIDATED=Y","Sort=A","Dates=H","DateFormat=P","Fill=—","Direction=H","UseDPDF=Y")</f>
        <v>#NAME?</v>
      </c>
      <c r="CU93" s="2" t="e">
        <f ca="1">_xll.BDH($C$78,"QUICK_RATIO","FY 2017","FY 2017","Currency=INR","Period=FY","BEST_FPERIOD_OVERRIDE=FY","FILING_STATUS=OR","EQY_CONSOLIDATED=Y","Sort=A","Dates=H","DateFormat=P","Fill=—","Direction=H","UseDPDF=Y")</f>
        <v>#NAME?</v>
      </c>
      <c r="CV93" s="2" t="e">
        <f ca="1">_xll.BDH($C$78,"ALTMAN_Z_SCORE","FY 2017","FY 2017","Currency=INR","Period=FY","BEST_FPERIOD_OVERRIDE=FY","FILING_STATUS=OR","EQY_CONSOLIDATED=Y","Sort=A","Dates=H","DateFormat=P","Fill=—","Direction=H","UseDPDF=Y")</f>
        <v>#NAME?</v>
      </c>
      <c r="CW93" s="4" t="e">
        <f ca="1">_xll.BDH($C$78,"ACCT_RCV_TURN","FY 2017","FY 2017","Currency=INR","Period=FY","BEST_FPERIOD_OVERRIDE=FY","FILING_STATUS=OR","EQY_CONSOLIDATED=Y","FA_ADJUSTED=GAAP","Sort=A","Dates=H","DateFormat=P","Fill=—","Direction=H","UseDPDF=Y")</f>
        <v>#NAME?</v>
      </c>
      <c r="CX93" s="2" t="e">
        <f ca="1">_xll.BDH($C$78,"ACCT_RCV_DAYS","FY 2017","FY 2017","Currency=INR","Period=FY","BEST_FPERIOD_OVERRIDE=FY","FILING_STATUS=OR","EQY_CONSOLIDATED=Y","FA_ADJUSTED=GAAP","Sort=A","Dates=H","DateFormat=P","Fill=—","Direction=H","UseDPDF=Y")</f>
        <v>#NAME?</v>
      </c>
      <c r="CY93" s="4" t="e">
        <f ca="1">_xll.BDH($C$78,"INVENT_TURN","FY 2017","FY 2017","Currency=INR","Period=FY","BEST_FPERIOD_OVERRIDE=FY","FILING_STATUS=OR","EQY_CONSOLIDATED=Y","FA_ADJUSTED=GAAP","Sort=A","Dates=H","DateFormat=P","Fill=—","Direction=H","UseDPDF=Y")</f>
        <v>#NAME?</v>
      </c>
      <c r="CZ93" s="2" t="e">
        <f ca="1">_xll.BDH($C$78,"INVENT_DAYS","FY 2017","FY 2017","Currency=INR","Period=FY","BEST_FPERIOD_OVERRIDE=FY","FILING_STATUS=OR","EQY_CONSOLIDATED=Y","FA_ADJUSTED=GAAP","Sort=A","Dates=H","DateFormat=P","Fill=—","Direction=H","UseDPDF=Y")</f>
        <v>#NAME?</v>
      </c>
      <c r="DA93" s="4" t="e">
        <f ca="1">_xll.BDH($C$78,"ACCOUNTS_PAYABLE_TURNOVER","FY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93" s="2" t="e">
        <f ca="1">_xll.BDH($C$78,"ACCOUNTS_PAYABLE_TURNOVER_DAYS","FY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93" s="4" t="e">
        <f ca="1">_xll.BDH($C$78,"CASH_CONVERSION_CYCLE","FY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93" s="4" t="e">
        <f ca="1">_xll.BDH($C$78,"INV_TO_CASH_DAYS","FY 2017","FY 2017","Currency=INR","Period=FY","BEST_FPERIOD_OVERRIDE=FY","FILING_STATUS=OR","EQY_CONSOLIDATED=Y","FA_ADJUSTED=GAAP","Sort=A","Dates=H","DateFormat=P","Fill=—","Direction=H","UseDPDF=Y")</f>
        <v>#NAME?</v>
      </c>
      <c r="DE93" s="5" t="e">
        <f ca="1">_xll.BDH($C$78,"BS_INVENTORIES","FY 2017","FY 2017","Currency=INR","Period=FY","BEST_FPERIOD_OVERRIDE=FY","FILING_STATUS=OR","EQY_CONSOLIDATED=Y","SCALING_FORMAT=MLN","Sort=A","Dates=H","DateFormat=P","Fill=—","Direction=H","UseDPDF=Y")</f>
        <v>#NAME?</v>
      </c>
      <c r="DF93" s="3" t="e">
        <f ca="1">_xll.BDH($C$78,"INVTRY_RAW_MATERIALS","FY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93" s="3" t="e">
        <f ca="1">_xll.BDH($C$78,"INVTRY_IN_PROGRESS","FY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93" s="3" t="e">
        <f ca="1">_xll.BDH($C$78,"INVTRY_FINISHED_GOODS","FY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93" s="3" t="e">
        <f ca="1">_xll.BDH($C$78,"BS_OTHER_INV","FY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94" spans="1:113" x14ac:dyDescent="0.3">
      <c r="A94" s="6"/>
      <c r="B94" s="6"/>
      <c r="C94" s="6"/>
      <c r="D94" s="6"/>
      <c r="E94" t="s">
        <v>78</v>
      </c>
      <c r="F94" t="e">
        <f ca="1">_xll.BDH($C$78,"RETURN_COM_EQY","FQ1 2017","FQ1 2017","Currency=INR","Period=FQ","BEST_FPERIOD_OVERRIDE=FQ","FILING_STATUS=OR","EQY_CONSOLIDATED=Y","FA_ADJUSTED=GAAP","Sort=A","Dates=H","DateFormat=P","Fill=—","Direction=H","UseDPDF=Y")</f>
        <v>#NAME?</v>
      </c>
      <c r="G94" t="e">
        <f ca="1">_xll.BDH($C$78,"RETURN_ON_ASSET","FQ1 2017","FQ1 2017","Currency=INR","Period=FQ","BEST_FPERIOD_OVERRIDE=FQ","FILING_STATUS=OR","EQY_CONSOLIDATED=Y","FA_ADJUSTED=GAAP","Sort=A","Dates=H","DateFormat=P","Fill=—","Direction=H","UseDPDF=Y")</f>
        <v>#NAME?</v>
      </c>
      <c r="H94" t="e">
        <f ca="1">_xll.BDH($C$78,"RETURN_ON_CAP","FQ1 2017","FQ1 2017","Currency=INR","Period=FQ","BEST_FPERIOD_OVERRIDE=FQ","FILING_STATUS=OR","EQY_CONSOLIDATED=Y","FA_ADJUSTED=GAAP","Sort=A","Dates=H","DateFormat=P","Fill=—","Direction=H","UseDPDF=Y")</f>
        <v>#NAME?</v>
      </c>
      <c r="I94" t="e">
        <f ca="1">_xll.BDH($C$78,"RETURN_ON_INV_CAPITAL","FQ1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94" t="e">
        <f ca="1">_xll.BDH($C$78,"EBITDA_TO_REVENUE","FQ1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94" t="e">
        <f ca="1">_xll.BDH($C$78,"OPER_MARGIN","FQ1 2017","FQ1 2017","Currency=INR","Period=FQ","BEST_FPERIOD_OVERRIDE=FQ","FILING_STATUS=OR","EQY_CONSOLIDATED=Y","FA_ADJUSTED=GAAP","Sort=A","Dates=H","DateFormat=P","Fill=—","Direction=H","UseDPDF=Y")</f>
        <v>#NAME?</v>
      </c>
      <c r="L94" t="e">
        <f ca="1">_xll.BDH($C$78,"INCREMENTAL_OPERATING_MARGIN","FQ1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94" t="e">
        <f ca="1">_xll.BDH($C$78,"PRETAX_INC_TO_NET_SALES","FQ1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94" t="e">
        <f ca="1">_xll.BDH($C$78,"INC_BEF_XO_ITEMS_TO_NET_SALES","FQ1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94" t="e">
        <f ca="1">_xll.BDH($C$78,"PROF_MARGIN","FQ1 2017","FQ1 2017","Currency=INR","Period=FQ","BEST_FPERIOD_OVERRIDE=FQ","FILING_STATUS=OR","EQY_CONSOLIDATED=Y","FA_ADJUSTED=GAAP","Sort=A","Dates=H","DateFormat=P","Fill=—","Direction=H","UseDPDF=Y")</f>
        <v>#NAME?</v>
      </c>
      <c r="P94" t="e">
        <f ca="1">_xll.BDH($C$78,"NET_INCOME_TO_COMMON_MARGIN","FQ1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94" t="e">
        <f ca="1">_xll.BDH($C$78,"EFF_TAX_RATE","FQ1 2017","FQ1 2017","Currency=INR","Period=FQ","BEST_FPERIOD_OVERRIDE=FQ","FILING_STATUS=OR","EQY_CONSOLIDATED=Y","FA_ADJUSTED=GAAP","Sort=A","Dates=H","DateFormat=P","Fill=—","Direction=H","UseDPDF=Y")</f>
        <v>#NAME?</v>
      </c>
      <c r="R94" t="e">
        <f ca="1">_xll.BDH($C$78,"DVD_PAYOUT_RATIO","FQ1 2017","FQ1 2017","Currency=INR","Period=FQ","BEST_FPERIOD_OVERRIDE=FQ","FILING_STATUS=OR","EQY_CONSOLIDATED=Y","FA_ADJUSTED=GAAP","Sort=A","Dates=H","DateFormat=P","Fill=—","Direction=H","UseDPDF=Y")</f>
        <v>#NAME?</v>
      </c>
      <c r="S94" t="e">
        <f ca="1">_xll.BDH($C$78,"SUSTAIN_GROWTH_RT","FQ1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94" s="2" t="e">
        <f ca="1">_xll.BDH($C$78,"SALES_GROWTH","FQ1 2017","FQ1 2017","Currency=INR","Period=FQ","BEST_FPERIOD_OVERRIDE=FQ","FILING_STATUS=OR","EQY_CONSOLIDATED=Y","FA_ADJUSTED=GAAP","Sort=A","Dates=H","DateFormat=P","Fill=—","Direction=H","UseDPDF=Y")</f>
        <v>#NAME?</v>
      </c>
      <c r="U94" s="2" t="e">
        <f ca="1">_xll.BDH($C$78,"EBITDA_GROWTH","FQ1 2017","FQ1 2017","Currency=INR","Period=FQ","BEST_FPERIOD_OVERRIDE=FQ","FILING_STATUS=OR","EQY_CONSOLIDATED=Y","FA_ADJUSTED=GAAP","Sort=A","Dates=H","DateFormat=P","Fill=—","Direction=H","UseDPDF=Y")</f>
        <v>#NAME?</v>
      </c>
      <c r="V94" s="2" t="e">
        <f ca="1">_xll.BDH($C$78,"OPER_INC_GROWTH","FQ1 2017","FQ1 2017","Currency=INR","Period=FQ","BEST_FPERIOD_OVERRIDE=FQ","FILING_STATUS=OR","EQY_CONSOLIDATED=Y","FA_ADJUSTED=GAAP","Sort=A","Dates=H","DateFormat=P","Fill=—","Direction=H","UseDPDF=Y")</f>
        <v>#NAME?</v>
      </c>
      <c r="W94" s="2" t="e">
        <f ca="1">_xll.BDH($C$78,"EARN_FOR_COM_GROWTH","FQ1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94" s="2" t="e">
        <f ca="1">_xll.BDH($C$78,"DILUTED_EPS_AFT_XO_ITEMS_GROWTH","FQ1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94" s="2" t="e">
        <f ca="1">_xll.BDH($C$78,"DIVIDEND_PER_SHARE_1_YEAR_GROWTH","FQ1 2017","FQ1 2017","Currency=INR","Period=FQ","BEST_FPERIOD_OVERRIDE=FQ","FILING_STATUS=OR","EQY_CONSOLIDATED=Y","Sort=A","Dates=H","DateFormat=P","Fill=—","Direction=H","UseDPDF=Y")</f>
        <v>#NAME?</v>
      </c>
      <c r="Z94" s="2" t="e">
        <f ca="1">_xll.BDH($C$78,"ACCOUNTS_RECEIVABLE_GROWTH","FQ1 2017","FQ1 2017","Currency=INR","Period=FQ","BEST_FPERIOD_OVERRIDE=FQ","FILING_STATUS=OR","EQY_CONSOLIDATED=Y","Sort=A","Dates=H","DateFormat=P","Fill=—","Direction=H","UseDPDF=Y")</f>
        <v>#NAME?</v>
      </c>
      <c r="AA94" s="2" t="e">
        <f ca="1">_xll.BDH($C$78,"INVENTORY_GROWTH","FQ1 2017","FQ1 2017","Currency=INR","Period=FQ","BEST_FPERIOD_OVERRIDE=FQ","FILING_STATUS=OR","EQY_CONSOLIDATED=Y","Sort=A","Dates=H","DateFormat=P","Fill=—","Direction=H","UseDPDF=Y")</f>
        <v>#NAME?</v>
      </c>
      <c r="AB94" s="2" t="e">
        <f ca="1">_xll.BDH($C$78,"NET_FIXED_ASSETS_1_YEAR_GROWTH","FQ1 2017","FQ1 2017","Currency=INR","Period=FQ","BEST_FPERIOD_OVERRIDE=FQ","FILING_STATUS=OR","EQY_CONSOLIDATED=Y","Sort=A","Dates=H","DateFormat=P","Fill=—","Direction=H","UseDPDF=Y")</f>
        <v>#NAME?</v>
      </c>
      <c r="AC94" s="2" t="e">
        <f ca="1">_xll.BDH($C$78,"ASSET_GROWTH","FQ1 2017","FQ1 2017","Currency=INR","Period=FQ","BEST_FPERIOD_OVERRIDE=FQ","FILING_STATUS=OR","EQY_CONSOLIDATED=Y","Sort=A","Dates=H","DateFormat=P","Fill=—","Direction=H","UseDPDF=Y")</f>
        <v>#NAME?</v>
      </c>
      <c r="AD94" s="2" t="e">
        <f ca="1">_xll.BDH($C$78,"MODIFIED_WORK_CAP_GROWTH","FQ1 2017","FQ1 2017","Currency=INR","Period=FQ","BEST_FPERIOD_OVERRIDE=FQ","FILING_STATUS=OR","EQY_CONSOLIDATED=Y","Sort=A","Dates=H","DateFormat=P","Fill=—","Direction=H","UseDPDF=Y")</f>
        <v>#NAME?</v>
      </c>
      <c r="AE94" s="2" t="e">
        <f ca="1">_xll.BDH($C$78,"WORK_CAP_GROWTH","FQ1 2017","FQ1 2017","Currency=INR","Period=FQ","BEST_FPERIOD_OVERRIDE=FQ","FILING_STATUS=OR","EQY_CONSOLIDATED=Y","Sort=A","Dates=H","DateFormat=P","Fill=—","Direction=H","UseDPDF=Y")</f>
        <v>#NAME?</v>
      </c>
      <c r="AF94" s="2" t="e">
        <f ca="1">_xll.BDH($C$78,"ACCOUNTS_PAYABLE_GROWTH_1YR","FQ1 2017","FQ1 2017","Currency=INR","Period=FQ","BEST_FPERIOD_OVERRIDE=FQ","FILING_STATUS=OR","EQY_CONSOLIDATED=Y","Sort=A","Dates=H","DateFormat=P","Fill=—","Direction=H","UseDPDF=Y")</f>
        <v>#NAME?</v>
      </c>
      <c r="AG94" s="2" t="e">
        <f ca="1">_xll.BDH($C$78,"SHORT_TERM_DEBT_1_YEAR_GROWTH","FQ1 2017","FQ1 2017","Currency=INR","Period=FQ","BEST_FPERIOD_OVERRIDE=FQ","FILING_STATUS=OR","EQY_CONSOLIDATED=Y","Sort=A","Dates=H","DateFormat=P","Fill=—","Direction=H","UseDPDF=Y")</f>
        <v>#NAME?</v>
      </c>
      <c r="AH94" s="2" t="e">
        <f ca="1">_xll.BDH($C$78,"TOTAL_DEBT_1_YEAR_GROWTH","FQ1 2017","FQ1 2017","Currency=INR","Period=FQ","BEST_FPERIOD_OVERRIDE=FQ","FILING_STATUS=OR","EQY_CONSOLIDATED=Y","Sort=A","Dates=H","DateFormat=P","Fill=—","Direction=H","UseDPDF=Y")</f>
        <v>#NAME?</v>
      </c>
      <c r="AI94" s="2" t="e">
        <f ca="1">_xll.BDH($C$78,"TOTAL_EQUITY_1_YEAR_GROWTH","FQ1 2017","FQ1 2017","Currency=INR","Period=FQ","BEST_FPERIOD_OVERRIDE=FQ","FILING_STATUS=OR","EQY_CONSOLIDATED=Y","Sort=A","Dates=H","DateFormat=P","Fill=—","Direction=H","UseDPDF=Y")</f>
        <v>#NAME?</v>
      </c>
      <c r="AJ94" s="2" t="e">
        <f ca="1">_xll.BDH($C$78,"GROWTH_IN_CAP","FQ1 2017","FQ1 2017","Currency=INR","Period=FQ","BEST_FPERIOD_OVERRIDE=FQ","FILING_STATUS=OR","EQY_CONSOLIDATED=Y","Sort=A","Dates=H","DateFormat=P","Fill=—","Direction=H","UseDPDF=Y")</f>
        <v>#NAME?</v>
      </c>
      <c r="AK94" s="2" t="e">
        <f ca="1">_xll.BDH($C$78,"BVPS_GROWTH","FQ1 2017","FQ1 2017","Currency=INR","Period=FQ","BEST_FPERIOD_OVERRIDE=FQ","FILING_STATUS=OR","EQY_CONSOLIDATED=Y","Sort=A","Dates=H","DateFormat=P","Fill=—","Direction=H","UseDPDF=Y")</f>
        <v>#NAME?</v>
      </c>
      <c r="AL94" s="2" t="e">
        <f ca="1">_xll.BDH($C$78,"CASH_FLOW_GROWTH","FQ1 2017","FQ1 2017","Currency=INR","Period=FQ","BEST_FPERIOD_OVERRIDE=FQ","FILING_STATUS=OR","EQY_CONSOLIDATED=Y","Sort=A","Dates=H","DateFormat=P","Fill=—","Direction=H","UseDPDF=Y")</f>
        <v>#NAME?</v>
      </c>
      <c r="AM94" s="2" t="e">
        <f ca="1">_xll.BDH($C$78,"GEO_GROW_NET_SALES","FQ1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94" s="2" t="e">
        <f ca="1">_xll.BDH($C$78,"GEO_GROW_EBITDA","FQ1 2017","FQ1 2017","Currency=INR","Period=FQ","BEST_FPERIOD_OVERRIDE=FQ","FILING_STATUS=OR","EQY_CONSOLIDATED=Y","FA_ADJUSTED=GAAP","Sort=A","Dates=H","DateFormat=P","Fill=—","Direction=H","UseDPDF=Y")</f>
        <v>#NAME?</v>
      </c>
      <c r="AO94" s="2" t="e">
        <f ca="1">_xll.BDH($C$78,"GEO_GROW_OPER_INC","FQ1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94" s="2" t="e">
        <f ca="1">_xll.BDH($C$78,"NET_INCOME_TO_COMMON_5_YR_GROWTH","FQ1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94" s="2" t="e">
        <f ca="1">_xll.BDH($C$78,"5Y_GEO_GROWTH_DILUTED_EPS","FQ1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94" s="2" t="e">
        <f ca="1">_xll.BDH($C$78,"GEO_GROW_DVD_PER_SH","FQ1 2017","FQ1 2017","Currency=INR","Period=FQ","BEST_FPERIOD_OVERRIDE=FQ","FILING_STATUS=OR","EQY_CONSOLIDATED=Y","Sort=A","Dates=H","DateFormat=P","Fill=—","Direction=H","UseDPDF=Y")</f>
        <v>#NAME?</v>
      </c>
      <c r="AS94" s="2" t="e">
        <f ca="1">_xll.BDH($C$78,"ACCOUNTS_RECEIVABLE_5_YR_GROWTH","FQ1 2017","FQ1 2017","Currency=INR","Period=FQ","BEST_FPERIOD_OVERRIDE=FQ","FILING_STATUS=OR","EQY_CONSOLIDATED=Y","Sort=A","Dates=H","DateFormat=P","Fill=—","Direction=H","UseDPDF=Y")</f>
        <v>#NAME?</v>
      </c>
      <c r="AT94" s="2" t="e">
        <f ca="1">_xll.BDH($C$78,"INVENTORY_5_YEAR_GROWTH","FQ1 2017","FQ1 2017","Currency=INR","Period=FQ","BEST_FPERIOD_OVERRIDE=FQ","FILING_STATUS=OR","EQY_CONSOLIDATED=Y","Sort=A","Dates=H","DateFormat=P","Fill=—","Direction=H","UseDPDF=Y")</f>
        <v>#NAME?</v>
      </c>
      <c r="AU94" s="2" t="e">
        <f ca="1">_xll.BDH($C$78,"NET_FIXED_ASSETS_5_YEAR_GROWTH","FQ1 2017","FQ1 2017","Currency=INR","Period=FQ","BEST_FPERIOD_OVERRIDE=FQ","FILING_STATUS=OR","EQY_CONSOLIDATED=Y","Sort=A","Dates=H","DateFormat=P","Fill=—","Direction=H","UseDPDF=Y")</f>
        <v>#NAME?</v>
      </c>
      <c r="AV94" s="2" t="e">
        <f ca="1">_xll.BDH($C$78,"GEO_GROW_TOT_ASSET","FQ1 2017","FQ1 2017","Currency=INR","Period=FQ","BEST_FPERIOD_OVERRIDE=FQ","FILING_STATUS=OR","EQY_CONSOLIDATED=Y","Sort=A","Dates=H","DateFormat=P","Fill=—","Direction=H","UseDPDF=Y")</f>
        <v>#NAME?</v>
      </c>
      <c r="AW94" s="2" t="e">
        <f ca="1">_xll.BDH($C$78,"MODIFIED_WORKING_CPTL_5YR_GRWTH","FQ1 2017","FQ1 2017","Currency=INR","Period=FQ","BEST_FPERIOD_OVERRIDE=FQ","FILING_STATUS=OR","EQY_CONSOLIDATED=Y","Sort=A","Dates=H","DateFormat=P","Fill=—","Direction=H","UseDPDF=Y")</f>
        <v>#NAME?</v>
      </c>
      <c r="AX94" s="2" t="e">
        <f ca="1">_xll.BDH($C$78,"WORKING_CAPITAL_5_YEAR_GROWTH","FQ1 2017","FQ1 2017","Currency=INR","Period=FQ","BEST_FPERIOD_OVERRIDE=FQ","FILING_STATUS=OR","EQY_CONSOLIDATED=Y","Sort=A","Dates=H","DateFormat=P","Fill=—","Direction=H","UseDPDF=Y")</f>
        <v>#NAME?</v>
      </c>
      <c r="AY94" s="2" t="e">
        <f ca="1">_xll.BDH($C$78,"ACCOUNTS_PAYABLE_5_YEAR_GROWTH","FQ1 2017","FQ1 2017","Currency=INR","Period=FQ","BEST_FPERIOD_OVERRIDE=FQ","FILING_STATUS=OR","EQY_CONSOLIDATED=Y","Sort=A","Dates=H","DateFormat=P","Fill=—","Direction=H","UseDPDF=Y")</f>
        <v>#NAME?</v>
      </c>
      <c r="AZ94" s="2" t="e">
        <f ca="1">_xll.BDH($C$78,"SHORT_TERM_DEBT_5_YEAR_GROWTH","FQ1 2017","FQ1 2017","Currency=INR","Period=FQ","BEST_FPERIOD_OVERRIDE=FQ","FILING_STATUS=OR","EQY_CONSOLIDATED=Y","Sort=A","Dates=H","DateFormat=P","Fill=—","Direction=H","UseDPDF=Y")</f>
        <v>#NAME?</v>
      </c>
      <c r="BA94" s="2" t="e">
        <f ca="1">_xll.BDH($C$78,"TOTAL_DEBT_5_YEAR_GROWTH","FQ1 2017","FQ1 2017","Currency=INR","Period=FQ","BEST_FPERIOD_OVERRIDE=FQ","FILING_STATUS=OR","EQY_CONSOLIDATED=Y","Sort=A","Dates=H","DateFormat=P","Fill=—","Direction=H","UseDPDF=Y")</f>
        <v>#NAME?</v>
      </c>
      <c r="BB94" s="2" t="e">
        <f ca="1">_xll.BDH($C$78,"GEO_GROW_TOT_SHRHLDR_EQY","FQ1 2017","FQ1 2017","Currency=INR","Period=FQ","BEST_FPERIOD_OVERRIDE=FQ","FILING_STATUS=OR","EQY_CONSOLIDATED=Y","Sort=A","Dates=H","DateFormat=P","Fill=—","Direction=H","UseDPDF=Y")</f>
        <v>#NAME?</v>
      </c>
      <c r="BC94" s="2" t="e">
        <f ca="1">_xll.BDH($C$78,"TOTAL_CAPITAL_5_YEAR_GROWTH","FQ1 2017","FQ1 2017","Currency=INR","Period=FQ","BEST_FPERIOD_OVERRIDE=FQ","FILING_STATUS=OR","EQY_CONSOLIDATED=Y","Sort=A","Dates=H","DateFormat=P","Fill=—","Direction=H","UseDPDF=Y")</f>
        <v>#NAME?</v>
      </c>
      <c r="BD94" s="2" t="e">
        <f ca="1">_xll.BDH($C$78,"GEO_GROW_BOOK_VAL","FQ1 2017","FQ1 2017","Currency=INR","Period=FQ","BEST_FPERIOD_OVERRIDE=FQ","FILING_STATUS=OR","EQY_CONSOLIDATED=Y","Sort=A","Dates=H","DateFormat=P","Fill=—","Direction=H","UseDPDF=Y")</f>
        <v>#NAME?</v>
      </c>
      <c r="BE94" s="2" t="e">
        <f ca="1">_xll.BDH($C$78,"GEO_GROW_CASH_OPER_ACT","FQ1 2017","FQ1 2017","Currency=INR","Period=FQ","BEST_FPERIOD_OVERRIDE=FQ","FILING_STATUS=OR","EQY_CONSOLIDATED=Y","Sort=A","Dates=H","DateFormat=P","Fill=—","Direction=H","UseDPDF=Y")</f>
        <v>#NAME?</v>
      </c>
      <c r="BF94" s="2" t="e">
        <f ca="1">_xll.BDH($C$78,"REVENUE_SEQUENTIAL_GROWTH","FQ1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94" s="2" t="e">
        <f ca="1">_xll.BDH($C$78,"EBITDA_SEQUENTIAL_GROWTH","FQ1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94" s="2" t="e">
        <f ca="1">_xll.BDH($C$78,"OPERATING_INCOME_SEQ_GROWTH","FQ1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94" s="2" t="e">
        <f ca="1">_xll.BDH($C$78,"NET_INCOME_TO_COMMON_SEQ_GROWTH","FQ1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94" s="2" t="e">
        <f ca="1">_xll.BDH($C$78,"EPS_DILUTED_SEQUENTIAL_GROWTH","FQ1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94" s="2" t="e">
        <f ca="1">_xll.BDH($C$78,"DPS_SEQUENTIAL_GROWTH","FQ1 2017","FQ1 2017","Currency=INR","Period=FQ","BEST_FPERIOD_OVERRIDE=FQ","FILING_STATUS=OR","EQY_CONSOLIDATED=Y","Sort=A","Dates=H","DateFormat=P","Fill=—","Direction=H","UseDPDF=Y")</f>
        <v>#NAME?</v>
      </c>
      <c r="BL94" s="2" t="e">
        <f ca="1">_xll.BDH($C$78,"ACCOUNTS_RECEIVABLE_SEQ_GROWTH","FQ1 2017","FQ1 2017","Currency=INR","Period=FQ","BEST_FPERIOD_OVERRIDE=FQ","FILING_STATUS=OR","EQY_CONSOLIDATED=Y","Sort=A","Dates=H","DateFormat=P","Fill=—","Direction=H","UseDPDF=Y")</f>
        <v>#NAME?</v>
      </c>
      <c r="BM94" s="2" t="e">
        <f ca="1">_xll.BDH($C$78,"INVENTORY_SEQUENTIAL_GROWTH","FQ1 2017","FQ1 2017","Currency=INR","Period=FQ","BEST_FPERIOD_OVERRIDE=FQ","FILING_STATUS=OR","EQY_CONSOLIDATED=Y","Sort=A","Dates=H","DateFormat=P","Fill=—","Direction=H","UseDPDF=Y")</f>
        <v>#NAME?</v>
      </c>
      <c r="BN94" s="2" t="e">
        <f ca="1">_xll.BDH($C$78,"FIXED_ASSETS_SEQUENTIAL_GROWTH","FQ1 2017","FQ1 2017","Currency=INR","Period=FQ","BEST_FPERIOD_OVERRIDE=FQ","FILING_STATUS=OR","EQY_CONSOLIDATED=Y","Sort=A","Dates=H","DateFormat=P","Fill=—","Direction=H","UseDPDF=Y")</f>
        <v>#NAME?</v>
      </c>
      <c r="BO94" s="2" t="e">
        <f ca="1">_xll.BDH($C$78,"TOTAL_ASSETS_SEQUENTIAL_GROWTH","FQ1 2017","FQ1 2017","Currency=INR","Period=FQ","BEST_FPERIOD_OVERRIDE=FQ","FILING_STATUS=OR","EQY_CONSOLIDATED=Y","Sort=A","Dates=H","DateFormat=P","Fill=—","Direction=H","UseDPDF=Y")</f>
        <v>#NAME?</v>
      </c>
      <c r="BP94" s="2" t="e">
        <f ca="1">_xll.BDH($C$78,"MODIFIED_WORKING_CPTL_SEQ_GRWTH","FQ1 2017","FQ1 2017","Currency=INR","Period=FQ","BEST_FPERIOD_OVERRIDE=FQ","FILING_STATUS=OR","EQY_CONSOLIDATED=Y","Sort=A","Dates=H","DateFormat=P","Fill=—","Direction=H","UseDPDF=Y")</f>
        <v>#NAME?</v>
      </c>
      <c r="BQ94" s="2" t="e">
        <f ca="1">_xll.BDH($C$78,"WORKING_CAPITAL_SEQ_GROWTH","FQ1 2017","FQ1 2017","Currency=INR","Period=FQ","BEST_FPERIOD_OVERRIDE=FQ","FILING_STATUS=OR","EQY_CONSOLIDATED=Y","Sort=A","Dates=H","DateFormat=P","Fill=—","Direction=H","UseDPDF=Y")</f>
        <v>#NAME?</v>
      </c>
      <c r="BR94" s="2" t="e">
        <f ca="1">_xll.BDH($C$78,"ACCOUNTS_PAYABLE_SEQ_GROWTH","FQ1 2017","FQ1 2017","Currency=INR","Period=FQ","BEST_FPERIOD_OVERRIDE=FQ","FILING_STATUS=OR","EQY_CONSOLIDATED=Y","Sort=A","Dates=H","DateFormat=P","Fill=—","Direction=H","UseDPDF=Y")</f>
        <v>#NAME?</v>
      </c>
      <c r="BS94" s="2" t="e">
        <f ca="1">_xll.BDH($C$78,"ST_DEBT_SEQUENTIAL_GROWTH","FQ1 2017","FQ1 2017","Currency=INR","Period=FQ","BEST_FPERIOD_OVERRIDE=FQ","FILING_STATUS=OR","EQY_CONSOLIDATED=Y","Sort=A","Dates=H","DateFormat=P","Fill=—","Direction=H","UseDPDF=Y")</f>
        <v>#NAME?</v>
      </c>
      <c r="BT94" s="2" t="e">
        <f ca="1">_xll.BDH($C$78,"TOTAL_DEBT_SEQUENTIAL_GROWTH","FQ1 2017","FQ1 2017","Currency=INR","Period=FQ","BEST_FPERIOD_OVERRIDE=FQ","FILING_STATUS=OR","EQY_CONSOLIDATED=Y","Sort=A","Dates=H","DateFormat=P","Fill=—","Direction=H","UseDPDF=Y")</f>
        <v>#NAME?</v>
      </c>
      <c r="BU94" s="2" t="e">
        <f ca="1">_xll.BDH($C$78,"TOTAL_EQUITY_SEQUENTIAL_GROWTH","FQ1 2017","FQ1 2017","Currency=INR","Period=FQ","BEST_FPERIOD_OVERRIDE=FQ","FILING_STATUS=OR","EQY_CONSOLIDATED=Y","Sort=A","Dates=H","DateFormat=P","Fill=—","Direction=H","UseDPDF=Y")</f>
        <v>#NAME?</v>
      </c>
      <c r="BV94" s="2" t="e">
        <f ca="1">_xll.BDH($C$78,"TOTAL_CAPITAL_SEQUENTIAL_GROWTH","FQ1 2017","FQ1 2017","Currency=INR","Period=FQ","BEST_FPERIOD_OVERRIDE=FQ","FILING_STATUS=OR","EQY_CONSOLIDATED=Y","Sort=A","Dates=H","DateFormat=P","Fill=—","Direction=H","UseDPDF=Y")</f>
        <v>#NAME?</v>
      </c>
      <c r="BW94" s="2" t="e">
        <f ca="1">_xll.BDH($C$78,"BPS_SEQUENTIAL_GROWTH","FQ1 2017","FQ1 2017","Currency=INR","Period=FQ","BEST_FPERIOD_OVERRIDE=FQ","FILING_STATUS=OR","EQY_CONSOLIDATED=Y","Sort=A","Dates=H","DateFormat=P","Fill=—","Direction=H","UseDPDF=Y")</f>
        <v>#NAME?</v>
      </c>
      <c r="BX94" s="2" t="e">
        <f ca="1">_xll.BDH($C$78,"CFO_SEQUENTIAL_GROWTH","FQ1 2017","FQ1 2017","Currency=INR","Period=FQ","BEST_FPERIOD_OVERRIDE=FQ","FILING_STATUS=OR","EQY_CONSOLIDATED=Y","Sort=A","Dates=H","DateFormat=P","Fill=—","Direction=H","UseDPDF=Y")</f>
        <v>#NAME?</v>
      </c>
      <c r="BY94" s="3" t="e">
        <f ca="1">_xll.BDH($C$78,"SHORT_AND_LONG_TERM_DEBT","FQ1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94" s="3" t="e">
        <f ca="1">_xll.BDH($C$78,"BS_ST_BORROW","FQ1 2017","FQ1 2017","Currency=INR","Period=FQ","BEST_FPERIOD_OVERRIDE=FQ","FILING_STATUS=OR","EQY_CONSOLIDATED=Y","SCALING_FORMAT=MLN","Sort=A","Dates=H","DateFormat=P","Fill=—","Direction=H","UseDPDF=Y")</f>
        <v>#NAME?</v>
      </c>
      <c r="CA94" s="3" t="e">
        <f ca="1">_xll.BDH($C$78,"BS_LT_BORROW","FQ1 2017","FQ1 2017","Currency=INR","Period=FQ","BEST_FPERIOD_OVERRIDE=FQ","FILING_STATUS=OR","EQY_CONSOLIDATED=Y","SCALING_FORMAT=MLN","Sort=A","Dates=H","DateFormat=P","Fill=—","Direction=H","UseDPDF=Y")</f>
        <v>#NAME?</v>
      </c>
      <c r="CB94" s="2" t="e">
        <f ca="1">_xll.BDH($C$78,"TOT_DEBT_TO_EBITDA","FQ1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94" s="2" t="e">
        <f ca="1">_xll.BDH($C$78,"NET_DEBT_TO_EBITDA","FQ1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94" s="2" t="e">
        <f ca="1">_xll.BDH($C$78,"TOTAL_DEBT_TO_EBIT","FQ1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94" s="2" t="e">
        <f ca="1">_xll.BDH($C$78,"NET_DEBT_TO_EBIT","FQ1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94" s="2" t="e">
        <f ca="1">_xll.BDH($C$78,"EBITDA_TO_INTEREST_EXPN","FQ1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94" s="2" t="e">
        <f ca="1">_xll.BDH($C$78,"COM_EQY_TO_TOT_ASSET","FQ1 2017","FQ1 2017","Currency=INR","Period=FQ","BEST_FPERIOD_OVERRIDE=FQ","FILING_STATUS=OR","EQY_CONSOLIDATED=Y","Sort=A","Dates=H","DateFormat=P","Fill=—","Direction=H","UseDPDF=Y")</f>
        <v>#NAME?</v>
      </c>
      <c r="CH94" s="2" t="e">
        <f ca="1">_xll.BDH($C$78,"LT_DEBT_TO_TOT_EQY","FQ1 2017","FQ1 2017","Currency=INR","Period=FQ","BEST_FPERIOD_OVERRIDE=FQ","FILING_STATUS=OR","EQY_CONSOLIDATED=Y","Sort=A","Dates=H","DateFormat=P","Fill=—","Direction=H","UseDPDF=Y")</f>
        <v>#NAME?</v>
      </c>
      <c r="CI94" s="2" t="e">
        <f ca="1">_xll.BDH($C$78,"LT_DEBT_TO_TOT_CAP","FQ1 2017","FQ1 2017","Currency=INR","Period=FQ","BEST_FPERIOD_OVERRIDE=FQ","FILING_STATUS=OR","EQY_CONSOLIDATED=Y","Sort=A","Dates=H","DateFormat=P","Fill=—","Direction=H","UseDPDF=Y")</f>
        <v>#NAME?</v>
      </c>
      <c r="CJ94" s="2" t="e">
        <f ca="1">_xll.BDH($C$78,"LT_DEBT_TO_TOT_ASSET","FQ1 2017","FQ1 2017","Currency=INR","Period=FQ","BEST_FPERIOD_OVERRIDE=FQ","FILING_STATUS=OR","EQY_CONSOLIDATED=Y","Sort=A","Dates=H","DateFormat=P","Fill=—","Direction=H","UseDPDF=Y")</f>
        <v>#NAME?</v>
      </c>
      <c r="CK94" s="2" t="e">
        <f ca="1">_xll.BDH($C$78,"TOT_DEBT_TO_TOT_EQY","FQ1 2017","FQ1 2017","Currency=INR","Period=FQ","BEST_FPERIOD_OVERRIDE=FQ","FILING_STATUS=OR","EQY_CONSOLIDATED=Y","Sort=A","Dates=H","DateFormat=P","Fill=—","Direction=H","UseDPDF=Y")</f>
        <v>#NAME?</v>
      </c>
      <c r="CL94" s="2" t="e">
        <f ca="1">_xll.BDH($C$78,"TOT_DEBT_TO_TOT_CAP","FQ1 2017","FQ1 2017","Currency=INR","Period=FQ","BEST_FPERIOD_OVERRIDE=FQ","FILING_STATUS=OR","EQY_CONSOLIDATED=Y","Sort=A","Dates=H","DateFormat=P","Fill=—","Direction=H","UseDPDF=Y")</f>
        <v>#NAME?</v>
      </c>
      <c r="CM94" s="2" t="e">
        <f ca="1">_xll.BDH($C$78,"TOT_DEBT_TO_TOT_ASSET","FQ1 2017","FQ1 2017","Currency=INR","Period=FQ","BEST_FPERIOD_OVERRIDE=FQ","FILING_STATUS=OR","EQY_CONSOLIDATED=Y","Sort=A","Dates=H","DateFormat=P","Fill=—","Direction=H","UseDPDF=Y")</f>
        <v>#NAME?</v>
      </c>
      <c r="CN94" s="2" t="e">
        <f ca="1">_xll.BDH($C$78,"NET_DEBT_TO_SHRHLDR_EQTY","FQ1 2017","FQ1 2017","Currency=INR","Period=FQ","BEST_FPERIOD_OVERRIDE=FQ","FILING_STATUS=OR","EQY_CONSOLIDATED=Y","Sort=A","Dates=H","DateFormat=P","Fill=—","Direction=H","UseDPDF=Y")</f>
        <v>#NAME?</v>
      </c>
      <c r="CO94" s="2" t="e">
        <f ca="1">_xll.BDH($C$78,"NET_DEBT_%_CAPITAL","FQ1 2017","FQ1 2017","Currency=INR","Period=FQ","BEST_FPERIOD_OVERRIDE=FQ","FILING_STATUS=OR","EQY_CONSOLIDATED=Y","Sort=A","Dates=H","DateFormat=P","Fill=—","Direction=H","UseDPDF=Y")</f>
        <v>#NAME?</v>
      </c>
      <c r="CP94" s="3" t="e">
        <f ca="1">_xll.BDH($C$78,"EBITDA","FQ1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94" s="3" t="e">
        <f ca="1">_xll.BDH($C$78,"EBITDA_AFTER_CAPEX","FQ1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94" s="3" t="e">
        <f ca="1">_xll.BDH($C$78,"IS_OPER_INC","FQ1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94" s="2" t="e">
        <f ca="1">_xll.BDH($C$78,"CASH_RATIO","FQ1 2017","FQ1 2017","Currency=INR","Period=FQ","BEST_FPERIOD_OVERRIDE=FQ","FILING_STATUS=OR","EQY_CONSOLIDATED=Y","Sort=A","Dates=H","DateFormat=P","Fill=—","Direction=H","UseDPDF=Y")</f>
        <v>#NAME?</v>
      </c>
      <c r="CT94" s="2" t="e">
        <f ca="1">_xll.BDH($C$78,"CUR_RATIO","FQ1 2017","FQ1 2017","Currency=INR","Period=FQ","BEST_FPERIOD_OVERRIDE=FQ","FILING_STATUS=OR","EQY_CONSOLIDATED=Y","Sort=A","Dates=H","DateFormat=P","Fill=—","Direction=H","UseDPDF=Y")</f>
        <v>#NAME?</v>
      </c>
      <c r="CU94" s="2" t="e">
        <f ca="1">_xll.BDH($C$78,"QUICK_RATIO","FQ1 2017","FQ1 2017","Currency=INR","Period=FQ","BEST_FPERIOD_OVERRIDE=FQ","FILING_STATUS=OR","EQY_CONSOLIDATED=Y","Sort=A","Dates=H","DateFormat=P","Fill=—","Direction=H","UseDPDF=Y")</f>
        <v>#NAME?</v>
      </c>
      <c r="CV94" s="2" t="e">
        <f ca="1">_xll.BDH($C$78,"ALTMAN_Z_SCORE","FQ1 2017","FQ1 2017","Currency=INR","Period=FQ","BEST_FPERIOD_OVERRIDE=FQ","FILING_STATUS=OR","EQY_CONSOLIDATED=Y","Sort=A","Dates=H","DateFormat=P","Fill=—","Direction=H","UseDPDF=Y")</f>
        <v>#NAME?</v>
      </c>
      <c r="CW94" s="4" t="e">
        <f ca="1">_xll.BDH($C$78,"ACCT_RCV_TURN","FQ1 2017","FQ1 2017","Currency=INR","Period=FQ","BEST_FPERIOD_OVERRIDE=FQ","FILING_STATUS=OR","EQY_CONSOLIDATED=Y","FA_ADJUSTED=GAAP","Sort=A","Dates=H","DateFormat=P","Fill=—","Direction=H","UseDPDF=Y")</f>
        <v>#NAME?</v>
      </c>
      <c r="CX94" s="2" t="e">
        <f ca="1">_xll.BDH($C$78,"ACCT_RCV_DAYS","FQ1 2017","FQ1 2017","Currency=INR","Period=FQ","BEST_FPERIOD_OVERRIDE=FQ","FILING_STATUS=OR","EQY_CONSOLIDATED=Y","FA_ADJUSTED=GAAP","Sort=A","Dates=H","DateFormat=P","Fill=—","Direction=H","UseDPDF=Y")</f>
        <v>#NAME?</v>
      </c>
      <c r="CY94" s="4" t="e">
        <f ca="1">_xll.BDH($C$78,"INVENT_TURN","FQ1 2017","FQ1 2017","Currency=INR","Period=FQ","BEST_FPERIOD_OVERRIDE=FQ","FILING_STATUS=OR","EQY_CONSOLIDATED=Y","FA_ADJUSTED=GAAP","Sort=A","Dates=H","DateFormat=P","Fill=—","Direction=H","UseDPDF=Y")</f>
        <v>#NAME?</v>
      </c>
      <c r="CZ94" s="2" t="e">
        <f ca="1">_xll.BDH($C$78,"INVENT_DAYS","FQ1 2017","FQ1 2017","Currency=INR","Period=FQ","BEST_FPERIOD_OVERRIDE=FQ","FILING_STATUS=OR","EQY_CONSOLIDATED=Y","FA_ADJUSTED=GAAP","Sort=A","Dates=H","DateFormat=P","Fill=—","Direction=H","UseDPDF=Y")</f>
        <v>#NAME?</v>
      </c>
      <c r="DA94" s="4" t="e">
        <f ca="1">_xll.BDH($C$78,"ACCOUNTS_PAYABLE_TURNOVER","FQ1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94" s="2" t="e">
        <f ca="1">_xll.BDH($C$78,"ACCOUNTS_PAYABLE_TURNOVER_DAYS","FQ1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94" s="4" t="e">
        <f ca="1">_xll.BDH($C$78,"CASH_CONVERSION_CYCLE","FQ1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94" s="4" t="e">
        <f ca="1">_xll.BDH($C$78,"INV_TO_CASH_DAYS","FQ1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94" s="5" t="e">
        <f ca="1">_xll.BDH($C$78,"BS_INVENTORIES","FQ1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94" s="3" t="e">
        <f ca="1">_xll.BDH($C$78,"INVTRY_RAW_MATERIALS","FQ1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94" s="3" t="e">
        <f ca="1">_xll.BDH($C$78,"INVTRY_IN_PROGRESS","FQ1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94" s="3" t="e">
        <f ca="1">_xll.BDH($C$78,"INVTRY_FINISHED_GOODS","FQ1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94" s="3" t="e">
        <f ca="1">_xll.BDH($C$78,"BS_OTHER_INV","FQ1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95" spans="1:113" x14ac:dyDescent="0.3">
      <c r="A95" s="6"/>
      <c r="B95" s="6"/>
      <c r="C95" s="6"/>
      <c r="D95" s="6"/>
      <c r="E95" t="s">
        <v>79</v>
      </c>
      <c r="F95" t="e">
        <f ca="1">_xll.BDH($C$78,"RETURN_COM_EQY","FQ2 2017","FQ2 2017","Currency=INR","Period=FQ","BEST_FPERIOD_OVERRIDE=FQ","FILING_STATUS=OR","EQY_CONSOLIDATED=Y","FA_ADJUSTED=GAAP","Sort=A","Dates=H","DateFormat=P","Fill=—","Direction=H","UseDPDF=Y")</f>
        <v>#NAME?</v>
      </c>
      <c r="G95" t="e">
        <f ca="1">_xll.BDH($C$78,"RETURN_ON_ASSET","FQ2 2017","FQ2 2017","Currency=INR","Period=FQ","BEST_FPERIOD_OVERRIDE=FQ","FILING_STATUS=OR","EQY_CONSOLIDATED=Y","FA_ADJUSTED=GAAP","Sort=A","Dates=H","DateFormat=P","Fill=—","Direction=H","UseDPDF=Y")</f>
        <v>#NAME?</v>
      </c>
      <c r="H95" t="e">
        <f ca="1">_xll.BDH($C$78,"RETURN_ON_CAP","FQ2 2017","FQ2 2017","Currency=INR","Period=FQ","BEST_FPERIOD_OVERRIDE=FQ","FILING_STATUS=OR","EQY_CONSOLIDATED=Y","FA_ADJUSTED=GAAP","Sort=A","Dates=H","DateFormat=P","Fill=—","Direction=H","UseDPDF=Y")</f>
        <v>#NAME?</v>
      </c>
      <c r="I95" t="e">
        <f ca="1">_xll.BDH($C$78,"RETURN_ON_INV_CAPITAL","FQ2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95" t="e">
        <f ca="1">_xll.BDH($C$78,"EBITDA_TO_REVENUE","FQ2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95" t="e">
        <f ca="1">_xll.BDH($C$78,"OPER_MARGIN","FQ2 2017","FQ2 2017","Currency=INR","Period=FQ","BEST_FPERIOD_OVERRIDE=FQ","FILING_STATUS=OR","EQY_CONSOLIDATED=Y","FA_ADJUSTED=GAAP","Sort=A","Dates=H","DateFormat=P","Fill=—","Direction=H","UseDPDF=Y")</f>
        <v>#NAME?</v>
      </c>
      <c r="L95" t="e">
        <f ca="1">_xll.BDH($C$78,"INCREMENTAL_OPERATING_MARGIN","FQ2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95" t="e">
        <f ca="1">_xll.BDH($C$78,"PRETAX_INC_TO_NET_SALES","FQ2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95" t="e">
        <f ca="1">_xll.BDH($C$78,"INC_BEF_XO_ITEMS_TO_NET_SALES","FQ2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95" t="e">
        <f ca="1">_xll.BDH($C$78,"PROF_MARGIN","FQ2 2017","FQ2 2017","Currency=INR","Period=FQ","BEST_FPERIOD_OVERRIDE=FQ","FILING_STATUS=OR","EQY_CONSOLIDATED=Y","FA_ADJUSTED=GAAP","Sort=A","Dates=H","DateFormat=P","Fill=—","Direction=H","UseDPDF=Y")</f>
        <v>#NAME?</v>
      </c>
      <c r="P95" t="e">
        <f ca="1">_xll.BDH($C$78,"NET_INCOME_TO_COMMON_MARGIN","FQ2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95" t="e">
        <f ca="1">_xll.BDH($C$78,"EFF_TAX_RATE","FQ2 2017","FQ2 2017","Currency=INR","Period=FQ","BEST_FPERIOD_OVERRIDE=FQ","FILING_STATUS=OR","EQY_CONSOLIDATED=Y","FA_ADJUSTED=GAAP","Sort=A","Dates=H","DateFormat=P","Fill=—","Direction=H","UseDPDF=Y")</f>
        <v>#NAME?</v>
      </c>
      <c r="R95" t="e">
        <f ca="1">_xll.BDH($C$78,"DVD_PAYOUT_RATIO","FQ2 2017","FQ2 2017","Currency=INR","Period=FQ","BEST_FPERIOD_OVERRIDE=FQ","FILING_STATUS=OR","EQY_CONSOLIDATED=Y","FA_ADJUSTED=GAAP","Sort=A","Dates=H","DateFormat=P","Fill=—","Direction=H","UseDPDF=Y")</f>
        <v>#NAME?</v>
      </c>
      <c r="S95" t="e">
        <f ca="1">_xll.BDH($C$78,"SUSTAIN_GROWTH_RT","FQ2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95" s="2" t="e">
        <f ca="1">_xll.BDH($C$78,"SALES_GROWTH","FQ2 2017","FQ2 2017","Currency=INR","Period=FQ","BEST_FPERIOD_OVERRIDE=FQ","FILING_STATUS=OR","EQY_CONSOLIDATED=Y","FA_ADJUSTED=GAAP","Sort=A","Dates=H","DateFormat=P","Fill=—","Direction=H","UseDPDF=Y")</f>
        <v>#NAME?</v>
      </c>
      <c r="U95" s="2" t="e">
        <f ca="1">_xll.BDH($C$78,"EBITDA_GROWTH","FQ2 2017","FQ2 2017","Currency=INR","Period=FQ","BEST_FPERIOD_OVERRIDE=FQ","FILING_STATUS=OR","EQY_CONSOLIDATED=Y","FA_ADJUSTED=GAAP","Sort=A","Dates=H","DateFormat=P","Fill=—","Direction=H","UseDPDF=Y")</f>
        <v>#NAME?</v>
      </c>
      <c r="V95" s="2" t="e">
        <f ca="1">_xll.BDH($C$78,"OPER_INC_GROWTH","FQ2 2017","FQ2 2017","Currency=INR","Period=FQ","BEST_FPERIOD_OVERRIDE=FQ","FILING_STATUS=OR","EQY_CONSOLIDATED=Y","FA_ADJUSTED=GAAP","Sort=A","Dates=H","DateFormat=P","Fill=—","Direction=H","UseDPDF=Y")</f>
        <v>#NAME?</v>
      </c>
      <c r="W95" s="2" t="e">
        <f ca="1">_xll.BDH($C$78,"EARN_FOR_COM_GROWTH","FQ2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95" s="2" t="e">
        <f ca="1">_xll.BDH($C$78,"DILUTED_EPS_AFT_XO_ITEMS_GROWTH","FQ2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95" s="2" t="e">
        <f ca="1">_xll.BDH($C$78,"DIVIDEND_PER_SHARE_1_YEAR_GROWTH","FQ2 2017","FQ2 2017","Currency=INR","Period=FQ","BEST_FPERIOD_OVERRIDE=FQ","FILING_STATUS=OR","EQY_CONSOLIDATED=Y","Sort=A","Dates=H","DateFormat=P","Fill=—","Direction=H","UseDPDF=Y")</f>
        <v>#NAME?</v>
      </c>
      <c r="Z95" s="2" t="e">
        <f ca="1">_xll.BDH($C$78,"ACCOUNTS_RECEIVABLE_GROWTH","FQ2 2017","FQ2 2017","Currency=INR","Period=FQ","BEST_FPERIOD_OVERRIDE=FQ","FILING_STATUS=OR","EQY_CONSOLIDATED=Y","Sort=A","Dates=H","DateFormat=P","Fill=—","Direction=H","UseDPDF=Y")</f>
        <v>#NAME?</v>
      </c>
      <c r="AA95" s="2" t="e">
        <f ca="1">_xll.BDH($C$78,"INVENTORY_GROWTH","FQ2 2017","FQ2 2017","Currency=INR","Period=FQ","BEST_FPERIOD_OVERRIDE=FQ","FILING_STATUS=OR","EQY_CONSOLIDATED=Y","Sort=A","Dates=H","DateFormat=P","Fill=—","Direction=H","UseDPDF=Y")</f>
        <v>#NAME?</v>
      </c>
      <c r="AB95" s="2" t="e">
        <f ca="1">_xll.BDH($C$78,"NET_FIXED_ASSETS_1_YEAR_GROWTH","FQ2 2017","FQ2 2017","Currency=INR","Period=FQ","BEST_FPERIOD_OVERRIDE=FQ","FILING_STATUS=OR","EQY_CONSOLIDATED=Y","Sort=A","Dates=H","DateFormat=P","Fill=—","Direction=H","UseDPDF=Y")</f>
        <v>#NAME?</v>
      </c>
      <c r="AC95" s="2" t="e">
        <f ca="1">_xll.BDH($C$78,"ASSET_GROWTH","FQ2 2017","FQ2 2017","Currency=INR","Period=FQ","BEST_FPERIOD_OVERRIDE=FQ","FILING_STATUS=OR","EQY_CONSOLIDATED=Y","Sort=A","Dates=H","DateFormat=P","Fill=—","Direction=H","UseDPDF=Y")</f>
        <v>#NAME?</v>
      </c>
      <c r="AD95" s="2" t="e">
        <f ca="1">_xll.BDH($C$78,"MODIFIED_WORK_CAP_GROWTH","FQ2 2017","FQ2 2017","Currency=INR","Period=FQ","BEST_FPERIOD_OVERRIDE=FQ","FILING_STATUS=OR","EQY_CONSOLIDATED=Y","Sort=A","Dates=H","DateFormat=P","Fill=—","Direction=H","UseDPDF=Y")</f>
        <v>#NAME?</v>
      </c>
      <c r="AE95" s="2" t="e">
        <f ca="1">_xll.BDH($C$78,"WORK_CAP_GROWTH","FQ2 2017","FQ2 2017","Currency=INR","Period=FQ","BEST_FPERIOD_OVERRIDE=FQ","FILING_STATUS=OR","EQY_CONSOLIDATED=Y","Sort=A","Dates=H","DateFormat=P","Fill=—","Direction=H","UseDPDF=Y")</f>
        <v>#NAME?</v>
      </c>
      <c r="AF95" s="2" t="e">
        <f ca="1">_xll.BDH($C$78,"ACCOUNTS_PAYABLE_GROWTH_1YR","FQ2 2017","FQ2 2017","Currency=INR","Period=FQ","BEST_FPERIOD_OVERRIDE=FQ","FILING_STATUS=OR","EQY_CONSOLIDATED=Y","Sort=A","Dates=H","DateFormat=P","Fill=—","Direction=H","UseDPDF=Y")</f>
        <v>#NAME?</v>
      </c>
      <c r="AG95" s="2" t="e">
        <f ca="1">_xll.BDH($C$78,"SHORT_TERM_DEBT_1_YEAR_GROWTH","FQ2 2017","FQ2 2017","Currency=INR","Period=FQ","BEST_FPERIOD_OVERRIDE=FQ","FILING_STATUS=OR","EQY_CONSOLIDATED=Y","Sort=A","Dates=H","DateFormat=P","Fill=—","Direction=H","UseDPDF=Y")</f>
        <v>#NAME?</v>
      </c>
      <c r="AH95" s="2" t="e">
        <f ca="1">_xll.BDH($C$78,"TOTAL_DEBT_1_YEAR_GROWTH","FQ2 2017","FQ2 2017","Currency=INR","Period=FQ","BEST_FPERIOD_OVERRIDE=FQ","FILING_STATUS=OR","EQY_CONSOLIDATED=Y","Sort=A","Dates=H","DateFormat=P","Fill=—","Direction=H","UseDPDF=Y")</f>
        <v>#NAME?</v>
      </c>
      <c r="AI95" s="2" t="e">
        <f ca="1">_xll.BDH($C$78,"TOTAL_EQUITY_1_YEAR_GROWTH","FQ2 2017","FQ2 2017","Currency=INR","Period=FQ","BEST_FPERIOD_OVERRIDE=FQ","FILING_STATUS=OR","EQY_CONSOLIDATED=Y","Sort=A","Dates=H","DateFormat=P","Fill=—","Direction=H","UseDPDF=Y")</f>
        <v>#NAME?</v>
      </c>
      <c r="AJ95" s="2" t="e">
        <f ca="1">_xll.BDH($C$78,"GROWTH_IN_CAP","FQ2 2017","FQ2 2017","Currency=INR","Period=FQ","BEST_FPERIOD_OVERRIDE=FQ","FILING_STATUS=OR","EQY_CONSOLIDATED=Y","Sort=A","Dates=H","DateFormat=P","Fill=—","Direction=H","UseDPDF=Y")</f>
        <v>#NAME?</v>
      </c>
      <c r="AK95" s="2" t="e">
        <f ca="1">_xll.BDH($C$78,"BVPS_GROWTH","FQ2 2017","FQ2 2017","Currency=INR","Period=FQ","BEST_FPERIOD_OVERRIDE=FQ","FILING_STATUS=OR","EQY_CONSOLIDATED=Y","Sort=A","Dates=H","DateFormat=P","Fill=—","Direction=H","UseDPDF=Y")</f>
        <v>#NAME?</v>
      </c>
      <c r="AL95" s="2" t="e">
        <f ca="1">_xll.BDH($C$78,"CASH_FLOW_GROWTH","FQ2 2017","FQ2 2017","Currency=INR","Period=FQ","BEST_FPERIOD_OVERRIDE=FQ","FILING_STATUS=OR","EQY_CONSOLIDATED=Y","Sort=A","Dates=H","DateFormat=P","Fill=—","Direction=H","UseDPDF=Y")</f>
        <v>#NAME?</v>
      </c>
      <c r="AM95" s="2" t="e">
        <f ca="1">_xll.BDH($C$78,"GEO_GROW_NET_SALES","FQ2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95" s="2" t="e">
        <f ca="1">_xll.BDH($C$78,"GEO_GROW_EBITDA","FQ2 2017","FQ2 2017","Currency=INR","Period=FQ","BEST_FPERIOD_OVERRIDE=FQ","FILING_STATUS=OR","EQY_CONSOLIDATED=Y","FA_ADJUSTED=GAAP","Sort=A","Dates=H","DateFormat=P","Fill=—","Direction=H","UseDPDF=Y")</f>
        <v>#NAME?</v>
      </c>
      <c r="AO95" s="2" t="e">
        <f ca="1">_xll.BDH($C$78,"GEO_GROW_OPER_INC","FQ2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95" s="2" t="e">
        <f ca="1">_xll.BDH($C$78,"NET_INCOME_TO_COMMON_5_YR_GROWTH","FQ2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95" s="2" t="e">
        <f ca="1">_xll.BDH($C$78,"5Y_GEO_GROWTH_DILUTED_EPS","FQ2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95" s="2" t="e">
        <f ca="1">_xll.BDH($C$78,"GEO_GROW_DVD_PER_SH","FQ2 2017","FQ2 2017","Currency=INR","Period=FQ","BEST_FPERIOD_OVERRIDE=FQ","FILING_STATUS=OR","EQY_CONSOLIDATED=Y","Sort=A","Dates=H","DateFormat=P","Fill=—","Direction=H","UseDPDF=Y")</f>
        <v>#NAME?</v>
      </c>
      <c r="AS95" s="2" t="e">
        <f ca="1">_xll.BDH($C$78,"ACCOUNTS_RECEIVABLE_5_YR_GROWTH","FQ2 2017","FQ2 2017","Currency=INR","Period=FQ","BEST_FPERIOD_OVERRIDE=FQ","FILING_STATUS=OR","EQY_CONSOLIDATED=Y","Sort=A","Dates=H","DateFormat=P","Fill=—","Direction=H","UseDPDF=Y")</f>
        <v>#NAME?</v>
      </c>
      <c r="AT95" s="2" t="e">
        <f ca="1">_xll.BDH($C$78,"INVENTORY_5_YEAR_GROWTH","FQ2 2017","FQ2 2017","Currency=INR","Period=FQ","BEST_FPERIOD_OVERRIDE=FQ","FILING_STATUS=OR","EQY_CONSOLIDATED=Y","Sort=A","Dates=H","DateFormat=P","Fill=—","Direction=H","UseDPDF=Y")</f>
        <v>#NAME?</v>
      </c>
      <c r="AU95" s="2" t="e">
        <f ca="1">_xll.BDH($C$78,"NET_FIXED_ASSETS_5_YEAR_GROWTH","FQ2 2017","FQ2 2017","Currency=INR","Period=FQ","BEST_FPERIOD_OVERRIDE=FQ","FILING_STATUS=OR","EQY_CONSOLIDATED=Y","Sort=A","Dates=H","DateFormat=P","Fill=—","Direction=H","UseDPDF=Y")</f>
        <v>#NAME?</v>
      </c>
      <c r="AV95" s="2" t="e">
        <f ca="1">_xll.BDH($C$78,"GEO_GROW_TOT_ASSET","FQ2 2017","FQ2 2017","Currency=INR","Period=FQ","BEST_FPERIOD_OVERRIDE=FQ","FILING_STATUS=OR","EQY_CONSOLIDATED=Y","Sort=A","Dates=H","DateFormat=P","Fill=—","Direction=H","UseDPDF=Y")</f>
        <v>#NAME?</v>
      </c>
      <c r="AW95" s="2" t="e">
        <f ca="1">_xll.BDH($C$78,"MODIFIED_WORKING_CPTL_5YR_GRWTH","FQ2 2017","FQ2 2017","Currency=INR","Period=FQ","BEST_FPERIOD_OVERRIDE=FQ","FILING_STATUS=OR","EQY_CONSOLIDATED=Y","Sort=A","Dates=H","DateFormat=P","Fill=—","Direction=H","UseDPDF=Y")</f>
        <v>#NAME?</v>
      </c>
      <c r="AX95" s="2" t="e">
        <f ca="1">_xll.BDH($C$78,"WORKING_CAPITAL_5_YEAR_GROWTH","FQ2 2017","FQ2 2017","Currency=INR","Period=FQ","BEST_FPERIOD_OVERRIDE=FQ","FILING_STATUS=OR","EQY_CONSOLIDATED=Y","Sort=A","Dates=H","DateFormat=P","Fill=—","Direction=H","UseDPDF=Y")</f>
        <v>#NAME?</v>
      </c>
      <c r="AY95" s="2" t="e">
        <f ca="1">_xll.BDH($C$78,"ACCOUNTS_PAYABLE_5_YEAR_GROWTH","FQ2 2017","FQ2 2017","Currency=INR","Period=FQ","BEST_FPERIOD_OVERRIDE=FQ","FILING_STATUS=OR","EQY_CONSOLIDATED=Y","Sort=A","Dates=H","DateFormat=P","Fill=—","Direction=H","UseDPDF=Y")</f>
        <v>#NAME?</v>
      </c>
      <c r="AZ95" s="2" t="e">
        <f ca="1">_xll.BDH($C$78,"SHORT_TERM_DEBT_5_YEAR_GROWTH","FQ2 2017","FQ2 2017","Currency=INR","Period=FQ","BEST_FPERIOD_OVERRIDE=FQ","FILING_STATUS=OR","EQY_CONSOLIDATED=Y","Sort=A","Dates=H","DateFormat=P","Fill=—","Direction=H","UseDPDF=Y")</f>
        <v>#NAME?</v>
      </c>
      <c r="BA95" s="2" t="e">
        <f ca="1">_xll.BDH($C$78,"TOTAL_DEBT_5_YEAR_GROWTH","FQ2 2017","FQ2 2017","Currency=INR","Period=FQ","BEST_FPERIOD_OVERRIDE=FQ","FILING_STATUS=OR","EQY_CONSOLIDATED=Y","Sort=A","Dates=H","DateFormat=P","Fill=—","Direction=H","UseDPDF=Y")</f>
        <v>#NAME?</v>
      </c>
      <c r="BB95" s="2" t="e">
        <f ca="1">_xll.BDH($C$78,"GEO_GROW_TOT_SHRHLDR_EQY","FQ2 2017","FQ2 2017","Currency=INR","Period=FQ","BEST_FPERIOD_OVERRIDE=FQ","FILING_STATUS=OR","EQY_CONSOLIDATED=Y","Sort=A","Dates=H","DateFormat=P","Fill=—","Direction=H","UseDPDF=Y")</f>
        <v>#NAME?</v>
      </c>
      <c r="BC95" s="2" t="e">
        <f ca="1">_xll.BDH($C$78,"TOTAL_CAPITAL_5_YEAR_GROWTH","FQ2 2017","FQ2 2017","Currency=INR","Period=FQ","BEST_FPERIOD_OVERRIDE=FQ","FILING_STATUS=OR","EQY_CONSOLIDATED=Y","Sort=A","Dates=H","DateFormat=P","Fill=—","Direction=H","UseDPDF=Y")</f>
        <v>#NAME?</v>
      </c>
      <c r="BD95" s="2" t="e">
        <f ca="1">_xll.BDH($C$78,"GEO_GROW_BOOK_VAL","FQ2 2017","FQ2 2017","Currency=INR","Period=FQ","BEST_FPERIOD_OVERRIDE=FQ","FILING_STATUS=OR","EQY_CONSOLIDATED=Y","Sort=A","Dates=H","DateFormat=P","Fill=—","Direction=H","UseDPDF=Y")</f>
        <v>#NAME?</v>
      </c>
      <c r="BE95" s="2" t="e">
        <f ca="1">_xll.BDH($C$78,"GEO_GROW_CASH_OPER_ACT","FQ2 2017","FQ2 2017","Currency=INR","Period=FQ","BEST_FPERIOD_OVERRIDE=FQ","FILING_STATUS=OR","EQY_CONSOLIDATED=Y","Sort=A","Dates=H","DateFormat=P","Fill=—","Direction=H","UseDPDF=Y")</f>
        <v>#NAME?</v>
      </c>
      <c r="BF95" s="2" t="e">
        <f ca="1">_xll.BDH($C$78,"REVENUE_SEQUENTIAL_GROWTH","FQ2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95" s="2" t="e">
        <f ca="1">_xll.BDH($C$78,"EBITDA_SEQUENTIAL_GROWTH","FQ2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95" s="2" t="e">
        <f ca="1">_xll.BDH($C$78,"OPERATING_INCOME_SEQ_GROWTH","FQ2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95" s="2" t="e">
        <f ca="1">_xll.BDH($C$78,"NET_INCOME_TO_COMMON_SEQ_GROWTH","FQ2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95" s="2" t="e">
        <f ca="1">_xll.BDH($C$78,"EPS_DILUTED_SEQUENTIAL_GROWTH","FQ2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95" s="2" t="e">
        <f ca="1">_xll.BDH($C$78,"DPS_SEQUENTIAL_GROWTH","FQ2 2017","FQ2 2017","Currency=INR","Period=FQ","BEST_FPERIOD_OVERRIDE=FQ","FILING_STATUS=OR","EQY_CONSOLIDATED=Y","Sort=A","Dates=H","DateFormat=P","Fill=—","Direction=H","UseDPDF=Y")</f>
        <v>#NAME?</v>
      </c>
      <c r="BL95" s="2" t="e">
        <f ca="1">_xll.BDH($C$78,"ACCOUNTS_RECEIVABLE_SEQ_GROWTH","FQ2 2017","FQ2 2017","Currency=INR","Period=FQ","BEST_FPERIOD_OVERRIDE=FQ","FILING_STATUS=OR","EQY_CONSOLIDATED=Y","Sort=A","Dates=H","DateFormat=P","Fill=—","Direction=H","UseDPDF=Y")</f>
        <v>#NAME?</v>
      </c>
      <c r="BM95" s="2" t="e">
        <f ca="1">_xll.BDH($C$78,"INVENTORY_SEQUENTIAL_GROWTH","FQ2 2017","FQ2 2017","Currency=INR","Period=FQ","BEST_FPERIOD_OVERRIDE=FQ","FILING_STATUS=OR","EQY_CONSOLIDATED=Y","Sort=A","Dates=H","DateFormat=P","Fill=—","Direction=H","UseDPDF=Y")</f>
        <v>#NAME?</v>
      </c>
      <c r="BN95" s="2" t="e">
        <f ca="1">_xll.BDH($C$78,"FIXED_ASSETS_SEQUENTIAL_GROWTH","FQ2 2017","FQ2 2017","Currency=INR","Period=FQ","BEST_FPERIOD_OVERRIDE=FQ","FILING_STATUS=OR","EQY_CONSOLIDATED=Y","Sort=A","Dates=H","DateFormat=P","Fill=—","Direction=H","UseDPDF=Y")</f>
        <v>#NAME?</v>
      </c>
      <c r="BO95" s="2" t="e">
        <f ca="1">_xll.BDH($C$78,"TOTAL_ASSETS_SEQUENTIAL_GROWTH","FQ2 2017","FQ2 2017","Currency=INR","Period=FQ","BEST_FPERIOD_OVERRIDE=FQ","FILING_STATUS=OR","EQY_CONSOLIDATED=Y","Sort=A","Dates=H","DateFormat=P","Fill=—","Direction=H","UseDPDF=Y")</f>
        <v>#NAME?</v>
      </c>
      <c r="BP95" s="2" t="e">
        <f ca="1">_xll.BDH($C$78,"MODIFIED_WORKING_CPTL_SEQ_GRWTH","FQ2 2017","FQ2 2017","Currency=INR","Period=FQ","BEST_FPERIOD_OVERRIDE=FQ","FILING_STATUS=OR","EQY_CONSOLIDATED=Y","Sort=A","Dates=H","DateFormat=P","Fill=—","Direction=H","UseDPDF=Y")</f>
        <v>#NAME?</v>
      </c>
      <c r="BQ95" s="2" t="e">
        <f ca="1">_xll.BDH($C$78,"WORKING_CAPITAL_SEQ_GROWTH","FQ2 2017","FQ2 2017","Currency=INR","Period=FQ","BEST_FPERIOD_OVERRIDE=FQ","FILING_STATUS=OR","EQY_CONSOLIDATED=Y","Sort=A","Dates=H","DateFormat=P","Fill=—","Direction=H","UseDPDF=Y")</f>
        <v>#NAME?</v>
      </c>
      <c r="BR95" s="2" t="e">
        <f ca="1">_xll.BDH($C$78,"ACCOUNTS_PAYABLE_SEQ_GROWTH","FQ2 2017","FQ2 2017","Currency=INR","Period=FQ","BEST_FPERIOD_OVERRIDE=FQ","FILING_STATUS=OR","EQY_CONSOLIDATED=Y","Sort=A","Dates=H","DateFormat=P","Fill=—","Direction=H","UseDPDF=Y")</f>
        <v>#NAME?</v>
      </c>
      <c r="BS95" s="2" t="e">
        <f ca="1">_xll.BDH($C$78,"ST_DEBT_SEQUENTIAL_GROWTH","FQ2 2017","FQ2 2017","Currency=INR","Period=FQ","BEST_FPERIOD_OVERRIDE=FQ","FILING_STATUS=OR","EQY_CONSOLIDATED=Y","Sort=A","Dates=H","DateFormat=P","Fill=—","Direction=H","UseDPDF=Y")</f>
        <v>#NAME?</v>
      </c>
      <c r="BT95" s="2" t="e">
        <f ca="1">_xll.BDH($C$78,"TOTAL_DEBT_SEQUENTIAL_GROWTH","FQ2 2017","FQ2 2017","Currency=INR","Period=FQ","BEST_FPERIOD_OVERRIDE=FQ","FILING_STATUS=OR","EQY_CONSOLIDATED=Y","Sort=A","Dates=H","DateFormat=P","Fill=—","Direction=H","UseDPDF=Y")</f>
        <v>#NAME?</v>
      </c>
      <c r="BU95" s="2" t="e">
        <f ca="1">_xll.BDH($C$78,"TOTAL_EQUITY_SEQUENTIAL_GROWTH","FQ2 2017","FQ2 2017","Currency=INR","Period=FQ","BEST_FPERIOD_OVERRIDE=FQ","FILING_STATUS=OR","EQY_CONSOLIDATED=Y","Sort=A","Dates=H","DateFormat=P","Fill=—","Direction=H","UseDPDF=Y")</f>
        <v>#NAME?</v>
      </c>
      <c r="BV95" s="2" t="e">
        <f ca="1">_xll.BDH($C$78,"TOTAL_CAPITAL_SEQUENTIAL_GROWTH","FQ2 2017","FQ2 2017","Currency=INR","Period=FQ","BEST_FPERIOD_OVERRIDE=FQ","FILING_STATUS=OR","EQY_CONSOLIDATED=Y","Sort=A","Dates=H","DateFormat=P","Fill=—","Direction=H","UseDPDF=Y")</f>
        <v>#NAME?</v>
      </c>
      <c r="BW95" s="2" t="e">
        <f ca="1">_xll.BDH($C$78,"BPS_SEQUENTIAL_GROWTH","FQ2 2017","FQ2 2017","Currency=INR","Period=FQ","BEST_FPERIOD_OVERRIDE=FQ","FILING_STATUS=OR","EQY_CONSOLIDATED=Y","Sort=A","Dates=H","DateFormat=P","Fill=—","Direction=H","UseDPDF=Y")</f>
        <v>#NAME?</v>
      </c>
      <c r="BX95" s="2" t="e">
        <f ca="1">_xll.BDH($C$78,"CFO_SEQUENTIAL_GROWTH","FQ2 2017","FQ2 2017","Currency=INR","Period=FQ","BEST_FPERIOD_OVERRIDE=FQ","FILING_STATUS=OR","EQY_CONSOLIDATED=Y","Sort=A","Dates=H","DateFormat=P","Fill=—","Direction=H","UseDPDF=Y")</f>
        <v>#NAME?</v>
      </c>
      <c r="BY95" s="3" t="e">
        <f ca="1">_xll.BDH($C$78,"SHORT_AND_LONG_TERM_DEBT","FQ2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95" s="3" t="e">
        <f ca="1">_xll.BDH($C$78,"BS_ST_BORROW","FQ2 2017","FQ2 2017","Currency=INR","Period=FQ","BEST_FPERIOD_OVERRIDE=FQ","FILING_STATUS=OR","EQY_CONSOLIDATED=Y","SCALING_FORMAT=MLN","Sort=A","Dates=H","DateFormat=P","Fill=—","Direction=H","UseDPDF=Y")</f>
        <v>#NAME?</v>
      </c>
      <c r="CA95" s="3" t="e">
        <f ca="1">_xll.BDH($C$78,"BS_LT_BORROW","FQ2 2017","FQ2 2017","Currency=INR","Period=FQ","BEST_FPERIOD_OVERRIDE=FQ","FILING_STATUS=OR","EQY_CONSOLIDATED=Y","SCALING_FORMAT=MLN","Sort=A","Dates=H","DateFormat=P","Fill=—","Direction=H","UseDPDF=Y")</f>
        <v>#NAME?</v>
      </c>
      <c r="CB95" s="2" t="e">
        <f ca="1">_xll.BDH($C$78,"TOT_DEBT_TO_EBITDA","FQ2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95" s="2" t="e">
        <f ca="1">_xll.BDH($C$78,"NET_DEBT_TO_EBITDA","FQ2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95" s="2" t="e">
        <f ca="1">_xll.BDH($C$78,"TOTAL_DEBT_TO_EBIT","FQ2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95" s="2" t="e">
        <f ca="1">_xll.BDH($C$78,"NET_DEBT_TO_EBIT","FQ2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95" s="2" t="e">
        <f ca="1">_xll.BDH($C$78,"EBITDA_TO_INTEREST_EXPN","FQ2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95" s="2" t="e">
        <f ca="1">_xll.BDH($C$78,"COM_EQY_TO_TOT_ASSET","FQ2 2017","FQ2 2017","Currency=INR","Period=FQ","BEST_FPERIOD_OVERRIDE=FQ","FILING_STATUS=OR","EQY_CONSOLIDATED=Y","Sort=A","Dates=H","DateFormat=P","Fill=—","Direction=H","UseDPDF=Y")</f>
        <v>#NAME?</v>
      </c>
      <c r="CH95" s="2" t="e">
        <f ca="1">_xll.BDH($C$78,"LT_DEBT_TO_TOT_EQY","FQ2 2017","FQ2 2017","Currency=INR","Period=FQ","BEST_FPERIOD_OVERRIDE=FQ","FILING_STATUS=OR","EQY_CONSOLIDATED=Y","Sort=A","Dates=H","DateFormat=P","Fill=—","Direction=H","UseDPDF=Y")</f>
        <v>#NAME?</v>
      </c>
      <c r="CI95" s="2" t="e">
        <f ca="1">_xll.BDH($C$78,"LT_DEBT_TO_TOT_CAP","FQ2 2017","FQ2 2017","Currency=INR","Period=FQ","BEST_FPERIOD_OVERRIDE=FQ","FILING_STATUS=OR","EQY_CONSOLIDATED=Y","Sort=A","Dates=H","DateFormat=P","Fill=—","Direction=H","UseDPDF=Y")</f>
        <v>#NAME?</v>
      </c>
      <c r="CJ95" s="2" t="e">
        <f ca="1">_xll.BDH($C$78,"LT_DEBT_TO_TOT_ASSET","FQ2 2017","FQ2 2017","Currency=INR","Period=FQ","BEST_FPERIOD_OVERRIDE=FQ","FILING_STATUS=OR","EQY_CONSOLIDATED=Y","Sort=A","Dates=H","DateFormat=P","Fill=—","Direction=H","UseDPDF=Y")</f>
        <v>#NAME?</v>
      </c>
      <c r="CK95" s="2" t="e">
        <f ca="1">_xll.BDH($C$78,"TOT_DEBT_TO_TOT_EQY","FQ2 2017","FQ2 2017","Currency=INR","Period=FQ","BEST_FPERIOD_OVERRIDE=FQ","FILING_STATUS=OR","EQY_CONSOLIDATED=Y","Sort=A","Dates=H","DateFormat=P","Fill=—","Direction=H","UseDPDF=Y")</f>
        <v>#NAME?</v>
      </c>
      <c r="CL95" s="2" t="e">
        <f ca="1">_xll.BDH($C$78,"TOT_DEBT_TO_TOT_CAP","FQ2 2017","FQ2 2017","Currency=INR","Period=FQ","BEST_FPERIOD_OVERRIDE=FQ","FILING_STATUS=OR","EQY_CONSOLIDATED=Y","Sort=A","Dates=H","DateFormat=P","Fill=—","Direction=H","UseDPDF=Y")</f>
        <v>#NAME?</v>
      </c>
      <c r="CM95" s="2" t="e">
        <f ca="1">_xll.BDH($C$78,"TOT_DEBT_TO_TOT_ASSET","FQ2 2017","FQ2 2017","Currency=INR","Period=FQ","BEST_FPERIOD_OVERRIDE=FQ","FILING_STATUS=OR","EQY_CONSOLIDATED=Y","Sort=A","Dates=H","DateFormat=P","Fill=—","Direction=H","UseDPDF=Y")</f>
        <v>#NAME?</v>
      </c>
      <c r="CN95" s="2" t="e">
        <f ca="1">_xll.BDH($C$78,"NET_DEBT_TO_SHRHLDR_EQTY","FQ2 2017","FQ2 2017","Currency=INR","Period=FQ","BEST_FPERIOD_OVERRIDE=FQ","FILING_STATUS=OR","EQY_CONSOLIDATED=Y","Sort=A","Dates=H","DateFormat=P","Fill=—","Direction=H","UseDPDF=Y")</f>
        <v>#NAME?</v>
      </c>
      <c r="CO95" s="2" t="e">
        <f ca="1">_xll.BDH($C$78,"NET_DEBT_%_CAPITAL","FQ2 2017","FQ2 2017","Currency=INR","Period=FQ","BEST_FPERIOD_OVERRIDE=FQ","FILING_STATUS=OR","EQY_CONSOLIDATED=Y","Sort=A","Dates=H","DateFormat=P","Fill=—","Direction=H","UseDPDF=Y")</f>
        <v>#NAME?</v>
      </c>
      <c r="CP95" s="3" t="e">
        <f ca="1">_xll.BDH($C$78,"EBITDA","FQ2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95" s="3" t="e">
        <f ca="1">_xll.BDH($C$78,"EBITDA_AFTER_CAPEX","FQ2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95" s="3" t="e">
        <f ca="1">_xll.BDH($C$78,"IS_OPER_INC","FQ2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95" s="2" t="e">
        <f ca="1">_xll.BDH($C$78,"CASH_RATIO","FQ2 2017","FQ2 2017","Currency=INR","Period=FQ","BEST_FPERIOD_OVERRIDE=FQ","FILING_STATUS=OR","EQY_CONSOLIDATED=Y","Sort=A","Dates=H","DateFormat=P","Fill=—","Direction=H","UseDPDF=Y")</f>
        <v>#NAME?</v>
      </c>
      <c r="CT95" s="2" t="e">
        <f ca="1">_xll.BDH($C$78,"CUR_RATIO","FQ2 2017","FQ2 2017","Currency=INR","Period=FQ","BEST_FPERIOD_OVERRIDE=FQ","FILING_STATUS=OR","EQY_CONSOLIDATED=Y","Sort=A","Dates=H","DateFormat=P","Fill=—","Direction=H","UseDPDF=Y")</f>
        <v>#NAME?</v>
      </c>
      <c r="CU95" s="2" t="e">
        <f ca="1">_xll.BDH($C$78,"QUICK_RATIO","FQ2 2017","FQ2 2017","Currency=INR","Period=FQ","BEST_FPERIOD_OVERRIDE=FQ","FILING_STATUS=OR","EQY_CONSOLIDATED=Y","Sort=A","Dates=H","DateFormat=P","Fill=—","Direction=H","UseDPDF=Y")</f>
        <v>#NAME?</v>
      </c>
      <c r="CV95" s="2" t="e">
        <f ca="1">_xll.BDH($C$78,"ALTMAN_Z_SCORE","FQ2 2017","FQ2 2017","Currency=INR","Period=FQ","BEST_FPERIOD_OVERRIDE=FQ","FILING_STATUS=OR","EQY_CONSOLIDATED=Y","Sort=A","Dates=H","DateFormat=P","Fill=—","Direction=H","UseDPDF=Y")</f>
        <v>#NAME?</v>
      </c>
      <c r="CW95" s="4" t="e">
        <f ca="1">_xll.BDH($C$78,"ACCT_RCV_TURN","FQ2 2017","FQ2 2017","Currency=INR","Period=FQ","BEST_FPERIOD_OVERRIDE=FQ","FILING_STATUS=OR","EQY_CONSOLIDATED=Y","FA_ADJUSTED=GAAP","Sort=A","Dates=H","DateFormat=P","Fill=—","Direction=H","UseDPDF=Y")</f>
        <v>#NAME?</v>
      </c>
      <c r="CX95" s="2" t="e">
        <f ca="1">_xll.BDH($C$78,"ACCT_RCV_DAYS","FQ2 2017","FQ2 2017","Currency=INR","Period=FQ","BEST_FPERIOD_OVERRIDE=FQ","FILING_STATUS=OR","EQY_CONSOLIDATED=Y","FA_ADJUSTED=GAAP","Sort=A","Dates=H","DateFormat=P","Fill=—","Direction=H","UseDPDF=Y")</f>
        <v>#NAME?</v>
      </c>
      <c r="CY95" s="4" t="e">
        <f ca="1">_xll.BDH($C$78,"INVENT_TURN","FQ2 2017","FQ2 2017","Currency=INR","Period=FQ","BEST_FPERIOD_OVERRIDE=FQ","FILING_STATUS=OR","EQY_CONSOLIDATED=Y","FA_ADJUSTED=GAAP","Sort=A","Dates=H","DateFormat=P","Fill=—","Direction=H","UseDPDF=Y")</f>
        <v>#NAME?</v>
      </c>
      <c r="CZ95" s="2" t="e">
        <f ca="1">_xll.BDH($C$78,"INVENT_DAYS","FQ2 2017","FQ2 2017","Currency=INR","Period=FQ","BEST_FPERIOD_OVERRIDE=FQ","FILING_STATUS=OR","EQY_CONSOLIDATED=Y","FA_ADJUSTED=GAAP","Sort=A","Dates=H","DateFormat=P","Fill=—","Direction=H","UseDPDF=Y")</f>
        <v>#NAME?</v>
      </c>
      <c r="DA95" s="4" t="e">
        <f ca="1">_xll.BDH($C$78,"ACCOUNTS_PAYABLE_TURNOVER","FQ2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95" s="2" t="e">
        <f ca="1">_xll.BDH($C$78,"ACCOUNTS_PAYABLE_TURNOVER_DAYS","FQ2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95" s="4" t="e">
        <f ca="1">_xll.BDH($C$78,"CASH_CONVERSION_CYCLE","FQ2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95" s="4" t="e">
        <f ca="1">_xll.BDH($C$78,"INV_TO_CASH_DAYS","FQ2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95" s="5" t="e">
        <f ca="1">_xll.BDH($C$78,"BS_INVENTORIES","FQ2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95" s="3" t="e">
        <f ca="1">_xll.BDH($C$78,"INVTRY_RAW_MATERIALS","FQ2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95" s="3" t="e">
        <f ca="1">_xll.BDH($C$78,"INVTRY_IN_PROGRESS","FQ2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95" s="3" t="e">
        <f ca="1">_xll.BDH($C$78,"INVTRY_FINISHED_GOODS","FQ2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95" s="3" t="e">
        <f ca="1">_xll.BDH($C$78,"BS_OTHER_INV","FQ2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96" spans="1:113" x14ac:dyDescent="0.3">
      <c r="A96" s="6"/>
      <c r="B96" s="6"/>
      <c r="C96" s="6"/>
      <c r="D96" s="6"/>
      <c r="E96" t="s">
        <v>80</v>
      </c>
      <c r="F96" t="e">
        <f ca="1">_xll.BDH($C$78,"RETURN_COM_EQY","FQ3 2017","FQ3 2017","Currency=INR","Period=FQ","BEST_FPERIOD_OVERRIDE=FQ","FILING_STATUS=OR","EQY_CONSOLIDATED=Y","FA_ADJUSTED=GAAP","Sort=A","Dates=H","DateFormat=P","Fill=—","Direction=H","UseDPDF=Y")</f>
        <v>#NAME?</v>
      </c>
      <c r="G96" t="e">
        <f ca="1">_xll.BDH($C$78,"RETURN_ON_ASSET","FQ3 2017","FQ3 2017","Currency=INR","Period=FQ","BEST_FPERIOD_OVERRIDE=FQ","FILING_STATUS=OR","EQY_CONSOLIDATED=Y","FA_ADJUSTED=GAAP","Sort=A","Dates=H","DateFormat=P","Fill=—","Direction=H","UseDPDF=Y")</f>
        <v>#NAME?</v>
      </c>
      <c r="H96" t="e">
        <f ca="1">_xll.BDH($C$78,"RETURN_ON_CAP","FQ3 2017","FQ3 2017","Currency=INR","Period=FQ","BEST_FPERIOD_OVERRIDE=FQ","FILING_STATUS=OR","EQY_CONSOLIDATED=Y","FA_ADJUSTED=GAAP","Sort=A","Dates=H","DateFormat=P","Fill=—","Direction=H","UseDPDF=Y")</f>
        <v>#NAME?</v>
      </c>
      <c r="I96" t="e">
        <f ca="1">_xll.BDH($C$78,"RETURN_ON_INV_CAPITAL","FQ3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96" t="e">
        <f ca="1">_xll.BDH($C$78,"EBITDA_TO_REVENUE","FQ3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96" t="e">
        <f ca="1">_xll.BDH($C$78,"OPER_MARGIN","FQ3 2017","FQ3 2017","Currency=INR","Period=FQ","BEST_FPERIOD_OVERRIDE=FQ","FILING_STATUS=OR","EQY_CONSOLIDATED=Y","FA_ADJUSTED=GAAP","Sort=A","Dates=H","DateFormat=P","Fill=—","Direction=H","UseDPDF=Y")</f>
        <v>#NAME?</v>
      </c>
      <c r="L96" t="e">
        <f ca="1">_xll.BDH($C$78,"INCREMENTAL_OPERATING_MARGIN","FQ3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96" t="e">
        <f ca="1">_xll.BDH($C$78,"PRETAX_INC_TO_NET_SALES","FQ3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96" t="e">
        <f ca="1">_xll.BDH($C$78,"INC_BEF_XO_ITEMS_TO_NET_SALES","FQ3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96" t="e">
        <f ca="1">_xll.BDH($C$78,"PROF_MARGIN","FQ3 2017","FQ3 2017","Currency=INR","Period=FQ","BEST_FPERIOD_OVERRIDE=FQ","FILING_STATUS=OR","EQY_CONSOLIDATED=Y","FA_ADJUSTED=GAAP","Sort=A","Dates=H","DateFormat=P","Fill=—","Direction=H","UseDPDF=Y")</f>
        <v>#NAME?</v>
      </c>
      <c r="P96" t="e">
        <f ca="1">_xll.BDH($C$78,"NET_INCOME_TO_COMMON_MARGIN","FQ3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96" t="e">
        <f ca="1">_xll.BDH($C$78,"EFF_TAX_RATE","FQ3 2017","FQ3 2017","Currency=INR","Period=FQ","BEST_FPERIOD_OVERRIDE=FQ","FILING_STATUS=OR","EQY_CONSOLIDATED=Y","FA_ADJUSTED=GAAP","Sort=A","Dates=H","DateFormat=P","Fill=—","Direction=H","UseDPDF=Y")</f>
        <v>#NAME?</v>
      </c>
      <c r="R96" t="e">
        <f ca="1">_xll.BDH($C$78,"DVD_PAYOUT_RATIO","FQ3 2017","FQ3 2017","Currency=INR","Period=FQ","BEST_FPERIOD_OVERRIDE=FQ","FILING_STATUS=OR","EQY_CONSOLIDATED=Y","FA_ADJUSTED=GAAP","Sort=A","Dates=H","DateFormat=P","Fill=—","Direction=H","UseDPDF=Y")</f>
        <v>#NAME?</v>
      </c>
      <c r="S96" t="e">
        <f ca="1">_xll.BDH($C$78,"SUSTAIN_GROWTH_RT","FQ3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96" s="2" t="e">
        <f ca="1">_xll.BDH($C$78,"SALES_GROWTH","FQ3 2017","FQ3 2017","Currency=INR","Period=FQ","BEST_FPERIOD_OVERRIDE=FQ","FILING_STATUS=OR","EQY_CONSOLIDATED=Y","FA_ADJUSTED=GAAP","Sort=A","Dates=H","DateFormat=P","Fill=—","Direction=H","UseDPDF=Y")</f>
        <v>#NAME?</v>
      </c>
      <c r="U96" s="2" t="e">
        <f ca="1">_xll.BDH($C$78,"EBITDA_GROWTH","FQ3 2017","FQ3 2017","Currency=INR","Period=FQ","BEST_FPERIOD_OVERRIDE=FQ","FILING_STATUS=OR","EQY_CONSOLIDATED=Y","FA_ADJUSTED=GAAP","Sort=A","Dates=H","DateFormat=P","Fill=—","Direction=H","UseDPDF=Y")</f>
        <v>#NAME?</v>
      </c>
      <c r="V96" s="2" t="e">
        <f ca="1">_xll.BDH($C$78,"OPER_INC_GROWTH","FQ3 2017","FQ3 2017","Currency=INR","Period=FQ","BEST_FPERIOD_OVERRIDE=FQ","FILING_STATUS=OR","EQY_CONSOLIDATED=Y","FA_ADJUSTED=GAAP","Sort=A","Dates=H","DateFormat=P","Fill=—","Direction=H","UseDPDF=Y")</f>
        <v>#NAME?</v>
      </c>
      <c r="W96" s="2" t="e">
        <f ca="1">_xll.BDH($C$78,"EARN_FOR_COM_GROWTH","FQ3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96" s="2" t="e">
        <f ca="1">_xll.BDH($C$78,"DILUTED_EPS_AFT_XO_ITEMS_GROWTH","FQ3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96" s="2" t="e">
        <f ca="1">_xll.BDH($C$78,"DIVIDEND_PER_SHARE_1_YEAR_GROWTH","FQ3 2017","FQ3 2017","Currency=INR","Period=FQ","BEST_FPERIOD_OVERRIDE=FQ","FILING_STATUS=OR","EQY_CONSOLIDATED=Y","Sort=A","Dates=H","DateFormat=P","Fill=—","Direction=H","UseDPDF=Y")</f>
        <v>#NAME?</v>
      </c>
      <c r="Z96" s="2" t="e">
        <f ca="1">_xll.BDH($C$78,"ACCOUNTS_RECEIVABLE_GROWTH","FQ3 2017","FQ3 2017","Currency=INR","Period=FQ","BEST_FPERIOD_OVERRIDE=FQ","FILING_STATUS=OR","EQY_CONSOLIDATED=Y","Sort=A","Dates=H","DateFormat=P","Fill=—","Direction=H","UseDPDF=Y")</f>
        <v>#NAME?</v>
      </c>
      <c r="AA96" s="2" t="e">
        <f ca="1">_xll.BDH($C$78,"INVENTORY_GROWTH","FQ3 2017","FQ3 2017","Currency=INR","Period=FQ","BEST_FPERIOD_OVERRIDE=FQ","FILING_STATUS=OR","EQY_CONSOLIDATED=Y","Sort=A","Dates=H","DateFormat=P","Fill=—","Direction=H","UseDPDF=Y")</f>
        <v>#NAME?</v>
      </c>
      <c r="AB96" s="2" t="e">
        <f ca="1">_xll.BDH($C$78,"NET_FIXED_ASSETS_1_YEAR_GROWTH","FQ3 2017","FQ3 2017","Currency=INR","Period=FQ","BEST_FPERIOD_OVERRIDE=FQ","FILING_STATUS=OR","EQY_CONSOLIDATED=Y","Sort=A","Dates=H","DateFormat=P","Fill=—","Direction=H","UseDPDF=Y")</f>
        <v>#NAME?</v>
      </c>
      <c r="AC96" s="2" t="e">
        <f ca="1">_xll.BDH($C$78,"ASSET_GROWTH","FQ3 2017","FQ3 2017","Currency=INR","Period=FQ","BEST_FPERIOD_OVERRIDE=FQ","FILING_STATUS=OR","EQY_CONSOLIDATED=Y","Sort=A","Dates=H","DateFormat=P","Fill=—","Direction=H","UseDPDF=Y")</f>
        <v>#NAME?</v>
      </c>
      <c r="AD96" s="2" t="e">
        <f ca="1">_xll.BDH($C$78,"MODIFIED_WORK_CAP_GROWTH","FQ3 2017","FQ3 2017","Currency=INR","Period=FQ","BEST_FPERIOD_OVERRIDE=FQ","FILING_STATUS=OR","EQY_CONSOLIDATED=Y","Sort=A","Dates=H","DateFormat=P","Fill=—","Direction=H","UseDPDF=Y")</f>
        <v>#NAME?</v>
      </c>
      <c r="AE96" s="2" t="e">
        <f ca="1">_xll.BDH($C$78,"WORK_CAP_GROWTH","FQ3 2017","FQ3 2017","Currency=INR","Period=FQ","BEST_FPERIOD_OVERRIDE=FQ","FILING_STATUS=OR","EQY_CONSOLIDATED=Y","Sort=A","Dates=H","DateFormat=P","Fill=—","Direction=H","UseDPDF=Y")</f>
        <v>#NAME?</v>
      </c>
      <c r="AF96" s="2" t="e">
        <f ca="1">_xll.BDH($C$78,"ACCOUNTS_PAYABLE_GROWTH_1YR","FQ3 2017","FQ3 2017","Currency=INR","Period=FQ","BEST_FPERIOD_OVERRIDE=FQ","FILING_STATUS=OR","EQY_CONSOLIDATED=Y","Sort=A","Dates=H","DateFormat=P","Fill=—","Direction=H","UseDPDF=Y")</f>
        <v>#NAME?</v>
      </c>
      <c r="AG96" s="2" t="e">
        <f ca="1">_xll.BDH($C$78,"SHORT_TERM_DEBT_1_YEAR_GROWTH","FQ3 2017","FQ3 2017","Currency=INR","Period=FQ","BEST_FPERIOD_OVERRIDE=FQ","FILING_STATUS=OR","EQY_CONSOLIDATED=Y","Sort=A","Dates=H","DateFormat=P","Fill=—","Direction=H","UseDPDF=Y")</f>
        <v>#NAME?</v>
      </c>
      <c r="AH96" s="2" t="e">
        <f ca="1">_xll.BDH($C$78,"TOTAL_DEBT_1_YEAR_GROWTH","FQ3 2017","FQ3 2017","Currency=INR","Period=FQ","BEST_FPERIOD_OVERRIDE=FQ","FILING_STATUS=OR","EQY_CONSOLIDATED=Y","Sort=A","Dates=H","DateFormat=P","Fill=—","Direction=H","UseDPDF=Y")</f>
        <v>#NAME?</v>
      </c>
      <c r="AI96" s="2" t="e">
        <f ca="1">_xll.BDH($C$78,"TOTAL_EQUITY_1_YEAR_GROWTH","FQ3 2017","FQ3 2017","Currency=INR","Period=FQ","BEST_FPERIOD_OVERRIDE=FQ","FILING_STATUS=OR","EQY_CONSOLIDATED=Y","Sort=A","Dates=H","DateFormat=P","Fill=—","Direction=H","UseDPDF=Y")</f>
        <v>#NAME?</v>
      </c>
      <c r="AJ96" s="2" t="e">
        <f ca="1">_xll.BDH($C$78,"GROWTH_IN_CAP","FQ3 2017","FQ3 2017","Currency=INR","Period=FQ","BEST_FPERIOD_OVERRIDE=FQ","FILING_STATUS=OR","EQY_CONSOLIDATED=Y","Sort=A","Dates=H","DateFormat=P","Fill=—","Direction=H","UseDPDF=Y")</f>
        <v>#NAME?</v>
      </c>
      <c r="AK96" s="2" t="e">
        <f ca="1">_xll.BDH($C$78,"BVPS_GROWTH","FQ3 2017","FQ3 2017","Currency=INR","Period=FQ","BEST_FPERIOD_OVERRIDE=FQ","FILING_STATUS=OR","EQY_CONSOLIDATED=Y","Sort=A","Dates=H","DateFormat=P","Fill=—","Direction=H","UseDPDF=Y")</f>
        <v>#NAME?</v>
      </c>
      <c r="AL96" s="2" t="e">
        <f ca="1">_xll.BDH($C$78,"CASH_FLOW_GROWTH","FQ3 2017","FQ3 2017","Currency=INR","Period=FQ","BEST_FPERIOD_OVERRIDE=FQ","FILING_STATUS=OR","EQY_CONSOLIDATED=Y","Sort=A","Dates=H","DateFormat=P","Fill=—","Direction=H","UseDPDF=Y")</f>
        <v>#NAME?</v>
      </c>
      <c r="AM96" s="2" t="e">
        <f ca="1">_xll.BDH($C$78,"GEO_GROW_NET_SALES","FQ3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96" s="2" t="e">
        <f ca="1">_xll.BDH($C$78,"GEO_GROW_EBITDA","FQ3 2017","FQ3 2017","Currency=INR","Period=FQ","BEST_FPERIOD_OVERRIDE=FQ","FILING_STATUS=OR","EQY_CONSOLIDATED=Y","FA_ADJUSTED=GAAP","Sort=A","Dates=H","DateFormat=P","Fill=—","Direction=H","UseDPDF=Y")</f>
        <v>#NAME?</v>
      </c>
      <c r="AO96" s="2" t="e">
        <f ca="1">_xll.BDH($C$78,"GEO_GROW_OPER_INC","FQ3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96" s="2" t="e">
        <f ca="1">_xll.BDH($C$78,"NET_INCOME_TO_COMMON_5_YR_GROWTH","FQ3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96" s="2" t="e">
        <f ca="1">_xll.BDH($C$78,"5Y_GEO_GROWTH_DILUTED_EPS","FQ3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96" s="2" t="e">
        <f ca="1">_xll.BDH($C$78,"GEO_GROW_DVD_PER_SH","FQ3 2017","FQ3 2017","Currency=INR","Period=FQ","BEST_FPERIOD_OVERRIDE=FQ","FILING_STATUS=OR","EQY_CONSOLIDATED=Y","Sort=A","Dates=H","DateFormat=P","Fill=—","Direction=H","UseDPDF=Y")</f>
        <v>#NAME?</v>
      </c>
      <c r="AS96" s="2" t="e">
        <f ca="1">_xll.BDH($C$78,"ACCOUNTS_RECEIVABLE_5_YR_GROWTH","FQ3 2017","FQ3 2017","Currency=INR","Period=FQ","BEST_FPERIOD_OVERRIDE=FQ","FILING_STATUS=OR","EQY_CONSOLIDATED=Y","Sort=A","Dates=H","DateFormat=P","Fill=—","Direction=H","UseDPDF=Y")</f>
        <v>#NAME?</v>
      </c>
      <c r="AT96" s="2" t="e">
        <f ca="1">_xll.BDH($C$78,"INVENTORY_5_YEAR_GROWTH","FQ3 2017","FQ3 2017","Currency=INR","Period=FQ","BEST_FPERIOD_OVERRIDE=FQ","FILING_STATUS=OR","EQY_CONSOLIDATED=Y","Sort=A","Dates=H","DateFormat=P","Fill=—","Direction=H","UseDPDF=Y")</f>
        <v>#NAME?</v>
      </c>
      <c r="AU96" s="2" t="e">
        <f ca="1">_xll.BDH($C$78,"NET_FIXED_ASSETS_5_YEAR_GROWTH","FQ3 2017","FQ3 2017","Currency=INR","Period=FQ","BEST_FPERIOD_OVERRIDE=FQ","FILING_STATUS=OR","EQY_CONSOLIDATED=Y","Sort=A","Dates=H","DateFormat=P","Fill=—","Direction=H","UseDPDF=Y")</f>
        <v>#NAME?</v>
      </c>
      <c r="AV96" s="2" t="e">
        <f ca="1">_xll.BDH($C$78,"GEO_GROW_TOT_ASSET","FQ3 2017","FQ3 2017","Currency=INR","Period=FQ","BEST_FPERIOD_OVERRIDE=FQ","FILING_STATUS=OR","EQY_CONSOLIDATED=Y","Sort=A","Dates=H","DateFormat=P","Fill=—","Direction=H","UseDPDF=Y")</f>
        <v>#NAME?</v>
      </c>
      <c r="AW96" s="2" t="e">
        <f ca="1">_xll.BDH($C$78,"MODIFIED_WORKING_CPTL_5YR_GRWTH","FQ3 2017","FQ3 2017","Currency=INR","Period=FQ","BEST_FPERIOD_OVERRIDE=FQ","FILING_STATUS=OR","EQY_CONSOLIDATED=Y","Sort=A","Dates=H","DateFormat=P","Fill=—","Direction=H","UseDPDF=Y")</f>
        <v>#NAME?</v>
      </c>
      <c r="AX96" s="2" t="e">
        <f ca="1">_xll.BDH($C$78,"WORKING_CAPITAL_5_YEAR_GROWTH","FQ3 2017","FQ3 2017","Currency=INR","Period=FQ","BEST_FPERIOD_OVERRIDE=FQ","FILING_STATUS=OR","EQY_CONSOLIDATED=Y","Sort=A","Dates=H","DateFormat=P","Fill=—","Direction=H","UseDPDF=Y")</f>
        <v>#NAME?</v>
      </c>
      <c r="AY96" s="2" t="e">
        <f ca="1">_xll.BDH($C$78,"ACCOUNTS_PAYABLE_5_YEAR_GROWTH","FQ3 2017","FQ3 2017","Currency=INR","Period=FQ","BEST_FPERIOD_OVERRIDE=FQ","FILING_STATUS=OR","EQY_CONSOLIDATED=Y","Sort=A","Dates=H","DateFormat=P","Fill=—","Direction=H","UseDPDF=Y")</f>
        <v>#NAME?</v>
      </c>
      <c r="AZ96" s="2" t="e">
        <f ca="1">_xll.BDH($C$78,"SHORT_TERM_DEBT_5_YEAR_GROWTH","FQ3 2017","FQ3 2017","Currency=INR","Period=FQ","BEST_FPERIOD_OVERRIDE=FQ","FILING_STATUS=OR","EQY_CONSOLIDATED=Y","Sort=A","Dates=H","DateFormat=P","Fill=—","Direction=H","UseDPDF=Y")</f>
        <v>#NAME?</v>
      </c>
      <c r="BA96" s="2" t="e">
        <f ca="1">_xll.BDH($C$78,"TOTAL_DEBT_5_YEAR_GROWTH","FQ3 2017","FQ3 2017","Currency=INR","Period=FQ","BEST_FPERIOD_OVERRIDE=FQ","FILING_STATUS=OR","EQY_CONSOLIDATED=Y","Sort=A","Dates=H","DateFormat=P","Fill=—","Direction=H","UseDPDF=Y")</f>
        <v>#NAME?</v>
      </c>
      <c r="BB96" s="2" t="e">
        <f ca="1">_xll.BDH($C$78,"GEO_GROW_TOT_SHRHLDR_EQY","FQ3 2017","FQ3 2017","Currency=INR","Period=FQ","BEST_FPERIOD_OVERRIDE=FQ","FILING_STATUS=OR","EQY_CONSOLIDATED=Y","Sort=A","Dates=H","DateFormat=P","Fill=—","Direction=H","UseDPDF=Y")</f>
        <v>#NAME?</v>
      </c>
      <c r="BC96" s="2" t="e">
        <f ca="1">_xll.BDH($C$78,"TOTAL_CAPITAL_5_YEAR_GROWTH","FQ3 2017","FQ3 2017","Currency=INR","Period=FQ","BEST_FPERIOD_OVERRIDE=FQ","FILING_STATUS=OR","EQY_CONSOLIDATED=Y","Sort=A","Dates=H","DateFormat=P","Fill=—","Direction=H","UseDPDF=Y")</f>
        <v>#NAME?</v>
      </c>
      <c r="BD96" s="2" t="e">
        <f ca="1">_xll.BDH($C$78,"GEO_GROW_BOOK_VAL","FQ3 2017","FQ3 2017","Currency=INR","Period=FQ","BEST_FPERIOD_OVERRIDE=FQ","FILING_STATUS=OR","EQY_CONSOLIDATED=Y","Sort=A","Dates=H","DateFormat=P","Fill=—","Direction=H","UseDPDF=Y")</f>
        <v>#NAME?</v>
      </c>
      <c r="BE96" s="2" t="e">
        <f ca="1">_xll.BDH($C$78,"GEO_GROW_CASH_OPER_ACT","FQ3 2017","FQ3 2017","Currency=INR","Period=FQ","BEST_FPERIOD_OVERRIDE=FQ","FILING_STATUS=OR","EQY_CONSOLIDATED=Y","Sort=A","Dates=H","DateFormat=P","Fill=—","Direction=H","UseDPDF=Y")</f>
        <v>#NAME?</v>
      </c>
      <c r="BF96" s="2" t="e">
        <f ca="1">_xll.BDH($C$78,"REVENUE_SEQUENTIAL_GROWTH","FQ3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96" s="2" t="e">
        <f ca="1">_xll.BDH($C$78,"EBITDA_SEQUENTIAL_GROWTH","FQ3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96" s="2" t="e">
        <f ca="1">_xll.BDH($C$78,"OPERATING_INCOME_SEQ_GROWTH","FQ3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96" s="2" t="e">
        <f ca="1">_xll.BDH($C$78,"NET_INCOME_TO_COMMON_SEQ_GROWTH","FQ3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96" s="2" t="e">
        <f ca="1">_xll.BDH($C$78,"EPS_DILUTED_SEQUENTIAL_GROWTH","FQ3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96" s="2" t="e">
        <f ca="1">_xll.BDH($C$78,"DPS_SEQUENTIAL_GROWTH","FQ3 2017","FQ3 2017","Currency=INR","Period=FQ","BEST_FPERIOD_OVERRIDE=FQ","FILING_STATUS=OR","EQY_CONSOLIDATED=Y","Sort=A","Dates=H","DateFormat=P","Fill=—","Direction=H","UseDPDF=Y")</f>
        <v>#NAME?</v>
      </c>
      <c r="BL96" s="2" t="e">
        <f ca="1">_xll.BDH($C$78,"ACCOUNTS_RECEIVABLE_SEQ_GROWTH","FQ3 2017","FQ3 2017","Currency=INR","Period=FQ","BEST_FPERIOD_OVERRIDE=FQ","FILING_STATUS=OR","EQY_CONSOLIDATED=Y","Sort=A","Dates=H","DateFormat=P","Fill=—","Direction=H","UseDPDF=Y")</f>
        <v>#NAME?</v>
      </c>
      <c r="BM96" s="2" t="e">
        <f ca="1">_xll.BDH($C$78,"INVENTORY_SEQUENTIAL_GROWTH","FQ3 2017","FQ3 2017","Currency=INR","Period=FQ","BEST_FPERIOD_OVERRIDE=FQ","FILING_STATUS=OR","EQY_CONSOLIDATED=Y","Sort=A","Dates=H","DateFormat=P","Fill=—","Direction=H","UseDPDF=Y")</f>
        <v>#NAME?</v>
      </c>
      <c r="BN96" s="2" t="e">
        <f ca="1">_xll.BDH($C$78,"FIXED_ASSETS_SEQUENTIAL_GROWTH","FQ3 2017","FQ3 2017","Currency=INR","Period=FQ","BEST_FPERIOD_OVERRIDE=FQ","FILING_STATUS=OR","EQY_CONSOLIDATED=Y","Sort=A","Dates=H","DateFormat=P","Fill=—","Direction=H","UseDPDF=Y")</f>
        <v>#NAME?</v>
      </c>
      <c r="BO96" s="2" t="e">
        <f ca="1">_xll.BDH($C$78,"TOTAL_ASSETS_SEQUENTIAL_GROWTH","FQ3 2017","FQ3 2017","Currency=INR","Period=FQ","BEST_FPERIOD_OVERRIDE=FQ","FILING_STATUS=OR","EQY_CONSOLIDATED=Y","Sort=A","Dates=H","DateFormat=P","Fill=—","Direction=H","UseDPDF=Y")</f>
        <v>#NAME?</v>
      </c>
      <c r="BP96" s="2" t="e">
        <f ca="1">_xll.BDH($C$78,"MODIFIED_WORKING_CPTL_SEQ_GRWTH","FQ3 2017","FQ3 2017","Currency=INR","Period=FQ","BEST_FPERIOD_OVERRIDE=FQ","FILING_STATUS=OR","EQY_CONSOLIDATED=Y","Sort=A","Dates=H","DateFormat=P","Fill=—","Direction=H","UseDPDF=Y")</f>
        <v>#NAME?</v>
      </c>
      <c r="BQ96" s="2" t="e">
        <f ca="1">_xll.BDH($C$78,"WORKING_CAPITAL_SEQ_GROWTH","FQ3 2017","FQ3 2017","Currency=INR","Period=FQ","BEST_FPERIOD_OVERRIDE=FQ","FILING_STATUS=OR","EQY_CONSOLIDATED=Y","Sort=A","Dates=H","DateFormat=P","Fill=—","Direction=H","UseDPDF=Y")</f>
        <v>#NAME?</v>
      </c>
      <c r="BR96" s="2" t="e">
        <f ca="1">_xll.BDH($C$78,"ACCOUNTS_PAYABLE_SEQ_GROWTH","FQ3 2017","FQ3 2017","Currency=INR","Period=FQ","BEST_FPERIOD_OVERRIDE=FQ","FILING_STATUS=OR","EQY_CONSOLIDATED=Y","Sort=A","Dates=H","DateFormat=P","Fill=—","Direction=H","UseDPDF=Y")</f>
        <v>#NAME?</v>
      </c>
      <c r="BS96" s="2" t="e">
        <f ca="1">_xll.BDH($C$78,"ST_DEBT_SEQUENTIAL_GROWTH","FQ3 2017","FQ3 2017","Currency=INR","Period=FQ","BEST_FPERIOD_OVERRIDE=FQ","FILING_STATUS=OR","EQY_CONSOLIDATED=Y","Sort=A","Dates=H","DateFormat=P","Fill=—","Direction=H","UseDPDF=Y")</f>
        <v>#NAME?</v>
      </c>
      <c r="BT96" s="2" t="e">
        <f ca="1">_xll.BDH($C$78,"TOTAL_DEBT_SEQUENTIAL_GROWTH","FQ3 2017","FQ3 2017","Currency=INR","Period=FQ","BEST_FPERIOD_OVERRIDE=FQ","FILING_STATUS=OR","EQY_CONSOLIDATED=Y","Sort=A","Dates=H","DateFormat=P","Fill=—","Direction=H","UseDPDF=Y")</f>
        <v>#NAME?</v>
      </c>
      <c r="BU96" s="2" t="e">
        <f ca="1">_xll.BDH($C$78,"TOTAL_EQUITY_SEQUENTIAL_GROWTH","FQ3 2017","FQ3 2017","Currency=INR","Period=FQ","BEST_FPERIOD_OVERRIDE=FQ","FILING_STATUS=OR","EQY_CONSOLIDATED=Y","Sort=A","Dates=H","DateFormat=P","Fill=—","Direction=H","UseDPDF=Y")</f>
        <v>#NAME?</v>
      </c>
      <c r="BV96" s="2" t="e">
        <f ca="1">_xll.BDH($C$78,"TOTAL_CAPITAL_SEQUENTIAL_GROWTH","FQ3 2017","FQ3 2017","Currency=INR","Period=FQ","BEST_FPERIOD_OVERRIDE=FQ","FILING_STATUS=OR","EQY_CONSOLIDATED=Y","Sort=A","Dates=H","DateFormat=P","Fill=—","Direction=H","UseDPDF=Y")</f>
        <v>#NAME?</v>
      </c>
      <c r="BW96" s="2" t="e">
        <f ca="1">_xll.BDH($C$78,"BPS_SEQUENTIAL_GROWTH","FQ3 2017","FQ3 2017","Currency=INR","Period=FQ","BEST_FPERIOD_OVERRIDE=FQ","FILING_STATUS=OR","EQY_CONSOLIDATED=Y","Sort=A","Dates=H","DateFormat=P","Fill=—","Direction=H","UseDPDF=Y")</f>
        <v>#NAME?</v>
      </c>
      <c r="BX96" s="2" t="e">
        <f ca="1">_xll.BDH($C$78,"CFO_SEQUENTIAL_GROWTH","FQ3 2017","FQ3 2017","Currency=INR","Period=FQ","BEST_FPERIOD_OVERRIDE=FQ","FILING_STATUS=OR","EQY_CONSOLIDATED=Y","Sort=A","Dates=H","DateFormat=P","Fill=—","Direction=H","UseDPDF=Y")</f>
        <v>#NAME?</v>
      </c>
      <c r="BY96" s="3" t="e">
        <f ca="1">_xll.BDH($C$78,"SHORT_AND_LONG_TERM_DEBT","FQ3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96" s="3" t="e">
        <f ca="1">_xll.BDH($C$78,"BS_ST_BORROW","FQ3 2017","FQ3 2017","Currency=INR","Period=FQ","BEST_FPERIOD_OVERRIDE=FQ","FILING_STATUS=OR","EQY_CONSOLIDATED=Y","SCALING_FORMAT=MLN","Sort=A","Dates=H","DateFormat=P","Fill=—","Direction=H","UseDPDF=Y")</f>
        <v>#NAME?</v>
      </c>
      <c r="CA96" s="3" t="e">
        <f ca="1">_xll.BDH($C$78,"BS_LT_BORROW","FQ3 2017","FQ3 2017","Currency=INR","Period=FQ","BEST_FPERIOD_OVERRIDE=FQ","FILING_STATUS=OR","EQY_CONSOLIDATED=Y","SCALING_FORMAT=MLN","Sort=A","Dates=H","DateFormat=P","Fill=—","Direction=H","UseDPDF=Y")</f>
        <v>#NAME?</v>
      </c>
      <c r="CB96" s="2" t="e">
        <f ca="1">_xll.BDH($C$78,"TOT_DEBT_TO_EBITDA","FQ3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96" s="2" t="e">
        <f ca="1">_xll.BDH($C$78,"NET_DEBT_TO_EBITDA","FQ3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96" s="2" t="e">
        <f ca="1">_xll.BDH($C$78,"TOTAL_DEBT_TO_EBIT","FQ3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96" s="2" t="e">
        <f ca="1">_xll.BDH($C$78,"NET_DEBT_TO_EBIT","FQ3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96" s="2" t="e">
        <f ca="1">_xll.BDH($C$78,"EBITDA_TO_INTEREST_EXPN","FQ3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96" s="2" t="e">
        <f ca="1">_xll.BDH($C$78,"COM_EQY_TO_TOT_ASSET","FQ3 2017","FQ3 2017","Currency=INR","Period=FQ","BEST_FPERIOD_OVERRIDE=FQ","FILING_STATUS=OR","EQY_CONSOLIDATED=Y","Sort=A","Dates=H","DateFormat=P","Fill=—","Direction=H","UseDPDF=Y")</f>
        <v>#NAME?</v>
      </c>
      <c r="CH96" s="2" t="e">
        <f ca="1">_xll.BDH($C$78,"LT_DEBT_TO_TOT_EQY","FQ3 2017","FQ3 2017","Currency=INR","Period=FQ","BEST_FPERIOD_OVERRIDE=FQ","FILING_STATUS=OR","EQY_CONSOLIDATED=Y","Sort=A","Dates=H","DateFormat=P","Fill=—","Direction=H","UseDPDF=Y")</f>
        <v>#NAME?</v>
      </c>
      <c r="CI96" s="2" t="e">
        <f ca="1">_xll.BDH($C$78,"LT_DEBT_TO_TOT_CAP","FQ3 2017","FQ3 2017","Currency=INR","Period=FQ","BEST_FPERIOD_OVERRIDE=FQ","FILING_STATUS=OR","EQY_CONSOLIDATED=Y","Sort=A","Dates=H","DateFormat=P","Fill=—","Direction=H","UseDPDF=Y")</f>
        <v>#NAME?</v>
      </c>
      <c r="CJ96" s="2" t="e">
        <f ca="1">_xll.BDH($C$78,"LT_DEBT_TO_TOT_ASSET","FQ3 2017","FQ3 2017","Currency=INR","Period=FQ","BEST_FPERIOD_OVERRIDE=FQ","FILING_STATUS=OR","EQY_CONSOLIDATED=Y","Sort=A","Dates=H","DateFormat=P","Fill=—","Direction=H","UseDPDF=Y")</f>
        <v>#NAME?</v>
      </c>
      <c r="CK96" s="2" t="e">
        <f ca="1">_xll.BDH($C$78,"TOT_DEBT_TO_TOT_EQY","FQ3 2017","FQ3 2017","Currency=INR","Period=FQ","BEST_FPERIOD_OVERRIDE=FQ","FILING_STATUS=OR","EQY_CONSOLIDATED=Y","Sort=A","Dates=H","DateFormat=P","Fill=—","Direction=H","UseDPDF=Y")</f>
        <v>#NAME?</v>
      </c>
      <c r="CL96" s="2" t="e">
        <f ca="1">_xll.BDH($C$78,"TOT_DEBT_TO_TOT_CAP","FQ3 2017","FQ3 2017","Currency=INR","Period=FQ","BEST_FPERIOD_OVERRIDE=FQ","FILING_STATUS=OR","EQY_CONSOLIDATED=Y","Sort=A","Dates=H","DateFormat=P","Fill=—","Direction=H","UseDPDF=Y")</f>
        <v>#NAME?</v>
      </c>
      <c r="CM96" s="2" t="e">
        <f ca="1">_xll.BDH($C$78,"TOT_DEBT_TO_TOT_ASSET","FQ3 2017","FQ3 2017","Currency=INR","Period=FQ","BEST_FPERIOD_OVERRIDE=FQ","FILING_STATUS=OR","EQY_CONSOLIDATED=Y","Sort=A","Dates=H","DateFormat=P","Fill=—","Direction=H","UseDPDF=Y")</f>
        <v>#NAME?</v>
      </c>
      <c r="CN96" s="2" t="e">
        <f ca="1">_xll.BDH($C$78,"NET_DEBT_TO_SHRHLDR_EQTY","FQ3 2017","FQ3 2017","Currency=INR","Period=FQ","BEST_FPERIOD_OVERRIDE=FQ","FILING_STATUS=OR","EQY_CONSOLIDATED=Y","Sort=A","Dates=H","DateFormat=P","Fill=—","Direction=H","UseDPDF=Y")</f>
        <v>#NAME?</v>
      </c>
      <c r="CO96" s="2" t="e">
        <f ca="1">_xll.BDH($C$78,"NET_DEBT_%_CAPITAL","FQ3 2017","FQ3 2017","Currency=INR","Period=FQ","BEST_FPERIOD_OVERRIDE=FQ","FILING_STATUS=OR","EQY_CONSOLIDATED=Y","Sort=A","Dates=H","DateFormat=P","Fill=—","Direction=H","UseDPDF=Y")</f>
        <v>#NAME?</v>
      </c>
      <c r="CP96" s="3" t="e">
        <f ca="1">_xll.BDH($C$78,"EBITDA","FQ3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96" s="3" t="e">
        <f ca="1">_xll.BDH($C$78,"EBITDA_AFTER_CAPEX","FQ3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96" s="3" t="e">
        <f ca="1">_xll.BDH($C$78,"IS_OPER_INC","FQ3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96" s="2" t="e">
        <f ca="1">_xll.BDH($C$78,"CASH_RATIO","FQ3 2017","FQ3 2017","Currency=INR","Period=FQ","BEST_FPERIOD_OVERRIDE=FQ","FILING_STATUS=OR","EQY_CONSOLIDATED=Y","Sort=A","Dates=H","DateFormat=P","Fill=—","Direction=H","UseDPDF=Y")</f>
        <v>#NAME?</v>
      </c>
      <c r="CT96" s="2" t="e">
        <f ca="1">_xll.BDH($C$78,"CUR_RATIO","FQ3 2017","FQ3 2017","Currency=INR","Period=FQ","BEST_FPERIOD_OVERRIDE=FQ","FILING_STATUS=OR","EQY_CONSOLIDATED=Y","Sort=A","Dates=H","DateFormat=P","Fill=—","Direction=H","UseDPDF=Y")</f>
        <v>#NAME?</v>
      </c>
      <c r="CU96" s="2" t="e">
        <f ca="1">_xll.BDH($C$78,"QUICK_RATIO","FQ3 2017","FQ3 2017","Currency=INR","Period=FQ","BEST_FPERIOD_OVERRIDE=FQ","FILING_STATUS=OR","EQY_CONSOLIDATED=Y","Sort=A","Dates=H","DateFormat=P","Fill=—","Direction=H","UseDPDF=Y")</f>
        <v>#NAME?</v>
      </c>
      <c r="CV96" s="2" t="e">
        <f ca="1">_xll.BDH($C$78,"ALTMAN_Z_SCORE","FQ3 2017","FQ3 2017","Currency=INR","Period=FQ","BEST_FPERIOD_OVERRIDE=FQ","FILING_STATUS=OR","EQY_CONSOLIDATED=Y","Sort=A","Dates=H","DateFormat=P","Fill=—","Direction=H","UseDPDF=Y")</f>
        <v>#NAME?</v>
      </c>
      <c r="CW96" s="4" t="e">
        <f ca="1">_xll.BDH($C$78,"ACCT_RCV_TURN","FQ3 2017","FQ3 2017","Currency=INR","Period=FQ","BEST_FPERIOD_OVERRIDE=FQ","FILING_STATUS=OR","EQY_CONSOLIDATED=Y","FA_ADJUSTED=GAAP","Sort=A","Dates=H","DateFormat=P","Fill=—","Direction=H","UseDPDF=Y")</f>
        <v>#NAME?</v>
      </c>
      <c r="CX96" s="2" t="e">
        <f ca="1">_xll.BDH($C$78,"ACCT_RCV_DAYS","FQ3 2017","FQ3 2017","Currency=INR","Period=FQ","BEST_FPERIOD_OVERRIDE=FQ","FILING_STATUS=OR","EQY_CONSOLIDATED=Y","FA_ADJUSTED=GAAP","Sort=A","Dates=H","DateFormat=P","Fill=—","Direction=H","UseDPDF=Y")</f>
        <v>#NAME?</v>
      </c>
      <c r="CY96" s="4" t="e">
        <f ca="1">_xll.BDH($C$78,"INVENT_TURN","FQ3 2017","FQ3 2017","Currency=INR","Period=FQ","BEST_FPERIOD_OVERRIDE=FQ","FILING_STATUS=OR","EQY_CONSOLIDATED=Y","FA_ADJUSTED=GAAP","Sort=A","Dates=H","DateFormat=P","Fill=—","Direction=H","UseDPDF=Y")</f>
        <v>#NAME?</v>
      </c>
      <c r="CZ96" s="2" t="e">
        <f ca="1">_xll.BDH($C$78,"INVENT_DAYS","FQ3 2017","FQ3 2017","Currency=INR","Period=FQ","BEST_FPERIOD_OVERRIDE=FQ","FILING_STATUS=OR","EQY_CONSOLIDATED=Y","FA_ADJUSTED=GAAP","Sort=A","Dates=H","DateFormat=P","Fill=—","Direction=H","UseDPDF=Y")</f>
        <v>#NAME?</v>
      </c>
      <c r="DA96" s="4" t="e">
        <f ca="1">_xll.BDH($C$78,"ACCOUNTS_PAYABLE_TURNOVER","FQ3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96" s="2" t="e">
        <f ca="1">_xll.BDH($C$78,"ACCOUNTS_PAYABLE_TURNOVER_DAYS","FQ3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96" s="4" t="e">
        <f ca="1">_xll.BDH($C$78,"CASH_CONVERSION_CYCLE","FQ3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96" s="4" t="e">
        <f ca="1">_xll.BDH($C$78,"INV_TO_CASH_DAYS","FQ3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96" s="5" t="e">
        <f ca="1">_xll.BDH($C$78,"BS_INVENTORIES","FQ3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96" s="3" t="e">
        <f ca="1">_xll.BDH($C$78,"INVTRY_RAW_MATERIALS","FQ3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96" s="3" t="e">
        <f ca="1">_xll.BDH($C$78,"INVTRY_IN_PROGRESS","FQ3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96" s="3" t="e">
        <f ca="1">_xll.BDH($C$78,"INVTRY_FINISHED_GOODS","FQ3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96" s="3" t="e">
        <f ca="1">_xll.BDH($C$78,"BS_OTHER_INV","FQ3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97" spans="1:113" x14ac:dyDescent="0.3">
      <c r="A97" s="6"/>
      <c r="B97" s="6"/>
      <c r="C97" s="6"/>
      <c r="D97" s="6"/>
      <c r="E97" t="s">
        <v>81</v>
      </c>
      <c r="F97" t="e">
        <f ca="1">_xll.BDH($C$78,"RETURN_COM_EQY","FQ4 2017","FQ4 2017","Currency=INR","Period=FQ","BEST_FPERIOD_OVERRIDE=FQ","FILING_STATUS=OR","EQY_CONSOLIDATED=Y","FA_ADJUSTED=GAAP","Sort=A","Dates=H","DateFormat=P","Fill=—","Direction=H","UseDPDF=Y")</f>
        <v>#NAME?</v>
      </c>
      <c r="G97" t="e">
        <f ca="1">_xll.BDH($C$78,"RETURN_ON_ASSET","FQ4 2017","FQ4 2017","Currency=INR","Period=FQ","BEST_FPERIOD_OVERRIDE=FQ","FILING_STATUS=OR","EQY_CONSOLIDATED=Y","FA_ADJUSTED=GAAP","Sort=A","Dates=H","DateFormat=P","Fill=—","Direction=H","UseDPDF=Y")</f>
        <v>#NAME?</v>
      </c>
      <c r="H97" t="e">
        <f ca="1">_xll.BDH($C$78,"RETURN_ON_CAP","FQ4 2017","FQ4 2017","Currency=INR","Period=FQ","BEST_FPERIOD_OVERRIDE=FQ","FILING_STATUS=OR","EQY_CONSOLIDATED=Y","FA_ADJUSTED=GAAP","Sort=A","Dates=H","DateFormat=P","Fill=—","Direction=H","UseDPDF=Y")</f>
        <v>#NAME?</v>
      </c>
      <c r="I97" t="e">
        <f ca="1">_xll.BDH($C$78,"RETURN_ON_INV_CAPITAL","FQ4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97" t="e">
        <f ca="1">_xll.BDH($C$78,"EBITDA_TO_REVENUE","FQ4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97" t="e">
        <f ca="1">_xll.BDH($C$78,"OPER_MARGIN","FQ4 2017","FQ4 2017","Currency=INR","Period=FQ","BEST_FPERIOD_OVERRIDE=FQ","FILING_STATUS=OR","EQY_CONSOLIDATED=Y","FA_ADJUSTED=GAAP","Sort=A","Dates=H","DateFormat=P","Fill=—","Direction=H","UseDPDF=Y")</f>
        <v>#NAME?</v>
      </c>
      <c r="L97" t="e">
        <f ca="1">_xll.BDH($C$78,"INCREMENTAL_OPERATING_MARGIN","FQ4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97" t="e">
        <f ca="1">_xll.BDH($C$78,"PRETAX_INC_TO_NET_SALES","FQ4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97" t="e">
        <f ca="1">_xll.BDH($C$78,"INC_BEF_XO_ITEMS_TO_NET_SALES","FQ4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97" t="e">
        <f ca="1">_xll.BDH($C$78,"PROF_MARGIN","FQ4 2017","FQ4 2017","Currency=INR","Period=FQ","BEST_FPERIOD_OVERRIDE=FQ","FILING_STATUS=OR","EQY_CONSOLIDATED=Y","FA_ADJUSTED=GAAP","Sort=A","Dates=H","DateFormat=P","Fill=—","Direction=H","UseDPDF=Y")</f>
        <v>#NAME?</v>
      </c>
      <c r="P97" t="e">
        <f ca="1">_xll.BDH($C$78,"NET_INCOME_TO_COMMON_MARGIN","FQ4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97" t="e">
        <f ca="1">_xll.BDH($C$78,"EFF_TAX_RATE","FQ4 2017","FQ4 2017","Currency=INR","Period=FQ","BEST_FPERIOD_OVERRIDE=FQ","FILING_STATUS=OR","EQY_CONSOLIDATED=Y","FA_ADJUSTED=GAAP","Sort=A","Dates=H","DateFormat=P","Fill=—","Direction=H","UseDPDF=Y")</f>
        <v>#NAME?</v>
      </c>
      <c r="R97" t="e">
        <f ca="1">_xll.BDH($C$78,"DVD_PAYOUT_RATIO","FQ4 2017","FQ4 2017","Currency=INR","Period=FQ","BEST_FPERIOD_OVERRIDE=FQ","FILING_STATUS=OR","EQY_CONSOLIDATED=Y","FA_ADJUSTED=GAAP","Sort=A","Dates=H","DateFormat=P","Fill=—","Direction=H","UseDPDF=Y")</f>
        <v>#NAME?</v>
      </c>
      <c r="S97" t="e">
        <f ca="1">_xll.BDH($C$78,"SUSTAIN_GROWTH_RT","FQ4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97" s="2" t="e">
        <f ca="1">_xll.BDH($C$78,"SALES_GROWTH","FQ4 2017","FQ4 2017","Currency=INR","Period=FQ","BEST_FPERIOD_OVERRIDE=FQ","FILING_STATUS=OR","EQY_CONSOLIDATED=Y","FA_ADJUSTED=GAAP","Sort=A","Dates=H","DateFormat=P","Fill=—","Direction=H","UseDPDF=Y")</f>
        <v>#NAME?</v>
      </c>
      <c r="U97" s="2" t="e">
        <f ca="1">_xll.BDH($C$78,"EBITDA_GROWTH","FQ4 2017","FQ4 2017","Currency=INR","Period=FQ","BEST_FPERIOD_OVERRIDE=FQ","FILING_STATUS=OR","EQY_CONSOLIDATED=Y","FA_ADJUSTED=GAAP","Sort=A","Dates=H","DateFormat=P","Fill=—","Direction=H","UseDPDF=Y")</f>
        <v>#NAME?</v>
      </c>
      <c r="V97" s="2" t="e">
        <f ca="1">_xll.BDH($C$78,"OPER_INC_GROWTH","FQ4 2017","FQ4 2017","Currency=INR","Period=FQ","BEST_FPERIOD_OVERRIDE=FQ","FILING_STATUS=OR","EQY_CONSOLIDATED=Y","FA_ADJUSTED=GAAP","Sort=A","Dates=H","DateFormat=P","Fill=—","Direction=H","UseDPDF=Y")</f>
        <v>#NAME?</v>
      </c>
      <c r="W97" s="2" t="e">
        <f ca="1">_xll.BDH($C$78,"EARN_FOR_COM_GROWTH","FQ4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97" s="2" t="e">
        <f ca="1">_xll.BDH($C$78,"DILUTED_EPS_AFT_XO_ITEMS_GROWTH","FQ4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97" s="2" t="e">
        <f ca="1">_xll.BDH($C$78,"DIVIDEND_PER_SHARE_1_YEAR_GROWTH","FQ4 2017","FQ4 2017","Currency=INR","Period=FQ","BEST_FPERIOD_OVERRIDE=FQ","FILING_STATUS=OR","EQY_CONSOLIDATED=Y","Sort=A","Dates=H","DateFormat=P","Fill=—","Direction=H","UseDPDF=Y")</f>
        <v>#NAME?</v>
      </c>
      <c r="Z97" s="2" t="e">
        <f ca="1">_xll.BDH($C$78,"ACCOUNTS_RECEIVABLE_GROWTH","FQ4 2017","FQ4 2017","Currency=INR","Period=FQ","BEST_FPERIOD_OVERRIDE=FQ","FILING_STATUS=OR","EQY_CONSOLIDATED=Y","Sort=A","Dates=H","DateFormat=P","Fill=—","Direction=H","UseDPDF=Y")</f>
        <v>#NAME?</v>
      </c>
      <c r="AA97" s="2" t="e">
        <f ca="1">_xll.BDH($C$78,"INVENTORY_GROWTH","FQ4 2017","FQ4 2017","Currency=INR","Period=FQ","BEST_FPERIOD_OVERRIDE=FQ","FILING_STATUS=OR","EQY_CONSOLIDATED=Y","Sort=A","Dates=H","DateFormat=P","Fill=—","Direction=H","UseDPDF=Y")</f>
        <v>#NAME?</v>
      </c>
      <c r="AB97" s="2" t="e">
        <f ca="1">_xll.BDH($C$78,"NET_FIXED_ASSETS_1_YEAR_GROWTH","FQ4 2017","FQ4 2017","Currency=INR","Period=FQ","BEST_FPERIOD_OVERRIDE=FQ","FILING_STATUS=OR","EQY_CONSOLIDATED=Y","Sort=A","Dates=H","DateFormat=P","Fill=—","Direction=H","UseDPDF=Y")</f>
        <v>#NAME?</v>
      </c>
      <c r="AC97" s="2" t="e">
        <f ca="1">_xll.BDH($C$78,"ASSET_GROWTH","FQ4 2017","FQ4 2017","Currency=INR","Period=FQ","BEST_FPERIOD_OVERRIDE=FQ","FILING_STATUS=OR","EQY_CONSOLIDATED=Y","Sort=A","Dates=H","DateFormat=P","Fill=—","Direction=H","UseDPDF=Y")</f>
        <v>#NAME?</v>
      </c>
      <c r="AD97" s="2" t="e">
        <f ca="1">_xll.BDH($C$78,"MODIFIED_WORK_CAP_GROWTH","FQ4 2017","FQ4 2017","Currency=INR","Period=FQ","BEST_FPERIOD_OVERRIDE=FQ","FILING_STATUS=OR","EQY_CONSOLIDATED=Y","Sort=A","Dates=H","DateFormat=P","Fill=—","Direction=H","UseDPDF=Y")</f>
        <v>#NAME?</v>
      </c>
      <c r="AE97" s="2" t="e">
        <f ca="1">_xll.BDH($C$78,"WORK_CAP_GROWTH","FQ4 2017","FQ4 2017","Currency=INR","Period=FQ","BEST_FPERIOD_OVERRIDE=FQ","FILING_STATUS=OR","EQY_CONSOLIDATED=Y","Sort=A","Dates=H","DateFormat=P","Fill=—","Direction=H","UseDPDF=Y")</f>
        <v>#NAME?</v>
      </c>
      <c r="AF97" s="2" t="e">
        <f ca="1">_xll.BDH($C$78,"ACCOUNTS_PAYABLE_GROWTH_1YR","FQ4 2017","FQ4 2017","Currency=INR","Period=FQ","BEST_FPERIOD_OVERRIDE=FQ","FILING_STATUS=OR","EQY_CONSOLIDATED=Y","Sort=A","Dates=H","DateFormat=P","Fill=—","Direction=H","UseDPDF=Y")</f>
        <v>#NAME?</v>
      </c>
      <c r="AG97" s="2" t="e">
        <f ca="1">_xll.BDH($C$78,"SHORT_TERM_DEBT_1_YEAR_GROWTH","FQ4 2017","FQ4 2017","Currency=INR","Period=FQ","BEST_FPERIOD_OVERRIDE=FQ","FILING_STATUS=OR","EQY_CONSOLIDATED=Y","Sort=A","Dates=H","DateFormat=P","Fill=—","Direction=H","UseDPDF=Y")</f>
        <v>#NAME?</v>
      </c>
      <c r="AH97" s="2" t="e">
        <f ca="1">_xll.BDH($C$78,"TOTAL_DEBT_1_YEAR_GROWTH","FQ4 2017","FQ4 2017","Currency=INR","Period=FQ","BEST_FPERIOD_OVERRIDE=FQ","FILING_STATUS=OR","EQY_CONSOLIDATED=Y","Sort=A","Dates=H","DateFormat=P","Fill=—","Direction=H","UseDPDF=Y")</f>
        <v>#NAME?</v>
      </c>
      <c r="AI97" s="2" t="e">
        <f ca="1">_xll.BDH($C$78,"TOTAL_EQUITY_1_YEAR_GROWTH","FQ4 2017","FQ4 2017","Currency=INR","Period=FQ","BEST_FPERIOD_OVERRIDE=FQ","FILING_STATUS=OR","EQY_CONSOLIDATED=Y","Sort=A","Dates=H","DateFormat=P","Fill=—","Direction=H","UseDPDF=Y")</f>
        <v>#NAME?</v>
      </c>
      <c r="AJ97" s="2" t="e">
        <f ca="1">_xll.BDH($C$78,"GROWTH_IN_CAP","FQ4 2017","FQ4 2017","Currency=INR","Period=FQ","BEST_FPERIOD_OVERRIDE=FQ","FILING_STATUS=OR","EQY_CONSOLIDATED=Y","Sort=A","Dates=H","DateFormat=P","Fill=—","Direction=H","UseDPDF=Y")</f>
        <v>#NAME?</v>
      </c>
      <c r="AK97" s="2" t="e">
        <f ca="1">_xll.BDH($C$78,"BVPS_GROWTH","FQ4 2017","FQ4 2017","Currency=INR","Period=FQ","BEST_FPERIOD_OVERRIDE=FQ","FILING_STATUS=OR","EQY_CONSOLIDATED=Y","Sort=A","Dates=H","DateFormat=P","Fill=—","Direction=H","UseDPDF=Y")</f>
        <v>#NAME?</v>
      </c>
      <c r="AL97" s="2" t="e">
        <f ca="1">_xll.BDH($C$78,"CASH_FLOW_GROWTH","FQ4 2017","FQ4 2017","Currency=INR","Period=FQ","BEST_FPERIOD_OVERRIDE=FQ","FILING_STATUS=OR","EQY_CONSOLIDATED=Y","Sort=A","Dates=H","DateFormat=P","Fill=—","Direction=H","UseDPDF=Y")</f>
        <v>#NAME?</v>
      </c>
      <c r="AM97" s="2" t="e">
        <f ca="1">_xll.BDH($C$78,"GEO_GROW_NET_SALES","FQ4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97" s="2" t="e">
        <f ca="1">_xll.BDH($C$78,"GEO_GROW_EBITDA","FQ4 2017","FQ4 2017","Currency=INR","Period=FQ","BEST_FPERIOD_OVERRIDE=FQ","FILING_STATUS=OR","EQY_CONSOLIDATED=Y","FA_ADJUSTED=GAAP","Sort=A","Dates=H","DateFormat=P","Fill=—","Direction=H","UseDPDF=Y")</f>
        <v>#NAME?</v>
      </c>
      <c r="AO97" s="2" t="e">
        <f ca="1">_xll.BDH($C$78,"GEO_GROW_OPER_INC","FQ4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97" s="2" t="e">
        <f ca="1">_xll.BDH($C$78,"NET_INCOME_TO_COMMON_5_YR_GROWTH","FQ4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97" s="2" t="e">
        <f ca="1">_xll.BDH($C$78,"5Y_GEO_GROWTH_DILUTED_EPS","FQ4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97" s="2" t="e">
        <f ca="1">_xll.BDH($C$78,"GEO_GROW_DVD_PER_SH","FQ4 2017","FQ4 2017","Currency=INR","Period=FQ","BEST_FPERIOD_OVERRIDE=FQ","FILING_STATUS=OR","EQY_CONSOLIDATED=Y","Sort=A","Dates=H","DateFormat=P","Fill=—","Direction=H","UseDPDF=Y")</f>
        <v>#NAME?</v>
      </c>
      <c r="AS97" s="2" t="e">
        <f ca="1">_xll.BDH($C$78,"ACCOUNTS_RECEIVABLE_5_YR_GROWTH","FQ4 2017","FQ4 2017","Currency=INR","Period=FQ","BEST_FPERIOD_OVERRIDE=FQ","FILING_STATUS=OR","EQY_CONSOLIDATED=Y","Sort=A","Dates=H","DateFormat=P","Fill=—","Direction=H","UseDPDF=Y")</f>
        <v>#NAME?</v>
      </c>
      <c r="AT97" s="2" t="e">
        <f ca="1">_xll.BDH($C$78,"INVENTORY_5_YEAR_GROWTH","FQ4 2017","FQ4 2017","Currency=INR","Period=FQ","BEST_FPERIOD_OVERRIDE=FQ","FILING_STATUS=OR","EQY_CONSOLIDATED=Y","Sort=A","Dates=H","DateFormat=P","Fill=—","Direction=H","UseDPDF=Y")</f>
        <v>#NAME?</v>
      </c>
      <c r="AU97" s="2" t="e">
        <f ca="1">_xll.BDH($C$78,"NET_FIXED_ASSETS_5_YEAR_GROWTH","FQ4 2017","FQ4 2017","Currency=INR","Period=FQ","BEST_FPERIOD_OVERRIDE=FQ","FILING_STATUS=OR","EQY_CONSOLIDATED=Y","Sort=A","Dates=H","DateFormat=P","Fill=—","Direction=H","UseDPDF=Y")</f>
        <v>#NAME?</v>
      </c>
      <c r="AV97" s="2" t="e">
        <f ca="1">_xll.BDH($C$78,"GEO_GROW_TOT_ASSET","FQ4 2017","FQ4 2017","Currency=INR","Period=FQ","BEST_FPERIOD_OVERRIDE=FQ","FILING_STATUS=OR","EQY_CONSOLIDATED=Y","Sort=A","Dates=H","DateFormat=P","Fill=—","Direction=H","UseDPDF=Y")</f>
        <v>#NAME?</v>
      </c>
      <c r="AW97" s="2" t="e">
        <f ca="1">_xll.BDH($C$78,"MODIFIED_WORKING_CPTL_5YR_GRWTH","FQ4 2017","FQ4 2017","Currency=INR","Period=FQ","BEST_FPERIOD_OVERRIDE=FQ","FILING_STATUS=OR","EQY_CONSOLIDATED=Y","Sort=A","Dates=H","DateFormat=P","Fill=—","Direction=H","UseDPDF=Y")</f>
        <v>#NAME?</v>
      </c>
      <c r="AX97" s="2" t="e">
        <f ca="1">_xll.BDH($C$78,"WORKING_CAPITAL_5_YEAR_GROWTH","FQ4 2017","FQ4 2017","Currency=INR","Period=FQ","BEST_FPERIOD_OVERRIDE=FQ","FILING_STATUS=OR","EQY_CONSOLIDATED=Y","Sort=A","Dates=H","DateFormat=P","Fill=—","Direction=H","UseDPDF=Y")</f>
        <v>#NAME?</v>
      </c>
      <c r="AY97" s="2" t="e">
        <f ca="1">_xll.BDH($C$78,"ACCOUNTS_PAYABLE_5_YEAR_GROWTH","FQ4 2017","FQ4 2017","Currency=INR","Period=FQ","BEST_FPERIOD_OVERRIDE=FQ","FILING_STATUS=OR","EQY_CONSOLIDATED=Y","Sort=A","Dates=H","DateFormat=P","Fill=—","Direction=H","UseDPDF=Y")</f>
        <v>#NAME?</v>
      </c>
      <c r="AZ97" s="2" t="e">
        <f ca="1">_xll.BDH($C$78,"SHORT_TERM_DEBT_5_YEAR_GROWTH","FQ4 2017","FQ4 2017","Currency=INR","Period=FQ","BEST_FPERIOD_OVERRIDE=FQ","FILING_STATUS=OR","EQY_CONSOLIDATED=Y","Sort=A","Dates=H","DateFormat=P","Fill=—","Direction=H","UseDPDF=Y")</f>
        <v>#NAME?</v>
      </c>
      <c r="BA97" s="2" t="e">
        <f ca="1">_xll.BDH($C$78,"TOTAL_DEBT_5_YEAR_GROWTH","FQ4 2017","FQ4 2017","Currency=INR","Period=FQ","BEST_FPERIOD_OVERRIDE=FQ","FILING_STATUS=OR","EQY_CONSOLIDATED=Y","Sort=A","Dates=H","DateFormat=P","Fill=—","Direction=H","UseDPDF=Y")</f>
        <v>#NAME?</v>
      </c>
      <c r="BB97" s="2" t="e">
        <f ca="1">_xll.BDH($C$78,"GEO_GROW_TOT_SHRHLDR_EQY","FQ4 2017","FQ4 2017","Currency=INR","Period=FQ","BEST_FPERIOD_OVERRIDE=FQ","FILING_STATUS=OR","EQY_CONSOLIDATED=Y","Sort=A","Dates=H","DateFormat=P","Fill=—","Direction=H","UseDPDF=Y")</f>
        <v>#NAME?</v>
      </c>
      <c r="BC97" s="2" t="e">
        <f ca="1">_xll.BDH($C$78,"TOTAL_CAPITAL_5_YEAR_GROWTH","FQ4 2017","FQ4 2017","Currency=INR","Period=FQ","BEST_FPERIOD_OVERRIDE=FQ","FILING_STATUS=OR","EQY_CONSOLIDATED=Y","Sort=A","Dates=H","DateFormat=P","Fill=—","Direction=H","UseDPDF=Y")</f>
        <v>#NAME?</v>
      </c>
      <c r="BD97" s="2" t="e">
        <f ca="1">_xll.BDH($C$78,"GEO_GROW_BOOK_VAL","FQ4 2017","FQ4 2017","Currency=INR","Period=FQ","BEST_FPERIOD_OVERRIDE=FQ","FILING_STATUS=OR","EQY_CONSOLIDATED=Y","Sort=A","Dates=H","DateFormat=P","Fill=—","Direction=H","UseDPDF=Y")</f>
        <v>#NAME?</v>
      </c>
      <c r="BE97" s="2" t="e">
        <f ca="1">_xll.BDH($C$78,"GEO_GROW_CASH_OPER_ACT","FQ4 2017","FQ4 2017","Currency=INR","Period=FQ","BEST_FPERIOD_OVERRIDE=FQ","FILING_STATUS=OR","EQY_CONSOLIDATED=Y","Sort=A","Dates=H","DateFormat=P","Fill=—","Direction=H","UseDPDF=Y")</f>
        <v>#NAME?</v>
      </c>
      <c r="BF97" s="2" t="e">
        <f ca="1">_xll.BDH($C$78,"REVENUE_SEQUENTIAL_GROWTH","FQ4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97" s="2" t="e">
        <f ca="1">_xll.BDH($C$78,"EBITDA_SEQUENTIAL_GROWTH","FQ4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97" s="2" t="e">
        <f ca="1">_xll.BDH($C$78,"OPERATING_INCOME_SEQ_GROWTH","FQ4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97" s="2" t="e">
        <f ca="1">_xll.BDH($C$78,"NET_INCOME_TO_COMMON_SEQ_GROWTH","FQ4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97" s="2" t="e">
        <f ca="1">_xll.BDH($C$78,"EPS_DILUTED_SEQUENTIAL_GROWTH","FQ4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97" s="2" t="e">
        <f ca="1">_xll.BDH($C$78,"DPS_SEQUENTIAL_GROWTH","FQ4 2017","FQ4 2017","Currency=INR","Period=FQ","BEST_FPERIOD_OVERRIDE=FQ","FILING_STATUS=OR","EQY_CONSOLIDATED=Y","Sort=A","Dates=H","DateFormat=P","Fill=—","Direction=H","UseDPDF=Y")</f>
        <v>#NAME?</v>
      </c>
      <c r="BL97" s="2" t="e">
        <f ca="1">_xll.BDH($C$78,"ACCOUNTS_RECEIVABLE_SEQ_GROWTH","FQ4 2017","FQ4 2017","Currency=INR","Period=FQ","BEST_FPERIOD_OVERRIDE=FQ","FILING_STATUS=OR","EQY_CONSOLIDATED=Y","Sort=A","Dates=H","DateFormat=P","Fill=—","Direction=H","UseDPDF=Y")</f>
        <v>#NAME?</v>
      </c>
      <c r="BM97" s="2" t="e">
        <f ca="1">_xll.BDH($C$78,"INVENTORY_SEQUENTIAL_GROWTH","FQ4 2017","FQ4 2017","Currency=INR","Period=FQ","BEST_FPERIOD_OVERRIDE=FQ","FILING_STATUS=OR","EQY_CONSOLIDATED=Y","Sort=A","Dates=H","DateFormat=P","Fill=—","Direction=H","UseDPDF=Y")</f>
        <v>#NAME?</v>
      </c>
      <c r="BN97" s="2" t="e">
        <f ca="1">_xll.BDH($C$78,"FIXED_ASSETS_SEQUENTIAL_GROWTH","FQ4 2017","FQ4 2017","Currency=INR","Period=FQ","BEST_FPERIOD_OVERRIDE=FQ","FILING_STATUS=OR","EQY_CONSOLIDATED=Y","Sort=A","Dates=H","DateFormat=P","Fill=—","Direction=H","UseDPDF=Y")</f>
        <v>#NAME?</v>
      </c>
      <c r="BO97" s="2" t="e">
        <f ca="1">_xll.BDH($C$78,"TOTAL_ASSETS_SEQUENTIAL_GROWTH","FQ4 2017","FQ4 2017","Currency=INR","Period=FQ","BEST_FPERIOD_OVERRIDE=FQ","FILING_STATUS=OR","EQY_CONSOLIDATED=Y","Sort=A","Dates=H","DateFormat=P","Fill=—","Direction=H","UseDPDF=Y")</f>
        <v>#NAME?</v>
      </c>
      <c r="BP97" s="2" t="e">
        <f ca="1">_xll.BDH($C$78,"MODIFIED_WORKING_CPTL_SEQ_GRWTH","FQ4 2017","FQ4 2017","Currency=INR","Period=FQ","BEST_FPERIOD_OVERRIDE=FQ","FILING_STATUS=OR","EQY_CONSOLIDATED=Y","Sort=A","Dates=H","DateFormat=P","Fill=—","Direction=H","UseDPDF=Y")</f>
        <v>#NAME?</v>
      </c>
      <c r="BQ97" s="2" t="e">
        <f ca="1">_xll.BDH($C$78,"WORKING_CAPITAL_SEQ_GROWTH","FQ4 2017","FQ4 2017","Currency=INR","Period=FQ","BEST_FPERIOD_OVERRIDE=FQ","FILING_STATUS=OR","EQY_CONSOLIDATED=Y","Sort=A","Dates=H","DateFormat=P","Fill=—","Direction=H","UseDPDF=Y")</f>
        <v>#NAME?</v>
      </c>
      <c r="BR97" s="2" t="e">
        <f ca="1">_xll.BDH($C$78,"ACCOUNTS_PAYABLE_SEQ_GROWTH","FQ4 2017","FQ4 2017","Currency=INR","Period=FQ","BEST_FPERIOD_OVERRIDE=FQ","FILING_STATUS=OR","EQY_CONSOLIDATED=Y","Sort=A","Dates=H","DateFormat=P","Fill=—","Direction=H","UseDPDF=Y")</f>
        <v>#NAME?</v>
      </c>
      <c r="BS97" s="2" t="e">
        <f ca="1">_xll.BDH($C$78,"ST_DEBT_SEQUENTIAL_GROWTH","FQ4 2017","FQ4 2017","Currency=INR","Period=FQ","BEST_FPERIOD_OVERRIDE=FQ","FILING_STATUS=OR","EQY_CONSOLIDATED=Y","Sort=A","Dates=H","DateFormat=P","Fill=—","Direction=H","UseDPDF=Y")</f>
        <v>#NAME?</v>
      </c>
      <c r="BT97" s="2" t="e">
        <f ca="1">_xll.BDH($C$78,"TOTAL_DEBT_SEQUENTIAL_GROWTH","FQ4 2017","FQ4 2017","Currency=INR","Period=FQ","BEST_FPERIOD_OVERRIDE=FQ","FILING_STATUS=OR","EQY_CONSOLIDATED=Y","Sort=A","Dates=H","DateFormat=P","Fill=—","Direction=H","UseDPDF=Y")</f>
        <v>#NAME?</v>
      </c>
      <c r="BU97" s="2" t="e">
        <f ca="1">_xll.BDH($C$78,"TOTAL_EQUITY_SEQUENTIAL_GROWTH","FQ4 2017","FQ4 2017","Currency=INR","Period=FQ","BEST_FPERIOD_OVERRIDE=FQ","FILING_STATUS=OR","EQY_CONSOLIDATED=Y","Sort=A","Dates=H","DateFormat=P","Fill=—","Direction=H","UseDPDF=Y")</f>
        <v>#NAME?</v>
      </c>
      <c r="BV97" s="2" t="e">
        <f ca="1">_xll.BDH($C$78,"TOTAL_CAPITAL_SEQUENTIAL_GROWTH","FQ4 2017","FQ4 2017","Currency=INR","Period=FQ","BEST_FPERIOD_OVERRIDE=FQ","FILING_STATUS=OR","EQY_CONSOLIDATED=Y","Sort=A","Dates=H","DateFormat=P","Fill=—","Direction=H","UseDPDF=Y")</f>
        <v>#NAME?</v>
      </c>
      <c r="BW97" s="2" t="e">
        <f ca="1">_xll.BDH($C$78,"BPS_SEQUENTIAL_GROWTH","FQ4 2017","FQ4 2017","Currency=INR","Period=FQ","BEST_FPERIOD_OVERRIDE=FQ","FILING_STATUS=OR","EQY_CONSOLIDATED=Y","Sort=A","Dates=H","DateFormat=P","Fill=—","Direction=H","UseDPDF=Y")</f>
        <v>#NAME?</v>
      </c>
      <c r="BX97" s="2" t="e">
        <f ca="1">_xll.BDH($C$78,"CFO_SEQUENTIAL_GROWTH","FQ4 2017","FQ4 2017","Currency=INR","Period=FQ","BEST_FPERIOD_OVERRIDE=FQ","FILING_STATUS=OR","EQY_CONSOLIDATED=Y","Sort=A","Dates=H","DateFormat=P","Fill=—","Direction=H","UseDPDF=Y")</f>
        <v>#NAME?</v>
      </c>
      <c r="BY97" s="3" t="e">
        <f ca="1">_xll.BDH($C$78,"SHORT_AND_LONG_TERM_DEBT","FQ4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97" s="3" t="e">
        <f ca="1">_xll.BDH($C$78,"BS_ST_BORROW","FQ4 2017","FQ4 2017","Currency=INR","Period=FQ","BEST_FPERIOD_OVERRIDE=FQ","FILING_STATUS=OR","EQY_CONSOLIDATED=Y","SCALING_FORMAT=MLN","Sort=A","Dates=H","DateFormat=P","Fill=—","Direction=H","UseDPDF=Y")</f>
        <v>#NAME?</v>
      </c>
      <c r="CA97" s="3" t="e">
        <f ca="1">_xll.BDH($C$78,"BS_LT_BORROW","FQ4 2017","FQ4 2017","Currency=INR","Period=FQ","BEST_FPERIOD_OVERRIDE=FQ","FILING_STATUS=OR","EQY_CONSOLIDATED=Y","SCALING_FORMAT=MLN","Sort=A","Dates=H","DateFormat=P","Fill=—","Direction=H","UseDPDF=Y")</f>
        <v>#NAME?</v>
      </c>
      <c r="CB97" s="2" t="e">
        <f ca="1">_xll.BDH($C$78,"TOT_DEBT_TO_EBITDA","FQ4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97" s="2" t="e">
        <f ca="1">_xll.BDH($C$78,"NET_DEBT_TO_EBITDA","FQ4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97" s="2" t="e">
        <f ca="1">_xll.BDH($C$78,"TOTAL_DEBT_TO_EBIT","FQ4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97" s="2" t="e">
        <f ca="1">_xll.BDH($C$78,"NET_DEBT_TO_EBIT","FQ4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97" s="2" t="e">
        <f ca="1">_xll.BDH($C$78,"EBITDA_TO_INTEREST_EXPN","FQ4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97" s="2" t="e">
        <f ca="1">_xll.BDH($C$78,"COM_EQY_TO_TOT_ASSET","FQ4 2017","FQ4 2017","Currency=INR","Period=FQ","BEST_FPERIOD_OVERRIDE=FQ","FILING_STATUS=OR","EQY_CONSOLIDATED=Y","Sort=A","Dates=H","DateFormat=P","Fill=—","Direction=H","UseDPDF=Y")</f>
        <v>#NAME?</v>
      </c>
      <c r="CH97" s="2" t="e">
        <f ca="1">_xll.BDH($C$78,"LT_DEBT_TO_TOT_EQY","FQ4 2017","FQ4 2017","Currency=INR","Period=FQ","BEST_FPERIOD_OVERRIDE=FQ","FILING_STATUS=OR","EQY_CONSOLIDATED=Y","Sort=A","Dates=H","DateFormat=P","Fill=—","Direction=H","UseDPDF=Y")</f>
        <v>#NAME?</v>
      </c>
      <c r="CI97" s="2" t="e">
        <f ca="1">_xll.BDH($C$78,"LT_DEBT_TO_TOT_CAP","FQ4 2017","FQ4 2017","Currency=INR","Period=FQ","BEST_FPERIOD_OVERRIDE=FQ","FILING_STATUS=OR","EQY_CONSOLIDATED=Y","Sort=A","Dates=H","DateFormat=P","Fill=—","Direction=H","UseDPDF=Y")</f>
        <v>#NAME?</v>
      </c>
      <c r="CJ97" s="2" t="e">
        <f ca="1">_xll.BDH($C$78,"LT_DEBT_TO_TOT_ASSET","FQ4 2017","FQ4 2017","Currency=INR","Period=FQ","BEST_FPERIOD_OVERRIDE=FQ","FILING_STATUS=OR","EQY_CONSOLIDATED=Y","Sort=A","Dates=H","DateFormat=P","Fill=—","Direction=H","UseDPDF=Y")</f>
        <v>#NAME?</v>
      </c>
      <c r="CK97" s="2" t="e">
        <f ca="1">_xll.BDH($C$78,"TOT_DEBT_TO_TOT_EQY","FQ4 2017","FQ4 2017","Currency=INR","Period=FQ","BEST_FPERIOD_OVERRIDE=FQ","FILING_STATUS=OR","EQY_CONSOLIDATED=Y","Sort=A","Dates=H","DateFormat=P","Fill=—","Direction=H","UseDPDF=Y")</f>
        <v>#NAME?</v>
      </c>
      <c r="CL97" s="2" t="e">
        <f ca="1">_xll.BDH($C$78,"TOT_DEBT_TO_TOT_CAP","FQ4 2017","FQ4 2017","Currency=INR","Period=FQ","BEST_FPERIOD_OVERRIDE=FQ","FILING_STATUS=OR","EQY_CONSOLIDATED=Y","Sort=A","Dates=H","DateFormat=P","Fill=—","Direction=H","UseDPDF=Y")</f>
        <v>#NAME?</v>
      </c>
      <c r="CM97" s="2" t="e">
        <f ca="1">_xll.BDH($C$78,"TOT_DEBT_TO_TOT_ASSET","FQ4 2017","FQ4 2017","Currency=INR","Period=FQ","BEST_FPERIOD_OVERRIDE=FQ","FILING_STATUS=OR","EQY_CONSOLIDATED=Y","Sort=A","Dates=H","DateFormat=P","Fill=—","Direction=H","UseDPDF=Y")</f>
        <v>#NAME?</v>
      </c>
      <c r="CN97" s="2" t="e">
        <f ca="1">_xll.BDH($C$78,"NET_DEBT_TO_SHRHLDR_EQTY","FQ4 2017","FQ4 2017","Currency=INR","Period=FQ","BEST_FPERIOD_OVERRIDE=FQ","FILING_STATUS=OR","EQY_CONSOLIDATED=Y","Sort=A","Dates=H","DateFormat=P","Fill=—","Direction=H","UseDPDF=Y")</f>
        <v>#NAME?</v>
      </c>
      <c r="CO97" s="2" t="e">
        <f ca="1">_xll.BDH($C$78,"NET_DEBT_%_CAPITAL","FQ4 2017","FQ4 2017","Currency=INR","Period=FQ","BEST_FPERIOD_OVERRIDE=FQ","FILING_STATUS=OR","EQY_CONSOLIDATED=Y","Sort=A","Dates=H","DateFormat=P","Fill=—","Direction=H","UseDPDF=Y")</f>
        <v>#NAME?</v>
      </c>
      <c r="CP97" s="3" t="e">
        <f ca="1">_xll.BDH($C$78,"EBITDA","FQ4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97" s="3" t="e">
        <f ca="1">_xll.BDH($C$78,"EBITDA_AFTER_CAPEX","FQ4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97" s="3" t="e">
        <f ca="1">_xll.BDH($C$78,"IS_OPER_INC","FQ4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97" s="2" t="e">
        <f ca="1">_xll.BDH($C$78,"CASH_RATIO","FQ4 2017","FQ4 2017","Currency=INR","Period=FQ","BEST_FPERIOD_OVERRIDE=FQ","FILING_STATUS=OR","EQY_CONSOLIDATED=Y","Sort=A","Dates=H","DateFormat=P","Fill=—","Direction=H","UseDPDF=Y")</f>
        <v>#NAME?</v>
      </c>
      <c r="CT97" s="2" t="e">
        <f ca="1">_xll.BDH($C$78,"CUR_RATIO","FQ4 2017","FQ4 2017","Currency=INR","Period=FQ","BEST_FPERIOD_OVERRIDE=FQ","FILING_STATUS=OR","EQY_CONSOLIDATED=Y","Sort=A","Dates=H","DateFormat=P","Fill=—","Direction=H","UseDPDF=Y")</f>
        <v>#NAME?</v>
      </c>
      <c r="CU97" s="2" t="e">
        <f ca="1">_xll.BDH($C$78,"QUICK_RATIO","FQ4 2017","FQ4 2017","Currency=INR","Period=FQ","BEST_FPERIOD_OVERRIDE=FQ","FILING_STATUS=OR","EQY_CONSOLIDATED=Y","Sort=A","Dates=H","DateFormat=P","Fill=—","Direction=H","UseDPDF=Y")</f>
        <v>#NAME?</v>
      </c>
      <c r="CV97" s="2" t="e">
        <f ca="1">_xll.BDH($C$78,"ALTMAN_Z_SCORE","FQ4 2017","FQ4 2017","Currency=INR","Period=FQ","BEST_FPERIOD_OVERRIDE=FQ","FILING_STATUS=OR","EQY_CONSOLIDATED=Y","Sort=A","Dates=H","DateFormat=P","Fill=—","Direction=H","UseDPDF=Y")</f>
        <v>#NAME?</v>
      </c>
      <c r="CW97" s="4" t="e">
        <f ca="1">_xll.BDH($C$78,"ACCT_RCV_TURN","FQ4 2017","FQ4 2017","Currency=INR","Period=FQ","BEST_FPERIOD_OVERRIDE=FQ","FILING_STATUS=OR","EQY_CONSOLIDATED=Y","FA_ADJUSTED=GAAP","Sort=A","Dates=H","DateFormat=P","Fill=—","Direction=H","UseDPDF=Y")</f>
        <v>#NAME?</v>
      </c>
      <c r="CX97" s="2" t="e">
        <f ca="1">_xll.BDH($C$78,"ACCT_RCV_DAYS","FQ4 2017","FQ4 2017","Currency=INR","Period=FQ","BEST_FPERIOD_OVERRIDE=FQ","FILING_STATUS=OR","EQY_CONSOLIDATED=Y","FA_ADJUSTED=GAAP","Sort=A","Dates=H","DateFormat=P","Fill=—","Direction=H","UseDPDF=Y")</f>
        <v>#NAME?</v>
      </c>
      <c r="CY97" s="4" t="e">
        <f ca="1">_xll.BDH($C$78,"INVENT_TURN","FQ4 2017","FQ4 2017","Currency=INR","Period=FQ","BEST_FPERIOD_OVERRIDE=FQ","FILING_STATUS=OR","EQY_CONSOLIDATED=Y","FA_ADJUSTED=GAAP","Sort=A","Dates=H","DateFormat=P","Fill=—","Direction=H","UseDPDF=Y")</f>
        <v>#NAME?</v>
      </c>
      <c r="CZ97" s="2" t="e">
        <f ca="1">_xll.BDH($C$78,"INVENT_DAYS","FQ4 2017","FQ4 2017","Currency=INR","Period=FQ","BEST_FPERIOD_OVERRIDE=FQ","FILING_STATUS=OR","EQY_CONSOLIDATED=Y","FA_ADJUSTED=GAAP","Sort=A","Dates=H","DateFormat=P","Fill=—","Direction=H","UseDPDF=Y")</f>
        <v>#NAME?</v>
      </c>
      <c r="DA97" s="4" t="e">
        <f ca="1">_xll.BDH($C$78,"ACCOUNTS_PAYABLE_TURNOVER","FQ4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97" s="2" t="e">
        <f ca="1">_xll.BDH($C$78,"ACCOUNTS_PAYABLE_TURNOVER_DAYS","FQ4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97" s="4" t="e">
        <f ca="1">_xll.BDH($C$78,"CASH_CONVERSION_CYCLE","FQ4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97" s="4" t="e">
        <f ca="1">_xll.BDH($C$78,"INV_TO_CASH_DAYS","FQ4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97" s="5" t="e">
        <f ca="1">_xll.BDH($C$78,"BS_INVENTORIES","FQ4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97" s="3" t="e">
        <f ca="1">_xll.BDH($C$78,"INVTRY_RAW_MATERIALS","FQ4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97" s="3" t="e">
        <f ca="1">_xll.BDH($C$78,"INVTRY_IN_PROGRESS","FQ4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97" s="3" t="e">
        <f ca="1">_xll.BDH($C$78,"INVTRY_FINISHED_GOODS","FQ4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97" s="3" t="e">
        <f ca="1">_xll.BDH($C$78,"BS_OTHER_INV","FQ4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98" spans="1:113" x14ac:dyDescent="0.3">
      <c r="A98" s="6"/>
      <c r="B98" s="6"/>
      <c r="C98" s="6"/>
      <c r="D98" s="6" t="s">
        <v>85</v>
      </c>
      <c r="E98" t="s">
        <v>77</v>
      </c>
      <c r="F98" t="e">
        <f ca="1">_xll.BDH($C$78,"RETURN_COM_EQY","FY 2018","FY 2018","Currency=INR","Period=FY","BEST_FPERIOD_OVERRIDE=FY","FILING_STATUS=OR","EQY_CONSOLIDATED=Y","FA_ADJUSTED=GAAP","Sort=A","Dates=H","DateFormat=P","Fill=—","Direction=H","UseDPDF=Y")</f>
        <v>#NAME?</v>
      </c>
      <c r="G98" t="e">
        <f ca="1">_xll.BDH($C$78,"RETURN_ON_ASSET","FY 2018","FY 2018","Currency=INR","Period=FY","BEST_FPERIOD_OVERRIDE=FY","FILING_STATUS=OR","EQY_CONSOLIDATED=Y","FA_ADJUSTED=GAAP","Sort=A","Dates=H","DateFormat=P","Fill=—","Direction=H","UseDPDF=Y")</f>
        <v>#NAME?</v>
      </c>
      <c r="H98" t="e">
        <f ca="1">_xll.BDH($C$78,"RETURN_ON_CAP","FY 2018","FY 2018","Currency=INR","Period=FY","BEST_FPERIOD_OVERRIDE=FY","FILING_STATUS=OR","EQY_CONSOLIDATED=Y","FA_ADJUSTED=GAAP","Sort=A","Dates=H","DateFormat=P","Fill=—","Direction=H","UseDPDF=Y")</f>
        <v>#NAME?</v>
      </c>
      <c r="I98" t="e">
        <f ca="1">_xll.BDH($C$78,"RETURN_ON_INV_CAPITAL","FY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98" t="e">
        <f ca="1">_xll.BDH($C$78,"EBITDA_TO_REVENUE","FY 2018","FY 2018","Currency=INR","Period=FY","BEST_FPERIOD_OVERRIDE=FY","FILING_STATUS=OR","EQY_CONSOLIDATED=Y","FA_ADJUSTED=GAAP","Sort=A","Dates=H","DateFormat=P","Fill=—","Direction=H","UseDPDF=Y")</f>
        <v>#NAME?</v>
      </c>
      <c r="K98" t="e">
        <f ca="1">_xll.BDH($C$78,"OPER_MARGIN","FY 2018","FY 2018","Currency=INR","Period=FY","BEST_FPERIOD_OVERRIDE=FY","FILING_STATUS=OR","EQY_CONSOLIDATED=Y","FA_ADJUSTED=GAAP","Sort=A","Dates=H","DateFormat=P","Fill=—","Direction=H","UseDPDF=Y")</f>
        <v>#NAME?</v>
      </c>
      <c r="L98" t="e">
        <f ca="1">_xll.BDH($C$78,"INCREMENTAL_OPERATING_MARGIN","FY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98" t="e">
        <f ca="1">_xll.BDH($C$78,"PRETAX_INC_TO_NET_SALES","FY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98" t="e">
        <f ca="1">_xll.BDH($C$78,"INC_BEF_XO_ITEMS_TO_NET_SALES","FY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98" t="e">
        <f ca="1">_xll.BDH($C$78,"PROF_MARGIN","FY 2018","FY 2018","Currency=INR","Period=FY","BEST_FPERIOD_OVERRIDE=FY","FILING_STATUS=OR","EQY_CONSOLIDATED=Y","FA_ADJUSTED=GAAP","Sort=A","Dates=H","DateFormat=P","Fill=—","Direction=H","UseDPDF=Y")</f>
        <v>#NAME?</v>
      </c>
      <c r="P98" t="e">
        <f ca="1">_xll.BDH($C$78,"NET_INCOME_TO_COMMON_MARGIN","FY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98" t="e">
        <f ca="1">_xll.BDH($C$78,"EFF_TAX_RATE","FY 2018","FY 2018","Currency=INR","Period=FY","BEST_FPERIOD_OVERRIDE=FY","FILING_STATUS=OR","EQY_CONSOLIDATED=Y","FA_ADJUSTED=GAAP","Sort=A","Dates=H","DateFormat=P","Fill=—","Direction=H","UseDPDF=Y")</f>
        <v>#NAME?</v>
      </c>
      <c r="R98" t="e">
        <f ca="1">_xll.BDH($C$78,"DVD_PAYOUT_RATIO","FY 2018","FY 2018","Currency=INR","Period=FY","BEST_FPERIOD_OVERRIDE=FY","FILING_STATUS=OR","EQY_CONSOLIDATED=Y","FA_ADJUSTED=GAAP","Sort=A","Dates=H","DateFormat=P","Fill=—","Direction=H","UseDPDF=Y")</f>
        <v>#NAME?</v>
      </c>
      <c r="S98" t="e">
        <f ca="1">_xll.BDH($C$78,"SUSTAIN_GROWTH_RT","FY 2018","FY 2018","Currency=INR","Period=FY","BEST_FPERIOD_OVERRIDE=FY","FILING_STATUS=OR","EQY_CONSOLIDATED=Y","FA_ADJUSTED=GAAP","Sort=A","Dates=H","DateFormat=P","Fill=—","Direction=H","UseDPDF=Y")</f>
        <v>#NAME?</v>
      </c>
      <c r="T98" s="2" t="e">
        <f ca="1">_xll.BDH($C$78,"SALES_GROWTH","FY 2018","FY 2018","Currency=INR","Period=FY","BEST_FPERIOD_OVERRIDE=FY","FILING_STATUS=OR","EQY_CONSOLIDATED=Y","FA_ADJUSTED=GAAP","Sort=A","Dates=H","DateFormat=P","Fill=—","Direction=H","UseDPDF=Y")</f>
        <v>#NAME?</v>
      </c>
      <c r="U98" s="2" t="e">
        <f ca="1">_xll.BDH($C$78,"EBITDA_GROWTH","FY 2018","FY 2018","Currency=INR","Period=FY","BEST_FPERIOD_OVERRIDE=FY","FILING_STATUS=OR","EQY_CONSOLIDATED=Y","FA_ADJUSTED=GAAP","Sort=A","Dates=H","DateFormat=P","Fill=—","Direction=H","UseDPDF=Y")</f>
        <v>#NAME?</v>
      </c>
      <c r="V98" s="2" t="e">
        <f ca="1">_xll.BDH($C$78,"OPER_INC_GROWTH","FY 2018","FY 2018","Currency=INR","Period=FY","BEST_FPERIOD_OVERRIDE=FY","FILING_STATUS=OR","EQY_CONSOLIDATED=Y","FA_ADJUSTED=GAAP","Sort=A","Dates=H","DateFormat=P","Fill=—","Direction=H","UseDPDF=Y")</f>
        <v>#NAME?</v>
      </c>
      <c r="W98" s="2" t="e">
        <f ca="1">_xll.BDH($C$78,"EARN_FOR_COM_GROWTH","FY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98" s="2" t="e">
        <f ca="1">_xll.BDH($C$78,"DILUTED_EPS_AFT_XO_ITEMS_GROWTH","FY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98" s="2" t="e">
        <f ca="1">_xll.BDH($C$78,"DIVIDEND_PER_SHARE_1_YEAR_GROWTH","FY 2018","FY 2018","Currency=INR","Period=FY","BEST_FPERIOD_OVERRIDE=FY","FILING_STATUS=OR","EQY_CONSOLIDATED=Y","Sort=A","Dates=H","DateFormat=P","Fill=—","Direction=H","UseDPDF=Y")</f>
        <v>#NAME?</v>
      </c>
      <c r="Z98" s="2" t="e">
        <f ca="1">_xll.BDH($C$78,"ACCOUNTS_RECEIVABLE_GROWTH","FY 2018","FY 2018","Currency=INR","Period=FY","BEST_FPERIOD_OVERRIDE=FY","FILING_STATUS=OR","EQY_CONSOLIDATED=Y","Sort=A","Dates=H","DateFormat=P","Fill=—","Direction=H","UseDPDF=Y")</f>
        <v>#NAME?</v>
      </c>
      <c r="AA98" s="2" t="e">
        <f ca="1">_xll.BDH($C$78,"INVENTORY_GROWTH","FY 2018","FY 2018","Currency=INR","Period=FY","BEST_FPERIOD_OVERRIDE=FY","FILING_STATUS=OR","EQY_CONSOLIDATED=Y","Sort=A","Dates=H","DateFormat=P","Fill=—","Direction=H","UseDPDF=Y")</f>
        <v>#NAME?</v>
      </c>
      <c r="AB98" s="2" t="e">
        <f ca="1">_xll.BDH($C$78,"NET_FIXED_ASSETS_1_YEAR_GROWTH","FY 2018","FY 2018","Currency=INR","Period=FY","BEST_FPERIOD_OVERRIDE=FY","FILING_STATUS=OR","EQY_CONSOLIDATED=Y","Sort=A","Dates=H","DateFormat=P","Fill=—","Direction=H","UseDPDF=Y")</f>
        <v>#NAME?</v>
      </c>
      <c r="AC98" s="2" t="e">
        <f ca="1">_xll.BDH($C$78,"ASSET_GROWTH","FY 2018","FY 2018","Currency=INR","Period=FY","BEST_FPERIOD_OVERRIDE=FY","FILING_STATUS=OR","EQY_CONSOLIDATED=Y","Sort=A","Dates=H","DateFormat=P","Fill=—","Direction=H","UseDPDF=Y")</f>
        <v>#NAME?</v>
      </c>
      <c r="AD98" s="2" t="e">
        <f ca="1">_xll.BDH($C$78,"MODIFIED_WORK_CAP_GROWTH","FY 2018","FY 2018","Currency=INR","Period=FY","BEST_FPERIOD_OVERRIDE=FY","FILING_STATUS=OR","EQY_CONSOLIDATED=Y","Sort=A","Dates=H","DateFormat=P","Fill=—","Direction=H","UseDPDF=Y")</f>
        <v>#NAME?</v>
      </c>
      <c r="AE98" s="2" t="e">
        <f ca="1">_xll.BDH($C$78,"WORK_CAP_GROWTH","FY 2018","FY 2018","Currency=INR","Period=FY","BEST_FPERIOD_OVERRIDE=FY","FILING_STATUS=OR","EQY_CONSOLIDATED=Y","Sort=A","Dates=H","DateFormat=P","Fill=—","Direction=H","UseDPDF=Y")</f>
        <v>#NAME?</v>
      </c>
      <c r="AF98" s="2" t="e">
        <f ca="1">_xll.BDH($C$78,"ACCOUNTS_PAYABLE_GROWTH_1YR","FY 2018","FY 2018","Currency=INR","Period=FY","BEST_FPERIOD_OVERRIDE=FY","FILING_STATUS=OR","EQY_CONSOLIDATED=Y","Sort=A","Dates=H","DateFormat=P","Fill=—","Direction=H","UseDPDF=Y")</f>
        <v>#NAME?</v>
      </c>
      <c r="AG98" s="2" t="e">
        <f ca="1">_xll.BDH($C$78,"SHORT_TERM_DEBT_1_YEAR_GROWTH","FY 2018","FY 2018","Currency=INR","Period=FY","BEST_FPERIOD_OVERRIDE=FY","FILING_STATUS=OR","EQY_CONSOLIDATED=Y","Sort=A","Dates=H","DateFormat=P","Fill=—","Direction=H","UseDPDF=Y")</f>
        <v>#NAME?</v>
      </c>
      <c r="AH98" s="2" t="e">
        <f ca="1">_xll.BDH($C$78,"TOTAL_DEBT_1_YEAR_GROWTH","FY 2018","FY 2018","Currency=INR","Period=FY","BEST_FPERIOD_OVERRIDE=FY","FILING_STATUS=OR","EQY_CONSOLIDATED=Y","Sort=A","Dates=H","DateFormat=P","Fill=—","Direction=H","UseDPDF=Y")</f>
        <v>#NAME?</v>
      </c>
      <c r="AI98" s="2" t="e">
        <f ca="1">_xll.BDH($C$78,"TOTAL_EQUITY_1_YEAR_GROWTH","FY 2018","FY 2018","Currency=INR","Period=FY","BEST_FPERIOD_OVERRIDE=FY","FILING_STATUS=OR","EQY_CONSOLIDATED=Y","Sort=A","Dates=H","DateFormat=P","Fill=—","Direction=H","UseDPDF=Y")</f>
        <v>#NAME?</v>
      </c>
      <c r="AJ98" s="2" t="e">
        <f ca="1">_xll.BDH($C$78,"GROWTH_IN_CAP","FY 2018","FY 2018","Currency=INR","Period=FY","BEST_FPERIOD_OVERRIDE=FY","FILING_STATUS=OR","EQY_CONSOLIDATED=Y","Sort=A","Dates=H","DateFormat=P","Fill=—","Direction=H","UseDPDF=Y")</f>
        <v>#NAME?</v>
      </c>
      <c r="AK98" s="2" t="e">
        <f ca="1">_xll.BDH($C$78,"BVPS_GROWTH","FY 2018","FY 2018","Currency=INR","Period=FY","BEST_FPERIOD_OVERRIDE=FY","FILING_STATUS=OR","EQY_CONSOLIDATED=Y","Sort=A","Dates=H","DateFormat=P","Fill=—","Direction=H","UseDPDF=Y")</f>
        <v>#NAME?</v>
      </c>
      <c r="AL98" s="2" t="e">
        <f ca="1">_xll.BDH($C$78,"CASH_FLOW_GROWTH","FY 2018","FY 2018","Currency=INR","Period=FY","BEST_FPERIOD_OVERRIDE=FY","FILING_STATUS=OR","EQY_CONSOLIDATED=Y","Sort=A","Dates=H","DateFormat=P","Fill=—","Direction=H","UseDPDF=Y")</f>
        <v>#NAME?</v>
      </c>
      <c r="AM98" s="2" t="e">
        <f ca="1">_xll.BDH($C$78,"GEO_GROW_NET_SALES","FY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98" s="2" t="e">
        <f ca="1">_xll.BDH($C$78,"GEO_GROW_EBITDA","FY 2018","FY 2018","Currency=INR","Period=FY","BEST_FPERIOD_OVERRIDE=FY","FILING_STATUS=OR","EQY_CONSOLIDATED=Y","FA_ADJUSTED=GAAP","Sort=A","Dates=H","DateFormat=P","Fill=—","Direction=H","UseDPDF=Y")</f>
        <v>#NAME?</v>
      </c>
      <c r="AO98" s="2" t="e">
        <f ca="1">_xll.BDH($C$78,"GEO_GROW_OPER_INC","FY 2018","FY 2018","Currency=INR","Period=FY","BEST_FPERIOD_OVERRIDE=FY","FILING_STATUS=OR","EQY_CONSOLIDATED=Y","FA_ADJUSTED=GAAP","Sort=A","Dates=H","DateFormat=P","Fill=—","Direction=H","UseDPDF=Y")</f>
        <v>#NAME?</v>
      </c>
      <c r="AP98" s="2" t="e">
        <f ca="1">_xll.BDH($C$78,"NET_INCOME_TO_COMMON_5_YR_GROWTH","FY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98" s="2" t="e">
        <f ca="1">_xll.BDH($C$78,"5Y_GEO_GROWTH_DILUTED_EPS","FY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98" s="2" t="e">
        <f ca="1">_xll.BDH($C$78,"GEO_GROW_DVD_PER_SH","FY 2018","FY 2018","Currency=INR","Period=FY","BEST_FPERIOD_OVERRIDE=FY","FILING_STATUS=OR","EQY_CONSOLIDATED=Y","Sort=A","Dates=H","DateFormat=P","Fill=—","Direction=H","UseDPDF=Y")</f>
        <v>#NAME?</v>
      </c>
      <c r="AS98" s="2" t="e">
        <f ca="1">_xll.BDH($C$78,"ACCOUNTS_RECEIVABLE_5_YR_GROWTH","FY 2018","FY 2018","Currency=INR","Period=FY","BEST_FPERIOD_OVERRIDE=FY","FILING_STATUS=OR","EQY_CONSOLIDATED=Y","Sort=A","Dates=H","DateFormat=P","Fill=—","Direction=H","UseDPDF=Y")</f>
        <v>#NAME?</v>
      </c>
      <c r="AT98" s="2" t="e">
        <f ca="1">_xll.BDH($C$78,"INVENTORY_5_YEAR_GROWTH","FY 2018","FY 2018","Currency=INR","Period=FY","BEST_FPERIOD_OVERRIDE=FY","FILING_STATUS=OR","EQY_CONSOLIDATED=Y","Sort=A","Dates=H","DateFormat=P","Fill=—","Direction=H","UseDPDF=Y")</f>
        <v>#NAME?</v>
      </c>
      <c r="AU98" s="2" t="e">
        <f ca="1">_xll.BDH($C$78,"NET_FIXED_ASSETS_5_YEAR_GROWTH","FY 2018","FY 2018","Currency=INR","Period=FY","BEST_FPERIOD_OVERRIDE=FY","FILING_STATUS=OR","EQY_CONSOLIDATED=Y","Sort=A","Dates=H","DateFormat=P","Fill=—","Direction=H","UseDPDF=Y")</f>
        <v>#NAME?</v>
      </c>
      <c r="AV98" s="2" t="e">
        <f ca="1">_xll.BDH($C$78,"GEO_GROW_TOT_ASSET","FY 2018","FY 2018","Currency=INR","Period=FY","BEST_FPERIOD_OVERRIDE=FY","FILING_STATUS=OR","EQY_CONSOLIDATED=Y","Sort=A","Dates=H","DateFormat=P","Fill=—","Direction=H","UseDPDF=Y")</f>
        <v>#NAME?</v>
      </c>
      <c r="AW98" s="2" t="e">
        <f ca="1">_xll.BDH($C$78,"MODIFIED_WORKING_CPTL_5YR_GRWTH","FY 2018","FY 2018","Currency=INR","Period=FY","BEST_FPERIOD_OVERRIDE=FY","FILING_STATUS=OR","EQY_CONSOLIDATED=Y","Sort=A","Dates=H","DateFormat=P","Fill=—","Direction=H","UseDPDF=Y")</f>
        <v>#NAME?</v>
      </c>
      <c r="AX98" s="2" t="e">
        <f ca="1">_xll.BDH($C$78,"WORKING_CAPITAL_5_YEAR_GROWTH","FY 2018","FY 2018","Currency=INR","Period=FY","BEST_FPERIOD_OVERRIDE=FY","FILING_STATUS=OR","EQY_CONSOLIDATED=Y","Sort=A","Dates=H","DateFormat=P","Fill=—","Direction=H","UseDPDF=Y")</f>
        <v>#NAME?</v>
      </c>
      <c r="AY98" s="2" t="e">
        <f ca="1">_xll.BDH($C$78,"ACCOUNTS_PAYABLE_5_YEAR_GROWTH","FY 2018","FY 2018","Currency=INR","Period=FY","BEST_FPERIOD_OVERRIDE=FY","FILING_STATUS=OR","EQY_CONSOLIDATED=Y","Sort=A","Dates=H","DateFormat=P","Fill=—","Direction=H","UseDPDF=Y")</f>
        <v>#NAME?</v>
      </c>
      <c r="AZ98" s="2" t="e">
        <f ca="1">_xll.BDH($C$78,"SHORT_TERM_DEBT_5_YEAR_GROWTH","FY 2018","FY 2018","Currency=INR","Period=FY","BEST_FPERIOD_OVERRIDE=FY","FILING_STATUS=OR","EQY_CONSOLIDATED=Y","Sort=A","Dates=H","DateFormat=P","Fill=—","Direction=H","UseDPDF=Y")</f>
        <v>#NAME?</v>
      </c>
      <c r="BA98" s="2" t="e">
        <f ca="1">_xll.BDH($C$78,"TOTAL_DEBT_5_YEAR_GROWTH","FY 2018","FY 2018","Currency=INR","Period=FY","BEST_FPERIOD_OVERRIDE=FY","FILING_STATUS=OR","EQY_CONSOLIDATED=Y","Sort=A","Dates=H","DateFormat=P","Fill=—","Direction=H","UseDPDF=Y")</f>
        <v>#NAME?</v>
      </c>
      <c r="BB98" s="2" t="e">
        <f ca="1">_xll.BDH($C$78,"GEO_GROW_TOT_SHRHLDR_EQY","FY 2018","FY 2018","Currency=INR","Period=FY","BEST_FPERIOD_OVERRIDE=FY","FILING_STATUS=OR","EQY_CONSOLIDATED=Y","Sort=A","Dates=H","DateFormat=P","Fill=—","Direction=H","UseDPDF=Y")</f>
        <v>#NAME?</v>
      </c>
      <c r="BC98" s="2" t="e">
        <f ca="1">_xll.BDH($C$78,"TOTAL_CAPITAL_5_YEAR_GROWTH","FY 2018","FY 2018","Currency=INR","Period=FY","BEST_FPERIOD_OVERRIDE=FY","FILING_STATUS=OR","EQY_CONSOLIDATED=Y","Sort=A","Dates=H","DateFormat=P","Fill=—","Direction=H","UseDPDF=Y")</f>
        <v>#NAME?</v>
      </c>
      <c r="BD98" s="2" t="e">
        <f ca="1">_xll.BDH($C$78,"GEO_GROW_BOOK_VAL","FY 2018","FY 2018","Currency=INR","Period=FY","BEST_FPERIOD_OVERRIDE=FY","FILING_STATUS=OR","EQY_CONSOLIDATED=Y","Sort=A","Dates=H","DateFormat=P","Fill=—","Direction=H","UseDPDF=Y")</f>
        <v>#NAME?</v>
      </c>
      <c r="BE98" s="2" t="e">
        <f ca="1">_xll.BDH($C$78,"GEO_GROW_CASH_OPER_ACT","FY 2018","FY 2018","Currency=INR","Period=FY","BEST_FPERIOD_OVERRIDE=FY","FILING_STATUS=OR","EQY_CONSOLIDATED=Y","Sort=A","Dates=H","DateFormat=P","Fill=—","Direction=H","UseDPDF=Y")</f>
        <v>#NAME?</v>
      </c>
      <c r="BF98" s="2" t="e">
        <f ca="1">_xll.BDH($C$78,"REVENUE_SEQUENTIAL_GROWTH","FY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98" s="2" t="e">
        <f ca="1">_xll.BDH($C$78,"EBITDA_SEQUENTIAL_GROWTH","FY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98" s="2" t="e">
        <f ca="1">_xll.BDH($C$78,"OPERATING_INCOME_SEQ_GROWTH","FY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98" s="2" t="e">
        <f ca="1">_xll.BDH($C$78,"NET_INCOME_TO_COMMON_SEQ_GROWTH","FY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98" s="2" t="e">
        <f ca="1">_xll.BDH($C$78,"EPS_DILUTED_SEQUENTIAL_GROWTH","FY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98" s="2" t="e">
        <f ca="1">_xll.BDH($C$78,"DPS_SEQUENTIAL_GROWTH","FY 2018","FY 2018","Currency=INR","Period=FY","BEST_FPERIOD_OVERRIDE=FY","FILING_STATUS=OR","EQY_CONSOLIDATED=Y","Sort=A","Dates=H","DateFormat=P","Fill=—","Direction=H","UseDPDF=Y")</f>
        <v>#NAME?</v>
      </c>
      <c r="BL98" s="2" t="e">
        <f ca="1">_xll.BDH($C$78,"ACCOUNTS_RECEIVABLE_SEQ_GROWTH","FY 2018","FY 2018","Currency=INR","Period=FY","BEST_FPERIOD_OVERRIDE=FY","FILING_STATUS=OR","EQY_CONSOLIDATED=Y","Sort=A","Dates=H","DateFormat=P","Fill=—","Direction=H","UseDPDF=Y")</f>
        <v>#NAME?</v>
      </c>
      <c r="BM98" s="2" t="e">
        <f ca="1">_xll.BDH($C$78,"INVENTORY_SEQUENTIAL_GROWTH","FY 2018","FY 2018","Currency=INR","Period=FY","BEST_FPERIOD_OVERRIDE=FY","FILING_STATUS=OR","EQY_CONSOLIDATED=Y","Sort=A","Dates=H","DateFormat=P","Fill=—","Direction=H","UseDPDF=Y")</f>
        <v>#NAME?</v>
      </c>
      <c r="BN98" s="2" t="e">
        <f ca="1">_xll.BDH($C$78,"FIXED_ASSETS_SEQUENTIAL_GROWTH","FY 2018","FY 2018","Currency=INR","Period=FY","BEST_FPERIOD_OVERRIDE=FY","FILING_STATUS=OR","EQY_CONSOLIDATED=Y","Sort=A","Dates=H","DateFormat=P","Fill=—","Direction=H","UseDPDF=Y")</f>
        <v>#NAME?</v>
      </c>
      <c r="BO98" s="2" t="e">
        <f ca="1">_xll.BDH($C$78,"TOTAL_ASSETS_SEQUENTIAL_GROWTH","FY 2018","FY 2018","Currency=INR","Period=FY","BEST_FPERIOD_OVERRIDE=FY","FILING_STATUS=OR","EQY_CONSOLIDATED=Y","Sort=A","Dates=H","DateFormat=P","Fill=—","Direction=H","UseDPDF=Y")</f>
        <v>#NAME?</v>
      </c>
      <c r="BP98" s="2" t="e">
        <f ca="1">_xll.BDH($C$78,"MODIFIED_WORKING_CPTL_SEQ_GRWTH","FY 2018","FY 2018","Currency=INR","Period=FY","BEST_FPERIOD_OVERRIDE=FY","FILING_STATUS=OR","EQY_CONSOLIDATED=Y","Sort=A","Dates=H","DateFormat=P","Fill=—","Direction=H","UseDPDF=Y")</f>
        <v>#NAME?</v>
      </c>
      <c r="BQ98" s="2" t="e">
        <f ca="1">_xll.BDH($C$78,"WORKING_CAPITAL_SEQ_GROWTH","FY 2018","FY 2018","Currency=INR","Period=FY","BEST_FPERIOD_OVERRIDE=FY","FILING_STATUS=OR","EQY_CONSOLIDATED=Y","Sort=A","Dates=H","DateFormat=P","Fill=—","Direction=H","UseDPDF=Y")</f>
        <v>#NAME?</v>
      </c>
      <c r="BR98" s="2" t="e">
        <f ca="1">_xll.BDH($C$78,"ACCOUNTS_PAYABLE_SEQ_GROWTH","FY 2018","FY 2018","Currency=INR","Period=FY","BEST_FPERIOD_OVERRIDE=FY","FILING_STATUS=OR","EQY_CONSOLIDATED=Y","Sort=A","Dates=H","DateFormat=P","Fill=—","Direction=H","UseDPDF=Y")</f>
        <v>#NAME?</v>
      </c>
      <c r="BS98" s="2" t="e">
        <f ca="1">_xll.BDH($C$78,"ST_DEBT_SEQUENTIAL_GROWTH","FY 2018","FY 2018","Currency=INR","Period=FY","BEST_FPERIOD_OVERRIDE=FY","FILING_STATUS=OR","EQY_CONSOLIDATED=Y","Sort=A","Dates=H","DateFormat=P","Fill=—","Direction=H","UseDPDF=Y")</f>
        <v>#NAME?</v>
      </c>
      <c r="BT98" s="2" t="e">
        <f ca="1">_xll.BDH($C$78,"TOTAL_DEBT_SEQUENTIAL_GROWTH","FY 2018","FY 2018","Currency=INR","Period=FY","BEST_FPERIOD_OVERRIDE=FY","FILING_STATUS=OR","EQY_CONSOLIDATED=Y","Sort=A","Dates=H","DateFormat=P","Fill=—","Direction=H","UseDPDF=Y")</f>
        <v>#NAME?</v>
      </c>
      <c r="BU98" s="2" t="e">
        <f ca="1">_xll.BDH($C$78,"TOTAL_EQUITY_SEQUENTIAL_GROWTH","FY 2018","FY 2018","Currency=INR","Period=FY","BEST_FPERIOD_OVERRIDE=FY","FILING_STATUS=OR","EQY_CONSOLIDATED=Y","Sort=A","Dates=H","DateFormat=P","Fill=—","Direction=H","UseDPDF=Y")</f>
        <v>#NAME?</v>
      </c>
      <c r="BV98" s="2" t="e">
        <f ca="1">_xll.BDH($C$78,"TOTAL_CAPITAL_SEQUENTIAL_GROWTH","FY 2018","FY 2018","Currency=INR","Period=FY","BEST_FPERIOD_OVERRIDE=FY","FILING_STATUS=OR","EQY_CONSOLIDATED=Y","Sort=A","Dates=H","DateFormat=P","Fill=—","Direction=H","UseDPDF=Y")</f>
        <v>#NAME?</v>
      </c>
      <c r="BW98" s="2" t="e">
        <f ca="1">_xll.BDH($C$78,"BPS_SEQUENTIAL_GROWTH","FY 2018","FY 2018","Currency=INR","Period=FY","BEST_FPERIOD_OVERRIDE=FY","FILING_STATUS=OR","EQY_CONSOLIDATED=Y","Sort=A","Dates=H","DateFormat=P","Fill=—","Direction=H","UseDPDF=Y")</f>
        <v>#NAME?</v>
      </c>
      <c r="BX98" s="2" t="e">
        <f ca="1">_xll.BDH($C$78,"CFO_SEQUENTIAL_GROWTH","FY 2018","FY 2018","Currency=INR","Period=FY","BEST_FPERIOD_OVERRIDE=FY","FILING_STATUS=OR","EQY_CONSOLIDATED=Y","Sort=A","Dates=H","DateFormat=P","Fill=—","Direction=H","UseDPDF=Y")</f>
        <v>#NAME?</v>
      </c>
      <c r="BY98" s="3" t="e">
        <f ca="1">_xll.BDH($C$78,"SHORT_AND_LONG_TERM_DEBT","FY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98" s="3" t="e">
        <f ca="1">_xll.BDH($C$78,"BS_ST_BORROW","FY 2018","FY 2018","Currency=INR","Period=FY","BEST_FPERIOD_OVERRIDE=FY","FILING_STATUS=OR","EQY_CONSOLIDATED=Y","SCALING_FORMAT=MLN","Sort=A","Dates=H","DateFormat=P","Fill=—","Direction=H","UseDPDF=Y")</f>
        <v>#NAME?</v>
      </c>
      <c r="CA98" s="3" t="e">
        <f ca="1">_xll.BDH($C$78,"BS_LT_BORROW","FY 2018","FY 2018","Currency=INR","Period=FY","BEST_FPERIOD_OVERRIDE=FY","FILING_STATUS=OR","EQY_CONSOLIDATED=Y","SCALING_FORMAT=MLN","Sort=A","Dates=H","DateFormat=P","Fill=—","Direction=H","UseDPDF=Y")</f>
        <v>#NAME?</v>
      </c>
      <c r="CB98" s="2" t="e">
        <f ca="1">_xll.BDH($C$78,"TOT_DEBT_TO_EBITDA","FY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98" s="2" t="e">
        <f ca="1">_xll.BDH($C$78,"NET_DEBT_TO_EBITDA","FY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98" s="2" t="e">
        <f ca="1">_xll.BDH($C$78,"TOTAL_DEBT_TO_EBIT","FY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98" s="2" t="e">
        <f ca="1">_xll.BDH($C$78,"NET_DEBT_TO_EBIT","FY 2018","FY 2018","Currency=INR","Period=FY","BEST_FPERIOD_OVERRIDE=FY","FILING_STATUS=OR","EQY_CONSOLIDATED=Y","FA_ADJUSTED=GAAP","Sort=A","Dates=H","DateFormat=P","Fill=—","Direction=H","UseDPDF=Y")</f>
        <v>#NAME?</v>
      </c>
      <c r="CF98" s="2" t="e">
        <f ca="1">_xll.BDH($C$78,"EBITDA_TO_INTEREST_EXPN","FY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98" s="2" t="e">
        <f ca="1">_xll.BDH($C$78,"COM_EQY_TO_TOT_ASSET","FY 2018","FY 2018","Currency=INR","Period=FY","BEST_FPERIOD_OVERRIDE=FY","FILING_STATUS=OR","EQY_CONSOLIDATED=Y","Sort=A","Dates=H","DateFormat=P","Fill=—","Direction=H","UseDPDF=Y")</f>
        <v>#NAME?</v>
      </c>
      <c r="CH98" s="2" t="e">
        <f ca="1">_xll.BDH($C$78,"LT_DEBT_TO_TOT_EQY","FY 2018","FY 2018","Currency=INR","Period=FY","BEST_FPERIOD_OVERRIDE=FY","FILING_STATUS=OR","EQY_CONSOLIDATED=Y","Sort=A","Dates=H","DateFormat=P","Fill=—","Direction=H","UseDPDF=Y")</f>
        <v>#NAME?</v>
      </c>
      <c r="CI98" s="2" t="e">
        <f ca="1">_xll.BDH($C$78,"LT_DEBT_TO_TOT_CAP","FY 2018","FY 2018","Currency=INR","Period=FY","BEST_FPERIOD_OVERRIDE=FY","FILING_STATUS=OR","EQY_CONSOLIDATED=Y","Sort=A","Dates=H","DateFormat=P","Fill=—","Direction=H","UseDPDF=Y")</f>
        <v>#NAME?</v>
      </c>
      <c r="CJ98" s="2" t="e">
        <f ca="1">_xll.BDH($C$78,"LT_DEBT_TO_TOT_ASSET","FY 2018","FY 2018","Currency=INR","Period=FY","BEST_FPERIOD_OVERRIDE=FY","FILING_STATUS=OR","EQY_CONSOLIDATED=Y","Sort=A","Dates=H","DateFormat=P","Fill=—","Direction=H","UseDPDF=Y")</f>
        <v>#NAME?</v>
      </c>
      <c r="CK98" s="2" t="e">
        <f ca="1">_xll.BDH($C$78,"TOT_DEBT_TO_TOT_EQY","FY 2018","FY 2018","Currency=INR","Period=FY","BEST_FPERIOD_OVERRIDE=FY","FILING_STATUS=OR","EQY_CONSOLIDATED=Y","Sort=A","Dates=H","DateFormat=P","Fill=—","Direction=H","UseDPDF=Y")</f>
        <v>#NAME?</v>
      </c>
      <c r="CL98" s="2" t="e">
        <f ca="1">_xll.BDH($C$78,"TOT_DEBT_TO_TOT_CAP","FY 2018","FY 2018","Currency=INR","Period=FY","BEST_FPERIOD_OVERRIDE=FY","FILING_STATUS=OR","EQY_CONSOLIDATED=Y","Sort=A","Dates=H","DateFormat=P","Fill=—","Direction=H","UseDPDF=Y")</f>
        <v>#NAME?</v>
      </c>
      <c r="CM98" s="2" t="e">
        <f ca="1">_xll.BDH($C$78,"TOT_DEBT_TO_TOT_ASSET","FY 2018","FY 2018","Currency=INR","Period=FY","BEST_FPERIOD_OVERRIDE=FY","FILING_STATUS=OR","EQY_CONSOLIDATED=Y","Sort=A","Dates=H","DateFormat=P","Fill=—","Direction=H","UseDPDF=Y")</f>
        <v>#NAME?</v>
      </c>
      <c r="CN98" s="2" t="e">
        <f ca="1">_xll.BDH($C$78,"NET_DEBT_TO_SHRHLDR_EQTY","FY 2018","FY 2018","Currency=INR","Period=FY","BEST_FPERIOD_OVERRIDE=FY","FILING_STATUS=OR","EQY_CONSOLIDATED=Y","Sort=A","Dates=H","DateFormat=P","Fill=—","Direction=H","UseDPDF=Y")</f>
        <v>#NAME?</v>
      </c>
      <c r="CO98" s="2" t="e">
        <f ca="1">_xll.BDH($C$78,"NET_DEBT_%_CAPITAL","FY 2018","FY 2018","Currency=INR","Period=FY","BEST_FPERIOD_OVERRIDE=FY","FILING_STATUS=OR","EQY_CONSOLIDATED=Y","Sort=A","Dates=H","DateFormat=P","Fill=—","Direction=H","UseDPDF=Y")</f>
        <v>#NAME?</v>
      </c>
      <c r="CP98" s="3" t="e">
        <f ca="1">_xll.BDH($C$78,"EBITDA","FY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98" s="3" t="e">
        <f ca="1">_xll.BDH($C$78,"EBITDA_AFTER_CAPEX","FY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98" s="3" t="e">
        <f ca="1">_xll.BDH($C$78,"IS_OPER_INC","FY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98" s="2" t="e">
        <f ca="1">_xll.BDH($C$78,"CASH_RATIO","FY 2018","FY 2018","Currency=INR","Period=FY","BEST_FPERIOD_OVERRIDE=FY","FILING_STATUS=OR","EQY_CONSOLIDATED=Y","Sort=A","Dates=H","DateFormat=P","Fill=—","Direction=H","UseDPDF=Y")</f>
        <v>#NAME?</v>
      </c>
      <c r="CT98" s="2" t="e">
        <f ca="1">_xll.BDH($C$78,"CUR_RATIO","FY 2018","FY 2018","Currency=INR","Period=FY","BEST_FPERIOD_OVERRIDE=FY","FILING_STATUS=OR","EQY_CONSOLIDATED=Y","Sort=A","Dates=H","DateFormat=P","Fill=—","Direction=H","UseDPDF=Y")</f>
        <v>#NAME?</v>
      </c>
      <c r="CU98" s="2" t="e">
        <f ca="1">_xll.BDH($C$78,"QUICK_RATIO","FY 2018","FY 2018","Currency=INR","Period=FY","BEST_FPERIOD_OVERRIDE=FY","FILING_STATUS=OR","EQY_CONSOLIDATED=Y","Sort=A","Dates=H","DateFormat=P","Fill=—","Direction=H","UseDPDF=Y")</f>
        <v>#NAME?</v>
      </c>
      <c r="CV98" s="2" t="e">
        <f ca="1">_xll.BDH($C$78,"ALTMAN_Z_SCORE","FY 2018","FY 2018","Currency=INR","Period=FY","BEST_FPERIOD_OVERRIDE=FY","FILING_STATUS=OR","EQY_CONSOLIDATED=Y","Sort=A","Dates=H","DateFormat=P","Fill=—","Direction=H","UseDPDF=Y")</f>
        <v>#NAME?</v>
      </c>
      <c r="CW98" s="4" t="e">
        <f ca="1">_xll.BDH($C$78,"ACCT_RCV_TURN","FY 2018","FY 2018","Currency=INR","Period=FY","BEST_FPERIOD_OVERRIDE=FY","FILING_STATUS=OR","EQY_CONSOLIDATED=Y","FA_ADJUSTED=GAAP","Sort=A","Dates=H","DateFormat=P","Fill=—","Direction=H","UseDPDF=Y")</f>
        <v>#NAME?</v>
      </c>
      <c r="CX98" s="2" t="e">
        <f ca="1">_xll.BDH($C$78,"ACCT_RCV_DAYS","FY 2018","FY 2018","Currency=INR","Period=FY","BEST_FPERIOD_OVERRIDE=FY","FILING_STATUS=OR","EQY_CONSOLIDATED=Y","FA_ADJUSTED=GAAP","Sort=A","Dates=H","DateFormat=P","Fill=—","Direction=H","UseDPDF=Y")</f>
        <v>#NAME?</v>
      </c>
      <c r="CY98" s="4" t="e">
        <f ca="1">_xll.BDH($C$78,"INVENT_TURN","FY 2018","FY 2018","Currency=INR","Period=FY","BEST_FPERIOD_OVERRIDE=FY","FILING_STATUS=OR","EQY_CONSOLIDATED=Y","FA_ADJUSTED=GAAP","Sort=A","Dates=H","DateFormat=P","Fill=—","Direction=H","UseDPDF=Y")</f>
        <v>#NAME?</v>
      </c>
      <c r="CZ98" s="2" t="e">
        <f ca="1">_xll.BDH($C$78,"INVENT_DAYS","FY 2018","FY 2018","Currency=INR","Period=FY","BEST_FPERIOD_OVERRIDE=FY","FILING_STATUS=OR","EQY_CONSOLIDATED=Y","FA_ADJUSTED=GAAP","Sort=A","Dates=H","DateFormat=P","Fill=—","Direction=H","UseDPDF=Y")</f>
        <v>#NAME?</v>
      </c>
      <c r="DA98" s="4" t="e">
        <f ca="1">_xll.BDH($C$78,"ACCOUNTS_PAYABLE_TURNOVER","FY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98" s="2" t="e">
        <f ca="1">_xll.BDH($C$78,"ACCOUNTS_PAYABLE_TURNOVER_DAYS","FY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98" s="4" t="e">
        <f ca="1">_xll.BDH($C$78,"CASH_CONVERSION_CYCLE","FY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98" s="4" t="e">
        <f ca="1">_xll.BDH($C$78,"INV_TO_CASH_DAYS","FY 2018","FY 2018","Currency=INR","Period=FY","BEST_FPERIOD_OVERRIDE=FY","FILING_STATUS=OR","EQY_CONSOLIDATED=Y","FA_ADJUSTED=GAAP","Sort=A","Dates=H","DateFormat=P","Fill=—","Direction=H","UseDPDF=Y")</f>
        <v>#NAME?</v>
      </c>
      <c r="DE98" s="5" t="e">
        <f ca="1">_xll.BDH($C$78,"BS_INVENTORIES","FY 2018","FY 2018","Currency=INR","Period=FY","BEST_FPERIOD_OVERRIDE=FY","FILING_STATUS=OR","EQY_CONSOLIDATED=Y","SCALING_FORMAT=MLN","Sort=A","Dates=H","DateFormat=P","Fill=—","Direction=H","UseDPDF=Y")</f>
        <v>#NAME?</v>
      </c>
      <c r="DF98" s="3" t="e">
        <f ca="1">_xll.BDH($C$78,"INVTRY_RAW_MATERIALS","FY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98" s="3" t="e">
        <f ca="1">_xll.BDH($C$78,"INVTRY_IN_PROGRESS","FY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98" s="3" t="e">
        <f ca="1">_xll.BDH($C$78,"INVTRY_FINISHED_GOODS","FY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98" s="3" t="e">
        <f ca="1">_xll.BDH($C$78,"BS_OTHER_INV","FY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99" spans="1:113" x14ac:dyDescent="0.3">
      <c r="A99" s="6"/>
      <c r="B99" s="6"/>
      <c r="C99" s="6"/>
      <c r="D99" s="6"/>
      <c r="E99" t="s">
        <v>78</v>
      </c>
      <c r="F99" t="e">
        <f ca="1">_xll.BDH($C$78,"RETURN_COM_EQY","FQ1 2018","FQ1 2018","Currency=INR","Period=FQ","BEST_FPERIOD_OVERRIDE=FQ","FILING_STATUS=OR","EQY_CONSOLIDATED=Y","FA_ADJUSTED=GAAP","Sort=A","Dates=H","DateFormat=P","Fill=—","Direction=H","UseDPDF=Y")</f>
        <v>#NAME?</v>
      </c>
      <c r="G99" t="e">
        <f ca="1">_xll.BDH($C$78,"RETURN_ON_ASSET","FQ1 2018","FQ1 2018","Currency=INR","Period=FQ","BEST_FPERIOD_OVERRIDE=FQ","FILING_STATUS=OR","EQY_CONSOLIDATED=Y","FA_ADJUSTED=GAAP","Sort=A","Dates=H","DateFormat=P","Fill=—","Direction=H","UseDPDF=Y")</f>
        <v>#NAME?</v>
      </c>
      <c r="H99" t="e">
        <f ca="1">_xll.BDH($C$78,"RETURN_ON_CAP","FQ1 2018","FQ1 2018","Currency=INR","Period=FQ","BEST_FPERIOD_OVERRIDE=FQ","FILING_STATUS=OR","EQY_CONSOLIDATED=Y","FA_ADJUSTED=GAAP","Sort=A","Dates=H","DateFormat=P","Fill=—","Direction=H","UseDPDF=Y")</f>
        <v>#NAME?</v>
      </c>
      <c r="I99" t="e">
        <f ca="1">_xll.BDH($C$78,"RETURN_ON_INV_CAPITAL","FQ1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99" t="e">
        <f ca="1">_xll.BDH($C$78,"EBITDA_TO_REVENUE","FQ1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99" t="e">
        <f ca="1">_xll.BDH($C$78,"OPER_MARGIN","FQ1 2018","FQ1 2018","Currency=INR","Period=FQ","BEST_FPERIOD_OVERRIDE=FQ","FILING_STATUS=OR","EQY_CONSOLIDATED=Y","FA_ADJUSTED=GAAP","Sort=A","Dates=H","DateFormat=P","Fill=—","Direction=H","UseDPDF=Y")</f>
        <v>#NAME?</v>
      </c>
      <c r="L99" t="e">
        <f ca="1">_xll.BDH($C$78,"INCREMENTAL_OPERATING_MARGIN","FQ1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99" t="e">
        <f ca="1">_xll.BDH($C$78,"PRETAX_INC_TO_NET_SALES","FQ1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99" t="e">
        <f ca="1">_xll.BDH($C$78,"INC_BEF_XO_ITEMS_TO_NET_SALES","FQ1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99" t="e">
        <f ca="1">_xll.BDH($C$78,"PROF_MARGIN","FQ1 2018","FQ1 2018","Currency=INR","Period=FQ","BEST_FPERIOD_OVERRIDE=FQ","FILING_STATUS=OR","EQY_CONSOLIDATED=Y","FA_ADJUSTED=GAAP","Sort=A","Dates=H","DateFormat=P","Fill=—","Direction=H","UseDPDF=Y")</f>
        <v>#NAME?</v>
      </c>
      <c r="P99" t="e">
        <f ca="1">_xll.BDH($C$78,"NET_INCOME_TO_COMMON_MARGIN","FQ1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99" t="e">
        <f ca="1">_xll.BDH($C$78,"EFF_TAX_RATE","FQ1 2018","FQ1 2018","Currency=INR","Period=FQ","BEST_FPERIOD_OVERRIDE=FQ","FILING_STATUS=OR","EQY_CONSOLIDATED=Y","FA_ADJUSTED=GAAP","Sort=A","Dates=H","DateFormat=P","Fill=—","Direction=H","UseDPDF=Y")</f>
        <v>#NAME?</v>
      </c>
      <c r="R99" t="e">
        <f ca="1">_xll.BDH($C$78,"DVD_PAYOUT_RATIO","FQ1 2018","FQ1 2018","Currency=INR","Period=FQ","BEST_FPERIOD_OVERRIDE=FQ","FILING_STATUS=OR","EQY_CONSOLIDATED=Y","FA_ADJUSTED=GAAP","Sort=A","Dates=H","DateFormat=P","Fill=—","Direction=H","UseDPDF=Y")</f>
        <v>#NAME?</v>
      </c>
      <c r="S99" t="e">
        <f ca="1">_xll.BDH($C$78,"SUSTAIN_GROWTH_RT","FQ1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99" s="2" t="e">
        <f ca="1">_xll.BDH($C$78,"SALES_GROWTH","FQ1 2018","FQ1 2018","Currency=INR","Period=FQ","BEST_FPERIOD_OVERRIDE=FQ","FILING_STATUS=OR","EQY_CONSOLIDATED=Y","FA_ADJUSTED=GAAP","Sort=A","Dates=H","DateFormat=P","Fill=—","Direction=H","UseDPDF=Y")</f>
        <v>#NAME?</v>
      </c>
      <c r="U99" s="2" t="e">
        <f ca="1">_xll.BDH($C$78,"EBITDA_GROWTH","FQ1 2018","FQ1 2018","Currency=INR","Period=FQ","BEST_FPERIOD_OVERRIDE=FQ","FILING_STATUS=OR","EQY_CONSOLIDATED=Y","FA_ADJUSTED=GAAP","Sort=A","Dates=H","DateFormat=P","Fill=—","Direction=H","UseDPDF=Y")</f>
        <v>#NAME?</v>
      </c>
      <c r="V99" s="2" t="e">
        <f ca="1">_xll.BDH($C$78,"OPER_INC_GROWTH","FQ1 2018","FQ1 2018","Currency=INR","Period=FQ","BEST_FPERIOD_OVERRIDE=FQ","FILING_STATUS=OR","EQY_CONSOLIDATED=Y","FA_ADJUSTED=GAAP","Sort=A","Dates=H","DateFormat=P","Fill=—","Direction=H","UseDPDF=Y")</f>
        <v>#NAME?</v>
      </c>
      <c r="W99" s="2" t="e">
        <f ca="1">_xll.BDH($C$78,"EARN_FOR_COM_GROWTH","FQ1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99" s="2" t="e">
        <f ca="1">_xll.BDH($C$78,"DILUTED_EPS_AFT_XO_ITEMS_GROWTH","FQ1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99" s="2" t="e">
        <f ca="1">_xll.BDH($C$78,"DIVIDEND_PER_SHARE_1_YEAR_GROWTH","FQ1 2018","FQ1 2018","Currency=INR","Period=FQ","BEST_FPERIOD_OVERRIDE=FQ","FILING_STATUS=OR","EQY_CONSOLIDATED=Y","Sort=A","Dates=H","DateFormat=P","Fill=—","Direction=H","UseDPDF=Y")</f>
        <v>#NAME?</v>
      </c>
      <c r="Z99" s="2" t="e">
        <f ca="1">_xll.BDH($C$78,"ACCOUNTS_RECEIVABLE_GROWTH","FQ1 2018","FQ1 2018","Currency=INR","Period=FQ","BEST_FPERIOD_OVERRIDE=FQ","FILING_STATUS=OR","EQY_CONSOLIDATED=Y","Sort=A","Dates=H","DateFormat=P","Fill=—","Direction=H","UseDPDF=Y")</f>
        <v>#NAME?</v>
      </c>
      <c r="AA99" s="2" t="e">
        <f ca="1">_xll.BDH($C$78,"INVENTORY_GROWTH","FQ1 2018","FQ1 2018","Currency=INR","Period=FQ","BEST_FPERIOD_OVERRIDE=FQ","FILING_STATUS=OR","EQY_CONSOLIDATED=Y","Sort=A","Dates=H","DateFormat=P","Fill=—","Direction=H","UseDPDF=Y")</f>
        <v>#NAME?</v>
      </c>
      <c r="AB99" s="2" t="e">
        <f ca="1">_xll.BDH($C$78,"NET_FIXED_ASSETS_1_YEAR_GROWTH","FQ1 2018","FQ1 2018","Currency=INR","Period=FQ","BEST_FPERIOD_OVERRIDE=FQ","FILING_STATUS=OR","EQY_CONSOLIDATED=Y","Sort=A","Dates=H","DateFormat=P","Fill=—","Direction=H","UseDPDF=Y")</f>
        <v>#NAME?</v>
      </c>
      <c r="AC99" s="2" t="e">
        <f ca="1">_xll.BDH($C$78,"ASSET_GROWTH","FQ1 2018","FQ1 2018","Currency=INR","Period=FQ","BEST_FPERIOD_OVERRIDE=FQ","FILING_STATUS=OR","EQY_CONSOLIDATED=Y","Sort=A","Dates=H","DateFormat=P","Fill=—","Direction=H","UseDPDF=Y")</f>
        <v>#NAME?</v>
      </c>
      <c r="AD99" s="2" t="e">
        <f ca="1">_xll.BDH($C$78,"MODIFIED_WORK_CAP_GROWTH","FQ1 2018","FQ1 2018","Currency=INR","Period=FQ","BEST_FPERIOD_OVERRIDE=FQ","FILING_STATUS=OR","EQY_CONSOLIDATED=Y","Sort=A","Dates=H","DateFormat=P","Fill=—","Direction=H","UseDPDF=Y")</f>
        <v>#NAME?</v>
      </c>
      <c r="AE99" s="2" t="e">
        <f ca="1">_xll.BDH($C$78,"WORK_CAP_GROWTH","FQ1 2018","FQ1 2018","Currency=INR","Period=FQ","BEST_FPERIOD_OVERRIDE=FQ","FILING_STATUS=OR","EQY_CONSOLIDATED=Y","Sort=A","Dates=H","DateFormat=P","Fill=—","Direction=H","UseDPDF=Y")</f>
        <v>#NAME?</v>
      </c>
      <c r="AF99" s="2" t="e">
        <f ca="1">_xll.BDH($C$78,"ACCOUNTS_PAYABLE_GROWTH_1YR","FQ1 2018","FQ1 2018","Currency=INR","Period=FQ","BEST_FPERIOD_OVERRIDE=FQ","FILING_STATUS=OR","EQY_CONSOLIDATED=Y","Sort=A","Dates=H","DateFormat=P","Fill=—","Direction=H","UseDPDF=Y")</f>
        <v>#NAME?</v>
      </c>
      <c r="AG99" s="2" t="e">
        <f ca="1">_xll.BDH($C$78,"SHORT_TERM_DEBT_1_YEAR_GROWTH","FQ1 2018","FQ1 2018","Currency=INR","Period=FQ","BEST_FPERIOD_OVERRIDE=FQ","FILING_STATUS=OR","EQY_CONSOLIDATED=Y","Sort=A","Dates=H","DateFormat=P","Fill=—","Direction=H","UseDPDF=Y")</f>
        <v>#NAME?</v>
      </c>
      <c r="AH99" s="2" t="e">
        <f ca="1">_xll.BDH($C$78,"TOTAL_DEBT_1_YEAR_GROWTH","FQ1 2018","FQ1 2018","Currency=INR","Period=FQ","BEST_FPERIOD_OVERRIDE=FQ","FILING_STATUS=OR","EQY_CONSOLIDATED=Y","Sort=A","Dates=H","DateFormat=P","Fill=—","Direction=H","UseDPDF=Y")</f>
        <v>#NAME?</v>
      </c>
      <c r="AI99" s="2" t="e">
        <f ca="1">_xll.BDH($C$78,"TOTAL_EQUITY_1_YEAR_GROWTH","FQ1 2018","FQ1 2018","Currency=INR","Period=FQ","BEST_FPERIOD_OVERRIDE=FQ","FILING_STATUS=OR","EQY_CONSOLIDATED=Y","Sort=A","Dates=H","DateFormat=P","Fill=—","Direction=H","UseDPDF=Y")</f>
        <v>#NAME?</v>
      </c>
      <c r="AJ99" s="2" t="e">
        <f ca="1">_xll.BDH($C$78,"GROWTH_IN_CAP","FQ1 2018","FQ1 2018","Currency=INR","Period=FQ","BEST_FPERIOD_OVERRIDE=FQ","FILING_STATUS=OR","EQY_CONSOLIDATED=Y","Sort=A","Dates=H","DateFormat=P","Fill=—","Direction=H","UseDPDF=Y")</f>
        <v>#NAME?</v>
      </c>
      <c r="AK99" s="2" t="e">
        <f ca="1">_xll.BDH($C$78,"BVPS_GROWTH","FQ1 2018","FQ1 2018","Currency=INR","Period=FQ","BEST_FPERIOD_OVERRIDE=FQ","FILING_STATUS=OR","EQY_CONSOLIDATED=Y","Sort=A","Dates=H","DateFormat=P","Fill=—","Direction=H","UseDPDF=Y")</f>
        <v>#NAME?</v>
      </c>
      <c r="AL99" s="2" t="e">
        <f ca="1">_xll.BDH($C$78,"CASH_FLOW_GROWTH","FQ1 2018","FQ1 2018","Currency=INR","Period=FQ","BEST_FPERIOD_OVERRIDE=FQ","FILING_STATUS=OR","EQY_CONSOLIDATED=Y","Sort=A","Dates=H","DateFormat=P","Fill=—","Direction=H","UseDPDF=Y")</f>
        <v>#NAME?</v>
      </c>
      <c r="AM99" s="2" t="e">
        <f ca="1">_xll.BDH($C$78,"GEO_GROW_NET_SALES","FQ1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99" s="2" t="e">
        <f ca="1">_xll.BDH($C$78,"GEO_GROW_EBITDA","FQ1 2018","FQ1 2018","Currency=INR","Period=FQ","BEST_FPERIOD_OVERRIDE=FQ","FILING_STATUS=OR","EQY_CONSOLIDATED=Y","FA_ADJUSTED=GAAP","Sort=A","Dates=H","DateFormat=P","Fill=—","Direction=H","UseDPDF=Y")</f>
        <v>#NAME?</v>
      </c>
      <c r="AO99" s="2" t="e">
        <f ca="1">_xll.BDH($C$78,"GEO_GROW_OPER_INC","FQ1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99" s="2" t="e">
        <f ca="1">_xll.BDH($C$78,"NET_INCOME_TO_COMMON_5_YR_GROWTH","FQ1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99" s="2" t="e">
        <f ca="1">_xll.BDH($C$78,"5Y_GEO_GROWTH_DILUTED_EPS","FQ1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99" s="2" t="e">
        <f ca="1">_xll.BDH($C$78,"GEO_GROW_DVD_PER_SH","FQ1 2018","FQ1 2018","Currency=INR","Period=FQ","BEST_FPERIOD_OVERRIDE=FQ","FILING_STATUS=OR","EQY_CONSOLIDATED=Y","Sort=A","Dates=H","DateFormat=P","Fill=—","Direction=H","UseDPDF=Y")</f>
        <v>#NAME?</v>
      </c>
      <c r="AS99" s="2" t="e">
        <f ca="1">_xll.BDH($C$78,"ACCOUNTS_RECEIVABLE_5_YR_GROWTH","FQ1 2018","FQ1 2018","Currency=INR","Period=FQ","BEST_FPERIOD_OVERRIDE=FQ","FILING_STATUS=OR","EQY_CONSOLIDATED=Y","Sort=A","Dates=H","DateFormat=P","Fill=—","Direction=H","UseDPDF=Y")</f>
        <v>#NAME?</v>
      </c>
      <c r="AT99" s="2" t="e">
        <f ca="1">_xll.BDH($C$78,"INVENTORY_5_YEAR_GROWTH","FQ1 2018","FQ1 2018","Currency=INR","Period=FQ","BEST_FPERIOD_OVERRIDE=FQ","FILING_STATUS=OR","EQY_CONSOLIDATED=Y","Sort=A","Dates=H","DateFormat=P","Fill=—","Direction=H","UseDPDF=Y")</f>
        <v>#NAME?</v>
      </c>
      <c r="AU99" s="2" t="e">
        <f ca="1">_xll.BDH($C$78,"NET_FIXED_ASSETS_5_YEAR_GROWTH","FQ1 2018","FQ1 2018","Currency=INR","Period=FQ","BEST_FPERIOD_OVERRIDE=FQ","FILING_STATUS=OR","EQY_CONSOLIDATED=Y","Sort=A","Dates=H","DateFormat=P","Fill=—","Direction=H","UseDPDF=Y")</f>
        <v>#NAME?</v>
      </c>
      <c r="AV99" s="2" t="e">
        <f ca="1">_xll.BDH($C$78,"GEO_GROW_TOT_ASSET","FQ1 2018","FQ1 2018","Currency=INR","Period=FQ","BEST_FPERIOD_OVERRIDE=FQ","FILING_STATUS=OR","EQY_CONSOLIDATED=Y","Sort=A","Dates=H","DateFormat=P","Fill=—","Direction=H","UseDPDF=Y")</f>
        <v>#NAME?</v>
      </c>
      <c r="AW99" s="2" t="e">
        <f ca="1">_xll.BDH($C$78,"MODIFIED_WORKING_CPTL_5YR_GRWTH","FQ1 2018","FQ1 2018","Currency=INR","Period=FQ","BEST_FPERIOD_OVERRIDE=FQ","FILING_STATUS=OR","EQY_CONSOLIDATED=Y","Sort=A","Dates=H","DateFormat=P","Fill=—","Direction=H","UseDPDF=Y")</f>
        <v>#NAME?</v>
      </c>
      <c r="AX99" s="2" t="e">
        <f ca="1">_xll.BDH($C$78,"WORKING_CAPITAL_5_YEAR_GROWTH","FQ1 2018","FQ1 2018","Currency=INR","Period=FQ","BEST_FPERIOD_OVERRIDE=FQ","FILING_STATUS=OR","EQY_CONSOLIDATED=Y","Sort=A","Dates=H","DateFormat=P","Fill=—","Direction=H","UseDPDF=Y")</f>
        <v>#NAME?</v>
      </c>
      <c r="AY99" s="2" t="e">
        <f ca="1">_xll.BDH($C$78,"ACCOUNTS_PAYABLE_5_YEAR_GROWTH","FQ1 2018","FQ1 2018","Currency=INR","Period=FQ","BEST_FPERIOD_OVERRIDE=FQ","FILING_STATUS=OR","EQY_CONSOLIDATED=Y","Sort=A","Dates=H","DateFormat=P","Fill=—","Direction=H","UseDPDF=Y")</f>
        <v>#NAME?</v>
      </c>
      <c r="AZ99" s="2" t="e">
        <f ca="1">_xll.BDH($C$78,"SHORT_TERM_DEBT_5_YEAR_GROWTH","FQ1 2018","FQ1 2018","Currency=INR","Period=FQ","BEST_FPERIOD_OVERRIDE=FQ","FILING_STATUS=OR","EQY_CONSOLIDATED=Y","Sort=A","Dates=H","DateFormat=P","Fill=—","Direction=H","UseDPDF=Y")</f>
        <v>#NAME?</v>
      </c>
      <c r="BA99" s="2" t="e">
        <f ca="1">_xll.BDH($C$78,"TOTAL_DEBT_5_YEAR_GROWTH","FQ1 2018","FQ1 2018","Currency=INR","Period=FQ","BEST_FPERIOD_OVERRIDE=FQ","FILING_STATUS=OR","EQY_CONSOLIDATED=Y","Sort=A","Dates=H","DateFormat=P","Fill=—","Direction=H","UseDPDF=Y")</f>
        <v>#NAME?</v>
      </c>
      <c r="BB99" s="2" t="e">
        <f ca="1">_xll.BDH($C$78,"GEO_GROW_TOT_SHRHLDR_EQY","FQ1 2018","FQ1 2018","Currency=INR","Period=FQ","BEST_FPERIOD_OVERRIDE=FQ","FILING_STATUS=OR","EQY_CONSOLIDATED=Y","Sort=A","Dates=H","DateFormat=P","Fill=—","Direction=H","UseDPDF=Y")</f>
        <v>#NAME?</v>
      </c>
      <c r="BC99" s="2" t="e">
        <f ca="1">_xll.BDH($C$78,"TOTAL_CAPITAL_5_YEAR_GROWTH","FQ1 2018","FQ1 2018","Currency=INR","Period=FQ","BEST_FPERIOD_OVERRIDE=FQ","FILING_STATUS=OR","EQY_CONSOLIDATED=Y","Sort=A","Dates=H","DateFormat=P","Fill=—","Direction=H","UseDPDF=Y")</f>
        <v>#NAME?</v>
      </c>
      <c r="BD99" s="2" t="e">
        <f ca="1">_xll.BDH($C$78,"GEO_GROW_BOOK_VAL","FQ1 2018","FQ1 2018","Currency=INR","Period=FQ","BEST_FPERIOD_OVERRIDE=FQ","FILING_STATUS=OR","EQY_CONSOLIDATED=Y","Sort=A","Dates=H","DateFormat=P","Fill=—","Direction=H","UseDPDF=Y")</f>
        <v>#NAME?</v>
      </c>
      <c r="BE99" s="2" t="e">
        <f ca="1">_xll.BDH($C$78,"GEO_GROW_CASH_OPER_ACT","FQ1 2018","FQ1 2018","Currency=INR","Period=FQ","BEST_FPERIOD_OVERRIDE=FQ","FILING_STATUS=OR","EQY_CONSOLIDATED=Y","Sort=A","Dates=H","DateFormat=P","Fill=—","Direction=H","UseDPDF=Y")</f>
        <v>#NAME?</v>
      </c>
      <c r="BF99" s="2" t="e">
        <f ca="1">_xll.BDH($C$78,"REVENUE_SEQUENTIAL_GROWTH","FQ1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99" s="2" t="e">
        <f ca="1">_xll.BDH($C$78,"EBITDA_SEQUENTIAL_GROWTH","FQ1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99" s="2" t="e">
        <f ca="1">_xll.BDH($C$78,"OPERATING_INCOME_SEQ_GROWTH","FQ1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99" s="2" t="e">
        <f ca="1">_xll.BDH($C$78,"NET_INCOME_TO_COMMON_SEQ_GROWTH","FQ1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99" s="2" t="e">
        <f ca="1">_xll.BDH($C$78,"EPS_DILUTED_SEQUENTIAL_GROWTH","FQ1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99" s="2" t="e">
        <f ca="1">_xll.BDH($C$78,"DPS_SEQUENTIAL_GROWTH","FQ1 2018","FQ1 2018","Currency=INR","Period=FQ","BEST_FPERIOD_OVERRIDE=FQ","FILING_STATUS=OR","EQY_CONSOLIDATED=Y","Sort=A","Dates=H","DateFormat=P","Fill=—","Direction=H","UseDPDF=Y")</f>
        <v>#NAME?</v>
      </c>
      <c r="BL99" s="2" t="e">
        <f ca="1">_xll.BDH($C$78,"ACCOUNTS_RECEIVABLE_SEQ_GROWTH","FQ1 2018","FQ1 2018","Currency=INR","Period=FQ","BEST_FPERIOD_OVERRIDE=FQ","FILING_STATUS=OR","EQY_CONSOLIDATED=Y","Sort=A","Dates=H","DateFormat=P","Fill=—","Direction=H","UseDPDF=Y")</f>
        <v>#NAME?</v>
      </c>
      <c r="BM99" s="2" t="e">
        <f ca="1">_xll.BDH($C$78,"INVENTORY_SEQUENTIAL_GROWTH","FQ1 2018","FQ1 2018","Currency=INR","Period=FQ","BEST_FPERIOD_OVERRIDE=FQ","FILING_STATUS=OR","EQY_CONSOLIDATED=Y","Sort=A","Dates=H","DateFormat=P","Fill=—","Direction=H","UseDPDF=Y")</f>
        <v>#NAME?</v>
      </c>
      <c r="BN99" s="2" t="e">
        <f ca="1">_xll.BDH($C$78,"FIXED_ASSETS_SEQUENTIAL_GROWTH","FQ1 2018","FQ1 2018","Currency=INR","Period=FQ","BEST_FPERIOD_OVERRIDE=FQ","FILING_STATUS=OR","EQY_CONSOLIDATED=Y","Sort=A","Dates=H","DateFormat=P","Fill=—","Direction=H","UseDPDF=Y")</f>
        <v>#NAME?</v>
      </c>
      <c r="BO99" s="2" t="e">
        <f ca="1">_xll.BDH($C$78,"TOTAL_ASSETS_SEQUENTIAL_GROWTH","FQ1 2018","FQ1 2018","Currency=INR","Period=FQ","BEST_FPERIOD_OVERRIDE=FQ","FILING_STATUS=OR","EQY_CONSOLIDATED=Y","Sort=A","Dates=H","DateFormat=P","Fill=—","Direction=H","UseDPDF=Y")</f>
        <v>#NAME?</v>
      </c>
      <c r="BP99" s="2" t="e">
        <f ca="1">_xll.BDH($C$78,"MODIFIED_WORKING_CPTL_SEQ_GRWTH","FQ1 2018","FQ1 2018","Currency=INR","Period=FQ","BEST_FPERIOD_OVERRIDE=FQ","FILING_STATUS=OR","EQY_CONSOLIDATED=Y","Sort=A","Dates=H","DateFormat=P","Fill=—","Direction=H","UseDPDF=Y")</f>
        <v>#NAME?</v>
      </c>
      <c r="BQ99" s="2" t="e">
        <f ca="1">_xll.BDH($C$78,"WORKING_CAPITAL_SEQ_GROWTH","FQ1 2018","FQ1 2018","Currency=INR","Period=FQ","BEST_FPERIOD_OVERRIDE=FQ","FILING_STATUS=OR","EQY_CONSOLIDATED=Y","Sort=A","Dates=H","DateFormat=P","Fill=—","Direction=H","UseDPDF=Y")</f>
        <v>#NAME?</v>
      </c>
      <c r="BR99" s="2" t="e">
        <f ca="1">_xll.BDH($C$78,"ACCOUNTS_PAYABLE_SEQ_GROWTH","FQ1 2018","FQ1 2018","Currency=INR","Period=FQ","BEST_FPERIOD_OVERRIDE=FQ","FILING_STATUS=OR","EQY_CONSOLIDATED=Y","Sort=A","Dates=H","DateFormat=P","Fill=—","Direction=H","UseDPDF=Y")</f>
        <v>#NAME?</v>
      </c>
      <c r="BS99" s="2" t="e">
        <f ca="1">_xll.BDH($C$78,"ST_DEBT_SEQUENTIAL_GROWTH","FQ1 2018","FQ1 2018","Currency=INR","Period=FQ","BEST_FPERIOD_OVERRIDE=FQ","FILING_STATUS=OR","EQY_CONSOLIDATED=Y","Sort=A","Dates=H","DateFormat=P","Fill=—","Direction=H","UseDPDF=Y")</f>
        <v>#NAME?</v>
      </c>
      <c r="BT99" s="2" t="e">
        <f ca="1">_xll.BDH($C$78,"TOTAL_DEBT_SEQUENTIAL_GROWTH","FQ1 2018","FQ1 2018","Currency=INR","Period=FQ","BEST_FPERIOD_OVERRIDE=FQ","FILING_STATUS=OR","EQY_CONSOLIDATED=Y","Sort=A","Dates=H","DateFormat=P","Fill=—","Direction=H","UseDPDF=Y")</f>
        <v>#NAME?</v>
      </c>
      <c r="BU99" s="2" t="e">
        <f ca="1">_xll.BDH($C$78,"TOTAL_EQUITY_SEQUENTIAL_GROWTH","FQ1 2018","FQ1 2018","Currency=INR","Period=FQ","BEST_FPERIOD_OVERRIDE=FQ","FILING_STATUS=OR","EQY_CONSOLIDATED=Y","Sort=A","Dates=H","DateFormat=P","Fill=—","Direction=H","UseDPDF=Y")</f>
        <v>#NAME?</v>
      </c>
      <c r="BV99" s="2" t="e">
        <f ca="1">_xll.BDH($C$78,"TOTAL_CAPITAL_SEQUENTIAL_GROWTH","FQ1 2018","FQ1 2018","Currency=INR","Period=FQ","BEST_FPERIOD_OVERRIDE=FQ","FILING_STATUS=OR","EQY_CONSOLIDATED=Y","Sort=A","Dates=H","DateFormat=P","Fill=—","Direction=H","UseDPDF=Y")</f>
        <v>#NAME?</v>
      </c>
      <c r="BW99" s="2" t="e">
        <f ca="1">_xll.BDH($C$78,"BPS_SEQUENTIAL_GROWTH","FQ1 2018","FQ1 2018","Currency=INR","Period=FQ","BEST_FPERIOD_OVERRIDE=FQ","FILING_STATUS=OR","EQY_CONSOLIDATED=Y","Sort=A","Dates=H","DateFormat=P","Fill=—","Direction=H","UseDPDF=Y")</f>
        <v>#NAME?</v>
      </c>
      <c r="BX99" s="2" t="e">
        <f ca="1">_xll.BDH($C$78,"CFO_SEQUENTIAL_GROWTH","FQ1 2018","FQ1 2018","Currency=INR","Period=FQ","BEST_FPERIOD_OVERRIDE=FQ","FILING_STATUS=OR","EQY_CONSOLIDATED=Y","Sort=A","Dates=H","DateFormat=P","Fill=—","Direction=H","UseDPDF=Y")</f>
        <v>#NAME?</v>
      </c>
      <c r="BY99" s="3" t="e">
        <f ca="1">_xll.BDH($C$78,"SHORT_AND_LONG_TERM_DEBT","FQ1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99" s="3" t="e">
        <f ca="1">_xll.BDH($C$78,"BS_ST_BORROW","FQ1 2018","FQ1 2018","Currency=INR","Period=FQ","BEST_FPERIOD_OVERRIDE=FQ","FILING_STATUS=OR","EQY_CONSOLIDATED=Y","SCALING_FORMAT=MLN","Sort=A","Dates=H","DateFormat=P","Fill=—","Direction=H","UseDPDF=Y")</f>
        <v>#NAME?</v>
      </c>
      <c r="CA99" s="3" t="e">
        <f ca="1">_xll.BDH($C$78,"BS_LT_BORROW","FQ1 2018","FQ1 2018","Currency=INR","Period=FQ","BEST_FPERIOD_OVERRIDE=FQ","FILING_STATUS=OR","EQY_CONSOLIDATED=Y","SCALING_FORMAT=MLN","Sort=A","Dates=H","DateFormat=P","Fill=—","Direction=H","UseDPDF=Y")</f>
        <v>#NAME?</v>
      </c>
      <c r="CB99" s="2" t="e">
        <f ca="1">_xll.BDH($C$78,"TOT_DEBT_TO_EBITDA","FQ1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99" s="2" t="e">
        <f ca="1">_xll.BDH($C$78,"NET_DEBT_TO_EBITDA","FQ1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99" s="2" t="e">
        <f ca="1">_xll.BDH($C$78,"TOTAL_DEBT_TO_EBIT","FQ1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99" s="2" t="e">
        <f ca="1">_xll.BDH($C$78,"NET_DEBT_TO_EBIT","FQ1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99" s="2" t="e">
        <f ca="1">_xll.BDH($C$78,"EBITDA_TO_INTEREST_EXPN","FQ1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99" s="2" t="e">
        <f ca="1">_xll.BDH($C$78,"COM_EQY_TO_TOT_ASSET","FQ1 2018","FQ1 2018","Currency=INR","Period=FQ","BEST_FPERIOD_OVERRIDE=FQ","FILING_STATUS=OR","EQY_CONSOLIDATED=Y","Sort=A","Dates=H","DateFormat=P","Fill=—","Direction=H","UseDPDF=Y")</f>
        <v>#NAME?</v>
      </c>
      <c r="CH99" s="2" t="e">
        <f ca="1">_xll.BDH($C$78,"LT_DEBT_TO_TOT_EQY","FQ1 2018","FQ1 2018","Currency=INR","Period=FQ","BEST_FPERIOD_OVERRIDE=FQ","FILING_STATUS=OR","EQY_CONSOLIDATED=Y","Sort=A","Dates=H","DateFormat=P","Fill=—","Direction=H","UseDPDF=Y")</f>
        <v>#NAME?</v>
      </c>
      <c r="CI99" s="2" t="e">
        <f ca="1">_xll.BDH($C$78,"LT_DEBT_TO_TOT_CAP","FQ1 2018","FQ1 2018","Currency=INR","Period=FQ","BEST_FPERIOD_OVERRIDE=FQ","FILING_STATUS=OR","EQY_CONSOLIDATED=Y","Sort=A","Dates=H","DateFormat=P","Fill=—","Direction=H","UseDPDF=Y")</f>
        <v>#NAME?</v>
      </c>
      <c r="CJ99" s="2" t="e">
        <f ca="1">_xll.BDH($C$78,"LT_DEBT_TO_TOT_ASSET","FQ1 2018","FQ1 2018","Currency=INR","Period=FQ","BEST_FPERIOD_OVERRIDE=FQ","FILING_STATUS=OR","EQY_CONSOLIDATED=Y","Sort=A","Dates=H","DateFormat=P","Fill=—","Direction=H","UseDPDF=Y")</f>
        <v>#NAME?</v>
      </c>
      <c r="CK99" s="2" t="e">
        <f ca="1">_xll.BDH($C$78,"TOT_DEBT_TO_TOT_EQY","FQ1 2018","FQ1 2018","Currency=INR","Period=FQ","BEST_FPERIOD_OVERRIDE=FQ","FILING_STATUS=OR","EQY_CONSOLIDATED=Y","Sort=A","Dates=H","DateFormat=P","Fill=—","Direction=H","UseDPDF=Y")</f>
        <v>#NAME?</v>
      </c>
      <c r="CL99" s="2" t="e">
        <f ca="1">_xll.BDH($C$78,"TOT_DEBT_TO_TOT_CAP","FQ1 2018","FQ1 2018","Currency=INR","Period=FQ","BEST_FPERIOD_OVERRIDE=FQ","FILING_STATUS=OR","EQY_CONSOLIDATED=Y","Sort=A","Dates=H","DateFormat=P","Fill=—","Direction=H","UseDPDF=Y")</f>
        <v>#NAME?</v>
      </c>
      <c r="CM99" s="2" t="e">
        <f ca="1">_xll.BDH($C$78,"TOT_DEBT_TO_TOT_ASSET","FQ1 2018","FQ1 2018","Currency=INR","Period=FQ","BEST_FPERIOD_OVERRIDE=FQ","FILING_STATUS=OR","EQY_CONSOLIDATED=Y","Sort=A","Dates=H","DateFormat=P","Fill=—","Direction=H","UseDPDF=Y")</f>
        <v>#NAME?</v>
      </c>
      <c r="CN99" s="2" t="e">
        <f ca="1">_xll.BDH($C$78,"NET_DEBT_TO_SHRHLDR_EQTY","FQ1 2018","FQ1 2018","Currency=INR","Period=FQ","BEST_FPERIOD_OVERRIDE=FQ","FILING_STATUS=OR","EQY_CONSOLIDATED=Y","Sort=A","Dates=H","DateFormat=P","Fill=—","Direction=H","UseDPDF=Y")</f>
        <v>#NAME?</v>
      </c>
      <c r="CO99" s="2" t="e">
        <f ca="1">_xll.BDH($C$78,"NET_DEBT_%_CAPITAL","FQ1 2018","FQ1 2018","Currency=INR","Period=FQ","BEST_FPERIOD_OVERRIDE=FQ","FILING_STATUS=OR","EQY_CONSOLIDATED=Y","Sort=A","Dates=H","DateFormat=P","Fill=—","Direction=H","UseDPDF=Y")</f>
        <v>#NAME?</v>
      </c>
      <c r="CP99" s="3" t="e">
        <f ca="1">_xll.BDH($C$78,"EBITDA","FQ1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99" s="3" t="e">
        <f ca="1">_xll.BDH($C$78,"EBITDA_AFTER_CAPEX","FQ1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99" s="3" t="e">
        <f ca="1">_xll.BDH($C$78,"IS_OPER_INC","FQ1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99" s="2" t="e">
        <f ca="1">_xll.BDH($C$78,"CASH_RATIO","FQ1 2018","FQ1 2018","Currency=INR","Period=FQ","BEST_FPERIOD_OVERRIDE=FQ","FILING_STATUS=OR","EQY_CONSOLIDATED=Y","Sort=A","Dates=H","DateFormat=P","Fill=—","Direction=H","UseDPDF=Y")</f>
        <v>#NAME?</v>
      </c>
      <c r="CT99" s="2" t="e">
        <f ca="1">_xll.BDH($C$78,"CUR_RATIO","FQ1 2018","FQ1 2018","Currency=INR","Period=FQ","BEST_FPERIOD_OVERRIDE=FQ","FILING_STATUS=OR","EQY_CONSOLIDATED=Y","Sort=A","Dates=H","DateFormat=P","Fill=—","Direction=H","UseDPDF=Y")</f>
        <v>#NAME?</v>
      </c>
      <c r="CU99" s="2" t="e">
        <f ca="1">_xll.BDH($C$78,"QUICK_RATIO","FQ1 2018","FQ1 2018","Currency=INR","Period=FQ","BEST_FPERIOD_OVERRIDE=FQ","FILING_STATUS=OR","EQY_CONSOLIDATED=Y","Sort=A","Dates=H","DateFormat=P","Fill=—","Direction=H","UseDPDF=Y")</f>
        <v>#NAME?</v>
      </c>
      <c r="CV99" s="2" t="e">
        <f ca="1">_xll.BDH($C$78,"ALTMAN_Z_SCORE","FQ1 2018","FQ1 2018","Currency=INR","Period=FQ","BEST_FPERIOD_OVERRIDE=FQ","FILING_STATUS=OR","EQY_CONSOLIDATED=Y","Sort=A","Dates=H","DateFormat=P","Fill=—","Direction=H","UseDPDF=Y")</f>
        <v>#NAME?</v>
      </c>
      <c r="CW99" s="4" t="e">
        <f ca="1">_xll.BDH($C$78,"ACCT_RCV_TURN","FQ1 2018","FQ1 2018","Currency=INR","Period=FQ","BEST_FPERIOD_OVERRIDE=FQ","FILING_STATUS=OR","EQY_CONSOLIDATED=Y","FA_ADJUSTED=GAAP","Sort=A","Dates=H","DateFormat=P","Fill=—","Direction=H","UseDPDF=Y")</f>
        <v>#NAME?</v>
      </c>
      <c r="CX99" s="2" t="e">
        <f ca="1">_xll.BDH($C$78,"ACCT_RCV_DAYS","FQ1 2018","FQ1 2018","Currency=INR","Period=FQ","BEST_FPERIOD_OVERRIDE=FQ","FILING_STATUS=OR","EQY_CONSOLIDATED=Y","FA_ADJUSTED=GAAP","Sort=A","Dates=H","DateFormat=P","Fill=—","Direction=H","UseDPDF=Y")</f>
        <v>#NAME?</v>
      </c>
      <c r="CY99" s="4" t="e">
        <f ca="1">_xll.BDH($C$78,"INVENT_TURN","FQ1 2018","FQ1 2018","Currency=INR","Period=FQ","BEST_FPERIOD_OVERRIDE=FQ","FILING_STATUS=OR","EQY_CONSOLIDATED=Y","FA_ADJUSTED=GAAP","Sort=A","Dates=H","DateFormat=P","Fill=—","Direction=H","UseDPDF=Y")</f>
        <v>#NAME?</v>
      </c>
      <c r="CZ99" s="2" t="e">
        <f ca="1">_xll.BDH($C$78,"INVENT_DAYS","FQ1 2018","FQ1 2018","Currency=INR","Period=FQ","BEST_FPERIOD_OVERRIDE=FQ","FILING_STATUS=OR","EQY_CONSOLIDATED=Y","FA_ADJUSTED=GAAP","Sort=A","Dates=H","DateFormat=P","Fill=—","Direction=H","UseDPDF=Y")</f>
        <v>#NAME?</v>
      </c>
      <c r="DA99" s="4" t="e">
        <f ca="1">_xll.BDH($C$78,"ACCOUNTS_PAYABLE_TURNOVER","FQ1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99" s="2" t="e">
        <f ca="1">_xll.BDH($C$78,"ACCOUNTS_PAYABLE_TURNOVER_DAYS","FQ1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99" s="4" t="e">
        <f ca="1">_xll.BDH($C$78,"CASH_CONVERSION_CYCLE","FQ1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99" s="4" t="e">
        <f ca="1">_xll.BDH($C$78,"INV_TO_CASH_DAYS","FQ1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99" s="5" t="e">
        <f ca="1">_xll.BDH($C$78,"BS_INVENTORIES","FQ1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99" s="3" t="e">
        <f ca="1">_xll.BDH($C$78,"INVTRY_RAW_MATERIALS","FQ1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99" s="3" t="e">
        <f ca="1">_xll.BDH($C$78,"INVTRY_IN_PROGRESS","FQ1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99" s="3" t="e">
        <f ca="1">_xll.BDH($C$78,"INVTRY_FINISHED_GOODS","FQ1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99" s="3" t="e">
        <f ca="1">_xll.BDH($C$78,"BS_OTHER_INV","FQ1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100" spans="1:113" x14ac:dyDescent="0.3">
      <c r="A100" s="6"/>
      <c r="B100" s="6"/>
      <c r="C100" s="6"/>
      <c r="D100" s="6"/>
      <c r="E100" t="s">
        <v>79</v>
      </c>
      <c r="F100" t="e">
        <f ca="1">_xll.BDH($C$78,"RETURN_COM_EQY","FQ2 2018","FQ2 2018","Currency=INR","Period=FQ","BEST_FPERIOD_OVERRIDE=FQ","FILING_STATUS=OR","EQY_CONSOLIDATED=Y","FA_ADJUSTED=GAAP","Sort=A","Dates=H","DateFormat=P","Fill=—","Direction=H","UseDPDF=Y")</f>
        <v>#NAME?</v>
      </c>
      <c r="G100" t="e">
        <f ca="1">_xll.BDH($C$78,"RETURN_ON_ASSET","FQ2 2018","FQ2 2018","Currency=INR","Period=FQ","BEST_FPERIOD_OVERRIDE=FQ","FILING_STATUS=OR","EQY_CONSOLIDATED=Y","FA_ADJUSTED=GAAP","Sort=A","Dates=H","DateFormat=P","Fill=—","Direction=H","UseDPDF=Y")</f>
        <v>#NAME?</v>
      </c>
      <c r="H100" t="e">
        <f ca="1">_xll.BDH($C$78,"RETURN_ON_CAP","FQ2 2018","FQ2 2018","Currency=INR","Period=FQ","BEST_FPERIOD_OVERRIDE=FQ","FILING_STATUS=OR","EQY_CONSOLIDATED=Y","FA_ADJUSTED=GAAP","Sort=A","Dates=H","DateFormat=P","Fill=—","Direction=H","UseDPDF=Y")</f>
        <v>#NAME?</v>
      </c>
      <c r="I100" t="e">
        <f ca="1">_xll.BDH($C$78,"RETURN_ON_INV_CAPITAL","FQ2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100" t="e">
        <f ca="1">_xll.BDH($C$78,"EBITDA_TO_REVENUE","FQ2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100" t="e">
        <f ca="1">_xll.BDH($C$78,"OPER_MARGIN","FQ2 2018","FQ2 2018","Currency=INR","Period=FQ","BEST_FPERIOD_OVERRIDE=FQ","FILING_STATUS=OR","EQY_CONSOLIDATED=Y","FA_ADJUSTED=GAAP","Sort=A","Dates=H","DateFormat=P","Fill=—","Direction=H","UseDPDF=Y")</f>
        <v>#NAME?</v>
      </c>
      <c r="L100" t="e">
        <f ca="1">_xll.BDH($C$78,"INCREMENTAL_OPERATING_MARGIN","FQ2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100" t="e">
        <f ca="1">_xll.BDH($C$78,"PRETAX_INC_TO_NET_SALES","FQ2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100" t="e">
        <f ca="1">_xll.BDH($C$78,"INC_BEF_XO_ITEMS_TO_NET_SALES","FQ2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100" t="e">
        <f ca="1">_xll.BDH($C$78,"PROF_MARGIN","FQ2 2018","FQ2 2018","Currency=INR","Period=FQ","BEST_FPERIOD_OVERRIDE=FQ","FILING_STATUS=OR","EQY_CONSOLIDATED=Y","FA_ADJUSTED=GAAP","Sort=A","Dates=H","DateFormat=P","Fill=—","Direction=H","UseDPDF=Y")</f>
        <v>#NAME?</v>
      </c>
      <c r="P100" t="e">
        <f ca="1">_xll.BDH($C$78,"NET_INCOME_TO_COMMON_MARGIN","FQ2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100" t="e">
        <f ca="1">_xll.BDH($C$78,"EFF_TAX_RATE","FQ2 2018","FQ2 2018","Currency=INR","Period=FQ","BEST_FPERIOD_OVERRIDE=FQ","FILING_STATUS=OR","EQY_CONSOLIDATED=Y","FA_ADJUSTED=GAAP","Sort=A","Dates=H","DateFormat=P","Fill=—","Direction=H","UseDPDF=Y")</f>
        <v>#NAME?</v>
      </c>
      <c r="R100" t="e">
        <f ca="1">_xll.BDH($C$78,"DVD_PAYOUT_RATIO","FQ2 2018","FQ2 2018","Currency=INR","Period=FQ","BEST_FPERIOD_OVERRIDE=FQ","FILING_STATUS=OR","EQY_CONSOLIDATED=Y","FA_ADJUSTED=GAAP","Sort=A","Dates=H","DateFormat=P","Fill=—","Direction=H","UseDPDF=Y")</f>
        <v>#NAME?</v>
      </c>
      <c r="S100" t="e">
        <f ca="1">_xll.BDH($C$78,"SUSTAIN_GROWTH_RT","FQ2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100" s="2" t="e">
        <f ca="1">_xll.BDH($C$78,"SALES_GROWTH","FQ2 2018","FQ2 2018","Currency=INR","Period=FQ","BEST_FPERIOD_OVERRIDE=FQ","FILING_STATUS=OR","EQY_CONSOLIDATED=Y","FA_ADJUSTED=GAAP","Sort=A","Dates=H","DateFormat=P","Fill=—","Direction=H","UseDPDF=Y")</f>
        <v>#NAME?</v>
      </c>
      <c r="U100" s="2" t="e">
        <f ca="1">_xll.BDH($C$78,"EBITDA_GROWTH","FQ2 2018","FQ2 2018","Currency=INR","Period=FQ","BEST_FPERIOD_OVERRIDE=FQ","FILING_STATUS=OR","EQY_CONSOLIDATED=Y","FA_ADJUSTED=GAAP","Sort=A","Dates=H","DateFormat=P","Fill=—","Direction=H","UseDPDF=Y")</f>
        <v>#NAME?</v>
      </c>
      <c r="V100" s="2" t="e">
        <f ca="1">_xll.BDH($C$78,"OPER_INC_GROWTH","FQ2 2018","FQ2 2018","Currency=INR","Period=FQ","BEST_FPERIOD_OVERRIDE=FQ","FILING_STATUS=OR","EQY_CONSOLIDATED=Y","FA_ADJUSTED=GAAP","Sort=A","Dates=H","DateFormat=P","Fill=—","Direction=H","UseDPDF=Y")</f>
        <v>#NAME?</v>
      </c>
      <c r="W100" s="2" t="e">
        <f ca="1">_xll.BDH($C$78,"EARN_FOR_COM_GROWTH","FQ2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100" s="2" t="e">
        <f ca="1">_xll.BDH($C$78,"DILUTED_EPS_AFT_XO_ITEMS_GROWTH","FQ2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100" s="2" t="e">
        <f ca="1">_xll.BDH($C$78,"DIVIDEND_PER_SHARE_1_YEAR_GROWTH","FQ2 2018","FQ2 2018","Currency=INR","Period=FQ","BEST_FPERIOD_OVERRIDE=FQ","FILING_STATUS=OR","EQY_CONSOLIDATED=Y","Sort=A","Dates=H","DateFormat=P","Fill=—","Direction=H","UseDPDF=Y")</f>
        <v>#NAME?</v>
      </c>
      <c r="Z100" s="2" t="e">
        <f ca="1">_xll.BDH($C$78,"ACCOUNTS_RECEIVABLE_GROWTH","FQ2 2018","FQ2 2018","Currency=INR","Period=FQ","BEST_FPERIOD_OVERRIDE=FQ","FILING_STATUS=OR","EQY_CONSOLIDATED=Y","Sort=A","Dates=H","DateFormat=P","Fill=—","Direction=H","UseDPDF=Y")</f>
        <v>#NAME?</v>
      </c>
      <c r="AA100" s="2" t="e">
        <f ca="1">_xll.BDH($C$78,"INVENTORY_GROWTH","FQ2 2018","FQ2 2018","Currency=INR","Period=FQ","BEST_FPERIOD_OVERRIDE=FQ","FILING_STATUS=OR","EQY_CONSOLIDATED=Y","Sort=A","Dates=H","DateFormat=P","Fill=—","Direction=H","UseDPDF=Y")</f>
        <v>#NAME?</v>
      </c>
      <c r="AB100" s="2" t="e">
        <f ca="1">_xll.BDH($C$78,"NET_FIXED_ASSETS_1_YEAR_GROWTH","FQ2 2018","FQ2 2018","Currency=INR","Period=FQ","BEST_FPERIOD_OVERRIDE=FQ","FILING_STATUS=OR","EQY_CONSOLIDATED=Y","Sort=A","Dates=H","DateFormat=P","Fill=—","Direction=H","UseDPDF=Y")</f>
        <v>#NAME?</v>
      </c>
      <c r="AC100" s="2" t="e">
        <f ca="1">_xll.BDH($C$78,"ASSET_GROWTH","FQ2 2018","FQ2 2018","Currency=INR","Period=FQ","BEST_FPERIOD_OVERRIDE=FQ","FILING_STATUS=OR","EQY_CONSOLIDATED=Y","Sort=A","Dates=H","DateFormat=P","Fill=—","Direction=H","UseDPDF=Y")</f>
        <v>#NAME?</v>
      </c>
      <c r="AD100" s="2" t="e">
        <f ca="1">_xll.BDH($C$78,"MODIFIED_WORK_CAP_GROWTH","FQ2 2018","FQ2 2018","Currency=INR","Period=FQ","BEST_FPERIOD_OVERRIDE=FQ","FILING_STATUS=OR","EQY_CONSOLIDATED=Y","Sort=A","Dates=H","DateFormat=P","Fill=—","Direction=H","UseDPDF=Y")</f>
        <v>#NAME?</v>
      </c>
      <c r="AE100" s="2" t="e">
        <f ca="1">_xll.BDH($C$78,"WORK_CAP_GROWTH","FQ2 2018","FQ2 2018","Currency=INR","Period=FQ","BEST_FPERIOD_OVERRIDE=FQ","FILING_STATUS=OR","EQY_CONSOLIDATED=Y","Sort=A","Dates=H","DateFormat=P","Fill=—","Direction=H","UseDPDF=Y")</f>
        <v>#NAME?</v>
      </c>
      <c r="AF100" s="2" t="e">
        <f ca="1">_xll.BDH($C$78,"ACCOUNTS_PAYABLE_GROWTH_1YR","FQ2 2018","FQ2 2018","Currency=INR","Period=FQ","BEST_FPERIOD_OVERRIDE=FQ","FILING_STATUS=OR","EQY_CONSOLIDATED=Y","Sort=A","Dates=H","DateFormat=P","Fill=—","Direction=H","UseDPDF=Y")</f>
        <v>#NAME?</v>
      </c>
      <c r="AG100" s="2" t="e">
        <f ca="1">_xll.BDH($C$78,"SHORT_TERM_DEBT_1_YEAR_GROWTH","FQ2 2018","FQ2 2018","Currency=INR","Period=FQ","BEST_FPERIOD_OVERRIDE=FQ","FILING_STATUS=OR","EQY_CONSOLIDATED=Y","Sort=A","Dates=H","DateFormat=P","Fill=—","Direction=H","UseDPDF=Y")</f>
        <v>#NAME?</v>
      </c>
      <c r="AH100" s="2" t="e">
        <f ca="1">_xll.BDH($C$78,"TOTAL_DEBT_1_YEAR_GROWTH","FQ2 2018","FQ2 2018","Currency=INR","Period=FQ","BEST_FPERIOD_OVERRIDE=FQ","FILING_STATUS=OR","EQY_CONSOLIDATED=Y","Sort=A","Dates=H","DateFormat=P","Fill=—","Direction=H","UseDPDF=Y")</f>
        <v>#NAME?</v>
      </c>
      <c r="AI100" s="2" t="e">
        <f ca="1">_xll.BDH($C$78,"TOTAL_EQUITY_1_YEAR_GROWTH","FQ2 2018","FQ2 2018","Currency=INR","Period=FQ","BEST_FPERIOD_OVERRIDE=FQ","FILING_STATUS=OR","EQY_CONSOLIDATED=Y","Sort=A","Dates=H","DateFormat=P","Fill=—","Direction=H","UseDPDF=Y")</f>
        <v>#NAME?</v>
      </c>
      <c r="AJ100" s="2" t="e">
        <f ca="1">_xll.BDH($C$78,"GROWTH_IN_CAP","FQ2 2018","FQ2 2018","Currency=INR","Period=FQ","BEST_FPERIOD_OVERRIDE=FQ","FILING_STATUS=OR","EQY_CONSOLIDATED=Y","Sort=A","Dates=H","DateFormat=P","Fill=—","Direction=H","UseDPDF=Y")</f>
        <v>#NAME?</v>
      </c>
      <c r="AK100" s="2" t="e">
        <f ca="1">_xll.BDH($C$78,"BVPS_GROWTH","FQ2 2018","FQ2 2018","Currency=INR","Period=FQ","BEST_FPERIOD_OVERRIDE=FQ","FILING_STATUS=OR","EQY_CONSOLIDATED=Y","Sort=A","Dates=H","DateFormat=P","Fill=—","Direction=H","UseDPDF=Y")</f>
        <v>#NAME?</v>
      </c>
      <c r="AL100" s="2" t="e">
        <f ca="1">_xll.BDH($C$78,"CASH_FLOW_GROWTH","FQ2 2018","FQ2 2018","Currency=INR","Period=FQ","BEST_FPERIOD_OVERRIDE=FQ","FILING_STATUS=OR","EQY_CONSOLIDATED=Y","Sort=A","Dates=H","DateFormat=P","Fill=—","Direction=H","UseDPDF=Y")</f>
        <v>#NAME?</v>
      </c>
      <c r="AM100" s="2" t="e">
        <f ca="1">_xll.BDH($C$78,"GEO_GROW_NET_SALES","FQ2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100" s="2" t="e">
        <f ca="1">_xll.BDH($C$78,"GEO_GROW_EBITDA","FQ2 2018","FQ2 2018","Currency=INR","Period=FQ","BEST_FPERIOD_OVERRIDE=FQ","FILING_STATUS=OR","EQY_CONSOLIDATED=Y","FA_ADJUSTED=GAAP","Sort=A","Dates=H","DateFormat=P","Fill=—","Direction=H","UseDPDF=Y")</f>
        <v>#NAME?</v>
      </c>
      <c r="AO100" s="2" t="e">
        <f ca="1">_xll.BDH($C$78,"GEO_GROW_OPER_INC","FQ2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100" s="2" t="e">
        <f ca="1">_xll.BDH($C$78,"NET_INCOME_TO_COMMON_5_YR_GROWTH","FQ2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100" s="2" t="e">
        <f ca="1">_xll.BDH($C$78,"5Y_GEO_GROWTH_DILUTED_EPS","FQ2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100" s="2" t="e">
        <f ca="1">_xll.BDH($C$78,"GEO_GROW_DVD_PER_SH","FQ2 2018","FQ2 2018","Currency=INR","Period=FQ","BEST_FPERIOD_OVERRIDE=FQ","FILING_STATUS=OR","EQY_CONSOLIDATED=Y","Sort=A","Dates=H","DateFormat=P","Fill=—","Direction=H","UseDPDF=Y")</f>
        <v>#NAME?</v>
      </c>
      <c r="AS100" s="2" t="e">
        <f ca="1">_xll.BDH($C$78,"ACCOUNTS_RECEIVABLE_5_YR_GROWTH","FQ2 2018","FQ2 2018","Currency=INR","Period=FQ","BEST_FPERIOD_OVERRIDE=FQ","FILING_STATUS=OR","EQY_CONSOLIDATED=Y","Sort=A","Dates=H","DateFormat=P","Fill=—","Direction=H","UseDPDF=Y")</f>
        <v>#NAME?</v>
      </c>
      <c r="AT100" s="2" t="e">
        <f ca="1">_xll.BDH($C$78,"INVENTORY_5_YEAR_GROWTH","FQ2 2018","FQ2 2018","Currency=INR","Period=FQ","BEST_FPERIOD_OVERRIDE=FQ","FILING_STATUS=OR","EQY_CONSOLIDATED=Y","Sort=A","Dates=H","DateFormat=P","Fill=—","Direction=H","UseDPDF=Y")</f>
        <v>#NAME?</v>
      </c>
      <c r="AU100" s="2" t="e">
        <f ca="1">_xll.BDH($C$78,"NET_FIXED_ASSETS_5_YEAR_GROWTH","FQ2 2018","FQ2 2018","Currency=INR","Period=FQ","BEST_FPERIOD_OVERRIDE=FQ","FILING_STATUS=OR","EQY_CONSOLIDATED=Y","Sort=A","Dates=H","DateFormat=P","Fill=—","Direction=H","UseDPDF=Y")</f>
        <v>#NAME?</v>
      </c>
      <c r="AV100" s="2" t="e">
        <f ca="1">_xll.BDH($C$78,"GEO_GROW_TOT_ASSET","FQ2 2018","FQ2 2018","Currency=INR","Period=FQ","BEST_FPERIOD_OVERRIDE=FQ","FILING_STATUS=OR","EQY_CONSOLIDATED=Y","Sort=A","Dates=H","DateFormat=P","Fill=—","Direction=H","UseDPDF=Y")</f>
        <v>#NAME?</v>
      </c>
      <c r="AW100" s="2" t="e">
        <f ca="1">_xll.BDH($C$78,"MODIFIED_WORKING_CPTL_5YR_GRWTH","FQ2 2018","FQ2 2018","Currency=INR","Period=FQ","BEST_FPERIOD_OVERRIDE=FQ","FILING_STATUS=OR","EQY_CONSOLIDATED=Y","Sort=A","Dates=H","DateFormat=P","Fill=—","Direction=H","UseDPDF=Y")</f>
        <v>#NAME?</v>
      </c>
      <c r="AX100" s="2" t="e">
        <f ca="1">_xll.BDH($C$78,"WORKING_CAPITAL_5_YEAR_GROWTH","FQ2 2018","FQ2 2018","Currency=INR","Period=FQ","BEST_FPERIOD_OVERRIDE=FQ","FILING_STATUS=OR","EQY_CONSOLIDATED=Y","Sort=A","Dates=H","DateFormat=P","Fill=—","Direction=H","UseDPDF=Y")</f>
        <v>#NAME?</v>
      </c>
      <c r="AY100" s="2" t="e">
        <f ca="1">_xll.BDH($C$78,"ACCOUNTS_PAYABLE_5_YEAR_GROWTH","FQ2 2018","FQ2 2018","Currency=INR","Period=FQ","BEST_FPERIOD_OVERRIDE=FQ","FILING_STATUS=OR","EQY_CONSOLIDATED=Y","Sort=A","Dates=H","DateFormat=P","Fill=—","Direction=H","UseDPDF=Y")</f>
        <v>#NAME?</v>
      </c>
      <c r="AZ100" s="2" t="e">
        <f ca="1">_xll.BDH($C$78,"SHORT_TERM_DEBT_5_YEAR_GROWTH","FQ2 2018","FQ2 2018","Currency=INR","Period=FQ","BEST_FPERIOD_OVERRIDE=FQ","FILING_STATUS=OR","EQY_CONSOLIDATED=Y","Sort=A","Dates=H","DateFormat=P","Fill=—","Direction=H","UseDPDF=Y")</f>
        <v>#NAME?</v>
      </c>
      <c r="BA100" s="2" t="e">
        <f ca="1">_xll.BDH($C$78,"TOTAL_DEBT_5_YEAR_GROWTH","FQ2 2018","FQ2 2018","Currency=INR","Period=FQ","BEST_FPERIOD_OVERRIDE=FQ","FILING_STATUS=OR","EQY_CONSOLIDATED=Y","Sort=A","Dates=H","DateFormat=P","Fill=—","Direction=H","UseDPDF=Y")</f>
        <v>#NAME?</v>
      </c>
      <c r="BB100" s="2" t="e">
        <f ca="1">_xll.BDH($C$78,"GEO_GROW_TOT_SHRHLDR_EQY","FQ2 2018","FQ2 2018","Currency=INR","Period=FQ","BEST_FPERIOD_OVERRIDE=FQ","FILING_STATUS=OR","EQY_CONSOLIDATED=Y","Sort=A","Dates=H","DateFormat=P","Fill=—","Direction=H","UseDPDF=Y")</f>
        <v>#NAME?</v>
      </c>
      <c r="BC100" s="2" t="e">
        <f ca="1">_xll.BDH($C$78,"TOTAL_CAPITAL_5_YEAR_GROWTH","FQ2 2018","FQ2 2018","Currency=INR","Period=FQ","BEST_FPERIOD_OVERRIDE=FQ","FILING_STATUS=OR","EQY_CONSOLIDATED=Y","Sort=A","Dates=H","DateFormat=P","Fill=—","Direction=H","UseDPDF=Y")</f>
        <v>#NAME?</v>
      </c>
      <c r="BD100" s="2" t="e">
        <f ca="1">_xll.BDH($C$78,"GEO_GROW_BOOK_VAL","FQ2 2018","FQ2 2018","Currency=INR","Period=FQ","BEST_FPERIOD_OVERRIDE=FQ","FILING_STATUS=OR","EQY_CONSOLIDATED=Y","Sort=A","Dates=H","DateFormat=P","Fill=—","Direction=H","UseDPDF=Y")</f>
        <v>#NAME?</v>
      </c>
      <c r="BE100" s="2" t="e">
        <f ca="1">_xll.BDH($C$78,"GEO_GROW_CASH_OPER_ACT","FQ2 2018","FQ2 2018","Currency=INR","Period=FQ","BEST_FPERIOD_OVERRIDE=FQ","FILING_STATUS=OR","EQY_CONSOLIDATED=Y","Sort=A","Dates=H","DateFormat=P","Fill=—","Direction=H","UseDPDF=Y")</f>
        <v>#NAME?</v>
      </c>
      <c r="BF100" s="2" t="e">
        <f ca="1">_xll.BDH($C$78,"REVENUE_SEQUENTIAL_GROWTH","FQ2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100" s="2" t="e">
        <f ca="1">_xll.BDH($C$78,"EBITDA_SEQUENTIAL_GROWTH","FQ2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100" s="2" t="e">
        <f ca="1">_xll.BDH($C$78,"OPERATING_INCOME_SEQ_GROWTH","FQ2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100" s="2" t="e">
        <f ca="1">_xll.BDH($C$78,"NET_INCOME_TO_COMMON_SEQ_GROWTH","FQ2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100" s="2" t="e">
        <f ca="1">_xll.BDH($C$78,"EPS_DILUTED_SEQUENTIAL_GROWTH","FQ2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100" s="2" t="e">
        <f ca="1">_xll.BDH($C$78,"DPS_SEQUENTIAL_GROWTH","FQ2 2018","FQ2 2018","Currency=INR","Period=FQ","BEST_FPERIOD_OVERRIDE=FQ","FILING_STATUS=OR","EQY_CONSOLIDATED=Y","Sort=A","Dates=H","DateFormat=P","Fill=—","Direction=H","UseDPDF=Y")</f>
        <v>#NAME?</v>
      </c>
      <c r="BL100" s="2" t="e">
        <f ca="1">_xll.BDH($C$78,"ACCOUNTS_RECEIVABLE_SEQ_GROWTH","FQ2 2018","FQ2 2018","Currency=INR","Period=FQ","BEST_FPERIOD_OVERRIDE=FQ","FILING_STATUS=OR","EQY_CONSOLIDATED=Y","Sort=A","Dates=H","DateFormat=P","Fill=—","Direction=H","UseDPDF=Y")</f>
        <v>#NAME?</v>
      </c>
      <c r="BM100" s="2" t="e">
        <f ca="1">_xll.BDH($C$78,"INVENTORY_SEQUENTIAL_GROWTH","FQ2 2018","FQ2 2018","Currency=INR","Period=FQ","BEST_FPERIOD_OVERRIDE=FQ","FILING_STATUS=OR","EQY_CONSOLIDATED=Y","Sort=A","Dates=H","DateFormat=P","Fill=—","Direction=H","UseDPDF=Y")</f>
        <v>#NAME?</v>
      </c>
      <c r="BN100" s="2" t="e">
        <f ca="1">_xll.BDH($C$78,"FIXED_ASSETS_SEQUENTIAL_GROWTH","FQ2 2018","FQ2 2018","Currency=INR","Period=FQ","BEST_FPERIOD_OVERRIDE=FQ","FILING_STATUS=OR","EQY_CONSOLIDATED=Y","Sort=A","Dates=H","DateFormat=P","Fill=—","Direction=H","UseDPDF=Y")</f>
        <v>#NAME?</v>
      </c>
      <c r="BO100" s="2" t="e">
        <f ca="1">_xll.BDH($C$78,"TOTAL_ASSETS_SEQUENTIAL_GROWTH","FQ2 2018","FQ2 2018","Currency=INR","Period=FQ","BEST_FPERIOD_OVERRIDE=FQ","FILING_STATUS=OR","EQY_CONSOLIDATED=Y","Sort=A","Dates=H","DateFormat=P","Fill=—","Direction=H","UseDPDF=Y")</f>
        <v>#NAME?</v>
      </c>
      <c r="BP100" s="2" t="e">
        <f ca="1">_xll.BDH($C$78,"MODIFIED_WORKING_CPTL_SEQ_GRWTH","FQ2 2018","FQ2 2018","Currency=INR","Period=FQ","BEST_FPERIOD_OVERRIDE=FQ","FILING_STATUS=OR","EQY_CONSOLIDATED=Y","Sort=A","Dates=H","DateFormat=P","Fill=—","Direction=H","UseDPDF=Y")</f>
        <v>#NAME?</v>
      </c>
      <c r="BQ100" s="2" t="e">
        <f ca="1">_xll.BDH($C$78,"WORKING_CAPITAL_SEQ_GROWTH","FQ2 2018","FQ2 2018","Currency=INR","Period=FQ","BEST_FPERIOD_OVERRIDE=FQ","FILING_STATUS=OR","EQY_CONSOLIDATED=Y","Sort=A","Dates=H","DateFormat=P","Fill=—","Direction=H","UseDPDF=Y")</f>
        <v>#NAME?</v>
      </c>
      <c r="BR100" s="2" t="e">
        <f ca="1">_xll.BDH($C$78,"ACCOUNTS_PAYABLE_SEQ_GROWTH","FQ2 2018","FQ2 2018","Currency=INR","Period=FQ","BEST_FPERIOD_OVERRIDE=FQ","FILING_STATUS=OR","EQY_CONSOLIDATED=Y","Sort=A","Dates=H","DateFormat=P","Fill=—","Direction=H","UseDPDF=Y")</f>
        <v>#NAME?</v>
      </c>
      <c r="BS100" s="2" t="e">
        <f ca="1">_xll.BDH($C$78,"ST_DEBT_SEQUENTIAL_GROWTH","FQ2 2018","FQ2 2018","Currency=INR","Period=FQ","BEST_FPERIOD_OVERRIDE=FQ","FILING_STATUS=OR","EQY_CONSOLIDATED=Y","Sort=A","Dates=H","DateFormat=P","Fill=—","Direction=H","UseDPDF=Y")</f>
        <v>#NAME?</v>
      </c>
      <c r="BT100" s="2" t="e">
        <f ca="1">_xll.BDH($C$78,"TOTAL_DEBT_SEQUENTIAL_GROWTH","FQ2 2018","FQ2 2018","Currency=INR","Period=FQ","BEST_FPERIOD_OVERRIDE=FQ","FILING_STATUS=OR","EQY_CONSOLIDATED=Y","Sort=A","Dates=H","DateFormat=P","Fill=—","Direction=H","UseDPDF=Y")</f>
        <v>#NAME?</v>
      </c>
      <c r="BU100" s="2" t="e">
        <f ca="1">_xll.BDH($C$78,"TOTAL_EQUITY_SEQUENTIAL_GROWTH","FQ2 2018","FQ2 2018","Currency=INR","Period=FQ","BEST_FPERIOD_OVERRIDE=FQ","FILING_STATUS=OR","EQY_CONSOLIDATED=Y","Sort=A","Dates=H","DateFormat=P","Fill=—","Direction=H","UseDPDF=Y")</f>
        <v>#NAME?</v>
      </c>
      <c r="BV100" s="2" t="e">
        <f ca="1">_xll.BDH($C$78,"TOTAL_CAPITAL_SEQUENTIAL_GROWTH","FQ2 2018","FQ2 2018","Currency=INR","Period=FQ","BEST_FPERIOD_OVERRIDE=FQ","FILING_STATUS=OR","EQY_CONSOLIDATED=Y","Sort=A","Dates=H","DateFormat=P","Fill=—","Direction=H","UseDPDF=Y")</f>
        <v>#NAME?</v>
      </c>
      <c r="BW100" s="2" t="e">
        <f ca="1">_xll.BDH($C$78,"BPS_SEQUENTIAL_GROWTH","FQ2 2018","FQ2 2018","Currency=INR","Period=FQ","BEST_FPERIOD_OVERRIDE=FQ","FILING_STATUS=OR","EQY_CONSOLIDATED=Y","Sort=A","Dates=H","DateFormat=P","Fill=—","Direction=H","UseDPDF=Y")</f>
        <v>#NAME?</v>
      </c>
      <c r="BX100" s="2" t="e">
        <f ca="1">_xll.BDH($C$78,"CFO_SEQUENTIAL_GROWTH","FQ2 2018","FQ2 2018","Currency=INR","Period=FQ","BEST_FPERIOD_OVERRIDE=FQ","FILING_STATUS=OR","EQY_CONSOLIDATED=Y","Sort=A","Dates=H","DateFormat=P","Fill=—","Direction=H","UseDPDF=Y")</f>
        <v>#NAME?</v>
      </c>
      <c r="BY100" s="3" t="e">
        <f ca="1">_xll.BDH($C$78,"SHORT_AND_LONG_TERM_DEBT","FQ2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100" s="3" t="e">
        <f ca="1">_xll.BDH($C$78,"BS_ST_BORROW","FQ2 2018","FQ2 2018","Currency=INR","Period=FQ","BEST_FPERIOD_OVERRIDE=FQ","FILING_STATUS=OR","EQY_CONSOLIDATED=Y","SCALING_FORMAT=MLN","Sort=A","Dates=H","DateFormat=P","Fill=—","Direction=H","UseDPDF=Y")</f>
        <v>#NAME?</v>
      </c>
      <c r="CA100" s="3" t="e">
        <f ca="1">_xll.BDH($C$78,"BS_LT_BORROW","FQ2 2018","FQ2 2018","Currency=INR","Period=FQ","BEST_FPERIOD_OVERRIDE=FQ","FILING_STATUS=OR","EQY_CONSOLIDATED=Y","SCALING_FORMAT=MLN","Sort=A","Dates=H","DateFormat=P","Fill=—","Direction=H","UseDPDF=Y")</f>
        <v>#NAME?</v>
      </c>
      <c r="CB100" s="2" t="e">
        <f ca="1">_xll.BDH($C$78,"TOT_DEBT_TO_EBITDA","FQ2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100" s="2" t="e">
        <f ca="1">_xll.BDH($C$78,"NET_DEBT_TO_EBITDA","FQ2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100" s="2" t="e">
        <f ca="1">_xll.BDH($C$78,"TOTAL_DEBT_TO_EBIT","FQ2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100" s="2" t="e">
        <f ca="1">_xll.BDH($C$78,"NET_DEBT_TO_EBIT","FQ2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100" s="2" t="e">
        <f ca="1">_xll.BDH($C$78,"EBITDA_TO_INTEREST_EXPN","FQ2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100" s="2" t="e">
        <f ca="1">_xll.BDH($C$78,"COM_EQY_TO_TOT_ASSET","FQ2 2018","FQ2 2018","Currency=INR","Period=FQ","BEST_FPERIOD_OVERRIDE=FQ","FILING_STATUS=OR","EQY_CONSOLIDATED=Y","Sort=A","Dates=H","DateFormat=P","Fill=—","Direction=H","UseDPDF=Y")</f>
        <v>#NAME?</v>
      </c>
      <c r="CH100" s="2" t="e">
        <f ca="1">_xll.BDH($C$78,"LT_DEBT_TO_TOT_EQY","FQ2 2018","FQ2 2018","Currency=INR","Period=FQ","BEST_FPERIOD_OVERRIDE=FQ","FILING_STATUS=OR","EQY_CONSOLIDATED=Y","Sort=A","Dates=H","DateFormat=P","Fill=—","Direction=H","UseDPDF=Y")</f>
        <v>#NAME?</v>
      </c>
      <c r="CI100" s="2" t="e">
        <f ca="1">_xll.BDH($C$78,"LT_DEBT_TO_TOT_CAP","FQ2 2018","FQ2 2018","Currency=INR","Period=FQ","BEST_FPERIOD_OVERRIDE=FQ","FILING_STATUS=OR","EQY_CONSOLIDATED=Y","Sort=A","Dates=H","DateFormat=P","Fill=—","Direction=H","UseDPDF=Y")</f>
        <v>#NAME?</v>
      </c>
      <c r="CJ100" s="2" t="e">
        <f ca="1">_xll.BDH($C$78,"LT_DEBT_TO_TOT_ASSET","FQ2 2018","FQ2 2018","Currency=INR","Period=FQ","BEST_FPERIOD_OVERRIDE=FQ","FILING_STATUS=OR","EQY_CONSOLIDATED=Y","Sort=A","Dates=H","DateFormat=P","Fill=—","Direction=H","UseDPDF=Y")</f>
        <v>#NAME?</v>
      </c>
      <c r="CK100" s="2" t="e">
        <f ca="1">_xll.BDH($C$78,"TOT_DEBT_TO_TOT_EQY","FQ2 2018","FQ2 2018","Currency=INR","Period=FQ","BEST_FPERIOD_OVERRIDE=FQ","FILING_STATUS=OR","EQY_CONSOLIDATED=Y","Sort=A","Dates=H","DateFormat=P","Fill=—","Direction=H","UseDPDF=Y")</f>
        <v>#NAME?</v>
      </c>
      <c r="CL100" s="2" t="e">
        <f ca="1">_xll.BDH($C$78,"TOT_DEBT_TO_TOT_CAP","FQ2 2018","FQ2 2018","Currency=INR","Period=FQ","BEST_FPERIOD_OVERRIDE=FQ","FILING_STATUS=OR","EQY_CONSOLIDATED=Y","Sort=A","Dates=H","DateFormat=P","Fill=—","Direction=H","UseDPDF=Y")</f>
        <v>#NAME?</v>
      </c>
      <c r="CM100" s="2" t="e">
        <f ca="1">_xll.BDH($C$78,"TOT_DEBT_TO_TOT_ASSET","FQ2 2018","FQ2 2018","Currency=INR","Period=FQ","BEST_FPERIOD_OVERRIDE=FQ","FILING_STATUS=OR","EQY_CONSOLIDATED=Y","Sort=A","Dates=H","DateFormat=P","Fill=—","Direction=H","UseDPDF=Y")</f>
        <v>#NAME?</v>
      </c>
      <c r="CN100" s="2" t="e">
        <f ca="1">_xll.BDH($C$78,"NET_DEBT_TO_SHRHLDR_EQTY","FQ2 2018","FQ2 2018","Currency=INR","Period=FQ","BEST_FPERIOD_OVERRIDE=FQ","FILING_STATUS=OR","EQY_CONSOLIDATED=Y","Sort=A","Dates=H","DateFormat=P","Fill=—","Direction=H","UseDPDF=Y")</f>
        <v>#NAME?</v>
      </c>
      <c r="CO100" s="2" t="e">
        <f ca="1">_xll.BDH($C$78,"NET_DEBT_%_CAPITAL","FQ2 2018","FQ2 2018","Currency=INR","Period=FQ","BEST_FPERIOD_OVERRIDE=FQ","FILING_STATUS=OR","EQY_CONSOLIDATED=Y","Sort=A","Dates=H","DateFormat=P","Fill=—","Direction=H","UseDPDF=Y")</f>
        <v>#NAME?</v>
      </c>
      <c r="CP100" s="3" t="e">
        <f ca="1">_xll.BDH($C$78,"EBITDA","FQ2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100" s="3" t="e">
        <f ca="1">_xll.BDH($C$78,"EBITDA_AFTER_CAPEX","FQ2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100" s="3" t="e">
        <f ca="1">_xll.BDH($C$78,"IS_OPER_INC","FQ2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100" s="2" t="e">
        <f ca="1">_xll.BDH($C$78,"CASH_RATIO","FQ2 2018","FQ2 2018","Currency=INR","Period=FQ","BEST_FPERIOD_OVERRIDE=FQ","FILING_STATUS=OR","EQY_CONSOLIDATED=Y","Sort=A","Dates=H","DateFormat=P","Fill=—","Direction=H","UseDPDF=Y")</f>
        <v>#NAME?</v>
      </c>
      <c r="CT100" s="2" t="e">
        <f ca="1">_xll.BDH($C$78,"CUR_RATIO","FQ2 2018","FQ2 2018","Currency=INR","Period=FQ","BEST_FPERIOD_OVERRIDE=FQ","FILING_STATUS=OR","EQY_CONSOLIDATED=Y","Sort=A","Dates=H","DateFormat=P","Fill=—","Direction=H","UseDPDF=Y")</f>
        <v>#NAME?</v>
      </c>
      <c r="CU100" s="2" t="e">
        <f ca="1">_xll.BDH($C$78,"QUICK_RATIO","FQ2 2018","FQ2 2018","Currency=INR","Period=FQ","BEST_FPERIOD_OVERRIDE=FQ","FILING_STATUS=OR","EQY_CONSOLIDATED=Y","Sort=A","Dates=H","DateFormat=P","Fill=—","Direction=H","UseDPDF=Y")</f>
        <v>#NAME?</v>
      </c>
      <c r="CV100" s="2" t="e">
        <f ca="1">_xll.BDH($C$78,"ALTMAN_Z_SCORE","FQ2 2018","FQ2 2018","Currency=INR","Period=FQ","BEST_FPERIOD_OVERRIDE=FQ","FILING_STATUS=OR","EQY_CONSOLIDATED=Y","Sort=A","Dates=H","DateFormat=P","Fill=—","Direction=H","UseDPDF=Y")</f>
        <v>#NAME?</v>
      </c>
      <c r="CW100" s="4" t="e">
        <f ca="1">_xll.BDH($C$78,"ACCT_RCV_TURN","FQ2 2018","FQ2 2018","Currency=INR","Period=FQ","BEST_FPERIOD_OVERRIDE=FQ","FILING_STATUS=OR","EQY_CONSOLIDATED=Y","FA_ADJUSTED=GAAP","Sort=A","Dates=H","DateFormat=P","Fill=—","Direction=H","UseDPDF=Y")</f>
        <v>#NAME?</v>
      </c>
      <c r="CX100" s="2" t="e">
        <f ca="1">_xll.BDH($C$78,"ACCT_RCV_DAYS","FQ2 2018","FQ2 2018","Currency=INR","Period=FQ","BEST_FPERIOD_OVERRIDE=FQ","FILING_STATUS=OR","EQY_CONSOLIDATED=Y","FA_ADJUSTED=GAAP","Sort=A","Dates=H","DateFormat=P","Fill=—","Direction=H","UseDPDF=Y")</f>
        <v>#NAME?</v>
      </c>
      <c r="CY100" s="4" t="e">
        <f ca="1">_xll.BDH($C$78,"INVENT_TURN","FQ2 2018","FQ2 2018","Currency=INR","Period=FQ","BEST_FPERIOD_OVERRIDE=FQ","FILING_STATUS=OR","EQY_CONSOLIDATED=Y","FA_ADJUSTED=GAAP","Sort=A","Dates=H","DateFormat=P","Fill=—","Direction=H","UseDPDF=Y")</f>
        <v>#NAME?</v>
      </c>
      <c r="CZ100" s="2" t="e">
        <f ca="1">_xll.BDH($C$78,"INVENT_DAYS","FQ2 2018","FQ2 2018","Currency=INR","Period=FQ","BEST_FPERIOD_OVERRIDE=FQ","FILING_STATUS=OR","EQY_CONSOLIDATED=Y","FA_ADJUSTED=GAAP","Sort=A","Dates=H","DateFormat=P","Fill=—","Direction=H","UseDPDF=Y")</f>
        <v>#NAME?</v>
      </c>
      <c r="DA100" s="4" t="e">
        <f ca="1">_xll.BDH($C$78,"ACCOUNTS_PAYABLE_TURNOVER","FQ2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100" s="2" t="e">
        <f ca="1">_xll.BDH($C$78,"ACCOUNTS_PAYABLE_TURNOVER_DAYS","FQ2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100" s="4" t="e">
        <f ca="1">_xll.BDH($C$78,"CASH_CONVERSION_CYCLE","FQ2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100" s="4" t="e">
        <f ca="1">_xll.BDH($C$78,"INV_TO_CASH_DAYS","FQ2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100" s="5" t="e">
        <f ca="1">_xll.BDH($C$78,"BS_INVENTORIES","FQ2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100" s="3" t="e">
        <f ca="1">_xll.BDH($C$78,"INVTRY_RAW_MATERIALS","FQ2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100" s="3" t="e">
        <f ca="1">_xll.BDH($C$78,"INVTRY_IN_PROGRESS","FQ2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100" s="3" t="e">
        <f ca="1">_xll.BDH($C$78,"INVTRY_FINISHED_GOODS","FQ2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100" s="3" t="e">
        <f ca="1">_xll.BDH($C$78,"BS_OTHER_INV","FQ2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101" spans="1:113" x14ac:dyDescent="0.3">
      <c r="A101" s="6"/>
      <c r="B101" s="6"/>
      <c r="C101" s="6"/>
      <c r="D101" s="6"/>
      <c r="E101" t="s">
        <v>80</v>
      </c>
      <c r="F101" t="e">
        <f ca="1">_xll.BDH($C$78,"RETURN_COM_EQY","FQ3 2018","FQ3 2018","Currency=INR","Period=FQ","BEST_FPERIOD_OVERRIDE=FQ","FILING_STATUS=OR","EQY_CONSOLIDATED=Y","FA_ADJUSTED=GAAP","Sort=A","Dates=H","DateFormat=P","Fill=—","Direction=H","UseDPDF=Y")</f>
        <v>#NAME?</v>
      </c>
      <c r="G101" t="e">
        <f ca="1">_xll.BDH($C$78,"RETURN_ON_ASSET","FQ3 2018","FQ3 2018","Currency=INR","Period=FQ","BEST_FPERIOD_OVERRIDE=FQ","FILING_STATUS=OR","EQY_CONSOLIDATED=Y","FA_ADJUSTED=GAAP","Sort=A","Dates=H","DateFormat=P","Fill=—","Direction=H","UseDPDF=Y")</f>
        <v>#NAME?</v>
      </c>
      <c r="H101" t="e">
        <f ca="1">_xll.BDH($C$78,"RETURN_ON_CAP","FQ3 2018","FQ3 2018","Currency=INR","Period=FQ","BEST_FPERIOD_OVERRIDE=FQ","FILING_STATUS=OR","EQY_CONSOLIDATED=Y","FA_ADJUSTED=GAAP","Sort=A","Dates=H","DateFormat=P","Fill=—","Direction=H","UseDPDF=Y")</f>
        <v>#NAME?</v>
      </c>
      <c r="I101" t="e">
        <f ca="1">_xll.BDH($C$78,"RETURN_ON_INV_CAPITAL","FQ3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101" t="e">
        <f ca="1">_xll.BDH($C$78,"EBITDA_TO_REVENUE","FQ3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101" t="e">
        <f ca="1">_xll.BDH($C$78,"OPER_MARGIN","FQ3 2018","FQ3 2018","Currency=INR","Period=FQ","BEST_FPERIOD_OVERRIDE=FQ","FILING_STATUS=OR","EQY_CONSOLIDATED=Y","FA_ADJUSTED=GAAP","Sort=A","Dates=H","DateFormat=P","Fill=—","Direction=H","UseDPDF=Y")</f>
        <v>#NAME?</v>
      </c>
      <c r="L101" t="e">
        <f ca="1">_xll.BDH($C$78,"INCREMENTAL_OPERATING_MARGIN","FQ3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101" t="e">
        <f ca="1">_xll.BDH($C$78,"PRETAX_INC_TO_NET_SALES","FQ3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101" t="e">
        <f ca="1">_xll.BDH($C$78,"INC_BEF_XO_ITEMS_TO_NET_SALES","FQ3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101" t="e">
        <f ca="1">_xll.BDH($C$78,"PROF_MARGIN","FQ3 2018","FQ3 2018","Currency=INR","Period=FQ","BEST_FPERIOD_OVERRIDE=FQ","FILING_STATUS=OR","EQY_CONSOLIDATED=Y","FA_ADJUSTED=GAAP","Sort=A","Dates=H","DateFormat=P","Fill=—","Direction=H","UseDPDF=Y")</f>
        <v>#NAME?</v>
      </c>
      <c r="P101" t="e">
        <f ca="1">_xll.BDH($C$78,"NET_INCOME_TO_COMMON_MARGIN","FQ3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101" t="e">
        <f ca="1">_xll.BDH($C$78,"EFF_TAX_RATE","FQ3 2018","FQ3 2018","Currency=INR","Period=FQ","BEST_FPERIOD_OVERRIDE=FQ","FILING_STATUS=OR","EQY_CONSOLIDATED=Y","FA_ADJUSTED=GAAP","Sort=A","Dates=H","DateFormat=P","Fill=—","Direction=H","UseDPDF=Y")</f>
        <v>#NAME?</v>
      </c>
      <c r="R101" t="e">
        <f ca="1">_xll.BDH($C$78,"DVD_PAYOUT_RATIO","FQ3 2018","FQ3 2018","Currency=INR","Period=FQ","BEST_FPERIOD_OVERRIDE=FQ","FILING_STATUS=OR","EQY_CONSOLIDATED=Y","FA_ADJUSTED=GAAP","Sort=A","Dates=H","DateFormat=P","Fill=—","Direction=H","UseDPDF=Y")</f>
        <v>#NAME?</v>
      </c>
      <c r="S101" t="e">
        <f ca="1">_xll.BDH($C$78,"SUSTAIN_GROWTH_RT","FQ3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101" s="2" t="e">
        <f ca="1">_xll.BDH($C$78,"SALES_GROWTH","FQ3 2018","FQ3 2018","Currency=INR","Period=FQ","BEST_FPERIOD_OVERRIDE=FQ","FILING_STATUS=OR","EQY_CONSOLIDATED=Y","FA_ADJUSTED=GAAP","Sort=A","Dates=H","DateFormat=P","Fill=—","Direction=H","UseDPDF=Y")</f>
        <v>#NAME?</v>
      </c>
      <c r="U101" s="2" t="e">
        <f ca="1">_xll.BDH($C$78,"EBITDA_GROWTH","FQ3 2018","FQ3 2018","Currency=INR","Period=FQ","BEST_FPERIOD_OVERRIDE=FQ","FILING_STATUS=OR","EQY_CONSOLIDATED=Y","FA_ADJUSTED=GAAP","Sort=A","Dates=H","DateFormat=P","Fill=—","Direction=H","UseDPDF=Y")</f>
        <v>#NAME?</v>
      </c>
      <c r="V101" s="2" t="e">
        <f ca="1">_xll.BDH($C$78,"OPER_INC_GROWTH","FQ3 2018","FQ3 2018","Currency=INR","Period=FQ","BEST_FPERIOD_OVERRIDE=FQ","FILING_STATUS=OR","EQY_CONSOLIDATED=Y","FA_ADJUSTED=GAAP","Sort=A","Dates=H","DateFormat=P","Fill=—","Direction=H","UseDPDF=Y")</f>
        <v>#NAME?</v>
      </c>
      <c r="W101" s="2" t="e">
        <f ca="1">_xll.BDH($C$78,"EARN_FOR_COM_GROWTH","FQ3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101" s="2" t="e">
        <f ca="1">_xll.BDH($C$78,"DILUTED_EPS_AFT_XO_ITEMS_GROWTH","FQ3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101" s="2" t="e">
        <f ca="1">_xll.BDH($C$78,"DIVIDEND_PER_SHARE_1_YEAR_GROWTH","FQ3 2018","FQ3 2018","Currency=INR","Period=FQ","BEST_FPERIOD_OVERRIDE=FQ","FILING_STATUS=OR","EQY_CONSOLIDATED=Y","Sort=A","Dates=H","DateFormat=P","Fill=—","Direction=H","UseDPDF=Y")</f>
        <v>#NAME?</v>
      </c>
      <c r="Z101" s="2" t="e">
        <f ca="1">_xll.BDH($C$78,"ACCOUNTS_RECEIVABLE_GROWTH","FQ3 2018","FQ3 2018","Currency=INR","Period=FQ","BEST_FPERIOD_OVERRIDE=FQ","FILING_STATUS=OR","EQY_CONSOLIDATED=Y","Sort=A","Dates=H","DateFormat=P","Fill=—","Direction=H","UseDPDF=Y")</f>
        <v>#NAME?</v>
      </c>
      <c r="AA101" s="2" t="e">
        <f ca="1">_xll.BDH($C$78,"INVENTORY_GROWTH","FQ3 2018","FQ3 2018","Currency=INR","Period=FQ","BEST_FPERIOD_OVERRIDE=FQ","FILING_STATUS=OR","EQY_CONSOLIDATED=Y","Sort=A","Dates=H","DateFormat=P","Fill=—","Direction=H","UseDPDF=Y")</f>
        <v>#NAME?</v>
      </c>
      <c r="AB101" s="2" t="e">
        <f ca="1">_xll.BDH($C$78,"NET_FIXED_ASSETS_1_YEAR_GROWTH","FQ3 2018","FQ3 2018","Currency=INR","Period=FQ","BEST_FPERIOD_OVERRIDE=FQ","FILING_STATUS=OR","EQY_CONSOLIDATED=Y","Sort=A","Dates=H","DateFormat=P","Fill=—","Direction=H","UseDPDF=Y")</f>
        <v>#NAME?</v>
      </c>
      <c r="AC101" s="2" t="e">
        <f ca="1">_xll.BDH($C$78,"ASSET_GROWTH","FQ3 2018","FQ3 2018","Currency=INR","Period=FQ","BEST_FPERIOD_OVERRIDE=FQ","FILING_STATUS=OR","EQY_CONSOLIDATED=Y","Sort=A","Dates=H","DateFormat=P","Fill=—","Direction=H","UseDPDF=Y")</f>
        <v>#NAME?</v>
      </c>
      <c r="AD101" s="2" t="e">
        <f ca="1">_xll.BDH($C$78,"MODIFIED_WORK_CAP_GROWTH","FQ3 2018","FQ3 2018","Currency=INR","Period=FQ","BEST_FPERIOD_OVERRIDE=FQ","FILING_STATUS=OR","EQY_CONSOLIDATED=Y","Sort=A","Dates=H","DateFormat=P","Fill=—","Direction=H","UseDPDF=Y")</f>
        <v>#NAME?</v>
      </c>
      <c r="AE101" s="2" t="e">
        <f ca="1">_xll.BDH($C$78,"WORK_CAP_GROWTH","FQ3 2018","FQ3 2018","Currency=INR","Period=FQ","BEST_FPERIOD_OVERRIDE=FQ","FILING_STATUS=OR","EQY_CONSOLIDATED=Y","Sort=A","Dates=H","DateFormat=P","Fill=—","Direction=H","UseDPDF=Y")</f>
        <v>#NAME?</v>
      </c>
      <c r="AF101" s="2" t="e">
        <f ca="1">_xll.BDH($C$78,"ACCOUNTS_PAYABLE_GROWTH_1YR","FQ3 2018","FQ3 2018","Currency=INR","Period=FQ","BEST_FPERIOD_OVERRIDE=FQ","FILING_STATUS=OR","EQY_CONSOLIDATED=Y","Sort=A","Dates=H","DateFormat=P","Fill=—","Direction=H","UseDPDF=Y")</f>
        <v>#NAME?</v>
      </c>
      <c r="AG101" s="2" t="e">
        <f ca="1">_xll.BDH($C$78,"SHORT_TERM_DEBT_1_YEAR_GROWTH","FQ3 2018","FQ3 2018","Currency=INR","Period=FQ","BEST_FPERIOD_OVERRIDE=FQ","FILING_STATUS=OR","EQY_CONSOLIDATED=Y","Sort=A","Dates=H","DateFormat=P","Fill=—","Direction=H","UseDPDF=Y")</f>
        <v>#NAME?</v>
      </c>
      <c r="AH101" s="2" t="e">
        <f ca="1">_xll.BDH($C$78,"TOTAL_DEBT_1_YEAR_GROWTH","FQ3 2018","FQ3 2018","Currency=INR","Period=FQ","BEST_FPERIOD_OVERRIDE=FQ","FILING_STATUS=OR","EQY_CONSOLIDATED=Y","Sort=A","Dates=H","DateFormat=P","Fill=—","Direction=H","UseDPDF=Y")</f>
        <v>#NAME?</v>
      </c>
      <c r="AI101" s="2" t="e">
        <f ca="1">_xll.BDH($C$78,"TOTAL_EQUITY_1_YEAR_GROWTH","FQ3 2018","FQ3 2018","Currency=INR","Period=FQ","BEST_FPERIOD_OVERRIDE=FQ","FILING_STATUS=OR","EQY_CONSOLIDATED=Y","Sort=A","Dates=H","DateFormat=P","Fill=—","Direction=H","UseDPDF=Y")</f>
        <v>#NAME?</v>
      </c>
      <c r="AJ101" s="2" t="e">
        <f ca="1">_xll.BDH($C$78,"GROWTH_IN_CAP","FQ3 2018","FQ3 2018","Currency=INR","Period=FQ","BEST_FPERIOD_OVERRIDE=FQ","FILING_STATUS=OR","EQY_CONSOLIDATED=Y","Sort=A","Dates=H","DateFormat=P","Fill=—","Direction=H","UseDPDF=Y")</f>
        <v>#NAME?</v>
      </c>
      <c r="AK101" s="2" t="e">
        <f ca="1">_xll.BDH($C$78,"BVPS_GROWTH","FQ3 2018","FQ3 2018","Currency=INR","Period=FQ","BEST_FPERIOD_OVERRIDE=FQ","FILING_STATUS=OR","EQY_CONSOLIDATED=Y","Sort=A","Dates=H","DateFormat=P","Fill=—","Direction=H","UseDPDF=Y")</f>
        <v>#NAME?</v>
      </c>
      <c r="AL101" s="2" t="e">
        <f ca="1">_xll.BDH($C$78,"CASH_FLOW_GROWTH","FQ3 2018","FQ3 2018","Currency=INR","Period=FQ","BEST_FPERIOD_OVERRIDE=FQ","FILING_STATUS=OR","EQY_CONSOLIDATED=Y","Sort=A","Dates=H","DateFormat=P","Fill=—","Direction=H","UseDPDF=Y")</f>
        <v>#NAME?</v>
      </c>
      <c r="AM101" s="2" t="e">
        <f ca="1">_xll.BDH($C$78,"GEO_GROW_NET_SALES","FQ3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101" s="2" t="e">
        <f ca="1">_xll.BDH($C$78,"GEO_GROW_EBITDA","FQ3 2018","FQ3 2018","Currency=INR","Period=FQ","BEST_FPERIOD_OVERRIDE=FQ","FILING_STATUS=OR","EQY_CONSOLIDATED=Y","FA_ADJUSTED=GAAP","Sort=A","Dates=H","DateFormat=P","Fill=—","Direction=H","UseDPDF=Y")</f>
        <v>#NAME?</v>
      </c>
      <c r="AO101" s="2" t="e">
        <f ca="1">_xll.BDH($C$78,"GEO_GROW_OPER_INC","FQ3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101" s="2" t="e">
        <f ca="1">_xll.BDH($C$78,"NET_INCOME_TO_COMMON_5_YR_GROWTH","FQ3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101" s="2" t="e">
        <f ca="1">_xll.BDH($C$78,"5Y_GEO_GROWTH_DILUTED_EPS","FQ3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101" s="2" t="e">
        <f ca="1">_xll.BDH($C$78,"GEO_GROW_DVD_PER_SH","FQ3 2018","FQ3 2018","Currency=INR","Period=FQ","BEST_FPERIOD_OVERRIDE=FQ","FILING_STATUS=OR","EQY_CONSOLIDATED=Y","Sort=A","Dates=H","DateFormat=P","Fill=—","Direction=H","UseDPDF=Y")</f>
        <v>#NAME?</v>
      </c>
      <c r="AS101" s="2" t="e">
        <f ca="1">_xll.BDH($C$78,"ACCOUNTS_RECEIVABLE_5_YR_GROWTH","FQ3 2018","FQ3 2018","Currency=INR","Period=FQ","BEST_FPERIOD_OVERRIDE=FQ","FILING_STATUS=OR","EQY_CONSOLIDATED=Y","Sort=A","Dates=H","DateFormat=P","Fill=—","Direction=H","UseDPDF=Y")</f>
        <v>#NAME?</v>
      </c>
      <c r="AT101" s="2" t="e">
        <f ca="1">_xll.BDH($C$78,"INVENTORY_5_YEAR_GROWTH","FQ3 2018","FQ3 2018","Currency=INR","Period=FQ","BEST_FPERIOD_OVERRIDE=FQ","FILING_STATUS=OR","EQY_CONSOLIDATED=Y","Sort=A","Dates=H","DateFormat=P","Fill=—","Direction=H","UseDPDF=Y")</f>
        <v>#NAME?</v>
      </c>
      <c r="AU101" s="2" t="e">
        <f ca="1">_xll.BDH($C$78,"NET_FIXED_ASSETS_5_YEAR_GROWTH","FQ3 2018","FQ3 2018","Currency=INR","Period=FQ","BEST_FPERIOD_OVERRIDE=FQ","FILING_STATUS=OR","EQY_CONSOLIDATED=Y","Sort=A","Dates=H","DateFormat=P","Fill=—","Direction=H","UseDPDF=Y")</f>
        <v>#NAME?</v>
      </c>
      <c r="AV101" s="2" t="e">
        <f ca="1">_xll.BDH($C$78,"GEO_GROW_TOT_ASSET","FQ3 2018","FQ3 2018","Currency=INR","Period=FQ","BEST_FPERIOD_OVERRIDE=FQ","FILING_STATUS=OR","EQY_CONSOLIDATED=Y","Sort=A","Dates=H","DateFormat=P","Fill=—","Direction=H","UseDPDF=Y")</f>
        <v>#NAME?</v>
      </c>
      <c r="AW101" s="2" t="e">
        <f ca="1">_xll.BDH($C$78,"MODIFIED_WORKING_CPTL_5YR_GRWTH","FQ3 2018","FQ3 2018","Currency=INR","Period=FQ","BEST_FPERIOD_OVERRIDE=FQ","FILING_STATUS=OR","EQY_CONSOLIDATED=Y","Sort=A","Dates=H","DateFormat=P","Fill=—","Direction=H","UseDPDF=Y")</f>
        <v>#NAME?</v>
      </c>
      <c r="AX101" s="2" t="e">
        <f ca="1">_xll.BDH($C$78,"WORKING_CAPITAL_5_YEAR_GROWTH","FQ3 2018","FQ3 2018","Currency=INR","Period=FQ","BEST_FPERIOD_OVERRIDE=FQ","FILING_STATUS=OR","EQY_CONSOLIDATED=Y","Sort=A","Dates=H","DateFormat=P","Fill=—","Direction=H","UseDPDF=Y")</f>
        <v>#NAME?</v>
      </c>
      <c r="AY101" s="2" t="e">
        <f ca="1">_xll.BDH($C$78,"ACCOUNTS_PAYABLE_5_YEAR_GROWTH","FQ3 2018","FQ3 2018","Currency=INR","Period=FQ","BEST_FPERIOD_OVERRIDE=FQ","FILING_STATUS=OR","EQY_CONSOLIDATED=Y","Sort=A","Dates=H","DateFormat=P","Fill=—","Direction=H","UseDPDF=Y")</f>
        <v>#NAME?</v>
      </c>
      <c r="AZ101" s="2" t="e">
        <f ca="1">_xll.BDH($C$78,"SHORT_TERM_DEBT_5_YEAR_GROWTH","FQ3 2018","FQ3 2018","Currency=INR","Period=FQ","BEST_FPERIOD_OVERRIDE=FQ","FILING_STATUS=OR","EQY_CONSOLIDATED=Y","Sort=A","Dates=H","DateFormat=P","Fill=—","Direction=H","UseDPDF=Y")</f>
        <v>#NAME?</v>
      </c>
      <c r="BA101" s="2" t="e">
        <f ca="1">_xll.BDH($C$78,"TOTAL_DEBT_5_YEAR_GROWTH","FQ3 2018","FQ3 2018","Currency=INR","Period=FQ","BEST_FPERIOD_OVERRIDE=FQ","FILING_STATUS=OR","EQY_CONSOLIDATED=Y","Sort=A","Dates=H","DateFormat=P","Fill=—","Direction=H","UseDPDF=Y")</f>
        <v>#NAME?</v>
      </c>
      <c r="BB101" s="2" t="e">
        <f ca="1">_xll.BDH($C$78,"GEO_GROW_TOT_SHRHLDR_EQY","FQ3 2018","FQ3 2018","Currency=INR","Period=FQ","BEST_FPERIOD_OVERRIDE=FQ","FILING_STATUS=OR","EQY_CONSOLIDATED=Y","Sort=A","Dates=H","DateFormat=P","Fill=—","Direction=H","UseDPDF=Y")</f>
        <v>#NAME?</v>
      </c>
      <c r="BC101" s="2" t="e">
        <f ca="1">_xll.BDH($C$78,"TOTAL_CAPITAL_5_YEAR_GROWTH","FQ3 2018","FQ3 2018","Currency=INR","Period=FQ","BEST_FPERIOD_OVERRIDE=FQ","FILING_STATUS=OR","EQY_CONSOLIDATED=Y","Sort=A","Dates=H","DateFormat=P","Fill=—","Direction=H","UseDPDF=Y")</f>
        <v>#NAME?</v>
      </c>
      <c r="BD101" s="2" t="e">
        <f ca="1">_xll.BDH($C$78,"GEO_GROW_BOOK_VAL","FQ3 2018","FQ3 2018","Currency=INR","Period=FQ","BEST_FPERIOD_OVERRIDE=FQ","FILING_STATUS=OR","EQY_CONSOLIDATED=Y","Sort=A","Dates=H","DateFormat=P","Fill=—","Direction=H","UseDPDF=Y")</f>
        <v>#NAME?</v>
      </c>
      <c r="BE101" s="2" t="e">
        <f ca="1">_xll.BDH($C$78,"GEO_GROW_CASH_OPER_ACT","FQ3 2018","FQ3 2018","Currency=INR","Period=FQ","BEST_FPERIOD_OVERRIDE=FQ","FILING_STATUS=OR","EQY_CONSOLIDATED=Y","Sort=A","Dates=H","DateFormat=P","Fill=—","Direction=H","UseDPDF=Y")</f>
        <v>#NAME?</v>
      </c>
      <c r="BF101" s="2" t="e">
        <f ca="1">_xll.BDH($C$78,"REVENUE_SEQUENTIAL_GROWTH","FQ3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101" s="2" t="e">
        <f ca="1">_xll.BDH($C$78,"EBITDA_SEQUENTIAL_GROWTH","FQ3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101" s="2" t="e">
        <f ca="1">_xll.BDH($C$78,"OPERATING_INCOME_SEQ_GROWTH","FQ3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101" s="2" t="e">
        <f ca="1">_xll.BDH($C$78,"NET_INCOME_TO_COMMON_SEQ_GROWTH","FQ3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101" s="2" t="e">
        <f ca="1">_xll.BDH($C$78,"EPS_DILUTED_SEQUENTIAL_GROWTH","FQ3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101" s="2" t="e">
        <f ca="1">_xll.BDH($C$78,"DPS_SEQUENTIAL_GROWTH","FQ3 2018","FQ3 2018","Currency=INR","Period=FQ","BEST_FPERIOD_OVERRIDE=FQ","FILING_STATUS=OR","EQY_CONSOLIDATED=Y","Sort=A","Dates=H","DateFormat=P","Fill=—","Direction=H","UseDPDF=Y")</f>
        <v>#NAME?</v>
      </c>
      <c r="BL101" s="2" t="e">
        <f ca="1">_xll.BDH($C$78,"ACCOUNTS_RECEIVABLE_SEQ_GROWTH","FQ3 2018","FQ3 2018","Currency=INR","Period=FQ","BEST_FPERIOD_OVERRIDE=FQ","FILING_STATUS=OR","EQY_CONSOLIDATED=Y","Sort=A","Dates=H","DateFormat=P","Fill=—","Direction=H","UseDPDF=Y")</f>
        <v>#NAME?</v>
      </c>
      <c r="BM101" s="2" t="e">
        <f ca="1">_xll.BDH($C$78,"INVENTORY_SEQUENTIAL_GROWTH","FQ3 2018","FQ3 2018","Currency=INR","Period=FQ","BEST_FPERIOD_OVERRIDE=FQ","FILING_STATUS=OR","EQY_CONSOLIDATED=Y","Sort=A","Dates=H","DateFormat=P","Fill=—","Direction=H","UseDPDF=Y")</f>
        <v>#NAME?</v>
      </c>
      <c r="BN101" s="2" t="e">
        <f ca="1">_xll.BDH($C$78,"FIXED_ASSETS_SEQUENTIAL_GROWTH","FQ3 2018","FQ3 2018","Currency=INR","Period=FQ","BEST_FPERIOD_OVERRIDE=FQ","FILING_STATUS=OR","EQY_CONSOLIDATED=Y","Sort=A","Dates=H","DateFormat=P","Fill=—","Direction=H","UseDPDF=Y")</f>
        <v>#NAME?</v>
      </c>
      <c r="BO101" s="2" t="e">
        <f ca="1">_xll.BDH($C$78,"TOTAL_ASSETS_SEQUENTIAL_GROWTH","FQ3 2018","FQ3 2018","Currency=INR","Period=FQ","BEST_FPERIOD_OVERRIDE=FQ","FILING_STATUS=OR","EQY_CONSOLIDATED=Y","Sort=A","Dates=H","DateFormat=P","Fill=—","Direction=H","UseDPDF=Y")</f>
        <v>#NAME?</v>
      </c>
      <c r="BP101" s="2" t="e">
        <f ca="1">_xll.BDH($C$78,"MODIFIED_WORKING_CPTL_SEQ_GRWTH","FQ3 2018","FQ3 2018","Currency=INR","Period=FQ","BEST_FPERIOD_OVERRIDE=FQ","FILING_STATUS=OR","EQY_CONSOLIDATED=Y","Sort=A","Dates=H","DateFormat=P","Fill=—","Direction=H","UseDPDF=Y")</f>
        <v>#NAME?</v>
      </c>
      <c r="BQ101" s="2" t="e">
        <f ca="1">_xll.BDH($C$78,"WORKING_CAPITAL_SEQ_GROWTH","FQ3 2018","FQ3 2018","Currency=INR","Period=FQ","BEST_FPERIOD_OVERRIDE=FQ","FILING_STATUS=OR","EQY_CONSOLIDATED=Y","Sort=A","Dates=H","DateFormat=P","Fill=—","Direction=H","UseDPDF=Y")</f>
        <v>#NAME?</v>
      </c>
      <c r="BR101" s="2" t="e">
        <f ca="1">_xll.BDH($C$78,"ACCOUNTS_PAYABLE_SEQ_GROWTH","FQ3 2018","FQ3 2018","Currency=INR","Period=FQ","BEST_FPERIOD_OVERRIDE=FQ","FILING_STATUS=OR","EQY_CONSOLIDATED=Y","Sort=A","Dates=H","DateFormat=P","Fill=—","Direction=H","UseDPDF=Y")</f>
        <v>#NAME?</v>
      </c>
      <c r="BS101" s="2" t="e">
        <f ca="1">_xll.BDH($C$78,"ST_DEBT_SEQUENTIAL_GROWTH","FQ3 2018","FQ3 2018","Currency=INR","Period=FQ","BEST_FPERIOD_OVERRIDE=FQ","FILING_STATUS=OR","EQY_CONSOLIDATED=Y","Sort=A","Dates=H","DateFormat=P","Fill=—","Direction=H","UseDPDF=Y")</f>
        <v>#NAME?</v>
      </c>
      <c r="BT101" s="2" t="e">
        <f ca="1">_xll.BDH($C$78,"TOTAL_DEBT_SEQUENTIAL_GROWTH","FQ3 2018","FQ3 2018","Currency=INR","Period=FQ","BEST_FPERIOD_OVERRIDE=FQ","FILING_STATUS=OR","EQY_CONSOLIDATED=Y","Sort=A","Dates=H","DateFormat=P","Fill=—","Direction=H","UseDPDF=Y")</f>
        <v>#NAME?</v>
      </c>
      <c r="BU101" s="2" t="e">
        <f ca="1">_xll.BDH($C$78,"TOTAL_EQUITY_SEQUENTIAL_GROWTH","FQ3 2018","FQ3 2018","Currency=INR","Period=FQ","BEST_FPERIOD_OVERRIDE=FQ","FILING_STATUS=OR","EQY_CONSOLIDATED=Y","Sort=A","Dates=H","DateFormat=P","Fill=—","Direction=H","UseDPDF=Y")</f>
        <v>#NAME?</v>
      </c>
      <c r="BV101" s="2" t="e">
        <f ca="1">_xll.BDH($C$78,"TOTAL_CAPITAL_SEQUENTIAL_GROWTH","FQ3 2018","FQ3 2018","Currency=INR","Period=FQ","BEST_FPERIOD_OVERRIDE=FQ","FILING_STATUS=OR","EQY_CONSOLIDATED=Y","Sort=A","Dates=H","DateFormat=P","Fill=—","Direction=H","UseDPDF=Y")</f>
        <v>#NAME?</v>
      </c>
      <c r="BW101" s="2" t="e">
        <f ca="1">_xll.BDH($C$78,"BPS_SEQUENTIAL_GROWTH","FQ3 2018","FQ3 2018","Currency=INR","Period=FQ","BEST_FPERIOD_OVERRIDE=FQ","FILING_STATUS=OR","EQY_CONSOLIDATED=Y","Sort=A","Dates=H","DateFormat=P","Fill=—","Direction=H","UseDPDF=Y")</f>
        <v>#NAME?</v>
      </c>
      <c r="BX101" s="2" t="e">
        <f ca="1">_xll.BDH($C$78,"CFO_SEQUENTIAL_GROWTH","FQ3 2018","FQ3 2018","Currency=INR","Period=FQ","BEST_FPERIOD_OVERRIDE=FQ","FILING_STATUS=OR","EQY_CONSOLIDATED=Y","Sort=A","Dates=H","DateFormat=P","Fill=—","Direction=H","UseDPDF=Y")</f>
        <v>#NAME?</v>
      </c>
      <c r="BY101" s="3" t="e">
        <f ca="1">_xll.BDH($C$78,"SHORT_AND_LONG_TERM_DEBT","FQ3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101" s="3" t="e">
        <f ca="1">_xll.BDH($C$78,"BS_ST_BORROW","FQ3 2018","FQ3 2018","Currency=INR","Period=FQ","BEST_FPERIOD_OVERRIDE=FQ","FILING_STATUS=OR","EQY_CONSOLIDATED=Y","SCALING_FORMAT=MLN","Sort=A","Dates=H","DateFormat=P","Fill=—","Direction=H","UseDPDF=Y")</f>
        <v>#NAME?</v>
      </c>
      <c r="CA101" s="3" t="e">
        <f ca="1">_xll.BDH($C$78,"BS_LT_BORROW","FQ3 2018","FQ3 2018","Currency=INR","Period=FQ","BEST_FPERIOD_OVERRIDE=FQ","FILING_STATUS=OR","EQY_CONSOLIDATED=Y","SCALING_FORMAT=MLN","Sort=A","Dates=H","DateFormat=P","Fill=—","Direction=H","UseDPDF=Y")</f>
        <v>#NAME?</v>
      </c>
      <c r="CB101" s="2" t="e">
        <f ca="1">_xll.BDH($C$78,"TOT_DEBT_TO_EBITDA","FQ3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101" s="2" t="e">
        <f ca="1">_xll.BDH($C$78,"NET_DEBT_TO_EBITDA","FQ3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101" s="2" t="e">
        <f ca="1">_xll.BDH($C$78,"TOTAL_DEBT_TO_EBIT","FQ3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101" s="2" t="e">
        <f ca="1">_xll.BDH($C$78,"NET_DEBT_TO_EBIT","FQ3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101" s="2" t="e">
        <f ca="1">_xll.BDH($C$78,"EBITDA_TO_INTEREST_EXPN","FQ3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101" s="2" t="e">
        <f ca="1">_xll.BDH($C$78,"COM_EQY_TO_TOT_ASSET","FQ3 2018","FQ3 2018","Currency=INR","Period=FQ","BEST_FPERIOD_OVERRIDE=FQ","FILING_STATUS=OR","EQY_CONSOLIDATED=Y","Sort=A","Dates=H","DateFormat=P","Fill=—","Direction=H","UseDPDF=Y")</f>
        <v>#NAME?</v>
      </c>
      <c r="CH101" s="2" t="e">
        <f ca="1">_xll.BDH($C$78,"LT_DEBT_TO_TOT_EQY","FQ3 2018","FQ3 2018","Currency=INR","Period=FQ","BEST_FPERIOD_OVERRIDE=FQ","FILING_STATUS=OR","EQY_CONSOLIDATED=Y","Sort=A","Dates=H","DateFormat=P","Fill=—","Direction=H","UseDPDF=Y")</f>
        <v>#NAME?</v>
      </c>
      <c r="CI101" s="2" t="e">
        <f ca="1">_xll.BDH($C$78,"LT_DEBT_TO_TOT_CAP","FQ3 2018","FQ3 2018","Currency=INR","Period=FQ","BEST_FPERIOD_OVERRIDE=FQ","FILING_STATUS=OR","EQY_CONSOLIDATED=Y","Sort=A","Dates=H","DateFormat=P","Fill=—","Direction=H","UseDPDF=Y")</f>
        <v>#NAME?</v>
      </c>
      <c r="CJ101" s="2" t="e">
        <f ca="1">_xll.BDH($C$78,"LT_DEBT_TO_TOT_ASSET","FQ3 2018","FQ3 2018","Currency=INR","Period=FQ","BEST_FPERIOD_OVERRIDE=FQ","FILING_STATUS=OR","EQY_CONSOLIDATED=Y","Sort=A","Dates=H","DateFormat=P","Fill=—","Direction=H","UseDPDF=Y")</f>
        <v>#NAME?</v>
      </c>
      <c r="CK101" s="2" t="e">
        <f ca="1">_xll.BDH($C$78,"TOT_DEBT_TO_TOT_EQY","FQ3 2018","FQ3 2018","Currency=INR","Period=FQ","BEST_FPERIOD_OVERRIDE=FQ","FILING_STATUS=OR","EQY_CONSOLIDATED=Y","Sort=A","Dates=H","DateFormat=P","Fill=—","Direction=H","UseDPDF=Y")</f>
        <v>#NAME?</v>
      </c>
      <c r="CL101" s="2" t="e">
        <f ca="1">_xll.BDH($C$78,"TOT_DEBT_TO_TOT_CAP","FQ3 2018","FQ3 2018","Currency=INR","Period=FQ","BEST_FPERIOD_OVERRIDE=FQ","FILING_STATUS=OR","EQY_CONSOLIDATED=Y","Sort=A","Dates=H","DateFormat=P","Fill=—","Direction=H","UseDPDF=Y")</f>
        <v>#NAME?</v>
      </c>
      <c r="CM101" s="2" t="e">
        <f ca="1">_xll.BDH($C$78,"TOT_DEBT_TO_TOT_ASSET","FQ3 2018","FQ3 2018","Currency=INR","Period=FQ","BEST_FPERIOD_OVERRIDE=FQ","FILING_STATUS=OR","EQY_CONSOLIDATED=Y","Sort=A","Dates=H","DateFormat=P","Fill=—","Direction=H","UseDPDF=Y")</f>
        <v>#NAME?</v>
      </c>
      <c r="CN101" s="2" t="e">
        <f ca="1">_xll.BDH($C$78,"NET_DEBT_TO_SHRHLDR_EQTY","FQ3 2018","FQ3 2018","Currency=INR","Period=FQ","BEST_FPERIOD_OVERRIDE=FQ","FILING_STATUS=OR","EQY_CONSOLIDATED=Y","Sort=A","Dates=H","DateFormat=P","Fill=—","Direction=H","UseDPDF=Y")</f>
        <v>#NAME?</v>
      </c>
      <c r="CO101" s="2" t="e">
        <f ca="1">_xll.BDH($C$78,"NET_DEBT_%_CAPITAL","FQ3 2018","FQ3 2018","Currency=INR","Period=FQ","BEST_FPERIOD_OVERRIDE=FQ","FILING_STATUS=OR","EQY_CONSOLIDATED=Y","Sort=A","Dates=H","DateFormat=P","Fill=—","Direction=H","UseDPDF=Y")</f>
        <v>#NAME?</v>
      </c>
      <c r="CP101" s="3" t="e">
        <f ca="1">_xll.BDH($C$78,"EBITDA","FQ3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101" s="3" t="e">
        <f ca="1">_xll.BDH($C$78,"EBITDA_AFTER_CAPEX","FQ3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101" s="3" t="e">
        <f ca="1">_xll.BDH($C$78,"IS_OPER_INC","FQ3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101" s="2" t="e">
        <f ca="1">_xll.BDH($C$78,"CASH_RATIO","FQ3 2018","FQ3 2018","Currency=INR","Period=FQ","BEST_FPERIOD_OVERRIDE=FQ","FILING_STATUS=OR","EQY_CONSOLIDATED=Y","Sort=A","Dates=H","DateFormat=P","Fill=—","Direction=H","UseDPDF=Y")</f>
        <v>#NAME?</v>
      </c>
      <c r="CT101" s="2" t="e">
        <f ca="1">_xll.BDH($C$78,"CUR_RATIO","FQ3 2018","FQ3 2018","Currency=INR","Period=FQ","BEST_FPERIOD_OVERRIDE=FQ","FILING_STATUS=OR","EQY_CONSOLIDATED=Y","Sort=A","Dates=H","DateFormat=P","Fill=—","Direction=H","UseDPDF=Y")</f>
        <v>#NAME?</v>
      </c>
      <c r="CU101" s="2" t="e">
        <f ca="1">_xll.BDH($C$78,"QUICK_RATIO","FQ3 2018","FQ3 2018","Currency=INR","Period=FQ","BEST_FPERIOD_OVERRIDE=FQ","FILING_STATUS=OR","EQY_CONSOLIDATED=Y","Sort=A","Dates=H","DateFormat=P","Fill=—","Direction=H","UseDPDF=Y")</f>
        <v>#NAME?</v>
      </c>
      <c r="CV101" s="2" t="e">
        <f ca="1">_xll.BDH($C$78,"ALTMAN_Z_SCORE","FQ3 2018","FQ3 2018","Currency=INR","Period=FQ","BEST_FPERIOD_OVERRIDE=FQ","FILING_STATUS=OR","EQY_CONSOLIDATED=Y","Sort=A","Dates=H","DateFormat=P","Fill=—","Direction=H","UseDPDF=Y")</f>
        <v>#NAME?</v>
      </c>
      <c r="CW101" s="4" t="e">
        <f ca="1">_xll.BDH($C$78,"ACCT_RCV_TURN","FQ3 2018","FQ3 2018","Currency=INR","Period=FQ","BEST_FPERIOD_OVERRIDE=FQ","FILING_STATUS=OR","EQY_CONSOLIDATED=Y","FA_ADJUSTED=GAAP","Sort=A","Dates=H","DateFormat=P","Fill=—","Direction=H","UseDPDF=Y")</f>
        <v>#NAME?</v>
      </c>
      <c r="CX101" s="2" t="e">
        <f ca="1">_xll.BDH($C$78,"ACCT_RCV_DAYS","FQ3 2018","FQ3 2018","Currency=INR","Period=FQ","BEST_FPERIOD_OVERRIDE=FQ","FILING_STATUS=OR","EQY_CONSOLIDATED=Y","FA_ADJUSTED=GAAP","Sort=A","Dates=H","DateFormat=P","Fill=—","Direction=H","UseDPDF=Y")</f>
        <v>#NAME?</v>
      </c>
      <c r="CY101" s="4" t="e">
        <f ca="1">_xll.BDH($C$78,"INVENT_TURN","FQ3 2018","FQ3 2018","Currency=INR","Period=FQ","BEST_FPERIOD_OVERRIDE=FQ","FILING_STATUS=OR","EQY_CONSOLIDATED=Y","FA_ADJUSTED=GAAP","Sort=A","Dates=H","DateFormat=P","Fill=—","Direction=H","UseDPDF=Y")</f>
        <v>#NAME?</v>
      </c>
      <c r="CZ101" s="2" t="e">
        <f ca="1">_xll.BDH($C$78,"INVENT_DAYS","FQ3 2018","FQ3 2018","Currency=INR","Period=FQ","BEST_FPERIOD_OVERRIDE=FQ","FILING_STATUS=OR","EQY_CONSOLIDATED=Y","FA_ADJUSTED=GAAP","Sort=A","Dates=H","DateFormat=P","Fill=—","Direction=H","UseDPDF=Y")</f>
        <v>#NAME?</v>
      </c>
      <c r="DA101" s="4" t="e">
        <f ca="1">_xll.BDH($C$78,"ACCOUNTS_PAYABLE_TURNOVER","FQ3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101" s="2" t="e">
        <f ca="1">_xll.BDH($C$78,"ACCOUNTS_PAYABLE_TURNOVER_DAYS","FQ3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101" s="4" t="e">
        <f ca="1">_xll.BDH($C$78,"CASH_CONVERSION_CYCLE","FQ3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101" s="4" t="e">
        <f ca="1">_xll.BDH($C$78,"INV_TO_CASH_DAYS","FQ3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101" s="5" t="e">
        <f ca="1">_xll.BDH($C$78,"BS_INVENTORIES","FQ3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101" s="3" t="e">
        <f ca="1">_xll.BDH($C$78,"INVTRY_RAW_MATERIALS","FQ3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101" s="3" t="e">
        <f ca="1">_xll.BDH($C$78,"INVTRY_IN_PROGRESS","FQ3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101" s="3" t="e">
        <f ca="1">_xll.BDH($C$78,"INVTRY_FINISHED_GOODS","FQ3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101" s="3" t="e">
        <f ca="1">_xll.BDH($C$78,"BS_OTHER_INV","FQ3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102" spans="1:113" x14ac:dyDescent="0.3">
      <c r="A102" s="6"/>
      <c r="B102" s="6"/>
      <c r="C102" s="6"/>
      <c r="D102" s="6"/>
      <c r="E102" t="s">
        <v>81</v>
      </c>
      <c r="F102" t="e">
        <f ca="1">_xll.BDH($C$78,"RETURN_COM_EQY","FQ4 2018","FQ4 2018","Currency=INR","Period=FQ","BEST_FPERIOD_OVERRIDE=FQ","FILING_STATUS=OR","EQY_CONSOLIDATED=Y","FA_ADJUSTED=GAAP","Sort=A","Dates=H","DateFormat=P","Fill=—","Direction=H","UseDPDF=Y")</f>
        <v>#NAME?</v>
      </c>
      <c r="G102" t="e">
        <f ca="1">_xll.BDH($C$78,"RETURN_ON_ASSET","FQ4 2018","FQ4 2018","Currency=INR","Period=FQ","BEST_FPERIOD_OVERRIDE=FQ","FILING_STATUS=OR","EQY_CONSOLIDATED=Y","FA_ADJUSTED=GAAP","Sort=A","Dates=H","DateFormat=P","Fill=—","Direction=H","UseDPDF=Y")</f>
        <v>#NAME?</v>
      </c>
      <c r="H102" t="e">
        <f ca="1">_xll.BDH($C$78,"RETURN_ON_CAP","FQ4 2018","FQ4 2018","Currency=INR","Period=FQ","BEST_FPERIOD_OVERRIDE=FQ","FILING_STATUS=OR","EQY_CONSOLIDATED=Y","FA_ADJUSTED=GAAP","Sort=A","Dates=H","DateFormat=P","Fill=—","Direction=H","UseDPDF=Y")</f>
        <v>#NAME?</v>
      </c>
      <c r="I102" t="e">
        <f ca="1">_xll.BDH($C$78,"RETURN_ON_INV_CAPITAL","FQ4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102" t="e">
        <f ca="1">_xll.BDH($C$78,"EBITDA_TO_REVENUE","FQ4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102" t="e">
        <f ca="1">_xll.BDH($C$78,"OPER_MARGIN","FQ4 2018","FQ4 2018","Currency=INR","Period=FQ","BEST_FPERIOD_OVERRIDE=FQ","FILING_STATUS=OR","EQY_CONSOLIDATED=Y","FA_ADJUSTED=GAAP","Sort=A","Dates=H","DateFormat=P","Fill=—","Direction=H","UseDPDF=Y")</f>
        <v>#NAME?</v>
      </c>
      <c r="L102" t="e">
        <f ca="1">_xll.BDH($C$78,"INCREMENTAL_OPERATING_MARGIN","FQ4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102" t="e">
        <f ca="1">_xll.BDH($C$78,"PRETAX_INC_TO_NET_SALES","FQ4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102" t="e">
        <f ca="1">_xll.BDH($C$78,"INC_BEF_XO_ITEMS_TO_NET_SALES","FQ4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102" t="e">
        <f ca="1">_xll.BDH($C$78,"PROF_MARGIN","FQ4 2018","FQ4 2018","Currency=INR","Period=FQ","BEST_FPERIOD_OVERRIDE=FQ","FILING_STATUS=OR","EQY_CONSOLIDATED=Y","FA_ADJUSTED=GAAP","Sort=A","Dates=H","DateFormat=P","Fill=—","Direction=H","UseDPDF=Y")</f>
        <v>#NAME?</v>
      </c>
      <c r="P102" t="e">
        <f ca="1">_xll.BDH($C$78,"NET_INCOME_TO_COMMON_MARGIN","FQ4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102" t="e">
        <f ca="1">_xll.BDH($C$78,"EFF_TAX_RATE","FQ4 2018","FQ4 2018","Currency=INR","Period=FQ","BEST_FPERIOD_OVERRIDE=FQ","FILING_STATUS=OR","EQY_CONSOLIDATED=Y","FA_ADJUSTED=GAAP","Sort=A","Dates=H","DateFormat=P","Fill=—","Direction=H","UseDPDF=Y")</f>
        <v>#NAME?</v>
      </c>
      <c r="R102" t="e">
        <f ca="1">_xll.BDH($C$78,"DVD_PAYOUT_RATIO","FQ4 2018","FQ4 2018","Currency=INR","Period=FQ","BEST_FPERIOD_OVERRIDE=FQ","FILING_STATUS=OR","EQY_CONSOLIDATED=Y","FA_ADJUSTED=GAAP","Sort=A","Dates=H","DateFormat=P","Fill=—","Direction=H","UseDPDF=Y")</f>
        <v>#NAME?</v>
      </c>
      <c r="S102" t="e">
        <f ca="1">_xll.BDH($C$78,"SUSTAIN_GROWTH_RT","FQ4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102" s="2" t="e">
        <f ca="1">_xll.BDH($C$78,"SALES_GROWTH","FQ4 2018","FQ4 2018","Currency=INR","Period=FQ","BEST_FPERIOD_OVERRIDE=FQ","FILING_STATUS=OR","EQY_CONSOLIDATED=Y","FA_ADJUSTED=GAAP","Sort=A","Dates=H","DateFormat=P","Fill=—","Direction=H","UseDPDF=Y")</f>
        <v>#NAME?</v>
      </c>
      <c r="U102" s="2" t="e">
        <f ca="1">_xll.BDH($C$78,"EBITDA_GROWTH","FQ4 2018","FQ4 2018","Currency=INR","Period=FQ","BEST_FPERIOD_OVERRIDE=FQ","FILING_STATUS=OR","EQY_CONSOLIDATED=Y","FA_ADJUSTED=GAAP","Sort=A","Dates=H","DateFormat=P","Fill=—","Direction=H","UseDPDF=Y")</f>
        <v>#NAME?</v>
      </c>
      <c r="V102" s="2" t="e">
        <f ca="1">_xll.BDH($C$78,"OPER_INC_GROWTH","FQ4 2018","FQ4 2018","Currency=INR","Period=FQ","BEST_FPERIOD_OVERRIDE=FQ","FILING_STATUS=OR","EQY_CONSOLIDATED=Y","FA_ADJUSTED=GAAP","Sort=A","Dates=H","DateFormat=P","Fill=—","Direction=H","UseDPDF=Y")</f>
        <v>#NAME?</v>
      </c>
      <c r="W102" s="2" t="e">
        <f ca="1">_xll.BDH($C$78,"EARN_FOR_COM_GROWTH","FQ4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102" s="2" t="e">
        <f ca="1">_xll.BDH($C$78,"DILUTED_EPS_AFT_XO_ITEMS_GROWTH","FQ4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102" s="2" t="e">
        <f ca="1">_xll.BDH($C$78,"DIVIDEND_PER_SHARE_1_YEAR_GROWTH","FQ4 2018","FQ4 2018","Currency=INR","Period=FQ","BEST_FPERIOD_OVERRIDE=FQ","FILING_STATUS=OR","EQY_CONSOLIDATED=Y","Sort=A","Dates=H","DateFormat=P","Fill=—","Direction=H","UseDPDF=Y")</f>
        <v>#NAME?</v>
      </c>
      <c r="Z102" s="2" t="e">
        <f ca="1">_xll.BDH($C$78,"ACCOUNTS_RECEIVABLE_GROWTH","FQ4 2018","FQ4 2018","Currency=INR","Period=FQ","BEST_FPERIOD_OVERRIDE=FQ","FILING_STATUS=OR","EQY_CONSOLIDATED=Y","Sort=A","Dates=H","DateFormat=P","Fill=—","Direction=H","UseDPDF=Y")</f>
        <v>#NAME?</v>
      </c>
      <c r="AA102" s="2" t="e">
        <f ca="1">_xll.BDH($C$78,"INVENTORY_GROWTH","FQ4 2018","FQ4 2018","Currency=INR","Period=FQ","BEST_FPERIOD_OVERRIDE=FQ","FILING_STATUS=OR","EQY_CONSOLIDATED=Y","Sort=A","Dates=H","DateFormat=P","Fill=—","Direction=H","UseDPDF=Y")</f>
        <v>#NAME?</v>
      </c>
      <c r="AB102" s="2" t="e">
        <f ca="1">_xll.BDH($C$78,"NET_FIXED_ASSETS_1_YEAR_GROWTH","FQ4 2018","FQ4 2018","Currency=INR","Period=FQ","BEST_FPERIOD_OVERRIDE=FQ","FILING_STATUS=OR","EQY_CONSOLIDATED=Y","Sort=A","Dates=H","DateFormat=P","Fill=—","Direction=H","UseDPDF=Y")</f>
        <v>#NAME?</v>
      </c>
      <c r="AC102" s="2" t="e">
        <f ca="1">_xll.BDH($C$78,"ASSET_GROWTH","FQ4 2018","FQ4 2018","Currency=INR","Period=FQ","BEST_FPERIOD_OVERRIDE=FQ","FILING_STATUS=OR","EQY_CONSOLIDATED=Y","Sort=A","Dates=H","DateFormat=P","Fill=—","Direction=H","UseDPDF=Y")</f>
        <v>#NAME?</v>
      </c>
      <c r="AD102" s="2" t="e">
        <f ca="1">_xll.BDH($C$78,"MODIFIED_WORK_CAP_GROWTH","FQ4 2018","FQ4 2018","Currency=INR","Period=FQ","BEST_FPERIOD_OVERRIDE=FQ","FILING_STATUS=OR","EQY_CONSOLIDATED=Y","Sort=A","Dates=H","DateFormat=P","Fill=—","Direction=H","UseDPDF=Y")</f>
        <v>#NAME?</v>
      </c>
      <c r="AE102" s="2" t="e">
        <f ca="1">_xll.BDH($C$78,"WORK_CAP_GROWTH","FQ4 2018","FQ4 2018","Currency=INR","Period=FQ","BEST_FPERIOD_OVERRIDE=FQ","FILING_STATUS=OR","EQY_CONSOLIDATED=Y","Sort=A","Dates=H","DateFormat=P","Fill=—","Direction=H","UseDPDF=Y")</f>
        <v>#NAME?</v>
      </c>
      <c r="AF102" s="2" t="e">
        <f ca="1">_xll.BDH($C$78,"ACCOUNTS_PAYABLE_GROWTH_1YR","FQ4 2018","FQ4 2018","Currency=INR","Period=FQ","BEST_FPERIOD_OVERRIDE=FQ","FILING_STATUS=OR","EQY_CONSOLIDATED=Y","Sort=A","Dates=H","DateFormat=P","Fill=—","Direction=H","UseDPDF=Y")</f>
        <v>#NAME?</v>
      </c>
      <c r="AG102" s="2" t="e">
        <f ca="1">_xll.BDH($C$78,"SHORT_TERM_DEBT_1_YEAR_GROWTH","FQ4 2018","FQ4 2018","Currency=INR","Period=FQ","BEST_FPERIOD_OVERRIDE=FQ","FILING_STATUS=OR","EQY_CONSOLIDATED=Y","Sort=A","Dates=H","DateFormat=P","Fill=—","Direction=H","UseDPDF=Y")</f>
        <v>#NAME?</v>
      </c>
      <c r="AH102" s="2" t="e">
        <f ca="1">_xll.BDH($C$78,"TOTAL_DEBT_1_YEAR_GROWTH","FQ4 2018","FQ4 2018","Currency=INR","Period=FQ","BEST_FPERIOD_OVERRIDE=FQ","FILING_STATUS=OR","EQY_CONSOLIDATED=Y","Sort=A","Dates=H","DateFormat=P","Fill=—","Direction=H","UseDPDF=Y")</f>
        <v>#NAME?</v>
      </c>
      <c r="AI102" s="2" t="e">
        <f ca="1">_xll.BDH($C$78,"TOTAL_EQUITY_1_YEAR_GROWTH","FQ4 2018","FQ4 2018","Currency=INR","Period=FQ","BEST_FPERIOD_OVERRIDE=FQ","FILING_STATUS=OR","EQY_CONSOLIDATED=Y","Sort=A","Dates=H","DateFormat=P","Fill=—","Direction=H","UseDPDF=Y")</f>
        <v>#NAME?</v>
      </c>
      <c r="AJ102" s="2" t="e">
        <f ca="1">_xll.BDH($C$78,"GROWTH_IN_CAP","FQ4 2018","FQ4 2018","Currency=INR","Period=FQ","BEST_FPERIOD_OVERRIDE=FQ","FILING_STATUS=OR","EQY_CONSOLIDATED=Y","Sort=A","Dates=H","DateFormat=P","Fill=—","Direction=H","UseDPDF=Y")</f>
        <v>#NAME?</v>
      </c>
      <c r="AK102" s="2" t="e">
        <f ca="1">_xll.BDH($C$78,"BVPS_GROWTH","FQ4 2018","FQ4 2018","Currency=INR","Period=FQ","BEST_FPERIOD_OVERRIDE=FQ","FILING_STATUS=OR","EQY_CONSOLIDATED=Y","Sort=A","Dates=H","DateFormat=P","Fill=—","Direction=H","UseDPDF=Y")</f>
        <v>#NAME?</v>
      </c>
      <c r="AL102" s="2" t="e">
        <f ca="1">_xll.BDH($C$78,"CASH_FLOW_GROWTH","FQ4 2018","FQ4 2018","Currency=INR","Period=FQ","BEST_FPERIOD_OVERRIDE=FQ","FILING_STATUS=OR","EQY_CONSOLIDATED=Y","Sort=A","Dates=H","DateFormat=P","Fill=—","Direction=H","UseDPDF=Y")</f>
        <v>#NAME?</v>
      </c>
      <c r="AM102" s="2" t="e">
        <f ca="1">_xll.BDH($C$78,"GEO_GROW_NET_SALES","FQ4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102" s="2" t="e">
        <f ca="1">_xll.BDH($C$78,"GEO_GROW_EBITDA","FQ4 2018","FQ4 2018","Currency=INR","Period=FQ","BEST_FPERIOD_OVERRIDE=FQ","FILING_STATUS=OR","EQY_CONSOLIDATED=Y","FA_ADJUSTED=GAAP","Sort=A","Dates=H","DateFormat=P","Fill=—","Direction=H","UseDPDF=Y")</f>
        <v>#NAME?</v>
      </c>
      <c r="AO102" s="2" t="e">
        <f ca="1">_xll.BDH($C$78,"GEO_GROW_OPER_INC","FQ4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102" s="2" t="e">
        <f ca="1">_xll.BDH($C$78,"NET_INCOME_TO_COMMON_5_YR_GROWTH","FQ4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102" s="2" t="e">
        <f ca="1">_xll.BDH($C$78,"5Y_GEO_GROWTH_DILUTED_EPS","FQ4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102" s="2" t="e">
        <f ca="1">_xll.BDH($C$78,"GEO_GROW_DVD_PER_SH","FQ4 2018","FQ4 2018","Currency=INR","Period=FQ","BEST_FPERIOD_OVERRIDE=FQ","FILING_STATUS=OR","EQY_CONSOLIDATED=Y","Sort=A","Dates=H","DateFormat=P","Fill=—","Direction=H","UseDPDF=Y")</f>
        <v>#NAME?</v>
      </c>
      <c r="AS102" s="2" t="e">
        <f ca="1">_xll.BDH($C$78,"ACCOUNTS_RECEIVABLE_5_YR_GROWTH","FQ4 2018","FQ4 2018","Currency=INR","Period=FQ","BEST_FPERIOD_OVERRIDE=FQ","FILING_STATUS=OR","EQY_CONSOLIDATED=Y","Sort=A","Dates=H","DateFormat=P","Fill=—","Direction=H","UseDPDF=Y")</f>
        <v>#NAME?</v>
      </c>
      <c r="AT102" s="2" t="e">
        <f ca="1">_xll.BDH($C$78,"INVENTORY_5_YEAR_GROWTH","FQ4 2018","FQ4 2018","Currency=INR","Period=FQ","BEST_FPERIOD_OVERRIDE=FQ","FILING_STATUS=OR","EQY_CONSOLIDATED=Y","Sort=A","Dates=H","DateFormat=P","Fill=—","Direction=H","UseDPDF=Y")</f>
        <v>#NAME?</v>
      </c>
      <c r="AU102" s="2" t="e">
        <f ca="1">_xll.BDH($C$78,"NET_FIXED_ASSETS_5_YEAR_GROWTH","FQ4 2018","FQ4 2018","Currency=INR","Period=FQ","BEST_FPERIOD_OVERRIDE=FQ","FILING_STATUS=OR","EQY_CONSOLIDATED=Y","Sort=A","Dates=H","DateFormat=P","Fill=—","Direction=H","UseDPDF=Y")</f>
        <v>#NAME?</v>
      </c>
      <c r="AV102" s="2" t="e">
        <f ca="1">_xll.BDH($C$78,"GEO_GROW_TOT_ASSET","FQ4 2018","FQ4 2018","Currency=INR","Period=FQ","BEST_FPERIOD_OVERRIDE=FQ","FILING_STATUS=OR","EQY_CONSOLIDATED=Y","Sort=A","Dates=H","DateFormat=P","Fill=—","Direction=H","UseDPDF=Y")</f>
        <v>#NAME?</v>
      </c>
      <c r="AW102" s="2" t="e">
        <f ca="1">_xll.BDH($C$78,"MODIFIED_WORKING_CPTL_5YR_GRWTH","FQ4 2018","FQ4 2018","Currency=INR","Period=FQ","BEST_FPERIOD_OVERRIDE=FQ","FILING_STATUS=OR","EQY_CONSOLIDATED=Y","Sort=A","Dates=H","DateFormat=P","Fill=—","Direction=H","UseDPDF=Y")</f>
        <v>#NAME?</v>
      </c>
      <c r="AX102" s="2" t="e">
        <f ca="1">_xll.BDH($C$78,"WORKING_CAPITAL_5_YEAR_GROWTH","FQ4 2018","FQ4 2018","Currency=INR","Period=FQ","BEST_FPERIOD_OVERRIDE=FQ","FILING_STATUS=OR","EQY_CONSOLIDATED=Y","Sort=A","Dates=H","DateFormat=P","Fill=—","Direction=H","UseDPDF=Y")</f>
        <v>#NAME?</v>
      </c>
      <c r="AY102" s="2" t="e">
        <f ca="1">_xll.BDH($C$78,"ACCOUNTS_PAYABLE_5_YEAR_GROWTH","FQ4 2018","FQ4 2018","Currency=INR","Period=FQ","BEST_FPERIOD_OVERRIDE=FQ","FILING_STATUS=OR","EQY_CONSOLIDATED=Y","Sort=A","Dates=H","DateFormat=P","Fill=—","Direction=H","UseDPDF=Y")</f>
        <v>#NAME?</v>
      </c>
      <c r="AZ102" s="2" t="e">
        <f ca="1">_xll.BDH($C$78,"SHORT_TERM_DEBT_5_YEAR_GROWTH","FQ4 2018","FQ4 2018","Currency=INR","Period=FQ","BEST_FPERIOD_OVERRIDE=FQ","FILING_STATUS=OR","EQY_CONSOLIDATED=Y","Sort=A","Dates=H","DateFormat=P","Fill=—","Direction=H","UseDPDF=Y")</f>
        <v>#NAME?</v>
      </c>
      <c r="BA102" s="2" t="e">
        <f ca="1">_xll.BDH($C$78,"TOTAL_DEBT_5_YEAR_GROWTH","FQ4 2018","FQ4 2018","Currency=INR","Period=FQ","BEST_FPERIOD_OVERRIDE=FQ","FILING_STATUS=OR","EQY_CONSOLIDATED=Y","Sort=A","Dates=H","DateFormat=P","Fill=—","Direction=H","UseDPDF=Y")</f>
        <v>#NAME?</v>
      </c>
      <c r="BB102" s="2" t="e">
        <f ca="1">_xll.BDH($C$78,"GEO_GROW_TOT_SHRHLDR_EQY","FQ4 2018","FQ4 2018","Currency=INR","Period=FQ","BEST_FPERIOD_OVERRIDE=FQ","FILING_STATUS=OR","EQY_CONSOLIDATED=Y","Sort=A","Dates=H","DateFormat=P","Fill=—","Direction=H","UseDPDF=Y")</f>
        <v>#NAME?</v>
      </c>
      <c r="BC102" s="2" t="e">
        <f ca="1">_xll.BDH($C$78,"TOTAL_CAPITAL_5_YEAR_GROWTH","FQ4 2018","FQ4 2018","Currency=INR","Period=FQ","BEST_FPERIOD_OVERRIDE=FQ","FILING_STATUS=OR","EQY_CONSOLIDATED=Y","Sort=A","Dates=H","DateFormat=P","Fill=—","Direction=H","UseDPDF=Y")</f>
        <v>#NAME?</v>
      </c>
      <c r="BD102" s="2" t="e">
        <f ca="1">_xll.BDH($C$78,"GEO_GROW_BOOK_VAL","FQ4 2018","FQ4 2018","Currency=INR","Period=FQ","BEST_FPERIOD_OVERRIDE=FQ","FILING_STATUS=OR","EQY_CONSOLIDATED=Y","Sort=A","Dates=H","DateFormat=P","Fill=—","Direction=H","UseDPDF=Y")</f>
        <v>#NAME?</v>
      </c>
      <c r="BE102" s="2" t="e">
        <f ca="1">_xll.BDH($C$78,"GEO_GROW_CASH_OPER_ACT","FQ4 2018","FQ4 2018","Currency=INR","Period=FQ","BEST_FPERIOD_OVERRIDE=FQ","FILING_STATUS=OR","EQY_CONSOLIDATED=Y","Sort=A","Dates=H","DateFormat=P","Fill=—","Direction=H","UseDPDF=Y")</f>
        <v>#NAME?</v>
      </c>
      <c r="BF102" s="2" t="e">
        <f ca="1">_xll.BDH($C$78,"REVENUE_SEQUENTIAL_GROWTH","FQ4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102" s="2" t="e">
        <f ca="1">_xll.BDH($C$78,"EBITDA_SEQUENTIAL_GROWTH","FQ4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102" s="2" t="e">
        <f ca="1">_xll.BDH($C$78,"OPERATING_INCOME_SEQ_GROWTH","FQ4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102" s="2" t="e">
        <f ca="1">_xll.BDH($C$78,"NET_INCOME_TO_COMMON_SEQ_GROWTH","FQ4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102" s="2" t="e">
        <f ca="1">_xll.BDH($C$78,"EPS_DILUTED_SEQUENTIAL_GROWTH","FQ4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102" s="2" t="e">
        <f ca="1">_xll.BDH($C$78,"DPS_SEQUENTIAL_GROWTH","FQ4 2018","FQ4 2018","Currency=INR","Period=FQ","BEST_FPERIOD_OVERRIDE=FQ","FILING_STATUS=OR","EQY_CONSOLIDATED=Y","Sort=A","Dates=H","DateFormat=P","Fill=—","Direction=H","UseDPDF=Y")</f>
        <v>#NAME?</v>
      </c>
      <c r="BL102" s="2" t="e">
        <f ca="1">_xll.BDH($C$78,"ACCOUNTS_RECEIVABLE_SEQ_GROWTH","FQ4 2018","FQ4 2018","Currency=INR","Period=FQ","BEST_FPERIOD_OVERRIDE=FQ","FILING_STATUS=OR","EQY_CONSOLIDATED=Y","Sort=A","Dates=H","DateFormat=P","Fill=—","Direction=H","UseDPDF=Y")</f>
        <v>#NAME?</v>
      </c>
      <c r="BM102" s="2" t="e">
        <f ca="1">_xll.BDH($C$78,"INVENTORY_SEQUENTIAL_GROWTH","FQ4 2018","FQ4 2018","Currency=INR","Period=FQ","BEST_FPERIOD_OVERRIDE=FQ","FILING_STATUS=OR","EQY_CONSOLIDATED=Y","Sort=A","Dates=H","DateFormat=P","Fill=—","Direction=H","UseDPDF=Y")</f>
        <v>#NAME?</v>
      </c>
      <c r="BN102" s="2" t="e">
        <f ca="1">_xll.BDH($C$78,"FIXED_ASSETS_SEQUENTIAL_GROWTH","FQ4 2018","FQ4 2018","Currency=INR","Period=FQ","BEST_FPERIOD_OVERRIDE=FQ","FILING_STATUS=OR","EQY_CONSOLIDATED=Y","Sort=A","Dates=H","DateFormat=P","Fill=—","Direction=H","UseDPDF=Y")</f>
        <v>#NAME?</v>
      </c>
      <c r="BO102" s="2" t="e">
        <f ca="1">_xll.BDH($C$78,"TOTAL_ASSETS_SEQUENTIAL_GROWTH","FQ4 2018","FQ4 2018","Currency=INR","Period=FQ","BEST_FPERIOD_OVERRIDE=FQ","FILING_STATUS=OR","EQY_CONSOLIDATED=Y","Sort=A","Dates=H","DateFormat=P","Fill=—","Direction=H","UseDPDF=Y")</f>
        <v>#NAME?</v>
      </c>
      <c r="BP102" s="2" t="e">
        <f ca="1">_xll.BDH($C$78,"MODIFIED_WORKING_CPTL_SEQ_GRWTH","FQ4 2018","FQ4 2018","Currency=INR","Period=FQ","BEST_FPERIOD_OVERRIDE=FQ","FILING_STATUS=OR","EQY_CONSOLIDATED=Y","Sort=A","Dates=H","DateFormat=P","Fill=—","Direction=H","UseDPDF=Y")</f>
        <v>#NAME?</v>
      </c>
      <c r="BQ102" s="2" t="e">
        <f ca="1">_xll.BDH($C$78,"WORKING_CAPITAL_SEQ_GROWTH","FQ4 2018","FQ4 2018","Currency=INR","Period=FQ","BEST_FPERIOD_OVERRIDE=FQ","FILING_STATUS=OR","EQY_CONSOLIDATED=Y","Sort=A","Dates=H","DateFormat=P","Fill=—","Direction=H","UseDPDF=Y")</f>
        <v>#NAME?</v>
      </c>
      <c r="BR102" s="2" t="e">
        <f ca="1">_xll.BDH($C$78,"ACCOUNTS_PAYABLE_SEQ_GROWTH","FQ4 2018","FQ4 2018","Currency=INR","Period=FQ","BEST_FPERIOD_OVERRIDE=FQ","FILING_STATUS=OR","EQY_CONSOLIDATED=Y","Sort=A","Dates=H","DateFormat=P","Fill=—","Direction=H","UseDPDF=Y")</f>
        <v>#NAME?</v>
      </c>
      <c r="BS102" s="2" t="e">
        <f ca="1">_xll.BDH($C$78,"ST_DEBT_SEQUENTIAL_GROWTH","FQ4 2018","FQ4 2018","Currency=INR","Period=FQ","BEST_FPERIOD_OVERRIDE=FQ","FILING_STATUS=OR","EQY_CONSOLIDATED=Y","Sort=A","Dates=H","DateFormat=P","Fill=—","Direction=H","UseDPDF=Y")</f>
        <v>#NAME?</v>
      </c>
      <c r="BT102" s="2" t="e">
        <f ca="1">_xll.BDH($C$78,"TOTAL_DEBT_SEQUENTIAL_GROWTH","FQ4 2018","FQ4 2018","Currency=INR","Period=FQ","BEST_FPERIOD_OVERRIDE=FQ","FILING_STATUS=OR","EQY_CONSOLIDATED=Y","Sort=A","Dates=H","DateFormat=P","Fill=—","Direction=H","UseDPDF=Y")</f>
        <v>#NAME?</v>
      </c>
      <c r="BU102" s="2" t="e">
        <f ca="1">_xll.BDH($C$78,"TOTAL_EQUITY_SEQUENTIAL_GROWTH","FQ4 2018","FQ4 2018","Currency=INR","Period=FQ","BEST_FPERIOD_OVERRIDE=FQ","FILING_STATUS=OR","EQY_CONSOLIDATED=Y","Sort=A","Dates=H","DateFormat=P","Fill=—","Direction=H","UseDPDF=Y")</f>
        <v>#NAME?</v>
      </c>
      <c r="BV102" s="2" t="e">
        <f ca="1">_xll.BDH($C$78,"TOTAL_CAPITAL_SEQUENTIAL_GROWTH","FQ4 2018","FQ4 2018","Currency=INR","Period=FQ","BEST_FPERIOD_OVERRIDE=FQ","FILING_STATUS=OR","EQY_CONSOLIDATED=Y","Sort=A","Dates=H","DateFormat=P","Fill=—","Direction=H","UseDPDF=Y")</f>
        <v>#NAME?</v>
      </c>
      <c r="BW102" s="2" t="e">
        <f ca="1">_xll.BDH($C$78,"BPS_SEQUENTIAL_GROWTH","FQ4 2018","FQ4 2018","Currency=INR","Period=FQ","BEST_FPERIOD_OVERRIDE=FQ","FILING_STATUS=OR","EQY_CONSOLIDATED=Y","Sort=A","Dates=H","DateFormat=P","Fill=—","Direction=H","UseDPDF=Y")</f>
        <v>#NAME?</v>
      </c>
      <c r="BX102" s="2" t="e">
        <f ca="1">_xll.BDH($C$78,"CFO_SEQUENTIAL_GROWTH","FQ4 2018","FQ4 2018","Currency=INR","Period=FQ","BEST_FPERIOD_OVERRIDE=FQ","FILING_STATUS=OR","EQY_CONSOLIDATED=Y","Sort=A","Dates=H","DateFormat=P","Fill=—","Direction=H","UseDPDF=Y")</f>
        <v>#NAME?</v>
      </c>
      <c r="BY102" s="3" t="e">
        <f ca="1">_xll.BDH($C$78,"SHORT_AND_LONG_TERM_DEBT","FQ4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102" s="3" t="e">
        <f ca="1">_xll.BDH($C$78,"BS_ST_BORROW","FQ4 2018","FQ4 2018","Currency=INR","Period=FQ","BEST_FPERIOD_OVERRIDE=FQ","FILING_STATUS=OR","EQY_CONSOLIDATED=Y","SCALING_FORMAT=MLN","Sort=A","Dates=H","DateFormat=P","Fill=—","Direction=H","UseDPDF=Y")</f>
        <v>#NAME?</v>
      </c>
      <c r="CA102" s="3" t="e">
        <f ca="1">_xll.BDH($C$78,"BS_LT_BORROW","FQ4 2018","FQ4 2018","Currency=INR","Period=FQ","BEST_FPERIOD_OVERRIDE=FQ","FILING_STATUS=OR","EQY_CONSOLIDATED=Y","SCALING_FORMAT=MLN","Sort=A","Dates=H","DateFormat=P","Fill=—","Direction=H","UseDPDF=Y")</f>
        <v>#NAME?</v>
      </c>
      <c r="CB102" s="2" t="e">
        <f ca="1">_xll.BDH($C$78,"TOT_DEBT_TO_EBITDA","FQ4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102" s="2" t="e">
        <f ca="1">_xll.BDH($C$78,"NET_DEBT_TO_EBITDA","FQ4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102" s="2" t="e">
        <f ca="1">_xll.BDH($C$78,"TOTAL_DEBT_TO_EBIT","FQ4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102" s="2" t="e">
        <f ca="1">_xll.BDH($C$78,"NET_DEBT_TO_EBIT","FQ4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102" s="2" t="e">
        <f ca="1">_xll.BDH($C$78,"EBITDA_TO_INTEREST_EXPN","FQ4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102" s="2" t="e">
        <f ca="1">_xll.BDH($C$78,"COM_EQY_TO_TOT_ASSET","FQ4 2018","FQ4 2018","Currency=INR","Period=FQ","BEST_FPERIOD_OVERRIDE=FQ","FILING_STATUS=OR","EQY_CONSOLIDATED=Y","Sort=A","Dates=H","DateFormat=P","Fill=—","Direction=H","UseDPDF=Y")</f>
        <v>#NAME?</v>
      </c>
      <c r="CH102" s="2" t="e">
        <f ca="1">_xll.BDH($C$78,"LT_DEBT_TO_TOT_EQY","FQ4 2018","FQ4 2018","Currency=INR","Period=FQ","BEST_FPERIOD_OVERRIDE=FQ","FILING_STATUS=OR","EQY_CONSOLIDATED=Y","Sort=A","Dates=H","DateFormat=P","Fill=—","Direction=H","UseDPDF=Y")</f>
        <v>#NAME?</v>
      </c>
      <c r="CI102" s="2" t="e">
        <f ca="1">_xll.BDH($C$78,"LT_DEBT_TO_TOT_CAP","FQ4 2018","FQ4 2018","Currency=INR","Period=FQ","BEST_FPERIOD_OVERRIDE=FQ","FILING_STATUS=OR","EQY_CONSOLIDATED=Y","Sort=A","Dates=H","DateFormat=P","Fill=—","Direction=H","UseDPDF=Y")</f>
        <v>#NAME?</v>
      </c>
      <c r="CJ102" s="2" t="e">
        <f ca="1">_xll.BDH($C$78,"LT_DEBT_TO_TOT_ASSET","FQ4 2018","FQ4 2018","Currency=INR","Period=FQ","BEST_FPERIOD_OVERRIDE=FQ","FILING_STATUS=OR","EQY_CONSOLIDATED=Y","Sort=A","Dates=H","DateFormat=P","Fill=—","Direction=H","UseDPDF=Y")</f>
        <v>#NAME?</v>
      </c>
      <c r="CK102" s="2" t="e">
        <f ca="1">_xll.BDH($C$78,"TOT_DEBT_TO_TOT_EQY","FQ4 2018","FQ4 2018","Currency=INR","Period=FQ","BEST_FPERIOD_OVERRIDE=FQ","FILING_STATUS=OR","EQY_CONSOLIDATED=Y","Sort=A","Dates=H","DateFormat=P","Fill=—","Direction=H","UseDPDF=Y")</f>
        <v>#NAME?</v>
      </c>
      <c r="CL102" s="2" t="e">
        <f ca="1">_xll.BDH($C$78,"TOT_DEBT_TO_TOT_CAP","FQ4 2018","FQ4 2018","Currency=INR","Period=FQ","BEST_FPERIOD_OVERRIDE=FQ","FILING_STATUS=OR","EQY_CONSOLIDATED=Y","Sort=A","Dates=H","DateFormat=P","Fill=—","Direction=H","UseDPDF=Y")</f>
        <v>#NAME?</v>
      </c>
      <c r="CM102" s="2" t="e">
        <f ca="1">_xll.BDH($C$78,"TOT_DEBT_TO_TOT_ASSET","FQ4 2018","FQ4 2018","Currency=INR","Period=FQ","BEST_FPERIOD_OVERRIDE=FQ","FILING_STATUS=OR","EQY_CONSOLIDATED=Y","Sort=A","Dates=H","DateFormat=P","Fill=—","Direction=H","UseDPDF=Y")</f>
        <v>#NAME?</v>
      </c>
      <c r="CN102" s="2" t="e">
        <f ca="1">_xll.BDH($C$78,"NET_DEBT_TO_SHRHLDR_EQTY","FQ4 2018","FQ4 2018","Currency=INR","Period=FQ","BEST_FPERIOD_OVERRIDE=FQ","FILING_STATUS=OR","EQY_CONSOLIDATED=Y","Sort=A","Dates=H","DateFormat=P","Fill=—","Direction=H","UseDPDF=Y")</f>
        <v>#NAME?</v>
      </c>
      <c r="CO102" s="2" t="e">
        <f ca="1">_xll.BDH($C$78,"NET_DEBT_%_CAPITAL","FQ4 2018","FQ4 2018","Currency=INR","Period=FQ","BEST_FPERIOD_OVERRIDE=FQ","FILING_STATUS=OR","EQY_CONSOLIDATED=Y","Sort=A","Dates=H","DateFormat=P","Fill=—","Direction=H","UseDPDF=Y")</f>
        <v>#NAME?</v>
      </c>
      <c r="CP102" s="3" t="e">
        <f ca="1">_xll.BDH($C$78,"EBITDA","FQ4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102" s="3" t="e">
        <f ca="1">_xll.BDH($C$78,"EBITDA_AFTER_CAPEX","FQ4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102" s="3" t="e">
        <f ca="1">_xll.BDH($C$78,"IS_OPER_INC","FQ4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102" s="2" t="e">
        <f ca="1">_xll.BDH($C$78,"CASH_RATIO","FQ4 2018","FQ4 2018","Currency=INR","Period=FQ","BEST_FPERIOD_OVERRIDE=FQ","FILING_STATUS=OR","EQY_CONSOLIDATED=Y","Sort=A","Dates=H","DateFormat=P","Fill=—","Direction=H","UseDPDF=Y")</f>
        <v>#NAME?</v>
      </c>
      <c r="CT102" s="2" t="e">
        <f ca="1">_xll.BDH($C$78,"CUR_RATIO","FQ4 2018","FQ4 2018","Currency=INR","Period=FQ","BEST_FPERIOD_OVERRIDE=FQ","FILING_STATUS=OR","EQY_CONSOLIDATED=Y","Sort=A","Dates=H","DateFormat=P","Fill=—","Direction=H","UseDPDF=Y")</f>
        <v>#NAME?</v>
      </c>
      <c r="CU102" s="2" t="e">
        <f ca="1">_xll.BDH($C$78,"QUICK_RATIO","FQ4 2018","FQ4 2018","Currency=INR","Period=FQ","BEST_FPERIOD_OVERRIDE=FQ","FILING_STATUS=OR","EQY_CONSOLIDATED=Y","Sort=A","Dates=H","DateFormat=P","Fill=—","Direction=H","UseDPDF=Y")</f>
        <v>#NAME?</v>
      </c>
      <c r="CV102" s="2" t="e">
        <f ca="1">_xll.BDH($C$78,"ALTMAN_Z_SCORE","FQ4 2018","FQ4 2018","Currency=INR","Period=FQ","BEST_FPERIOD_OVERRIDE=FQ","FILING_STATUS=OR","EQY_CONSOLIDATED=Y","Sort=A","Dates=H","DateFormat=P","Fill=—","Direction=H","UseDPDF=Y")</f>
        <v>#NAME?</v>
      </c>
      <c r="CW102" s="4" t="e">
        <f ca="1">_xll.BDH($C$78,"ACCT_RCV_TURN","FQ4 2018","FQ4 2018","Currency=INR","Period=FQ","BEST_FPERIOD_OVERRIDE=FQ","FILING_STATUS=OR","EQY_CONSOLIDATED=Y","FA_ADJUSTED=GAAP","Sort=A","Dates=H","DateFormat=P","Fill=—","Direction=H","UseDPDF=Y")</f>
        <v>#NAME?</v>
      </c>
      <c r="CX102" s="2" t="e">
        <f ca="1">_xll.BDH($C$78,"ACCT_RCV_DAYS","FQ4 2018","FQ4 2018","Currency=INR","Period=FQ","BEST_FPERIOD_OVERRIDE=FQ","FILING_STATUS=OR","EQY_CONSOLIDATED=Y","FA_ADJUSTED=GAAP","Sort=A","Dates=H","DateFormat=P","Fill=—","Direction=H","UseDPDF=Y")</f>
        <v>#NAME?</v>
      </c>
      <c r="CY102" s="4" t="e">
        <f ca="1">_xll.BDH($C$78,"INVENT_TURN","FQ4 2018","FQ4 2018","Currency=INR","Period=FQ","BEST_FPERIOD_OVERRIDE=FQ","FILING_STATUS=OR","EQY_CONSOLIDATED=Y","FA_ADJUSTED=GAAP","Sort=A","Dates=H","DateFormat=P","Fill=—","Direction=H","UseDPDF=Y")</f>
        <v>#NAME?</v>
      </c>
      <c r="CZ102" s="2" t="e">
        <f ca="1">_xll.BDH($C$78,"INVENT_DAYS","FQ4 2018","FQ4 2018","Currency=INR","Period=FQ","BEST_FPERIOD_OVERRIDE=FQ","FILING_STATUS=OR","EQY_CONSOLIDATED=Y","FA_ADJUSTED=GAAP","Sort=A","Dates=H","DateFormat=P","Fill=—","Direction=H","UseDPDF=Y")</f>
        <v>#NAME?</v>
      </c>
      <c r="DA102" s="4" t="e">
        <f ca="1">_xll.BDH($C$78,"ACCOUNTS_PAYABLE_TURNOVER","FQ4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102" s="2" t="e">
        <f ca="1">_xll.BDH($C$78,"ACCOUNTS_PAYABLE_TURNOVER_DAYS","FQ4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102" s="4" t="e">
        <f ca="1">_xll.BDH($C$78,"CASH_CONVERSION_CYCLE","FQ4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102" s="4" t="e">
        <f ca="1">_xll.BDH($C$78,"INV_TO_CASH_DAYS","FQ4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102" s="5" t="e">
        <f ca="1">_xll.BDH($C$78,"BS_INVENTORIES","FQ4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102" s="3" t="e">
        <f ca="1">_xll.BDH($C$78,"INVTRY_RAW_MATERIALS","FQ4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102" s="3" t="e">
        <f ca="1">_xll.BDH($C$78,"INVTRY_IN_PROGRESS","FQ4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102" s="3" t="e">
        <f ca="1">_xll.BDH($C$78,"INVTRY_FINISHED_GOODS","FQ4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102" s="3" t="e">
        <f ca="1">_xll.BDH($C$78,"BS_OTHER_INV","FQ4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103" spans="1:113" x14ac:dyDescent="0.3">
      <c r="A103" s="6">
        <v>5</v>
      </c>
      <c r="B103" s="6" t="s">
        <v>92</v>
      </c>
      <c r="C103" s="6" t="s">
        <v>93</v>
      </c>
      <c r="D103" s="6" t="s">
        <v>76</v>
      </c>
      <c r="E103" t="s">
        <v>77</v>
      </c>
      <c r="F103" t="e">
        <f ca="1">_xll.BDH($C$103,"RETURN_COM_EQY","FY 2014","FY 2014","Currency=INR","Period=FY","BEST_FPERIOD_OVERRIDE=FY","FILING_STATUS=OR","EQY_CONSOLIDATED=Y","FA_ADJUSTED=GAAP","Sort=A","Dates=H","DateFormat=P","Fill=—","Direction=H","UseDPDF=Y")</f>
        <v>#NAME?</v>
      </c>
      <c r="G103" t="e">
        <f ca="1">_xll.BDH($C$103,"RETURN_ON_ASSET","FY 2014","FY 2014","Currency=INR","Period=FY","BEST_FPERIOD_OVERRIDE=FY","FILING_STATUS=OR","EQY_CONSOLIDATED=Y","FA_ADJUSTED=GAAP","Sort=A","Dates=H","DateFormat=P","Fill=—","Direction=H","UseDPDF=Y")</f>
        <v>#NAME?</v>
      </c>
      <c r="H103" t="e">
        <f ca="1">_xll.BDH($C$103,"RETURN_ON_CAP","FY 2014","FY 2014","Currency=INR","Period=FY","BEST_FPERIOD_OVERRIDE=FY","FILING_STATUS=OR","EQY_CONSOLIDATED=Y","FA_ADJUSTED=GAAP","Sort=A","Dates=H","DateFormat=P","Fill=—","Direction=H","UseDPDF=Y")</f>
        <v>#NAME?</v>
      </c>
      <c r="I103" t="e">
        <f ca="1">_xll.BDH($C$103,"RETURN_ON_INV_CAPITAL","FY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103" t="e">
        <f ca="1">_xll.BDH($C$103,"EBITDA_TO_REVENUE","FY 2014","FY 2014","Currency=INR","Period=FY","BEST_FPERIOD_OVERRIDE=FY","FILING_STATUS=OR","EQY_CONSOLIDATED=Y","FA_ADJUSTED=GAAP","Sort=A","Dates=H","DateFormat=P","Fill=—","Direction=H","UseDPDF=Y")</f>
        <v>#NAME?</v>
      </c>
      <c r="K103" t="e">
        <f ca="1">_xll.BDH($C$103,"OPER_MARGIN","FY 2014","FY 2014","Currency=INR","Period=FY","BEST_FPERIOD_OVERRIDE=FY","FILING_STATUS=OR","EQY_CONSOLIDATED=Y","FA_ADJUSTED=GAAP","Sort=A","Dates=H","DateFormat=P","Fill=—","Direction=H","UseDPDF=Y")</f>
        <v>#NAME?</v>
      </c>
      <c r="L103" t="e">
        <f ca="1">_xll.BDH($C$103,"INCREMENTAL_OPERATING_MARGIN","FY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103" t="e">
        <f ca="1">_xll.BDH($C$103,"PRETAX_INC_TO_NET_SALES","FY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103" t="e">
        <f ca="1">_xll.BDH($C$103,"INC_BEF_XO_ITEMS_TO_NET_SALES","FY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103" t="e">
        <f ca="1">_xll.BDH($C$103,"PROF_MARGIN","FY 2014","FY 2014","Currency=INR","Period=FY","BEST_FPERIOD_OVERRIDE=FY","FILING_STATUS=OR","EQY_CONSOLIDATED=Y","FA_ADJUSTED=GAAP","Sort=A","Dates=H","DateFormat=P","Fill=—","Direction=H","UseDPDF=Y")</f>
        <v>#NAME?</v>
      </c>
      <c r="P103" t="e">
        <f ca="1">_xll.BDH($C$103,"NET_INCOME_TO_COMMON_MARGIN","FY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103" t="e">
        <f ca="1">_xll.BDH($C$103,"EFF_TAX_RATE","FY 2014","FY 2014","Currency=INR","Period=FY","BEST_FPERIOD_OVERRIDE=FY","FILING_STATUS=OR","EQY_CONSOLIDATED=Y","FA_ADJUSTED=GAAP","Sort=A","Dates=H","DateFormat=P","Fill=—","Direction=H","UseDPDF=Y")</f>
        <v>#NAME?</v>
      </c>
      <c r="R103" t="e">
        <f ca="1">_xll.BDH($C$103,"DVD_PAYOUT_RATIO","FY 2014","FY 2014","Currency=INR","Period=FY","BEST_FPERIOD_OVERRIDE=FY","FILING_STATUS=OR","EQY_CONSOLIDATED=Y","FA_ADJUSTED=GAAP","Sort=A","Dates=H","DateFormat=P","Fill=—","Direction=H","UseDPDF=Y")</f>
        <v>#NAME?</v>
      </c>
      <c r="S103" t="e">
        <f ca="1">_xll.BDH($C$103,"SUSTAIN_GROWTH_RT","FY 2014","FY 2014","Currency=INR","Period=FY","BEST_FPERIOD_OVERRIDE=FY","FILING_STATUS=OR","EQY_CONSOLIDATED=Y","FA_ADJUSTED=GAAP","Sort=A","Dates=H","DateFormat=P","Fill=—","Direction=H","UseDPDF=Y")</f>
        <v>#NAME?</v>
      </c>
      <c r="T103" s="2" t="e">
        <f ca="1">_xll.BDH($C$103,"SALES_GROWTH","FY 2014","FY 2014","Currency=INR","Period=FY","BEST_FPERIOD_OVERRIDE=FY","FILING_STATUS=OR","EQY_CONSOLIDATED=Y","FA_ADJUSTED=GAAP","Sort=A","Dates=H","DateFormat=P","Fill=—","Direction=H","UseDPDF=Y")</f>
        <v>#NAME?</v>
      </c>
      <c r="U103" s="2" t="e">
        <f ca="1">_xll.BDH($C$103,"EBITDA_GROWTH","FY 2014","FY 2014","Currency=INR","Period=FY","BEST_FPERIOD_OVERRIDE=FY","FILING_STATUS=OR","EQY_CONSOLIDATED=Y","FA_ADJUSTED=GAAP","Sort=A","Dates=H","DateFormat=P","Fill=—","Direction=H","UseDPDF=Y")</f>
        <v>#NAME?</v>
      </c>
      <c r="V103" s="2" t="e">
        <f ca="1">_xll.BDH($C$103,"OPER_INC_GROWTH","FY 2014","FY 2014","Currency=INR","Period=FY","BEST_FPERIOD_OVERRIDE=FY","FILING_STATUS=OR","EQY_CONSOLIDATED=Y","FA_ADJUSTED=GAAP","Sort=A","Dates=H","DateFormat=P","Fill=—","Direction=H","UseDPDF=Y")</f>
        <v>#NAME?</v>
      </c>
      <c r="W103" s="2" t="e">
        <f ca="1">_xll.BDH($C$103,"EARN_FOR_COM_GROWTH","FY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103" s="2" t="e">
        <f ca="1">_xll.BDH($C$103,"DILUTED_EPS_AFT_XO_ITEMS_GROWTH","FY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103" s="2" t="e">
        <f ca="1">_xll.BDH($C$103,"DIVIDEND_PER_SHARE_1_YEAR_GROWTH","FY 2014","FY 2014","Currency=INR","Period=FY","BEST_FPERIOD_OVERRIDE=FY","FILING_STATUS=OR","EQY_CONSOLIDATED=Y","Sort=A","Dates=H","DateFormat=P","Fill=—","Direction=H","UseDPDF=Y")</f>
        <v>#NAME?</v>
      </c>
      <c r="Z103" s="2" t="e">
        <f ca="1">_xll.BDH($C$103,"ACCOUNTS_RECEIVABLE_GROWTH","FY 2014","FY 2014","Currency=INR","Period=FY","BEST_FPERIOD_OVERRIDE=FY","FILING_STATUS=OR","EQY_CONSOLIDATED=Y","Sort=A","Dates=H","DateFormat=P","Fill=—","Direction=H","UseDPDF=Y")</f>
        <v>#NAME?</v>
      </c>
      <c r="AA103" s="2" t="e">
        <f ca="1">_xll.BDH($C$103,"INVENTORY_GROWTH","FY 2014","FY 2014","Currency=INR","Period=FY","BEST_FPERIOD_OVERRIDE=FY","FILING_STATUS=OR","EQY_CONSOLIDATED=Y","Sort=A","Dates=H","DateFormat=P","Fill=—","Direction=H","UseDPDF=Y")</f>
        <v>#NAME?</v>
      </c>
      <c r="AB103" s="2" t="e">
        <f ca="1">_xll.BDH($C$103,"NET_FIXED_ASSETS_1_YEAR_GROWTH","FY 2014","FY 2014","Currency=INR","Period=FY","BEST_FPERIOD_OVERRIDE=FY","FILING_STATUS=OR","EQY_CONSOLIDATED=Y","Sort=A","Dates=H","DateFormat=P","Fill=—","Direction=H","UseDPDF=Y")</f>
        <v>#NAME?</v>
      </c>
      <c r="AC103" s="2" t="e">
        <f ca="1">_xll.BDH($C$103,"ASSET_GROWTH","FY 2014","FY 2014","Currency=INR","Period=FY","BEST_FPERIOD_OVERRIDE=FY","FILING_STATUS=OR","EQY_CONSOLIDATED=Y","Sort=A","Dates=H","DateFormat=P","Fill=—","Direction=H","UseDPDF=Y")</f>
        <v>#NAME?</v>
      </c>
      <c r="AD103" s="2" t="e">
        <f ca="1">_xll.BDH($C$103,"MODIFIED_WORK_CAP_GROWTH","FY 2014","FY 2014","Currency=INR","Period=FY","BEST_FPERIOD_OVERRIDE=FY","FILING_STATUS=OR","EQY_CONSOLIDATED=Y","Sort=A","Dates=H","DateFormat=P","Fill=—","Direction=H","UseDPDF=Y")</f>
        <v>#NAME?</v>
      </c>
      <c r="AE103" s="2" t="e">
        <f ca="1">_xll.BDH($C$103,"WORK_CAP_GROWTH","FY 2014","FY 2014","Currency=INR","Period=FY","BEST_FPERIOD_OVERRIDE=FY","FILING_STATUS=OR","EQY_CONSOLIDATED=Y","Sort=A","Dates=H","DateFormat=P","Fill=—","Direction=H","UseDPDF=Y")</f>
        <v>#NAME?</v>
      </c>
      <c r="AF103" s="2" t="e">
        <f ca="1">_xll.BDH($C$103,"ACCOUNTS_PAYABLE_GROWTH_1YR","FY 2014","FY 2014","Currency=INR","Period=FY","BEST_FPERIOD_OVERRIDE=FY","FILING_STATUS=OR","EQY_CONSOLIDATED=Y","Sort=A","Dates=H","DateFormat=P","Fill=—","Direction=H","UseDPDF=Y")</f>
        <v>#NAME?</v>
      </c>
      <c r="AG103" s="2" t="e">
        <f ca="1">_xll.BDH($C$103,"SHORT_TERM_DEBT_1_YEAR_GROWTH","FY 2014","FY 2014","Currency=INR","Period=FY","BEST_FPERIOD_OVERRIDE=FY","FILING_STATUS=OR","EQY_CONSOLIDATED=Y","Sort=A","Dates=H","DateFormat=P","Fill=—","Direction=H","UseDPDF=Y")</f>
        <v>#NAME?</v>
      </c>
      <c r="AH103" s="2" t="e">
        <f ca="1">_xll.BDH($C$103,"TOTAL_DEBT_1_YEAR_GROWTH","FY 2014","FY 2014","Currency=INR","Period=FY","BEST_FPERIOD_OVERRIDE=FY","FILING_STATUS=OR","EQY_CONSOLIDATED=Y","Sort=A","Dates=H","DateFormat=P","Fill=—","Direction=H","UseDPDF=Y")</f>
        <v>#NAME?</v>
      </c>
      <c r="AI103" s="2" t="e">
        <f ca="1">_xll.BDH($C$103,"TOTAL_EQUITY_1_YEAR_GROWTH","FY 2014","FY 2014","Currency=INR","Period=FY","BEST_FPERIOD_OVERRIDE=FY","FILING_STATUS=OR","EQY_CONSOLIDATED=Y","Sort=A","Dates=H","DateFormat=P","Fill=—","Direction=H","UseDPDF=Y")</f>
        <v>#NAME?</v>
      </c>
      <c r="AJ103" s="2" t="e">
        <f ca="1">_xll.BDH($C$103,"GROWTH_IN_CAP","FY 2014","FY 2014","Currency=INR","Period=FY","BEST_FPERIOD_OVERRIDE=FY","FILING_STATUS=OR","EQY_CONSOLIDATED=Y","Sort=A","Dates=H","DateFormat=P","Fill=—","Direction=H","UseDPDF=Y")</f>
        <v>#NAME?</v>
      </c>
      <c r="AK103" s="2" t="e">
        <f ca="1">_xll.BDH($C$103,"BVPS_GROWTH","FY 2014","FY 2014","Currency=INR","Period=FY","BEST_FPERIOD_OVERRIDE=FY","FILING_STATUS=OR","EQY_CONSOLIDATED=Y","Sort=A","Dates=H","DateFormat=P","Fill=—","Direction=H","UseDPDF=Y")</f>
        <v>#NAME?</v>
      </c>
      <c r="AL103" s="2" t="e">
        <f ca="1">_xll.BDH($C$103,"CASH_FLOW_GROWTH","FY 2014","FY 2014","Currency=INR","Period=FY","BEST_FPERIOD_OVERRIDE=FY","FILING_STATUS=OR","EQY_CONSOLIDATED=Y","Sort=A","Dates=H","DateFormat=P","Fill=—","Direction=H","UseDPDF=Y")</f>
        <v>#NAME?</v>
      </c>
      <c r="AM103" s="2" t="e">
        <f ca="1">_xll.BDH($C$103,"GEO_GROW_NET_SALES","FY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103" s="2" t="e">
        <f ca="1">_xll.BDH($C$103,"GEO_GROW_EBITDA","FY 2014","FY 2014","Currency=INR","Period=FY","BEST_FPERIOD_OVERRIDE=FY","FILING_STATUS=OR","EQY_CONSOLIDATED=Y","FA_ADJUSTED=GAAP","Sort=A","Dates=H","DateFormat=P","Fill=—","Direction=H","UseDPDF=Y")</f>
        <v>#NAME?</v>
      </c>
      <c r="AO103" s="2" t="e">
        <f ca="1">_xll.BDH($C$103,"GEO_GROW_OPER_INC","FY 2014","FY 2014","Currency=INR","Period=FY","BEST_FPERIOD_OVERRIDE=FY","FILING_STATUS=OR","EQY_CONSOLIDATED=Y","FA_ADJUSTED=GAAP","Sort=A","Dates=H","DateFormat=P","Fill=—","Direction=H","UseDPDF=Y")</f>
        <v>#NAME?</v>
      </c>
      <c r="AP103" s="2" t="e">
        <f ca="1">_xll.BDH($C$103,"NET_INCOME_TO_COMMON_5_YR_GROWTH","FY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103" s="2" t="e">
        <f ca="1">_xll.BDH($C$103,"5Y_GEO_GROWTH_DILUTED_EPS","FY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103" s="2" t="e">
        <f ca="1">_xll.BDH($C$103,"GEO_GROW_DVD_PER_SH","FY 2014","FY 2014","Currency=INR","Period=FY","BEST_FPERIOD_OVERRIDE=FY","FILING_STATUS=OR","EQY_CONSOLIDATED=Y","Sort=A","Dates=H","DateFormat=P","Fill=—","Direction=H","UseDPDF=Y")</f>
        <v>#NAME?</v>
      </c>
      <c r="AS103" s="2" t="e">
        <f ca="1">_xll.BDH($C$103,"ACCOUNTS_RECEIVABLE_5_YR_GROWTH","FY 2014","FY 2014","Currency=INR","Period=FY","BEST_FPERIOD_OVERRIDE=FY","FILING_STATUS=OR","EQY_CONSOLIDATED=Y","Sort=A","Dates=H","DateFormat=P","Fill=—","Direction=H","UseDPDF=Y")</f>
        <v>#NAME?</v>
      </c>
      <c r="AT103" s="2" t="e">
        <f ca="1">_xll.BDH($C$103,"INVENTORY_5_YEAR_GROWTH","FY 2014","FY 2014","Currency=INR","Period=FY","BEST_FPERIOD_OVERRIDE=FY","FILING_STATUS=OR","EQY_CONSOLIDATED=Y","Sort=A","Dates=H","DateFormat=P","Fill=—","Direction=H","UseDPDF=Y")</f>
        <v>#NAME?</v>
      </c>
      <c r="AU103" s="2" t="e">
        <f ca="1">_xll.BDH($C$103,"NET_FIXED_ASSETS_5_YEAR_GROWTH","FY 2014","FY 2014","Currency=INR","Period=FY","BEST_FPERIOD_OVERRIDE=FY","FILING_STATUS=OR","EQY_CONSOLIDATED=Y","Sort=A","Dates=H","DateFormat=P","Fill=—","Direction=H","UseDPDF=Y")</f>
        <v>#NAME?</v>
      </c>
      <c r="AV103" s="2" t="e">
        <f ca="1">_xll.BDH($C$103,"GEO_GROW_TOT_ASSET","FY 2014","FY 2014","Currency=INR","Period=FY","BEST_FPERIOD_OVERRIDE=FY","FILING_STATUS=OR","EQY_CONSOLIDATED=Y","Sort=A","Dates=H","DateFormat=P","Fill=—","Direction=H","UseDPDF=Y")</f>
        <v>#NAME?</v>
      </c>
      <c r="AW103" s="2" t="e">
        <f ca="1">_xll.BDH($C$103,"MODIFIED_WORKING_CPTL_5YR_GRWTH","FY 2014","FY 2014","Currency=INR","Period=FY","BEST_FPERIOD_OVERRIDE=FY","FILING_STATUS=OR","EQY_CONSOLIDATED=Y","Sort=A","Dates=H","DateFormat=P","Fill=—","Direction=H","UseDPDF=Y")</f>
        <v>#NAME?</v>
      </c>
      <c r="AX103" s="2" t="e">
        <f ca="1">_xll.BDH($C$103,"WORKING_CAPITAL_5_YEAR_GROWTH","FY 2014","FY 2014","Currency=INR","Period=FY","BEST_FPERIOD_OVERRIDE=FY","FILING_STATUS=OR","EQY_CONSOLIDATED=Y","Sort=A","Dates=H","DateFormat=P","Fill=—","Direction=H","UseDPDF=Y")</f>
        <v>#NAME?</v>
      </c>
      <c r="AY103" s="2" t="e">
        <f ca="1">_xll.BDH($C$103,"ACCOUNTS_PAYABLE_5_YEAR_GROWTH","FY 2014","FY 2014","Currency=INR","Period=FY","BEST_FPERIOD_OVERRIDE=FY","FILING_STATUS=OR","EQY_CONSOLIDATED=Y","Sort=A","Dates=H","DateFormat=P","Fill=—","Direction=H","UseDPDF=Y")</f>
        <v>#NAME?</v>
      </c>
      <c r="AZ103" s="2" t="e">
        <f ca="1">_xll.BDH($C$103,"SHORT_TERM_DEBT_5_YEAR_GROWTH","FY 2014","FY 2014","Currency=INR","Period=FY","BEST_FPERIOD_OVERRIDE=FY","FILING_STATUS=OR","EQY_CONSOLIDATED=Y","Sort=A","Dates=H","DateFormat=P","Fill=—","Direction=H","UseDPDF=Y")</f>
        <v>#NAME?</v>
      </c>
      <c r="BA103" s="2" t="e">
        <f ca="1">_xll.BDH($C$103,"TOTAL_DEBT_5_YEAR_GROWTH","FY 2014","FY 2014","Currency=INR","Period=FY","BEST_FPERIOD_OVERRIDE=FY","FILING_STATUS=OR","EQY_CONSOLIDATED=Y","Sort=A","Dates=H","DateFormat=P","Fill=—","Direction=H","UseDPDF=Y")</f>
        <v>#NAME?</v>
      </c>
      <c r="BB103" s="2" t="e">
        <f ca="1">_xll.BDH($C$103,"GEO_GROW_TOT_SHRHLDR_EQY","FY 2014","FY 2014","Currency=INR","Period=FY","BEST_FPERIOD_OVERRIDE=FY","FILING_STATUS=OR","EQY_CONSOLIDATED=Y","Sort=A","Dates=H","DateFormat=P","Fill=—","Direction=H","UseDPDF=Y")</f>
        <v>#NAME?</v>
      </c>
      <c r="BC103" s="2" t="e">
        <f ca="1">_xll.BDH($C$103,"TOTAL_CAPITAL_5_YEAR_GROWTH","FY 2014","FY 2014","Currency=INR","Period=FY","BEST_FPERIOD_OVERRIDE=FY","FILING_STATUS=OR","EQY_CONSOLIDATED=Y","Sort=A","Dates=H","DateFormat=P","Fill=—","Direction=H","UseDPDF=Y")</f>
        <v>#NAME?</v>
      </c>
      <c r="BD103" s="2" t="e">
        <f ca="1">_xll.BDH($C$103,"GEO_GROW_BOOK_VAL","FY 2014","FY 2014","Currency=INR","Period=FY","BEST_FPERIOD_OVERRIDE=FY","FILING_STATUS=OR","EQY_CONSOLIDATED=Y","Sort=A","Dates=H","DateFormat=P","Fill=—","Direction=H","UseDPDF=Y")</f>
        <v>#NAME?</v>
      </c>
      <c r="BE103" s="2" t="e">
        <f ca="1">_xll.BDH($C$103,"GEO_GROW_CASH_OPER_ACT","FY 2014","FY 2014","Currency=INR","Period=FY","BEST_FPERIOD_OVERRIDE=FY","FILING_STATUS=OR","EQY_CONSOLIDATED=Y","Sort=A","Dates=H","DateFormat=P","Fill=—","Direction=H","UseDPDF=Y")</f>
        <v>#NAME?</v>
      </c>
      <c r="BF103" s="2" t="e">
        <f ca="1">_xll.BDH($C$103,"REVENUE_SEQUENTIAL_GROWTH","FY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103" s="2" t="e">
        <f ca="1">_xll.BDH($C$103,"EBITDA_SEQUENTIAL_GROWTH","FY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103" s="2" t="e">
        <f ca="1">_xll.BDH($C$103,"OPERATING_INCOME_SEQ_GROWTH","FY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103" s="2" t="e">
        <f ca="1">_xll.BDH($C$103,"NET_INCOME_TO_COMMON_SEQ_GROWTH","FY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103" s="2" t="e">
        <f ca="1">_xll.BDH($C$103,"EPS_DILUTED_SEQUENTIAL_GROWTH","FY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103" s="2" t="e">
        <f ca="1">_xll.BDH($C$103,"DPS_SEQUENTIAL_GROWTH","FY 2014","FY 2014","Currency=INR","Period=FY","BEST_FPERIOD_OVERRIDE=FY","FILING_STATUS=OR","EQY_CONSOLIDATED=Y","Sort=A","Dates=H","DateFormat=P","Fill=—","Direction=H","UseDPDF=Y")</f>
        <v>#NAME?</v>
      </c>
      <c r="BL103" s="2" t="e">
        <f ca="1">_xll.BDH($C$103,"ACCOUNTS_RECEIVABLE_SEQ_GROWTH","FY 2014","FY 2014","Currency=INR","Period=FY","BEST_FPERIOD_OVERRIDE=FY","FILING_STATUS=OR","EQY_CONSOLIDATED=Y","Sort=A","Dates=H","DateFormat=P","Fill=—","Direction=H","UseDPDF=Y")</f>
        <v>#NAME?</v>
      </c>
      <c r="BM103" s="2" t="e">
        <f ca="1">_xll.BDH($C$103,"INVENTORY_SEQUENTIAL_GROWTH","FY 2014","FY 2014","Currency=INR","Period=FY","BEST_FPERIOD_OVERRIDE=FY","FILING_STATUS=OR","EQY_CONSOLIDATED=Y","Sort=A","Dates=H","DateFormat=P","Fill=—","Direction=H","UseDPDF=Y")</f>
        <v>#NAME?</v>
      </c>
      <c r="BN103" s="2" t="e">
        <f ca="1">_xll.BDH($C$103,"FIXED_ASSETS_SEQUENTIAL_GROWTH","FY 2014","FY 2014","Currency=INR","Period=FY","BEST_FPERIOD_OVERRIDE=FY","FILING_STATUS=OR","EQY_CONSOLIDATED=Y","Sort=A","Dates=H","DateFormat=P","Fill=—","Direction=H","UseDPDF=Y")</f>
        <v>#NAME?</v>
      </c>
      <c r="BO103" s="2" t="e">
        <f ca="1">_xll.BDH($C$103,"TOTAL_ASSETS_SEQUENTIAL_GROWTH","FY 2014","FY 2014","Currency=INR","Period=FY","BEST_FPERIOD_OVERRIDE=FY","FILING_STATUS=OR","EQY_CONSOLIDATED=Y","Sort=A","Dates=H","DateFormat=P","Fill=—","Direction=H","UseDPDF=Y")</f>
        <v>#NAME?</v>
      </c>
      <c r="BP103" s="2" t="e">
        <f ca="1">_xll.BDH($C$103,"MODIFIED_WORKING_CPTL_SEQ_GRWTH","FY 2014","FY 2014","Currency=INR","Period=FY","BEST_FPERIOD_OVERRIDE=FY","FILING_STATUS=OR","EQY_CONSOLIDATED=Y","Sort=A","Dates=H","DateFormat=P","Fill=—","Direction=H","UseDPDF=Y")</f>
        <v>#NAME?</v>
      </c>
      <c r="BQ103" s="2" t="e">
        <f ca="1">_xll.BDH($C$103,"WORKING_CAPITAL_SEQ_GROWTH","FY 2014","FY 2014","Currency=INR","Period=FY","BEST_FPERIOD_OVERRIDE=FY","FILING_STATUS=OR","EQY_CONSOLIDATED=Y","Sort=A","Dates=H","DateFormat=P","Fill=—","Direction=H","UseDPDF=Y")</f>
        <v>#NAME?</v>
      </c>
      <c r="BR103" s="2" t="e">
        <f ca="1">_xll.BDH($C$103,"ACCOUNTS_PAYABLE_SEQ_GROWTH","FY 2014","FY 2014","Currency=INR","Period=FY","BEST_FPERIOD_OVERRIDE=FY","FILING_STATUS=OR","EQY_CONSOLIDATED=Y","Sort=A","Dates=H","DateFormat=P","Fill=—","Direction=H","UseDPDF=Y")</f>
        <v>#NAME?</v>
      </c>
      <c r="BS103" s="2" t="e">
        <f ca="1">_xll.BDH($C$103,"ST_DEBT_SEQUENTIAL_GROWTH","FY 2014","FY 2014","Currency=INR","Period=FY","BEST_FPERIOD_OVERRIDE=FY","FILING_STATUS=OR","EQY_CONSOLIDATED=Y","Sort=A","Dates=H","DateFormat=P","Fill=—","Direction=H","UseDPDF=Y")</f>
        <v>#NAME?</v>
      </c>
      <c r="BT103" s="2" t="e">
        <f ca="1">_xll.BDH($C$103,"TOTAL_DEBT_SEQUENTIAL_GROWTH","FY 2014","FY 2014","Currency=INR","Period=FY","BEST_FPERIOD_OVERRIDE=FY","FILING_STATUS=OR","EQY_CONSOLIDATED=Y","Sort=A","Dates=H","DateFormat=P","Fill=—","Direction=H","UseDPDF=Y")</f>
        <v>#NAME?</v>
      </c>
      <c r="BU103" s="2" t="e">
        <f ca="1">_xll.BDH($C$103,"TOTAL_EQUITY_SEQUENTIAL_GROWTH","FY 2014","FY 2014","Currency=INR","Period=FY","BEST_FPERIOD_OVERRIDE=FY","FILING_STATUS=OR","EQY_CONSOLIDATED=Y","Sort=A","Dates=H","DateFormat=P","Fill=—","Direction=H","UseDPDF=Y")</f>
        <v>#NAME?</v>
      </c>
      <c r="BV103" s="2" t="e">
        <f ca="1">_xll.BDH($C$103,"TOTAL_CAPITAL_SEQUENTIAL_GROWTH","FY 2014","FY 2014","Currency=INR","Period=FY","BEST_FPERIOD_OVERRIDE=FY","FILING_STATUS=OR","EQY_CONSOLIDATED=Y","Sort=A","Dates=H","DateFormat=P","Fill=—","Direction=H","UseDPDF=Y")</f>
        <v>#NAME?</v>
      </c>
      <c r="BW103" s="2" t="e">
        <f ca="1">_xll.BDH($C$103,"BPS_SEQUENTIAL_GROWTH","FY 2014","FY 2014","Currency=INR","Period=FY","BEST_FPERIOD_OVERRIDE=FY","FILING_STATUS=OR","EQY_CONSOLIDATED=Y","Sort=A","Dates=H","DateFormat=P","Fill=—","Direction=H","UseDPDF=Y")</f>
        <v>#NAME?</v>
      </c>
      <c r="BX103" s="2" t="e">
        <f ca="1">_xll.BDH($C$103,"CFO_SEQUENTIAL_GROWTH","FY 2014","FY 2014","Currency=INR","Period=FY","BEST_FPERIOD_OVERRIDE=FY","FILING_STATUS=OR","EQY_CONSOLIDATED=Y","Sort=A","Dates=H","DateFormat=P","Fill=—","Direction=H","UseDPDF=Y")</f>
        <v>#NAME?</v>
      </c>
      <c r="BY103" s="3" t="e">
        <f ca="1">_xll.BDH($C$103,"SHORT_AND_LONG_TERM_DEBT","FY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103" s="3" t="e">
        <f ca="1">_xll.BDH($C$103,"BS_ST_BORROW","FY 2014","FY 2014","Currency=INR","Period=FY","BEST_FPERIOD_OVERRIDE=FY","FILING_STATUS=OR","EQY_CONSOLIDATED=Y","SCALING_FORMAT=MLN","Sort=A","Dates=H","DateFormat=P","Fill=—","Direction=H","UseDPDF=Y")</f>
        <v>#NAME?</v>
      </c>
      <c r="CA103" s="3" t="e">
        <f ca="1">_xll.BDH($C$103,"BS_LT_BORROW","FY 2014","FY 2014","Currency=INR","Period=FY","BEST_FPERIOD_OVERRIDE=FY","FILING_STATUS=OR","EQY_CONSOLIDATED=Y","SCALING_FORMAT=MLN","Sort=A","Dates=H","DateFormat=P","Fill=—","Direction=H","UseDPDF=Y")</f>
        <v>#NAME?</v>
      </c>
      <c r="CB103" s="2" t="e">
        <f ca="1">_xll.BDH($C$103,"TOT_DEBT_TO_EBITDA","FY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103" s="2" t="e">
        <f ca="1">_xll.BDH($C$103,"NET_DEBT_TO_EBITDA","FY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103" s="2" t="e">
        <f ca="1">_xll.BDH($C$103,"TOTAL_DEBT_TO_EBIT","FY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103" s="2" t="e">
        <f ca="1">_xll.BDH($C$103,"NET_DEBT_TO_EBIT","FY 2014","FY 2014","Currency=INR","Period=FY","BEST_FPERIOD_OVERRIDE=FY","FILING_STATUS=OR","EQY_CONSOLIDATED=Y","FA_ADJUSTED=GAAP","Sort=A","Dates=H","DateFormat=P","Fill=—","Direction=H","UseDPDF=Y")</f>
        <v>#NAME?</v>
      </c>
      <c r="CF103" s="2" t="e">
        <f ca="1">_xll.BDH($C$103,"EBITDA_TO_INTEREST_EXPN","FY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103" s="2" t="e">
        <f ca="1">_xll.BDH($C$103,"COM_EQY_TO_TOT_ASSET","FY 2014","FY 2014","Currency=INR","Period=FY","BEST_FPERIOD_OVERRIDE=FY","FILING_STATUS=OR","EQY_CONSOLIDATED=Y","Sort=A","Dates=H","DateFormat=P","Fill=—","Direction=H","UseDPDF=Y")</f>
        <v>#NAME?</v>
      </c>
      <c r="CH103" s="2" t="e">
        <f ca="1">_xll.BDH($C$103,"LT_DEBT_TO_TOT_EQY","FY 2014","FY 2014","Currency=INR","Period=FY","BEST_FPERIOD_OVERRIDE=FY","FILING_STATUS=OR","EQY_CONSOLIDATED=Y","Sort=A","Dates=H","DateFormat=P","Fill=—","Direction=H","UseDPDF=Y")</f>
        <v>#NAME?</v>
      </c>
      <c r="CI103" s="2" t="e">
        <f ca="1">_xll.BDH($C$103,"LT_DEBT_TO_TOT_CAP","FY 2014","FY 2014","Currency=INR","Period=FY","BEST_FPERIOD_OVERRIDE=FY","FILING_STATUS=OR","EQY_CONSOLIDATED=Y","Sort=A","Dates=H","DateFormat=P","Fill=—","Direction=H","UseDPDF=Y")</f>
        <v>#NAME?</v>
      </c>
      <c r="CJ103" s="2" t="e">
        <f ca="1">_xll.BDH($C$103,"LT_DEBT_TO_TOT_ASSET","FY 2014","FY 2014","Currency=INR","Period=FY","BEST_FPERIOD_OVERRIDE=FY","FILING_STATUS=OR","EQY_CONSOLIDATED=Y","Sort=A","Dates=H","DateFormat=P","Fill=—","Direction=H","UseDPDF=Y")</f>
        <v>#NAME?</v>
      </c>
      <c r="CK103" s="2" t="e">
        <f ca="1">_xll.BDH($C$103,"TOT_DEBT_TO_TOT_EQY","FY 2014","FY 2014","Currency=INR","Period=FY","BEST_FPERIOD_OVERRIDE=FY","FILING_STATUS=OR","EQY_CONSOLIDATED=Y","Sort=A","Dates=H","DateFormat=P","Fill=—","Direction=H","UseDPDF=Y")</f>
        <v>#NAME?</v>
      </c>
      <c r="CL103" s="2" t="e">
        <f ca="1">_xll.BDH($C$103,"TOT_DEBT_TO_TOT_CAP","FY 2014","FY 2014","Currency=INR","Period=FY","BEST_FPERIOD_OVERRIDE=FY","FILING_STATUS=OR","EQY_CONSOLIDATED=Y","Sort=A","Dates=H","DateFormat=P","Fill=—","Direction=H","UseDPDF=Y")</f>
        <v>#NAME?</v>
      </c>
      <c r="CM103" s="2" t="e">
        <f ca="1">_xll.BDH($C$103,"TOT_DEBT_TO_TOT_ASSET","FY 2014","FY 2014","Currency=INR","Period=FY","BEST_FPERIOD_OVERRIDE=FY","FILING_STATUS=OR","EQY_CONSOLIDATED=Y","Sort=A","Dates=H","DateFormat=P","Fill=—","Direction=H","UseDPDF=Y")</f>
        <v>#NAME?</v>
      </c>
      <c r="CN103" s="2" t="e">
        <f ca="1">_xll.BDH($C$103,"NET_DEBT_TO_SHRHLDR_EQTY","FY 2014","FY 2014","Currency=INR","Period=FY","BEST_FPERIOD_OVERRIDE=FY","FILING_STATUS=OR","EQY_CONSOLIDATED=Y","Sort=A","Dates=H","DateFormat=P","Fill=—","Direction=H","UseDPDF=Y")</f>
        <v>#NAME?</v>
      </c>
      <c r="CO103" s="2" t="e">
        <f ca="1">_xll.BDH($C$103,"NET_DEBT_%_CAPITAL","FY 2014","FY 2014","Currency=INR","Period=FY","BEST_FPERIOD_OVERRIDE=FY","FILING_STATUS=OR","EQY_CONSOLIDATED=Y","Sort=A","Dates=H","DateFormat=P","Fill=—","Direction=H","UseDPDF=Y")</f>
        <v>#NAME?</v>
      </c>
      <c r="CP103" s="3" t="e">
        <f ca="1">_xll.BDH($C$103,"EBITDA","FY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103" s="3" t="e">
        <f ca="1">_xll.BDH($C$103,"EBITDA_AFTER_CAPEX","FY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103" s="3" t="e">
        <f ca="1">_xll.BDH($C$103,"IS_OPER_INC","FY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103" s="2" t="e">
        <f ca="1">_xll.BDH($C$103,"CASH_RATIO","FY 2014","FY 2014","Currency=INR","Period=FY","BEST_FPERIOD_OVERRIDE=FY","FILING_STATUS=OR","EQY_CONSOLIDATED=Y","Sort=A","Dates=H","DateFormat=P","Fill=—","Direction=H","UseDPDF=Y")</f>
        <v>#NAME?</v>
      </c>
      <c r="CT103" s="2" t="e">
        <f ca="1">_xll.BDH($C$103,"CUR_RATIO","FY 2014","FY 2014","Currency=INR","Period=FY","BEST_FPERIOD_OVERRIDE=FY","FILING_STATUS=OR","EQY_CONSOLIDATED=Y","Sort=A","Dates=H","DateFormat=P","Fill=—","Direction=H","UseDPDF=Y")</f>
        <v>#NAME?</v>
      </c>
      <c r="CU103" s="2" t="e">
        <f ca="1">_xll.BDH($C$103,"QUICK_RATIO","FY 2014","FY 2014","Currency=INR","Period=FY","BEST_FPERIOD_OVERRIDE=FY","FILING_STATUS=OR","EQY_CONSOLIDATED=Y","Sort=A","Dates=H","DateFormat=P","Fill=—","Direction=H","UseDPDF=Y")</f>
        <v>#NAME?</v>
      </c>
      <c r="CV103" s="2" t="e">
        <f ca="1">_xll.BDH($C$103,"ALTMAN_Z_SCORE","FY 2014","FY 2014","Currency=INR","Period=FY","BEST_FPERIOD_OVERRIDE=FY","FILING_STATUS=OR","EQY_CONSOLIDATED=Y","Sort=A","Dates=H","DateFormat=P","Fill=—","Direction=H","UseDPDF=Y")</f>
        <v>#NAME?</v>
      </c>
      <c r="CW103" s="4" t="e">
        <f ca="1">_xll.BDH($C$103,"ACCT_RCV_TURN","FY 2014","FY 2014","Currency=INR","Period=FY","BEST_FPERIOD_OVERRIDE=FY","FILING_STATUS=OR","EQY_CONSOLIDATED=Y","FA_ADJUSTED=GAAP","Sort=A","Dates=H","DateFormat=P","Fill=—","Direction=H","UseDPDF=Y")</f>
        <v>#NAME?</v>
      </c>
      <c r="CX103" s="2" t="e">
        <f ca="1">_xll.BDH($C$103,"ACCT_RCV_DAYS","FY 2014","FY 2014","Currency=INR","Period=FY","BEST_FPERIOD_OVERRIDE=FY","FILING_STATUS=OR","EQY_CONSOLIDATED=Y","FA_ADJUSTED=GAAP","Sort=A","Dates=H","DateFormat=P","Fill=—","Direction=H","UseDPDF=Y")</f>
        <v>#NAME?</v>
      </c>
      <c r="CY103" s="4" t="e">
        <f ca="1">_xll.BDH($C$103,"INVENT_TURN","FY 2014","FY 2014","Currency=INR","Period=FY","BEST_FPERIOD_OVERRIDE=FY","FILING_STATUS=OR","EQY_CONSOLIDATED=Y","FA_ADJUSTED=GAAP","Sort=A","Dates=H","DateFormat=P","Fill=—","Direction=H","UseDPDF=Y")</f>
        <v>#NAME?</v>
      </c>
      <c r="CZ103" s="2" t="e">
        <f ca="1">_xll.BDH($C$103,"INVENT_DAYS","FY 2014","FY 2014","Currency=INR","Period=FY","BEST_FPERIOD_OVERRIDE=FY","FILING_STATUS=OR","EQY_CONSOLIDATED=Y","FA_ADJUSTED=GAAP","Sort=A","Dates=H","DateFormat=P","Fill=—","Direction=H","UseDPDF=Y")</f>
        <v>#NAME?</v>
      </c>
      <c r="DA103" s="4" t="e">
        <f ca="1">_xll.BDH($C$103,"ACCOUNTS_PAYABLE_TURNOVER","FY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103" s="2" t="e">
        <f ca="1">_xll.BDH($C$103,"ACCOUNTS_PAYABLE_TURNOVER_DAYS","FY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103" s="4" t="e">
        <f ca="1">_xll.BDH($C$103,"CASH_CONVERSION_CYCLE","FY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103" s="4" t="e">
        <f ca="1">_xll.BDH($C$103,"INV_TO_CASH_DAYS","FY 2014","FY 2014","Currency=INR","Period=FY","BEST_FPERIOD_OVERRIDE=FY","FILING_STATUS=OR","EQY_CONSOLIDATED=Y","FA_ADJUSTED=GAAP","Sort=A","Dates=H","DateFormat=P","Fill=—","Direction=H","UseDPDF=Y")</f>
        <v>#NAME?</v>
      </c>
      <c r="DE103" s="5" t="e">
        <f ca="1">_xll.BDH($C$103,"BS_INVENTORIES","FY 2014","FY 2014","Currency=INR","Period=FY","BEST_FPERIOD_OVERRIDE=FY","FILING_STATUS=OR","EQY_CONSOLIDATED=Y","SCALING_FORMAT=MLN","Sort=A","Dates=H","DateFormat=P","Fill=—","Direction=H","UseDPDF=Y")</f>
        <v>#NAME?</v>
      </c>
      <c r="DF103" s="3" t="e">
        <f ca="1">_xll.BDH($C$103,"INVTRY_RAW_MATERIALS","FY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103" s="3" t="e">
        <f ca="1">_xll.BDH($C$103,"INVTRY_IN_PROGRESS","FY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103" s="3" t="e">
        <f ca="1">_xll.BDH($C$103,"INVTRY_FINISHED_GOODS","FY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103" s="3" t="e">
        <f ca="1">_xll.BDH($C$103,"BS_OTHER_INV","FY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104" spans="1:113" x14ac:dyDescent="0.3">
      <c r="A104" s="6"/>
      <c r="B104" s="6"/>
      <c r="C104" s="6"/>
      <c r="D104" s="6"/>
      <c r="E104" t="s">
        <v>78</v>
      </c>
      <c r="F104" t="e">
        <f ca="1">_xll.BDH($C$103,"RETURN_COM_EQY","FQ1 2014","FQ1 2014","Currency=INR","Period=FQ","BEST_FPERIOD_OVERRIDE=FQ","FILING_STATUS=OR","EQY_CONSOLIDATED=Y","FA_ADJUSTED=GAAP","Sort=A","Dates=H","DateFormat=P","Fill=—","Direction=H","UseDPDF=Y")</f>
        <v>#NAME?</v>
      </c>
      <c r="G104" t="e">
        <f ca="1">_xll.BDH($C$103,"RETURN_ON_ASSET","FQ1 2014","FQ1 2014","Currency=INR","Period=FQ","BEST_FPERIOD_OVERRIDE=FQ","FILING_STATUS=OR","EQY_CONSOLIDATED=Y","FA_ADJUSTED=GAAP","Sort=A","Dates=H","DateFormat=P","Fill=—","Direction=H","UseDPDF=Y")</f>
        <v>#NAME?</v>
      </c>
      <c r="H104" t="e">
        <f ca="1">_xll.BDH($C$103,"RETURN_ON_CAP","FQ1 2014","FQ1 2014","Currency=INR","Period=FQ","BEST_FPERIOD_OVERRIDE=FQ","FILING_STATUS=OR","EQY_CONSOLIDATED=Y","FA_ADJUSTED=GAAP","Sort=A","Dates=H","DateFormat=P","Fill=—","Direction=H","UseDPDF=Y")</f>
        <v>#NAME?</v>
      </c>
      <c r="I104" t="e">
        <f ca="1">_xll.BDH($C$103,"RETURN_ON_INV_CAPITAL","FQ1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104" t="e">
        <f ca="1">_xll.BDH($C$103,"EBITDA_TO_REVENUE","FQ1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104" t="e">
        <f ca="1">_xll.BDH($C$103,"OPER_MARGIN","FQ1 2014","FQ1 2014","Currency=INR","Period=FQ","BEST_FPERIOD_OVERRIDE=FQ","FILING_STATUS=OR","EQY_CONSOLIDATED=Y","FA_ADJUSTED=GAAP","Sort=A","Dates=H","DateFormat=P","Fill=—","Direction=H","UseDPDF=Y")</f>
        <v>#NAME?</v>
      </c>
      <c r="L104" t="e">
        <f ca="1">_xll.BDH($C$103,"INCREMENTAL_OPERATING_MARGIN","FQ1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104" t="e">
        <f ca="1">_xll.BDH($C$103,"PRETAX_INC_TO_NET_SALES","FQ1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104" t="e">
        <f ca="1">_xll.BDH($C$103,"INC_BEF_XO_ITEMS_TO_NET_SALES","FQ1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104" t="e">
        <f ca="1">_xll.BDH($C$103,"PROF_MARGIN","FQ1 2014","FQ1 2014","Currency=INR","Period=FQ","BEST_FPERIOD_OVERRIDE=FQ","FILING_STATUS=OR","EQY_CONSOLIDATED=Y","FA_ADJUSTED=GAAP","Sort=A","Dates=H","DateFormat=P","Fill=—","Direction=H","UseDPDF=Y")</f>
        <v>#NAME?</v>
      </c>
      <c r="P104" t="e">
        <f ca="1">_xll.BDH($C$103,"NET_INCOME_TO_COMMON_MARGIN","FQ1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104" t="e">
        <f ca="1">_xll.BDH($C$103,"EFF_TAX_RATE","FQ1 2014","FQ1 2014","Currency=INR","Period=FQ","BEST_FPERIOD_OVERRIDE=FQ","FILING_STATUS=OR","EQY_CONSOLIDATED=Y","FA_ADJUSTED=GAAP","Sort=A","Dates=H","DateFormat=P","Fill=—","Direction=H","UseDPDF=Y")</f>
        <v>#NAME?</v>
      </c>
      <c r="R104" t="e">
        <f ca="1">_xll.BDH($C$103,"DVD_PAYOUT_RATIO","FQ1 2014","FQ1 2014","Currency=INR","Period=FQ","BEST_FPERIOD_OVERRIDE=FQ","FILING_STATUS=OR","EQY_CONSOLIDATED=Y","FA_ADJUSTED=GAAP","Sort=A","Dates=H","DateFormat=P","Fill=—","Direction=H","UseDPDF=Y")</f>
        <v>#NAME?</v>
      </c>
      <c r="S104" t="e">
        <f ca="1">_xll.BDH($C$103,"SUSTAIN_GROWTH_RT","FQ1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104" s="2" t="e">
        <f ca="1">_xll.BDH($C$103,"SALES_GROWTH","FQ1 2014","FQ1 2014","Currency=INR","Period=FQ","BEST_FPERIOD_OVERRIDE=FQ","FILING_STATUS=OR","EQY_CONSOLIDATED=Y","FA_ADJUSTED=GAAP","Sort=A","Dates=H","DateFormat=P","Fill=—","Direction=H","UseDPDF=Y")</f>
        <v>#NAME?</v>
      </c>
      <c r="U104" s="2" t="e">
        <f ca="1">_xll.BDH($C$103,"EBITDA_GROWTH","FQ1 2014","FQ1 2014","Currency=INR","Period=FQ","BEST_FPERIOD_OVERRIDE=FQ","FILING_STATUS=OR","EQY_CONSOLIDATED=Y","FA_ADJUSTED=GAAP","Sort=A","Dates=H","DateFormat=P","Fill=—","Direction=H","UseDPDF=Y")</f>
        <v>#NAME?</v>
      </c>
      <c r="V104" s="2" t="e">
        <f ca="1">_xll.BDH($C$103,"OPER_INC_GROWTH","FQ1 2014","FQ1 2014","Currency=INR","Period=FQ","BEST_FPERIOD_OVERRIDE=FQ","FILING_STATUS=OR","EQY_CONSOLIDATED=Y","FA_ADJUSTED=GAAP","Sort=A","Dates=H","DateFormat=P","Fill=—","Direction=H","UseDPDF=Y")</f>
        <v>#NAME?</v>
      </c>
      <c r="W104" s="2" t="e">
        <f ca="1">_xll.BDH($C$103,"EARN_FOR_COM_GROWTH","FQ1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104" s="2" t="e">
        <f ca="1">_xll.BDH($C$103,"DILUTED_EPS_AFT_XO_ITEMS_GROWTH","FQ1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104" s="2" t="e">
        <f ca="1">_xll.BDH($C$103,"DIVIDEND_PER_SHARE_1_YEAR_GROWTH","FQ1 2014","FQ1 2014","Currency=INR","Period=FQ","BEST_FPERIOD_OVERRIDE=FQ","FILING_STATUS=OR","EQY_CONSOLIDATED=Y","Sort=A","Dates=H","DateFormat=P","Fill=—","Direction=H","UseDPDF=Y")</f>
        <v>#NAME?</v>
      </c>
      <c r="Z104" s="2" t="e">
        <f ca="1">_xll.BDH($C$103,"ACCOUNTS_RECEIVABLE_GROWTH","FQ1 2014","FQ1 2014","Currency=INR","Period=FQ","BEST_FPERIOD_OVERRIDE=FQ","FILING_STATUS=OR","EQY_CONSOLIDATED=Y","Sort=A","Dates=H","DateFormat=P","Fill=—","Direction=H","UseDPDF=Y")</f>
        <v>#NAME?</v>
      </c>
      <c r="AA104" s="2" t="e">
        <f ca="1">_xll.BDH($C$103,"INVENTORY_GROWTH","FQ1 2014","FQ1 2014","Currency=INR","Period=FQ","BEST_FPERIOD_OVERRIDE=FQ","FILING_STATUS=OR","EQY_CONSOLIDATED=Y","Sort=A","Dates=H","DateFormat=P","Fill=—","Direction=H","UseDPDF=Y")</f>
        <v>#NAME?</v>
      </c>
      <c r="AB104" s="2" t="e">
        <f ca="1">_xll.BDH($C$103,"NET_FIXED_ASSETS_1_YEAR_GROWTH","FQ1 2014","FQ1 2014","Currency=INR","Period=FQ","BEST_FPERIOD_OVERRIDE=FQ","FILING_STATUS=OR","EQY_CONSOLIDATED=Y","Sort=A","Dates=H","DateFormat=P","Fill=—","Direction=H","UseDPDF=Y")</f>
        <v>#NAME?</v>
      </c>
      <c r="AC104" s="2" t="e">
        <f ca="1">_xll.BDH($C$103,"ASSET_GROWTH","FQ1 2014","FQ1 2014","Currency=INR","Period=FQ","BEST_FPERIOD_OVERRIDE=FQ","FILING_STATUS=OR","EQY_CONSOLIDATED=Y","Sort=A","Dates=H","DateFormat=P","Fill=—","Direction=H","UseDPDF=Y")</f>
        <v>#NAME?</v>
      </c>
      <c r="AD104" s="2" t="e">
        <f ca="1">_xll.BDH($C$103,"MODIFIED_WORK_CAP_GROWTH","FQ1 2014","FQ1 2014","Currency=INR","Period=FQ","BEST_FPERIOD_OVERRIDE=FQ","FILING_STATUS=OR","EQY_CONSOLIDATED=Y","Sort=A","Dates=H","DateFormat=P","Fill=—","Direction=H","UseDPDF=Y")</f>
        <v>#NAME?</v>
      </c>
      <c r="AE104" s="2" t="e">
        <f ca="1">_xll.BDH($C$103,"WORK_CAP_GROWTH","FQ1 2014","FQ1 2014","Currency=INR","Period=FQ","BEST_FPERIOD_OVERRIDE=FQ","FILING_STATUS=OR","EQY_CONSOLIDATED=Y","Sort=A","Dates=H","DateFormat=P","Fill=—","Direction=H","UseDPDF=Y")</f>
        <v>#NAME?</v>
      </c>
      <c r="AF104" s="2" t="e">
        <f ca="1">_xll.BDH($C$103,"ACCOUNTS_PAYABLE_GROWTH_1YR","FQ1 2014","FQ1 2014","Currency=INR","Period=FQ","BEST_FPERIOD_OVERRIDE=FQ","FILING_STATUS=OR","EQY_CONSOLIDATED=Y","Sort=A","Dates=H","DateFormat=P","Fill=—","Direction=H","UseDPDF=Y")</f>
        <v>#NAME?</v>
      </c>
      <c r="AG104" s="2" t="e">
        <f ca="1">_xll.BDH($C$103,"SHORT_TERM_DEBT_1_YEAR_GROWTH","FQ1 2014","FQ1 2014","Currency=INR","Period=FQ","BEST_FPERIOD_OVERRIDE=FQ","FILING_STATUS=OR","EQY_CONSOLIDATED=Y","Sort=A","Dates=H","DateFormat=P","Fill=—","Direction=H","UseDPDF=Y")</f>
        <v>#NAME?</v>
      </c>
      <c r="AH104" s="2" t="e">
        <f ca="1">_xll.BDH($C$103,"TOTAL_DEBT_1_YEAR_GROWTH","FQ1 2014","FQ1 2014","Currency=INR","Period=FQ","BEST_FPERIOD_OVERRIDE=FQ","FILING_STATUS=OR","EQY_CONSOLIDATED=Y","Sort=A","Dates=H","DateFormat=P","Fill=—","Direction=H","UseDPDF=Y")</f>
        <v>#NAME?</v>
      </c>
      <c r="AI104" s="2" t="e">
        <f ca="1">_xll.BDH($C$103,"TOTAL_EQUITY_1_YEAR_GROWTH","FQ1 2014","FQ1 2014","Currency=INR","Period=FQ","BEST_FPERIOD_OVERRIDE=FQ","FILING_STATUS=OR","EQY_CONSOLIDATED=Y","Sort=A","Dates=H","DateFormat=P","Fill=—","Direction=H","UseDPDF=Y")</f>
        <v>#NAME?</v>
      </c>
      <c r="AJ104" s="2" t="e">
        <f ca="1">_xll.BDH($C$103,"GROWTH_IN_CAP","FQ1 2014","FQ1 2014","Currency=INR","Period=FQ","BEST_FPERIOD_OVERRIDE=FQ","FILING_STATUS=OR","EQY_CONSOLIDATED=Y","Sort=A","Dates=H","DateFormat=P","Fill=—","Direction=H","UseDPDF=Y")</f>
        <v>#NAME?</v>
      </c>
      <c r="AK104" s="2" t="e">
        <f ca="1">_xll.BDH($C$103,"BVPS_GROWTH","FQ1 2014","FQ1 2014","Currency=INR","Period=FQ","BEST_FPERIOD_OVERRIDE=FQ","FILING_STATUS=OR","EQY_CONSOLIDATED=Y","Sort=A","Dates=H","DateFormat=P","Fill=—","Direction=H","UseDPDF=Y")</f>
        <v>#NAME?</v>
      </c>
      <c r="AL104" s="2" t="e">
        <f ca="1">_xll.BDH($C$103,"CASH_FLOW_GROWTH","FQ1 2014","FQ1 2014","Currency=INR","Period=FQ","BEST_FPERIOD_OVERRIDE=FQ","FILING_STATUS=OR","EQY_CONSOLIDATED=Y","Sort=A","Dates=H","DateFormat=P","Fill=—","Direction=H","UseDPDF=Y")</f>
        <v>#NAME?</v>
      </c>
      <c r="AM104" s="2" t="e">
        <f ca="1">_xll.BDH($C$103,"GEO_GROW_NET_SALES","FQ1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104" s="2" t="e">
        <f ca="1">_xll.BDH($C$103,"GEO_GROW_EBITDA","FQ1 2014","FQ1 2014","Currency=INR","Period=FQ","BEST_FPERIOD_OVERRIDE=FQ","FILING_STATUS=OR","EQY_CONSOLIDATED=Y","FA_ADJUSTED=GAAP","Sort=A","Dates=H","DateFormat=P","Fill=—","Direction=H","UseDPDF=Y")</f>
        <v>#NAME?</v>
      </c>
      <c r="AO104" s="2" t="e">
        <f ca="1">_xll.BDH($C$103,"GEO_GROW_OPER_INC","FQ1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104" s="2" t="e">
        <f ca="1">_xll.BDH($C$103,"NET_INCOME_TO_COMMON_5_YR_GROWTH","FQ1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104" s="2" t="e">
        <f ca="1">_xll.BDH($C$103,"5Y_GEO_GROWTH_DILUTED_EPS","FQ1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104" s="2" t="e">
        <f ca="1">_xll.BDH($C$103,"GEO_GROW_DVD_PER_SH","FQ1 2014","FQ1 2014","Currency=INR","Period=FQ","BEST_FPERIOD_OVERRIDE=FQ","FILING_STATUS=OR","EQY_CONSOLIDATED=Y","Sort=A","Dates=H","DateFormat=P","Fill=—","Direction=H","UseDPDF=Y")</f>
        <v>#NAME?</v>
      </c>
      <c r="AS104" s="2" t="e">
        <f ca="1">_xll.BDH($C$103,"ACCOUNTS_RECEIVABLE_5_YR_GROWTH","FQ1 2014","FQ1 2014","Currency=INR","Period=FQ","BEST_FPERIOD_OVERRIDE=FQ","FILING_STATUS=OR","EQY_CONSOLIDATED=Y","Sort=A","Dates=H","DateFormat=P","Fill=—","Direction=H","UseDPDF=Y")</f>
        <v>#NAME?</v>
      </c>
      <c r="AT104" s="2" t="e">
        <f ca="1">_xll.BDH($C$103,"INVENTORY_5_YEAR_GROWTH","FQ1 2014","FQ1 2014","Currency=INR","Period=FQ","BEST_FPERIOD_OVERRIDE=FQ","FILING_STATUS=OR","EQY_CONSOLIDATED=Y","Sort=A","Dates=H","DateFormat=P","Fill=—","Direction=H","UseDPDF=Y")</f>
        <v>#NAME?</v>
      </c>
      <c r="AU104" s="2" t="e">
        <f ca="1">_xll.BDH($C$103,"NET_FIXED_ASSETS_5_YEAR_GROWTH","FQ1 2014","FQ1 2014","Currency=INR","Period=FQ","BEST_FPERIOD_OVERRIDE=FQ","FILING_STATUS=OR","EQY_CONSOLIDATED=Y","Sort=A","Dates=H","DateFormat=P","Fill=—","Direction=H","UseDPDF=Y")</f>
        <v>#NAME?</v>
      </c>
      <c r="AV104" s="2" t="e">
        <f ca="1">_xll.BDH($C$103,"GEO_GROW_TOT_ASSET","FQ1 2014","FQ1 2014","Currency=INR","Period=FQ","BEST_FPERIOD_OVERRIDE=FQ","FILING_STATUS=OR","EQY_CONSOLIDATED=Y","Sort=A","Dates=H","DateFormat=P","Fill=—","Direction=H","UseDPDF=Y")</f>
        <v>#NAME?</v>
      </c>
      <c r="AW104" s="2" t="e">
        <f ca="1">_xll.BDH($C$103,"MODIFIED_WORKING_CPTL_5YR_GRWTH","FQ1 2014","FQ1 2014","Currency=INR","Period=FQ","BEST_FPERIOD_OVERRIDE=FQ","FILING_STATUS=OR","EQY_CONSOLIDATED=Y","Sort=A","Dates=H","DateFormat=P","Fill=—","Direction=H","UseDPDF=Y")</f>
        <v>#NAME?</v>
      </c>
      <c r="AX104" s="2" t="e">
        <f ca="1">_xll.BDH($C$103,"WORKING_CAPITAL_5_YEAR_GROWTH","FQ1 2014","FQ1 2014","Currency=INR","Period=FQ","BEST_FPERIOD_OVERRIDE=FQ","FILING_STATUS=OR","EQY_CONSOLIDATED=Y","Sort=A","Dates=H","DateFormat=P","Fill=—","Direction=H","UseDPDF=Y")</f>
        <v>#NAME?</v>
      </c>
      <c r="AY104" s="2" t="e">
        <f ca="1">_xll.BDH($C$103,"ACCOUNTS_PAYABLE_5_YEAR_GROWTH","FQ1 2014","FQ1 2014","Currency=INR","Period=FQ","BEST_FPERIOD_OVERRIDE=FQ","FILING_STATUS=OR","EQY_CONSOLIDATED=Y","Sort=A","Dates=H","DateFormat=P","Fill=—","Direction=H","UseDPDF=Y")</f>
        <v>#NAME?</v>
      </c>
      <c r="AZ104" s="2" t="e">
        <f ca="1">_xll.BDH($C$103,"SHORT_TERM_DEBT_5_YEAR_GROWTH","FQ1 2014","FQ1 2014","Currency=INR","Period=FQ","BEST_FPERIOD_OVERRIDE=FQ","FILING_STATUS=OR","EQY_CONSOLIDATED=Y","Sort=A","Dates=H","DateFormat=P","Fill=—","Direction=H","UseDPDF=Y")</f>
        <v>#NAME?</v>
      </c>
      <c r="BA104" s="2" t="e">
        <f ca="1">_xll.BDH($C$103,"TOTAL_DEBT_5_YEAR_GROWTH","FQ1 2014","FQ1 2014","Currency=INR","Period=FQ","BEST_FPERIOD_OVERRIDE=FQ","FILING_STATUS=OR","EQY_CONSOLIDATED=Y","Sort=A","Dates=H","DateFormat=P","Fill=—","Direction=H","UseDPDF=Y")</f>
        <v>#NAME?</v>
      </c>
      <c r="BB104" s="2" t="e">
        <f ca="1">_xll.BDH($C$103,"GEO_GROW_TOT_SHRHLDR_EQY","FQ1 2014","FQ1 2014","Currency=INR","Period=FQ","BEST_FPERIOD_OVERRIDE=FQ","FILING_STATUS=OR","EQY_CONSOLIDATED=Y","Sort=A","Dates=H","DateFormat=P","Fill=—","Direction=H","UseDPDF=Y")</f>
        <v>#NAME?</v>
      </c>
      <c r="BC104" s="2" t="e">
        <f ca="1">_xll.BDH($C$103,"TOTAL_CAPITAL_5_YEAR_GROWTH","FQ1 2014","FQ1 2014","Currency=INR","Period=FQ","BEST_FPERIOD_OVERRIDE=FQ","FILING_STATUS=OR","EQY_CONSOLIDATED=Y","Sort=A","Dates=H","DateFormat=P","Fill=—","Direction=H","UseDPDF=Y")</f>
        <v>#NAME?</v>
      </c>
      <c r="BD104" s="2" t="e">
        <f ca="1">_xll.BDH($C$103,"GEO_GROW_BOOK_VAL","FQ1 2014","FQ1 2014","Currency=INR","Period=FQ","BEST_FPERIOD_OVERRIDE=FQ","FILING_STATUS=OR","EQY_CONSOLIDATED=Y","Sort=A","Dates=H","DateFormat=P","Fill=—","Direction=H","UseDPDF=Y")</f>
        <v>#NAME?</v>
      </c>
      <c r="BE104" s="2" t="e">
        <f ca="1">_xll.BDH($C$103,"GEO_GROW_CASH_OPER_ACT","FQ1 2014","FQ1 2014","Currency=INR","Period=FQ","BEST_FPERIOD_OVERRIDE=FQ","FILING_STATUS=OR","EQY_CONSOLIDATED=Y","Sort=A","Dates=H","DateFormat=P","Fill=—","Direction=H","UseDPDF=Y")</f>
        <v>#NAME?</v>
      </c>
      <c r="BF104" s="2" t="e">
        <f ca="1">_xll.BDH($C$103,"REVENUE_SEQUENTIAL_GROWTH","FQ1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104" s="2" t="e">
        <f ca="1">_xll.BDH($C$103,"EBITDA_SEQUENTIAL_GROWTH","FQ1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104" s="2" t="e">
        <f ca="1">_xll.BDH($C$103,"OPERATING_INCOME_SEQ_GROWTH","FQ1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104" s="2" t="e">
        <f ca="1">_xll.BDH($C$103,"NET_INCOME_TO_COMMON_SEQ_GROWTH","FQ1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104" s="2" t="e">
        <f ca="1">_xll.BDH($C$103,"EPS_DILUTED_SEQUENTIAL_GROWTH","FQ1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104" s="2" t="e">
        <f ca="1">_xll.BDH($C$103,"DPS_SEQUENTIAL_GROWTH","FQ1 2014","FQ1 2014","Currency=INR","Period=FQ","BEST_FPERIOD_OVERRIDE=FQ","FILING_STATUS=OR","EQY_CONSOLIDATED=Y","Sort=A","Dates=H","DateFormat=P","Fill=—","Direction=H","UseDPDF=Y")</f>
        <v>#NAME?</v>
      </c>
      <c r="BL104" s="2" t="e">
        <f ca="1">_xll.BDH($C$103,"ACCOUNTS_RECEIVABLE_SEQ_GROWTH","FQ1 2014","FQ1 2014","Currency=INR","Period=FQ","BEST_FPERIOD_OVERRIDE=FQ","FILING_STATUS=OR","EQY_CONSOLIDATED=Y","Sort=A","Dates=H","DateFormat=P","Fill=—","Direction=H","UseDPDF=Y")</f>
        <v>#NAME?</v>
      </c>
      <c r="BM104" s="2" t="e">
        <f ca="1">_xll.BDH($C$103,"INVENTORY_SEQUENTIAL_GROWTH","FQ1 2014","FQ1 2014","Currency=INR","Period=FQ","BEST_FPERIOD_OVERRIDE=FQ","FILING_STATUS=OR","EQY_CONSOLIDATED=Y","Sort=A","Dates=H","DateFormat=P","Fill=—","Direction=H","UseDPDF=Y")</f>
        <v>#NAME?</v>
      </c>
      <c r="BN104" s="2" t="e">
        <f ca="1">_xll.BDH($C$103,"FIXED_ASSETS_SEQUENTIAL_GROWTH","FQ1 2014","FQ1 2014","Currency=INR","Period=FQ","BEST_FPERIOD_OVERRIDE=FQ","FILING_STATUS=OR","EQY_CONSOLIDATED=Y","Sort=A","Dates=H","DateFormat=P","Fill=—","Direction=H","UseDPDF=Y")</f>
        <v>#NAME?</v>
      </c>
      <c r="BO104" s="2" t="e">
        <f ca="1">_xll.BDH($C$103,"TOTAL_ASSETS_SEQUENTIAL_GROWTH","FQ1 2014","FQ1 2014","Currency=INR","Period=FQ","BEST_FPERIOD_OVERRIDE=FQ","FILING_STATUS=OR","EQY_CONSOLIDATED=Y","Sort=A","Dates=H","DateFormat=P","Fill=—","Direction=H","UseDPDF=Y")</f>
        <v>#NAME?</v>
      </c>
      <c r="BP104" s="2" t="e">
        <f ca="1">_xll.BDH($C$103,"MODIFIED_WORKING_CPTL_SEQ_GRWTH","FQ1 2014","FQ1 2014","Currency=INR","Period=FQ","BEST_FPERIOD_OVERRIDE=FQ","FILING_STATUS=OR","EQY_CONSOLIDATED=Y","Sort=A","Dates=H","DateFormat=P","Fill=—","Direction=H","UseDPDF=Y")</f>
        <v>#NAME?</v>
      </c>
      <c r="BQ104" s="2" t="e">
        <f ca="1">_xll.BDH($C$103,"WORKING_CAPITAL_SEQ_GROWTH","FQ1 2014","FQ1 2014","Currency=INR","Period=FQ","BEST_FPERIOD_OVERRIDE=FQ","FILING_STATUS=OR","EQY_CONSOLIDATED=Y","Sort=A","Dates=H","DateFormat=P","Fill=—","Direction=H","UseDPDF=Y")</f>
        <v>#NAME?</v>
      </c>
      <c r="BR104" s="2" t="e">
        <f ca="1">_xll.BDH($C$103,"ACCOUNTS_PAYABLE_SEQ_GROWTH","FQ1 2014","FQ1 2014","Currency=INR","Period=FQ","BEST_FPERIOD_OVERRIDE=FQ","FILING_STATUS=OR","EQY_CONSOLIDATED=Y","Sort=A","Dates=H","DateFormat=P","Fill=—","Direction=H","UseDPDF=Y")</f>
        <v>#NAME?</v>
      </c>
      <c r="BS104" s="2" t="e">
        <f ca="1">_xll.BDH($C$103,"ST_DEBT_SEQUENTIAL_GROWTH","FQ1 2014","FQ1 2014","Currency=INR","Period=FQ","BEST_FPERIOD_OVERRIDE=FQ","FILING_STATUS=OR","EQY_CONSOLIDATED=Y","Sort=A","Dates=H","DateFormat=P","Fill=—","Direction=H","UseDPDF=Y")</f>
        <v>#NAME?</v>
      </c>
      <c r="BT104" s="2" t="e">
        <f ca="1">_xll.BDH($C$103,"TOTAL_DEBT_SEQUENTIAL_GROWTH","FQ1 2014","FQ1 2014","Currency=INR","Period=FQ","BEST_FPERIOD_OVERRIDE=FQ","FILING_STATUS=OR","EQY_CONSOLIDATED=Y","Sort=A","Dates=H","DateFormat=P","Fill=—","Direction=H","UseDPDF=Y")</f>
        <v>#NAME?</v>
      </c>
      <c r="BU104" s="2" t="e">
        <f ca="1">_xll.BDH($C$103,"TOTAL_EQUITY_SEQUENTIAL_GROWTH","FQ1 2014","FQ1 2014","Currency=INR","Period=FQ","BEST_FPERIOD_OVERRIDE=FQ","FILING_STATUS=OR","EQY_CONSOLIDATED=Y","Sort=A","Dates=H","DateFormat=P","Fill=—","Direction=H","UseDPDF=Y")</f>
        <v>#NAME?</v>
      </c>
      <c r="BV104" s="2" t="e">
        <f ca="1">_xll.BDH($C$103,"TOTAL_CAPITAL_SEQUENTIAL_GROWTH","FQ1 2014","FQ1 2014","Currency=INR","Period=FQ","BEST_FPERIOD_OVERRIDE=FQ","FILING_STATUS=OR","EQY_CONSOLIDATED=Y","Sort=A","Dates=H","DateFormat=P","Fill=—","Direction=H","UseDPDF=Y")</f>
        <v>#NAME?</v>
      </c>
      <c r="BW104" s="2" t="e">
        <f ca="1">_xll.BDH($C$103,"BPS_SEQUENTIAL_GROWTH","FQ1 2014","FQ1 2014","Currency=INR","Period=FQ","BEST_FPERIOD_OVERRIDE=FQ","FILING_STATUS=OR","EQY_CONSOLIDATED=Y","Sort=A","Dates=H","DateFormat=P","Fill=—","Direction=H","UseDPDF=Y")</f>
        <v>#NAME?</v>
      </c>
      <c r="BX104" s="2" t="e">
        <f ca="1">_xll.BDH($C$103,"CFO_SEQUENTIAL_GROWTH","FQ1 2014","FQ1 2014","Currency=INR","Period=FQ","BEST_FPERIOD_OVERRIDE=FQ","FILING_STATUS=OR","EQY_CONSOLIDATED=Y","Sort=A","Dates=H","DateFormat=P","Fill=—","Direction=H","UseDPDF=Y")</f>
        <v>#NAME?</v>
      </c>
      <c r="BY104" s="3" t="e">
        <f ca="1">_xll.BDH($C$103,"SHORT_AND_LONG_TERM_DEBT","FQ1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104" s="3" t="e">
        <f ca="1">_xll.BDH($C$103,"BS_ST_BORROW","FQ1 2014","FQ1 2014","Currency=INR","Period=FQ","BEST_FPERIOD_OVERRIDE=FQ","FILING_STATUS=OR","EQY_CONSOLIDATED=Y","SCALING_FORMAT=MLN","Sort=A","Dates=H","DateFormat=P","Fill=—","Direction=H","UseDPDF=Y")</f>
        <v>#NAME?</v>
      </c>
      <c r="CA104" s="3" t="e">
        <f ca="1">_xll.BDH($C$103,"BS_LT_BORROW","FQ1 2014","FQ1 2014","Currency=INR","Period=FQ","BEST_FPERIOD_OVERRIDE=FQ","FILING_STATUS=OR","EQY_CONSOLIDATED=Y","SCALING_FORMAT=MLN","Sort=A","Dates=H","DateFormat=P","Fill=—","Direction=H","UseDPDF=Y")</f>
        <v>#NAME?</v>
      </c>
      <c r="CB104" s="2" t="e">
        <f ca="1">_xll.BDH($C$103,"TOT_DEBT_TO_EBITDA","FQ1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104" s="2" t="e">
        <f ca="1">_xll.BDH($C$103,"NET_DEBT_TO_EBITDA","FQ1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104" s="2" t="e">
        <f ca="1">_xll.BDH($C$103,"TOTAL_DEBT_TO_EBIT","FQ1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104" s="2" t="e">
        <f ca="1">_xll.BDH($C$103,"NET_DEBT_TO_EBIT","FQ1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104" s="2" t="e">
        <f ca="1">_xll.BDH($C$103,"EBITDA_TO_INTEREST_EXPN","FQ1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104" s="2" t="e">
        <f ca="1">_xll.BDH($C$103,"COM_EQY_TO_TOT_ASSET","FQ1 2014","FQ1 2014","Currency=INR","Period=FQ","BEST_FPERIOD_OVERRIDE=FQ","FILING_STATUS=OR","EQY_CONSOLIDATED=Y","Sort=A","Dates=H","DateFormat=P","Fill=—","Direction=H","UseDPDF=Y")</f>
        <v>#NAME?</v>
      </c>
      <c r="CH104" s="2" t="e">
        <f ca="1">_xll.BDH($C$103,"LT_DEBT_TO_TOT_EQY","FQ1 2014","FQ1 2014","Currency=INR","Period=FQ","BEST_FPERIOD_OVERRIDE=FQ","FILING_STATUS=OR","EQY_CONSOLIDATED=Y","Sort=A","Dates=H","DateFormat=P","Fill=—","Direction=H","UseDPDF=Y")</f>
        <v>#NAME?</v>
      </c>
      <c r="CI104" s="2" t="e">
        <f ca="1">_xll.BDH($C$103,"LT_DEBT_TO_TOT_CAP","FQ1 2014","FQ1 2014","Currency=INR","Period=FQ","BEST_FPERIOD_OVERRIDE=FQ","FILING_STATUS=OR","EQY_CONSOLIDATED=Y","Sort=A","Dates=H","DateFormat=P","Fill=—","Direction=H","UseDPDF=Y")</f>
        <v>#NAME?</v>
      </c>
      <c r="CJ104" s="2" t="e">
        <f ca="1">_xll.BDH($C$103,"LT_DEBT_TO_TOT_ASSET","FQ1 2014","FQ1 2014","Currency=INR","Period=FQ","BEST_FPERIOD_OVERRIDE=FQ","FILING_STATUS=OR","EQY_CONSOLIDATED=Y","Sort=A","Dates=H","DateFormat=P","Fill=—","Direction=H","UseDPDF=Y")</f>
        <v>#NAME?</v>
      </c>
      <c r="CK104" s="2" t="e">
        <f ca="1">_xll.BDH($C$103,"TOT_DEBT_TO_TOT_EQY","FQ1 2014","FQ1 2014","Currency=INR","Period=FQ","BEST_FPERIOD_OVERRIDE=FQ","FILING_STATUS=OR","EQY_CONSOLIDATED=Y","Sort=A","Dates=H","DateFormat=P","Fill=—","Direction=H","UseDPDF=Y")</f>
        <v>#NAME?</v>
      </c>
      <c r="CL104" s="2" t="e">
        <f ca="1">_xll.BDH($C$103,"TOT_DEBT_TO_TOT_CAP","FQ1 2014","FQ1 2014","Currency=INR","Period=FQ","BEST_FPERIOD_OVERRIDE=FQ","FILING_STATUS=OR","EQY_CONSOLIDATED=Y","Sort=A","Dates=H","DateFormat=P","Fill=—","Direction=H","UseDPDF=Y")</f>
        <v>#NAME?</v>
      </c>
      <c r="CM104" s="2" t="e">
        <f ca="1">_xll.BDH($C$103,"TOT_DEBT_TO_TOT_ASSET","FQ1 2014","FQ1 2014","Currency=INR","Period=FQ","BEST_FPERIOD_OVERRIDE=FQ","FILING_STATUS=OR","EQY_CONSOLIDATED=Y","Sort=A","Dates=H","DateFormat=P","Fill=—","Direction=H","UseDPDF=Y")</f>
        <v>#NAME?</v>
      </c>
      <c r="CN104" s="2" t="e">
        <f ca="1">_xll.BDH($C$103,"NET_DEBT_TO_SHRHLDR_EQTY","FQ1 2014","FQ1 2014","Currency=INR","Period=FQ","BEST_FPERIOD_OVERRIDE=FQ","FILING_STATUS=OR","EQY_CONSOLIDATED=Y","Sort=A","Dates=H","DateFormat=P","Fill=—","Direction=H","UseDPDF=Y")</f>
        <v>#NAME?</v>
      </c>
      <c r="CO104" s="2" t="e">
        <f ca="1">_xll.BDH($C$103,"NET_DEBT_%_CAPITAL","FQ1 2014","FQ1 2014","Currency=INR","Period=FQ","BEST_FPERIOD_OVERRIDE=FQ","FILING_STATUS=OR","EQY_CONSOLIDATED=Y","Sort=A","Dates=H","DateFormat=P","Fill=—","Direction=H","UseDPDF=Y")</f>
        <v>#NAME?</v>
      </c>
      <c r="CP104" s="3" t="e">
        <f ca="1">_xll.BDH($C$103,"EBITDA","FQ1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104" s="3" t="e">
        <f ca="1">_xll.BDH($C$103,"EBITDA_AFTER_CAPEX","FQ1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104" s="3" t="e">
        <f ca="1">_xll.BDH($C$103,"IS_OPER_INC","FQ1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104" s="2" t="e">
        <f ca="1">_xll.BDH($C$103,"CASH_RATIO","FQ1 2014","FQ1 2014","Currency=INR","Period=FQ","BEST_FPERIOD_OVERRIDE=FQ","FILING_STATUS=OR","EQY_CONSOLIDATED=Y","Sort=A","Dates=H","DateFormat=P","Fill=—","Direction=H","UseDPDF=Y")</f>
        <v>#NAME?</v>
      </c>
      <c r="CT104" s="2" t="e">
        <f ca="1">_xll.BDH($C$103,"CUR_RATIO","FQ1 2014","FQ1 2014","Currency=INR","Period=FQ","BEST_FPERIOD_OVERRIDE=FQ","FILING_STATUS=OR","EQY_CONSOLIDATED=Y","Sort=A","Dates=H","DateFormat=P","Fill=—","Direction=H","UseDPDF=Y")</f>
        <v>#NAME?</v>
      </c>
      <c r="CU104" s="2" t="e">
        <f ca="1">_xll.BDH($C$103,"QUICK_RATIO","FQ1 2014","FQ1 2014","Currency=INR","Period=FQ","BEST_FPERIOD_OVERRIDE=FQ","FILING_STATUS=OR","EQY_CONSOLIDATED=Y","Sort=A","Dates=H","DateFormat=P","Fill=—","Direction=H","UseDPDF=Y")</f>
        <v>#NAME?</v>
      </c>
      <c r="CV104" s="2" t="e">
        <f ca="1">_xll.BDH($C$103,"ALTMAN_Z_SCORE","FQ1 2014","FQ1 2014","Currency=INR","Period=FQ","BEST_FPERIOD_OVERRIDE=FQ","FILING_STATUS=OR","EQY_CONSOLIDATED=Y","Sort=A","Dates=H","DateFormat=P","Fill=—","Direction=H","UseDPDF=Y")</f>
        <v>#NAME?</v>
      </c>
      <c r="CW104" s="4" t="e">
        <f ca="1">_xll.BDH($C$103,"ACCT_RCV_TURN","FQ1 2014","FQ1 2014","Currency=INR","Period=FQ","BEST_FPERIOD_OVERRIDE=FQ","FILING_STATUS=OR","EQY_CONSOLIDATED=Y","FA_ADJUSTED=GAAP","Sort=A","Dates=H","DateFormat=P","Fill=—","Direction=H","UseDPDF=Y")</f>
        <v>#NAME?</v>
      </c>
      <c r="CX104" s="2" t="e">
        <f ca="1">_xll.BDH($C$103,"ACCT_RCV_DAYS","FQ1 2014","FQ1 2014","Currency=INR","Period=FQ","BEST_FPERIOD_OVERRIDE=FQ","FILING_STATUS=OR","EQY_CONSOLIDATED=Y","FA_ADJUSTED=GAAP","Sort=A","Dates=H","DateFormat=P","Fill=—","Direction=H","UseDPDF=Y")</f>
        <v>#NAME?</v>
      </c>
      <c r="CY104" s="4" t="e">
        <f ca="1">_xll.BDH($C$103,"INVENT_TURN","FQ1 2014","FQ1 2014","Currency=INR","Period=FQ","BEST_FPERIOD_OVERRIDE=FQ","FILING_STATUS=OR","EQY_CONSOLIDATED=Y","FA_ADJUSTED=GAAP","Sort=A","Dates=H","DateFormat=P","Fill=—","Direction=H","UseDPDF=Y")</f>
        <v>#NAME?</v>
      </c>
      <c r="CZ104" s="2" t="e">
        <f ca="1">_xll.BDH($C$103,"INVENT_DAYS","FQ1 2014","FQ1 2014","Currency=INR","Period=FQ","BEST_FPERIOD_OVERRIDE=FQ","FILING_STATUS=OR","EQY_CONSOLIDATED=Y","FA_ADJUSTED=GAAP","Sort=A","Dates=H","DateFormat=P","Fill=—","Direction=H","UseDPDF=Y")</f>
        <v>#NAME?</v>
      </c>
      <c r="DA104" s="4" t="e">
        <f ca="1">_xll.BDH($C$103,"ACCOUNTS_PAYABLE_TURNOVER","FQ1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104" s="2" t="e">
        <f ca="1">_xll.BDH($C$103,"ACCOUNTS_PAYABLE_TURNOVER_DAYS","FQ1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104" s="4" t="e">
        <f ca="1">_xll.BDH($C$103,"CASH_CONVERSION_CYCLE","FQ1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104" s="4" t="e">
        <f ca="1">_xll.BDH($C$103,"INV_TO_CASH_DAYS","FQ1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104" s="5" t="e">
        <f ca="1">_xll.BDH($C$103,"BS_INVENTORIES","FQ1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104" s="3" t="e">
        <f ca="1">_xll.BDH($C$103,"INVTRY_RAW_MATERIALS","FQ1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104" s="3" t="e">
        <f ca="1">_xll.BDH($C$103,"INVTRY_IN_PROGRESS","FQ1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104" s="3" t="e">
        <f ca="1">_xll.BDH($C$103,"INVTRY_FINISHED_GOODS","FQ1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104" s="3" t="e">
        <f ca="1">_xll.BDH($C$103,"BS_OTHER_INV","FQ1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105" spans="1:113" x14ac:dyDescent="0.3">
      <c r="A105" s="6"/>
      <c r="B105" s="6"/>
      <c r="C105" s="6"/>
      <c r="D105" s="6"/>
      <c r="E105" t="s">
        <v>79</v>
      </c>
      <c r="F105" t="e">
        <f ca="1">_xll.BDH($C$103,"RETURN_COM_EQY","FQ2 2014","FQ2 2014","Currency=INR","Period=FQ","BEST_FPERIOD_OVERRIDE=FQ","FILING_STATUS=OR","EQY_CONSOLIDATED=Y","FA_ADJUSTED=GAAP","Sort=A","Dates=H","DateFormat=P","Fill=—","Direction=H","UseDPDF=Y")</f>
        <v>#NAME?</v>
      </c>
      <c r="G105" t="e">
        <f ca="1">_xll.BDH($C$103,"RETURN_ON_ASSET","FQ2 2014","FQ2 2014","Currency=INR","Period=FQ","BEST_FPERIOD_OVERRIDE=FQ","FILING_STATUS=OR","EQY_CONSOLIDATED=Y","FA_ADJUSTED=GAAP","Sort=A","Dates=H","DateFormat=P","Fill=—","Direction=H","UseDPDF=Y")</f>
        <v>#NAME?</v>
      </c>
      <c r="H105" t="e">
        <f ca="1">_xll.BDH($C$103,"RETURN_ON_CAP","FQ2 2014","FQ2 2014","Currency=INR","Period=FQ","BEST_FPERIOD_OVERRIDE=FQ","FILING_STATUS=OR","EQY_CONSOLIDATED=Y","FA_ADJUSTED=GAAP","Sort=A","Dates=H","DateFormat=P","Fill=—","Direction=H","UseDPDF=Y")</f>
        <v>#NAME?</v>
      </c>
      <c r="I105" t="e">
        <f ca="1">_xll.BDH($C$103,"RETURN_ON_INV_CAPITAL","FQ2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105" t="e">
        <f ca="1">_xll.BDH($C$103,"EBITDA_TO_REVENUE","FQ2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105" t="e">
        <f ca="1">_xll.BDH($C$103,"OPER_MARGIN","FQ2 2014","FQ2 2014","Currency=INR","Period=FQ","BEST_FPERIOD_OVERRIDE=FQ","FILING_STATUS=OR","EQY_CONSOLIDATED=Y","FA_ADJUSTED=GAAP","Sort=A","Dates=H","DateFormat=P","Fill=—","Direction=H","UseDPDF=Y")</f>
        <v>#NAME?</v>
      </c>
      <c r="L105" t="e">
        <f ca="1">_xll.BDH($C$103,"INCREMENTAL_OPERATING_MARGIN","FQ2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105" t="e">
        <f ca="1">_xll.BDH($C$103,"PRETAX_INC_TO_NET_SALES","FQ2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105" t="e">
        <f ca="1">_xll.BDH($C$103,"INC_BEF_XO_ITEMS_TO_NET_SALES","FQ2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105" t="e">
        <f ca="1">_xll.BDH($C$103,"PROF_MARGIN","FQ2 2014","FQ2 2014","Currency=INR","Period=FQ","BEST_FPERIOD_OVERRIDE=FQ","FILING_STATUS=OR","EQY_CONSOLIDATED=Y","FA_ADJUSTED=GAAP","Sort=A","Dates=H","DateFormat=P","Fill=—","Direction=H","UseDPDF=Y")</f>
        <v>#NAME?</v>
      </c>
      <c r="P105" t="e">
        <f ca="1">_xll.BDH($C$103,"NET_INCOME_TO_COMMON_MARGIN","FQ2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105" t="e">
        <f ca="1">_xll.BDH($C$103,"EFF_TAX_RATE","FQ2 2014","FQ2 2014","Currency=INR","Period=FQ","BEST_FPERIOD_OVERRIDE=FQ","FILING_STATUS=OR","EQY_CONSOLIDATED=Y","FA_ADJUSTED=GAAP","Sort=A","Dates=H","DateFormat=P","Fill=—","Direction=H","UseDPDF=Y")</f>
        <v>#NAME?</v>
      </c>
      <c r="R105" t="e">
        <f ca="1">_xll.BDH($C$103,"DVD_PAYOUT_RATIO","FQ2 2014","FQ2 2014","Currency=INR","Period=FQ","BEST_FPERIOD_OVERRIDE=FQ","FILING_STATUS=OR","EQY_CONSOLIDATED=Y","FA_ADJUSTED=GAAP","Sort=A","Dates=H","DateFormat=P","Fill=—","Direction=H","UseDPDF=Y")</f>
        <v>#NAME?</v>
      </c>
      <c r="S105" t="e">
        <f ca="1">_xll.BDH($C$103,"SUSTAIN_GROWTH_RT","FQ2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105" s="2" t="e">
        <f ca="1">_xll.BDH($C$103,"SALES_GROWTH","FQ2 2014","FQ2 2014","Currency=INR","Period=FQ","BEST_FPERIOD_OVERRIDE=FQ","FILING_STATUS=OR","EQY_CONSOLIDATED=Y","FA_ADJUSTED=GAAP","Sort=A","Dates=H","DateFormat=P","Fill=—","Direction=H","UseDPDF=Y")</f>
        <v>#NAME?</v>
      </c>
      <c r="U105" s="2" t="e">
        <f ca="1">_xll.BDH($C$103,"EBITDA_GROWTH","FQ2 2014","FQ2 2014","Currency=INR","Period=FQ","BEST_FPERIOD_OVERRIDE=FQ","FILING_STATUS=OR","EQY_CONSOLIDATED=Y","FA_ADJUSTED=GAAP","Sort=A","Dates=H","DateFormat=P","Fill=—","Direction=H","UseDPDF=Y")</f>
        <v>#NAME?</v>
      </c>
      <c r="V105" s="2" t="e">
        <f ca="1">_xll.BDH($C$103,"OPER_INC_GROWTH","FQ2 2014","FQ2 2014","Currency=INR","Period=FQ","BEST_FPERIOD_OVERRIDE=FQ","FILING_STATUS=OR","EQY_CONSOLIDATED=Y","FA_ADJUSTED=GAAP","Sort=A","Dates=H","DateFormat=P","Fill=—","Direction=H","UseDPDF=Y")</f>
        <v>#NAME?</v>
      </c>
      <c r="W105" s="2" t="e">
        <f ca="1">_xll.BDH($C$103,"EARN_FOR_COM_GROWTH","FQ2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105" s="2" t="e">
        <f ca="1">_xll.BDH($C$103,"DILUTED_EPS_AFT_XO_ITEMS_GROWTH","FQ2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105" s="2" t="e">
        <f ca="1">_xll.BDH($C$103,"DIVIDEND_PER_SHARE_1_YEAR_GROWTH","FQ2 2014","FQ2 2014","Currency=INR","Period=FQ","BEST_FPERIOD_OVERRIDE=FQ","FILING_STATUS=OR","EQY_CONSOLIDATED=Y","Sort=A","Dates=H","DateFormat=P","Fill=—","Direction=H","UseDPDF=Y")</f>
        <v>#NAME?</v>
      </c>
      <c r="Z105" s="2" t="e">
        <f ca="1">_xll.BDH($C$103,"ACCOUNTS_RECEIVABLE_GROWTH","FQ2 2014","FQ2 2014","Currency=INR","Period=FQ","BEST_FPERIOD_OVERRIDE=FQ","FILING_STATUS=OR","EQY_CONSOLIDATED=Y","Sort=A","Dates=H","DateFormat=P","Fill=—","Direction=H","UseDPDF=Y")</f>
        <v>#NAME?</v>
      </c>
      <c r="AA105" s="2" t="e">
        <f ca="1">_xll.BDH($C$103,"INVENTORY_GROWTH","FQ2 2014","FQ2 2014","Currency=INR","Period=FQ","BEST_FPERIOD_OVERRIDE=FQ","FILING_STATUS=OR","EQY_CONSOLIDATED=Y","Sort=A","Dates=H","DateFormat=P","Fill=—","Direction=H","UseDPDF=Y")</f>
        <v>#NAME?</v>
      </c>
      <c r="AB105" s="2" t="e">
        <f ca="1">_xll.BDH($C$103,"NET_FIXED_ASSETS_1_YEAR_GROWTH","FQ2 2014","FQ2 2014","Currency=INR","Period=FQ","BEST_FPERIOD_OVERRIDE=FQ","FILING_STATUS=OR","EQY_CONSOLIDATED=Y","Sort=A","Dates=H","DateFormat=P","Fill=—","Direction=H","UseDPDF=Y")</f>
        <v>#NAME?</v>
      </c>
      <c r="AC105" s="2" t="e">
        <f ca="1">_xll.BDH($C$103,"ASSET_GROWTH","FQ2 2014","FQ2 2014","Currency=INR","Period=FQ","BEST_FPERIOD_OVERRIDE=FQ","FILING_STATUS=OR","EQY_CONSOLIDATED=Y","Sort=A","Dates=H","DateFormat=P","Fill=—","Direction=H","UseDPDF=Y")</f>
        <v>#NAME?</v>
      </c>
      <c r="AD105" s="2" t="e">
        <f ca="1">_xll.BDH($C$103,"MODIFIED_WORK_CAP_GROWTH","FQ2 2014","FQ2 2014","Currency=INR","Period=FQ","BEST_FPERIOD_OVERRIDE=FQ","FILING_STATUS=OR","EQY_CONSOLIDATED=Y","Sort=A","Dates=H","DateFormat=P","Fill=—","Direction=H","UseDPDF=Y")</f>
        <v>#NAME?</v>
      </c>
      <c r="AE105" s="2" t="e">
        <f ca="1">_xll.BDH($C$103,"WORK_CAP_GROWTH","FQ2 2014","FQ2 2014","Currency=INR","Period=FQ","BEST_FPERIOD_OVERRIDE=FQ","FILING_STATUS=OR","EQY_CONSOLIDATED=Y","Sort=A","Dates=H","DateFormat=P","Fill=—","Direction=H","UseDPDF=Y")</f>
        <v>#NAME?</v>
      </c>
      <c r="AF105" s="2" t="e">
        <f ca="1">_xll.BDH($C$103,"ACCOUNTS_PAYABLE_GROWTH_1YR","FQ2 2014","FQ2 2014","Currency=INR","Period=FQ","BEST_FPERIOD_OVERRIDE=FQ","FILING_STATUS=OR","EQY_CONSOLIDATED=Y","Sort=A","Dates=H","DateFormat=P","Fill=—","Direction=H","UseDPDF=Y")</f>
        <v>#NAME?</v>
      </c>
      <c r="AG105" s="2" t="e">
        <f ca="1">_xll.BDH($C$103,"SHORT_TERM_DEBT_1_YEAR_GROWTH","FQ2 2014","FQ2 2014","Currency=INR","Period=FQ","BEST_FPERIOD_OVERRIDE=FQ","FILING_STATUS=OR","EQY_CONSOLIDATED=Y","Sort=A","Dates=H","DateFormat=P","Fill=—","Direction=H","UseDPDF=Y")</f>
        <v>#NAME?</v>
      </c>
      <c r="AH105" s="2" t="e">
        <f ca="1">_xll.BDH($C$103,"TOTAL_DEBT_1_YEAR_GROWTH","FQ2 2014","FQ2 2014","Currency=INR","Period=FQ","BEST_FPERIOD_OVERRIDE=FQ","FILING_STATUS=OR","EQY_CONSOLIDATED=Y","Sort=A","Dates=H","DateFormat=P","Fill=—","Direction=H","UseDPDF=Y")</f>
        <v>#NAME?</v>
      </c>
      <c r="AI105" s="2" t="e">
        <f ca="1">_xll.BDH($C$103,"TOTAL_EQUITY_1_YEAR_GROWTH","FQ2 2014","FQ2 2014","Currency=INR","Period=FQ","BEST_FPERIOD_OVERRIDE=FQ","FILING_STATUS=OR","EQY_CONSOLIDATED=Y","Sort=A","Dates=H","DateFormat=P","Fill=—","Direction=H","UseDPDF=Y")</f>
        <v>#NAME?</v>
      </c>
      <c r="AJ105" s="2" t="e">
        <f ca="1">_xll.BDH($C$103,"GROWTH_IN_CAP","FQ2 2014","FQ2 2014","Currency=INR","Period=FQ","BEST_FPERIOD_OVERRIDE=FQ","FILING_STATUS=OR","EQY_CONSOLIDATED=Y","Sort=A","Dates=H","DateFormat=P","Fill=—","Direction=H","UseDPDF=Y")</f>
        <v>#NAME?</v>
      </c>
      <c r="AK105" s="2" t="e">
        <f ca="1">_xll.BDH($C$103,"BVPS_GROWTH","FQ2 2014","FQ2 2014","Currency=INR","Period=FQ","BEST_FPERIOD_OVERRIDE=FQ","FILING_STATUS=OR","EQY_CONSOLIDATED=Y","Sort=A","Dates=H","DateFormat=P","Fill=—","Direction=H","UseDPDF=Y")</f>
        <v>#NAME?</v>
      </c>
      <c r="AL105" s="2" t="e">
        <f ca="1">_xll.BDH($C$103,"CASH_FLOW_GROWTH","FQ2 2014","FQ2 2014","Currency=INR","Period=FQ","BEST_FPERIOD_OVERRIDE=FQ","FILING_STATUS=OR","EQY_CONSOLIDATED=Y","Sort=A","Dates=H","DateFormat=P","Fill=—","Direction=H","UseDPDF=Y")</f>
        <v>#NAME?</v>
      </c>
      <c r="AM105" s="2" t="e">
        <f ca="1">_xll.BDH($C$103,"GEO_GROW_NET_SALES","FQ2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105" s="2" t="e">
        <f ca="1">_xll.BDH($C$103,"GEO_GROW_EBITDA","FQ2 2014","FQ2 2014","Currency=INR","Period=FQ","BEST_FPERIOD_OVERRIDE=FQ","FILING_STATUS=OR","EQY_CONSOLIDATED=Y","FA_ADJUSTED=GAAP","Sort=A","Dates=H","DateFormat=P","Fill=—","Direction=H","UseDPDF=Y")</f>
        <v>#NAME?</v>
      </c>
      <c r="AO105" s="2" t="e">
        <f ca="1">_xll.BDH($C$103,"GEO_GROW_OPER_INC","FQ2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105" s="2" t="e">
        <f ca="1">_xll.BDH($C$103,"NET_INCOME_TO_COMMON_5_YR_GROWTH","FQ2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105" s="2" t="e">
        <f ca="1">_xll.BDH($C$103,"5Y_GEO_GROWTH_DILUTED_EPS","FQ2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105" s="2" t="e">
        <f ca="1">_xll.BDH($C$103,"GEO_GROW_DVD_PER_SH","FQ2 2014","FQ2 2014","Currency=INR","Period=FQ","BEST_FPERIOD_OVERRIDE=FQ","FILING_STATUS=OR","EQY_CONSOLIDATED=Y","Sort=A","Dates=H","DateFormat=P","Fill=—","Direction=H","UseDPDF=Y")</f>
        <v>#NAME?</v>
      </c>
      <c r="AS105" s="2" t="e">
        <f ca="1">_xll.BDH($C$103,"ACCOUNTS_RECEIVABLE_5_YR_GROWTH","FQ2 2014","FQ2 2014","Currency=INR","Period=FQ","BEST_FPERIOD_OVERRIDE=FQ","FILING_STATUS=OR","EQY_CONSOLIDATED=Y","Sort=A","Dates=H","DateFormat=P","Fill=—","Direction=H","UseDPDF=Y")</f>
        <v>#NAME?</v>
      </c>
      <c r="AT105" s="2" t="e">
        <f ca="1">_xll.BDH($C$103,"INVENTORY_5_YEAR_GROWTH","FQ2 2014","FQ2 2014","Currency=INR","Period=FQ","BEST_FPERIOD_OVERRIDE=FQ","FILING_STATUS=OR","EQY_CONSOLIDATED=Y","Sort=A","Dates=H","DateFormat=P","Fill=—","Direction=H","UseDPDF=Y")</f>
        <v>#NAME?</v>
      </c>
      <c r="AU105" s="2" t="e">
        <f ca="1">_xll.BDH($C$103,"NET_FIXED_ASSETS_5_YEAR_GROWTH","FQ2 2014","FQ2 2014","Currency=INR","Period=FQ","BEST_FPERIOD_OVERRIDE=FQ","FILING_STATUS=OR","EQY_CONSOLIDATED=Y","Sort=A","Dates=H","DateFormat=P","Fill=—","Direction=H","UseDPDF=Y")</f>
        <v>#NAME?</v>
      </c>
      <c r="AV105" s="2" t="e">
        <f ca="1">_xll.BDH($C$103,"GEO_GROW_TOT_ASSET","FQ2 2014","FQ2 2014","Currency=INR","Period=FQ","BEST_FPERIOD_OVERRIDE=FQ","FILING_STATUS=OR","EQY_CONSOLIDATED=Y","Sort=A","Dates=H","DateFormat=P","Fill=—","Direction=H","UseDPDF=Y")</f>
        <v>#NAME?</v>
      </c>
      <c r="AW105" s="2" t="e">
        <f ca="1">_xll.BDH($C$103,"MODIFIED_WORKING_CPTL_5YR_GRWTH","FQ2 2014","FQ2 2014","Currency=INR","Period=FQ","BEST_FPERIOD_OVERRIDE=FQ","FILING_STATUS=OR","EQY_CONSOLIDATED=Y","Sort=A","Dates=H","DateFormat=P","Fill=—","Direction=H","UseDPDF=Y")</f>
        <v>#NAME?</v>
      </c>
      <c r="AX105" s="2" t="e">
        <f ca="1">_xll.BDH($C$103,"WORKING_CAPITAL_5_YEAR_GROWTH","FQ2 2014","FQ2 2014","Currency=INR","Period=FQ","BEST_FPERIOD_OVERRIDE=FQ","FILING_STATUS=OR","EQY_CONSOLIDATED=Y","Sort=A","Dates=H","DateFormat=P","Fill=—","Direction=H","UseDPDF=Y")</f>
        <v>#NAME?</v>
      </c>
      <c r="AY105" s="2" t="e">
        <f ca="1">_xll.BDH($C$103,"ACCOUNTS_PAYABLE_5_YEAR_GROWTH","FQ2 2014","FQ2 2014","Currency=INR","Period=FQ","BEST_FPERIOD_OVERRIDE=FQ","FILING_STATUS=OR","EQY_CONSOLIDATED=Y","Sort=A","Dates=H","DateFormat=P","Fill=—","Direction=H","UseDPDF=Y")</f>
        <v>#NAME?</v>
      </c>
      <c r="AZ105" s="2" t="e">
        <f ca="1">_xll.BDH($C$103,"SHORT_TERM_DEBT_5_YEAR_GROWTH","FQ2 2014","FQ2 2014","Currency=INR","Period=FQ","BEST_FPERIOD_OVERRIDE=FQ","FILING_STATUS=OR","EQY_CONSOLIDATED=Y","Sort=A","Dates=H","DateFormat=P","Fill=—","Direction=H","UseDPDF=Y")</f>
        <v>#NAME?</v>
      </c>
      <c r="BA105" s="2" t="e">
        <f ca="1">_xll.BDH($C$103,"TOTAL_DEBT_5_YEAR_GROWTH","FQ2 2014","FQ2 2014","Currency=INR","Period=FQ","BEST_FPERIOD_OVERRIDE=FQ","FILING_STATUS=OR","EQY_CONSOLIDATED=Y","Sort=A","Dates=H","DateFormat=P","Fill=—","Direction=H","UseDPDF=Y")</f>
        <v>#NAME?</v>
      </c>
      <c r="BB105" s="2" t="e">
        <f ca="1">_xll.BDH($C$103,"GEO_GROW_TOT_SHRHLDR_EQY","FQ2 2014","FQ2 2014","Currency=INR","Period=FQ","BEST_FPERIOD_OVERRIDE=FQ","FILING_STATUS=OR","EQY_CONSOLIDATED=Y","Sort=A","Dates=H","DateFormat=P","Fill=—","Direction=H","UseDPDF=Y")</f>
        <v>#NAME?</v>
      </c>
      <c r="BC105" s="2" t="e">
        <f ca="1">_xll.BDH($C$103,"TOTAL_CAPITAL_5_YEAR_GROWTH","FQ2 2014","FQ2 2014","Currency=INR","Period=FQ","BEST_FPERIOD_OVERRIDE=FQ","FILING_STATUS=OR","EQY_CONSOLIDATED=Y","Sort=A","Dates=H","DateFormat=P","Fill=—","Direction=H","UseDPDF=Y")</f>
        <v>#NAME?</v>
      </c>
      <c r="BD105" s="2" t="e">
        <f ca="1">_xll.BDH($C$103,"GEO_GROW_BOOK_VAL","FQ2 2014","FQ2 2014","Currency=INR","Period=FQ","BEST_FPERIOD_OVERRIDE=FQ","FILING_STATUS=OR","EQY_CONSOLIDATED=Y","Sort=A","Dates=H","DateFormat=P","Fill=—","Direction=H","UseDPDF=Y")</f>
        <v>#NAME?</v>
      </c>
      <c r="BE105" s="2" t="e">
        <f ca="1">_xll.BDH($C$103,"GEO_GROW_CASH_OPER_ACT","FQ2 2014","FQ2 2014","Currency=INR","Period=FQ","BEST_FPERIOD_OVERRIDE=FQ","FILING_STATUS=OR","EQY_CONSOLIDATED=Y","Sort=A","Dates=H","DateFormat=P","Fill=—","Direction=H","UseDPDF=Y")</f>
        <v>#NAME?</v>
      </c>
      <c r="BF105" s="2" t="e">
        <f ca="1">_xll.BDH($C$103,"REVENUE_SEQUENTIAL_GROWTH","FQ2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105" s="2" t="e">
        <f ca="1">_xll.BDH($C$103,"EBITDA_SEQUENTIAL_GROWTH","FQ2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105" s="2" t="e">
        <f ca="1">_xll.BDH($C$103,"OPERATING_INCOME_SEQ_GROWTH","FQ2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105" s="2" t="e">
        <f ca="1">_xll.BDH($C$103,"NET_INCOME_TO_COMMON_SEQ_GROWTH","FQ2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105" s="2" t="e">
        <f ca="1">_xll.BDH($C$103,"EPS_DILUTED_SEQUENTIAL_GROWTH","FQ2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105" s="2" t="e">
        <f ca="1">_xll.BDH($C$103,"DPS_SEQUENTIAL_GROWTH","FQ2 2014","FQ2 2014","Currency=INR","Period=FQ","BEST_FPERIOD_OVERRIDE=FQ","FILING_STATUS=OR","EQY_CONSOLIDATED=Y","Sort=A","Dates=H","DateFormat=P","Fill=—","Direction=H","UseDPDF=Y")</f>
        <v>#NAME?</v>
      </c>
      <c r="BL105" s="2" t="e">
        <f ca="1">_xll.BDH($C$103,"ACCOUNTS_RECEIVABLE_SEQ_GROWTH","FQ2 2014","FQ2 2014","Currency=INR","Period=FQ","BEST_FPERIOD_OVERRIDE=FQ","FILING_STATUS=OR","EQY_CONSOLIDATED=Y","Sort=A","Dates=H","DateFormat=P","Fill=—","Direction=H","UseDPDF=Y")</f>
        <v>#NAME?</v>
      </c>
      <c r="BM105" s="2" t="e">
        <f ca="1">_xll.BDH($C$103,"INVENTORY_SEQUENTIAL_GROWTH","FQ2 2014","FQ2 2014","Currency=INR","Period=FQ","BEST_FPERIOD_OVERRIDE=FQ","FILING_STATUS=OR","EQY_CONSOLIDATED=Y","Sort=A","Dates=H","DateFormat=P","Fill=—","Direction=H","UseDPDF=Y")</f>
        <v>#NAME?</v>
      </c>
      <c r="BN105" s="2" t="e">
        <f ca="1">_xll.BDH($C$103,"FIXED_ASSETS_SEQUENTIAL_GROWTH","FQ2 2014","FQ2 2014","Currency=INR","Period=FQ","BEST_FPERIOD_OVERRIDE=FQ","FILING_STATUS=OR","EQY_CONSOLIDATED=Y","Sort=A","Dates=H","DateFormat=P","Fill=—","Direction=H","UseDPDF=Y")</f>
        <v>#NAME?</v>
      </c>
      <c r="BO105" s="2" t="e">
        <f ca="1">_xll.BDH($C$103,"TOTAL_ASSETS_SEQUENTIAL_GROWTH","FQ2 2014","FQ2 2014","Currency=INR","Period=FQ","BEST_FPERIOD_OVERRIDE=FQ","FILING_STATUS=OR","EQY_CONSOLIDATED=Y","Sort=A","Dates=H","DateFormat=P","Fill=—","Direction=H","UseDPDF=Y")</f>
        <v>#NAME?</v>
      </c>
      <c r="BP105" s="2" t="e">
        <f ca="1">_xll.BDH($C$103,"MODIFIED_WORKING_CPTL_SEQ_GRWTH","FQ2 2014","FQ2 2014","Currency=INR","Period=FQ","BEST_FPERIOD_OVERRIDE=FQ","FILING_STATUS=OR","EQY_CONSOLIDATED=Y","Sort=A","Dates=H","DateFormat=P","Fill=—","Direction=H","UseDPDF=Y")</f>
        <v>#NAME?</v>
      </c>
      <c r="BQ105" s="2" t="e">
        <f ca="1">_xll.BDH($C$103,"WORKING_CAPITAL_SEQ_GROWTH","FQ2 2014","FQ2 2014","Currency=INR","Period=FQ","BEST_FPERIOD_OVERRIDE=FQ","FILING_STATUS=OR","EQY_CONSOLIDATED=Y","Sort=A","Dates=H","DateFormat=P","Fill=—","Direction=H","UseDPDF=Y")</f>
        <v>#NAME?</v>
      </c>
      <c r="BR105" s="2" t="e">
        <f ca="1">_xll.BDH($C$103,"ACCOUNTS_PAYABLE_SEQ_GROWTH","FQ2 2014","FQ2 2014","Currency=INR","Period=FQ","BEST_FPERIOD_OVERRIDE=FQ","FILING_STATUS=OR","EQY_CONSOLIDATED=Y","Sort=A","Dates=H","DateFormat=P","Fill=—","Direction=H","UseDPDF=Y")</f>
        <v>#NAME?</v>
      </c>
      <c r="BS105" s="2" t="e">
        <f ca="1">_xll.BDH($C$103,"ST_DEBT_SEQUENTIAL_GROWTH","FQ2 2014","FQ2 2014","Currency=INR","Period=FQ","BEST_FPERIOD_OVERRIDE=FQ","FILING_STATUS=OR","EQY_CONSOLIDATED=Y","Sort=A","Dates=H","DateFormat=P","Fill=—","Direction=H","UseDPDF=Y")</f>
        <v>#NAME?</v>
      </c>
      <c r="BT105" s="2" t="e">
        <f ca="1">_xll.BDH($C$103,"TOTAL_DEBT_SEQUENTIAL_GROWTH","FQ2 2014","FQ2 2014","Currency=INR","Period=FQ","BEST_FPERIOD_OVERRIDE=FQ","FILING_STATUS=OR","EQY_CONSOLIDATED=Y","Sort=A","Dates=H","DateFormat=P","Fill=—","Direction=H","UseDPDF=Y")</f>
        <v>#NAME?</v>
      </c>
      <c r="BU105" s="2" t="e">
        <f ca="1">_xll.BDH($C$103,"TOTAL_EQUITY_SEQUENTIAL_GROWTH","FQ2 2014","FQ2 2014","Currency=INR","Period=FQ","BEST_FPERIOD_OVERRIDE=FQ","FILING_STATUS=OR","EQY_CONSOLIDATED=Y","Sort=A","Dates=H","DateFormat=P","Fill=—","Direction=H","UseDPDF=Y")</f>
        <v>#NAME?</v>
      </c>
      <c r="BV105" s="2" t="e">
        <f ca="1">_xll.BDH($C$103,"TOTAL_CAPITAL_SEQUENTIAL_GROWTH","FQ2 2014","FQ2 2014","Currency=INR","Period=FQ","BEST_FPERIOD_OVERRIDE=FQ","FILING_STATUS=OR","EQY_CONSOLIDATED=Y","Sort=A","Dates=H","DateFormat=P","Fill=—","Direction=H","UseDPDF=Y")</f>
        <v>#NAME?</v>
      </c>
      <c r="BW105" s="2" t="e">
        <f ca="1">_xll.BDH($C$103,"BPS_SEQUENTIAL_GROWTH","FQ2 2014","FQ2 2014","Currency=INR","Period=FQ","BEST_FPERIOD_OVERRIDE=FQ","FILING_STATUS=OR","EQY_CONSOLIDATED=Y","Sort=A","Dates=H","DateFormat=P","Fill=—","Direction=H","UseDPDF=Y")</f>
        <v>#NAME?</v>
      </c>
      <c r="BX105" s="2" t="e">
        <f ca="1">_xll.BDH($C$103,"CFO_SEQUENTIAL_GROWTH","FQ2 2014","FQ2 2014","Currency=INR","Period=FQ","BEST_FPERIOD_OVERRIDE=FQ","FILING_STATUS=OR","EQY_CONSOLIDATED=Y","Sort=A","Dates=H","DateFormat=P","Fill=—","Direction=H","UseDPDF=Y")</f>
        <v>#NAME?</v>
      </c>
      <c r="BY105" s="3" t="e">
        <f ca="1">_xll.BDH($C$103,"SHORT_AND_LONG_TERM_DEBT","FQ2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105" s="3" t="e">
        <f ca="1">_xll.BDH($C$103,"BS_ST_BORROW","FQ2 2014","FQ2 2014","Currency=INR","Period=FQ","BEST_FPERIOD_OVERRIDE=FQ","FILING_STATUS=OR","EQY_CONSOLIDATED=Y","SCALING_FORMAT=MLN","Sort=A","Dates=H","DateFormat=P","Fill=—","Direction=H","UseDPDF=Y")</f>
        <v>#NAME?</v>
      </c>
      <c r="CA105" s="3" t="e">
        <f ca="1">_xll.BDH($C$103,"BS_LT_BORROW","FQ2 2014","FQ2 2014","Currency=INR","Period=FQ","BEST_FPERIOD_OVERRIDE=FQ","FILING_STATUS=OR","EQY_CONSOLIDATED=Y","SCALING_FORMAT=MLN","Sort=A","Dates=H","DateFormat=P","Fill=—","Direction=H","UseDPDF=Y")</f>
        <v>#NAME?</v>
      </c>
      <c r="CB105" s="2" t="e">
        <f ca="1">_xll.BDH($C$103,"TOT_DEBT_TO_EBITDA","FQ2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105" s="2" t="e">
        <f ca="1">_xll.BDH($C$103,"NET_DEBT_TO_EBITDA","FQ2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105" s="2" t="e">
        <f ca="1">_xll.BDH($C$103,"TOTAL_DEBT_TO_EBIT","FQ2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105" s="2" t="e">
        <f ca="1">_xll.BDH($C$103,"NET_DEBT_TO_EBIT","FQ2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105" s="2" t="e">
        <f ca="1">_xll.BDH($C$103,"EBITDA_TO_INTEREST_EXPN","FQ2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105" s="2" t="e">
        <f ca="1">_xll.BDH($C$103,"COM_EQY_TO_TOT_ASSET","FQ2 2014","FQ2 2014","Currency=INR","Period=FQ","BEST_FPERIOD_OVERRIDE=FQ","FILING_STATUS=OR","EQY_CONSOLIDATED=Y","Sort=A","Dates=H","DateFormat=P","Fill=—","Direction=H","UseDPDF=Y")</f>
        <v>#NAME?</v>
      </c>
      <c r="CH105" s="2" t="e">
        <f ca="1">_xll.BDH($C$103,"LT_DEBT_TO_TOT_EQY","FQ2 2014","FQ2 2014","Currency=INR","Period=FQ","BEST_FPERIOD_OVERRIDE=FQ","FILING_STATUS=OR","EQY_CONSOLIDATED=Y","Sort=A","Dates=H","DateFormat=P","Fill=—","Direction=H","UseDPDF=Y")</f>
        <v>#NAME?</v>
      </c>
      <c r="CI105" s="2" t="e">
        <f ca="1">_xll.BDH($C$103,"LT_DEBT_TO_TOT_CAP","FQ2 2014","FQ2 2014","Currency=INR","Period=FQ","BEST_FPERIOD_OVERRIDE=FQ","FILING_STATUS=OR","EQY_CONSOLIDATED=Y","Sort=A","Dates=H","DateFormat=P","Fill=—","Direction=H","UseDPDF=Y")</f>
        <v>#NAME?</v>
      </c>
      <c r="CJ105" s="2" t="e">
        <f ca="1">_xll.BDH($C$103,"LT_DEBT_TO_TOT_ASSET","FQ2 2014","FQ2 2014","Currency=INR","Period=FQ","BEST_FPERIOD_OVERRIDE=FQ","FILING_STATUS=OR","EQY_CONSOLIDATED=Y","Sort=A","Dates=H","DateFormat=P","Fill=—","Direction=H","UseDPDF=Y")</f>
        <v>#NAME?</v>
      </c>
      <c r="CK105" s="2" t="e">
        <f ca="1">_xll.BDH($C$103,"TOT_DEBT_TO_TOT_EQY","FQ2 2014","FQ2 2014","Currency=INR","Period=FQ","BEST_FPERIOD_OVERRIDE=FQ","FILING_STATUS=OR","EQY_CONSOLIDATED=Y","Sort=A","Dates=H","DateFormat=P","Fill=—","Direction=H","UseDPDF=Y")</f>
        <v>#NAME?</v>
      </c>
      <c r="CL105" s="2" t="e">
        <f ca="1">_xll.BDH($C$103,"TOT_DEBT_TO_TOT_CAP","FQ2 2014","FQ2 2014","Currency=INR","Period=FQ","BEST_FPERIOD_OVERRIDE=FQ","FILING_STATUS=OR","EQY_CONSOLIDATED=Y","Sort=A","Dates=H","DateFormat=P","Fill=—","Direction=H","UseDPDF=Y")</f>
        <v>#NAME?</v>
      </c>
      <c r="CM105" s="2" t="e">
        <f ca="1">_xll.BDH($C$103,"TOT_DEBT_TO_TOT_ASSET","FQ2 2014","FQ2 2014","Currency=INR","Period=FQ","BEST_FPERIOD_OVERRIDE=FQ","FILING_STATUS=OR","EQY_CONSOLIDATED=Y","Sort=A","Dates=H","DateFormat=P","Fill=—","Direction=H","UseDPDF=Y")</f>
        <v>#NAME?</v>
      </c>
      <c r="CN105" s="2" t="e">
        <f ca="1">_xll.BDH($C$103,"NET_DEBT_TO_SHRHLDR_EQTY","FQ2 2014","FQ2 2014","Currency=INR","Period=FQ","BEST_FPERIOD_OVERRIDE=FQ","FILING_STATUS=OR","EQY_CONSOLIDATED=Y","Sort=A","Dates=H","DateFormat=P","Fill=—","Direction=H","UseDPDF=Y")</f>
        <v>#NAME?</v>
      </c>
      <c r="CO105" s="2" t="e">
        <f ca="1">_xll.BDH($C$103,"NET_DEBT_%_CAPITAL","FQ2 2014","FQ2 2014","Currency=INR","Period=FQ","BEST_FPERIOD_OVERRIDE=FQ","FILING_STATUS=OR","EQY_CONSOLIDATED=Y","Sort=A","Dates=H","DateFormat=P","Fill=—","Direction=H","UseDPDF=Y")</f>
        <v>#NAME?</v>
      </c>
      <c r="CP105" s="3" t="e">
        <f ca="1">_xll.BDH($C$103,"EBITDA","FQ2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105" s="3" t="e">
        <f ca="1">_xll.BDH($C$103,"EBITDA_AFTER_CAPEX","FQ2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105" s="3" t="e">
        <f ca="1">_xll.BDH($C$103,"IS_OPER_INC","FQ2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105" s="2" t="e">
        <f ca="1">_xll.BDH($C$103,"CASH_RATIO","FQ2 2014","FQ2 2014","Currency=INR","Period=FQ","BEST_FPERIOD_OVERRIDE=FQ","FILING_STATUS=OR","EQY_CONSOLIDATED=Y","Sort=A","Dates=H","DateFormat=P","Fill=—","Direction=H","UseDPDF=Y")</f>
        <v>#NAME?</v>
      </c>
      <c r="CT105" s="2" t="e">
        <f ca="1">_xll.BDH($C$103,"CUR_RATIO","FQ2 2014","FQ2 2014","Currency=INR","Period=FQ","BEST_FPERIOD_OVERRIDE=FQ","FILING_STATUS=OR","EQY_CONSOLIDATED=Y","Sort=A","Dates=H","DateFormat=P","Fill=—","Direction=H","UseDPDF=Y")</f>
        <v>#NAME?</v>
      </c>
      <c r="CU105" s="2" t="e">
        <f ca="1">_xll.BDH($C$103,"QUICK_RATIO","FQ2 2014","FQ2 2014","Currency=INR","Period=FQ","BEST_FPERIOD_OVERRIDE=FQ","FILING_STATUS=OR","EQY_CONSOLIDATED=Y","Sort=A","Dates=H","DateFormat=P","Fill=—","Direction=H","UseDPDF=Y")</f>
        <v>#NAME?</v>
      </c>
      <c r="CV105" s="2" t="e">
        <f ca="1">_xll.BDH($C$103,"ALTMAN_Z_SCORE","FQ2 2014","FQ2 2014","Currency=INR","Period=FQ","BEST_FPERIOD_OVERRIDE=FQ","FILING_STATUS=OR","EQY_CONSOLIDATED=Y","Sort=A","Dates=H","DateFormat=P","Fill=—","Direction=H","UseDPDF=Y")</f>
        <v>#NAME?</v>
      </c>
      <c r="CW105" s="4" t="e">
        <f ca="1">_xll.BDH($C$103,"ACCT_RCV_TURN","FQ2 2014","FQ2 2014","Currency=INR","Period=FQ","BEST_FPERIOD_OVERRIDE=FQ","FILING_STATUS=OR","EQY_CONSOLIDATED=Y","FA_ADJUSTED=GAAP","Sort=A","Dates=H","DateFormat=P","Fill=—","Direction=H","UseDPDF=Y")</f>
        <v>#NAME?</v>
      </c>
      <c r="CX105" s="2" t="e">
        <f ca="1">_xll.BDH($C$103,"ACCT_RCV_DAYS","FQ2 2014","FQ2 2014","Currency=INR","Period=FQ","BEST_FPERIOD_OVERRIDE=FQ","FILING_STATUS=OR","EQY_CONSOLIDATED=Y","FA_ADJUSTED=GAAP","Sort=A","Dates=H","DateFormat=P","Fill=—","Direction=H","UseDPDF=Y")</f>
        <v>#NAME?</v>
      </c>
      <c r="CY105" s="4" t="e">
        <f ca="1">_xll.BDH($C$103,"INVENT_TURN","FQ2 2014","FQ2 2014","Currency=INR","Period=FQ","BEST_FPERIOD_OVERRIDE=FQ","FILING_STATUS=OR","EQY_CONSOLIDATED=Y","FA_ADJUSTED=GAAP","Sort=A","Dates=H","DateFormat=P","Fill=—","Direction=H","UseDPDF=Y")</f>
        <v>#NAME?</v>
      </c>
      <c r="CZ105" s="2" t="e">
        <f ca="1">_xll.BDH($C$103,"INVENT_DAYS","FQ2 2014","FQ2 2014","Currency=INR","Period=FQ","BEST_FPERIOD_OVERRIDE=FQ","FILING_STATUS=OR","EQY_CONSOLIDATED=Y","FA_ADJUSTED=GAAP","Sort=A","Dates=H","DateFormat=P","Fill=—","Direction=H","UseDPDF=Y")</f>
        <v>#NAME?</v>
      </c>
      <c r="DA105" s="4" t="e">
        <f ca="1">_xll.BDH($C$103,"ACCOUNTS_PAYABLE_TURNOVER","FQ2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105" s="2" t="e">
        <f ca="1">_xll.BDH($C$103,"ACCOUNTS_PAYABLE_TURNOVER_DAYS","FQ2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105" s="4" t="e">
        <f ca="1">_xll.BDH($C$103,"CASH_CONVERSION_CYCLE","FQ2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105" s="4" t="e">
        <f ca="1">_xll.BDH($C$103,"INV_TO_CASH_DAYS","FQ2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105" s="5" t="e">
        <f ca="1">_xll.BDH($C$103,"BS_INVENTORIES","FQ2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105" s="3" t="e">
        <f ca="1">_xll.BDH($C$103,"INVTRY_RAW_MATERIALS","FQ2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105" s="3" t="e">
        <f ca="1">_xll.BDH($C$103,"INVTRY_IN_PROGRESS","FQ2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105" s="3" t="e">
        <f ca="1">_xll.BDH($C$103,"INVTRY_FINISHED_GOODS","FQ2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105" s="3" t="e">
        <f ca="1">_xll.BDH($C$103,"BS_OTHER_INV","FQ2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106" spans="1:113" x14ac:dyDescent="0.3">
      <c r="A106" s="6"/>
      <c r="B106" s="6"/>
      <c r="C106" s="6"/>
      <c r="D106" s="6"/>
      <c r="E106" t="s">
        <v>80</v>
      </c>
      <c r="F106" t="e">
        <f ca="1">_xll.BDH($C$103,"RETURN_COM_EQY","FQ3 2014","FQ3 2014","Currency=INR","Period=FQ","BEST_FPERIOD_OVERRIDE=FQ","FILING_STATUS=OR","EQY_CONSOLIDATED=Y","FA_ADJUSTED=GAAP","Sort=A","Dates=H","DateFormat=P","Fill=—","Direction=H","UseDPDF=Y")</f>
        <v>#NAME?</v>
      </c>
      <c r="G106" t="e">
        <f ca="1">_xll.BDH($C$103,"RETURN_ON_ASSET","FQ3 2014","FQ3 2014","Currency=INR","Period=FQ","BEST_FPERIOD_OVERRIDE=FQ","FILING_STATUS=OR","EQY_CONSOLIDATED=Y","FA_ADJUSTED=GAAP","Sort=A","Dates=H","DateFormat=P","Fill=—","Direction=H","UseDPDF=Y")</f>
        <v>#NAME?</v>
      </c>
      <c r="H106" t="e">
        <f ca="1">_xll.BDH($C$103,"RETURN_ON_CAP","FQ3 2014","FQ3 2014","Currency=INR","Period=FQ","BEST_FPERIOD_OVERRIDE=FQ","FILING_STATUS=OR","EQY_CONSOLIDATED=Y","FA_ADJUSTED=GAAP","Sort=A","Dates=H","DateFormat=P","Fill=—","Direction=H","UseDPDF=Y")</f>
        <v>#NAME?</v>
      </c>
      <c r="I106" t="e">
        <f ca="1">_xll.BDH($C$103,"RETURN_ON_INV_CAPITAL","FQ3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106" t="e">
        <f ca="1">_xll.BDH($C$103,"EBITDA_TO_REVENUE","FQ3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106" t="e">
        <f ca="1">_xll.BDH($C$103,"OPER_MARGIN","FQ3 2014","FQ3 2014","Currency=INR","Period=FQ","BEST_FPERIOD_OVERRIDE=FQ","FILING_STATUS=OR","EQY_CONSOLIDATED=Y","FA_ADJUSTED=GAAP","Sort=A","Dates=H","DateFormat=P","Fill=—","Direction=H","UseDPDF=Y")</f>
        <v>#NAME?</v>
      </c>
      <c r="L106" t="e">
        <f ca="1">_xll.BDH($C$103,"INCREMENTAL_OPERATING_MARGIN","FQ3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106" t="e">
        <f ca="1">_xll.BDH($C$103,"PRETAX_INC_TO_NET_SALES","FQ3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106" t="e">
        <f ca="1">_xll.BDH($C$103,"INC_BEF_XO_ITEMS_TO_NET_SALES","FQ3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106" t="e">
        <f ca="1">_xll.BDH($C$103,"PROF_MARGIN","FQ3 2014","FQ3 2014","Currency=INR","Period=FQ","BEST_FPERIOD_OVERRIDE=FQ","FILING_STATUS=OR","EQY_CONSOLIDATED=Y","FA_ADJUSTED=GAAP","Sort=A","Dates=H","DateFormat=P","Fill=—","Direction=H","UseDPDF=Y")</f>
        <v>#NAME?</v>
      </c>
      <c r="P106" t="e">
        <f ca="1">_xll.BDH($C$103,"NET_INCOME_TO_COMMON_MARGIN","FQ3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106" t="e">
        <f ca="1">_xll.BDH($C$103,"EFF_TAX_RATE","FQ3 2014","FQ3 2014","Currency=INR","Period=FQ","BEST_FPERIOD_OVERRIDE=FQ","FILING_STATUS=OR","EQY_CONSOLIDATED=Y","FA_ADJUSTED=GAAP","Sort=A","Dates=H","DateFormat=P","Fill=—","Direction=H","UseDPDF=Y")</f>
        <v>#NAME?</v>
      </c>
      <c r="R106" t="e">
        <f ca="1">_xll.BDH($C$103,"DVD_PAYOUT_RATIO","FQ3 2014","FQ3 2014","Currency=INR","Period=FQ","BEST_FPERIOD_OVERRIDE=FQ","FILING_STATUS=OR","EQY_CONSOLIDATED=Y","FA_ADJUSTED=GAAP","Sort=A","Dates=H","DateFormat=P","Fill=—","Direction=H","UseDPDF=Y")</f>
        <v>#NAME?</v>
      </c>
      <c r="S106" t="e">
        <f ca="1">_xll.BDH($C$103,"SUSTAIN_GROWTH_RT","FQ3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106" s="2" t="e">
        <f ca="1">_xll.BDH($C$103,"SALES_GROWTH","FQ3 2014","FQ3 2014","Currency=INR","Period=FQ","BEST_FPERIOD_OVERRIDE=FQ","FILING_STATUS=OR","EQY_CONSOLIDATED=Y","FA_ADJUSTED=GAAP","Sort=A","Dates=H","DateFormat=P","Fill=—","Direction=H","UseDPDF=Y")</f>
        <v>#NAME?</v>
      </c>
      <c r="U106" s="2" t="e">
        <f ca="1">_xll.BDH($C$103,"EBITDA_GROWTH","FQ3 2014","FQ3 2014","Currency=INR","Period=FQ","BEST_FPERIOD_OVERRIDE=FQ","FILING_STATUS=OR","EQY_CONSOLIDATED=Y","FA_ADJUSTED=GAAP","Sort=A","Dates=H","DateFormat=P","Fill=—","Direction=H","UseDPDF=Y")</f>
        <v>#NAME?</v>
      </c>
      <c r="V106" s="2" t="e">
        <f ca="1">_xll.BDH($C$103,"OPER_INC_GROWTH","FQ3 2014","FQ3 2014","Currency=INR","Period=FQ","BEST_FPERIOD_OVERRIDE=FQ","FILING_STATUS=OR","EQY_CONSOLIDATED=Y","FA_ADJUSTED=GAAP","Sort=A","Dates=H","DateFormat=P","Fill=—","Direction=H","UseDPDF=Y")</f>
        <v>#NAME?</v>
      </c>
      <c r="W106" s="2" t="e">
        <f ca="1">_xll.BDH($C$103,"EARN_FOR_COM_GROWTH","FQ3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106" s="2" t="e">
        <f ca="1">_xll.BDH($C$103,"DILUTED_EPS_AFT_XO_ITEMS_GROWTH","FQ3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106" s="2" t="e">
        <f ca="1">_xll.BDH($C$103,"DIVIDEND_PER_SHARE_1_YEAR_GROWTH","FQ3 2014","FQ3 2014","Currency=INR","Period=FQ","BEST_FPERIOD_OVERRIDE=FQ","FILING_STATUS=OR","EQY_CONSOLIDATED=Y","Sort=A","Dates=H","DateFormat=P","Fill=—","Direction=H","UseDPDF=Y")</f>
        <v>#NAME?</v>
      </c>
      <c r="Z106" s="2" t="e">
        <f ca="1">_xll.BDH($C$103,"ACCOUNTS_RECEIVABLE_GROWTH","FQ3 2014","FQ3 2014","Currency=INR","Period=FQ","BEST_FPERIOD_OVERRIDE=FQ","FILING_STATUS=OR","EQY_CONSOLIDATED=Y","Sort=A","Dates=H","DateFormat=P","Fill=—","Direction=H","UseDPDF=Y")</f>
        <v>#NAME?</v>
      </c>
      <c r="AA106" s="2" t="e">
        <f ca="1">_xll.BDH($C$103,"INVENTORY_GROWTH","FQ3 2014","FQ3 2014","Currency=INR","Period=FQ","BEST_FPERIOD_OVERRIDE=FQ","FILING_STATUS=OR","EQY_CONSOLIDATED=Y","Sort=A","Dates=H","DateFormat=P","Fill=—","Direction=H","UseDPDF=Y")</f>
        <v>#NAME?</v>
      </c>
      <c r="AB106" s="2" t="e">
        <f ca="1">_xll.BDH($C$103,"NET_FIXED_ASSETS_1_YEAR_GROWTH","FQ3 2014","FQ3 2014","Currency=INR","Period=FQ","BEST_FPERIOD_OVERRIDE=FQ","FILING_STATUS=OR","EQY_CONSOLIDATED=Y","Sort=A","Dates=H","DateFormat=P","Fill=—","Direction=H","UseDPDF=Y")</f>
        <v>#NAME?</v>
      </c>
      <c r="AC106" s="2" t="e">
        <f ca="1">_xll.BDH($C$103,"ASSET_GROWTH","FQ3 2014","FQ3 2014","Currency=INR","Period=FQ","BEST_FPERIOD_OVERRIDE=FQ","FILING_STATUS=OR","EQY_CONSOLIDATED=Y","Sort=A","Dates=H","DateFormat=P","Fill=—","Direction=H","UseDPDF=Y")</f>
        <v>#NAME?</v>
      </c>
      <c r="AD106" s="2" t="e">
        <f ca="1">_xll.BDH($C$103,"MODIFIED_WORK_CAP_GROWTH","FQ3 2014","FQ3 2014","Currency=INR","Period=FQ","BEST_FPERIOD_OVERRIDE=FQ","FILING_STATUS=OR","EQY_CONSOLIDATED=Y","Sort=A","Dates=H","DateFormat=P","Fill=—","Direction=H","UseDPDF=Y")</f>
        <v>#NAME?</v>
      </c>
      <c r="AE106" s="2" t="e">
        <f ca="1">_xll.BDH($C$103,"WORK_CAP_GROWTH","FQ3 2014","FQ3 2014","Currency=INR","Period=FQ","BEST_FPERIOD_OVERRIDE=FQ","FILING_STATUS=OR","EQY_CONSOLIDATED=Y","Sort=A","Dates=H","DateFormat=P","Fill=—","Direction=H","UseDPDF=Y")</f>
        <v>#NAME?</v>
      </c>
      <c r="AF106" s="2" t="e">
        <f ca="1">_xll.BDH($C$103,"ACCOUNTS_PAYABLE_GROWTH_1YR","FQ3 2014","FQ3 2014","Currency=INR","Period=FQ","BEST_FPERIOD_OVERRIDE=FQ","FILING_STATUS=OR","EQY_CONSOLIDATED=Y","Sort=A","Dates=H","DateFormat=P","Fill=—","Direction=H","UseDPDF=Y")</f>
        <v>#NAME?</v>
      </c>
      <c r="AG106" s="2" t="e">
        <f ca="1">_xll.BDH($C$103,"SHORT_TERM_DEBT_1_YEAR_GROWTH","FQ3 2014","FQ3 2014","Currency=INR","Period=FQ","BEST_FPERIOD_OVERRIDE=FQ","FILING_STATUS=OR","EQY_CONSOLIDATED=Y","Sort=A","Dates=H","DateFormat=P","Fill=—","Direction=H","UseDPDF=Y")</f>
        <v>#NAME?</v>
      </c>
      <c r="AH106" s="2" t="e">
        <f ca="1">_xll.BDH($C$103,"TOTAL_DEBT_1_YEAR_GROWTH","FQ3 2014","FQ3 2014","Currency=INR","Period=FQ","BEST_FPERIOD_OVERRIDE=FQ","FILING_STATUS=OR","EQY_CONSOLIDATED=Y","Sort=A","Dates=H","DateFormat=P","Fill=—","Direction=H","UseDPDF=Y")</f>
        <v>#NAME?</v>
      </c>
      <c r="AI106" s="2" t="e">
        <f ca="1">_xll.BDH($C$103,"TOTAL_EQUITY_1_YEAR_GROWTH","FQ3 2014","FQ3 2014","Currency=INR","Period=FQ","BEST_FPERIOD_OVERRIDE=FQ","FILING_STATUS=OR","EQY_CONSOLIDATED=Y","Sort=A","Dates=H","DateFormat=P","Fill=—","Direction=H","UseDPDF=Y")</f>
        <v>#NAME?</v>
      </c>
      <c r="AJ106" s="2" t="e">
        <f ca="1">_xll.BDH($C$103,"GROWTH_IN_CAP","FQ3 2014","FQ3 2014","Currency=INR","Period=FQ","BEST_FPERIOD_OVERRIDE=FQ","FILING_STATUS=OR","EQY_CONSOLIDATED=Y","Sort=A","Dates=H","DateFormat=P","Fill=—","Direction=H","UseDPDF=Y")</f>
        <v>#NAME?</v>
      </c>
      <c r="AK106" s="2" t="e">
        <f ca="1">_xll.BDH($C$103,"BVPS_GROWTH","FQ3 2014","FQ3 2014","Currency=INR","Period=FQ","BEST_FPERIOD_OVERRIDE=FQ","FILING_STATUS=OR","EQY_CONSOLIDATED=Y","Sort=A","Dates=H","DateFormat=P","Fill=—","Direction=H","UseDPDF=Y")</f>
        <v>#NAME?</v>
      </c>
      <c r="AL106" s="2" t="e">
        <f ca="1">_xll.BDH($C$103,"CASH_FLOW_GROWTH","FQ3 2014","FQ3 2014","Currency=INR","Period=FQ","BEST_FPERIOD_OVERRIDE=FQ","FILING_STATUS=OR","EQY_CONSOLIDATED=Y","Sort=A","Dates=H","DateFormat=P","Fill=—","Direction=H","UseDPDF=Y")</f>
        <v>#NAME?</v>
      </c>
      <c r="AM106" s="2" t="e">
        <f ca="1">_xll.BDH($C$103,"GEO_GROW_NET_SALES","FQ3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106" s="2" t="e">
        <f ca="1">_xll.BDH($C$103,"GEO_GROW_EBITDA","FQ3 2014","FQ3 2014","Currency=INR","Period=FQ","BEST_FPERIOD_OVERRIDE=FQ","FILING_STATUS=OR","EQY_CONSOLIDATED=Y","FA_ADJUSTED=GAAP","Sort=A","Dates=H","DateFormat=P","Fill=—","Direction=H","UseDPDF=Y")</f>
        <v>#NAME?</v>
      </c>
      <c r="AO106" s="2" t="e">
        <f ca="1">_xll.BDH($C$103,"GEO_GROW_OPER_INC","FQ3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106" s="2" t="e">
        <f ca="1">_xll.BDH($C$103,"NET_INCOME_TO_COMMON_5_YR_GROWTH","FQ3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106" s="2" t="e">
        <f ca="1">_xll.BDH($C$103,"5Y_GEO_GROWTH_DILUTED_EPS","FQ3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106" s="2" t="e">
        <f ca="1">_xll.BDH($C$103,"GEO_GROW_DVD_PER_SH","FQ3 2014","FQ3 2014","Currency=INR","Period=FQ","BEST_FPERIOD_OVERRIDE=FQ","FILING_STATUS=OR","EQY_CONSOLIDATED=Y","Sort=A","Dates=H","DateFormat=P","Fill=—","Direction=H","UseDPDF=Y")</f>
        <v>#NAME?</v>
      </c>
      <c r="AS106" s="2" t="e">
        <f ca="1">_xll.BDH($C$103,"ACCOUNTS_RECEIVABLE_5_YR_GROWTH","FQ3 2014","FQ3 2014","Currency=INR","Period=FQ","BEST_FPERIOD_OVERRIDE=FQ","FILING_STATUS=OR","EQY_CONSOLIDATED=Y","Sort=A","Dates=H","DateFormat=P","Fill=—","Direction=H","UseDPDF=Y")</f>
        <v>#NAME?</v>
      </c>
      <c r="AT106" s="2" t="e">
        <f ca="1">_xll.BDH($C$103,"INVENTORY_5_YEAR_GROWTH","FQ3 2014","FQ3 2014","Currency=INR","Period=FQ","BEST_FPERIOD_OVERRIDE=FQ","FILING_STATUS=OR","EQY_CONSOLIDATED=Y","Sort=A","Dates=H","DateFormat=P","Fill=—","Direction=H","UseDPDF=Y")</f>
        <v>#NAME?</v>
      </c>
      <c r="AU106" s="2" t="e">
        <f ca="1">_xll.BDH($C$103,"NET_FIXED_ASSETS_5_YEAR_GROWTH","FQ3 2014","FQ3 2014","Currency=INR","Period=FQ","BEST_FPERIOD_OVERRIDE=FQ","FILING_STATUS=OR","EQY_CONSOLIDATED=Y","Sort=A","Dates=H","DateFormat=P","Fill=—","Direction=H","UseDPDF=Y")</f>
        <v>#NAME?</v>
      </c>
      <c r="AV106" s="2" t="e">
        <f ca="1">_xll.BDH($C$103,"GEO_GROW_TOT_ASSET","FQ3 2014","FQ3 2014","Currency=INR","Period=FQ","BEST_FPERIOD_OVERRIDE=FQ","FILING_STATUS=OR","EQY_CONSOLIDATED=Y","Sort=A","Dates=H","DateFormat=P","Fill=—","Direction=H","UseDPDF=Y")</f>
        <v>#NAME?</v>
      </c>
      <c r="AW106" s="2" t="e">
        <f ca="1">_xll.BDH($C$103,"MODIFIED_WORKING_CPTL_5YR_GRWTH","FQ3 2014","FQ3 2014","Currency=INR","Period=FQ","BEST_FPERIOD_OVERRIDE=FQ","FILING_STATUS=OR","EQY_CONSOLIDATED=Y","Sort=A","Dates=H","DateFormat=P","Fill=—","Direction=H","UseDPDF=Y")</f>
        <v>#NAME?</v>
      </c>
      <c r="AX106" s="2" t="e">
        <f ca="1">_xll.BDH($C$103,"WORKING_CAPITAL_5_YEAR_GROWTH","FQ3 2014","FQ3 2014","Currency=INR","Period=FQ","BEST_FPERIOD_OVERRIDE=FQ","FILING_STATUS=OR","EQY_CONSOLIDATED=Y","Sort=A","Dates=H","DateFormat=P","Fill=—","Direction=H","UseDPDF=Y")</f>
        <v>#NAME?</v>
      </c>
      <c r="AY106" s="2" t="e">
        <f ca="1">_xll.BDH($C$103,"ACCOUNTS_PAYABLE_5_YEAR_GROWTH","FQ3 2014","FQ3 2014","Currency=INR","Period=FQ","BEST_FPERIOD_OVERRIDE=FQ","FILING_STATUS=OR","EQY_CONSOLIDATED=Y","Sort=A","Dates=H","DateFormat=P","Fill=—","Direction=H","UseDPDF=Y")</f>
        <v>#NAME?</v>
      </c>
      <c r="AZ106" s="2" t="e">
        <f ca="1">_xll.BDH($C$103,"SHORT_TERM_DEBT_5_YEAR_GROWTH","FQ3 2014","FQ3 2014","Currency=INR","Period=FQ","BEST_FPERIOD_OVERRIDE=FQ","FILING_STATUS=OR","EQY_CONSOLIDATED=Y","Sort=A","Dates=H","DateFormat=P","Fill=—","Direction=H","UseDPDF=Y")</f>
        <v>#NAME?</v>
      </c>
      <c r="BA106" s="2" t="e">
        <f ca="1">_xll.BDH($C$103,"TOTAL_DEBT_5_YEAR_GROWTH","FQ3 2014","FQ3 2014","Currency=INR","Period=FQ","BEST_FPERIOD_OVERRIDE=FQ","FILING_STATUS=OR","EQY_CONSOLIDATED=Y","Sort=A","Dates=H","DateFormat=P","Fill=—","Direction=H","UseDPDF=Y")</f>
        <v>#NAME?</v>
      </c>
      <c r="BB106" s="2" t="e">
        <f ca="1">_xll.BDH($C$103,"GEO_GROW_TOT_SHRHLDR_EQY","FQ3 2014","FQ3 2014","Currency=INR","Period=FQ","BEST_FPERIOD_OVERRIDE=FQ","FILING_STATUS=OR","EQY_CONSOLIDATED=Y","Sort=A","Dates=H","DateFormat=P","Fill=—","Direction=H","UseDPDF=Y")</f>
        <v>#NAME?</v>
      </c>
      <c r="BC106" s="2" t="e">
        <f ca="1">_xll.BDH($C$103,"TOTAL_CAPITAL_5_YEAR_GROWTH","FQ3 2014","FQ3 2014","Currency=INR","Period=FQ","BEST_FPERIOD_OVERRIDE=FQ","FILING_STATUS=OR","EQY_CONSOLIDATED=Y","Sort=A","Dates=H","DateFormat=P","Fill=—","Direction=H","UseDPDF=Y")</f>
        <v>#NAME?</v>
      </c>
      <c r="BD106" s="2" t="e">
        <f ca="1">_xll.BDH($C$103,"GEO_GROW_BOOK_VAL","FQ3 2014","FQ3 2014","Currency=INR","Period=FQ","BEST_FPERIOD_OVERRIDE=FQ","FILING_STATUS=OR","EQY_CONSOLIDATED=Y","Sort=A","Dates=H","DateFormat=P","Fill=—","Direction=H","UseDPDF=Y")</f>
        <v>#NAME?</v>
      </c>
      <c r="BE106" s="2" t="e">
        <f ca="1">_xll.BDH($C$103,"GEO_GROW_CASH_OPER_ACT","FQ3 2014","FQ3 2014","Currency=INR","Period=FQ","BEST_FPERIOD_OVERRIDE=FQ","FILING_STATUS=OR","EQY_CONSOLIDATED=Y","Sort=A","Dates=H","DateFormat=P","Fill=—","Direction=H","UseDPDF=Y")</f>
        <v>#NAME?</v>
      </c>
      <c r="BF106" s="2" t="e">
        <f ca="1">_xll.BDH($C$103,"REVENUE_SEQUENTIAL_GROWTH","FQ3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106" s="2" t="e">
        <f ca="1">_xll.BDH($C$103,"EBITDA_SEQUENTIAL_GROWTH","FQ3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106" s="2" t="e">
        <f ca="1">_xll.BDH($C$103,"OPERATING_INCOME_SEQ_GROWTH","FQ3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106" s="2" t="e">
        <f ca="1">_xll.BDH($C$103,"NET_INCOME_TO_COMMON_SEQ_GROWTH","FQ3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106" s="2" t="e">
        <f ca="1">_xll.BDH($C$103,"EPS_DILUTED_SEQUENTIAL_GROWTH","FQ3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106" s="2" t="e">
        <f ca="1">_xll.BDH($C$103,"DPS_SEQUENTIAL_GROWTH","FQ3 2014","FQ3 2014","Currency=INR","Period=FQ","BEST_FPERIOD_OVERRIDE=FQ","FILING_STATUS=OR","EQY_CONSOLIDATED=Y","Sort=A","Dates=H","DateFormat=P","Fill=—","Direction=H","UseDPDF=Y")</f>
        <v>#NAME?</v>
      </c>
      <c r="BL106" s="2" t="e">
        <f ca="1">_xll.BDH($C$103,"ACCOUNTS_RECEIVABLE_SEQ_GROWTH","FQ3 2014","FQ3 2014","Currency=INR","Period=FQ","BEST_FPERIOD_OVERRIDE=FQ","FILING_STATUS=OR","EQY_CONSOLIDATED=Y","Sort=A","Dates=H","DateFormat=P","Fill=—","Direction=H","UseDPDF=Y")</f>
        <v>#NAME?</v>
      </c>
      <c r="BM106" s="2" t="e">
        <f ca="1">_xll.BDH($C$103,"INVENTORY_SEQUENTIAL_GROWTH","FQ3 2014","FQ3 2014","Currency=INR","Period=FQ","BEST_FPERIOD_OVERRIDE=FQ","FILING_STATUS=OR","EQY_CONSOLIDATED=Y","Sort=A","Dates=H","DateFormat=P","Fill=—","Direction=H","UseDPDF=Y")</f>
        <v>#NAME?</v>
      </c>
      <c r="BN106" s="2" t="e">
        <f ca="1">_xll.BDH($C$103,"FIXED_ASSETS_SEQUENTIAL_GROWTH","FQ3 2014","FQ3 2014","Currency=INR","Period=FQ","BEST_FPERIOD_OVERRIDE=FQ","FILING_STATUS=OR","EQY_CONSOLIDATED=Y","Sort=A","Dates=H","DateFormat=P","Fill=—","Direction=H","UseDPDF=Y")</f>
        <v>#NAME?</v>
      </c>
      <c r="BO106" s="2" t="e">
        <f ca="1">_xll.BDH($C$103,"TOTAL_ASSETS_SEQUENTIAL_GROWTH","FQ3 2014","FQ3 2014","Currency=INR","Period=FQ","BEST_FPERIOD_OVERRIDE=FQ","FILING_STATUS=OR","EQY_CONSOLIDATED=Y","Sort=A","Dates=H","DateFormat=P","Fill=—","Direction=H","UseDPDF=Y")</f>
        <v>#NAME?</v>
      </c>
      <c r="BP106" s="2" t="e">
        <f ca="1">_xll.BDH($C$103,"MODIFIED_WORKING_CPTL_SEQ_GRWTH","FQ3 2014","FQ3 2014","Currency=INR","Period=FQ","BEST_FPERIOD_OVERRIDE=FQ","FILING_STATUS=OR","EQY_CONSOLIDATED=Y","Sort=A","Dates=H","DateFormat=P","Fill=—","Direction=H","UseDPDF=Y")</f>
        <v>#NAME?</v>
      </c>
      <c r="BQ106" s="2" t="e">
        <f ca="1">_xll.BDH($C$103,"WORKING_CAPITAL_SEQ_GROWTH","FQ3 2014","FQ3 2014","Currency=INR","Period=FQ","BEST_FPERIOD_OVERRIDE=FQ","FILING_STATUS=OR","EQY_CONSOLIDATED=Y","Sort=A","Dates=H","DateFormat=P","Fill=—","Direction=H","UseDPDF=Y")</f>
        <v>#NAME?</v>
      </c>
      <c r="BR106" s="2" t="e">
        <f ca="1">_xll.BDH($C$103,"ACCOUNTS_PAYABLE_SEQ_GROWTH","FQ3 2014","FQ3 2014","Currency=INR","Period=FQ","BEST_FPERIOD_OVERRIDE=FQ","FILING_STATUS=OR","EQY_CONSOLIDATED=Y","Sort=A","Dates=H","DateFormat=P","Fill=—","Direction=H","UseDPDF=Y")</f>
        <v>#NAME?</v>
      </c>
      <c r="BS106" s="2" t="e">
        <f ca="1">_xll.BDH($C$103,"ST_DEBT_SEQUENTIAL_GROWTH","FQ3 2014","FQ3 2014","Currency=INR","Period=FQ","BEST_FPERIOD_OVERRIDE=FQ","FILING_STATUS=OR","EQY_CONSOLIDATED=Y","Sort=A","Dates=H","DateFormat=P","Fill=—","Direction=H","UseDPDF=Y")</f>
        <v>#NAME?</v>
      </c>
      <c r="BT106" s="2" t="e">
        <f ca="1">_xll.BDH($C$103,"TOTAL_DEBT_SEQUENTIAL_GROWTH","FQ3 2014","FQ3 2014","Currency=INR","Period=FQ","BEST_FPERIOD_OVERRIDE=FQ","FILING_STATUS=OR","EQY_CONSOLIDATED=Y","Sort=A","Dates=H","DateFormat=P","Fill=—","Direction=H","UseDPDF=Y")</f>
        <v>#NAME?</v>
      </c>
      <c r="BU106" s="2" t="e">
        <f ca="1">_xll.BDH($C$103,"TOTAL_EQUITY_SEQUENTIAL_GROWTH","FQ3 2014","FQ3 2014","Currency=INR","Period=FQ","BEST_FPERIOD_OVERRIDE=FQ","FILING_STATUS=OR","EQY_CONSOLIDATED=Y","Sort=A","Dates=H","DateFormat=P","Fill=—","Direction=H","UseDPDF=Y")</f>
        <v>#NAME?</v>
      </c>
      <c r="BV106" s="2" t="e">
        <f ca="1">_xll.BDH($C$103,"TOTAL_CAPITAL_SEQUENTIAL_GROWTH","FQ3 2014","FQ3 2014","Currency=INR","Period=FQ","BEST_FPERIOD_OVERRIDE=FQ","FILING_STATUS=OR","EQY_CONSOLIDATED=Y","Sort=A","Dates=H","DateFormat=P","Fill=—","Direction=H","UseDPDF=Y")</f>
        <v>#NAME?</v>
      </c>
      <c r="BW106" s="2" t="e">
        <f ca="1">_xll.BDH($C$103,"BPS_SEQUENTIAL_GROWTH","FQ3 2014","FQ3 2014","Currency=INR","Period=FQ","BEST_FPERIOD_OVERRIDE=FQ","FILING_STATUS=OR","EQY_CONSOLIDATED=Y","Sort=A","Dates=H","DateFormat=P","Fill=—","Direction=H","UseDPDF=Y")</f>
        <v>#NAME?</v>
      </c>
      <c r="BX106" s="2" t="e">
        <f ca="1">_xll.BDH($C$103,"CFO_SEQUENTIAL_GROWTH","FQ3 2014","FQ3 2014","Currency=INR","Period=FQ","BEST_FPERIOD_OVERRIDE=FQ","FILING_STATUS=OR","EQY_CONSOLIDATED=Y","Sort=A","Dates=H","DateFormat=P","Fill=—","Direction=H","UseDPDF=Y")</f>
        <v>#NAME?</v>
      </c>
      <c r="BY106" s="3" t="e">
        <f ca="1">_xll.BDH($C$103,"SHORT_AND_LONG_TERM_DEBT","FQ3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106" s="3" t="e">
        <f ca="1">_xll.BDH($C$103,"BS_ST_BORROW","FQ3 2014","FQ3 2014","Currency=INR","Period=FQ","BEST_FPERIOD_OVERRIDE=FQ","FILING_STATUS=OR","EQY_CONSOLIDATED=Y","SCALING_FORMAT=MLN","Sort=A","Dates=H","DateFormat=P","Fill=—","Direction=H","UseDPDF=Y")</f>
        <v>#NAME?</v>
      </c>
      <c r="CA106" s="3" t="e">
        <f ca="1">_xll.BDH($C$103,"BS_LT_BORROW","FQ3 2014","FQ3 2014","Currency=INR","Period=FQ","BEST_FPERIOD_OVERRIDE=FQ","FILING_STATUS=OR","EQY_CONSOLIDATED=Y","SCALING_FORMAT=MLN","Sort=A","Dates=H","DateFormat=P","Fill=—","Direction=H","UseDPDF=Y")</f>
        <v>#NAME?</v>
      </c>
      <c r="CB106" s="2" t="e">
        <f ca="1">_xll.BDH($C$103,"TOT_DEBT_TO_EBITDA","FQ3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106" s="2" t="e">
        <f ca="1">_xll.BDH($C$103,"NET_DEBT_TO_EBITDA","FQ3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106" s="2" t="e">
        <f ca="1">_xll.BDH($C$103,"TOTAL_DEBT_TO_EBIT","FQ3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106" s="2" t="e">
        <f ca="1">_xll.BDH($C$103,"NET_DEBT_TO_EBIT","FQ3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106" s="2" t="e">
        <f ca="1">_xll.BDH($C$103,"EBITDA_TO_INTEREST_EXPN","FQ3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106" s="2" t="e">
        <f ca="1">_xll.BDH($C$103,"COM_EQY_TO_TOT_ASSET","FQ3 2014","FQ3 2014","Currency=INR","Period=FQ","BEST_FPERIOD_OVERRIDE=FQ","FILING_STATUS=OR","EQY_CONSOLIDATED=Y","Sort=A","Dates=H","DateFormat=P","Fill=—","Direction=H","UseDPDF=Y")</f>
        <v>#NAME?</v>
      </c>
      <c r="CH106" s="2" t="e">
        <f ca="1">_xll.BDH($C$103,"LT_DEBT_TO_TOT_EQY","FQ3 2014","FQ3 2014","Currency=INR","Period=FQ","BEST_FPERIOD_OVERRIDE=FQ","FILING_STATUS=OR","EQY_CONSOLIDATED=Y","Sort=A","Dates=H","DateFormat=P","Fill=—","Direction=H","UseDPDF=Y")</f>
        <v>#NAME?</v>
      </c>
      <c r="CI106" s="2" t="e">
        <f ca="1">_xll.BDH($C$103,"LT_DEBT_TO_TOT_CAP","FQ3 2014","FQ3 2014","Currency=INR","Period=FQ","BEST_FPERIOD_OVERRIDE=FQ","FILING_STATUS=OR","EQY_CONSOLIDATED=Y","Sort=A","Dates=H","DateFormat=P","Fill=—","Direction=H","UseDPDF=Y")</f>
        <v>#NAME?</v>
      </c>
      <c r="CJ106" s="2" t="e">
        <f ca="1">_xll.BDH($C$103,"LT_DEBT_TO_TOT_ASSET","FQ3 2014","FQ3 2014","Currency=INR","Period=FQ","BEST_FPERIOD_OVERRIDE=FQ","FILING_STATUS=OR","EQY_CONSOLIDATED=Y","Sort=A","Dates=H","DateFormat=P","Fill=—","Direction=H","UseDPDF=Y")</f>
        <v>#NAME?</v>
      </c>
      <c r="CK106" s="2" t="e">
        <f ca="1">_xll.BDH($C$103,"TOT_DEBT_TO_TOT_EQY","FQ3 2014","FQ3 2014","Currency=INR","Period=FQ","BEST_FPERIOD_OVERRIDE=FQ","FILING_STATUS=OR","EQY_CONSOLIDATED=Y","Sort=A","Dates=H","DateFormat=P","Fill=—","Direction=H","UseDPDF=Y")</f>
        <v>#NAME?</v>
      </c>
      <c r="CL106" s="2" t="e">
        <f ca="1">_xll.BDH($C$103,"TOT_DEBT_TO_TOT_CAP","FQ3 2014","FQ3 2014","Currency=INR","Period=FQ","BEST_FPERIOD_OVERRIDE=FQ","FILING_STATUS=OR","EQY_CONSOLIDATED=Y","Sort=A","Dates=H","DateFormat=P","Fill=—","Direction=H","UseDPDF=Y")</f>
        <v>#NAME?</v>
      </c>
      <c r="CM106" s="2" t="e">
        <f ca="1">_xll.BDH($C$103,"TOT_DEBT_TO_TOT_ASSET","FQ3 2014","FQ3 2014","Currency=INR","Period=FQ","BEST_FPERIOD_OVERRIDE=FQ","FILING_STATUS=OR","EQY_CONSOLIDATED=Y","Sort=A","Dates=H","DateFormat=P","Fill=—","Direction=H","UseDPDF=Y")</f>
        <v>#NAME?</v>
      </c>
      <c r="CN106" s="2" t="e">
        <f ca="1">_xll.BDH($C$103,"NET_DEBT_TO_SHRHLDR_EQTY","FQ3 2014","FQ3 2014","Currency=INR","Period=FQ","BEST_FPERIOD_OVERRIDE=FQ","FILING_STATUS=OR","EQY_CONSOLIDATED=Y","Sort=A","Dates=H","DateFormat=P","Fill=—","Direction=H","UseDPDF=Y")</f>
        <v>#NAME?</v>
      </c>
      <c r="CO106" s="2" t="e">
        <f ca="1">_xll.BDH($C$103,"NET_DEBT_%_CAPITAL","FQ3 2014","FQ3 2014","Currency=INR","Period=FQ","BEST_FPERIOD_OVERRIDE=FQ","FILING_STATUS=OR","EQY_CONSOLIDATED=Y","Sort=A","Dates=H","DateFormat=P","Fill=—","Direction=H","UseDPDF=Y")</f>
        <v>#NAME?</v>
      </c>
      <c r="CP106" s="3" t="e">
        <f ca="1">_xll.BDH($C$103,"EBITDA","FQ3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106" s="3" t="e">
        <f ca="1">_xll.BDH($C$103,"EBITDA_AFTER_CAPEX","FQ3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106" s="3" t="e">
        <f ca="1">_xll.BDH($C$103,"IS_OPER_INC","FQ3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106" s="2" t="e">
        <f ca="1">_xll.BDH($C$103,"CASH_RATIO","FQ3 2014","FQ3 2014","Currency=INR","Period=FQ","BEST_FPERIOD_OVERRIDE=FQ","FILING_STATUS=OR","EQY_CONSOLIDATED=Y","Sort=A","Dates=H","DateFormat=P","Fill=—","Direction=H","UseDPDF=Y")</f>
        <v>#NAME?</v>
      </c>
      <c r="CT106" s="2" t="e">
        <f ca="1">_xll.BDH($C$103,"CUR_RATIO","FQ3 2014","FQ3 2014","Currency=INR","Period=FQ","BEST_FPERIOD_OVERRIDE=FQ","FILING_STATUS=OR","EQY_CONSOLIDATED=Y","Sort=A","Dates=H","DateFormat=P","Fill=—","Direction=H","UseDPDF=Y")</f>
        <v>#NAME?</v>
      </c>
      <c r="CU106" s="2" t="e">
        <f ca="1">_xll.BDH($C$103,"QUICK_RATIO","FQ3 2014","FQ3 2014","Currency=INR","Period=FQ","BEST_FPERIOD_OVERRIDE=FQ","FILING_STATUS=OR","EQY_CONSOLIDATED=Y","Sort=A","Dates=H","DateFormat=P","Fill=—","Direction=H","UseDPDF=Y")</f>
        <v>#NAME?</v>
      </c>
      <c r="CV106" s="2" t="e">
        <f ca="1">_xll.BDH($C$103,"ALTMAN_Z_SCORE","FQ3 2014","FQ3 2014","Currency=INR","Period=FQ","BEST_FPERIOD_OVERRIDE=FQ","FILING_STATUS=OR","EQY_CONSOLIDATED=Y","Sort=A","Dates=H","DateFormat=P","Fill=—","Direction=H","UseDPDF=Y")</f>
        <v>#NAME?</v>
      </c>
      <c r="CW106" s="4" t="e">
        <f ca="1">_xll.BDH($C$103,"ACCT_RCV_TURN","FQ3 2014","FQ3 2014","Currency=INR","Period=FQ","BEST_FPERIOD_OVERRIDE=FQ","FILING_STATUS=OR","EQY_CONSOLIDATED=Y","FA_ADJUSTED=GAAP","Sort=A","Dates=H","DateFormat=P","Fill=—","Direction=H","UseDPDF=Y")</f>
        <v>#NAME?</v>
      </c>
      <c r="CX106" s="2" t="e">
        <f ca="1">_xll.BDH($C$103,"ACCT_RCV_DAYS","FQ3 2014","FQ3 2014","Currency=INR","Period=FQ","BEST_FPERIOD_OVERRIDE=FQ","FILING_STATUS=OR","EQY_CONSOLIDATED=Y","FA_ADJUSTED=GAAP","Sort=A","Dates=H","DateFormat=P","Fill=—","Direction=H","UseDPDF=Y")</f>
        <v>#NAME?</v>
      </c>
      <c r="CY106" s="4" t="e">
        <f ca="1">_xll.BDH($C$103,"INVENT_TURN","FQ3 2014","FQ3 2014","Currency=INR","Period=FQ","BEST_FPERIOD_OVERRIDE=FQ","FILING_STATUS=OR","EQY_CONSOLIDATED=Y","FA_ADJUSTED=GAAP","Sort=A","Dates=H","DateFormat=P","Fill=—","Direction=H","UseDPDF=Y")</f>
        <v>#NAME?</v>
      </c>
      <c r="CZ106" s="2" t="e">
        <f ca="1">_xll.BDH($C$103,"INVENT_DAYS","FQ3 2014","FQ3 2014","Currency=INR","Period=FQ","BEST_FPERIOD_OVERRIDE=FQ","FILING_STATUS=OR","EQY_CONSOLIDATED=Y","FA_ADJUSTED=GAAP","Sort=A","Dates=H","DateFormat=P","Fill=—","Direction=H","UseDPDF=Y")</f>
        <v>#NAME?</v>
      </c>
      <c r="DA106" s="4" t="e">
        <f ca="1">_xll.BDH($C$103,"ACCOUNTS_PAYABLE_TURNOVER","FQ3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106" s="2" t="e">
        <f ca="1">_xll.BDH($C$103,"ACCOUNTS_PAYABLE_TURNOVER_DAYS","FQ3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106" s="4" t="e">
        <f ca="1">_xll.BDH($C$103,"CASH_CONVERSION_CYCLE","FQ3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106" s="4" t="e">
        <f ca="1">_xll.BDH($C$103,"INV_TO_CASH_DAYS","FQ3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106" s="5" t="e">
        <f ca="1">_xll.BDH($C$103,"BS_INVENTORIES","FQ3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106" s="3" t="e">
        <f ca="1">_xll.BDH($C$103,"INVTRY_RAW_MATERIALS","FQ3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106" s="3" t="e">
        <f ca="1">_xll.BDH($C$103,"INVTRY_IN_PROGRESS","FQ3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106" s="3" t="e">
        <f ca="1">_xll.BDH($C$103,"INVTRY_FINISHED_GOODS","FQ3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106" s="3" t="e">
        <f ca="1">_xll.BDH($C$103,"BS_OTHER_INV","FQ3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107" spans="1:113" x14ac:dyDescent="0.3">
      <c r="A107" s="6"/>
      <c r="B107" s="6"/>
      <c r="C107" s="6"/>
      <c r="D107" s="6"/>
      <c r="E107" t="s">
        <v>81</v>
      </c>
      <c r="F107" t="e">
        <f ca="1">_xll.BDH($C$103,"RETURN_COM_EQY","FQ4 2014","FQ4 2014","Currency=INR","Period=FQ","BEST_FPERIOD_OVERRIDE=FQ","FILING_STATUS=OR","EQY_CONSOLIDATED=Y","FA_ADJUSTED=GAAP","Sort=A","Dates=H","DateFormat=P","Fill=—","Direction=H","UseDPDF=Y")</f>
        <v>#NAME?</v>
      </c>
      <c r="G107" t="e">
        <f ca="1">_xll.BDH($C$103,"RETURN_ON_ASSET","FQ4 2014","FQ4 2014","Currency=INR","Period=FQ","BEST_FPERIOD_OVERRIDE=FQ","FILING_STATUS=OR","EQY_CONSOLIDATED=Y","FA_ADJUSTED=GAAP","Sort=A","Dates=H","DateFormat=P","Fill=—","Direction=H","UseDPDF=Y")</f>
        <v>#NAME?</v>
      </c>
      <c r="H107" t="e">
        <f ca="1">_xll.BDH($C$103,"RETURN_ON_CAP","FQ4 2014","FQ4 2014","Currency=INR","Period=FQ","BEST_FPERIOD_OVERRIDE=FQ","FILING_STATUS=OR","EQY_CONSOLIDATED=Y","FA_ADJUSTED=GAAP","Sort=A","Dates=H","DateFormat=P","Fill=—","Direction=H","UseDPDF=Y")</f>
        <v>#NAME?</v>
      </c>
      <c r="I107" t="e">
        <f ca="1">_xll.BDH($C$103,"RETURN_ON_INV_CAPITAL","FQ4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107" t="e">
        <f ca="1">_xll.BDH($C$103,"EBITDA_TO_REVENUE","FQ4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107" t="e">
        <f ca="1">_xll.BDH($C$103,"OPER_MARGIN","FQ4 2014","FQ4 2014","Currency=INR","Period=FQ","BEST_FPERIOD_OVERRIDE=FQ","FILING_STATUS=OR","EQY_CONSOLIDATED=Y","FA_ADJUSTED=GAAP","Sort=A","Dates=H","DateFormat=P","Fill=—","Direction=H","UseDPDF=Y")</f>
        <v>#NAME?</v>
      </c>
      <c r="L107" t="e">
        <f ca="1">_xll.BDH($C$103,"INCREMENTAL_OPERATING_MARGIN","FQ4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107" t="e">
        <f ca="1">_xll.BDH($C$103,"PRETAX_INC_TO_NET_SALES","FQ4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107" t="e">
        <f ca="1">_xll.BDH($C$103,"INC_BEF_XO_ITEMS_TO_NET_SALES","FQ4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107" t="e">
        <f ca="1">_xll.BDH($C$103,"PROF_MARGIN","FQ4 2014","FQ4 2014","Currency=INR","Period=FQ","BEST_FPERIOD_OVERRIDE=FQ","FILING_STATUS=OR","EQY_CONSOLIDATED=Y","FA_ADJUSTED=GAAP","Sort=A","Dates=H","DateFormat=P","Fill=—","Direction=H","UseDPDF=Y")</f>
        <v>#NAME?</v>
      </c>
      <c r="P107" t="e">
        <f ca="1">_xll.BDH($C$103,"NET_INCOME_TO_COMMON_MARGIN","FQ4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107" t="e">
        <f ca="1">_xll.BDH($C$103,"EFF_TAX_RATE","FQ4 2014","FQ4 2014","Currency=INR","Period=FQ","BEST_FPERIOD_OVERRIDE=FQ","FILING_STATUS=OR","EQY_CONSOLIDATED=Y","FA_ADJUSTED=GAAP","Sort=A","Dates=H","DateFormat=P","Fill=—","Direction=H","UseDPDF=Y")</f>
        <v>#NAME?</v>
      </c>
      <c r="R107" t="e">
        <f ca="1">_xll.BDH($C$103,"DVD_PAYOUT_RATIO","FQ4 2014","FQ4 2014","Currency=INR","Period=FQ","BEST_FPERIOD_OVERRIDE=FQ","FILING_STATUS=OR","EQY_CONSOLIDATED=Y","FA_ADJUSTED=GAAP","Sort=A","Dates=H","DateFormat=P","Fill=—","Direction=H","UseDPDF=Y")</f>
        <v>#NAME?</v>
      </c>
      <c r="S107" t="e">
        <f ca="1">_xll.BDH($C$103,"SUSTAIN_GROWTH_RT","FQ4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107" s="2" t="e">
        <f ca="1">_xll.BDH($C$103,"SALES_GROWTH","FQ4 2014","FQ4 2014","Currency=INR","Period=FQ","BEST_FPERIOD_OVERRIDE=FQ","FILING_STATUS=OR","EQY_CONSOLIDATED=Y","FA_ADJUSTED=GAAP","Sort=A","Dates=H","DateFormat=P","Fill=—","Direction=H","UseDPDF=Y")</f>
        <v>#NAME?</v>
      </c>
      <c r="U107" s="2" t="e">
        <f ca="1">_xll.BDH($C$103,"EBITDA_GROWTH","FQ4 2014","FQ4 2014","Currency=INR","Period=FQ","BEST_FPERIOD_OVERRIDE=FQ","FILING_STATUS=OR","EQY_CONSOLIDATED=Y","FA_ADJUSTED=GAAP","Sort=A","Dates=H","DateFormat=P","Fill=—","Direction=H","UseDPDF=Y")</f>
        <v>#NAME?</v>
      </c>
      <c r="V107" s="2" t="e">
        <f ca="1">_xll.BDH($C$103,"OPER_INC_GROWTH","FQ4 2014","FQ4 2014","Currency=INR","Period=FQ","BEST_FPERIOD_OVERRIDE=FQ","FILING_STATUS=OR","EQY_CONSOLIDATED=Y","FA_ADJUSTED=GAAP","Sort=A","Dates=H","DateFormat=P","Fill=—","Direction=H","UseDPDF=Y")</f>
        <v>#NAME?</v>
      </c>
      <c r="W107" s="2" t="e">
        <f ca="1">_xll.BDH($C$103,"EARN_FOR_COM_GROWTH","FQ4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107" s="2" t="e">
        <f ca="1">_xll.BDH($C$103,"DILUTED_EPS_AFT_XO_ITEMS_GROWTH","FQ4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107" s="2" t="e">
        <f ca="1">_xll.BDH($C$103,"DIVIDEND_PER_SHARE_1_YEAR_GROWTH","FQ4 2014","FQ4 2014","Currency=INR","Period=FQ","BEST_FPERIOD_OVERRIDE=FQ","FILING_STATUS=OR","EQY_CONSOLIDATED=Y","Sort=A","Dates=H","DateFormat=P","Fill=—","Direction=H","UseDPDF=Y")</f>
        <v>#NAME?</v>
      </c>
      <c r="Z107" s="2" t="e">
        <f ca="1">_xll.BDH($C$103,"ACCOUNTS_RECEIVABLE_GROWTH","FQ4 2014","FQ4 2014","Currency=INR","Period=FQ","BEST_FPERIOD_OVERRIDE=FQ","FILING_STATUS=OR","EQY_CONSOLIDATED=Y","Sort=A","Dates=H","DateFormat=P","Fill=—","Direction=H","UseDPDF=Y")</f>
        <v>#NAME?</v>
      </c>
      <c r="AA107" s="2" t="e">
        <f ca="1">_xll.BDH($C$103,"INVENTORY_GROWTH","FQ4 2014","FQ4 2014","Currency=INR","Period=FQ","BEST_FPERIOD_OVERRIDE=FQ","FILING_STATUS=OR","EQY_CONSOLIDATED=Y","Sort=A","Dates=H","DateFormat=P","Fill=—","Direction=H","UseDPDF=Y")</f>
        <v>#NAME?</v>
      </c>
      <c r="AB107" s="2" t="e">
        <f ca="1">_xll.BDH($C$103,"NET_FIXED_ASSETS_1_YEAR_GROWTH","FQ4 2014","FQ4 2014","Currency=INR","Period=FQ","BEST_FPERIOD_OVERRIDE=FQ","FILING_STATUS=OR","EQY_CONSOLIDATED=Y","Sort=A","Dates=H","DateFormat=P","Fill=—","Direction=H","UseDPDF=Y")</f>
        <v>#NAME?</v>
      </c>
      <c r="AC107" s="2" t="e">
        <f ca="1">_xll.BDH($C$103,"ASSET_GROWTH","FQ4 2014","FQ4 2014","Currency=INR","Period=FQ","BEST_FPERIOD_OVERRIDE=FQ","FILING_STATUS=OR","EQY_CONSOLIDATED=Y","Sort=A","Dates=H","DateFormat=P","Fill=—","Direction=H","UseDPDF=Y")</f>
        <v>#NAME?</v>
      </c>
      <c r="AD107" s="2" t="e">
        <f ca="1">_xll.BDH($C$103,"MODIFIED_WORK_CAP_GROWTH","FQ4 2014","FQ4 2014","Currency=INR","Period=FQ","BEST_FPERIOD_OVERRIDE=FQ","FILING_STATUS=OR","EQY_CONSOLIDATED=Y","Sort=A","Dates=H","DateFormat=P","Fill=—","Direction=H","UseDPDF=Y")</f>
        <v>#NAME?</v>
      </c>
      <c r="AE107" s="2" t="e">
        <f ca="1">_xll.BDH($C$103,"WORK_CAP_GROWTH","FQ4 2014","FQ4 2014","Currency=INR","Period=FQ","BEST_FPERIOD_OVERRIDE=FQ","FILING_STATUS=OR","EQY_CONSOLIDATED=Y","Sort=A","Dates=H","DateFormat=P","Fill=—","Direction=H","UseDPDF=Y")</f>
        <v>#NAME?</v>
      </c>
      <c r="AF107" s="2" t="e">
        <f ca="1">_xll.BDH($C$103,"ACCOUNTS_PAYABLE_GROWTH_1YR","FQ4 2014","FQ4 2014","Currency=INR","Period=FQ","BEST_FPERIOD_OVERRIDE=FQ","FILING_STATUS=OR","EQY_CONSOLIDATED=Y","Sort=A","Dates=H","DateFormat=P","Fill=—","Direction=H","UseDPDF=Y")</f>
        <v>#NAME?</v>
      </c>
      <c r="AG107" s="2" t="e">
        <f ca="1">_xll.BDH($C$103,"SHORT_TERM_DEBT_1_YEAR_GROWTH","FQ4 2014","FQ4 2014","Currency=INR","Period=FQ","BEST_FPERIOD_OVERRIDE=FQ","FILING_STATUS=OR","EQY_CONSOLIDATED=Y","Sort=A","Dates=H","DateFormat=P","Fill=—","Direction=H","UseDPDF=Y")</f>
        <v>#NAME?</v>
      </c>
      <c r="AH107" s="2" t="e">
        <f ca="1">_xll.BDH($C$103,"TOTAL_DEBT_1_YEAR_GROWTH","FQ4 2014","FQ4 2014","Currency=INR","Period=FQ","BEST_FPERIOD_OVERRIDE=FQ","FILING_STATUS=OR","EQY_CONSOLIDATED=Y","Sort=A","Dates=H","DateFormat=P","Fill=—","Direction=H","UseDPDF=Y")</f>
        <v>#NAME?</v>
      </c>
      <c r="AI107" s="2" t="e">
        <f ca="1">_xll.BDH($C$103,"TOTAL_EQUITY_1_YEAR_GROWTH","FQ4 2014","FQ4 2014","Currency=INR","Period=FQ","BEST_FPERIOD_OVERRIDE=FQ","FILING_STATUS=OR","EQY_CONSOLIDATED=Y","Sort=A","Dates=H","DateFormat=P","Fill=—","Direction=H","UseDPDF=Y")</f>
        <v>#NAME?</v>
      </c>
      <c r="AJ107" s="2" t="e">
        <f ca="1">_xll.BDH($C$103,"GROWTH_IN_CAP","FQ4 2014","FQ4 2014","Currency=INR","Period=FQ","BEST_FPERIOD_OVERRIDE=FQ","FILING_STATUS=OR","EQY_CONSOLIDATED=Y","Sort=A","Dates=H","DateFormat=P","Fill=—","Direction=H","UseDPDF=Y")</f>
        <v>#NAME?</v>
      </c>
      <c r="AK107" s="2" t="e">
        <f ca="1">_xll.BDH($C$103,"BVPS_GROWTH","FQ4 2014","FQ4 2014","Currency=INR","Period=FQ","BEST_FPERIOD_OVERRIDE=FQ","FILING_STATUS=OR","EQY_CONSOLIDATED=Y","Sort=A","Dates=H","DateFormat=P","Fill=—","Direction=H","UseDPDF=Y")</f>
        <v>#NAME?</v>
      </c>
      <c r="AL107" s="2" t="e">
        <f ca="1">_xll.BDH($C$103,"CASH_FLOW_GROWTH","FQ4 2014","FQ4 2014","Currency=INR","Period=FQ","BEST_FPERIOD_OVERRIDE=FQ","FILING_STATUS=OR","EQY_CONSOLIDATED=Y","Sort=A","Dates=H","DateFormat=P","Fill=—","Direction=H","UseDPDF=Y")</f>
        <v>#NAME?</v>
      </c>
      <c r="AM107" s="2" t="e">
        <f ca="1">_xll.BDH($C$103,"GEO_GROW_NET_SALES","FQ4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107" s="2" t="e">
        <f ca="1">_xll.BDH($C$103,"GEO_GROW_EBITDA","FQ4 2014","FQ4 2014","Currency=INR","Period=FQ","BEST_FPERIOD_OVERRIDE=FQ","FILING_STATUS=OR","EQY_CONSOLIDATED=Y","FA_ADJUSTED=GAAP","Sort=A","Dates=H","DateFormat=P","Fill=—","Direction=H","UseDPDF=Y")</f>
        <v>#NAME?</v>
      </c>
      <c r="AO107" s="2" t="e">
        <f ca="1">_xll.BDH($C$103,"GEO_GROW_OPER_INC","FQ4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107" s="2" t="e">
        <f ca="1">_xll.BDH($C$103,"NET_INCOME_TO_COMMON_5_YR_GROWTH","FQ4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107" s="2" t="e">
        <f ca="1">_xll.BDH($C$103,"5Y_GEO_GROWTH_DILUTED_EPS","FQ4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107" s="2" t="e">
        <f ca="1">_xll.BDH($C$103,"GEO_GROW_DVD_PER_SH","FQ4 2014","FQ4 2014","Currency=INR","Period=FQ","BEST_FPERIOD_OVERRIDE=FQ","FILING_STATUS=OR","EQY_CONSOLIDATED=Y","Sort=A","Dates=H","DateFormat=P","Fill=—","Direction=H","UseDPDF=Y")</f>
        <v>#NAME?</v>
      </c>
      <c r="AS107" s="2" t="e">
        <f ca="1">_xll.BDH($C$103,"ACCOUNTS_RECEIVABLE_5_YR_GROWTH","FQ4 2014","FQ4 2014","Currency=INR","Period=FQ","BEST_FPERIOD_OVERRIDE=FQ","FILING_STATUS=OR","EQY_CONSOLIDATED=Y","Sort=A","Dates=H","DateFormat=P","Fill=—","Direction=H","UseDPDF=Y")</f>
        <v>#NAME?</v>
      </c>
      <c r="AT107" s="2" t="e">
        <f ca="1">_xll.BDH($C$103,"INVENTORY_5_YEAR_GROWTH","FQ4 2014","FQ4 2014","Currency=INR","Period=FQ","BEST_FPERIOD_OVERRIDE=FQ","FILING_STATUS=OR","EQY_CONSOLIDATED=Y","Sort=A","Dates=H","DateFormat=P","Fill=—","Direction=H","UseDPDF=Y")</f>
        <v>#NAME?</v>
      </c>
      <c r="AU107" s="2" t="e">
        <f ca="1">_xll.BDH($C$103,"NET_FIXED_ASSETS_5_YEAR_GROWTH","FQ4 2014","FQ4 2014","Currency=INR","Period=FQ","BEST_FPERIOD_OVERRIDE=FQ","FILING_STATUS=OR","EQY_CONSOLIDATED=Y","Sort=A","Dates=H","DateFormat=P","Fill=—","Direction=H","UseDPDF=Y")</f>
        <v>#NAME?</v>
      </c>
      <c r="AV107" s="2" t="e">
        <f ca="1">_xll.BDH($C$103,"GEO_GROW_TOT_ASSET","FQ4 2014","FQ4 2014","Currency=INR","Period=FQ","BEST_FPERIOD_OVERRIDE=FQ","FILING_STATUS=OR","EQY_CONSOLIDATED=Y","Sort=A","Dates=H","DateFormat=P","Fill=—","Direction=H","UseDPDF=Y")</f>
        <v>#NAME?</v>
      </c>
      <c r="AW107" s="2" t="e">
        <f ca="1">_xll.BDH($C$103,"MODIFIED_WORKING_CPTL_5YR_GRWTH","FQ4 2014","FQ4 2014","Currency=INR","Period=FQ","BEST_FPERIOD_OVERRIDE=FQ","FILING_STATUS=OR","EQY_CONSOLIDATED=Y","Sort=A","Dates=H","DateFormat=P","Fill=—","Direction=H","UseDPDF=Y")</f>
        <v>#NAME?</v>
      </c>
      <c r="AX107" s="2" t="e">
        <f ca="1">_xll.BDH($C$103,"WORKING_CAPITAL_5_YEAR_GROWTH","FQ4 2014","FQ4 2014","Currency=INR","Period=FQ","BEST_FPERIOD_OVERRIDE=FQ","FILING_STATUS=OR","EQY_CONSOLIDATED=Y","Sort=A","Dates=H","DateFormat=P","Fill=—","Direction=H","UseDPDF=Y")</f>
        <v>#NAME?</v>
      </c>
      <c r="AY107" s="2" t="e">
        <f ca="1">_xll.BDH($C$103,"ACCOUNTS_PAYABLE_5_YEAR_GROWTH","FQ4 2014","FQ4 2014","Currency=INR","Period=FQ","BEST_FPERIOD_OVERRIDE=FQ","FILING_STATUS=OR","EQY_CONSOLIDATED=Y","Sort=A","Dates=H","DateFormat=P","Fill=—","Direction=H","UseDPDF=Y")</f>
        <v>#NAME?</v>
      </c>
      <c r="AZ107" s="2" t="e">
        <f ca="1">_xll.BDH($C$103,"SHORT_TERM_DEBT_5_YEAR_GROWTH","FQ4 2014","FQ4 2014","Currency=INR","Period=FQ","BEST_FPERIOD_OVERRIDE=FQ","FILING_STATUS=OR","EQY_CONSOLIDATED=Y","Sort=A","Dates=H","DateFormat=P","Fill=—","Direction=H","UseDPDF=Y")</f>
        <v>#NAME?</v>
      </c>
      <c r="BA107" s="2" t="e">
        <f ca="1">_xll.BDH($C$103,"TOTAL_DEBT_5_YEAR_GROWTH","FQ4 2014","FQ4 2014","Currency=INR","Period=FQ","BEST_FPERIOD_OVERRIDE=FQ","FILING_STATUS=OR","EQY_CONSOLIDATED=Y","Sort=A","Dates=H","DateFormat=P","Fill=—","Direction=H","UseDPDF=Y")</f>
        <v>#NAME?</v>
      </c>
      <c r="BB107" s="2" t="e">
        <f ca="1">_xll.BDH($C$103,"GEO_GROW_TOT_SHRHLDR_EQY","FQ4 2014","FQ4 2014","Currency=INR","Period=FQ","BEST_FPERIOD_OVERRIDE=FQ","FILING_STATUS=OR","EQY_CONSOLIDATED=Y","Sort=A","Dates=H","DateFormat=P","Fill=—","Direction=H","UseDPDF=Y")</f>
        <v>#NAME?</v>
      </c>
      <c r="BC107" s="2" t="e">
        <f ca="1">_xll.BDH($C$103,"TOTAL_CAPITAL_5_YEAR_GROWTH","FQ4 2014","FQ4 2014","Currency=INR","Period=FQ","BEST_FPERIOD_OVERRIDE=FQ","FILING_STATUS=OR","EQY_CONSOLIDATED=Y","Sort=A","Dates=H","DateFormat=P","Fill=—","Direction=H","UseDPDF=Y")</f>
        <v>#NAME?</v>
      </c>
      <c r="BD107" s="2" t="e">
        <f ca="1">_xll.BDH($C$103,"GEO_GROW_BOOK_VAL","FQ4 2014","FQ4 2014","Currency=INR","Period=FQ","BEST_FPERIOD_OVERRIDE=FQ","FILING_STATUS=OR","EQY_CONSOLIDATED=Y","Sort=A","Dates=H","DateFormat=P","Fill=—","Direction=H","UseDPDF=Y")</f>
        <v>#NAME?</v>
      </c>
      <c r="BE107" s="2" t="e">
        <f ca="1">_xll.BDH($C$103,"GEO_GROW_CASH_OPER_ACT","FQ4 2014","FQ4 2014","Currency=INR","Period=FQ","BEST_FPERIOD_OVERRIDE=FQ","FILING_STATUS=OR","EQY_CONSOLIDATED=Y","Sort=A","Dates=H","DateFormat=P","Fill=—","Direction=H","UseDPDF=Y")</f>
        <v>#NAME?</v>
      </c>
      <c r="BF107" s="2" t="e">
        <f ca="1">_xll.BDH($C$103,"REVENUE_SEQUENTIAL_GROWTH","FQ4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107" s="2" t="e">
        <f ca="1">_xll.BDH($C$103,"EBITDA_SEQUENTIAL_GROWTH","FQ4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107" s="2" t="e">
        <f ca="1">_xll.BDH($C$103,"OPERATING_INCOME_SEQ_GROWTH","FQ4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107" s="2" t="e">
        <f ca="1">_xll.BDH($C$103,"NET_INCOME_TO_COMMON_SEQ_GROWTH","FQ4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107" s="2" t="e">
        <f ca="1">_xll.BDH($C$103,"EPS_DILUTED_SEQUENTIAL_GROWTH","FQ4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107" s="2" t="e">
        <f ca="1">_xll.BDH($C$103,"DPS_SEQUENTIAL_GROWTH","FQ4 2014","FQ4 2014","Currency=INR","Period=FQ","BEST_FPERIOD_OVERRIDE=FQ","FILING_STATUS=OR","EQY_CONSOLIDATED=Y","Sort=A","Dates=H","DateFormat=P","Fill=—","Direction=H","UseDPDF=Y")</f>
        <v>#NAME?</v>
      </c>
      <c r="BL107" s="2" t="e">
        <f ca="1">_xll.BDH($C$103,"ACCOUNTS_RECEIVABLE_SEQ_GROWTH","FQ4 2014","FQ4 2014","Currency=INR","Period=FQ","BEST_FPERIOD_OVERRIDE=FQ","FILING_STATUS=OR","EQY_CONSOLIDATED=Y","Sort=A","Dates=H","DateFormat=P","Fill=—","Direction=H","UseDPDF=Y")</f>
        <v>#NAME?</v>
      </c>
      <c r="BM107" s="2" t="e">
        <f ca="1">_xll.BDH($C$103,"INVENTORY_SEQUENTIAL_GROWTH","FQ4 2014","FQ4 2014","Currency=INR","Period=FQ","BEST_FPERIOD_OVERRIDE=FQ","FILING_STATUS=OR","EQY_CONSOLIDATED=Y","Sort=A","Dates=H","DateFormat=P","Fill=—","Direction=H","UseDPDF=Y")</f>
        <v>#NAME?</v>
      </c>
      <c r="BN107" s="2" t="e">
        <f ca="1">_xll.BDH($C$103,"FIXED_ASSETS_SEQUENTIAL_GROWTH","FQ4 2014","FQ4 2014","Currency=INR","Period=FQ","BEST_FPERIOD_OVERRIDE=FQ","FILING_STATUS=OR","EQY_CONSOLIDATED=Y","Sort=A","Dates=H","DateFormat=P","Fill=—","Direction=H","UseDPDF=Y")</f>
        <v>#NAME?</v>
      </c>
      <c r="BO107" s="2" t="e">
        <f ca="1">_xll.BDH($C$103,"TOTAL_ASSETS_SEQUENTIAL_GROWTH","FQ4 2014","FQ4 2014","Currency=INR","Period=FQ","BEST_FPERIOD_OVERRIDE=FQ","FILING_STATUS=OR","EQY_CONSOLIDATED=Y","Sort=A","Dates=H","DateFormat=P","Fill=—","Direction=H","UseDPDF=Y")</f>
        <v>#NAME?</v>
      </c>
      <c r="BP107" s="2" t="e">
        <f ca="1">_xll.BDH($C$103,"MODIFIED_WORKING_CPTL_SEQ_GRWTH","FQ4 2014","FQ4 2014","Currency=INR","Period=FQ","BEST_FPERIOD_OVERRIDE=FQ","FILING_STATUS=OR","EQY_CONSOLIDATED=Y","Sort=A","Dates=H","DateFormat=P","Fill=—","Direction=H","UseDPDF=Y")</f>
        <v>#NAME?</v>
      </c>
      <c r="BQ107" s="2" t="e">
        <f ca="1">_xll.BDH($C$103,"WORKING_CAPITAL_SEQ_GROWTH","FQ4 2014","FQ4 2014","Currency=INR","Period=FQ","BEST_FPERIOD_OVERRIDE=FQ","FILING_STATUS=OR","EQY_CONSOLIDATED=Y","Sort=A","Dates=H","DateFormat=P","Fill=—","Direction=H","UseDPDF=Y")</f>
        <v>#NAME?</v>
      </c>
      <c r="BR107" s="2" t="e">
        <f ca="1">_xll.BDH($C$103,"ACCOUNTS_PAYABLE_SEQ_GROWTH","FQ4 2014","FQ4 2014","Currency=INR","Period=FQ","BEST_FPERIOD_OVERRIDE=FQ","FILING_STATUS=OR","EQY_CONSOLIDATED=Y","Sort=A","Dates=H","DateFormat=P","Fill=—","Direction=H","UseDPDF=Y")</f>
        <v>#NAME?</v>
      </c>
      <c r="BS107" s="2" t="e">
        <f ca="1">_xll.BDH($C$103,"ST_DEBT_SEQUENTIAL_GROWTH","FQ4 2014","FQ4 2014","Currency=INR","Period=FQ","BEST_FPERIOD_OVERRIDE=FQ","FILING_STATUS=OR","EQY_CONSOLIDATED=Y","Sort=A","Dates=H","DateFormat=P","Fill=—","Direction=H","UseDPDF=Y")</f>
        <v>#NAME?</v>
      </c>
      <c r="BT107" s="2" t="e">
        <f ca="1">_xll.BDH($C$103,"TOTAL_DEBT_SEQUENTIAL_GROWTH","FQ4 2014","FQ4 2014","Currency=INR","Period=FQ","BEST_FPERIOD_OVERRIDE=FQ","FILING_STATUS=OR","EQY_CONSOLIDATED=Y","Sort=A","Dates=H","DateFormat=P","Fill=—","Direction=H","UseDPDF=Y")</f>
        <v>#NAME?</v>
      </c>
      <c r="BU107" s="2" t="e">
        <f ca="1">_xll.BDH($C$103,"TOTAL_EQUITY_SEQUENTIAL_GROWTH","FQ4 2014","FQ4 2014","Currency=INR","Period=FQ","BEST_FPERIOD_OVERRIDE=FQ","FILING_STATUS=OR","EQY_CONSOLIDATED=Y","Sort=A","Dates=H","DateFormat=P","Fill=—","Direction=H","UseDPDF=Y")</f>
        <v>#NAME?</v>
      </c>
      <c r="BV107" s="2" t="e">
        <f ca="1">_xll.BDH($C$103,"TOTAL_CAPITAL_SEQUENTIAL_GROWTH","FQ4 2014","FQ4 2014","Currency=INR","Period=FQ","BEST_FPERIOD_OVERRIDE=FQ","FILING_STATUS=OR","EQY_CONSOLIDATED=Y","Sort=A","Dates=H","DateFormat=P","Fill=—","Direction=H","UseDPDF=Y")</f>
        <v>#NAME?</v>
      </c>
      <c r="BW107" s="2" t="e">
        <f ca="1">_xll.BDH($C$103,"BPS_SEQUENTIAL_GROWTH","FQ4 2014","FQ4 2014","Currency=INR","Period=FQ","BEST_FPERIOD_OVERRIDE=FQ","FILING_STATUS=OR","EQY_CONSOLIDATED=Y","Sort=A","Dates=H","DateFormat=P","Fill=—","Direction=H","UseDPDF=Y")</f>
        <v>#NAME?</v>
      </c>
      <c r="BX107" s="2" t="e">
        <f ca="1">_xll.BDH($C$103,"CFO_SEQUENTIAL_GROWTH","FQ4 2014","FQ4 2014","Currency=INR","Period=FQ","BEST_FPERIOD_OVERRIDE=FQ","FILING_STATUS=OR","EQY_CONSOLIDATED=Y","Sort=A","Dates=H","DateFormat=P","Fill=—","Direction=H","UseDPDF=Y")</f>
        <v>#NAME?</v>
      </c>
      <c r="BY107" s="3" t="e">
        <f ca="1">_xll.BDH($C$103,"SHORT_AND_LONG_TERM_DEBT","FQ4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107" s="3" t="e">
        <f ca="1">_xll.BDH($C$103,"BS_ST_BORROW","FQ4 2014","FQ4 2014","Currency=INR","Period=FQ","BEST_FPERIOD_OVERRIDE=FQ","FILING_STATUS=OR","EQY_CONSOLIDATED=Y","SCALING_FORMAT=MLN","Sort=A","Dates=H","DateFormat=P","Fill=—","Direction=H","UseDPDF=Y")</f>
        <v>#NAME?</v>
      </c>
      <c r="CA107" s="3" t="e">
        <f ca="1">_xll.BDH($C$103,"BS_LT_BORROW","FQ4 2014","FQ4 2014","Currency=INR","Period=FQ","BEST_FPERIOD_OVERRIDE=FQ","FILING_STATUS=OR","EQY_CONSOLIDATED=Y","SCALING_FORMAT=MLN","Sort=A","Dates=H","DateFormat=P","Fill=—","Direction=H","UseDPDF=Y")</f>
        <v>#NAME?</v>
      </c>
      <c r="CB107" s="2" t="e">
        <f ca="1">_xll.BDH($C$103,"TOT_DEBT_TO_EBITDA","FQ4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107" s="2" t="e">
        <f ca="1">_xll.BDH($C$103,"NET_DEBT_TO_EBITDA","FQ4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107" s="2" t="e">
        <f ca="1">_xll.BDH($C$103,"TOTAL_DEBT_TO_EBIT","FQ4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107" s="2" t="e">
        <f ca="1">_xll.BDH($C$103,"NET_DEBT_TO_EBIT","FQ4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107" s="2" t="e">
        <f ca="1">_xll.BDH($C$103,"EBITDA_TO_INTEREST_EXPN","FQ4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107" s="2" t="e">
        <f ca="1">_xll.BDH($C$103,"COM_EQY_TO_TOT_ASSET","FQ4 2014","FQ4 2014","Currency=INR","Period=FQ","BEST_FPERIOD_OVERRIDE=FQ","FILING_STATUS=OR","EQY_CONSOLIDATED=Y","Sort=A","Dates=H","DateFormat=P","Fill=—","Direction=H","UseDPDF=Y")</f>
        <v>#NAME?</v>
      </c>
      <c r="CH107" s="2" t="e">
        <f ca="1">_xll.BDH($C$103,"LT_DEBT_TO_TOT_EQY","FQ4 2014","FQ4 2014","Currency=INR","Period=FQ","BEST_FPERIOD_OVERRIDE=FQ","FILING_STATUS=OR","EQY_CONSOLIDATED=Y","Sort=A","Dates=H","DateFormat=P","Fill=—","Direction=H","UseDPDF=Y")</f>
        <v>#NAME?</v>
      </c>
      <c r="CI107" s="2" t="e">
        <f ca="1">_xll.BDH($C$103,"LT_DEBT_TO_TOT_CAP","FQ4 2014","FQ4 2014","Currency=INR","Period=FQ","BEST_FPERIOD_OVERRIDE=FQ","FILING_STATUS=OR","EQY_CONSOLIDATED=Y","Sort=A","Dates=H","DateFormat=P","Fill=—","Direction=H","UseDPDF=Y")</f>
        <v>#NAME?</v>
      </c>
      <c r="CJ107" s="2" t="e">
        <f ca="1">_xll.BDH($C$103,"LT_DEBT_TO_TOT_ASSET","FQ4 2014","FQ4 2014","Currency=INR","Period=FQ","BEST_FPERIOD_OVERRIDE=FQ","FILING_STATUS=OR","EQY_CONSOLIDATED=Y","Sort=A","Dates=H","DateFormat=P","Fill=—","Direction=H","UseDPDF=Y")</f>
        <v>#NAME?</v>
      </c>
      <c r="CK107" s="2" t="e">
        <f ca="1">_xll.BDH($C$103,"TOT_DEBT_TO_TOT_EQY","FQ4 2014","FQ4 2014","Currency=INR","Period=FQ","BEST_FPERIOD_OVERRIDE=FQ","FILING_STATUS=OR","EQY_CONSOLIDATED=Y","Sort=A","Dates=H","DateFormat=P","Fill=—","Direction=H","UseDPDF=Y")</f>
        <v>#NAME?</v>
      </c>
      <c r="CL107" s="2" t="e">
        <f ca="1">_xll.BDH($C$103,"TOT_DEBT_TO_TOT_CAP","FQ4 2014","FQ4 2014","Currency=INR","Period=FQ","BEST_FPERIOD_OVERRIDE=FQ","FILING_STATUS=OR","EQY_CONSOLIDATED=Y","Sort=A","Dates=H","DateFormat=P","Fill=—","Direction=H","UseDPDF=Y")</f>
        <v>#NAME?</v>
      </c>
      <c r="CM107" s="2" t="e">
        <f ca="1">_xll.BDH($C$103,"TOT_DEBT_TO_TOT_ASSET","FQ4 2014","FQ4 2014","Currency=INR","Period=FQ","BEST_FPERIOD_OVERRIDE=FQ","FILING_STATUS=OR","EQY_CONSOLIDATED=Y","Sort=A","Dates=H","DateFormat=P","Fill=—","Direction=H","UseDPDF=Y")</f>
        <v>#NAME?</v>
      </c>
      <c r="CN107" s="2" t="e">
        <f ca="1">_xll.BDH($C$103,"NET_DEBT_TO_SHRHLDR_EQTY","FQ4 2014","FQ4 2014","Currency=INR","Period=FQ","BEST_FPERIOD_OVERRIDE=FQ","FILING_STATUS=OR","EQY_CONSOLIDATED=Y","Sort=A","Dates=H","DateFormat=P","Fill=—","Direction=H","UseDPDF=Y")</f>
        <v>#NAME?</v>
      </c>
      <c r="CO107" s="2" t="e">
        <f ca="1">_xll.BDH($C$103,"NET_DEBT_%_CAPITAL","FQ4 2014","FQ4 2014","Currency=INR","Period=FQ","BEST_FPERIOD_OVERRIDE=FQ","FILING_STATUS=OR","EQY_CONSOLIDATED=Y","Sort=A","Dates=H","DateFormat=P","Fill=—","Direction=H","UseDPDF=Y")</f>
        <v>#NAME?</v>
      </c>
      <c r="CP107" s="3" t="e">
        <f ca="1">_xll.BDH($C$103,"EBITDA","FQ4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107" s="3" t="e">
        <f ca="1">_xll.BDH($C$103,"EBITDA_AFTER_CAPEX","FQ4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107" s="3" t="e">
        <f ca="1">_xll.BDH($C$103,"IS_OPER_INC","FQ4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107" s="2" t="e">
        <f ca="1">_xll.BDH($C$103,"CASH_RATIO","FQ4 2014","FQ4 2014","Currency=INR","Period=FQ","BEST_FPERIOD_OVERRIDE=FQ","FILING_STATUS=OR","EQY_CONSOLIDATED=Y","Sort=A","Dates=H","DateFormat=P","Fill=—","Direction=H","UseDPDF=Y")</f>
        <v>#NAME?</v>
      </c>
      <c r="CT107" s="2" t="e">
        <f ca="1">_xll.BDH($C$103,"CUR_RATIO","FQ4 2014","FQ4 2014","Currency=INR","Period=FQ","BEST_FPERIOD_OVERRIDE=FQ","FILING_STATUS=OR","EQY_CONSOLIDATED=Y","Sort=A","Dates=H","DateFormat=P","Fill=—","Direction=H","UseDPDF=Y")</f>
        <v>#NAME?</v>
      </c>
      <c r="CU107" s="2" t="e">
        <f ca="1">_xll.BDH($C$103,"QUICK_RATIO","FQ4 2014","FQ4 2014","Currency=INR","Period=FQ","BEST_FPERIOD_OVERRIDE=FQ","FILING_STATUS=OR","EQY_CONSOLIDATED=Y","Sort=A","Dates=H","DateFormat=P","Fill=—","Direction=H","UseDPDF=Y")</f>
        <v>#NAME?</v>
      </c>
      <c r="CV107" s="2" t="e">
        <f ca="1">_xll.BDH($C$103,"ALTMAN_Z_SCORE","FQ4 2014","FQ4 2014","Currency=INR","Period=FQ","BEST_FPERIOD_OVERRIDE=FQ","FILING_STATUS=OR","EQY_CONSOLIDATED=Y","Sort=A","Dates=H","DateFormat=P","Fill=—","Direction=H","UseDPDF=Y")</f>
        <v>#NAME?</v>
      </c>
      <c r="CW107" s="4" t="e">
        <f ca="1">_xll.BDH($C$103,"ACCT_RCV_TURN","FQ4 2014","FQ4 2014","Currency=INR","Period=FQ","BEST_FPERIOD_OVERRIDE=FQ","FILING_STATUS=OR","EQY_CONSOLIDATED=Y","FA_ADJUSTED=GAAP","Sort=A","Dates=H","DateFormat=P","Fill=—","Direction=H","UseDPDF=Y")</f>
        <v>#NAME?</v>
      </c>
      <c r="CX107" s="2" t="e">
        <f ca="1">_xll.BDH($C$103,"ACCT_RCV_DAYS","FQ4 2014","FQ4 2014","Currency=INR","Period=FQ","BEST_FPERIOD_OVERRIDE=FQ","FILING_STATUS=OR","EQY_CONSOLIDATED=Y","FA_ADJUSTED=GAAP","Sort=A","Dates=H","DateFormat=P","Fill=—","Direction=H","UseDPDF=Y")</f>
        <v>#NAME?</v>
      </c>
      <c r="CY107" s="4" t="e">
        <f ca="1">_xll.BDH($C$103,"INVENT_TURN","FQ4 2014","FQ4 2014","Currency=INR","Period=FQ","BEST_FPERIOD_OVERRIDE=FQ","FILING_STATUS=OR","EQY_CONSOLIDATED=Y","FA_ADJUSTED=GAAP","Sort=A","Dates=H","DateFormat=P","Fill=—","Direction=H","UseDPDF=Y")</f>
        <v>#NAME?</v>
      </c>
      <c r="CZ107" s="2" t="e">
        <f ca="1">_xll.BDH($C$103,"INVENT_DAYS","FQ4 2014","FQ4 2014","Currency=INR","Period=FQ","BEST_FPERIOD_OVERRIDE=FQ","FILING_STATUS=OR","EQY_CONSOLIDATED=Y","FA_ADJUSTED=GAAP","Sort=A","Dates=H","DateFormat=P","Fill=—","Direction=H","UseDPDF=Y")</f>
        <v>#NAME?</v>
      </c>
      <c r="DA107" s="4" t="e">
        <f ca="1">_xll.BDH($C$103,"ACCOUNTS_PAYABLE_TURNOVER","FQ4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107" s="2" t="e">
        <f ca="1">_xll.BDH($C$103,"ACCOUNTS_PAYABLE_TURNOVER_DAYS","FQ4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107" s="4" t="e">
        <f ca="1">_xll.BDH($C$103,"CASH_CONVERSION_CYCLE","FQ4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107" s="4" t="e">
        <f ca="1">_xll.BDH($C$103,"INV_TO_CASH_DAYS","FQ4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107" s="5" t="e">
        <f ca="1">_xll.BDH($C$103,"BS_INVENTORIES","FQ4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107" s="3" t="e">
        <f ca="1">_xll.BDH($C$103,"INVTRY_RAW_MATERIALS","FQ4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107" s="3" t="e">
        <f ca="1">_xll.BDH($C$103,"INVTRY_IN_PROGRESS","FQ4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107" s="3" t="e">
        <f ca="1">_xll.BDH($C$103,"INVTRY_FINISHED_GOODS","FQ4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107" s="3" t="e">
        <f ca="1">_xll.BDH($C$103,"BS_OTHER_INV","FQ4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108" spans="1:113" x14ac:dyDescent="0.3">
      <c r="A108" s="6"/>
      <c r="B108" s="6"/>
      <c r="C108" s="6"/>
      <c r="D108" s="6" t="s">
        <v>82</v>
      </c>
      <c r="E108" t="s">
        <v>77</v>
      </c>
      <c r="F108" t="e">
        <f ca="1">_xll.BDH($C$103,"RETURN_COM_EQY","FY 2015","FY 2015","Currency=INR","Period=FY","BEST_FPERIOD_OVERRIDE=FY","FILING_STATUS=OR","EQY_CONSOLIDATED=Y","FA_ADJUSTED=GAAP","Sort=A","Dates=H","DateFormat=P","Fill=—","Direction=H","UseDPDF=Y")</f>
        <v>#NAME?</v>
      </c>
      <c r="G108" t="e">
        <f ca="1">_xll.BDH($C$103,"RETURN_ON_ASSET","FY 2015","FY 2015","Currency=INR","Period=FY","BEST_FPERIOD_OVERRIDE=FY","FILING_STATUS=OR","EQY_CONSOLIDATED=Y","FA_ADJUSTED=GAAP","Sort=A","Dates=H","DateFormat=P","Fill=—","Direction=H","UseDPDF=Y")</f>
        <v>#NAME?</v>
      </c>
      <c r="H108" t="e">
        <f ca="1">_xll.BDH($C$103,"RETURN_ON_CAP","FY 2015","FY 2015","Currency=INR","Period=FY","BEST_FPERIOD_OVERRIDE=FY","FILING_STATUS=OR","EQY_CONSOLIDATED=Y","FA_ADJUSTED=GAAP","Sort=A","Dates=H","DateFormat=P","Fill=—","Direction=H","UseDPDF=Y")</f>
        <v>#NAME?</v>
      </c>
      <c r="I108" t="e">
        <f ca="1">_xll.BDH($C$103,"RETURN_ON_INV_CAPITAL","FY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108" t="e">
        <f ca="1">_xll.BDH($C$103,"EBITDA_TO_REVENUE","FY 2015","FY 2015","Currency=INR","Period=FY","BEST_FPERIOD_OVERRIDE=FY","FILING_STATUS=OR","EQY_CONSOLIDATED=Y","FA_ADJUSTED=GAAP","Sort=A","Dates=H","DateFormat=P","Fill=—","Direction=H","UseDPDF=Y")</f>
        <v>#NAME?</v>
      </c>
      <c r="K108" t="e">
        <f ca="1">_xll.BDH($C$103,"OPER_MARGIN","FY 2015","FY 2015","Currency=INR","Period=FY","BEST_FPERIOD_OVERRIDE=FY","FILING_STATUS=OR","EQY_CONSOLIDATED=Y","FA_ADJUSTED=GAAP","Sort=A","Dates=H","DateFormat=P","Fill=—","Direction=H","UseDPDF=Y")</f>
        <v>#NAME?</v>
      </c>
      <c r="L108" t="e">
        <f ca="1">_xll.BDH($C$103,"INCREMENTAL_OPERATING_MARGIN","FY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108" t="e">
        <f ca="1">_xll.BDH($C$103,"PRETAX_INC_TO_NET_SALES","FY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108" t="e">
        <f ca="1">_xll.BDH($C$103,"INC_BEF_XO_ITEMS_TO_NET_SALES","FY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108" t="e">
        <f ca="1">_xll.BDH($C$103,"PROF_MARGIN","FY 2015","FY 2015","Currency=INR","Period=FY","BEST_FPERIOD_OVERRIDE=FY","FILING_STATUS=OR","EQY_CONSOLIDATED=Y","FA_ADJUSTED=GAAP","Sort=A","Dates=H","DateFormat=P","Fill=—","Direction=H","UseDPDF=Y")</f>
        <v>#NAME?</v>
      </c>
      <c r="P108" t="e">
        <f ca="1">_xll.BDH($C$103,"NET_INCOME_TO_COMMON_MARGIN","FY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108" t="e">
        <f ca="1">_xll.BDH($C$103,"EFF_TAX_RATE","FY 2015","FY 2015","Currency=INR","Period=FY","BEST_FPERIOD_OVERRIDE=FY","FILING_STATUS=OR","EQY_CONSOLIDATED=Y","FA_ADJUSTED=GAAP","Sort=A","Dates=H","DateFormat=P","Fill=—","Direction=H","UseDPDF=Y")</f>
        <v>#NAME?</v>
      </c>
      <c r="R108" t="e">
        <f ca="1">_xll.BDH($C$103,"DVD_PAYOUT_RATIO","FY 2015","FY 2015","Currency=INR","Period=FY","BEST_FPERIOD_OVERRIDE=FY","FILING_STATUS=OR","EQY_CONSOLIDATED=Y","FA_ADJUSTED=GAAP","Sort=A","Dates=H","DateFormat=P","Fill=—","Direction=H","UseDPDF=Y")</f>
        <v>#NAME?</v>
      </c>
      <c r="S108" t="e">
        <f ca="1">_xll.BDH($C$103,"SUSTAIN_GROWTH_RT","FY 2015","FY 2015","Currency=INR","Period=FY","BEST_FPERIOD_OVERRIDE=FY","FILING_STATUS=OR","EQY_CONSOLIDATED=Y","FA_ADJUSTED=GAAP","Sort=A","Dates=H","DateFormat=P","Fill=—","Direction=H","UseDPDF=Y")</f>
        <v>#NAME?</v>
      </c>
      <c r="T108" s="2" t="e">
        <f ca="1">_xll.BDH($C$103,"SALES_GROWTH","FY 2015","FY 2015","Currency=INR","Period=FY","BEST_FPERIOD_OVERRIDE=FY","FILING_STATUS=OR","EQY_CONSOLIDATED=Y","FA_ADJUSTED=GAAP","Sort=A","Dates=H","DateFormat=P","Fill=—","Direction=H","UseDPDF=Y")</f>
        <v>#NAME?</v>
      </c>
      <c r="U108" s="2" t="e">
        <f ca="1">_xll.BDH($C$103,"EBITDA_GROWTH","FY 2015","FY 2015","Currency=INR","Period=FY","BEST_FPERIOD_OVERRIDE=FY","FILING_STATUS=OR","EQY_CONSOLIDATED=Y","FA_ADJUSTED=GAAP","Sort=A","Dates=H","DateFormat=P","Fill=—","Direction=H","UseDPDF=Y")</f>
        <v>#NAME?</v>
      </c>
      <c r="V108" s="2" t="e">
        <f ca="1">_xll.BDH($C$103,"OPER_INC_GROWTH","FY 2015","FY 2015","Currency=INR","Period=FY","BEST_FPERIOD_OVERRIDE=FY","FILING_STATUS=OR","EQY_CONSOLIDATED=Y","FA_ADJUSTED=GAAP","Sort=A","Dates=H","DateFormat=P","Fill=—","Direction=H","UseDPDF=Y")</f>
        <v>#NAME?</v>
      </c>
      <c r="W108" s="2" t="e">
        <f ca="1">_xll.BDH($C$103,"EARN_FOR_COM_GROWTH","FY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108" s="2" t="e">
        <f ca="1">_xll.BDH($C$103,"DILUTED_EPS_AFT_XO_ITEMS_GROWTH","FY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108" s="2" t="e">
        <f ca="1">_xll.BDH($C$103,"DIVIDEND_PER_SHARE_1_YEAR_GROWTH","FY 2015","FY 2015","Currency=INR","Period=FY","BEST_FPERIOD_OVERRIDE=FY","FILING_STATUS=OR","EQY_CONSOLIDATED=Y","Sort=A","Dates=H","DateFormat=P","Fill=—","Direction=H","UseDPDF=Y")</f>
        <v>#NAME?</v>
      </c>
      <c r="Z108" s="2" t="e">
        <f ca="1">_xll.BDH($C$103,"ACCOUNTS_RECEIVABLE_GROWTH","FY 2015","FY 2015","Currency=INR","Period=FY","BEST_FPERIOD_OVERRIDE=FY","FILING_STATUS=OR","EQY_CONSOLIDATED=Y","Sort=A","Dates=H","DateFormat=P","Fill=—","Direction=H","UseDPDF=Y")</f>
        <v>#NAME?</v>
      </c>
      <c r="AA108" s="2" t="e">
        <f ca="1">_xll.BDH($C$103,"INVENTORY_GROWTH","FY 2015","FY 2015","Currency=INR","Period=FY","BEST_FPERIOD_OVERRIDE=FY","FILING_STATUS=OR","EQY_CONSOLIDATED=Y","Sort=A","Dates=H","DateFormat=P","Fill=—","Direction=H","UseDPDF=Y")</f>
        <v>#NAME?</v>
      </c>
      <c r="AB108" s="2" t="e">
        <f ca="1">_xll.BDH($C$103,"NET_FIXED_ASSETS_1_YEAR_GROWTH","FY 2015","FY 2015","Currency=INR","Period=FY","BEST_FPERIOD_OVERRIDE=FY","FILING_STATUS=OR","EQY_CONSOLIDATED=Y","Sort=A","Dates=H","DateFormat=P","Fill=—","Direction=H","UseDPDF=Y")</f>
        <v>#NAME?</v>
      </c>
      <c r="AC108" s="2" t="e">
        <f ca="1">_xll.BDH($C$103,"ASSET_GROWTH","FY 2015","FY 2015","Currency=INR","Period=FY","BEST_FPERIOD_OVERRIDE=FY","FILING_STATUS=OR","EQY_CONSOLIDATED=Y","Sort=A","Dates=H","DateFormat=P","Fill=—","Direction=H","UseDPDF=Y")</f>
        <v>#NAME?</v>
      </c>
      <c r="AD108" s="2" t="e">
        <f ca="1">_xll.BDH($C$103,"MODIFIED_WORK_CAP_GROWTH","FY 2015","FY 2015","Currency=INR","Period=FY","BEST_FPERIOD_OVERRIDE=FY","FILING_STATUS=OR","EQY_CONSOLIDATED=Y","Sort=A","Dates=H","DateFormat=P","Fill=—","Direction=H","UseDPDF=Y")</f>
        <v>#NAME?</v>
      </c>
      <c r="AE108" s="2" t="e">
        <f ca="1">_xll.BDH($C$103,"WORK_CAP_GROWTH","FY 2015","FY 2015","Currency=INR","Period=FY","BEST_FPERIOD_OVERRIDE=FY","FILING_STATUS=OR","EQY_CONSOLIDATED=Y","Sort=A","Dates=H","DateFormat=P","Fill=—","Direction=H","UseDPDF=Y")</f>
        <v>#NAME?</v>
      </c>
      <c r="AF108" s="2" t="e">
        <f ca="1">_xll.BDH($C$103,"ACCOUNTS_PAYABLE_GROWTH_1YR","FY 2015","FY 2015","Currency=INR","Period=FY","BEST_FPERIOD_OVERRIDE=FY","FILING_STATUS=OR","EQY_CONSOLIDATED=Y","Sort=A","Dates=H","DateFormat=P","Fill=—","Direction=H","UseDPDF=Y")</f>
        <v>#NAME?</v>
      </c>
      <c r="AG108" s="2" t="e">
        <f ca="1">_xll.BDH($C$103,"SHORT_TERM_DEBT_1_YEAR_GROWTH","FY 2015","FY 2015","Currency=INR","Period=FY","BEST_FPERIOD_OVERRIDE=FY","FILING_STATUS=OR","EQY_CONSOLIDATED=Y","Sort=A","Dates=H","DateFormat=P","Fill=—","Direction=H","UseDPDF=Y")</f>
        <v>#NAME?</v>
      </c>
      <c r="AH108" s="2" t="e">
        <f ca="1">_xll.BDH($C$103,"TOTAL_DEBT_1_YEAR_GROWTH","FY 2015","FY 2015","Currency=INR","Period=FY","BEST_FPERIOD_OVERRIDE=FY","FILING_STATUS=OR","EQY_CONSOLIDATED=Y","Sort=A","Dates=H","DateFormat=P","Fill=—","Direction=H","UseDPDF=Y")</f>
        <v>#NAME?</v>
      </c>
      <c r="AI108" s="2" t="e">
        <f ca="1">_xll.BDH($C$103,"TOTAL_EQUITY_1_YEAR_GROWTH","FY 2015","FY 2015","Currency=INR","Period=FY","BEST_FPERIOD_OVERRIDE=FY","FILING_STATUS=OR","EQY_CONSOLIDATED=Y","Sort=A","Dates=H","DateFormat=P","Fill=—","Direction=H","UseDPDF=Y")</f>
        <v>#NAME?</v>
      </c>
      <c r="AJ108" s="2" t="e">
        <f ca="1">_xll.BDH($C$103,"GROWTH_IN_CAP","FY 2015","FY 2015","Currency=INR","Period=FY","BEST_FPERIOD_OVERRIDE=FY","FILING_STATUS=OR","EQY_CONSOLIDATED=Y","Sort=A","Dates=H","DateFormat=P","Fill=—","Direction=H","UseDPDF=Y")</f>
        <v>#NAME?</v>
      </c>
      <c r="AK108" s="2" t="e">
        <f ca="1">_xll.BDH($C$103,"BVPS_GROWTH","FY 2015","FY 2015","Currency=INR","Period=FY","BEST_FPERIOD_OVERRIDE=FY","FILING_STATUS=OR","EQY_CONSOLIDATED=Y","Sort=A","Dates=H","DateFormat=P","Fill=—","Direction=H","UseDPDF=Y")</f>
        <v>#NAME?</v>
      </c>
      <c r="AL108" s="2" t="e">
        <f ca="1">_xll.BDH($C$103,"CASH_FLOW_GROWTH","FY 2015","FY 2015","Currency=INR","Period=FY","BEST_FPERIOD_OVERRIDE=FY","FILING_STATUS=OR","EQY_CONSOLIDATED=Y","Sort=A","Dates=H","DateFormat=P","Fill=—","Direction=H","UseDPDF=Y")</f>
        <v>#NAME?</v>
      </c>
      <c r="AM108" s="2" t="e">
        <f ca="1">_xll.BDH($C$103,"GEO_GROW_NET_SALES","FY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108" s="2" t="e">
        <f ca="1">_xll.BDH($C$103,"GEO_GROW_EBITDA","FY 2015","FY 2015","Currency=INR","Period=FY","BEST_FPERIOD_OVERRIDE=FY","FILING_STATUS=OR","EQY_CONSOLIDATED=Y","FA_ADJUSTED=GAAP","Sort=A","Dates=H","DateFormat=P","Fill=—","Direction=H","UseDPDF=Y")</f>
        <v>#NAME?</v>
      </c>
      <c r="AO108" s="2" t="e">
        <f ca="1">_xll.BDH($C$103,"GEO_GROW_OPER_INC","FY 2015","FY 2015","Currency=INR","Period=FY","BEST_FPERIOD_OVERRIDE=FY","FILING_STATUS=OR","EQY_CONSOLIDATED=Y","FA_ADJUSTED=GAAP","Sort=A","Dates=H","DateFormat=P","Fill=—","Direction=H","UseDPDF=Y")</f>
        <v>#NAME?</v>
      </c>
      <c r="AP108" s="2" t="e">
        <f ca="1">_xll.BDH($C$103,"NET_INCOME_TO_COMMON_5_YR_GROWTH","FY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108" s="2" t="e">
        <f ca="1">_xll.BDH($C$103,"5Y_GEO_GROWTH_DILUTED_EPS","FY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108" s="2" t="e">
        <f ca="1">_xll.BDH($C$103,"GEO_GROW_DVD_PER_SH","FY 2015","FY 2015","Currency=INR","Period=FY","BEST_FPERIOD_OVERRIDE=FY","FILING_STATUS=OR","EQY_CONSOLIDATED=Y","Sort=A","Dates=H","DateFormat=P","Fill=—","Direction=H","UseDPDF=Y")</f>
        <v>#NAME?</v>
      </c>
      <c r="AS108" s="2" t="e">
        <f ca="1">_xll.BDH($C$103,"ACCOUNTS_RECEIVABLE_5_YR_GROWTH","FY 2015","FY 2015","Currency=INR","Period=FY","BEST_FPERIOD_OVERRIDE=FY","FILING_STATUS=OR","EQY_CONSOLIDATED=Y","Sort=A","Dates=H","DateFormat=P","Fill=—","Direction=H","UseDPDF=Y")</f>
        <v>#NAME?</v>
      </c>
      <c r="AT108" s="2" t="e">
        <f ca="1">_xll.BDH($C$103,"INVENTORY_5_YEAR_GROWTH","FY 2015","FY 2015","Currency=INR","Period=FY","BEST_FPERIOD_OVERRIDE=FY","FILING_STATUS=OR","EQY_CONSOLIDATED=Y","Sort=A","Dates=H","DateFormat=P","Fill=—","Direction=H","UseDPDF=Y")</f>
        <v>#NAME?</v>
      </c>
      <c r="AU108" s="2" t="e">
        <f ca="1">_xll.BDH($C$103,"NET_FIXED_ASSETS_5_YEAR_GROWTH","FY 2015","FY 2015","Currency=INR","Period=FY","BEST_FPERIOD_OVERRIDE=FY","FILING_STATUS=OR","EQY_CONSOLIDATED=Y","Sort=A","Dates=H","DateFormat=P","Fill=—","Direction=H","UseDPDF=Y")</f>
        <v>#NAME?</v>
      </c>
      <c r="AV108" s="2" t="e">
        <f ca="1">_xll.BDH($C$103,"GEO_GROW_TOT_ASSET","FY 2015","FY 2015","Currency=INR","Period=FY","BEST_FPERIOD_OVERRIDE=FY","FILING_STATUS=OR","EQY_CONSOLIDATED=Y","Sort=A","Dates=H","DateFormat=P","Fill=—","Direction=H","UseDPDF=Y")</f>
        <v>#NAME?</v>
      </c>
      <c r="AW108" s="2" t="e">
        <f ca="1">_xll.BDH($C$103,"MODIFIED_WORKING_CPTL_5YR_GRWTH","FY 2015","FY 2015","Currency=INR","Period=FY","BEST_FPERIOD_OVERRIDE=FY","FILING_STATUS=OR","EQY_CONSOLIDATED=Y","Sort=A","Dates=H","DateFormat=P","Fill=—","Direction=H","UseDPDF=Y")</f>
        <v>#NAME?</v>
      </c>
      <c r="AX108" s="2" t="e">
        <f ca="1">_xll.BDH($C$103,"WORKING_CAPITAL_5_YEAR_GROWTH","FY 2015","FY 2015","Currency=INR","Period=FY","BEST_FPERIOD_OVERRIDE=FY","FILING_STATUS=OR","EQY_CONSOLIDATED=Y","Sort=A","Dates=H","DateFormat=P","Fill=—","Direction=H","UseDPDF=Y")</f>
        <v>#NAME?</v>
      </c>
      <c r="AY108" s="2" t="e">
        <f ca="1">_xll.BDH($C$103,"ACCOUNTS_PAYABLE_5_YEAR_GROWTH","FY 2015","FY 2015","Currency=INR","Period=FY","BEST_FPERIOD_OVERRIDE=FY","FILING_STATUS=OR","EQY_CONSOLIDATED=Y","Sort=A","Dates=H","DateFormat=P","Fill=—","Direction=H","UseDPDF=Y")</f>
        <v>#NAME?</v>
      </c>
      <c r="AZ108" s="2" t="e">
        <f ca="1">_xll.BDH($C$103,"SHORT_TERM_DEBT_5_YEAR_GROWTH","FY 2015","FY 2015","Currency=INR","Period=FY","BEST_FPERIOD_OVERRIDE=FY","FILING_STATUS=OR","EQY_CONSOLIDATED=Y","Sort=A","Dates=H","DateFormat=P","Fill=—","Direction=H","UseDPDF=Y")</f>
        <v>#NAME?</v>
      </c>
      <c r="BA108" s="2" t="e">
        <f ca="1">_xll.BDH($C$103,"TOTAL_DEBT_5_YEAR_GROWTH","FY 2015","FY 2015","Currency=INR","Period=FY","BEST_FPERIOD_OVERRIDE=FY","FILING_STATUS=OR","EQY_CONSOLIDATED=Y","Sort=A","Dates=H","DateFormat=P","Fill=—","Direction=H","UseDPDF=Y")</f>
        <v>#NAME?</v>
      </c>
      <c r="BB108" s="2" t="e">
        <f ca="1">_xll.BDH($C$103,"GEO_GROW_TOT_SHRHLDR_EQY","FY 2015","FY 2015","Currency=INR","Period=FY","BEST_FPERIOD_OVERRIDE=FY","FILING_STATUS=OR","EQY_CONSOLIDATED=Y","Sort=A","Dates=H","DateFormat=P","Fill=—","Direction=H","UseDPDF=Y")</f>
        <v>#NAME?</v>
      </c>
      <c r="BC108" s="2" t="e">
        <f ca="1">_xll.BDH($C$103,"TOTAL_CAPITAL_5_YEAR_GROWTH","FY 2015","FY 2015","Currency=INR","Period=FY","BEST_FPERIOD_OVERRIDE=FY","FILING_STATUS=OR","EQY_CONSOLIDATED=Y","Sort=A","Dates=H","DateFormat=P","Fill=—","Direction=H","UseDPDF=Y")</f>
        <v>#NAME?</v>
      </c>
      <c r="BD108" s="2" t="e">
        <f ca="1">_xll.BDH($C$103,"GEO_GROW_BOOK_VAL","FY 2015","FY 2015","Currency=INR","Period=FY","BEST_FPERIOD_OVERRIDE=FY","FILING_STATUS=OR","EQY_CONSOLIDATED=Y","Sort=A","Dates=H","DateFormat=P","Fill=—","Direction=H","UseDPDF=Y")</f>
        <v>#NAME?</v>
      </c>
      <c r="BE108" s="2" t="e">
        <f ca="1">_xll.BDH($C$103,"GEO_GROW_CASH_OPER_ACT","FY 2015","FY 2015","Currency=INR","Period=FY","BEST_FPERIOD_OVERRIDE=FY","FILING_STATUS=OR","EQY_CONSOLIDATED=Y","Sort=A","Dates=H","DateFormat=P","Fill=—","Direction=H","UseDPDF=Y")</f>
        <v>#NAME?</v>
      </c>
      <c r="BF108" s="2" t="e">
        <f ca="1">_xll.BDH($C$103,"REVENUE_SEQUENTIAL_GROWTH","FY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108" s="2" t="e">
        <f ca="1">_xll.BDH($C$103,"EBITDA_SEQUENTIAL_GROWTH","FY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108" s="2" t="e">
        <f ca="1">_xll.BDH($C$103,"OPERATING_INCOME_SEQ_GROWTH","FY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108" s="2" t="e">
        <f ca="1">_xll.BDH($C$103,"NET_INCOME_TO_COMMON_SEQ_GROWTH","FY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108" s="2" t="e">
        <f ca="1">_xll.BDH($C$103,"EPS_DILUTED_SEQUENTIAL_GROWTH","FY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108" s="2" t="e">
        <f ca="1">_xll.BDH($C$103,"DPS_SEQUENTIAL_GROWTH","FY 2015","FY 2015","Currency=INR","Period=FY","BEST_FPERIOD_OVERRIDE=FY","FILING_STATUS=OR","EQY_CONSOLIDATED=Y","Sort=A","Dates=H","DateFormat=P","Fill=—","Direction=H","UseDPDF=Y")</f>
        <v>#NAME?</v>
      </c>
      <c r="BL108" s="2" t="e">
        <f ca="1">_xll.BDH($C$103,"ACCOUNTS_RECEIVABLE_SEQ_GROWTH","FY 2015","FY 2015","Currency=INR","Period=FY","BEST_FPERIOD_OVERRIDE=FY","FILING_STATUS=OR","EQY_CONSOLIDATED=Y","Sort=A","Dates=H","DateFormat=P","Fill=—","Direction=H","UseDPDF=Y")</f>
        <v>#NAME?</v>
      </c>
      <c r="BM108" s="2" t="e">
        <f ca="1">_xll.BDH($C$103,"INVENTORY_SEQUENTIAL_GROWTH","FY 2015","FY 2015","Currency=INR","Period=FY","BEST_FPERIOD_OVERRIDE=FY","FILING_STATUS=OR","EQY_CONSOLIDATED=Y","Sort=A","Dates=H","DateFormat=P","Fill=—","Direction=H","UseDPDF=Y")</f>
        <v>#NAME?</v>
      </c>
      <c r="BN108" s="2" t="e">
        <f ca="1">_xll.BDH($C$103,"FIXED_ASSETS_SEQUENTIAL_GROWTH","FY 2015","FY 2015","Currency=INR","Period=FY","BEST_FPERIOD_OVERRIDE=FY","FILING_STATUS=OR","EQY_CONSOLIDATED=Y","Sort=A","Dates=H","DateFormat=P","Fill=—","Direction=H","UseDPDF=Y")</f>
        <v>#NAME?</v>
      </c>
      <c r="BO108" s="2" t="e">
        <f ca="1">_xll.BDH($C$103,"TOTAL_ASSETS_SEQUENTIAL_GROWTH","FY 2015","FY 2015","Currency=INR","Period=FY","BEST_FPERIOD_OVERRIDE=FY","FILING_STATUS=OR","EQY_CONSOLIDATED=Y","Sort=A","Dates=H","DateFormat=P","Fill=—","Direction=H","UseDPDF=Y")</f>
        <v>#NAME?</v>
      </c>
      <c r="BP108" s="2" t="e">
        <f ca="1">_xll.BDH($C$103,"MODIFIED_WORKING_CPTL_SEQ_GRWTH","FY 2015","FY 2015","Currency=INR","Period=FY","BEST_FPERIOD_OVERRIDE=FY","FILING_STATUS=OR","EQY_CONSOLIDATED=Y","Sort=A","Dates=H","DateFormat=P","Fill=—","Direction=H","UseDPDF=Y")</f>
        <v>#NAME?</v>
      </c>
      <c r="BQ108" s="2" t="e">
        <f ca="1">_xll.BDH($C$103,"WORKING_CAPITAL_SEQ_GROWTH","FY 2015","FY 2015","Currency=INR","Period=FY","BEST_FPERIOD_OVERRIDE=FY","FILING_STATUS=OR","EQY_CONSOLIDATED=Y","Sort=A","Dates=H","DateFormat=P","Fill=—","Direction=H","UseDPDF=Y")</f>
        <v>#NAME?</v>
      </c>
      <c r="BR108" s="2" t="e">
        <f ca="1">_xll.BDH($C$103,"ACCOUNTS_PAYABLE_SEQ_GROWTH","FY 2015","FY 2015","Currency=INR","Period=FY","BEST_FPERIOD_OVERRIDE=FY","FILING_STATUS=OR","EQY_CONSOLIDATED=Y","Sort=A","Dates=H","DateFormat=P","Fill=—","Direction=H","UseDPDF=Y")</f>
        <v>#NAME?</v>
      </c>
      <c r="BS108" s="2" t="e">
        <f ca="1">_xll.BDH($C$103,"ST_DEBT_SEQUENTIAL_GROWTH","FY 2015","FY 2015","Currency=INR","Period=FY","BEST_FPERIOD_OVERRIDE=FY","FILING_STATUS=OR","EQY_CONSOLIDATED=Y","Sort=A","Dates=H","DateFormat=P","Fill=—","Direction=H","UseDPDF=Y")</f>
        <v>#NAME?</v>
      </c>
      <c r="BT108" s="2" t="e">
        <f ca="1">_xll.BDH($C$103,"TOTAL_DEBT_SEQUENTIAL_GROWTH","FY 2015","FY 2015","Currency=INR","Period=FY","BEST_FPERIOD_OVERRIDE=FY","FILING_STATUS=OR","EQY_CONSOLIDATED=Y","Sort=A","Dates=H","DateFormat=P","Fill=—","Direction=H","UseDPDF=Y")</f>
        <v>#NAME?</v>
      </c>
      <c r="BU108" s="2" t="e">
        <f ca="1">_xll.BDH($C$103,"TOTAL_EQUITY_SEQUENTIAL_GROWTH","FY 2015","FY 2015","Currency=INR","Period=FY","BEST_FPERIOD_OVERRIDE=FY","FILING_STATUS=OR","EQY_CONSOLIDATED=Y","Sort=A","Dates=H","DateFormat=P","Fill=—","Direction=H","UseDPDF=Y")</f>
        <v>#NAME?</v>
      </c>
      <c r="BV108" s="2" t="e">
        <f ca="1">_xll.BDH($C$103,"TOTAL_CAPITAL_SEQUENTIAL_GROWTH","FY 2015","FY 2015","Currency=INR","Period=FY","BEST_FPERIOD_OVERRIDE=FY","FILING_STATUS=OR","EQY_CONSOLIDATED=Y","Sort=A","Dates=H","DateFormat=P","Fill=—","Direction=H","UseDPDF=Y")</f>
        <v>#NAME?</v>
      </c>
      <c r="BW108" s="2" t="e">
        <f ca="1">_xll.BDH($C$103,"BPS_SEQUENTIAL_GROWTH","FY 2015","FY 2015","Currency=INR","Period=FY","BEST_FPERIOD_OVERRIDE=FY","FILING_STATUS=OR","EQY_CONSOLIDATED=Y","Sort=A","Dates=H","DateFormat=P","Fill=—","Direction=H","UseDPDF=Y")</f>
        <v>#NAME?</v>
      </c>
      <c r="BX108" s="2" t="e">
        <f ca="1">_xll.BDH($C$103,"CFO_SEQUENTIAL_GROWTH","FY 2015","FY 2015","Currency=INR","Period=FY","BEST_FPERIOD_OVERRIDE=FY","FILING_STATUS=OR","EQY_CONSOLIDATED=Y","Sort=A","Dates=H","DateFormat=P","Fill=—","Direction=H","UseDPDF=Y")</f>
        <v>#NAME?</v>
      </c>
      <c r="BY108" s="3" t="e">
        <f ca="1">_xll.BDH($C$103,"SHORT_AND_LONG_TERM_DEBT","FY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108" s="3" t="e">
        <f ca="1">_xll.BDH($C$103,"BS_ST_BORROW","FY 2015","FY 2015","Currency=INR","Period=FY","BEST_FPERIOD_OVERRIDE=FY","FILING_STATUS=OR","EQY_CONSOLIDATED=Y","SCALING_FORMAT=MLN","Sort=A","Dates=H","DateFormat=P","Fill=—","Direction=H","UseDPDF=Y")</f>
        <v>#NAME?</v>
      </c>
      <c r="CA108" s="3" t="e">
        <f ca="1">_xll.BDH($C$103,"BS_LT_BORROW","FY 2015","FY 2015","Currency=INR","Period=FY","BEST_FPERIOD_OVERRIDE=FY","FILING_STATUS=OR","EQY_CONSOLIDATED=Y","SCALING_FORMAT=MLN","Sort=A","Dates=H","DateFormat=P","Fill=—","Direction=H","UseDPDF=Y")</f>
        <v>#NAME?</v>
      </c>
      <c r="CB108" s="2" t="e">
        <f ca="1">_xll.BDH($C$103,"TOT_DEBT_TO_EBITDA","FY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108" s="2" t="e">
        <f ca="1">_xll.BDH($C$103,"NET_DEBT_TO_EBITDA","FY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108" s="2" t="e">
        <f ca="1">_xll.BDH($C$103,"TOTAL_DEBT_TO_EBIT","FY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108" s="2" t="e">
        <f ca="1">_xll.BDH($C$103,"NET_DEBT_TO_EBIT","FY 2015","FY 2015","Currency=INR","Period=FY","BEST_FPERIOD_OVERRIDE=FY","FILING_STATUS=OR","EQY_CONSOLIDATED=Y","FA_ADJUSTED=GAAP","Sort=A","Dates=H","DateFormat=P","Fill=—","Direction=H","UseDPDF=Y")</f>
        <v>#NAME?</v>
      </c>
      <c r="CF108" s="2" t="e">
        <f ca="1">_xll.BDH($C$103,"EBITDA_TO_INTEREST_EXPN","FY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108" s="2" t="e">
        <f ca="1">_xll.BDH($C$103,"COM_EQY_TO_TOT_ASSET","FY 2015","FY 2015","Currency=INR","Period=FY","BEST_FPERIOD_OVERRIDE=FY","FILING_STATUS=OR","EQY_CONSOLIDATED=Y","Sort=A","Dates=H","DateFormat=P","Fill=—","Direction=H","UseDPDF=Y")</f>
        <v>#NAME?</v>
      </c>
      <c r="CH108" s="2" t="e">
        <f ca="1">_xll.BDH($C$103,"LT_DEBT_TO_TOT_EQY","FY 2015","FY 2015","Currency=INR","Period=FY","BEST_FPERIOD_OVERRIDE=FY","FILING_STATUS=OR","EQY_CONSOLIDATED=Y","Sort=A","Dates=H","DateFormat=P","Fill=—","Direction=H","UseDPDF=Y")</f>
        <v>#NAME?</v>
      </c>
      <c r="CI108" s="2" t="e">
        <f ca="1">_xll.BDH($C$103,"LT_DEBT_TO_TOT_CAP","FY 2015","FY 2015","Currency=INR","Period=FY","BEST_FPERIOD_OVERRIDE=FY","FILING_STATUS=OR","EQY_CONSOLIDATED=Y","Sort=A","Dates=H","DateFormat=P","Fill=—","Direction=H","UseDPDF=Y")</f>
        <v>#NAME?</v>
      </c>
      <c r="CJ108" s="2" t="e">
        <f ca="1">_xll.BDH($C$103,"LT_DEBT_TO_TOT_ASSET","FY 2015","FY 2015","Currency=INR","Period=FY","BEST_FPERIOD_OVERRIDE=FY","FILING_STATUS=OR","EQY_CONSOLIDATED=Y","Sort=A","Dates=H","DateFormat=P","Fill=—","Direction=H","UseDPDF=Y")</f>
        <v>#NAME?</v>
      </c>
      <c r="CK108" s="2" t="e">
        <f ca="1">_xll.BDH($C$103,"TOT_DEBT_TO_TOT_EQY","FY 2015","FY 2015","Currency=INR","Period=FY","BEST_FPERIOD_OVERRIDE=FY","FILING_STATUS=OR","EQY_CONSOLIDATED=Y","Sort=A","Dates=H","DateFormat=P","Fill=—","Direction=H","UseDPDF=Y")</f>
        <v>#NAME?</v>
      </c>
      <c r="CL108" s="2" t="e">
        <f ca="1">_xll.BDH($C$103,"TOT_DEBT_TO_TOT_CAP","FY 2015","FY 2015","Currency=INR","Period=FY","BEST_FPERIOD_OVERRIDE=FY","FILING_STATUS=OR","EQY_CONSOLIDATED=Y","Sort=A","Dates=H","DateFormat=P","Fill=—","Direction=H","UseDPDF=Y")</f>
        <v>#NAME?</v>
      </c>
      <c r="CM108" s="2" t="e">
        <f ca="1">_xll.BDH($C$103,"TOT_DEBT_TO_TOT_ASSET","FY 2015","FY 2015","Currency=INR","Period=FY","BEST_FPERIOD_OVERRIDE=FY","FILING_STATUS=OR","EQY_CONSOLIDATED=Y","Sort=A","Dates=H","DateFormat=P","Fill=—","Direction=H","UseDPDF=Y")</f>
        <v>#NAME?</v>
      </c>
      <c r="CN108" s="2" t="e">
        <f ca="1">_xll.BDH($C$103,"NET_DEBT_TO_SHRHLDR_EQTY","FY 2015","FY 2015","Currency=INR","Period=FY","BEST_FPERIOD_OVERRIDE=FY","FILING_STATUS=OR","EQY_CONSOLIDATED=Y","Sort=A","Dates=H","DateFormat=P","Fill=—","Direction=H","UseDPDF=Y")</f>
        <v>#NAME?</v>
      </c>
      <c r="CO108" s="2" t="e">
        <f ca="1">_xll.BDH($C$103,"NET_DEBT_%_CAPITAL","FY 2015","FY 2015","Currency=INR","Period=FY","BEST_FPERIOD_OVERRIDE=FY","FILING_STATUS=OR","EQY_CONSOLIDATED=Y","Sort=A","Dates=H","DateFormat=P","Fill=—","Direction=H","UseDPDF=Y")</f>
        <v>#NAME?</v>
      </c>
      <c r="CP108" s="3" t="e">
        <f ca="1">_xll.BDH($C$103,"EBITDA","FY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108" s="3" t="e">
        <f ca="1">_xll.BDH($C$103,"EBITDA_AFTER_CAPEX","FY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108" s="3" t="e">
        <f ca="1">_xll.BDH($C$103,"IS_OPER_INC","FY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108" s="2" t="e">
        <f ca="1">_xll.BDH($C$103,"CASH_RATIO","FY 2015","FY 2015","Currency=INR","Period=FY","BEST_FPERIOD_OVERRIDE=FY","FILING_STATUS=OR","EQY_CONSOLIDATED=Y","Sort=A","Dates=H","DateFormat=P","Fill=—","Direction=H","UseDPDF=Y")</f>
        <v>#NAME?</v>
      </c>
      <c r="CT108" s="2" t="e">
        <f ca="1">_xll.BDH($C$103,"CUR_RATIO","FY 2015","FY 2015","Currency=INR","Period=FY","BEST_FPERIOD_OVERRIDE=FY","FILING_STATUS=OR","EQY_CONSOLIDATED=Y","Sort=A","Dates=H","DateFormat=P","Fill=—","Direction=H","UseDPDF=Y")</f>
        <v>#NAME?</v>
      </c>
      <c r="CU108" s="2" t="e">
        <f ca="1">_xll.BDH($C$103,"QUICK_RATIO","FY 2015","FY 2015","Currency=INR","Period=FY","BEST_FPERIOD_OVERRIDE=FY","FILING_STATUS=OR","EQY_CONSOLIDATED=Y","Sort=A","Dates=H","DateFormat=P","Fill=—","Direction=H","UseDPDF=Y")</f>
        <v>#NAME?</v>
      </c>
      <c r="CV108" s="2" t="e">
        <f ca="1">_xll.BDH($C$103,"ALTMAN_Z_SCORE","FY 2015","FY 2015","Currency=INR","Period=FY","BEST_FPERIOD_OVERRIDE=FY","FILING_STATUS=OR","EQY_CONSOLIDATED=Y","Sort=A","Dates=H","DateFormat=P","Fill=—","Direction=H","UseDPDF=Y")</f>
        <v>#NAME?</v>
      </c>
      <c r="CW108" s="4" t="e">
        <f ca="1">_xll.BDH($C$103,"ACCT_RCV_TURN","FY 2015","FY 2015","Currency=INR","Period=FY","BEST_FPERIOD_OVERRIDE=FY","FILING_STATUS=OR","EQY_CONSOLIDATED=Y","FA_ADJUSTED=GAAP","Sort=A","Dates=H","DateFormat=P","Fill=—","Direction=H","UseDPDF=Y")</f>
        <v>#NAME?</v>
      </c>
      <c r="CX108" s="2" t="e">
        <f ca="1">_xll.BDH($C$103,"ACCT_RCV_DAYS","FY 2015","FY 2015","Currency=INR","Period=FY","BEST_FPERIOD_OVERRIDE=FY","FILING_STATUS=OR","EQY_CONSOLIDATED=Y","FA_ADJUSTED=GAAP","Sort=A","Dates=H","DateFormat=P","Fill=—","Direction=H","UseDPDF=Y")</f>
        <v>#NAME?</v>
      </c>
      <c r="CY108" s="4" t="e">
        <f ca="1">_xll.BDH($C$103,"INVENT_TURN","FY 2015","FY 2015","Currency=INR","Period=FY","BEST_FPERIOD_OVERRIDE=FY","FILING_STATUS=OR","EQY_CONSOLIDATED=Y","FA_ADJUSTED=GAAP","Sort=A","Dates=H","DateFormat=P","Fill=—","Direction=H","UseDPDF=Y")</f>
        <v>#NAME?</v>
      </c>
      <c r="CZ108" s="2" t="e">
        <f ca="1">_xll.BDH($C$103,"INVENT_DAYS","FY 2015","FY 2015","Currency=INR","Period=FY","BEST_FPERIOD_OVERRIDE=FY","FILING_STATUS=OR","EQY_CONSOLIDATED=Y","FA_ADJUSTED=GAAP","Sort=A","Dates=H","DateFormat=P","Fill=—","Direction=H","UseDPDF=Y")</f>
        <v>#NAME?</v>
      </c>
      <c r="DA108" s="4" t="e">
        <f ca="1">_xll.BDH($C$103,"ACCOUNTS_PAYABLE_TURNOVER","FY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108" s="2" t="e">
        <f ca="1">_xll.BDH($C$103,"ACCOUNTS_PAYABLE_TURNOVER_DAYS","FY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108" s="4" t="e">
        <f ca="1">_xll.BDH($C$103,"CASH_CONVERSION_CYCLE","FY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108" s="4" t="e">
        <f ca="1">_xll.BDH($C$103,"INV_TO_CASH_DAYS","FY 2015","FY 2015","Currency=INR","Period=FY","BEST_FPERIOD_OVERRIDE=FY","FILING_STATUS=OR","EQY_CONSOLIDATED=Y","FA_ADJUSTED=GAAP","Sort=A","Dates=H","DateFormat=P","Fill=—","Direction=H","UseDPDF=Y")</f>
        <v>#NAME?</v>
      </c>
      <c r="DE108" s="5" t="e">
        <f ca="1">_xll.BDH($C$103,"BS_INVENTORIES","FY 2015","FY 2015","Currency=INR","Period=FY","BEST_FPERIOD_OVERRIDE=FY","FILING_STATUS=OR","EQY_CONSOLIDATED=Y","SCALING_FORMAT=MLN","Sort=A","Dates=H","DateFormat=P","Fill=—","Direction=H","UseDPDF=Y")</f>
        <v>#NAME?</v>
      </c>
      <c r="DF108" s="3" t="e">
        <f ca="1">_xll.BDH($C$103,"INVTRY_RAW_MATERIALS","FY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108" s="3" t="e">
        <f ca="1">_xll.BDH($C$103,"INVTRY_IN_PROGRESS","FY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108" s="3" t="e">
        <f ca="1">_xll.BDH($C$103,"INVTRY_FINISHED_GOODS","FY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108" s="3" t="e">
        <f ca="1">_xll.BDH($C$103,"BS_OTHER_INV","FY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109" spans="1:113" x14ac:dyDescent="0.3">
      <c r="A109" s="6"/>
      <c r="B109" s="6"/>
      <c r="C109" s="6"/>
      <c r="D109" s="6"/>
      <c r="E109" t="s">
        <v>78</v>
      </c>
      <c r="F109" t="e">
        <f ca="1">_xll.BDH($C$103,"RETURN_COM_EQY","FQ1 2015","FQ1 2015","Currency=INR","Period=FQ","BEST_FPERIOD_OVERRIDE=FQ","FILING_STATUS=OR","EQY_CONSOLIDATED=Y","FA_ADJUSTED=GAAP","Sort=A","Dates=H","DateFormat=P","Fill=—","Direction=H","UseDPDF=Y")</f>
        <v>#NAME?</v>
      </c>
      <c r="G109" t="e">
        <f ca="1">_xll.BDH($C$103,"RETURN_ON_ASSET","FQ1 2015","FQ1 2015","Currency=INR","Period=FQ","BEST_FPERIOD_OVERRIDE=FQ","FILING_STATUS=OR","EQY_CONSOLIDATED=Y","FA_ADJUSTED=GAAP","Sort=A","Dates=H","DateFormat=P","Fill=—","Direction=H","UseDPDF=Y")</f>
        <v>#NAME?</v>
      </c>
      <c r="H109" t="e">
        <f ca="1">_xll.BDH($C$103,"RETURN_ON_CAP","FQ1 2015","FQ1 2015","Currency=INR","Period=FQ","BEST_FPERIOD_OVERRIDE=FQ","FILING_STATUS=OR","EQY_CONSOLIDATED=Y","FA_ADJUSTED=GAAP","Sort=A","Dates=H","DateFormat=P","Fill=—","Direction=H","UseDPDF=Y")</f>
        <v>#NAME?</v>
      </c>
      <c r="I109" t="e">
        <f ca="1">_xll.BDH($C$103,"RETURN_ON_INV_CAPITAL","FQ1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109" t="e">
        <f ca="1">_xll.BDH($C$103,"EBITDA_TO_REVENUE","FQ1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109" t="e">
        <f ca="1">_xll.BDH($C$103,"OPER_MARGIN","FQ1 2015","FQ1 2015","Currency=INR","Period=FQ","BEST_FPERIOD_OVERRIDE=FQ","FILING_STATUS=OR","EQY_CONSOLIDATED=Y","FA_ADJUSTED=GAAP","Sort=A","Dates=H","DateFormat=P","Fill=—","Direction=H","UseDPDF=Y")</f>
        <v>#NAME?</v>
      </c>
      <c r="L109" t="e">
        <f ca="1">_xll.BDH($C$103,"INCREMENTAL_OPERATING_MARGIN","FQ1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109" t="e">
        <f ca="1">_xll.BDH($C$103,"PRETAX_INC_TO_NET_SALES","FQ1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109" t="e">
        <f ca="1">_xll.BDH($C$103,"INC_BEF_XO_ITEMS_TO_NET_SALES","FQ1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109" t="e">
        <f ca="1">_xll.BDH($C$103,"PROF_MARGIN","FQ1 2015","FQ1 2015","Currency=INR","Period=FQ","BEST_FPERIOD_OVERRIDE=FQ","FILING_STATUS=OR","EQY_CONSOLIDATED=Y","FA_ADJUSTED=GAAP","Sort=A","Dates=H","DateFormat=P","Fill=—","Direction=H","UseDPDF=Y")</f>
        <v>#NAME?</v>
      </c>
      <c r="P109" t="e">
        <f ca="1">_xll.BDH($C$103,"NET_INCOME_TO_COMMON_MARGIN","FQ1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109" t="e">
        <f ca="1">_xll.BDH($C$103,"EFF_TAX_RATE","FQ1 2015","FQ1 2015","Currency=INR","Period=FQ","BEST_FPERIOD_OVERRIDE=FQ","FILING_STATUS=OR","EQY_CONSOLIDATED=Y","FA_ADJUSTED=GAAP","Sort=A","Dates=H","DateFormat=P","Fill=—","Direction=H","UseDPDF=Y")</f>
        <v>#NAME?</v>
      </c>
      <c r="R109" t="e">
        <f ca="1">_xll.BDH($C$103,"DVD_PAYOUT_RATIO","FQ1 2015","FQ1 2015","Currency=INR","Period=FQ","BEST_FPERIOD_OVERRIDE=FQ","FILING_STATUS=OR","EQY_CONSOLIDATED=Y","FA_ADJUSTED=GAAP","Sort=A","Dates=H","DateFormat=P","Fill=—","Direction=H","UseDPDF=Y")</f>
        <v>#NAME?</v>
      </c>
      <c r="S109" t="e">
        <f ca="1">_xll.BDH($C$103,"SUSTAIN_GROWTH_RT","FQ1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109" s="2" t="e">
        <f ca="1">_xll.BDH($C$103,"SALES_GROWTH","FQ1 2015","FQ1 2015","Currency=INR","Period=FQ","BEST_FPERIOD_OVERRIDE=FQ","FILING_STATUS=OR","EQY_CONSOLIDATED=Y","FA_ADJUSTED=GAAP","Sort=A","Dates=H","DateFormat=P","Fill=—","Direction=H","UseDPDF=Y")</f>
        <v>#NAME?</v>
      </c>
      <c r="U109" s="2" t="e">
        <f ca="1">_xll.BDH($C$103,"EBITDA_GROWTH","FQ1 2015","FQ1 2015","Currency=INR","Period=FQ","BEST_FPERIOD_OVERRIDE=FQ","FILING_STATUS=OR","EQY_CONSOLIDATED=Y","FA_ADJUSTED=GAAP","Sort=A","Dates=H","DateFormat=P","Fill=—","Direction=H","UseDPDF=Y")</f>
        <v>#NAME?</v>
      </c>
      <c r="V109" s="2" t="e">
        <f ca="1">_xll.BDH($C$103,"OPER_INC_GROWTH","FQ1 2015","FQ1 2015","Currency=INR","Period=FQ","BEST_FPERIOD_OVERRIDE=FQ","FILING_STATUS=OR","EQY_CONSOLIDATED=Y","FA_ADJUSTED=GAAP","Sort=A","Dates=H","DateFormat=P","Fill=—","Direction=H","UseDPDF=Y")</f>
        <v>#NAME?</v>
      </c>
      <c r="W109" s="2" t="e">
        <f ca="1">_xll.BDH($C$103,"EARN_FOR_COM_GROWTH","FQ1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109" s="2" t="e">
        <f ca="1">_xll.BDH($C$103,"DILUTED_EPS_AFT_XO_ITEMS_GROWTH","FQ1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109" s="2" t="e">
        <f ca="1">_xll.BDH($C$103,"DIVIDEND_PER_SHARE_1_YEAR_GROWTH","FQ1 2015","FQ1 2015","Currency=INR","Period=FQ","BEST_FPERIOD_OVERRIDE=FQ","FILING_STATUS=OR","EQY_CONSOLIDATED=Y","Sort=A","Dates=H","DateFormat=P","Fill=—","Direction=H","UseDPDF=Y")</f>
        <v>#NAME?</v>
      </c>
      <c r="Z109" s="2" t="e">
        <f ca="1">_xll.BDH($C$103,"ACCOUNTS_RECEIVABLE_GROWTH","FQ1 2015","FQ1 2015","Currency=INR","Period=FQ","BEST_FPERIOD_OVERRIDE=FQ","FILING_STATUS=OR","EQY_CONSOLIDATED=Y","Sort=A","Dates=H","DateFormat=P","Fill=—","Direction=H","UseDPDF=Y")</f>
        <v>#NAME?</v>
      </c>
      <c r="AA109" s="2" t="e">
        <f ca="1">_xll.BDH($C$103,"INVENTORY_GROWTH","FQ1 2015","FQ1 2015","Currency=INR","Period=FQ","BEST_FPERIOD_OVERRIDE=FQ","FILING_STATUS=OR","EQY_CONSOLIDATED=Y","Sort=A","Dates=H","DateFormat=P","Fill=—","Direction=H","UseDPDF=Y")</f>
        <v>#NAME?</v>
      </c>
      <c r="AB109" s="2" t="e">
        <f ca="1">_xll.BDH($C$103,"NET_FIXED_ASSETS_1_YEAR_GROWTH","FQ1 2015","FQ1 2015","Currency=INR","Period=FQ","BEST_FPERIOD_OVERRIDE=FQ","FILING_STATUS=OR","EQY_CONSOLIDATED=Y","Sort=A","Dates=H","DateFormat=P","Fill=—","Direction=H","UseDPDF=Y")</f>
        <v>#NAME?</v>
      </c>
      <c r="AC109" s="2" t="e">
        <f ca="1">_xll.BDH($C$103,"ASSET_GROWTH","FQ1 2015","FQ1 2015","Currency=INR","Period=FQ","BEST_FPERIOD_OVERRIDE=FQ","FILING_STATUS=OR","EQY_CONSOLIDATED=Y","Sort=A","Dates=H","DateFormat=P","Fill=—","Direction=H","UseDPDF=Y")</f>
        <v>#NAME?</v>
      </c>
      <c r="AD109" s="2" t="e">
        <f ca="1">_xll.BDH($C$103,"MODIFIED_WORK_CAP_GROWTH","FQ1 2015","FQ1 2015","Currency=INR","Period=FQ","BEST_FPERIOD_OVERRIDE=FQ","FILING_STATUS=OR","EQY_CONSOLIDATED=Y","Sort=A","Dates=H","DateFormat=P","Fill=—","Direction=H","UseDPDF=Y")</f>
        <v>#NAME?</v>
      </c>
      <c r="AE109" s="2" t="e">
        <f ca="1">_xll.BDH($C$103,"WORK_CAP_GROWTH","FQ1 2015","FQ1 2015","Currency=INR","Period=FQ","BEST_FPERIOD_OVERRIDE=FQ","FILING_STATUS=OR","EQY_CONSOLIDATED=Y","Sort=A","Dates=H","DateFormat=P","Fill=—","Direction=H","UseDPDF=Y")</f>
        <v>#NAME?</v>
      </c>
      <c r="AF109" s="2" t="e">
        <f ca="1">_xll.BDH($C$103,"ACCOUNTS_PAYABLE_GROWTH_1YR","FQ1 2015","FQ1 2015","Currency=INR","Period=FQ","BEST_FPERIOD_OVERRIDE=FQ","FILING_STATUS=OR","EQY_CONSOLIDATED=Y","Sort=A","Dates=H","DateFormat=P","Fill=—","Direction=H","UseDPDF=Y")</f>
        <v>#NAME?</v>
      </c>
      <c r="AG109" s="2" t="e">
        <f ca="1">_xll.BDH($C$103,"SHORT_TERM_DEBT_1_YEAR_GROWTH","FQ1 2015","FQ1 2015","Currency=INR","Period=FQ","BEST_FPERIOD_OVERRIDE=FQ","FILING_STATUS=OR","EQY_CONSOLIDATED=Y","Sort=A","Dates=H","DateFormat=P","Fill=—","Direction=H","UseDPDF=Y")</f>
        <v>#NAME?</v>
      </c>
      <c r="AH109" s="2" t="e">
        <f ca="1">_xll.BDH($C$103,"TOTAL_DEBT_1_YEAR_GROWTH","FQ1 2015","FQ1 2015","Currency=INR","Period=FQ","BEST_FPERIOD_OVERRIDE=FQ","FILING_STATUS=OR","EQY_CONSOLIDATED=Y","Sort=A","Dates=H","DateFormat=P","Fill=—","Direction=H","UseDPDF=Y")</f>
        <v>#NAME?</v>
      </c>
      <c r="AI109" s="2" t="e">
        <f ca="1">_xll.BDH($C$103,"TOTAL_EQUITY_1_YEAR_GROWTH","FQ1 2015","FQ1 2015","Currency=INR","Period=FQ","BEST_FPERIOD_OVERRIDE=FQ","FILING_STATUS=OR","EQY_CONSOLIDATED=Y","Sort=A","Dates=H","DateFormat=P","Fill=—","Direction=H","UseDPDF=Y")</f>
        <v>#NAME?</v>
      </c>
      <c r="AJ109" s="2" t="e">
        <f ca="1">_xll.BDH($C$103,"GROWTH_IN_CAP","FQ1 2015","FQ1 2015","Currency=INR","Period=FQ","BEST_FPERIOD_OVERRIDE=FQ","FILING_STATUS=OR","EQY_CONSOLIDATED=Y","Sort=A","Dates=H","DateFormat=P","Fill=—","Direction=H","UseDPDF=Y")</f>
        <v>#NAME?</v>
      </c>
      <c r="AK109" s="2" t="e">
        <f ca="1">_xll.BDH($C$103,"BVPS_GROWTH","FQ1 2015","FQ1 2015","Currency=INR","Period=FQ","BEST_FPERIOD_OVERRIDE=FQ","FILING_STATUS=OR","EQY_CONSOLIDATED=Y","Sort=A","Dates=H","DateFormat=P","Fill=—","Direction=H","UseDPDF=Y")</f>
        <v>#NAME?</v>
      </c>
      <c r="AL109" s="2" t="e">
        <f ca="1">_xll.BDH($C$103,"CASH_FLOW_GROWTH","FQ1 2015","FQ1 2015","Currency=INR","Period=FQ","BEST_FPERIOD_OVERRIDE=FQ","FILING_STATUS=OR","EQY_CONSOLIDATED=Y","Sort=A","Dates=H","DateFormat=P","Fill=—","Direction=H","UseDPDF=Y")</f>
        <v>#NAME?</v>
      </c>
      <c r="AM109" s="2" t="e">
        <f ca="1">_xll.BDH($C$103,"GEO_GROW_NET_SALES","FQ1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109" s="2" t="e">
        <f ca="1">_xll.BDH($C$103,"GEO_GROW_EBITDA","FQ1 2015","FQ1 2015","Currency=INR","Period=FQ","BEST_FPERIOD_OVERRIDE=FQ","FILING_STATUS=OR","EQY_CONSOLIDATED=Y","FA_ADJUSTED=GAAP","Sort=A","Dates=H","DateFormat=P","Fill=—","Direction=H","UseDPDF=Y")</f>
        <v>#NAME?</v>
      </c>
      <c r="AO109" s="2" t="e">
        <f ca="1">_xll.BDH($C$103,"GEO_GROW_OPER_INC","FQ1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109" s="2" t="e">
        <f ca="1">_xll.BDH($C$103,"NET_INCOME_TO_COMMON_5_YR_GROWTH","FQ1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109" s="2" t="e">
        <f ca="1">_xll.BDH($C$103,"5Y_GEO_GROWTH_DILUTED_EPS","FQ1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109" s="2" t="e">
        <f ca="1">_xll.BDH($C$103,"GEO_GROW_DVD_PER_SH","FQ1 2015","FQ1 2015","Currency=INR","Period=FQ","BEST_FPERIOD_OVERRIDE=FQ","FILING_STATUS=OR","EQY_CONSOLIDATED=Y","Sort=A","Dates=H","DateFormat=P","Fill=—","Direction=H","UseDPDF=Y")</f>
        <v>#NAME?</v>
      </c>
      <c r="AS109" s="2" t="e">
        <f ca="1">_xll.BDH($C$103,"ACCOUNTS_RECEIVABLE_5_YR_GROWTH","FQ1 2015","FQ1 2015","Currency=INR","Period=FQ","BEST_FPERIOD_OVERRIDE=FQ","FILING_STATUS=OR","EQY_CONSOLIDATED=Y","Sort=A","Dates=H","DateFormat=P","Fill=—","Direction=H","UseDPDF=Y")</f>
        <v>#NAME?</v>
      </c>
      <c r="AT109" s="2" t="e">
        <f ca="1">_xll.BDH($C$103,"INVENTORY_5_YEAR_GROWTH","FQ1 2015","FQ1 2015","Currency=INR","Period=FQ","BEST_FPERIOD_OVERRIDE=FQ","FILING_STATUS=OR","EQY_CONSOLIDATED=Y","Sort=A","Dates=H","DateFormat=P","Fill=—","Direction=H","UseDPDF=Y")</f>
        <v>#NAME?</v>
      </c>
      <c r="AU109" s="2" t="e">
        <f ca="1">_xll.BDH($C$103,"NET_FIXED_ASSETS_5_YEAR_GROWTH","FQ1 2015","FQ1 2015","Currency=INR","Period=FQ","BEST_FPERIOD_OVERRIDE=FQ","FILING_STATUS=OR","EQY_CONSOLIDATED=Y","Sort=A","Dates=H","DateFormat=P","Fill=—","Direction=H","UseDPDF=Y")</f>
        <v>#NAME?</v>
      </c>
      <c r="AV109" s="2" t="e">
        <f ca="1">_xll.BDH($C$103,"GEO_GROW_TOT_ASSET","FQ1 2015","FQ1 2015","Currency=INR","Period=FQ","BEST_FPERIOD_OVERRIDE=FQ","FILING_STATUS=OR","EQY_CONSOLIDATED=Y","Sort=A","Dates=H","DateFormat=P","Fill=—","Direction=H","UseDPDF=Y")</f>
        <v>#NAME?</v>
      </c>
      <c r="AW109" s="2" t="e">
        <f ca="1">_xll.BDH($C$103,"MODIFIED_WORKING_CPTL_5YR_GRWTH","FQ1 2015","FQ1 2015","Currency=INR","Period=FQ","BEST_FPERIOD_OVERRIDE=FQ","FILING_STATUS=OR","EQY_CONSOLIDATED=Y","Sort=A","Dates=H","DateFormat=P","Fill=—","Direction=H","UseDPDF=Y")</f>
        <v>#NAME?</v>
      </c>
      <c r="AX109" s="2" t="e">
        <f ca="1">_xll.BDH($C$103,"WORKING_CAPITAL_5_YEAR_GROWTH","FQ1 2015","FQ1 2015","Currency=INR","Period=FQ","BEST_FPERIOD_OVERRIDE=FQ","FILING_STATUS=OR","EQY_CONSOLIDATED=Y","Sort=A","Dates=H","DateFormat=P","Fill=—","Direction=H","UseDPDF=Y")</f>
        <v>#NAME?</v>
      </c>
      <c r="AY109" s="2" t="e">
        <f ca="1">_xll.BDH($C$103,"ACCOUNTS_PAYABLE_5_YEAR_GROWTH","FQ1 2015","FQ1 2015","Currency=INR","Period=FQ","BEST_FPERIOD_OVERRIDE=FQ","FILING_STATUS=OR","EQY_CONSOLIDATED=Y","Sort=A","Dates=H","DateFormat=P","Fill=—","Direction=H","UseDPDF=Y")</f>
        <v>#NAME?</v>
      </c>
      <c r="AZ109" s="2" t="e">
        <f ca="1">_xll.BDH($C$103,"SHORT_TERM_DEBT_5_YEAR_GROWTH","FQ1 2015","FQ1 2015","Currency=INR","Period=FQ","BEST_FPERIOD_OVERRIDE=FQ","FILING_STATUS=OR","EQY_CONSOLIDATED=Y","Sort=A","Dates=H","DateFormat=P","Fill=—","Direction=H","UseDPDF=Y")</f>
        <v>#NAME?</v>
      </c>
      <c r="BA109" s="2" t="e">
        <f ca="1">_xll.BDH($C$103,"TOTAL_DEBT_5_YEAR_GROWTH","FQ1 2015","FQ1 2015","Currency=INR","Period=FQ","BEST_FPERIOD_OVERRIDE=FQ","FILING_STATUS=OR","EQY_CONSOLIDATED=Y","Sort=A","Dates=H","DateFormat=P","Fill=—","Direction=H","UseDPDF=Y")</f>
        <v>#NAME?</v>
      </c>
      <c r="BB109" s="2" t="e">
        <f ca="1">_xll.BDH($C$103,"GEO_GROW_TOT_SHRHLDR_EQY","FQ1 2015","FQ1 2015","Currency=INR","Period=FQ","BEST_FPERIOD_OVERRIDE=FQ","FILING_STATUS=OR","EQY_CONSOLIDATED=Y","Sort=A","Dates=H","DateFormat=P","Fill=—","Direction=H","UseDPDF=Y")</f>
        <v>#NAME?</v>
      </c>
      <c r="BC109" s="2" t="e">
        <f ca="1">_xll.BDH($C$103,"TOTAL_CAPITAL_5_YEAR_GROWTH","FQ1 2015","FQ1 2015","Currency=INR","Period=FQ","BEST_FPERIOD_OVERRIDE=FQ","FILING_STATUS=OR","EQY_CONSOLIDATED=Y","Sort=A","Dates=H","DateFormat=P","Fill=—","Direction=H","UseDPDF=Y")</f>
        <v>#NAME?</v>
      </c>
      <c r="BD109" s="2" t="e">
        <f ca="1">_xll.BDH($C$103,"GEO_GROW_BOOK_VAL","FQ1 2015","FQ1 2015","Currency=INR","Period=FQ","BEST_FPERIOD_OVERRIDE=FQ","FILING_STATUS=OR","EQY_CONSOLIDATED=Y","Sort=A","Dates=H","DateFormat=P","Fill=—","Direction=H","UseDPDF=Y")</f>
        <v>#NAME?</v>
      </c>
      <c r="BE109" s="2" t="e">
        <f ca="1">_xll.BDH($C$103,"GEO_GROW_CASH_OPER_ACT","FQ1 2015","FQ1 2015","Currency=INR","Period=FQ","BEST_FPERIOD_OVERRIDE=FQ","FILING_STATUS=OR","EQY_CONSOLIDATED=Y","Sort=A","Dates=H","DateFormat=P","Fill=—","Direction=H","UseDPDF=Y")</f>
        <v>#NAME?</v>
      </c>
      <c r="BF109" s="2" t="e">
        <f ca="1">_xll.BDH($C$103,"REVENUE_SEQUENTIAL_GROWTH","FQ1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109" s="2" t="e">
        <f ca="1">_xll.BDH($C$103,"EBITDA_SEQUENTIAL_GROWTH","FQ1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109" s="2" t="e">
        <f ca="1">_xll.BDH($C$103,"OPERATING_INCOME_SEQ_GROWTH","FQ1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109" s="2" t="e">
        <f ca="1">_xll.BDH($C$103,"NET_INCOME_TO_COMMON_SEQ_GROWTH","FQ1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109" s="2" t="e">
        <f ca="1">_xll.BDH($C$103,"EPS_DILUTED_SEQUENTIAL_GROWTH","FQ1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109" s="2" t="e">
        <f ca="1">_xll.BDH($C$103,"DPS_SEQUENTIAL_GROWTH","FQ1 2015","FQ1 2015","Currency=INR","Period=FQ","BEST_FPERIOD_OVERRIDE=FQ","FILING_STATUS=OR","EQY_CONSOLIDATED=Y","Sort=A","Dates=H","DateFormat=P","Fill=—","Direction=H","UseDPDF=Y")</f>
        <v>#NAME?</v>
      </c>
      <c r="BL109" s="2" t="e">
        <f ca="1">_xll.BDH($C$103,"ACCOUNTS_RECEIVABLE_SEQ_GROWTH","FQ1 2015","FQ1 2015","Currency=INR","Period=FQ","BEST_FPERIOD_OVERRIDE=FQ","FILING_STATUS=OR","EQY_CONSOLIDATED=Y","Sort=A","Dates=H","DateFormat=P","Fill=—","Direction=H","UseDPDF=Y")</f>
        <v>#NAME?</v>
      </c>
      <c r="BM109" s="2" t="e">
        <f ca="1">_xll.BDH($C$103,"INVENTORY_SEQUENTIAL_GROWTH","FQ1 2015","FQ1 2015","Currency=INR","Period=FQ","BEST_FPERIOD_OVERRIDE=FQ","FILING_STATUS=OR","EQY_CONSOLIDATED=Y","Sort=A","Dates=H","DateFormat=P","Fill=—","Direction=H","UseDPDF=Y")</f>
        <v>#NAME?</v>
      </c>
      <c r="BN109" s="2" t="e">
        <f ca="1">_xll.BDH($C$103,"FIXED_ASSETS_SEQUENTIAL_GROWTH","FQ1 2015","FQ1 2015","Currency=INR","Period=FQ","BEST_FPERIOD_OVERRIDE=FQ","FILING_STATUS=OR","EQY_CONSOLIDATED=Y","Sort=A","Dates=H","DateFormat=P","Fill=—","Direction=H","UseDPDF=Y")</f>
        <v>#NAME?</v>
      </c>
      <c r="BO109" s="2" t="e">
        <f ca="1">_xll.BDH($C$103,"TOTAL_ASSETS_SEQUENTIAL_GROWTH","FQ1 2015","FQ1 2015","Currency=INR","Period=FQ","BEST_FPERIOD_OVERRIDE=FQ","FILING_STATUS=OR","EQY_CONSOLIDATED=Y","Sort=A","Dates=H","DateFormat=P","Fill=—","Direction=H","UseDPDF=Y")</f>
        <v>#NAME?</v>
      </c>
      <c r="BP109" s="2" t="e">
        <f ca="1">_xll.BDH($C$103,"MODIFIED_WORKING_CPTL_SEQ_GRWTH","FQ1 2015","FQ1 2015","Currency=INR","Period=FQ","BEST_FPERIOD_OVERRIDE=FQ","FILING_STATUS=OR","EQY_CONSOLIDATED=Y","Sort=A","Dates=H","DateFormat=P","Fill=—","Direction=H","UseDPDF=Y")</f>
        <v>#NAME?</v>
      </c>
      <c r="BQ109" s="2" t="e">
        <f ca="1">_xll.BDH($C$103,"WORKING_CAPITAL_SEQ_GROWTH","FQ1 2015","FQ1 2015","Currency=INR","Period=FQ","BEST_FPERIOD_OVERRIDE=FQ","FILING_STATUS=OR","EQY_CONSOLIDATED=Y","Sort=A","Dates=H","DateFormat=P","Fill=—","Direction=H","UseDPDF=Y")</f>
        <v>#NAME?</v>
      </c>
      <c r="BR109" s="2" t="e">
        <f ca="1">_xll.BDH($C$103,"ACCOUNTS_PAYABLE_SEQ_GROWTH","FQ1 2015","FQ1 2015","Currency=INR","Period=FQ","BEST_FPERIOD_OVERRIDE=FQ","FILING_STATUS=OR","EQY_CONSOLIDATED=Y","Sort=A","Dates=H","DateFormat=P","Fill=—","Direction=H","UseDPDF=Y")</f>
        <v>#NAME?</v>
      </c>
      <c r="BS109" s="2" t="e">
        <f ca="1">_xll.BDH($C$103,"ST_DEBT_SEQUENTIAL_GROWTH","FQ1 2015","FQ1 2015","Currency=INR","Period=FQ","BEST_FPERIOD_OVERRIDE=FQ","FILING_STATUS=OR","EQY_CONSOLIDATED=Y","Sort=A","Dates=H","DateFormat=P","Fill=—","Direction=H","UseDPDF=Y")</f>
        <v>#NAME?</v>
      </c>
      <c r="BT109" s="2" t="e">
        <f ca="1">_xll.BDH($C$103,"TOTAL_DEBT_SEQUENTIAL_GROWTH","FQ1 2015","FQ1 2015","Currency=INR","Period=FQ","BEST_FPERIOD_OVERRIDE=FQ","FILING_STATUS=OR","EQY_CONSOLIDATED=Y","Sort=A","Dates=H","DateFormat=P","Fill=—","Direction=H","UseDPDF=Y")</f>
        <v>#NAME?</v>
      </c>
      <c r="BU109" s="2" t="e">
        <f ca="1">_xll.BDH($C$103,"TOTAL_EQUITY_SEQUENTIAL_GROWTH","FQ1 2015","FQ1 2015","Currency=INR","Period=FQ","BEST_FPERIOD_OVERRIDE=FQ","FILING_STATUS=OR","EQY_CONSOLIDATED=Y","Sort=A","Dates=H","DateFormat=P","Fill=—","Direction=H","UseDPDF=Y")</f>
        <v>#NAME?</v>
      </c>
      <c r="BV109" s="2" t="e">
        <f ca="1">_xll.BDH($C$103,"TOTAL_CAPITAL_SEQUENTIAL_GROWTH","FQ1 2015","FQ1 2015","Currency=INR","Period=FQ","BEST_FPERIOD_OVERRIDE=FQ","FILING_STATUS=OR","EQY_CONSOLIDATED=Y","Sort=A","Dates=H","DateFormat=P","Fill=—","Direction=H","UseDPDF=Y")</f>
        <v>#NAME?</v>
      </c>
      <c r="BW109" s="2" t="e">
        <f ca="1">_xll.BDH($C$103,"BPS_SEQUENTIAL_GROWTH","FQ1 2015","FQ1 2015","Currency=INR","Period=FQ","BEST_FPERIOD_OVERRIDE=FQ","FILING_STATUS=OR","EQY_CONSOLIDATED=Y","Sort=A","Dates=H","DateFormat=P","Fill=—","Direction=H","UseDPDF=Y")</f>
        <v>#NAME?</v>
      </c>
      <c r="BX109" s="2" t="e">
        <f ca="1">_xll.BDH($C$103,"CFO_SEQUENTIAL_GROWTH","FQ1 2015","FQ1 2015","Currency=INR","Period=FQ","BEST_FPERIOD_OVERRIDE=FQ","FILING_STATUS=OR","EQY_CONSOLIDATED=Y","Sort=A","Dates=H","DateFormat=P","Fill=—","Direction=H","UseDPDF=Y")</f>
        <v>#NAME?</v>
      </c>
      <c r="BY109" s="3" t="e">
        <f ca="1">_xll.BDH($C$103,"SHORT_AND_LONG_TERM_DEBT","FQ1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109" s="3" t="e">
        <f ca="1">_xll.BDH($C$103,"BS_ST_BORROW","FQ1 2015","FQ1 2015","Currency=INR","Period=FQ","BEST_FPERIOD_OVERRIDE=FQ","FILING_STATUS=OR","EQY_CONSOLIDATED=Y","SCALING_FORMAT=MLN","Sort=A","Dates=H","DateFormat=P","Fill=—","Direction=H","UseDPDF=Y")</f>
        <v>#NAME?</v>
      </c>
      <c r="CA109" s="3" t="e">
        <f ca="1">_xll.BDH($C$103,"BS_LT_BORROW","FQ1 2015","FQ1 2015","Currency=INR","Period=FQ","BEST_FPERIOD_OVERRIDE=FQ","FILING_STATUS=OR","EQY_CONSOLIDATED=Y","SCALING_FORMAT=MLN","Sort=A","Dates=H","DateFormat=P","Fill=—","Direction=H","UseDPDF=Y")</f>
        <v>#NAME?</v>
      </c>
      <c r="CB109" s="2" t="e">
        <f ca="1">_xll.BDH($C$103,"TOT_DEBT_TO_EBITDA","FQ1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109" s="2" t="e">
        <f ca="1">_xll.BDH($C$103,"NET_DEBT_TO_EBITDA","FQ1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109" s="2" t="e">
        <f ca="1">_xll.BDH($C$103,"TOTAL_DEBT_TO_EBIT","FQ1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109" s="2" t="e">
        <f ca="1">_xll.BDH($C$103,"NET_DEBT_TO_EBIT","FQ1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109" s="2" t="e">
        <f ca="1">_xll.BDH($C$103,"EBITDA_TO_INTEREST_EXPN","FQ1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109" s="2" t="e">
        <f ca="1">_xll.BDH($C$103,"COM_EQY_TO_TOT_ASSET","FQ1 2015","FQ1 2015","Currency=INR","Period=FQ","BEST_FPERIOD_OVERRIDE=FQ","FILING_STATUS=OR","EQY_CONSOLIDATED=Y","Sort=A","Dates=H","DateFormat=P","Fill=—","Direction=H","UseDPDF=Y")</f>
        <v>#NAME?</v>
      </c>
      <c r="CH109" s="2" t="e">
        <f ca="1">_xll.BDH($C$103,"LT_DEBT_TO_TOT_EQY","FQ1 2015","FQ1 2015","Currency=INR","Period=FQ","BEST_FPERIOD_OVERRIDE=FQ","FILING_STATUS=OR","EQY_CONSOLIDATED=Y","Sort=A","Dates=H","DateFormat=P","Fill=—","Direction=H","UseDPDF=Y")</f>
        <v>#NAME?</v>
      </c>
      <c r="CI109" s="2" t="e">
        <f ca="1">_xll.BDH($C$103,"LT_DEBT_TO_TOT_CAP","FQ1 2015","FQ1 2015","Currency=INR","Period=FQ","BEST_FPERIOD_OVERRIDE=FQ","FILING_STATUS=OR","EQY_CONSOLIDATED=Y","Sort=A","Dates=H","DateFormat=P","Fill=—","Direction=H","UseDPDF=Y")</f>
        <v>#NAME?</v>
      </c>
      <c r="CJ109" s="2" t="e">
        <f ca="1">_xll.BDH($C$103,"LT_DEBT_TO_TOT_ASSET","FQ1 2015","FQ1 2015","Currency=INR","Period=FQ","BEST_FPERIOD_OVERRIDE=FQ","FILING_STATUS=OR","EQY_CONSOLIDATED=Y","Sort=A","Dates=H","DateFormat=P","Fill=—","Direction=H","UseDPDF=Y")</f>
        <v>#NAME?</v>
      </c>
      <c r="CK109" s="2" t="e">
        <f ca="1">_xll.BDH($C$103,"TOT_DEBT_TO_TOT_EQY","FQ1 2015","FQ1 2015","Currency=INR","Period=FQ","BEST_FPERIOD_OVERRIDE=FQ","FILING_STATUS=OR","EQY_CONSOLIDATED=Y","Sort=A","Dates=H","DateFormat=P","Fill=—","Direction=H","UseDPDF=Y")</f>
        <v>#NAME?</v>
      </c>
      <c r="CL109" s="2" t="e">
        <f ca="1">_xll.BDH($C$103,"TOT_DEBT_TO_TOT_CAP","FQ1 2015","FQ1 2015","Currency=INR","Period=FQ","BEST_FPERIOD_OVERRIDE=FQ","FILING_STATUS=OR","EQY_CONSOLIDATED=Y","Sort=A","Dates=H","DateFormat=P","Fill=—","Direction=H","UseDPDF=Y")</f>
        <v>#NAME?</v>
      </c>
      <c r="CM109" s="2" t="e">
        <f ca="1">_xll.BDH($C$103,"TOT_DEBT_TO_TOT_ASSET","FQ1 2015","FQ1 2015","Currency=INR","Period=FQ","BEST_FPERIOD_OVERRIDE=FQ","FILING_STATUS=OR","EQY_CONSOLIDATED=Y","Sort=A","Dates=H","DateFormat=P","Fill=—","Direction=H","UseDPDF=Y")</f>
        <v>#NAME?</v>
      </c>
      <c r="CN109" s="2" t="e">
        <f ca="1">_xll.BDH($C$103,"NET_DEBT_TO_SHRHLDR_EQTY","FQ1 2015","FQ1 2015","Currency=INR","Period=FQ","BEST_FPERIOD_OVERRIDE=FQ","FILING_STATUS=OR","EQY_CONSOLIDATED=Y","Sort=A","Dates=H","DateFormat=P","Fill=—","Direction=H","UseDPDF=Y")</f>
        <v>#NAME?</v>
      </c>
      <c r="CO109" s="2" t="e">
        <f ca="1">_xll.BDH($C$103,"NET_DEBT_%_CAPITAL","FQ1 2015","FQ1 2015","Currency=INR","Period=FQ","BEST_FPERIOD_OVERRIDE=FQ","FILING_STATUS=OR","EQY_CONSOLIDATED=Y","Sort=A","Dates=H","DateFormat=P","Fill=—","Direction=H","UseDPDF=Y")</f>
        <v>#NAME?</v>
      </c>
      <c r="CP109" s="3" t="e">
        <f ca="1">_xll.BDH($C$103,"EBITDA","FQ1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109" s="3" t="e">
        <f ca="1">_xll.BDH($C$103,"EBITDA_AFTER_CAPEX","FQ1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109" s="3" t="e">
        <f ca="1">_xll.BDH($C$103,"IS_OPER_INC","FQ1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109" s="2" t="e">
        <f ca="1">_xll.BDH($C$103,"CASH_RATIO","FQ1 2015","FQ1 2015","Currency=INR","Period=FQ","BEST_FPERIOD_OVERRIDE=FQ","FILING_STATUS=OR","EQY_CONSOLIDATED=Y","Sort=A","Dates=H","DateFormat=P","Fill=—","Direction=H","UseDPDF=Y")</f>
        <v>#NAME?</v>
      </c>
      <c r="CT109" s="2" t="e">
        <f ca="1">_xll.BDH($C$103,"CUR_RATIO","FQ1 2015","FQ1 2015","Currency=INR","Period=FQ","BEST_FPERIOD_OVERRIDE=FQ","FILING_STATUS=OR","EQY_CONSOLIDATED=Y","Sort=A","Dates=H","DateFormat=P","Fill=—","Direction=H","UseDPDF=Y")</f>
        <v>#NAME?</v>
      </c>
      <c r="CU109" s="2" t="e">
        <f ca="1">_xll.BDH($C$103,"QUICK_RATIO","FQ1 2015","FQ1 2015","Currency=INR","Period=FQ","BEST_FPERIOD_OVERRIDE=FQ","FILING_STATUS=OR","EQY_CONSOLIDATED=Y","Sort=A","Dates=H","DateFormat=P","Fill=—","Direction=H","UseDPDF=Y")</f>
        <v>#NAME?</v>
      </c>
      <c r="CV109" s="2" t="e">
        <f ca="1">_xll.BDH($C$103,"ALTMAN_Z_SCORE","FQ1 2015","FQ1 2015","Currency=INR","Period=FQ","BEST_FPERIOD_OVERRIDE=FQ","FILING_STATUS=OR","EQY_CONSOLIDATED=Y","Sort=A","Dates=H","DateFormat=P","Fill=—","Direction=H","UseDPDF=Y")</f>
        <v>#NAME?</v>
      </c>
      <c r="CW109" s="4" t="e">
        <f ca="1">_xll.BDH($C$103,"ACCT_RCV_TURN","FQ1 2015","FQ1 2015","Currency=INR","Period=FQ","BEST_FPERIOD_OVERRIDE=FQ","FILING_STATUS=OR","EQY_CONSOLIDATED=Y","FA_ADJUSTED=GAAP","Sort=A","Dates=H","DateFormat=P","Fill=—","Direction=H","UseDPDF=Y")</f>
        <v>#NAME?</v>
      </c>
      <c r="CX109" s="2" t="e">
        <f ca="1">_xll.BDH($C$103,"ACCT_RCV_DAYS","FQ1 2015","FQ1 2015","Currency=INR","Period=FQ","BEST_FPERIOD_OVERRIDE=FQ","FILING_STATUS=OR","EQY_CONSOLIDATED=Y","FA_ADJUSTED=GAAP","Sort=A","Dates=H","DateFormat=P","Fill=—","Direction=H","UseDPDF=Y")</f>
        <v>#NAME?</v>
      </c>
      <c r="CY109" s="4" t="e">
        <f ca="1">_xll.BDH($C$103,"INVENT_TURN","FQ1 2015","FQ1 2015","Currency=INR","Period=FQ","BEST_FPERIOD_OVERRIDE=FQ","FILING_STATUS=OR","EQY_CONSOLIDATED=Y","FA_ADJUSTED=GAAP","Sort=A","Dates=H","DateFormat=P","Fill=—","Direction=H","UseDPDF=Y")</f>
        <v>#NAME?</v>
      </c>
      <c r="CZ109" s="2" t="e">
        <f ca="1">_xll.BDH($C$103,"INVENT_DAYS","FQ1 2015","FQ1 2015","Currency=INR","Period=FQ","BEST_FPERIOD_OVERRIDE=FQ","FILING_STATUS=OR","EQY_CONSOLIDATED=Y","FA_ADJUSTED=GAAP","Sort=A","Dates=H","DateFormat=P","Fill=—","Direction=H","UseDPDF=Y")</f>
        <v>#NAME?</v>
      </c>
      <c r="DA109" s="4" t="e">
        <f ca="1">_xll.BDH($C$103,"ACCOUNTS_PAYABLE_TURNOVER","FQ1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109" s="2" t="e">
        <f ca="1">_xll.BDH($C$103,"ACCOUNTS_PAYABLE_TURNOVER_DAYS","FQ1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109" s="4" t="e">
        <f ca="1">_xll.BDH($C$103,"CASH_CONVERSION_CYCLE","FQ1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109" s="4" t="e">
        <f ca="1">_xll.BDH($C$103,"INV_TO_CASH_DAYS","FQ1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109" s="5" t="e">
        <f ca="1">_xll.BDH($C$103,"BS_INVENTORIES","FQ1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109" s="3" t="e">
        <f ca="1">_xll.BDH($C$103,"INVTRY_RAW_MATERIALS","FQ1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109" s="3" t="e">
        <f ca="1">_xll.BDH($C$103,"INVTRY_IN_PROGRESS","FQ1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109" s="3" t="e">
        <f ca="1">_xll.BDH($C$103,"INVTRY_FINISHED_GOODS","FQ1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109" s="3" t="e">
        <f ca="1">_xll.BDH($C$103,"BS_OTHER_INV","FQ1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110" spans="1:113" x14ac:dyDescent="0.3">
      <c r="A110" s="6"/>
      <c r="B110" s="6"/>
      <c r="C110" s="6"/>
      <c r="D110" s="6"/>
      <c r="E110" t="s">
        <v>79</v>
      </c>
      <c r="F110" t="e">
        <f ca="1">_xll.BDH($C$103,"RETURN_COM_EQY","FQ2 2015","FQ2 2015","Currency=INR","Period=FQ","BEST_FPERIOD_OVERRIDE=FQ","FILING_STATUS=OR","EQY_CONSOLIDATED=Y","FA_ADJUSTED=GAAP","Sort=A","Dates=H","DateFormat=P","Fill=—","Direction=H","UseDPDF=Y")</f>
        <v>#NAME?</v>
      </c>
      <c r="G110" t="e">
        <f ca="1">_xll.BDH($C$103,"RETURN_ON_ASSET","FQ2 2015","FQ2 2015","Currency=INR","Period=FQ","BEST_FPERIOD_OVERRIDE=FQ","FILING_STATUS=OR","EQY_CONSOLIDATED=Y","FA_ADJUSTED=GAAP","Sort=A","Dates=H","DateFormat=P","Fill=—","Direction=H","UseDPDF=Y")</f>
        <v>#NAME?</v>
      </c>
      <c r="H110" t="e">
        <f ca="1">_xll.BDH($C$103,"RETURN_ON_CAP","FQ2 2015","FQ2 2015","Currency=INR","Period=FQ","BEST_FPERIOD_OVERRIDE=FQ","FILING_STATUS=OR","EQY_CONSOLIDATED=Y","FA_ADJUSTED=GAAP","Sort=A","Dates=H","DateFormat=P","Fill=—","Direction=H","UseDPDF=Y")</f>
        <v>#NAME?</v>
      </c>
      <c r="I110" t="e">
        <f ca="1">_xll.BDH($C$103,"RETURN_ON_INV_CAPITAL","FQ2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110" t="e">
        <f ca="1">_xll.BDH($C$103,"EBITDA_TO_REVENUE","FQ2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110" t="e">
        <f ca="1">_xll.BDH($C$103,"OPER_MARGIN","FQ2 2015","FQ2 2015","Currency=INR","Period=FQ","BEST_FPERIOD_OVERRIDE=FQ","FILING_STATUS=OR","EQY_CONSOLIDATED=Y","FA_ADJUSTED=GAAP","Sort=A","Dates=H","DateFormat=P","Fill=—","Direction=H","UseDPDF=Y")</f>
        <v>#NAME?</v>
      </c>
      <c r="L110" t="e">
        <f ca="1">_xll.BDH($C$103,"INCREMENTAL_OPERATING_MARGIN","FQ2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110" t="e">
        <f ca="1">_xll.BDH($C$103,"PRETAX_INC_TO_NET_SALES","FQ2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110" t="e">
        <f ca="1">_xll.BDH($C$103,"INC_BEF_XO_ITEMS_TO_NET_SALES","FQ2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110" t="e">
        <f ca="1">_xll.BDH($C$103,"PROF_MARGIN","FQ2 2015","FQ2 2015","Currency=INR","Period=FQ","BEST_FPERIOD_OVERRIDE=FQ","FILING_STATUS=OR","EQY_CONSOLIDATED=Y","FA_ADJUSTED=GAAP","Sort=A","Dates=H","DateFormat=P","Fill=—","Direction=H","UseDPDF=Y")</f>
        <v>#NAME?</v>
      </c>
      <c r="P110" t="e">
        <f ca="1">_xll.BDH($C$103,"NET_INCOME_TO_COMMON_MARGIN","FQ2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110" t="e">
        <f ca="1">_xll.BDH($C$103,"EFF_TAX_RATE","FQ2 2015","FQ2 2015","Currency=INR","Period=FQ","BEST_FPERIOD_OVERRIDE=FQ","FILING_STATUS=OR","EQY_CONSOLIDATED=Y","FA_ADJUSTED=GAAP","Sort=A","Dates=H","DateFormat=P","Fill=—","Direction=H","UseDPDF=Y")</f>
        <v>#NAME?</v>
      </c>
      <c r="R110" t="e">
        <f ca="1">_xll.BDH($C$103,"DVD_PAYOUT_RATIO","FQ2 2015","FQ2 2015","Currency=INR","Period=FQ","BEST_FPERIOD_OVERRIDE=FQ","FILING_STATUS=OR","EQY_CONSOLIDATED=Y","FA_ADJUSTED=GAAP","Sort=A","Dates=H","DateFormat=P","Fill=—","Direction=H","UseDPDF=Y")</f>
        <v>#NAME?</v>
      </c>
      <c r="S110" t="e">
        <f ca="1">_xll.BDH($C$103,"SUSTAIN_GROWTH_RT","FQ2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110" s="2" t="e">
        <f ca="1">_xll.BDH($C$103,"SALES_GROWTH","FQ2 2015","FQ2 2015","Currency=INR","Period=FQ","BEST_FPERIOD_OVERRIDE=FQ","FILING_STATUS=OR","EQY_CONSOLIDATED=Y","FA_ADJUSTED=GAAP","Sort=A","Dates=H","DateFormat=P","Fill=—","Direction=H","UseDPDF=Y")</f>
        <v>#NAME?</v>
      </c>
      <c r="U110" s="2" t="e">
        <f ca="1">_xll.BDH($C$103,"EBITDA_GROWTH","FQ2 2015","FQ2 2015","Currency=INR","Period=FQ","BEST_FPERIOD_OVERRIDE=FQ","FILING_STATUS=OR","EQY_CONSOLIDATED=Y","FA_ADJUSTED=GAAP","Sort=A","Dates=H","DateFormat=P","Fill=—","Direction=H","UseDPDF=Y")</f>
        <v>#NAME?</v>
      </c>
      <c r="V110" s="2" t="e">
        <f ca="1">_xll.BDH($C$103,"OPER_INC_GROWTH","FQ2 2015","FQ2 2015","Currency=INR","Period=FQ","BEST_FPERIOD_OVERRIDE=FQ","FILING_STATUS=OR","EQY_CONSOLIDATED=Y","FA_ADJUSTED=GAAP","Sort=A","Dates=H","DateFormat=P","Fill=—","Direction=H","UseDPDF=Y")</f>
        <v>#NAME?</v>
      </c>
      <c r="W110" s="2" t="e">
        <f ca="1">_xll.BDH($C$103,"EARN_FOR_COM_GROWTH","FQ2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110" s="2" t="e">
        <f ca="1">_xll.BDH($C$103,"DILUTED_EPS_AFT_XO_ITEMS_GROWTH","FQ2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110" s="2" t="e">
        <f ca="1">_xll.BDH($C$103,"DIVIDEND_PER_SHARE_1_YEAR_GROWTH","FQ2 2015","FQ2 2015","Currency=INR","Period=FQ","BEST_FPERIOD_OVERRIDE=FQ","FILING_STATUS=OR","EQY_CONSOLIDATED=Y","Sort=A","Dates=H","DateFormat=P","Fill=—","Direction=H","UseDPDF=Y")</f>
        <v>#NAME?</v>
      </c>
      <c r="Z110" s="2" t="e">
        <f ca="1">_xll.BDH($C$103,"ACCOUNTS_RECEIVABLE_GROWTH","FQ2 2015","FQ2 2015","Currency=INR","Period=FQ","BEST_FPERIOD_OVERRIDE=FQ","FILING_STATUS=OR","EQY_CONSOLIDATED=Y","Sort=A","Dates=H","DateFormat=P","Fill=—","Direction=H","UseDPDF=Y")</f>
        <v>#NAME?</v>
      </c>
      <c r="AA110" s="2" t="e">
        <f ca="1">_xll.BDH($C$103,"INVENTORY_GROWTH","FQ2 2015","FQ2 2015","Currency=INR","Period=FQ","BEST_FPERIOD_OVERRIDE=FQ","FILING_STATUS=OR","EQY_CONSOLIDATED=Y","Sort=A","Dates=H","DateFormat=P","Fill=—","Direction=H","UseDPDF=Y")</f>
        <v>#NAME?</v>
      </c>
      <c r="AB110" s="2" t="e">
        <f ca="1">_xll.BDH($C$103,"NET_FIXED_ASSETS_1_YEAR_GROWTH","FQ2 2015","FQ2 2015","Currency=INR","Period=FQ","BEST_FPERIOD_OVERRIDE=FQ","FILING_STATUS=OR","EQY_CONSOLIDATED=Y","Sort=A","Dates=H","DateFormat=P","Fill=—","Direction=H","UseDPDF=Y")</f>
        <v>#NAME?</v>
      </c>
      <c r="AC110" s="2" t="e">
        <f ca="1">_xll.BDH($C$103,"ASSET_GROWTH","FQ2 2015","FQ2 2015","Currency=INR","Period=FQ","BEST_FPERIOD_OVERRIDE=FQ","FILING_STATUS=OR","EQY_CONSOLIDATED=Y","Sort=A","Dates=H","DateFormat=P","Fill=—","Direction=H","UseDPDF=Y")</f>
        <v>#NAME?</v>
      </c>
      <c r="AD110" s="2" t="e">
        <f ca="1">_xll.BDH($C$103,"MODIFIED_WORK_CAP_GROWTH","FQ2 2015","FQ2 2015","Currency=INR","Period=FQ","BEST_FPERIOD_OVERRIDE=FQ","FILING_STATUS=OR","EQY_CONSOLIDATED=Y","Sort=A","Dates=H","DateFormat=P","Fill=—","Direction=H","UseDPDF=Y")</f>
        <v>#NAME?</v>
      </c>
      <c r="AE110" s="2" t="e">
        <f ca="1">_xll.BDH($C$103,"WORK_CAP_GROWTH","FQ2 2015","FQ2 2015","Currency=INR","Period=FQ","BEST_FPERIOD_OVERRIDE=FQ","FILING_STATUS=OR","EQY_CONSOLIDATED=Y","Sort=A","Dates=H","DateFormat=P","Fill=—","Direction=H","UseDPDF=Y")</f>
        <v>#NAME?</v>
      </c>
      <c r="AF110" s="2" t="e">
        <f ca="1">_xll.BDH($C$103,"ACCOUNTS_PAYABLE_GROWTH_1YR","FQ2 2015","FQ2 2015","Currency=INR","Period=FQ","BEST_FPERIOD_OVERRIDE=FQ","FILING_STATUS=OR","EQY_CONSOLIDATED=Y","Sort=A","Dates=H","DateFormat=P","Fill=—","Direction=H","UseDPDF=Y")</f>
        <v>#NAME?</v>
      </c>
      <c r="AG110" s="2" t="e">
        <f ca="1">_xll.BDH($C$103,"SHORT_TERM_DEBT_1_YEAR_GROWTH","FQ2 2015","FQ2 2015","Currency=INR","Period=FQ","BEST_FPERIOD_OVERRIDE=FQ","FILING_STATUS=OR","EQY_CONSOLIDATED=Y","Sort=A","Dates=H","DateFormat=P","Fill=—","Direction=H","UseDPDF=Y")</f>
        <v>#NAME?</v>
      </c>
      <c r="AH110" s="2" t="e">
        <f ca="1">_xll.BDH($C$103,"TOTAL_DEBT_1_YEAR_GROWTH","FQ2 2015","FQ2 2015","Currency=INR","Period=FQ","BEST_FPERIOD_OVERRIDE=FQ","FILING_STATUS=OR","EQY_CONSOLIDATED=Y","Sort=A","Dates=H","DateFormat=P","Fill=—","Direction=H","UseDPDF=Y")</f>
        <v>#NAME?</v>
      </c>
      <c r="AI110" s="2" t="e">
        <f ca="1">_xll.BDH($C$103,"TOTAL_EQUITY_1_YEAR_GROWTH","FQ2 2015","FQ2 2015","Currency=INR","Period=FQ","BEST_FPERIOD_OVERRIDE=FQ","FILING_STATUS=OR","EQY_CONSOLIDATED=Y","Sort=A","Dates=H","DateFormat=P","Fill=—","Direction=H","UseDPDF=Y")</f>
        <v>#NAME?</v>
      </c>
      <c r="AJ110" s="2" t="e">
        <f ca="1">_xll.BDH($C$103,"GROWTH_IN_CAP","FQ2 2015","FQ2 2015","Currency=INR","Period=FQ","BEST_FPERIOD_OVERRIDE=FQ","FILING_STATUS=OR","EQY_CONSOLIDATED=Y","Sort=A","Dates=H","DateFormat=P","Fill=—","Direction=H","UseDPDF=Y")</f>
        <v>#NAME?</v>
      </c>
      <c r="AK110" s="2" t="e">
        <f ca="1">_xll.BDH($C$103,"BVPS_GROWTH","FQ2 2015","FQ2 2015","Currency=INR","Period=FQ","BEST_FPERIOD_OVERRIDE=FQ","FILING_STATUS=OR","EQY_CONSOLIDATED=Y","Sort=A","Dates=H","DateFormat=P","Fill=—","Direction=H","UseDPDF=Y")</f>
        <v>#NAME?</v>
      </c>
      <c r="AL110" s="2" t="e">
        <f ca="1">_xll.BDH($C$103,"CASH_FLOW_GROWTH","FQ2 2015","FQ2 2015","Currency=INR","Period=FQ","BEST_FPERIOD_OVERRIDE=FQ","FILING_STATUS=OR","EQY_CONSOLIDATED=Y","Sort=A","Dates=H","DateFormat=P","Fill=—","Direction=H","UseDPDF=Y")</f>
        <v>#NAME?</v>
      </c>
      <c r="AM110" s="2" t="e">
        <f ca="1">_xll.BDH($C$103,"GEO_GROW_NET_SALES","FQ2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110" s="2" t="e">
        <f ca="1">_xll.BDH($C$103,"GEO_GROW_EBITDA","FQ2 2015","FQ2 2015","Currency=INR","Period=FQ","BEST_FPERIOD_OVERRIDE=FQ","FILING_STATUS=OR","EQY_CONSOLIDATED=Y","FA_ADJUSTED=GAAP","Sort=A","Dates=H","DateFormat=P","Fill=—","Direction=H","UseDPDF=Y")</f>
        <v>#NAME?</v>
      </c>
      <c r="AO110" s="2" t="e">
        <f ca="1">_xll.BDH($C$103,"GEO_GROW_OPER_INC","FQ2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110" s="2" t="e">
        <f ca="1">_xll.BDH($C$103,"NET_INCOME_TO_COMMON_5_YR_GROWTH","FQ2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110" s="2" t="e">
        <f ca="1">_xll.BDH($C$103,"5Y_GEO_GROWTH_DILUTED_EPS","FQ2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110" s="2" t="e">
        <f ca="1">_xll.BDH($C$103,"GEO_GROW_DVD_PER_SH","FQ2 2015","FQ2 2015","Currency=INR","Period=FQ","BEST_FPERIOD_OVERRIDE=FQ","FILING_STATUS=OR","EQY_CONSOLIDATED=Y","Sort=A","Dates=H","DateFormat=P","Fill=—","Direction=H","UseDPDF=Y")</f>
        <v>#NAME?</v>
      </c>
      <c r="AS110" s="2" t="e">
        <f ca="1">_xll.BDH($C$103,"ACCOUNTS_RECEIVABLE_5_YR_GROWTH","FQ2 2015","FQ2 2015","Currency=INR","Period=FQ","BEST_FPERIOD_OVERRIDE=FQ","FILING_STATUS=OR","EQY_CONSOLIDATED=Y","Sort=A","Dates=H","DateFormat=P","Fill=—","Direction=H","UseDPDF=Y")</f>
        <v>#NAME?</v>
      </c>
      <c r="AT110" s="2" t="e">
        <f ca="1">_xll.BDH($C$103,"INVENTORY_5_YEAR_GROWTH","FQ2 2015","FQ2 2015","Currency=INR","Period=FQ","BEST_FPERIOD_OVERRIDE=FQ","FILING_STATUS=OR","EQY_CONSOLIDATED=Y","Sort=A","Dates=H","DateFormat=P","Fill=—","Direction=H","UseDPDF=Y")</f>
        <v>#NAME?</v>
      </c>
      <c r="AU110" s="2" t="e">
        <f ca="1">_xll.BDH($C$103,"NET_FIXED_ASSETS_5_YEAR_GROWTH","FQ2 2015","FQ2 2015","Currency=INR","Period=FQ","BEST_FPERIOD_OVERRIDE=FQ","FILING_STATUS=OR","EQY_CONSOLIDATED=Y","Sort=A","Dates=H","DateFormat=P","Fill=—","Direction=H","UseDPDF=Y")</f>
        <v>#NAME?</v>
      </c>
      <c r="AV110" s="2" t="e">
        <f ca="1">_xll.BDH($C$103,"GEO_GROW_TOT_ASSET","FQ2 2015","FQ2 2015","Currency=INR","Period=FQ","BEST_FPERIOD_OVERRIDE=FQ","FILING_STATUS=OR","EQY_CONSOLIDATED=Y","Sort=A","Dates=H","DateFormat=P","Fill=—","Direction=H","UseDPDF=Y")</f>
        <v>#NAME?</v>
      </c>
      <c r="AW110" s="2" t="e">
        <f ca="1">_xll.BDH($C$103,"MODIFIED_WORKING_CPTL_5YR_GRWTH","FQ2 2015","FQ2 2015","Currency=INR","Period=FQ","BEST_FPERIOD_OVERRIDE=FQ","FILING_STATUS=OR","EQY_CONSOLIDATED=Y","Sort=A","Dates=H","DateFormat=P","Fill=—","Direction=H","UseDPDF=Y")</f>
        <v>#NAME?</v>
      </c>
      <c r="AX110" s="2" t="e">
        <f ca="1">_xll.BDH($C$103,"WORKING_CAPITAL_5_YEAR_GROWTH","FQ2 2015","FQ2 2015","Currency=INR","Period=FQ","BEST_FPERIOD_OVERRIDE=FQ","FILING_STATUS=OR","EQY_CONSOLIDATED=Y","Sort=A","Dates=H","DateFormat=P","Fill=—","Direction=H","UseDPDF=Y")</f>
        <v>#NAME?</v>
      </c>
      <c r="AY110" s="2" t="e">
        <f ca="1">_xll.BDH($C$103,"ACCOUNTS_PAYABLE_5_YEAR_GROWTH","FQ2 2015","FQ2 2015","Currency=INR","Period=FQ","BEST_FPERIOD_OVERRIDE=FQ","FILING_STATUS=OR","EQY_CONSOLIDATED=Y","Sort=A","Dates=H","DateFormat=P","Fill=—","Direction=H","UseDPDF=Y")</f>
        <v>#NAME?</v>
      </c>
      <c r="AZ110" s="2" t="e">
        <f ca="1">_xll.BDH($C$103,"SHORT_TERM_DEBT_5_YEAR_GROWTH","FQ2 2015","FQ2 2015","Currency=INR","Period=FQ","BEST_FPERIOD_OVERRIDE=FQ","FILING_STATUS=OR","EQY_CONSOLIDATED=Y","Sort=A","Dates=H","DateFormat=P","Fill=—","Direction=H","UseDPDF=Y")</f>
        <v>#NAME?</v>
      </c>
      <c r="BA110" s="2" t="e">
        <f ca="1">_xll.BDH($C$103,"TOTAL_DEBT_5_YEAR_GROWTH","FQ2 2015","FQ2 2015","Currency=INR","Period=FQ","BEST_FPERIOD_OVERRIDE=FQ","FILING_STATUS=OR","EQY_CONSOLIDATED=Y","Sort=A","Dates=H","DateFormat=P","Fill=—","Direction=H","UseDPDF=Y")</f>
        <v>#NAME?</v>
      </c>
      <c r="BB110" s="2" t="e">
        <f ca="1">_xll.BDH($C$103,"GEO_GROW_TOT_SHRHLDR_EQY","FQ2 2015","FQ2 2015","Currency=INR","Period=FQ","BEST_FPERIOD_OVERRIDE=FQ","FILING_STATUS=OR","EQY_CONSOLIDATED=Y","Sort=A","Dates=H","DateFormat=P","Fill=—","Direction=H","UseDPDF=Y")</f>
        <v>#NAME?</v>
      </c>
      <c r="BC110" s="2" t="e">
        <f ca="1">_xll.BDH($C$103,"TOTAL_CAPITAL_5_YEAR_GROWTH","FQ2 2015","FQ2 2015","Currency=INR","Period=FQ","BEST_FPERIOD_OVERRIDE=FQ","FILING_STATUS=OR","EQY_CONSOLIDATED=Y","Sort=A","Dates=H","DateFormat=P","Fill=—","Direction=H","UseDPDF=Y")</f>
        <v>#NAME?</v>
      </c>
      <c r="BD110" s="2" t="e">
        <f ca="1">_xll.BDH($C$103,"GEO_GROW_BOOK_VAL","FQ2 2015","FQ2 2015","Currency=INR","Period=FQ","BEST_FPERIOD_OVERRIDE=FQ","FILING_STATUS=OR","EQY_CONSOLIDATED=Y","Sort=A","Dates=H","DateFormat=P","Fill=—","Direction=H","UseDPDF=Y")</f>
        <v>#NAME?</v>
      </c>
      <c r="BE110" s="2" t="e">
        <f ca="1">_xll.BDH($C$103,"GEO_GROW_CASH_OPER_ACT","FQ2 2015","FQ2 2015","Currency=INR","Period=FQ","BEST_FPERIOD_OVERRIDE=FQ","FILING_STATUS=OR","EQY_CONSOLIDATED=Y","Sort=A","Dates=H","DateFormat=P","Fill=—","Direction=H","UseDPDF=Y")</f>
        <v>#NAME?</v>
      </c>
      <c r="BF110" s="2" t="e">
        <f ca="1">_xll.BDH($C$103,"REVENUE_SEQUENTIAL_GROWTH","FQ2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110" s="2" t="e">
        <f ca="1">_xll.BDH($C$103,"EBITDA_SEQUENTIAL_GROWTH","FQ2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110" s="2" t="e">
        <f ca="1">_xll.BDH($C$103,"OPERATING_INCOME_SEQ_GROWTH","FQ2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110" s="2" t="e">
        <f ca="1">_xll.BDH($C$103,"NET_INCOME_TO_COMMON_SEQ_GROWTH","FQ2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110" s="2" t="e">
        <f ca="1">_xll.BDH($C$103,"EPS_DILUTED_SEQUENTIAL_GROWTH","FQ2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110" s="2" t="e">
        <f ca="1">_xll.BDH($C$103,"DPS_SEQUENTIAL_GROWTH","FQ2 2015","FQ2 2015","Currency=INR","Period=FQ","BEST_FPERIOD_OVERRIDE=FQ","FILING_STATUS=OR","EQY_CONSOLIDATED=Y","Sort=A","Dates=H","DateFormat=P","Fill=—","Direction=H","UseDPDF=Y")</f>
        <v>#NAME?</v>
      </c>
      <c r="BL110" s="2" t="e">
        <f ca="1">_xll.BDH($C$103,"ACCOUNTS_RECEIVABLE_SEQ_GROWTH","FQ2 2015","FQ2 2015","Currency=INR","Period=FQ","BEST_FPERIOD_OVERRIDE=FQ","FILING_STATUS=OR","EQY_CONSOLIDATED=Y","Sort=A","Dates=H","DateFormat=P","Fill=—","Direction=H","UseDPDF=Y")</f>
        <v>#NAME?</v>
      </c>
      <c r="BM110" s="2" t="e">
        <f ca="1">_xll.BDH($C$103,"INVENTORY_SEQUENTIAL_GROWTH","FQ2 2015","FQ2 2015","Currency=INR","Period=FQ","BEST_FPERIOD_OVERRIDE=FQ","FILING_STATUS=OR","EQY_CONSOLIDATED=Y","Sort=A","Dates=H","DateFormat=P","Fill=—","Direction=H","UseDPDF=Y")</f>
        <v>#NAME?</v>
      </c>
      <c r="BN110" s="2" t="e">
        <f ca="1">_xll.BDH($C$103,"FIXED_ASSETS_SEQUENTIAL_GROWTH","FQ2 2015","FQ2 2015","Currency=INR","Period=FQ","BEST_FPERIOD_OVERRIDE=FQ","FILING_STATUS=OR","EQY_CONSOLIDATED=Y","Sort=A","Dates=H","DateFormat=P","Fill=—","Direction=H","UseDPDF=Y")</f>
        <v>#NAME?</v>
      </c>
      <c r="BO110" s="2" t="e">
        <f ca="1">_xll.BDH($C$103,"TOTAL_ASSETS_SEQUENTIAL_GROWTH","FQ2 2015","FQ2 2015","Currency=INR","Period=FQ","BEST_FPERIOD_OVERRIDE=FQ","FILING_STATUS=OR","EQY_CONSOLIDATED=Y","Sort=A","Dates=H","DateFormat=P","Fill=—","Direction=H","UseDPDF=Y")</f>
        <v>#NAME?</v>
      </c>
      <c r="BP110" s="2" t="e">
        <f ca="1">_xll.BDH($C$103,"MODIFIED_WORKING_CPTL_SEQ_GRWTH","FQ2 2015","FQ2 2015","Currency=INR","Period=FQ","BEST_FPERIOD_OVERRIDE=FQ","FILING_STATUS=OR","EQY_CONSOLIDATED=Y","Sort=A","Dates=H","DateFormat=P","Fill=—","Direction=H","UseDPDF=Y")</f>
        <v>#NAME?</v>
      </c>
      <c r="BQ110" s="2" t="e">
        <f ca="1">_xll.BDH($C$103,"WORKING_CAPITAL_SEQ_GROWTH","FQ2 2015","FQ2 2015","Currency=INR","Period=FQ","BEST_FPERIOD_OVERRIDE=FQ","FILING_STATUS=OR","EQY_CONSOLIDATED=Y","Sort=A","Dates=H","DateFormat=P","Fill=—","Direction=H","UseDPDF=Y")</f>
        <v>#NAME?</v>
      </c>
      <c r="BR110" s="2" t="e">
        <f ca="1">_xll.BDH($C$103,"ACCOUNTS_PAYABLE_SEQ_GROWTH","FQ2 2015","FQ2 2015","Currency=INR","Period=FQ","BEST_FPERIOD_OVERRIDE=FQ","FILING_STATUS=OR","EQY_CONSOLIDATED=Y","Sort=A","Dates=H","DateFormat=P","Fill=—","Direction=H","UseDPDF=Y")</f>
        <v>#NAME?</v>
      </c>
      <c r="BS110" s="2" t="e">
        <f ca="1">_xll.BDH($C$103,"ST_DEBT_SEQUENTIAL_GROWTH","FQ2 2015","FQ2 2015","Currency=INR","Period=FQ","BEST_FPERIOD_OVERRIDE=FQ","FILING_STATUS=OR","EQY_CONSOLIDATED=Y","Sort=A","Dates=H","DateFormat=P","Fill=—","Direction=H","UseDPDF=Y")</f>
        <v>#NAME?</v>
      </c>
      <c r="BT110" s="2" t="e">
        <f ca="1">_xll.BDH($C$103,"TOTAL_DEBT_SEQUENTIAL_GROWTH","FQ2 2015","FQ2 2015","Currency=INR","Period=FQ","BEST_FPERIOD_OVERRIDE=FQ","FILING_STATUS=OR","EQY_CONSOLIDATED=Y","Sort=A","Dates=H","DateFormat=P","Fill=—","Direction=H","UseDPDF=Y")</f>
        <v>#NAME?</v>
      </c>
      <c r="BU110" s="2" t="e">
        <f ca="1">_xll.BDH($C$103,"TOTAL_EQUITY_SEQUENTIAL_GROWTH","FQ2 2015","FQ2 2015","Currency=INR","Period=FQ","BEST_FPERIOD_OVERRIDE=FQ","FILING_STATUS=OR","EQY_CONSOLIDATED=Y","Sort=A","Dates=H","DateFormat=P","Fill=—","Direction=H","UseDPDF=Y")</f>
        <v>#NAME?</v>
      </c>
      <c r="BV110" s="2" t="e">
        <f ca="1">_xll.BDH($C$103,"TOTAL_CAPITAL_SEQUENTIAL_GROWTH","FQ2 2015","FQ2 2015","Currency=INR","Period=FQ","BEST_FPERIOD_OVERRIDE=FQ","FILING_STATUS=OR","EQY_CONSOLIDATED=Y","Sort=A","Dates=H","DateFormat=P","Fill=—","Direction=H","UseDPDF=Y")</f>
        <v>#NAME?</v>
      </c>
      <c r="BW110" s="2" t="e">
        <f ca="1">_xll.BDH($C$103,"BPS_SEQUENTIAL_GROWTH","FQ2 2015","FQ2 2015","Currency=INR","Period=FQ","BEST_FPERIOD_OVERRIDE=FQ","FILING_STATUS=OR","EQY_CONSOLIDATED=Y","Sort=A","Dates=H","DateFormat=P","Fill=—","Direction=H","UseDPDF=Y")</f>
        <v>#NAME?</v>
      </c>
      <c r="BX110" s="2" t="e">
        <f ca="1">_xll.BDH($C$103,"CFO_SEQUENTIAL_GROWTH","FQ2 2015","FQ2 2015","Currency=INR","Period=FQ","BEST_FPERIOD_OVERRIDE=FQ","FILING_STATUS=OR","EQY_CONSOLIDATED=Y","Sort=A","Dates=H","DateFormat=P","Fill=—","Direction=H","UseDPDF=Y")</f>
        <v>#NAME?</v>
      </c>
      <c r="BY110" s="3" t="e">
        <f ca="1">_xll.BDH($C$103,"SHORT_AND_LONG_TERM_DEBT","FQ2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110" s="3" t="e">
        <f ca="1">_xll.BDH($C$103,"BS_ST_BORROW","FQ2 2015","FQ2 2015","Currency=INR","Period=FQ","BEST_FPERIOD_OVERRIDE=FQ","FILING_STATUS=OR","EQY_CONSOLIDATED=Y","SCALING_FORMAT=MLN","Sort=A","Dates=H","DateFormat=P","Fill=—","Direction=H","UseDPDF=Y")</f>
        <v>#NAME?</v>
      </c>
      <c r="CA110" s="3" t="e">
        <f ca="1">_xll.BDH($C$103,"BS_LT_BORROW","FQ2 2015","FQ2 2015","Currency=INR","Period=FQ","BEST_FPERIOD_OVERRIDE=FQ","FILING_STATUS=OR","EQY_CONSOLIDATED=Y","SCALING_FORMAT=MLN","Sort=A","Dates=H","DateFormat=P","Fill=—","Direction=H","UseDPDF=Y")</f>
        <v>#NAME?</v>
      </c>
      <c r="CB110" s="2" t="e">
        <f ca="1">_xll.BDH($C$103,"TOT_DEBT_TO_EBITDA","FQ2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110" s="2" t="e">
        <f ca="1">_xll.BDH($C$103,"NET_DEBT_TO_EBITDA","FQ2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110" s="2" t="e">
        <f ca="1">_xll.BDH($C$103,"TOTAL_DEBT_TO_EBIT","FQ2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110" s="2" t="e">
        <f ca="1">_xll.BDH($C$103,"NET_DEBT_TO_EBIT","FQ2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110" s="2" t="e">
        <f ca="1">_xll.BDH($C$103,"EBITDA_TO_INTEREST_EXPN","FQ2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110" s="2" t="e">
        <f ca="1">_xll.BDH($C$103,"COM_EQY_TO_TOT_ASSET","FQ2 2015","FQ2 2015","Currency=INR","Period=FQ","BEST_FPERIOD_OVERRIDE=FQ","FILING_STATUS=OR","EQY_CONSOLIDATED=Y","Sort=A","Dates=H","DateFormat=P","Fill=—","Direction=H","UseDPDF=Y")</f>
        <v>#NAME?</v>
      </c>
      <c r="CH110" s="2" t="e">
        <f ca="1">_xll.BDH($C$103,"LT_DEBT_TO_TOT_EQY","FQ2 2015","FQ2 2015","Currency=INR","Period=FQ","BEST_FPERIOD_OVERRIDE=FQ","FILING_STATUS=OR","EQY_CONSOLIDATED=Y","Sort=A","Dates=H","DateFormat=P","Fill=—","Direction=H","UseDPDF=Y")</f>
        <v>#NAME?</v>
      </c>
      <c r="CI110" s="2" t="e">
        <f ca="1">_xll.BDH($C$103,"LT_DEBT_TO_TOT_CAP","FQ2 2015","FQ2 2015","Currency=INR","Period=FQ","BEST_FPERIOD_OVERRIDE=FQ","FILING_STATUS=OR","EQY_CONSOLIDATED=Y","Sort=A","Dates=H","DateFormat=P","Fill=—","Direction=H","UseDPDF=Y")</f>
        <v>#NAME?</v>
      </c>
      <c r="CJ110" s="2" t="e">
        <f ca="1">_xll.BDH($C$103,"LT_DEBT_TO_TOT_ASSET","FQ2 2015","FQ2 2015","Currency=INR","Period=FQ","BEST_FPERIOD_OVERRIDE=FQ","FILING_STATUS=OR","EQY_CONSOLIDATED=Y","Sort=A","Dates=H","DateFormat=P","Fill=—","Direction=H","UseDPDF=Y")</f>
        <v>#NAME?</v>
      </c>
      <c r="CK110" s="2" t="e">
        <f ca="1">_xll.BDH($C$103,"TOT_DEBT_TO_TOT_EQY","FQ2 2015","FQ2 2015","Currency=INR","Period=FQ","BEST_FPERIOD_OVERRIDE=FQ","FILING_STATUS=OR","EQY_CONSOLIDATED=Y","Sort=A","Dates=H","DateFormat=P","Fill=—","Direction=H","UseDPDF=Y")</f>
        <v>#NAME?</v>
      </c>
      <c r="CL110" s="2" t="e">
        <f ca="1">_xll.BDH($C$103,"TOT_DEBT_TO_TOT_CAP","FQ2 2015","FQ2 2015","Currency=INR","Period=FQ","BEST_FPERIOD_OVERRIDE=FQ","FILING_STATUS=OR","EQY_CONSOLIDATED=Y","Sort=A","Dates=H","DateFormat=P","Fill=—","Direction=H","UseDPDF=Y")</f>
        <v>#NAME?</v>
      </c>
      <c r="CM110" s="2" t="e">
        <f ca="1">_xll.BDH($C$103,"TOT_DEBT_TO_TOT_ASSET","FQ2 2015","FQ2 2015","Currency=INR","Period=FQ","BEST_FPERIOD_OVERRIDE=FQ","FILING_STATUS=OR","EQY_CONSOLIDATED=Y","Sort=A","Dates=H","DateFormat=P","Fill=—","Direction=H","UseDPDF=Y")</f>
        <v>#NAME?</v>
      </c>
      <c r="CN110" s="2" t="e">
        <f ca="1">_xll.BDH($C$103,"NET_DEBT_TO_SHRHLDR_EQTY","FQ2 2015","FQ2 2015","Currency=INR","Period=FQ","BEST_FPERIOD_OVERRIDE=FQ","FILING_STATUS=OR","EQY_CONSOLIDATED=Y","Sort=A","Dates=H","DateFormat=P","Fill=—","Direction=H","UseDPDF=Y")</f>
        <v>#NAME?</v>
      </c>
      <c r="CO110" s="2" t="e">
        <f ca="1">_xll.BDH($C$103,"NET_DEBT_%_CAPITAL","FQ2 2015","FQ2 2015","Currency=INR","Period=FQ","BEST_FPERIOD_OVERRIDE=FQ","FILING_STATUS=OR","EQY_CONSOLIDATED=Y","Sort=A","Dates=H","DateFormat=P","Fill=—","Direction=H","UseDPDF=Y")</f>
        <v>#NAME?</v>
      </c>
      <c r="CP110" s="3" t="e">
        <f ca="1">_xll.BDH($C$103,"EBITDA","FQ2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110" s="3" t="e">
        <f ca="1">_xll.BDH($C$103,"EBITDA_AFTER_CAPEX","FQ2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110" s="3" t="e">
        <f ca="1">_xll.BDH($C$103,"IS_OPER_INC","FQ2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110" s="2" t="e">
        <f ca="1">_xll.BDH($C$103,"CASH_RATIO","FQ2 2015","FQ2 2015","Currency=INR","Period=FQ","BEST_FPERIOD_OVERRIDE=FQ","FILING_STATUS=OR","EQY_CONSOLIDATED=Y","Sort=A","Dates=H","DateFormat=P","Fill=—","Direction=H","UseDPDF=Y")</f>
        <v>#NAME?</v>
      </c>
      <c r="CT110" s="2" t="e">
        <f ca="1">_xll.BDH($C$103,"CUR_RATIO","FQ2 2015","FQ2 2015","Currency=INR","Period=FQ","BEST_FPERIOD_OVERRIDE=FQ","FILING_STATUS=OR","EQY_CONSOLIDATED=Y","Sort=A","Dates=H","DateFormat=P","Fill=—","Direction=H","UseDPDF=Y")</f>
        <v>#NAME?</v>
      </c>
      <c r="CU110" s="2" t="e">
        <f ca="1">_xll.BDH($C$103,"QUICK_RATIO","FQ2 2015","FQ2 2015","Currency=INR","Period=FQ","BEST_FPERIOD_OVERRIDE=FQ","FILING_STATUS=OR","EQY_CONSOLIDATED=Y","Sort=A","Dates=H","DateFormat=P","Fill=—","Direction=H","UseDPDF=Y")</f>
        <v>#NAME?</v>
      </c>
      <c r="CV110" s="2" t="e">
        <f ca="1">_xll.BDH($C$103,"ALTMAN_Z_SCORE","FQ2 2015","FQ2 2015","Currency=INR","Period=FQ","BEST_FPERIOD_OVERRIDE=FQ","FILING_STATUS=OR","EQY_CONSOLIDATED=Y","Sort=A","Dates=H","DateFormat=P","Fill=—","Direction=H","UseDPDF=Y")</f>
        <v>#NAME?</v>
      </c>
      <c r="CW110" s="4" t="e">
        <f ca="1">_xll.BDH($C$103,"ACCT_RCV_TURN","FQ2 2015","FQ2 2015","Currency=INR","Period=FQ","BEST_FPERIOD_OVERRIDE=FQ","FILING_STATUS=OR","EQY_CONSOLIDATED=Y","FA_ADJUSTED=GAAP","Sort=A","Dates=H","DateFormat=P","Fill=—","Direction=H","UseDPDF=Y")</f>
        <v>#NAME?</v>
      </c>
      <c r="CX110" s="2" t="e">
        <f ca="1">_xll.BDH($C$103,"ACCT_RCV_DAYS","FQ2 2015","FQ2 2015","Currency=INR","Period=FQ","BEST_FPERIOD_OVERRIDE=FQ","FILING_STATUS=OR","EQY_CONSOLIDATED=Y","FA_ADJUSTED=GAAP","Sort=A","Dates=H","DateFormat=P","Fill=—","Direction=H","UseDPDF=Y")</f>
        <v>#NAME?</v>
      </c>
      <c r="CY110" s="4" t="e">
        <f ca="1">_xll.BDH($C$103,"INVENT_TURN","FQ2 2015","FQ2 2015","Currency=INR","Period=FQ","BEST_FPERIOD_OVERRIDE=FQ","FILING_STATUS=OR","EQY_CONSOLIDATED=Y","FA_ADJUSTED=GAAP","Sort=A","Dates=H","DateFormat=P","Fill=—","Direction=H","UseDPDF=Y")</f>
        <v>#NAME?</v>
      </c>
      <c r="CZ110" s="2" t="e">
        <f ca="1">_xll.BDH($C$103,"INVENT_DAYS","FQ2 2015","FQ2 2015","Currency=INR","Period=FQ","BEST_FPERIOD_OVERRIDE=FQ","FILING_STATUS=OR","EQY_CONSOLIDATED=Y","FA_ADJUSTED=GAAP","Sort=A","Dates=H","DateFormat=P","Fill=—","Direction=H","UseDPDF=Y")</f>
        <v>#NAME?</v>
      </c>
      <c r="DA110" s="4" t="e">
        <f ca="1">_xll.BDH($C$103,"ACCOUNTS_PAYABLE_TURNOVER","FQ2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110" s="2" t="e">
        <f ca="1">_xll.BDH($C$103,"ACCOUNTS_PAYABLE_TURNOVER_DAYS","FQ2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110" s="4" t="e">
        <f ca="1">_xll.BDH($C$103,"CASH_CONVERSION_CYCLE","FQ2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110" s="4" t="e">
        <f ca="1">_xll.BDH($C$103,"INV_TO_CASH_DAYS","FQ2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110" s="5" t="e">
        <f ca="1">_xll.BDH($C$103,"BS_INVENTORIES","FQ2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110" s="3" t="e">
        <f ca="1">_xll.BDH($C$103,"INVTRY_RAW_MATERIALS","FQ2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110" s="3" t="e">
        <f ca="1">_xll.BDH($C$103,"INVTRY_IN_PROGRESS","FQ2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110" s="3" t="e">
        <f ca="1">_xll.BDH($C$103,"INVTRY_FINISHED_GOODS","FQ2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110" s="3" t="e">
        <f ca="1">_xll.BDH($C$103,"BS_OTHER_INV","FQ2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111" spans="1:113" x14ac:dyDescent="0.3">
      <c r="A111" s="6"/>
      <c r="B111" s="6"/>
      <c r="C111" s="6"/>
      <c r="D111" s="6"/>
      <c r="E111" t="s">
        <v>80</v>
      </c>
      <c r="F111" t="e">
        <f ca="1">_xll.BDH($C$103,"RETURN_COM_EQY","FQ3 2015","FQ3 2015","Currency=INR","Period=FQ","BEST_FPERIOD_OVERRIDE=FQ","FILING_STATUS=OR","EQY_CONSOLIDATED=Y","FA_ADJUSTED=GAAP","Sort=A","Dates=H","DateFormat=P","Fill=—","Direction=H","UseDPDF=Y")</f>
        <v>#NAME?</v>
      </c>
      <c r="G111" t="e">
        <f ca="1">_xll.BDH($C$103,"RETURN_ON_ASSET","FQ3 2015","FQ3 2015","Currency=INR","Period=FQ","BEST_FPERIOD_OVERRIDE=FQ","FILING_STATUS=OR","EQY_CONSOLIDATED=Y","FA_ADJUSTED=GAAP","Sort=A","Dates=H","DateFormat=P","Fill=—","Direction=H","UseDPDF=Y")</f>
        <v>#NAME?</v>
      </c>
      <c r="H111" t="e">
        <f ca="1">_xll.BDH($C$103,"RETURN_ON_CAP","FQ3 2015","FQ3 2015","Currency=INR","Period=FQ","BEST_FPERIOD_OVERRIDE=FQ","FILING_STATUS=OR","EQY_CONSOLIDATED=Y","FA_ADJUSTED=GAAP","Sort=A","Dates=H","DateFormat=P","Fill=—","Direction=H","UseDPDF=Y")</f>
        <v>#NAME?</v>
      </c>
      <c r="I111" t="e">
        <f ca="1">_xll.BDH($C$103,"RETURN_ON_INV_CAPITAL","FQ3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111" t="e">
        <f ca="1">_xll.BDH($C$103,"EBITDA_TO_REVENUE","FQ3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111" t="e">
        <f ca="1">_xll.BDH($C$103,"OPER_MARGIN","FQ3 2015","FQ3 2015","Currency=INR","Period=FQ","BEST_FPERIOD_OVERRIDE=FQ","FILING_STATUS=OR","EQY_CONSOLIDATED=Y","FA_ADJUSTED=GAAP","Sort=A","Dates=H","DateFormat=P","Fill=—","Direction=H","UseDPDF=Y")</f>
        <v>#NAME?</v>
      </c>
      <c r="L111" t="e">
        <f ca="1">_xll.BDH($C$103,"INCREMENTAL_OPERATING_MARGIN","FQ3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111" t="e">
        <f ca="1">_xll.BDH($C$103,"PRETAX_INC_TO_NET_SALES","FQ3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111" t="e">
        <f ca="1">_xll.BDH($C$103,"INC_BEF_XO_ITEMS_TO_NET_SALES","FQ3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111" t="e">
        <f ca="1">_xll.BDH($C$103,"PROF_MARGIN","FQ3 2015","FQ3 2015","Currency=INR","Period=FQ","BEST_FPERIOD_OVERRIDE=FQ","FILING_STATUS=OR","EQY_CONSOLIDATED=Y","FA_ADJUSTED=GAAP","Sort=A","Dates=H","DateFormat=P","Fill=—","Direction=H","UseDPDF=Y")</f>
        <v>#NAME?</v>
      </c>
      <c r="P111" t="e">
        <f ca="1">_xll.BDH($C$103,"NET_INCOME_TO_COMMON_MARGIN","FQ3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111" t="e">
        <f ca="1">_xll.BDH($C$103,"EFF_TAX_RATE","FQ3 2015","FQ3 2015","Currency=INR","Period=FQ","BEST_FPERIOD_OVERRIDE=FQ","FILING_STATUS=OR","EQY_CONSOLIDATED=Y","FA_ADJUSTED=GAAP","Sort=A","Dates=H","DateFormat=P","Fill=—","Direction=H","UseDPDF=Y")</f>
        <v>#NAME?</v>
      </c>
      <c r="R111" t="e">
        <f ca="1">_xll.BDH($C$103,"DVD_PAYOUT_RATIO","FQ3 2015","FQ3 2015","Currency=INR","Period=FQ","BEST_FPERIOD_OVERRIDE=FQ","FILING_STATUS=OR","EQY_CONSOLIDATED=Y","FA_ADJUSTED=GAAP","Sort=A","Dates=H","DateFormat=P","Fill=—","Direction=H","UseDPDF=Y")</f>
        <v>#NAME?</v>
      </c>
      <c r="S111" t="e">
        <f ca="1">_xll.BDH($C$103,"SUSTAIN_GROWTH_RT","FQ3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111" s="2" t="e">
        <f ca="1">_xll.BDH($C$103,"SALES_GROWTH","FQ3 2015","FQ3 2015","Currency=INR","Period=FQ","BEST_FPERIOD_OVERRIDE=FQ","FILING_STATUS=OR","EQY_CONSOLIDATED=Y","FA_ADJUSTED=GAAP","Sort=A","Dates=H","DateFormat=P","Fill=—","Direction=H","UseDPDF=Y")</f>
        <v>#NAME?</v>
      </c>
      <c r="U111" s="2" t="e">
        <f ca="1">_xll.BDH($C$103,"EBITDA_GROWTH","FQ3 2015","FQ3 2015","Currency=INR","Period=FQ","BEST_FPERIOD_OVERRIDE=FQ","FILING_STATUS=OR","EQY_CONSOLIDATED=Y","FA_ADJUSTED=GAAP","Sort=A","Dates=H","DateFormat=P","Fill=—","Direction=H","UseDPDF=Y")</f>
        <v>#NAME?</v>
      </c>
      <c r="V111" s="2" t="e">
        <f ca="1">_xll.BDH($C$103,"OPER_INC_GROWTH","FQ3 2015","FQ3 2015","Currency=INR","Period=FQ","BEST_FPERIOD_OVERRIDE=FQ","FILING_STATUS=OR","EQY_CONSOLIDATED=Y","FA_ADJUSTED=GAAP","Sort=A","Dates=H","DateFormat=P","Fill=—","Direction=H","UseDPDF=Y")</f>
        <v>#NAME?</v>
      </c>
      <c r="W111" s="2" t="e">
        <f ca="1">_xll.BDH($C$103,"EARN_FOR_COM_GROWTH","FQ3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111" s="2" t="e">
        <f ca="1">_xll.BDH($C$103,"DILUTED_EPS_AFT_XO_ITEMS_GROWTH","FQ3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111" s="2" t="e">
        <f ca="1">_xll.BDH($C$103,"DIVIDEND_PER_SHARE_1_YEAR_GROWTH","FQ3 2015","FQ3 2015","Currency=INR","Period=FQ","BEST_FPERIOD_OVERRIDE=FQ","FILING_STATUS=OR","EQY_CONSOLIDATED=Y","Sort=A","Dates=H","DateFormat=P","Fill=—","Direction=H","UseDPDF=Y")</f>
        <v>#NAME?</v>
      </c>
      <c r="Z111" s="2" t="e">
        <f ca="1">_xll.BDH($C$103,"ACCOUNTS_RECEIVABLE_GROWTH","FQ3 2015","FQ3 2015","Currency=INR","Period=FQ","BEST_FPERIOD_OVERRIDE=FQ","FILING_STATUS=OR","EQY_CONSOLIDATED=Y","Sort=A","Dates=H","DateFormat=P","Fill=—","Direction=H","UseDPDF=Y")</f>
        <v>#NAME?</v>
      </c>
      <c r="AA111" s="2" t="e">
        <f ca="1">_xll.BDH($C$103,"INVENTORY_GROWTH","FQ3 2015","FQ3 2015","Currency=INR","Period=FQ","BEST_FPERIOD_OVERRIDE=FQ","FILING_STATUS=OR","EQY_CONSOLIDATED=Y","Sort=A","Dates=H","DateFormat=P","Fill=—","Direction=H","UseDPDF=Y")</f>
        <v>#NAME?</v>
      </c>
      <c r="AB111" s="2" t="e">
        <f ca="1">_xll.BDH($C$103,"NET_FIXED_ASSETS_1_YEAR_GROWTH","FQ3 2015","FQ3 2015","Currency=INR","Period=FQ","BEST_FPERIOD_OVERRIDE=FQ","FILING_STATUS=OR","EQY_CONSOLIDATED=Y","Sort=A","Dates=H","DateFormat=P","Fill=—","Direction=H","UseDPDF=Y")</f>
        <v>#NAME?</v>
      </c>
      <c r="AC111" s="2" t="e">
        <f ca="1">_xll.BDH($C$103,"ASSET_GROWTH","FQ3 2015","FQ3 2015","Currency=INR","Period=FQ","BEST_FPERIOD_OVERRIDE=FQ","FILING_STATUS=OR","EQY_CONSOLIDATED=Y","Sort=A","Dates=H","DateFormat=P","Fill=—","Direction=H","UseDPDF=Y")</f>
        <v>#NAME?</v>
      </c>
      <c r="AD111" s="2" t="e">
        <f ca="1">_xll.BDH($C$103,"MODIFIED_WORK_CAP_GROWTH","FQ3 2015","FQ3 2015","Currency=INR","Period=FQ","BEST_FPERIOD_OVERRIDE=FQ","FILING_STATUS=OR","EQY_CONSOLIDATED=Y","Sort=A","Dates=H","DateFormat=P","Fill=—","Direction=H","UseDPDF=Y")</f>
        <v>#NAME?</v>
      </c>
      <c r="AE111" s="2" t="e">
        <f ca="1">_xll.BDH($C$103,"WORK_CAP_GROWTH","FQ3 2015","FQ3 2015","Currency=INR","Period=FQ","BEST_FPERIOD_OVERRIDE=FQ","FILING_STATUS=OR","EQY_CONSOLIDATED=Y","Sort=A","Dates=H","DateFormat=P","Fill=—","Direction=H","UseDPDF=Y")</f>
        <v>#NAME?</v>
      </c>
      <c r="AF111" s="2" t="e">
        <f ca="1">_xll.BDH($C$103,"ACCOUNTS_PAYABLE_GROWTH_1YR","FQ3 2015","FQ3 2015","Currency=INR","Period=FQ","BEST_FPERIOD_OVERRIDE=FQ","FILING_STATUS=OR","EQY_CONSOLIDATED=Y","Sort=A","Dates=H","DateFormat=P","Fill=—","Direction=H","UseDPDF=Y")</f>
        <v>#NAME?</v>
      </c>
      <c r="AG111" s="2" t="e">
        <f ca="1">_xll.BDH($C$103,"SHORT_TERM_DEBT_1_YEAR_GROWTH","FQ3 2015","FQ3 2015","Currency=INR","Period=FQ","BEST_FPERIOD_OVERRIDE=FQ","FILING_STATUS=OR","EQY_CONSOLIDATED=Y","Sort=A","Dates=H","DateFormat=P","Fill=—","Direction=H","UseDPDF=Y")</f>
        <v>#NAME?</v>
      </c>
      <c r="AH111" s="2" t="e">
        <f ca="1">_xll.BDH($C$103,"TOTAL_DEBT_1_YEAR_GROWTH","FQ3 2015","FQ3 2015","Currency=INR","Period=FQ","BEST_FPERIOD_OVERRIDE=FQ","FILING_STATUS=OR","EQY_CONSOLIDATED=Y","Sort=A","Dates=H","DateFormat=P","Fill=—","Direction=H","UseDPDF=Y")</f>
        <v>#NAME?</v>
      </c>
      <c r="AI111" s="2" t="e">
        <f ca="1">_xll.BDH($C$103,"TOTAL_EQUITY_1_YEAR_GROWTH","FQ3 2015","FQ3 2015","Currency=INR","Period=FQ","BEST_FPERIOD_OVERRIDE=FQ","FILING_STATUS=OR","EQY_CONSOLIDATED=Y","Sort=A","Dates=H","DateFormat=P","Fill=—","Direction=H","UseDPDF=Y")</f>
        <v>#NAME?</v>
      </c>
      <c r="AJ111" s="2" t="e">
        <f ca="1">_xll.BDH($C$103,"GROWTH_IN_CAP","FQ3 2015","FQ3 2015","Currency=INR","Period=FQ","BEST_FPERIOD_OVERRIDE=FQ","FILING_STATUS=OR","EQY_CONSOLIDATED=Y","Sort=A","Dates=H","DateFormat=P","Fill=—","Direction=H","UseDPDF=Y")</f>
        <v>#NAME?</v>
      </c>
      <c r="AK111" s="2" t="e">
        <f ca="1">_xll.BDH($C$103,"BVPS_GROWTH","FQ3 2015","FQ3 2015","Currency=INR","Period=FQ","BEST_FPERIOD_OVERRIDE=FQ","FILING_STATUS=OR","EQY_CONSOLIDATED=Y","Sort=A","Dates=H","DateFormat=P","Fill=—","Direction=H","UseDPDF=Y")</f>
        <v>#NAME?</v>
      </c>
      <c r="AL111" s="2" t="e">
        <f ca="1">_xll.BDH($C$103,"CASH_FLOW_GROWTH","FQ3 2015","FQ3 2015","Currency=INR","Period=FQ","BEST_FPERIOD_OVERRIDE=FQ","FILING_STATUS=OR","EQY_CONSOLIDATED=Y","Sort=A","Dates=H","DateFormat=P","Fill=—","Direction=H","UseDPDF=Y")</f>
        <v>#NAME?</v>
      </c>
      <c r="AM111" s="2" t="e">
        <f ca="1">_xll.BDH($C$103,"GEO_GROW_NET_SALES","FQ3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111" s="2" t="e">
        <f ca="1">_xll.BDH($C$103,"GEO_GROW_EBITDA","FQ3 2015","FQ3 2015","Currency=INR","Period=FQ","BEST_FPERIOD_OVERRIDE=FQ","FILING_STATUS=OR","EQY_CONSOLIDATED=Y","FA_ADJUSTED=GAAP","Sort=A","Dates=H","DateFormat=P","Fill=—","Direction=H","UseDPDF=Y")</f>
        <v>#NAME?</v>
      </c>
      <c r="AO111" s="2" t="e">
        <f ca="1">_xll.BDH($C$103,"GEO_GROW_OPER_INC","FQ3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111" s="2" t="e">
        <f ca="1">_xll.BDH($C$103,"NET_INCOME_TO_COMMON_5_YR_GROWTH","FQ3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111" s="2" t="e">
        <f ca="1">_xll.BDH($C$103,"5Y_GEO_GROWTH_DILUTED_EPS","FQ3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111" s="2" t="e">
        <f ca="1">_xll.BDH($C$103,"GEO_GROW_DVD_PER_SH","FQ3 2015","FQ3 2015","Currency=INR","Period=FQ","BEST_FPERIOD_OVERRIDE=FQ","FILING_STATUS=OR","EQY_CONSOLIDATED=Y","Sort=A","Dates=H","DateFormat=P","Fill=—","Direction=H","UseDPDF=Y")</f>
        <v>#NAME?</v>
      </c>
      <c r="AS111" s="2" t="e">
        <f ca="1">_xll.BDH($C$103,"ACCOUNTS_RECEIVABLE_5_YR_GROWTH","FQ3 2015","FQ3 2015","Currency=INR","Period=FQ","BEST_FPERIOD_OVERRIDE=FQ","FILING_STATUS=OR","EQY_CONSOLIDATED=Y","Sort=A","Dates=H","DateFormat=P","Fill=—","Direction=H","UseDPDF=Y")</f>
        <v>#NAME?</v>
      </c>
      <c r="AT111" s="2" t="e">
        <f ca="1">_xll.BDH($C$103,"INVENTORY_5_YEAR_GROWTH","FQ3 2015","FQ3 2015","Currency=INR","Period=FQ","BEST_FPERIOD_OVERRIDE=FQ","FILING_STATUS=OR","EQY_CONSOLIDATED=Y","Sort=A","Dates=H","DateFormat=P","Fill=—","Direction=H","UseDPDF=Y")</f>
        <v>#NAME?</v>
      </c>
      <c r="AU111" s="2" t="e">
        <f ca="1">_xll.BDH($C$103,"NET_FIXED_ASSETS_5_YEAR_GROWTH","FQ3 2015","FQ3 2015","Currency=INR","Period=FQ","BEST_FPERIOD_OVERRIDE=FQ","FILING_STATUS=OR","EQY_CONSOLIDATED=Y","Sort=A","Dates=H","DateFormat=P","Fill=—","Direction=H","UseDPDF=Y")</f>
        <v>#NAME?</v>
      </c>
      <c r="AV111" s="2" t="e">
        <f ca="1">_xll.BDH($C$103,"GEO_GROW_TOT_ASSET","FQ3 2015","FQ3 2015","Currency=INR","Period=FQ","BEST_FPERIOD_OVERRIDE=FQ","FILING_STATUS=OR","EQY_CONSOLIDATED=Y","Sort=A","Dates=H","DateFormat=P","Fill=—","Direction=H","UseDPDF=Y")</f>
        <v>#NAME?</v>
      </c>
      <c r="AW111" s="2" t="e">
        <f ca="1">_xll.BDH($C$103,"MODIFIED_WORKING_CPTL_5YR_GRWTH","FQ3 2015","FQ3 2015","Currency=INR","Period=FQ","BEST_FPERIOD_OVERRIDE=FQ","FILING_STATUS=OR","EQY_CONSOLIDATED=Y","Sort=A","Dates=H","DateFormat=P","Fill=—","Direction=H","UseDPDF=Y")</f>
        <v>#NAME?</v>
      </c>
      <c r="AX111" s="2" t="e">
        <f ca="1">_xll.BDH($C$103,"WORKING_CAPITAL_5_YEAR_GROWTH","FQ3 2015","FQ3 2015","Currency=INR","Period=FQ","BEST_FPERIOD_OVERRIDE=FQ","FILING_STATUS=OR","EQY_CONSOLIDATED=Y","Sort=A","Dates=H","DateFormat=P","Fill=—","Direction=H","UseDPDF=Y")</f>
        <v>#NAME?</v>
      </c>
      <c r="AY111" s="2" t="e">
        <f ca="1">_xll.BDH($C$103,"ACCOUNTS_PAYABLE_5_YEAR_GROWTH","FQ3 2015","FQ3 2015","Currency=INR","Period=FQ","BEST_FPERIOD_OVERRIDE=FQ","FILING_STATUS=OR","EQY_CONSOLIDATED=Y","Sort=A","Dates=H","DateFormat=P","Fill=—","Direction=H","UseDPDF=Y")</f>
        <v>#NAME?</v>
      </c>
      <c r="AZ111" s="2" t="e">
        <f ca="1">_xll.BDH($C$103,"SHORT_TERM_DEBT_5_YEAR_GROWTH","FQ3 2015","FQ3 2015","Currency=INR","Period=FQ","BEST_FPERIOD_OVERRIDE=FQ","FILING_STATUS=OR","EQY_CONSOLIDATED=Y","Sort=A","Dates=H","DateFormat=P","Fill=—","Direction=H","UseDPDF=Y")</f>
        <v>#NAME?</v>
      </c>
      <c r="BA111" s="2" t="e">
        <f ca="1">_xll.BDH($C$103,"TOTAL_DEBT_5_YEAR_GROWTH","FQ3 2015","FQ3 2015","Currency=INR","Period=FQ","BEST_FPERIOD_OVERRIDE=FQ","FILING_STATUS=OR","EQY_CONSOLIDATED=Y","Sort=A","Dates=H","DateFormat=P","Fill=—","Direction=H","UseDPDF=Y")</f>
        <v>#NAME?</v>
      </c>
      <c r="BB111" s="2" t="e">
        <f ca="1">_xll.BDH($C$103,"GEO_GROW_TOT_SHRHLDR_EQY","FQ3 2015","FQ3 2015","Currency=INR","Period=FQ","BEST_FPERIOD_OVERRIDE=FQ","FILING_STATUS=OR","EQY_CONSOLIDATED=Y","Sort=A","Dates=H","DateFormat=P","Fill=—","Direction=H","UseDPDF=Y")</f>
        <v>#NAME?</v>
      </c>
      <c r="BC111" s="2" t="e">
        <f ca="1">_xll.BDH($C$103,"TOTAL_CAPITAL_5_YEAR_GROWTH","FQ3 2015","FQ3 2015","Currency=INR","Period=FQ","BEST_FPERIOD_OVERRIDE=FQ","FILING_STATUS=OR","EQY_CONSOLIDATED=Y","Sort=A","Dates=H","DateFormat=P","Fill=—","Direction=H","UseDPDF=Y")</f>
        <v>#NAME?</v>
      </c>
      <c r="BD111" s="2" t="e">
        <f ca="1">_xll.BDH($C$103,"GEO_GROW_BOOK_VAL","FQ3 2015","FQ3 2015","Currency=INR","Period=FQ","BEST_FPERIOD_OVERRIDE=FQ","FILING_STATUS=OR","EQY_CONSOLIDATED=Y","Sort=A","Dates=H","DateFormat=P","Fill=—","Direction=H","UseDPDF=Y")</f>
        <v>#NAME?</v>
      </c>
      <c r="BE111" s="2" t="e">
        <f ca="1">_xll.BDH($C$103,"GEO_GROW_CASH_OPER_ACT","FQ3 2015","FQ3 2015","Currency=INR","Period=FQ","BEST_FPERIOD_OVERRIDE=FQ","FILING_STATUS=OR","EQY_CONSOLIDATED=Y","Sort=A","Dates=H","DateFormat=P","Fill=—","Direction=H","UseDPDF=Y")</f>
        <v>#NAME?</v>
      </c>
      <c r="BF111" s="2" t="e">
        <f ca="1">_xll.BDH($C$103,"REVENUE_SEQUENTIAL_GROWTH","FQ3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111" s="2" t="e">
        <f ca="1">_xll.BDH($C$103,"EBITDA_SEQUENTIAL_GROWTH","FQ3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111" s="2" t="e">
        <f ca="1">_xll.BDH($C$103,"OPERATING_INCOME_SEQ_GROWTH","FQ3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111" s="2" t="e">
        <f ca="1">_xll.BDH($C$103,"NET_INCOME_TO_COMMON_SEQ_GROWTH","FQ3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111" s="2" t="e">
        <f ca="1">_xll.BDH($C$103,"EPS_DILUTED_SEQUENTIAL_GROWTH","FQ3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111" s="2" t="e">
        <f ca="1">_xll.BDH($C$103,"DPS_SEQUENTIAL_GROWTH","FQ3 2015","FQ3 2015","Currency=INR","Period=FQ","BEST_FPERIOD_OVERRIDE=FQ","FILING_STATUS=OR","EQY_CONSOLIDATED=Y","Sort=A","Dates=H","DateFormat=P","Fill=—","Direction=H","UseDPDF=Y")</f>
        <v>#NAME?</v>
      </c>
      <c r="BL111" s="2" t="e">
        <f ca="1">_xll.BDH($C$103,"ACCOUNTS_RECEIVABLE_SEQ_GROWTH","FQ3 2015","FQ3 2015","Currency=INR","Period=FQ","BEST_FPERIOD_OVERRIDE=FQ","FILING_STATUS=OR","EQY_CONSOLIDATED=Y","Sort=A","Dates=H","DateFormat=P","Fill=—","Direction=H","UseDPDF=Y")</f>
        <v>#NAME?</v>
      </c>
      <c r="BM111" s="2" t="e">
        <f ca="1">_xll.BDH($C$103,"INVENTORY_SEQUENTIAL_GROWTH","FQ3 2015","FQ3 2015","Currency=INR","Period=FQ","BEST_FPERIOD_OVERRIDE=FQ","FILING_STATUS=OR","EQY_CONSOLIDATED=Y","Sort=A","Dates=H","DateFormat=P","Fill=—","Direction=H","UseDPDF=Y")</f>
        <v>#NAME?</v>
      </c>
      <c r="BN111" s="2" t="e">
        <f ca="1">_xll.BDH($C$103,"FIXED_ASSETS_SEQUENTIAL_GROWTH","FQ3 2015","FQ3 2015","Currency=INR","Period=FQ","BEST_FPERIOD_OVERRIDE=FQ","FILING_STATUS=OR","EQY_CONSOLIDATED=Y","Sort=A","Dates=H","DateFormat=P","Fill=—","Direction=H","UseDPDF=Y")</f>
        <v>#NAME?</v>
      </c>
      <c r="BO111" s="2" t="e">
        <f ca="1">_xll.BDH($C$103,"TOTAL_ASSETS_SEQUENTIAL_GROWTH","FQ3 2015","FQ3 2015","Currency=INR","Period=FQ","BEST_FPERIOD_OVERRIDE=FQ","FILING_STATUS=OR","EQY_CONSOLIDATED=Y","Sort=A","Dates=H","DateFormat=P","Fill=—","Direction=H","UseDPDF=Y")</f>
        <v>#NAME?</v>
      </c>
      <c r="BP111" s="2" t="e">
        <f ca="1">_xll.BDH($C$103,"MODIFIED_WORKING_CPTL_SEQ_GRWTH","FQ3 2015","FQ3 2015","Currency=INR","Period=FQ","BEST_FPERIOD_OVERRIDE=FQ","FILING_STATUS=OR","EQY_CONSOLIDATED=Y","Sort=A","Dates=H","DateFormat=P","Fill=—","Direction=H","UseDPDF=Y")</f>
        <v>#NAME?</v>
      </c>
      <c r="BQ111" s="2" t="e">
        <f ca="1">_xll.BDH($C$103,"WORKING_CAPITAL_SEQ_GROWTH","FQ3 2015","FQ3 2015","Currency=INR","Period=FQ","BEST_FPERIOD_OVERRIDE=FQ","FILING_STATUS=OR","EQY_CONSOLIDATED=Y","Sort=A","Dates=H","DateFormat=P","Fill=—","Direction=H","UseDPDF=Y")</f>
        <v>#NAME?</v>
      </c>
      <c r="BR111" s="2" t="e">
        <f ca="1">_xll.BDH($C$103,"ACCOUNTS_PAYABLE_SEQ_GROWTH","FQ3 2015","FQ3 2015","Currency=INR","Period=FQ","BEST_FPERIOD_OVERRIDE=FQ","FILING_STATUS=OR","EQY_CONSOLIDATED=Y","Sort=A","Dates=H","DateFormat=P","Fill=—","Direction=H","UseDPDF=Y")</f>
        <v>#NAME?</v>
      </c>
      <c r="BS111" s="2" t="e">
        <f ca="1">_xll.BDH($C$103,"ST_DEBT_SEQUENTIAL_GROWTH","FQ3 2015","FQ3 2015","Currency=INR","Period=FQ","BEST_FPERIOD_OVERRIDE=FQ","FILING_STATUS=OR","EQY_CONSOLIDATED=Y","Sort=A","Dates=H","DateFormat=P","Fill=—","Direction=H","UseDPDF=Y")</f>
        <v>#NAME?</v>
      </c>
      <c r="BT111" s="2" t="e">
        <f ca="1">_xll.BDH($C$103,"TOTAL_DEBT_SEQUENTIAL_GROWTH","FQ3 2015","FQ3 2015","Currency=INR","Period=FQ","BEST_FPERIOD_OVERRIDE=FQ","FILING_STATUS=OR","EQY_CONSOLIDATED=Y","Sort=A","Dates=H","DateFormat=P","Fill=—","Direction=H","UseDPDF=Y")</f>
        <v>#NAME?</v>
      </c>
      <c r="BU111" s="2" t="e">
        <f ca="1">_xll.BDH($C$103,"TOTAL_EQUITY_SEQUENTIAL_GROWTH","FQ3 2015","FQ3 2015","Currency=INR","Period=FQ","BEST_FPERIOD_OVERRIDE=FQ","FILING_STATUS=OR","EQY_CONSOLIDATED=Y","Sort=A","Dates=H","DateFormat=P","Fill=—","Direction=H","UseDPDF=Y")</f>
        <v>#NAME?</v>
      </c>
      <c r="BV111" s="2" t="e">
        <f ca="1">_xll.BDH($C$103,"TOTAL_CAPITAL_SEQUENTIAL_GROWTH","FQ3 2015","FQ3 2015","Currency=INR","Period=FQ","BEST_FPERIOD_OVERRIDE=FQ","FILING_STATUS=OR","EQY_CONSOLIDATED=Y","Sort=A","Dates=H","DateFormat=P","Fill=—","Direction=H","UseDPDF=Y")</f>
        <v>#NAME?</v>
      </c>
      <c r="BW111" s="2" t="e">
        <f ca="1">_xll.BDH($C$103,"BPS_SEQUENTIAL_GROWTH","FQ3 2015","FQ3 2015","Currency=INR","Period=FQ","BEST_FPERIOD_OVERRIDE=FQ","FILING_STATUS=OR","EQY_CONSOLIDATED=Y","Sort=A","Dates=H","DateFormat=P","Fill=—","Direction=H","UseDPDF=Y")</f>
        <v>#NAME?</v>
      </c>
      <c r="BX111" s="2" t="e">
        <f ca="1">_xll.BDH($C$103,"CFO_SEQUENTIAL_GROWTH","FQ3 2015","FQ3 2015","Currency=INR","Period=FQ","BEST_FPERIOD_OVERRIDE=FQ","FILING_STATUS=OR","EQY_CONSOLIDATED=Y","Sort=A","Dates=H","DateFormat=P","Fill=—","Direction=H","UseDPDF=Y")</f>
        <v>#NAME?</v>
      </c>
      <c r="BY111" s="3" t="e">
        <f ca="1">_xll.BDH($C$103,"SHORT_AND_LONG_TERM_DEBT","FQ3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111" s="3" t="e">
        <f ca="1">_xll.BDH($C$103,"BS_ST_BORROW","FQ3 2015","FQ3 2015","Currency=INR","Period=FQ","BEST_FPERIOD_OVERRIDE=FQ","FILING_STATUS=OR","EQY_CONSOLIDATED=Y","SCALING_FORMAT=MLN","Sort=A","Dates=H","DateFormat=P","Fill=—","Direction=H","UseDPDF=Y")</f>
        <v>#NAME?</v>
      </c>
      <c r="CA111" s="3" t="e">
        <f ca="1">_xll.BDH($C$103,"BS_LT_BORROW","FQ3 2015","FQ3 2015","Currency=INR","Period=FQ","BEST_FPERIOD_OVERRIDE=FQ","FILING_STATUS=OR","EQY_CONSOLIDATED=Y","SCALING_FORMAT=MLN","Sort=A","Dates=H","DateFormat=P","Fill=—","Direction=H","UseDPDF=Y")</f>
        <v>#NAME?</v>
      </c>
      <c r="CB111" s="2" t="e">
        <f ca="1">_xll.BDH($C$103,"TOT_DEBT_TO_EBITDA","FQ3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111" s="2" t="e">
        <f ca="1">_xll.BDH($C$103,"NET_DEBT_TO_EBITDA","FQ3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111" s="2" t="e">
        <f ca="1">_xll.BDH($C$103,"TOTAL_DEBT_TO_EBIT","FQ3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111" s="2" t="e">
        <f ca="1">_xll.BDH($C$103,"NET_DEBT_TO_EBIT","FQ3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111" s="2" t="e">
        <f ca="1">_xll.BDH($C$103,"EBITDA_TO_INTEREST_EXPN","FQ3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111" s="2" t="e">
        <f ca="1">_xll.BDH($C$103,"COM_EQY_TO_TOT_ASSET","FQ3 2015","FQ3 2015","Currency=INR","Period=FQ","BEST_FPERIOD_OVERRIDE=FQ","FILING_STATUS=OR","EQY_CONSOLIDATED=Y","Sort=A","Dates=H","DateFormat=P","Fill=—","Direction=H","UseDPDF=Y")</f>
        <v>#NAME?</v>
      </c>
      <c r="CH111" s="2" t="e">
        <f ca="1">_xll.BDH($C$103,"LT_DEBT_TO_TOT_EQY","FQ3 2015","FQ3 2015","Currency=INR","Period=FQ","BEST_FPERIOD_OVERRIDE=FQ","FILING_STATUS=OR","EQY_CONSOLIDATED=Y","Sort=A","Dates=H","DateFormat=P","Fill=—","Direction=H","UseDPDF=Y")</f>
        <v>#NAME?</v>
      </c>
      <c r="CI111" s="2" t="e">
        <f ca="1">_xll.BDH($C$103,"LT_DEBT_TO_TOT_CAP","FQ3 2015","FQ3 2015","Currency=INR","Period=FQ","BEST_FPERIOD_OVERRIDE=FQ","FILING_STATUS=OR","EQY_CONSOLIDATED=Y","Sort=A","Dates=H","DateFormat=P","Fill=—","Direction=H","UseDPDF=Y")</f>
        <v>#NAME?</v>
      </c>
      <c r="CJ111" s="2" t="e">
        <f ca="1">_xll.BDH($C$103,"LT_DEBT_TO_TOT_ASSET","FQ3 2015","FQ3 2015","Currency=INR","Period=FQ","BEST_FPERIOD_OVERRIDE=FQ","FILING_STATUS=OR","EQY_CONSOLIDATED=Y","Sort=A","Dates=H","DateFormat=P","Fill=—","Direction=H","UseDPDF=Y")</f>
        <v>#NAME?</v>
      </c>
      <c r="CK111" s="2" t="e">
        <f ca="1">_xll.BDH($C$103,"TOT_DEBT_TO_TOT_EQY","FQ3 2015","FQ3 2015","Currency=INR","Period=FQ","BEST_FPERIOD_OVERRIDE=FQ","FILING_STATUS=OR","EQY_CONSOLIDATED=Y","Sort=A","Dates=H","DateFormat=P","Fill=—","Direction=H","UseDPDF=Y")</f>
        <v>#NAME?</v>
      </c>
      <c r="CL111" s="2" t="e">
        <f ca="1">_xll.BDH($C$103,"TOT_DEBT_TO_TOT_CAP","FQ3 2015","FQ3 2015","Currency=INR","Period=FQ","BEST_FPERIOD_OVERRIDE=FQ","FILING_STATUS=OR","EQY_CONSOLIDATED=Y","Sort=A","Dates=H","DateFormat=P","Fill=—","Direction=H","UseDPDF=Y")</f>
        <v>#NAME?</v>
      </c>
      <c r="CM111" s="2" t="e">
        <f ca="1">_xll.BDH($C$103,"TOT_DEBT_TO_TOT_ASSET","FQ3 2015","FQ3 2015","Currency=INR","Period=FQ","BEST_FPERIOD_OVERRIDE=FQ","FILING_STATUS=OR","EQY_CONSOLIDATED=Y","Sort=A","Dates=H","DateFormat=P","Fill=—","Direction=H","UseDPDF=Y")</f>
        <v>#NAME?</v>
      </c>
      <c r="CN111" s="2" t="e">
        <f ca="1">_xll.BDH($C$103,"NET_DEBT_TO_SHRHLDR_EQTY","FQ3 2015","FQ3 2015","Currency=INR","Period=FQ","BEST_FPERIOD_OVERRIDE=FQ","FILING_STATUS=OR","EQY_CONSOLIDATED=Y","Sort=A","Dates=H","DateFormat=P","Fill=—","Direction=H","UseDPDF=Y")</f>
        <v>#NAME?</v>
      </c>
      <c r="CO111" s="2" t="e">
        <f ca="1">_xll.BDH($C$103,"NET_DEBT_%_CAPITAL","FQ3 2015","FQ3 2015","Currency=INR","Period=FQ","BEST_FPERIOD_OVERRIDE=FQ","FILING_STATUS=OR","EQY_CONSOLIDATED=Y","Sort=A","Dates=H","DateFormat=P","Fill=—","Direction=H","UseDPDF=Y")</f>
        <v>#NAME?</v>
      </c>
      <c r="CP111" s="3" t="e">
        <f ca="1">_xll.BDH($C$103,"EBITDA","FQ3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111" s="3" t="e">
        <f ca="1">_xll.BDH($C$103,"EBITDA_AFTER_CAPEX","FQ3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111" s="3" t="e">
        <f ca="1">_xll.BDH($C$103,"IS_OPER_INC","FQ3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111" s="2" t="e">
        <f ca="1">_xll.BDH($C$103,"CASH_RATIO","FQ3 2015","FQ3 2015","Currency=INR","Period=FQ","BEST_FPERIOD_OVERRIDE=FQ","FILING_STATUS=OR","EQY_CONSOLIDATED=Y","Sort=A","Dates=H","DateFormat=P","Fill=—","Direction=H","UseDPDF=Y")</f>
        <v>#NAME?</v>
      </c>
      <c r="CT111" s="2" t="e">
        <f ca="1">_xll.BDH($C$103,"CUR_RATIO","FQ3 2015","FQ3 2015","Currency=INR","Period=FQ","BEST_FPERIOD_OVERRIDE=FQ","FILING_STATUS=OR","EQY_CONSOLIDATED=Y","Sort=A","Dates=H","DateFormat=P","Fill=—","Direction=H","UseDPDF=Y")</f>
        <v>#NAME?</v>
      </c>
      <c r="CU111" s="2" t="e">
        <f ca="1">_xll.BDH($C$103,"QUICK_RATIO","FQ3 2015","FQ3 2015","Currency=INR","Period=FQ","BEST_FPERIOD_OVERRIDE=FQ","FILING_STATUS=OR","EQY_CONSOLIDATED=Y","Sort=A","Dates=H","DateFormat=P","Fill=—","Direction=H","UseDPDF=Y")</f>
        <v>#NAME?</v>
      </c>
      <c r="CV111" s="2" t="e">
        <f ca="1">_xll.BDH($C$103,"ALTMAN_Z_SCORE","FQ3 2015","FQ3 2015","Currency=INR","Period=FQ","BEST_FPERIOD_OVERRIDE=FQ","FILING_STATUS=OR","EQY_CONSOLIDATED=Y","Sort=A","Dates=H","DateFormat=P","Fill=—","Direction=H","UseDPDF=Y")</f>
        <v>#NAME?</v>
      </c>
      <c r="CW111" s="4" t="e">
        <f ca="1">_xll.BDH($C$103,"ACCT_RCV_TURN","FQ3 2015","FQ3 2015","Currency=INR","Period=FQ","BEST_FPERIOD_OVERRIDE=FQ","FILING_STATUS=OR","EQY_CONSOLIDATED=Y","FA_ADJUSTED=GAAP","Sort=A","Dates=H","DateFormat=P","Fill=—","Direction=H","UseDPDF=Y")</f>
        <v>#NAME?</v>
      </c>
      <c r="CX111" s="2" t="e">
        <f ca="1">_xll.BDH($C$103,"ACCT_RCV_DAYS","FQ3 2015","FQ3 2015","Currency=INR","Period=FQ","BEST_FPERIOD_OVERRIDE=FQ","FILING_STATUS=OR","EQY_CONSOLIDATED=Y","FA_ADJUSTED=GAAP","Sort=A","Dates=H","DateFormat=P","Fill=—","Direction=H","UseDPDF=Y")</f>
        <v>#NAME?</v>
      </c>
      <c r="CY111" s="4" t="e">
        <f ca="1">_xll.BDH($C$103,"INVENT_TURN","FQ3 2015","FQ3 2015","Currency=INR","Period=FQ","BEST_FPERIOD_OVERRIDE=FQ","FILING_STATUS=OR","EQY_CONSOLIDATED=Y","FA_ADJUSTED=GAAP","Sort=A","Dates=H","DateFormat=P","Fill=—","Direction=H","UseDPDF=Y")</f>
        <v>#NAME?</v>
      </c>
      <c r="CZ111" s="2" t="e">
        <f ca="1">_xll.BDH($C$103,"INVENT_DAYS","FQ3 2015","FQ3 2015","Currency=INR","Period=FQ","BEST_FPERIOD_OVERRIDE=FQ","FILING_STATUS=OR","EQY_CONSOLIDATED=Y","FA_ADJUSTED=GAAP","Sort=A","Dates=H","DateFormat=P","Fill=—","Direction=H","UseDPDF=Y")</f>
        <v>#NAME?</v>
      </c>
      <c r="DA111" s="4" t="e">
        <f ca="1">_xll.BDH($C$103,"ACCOUNTS_PAYABLE_TURNOVER","FQ3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111" s="2" t="e">
        <f ca="1">_xll.BDH($C$103,"ACCOUNTS_PAYABLE_TURNOVER_DAYS","FQ3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111" s="4" t="e">
        <f ca="1">_xll.BDH($C$103,"CASH_CONVERSION_CYCLE","FQ3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111" s="4" t="e">
        <f ca="1">_xll.BDH($C$103,"INV_TO_CASH_DAYS","FQ3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111" s="5" t="e">
        <f ca="1">_xll.BDH($C$103,"BS_INVENTORIES","FQ3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111" s="3" t="e">
        <f ca="1">_xll.BDH($C$103,"INVTRY_RAW_MATERIALS","FQ3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111" s="3" t="e">
        <f ca="1">_xll.BDH($C$103,"INVTRY_IN_PROGRESS","FQ3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111" s="3" t="e">
        <f ca="1">_xll.BDH($C$103,"INVTRY_FINISHED_GOODS","FQ3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111" s="3" t="e">
        <f ca="1">_xll.BDH($C$103,"BS_OTHER_INV","FQ3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112" spans="1:113" x14ac:dyDescent="0.3">
      <c r="A112" s="6"/>
      <c r="B112" s="6"/>
      <c r="C112" s="6"/>
      <c r="D112" s="6"/>
      <c r="E112" t="s">
        <v>81</v>
      </c>
      <c r="F112" t="e">
        <f ca="1">_xll.BDH($C$103,"RETURN_COM_EQY","FQ4 2015","FQ4 2015","Currency=INR","Period=FQ","BEST_FPERIOD_OVERRIDE=FQ","FILING_STATUS=OR","EQY_CONSOLIDATED=Y","FA_ADJUSTED=GAAP","Sort=A","Dates=H","DateFormat=P","Fill=—","Direction=H","UseDPDF=Y")</f>
        <v>#NAME?</v>
      </c>
      <c r="G112" t="e">
        <f ca="1">_xll.BDH($C$103,"RETURN_ON_ASSET","FQ4 2015","FQ4 2015","Currency=INR","Period=FQ","BEST_FPERIOD_OVERRIDE=FQ","FILING_STATUS=OR","EQY_CONSOLIDATED=Y","FA_ADJUSTED=GAAP","Sort=A","Dates=H","DateFormat=P","Fill=—","Direction=H","UseDPDF=Y")</f>
        <v>#NAME?</v>
      </c>
      <c r="H112" t="e">
        <f ca="1">_xll.BDH($C$103,"RETURN_ON_CAP","FQ4 2015","FQ4 2015","Currency=INR","Period=FQ","BEST_FPERIOD_OVERRIDE=FQ","FILING_STATUS=OR","EQY_CONSOLIDATED=Y","FA_ADJUSTED=GAAP","Sort=A","Dates=H","DateFormat=P","Fill=—","Direction=H","UseDPDF=Y")</f>
        <v>#NAME?</v>
      </c>
      <c r="I112" t="e">
        <f ca="1">_xll.BDH($C$103,"RETURN_ON_INV_CAPITAL","FQ4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112" t="e">
        <f ca="1">_xll.BDH($C$103,"EBITDA_TO_REVENUE","FQ4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112" t="e">
        <f ca="1">_xll.BDH($C$103,"OPER_MARGIN","FQ4 2015","FQ4 2015","Currency=INR","Period=FQ","BEST_FPERIOD_OVERRIDE=FQ","FILING_STATUS=OR","EQY_CONSOLIDATED=Y","FA_ADJUSTED=GAAP","Sort=A","Dates=H","DateFormat=P","Fill=—","Direction=H","UseDPDF=Y")</f>
        <v>#NAME?</v>
      </c>
      <c r="L112" t="e">
        <f ca="1">_xll.BDH($C$103,"INCREMENTAL_OPERATING_MARGIN","FQ4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112" t="e">
        <f ca="1">_xll.BDH($C$103,"PRETAX_INC_TO_NET_SALES","FQ4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112" t="e">
        <f ca="1">_xll.BDH($C$103,"INC_BEF_XO_ITEMS_TO_NET_SALES","FQ4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112" t="e">
        <f ca="1">_xll.BDH($C$103,"PROF_MARGIN","FQ4 2015","FQ4 2015","Currency=INR","Period=FQ","BEST_FPERIOD_OVERRIDE=FQ","FILING_STATUS=OR","EQY_CONSOLIDATED=Y","FA_ADJUSTED=GAAP","Sort=A","Dates=H","DateFormat=P","Fill=—","Direction=H","UseDPDF=Y")</f>
        <v>#NAME?</v>
      </c>
      <c r="P112" t="e">
        <f ca="1">_xll.BDH($C$103,"NET_INCOME_TO_COMMON_MARGIN","FQ4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112" t="e">
        <f ca="1">_xll.BDH($C$103,"EFF_TAX_RATE","FQ4 2015","FQ4 2015","Currency=INR","Period=FQ","BEST_FPERIOD_OVERRIDE=FQ","FILING_STATUS=OR","EQY_CONSOLIDATED=Y","FA_ADJUSTED=GAAP","Sort=A","Dates=H","DateFormat=P","Fill=—","Direction=H","UseDPDF=Y")</f>
        <v>#NAME?</v>
      </c>
      <c r="R112" t="e">
        <f ca="1">_xll.BDH($C$103,"DVD_PAYOUT_RATIO","FQ4 2015","FQ4 2015","Currency=INR","Period=FQ","BEST_FPERIOD_OVERRIDE=FQ","FILING_STATUS=OR","EQY_CONSOLIDATED=Y","FA_ADJUSTED=GAAP","Sort=A","Dates=H","DateFormat=P","Fill=—","Direction=H","UseDPDF=Y")</f>
        <v>#NAME?</v>
      </c>
      <c r="S112" t="e">
        <f ca="1">_xll.BDH($C$103,"SUSTAIN_GROWTH_RT","FQ4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112" s="2" t="e">
        <f ca="1">_xll.BDH($C$103,"SALES_GROWTH","FQ4 2015","FQ4 2015","Currency=INR","Period=FQ","BEST_FPERIOD_OVERRIDE=FQ","FILING_STATUS=OR","EQY_CONSOLIDATED=Y","FA_ADJUSTED=GAAP","Sort=A","Dates=H","DateFormat=P","Fill=—","Direction=H","UseDPDF=Y")</f>
        <v>#NAME?</v>
      </c>
      <c r="U112" s="2" t="e">
        <f ca="1">_xll.BDH($C$103,"EBITDA_GROWTH","FQ4 2015","FQ4 2015","Currency=INR","Period=FQ","BEST_FPERIOD_OVERRIDE=FQ","FILING_STATUS=OR","EQY_CONSOLIDATED=Y","FA_ADJUSTED=GAAP","Sort=A","Dates=H","DateFormat=P","Fill=—","Direction=H","UseDPDF=Y")</f>
        <v>#NAME?</v>
      </c>
      <c r="V112" s="2" t="e">
        <f ca="1">_xll.BDH($C$103,"OPER_INC_GROWTH","FQ4 2015","FQ4 2015","Currency=INR","Period=FQ","BEST_FPERIOD_OVERRIDE=FQ","FILING_STATUS=OR","EQY_CONSOLIDATED=Y","FA_ADJUSTED=GAAP","Sort=A","Dates=H","DateFormat=P","Fill=—","Direction=H","UseDPDF=Y")</f>
        <v>#NAME?</v>
      </c>
      <c r="W112" s="2" t="e">
        <f ca="1">_xll.BDH($C$103,"EARN_FOR_COM_GROWTH","FQ4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112" s="2" t="e">
        <f ca="1">_xll.BDH($C$103,"DILUTED_EPS_AFT_XO_ITEMS_GROWTH","FQ4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112" s="2" t="e">
        <f ca="1">_xll.BDH($C$103,"DIVIDEND_PER_SHARE_1_YEAR_GROWTH","FQ4 2015","FQ4 2015","Currency=INR","Period=FQ","BEST_FPERIOD_OVERRIDE=FQ","FILING_STATUS=OR","EQY_CONSOLIDATED=Y","Sort=A","Dates=H","DateFormat=P","Fill=—","Direction=H","UseDPDF=Y")</f>
        <v>#NAME?</v>
      </c>
      <c r="Z112" s="2" t="e">
        <f ca="1">_xll.BDH($C$103,"ACCOUNTS_RECEIVABLE_GROWTH","FQ4 2015","FQ4 2015","Currency=INR","Period=FQ","BEST_FPERIOD_OVERRIDE=FQ","FILING_STATUS=OR","EQY_CONSOLIDATED=Y","Sort=A","Dates=H","DateFormat=P","Fill=—","Direction=H","UseDPDF=Y")</f>
        <v>#NAME?</v>
      </c>
      <c r="AA112" s="2" t="e">
        <f ca="1">_xll.BDH($C$103,"INVENTORY_GROWTH","FQ4 2015","FQ4 2015","Currency=INR","Period=FQ","BEST_FPERIOD_OVERRIDE=FQ","FILING_STATUS=OR","EQY_CONSOLIDATED=Y","Sort=A","Dates=H","DateFormat=P","Fill=—","Direction=H","UseDPDF=Y")</f>
        <v>#NAME?</v>
      </c>
      <c r="AB112" s="2" t="e">
        <f ca="1">_xll.BDH($C$103,"NET_FIXED_ASSETS_1_YEAR_GROWTH","FQ4 2015","FQ4 2015","Currency=INR","Period=FQ","BEST_FPERIOD_OVERRIDE=FQ","FILING_STATUS=OR","EQY_CONSOLIDATED=Y","Sort=A","Dates=H","DateFormat=P","Fill=—","Direction=H","UseDPDF=Y")</f>
        <v>#NAME?</v>
      </c>
      <c r="AC112" s="2" t="e">
        <f ca="1">_xll.BDH($C$103,"ASSET_GROWTH","FQ4 2015","FQ4 2015","Currency=INR","Period=FQ","BEST_FPERIOD_OVERRIDE=FQ","FILING_STATUS=OR","EQY_CONSOLIDATED=Y","Sort=A","Dates=H","DateFormat=P","Fill=—","Direction=H","UseDPDF=Y")</f>
        <v>#NAME?</v>
      </c>
      <c r="AD112" s="2" t="e">
        <f ca="1">_xll.BDH($C$103,"MODIFIED_WORK_CAP_GROWTH","FQ4 2015","FQ4 2015","Currency=INR","Period=FQ","BEST_FPERIOD_OVERRIDE=FQ","FILING_STATUS=OR","EQY_CONSOLIDATED=Y","Sort=A","Dates=H","DateFormat=P","Fill=—","Direction=H","UseDPDF=Y")</f>
        <v>#NAME?</v>
      </c>
      <c r="AE112" s="2" t="e">
        <f ca="1">_xll.BDH($C$103,"WORK_CAP_GROWTH","FQ4 2015","FQ4 2015","Currency=INR","Period=FQ","BEST_FPERIOD_OVERRIDE=FQ","FILING_STATUS=OR","EQY_CONSOLIDATED=Y","Sort=A","Dates=H","DateFormat=P","Fill=—","Direction=H","UseDPDF=Y")</f>
        <v>#NAME?</v>
      </c>
      <c r="AF112" s="2" t="e">
        <f ca="1">_xll.BDH($C$103,"ACCOUNTS_PAYABLE_GROWTH_1YR","FQ4 2015","FQ4 2015","Currency=INR","Period=FQ","BEST_FPERIOD_OVERRIDE=FQ","FILING_STATUS=OR","EQY_CONSOLIDATED=Y","Sort=A","Dates=H","DateFormat=P","Fill=—","Direction=H","UseDPDF=Y")</f>
        <v>#NAME?</v>
      </c>
      <c r="AG112" s="2" t="e">
        <f ca="1">_xll.BDH($C$103,"SHORT_TERM_DEBT_1_YEAR_GROWTH","FQ4 2015","FQ4 2015","Currency=INR","Period=FQ","BEST_FPERIOD_OVERRIDE=FQ","FILING_STATUS=OR","EQY_CONSOLIDATED=Y","Sort=A","Dates=H","DateFormat=P","Fill=—","Direction=H","UseDPDF=Y")</f>
        <v>#NAME?</v>
      </c>
      <c r="AH112" s="2" t="e">
        <f ca="1">_xll.BDH($C$103,"TOTAL_DEBT_1_YEAR_GROWTH","FQ4 2015","FQ4 2015","Currency=INR","Period=FQ","BEST_FPERIOD_OVERRIDE=FQ","FILING_STATUS=OR","EQY_CONSOLIDATED=Y","Sort=A","Dates=H","DateFormat=P","Fill=—","Direction=H","UseDPDF=Y")</f>
        <v>#NAME?</v>
      </c>
      <c r="AI112" s="2" t="e">
        <f ca="1">_xll.BDH($C$103,"TOTAL_EQUITY_1_YEAR_GROWTH","FQ4 2015","FQ4 2015","Currency=INR","Period=FQ","BEST_FPERIOD_OVERRIDE=FQ","FILING_STATUS=OR","EQY_CONSOLIDATED=Y","Sort=A","Dates=H","DateFormat=P","Fill=—","Direction=H","UseDPDF=Y")</f>
        <v>#NAME?</v>
      </c>
      <c r="AJ112" s="2" t="e">
        <f ca="1">_xll.BDH($C$103,"GROWTH_IN_CAP","FQ4 2015","FQ4 2015","Currency=INR","Period=FQ","BEST_FPERIOD_OVERRIDE=FQ","FILING_STATUS=OR","EQY_CONSOLIDATED=Y","Sort=A","Dates=H","DateFormat=P","Fill=—","Direction=H","UseDPDF=Y")</f>
        <v>#NAME?</v>
      </c>
      <c r="AK112" s="2" t="e">
        <f ca="1">_xll.BDH($C$103,"BVPS_GROWTH","FQ4 2015","FQ4 2015","Currency=INR","Period=FQ","BEST_FPERIOD_OVERRIDE=FQ","FILING_STATUS=OR","EQY_CONSOLIDATED=Y","Sort=A","Dates=H","DateFormat=P","Fill=—","Direction=H","UseDPDF=Y")</f>
        <v>#NAME?</v>
      </c>
      <c r="AL112" s="2" t="e">
        <f ca="1">_xll.BDH($C$103,"CASH_FLOW_GROWTH","FQ4 2015","FQ4 2015","Currency=INR","Period=FQ","BEST_FPERIOD_OVERRIDE=FQ","FILING_STATUS=OR","EQY_CONSOLIDATED=Y","Sort=A","Dates=H","DateFormat=P","Fill=—","Direction=H","UseDPDF=Y")</f>
        <v>#NAME?</v>
      </c>
      <c r="AM112" s="2" t="e">
        <f ca="1">_xll.BDH($C$103,"GEO_GROW_NET_SALES","FQ4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112" s="2" t="e">
        <f ca="1">_xll.BDH($C$103,"GEO_GROW_EBITDA","FQ4 2015","FQ4 2015","Currency=INR","Period=FQ","BEST_FPERIOD_OVERRIDE=FQ","FILING_STATUS=OR","EQY_CONSOLIDATED=Y","FA_ADJUSTED=GAAP","Sort=A","Dates=H","DateFormat=P","Fill=—","Direction=H","UseDPDF=Y")</f>
        <v>#NAME?</v>
      </c>
      <c r="AO112" s="2" t="e">
        <f ca="1">_xll.BDH($C$103,"GEO_GROW_OPER_INC","FQ4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112" s="2" t="e">
        <f ca="1">_xll.BDH($C$103,"NET_INCOME_TO_COMMON_5_YR_GROWTH","FQ4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112" s="2" t="e">
        <f ca="1">_xll.BDH($C$103,"5Y_GEO_GROWTH_DILUTED_EPS","FQ4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112" s="2" t="e">
        <f ca="1">_xll.BDH($C$103,"GEO_GROW_DVD_PER_SH","FQ4 2015","FQ4 2015","Currency=INR","Period=FQ","BEST_FPERIOD_OVERRIDE=FQ","FILING_STATUS=OR","EQY_CONSOLIDATED=Y","Sort=A","Dates=H","DateFormat=P","Fill=—","Direction=H","UseDPDF=Y")</f>
        <v>#NAME?</v>
      </c>
      <c r="AS112" s="2" t="e">
        <f ca="1">_xll.BDH($C$103,"ACCOUNTS_RECEIVABLE_5_YR_GROWTH","FQ4 2015","FQ4 2015","Currency=INR","Period=FQ","BEST_FPERIOD_OVERRIDE=FQ","FILING_STATUS=OR","EQY_CONSOLIDATED=Y","Sort=A","Dates=H","DateFormat=P","Fill=—","Direction=H","UseDPDF=Y")</f>
        <v>#NAME?</v>
      </c>
      <c r="AT112" s="2" t="e">
        <f ca="1">_xll.BDH($C$103,"INVENTORY_5_YEAR_GROWTH","FQ4 2015","FQ4 2015","Currency=INR","Period=FQ","BEST_FPERIOD_OVERRIDE=FQ","FILING_STATUS=OR","EQY_CONSOLIDATED=Y","Sort=A","Dates=H","DateFormat=P","Fill=—","Direction=H","UseDPDF=Y")</f>
        <v>#NAME?</v>
      </c>
      <c r="AU112" s="2" t="e">
        <f ca="1">_xll.BDH($C$103,"NET_FIXED_ASSETS_5_YEAR_GROWTH","FQ4 2015","FQ4 2015","Currency=INR","Period=FQ","BEST_FPERIOD_OVERRIDE=FQ","FILING_STATUS=OR","EQY_CONSOLIDATED=Y","Sort=A","Dates=H","DateFormat=P","Fill=—","Direction=H","UseDPDF=Y")</f>
        <v>#NAME?</v>
      </c>
      <c r="AV112" s="2" t="e">
        <f ca="1">_xll.BDH($C$103,"GEO_GROW_TOT_ASSET","FQ4 2015","FQ4 2015","Currency=INR","Period=FQ","BEST_FPERIOD_OVERRIDE=FQ","FILING_STATUS=OR","EQY_CONSOLIDATED=Y","Sort=A","Dates=H","DateFormat=P","Fill=—","Direction=H","UseDPDF=Y")</f>
        <v>#NAME?</v>
      </c>
      <c r="AW112" s="2" t="e">
        <f ca="1">_xll.BDH($C$103,"MODIFIED_WORKING_CPTL_5YR_GRWTH","FQ4 2015","FQ4 2015","Currency=INR","Period=FQ","BEST_FPERIOD_OVERRIDE=FQ","FILING_STATUS=OR","EQY_CONSOLIDATED=Y","Sort=A","Dates=H","DateFormat=P","Fill=—","Direction=H","UseDPDF=Y")</f>
        <v>#NAME?</v>
      </c>
      <c r="AX112" s="2" t="e">
        <f ca="1">_xll.BDH($C$103,"WORKING_CAPITAL_5_YEAR_GROWTH","FQ4 2015","FQ4 2015","Currency=INR","Period=FQ","BEST_FPERIOD_OVERRIDE=FQ","FILING_STATUS=OR","EQY_CONSOLIDATED=Y","Sort=A","Dates=H","DateFormat=P","Fill=—","Direction=H","UseDPDF=Y")</f>
        <v>#NAME?</v>
      </c>
      <c r="AY112" s="2" t="e">
        <f ca="1">_xll.BDH($C$103,"ACCOUNTS_PAYABLE_5_YEAR_GROWTH","FQ4 2015","FQ4 2015","Currency=INR","Period=FQ","BEST_FPERIOD_OVERRIDE=FQ","FILING_STATUS=OR","EQY_CONSOLIDATED=Y","Sort=A","Dates=H","DateFormat=P","Fill=—","Direction=H","UseDPDF=Y")</f>
        <v>#NAME?</v>
      </c>
      <c r="AZ112" s="2" t="e">
        <f ca="1">_xll.BDH($C$103,"SHORT_TERM_DEBT_5_YEAR_GROWTH","FQ4 2015","FQ4 2015","Currency=INR","Period=FQ","BEST_FPERIOD_OVERRIDE=FQ","FILING_STATUS=OR","EQY_CONSOLIDATED=Y","Sort=A","Dates=H","DateFormat=P","Fill=—","Direction=H","UseDPDF=Y")</f>
        <v>#NAME?</v>
      </c>
      <c r="BA112" s="2" t="e">
        <f ca="1">_xll.BDH($C$103,"TOTAL_DEBT_5_YEAR_GROWTH","FQ4 2015","FQ4 2015","Currency=INR","Period=FQ","BEST_FPERIOD_OVERRIDE=FQ","FILING_STATUS=OR","EQY_CONSOLIDATED=Y","Sort=A","Dates=H","DateFormat=P","Fill=—","Direction=H","UseDPDF=Y")</f>
        <v>#NAME?</v>
      </c>
      <c r="BB112" s="2" t="e">
        <f ca="1">_xll.BDH($C$103,"GEO_GROW_TOT_SHRHLDR_EQY","FQ4 2015","FQ4 2015","Currency=INR","Period=FQ","BEST_FPERIOD_OVERRIDE=FQ","FILING_STATUS=OR","EQY_CONSOLIDATED=Y","Sort=A","Dates=H","DateFormat=P","Fill=—","Direction=H","UseDPDF=Y")</f>
        <v>#NAME?</v>
      </c>
      <c r="BC112" s="2" t="e">
        <f ca="1">_xll.BDH($C$103,"TOTAL_CAPITAL_5_YEAR_GROWTH","FQ4 2015","FQ4 2015","Currency=INR","Period=FQ","BEST_FPERIOD_OVERRIDE=FQ","FILING_STATUS=OR","EQY_CONSOLIDATED=Y","Sort=A","Dates=H","DateFormat=P","Fill=—","Direction=H","UseDPDF=Y")</f>
        <v>#NAME?</v>
      </c>
      <c r="BD112" s="2" t="e">
        <f ca="1">_xll.BDH($C$103,"GEO_GROW_BOOK_VAL","FQ4 2015","FQ4 2015","Currency=INR","Period=FQ","BEST_FPERIOD_OVERRIDE=FQ","FILING_STATUS=OR","EQY_CONSOLIDATED=Y","Sort=A","Dates=H","DateFormat=P","Fill=—","Direction=H","UseDPDF=Y")</f>
        <v>#NAME?</v>
      </c>
      <c r="BE112" s="2" t="e">
        <f ca="1">_xll.BDH($C$103,"GEO_GROW_CASH_OPER_ACT","FQ4 2015","FQ4 2015","Currency=INR","Period=FQ","BEST_FPERIOD_OVERRIDE=FQ","FILING_STATUS=OR","EQY_CONSOLIDATED=Y","Sort=A","Dates=H","DateFormat=P","Fill=—","Direction=H","UseDPDF=Y")</f>
        <v>#NAME?</v>
      </c>
      <c r="BF112" s="2" t="e">
        <f ca="1">_xll.BDH($C$103,"REVENUE_SEQUENTIAL_GROWTH","FQ4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112" s="2" t="e">
        <f ca="1">_xll.BDH($C$103,"EBITDA_SEQUENTIAL_GROWTH","FQ4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112" s="2" t="e">
        <f ca="1">_xll.BDH($C$103,"OPERATING_INCOME_SEQ_GROWTH","FQ4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112" s="2" t="e">
        <f ca="1">_xll.BDH($C$103,"NET_INCOME_TO_COMMON_SEQ_GROWTH","FQ4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112" s="2" t="e">
        <f ca="1">_xll.BDH($C$103,"EPS_DILUTED_SEQUENTIAL_GROWTH","FQ4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112" s="2" t="e">
        <f ca="1">_xll.BDH($C$103,"DPS_SEQUENTIAL_GROWTH","FQ4 2015","FQ4 2015","Currency=INR","Period=FQ","BEST_FPERIOD_OVERRIDE=FQ","FILING_STATUS=OR","EQY_CONSOLIDATED=Y","Sort=A","Dates=H","DateFormat=P","Fill=—","Direction=H","UseDPDF=Y")</f>
        <v>#NAME?</v>
      </c>
      <c r="BL112" s="2" t="e">
        <f ca="1">_xll.BDH($C$103,"ACCOUNTS_RECEIVABLE_SEQ_GROWTH","FQ4 2015","FQ4 2015","Currency=INR","Period=FQ","BEST_FPERIOD_OVERRIDE=FQ","FILING_STATUS=OR","EQY_CONSOLIDATED=Y","Sort=A","Dates=H","DateFormat=P","Fill=—","Direction=H","UseDPDF=Y")</f>
        <v>#NAME?</v>
      </c>
      <c r="BM112" s="2" t="e">
        <f ca="1">_xll.BDH($C$103,"INVENTORY_SEQUENTIAL_GROWTH","FQ4 2015","FQ4 2015","Currency=INR","Period=FQ","BEST_FPERIOD_OVERRIDE=FQ","FILING_STATUS=OR","EQY_CONSOLIDATED=Y","Sort=A","Dates=H","DateFormat=P","Fill=—","Direction=H","UseDPDF=Y")</f>
        <v>#NAME?</v>
      </c>
      <c r="BN112" s="2" t="e">
        <f ca="1">_xll.BDH($C$103,"FIXED_ASSETS_SEQUENTIAL_GROWTH","FQ4 2015","FQ4 2015","Currency=INR","Period=FQ","BEST_FPERIOD_OVERRIDE=FQ","FILING_STATUS=OR","EQY_CONSOLIDATED=Y","Sort=A","Dates=H","DateFormat=P","Fill=—","Direction=H","UseDPDF=Y")</f>
        <v>#NAME?</v>
      </c>
      <c r="BO112" s="2" t="e">
        <f ca="1">_xll.BDH($C$103,"TOTAL_ASSETS_SEQUENTIAL_GROWTH","FQ4 2015","FQ4 2015","Currency=INR","Period=FQ","BEST_FPERIOD_OVERRIDE=FQ","FILING_STATUS=OR","EQY_CONSOLIDATED=Y","Sort=A","Dates=H","DateFormat=P","Fill=—","Direction=H","UseDPDF=Y")</f>
        <v>#NAME?</v>
      </c>
      <c r="BP112" s="2" t="e">
        <f ca="1">_xll.BDH($C$103,"MODIFIED_WORKING_CPTL_SEQ_GRWTH","FQ4 2015","FQ4 2015","Currency=INR","Period=FQ","BEST_FPERIOD_OVERRIDE=FQ","FILING_STATUS=OR","EQY_CONSOLIDATED=Y","Sort=A","Dates=H","DateFormat=P","Fill=—","Direction=H","UseDPDF=Y")</f>
        <v>#NAME?</v>
      </c>
      <c r="BQ112" s="2" t="e">
        <f ca="1">_xll.BDH($C$103,"WORKING_CAPITAL_SEQ_GROWTH","FQ4 2015","FQ4 2015","Currency=INR","Period=FQ","BEST_FPERIOD_OVERRIDE=FQ","FILING_STATUS=OR","EQY_CONSOLIDATED=Y","Sort=A","Dates=H","DateFormat=P","Fill=—","Direction=H","UseDPDF=Y")</f>
        <v>#NAME?</v>
      </c>
      <c r="BR112" s="2" t="e">
        <f ca="1">_xll.BDH($C$103,"ACCOUNTS_PAYABLE_SEQ_GROWTH","FQ4 2015","FQ4 2015","Currency=INR","Period=FQ","BEST_FPERIOD_OVERRIDE=FQ","FILING_STATUS=OR","EQY_CONSOLIDATED=Y","Sort=A","Dates=H","DateFormat=P","Fill=—","Direction=H","UseDPDF=Y")</f>
        <v>#NAME?</v>
      </c>
      <c r="BS112" s="2" t="e">
        <f ca="1">_xll.BDH($C$103,"ST_DEBT_SEQUENTIAL_GROWTH","FQ4 2015","FQ4 2015","Currency=INR","Period=FQ","BEST_FPERIOD_OVERRIDE=FQ","FILING_STATUS=OR","EQY_CONSOLIDATED=Y","Sort=A","Dates=H","DateFormat=P","Fill=—","Direction=H","UseDPDF=Y")</f>
        <v>#NAME?</v>
      </c>
      <c r="BT112" s="2" t="e">
        <f ca="1">_xll.BDH($C$103,"TOTAL_DEBT_SEQUENTIAL_GROWTH","FQ4 2015","FQ4 2015","Currency=INR","Period=FQ","BEST_FPERIOD_OVERRIDE=FQ","FILING_STATUS=OR","EQY_CONSOLIDATED=Y","Sort=A","Dates=H","DateFormat=P","Fill=—","Direction=H","UseDPDF=Y")</f>
        <v>#NAME?</v>
      </c>
      <c r="BU112" s="2" t="e">
        <f ca="1">_xll.BDH($C$103,"TOTAL_EQUITY_SEQUENTIAL_GROWTH","FQ4 2015","FQ4 2015","Currency=INR","Period=FQ","BEST_FPERIOD_OVERRIDE=FQ","FILING_STATUS=OR","EQY_CONSOLIDATED=Y","Sort=A","Dates=H","DateFormat=P","Fill=—","Direction=H","UseDPDF=Y")</f>
        <v>#NAME?</v>
      </c>
      <c r="BV112" s="2" t="e">
        <f ca="1">_xll.BDH($C$103,"TOTAL_CAPITAL_SEQUENTIAL_GROWTH","FQ4 2015","FQ4 2015","Currency=INR","Period=FQ","BEST_FPERIOD_OVERRIDE=FQ","FILING_STATUS=OR","EQY_CONSOLIDATED=Y","Sort=A","Dates=H","DateFormat=P","Fill=—","Direction=H","UseDPDF=Y")</f>
        <v>#NAME?</v>
      </c>
      <c r="BW112" s="2" t="e">
        <f ca="1">_xll.BDH($C$103,"BPS_SEQUENTIAL_GROWTH","FQ4 2015","FQ4 2015","Currency=INR","Period=FQ","BEST_FPERIOD_OVERRIDE=FQ","FILING_STATUS=OR","EQY_CONSOLIDATED=Y","Sort=A","Dates=H","DateFormat=P","Fill=—","Direction=H","UseDPDF=Y")</f>
        <v>#NAME?</v>
      </c>
      <c r="BX112" s="2" t="e">
        <f ca="1">_xll.BDH($C$103,"CFO_SEQUENTIAL_GROWTH","FQ4 2015","FQ4 2015","Currency=INR","Period=FQ","BEST_FPERIOD_OVERRIDE=FQ","FILING_STATUS=OR","EQY_CONSOLIDATED=Y","Sort=A","Dates=H","DateFormat=P","Fill=—","Direction=H","UseDPDF=Y")</f>
        <v>#NAME?</v>
      </c>
      <c r="BY112" s="3" t="e">
        <f ca="1">_xll.BDH($C$103,"SHORT_AND_LONG_TERM_DEBT","FQ4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112" s="3" t="e">
        <f ca="1">_xll.BDH($C$103,"BS_ST_BORROW","FQ4 2015","FQ4 2015","Currency=INR","Period=FQ","BEST_FPERIOD_OVERRIDE=FQ","FILING_STATUS=OR","EQY_CONSOLIDATED=Y","SCALING_FORMAT=MLN","Sort=A","Dates=H","DateFormat=P","Fill=—","Direction=H","UseDPDF=Y")</f>
        <v>#NAME?</v>
      </c>
      <c r="CA112" s="3" t="e">
        <f ca="1">_xll.BDH($C$103,"BS_LT_BORROW","FQ4 2015","FQ4 2015","Currency=INR","Period=FQ","BEST_FPERIOD_OVERRIDE=FQ","FILING_STATUS=OR","EQY_CONSOLIDATED=Y","SCALING_FORMAT=MLN","Sort=A","Dates=H","DateFormat=P","Fill=—","Direction=H","UseDPDF=Y")</f>
        <v>#NAME?</v>
      </c>
      <c r="CB112" s="2" t="e">
        <f ca="1">_xll.BDH($C$103,"TOT_DEBT_TO_EBITDA","FQ4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112" s="2" t="e">
        <f ca="1">_xll.BDH($C$103,"NET_DEBT_TO_EBITDA","FQ4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112" s="2" t="e">
        <f ca="1">_xll.BDH($C$103,"TOTAL_DEBT_TO_EBIT","FQ4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112" s="2" t="e">
        <f ca="1">_xll.BDH($C$103,"NET_DEBT_TO_EBIT","FQ4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112" s="2" t="e">
        <f ca="1">_xll.BDH($C$103,"EBITDA_TO_INTEREST_EXPN","FQ4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112" s="2" t="e">
        <f ca="1">_xll.BDH($C$103,"COM_EQY_TO_TOT_ASSET","FQ4 2015","FQ4 2015","Currency=INR","Period=FQ","BEST_FPERIOD_OVERRIDE=FQ","FILING_STATUS=OR","EQY_CONSOLIDATED=Y","Sort=A","Dates=H","DateFormat=P","Fill=—","Direction=H","UseDPDF=Y")</f>
        <v>#NAME?</v>
      </c>
      <c r="CH112" s="2" t="e">
        <f ca="1">_xll.BDH($C$103,"LT_DEBT_TO_TOT_EQY","FQ4 2015","FQ4 2015","Currency=INR","Period=FQ","BEST_FPERIOD_OVERRIDE=FQ","FILING_STATUS=OR","EQY_CONSOLIDATED=Y","Sort=A","Dates=H","DateFormat=P","Fill=—","Direction=H","UseDPDF=Y")</f>
        <v>#NAME?</v>
      </c>
      <c r="CI112" s="2" t="e">
        <f ca="1">_xll.BDH($C$103,"LT_DEBT_TO_TOT_CAP","FQ4 2015","FQ4 2015","Currency=INR","Period=FQ","BEST_FPERIOD_OVERRIDE=FQ","FILING_STATUS=OR","EQY_CONSOLIDATED=Y","Sort=A","Dates=H","DateFormat=P","Fill=—","Direction=H","UseDPDF=Y")</f>
        <v>#NAME?</v>
      </c>
      <c r="CJ112" s="2" t="e">
        <f ca="1">_xll.BDH($C$103,"LT_DEBT_TO_TOT_ASSET","FQ4 2015","FQ4 2015","Currency=INR","Period=FQ","BEST_FPERIOD_OVERRIDE=FQ","FILING_STATUS=OR","EQY_CONSOLIDATED=Y","Sort=A","Dates=H","DateFormat=P","Fill=—","Direction=H","UseDPDF=Y")</f>
        <v>#NAME?</v>
      </c>
      <c r="CK112" s="2" t="e">
        <f ca="1">_xll.BDH($C$103,"TOT_DEBT_TO_TOT_EQY","FQ4 2015","FQ4 2015","Currency=INR","Period=FQ","BEST_FPERIOD_OVERRIDE=FQ","FILING_STATUS=OR","EQY_CONSOLIDATED=Y","Sort=A","Dates=H","DateFormat=P","Fill=—","Direction=H","UseDPDF=Y")</f>
        <v>#NAME?</v>
      </c>
      <c r="CL112" s="2" t="e">
        <f ca="1">_xll.BDH($C$103,"TOT_DEBT_TO_TOT_CAP","FQ4 2015","FQ4 2015","Currency=INR","Period=FQ","BEST_FPERIOD_OVERRIDE=FQ","FILING_STATUS=OR","EQY_CONSOLIDATED=Y","Sort=A","Dates=H","DateFormat=P","Fill=—","Direction=H","UseDPDF=Y")</f>
        <v>#NAME?</v>
      </c>
      <c r="CM112" s="2" t="e">
        <f ca="1">_xll.BDH($C$103,"TOT_DEBT_TO_TOT_ASSET","FQ4 2015","FQ4 2015","Currency=INR","Period=FQ","BEST_FPERIOD_OVERRIDE=FQ","FILING_STATUS=OR","EQY_CONSOLIDATED=Y","Sort=A","Dates=H","DateFormat=P","Fill=—","Direction=H","UseDPDF=Y")</f>
        <v>#NAME?</v>
      </c>
      <c r="CN112" s="2" t="e">
        <f ca="1">_xll.BDH($C$103,"NET_DEBT_TO_SHRHLDR_EQTY","FQ4 2015","FQ4 2015","Currency=INR","Period=FQ","BEST_FPERIOD_OVERRIDE=FQ","FILING_STATUS=OR","EQY_CONSOLIDATED=Y","Sort=A","Dates=H","DateFormat=P","Fill=—","Direction=H","UseDPDF=Y")</f>
        <v>#NAME?</v>
      </c>
      <c r="CO112" s="2" t="e">
        <f ca="1">_xll.BDH($C$103,"NET_DEBT_%_CAPITAL","FQ4 2015","FQ4 2015","Currency=INR","Period=FQ","BEST_FPERIOD_OVERRIDE=FQ","FILING_STATUS=OR","EQY_CONSOLIDATED=Y","Sort=A","Dates=H","DateFormat=P","Fill=—","Direction=H","UseDPDF=Y")</f>
        <v>#NAME?</v>
      </c>
      <c r="CP112" s="3" t="e">
        <f ca="1">_xll.BDH($C$103,"EBITDA","FQ4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112" s="3" t="e">
        <f ca="1">_xll.BDH($C$103,"EBITDA_AFTER_CAPEX","FQ4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112" s="3" t="e">
        <f ca="1">_xll.BDH($C$103,"IS_OPER_INC","FQ4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112" s="2" t="e">
        <f ca="1">_xll.BDH($C$103,"CASH_RATIO","FQ4 2015","FQ4 2015","Currency=INR","Period=FQ","BEST_FPERIOD_OVERRIDE=FQ","FILING_STATUS=OR","EQY_CONSOLIDATED=Y","Sort=A","Dates=H","DateFormat=P","Fill=—","Direction=H","UseDPDF=Y")</f>
        <v>#NAME?</v>
      </c>
      <c r="CT112" s="2" t="e">
        <f ca="1">_xll.BDH($C$103,"CUR_RATIO","FQ4 2015","FQ4 2015","Currency=INR","Period=FQ","BEST_FPERIOD_OVERRIDE=FQ","FILING_STATUS=OR","EQY_CONSOLIDATED=Y","Sort=A","Dates=H","DateFormat=P","Fill=—","Direction=H","UseDPDF=Y")</f>
        <v>#NAME?</v>
      </c>
      <c r="CU112" s="2" t="e">
        <f ca="1">_xll.BDH($C$103,"QUICK_RATIO","FQ4 2015","FQ4 2015","Currency=INR","Period=FQ","BEST_FPERIOD_OVERRIDE=FQ","FILING_STATUS=OR","EQY_CONSOLIDATED=Y","Sort=A","Dates=H","DateFormat=P","Fill=—","Direction=H","UseDPDF=Y")</f>
        <v>#NAME?</v>
      </c>
      <c r="CV112" s="2" t="e">
        <f ca="1">_xll.BDH($C$103,"ALTMAN_Z_SCORE","FQ4 2015","FQ4 2015","Currency=INR","Period=FQ","BEST_FPERIOD_OVERRIDE=FQ","FILING_STATUS=OR","EQY_CONSOLIDATED=Y","Sort=A","Dates=H","DateFormat=P","Fill=—","Direction=H","UseDPDF=Y")</f>
        <v>#NAME?</v>
      </c>
      <c r="CW112" s="4" t="e">
        <f ca="1">_xll.BDH($C$103,"ACCT_RCV_TURN","FQ4 2015","FQ4 2015","Currency=INR","Period=FQ","BEST_FPERIOD_OVERRIDE=FQ","FILING_STATUS=OR","EQY_CONSOLIDATED=Y","FA_ADJUSTED=GAAP","Sort=A","Dates=H","DateFormat=P","Fill=—","Direction=H","UseDPDF=Y")</f>
        <v>#NAME?</v>
      </c>
      <c r="CX112" s="2" t="e">
        <f ca="1">_xll.BDH($C$103,"ACCT_RCV_DAYS","FQ4 2015","FQ4 2015","Currency=INR","Period=FQ","BEST_FPERIOD_OVERRIDE=FQ","FILING_STATUS=OR","EQY_CONSOLIDATED=Y","FA_ADJUSTED=GAAP","Sort=A","Dates=H","DateFormat=P","Fill=—","Direction=H","UseDPDF=Y")</f>
        <v>#NAME?</v>
      </c>
      <c r="CY112" s="4" t="e">
        <f ca="1">_xll.BDH($C$103,"INVENT_TURN","FQ4 2015","FQ4 2015","Currency=INR","Period=FQ","BEST_FPERIOD_OVERRIDE=FQ","FILING_STATUS=OR","EQY_CONSOLIDATED=Y","FA_ADJUSTED=GAAP","Sort=A","Dates=H","DateFormat=P","Fill=—","Direction=H","UseDPDF=Y")</f>
        <v>#NAME?</v>
      </c>
      <c r="CZ112" s="2" t="e">
        <f ca="1">_xll.BDH($C$103,"INVENT_DAYS","FQ4 2015","FQ4 2015","Currency=INR","Period=FQ","BEST_FPERIOD_OVERRIDE=FQ","FILING_STATUS=OR","EQY_CONSOLIDATED=Y","FA_ADJUSTED=GAAP","Sort=A","Dates=H","DateFormat=P","Fill=—","Direction=H","UseDPDF=Y")</f>
        <v>#NAME?</v>
      </c>
      <c r="DA112" s="4" t="e">
        <f ca="1">_xll.BDH($C$103,"ACCOUNTS_PAYABLE_TURNOVER","FQ4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112" s="2" t="e">
        <f ca="1">_xll.BDH($C$103,"ACCOUNTS_PAYABLE_TURNOVER_DAYS","FQ4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112" s="4" t="e">
        <f ca="1">_xll.BDH($C$103,"CASH_CONVERSION_CYCLE","FQ4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112" s="4" t="e">
        <f ca="1">_xll.BDH($C$103,"INV_TO_CASH_DAYS","FQ4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112" s="5" t="e">
        <f ca="1">_xll.BDH($C$103,"BS_INVENTORIES","FQ4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112" s="3" t="e">
        <f ca="1">_xll.BDH($C$103,"INVTRY_RAW_MATERIALS","FQ4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112" s="3" t="e">
        <f ca="1">_xll.BDH($C$103,"INVTRY_IN_PROGRESS","FQ4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112" s="3" t="e">
        <f ca="1">_xll.BDH($C$103,"INVTRY_FINISHED_GOODS","FQ4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112" s="3" t="e">
        <f ca="1">_xll.BDH($C$103,"BS_OTHER_INV","FQ4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113" spans="1:113" x14ac:dyDescent="0.3">
      <c r="A113" s="6"/>
      <c r="B113" s="6"/>
      <c r="C113" s="6"/>
      <c r="D113" s="6" t="s">
        <v>83</v>
      </c>
      <c r="E113" t="s">
        <v>77</v>
      </c>
      <c r="F113" t="e">
        <f ca="1">_xll.BDH($C$103,"RETURN_COM_EQY","FY 2016","FY 2016","Currency=INR","Period=FY","BEST_FPERIOD_OVERRIDE=FY","FILING_STATUS=OR","EQY_CONSOLIDATED=Y","FA_ADJUSTED=GAAP","Sort=A","Dates=H","DateFormat=P","Fill=—","Direction=H","UseDPDF=Y")</f>
        <v>#NAME?</v>
      </c>
      <c r="G113" t="e">
        <f ca="1">_xll.BDH($C$103,"RETURN_ON_ASSET","FY 2016","FY 2016","Currency=INR","Period=FY","BEST_FPERIOD_OVERRIDE=FY","FILING_STATUS=OR","EQY_CONSOLIDATED=Y","FA_ADJUSTED=GAAP","Sort=A","Dates=H","DateFormat=P","Fill=—","Direction=H","UseDPDF=Y")</f>
        <v>#NAME?</v>
      </c>
      <c r="H113" t="e">
        <f ca="1">_xll.BDH($C$103,"RETURN_ON_CAP","FY 2016","FY 2016","Currency=INR","Period=FY","BEST_FPERIOD_OVERRIDE=FY","FILING_STATUS=OR","EQY_CONSOLIDATED=Y","FA_ADJUSTED=GAAP","Sort=A","Dates=H","DateFormat=P","Fill=—","Direction=H","UseDPDF=Y")</f>
        <v>#NAME?</v>
      </c>
      <c r="I113" t="e">
        <f ca="1">_xll.BDH($C$103,"RETURN_ON_INV_CAPITAL","FY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113" t="e">
        <f ca="1">_xll.BDH($C$103,"EBITDA_TO_REVENUE","FY 2016","FY 2016","Currency=INR","Period=FY","BEST_FPERIOD_OVERRIDE=FY","FILING_STATUS=OR","EQY_CONSOLIDATED=Y","FA_ADJUSTED=GAAP","Sort=A","Dates=H","DateFormat=P","Fill=—","Direction=H","UseDPDF=Y")</f>
        <v>#NAME?</v>
      </c>
      <c r="K113" t="e">
        <f ca="1">_xll.BDH($C$103,"OPER_MARGIN","FY 2016","FY 2016","Currency=INR","Period=FY","BEST_FPERIOD_OVERRIDE=FY","FILING_STATUS=OR","EQY_CONSOLIDATED=Y","FA_ADJUSTED=GAAP","Sort=A","Dates=H","DateFormat=P","Fill=—","Direction=H","UseDPDF=Y")</f>
        <v>#NAME?</v>
      </c>
      <c r="L113" t="e">
        <f ca="1">_xll.BDH($C$103,"INCREMENTAL_OPERATING_MARGIN","FY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113" t="e">
        <f ca="1">_xll.BDH($C$103,"PRETAX_INC_TO_NET_SALES","FY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113" t="e">
        <f ca="1">_xll.BDH($C$103,"INC_BEF_XO_ITEMS_TO_NET_SALES","FY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113" t="e">
        <f ca="1">_xll.BDH($C$103,"PROF_MARGIN","FY 2016","FY 2016","Currency=INR","Period=FY","BEST_FPERIOD_OVERRIDE=FY","FILING_STATUS=OR","EQY_CONSOLIDATED=Y","FA_ADJUSTED=GAAP","Sort=A","Dates=H","DateFormat=P","Fill=—","Direction=H","UseDPDF=Y")</f>
        <v>#NAME?</v>
      </c>
      <c r="P113" t="e">
        <f ca="1">_xll.BDH($C$103,"NET_INCOME_TO_COMMON_MARGIN","FY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113" t="e">
        <f ca="1">_xll.BDH($C$103,"EFF_TAX_RATE","FY 2016","FY 2016","Currency=INR","Period=FY","BEST_FPERIOD_OVERRIDE=FY","FILING_STATUS=OR","EQY_CONSOLIDATED=Y","FA_ADJUSTED=GAAP","Sort=A","Dates=H","DateFormat=P","Fill=—","Direction=H","UseDPDF=Y")</f>
        <v>#NAME?</v>
      </c>
      <c r="R113" t="e">
        <f ca="1">_xll.BDH($C$103,"DVD_PAYOUT_RATIO","FY 2016","FY 2016","Currency=INR","Period=FY","BEST_FPERIOD_OVERRIDE=FY","FILING_STATUS=OR","EQY_CONSOLIDATED=Y","FA_ADJUSTED=GAAP","Sort=A","Dates=H","DateFormat=P","Fill=—","Direction=H","UseDPDF=Y")</f>
        <v>#NAME?</v>
      </c>
      <c r="S113" t="e">
        <f ca="1">_xll.BDH($C$103,"SUSTAIN_GROWTH_RT","FY 2016","FY 2016","Currency=INR","Period=FY","BEST_FPERIOD_OVERRIDE=FY","FILING_STATUS=OR","EQY_CONSOLIDATED=Y","FA_ADJUSTED=GAAP","Sort=A","Dates=H","DateFormat=P","Fill=—","Direction=H","UseDPDF=Y")</f>
        <v>#NAME?</v>
      </c>
      <c r="T113" s="2" t="e">
        <f ca="1">_xll.BDH($C$103,"SALES_GROWTH","FY 2016","FY 2016","Currency=INR","Period=FY","BEST_FPERIOD_OVERRIDE=FY","FILING_STATUS=OR","EQY_CONSOLIDATED=Y","FA_ADJUSTED=GAAP","Sort=A","Dates=H","DateFormat=P","Fill=—","Direction=H","UseDPDF=Y")</f>
        <v>#NAME?</v>
      </c>
      <c r="U113" s="2" t="e">
        <f ca="1">_xll.BDH($C$103,"EBITDA_GROWTH","FY 2016","FY 2016","Currency=INR","Period=FY","BEST_FPERIOD_OVERRIDE=FY","FILING_STATUS=OR","EQY_CONSOLIDATED=Y","FA_ADJUSTED=GAAP","Sort=A","Dates=H","DateFormat=P","Fill=—","Direction=H","UseDPDF=Y")</f>
        <v>#NAME?</v>
      </c>
      <c r="V113" s="2" t="e">
        <f ca="1">_xll.BDH($C$103,"OPER_INC_GROWTH","FY 2016","FY 2016","Currency=INR","Period=FY","BEST_FPERIOD_OVERRIDE=FY","FILING_STATUS=OR","EQY_CONSOLIDATED=Y","FA_ADJUSTED=GAAP","Sort=A","Dates=H","DateFormat=P","Fill=—","Direction=H","UseDPDF=Y")</f>
        <v>#NAME?</v>
      </c>
      <c r="W113" s="2" t="e">
        <f ca="1">_xll.BDH($C$103,"EARN_FOR_COM_GROWTH","FY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113" s="2" t="e">
        <f ca="1">_xll.BDH($C$103,"DILUTED_EPS_AFT_XO_ITEMS_GROWTH","FY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113" s="2" t="e">
        <f ca="1">_xll.BDH($C$103,"DIVIDEND_PER_SHARE_1_YEAR_GROWTH","FY 2016","FY 2016","Currency=INR","Period=FY","BEST_FPERIOD_OVERRIDE=FY","FILING_STATUS=OR","EQY_CONSOLIDATED=Y","Sort=A","Dates=H","DateFormat=P","Fill=—","Direction=H","UseDPDF=Y")</f>
        <v>#NAME?</v>
      </c>
      <c r="Z113" s="2" t="e">
        <f ca="1">_xll.BDH($C$103,"ACCOUNTS_RECEIVABLE_GROWTH","FY 2016","FY 2016","Currency=INR","Period=FY","BEST_FPERIOD_OVERRIDE=FY","FILING_STATUS=OR","EQY_CONSOLIDATED=Y","Sort=A","Dates=H","DateFormat=P","Fill=—","Direction=H","UseDPDF=Y")</f>
        <v>#NAME?</v>
      </c>
      <c r="AA113" s="2" t="e">
        <f ca="1">_xll.BDH($C$103,"INVENTORY_GROWTH","FY 2016","FY 2016","Currency=INR","Period=FY","BEST_FPERIOD_OVERRIDE=FY","FILING_STATUS=OR","EQY_CONSOLIDATED=Y","Sort=A","Dates=H","DateFormat=P","Fill=—","Direction=H","UseDPDF=Y")</f>
        <v>#NAME?</v>
      </c>
      <c r="AB113" s="2" t="e">
        <f ca="1">_xll.BDH($C$103,"NET_FIXED_ASSETS_1_YEAR_GROWTH","FY 2016","FY 2016","Currency=INR","Period=FY","BEST_FPERIOD_OVERRIDE=FY","FILING_STATUS=OR","EQY_CONSOLIDATED=Y","Sort=A","Dates=H","DateFormat=P","Fill=—","Direction=H","UseDPDF=Y")</f>
        <v>#NAME?</v>
      </c>
      <c r="AC113" s="2" t="e">
        <f ca="1">_xll.BDH($C$103,"ASSET_GROWTH","FY 2016","FY 2016","Currency=INR","Period=FY","BEST_FPERIOD_OVERRIDE=FY","FILING_STATUS=OR","EQY_CONSOLIDATED=Y","Sort=A","Dates=H","DateFormat=P","Fill=—","Direction=H","UseDPDF=Y")</f>
        <v>#NAME?</v>
      </c>
      <c r="AD113" s="2" t="e">
        <f ca="1">_xll.BDH($C$103,"MODIFIED_WORK_CAP_GROWTH","FY 2016","FY 2016","Currency=INR","Period=FY","BEST_FPERIOD_OVERRIDE=FY","FILING_STATUS=OR","EQY_CONSOLIDATED=Y","Sort=A","Dates=H","DateFormat=P","Fill=—","Direction=H","UseDPDF=Y")</f>
        <v>#NAME?</v>
      </c>
      <c r="AE113" s="2" t="e">
        <f ca="1">_xll.BDH($C$103,"WORK_CAP_GROWTH","FY 2016","FY 2016","Currency=INR","Period=FY","BEST_FPERIOD_OVERRIDE=FY","FILING_STATUS=OR","EQY_CONSOLIDATED=Y","Sort=A","Dates=H","DateFormat=P","Fill=—","Direction=H","UseDPDF=Y")</f>
        <v>#NAME?</v>
      </c>
      <c r="AF113" s="2" t="e">
        <f ca="1">_xll.BDH($C$103,"ACCOUNTS_PAYABLE_GROWTH_1YR","FY 2016","FY 2016","Currency=INR","Period=FY","BEST_FPERIOD_OVERRIDE=FY","FILING_STATUS=OR","EQY_CONSOLIDATED=Y","Sort=A","Dates=H","DateFormat=P","Fill=—","Direction=H","UseDPDF=Y")</f>
        <v>#NAME?</v>
      </c>
      <c r="AG113" s="2" t="e">
        <f ca="1">_xll.BDH($C$103,"SHORT_TERM_DEBT_1_YEAR_GROWTH","FY 2016","FY 2016","Currency=INR","Period=FY","BEST_FPERIOD_OVERRIDE=FY","FILING_STATUS=OR","EQY_CONSOLIDATED=Y","Sort=A","Dates=H","DateFormat=P","Fill=—","Direction=H","UseDPDF=Y")</f>
        <v>#NAME?</v>
      </c>
      <c r="AH113" s="2" t="e">
        <f ca="1">_xll.BDH($C$103,"TOTAL_DEBT_1_YEAR_GROWTH","FY 2016","FY 2016","Currency=INR","Period=FY","BEST_FPERIOD_OVERRIDE=FY","FILING_STATUS=OR","EQY_CONSOLIDATED=Y","Sort=A","Dates=H","DateFormat=P","Fill=—","Direction=H","UseDPDF=Y")</f>
        <v>#NAME?</v>
      </c>
      <c r="AI113" s="2" t="e">
        <f ca="1">_xll.BDH($C$103,"TOTAL_EQUITY_1_YEAR_GROWTH","FY 2016","FY 2016","Currency=INR","Period=FY","BEST_FPERIOD_OVERRIDE=FY","FILING_STATUS=OR","EQY_CONSOLIDATED=Y","Sort=A","Dates=H","DateFormat=P","Fill=—","Direction=H","UseDPDF=Y")</f>
        <v>#NAME?</v>
      </c>
      <c r="AJ113" s="2" t="e">
        <f ca="1">_xll.BDH($C$103,"GROWTH_IN_CAP","FY 2016","FY 2016","Currency=INR","Period=FY","BEST_FPERIOD_OVERRIDE=FY","FILING_STATUS=OR","EQY_CONSOLIDATED=Y","Sort=A","Dates=H","DateFormat=P","Fill=—","Direction=H","UseDPDF=Y")</f>
        <v>#NAME?</v>
      </c>
      <c r="AK113" s="2" t="e">
        <f ca="1">_xll.BDH($C$103,"BVPS_GROWTH","FY 2016","FY 2016","Currency=INR","Period=FY","BEST_FPERIOD_OVERRIDE=FY","FILING_STATUS=OR","EQY_CONSOLIDATED=Y","Sort=A","Dates=H","DateFormat=P","Fill=—","Direction=H","UseDPDF=Y")</f>
        <v>#NAME?</v>
      </c>
      <c r="AL113" s="2" t="e">
        <f ca="1">_xll.BDH($C$103,"CASH_FLOW_GROWTH","FY 2016","FY 2016","Currency=INR","Period=FY","BEST_FPERIOD_OVERRIDE=FY","FILING_STATUS=OR","EQY_CONSOLIDATED=Y","Sort=A","Dates=H","DateFormat=P","Fill=—","Direction=H","UseDPDF=Y")</f>
        <v>#NAME?</v>
      </c>
      <c r="AM113" s="2" t="e">
        <f ca="1">_xll.BDH($C$103,"GEO_GROW_NET_SALES","FY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113" s="2" t="e">
        <f ca="1">_xll.BDH($C$103,"GEO_GROW_EBITDA","FY 2016","FY 2016","Currency=INR","Period=FY","BEST_FPERIOD_OVERRIDE=FY","FILING_STATUS=OR","EQY_CONSOLIDATED=Y","FA_ADJUSTED=GAAP","Sort=A","Dates=H","DateFormat=P","Fill=—","Direction=H","UseDPDF=Y")</f>
        <v>#NAME?</v>
      </c>
      <c r="AO113" s="2" t="e">
        <f ca="1">_xll.BDH($C$103,"GEO_GROW_OPER_INC","FY 2016","FY 2016","Currency=INR","Period=FY","BEST_FPERIOD_OVERRIDE=FY","FILING_STATUS=OR","EQY_CONSOLIDATED=Y","FA_ADJUSTED=GAAP","Sort=A","Dates=H","DateFormat=P","Fill=—","Direction=H","UseDPDF=Y")</f>
        <v>#NAME?</v>
      </c>
      <c r="AP113" s="2" t="e">
        <f ca="1">_xll.BDH($C$103,"NET_INCOME_TO_COMMON_5_YR_GROWTH","FY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113" s="2" t="e">
        <f ca="1">_xll.BDH($C$103,"5Y_GEO_GROWTH_DILUTED_EPS","FY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113" s="2" t="e">
        <f ca="1">_xll.BDH($C$103,"GEO_GROW_DVD_PER_SH","FY 2016","FY 2016","Currency=INR","Period=FY","BEST_FPERIOD_OVERRIDE=FY","FILING_STATUS=OR","EQY_CONSOLIDATED=Y","Sort=A","Dates=H","DateFormat=P","Fill=—","Direction=H","UseDPDF=Y")</f>
        <v>#NAME?</v>
      </c>
      <c r="AS113" s="2" t="e">
        <f ca="1">_xll.BDH($C$103,"ACCOUNTS_RECEIVABLE_5_YR_GROWTH","FY 2016","FY 2016","Currency=INR","Period=FY","BEST_FPERIOD_OVERRIDE=FY","FILING_STATUS=OR","EQY_CONSOLIDATED=Y","Sort=A","Dates=H","DateFormat=P","Fill=—","Direction=H","UseDPDF=Y")</f>
        <v>#NAME?</v>
      </c>
      <c r="AT113" s="2" t="e">
        <f ca="1">_xll.BDH($C$103,"INVENTORY_5_YEAR_GROWTH","FY 2016","FY 2016","Currency=INR","Period=FY","BEST_FPERIOD_OVERRIDE=FY","FILING_STATUS=OR","EQY_CONSOLIDATED=Y","Sort=A","Dates=H","DateFormat=P","Fill=—","Direction=H","UseDPDF=Y")</f>
        <v>#NAME?</v>
      </c>
      <c r="AU113" s="2" t="e">
        <f ca="1">_xll.BDH($C$103,"NET_FIXED_ASSETS_5_YEAR_GROWTH","FY 2016","FY 2016","Currency=INR","Period=FY","BEST_FPERIOD_OVERRIDE=FY","FILING_STATUS=OR","EQY_CONSOLIDATED=Y","Sort=A","Dates=H","DateFormat=P","Fill=—","Direction=H","UseDPDF=Y")</f>
        <v>#NAME?</v>
      </c>
      <c r="AV113" s="2" t="e">
        <f ca="1">_xll.BDH($C$103,"GEO_GROW_TOT_ASSET","FY 2016","FY 2016","Currency=INR","Period=FY","BEST_FPERIOD_OVERRIDE=FY","FILING_STATUS=OR","EQY_CONSOLIDATED=Y","Sort=A","Dates=H","DateFormat=P","Fill=—","Direction=H","UseDPDF=Y")</f>
        <v>#NAME?</v>
      </c>
      <c r="AW113" s="2" t="e">
        <f ca="1">_xll.BDH($C$103,"MODIFIED_WORKING_CPTL_5YR_GRWTH","FY 2016","FY 2016","Currency=INR","Period=FY","BEST_FPERIOD_OVERRIDE=FY","FILING_STATUS=OR","EQY_CONSOLIDATED=Y","Sort=A","Dates=H","DateFormat=P","Fill=—","Direction=H","UseDPDF=Y")</f>
        <v>#NAME?</v>
      </c>
      <c r="AX113" s="2" t="e">
        <f ca="1">_xll.BDH($C$103,"WORKING_CAPITAL_5_YEAR_GROWTH","FY 2016","FY 2016","Currency=INR","Period=FY","BEST_FPERIOD_OVERRIDE=FY","FILING_STATUS=OR","EQY_CONSOLIDATED=Y","Sort=A","Dates=H","DateFormat=P","Fill=—","Direction=H","UseDPDF=Y")</f>
        <v>#NAME?</v>
      </c>
      <c r="AY113" s="2" t="e">
        <f ca="1">_xll.BDH($C$103,"ACCOUNTS_PAYABLE_5_YEAR_GROWTH","FY 2016","FY 2016","Currency=INR","Period=FY","BEST_FPERIOD_OVERRIDE=FY","FILING_STATUS=OR","EQY_CONSOLIDATED=Y","Sort=A","Dates=H","DateFormat=P","Fill=—","Direction=H","UseDPDF=Y")</f>
        <v>#NAME?</v>
      </c>
      <c r="AZ113" s="2" t="e">
        <f ca="1">_xll.BDH($C$103,"SHORT_TERM_DEBT_5_YEAR_GROWTH","FY 2016","FY 2016","Currency=INR","Period=FY","BEST_FPERIOD_OVERRIDE=FY","FILING_STATUS=OR","EQY_CONSOLIDATED=Y","Sort=A","Dates=H","DateFormat=P","Fill=—","Direction=H","UseDPDF=Y")</f>
        <v>#NAME?</v>
      </c>
      <c r="BA113" s="2" t="e">
        <f ca="1">_xll.BDH($C$103,"TOTAL_DEBT_5_YEAR_GROWTH","FY 2016","FY 2016","Currency=INR","Period=FY","BEST_FPERIOD_OVERRIDE=FY","FILING_STATUS=OR","EQY_CONSOLIDATED=Y","Sort=A","Dates=H","DateFormat=P","Fill=—","Direction=H","UseDPDF=Y")</f>
        <v>#NAME?</v>
      </c>
      <c r="BB113" s="2" t="e">
        <f ca="1">_xll.BDH($C$103,"GEO_GROW_TOT_SHRHLDR_EQY","FY 2016","FY 2016","Currency=INR","Period=FY","BEST_FPERIOD_OVERRIDE=FY","FILING_STATUS=OR","EQY_CONSOLIDATED=Y","Sort=A","Dates=H","DateFormat=P","Fill=—","Direction=H","UseDPDF=Y")</f>
        <v>#NAME?</v>
      </c>
      <c r="BC113" s="2" t="e">
        <f ca="1">_xll.BDH($C$103,"TOTAL_CAPITAL_5_YEAR_GROWTH","FY 2016","FY 2016","Currency=INR","Period=FY","BEST_FPERIOD_OVERRIDE=FY","FILING_STATUS=OR","EQY_CONSOLIDATED=Y","Sort=A","Dates=H","DateFormat=P","Fill=—","Direction=H","UseDPDF=Y")</f>
        <v>#NAME?</v>
      </c>
      <c r="BD113" s="2" t="e">
        <f ca="1">_xll.BDH($C$103,"GEO_GROW_BOOK_VAL","FY 2016","FY 2016","Currency=INR","Period=FY","BEST_FPERIOD_OVERRIDE=FY","FILING_STATUS=OR","EQY_CONSOLIDATED=Y","Sort=A","Dates=H","DateFormat=P","Fill=—","Direction=H","UseDPDF=Y")</f>
        <v>#NAME?</v>
      </c>
      <c r="BE113" s="2" t="e">
        <f ca="1">_xll.BDH($C$103,"GEO_GROW_CASH_OPER_ACT","FY 2016","FY 2016","Currency=INR","Period=FY","BEST_FPERIOD_OVERRIDE=FY","FILING_STATUS=OR","EQY_CONSOLIDATED=Y","Sort=A","Dates=H","DateFormat=P","Fill=—","Direction=H","UseDPDF=Y")</f>
        <v>#NAME?</v>
      </c>
      <c r="BF113" s="2" t="e">
        <f ca="1">_xll.BDH($C$103,"REVENUE_SEQUENTIAL_GROWTH","FY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113" s="2" t="e">
        <f ca="1">_xll.BDH($C$103,"EBITDA_SEQUENTIAL_GROWTH","FY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113" s="2" t="e">
        <f ca="1">_xll.BDH($C$103,"OPERATING_INCOME_SEQ_GROWTH","FY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113" s="2" t="e">
        <f ca="1">_xll.BDH($C$103,"NET_INCOME_TO_COMMON_SEQ_GROWTH","FY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113" s="2" t="e">
        <f ca="1">_xll.BDH($C$103,"EPS_DILUTED_SEQUENTIAL_GROWTH","FY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113" s="2" t="e">
        <f ca="1">_xll.BDH($C$103,"DPS_SEQUENTIAL_GROWTH","FY 2016","FY 2016","Currency=INR","Period=FY","BEST_FPERIOD_OVERRIDE=FY","FILING_STATUS=OR","EQY_CONSOLIDATED=Y","Sort=A","Dates=H","DateFormat=P","Fill=—","Direction=H","UseDPDF=Y")</f>
        <v>#NAME?</v>
      </c>
      <c r="BL113" s="2" t="e">
        <f ca="1">_xll.BDH($C$103,"ACCOUNTS_RECEIVABLE_SEQ_GROWTH","FY 2016","FY 2016","Currency=INR","Period=FY","BEST_FPERIOD_OVERRIDE=FY","FILING_STATUS=OR","EQY_CONSOLIDATED=Y","Sort=A","Dates=H","DateFormat=P","Fill=—","Direction=H","UseDPDF=Y")</f>
        <v>#NAME?</v>
      </c>
      <c r="BM113" s="2" t="e">
        <f ca="1">_xll.BDH($C$103,"INVENTORY_SEQUENTIAL_GROWTH","FY 2016","FY 2016","Currency=INR","Period=FY","BEST_FPERIOD_OVERRIDE=FY","FILING_STATUS=OR","EQY_CONSOLIDATED=Y","Sort=A","Dates=H","DateFormat=P","Fill=—","Direction=H","UseDPDF=Y")</f>
        <v>#NAME?</v>
      </c>
      <c r="BN113" s="2" t="e">
        <f ca="1">_xll.BDH($C$103,"FIXED_ASSETS_SEQUENTIAL_GROWTH","FY 2016","FY 2016","Currency=INR","Period=FY","BEST_FPERIOD_OVERRIDE=FY","FILING_STATUS=OR","EQY_CONSOLIDATED=Y","Sort=A","Dates=H","DateFormat=P","Fill=—","Direction=H","UseDPDF=Y")</f>
        <v>#NAME?</v>
      </c>
      <c r="BO113" s="2" t="e">
        <f ca="1">_xll.BDH($C$103,"TOTAL_ASSETS_SEQUENTIAL_GROWTH","FY 2016","FY 2016","Currency=INR","Period=FY","BEST_FPERIOD_OVERRIDE=FY","FILING_STATUS=OR","EQY_CONSOLIDATED=Y","Sort=A","Dates=H","DateFormat=P","Fill=—","Direction=H","UseDPDF=Y")</f>
        <v>#NAME?</v>
      </c>
      <c r="BP113" s="2" t="e">
        <f ca="1">_xll.BDH($C$103,"MODIFIED_WORKING_CPTL_SEQ_GRWTH","FY 2016","FY 2016","Currency=INR","Period=FY","BEST_FPERIOD_OVERRIDE=FY","FILING_STATUS=OR","EQY_CONSOLIDATED=Y","Sort=A","Dates=H","DateFormat=P","Fill=—","Direction=H","UseDPDF=Y")</f>
        <v>#NAME?</v>
      </c>
      <c r="BQ113" s="2" t="e">
        <f ca="1">_xll.BDH($C$103,"WORKING_CAPITAL_SEQ_GROWTH","FY 2016","FY 2016","Currency=INR","Period=FY","BEST_FPERIOD_OVERRIDE=FY","FILING_STATUS=OR","EQY_CONSOLIDATED=Y","Sort=A","Dates=H","DateFormat=P","Fill=—","Direction=H","UseDPDF=Y")</f>
        <v>#NAME?</v>
      </c>
      <c r="BR113" s="2" t="e">
        <f ca="1">_xll.BDH($C$103,"ACCOUNTS_PAYABLE_SEQ_GROWTH","FY 2016","FY 2016","Currency=INR","Period=FY","BEST_FPERIOD_OVERRIDE=FY","FILING_STATUS=OR","EQY_CONSOLIDATED=Y","Sort=A","Dates=H","DateFormat=P","Fill=—","Direction=H","UseDPDF=Y")</f>
        <v>#NAME?</v>
      </c>
      <c r="BS113" s="2" t="e">
        <f ca="1">_xll.BDH($C$103,"ST_DEBT_SEQUENTIAL_GROWTH","FY 2016","FY 2016","Currency=INR","Period=FY","BEST_FPERIOD_OVERRIDE=FY","FILING_STATUS=OR","EQY_CONSOLIDATED=Y","Sort=A","Dates=H","DateFormat=P","Fill=—","Direction=H","UseDPDF=Y")</f>
        <v>#NAME?</v>
      </c>
      <c r="BT113" s="2" t="e">
        <f ca="1">_xll.BDH($C$103,"TOTAL_DEBT_SEQUENTIAL_GROWTH","FY 2016","FY 2016","Currency=INR","Period=FY","BEST_FPERIOD_OVERRIDE=FY","FILING_STATUS=OR","EQY_CONSOLIDATED=Y","Sort=A","Dates=H","DateFormat=P","Fill=—","Direction=H","UseDPDF=Y")</f>
        <v>#NAME?</v>
      </c>
      <c r="BU113" s="2" t="e">
        <f ca="1">_xll.BDH($C$103,"TOTAL_EQUITY_SEQUENTIAL_GROWTH","FY 2016","FY 2016","Currency=INR","Period=FY","BEST_FPERIOD_OVERRIDE=FY","FILING_STATUS=OR","EQY_CONSOLIDATED=Y","Sort=A","Dates=H","DateFormat=P","Fill=—","Direction=H","UseDPDF=Y")</f>
        <v>#NAME?</v>
      </c>
      <c r="BV113" s="2" t="e">
        <f ca="1">_xll.BDH($C$103,"TOTAL_CAPITAL_SEQUENTIAL_GROWTH","FY 2016","FY 2016","Currency=INR","Period=FY","BEST_FPERIOD_OVERRIDE=FY","FILING_STATUS=OR","EQY_CONSOLIDATED=Y","Sort=A","Dates=H","DateFormat=P","Fill=—","Direction=H","UseDPDF=Y")</f>
        <v>#NAME?</v>
      </c>
      <c r="BW113" s="2" t="e">
        <f ca="1">_xll.BDH($C$103,"BPS_SEQUENTIAL_GROWTH","FY 2016","FY 2016","Currency=INR","Period=FY","BEST_FPERIOD_OVERRIDE=FY","FILING_STATUS=OR","EQY_CONSOLIDATED=Y","Sort=A","Dates=H","DateFormat=P","Fill=—","Direction=H","UseDPDF=Y")</f>
        <v>#NAME?</v>
      </c>
      <c r="BX113" s="2" t="e">
        <f ca="1">_xll.BDH($C$103,"CFO_SEQUENTIAL_GROWTH","FY 2016","FY 2016","Currency=INR","Period=FY","BEST_FPERIOD_OVERRIDE=FY","FILING_STATUS=OR","EQY_CONSOLIDATED=Y","Sort=A","Dates=H","DateFormat=P","Fill=—","Direction=H","UseDPDF=Y")</f>
        <v>#NAME?</v>
      </c>
      <c r="BY113" s="3" t="e">
        <f ca="1">_xll.BDH($C$103,"SHORT_AND_LONG_TERM_DEBT","FY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113" s="3" t="e">
        <f ca="1">_xll.BDH($C$103,"BS_ST_BORROW","FY 2016","FY 2016","Currency=INR","Period=FY","BEST_FPERIOD_OVERRIDE=FY","FILING_STATUS=OR","EQY_CONSOLIDATED=Y","SCALING_FORMAT=MLN","Sort=A","Dates=H","DateFormat=P","Fill=—","Direction=H","UseDPDF=Y")</f>
        <v>#NAME?</v>
      </c>
      <c r="CA113" s="3" t="e">
        <f ca="1">_xll.BDH($C$103,"BS_LT_BORROW","FY 2016","FY 2016","Currency=INR","Period=FY","BEST_FPERIOD_OVERRIDE=FY","FILING_STATUS=OR","EQY_CONSOLIDATED=Y","SCALING_FORMAT=MLN","Sort=A","Dates=H","DateFormat=P","Fill=—","Direction=H","UseDPDF=Y")</f>
        <v>#NAME?</v>
      </c>
      <c r="CB113" s="2" t="e">
        <f ca="1">_xll.BDH($C$103,"TOT_DEBT_TO_EBITDA","FY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113" s="2" t="e">
        <f ca="1">_xll.BDH($C$103,"NET_DEBT_TO_EBITDA","FY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113" s="2" t="e">
        <f ca="1">_xll.BDH($C$103,"TOTAL_DEBT_TO_EBIT","FY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113" s="2" t="e">
        <f ca="1">_xll.BDH($C$103,"NET_DEBT_TO_EBIT","FY 2016","FY 2016","Currency=INR","Period=FY","BEST_FPERIOD_OVERRIDE=FY","FILING_STATUS=OR","EQY_CONSOLIDATED=Y","FA_ADJUSTED=GAAP","Sort=A","Dates=H","DateFormat=P","Fill=—","Direction=H","UseDPDF=Y")</f>
        <v>#NAME?</v>
      </c>
      <c r="CF113" s="2" t="e">
        <f ca="1">_xll.BDH($C$103,"EBITDA_TO_INTEREST_EXPN","FY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113" s="2" t="e">
        <f ca="1">_xll.BDH($C$103,"COM_EQY_TO_TOT_ASSET","FY 2016","FY 2016","Currency=INR","Period=FY","BEST_FPERIOD_OVERRIDE=FY","FILING_STATUS=OR","EQY_CONSOLIDATED=Y","Sort=A","Dates=H","DateFormat=P","Fill=—","Direction=H","UseDPDF=Y")</f>
        <v>#NAME?</v>
      </c>
      <c r="CH113" s="2" t="e">
        <f ca="1">_xll.BDH($C$103,"LT_DEBT_TO_TOT_EQY","FY 2016","FY 2016","Currency=INR","Period=FY","BEST_FPERIOD_OVERRIDE=FY","FILING_STATUS=OR","EQY_CONSOLIDATED=Y","Sort=A","Dates=H","DateFormat=P","Fill=—","Direction=H","UseDPDF=Y")</f>
        <v>#NAME?</v>
      </c>
      <c r="CI113" s="2" t="e">
        <f ca="1">_xll.BDH($C$103,"LT_DEBT_TO_TOT_CAP","FY 2016","FY 2016","Currency=INR","Period=FY","BEST_FPERIOD_OVERRIDE=FY","FILING_STATUS=OR","EQY_CONSOLIDATED=Y","Sort=A","Dates=H","DateFormat=P","Fill=—","Direction=H","UseDPDF=Y")</f>
        <v>#NAME?</v>
      </c>
      <c r="CJ113" s="2" t="e">
        <f ca="1">_xll.BDH($C$103,"LT_DEBT_TO_TOT_ASSET","FY 2016","FY 2016","Currency=INR","Period=FY","BEST_FPERIOD_OVERRIDE=FY","FILING_STATUS=OR","EQY_CONSOLIDATED=Y","Sort=A","Dates=H","DateFormat=P","Fill=—","Direction=H","UseDPDF=Y")</f>
        <v>#NAME?</v>
      </c>
      <c r="CK113" s="2" t="e">
        <f ca="1">_xll.BDH($C$103,"TOT_DEBT_TO_TOT_EQY","FY 2016","FY 2016","Currency=INR","Period=FY","BEST_FPERIOD_OVERRIDE=FY","FILING_STATUS=OR","EQY_CONSOLIDATED=Y","Sort=A","Dates=H","DateFormat=P","Fill=—","Direction=H","UseDPDF=Y")</f>
        <v>#NAME?</v>
      </c>
      <c r="CL113" s="2" t="e">
        <f ca="1">_xll.BDH($C$103,"TOT_DEBT_TO_TOT_CAP","FY 2016","FY 2016","Currency=INR","Period=FY","BEST_FPERIOD_OVERRIDE=FY","FILING_STATUS=OR","EQY_CONSOLIDATED=Y","Sort=A","Dates=H","DateFormat=P","Fill=—","Direction=H","UseDPDF=Y")</f>
        <v>#NAME?</v>
      </c>
      <c r="CM113" s="2" t="e">
        <f ca="1">_xll.BDH($C$103,"TOT_DEBT_TO_TOT_ASSET","FY 2016","FY 2016","Currency=INR","Period=FY","BEST_FPERIOD_OVERRIDE=FY","FILING_STATUS=OR","EQY_CONSOLIDATED=Y","Sort=A","Dates=H","DateFormat=P","Fill=—","Direction=H","UseDPDF=Y")</f>
        <v>#NAME?</v>
      </c>
      <c r="CN113" s="2" t="e">
        <f ca="1">_xll.BDH($C$103,"NET_DEBT_TO_SHRHLDR_EQTY","FY 2016","FY 2016","Currency=INR","Period=FY","BEST_FPERIOD_OVERRIDE=FY","FILING_STATUS=OR","EQY_CONSOLIDATED=Y","Sort=A","Dates=H","DateFormat=P","Fill=—","Direction=H","UseDPDF=Y")</f>
        <v>#NAME?</v>
      </c>
      <c r="CO113" s="2" t="e">
        <f ca="1">_xll.BDH($C$103,"NET_DEBT_%_CAPITAL","FY 2016","FY 2016","Currency=INR","Period=FY","BEST_FPERIOD_OVERRIDE=FY","FILING_STATUS=OR","EQY_CONSOLIDATED=Y","Sort=A","Dates=H","DateFormat=P","Fill=—","Direction=H","UseDPDF=Y")</f>
        <v>#NAME?</v>
      </c>
      <c r="CP113" s="3" t="e">
        <f ca="1">_xll.BDH($C$103,"EBITDA","FY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113" s="3" t="e">
        <f ca="1">_xll.BDH($C$103,"EBITDA_AFTER_CAPEX","FY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113" s="3" t="e">
        <f ca="1">_xll.BDH($C$103,"IS_OPER_INC","FY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113" s="2" t="e">
        <f ca="1">_xll.BDH($C$103,"CASH_RATIO","FY 2016","FY 2016","Currency=INR","Period=FY","BEST_FPERIOD_OVERRIDE=FY","FILING_STATUS=OR","EQY_CONSOLIDATED=Y","Sort=A","Dates=H","DateFormat=P","Fill=—","Direction=H","UseDPDF=Y")</f>
        <v>#NAME?</v>
      </c>
      <c r="CT113" s="2" t="e">
        <f ca="1">_xll.BDH($C$103,"CUR_RATIO","FY 2016","FY 2016","Currency=INR","Period=FY","BEST_FPERIOD_OVERRIDE=FY","FILING_STATUS=OR","EQY_CONSOLIDATED=Y","Sort=A","Dates=H","DateFormat=P","Fill=—","Direction=H","UseDPDF=Y")</f>
        <v>#NAME?</v>
      </c>
      <c r="CU113" s="2" t="e">
        <f ca="1">_xll.BDH($C$103,"QUICK_RATIO","FY 2016","FY 2016","Currency=INR","Period=FY","BEST_FPERIOD_OVERRIDE=FY","FILING_STATUS=OR","EQY_CONSOLIDATED=Y","Sort=A","Dates=H","DateFormat=P","Fill=—","Direction=H","UseDPDF=Y")</f>
        <v>#NAME?</v>
      </c>
      <c r="CV113" s="2" t="e">
        <f ca="1">_xll.BDH($C$103,"ALTMAN_Z_SCORE","FY 2016","FY 2016","Currency=INR","Period=FY","BEST_FPERIOD_OVERRIDE=FY","FILING_STATUS=OR","EQY_CONSOLIDATED=Y","Sort=A","Dates=H","DateFormat=P","Fill=—","Direction=H","UseDPDF=Y")</f>
        <v>#NAME?</v>
      </c>
      <c r="CW113" s="4" t="e">
        <f ca="1">_xll.BDH($C$103,"ACCT_RCV_TURN","FY 2016","FY 2016","Currency=INR","Period=FY","BEST_FPERIOD_OVERRIDE=FY","FILING_STATUS=OR","EQY_CONSOLIDATED=Y","FA_ADJUSTED=GAAP","Sort=A","Dates=H","DateFormat=P","Fill=—","Direction=H","UseDPDF=Y")</f>
        <v>#NAME?</v>
      </c>
      <c r="CX113" s="2" t="e">
        <f ca="1">_xll.BDH($C$103,"ACCT_RCV_DAYS","FY 2016","FY 2016","Currency=INR","Period=FY","BEST_FPERIOD_OVERRIDE=FY","FILING_STATUS=OR","EQY_CONSOLIDATED=Y","FA_ADJUSTED=GAAP","Sort=A","Dates=H","DateFormat=P","Fill=—","Direction=H","UseDPDF=Y")</f>
        <v>#NAME?</v>
      </c>
      <c r="CY113" s="4" t="e">
        <f ca="1">_xll.BDH($C$103,"INVENT_TURN","FY 2016","FY 2016","Currency=INR","Period=FY","BEST_FPERIOD_OVERRIDE=FY","FILING_STATUS=OR","EQY_CONSOLIDATED=Y","FA_ADJUSTED=GAAP","Sort=A","Dates=H","DateFormat=P","Fill=—","Direction=H","UseDPDF=Y")</f>
        <v>#NAME?</v>
      </c>
      <c r="CZ113" s="2" t="e">
        <f ca="1">_xll.BDH($C$103,"INVENT_DAYS","FY 2016","FY 2016","Currency=INR","Period=FY","BEST_FPERIOD_OVERRIDE=FY","FILING_STATUS=OR","EQY_CONSOLIDATED=Y","FA_ADJUSTED=GAAP","Sort=A","Dates=H","DateFormat=P","Fill=—","Direction=H","UseDPDF=Y")</f>
        <v>#NAME?</v>
      </c>
      <c r="DA113" s="4" t="e">
        <f ca="1">_xll.BDH($C$103,"ACCOUNTS_PAYABLE_TURNOVER","FY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113" s="2" t="e">
        <f ca="1">_xll.BDH($C$103,"ACCOUNTS_PAYABLE_TURNOVER_DAYS","FY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113" s="4" t="e">
        <f ca="1">_xll.BDH($C$103,"CASH_CONVERSION_CYCLE","FY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113" s="4" t="e">
        <f ca="1">_xll.BDH($C$103,"INV_TO_CASH_DAYS","FY 2016","FY 2016","Currency=INR","Period=FY","BEST_FPERIOD_OVERRIDE=FY","FILING_STATUS=OR","EQY_CONSOLIDATED=Y","FA_ADJUSTED=GAAP","Sort=A","Dates=H","DateFormat=P","Fill=—","Direction=H","UseDPDF=Y")</f>
        <v>#NAME?</v>
      </c>
      <c r="DE113" s="5" t="e">
        <f ca="1">_xll.BDH($C$103,"BS_INVENTORIES","FY 2016","FY 2016","Currency=INR","Period=FY","BEST_FPERIOD_OVERRIDE=FY","FILING_STATUS=OR","EQY_CONSOLIDATED=Y","SCALING_FORMAT=MLN","Sort=A","Dates=H","DateFormat=P","Fill=—","Direction=H","UseDPDF=Y")</f>
        <v>#NAME?</v>
      </c>
      <c r="DF113" s="3" t="e">
        <f ca="1">_xll.BDH($C$103,"INVTRY_RAW_MATERIALS","FY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113" s="3" t="e">
        <f ca="1">_xll.BDH($C$103,"INVTRY_IN_PROGRESS","FY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113" s="3" t="e">
        <f ca="1">_xll.BDH($C$103,"INVTRY_FINISHED_GOODS","FY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113" s="3" t="e">
        <f ca="1">_xll.BDH($C$103,"BS_OTHER_INV","FY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114" spans="1:113" x14ac:dyDescent="0.3">
      <c r="A114" s="6"/>
      <c r="B114" s="6"/>
      <c r="C114" s="6"/>
      <c r="D114" s="6"/>
      <c r="E114" t="s">
        <v>78</v>
      </c>
      <c r="F114" t="e">
        <f ca="1">_xll.BDH($C$103,"RETURN_COM_EQY","FQ1 2016","FQ1 2016","Currency=INR","Period=FQ","BEST_FPERIOD_OVERRIDE=FQ","FILING_STATUS=OR","EQY_CONSOLIDATED=Y","FA_ADJUSTED=GAAP","Sort=A","Dates=H","DateFormat=P","Fill=—","Direction=H","UseDPDF=Y")</f>
        <v>#NAME?</v>
      </c>
      <c r="G114" t="e">
        <f ca="1">_xll.BDH($C$103,"RETURN_ON_ASSET","FQ1 2016","FQ1 2016","Currency=INR","Period=FQ","BEST_FPERIOD_OVERRIDE=FQ","FILING_STATUS=OR","EQY_CONSOLIDATED=Y","FA_ADJUSTED=GAAP","Sort=A","Dates=H","DateFormat=P","Fill=—","Direction=H","UseDPDF=Y")</f>
        <v>#NAME?</v>
      </c>
      <c r="H114" t="e">
        <f ca="1">_xll.BDH($C$103,"RETURN_ON_CAP","FQ1 2016","FQ1 2016","Currency=INR","Period=FQ","BEST_FPERIOD_OVERRIDE=FQ","FILING_STATUS=OR","EQY_CONSOLIDATED=Y","FA_ADJUSTED=GAAP","Sort=A","Dates=H","DateFormat=P","Fill=—","Direction=H","UseDPDF=Y")</f>
        <v>#NAME?</v>
      </c>
      <c r="I114" t="e">
        <f ca="1">_xll.BDH($C$103,"RETURN_ON_INV_CAPITAL","FQ1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114" t="e">
        <f ca="1">_xll.BDH($C$103,"EBITDA_TO_REVENUE","FQ1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114" t="e">
        <f ca="1">_xll.BDH($C$103,"OPER_MARGIN","FQ1 2016","FQ1 2016","Currency=INR","Period=FQ","BEST_FPERIOD_OVERRIDE=FQ","FILING_STATUS=OR","EQY_CONSOLIDATED=Y","FA_ADJUSTED=GAAP","Sort=A","Dates=H","DateFormat=P","Fill=—","Direction=H","UseDPDF=Y")</f>
        <v>#NAME?</v>
      </c>
      <c r="L114" t="e">
        <f ca="1">_xll.BDH($C$103,"INCREMENTAL_OPERATING_MARGIN","FQ1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114" t="e">
        <f ca="1">_xll.BDH($C$103,"PRETAX_INC_TO_NET_SALES","FQ1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114" t="e">
        <f ca="1">_xll.BDH($C$103,"INC_BEF_XO_ITEMS_TO_NET_SALES","FQ1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114" t="e">
        <f ca="1">_xll.BDH($C$103,"PROF_MARGIN","FQ1 2016","FQ1 2016","Currency=INR","Period=FQ","BEST_FPERIOD_OVERRIDE=FQ","FILING_STATUS=OR","EQY_CONSOLIDATED=Y","FA_ADJUSTED=GAAP","Sort=A","Dates=H","DateFormat=P","Fill=—","Direction=H","UseDPDF=Y")</f>
        <v>#NAME?</v>
      </c>
      <c r="P114" t="e">
        <f ca="1">_xll.BDH($C$103,"NET_INCOME_TO_COMMON_MARGIN","FQ1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114" t="e">
        <f ca="1">_xll.BDH($C$103,"EFF_TAX_RATE","FQ1 2016","FQ1 2016","Currency=INR","Period=FQ","BEST_FPERIOD_OVERRIDE=FQ","FILING_STATUS=OR","EQY_CONSOLIDATED=Y","FA_ADJUSTED=GAAP","Sort=A","Dates=H","DateFormat=P","Fill=—","Direction=H","UseDPDF=Y")</f>
        <v>#NAME?</v>
      </c>
      <c r="R114" t="e">
        <f ca="1">_xll.BDH($C$103,"DVD_PAYOUT_RATIO","FQ1 2016","FQ1 2016","Currency=INR","Period=FQ","BEST_FPERIOD_OVERRIDE=FQ","FILING_STATUS=OR","EQY_CONSOLIDATED=Y","FA_ADJUSTED=GAAP","Sort=A","Dates=H","DateFormat=P","Fill=—","Direction=H","UseDPDF=Y")</f>
        <v>#NAME?</v>
      </c>
      <c r="S114" t="e">
        <f ca="1">_xll.BDH($C$103,"SUSTAIN_GROWTH_RT","FQ1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114" s="2" t="e">
        <f ca="1">_xll.BDH($C$103,"SALES_GROWTH","FQ1 2016","FQ1 2016","Currency=INR","Period=FQ","BEST_FPERIOD_OVERRIDE=FQ","FILING_STATUS=OR","EQY_CONSOLIDATED=Y","FA_ADJUSTED=GAAP","Sort=A","Dates=H","DateFormat=P","Fill=—","Direction=H","UseDPDF=Y")</f>
        <v>#NAME?</v>
      </c>
      <c r="U114" s="2" t="e">
        <f ca="1">_xll.BDH($C$103,"EBITDA_GROWTH","FQ1 2016","FQ1 2016","Currency=INR","Period=FQ","BEST_FPERIOD_OVERRIDE=FQ","FILING_STATUS=OR","EQY_CONSOLIDATED=Y","FA_ADJUSTED=GAAP","Sort=A","Dates=H","DateFormat=P","Fill=—","Direction=H","UseDPDF=Y")</f>
        <v>#NAME?</v>
      </c>
      <c r="V114" s="2" t="e">
        <f ca="1">_xll.BDH($C$103,"OPER_INC_GROWTH","FQ1 2016","FQ1 2016","Currency=INR","Period=FQ","BEST_FPERIOD_OVERRIDE=FQ","FILING_STATUS=OR","EQY_CONSOLIDATED=Y","FA_ADJUSTED=GAAP","Sort=A","Dates=H","DateFormat=P","Fill=—","Direction=H","UseDPDF=Y")</f>
        <v>#NAME?</v>
      </c>
      <c r="W114" s="2" t="e">
        <f ca="1">_xll.BDH($C$103,"EARN_FOR_COM_GROWTH","FQ1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114" s="2" t="e">
        <f ca="1">_xll.BDH($C$103,"DILUTED_EPS_AFT_XO_ITEMS_GROWTH","FQ1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114" s="2" t="e">
        <f ca="1">_xll.BDH($C$103,"DIVIDEND_PER_SHARE_1_YEAR_GROWTH","FQ1 2016","FQ1 2016","Currency=INR","Period=FQ","BEST_FPERIOD_OVERRIDE=FQ","FILING_STATUS=OR","EQY_CONSOLIDATED=Y","Sort=A","Dates=H","DateFormat=P","Fill=—","Direction=H","UseDPDF=Y")</f>
        <v>#NAME?</v>
      </c>
      <c r="Z114" s="2" t="e">
        <f ca="1">_xll.BDH($C$103,"ACCOUNTS_RECEIVABLE_GROWTH","FQ1 2016","FQ1 2016","Currency=INR","Period=FQ","BEST_FPERIOD_OVERRIDE=FQ","FILING_STATUS=OR","EQY_CONSOLIDATED=Y","Sort=A","Dates=H","DateFormat=P","Fill=—","Direction=H","UseDPDF=Y")</f>
        <v>#NAME?</v>
      </c>
      <c r="AA114" s="2" t="e">
        <f ca="1">_xll.BDH($C$103,"INVENTORY_GROWTH","FQ1 2016","FQ1 2016","Currency=INR","Period=FQ","BEST_FPERIOD_OVERRIDE=FQ","FILING_STATUS=OR","EQY_CONSOLIDATED=Y","Sort=A","Dates=H","DateFormat=P","Fill=—","Direction=H","UseDPDF=Y")</f>
        <v>#NAME?</v>
      </c>
      <c r="AB114" s="2" t="e">
        <f ca="1">_xll.BDH($C$103,"NET_FIXED_ASSETS_1_YEAR_GROWTH","FQ1 2016","FQ1 2016","Currency=INR","Period=FQ","BEST_FPERIOD_OVERRIDE=FQ","FILING_STATUS=OR","EQY_CONSOLIDATED=Y","Sort=A","Dates=H","DateFormat=P","Fill=—","Direction=H","UseDPDF=Y")</f>
        <v>#NAME?</v>
      </c>
      <c r="AC114" s="2" t="e">
        <f ca="1">_xll.BDH($C$103,"ASSET_GROWTH","FQ1 2016","FQ1 2016","Currency=INR","Period=FQ","BEST_FPERIOD_OVERRIDE=FQ","FILING_STATUS=OR","EQY_CONSOLIDATED=Y","Sort=A","Dates=H","DateFormat=P","Fill=—","Direction=H","UseDPDF=Y")</f>
        <v>#NAME?</v>
      </c>
      <c r="AD114" s="2" t="e">
        <f ca="1">_xll.BDH($C$103,"MODIFIED_WORK_CAP_GROWTH","FQ1 2016","FQ1 2016","Currency=INR","Period=FQ","BEST_FPERIOD_OVERRIDE=FQ","FILING_STATUS=OR","EQY_CONSOLIDATED=Y","Sort=A","Dates=H","DateFormat=P","Fill=—","Direction=H","UseDPDF=Y")</f>
        <v>#NAME?</v>
      </c>
      <c r="AE114" s="2" t="e">
        <f ca="1">_xll.BDH($C$103,"WORK_CAP_GROWTH","FQ1 2016","FQ1 2016","Currency=INR","Period=FQ","BEST_FPERIOD_OVERRIDE=FQ","FILING_STATUS=OR","EQY_CONSOLIDATED=Y","Sort=A","Dates=H","DateFormat=P","Fill=—","Direction=H","UseDPDF=Y")</f>
        <v>#NAME?</v>
      </c>
      <c r="AF114" s="2" t="e">
        <f ca="1">_xll.BDH($C$103,"ACCOUNTS_PAYABLE_GROWTH_1YR","FQ1 2016","FQ1 2016","Currency=INR","Period=FQ","BEST_FPERIOD_OVERRIDE=FQ","FILING_STATUS=OR","EQY_CONSOLIDATED=Y","Sort=A","Dates=H","DateFormat=P","Fill=—","Direction=H","UseDPDF=Y")</f>
        <v>#NAME?</v>
      </c>
      <c r="AG114" s="2" t="e">
        <f ca="1">_xll.BDH($C$103,"SHORT_TERM_DEBT_1_YEAR_GROWTH","FQ1 2016","FQ1 2016","Currency=INR","Period=FQ","BEST_FPERIOD_OVERRIDE=FQ","FILING_STATUS=OR","EQY_CONSOLIDATED=Y","Sort=A","Dates=H","DateFormat=P","Fill=—","Direction=H","UseDPDF=Y")</f>
        <v>#NAME?</v>
      </c>
      <c r="AH114" s="2" t="e">
        <f ca="1">_xll.BDH($C$103,"TOTAL_DEBT_1_YEAR_GROWTH","FQ1 2016","FQ1 2016","Currency=INR","Period=FQ","BEST_FPERIOD_OVERRIDE=FQ","FILING_STATUS=OR","EQY_CONSOLIDATED=Y","Sort=A","Dates=H","DateFormat=P","Fill=—","Direction=H","UseDPDF=Y")</f>
        <v>#NAME?</v>
      </c>
      <c r="AI114" s="2" t="e">
        <f ca="1">_xll.BDH($C$103,"TOTAL_EQUITY_1_YEAR_GROWTH","FQ1 2016","FQ1 2016","Currency=INR","Period=FQ","BEST_FPERIOD_OVERRIDE=FQ","FILING_STATUS=OR","EQY_CONSOLIDATED=Y","Sort=A","Dates=H","DateFormat=P","Fill=—","Direction=H","UseDPDF=Y")</f>
        <v>#NAME?</v>
      </c>
      <c r="AJ114" s="2" t="e">
        <f ca="1">_xll.BDH($C$103,"GROWTH_IN_CAP","FQ1 2016","FQ1 2016","Currency=INR","Period=FQ","BEST_FPERIOD_OVERRIDE=FQ","FILING_STATUS=OR","EQY_CONSOLIDATED=Y","Sort=A","Dates=H","DateFormat=P","Fill=—","Direction=H","UseDPDF=Y")</f>
        <v>#NAME?</v>
      </c>
      <c r="AK114" s="2" t="e">
        <f ca="1">_xll.BDH($C$103,"BVPS_GROWTH","FQ1 2016","FQ1 2016","Currency=INR","Period=FQ","BEST_FPERIOD_OVERRIDE=FQ","FILING_STATUS=OR","EQY_CONSOLIDATED=Y","Sort=A","Dates=H","DateFormat=P","Fill=—","Direction=H","UseDPDF=Y")</f>
        <v>#NAME?</v>
      </c>
      <c r="AL114" s="2" t="e">
        <f ca="1">_xll.BDH($C$103,"CASH_FLOW_GROWTH","FQ1 2016","FQ1 2016","Currency=INR","Period=FQ","BEST_FPERIOD_OVERRIDE=FQ","FILING_STATUS=OR","EQY_CONSOLIDATED=Y","Sort=A","Dates=H","DateFormat=P","Fill=—","Direction=H","UseDPDF=Y")</f>
        <v>#NAME?</v>
      </c>
      <c r="AM114" s="2" t="e">
        <f ca="1">_xll.BDH($C$103,"GEO_GROW_NET_SALES","FQ1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114" s="2" t="e">
        <f ca="1">_xll.BDH($C$103,"GEO_GROW_EBITDA","FQ1 2016","FQ1 2016","Currency=INR","Period=FQ","BEST_FPERIOD_OVERRIDE=FQ","FILING_STATUS=OR","EQY_CONSOLIDATED=Y","FA_ADJUSTED=GAAP","Sort=A","Dates=H","DateFormat=P","Fill=—","Direction=H","UseDPDF=Y")</f>
        <v>#NAME?</v>
      </c>
      <c r="AO114" s="2" t="e">
        <f ca="1">_xll.BDH($C$103,"GEO_GROW_OPER_INC","FQ1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114" s="2" t="e">
        <f ca="1">_xll.BDH($C$103,"NET_INCOME_TO_COMMON_5_YR_GROWTH","FQ1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114" s="2" t="e">
        <f ca="1">_xll.BDH($C$103,"5Y_GEO_GROWTH_DILUTED_EPS","FQ1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114" s="2" t="e">
        <f ca="1">_xll.BDH($C$103,"GEO_GROW_DVD_PER_SH","FQ1 2016","FQ1 2016","Currency=INR","Period=FQ","BEST_FPERIOD_OVERRIDE=FQ","FILING_STATUS=OR","EQY_CONSOLIDATED=Y","Sort=A","Dates=H","DateFormat=P","Fill=—","Direction=H","UseDPDF=Y")</f>
        <v>#NAME?</v>
      </c>
      <c r="AS114" s="2" t="e">
        <f ca="1">_xll.BDH($C$103,"ACCOUNTS_RECEIVABLE_5_YR_GROWTH","FQ1 2016","FQ1 2016","Currency=INR","Period=FQ","BEST_FPERIOD_OVERRIDE=FQ","FILING_STATUS=OR","EQY_CONSOLIDATED=Y","Sort=A","Dates=H","DateFormat=P","Fill=—","Direction=H","UseDPDF=Y")</f>
        <v>#NAME?</v>
      </c>
      <c r="AT114" s="2" t="e">
        <f ca="1">_xll.BDH($C$103,"INVENTORY_5_YEAR_GROWTH","FQ1 2016","FQ1 2016","Currency=INR","Period=FQ","BEST_FPERIOD_OVERRIDE=FQ","FILING_STATUS=OR","EQY_CONSOLIDATED=Y","Sort=A","Dates=H","DateFormat=P","Fill=—","Direction=H","UseDPDF=Y")</f>
        <v>#NAME?</v>
      </c>
      <c r="AU114" s="2" t="e">
        <f ca="1">_xll.BDH($C$103,"NET_FIXED_ASSETS_5_YEAR_GROWTH","FQ1 2016","FQ1 2016","Currency=INR","Period=FQ","BEST_FPERIOD_OVERRIDE=FQ","FILING_STATUS=OR","EQY_CONSOLIDATED=Y","Sort=A","Dates=H","DateFormat=P","Fill=—","Direction=H","UseDPDF=Y")</f>
        <v>#NAME?</v>
      </c>
      <c r="AV114" s="2" t="e">
        <f ca="1">_xll.BDH($C$103,"GEO_GROW_TOT_ASSET","FQ1 2016","FQ1 2016","Currency=INR","Period=FQ","BEST_FPERIOD_OVERRIDE=FQ","FILING_STATUS=OR","EQY_CONSOLIDATED=Y","Sort=A","Dates=H","DateFormat=P","Fill=—","Direction=H","UseDPDF=Y")</f>
        <v>#NAME?</v>
      </c>
      <c r="AW114" s="2" t="e">
        <f ca="1">_xll.BDH($C$103,"MODIFIED_WORKING_CPTL_5YR_GRWTH","FQ1 2016","FQ1 2016","Currency=INR","Period=FQ","BEST_FPERIOD_OVERRIDE=FQ","FILING_STATUS=OR","EQY_CONSOLIDATED=Y","Sort=A","Dates=H","DateFormat=P","Fill=—","Direction=H","UseDPDF=Y")</f>
        <v>#NAME?</v>
      </c>
      <c r="AX114" s="2" t="e">
        <f ca="1">_xll.BDH($C$103,"WORKING_CAPITAL_5_YEAR_GROWTH","FQ1 2016","FQ1 2016","Currency=INR","Period=FQ","BEST_FPERIOD_OVERRIDE=FQ","FILING_STATUS=OR","EQY_CONSOLIDATED=Y","Sort=A","Dates=H","DateFormat=P","Fill=—","Direction=H","UseDPDF=Y")</f>
        <v>#NAME?</v>
      </c>
      <c r="AY114" s="2" t="e">
        <f ca="1">_xll.BDH($C$103,"ACCOUNTS_PAYABLE_5_YEAR_GROWTH","FQ1 2016","FQ1 2016","Currency=INR","Period=FQ","BEST_FPERIOD_OVERRIDE=FQ","FILING_STATUS=OR","EQY_CONSOLIDATED=Y","Sort=A","Dates=H","DateFormat=P","Fill=—","Direction=H","UseDPDF=Y")</f>
        <v>#NAME?</v>
      </c>
      <c r="AZ114" s="2" t="e">
        <f ca="1">_xll.BDH($C$103,"SHORT_TERM_DEBT_5_YEAR_GROWTH","FQ1 2016","FQ1 2016","Currency=INR","Period=FQ","BEST_FPERIOD_OVERRIDE=FQ","FILING_STATUS=OR","EQY_CONSOLIDATED=Y","Sort=A","Dates=H","DateFormat=P","Fill=—","Direction=H","UseDPDF=Y")</f>
        <v>#NAME?</v>
      </c>
      <c r="BA114" s="2" t="e">
        <f ca="1">_xll.BDH($C$103,"TOTAL_DEBT_5_YEAR_GROWTH","FQ1 2016","FQ1 2016","Currency=INR","Period=FQ","BEST_FPERIOD_OVERRIDE=FQ","FILING_STATUS=OR","EQY_CONSOLIDATED=Y","Sort=A","Dates=H","DateFormat=P","Fill=—","Direction=H","UseDPDF=Y")</f>
        <v>#NAME?</v>
      </c>
      <c r="BB114" s="2" t="e">
        <f ca="1">_xll.BDH($C$103,"GEO_GROW_TOT_SHRHLDR_EQY","FQ1 2016","FQ1 2016","Currency=INR","Period=FQ","BEST_FPERIOD_OVERRIDE=FQ","FILING_STATUS=OR","EQY_CONSOLIDATED=Y","Sort=A","Dates=H","DateFormat=P","Fill=—","Direction=H","UseDPDF=Y")</f>
        <v>#NAME?</v>
      </c>
      <c r="BC114" s="2" t="e">
        <f ca="1">_xll.BDH($C$103,"TOTAL_CAPITAL_5_YEAR_GROWTH","FQ1 2016","FQ1 2016","Currency=INR","Period=FQ","BEST_FPERIOD_OVERRIDE=FQ","FILING_STATUS=OR","EQY_CONSOLIDATED=Y","Sort=A","Dates=H","DateFormat=P","Fill=—","Direction=H","UseDPDF=Y")</f>
        <v>#NAME?</v>
      </c>
      <c r="BD114" s="2" t="e">
        <f ca="1">_xll.BDH($C$103,"GEO_GROW_BOOK_VAL","FQ1 2016","FQ1 2016","Currency=INR","Period=FQ","BEST_FPERIOD_OVERRIDE=FQ","FILING_STATUS=OR","EQY_CONSOLIDATED=Y","Sort=A","Dates=H","DateFormat=P","Fill=—","Direction=H","UseDPDF=Y")</f>
        <v>#NAME?</v>
      </c>
      <c r="BE114" s="2" t="e">
        <f ca="1">_xll.BDH($C$103,"GEO_GROW_CASH_OPER_ACT","FQ1 2016","FQ1 2016","Currency=INR","Period=FQ","BEST_FPERIOD_OVERRIDE=FQ","FILING_STATUS=OR","EQY_CONSOLIDATED=Y","Sort=A","Dates=H","DateFormat=P","Fill=—","Direction=H","UseDPDF=Y")</f>
        <v>#NAME?</v>
      </c>
      <c r="BF114" s="2" t="e">
        <f ca="1">_xll.BDH($C$103,"REVENUE_SEQUENTIAL_GROWTH","FQ1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114" s="2" t="e">
        <f ca="1">_xll.BDH($C$103,"EBITDA_SEQUENTIAL_GROWTH","FQ1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114" s="2" t="e">
        <f ca="1">_xll.BDH($C$103,"OPERATING_INCOME_SEQ_GROWTH","FQ1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114" s="2" t="e">
        <f ca="1">_xll.BDH($C$103,"NET_INCOME_TO_COMMON_SEQ_GROWTH","FQ1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114" s="2" t="e">
        <f ca="1">_xll.BDH($C$103,"EPS_DILUTED_SEQUENTIAL_GROWTH","FQ1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114" s="2" t="e">
        <f ca="1">_xll.BDH($C$103,"DPS_SEQUENTIAL_GROWTH","FQ1 2016","FQ1 2016","Currency=INR","Period=FQ","BEST_FPERIOD_OVERRIDE=FQ","FILING_STATUS=OR","EQY_CONSOLIDATED=Y","Sort=A","Dates=H","DateFormat=P","Fill=—","Direction=H","UseDPDF=Y")</f>
        <v>#NAME?</v>
      </c>
      <c r="BL114" s="2" t="e">
        <f ca="1">_xll.BDH($C$103,"ACCOUNTS_RECEIVABLE_SEQ_GROWTH","FQ1 2016","FQ1 2016","Currency=INR","Period=FQ","BEST_FPERIOD_OVERRIDE=FQ","FILING_STATUS=OR","EQY_CONSOLIDATED=Y","Sort=A","Dates=H","DateFormat=P","Fill=—","Direction=H","UseDPDF=Y")</f>
        <v>#NAME?</v>
      </c>
      <c r="BM114" s="2" t="e">
        <f ca="1">_xll.BDH($C$103,"INVENTORY_SEQUENTIAL_GROWTH","FQ1 2016","FQ1 2016","Currency=INR","Period=FQ","BEST_FPERIOD_OVERRIDE=FQ","FILING_STATUS=OR","EQY_CONSOLIDATED=Y","Sort=A","Dates=H","DateFormat=P","Fill=—","Direction=H","UseDPDF=Y")</f>
        <v>#NAME?</v>
      </c>
      <c r="BN114" s="2" t="e">
        <f ca="1">_xll.BDH($C$103,"FIXED_ASSETS_SEQUENTIAL_GROWTH","FQ1 2016","FQ1 2016","Currency=INR","Period=FQ","BEST_FPERIOD_OVERRIDE=FQ","FILING_STATUS=OR","EQY_CONSOLIDATED=Y","Sort=A","Dates=H","DateFormat=P","Fill=—","Direction=H","UseDPDF=Y")</f>
        <v>#NAME?</v>
      </c>
      <c r="BO114" s="2" t="e">
        <f ca="1">_xll.BDH($C$103,"TOTAL_ASSETS_SEQUENTIAL_GROWTH","FQ1 2016","FQ1 2016","Currency=INR","Period=FQ","BEST_FPERIOD_OVERRIDE=FQ","FILING_STATUS=OR","EQY_CONSOLIDATED=Y","Sort=A","Dates=H","DateFormat=P","Fill=—","Direction=H","UseDPDF=Y")</f>
        <v>#NAME?</v>
      </c>
      <c r="BP114" s="2" t="e">
        <f ca="1">_xll.BDH($C$103,"MODIFIED_WORKING_CPTL_SEQ_GRWTH","FQ1 2016","FQ1 2016","Currency=INR","Period=FQ","BEST_FPERIOD_OVERRIDE=FQ","FILING_STATUS=OR","EQY_CONSOLIDATED=Y","Sort=A","Dates=H","DateFormat=P","Fill=—","Direction=H","UseDPDF=Y")</f>
        <v>#NAME?</v>
      </c>
      <c r="BQ114" s="2" t="e">
        <f ca="1">_xll.BDH($C$103,"WORKING_CAPITAL_SEQ_GROWTH","FQ1 2016","FQ1 2016","Currency=INR","Period=FQ","BEST_FPERIOD_OVERRIDE=FQ","FILING_STATUS=OR","EQY_CONSOLIDATED=Y","Sort=A","Dates=H","DateFormat=P","Fill=—","Direction=H","UseDPDF=Y")</f>
        <v>#NAME?</v>
      </c>
      <c r="BR114" s="2" t="e">
        <f ca="1">_xll.BDH($C$103,"ACCOUNTS_PAYABLE_SEQ_GROWTH","FQ1 2016","FQ1 2016","Currency=INR","Period=FQ","BEST_FPERIOD_OVERRIDE=FQ","FILING_STATUS=OR","EQY_CONSOLIDATED=Y","Sort=A","Dates=H","DateFormat=P","Fill=—","Direction=H","UseDPDF=Y")</f>
        <v>#NAME?</v>
      </c>
      <c r="BS114" s="2" t="e">
        <f ca="1">_xll.BDH($C$103,"ST_DEBT_SEQUENTIAL_GROWTH","FQ1 2016","FQ1 2016","Currency=INR","Period=FQ","BEST_FPERIOD_OVERRIDE=FQ","FILING_STATUS=OR","EQY_CONSOLIDATED=Y","Sort=A","Dates=H","DateFormat=P","Fill=—","Direction=H","UseDPDF=Y")</f>
        <v>#NAME?</v>
      </c>
      <c r="BT114" s="2" t="e">
        <f ca="1">_xll.BDH($C$103,"TOTAL_DEBT_SEQUENTIAL_GROWTH","FQ1 2016","FQ1 2016","Currency=INR","Period=FQ","BEST_FPERIOD_OVERRIDE=FQ","FILING_STATUS=OR","EQY_CONSOLIDATED=Y","Sort=A","Dates=H","DateFormat=P","Fill=—","Direction=H","UseDPDF=Y")</f>
        <v>#NAME?</v>
      </c>
      <c r="BU114" s="2" t="e">
        <f ca="1">_xll.BDH($C$103,"TOTAL_EQUITY_SEQUENTIAL_GROWTH","FQ1 2016","FQ1 2016","Currency=INR","Period=FQ","BEST_FPERIOD_OVERRIDE=FQ","FILING_STATUS=OR","EQY_CONSOLIDATED=Y","Sort=A","Dates=H","DateFormat=P","Fill=—","Direction=H","UseDPDF=Y")</f>
        <v>#NAME?</v>
      </c>
      <c r="BV114" s="2" t="e">
        <f ca="1">_xll.BDH($C$103,"TOTAL_CAPITAL_SEQUENTIAL_GROWTH","FQ1 2016","FQ1 2016","Currency=INR","Period=FQ","BEST_FPERIOD_OVERRIDE=FQ","FILING_STATUS=OR","EQY_CONSOLIDATED=Y","Sort=A","Dates=H","DateFormat=P","Fill=—","Direction=H","UseDPDF=Y")</f>
        <v>#NAME?</v>
      </c>
      <c r="BW114" s="2" t="e">
        <f ca="1">_xll.BDH($C$103,"BPS_SEQUENTIAL_GROWTH","FQ1 2016","FQ1 2016","Currency=INR","Period=FQ","BEST_FPERIOD_OVERRIDE=FQ","FILING_STATUS=OR","EQY_CONSOLIDATED=Y","Sort=A","Dates=H","DateFormat=P","Fill=—","Direction=H","UseDPDF=Y")</f>
        <v>#NAME?</v>
      </c>
      <c r="BX114" s="2" t="e">
        <f ca="1">_xll.BDH($C$103,"CFO_SEQUENTIAL_GROWTH","FQ1 2016","FQ1 2016","Currency=INR","Period=FQ","BEST_FPERIOD_OVERRIDE=FQ","FILING_STATUS=OR","EQY_CONSOLIDATED=Y","Sort=A","Dates=H","DateFormat=P","Fill=—","Direction=H","UseDPDF=Y")</f>
        <v>#NAME?</v>
      </c>
      <c r="BY114" s="3" t="e">
        <f ca="1">_xll.BDH($C$103,"SHORT_AND_LONG_TERM_DEBT","FQ1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114" s="3" t="e">
        <f ca="1">_xll.BDH($C$103,"BS_ST_BORROW","FQ1 2016","FQ1 2016","Currency=INR","Period=FQ","BEST_FPERIOD_OVERRIDE=FQ","FILING_STATUS=OR","EQY_CONSOLIDATED=Y","SCALING_FORMAT=MLN","Sort=A","Dates=H","DateFormat=P","Fill=—","Direction=H","UseDPDF=Y")</f>
        <v>#NAME?</v>
      </c>
      <c r="CA114" s="3" t="e">
        <f ca="1">_xll.BDH($C$103,"BS_LT_BORROW","FQ1 2016","FQ1 2016","Currency=INR","Period=FQ","BEST_FPERIOD_OVERRIDE=FQ","FILING_STATUS=OR","EQY_CONSOLIDATED=Y","SCALING_FORMAT=MLN","Sort=A","Dates=H","DateFormat=P","Fill=—","Direction=H","UseDPDF=Y")</f>
        <v>#NAME?</v>
      </c>
      <c r="CB114" s="2" t="e">
        <f ca="1">_xll.BDH($C$103,"TOT_DEBT_TO_EBITDA","FQ1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114" s="2" t="e">
        <f ca="1">_xll.BDH($C$103,"NET_DEBT_TO_EBITDA","FQ1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114" s="2" t="e">
        <f ca="1">_xll.BDH($C$103,"TOTAL_DEBT_TO_EBIT","FQ1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114" s="2" t="e">
        <f ca="1">_xll.BDH($C$103,"NET_DEBT_TO_EBIT","FQ1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114" s="2" t="e">
        <f ca="1">_xll.BDH($C$103,"EBITDA_TO_INTEREST_EXPN","FQ1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114" s="2" t="e">
        <f ca="1">_xll.BDH($C$103,"COM_EQY_TO_TOT_ASSET","FQ1 2016","FQ1 2016","Currency=INR","Period=FQ","BEST_FPERIOD_OVERRIDE=FQ","FILING_STATUS=OR","EQY_CONSOLIDATED=Y","Sort=A","Dates=H","DateFormat=P","Fill=—","Direction=H","UseDPDF=Y")</f>
        <v>#NAME?</v>
      </c>
      <c r="CH114" s="2" t="e">
        <f ca="1">_xll.BDH($C$103,"LT_DEBT_TO_TOT_EQY","FQ1 2016","FQ1 2016","Currency=INR","Period=FQ","BEST_FPERIOD_OVERRIDE=FQ","FILING_STATUS=OR","EQY_CONSOLIDATED=Y","Sort=A","Dates=H","DateFormat=P","Fill=—","Direction=H","UseDPDF=Y")</f>
        <v>#NAME?</v>
      </c>
      <c r="CI114" s="2" t="e">
        <f ca="1">_xll.BDH($C$103,"LT_DEBT_TO_TOT_CAP","FQ1 2016","FQ1 2016","Currency=INR","Period=FQ","BEST_FPERIOD_OVERRIDE=FQ","FILING_STATUS=OR","EQY_CONSOLIDATED=Y","Sort=A","Dates=H","DateFormat=P","Fill=—","Direction=H","UseDPDF=Y")</f>
        <v>#NAME?</v>
      </c>
      <c r="CJ114" s="2" t="e">
        <f ca="1">_xll.BDH($C$103,"LT_DEBT_TO_TOT_ASSET","FQ1 2016","FQ1 2016","Currency=INR","Period=FQ","BEST_FPERIOD_OVERRIDE=FQ","FILING_STATUS=OR","EQY_CONSOLIDATED=Y","Sort=A","Dates=H","DateFormat=P","Fill=—","Direction=H","UseDPDF=Y")</f>
        <v>#NAME?</v>
      </c>
      <c r="CK114" s="2" t="e">
        <f ca="1">_xll.BDH($C$103,"TOT_DEBT_TO_TOT_EQY","FQ1 2016","FQ1 2016","Currency=INR","Period=FQ","BEST_FPERIOD_OVERRIDE=FQ","FILING_STATUS=OR","EQY_CONSOLIDATED=Y","Sort=A","Dates=H","DateFormat=P","Fill=—","Direction=H","UseDPDF=Y")</f>
        <v>#NAME?</v>
      </c>
      <c r="CL114" s="2" t="e">
        <f ca="1">_xll.BDH($C$103,"TOT_DEBT_TO_TOT_CAP","FQ1 2016","FQ1 2016","Currency=INR","Period=FQ","BEST_FPERIOD_OVERRIDE=FQ","FILING_STATUS=OR","EQY_CONSOLIDATED=Y","Sort=A","Dates=H","DateFormat=P","Fill=—","Direction=H","UseDPDF=Y")</f>
        <v>#NAME?</v>
      </c>
      <c r="CM114" s="2" t="e">
        <f ca="1">_xll.BDH($C$103,"TOT_DEBT_TO_TOT_ASSET","FQ1 2016","FQ1 2016","Currency=INR","Period=FQ","BEST_FPERIOD_OVERRIDE=FQ","FILING_STATUS=OR","EQY_CONSOLIDATED=Y","Sort=A","Dates=H","DateFormat=P","Fill=—","Direction=H","UseDPDF=Y")</f>
        <v>#NAME?</v>
      </c>
      <c r="CN114" s="2" t="e">
        <f ca="1">_xll.BDH($C$103,"NET_DEBT_TO_SHRHLDR_EQTY","FQ1 2016","FQ1 2016","Currency=INR","Period=FQ","BEST_FPERIOD_OVERRIDE=FQ","FILING_STATUS=OR","EQY_CONSOLIDATED=Y","Sort=A","Dates=H","DateFormat=P","Fill=—","Direction=H","UseDPDF=Y")</f>
        <v>#NAME?</v>
      </c>
      <c r="CO114" s="2" t="e">
        <f ca="1">_xll.BDH($C$103,"NET_DEBT_%_CAPITAL","FQ1 2016","FQ1 2016","Currency=INR","Period=FQ","BEST_FPERIOD_OVERRIDE=FQ","FILING_STATUS=OR","EQY_CONSOLIDATED=Y","Sort=A","Dates=H","DateFormat=P","Fill=—","Direction=H","UseDPDF=Y")</f>
        <v>#NAME?</v>
      </c>
      <c r="CP114" s="3" t="e">
        <f ca="1">_xll.BDH($C$103,"EBITDA","FQ1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114" s="3" t="e">
        <f ca="1">_xll.BDH($C$103,"EBITDA_AFTER_CAPEX","FQ1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114" s="3" t="e">
        <f ca="1">_xll.BDH($C$103,"IS_OPER_INC","FQ1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114" s="2" t="e">
        <f ca="1">_xll.BDH($C$103,"CASH_RATIO","FQ1 2016","FQ1 2016","Currency=INR","Period=FQ","BEST_FPERIOD_OVERRIDE=FQ","FILING_STATUS=OR","EQY_CONSOLIDATED=Y","Sort=A","Dates=H","DateFormat=P","Fill=—","Direction=H","UseDPDF=Y")</f>
        <v>#NAME?</v>
      </c>
      <c r="CT114" s="2" t="e">
        <f ca="1">_xll.BDH($C$103,"CUR_RATIO","FQ1 2016","FQ1 2016","Currency=INR","Period=FQ","BEST_FPERIOD_OVERRIDE=FQ","FILING_STATUS=OR","EQY_CONSOLIDATED=Y","Sort=A","Dates=H","DateFormat=P","Fill=—","Direction=H","UseDPDF=Y")</f>
        <v>#NAME?</v>
      </c>
      <c r="CU114" s="2" t="e">
        <f ca="1">_xll.BDH($C$103,"QUICK_RATIO","FQ1 2016","FQ1 2016","Currency=INR","Period=FQ","BEST_FPERIOD_OVERRIDE=FQ","FILING_STATUS=OR","EQY_CONSOLIDATED=Y","Sort=A","Dates=H","DateFormat=P","Fill=—","Direction=H","UseDPDF=Y")</f>
        <v>#NAME?</v>
      </c>
      <c r="CV114" s="2" t="e">
        <f ca="1">_xll.BDH($C$103,"ALTMAN_Z_SCORE","FQ1 2016","FQ1 2016","Currency=INR","Period=FQ","BEST_FPERIOD_OVERRIDE=FQ","FILING_STATUS=OR","EQY_CONSOLIDATED=Y","Sort=A","Dates=H","DateFormat=P","Fill=—","Direction=H","UseDPDF=Y")</f>
        <v>#NAME?</v>
      </c>
      <c r="CW114" s="4" t="e">
        <f ca="1">_xll.BDH($C$103,"ACCT_RCV_TURN","FQ1 2016","FQ1 2016","Currency=INR","Period=FQ","BEST_FPERIOD_OVERRIDE=FQ","FILING_STATUS=OR","EQY_CONSOLIDATED=Y","FA_ADJUSTED=GAAP","Sort=A","Dates=H","DateFormat=P","Fill=—","Direction=H","UseDPDF=Y")</f>
        <v>#NAME?</v>
      </c>
      <c r="CX114" s="2" t="e">
        <f ca="1">_xll.BDH($C$103,"ACCT_RCV_DAYS","FQ1 2016","FQ1 2016","Currency=INR","Period=FQ","BEST_FPERIOD_OVERRIDE=FQ","FILING_STATUS=OR","EQY_CONSOLIDATED=Y","FA_ADJUSTED=GAAP","Sort=A","Dates=H","DateFormat=P","Fill=—","Direction=H","UseDPDF=Y")</f>
        <v>#NAME?</v>
      </c>
      <c r="CY114" s="4" t="e">
        <f ca="1">_xll.BDH($C$103,"INVENT_TURN","FQ1 2016","FQ1 2016","Currency=INR","Period=FQ","BEST_FPERIOD_OVERRIDE=FQ","FILING_STATUS=OR","EQY_CONSOLIDATED=Y","FA_ADJUSTED=GAAP","Sort=A","Dates=H","DateFormat=P","Fill=—","Direction=H","UseDPDF=Y")</f>
        <v>#NAME?</v>
      </c>
      <c r="CZ114" s="2" t="e">
        <f ca="1">_xll.BDH($C$103,"INVENT_DAYS","FQ1 2016","FQ1 2016","Currency=INR","Period=FQ","BEST_FPERIOD_OVERRIDE=FQ","FILING_STATUS=OR","EQY_CONSOLIDATED=Y","FA_ADJUSTED=GAAP","Sort=A","Dates=H","DateFormat=P","Fill=—","Direction=H","UseDPDF=Y")</f>
        <v>#NAME?</v>
      </c>
      <c r="DA114" s="4" t="e">
        <f ca="1">_xll.BDH($C$103,"ACCOUNTS_PAYABLE_TURNOVER","FQ1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114" s="2" t="e">
        <f ca="1">_xll.BDH($C$103,"ACCOUNTS_PAYABLE_TURNOVER_DAYS","FQ1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114" s="4" t="e">
        <f ca="1">_xll.BDH($C$103,"CASH_CONVERSION_CYCLE","FQ1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114" s="4" t="e">
        <f ca="1">_xll.BDH($C$103,"INV_TO_CASH_DAYS","FQ1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114" s="5" t="e">
        <f ca="1">_xll.BDH($C$103,"BS_INVENTORIES","FQ1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114" s="3" t="e">
        <f ca="1">_xll.BDH($C$103,"INVTRY_RAW_MATERIALS","FQ1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114" s="3" t="e">
        <f ca="1">_xll.BDH($C$103,"INVTRY_IN_PROGRESS","FQ1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114" s="3" t="e">
        <f ca="1">_xll.BDH($C$103,"INVTRY_FINISHED_GOODS","FQ1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114" s="3" t="e">
        <f ca="1">_xll.BDH($C$103,"BS_OTHER_INV","FQ1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115" spans="1:113" x14ac:dyDescent="0.3">
      <c r="A115" s="6"/>
      <c r="B115" s="6"/>
      <c r="C115" s="6"/>
      <c r="D115" s="6"/>
      <c r="E115" t="s">
        <v>79</v>
      </c>
      <c r="F115" t="e">
        <f ca="1">_xll.BDH($C$103,"RETURN_COM_EQY","FQ2 2016","FQ2 2016","Currency=INR","Period=FQ","BEST_FPERIOD_OVERRIDE=FQ","FILING_STATUS=OR","EQY_CONSOLIDATED=Y","FA_ADJUSTED=GAAP","Sort=A","Dates=H","DateFormat=P","Fill=—","Direction=H","UseDPDF=Y")</f>
        <v>#NAME?</v>
      </c>
      <c r="G115" t="e">
        <f ca="1">_xll.BDH($C$103,"RETURN_ON_ASSET","FQ2 2016","FQ2 2016","Currency=INR","Period=FQ","BEST_FPERIOD_OVERRIDE=FQ","FILING_STATUS=OR","EQY_CONSOLIDATED=Y","FA_ADJUSTED=GAAP","Sort=A","Dates=H","DateFormat=P","Fill=—","Direction=H","UseDPDF=Y")</f>
        <v>#NAME?</v>
      </c>
      <c r="H115" t="e">
        <f ca="1">_xll.BDH($C$103,"RETURN_ON_CAP","FQ2 2016","FQ2 2016","Currency=INR","Period=FQ","BEST_FPERIOD_OVERRIDE=FQ","FILING_STATUS=OR","EQY_CONSOLIDATED=Y","FA_ADJUSTED=GAAP","Sort=A","Dates=H","DateFormat=P","Fill=—","Direction=H","UseDPDF=Y")</f>
        <v>#NAME?</v>
      </c>
      <c r="I115" t="e">
        <f ca="1">_xll.BDH($C$103,"RETURN_ON_INV_CAPITAL","FQ2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115" t="e">
        <f ca="1">_xll.BDH($C$103,"EBITDA_TO_REVENUE","FQ2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115" t="e">
        <f ca="1">_xll.BDH($C$103,"OPER_MARGIN","FQ2 2016","FQ2 2016","Currency=INR","Period=FQ","BEST_FPERIOD_OVERRIDE=FQ","FILING_STATUS=OR","EQY_CONSOLIDATED=Y","FA_ADJUSTED=GAAP","Sort=A","Dates=H","DateFormat=P","Fill=—","Direction=H","UseDPDF=Y")</f>
        <v>#NAME?</v>
      </c>
      <c r="L115" t="e">
        <f ca="1">_xll.BDH($C$103,"INCREMENTAL_OPERATING_MARGIN","FQ2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115" t="e">
        <f ca="1">_xll.BDH($C$103,"PRETAX_INC_TO_NET_SALES","FQ2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115" t="e">
        <f ca="1">_xll.BDH($C$103,"INC_BEF_XO_ITEMS_TO_NET_SALES","FQ2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115" t="e">
        <f ca="1">_xll.BDH($C$103,"PROF_MARGIN","FQ2 2016","FQ2 2016","Currency=INR","Period=FQ","BEST_FPERIOD_OVERRIDE=FQ","FILING_STATUS=OR","EQY_CONSOLIDATED=Y","FA_ADJUSTED=GAAP","Sort=A","Dates=H","DateFormat=P","Fill=—","Direction=H","UseDPDF=Y")</f>
        <v>#NAME?</v>
      </c>
      <c r="P115" t="e">
        <f ca="1">_xll.BDH($C$103,"NET_INCOME_TO_COMMON_MARGIN","FQ2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115" t="e">
        <f ca="1">_xll.BDH($C$103,"EFF_TAX_RATE","FQ2 2016","FQ2 2016","Currency=INR","Period=FQ","BEST_FPERIOD_OVERRIDE=FQ","FILING_STATUS=OR","EQY_CONSOLIDATED=Y","FA_ADJUSTED=GAAP","Sort=A","Dates=H","DateFormat=P","Fill=—","Direction=H","UseDPDF=Y")</f>
        <v>#NAME?</v>
      </c>
      <c r="R115" t="e">
        <f ca="1">_xll.BDH($C$103,"DVD_PAYOUT_RATIO","FQ2 2016","FQ2 2016","Currency=INR","Period=FQ","BEST_FPERIOD_OVERRIDE=FQ","FILING_STATUS=OR","EQY_CONSOLIDATED=Y","FA_ADJUSTED=GAAP","Sort=A","Dates=H","DateFormat=P","Fill=—","Direction=H","UseDPDF=Y")</f>
        <v>#NAME?</v>
      </c>
      <c r="S115" t="e">
        <f ca="1">_xll.BDH($C$103,"SUSTAIN_GROWTH_RT","FQ2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115" s="2" t="e">
        <f ca="1">_xll.BDH($C$103,"SALES_GROWTH","FQ2 2016","FQ2 2016","Currency=INR","Period=FQ","BEST_FPERIOD_OVERRIDE=FQ","FILING_STATUS=OR","EQY_CONSOLIDATED=Y","FA_ADJUSTED=GAAP","Sort=A","Dates=H","DateFormat=P","Fill=—","Direction=H","UseDPDF=Y")</f>
        <v>#NAME?</v>
      </c>
      <c r="U115" s="2" t="e">
        <f ca="1">_xll.BDH($C$103,"EBITDA_GROWTH","FQ2 2016","FQ2 2016","Currency=INR","Period=FQ","BEST_FPERIOD_OVERRIDE=FQ","FILING_STATUS=OR","EQY_CONSOLIDATED=Y","FA_ADJUSTED=GAAP","Sort=A","Dates=H","DateFormat=P","Fill=—","Direction=H","UseDPDF=Y")</f>
        <v>#NAME?</v>
      </c>
      <c r="V115" s="2" t="e">
        <f ca="1">_xll.BDH($C$103,"OPER_INC_GROWTH","FQ2 2016","FQ2 2016","Currency=INR","Period=FQ","BEST_FPERIOD_OVERRIDE=FQ","FILING_STATUS=OR","EQY_CONSOLIDATED=Y","FA_ADJUSTED=GAAP","Sort=A","Dates=H","DateFormat=P","Fill=—","Direction=H","UseDPDF=Y")</f>
        <v>#NAME?</v>
      </c>
      <c r="W115" s="2" t="e">
        <f ca="1">_xll.BDH($C$103,"EARN_FOR_COM_GROWTH","FQ2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115" s="2" t="e">
        <f ca="1">_xll.BDH($C$103,"DILUTED_EPS_AFT_XO_ITEMS_GROWTH","FQ2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115" s="2" t="e">
        <f ca="1">_xll.BDH($C$103,"DIVIDEND_PER_SHARE_1_YEAR_GROWTH","FQ2 2016","FQ2 2016","Currency=INR","Period=FQ","BEST_FPERIOD_OVERRIDE=FQ","FILING_STATUS=OR","EQY_CONSOLIDATED=Y","Sort=A","Dates=H","DateFormat=P","Fill=—","Direction=H","UseDPDF=Y")</f>
        <v>#NAME?</v>
      </c>
      <c r="Z115" s="2" t="e">
        <f ca="1">_xll.BDH($C$103,"ACCOUNTS_RECEIVABLE_GROWTH","FQ2 2016","FQ2 2016","Currency=INR","Period=FQ","BEST_FPERIOD_OVERRIDE=FQ","FILING_STATUS=OR","EQY_CONSOLIDATED=Y","Sort=A","Dates=H","DateFormat=P","Fill=—","Direction=H","UseDPDF=Y")</f>
        <v>#NAME?</v>
      </c>
      <c r="AA115" s="2" t="e">
        <f ca="1">_xll.BDH($C$103,"INVENTORY_GROWTH","FQ2 2016","FQ2 2016","Currency=INR","Period=FQ","BEST_FPERIOD_OVERRIDE=FQ","FILING_STATUS=OR","EQY_CONSOLIDATED=Y","Sort=A","Dates=H","DateFormat=P","Fill=—","Direction=H","UseDPDF=Y")</f>
        <v>#NAME?</v>
      </c>
      <c r="AB115" s="2" t="e">
        <f ca="1">_xll.BDH($C$103,"NET_FIXED_ASSETS_1_YEAR_GROWTH","FQ2 2016","FQ2 2016","Currency=INR","Period=FQ","BEST_FPERIOD_OVERRIDE=FQ","FILING_STATUS=OR","EQY_CONSOLIDATED=Y","Sort=A","Dates=H","DateFormat=P","Fill=—","Direction=H","UseDPDF=Y")</f>
        <v>#NAME?</v>
      </c>
      <c r="AC115" s="2" t="e">
        <f ca="1">_xll.BDH($C$103,"ASSET_GROWTH","FQ2 2016","FQ2 2016","Currency=INR","Period=FQ","BEST_FPERIOD_OVERRIDE=FQ","FILING_STATUS=OR","EQY_CONSOLIDATED=Y","Sort=A","Dates=H","DateFormat=P","Fill=—","Direction=H","UseDPDF=Y")</f>
        <v>#NAME?</v>
      </c>
      <c r="AD115" s="2" t="e">
        <f ca="1">_xll.BDH($C$103,"MODIFIED_WORK_CAP_GROWTH","FQ2 2016","FQ2 2016","Currency=INR","Period=FQ","BEST_FPERIOD_OVERRIDE=FQ","FILING_STATUS=OR","EQY_CONSOLIDATED=Y","Sort=A","Dates=H","DateFormat=P","Fill=—","Direction=H","UseDPDF=Y")</f>
        <v>#NAME?</v>
      </c>
      <c r="AE115" s="2" t="e">
        <f ca="1">_xll.BDH($C$103,"WORK_CAP_GROWTH","FQ2 2016","FQ2 2016","Currency=INR","Period=FQ","BEST_FPERIOD_OVERRIDE=FQ","FILING_STATUS=OR","EQY_CONSOLIDATED=Y","Sort=A","Dates=H","DateFormat=P","Fill=—","Direction=H","UseDPDF=Y")</f>
        <v>#NAME?</v>
      </c>
      <c r="AF115" s="2" t="e">
        <f ca="1">_xll.BDH($C$103,"ACCOUNTS_PAYABLE_GROWTH_1YR","FQ2 2016","FQ2 2016","Currency=INR","Period=FQ","BEST_FPERIOD_OVERRIDE=FQ","FILING_STATUS=OR","EQY_CONSOLIDATED=Y","Sort=A","Dates=H","DateFormat=P","Fill=—","Direction=H","UseDPDF=Y")</f>
        <v>#NAME?</v>
      </c>
      <c r="AG115" s="2" t="e">
        <f ca="1">_xll.BDH($C$103,"SHORT_TERM_DEBT_1_YEAR_GROWTH","FQ2 2016","FQ2 2016","Currency=INR","Period=FQ","BEST_FPERIOD_OVERRIDE=FQ","FILING_STATUS=OR","EQY_CONSOLIDATED=Y","Sort=A","Dates=H","DateFormat=P","Fill=—","Direction=H","UseDPDF=Y")</f>
        <v>#NAME?</v>
      </c>
      <c r="AH115" s="2" t="e">
        <f ca="1">_xll.BDH($C$103,"TOTAL_DEBT_1_YEAR_GROWTH","FQ2 2016","FQ2 2016","Currency=INR","Period=FQ","BEST_FPERIOD_OVERRIDE=FQ","FILING_STATUS=OR","EQY_CONSOLIDATED=Y","Sort=A","Dates=H","DateFormat=P","Fill=—","Direction=H","UseDPDF=Y")</f>
        <v>#NAME?</v>
      </c>
      <c r="AI115" s="2" t="e">
        <f ca="1">_xll.BDH($C$103,"TOTAL_EQUITY_1_YEAR_GROWTH","FQ2 2016","FQ2 2016","Currency=INR","Period=FQ","BEST_FPERIOD_OVERRIDE=FQ","FILING_STATUS=OR","EQY_CONSOLIDATED=Y","Sort=A","Dates=H","DateFormat=P","Fill=—","Direction=H","UseDPDF=Y")</f>
        <v>#NAME?</v>
      </c>
      <c r="AJ115" s="2" t="e">
        <f ca="1">_xll.BDH($C$103,"GROWTH_IN_CAP","FQ2 2016","FQ2 2016","Currency=INR","Period=FQ","BEST_FPERIOD_OVERRIDE=FQ","FILING_STATUS=OR","EQY_CONSOLIDATED=Y","Sort=A","Dates=H","DateFormat=P","Fill=—","Direction=H","UseDPDF=Y")</f>
        <v>#NAME?</v>
      </c>
      <c r="AK115" s="2" t="e">
        <f ca="1">_xll.BDH($C$103,"BVPS_GROWTH","FQ2 2016","FQ2 2016","Currency=INR","Period=FQ","BEST_FPERIOD_OVERRIDE=FQ","FILING_STATUS=OR","EQY_CONSOLIDATED=Y","Sort=A","Dates=H","DateFormat=P","Fill=—","Direction=H","UseDPDF=Y")</f>
        <v>#NAME?</v>
      </c>
      <c r="AL115" s="2" t="e">
        <f ca="1">_xll.BDH($C$103,"CASH_FLOW_GROWTH","FQ2 2016","FQ2 2016","Currency=INR","Period=FQ","BEST_FPERIOD_OVERRIDE=FQ","FILING_STATUS=OR","EQY_CONSOLIDATED=Y","Sort=A","Dates=H","DateFormat=P","Fill=—","Direction=H","UseDPDF=Y")</f>
        <v>#NAME?</v>
      </c>
      <c r="AM115" s="2" t="e">
        <f ca="1">_xll.BDH($C$103,"GEO_GROW_NET_SALES","FQ2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115" s="2" t="e">
        <f ca="1">_xll.BDH($C$103,"GEO_GROW_EBITDA","FQ2 2016","FQ2 2016","Currency=INR","Period=FQ","BEST_FPERIOD_OVERRIDE=FQ","FILING_STATUS=OR","EQY_CONSOLIDATED=Y","FA_ADJUSTED=GAAP","Sort=A","Dates=H","DateFormat=P","Fill=—","Direction=H","UseDPDF=Y")</f>
        <v>#NAME?</v>
      </c>
      <c r="AO115" s="2" t="e">
        <f ca="1">_xll.BDH($C$103,"GEO_GROW_OPER_INC","FQ2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115" s="2" t="e">
        <f ca="1">_xll.BDH($C$103,"NET_INCOME_TO_COMMON_5_YR_GROWTH","FQ2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115" s="2" t="e">
        <f ca="1">_xll.BDH($C$103,"5Y_GEO_GROWTH_DILUTED_EPS","FQ2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115" s="2" t="e">
        <f ca="1">_xll.BDH($C$103,"GEO_GROW_DVD_PER_SH","FQ2 2016","FQ2 2016","Currency=INR","Period=FQ","BEST_FPERIOD_OVERRIDE=FQ","FILING_STATUS=OR","EQY_CONSOLIDATED=Y","Sort=A","Dates=H","DateFormat=P","Fill=—","Direction=H","UseDPDF=Y")</f>
        <v>#NAME?</v>
      </c>
      <c r="AS115" s="2" t="e">
        <f ca="1">_xll.BDH($C$103,"ACCOUNTS_RECEIVABLE_5_YR_GROWTH","FQ2 2016","FQ2 2016","Currency=INR","Period=FQ","BEST_FPERIOD_OVERRIDE=FQ","FILING_STATUS=OR","EQY_CONSOLIDATED=Y","Sort=A","Dates=H","DateFormat=P","Fill=—","Direction=H","UseDPDF=Y")</f>
        <v>#NAME?</v>
      </c>
      <c r="AT115" s="2" t="e">
        <f ca="1">_xll.BDH($C$103,"INVENTORY_5_YEAR_GROWTH","FQ2 2016","FQ2 2016","Currency=INR","Period=FQ","BEST_FPERIOD_OVERRIDE=FQ","FILING_STATUS=OR","EQY_CONSOLIDATED=Y","Sort=A","Dates=H","DateFormat=P","Fill=—","Direction=H","UseDPDF=Y")</f>
        <v>#NAME?</v>
      </c>
      <c r="AU115" s="2" t="e">
        <f ca="1">_xll.BDH($C$103,"NET_FIXED_ASSETS_5_YEAR_GROWTH","FQ2 2016","FQ2 2016","Currency=INR","Period=FQ","BEST_FPERIOD_OVERRIDE=FQ","FILING_STATUS=OR","EQY_CONSOLIDATED=Y","Sort=A","Dates=H","DateFormat=P","Fill=—","Direction=H","UseDPDF=Y")</f>
        <v>#NAME?</v>
      </c>
      <c r="AV115" s="2" t="e">
        <f ca="1">_xll.BDH($C$103,"GEO_GROW_TOT_ASSET","FQ2 2016","FQ2 2016","Currency=INR","Period=FQ","BEST_FPERIOD_OVERRIDE=FQ","FILING_STATUS=OR","EQY_CONSOLIDATED=Y","Sort=A","Dates=H","DateFormat=P","Fill=—","Direction=H","UseDPDF=Y")</f>
        <v>#NAME?</v>
      </c>
      <c r="AW115" s="2" t="e">
        <f ca="1">_xll.BDH($C$103,"MODIFIED_WORKING_CPTL_5YR_GRWTH","FQ2 2016","FQ2 2016","Currency=INR","Period=FQ","BEST_FPERIOD_OVERRIDE=FQ","FILING_STATUS=OR","EQY_CONSOLIDATED=Y","Sort=A","Dates=H","DateFormat=P","Fill=—","Direction=H","UseDPDF=Y")</f>
        <v>#NAME?</v>
      </c>
      <c r="AX115" s="2" t="e">
        <f ca="1">_xll.BDH($C$103,"WORKING_CAPITAL_5_YEAR_GROWTH","FQ2 2016","FQ2 2016","Currency=INR","Period=FQ","BEST_FPERIOD_OVERRIDE=FQ","FILING_STATUS=OR","EQY_CONSOLIDATED=Y","Sort=A","Dates=H","DateFormat=P","Fill=—","Direction=H","UseDPDF=Y")</f>
        <v>#NAME?</v>
      </c>
      <c r="AY115" s="2" t="e">
        <f ca="1">_xll.BDH($C$103,"ACCOUNTS_PAYABLE_5_YEAR_GROWTH","FQ2 2016","FQ2 2016","Currency=INR","Period=FQ","BEST_FPERIOD_OVERRIDE=FQ","FILING_STATUS=OR","EQY_CONSOLIDATED=Y","Sort=A","Dates=H","DateFormat=P","Fill=—","Direction=H","UseDPDF=Y")</f>
        <v>#NAME?</v>
      </c>
      <c r="AZ115" s="2" t="e">
        <f ca="1">_xll.BDH($C$103,"SHORT_TERM_DEBT_5_YEAR_GROWTH","FQ2 2016","FQ2 2016","Currency=INR","Period=FQ","BEST_FPERIOD_OVERRIDE=FQ","FILING_STATUS=OR","EQY_CONSOLIDATED=Y","Sort=A","Dates=H","DateFormat=P","Fill=—","Direction=H","UseDPDF=Y")</f>
        <v>#NAME?</v>
      </c>
      <c r="BA115" s="2" t="e">
        <f ca="1">_xll.BDH($C$103,"TOTAL_DEBT_5_YEAR_GROWTH","FQ2 2016","FQ2 2016","Currency=INR","Period=FQ","BEST_FPERIOD_OVERRIDE=FQ","FILING_STATUS=OR","EQY_CONSOLIDATED=Y","Sort=A","Dates=H","DateFormat=P","Fill=—","Direction=H","UseDPDF=Y")</f>
        <v>#NAME?</v>
      </c>
      <c r="BB115" s="2" t="e">
        <f ca="1">_xll.BDH($C$103,"GEO_GROW_TOT_SHRHLDR_EQY","FQ2 2016","FQ2 2016","Currency=INR","Period=FQ","BEST_FPERIOD_OVERRIDE=FQ","FILING_STATUS=OR","EQY_CONSOLIDATED=Y","Sort=A","Dates=H","DateFormat=P","Fill=—","Direction=H","UseDPDF=Y")</f>
        <v>#NAME?</v>
      </c>
      <c r="BC115" s="2" t="e">
        <f ca="1">_xll.BDH($C$103,"TOTAL_CAPITAL_5_YEAR_GROWTH","FQ2 2016","FQ2 2016","Currency=INR","Period=FQ","BEST_FPERIOD_OVERRIDE=FQ","FILING_STATUS=OR","EQY_CONSOLIDATED=Y","Sort=A","Dates=H","DateFormat=P","Fill=—","Direction=H","UseDPDF=Y")</f>
        <v>#NAME?</v>
      </c>
      <c r="BD115" s="2" t="e">
        <f ca="1">_xll.BDH($C$103,"GEO_GROW_BOOK_VAL","FQ2 2016","FQ2 2016","Currency=INR","Period=FQ","BEST_FPERIOD_OVERRIDE=FQ","FILING_STATUS=OR","EQY_CONSOLIDATED=Y","Sort=A","Dates=H","DateFormat=P","Fill=—","Direction=H","UseDPDF=Y")</f>
        <v>#NAME?</v>
      </c>
      <c r="BE115" s="2" t="e">
        <f ca="1">_xll.BDH($C$103,"GEO_GROW_CASH_OPER_ACT","FQ2 2016","FQ2 2016","Currency=INR","Period=FQ","BEST_FPERIOD_OVERRIDE=FQ","FILING_STATUS=OR","EQY_CONSOLIDATED=Y","Sort=A","Dates=H","DateFormat=P","Fill=—","Direction=H","UseDPDF=Y")</f>
        <v>#NAME?</v>
      </c>
      <c r="BF115" s="2" t="e">
        <f ca="1">_xll.BDH($C$103,"REVENUE_SEQUENTIAL_GROWTH","FQ2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115" s="2" t="e">
        <f ca="1">_xll.BDH($C$103,"EBITDA_SEQUENTIAL_GROWTH","FQ2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115" s="2" t="e">
        <f ca="1">_xll.BDH($C$103,"OPERATING_INCOME_SEQ_GROWTH","FQ2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115" s="2" t="e">
        <f ca="1">_xll.BDH($C$103,"NET_INCOME_TO_COMMON_SEQ_GROWTH","FQ2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115" s="2" t="e">
        <f ca="1">_xll.BDH($C$103,"EPS_DILUTED_SEQUENTIAL_GROWTH","FQ2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115" s="2" t="e">
        <f ca="1">_xll.BDH($C$103,"DPS_SEQUENTIAL_GROWTH","FQ2 2016","FQ2 2016","Currency=INR","Period=FQ","BEST_FPERIOD_OVERRIDE=FQ","FILING_STATUS=OR","EQY_CONSOLIDATED=Y","Sort=A","Dates=H","DateFormat=P","Fill=—","Direction=H","UseDPDF=Y")</f>
        <v>#NAME?</v>
      </c>
      <c r="BL115" s="2" t="e">
        <f ca="1">_xll.BDH($C$103,"ACCOUNTS_RECEIVABLE_SEQ_GROWTH","FQ2 2016","FQ2 2016","Currency=INR","Period=FQ","BEST_FPERIOD_OVERRIDE=FQ","FILING_STATUS=OR","EQY_CONSOLIDATED=Y","Sort=A","Dates=H","DateFormat=P","Fill=—","Direction=H","UseDPDF=Y")</f>
        <v>#NAME?</v>
      </c>
      <c r="BM115" s="2" t="e">
        <f ca="1">_xll.BDH($C$103,"INVENTORY_SEQUENTIAL_GROWTH","FQ2 2016","FQ2 2016","Currency=INR","Period=FQ","BEST_FPERIOD_OVERRIDE=FQ","FILING_STATUS=OR","EQY_CONSOLIDATED=Y","Sort=A","Dates=H","DateFormat=P","Fill=—","Direction=H","UseDPDF=Y")</f>
        <v>#NAME?</v>
      </c>
      <c r="BN115" s="2" t="e">
        <f ca="1">_xll.BDH($C$103,"FIXED_ASSETS_SEQUENTIAL_GROWTH","FQ2 2016","FQ2 2016","Currency=INR","Period=FQ","BEST_FPERIOD_OVERRIDE=FQ","FILING_STATUS=OR","EQY_CONSOLIDATED=Y","Sort=A","Dates=H","DateFormat=P","Fill=—","Direction=H","UseDPDF=Y")</f>
        <v>#NAME?</v>
      </c>
      <c r="BO115" s="2" t="e">
        <f ca="1">_xll.BDH($C$103,"TOTAL_ASSETS_SEQUENTIAL_GROWTH","FQ2 2016","FQ2 2016","Currency=INR","Period=FQ","BEST_FPERIOD_OVERRIDE=FQ","FILING_STATUS=OR","EQY_CONSOLIDATED=Y","Sort=A","Dates=H","DateFormat=P","Fill=—","Direction=H","UseDPDF=Y")</f>
        <v>#NAME?</v>
      </c>
      <c r="BP115" s="2" t="e">
        <f ca="1">_xll.BDH($C$103,"MODIFIED_WORKING_CPTL_SEQ_GRWTH","FQ2 2016","FQ2 2016","Currency=INR","Period=FQ","BEST_FPERIOD_OVERRIDE=FQ","FILING_STATUS=OR","EQY_CONSOLIDATED=Y","Sort=A","Dates=H","DateFormat=P","Fill=—","Direction=H","UseDPDF=Y")</f>
        <v>#NAME?</v>
      </c>
      <c r="BQ115" s="2" t="e">
        <f ca="1">_xll.BDH($C$103,"WORKING_CAPITAL_SEQ_GROWTH","FQ2 2016","FQ2 2016","Currency=INR","Period=FQ","BEST_FPERIOD_OVERRIDE=FQ","FILING_STATUS=OR","EQY_CONSOLIDATED=Y","Sort=A","Dates=H","DateFormat=P","Fill=—","Direction=H","UseDPDF=Y")</f>
        <v>#NAME?</v>
      </c>
      <c r="BR115" s="2" t="e">
        <f ca="1">_xll.BDH($C$103,"ACCOUNTS_PAYABLE_SEQ_GROWTH","FQ2 2016","FQ2 2016","Currency=INR","Period=FQ","BEST_FPERIOD_OVERRIDE=FQ","FILING_STATUS=OR","EQY_CONSOLIDATED=Y","Sort=A","Dates=H","DateFormat=P","Fill=—","Direction=H","UseDPDF=Y")</f>
        <v>#NAME?</v>
      </c>
      <c r="BS115" s="2" t="e">
        <f ca="1">_xll.BDH($C$103,"ST_DEBT_SEQUENTIAL_GROWTH","FQ2 2016","FQ2 2016","Currency=INR","Period=FQ","BEST_FPERIOD_OVERRIDE=FQ","FILING_STATUS=OR","EQY_CONSOLIDATED=Y","Sort=A","Dates=H","DateFormat=P","Fill=—","Direction=H","UseDPDF=Y")</f>
        <v>#NAME?</v>
      </c>
      <c r="BT115" s="2" t="e">
        <f ca="1">_xll.BDH($C$103,"TOTAL_DEBT_SEQUENTIAL_GROWTH","FQ2 2016","FQ2 2016","Currency=INR","Period=FQ","BEST_FPERIOD_OVERRIDE=FQ","FILING_STATUS=OR","EQY_CONSOLIDATED=Y","Sort=A","Dates=H","DateFormat=P","Fill=—","Direction=H","UseDPDF=Y")</f>
        <v>#NAME?</v>
      </c>
      <c r="BU115" s="2" t="e">
        <f ca="1">_xll.BDH($C$103,"TOTAL_EQUITY_SEQUENTIAL_GROWTH","FQ2 2016","FQ2 2016","Currency=INR","Period=FQ","BEST_FPERIOD_OVERRIDE=FQ","FILING_STATUS=OR","EQY_CONSOLIDATED=Y","Sort=A","Dates=H","DateFormat=P","Fill=—","Direction=H","UseDPDF=Y")</f>
        <v>#NAME?</v>
      </c>
      <c r="BV115" s="2" t="e">
        <f ca="1">_xll.BDH($C$103,"TOTAL_CAPITAL_SEQUENTIAL_GROWTH","FQ2 2016","FQ2 2016","Currency=INR","Period=FQ","BEST_FPERIOD_OVERRIDE=FQ","FILING_STATUS=OR","EQY_CONSOLIDATED=Y","Sort=A","Dates=H","DateFormat=P","Fill=—","Direction=H","UseDPDF=Y")</f>
        <v>#NAME?</v>
      </c>
      <c r="BW115" s="2" t="e">
        <f ca="1">_xll.BDH($C$103,"BPS_SEQUENTIAL_GROWTH","FQ2 2016","FQ2 2016","Currency=INR","Period=FQ","BEST_FPERIOD_OVERRIDE=FQ","FILING_STATUS=OR","EQY_CONSOLIDATED=Y","Sort=A","Dates=H","DateFormat=P","Fill=—","Direction=H","UseDPDF=Y")</f>
        <v>#NAME?</v>
      </c>
      <c r="BX115" s="2" t="e">
        <f ca="1">_xll.BDH($C$103,"CFO_SEQUENTIAL_GROWTH","FQ2 2016","FQ2 2016","Currency=INR","Period=FQ","BEST_FPERIOD_OVERRIDE=FQ","FILING_STATUS=OR","EQY_CONSOLIDATED=Y","Sort=A","Dates=H","DateFormat=P","Fill=—","Direction=H","UseDPDF=Y")</f>
        <v>#NAME?</v>
      </c>
      <c r="BY115" s="3" t="e">
        <f ca="1">_xll.BDH($C$103,"SHORT_AND_LONG_TERM_DEBT","FQ2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115" s="3" t="e">
        <f ca="1">_xll.BDH($C$103,"BS_ST_BORROW","FQ2 2016","FQ2 2016","Currency=INR","Period=FQ","BEST_FPERIOD_OVERRIDE=FQ","FILING_STATUS=OR","EQY_CONSOLIDATED=Y","SCALING_FORMAT=MLN","Sort=A","Dates=H","DateFormat=P","Fill=—","Direction=H","UseDPDF=Y")</f>
        <v>#NAME?</v>
      </c>
      <c r="CA115" s="3" t="e">
        <f ca="1">_xll.BDH($C$103,"BS_LT_BORROW","FQ2 2016","FQ2 2016","Currency=INR","Period=FQ","BEST_FPERIOD_OVERRIDE=FQ","FILING_STATUS=OR","EQY_CONSOLIDATED=Y","SCALING_FORMAT=MLN","Sort=A","Dates=H","DateFormat=P","Fill=—","Direction=H","UseDPDF=Y")</f>
        <v>#NAME?</v>
      </c>
      <c r="CB115" s="2" t="e">
        <f ca="1">_xll.BDH($C$103,"TOT_DEBT_TO_EBITDA","FQ2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115" s="2" t="e">
        <f ca="1">_xll.BDH($C$103,"NET_DEBT_TO_EBITDA","FQ2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115" s="2" t="e">
        <f ca="1">_xll.BDH($C$103,"TOTAL_DEBT_TO_EBIT","FQ2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115" s="2" t="e">
        <f ca="1">_xll.BDH($C$103,"NET_DEBT_TO_EBIT","FQ2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115" s="2" t="e">
        <f ca="1">_xll.BDH($C$103,"EBITDA_TO_INTEREST_EXPN","FQ2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115" s="2" t="e">
        <f ca="1">_xll.BDH($C$103,"COM_EQY_TO_TOT_ASSET","FQ2 2016","FQ2 2016","Currency=INR","Period=FQ","BEST_FPERIOD_OVERRIDE=FQ","FILING_STATUS=OR","EQY_CONSOLIDATED=Y","Sort=A","Dates=H","DateFormat=P","Fill=—","Direction=H","UseDPDF=Y")</f>
        <v>#NAME?</v>
      </c>
      <c r="CH115" s="2" t="e">
        <f ca="1">_xll.BDH($C$103,"LT_DEBT_TO_TOT_EQY","FQ2 2016","FQ2 2016","Currency=INR","Period=FQ","BEST_FPERIOD_OVERRIDE=FQ","FILING_STATUS=OR","EQY_CONSOLIDATED=Y","Sort=A","Dates=H","DateFormat=P","Fill=—","Direction=H","UseDPDF=Y")</f>
        <v>#NAME?</v>
      </c>
      <c r="CI115" s="2" t="e">
        <f ca="1">_xll.BDH($C$103,"LT_DEBT_TO_TOT_CAP","FQ2 2016","FQ2 2016","Currency=INR","Period=FQ","BEST_FPERIOD_OVERRIDE=FQ","FILING_STATUS=OR","EQY_CONSOLIDATED=Y","Sort=A","Dates=H","DateFormat=P","Fill=—","Direction=H","UseDPDF=Y")</f>
        <v>#NAME?</v>
      </c>
      <c r="CJ115" s="2" t="e">
        <f ca="1">_xll.BDH($C$103,"LT_DEBT_TO_TOT_ASSET","FQ2 2016","FQ2 2016","Currency=INR","Period=FQ","BEST_FPERIOD_OVERRIDE=FQ","FILING_STATUS=OR","EQY_CONSOLIDATED=Y","Sort=A","Dates=H","DateFormat=P","Fill=—","Direction=H","UseDPDF=Y")</f>
        <v>#NAME?</v>
      </c>
      <c r="CK115" s="2" t="e">
        <f ca="1">_xll.BDH($C$103,"TOT_DEBT_TO_TOT_EQY","FQ2 2016","FQ2 2016","Currency=INR","Period=FQ","BEST_FPERIOD_OVERRIDE=FQ","FILING_STATUS=OR","EQY_CONSOLIDATED=Y","Sort=A","Dates=H","DateFormat=P","Fill=—","Direction=H","UseDPDF=Y")</f>
        <v>#NAME?</v>
      </c>
      <c r="CL115" s="2" t="e">
        <f ca="1">_xll.BDH($C$103,"TOT_DEBT_TO_TOT_CAP","FQ2 2016","FQ2 2016","Currency=INR","Period=FQ","BEST_FPERIOD_OVERRIDE=FQ","FILING_STATUS=OR","EQY_CONSOLIDATED=Y","Sort=A","Dates=H","DateFormat=P","Fill=—","Direction=H","UseDPDF=Y")</f>
        <v>#NAME?</v>
      </c>
      <c r="CM115" s="2" t="e">
        <f ca="1">_xll.BDH($C$103,"TOT_DEBT_TO_TOT_ASSET","FQ2 2016","FQ2 2016","Currency=INR","Period=FQ","BEST_FPERIOD_OVERRIDE=FQ","FILING_STATUS=OR","EQY_CONSOLIDATED=Y","Sort=A","Dates=H","DateFormat=P","Fill=—","Direction=H","UseDPDF=Y")</f>
        <v>#NAME?</v>
      </c>
      <c r="CN115" s="2" t="e">
        <f ca="1">_xll.BDH($C$103,"NET_DEBT_TO_SHRHLDR_EQTY","FQ2 2016","FQ2 2016","Currency=INR","Period=FQ","BEST_FPERIOD_OVERRIDE=FQ","FILING_STATUS=OR","EQY_CONSOLIDATED=Y","Sort=A","Dates=H","DateFormat=P","Fill=—","Direction=H","UseDPDF=Y")</f>
        <v>#NAME?</v>
      </c>
      <c r="CO115" s="2" t="e">
        <f ca="1">_xll.BDH($C$103,"NET_DEBT_%_CAPITAL","FQ2 2016","FQ2 2016","Currency=INR","Period=FQ","BEST_FPERIOD_OVERRIDE=FQ","FILING_STATUS=OR","EQY_CONSOLIDATED=Y","Sort=A","Dates=H","DateFormat=P","Fill=—","Direction=H","UseDPDF=Y")</f>
        <v>#NAME?</v>
      </c>
      <c r="CP115" s="3" t="e">
        <f ca="1">_xll.BDH($C$103,"EBITDA","FQ2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115" s="3" t="e">
        <f ca="1">_xll.BDH($C$103,"EBITDA_AFTER_CAPEX","FQ2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115" s="3" t="e">
        <f ca="1">_xll.BDH($C$103,"IS_OPER_INC","FQ2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115" s="2" t="e">
        <f ca="1">_xll.BDH($C$103,"CASH_RATIO","FQ2 2016","FQ2 2016","Currency=INR","Period=FQ","BEST_FPERIOD_OVERRIDE=FQ","FILING_STATUS=OR","EQY_CONSOLIDATED=Y","Sort=A","Dates=H","DateFormat=P","Fill=—","Direction=H","UseDPDF=Y")</f>
        <v>#NAME?</v>
      </c>
      <c r="CT115" s="2" t="e">
        <f ca="1">_xll.BDH($C$103,"CUR_RATIO","FQ2 2016","FQ2 2016","Currency=INR","Period=FQ","BEST_FPERIOD_OVERRIDE=FQ","FILING_STATUS=OR","EQY_CONSOLIDATED=Y","Sort=A","Dates=H","DateFormat=P","Fill=—","Direction=H","UseDPDF=Y")</f>
        <v>#NAME?</v>
      </c>
      <c r="CU115" s="2" t="e">
        <f ca="1">_xll.BDH($C$103,"QUICK_RATIO","FQ2 2016","FQ2 2016","Currency=INR","Period=FQ","BEST_FPERIOD_OVERRIDE=FQ","FILING_STATUS=OR","EQY_CONSOLIDATED=Y","Sort=A","Dates=H","DateFormat=P","Fill=—","Direction=H","UseDPDF=Y")</f>
        <v>#NAME?</v>
      </c>
      <c r="CV115" s="2" t="e">
        <f ca="1">_xll.BDH($C$103,"ALTMAN_Z_SCORE","FQ2 2016","FQ2 2016","Currency=INR","Period=FQ","BEST_FPERIOD_OVERRIDE=FQ","FILING_STATUS=OR","EQY_CONSOLIDATED=Y","Sort=A","Dates=H","DateFormat=P","Fill=—","Direction=H","UseDPDF=Y")</f>
        <v>#NAME?</v>
      </c>
      <c r="CW115" s="4" t="e">
        <f ca="1">_xll.BDH($C$103,"ACCT_RCV_TURN","FQ2 2016","FQ2 2016","Currency=INR","Period=FQ","BEST_FPERIOD_OVERRIDE=FQ","FILING_STATUS=OR","EQY_CONSOLIDATED=Y","FA_ADJUSTED=GAAP","Sort=A","Dates=H","DateFormat=P","Fill=—","Direction=H","UseDPDF=Y")</f>
        <v>#NAME?</v>
      </c>
      <c r="CX115" s="2" t="e">
        <f ca="1">_xll.BDH($C$103,"ACCT_RCV_DAYS","FQ2 2016","FQ2 2016","Currency=INR","Period=FQ","BEST_FPERIOD_OVERRIDE=FQ","FILING_STATUS=OR","EQY_CONSOLIDATED=Y","FA_ADJUSTED=GAAP","Sort=A","Dates=H","DateFormat=P","Fill=—","Direction=H","UseDPDF=Y")</f>
        <v>#NAME?</v>
      </c>
      <c r="CY115" s="4" t="e">
        <f ca="1">_xll.BDH($C$103,"INVENT_TURN","FQ2 2016","FQ2 2016","Currency=INR","Period=FQ","BEST_FPERIOD_OVERRIDE=FQ","FILING_STATUS=OR","EQY_CONSOLIDATED=Y","FA_ADJUSTED=GAAP","Sort=A","Dates=H","DateFormat=P","Fill=—","Direction=H","UseDPDF=Y")</f>
        <v>#NAME?</v>
      </c>
      <c r="CZ115" s="2" t="e">
        <f ca="1">_xll.BDH($C$103,"INVENT_DAYS","FQ2 2016","FQ2 2016","Currency=INR","Period=FQ","BEST_FPERIOD_OVERRIDE=FQ","FILING_STATUS=OR","EQY_CONSOLIDATED=Y","FA_ADJUSTED=GAAP","Sort=A","Dates=H","DateFormat=P","Fill=—","Direction=H","UseDPDF=Y")</f>
        <v>#NAME?</v>
      </c>
      <c r="DA115" s="4" t="e">
        <f ca="1">_xll.BDH($C$103,"ACCOUNTS_PAYABLE_TURNOVER","FQ2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115" s="2" t="e">
        <f ca="1">_xll.BDH($C$103,"ACCOUNTS_PAYABLE_TURNOVER_DAYS","FQ2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115" s="4" t="e">
        <f ca="1">_xll.BDH($C$103,"CASH_CONVERSION_CYCLE","FQ2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115" s="4" t="e">
        <f ca="1">_xll.BDH($C$103,"INV_TO_CASH_DAYS","FQ2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115" s="5" t="e">
        <f ca="1">_xll.BDH($C$103,"BS_INVENTORIES","FQ2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115" s="3" t="e">
        <f ca="1">_xll.BDH($C$103,"INVTRY_RAW_MATERIALS","FQ2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115" s="3" t="e">
        <f ca="1">_xll.BDH($C$103,"INVTRY_IN_PROGRESS","FQ2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115" s="3" t="e">
        <f ca="1">_xll.BDH($C$103,"INVTRY_FINISHED_GOODS","FQ2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115" s="3" t="e">
        <f ca="1">_xll.BDH($C$103,"BS_OTHER_INV","FQ2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116" spans="1:113" x14ac:dyDescent="0.3">
      <c r="A116" s="6"/>
      <c r="B116" s="6"/>
      <c r="C116" s="6"/>
      <c r="D116" s="6"/>
      <c r="E116" t="s">
        <v>80</v>
      </c>
      <c r="F116" t="e">
        <f ca="1">_xll.BDH($C$103,"RETURN_COM_EQY","FQ3 2016","FQ3 2016","Currency=INR","Period=FQ","BEST_FPERIOD_OVERRIDE=FQ","FILING_STATUS=OR","EQY_CONSOLIDATED=Y","FA_ADJUSTED=GAAP","Sort=A","Dates=H","DateFormat=P","Fill=—","Direction=H","UseDPDF=Y")</f>
        <v>#NAME?</v>
      </c>
      <c r="G116" t="e">
        <f ca="1">_xll.BDH($C$103,"RETURN_ON_ASSET","FQ3 2016","FQ3 2016","Currency=INR","Period=FQ","BEST_FPERIOD_OVERRIDE=FQ","FILING_STATUS=OR","EQY_CONSOLIDATED=Y","FA_ADJUSTED=GAAP","Sort=A","Dates=H","DateFormat=P","Fill=—","Direction=H","UseDPDF=Y")</f>
        <v>#NAME?</v>
      </c>
      <c r="H116" t="e">
        <f ca="1">_xll.BDH($C$103,"RETURN_ON_CAP","FQ3 2016","FQ3 2016","Currency=INR","Period=FQ","BEST_FPERIOD_OVERRIDE=FQ","FILING_STATUS=OR","EQY_CONSOLIDATED=Y","FA_ADJUSTED=GAAP","Sort=A","Dates=H","DateFormat=P","Fill=—","Direction=H","UseDPDF=Y")</f>
        <v>#NAME?</v>
      </c>
      <c r="I116" t="e">
        <f ca="1">_xll.BDH($C$103,"RETURN_ON_INV_CAPITAL","FQ3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116" t="e">
        <f ca="1">_xll.BDH($C$103,"EBITDA_TO_REVENUE","FQ3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116" t="e">
        <f ca="1">_xll.BDH($C$103,"OPER_MARGIN","FQ3 2016","FQ3 2016","Currency=INR","Period=FQ","BEST_FPERIOD_OVERRIDE=FQ","FILING_STATUS=OR","EQY_CONSOLIDATED=Y","FA_ADJUSTED=GAAP","Sort=A","Dates=H","DateFormat=P","Fill=—","Direction=H","UseDPDF=Y")</f>
        <v>#NAME?</v>
      </c>
      <c r="L116" t="e">
        <f ca="1">_xll.BDH($C$103,"INCREMENTAL_OPERATING_MARGIN","FQ3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116" t="e">
        <f ca="1">_xll.BDH($C$103,"PRETAX_INC_TO_NET_SALES","FQ3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116" t="e">
        <f ca="1">_xll.BDH($C$103,"INC_BEF_XO_ITEMS_TO_NET_SALES","FQ3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116" t="e">
        <f ca="1">_xll.BDH($C$103,"PROF_MARGIN","FQ3 2016","FQ3 2016","Currency=INR","Period=FQ","BEST_FPERIOD_OVERRIDE=FQ","FILING_STATUS=OR","EQY_CONSOLIDATED=Y","FA_ADJUSTED=GAAP","Sort=A","Dates=H","DateFormat=P","Fill=—","Direction=H","UseDPDF=Y")</f>
        <v>#NAME?</v>
      </c>
      <c r="P116" t="e">
        <f ca="1">_xll.BDH($C$103,"NET_INCOME_TO_COMMON_MARGIN","FQ3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116" t="e">
        <f ca="1">_xll.BDH($C$103,"EFF_TAX_RATE","FQ3 2016","FQ3 2016","Currency=INR","Period=FQ","BEST_FPERIOD_OVERRIDE=FQ","FILING_STATUS=OR","EQY_CONSOLIDATED=Y","FA_ADJUSTED=GAAP","Sort=A","Dates=H","DateFormat=P","Fill=—","Direction=H","UseDPDF=Y")</f>
        <v>#NAME?</v>
      </c>
      <c r="R116" t="e">
        <f ca="1">_xll.BDH($C$103,"DVD_PAYOUT_RATIO","FQ3 2016","FQ3 2016","Currency=INR","Period=FQ","BEST_FPERIOD_OVERRIDE=FQ","FILING_STATUS=OR","EQY_CONSOLIDATED=Y","FA_ADJUSTED=GAAP","Sort=A","Dates=H","DateFormat=P","Fill=—","Direction=H","UseDPDF=Y")</f>
        <v>#NAME?</v>
      </c>
      <c r="S116" t="e">
        <f ca="1">_xll.BDH($C$103,"SUSTAIN_GROWTH_RT","FQ3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116" s="2" t="e">
        <f ca="1">_xll.BDH($C$103,"SALES_GROWTH","FQ3 2016","FQ3 2016","Currency=INR","Period=FQ","BEST_FPERIOD_OVERRIDE=FQ","FILING_STATUS=OR","EQY_CONSOLIDATED=Y","FA_ADJUSTED=GAAP","Sort=A","Dates=H","DateFormat=P","Fill=—","Direction=H","UseDPDF=Y")</f>
        <v>#NAME?</v>
      </c>
      <c r="U116" s="2" t="e">
        <f ca="1">_xll.BDH($C$103,"EBITDA_GROWTH","FQ3 2016","FQ3 2016","Currency=INR","Period=FQ","BEST_FPERIOD_OVERRIDE=FQ","FILING_STATUS=OR","EQY_CONSOLIDATED=Y","FA_ADJUSTED=GAAP","Sort=A","Dates=H","DateFormat=P","Fill=—","Direction=H","UseDPDF=Y")</f>
        <v>#NAME?</v>
      </c>
      <c r="V116" s="2" t="e">
        <f ca="1">_xll.BDH($C$103,"OPER_INC_GROWTH","FQ3 2016","FQ3 2016","Currency=INR","Period=FQ","BEST_FPERIOD_OVERRIDE=FQ","FILING_STATUS=OR","EQY_CONSOLIDATED=Y","FA_ADJUSTED=GAAP","Sort=A","Dates=H","DateFormat=P","Fill=—","Direction=H","UseDPDF=Y")</f>
        <v>#NAME?</v>
      </c>
      <c r="W116" s="2" t="e">
        <f ca="1">_xll.BDH($C$103,"EARN_FOR_COM_GROWTH","FQ3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116" s="2" t="e">
        <f ca="1">_xll.BDH($C$103,"DILUTED_EPS_AFT_XO_ITEMS_GROWTH","FQ3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116" s="2" t="e">
        <f ca="1">_xll.BDH($C$103,"DIVIDEND_PER_SHARE_1_YEAR_GROWTH","FQ3 2016","FQ3 2016","Currency=INR","Period=FQ","BEST_FPERIOD_OVERRIDE=FQ","FILING_STATUS=OR","EQY_CONSOLIDATED=Y","Sort=A","Dates=H","DateFormat=P","Fill=—","Direction=H","UseDPDF=Y")</f>
        <v>#NAME?</v>
      </c>
      <c r="Z116" s="2" t="e">
        <f ca="1">_xll.BDH($C$103,"ACCOUNTS_RECEIVABLE_GROWTH","FQ3 2016","FQ3 2016","Currency=INR","Period=FQ","BEST_FPERIOD_OVERRIDE=FQ","FILING_STATUS=OR","EQY_CONSOLIDATED=Y","Sort=A","Dates=H","DateFormat=P","Fill=—","Direction=H","UseDPDF=Y")</f>
        <v>#NAME?</v>
      </c>
      <c r="AA116" s="2" t="e">
        <f ca="1">_xll.BDH($C$103,"INVENTORY_GROWTH","FQ3 2016","FQ3 2016","Currency=INR","Period=FQ","BEST_FPERIOD_OVERRIDE=FQ","FILING_STATUS=OR","EQY_CONSOLIDATED=Y","Sort=A","Dates=H","DateFormat=P","Fill=—","Direction=H","UseDPDF=Y")</f>
        <v>#NAME?</v>
      </c>
      <c r="AB116" s="2" t="e">
        <f ca="1">_xll.BDH($C$103,"NET_FIXED_ASSETS_1_YEAR_GROWTH","FQ3 2016","FQ3 2016","Currency=INR","Period=FQ","BEST_FPERIOD_OVERRIDE=FQ","FILING_STATUS=OR","EQY_CONSOLIDATED=Y","Sort=A","Dates=H","DateFormat=P","Fill=—","Direction=H","UseDPDF=Y")</f>
        <v>#NAME?</v>
      </c>
      <c r="AC116" s="2" t="e">
        <f ca="1">_xll.BDH($C$103,"ASSET_GROWTH","FQ3 2016","FQ3 2016","Currency=INR","Period=FQ","BEST_FPERIOD_OVERRIDE=FQ","FILING_STATUS=OR","EQY_CONSOLIDATED=Y","Sort=A","Dates=H","DateFormat=P","Fill=—","Direction=H","UseDPDF=Y")</f>
        <v>#NAME?</v>
      </c>
      <c r="AD116" s="2" t="e">
        <f ca="1">_xll.BDH($C$103,"MODIFIED_WORK_CAP_GROWTH","FQ3 2016","FQ3 2016","Currency=INR","Period=FQ","BEST_FPERIOD_OVERRIDE=FQ","FILING_STATUS=OR","EQY_CONSOLIDATED=Y","Sort=A","Dates=H","DateFormat=P","Fill=—","Direction=H","UseDPDF=Y")</f>
        <v>#NAME?</v>
      </c>
      <c r="AE116" s="2" t="e">
        <f ca="1">_xll.BDH($C$103,"WORK_CAP_GROWTH","FQ3 2016","FQ3 2016","Currency=INR","Period=FQ","BEST_FPERIOD_OVERRIDE=FQ","FILING_STATUS=OR","EQY_CONSOLIDATED=Y","Sort=A","Dates=H","DateFormat=P","Fill=—","Direction=H","UseDPDF=Y")</f>
        <v>#NAME?</v>
      </c>
      <c r="AF116" s="2" t="e">
        <f ca="1">_xll.BDH($C$103,"ACCOUNTS_PAYABLE_GROWTH_1YR","FQ3 2016","FQ3 2016","Currency=INR","Period=FQ","BEST_FPERIOD_OVERRIDE=FQ","FILING_STATUS=OR","EQY_CONSOLIDATED=Y","Sort=A","Dates=H","DateFormat=P","Fill=—","Direction=H","UseDPDF=Y")</f>
        <v>#NAME?</v>
      </c>
      <c r="AG116" s="2" t="e">
        <f ca="1">_xll.BDH($C$103,"SHORT_TERM_DEBT_1_YEAR_GROWTH","FQ3 2016","FQ3 2016","Currency=INR","Period=FQ","BEST_FPERIOD_OVERRIDE=FQ","FILING_STATUS=OR","EQY_CONSOLIDATED=Y","Sort=A","Dates=H","DateFormat=P","Fill=—","Direction=H","UseDPDF=Y")</f>
        <v>#NAME?</v>
      </c>
      <c r="AH116" s="2" t="e">
        <f ca="1">_xll.BDH($C$103,"TOTAL_DEBT_1_YEAR_GROWTH","FQ3 2016","FQ3 2016","Currency=INR","Period=FQ","BEST_FPERIOD_OVERRIDE=FQ","FILING_STATUS=OR","EQY_CONSOLIDATED=Y","Sort=A","Dates=H","DateFormat=P","Fill=—","Direction=H","UseDPDF=Y")</f>
        <v>#NAME?</v>
      </c>
      <c r="AI116" s="2" t="e">
        <f ca="1">_xll.BDH($C$103,"TOTAL_EQUITY_1_YEAR_GROWTH","FQ3 2016","FQ3 2016","Currency=INR","Period=FQ","BEST_FPERIOD_OVERRIDE=FQ","FILING_STATUS=OR","EQY_CONSOLIDATED=Y","Sort=A","Dates=H","DateFormat=P","Fill=—","Direction=H","UseDPDF=Y")</f>
        <v>#NAME?</v>
      </c>
      <c r="AJ116" s="2" t="e">
        <f ca="1">_xll.BDH($C$103,"GROWTH_IN_CAP","FQ3 2016","FQ3 2016","Currency=INR","Period=FQ","BEST_FPERIOD_OVERRIDE=FQ","FILING_STATUS=OR","EQY_CONSOLIDATED=Y","Sort=A","Dates=H","DateFormat=P","Fill=—","Direction=H","UseDPDF=Y")</f>
        <v>#NAME?</v>
      </c>
      <c r="AK116" s="2" t="e">
        <f ca="1">_xll.BDH($C$103,"BVPS_GROWTH","FQ3 2016","FQ3 2016","Currency=INR","Period=FQ","BEST_FPERIOD_OVERRIDE=FQ","FILING_STATUS=OR","EQY_CONSOLIDATED=Y","Sort=A","Dates=H","DateFormat=P","Fill=—","Direction=H","UseDPDF=Y")</f>
        <v>#NAME?</v>
      </c>
      <c r="AL116" s="2" t="e">
        <f ca="1">_xll.BDH($C$103,"CASH_FLOW_GROWTH","FQ3 2016","FQ3 2016","Currency=INR","Period=FQ","BEST_FPERIOD_OVERRIDE=FQ","FILING_STATUS=OR","EQY_CONSOLIDATED=Y","Sort=A","Dates=H","DateFormat=P","Fill=—","Direction=H","UseDPDF=Y")</f>
        <v>#NAME?</v>
      </c>
      <c r="AM116" s="2" t="e">
        <f ca="1">_xll.BDH($C$103,"GEO_GROW_NET_SALES","FQ3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116" s="2" t="e">
        <f ca="1">_xll.BDH($C$103,"GEO_GROW_EBITDA","FQ3 2016","FQ3 2016","Currency=INR","Period=FQ","BEST_FPERIOD_OVERRIDE=FQ","FILING_STATUS=OR","EQY_CONSOLIDATED=Y","FA_ADJUSTED=GAAP","Sort=A","Dates=H","DateFormat=P","Fill=—","Direction=H","UseDPDF=Y")</f>
        <v>#NAME?</v>
      </c>
      <c r="AO116" s="2" t="e">
        <f ca="1">_xll.BDH($C$103,"GEO_GROW_OPER_INC","FQ3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116" s="2" t="e">
        <f ca="1">_xll.BDH($C$103,"NET_INCOME_TO_COMMON_5_YR_GROWTH","FQ3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116" s="2" t="e">
        <f ca="1">_xll.BDH($C$103,"5Y_GEO_GROWTH_DILUTED_EPS","FQ3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116" s="2" t="e">
        <f ca="1">_xll.BDH($C$103,"GEO_GROW_DVD_PER_SH","FQ3 2016","FQ3 2016","Currency=INR","Period=FQ","BEST_FPERIOD_OVERRIDE=FQ","FILING_STATUS=OR","EQY_CONSOLIDATED=Y","Sort=A","Dates=H","DateFormat=P","Fill=—","Direction=H","UseDPDF=Y")</f>
        <v>#NAME?</v>
      </c>
      <c r="AS116" s="2" t="e">
        <f ca="1">_xll.BDH($C$103,"ACCOUNTS_RECEIVABLE_5_YR_GROWTH","FQ3 2016","FQ3 2016","Currency=INR","Period=FQ","BEST_FPERIOD_OVERRIDE=FQ","FILING_STATUS=OR","EQY_CONSOLIDATED=Y","Sort=A","Dates=H","DateFormat=P","Fill=—","Direction=H","UseDPDF=Y")</f>
        <v>#NAME?</v>
      </c>
      <c r="AT116" s="2" t="e">
        <f ca="1">_xll.BDH($C$103,"INVENTORY_5_YEAR_GROWTH","FQ3 2016","FQ3 2016","Currency=INR","Period=FQ","BEST_FPERIOD_OVERRIDE=FQ","FILING_STATUS=OR","EQY_CONSOLIDATED=Y","Sort=A","Dates=H","DateFormat=P","Fill=—","Direction=H","UseDPDF=Y")</f>
        <v>#NAME?</v>
      </c>
      <c r="AU116" s="2" t="e">
        <f ca="1">_xll.BDH($C$103,"NET_FIXED_ASSETS_5_YEAR_GROWTH","FQ3 2016","FQ3 2016","Currency=INR","Period=FQ","BEST_FPERIOD_OVERRIDE=FQ","FILING_STATUS=OR","EQY_CONSOLIDATED=Y","Sort=A","Dates=H","DateFormat=P","Fill=—","Direction=H","UseDPDF=Y")</f>
        <v>#NAME?</v>
      </c>
      <c r="AV116" s="2" t="e">
        <f ca="1">_xll.BDH($C$103,"GEO_GROW_TOT_ASSET","FQ3 2016","FQ3 2016","Currency=INR","Period=FQ","BEST_FPERIOD_OVERRIDE=FQ","FILING_STATUS=OR","EQY_CONSOLIDATED=Y","Sort=A","Dates=H","DateFormat=P","Fill=—","Direction=H","UseDPDF=Y")</f>
        <v>#NAME?</v>
      </c>
      <c r="AW116" s="2" t="e">
        <f ca="1">_xll.BDH($C$103,"MODIFIED_WORKING_CPTL_5YR_GRWTH","FQ3 2016","FQ3 2016","Currency=INR","Period=FQ","BEST_FPERIOD_OVERRIDE=FQ","FILING_STATUS=OR","EQY_CONSOLIDATED=Y","Sort=A","Dates=H","DateFormat=P","Fill=—","Direction=H","UseDPDF=Y")</f>
        <v>#NAME?</v>
      </c>
      <c r="AX116" s="2" t="e">
        <f ca="1">_xll.BDH($C$103,"WORKING_CAPITAL_5_YEAR_GROWTH","FQ3 2016","FQ3 2016","Currency=INR","Period=FQ","BEST_FPERIOD_OVERRIDE=FQ","FILING_STATUS=OR","EQY_CONSOLIDATED=Y","Sort=A","Dates=H","DateFormat=P","Fill=—","Direction=H","UseDPDF=Y")</f>
        <v>#NAME?</v>
      </c>
      <c r="AY116" s="2" t="e">
        <f ca="1">_xll.BDH($C$103,"ACCOUNTS_PAYABLE_5_YEAR_GROWTH","FQ3 2016","FQ3 2016","Currency=INR","Period=FQ","BEST_FPERIOD_OVERRIDE=FQ","FILING_STATUS=OR","EQY_CONSOLIDATED=Y","Sort=A","Dates=H","DateFormat=P","Fill=—","Direction=H","UseDPDF=Y")</f>
        <v>#NAME?</v>
      </c>
      <c r="AZ116" s="2" t="e">
        <f ca="1">_xll.BDH($C$103,"SHORT_TERM_DEBT_5_YEAR_GROWTH","FQ3 2016","FQ3 2016","Currency=INR","Period=FQ","BEST_FPERIOD_OVERRIDE=FQ","FILING_STATUS=OR","EQY_CONSOLIDATED=Y","Sort=A","Dates=H","DateFormat=P","Fill=—","Direction=H","UseDPDF=Y")</f>
        <v>#NAME?</v>
      </c>
      <c r="BA116" s="2" t="e">
        <f ca="1">_xll.BDH($C$103,"TOTAL_DEBT_5_YEAR_GROWTH","FQ3 2016","FQ3 2016","Currency=INR","Period=FQ","BEST_FPERIOD_OVERRIDE=FQ","FILING_STATUS=OR","EQY_CONSOLIDATED=Y","Sort=A","Dates=H","DateFormat=P","Fill=—","Direction=H","UseDPDF=Y")</f>
        <v>#NAME?</v>
      </c>
      <c r="BB116" s="2" t="e">
        <f ca="1">_xll.BDH($C$103,"GEO_GROW_TOT_SHRHLDR_EQY","FQ3 2016","FQ3 2016","Currency=INR","Period=FQ","BEST_FPERIOD_OVERRIDE=FQ","FILING_STATUS=OR","EQY_CONSOLIDATED=Y","Sort=A","Dates=H","DateFormat=P","Fill=—","Direction=H","UseDPDF=Y")</f>
        <v>#NAME?</v>
      </c>
      <c r="BC116" s="2" t="e">
        <f ca="1">_xll.BDH($C$103,"TOTAL_CAPITAL_5_YEAR_GROWTH","FQ3 2016","FQ3 2016","Currency=INR","Period=FQ","BEST_FPERIOD_OVERRIDE=FQ","FILING_STATUS=OR","EQY_CONSOLIDATED=Y","Sort=A","Dates=H","DateFormat=P","Fill=—","Direction=H","UseDPDF=Y")</f>
        <v>#NAME?</v>
      </c>
      <c r="BD116" s="2" t="e">
        <f ca="1">_xll.BDH($C$103,"GEO_GROW_BOOK_VAL","FQ3 2016","FQ3 2016","Currency=INR","Period=FQ","BEST_FPERIOD_OVERRIDE=FQ","FILING_STATUS=OR","EQY_CONSOLIDATED=Y","Sort=A","Dates=H","DateFormat=P","Fill=—","Direction=H","UseDPDF=Y")</f>
        <v>#NAME?</v>
      </c>
      <c r="BE116" s="2" t="e">
        <f ca="1">_xll.BDH($C$103,"GEO_GROW_CASH_OPER_ACT","FQ3 2016","FQ3 2016","Currency=INR","Period=FQ","BEST_FPERIOD_OVERRIDE=FQ","FILING_STATUS=OR","EQY_CONSOLIDATED=Y","Sort=A","Dates=H","DateFormat=P","Fill=—","Direction=H","UseDPDF=Y")</f>
        <v>#NAME?</v>
      </c>
      <c r="BF116" s="2" t="e">
        <f ca="1">_xll.BDH($C$103,"REVENUE_SEQUENTIAL_GROWTH","FQ3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116" s="2" t="e">
        <f ca="1">_xll.BDH($C$103,"EBITDA_SEQUENTIAL_GROWTH","FQ3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116" s="2" t="e">
        <f ca="1">_xll.BDH($C$103,"OPERATING_INCOME_SEQ_GROWTH","FQ3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116" s="2" t="e">
        <f ca="1">_xll.BDH($C$103,"NET_INCOME_TO_COMMON_SEQ_GROWTH","FQ3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116" s="2" t="e">
        <f ca="1">_xll.BDH($C$103,"EPS_DILUTED_SEQUENTIAL_GROWTH","FQ3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116" s="2" t="e">
        <f ca="1">_xll.BDH($C$103,"DPS_SEQUENTIAL_GROWTH","FQ3 2016","FQ3 2016","Currency=INR","Period=FQ","BEST_FPERIOD_OVERRIDE=FQ","FILING_STATUS=OR","EQY_CONSOLIDATED=Y","Sort=A","Dates=H","DateFormat=P","Fill=—","Direction=H","UseDPDF=Y")</f>
        <v>#NAME?</v>
      </c>
      <c r="BL116" s="2" t="e">
        <f ca="1">_xll.BDH($C$103,"ACCOUNTS_RECEIVABLE_SEQ_GROWTH","FQ3 2016","FQ3 2016","Currency=INR","Period=FQ","BEST_FPERIOD_OVERRIDE=FQ","FILING_STATUS=OR","EQY_CONSOLIDATED=Y","Sort=A","Dates=H","DateFormat=P","Fill=—","Direction=H","UseDPDF=Y")</f>
        <v>#NAME?</v>
      </c>
      <c r="BM116" s="2" t="e">
        <f ca="1">_xll.BDH($C$103,"INVENTORY_SEQUENTIAL_GROWTH","FQ3 2016","FQ3 2016","Currency=INR","Period=FQ","BEST_FPERIOD_OVERRIDE=FQ","FILING_STATUS=OR","EQY_CONSOLIDATED=Y","Sort=A","Dates=H","DateFormat=P","Fill=—","Direction=H","UseDPDF=Y")</f>
        <v>#NAME?</v>
      </c>
      <c r="BN116" s="2" t="e">
        <f ca="1">_xll.BDH($C$103,"FIXED_ASSETS_SEQUENTIAL_GROWTH","FQ3 2016","FQ3 2016","Currency=INR","Period=FQ","BEST_FPERIOD_OVERRIDE=FQ","FILING_STATUS=OR","EQY_CONSOLIDATED=Y","Sort=A","Dates=H","DateFormat=P","Fill=—","Direction=H","UseDPDF=Y")</f>
        <v>#NAME?</v>
      </c>
      <c r="BO116" s="2" t="e">
        <f ca="1">_xll.BDH($C$103,"TOTAL_ASSETS_SEQUENTIAL_GROWTH","FQ3 2016","FQ3 2016","Currency=INR","Period=FQ","BEST_FPERIOD_OVERRIDE=FQ","FILING_STATUS=OR","EQY_CONSOLIDATED=Y","Sort=A","Dates=H","DateFormat=P","Fill=—","Direction=H","UseDPDF=Y")</f>
        <v>#NAME?</v>
      </c>
      <c r="BP116" s="2" t="e">
        <f ca="1">_xll.BDH($C$103,"MODIFIED_WORKING_CPTL_SEQ_GRWTH","FQ3 2016","FQ3 2016","Currency=INR","Period=FQ","BEST_FPERIOD_OVERRIDE=FQ","FILING_STATUS=OR","EQY_CONSOLIDATED=Y","Sort=A","Dates=H","DateFormat=P","Fill=—","Direction=H","UseDPDF=Y")</f>
        <v>#NAME?</v>
      </c>
      <c r="BQ116" s="2" t="e">
        <f ca="1">_xll.BDH($C$103,"WORKING_CAPITAL_SEQ_GROWTH","FQ3 2016","FQ3 2016","Currency=INR","Period=FQ","BEST_FPERIOD_OVERRIDE=FQ","FILING_STATUS=OR","EQY_CONSOLIDATED=Y","Sort=A","Dates=H","DateFormat=P","Fill=—","Direction=H","UseDPDF=Y")</f>
        <v>#NAME?</v>
      </c>
      <c r="BR116" s="2" t="e">
        <f ca="1">_xll.BDH($C$103,"ACCOUNTS_PAYABLE_SEQ_GROWTH","FQ3 2016","FQ3 2016","Currency=INR","Period=FQ","BEST_FPERIOD_OVERRIDE=FQ","FILING_STATUS=OR","EQY_CONSOLIDATED=Y","Sort=A","Dates=H","DateFormat=P","Fill=—","Direction=H","UseDPDF=Y")</f>
        <v>#NAME?</v>
      </c>
      <c r="BS116" s="2" t="e">
        <f ca="1">_xll.BDH($C$103,"ST_DEBT_SEQUENTIAL_GROWTH","FQ3 2016","FQ3 2016","Currency=INR","Period=FQ","BEST_FPERIOD_OVERRIDE=FQ","FILING_STATUS=OR","EQY_CONSOLIDATED=Y","Sort=A","Dates=H","DateFormat=P","Fill=—","Direction=H","UseDPDF=Y")</f>
        <v>#NAME?</v>
      </c>
      <c r="BT116" s="2" t="e">
        <f ca="1">_xll.BDH($C$103,"TOTAL_DEBT_SEQUENTIAL_GROWTH","FQ3 2016","FQ3 2016","Currency=INR","Period=FQ","BEST_FPERIOD_OVERRIDE=FQ","FILING_STATUS=OR","EQY_CONSOLIDATED=Y","Sort=A","Dates=H","DateFormat=P","Fill=—","Direction=H","UseDPDF=Y")</f>
        <v>#NAME?</v>
      </c>
      <c r="BU116" s="2" t="e">
        <f ca="1">_xll.BDH($C$103,"TOTAL_EQUITY_SEQUENTIAL_GROWTH","FQ3 2016","FQ3 2016","Currency=INR","Period=FQ","BEST_FPERIOD_OVERRIDE=FQ","FILING_STATUS=OR","EQY_CONSOLIDATED=Y","Sort=A","Dates=H","DateFormat=P","Fill=—","Direction=H","UseDPDF=Y")</f>
        <v>#NAME?</v>
      </c>
      <c r="BV116" s="2" t="e">
        <f ca="1">_xll.BDH($C$103,"TOTAL_CAPITAL_SEQUENTIAL_GROWTH","FQ3 2016","FQ3 2016","Currency=INR","Period=FQ","BEST_FPERIOD_OVERRIDE=FQ","FILING_STATUS=OR","EQY_CONSOLIDATED=Y","Sort=A","Dates=H","DateFormat=P","Fill=—","Direction=H","UseDPDF=Y")</f>
        <v>#NAME?</v>
      </c>
      <c r="BW116" s="2" t="e">
        <f ca="1">_xll.BDH($C$103,"BPS_SEQUENTIAL_GROWTH","FQ3 2016","FQ3 2016","Currency=INR","Period=FQ","BEST_FPERIOD_OVERRIDE=FQ","FILING_STATUS=OR","EQY_CONSOLIDATED=Y","Sort=A","Dates=H","DateFormat=P","Fill=—","Direction=H","UseDPDF=Y")</f>
        <v>#NAME?</v>
      </c>
      <c r="BX116" s="2" t="e">
        <f ca="1">_xll.BDH($C$103,"CFO_SEQUENTIAL_GROWTH","FQ3 2016","FQ3 2016","Currency=INR","Period=FQ","BEST_FPERIOD_OVERRIDE=FQ","FILING_STATUS=OR","EQY_CONSOLIDATED=Y","Sort=A","Dates=H","DateFormat=P","Fill=—","Direction=H","UseDPDF=Y")</f>
        <v>#NAME?</v>
      </c>
      <c r="BY116" s="3" t="e">
        <f ca="1">_xll.BDH($C$103,"SHORT_AND_LONG_TERM_DEBT","FQ3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116" s="3" t="e">
        <f ca="1">_xll.BDH($C$103,"BS_ST_BORROW","FQ3 2016","FQ3 2016","Currency=INR","Period=FQ","BEST_FPERIOD_OVERRIDE=FQ","FILING_STATUS=OR","EQY_CONSOLIDATED=Y","SCALING_FORMAT=MLN","Sort=A","Dates=H","DateFormat=P","Fill=—","Direction=H","UseDPDF=Y")</f>
        <v>#NAME?</v>
      </c>
      <c r="CA116" s="3" t="e">
        <f ca="1">_xll.BDH($C$103,"BS_LT_BORROW","FQ3 2016","FQ3 2016","Currency=INR","Period=FQ","BEST_FPERIOD_OVERRIDE=FQ","FILING_STATUS=OR","EQY_CONSOLIDATED=Y","SCALING_FORMAT=MLN","Sort=A","Dates=H","DateFormat=P","Fill=—","Direction=H","UseDPDF=Y")</f>
        <v>#NAME?</v>
      </c>
      <c r="CB116" s="2" t="e">
        <f ca="1">_xll.BDH($C$103,"TOT_DEBT_TO_EBITDA","FQ3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116" s="2" t="e">
        <f ca="1">_xll.BDH($C$103,"NET_DEBT_TO_EBITDA","FQ3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116" s="2" t="e">
        <f ca="1">_xll.BDH($C$103,"TOTAL_DEBT_TO_EBIT","FQ3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116" s="2" t="e">
        <f ca="1">_xll.BDH($C$103,"NET_DEBT_TO_EBIT","FQ3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116" s="2" t="e">
        <f ca="1">_xll.BDH($C$103,"EBITDA_TO_INTEREST_EXPN","FQ3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116" s="2" t="e">
        <f ca="1">_xll.BDH($C$103,"COM_EQY_TO_TOT_ASSET","FQ3 2016","FQ3 2016","Currency=INR","Period=FQ","BEST_FPERIOD_OVERRIDE=FQ","FILING_STATUS=OR","EQY_CONSOLIDATED=Y","Sort=A","Dates=H","DateFormat=P","Fill=—","Direction=H","UseDPDF=Y")</f>
        <v>#NAME?</v>
      </c>
      <c r="CH116" s="2" t="e">
        <f ca="1">_xll.BDH($C$103,"LT_DEBT_TO_TOT_EQY","FQ3 2016","FQ3 2016","Currency=INR","Period=FQ","BEST_FPERIOD_OVERRIDE=FQ","FILING_STATUS=OR","EQY_CONSOLIDATED=Y","Sort=A","Dates=H","DateFormat=P","Fill=—","Direction=H","UseDPDF=Y")</f>
        <v>#NAME?</v>
      </c>
      <c r="CI116" s="2" t="e">
        <f ca="1">_xll.BDH($C$103,"LT_DEBT_TO_TOT_CAP","FQ3 2016","FQ3 2016","Currency=INR","Period=FQ","BEST_FPERIOD_OVERRIDE=FQ","FILING_STATUS=OR","EQY_CONSOLIDATED=Y","Sort=A","Dates=H","DateFormat=P","Fill=—","Direction=H","UseDPDF=Y")</f>
        <v>#NAME?</v>
      </c>
      <c r="CJ116" s="2" t="e">
        <f ca="1">_xll.BDH($C$103,"LT_DEBT_TO_TOT_ASSET","FQ3 2016","FQ3 2016","Currency=INR","Period=FQ","BEST_FPERIOD_OVERRIDE=FQ","FILING_STATUS=OR","EQY_CONSOLIDATED=Y","Sort=A","Dates=H","DateFormat=P","Fill=—","Direction=H","UseDPDF=Y")</f>
        <v>#NAME?</v>
      </c>
      <c r="CK116" s="2" t="e">
        <f ca="1">_xll.BDH($C$103,"TOT_DEBT_TO_TOT_EQY","FQ3 2016","FQ3 2016","Currency=INR","Period=FQ","BEST_FPERIOD_OVERRIDE=FQ","FILING_STATUS=OR","EQY_CONSOLIDATED=Y","Sort=A","Dates=H","DateFormat=P","Fill=—","Direction=H","UseDPDF=Y")</f>
        <v>#NAME?</v>
      </c>
      <c r="CL116" s="2" t="e">
        <f ca="1">_xll.BDH($C$103,"TOT_DEBT_TO_TOT_CAP","FQ3 2016","FQ3 2016","Currency=INR","Period=FQ","BEST_FPERIOD_OVERRIDE=FQ","FILING_STATUS=OR","EQY_CONSOLIDATED=Y","Sort=A","Dates=H","DateFormat=P","Fill=—","Direction=H","UseDPDF=Y")</f>
        <v>#NAME?</v>
      </c>
      <c r="CM116" s="2" t="e">
        <f ca="1">_xll.BDH($C$103,"TOT_DEBT_TO_TOT_ASSET","FQ3 2016","FQ3 2016","Currency=INR","Period=FQ","BEST_FPERIOD_OVERRIDE=FQ","FILING_STATUS=OR","EQY_CONSOLIDATED=Y","Sort=A","Dates=H","DateFormat=P","Fill=—","Direction=H","UseDPDF=Y")</f>
        <v>#NAME?</v>
      </c>
      <c r="CN116" s="2" t="e">
        <f ca="1">_xll.BDH($C$103,"NET_DEBT_TO_SHRHLDR_EQTY","FQ3 2016","FQ3 2016","Currency=INR","Period=FQ","BEST_FPERIOD_OVERRIDE=FQ","FILING_STATUS=OR","EQY_CONSOLIDATED=Y","Sort=A","Dates=H","DateFormat=P","Fill=—","Direction=H","UseDPDF=Y")</f>
        <v>#NAME?</v>
      </c>
      <c r="CO116" s="2" t="e">
        <f ca="1">_xll.BDH($C$103,"NET_DEBT_%_CAPITAL","FQ3 2016","FQ3 2016","Currency=INR","Period=FQ","BEST_FPERIOD_OVERRIDE=FQ","FILING_STATUS=OR","EQY_CONSOLIDATED=Y","Sort=A","Dates=H","DateFormat=P","Fill=—","Direction=H","UseDPDF=Y")</f>
        <v>#NAME?</v>
      </c>
      <c r="CP116" s="3" t="e">
        <f ca="1">_xll.BDH($C$103,"EBITDA","FQ3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116" s="3" t="e">
        <f ca="1">_xll.BDH($C$103,"EBITDA_AFTER_CAPEX","FQ3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116" s="3" t="e">
        <f ca="1">_xll.BDH($C$103,"IS_OPER_INC","FQ3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116" s="2" t="e">
        <f ca="1">_xll.BDH($C$103,"CASH_RATIO","FQ3 2016","FQ3 2016","Currency=INR","Period=FQ","BEST_FPERIOD_OVERRIDE=FQ","FILING_STATUS=OR","EQY_CONSOLIDATED=Y","Sort=A","Dates=H","DateFormat=P","Fill=—","Direction=H","UseDPDF=Y")</f>
        <v>#NAME?</v>
      </c>
      <c r="CT116" s="2" t="e">
        <f ca="1">_xll.BDH($C$103,"CUR_RATIO","FQ3 2016","FQ3 2016","Currency=INR","Period=FQ","BEST_FPERIOD_OVERRIDE=FQ","FILING_STATUS=OR","EQY_CONSOLIDATED=Y","Sort=A","Dates=H","DateFormat=P","Fill=—","Direction=H","UseDPDF=Y")</f>
        <v>#NAME?</v>
      </c>
      <c r="CU116" s="2" t="e">
        <f ca="1">_xll.BDH($C$103,"QUICK_RATIO","FQ3 2016","FQ3 2016","Currency=INR","Period=FQ","BEST_FPERIOD_OVERRIDE=FQ","FILING_STATUS=OR","EQY_CONSOLIDATED=Y","Sort=A","Dates=H","DateFormat=P","Fill=—","Direction=H","UseDPDF=Y")</f>
        <v>#NAME?</v>
      </c>
      <c r="CV116" s="2" t="e">
        <f ca="1">_xll.BDH($C$103,"ALTMAN_Z_SCORE","FQ3 2016","FQ3 2016","Currency=INR","Period=FQ","BEST_FPERIOD_OVERRIDE=FQ","FILING_STATUS=OR","EQY_CONSOLIDATED=Y","Sort=A","Dates=H","DateFormat=P","Fill=—","Direction=H","UseDPDF=Y")</f>
        <v>#NAME?</v>
      </c>
      <c r="CW116" s="4" t="e">
        <f ca="1">_xll.BDH($C$103,"ACCT_RCV_TURN","FQ3 2016","FQ3 2016","Currency=INR","Period=FQ","BEST_FPERIOD_OVERRIDE=FQ","FILING_STATUS=OR","EQY_CONSOLIDATED=Y","FA_ADJUSTED=GAAP","Sort=A","Dates=H","DateFormat=P","Fill=—","Direction=H","UseDPDF=Y")</f>
        <v>#NAME?</v>
      </c>
      <c r="CX116" s="2" t="e">
        <f ca="1">_xll.BDH($C$103,"ACCT_RCV_DAYS","FQ3 2016","FQ3 2016","Currency=INR","Period=FQ","BEST_FPERIOD_OVERRIDE=FQ","FILING_STATUS=OR","EQY_CONSOLIDATED=Y","FA_ADJUSTED=GAAP","Sort=A","Dates=H","DateFormat=P","Fill=—","Direction=H","UseDPDF=Y")</f>
        <v>#NAME?</v>
      </c>
      <c r="CY116" s="4" t="e">
        <f ca="1">_xll.BDH($C$103,"INVENT_TURN","FQ3 2016","FQ3 2016","Currency=INR","Period=FQ","BEST_FPERIOD_OVERRIDE=FQ","FILING_STATUS=OR","EQY_CONSOLIDATED=Y","FA_ADJUSTED=GAAP","Sort=A","Dates=H","DateFormat=P","Fill=—","Direction=H","UseDPDF=Y")</f>
        <v>#NAME?</v>
      </c>
      <c r="CZ116" s="2" t="e">
        <f ca="1">_xll.BDH($C$103,"INVENT_DAYS","FQ3 2016","FQ3 2016","Currency=INR","Period=FQ","BEST_FPERIOD_OVERRIDE=FQ","FILING_STATUS=OR","EQY_CONSOLIDATED=Y","FA_ADJUSTED=GAAP","Sort=A","Dates=H","DateFormat=P","Fill=—","Direction=H","UseDPDF=Y")</f>
        <v>#NAME?</v>
      </c>
      <c r="DA116" s="4" t="e">
        <f ca="1">_xll.BDH($C$103,"ACCOUNTS_PAYABLE_TURNOVER","FQ3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116" s="2" t="e">
        <f ca="1">_xll.BDH($C$103,"ACCOUNTS_PAYABLE_TURNOVER_DAYS","FQ3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116" s="4" t="e">
        <f ca="1">_xll.BDH($C$103,"CASH_CONVERSION_CYCLE","FQ3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116" s="4" t="e">
        <f ca="1">_xll.BDH($C$103,"INV_TO_CASH_DAYS","FQ3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116" s="5" t="e">
        <f ca="1">_xll.BDH($C$103,"BS_INVENTORIES","FQ3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116" s="3" t="e">
        <f ca="1">_xll.BDH($C$103,"INVTRY_RAW_MATERIALS","FQ3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116" s="3" t="e">
        <f ca="1">_xll.BDH($C$103,"INVTRY_IN_PROGRESS","FQ3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116" s="3" t="e">
        <f ca="1">_xll.BDH($C$103,"INVTRY_FINISHED_GOODS","FQ3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116" s="3" t="e">
        <f ca="1">_xll.BDH($C$103,"BS_OTHER_INV","FQ3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117" spans="1:113" x14ac:dyDescent="0.3">
      <c r="A117" s="6"/>
      <c r="B117" s="6"/>
      <c r="C117" s="6"/>
      <c r="D117" s="6"/>
      <c r="E117" t="s">
        <v>81</v>
      </c>
      <c r="F117" t="e">
        <f ca="1">_xll.BDH($C$103,"RETURN_COM_EQY","FQ4 2016","FQ4 2016","Currency=INR","Period=FQ","BEST_FPERIOD_OVERRIDE=FQ","FILING_STATUS=OR","EQY_CONSOLIDATED=Y","FA_ADJUSTED=GAAP","Sort=A","Dates=H","DateFormat=P","Fill=—","Direction=H","UseDPDF=Y")</f>
        <v>#NAME?</v>
      </c>
      <c r="G117" t="e">
        <f ca="1">_xll.BDH($C$103,"RETURN_ON_ASSET","FQ4 2016","FQ4 2016","Currency=INR","Period=FQ","BEST_FPERIOD_OVERRIDE=FQ","FILING_STATUS=OR","EQY_CONSOLIDATED=Y","FA_ADJUSTED=GAAP","Sort=A","Dates=H","DateFormat=P","Fill=—","Direction=H","UseDPDF=Y")</f>
        <v>#NAME?</v>
      </c>
      <c r="H117" t="e">
        <f ca="1">_xll.BDH($C$103,"RETURN_ON_CAP","FQ4 2016","FQ4 2016","Currency=INR","Period=FQ","BEST_FPERIOD_OVERRIDE=FQ","FILING_STATUS=OR","EQY_CONSOLIDATED=Y","FA_ADJUSTED=GAAP","Sort=A","Dates=H","DateFormat=P","Fill=—","Direction=H","UseDPDF=Y")</f>
        <v>#NAME?</v>
      </c>
      <c r="I117" t="e">
        <f ca="1">_xll.BDH($C$103,"RETURN_ON_INV_CAPITAL","FQ4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117" t="e">
        <f ca="1">_xll.BDH($C$103,"EBITDA_TO_REVENUE","FQ4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117" t="e">
        <f ca="1">_xll.BDH($C$103,"OPER_MARGIN","FQ4 2016","FQ4 2016","Currency=INR","Period=FQ","BEST_FPERIOD_OVERRIDE=FQ","FILING_STATUS=OR","EQY_CONSOLIDATED=Y","FA_ADJUSTED=GAAP","Sort=A","Dates=H","DateFormat=P","Fill=—","Direction=H","UseDPDF=Y")</f>
        <v>#NAME?</v>
      </c>
      <c r="L117" t="e">
        <f ca="1">_xll.BDH($C$103,"INCREMENTAL_OPERATING_MARGIN","FQ4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117" t="e">
        <f ca="1">_xll.BDH($C$103,"PRETAX_INC_TO_NET_SALES","FQ4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117" t="e">
        <f ca="1">_xll.BDH($C$103,"INC_BEF_XO_ITEMS_TO_NET_SALES","FQ4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117" t="e">
        <f ca="1">_xll.BDH($C$103,"PROF_MARGIN","FQ4 2016","FQ4 2016","Currency=INR","Period=FQ","BEST_FPERIOD_OVERRIDE=FQ","FILING_STATUS=OR","EQY_CONSOLIDATED=Y","FA_ADJUSTED=GAAP","Sort=A","Dates=H","DateFormat=P","Fill=—","Direction=H","UseDPDF=Y")</f>
        <v>#NAME?</v>
      </c>
      <c r="P117" t="e">
        <f ca="1">_xll.BDH($C$103,"NET_INCOME_TO_COMMON_MARGIN","FQ4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117" t="e">
        <f ca="1">_xll.BDH($C$103,"EFF_TAX_RATE","FQ4 2016","FQ4 2016","Currency=INR","Period=FQ","BEST_FPERIOD_OVERRIDE=FQ","FILING_STATUS=OR","EQY_CONSOLIDATED=Y","FA_ADJUSTED=GAAP","Sort=A","Dates=H","DateFormat=P","Fill=—","Direction=H","UseDPDF=Y")</f>
        <v>#NAME?</v>
      </c>
      <c r="R117" t="e">
        <f ca="1">_xll.BDH($C$103,"DVD_PAYOUT_RATIO","FQ4 2016","FQ4 2016","Currency=INR","Period=FQ","BEST_FPERIOD_OVERRIDE=FQ","FILING_STATUS=OR","EQY_CONSOLIDATED=Y","FA_ADJUSTED=GAAP","Sort=A","Dates=H","DateFormat=P","Fill=—","Direction=H","UseDPDF=Y")</f>
        <v>#NAME?</v>
      </c>
      <c r="S117" t="e">
        <f ca="1">_xll.BDH($C$103,"SUSTAIN_GROWTH_RT","FQ4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117" s="2" t="e">
        <f ca="1">_xll.BDH($C$103,"SALES_GROWTH","FQ4 2016","FQ4 2016","Currency=INR","Period=FQ","BEST_FPERIOD_OVERRIDE=FQ","FILING_STATUS=OR","EQY_CONSOLIDATED=Y","FA_ADJUSTED=GAAP","Sort=A","Dates=H","DateFormat=P","Fill=—","Direction=H","UseDPDF=Y")</f>
        <v>#NAME?</v>
      </c>
      <c r="U117" s="2" t="e">
        <f ca="1">_xll.BDH($C$103,"EBITDA_GROWTH","FQ4 2016","FQ4 2016","Currency=INR","Period=FQ","BEST_FPERIOD_OVERRIDE=FQ","FILING_STATUS=OR","EQY_CONSOLIDATED=Y","FA_ADJUSTED=GAAP","Sort=A","Dates=H","DateFormat=P","Fill=—","Direction=H","UseDPDF=Y")</f>
        <v>#NAME?</v>
      </c>
      <c r="V117" s="2" t="e">
        <f ca="1">_xll.BDH($C$103,"OPER_INC_GROWTH","FQ4 2016","FQ4 2016","Currency=INR","Period=FQ","BEST_FPERIOD_OVERRIDE=FQ","FILING_STATUS=OR","EQY_CONSOLIDATED=Y","FA_ADJUSTED=GAAP","Sort=A","Dates=H","DateFormat=P","Fill=—","Direction=H","UseDPDF=Y")</f>
        <v>#NAME?</v>
      </c>
      <c r="W117" s="2" t="e">
        <f ca="1">_xll.BDH($C$103,"EARN_FOR_COM_GROWTH","FQ4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117" s="2" t="e">
        <f ca="1">_xll.BDH($C$103,"DILUTED_EPS_AFT_XO_ITEMS_GROWTH","FQ4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117" s="2" t="e">
        <f ca="1">_xll.BDH($C$103,"DIVIDEND_PER_SHARE_1_YEAR_GROWTH","FQ4 2016","FQ4 2016","Currency=INR","Period=FQ","BEST_FPERIOD_OVERRIDE=FQ","FILING_STATUS=OR","EQY_CONSOLIDATED=Y","Sort=A","Dates=H","DateFormat=P","Fill=—","Direction=H","UseDPDF=Y")</f>
        <v>#NAME?</v>
      </c>
      <c r="Z117" s="2" t="e">
        <f ca="1">_xll.BDH($C$103,"ACCOUNTS_RECEIVABLE_GROWTH","FQ4 2016","FQ4 2016","Currency=INR","Period=FQ","BEST_FPERIOD_OVERRIDE=FQ","FILING_STATUS=OR","EQY_CONSOLIDATED=Y","Sort=A","Dates=H","DateFormat=P","Fill=—","Direction=H","UseDPDF=Y")</f>
        <v>#NAME?</v>
      </c>
      <c r="AA117" s="2" t="e">
        <f ca="1">_xll.BDH($C$103,"INVENTORY_GROWTH","FQ4 2016","FQ4 2016","Currency=INR","Period=FQ","BEST_FPERIOD_OVERRIDE=FQ","FILING_STATUS=OR","EQY_CONSOLIDATED=Y","Sort=A","Dates=H","DateFormat=P","Fill=—","Direction=H","UseDPDF=Y")</f>
        <v>#NAME?</v>
      </c>
      <c r="AB117" s="2" t="e">
        <f ca="1">_xll.BDH($C$103,"NET_FIXED_ASSETS_1_YEAR_GROWTH","FQ4 2016","FQ4 2016","Currency=INR","Period=FQ","BEST_FPERIOD_OVERRIDE=FQ","FILING_STATUS=OR","EQY_CONSOLIDATED=Y","Sort=A","Dates=H","DateFormat=P","Fill=—","Direction=H","UseDPDF=Y")</f>
        <v>#NAME?</v>
      </c>
      <c r="AC117" s="2" t="e">
        <f ca="1">_xll.BDH($C$103,"ASSET_GROWTH","FQ4 2016","FQ4 2016","Currency=INR","Period=FQ","BEST_FPERIOD_OVERRIDE=FQ","FILING_STATUS=OR","EQY_CONSOLIDATED=Y","Sort=A","Dates=H","DateFormat=P","Fill=—","Direction=H","UseDPDF=Y")</f>
        <v>#NAME?</v>
      </c>
      <c r="AD117" s="2" t="e">
        <f ca="1">_xll.BDH($C$103,"MODIFIED_WORK_CAP_GROWTH","FQ4 2016","FQ4 2016","Currency=INR","Period=FQ","BEST_FPERIOD_OVERRIDE=FQ","FILING_STATUS=OR","EQY_CONSOLIDATED=Y","Sort=A","Dates=H","DateFormat=P","Fill=—","Direction=H","UseDPDF=Y")</f>
        <v>#NAME?</v>
      </c>
      <c r="AE117" s="2" t="e">
        <f ca="1">_xll.BDH($C$103,"WORK_CAP_GROWTH","FQ4 2016","FQ4 2016","Currency=INR","Period=FQ","BEST_FPERIOD_OVERRIDE=FQ","FILING_STATUS=OR","EQY_CONSOLIDATED=Y","Sort=A","Dates=H","DateFormat=P","Fill=—","Direction=H","UseDPDF=Y")</f>
        <v>#NAME?</v>
      </c>
      <c r="AF117" s="2" t="e">
        <f ca="1">_xll.BDH($C$103,"ACCOUNTS_PAYABLE_GROWTH_1YR","FQ4 2016","FQ4 2016","Currency=INR","Period=FQ","BEST_FPERIOD_OVERRIDE=FQ","FILING_STATUS=OR","EQY_CONSOLIDATED=Y","Sort=A","Dates=H","DateFormat=P","Fill=—","Direction=H","UseDPDF=Y")</f>
        <v>#NAME?</v>
      </c>
      <c r="AG117" s="2" t="e">
        <f ca="1">_xll.BDH($C$103,"SHORT_TERM_DEBT_1_YEAR_GROWTH","FQ4 2016","FQ4 2016","Currency=INR","Period=FQ","BEST_FPERIOD_OVERRIDE=FQ","FILING_STATUS=OR","EQY_CONSOLIDATED=Y","Sort=A","Dates=H","DateFormat=P","Fill=—","Direction=H","UseDPDF=Y")</f>
        <v>#NAME?</v>
      </c>
      <c r="AH117" s="2" t="e">
        <f ca="1">_xll.BDH($C$103,"TOTAL_DEBT_1_YEAR_GROWTH","FQ4 2016","FQ4 2016","Currency=INR","Period=FQ","BEST_FPERIOD_OVERRIDE=FQ","FILING_STATUS=OR","EQY_CONSOLIDATED=Y","Sort=A","Dates=H","DateFormat=P","Fill=—","Direction=H","UseDPDF=Y")</f>
        <v>#NAME?</v>
      </c>
      <c r="AI117" s="2" t="e">
        <f ca="1">_xll.BDH($C$103,"TOTAL_EQUITY_1_YEAR_GROWTH","FQ4 2016","FQ4 2016","Currency=INR","Period=FQ","BEST_FPERIOD_OVERRIDE=FQ","FILING_STATUS=OR","EQY_CONSOLIDATED=Y","Sort=A","Dates=H","DateFormat=P","Fill=—","Direction=H","UseDPDF=Y")</f>
        <v>#NAME?</v>
      </c>
      <c r="AJ117" s="2" t="e">
        <f ca="1">_xll.BDH($C$103,"GROWTH_IN_CAP","FQ4 2016","FQ4 2016","Currency=INR","Period=FQ","BEST_FPERIOD_OVERRIDE=FQ","FILING_STATUS=OR","EQY_CONSOLIDATED=Y","Sort=A","Dates=H","DateFormat=P","Fill=—","Direction=H","UseDPDF=Y")</f>
        <v>#NAME?</v>
      </c>
      <c r="AK117" s="2" t="e">
        <f ca="1">_xll.BDH($C$103,"BVPS_GROWTH","FQ4 2016","FQ4 2016","Currency=INR","Period=FQ","BEST_FPERIOD_OVERRIDE=FQ","FILING_STATUS=OR","EQY_CONSOLIDATED=Y","Sort=A","Dates=H","DateFormat=P","Fill=—","Direction=H","UseDPDF=Y")</f>
        <v>#NAME?</v>
      </c>
      <c r="AL117" s="2" t="e">
        <f ca="1">_xll.BDH($C$103,"CASH_FLOW_GROWTH","FQ4 2016","FQ4 2016","Currency=INR","Period=FQ","BEST_FPERIOD_OVERRIDE=FQ","FILING_STATUS=OR","EQY_CONSOLIDATED=Y","Sort=A","Dates=H","DateFormat=P","Fill=—","Direction=H","UseDPDF=Y")</f>
        <v>#NAME?</v>
      </c>
      <c r="AM117" s="2" t="e">
        <f ca="1">_xll.BDH($C$103,"GEO_GROW_NET_SALES","FQ4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117" s="2" t="e">
        <f ca="1">_xll.BDH($C$103,"GEO_GROW_EBITDA","FQ4 2016","FQ4 2016","Currency=INR","Period=FQ","BEST_FPERIOD_OVERRIDE=FQ","FILING_STATUS=OR","EQY_CONSOLIDATED=Y","FA_ADJUSTED=GAAP","Sort=A","Dates=H","DateFormat=P","Fill=—","Direction=H","UseDPDF=Y")</f>
        <v>#NAME?</v>
      </c>
      <c r="AO117" s="2" t="e">
        <f ca="1">_xll.BDH($C$103,"GEO_GROW_OPER_INC","FQ4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117" s="2" t="e">
        <f ca="1">_xll.BDH($C$103,"NET_INCOME_TO_COMMON_5_YR_GROWTH","FQ4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117" s="2" t="e">
        <f ca="1">_xll.BDH($C$103,"5Y_GEO_GROWTH_DILUTED_EPS","FQ4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117" s="2" t="e">
        <f ca="1">_xll.BDH($C$103,"GEO_GROW_DVD_PER_SH","FQ4 2016","FQ4 2016","Currency=INR","Period=FQ","BEST_FPERIOD_OVERRIDE=FQ","FILING_STATUS=OR","EQY_CONSOLIDATED=Y","Sort=A","Dates=H","DateFormat=P","Fill=—","Direction=H","UseDPDF=Y")</f>
        <v>#NAME?</v>
      </c>
      <c r="AS117" s="2" t="e">
        <f ca="1">_xll.BDH($C$103,"ACCOUNTS_RECEIVABLE_5_YR_GROWTH","FQ4 2016","FQ4 2016","Currency=INR","Period=FQ","BEST_FPERIOD_OVERRIDE=FQ","FILING_STATUS=OR","EQY_CONSOLIDATED=Y","Sort=A","Dates=H","DateFormat=P","Fill=—","Direction=H","UseDPDF=Y")</f>
        <v>#NAME?</v>
      </c>
      <c r="AT117" s="2" t="e">
        <f ca="1">_xll.BDH($C$103,"INVENTORY_5_YEAR_GROWTH","FQ4 2016","FQ4 2016","Currency=INR","Period=FQ","BEST_FPERIOD_OVERRIDE=FQ","FILING_STATUS=OR","EQY_CONSOLIDATED=Y","Sort=A","Dates=H","DateFormat=P","Fill=—","Direction=H","UseDPDF=Y")</f>
        <v>#NAME?</v>
      </c>
      <c r="AU117" s="2" t="e">
        <f ca="1">_xll.BDH($C$103,"NET_FIXED_ASSETS_5_YEAR_GROWTH","FQ4 2016","FQ4 2016","Currency=INR","Period=FQ","BEST_FPERIOD_OVERRIDE=FQ","FILING_STATUS=OR","EQY_CONSOLIDATED=Y","Sort=A","Dates=H","DateFormat=P","Fill=—","Direction=H","UseDPDF=Y")</f>
        <v>#NAME?</v>
      </c>
      <c r="AV117" s="2" t="e">
        <f ca="1">_xll.BDH($C$103,"GEO_GROW_TOT_ASSET","FQ4 2016","FQ4 2016","Currency=INR","Period=FQ","BEST_FPERIOD_OVERRIDE=FQ","FILING_STATUS=OR","EQY_CONSOLIDATED=Y","Sort=A","Dates=H","DateFormat=P","Fill=—","Direction=H","UseDPDF=Y")</f>
        <v>#NAME?</v>
      </c>
      <c r="AW117" s="2" t="e">
        <f ca="1">_xll.BDH($C$103,"MODIFIED_WORKING_CPTL_5YR_GRWTH","FQ4 2016","FQ4 2016","Currency=INR","Period=FQ","BEST_FPERIOD_OVERRIDE=FQ","FILING_STATUS=OR","EQY_CONSOLIDATED=Y","Sort=A","Dates=H","DateFormat=P","Fill=—","Direction=H","UseDPDF=Y")</f>
        <v>#NAME?</v>
      </c>
      <c r="AX117" s="2" t="e">
        <f ca="1">_xll.BDH($C$103,"WORKING_CAPITAL_5_YEAR_GROWTH","FQ4 2016","FQ4 2016","Currency=INR","Period=FQ","BEST_FPERIOD_OVERRIDE=FQ","FILING_STATUS=OR","EQY_CONSOLIDATED=Y","Sort=A","Dates=H","DateFormat=P","Fill=—","Direction=H","UseDPDF=Y")</f>
        <v>#NAME?</v>
      </c>
      <c r="AY117" s="2" t="e">
        <f ca="1">_xll.BDH($C$103,"ACCOUNTS_PAYABLE_5_YEAR_GROWTH","FQ4 2016","FQ4 2016","Currency=INR","Period=FQ","BEST_FPERIOD_OVERRIDE=FQ","FILING_STATUS=OR","EQY_CONSOLIDATED=Y","Sort=A","Dates=H","DateFormat=P","Fill=—","Direction=H","UseDPDF=Y")</f>
        <v>#NAME?</v>
      </c>
      <c r="AZ117" s="2" t="e">
        <f ca="1">_xll.BDH($C$103,"SHORT_TERM_DEBT_5_YEAR_GROWTH","FQ4 2016","FQ4 2016","Currency=INR","Period=FQ","BEST_FPERIOD_OVERRIDE=FQ","FILING_STATUS=OR","EQY_CONSOLIDATED=Y","Sort=A","Dates=H","DateFormat=P","Fill=—","Direction=H","UseDPDF=Y")</f>
        <v>#NAME?</v>
      </c>
      <c r="BA117" s="2" t="e">
        <f ca="1">_xll.BDH($C$103,"TOTAL_DEBT_5_YEAR_GROWTH","FQ4 2016","FQ4 2016","Currency=INR","Period=FQ","BEST_FPERIOD_OVERRIDE=FQ","FILING_STATUS=OR","EQY_CONSOLIDATED=Y","Sort=A","Dates=H","DateFormat=P","Fill=—","Direction=H","UseDPDF=Y")</f>
        <v>#NAME?</v>
      </c>
      <c r="BB117" s="2" t="e">
        <f ca="1">_xll.BDH($C$103,"GEO_GROW_TOT_SHRHLDR_EQY","FQ4 2016","FQ4 2016","Currency=INR","Period=FQ","BEST_FPERIOD_OVERRIDE=FQ","FILING_STATUS=OR","EQY_CONSOLIDATED=Y","Sort=A","Dates=H","DateFormat=P","Fill=—","Direction=H","UseDPDF=Y")</f>
        <v>#NAME?</v>
      </c>
      <c r="BC117" s="2" t="e">
        <f ca="1">_xll.BDH($C$103,"TOTAL_CAPITAL_5_YEAR_GROWTH","FQ4 2016","FQ4 2016","Currency=INR","Period=FQ","BEST_FPERIOD_OVERRIDE=FQ","FILING_STATUS=OR","EQY_CONSOLIDATED=Y","Sort=A","Dates=H","DateFormat=P","Fill=—","Direction=H","UseDPDF=Y")</f>
        <v>#NAME?</v>
      </c>
      <c r="BD117" s="2" t="e">
        <f ca="1">_xll.BDH($C$103,"GEO_GROW_BOOK_VAL","FQ4 2016","FQ4 2016","Currency=INR","Period=FQ","BEST_FPERIOD_OVERRIDE=FQ","FILING_STATUS=OR","EQY_CONSOLIDATED=Y","Sort=A","Dates=H","DateFormat=P","Fill=—","Direction=H","UseDPDF=Y")</f>
        <v>#NAME?</v>
      </c>
      <c r="BE117" s="2" t="e">
        <f ca="1">_xll.BDH($C$103,"GEO_GROW_CASH_OPER_ACT","FQ4 2016","FQ4 2016","Currency=INR","Period=FQ","BEST_FPERIOD_OVERRIDE=FQ","FILING_STATUS=OR","EQY_CONSOLIDATED=Y","Sort=A","Dates=H","DateFormat=P","Fill=—","Direction=H","UseDPDF=Y")</f>
        <v>#NAME?</v>
      </c>
      <c r="BF117" s="2" t="e">
        <f ca="1">_xll.BDH($C$103,"REVENUE_SEQUENTIAL_GROWTH","FQ4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117" s="2" t="e">
        <f ca="1">_xll.BDH($C$103,"EBITDA_SEQUENTIAL_GROWTH","FQ4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117" s="2" t="e">
        <f ca="1">_xll.BDH($C$103,"OPERATING_INCOME_SEQ_GROWTH","FQ4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117" s="2" t="e">
        <f ca="1">_xll.BDH($C$103,"NET_INCOME_TO_COMMON_SEQ_GROWTH","FQ4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117" s="2" t="e">
        <f ca="1">_xll.BDH($C$103,"EPS_DILUTED_SEQUENTIAL_GROWTH","FQ4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117" s="2" t="e">
        <f ca="1">_xll.BDH($C$103,"DPS_SEQUENTIAL_GROWTH","FQ4 2016","FQ4 2016","Currency=INR","Period=FQ","BEST_FPERIOD_OVERRIDE=FQ","FILING_STATUS=OR","EQY_CONSOLIDATED=Y","Sort=A","Dates=H","DateFormat=P","Fill=—","Direction=H","UseDPDF=Y")</f>
        <v>#NAME?</v>
      </c>
      <c r="BL117" s="2" t="e">
        <f ca="1">_xll.BDH($C$103,"ACCOUNTS_RECEIVABLE_SEQ_GROWTH","FQ4 2016","FQ4 2016","Currency=INR","Period=FQ","BEST_FPERIOD_OVERRIDE=FQ","FILING_STATUS=OR","EQY_CONSOLIDATED=Y","Sort=A","Dates=H","DateFormat=P","Fill=—","Direction=H","UseDPDF=Y")</f>
        <v>#NAME?</v>
      </c>
      <c r="BM117" s="2" t="e">
        <f ca="1">_xll.BDH($C$103,"INVENTORY_SEQUENTIAL_GROWTH","FQ4 2016","FQ4 2016","Currency=INR","Period=FQ","BEST_FPERIOD_OVERRIDE=FQ","FILING_STATUS=OR","EQY_CONSOLIDATED=Y","Sort=A","Dates=H","DateFormat=P","Fill=—","Direction=H","UseDPDF=Y")</f>
        <v>#NAME?</v>
      </c>
      <c r="BN117" s="2" t="e">
        <f ca="1">_xll.BDH($C$103,"FIXED_ASSETS_SEQUENTIAL_GROWTH","FQ4 2016","FQ4 2016","Currency=INR","Period=FQ","BEST_FPERIOD_OVERRIDE=FQ","FILING_STATUS=OR","EQY_CONSOLIDATED=Y","Sort=A","Dates=H","DateFormat=P","Fill=—","Direction=H","UseDPDF=Y")</f>
        <v>#NAME?</v>
      </c>
      <c r="BO117" s="2" t="e">
        <f ca="1">_xll.BDH($C$103,"TOTAL_ASSETS_SEQUENTIAL_GROWTH","FQ4 2016","FQ4 2016","Currency=INR","Period=FQ","BEST_FPERIOD_OVERRIDE=FQ","FILING_STATUS=OR","EQY_CONSOLIDATED=Y","Sort=A","Dates=H","DateFormat=P","Fill=—","Direction=H","UseDPDF=Y")</f>
        <v>#NAME?</v>
      </c>
      <c r="BP117" s="2" t="e">
        <f ca="1">_xll.BDH($C$103,"MODIFIED_WORKING_CPTL_SEQ_GRWTH","FQ4 2016","FQ4 2016","Currency=INR","Period=FQ","BEST_FPERIOD_OVERRIDE=FQ","FILING_STATUS=OR","EQY_CONSOLIDATED=Y","Sort=A","Dates=H","DateFormat=P","Fill=—","Direction=H","UseDPDF=Y")</f>
        <v>#NAME?</v>
      </c>
      <c r="BQ117" s="2" t="e">
        <f ca="1">_xll.BDH($C$103,"WORKING_CAPITAL_SEQ_GROWTH","FQ4 2016","FQ4 2016","Currency=INR","Period=FQ","BEST_FPERIOD_OVERRIDE=FQ","FILING_STATUS=OR","EQY_CONSOLIDATED=Y","Sort=A","Dates=H","DateFormat=P","Fill=—","Direction=H","UseDPDF=Y")</f>
        <v>#NAME?</v>
      </c>
      <c r="BR117" s="2" t="e">
        <f ca="1">_xll.BDH($C$103,"ACCOUNTS_PAYABLE_SEQ_GROWTH","FQ4 2016","FQ4 2016","Currency=INR","Period=FQ","BEST_FPERIOD_OVERRIDE=FQ","FILING_STATUS=OR","EQY_CONSOLIDATED=Y","Sort=A","Dates=H","DateFormat=P","Fill=—","Direction=H","UseDPDF=Y")</f>
        <v>#NAME?</v>
      </c>
      <c r="BS117" s="2" t="e">
        <f ca="1">_xll.BDH($C$103,"ST_DEBT_SEQUENTIAL_GROWTH","FQ4 2016","FQ4 2016","Currency=INR","Period=FQ","BEST_FPERIOD_OVERRIDE=FQ","FILING_STATUS=OR","EQY_CONSOLIDATED=Y","Sort=A","Dates=H","DateFormat=P","Fill=—","Direction=H","UseDPDF=Y")</f>
        <v>#NAME?</v>
      </c>
      <c r="BT117" s="2" t="e">
        <f ca="1">_xll.BDH($C$103,"TOTAL_DEBT_SEQUENTIAL_GROWTH","FQ4 2016","FQ4 2016","Currency=INR","Period=FQ","BEST_FPERIOD_OVERRIDE=FQ","FILING_STATUS=OR","EQY_CONSOLIDATED=Y","Sort=A","Dates=H","DateFormat=P","Fill=—","Direction=H","UseDPDF=Y")</f>
        <v>#NAME?</v>
      </c>
      <c r="BU117" s="2" t="e">
        <f ca="1">_xll.BDH($C$103,"TOTAL_EQUITY_SEQUENTIAL_GROWTH","FQ4 2016","FQ4 2016","Currency=INR","Period=FQ","BEST_FPERIOD_OVERRIDE=FQ","FILING_STATUS=OR","EQY_CONSOLIDATED=Y","Sort=A","Dates=H","DateFormat=P","Fill=—","Direction=H","UseDPDF=Y")</f>
        <v>#NAME?</v>
      </c>
      <c r="BV117" s="2" t="e">
        <f ca="1">_xll.BDH($C$103,"TOTAL_CAPITAL_SEQUENTIAL_GROWTH","FQ4 2016","FQ4 2016","Currency=INR","Period=FQ","BEST_FPERIOD_OVERRIDE=FQ","FILING_STATUS=OR","EQY_CONSOLIDATED=Y","Sort=A","Dates=H","DateFormat=P","Fill=—","Direction=H","UseDPDF=Y")</f>
        <v>#NAME?</v>
      </c>
      <c r="BW117" s="2" t="e">
        <f ca="1">_xll.BDH($C$103,"BPS_SEQUENTIAL_GROWTH","FQ4 2016","FQ4 2016","Currency=INR","Period=FQ","BEST_FPERIOD_OVERRIDE=FQ","FILING_STATUS=OR","EQY_CONSOLIDATED=Y","Sort=A","Dates=H","DateFormat=P","Fill=—","Direction=H","UseDPDF=Y")</f>
        <v>#NAME?</v>
      </c>
      <c r="BX117" s="2" t="e">
        <f ca="1">_xll.BDH($C$103,"CFO_SEQUENTIAL_GROWTH","FQ4 2016","FQ4 2016","Currency=INR","Period=FQ","BEST_FPERIOD_OVERRIDE=FQ","FILING_STATUS=OR","EQY_CONSOLIDATED=Y","Sort=A","Dates=H","DateFormat=P","Fill=—","Direction=H","UseDPDF=Y")</f>
        <v>#NAME?</v>
      </c>
      <c r="BY117" s="3" t="e">
        <f ca="1">_xll.BDH($C$103,"SHORT_AND_LONG_TERM_DEBT","FQ4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117" s="3" t="e">
        <f ca="1">_xll.BDH($C$103,"BS_ST_BORROW","FQ4 2016","FQ4 2016","Currency=INR","Period=FQ","BEST_FPERIOD_OVERRIDE=FQ","FILING_STATUS=OR","EQY_CONSOLIDATED=Y","SCALING_FORMAT=MLN","Sort=A","Dates=H","DateFormat=P","Fill=—","Direction=H","UseDPDF=Y")</f>
        <v>#NAME?</v>
      </c>
      <c r="CA117" s="3" t="e">
        <f ca="1">_xll.BDH($C$103,"BS_LT_BORROW","FQ4 2016","FQ4 2016","Currency=INR","Period=FQ","BEST_FPERIOD_OVERRIDE=FQ","FILING_STATUS=OR","EQY_CONSOLIDATED=Y","SCALING_FORMAT=MLN","Sort=A","Dates=H","DateFormat=P","Fill=—","Direction=H","UseDPDF=Y")</f>
        <v>#NAME?</v>
      </c>
      <c r="CB117" s="2" t="e">
        <f ca="1">_xll.BDH($C$103,"TOT_DEBT_TO_EBITDA","FQ4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117" s="2" t="e">
        <f ca="1">_xll.BDH($C$103,"NET_DEBT_TO_EBITDA","FQ4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117" s="2" t="e">
        <f ca="1">_xll.BDH($C$103,"TOTAL_DEBT_TO_EBIT","FQ4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117" s="2" t="e">
        <f ca="1">_xll.BDH($C$103,"NET_DEBT_TO_EBIT","FQ4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117" s="2" t="e">
        <f ca="1">_xll.BDH($C$103,"EBITDA_TO_INTEREST_EXPN","FQ4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117" s="2" t="e">
        <f ca="1">_xll.BDH($C$103,"COM_EQY_TO_TOT_ASSET","FQ4 2016","FQ4 2016","Currency=INR","Period=FQ","BEST_FPERIOD_OVERRIDE=FQ","FILING_STATUS=OR","EQY_CONSOLIDATED=Y","Sort=A","Dates=H","DateFormat=P","Fill=—","Direction=H","UseDPDF=Y")</f>
        <v>#NAME?</v>
      </c>
      <c r="CH117" s="2" t="e">
        <f ca="1">_xll.BDH($C$103,"LT_DEBT_TO_TOT_EQY","FQ4 2016","FQ4 2016","Currency=INR","Period=FQ","BEST_FPERIOD_OVERRIDE=FQ","FILING_STATUS=OR","EQY_CONSOLIDATED=Y","Sort=A","Dates=H","DateFormat=P","Fill=—","Direction=H","UseDPDF=Y")</f>
        <v>#NAME?</v>
      </c>
      <c r="CI117" s="2" t="e">
        <f ca="1">_xll.BDH($C$103,"LT_DEBT_TO_TOT_CAP","FQ4 2016","FQ4 2016","Currency=INR","Period=FQ","BEST_FPERIOD_OVERRIDE=FQ","FILING_STATUS=OR","EQY_CONSOLIDATED=Y","Sort=A","Dates=H","DateFormat=P","Fill=—","Direction=H","UseDPDF=Y")</f>
        <v>#NAME?</v>
      </c>
      <c r="CJ117" s="2" t="e">
        <f ca="1">_xll.BDH($C$103,"LT_DEBT_TO_TOT_ASSET","FQ4 2016","FQ4 2016","Currency=INR","Period=FQ","BEST_FPERIOD_OVERRIDE=FQ","FILING_STATUS=OR","EQY_CONSOLIDATED=Y","Sort=A","Dates=H","DateFormat=P","Fill=—","Direction=H","UseDPDF=Y")</f>
        <v>#NAME?</v>
      </c>
      <c r="CK117" s="2" t="e">
        <f ca="1">_xll.BDH($C$103,"TOT_DEBT_TO_TOT_EQY","FQ4 2016","FQ4 2016","Currency=INR","Period=FQ","BEST_FPERIOD_OVERRIDE=FQ","FILING_STATUS=OR","EQY_CONSOLIDATED=Y","Sort=A","Dates=H","DateFormat=P","Fill=—","Direction=H","UseDPDF=Y")</f>
        <v>#NAME?</v>
      </c>
      <c r="CL117" s="2" t="e">
        <f ca="1">_xll.BDH($C$103,"TOT_DEBT_TO_TOT_CAP","FQ4 2016","FQ4 2016","Currency=INR","Period=FQ","BEST_FPERIOD_OVERRIDE=FQ","FILING_STATUS=OR","EQY_CONSOLIDATED=Y","Sort=A","Dates=H","DateFormat=P","Fill=—","Direction=H","UseDPDF=Y")</f>
        <v>#NAME?</v>
      </c>
      <c r="CM117" s="2" t="e">
        <f ca="1">_xll.BDH($C$103,"TOT_DEBT_TO_TOT_ASSET","FQ4 2016","FQ4 2016","Currency=INR","Period=FQ","BEST_FPERIOD_OVERRIDE=FQ","FILING_STATUS=OR","EQY_CONSOLIDATED=Y","Sort=A","Dates=H","DateFormat=P","Fill=—","Direction=H","UseDPDF=Y")</f>
        <v>#NAME?</v>
      </c>
      <c r="CN117" s="2" t="e">
        <f ca="1">_xll.BDH($C$103,"NET_DEBT_TO_SHRHLDR_EQTY","FQ4 2016","FQ4 2016","Currency=INR","Period=FQ","BEST_FPERIOD_OVERRIDE=FQ","FILING_STATUS=OR","EQY_CONSOLIDATED=Y","Sort=A","Dates=H","DateFormat=P","Fill=—","Direction=H","UseDPDF=Y")</f>
        <v>#NAME?</v>
      </c>
      <c r="CO117" s="2" t="e">
        <f ca="1">_xll.BDH($C$103,"NET_DEBT_%_CAPITAL","FQ4 2016","FQ4 2016","Currency=INR","Period=FQ","BEST_FPERIOD_OVERRIDE=FQ","FILING_STATUS=OR","EQY_CONSOLIDATED=Y","Sort=A","Dates=H","DateFormat=P","Fill=—","Direction=H","UseDPDF=Y")</f>
        <v>#NAME?</v>
      </c>
      <c r="CP117" s="3" t="e">
        <f ca="1">_xll.BDH($C$103,"EBITDA","FQ4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117" s="3" t="e">
        <f ca="1">_xll.BDH($C$103,"EBITDA_AFTER_CAPEX","FQ4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117" s="3" t="e">
        <f ca="1">_xll.BDH($C$103,"IS_OPER_INC","FQ4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117" s="2" t="e">
        <f ca="1">_xll.BDH($C$103,"CASH_RATIO","FQ4 2016","FQ4 2016","Currency=INR","Period=FQ","BEST_FPERIOD_OVERRIDE=FQ","FILING_STATUS=OR","EQY_CONSOLIDATED=Y","Sort=A","Dates=H","DateFormat=P","Fill=—","Direction=H","UseDPDF=Y")</f>
        <v>#NAME?</v>
      </c>
      <c r="CT117" s="2" t="e">
        <f ca="1">_xll.BDH($C$103,"CUR_RATIO","FQ4 2016","FQ4 2016","Currency=INR","Period=FQ","BEST_FPERIOD_OVERRIDE=FQ","FILING_STATUS=OR","EQY_CONSOLIDATED=Y","Sort=A","Dates=H","DateFormat=P","Fill=—","Direction=H","UseDPDF=Y")</f>
        <v>#NAME?</v>
      </c>
      <c r="CU117" s="2" t="e">
        <f ca="1">_xll.BDH($C$103,"QUICK_RATIO","FQ4 2016","FQ4 2016","Currency=INR","Period=FQ","BEST_FPERIOD_OVERRIDE=FQ","FILING_STATUS=OR","EQY_CONSOLIDATED=Y","Sort=A","Dates=H","DateFormat=P","Fill=—","Direction=H","UseDPDF=Y")</f>
        <v>#NAME?</v>
      </c>
      <c r="CV117" s="2" t="e">
        <f ca="1">_xll.BDH($C$103,"ALTMAN_Z_SCORE","FQ4 2016","FQ4 2016","Currency=INR","Period=FQ","BEST_FPERIOD_OVERRIDE=FQ","FILING_STATUS=OR","EQY_CONSOLIDATED=Y","Sort=A","Dates=H","DateFormat=P","Fill=—","Direction=H","UseDPDF=Y")</f>
        <v>#NAME?</v>
      </c>
      <c r="CW117" s="4" t="e">
        <f ca="1">_xll.BDH($C$103,"ACCT_RCV_TURN","FQ4 2016","FQ4 2016","Currency=INR","Period=FQ","BEST_FPERIOD_OVERRIDE=FQ","FILING_STATUS=OR","EQY_CONSOLIDATED=Y","FA_ADJUSTED=GAAP","Sort=A","Dates=H","DateFormat=P","Fill=—","Direction=H","UseDPDF=Y")</f>
        <v>#NAME?</v>
      </c>
      <c r="CX117" s="2" t="e">
        <f ca="1">_xll.BDH($C$103,"ACCT_RCV_DAYS","FQ4 2016","FQ4 2016","Currency=INR","Period=FQ","BEST_FPERIOD_OVERRIDE=FQ","FILING_STATUS=OR","EQY_CONSOLIDATED=Y","FA_ADJUSTED=GAAP","Sort=A","Dates=H","DateFormat=P","Fill=—","Direction=H","UseDPDF=Y")</f>
        <v>#NAME?</v>
      </c>
      <c r="CY117" s="4" t="e">
        <f ca="1">_xll.BDH($C$103,"INVENT_TURN","FQ4 2016","FQ4 2016","Currency=INR","Period=FQ","BEST_FPERIOD_OVERRIDE=FQ","FILING_STATUS=OR","EQY_CONSOLIDATED=Y","FA_ADJUSTED=GAAP","Sort=A","Dates=H","DateFormat=P","Fill=—","Direction=H","UseDPDF=Y")</f>
        <v>#NAME?</v>
      </c>
      <c r="CZ117" s="2" t="e">
        <f ca="1">_xll.BDH($C$103,"INVENT_DAYS","FQ4 2016","FQ4 2016","Currency=INR","Period=FQ","BEST_FPERIOD_OVERRIDE=FQ","FILING_STATUS=OR","EQY_CONSOLIDATED=Y","FA_ADJUSTED=GAAP","Sort=A","Dates=H","DateFormat=P","Fill=—","Direction=H","UseDPDF=Y")</f>
        <v>#NAME?</v>
      </c>
      <c r="DA117" s="4" t="e">
        <f ca="1">_xll.BDH($C$103,"ACCOUNTS_PAYABLE_TURNOVER","FQ4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117" s="2" t="e">
        <f ca="1">_xll.BDH($C$103,"ACCOUNTS_PAYABLE_TURNOVER_DAYS","FQ4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117" s="4" t="e">
        <f ca="1">_xll.BDH($C$103,"CASH_CONVERSION_CYCLE","FQ4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117" s="4" t="e">
        <f ca="1">_xll.BDH($C$103,"INV_TO_CASH_DAYS","FQ4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117" s="5" t="e">
        <f ca="1">_xll.BDH($C$103,"BS_INVENTORIES","FQ4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117" s="3" t="e">
        <f ca="1">_xll.BDH($C$103,"INVTRY_RAW_MATERIALS","FQ4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117" s="3" t="e">
        <f ca="1">_xll.BDH($C$103,"INVTRY_IN_PROGRESS","FQ4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117" s="3" t="e">
        <f ca="1">_xll.BDH($C$103,"INVTRY_FINISHED_GOODS","FQ4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117" s="3" t="e">
        <f ca="1">_xll.BDH($C$103,"BS_OTHER_INV","FQ4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118" spans="1:113" x14ac:dyDescent="0.3">
      <c r="A118" s="6"/>
      <c r="B118" s="6"/>
      <c r="C118" s="6"/>
      <c r="D118" s="6" t="s">
        <v>84</v>
      </c>
      <c r="E118" t="s">
        <v>77</v>
      </c>
      <c r="F118" t="e">
        <f ca="1">_xll.BDH($C$103,"RETURN_COM_EQY","FY 2017","FY 2017","Currency=INR","Period=FY","BEST_FPERIOD_OVERRIDE=FY","FILING_STATUS=OR","EQY_CONSOLIDATED=Y","FA_ADJUSTED=GAAP","Sort=A","Dates=H","DateFormat=P","Fill=—","Direction=H","UseDPDF=Y")</f>
        <v>#NAME?</v>
      </c>
      <c r="G118" t="e">
        <f ca="1">_xll.BDH($C$103,"RETURN_ON_ASSET","FY 2017","FY 2017","Currency=INR","Period=FY","BEST_FPERIOD_OVERRIDE=FY","FILING_STATUS=OR","EQY_CONSOLIDATED=Y","FA_ADJUSTED=GAAP","Sort=A","Dates=H","DateFormat=P","Fill=—","Direction=H","UseDPDF=Y")</f>
        <v>#NAME?</v>
      </c>
      <c r="H118" t="e">
        <f ca="1">_xll.BDH($C$103,"RETURN_ON_CAP","FY 2017","FY 2017","Currency=INR","Period=FY","BEST_FPERIOD_OVERRIDE=FY","FILING_STATUS=OR","EQY_CONSOLIDATED=Y","FA_ADJUSTED=GAAP","Sort=A","Dates=H","DateFormat=P","Fill=—","Direction=H","UseDPDF=Y")</f>
        <v>#NAME?</v>
      </c>
      <c r="I118" t="e">
        <f ca="1">_xll.BDH($C$103,"RETURN_ON_INV_CAPITAL","FY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118" t="e">
        <f ca="1">_xll.BDH($C$103,"EBITDA_TO_REVENUE","FY 2017","FY 2017","Currency=INR","Period=FY","BEST_FPERIOD_OVERRIDE=FY","FILING_STATUS=OR","EQY_CONSOLIDATED=Y","FA_ADJUSTED=GAAP","Sort=A","Dates=H","DateFormat=P","Fill=—","Direction=H","UseDPDF=Y")</f>
        <v>#NAME?</v>
      </c>
      <c r="K118" t="e">
        <f ca="1">_xll.BDH($C$103,"OPER_MARGIN","FY 2017","FY 2017","Currency=INR","Period=FY","BEST_FPERIOD_OVERRIDE=FY","FILING_STATUS=OR","EQY_CONSOLIDATED=Y","FA_ADJUSTED=GAAP","Sort=A","Dates=H","DateFormat=P","Fill=—","Direction=H","UseDPDF=Y")</f>
        <v>#NAME?</v>
      </c>
      <c r="L118" t="e">
        <f ca="1">_xll.BDH($C$103,"INCREMENTAL_OPERATING_MARGIN","FY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118" t="e">
        <f ca="1">_xll.BDH($C$103,"PRETAX_INC_TO_NET_SALES","FY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118" t="e">
        <f ca="1">_xll.BDH($C$103,"INC_BEF_XO_ITEMS_TO_NET_SALES","FY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118" t="e">
        <f ca="1">_xll.BDH($C$103,"PROF_MARGIN","FY 2017","FY 2017","Currency=INR","Period=FY","BEST_FPERIOD_OVERRIDE=FY","FILING_STATUS=OR","EQY_CONSOLIDATED=Y","FA_ADJUSTED=GAAP","Sort=A","Dates=H","DateFormat=P","Fill=—","Direction=H","UseDPDF=Y")</f>
        <v>#NAME?</v>
      </c>
      <c r="P118" t="e">
        <f ca="1">_xll.BDH($C$103,"NET_INCOME_TO_COMMON_MARGIN","FY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118" t="e">
        <f ca="1">_xll.BDH($C$103,"EFF_TAX_RATE","FY 2017","FY 2017","Currency=INR","Period=FY","BEST_FPERIOD_OVERRIDE=FY","FILING_STATUS=OR","EQY_CONSOLIDATED=Y","FA_ADJUSTED=GAAP","Sort=A","Dates=H","DateFormat=P","Fill=—","Direction=H","UseDPDF=Y")</f>
        <v>#NAME?</v>
      </c>
      <c r="R118" t="e">
        <f ca="1">_xll.BDH($C$103,"DVD_PAYOUT_RATIO","FY 2017","FY 2017","Currency=INR","Period=FY","BEST_FPERIOD_OVERRIDE=FY","FILING_STATUS=OR","EQY_CONSOLIDATED=Y","FA_ADJUSTED=GAAP","Sort=A","Dates=H","DateFormat=P","Fill=—","Direction=H","UseDPDF=Y")</f>
        <v>#NAME?</v>
      </c>
      <c r="S118" t="e">
        <f ca="1">_xll.BDH($C$103,"SUSTAIN_GROWTH_RT","FY 2017","FY 2017","Currency=INR","Period=FY","BEST_FPERIOD_OVERRIDE=FY","FILING_STATUS=OR","EQY_CONSOLIDATED=Y","FA_ADJUSTED=GAAP","Sort=A","Dates=H","DateFormat=P","Fill=—","Direction=H","UseDPDF=Y")</f>
        <v>#NAME?</v>
      </c>
      <c r="T118" s="2" t="e">
        <f ca="1">_xll.BDH($C$103,"SALES_GROWTH","FY 2017","FY 2017","Currency=INR","Period=FY","BEST_FPERIOD_OVERRIDE=FY","FILING_STATUS=OR","EQY_CONSOLIDATED=Y","FA_ADJUSTED=GAAP","Sort=A","Dates=H","DateFormat=P","Fill=—","Direction=H","UseDPDF=Y")</f>
        <v>#NAME?</v>
      </c>
      <c r="U118" s="2" t="e">
        <f ca="1">_xll.BDH($C$103,"EBITDA_GROWTH","FY 2017","FY 2017","Currency=INR","Period=FY","BEST_FPERIOD_OVERRIDE=FY","FILING_STATUS=OR","EQY_CONSOLIDATED=Y","FA_ADJUSTED=GAAP","Sort=A","Dates=H","DateFormat=P","Fill=—","Direction=H","UseDPDF=Y")</f>
        <v>#NAME?</v>
      </c>
      <c r="V118" s="2" t="e">
        <f ca="1">_xll.BDH($C$103,"OPER_INC_GROWTH","FY 2017","FY 2017","Currency=INR","Period=FY","BEST_FPERIOD_OVERRIDE=FY","FILING_STATUS=OR","EQY_CONSOLIDATED=Y","FA_ADJUSTED=GAAP","Sort=A","Dates=H","DateFormat=P","Fill=—","Direction=H","UseDPDF=Y")</f>
        <v>#NAME?</v>
      </c>
      <c r="W118" s="2" t="e">
        <f ca="1">_xll.BDH($C$103,"EARN_FOR_COM_GROWTH","FY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118" s="2" t="e">
        <f ca="1">_xll.BDH($C$103,"DILUTED_EPS_AFT_XO_ITEMS_GROWTH","FY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118" s="2" t="e">
        <f ca="1">_xll.BDH($C$103,"DIVIDEND_PER_SHARE_1_YEAR_GROWTH","FY 2017","FY 2017","Currency=INR","Period=FY","BEST_FPERIOD_OVERRIDE=FY","FILING_STATUS=OR","EQY_CONSOLIDATED=Y","Sort=A","Dates=H","DateFormat=P","Fill=—","Direction=H","UseDPDF=Y")</f>
        <v>#NAME?</v>
      </c>
      <c r="Z118" s="2" t="e">
        <f ca="1">_xll.BDH($C$103,"ACCOUNTS_RECEIVABLE_GROWTH","FY 2017","FY 2017","Currency=INR","Period=FY","BEST_FPERIOD_OVERRIDE=FY","FILING_STATUS=OR","EQY_CONSOLIDATED=Y","Sort=A","Dates=H","DateFormat=P","Fill=—","Direction=H","UseDPDF=Y")</f>
        <v>#NAME?</v>
      </c>
      <c r="AA118" s="2" t="e">
        <f ca="1">_xll.BDH($C$103,"INVENTORY_GROWTH","FY 2017","FY 2017","Currency=INR","Period=FY","BEST_FPERIOD_OVERRIDE=FY","FILING_STATUS=OR","EQY_CONSOLIDATED=Y","Sort=A","Dates=H","DateFormat=P","Fill=—","Direction=H","UseDPDF=Y")</f>
        <v>#NAME?</v>
      </c>
      <c r="AB118" s="2" t="e">
        <f ca="1">_xll.BDH($C$103,"NET_FIXED_ASSETS_1_YEAR_GROWTH","FY 2017","FY 2017","Currency=INR","Period=FY","BEST_FPERIOD_OVERRIDE=FY","FILING_STATUS=OR","EQY_CONSOLIDATED=Y","Sort=A","Dates=H","DateFormat=P","Fill=—","Direction=H","UseDPDF=Y")</f>
        <v>#NAME?</v>
      </c>
      <c r="AC118" s="2" t="e">
        <f ca="1">_xll.BDH($C$103,"ASSET_GROWTH","FY 2017","FY 2017","Currency=INR","Period=FY","BEST_FPERIOD_OVERRIDE=FY","FILING_STATUS=OR","EQY_CONSOLIDATED=Y","Sort=A","Dates=H","DateFormat=P","Fill=—","Direction=H","UseDPDF=Y")</f>
        <v>#NAME?</v>
      </c>
      <c r="AD118" s="2" t="e">
        <f ca="1">_xll.BDH($C$103,"MODIFIED_WORK_CAP_GROWTH","FY 2017","FY 2017","Currency=INR","Period=FY","BEST_FPERIOD_OVERRIDE=FY","FILING_STATUS=OR","EQY_CONSOLIDATED=Y","Sort=A","Dates=H","DateFormat=P","Fill=—","Direction=H","UseDPDF=Y")</f>
        <v>#NAME?</v>
      </c>
      <c r="AE118" s="2" t="e">
        <f ca="1">_xll.BDH($C$103,"WORK_CAP_GROWTH","FY 2017","FY 2017","Currency=INR","Period=FY","BEST_FPERIOD_OVERRIDE=FY","FILING_STATUS=OR","EQY_CONSOLIDATED=Y","Sort=A","Dates=H","DateFormat=P","Fill=—","Direction=H","UseDPDF=Y")</f>
        <v>#NAME?</v>
      </c>
      <c r="AF118" s="2" t="e">
        <f ca="1">_xll.BDH($C$103,"ACCOUNTS_PAYABLE_GROWTH_1YR","FY 2017","FY 2017","Currency=INR","Period=FY","BEST_FPERIOD_OVERRIDE=FY","FILING_STATUS=OR","EQY_CONSOLIDATED=Y","Sort=A","Dates=H","DateFormat=P","Fill=—","Direction=H","UseDPDF=Y")</f>
        <v>#NAME?</v>
      </c>
      <c r="AG118" s="2" t="e">
        <f ca="1">_xll.BDH($C$103,"SHORT_TERM_DEBT_1_YEAR_GROWTH","FY 2017","FY 2017","Currency=INR","Period=FY","BEST_FPERIOD_OVERRIDE=FY","FILING_STATUS=OR","EQY_CONSOLIDATED=Y","Sort=A","Dates=H","DateFormat=P","Fill=—","Direction=H","UseDPDF=Y")</f>
        <v>#NAME?</v>
      </c>
      <c r="AH118" s="2" t="e">
        <f ca="1">_xll.BDH($C$103,"TOTAL_DEBT_1_YEAR_GROWTH","FY 2017","FY 2017","Currency=INR","Period=FY","BEST_FPERIOD_OVERRIDE=FY","FILING_STATUS=OR","EQY_CONSOLIDATED=Y","Sort=A","Dates=H","DateFormat=P","Fill=—","Direction=H","UseDPDF=Y")</f>
        <v>#NAME?</v>
      </c>
      <c r="AI118" s="2" t="e">
        <f ca="1">_xll.BDH($C$103,"TOTAL_EQUITY_1_YEAR_GROWTH","FY 2017","FY 2017","Currency=INR","Period=FY","BEST_FPERIOD_OVERRIDE=FY","FILING_STATUS=OR","EQY_CONSOLIDATED=Y","Sort=A","Dates=H","DateFormat=P","Fill=—","Direction=H","UseDPDF=Y")</f>
        <v>#NAME?</v>
      </c>
      <c r="AJ118" s="2" t="e">
        <f ca="1">_xll.BDH($C$103,"GROWTH_IN_CAP","FY 2017","FY 2017","Currency=INR","Period=FY","BEST_FPERIOD_OVERRIDE=FY","FILING_STATUS=OR","EQY_CONSOLIDATED=Y","Sort=A","Dates=H","DateFormat=P","Fill=—","Direction=H","UseDPDF=Y")</f>
        <v>#NAME?</v>
      </c>
      <c r="AK118" s="2" t="e">
        <f ca="1">_xll.BDH($C$103,"BVPS_GROWTH","FY 2017","FY 2017","Currency=INR","Period=FY","BEST_FPERIOD_OVERRIDE=FY","FILING_STATUS=OR","EQY_CONSOLIDATED=Y","Sort=A","Dates=H","DateFormat=P","Fill=—","Direction=H","UseDPDF=Y")</f>
        <v>#NAME?</v>
      </c>
      <c r="AL118" s="2" t="e">
        <f ca="1">_xll.BDH($C$103,"CASH_FLOW_GROWTH","FY 2017","FY 2017","Currency=INR","Period=FY","BEST_FPERIOD_OVERRIDE=FY","FILING_STATUS=OR","EQY_CONSOLIDATED=Y","Sort=A","Dates=H","DateFormat=P","Fill=—","Direction=H","UseDPDF=Y")</f>
        <v>#NAME?</v>
      </c>
      <c r="AM118" s="2" t="e">
        <f ca="1">_xll.BDH($C$103,"GEO_GROW_NET_SALES","FY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118" s="2" t="e">
        <f ca="1">_xll.BDH($C$103,"GEO_GROW_EBITDA","FY 2017","FY 2017","Currency=INR","Period=FY","BEST_FPERIOD_OVERRIDE=FY","FILING_STATUS=OR","EQY_CONSOLIDATED=Y","FA_ADJUSTED=GAAP","Sort=A","Dates=H","DateFormat=P","Fill=—","Direction=H","UseDPDF=Y")</f>
        <v>#NAME?</v>
      </c>
      <c r="AO118" s="2" t="e">
        <f ca="1">_xll.BDH($C$103,"GEO_GROW_OPER_INC","FY 2017","FY 2017","Currency=INR","Period=FY","BEST_FPERIOD_OVERRIDE=FY","FILING_STATUS=OR","EQY_CONSOLIDATED=Y","FA_ADJUSTED=GAAP","Sort=A","Dates=H","DateFormat=P","Fill=—","Direction=H","UseDPDF=Y")</f>
        <v>#NAME?</v>
      </c>
      <c r="AP118" s="2" t="e">
        <f ca="1">_xll.BDH($C$103,"NET_INCOME_TO_COMMON_5_YR_GROWTH","FY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118" s="2" t="e">
        <f ca="1">_xll.BDH($C$103,"5Y_GEO_GROWTH_DILUTED_EPS","FY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118" s="2" t="e">
        <f ca="1">_xll.BDH($C$103,"GEO_GROW_DVD_PER_SH","FY 2017","FY 2017","Currency=INR","Period=FY","BEST_FPERIOD_OVERRIDE=FY","FILING_STATUS=OR","EQY_CONSOLIDATED=Y","Sort=A","Dates=H","DateFormat=P","Fill=—","Direction=H","UseDPDF=Y")</f>
        <v>#NAME?</v>
      </c>
      <c r="AS118" s="2" t="e">
        <f ca="1">_xll.BDH($C$103,"ACCOUNTS_RECEIVABLE_5_YR_GROWTH","FY 2017","FY 2017","Currency=INR","Period=FY","BEST_FPERIOD_OVERRIDE=FY","FILING_STATUS=OR","EQY_CONSOLIDATED=Y","Sort=A","Dates=H","DateFormat=P","Fill=—","Direction=H","UseDPDF=Y")</f>
        <v>#NAME?</v>
      </c>
      <c r="AT118" s="2" t="e">
        <f ca="1">_xll.BDH($C$103,"INVENTORY_5_YEAR_GROWTH","FY 2017","FY 2017","Currency=INR","Period=FY","BEST_FPERIOD_OVERRIDE=FY","FILING_STATUS=OR","EQY_CONSOLIDATED=Y","Sort=A","Dates=H","DateFormat=P","Fill=—","Direction=H","UseDPDF=Y")</f>
        <v>#NAME?</v>
      </c>
      <c r="AU118" s="2" t="e">
        <f ca="1">_xll.BDH($C$103,"NET_FIXED_ASSETS_5_YEAR_GROWTH","FY 2017","FY 2017","Currency=INR","Period=FY","BEST_FPERIOD_OVERRIDE=FY","FILING_STATUS=OR","EQY_CONSOLIDATED=Y","Sort=A","Dates=H","DateFormat=P","Fill=—","Direction=H","UseDPDF=Y")</f>
        <v>#NAME?</v>
      </c>
      <c r="AV118" s="2" t="e">
        <f ca="1">_xll.BDH($C$103,"GEO_GROW_TOT_ASSET","FY 2017","FY 2017","Currency=INR","Period=FY","BEST_FPERIOD_OVERRIDE=FY","FILING_STATUS=OR","EQY_CONSOLIDATED=Y","Sort=A","Dates=H","DateFormat=P","Fill=—","Direction=H","UseDPDF=Y")</f>
        <v>#NAME?</v>
      </c>
      <c r="AW118" s="2" t="e">
        <f ca="1">_xll.BDH($C$103,"MODIFIED_WORKING_CPTL_5YR_GRWTH","FY 2017","FY 2017","Currency=INR","Period=FY","BEST_FPERIOD_OVERRIDE=FY","FILING_STATUS=OR","EQY_CONSOLIDATED=Y","Sort=A","Dates=H","DateFormat=P","Fill=—","Direction=H","UseDPDF=Y")</f>
        <v>#NAME?</v>
      </c>
      <c r="AX118" s="2" t="e">
        <f ca="1">_xll.BDH($C$103,"WORKING_CAPITAL_5_YEAR_GROWTH","FY 2017","FY 2017","Currency=INR","Period=FY","BEST_FPERIOD_OVERRIDE=FY","FILING_STATUS=OR","EQY_CONSOLIDATED=Y","Sort=A","Dates=H","DateFormat=P","Fill=—","Direction=H","UseDPDF=Y")</f>
        <v>#NAME?</v>
      </c>
      <c r="AY118" s="2" t="e">
        <f ca="1">_xll.BDH($C$103,"ACCOUNTS_PAYABLE_5_YEAR_GROWTH","FY 2017","FY 2017","Currency=INR","Period=FY","BEST_FPERIOD_OVERRIDE=FY","FILING_STATUS=OR","EQY_CONSOLIDATED=Y","Sort=A","Dates=H","DateFormat=P","Fill=—","Direction=H","UseDPDF=Y")</f>
        <v>#NAME?</v>
      </c>
      <c r="AZ118" s="2" t="e">
        <f ca="1">_xll.BDH($C$103,"SHORT_TERM_DEBT_5_YEAR_GROWTH","FY 2017","FY 2017","Currency=INR","Period=FY","BEST_FPERIOD_OVERRIDE=FY","FILING_STATUS=OR","EQY_CONSOLIDATED=Y","Sort=A","Dates=H","DateFormat=P","Fill=—","Direction=H","UseDPDF=Y")</f>
        <v>#NAME?</v>
      </c>
      <c r="BA118" s="2" t="e">
        <f ca="1">_xll.BDH($C$103,"TOTAL_DEBT_5_YEAR_GROWTH","FY 2017","FY 2017","Currency=INR","Period=FY","BEST_FPERIOD_OVERRIDE=FY","FILING_STATUS=OR","EQY_CONSOLIDATED=Y","Sort=A","Dates=H","DateFormat=P","Fill=—","Direction=H","UseDPDF=Y")</f>
        <v>#NAME?</v>
      </c>
      <c r="BB118" s="2" t="e">
        <f ca="1">_xll.BDH($C$103,"GEO_GROW_TOT_SHRHLDR_EQY","FY 2017","FY 2017","Currency=INR","Period=FY","BEST_FPERIOD_OVERRIDE=FY","FILING_STATUS=OR","EQY_CONSOLIDATED=Y","Sort=A","Dates=H","DateFormat=P","Fill=—","Direction=H","UseDPDF=Y")</f>
        <v>#NAME?</v>
      </c>
      <c r="BC118" s="2" t="e">
        <f ca="1">_xll.BDH($C$103,"TOTAL_CAPITAL_5_YEAR_GROWTH","FY 2017","FY 2017","Currency=INR","Period=FY","BEST_FPERIOD_OVERRIDE=FY","FILING_STATUS=OR","EQY_CONSOLIDATED=Y","Sort=A","Dates=H","DateFormat=P","Fill=—","Direction=H","UseDPDF=Y")</f>
        <v>#NAME?</v>
      </c>
      <c r="BD118" s="2" t="e">
        <f ca="1">_xll.BDH($C$103,"GEO_GROW_BOOK_VAL","FY 2017","FY 2017","Currency=INR","Period=FY","BEST_FPERIOD_OVERRIDE=FY","FILING_STATUS=OR","EQY_CONSOLIDATED=Y","Sort=A","Dates=H","DateFormat=P","Fill=—","Direction=H","UseDPDF=Y")</f>
        <v>#NAME?</v>
      </c>
      <c r="BE118" s="2" t="e">
        <f ca="1">_xll.BDH($C$103,"GEO_GROW_CASH_OPER_ACT","FY 2017","FY 2017","Currency=INR","Period=FY","BEST_FPERIOD_OVERRIDE=FY","FILING_STATUS=OR","EQY_CONSOLIDATED=Y","Sort=A","Dates=H","DateFormat=P","Fill=—","Direction=H","UseDPDF=Y")</f>
        <v>#NAME?</v>
      </c>
      <c r="BF118" s="2" t="e">
        <f ca="1">_xll.BDH($C$103,"REVENUE_SEQUENTIAL_GROWTH","FY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118" s="2" t="e">
        <f ca="1">_xll.BDH($C$103,"EBITDA_SEQUENTIAL_GROWTH","FY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118" s="2" t="e">
        <f ca="1">_xll.BDH($C$103,"OPERATING_INCOME_SEQ_GROWTH","FY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118" s="2" t="e">
        <f ca="1">_xll.BDH($C$103,"NET_INCOME_TO_COMMON_SEQ_GROWTH","FY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118" s="2" t="e">
        <f ca="1">_xll.BDH($C$103,"EPS_DILUTED_SEQUENTIAL_GROWTH","FY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118" s="2" t="e">
        <f ca="1">_xll.BDH($C$103,"DPS_SEQUENTIAL_GROWTH","FY 2017","FY 2017","Currency=INR","Period=FY","BEST_FPERIOD_OVERRIDE=FY","FILING_STATUS=OR","EQY_CONSOLIDATED=Y","Sort=A","Dates=H","DateFormat=P","Fill=—","Direction=H","UseDPDF=Y")</f>
        <v>#NAME?</v>
      </c>
      <c r="BL118" s="2" t="e">
        <f ca="1">_xll.BDH($C$103,"ACCOUNTS_RECEIVABLE_SEQ_GROWTH","FY 2017","FY 2017","Currency=INR","Period=FY","BEST_FPERIOD_OVERRIDE=FY","FILING_STATUS=OR","EQY_CONSOLIDATED=Y","Sort=A","Dates=H","DateFormat=P","Fill=—","Direction=H","UseDPDF=Y")</f>
        <v>#NAME?</v>
      </c>
      <c r="BM118" s="2" t="e">
        <f ca="1">_xll.BDH($C$103,"INVENTORY_SEQUENTIAL_GROWTH","FY 2017","FY 2017","Currency=INR","Period=FY","BEST_FPERIOD_OVERRIDE=FY","FILING_STATUS=OR","EQY_CONSOLIDATED=Y","Sort=A","Dates=H","DateFormat=P","Fill=—","Direction=H","UseDPDF=Y")</f>
        <v>#NAME?</v>
      </c>
      <c r="BN118" s="2" t="e">
        <f ca="1">_xll.BDH($C$103,"FIXED_ASSETS_SEQUENTIAL_GROWTH","FY 2017","FY 2017","Currency=INR","Period=FY","BEST_FPERIOD_OVERRIDE=FY","FILING_STATUS=OR","EQY_CONSOLIDATED=Y","Sort=A","Dates=H","DateFormat=P","Fill=—","Direction=H","UseDPDF=Y")</f>
        <v>#NAME?</v>
      </c>
      <c r="BO118" s="2" t="e">
        <f ca="1">_xll.BDH($C$103,"TOTAL_ASSETS_SEQUENTIAL_GROWTH","FY 2017","FY 2017","Currency=INR","Period=FY","BEST_FPERIOD_OVERRIDE=FY","FILING_STATUS=OR","EQY_CONSOLIDATED=Y","Sort=A","Dates=H","DateFormat=P","Fill=—","Direction=H","UseDPDF=Y")</f>
        <v>#NAME?</v>
      </c>
      <c r="BP118" s="2" t="e">
        <f ca="1">_xll.BDH($C$103,"MODIFIED_WORKING_CPTL_SEQ_GRWTH","FY 2017","FY 2017","Currency=INR","Period=FY","BEST_FPERIOD_OVERRIDE=FY","FILING_STATUS=OR","EQY_CONSOLIDATED=Y","Sort=A","Dates=H","DateFormat=P","Fill=—","Direction=H","UseDPDF=Y")</f>
        <v>#NAME?</v>
      </c>
      <c r="BQ118" s="2" t="e">
        <f ca="1">_xll.BDH($C$103,"WORKING_CAPITAL_SEQ_GROWTH","FY 2017","FY 2017","Currency=INR","Period=FY","BEST_FPERIOD_OVERRIDE=FY","FILING_STATUS=OR","EQY_CONSOLIDATED=Y","Sort=A","Dates=H","DateFormat=P","Fill=—","Direction=H","UseDPDF=Y")</f>
        <v>#NAME?</v>
      </c>
      <c r="BR118" s="2" t="e">
        <f ca="1">_xll.BDH($C$103,"ACCOUNTS_PAYABLE_SEQ_GROWTH","FY 2017","FY 2017","Currency=INR","Period=FY","BEST_FPERIOD_OVERRIDE=FY","FILING_STATUS=OR","EQY_CONSOLIDATED=Y","Sort=A","Dates=H","DateFormat=P","Fill=—","Direction=H","UseDPDF=Y")</f>
        <v>#NAME?</v>
      </c>
      <c r="BS118" s="2" t="e">
        <f ca="1">_xll.BDH($C$103,"ST_DEBT_SEQUENTIAL_GROWTH","FY 2017","FY 2017","Currency=INR","Period=FY","BEST_FPERIOD_OVERRIDE=FY","FILING_STATUS=OR","EQY_CONSOLIDATED=Y","Sort=A","Dates=H","DateFormat=P","Fill=—","Direction=H","UseDPDF=Y")</f>
        <v>#NAME?</v>
      </c>
      <c r="BT118" s="2" t="e">
        <f ca="1">_xll.BDH($C$103,"TOTAL_DEBT_SEQUENTIAL_GROWTH","FY 2017","FY 2017","Currency=INR","Period=FY","BEST_FPERIOD_OVERRIDE=FY","FILING_STATUS=OR","EQY_CONSOLIDATED=Y","Sort=A","Dates=H","DateFormat=P","Fill=—","Direction=H","UseDPDF=Y")</f>
        <v>#NAME?</v>
      </c>
      <c r="BU118" s="2" t="e">
        <f ca="1">_xll.BDH($C$103,"TOTAL_EQUITY_SEQUENTIAL_GROWTH","FY 2017","FY 2017","Currency=INR","Period=FY","BEST_FPERIOD_OVERRIDE=FY","FILING_STATUS=OR","EQY_CONSOLIDATED=Y","Sort=A","Dates=H","DateFormat=P","Fill=—","Direction=H","UseDPDF=Y")</f>
        <v>#NAME?</v>
      </c>
      <c r="BV118" s="2" t="e">
        <f ca="1">_xll.BDH($C$103,"TOTAL_CAPITAL_SEQUENTIAL_GROWTH","FY 2017","FY 2017","Currency=INR","Period=FY","BEST_FPERIOD_OVERRIDE=FY","FILING_STATUS=OR","EQY_CONSOLIDATED=Y","Sort=A","Dates=H","DateFormat=P","Fill=—","Direction=H","UseDPDF=Y")</f>
        <v>#NAME?</v>
      </c>
      <c r="BW118" s="2" t="e">
        <f ca="1">_xll.BDH($C$103,"BPS_SEQUENTIAL_GROWTH","FY 2017","FY 2017","Currency=INR","Period=FY","BEST_FPERIOD_OVERRIDE=FY","FILING_STATUS=OR","EQY_CONSOLIDATED=Y","Sort=A","Dates=H","DateFormat=P","Fill=—","Direction=H","UseDPDF=Y")</f>
        <v>#NAME?</v>
      </c>
      <c r="BX118" s="2" t="e">
        <f ca="1">_xll.BDH($C$103,"CFO_SEQUENTIAL_GROWTH","FY 2017","FY 2017","Currency=INR","Period=FY","BEST_FPERIOD_OVERRIDE=FY","FILING_STATUS=OR","EQY_CONSOLIDATED=Y","Sort=A","Dates=H","DateFormat=P","Fill=—","Direction=H","UseDPDF=Y")</f>
        <v>#NAME?</v>
      </c>
      <c r="BY118" s="3" t="e">
        <f ca="1">_xll.BDH($C$103,"SHORT_AND_LONG_TERM_DEBT","FY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118" s="3" t="e">
        <f ca="1">_xll.BDH($C$103,"BS_ST_BORROW","FY 2017","FY 2017","Currency=INR","Period=FY","BEST_FPERIOD_OVERRIDE=FY","FILING_STATUS=OR","EQY_CONSOLIDATED=Y","SCALING_FORMAT=MLN","Sort=A","Dates=H","DateFormat=P","Fill=—","Direction=H","UseDPDF=Y")</f>
        <v>#NAME?</v>
      </c>
      <c r="CA118" s="3" t="e">
        <f ca="1">_xll.BDH($C$103,"BS_LT_BORROW","FY 2017","FY 2017","Currency=INR","Period=FY","BEST_FPERIOD_OVERRIDE=FY","FILING_STATUS=OR","EQY_CONSOLIDATED=Y","SCALING_FORMAT=MLN","Sort=A","Dates=H","DateFormat=P","Fill=—","Direction=H","UseDPDF=Y")</f>
        <v>#NAME?</v>
      </c>
      <c r="CB118" s="2" t="e">
        <f ca="1">_xll.BDH($C$103,"TOT_DEBT_TO_EBITDA","FY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118" s="2" t="e">
        <f ca="1">_xll.BDH($C$103,"NET_DEBT_TO_EBITDA","FY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118" s="2" t="e">
        <f ca="1">_xll.BDH($C$103,"TOTAL_DEBT_TO_EBIT","FY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118" s="2" t="e">
        <f ca="1">_xll.BDH($C$103,"NET_DEBT_TO_EBIT","FY 2017","FY 2017","Currency=INR","Period=FY","BEST_FPERIOD_OVERRIDE=FY","FILING_STATUS=OR","EQY_CONSOLIDATED=Y","FA_ADJUSTED=GAAP","Sort=A","Dates=H","DateFormat=P","Fill=—","Direction=H","UseDPDF=Y")</f>
        <v>#NAME?</v>
      </c>
      <c r="CF118" s="2" t="e">
        <f ca="1">_xll.BDH($C$103,"EBITDA_TO_INTEREST_EXPN","FY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118" s="2" t="e">
        <f ca="1">_xll.BDH($C$103,"COM_EQY_TO_TOT_ASSET","FY 2017","FY 2017","Currency=INR","Period=FY","BEST_FPERIOD_OVERRIDE=FY","FILING_STATUS=OR","EQY_CONSOLIDATED=Y","Sort=A","Dates=H","DateFormat=P","Fill=—","Direction=H","UseDPDF=Y")</f>
        <v>#NAME?</v>
      </c>
      <c r="CH118" s="2" t="e">
        <f ca="1">_xll.BDH($C$103,"LT_DEBT_TO_TOT_EQY","FY 2017","FY 2017","Currency=INR","Period=FY","BEST_FPERIOD_OVERRIDE=FY","FILING_STATUS=OR","EQY_CONSOLIDATED=Y","Sort=A","Dates=H","DateFormat=P","Fill=—","Direction=H","UseDPDF=Y")</f>
        <v>#NAME?</v>
      </c>
      <c r="CI118" s="2" t="e">
        <f ca="1">_xll.BDH($C$103,"LT_DEBT_TO_TOT_CAP","FY 2017","FY 2017","Currency=INR","Period=FY","BEST_FPERIOD_OVERRIDE=FY","FILING_STATUS=OR","EQY_CONSOLIDATED=Y","Sort=A","Dates=H","DateFormat=P","Fill=—","Direction=H","UseDPDF=Y")</f>
        <v>#NAME?</v>
      </c>
      <c r="CJ118" s="2" t="e">
        <f ca="1">_xll.BDH($C$103,"LT_DEBT_TO_TOT_ASSET","FY 2017","FY 2017","Currency=INR","Period=FY","BEST_FPERIOD_OVERRIDE=FY","FILING_STATUS=OR","EQY_CONSOLIDATED=Y","Sort=A","Dates=H","DateFormat=P","Fill=—","Direction=H","UseDPDF=Y")</f>
        <v>#NAME?</v>
      </c>
      <c r="CK118" s="2" t="e">
        <f ca="1">_xll.BDH($C$103,"TOT_DEBT_TO_TOT_EQY","FY 2017","FY 2017","Currency=INR","Period=FY","BEST_FPERIOD_OVERRIDE=FY","FILING_STATUS=OR","EQY_CONSOLIDATED=Y","Sort=A","Dates=H","DateFormat=P","Fill=—","Direction=H","UseDPDF=Y")</f>
        <v>#NAME?</v>
      </c>
      <c r="CL118" s="2" t="e">
        <f ca="1">_xll.BDH($C$103,"TOT_DEBT_TO_TOT_CAP","FY 2017","FY 2017","Currency=INR","Period=FY","BEST_FPERIOD_OVERRIDE=FY","FILING_STATUS=OR","EQY_CONSOLIDATED=Y","Sort=A","Dates=H","DateFormat=P","Fill=—","Direction=H","UseDPDF=Y")</f>
        <v>#NAME?</v>
      </c>
      <c r="CM118" s="2" t="e">
        <f ca="1">_xll.BDH($C$103,"TOT_DEBT_TO_TOT_ASSET","FY 2017","FY 2017","Currency=INR","Period=FY","BEST_FPERIOD_OVERRIDE=FY","FILING_STATUS=OR","EQY_CONSOLIDATED=Y","Sort=A","Dates=H","DateFormat=P","Fill=—","Direction=H","UseDPDF=Y")</f>
        <v>#NAME?</v>
      </c>
      <c r="CN118" s="2" t="e">
        <f ca="1">_xll.BDH($C$103,"NET_DEBT_TO_SHRHLDR_EQTY","FY 2017","FY 2017","Currency=INR","Period=FY","BEST_FPERIOD_OVERRIDE=FY","FILING_STATUS=OR","EQY_CONSOLIDATED=Y","Sort=A","Dates=H","DateFormat=P","Fill=—","Direction=H","UseDPDF=Y")</f>
        <v>#NAME?</v>
      </c>
      <c r="CO118" s="2" t="e">
        <f ca="1">_xll.BDH($C$103,"NET_DEBT_%_CAPITAL","FY 2017","FY 2017","Currency=INR","Period=FY","BEST_FPERIOD_OVERRIDE=FY","FILING_STATUS=OR","EQY_CONSOLIDATED=Y","Sort=A","Dates=H","DateFormat=P","Fill=—","Direction=H","UseDPDF=Y")</f>
        <v>#NAME?</v>
      </c>
      <c r="CP118" s="3" t="e">
        <f ca="1">_xll.BDH($C$103,"EBITDA","FY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118" s="3" t="e">
        <f ca="1">_xll.BDH($C$103,"EBITDA_AFTER_CAPEX","FY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118" s="3" t="e">
        <f ca="1">_xll.BDH($C$103,"IS_OPER_INC","FY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118" s="2" t="e">
        <f ca="1">_xll.BDH($C$103,"CASH_RATIO","FY 2017","FY 2017","Currency=INR","Period=FY","BEST_FPERIOD_OVERRIDE=FY","FILING_STATUS=OR","EQY_CONSOLIDATED=Y","Sort=A","Dates=H","DateFormat=P","Fill=—","Direction=H","UseDPDF=Y")</f>
        <v>#NAME?</v>
      </c>
      <c r="CT118" s="2" t="e">
        <f ca="1">_xll.BDH($C$103,"CUR_RATIO","FY 2017","FY 2017","Currency=INR","Period=FY","BEST_FPERIOD_OVERRIDE=FY","FILING_STATUS=OR","EQY_CONSOLIDATED=Y","Sort=A","Dates=H","DateFormat=P","Fill=—","Direction=H","UseDPDF=Y")</f>
        <v>#NAME?</v>
      </c>
      <c r="CU118" s="2" t="e">
        <f ca="1">_xll.BDH($C$103,"QUICK_RATIO","FY 2017","FY 2017","Currency=INR","Period=FY","BEST_FPERIOD_OVERRIDE=FY","FILING_STATUS=OR","EQY_CONSOLIDATED=Y","Sort=A","Dates=H","DateFormat=P","Fill=—","Direction=H","UseDPDF=Y")</f>
        <v>#NAME?</v>
      </c>
      <c r="CV118" s="2" t="e">
        <f ca="1">_xll.BDH($C$103,"ALTMAN_Z_SCORE","FY 2017","FY 2017","Currency=INR","Period=FY","BEST_FPERIOD_OVERRIDE=FY","FILING_STATUS=OR","EQY_CONSOLIDATED=Y","Sort=A","Dates=H","DateFormat=P","Fill=—","Direction=H","UseDPDF=Y")</f>
        <v>#NAME?</v>
      </c>
      <c r="CW118" s="4" t="e">
        <f ca="1">_xll.BDH($C$103,"ACCT_RCV_TURN","FY 2017","FY 2017","Currency=INR","Period=FY","BEST_FPERIOD_OVERRIDE=FY","FILING_STATUS=OR","EQY_CONSOLIDATED=Y","FA_ADJUSTED=GAAP","Sort=A","Dates=H","DateFormat=P","Fill=—","Direction=H","UseDPDF=Y")</f>
        <v>#NAME?</v>
      </c>
      <c r="CX118" s="2" t="e">
        <f ca="1">_xll.BDH($C$103,"ACCT_RCV_DAYS","FY 2017","FY 2017","Currency=INR","Period=FY","BEST_FPERIOD_OVERRIDE=FY","FILING_STATUS=OR","EQY_CONSOLIDATED=Y","FA_ADJUSTED=GAAP","Sort=A","Dates=H","DateFormat=P","Fill=—","Direction=H","UseDPDF=Y")</f>
        <v>#NAME?</v>
      </c>
      <c r="CY118" s="4" t="e">
        <f ca="1">_xll.BDH($C$103,"INVENT_TURN","FY 2017","FY 2017","Currency=INR","Period=FY","BEST_FPERIOD_OVERRIDE=FY","FILING_STATUS=OR","EQY_CONSOLIDATED=Y","FA_ADJUSTED=GAAP","Sort=A","Dates=H","DateFormat=P","Fill=—","Direction=H","UseDPDF=Y")</f>
        <v>#NAME?</v>
      </c>
      <c r="CZ118" s="2" t="e">
        <f ca="1">_xll.BDH($C$103,"INVENT_DAYS","FY 2017","FY 2017","Currency=INR","Period=FY","BEST_FPERIOD_OVERRIDE=FY","FILING_STATUS=OR","EQY_CONSOLIDATED=Y","FA_ADJUSTED=GAAP","Sort=A","Dates=H","DateFormat=P","Fill=—","Direction=H","UseDPDF=Y")</f>
        <v>#NAME?</v>
      </c>
      <c r="DA118" s="4" t="e">
        <f ca="1">_xll.BDH($C$103,"ACCOUNTS_PAYABLE_TURNOVER","FY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118" s="2" t="e">
        <f ca="1">_xll.BDH($C$103,"ACCOUNTS_PAYABLE_TURNOVER_DAYS","FY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118" s="4" t="e">
        <f ca="1">_xll.BDH($C$103,"CASH_CONVERSION_CYCLE","FY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118" s="4" t="e">
        <f ca="1">_xll.BDH($C$103,"INV_TO_CASH_DAYS","FY 2017","FY 2017","Currency=INR","Period=FY","BEST_FPERIOD_OVERRIDE=FY","FILING_STATUS=OR","EQY_CONSOLIDATED=Y","FA_ADJUSTED=GAAP","Sort=A","Dates=H","DateFormat=P","Fill=—","Direction=H","UseDPDF=Y")</f>
        <v>#NAME?</v>
      </c>
      <c r="DE118" s="5" t="e">
        <f ca="1">_xll.BDH($C$103,"BS_INVENTORIES","FY 2017","FY 2017","Currency=INR","Period=FY","BEST_FPERIOD_OVERRIDE=FY","FILING_STATUS=OR","EQY_CONSOLIDATED=Y","SCALING_FORMAT=MLN","Sort=A","Dates=H","DateFormat=P","Fill=—","Direction=H","UseDPDF=Y")</f>
        <v>#NAME?</v>
      </c>
      <c r="DF118" s="3" t="e">
        <f ca="1">_xll.BDH($C$103,"INVTRY_RAW_MATERIALS","FY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118" s="3" t="e">
        <f ca="1">_xll.BDH($C$103,"INVTRY_IN_PROGRESS","FY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118" s="3" t="e">
        <f ca="1">_xll.BDH($C$103,"INVTRY_FINISHED_GOODS","FY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118" s="3" t="e">
        <f ca="1">_xll.BDH($C$103,"BS_OTHER_INV","FY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119" spans="1:113" x14ac:dyDescent="0.3">
      <c r="A119" s="6"/>
      <c r="B119" s="6"/>
      <c r="C119" s="6"/>
      <c r="D119" s="6"/>
      <c r="E119" t="s">
        <v>78</v>
      </c>
      <c r="F119" t="e">
        <f ca="1">_xll.BDH($C$103,"RETURN_COM_EQY","FQ1 2017","FQ1 2017","Currency=INR","Period=FQ","BEST_FPERIOD_OVERRIDE=FQ","FILING_STATUS=OR","EQY_CONSOLIDATED=Y","FA_ADJUSTED=GAAP","Sort=A","Dates=H","DateFormat=P","Fill=—","Direction=H","UseDPDF=Y")</f>
        <v>#NAME?</v>
      </c>
      <c r="G119" t="e">
        <f ca="1">_xll.BDH($C$103,"RETURN_ON_ASSET","FQ1 2017","FQ1 2017","Currency=INR","Period=FQ","BEST_FPERIOD_OVERRIDE=FQ","FILING_STATUS=OR","EQY_CONSOLIDATED=Y","FA_ADJUSTED=GAAP","Sort=A","Dates=H","DateFormat=P","Fill=—","Direction=H","UseDPDF=Y")</f>
        <v>#NAME?</v>
      </c>
      <c r="H119" t="e">
        <f ca="1">_xll.BDH($C$103,"RETURN_ON_CAP","FQ1 2017","FQ1 2017","Currency=INR","Period=FQ","BEST_FPERIOD_OVERRIDE=FQ","FILING_STATUS=OR","EQY_CONSOLIDATED=Y","FA_ADJUSTED=GAAP","Sort=A","Dates=H","DateFormat=P","Fill=—","Direction=H","UseDPDF=Y")</f>
        <v>#NAME?</v>
      </c>
      <c r="I119" t="e">
        <f ca="1">_xll.BDH($C$103,"RETURN_ON_INV_CAPITAL","FQ1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119" t="e">
        <f ca="1">_xll.BDH($C$103,"EBITDA_TO_REVENUE","FQ1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119" t="e">
        <f ca="1">_xll.BDH($C$103,"OPER_MARGIN","FQ1 2017","FQ1 2017","Currency=INR","Period=FQ","BEST_FPERIOD_OVERRIDE=FQ","FILING_STATUS=OR","EQY_CONSOLIDATED=Y","FA_ADJUSTED=GAAP","Sort=A","Dates=H","DateFormat=P","Fill=—","Direction=H","UseDPDF=Y")</f>
        <v>#NAME?</v>
      </c>
      <c r="L119" t="e">
        <f ca="1">_xll.BDH($C$103,"INCREMENTAL_OPERATING_MARGIN","FQ1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119" t="e">
        <f ca="1">_xll.BDH($C$103,"PRETAX_INC_TO_NET_SALES","FQ1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119" t="e">
        <f ca="1">_xll.BDH($C$103,"INC_BEF_XO_ITEMS_TO_NET_SALES","FQ1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119" t="e">
        <f ca="1">_xll.BDH($C$103,"PROF_MARGIN","FQ1 2017","FQ1 2017","Currency=INR","Period=FQ","BEST_FPERIOD_OVERRIDE=FQ","FILING_STATUS=OR","EQY_CONSOLIDATED=Y","FA_ADJUSTED=GAAP","Sort=A","Dates=H","DateFormat=P","Fill=—","Direction=H","UseDPDF=Y")</f>
        <v>#NAME?</v>
      </c>
      <c r="P119" t="e">
        <f ca="1">_xll.BDH($C$103,"NET_INCOME_TO_COMMON_MARGIN","FQ1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119" t="e">
        <f ca="1">_xll.BDH($C$103,"EFF_TAX_RATE","FQ1 2017","FQ1 2017","Currency=INR","Period=FQ","BEST_FPERIOD_OVERRIDE=FQ","FILING_STATUS=OR","EQY_CONSOLIDATED=Y","FA_ADJUSTED=GAAP","Sort=A","Dates=H","DateFormat=P","Fill=—","Direction=H","UseDPDF=Y")</f>
        <v>#NAME?</v>
      </c>
      <c r="R119" t="e">
        <f ca="1">_xll.BDH($C$103,"DVD_PAYOUT_RATIO","FQ1 2017","FQ1 2017","Currency=INR","Period=FQ","BEST_FPERIOD_OVERRIDE=FQ","FILING_STATUS=OR","EQY_CONSOLIDATED=Y","FA_ADJUSTED=GAAP","Sort=A","Dates=H","DateFormat=P","Fill=—","Direction=H","UseDPDF=Y")</f>
        <v>#NAME?</v>
      </c>
      <c r="S119" t="e">
        <f ca="1">_xll.BDH($C$103,"SUSTAIN_GROWTH_RT","FQ1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119" s="2" t="e">
        <f ca="1">_xll.BDH($C$103,"SALES_GROWTH","FQ1 2017","FQ1 2017","Currency=INR","Period=FQ","BEST_FPERIOD_OVERRIDE=FQ","FILING_STATUS=OR","EQY_CONSOLIDATED=Y","FA_ADJUSTED=GAAP","Sort=A","Dates=H","DateFormat=P","Fill=—","Direction=H","UseDPDF=Y")</f>
        <v>#NAME?</v>
      </c>
      <c r="U119" s="2" t="e">
        <f ca="1">_xll.BDH($C$103,"EBITDA_GROWTH","FQ1 2017","FQ1 2017","Currency=INR","Period=FQ","BEST_FPERIOD_OVERRIDE=FQ","FILING_STATUS=OR","EQY_CONSOLIDATED=Y","FA_ADJUSTED=GAAP","Sort=A","Dates=H","DateFormat=P","Fill=—","Direction=H","UseDPDF=Y")</f>
        <v>#NAME?</v>
      </c>
      <c r="V119" s="2" t="e">
        <f ca="1">_xll.BDH($C$103,"OPER_INC_GROWTH","FQ1 2017","FQ1 2017","Currency=INR","Period=FQ","BEST_FPERIOD_OVERRIDE=FQ","FILING_STATUS=OR","EQY_CONSOLIDATED=Y","FA_ADJUSTED=GAAP","Sort=A","Dates=H","DateFormat=P","Fill=—","Direction=H","UseDPDF=Y")</f>
        <v>#NAME?</v>
      </c>
      <c r="W119" s="2" t="e">
        <f ca="1">_xll.BDH($C$103,"EARN_FOR_COM_GROWTH","FQ1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119" s="2" t="e">
        <f ca="1">_xll.BDH($C$103,"DILUTED_EPS_AFT_XO_ITEMS_GROWTH","FQ1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119" s="2" t="e">
        <f ca="1">_xll.BDH($C$103,"DIVIDEND_PER_SHARE_1_YEAR_GROWTH","FQ1 2017","FQ1 2017","Currency=INR","Period=FQ","BEST_FPERIOD_OVERRIDE=FQ","FILING_STATUS=OR","EQY_CONSOLIDATED=Y","Sort=A","Dates=H","DateFormat=P","Fill=—","Direction=H","UseDPDF=Y")</f>
        <v>#NAME?</v>
      </c>
      <c r="Z119" s="2" t="e">
        <f ca="1">_xll.BDH($C$103,"ACCOUNTS_RECEIVABLE_GROWTH","FQ1 2017","FQ1 2017","Currency=INR","Period=FQ","BEST_FPERIOD_OVERRIDE=FQ","FILING_STATUS=OR","EQY_CONSOLIDATED=Y","Sort=A","Dates=H","DateFormat=P","Fill=—","Direction=H","UseDPDF=Y")</f>
        <v>#NAME?</v>
      </c>
      <c r="AA119" s="2" t="e">
        <f ca="1">_xll.BDH($C$103,"INVENTORY_GROWTH","FQ1 2017","FQ1 2017","Currency=INR","Period=FQ","BEST_FPERIOD_OVERRIDE=FQ","FILING_STATUS=OR","EQY_CONSOLIDATED=Y","Sort=A","Dates=H","DateFormat=P","Fill=—","Direction=H","UseDPDF=Y")</f>
        <v>#NAME?</v>
      </c>
      <c r="AB119" s="2" t="e">
        <f ca="1">_xll.BDH($C$103,"NET_FIXED_ASSETS_1_YEAR_GROWTH","FQ1 2017","FQ1 2017","Currency=INR","Period=FQ","BEST_FPERIOD_OVERRIDE=FQ","FILING_STATUS=OR","EQY_CONSOLIDATED=Y","Sort=A","Dates=H","DateFormat=P","Fill=—","Direction=H","UseDPDF=Y")</f>
        <v>#NAME?</v>
      </c>
      <c r="AC119" s="2" t="e">
        <f ca="1">_xll.BDH($C$103,"ASSET_GROWTH","FQ1 2017","FQ1 2017","Currency=INR","Period=FQ","BEST_FPERIOD_OVERRIDE=FQ","FILING_STATUS=OR","EQY_CONSOLIDATED=Y","Sort=A","Dates=H","DateFormat=P","Fill=—","Direction=H","UseDPDF=Y")</f>
        <v>#NAME?</v>
      </c>
      <c r="AD119" s="2" t="e">
        <f ca="1">_xll.BDH($C$103,"MODIFIED_WORK_CAP_GROWTH","FQ1 2017","FQ1 2017","Currency=INR","Period=FQ","BEST_FPERIOD_OVERRIDE=FQ","FILING_STATUS=OR","EQY_CONSOLIDATED=Y","Sort=A","Dates=H","DateFormat=P","Fill=—","Direction=H","UseDPDF=Y")</f>
        <v>#NAME?</v>
      </c>
      <c r="AE119" s="2" t="e">
        <f ca="1">_xll.BDH($C$103,"WORK_CAP_GROWTH","FQ1 2017","FQ1 2017","Currency=INR","Period=FQ","BEST_FPERIOD_OVERRIDE=FQ","FILING_STATUS=OR","EQY_CONSOLIDATED=Y","Sort=A","Dates=H","DateFormat=P","Fill=—","Direction=H","UseDPDF=Y")</f>
        <v>#NAME?</v>
      </c>
      <c r="AF119" s="2" t="e">
        <f ca="1">_xll.BDH($C$103,"ACCOUNTS_PAYABLE_GROWTH_1YR","FQ1 2017","FQ1 2017","Currency=INR","Period=FQ","BEST_FPERIOD_OVERRIDE=FQ","FILING_STATUS=OR","EQY_CONSOLIDATED=Y","Sort=A","Dates=H","DateFormat=P","Fill=—","Direction=H","UseDPDF=Y")</f>
        <v>#NAME?</v>
      </c>
      <c r="AG119" s="2" t="e">
        <f ca="1">_xll.BDH($C$103,"SHORT_TERM_DEBT_1_YEAR_GROWTH","FQ1 2017","FQ1 2017","Currency=INR","Period=FQ","BEST_FPERIOD_OVERRIDE=FQ","FILING_STATUS=OR","EQY_CONSOLIDATED=Y","Sort=A","Dates=H","DateFormat=P","Fill=—","Direction=H","UseDPDF=Y")</f>
        <v>#NAME?</v>
      </c>
      <c r="AH119" s="2" t="e">
        <f ca="1">_xll.BDH($C$103,"TOTAL_DEBT_1_YEAR_GROWTH","FQ1 2017","FQ1 2017","Currency=INR","Period=FQ","BEST_FPERIOD_OVERRIDE=FQ","FILING_STATUS=OR","EQY_CONSOLIDATED=Y","Sort=A","Dates=H","DateFormat=P","Fill=—","Direction=H","UseDPDF=Y")</f>
        <v>#NAME?</v>
      </c>
      <c r="AI119" s="2" t="e">
        <f ca="1">_xll.BDH($C$103,"TOTAL_EQUITY_1_YEAR_GROWTH","FQ1 2017","FQ1 2017","Currency=INR","Period=FQ","BEST_FPERIOD_OVERRIDE=FQ","FILING_STATUS=OR","EQY_CONSOLIDATED=Y","Sort=A","Dates=H","DateFormat=P","Fill=—","Direction=H","UseDPDF=Y")</f>
        <v>#NAME?</v>
      </c>
      <c r="AJ119" s="2" t="e">
        <f ca="1">_xll.BDH($C$103,"GROWTH_IN_CAP","FQ1 2017","FQ1 2017","Currency=INR","Period=FQ","BEST_FPERIOD_OVERRIDE=FQ","FILING_STATUS=OR","EQY_CONSOLIDATED=Y","Sort=A","Dates=H","DateFormat=P","Fill=—","Direction=H","UseDPDF=Y")</f>
        <v>#NAME?</v>
      </c>
      <c r="AK119" s="2" t="e">
        <f ca="1">_xll.BDH($C$103,"BVPS_GROWTH","FQ1 2017","FQ1 2017","Currency=INR","Period=FQ","BEST_FPERIOD_OVERRIDE=FQ","FILING_STATUS=OR","EQY_CONSOLIDATED=Y","Sort=A","Dates=H","DateFormat=P","Fill=—","Direction=H","UseDPDF=Y")</f>
        <v>#NAME?</v>
      </c>
      <c r="AL119" s="2" t="e">
        <f ca="1">_xll.BDH($C$103,"CASH_FLOW_GROWTH","FQ1 2017","FQ1 2017","Currency=INR","Period=FQ","BEST_FPERIOD_OVERRIDE=FQ","FILING_STATUS=OR","EQY_CONSOLIDATED=Y","Sort=A","Dates=H","DateFormat=P","Fill=—","Direction=H","UseDPDF=Y")</f>
        <v>#NAME?</v>
      </c>
      <c r="AM119" s="2" t="e">
        <f ca="1">_xll.BDH($C$103,"GEO_GROW_NET_SALES","FQ1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119" s="2" t="e">
        <f ca="1">_xll.BDH($C$103,"GEO_GROW_EBITDA","FQ1 2017","FQ1 2017","Currency=INR","Period=FQ","BEST_FPERIOD_OVERRIDE=FQ","FILING_STATUS=OR","EQY_CONSOLIDATED=Y","FA_ADJUSTED=GAAP","Sort=A","Dates=H","DateFormat=P","Fill=—","Direction=H","UseDPDF=Y")</f>
        <v>#NAME?</v>
      </c>
      <c r="AO119" s="2" t="e">
        <f ca="1">_xll.BDH($C$103,"GEO_GROW_OPER_INC","FQ1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119" s="2" t="e">
        <f ca="1">_xll.BDH($C$103,"NET_INCOME_TO_COMMON_5_YR_GROWTH","FQ1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119" s="2" t="e">
        <f ca="1">_xll.BDH($C$103,"5Y_GEO_GROWTH_DILUTED_EPS","FQ1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119" s="2" t="e">
        <f ca="1">_xll.BDH($C$103,"GEO_GROW_DVD_PER_SH","FQ1 2017","FQ1 2017","Currency=INR","Period=FQ","BEST_FPERIOD_OVERRIDE=FQ","FILING_STATUS=OR","EQY_CONSOLIDATED=Y","Sort=A","Dates=H","DateFormat=P","Fill=—","Direction=H","UseDPDF=Y")</f>
        <v>#NAME?</v>
      </c>
      <c r="AS119" s="2" t="e">
        <f ca="1">_xll.BDH($C$103,"ACCOUNTS_RECEIVABLE_5_YR_GROWTH","FQ1 2017","FQ1 2017","Currency=INR","Period=FQ","BEST_FPERIOD_OVERRIDE=FQ","FILING_STATUS=OR","EQY_CONSOLIDATED=Y","Sort=A","Dates=H","DateFormat=P","Fill=—","Direction=H","UseDPDF=Y")</f>
        <v>#NAME?</v>
      </c>
      <c r="AT119" s="2" t="e">
        <f ca="1">_xll.BDH($C$103,"INVENTORY_5_YEAR_GROWTH","FQ1 2017","FQ1 2017","Currency=INR","Period=FQ","BEST_FPERIOD_OVERRIDE=FQ","FILING_STATUS=OR","EQY_CONSOLIDATED=Y","Sort=A","Dates=H","DateFormat=P","Fill=—","Direction=H","UseDPDF=Y")</f>
        <v>#NAME?</v>
      </c>
      <c r="AU119" s="2" t="e">
        <f ca="1">_xll.BDH($C$103,"NET_FIXED_ASSETS_5_YEAR_GROWTH","FQ1 2017","FQ1 2017","Currency=INR","Period=FQ","BEST_FPERIOD_OVERRIDE=FQ","FILING_STATUS=OR","EQY_CONSOLIDATED=Y","Sort=A","Dates=H","DateFormat=P","Fill=—","Direction=H","UseDPDF=Y")</f>
        <v>#NAME?</v>
      </c>
      <c r="AV119" s="2" t="e">
        <f ca="1">_xll.BDH($C$103,"GEO_GROW_TOT_ASSET","FQ1 2017","FQ1 2017","Currency=INR","Period=FQ","BEST_FPERIOD_OVERRIDE=FQ","FILING_STATUS=OR","EQY_CONSOLIDATED=Y","Sort=A","Dates=H","DateFormat=P","Fill=—","Direction=H","UseDPDF=Y")</f>
        <v>#NAME?</v>
      </c>
      <c r="AW119" s="2" t="e">
        <f ca="1">_xll.BDH($C$103,"MODIFIED_WORKING_CPTL_5YR_GRWTH","FQ1 2017","FQ1 2017","Currency=INR","Period=FQ","BEST_FPERIOD_OVERRIDE=FQ","FILING_STATUS=OR","EQY_CONSOLIDATED=Y","Sort=A","Dates=H","DateFormat=P","Fill=—","Direction=H","UseDPDF=Y")</f>
        <v>#NAME?</v>
      </c>
      <c r="AX119" s="2" t="e">
        <f ca="1">_xll.BDH($C$103,"WORKING_CAPITAL_5_YEAR_GROWTH","FQ1 2017","FQ1 2017","Currency=INR","Period=FQ","BEST_FPERIOD_OVERRIDE=FQ","FILING_STATUS=OR","EQY_CONSOLIDATED=Y","Sort=A","Dates=H","DateFormat=P","Fill=—","Direction=H","UseDPDF=Y")</f>
        <v>#NAME?</v>
      </c>
      <c r="AY119" s="2" t="e">
        <f ca="1">_xll.BDH($C$103,"ACCOUNTS_PAYABLE_5_YEAR_GROWTH","FQ1 2017","FQ1 2017","Currency=INR","Period=FQ","BEST_FPERIOD_OVERRIDE=FQ","FILING_STATUS=OR","EQY_CONSOLIDATED=Y","Sort=A","Dates=H","DateFormat=P","Fill=—","Direction=H","UseDPDF=Y")</f>
        <v>#NAME?</v>
      </c>
      <c r="AZ119" s="2" t="e">
        <f ca="1">_xll.BDH($C$103,"SHORT_TERM_DEBT_5_YEAR_GROWTH","FQ1 2017","FQ1 2017","Currency=INR","Period=FQ","BEST_FPERIOD_OVERRIDE=FQ","FILING_STATUS=OR","EQY_CONSOLIDATED=Y","Sort=A","Dates=H","DateFormat=P","Fill=—","Direction=H","UseDPDF=Y")</f>
        <v>#NAME?</v>
      </c>
      <c r="BA119" s="2" t="e">
        <f ca="1">_xll.BDH($C$103,"TOTAL_DEBT_5_YEAR_GROWTH","FQ1 2017","FQ1 2017","Currency=INR","Period=FQ","BEST_FPERIOD_OVERRIDE=FQ","FILING_STATUS=OR","EQY_CONSOLIDATED=Y","Sort=A","Dates=H","DateFormat=P","Fill=—","Direction=H","UseDPDF=Y")</f>
        <v>#NAME?</v>
      </c>
      <c r="BB119" s="2" t="e">
        <f ca="1">_xll.BDH($C$103,"GEO_GROW_TOT_SHRHLDR_EQY","FQ1 2017","FQ1 2017","Currency=INR","Period=FQ","BEST_FPERIOD_OVERRIDE=FQ","FILING_STATUS=OR","EQY_CONSOLIDATED=Y","Sort=A","Dates=H","DateFormat=P","Fill=—","Direction=H","UseDPDF=Y")</f>
        <v>#NAME?</v>
      </c>
      <c r="BC119" s="2" t="e">
        <f ca="1">_xll.BDH($C$103,"TOTAL_CAPITAL_5_YEAR_GROWTH","FQ1 2017","FQ1 2017","Currency=INR","Period=FQ","BEST_FPERIOD_OVERRIDE=FQ","FILING_STATUS=OR","EQY_CONSOLIDATED=Y","Sort=A","Dates=H","DateFormat=P","Fill=—","Direction=H","UseDPDF=Y")</f>
        <v>#NAME?</v>
      </c>
      <c r="BD119" s="2" t="e">
        <f ca="1">_xll.BDH($C$103,"GEO_GROW_BOOK_VAL","FQ1 2017","FQ1 2017","Currency=INR","Period=FQ","BEST_FPERIOD_OVERRIDE=FQ","FILING_STATUS=OR","EQY_CONSOLIDATED=Y","Sort=A","Dates=H","DateFormat=P","Fill=—","Direction=H","UseDPDF=Y")</f>
        <v>#NAME?</v>
      </c>
      <c r="BE119" s="2" t="e">
        <f ca="1">_xll.BDH($C$103,"GEO_GROW_CASH_OPER_ACT","FQ1 2017","FQ1 2017","Currency=INR","Period=FQ","BEST_FPERIOD_OVERRIDE=FQ","FILING_STATUS=OR","EQY_CONSOLIDATED=Y","Sort=A","Dates=H","DateFormat=P","Fill=—","Direction=H","UseDPDF=Y")</f>
        <v>#NAME?</v>
      </c>
      <c r="BF119" s="2" t="e">
        <f ca="1">_xll.BDH($C$103,"REVENUE_SEQUENTIAL_GROWTH","FQ1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119" s="2" t="e">
        <f ca="1">_xll.BDH($C$103,"EBITDA_SEQUENTIAL_GROWTH","FQ1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119" s="2" t="e">
        <f ca="1">_xll.BDH($C$103,"OPERATING_INCOME_SEQ_GROWTH","FQ1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119" s="2" t="e">
        <f ca="1">_xll.BDH($C$103,"NET_INCOME_TO_COMMON_SEQ_GROWTH","FQ1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119" s="2" t="e">
        <f ca="1">_xll.BDH($C$103,"EPS_DILUTED_SEQUENTIAL_GROWTH","FQ1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119" s="2" t="e">
        <f ca="1">_xll.BDH($C$103,"DPS_SEQUENTIAL_GROWTH","FQ1 2017","FQ1 2017","Currency=INR","Period=FQ","BEST_FPERIOD_OVERRIDE=FQ","FILING_STATUS=OR","EQY_CONSOLIDATED=Y","Sort=A","Dates=H","DateFormat=P","Fill=—","Direction=H","UseDPDF=Y")</f>
        <v>#NAME?</v>
      </c>
      <c r="BL119" s="2" t="e">
        <f ca="1">_xll.BDH($C$103,"ACCOUNTS_RECEIVABLE_SEQ_GROWTH","FQ1 2017","FQ1 2017","Currency=INR","Period=FQ","BEST_FPERIOD_OVERRIDE=FQ","FILING_STATUS=OR","EQY_CONSOLIDATED=Y","Sort=A","Dates=H","DateFormat=P","Fill=—","Direction=H","UseDPDF=Y")</f>
        <v>#NAME?</v>
      </c>
      <c r="BM119" s="2" t="e">
        <f ca="1">_xll.BDH($C$103,"INVENTORY_SEQUENTIAL_GROWTH","FQ1 2017","FQ1 2017","Currency=INR","Period=FQ","BEST_FPERIOD_OVERRIDE=FQ","FILING_STATUS=OR","EQY_CONSOLIDATED=Y","Sort=A","Dates=H","DateFormat=P","Fill=—","Direction=H","UseDPDF=Y")</f>
        <v>#NAME?</v>
      </c>
      <c r="BN119" s="2" t="e">
        <f ca="1">_xll.BDH($C$103,"FIXED_ASSETS_SEQUENTIAL_GROWTH","FQ1 2017","FQ1 2017","Currency=INR","Period=FQ","BEST_FPERIOD_OVERRIDE=FQ","FILING_STATUS=OR","EQY_CONSOLIDATED=Y","Sort=A","Dates=H","DateFormat=P","Fill=—","Direction=H","UseDPDF=Y")</f>
        <v>#NAME?</v>
      </c>
      <c r="BO119" s="2" t="e">
        <f ca="1">_xll.BDH($C$103,"TOTAL_ASSETS_SEQUENTIAL_GROWTH","FQ1 2017","FQ1 2017","Currency=INR","Period=FQ","BEST_FPERIOD_OVERRIDE=FQ","FILING_STATUS=OR","EQY_CONSOLIDATED=Y","Sort=A","Dates=H","DateFormat=P","Fill=—","Direction=H","UseDPDF=Y")</f>
        <v>#NAME?</v>
      </c>
      <c r="BP119" s="2" t="e">
        <f ca="1">_xll.BDH($C$103,"MODIFIED_WORKING_CPTL_SEQ_GRWTH","FQ1 2017","FQ1 2017","Currency=INR","Period=FQ","BEST_FPERIOD_OVERRIDE=FQ","FILING_STATUS=OR","EQY_CONSOLIDATED=Y","Sort=A","Dates=H","DateFormat=P","Fill=—","Direction=H","UseDPDF=Y")</f>
        <v>#NAME?</v>
      </c>
      <c r="BQ119" s="2" t="e">
        <f ca="1">_xll.BDH($C$103,"WORKING_CAPITAL_SEQ_GROWTH","FQ1 2017","FQ1 2017","Currency=INR","Period=FQ","BEST_FPERIOD_OVERRIDE=FQ","FILING_STATUS=OR","EQY_CONSOLIDATED=Y","Sort=A","Dates=H","DateFormat=P","Fill=—","Direction=H","UseDPDF=Y")</f>
        <v>#NAME?</v>
      </c>
      <c r="BR119" s="2" t="e">
        <f ca="1">_xll.BDH($C$103,"ACCOUNTS_PAYABLE_SEQ_GROWTH","FQ1 2017","FQ1 2017","Currency=INR","Period=FQ","BEST_FPERIOD_OVERRIDE=FQ","FILING_STATUS=OR","EQY_CONSOLIDATED=Y","Sort=A","Dates=H","DateFormat=P","Fill=—","Direction=H","UseDPDF=Y")</f>
        <v>#NAME?</v>
      </c>
      <c r="BS119" s="2" t="e">
        <f ca="1">_xll.BDH($C$103,"ST_DEBT_SEQUENTIAL_GROWTH","FQ1 2017","FQ1 2017","Currency=INR","Period=FQ","BEST_FPERIOD_OVERRIDE=FQ","FILING_STATUS=OR","EQY_CONSOLIDATED=Y","Sort=A","Dates=H","DateFormat=P","Fill=—","Direction=H","UseDPDF=Y")</f>
        <v>#NAME?</v>
      </c>
      <c r="BT119" s="2" t="e">
        <f ca="1">_xll.BDH($C$103,"TOTAL_DEBT_SEQUENTIAL_GROWTH","FQ1 2017","FQ1 2017","Currency=INR","Period=FQ","BEST_FPERIOD_OVERRIDE=FQ","FILING_STATUS=OR","EQY_CONSOLIDATED=Y","Sort=A","Dates=H","DateFormat=P","Fill=—","Direction=H","UseDPDF=Y")</f>
        <v>#NAME?</v>
      </c>
      <c r="BU119" s="2" t="e">
        <f ca="1">_xll.BDH($C$103,"TOTAL_EQUITY_SEQUENTIAL_GROWTH","FQ1 2017","FQ1 2017","Currency=INR","Period=FQ","BEST_FPERIOD_OVERRIDE=FQ","FILING_STATUS=OR","EQY_CONSOLIDATED=Y","Sort=A","Dates=H","DateFormat=P","Fill=—","Direction=H","UseDPDF=Y")</f>
        <v>#NAME?</v>
      </c>
      <c r="BV119" s="2" t="e">
        <f ca="1">_xll.BDH($C$103,"TOTAL_CAPITAL_SEQUENTIAL_GROWTH","FQ1 2017","FQ1 2017","Currency=INR","Period=FQ","BEST_FPERIOD_OVERRIDE=FQ","FILING_STATUS=OR","EQY_CONSOLIDATED=Y","Sort=A","Dates=H","DateFormat=P","Fill=—","Direction=H","UseDPDF=Y")</f>
        <v>#NAME?</v>
      </c>
      <c r="BW119" s="2" t="e">
        <f ca="1">_xll.BDH($C$103,"BPS_SEQUENTIAL_GROWTH","FQ1 2017","FQ1 2017","Currency=INR","Period=FQ","BEST_FPERIOD_OVERRIDE=FQ","FILING_STATUS=OR","EQY_CONSOLIDATED=Y","Sort=A","Dates=H","DateFormat=P","Fill=—","Direction=H","UseDPDF=Y")</f>
        <v>#NAME?</v>
      </c>
      <c r="BX119" s="2" t="e">
        <f ca="1">_xll.BDH($C$103,"CFO_SEQUENTIAL_GROWTH","FQ1 2017","FQ1 2017","Currency=INR","Period=FQ","BEST_FPERIOD_OVERRIDE=FQ","FILING_STATUS=OR","EQY_CONSOLIDATED=Y","Sort=A","Dates=H","DateFormat=P","Fill=—","Direction=H","UseDPDF=Y")</f>
        <v>#NAME?</v>
      </c>
      <c r="BY119" s="3" t="e">
        <f ca="1">_xll.BDH($C$103,"SHORT_AND_LONG_TERM_DEBT","FQ1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119" s="3" t="e">
        <f ca="1">_xll.BDH($C$103,"BS_ST_BORROW","FQ1 2017","FQ1 2017","Currency=INR","Period=FQ","BEST_FPERIOD_OVERRIDE=FQ","FILING_STATUS=OR","EQY_CONSOLIDATED=Y","SCALING_FORMAT=MLN","Sort=A","Dates=H","DateFormat=P","Fill=—","Direction=H","UseDPDF=Y")</f>
        <v>#NAME?</v>
      </c>
      <c r="CA119" s="3" t="e">
        <f ca="1">_xll.BDH($C$103,"BS_LT_BORROW","FQ1 2017","FQ1 2017","Currency=INR","Period=FQ","BEST_FPERIOD_OVERRIDE=FQ","FILING_STATUS=OR","EQY_CONSOLIDATED=Y","SCALING_FORMAT=MLN","Sort=A","Dates=H","DateFormat=P","Fill=—","Direction=H","UseDPDF=Y")</f>
        <v>#NAME?</v>
      </c>
      <c r="CB119" s="2" t="e">
        <f ca="1">_xll.BDH($C$103,"TOT_DEBT_TO_EBITDA","FQ1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119" s="2" t="e">
        <f ca="1">_xll.BDH($C$103,"NET_DEBT_TO_EBITDA","FQ1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119" s="2" t="e">
        <f ca="1">_xll.BDH($C$103,"TOTAL_DEBT_TO_EBIT","FQ1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119" s="2" t="e">
        <f ca="1">_xll.BDH($C$103,"NET_DEBT_TO_EBIT","FQ1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119" s="2" t="e">
        <f ca="1">_xll.BDH($C$103,"EBITDA_TO_INTEREST_EXPN","FQ1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119" s="2" t="e">
        <f ca="1">_xll.BDH($C$103,"COM_EQY_TO_TOT_ASSET","FQ1 2017","FQ1 2017","Currency=INR","Period=FQ","BEST_FPERIOD_OVERRIDE=FQ","FILING_STATUS=OR","EQY_CONSOLIDATED=Y","Sort=A","Dates=H","DateFormat=P","Fill=—","Direction=H","UseDPDF=Y")</f>
        <v>#NAME?</v>
      </c>
      <c r="CH119" s="2" t="e">
        <f ca="1">_xll.BDH($C$103,"LT_DEBT_TO_TOT_EQY","FQ1 2017","FQ1 2017","Currency=INR","Period=FQ","BEST_FPERIOD_OVERRIDE=FQ","FILING_STATUS=OR","EQY_CONSOLIDATED=Y","Sort=A","Dates=H","DateFormat=P","Fill=—","Direction=H","UseDPDF=Y")</f>
        <v>#NAME?</v>
      </c>
      <c r="CI119" s="2" t="e">
        <f ca="1">_xll.BDH($C$103,"LT_DEBT_TO_TOT_CAP","FQ1 2017","FQ1 2017","Currency=INR","Period=FQ","BEST_FPERIOD_OVERRIDE=FQ","FILING_STATUS=OR","EQY_CONSOLIDATED=Y","Sort=A","Dates=H","DateFormat=P","Fill=—","Direction=H","UseDPDF=Y")</f>
        <v>#NAME?</v>
      </c>
      <c r="CJ119" s="2" t="e">
        <f ca="1">_xll.BDH($C$103,"LT_DEBT_TO_TOT_ASSET","FQ1 2017","FQ1 2017","Currency=INR","Period=FQ","BEST_FPERIOD_OVERRIDE=FQ","FILING_STATUS=OR","EQY_CONSOLIDATED=Y","Sort=A","Dates=H","DateFormat=P","Fill=—","Direction=H","UseDPDF=Y")</f>
        <v>#NAME?</v>
      </c>
      <c r="CK119" s="2" t="e">
        <f ca="1">_xll.BDH($C$103,"TOT_DEBT_TO_TOT_EQY","FQ1 2017","FQ1 2017","Currency=INR","Period=FQ","BEST_FPERIOD_OVERRIDE=FQ","FILING_STATUS=OR","EQY_CONSOLIDATED=Y","Sort=A","Dates=H","DateFormat=P","Fill=—","Direction=H","UseDPDF=Y")</f>
        <v>#NAME?</v>
      </c>
      <c r="CL119" s="2" t="e">
        <f ca="1">_xll.BDH($C$103,"TOT_DEBT_TO_TOT_CAP","FQ1 2017","FQ1 2017","Currency=INR","Period=FQ","BEST_FPERIOD_OVERRIDE=FQ","FILING_STATUS=OR","EQY_CONSOLIDATED=Y","Sort=A","Dates=H","DateFormat=P","Fill=—","Direction=H","UseDPDF=Y")</f>
        <v>#NAME?</v>
      </c>
      <c r="CM119" s="2" t="e">
        <f ca="1">_xll.BDH($C$103,"TOT_DEBT_TO_TOT_ASSET","FQ1 2017","FQ1 2017","Currency=INR","Period=FQ","BEST_FPERIOD_OVERRIDE=FQ","FILING_STATUS=OR","EQY_CONSOLIDATED=Y","Sort=A","Dates=H","DateFormat=P","Fill=—","Direction=H","UseDPDF=Y")</f>
        <v>#NAME?</v>
      </c>
      <c r="CN119" s="2" t="e">
        <f ca="1">_xll.BDH($C$103,"NET_DEBT_TO_SHRHLDR_EQTY","FQ1 2017","FQ1 2017","Currency=INR","Period=FQ","BEST_FPERIOD_OVERRIDE=FQ","FILING_STATUS=OR","EQY_CONSOLIDATED=Y","Sort=A","Dates=H","DateFormat=P","Fill=—","Direction=H","UseDPDF=Y")</f>
        <v>#NAME?</v>
      </c>
      <c r="CO119" s="2" t="e">
        <f ca="1">_xll.BDH($C$103,"NET_DEBT_%_CAPITAL","FQ1 2017","FQ1 2017","Currency=INR","Period=FQ","BEST_FPERIOD_OVERRIDE=FQ","FILING_STATUS=OR","EQY_CONSOLIDATED=Y","Sort=A","Dates=H","DateFormat=P","Fill=—","Direction=H","UseDPDF=Y")</f>
        <v>#NAME?</v>
      </c>
      <c r="CP119" s="3" t="e">
        <f ca="1">_xll.BDH($C$103,"EBITDA","FQ1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119" s="3" t="e">
        <f ca="1">_xll.BDH($C$103,"EBITDA_AFTER_CAPEX","FQ1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119" s="3" t="e">
        <f ca="1">_xll.BDH($C$103,"IS_OPER_INC","FQ1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119" s="2" t="e">
        <f ca="1">_xll.BDH($C$103,"CASH_RATIO","FQ1 2017","FQ1 2017","Currency=INR","Period=FQ","BEST_FPERIOD_OVERRIDE=FQ","FILING_STATUS=OR","EQY_CONSOLIDATED=Y","Sort=A","Dates=H","DateFormat=P","Fill=—","Direction=H","UseDPDF=Y")</f>
        <v>#NAME?</v>
      </c>
      <c r="CT119" s="2" t="e">
        <f ca="1">_xll.BDH($C$103,"CUR_RATIO","FQ1 2017","FQ1 2017","Currency=INR","Period=FQ","BEST_FPERIOD_OVERRIDE=FQ","FILING_STATUS=OR","EQY_CONSOLIDATED=Y","Sort=A","Dates=H","DateFormat=P","Fill=—","Direction=H","UseDPDF=Y")</f>
        <v>#NAME?</v>
      </c>
      <c r="CU119" s="2" t="e">
        <f ca="1">_xll.BDH($C$103,"QUICK_RATIO","FQ1 2017","FQ1 2017","Currency=INR","Period=FQ","BEST_FPERIOD_OVERRIDE=FQ","FILING_STATUS=OR","EQY_CONSOLIDATED=Y","Sort=A","Dates=H","DateFormat=P","Fill=—","Direction=H","UseDPDF=Y")</f>
        <v>#NAME?</v>
      </c>
      <c r="CV119" s="2" t="e">
        <f ca="1">_xll.BDH($C$103,"ALTMAN_Z_SCORE","FQ1 2017","FQ1 2017","Currency=INR","Period=FQ","BEST_FPERIOD_OVERRIDE=FQ","FILING_STATUS=OR","EQY_CONSOLIDATED=Y","Sort=A","Dates=H","DateFormat=P","Fill=—","Direction=H","UseDPDF=Y")</f>
        <v>#NAME?</v>
      </c>
      <c r="CW119" s="4" t="e">
        <f ca="1">_xll.BDH($C$103,"ACCT_RCV_TURN","FQ1 2017","FQ1 2017","Currency=INR","Period=FQ","BEST_FPERIOD_OVERRIDE=FQ","FILING_STATUS=OR","EQY_CONSOLIDATED=Y","FA_ADJUSTED=GAAP","Sort=A","Dates=H","DateFormat=P","Fill=—","Direction=H","UseDPDF=Y")</f>
        <v>#NAME?</v>
      </c>
      <c r="CX119" s="2" t="e">
        <f ca="1">_xll.BDH($C$103,"ACCT_RCV_DAYS","FQ1 2017","FQ1 2017","Currency=INR","Period=FQ","BEST_FPERIOD_OVERRIDE=FQ","FILING_STATUS=OR","EQY_CONSOLIDATED=Y","FA_ADJUSTED=GAAP","Sort=A","Dates=H","DateFormat=P","Fill=—","Direction=H","UseDPDF=Y")</f>
        <v>#NAME?</v>
      </c>
      <c r="CY119" s="4" t="e">
        <f ca="1">_xll.BDH($C$103,"INVENT_TURN","FQ1 2017","FQ1 2017","Currency=INR","Period=FQ","BEST_FPERIOD_OVERRIDE=FQ","FILING_STATUS=OR","EQY_CONSOLIDATED=Y","FA_ADJUSTED=GAAP","Sort=A","Dates=H","DateFormat=P","Fill=—","Direction=H","UseDPDF=Y")</f>
        <v>#NAME?</v>
      </c>
      <c r="CZ119" s="2" t="e">
        <f ca="1">_xll.BDH($C$103,"INVENT_DAYS","FQ1 2017","FQ1 2017","Currency=INR","Period=FQ","BEST_FPERIOD_OVERRIDE=FQ","FILING_STATUS=OR","EQY_CONSOLIDATED=Y","FA_ADJUSTED=GAAP","Sort=A","Dates=H","DateFormat=P","Fill=—","Direction=H","UseDPDF=Y")</f>
        <v>#NAME?</v>
      </c>
      <c r="DA119" s="4" t="e">
        <f ca="1">_xll.BDH($C$103,"ACCOUNTS_PAYABLE_TURNOVER","FQ1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119" s="2" t="e">
        <f ca="1">_xll.BDH($C$103,"ACCOUNTS_PAYABLE_TURNOVER_DAYS","FQ1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119" s="4" t="e">
        <f ca="1">_xll.BDH($C$103,"CASH_CONVERSION_CYCLE","FQ1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119" s="4" t="e">
        <f ca="1">_xll.BDH($C$103,"INV_TO_CASH_DAYS","FQ1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119" s="5" t="e">
        <f ca="1">_xll.BDH($C$103,"BS_INVENTORIES","FQ1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119" s="3" t="e">
        <f ca="1">_xll.BDH($C$103,"INVTRY_RAW_MATERIALS","FQ1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119" s="3" t="e">
        <f ca="1">_xll.BDH($C$103,"INVTRY_IN_PROGRESS","FQ1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119" s="3" t="e">
        <f ca="1">_xll.BDH($C$103,"INVTRY_FINISHED_GOODS","FQ1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119" s="3" t="e">
        <f ca="1">_xll.BDH($C$103,"BS_OTHER_INV","FQ1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120" spans="1:113" x14ac:dyDescent="0.3">
      <c r="A120" s="6"/>
      <c r="B120" s="6"/>
      <c r="C120" s="6"/>
      <c r="D120" s="6"/>
      <c r="E120" t="s">
        <v>79</v>
      </c>
      <c r="F120" t="e">
        <f ca="1">_xll.BDH($C$103,"RETURN_COM_EQY","FQ2 2017","FQ2 2017","Currency=INR","Period=FQ","BEST_FPERIOD_OVERRIDE=FQ","FILING_STATUS=OR","EQY_CONSOLIDATED=Y","FA_ADJUSTED=GAAP","Sort=A","Dates=H","DateFormat=P","Fill=—","Direction=H","UseDPDF=Y")</f>
        <v>#NAME?</v>
      </c>
      <c r="G120" t="e">
        <f ca="1">_xll.BDH($C$103,"RETURN_ON_ASSET","FQ2 2017","FQ2 2017","Currency=INR","Period=FQ","BEST_FPERIOD_OVERRIDE=FQ","FILING_STATUS=OR","EQY_CONSOLIDATED=Y","FA_ADJUSTED=GAAP","Sort=A","Dates=H","DateFormat=P","Fill=—","Direction=H","UseDPDF=Y")</f>
        <v>#NAME?</v>
      </c>
      <c r="H120" t="e">
        <f ca="1">_xll.BDH($C$103,"RETURN_ON_CAP","FQ2 2017","FQ2 2017","Currency=INR","Period=FQ","BEST_FPERIOD_OVERRIDE=FQ","FILING_STATUS=OR","EQY_CONSOLIDATED=Y","FA_ADJUSTED=GAAP","Sort=A","Dates=H","DateFormat=P","Fill=—","Direction=H","UseDPDF=Y")</f>
        <v>#NAME?</v>
      </c>
      <c r="I120" t="e">
        <f ca="1">_xll.BDH($C$103,"RETURN_ON_INV_CAPITAL","FQ2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120" t="e">
        <f ca="1">_xll.BDH($C$103,"EBITDA_TO_REVENUE","FQ2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120" t="e">
        <f ca="1">_xll.BDH($C$103,"OPER_MARGIN","FQ2 2017","FQ2 2017","Currency=INR","Period=FQ","BEST_FPERIOD_OVERRIDE=FQ","FILING_STATUS=OR","EQY_CONSOLIDATED=Y","FA_ADJUSTED=GAAP","Sort=A","Dates=H","DateFormat=P","Fill=—","Direction=H","UseDPDF=Y")</f>
        <v>#NAME?</v>
      </c>
      <c r="L120" t="e">
        <f ca="1">_xll.BDH($C$103,"INCREMENTAL_OPERATING_MARGIN","FQ2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120" t="e">
        <f ca="1">_xll.BDH($C$103,"PRETAX_INC_TO_NET_SALES","FQ2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120" t="e">
        <f ca="1">_xll.BDH($C$103,"INC_BEF_XO_ITEMS_TO_NET_SALES","FQ2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120" t="e">
        <f ca="1">_xll.BDH($C$103,"PROF_MARGIN","FQ2 2017","FQ2 2017","Currency=INR","Period=FQ","BEST_FPERIOD_OVERRIDE=FQ","FILING_STATUS=OR","EQY_CONSOLIDATED=Y","FA_ADJUSTED=GAAP","Sort=A","Dates=H","DateFormat=P","Fill=—","Direction=H","UseDPDF=Y")</f>
        <v>#NAME?</v>
      </c>
      <c r="P120" t="e">
        <f ca="1">_xll.BDH($C$103,"NET_INCOME_TO_COMMON_MARGIN","FQ2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120" t="e">
        <f ca="1">_xll.BDH($C$103,"EFF_TAX_RATE","FQ2 2017","FQ2 2017","Currency=INR","Period=FQ","BEST_FPERIOD_OVERRIDE=FQ","FILING_STATUS=OR","EQY_CONSOLIDATED=Y","FA_ADJUSTED=GAAP","Sort=A","Dates=H","DateFormat=P","Fill=—","Direction=H","UseDPDF=Y")</f>
        <v>#NAME?</v>
      </c>
      <c r="R120" t="e">
        <f ca="1">_xll.BDH($C$103,"DVD_PAYOUT_RATIO","FQ2 2017","FQ2 2017","Currency=INR","Period=FQ","BEST_FPERIOD_OVERRIDE=FQ","FILING_STATUS=OR","EQY_CONSOLIDATED=Y","FA_ADJUSTED=GAAP","Sort=A","Dates=H","DateFormat=P","Fill=—","Direction=H","UseDPDF=Y")</f>
        <v>#NAME?</v>
      </c>
      <c r="S120" t="e">
        <f ca="1">_xll.BDH($C$103,"SUSTAIN_GROWTH_RT","FQ2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120" s="2" t="e">
        <f ca="1">_xll.BDH($C$103,"SALES_GROWTH","FQ2 2017","FQ2 2017","Currency=INR","Period=FQ","BEST_FPERIOD_OVERRIDE=FQ","FILING_STATUS=OR","EQY_CONSOLIDATED=Y","FA_ADJUSTED=GAAP","Sort=A","Dates=H","DateFormat=P","Fill=—","Direction=H","UseDPDF=Y")</f>
        <v>#NAME?</v>
      </c>
      <c r="U120" s="2" t="e">
        <f ca="1">_xll.BDH($C$103,"EBITDA_GROWTH","FQ2 2017","FQ2 2017","Currency=INR","Period=FQ","BEST_FPERIOD_OVERRIDE=FQ","FILING_STATUS=OR","EQY_CONSOLIDATED=Y","FA_ADJUSTED=GAAP","Sort=A","Dates=H","DateFormat=P","Fill=—","Direction=H","UseDPDF=Y")</f>
        <v>#NAME?</v>
      </c>
      <c r="V120" s="2" t="e">
        <f ca="1">_xll.BDH($C$103,"OPER_INC_GROWTH","FQ2 2017","FQ2 2017","Currency=INR","Period=FQ","BEST_FPERIOD_OVERRIDE=FQ","FILING_STATUS=OR","EQY_CONSOLIDATED=Y","FA_ADJUSTED=GAAP","Sort=A","Dates=H","DateFormat=P","Fill=—","Direction=H","UseDPDF=Y")</f>
        <v>#NAME?</v>
      </c>
      <c r="W120" s="2" t="e">
        <f ca="1">_xll.BDH($C$103,"EARN_FOR_COM_GROWTH","FQ2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120" s="2" t="e">
        <f ca="1">_xll.BDH($C$103,"DILUTED_EPS_AFT_XO_ITEMS_GROWTH","FQ2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120" s="2" t="e">
        <f ca="1">_xll.BDH($C$103,"DIVIDEND_PER_SHARE_1_YEAR_GROWTH","FQ2 2017","FQ2 2017","Currency=INR","Period=FQ","BEST_FPERIOD_OVERRIDE=FQ","FILING_STATUS=OR","EQY_CONSOLIDATED=Y","Sort=A","Dates=H","DateFormat=P","Fill=—","Direction=H","UseDPDF=Y")</f>
        <v>#NAME?</v>
      </c>
      <c r="Z120" s="2" t="e">
        <f ca="1">_xll.BDH($C$103,"ACCOUNTS_RECEIVABLE_GROWTH","FQ2 2017","FQ2 2017","Currency=INR","Period=FQ","BEST_FPERIOD_OVERRIDE=FQ","FILING_STATUS=OR","EQY_CONSOLIDATED=Y","Sort=A","Dates=H","DateFormat=P","Fill=—","Direction=H","UseDPDF=Y")</f>
        <v>#NAME?</v>
      </c>
      <c r="AA120" s="2" t="e">
        <f ca="1">_xll.BDH($C$103,"INVENTORY_GROWTH","FQ2 2017","FQ2 2017","Currency=INR","Period=FQ","BEST_FPERIOD_OVERRIDE=FQ","FILING_STATUS=OR","EQY_CONSOLIDATED=Y","Sort=A","Dates=H","DateFormat=P","Fill=—","Direction=H","UseDPDF=Y")</f>
        <v>#NAME?</v>
      </c>
      <c r="AB120" s="2" t="e">
        <f ca="1">_xll.BDH($C$103,"NET_FIXED_ASSETS_1_YEAR_GROWTH","FQ2 2017","FQ2 2017","Currency=INR","Period=FQ","BEST_FPERIOD_OVERRIDE=FQ","FILING_STATUS=OR","EQY_CONSOLIDATED=Y","Sort=A","Dates=H","DateFormat=P","Fill=—","Direction=H","UseDPDF=Y")</f>
        <v>#NAME?</v>
      </c>
      <c r="AC120" s="2" t="e">
        <f ca="1">_xll.BDH($C$103,"ASSET_GROWTH","FQ2 2017","FQ2 2017","Currency=INR","Period=FQ","BEST_FPERIOD_OVERRIDE=FQ","FILING_STATUS=OR","EQY_CONSOLIDATED=Y","Sort=A","Dates=H","DateFormat=P","Fill=—","Direction=H","UseDPDF=Y")</f>
        <v>#NAME?</v>
      </c>
      <c r="AD120" s="2" t="e">
        <f ca="1">_xll.BDH($C$103,"MODIFIED_WORK_CAP_GROWTH","FQ2 2017","FQ2 2017","Currency=INR","Period=FQ","BEST_FPERIOD_OVERRIDE=FQ","FILING_STATUS=OR","EQY_CONSOLIDATED=Y","Sort=A","Dates=H","DateFormat=P","Fill=—","Direction=H","UseDPDF=Y")</f>
        <v>#NAME?</v>
      </c>
      <c r="AE120" s="2" t="e">
        <f ca="1">_xll.BDH($C$103,"WORK_CAP_GROWTH","FQ2 2017","FQ2 2017","Currency=INR","Period=FQ","BEST_FPERIOD_OVERRIDE=FQ","FILING_STATUS=OR","EQY_CONSOLIDATED=Y","Sort=A","Dates=H","DateFormat=P","Fill=—","Direction=H","UseDPDF=Y")</f>
        <v>#NAME?</v>
      </c>
      <c r="AF120" s="2" t="e">
        <f ca="1">_xll.BDH($C$103,"ACCOUNTS_PAYABLE_GROWTH_1YR","FQ2 2017","FQ2 2017","Currency=INR","Period=FQ","BEST_FPERIOD_OVERRIDE=FQ","FILING_STATUS=OR","EQY_CONSOLIDATED=Y","Sort=A","Dates=H","DateFormat=P","Fill=—","Direction=H","UseDPDF=Y")</f>
        <v>#NAME?</v>
      </c>
      <c r="AG120" s="2" t="e">
        <f ca="1">_xll.BDH($C$103,"SHORT_TERM_DEBT_1_YEAR_GROWTH","FQ2 2017","FQ2 2017","Currency=INR","Period=FQ","BEST_FPERIOD_OVERRIDE=FQ","FILING_STATUS=OR","EQY_CONSOLIDATED=Y","Sort=A","Dates=H","DateFormat=P","Fill=—","Direction=H","UseDPDF=Y")</f>
        <v>#NAME?</v>
      </c>
      <c r="AH120" s="2" t="e">
        <f ca="1">_xll.BDH($C$103,"TOTAL_DEBT_1_YEAR_GROWTH","FQ2 2017","FQ2 2017","Currency=INR","Period=FQ","BEST_FPERIOD_OVERRIDE=FQ","FILING_STATUS=OR","EQY_CONSOLIDATED=Y","Sort=A","Dates=H","DateFormat=P","Fill=—","Direction=H","UseDPDF=Y")</f>
        <v>#NAME?</v>
      </c>
      <c r="AI120" s="2" t="e">
        <f ca="1">_xll.BDH($C$103,"TOTAL_EQUITY_1_YEAR_GROWTH","FQ2 2017","FQ2 2017","Currency=INR","Period=FQ","BEST_FPERIOD_OVERRIDE=FQ","FILING_STATUS=OR","EQY_CONSOLIDATED=Y","Sort=A","Dates=H","DateFormat=P","Fill=—","Direction=H","UseDPDF=Y")</f>
        <v>#NAME?</v>
      </c>
      <c r="AJ120" s="2" t="e">
        <f ca="1">_xll.BDH($C$103,"GROWTH_IN_CAP","FQ2 2017","FQ2 2017","Currency=INR","Period=FQ","BEST_FPERIOD_OVERRIDE=FQ","FILING_STATUS=OR","EQY_CONSOLIDATED=Y","Sort=A","Dates=H","DateFormat=P","Fill=—","Direction=H","UseDPDF=Y")</f>
        <v>#NAME?</v>
      </c>
      <c r="AK120" s="2" t="e">
        <f ca="1">_xll.BDH($C$103,"BVPS_GROWTH","FQ2 2017","FQ2 2017","Currency=INR","Period=FQ","BEST_FPERIOD_OVERRIDE=FQ","FILING_STATUS=OR","EQY_CONSOLIDATED=Y","Sort=A","Dates=H","DateFormat=P","Fill=—","Direction=H","UseDPDF=Y")</f>
        <v>#NAME?</v>
      </c>
      <c r="AL120" s="2" t="e">
        <f ca="1">_xll.BDH($C$103,"CASH_FLOW_GROWTH","FQ2 2017","FQ2 2017","Currency=INR","Period=FQ","BEST_FPERIOD_OVERRIDE=FQ","FILING_STATUS=OR","EQY_CONSOLIDATED=Y","Sort=A","Dates=H","DateFormat=P","Fill=—","Direction=H","UseDPDF=Y")</f>
        <v>#NAME?</v>
      </c>
      <c r="AM120" s="2" t="e">
        <f ca="1">_xll.BDH($C$103,"GEO_GROW_NET_SALES","FQ2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120" s="2" t="e">
        <f ca="1">_xll.BDH($C$103,"GEO_GROW_EBITDA","FQ2 2017","FQ2 2017","Currency=INR","Period=FQ","BEST_FPERIOD_OVERRIDE=FQ","FILING_STATUS=OR","EQY_CONSOLIDATED=Y","FA_ADJUSTED=GAAP","Sort=A","Dates=H","DateFormat=P","Fill=—","Direction=H","UseDPDF=Y")</f>
        <v>#NAME?</v>
      </c>
      <c r="AO120" s="2" t="e">
        <f ca="1">_xll.BDH($C$103,"GEO_GROW_OPER_INC","FQ2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120" s="2" t="e">
        <f ca="1">_xll.BDH($C$103,"NET_INCOME_TO_COMMON_5_YR_GROWTH","FQ2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120" s="2" t="e">
        <f ca="1">_xll.BDH($C$103,"5Y_GEO_GROWTH_DILUTED_EPS","FQ2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120" s="2" t="e">
        <f ca="1">_xll.BDH($C$103,"GEO_GROW_DVD_PER_SH","FQ2 2017","FQ2 2017","Currency=INR","Period=FQ","BEST_FPERIOD_OVERRIDE=FQ","FILING_STATUS=OR","EQY_CONSOLIDATED=Y","Sort=A","Dates=H","DateFormat=P","Fill=—","Direction=H","UseDPDF=Y")</f>
        <v>#NAME?</v>
      </c>
      <c r="AS120" s="2" t="e">
        <f ca="1">_xll.BDH($C$103,"ACCOUNTS_RECEIVABLE_5_YR_GROWTH","FQ2 2017","FQ2 2017","Currency=INR","Period=FQ","BEST_FPERIOD_OVERRIDE=FQ","FILING_STATUS=OR","EQY_CONSOLIDATED=Y","Sort=A","Dates=H","DateFormat=P","Fill=—","Direction=H","UseDPDF=Y")</f>
        <v>#NAME?</v>
      </c>
      <c r="AT120" s="2" t="e">
        <f ca="1">_xll.BDH($C$103,"INVENTORY_5_YEAR_GROWTH","FQ2 2017","FQ2 2017","Currency=INR","Period=FQ","BEST_FPERIOD_OVERRIDE=FQ","FILING_STATUS=OR","EQY_CONSOLIDATED=Y","Sort=A","Dates=H","DateFormat=P","Fill=—","Direction=H","UseDPDF=Y")</f>
        <v>#NAME?</v>
      </c>
      <c r="AU120" s="2" t="e">
        <f ca="1">_xll.BDH($C$103,"NET_FIXED_ASSETS_5_YEAR_GROWTH","FQ2 2017","FQ2 2017","Currency=INR","Period=FQ","BEST_FPERIOD_OVERRIDE=FQ","FILING_STATUS=OR","EQY_CONSOLIDATED=Y","Sort=A","Dates=H","DateFormat=P","Fill=—","Direction=H","UseDPDF=Y")</f>
        <v>#NAME?</v>
      </c>
      <c r="AV120" s="2" t="e">
        <f ca="1">_xll.BDH($C$103,"GEO_GROW_TOT_ASSET","FQ2 2017","FQ2 2017","Currency=INR","Period=FQ","BEST_FPERIOD_OVERRIDE=FQ","FILING_STATUS=OR","EQY_CONSOLIDATED=Y","Sort=A","Dates=H","DateFormat=P","Fill=—","Direction=H","UseDPDF=Y")</f>
        <v>#NAME?</v>
      </c>
      <c r="AW120" s="2" t="e">
        <f ca="1">_xll.BDH($C$103,"MODIFIED_WORKING_CPTL_5YR_GRWTH","FQ2 2017","FQ2 2017","Currency=INR","Period=FQ","BEST_FPERIOD_OVERRIDE=FQ","FILING_STATUS=OR","EQY_CONSOLIDATED=Y","Sort=A","Dates=H","DateFormat=P","Fill=—","Direction=H","UseDPDF=Y")</f>
        <v>#NAME?</v>
      </c>
      <c r="AX120" s="2" t="e">
        <f ca="1">_xll.BDH($C$103,"WORKING_CAPITAL_5_YEAR_GROWTH","FQ2 2017","FQ2 2017","Currency=INR","Period=FQ","BEST_FPERIOD_OVERRIDE=FQ","FILING_STATUS=OR","EQY_CONSOLIDATED=Y","Sort=A","Dates=H","DateFormat=P","Fill=—","Direction=H","UseDPDF=Y")</f>
        <v>#NAME?</v>
      </c>
      <c r="AY120" s="2" t="e">
        <f ca="1">_xll.BDH($C$103,"ACCOUNTS_PAYABLE_5_YEAR_GROWTH","FQ2 2017","FQ2 2017","Currency=INR","Period=FQ","BEST_FPERIOD_OVERRIDE=FQ","FILING_STATUS=OR","EQY_CONSOLIDATED=Y","Sort=A","Dates=H","DateFormat=P","Fill=—","Direction=H","UseDPDF=Y")</f>
        <v>#NAME?</v>
      </c>
      <c r="AZ120" s="2" t="e">
        <f ca="1">_xll.BDH($C$103,"SHORT_TERM_DEBT_5_YEAR_GROWTH","FQ2 2017","FQ2 2017","Currency=INR","Period=FQ","BEST_FPERIOD_OVERRIDE=FQ","FILING_STATUS=OR","EQY_CONSOLIDATED=Y","Sort=A","Dates=H","DateFormat=P","Fill=—","Direction=H","UseDPDF=Y")</f>
        <v>#NAME?</v>
      </c>
      <c r="BA120" s="2" t="e">
        <f ca="1">_xll.BDH($C$103,"TOTAL_DEBT_5_YEAR_GROWTH","FQ2 2017","FQ2 2017","Currency=INR","Period=FQ","BEST_FPERIOD_OVERRIDE=FQ","FILING_STATUS=OR","EQY_CONSOLIDATED=Y","Sort=A","Dates=H","DateFormat=P","Fill=—","Direction=H","UseDPDF=Y")</f>
        <v>#NAME?</v>
      </c>
      <c r="BB120" s="2" t="e">
        <f ca="1">_xll.BDH($C$103,"GEO_GROW_TOT_SHRHLDR_EQY","FQ2 2017","FQ2 2017","Currency=INR","Period=FQ","BEST_FPERIOD_OVERRIDE=FQ","FILING_STATUS=OR","EQY_CONSOLIDATED=Y","Sort=A","Dates=H","DateFormat=P","Fill=—","Direction=H","UseDPDF=Y")</f>
        <v>#NAME?</v>
      </c>
      <c r="BC120" s="2" t="e">
        <f ca="1">_xll.BDH($C$103,"TOTAL_CAPITAL_5_YEAR_GROWTH","FQ2 2017","FQ2 2017","Currency=INR","Period=FQ","BEST_FPERIOD_OVERRIDE=FQ","FILING_STATUS=OR","EQY_CONSOLIDATED=Y","Sort=A","Dates=H","DateFormat=P","Fill=—","Direction=H","UseDPDF=Y")</f>
        <v>#NAME?</v>
      </c>
      <c r="BD120" s="2" t="e">
        <f ca="1">_xll.BDH($C$103,"GEO_GROW_BOOK_VAL","FQ2 2017","FQ2 2017","Currency=INR","Period=FQ","BEST_FPERIOD_OVERRIDE=FQ","FILING_STATUS=OR","EQY_CONSOLIDATED=Y","Sort=A","Dates=H","DateFormat=P","Fill=—","Direction=H","UseDPDF=Y")</f>
        <v>#NAME?</v>
      </c>
      <c r="BE120" s="2" t="e">
        <f ca="1">_xll.BDH($C$103,"GEO_GROW_CASH_OPER_ACT","FQ2 2017","FQ2 2017","Currency=INR","Period=FQ","BEST_FPERIOD_OVERRIDE=FQ","FILING_STATUS=OR","EQY_CONSOLIDATED=Y","Sort=A","Dates=H","DateFormat=P","Fill=—","Direction=H","UseDPDF=Y")</f>
        <v>#NAME?</v>
      </c>
      <c r="BF120" s="2" t="e">
        <f ca="1">_xll.BDH($C$103,"REVENUE_SEQUENTIAL_GROWTH","FQ2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120" s="2" t="e">
        <f ca="1">_xll.BDH($C$103,"EBITDA_SEQUENTIAL_GROWTH","FQ2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120" s="2" t="e">
        <f ca="1">_xll.BDH($C$103,"OPERATING_INCOME_SEQ_GROWTH","FQ2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120" s="2" t="e">
        <f ca="1">_xll.BDH($C$103,"NET_INCOME_TO_COMMON_SEQ_GROWTH","FQ2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120" s="2" t="e">
        <f ca="1">_xll.BDH($C$103,"EPS_DILUTED_SEQUENTIAL_GROWTH","FQ2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120" s="2" t="e">
        <f ca="1">_xll.BDH($C$103,"DPS_SEQUENTIAL_GROWTH","FQ2 2017","FQ2 2017","Currency=INR","Period=FQ","BEST_FPERIOD_OVERRIDE=FQ","FILING_STATUS=OR","EQY_CONSOLIDATED=Y","Sort=A","Dates=H","DateFormat=P","Fill=—","Direction=H","UseDPDF=Y")</f>
        <v>#NAME?</v>
      </c>
      <c r="BL120" s="2" t="e">
        <f ca="1">_xll.BDH($C$103,"ACCOUNTS_RECEIVABLE_SEQ_GROWTH","FQ2 2017","FQ2 2017","Currency=INR","Period=FQ","BEST_FPERIOD_OVERRIDE=FQ","FILING_STATUS=OR","EQY_CONSOLIDATED=Y","Sort=A","Dates=H","DateFormat=P","Fill=—","Direction=H","UseDPDF=Y")</f>
        <v>#NAME?</v>
      </c>
      <c r="BM120" s="2" t="e">
        <f ca="1">_xll.BDH($C$103,"INVENTORY_SEQUENTIAL_GROWTH","FQ2 2017","FQ2 2017","Currency=INR","Period=FQ","BEST_FPERIOD_OVERRIDE=FQ","FILING_STATUS=OR","EQY_CONSOLIDATED=Y","Sort=A","Dates=H","DateFormat=P","Fill=—","Direction=H","UseDPDF=Y")</f>
        <v>#NAME?</v>
      </c>
      <c r="BN120" s="2" t="e">
        <f ca="1">_xll.BDH($C$103,"FIXED_ASSETS_SEQUENTIAL_GROWTH","FQ2 2017","FQ2 2017","Currency=INR","Period=FQ","BEST_FPERIOD_OVERRIDE=FQ","FILING_STATUS=OR","EQY_CONSOLIDATED=Y","Sort=A","Dates=H","DateFormat=P","Fill=—","Direction=H","UseDPDF=Y")</f>
        <v>#NAME?</v>
      </c>
      <c r="BO120" s="2" t="e">
        <f ca="1">_xll.BDH($C$103,"TOTAL_ASSETS_SEQUENTIAL_GROWTH","FQ2 2017","FQ2 2017","Currency=INR","Period=FQ","BEST_FPERIOD_OVERRIDE=FQ","FILING_STATUS=OR","EQY_CONSOLIDATED=Y","Sort=A","Dates=H","DateFormat=P","Fill=—","Direction=H","UseDPDF=Y")</f>
        <v>#NAME?</v>
      </c>
      <c r="BP120" s="2" t="e">
        <f ca="1">_xll.BDH($C$103,"MODIFIED_WORKING_CPTL_SEQ_GRWTH","FQ2 2017","FQ2 2017","Currency=INR","Period=FQ","BEST_FPERIOD_OVERRIDE=FQ","FILING_STATUS=OR","EQY_CONSOLIDATED=Y","Sort=A","Dates=H","DateFormat=P","Fill=—","Direction=H","UseDPDF=Y")</f>
        <v>#NAME?</v>
      </c>
      <c r="BQ120" s="2" t="e">
        <f ca="1">_xll.BDH($C$103,"WORKING_CAPITAL_SEQ_GROWTH","FQ2 2017","FQ2 2017","Currency=INR","Period=FQ","BEST_FPERIOD_OVERRIDE=FQ","FILING_STATUS=OR","EQY_CONSOLIDATED=Y","Sort=A","Dates=H","DateFormat=P","Fill=—","Direction=H","UseDPDF=Y")</f>
        <v>#NAME?</v>
      </c>
      <c r="BR120" s="2" t="e">
        <f ca="1">_xll.BDH($C$103,"ACCOUNTS_PAYABLE_SEQ_GROWTH","FQ2 2017","FQ2 2017","Currency=INR","Period=FQ","BEST_FPERIOD_OVERRIDE=FQ","FILING_STATUS=OR","EQY_CONSOLIDATED=Y","Sort=A","Dates=H","DateFormat=P","Fill=—","Direction=H","UseDPDF=Y")</f>
        <v>#NAME?</v>
      </c>
      <c r="BS120" s="2" t="e">
        <f ca="1">_xll.BDH($C$103,"ST_DEBT_SEQUENTIAL_GROWTH","FQ2 2017","FQ2 2017","Currency=INR","Period=FQ","BEST_FPERIOD_OVERRIDE=FQ","FILING_STATUS=OR","EQY_CONSOLIDATED=Y","Sort=A","Dates=H","DateFormat=P","Fill=—","Direction=H","UseDPDF=Y")</f>
        <v>#NAME?</v>
      </c>
      <c r="BT120" s="2" t="e">
        <f ca="1">_xll.BDH($C$103,"TOTAL_DEBT_SEQUENTIAL_GROWTH","FQ2 2017","FQ2 2017","Currency=INR","Period=FQ","BEST_FPERIOD_OVERRIDE=FQ","FILING_STATUS=OR","EQY_CONSOLIDATED=Y","Sort=A","Dates=H","DateFormat=P","Fill=—","Direction=H","UseDPDF=Y")</f>
        <v>#NAME?</v>
      </c>
      <c r="BU120" s="2" t="e">
        <f ca="1">_xll.BDH($C$103,"TOTAL_EQUITY_SEQUENTIAL_GROWTH","FQ2 2017","FQ2 2017","Currency=INR","Period=FQ","BEST_FPERIOD_OVERRIDE=FQ","FILING_STATUS=OR","EQY_CONSOLIDATED=Y","Sort=A","Dates=H","DateFormat=P","Fill=—","Direction=H","UseDPDF=Y")</f>
        <v>#NAME?</v>
      </c>
      <c r="BV120" s="2" t="e">
        <f ca="1">_xll.BDH($C$103,"TOTAL_CAPITAL_SEQUENTIAL_GROWTH","FQ2 2017","FQ2 2017","Currency=INR","Period=FQ","BEST_FPERIOD_OVERRIDE=FQ","FILING_STATUS=OR","EQY_CONSOLIDATED=Y","Sort=A","Dates=H","DateFormat=P","Fill=—","Direction=H","UseDPDF=Y")</f>
        <v>#NAME?</v>
      </c>
      <c r="BW120" s="2" t="e">
        <f ca="1">_xll.BDH($C$103,"BPS_SEQUENTIAL_GROWTH","FQ2 2017","FQ2 2017","Currency=INR","Period=FQ","BEST_FPERIOD_OVERRIDE=FQ","FILING_STATUS=OR","EQY_CONSOLIDATED=Y","Sort=A","Dates=H","DateFormat=P","Fill=—","Direction=H","UseDPDF=Y")</f>
        <v>#NAME?</v>
      </c>
      <c r="BX120" s="2" t="e">
        <f ca="1">_xll.BDH($C$103,"CFO_SEQUENTIAL_GROWTH","FQ2 2017","FQ2 2017","Currency=INR","Period=FQ","BEST_FPERIOD_OVERRIDE=FQ","FILING_STATUS=OR","EQY_CONSOLIDATED=Y","Sort=A","Dates=H","DateFormat=P","Fill=—","Direction=H","UseDPDF=Y")</f>
        <v>#NAME?</v>
      </c>
      <c r="BY120" s="3" t="e">
        <f ca="1">_xll.BDH($C$103,"SHORT_AND_LONG_TERM_DEBT","FQ2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120" s="3" t="e">
        <f ca="1">_xll.BDH($C$103,"BS_ST_BORROW","FQ2 2017","FQ2 2017","Currency=INR","Period=FQ","BEST_FPERIOD_OVERRIDE=FQ","FILING_STATUS=OR","EQY_CONSOLIDATED=Y","SCALING_FORMAT=MLN","Sort=A","Dates=H","DateFormat=P","Fill=—","Direction=H","UseDPDF=Y")</f>
        <v>#NAME?</v>
      </c>
      <c r="CA120" s="3" t="e">
        <f ca="1">_xll.BDH($C$103,"BS_LT_BORROW","FQ2 2017","FQ2 2017","Currency=INR","Period=FQ","BEST_FPERIOD_OVERRIDE=FQ","FILING_STATUS=OR","EQY_CONSOLIDATED=Y","SCALING_FORMAT=MLN","Sort=A","Dates=H","DateFormat=P","Fill=—","Direction=H","UseDPDF=Y")</f>
        <v>#NAME?</v>
      </c>
      <c r="CB120" s="2" t="e">
        <f ca="1">_xll.BDH($C$103,"TOT_DEBT_TO_EBITDA","FQ2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120" s="2" t="e">
        <f ca="1">_xll.BDH($C$103,"NET_DEBT_TO_EBITDA","FQ2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120" s="2" t="e">
        <f ca="1">_xll.BDH($C$103,"TOTAL_DEBT_TO_EBIT","FQ2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120" s="2" t="e">
        <f ca="1">_xll.BDH($C$103,"NET_DEBT_TO_EBIT","FQ2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120" s="2" t="e">
        <f ca="1">_xll.BDH($C$103,"EBITDA_TO_INTEREST_EXPN","FQ2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120" s="2" t="e">
        <f ca="1">_xll.BDH($C$103,"COM_EQY_TO_TOT_ASSET","FQ2 2017","FQ2 2017","Currency=INR","Period=FQ","BEST_FPERIOD_OVERRIDE=FQ","FILING_STATUS=OR","EQY_CONSOLIDATED=Y","Sort=A","Dates=H","DateFormat=P","Fill=—","Direction=H","UseDPDF=Y")</f>
        <v>#NAME?</v>
      </c>
      <c r="CH120" s="2" t="e">
        <f ca="1">_xll.BDH($C$103,"LT_DEBT_TO_TOT_EQY","FQ2 2017","FQ2 2017","Currency=INR","Period=FQ","BEST_FPERIOD_OVERRIDE=FQ","FILING_STATUS=OR","EQY_CONSOLIDATED=Y","Sort=A","Dates=H","DateFormat=P","Fill=—","Direction=H","UseDPDF=Y")</f>
        <v>#NAME?</v>
      </c>
      <c r="CI120" s="2" t="e">
        <f ca="1">_xll.BDH($C$103,"LT_DEBT_TO_TOT_CAP","FQ2 2017","FQ2 2017","Currency=INR","Period=FQ","BEST_FPERIOD_OVERRIDE=FQ","FILING_STATUS=OR","EQY_CONSOLIDATED=Y","Sort=A","Dates=H","DateFormat=P","Fill=—","Direction=H","UseDPDF=Y")</f>
        <v>#NAME?</v>
      </c>
      <c r="CJ120" s="2" t="e">
        <f ca="1">_xll.BDH($C$103,"LT_DEBT_TO_TOT_ASSET","FQ2 2017","FQ2 2017","Currency=INR","Period=FQ","BEST_FPERIOD_OVERRIDE=FQ","FILING_STATUS=OR","EQY_CONSOLIDATED=Y","Sort=A","Dates=H","DateFormat=P","Fill=—","Direction=H","UseDPDF=Y")</f>
        <v>#NAME?</v>
      </c>
      <c r="CK120" s="2" t="e">
        <f ca="1">_xll.BDH($C$103,"TOT_DEBT_TO_TOT_EQY","FQ2 2017","FQ2 2017","Currency=INR","Period=FQ","BEST_FPERIOD_OVERRIDE=FQ","FILING_STATUS=OR","EQY_CONSOLIDATED=Y","Sort=A","Dates=H","DateFormat=P","Fill=—","Direction=H","UseDPDF=Y")</f>
        <v>#NAME?</v>
      </c>
      <c r="CL120" s="2" t="e">
        <f ca="1">_xll.BDH($C$103,"TOT_DEBT_TO_TOT_CAP","FQ2 2017","FQ2 2017","Currency=INR","Period=FQ","BEST_FPERIOD_OVERRIDE=FQ","FILING_STATUS=OR","EQY_CONSOLIDATED=Y","Sort=A","Dates=H","DateFormat=P","Fill=—","Direction=H","UseDPDF=Y")</f>
        <v>#NAME?</v>
      </c>
      <c r="CM120" s="2" t="e">
        <f ca="1">_xll.BDH($C$103,"TOT_DEBT_TO_TOT_ASSET","FQ2 2017","FQ2 2017","Currency=INR","Period=FQ","BEST_FPERIOD_OVERRIDE=FQ","FILING_STATUS=OR","EQY_CONSOLIDATED=Y","Sort=A","Dates=H","DateFormat=P","Fill=—","Direction=H","UseDPDF=Y")</f>
        <v>#NAME?</v>
      </c>
      <c r="CN120" s="2" t="e">
        <f ca="1">_xll.BDH($C$103,"NET_DEBT_TO_SHRHLDR_EQTY","FQ2 2017","FQ2 2017","Currency=INR","Period=FQ","BEST_FPERIOD_OVERRIDE=FQ","FILING_STATUS=OR","EQY_CONSOLIDATED=Y","Sort=A","Dates=H","DateFormat=P","Fill=—","Direction=H","UseDPDF=Y")</f>
        <v>#NAME?</v>
      </c>
      <c r="CO120" s="2" t="e">
        <f ca="1">_xll.BDH($C$103,"NET_DEBT_%_CAPITAL","FQ2 2017","FQ2 2017","Currency=INR","Period=FQ","BEST_FPERIOD_OVERRIDE=FQ","FILING_STATUS=OR","EQY_CONSOLIDATED=Y","Sort=A","Dates=H","DateFormat=P","Fill=—","Direction=H","UseDPDF=Y")</f>
        <v>#NAME?</v>
      </c>
      <c r="CP120" s="3" t="e">
        <f ca="1">_xll.BDH($C$103,"EBITDA","FQ2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120" s="3" t="e">
        <f ca="1">_xll.BDH($C$103,"EBITDA_AFTER_CAPEX","FQ2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120" s="3" t="e">
        <f ca="1">_xll.BDH($C$103,"IS_OPER_INC","FQ2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120" s="2" t="e">
        <f ca="1">_xll.BDH($C$103,"CASH_RATIO","FQ2 2017","FQ2 2017","Currency=INR","Period=FQ","BEST_FPERIOD_OVERRIDE=FQ","FILING_STATUS=OR","EQY_CONSOLIDATED=Y","Sort=A","Dates=H","DateFormat=P","Fill=—","Direction=H","UseDPDF=Y")</f>
        <v>#NAME?</v>
      </c>
      <c r="CT120" s="2" t="e">
        <f ca="1">_xll.BDH($C$103,"CUR_RATIO","FQ2 2017","FQ2 2017","Currency=INR","Period=FQ","BEST_FPERIOD_OVERRIDE=FQ","FILING_STATUS=OR","EQY_CONSOLIDATED=Y","Sort=A","Dates=H","DateFormat=P","Fill=—","Direction=H","UseDPDF=Y")</f>
        <v>#NAME?</v>
      </c>
      <c r="CU120" s="2" t="e">
        <f ca="1">_xll.BDH($C$103,"QUICK_RATIO","FQ2 2017","FQ2 2017","Currency=INR","Period=FQ","BEST_FPERIOD_OVERRIDE=FQ","FILING_STATUS=OR","EQY_CONSOLIDATED=Y","Sort=A","Dates=H","DateFormat=P","Fill=—","Direction=H","UseDPDF=Y")</f>
        <v>#NAME?</v>
      </c>
      <c r="CV120" s="2" t="e">
        <f ca="1">_xll.BDH($C$103,"ALTMAN_Z_SCORE","FQ2 2017","FQ2 2017","Currency=INR","Period=FQ","BEST_FPERIOD_OVERRIDE=FQ","FILING_STATUS=OR","EQY_CONSOLIDATED=Y","Sort=A","Dates=H","DateFormat=P","Fill=—","Direction=H","UseDPDF=Y")</f>
        <v>#NAME?</v>
      </c>
      <c r="CW120" s="4" t="e">
        <f ca="1">_xll.BDH($C$103,"ACCT_RCV_TURN","FQ2 2017","FQ2 2017","Currency=INR","Period=FQ","BEST_FPERIOD_OVERRIDE=FQ","FILING_STATUS=OR","EQY_CONSOLIDATED=Y","FA_ADJUSTED=GAAP","Sort=A","Dates=H","DateFormat=P","Fill=—","Direction=H","UseDPDF=Y")</f>
        <v>#NAME?</v>
      </c>
      <c r="CX120" s="2" t="e">
        <f ca="1">_xll.BDH($C$103,"ACCT_RCV_DAYS","FQ2 2017","FQ2 2017","Currency=INR","Period=FQ","BEST_FPERIOD_OVERRIDE=FQ","FILING_STATUS=OR","EQY_CONSOLIDATED=Y","FA_ADJUSTED=GAAP","Sort=A","Dates=H","DateFormat=P","Fill=—","Direction=H","UseDPDF=Y")</f>
        <v>#NAME?</v>
      </c>
      <c r="CY120" s="4" t="e">
        <f ca="1">_xll.BDH($C$103,"INVENT_TURN","FQ2 2017","FQ2 2017","Currency=INR","Period=FQ","BEST_FPERIOD_OVERRIDE=FQ","FILING_STATUS=OR","EQY_CONSOLIDATED=Y","FA_ADJUSTED=GAAP","Sort=A","Dates=H","DateFormat=P","Fill=—","Direction=H","UseDPDF=Y")</f>
        <v>#NAME?</v>
      </c>
      <c r="CZ120" s="2" t="e">
        <f ca="1">_xll.BDH($C$103,"INVENT_DAYS","FQ2 2017","FQ2 2017","Currency=INR","Period=FQ","BEST_FPERIOD_OVERRIDE=FQ","FILING_STATUS=OR","EQY_CONSOLIDATED=Y","FA_ADJUSTED=GAAP","Sort=A","Dates=H","DateFormat=P","Fill=—","Direction=H","UseDPDF=Y")</f>
        <v>#NAME?</v>
      </c>
      <c r="DA120" s="4" t="e">
        <f ca="1">_xll.BDH($C$103,"ACCOUNTS_PAYABLE_TURNOVER","FQ2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120" s="2" t="e">
        <f ca="1">_xll.BDH($C$103,"ACCOUNTS_PAYABLE_TURNOVER_DAYS","FQ2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120" s="4" t="e">
        <f ca="1">_xll.BDH($C$103,"CASH_CONVERSION_CYCLE","FQ2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120" s="4" t="e">
        <f ca="1">_xll.BDH($C$103,"INV_TO_CASH_DAYS","FQ2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120" s="5" t="e">
        <f ca="1">_xll.BDH($C$103,"BS_INVENTORIES","FQ2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120" s="3" t="e">
        <f ca="1">_xll.BDH($C$103,"INVTRY_RAW_MATERIALS","FQ2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120" s="3" t="e">
        <f ca="1">_xll.BDH($C$103,"INVTRY_IN_PROGRESS","FQ2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120" s="3" t="e">
        <f ca="1">_xll.BDH($C$103,"INVTRY_FINISHED_GOODS","FQ2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120" s="3" t="e">
        <f ca="1">_xll.BDH($C$103,"BS_OTHER_INV","FQ2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121" spans="1:113" x14ac:dyDescent="0.3">
      <c r="A121" s="6"/>
      <c r="B121" s="6"/>
      <c r="C121" s="6"/>
      <c r="D121" s="6"/>
      <c r="E121" t="s">
        <v>80</v>
      </c>
      <c r="F121" t="e">
        <f ca="1">_xll.BDH($C$103,"RETURN_COM_EQY","FQ3 2017","FQ3 2017","Currency=INR","Period=FQ","BEST_FPERIOD_OVERRIDE=FQ","FILING_STATUS=OR","EQY_CONSOLIDATED=Y","FA_ADJUSTED=GAAP","Sort=A","Dates=H","DateFormat=P","Fill=—","Direction=H","UseDPDF=Y")</f>
        <v>#NAME?</v>
      </c>
      <c r="G121" t="e">
        <f ca="1">_xll.BDH($C$103,"RETURN_ON_ASSET","FQ3 2017","FQ3 2017","Currency=INR","Period=FQ","BEST_FPERIOD_OVERRIDE=FQ","FILING_STATUS=OR","EQY_CONSOLIDATED=Y","FA_ADJUSTED=GAAP","Sort=A","Dates=H","DateFormat=P","Fill=—","Direction=H","UseDPDF=Y")</f>
        <v>#NAME?</v>
      </c>
      <c r="H121" t="e">
        <f ca="1">_xll.BDH($C$103,"RETURN_ON_CAP","FQ3 2017","FQ3 2017","Currency=INR","Period=FQ","BEST_FPERIOD_OVERRIDE=FQ","FILING_STATUS=OR","EQY_CONSOLIDATED=Y","FA_ADJUSTED=GAAP","Sort=A","Dates=H","DateFormat=P","Fill=—","Direction=H","UseDPDF=Y")</f>
        <v>#NAME?</v>
      </c>
      <c r="I121" t="e">
        <f ca="1">_xll.BDH($C$103,"RETURN_ON_INV_CAPITAL","FQ3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121" t="e">
        <f ca="1">_xll.BDH($C$103,"EBITDA_TO_REVENUE","FQ3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121" t="e">
        <f ca="1">_xll.BDH($C$103,"OPER_MARGIN","FQ3 2017","FQ3 2017","Currency=INR","Period=FQ","BEST_FPERIOD_OVERRIDE=FQ","FILING_STATUS=OR","EQY_CONSOLIDATED=Y","FA_ADJUSTED=GAAP","Sort=A","Dates=H","DateFormat=P","Fill=—","Direction=H","UseDPDF=Y")</f>
        <v>#NAME?</v>
      </c>
      <c r="L121" t="e">
        <f ca="1">_xll.BDH($C$103,"INCREMENTAL_OPERATING_MARGIN","FQ3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121" t="e">
        <f ca="1">_xll.BDH($C$103,"PRETAX_INC_TO_NET_SALES","FQ3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121" t="e">
        <f ca="1">_xll.BDH($C$103,"INC_BEF_XO_ITEMS_TO_NET_SALES","FQ3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121" t="e">
        <f ca="1">_xll.BDH($C$103,"PROF_MARGIN","FQ3 2017","FQ3 2017","Currency=INR","Period=FQ","BEST_FPERIOD_OVERRIDE=FQ","FILING_STATUS=OR","EQY_CONSOLIDATED=Y","FA_ADJUSTED=GAAP","Sort=A","Dates=H","DateFormat=P","Fill=—","Direction=H","UseDPDF=Y")</f>
        <v>#NAME?</v>
      </c>
      <c r="P121" t="e">
        <f ca="1">_xll.BDH($C$103,"NET_INCOME_TO_COMMON_MARGIN","FQ3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121" t="e">
        <f ca="1">_xll.BDH($C$103,"EFF_TAX_RATE","FQ3 2017","FQ3 2017","Currency=INR","Period=FQ","BEST_FPERIOD_OVERRIDE=FQ","FILING_STATUS=OR","EQY_CONSOLIDATED=Y","FA_ADJUSTED=GAAP","Sort=A","Dates=H","DateFormat=P","Fill=—","Direction=H","UseDPDF=Y")</f>
        <v>#NAME?</v>
      </c>
      <c r="R121" t="e">
        <f ca="1">_xll.BDH($C$103,"DVD_PAYOUT_RATIO","FQ3 2017","FQ3 2017","Currency=INR","Period=FQ","BEST_FPERIOD_OVERRIDE=FQ","FILING_STATUS=OR","EQY_CONSOLIDATED=Y","FA_ADJUSTED=GAAP","Sort=A","Dates=H","DateFormat=P","Fill=—","Direction=H","UseDPDF=Y")</f>
        <v>#NAME?</v>
      </c>
      <c r="S121" t="e">
        <f ca="1">_xll.BDH($C$103,"SUSTAIN_GROWTH_RT","FQ3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121" s="2" t="e">
        <f ca="1">_xll.BDH($C$103,"SALES_GROWTH","FQ3 2017","FQ3 2017","Currency=INR","Period=FQ","BEST_FPERIOD_OVERRIDE=FQ","FILING_STATUS=OR","EQY_CONSOLIDATED=Y","FA_ADJUSTED=GAAP","Sort=A","Dates=H","DateFormat=P","Fill=—","Direction=H","UseDPDF=Y")</f>
        <v>#NAME?</v>
      </c>
      <c r="U121" s="2" t="e">
        <f ca="1">_xll.BDH($C$103,"EBITDA_GROWTH","FQ3 2017","FQ3 2017","Currency=INR","Period=FQ","BEST_FPERIOD_OVERRIDE=FQ","FILING_STATUS=OR","EQY_CONSOLIDATED=Y","FA_ADJUSTED=GAAP","Sort=A","Dates=H","DateFormat=P","Fill=—","Direction=H","UseDPDF=Y")</f>
        <v>#NAME?</v>
      </c>
      <c r="V121" s="2" t="e">
        <f ca="1">_xll.BDH($C$103,"OPER_INC_GROWTH","FQ3 2017","FQ3 2017","Currency=INR","Period=FQ","BEST_FPERIOD_OVERRIDE=FQ","FILING_STATUS=OR","EQY_CONSOLIDATED=Y","FA_ADJUSTED=GAAP","Sort=A","Dates=H","DateFormat=P","Fill=—","Direction=H","UseDPDF=Y")</f>
        <v>#NAME?</v>
      </c>
      <c r="W121" s="2" t="e">
        <f ca="1">_xll.BDH($C$103,"EARN_FOR_COM_GROWTH","FQ3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121" s="2" t="e">
        <f ca="1">_xll.BDH($C$103,"DILUTED_EPS_AFT_XO_ITEMS_GROWTH","FQ3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121" s="2" t="e">
        <f ca="1">_xll.BDH($C$103,"DIVIDEND_PER_SHARE_1_YEAR_GROWTH","FQ3 2017","FQ3 2017","Currency=INR","Period=FQ","BEST_FPERIOD_OVERRIDE=FQ","FILING_STATUS=OR","EQY_CONSOLIDATED=Y","Sort=A","Dates=H","DateFormat=P","Fill=—","Direction=H","UseDPDF=Y")</f>
        <v>#NAME?</v>
      </c>
      <c r="Z121" s="2" t="e">
        <f ca="1">_xll.BDH($C$103,"ACCOUNTS_RECEIVABLE_GROWTH","FQ3 2017","FQ3 2017","Currency=INR","Period=FQ","BEST_FPERIOD_OVERRIDE=FQ","FILING_STATUS=OR","EQY_CONSOLIDATED=Y","Sort=A","Dates=H","DateFormat=P","Fill=—","Direction=H","UseDPDF=Y")</f>
        <v>#NAME?</v>
      </c>
      <c r="AA121" s="2" t="e">
        <f ca="1">_xll.BDH($C$103,"INVENTORY_GROWTH","FQ3 2017","FQ3 2017","Currency=INR","Period=FQ","BEST_FPERIOD_OVERRIDE=FQ","FILING_STATUS=OR","EQY_CONSOLIDATED=Y","Sort=A","Dates=H","DateFormat=P","Fill=—","Direction=H","UseDPDF=Y")</f>
        <v>#NAME?</v>
      </c>
      <c r="AB121" s="2" t="e">
        <f ca="1">_xll.BDH($C$103,"NET_FIXED_ASSETS_1_YEAR_GROWTH","FQ3 2017","FQ3 2017","Currency=INR","Period=FQ","BEST_FPERIOD_OVERRIDE=FQ","FILING_STATUS=OR","EQY_CONSOLIDATED=Y","Sort=A","Dates=H","DateFormat=P","Fill=—","Direction=H","UseDPDF=Y")</f>
        <v>#NAME?</v>
      </c>
      <c r="AC121" s="2" t="e">
        <f ca="1">_xll.BDH($C$103,"ASSET_GROWTH","FQ3 2017","FQ3 2017","Currency=INR","Period=FQ","BEST_FPERIOD_OVERRIDE=FQ","FILING_STATUS=OR","EQY_CONSOLIDATED=Y","Sort=A","Dates=H","DateFormat=P","Fill=—","Direction=H","UseDPDF=Y")</f>
        <v>#NAME?</v>
      </c>
      <c r="AD121" s="2" t="e">
        <f ca="1">_xll.BDH($C$103,"MODIFIED_WORK_CAP_GROWTH","FQ3 2017","FQ3 2017","Currency=INR","Period=FQ","BEST_FPERIOD_OVERRIDE=FQ","FILING_STATUS=OR","EQY_CONSOLIDATED=Y","Sort=A","Dates=H","DateFormat=P","Fill=—","Direction=H","UseDPDF=Y")</f>
        <v>#NAME?</v>
      </c>
      <c r="AE121" s="2" t="e">
        <f ca="1">_xll.BDH($C$103,"WORK_CAP_GROWTH","FQ3 2017","FQ3 2017","Currency=INR","Period=FQ","BEST_FPERIOD_OVERRIDE=FQ","FILING_STATUS=OR","EQY_CONSOLIDATED=Y","Sort=A","Dates=H","DateFormat=P","Fill=—","Direction=H","UseDPDF=Y")</f>
        <v>#NAME?</v>
      </c>
      <c r="AF121" s="2" t="e">
        <f ca="1">_xll.BDH($C$103,"ACCOUNTS_PAYABLE_GROWTH_1YR","FQ3 2017","FQ3 2017","Currency=INR","Period=FQ","BEST_FPERIOD_OVERRIDE=FQ","FILING_STATUS=OR","EQY_CONSOLIDATED=Y","Sort=A","Dates=H","DateFormat=P","Fill=—","Direction=H","UseDPDF=Y")</f>
        <v>#NAME?</v>
      </c>
      <c r="AG121" s="2" t="e">
        <f ca="1">_xll.BDH($C$103,"SHORT_TERM_DEBT_1_YEAR_GROWTH","FQ3 2017","FQ3 2017","Currency=INR","Period=FQ","BEST_FPERIOD_OVERRIDE=FQ","FILING_STATUS=OR","EQY_CONSOLIDATED=Y","Sort=A","Dates=H","DateFormat=P","Fill=—","Direction=H","UseDPDF=Y")</f>
        <v>#NAME?</v>
      </c>
      <c r="AH121" s="2" t="e">
        <f ca="1">_xll.BDH($C$103,"TOTAL_DEBT_1_YEAR_GROWTH","FQ3 2017","FQ3 2017","Currency=INR","Period=FQ","BEST_FPERIOD_OVERRIDE=FQ","FILING_STATUS=OR","EQY_CONSOLIDATED=Y","Sort=A","Dates=H","DateFormat=P","Fill=—","Direction=H","UseDPDF=Y")</f>
        <v>#NAME?</v>
      </c>
      <c r="AI121" s="2" t="e">
        <f ca="1">_xll.BDH($C$103,"TOTAL_EQUITY_1_YEAR_GROWTH","FQ3 2017","FQ3 2017","Currency=INR","Period=FQ","BEST_FPERIOD_OVERRIDE=FQ","FILING_STATUS=OR","EQY_CONSOLIDATED=Y","Sort=A","Dates=H","DateFormat=P","Fill=—","Direction=H","UseDPDF=Y")</f>
        <v>#NAME?</v>
      </c>
      <c r="AJ121" s="2" t="e">
        <f ca="1">_xll.BDH($C$103,"GROWTH_IN_CAP","FQ3 2017","FQ3 2017","Currency=INR","Period=FQ","BEST_FPERIOD_OVERRIDE=FQ","FILING_STATUS=OR","EQY_CONSOLIDATED=Y","Sort=A","Dates=H","DateFormat=P","Fill=—","Direction=H","UseDPDF=Y")</f>
        <v>#NAME?</v>
      </c>
      <c r="AK121" s="2" t="e">
        <f ca="1">_xll.BDH($C$103,"BVPS_GROWTH","FQ3 2017","FQ3 2017","Currency=INR","Period=FQ","BEST_FPERIOD_OVERRIDE=FQ","FILING_STATUS=OR","EQY_CONSOLIDATED=Y","Sort=A","Dates=H","DateFormat=P","Fill=—","Direction=H","UseDPDF=Y")</f>
        <v>#NAME?</v>
      </c>
      <c r="AL121" s="2" t="e">
        <f ca="1">_xll.BDH($C$103,"CASH_FLOW_GROWTH","FQ3 2017","FQ3 2017","Currency=INR","Period=FQ","BEST_FPERIOD_OVERRIDE=FQ","FILING_STATUS=OR","EQY_CONSOLIDATED=Y","Sort=A","Dates=H","DateFormat=P","Fill=—","Direction=H","UseDPDF=Y")</f>
        <v>#NAME?</v>
      </c>
      <c r="AM121" s="2" t="e">
        <f ca="1">_xll.BDH($C$103,"GEO_GROW_NET_SALES","FQ3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121" s="2" t="e">
        <f ca="1">_xll.BDH($C$103,"GEO_GROW_EBITDA","FQ3 2017","FQ3 2017","Currency=INR","Period=FQ","BEST_FPERIOD_OVERRIDE=FQ","FILING_STATUS=OR","EQY_CONSOLIDATED=Y","FA_ADJUSTED=GAAP","Sort=A","Dates=H","DateFormat=P","Fill=—","Direction=H","UseDPDF=Y")</f>
        <v>#NAME?</v>
      </c>
      <c r="AO121" s="2" t="e">
        <f ca="1">_xll.BDH($C$103,"GEO_GROW_OPER_INC","FQ3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121" s="2" t="e">
        <f ca="1">_xll.BDH($C$103,"NET_INCOME_TO_COMMON_5_YR_GROWTH","FQ3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121" s="2" t="e">
        <f ca="1">_xll.BDH($C$103,"5Y_GEO_GROWTH_DILUTED_EPS","FQ3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121" s="2" t="e">
        <f ca="1">_xll.BDH($C$103,"GEO_GROW_DVD_PER_SH","FQ3 2017","FQ3 2017","Currency=INR","Period=FQ","BEST_FPERIOD_OVERRIDE=FQ","FILING_STATUS=OR","EQY_CONSOLIDATED=Y","Sort=A","Dates=H","DateFormat=P","Fill=—","Direction=H","UseDPDF=Y")</f>
        <v>#NAME?</v>
      </c>
      <c r="AS121" s="2" t="e">
        <f ca="1">_xll.BDH($C$103,"ACCOUNTS_RECEIVABLE_5_YR_GROWTH","FQ3 2017","FQ3 2017","Currency=INR","Period=FQ","BEST_FPERIOD_OVERRIDE=FQ","FILING_STATUS=OR","EQY_CONSOLIDATED=Y","Sort=A","Dates=H","DateFormat=P","Fill=—","Direction=H","UseDPDF=Y")</f>
        <v>#NAME?</v>
      </c>
      <c r="AT121" s="2" t="e">
        <f ca="1">_xll.BDH($C$103,"INVENTORY_5_YEAR_GROWTH","FQ3 2017","FQ3 2017","Currency=INR","Period=FQ","BEST_FPERIOD_OVERRIDE=FQ","FILING_STATUS=OR","EQY_CONSOLIDATED=Y","Sort=A","Dates=H","DateFormat=P","Fill=—","Direction=H","UseDPDF=Y")</f>
        <v>#NAME?</v>
      </c>
      <c r="AU121" s="2" t="e">
        <f ca="1">_xll.BDH($C$103,"NET_FIXED_ASSETS_5_YEAR_GROWTH","FQ3 2017","FQ3 2017","Currency=INR","Period=FQ","BEST_FPERIOD_OVERRIDE=FQ","FILING_STATUS=OR","EQY_CONSOLIDATED=Y","Sort=A","Dates=H","DateFormat=P","Fill=—","Direction=H","UseDPDF=Y")</f>
        <v>#NAME?</v>
      </c>
      <c r="AV121" s="2" t="e">
        <f ca="1">_xll.BDH($C$103,"GEO_GROW_TOT_ASSET","FQ3 2017","FQ3 2017","Currency=INR","Period=FQ","BEST_FPERIOD_OVERRIDE=FQ","FILING_STATUS=OR","EQY_CONSOLIDATED=Y","Sort=A","Dates=H","DateFormat=P","Fill=—","Direction=H","UseDPDF=Y")</f>
        <v>#NAME?</v>
      </c>
      <c r="AW121" s="2" t="e">
        <f ca="1">_xll.BDH($C$103,"MODIFIED_WORKING_CPTL_5YR_GRWTH","FQ3 2017","FQ3 2017","Currency=INR","Period=FQ","BEST_FPERIOD_OVERRIDE=FQ","FILING_STATUS=OR","EQY_CONSOLIDATED=Y","Sort=A","Dates=H","DateFormat=P","Fill=—","Direction=H","UseDPDF=Y")</f>
        <v>#NAME?</v>
      </c>
      <c r="AX121" s="2" t="e">
        <f ca="1">_xll.BDH($C$103,"WORKING_CAPITAL_5_YEAR_GROWTH","FQ3 2017","FQ3 2017","Currency=INR","Period=FQ","BEST_FPERIOD_OVERRIDE=FQ","FILING_STATUS=OR","EQY_CONSOLIDATED=Y","Sort=A","Dates=H","DateFormat=P","Fill=—","Direction=H","UseDPDF=Y")</f>
        <v>#NAME?</v>
      </c>
      <c r="AY121" s="2" t="e">
        <f ca="1">_xll.BDH($C$103,"ACCOUNTS_PAYABLE_5_YEAR_GROWTH","FQ3 2017","FQ3 2017","Currency=INR","Period=FQ","BEST_FPERIOD_OVERRIDE=FQ","FILING_STATUS=OR","EQY_CONSOLIDATED=Y","Sort=A","Dates=H","DateFormat=P","Fill=—","Direction=H","UseDPDF=Y")</f>
        <v>#NAME?</v>
      </c>
      <c r="AZ121" s="2" t="e">
        <f ca="1">_xll.BDH($C$103,"SHORT_TERM_DEBT_5_YEAR_GROWTH","FQ3 2017","FQ3 2017","Currency=INR","Period=FQ","BEST_FPERIOD_OVERRIDE=FQ","FILING_STATUS=OR","EQY_CONSOLIDATED=Y","Sort=A","Dates=H","DateFormat=P","Fill=—","Direction=H","UseDPDF=Y")</f>
        <v>#NAME?</v>
      </c>
      <c r="BA121" s="2" t="e">
        <f ca="1">_xll.BDH($C$103,"TOTAL_DEBT_5_YEAR_GROWTH","FQ3 2017","FQ3 2017","Currency=INR","Period=FQ","BEST_FPERIOD_OVERRIDE=FQ","FILING_STATUS=OR","EQY_CONSOLIDATED=Y","Sort=A","Dates=H","DateFormat=P","Fill=—","Direction=H","UseDPDF=Y")</f>
        <v>#NAME?</v>
      </c>
      <c r="BB121" s="2" t="e">
        <f ca="1">_xll.BDH($C$103,"GEO_GROW_TOT_SHRHLDR_EQY","FQ3 2017","FQ3 2017","Currency=INR","Period=FQ","BEST_FPERIOD_OVERRIDE=FQ","FILING_STATUS=OR","EQY_CONSOLIDATED=Y","Sort=A","Dates=H","DateFormat=P","Fill=—","Direction=H","UseDPDF=Y")</f>
        <v>#NAME?</v>
      </c>
      <c r="BC121" s="2" t="e">
        <f ca="1">_xll.BDH($C$103,"TOTAL_CAPITAL_5_YEAR_GROWTH","FQ3 2017","FQ3 2017","Currency=INR","Period=FQ","BEST_FPERIOD_OVERRIDE=FQ","FILING_STATUS=OR","EQY_CONSOLIDATED=Y","Sort=A","Dates=H","DateFormat=P","Fill=—","Direction=H","UseDPDF=Y")</f>
        <v>#NAME?</v>
      </c>
      <c r="BD121" s="2" t="e">
        <f ca="1">_xll.BDH($C$103,"GEO_GROW_BOOK_VAL","FQ3 2017","FQ3 2017","Currency=INR","Period=FQ","BEST_FPERIOD_OVERRIDE=FQ","FILING_STATUS=OR","EQY_CONSOLIDATED=Y","Sort=A","Dates=H","DateFormat=P","Fill=—","Direction=H","UseDPDF=Y")</f>
        <v>#NAME?</v>
      </c>
      <c r="BE121" s="2" t="e">
        <f ca="1">_xll.BDH($C$103,"GEO_GROW_CASH_OPER_ACT","FQ3 2017","FQ3 2017","Currency=INR","Period=FQ","BEST_FPERIOD_OVERRIDE=FQ","FILING_STATUS=OR","EQY_CONSOLIDATED=Y","Sort=A","Dates=H","DateFormat=P","Fill=—","Direction=H","UseDPDF=Y")</f>
        <v>#NAME?</v>
      </c>
      <c r="BF121" s="2" t="e">
        <f ca="1">_xll.BDH($C$103,"REVENUE_SEQUENTIAL_GROWTH","FQ3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121" s="2" t="e">
        <f ca="1">_xll.BDH($C$103,"EBITDA_SEQUENTIAL_GROWTH","FQ3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121" s="2" t="e">
        <f ca="1">_xll.BDH($C$103,"OPERATING_INCOME_SEQ_GROWTH","FQ3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121" s="2" t="e">
        <f ca="1">_xll.BDH($C$103,"NET_INCOME_TO_COMMON_SEQ_GROWTH","FQ3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121" s="2" t="e">
        <f ca="1">_xll.BDH($C$103,"EPS_DILUTED_SEQUENTIAL_GROWTH","FQ3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121" s="2" t="e">
        <f ca="1">_xll.BDH($C$103,"DPS_SEQUENTIAL_GROWTH","FQ3 2017","FQ3 2017","Currency=INR","Period=FQ","BEST_FPERIOD_OVERRIDE=FQ","FILING_STATUS=OR","EQY_CONSOLIDATED=Y","Sort=A","Dates=H","DateFormat=P","Fill=—","Direction=H","UseDPDF=Y")</f>
        <v>#NAME?</v>
      </c>
      <c r="BL121" s="2" t="e">
        <f ca="1">_xll.BDH($C$103,"ACCOUNTS_RECEIVABLE_SEQ_GROWTH","FQ3 2017","FQ3 2017","Currency=INR","Period=FQ","BEST_FPERIOD_OVERRIDE=FQ","FILING_STATUS=OR","EQY_CONSOLIDATED=Y","Sort=A","Dates=H","DateFormat=P","Fill=—","Direction=H","UseDPDF=Y")</f>
        <v>#NAME?</v>
      </c>
      <c r="BM121" s="2" t="e">
        <f ca="1">_xll.BDH($C$103,"INVENTORY_SEQUENTIAL_GROWTH","FQ3 2017","FQ3 2017","Currency=INR","Period=FQ","BEST_FPERIOD_OVERRIDE=FQ","FILING_STATUS=OR","EQY_CONSOLIDATED=Y","Sort=A","Dates=H","DateFormat=P","Fill=—","Direction=H","UseDPDF=Y")</f>
        <v>#NAME?</v>
      </c>
      <c r="BN121" s="2" t="e">
        <f ca="1">_xll.BDH($C$103,"FIXED_ASSETS_SEQUENTIAL_GROWTH","FQ3 2017","FQ3 2017","Currency=INR","Period=FQ","BEST_FPERIOD_OVERRIDE=FQ","FILING_STATUS=OR","EQY_CONSOLIDATED=Y","Sort=A","Dates=H","DateFormat=P","Fill=—","Direction=H","UseDPDF=Y")</f>
        <v>#NAME?</v>
      </c>
      <c r="BO121" s="2" t="e">
        <f ca="1">_xll.BDH($C$103,"TOTAL_ASSETS_SEQUENTIAL_GROWTH","FQ3 2017","FQ3 2017","Currency=INR","Period=FQ","BEST_FPERIOD_OVERRIDE=FQ","FILING_STATUS=OR","EQY_CONSOLIDATED=Y","Sort=A","Dates=H","DateFormat=P","Fill=—","Direction=H","UseDPDF=Y")</f>
        <v>#NAME?</v>
      </c>
      <c r="BP121" s="2" t="e">
        <f ca="1">_xll.BDH($C$103,"MODIFIED_WORKING_CPTL_SEQ_GRWTH","FQ3 2017","FQ3 2017","Currency=INR","Period=FQ","BEST_FPERIOD_OVERRIDE=FQ","FILING_STATUS=OR","EQY_CONSOLIDATED=Y","Sort=A","Dates=H","DateFormat=P","Fill=—","Direction=H","UseDPDF=Y")</f>
        <v>#NAME?</v>
      </c>
      <c r="BQ121" s="2" t="e">
        <f ca="1">_xll.BDH($C$103,"WORKING_CAPITAL_SEQ_GROWTH","FQ3 2017","FQ3 2017","Currency=INR","Period=FQ","BEST_FPERIOD_OVERRIDE=FQ","FILING_STATUS=OR","EQY_CONSOLIDATED=Y","Sort=A","Dates=H","DateFormat=P","Fill=—","Direction=H","UseDPDF=Y")</f>
        <v>#NAME?</v>
      </c>
      <c r="BR121" s="2" t="e">
        <f ca="1">_xll.BDH($C$103,"ACCOUNTS_PAYABLE_SEQ_GROWTH","FQ3 2017","FQ3 2017","Currency=INR","Period=FQ","BEST_FPERIOD_OVERRIDE=FQ","FILING_STATUS=OR","EQY_CONSOLIDATED=Y","Sort=A","Dates=H","DateFormat=P","Fill=—","Direction=H","UseDPDF=Y")</f>
        <v>#NAME?</v>
      </c>
      <c r="BS121" s="2" t="e">
        <f ca="1">_xll.BDH($C$103,"ST_DEBT_SEQUENTIAL_GROWTH","FQ3 2017","FQ3 2017","Currency=INR","Period=FQ","BEST_FPERIOD_OVERRIDE=FQ","FILING_STATUS=OR","EQY_CONSOLIDATED=Y","Sort=A","Dates=H","DateFormat=P","Fill=—","Direction=H","UseDPDF=Y")</f>
        <v>#NAME?</v>
      </c>
      <c r="BT121" s="2" t="e">
        <f ca="1">_xll.BDH($C$103,"TOTAL_DEBT_SEQUENTIAL_GROWTH","FQ3 2017","FQ3 2017","Currency=INR","Period=FQ","BEST_FPERIOD_OVERRIDE=FQ","FILING_STATUS=OR","EQY_CONSOLIDATED=Y","Sort=A","Dates=H","DateFormat=P","Fill=—","Direction=H","UseDPDF=Y")</f>
        <v>#NAME?</v>
      </c>
      <c r="BU121" s="2" t="e">
        <f ca="1">_xll.BDH($C$103,"TOTAL_EQUITY_SEQUENTIAL_GROWTH","FQ3 2017","FQ3 2017","Currency=INR","Period=FQ","BEST_FPERIOD_OVERRIDE=FQ","FILING_STATUS=OR","EQY_CONSOLIDATED=Y","Sort=A","Dates=H","DateFormat=P","Fill=—","Direction=H","UseDPDF=Y")</f>
        <v>#NAME?</v>
      </c>
      <c r="BV121" s="2" t="e">
        <f ca="1">_xll.BDH($C$103,"TOTAL_CAPITAL_SEQUENTIAL_GROWTH","FQ3 2017","FQ3 2017","Currency=INR","Period=FQ","BEST_FPERIOD_OVERRIDE=FQ","FILING_STATUS=OR","EQY_CONSOLIDATED=Y","Sort=A","Dates=H","DateFormat=P","Fill=—","Direction=H","UseDPDF=Y")</f>
        <v>#NAME?</v>
      </c>
      <c r="BW121" s="2" t="e">
        <f ca="1">_xll.BDH($C$103,"BPS_SEQUENTIAL_GROWTH","FQ3 2017","FQ3 2017","Currency=INR","Period=FQ","BEST_FPERIOD_OVERRIDE=FQ","FILING_STATUS=OR","EQY_CONSOLIDATED=Y","Sort=A","Dates=H","DateFormat=P","Fill=—","Direction=H","UseDPDF=Y")</f>
        <v>#NAME?</v>
      </c>
      <c r="BX121" s="2" t="e">
        <f ca="1">_xll.BDH($C$103,"CFO_SEQUENTIAL_GROWTH","FQ3 2017","FQ3 2017","Currency=INR","Period=FQ","BEST_FPERIOD_OVERRIDE=FQ","FILING_STATUS=OR","EQY_CONSOLIDATED=Y","Sort=A","Dates=H","DateFormat=P","Fill=—","Direction=H","UseDPDF=Y")</f>
        <v>#NAME?</v>
      </c>
      <c r="BY121" s="3" t="e">
        <f ca="1">_xll.BDH($C$103,"SHORT_AND_LONG_TERM_DEBT","FQ3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121" s="3" t="e">
        <f ca="1">_xll.BDH($C$103,"BS_ST_BORROW","FQ3 2017","FQ3 2017","Currency=INR","Period=FQ","BEST_FPERIOD_OVERRIDE=FQ","FILING_STATUS=OR","EQY_CONSOLIDATED=Y","SCALING_FORMAT=MLN","Sort=A","Dates=H","DateFormat=P","Fill=—","Direction=H","UseDPDF=Y")</f>
        <v>#NAME?</v>
      </c>
      <c r="CA121" s="3" t="e">
        <f ca="1">_xll.BDH($C$103,"BS_LT_BORROW","FQ3 2017","FQ3 2017","Currency=INR","Period=FQ","BEST_FPERIOD_OVERRIDE=FQ","FILING_STATUS=OR","EQY_CONSOLIDATED=Y","SCALING_FORMAT=MLN","Sort=A","Dates=H","DateFormat=P","Fill=—","Direction=H","UseDPDF=Y")</f>
        <v>#NAME?</v>
      </c>
      <c r="CB121" s="2" t="e">
        <f ca="1">_xll.BDH($C$103,"TOT_DEBT_TO_EBITDA","FQ3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121" s="2" t="e">
        <f ca="1">_xll.BDH($C$103,"NET_DEBT_TO_EBITDA","FQ3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121" s="2" t="e">
        <f ca="1">_xll.BDH($C$103,"TOTAL_DEBT_TO_EBIT","FQ3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121" s="2" t="e">
        <f ca="1">_xll.BDH($C$103,"NET_DEBT_TO_EBIT","FQ3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121" s="2" t="e">
        <f ca="1">_xll.BDH($C$103,"EBITDA_TO_INTEREST_EXPN","FQ3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121" s="2" t="e">
        <f ca="1">_xll.BDH($C$103,"COM_EQY_TO_TOT_ASSET","FQ3 2017","FQ3 2017","Currency=INR","Period=FQ","BEST_FPERIOD_OVERRIDE=FQ","FILING_STATUS=OR","EQY_CONSOLIDATED=Y","Sort=A","Dates=H","DateFormat=P","Fill=—","Direction=H","UseDPDF=Y")</f>
        <v>#NAME?</v>
      </c>
      <c r="CH121" s="2" t="e">
        <f ca="1">_xll.BDH($C$103,"LT_DEBT_TO_TOT_EQY","FQ3 2017","FQ3 2017","Currency=INR","Period=FQ","BEST_FPERIOD_OVERRIDE=FQ","FILING_STATUS=OR","EQY_CONSOLIDATED=Y","Sort=A","Dates=H","DateFormat=P","Fill=—","Direction=H","UseDPDF=Y")</f>
        <v>#NAME?</v>
      </c>
      <c r="CI121" s="2" t="e">
        <f ca="1">_xll.BDH($C$103,"LT_DEBT_TO_TOT_CAP","FQ3 2017","FQ3 2017","Currency=INR","Period=FQ","BEST_FPERIOD_OVERRIDE=FQ","FILING_STATUS=OR","EQY_CONSOLIDATED=Y","Sort=A","Dates=H","DateFormat=P","Fill=—","Direction=H","UseDPDF=Y")</f>
        <v>#NAME?</v>
      </c>
      <c r="CJ121" s="2" t="e">
        <f ca="1">_xll.BDH($C$103,"LT_DEBT_TO_TOT_ASSET","FQ3 2017","FQ3 2017","Currency=INR","Period=FQ","BEST_FPERIOD_OVERRIDE=FQ","FILING_STATUS=OR","EQY_CONSOLIDATED=Y","Sort=A","Dates=H","DateFormat=P","Fill=—","Direction=H","UseDPDF=Y")</f>
        <v>#NAME?</v>
      </c>
      <c r="CK121" s="2" t="e">
        <f ca="1">_xll.BDH($C$103,"TOT_DEBT_TO_TOT_EQY","FQ3 2017","FQ3 2017","Currency=INR","Period=FQ","BEST_FPERIOD_OVERRIDE=FQ","FILING_STATUS=OR","EQY_CONSOLIDATED=Y","Sort=A","Dates=H","DateFormat=P","Fill=—","Direction=H","UseDPDF=Y")</f>
        <v>#NAME?</v>
      </c>
      <c r="CL121" s="2" t="e">
        <f ca="1">_xll.BDH($C$103,"TOT_DEBT_TO_TOT_CAP","FQ3 2017","FQ3 2017","Currency=INR","Period=FQ","BEST_FPERIOD_OVERRIDE=FQ","FILING_STATUS=OR","EQY_CONSOLIDATED=Y","Sort=A","Dates=H","DateFormat=P","Fill=—","Direction=H","UseDPDF=Y")</f>
        <v>#NAME?</v>
      </c>
      <c r="CM121" s="2" t="e">
        <f ca="1">_xll.BDH($C$103,"TOT_DEBT_TO_TOT_ASSET","FQ3 2017","FQ3 2017","Currency=INR","Period=FQ","BEST_FPERIOD_OVERRIDE=FQ","FILING_STATUS=OR","EQY_CONSOLIDATED=Y","Sort=A","Dates=H","DateFormat=P","Fill=—","Direction=H","UseDPDF=Y")</f>
        <v>#NAME?</v>
      </c>
      <c r="CN121" s="2" t="e">
        <f ca="1">_xll.BDH($C$103,"NET_DEBT_TO_SHRHLDR_EQTY","FQ3 2017","FQ3 2017","Currency=INR","Period=FQ","BEST_FPERIOD_OVERRIDE=FQ","FILING_STATUS=OR","EQY_CONSOLIDATED=Y","Sort=A","Dates=H","DateFormat=P","Fill=—","Direction=H","UseDPDF=Y")</f>
        <v>#NAME?</v>
      </c>
      <c r="CO121" s="2" t="e">
        <f ca="1">_xll.BDH($C$103,"NET_DEBT_%_CAPITAL","FQ3 2017","FQ3 2017","Currency=INR","Period=FQ","BEST_FPERIOD_OVERRIDE=FQ","FILING_STATUS=OR","EQY_CONSOLIDATED=Y","Sort=A","Dates=H","DateFormat=P","Fill=—","Direction=H","UseDPDF=Y")</f>
        <v>#NAME?</v>
      </c>
      <c r="CP121" s="3" t="e">
        <f ca="1">_xll.BDH($C$103,"EBITDA","FQ3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121" s="3" t="e">
        <f ca="1">_xll.BDH($C$103,"EBITDA_AFTER_CAPEX","FQ3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121" s="3" t="e">
        <f ca="1">_xll.BDH($C$103,"IS_OPER_INC","FQ3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121" s="2" t="e">
        <f ca="1">_xll.BDH($C$103,"CASH_RATIO","FQ3 2017","FQ3 2017","Currency=INR","Period=FQ","BEST_FPERIOD_OVERRIDE=FQ","FILING_STATUS=OR","EQY_CONSOLIDATED=Y","Sort=A","Dates=H","DateFormat=P","Fill=—","Direction=H","UseDPDF=Y")</f>
        <v>#NAME?</v>
      </c>
      <c r="CT121" s="2" t="e">
        <f ca="1">_xll.BDH($C$103,"CUR_RATIO","FQ3 2017","FQ3 2017","Currency=INR","Period=FQ","BEST_FPERIOD_OVERRIDE=FQ","FILING_STATUS=OR","EQY_CONSOLIDATED=Y","Sort=A","Dates=H","DateFormat=P","Fill=—","Direction=H","UseDPDF=Y")</f>
        <v>#NAME?</v>
      </c>
      <c r="CU121" s="2" t="e">
        <f ca="1">_xll.BDH($C$103,"QUICK_RATIO","FQ3 2017","FQ3 2017","Currency=INR","Period=FQ","BEST_FPERIOD_OVERRIDE=FQ","FILING_STATUS=OR","EQY_CONSOLIDATED=Y","Sort=A","Dates=H","DateFormat=P","Fill=—","Direction=H","UseDPDF=Y")</f>
        <v>#NAME?</v>
      </c>
      <c r="CV121" s="2" t="e">
        <f ca="1">_xll.BDH($C$103,"ALTMAN_Z_SCORE","FQ3 2017","FQ3 2017","Currency=INR","Period=FQ","BEST_FPERIOD_OVERRIDE=FQ","FILING_STATUS=OR","EQY_CONSOLIDATED=Y","Sort=A","Dates=H","DateFormat=P","Fill=—","Direction=H","UseDPDF=Y")</f>
        <v>#NAME?</v>
      </c>
      <c r="CW121" s="4" t="e">
        <f ca="1">_xll.BDH($C$103,"ACCT_RCV_TURN","FQ3 2017","FQ3 2017","Currency=INR","Period=FQ","BEST_FPERIOD_OVERRIDE=FQ","FILING_STATUS=OR","EQY_CONSOLIDATED=Y","FA_ADJUSTED=GAAP","Sort=A","Dates=H","DateFormat=P","Fill=—","Direction=H","UseDPDF=Y")</f>
        <v>#NAME?</v>
      </c>
      <c r="CX121" s="2" t="e">
        <f ca="1">_xll.BDH($C$103,"ACCT_RCV_DAYS","FQ3 2017","FQ3 2017","Currency=INR","Period=FQ","BEST_FPERIOD_OVERRIDE=FQ","FILING_STATUS=OR","EQY_CONSOLIDATED=Y","FA_ADJUSTED=GAAP","Sort=A","Dates=H","DateFormat=P","Fill=—","Direction=H","UseDPDF=Y")</f>
        <v>#NAME?</v>
      </c>
      <c r="CY121" s="4" t="e">
        <f ca="1">_xll.BDH($C$103,"INVENT_TURN","FQ3 2017","FQ3 2017","Currency=INR","Period=FQ","BEST_FPERIOD_OVERRIDE=FQ","FILING_STATUS=OR","EQY_CONSOLIDATED=Y","FA_ADJUSTED=GAAP","Sort=A","Dates=H","DateFormat=P","Fill=—","Direction=H","UseDPDF=Y")</f>
        <v>#NAME?</v>
      </c>
      <c r="CZ121" s="2" t="e">
        <f ca="1">_xll.BDH($C$103,"INVENT_DAYS","FQ3 2017","FQ3 2017","Currency=INR","Period=FQ","BEST_FPERIOD_OVERRIDE=FQ","FILING_STATUS=OR","EQY_CONSOLIDATED=Y","FA_ADJUSTED=GAAP","Sort=A","Dates=H","DateFormat=P","Fill=—","Direction=H","UseDPDF=Y")</f>
        <v>#NAME?</v>
      </c>
      <c r="DA121" s="4" t="e">
        <f ca="1">_xll.BDH($C$103,"ACCOUNTS_PAYABLE_TURNOVER","FQ3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121" s="2" t="e">
        <f ca="1">_xll.BDH($C$103,"ACCOUNTS_PAYABLE_TURNOVER_DAYS","FQ3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121" s="4" t="e">
        <f ca="1">_xll.BDH($C$103,"CASH_CONVERSION_CYCLE","FQ3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121" s="4" t="e">
        <f ca="1">_xll.BDH($C$103,"INV_TO_CASH_DAYS","FQ3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121" s="5" t="e">
        <f ca="1">_xll.BDH($C$103,"BS_INVENTORIES","FQ3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121" s="3" t="e">
        <f ca="1">_xll.BDH($C$103,"INVTRY_RAW_MATERIALS","FQ3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121" s="3" t="e">
        <f ca="1">_xll.BDH($C$103,"INVTRY_IN_PROGRESS","FQ3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121" s="3" t="e">
        <f ca="1">_xll.BDH($C$103,"INVTRY_FINISHED_GOODS","FQ3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121" s="3" t="e">
        <f ca="1">_xll.BDH($C$103,"BS_OTHER_INV","FQ3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122" spans="1:113" x14ac:dyDescent="0.3">
      <c r="A122" s="6"/>
      <c r="B122" s="6"/>
      <c r="C122" s="6"/>
      <c r="D122" s="6"/>
      <c r="E122" t="s">
        <v>81</v>
      </c>
      <c r="F122" t="e">
        <f ca="1">_xll.BDH($C$103,"RETURN_COM_EQY","FQ4 2017","FQ4 2017","Currency=INR","Period=FQ","BEST_FPERIOD_OVERRIDE=FQ","FILING_STATUS=OR","EQY_CONSOLIDATED=Y","FA_ADJUSTED=GAAP","Sort=A","Dates=H","DateFormat=P","Fill=—","Direction=H","UseDPDF=Y")</f>
        <v>#NAME?</v>
      </c>
      <c r="G122" t="e">
        <f ca="1">_xll.BDH($C$103,"RETURN_ON_ASSET","FQ4 2017","FQ4 2017","Currency=INR","Period=FQ","BEST_FPERIOD_OVERRIDE=FQ","FILING_STATUS=OR","EQY_CONSOLIDATED=Y","FA_ADJUSTED=GAAP","Sort=A","Dates=H","DateFormat=P","Fill=—","Direction=H","UseDPDF=Y")</f>
        <v>#NAME?</v>
      </c>
      <c r="H122" t="e">
        <f ca="1">_xll.BDH($C$103,"RETURN_ON_CAP","FQ4 2017","FQ4 2017","Currency=INR","Period=FQ","BEST_FPERIOD_OVERRIDE=FQ","FILING_STATUS=OR","EQY_CONSOLIDATED=Y","FA_ADJUSTED=GAAP","Sort=A","Dates=H","DateFormat=P","Fill=—","Direction=H","UseDPDF=Y")</f>
        <v>#NAME?</v>
      </c>
      <c r="I122" t="e">
        <f ca="1">_xll.BDH($C$103,"RETURN_ON_INV_CAPITAL","FQ4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122" t="e">
        <f ca="1">_xll.BDH($C$103,"EBITDA_TO_REVENUE","FQ4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122" t="e">
        <f ca="1">_xll.BDH($C$103,"OPER_MARGIN","FQ4 2017","FQ4 2017","Currency=INR","Period=FQ","BEST_FPERIOD_OVERRIDE=FQ","FILING_STATUS=OR","EQY_CONSOLIDATED=Y","FA_ADJUSTED=GAAP","Sort=A","Dates=H","DateFormat=P","Fill=—","Direction=H","UseDPDF=Y")</f>
        <v>#NAME?</v>
      </c>
      <c r="L122" t="e">
        <f ca="1">_xll.BDH($C$103,"INCREMENTAL_OPERATING_MARGIN","FQ4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122" t="e">
        <f ca="1">_xll.BDH($C$103,"PRETAX_INC_TO_NET_SALES","FQ4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122" t="e">
        <f ca="1">_xll.BDH($C$103,"INC_BEF_XO_ITEMS_TO_NET_SALES","FQ4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122" t="e">
        <f ca="1">_xll.BDH($C$103,"PROF_MARGIN","FQ4 2017","FQ4 2017","Currency=INR","Period=FQ","BEST_FPERIOD_OVERRIDE=FQ","FILING_STATUS=OR","EQY_CONSOLIDATED=Y","FA_ADJUSTED=GAAP","Sort=A","Dates=H","DateFormat=P","Fill=—","Direction=H","UseDPDF=Y")</f>
        <v>#NAME?</v>
      </c>
      <c r="P122" t="e">
        <f ca="1">_xll.BDH($C$103,"NET_INCOME_TO_COMMON_MARGIN","FQ4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122" t="e">
        <f ca="1">_xll.BDH($C$103,"EFF_TAX_RATE","FQ4 2017","FQ4 2017","Currency=INR","Period=FQ","BEST_FPERIOD_OVERRIDE=FQ","FILING_STATUS=OR","EQY_CONSOLIDATED=Y","FA_ADJUSTED=GAAP","Sort=A","Dates=H","DateFormat=P","Fill=—","Direction=H","UseDPDF=Y")</f>
        <v>#NAME?</v>
      </c>
      <c r="R122" t="e">
        <f ca="1">_xll.BDH($C$103,"DVD_PAYOUT_RATIO","FQ4 2017","FQ4 2017","Currency=INR","Period=FQ","BEST_FPERIOD_OVERRIDE=FQ","FILING_STATUS=OR","EQY_CONSOLIDATED=Y","FA_ADJUSTED=GAAP","Sort=A","Dates=H","DateFormat=P","Fill=—","Direction=H","UseDPDF=Y")</f>
        <v>#NAME?</v>
      </c>
      <c r="S122" t="e">
        <f ca="1">_xll.BDH($C$103,"SUSTAIN_GROWTH_RT","FQ4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122" s="2" t="e">
        <f ca="1">_xll.BDH($C$103,"SALES_GROWTH","FQ4 2017","FQ4 2017","Currency=INR","Period=FQ","BEST_FPERIOD_OVERRIDE=FQ","FILING_STATUS=OR","EQY_CONSOLIDATED=Y","FA_ADJUSTED=GAAP","Sort=A","Dates=H","DateFormat=P","Fill=—","Direction=H","UseDPDF=Y")</f>
        <v>#NAME?</v>
      </c>
      <c r="U122" s="2" t="e">
        <f ca="1">_xll.BDH($C$103,"EBITDA_GROWTH","FQ4 2017","FQ4 2017","Currency=INR","Period=FQ","BEST_FPERIOD_OVERRIDE=FQ","FILING_STATUS=OR","EQY_CONSOLIDATED=Y","FA_ADJUSTED=GAAP","Sort=A","Dates=H","DateFormat=P","Fill=—","Direction=H","UseDPDF=Y")</f>
        <v>#NAME?</v>
      </c>
      <c r="V122" s="2" t="e">
        <f ca="1">_xll.BDH($C$103,"OPER_INC_GROWTH","FQ4 2017","FQ4 2017","Currency=INR","Period=FQ","BEST_FPERIOD_OVERRIDE=FQ","FILING_STATUS=OR","EQY_CONSOLIDATED=Y","FA_ADJUSTED=GAAP","Sort=A","Dates=H","DateFormat=P","Fill=—","Direction=H","UseDPDF=Y")</f>
        <v>#NAME?</v>
      </c>
      <c r="W122" s="2" t="e">
        <f ca="1">_xll.BDH($C$103,"EARN_FOR_COM_GROWTH","FQ4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122" s="2" t="e">
        <f ca="1">_xll.BDH($C$103,"DILUTED_EPS_AFT_XO_ITEMS_GROWTH","FQ4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122" s="2" t="e">
        <f ca="1">_xll.BDH($C$103,"DIVIDEND_PER_SHARE_1_YEAR_GROWTH","FQ4 2017","FQ4 2017","Currency=INR","Period=FQ","BEST_FPERIOD_OVERRIDE=FQ","FILING_STATUS=OR","EQY_CONSOLIDATED=Y","Sort=A","Dates=H","DateFormat=P","Fill=—","Direction=H","UseDPDF=Y")</f>
        <v>#NAME?</v>
      </c>
      <c r="Z122" s="2" t="e">
        <f ca="1">_xll.BDH($C$103,"ACCOUNTS_RECEIVABLE_GROWTH","FQ4 2017","FQ4 2017","Currency=INR","Period=FQ","BEST_FPERIOD_OVERRIDE=FQ","FILING_STATUS=OR","EQY_CONSOLIDATED=Y","Sort=A","Dates=H","DateFormat=P","Fill=—","Direction=H","UseDPDF=Y")</f>
        <v>#NAME?</v>
      </c>
      <c r="AA122" s="2" t="e">
        <f ca="1">_xll.BDH($C$103,"INVENTORY_GROWTH","FQ4 2017","FQ4 2017","Currency=INR","Period=FQ","BEST_FPERIOD_OVERRIDE=FQ","FILING_STATUS=OR","EQY_CONSOLIDATED=Y","Sort=A","Dates=H","DateFormat=P","Fill=—","Direction=H","UseDPDF=Y")</f>
        <v>#NAME?</v>
      </c>
      <c r="AB122" s="2" t="e">
        <f ca="1">_xll.BDH($C$103,"NET_FIXED_ASSETS_1_YEAR_GROWTH","FQ4 2017","FQ4 2017","Currency=INR","Period=FQ","BEST_FPERIOD_OVERRIDE=FQ","FILING_STATUS=OR","EQY_CONSOLIDATED=Y","Sort=A","Dates=H","DateFormat=P","Fill=—","Direction=H","UseDPDF=Y")</f>
        <v>#NAME?</v>
      </c>
      <c r="AC122" s="2" t="e">
        <f ca="1">_xll.BDH($C$103,"ASSET_GROWTH","FQ4 2017","FQ4 2017","Currency=INR","Period=FQ","BEST_FPERIOD_OVERRIDE=FQ","FILING_STATUS=OR","EQY_CONSOLIDATED=Y","Sort=A","Dates=H","DateFormat=P","Fill=—","Direction=H","UseDPDF=Y")</f>
        <v>#NAME?</v>
      </c>
      <c r="AD122" s="2" t="e">
        <f ca="1">_xll.BDH($C$103,"MODIFIED_WORK_CAP_GROWTH","FQ4 2017","FQ4 2017","Currency=INR","Period=FQ","BEST_FPERIOD_OVERRIDE=FQ","FILING_STATUS=OR","EQY_CONSOLIDATED=Y","Sort=A","Dates=H","DateFormat=P","Fill=—","Direction=H","UseDPDF=Y")</f>
        <v>#NAME?</v>
      </c>
      <c r="AE122" s="2" t="e">
        <f ca="1">_xll.BDH($C$103,"WORK_CAP_GROWTH","FQ4 2017","FQ4 2017","Currency=INR","Period=FQ","BEST_FPERIOD_OVERRIDE=FQ","FILING_STATUS=OR","EQY_CONSOLIDATED=Y","Sort=A","Dates=H","DateFormat=P","Fill=—","Direction=H","UseDPDF=Y")</f>
        <v>#NAME?</v>
      </c>
      <c r="AF122" s="2" t="e">
        <f ca="1">_xll.BDH($C$103,"ACCOUNTS_PAYABLE_GROWTH_1YR","FQ4 2017","FQ4 2017","Currency=INR","Period=FQ","BEST_FPERIOD_OVERRIDE=FQ","FILING_STATUS=OR","EQY_CONSOLIDATED=Y","Sort=A","Dates=H","DateFormat=P","Fill=—","Direction=H","UseDPDF=Y")</f>
        <v>#NAME?</v>
      </c>
      <c r="AG122" s="2" t="e">
        <f ca="1">_xll.BDH($C$103,"SHORT_TERM_DEBT_1_YEAR_GROWTH","FQ4 2017","FQ4 2017","Currency=INR","Period=FQ","BEST_FPERIOD_OVERRIDE=FQ","FILING_STATUS=OR","EQY_CONSOLIDATED=Y","Sort=A","Dates=H","DateFormat=P","Fill=—","Direction=H","UseDPDF=Y")</f>
        <v>#NAME?</v>
      </c>
      <c r="AH122" s="2" t="e">
        <f ca="1">_xll.BDH($C$103,"TOTAL_DEBT_1_YEAR_GROWTH","FQ4 2017","FQ4 2017","Currency=INR","Period=FQ","BEST_FPERIOD_OVERRIDE=FQ","FILING_STATUS=OR","EQY_CONSOLIDATED=Y","Sort=A","Dates=H","DateFormat=P","Fill=—","Direction=H","UseDPDF=Y")</f>
        <v>#NAME?</v>
      </c>
      <c r="AI122" s="2" t="e">
        <f ca="1">_xll.BDH($C$103,"TOTAL_EQUITY_1_YEAR_GROWTH","FQ4 2017","FQ4 2017","Currency=INR","Period=FQ","BEST_FPERIOD_OVERRIDE=FQ","FILING_STATUS=OR","EQY_CONSOLIDATED=Y","Sort=A","Dates=H","DateFormat=P","Fill=—","Direction=H","UseDPDF=Y")</f>
        <v>#NAME?</v>
      </c>
      <c r="AJ122" s="2" t="e">
        <f ca="1">_xll.BDH($C$103,"GROWTH_IN_CAP","FQ4 2017","FQ4 2017","Currency=INR","Period=FQ","BEST_FPERIOD_OVERRIDE=FQ","FILING_STATUS=OR","EQY_CONSOLIDATED=Y","Sort=A","Dates=H","DateFormat=P","Fill=—","Direction=H","UseDPDF=Y")</f>
        <v>#NAME?</v>
      </c>
      <c r="AK122" s="2" t="e">
        <f ca="1">_xll.BDH($C$103,"BVPS_GROWTH","FQ4 2017","FQ4 2017","Currency=INR","Period=FQ","BEST_FPERIOD_OVERRIDE=FQ","FILING_STATUS=OR","EQY_CONSOLIDATED=Y","Sort=A","Dates=H","DateFormat=P","Fill=—","Direction=H","UseDPDF=Y")</f>
        <v>#NAME?</v>
      </c>
      <c r="AL122" s="2" t="e">
        <f ca="1">_xll.BDH($C$103,"CASH_FLOW_GROWTH","FQ4 2017","FQ4 2017","Currency=INR","Period=FQ","BEST_FPERIOD_OVERRIDE=FQ","FILING_STATUS=OR","EQY_CONSOLIDATED=Y","Sort=A","Dates=H","DateFormat=P","Fill=—","Direction=H","UseDPDF=Y")</f>
        <v>#NAME?</v>
      </c>
      <c r="AM122" s="2" t="e">
        <f ca="1">_xll.BDH($C$103,"GEO_GROW_NET_SALES","FQ4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122" s="2" t="e">
        <f ca="1">_xll.BDH($C$103,"GEO_GROW_EBITDA","FQ4 2017","FQ4 2017","Currency=INR","Period=FQ","BEST_FPERIOD_OVERRIDE=FQ","FILING_STATUS=OR","EQY_CONSOLIDATED=Y","FA_ADJUSTED=GAAP","Sort=A","Dates=H","DateFormat=P","Fill=—","Direction=H","UseDPDF=Y")</f>
        <v>#NAME?</v>
      </c>
      <c r="AO122" s="2" t="e">
        <f ca="1">_xll.BDH($C$103,"GEO_GROW_OPER_INC","FQ4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122" s="2" t="e">
        <f ca="1">_xll.BDH($C$103,"NET_INCOME_TO_COMMON_5_YR_GROWTH","FQ4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122" s="2" t="e">
        <f ca="1">_xll.BDH($C$103,"5Y_GEO_GROWTH_DILUTED_EPS","FQ4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122" s="2" t="e">
        <f ca="1">_xll.BDH($C$103,"GEO_GROW_DVD_PER_SH","FQ4 2017","FQ4 2017","Currency=INR","Period=FQ","BEST_FPERIOD_OVERRIDE=FQ","FILING_STATUS=OR","EQY_CONSOLIDATED=Y","Sort=A","Dates=H","DateFormat=P","Fill=—","Direction=H","UseDPDF=Y")</f>
        <v>#NAME?</v>
      </c>
      <c r="AS122" s="2" t="e">
        <f ca="1">_xll.BDH($C$103,"ACCOUNTS_RECEIVABLE_5_YR_GROWTH","FQ4 2017","FQ4 2017","Currency=INR","Period=FQ","BEST_FPERIOD_OVERRIDE=FQ","FILING_STATUS=OR","EQY_CONSOLIDATED=Y","Sort=A","Dates=H","DateFormat=P","Fill=—","Direction=H","UseDPDF=Y")</f>
        <v>#NAME?</v>
      </c>
      <c r="AT122" s="2" t="e">
        <f ca="1">_xll.BDH($C$103,"INVENTORY_5_YEAR_GROWTH","FQ4 2017","FQ4 2017","Currency=INR","Period=FQ","BEST_FPERIOD_OVERRIDE=FQ","FILING_STATUS=OR","EQY_CONSOLIDATED=Y","Sort=A","Dates=H","DateFormat=P","Fill=—","Direction=H","UseDPDF=Y")</f>
        <v>#NAME?</v>
      </c>
      <c r="AU122" s="2" t="e">
        <f ca="1">_xll.BDH($C$103,"NET_FIXED_ASSETS_5_YEAR_GROWTH","FQ4 2017","FQ4 2017","Currency=INR","Period=FQ","BEST_FPERIOD_OVERRIDE=FQ","FILING_STATUS=OR","EQY_CONSOLIDATED=Y","Sort=A","Dates=H","DateFormat=P","Fill=—","Direction=H","UseDPDF=Y")</f>
        <v>#NAME?</v>
      </c>
      <c r="AV122" s="2" t="e">
        <f ca="1">_xll.BDH($C$103,"GEO_GROW_TOT_ASSET","FQ4 2017","FQ4 2017","Currency=INR","Period=FQ","BEST_FPERIOD_OVERRIDE=FQ","FILING_STATUS=OR","EQY_CONSOLIDATED=Y","Sort=A","Dates=H","DateFormat=P","Fill=—","Direction=H","UseDPDF=Y")</f>
        <v>#NAME?</v>
      </c>
      <c r="AW122" s="2" t="e">
        <f ca="1">_xll.BDH($C$103,"MODIFIED_WORKING_CPTL_5YR_GRWTH","FQ4 2017","FQ4 2017","Currency=INR","Period=FQ","BEST_FPERIOD_OVERRIDE=FQ","FILING_STATUS=OR","EQY_CONSOLIDATED=Y","Sort=A","Dates=H","DateFormat=P","Fill=—","Direction=H","UseDPDF=Y")</f>
        <v>#NAME?</v>
      </c>
      <c r="AX122" s="2" t="e">
        <f ca="1">_xll.BDH($C$103,"WORKING_CAPITAL_5_YEAR_GROWTH","FQ4 2017","FQ4 2017","Currency=INR","Period=FQ","BEST_FPERIOD_OVERRIDE=FQ","FILING_STATUS=OR","EQY_CONSOLIDATED=Y","Sort=A","Dates=H","DateFormat=P","Fill=—","Direction=H","UseDPDF=Y")</f>
        <v>#NAME?</v>
      </c>
      <c r="AY122" s="2" t="e">
        <f ca="1">_xll.BDH($C$103,"ACCOUNTS_PAYABLE_5_YEAR_GROWTH","FQ4 2017","FQ4 2017","Currency=INR","Period=FQ","BEST_FPERIOD_OVERRIDE=FQ","FILING_STATUS=OR","EQY_CONSOLIDATED=Y","Sort=A","Dates=H","DateFormat=P","Fill=—","Direction=H","UseDPDF=Y")</f>
        <v>#NAME?</v>
      </c>
      <c r="AZ122" s="2" t="e">
        <f ca="1">_xll.BDH($C$103,"SHORT_TERM_DEBT_5_YEAR_GROWTH","FQ4 2017","FQ4 2017","Currency=INR","Period=FQ","BEST_FPERIOD_OVERRIDE=FQ","FILING_STATUS=OR","EQY_CONSOLIDATED=Y","Sort=A","Dates=H","DateFormat=P","Fill=—","Direction=H","UseDPDF=Y")</f>
        <v>#NAME?</v>
      </c>
      <c r="BA122" s="2" t="e">
        <f ca="1">_xll.BDH($C$103,"TOTAL_DEBT_5_YEAR_GROWTH","FQ4 2017","FQ4 2017","Currency=INR","Period=FQ","BEST_FPERIOD_OVERRIDE=FQ","FILING_STATUS=OR","EQY_CONSOLIDATED=Y","Sort=A","Dates=H","DateFormat=P","Fill=—","Direction=H","UseDPDF=Y")</f>
        <v>#NAME?</v>
      </c>
      <c r="BB122" s="2" t="e">
        <f ca="1">_xll.BDH($C$103,"GEO_GROW_TOT_SHRHLDR_EQY","FQ4 2017","FQ4 2017","Currency=INR","Period=FQ","BEST_FPERIOD_OVERRIDE=FQ","FILING_STATUS=OR","EQY_CONSOLIDATED=Y","Sort=A","Dates=H","DateFormat=P","Fill=—","Direction=H","UseDPDF=Y")</f>
        <v>#NAME?</v>
      </c>
      <c r="BC122" s="2" t="e">
        <f ca="1">_xll.BDH($C$103,"TOTAL_CAPITAL_5_YEAR_GROWTH","FQ4 2017","FQ4 2017","Currency=INR","Period=FQ","BEST_FPERIOD_OVERRIDE=FQ","FILING_STATUS=OR","EQY_CONSOLIDATED=Y","Sort=A","Dates=H","DateFormat=P","Fill=—","Direction=H","UseDPDF=Y")</f>
        <v>#NAME?</v>
      </c>
      <c r="BD122" s="2" t="e">
        <f ca="1">_xll.BDH($C$103,"GEO_GROW_BOOK_VAL","FQ4 2017","FQ4 2017","Currency=INR","Period=FQ","BEST_FPERIOD_OVERRIDE=FQ","FILING_STATUS=OR","EQY_CONSOLIDATED=Y","Sort=A","Dates=H","DateFormat=P","Fill=—","Direction=H","UseDPDF=Y")</f>
        <v>#NAME?</v>
      </c>
      <c r="BE122" s="2" t="e">
        <f ca="1">_xll.BDH($C$103,"GEO_GROW_CASH_OPER_ACT","FQ4 2017","FQ4 2017","Currency=INR","Period=FQ","BEST_FPERIOD_OVERRIDE=FQ","FILING_STATUS=OR","EQY_CONSOLIDATED=Y","Sort=A","Dates=H","DateFormat=P","Fill=—","Direction=H","UseDPDF=Y")</f>
        <v>#NAME?</v>
      </c>
      <c r="BF122" s="2" t="e">
        <f ca="1">_xll.BDH($C$103,"REVENUE_SEQUENTIAL_GROWTH","FQ4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122" s="2" t="e">
        <f ca="1">_xll.BDH($C$103,"EBITDA_SEQUENTIAL_GROWTH","FQ4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122" s="2" t="e">
        <f ca="1">_xll.BDH($C$103,"OPERATING_INCOME_SEQ_GROWTH","FQ4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122" s="2" t="e">
        <f ca="1">_xll.BDH($C$103,"NET_INCOME_TO_COMMON_SEQ_GROWTH","FQ4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122" s="2" t="e">
        <f ca="1">_xll.BDH($C$103,"EPS_DILUTED_SEQUENTIAL_GROWTH","FQ4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122" s="2" t="e">
        <f ca="1">_xll.BDH($C$103,"DPS_SEQUENTIAL_GROWTH","FQ4 2017","FQ4 2017","Currency=INR","Period=FQ","BEST_FPERIOD_OVERRIDE=FQ","FILING_STATUS=OR","EQY_CONSOLIDATED=Y","Sort=A","Dates=H","DateFormat=P","Fill=—","Direction=H","UseDPDF=Y")</f>
        <v>#NAME?</v>
      </c>
      <c r="BL122" s="2" t="e">
        <f ca="1">_xll.BDH($C$103,"ACCOUNTS_RECEIVABLE_SEQ_GROWTH","FQ4 2017","FQ4 2017","Currency=INR","Period=FQ","BEST_FPERIOD_OVERRIDE=FQ","FILING_STATUS=OR","EQY_CONSOLIDATED=Y","Sort=A","Dates=H","DateFormat=P","Fill=—","Direction=H","UseDPDF=Y")</f>
        <v>#NAME?</v>
      </c>
      <c r="BM122" s="2" t="e">
        <f ca="1">_xll.BDH($C$103,"INVENTORY_SEQUENTIAL_GROWTH","FQ4 2017","FQ4 2017","Currency=INR","Period=FQ","BEST_FPERIOD_OVERRIDE=FQ","FILING_STATUS=OR","EQY_CONSOLIDATED=Y","Sort=A","Dates=H","DateFormat=P","Fill=—","Direction=H","UseDPDF=Y")</f>
        <v>#NAME?</v>
      </c>
      <c r="BN122" s="2" t="e">
        <f ca="1">_xll.BDH($C$103,"FIXED_ASSETS_SEQUENTIAL_GROWTH","FQ4 2017","FQ4 2017","Currency=INR","Period=FQ","BEST_FPERIOD_OVERRIDE=FQ","FILING_STATUS=OR","EQY_CONSOLIDATED=Y","Sort=A","Dates=H","DateFormat=P","Fill=—","Direction=H","UseDPDF=Y")</f>
        <v>#NAME?</v>
      </c>
      <c r="BO122" s="2" t="e">
        <f ca="1">_xll.BDH($C$103,"TOTAL_ASSETS_SEQUENTIAL_GROWTH","FQ4 2017","FQ4 2017","Currency=INR","Period=FQ","BEST_FPERIOD_OVERRIDE=FQ","FILING_STATUS=OR","EQY_CONSOLIDATED=Y","Sort=A","Dates=H","DateFormat=P","Fill=—","Direction=H","UseDPDF=Y")</f>
        <v>#NAME?</v>
      </c>
      <c r="BP122" s="2" t="e">
        <f ca="1">_xll.BDH($C$103,"MODIFIED_WORKING_CPTL_SEQ_GRWTH","FQ4 2017","FQ4 2017","Currency=INR","Period=FQ","BEST_FPERIOD_OVERRIDE=FQ","FILING_STATUS=OR","EQY_CONSOLIDATED=Y","Sort=A","Dates=H","DateFormat=P","Fill=—","Direction=H","UseDPDF=Y")</f>
        <v>#NAME?</v>
      </c>
      <c r="BQ122" s="2" t="e">
        <f ca="1">_xll.BDH($C$103,"WORKING_CAPITAL_SEQ_GROWTH","FQ4 2017","FQ4 2017","Currency=INR","Period=FQ","BEST_FPERIOD_OVERRIDE=FQ","FILING_STATUS=OR","EQY_CONSOLIDATED=Y","Sort=A","Dates=H","DateFormat=P","Fill=—","Direction=H","UseDPDF=Y")</f>
        <v>#NAME?</v>
      </c>
      <c r="BR122" s="2" t="e">
        <f ca="1">_xll.BDH($C$103,"ACCOUNTS_PAYABLE_SEQ_GROWTH","FQ4 2017","FQ4 2017","Currency=INR","Period=FQ","BEST_FPERIOD_OVERRIDE=FQ","FILING_STATUS=OR","EQY_CONSOLIDATED=Y","Sort=A","Dates=H","DateFormat=P","Fill=—","Direction=H","UseDPDF=Y")</f>
        <v>#NAME?</v>
      </c>
      <c r="BS122" s="2" t="e">
        <f ca="1">_xll.BDH($C$103,"ST_DEBT_SEQUENTIAL_GROWTH","FQ4 2017","FQ4 2017","Currency=INR","Period=FQ","BEST_FPERIOD_OVERRIDE=FQ","FILING_STATUS=OR","EQY_CONSOLIDATED=Y","Sort=A","Dates=H","DateFormat=P","Fill=—","Direction=H","UseDPDF=Y")</f>
        <v>#NAME?</v>
      </c>
      <c r="BT122" s="2" t="e">
        <f ca="1">_xll.BDH($C$103,"TOTAL_DEBT_SEQUENTIAL_GROWTH","FQ4 2017","FQ4 2017","Currency=INR","Period=FQ","BEST_FPERIOD_OVERRIDE=FQ","FILING_STATUS=OR","EQY_CONSOLIDATED=Y","Sort=A","Dates=H","DateFormat=P","Fill=—","Direction=H","UseDPDF=Y")</f>
        <v>#NAME?</v>
      </c>
      <c r="BU122" s="2" t="e">
        <f ca="1">_xll.BDH($C$103,"TOTAL_EQUITY_SEQUENTIAL_GROWTH","FQ4 2017","FQ4 2017","Currency=INR","Period=FQ","BEST_FPERIOD_OVERRIDE=FQ","FILING_STATUS=OR","EQY_CONSOLIDATED=Y","Sort=A","Dates=H","DateFormat=P","Fill=—","Direction=H","UseDPDF=Y")</f>
        <v>#NAME?</v>
      </c>
      <c r="BV122" s="2" t="e">
        <f ca="1">_xll.BDH($C$103,"TOTAL_CAPITAL_SEQUENTIAL_GROWTH","FQ4 2017","FQ4 2017","Currency=INR","Period=FQ","BEST_FPERIOD_OVERRIDE=FQ","FILING_STATUS=OR","EQY_CONSOLIDATED=Y","Sort=A","Dates=H","DateFormat=P","Fill=—","Direction=H","UseDPDF=Y")</f>
        <v>#NAME?</v>
      </c>
      <c r="BW122" s="2" t="e">
        <f ca="1">_xll.BDH($C$103,"BPS_SEQUENTIAL_GROWTH","FQ4 2017","FQ4 2017","Currency=INR","Period=FQ","BEST_FPERIOD_OVERRIDE=FQ","FILING_STATUS=OR","EQY_CONSOLIDATED=Y","Sort=A","Dates=H","DateFormat=P","Fill=—","Direction=H","UseDPDF=Y")</f>
        <v>#NAME?</v>
      </c>
      <c r="BX122" s="2" t="e">
        <f ca="1">_xll.BDH($C$103,"CFO_SEQUENTIAL_GROWTH","FQ4 2017","FQ4 2017","Currency=INR","Period=FQ","BEST_FPERIOD_OVERRIDE=FQ","FILING_STATUS=OR","EQY_CONSOLIDATED=Y","Sort=A","Dates=H","DateFormat=P","Fill=—","Direction=H","UseDPDF=Y")</f>
        <v>#NAME?</v>
      </c>
      <c r="BY122" s="3" t="e">
        <f ca="1">_xll.BDH($C$103,"SHORT_AND_LONG_TERM_DEBT","FQ4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122" s="3" t="e">
        <f ca="1">_xll.BDH($C$103,"BS_ST_BORROW","FQ4 2017","FQ4 2017","Currency=INR","Period=FQ","BEST_FPERIOD_OVERRIDE=FQ","FILING_STATUS=OR","EQY_CONSOLIDATED=Y","SCALING_FORMAT=MLN","Sort=A","Dates=H","DateFormat=P","Fill=—","Direction=H","UseDPDF=Y")</f>
        <v>#NAME?</v>
      </c>
      <c r="CA122" s="3" t="e">
        <f ca="1">_xll.BDH($C$103,"BS_LT_BORROW","FQ4 2017","FQ4 2017","Currency=INR","Period=FQ","BEST_FPERIOD_OVERRIDE=FQ","FILING_STATUS=OR","EQY_CONSOLIDATED=Y","SCALING_FORMAT=MLN","Sort=A","Dates=H","DateFormat=P","Fill=—","Direction=H","UseDPDF=Y")</f>
        <v>#NAME?</v>
      </c>
      <c r="CB122" s="2" t="e">
        <f ca="1">_xll.BDH($C$103,"TOT_DEBT_TO_EBITDA","FQ4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122" s="2" t="e">
        <f ca="1">_xll.BDH($C$103,"NET_DEBT_TO_EBITDA","FQ4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122" s="2" t="e">
        <f ca="1">_xll.BDH($C$103,"TOTAL_DEBT_TO_EBIT","FQ4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122" s="2" t="e">
        <f ca="1">_xll.BDH($C$103,"NET_DEBT_TO_EBIT","FQ4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122" s="2" t="e">
        <f ca="1">_xll.BDH($C$103,"EBITDA_TO_INTEREST_EXPN","FQ4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122" s="2" t="e">
        <f ca="1">_xll.BDH($C$103,"COM_EQY_TO_TOT_ASSET","FQ4 2017","FQ4 2017","Currency=INR","Period=FQ","BEST_FPERIOD_OVERRIDE=FQ","FILING_STATUS=OR","EQY_CONSOLIDATED=Y","Sort=A","Dates=H","DateFormat=P","Fill=—","Direction=H","UseDPDF=Y")</f>
        <v>#NAME?</v>
      </c>
      <c r="CH122" s="2" t="e">
        <f ca="1">_xll.BDH($C$103,"LT_DEBT_TO_TOT_EQY","FQ4 2017","FQ4 2017","Currency=INR","Period=FQ","BEST_FPERIOD_OVERRIDE=FQ","FILING_STATUS=OR","EQY_CONSOLIDATED=Y","Sort=A","Dates=H","DateFormat=P","Fill=—","Direction=H","UseDPDF=Y")</f>
        <v>#NAME?</v>
      </c>
      <c r="CI122" s="2" t="e">
        <f ca="1">_xll.BDH($C$103,"LT_DEBT_TO_TOT_CAP","FQ4 2017","FQ4 2017","Currency=INR","Period=FQ","BEST_FPERIOD_OVERRIDE=FQ","FILING_STATUS=OR","EQY_CONSOLIDATED=Y","Sort=A","Dates=H","DateFormat=P","Fill=—","Direction=H","UseDPDF=Y")</f>
        <v>#NAME?</v>
      </c>
      <c r="CJ122" s="2" t="e">
        <f ca="1">_xll.BDH($C$103,"LT_DEBT_TO_TOT_ASSET","FQ4 2017","FQ4 2017","Currency=INR","Period=FQ","BEST_FPERIOD_OVERRIDE=FQ","FILING_STATUS=OR","EQY_CONSOLIDATED=Y","Sort=A","Dates=H","DateFormat=P","Fill=—","Direction=H","UseDPDF=Y")</f>
        <v>#NAME?</v>
      </c>
      <c r="CK122" s="2" t="e">
        <f ca="1">_xll.BDH($C$103,"TOT_DEBT_TO_TOT_EQY","FQ4 2017","FQ4 2017","Currency=INR","Period=FQ","BEST_FPERIOD_OVERRIDE=FQ","FILING_STATUS=OR","EQY_CONSOLIDATED=Y","Sort=A","Dates=H","DateFormat=P","Fill=—","Direction=H","UseDPDF=Y")</f>
        <v>#NAME?</v>
      </c>
      <c r="CL122" s="2" t="e">
        <f ca="1">_xll.BDH($C$103,"TOT_DEBT_TO_TOT_CAP","FQ4 2017","FQ4 2017","Currency=INR","Period=FQ","BEST_FPERIOD_OVERRIDE=FQ","FILING_STATUS=OR","EQY_CONSOLIDATED=Y","Sort=A","Dates=H","DateFormat=P","Fill=—","Direction=H","UseDPDF=Y")</f>
        <v>#NAME?</v>
      </c>
      <c r="CM122" s="2" t="e">
        <f ca="1">_xll.BDH($C$103,"TOT_DEBT_TO_TOT_ASSET","FQ4 2017","FQ4 2017","Currency=INR","Period=FQ","BEST_FPERIOD_OVERRIDE=FQ","FILING_STATUS=OR","EQY_CONSOLIDATED=Y","Sort=A","Dates=H","DateFormat=P","Fill=—","Direction=H","UseDPDF=Y")</f>
        <v>#NAME?</v>
      </c>
      <c r="CN122" s="2" t="e">
        <f ca="1">_xll.BDH($C$103,"NET_DEBT_TO_SHRHLDR_EQTY","FQ4 2017","FQ4 2017","Currency=INR","Period=FQ","BEST_FPERIOD_OVERRIDE=FQ","FILING_STATUS=OR","EQY_CONSOLIDATED=Y","Sort=A","Dates=H","DateFormat=P","Fill=—","Direction=H","UseDPDF=Y")</f>
        <v>#NAME?</v>
      </c>
      <c r="CO122" s="2" t="e">
        <f ca="1">_xll.BDH($C$103,"NET_DEBT_%_CAPITAL","FQ4 2017","FQ4 2017","Currency=INR","Period=FQ","BEST_FPERIOD_OVERRIDE=FQ","FILING_STATUS=OR","EQY_CONSOLIDATED=Y","Sort=A","Dates=H","DateFormat=P","Fill=—","Direction=H","UseDPDF=Y")</f>
        <v>#NAME?</v>
      </c>
      <c r="CP122" s="3" t="e">
        <f ca="1">_xll.BDH($C$103,"EBITDA","FQ4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122" s="3" t="e">
        <f ca="1">_xll.BDH($C$103,"EBITDA_AFTER_CAPEX","FQ4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122" s="3" t="e">
        <f ca="1">_xll.BDH($C$103,"IS_OPER_INC","FQ4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122" s="2" t="e">
        <f ca="1">_xll.BDH($C$103,"CASH_RATIO","FQ4 2017","FQ4 2017","Currency=INR","Period=FQ","BEST_FPERIOD_OVERRIDE=FQ","FILING_STATUS=OR","EQY_CONSOLIDATED=Y","Sort=A","Dates=H","DateFormat=P","Fill=—","Direction=H","UseDPDF=Y")</f>
        <v>#NAME?</v>
      </c>
      <c r="CT122" s="2" t="e">
        <f ca="1">_xll.BDH($C$103,"CUR_RATIO","FQ4 2017","FQ4 2017","Currency=INR","Period=FQ","BEST_FPERIOD_OVERRIDE=FQ","FILING_STATUS=OR","EQY_CONSOLIDATED=Y","Sort=A","Dates=H","DateFormat=P","Fill=—","Direction=H","UseDPDF=Y")</f>
        <v>#NAME?</v>
      </c>
      <c r="CU122" s="2" t="e">
        <f ca="1">_xll.BDH($C$103,"QUICK_RATIO","FQ4 2017","FQ4 2017","Currency=INR","Period=FQ","BEST_FPERIOD_OVERRIDE=FQ","FILING_STATUS=OR","EQY_CONSOLIDATED=Y","Sort=A","Dates=H","DateFormat=P","Fill=—","Direction=H","UseDPDF=Y")</f>
        <v>#NAME?</v>
      </c>
      <c r="CV122" s="2" t="e">
        <f ca="1">_xll.BDH($C$103,"ALTMAN_Z_SCORE","FQ4 2017","FQ4 2017","Currency=INR","Period=FQ","BEST_FPERIOD_OVERRIDE=FQ","FILING_STATUS=OR","EQY_CONSOLIDATED=Y","Sort=A","Dates=H","DateFormat=P","Fill=—","Direction=H","UseDPDF=Y")</f>
        <v>#NAME?</v>
      </c>
      <c r="CW122" s="4" t="e">
        <f ca="1">_xll.BDH($C$103,"ACCT_RCV_TURN","FQ4 2017","FQ4 2017","Currency=INR","Period=FQ","BEST_FPERIOD_OVERRIDE=FQ","FILING_STATUS=OR","EQY_CONSOLIDATED=Y","FA_ADJUSTED=GAAP","Sort=A","Dates=H","DateFormat=P","Fill=—","Direction=H","UseDPDF=Y")</f>
        <v>#NAME?</v>
      </c>
      <c r="CX122" s="2" t="e">
        <f ca="1">_xll.BDH($C$103,"ACCT_RCV_DAYS","FQ4 2017","FQ4 2017","Currency=INR","Period=FQ","BEST_FPERIOD_OVERRIDE=FQ","FILING_STATUS=OR","EQY_CONSOLIDATED=Y","FA_ADJUSTED=GAAP","Sort=A","Dates=H","DateFormat=P","Fill=—","Direction=H","UseDPDF=Y")</f>
        <v>#NAME?</v>
      </c>
      <c r="CY122" s="4" t="e">
        <f ca="1">_xll.BDH($C$103,"INVENT_TURN","FQ4 2017","FQ4 2017","Currency=INR","Period=FQ","BEST_FPERIOD_OVERRIDE=FQ","FILING_STATUS=OR","EQY_CONSOLIDATED=Y","FA_ADJUSTED=GAAP","Sort=A","Dates=H","DateFormat=P","Fill=—","Direction=H","UseDPDF=Y")</f>
        <v>#NAME?</v>
      </c>
      <c r="CZ122" s="2" t="e">
        <f ca="1">_xll.BDH($C$103,"INVENT_DAYS","FQ4 2017","FQ4 2017","Currency=INR","Period=FQ","BEST_FPERIOD_OVERRIDE=FQ","FILING_STATUS=OR","EQY_CONSOLIDATED=Y","FA_ADJUSTED=GAAP","Sort=A","Dates=H","DateFormat=P","Fill=—","Direction=H","UseDPDF=Y")</f>
        <v>#NAME?</v>
      </c>
      <c r="DA122" s="4" t="e">
        <f ca="1">_xll.BDH($C$103,"ACCOUNTS_PAYABLE_TURNOVER","FQ4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122" s="2" t="e">
        <f ca="1">_xll.BDH($C$103,"ACCOUNTS_PAYABLE_TURNOVER_DAYS","FQ4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122" s="4" t="e">
        <f ca="1">_xll.BDH($C$103,"CASH_CONVERSION_CYCLE","FQ4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122" s="4" t="e">
        <f ca="1">_xll.BDH($C$103,"INV_TO_CASH_DAYS","FQ4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122" s="5" t="e">
        <f ca="1">_xll.BDH($C$103,"BS_INVENTORIES","FQ4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122" s="3" t="e">
        <f ca="1">_xll.BDH($C$103,"INVTRY_RAW_MATERIALS","FQ4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122" s="3" t="e">
        <f ca="1">_xll.BDH($C$103,"INVTRY_IN_PROGRESS","FQ4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122" s="3" t="e">
        <f ca="1">_xll.BDH($C$103,"INVTRY_FINISHED_GOODS","FQ4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122" s="3" t="e">
        <f ca="1">_xll.BDH($C$103,"BS_OTHER_INV","FQ4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123" spans="1:113" x14ac:dyDescent="0.3">
      <c r="A123" s="6"/>
      <c r="B123" s="6"/>
      <c r="C123" s="6"/>
      <c r="D123" s="6" t="s">
        <v>85</v>
      </c>
      <c r="E123" t="s">
        <v>77</v>
      </c>
      <c r="F123" t="e">
        <f ca="1">_xll.BDH($C$103,"RETURN_COM_EQY","FY 2018","FY 2018","Currency=INR","Period=FY","BEST_FPERIOD_OVERRIDE=FY","FILING_STATUS=OR","EQY_CONSOLIDATED=Y","FA_ADJUSTED=GAAP","Sort=A","Dates=H","DateFormat=P","Fill=—","Direction=H","UseDPDF=Y")</f>
        <v>#NAME?</v>
      </c>
      <c r="G123" t="e">
        <f ca="1">_xll.BDH($C$103,"RETURN_ON_ASSET","FY 2018","FY 2018","Currency=INR","Period=FY","BEST_FPERIOD_OVERRIDE=FY","FILING_STATUS=OR","EQY_CONSOLIDATED=Y","FA_ADJUSTED=GAAP","Sort=A","Dates=H","DateFormat=P","Fill=—","Direction=H","UseDPDF=Y")</f>
        <v>#NAME?</v>
      </c>
      <c r="H123" t="e">
        <f ca="1">_xll.BDH($C$103,"RETURN_ON_CAP","FY 2018","FY 2018","Currency=INR","Period=FY","BEST_FPERIOD_OVERRIDE=FY","FILING_STATUS=OR","EQY_CONSOLIDATED=Y","FA_ADJUSTED=GAAP","Sort=A","Dates=H","DateFormat=P","Fill=—","Direction=H","UseDPDF=Y")</f>
        <v>#NAME?</v>
      </c>
      <c r="I123" t="e">
        <f ca="1">_xll.BDH($C$103,"RETURN_ON_INV_CAPITAL","FY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123" t="e">
        <f ca="1">_xll.BDH($C$103,"EBITDA_TO_REVENUE","FY 2018","FY 2018","Currency=INR","Period=FY","BEST_FPERIOD_OVERRIDE=FY","FILING_STATUS=OR","EQY_CONSOLIDATED=Y","FA_ADJUSTED=GAAP","Sort=A","Dates=H","DateFormat=P","Fill=—","Direction=H","UseDPDF=Y")</f>
        <v>#NAME?</v>
      </c>
      <c r="K123" t="e">
        <f ca="1">_xll.BDH($C$103,"OPER_MARGIN","FY 2018","FY 2018","Currency=INR","Period=FY","BEST_FPERIOD_OVERRIDE=FY","FILING_STATUS=OR","EQY_CONSOLIDATED=Y","FA_ADJUSTED=GAAP","Sort=A","Dates=H","DateFormat=P","Fill=—","Direction=H","UseDPDF=Y")</f>
        <v>#NAME?</v>
      </c>
      <c r="L123" t="e">
        <f ca="1">_xll.BDH($C$103,"INCREMENTAL_OPERATING_MARGIN","FY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123" t="e">
        <f ca="1">_xll.BDH($C$103,"PRETAX_INC_TO_NET_SALES","FY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123" t="e">
        <f ca="1">_xll.BDH($C$103,"INC_BEF_XO_ITEMS_TO_NET_SALES","FY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123" t="e">
        <f ca="1">_xll.BDH($C$103,"PROF_MARGIN","FY 2018","FY 2018","Currency=INR","Period=FY","BEST_FPERIOD_OVERRIDE=FY","FILING_STATUS=OR","EQY_CONSOLIDATED=Y","FA_ADJUSTED=GAAP","Sort=A","Dates=H","DateFormat=P","Fill=—","Direction=H","UseDPDF=Y")</f>
        <v>#NAME?</v>
      </c>
      <c r="P123" t="e">
        <f ca="1">_xll.BDH($C$103,"NET_INCOME_TO_COMMON_MARGIN","FY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123" t="e">
        <f ca="1">_xll.BDH($C$103,"EFF_TAX_RATE","FY 2018","FY 2018","Currency=INR","Period=FY","BEST_FPERIOD_OVERRIDE=FY","FILING_STATUS=OR","EQY_CONSOLIDATED=Y","FA_ADJUSTED=GAAP","Sort=A","Dates=H","DateFormat=P","Fill=—","Direction=H","UseDPDF=Y")</f>
        <v>#NAME?</v>
      </c>
      <c r="R123" t="e">
        <f ca="1">_xll.BDH($C$103,"DVD_PAYOUT_RATIO","FY 2018","FY 2018","Currency=INR","Period=FY","BEST_FPERIOD_OVERRIDE=FY","FILING_STATUS=OR","EQY_CONSOLIDATED=Y","FA_ADJUSTED=GAAP","Sort=A","Dates=H","DateFormat=P","Fill=—","Direction=H","UseDPDF=Y")</f>
        <v>#NAME?</v>
      </c>
      <c r="S123" t="e">
        <f ca="1">_xll.BDH($C$103,"SUSTAIN_GROWTH_RT","FY 2018","FY 2018","Currency=INR","Period=FY","BEST_FPERIOD_OVERRIDE=FY","FILING_STATUS=OR","EQY_CONSOLIDATED=Y","FA_ADJUSTED=GAAP","Sort=A","Dates=H","DateFormat=P","Fill=—","Direction=H","UseDPDF=Y")</f>
        <v>#NAME?</v>
      </c>
      <c r="T123" s="2" t="e">
        <f ca="1">_xll.BDH($C$103,"SALES_GROWTH","FY 2018","FY 2018","Currency=INR","Period=FY","BEST_FPERIOD_OVERRIDE=FY","FILING_STATUS=OR","EQY_CONSOLIDATED=Y","FA_ADJUSTED=GAAP","Sort=A","Dates=H","DateFormat=P","Fill=—","Direction=H","UseDPDF=Y")</f>
        <v>#NAME?</v>
      </c>
      <c r="U123" s="2" t="e">
        <f ca="1">_xll.BDH($C$103,"EBITDA_GROWTH","FY 2018","FY 2018","Currency=INR","Period=FY","BEST_FPERIOD_OVERRIDE=FY","FILING_STATUS=OR","EQY_CONSOLIDATED=Y","FA_ADJUSTED=GAAP","Sort=A","Dates=H","DateFormat=P","Fill=—","Direction=H","UseDPDF=Y")</f>
        <v>#NAME?</v>
      </c>
      <c r="V123" s="2" t="e">
        <f ca="1">_xll.BDH($C$103,"OPER_INC_GROWTH","FY 2018","FY 2018","Currency=INR","Period=FY","BEST_FPERIOD_OVERRIDE=FY","FILING_STATUS=OR","EQY_CONSOLIDATED=Y","FA_ADJUSTED=GAAP","Sort=A","Dates=H","DateFormat=P","Fill=—","Direction=H","UseDPDF=Y")</f>
        <v>#NAME?</v>
      </c>
      <c r="W123" s="2" t="e">
        <f ca="1">_xll.BDH($C$103,"EARN_FOR_COM_GROWTH","FY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123" s="2" t="e">
        <f ca="1">_xll.BDH($C$103,"DILUTED_EPS_AFT_XO_ITEMS_GROWTH","FY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123" s="2" t="e">
        <f ca="1">_xll.BDH($C$103,"DIVIDEND_PER_SHARE_1_YEAR_GROWTH","FY 2018","FY 2018","Currency=INR","Period=FY","BEST_FPERIOD_OVERRIDE=FY","FILING_STATUS=OR","EQY_CONSOLIDATED=Y","Sort=A","Dates=H","DateFormat=P","Fill=—","Direction=H","UseDPDF=Y")</f>
        <v>#NAME?</v>
      </c>
      <c r="Z123" s="2" t="e">
        <f ca="1">_xll.BDH($C$103,"ACCOUNTS_RECEIVABLE_GROWTH","FY 2018","FY 2018","Currency=INR","Period=FY","BEST_FPERIOD_OVERRIDE=FY","FILING_STATUS=OR","EQY_CONSOLIDATED=Y","Sort=A","Dates=H","DateFormat=P","Fill=—","Direction=H","UseDPDF=Y")</f>
        <v>#NAME?</v>
      </c>
      <c r="AA123" s="2" t="e">
        <f ca="1">_xll.BDH($C$103,"INVENTORY_GROWTH","FY 2018","FY 2018","Currency=INR","Period=FY","BEST_FPERIOD_OVERRIDE=FY","FILING_STATUS=OR","EQY_CONSOLIDATED=Y","Sort=A","Dates=H","DateFormat=P","Fill=—","Direction=H","UseDPDF=Y")</f>
        <v>#NAME?</v>
      </c>
      <c r="AB123" s="2" t="e">
        <f ca="1">_xll.BDH($C$103,"NET_FIXED_ASSETS_1_YEAR_GROWTH","FY 2018","FY 2018","Currency=INR","Period=FY","BEST_FPERIOD_OVERRIDE=FY","FILING_STATUS=OR","EQY_CONSOLIDATED=Y","Sort=A","Dates=H","DateFormat=P","Fill=—","Direction=H","UseDPDF=Y")</f>
        <v>#NAME?</v>
      </c>
      <c r="AC123" s="2" t="e">
        <f ca="1">_xll.BDH($C$103,"ASSET_GROWTH","FY 2018","FY 2018","Currency=INR","Period=FY","BEST_FPERIOD_OVERRIDE=FY","FILING_STATUS=OR","EQY_CONSOLIDATED=Y","Sort=A","Dates=H","DateFormat=P","Fill=—","Direction=H","UseDPDF=Y")</f>
        <v>#NAME?</v>
      </c>
      <c r="AD123" s="2" t="e">
        <f ca="1">_xll.BDH($C$103,"MODIFIED_WORK_CAP_GROWTH","FY 2018","FY 2018","Currency=INR","Period=FY","BEST_FPERIOD_OVERRIDE=FY","FILING_STATUS=OR","EQY_CONSOLIDATED=Y","Sort=A","Dates=H","DateFormat=P","Fill=—","Direction=H","UseDPDF=Y")</f>
        <v>#NAME?</v>
      </c>
      <c r="AE123" s="2" t="e">
        <f ca="1">_xll.BDH($C$103,"WORK_CAP_GROWTH","FY 2018","FY 2018","Currency=INR","Period=FY","BEST_FPERIOD_OVERRIDE=FY","FILING_STATUS=OR","EQY_CONSOLIDATED=Y","Sort=A","Dates=H","DateFormat=P","Fill=—","Direction=H","UseDPDF=Y")</f>
        <v>#NAME?</v>
      </c>
      <c r="AF123" s="2" t="e">
        <f ca="1">_xll.BDH($C$103,"ACCOUNTS_PAYABLE_GROWTH_1YR","FY 2018","FY 2018","Currency=INR","Period=FY","BEST_FPERIOD_OVERRIDE=FY","FILING_STATUS=OR","EQY_CONSOLIDATED=Y","Sort=A","Dates=H","DateFormat=P","Fill=—","Direction=H","UseDPDF=Y")</f>
        <v>#NAME?</v>
      </c>
      <c r="AG123" s="2" t="e">
        <f ca="1">_xll.BDH($C$103,"SHORT_TERM_DEBT_1_YEAR_GROWTH","FY 2018","FY 2018","Currency=INR","Period=FY","BEST_FPERIOD_OVERRIDE=FY","FILING_STATUS=OR","EQY_CONSOLIDATED=Y","Sort=A","Dates=H","DateFormat=P","Fill=—","Direction=H","UseDPDF=Y")</f>
        <v>#NAME?</v>
      </c>
      <c r="AH123" s="2" t="e">
        <f ca="1">_xll.BDH($C$103,"TOTAL_DEBT_1_YEAR_GROWTH","FY 2018","FY 2018","Currency=INR","Period=FY","BEST_FPERIOD_OVERRIDE=FY","FILING_STATUS=OR","EQY_CONSOLIDATED=Y","Sort=A","Dates=H","DateFormat=P","Fill=—","Direction=H","UseDPDF=Y")</f>
        <v>#NAME?</v>
      </c>
      <c r="AI123" s="2" t="e">
        <f ca="1">_xll.BDH($C$103,"TOTAL_EQUITY_1_YEAR_GROWTH","FY 2018","FY 2018","Currency=INR","Period=FY","BEST_FPERIOD_OVERRIDE=FY","FILING_STATUS=OR","EQY_CONSOLIDATED=Y","Sort=A","Dates=H","DateFormat=P","Fill=—","Direction=H","UseDPDF=Y")</f>
        <v>#NAME?</v>
      </c>
      <c r="AJ123" s="2" t="e">
        <f ca="1">_xll.BDH($C$103,"GROWTH_IN_CAP","FY 2018","FY 2018","Currency=INR","Period=FY","BEST_FPERIOD_OVERRIDE=FY","FILING_STATUS=OR","EQY_CONSOLIDATED=Y","Sort=A","Dates=H","DateFormat=P","Fill=—","Direction=H","UseDPDF=Y")</f>
        <v>#NAME?</v>
      </c>
      <c r="AK123" s="2" t="e">
        <f ca="1">_xll.BDH($C$103,"BVPS_GROWTH","FY 2018","FY 2018","Currency=INR","Period=FY","BEST_FPERIOD_OVERRIDE=FY","FILING_STATUS=OR","EQY_CONSOLIDATED=Y","Sort=A","Dates=H","DateFormat=P","Fill=—","Direction=H","UseDPDF=Y")</f>
        <v>#NAME?</v>
      </c>
      <c r="AL123" s="2" t="e">
        <f ca="1">_xll.BDH($C$103,"CASH_FLOW_GROWTH","FY 2018","FY 2018","Currency=INR","Period=FY","BEST_FPERIOD_OVERRIDE=FY","FILING_STATUS=OR","EQY_CONSOLIDATED=Y","Sort=A","Dates=H","DateFormat=P","Fill=—","Direction=H","UseDPDF=Y")</f>
        <v>#NAME?</v>
      </c>
      <c r="AM123" s="2" t="e">
        <f ca="1">_xll.BDH($C$103,"GEO_GROW_NET_SALES","FY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123" s="2" t="e">
        <f ca="1">_xll.BDH($C$103,"GEO_GROW_EBITDA","FY 2018","FY 2018","Currency=INR","Period=FY","BEST_FPERIOD_OVERRIDE=FY","FILING_STATUS=OR","EQY_CONSOLIDATED=Y","FA_ADJUSTED=GAAP","Sort=A","Dates=H","DateFormat=P","Fill=—","Direction=H","UseDPDF=Y")</f>
        <v>#NAME?</v>
      </c>
      <c r="AO123" s="2" t="e">
        <f ca="1">_xll.BDH($C$103,"GEO_GROW_OPER_INC","FY 2018","FY 2018","Currency=INR","Period=FY","BEST_FPERIOD_OVERRIDE=FY","FILING_STATUS=OR","EQY_CONSOLIDATED=Y","FA_ADJUSTED=GAAP","Sort=A","Dates=H","DateFormat=P","Fill=—","Direction=H","UseDPDF=Y")</f>
        <v>#NAME?</v>
      </c>
      <c r="AP123" s="2" t="e">
        <f ca="1">_xll.BDH($C$103,"NET_INCOME_TO_COMMON_5_YR_GROWTH","FY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123" s="2" t="e">
        <f ca="1">_xll.BDH($C$103,"5Y_GEO_GROWTH_DILUTED_EPS","FY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123" s="2" t="e">
        <f ca="1">_xll.BDH($C$103,"GEO_GROW_DVD_PER_SH","FY 2018","FY 2018","Currency=INR","Period=FY","BEST_FPERIOD_OVERRIDE=FY","FILING_STATUS=OR","EQY_CONSOLIDATED=Y","Sort=A","Dates=H","DateFormat=P","Fill=—","Direction=H","UseDPDF=Y")</f>
        <v>#NAME?</v>
      </c>
      <c r="AS123" s="2" t="e">
        <f ca="1">_xll.BDH($C$103,"ACCOUNTS_RECEIVABLE_5_YR_GROWTH","FY 2018","FY 2018","Currency=INR","Period=FY","BEST_FPERIOD_OVERRIDE=FY","FILING_STATUS=OR","EQY_CONSOLIDATED=Y","Sort=A","Dates=H","DateFormat=P","Fill=—","Direction=H","UseDPDF=Y")</f>
        <v>#NAME?</v>
      </c>
      <c r="AT123" s="2" t="e">
        <f ca="1">_xll.BDH($C$103,"INVENTORY_5_YEAR_GROWTH","FY 2018","FY 2018","Currency=INR","Period=FY","BEST_FPERIOD_OVERRIDE=FY","FILING_STATUS=OR","EQY_CONSOLIDATED=Y","Sort=A","Dates=H","DateFormat=P","Fill=—","Direction=H","UseDPDF=Y")</f>
        <v>#NAME?</v>
      </c>
      <c r="AU123" s="2" t="e">
        <f ca="1">_xll.BDH($C$103,"NET_FIXED_ASSETS_5_YEAR_GROWTH","FY 2018","FY 2018","Currency=INR","Period=FY","BEST_FPERIOD_OVERRIDE=FY","FILING_STATUS=OR","EQY_CONSOLIDATED=Y","Sort=A","Dates=H","DateFormat=P","Fill=—","Direction=H","UseDPDF=Y")</f>
        <v>#NAME?</v>
      </c>
      <c r="AV123" s="2" t="e">
        <f ca="1">_xll.BDH($C$103,"GEO_GROW_TOT_ASSET","FY 2018","FY 2018","Currency=INR","Period=FY","BEST_FPERIOD_OVERRIDE=FY","FILING_STATUS=OR","EQY_CONSOLIDATED=Y","Sort=A","Dates=H","DateFormat=P","Fill=—","Direction=H","UseDPDF=Y")</f>
        <v>#NAME?</v>
      </c>
      <c r="AW123" s="2" t="e">
        <f ca="1">_xll.BDH($C$103,"MODIFIED_WORKING_CPTL_5YR_GRWTH","FY 2018","FY 2018","Currency=INR","Period=FY","BEST_FPERIOD_OVERRIDE=FY","FILING_STATUS=OR","EQY_CONSOLIDATED=Y","Sort=A","Dates=H","DateFormat=P","Fill=—","Direction=H","UseDPDF=Y")</f>
        <v>#NAME?</v>
      </c>
      <c r="AX123" s="2" t="e">
        <f ca="1">_xll.BDH($C$103,"WORKING_CAPITAL_5_YEAR_GROWTH","FY 2018","FY 2018","Currency=INR","Period=FY","BEST_FPERIOD_OVERRIDE=FY","FILING_STATUS=OR","EQY_CONSOLIDATED=Y","Sort=A","Dates=H","DateFormat=P","Fill=—","Direction=H","UseDPDF=Y")</f>
        <v>#NAME?</v>
      </c>
      <c r="AY123" s="2" t="e">
        <f ca="1">_xll.BDH($C$103,"ACCOUNTS_PAYABLE_5_YEAR_GROWTH","FY 2018","FY 2018","Currency=INR","Period=FY","BEST_FPERIOD_OVERRIDE=FY","FILING_STATUS=OR","EQY_CONSOLIDATED=Y","Sort=A","Dates=H","DateFormat=P","Fill=—","Direction=H","UseDPDF=Y")</f>
        <v>#NAME?</v>
      </c>
      <c r="AZ123" s="2" t="e">
        <f ca="1">_xll.BDH($C$103,"SHORT_TERM_DEBT_5_YEAR_GROWTH","FY 2018","FY 2018","Currency=INR","Period=FY","BEST_FPERIOD_OVERRIDE=FY","FILING_STATUS=OR","EQY_CONSOLIDATED=Y","Sort=A","Dates=H","DateFormat=P","Fill=—","Direction=H","UseDPDF=Y")</f>
        <v>#NAME?</v>
      </c>
      <c r="BA123" s="2" t="e">
        <f ca="1">_xll.BDH($C$103,"TOTAL_DEBT_5_YEAR_GROWTH","FY 2018","FY 2018","Currency=INR","Period=FY","BEST_FPERIOD_OVERRIDE=FY","FILING_STATUS=OR","EQY_CONSOLIDATED=Y","Sort=A","Dates=H","DateFormat=P","Fill=—","Direction=H","UseDPDF=Y")</f>
        <v>#NAME?</v>
      </c>
      <c r="BB123" s="2" t="e">
        <f ca="1">_xll.BDH($C$103,"GEO_GROW_TOT_SHRHLDR_EQY","FY 2018","FY 2018","Currency=INR","Period=FY","BEST_FPERIOD_OVERRIDE=FY","FILING_STATUS=OR","EQY_CONSOLIDATED=Y","Sort=A","Dates=H","DateFormat=P","Fill=—","Direction=H","UseDPDF=Y")</f>
        <v>#NAME?</v>
      </c>
      <c r="BC123" s="2" t="e">
        <f ca="1">_xll.BDH($C$103,"TOTAL_CAPITAL_5_YEAR_GROWTH","FY 2018","FY 2018","Currency=INR","Period=FY","BEST_FPERIOD_OVERRIDE=FY","FILING_STATUS=OR","EQY_CONSOLIDATED=Y","Sort=A","Dates=H","DateFormat=P","Fill=—","Direction=H","UseDPDF=Y")</f>
        <v>#NAME?</v>
      </c>
      <c r="BD123" s="2" t="e">
        <f ca="1">_xll.BDH($C$103,"GEO_GROW_BOOK_VAL","FY 2018","FY 2018","Currency=INR","Period=FY","BEST_FPERIOD_OVERRIDE=FY","FILING_STATUS=OR","EQY_CONSOLIDATED=Y","Sort=A","Dates=H","DateFormat=P","Fill=—","Direction=H","UseDPDF=Y")</f>
        <v>#NAME?</v>
      </c>
      <c r="BE123" s="2" t="e">
        <f ca="1">_xll.BDH($C$103,"GEO_GROW_CASH_OPER_ACT","FY 2018","FY 2018","Currency=INR","Period=FY","BEST_FPERIOD_OVERRIDE=FY","FILING_STATUS=OR","EQY_CONSOLIDATED=Y","Sort=A","Dates=H","DateFormat=P","Fill=—","Direction=H","UseDPDF=Y")</f>
        <v>#NAME?</v>
      </c>
      <c r="BF123" s="2" t="e">
        <f ca="1">_xll.BDH($C$103,"REVENUE_SEQUENTIAL_GROWTH","FY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123" s="2" t="e">
        <f ca="1">_xll.BDH($C$103,"EBITDA_SEQUENTIAL_GROWTH","FY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123" s="2" t="e">
        <f ca="1">_xll.BDH($C$103,"OPERATING_INCOME_SEQ_GROWTH","FY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123" s="2" t="e">
        <f ca="1">_xll.BDH($C$103,"NET_INCOME_TO_COMMON_SEQ_GROWTH","FY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123" s="2" t="e">
        <f ca="1">_xll.BDH($C$103,"EPS_DILUTED_SEQUENTIAL_GROWTH","FY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123" s="2" t="e">
        <f ca="1">_xll.BDH($C$103,"DPS_SEQUENTIAL_GROWTH","FY 2018","FY 2018","Currency=INR","Period=FY","BEST_FPERIOD_OVERRIDE=FY","FILING_STATUS=OR","EQY_CONSOLIDATED=Y","Sort=A","Dates=H","DateFormat=P","Fill=—","Direction=H","UseDPDF=Y")</f>
        <v>#NAME?</v>
      </c>
      <c r="BL123" s="2" t="e">
        <f ca="1">_xll.BDH($C$103,"ACCOUNTS_RECEIVABLE_SEQ_GROWTH","FY 2018","FY 2018","Currency=INR","Period=FY","BEST_FPERIOD_OVERRIDE=FY","FILING_STATUS=OR","EQY_CONSOLIDATED=Y","Sort=A","Dates=H","DateFormat=P","Fill=—","Direction=H","UseDPDF=Y")</f>
        <v>#NAME?</v>
      </c>
      <c r="BM123" s="2" t="e">
        <f ca="1">_xll.BDH($C$103,"INVENTORY_SEQUENTIAL_GROWTH","FY 2018","FY 2018","Currency=INR","Period=FY","BEST_FPERIOD_OVERRIDE=FY","FILING_STATUS=OR","EQY_CONSOLIDATED=Y","Sort=A","Dates=H","DateFormat=P","Fill=—","Direction=H","UseDPDF=Y")</f>
        <v>#NAME?</v>
      </c>
      <c r="BN123" s="2" t="e">
        <f ca="1">_xll.BDH($C$103,"FIXED_ASSETS_SEQUENTIAL_GROWTH","FY 2018","FY 2018","Currency=INR","Period=FY","BEST_FPERIOD_OVERRIDE=FY","FILING_STATUS=OR","EQY_CONSOLIDATED=Y","Sort=A","Dates=H","DateFormat=P","Fill=—","Direction=H","UseDPDF=Y")</f>
        <v>#NAME?</v>
      </c>
      <c r="BO123" s="2" t="e">
        <f ca="1">_xll.BDH($C$103,"TOTAL_ASSETS_SEQUENTIAL_GROWTH","FY 2018","FY 2018","Currency=INR","Period=FY","BEST_FPERIOD_OVERRIDE=FY","FILING_STATUS=OR","EQY_CONSOLIDATED=Y","Sort=A","Dates=H","DateFormat=P","Fill=—","Direction=H","UseDPDF=Y")</f>
        <v>#NAME?</v>
      </c>
      <c r="BP123" s="2" t="e">
        <f ca="1">_xll.BDH($C$103,"MODIFIED_WORKING_CPTL_SEQ_GRWTH","FY 2018","FY 2018","Currency=INR","Period=FY","BEST_FPERIOD_OVERRIDE=FY","FILING_STATUS=OR","EQY_CONSOLIDATED=Y","Sort=A","Dates=H","DateFormat=P","Fill=—","Direction=H","UseDPDF=Y")</f>
        <v>#NAME?</v>
      </c>
      <c r="BQ123" s="2" t="e">
        <f ca="1">_xll.BDH($C$103,"WORKING_CAPITAL_SEQ_GROWTH","FY 2018","FY 2018","Currency=INR","Period=FY","BEST_FPERIOD_OVERRIDE=FY","FILING_STATUS=OR","EQY_CONSOLIDATED=Y","Sort=A","Dates=H","DateFormat=P","Fill=—","Direction=H","UseDPDF=Y")</f>
        <v>#NAME?</v>
      </c>
      <c r="BR123" s="2" t="e">
        <f ca="1">_xll.BDH($C$103,"ACCOUNTS_PAYABLE_SEQ_GROWTH","FY 2018","FY 2018","Currency=INR","Period=FY","BEST_FPERIOD_OVERRIDE=FY","FILING_STATUS=OR","EQY_CONSOLIDATED=Y","Sort=A","Dates=H","DateFormat=P","Fill=—","Direction=H","UseDPDF=Y")</f>
        <v>#NAME?</v>
      </c>
      <c r="BS123" s="2" t="e">
        <f ca="1">_xll.BDH($C$103,"ST_DEBT_SEQUENTIAL_GROWTH","FY 2018","FY 2018","Currency=INR","Period=FY","BEST_FPERIOD_OVERRIDE=FY","FILING_STATUS=OR","EQY_CONSOLIDATED=Y","Sort=A","Dates=H","DateFormat=P","Fill=—","Direction=H","UseDPDF=Y")</f>
        <v>#NAME?</v>
      </c>
      <c r="BT123" s="2" t="e">
        <f ca="1">_xll.BDH($C$103,"TOTAL_DEBT_SEQUENTIAL_GROWTH","FY 2018","FY 2018","Currency=INR","Period=FY","BEST_FPERIOD_OVERRIDE=FY","FILING_STATUS=OR","EQY_CONSOLIDATED=Y","Sort=A","Dates=H","DateFormat=P","Fill=—","Direction=H","UseDPDF=Y")</f>
        <v>#NAME?</v>
      </c>
      <c r="BU123" s="2" t="e">
        <f ca="1">_xll.BDH($C$103,"TOTAL_EQUITY_SEQUENTIAL_GROWTH","FY 2018","FY 2018","Currency=INR","Period=FY","BEST_FPERIOD_OVERRIDE=FY","FILING_STATUS=OR","EQY_CONSOLIDATED=Y","Sort=A","Dates=H","DateFormat=P","Fill=—","Direction=H","UseDPDF=Y")</f>
        <v>#NAME?</v>
      </c>
      <c r="BV123" s="2" t="e">
        <f ca="1">_xll.BDH($C$103,"TOTAL_CAPITAL_SEQUENTIAL_GROWTH","FY 2018","FY 2018","Currency=INR","Period=FY","BEST_FPERIOD_OVERRIDE=FY","FILING_STATUS=OR","EQY_CONSOLIDATED=Y","Sort=A","Dates=H","DateFormat=P","Fill=—","Direction=H","UseDPDF=Y")</f>
        <v>#NAME?</v>
      </c>
      <c r="BW123" s="2" t="e">
        <f ca="1">_xll.BDH($C$103,"BPS_SEQUENTIAL_GROWTH","FY 2018","FY 2018","Currency=INR","Period=FY","BEST_FPERIOD_OVERRIDE=FY","FILING_STATUS=OR","EQY_CONSOLIDATED=Y","Sort=A","Dates=H","DateFormat=P","Fill=—","Direction=H","UseDPDF=Y")</f>
        <v>#NAME?</v>
      </c>
      <c r="BX123" s="2" t="e">
        <f ca="1">_xll.BDH($C$103,"CFO_SEQUENTIAL_GROWTH","FY 2018","FY 2018","Currency=INR","Period=FY","BEST_FPERIOD_OVERRIDE=FY","FILING_STATUS=OR","EQY_CONSOLIDATED=Y","Sort=A","Dates=H","DateFormat=P","Fill=—","Direction=H","UseDPDF=Y")</f>
        <v>#NAME?</v>
      </c>
      <c r="BY123" s="3" t="e">
        <f ca="1">_xll.BDH($C$103,"SHORT_AND_LONG_TERM_DEBT","FY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123" s="3" t="e">
        <f ca="1">_xll.BDH($C$103,"BS_ST_BORROW","FY 2018","FY 2018","Currency=INR","Period=FY","BEST_FPERIOD_OVERRIDE=FY","FILING_STATUS=OR","EQY_CONSOLIDATED=Y","SCALING_FORMAT=MLN","Sort=A","Dates=H","DateFormat=P","Fill=—","Direction=H","UseDPDF=Y")</f>
        <v>#NAME?</v>
      </c>
      <c r="CA123" s="3" t="e">
        <f ca="1">_xll.BDH($C$103,"BS_LT_BORROW","FY 2018","FY 2018","Currency=INR","Period=FY","BEST_FPERIOD_OVERRIDE=FY","FILING_STATUS=OR","EQY_CONSOLIDATED=Y","SCALING_FORMAT=MLN","Sort=A","Dates=H","DateFormat=P","Fill=—","Direction=H","UseDPDF=Y")</f>
        <v>#NAME?</v>
      </c>
      <c r="CB123" s="2" t="e">
        <f ca="1">_xll.BDH($C$103,"TOT_DEBT_TO_EBITDA","FY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123" s="2" t="e">
        <f ca="1">_xll.BDH($C$103,"NET_DEBT_TO_EBITDA","FY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123" s="2" t="e">
        <f ca="1">_xll.BDH($C$103,"TOTAL_DEBT_TO_EBIT","FY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123" s="2" t="e">
        <f ca="1">_xll.BDH($C$103,"NET_DEBT_TO_EBIT","FY 2018","FY 2018","Currency=INR","Period=FY","BEST_FPERIOD_OVERRIDE=FY","FILING_STATUS=OR","EQY_CONSOLIDATED=Y","FA_ADJUSTED=GAAP","Sort=A","Dates=H","DateFormat=P","Fill=—","Direction=H","UseDPDF=Y")</f>
        <v>#NAME?</v>
      </c>
      <c r="CF123" s="2" t="e">
        <f ca="1">_xll.BDH($C$103,"EBITDA_TO_INTEREST_EXPN","FY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123" s="2" t="e">
        <f ca="1">_xll.BDH($C$103,"COM_EQY_TO_TOT_ASSET","FY 2018","FY 2018","Currency=INR","Period=FY","BEST_FPERIOD_OVERRIDE=FY","FILING_STATUS=OR","EQY_CONSOLIDATED=Y","Sort=A","Dates=H","DateFormat=P","Fill=—","Direction=H","UseDPDF=Y")</f>
        <v>#NAME?</v>
      </c>
      <c r="CH123" s="2" t="e">
        <f ca="1">_xll.BDH($C$103,"LT_DEBT_TO_TOT_EQY","FY 2018","FY 2018","Currency=INR","Period=FY","BEST_FPERIOD_OVERRIDE=FY","FILING_STATUS=OR","EQY_CONSOLIDATED=Y","Sort=A","Dates=H","DateFormat=P","Fill=—","Direction=H","UseDPDF=Y")</f>
        <v>#NAME?</v>
      </c>
      <c r="CI123" s="2" t="e">
        <f ca="1">_xll.BDH($C$103,"LT_DEBT_TO_TOT_CAP","FY 2018","FY 2018","Currency=INR","Period=FY","BEST_FPERIOD_OVERRIDE=FY","FILING_STATUS=OR","EQY_CONSOLIDATED=Y","Sort=A","Dates=H","DateFormat=P","Fill=—","Direction=H","UseDPDF=Y")</f>
        <v>#NAME?</v>
      </c>
      <c r="CJ123" s="2" t="e">
        <f ca="1">_xll.BDH($C$103,"LT_DEBT_TO_TOT_ASSET","FY 2018","FY 2018","Currency=INR","Period=FY","BEST_FPERIOD_OVERRIDE=FY","FILING_STATUS=OR","EQY_CONSOLIDATED=Y","Sort=A","Dates=H","DateFormat=P","Fill=—","Direction=H","UseDPDF=Y")</f>
        <v>#NAME?</v>
      </c>
      <c r="CK123" s="2" t="e">
        <f ca="1">_xll.BDH($C$103,"TOT_DEBT_TO_TOT_EQY","FY 2018","FY 2018","Currency=INR","Period=FY","BEST_FPERIOD_OVERRIDE=FY","FILING_STATUS=OR","EQY_CONSOLIDATED=Y","Sort=A","Dates=H","DateFormat=P","Fill=—","Direction=H","UseDPDF=Y")</f>
        <v>#NAME?</v>
      </c>
      <c r="CL123" s="2" t="e">
        <f ca="1">_xll.BDH($C$103,"TOT_DEBT_TO_TOT_CAP","FY 2018","FY 2018","Currency=INR","Period=FY","BEST_FPERIOD_OVERRIDE=FY","FILING_STATUS=OR","EQY_CONSOLIDATED=Y","Sort=A","Dates=H","DateFormat=P","Fill=—","Direction=H","UseDPDF=Y")</f>
        <v>#NAME?</v>
      </c>
      <c r="CM123" s="2" t="e">
        <f ca="1">_xll.BDH($C$103,"TOT_DEBT_TO_TOT_ASSET","FY 2018","FY 2018","Currency=INR","Period=FY","BEST_FPERIOD_OVERRIDE=FY","FILING_STATUS=OR","EQY_CONSOLIDATED=Y","Sort=A","Dates=H","DateFormat=P","Fill=—","Direction=H","UseDPDF=Y")</f>
        <v>#NAME?</v>
      </c>
      <c r="CN123" s="2" t="e">
        <f ca="1">_xll.BDH($C$103,"NET_DEBT_TO_SHRHLDR_EQTY","FY 2018","FY 2018","Currency=INR","Period=FY","BEST_FPERIOD_OVERRIDE=FY","FILING_STATUS=OR","EQY_CONSOLIDATED=Y","Sort=A","Dates=H","DateFormat=P","Fill=—","Direction=H","UseDPDF=Y")</f>
        <v>#NAME?</v>
      </c>
      <c r="CO123" s="2" t="e">
        <f ca="1">_xll.BDH($C$103,"NET_DEBT_%_CAPITAL","FY 2018","FY 2018","Currency=INR","Period=FY","BEST_FPERIOD_OVERRIDE=FY","FILING_STATUS=OR","EQY_CONSOLIDATED=Y","Sort=A","Dates=H","DateFormat=P","Fill=—","Direction=H","UseDPDF=Y")</f>
        <v>#NAME?</v>
      </c>
      <c r="CP123" s="3" t="e">
        <f ca="1">_xll.BDH($C$103,"EBITDA","FY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123" s="3" t="e">
        <f ca="1">_xll.BDH($C$103,"EBITDA_AFTER_CAPEX","FY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123" s="3" t="e">
        <f ca="1">_xll.BDH($C$103,"IS_OPER_INC","FY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123" s="2" t="e">
        <f ca="1">_xll.BDH($C$103,"CASH_RATIO","FY 2018","FY 2018","Currency=INR","Period=FY","BEST_FPERIOD_OVERRIDE=FY","FILING_STATUS=OR","EQY_CONSOLIDATED=Y","Sort=A","Dates=H","DateFormat=P","Fill=—","Direction=H","UseDPDF=Y")</f>
        <v>#NAME?</v>
      </c>
      <c r="CT123" s="2" t="e">
        <f ca="1">_xll.BDH($C$103,"CUR_RATIO","FY 2018","FY 2018","Currency=INR","Period=FY","BEST_FPERIOD_OVERRIDE=FY","FILING_STATUS=OR","EQY_CONSOLIDATED=Y","Sort=A","Dates=H","DateFormat=P","Fill=—","Direction=H","UseDPDF=Y")</f>
        <v>#NAME?</v>
      </c>
      <c r="CU123" s="2" t="e">
        <f ca="1">_xll.BDH($C$103,"QUICK_RATIO","FY 2018","FY 2018","Currency=INR","Period=FY","BEST_FPERIOD_OVERRIDE=FY","FILING_STATUS=OR","EQY_CONSOLIDATED=Y","Sort=A","Dates=H","DateFormat=P","Fill=—","Direction=H","UseDPDF=Y")</f>
        <v>#NAME?</v>
      </c>
      <c r="CV123" s="2" t="e">
        <f ca="1">_xll.BDH($C$103,"ALTMAN_Z_SCORE","FY 2018","FY 2018","Currency=INR","Period=FY","BEST_FPERIOD_OVERRIDE=FY","FILING_STATUS=OR","EQY_CONSOLIDATED=Y","Sort=A","Dates=H","DateFormat=P","Fill=—","Direction=H","UseDPDF=Y")</f>
        <v>#NAME?</v>
      </c>
      <c r="CW123" s="4" t="e">
        <f ca="1">_xll.BDH($C$103,"ACCT_RCV_TURN","FY 2018","FY 2018","Currency=INR","Period=FY","BEST_FPERIOD_OVERRIDE=FY","FILING_STATUS=OR","EQY_CONSOLIDATED=Y","FA_ADJUSTED=GAAP","Sort=A","Dates=H","DateFormat=P","Fill=—","Direction=H","UseDPDF=Y")</f>
        <v>#NAME?</v>
      </c>
      <c r="CX123" s="2" t="e">
        <f ca="1">_xll.BDH($C$103,"ACCT_RCV_DAYS","FY 2018","FY 2018","Currency=INR","Period=FY","BEST_FPERIOD_OVERRIDE=FY","FILING_STATUS=OR","EQY_CONSOLIDATED=Y","FA_ADJUSTED=GAAP","Sort=A","Dates=H","DateFormat=P","Fill=—","Direction=H","UseDPDF=Y")</f>
        <v>#NAME?</v>
      </c>
      <c r="CY123" s="4" t="e">
        <f ca="1">_xll.BDH($C$103,"INVENT_TURN","FY 2018","FY 2018","Currency=INR","Period=FY","BEST_FPERIOD_OVERRIDE=FY","FILING_STATUS=OR","EQY_CONSOLIDATED=Y","FA_ADJUSTED=GAAP","Sort=A","Dates=H","DateFormat=P","Fill=—","Direction=H","UseDPDF=Y")</f>
        <v>#NAME?</v>
      </c>
      <c r="CZ123" s="2" t="e">
        <f ca="1">_xll.BDH($C$103,"INVENT_DAYS","FY 2018","FY 2018","Currency=INR","Period=FY","BEST_FPERIOD_OVERRIDE=FY","FILING_STATUS=OR","EQY_CONSOLIDATED=Y","FA_ADJUSTED=GAAP","Sort=A","Dates=H","DateFormat=P","Fill=—","Direction=H","UseDPDF=Y")</f>
        <v>#NAME?</v>
      </c>
      <c r="DA123" s="4" t="e">
        <f ca="1">_xll.BDH($C$103,"ACCOUNTS_PAYABLE_TURNOVER","FY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123" s="2" t="e">
        <f ca="1">_xll.BDH($C$103,"ACCOUNTS_PAYABLE_TURNOVER_DAYS","FY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123" s="4" t="e">
        <f ca="1">_xll.BDH($C$103,"CASH_CONVERSION_CYCLE","FY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123" s="4" t="e">
        <f ca="1">_xll.BDH($C$103,"INV_TO_CASH_DAYS","FY 2018","FY 2018","Currency=INR","Period=FY","BEST_FPERIOD_OVERRIDE=FY","FILING_STATUS=OR","EQY_CONSOLIDATED=Y","FA_ADJUSTED=GAAP","Sort=A","Dates=H","DateFormat=P","Fill=—","Direction=H","UseDPDF=Y")</f>
        <v>#NAME?</v>
      </c>
      <c r="DE123" s="5" t="e">
        <f ca="1">_xll.BDH($C$103,"BS_INVENTORIES","FY 2018","FY 2018","Currency=INR","Period=FY","BEST_FPERIOD_OVERRIDE=FY","FILING_STATUS=OR","EQY_CONSOLIDATED=Y","SCALING_FORMAT=MLN","Sort=A","Dates=H","DateFormat=P","Fill=—","Direction=H","UseDPDF=Y")</f>
        <v>#NAME?</v>
      </c>
      <c r="DF123" s="3" t="e">
        <f ca="1">_xll.BDH($C$103,"INVTRY_RAW_MATERIALS","FY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123" s="3" t="e">
        <f ca="1">_xll.BDH($C$103,"INVTRY_IN_PROGRESS","FY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123" s="3" t="e">
        <f ca="1">_xll.BDH($C$103,"INVTRY_FINISHED_GOODS","FY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123" s="3" t="e">
        <f ca="1">_xll.BDH($C$103,"BS_OTHER_INV","FY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124" spans="1:113" x14ac:dyDescent="0.3">
      <c r="A124" s="6"/>
      <c r="B124" s="6"/>
      <c r="C124" s="6"/>
      <c r="D124" s="6"/>
      <c r="E124" t="s">
        <v>78</v>
      </c>
      <c r="F124" t="e">
        <f ca="1">_xll.BDH($C$103,"RETURN_COM_EQY","FQ1 2018","FQ1 2018","Currency=INR","Period=FQ","BEST_FPERIOD_OVERRIDE=FQ","FILING_STATUS=OR","EQY_CONSOLIDATED=Y","FA_ADJUSTED=GAAP","Sort=A","Dates=H","DateFormat=P","Fill=—","Direction=H","UseDPDF=Y")</f>
        <v>#NAME?</v>
      </c>
      <c r="G124" t="e">
        <f ca="1">_xll.BDH($C$103,"RETURN_ON_ASSET","FQ1 2018","FQ1 2018","Currency=INR","Period=FQ","BEST_FPERIOD_OVERRIDE=FQ","FILING_STATUS=OR","EQY_CONSOLIDATED=Y","FA_ADJUSTED=GAAP","Sort=A","Dates=H","DateFormat=P","Fill=—","Direction=H","UseDPDF=Y")</f>
        <v>#NAME?</v>
      </c>
      <c r="H124" t="e">
        <f ca="1">_xll.BDH($C$103,"RETURN_ON_CAP","FQ1 2018","FQ1 2018","Currency=INR","Period=FQ","BEST_FPERIOD_OVERRIDE=FQ","FILING_STATUS=OR","EQY_CONSOLIDATED=Y","FA_ADJUSTED=GAAP","Sort=A","Dates=H","DateFormat=P","Fill=—","Direction=H","UseDPDF=Y")</f>
        <v>#NAME?</v>
      </c>
      <c r="I124" t="e">
        <f ca="1">_xll.BDH($C$103,"RETURN_ON_INV_CAPITAL","FQ1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124" t="e">
        <f ca="1">_xll.BDH($C$103,"EBITDA_TO_REVENUE","FQ1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124" t="e">
        <f ca="1">_xll.BDH($C$103,"OPER_MARGIN","FQ1 2018","FQ1 2018","Currency=INR","Period=FQ","BEST_FPERIOD_OVERRIDE=FQ","FILING_STATUS=OR","EQY_CONSOLIDATED=Y","FA_ADJUSTED=GAAP","Sort=A","Dates=H","DateFormat=P","Fill=—","Direction=H","UseDPDF=Y")</f>
        <v>#NAME?</v>
      </c>
      <c r="L124" t="e">
        <f ca="1">_xll.BDH($C$103,"INCREMENTAL_OPERATING_MARGIN","FQ1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124" t="e">
        <f ca="1">_xll.BDH($C$103,"PRETAX_INC_TO_NET_SALES","FQ1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124" t="e">
        <f ca="1">_xll.BDH($C$103,"INC_BEF_XO_ITEMS_TO_NET_SALES","FQ1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124" t="e">
        <f ca="1">_xll.BDH($C$103,"PROF_MARGIN","FQ1 2018","FQ1 2018","Currency=INR","Period=FQ","BEST_FPERIOD_OVERRIDE=FQ","FILING_STATUS=OR","EQY_CONSOLIDATED=Y","FA_ADJUSTED=GAAP","Sort=A","Dates=H","DateFormat=P","Fill=—","Direction=H","UseDPDF=Y")</f>
        <v>#NAME?</v>
      </c>
      <c r="P124" t="e">
        <f ca="1">_xll.BDH($C$103,"NET_INCOME_TO_COMMON_MARGIN","FQ1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124" t="e">
        <f ca="1">_xll.BDH($C$103,"EFF_TAX_RATE","FQ1 2018","FQ1 2018","Currency=INR","Period=FQ","BEST_FPERIOD_OVERRIDE=FQ","FILING_STATUS=OR","EQY_CONSOLIDATED=Y","FA_ADJUSTED=GAAP","Sort=A","Dates=H","DateFormat=P","Fill=—","Direction=H","UseDPDF=Y")</f>
        <v>#NAME?</v>
      </c>
      <c r="R124" t="e">
        <f ca="1">_xll.BDH($C$103,"DVD_PAYOUT_RATIO","FQ1 2018","FQ1 2018","Currency=INR","Period=FQ","BEST_FPERIOD_OVERRIDE=FQ","FILING_STATUS=OR","EQY_CONSOLIDATED=Y","FA_ADJUSTED=GAAP","Sort=A","Dates=H","DateFormat=P","Fill=—","Direction=H","UseDPDF=Y")</f>
        <v>#NAME?</v>
      </c>
      <c r="S124" t="e">
        <f ca="1">_xll.BDH($C$103,"SUSTAIN_GROWTH_RT","FQ1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124" s="2" t="e">
        <f ca="1">_xll.BDH($C$103,"SALES_GROWTH","FQ1 2018","FQ1 2018","Currency=INR","Period=FQ","BEST_FPERIOD_OVERRIDE=FQ","FILING_STATUS=OR","EQY_CONSOLIDATED=Y","FA_ADJUSTED=GAAP","Sort=A","Dates=H","DateFormat=P","Fill=—","Direction=H","UseDPDF=Y")</f>
        <v>#NAME?</v>
      </c>
      <c r="U124" s="2" t="e">
        <f ca="1">_xll.BDH($C$103,"EBITDA_GROWTH","FQ1 2018","FQ1 2018","Currency=INR","Period=FQ","BEST_FPERIOD_OVERRIDE=FQ","FILING_STATUS=OR","EQY_CONSOLIDATED=Y","FA_ADJUSTED=GAAP","Sort=A","Dates=H","DateFormat=P","Fill=—","Direction=H","UseDPDF=Y")</f>
        <v>#NAME?</v>
      </c>
      <c r="V124" s="2" t="e">
        <f ca="1">_xll.BDH($C$103,"OPER_INC_GROWTH","FQ1 2018","FQ1 2018","Currency=INR","Period=FQ","BEST_FPERIOD_OVERRIDE=FQ","FILING_STATUS=OR","EQY_CONSOLIDATED=Y","FA_ADJUSTED=GAAP","Sort=A","Dates=H","DateFormat=P","Fill=—","Direction=H","UseDPDF=Y")</f>
        <v>#NAME?</v>
      </c>
      <c r="W124" s="2" t="e">
        <f ca="1">_xll.BDH($C$103,"EARN_FOR_COM_GROWTH","FQ1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124" s="2" t="e">
        <f ca="1">_xll.BDH($C$103,"DILUTED_EPS_AFT_XO_ITEMS_GROWTH","FQ1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124" s="2" t="e">
        <f ca="1">_xll.BDH($C$103,"DIVIDEND_PER_SHARE_1_YEAR_GROWTH","FQ1 2018","FQ1 2018","Currency=INR","Period=FQ","BEST_FPERIOD_OVERRIDE=FQ","FILING_STATUS=OR","EQY_CONSOLIDATED=Y","Sort=A","Dates=H","DateFormat=P","Fill=—","Direction=H","UseDPDF=Y")</f>
        <v>#NAME?</v>
      </c>
      <c r="Z124" s="2" t="e">
        <f ca="1">_xll.BDH($C$103,"ACCOUNTS_RECEIVABLE_GROWTH","FQ1 2018","FQ1 2018","Currency=INR","Period=FQ","BEST_FPERIOD_OVERRIDE=FQ","FILING_STATUS=OR","EQY_CONSOLIDATED=Y","Sort=A","Dates=H","DateFormat=P","Fill=—","Direction=H","UseDPDF=Y")</f>
        <v>#NAME?</v>
      </c>
      <c r="AA124" s="2" t="e">
        <f ca="1">_xll.BDH($C$103,"INVENTORY_GROWTH","FQ1 2018","FQ1 2018","Currency=INR","Period=FQ","BEST_FPERIOD_OVERRIDE=FQ","FILING_STATUS=OR","EQY_CONSOLIDATED=Y","Sort=A","Dates=H","DateFormat=P","Fill=—","Direction=H","UseDPDF=Y")</f>
        <v>#NAME?</v>
      </c>
      <c r="AB124" s="2" t="e">
        <f ca="1">_xll.BDH($C$103,"NET_FIXED_ASSETS_1_YEAR_GROWTH","FQ1 2018","FQ1 2018","Currency=INR","Period=FQ","BEST_FPERIOD_OVERRIDE=FQ","FILING_STATUS=OR","EQY_CONSOLIDATED=Y","Sort=A","Dates=H","DateFormat=P","Fill=—","Direction=H","UseDPDF=Y")</f>
        <v>#NAME?</v>
      </c>
      <c r="AC124" s="2" t="e">
        <f ca="1">_xll.BDH($C$103,"ASSET_GROWTH","FQ1 2018","FQ1 2018","Currency=INR","Period=FQ","BEST_FPERIOD_OVERRIDE=FQ","FILING_STATUS=OR","EQY_CONSOLIDATED=Y","Sort=A","Dates=H","DateFormat=P","Fill=—","Direction=H","UseDPDF=Y")</f>
        <v>#NAME?</v>
      </c>
      <c r="AD124" s="2" t="e">
        <f ca="1">_xll.BDH($C$103,"MODIFIED_WORK_CAP_GROWTH","FQ1 2018","FQ1 2018","Currency=INR","Period=FQ","BEST_FPERIOD_OVERRIDE=FQ","FILING_STATUS=OR","EQY_CONSOLIDATED=Y","Sort=A","Dates=H","DateFormat=P","Fill=—","Direction=H","UseDPDF=Y")</f>
        <v>#NAME?</v>
      </c>
      <c r="AE124" s="2" t="e">
        <f ca="1">_xll.BDH($C$103,"WORK_CAP_GROWTH","FQ1 2018","FQ1 2018","Currency=INR","Period=FQ","BEST_FPERIOD_OVERRIDE=FQ","FILING_STATUS=OR","EQY_CONSOLIDATED=Y","Sort=A","Dates=H","DateFormat=P","Fill=—","Direction=H","UseDPDF=Y")</f>
        <v>#NAME?</v>
      </c>
      <c r="AF124" s="2" t="e">
        <f ca="1">_xll.BDH($C$103,"ACCOUNTS_PAYABLE_GROWTH_1YR","FQ1 2018","FQ1 2018","Currency=INR","Period=FQ","BEST_FPERIOD_OVERRIDE=FQ","FILING_STATUS=OR","EQY_CONSOLIDATED=Y","Sort=A","Dates=H","DateFormat=P","Fill=—","Direction=H","UseDPDF=Y")</f>
        <v>#NAME?</v>
      </c>
      <c r="AG124" s="2" t="e">
        <f ca="1">_xll.BDH($C$103,"SHORT_TERM_DEBT_1_YEAR_GROWTH","FQ1 2018","FQ1 2018","Currency=INR","Period=FQ","BEST_FPERIOD_OVERRIDE=FQ","FILING_STATUS=OR","EQY_CONSOLIDATED=Y","Sort=A","Dates=H","DateFormat=P","Fill=—","Direction=H","UseDPDF=Y")</f>
        <v>#NAME?</v>
      </c>
      <c r="AH124" s="2" t="e">
        <f ca="1">_xll.BDH($C$103,"TOTAL_DEBT_1_YEAR_GROWTH","FQ1 2018","FQ1 2018","Currency=INR","Period=FQ","BEST_FPERIOD_OVERRIDE=FQ","FILING_STATUS=OR","EQY_CONSOLIDATED=Y","Sort=A","Dates=H","DateFormat=P","Fill=—","Direction=H","UseDPDF=Y")</f>
        <v>#NAME?</v>
      </c>
      <c r="AI124" s="2" t="e">
        <f ca="1">_xll.BDH($C$103,"TOTAL_EQUITY_1_YEAR_GROWTH","FQ1 2018","FQ1 2018","Currency=INR","Period=FQ","BEST_FPERIOD_OVERRIDE=FQ","FILING_STATUS=OR","EQY_CONSOLIDATED=Y","Sort=A","Dates=H","DateFormat=P","Fill=—","Direction=H","UseDPDF=Y")</f>
        <v>#NAME?</v>
      </c>
      <c r="AJ124" s="2" t="e">
        <f ca="1">_xll.BDH($C$103,"GROWTH_IN_CAP","FQ1 2018","FQ1 2018","Currency=INR","Period=FQ","BEST_FPERIOD_OVERRIDE=FQ","FILING_STATUS=OR","EQY_CONSOLIDATED=Y","Sort=A","Dates=H","DateFormat=P","Fill=—","Direction=H","UseDPDF=Y")</f>
        <v>#NAME?</v>
      </c>
      <c r="AK124" s="2" t="e">
        <f ca="1">_xll.BDH($C$103,"BVPS_GROWTH","FQ1 2018","FQ1 2018","Currency=INR","Period=FQ","BEST_FPERIOD_OVERRIDE=FQ","FILING_STATUS=OR","EQY_CONSOLIDATED=Y","Sort=A","Dates=H","DateFormat=P","Fill=—","Direction=H","UseDPDF=Y")</f>
        <v>#NAME?</v>
      </c>
      <c r="AL124" s="2" t="e">
        <f ca="1">_xll.BDH($C$103,"CASH_FLOW_GROWTH","FQ1 2018","FQ1 2018","Currency=INR","Period=FQ","BEST_FPERIOD_OVERRIDE=FQ","FILING_STATUS=OR","EQY_CONSOLIDATED=Y","Sort=A","Dates=H","DateFormat=P","Fill=—","Direction=H","UseDPDF=Y")</f>
        <v>#NAME?</v>
      </c>
      <c r="AM124" s="2" t="e">
        <f ca="1">_xll.BDH($C$103,"GEO_GROW_NET_SALES","FQ1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124" s="2" t="e">
        <f ca="1">_xll.BDH($C$103,"GEO_GROW_EBITDA","FQ1 2018","FQ1 2018","Currency=INR","Period=FQ","BEST_FPERIOD_OVERRIDE=FQ","FILING_STATUS=OR","EQY_CONSOLIDATED=Y","FA_ADJUSTED=GAAP","Sort=A","Dates=H","DateFormat=P","Fill=—","Direction=H","UseDPDF=Y")</f>
        <v>#NAME?</v>
      </c>
      <c r="AO124" s="2" t="e">
        <f ca="1">_xll.BDH($C$103,"GEO_GROW_OPER_INC","FQ1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124" s="2" t="e">
        <f ca="1">_xll.BDH($C$103,"NET_INCOME_TO_COMMON_5_YR_GROWTH","FQ1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124" s="2" t="e">
        <f ca="1">_xll.BDH($C$103,"5Y_GEO_GROWTH_DILUTED_EPS","FQ1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124" s="2" t="e">
        <f ca="1">_xll.BDH($C$103,"GEO_GROW_DVD_PER_SH","FQ1 2018","FQ1 2018","Currency=INR","Period=FQ","BEST_FPERIOD_OVERRIDE=FQ","FILING_STATUS=OR","EQY_CONSOLIDATED=Y","Sort=A","Dates=H","DateFormat=P","Fill=—","Direction=H","UseDPDF=Y")</f>
        <v>#NAME?</v>
      </c>
      <c r="AS124" s="2" t="e">
        <f ca="1">_xll.BDH($C$103,"ACCOUNTS_RECEIVABLE_5_YR_GROWTH","FQ1 2018","FQ1 2018","Currency=INR","Period=FQ","BEST_FPERIOD_OVERRIDE=FQ","FILING_STATUS=OR","EQY_CONSOLIDATED=Y","Sort=A","Dates=H","DateFormat=P","Fill=—","Direction=H","UseDPDF=Y")</f>
        <v>#NAME?</v>
      </c>
      <c r="AT124" s="2" t="e">
        <f ca="1">_xll.BDH($C$103,"INVENTORY_5_YEAR_GROWTH","FQ1 2018","FQ1 2018","Currency=INR","Period=FQ","BEST_FPERIOD_OVERRIDE=FQ","FILING_STATUS=OR","EQY_CONSOLIDATED=Y","Sort=A","Dates=H","DateFormat=P","Fill=—","Direction=H","UseDPDF=Y")</f>
        <v>#NAME?</v>
      </c>
      <c r="AU124" s="2" t="e">
        <f ca="1">_xll.BDH($C$103,"NET_FIXED_ASSETS_5_YEAR_GROWTH","FQ1 2018","FQ1 2018","Currency=INR","Period=FQ","BEST_FPERIOD_OVERRIDE=FQ","FILING_STATUS=OR","EQY_CONSOLIDATED=Y","Sort=A","Dates=H","DateFormat=P","Fill=—","Direction=H","UseDPDF=Y")</f>
        <v>#NAME?</v>
      </c>
      <c r="AV124" s="2" t="e">
        <f ca="1">_xll.BDH($C$103,"GEO_GROW_TOT_ASSET","FQ1 2018","FQ1 2018","Currency=INR","Period=FQ","BEST_FPERIOD_OVERRIDE=FQ","FILING_STATUS=OR","EQY_CONSOLIDATED=Y","Sort=A","Dates=H","DateFormat=P","Fill=—","Direction=H","UseDPDF=Y")</f>
        <v>#NAME?</v>
      </c>
      <c r="AW124" s="2" t="e">
        <f ca="1">_xll.BDH($C$103,"MODIFIED_WORKING_CPTL_5YR_GRWTH","FQ1 2018","FQ1 2018","Currency=INR","Period=FQ","BEST_FPERIOD_OVERRIDE=FQ","FILING_STATUS=OR","EQY_CONSOLIDATED=Y","Sort=A","Dates=H","DateFormat=P","Fill=—","Direction=H","UseDPDF=Y")</f>
        <v>#NAME?</v>
      </c>
      <c r="AX124" s="2" t="e">
        <f ca="1">_xll.BDH($C$103,"WORKING_CAPITAL_5_YEAR_GROWTH","FQ1 2018","FQ1 2018","Currency=INR","Period=FQ","BEST_FPERIOD_OVERRIDE=FQ","FILING_STATUS=OR","EQY_CONSOLIDATED=Y","Sort=A","Dates=H","DateFormat=P","Fill=—","Direction=H","UseDPDF=Y")</f>
        <v>#NAME?</v>
      </c>
      <c r="AY124" s="2" t="e">
        <f ca="1">_xll.BDH($C$103,"ACCOUNTS_PAYABLE_5_YEAR_GROWTH","FQ1 2018","FQ1 2018","Currency=INR","Period=FQ","BEST_FPERIOD_OVERRIDE=FQ","FILING_STATUS=OR","EQY_CONSOLIDATED=Y","Sort=A","Dates=H","DateFormat=P","Fill=—","Direction=H","UseDPDF=Y")</f>
        <v>#NAME?</v>
      </c>
      <c r="AZ124" s="2" t="e">
        <f ca="1">_xll.BDH($C$103,"SHORT_TERM_DEBT_5_YEAR_GROWTH","FQ1 2018","FQ1 2018","Currency=INR","Period=FQ","BEST_FPERIOD_OVERRIDE=FQ","FILING_STATUS=OR","EQY_CONSOLIDATED=Y","Sort=A","Dates=H","DateFormat=P","Fill=—","Direction=H","UseDPDF=Y")</f>
        <v>#NAME?</v>
      </c>
      <c r="BA124" s="2" t="e">
        <f ca="1">_xll.BDH($C$103,"TOTAL_DEBT_5_YEAR_GROWTH","FQ1 2018","FQ1 2018","Currency=INR","Period=FQ","BEST_FPERIOD_OVERRIDE=FQ","FILING_STATUS=OR","EQY_CONSOLIDATED=Y","Sort=A","Dates=H","DateFormat=P","Fill=—","Direction=H","UseDPDF=Y")</f>
        <v>#NAME?</v>
      </c>
      <c r="BB124" s="2" t="e">
        <f ca="1">_xll.BDH($C$103,"GEO_GROW_TOT_SHRHLDR_EQY","FQ1 2018","FQ1 2018","Currency=INR","Period=FQ","BEST_FPERIOD_OVERRIDE=FQ","FILING_STATUS=OR","EQY_CONSOLIDATED=Y","Sort=A","Dates=H","DateFormat=P","Fill=—","Direction=H","UseDPDF=Y")</f>
        <v>#NAME?</v>
      </c>
      <c r="BC124" s="2" t="e">
        <f ca="1">_xll.BDH($C$103,"TOTAL_CAPITAL_5_YEAR_GROWTH","FQ1 2018","FQ1 2018","Currency=INR","Period=FQ","BEST_FPERIOD_OVERRIDE=FQ","FILING_STATUS=OR","EQY_CONSOLIDATED=Y","Sort=A","Dates=H","DateFormat=P","Fill=—","Direction=H","UseDPDF=Y")</f>
        <v>#NAME?</v>
      </c>
      <c r="BD124" s="2" t="e">
        <f ca="1">_xll.BDH($C$103,"GEO_GROW_BOOK_VAL","FQ1 2018","FQ1 2018","Currency=INR","Period=FQ","BEST_FPERIOD_OVERRIDE=FQ","FILING_STATUS=OR","EQY_CONSOLIDATED=Y","Sort=A","Dates=H","DateFormat=P","Fill=—","Direction=H","UseDPDF=Y")</f>
        <v>#NAME?</v>
      </c>
      <c r="BE124" s="2" t="e">
        <f ca="1">_xll.BDH($C$103,"GEO_GROW_CASH_OPER_ACT","FQ1 2018","FQ1 2018","Currency=INR","Period=FQ","BEST_FPERIOD_OVERRIDE=FQ","FILING_STATUS=OR","EQY_CONSOLIDATED=Y","Sort=A","Dates=H","DateFormat=P","Fill=—","Direction=H","UseDPDF=Y")</f>
        <v>#NAME?</v>
      </c>
      <c r="BF124" s="2" t="e">
        <f ca="1">_xll.BDH($C$103,"REVENUE_SEQUENTIAL_GROWTH","FQ1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124" s="2" t="e">
        <f ca="1">_xll.BDH($C$103,"EBITDA_SEQUENTIAL_GROWTH","FQ1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124" s="2" t="e">
        <f ca="1">_xll.BDH($C$103,"OPERATING_INCOME_SEQ_GROWTH","FQ1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124" s="2" t="e">
        <f ca="1">_xll.BDH($C$103,"NET_INCOME_TO_COMMON_SEQ_GROWTH","FQ1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124" s="2" t="e">
        <f ca="1">_xll.BDH($C$103,"EPS_DILUTED_SEQUENTIAL_GROWTH","FQ1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124" s="2" t="e">
        <f ca="1">_xll.BDH($C$103,"DPS_SEQUENTIAL_GROWTH","FQ1 2018","FQ1 2018","Currency=INR","Period=FQ","BEST_FPERIOD_OVERRIDE=FQ","FILING_STATUS=OR","EQY_CONSOLIDATED=Y","Sort=A","Dates=H","DateFormat=P","Fill=—","Direction=H","UseDPDF=Y")</f>
        <v>#NAME?</v>
      </c>
      <c r="BL124" s="2" t="e">
        <f ca="1">_xll.BDH($C$103,"ACCOUNTS_RECEIVABLE_SEQ_GROWTH","FQ1 2018","FQ1 2018","Currency=INR","Period=FQ","BEST_FPERIOD_OVERRIDE=FQ","FILING_STATUS=OR","EQY_CONSOLIDATED=Y","Sort=A","Dates=H","DateFormat=P","Fill=—","Direction=H","UseDPDF=Y")</f>
        <v>#NAME?</v>
      </c>
      <c r="BM124" s="2" t="e">
        <f ca="1">_xll.BDH($C$103,"INVENTORY_SEQUENTIAL_GROWTH","FQ1 2018","FQ1 2018","Currency=INR","Period=FQ","BEST_FPERIOD_OVERRIDE=FQ","FILING_STATUS=OR","EQY_CONSOLIDATED=Y","Sort=A","Dates=H","DateFormat=P","Fill=—","Direction=H","UseDPDF=Y")</f>
        <v>#NAME?</v>
      </c>
      <c r="BN124" s="2" t="e">
        <f ca="1">_xll.BDH($C$103,"FIXED_ASSETS_SEQUENTIAL_GROWTH","FQ1 2018","FQ1 2018","Currency=INR","Period=FQ","BEST_FPERIOD_OVERRIDE=FQ","FILING_STATUS=OR","EQY_CONSOLIDATED=Y","Sort=A","Dates=H","DateFormat=P","Fill=—","Direction=H","UseDPDF=Y")</f>
        <v>#NAME?</v>
      </c>
      <c r="BO124" s="2" t="e">
        <f ca="1">_xll.BDH($C$103,"TOTAL_ASSETS_SEQUENTIAL_GROWTH","FQ1 2018","FQ1 2018","Currency=INR","Period=FQ","BEST_FPERIOD_OVERRIDE=FQ","FILING_STATUS=OR","EQY_CONSOLIDATED=Y","Sort=A","Dates=H","DateFormat=P","Fill=—","Direction=H","UseDPDF=Y")</f>
        <v>#NAME?</v>
      </c>
      <c r="BP124" s="2" t="e">
        <f ca="1">_xll.BDH($C$103,"MODIFIED_WORKING_CPTL_SEQ_GRWTH","FQ1 2018","FQ1 2018","Currency=INR","Period=FQ","BEST_FPERIOD_OVERRIDE=FQ","FILING_STATUS=OR","EQY_CONSOLIDATED=Y","Sort=A","Dates=H","DateFormat=P","Fill=—","Direction=H","UseDPDF=Y")</f>
        <v>#NAME?</v>
      </c>
      <c r="BQ124" s="2" t="e">
        <f ca="1">_xll.BDH($C$103,"WORKING_CAPITAL_SEQ_GROWTH","FQ1 2018","FQ1 2018","Currency=INR","Period=FQ","BEST_FPERIOD_OVERRIDE=FQ","FILING_STATUS=OR","EQY_CONSOLIDATED=Y","Sort=A","Dates=H","DateFormat=P","Fill=—","Direction=H","UseDPDF=Y")</f>
        <v>#NAME?</v>
      </c>
      <c r="BR124" s="2" t="e">
        <f ca="1">_xll.BDH($C$103,"ACCOUNTS_PAYABLE_SEQ_GROWTH","FQ1 2018","FQ1 2018","Currency=INR","Period=FQ","BEST_FPERIOD_OVERRIDE=FQ","FILING_STATUS=OR","EQY_CONSOLIDATED=Y","Sort=A","Dates=H","DateFormat=P","Fill=—","Direction=H","UseDPDF=Y")</f>
        <v>#NAME?</v>
      </c>
      <c r="BS124" s="2" t="e">
        <f ca="1">_xll.BDH($C$103,"ST_DEBT_SEQUENTIAL_GROWTH","FQ1 2018","FQ1 2018","Currency=INR","Period=FQ","BEST_FPERIOD_OVERRIDE=FQ","FILING_STATUS=OR","EQY_CONSOLIDATED=Y","Sort=A","Dates=H","DateFormat=P","Fill=—","Direction=H","UseDPDF=Y")</f>
        <v>#NAME?</v>
      </c>
      <c r="BT124" s="2" t="e">
        <f ca="1">_xll.BDH($C$103,"TOTAL_DEBT_SEQUENTIAL_GROWTH","FQ1 2018","FQ1 2018","Currency=INR","Period=FQ","BEST_FPERIOD_OVERRIDE=FQ","FILING_STATUS=OR","EQY_CONSOLIDATED=Y","Sort=A","Dates=H","DateFormat=P","Fill=—","Direction=H","UseDPDF=Y")</f>
        <v>#NAME?</v>
      </c>
      <c r="BU124" s="2" t="e">
        <f ca="1">_xll.BDH($C$103,"TOTAL_EQUITY_SEQUENTIAL_GROWTH","FQ1 2018","FQ1 2018","Currency=INR","Period=FQ","BEST_FPERIOD_OVERRIDE=FQ","FILING_STATUS=OR","EQY_CONSOLIDATED=Y","Sort=A","Dates=H","DateFormat=P","Fill=—","Direction=H","UseDPDF=Y")</f>
        <v>#NAME?</v>
      </c>
      <c r="BV124" s="2" t="e">
        <f ca="1">_xll.BDH($C$103,"TOTAL_CAPITAL_SEQUENTIAL_GROWTH","FQ1 2018","FQ1 2018","Currency=INR","Period=FQ","BEST_FPERIOD_OVERRIDE=FQ","FILING_STATUS=OR","EQY_CONSOLIDATED=Y","Sort=A","Dates=H","DateFormat=P","Fill=—","Direction=H","UseDPDF=Y")</f>
        <v>#NAME?</v>
      </c>
      <c r="BW124" s="2" t="e">
        <f ca="1">_xll.BDH($C$103,"BPS_SEQUENTIAL_GROWTH","FQ1 2018","FQ1 2018","Currency=INR","Period=FQ","BEST_FPERIOD_OVERRIDE=FQ","FILING_STATUS=OR","EQY_CONSOLIDATED=Y","Sort=A","Dates=H","DateFormat=P","Fill=—","Direction=H","UseDPDF=Y")</f>
        <v>#NAME?</v>
      </c>
      <c r="BX124" s="2" t="e">
        <f ca="1">_xll.BDH($C$103,"CFO_SEQUENTIAL_GROWTH","FQ1 2018","FQ1 2018","Currency=INR","Period=FQ","BEST_FPERIOD_OVERRIDE=FQ","FILING_STATUS=OR","EQY_CONSOLIDATED=Y","Sort=A","Dates=H","DateFormat=P","Fill=—","Direction=H","UseDPDF=Y")</f>
        <v>#NAME?</v>
      </c>
      <c r="BY124" s="3" t="e">
        <f ca="1">_xll.BDH($C$103,"SHORT_AND_LONG_TERM_DEBT","FQ1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124" s="3" t="e">
        <f ca="1">_xll.BDH($C$103,"BS_ST_BORROW","FQ1 2018","FQ1 2018","Currency=INR","Period=FQ","BEST_FPERIOD_OVERRIDE=FQ","FILING_STATUS=OR","EQY_CONSOLIDATED=Y","SCALING_FORMAT=MLN","Sort=A","Dates=H","DateFormat=P","Fill=—","Direction=H","UseDPDF=Y")</f>
        <v>#NAME?</v>
      </c>
      <c r="CA124" s="3" t="e">
        <f ca="1">_xll.BDH($C$103,"BS_LT_BORROW","FQ1 2018","FQ1 2018","Currency=INR","Period=FQ","BEST_FPERIOD_OVERRIDE=FQ","FILING_STATUS=OR","EQY_CONSOLIDATED=Y","SCALING_FORMAT=MLN","Sort=A","Dates=H","DateFormat=P","Fill=—","Direction=H","UseDPDF=Y")</f>
        <v>#NAME?</v>
      </c>
      <c r="CB124" s="2" t="e">
        <f ca="1">_xll.BDH($C$103,"TOT_DEBT_TO_EBITDA","FQ1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124" s="2" t="e">
        <f ca="1">_xll.BDH($C$103,"NET_DEBT_TO_EBITDA","FQ1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124" s="2" t="e">
        <f ca="1">_xll.BDH($C$103,"TOTAL_DEBT_TO_EBIT","FQ1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124" s="2" t="e">
        <f ca="1">_xll.BDH($C$103,"NET_DEBT_TO_EBIT","FQ1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124" s="2" t="e">
        <f ca="1">_xll.BDH($C$103,"EBITDA_TO_INTEREST_EXPN","FQ1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124" s="2" t="e">
        <f ca="1">_xll.BDH($C$103,"COM_EQY_TO_TOT_ASSET","FQ1 2018","FQ1 2018","Currency=INR","Period=FQ","BEST_FPERIOD_OVERRIDE=FQ","FILING_STATUS=OR","EQY_CONSOLIDATED=Y","Sort=A","Dates=H","DateFormat=P","Fill=—","Direction=H","UseDPDF=Y")</f>
        <v>#NAME?</v>
      </c>
      <c r="CH124" s="2" t="e">
        <f ca="1">_xll.BDH($C$103,"LT_DEBT_TO_TOT_EQY","FQ1 2018","FQ1 2018","Currency=INR","Period=FQ","BEST_FPERIOD_OVERRIDE=FQ","FILING_STATUS=OR","EQY_CONSOLIDATED=Y","Sort=A","Dates=H","DateFormat=P","Fill=—","Direction=H","UseDPDF=Y")</f>
        <v>#NAME?</v>
      </c>
      <c r="CI124" s="2" t="e">
        <f ca="1">_xll.BDH($C$103,"LT_DEBT_TO_TOT_CAP","FQ1 2018","FQ1 2018","Currency=INR","Period=FQ","BEST_FPERIOD_OVERRIDE=FQ","FILING_STATUS=OR","EQY_CONSOLIDATED=Y","Sort=A","Dates=H","DateFormat=P","Fill=—","Direction=H","UseDPDF=Y")</f>
        <v>#NAME?</v>
      </c>
      <c r="CJ124" s="2" t="e">
        <f ca="1">_xll.BDH($C$103,"LT_DEBT_TO_TOT_ASSET","FQ1 2018","FQ1 2018","Currency=INR","Period=FQ","BEST_FPERIOD_OVERRIDE=FQ","FILING_STATUS=OR","EQY_CONSOLIDATED=Y","Sort=A","Dates=H","DateFormat=P","Fill=—","Direction=H","UseDPDF=Y")</f>
        <v>#NAME?</v>
      </c>
      <c r="CK124" s="2" t="e">
        <f ca="1">_xll.BDH($C$103,"TOT_DEBT_TO_TOT_EQY","FQ1 2018","FQ1 2018","Currency=INR","Period=FQ","BEST_FPERIOD_OVERRIDE=FQ","FILING_STATUS=OR","EQY_CONSOLIDATED=Y","Sort=A","Dates=H","DateFormat=P","Fill=—","Direction=H","UseDPDF=Y")</f>
        <v>#NAME?</v>
      </c>
      <c r="CL124" s="2" t="e">
        <f ca="1">_xll.BDH($C$103,"TOT_DEBT_TO_TOT_CAP","FQ1 2018","FQ1 2018","Currency=INR","Period=FQ","BEST_FPERIOD_OVERRIDE=FQ","FILING_STATUS=OR","EQY_CONSOLIDATED=Y","Sort=A","Dates=H","DateFormat=P","Fill=—","Direction=H","UseDPDF=Y")</f>
        <v>#NAME?</v>
      </c>
      <c r="CM124" s="2" t="e">
        <f ca="1">_xll.BDH($C$103,"TOT_DEBT_TO_TOT_ASSET","FQ1 2018","FQ1 2018","Currency=INR","Period=FQ","BEST_FPERIOD_OVERRIDE=FQ","FILING_STATUS=OR","EQY_CONSOLIDATED=Y","Sort=A","Dates=H","DateFormat=P","Fill=—","Direction=H","UseDPDF=Y")</f>
        <v>#NAME?</v>
      </c>
      <c r="CN124" s="2" t="e">
        <f ca="1">_xll.BDH($C$103,"NET_DEBT_TO_SHRHLDR_EQTY","FQ1 2018","FQ1 2018","Currency=INR","Period=FQ","BEST_FPERIOD_OVERRIDE=FQ","FILING_STATUS=OR","EQY_CONSOLIDATED=Y","Sort=A","Dates=H","DateFormat=P","Fill=—","Direction=H","UseDPDF=Y")</f>
        <v>#NAME?</v>
      </c>
      <c r="CO124" s="2" t="e">
        <f ca="1">_xll.BDH($C$103,"NET_DEBT_%_CAPITAL","FQ1 2018","FQ1 2018","Currency=INR","Period=FQ","BEST_FPERIOD_OVERRIDE=FQ","FILING_STATUS=OR","EQY_CONSOLIDATED=Y","Sort=A","Dates=H","DateFormat=P","Fill=—","Direction=H","UseDPDF=Y")</f>
        <v>#NAME?</v>
      </c>
      <c r="CP124" s="3" t="e">
        <f ca="1">_xll.BDH($C$103,"EBITDA","FQ1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124" s="3" t="e">
        <f ca="1">_xll.BDH($C$103,"EBITDA_AFTER_CAPEX","FQ1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124" s="3" t="e">
        <f ca="1">_xll.BDH($C$103,"IS_OPER_INC","FQ1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124" s="2" t="e">
        <f ca="1">_xll.BDH($C$103,"CASH_RATIO","FQ1 2018","FQ1 2018","Currency=INR","Period=FQ","BEST_FPERIOD_OVERRIDE=FQ","FILING_STATUS=OR","EQY_CONSOLIDATED=Y","Sort=A","Dates=H","DateFormat=P","Fill=—","Direction=H","UseDPDF=Y")</f>
        <v>#NAME?</v>
      </c>
      <c r="CT124" s="2" t="e">
        <f ca="1">_xll.BDH($C$103,"CUR_RATIO","FQ1 2018","FQ1 2018","Currency=INR","Period=FQ","BEST_FPERIOD_OVERRIDE=FQ","FILING_STATUS=OR","EQY_CONSOLIDATED=Y","Sort=A","Dates=H","DateFormat=P","Fill=—","Direction=H","UseDPDF=Y")</f>
        <v>#NAME?</v>
      </c>
      <c r="CU124" s="2" t="e">
        <f ca="1">_xll.BDH($C$103,"QUICK_RATIO","FQ1 2018","FQ1 2018","Currency=INR","Period=FQ","BEST_FPERIOD_OVERRIDE=FQ","FILING_STATUS=OR","EQY_CONSOLIDATED=Y","Sort=A","Dates=H","DateFormat=P","Fill=—","Direction=H","UseDPDF=Y")</f>
        <v>#NAME?</v>
      </c>
      <c r="CV124" s="2" t="e">
        <f ca="1">_xll.BDH($C$103,"ALTMAN_Z_SCORE","FQ1 2018","FQ1 2018","Currency=INR","Period=FQ","BEST_FPERIOD_OVERRIDE=FQ","FILING_STATUS=OR","EQY_CONSOLIDATED=Y","Sort=A","Dates=H","DateFormat=P","Fill=—","Direction=H","UseDPDF=Y")</f>
        <v>#NAME?</v>
      </c>
      <c r="CW124" s="4" t="e">
        <f ca="1">_xll.BDH($C$103,"ACCT_RCV_TURN","FQ1 2018","FQ1 2018","Currency=INR","Period=FQ","BEST_FPERIOD_OVERRIDE=FQ","FILING_STATUS=OR","EQY_CONSOLIDATED=Y","FA_ADJUSTED=GAAP","Sort=A","Dates=H","DateFormat=P","Fill=—","Direction=H","UseDPDF=Y")</f>
        <v>#NAME?</v>
      </c>
      <c r="CX124" s="2" t="e">
        <f ca="1">_xll.BDH($C$103,"ACCT_RCV_DAYS","FQ1 2018","FQ1 2018","Currency=INR","Period=FQ","BEST_FPERIOD_OVERRIDE=FQ","FILING_STATUS=OR","EQY_CONSOLIDATED=Y","FA_ADJUSTED=GAAP","Sort=A","Dates=H","DateFormat=P","Fill=—","Direction=H","UseDPDF=Y")</f>
        <v>#NAME?</v>
      </c>
      <c r="CY124" s="4" t="e">
        <f ca="1">_xll.BDH($C$103,"INVENT_TURN","FQ1 2018","FQ1 2018","Currency=INR","Period=FQ","BEST_FPERIOD_OVERRIDE=FQ","FILING_STATUS=OR","EQY_CONSOLIDATED=Y","FA_ADJUSTED=GAAP","Sort=A","Dates=H","DateFormat=P","Fill=—","Direction=H","UseDPDF=Y")</f>
        <v>#NAME?</v>
      </c>
      <c r="CZ124" s="2" t="e">
        <f ca="1">_xll.BDH($C$103,"INVENT_DAYS","FQ1 2018","FQ1 2018","Currency=INR","Period=FQ","BEST_FPERIOD_OVERRIDE=FQ","FILING_STATUS=OR","EQY_CONSOLIDATED=Y","FA_ADJUSTED=GAAP","Sort=A","Dates=H","DateFormat=P","Fill=—","Direction=H","UseDPDF=Y")</f>
        <v>#NAME?</v>
      </c>
      <c r="DA124" s="4" t="e">
        <f ca="1">_xll.BDH($C$103,"ACCOUNTS_PAYABLE_TURNOVER","FQ1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124" s="2" t="e">
        <f ca="1">_xll.BDH($C$103,"ACCOUNTS_PAYABLE_TURNOVER_DAYS","FQ1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124" s="4" t="e">
        <f ca="1">_xll.BDH($C$103,"CASH_CONVERSION_CYCLE","FQ1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124" s="4" t="e">
        <f ca="1">_xll.BDH($C$103,"INV_TO_CASH_DAYS","FQ1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124" s="5" t="e">
        <f ca="1">_xll.BDH($C$103,"BS_INVENTORIES","FQ1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124" s="3" t="e">
        <f ca="1">_xll.BDH($C$103,"INVTRY_RAW_MATERIALS","FQ1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124" s="3" t="e">
        <f ca="1">_xll.BDH($C$103,"INVTRY_IN_PROGRESS","FQ1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124" s="3" t="e">
        <f ca="1">_xll.BDH($C$103,"INVTRY_FINISHED_GOODS","FQ1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124" s="3" t="e">
        <f ca="1">_xll.BDH($C$103,"BS_OTHER_INV","FQ1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125" spans="1:113" x14ac:dyDescent="0.3">
      <c r="A125" s="6"/>
      <c r="B125" s="6"/>
      <c r="C125" s="6"/>
      <c r="D125" s="6"/>
      <c r="E125" t="s">
        <v>79</v>
      </c>
      <c r="F125" t="e">
        <f ca="1">_xll.BDH($C$103,"RETURN_COM_EQY","FQ2 2018","FQ2 2018","Currency=INR","Period=FQ","BEST_FPERIOD_OVERRIDE=FQ","FILING_STATUS=OR","EQY_CONSOLIDATED=Y","FA_ADJUSTED=GAAP","Sort=A","Dates=H","DateFormat=P","Fill=—","Direction=H","UseDPDF=Y")</f>
        <v>#NAME?</v>
      </c>
      <c r="G125" t="e">
        <f ca="1">_xll.BDH($C$103,"RETURN_ON_ASSET","FQ2 2018","FQ2 2018","Currency=INR","Period=FQ","BEST_FPERIOD_OVERRIDE=FQ","FILING_STATUS=OR","EQY_CONSOLIDATED=Y","FA_ADJUSTED=GAAP","Sort=A","Dates=H","DateFormat=P","Fill=—","Direction=H","UseDPDF=Y")</f>
        <v>#NAME?</v>
      </c>
      <c r="H125" t="e">
        <f ca="1">_xll.BDH($C$103,"RETURN_ON_CAP","FQ2 2018","FQ2 2018","Currency=INR","Period=FQ","BEST_FPERIOD_OVERRIDE=FQ","FILING_STATUS=OR","EQY_CONSOLIDATED=Y","FA_ADJUSTED=GAAP","Sort=A","Dates=H","DateFormat=P","Fill=—","Direction=H","UseDPDF=Y")</f>
        <v>#NAME?</v>
      </c>
      <c r="I125" t="e">
        <f ca="1">_xll.BDH($C$103,"RETURN_ON_INV_CAPITAL","FQ2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125" t="e">
        <f ca="1">_xll.BDH($C$103,"EBITDA_TO_REVENUE","FQ2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125" t="e">
        <f ca="1">_xll.BDH($C$103,"OPER_MARGIN","FQ2 2018","FQ2 2018","Currency=INR","Period=FQ","BEST_FPERIOD_OVERRIDE=FQ","FILING_STATUS=OR","EQY_CONSOLIDATED=Y","FA_ADJUSTED=GAAP","Sort=A","Dates=H","DateFormat=P","Fill=—","Direction=H","UseDPDF=Y")</f>
        <v>#NAME?</v>
      </c>
      <c r="L125" t="e">
        <f ca="1">_xll.BDH($C$103,"INCREMENTAL_OPERATING_MARGIN","FQ2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125" t="e">
        <f ca="1">_xll.BDH($C$103,"PRETAX_INC_TO_NET_SALES","FQ2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125" t="e">
        <f ca="1">_xll.BDH($C$103,"INC_BEF_XO_ITEMS_TO_NET_SALES","FQ2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125" t="e">
        <f ca="1">_xll.BDH($C$103,"PROF_MARGIN","FQ2 2018","FQ2 2018","Currency=INR","Period=FQ","BEST_FPERIOD_OVERRIDE=FQ","FILING_STATUS=OR","EQY_CONSOLIDATED=Y","FA_ADJUSTED=GAAP","Sort=A","Dates=H","DateFormat=P","Fill=—","Direction=H","UseDPDF=Y")</f>
        <v>#NAME?</v>
      </c>
      <c r="P125" t="e">
        <f ca="1">_xll.BDH($C$103,"NET_INCOME_TO_COMMON_MARGIN","FQ2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125" t="e">
        <f ca="1">_xll.BDH($C$103,"EFF_TAX_RATE","FQ2 2018","FQ2 2018","Currency=INR","Period=FQ","BEST_FPERIOD_OVERRIDE=FQ","FILING_STATUS=OR","EQY_CONSOLIDATED=Y","FA_ADJUSTED=GAAP","Sort=A","Dates=H","DateFormat=P","Fill=—","Direction=H","UseDPDF=Y")</f>
        <v>#NAME?</v>
      </c>
      <c r="R125" t="e">
        <f ca="1">_xll.BDH($C$103,"DVD_PAYOUT_RATIO","FQ2 2018","FQ2 2018","Currency=INR","Period=FQ","BEST_FPERIOD_OVERRIDE=FQ","FILING_STATUS=OR","EQY_CONSOLIDATED=Y","FA_ADJUSTED=GAAP","Sort=A","Dates=H","DateFormat=P","Fill=—","Direction=H","UseDPDF=Y")</f>
        <v>#NAME?</v>
      </c>
      <c r="S125" t="e">
        <f ca="1">_xll.BDH($C$103,"SUSTAIN_GROWTH_RT","FQ2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125" s="2" t="e">
        <f ca="1">_xll.BDH($C$103,"SALES_GROWTH","FQ2 2018","FQ2 2018","Currency=INR","Period=FQ","BEST_FPERIOD_OVERRIDE=FQ","FILING_STATUS=OR","EQY_CONSOLIDATED=Y","FA_ADJUSTED=GAAP","Sort=A","Dates=H","DateFormat=P","Fill=—","Direction=H","UseDPDF=Y")</f>
        <v>#NAME?</v>
      </c>
      <c r="U125" s="2" t="e">
        <f ca="1">_xll.BDH($C$103,"EBITDA_GROWTH","FQ2 2018","FQ2 2018","Currency=INR","Period=FQ","BEST_FPERIOD_OVERRIDE=FQ","FILING_STATUS=OR","EQY_CONSOLIDATED=Y","FA_ADJUSTED=GAAP","Sort=A","Dates=H","DateFormat=P","Fill=—","Direction=H","UseDPDF=Y")</f>
        <v>#NAME?</v>
      </c>
      <c r="V125" s="2" t="e">
        <f ca="1">_xll.BDH($C$103,"OPER_INC_GROWTH","FQ2 2018","FQ2 2018","Currency=INR","Period=FQ","BEST_FPERIOD_OVERRIDE=FQ","FILING_STATUS=OR","EQY_CONSOLIDATED=Y","FA_ADJUSTED=GAAP","Sort=A","Dates=H","DateFormat=P","Fill=—","Direction=H","UseDPDF=Y")</f>
        <v>#NAME?</v>
      </c>
      <c r="W125" s="2" t="e">
        <f ca="1">_xll.BDH($C$103,"EARN_FOR_COM_GROWTH","FQ2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125" s="2" t="e">
        <f ca="1">_xll.BDH($C$103,"DILUTED_EPS_AFT_XO_ITEMS_GROWTH","FQ2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125" s="2" t="e">
        <f ca="1">_xll.BDH($C$103,"DIVIDEND_PER_SHARE_1_YEAR_GROWTH","FQ2 2018","FQ2 2018","Currency=INR","Period=FQ","BEST_FPERIOD_OVERRIDE=FQ","FILING_STATUS=OR","EQY_CONSOLIDATED=Y","Sort=A","Dates=H","DateFormat=P","Fill=—","Direction=H","UseDPDF=Y")</f>
        <v>#NAME?</v>
      </c>
      <c r="Z125" s="2" t="e">
        <f ca="1">_xll.BDH($C$103,"ACCOUNTS_RECEIVABLE_GROWTH","FQ2 2018","FQ2 2018","Currency=INR","Period=FQ","BEST_FPERIOD_OVERRIDE=FQ","FILING_STATUS=OR","EQY_CONSOLIDATED=Y","Sort=A","Dates=H","DateFormat=P","Fill=—","Direction=H","UseDPDF=Y")</f>
        <v>#NAME?</v>
      </c>
      <c r="AA125" s="2" t="e">
        <f ca="1">_xll.BDH($C$103,"INVENTORY_GROWTH","FQ2 2018","FQ2 2018","Currency=INR","Period=FQ","BEST_FPERIOD_OVERRIDE=FQ","FILING_STATUS=OR","EQY_CONSOLIDATED=Y","Sort=A","Dates=H","DateFormat=P","Fill=—","Direction=H","UseDPDF=Y")</f>
        <v>#NAME?</v>
      </c>
      <c r="AB125" s="2" t="e">
        <f ca="1">_xll.BDH($C$103,"NET_FIXED_ASSETS_1_YEAR_GROWTH","FQ2 2018","FQ2 2018","Currency=INR","Period=FQ","BEST_FPERIOD_OVERRIDE=FQ","FILING_STATUS=OR","EQY_CONSOLIDATED=Y","Sort=A","Dates=H","DateFormat=P","Fill=—","Direction=H","UseDPDF=Y")</f>
        <v>#NAME?</v>
      </c>
      <c r="AC125" s="2" t="e">
        <f ca="1">_xll.BDH($C$103,"ASSET_GROWTH","FQ2 2018","FQ2 2018","Currency=INR","Period=FQ","BEST_FPERIOD_OVERRIDE=FQ","FILING_STATUS=OR","EQY_CONSOLIDATED=Y","Sort=A","Dates=H","DateFormat=P","Fill=—","Direction=H","UseDPDF=Y")</f>
        <v>#NAME?</v>
      </c>
      <c r="AD125" s="2" t="e">
        <f ca="1">_xll.BDH($C$103,"MODIFIED_WORK_CAP_GROWTH","FQ2 2018","FQ2 2018","Currency=INR","Period=FQ","BEST_FPERIOD_OVERRIDE=FQ","FILING_STATUS=OR","EQY_CONSOLIDATED=Y","Sort=A","Dates=H","DateFormat=P","Fill=—","Direction=H","UseDPDF=Y")</f>
        <v>#NAME?</v>
      </c>
      <c r="AE125" s="2" t="e">
        <f ca="1">_xll.BDH($C$103,"WORK_CAP_GROWTH","FQ2 2018","FQ2 2018","Currency=INR","Period=FQ","BEST_FPERIOD_OVERRIDE=FQ","FILING_STATUS=OR","EQY_CONSOLIDATED=Y","Sort=A","Dates=H","DateFormat=P","Fill=—","Direction=H","UseDPDF=Y")</f>
        <v>#NAME?</v>
      </c>
      <c r="AF125" s="2" t="e">
        <f ca="1">_xll.BDH($C$103,"ACCOUNTS_PAYABLE_GROWTH_1YR","FQ2 2018","FQ2 2018","Currency=INR","Period=FQ","BEST_FPERIOD_OVERRIDE=FQ","FILING_STATUS=OR","EQY_CONSOLIDATED=Y","Sort=A","Dates=H","DateFormat=P","Fill=—","Direction=H","UseDPDF=Y")</f>
        <v>#NAME?</v>
      </c>
      <c r="AG125" s="2" t="e">
        <f ca="1">_xll.BDH($C$103,"SHORT_TERM_DEBT_1_YEAR_GROWTH","FQ2 2018","FQ2 2018","Currency=INR","Period=FQ","BEST_FPERIOD_OVERRIDE=FQ","FILING_STATUS=OR","EQY_CONSOLIDATED=Y","Sort=A","Dates=H","DateFormat=P","Fill=—","Direction=H","UseDPDF=Y")</f>
        <v>#NAME?</v>
      </c>
      <c r="AH125" s="2" t="e">
        <f ca="1">_xll.BDH($C$103,"TOTAL_DEBT_1_YEAR_GROWTH","FQ2 2018","FQ2 2018","Currency=INR","Period=FQ","BEST_FPERIOD_OVERRIDE=FQ","FILING_STATUS=OR","EQY_CONSOLIDATED=Y","Sort=A","Dates=H","DateFormat=P","Fill=—","Direction=H","UseDPDF=Y")</f>
        <v>#NAME?</v>
      </c>
      <c r="AI125" s="2" t="e">
        <f ca="1">_xll.BDH($C$103,"TOTAL_EQUITY_1_YEAR_GROWTH","FQ2 2018","FQ2 2018","Currency=INR","Period=FQ","BEST_FPERIOD_OVERRIDE=FQ","FILING_STATUS=OR","EQY_CONSOLIDATED=Y","Sort=A","Dates=H","DateFormat=P","Fill=—","Direction=H","UseDPDF=Y")</f>
        <v>#NAME?</v>
      </c>
      <c r="AJ125" s="2" t="e">
        <f ca="1">_xll.BDH($C$103,"GROWTH_IN_CAP","FQ2 2018","FQ2 2018","Currency=INR","Period=FQ","BEST_FPERIOD_OVERRIDE=FQ","FILING_STATUS=OR","EQY_CONSOLIDATED=Y","Sort=A","Dates=H","DateFormat=P","Fill=—","Direction=H","UseDPDF=Y")</f>
        <v>#NAME?</v>
      </c>
      <c r="AK125" s="2" t="e">
        <f ca="1">_xll.BDH($C$103,"BVPS_GROWTH","FQ2 2018","FQ2 2018","Currency=INR","Period=FQ","BEST_FPERIOD_OVERRIDE=FQ","FILING_STATUS=OR","EQY_CONSOLIDATED=Y","Sort=A","Dates=H","DateFormat=P","Fill=—","Direction=H","UseDPDF=Y")</f>
        <v>#NAME?</v>
      </c>
      <c r="AL125" s="2" t="e">
        <f ca="1">_xll.BDH($C$103,"CASH_FLOW_GROWTH","FQ2 2018","FQ2 2018","Currency=INR","Period=FQ","BEST_FPERIOD_OVERRIDE=FQ","FILING_STATUS=OR","EQY_CONSOLIDATED=Y","Sort=A","Dates=H","DateFormat=P","Fill=—","Direction=H","UseDPDF=Y")</f>
        <v>#NAME?</v>
      </c>
      <c r="AM125" s="2" t="e">
        <f ca="1">_xll.BDH($C$103,"GEO_GROW_NET_SALES","FQ2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125" s="2" t="e">
        <f ca="1">_xll.BDH($C$103,"GEO_GROW_EBITDA","FQ2 2018","FQ2 2018","Currency=INR","Period=FQ","BEST_FPERIOD_OVERRIDE=FQ","FILING_STATUS=OR","EQY_CONSOLIDATED=Y","FA_ADJUSTED=GAAP","Sort=A","Dates=H","DateFormat=P","Fill=—","Direction=H","UseDPDF=Y")</f>
        <v>#NAME?</v>
      </c>
      <c r="AO125" s="2" t="e">
        <f ca="1">_xll.BDH($C$103,"GEO_GROW_OPER_INC","FQ2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125" s="2" t="e">
        <f ca="1">_xll.BDH($C$103,"NET_INCOME_TO_COMMON_5_YR_GROWTH","FQ2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125" s="2" t="e">
        <f ca="1">_xll.BDH($C$103,"5Y_GEO_GROWTH_DILUTED_EPS","FQ2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125" s="2" t="e">
        <f ca="1">_xll.BDH($C$103,"GEO_GROW_DVD_PER_SH","FQ2 2018","FQ2 2018","Currency=INR","Period=FQ","BEST_FPERIOD_OVERRIDE=FQ","FILING_STATUS=OR","EQY_CONSOLIDATED=Y","Sort=A","Dates=H","DateFormat=P","Fill=—","Direction=H","UseDPDF=Y")</f>
        <v>#NAME?</v>
      </c>
      <c r="AS125" s="2" t="e">
        <f ca="1">_xll.BDH($C$103,"ACCOUNTS_RECEIVABLE_5_YR_GROWTH","FQ2 2018","FQ2 2018","Currency=INR","Period=FQ","BEST_FPERIOD_OVERRIDE=FQ","FILING_STATUS=OR","EQY_CONSOLIDATED=Y","Sort=A","Dates=H","DateFormat=P","Fill=—","Direction=H","UseDPDF=Y")</f>
        <v>#NAME?</v>
      </c>
      <c r="AT125" s="2" t="e">
        <f ca="1">_xll.BDH($C$103,"INVENTORY_5_YEAR_GROWTH","FQ2 2018","FQ2 2018","Currency=INR","Period=FQ","BEST_FPERIOD_OVERRIDE=FQ","FILING_STATUS=OR","EQY_CONSOLIDATED=Y","Sort=A","Dates=H","DateFormat=P","Fill=—","Direction=H","UseDPDF=Y")</f>
        <v>#NAME?</v>
      </c>
      <c r="AU125" s="2" t="e">
        <f ca="1">_xll.BDH($C$103,"NET_FIXED_ASSETS_5_YEAR_GROWTH","FQ2 2018","FQ2 2018","Currency=INR","Period=FQ","BEST_FPERIOD_OVERRIDE=FQ","FILING_STATUS=OR","EQY_CONSOLIDATED=Y","Sort=A","Dates=H","DateFormat=P","Fill=—","Direction=H","UseDPDF=Y")</f>
        <v>#NAME?</v>
      </c>
      <c r="AV125" s="2" t="e">
        <f ca="1">_xll.BDH($C$103,"GEO_GROW_TOT_ASSET","FQ2 2018","FQ2 2018","Currency=INR","Period=FQ","BEST_FPERIOD_OVERRIDE=FQ","FILING_STATUS=OR","EQY_CONSOLIDATED=Y","Sort=A","Dates=H","DateFormat=P","Fill=—","Direction=H","UseDPDF=Y")</f>
        <v>#NAME?</v>
      </c>
      <c r="AW125" s="2" t="e">
        <f ca="1">_xll.BDH($C$103,"MODIFIED_WORKING_CPTL_5YR_GRWTH","FQ2 2018","FQ2 2018","Currency=INR","Period=FQ","BEST_FPERIOD_OVERRIDE=FQ","FILING_STATUS=OR","EQY_CONSOLIDATED=Y","Sort=A","Dates=H","DateFormat=P","Fill=—","Direction=H","UseDPDF=Y")</f>
        <v>#NAME?</v>
      </c>
      <c r="AX125" s="2" t="e">
        <f ca="1">_xll.BDH($C$103,"WORKING_CAPITAL_5_YEAR_GROWTH","FQ2 2018","FQ2 2018","Currency=INR","Period=FQ","BEST_FPERIOD_OVERRIDE=FQ","FILING_STATUS=OR","EQY_CONSOLIDATED=Y","Sort=A","Dates=H","DateFormat=P","Fill=—","Direction=H","UseDPDF=Y")</f>
        <v>#NAME?</v>
      </c>
      <c r="AY125" s="2" t="e">
        <f ca="1">_xll.BDH($C$103,"ACCOUNTS_PAYABLE_5_YEAR_GROWTH","FQ2 2018","FQ2 2018","Currency=INR","Period=FQ","BEST_FPERIOD_OVERRIDE=FQ","FILING_STATUS=OR","EQY_CONSOLIDATED=Y","Sort=A","Dates=H","DateFormat=P","Fill=—","Direction=H","UseDPDF=Y")</f>
        <v>#NAME?</v>
      </c>
      <c r="AZ125" s="2" t="e">
        <f ca="1">_xll.BDH($C$103,"SHORT_TERM_DEBT_5_YEAR_GROWTH","FQ2 2018","FQ2 2018","Currency=INR","Period=FQ","BEST_FPERIOD_OVERRIDE=FQ","FILING_STATUS=OR","EQY_CONSOLIDATED=Y","Sort=A","Dates=H","DateFormat=P","Fill=—","Direction=H","UseDPDF=Y")</f>
        <v>#NAME?</v>
      </c>
      <c r="BA125" s="2" t="e">
        <f ca="1">_xll.BDH($C$103,"TOTAL_DEBT_5_YEAR_GROWTH","FQ2 2018","FQ2 2018","Currency=INR","Period=FQ","BEST_FPERIOD_OVERRIDE=FQ","FILING_STATUS=OR","EQY_CONSOLIDATED=Y","Sort=A","Dates=H","DateFormat=P","Fill=—","Direction=H","UseDPDF=Y")</f>
        <v>#NAME?</v>
      </c>
      <c r="BB125" s="2" t="e">
        <f ca="1">_xll.BDH($C$103,"GEO_GROW_TOT_SHRHLDR_EQY","FQ2 2018","FQ2 2018","Currency=INR","Period=FQ","BEST_FPERIOD_OVERRIDE=FQ","FILING_STATUS=OR","EQY_CONSOLIDATED=Y","Sort=A","Dates=H","DateFormat=P","Fill=—","Direction=H","UseDPDF=Y")</f>
        <v>#NAME?</v>
      </c>
      <c r="BC125" s="2" t="e">
        <f ca="1">_xll.BDH($C$103,"TOTAL_CAPITAL_5_YEAR_GROWTH","FQ2 2018","FQ2 2018","Currency=INR","Period=FQ","BEST_FPERIOD_OVERRIDE=FQ","FILING_STATUS=OR","EQY_CONSOLIDATED=Y","Sort=A","Dates=H","DateFormat=P","Fill=—","Direction=H","UseDPDF=Y")</f>
        <v>#NAME?</v>
      </c>
      <c r="BD125" s="2" t="e">
        <f ca="1">_xll.BDH($C$103,"GEO_GROW_BOOK_VAL","FQ2 2018","FQ2 2018","Currency=INR","Period=FQ","BEST_FPERIOD_OVERRIDE=FQ","FILING_STATUS=OR","EQY_CONSOLIDATED=Y","Sort=A","Dates=H","DateFormat=P","Fill=—","Direction=H","UseDPDF=Y")</f>
        <v>#NAME?</v>
      </c>
      <c r="BE125" s="2" t="e">
        <f ca="1">_xll.BDH($C$103,"GEO_GROW_CASH_OPER_ACT","FQ2 2018","FQ2 2018","Currency=INR","Period=FQ","BEST_FPERIOD_OVERRIDE=FQ","FILING_STATUS=OR","EQY_CONSOLIDATED=Y","Sort=A","Dates=H","DateFormat=P","Fill=—","Direction=H","UseDPDF=Y")</f>
        <v>#NAME?</v>
      </c>
      <c r="BF125" s="2" t="e">
        <f ca="1">_xll.BDH($C$103,"REVENUE_SEQUENTIAL_GROWTH","FQ2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125" s="2" t="e">
        <f ca="1">_xll.BDH($C$103,"EBITDA_SEQUENTIAL_GROWTH","FQ2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125" s="2" t="e">
        <f ca="1">_xll.BDH($C$103,"OPERATING_INCOME_SEQ_GROWTH","FQ2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125" s="2" t="e">
        <f ca="1">_xll.BDH($C$103,"NET_INCOME_TO_COMMON_SEQ_GROWTH","FQ2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125" s="2" t="e">
        <f ca="1">_xll.BDH($C$103,"EPS_DILUTED_SEQUENTIAL_GROWTH","FQ2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125" s="2" t="e">
        <f ca="1">_xll.BDH($C$103,"DPS_SEQUENTIAL_GROWTH","FQ2 2018","FQ2 2018","Currency=INR","Period=FQ","BEST_FPERIOD_OVERRIDE=FQ","FILING_STATUS=OR","EQY_CONSOLIDATED=Y","Sort=A","Dates=H","DateFormat=P","Fill=—","Direction=H","UseDPDF=Y")</f>
        <v>#NAME?</v>
      </c>
      <c r="BL125" s="2" t="e">
        <f ca="1">_xll.BDH($C$103,"ACCOUNTS_RECEIVABLE_SEQ_GROWTH","FQ2 2018","FQ2 2018","Currency=INR","Period=FQ","BEST_FPERIOD_OVERRIDE=FQ","FILING_STATUS=OR","EQY_CONSOLIDATED=Y","Sort=A","Dates=H","DateFormat=P","Fill=—","Direction=H","UseDPDF=Y")</f>
        <v>#NAME?</v>
      </c>
      <c r="BM125" s="2" t="e">
        <f ca="1">_xll.BDH($C$103,"INVENTORY_SEQUENTIAL_GROWTH","FQ2 2018","FQ2 2018","Currency=INR","Period=FQ","BEST_FPERIOD_OVERRIDE=FQ","FILING_STATUS=OR","EQY_CONSOLIDATED=Y","Sort=A","Dates=H","DateFormat=P","Fill=—","Direction=H","UseDPDF=Y")</f>
        <v>#NAME?</v>
      </c>
      <c r="BN125" s="2" t="e">
        <f ca="1">_xll.BDH($C$103,"FIXED_ASSETS_SEQUENTIAL_GROWTH","FQ2 2018","FQ2 2018","Currency=INR","Period=FQ","BEST_FPERIOD_OVERRIDE=FQ","FILING_STATUS=OR","EQY_CONSOLIDATED=Y","Sort=A","Dates=H","DateFormat=P","Fill=—","Direction=H","UseDPDF=Y")</f>
        <v>#NAME?</v>
      </c>
      <c r="BO125" s="2" t="e">
        <f ca="1">_xll.BDH($C$103,"TOTAL_ASSETS_SEQUENTIAL_GROWTH","FQ2 2018","FQ2 2018","Currency=INR","Period=FQ","BEST_FPERIOD_OVERRIDE=FQ","FILING_STATUS=OR","EQY_CONSOLIDATED=Y","Sort=A","Dates=H","DateFormat=P","Fill=—","Direction=H","UseDPDF=Y")</f>
        <v>#NAME?</v>
      </c>
      <c r="BP125" s="2" t="e">
        <f ca="1">_xll.BDH($C$103,"MODIFIED_WORKING_CPTL_SEQ_GRWTH","FQ2 2018","FQ2 2018","Currency=INR","Period=FQ","BEST_FPERIOD_OVERRIDE=FQ","FILING_STATUS=OR","EQY_CONSOLIDATED=Y","Sort=A","Dates=H","DateFormat=P","Fill=—","Direction=H","UseDPDF=Y")</f>
        <v>#NAME?</v>
      </c>
      <c r="BQ125" s="2" t="e">
        <f ca="1">_xll.BDH($C$103,"WORKING_CAPITAL_SEQ_GROWTH","FQ2 2018","FQ2 2018","Currency=INR","Period=FQ","BEST_FPERIOD_OVERRIDE=FQ","FILING_STATUS=OR","EQY_CONSOLIDATED=Y","Sort=A","Dates=H","DateFormat=P","Fill=—","Direction=H","UseDPDF=Y")</f>
        <v>#NAME?</v>
      </c>
      <c r="BR125" s="2" t="e">
        <f ca="1">_xll.BDH($C$103,"ACCOUNTS_PAYABLE_SEQ_GROWTH","FQ2 2018","FQ2 2018","Currency=INR","Period=FQ","BEST_FPERIOD_OVERRIDE=FQ","FILING_STATUS=OR","EQY_CONSOLIDATED=Y","Sort=A","Dates=H","DateFormat=P","Fill=—","Direction=H","UseDPDF=Y")</f>
        <v>#NAME?</v>
      </c>
      <c r="BS125" s="2" t="e">
        <f ca="1">_xll.BDH($C$103,"ST_DEBT_SEQUENTIAL_GROWTH","FQ2 2018","FQ2 2018","Currency=INR","Period=FQ","BEST_FPERIOD_OVERRIDE=FQ","FILING_STATUS=OR","EQY_CONSOLIDATED=Y","Sort=A","Dates=H","DateFormat=P","Fill=—","Direction=H","UseDPDF=Y")</f>
        <v>#NAME?</v>
      </c>
      <c r="BT125" s="2" t="e">
        <f ca="1">_xll.BDH($C$103,"TOTAL_DEBT_SEQUENTIAL_GROWTH","FQ2 2018","FQ2 2018","Currency=INR","Period=FQ","BEST_FPERIOD_OVERRIDE=FQ","FILING_STATUS=OR","EQY_CONSOLIDATED=Y","Sort=A","Dates=H","DateFormat=P","Fill=—","Direction=H","UseDPDF=Y")</f>
        <v>#NAME?</v>
      </c>
      <c r="BU125" s="2" t="e">
        <f ca="1">_xll.BDH($C$103,"TOTAL_EQUITY_SEQUENTIAL_GROWTH","FQ2 2018","FQ2 2018","Currency=INR","Period=FQ","BEST_FPERIOD_OVERRIDE=FQ","FILING_STATUS=OR","EQY_CONSOLIDATED=Y","Sort=A","Dates=H","DateFormat=P","Fill=—","Direction=H","UseDPDF=Y")</f>
        <v>#NAME?</v>
      </c>
      <c r="BV125" s="2" t="e">
        <f ca="1">_xll.BDH($C$103,"TOTAL_CAPITAL_SEQUENTIAL_GROWTH","FQ2 2018","FQ2 2018","Currency=INR","Period=FQ","BEST_FPERIOD_OVERRIDE=FQ","FILING_STATUS=OR","EQY_CONSOLIDATED=Y","Sort=A","Dates=H","DateFormat=P","Fill=—","Direction=H","UseDPDF=Y")</f>
        <v>#NAME?</v>
      </c>
      <c r="BW125" s="2" t="e">
        <f ca="1">_xll.BDH($C$103,"BPS_SEQUENTIAL_GROWTH","FQ2 2018","FQ2 2018","Currency=INR","Period=FQ","BEST_FPERIOD_OVERRIDE=FQ","FILING_STATUS=OR","EQY_CONSOLIDATED=Y","Sort=A","Dates=H","DateFormat=P","Fill=—","Direction=H","UseDPDF=Y")</f>
        <v>#NAME?</v>
      </c>
      <c r="BX125" s="2" t="e">
        <f ca="1">_xll.BDH($C$103,"CFO_SEQUENTIAL_GROWTH","FQ2 2018","FQ2 2018","Currency=INR","Period=FQ","BEST_FPERIOD_OVERRIDE=FQ","FILING_STATUS=OR","EQY_CONSOLIDATED=Y","Sort=A","Dates=H","DateFormat=P","Fill=—","Direction=H","UseDPDF=Y")</f>
        <v>#NAME?</v>
      </c>
      <c r="BY125" s="3" t="e">
        <f ca="1">_xll.BDH($C$103,"SHORT_AND_LONG_TERM_DEBT","FQ2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125" s="3" t="e">
        <f ca="1">_xll.BDH($C$103,"BS_ST_BORROW","FQ2 2018","FQ2 2018","Currency=INR","Period=FQ","BEST_FPERIOD_OVERRIDE=FQ","FILING_STATUS=OR","EQY_CONSOLIDATED=Y","SCALING_FORMAT=MLN","Sort=A","Dates=H","DateFormat=P","Fill=—","Direction=H","UseDPDF=Y")</f>
        <v>#NAME?</v>
      </c>
      <c r="CA125" s="3" t="e">
        <f ca="1">_xll.BDH($C$103,"BS_LT_BORROW","FQ2 2018","FQ2 2018","Currency=INR","Period=FQ","BEST_FPERIOD_OVERRIDE=FQ","FILING_STATUS=OR","EQY_CONSOLIDATED=Y","SCALING_FORMAT=MLN","Sort=A","Dates=H","DateFormat=P","Fill=—","Direction=H","UseDPDF=Y")</f>
        <v>#NAME?</v>
      </c>
      <c r="CB125" s="2" t="e">
        <f ca="1">_xll.BDH($C$103,"TOT_DEBT_TO_EBITDA","FQ2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125" s="2" t="e">
        <f ca="1">_xll.BDH($C$103,"NET_DEBT_TO_EBITDA","FQ2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125" s="2" t="e">
        <f ca="1">_xll.BDH($C$103,"TOTAL_DEBT_TO_EBIT","FQ2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125" s="2" t="e">
        <f ca="1">_xll.BDH($C$103,"NET_DEBT_TO_EBIT","FQ2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125" s="2" t="e">
        <f ca="1">_xll.BDH($C$103,"EBITDA_TO_INTEREST_EXPN","FQ2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125" s="2" t="e">
        <f ca="1">_xll.BDH($C$103,"COM_EQY_TO_TOT_ASSET","FQ2 2018","FQ2 2018","Currency=INR","Period=FQ","BEST_FPERIOD_OVERRIDE=FQ","FILING_STATUS=OR","EQY_CONSOLIDATED=Y","Sort=A","Dates=H","DateFormat=P","Fill=—","Direction=H","UseDPDF=Y")</f>
        <v>#NAME?</v>
      </c>
      <c r="CH125" s="2" t="e">
        <f ca="1">_xll.BDH($C$103,"LT_DEBT_TO_TOT_EQY","FQ2 2018","FQ2 2018","Currency=INR","Period=FQ","BEST_FPERIOD_OVERRIDE=FQ","FILING_STATUS=OR","EQY_CONSOLIDATED=Y","Sort=A","Dates=H","DateFormat=P","Fill=—","Direction=H","UseDPDF=Y")</f>
        <v>#NAME?</v>
      </c>
      <c r="CI125" s="2" t="e">
        <f ca="1">_xll.BDH($C$103,"LT_DEBT_TO_TOT_CAP","FQ2 2018","FQ2 2018","Currency=INR","Period=FQ","BEST_FPERIOD_OVERRIDE=FQ","FILING_STATUS=OR","EQY_CONSOLIDATED=Y","Sort=A","Dates=H","DateFormat=P","Fill=—","Direction=H","UseDPDF=Y")</f>
        <v>#NAME?</v>
      </c>
      <c r="CJ125" s="2" t="e">
        <f ca="1">_xll.BDH($C$103,"LT_DEBT_TO_TOT_ASSET","FQ2 2018","FQ2 2018","Currency=INR","Period=FQ","BEST_FPERIOD_OVERRIDE=FQ","FILING_STATUS=OR","EQY_CONSOLIDATED=Y","Sort=A","Dates=H","DateFormat=P","Fill=—","Direction=H","UseDPDF=Y")</f>
        <v>#NAME?</v>
      </c>
      <c r="CK125" s="2" t="e">
        <f ca="1">_xll.BDH($C$103,"TOT_DEBT_TO_TOT_EQY","FQ2 2018","FQ2 2018","Currency=INR","Period=FQ","BEST_FPERIOD_OVERRIDE=FQ","FILING_STATUS=OR","EQY_CONSOLIDATED=Y","Sort=A","Dates=H","DateFormat=P","Fill=—","Direction=H","UseDPDF=Y")</f>
        <v>#NAME?</v>
      </c>
      <c r="CL125" s="2" t="e">
        <f ca="1">_xll.BDH($C$103,"TOT_DEBT_TO_TOT_CAP","FQ2 2018","FQ2 2018","Currency=INR","Period=FQ","BEST_FPERIOD_OVERRIDE=FQ","FILING_STATUS=OR","EQY_CONSOLIDATED=Y","Sort=A","Dates=H","DateFormat=P","Fill=—","Direction=H","UseDPDF=Y")</f>
        <v>#NAME?</v>
      </c>
      <c r="CM125" s="2" t="e">
        <f ca="1">_xll.BDH($C$103,"TOT_DEBT_TO_TOT_ASSET","FQ2 2018","FQ2 2018","Currency=INR","Period=FQ","BEST_FPERIOD_OVERRIDE=FQ","FILING_STATUS=OR","EQY_CONSOLIDATED=Y","Sort=A","Dates=H","DateFormat=P","Fill=—","Direction=H","UseDPDF=Y")</f>
        <v>#NAME?</v>
      </c>
      <c r="CN125" s="2" t="e">
        <f ca="1">_xll.BDH($C$103,"NET_DEBT_TO_SHRHLDR_EQTY","FQ2 2018","FQ2 2018","Currency=INR","Period=FQ","BEST_FPERIOD_OVERRIDE=FQ","FILING_STATUS=OR","EQY_CONSOLIDATED=Y","Sort=A","Dates=H","DateFormat=P","Fill=—","Direction=H","UseDPDF=Y")</f>
        <v>#NAME?</v>
      </c>
      <c r="CO125" s="2" t="e">
        <f ca="1">_xll.BDH($C$103,"NET_DEBT_%_CAPITAL","FQ2 2018","FQ2 2018","Currency=INR","Period=FQ","BEST_FPERIOD_OVERRIDE=FQ","FILING_STATUS=OR","EQY_CONSOLIDATED=Y","Sort=A","Dates=H","DateFormat=P","Fill=—","Direction=H","UseDPDF=Y")</f>
        <v>#NAME?</v>
      </c>
      <c r="CP125" s="3" t="e">
        <f ca="1">_xll.BDH($C$103,"EBITDA","FQ2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125" s="3" t="e">
        <f ca="1">_xll.BDH($C$103,"EBITDA_AFTER_CAPEX","FQ2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125" s="3" t="e">
        <f ca="1">_xll.BDH($C$103,"IS_OPER_INC","FQ2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125" s="2" t="e">
        <f ca="1">_xll.BDH($C$103,"CASH_RATIO","FQ2 2018","FQ2 2018","Currency=INR","Period=FQ","BEST_FPERIOD_OVERRIDE=FQ","FILING_STATUS=OR","EQY_CONSOLIDATED=Y","Sort=A","Dates=H","DateFormat=P","Fill=—","Direction=H","UseDPDF=Y")</f>
        <v>#NAME?</v>
      </c>
      <c r="CT125" s="2" t="e">
        <f ca="1">_xll.BDH($C$103,"CUR_RATIO","FQ2 2018","FQ2 2018","Currency=INR","Period=FQ","BEST_FPERIOD_OVERRIDE=FQ","FILING_STATUS=OR","EQY_CONSOLIDATED=Y","Sort=A","Dates=H","DateFormat=P","Fill=—","Direction=H","UseDPDF=Y")</f>
        <v>#NAME?</v>
      </c>
      <c r="CU125" s="2" t="e">
        <f ca="1">_xll.BDH($C$103,"QUICK_RATIO","FQ2 2018","FQ2 2018","Currency=INR","Period=FQ","BEST_FPERIOD_OVERRIDE=FQ","FILING_STATUS=OR","EQY_CONSOLIDATED=Y","Sort=A","Dates=H","DateFormat=P","Fill=—","Direction=H","UseDPDF=Y")</f>
        <v>#NAME?</v>
      </c>
      <c r="CV125" s="2" t="e">
        <f ca="1">_xll.BDH($C$103,"ALTMAN_Z_SCORE","FQ2 2018","FQ2 2018","Currency=INR","Period=FQ","BEST_FPERIOD_OVERRIDE=FQ","FILING_STATUS=OR","EQY_CONSOLIDATED=Y","Sort=A","Dates=H","DateFormat=P","Fill=—","Direction=H","UseDPDF=Y")</f>
        <v>#NAME?</v>
      </c>
      <c r="CW125" s="4" t="e">
        <f ca="1">_xll.BDH($C$103,"ACCT_RCV_TURN","FQ2 2018","FQ2 2018","Currency=INR","Period=FQ","BEST_FPERIOD_OVERRIDE=FQ","FILING_STATUS=OR","EQY_CONSOLIDATED=Y","FA_ADJUSTED=GAAP","Sort=A","Dates=H","DateFormat=P","Fill=—","Direction=H","UseDPDF=Y")</f>
        <v>#NAME?</v>
      </c>
      <c r="CX125" s="2" t="e">
        <f ca="1">_xll.BDH($C$103,"ACCT_RCV_DAYS","FQ2 2018","FQ2 2018","Currency=INR","Period=FQ","BEST_FPERIOD_OVERRIDE=FQ","FILING_STATUS=OR","EQY_CONSOLIDATED=Y","FA_ADJUSTED=GAAP","Sort=A","Dates=H","DateFormat=P","Fill=—","Direction=H","UseDPDF=Y")</f>
        <v>#NAME?</v>
      </c>
      <c r="CY125" s="4" t="e">
        <f ca="1">_xll.BDH($C$103,"INVENT_TURN","FQ2 2018","FQ2 2018","Currency=INR","Period=FQ","BEST_FPERIOD_OVERRIDE=FQ","FILING_STATUS=OR","EQY_CONSOLIDATED=Y","FA_ADJUSTED=GAAP","Sort=A","Dates=H","DateFormat=P","Fill=—","Direction=H","UseDPDF=Y")</f>
        <v>#NAME?</v>
      </c>
      <c r="CZ125" s="2" t="e">
        <f ca="1">_xll.BDH($C$103,"INVENT_DAYS","FQ2 2018","FQ2 2018","Currency=INR","Period=FQ","BEST_FPERIOD_OVERRIDE=FQ","FILING_STATUS=OR","EQY_CONSOLIDATED=Y","FA_ADJUSTED=GAAP","Sort=A","Dates=H","DateFormat=P","Fill=—","Direction=H","UseDPDF=Y")</f>
        <v>#NAME?</v>
      </c>
      <c r="DA125" s="4" t="e">
        <f ca="1">_xll.BDH($C$103,"ACCOUNTS_PAYABLE_TURNOVER","FQ2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125" s="2" t="e">
        <f ca="1">_xll.BDH($C$103,"ACCOUNTS_PAYABLE_TURNOVER_DAYS","FQ2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125" s="4" t="e">
        <f ca="1">_xll.BDH($C$103,"CASH_CONVERSION_CYCLE","FQ2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125" s="4" t="e">
        <f ca="1">_xll.BDH($C$103,"INV_TO_CASH_DAYS","FQ2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125" s="5" t="e">
        <f ca="1">_xll.BDH($C$103,"BS_INVENTORIES","FQ2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125" s="3" t="e">
        <f ca="1">_xll.BDH($C$103,"INVTRY_RAW_MATERIALS","FQ2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125" s="3" t="e">
        <f ca="1">_xll.BDH($C$103,"INVTRY_IN_PROGRESS","FQ2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125" s="3" t="e">
        <f ca="1">_xll.BDH($C$103,"INVTRY_FINISHED_GOODS","FQ2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125" s="3" t="e">
        <f ca="1">_xll.BDH($C$103,"BS_OTHER_INV","FQ2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126" spans="1:113" x14ac:dyDescent="0.3">
      <c r="A126" s="6"/>
      <c r="B126" s="6"/>
      <c r="C126" s="6"/>
      <c r="D126" s="6"/>
      <c r="E126" t="s">
        <v>80</v>
      </c>
      <c r="F126" t="e">
        <f ca="1">_xll.BDH($C$103,"RETURN_COM_EQY","FQ3 2018","FQ3 2018","Currency=INR","Period=FQ","BEST_FPERIOD_OVERRIDE=FQ","FILING_STATUS=OR","EQY_CONSOLIDATED=Y","FA_ADJUSTED=GAAP","Sort=A","Dates=H","DateFormat=P","Fill=—","Direction=H","UseDPDF=Y")</f>
        <v>#NAME?</v>
      </c>
      <c r="G126" t="e">
        <f ca="1">_xll.BDH($C$103,"RETURN_ON_ASSET","FQ3 2018","FQ3 2018","Currency=INR","Period=FQ","BEST_FPERIOD_OVERRIDE=FQ","FILING_STATUS=OR","EQY_CONSOLIDATED=Y","FA_ADJUSTED=GAAP","Sort=A","Dates=H","DateFormat=P","Fill=—","Direction=H","UseDPDF=Y")</f>
        <v>#NAME?</v>
      </c>
      <c r="H126" t="e">
        <f ca="1">_xll.BDH($C$103,"RETURN_ON_CAP","FQ3 2018","FQ3 2018","Currency=INR","Period=FQ","BEST_FPERIOD_OVERRIDE=FQ","FILING_STATUS=OR","EQY_CONSOLIDATED=Y","FA_ADJUSTED=GAAP","Sort=A","Dates=H","DateFormat=P","Fill=—","Direction=H","UseDPDF=Y")</f>
        <v>#NAME?</v>
      </c>
      <c r="I126" t="e">
        <f ca="1">_xll.BDH($C$103,"RETURN_ON_INV_CAPITAL","FQ3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126" t="e">
        <f ca="1">_xll.BDH($C$103,"EBITDA_TO_REVENUE","FQ3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126" t="e">
        <f ca="1">_xll.BDH($C$103,"OPER_MARGIN","FQ3 2018","FQ3 2018","Currency=INR","Period=FQ","BEST_FPERIOD_OVERRIDE=FQ","FILING_STATUS=OR","EQY_CONSOLIDATED=Y","FA_ADJUSTED=GAAP","Sort=A","Dates=H","DateFormat=P","Fill=—","Direction=H","UseDPDF=Y")</f>
        <v>#NAME?</v>
      </c>
      <c r="L126" t="e">
        <f ca="1">_xll.BDH($C$103,"INCREMENTAL_OPERATING_MARGIN","FQ3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126" t="e">
        <f ca="1">_xll.BDH($C$103,"PRETAX_INC_TO_NET_SALES","FQ3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126" t="e">
        <f ca="1">_xll.BDH($C$103,"INC_BEF_XO_ITEMS_TO_NET_SALES","FQ3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126" t="e">
        <f ca="1">_xll.BDH($C$103,"PROF_MARGIN","FQ3 2018","FQ3 2018","Currency=INR","Period=FQ","BEST_FPERIOD_OVERRIDE=FQ","FILING_STATUS=OR","EQY_CONSOLIDATED=Y","FA_ADJUSTED=GAAP","Sort=A","Dates=H","DateFormat=P","Fill=—","Direction=H","UseDPDF=Y")</f>
        <v>#NAME?</v>
      </c>
      <c r="P126" t="e">
        <f ca="1">_xll.BDH($C$103,"NET_INCOME_TO_COMMON_MARGIN","FQ3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126" t="e">
        <f ca="1">_xll.BDH($C$103,"EFF_TAX_RATE","FQ3 2018","FQ3 2018","Currency=INR","Period=FQ","BEST_FPERIOD_OVERRIDE=FQ","FILING_STATUS=OR","EQY_CONSOLIDATED=Y","FA_ADJUSTED=GAAP","Sort=A","Dates=H","DateFormat=P","Fill=—","Direction=H","UseDPDF=Y")</f>
        <v>#NAME?</v>
      </c>
      <c r="R126" t="e">
        <f ca="1">_xll.BDH($C$103,"DVD_PAYOUT_RATIO","FQ3 2018","FQ3 2018","Currency=INR","Period=FQ","BEST_FPERIOD_OVERRIDE=FQ","FILING_STATUS=OR","EQY_CONSOLIDATED=Y","FA_ADJUSTED=GAAP","Sort=A","Dates=H","DateFormat=P","Fill=—","Direction=H","UseDPDF=Y")</f>
        <v>#NAME?</v>
      </c>
      <c r="S126" t="e">
        <f ca="1">_xll.BDH($C$103,"SUSTAIN_GROWTH_RT","FQ3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126" s="2" t="e">
        <f ca="1">_xll.BDH($C$103,"SALES_GROWTH","FQ3 2018","FQ3 2018","Currency=INR","Period=FQ","BEST_FPERIOD_OVERRIDE=FQ","FILING_STATUS=OR","EQY_CONSOLIDATED=Y","FA_ADJUSTED=GAAP","Sort=A","Dates=H","DateFormat=P","Fill=—","Direction=H","UseDPDF=Y")</f>
        <v>#NAME?</v>
      </c>
      <c r="U126" s="2" t="e">
        <f ca="1">_xll.BDH($C$103,"EBITDA_GROWTH","FQ3 2018","FQ3 2018","Currency=INR","Period=FQ","BEST_FPERIOD_OVERRIDE=FQ","FILING_STATUS=OR","EQY_CONSOLIDATED=Y","FA_ADJUSTED=GAAP","Sort=A","Dates=H","DateFormat=P","Fill=—","Direction=H","UseDPDF=Y")</f>
        <v>#NAME?</v>
      </c>
      <c r="V126" s="2" t="e">
        <f ca="1">_xll.BDH($C$103,"OPER_INC_GROWTH","FQ3 2018","FQ3 2018","Currency=INR","Period=FQ","BEST_FPERIOD_OVERRIDE=FQ","FILING_STATUS=OR","EQY_CONSOLIDATED=Y","FA_ADJUSTED=GAAP","Sort=A","Dates=H","DateFormat=P","Fill=—","Direction=H","UseDPDF=Y")</f>
        <v>#NAME?</v>
      </c>
      <c r="W126" s="2" t="e">
        <f ca="1">_xll.BDH($C$103,"EARN_FOR_COM_GROWTH","FQ3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126" s="2" t="e">
        <f ca="1">_xll.BDH($C$103,"DILUTED_EPS_AFT_XO_ITEMS_GROWTH","FQ3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126" s="2" t="e">
        <f ca="1">_xll.BDH($C$103,"DIVIDEND_PER_SHARE_1_YEAR_GROWTH","FQ3 2018","FQ3 2018","Currency=INR","Period=FQ","BEST_FPERIOD_OVERRIDE=FQ","FILING_STATUS=OR","EQY_CONSOLIDATED=Y","Sort=A","Dates=H","DateFormat=P","Fill=—","Direction=H","UseDPDF=Y")</f>
        <v>#NAME?</v>
      </c>
      <c r="Z126" s="2" t="e">
        <f ca="1">_xll.BDH($C$103,"ACCOUNTS_RECEIVABLE_GROWTH","FQ3 2018","FQ3 2018","Currency=INR","Period=FQ","BEST_FPERIOD_OVERRIDE=FQ","FILING_STATUS=OR","EQY_CONSOLIDATED=Y","Sort=A","Dates=H","DateFormat=P","Fill=—","Direction=H","UseDPDF=Y")</f>
        <v>#NAME?</v>
      </c>
      <c r="AA126" s="2" t="e">
        <f ca="1">_xll.BDH($C$103,"INVENTORY_GROWTH","FQ3 2018","FQ3 2018","Currency=INR","Period=FQ","BEST_FPERIOD_OVERRIDE=FQ","FILING_STATUS=OR","EQY_CONSOLIDATED=Y","Sort=A","Dates=H","DateFormat=P","Fill=—","Direction=H","UseDPDF=Y")</f>
        <v>#NAME?</v>
      </c>
      <c r="AB126" s="2" t="e">
        <f ca="1">_xll.BDH($C$103,"NET_FIXED_ASSETS_1_YEAR_GROWTH","FQ3 2018","FQ3 2018","Currency=INR","Period=FQ","BEST_FPERIOD_OVERRIDE=FQ","FILING_STATUS=OR","EQY_CONSOLIDATED=Y","Sort=A","Dates=H","DateFormat=P","Fill=—","Direction=H","UseDPDF=Y")</f>
        <v>#NAME?</v>
      </c>
      <c r="AC126" s="2" t="e">
        <f ca="1">_xll.BDH($C$103,"ASSET_GROWTH","FQ3 2018","FQ3 2018","Currency=INR","Period=FQ","BEST_FPERIOD_OVERRIDE=FQ","FILING_STATUS=OR","EQY_CONSOLIDATED=Y","Sort=A","Dates=H","DateFormat=P","Fill=—","Direction=H","UseDPDF=Y")</f>
        <v>#NAME?</v>
      </c>
      <c r="AD126" s="2" t="e">
        <f ca="1">_xll.BDH($C$103,"MODIFIED_WORK_CAP_GROWTH","FQ3 2018","FQ3 2018","Currency=INR","Period=FQ","BEST_FPERIOD_OVERRIDE=FQ","FILING_STATUS=OR","EQY_CONSOLIDATED=Y","Sort=A","Dates=H","DateFormat=P","Fill=—","Direction=H","UseDPDF=Y")</f>
        <v>#NAME?</v>
      </c>
      <c r="AE126" s="2" t="e">
        <f ca="1">_xll.BDH($C$103,"WORK_CAP_GROWTH","FQ3 2018","FQ3 2018","Currency=INR","Period=FQ","BEST_FPERIOD_OVERRIDE=FQ","FILING_STATUS=OR","EQY_CONSOLIDATED=Y","Sort=A","Dates=H","DateFormat=P","Fill=—","Direction=H","UseDPDF=Y")</f>
        <v>#NAME?</v>
      </c>
      <c r="AF126" s="2" t="e">
        <f ca="1">_xll.BDH($C$103,"ACCOUNTS_PAYABLE_GROWTH_1YR","FQ3 2018","FQ3 2018","Currency=INR","Period=FQ","BEST_FPERIOD_OVERRIDE=FQ","FILING_STATUS=OR","EQY_CONSOLIDATED=Y","Sort=A","Dates=H","DateFormat=P","Fill=—","Direction=H","UseDPDF=Y")</f>
        <v>#NAME?</v>
      </c>
      <c r="AG126" s="2" t="e">
        <f ca="1">_xll.BDH($C$103,"SHORT_TERM_DEBT_1_YEAR_GROWTH","FQ3 2018","FQ3 2018","Currency=INR","Period=FQ","BEST_FPERIOD_OVERRIDE=FQ","FILING_STATUS=OR","EQY_CONSOLIDATED=Y","Sort=A","Dates=H","DateFormat=P","Fill=—","Direction=H","UseDPDF=Y")</f>
        <v>#NAME?</v>
      </c>
      <c r="AH126" s="2" t="e">
        <f ca="1">_xll.BDH($C$103,"TOTAL_DEBT_1_YEAR_GROWTH","FQ3 2018","FQ3 2018","Currency=INR","Period=FQ","BEST_FPERIOD_OVERRIDE=FQ","FILING_STATUS=OR","EQY_CONSOLIDATED=Y","Sort=A","Dates=H","DateFormat=P","Fill=—","Direction=H","UseDPDF=Y")</f>
        <v>#NAME?</v>
      </c>
      <c r="AI126" s="2" t="e">
        <f ca="1">_xll.BDH($C$103,"TOTAL_EQUITY_1_YEAR_GROWTH","FQ3 2018","FQ3 2018","Currency=INR","Period=FQ","BEST_FPERIOD_OVERRIDE=FQ","FILING_STATUS=OR","EQY_CONSOLIDATED=Y","Sort=A","Dates=H","DateFormat=P","Fill=—","Direction=H","UseDPDF=Y")</f>
        <v>#NAME?</v>
      </c>
      <c r="AJ126" s="2" t="e">
        <f ca="1">_xll.BDH($C$103,"GROWTH_IN_CAP","FQ3 2018","FQ3 2018","Currency=INR","Period=FQ","BEST_FPERIOD_OVERRIDE=FQ","FILING_STATUS=OR","EQY_CONSOLIDATED=Y","Sort=A","Dates=H","DateFormat=P","Fill=—","Direction=H","UseDPDF=Y")</f>
        <v>#NAME?</v>
      </c>
      <c r="AK126" s="2" t="e">
        <f ca="1">_xll.BDH($C$103,"BVPS_GROWTH","FQ3 2018","FQ3 2018","Currency=INR","Period=FQ","BEST_FPERIOD_OVERRIDE=FQ","FILING_STATUS=OR","EQY_CONSOLIDATED=Y","Sort=A","Dates=H","DateFormat=P","Fill=—","Direction=H","UseDPDF=Y")</f>
        <v>#NAME?</v>
      </c>
      <c r="AL126" s="2" t="e">
        <f ca="1">_xll.BDH($C$103,"CASH_FLOW_GROWTH","FQ3 2018","FQ3 2018","Currency=INR","Period=FQ","BEST_FPERIOD_OVERRIDE=FQ","FILING_STATUS=OR","EQY_CONSOLIDATED=Y","Sort=A","Dates=H","DateFormat=P","Fill=—","Direction=H","UseDPDF=Y")</f>
        <v>#NAME?</v>
      </c>
      <c r="AM126" s="2" t="e">
        <f ca="1">_xll.BDH($C$103,"GEO_GROW_NET_SALES","FQ3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126" s="2" t="e">
        <f ca="1">_xll.BDH($C$103,"GEO_GROW_EBITDA","FQ3 2018","FQ3 2018","Currency=INR","Period=FQ","BEST_FPERIOD_OVERRIDE=FQ","FILING_STATUS=OR","EQY_CONSOLIDATED=Y","FA_ADJUSTED=GAAP","Sort=A","Dates=H","DateFormat=P","Fill=—","Direction=H","UseDPDF=Y")</f>
        <v>#NAME?</v>
      </c>
      <c r="AO126" s="2" t="e">
        <f ca="1">_xll.BDH($C$103,"GEO_GROW_OPER_INC","FQ3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126" s="2" t="e">
        <f ca="1">_xll.BDH($C$103,"NET_INCOME_TO_COMMON_5_YR_GROWTH","FQ3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126" s="2" t="e">
        <f ca="1">_xll.BDH($C$103,"5Y_GEO_GROWTH_DILUTED_EPS","FQ3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126" s="2" t="e">
        <f ca="1">_xll.BDH($C$103,"GEO_GROW_DVD_PER_SH","FQ3 2018","FQ3 2018","Currency=INR","Period=FQ","BEST_FPERIOD_OVERRIDE=FQ","FILING_STATUS=OR","EQY_CONSOLIDATED=Y","Sort=A","Dates=H","DateFormat=P","Fill=—","Direction=H","UseDPDF=Y")</f>
        <v>#NAME?</v>
      </c>
      <c r="AS126" s="2" t="e">
        <f ca="1">_xll.BDH($C$103,"ACCOUNTS_RECEIVABLE_5_YR_GROWTH","FQ3 2018","FQ3 2018","Currency=INR","Period=FQ","BEST_FPERIOD_OVERRIDE=FQ","FILING_STATUS=OR","EQY_CONSOLIDATED=Y","Sort=A","Dates=H","DateFormat=P","Fill=—","Direction=H","UseDPDF=Y")</f>
        <v>#NAME?</v>
      </c>
      <c r="AT126" s="2" t="e">
        <f ca="1">_xll.BDH($C$103,"INVENTORY_5_YEAR_GROWTH","FQ3 2018","FQ3 2018","Currency=INR","Period=FQ","BEST_FPERIOD_OVERRIDE=FQ","FILING_STATUS=OR","EQY_CONSOLIDATED=Y","Sort=A","Dates=H","DateFormat=P","Fill=—","Direction=H","UseDPDF=Y")</f>
        <v>#NAME?</v>
      </c>
      <c r="AU126" s="2" t="e">
        <f ca="1">_xll.BDH($C$103,"NET_FIXED_ASSETS_5_YEAR_GROWTH","FQ3 2018","FQ3 2018","Currency=INR","Period=FQ","BEST_FPERIOD_OVERRIDE=FQ","FILING_STATUS=OR","EQY_CONSOLIDATED=Y","Sort=A","Dates=H","DateFormat=P","Fill=—","Direction=H","UseDPDF=Y")</f>
        <v>#NAME?</v>
      </c>
      <c r="AV126" s="2" t="e">
        <f ca="1">_xll.BDH($C$103,"GEO_GROW_TOT_ASSET","FQ3 2018","FQ3 2018","Currency=INR","Period=FQ","BEST_FPERIOD_OVERRIDE=FQ","FILING_STATUS=OR","EQY_CONSOLIDATED=Y","Sort=A","Dates=H","DateFormat=P","Fill=—","Direction=H","UseDPDF=Y")</f>
        <v>#NAME?</v>
      </c>
      <c r="AW126" s="2" t="e">
        <f ca="1">_xll.BDH($C$103,"MODIFIED_WORKING_CPTL_5YR_GRWTH","FQ3 2018","FQ3 2018","Currency=INR","Period=FQ","BEST_FPERIOD_OVERRIDE=FQ","FILING_STATUS=OR","EQY_CONSOLIDATED=Y","Sort=A","Dates=H","DateFormat=P","Fill=—","Direction=H","UseDPDF=Y")</f>
        <v>#NAME?</v>
      </c>
      <c r="AX126" s="2" t="e">
        <f ca="1">_xll.BDH($C$103,"WORKING_CAPITAL_5_YEAR_GROWTH","FQ3 2018","FQ3 2018","Currency=INR","Period=FQ","BEST_FPERIOD_OVERRIDE=FQ","FILING_STATUS=OR","EQY_CONSOLIDATED=Y","Sort=A","Dates=H","DateFormat=P","Fill=—","Direction=H","UseDPDF=Y")</f>
        <v>#NAME?</v>
      </c>
      <c r="AY126" s="2" t="e">
        <f ca="1">_xll.BDH($C$103,"ACCOUNTS_PAYABLE_5_YEAR_GROWTH","FQ3 2018","FQ3 2018","Currency=INR","Period=FQ","BEST_FPERIOD_OVERRIDE=FQ","FILING_STATUS=OR","EQY_CONSOLIDATED=Y","Sort=A","Dates=H","DateFormat=P","Fill=—","Direction=H","UseDPDF=Y")</f>
        <v>#NAME?</v>
      </c>
      <c r="AZ126" s="2" t="e">
        <f ca="1">_xll.BDH($C$103,"SHORT_TERM_DEBT_5_YEAR_GROWTH","FQ3 2018","FQ3 2018","Currency=INR","Period=FQ","BEST_FPERIOD_OVERRIDE=FQ","FILING_STATUS=OR","EQY_CONSOLIDATED=Y","Sort=A","Dates=H","DateFormat=P","Fill=—","Direction=H","UseDPDF=Y")</f>
        <v>#NAME?</v>
      </c>
      <c r="BA126" s="2" t="e">
        <f ca="1">_xll.BDH($C$103,"TOTAL_DEBT_5_YEAR_GROWTH","FQ3 2018","FQ3 2018","Currency=INR","Period=FQ","BEST_FPERIOD_OVERRIDE=FQ","FILING_STATUS=OR","EQY_CONSOLIDATED=Y","Sort=A","Dates=H","DateFormat=P","Fill=—","Direction=H","UseDPDF=Y")</f>
        <v>#NAME?</v>
      </c>
      <c r="BB126" s="2" t="e">
        <f ca="1">_xll.BDH($C$103,"GEO_GROW_TOT_SHRHLDR_EQY","FQ3 2018","FQ3 2018","Currency=INR","Period=FQ","BEST_FPERIOD_OVERRIDE=FQ","FILING_STATUS=OR","EQY_CONSOLIDATED=Y","Sort=A","Dates=H","DateFormat=P","Fill=—","Direction=H","UseDPDF=Y")</f>
        <v>#NAME?</v>
      </c>
      <c r="BC126" s="2" t="e">
        <f ca="1">_xll.BDH($C$103,"TOTAL_CAPITAL_5_YEAR_GROWTH","FQ3 2018","FQ3 2018","Currency=INR","Period=FQ","BEST_FPERIOD_OVERRIDE=FQ","FILING_STATUS=OR","EQY_CONSOLIDATED=Y","Sort=A","Dates=H","DateFormat=P","Fill=—","Direction=H","UseDPDF=Y")</f>
        <v>#NAME?</v>
      </c>
      <c r="BD126" s="2" t="e">
        <f ca="1">_xll.BDH($C$103,"GEO_GROW_BOOK_VAL","FQ3 2018","FQ3 2018","Currency=INR","Period=FQ","BEST_FPERIOD_OVERRIDE=FQ","FILING_STATUS=OR","EQY_CONSOLIDATED=Y","Sort=A","Dates=H","DateFormat=P","Fill=—","Direction=H","UseDPDF=Y")</f>
        <v>#NAME?</v>
      </c>
      <c r="BE126" s="2" t="e">
        <f ca="1">_xll.BDH($C$103,"GEO_GROW_CASH_OPER_ACT","FQ3 2018","FQ3 2018","Currency=INR","Period=FQ","BEST_FPERIOD_OVERRIDE=FQ","FILING_STATUS=OR","EQY_CONSOLIDATED=Y","Sort=A","Dates=H","DateFormat=P","Fill=—","Direction=H","UseDPDF=Y")</f>
        <v>#NAME?</v>
      </c>
      <c r="BF126" s="2" t="e">
        <f ca="1">_xll.BDH($C$103,"REVENUE_SEQUENTIAL_GROWTH","FQ3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126" s="2" t="e">
        <f ca="1">_xll.BDH($C$103,"EBITDA_SEQUENTIAL_GROWTH","FQ3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126" s="2" t="e">
        <f ca="1">_xll.BDH($C$103,"OPERATING_INCOME_SEQ_GROWTH","FQ3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126" s="2" t="e">
        <f ca="1">_xll.BDH($C$103,"NET_INCOME_TO_COMMON_SEQ_GROWTH","FQ3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126" s="2" t="e">
        <f ca="1">_xll.BDH($C$103,"EPS_DILUTED_SEQUENTIAL_GROWTH","FQ3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126" s="2" t="e">
        <f ca="1">_xll.BDH($C$103,"DPS_SEQUENTIAL_GROWTH","FQ3 2018","FQ3 2018","Currency=INR","Period=FQ","BEST_FPERIOD_OVERRIDE=FQ","FILING_STATUS=OR","EQY_CONSOLIDATED=Y","Sort=A","Dates=H","DateFormat=P","Fill=—","Direction=H","UseDPDF=Y")</f>
        <v>#NAME?</v>
      </c>
      <c r="BL126" s="2" t="e">
        <f ca="1">_xll.BDH($C$103,"ACCOUNTS_RECEIVABLE_SEQ_GROWTH","FQ3 2018","FQ3 2018","Currency=INR","Period=FQ","BEST_FPERIOD_OVERRIDE=FQ","FILING_STATUS=OR","EQY_CONSOLIDATED=Y","Sort=A","Dates=H","DateFormat=P","Fill=—","Direction=H","UseDPDF=Y")</f>
        <v>#NAME?</v>
      </c>
      <c r="BM126" s="2" t="e">
        <f ca="1">_xll.BDH($C$103,"INVENTORY_SEQUENTIAL_GROWTH","FQ3 2018","FQ3 2018","Currency=INR","Period=FQ","BEST_FPERIOD_OVERRIDE=FQ","FILING_STATUS=OR","EQY_CONSOLIDATED=Y","Sort=A","Dates=H","DateFormat=P","Fill=—","Direction=H","UseDPDF=Y")</f>
        <v>#NAME?</v>
      </c>
      <c r="BN126" s="2" t="e">
        <f ca="1">_xll.BDH($C$103,"FIXED_ASSETS_SEQUENTIAL_GROWTH","FQ3 2018","FQ3 2018","Currency=INR","Period=FQ","BEST_FPERIOD_OVERRIDE=FQ","FILING_STATUS=OR","EQY_CONSOLIDATED=Y","Sort=A","Dates=H","DateFormat=P","Fill=—","Direction=H","UseDPDF=Y")</f>
        <v>#NAME?</v>
      </c>
      <c r="BO126" s="2" t="e">
        <f ca="1">_xll.BDH($C$103,"TOTAL_ASSETS_SEQUENTIAL_GROWTH","FQ3 2018","FQ3 2018","Currency=INR","Period=FQ","BEST_FPERIOD_OVERRIDE=FQ","FILING_STATUS=OR","EQY_CONSOLIDATED=Y","Sort=A","Dates=H","DateFormat=P","Fill=—","Direction=H","UseDPDF=Y")</f>
        <v>#NAME?</v>
      </c>
      <c r="BP126" s="2" t="e">
        <f ca="1">_xll.BDH($C$103,"MODIFIED_WORKING_CPTL_SEQ_GRWTH","FQ3 2018","FQ3 2018","Currency=INR","Period=FQ","BEST_FPERIOD_OVERRIDE=FQ","FILING_STATUS=OR","EQY_CONSOLIDATED=Y","Sort=A","Dates=H","DateFormat=P","Fill=—","Direction=H","UseDPDF=Y")</f>
        <v>#NAME?</v>
      </c>
      <c r="BQ126" s="2" t="e">
        <f ca="1">_xll.BDH($C$103,"WORKING_CAPITAL_SEQ_GROWTH","FQ3 2018","FQ3 2018","Currency=INR","Period=FQ","BEST_FPERIOD_OVERRIDE=FQ","FILING_STATUS=OR","EQY_CONSOLIDATED=Y","Sort=A","Dates=H","DateFormat=P","Fill=—","Direction=H","UseDPDF=Y")</f>
        <v>#NAME?</v>
      </c>
      <c r="BR126" s="2" t="e">
        <f ca="1">_xll.BDH($C$103,"ACCOUNTS_PAYABLE_SEQ_GROWTH","FQ3 2018","FQ3 2018","Currency=INR","Period=FQ","BEST_FPERIOD_OVERRIDE=FQ","FILING_STATUS=OR","EQY_CONSOLIDATED=Y","Sort=A","Dates=H","DateFormat=P","Fill=—","Direction=H","UseDPDF=Y")</f>
        <v>#NAME?</v>
      </c>
      <c r="BS126" s="2" t="e">
        <f ca="1">_xll.BDH($C$103,"ST_DEBT_SEQUENTIAL_GROWTH","FQ3 2018","FQ3 2018","Currency=INR","Period=FQ","BEST_FPERIOD_OVERRIDE=FQ","FILING_STATUS=OR","EQY_CONSOLIDATED=Y","Sort=A","Dates=H","DateFormat=P","Fill=—","Direction=H","UseDPDF=Y")</f>
        <v>#NAME?</v>
      </c>
      <c r="BT126" s="2" t="e">
        <f ca="1">_xll.BDH($C$103,"TOTAL_DEBT_SEQUENTIAL_GROWTH","FQ3 2018","FQ3 2018","Currency=INR","Period=FQ","BEST_FPERIOD_OVERRIDE=FQ","FILING_STATUS=OR","EQY_CONSOLIDATED=Y","Sort=A","Dates=H","DateFormat=P","Fill=—","Direction=H","UseDPDF=Y")</f>
        <v>#NAME?</v>
      </c>
      <c r="BU126" s="2" t="e">
        <f ca="1">_xll.BDH($C$103,"TOTAL_EQUITY_SEQUENTIAL_GROWTH","FQ3 2018","FQ3 2018","Currency=INR","Period=FQ","BEST_FPERIOD_OVERRIDE=FQ","FILING_STATUS=OR","EQY_CONSOLIDATED=Y","Sort=A","Dates=H","DateFormat=P","Fill=—","Direction=H","UseDPDF=Y")</f>
        <v>#NAME?</v>
      </c>
      <c r="BV126" s="2" t="e">
        <f ca="1">_xll.BDH($C$103,"TOTAL_CAPITAL_SEQUENTIAL_GROWTH","FQ3 2018","FQ3 2018","Currency=INR","Period=FQ","BEST_FPERIOD_OVERRIDE=FQ","FILING_STATUS=OR","EQY_CONSOLIDATED=Y","Sort=A","Dates=H","DateFormat=P","Fill=—","Direction=H","UseDPDF=Y")</f>
        <v>#NAME?</v>
      </c>
      <c r="BW126" s="2" t="e">
        <f ca="1">_xll.BDH($C$103,"BPS_SEQUENTIAL_GROWTH","FQ3 2018","FQ3 2018","Currency=INR","Period=FQ","BEST_FPERIOD_OVERRIDE=FQ","FILING_STATUS=OR","EQY_CONSOLIDATED=Y","Sort=A","Dates=H","DateFormat=P","Fill=—","Direction=H","UseDPDF=Y")</f>
        <v>#NAME?</v>
      </c>
      <c r="BX126" s="2" t="e">
        <f ca="1">_xll.BDH($C$103,"CFO_SEQUENTIAL_GROWTH","FQ3 2018","FQ3 2018","Currency=INR","Period=FQ","BEST_FPERIOD_OVERRIDE=FQ","FILING_STATUS=OR","EQY_CONSOLIDATED=Y","Sort=A","Dates=H","DateFormat=P","Fill=—","Direction=H","UseDPDF=Y")</f>
        <v>#NAME?</v>
      </c>
      <c r="BY126" s="3" t="e">
        <f ca="1">_xll.BDH($C$103,"SHORT_AND_LONG_TERM_DEBT","FQ3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126" s="3" t="e">
        <f ca="1">_xll.BDH($C$103,"BS_ST_BORROW","FQ3 2018","FQ3 2018","Currency=INR","Period=FQ","BEST_FPERIOD_OVERRIDE=FQ","FILING_STATUS=OR","EQY_CONSOLIDATED=Y","SCALING_FORMAT=MLN","Sort=A","Dates=H","DateFormat=P","Fill=—","Direction=H","UseDPDF=Y")</f>
        <v>#NAME?</v>
      </c>
      <c r="CA126" s="3" t="e">
        <f ca="1">_xll.BDH($C$103,"BS_LT_BORROW","FQ3 2018","FQ3 2018","Currency=INR","Period=FQ","BEST_FPERIOD_OVERRIDE=FQ","FILING_STATUS=OR","EQY_CONSOLIDATED=Y","SCALING_FORMAT=MLN","Sort=A","Dates=H","DateFormat=P","Fill=—","Direction=H","UseDPDF=Y")</f>
        <v>#NAME?</v>
      </c>
      <c r="CB126" s="2" t="e">
        <f ca="1">_xll.BDH($C$103,"TOT_DEBT_TO_EBITDA","FQ3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126" s="2" t="e">
        <f ca="1">_xll.BDH($C$103,"NET_DEBT_TO_EBITDA","FQ3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126" s="2" t="e">
        <f ca="1">_xll.BDH($C$103,"TOTAL_DEBT_TO_EBIT","FQ3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126" s="2" t="e">
        <f ca="1">_xll.BDH($C$103,"NET_DEBT_TO_EBIT","FQ3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126" s="2" t="e">
        <f ca="1">_xll.BDH($C$103,"EBITDA_TO_INTEREST_EXPN","FQ3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126" s="2" t="e">
        <f ca="1">_xll.BDH($C$103,"COM_EQY_TO_TOT_ASSET","FQ3 2018","FQ3 2018","Currency=INR","Period=FQ","BEST_FPERIOD_OVERRIDE=FQ","FILING_STATUS=OR","EQY_CONSOLIDATED=Y","Sort=A","Dates=H","DateFormat=P","Fill=—","Direction=H","UseDPDF=Y")</f>
        <v>#NAME?</v>
      </c>
      <c r="CH126" s="2" t="e">
        <f ca="1">_xll.BDH($C$103,"LT_DEBT_TO_TOT_EQY","FQ3 2018","FQ3 2018","Currency=INR","Period=FQ","BEST_FPERIOD_OVERRIDE=FQ","FILING_STATUS=OR","EQY_CONSOLIDATED=Y","Sort=A","Dates=H","DateFormat=P","Fill=—","Direction=H","UseDPDF=Y")</f>
        <v>#NAME?</v>
      </c>
      <c r="CI126" s="2" t="e">
        <f ca="1">_xll.BDH($C$103,"LT_DEBT_TO_TOT_CAP","FQ3 2018","FQ3 2018","Currency=INR","Period=FQ","BEST_FPERIOD_OVERRIDE=FQ","FILING_STATUS=OR","EQY_CONSOLIDATED=Y","Sort=A","Dates=H","DateFormat=P","Fill=—","Direction=H","UseDPDF=Y")</f>
        <v>#NAME?</v>
      </c>
      <c r="CJ126" s="2" t="e">
        <f ca="1">_xll.BDH($C$103,"LT_DEBT_TO_TOT_ASSET","FQ3 2018","FQ3 2018","Currency=INR","Period=FQ","BEST_FPERIOD_OVERRIDE=FQ","FILING_STATUS=OR","EQY_CONSOLIDATED=Y","Sort=A","Dates=H","DateFormat=P","Fill=—","Direction=H","UseDPDF=Y")</f>
        <v>#NAME?</v>
      </c>
      <c r="CK126" s="2" t="e">
        <f ca="1">_xll.BDH($C$103,"TOT_DEBT_TO_TOT_EQY","FQ3 2018","FQ3 2018","Currency=INR","Period=FQ","BEST_FPERIOD_OVERRIDE=FQ","FILING_STATUS=OR","EQY_CONSOLIDATED=Y","Sort=A","Dates=H","DateFormat=P","Fill=—","Direction=H","UseDPDF=Y")</f>
        <v>#NAME?</v>
      </c>
      <c r="CL126" s="2" t="e">
        <f ca="1">_xll.BDH($C$103,"TOT_DEBT_TO_TOT_CAP","FQ3 2018","FQ3 2018","Currency=INR","Period=FQ","BEST_FPERIOD_OVERRIDE=FQ","FILING_STATUS=OR","EQY_CONSOLIDATED=Y","Sort=A","Dates=H","DateFormat=P","Fill=—","Direction=H","UseDPDF=Y")</f>
        <v>#NAME?</v>
      </c>
      <c r="CM126" s="2" t="e">
        <f ca="1">_xll.BDH($C$103,"TOT_DEBT_TO_TOT_ASSET","FQ3 2018","FQ3 2018","Currency=INR","Period=FQ","BEST_FPERIOD_OVERRIDE=FQ","FILING_STATUS=OR","EQY_CONSOLIDATED=Y","Sort=A","Dates=H","DateFormat=P","Fill=—","Direction=H","UseDPDF=Y")</f>
        <v>#NAME?</v>
      </c>
      <c r="CN126" s="2" t="e">
        <f ca="1">_xll.BDH($C$103,"NET_DEBT_TO_SHRHLDR_EQTY","FQ3 2018","FQ3 2018","Currency=INR","Period=FQ","BEST_FPERIOD_OVERRIDE=FQ","FILING_STATUS=OR","EQY_CONSOLIDATED=Y","Sort=A","Dates=H","DateFormat=P","Fill=—","Direction=H","UseDPDF=Y")</f>
        <v>#NAME?</v>
      </c>
      <c r="CO126" s="2" t="e">
        <f ca="1">_xll.BDH($C$103,"NET_DEBT_%_CAPITAL","FQ3 2018","FQ3 2018","Currency=INR","Period=FQ","BEST_FPERIOD_OVERRIDE=FQ","FILING_STATUS=OR","EQY_CONSOLIDATED=Y","Sort=A","Dates=H","DateFormat=P","Fill=—","Direction=H","UseDPDF=Y")</f>
        <v>#NAME?</v>
      </c>
      <c r="CP126" s="3" t="e">
        <f ca="1">_xll.BDH($C$103,"EBITDA","FQ3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126" s="3" t="e">
        <f ca="1">_xll.BDH($C$103,"EBITDA_AFTER_CAPEX","FQ3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126" s="3" t="e">
        <f ca="1">_xll.BDH($C$103,"IS_OPER_INC","FQ3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126" s="2" t="e">
        <f ca="1">_xll.BDH($C$103,"CASH_RATIO","FQ3 2018","FQ3 2018","Currency=INR","Period=FQ","BEST_FPERIOD_OVERRIDE=FQ","FILING_STATUS=OR","EQY_CONSOLIDATED=Y","Sort=A","Dates=H","DateFormat=P","Fill=—","Direction=H","UseDPDF=Y")</f>
        <v>#NAME?</v>
      </c>
      <c r="CT126" s="2" t="e">
        <f ca="1">_xll.BDH($C$103,"CUR_RATIO","FQ3 2018","FQ3 2018","Currency=INR","Period=FQ","BEST_FPERIOD_OVERRIDE=FQ","FILING_STATUS=OR","EQY_CONSOLIDATED=Y","Sort=A","Dates=H","DateFormat=P","Fill=—","Direction=H","UseDPDF=Y")</f>
        <v>#NAME?</v>
      </c>
      <c r="CU126" s="2" t="e">
        <f ca="1">_xll.BDH($C$103,"QUICK_RATIO","FQ3 2018","FQ3 2018","Currency=INR","Period=FQ","BEST_FPERIOD_OVERRIDE=FQ","FILING_STATUS=OR","EQY_CONSOLIDATED=Y","Sort=A","Dates=H","DateFormat=P","Fill=—","Direction=H","UseDPDF=Y")</f>
        <v>#NAME?</v>
      </c>
      <c r="CV126" s="2" t="e">
        <f ca="1">_xll.BDH($C$103,"ALTMAN_Z_SCORE","FQ3 2018","FQ3 2018","Currency=INR","Period=FQ","BEST_FPERIOD_OVERRIDE=FQ","FILING_STATUS=OR","EQY_CONSOLIDATED=Y","Sort=A","Dates=H","DateFormat=P","Fill=—","Direction=H","UseDPDF=Y")</f>
        <v>#NAME?</v>
      </c>
      <c r="CW126" s="4" t="e">
        <f ca="1">_xll.BDH($C$103,"ACCT_RCV_TURN","FQ3 2018","FQ3 2018","Currency=INR","Period=FQ","BEST_FPERIOD_OVERRIDE=FQ","FILING_STATUS=OR","EQY_CONSOLIDATED=Y","FA_ADJUSTED=GAAP","Sort=A","Dates=H","DateFormat=P","Fill=—","Direction=H","UseDPDF=Y")</f>
        <v>#NAME?</v>
      </c>
      <c r="CX126" s="2" t="e">
        <f ca="1">_xll.BDH($C$103,"ACCT_RCV_DAYS","FQ3 2018","FQ3 2018","Currency=INR","Period=FQ","BEST_FPERIOD_OVERRIDE=FQ","FILING_STATUS=OR","EQY_CONSOLIDATED=Y","FA_ADJUSTED=GAAP","Sort=A","Dates=H","DateFormat=P","Fill=—","Direction=H","UseDPDF=Y")</f>
        <v>#NAME?</v>
      </c>
      <c r="CY126" s="4" t="e">
        <f ca="1">_xll.BDH($C$103,"INVENT_TURN","FQ3 2018","FQ3 2018","Currency=INR","Period=FQ","BEST_FPERIOD_OVERRIDE=FQ","FILING_STATUS=OR","EQY_CONSOLIDATED=Y","FA_ADJUSTED=GAAP","Sort=A","Dates=H","DateFormat=P","Fill=—","Direction=H","UseDPDF=Y")</f>
        <v>#NAME?</v>
      </c>
      <c r="CZ126" s="2" t="e">
        <f ca="1">_xll.BDH($C$103,"INVENT_DAYS","FQ3 2018","FQ3 2018","Currency=INR","Period=FQ","BEST_FPERIOD_OVERRIDE=FQ","FILING_STATUS=OR","EQY_CONSOLIDATED=Y","FA_ADJUSTED=GAAP","Sort=A","Dates=H","DateFormat=P","Fill=—","Direction=H","UseDPDF=Y")</f>
        <v>#NAME?</v>
      </c>
      <c r="DA126" s="4" t="e">
        <f ca="1">_xll.BDH($C$103,"ACCOUNTS_PAYABLE_TURNOVER","FQ3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126" s="2" t="e">
        <f ca="1">_xll.BDH($C$103,"ACCOUNTS_PAYABLE_TURNOVER_DAYS","FQ3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126" s="4" t="e">
        <f ca="1">_xll.BDH($C$103,"CASH_CONVERSION_CYCLE","FQ3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126" s="4" t="e">
        <f ca="1">_xll.BDH($C$103,"INV_TO_CASH_DAYS","FQ3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126" s="5" t="e">
        <f ca="1">_xll.BDH($C$103,"BS_INVENTORIES","FQ3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126" s="3" t="e">
        <f ca="1">_xll.BDH($C$103,"INVTRY_RAW_MATERIALS","FQ3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126" s="3" t="e">
        <f ca="1">_xll.BDH($C$103,"INVTRY_IN_PROGRESS","FQ3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126" s="3" t="e">
        <f ca="1">_xll.BDH($C$103,"INVTRY_FINISHED_GOODS","FQ3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126" s="3" t="e">
        <f ca="1">_xll.BDH($C$103,"BS_OTHER_INV","FQ3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127" spans="1:113" x14ac:dyDescent="0.3">
      <c r="A127" s="6"/>
      <c r="B127" s="6"/>
      <c r="C127" s="6"/>
      <c r="D127" s="6"/>
      <c r="E127" t="s">
        <v>81</v>
      </c>
      <c r="F127" t="e">
        <f ca="1">_xll.BDH($C$103,"RETURN_COM_EQY","FQ4 2018","FQ4 2018","Currency=INR","Period=FQ","BEST_FPERIOD_OVERRIDE=FQ","FILING_STATUS=OR","EQY_CONSOLIDATED=Y","FA_ADJUSTED=GAAP","Sort=A","Dates=H","DateFormat=P","Fill=—","Direction=H","UseDPDF=Y")</f>
        <v>#NAME?</v>
      </c>
      <c r="G127" t="e">
        <f ca="1">_xll.BDH($C$103,"RETURN_ON_ASSET","FQ4 2018","FQ4 2018","Currency=INR","Period=FQ","BEST_FPERIOD_OVERRIDE=FQ","FILING_STATUS=OR","EQY_CONSOLIDATED=Y","FA_ADJUSTED=GAAP","Sort=A","Dates=H","DateFormat=P","Fill=—","Direction=H","UseDPDF=Y")</f>
        <v>#NAME?</v>
      </c>
      <c r="H127" t="e">
        <f ca="1">_xll.BDH($C$103,"RETURN_ON_CAP","FQ4 2018","FQ4 2018","Currency=INR","Period=FQ","BEST_FPERIOD_OVERRIDE=FQ","FILING_STATUS=OR","EQY_CONSOLIDATED=Y","FA_ADJUSTED=GAAP","Sort=A","Dates=H","DateFormat=P","Fill=—","Direction=H","UseDPDF=Y")</f>
        <v>#NAME?</v>
      </c>
      <c r="I127" t="e">
        <f ca="1">_xll.BDH($C$103,"RETURN_ON_INV_CAPITAL","FQ4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127" t="e">
        <f ca="1">_xll.BDH($C$103,"EBITDA_TO_REVENUE","FQ4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127" t="e">
        <f ca="1">_xll.BDH($C$103,"OPER_MARGIN","FQ4 2018","FQ4 2018","Currency=INR","Period=FQ","BEST_FPERIOD_OVERRIDE=FQ","FILING_STATUS=OR","EQY_CONSOLIDATED=Y","FA_ADJUSTED=GAAP","Sort=A","Dates=H","DateFormat=P","Fill=—","Direction=H","UseDPDF=Y")</f>
        <v>#NAME?</v>
      </c>
      <c r="L127" t="e">
        <f ca="1">_xll.BDH($C$103,"INCREMENTAL_OPERATING_MARGIN","FQ4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127" t="e">
        <f ca="1">_xll.BDH($C$103,"PRETAX_INC_TO_NET_SALES","FQ4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127" t="e">
        <f ca="1">_xll.BDH($C$103,"INC_BEF_XO_ITEMS_TO_NET_SALES","FQ4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127" t="e">
        <f ca="1">_xll.BDH($C$103,"PROF_MARGIN","FQ4 2018","FQ4 2018","Currency=INR","Period=FQ","BEST_FPERIOD_OVERRIDE=FQ","FILING_STATUS=OR","EQY_CONSOLIDATED=Y","FA_ADJUSTED=GAAP","Sort=A","Dates=H","DateFormat=P","Fill=—","Direction=H","UseDPDF=Y")</f>
        <v>#NAME?</v>
      </c>
      <c r="P127" t="e">
        <f ca="1">_xll.BDH($C$103,"NET_INCOME_TO_COMMON_MARGIN","FQ4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127" t="e">
        <f ca="1">_xll.BDH($C$103,"EFF_TAX_RATE","FQ4 2018","FQ4 2018","Currency=INR","Period=FQ","BEST_FPERIOD_OVERRIDE=FQ","FILING_STATUS=OR","EQY_CONSOLIDATED=Y","FA_ADJUSTED=GAAP","Sort=A","Dates=H","DateFormat=P","Fill=—","Direction=H","UseDPDF=Y")</f>
        <v>#NAME?</v>
      </c>
      <c r="R127" t="e">
        <f ca="1">_xll.BDH($C$103,"DVD_PAYOUT_RATIO","FQ4 2018","FQ4 2018","Currency=INR","Period=FQ","BEST_FPERIOD_OVERRIDE=FQ","FILING_STATUS=OR","EQY_CONSOLIDATED=Y","FA_ADJUSTED=GAAP","Sort=A","Dates=H","DateFormat=P","Fill=—","Direction=H","UseDPDF=Y")</f>
        <v>#NAME?</v>
      </c>
      <c r="S127" t="e">
        <f ca="1">_xll.BDH($C$103,"SUSTAIN_GROWTH_RT","FQ4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127" s="2" t="e">
        <f ca="1">_xll.BDH($C$103,"SALES_GROWTH","FQ4 2018","FQ4 2018","Currency=INR","Period=FQ","BEST_FPERIOD_OVERRIDE=FQ","FILING_STATUS=OR","EQY_CONSOLIDATED=Y","FA_ADJUSTED=GAAP","Sort=A","Dates=H","DateFormat=P","Fill=—","Direction=H","UseDPDF=Y")</f>
        <v>#NAME?</v>
      </c>
      <c r="U127" s="2" t="e">
        <f ca="1">_xll.BDH($C$103,"EBITDA_GROWTH","FQ4 2018","FQ4 2018","Currency=INR","Period=FQ","BEST_FPERIOD_OVERRIDE=FQ","FILING_STATUS=OR","EQY_CONSOLIDATED=Y","FA_ADJUSTED=GAAP","Sort=A","Dates=H","DateFormat=P","Fill=—","Direction=H","UseDPDF=Y")</f>
        <v>#NAME?</v>
      </c>
      <c r="V127" s="2" t="e">
        <f ca="1">_xll.BDH($C$103,"OPER_INC_GROWTH","FQ4 2018","FQ4 2018","Currency=INR","Period=FQ","BEST_FPERIOD_OVERRIDE=FQ","FILING_STATUS=OR","EQY_CONSOLIDATED=Y","FA_ADJUSTED=GAAP","Sort=A","Dates=H","DateFormat=P","Fill=—","Direction=H","UseDPDF=Y")</f>
        <v>#NAME?</v>
      </c>
      <c r="W127" s="2" t="e">
        <f ca="1">_xll.BDH($C$103,"EARN_FOR_COM_GROWTH","FQ4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127" s="2" t="e">
        <f ca="1">_xll.BDH($C$103,"DILUTED_EPS_AFT_XO_ITEMS_GROWTH","FQ4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127" s="2" t="e">
        <f ca="1">_xll.BDH($C$103,"DIVIDEND_PER_SHARE_1_YEAR_GROWTH","FQ4 2018","FQ4 2018","Currency=INR","Period=FQ","BEST_FPERIOD_OVERRIDE=FQ","FILING_STATUS=OR","EQY_CONSOLIDATED=Y","Sort=A","Dates=H","DateFormat=P","Fill=—","Direction=H","UseDPDF=Y")</f>
        <v>#NAME?</v>
      </c>
      <c r="Z127" s="2" t="e">
        <f ca="1">_xll.BDH($C$103,"ACCOUNTS_RECEIVABLE_GROWTH","FQ4 2018","FQ4 2018","Currency=INR","Period=FQ","BEST_FPERIOD_OVERRIDE=FQ","FILING_STATUS=OR","EQY_CONSOLIDATED=Y","Sort=A","Dates=H","DateFormat=P","Fill=—","Direction=H","UseDPDF=Y")</f>
        <v>#NAME?</v>
      </c>
      <c r="AA127" s="2" t="e">
        <f ca="1">_xll.BDH($C$103,"INVENTORY_GROWTH","FQ4 2018","FQ4 2018","Currency=INR","Period=FQ","BEST_FPERIOD_OVERRIDE=FQ","FILING_STATUS=OR","EQY_CONSOLIDATED=Y","Sort=A","Dates=H","DateFormat=P","Fill=—","Direction=H","UseDPDF=Y")</f>
        <v>#NAME?</v>
      </c>
      <c r="AB127" s="2" t="e">
        <f ca="1">_xll.BDH($C$103,"NET_FIXED_ASSETS_1_YEAR_GROWTH","FQ4 2018","FQ4 2018","Currency=INR","Period=FQ","BEST_FPERIOD_OVERRIDE=FQ","FILING_STATUS=OR","EQY_CONSOLIDATED=Y","Sort=A","Dates=H","DateFormat=P","Fill=—","Direction=H","UseDPDF=Y")</f>
        <v>#NAME?</v>
      </c>
      <c r="AC127" s="2" t="e">
        <f ca="1">_xll.BDH($C$103,"ASSET_GROWTH","FQ4 2018","FQ4 2018","Currency=INR","Period=FQ","BEST_FPERIOD_OVERRIDE=FQ","FILING_STATUS=OR","EQY_CONSOLIDATED=Y","Sort=A","Dates=H","DateFormat=P","Fill=—","Direction=H","UseDPDF=Y")</f>
        <v>#NAME?</v>
      </c>
      <c r="AD127" s="2" t="e">
        <f ca="1">_xll.BDH($C$103,"MODIFIED_WORK_CAP_GROWTH","FQ4 2018","FQ4 2018","Currency=INR","Period=FQ","BEST_FPERIOD_OVERRIDE=FQ","FILING_STATUS=OR","EQY_CONSOLIDATED=Y","Sort=A","Dates=H","DateFormat=P","Fill=—","Direction=H","UseDPDF=Y")</f>
        <v>#NAME?</v>
      </c>
      <c r="AE127" s="2" t="e">
        <f ca="1">_xll.BDH($C$103,"WORK_CAP_GROWTH","FQ4 2018","FQ4 2018","Currency=INR","Period=FQ","BEST_FPERIOD_OVERRIDE=FQ","FILING_STATUS=OR","EQY_CONSOLIDATED=Y","Sort=A","Dates=H","DateFormat=P","Fill=—","Direction=H","UseDPDF=Y")</f>
        <v>#NAME?</v>
      </c>
      <c r="AF127" s="2" t="e">
        <f ca="1">_xll.BDH($C$103,"ACCOUNTS_PAYABLE_GROWTH_1YR","FQ4 2018","FQ4 2018","Currency=INR","Period=FQ","BEST_FPERIOD_OVERRIDE=FQ","FILING_STATUS=OR","EQY_CONSOLIDATED=Y","Sort=A","Dates=H","DateFormat=P","Fill=—","Direction=H","UseDPDF=Y")</f>
        <v>#NAME?</v>
      </c>
      <c r="AG127" s="2" t="e">
        <f ca="1">_xll.BDH($C$103,"SHORT_TERM_DEBT_1_YEAR_GROWTH","FQ4 2018","FQ4 2018","Currency=INR","Period=FQ","BEST_FPERIOD_OVERRIDE=FQ","FILING_STATUS=OR","EQY_CONSOLIDATED=Y","Sort=A","Dates=H","DateFormat=P","Fill=—","Direction=H","UseDPDF=Y")</f>
        <v>#NAME?</v>
      </c>
      <c r="AH127" s="2" t="e">
        <f ca="1">_xll.BDH($C$103,"TOTAL_DEBT_1_YEAR_GROWTH","FQ4 2018","FQ4 2018","Currency=INR","Period=FQ","BEST_FPERIOD_OVERRIDE=FQ","FILING_STATUS=OR","EQY_CONSOLIDATED=Y","Sort=A","Dates=H","DateFormat=P","Fill=—","Direction=H","UseDPDF=Y")</f>
        <v>#NAME?</v>
      </c>
      <c r="AI127" s="2" t="e">
        <f ca="1">_xll.BDH($C$103,"TOTAL_EQUITY_1_YEAR_GROWTH","FQ4 2018","FQ4 2018","Currency=INR","Period=FQ","BEST_FPERIOD_OVERRIDE=FQ","FILING_STATUS=OR","EQY_CONSOLIDATED=Y","Sort=A","Dates=H","DateFormat=P","Fill=—","Direction=H","UseDPDF=Y")</f>
        <v>#NAME?</v>
      </c>
      <c r="AJ127" s="2" t="e">
        <f ca="1">_xll.BDH($C$103,"GROWTH_IN_CAP","FQ4 2018","FQ4 2018","Currency=INR","Period=FQ","BEST_FPERIOD_OVERRIDE=FQ","FILING_STATUS=OR","EQY_CONSOLIDATED=Y","Sort=A","Dates=H","DateFormat=P","Fill=—","Direction=H","UseDPDF=Y")</f>
        <v>#NAME?</v>
      </c>
      <c r="AK127" s="2" t="e">
        <f ca="1">_xll.BDH($C$103,"BVPS_GROWTH","FQ4 2018","FQ4 2018","Currency=INR","Period=FQ","BEST_FPERIOD_OVERRIDE=FQ","FILING_STATUS=OR","EQY_CONSOLIDATED=Y","Sort=A","Dates=H","DateFormat=P","Fill=—","Direction=H","UseDPDF=Y")</f>
        <v>#NAME?</v>
      </c>
      <c r="AL127" s="2" t="e">
        <f ca="1">_xll.BDH($C$103,"CASH_FLOW_GROWTH","FQ4 2018","FQ4 2018","Currency=INR","Period=FQ","BEST_FPERIOD_OVERRIDE=FQ","FILING_STATUS=OR","EQY_CONSOLIDATED=Y","Sort=A","Dates=H","DateFormat=P","Fill=—","Direction=H","UseDPDF=Y")</f>
        <v>#NAME?</v>
      </c>
      <c r="AM127" s="2" t="e">
        <f ca="1">_xll.BDH($C$103,"GEO_GROW_NET_SALES","FQ4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127" s="2" t="e">
        <f ca="1">_xll.BDH($C$103,"GEO_GROW_EBITDA","FQ4 2018","FQ4 2018","Currency=INR","Period=FQ","BEST_FPERIOD_OVERRIDE=FQ","FILING_STATUS=OR","EQY_CONSOLIDATED=Y","FA_ADJUSTED=GAAP","Sort=A","Dates=H","DateFormat=P","Fill=—","Direction=H","UseDPDF=Y")</f>
        <v>#NAME?</v>
      </c>
      <c r="AO127" s="2" t="e">
        <f ca="1">_xll.BDH($C$103,"GEO_GROW_OPER_INC","FQ4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127" s="2" t="e">
        <f ca="1">_xll.BDH($C$103,"NET_INCOME_TO_COMMON_5_YR_GROWTH","FQ4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127" s="2" t="e">
        <f ca="1">_xll.BDH($C$103,"5Y_GEO_GROWTH_DILUTED_EPS","FQ4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127" s="2" t="e">
        <f ca="1">_xll.BDH($C$103,"GEO_GROW_DVD_PER_SH","FQ4 2018","FQ4 2018","Currency=INR","Period=FQ","BEST_FPERIOD_OVERRIDE=FQ","FILING_STATUS=OR","EQY_CONSOLIDATED=Y","Sort=A","Dates=H","DateFormat=P","Fill=—","Direction=H","UseDPDF=Y")</f>
        <v>#NAME?</v>
      </c>
      <c r="AS127" s="2" t="e">
        <f ca="1">_xll.BDH($C$103,"ACCOUNTS_RECEIVABLE_5_YR_GROWTH","FQ4 2018","FQ4 2018","Currency=INR","Period=FQ","BEST_FPERIOD_OVERRIDE=FQ","FILING_STATUS=OR","EQY_CONSOLIDATED=Y","Sort=A","Dates=H","DateFormat=P","Fill=—","Direction=H","UseDPDF=Y")</f>
        <v>#NAME?</v>
      </c>
      <c r="AT127" s="2" t="e">
        <f ca="1">_xll.BDH($C$103,"INVENTORY_5_YEAR_GROWTH","FQ4 2018","FQ4 2018","Currency=INR","Period=FQ","BEST_FPERIOD_OVERRIDE=FQ","FILING_STATUS=OR","EQY_CONSOLIDATED=Y","Sort=A","Dates=H","DateFormat=P","Fill=—","Direction=H","UseDPDF=Y")</f>
        <v>#NAME?</v>
      </c>
      <c r="AU127" s="2" t="e">
        <f ca="1">_xll.BDH($C$103,"NET_FIXED_ASSETS_5_YEAR_GROWTH","FQ4 2018","FQ4 2018","Currency=INR","Period=FQ","BEST_FPERIOD_OVERRIDE=FQ","FILING_STATUS=OR","EQY_CONSOLIDATED=Y","Sort=A","Dates=H","DateFormat=P","Fill=—","Direction=H","UseDPDF=Y")</f>
        <v>#NAME?</v>
      </c>
      <c r="AV127" s="2" t="e">
        <f ca="1">_xll.BDH($C$103,"GEO_GROW_TOT_ASSET","FQ4 2018","FQ4 2018","Currency=INR","Period=FQ","BEST_FPERIOD_OVERRIDE=FQ","FILING_STATUS=OR","EQY_CONSOLIDATED=Y","Sort=A","Dates=H","DateFormat=P","Fill=—","Direction=H","UseDPDF=Y")</f>
        <v>#NAME?</v>
      </c>
      <c r="AW127" s="2" t="e">
        <f ca="1">_xll.BDH($C$103,"MODIFIED_WORKING_CPTL_5YR_GRWTH","FQ4 2018","FQ4 2018","Currency=INR","Period=FQ","BEST_FPERIOD_OVERRIDE=FQ","FILING_STATUS=OR","EQY_CONSOLIDATED=Y","Sort=A","Dates=H","DateFormat=P","Fill=—","Direction=H","UseDPDF=Y")</f>
        <v>#NAME?</v>
      </c>
      <c r="AX127" s="2" t="e">
        <f ca="1">_xll.BDH($C$103,"WORKING_CAPITAL_5_YEAR_GROWTH","FQ4 2018","FQ4 2018","Currency=INR","Period=FQ","BEST_FPERIOD_OVERRIDE=FQ","FILING_STATUS=OR","EQY_CONSOLIDATED=Y","Sort=A","Dates=H","DateFormat=P","Fill=—","Direction=H","UseDPDF=Y")</f>
        <v>#NAME?</v>
      </c>
      <c r="AY127" s="2" t="e">
        <f ca="1">_xll.BDH($C$103,"ACCOUNTS_PAYABLE_5_YEAR_GROWTH","FQ4 2018","FQ4 2018","Currency=INR","Period=FQ","BEST_FPERIOD_OVERRIDE=FQ","FILING_STATUS=OR","EQY_CONSOLIDATED=Y","Sort=A","Dates=H","DateFormat=P","Fill=—","Direction=H","UseDPDF=Y")</f>
        <v>#NAME?</v>
      </c>
      <c r="AZ127" s="2" t="e">
        <f ca="1">_xll.BDH($C$103,"SHORT_TERM_DEBT_5_YEAR_GROWTH","FQ4 2018","FQ4 2018","Currency=INR","Period=FQ","BEST_FPERIOD_OVERRIDE=FQ","FILING_STATUS=OR","EQY_CONSOLIDATED=Y","Sort=A","Dates=H","DateFormat=P","Fill=—","Direction=H","UseDPDF=Y")</f>
        <v>#NAME?</v>
      </c>
      <c r="BA127" s="2" t="e">
        <f ca="1">_xll.BDH($C$103,"TOTAL_DEBT_5_YEAR_GROWTH","FQ4 2018","FQ4 2018","Currency=INR","Period=FQ","BEST_FPERIOD_OVERRIDE=FQ","FILING_STATUS=OR","EQY_CONSOLIDATED=Y","Sort=A","Dates=H","DateFormat=P","Fill=—","Direction=H","UseDPDF=Y")</f>
        <v>#NAME?</v>
      </c>
      <c r="BB127" s="2" t="e">
        <f ca="1">_xll.BDH($C$103,"GEO_GROW_TOT_SHRHLDR_EQY","FQ4 2018","FQ4 2018","Currency=INR","Period=FQ","BEST_FPERIOD_OVERRIDE=FQ","FILING_STATUS=OR","EQY_CONSOLIDATED=Y","Sort=A","Dates=H","DateFormat=P","Fill=—","Direction=H","UseDPDF=Y")</f>
        <v>#NAME?</v>
      </c>
      <c r="BC127" s="2" t="e">
        <f ca="1">_xll.BDH($C$103,"TOTAL_CAPITAL_5_YEAR_GROWTH","FQ4 2018","FQ4 2018","Currency=INR","Period=FQ","BEST_FPERIOD_OVERRIDE=FQ","FILING_STATUS=OR","EQY_CONSOLIDATED=Y","Sort=A","Dates=H","DateFormat=P","Fill=—","Direction=H","UseDPDF=Y")</f>
        <v>#NAME?</v>
      </c>
      <c r="BD127" s="2" t="e">
        <f ca="1">_xll.BDH($C$103,"GEO_GROW_BOOK_VAL","FQ4 2018","FQ4 2018","Currency=INR","Period=FQ","BEST_FPERIOD_OVERRIDE=FQ","FILING_STATUS=OR","EQY_CONSOLIDATED=Y","Sort=A","Dates=H","DateFormat=P","Fill=—","Direction=H","UseDPDF=Y")</f>
        <v>#NAME?</v>
      </c>
      <c r="BE127" s="2" t="e">
        <f ca="1">_xll.BDH($C$103,"GEO_GROW_CASH_OPER_ACT","FQ4 2018","FQ4 2018","Currency=INR","Period=FQ","BEST_FPERIOD_OVERRIDE=FQ","FILING_STATUS=OR","EQY_CONSOLIDATED=Y","Sort=A","Dates=H","DateFormat=P","Fill=—","Direction=H","UseDPDF=Y")</f>
        <v>#NAME?</v>
      </c>
      <c r="BF127" s="2" t="e">
        <f ca="1">_xll.BDH($C$103,"REVENUE_SEQUENTIAL_GROWTH","FQ4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127" s="2" t="e">
        <f ca="1">_xll.BDH($C$103,"EBITDA_SEQUENTIAL_GROWTH","FQ4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127" s="2" t="e">
        <f ca="1">_xll.BDH($C$103,"OPERATING_INCOME_SEQ_GROWTH","FQ4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127" s="2" t="e">
        <f ca="1">_xll.BDH($C$103,"NET_INCOME_TO_COMMON_SEQ_GROWTH","FQ4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127" s="2" t="e">
        <f ca="1">_xll.BDH($C$103,"EPS_DILUTED_SEQUENTIAL_GROWTH","FQ4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127" s="2" t="e">
        <f ca="1">_xll.BDH($C$103,"DPS_SEQUENTIAL_GROWTH","FQ4 2018","FQ4 2018","Currency=INR","Period=FQ","BEST_FPERIOD_OVERRIDE=FQ","FILING_STATUS=OR","EQY_CONSOLIDATED=Y","Sort=A","Dates=H","DateFormat=P","Fill=—","Direction=H","UseDPDF=Y")</f>
        <v>#NAME?</v>
      </c>
      <c r="BL127" s="2" t="e">
        <f ca="1">_xll.BDH($C$103,"ACCOUNTS_RECEIVABLE_SEQ_GROWTH","FQ4 2018","FQ4 2018","Currency=INR","Period=FQ","BEST_FPERIOD_OVERRIDE=FQ","FILING_STATUS=OR","EQY_CONSOLIDATED=Y","Sort=A","Dates=H","DateFormat=P","Fill=—","Direction=H","UseDPDF=Y")</f>
        <v>#NAME?</v>
      </c>
      <c r="BM127" s="2" t="e">
        <f ca="1">_xll.BDH($C$103,"INVENTORY_SEQUENTIAL_GROWTH","FQ4 2018","FQ4 2018","Currency=INR","Period=FQ","BEST_FPERIOD_OVERRIDE=FQ","FILING_STATUS=OR","EQY_CONSOLIDATED=Y","Sort=A","Dates=H","DateFormat=P","Fill=—","Direction=H","UseDPDF=Y")</f>
        <v>#NAME?</v>
      </c>
      <c r="BN127" s="2" t="e">
        <f ca="1">_xll.BDH($C$103,"FIXED_ASSETS_SEQUENTIAL_GROWTH","FQ4 2018","FQ4 2018","Currency=INR","Period=FQ","BEST_FPERIOD_OVERRIDE=FQ","FILING_STATUS=OR","EQY_CONSOLIDATED=Y","Sort=A","Dates=H","DateFormat=P","Fill=—","Direction=H","UseDPDF=Y")</f>
        <v>#NAME?</v>
      </c>
      <c r="BO127" s="2" t="e">
        <f ca="1">_xll.BDH($C$103,"TOTAL_ASSETS_SEQUENTIAL_GROWTH","FQ4 2018","FQ4 2018","Currency=INR","Period=FQ","BEST_FPERIOD_OVERRIDE=FQ","FILING_STATUS=OR","EQY_CONSOLIDATED=Y","Sort=A","Dates=H","DateFormat=P","Fill=—","Direction=H","UseDPDF=Y")</f>
        <v>#NAME?</v>
      </c>
      <c r="BP127" s="2" t="e">
        <f ca="1">_xll.BDH($C$103,"MODIFIED_WORKING_CPTL_SEQ_GRWTH","FQ4 2018","FQ4 2018","Currency=INR","Period=FQ","BEST_FPERIOD_OVERRIDE=FQ","FILING_STATUS=OR","EQY_CONSOLIDATED=Y","Sort=A","Dates=H","DateFormat=P","Fill=—","Direction=H","UseDPDF=Y")</f>
        <v>#NAME?</v>
      </c>
      <c r="BQ127" s="2" t="e">
        <f ca="1">_xll.BDH($C$103,"WORKING_CAPITAL_SEQ_GROWTH","FQ4 2018","FQ4 2018","Currency=INR","Period=FQ","BEST_FPERIOD_OVERRIDE=FQ","FILING_STATUS=OR","EQY_CONSOLIDATED=Y","Sort=A","Dates=H","DateFormat=P","Fill=—","Direction=H","UseDPDF=Y")</f>
        <v>#NAME?</v>
      </c>
      <c r="BR127" s="2" t="e">
        <f ca="1">_xll.BDH($C$103,"ACCOUNTS_PAYABLE_SEQ_GROWTH","FQ4 2018","FQ4 2018","Currency=INR","Period=FQ","BEST_FPERIOD_OVERRIDE=FQ","FILING_STATUS=OR","EQY_CONSOLIDATED=Y","Sort=A","Dates=H","DateFormat=P","Fill=—","Direction=H","UseDPDF=Y")</f>
        <v>#NAME?</v>
      </c>
      <c r="BS127" s="2" t="e">
        <f ca="1">_xll.BDH($C$103,"ST_DEBT_SEQUENTIAL_GROWTH","FQ4 2018","FQ4 2018","Currency=INR","Period=FQ","BEST_FPERIOD_OVERRIDE=FQ","FILING_STATUS=OR","EQY_CONSOLIDATED=Y","Sort=A","Dates=H","DateFormat=P","Fill=—","Direction=H","UseDPDF=Y")</f>
        <v>#NAME?</v>
      </c>
      <c r="BT127" s="2" t="e">
        <f ca="1">_xll.BDH($C$103,"TOTAL_DEBT_SEQUENTIAL_GROWTH","FQ4 2018","FQ4 2018","Currency=INR","Period=FQ","BEST_FPERIOD_OVERRIDE=FQ","FILING_STATUS=OR","EQY_CONSOLIDATED=Y","Sort=A","Dates=H","DateFormat=P","Fill=—","Direction=H","UseDPDF=Y")</f>
        <v>#NAME?</v>
      </c>
      <c r="BU127" s="2" t="e">
        <f ca="1">_xll.BDH($C$103,"TOTAL_EQUITY_SEQUENTIAL_GROWTH","FQ4 2018","FQ4 2018","Currency=INR","Period=FQ","BEST_FPERIOD_OVERRIDE=FQ","FILING_STATUS=OR","EQY_CONSOLIDATED=Y","Sort=A","Dates=H","DateFormat=P","Fill=—","Direction=H","UseDPDF=Y")</f>
        <v>#NAME?</v>
      </c>
      <c r="BV127" s="2" t="e">
        <f ca="1">_xll.BDH($C$103,"TOTAL_CAPITAL_SEQUENTIAL_GROWTH","FQ4 2018","FQ4 2018","Currency=INR","Period=FQ","BEST_FPERIOD_OVERRIDE=FQ","FILING_STATUS=OR","EQY_CONSOLIDATED=Y","Sort=A","Dates=H","DateFormat=P","Fill=—","Direction=H","UseDPDF=Y")</f>
        <v>#NAME?</v>
      </c>
      <c r="BW127" s="2" t="e">
        <f ca="1">_xll.BDH($C$103,"BPS_SEQUENTIAL_GROWTH","FQ4 2018","FQ4 2018","Currency=INR","Period=FQ","BEST_FPERIOD_OVERRIDE=FQ","FILING_STATUS=OR","EQY_CONSOLIDATED=Y","Sort=A","Dates=H","DateFormat=P","Fill=—","Direction=H","UseDPDF=Y")</f>
        <v>#NAME?</v>
      </c>
      <c r="BX127" s="2" t="e">
        <f ca="1">_xll.BDH($C$103,"CFO_SEQUENTIAL_GROWTH","FQ4 2018","FQ4 2018","Currency=INR","Period=FQ","BEST_FPERIOD_OVERRIDE=FQ","FILING_STATUS=OR","EQY_CONSOLIDATED=Y","Sort=A","Dates=H","DateFormat=P","Fill=—","Direction=H","UseDPDF=Y")</f>
        <v>#NAME?</v>
      </c>
      <c r="BY127" s="3" t="e">
        <f ca="1">_xll.BDH($C$103,"SHORT_AND_LONG_TERM_DEBT","FQ4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127" s="3" t="e">
        <f ca="1">_xll.BDH($C$103,"BS_ST_BORROW","FQ4 2018","FQ4 2018","Currency=INR","Period=FQ","BEST_FPERIOD_OVERRIDE=FQ","FILING_STATUS=OR","EQY_CONSOLIDATED=Y","SCALING_FORMAT=MLN","Sort=A","Dates=H","DateFormat=P","Fill=—","Direction=H","UseDPDF=Y")</f>
        <v>#NAME?</v>
      </c>
      <c r="CA127" s="3" t="e">
        <f ca="1">_xll.BDH($C$103,"BS_LT_BORROW","FQ4 2018","FQ4 2018","Currency=INR","Period=FQ","BEST_FPERIOD_OVERRIDE=FQ","FILING_STATUS=OR","EQY_CONSOLIDATED=Y","SCALING_FORMAT=MLN","Sort=A","Dates=H","DateFormat=P","Fill=—","Direction=H","UseDPDF=Y")</f>
        <v>#NAME?</v>
      </c>
      <c r="CB127" s="2" t="e">
        <f ca="1">_xll.BDH($C$103,"TOT_DEBT_TO_EBITDA","FQ4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127" s="2" t="e">
        <f ca="1">_xll.BDH($C$103,"NET_DEBT_TO_EBITDA","FQ4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127" s="2" t="e">
        <f ca="1">_xll.BDH($C$103,"TOTAL_DEBT_TO_EBIT","FQ4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127" s="2" t="e">
        <f ca="1">_xll.BDH($C$103,"NET_DEBT_TO_EBIT","FQ4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127" s="2" t="e">
        <f ca="1">_xll.BDH($C$103,"EBITDA_TO_INTEREST_EXPN","FQ4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127" s="2" t="e">
        <f ca="1">_xll.BDH($C$103,"COM_EQY_TO_TOT_ASSET","FQ4 2018","FQ4 2018","Currency=INR","Period=FQ","BEST_FPERIOD_OVERRIDE=FQ","FILING_STATUS=OR","EQY_CONSOLIDATED=Y","Sort=A","Dates=H","DateFormat=P","Fill=—","Direction=H","UseDPDF=Y")</f>
        <v>#NAME?</v>
      </c>
      <c r="CH127" s="2" t="e">
        <f ca="1">_xll.BDH($C$103,"LT_DEBT_TO_TOT_EQY","FQ4 2018","FQ4 2018","Currency=INR","Period=FQ","BEST_FPERIOD_OVERRIDE=FQ","FILING_STATUS=OR","EQY_CONSOLIDATED=Y","Sort=A","Dates=H","DateFormat=P","Fill=—","Direction=H","UseDPDF=Y")</f>
        <v>#NAME?</v>
      </c>
      <c r="CI127" s="2" t="e">
        <f ca="1">_xll.BDH($C$103,"LT_DEBT_TO_TOT_CAP","FQ4 2018","FQ4 2018","Currency=INR","Period=FQ","BEST_FPERIOD_OVERRIDE=FQ","FILING_STATUS=OR","EQY_CONSOLIDATED=Y","Sort=A","Dates=H","DateFormat=P","Fill=—","Direction=H","UseDPDF=Y")</f>
        <v>#NAME?</v>
      </c>
      <c r="CJ127" s="2" t="e">
        <f ca="1">_xll.BDH($C$103,"LT_DEBT_TO_TOT_ASSET","FQ4 2018","FQ4 2018","Currency=INR","Period=FQ","BEST_FPERIOD_OVERRIDE=FQ","FILING_STATUS=OR","EQY_CONSOLIDATED=Y","Sort=A","Dates=H","DateFormat=P","Fill=—","Direction=H","UseDPDF=Y")</f>
        <v>#NAME?</v>
      </c>
      <c r="CK127" s="2" t="e">
        <f ca="1">_xll.BDH($C$103,"TOT_DEBT_TO_TOT_EQY","FQ4 2018","FQ4 2018","Currency=INR","Period=FQ","BEST_FPERIOD_OVERRIDE=FQ","FILING_STATUS=OR","EQY_CONSOLIDATED=Y","Sort=A","Dates=H","DateFormat=P","Fill=—","Direction=H","UseDPDF=Y")</f>
        <v>#NAME?</v>
      </c>
      <c r="CL127" s="2" t="e">
        <f ca="1">_xll.BDH($C$103,"TOT_DEBT_TO_TOT_CAP","FQ4 2018","FQ4 2018","Currency=INR","Period=FQ","BEST_FPERIOD_OVERRIDE=FQ","FILING_STATUS=OR","EQY_CONSOLIDATED=Y","Sort=A","Dates=H","DateFormat=P","Fill=—","Direction=H","UseDPDF=Y")</f>
        <v>#NAME?</v>
      </c>
      <c r="CM127" s="2" t="e">
        <f ca="1">_xll.BDH($C$103,"TOT_DEBT_TO_TOT_ASSET","FQ4 2018","FQ4 2018","Currency=INR","Period=FQ","BEST_FPERIOD_OVERRIDE=FQ","FILING_STATUS=OR","EQY_CONSOLIDATED=Y","Sort=A","Dates=H","DateFormat=P","Fill=—","Direction=H","UseDPDF=Y")</f>
        <v>#NAME?</v>
      </c>
      <c r="CN127" s="2" t="e">
        <f ca="1">_xll.BDH($C$103,"NET_DEBT_TO_SHRHLDR_EQTY","FQ4 2018","FQ4 2018","Currency=INR","Period=FQ","BEST_FPERIOD_OVERRIDE=FQ","FILING_STATUS=OR","EQY_CONSOLIDATED=Y","Sort=A","Dates=H","DateFormat=P","Fill=—","Direction=H","UseDPDF=Y")</f>
        <v>#NAME?</v>
      </c>
      <c r="CO127" s="2" t="e">
        <f ca="1">_xll.BDH($C$103,"NET_DEBT_%_CAPITAL","FQ4 2018","FQ4 2018","Currency=INR","Period=FQ","BEST_FPERIOD_OVERRIDE=FQ","FILING_STATUS=OR","EQY_CONSOLIDATED=Y","Sort=A","Dates=H","DateFormat=P","Fill=—","Direction=H","UseDPDF=Y")</f>
        <v>#NAME?</v>
      </c>
      <c r="CP127" s="3" t="e">
        <f ca="1">_xll.BDH($C$103,"EBITDA","FQ4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127" s="3" t="e">
        <f ca="1">_xll.BDH($C$103,"EBITDA_AFTER_CAPEX","FQ4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127" s="3" t="e">
        <f ca="1">_xll.BDH($C$103,"IS_OPER_INC","FQ4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127" s="2" t="e">
        <f ca="1">_xll.BDH($C$103,"CASH_RATIO","FQ4 2018","FQ4 2018","Currency=INR","Period=FQ","BEST_FPERIOD_OVERRIDE=FQ","FILING_STATUS=OR","EQY_CONSOLIDATED=Y","Sort=A","Dates=H","DateFormat=P","Fill=—","Direction=H","UseDPDF=Y")</f>
        <v>#NAME?</v>
      </c>
      <c r="CT127" s="2" t="e">
        <f ca="1">_xll.BDH($C$103,"CUR_RATIO","FQ4 2018","FQ4 2018","Currency=INR","Period=FQ","BEST_FPERIOD_OVERRIDE=FQ","FILING_STATUS=OR","EQY_CONSOLIDATED=Y","Sort=A","Dates=H","DateFormat=P","Fill=—","Direction=H","UseDPDF=Y")</f>
        <v>#NAME?</v>
      </c>
      <c r="CU127" s="2" t="e">
        <f ca="1">_xll.BDH($C$103,"QUICK_RATIO","FQ4 2018","FQ4 2018","Currency=INR","Period=FQ","BEST_FPERIOD_OVERRIDE=FQ","FILING_STATUS=OR","EQY_CONSOLIDATED=Y","Sort=A","Dates=H","DateFormat=P","Fill=—","Direction=H","UseDPDF=Y")</f>
        <v>#NAME?</v>
      </c>
      <c r="CV127" s="2" t="e">
        <f ca="1">_xll.BDH($C$103,"ALTMAN_Z_SCORE","FQ4 2018","FQ4 2018","Currency=INR","Period=FQ","BEST_FPERIOD_OVERRIDE=FQ","FILING_STATUS=OR","EQY_CONSOLIDATED=Y","Sort=A","Dates=H","DateFormat=P","Fill=—","Direction=H","UseDPDF=Y")</f>
        <v>#NAME?</v>
      </c>
      <c r="CW127" s="4" t="e">
        <f ca="1">_xll.BDH($C$103,"ACCT_RCV_TURN","FQ4 2018","FQ4 2018","Currency=INR","Period=FQ","BEST_FPERIOD_OVERRIDE=FQ","FILING_STATUS=OR","EQY_CONSOLIDATED=Y","FA_ADJUSTED=GAAP","Sort=A","Dates=H","DateFormat=P","Fill=—","Direction=H","UseDPDF=Y")</f>
        <v>#NAME?</v>
      </c>
      <c r="CX127" s="2" t="e">
        <f ca="1">_xll.BDH($C$103,"ACCT_RCV_DAYS","FQ4 2018","FQ4 2018","Currency=INR","Period=FQ","BEST_FPERIOD_OVERRIDE=FQ","FILING_STATUS=OR","EQY_CONSOLIDATED=Y","FA_ADJUSTED=GAAP","Sort=A","Dates=H","DateFormat=P","Fill=—","Direction=H","UseDPDF=Y")</f>
        <v>#NAME?</v>
      </c>
      <c r="CY127" s="4" t="e">
        <f ca="1">_xll.BDH($C$103,"INVENT_TURN","FQ4 2018","FQ4 2018","Currency=INR","Period=FQ","BEST_FPERIOD_OVERRIDE=FQ","FILING_STATUS=OR","EQY_CONSOLIDATED=Y","FA_ADJUSTED=GAAP","Sort=A","Dates=H","DateFormat=P","Fill=—","Direction=H","UseDPDF=Y")</f>
        <v>#NAME?</v>
      </c>
      <c r="CZ127" s="2" t="e">
        <f ca="1">_xll.BDH($C$103,"INVENT_DAYS","FQ4 2018","FQ4 2018","Currency=INR","Period=FQ","BEST_FPERIOD_OVERRIDE=FQ","FILING_STATUS=OR","EQY_CONSOLIDATED=Y","FA_ADJUSTED=GAAP","Sort=A","Dates=H","DateFormat=P","Fill=—","Direction=H","UseDPDF=Y")</f>
        <v>#NAME?</v>
      </c>
      <c r="DA127" s="4" t="e">
        <f ca="1">_xll.BDH($C$103,"ACCOUNTS_PAYABLE_TURNOVER","FQ4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127" s="2" t="e">
        <f ca="1">_xll.BDH($C$103,"ACCOUNTS_PAYABLE_TURNOVER_DAYS","FQ4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127" s="4" t="e">
        <f ca="1">_xll.BDH($C$103,"CASH_CONVERSION_CYCLE","FQ4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127" s="4" t="e">
        <f ca="1">_xll.BDH($C$103,"INV_TO_CASH_DAYS","FQ4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127" s="5" t="e">
        <f ca="1">_xll.BDH($C$103,"BS_INVENTORIES","FQ4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127" s="3" t="e">
        <f ca="1">_xll.BDH($C$103,"INVTRY_RAW_MATERIALS","FQ4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127" s="3" t="e">
        <f ca="1">_xll.BDH($C$103,"INVTRY_IN_PROGRESS","FQ4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127" s="3" t="e">
        <f ca="1">_xll.BDH($C$103,"INVTRY_FINISHED_GOODS","FQ4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127" s="3" t="e">
        <f ca="1">_xll.BDH($C$103,"BS_OTHER_INV","FQ4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128" spans="1:113" x14ac:dyDescent="0.3">
      <c r="A128" s="6">
        <v>6</v>
      </c>
      <c r="B128" s="6" t="s">
        <v>94</v>
      </c>
      <c r="C128" s="6" t="s">
        <v>95</v>
      </c>
      <c r="D128" s="6" t="s">
        <v>76</v>
      </c>
      <c r="E128" t="s">
        <v>77</v>
      </c>
      <c r="F128" t="e">
        <f ca="1">_xll.BDH($C$128,"RETURN_COM_EQY","FY 2014","FY 2014","Currency=INR","Period=FY","BEST_FPERIOD_OVERRIDE=FY","FILING_STATUS=OR","EQY_CONSOLIDATED=Y","FA_ADJUSTED=GAAP","Sort=A","Dates=H","DateFormat=P","Fill=—","Direction=H","UseDPDF=Y")</f>
        <v>#NAME?</v>
      </c>
      <c r="G128" t="e">
        <f ca="1">_xll.BDH($C$128,"RETURN_ON_ASSET","FY 2014","FY 2014","Currency=INR","Period=FY","BEST_FPERIOD_OVERRIDE=FY","FILING_STATUS=OR","EQY_CONSOLIDATED=Y","FA_ADJUSTED=GAAP","Sort=A","Dates=H","DateFormat=P","Fill=—","Direction=H","UseDPDF=Y")</f>
        <v>#NAME?</v>
      </c>
      <c r="H128" t="e">
        <f ca="1">_xll.BDH($C$128,"RETURN_ON_CAP","FY 2014","FY 2014","Currency=INR","Period=FY","BEST_FPERIOD_OVERRIDE=FY","FILING_STATUS=OR","EQY_CONSOLIDATED=Y","FA_ADJUSTED=GAAP","Sort=A","Dates=H","DateFormat=P","Fill=—","Direction=H","UseDPDF=Y")</f>
        <v>#NAME?</v>
      </c>
      <c r="I128" t="e">
        <f ca="1">_xll.BDH($C$128,"RETURN_ON_INV_CAPITAL","FY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128" t="e">
        <f ca="1">_xll.BDH($C$128,"EBITDA_TO_REVENUE","FY 2014","FY 2014","Currency=INR","Period=FY","BEST_FPERIOD_OVERRIDE=FY","FILING_STATUS=OR","EQY_CONSOLIDATED=Y","FA_ADJUSTED=GAAP","Sort=A","Dates=H","DateFormat=P","Fill=—","Direction=H","UseDPDF=Y")</f>
        <v>#NAME?</v>
      </c>
      <c r="K128" t="e">
        <f ca="1">_xll.BDH($C$128,"OPER_MARGIN","FY 2014","FY 2014","Currency=INR","Period=FY","BEST_FPERIOD_OVERRIDE=FY","FILING_STATUS=OR","EQY_CONSOLIDATED=Y","FA_ADJUSTED=GAAP","Sort=A","Dates=H","DateFormat=P","Fill=—","Direction=H","UseDPDF=Y")</f>
        <v>#NAME?</v>
      </c>
      <c r="L128" t="e">
        <f ca="1">_xll.BDH($C$128,"INCREMENTAL_OPERATING_MARGIN","FY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128" t="e">
        <f ca="1">_xll.BDH($C$128,"PRETAX_INC_TO_NET_SALES","FY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128" t="e">
        <f ca="1">_xll.BDH($C$128,"INC_BEF_XO_ITEMS_TO_NET_SALES","FY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128" t="e">
        <f ca="1">_xll.BDH($C$128,"PROF_MARGIN","FY 2014","FY 2014","Currency=INR","Period=FY","BEST_FPERIOD_OVERRIDE=FY","FILING_STATUS=OR","EQY_CONSOLIDATED=Y","FA_ADJUSTED=GAAP","Sort=A","Dates=H","DateFormat=P","Fill=—","Direction=H","UseDPDF=Y")</f>
        <v>#NAME?</v>
      </c>
      <c r="P128" t="e">
        <f ca="1">_xll.BDH($C$128,"NET_INCOME_TO_COMMON_MARGIN","FY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128" t="e">
        <f ca="1">_xll.BDH($C$128,"EFF_TAX_RATE","FY 2014","FY 2014","Currency=INR","Period=FY","BEST_FPERIOD_OVERRIDE=FY","FILING_STATUS=OR","EQY_CONSOLIDATED=Y","FA_ADJUSTED=GAAP","Sort=A","Dates=H","DateFormat=P","Fill=—","Direction=H","UseDPDF=Y")</f>
        <v>#NAME?</v>
      </c>
      <c r="R128" t="e">
        <f ca="1">_xll.BDH($C$128,"DVD_PAYOUT_RATIO","FY 2014","FY 2014","Currency=INR","Period=FY","BEST_FPERIOD_OVERRIDE=FY","FILING_STATUS=OR","EQY_CONSOLIDATED=Y","FA_ADJUSTED=GAAP","Sort=A","Dates=H","DateFormat=P","Fill=—","Direction=H","UseDPDF=Y")</f>
        <v>#NAME?</v>
      </c>
      <c r="S128" t="e">
        <f ca="1">_xll.BDH($C$128,"SUSTAIN_GROWTH_RT","FY 2014","FY 2014","Currency=INR","Period=FY","BEST_FPERIOD_OVERRIDE=FY","FILING_STATUS=OR","EQY_CONSOLIDATED=Y","FA_ADJUSTED=GAAP","Sort=A","Dates=H","DateFormat=P","Fill=—","Direction=H","UseDPDF=Y")</f>
        <v>#NAME?</v>
      </c>
      <c r="T128" s="2" t="e">
        <f ca="1">_xll.BDH($C$128,"SALES_GROWTH","FY 2014","FY 2014","Currency=INR","Period=FY","BEST_FPERIOD_OVERRIDE=FY","FILING_STATUS=OR","EQY_CONSOLIDATED=Y","FA_ADJUSTED=GAAP","Sort=A","Dates=H","DateFormat=P","Fill=—","Direction=H","UseDPDF=Y")</f>
        <v>#NAME?</v>
      </c>
      <c r="U128" s="2" t="e">
        <f ca="1">_xll.BDH($C$128,"EBITDA_GROWTH","FY 2014","FY 2014","Currency=INR","Period=FY","BEST_FPERIOD_OVERRIDE=FY","FILING_STATUS=OR","EQY_CONSOLIDATED=Y","FA_ADJUSTED=GAAP","Sort=A","Dates=H","DateFormat=P","Fill=—","Direction=H","UseDPDF=Y")</f>
        <v>#NAME?</v>
      </c>
      <c r="V128" s="2" t="e">
        <f ca="1">_xll.BDH($C$128,"OPER_INC_GROWTH","FY 2014","FY 2014","Currency=INR","Period=FY","BEST_FPERIOD_OVERRIDE=FY","FILING_STATUS=OR","EQY_CONSOLIDATED=Y","FA_ADJUSTED=GAAP","Sort=A","Dates=H","DateFormat=P","Fill=—","Direction=H","UseDPDF=Y")</f>
        <v>#NAME?</v>
      </c>
      <c r="W128" s="2" t="e">
        <f ca="1">_xll.BDH($C$128,"EARN_FOR_COM_GROWTH","FY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128" s="2" t="e">
        <f ca="1">_xll.BDH($C$128,"DILUTED_EPS_AFT_XO_ITEMS_GROWTH","FY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128" s="2" t="e">
        <f ca="1">_xll.BDH($C$128,"DIVIDEND_PER_SHARE_1_YEAR_GROWTH","FY 2014","FY 2014","Currency=INR","Period=FY","BEST_FPERIOD_OVERRIDE=FY","FILING_STATUS=OR","EQY_CONSOLIDATED=Y","Sort=A","Dates=H","DateFormat=P","Fill=—","Direction=H","UseDPDF=Y")</f>
        <v>#NAME?</v>
      </c>
      <c r="Z128" s="2" t="e">
        <f ca="1">_xll.BDH($C$128,"ACCOUNTS_RECEIVABLE_GROWTH","FY 2014","FY 2014","Currency=INR","Period=FY","BEST_FPERIOD_OVERRIDE=FY","FILING_STATUS=OR","EQY_CONSOLIDATED=Y","Sort=A","Dates=H","DateFormat=P","Fill=—","Direction=H","UseDPDF=Y")</f>
        <v>#NAME?</v>
      </c>
      <c r="AA128" s="2" t="e">
        <f ca="1">_xll.BDH($C$128,"INVENTORY_GROWTH","FY 2014","FY 2014","Currency=INR","Period=FY","BEST_FPERIOD_OVERRIDE=FY","FILING_STATUS=OR","EQY_CONSOLIDATED=Y","Sort=A","Dates=H","DateFormat=P","Fill=—","Direction=H","UseDPDF=Y")</f>
        <v>#NAME?</v>
      </c>
      <c r="AB128" s="2" t="e">
        <f ca="1">_xll.BDH($C$128,"NET_FIXED_ASSETS_1_YEAR_GROWTH","FY 2014","FY 2014","Currency=INR","Period=FY","BEST_FPERIOD_OVERRIDE=FY","FILING_STATUS=OR","EQY_CONSOLIDATED=Y","Sort=A","Dates=H","DateFormat=P","Fill=—","Direction=H","UseDPDF=Y")</f>
        <v>#NAME?</v>
      </c>
      <c r="AC128" s="2" t="e">
        <f ca="1">_xll.BDH($C$128,"ASSET_GROWTH","FY 2014","FY 2014","Currency=INR","Period=FY","BEST_FPERIOD_OVERRIDE=FY","FILING_STATUS=OR","EQY_CONSOLIDATED=Y","Sort=A","Dates=H","DateFormat=P","Fill=—","Direction=H","UseDPDF=Y")</f>
        <v>#NAME?</v>
      </c>
      <c r="AD128" s="2" t="e">
        <f ca="1">_xll.BDH($C$128,"MODIFIED_WORK_CAP_GROWTH","FY 2014","FY 2014","Currency=INR","Period=FY","BEST_FPERIOD_OVERRIDE=FY","FILING_STATUS=OR","EQY_CONSOLIDATED=Y","Sort=A","Dates=H","DateFormat=P","Fill=—","Direction=H","UseDPDF=Y")</f>
        <v>#NAME?</v>
      </c>
      <c r="AE128" s="2" t="e">
        <f ca="1">_xll.BDH($C$128,"WORK_CAP_GROWTH","FY 2014","FY 2014","Currency=INR","Period=FY","BEST_FPERIOD_OVERRIDE=FY","FILING_STATUS=OR","EQY_CONSOLIDATED=Y","Sort=A","Dates=H","DateFormat=P","Fill=—","Direction=H","UseDPDF=Y")</f>
        <v>#NAME?</v>
      </c>
      <c r="AF128" s="2" t="e">
        <f ca="1">_xll.BDH($C$128,"ACCOUNTS_PAYABLE_GROWTH_1YR","FY 2014","FY 2014","Currency=INR","Period=FY","BEST_FPERIOD_OVERRIDE=FY","FILING_STATUS=OR","EQY_CONSOLIDATED=Y","Sort=A","Dates=H","DateFormat=P","Fill=—","Direction=H","UseDPDF=Y")</f>
        <v>#NAME?</v>
      </c>
      <c r="AG128" s="2" t="e">
        <f ca="1">_xll.BDH($C$128,"SHORT_TERM_DEBT_1_YEAR_GROWTH","FY 2014","FY 2014","Currency=INR","Period=FY","BEST_FPERIOD_OVERRIDE=FY","FILING_STATUS=OR","EQY_CONSOLIDATED=Y","Sort=A","Dates=H","DateFormat=P","Fill=—","Direction=H","UseDPDF=Y")</f>
        <v>#NAME?</v>
      </c>
      <c r="AH128" s="2" t="e">
        <f ca="1">_xll.BDH($C$128,"TOTAL_DEBT_1_YEAR_GROWTH","FY 2014","FY 2014","Currency=INR","Period=FY","BEST_FPERIOD_OVERRIDE=FY","FILING_STATUS=OR","EQY_CONSOLIDATED=Y","Sort=A","Dates=H","DateFormat=P","Fill=—","Direction=H","UseDPDF=Y")</f>
        <v>#NAME?</v>
      </c>
      <c r="AI128" s="2" t="e">
        <f ca="1">_xll.BDH($C$128,"TOTAL_EQUITY_1_YEAR_GROWTH","FY 2014","FY 2014","Currency=INR","Period=FY","BEST_FPERIOD_OVERRIDE=FY","FILING_STATUS=OR","EQY_CONSOLIDATED=Y","Sort=A","Dates=H","DateFormat=P","Fill=—","Direction=H","UseDPDF=Y")</f>
        <v>#NAME?</v>
      </c>
      <c r="AJ128" s="2" t="e">
        <f ca="1">_xll.BDH($C$128,"GROWTH_IN_CAP","FY 2014","FY 2014","Currency=INR","Period=FY","BEST_FPERIOD_OVERRIDE=FY","FILING_STATUS=OR","EQY_CONSOLIDATED=Y","Sort=A","Dates=H","DateFormat=P","Fill=—","Direction=H","UseDPDF=Y")</f>
        <v>#NAME?</v>
      </c>
      <c r="AK128" s="2" t="e">
        <f ca="1">_xll.BDH($C$128,"BVPS_GROWTH","FY 2014","FY 2014","Currency=INR","Period=FY","BEST_FPERIOD_OVERRIDE=FY","FILING_STATUS=OR","EQY_CONSOLIDATED=Y","Sort=A","Dates=H","DateFormat=P","Fill=—","Direction=H","UseDPDF=Y")</f>
        <v>#NAME?</v>
      </c>
      <c r="AL128" s="2" t="e">
        <f ca="1">_xll.BDH($C$128,"CASH_FLOW_GROWTH","FY 2014","FY 2014","Currency=INR","Period=FY","BEST_FPERIOD_OVERRIDE=FY","FILING_STATUS=OR","EQY_CONSOLIDATED=Y","Sort=A","Dates=H","DateFormat=P","Fill=—","Direction=H","UseDPDF=Y")</f>
        <v>#NAME?</v>
      </c>
      <c r="AM128" s="2" t="e">
        <f ca="1">_xll.BDH($C$128,"GEO_GROW_NET_SALES","FY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128" s="2" t="e">
        <f ca="1">_xll.BDH($C$128,"GEO_GROW_EBITDA","FY 2014","FY 2014","Currency=INR","Period=FY","BEST_FPERIOD_OVERRIDE=FY","FILING_STATUS=OR","EQY_CONSOLIDATED=Y","FA_ADJUSTED=GAAP","Sort=A","Dates=H","DateFormat=P","Fill=—","Direction=H","UseDPDF=Y")</f>
        <v>#NAME?</v>
      </c>
      <c r="AO128" s="2" t="e">
        <f ca="1">_xll.BDH($C$128,"GEO_GROW_OPER_INC","FY 2014","FY 2014","Currency=INR","Period=FY","BEST_FPERIOD_OVERRIDE=FY","FILING_STATUS=OR","EQY_CONSOLIDATED=Y","FA_ADJUSTED=GAAP","Sort=A","Dates=H","DateFormat=P","Fill=—","Direction=H","UseDPDF=Y")</f>
        <v>#NAME?</v>
      </c>
      <c r="AP128" s="2" t="e">
        <f ca="1">_xll.BDH($C$128,"NET_INCOME_TO_COMMON_5_YR_GROWTH","FY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128" s="2" t="e">
        <f ca="1">_xll.BDH($C$128,"5Y_GEO_GROWTH_DILUTED_EPS","FY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128" s="2" t="e">
        <f ca="1">_xll.BDH($C$128,"GEO_GROW_DVD_PER_SH","FY 2014","FY 2014","Currency=INR","Period=FY","BEST_FPERIOD_OVERRIDE=FY","FILING_STATUS=OR","EQY_CONSOLIDATED=Y","Sort=A","Dates=H","DateFormat=P","Fill=—","Direction=H","UseDPDF=Y")</f>
        <v>#NAME?</v>
      </c>
      <c r="AS128" s="2" t="e">
        <f ca="1">_xll.BDH($C$128,"ACCOUNTS_RECEIVABLE_5_YR_GROWTH","FY 2014","FY 2014","Currency=INR","Period=FY","BEST_FPERIOD_OVERRIDE=FY","FILING_STATUS=OR","EQY_CONSOLIDATED=Y","Sort=A","Dates=H","DateFormat=P","Fill=—","Direction=H","UseDPDF=Y")</f>
        <v>#NAME?</v>
      </c>
      <c r="AT128" s="2" t="e">
        <f ca="1">_xll.BDH($C$128,"INVENTORY_5_YEAR_GROWTH","FY 2014","FY 2014","Currency=INR","Period=FY","BEST_FPERIOD_OVERRIDE=FY","FILING_STATUS=OR","EQY_CONSOLIDATED=Y","Sort=A","Dates=H","DateFormat=P","Fill=—","Direction=H","UseDPDF=Y")</f>
        <v>#NAME?</v>
      </c>
      <c r="AU128" s="2" t="e">
        <f ca="1">_xll.BDH($C$128,"NET_FIXED_ASSETS_5_YEAR_GROWTH","FY 2014","FY 2014","Currency=INR","Period=FY","BEST_FPERIOD_OVERRIDE=FY","FILING_STATUS=OR","EQY_CONSOLIDATED=Y","Sort=A","Dates=H","DateFormat=P","Fill=—","Direction=H","UseDPDF=Y")</f>
        <v>#NAME?</v>
      </c>
      <c r="AV128" s="2" t="e">
        <f ca="1">_xll.BDH($C$128,"GEO_GROW_TOT_ASSET","FY 2014","FY 2014","Currency=INR","Period=FY","BEST_FPERIOD_OVERRIDE=FY","FILING_STATUS=OR","EQY_CONSOLIDATED=Y","Sort=A","Dates=H","DateFormat=P","Fill=—","Direction=H","UseDPDF=Y")</f>
        <v>#NAME?</v>
      </c>
      <c r="AW128" s="2" t="e">
        <f ca="1">_xll.BDH($C$128,"MODIFIED_WORKING_CPTL_5YR_GRWTH","FY 2014","FY 2014","Currency=INR","Period=FY","BEST_FPERIOD_OVERRIDE=FY","FILING_STATUS=OR","EQY_CONSOLIDATED=Y","Sort=A","Dates=H","DateFormat=P","Fill=—","Direction=H","UseDPDF=Y")</f>
        <v>#NAME?</v>
      </c>
      <c r="AX128" s="2" t="e">
        <f ca="1">_xll.BDH($C$128,"WORKING_CAPITAL_5_YEAR_GROWTH","FY 2014","FY 2014","Currency=INR","Period=FY","BEST_FPERIOD_OVERRIDE=FY","FILING_STATUS=OR","EQY_CONSOLIDATED=Y","Sort=A","Dates=H","DateFormat=P","Fill=—","Direction=H","UseDPDF=Y")</f>
        <v>#NAME?</v>
      </c>
      <c r="AY128" s="2" t="e">
        <f ca="1">_xll.BDH($C$128,"ACCOUNTS_PAYABLE_5_YEAR_GROWTH","FY 2014","FY 2014","Currency=INR","Period=FY","BEST_FPERIOD_OVERRIDE=FY","FILING_STATUS=OR","EQY_CONSOLIDATED=Y","Sort=A","Dates=H","DateFormat=P","Fill=—","Direction=H","UseDPDF=Y")</f>
        <v>#NAME?</v>
      </c>
      <c r="AZ128" s="2" t="e">
        <f ca="1">_xll.BDH($C$128,"SHORT_TERM_DEBT_5_YEAR_GROWTH","FY 2014","FY 2014","Currency=INR","Period=FY","BEST_FPERIOD_OVERRIDE=FY","FILING_STATUS=OR","EQY_CONSOLIDATED=Y","Sort=A","Dates=H","DateFormat=P","Fill=—","Direction=H","UseDPDF=Y")</f>
        <v>#NAME?</v>
      </c>
      <c r="BA128" s="2" t="e">
        <f ca="1">_xll.BDH($C$128,"TOTAL_DEBT_5_YEAR_GROWTH","FY 2014","FY 2014","Currency=INR","Period=FY","BEST_FPERIOD_OVERRIDE=FY","FILING_STATUS=OR","EQY_CONSOLIDATED=Y","Sort=A","Dates=H","DateFormat=P","Fill=—","Direction=H","UseDPDF=Y")</f>
        <v>#NAME?</v>
      </c>
      <c r="BB128" s="2" t="e">
        <f ca="1">_xll.BDH($C$128,"GEO_GROW_TOT_SHRHLDR_EQY","FY 2014","FY 2014","Currency=INR","Period=FY","BEST_FPERIOD_OVERRIDE=FY","FILING_STATUS=OR","EQY_CONSOLIDATED=Y","Sort=A","Dates=H","DateFormat=P","Fill=—","Direction=H","UseDPDF=Y")</f>
        <v>#NAME?</v>
      </c>
      <c r="BC128" s="2" t="e">
        <f ca="1">_xll.BDH($C$128,"TOTAL_CAPITAL_5_YEAR_GROWTH","FY 2014","FY 2014","Currency=INR","Period=FY","BEST_FPERIOD_OVERRIDE=FY","FILING_STATUS=OR","EQY_CONSOLIDATED=Y","Sort=A","Dates=H","DateFormat=P","Fill=—","Direction=H","UseDPDF=Y")</f>
        <v>#NAME?</v>
      </c>
      <c r="BD128" s="2" t="e">
        <f ca="1">_xll.BDH($C$128,"GEO_GROW_BOOK_VAL","FY 2014","FY 2014","Currency=INR","Period=FY","BEST_FPERIOD_OVERRIDE=FY","FILING_STATUS=OR","EQY_CONSOLIDATED=Y","Sort=A","Dates=H","DateFormat=P","Fill=—","Direction=H","UseDPDF=Y")</f>
        <v>#NAME?</v>
      </c>
      <c r="BE128" s="2" t="e">
        <f ca="1">_xll.BDH($C$128,"GEO_GROW_CASH_OPER_ACT","FY 2014","FY 2014","Currency=INR","Period=FY","BEST_FPERIOD_OVERRIDE=FY","FILING_STATUS=OR","EQY_CONSOLIDATED=Y","Sort=A","Dates=H","DateFormat=P","Fill=—","Direction=H","UseDPDF=Y")</f>
        <v>#NAME?</v>
      </c>
      <c r="BF128" s="2" t="e">
        <f ca="1">_xll.BDH($C$128,"REVENUE_SEQUENTIAL_GROWTH","FY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128" s="2" t="e">
        <f ca="1">_xll.BDH($C$128,"EBITDA_SEQUENTIAL_GROWTH","FY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128" s="2" t="e">
        <f ca="1">_xll.BDH($C$128,"OPERATING_INCOME_SEQ_GROWTH","FY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128" s="2" t="e">
        <f ca="1">_xll.BDH($C$128,"NET_INCOME_TO_COMMON_SEQ_GROWTH","FY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128" s="2" t="e">
        <f ca="1">_xll.BDH($C$128,"EPS_DILUTED_SEQUENTIAL_GROWTH","FY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128" s="2" t="e">
        <f ca="1">_xll.BDH($C$128,"DPS_SEQUENTIAL_GROWTH","FY 2014","FY 2014","Currency=INR","Period=FY","BEST_FPERIOD_OVERRIDE=FY","FILING_STATUS=OR","EQY_CONSOLIDATED=Y","Sort=A","Dates=H","DateFormat=P","Fill=—","Direction=H","UseDPDF=Y")</f>
        <v>#NAME?</v>
      </c>
      <c r="BL128" s="2" t="e">
        <f ca="1">_xll.BDH($C$128,"ACCOUNTS_RECEIVABLE_SEQ_GROWTH","FY 2014","FY 2014","Currency=INR","Period=FY","BEST_FPERIOD_OVERRIDE=FY","FILING_STATUS=OR","EQY_CONSOLIDATED=Y","Sort=A","Dates=H","DateFormat=P","Fill=—","Direction=H","UseDPDF=Y")</f>
        <v>#NAME?</v>
      </c>
      <c r="BM128" s="2" t="e">
        <f ca="1">_xll.BDH($C$128,"INVENTORY_SEQUENTIAL_GROWTH","FY 2014","FY 2014","Currency=INR","Period=FY","BEST_FPERIOD_OVERRIDE=FY","FILING_STATUS=OR","EQY_CONSOLIDATED=Y","Sort=A","Dates=H","DateFormat=P","Fill=—","Direction=H","UseDPDF=Y")</f>
        <v>#NAME?</v>
      </c>
      <c r="BN128" s="2" t="e">
        <f ca="1">_xll.BDH($C$128,"FIXED_ASSETS_SEQUENTIAL_GROWTH","FY 2014","FY 2014","Currency=INR","Period=FY","BEST_FPERIOD_OVERRIDE=FY","FILING_STATUS=OR","EQY_CONSOLIDATED=Y","Sort=A","Dates=H","DateFormat=P","Fill=—","Direction=H","UseDPDF=Y")</f>
        <v>#NAME?</v>
      </c>
      <c r="BO128" s="2" t="e">
        <f ca="1">_xll.BDH($C$128,"TOTAL_ASSETS_SEQUENTIAL_GROWTH","FY 2014","FY 2014","Currency=INR","Period=FY","BEST_FPERIOD_OVERRIDE=FY","FILING_STATUS=OR","EQY_CONSOLIDATED=Y","Sort=A","Dates=H","DateFormat=P","Fill=—","Direction=H","UseDPDF=Y")</f>
        <v>#NAME?</v>
      </c>
      <c r="BP128" s="2" t="e">
        <f ca="1">_xll.BDH($C$128,"MODIFIED_WORKING_CPTL_SEQ_GRWTH","FY 2014","FY 2014","Currency=INR","Period=FY","BEST_FPERIOD_OVERRIDE=FY","FILING_STATUS=OR","EQY_CONSOLIDATED=Y","Sort=A","Dates=H","DateFormat=P","Fill=—","Direction=H","UseDPDF=Y")</f>
        <v>#NAME?</v>
      </c>
      <c r="BQ128" s="2" t="e">
        <f ca="1">_xll.BDH($C$128,"WORKING_CAPITAL_SEQ_GROWTH","FY 2014","FY 2014","Currency=INR","Period=FY","BEST_FPERIOD_OVERRIDE=FY","FILING_STATUS=OR","EQY_CONSOLIDATED=Y","Sort=A","Dates=H","DateFormat=P","Fill=—","Direction=H","UseDPDF=Y")</f>
        <v>#NAME?</v>
      </c>
      <c r="BR128" s="2" t="e">
        <f ca="1">_xll.BDH($C$128,"ACCOUNTS_PAYABLE_SEQ_GROWTH","FY 2014","FY 2014","Currency=INR","Period=FY","BEST_FPERIOD_OVERRIDE=FY","FILING_STATUS=OR","EQY_CONSOLIDATED=Y","Sort=A","Dates=H","DateFormat=P","Fill=—","Direction=H","UseDPDF=Y")</f>
        <v>#NAME?</v>
      </c>
      <c r="BS128" s="2" t="e">
        <f ca="1">_xll.BDH($C$128,"ST_DEBT_SEQUENTIAL_GROWTH","FY 2014","FY 2014","Currency=INR","Period=FY","BEST_FPERIOD_OVERRIDE=FY","FILING_STATUS=OR","EQY_CONSOLIDATED=Y","Sort=A","Dates=H","DateFormat=P","Fill=—","Direction=H","UseDPDF=Y")</f>
        <v>#NAME?</v>
      </c>
      <c r="BT128" s="2" t="e">
        <f ca="1">_xll.BDH($C$128,"TOTAL_DEBT_SEQUENTIAL_GROWTH","FY 2014","FY 2014","Currency=INR","Period=FY","BEST_FPERIOD_OVERRIDE=FY","FILING_STATUS=OR","EQY_CONSOLIDATED=Y","Sort=A","Dates=H","DateFormat=P","Fill=—","Direction=H","UseDPDF=Y")</f>
        <v>#NAME?</v>
      </c>
      <c r="BU128" s="2" t="e">
        <f ca="1">_xll.BDH($C$128,"TOTAL_EQUITY_SEQUENTIAL_GROWTH","FY 2014","FY 2014","Currency=INR","Period=FY","BEST_FPERIOD_OVERRIDE=FY","FILING_STATUS=OR","EQY_CONSOLIDATED=Y","Sort=A","Dates=H","DateFormat=P","Fill=—","Direction=H","UseDPDF=Y")</f>
        <v>#NAME?</v>
      </c>
      <c r="BV128" s="2" t="e">
        <f ca="1">_xll.BDH($C$128,"TOTAL_CAPITAL_SEQUENTIAL_GROWTH","FY 2014","FY 2014","Currency=INR","Period=FY","BEST_FPERIOD_OVERRIDE=FY","FILING_STATUS=OR","EQY_CONSOLIDATED=Y","Sort=A","Dates=H","DateFormat=P","Fill=—","Direction=H","UseDPDF=Y")</f>
        <v>#NAME?</v>
      </c>
      <c r="BW128" s="2" t="e">
        <f ca="1">_xll.BDH($C$128,"BPS_SEQUENTIAL_GROWTH","FY 2014","FY 2014","Currency=INR","Period=FY","BEST_FPERIOD_OVERRIDE=FY","FILING_STATUS=OR","EQY_CONSOLIDATED=Y","Sort=A","Dates=H","DateFormat=P","Fill=—","Direction=H","UseDPDF=Y")</f>
        <v>#NAME?</v>
      </c>
      <c r="BX128" s="2" t="e">
        <f ca="1">_xll.BDH($C$128,"CFO_SEQUENTIAL_GROWTH","FY 2014","FY 2014","Currency=INR","Period=FY","BEST_FPERIOD_OVERRIDE=FY","FILING_STATUS=OR","EQY_CONSOLIDATED=Y","Sort=A","Dates=H","DateFormat=P","Fill=—","Direction=H","UseDPDF=Y")</f>
        <v>#NAME?</v>
      </c>
      <c r="BY128" s="3" t="e">
        <f ca="1">_xll.BDH($C$128,"SHORT_AND_LONG_TERM_DEBT","FY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128" s="3" t="e">
        <f ca="1">_xll.BDH($C$128,"BS_ST_BORROW","FY 2014","FY 2014","Currency=INR","Period=FY","BEST_FPERIOD_OVERRIDE=FY","FILING_STATUS=OR","EQY_CONSOLIDATED=Y","SCALING_FORMAT=MLN","Sort=A","Dates=H","DateFormat=P","Fill=—","Direction=H","UseDPDF=Y")</f>
        <v>#NAME?</v>
      </c>
      <c r="CA128" s="3" t="e">
        <f ca="1">_xll.BDH($C$128,"BS_LT_BORROW","FY 2014","FY 2014","Currency=INR","Period=FY","BEST_FPERIOD_OVERRIDE=FY","FILING_STATUS=OR","EQY_CONSOLIDATED=Y","SCALING_FORMAT=MLN","Sort=A","Dates=H","DateFormat=P","Fill=—","Direction=H","UseDPDF=Y")</f>
        <v>#NAME?</v>
      </c>
      <c r="CB128" s="2" t="e">
        <f ca="1">_xll.BDH($C$128,"TOT_DEBT_TO_EBITDA","FY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128" s="2" t="e">
        <f ca="1">_xll.BDH($C$128,"NET_DEBT_TO_EBITDA","FY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128" s="2" t="e">
        <f ca="1">_xll.BDH($C$128,"TOTAL_DEBT_TO_EBIT","FY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128" s="2" t="e">
        <f ca="1">_xll.BDH($C$128,"NET_DEBT_TO_EBIT","FY 2014","FY 2014","Currency=INR","Period=FY","BEST_FPERIOD_OVERRIDE=FY","FILING_STATUS=OR","EQY_CONSOLIDATED=Y","FA_ADJUSTED=GAAP","Sort=A","Dates=H","DateFormat=P","Fill=—","Direction=H","UseDPDF=Y")</f>
        <v>#NAME?</v>
      </c>
      <c r="CF128" s="2" t="e">
        <f ca="1">_xll.BDH($C$128,"EBITDA_TO_INTEREST_EXPN","FY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128" s="2" t="e">
        <f ca="1">_xll.BDH($C$128,"COM_EQY_TO_TOT_ASSET","FY 2014","FY 2014","Currency=INR","Period=FY","BEST_FPERIOD_OVERRIDE=FY","FILING_STATUS=OR","EQY_CONSOLIDATED=Y","Sort=A","Dates=H","DateFormat=P","Fill=—","Direction=H","UseDPDF=Y")</f>
        <v>#NAME?</v>
      </c>
      <c r="CH128" s="2" t="e">
        <f ca="1">_xll.BDH($C$128,"LT_DEBT_TO_TOT_EQY","FY 2014","FY 2014","Currency=INR","Period=FY","BEST_FPERIOD_OVERRIDE=FY","FILING_STATUS=OR","EQY_CONSOLIDATED=Y","Sort=A","Dates=H","DateFormat=P","Fill=—","Direction=H","UseDPDF=Y")</f>
        <v>#NAME?</v>
      </c>
      <c r="CI128" s="2" t="e">
        <f ca="1">_xll.BDH($C$128,"LT_DEBT_TO_TOT_CAP","FY 2014","FY 2014","Currency=INR","Period=FY","BEST_FPERIOD_OVERRIDE=FY","FILING_STATUS=OR","EQY_CONSOLIDATED=Y","Sort=A","Dates=H","DateFormat=P","Fill=—","Direction=H","UseDPDF=Y")</f>
        <v>#NAME?</v>
      </c>
      <c r="CJ128" s="2" t="e">
        <f ca="1">_xll.BDH($C$128,"LT_DEBT_TO_TOT_ASSET","FY 2014","FY 2014","Currency=INR","Period=FY","BEST_FPERIOD_OVERRIDE=FY","FILING_STATUS=OR","EQY_CONSOLIDATED=Y","Sort=A","Dates=H","DateFormat=P","Fill=—","Direction=H","UseDPDF=Y")</f>
        <v>#NAME?</v>
      </c>
      <c r="CK128" s="2" t="e">
        <f ca="1">_xll.BDH($C$128,"TOT_DEBT_TO_TOT_EQY","FY 2014","FY 2014","Currency=INR","Period=FY","BEST_FPERIOD_OVERRIDE=FY","FILING_STATUS=OR","EQY_CONSOLIDATED=Y","Sort=A","Dates=H","DateFormat=P","Fill=—","Direction=H","UseDPDF=Y")</f>
        <v>#NAME?</v>
      </c>
      <c r="CL128" s="2" t="e">
        <f ca="1">_xll.BDH($C$128,"TOT_DEBT_TO_TOT_CAP","FY 2014","FY 2014","Currency=INR","Period=FY","BEST_FPERIOD_OVERRIDE=FY","FILING_STATUS=OR","EQY_CONSOLIDATED=Y","Sort=A","Dates=H","DateFormat=P","Fill=—","Direction=H","UseDPDF=Y")</f>
        <v>#NAME?</v>
      </c>
      <c r="CM128" s="2" t="e">
        <f ca="1">_xll.BDH($C$128,"TOT_DEBT_TO_TOT_ASSET","FY 2014","FY 2014","Currency=INR","Period=FY","BEST_FPERIOD_OVERRIDE=FY","FILING_STATUS=OR","EQY_CONSOLIDATED=Y","Sort=A","Dates=H","DateFormat=P","Fill=—","Direction=H","UseDPDF=Y")</f>
        <v>#NAME?</v>
      </c>
      <c r="CN128" s="2" t="e">
        <f ca="1">_xll.BDH($C$128,"NET_DEBT_TO_SHRHLDR_EQTY","FY 2014","FY 2014","Currency=INR","Period=FY","BEST_FPERIOD_OVERRIDE=FY","FILING_STATUS=OR","EQY_CONSOLIDATED=Y","Sort=A","Dates=H","DateFormat=P","Fill=—","Direction=H","UseDPDF=Y")</f>
        <v>#NAME?</v>
      </c>
      <c r="CO128" s="2" t="e">
        <f ca="1">_xll.BDH($C$128,"NET_DEBT_%_CAPITAL","FY 2014","FY 2014","Currency=INR","Period=FY","BEST_FPERIOD_OVERRIDE=FY","FILING_STATUS=OR","EQY_CONSOLIDATED=Y","Sort=A","Dates=H","DateFormat=P","Fill=—","Direction=H","UseDPDF=Y")</f>
        <v>#NAME?</v>
      </c>
      <c r="CP128" s="3" t="e">
        <f ca="1">_xll.BDH($C$128,"EBITDA","FY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128" s="3" t="e">
        <f ca="1">_xll.BDH($C$128,"EBITDA_AFTER_CAPEX","FY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128" s="3" t="e">
        <f ca="1">_xll.BDH($C$128,"IS_OPER_INC","FY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128" s="2" t="e">
        <f ca="1">_xll.BDH($C$128,"CASH_RATIO","FY 2014","FY 2014","Currency=INR","Period=FY","BEST_FPERIOD_OVERRIDE=FY","FILING_STATUS=OR","EQY_CONSOLIDATED=Y","Sort=A","Dates=H","DateFormat=P","Fill=—","Direction=H","UseDPDF=Y")</f>
        <v>#NAME?</v>
      </c>
      <c r="CT128" s="2" t="e">
        <f ca="1">_xll.BDH($C$128,"CUR_RATIO","FY 2014","FY 2014","Currency=INR","Period=FY","BEST_FPERIOD_OVERRIDE=FY","FILING_STATUS=OR","EQY_CONSOLIDATED=Y","Sort=A","Dates=H","DateFormat=P","Fill=—","Direction=H","UseDPDF=Y")</f>
        <v>#NAME?</v>
      </c>
      <c r="CU128" s="2" t="e">
        <f ca="1">_xll.BDH($C$128,"QUICK_RATIO","FY 2014","FY 2014","Currency=INR","Period=FY","BEST_FPERIOD_OVERRIDE=FY","FILING_STATUS=OR","EQY_CONSOLIDATED=Y","Sort=A","Dates=H","DateFormat=P","Fill=—","Direction=H","UseDPDF=Y")</f>
        <v>#NAME?</v>
      </c>
      <c r="CV128" s="2" t="e">
        <f ca="1">_xll.BDH($C$128,"ALTMAN_Z_SCORE","FY 2014","FY 2014","Currency=INR","Period=FY","BEST_FPERIOD_OVERRIDE=FY","FILING_STATUS=OR","EQY_CONSOLIDATED=Y","Sort=A","Dates=H","DateFormat=P","Fill=—","Direction=H","UseDPDF=Y")</f>
        <v>#NAME?</v>
      </c>
      <c r="CW128" s="4" t="e">
        <f ca="1">_xll.BDH($C$128,"ACCT_RCV_TURN","FY 2014","FY 2014","Currency=INR","Period=FY","BEST_FPERIOD_OVERRIDE=FY","FILING_STATUS=OR","EQY_CONSOLIDATED=Y","FA_ADJUSTED=GAAP","Sort=A","Dates=H","DateFormat=P","Fill=—","Direction=H","UseDPDF=Y")</f>
        <v>#NAME?</v>
      </c>
      <c r="CX128" s="2" t="e">
        <f ca="1">_xll.BDH($C$128,"ACCT_RCV_DAYS","FY 2014","FY 2014","Currency=INR","Period=FY","BEST_FPERIOD_OVERRIDE=FY","FILING_STATUS=OR","EQY_CONSOLIDATED=Y","FA_ADJUSTED=GAAP","Sort=A","Dates=H","DateFormat=P","Fill=—","Direction=H","UseDPDF=Y")</f>
        <v>#NAME?</v>
      </c>
      <c r="CY128" s="4" t="e">
        <f ca="1">_xll.BDH($C$128,"INVENT_TURN","FY 2014","FY 2014","Currency=INR","Period=FY","BEST_FPERIOD_OVERRIDE=FY","FILING_STATUS=OR","EQY_CONSOLIDATED=Y","FA_ADJUSTED=GAAP","Sort=A","Dates=H","DateFormat=P","Fill=—","Direction=H","UseDPDF=Y")</f>
        <v>#NAME?</v>
      </c>
      <c r="CZ128" s="2" t="e">
        <f ca="1">_xll.BDH($C$128,"INVENT_DAYS","FY 2014","FY 2014","Currency=INR","Period=FY","BEST_FPERIOD_OVERRIDE=FY","FILING_STATUS=OR","EQY_CONSOLIDATED=Y","FA_ADJUSTED=GAAP","Sort=A","Dates=H","DateFormat=P","Fill=—","Direction=H","UseDPDF=Y")</f>
        <v>#NAME?</v>
      </c>
      <c r="DA128" s="4" t="e">
        <f ca="1">_xll.BDH($C$128,"ACCOUNTS_PAYABLE_TURNOVER","FY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128" s="2" t="e">
        <f ca="1">_xll.BDH($C$128,"ACCOUNTS_PAYABLE_TURNOVER_DAYS","FY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128" s="4" t="e">
        <f ca="1">_xll.BDH($C$128,"CASH_CONVERSION_CYCLE","FY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128" s="4" t="e">
        <f ca="1">_xll.BDH($C$128,"INV_TO_CASH_DAYS","FY 2014","FY 2014","Currency=INR","Period=FY","BEST_FPERIOD_OVERRIDE=FY","FILING_STATUS=OR","EQY_CONSOLIDATED=Y","FA_ADJUSTED=GAAP","Sort=A","Dates=H","DateFormat=P","Fill=—","Direction=H","UseDPDF=Y")</f>
        <v>#NAME?</v>
      </c>
      <c r="DE128" s="5" t="e">
        <f ca="1">_xll.BDH($C$128,"BS_INVENTORIES","FY 2014","FY 2014","Currency=INR","Period=FY","BEST_FPERIOD_OVERRIDE=FY","FILING_STATUS=OR","EQY_CONSOLIDATED=Y","SCALING_FORMAT=MLN","Sort=A","Dates=H","DateFormat=P","Fill=—","Direction=H","UseDPDF=Y")</f>
        <v>#NAME?</v>
      </c>
      <c r="DF128" s="3" t="e">
        <f ca="1">_xll.BDH($C$128,"INVTRY_RAW_MATERIALS","FY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128" s="3" t="e">
        <f ca="1">_xll.BDH($C$128,"INVTRY_IN_PROGRESS","FY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128" s="3" t="e">
        <f ca="1">_xll.BDH($C$128,"INVTRY_FINISHED_GOODS","FY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128" s="3" t="e">
        <f ca="1">_xll.BDH($C$128,"BS_OTHER_INV","FY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129" spans="1:113" x14ac:dyDescent="0.3">
      <c r="A129" s="6"/>
      <c r="B129" s="6"/>
      <c r="C129" s="6"/>
      <c r="D129" s="6"/>
      <c r="E129" t="s">
        <v>78</v>
      </c>
      <c r="F129" t="e">
        <f ca="1">_xll.BDH($C$128,"RETURN_COM_EQY","FQ1 2014","FQ1 2014","Currency=INR","Period=FQ","BEST_FPERIOD_OVERRIDE=FQ","FILING_STATUS=OR","EQY_CONSOLIDATED=Y","FA_ADJUSTED=GAAP","Sort=A","Dates=H","DateFormat=P","Fill=—","Direction=H","UseDPDF=Y")</f>
        <v>#NAME?</v>
      </c>
      <c r="G129" t="e">
        <f ca="1">_xll.BDH($C$128,"RETURN_ON_ASSET","FQ1 2014","FQ1 2014","Currency=INR","Period=FQ","BEST_FPERIOD_OVERRIDE=FQ","FILING_STATUS=OR","EQY_CONSOLIDATED=Y","FA_ADJUSTED=GAAP","Sort=A","Dates=H","DateFormat=P","Fill=—","Direction=H","UseDPDF=Y")</f>
        <v>#NAME?</v>
      </c>
      <c r="H129" t="e">
        <f ca="1">_xll.BDH($C$128,"RETURN_ON_CAP","FQ1 2014","FQ1 2014","Currency=INR","Period=FQ","BEST_FPERIOD_OVERRIDE=FQ","FILING_STATUS=OR","EQY_CONSOLIDATED=Y","FA_ADJUSTED=GAAP","Sort=A","Dates=H","DateFormat=P","Fill=—","Direction=H","UseDPDF=Y")</f>
        <v>#NAME?</v>
      </c>
      <c r="I129" t="e">
        <f ca="1">_xll.BDH($C$128,"RETURN_ON_INV_CAPITAL","FQ1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129" t="e">
        <f ca="1">_xll.BDH($C$128,"EBITDA_TO_REVENUE","FQ1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129" t="e">
        <f ca="1">_xll.BDH($C$128,"OPER_MARGIN","FQ1 2014","FQ1 2014","Currency=INR","Period=FQ","BEST_FPERIOD_OVERRIDE=FQ","FILING_STATUS=OR","EQY_CONSOLIDATED=Y","FA_ADJUSTED=GAAP","Sort=A","Dates=H","DateFormat=P","Fill=—","Direction=H","UseDPDF=Y")</f>
        <v>#NAME?</v>
      </c>
      <c r="L129" t="e">
        <f ca="1">_xll.BDH($C$128,"INCREMENTAL_OPERATING_MARGIN","FQ1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129" t="e">
        <f ca="1">_xll.BDH($C$128,"PRETAX_INC_TO_NET_SALES","FQ1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129" t="e">
        <f ca="1">_xll.BDH($C$128,"INC_BEF_XO_ITEMS_TO_NET_SALES","FQ1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129" t="e">
        <f ca="1">_xll.BDH($C$128,"PROF_MARGIN","FQ1 2014","FQ1 2014","Currency=INR","Period=FQ","BEST_FPERIOD_OVERRIDE=FQ","FILING_STATUS=OR","EQY_CONSOLIDATED=Y","FA_ADJUSTED=GAAP","Sort=A","Dates=H","DateFormat=P","Fill=—","Direction=H","UseDPDF=Y")</f>
        <v>#NAME?</v>
      </c>
      <c r="P129" t="e">
        <f ca="1">_xll.BDH($C$128,"NET_INCOME_TO_COMMON_MARGIN","FQ1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129" t="e">
        <f ca="1">_xll.BDH($C$128,"EFF_TAX_RATE","FQ1 2014","FQ1 2014","Currency=INR","Period=FQ","BEST_FPERIOD_OVERRIDE=FQ","FILING_STATUS=OR","EQY_CONSOLIDATED=Y","FA_ADJUSTED=GAAP","Sort=A","Dates=H","DateFormat=P","Fill=—","Direction=H","UseDPDF=Y")</f>
        <v>#NAME?</v>
      </c>
      <c r="R129" t="e">
        <f ca="1">_xll.BDH($C$128,"DVD_PAYOUT_RATIO","FQ1 2014","FQ1 2014","Currency=INR","Period=FQ","BEST_FPERIOD_OVERRIDE=FQ","FILING_STATUS=OR","EQY_CONSOLIDATED=Y","FA_ADJUSTED=GAAP","Sort=A","Dates=H","DateFormat=P","Fill=—","Direction=H","UseDPDF=Y")</f>
        <v>#NAME?</v>
      </c>
      <c r="S129" t="e">
        <f ca="1">_xll.BDH($C$128,"SUSTAIN_GROWTH_RT","FQ1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129" s="2" t="e">
        <f ca="1">_xll.BDH($C$128,"SALES_GROWTH","FQ1 2014","FQ1 2014","Currency=INR","Period=FQ","BEST_FPERIOD_OVERRIDE=FQ","FILING_STATUS=OR","EQY_CONSOLIDATED=Y","FA_ADJUSTED=GAAP","Sort=A","Dates=H","DateFormat=P","Fill=—","Direction=H","UseDPDF=Y")</f>
        <v>#NAME?</v>
      </c>
      <c r="U129" s="2" t="e">
        <f ca="1">_xll.BDH($C$128,"EBITDA_GROWTH","FQ1 2014","FQ1 2014","Currency=INR","Period=FQ","BEST_FPERIOD_OVERRIDE=FQ","FILING_STATUS=OR","EQY_CONSOLIDATED=Y","FA_ADJUSTED=GAAP","Sort=A","Dates=H","DateFormat=P","Fill=—","Direction=H","UseDPDF=Y")</f>
        <v>#NAME?</v>
      </c>
      <c r="V129" s="2" t="e">
        <f ca="1">_xll.BDH($C$128,"OPER_INC_GROWTH","FQ1 2014","FQ1 2014","Currency=INR","Period=FQ","BEST_FPERIOD_OVERRIDE=FQ","FILING_STATUS=OR","EQY_CONSOLIDATED=Y","FA_ADJUSTED=GAAP","Sort=A","Dates=H","DateFormat=P","Fill=—","Direction=H","UseDPDF=Y")</f>
        <v>#NAME?</v>
      </c>
      <c r="W129" s="2" t="e">
        <f ca="1">_xll.BDH($C$128,"EARN_FOR_COM_GROWTH","FQ1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129" s="2" t="e">
        <f ca="1">_xll.BDH($C$128,"DILUTED_EPS_AFT_XO_ITEMS_GROWTH","FQ1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129" s="2" t="e">
        <f ca="1">_xll.BDH($C$128,"DIVIDEND_PER_SHARE_1_YEAR_GROWTH","FQ1 2014","FQ1 2014","Currency=INR","Period=FQ","BEST_FPERIOD_OVERRIDE=FQ","FILING_STATUS=OR","EQY_CONSOLIDATED=Y","Sort=A","Dates=H","DateFormat=P","Fill=—","Direction=H","UseDPDF=Y")</f>
        <v>#NAME?</v>
      </c>
      <c r="Z129" s="2" t="e">
        <f ca="1">_xll.BDH($C$128,"ACCOUNTS_RECEIVABLE_GROWTH","FQ1 2014","FQ1 2014","Currency=INR","Period=FQ","BEST_FPERIOD_OVERRIDE=FQ","FILING_STATUS=OR","EQY_CONSOLIDATED=Y","Sort=A","Dates=H","DateFormat=P","Fill=—","Direction=H","UseDPDF=Y")</f>
        <v>#NAME?</v>
      </c>
      <c r="AA129" s="2" t="e">
        <f ca="1">_xll.BDH($C$128,"INVENTORY_GROWTH","FQ1 2014","FQ1 2014","Currency=INR","Period=FQ","BEST_FPERIOD_OVERRIDE=FQ","FILING_STATUS=OR","EQY_CONSOLIDATED=Y","Sort=A","Dates=H","DateFormat=P","Fill=—","Direction=H","UseDPDF=Y")</f>
        <v>#NAME?</v>
      </c>
      <c r="AB129" s="2" t="e">
        <f ca="1">_xll.BDH($C$128,"NET_FIXED_ASSETS_1_YEAR_GROWTH","FQ1 2014","FQ1 2014","Currency=INR","Period=FQ","BEST_FPERIOD_OVERRIDE=FQ","FILING_STATUS=OR","EQY_CONSOLIDATED=Y","Sort=A","Dates=H","DateFormat=P","Fill=—","Direction=H","UseDPDF=Y")</f>
        <v>#NAME?</v>
      </c>
      <c r="AC129" s="2" t="e">
        <f ca="1">_xll.BDH($C$128,"ASSET_GROWTH","FQ1 2014","FQ1 2014","Currency=INR","Period=FQ","BEST_FPERIOD_OVERRIDE=FQ","FILING_STATUS=OR","EQY_CONSOLIDATED=Y","Sort=A","Dates=H","DateFormat=P","Fill=—","Direction=H","UseDPDF=Y")</f>
        <v>#NAME?</v>
      </c>
      <c r="AD129" s="2" t="e">
        <f ca="1">_xll.BDH($C$128,"MODIFIED_WORK_CAP_GROWTH","FQ1 2014","FQ1 2014","Currency=INR","Period=FQ","BEST_FPERIOD_OVERRIDE=FQ","FILING_STATUS=OR","EQY_CONSOLIDATED=Y","Sort=A","Dates=H","DateFormat=P","Fill=—","Direction=H","UseDPDF=Y")</f>
        <v>#NAME?</v>
      </c>
      <c r="AE129" s="2" t="e">
        <f ca="1">_xll.BDH($C$128,"WORK_CAP_GROWTH","FQ1 2014","FQ1 2014","Currency=INR","Period=FQ","BEST_FPERIOD_OVERRIDE=FQ","FILING_STATUS=OR","EQY_CONSOLIDATED=Y","Sort=A","Dates=H","DateFormat=P","Fill=—","Direction=H","UseDPDF=Y")</f>
        <v>#NAME?</v>
      </c>
      <c r="AF129" s="2" t="e">
        <f ca="1">_xll.BDH($C$128,"ACCOUNTS_PAYABLE_GROWTH_1YR","FQ1 2014","FQ1 2014","Currency=INR","Period=FQ","BEST_FPERIOD_OVERRIDE=FQ","FILING_STATUS=OR","EQY_CONSOLIDATED=Y","Sort=A","Dates=H","DateFormat=P","Fill=—","Direction=H","UseDPDF=Y")</f>
        <v>#NAME?</v>
      </c>
      <c r="AG129" s="2" t="e">
        <f ca="1">_xll.BDH($C$128,"SHORT_TERM_DEBT_1_YEAR_GROWTH","FQ1 2014","FQ1 2014","Currency=INR","Period=FQ","BEST_FPERIOD_OVERRIDE=FQ","FILING_STATUS=OR","EQY_CONSOLIDATED=Y","Sort=A","Dates=H","DateFormat=P","Fill=—","Direction=H","UseDPDF=Y")</f>
        <v>#NAME?</v>
      </c>
      <c r="AH129" s="2" t="e">
        <f ca="1">_xll.BDH($C$128,"TOTAL_DEBT_1_YEAR_GROWTH","FQ1 2014","FQ1 2014","Currency=INR","Period=FQ","BEST_FPERIOD_OVERRIDE=FQ","FILING_STATUS=OR","EQY_CONSOLIDATED=Y","Sort=A","Dates=H","DateFormat=P","Fill=—","Direction=H","UseDPDF=Y")</f>
        <v>#NAME?</v>
      </c>
      <c r="AI129" s="2" t="e">
        <f ca="1">_xll.BDH($C$128,"TOTAL_EQUITY_1_YEAR_GROWTH","FQ1 2014","FQ1 2014","Currency=INR","Period=FQ","BEST_FPERIOD_OVERRIDE=FQ","FILING_STATUS=OR","EQY_CONSOLIDATED=Y","Sort=A","Dates=H","DateFormat=P","Fill=—","Direction=H","UseDPDF=Y")</f>
        <v>#NAME?</v>
      </c>
      <c r="AJ129" s="2" t="e">
        <f ca="1">_xll.BDH($C$128,"GROWTH_IN_CAP","FQ1 2014","FQ1 2014","Currency=INR","Period=FQ","BEST_FPERIOD_OVERRIDE=FQ","FILING_STATUS=OR","EQY_CONSOLIDATED=Y","Sort=A","Dates=H","DateFormat=P","Fill=—","Direction=H","UseDPDF=Y")</f>
        <v>#NAME?</v>
      </c>
      <c r="AK129" s="2" t="e">
        <f ca="1">_xll.BDH($C$128,"BVPS_GROWTH","FQ1 2014","FQ1 2014","Currency=INR","Period=FQ","BEST_FPERIOD_OVERRIDE=FQ","FILING_STATUS=OR","EQY_CONSOLIDATED=Y","Sort=A","Dates=H","DateFormat=P","Fill=—","Direction=H","UseDPDF=Y")</f>
        <v>#NAME?</v>
      </c>
      <c r="AL129" s="2" t="e">
        <f ca="1">_xll.BDH($C$128,"CASH_FLOW_GROWTH","FQ1 2014","FQ1 2014","Currency=INR","Period=FQ","BEST_FPERIOD_OVERRIDE=FQ","FILING_STATUS=OR","EQY_CONSOLIDATED=Y","Sort=A","Dates=H","DateFormat=P","Fill=—","Direction=H","UseDPDF=Y")</f>
        <v>#NAME?</v>
      </c>
      <c r="AM129" s="2" t="e">
        <f ca="1">_xll.BDH($C$128,"GEO_GROW_NET_SALES","FQ1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129" s="2" t="e">
        <f ca="1">_xll.BDH($C$128,"GEO_GROW_EBITDA","FQ1 2014","FQ1 2014","Currency=INR","Period=FQ","BEST_FPERIOD_OVERRIDE=FQ","FILING_STATUS=OR","EQY_CONSOLIDATED=Y","FA_ADJUSTED=GAAP","Sort=A","Dates=H","DateFormat=P","Fill=—","Direction=H","UseDPDF=Y")</f>
        <v>#NAME?</v>
      </c>
      <c r="AO129" s="2" t="e">
        <f ca="1">_xll.BDH($C$128,"GEO_GROW_OPER_INC","FQ1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129" s="2" t="e">
        <f ca="1">_xll.BDH($C$128,"NET_INCOME_TO_COMMON_5_YR_GROWTH","FQ1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129" s="2" t="e">
        <f ca="1">_xll.BDH($C$128,"5Y_GEO_GROWTH_DILUTED_EPS","FQ1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129" s="2" t="e">
        <f ca="1">_xll.BDH($C$128,"GEO_GROW_DVD_PER_SH","FQ1 2014","FQ1 2014","Currency=INR","Period=FQ","BEST_FPERIOD_OVERRIDE=FQ","FILING_STATUS=OR","EQY_CONSOLIDATED=Y","Sort=A","Dates=H","DateFormat=P","Fill=—","Direction=H","UseDPDF=Y")</f>
        <v>#NAME?</v>
      </c>
      <c r="AS129" s="2" t="e">
        <f ca="1">_xll.BDH($C$128,"ACCOUNTS_RECEIVABLE_5_YR_GROWTH","FQ1 2014","FQ1 2014","Currency=INR","Period=FQ","BEST_FPERIOD_OVERRIDE=FQ","FILING_STATUS=OR","EQY_CONSOLIDATED=Y","Sort=A","Dates=H","DateFormat=P","Fill=—","Direction=H","UseDPDF=Y")</f>
        <v>#NAME?</v>
      </c>
      <c r="AT129" s="2" t="e">
        <f ca="1">_xll.BDH($C$128,"INVENTORY_5_YEAR_GROWTH","FQ1 2014","FQ1 2014","Currency=INR","Period=FQ","BEST_FPERIOD_OVERRIDE=FQ","FILING_STATUS=OR","EQY_CONSOLIDATED=Y","Sort=A","Dates=H","DateFormat=P","Fill=—","Direction=H","UseDPDF=Y")</f>
        <v>#NAME?</v>
      </c>
      <c r="AU129" s="2" t="e">
        <f ca="1">_xll.BDH($C$128,"NET_FIXED_ASSETS_5_YEAR_GROWTH","FQ1 2014","FQ1 2014","Currency=INR","Period=FQ","BEST_FPERIOD_OVERRIDE=FQ","FILING_STATUS=OR","EQY_CONSOLIDATED=Y","Sort=A","Dates=H","DateFormat=P","Fill=—","Direction=H","UseDPDF=Y")</f>
        <v>#NAME?</v>
      </c>
      <c r="AV129" s="2" t="e">
        <f ca="1">_xll.BDH($C$128,"GEO_GROW_TOT_ASSET","FQ1 2014","FQ1 2014","Currency=INR","Period=FQ","BEST_FPERIOD_OVERRIDE=FQ","FILING_STATUS=OR","EQY_CONSOLIDATED=Y","Sort=A","Dates=H","DateFormat=P","Fill=—","Direction=H","UseDPDF=Y")</f>
        <v>#NAME?</v>
      </c>
      <c r="AW129" s="2" t="e">
        <f ca="1">_xll.BDH($C$128,"MODIFIED_WORKING_CPTL_5YR_GRWTH","FQ1 2014","FQ1 2014","Currency=INR","Period=FQ","BEST_FPERIOD_OVERRIDE=FQ","FILING_STATUS=OR","EQY_CONSOLIDATED=Y","Sort=A","Dates=H","DateFormat=P","Fill=—","Direction=H","UseDPDF=Y")</f>
        <v>#NAME?</v>
      </c>
      <c r="AX129" s="2" t="e">
        <f ca="1">_xll.BDH($C$128,"WORKING_CAPITAL_5_YEAR_GROWTH","FQ1 2014","FQ1 2014","Currency=INR","Period=FQ","BEST_FPERIOD_OVERRIDE=FQ","FILING_STATUS=OR","EQY_CONSOLIDATED=Y","Sort=A","Dates=H","DateFormat=P","Fill=—","Direction=H","UseDPDF=Y")</f>
        <v>#NAME?</v>
      </c>
      <c r="AY129" s="2" t="e">
        <f ca="1">_xll.BDH($C$128,"ACCOUNTS_PAYABLE_5_YEAR_GROWTH","FQ1 2014","FQ1 2014","Currency=INR","Period=FQ","BEST_FPERIOD_OVERRIDE=FQ","FILING_STATUS=OR","EQY_CONSOLIDATED=Y","Sort=A","Dates=H","DateFormat=P","Fill=—","Direction=H","UseDPDF=Y")</f>
        <v>#NAME?</v>
      </c>
      <c r="AZ129" s="2" t="e">
        <f ca="1">_xll.BDH($C$128,"SHORT_TERM_DEBT_5_YEAR_GROWTH","FQ1 2014","FQ1 2014","Currency=INR","Period=FQ","BEST_FPERIOD_OVERRIDE=FQ","FILING_STATUS=OR","EQY_CONSOLIDATED=Y","Sort=A","Dates=H","DateFormat=P","Fill=—","Direction=H","UseDPDF=Y")</f>
        <v>#NAME?</v>
      </c>
      <c r="BA129" s="2" t="e">
        <f ca="1">_xll.BDH($C$128,"TOTAL_DEBT_5_YEAR_GROWTH","FQ1 2014","FQ1 2014","Currency=INR","Period=FQ","BEST_FPERIOD_OVERRIDE=FQ","FILING_STATUS=OR","EQY_CONSOLIDATED=Y","Sort=A","Dates=H","DateFormat=P","Fill=—","Direction=H","UseDPDF=Y")</f>
        <v>#NAME?</v>
      </c>
      <c r="BB129" s="2" t="e">
        <f ca="1">_xll.BDH($C$128,"GEO_GROW_TOT_SHRHLDR_EQY","FQ1 2014","FQ1 2014","Currency=INR","Period=FQ","BEST_FPERIOD_OVERRIDE=FQ","FILING_STATUS=OR","EQY_CONSOLIDATED=Y","Sort=A","Dates=H","DateFormat=P","Fill=—","Direction=H","UseDPDF=Y")</f>
        <v>#NAME?</v>
      </c>
      <c r="BC129" s="2" t="e">
        <f ca="1">_xll.BDH($C$128,"TOTAL_CAPITAL_5_YEAR_GROWTH","FQ1 2014","FQ1 2014","Currency=INR","Period=FQ","BEST_FPERIOD_OVERRIDE=FQ","FILING_STATUS=OR","EQY_CONSOLIDATED=Y","Sort=A","Dates=H","DateFormat=P","Fill=—","Direction=H","UseDPDF=Y")</f>
        <v>#NAME?</v>
      </c>
      <c r="BD129" s="2" t="e">
        <f ca="1">_xll.BDH($C$128,"GEO_GROW_BOOK_VAL","FQ1 2014","FQ1 2014","Currency=INR","Period=FQ","BEST_FPERIOD_OVERRIDE=FQ","FILING_STATUS=OR","EQY_CONSOLIDATED=Y","Sort=A","Dates=H","DateFormat=P","Fill=—","Direction=H","UseDPDF=Y")</f>
        <v>#NAME?</v>
      </c>
      <c r="BE129" s="2" t="e">
        <f ca="1">_xll.BDH($C$128,"GEO_GROW_CASH_OPER_ACT","FQ1 2014","FQ1 2014","Currency=INR","Period=FQ","BEST_FPERIOD_OVERRIDE=FQ","FILING_STATUS=OR","EQY_CONSOLIDATED=Y","Sort=A","Dates=H","DateFormat=P","Fill=—","Direction=H","UseDPDF=Y")</f>
        <v>#NAME?</v>
      </c>
      <c r="BF129" s="2" t="e">
        <f ca="1">_xll.BDH($C$128,"REVENUE_SEQUENTIAL_GROWTH","FQ1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129" s="2" t="e">
        <f ca="1">_xll.BDH($C$128,"EBITDA_SEQUENTIAL_GROWTH","FQ1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129" s="2" t="e">
        <f ca="1">_xll.BDH($C$128,"OPERATING_INCOME_SEQ_GROWTH","FQ1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129" s="2" t="e">
        <f ca="1">_xll.BDH($C$128,"NET_INCOME_TO_COMMON_SEQ_GROWTH","FQ1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129" s="2" t="e">
        <f ca="1">_xll.BDH($C$128,"EPS_DILUTED_SEQUENTIAL_GROWTH","FQ1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129" s="2" t="e">
        <f ca="1">_xll.BDH($C$128,"DPS_SEQUENTIAL_GROWTH","FQ1 2014","FQ1 2014","Currency=INR","Period=FQ","BEST_FPERIOD_OVERRIDE=FQ","FILING_STATUS=OR","EQY_CONSOLIDATED=Y","Sort=A","Dates=H","DateFormat=P","Fill=—","Direction=H","UseDPDF=Y")</f>
        <v>#NAME?</v>
      </c>
      <c r="BL129" s="2" t="e">
        <f ca="1">_xll.BDH($C$128,"ACCOUNTS_RECEIVABLE_SEQ_GROWTH","FQ1 2014","FQ1 2014","Currency=INR","Period=FQ","BEST_FPERIOD_OVERRIDE=FQ","FILING_STATUS=OR","EQY_CONSOLIDATED=Y","Sort=A","Dates=H","DateFormat=P","Fill=—","Direction=H","UseDPDF=Y")</f>
        <v>#NAME?</v>
      </c>
      <c r="BM129" s="2" t="e">
        <f ca="1">_xll.BDH($C$128,"INVENTORY_SEQUENTIAL_GROWTH","FQ1 2014","FQ1 2014","Currency=INR","Period=FQ","BEST_FPERIOD_OVERRIDE=FQ","FILING_STATUS=OR","EQY_CONSOLIDATED=Y","Sort=A","Dates=H","DateFormat=P","Fill=—","Direction=H","UseDPDF=Y")</f>
        <v>#NAME?</v>
      </c>
      <c r="BN129" s="2" t="e">
        <f ca="1">_xll.BDH($C$128,"FIXED_ASSETS_SEQUENTIAL_GROWTH","FQ1 2014","FQ1 2014","Currency=INR","Period=FQ","BEST_FPERIOD_OVERRIDE=FQ","FILING_STATUS=OR","EQY_CONSOLIDATED=Y","Sort=A","Dates=H","DateFormat=P","Fill=—","Direction=H","UseDPDF=Y")</f>
        <v>#NAME?</v>
      </c>
      <c r="BO129" s="2" t="e">
        <f ca="1">_xll.BDH($C$128,"TOTAL_ASSETS_SEQUENTIAL_GROWTH","FQ1 2014","FQ1 2014","Currency=INR","Period=FQ","BEST_FPERIOD_OVERRIDE=FQ","FILING_STATUS=OR","EQY_CONSOLIDATED=Y","Sort=A","Dates=H","DateFormat=P","Fill=—","Direction=H","UseDPDF=Y")</f>
        <v>#NAME?</v>
      </c>
      <c r="BP129" s="2" t="e">
        <f ca="1">_xll.BDH($C$128,"MODIFIED_WORKING_CPTL_SEQ_GRWTH","FQ1 2014","FQ1 2014","Currency=INR","Period=FQ","BEST_FPERIOD_OVERRIDE=FQ","FILING_STATUS=OR","EQY_CONSOLIDATED=Y","Sort=A","Dates=H","DateFormat=P","Fill=—","Direction=H","UseDPDF=Y")</f>
        <v>#NAME?</v>
      </c>
      <c r="BQ129" s="2" t="e">
        <f ca="1">_xll.BDH($C$128,"WORKING_CAPITAL_SEQ_GROWTH","FQ1 2014","FQ1 2014","Currency=INR","Period=FQ","BEST_FPERIOD_OVERRIDE=FQ","FILING_STATUS=OR","EQY_CONSOLIDATED=Y","Sort=A","Dates=H","DateFormat=P","Fill=—","Direction=H","UseDPDF=Y")</f>
        <v>#NAME?</v>
      </c>
      <c r="BR129" s="2" t="e">
        <f ca="1">_xll.BDH($C$128,"ACCOUNTS_PAYABLE_SEQ_GROWTH","FQ1 2014","FQ1 2014","Currency=INR","Period=FQ","BEST_FPERIOD_OVERRIDE=FQ","FILING_STATUS=OR","EQY_CONSOLIDATED=Y","Sort=A","Dates=H","DateFormat=P","Fill=—","Direction=H","UseDPDF=Y")</f>
        <v>#NAME?</v>
      </c>
      <c r="BS129" s="2" t="e">
        <f ca="1">_xll.BDH($C$128,"ST_DEBT_SEQUENTIAL_GROWTH","FQ1 2014","FQ1 2014","Currency=INR","Period=FQ","BEST_FPERIOD_OVERRIDE=FQ","FILING_STATUS=OR","EQY_CONSOLIDATED=Y","Sort=A","Dates=H","DateFormat=P","Fill=—","Direction=H","UseDPDF=Y")</f>
        <v>#NAME?</v>
      </c>
      <c r="BT129" s="2" t="e">
        <f ca="1">_xll.BDH($C$128,"TOTAL_DEBT_SEQUENTIAL_GROWTH","FQ1 2014","FQ1 2014","Currency=INR","Period=FQ","BEST_FPERIOD_OVERRIDE=FQ","FILING_STATUS=OR","EQY_CONSOLIDATED=Y","Sort=A","Dates=H","DateFormat=P","Fill=—","Direction=H","UseDPDF=Y")</f>
        <v>#NAME?</v>
      </c>
      <c r="BU129" s="2" t="e">
        <f ca="1">_xll.BDH($C$128,"TOTAL_EQUITY_SEQUENTIAL_GROWTH","FQ1 2014","FQ1 2014","Currency=INR","Period=FQ","BEST_FPERIOD_OVERRIDE=FQ","FILING_STATUS=OR","EQY_CONSOLIDATED=Y","Sort=A","Dates=H","DateFormat=P","Fill=—","Direction=H","UseDPDF=Y")</f>
        <v>#NAME?</v>
      </c>
      <c r="BV129" s="2" t="e">
        <f ca="1">_xll.BDH($C$128,"TOTAL_CAPITAL_SEQUENTIAL_GROWTH","FQ1 2014","FQ1 2014","Currency=INR","Period=FQ","BEST_FPERIOD_OVERRIDE=FQ","FILING_STATUS=OR","EQY_CONSOLIDATED=Y","Sort=A","Dates=H","DateFormat=P","Fill=—","Direction=H","UseDPDF=Y")</f>
        <v>#NAME?</v>
      </c>
      <c r="BW129" s="2" t="e">
        <f ca="1">_xll.BDH($C$128,"BPS_SEQUENTIAL_GROWTH","FQ1 2014","FQ1 2014","Currency=INR","Period=FQ","BEST_FPERIOD_OVERRIDE=FQ","FILING_STATUS=OR","EQY_CONSOLIDATED=Y","Sort=A","Dates=H","DateFormat=P","Fill=—","Direction=H","UseDPDF=Y")</f>
        <v>#NAME?</v>
      </c>
      <c r="BX129" s="2" t="e">
        <f ca="1">_xll.BDH($C$128,"CFO_SEQUENTIAL_GROWTH","FQ1 2014","FQ1 2014","Currency=INR","Period=FQ","BEST_FPERIOD_OVERRIDE=FQ","FILING_STATUS=OR","EQY_CONSOLIDATED=Y","Sort=A","Dates=H","DateFormat=P","Fill=—","Direction=H","UseDPDF=Y")</f>
        <v>#NAME?</v>
      </c>
      <c r="BY129" s="3" t="e">
        <f ca="1">_xll.BDH($C$128,"SHORT_AND_LONG_TERM_DEBT","FQ1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129" s="3" t="e">
        <f ca="1">_xll.BDH($C$128,"BS_ST_BORROW","FQ1 2014","FQ1 2014","Currency=INR","Period=FQ","BEST_FPERIOD_OVERRIDE=FQ","FILING_STATUS=OR","EQY_CONSOLIDATED=Y","SCALING_FORMAT=MLN","Sort=A","Dates=H","DateFormat=P","Fill=—","Direction=H","UseDPDF=Y")</f>
        <v>#NAME?</v>
      </c>
      <c r="CA129" s="3" t="e">
        <f ca="1">_xll.BDH($C$128,"BS_LT_BORROW","FQ1 2014","FQ1 2014","Currency=INR","Period=FQ","BEST_FPERIOD_OVERRIDE=FQ","FILING_STATUS=OR","EQY_CONSOLIDATED=Y","SCALING_FORMAT=MLN","Sort=A","Dates=H","DateFormat=P","Fill=—","Direction=H","UseDPDF=Y")</f>
        <v>#NAME?</v>
      </c>
      <c r="CB129" s="2" t="e">
        <f ca="1">_xll.BDH($C$128,"TOT_DEBT_TO_EBITDA","FQ1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129" s="2" t="e">
        <f ca="1">_xll.BDH($C$128,"NET_DEBT_TO_EBITDA","FQ1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129" s="2" t="e">
        <f ca="1">_xll.BDH($C$128,"TOTAL_DEBT_TO_EBIT","FQ1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129" s="2" t="e">
        <f ca="1">_xll.BDH($C$128,"NET_DEBT_TO_EBIT","FQ1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129" s="2" t="e">
        <f ca="1">_xll.BDH($C$128,"EBITDA_TO_INTEREST_EXPN","FQ1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129" s="2" t="e">
        <f ca="1">_xll.BDH($C$128,"COM_EQY_TO_TOT_ASSET","FQ1 2014","FQ1 2014","Currency=INR","Period=FQ","BEST_FPERIOD_OVERRIDE=FQ","FILING_STATUS=OR","EQY_CONSOLIDATED=Y","Sort=A","Dates=H","DateFormat=P","Fill=—","Direction=H","UseDPDF=Y")</f>
        <v>#NAME?</v>
      </c>
      <c r="CH129" s="2" t="e">
        <f ca="1">_xll.BDH($C$128,"LT_DEBT_TO_TOT_EQY","FQ1 2014","FQ1 2014","Currency=INR","Period=FQ","BEST_FPERIOD_OVERRIDE=FQ","FILING_STATUS=OR","EQY_CONSOLIDATED=Y","Sort=A","Dates=H","DateFormat=P","Fill=—","Direction=H","UseDPDF=Y")</f>
        <v>#NAME?</v>
      </c>
      <c r="CI129" s="2" t="e">
        <f ca="1">_xll.BDH($C$128,"LT_DEBT_TO_TOT_CAP","FQ1 2014","FQ1 2014","Currency=INR","Period=FQ","BEST_FPERIOD_OVERRIDE=FQ","FILING_STATUS=OR","EQY_CONSOLIDATED=Y","Sort=A","Dates=H","DateFormat=P","Fill=—","Direction=H","UseDPDF=Y")</f>
        <v>#NAME?</v>
      </c>
      <c r="CJ129" s="2" t="e">
        <f ca="1">_xll.BDH($C$128,"LT_DEBT_TO_TOT_ASSET","FQ1 2014","FQ1 2014","Currency=INR","Period=FQ","BEST_FPERIOD_OVERRIDE=FQ","FILING_STATUS=OR","EQY_CONSOLIDATED=Y","Sort=A","Dates=H","DateFormat=P","Fill=—","Direction=H","UseDPDF=Y")</f>
        <v>#NAME?</v>
      </c>
      <c r="CK129" s="2" t="e">
        <f ca="1">_xll.BDH($C$128,"TOT_DEBT_TO_TOT_EQY","FQ1 2014","FQ1 2014","Currency=INR","Period=FQ","BEST_FPERIOD_OVERRIDE=FQ","FILING_STATUS=OR","EQY_CONSOLIDATED=Y","Sort=A","Dates=H","DateFormat=P","Fill=—","Direction=H","UseDPDF=Y")</f>
        <v>#NAME?</v>
      </c>
      <c r="CL129" s="2" t="e">
        <f ca="1">_xll.BDH($C$128,"TOT_DEBT_TO_TOT_CAP","FQ1 2014","FQ1 2014","Currency=INR","Period=FQ","BEST_FPERIOD_OVERRIDE=FQ","FILING_STATUS=OR","EQY_CONSOLIDATED=Y","Sort=A","Dates=H","DateFormat=P","Fill=—","Direction=H","UseDPDF=Y")</f>
        <v>#NAME?</v>
      </c>
      <c r="CM129" s="2" t="e">
        <f ca="1">_xll.BDH($C$128,"TOT_DEBT_TO_TOT_ASSET","FQ1 2014","FQ1 2014","Currency=INR","Period=FQ","BEST_FPERIOD_OVERRIDE=FQ","FILING_STATUS=OR","EQY_CONSOLIDATED=Y","Sort=A","Dates=H","DateFormat=P","Fill=—","Direction=H","UseDPDF=Y")</f>
        <v>#NAME?</v>
      </c>
      <c r="CN129" s="2" t="e">
        <f ca="1">_xll.BDH($C$128,"NET_DEBT_TO_SHRHLDR_EQTY","FQ1 2014","FQ1 2014","Currency=INR","Period=FQ","BEST_FPERIOD_OVERRIDE=FQ","FILING_STATUS=OR","EQY_CONSOLIDATED=Y","Sort=A","Dates=H","DateFormat=P","Fill=—","Direction=H","UseDPDF=Y")</f>
        <v>#NAME?</v>
      </c>
      <c r="CO129" s="2" t="e">
        <f ca="1">_xll.BDH($C$128,"NET_DEBT_%_CAPITAL","FQ1 2014","FQ1 2014","Currency=INR","Period=FQ","BEST_FPERIOD_OVERRIDE=FQ","FILING_STATUS=OR","EQY_CONSOLIDATED=Y","Sort=A","Dates=H","DateFormat=P","Fill=—","Direction=H","UseDPDF=Y")</f>
        <v>#NAME?</v>
      </c>
      <c r="CP129" s="3" t="e">
        <f ca="1">_xll.BDH($C$128,"EBITDA","FQ1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129" s="3" t="e">
        <f ca="1">_xll.BDH($C$128,"EBITDA_AFTER_CAPEX","FQ1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129" s="3" t="e">
        <f ca="1">_xll.BDH($C$128,"IS_OPER_INC","FQ1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129" s="2" t="e">
        <f ca="1">_xll.BDH($C$128,"CASH_RATIO","FQ1 2014","FQ1 2014","Currency=INR","Period=FQ","BEST_FPERIOD_OVERRIDE=FQ","FILING_STATUS=OR","EQY_CONSOLIDATED=Y","Sort=A","Dates=H","DateFormat=P","Fill=—","Direction=H","UseDPDF=Y")</f>
        <v>#NAME?</v>
      </c>
      <c r="CT129" s="2" t="e">
        <f ca="1">_xll.BDH($C$128,"CUR_RATIO","FQ1 2014","FQ1 2014","Currency=INR","Period=FQ","BEST_FPERIOD_OVERRIDE=FQ","FILING_STATUS=OR","EQY_CONSOLIDATED=Y","Sort=A","Dates=H","DateFormat=P","Fill=—","Direction=H","UseDPDF=Y")</f>
        <v>#NAME?</v>
      </c>
      <c r="CU129" s="2" t="e">
        <f ca="1">_xll.BDH($C$128,"QUICK_RATIO","FQ1 2014","FQ1 2014","Currency=INR","Period=FQ","BEST_FPERIOD_OVERRIDE=FQ","FILING_STATUS=OR","EQY_CONSOLIDATED=Y","Sort=A","Dates=H","DateFormat=P","Fill=—","Direction=H","UseDPDF=Y")</f>
        <v>#NAME?</v>
      </c>
      <c r="CV129" s="2" t="e">
        <f ca="1">_xll.BDH($C$128,"ALTMAN_Z_SCORE","FQ1 2014","FQ1 2014","Currency=INR","Period=FQ","BEST_FPERIOD_OVERRIDE=FQ","FILING_STATUS=OR","EQY_CONSOLIDATED=Y","Sort=A","Dates=H","DateFormat=P","Fill=—","Direction=H","UseDPDF=Y")</f>
        <v>#NAME?</v>
      </c>
      <c r="CW129" s="4" t="e">
        <f ca="1">_xll.BDH($C$128,"ACCT_RCV_TURN","FQ1 2014","FQ1 2014","Currency=INR","Period=FQ","BEST_FPERIOD_OVERRIDE=FQ","FILING_STATUS=OR","EQY_CONSOLIDATED=Y","FA_ADJUSTED=GAAP","Sort=A","Dates=H","DateFormat=P","Fill=—","Direction=H","UseDPDF=Y")</f>
        <v>#NAME?</v>
      </c>
      <c r="CX129" s="2" t="e">
        <f ca="1">_xll.BDH($C$128,"ACCT_RCV_DAYS","FQ1 2014","FQ1 2014","Currency=INR","Period=FQ","BEST_FPERIOD_OVERRIDE=FQ","FILING_STATUS=OR","EQY_CONSOLIDATED=Y","FA_ADJUSTED=GAAP","Sort=A","Dates=H","DateFormat=P","Fill=—","Direction=H","UseDPDF=Y")</f>
        <v>#NAME?</v>
      </c>
      <c r="CY129" s="4" t="e">
        <f ca="1">_xll.BDH($C$128,"INVENT_TURN","FQ1 2014","FQ1 2014","Currency=INR","Period=FQ","BEST_FPERIOD_OVERRIDE=FQ","FILING_STATUS=OR","EQY_CONSOLIDATED=Y","FA_ADJUSTED=GAAP","Sort=A","Dates=H","DateFormat=P","Fill=—","Direction=H","UseDPDF=Y")</f>
        <v>#NAME?</v>
      </c>
      <c r="CZ129" s="2" t="e">
        <f ca="1">_xll.BDH($C$128,"INVENT_DAYS","FQ1 2014","FQ1 2014","Currency=INR","Period=FQ","BEST_FPERIOD_OVERRIDE=FQ","FILING_STATUS=OR","EQY_CONSOLIDATED=Y","FA_ADJUSTED=GAAP","Sort=A","Dates=H","DateFormat=P","Fill=—","Direction=H","UseDPDF=Y")</f>
        <v>#NAME?</v>
      </c>
      <c r="DA129" s="4" t="e">
        <f ca="1">_xll.BDH($C$128,"ACCOUNTS_PAYABLE_TURNOVER","FQ1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129" s="2" t="e">
        <f ca="1">_xll.BDH($C$128,"ACCOUNTS_PAYABLE_TURNOVER_DAYS","FQ1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129" s="4" t="e">
        <f ca="1">_xll.BDH($C$128,"CASH_CONVERSION_CYCLE","FQ1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129" s="4" t="e">
        <f ca="1">_xll.BDH($C$128,"INV_TO_CASH_DAYS","FQ1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129" s="5" t="e">
        <f ca="1">_xll.BDH($C$128,"BS_INVENTORIES","FQ1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129" s="3" t="e">
        <f ca="1">_xll.BDH($C$128,"INVTRY_RAW_MATERIALS","FQ1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129" s="3" t="e">
        <f ca="1">_xll.BDH($C$128,"INVTRY_IN_PROGRESS","FQ1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129" s="3" t="e">
        <f ca="1">_xll.BDH($C$128,"INVTRY_FINISHED_GOODS","FQ1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129" s="3" t="e">
        <f ca="1">_xll.BDH($C$128,"BS_OTHER_INV","FQ1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130" spans="1:113" x14ac:dyDescent="0.3">
      <c r="A130" s="6"/>
      <c r="B130" s="6"/>
      <c r="C130" s="6"/>
      <c r="D130" s="6"/>
      <c r="E130" t="s">
        <v>79</v>
      </c>
      <c r="F130" t="e">
        <f ca="1">_xll.BDH($C$128,"RETURN_COM_EQY","FQ2 2014","FQ2 2014","Currency=INR","Period=FQ","BEST_FPERIOD_OVERRIDE=FQ","FILING_STATUS=OR","EQY_CONSOLIDATED=Y","FA_ADJUSTED=GAAP","Sort=A","Dates=H","DateFormat=P","Fill=—","Direction=H","UseDPDF=Y")</f>
        <v>#NAME?</v>
      </c>
      <c r="G130" t="e">
        <f ca="1">_xll.BDH($C$128,"RETURN_ON_ASSET","FQ2 2014","FQ2 2014","Currency=INR","Period=FQ","BEST_FPERIOD_OVERRIDE=FQ","FILING_STATUS=OR","EQY_CONSOLIDATED=Y","FA_ADJUSTED=GAAP","Sort=A","Dates=H","DateFormat=P","Fill=—","Direction=H","UseDPDF=Y")</f>
        <v>#NAME?</v>
      </c>
      <c r="H130" t="e">
        <f ca="1">_xll.BDH($C$128,"RETURN_ON_CAP","FQ2 2014","FQ2 2014","Currency=INR","Period=FQ","BEST_FPERIOD_OVERRIDE=FQ","FILING_STATUS=OR","EQY_CONSOLIDATED=Y","FA_ADJUSTED=GAAP","Sort=A","Dates=H","DateFormat=P","Fill=—","Direction=H","UseDPDF=Y")</f>
        <v>#NAME?</v>
      </c>
      <c r="I130" t="e">
        <f ca="1">_xll.BDH($C$128,"RETURN_ON_INV_CAPITAL","FQ2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130" t="e">
        <f ca="1">_xll.BDH($C$128,"EBITDA_TO_REVENUE","FQ2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130" t="e">
        <f ca="1">_xll.BDH($C$128,"OPER_MARGIN","FQ2 2014","FQ2 2014","Currency=INR","Period=FQ","BEST_FPERIOD_OVERRIDE=FQ","FILING_STATUS=OR","EQY_CONSOLIDATED=Y","FA_ADJUSTED=GAAP","Sort=A","Dates=H","DateFormat=P","Fill=—","Direction=H","UseDPDF=Y")</f>
        <v>#NAME?</v>
      </c>
      <c r="L130" t="e">
        <f ca="1">_xll.BDH($C$128,"INCREMENTAL_OPERATING_MARGIN","FQ2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130" t="e">
        <f ca="1">_xll.BDH($C$128,"PRETAX_INC_TO_NET_SALES","FQ2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130" t="e">
        <f ca="1">_xll.BDH($C$128,"INC_BEF_XO_ITEMS_TO_NET_SALES","FQ2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130" t="e">
        <f ca="1">_xll.BDH($C$128,"PROF_MARGIN","FQ2 2014","FQ2 2014","Currency=INR","Period=FQ","BEST_FPERIOD_OVERRIDE=FQ","FILING_STATUS=OR","EQY_CONSOLIDATED=Y","FA_ADJUSTED=GAAP","Sort=A","Dates=H","DateFormat=P","Fill=—","Direction=H","UseDPDF=Y")</f>
        <v>#NAME?</v>
      </c>
      <c r="P130" t="e">
        <f ca="1">_xll.BDH($C$128,"NET_INCOME_TO_COMMON_MARGIN","FQ2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130" t="e">
        <f ca="1">_xll.BDH($C$128,"EFF_TAX_RATE","FQ2 2014","FQ2 2014","Currency=INR","Period=FQ","BEST_FPERIOD_OVERRIDE=FQ","FILING_STATUS=OR","EQY_CONSOLIDATED=Y","FA_ADJUSTED=GAAP","Sort=A","Dates=H","DateFormat=P","Fill=—","Direction=H","UseDPDF=Y")</f>
        <v>#NAME?</v>
      </c>
      <c r="R130" t="e">
        <f ca="1">_xll.BDH($C$128,"DVD_PAYOUT_RATIO","FQ2 2014","FQ2 2014","Currency=INR","Period=FQ","BEST_FPERIOD_OVERRIDE=FQ","FILING_STATUS=OR","EQY_CONSOLIDATED=Y","FA_ADJUSTED=GAAP","Sort=A","Dates=H","DateFormat=P","Fill=—","Direction=H","UseDPDF=Y")</f>
        <v>#NAME?</v>
      </c>
      <c r="S130" t="e">
        <f ca="1">_xll.BDH($C$128,"SUSTAIN_GROWTH_RT","FQ2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130" s="2" t="e">
        <f ca="1">_xll.BDH($C$128,"SALES_GROWTH","FQ2 2014","FQ2 2014","Currency=INR","Period=FQ","BEST_FPERIOD_OVERRIDE=FQ","FILING_STATUS=OR","EQY_CONSOLIDATED=Y","FA_ADJUSTED=GAAP","Sort=A","Dates=H","DateFormat=P","Fill=—","Direction=H","UseDPDF=Y")</f>
        <v>#NAME?</v>
      </c>
      <c r="U130" s="2" t="e">
        <f ca="1">_xll.BDH($C$128,"EBITDA_GROWTH","FQ2 2014","FQ2 2014","Currency=INR","Period=FQ","BEST_FPERIOD_OVERRIDE=FQ","FILING_STATUS=OR","EQY_CONSOLIDATED=Y","FA_ADJUSTED=GAAP","Sort=A","Dates=H","DateFormat=P","Fill=—","Direction=H","UseDPDF=Y")</f>
        <v>#NAME?</v>
      </c>
      <c r="V130" s="2" t="e">
        <f ca="1">_xll.BDH($C$128,"OPER_INC_GROWTH","FQ2 2014","FQ2 2014","Currency=INR","Period=FQ","BEST_FPERIOD_OVERRIDE=FQ","FILING_STATUS=OR","EQY_CONSOLIDATED=Y","FA_ADJUSTED=GAAP","Sort=A","Dates=H","DateFormat=P","Fill=—","Direction=H","UseDPDF=Y")</f>
        <v>#NAME?</v>
      </c>
      <c r="W130" s="2" t="e">
        <f ca="1">_xll.BDH($C$128,"EARN_FOR_COM_GROWTH","FQ2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130" s="2" t="e">
        <f ca="1">_xll.BDH($C$128,"DILUTED_EPS_AFT_XO_ITEMS_GROWTH","FQ2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130" s="2" t="e">
        <f ca="1">_xll.BDH($C$128,"DIVIDEND_PER_SHARE_1_YEAR_GROWTH","FQ2 2014","FQ2 2014","Currency=INR","Period=FQ","BEST_FPERIOD_OVERRIDE=FQ","FILING_STATUS=OR","EQY_CONSOLIDATED=Y","Sort=A","Dates=H","DateFormat=P","Fill=—","Direction=H","UseDPDF=Y")</f>
        <v>#NAME?</v>
      </c>
      <c r="Z130" s="2" t="e">
        <f ca="1">_xll.BDH($C$128,"ACCOUNTS_RECEIVABLE_GROWTH","FQ2 2014","FQ2 2014","Currency=INR","Period=FQ","BEST_FPERIOD_OVERRIDE=FQ","FILING_STATUS=OR","EQY_CONSOLIDATED=Y","Sort=A","Dates=H","DateFormat=P","Fill=—","Direction=H","UseDPDF=Y")</f>
        <v>#NAME?</v>
      </c>
      <c r="AA130" s="2" t="e">
        <f ca="1">_xll.BDH($C$128,"INVENTORY_GROWTH","FQ2 2014","FQ2 2014","Currency=INR","Period=FQ","BEST_FPERIOD_OVERRIDE=FQ","FILING_STATUS=OR","EQY_CONSOLIDATED=Y","Sort=A","Dates=H","DateFormat=P","Fill=—","Direction=H","UseDPDF=Y")</f>
        <v>#NAME?</v>
      </c>
      <c r="AB130" s="2" t="e">
        <f ca="1">_xll.BDH($C$128,"NET_FIXED_ASSETS_1_YEAR_GROWTH","FQ2 2014","FQ2 2014","Currency=INR","Period=FQ","BEST_FPERIOD_OVERRIDE=FQ","FILING_STATUS=OR","EQY_CONSOLIDATED=Y","Sort=A","Dates=H","DateFormat=P","Fill=—","Direction=H","UseDPDF=Y")</f>
        <v>#NAME?</v>
      </c>
      <c r="AC130" s="2" t="e">
        <f ca="1">_xll.BDH($C$128,"ASSET_GROWTH","FQ2 2014","FQ2 2014","Currency=INR","Period=FQ","BEST_FPERIOD_OVERRIDE=FQ","FILING_STATUS=OR","EQY_CONSOLIDATED=Y","Sort=A","Dates=H","DateFormat=P","Fill=—","Direction=H","UseDPDF=Y")</f>
        <v>#NAME?</v>
      </c>
      <c r="AD130" s="2" t="e">
        <f ca="1">_xll.BDH($C$128,"MODIFIED_WORK_CAP_GROWTH","FQ2 2014","FQ2 2014","Currency=INR","Period=FQ","BEST_FPERIOD_OVERRIDE=FQ","FILING_STATUS=OR","EQY_CONSOLIDATED=Y","Sort=A","Dates=H","DateFormat=P","Fill=—","Direction=H","UseDPDF=Y")</f>
        <v>#NAME?</v>
      </c>
      <c r="AE130" s="2" t="e">
        <f ca="1">_xll.BDH($C$128,"WORK_CAP_GROWTH","FQ2 2014","FQ2 2014","Currency=INR","Period=FQ","BEST_FPERIOD_OVERRIDE=FQ","FILING_STATUS=OR","EQY_CONSOLIDATED=Y","Sort=A","Dates=H","DateFormat=P","Fill=—","Direction=H","UseDPDF=Y")</f>
        <v>#NAME?</v>
      </c>
      <c r="AF130" s="2" t="e">
        <f ca="1">_xll.BDH($C$128,"ACCOUNTS_PAYABLE_GROWTH_1YR","FQ2 2014","FQ2 2014","Currency=INR","Period=FQ","BEST_FPERIOD_OVERRIDE=FQ","FILING_STATUS=OR","EQY_CONSOLIDATED=Y","Sort=A","Dates=H","DateFormat=P","Fill=—","Direction=H","UseDPDF=Y")</f>
        <v>#NAME?</v>
      </c>
      <c r="AG130" s="2" t="e">
        <f ca="1">_xll.BDH($C$128,"SHORT_TERM_DEBT_1_YEAR_GROWTH","FQ2 2014","FQ2 2014","Currency=INR","Period=FQ","BEST_FPERIOD_OVERRIDE=FQ","FILING_STATUS=OR","EQY_CONSOLIDATED=Y","Sort=A","Dates=H","DateFormat=P","Fill=—","Direction=H","UseDPDF=Y")</f>
        <v>#NAME?</v>
      </c>
      <c r="AH130" s="2" t="e">
        <f ca="1">_xll.BDH($C$128,"TOTAL_DEBT_1_YEAR_GROWTH","FQ2 2014","FQ2 2014","Currency=INR","Period=FQ","BEST_FPERIOD_OVERRIDE=FQ","FILING_STATUS=OR","EQY_CONSOLIDATED=Y","Sort=A","Dates=H","DateFormat=P","Fill=—","Direction=H","UseDPDF=Y")</f>
        <v>#NAME?</v>
      </c>
      <c r="AI130" s="2" t="e">
        <f ca="1">_xll.BDH($C$128,"TOTAL_EQUITY_1_YEAR_GROWTH","FQ2 2014","FQ2 2014","Currency=INR","Period=FQ","BEST_FPERIOD_OVERRIDE=FQ","FILING_STATUS=OR","EQY_CONSOLIDATED=Y","Sort=A","Dates=H","DateFormat=P","Fill=—","Direction=H","UseDPDF=Y")</f>
        <v>#NAME?</v>
      </c>
      <c r="AJ130" s="2" t="e">
        <f ca="1">_xll.BDH($C$128,"GROWTH_IN_CAP","FQ2 2014","FQ2 2014","Currency=INR","Period=FQ","BEST_FPERIOD_OVERRIDE=FQ","FILING_STATUS=OR","EQY_CONSOLIDATED=Y","Sort=A","Dates=H","DateFormat=P","Fill=—","Direction=H","UseDPDF=Y")</f>
        <v>#NAME?</v>
      </c>
      <c r="AK130" s="2" t="e">
        <f ca="1">_xll.BDH($C$128,"BVPS_GROWTH","FQ2 2014","FQ2 2014","Currency=INR","Period=FQ","BEST_FPERIOD_OVERRIDE=FQ","FILING_STATUS=OR","EQY_CONSOLIDATED=Y","Sort=A","Dates=H","DateFormat=P","Fill=—","Direction=H","UseDPDF=Y")</f>
        <v>#NAME?</v>
      </c>
      <c r="AL130" s="2" t="e">
        <f ca="1">_xll.BDH($C$128,"CASH_FLOW_GROWTH","FQ2 2014","FQ2 2014","Currency=INR","Period=FQ","BEST_FPERIOD_OVERRIDE=FQ","FILING_STATUS=OR","EQY_CONSOLIDATED=Y","Sort=A","Dates=H","DateFormat=P","Fill=—","Direction=H","UseDPDF=Y")</f>
        <v>#NAME?</v>
      </c>
      <c r="AM130" s="2" t="e">
        <f ca="1">_xll.BDH($C$128,"GEO_GROW_NET_SALES","FQ2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130" s="2" t="e">
        <f ca="1">_xll.BDH($C$128,"GEO_GROW_EBITDA","FQ2 2014","FQ2 2014","Currency=INR","Period=FQ","BEST_FPERIOD_OVERRIDE=FQ","FILING_STATUS=OR","EQY_CONSOLIDATED=Y","FA_ADJUSTED=GAAP","Sort=A","Dates=H","DateFormat=P","Fill=—","Direction=H","UseDPDF=Y")</f>
        <v>#NAME?</v>
      </c>
      <c r="AO130" s="2" t="e">
        <f ca="1">_xll.BDH($C$128,"GEO_GROW_OPER_INC","FQ2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130" s="2" t="e">
        <f ca="1">_xll.BDH($C$128,"NET_INCOME_TO_COMMON_5_YR_GROWTH","FQ2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130" s="2" t="e">
        <f ca="1">_xll.BDH($C$128,"5Y_GEO_GROWTH_DILUTED_EPS","FQ2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130" s="2" t="e">
        <f ca="1">_xll.BDH($C$128,"GEO_GROW_DVD_PER_SH","FQ2 2014","FQ2 2014","Currency=INR","Period=FQ","BEST_FPERIOD_OVERRIDE=FQ","FILING_STATUS=OR","EQY_CONSOLIDATED=Y","Sort=A","Dates=H","DateFormat=P","Fill=—","Direction=H","UseDPDF=Y")</f>
        <v>#NAME?</v>
      </c>
      <c r="AS130" s="2" t="e">
        <f ca="1">_xll.BDH($C$128,"ACCOUNTS_RECEIVABLE_5_YR_GROWTH","FQ2 2014","FQ2 2014","Currency=INR","Period=FQ","BEST_FPERIOD_OVERRIDE=FQ","FILING_STATUS=OR","EQY_CONSOLIDATED=Y","Sort=A","Dates=H","DateFormat=P","Fill=—","Direction=H","UseDPDF=Y")</f>
        <v>#NAME?</v>
      </c>
      <c r="AT130" s="2" t="e">
        <f ca="1">_xll.BDH($C$128,"INVENTORY_5_YEAR_GROWTH","FQ2 2014","FQ2 2014","Currency=INR","Period=FQ","BEST_FPERIOD_OVERRIDE=FQ","FILING_STATUS=OR","EQY_CONSOLIDATED=Y","Sort=A","Dates=H","DateFormat=P","Fill=—","Direction=H","UseDPDF=Y")</f>
        <v>#NAME?</v>
      </c>
      <c r="AU130" s="2" t="e">
        <f ca="1">_xll.BDH($C$128,"NET_FIXED_ASSETS_5_YEAR_GROWTH","FQ2 2014","FQ2 2014","Currency=INR","Period=FQ","BEST_FPERIOD_OVERRIDE=FQ","FILING_STATUS=OR","EQY_CONSOLIDATED=Y","Sort=A","Dates=H","DateFormat=P","Fill=—","Direction=H","UseDPDF=Y")</f>
        <v>#NAME?</v>
      </c>
      <c r="AV130" s="2" t="e">
        <f ca="1">_xll.BDH($C$128,"GEO_GROW_TOT_ASSET","FQ2 2014","FQ2 2014","Currency=INR","Period=FQ","BEST_FPERIOD_OVERRIDE=FQ","FILING_STATUS=OR","EQY_CONSOLIDATED=Y","Sort=A","Dates=H","DateFormat=P","Fill=—","Direction=H","UseDPDF=Y")</f>
        <v>#NAME?</v>
      </c>
      <c r="AW130" s="2" t="e">
        <f ca="1">_xll.BDH($C$128,"MODIFIED_WORKING_CPTL_5YR_GRWTH","FQ2 2014","FQ2 2014","Currency=INR","Period=FQ","BEST_FPERIOD_OVERRIDE=FQ","FILING_STATUS=OR","EQY_CONSOLIDATED=Y","Sort=A","Dates=H","DateFormat=P","Fill=—","Direction=H","UseDPDF=Y")</f>
        <v>#NAME?</v>
      </c>
      <c r="AX130" s="2" t="e">
        <f ca="1">_xll.BDH($C$128,"WORKING_CAPITAL_5_YEAR_GROWTH","FQ2 2014","FQ2 2014","Currency=INR","Period=FQ","BEST_FPERIOD_OVERRIDE=FQ","FILING_STATUS=OR","EQY_CONSOLIDATED=Y","Sort=A","Dates=H","DateFormat=P","Fill=—","Direction=H","UseDPDF=Y")</f>
        <v>#NAME?</v>
      </c>
      <c r="AY130" s="2" t="e">
        <f ca="1">_xll.BDH($C$128,"ACCOUNTS_PAYABLE_5_YEAR_GROWTH","FQ2 2014","FQ2 2014","Currency=INR","Period=FQ","BEST_FPERIOD_OVERRIDE=FQ","FILING_STATUS=OR","EQY_CONSOLIDATED=Y","Sort=A","Dates=H","DateFormat=P","Fill=—","Direction=H","UseDPDF=Y")</f>
        <v>#NAME?</v>
      </c>
      <c r="AZ130" s="2" t="e">
        <f ca="1">_xll.BDH($C$128,"SHORT_TERM_DEBT_5_YEAR_GROWTH","FQ2 2014","FQ2 2014","Currency=INR","Period=FQ","BEST_FPERIOD_OVERRIDE=FQ","FILING_STATUS=OR","EQY_CONSOLIDATED=Y","Sort=A","Dates=H","DateFormat=P","Fill=—","Direction=H","UseDPDF=Y")</f>
        <v>#NAME?</v>
      </c>
      <c r="BA130" s="2" t="e">
        <f ca="1">_xll.BDH($C$128,"TOTAL_DEBT_5_YEAR_GROWTH","FQ2 2014","FQ2 2014","Currency=INR","Period=FQ","BEST_FPERIOD_OVERRIDE=FQ","FILING_STATUS=OR","EQY_CONSOLIDATED=Y","Sort=A","Dates=H","DateFormat=P","Fill=—","Direction=H","UseDPDF=Y")</f>
        <v>#NAME?</v>
      </c>
      <c r="BB130" s="2" t="e">
        <f ca="1">_xll.BDH($C$128,"GEO_GROW_TOT_SHRHLDR_EQY","FQ2 2014","FQ2 2014","Currency=INR","Period=FQ","BEST_FPERIOD_OVERRIDE=FQ","FILING_STATUS=OR","EQY_CONSOLIDATED=Y","Sort=A","Dates=H","DateFormat=P","Fill=—","Direction=H","UseDPDF=Y")</f>
        <v>#NAME?</v>
      </c>
      <c r="BC130" s="2" t="e">
        <f ca="1">_xll.BDH($C$128,"TOTAL_CAPITAL_5_YEAR_GROWTH","FQ2 2014","FQ2 2014","Currency=INR","Period=FQ","BEST_FPERIOD_OVERRIDE=FQ","FILING_STATUS=OR","EQY_CONSOLIDATED=Y","Sort=A","Dates=H","DateFormat=P","Fill=—","Direction=H","UseDPDF=Y")</f>
        <v>#NAME?</v>
      </c>
      <c r="BD130" s="2" t="e">
        <f ca="1">_xll.BDH($C$128,"GEO_GROW_BOOK_VAL","FQ2 2014","FQ2 2014","Currency=INR","Period=FQ","BEST_FPERIOD_OVERRIDE=FQ","FILING_STATUS=OR","EQY_CONSOLIDATED=Y","Sort=A","Dates=H","DateFormat=P","Fill=—","Direction=H","UseDPDF=Y")</f>
        <v>#NAME?</v>
      </c>
      <c r="BE130" s="2" t="e">
        <f ca="1">_xll.BDH($C$128,"GEO_GROW_CASH_OPER_ACT","FQ2 2014","FQ2 2014","Currency=INR","Period=FQ","BEST_FPERIOD_OVERRIDE=FQ","FILING_STATUS=OR","EQY_CONSOLIDATED=Y","Sort=A","Dates=H","DateFormat=P","Fill=—","Direction=H","UseDPDF=Y")</f>
        <v>#NAME?</v>
      </c>
      <c r="BF130" s="2" t="e">
        <f ca="1">_xll.BDH($C$128,"REVENUE_SEQUENTIAL_GROWTH","FQ2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130" s="2" t="e">
        <f ca="1">_xll.BDH($C$128,"EBITDA_SEQUENTIAL_GROWTH","FQ2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130" s="2" t="e">
        <f ca="1">_xll.BDH($C$128,"OPERATING_INCOME_SEQ_GROWTH","FQ2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130" s="2" t="e">
        <f ca="1">_xll.BDH($C$128,"NET_INCOME_TO_COMMON_SEQ_GROWTH","FQ2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130" s="2" t="e">
        <f ca="1">_xll.BDH($C$128,"EPS_DILUTED_SEQUENTIAL_GROWTH","FQ2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130" s="2" t="e">
        <f ca="1">_xll.BDH($C$128,"DPS_SEQUENTIAL_GROWTH","FQ2 2014","FQ2 2014","Currency=INR","Period=FQ","BEST_FPERIOD_OVERRIDE=FQ","FILING_STATUS=OR","EQY_CONSOLIDATED=Y","Sort=A","Dates=H","DateFormat=P","Fill=—","Direction=H","UseDPDF=Y")</f>
        <v>#NAME?</v>
      </c>
      <c r="BL130" s="2" t="e">
        <f ca="1">_xll.BDH($C$128,"ACCOUNTS_RECEIVABLE_SEQ_GROWTH","FQ2 2014","FQ2 2014","Currency=INR","Period=FQ","BEST_FPERIOD_OVERRIDE=FQ","FILING_STATUS=OR","EQY_CONSOLIDATED=Y","Sort=A","Dates=H","DateFormat=P","Fill=—","Direction=H","UseDPDF=Y")</f>
        <v>#NAME?</v>
      </c>
      <c r="BM130" s="2" t="e">
        <f ca="1">_xll.BDH($C$128,"INVENTORY_SEQUENTIAL_GROWTH","FQ2 2014","FQ2 2014","Currency=INR","Period=FQ","BEST_FPERIOD_OVERRIDE=FQ","FILING_STATUS=OR","EQY_CONSOLIDATED=Y","Sort=A","Dates=H","DateFormat=P","Fill=—","Direction=H","UseDPDF=Y")</f>
        <v>#NAME?</v>
      </c>
      <c r="BN130" s="2" t="e">
        <f ca="1">_xll.BDH($C$128,"FIXED_ASSETS_SEQUENTIAL_GROWTH","FQ2 2014","FQ2 2014","Currency=INR","Period=FQ","BEST_FPERIOD_OVERRIDE=FQ","FILING_STATUS=OR","EQY_CONSOLIDATED=Y","Sort=A","Dates=H","DateFormat=P","Fill=—","Direction=H","UseDPDF=Y")</f>
        <v>#NAME?</v>
      </c>
      <c r="BO130" s="2" t="e">
        <f ca="1">_xll.BDH($C$128,"TOTAL_ASSETS_SEQUENTIAL_GROWTH","FQ2 2014","FQ2 2014","Currency=INR","Period=FQ","BEST_FPERIOD_OVERRIDE=FQ","FILING_STATUS=OR","EQY_CONSOLIDATED=Y","Sort=A","Dates=H","DateFormat=P","Fill=—","Direction=H","UseDPDF=Y")</f>
        <v>#NAME?</v>
      </c>
      <c r="BP130" s="2" t="e">
        <f ca="1">_xll.BDH($C$128,"MODIFIED_WORKING_CPTL_SEQ_GRWTH","FQ2 2014","FQ2 2014","Currency=INR","Period=FQ","BEST_FPERIOD_OVERRIDE=FQ","FILING_STATUS=OR","EQY_CONSOLIDATED=Y","Sort=A","Dates=H","DateFormat=P","Fill=—","Direction=H","UseDPDF=Y")</f>
        <v>#NAME?</v>
      </c>
      <c r="BQ130" s="2" t="e">
        <f ca="1">_xll.BDH($C$128,"WORKING_CAPITAL_SEQ_GROWTH","FQ2 2014","FQ2 2014","Currency=INR","Period=FQ","BEST_FPERIOD_OVERRIDE=FQ","FILING_STATUS=OR","EQY_CONSOLIDATED=Y","Sort=A","Dates=H","DateFormat=P","Fill=—","Direction=H","UseDPDF=Y")</f>
        <v>#NAME?</v>
      </c>
      <c r="BR130" s="2" t="e">
        <f ca="1">_xll.BDH($C$128,"ACCOUNTS_PAYABLE_SEQ_GROWTH","FQ2 2014","FQ2 2014","Currency=INR","Period=FQ","BEST_FPERIOD_OVERRIDE=FQ","FILING_STATUS=OR","EQY_CONSOLIDATED=Y","Sort=A","Dates=H","DateFormat=P","Fill=—","Direction=H","UseDPDF=Y")</f>
        <v>#NAME?</v>
      </c>
      <c r="BS130" s="2" t="e">
        <f ca="1">_xll.BDH($C$128,"ST_DEBT_SEQUENTIAL_GROWTH","FQ2 2014","FQ2 2014","Currency=INR","Period=FQ","BEST_FPERIOD_OVERRIDE=FQ","FILING_STATUS=OR","EQY_CONSOLIDATED=Y","Sort=A","Dates=H","DateFormat=P","Fill=—","Direction=H","UseDPDF=Y")</f>
        <v>#NAME?</v>
      </c>
      <c r="BT130" s="2" t="e">
        <f ca="1">_xll.BDH($C$128,"TOTAL_DEBT_SEQUENTIAL_GROWTH","FQ2 2014","FQ2 2014","Currency=INR","Period=FQ","BEST_FPERIOD_OVERRIDE=FQ","FILING_STATUS=OR","EQY_CONSOLIDATED=Y","Sort=A","Dates=H","DateFormat=P","Fill=—","Direction=H","UseDPDF=Y")</f>
        <v>#NAME?</v>
      </c>
      <c r="BU130" s="2" t="e">
        <f ca="1">_xll.BDH($C$128,"TOTAL_EQUITY_SEQUENTIAL_GROWTH","FQ2 2014","FQ2 2014","Currency=INR","Period=FQ","BEST_FPERIOD_OVERRIDE=FQ","FILING_STATUS=OR","EQY_CONSOLIDATED=Y","Sort=A","Dates=H","DateFormat=P","Fill=—","Direction=H","UseDPDF=Y")</f>
        <v>#NAME?</v>
      </c>
      <c r="BV130" s="2" t="e">
        <f ca="1">_xll.BDH($C$128,"TOTAL_CAPITAL_SEQUENTIAL_GROWTH","FQ2 2014","FQ2 2014","Currency=INR","Period=FQ","BEST_FPERIOD_OVERRIDE=FQ","FILING_STATUS=OR","EQY_CONSOLIDATED=Y","Sort=A","Dates=H","DateFormat=P","Fill=—","Direction=H","UseDPDF=Y")</f>
        <v>#NAME?</v>
      </c>
      <c r="BW130" s="2" t="e">
        <f ca="1">_xll.BDH($C$128,"BPS_SEQUENTIAL_GROWTH","FQ2 2014","FQ2 2014","Currency=INR","Period=FQ","BEST_FPERIOD_OVERRIDE=FQ","FILING_STATUS=OR","EQY_CONSOLIDATED=Y","Sort=A","Dates=H","DateFormat=P","Fill=—","Direction=H","UseDPDF=Y")</f>
        <v>#NAME?</v>
      </c>
      <c r="BX130" s="2" t="e">
        <f ca="1">_xll.BDH($C$128,"CFO_SEQUENTIAL_GROWTH","FQ2 2014","FQ2 2014","Currency=INR","Period=FQ","BEST_FPERIOD_OVERRIDE=FQ","FILING_STATUS=OR","EQY_CONSOLIDATED=Y","Sort=A","Dates=H","DateFormat=P","Fill=—","Direction=H","UseDPDF=Y")</f>
        <v>#NAME?</v>
      </c>
      <c r="BY130" s="3" t="e">
        <f ca="1">_xll.BDH($C$128,"SHORT_AND_LONG_TERM_DEBT","FQ2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130" s="3" t="e">
        <f ca="1">_xll.BDH($C$128,"BS_ST_BORROW","FQ2 2014","FQ2 2014","Currency=INR","Period=FQ","BEST_FPERIOD_OVERRIDE=FQ","FILING_STATUS=OR","EQY_CONSOLIDATED=Y","SCALING_FORMAT=MLN","Sort=A","Dates=H","DateFormat=P","Fill=—","Direction=H","UseDPDF=Y")</f>
        <v>#NAME?</v>
      </c>
      <c r="CA130" s="3" t="e">
        <f ca="1">_xll.BDH($C$128,"BS_LT_BORROW","FQ2 2014","FQ2 2014","Currency=INR","Period=FQ","BEST_FPERIOD_OVERRIDE=FQ","FILING_STATUS=OR","EQY_CONSOLIDATED=Y","SCALING_FORMAT=MLN","Sort=A","Dates=H","DateFormat=P","Fill=—","Direction=H","UseDPDF=Y")</f>
        <v>#NAME?</v>
      </c>
      <c r="CB130" s="2" t="e">
        <f ca="1">_xll.BDH($C$128,"TOT_DEBT_TO_EBITDA","FQ2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130" s="2" t="e">
        <f ca="1">_xll.BDH($C$128,"NET_DEBT_TO_EBITDA","FQ2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130" s="2" t="e">
        <f ca="1">_xll.BDH($C$128,"TOTAL_DEBT_TO_EBIT","FQ2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130" s="2" t="e">
        <f ca="1">_xll.BDH($C$128,"NET_DEBT_TO_EBIT","FQ2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130" s="2" t="e">
        <f ca="1">_xll.BDH($C$128,"EBITDA_TO_INTEREST_EXPN","FQ2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130" s="2" t="e">
        <f ca="1">_xll.BDH($C$128,"COM_EQY_TO_TOT_ASSET","FQ2 2014","FQ2 2014","Currency=INR","Period=FQ","BEST_FPERIOD_OVERRIDE=FQ","FILING_STATUS=OR","EQY_CONSOLIDATED=Y","Sort=A","Dates=H","DateFormat=P","Fill=—","Direction=H","UseDPDF=Y")</f>
        <v>#NAME?</v>
      </c>
      <c r="CH130" s="2" t="e">
        <f ca="1">_xll.BDH($C$128,"LT_DEBT_TO_TOT_EQY","FQ2 2014","FQ2 2014","Currency=INR","Period=FQ","BEST_FPERIOD_OVERRIDE=FQ","FILING_STATUS=OR","EQY_CONSOLIDATED=Y","Sort=A","Dates=H","DateFormat=P","Fill=—","Direction=H","UseDPDF=Y")</f>
        <v>#NAME?</v>
      </c>
      <c r="CI130" s="2" t="e">
        <f ca="1">_xll.BDH($C$128,"LT_DEBT_TO_TOT_CAP","FQ2 2014","FQ2 2014","Currency=INR","Period=FQ","BEST_FPERIOD_OVERRIDE=FQ","FILING_STATUS=OR","EQY_CONSOLIDATED=Y","Sort=A","Dates=H","DateFormat=P","Fill=—","Direction=H","UseDPDF=Y")</f>
        <v>#NAME?</v>
      </c>
      <c r="CJ130" s="2" t="e">
        <f ca="1">_xll.BDH($C$128,"LT_DEBT_TO_TOT_ASSET","FQ2 2014","FQ2 2014","Currency=INR","Period=FQ","BEST_FPERIOD_OVERRIDE=FQ","FILING_STATUS=OR","EQY_CONSOLIDATED=Y","Sort=A","Dates=H","DateFormat=P","Fill=—","Direction=H","UseDPDF=Y")</f>
        <v>#NAME?</v>
      </c>
      <c r="CK130" s="2" t="e">
        <f ca="1">_xll.BDH($C$128,"TOT_DEBT_TO_TOT_EQY","FQ2 2014","FQ2 2014","Currency=INR","Period=FQ","BEST_FPERIOD_OVERRIDE=FQ","FILING_STATUS=OR","EQY_CONSOLIDATED=Y","Sort=A","Dates=H","DateFormat=P","Fill=—","Direction=H","UseDPDF=Y")</f>
        <v>#NAME?</v>
      </c>
      <c r="CL130" s="2" t="e">
        <f ca="1">_xll.BDH($C$128,"TOT_DEBT_TO_TOT_CAP","FQ2 2014","FQ2 2014","Currency=INR","Period=FQ","BEST_FPERIOD_OVERRIDE=FQ","FILING_STATUS=OR","EQY_CONSOLIDATED=Y","Sort=A","Dates=H","DateFormat=P","Fill=—","Direction=H","UseDPDF=Y")</f>
        <v>#NAME?</v>
      </c>
      <c r="CM130" s="2" t="e">
        <f ca="1">_xll.BDH($C$128,"TOT_DEBT_TO_TOT_ASSET","FQ2 2014","FQ2 2014","Currency=INR","Period=FQ","BEST_FPERIOD_OVERRIDE=FQ","FILING_STATUS=OR","EQY_CONSOLIDATED=Y","Sort=A","Dates=H","DateFormat=P","Fill=—","Direction=H","UseDPDF=Y")</f>
        <v>#NAME?</v>
      </c>
      <c r="CN130" s="2" t="e">
        <f ca="1">_xll.BDH($C$128,"NET_DEBT_TO_SHRHLDR_EQTY","FQ2 2014","FQ2 2014","Currency=INR","Period=FQ","BEST_FPERIOD_OVERRIDE=FQ","FILING_STATUS=OR","EQY_CONSOLIDATED=Y","Sort=A","Dates=H","DateFormat=P","Fill=—","Direction=H","UseDPDF=Y")</f>
        <v>#NAME?</v>
      </c>
      <c r="CO130" s="2" t="e">
        <f ca="1">_xll.BDH($C$128,"NET_DEBT_%_CAPITAL","FQ2 2014","FQ2 2014","Currency=INR","Period=FQ","BEST_FPERIOD_OVERRIDE=FQ","FILING_STATUS=OR","EQY_CONSOLIDATED=Y","Sort=A","Dates=H","DateFormat=P","Fill=—","Direction=H","UseDPDF=Y")</f>
        <v>#NAME?</v>
      </c>
      <c r="CP130" s="3" t="e">
        <f ca="1">_xll.BDH($C$128,"EBITDA","FQ2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130" s="3" t="e">
        <f ca="1">_xll.BDH($C$128,"EBITDA_AFTER_CAPEX","FQ2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130" s="3" t="e">
        <f ca="1">_xll.BDH($C$128,"IS_OPER_INC","FQ2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130" s="2" t="e">
        <f ca="1">_xll.BDH($C$128,"CASH_RATIO","FQ2 2014","FQ2 2014","Currency=INR","Period=FQ","BEST_FPERIOD_OVERRIDE=FQ","FILING_STATUS=OR","EQY_CONSOLIDATED=Y","Sort=A","Dates=H","DateFormat=P","Fill=—","Direction=H","UseDPDF=Y")</f>
        <v>#NAME?</v>
      </c>
      <c r="CT130" s="2" t="e">
        <f ca="1">_xll.BDH($C$128,"CUR_RATIO","FQ2 2014","FQ2 2014","Currency=INR","Period=FQ","BEST_FPERIOD_OVERRIDE=FQ","FILING_STATUS=OR","EQY_CONSOLIDATED=Y","Sort=A","Dates=H","DateFormat=P","Fill=—","Direction=H","UseDPDF=Y")</f>
        <v>#NAME?</v>
      </c>
      <c r="CU130" s="2" t="e">
        <f ca="1">_xll.BDH($C$128,"QUICK_RATIO","FQ2 2014","FQ2 2014","Currency=INR","Period=FQ","BEST_FPERIOD_OVERRIDE=FQ","FILING_STATUS=OR","EQY_CONSOLIDATED=Y","Sort=A","Dates=H","DateFormat=P","Fill=—","Direction=H","UseDPDF=Y")</f>
        <v>#NAME?</v>
      </c>
      <c r="CV130" s="2" t="e">
        <f ca="1">_xll.BDH($C$128,"ALTMAN_Z_SCORE","FQ2 2014","FQ2 2014","Currency=INR","Period=FQ","BEST_FPERIOD_OVERRIDE=FQ","FILING_STATUS=OR","EQY_CONSOLIDATED=Y","Sort=A","Dates=H","DateFormat=P","Fill=—","Direction=H","UseDPDF=Y")</f>
        <v>#NAME?</v>
      </c>
      <c r="CW130" s="4" t="e">
        <f ca="1">_xll.BDH($C$128,"ACCT_RCV_TURN","FQ2 2014","FQ2 2014","Currency=INR","Period=FQ","BEST_FPERIOD_OVERRIDE=FQ","FILING_STATUS=OR","EQY_CONSOLIDATED=Y","FA_ADJUSTED=GAAP","Sort=A","Dates=H","DateFormat=P","Fill=—","Direction=H","UseDPDF=Y")</f>
        <v>#NAME?</v>
      </c>
      <c r="CX130" s="2" t="e">
        <f ca="1">_xll.BDH($C$128,"ACCT_RCV_DAYS","FQ2 2014","FQ2 2014","Currency=INR","Period=FQ","BEST_FPERIOD_OVERRIDE=FQ","FILING_STATUS=OR","EQY_CONSOLIDATED=Y","FA_ADJUSTED=GAAP","Sort=A","Dates=H","DateFormat=P","Fill=—","Direction=H","UseDPDF=Y")</f>
        <v>#NAME?</v>
      </c>
      <c r="CY130" s="4" t="e">
        <f ca="1">_xll.BDH($C$128,"INVENT_TURN","FQ2 2014","FQ2 2014","Currency=INR","Period=FQ","BEST_FPERIOD_OVERRIDE=FQ","FILING_STATUS=OR","EQY_CONSOLIDATED=Y","FA_ADJUSTED=GAAP","Sort=A","Dates=H","DateFormat=P","Fill=—","Direction=H","UseDPDF=Y")</f>
        <v>#NAME?</v>
      </c>
      <c r="CZ130" s="2" t="e">
        <f ca="1">_xll.BDH($C$128,"INVENT_DAYS","FQ2 2014","FQ2 2014","Currency=INR","Period=FQ","BEST_FPERIOD_OVERRIDE=FQ","FILING_STATUS=OR","EQY_CONSOLIDATED=Y","FA_ADJUSTED=GAAP","Sort=A","Dates=H","DateFormat=P","Fill=—","Direction=H","UseDPDF=Y")</f>
        <v>#NAME?</v>
      </c>
      <c r="DA130" s="4" t="e">
        <f ca="1">_xll.BDH($C$128,"ACCOUNTS_PAYABLE_TURNOVER","FQ2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130" s="2" t="e">
        <f ca="1">_xll.BDH($C$128,"ACCOUNTS_PAYABLE_TURNOVER_DAYS","FQ2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130" s="4" t="e">
        <f ca="1">_xll.BDH($C$128,"CASH_CONVERSION_CYCLE","FQ2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130" s="4" t="e">
        <f ca="1">_xll.BDH($C$128,"INV_TO_CASH_DAYS","FQ2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130" s="5" t="e">
        <f ca="1">_xll.BDH($C$128,"BS_INVENTORIES","FQ2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130" s="3" t="e">
        <f ca="1">_xll.BDH($C$128,"INVTRY_RAW_MATERIALS","FQ2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130" s="3" t="e">
        <f ca="1">_xll.BDH($C$128,"INVTRY_IN_PROGRESS","FQ2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130" s="3" t="e">
        <f ca="1">_xll.BDH($C$128,"INVTRY_FINISHED_GOODS","FQ2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130" s="3" t="e">
        <f ca="1">_xll.BDH($C$128,"BS_OTHER_INV","FQ2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131" spans="1:113" x14ac:dyDescent="0.3">
      <c r="A131" s="6"/>
      <c r="B131" s="6"/>
      <c r="C131" s="6"/>
      <c r="D131" s="6"/>
      <c r="E131" t="s">
        <v>80</v>
      </c>
      <c r="F131" t="e">
        <f ca="1">_xll.BDH($C$128,"RETURN_COM_EQY","FQ3 2014","FQ3 2014","Currency=INR","Period=FQ","BEST_FPERIOD_OVERRIDE=FQ","FILING_STATUS=OR","EQY_CONSOLIDATED=Y","FA_ADJUSTED=GAAP","Sort=A","Dates=H","DateFormat=P","Fill=—","Direction=H","UseDPDF=Y")</f>
        <v>#NAME?</v>
      </c>
      <c r="G131" t="e">
        <f ca="1">_xll.BDH($C$128,"RETURN_ON_ASSET","FQ3 2014","FQ3 2014","Currency=INR","Period=FQ","BEST_FPERIOD_OVERRIDE=FQ","FILING_STATUS=OR","EQY_CONSOLIDATED=Y","FA_ADJUSTED=GAAP","Sort=A","Dates=H","DateFormat=P","Fill=—","Direction=H","UseDPDF=Y")</f>
        <v>#NAME?</v>
      </c>
      <c r="H131" t="e">
        <f ca="1">_xll.BDH($C$128,"RETURN_ON_CAP","FQ3 2014","FQ3 2014","Currency=INR","Period=FQ","BEST_FPERIOD_OVERRIDE=FQ","FILING_STATUS=OR","EQY_CONSOLIDATED=Y","FA_ADJUSTED=GAAP","Sort=A","Dates=H","DateFormat=P","Fill=—","Direction=H","UseDPDF=Y")</f>
        <v>#NAME?</v>
      </c>
      <c r="I131" t="e">
        <f ca="1">_xll.BDH($C$128,"RETURN_ON_INV_CAPITAL","FQ3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131" t="e">
        <f ca="1">_xll.BDH($C$128,"EBITDA_TO_REVENUE","FQ3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131" t="e">
        <f ca="1">_xll.BDH($C$128,"OPER_MARGIN","FQ3 2014","FQ3 2014","Currency=INR","Period=FQ","BEST_FPERIOD_OVERRIDE=FQ","FILING_STATUS=OR","EQY_CONSOLIDATED=Y","FA_ADJUSTED=GAAP","Sort=A","Dates=H","DateFormat=P","Fill=—","Direction=H","UseDPDF=Y")</f>
        <v>#NAME?</v>
      </c>
      <c r="L131" t="e">
        <f ca="1">_xll.BDH($C$128,"INCREMENTAL_OPERATING_MARGIN","FQ3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131" t="e">
        <f ca="1">_xll.BDH($C$128,"PRETAX_INC_TO_NET_SALES","FQ3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131" t="e">
        <f ca="1">_xll.BDH($C$128,"INC_BEF_XO_ITEMS_TO_NET_SALES","FQ3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131" t="e">
        <f ca="1">_xll.BDH($C$128,"PROF_MARGIN","FQ3 2014","FQ3 2014","Currency=INR","Period=FQ","BEST_FPERIOD_OVERRIDE=FQ","FILING_STATUS=OR","EQY_CONSOLIDATED=Y","FA_ADJUSTED=GAAP","Sort=A","Dates=H","DateFormat=P","Fill=—","Direction=H","UseDPDF=Y")</f>
        <v>#NAME?</v>
      </c>
      <c r="P131" t="e">
        <f ca="1">_xll.BDH($C$128,"NET_INCOME_TO_COMMON_MARGIN","FQ3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131" t="e">
        <f ca="1">_xll.BDH($C$128,"EFF_TAX_RATE","FQ3 2014","FQ3 2014","Currency=INR","Period=FQ","BEST_FPERIOD_OVERRIDE=FQ","FILING_STATUS=OR","EQY_CONSOLIDATED=Y","FA_ADJUSTED=GAAP","Sort=A","Dates=H","DateFormat=P","Fill=—","Direction=H","UseDPDF=Y")</f>
        <v>#NAME?</v>
      </c>
      <c r="R131" t="e">
        <f ca="1">_xll.BDH($C$128,"DVD_PAYOUT_RATIO","FQ3 2014","FQ3 2014","Currency=INR","Period=FQ","BEST_FPERIOD_OVERRIDE=FQ","FILING_STATUS=OR","EQY_CONSOLIDATED=Y","FA_ADJUSTED=GAAP","Sort=A","Dates=H","DateFormat=P","Fill=—","Direction=H","UseDPDF=Y")</f>
        <v>#NAME?</v>
      </c>
      <c r="S131" t="e">
        <f ca="1">_xll.BDH($C$128,"SUSTAIN_GROWTH_RT","FQ3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131" s="2" t="e">
        <f ca="1">_xll.BDH($C$128,"SALES_GROWTH","FQ3 2014","FQ3 2014","Currency=INR","Period=FQ","BEST_FPERIOD_OVERRIDE=FQ","FILING_STATUS=OR","EQY_CONSOLIDATED=Y","FA_ADJUSTED=GAAP","Sort=A","Dates=H","DateFormat=P","Fill=—","Direction=H","UseDPDF=Y")</f>
        <v>#NAME?</v>
      </c>
      <c r="U131" s="2" t="e">
        <f ca="1">_xll.BDH($C$128,"EBITDA_GROWTH","FQ3 2014","FQ3 2014","Currency=INR","Period=FQ","BEST_FPERIOD_OVERRIDE=FQ","FILING_STATUS=OR","EQY_CONSOLIDATED=Y","FA_ADJUSTED=GAAP","Sort=A","Dates=H","DateFormat=P","Fill=—","Direction=H","UseDPDF=Y")</f>
        <v>#NAME?</v>
      </c>
      <c r="V131" s="2" t="e">
        <f ca="1">_xll.BDH($C$128,"OPER_INC_GROWTH","FQ3 2014","FQ3 2014","Currency=INR","Period=FQ","BEST_FPERIOD_OVERRIDE=FQ","FILING_STATUS=OR","EQY_CONSOLIDATED=Y","FA_ADJUSTED=GAAP","Sort=A","Dates=H","DateFormat=P","Fill=—","Direction=H","UseDPDF=Y")</f>
        <v>#NAME?</v>
      </c>
      <c r="W131" s="2" t="e">
        <f ca="1">_xll.BDH($C$128,"EARN_FOR_COM_GROWTH","FQ3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131" s="2" t="e">
        <f ca="1">_xll.BDH($C$128,"DILUTED_EPS_AFT_XO_ITEMS_GROWTH","FQ3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131" s="2" t="e">
        <f ca="1">_xll.BDH($C$128,"DIVIDEND_PER_SHARE_1_YEAR_GROWTH","FQ3 2014","FQ3 2014","Currency=INR","Period=FQ","BEST_FPERIOD_OVERRIDE=FQ","FILING_STATUS=OR","EQY_CONSOLIDATED=Y","Sort=A","Dates=H","DateFormat=P","Fill=—","Direction=H","UseDPDF=Y")</f>
        <v>#NAME?</v>
      </c>
      <c r="Z131" s="2" t="e">
        <f ca="1">_xll.BDH($C$128,"ACCOUNTS_RECEIVABLE_GROWTH","FQ3 2014","FQ3 2014","Currency=INR","Period=FQ","BEST_FPERIOD_OVERRIDE=FQ","FILING_STATUS=OR","EQY_CONSOLIDATED=Y","Sort=A","Dates=H","DateFormat=P","Fill=—","Direction=H","UseDPDF=Y")</f>
        <v>#NAME?</v>
      </c>
      <c r="AA131" s="2" t="e">
        <f ca="1">_xll.BDH($C$128,"INVENTORY_GROWTH","FQ3 2014","FQ3 2014","Currency=INR","Period=FQ","BEST_FPERIOD_OVERRIDE=FQ","FILING_STATUS=OR","EQY_CONSOLIDATED=Y","Sort=A","Dates=H","DateFormat=P","Fill=—","Direction=H","UseDPDF=Y")</f>
        <v>#NAME?</v>
      </c>
      <c r="AB131" s="2" t="e">
        <f ca="1">_xll.BDH($C$128,"NET_FIXED_ASSETS_1_YEAR_GROWTH","FQ3 2014","FQ3 2014","Currency=INR","Period=FQ","BEST_FPERIOD_OVERRIDE=FQ","FILING_STATUS=OR","EQY_CONSOLIDATED=Y","Sort=A","Dates=H","DateFormat=P","Fill=—","Direction=H","UseDPDF=Y")</f>
        <v>#NAME?</v>
      </c>
      <c r="AC131" s="2" t="e">
        <f ca="1">_xll.BDH($C$128,"ASSET_GROWTH","FQ3 2014","FQ3 2014","Currency=INR","Period=FQ","BEST_FPERIOD_OVERRIDE=FQ","FILING_STATUS=OR","EQY_CONSOLIDATED=Y","Sort=A","Dates=H","DateFormat=P","Fill=—","Direction=H","UseDPDF=Y")</f>
        <v>#NAME?</v>
      </c>
      <c r="AD131" s="2" t="e">
        <f ca="1">_xll.BDH($C$128,"MODIFIED_WORK_CAP_GROWTH","FQ3 2014","FQ3 2014","Currency=INR","Period=FQ","BEST_FPERIOD_OVERRIDE=FQ","FILING_STATUS=OR","EQY_CONSOLIDATED=Y","Sort=A","Dates=H","DateFormat=P","Fill=—","Direction=H","UseDPDF=Y")</f>
        <v>#NAME?</v>
      </c>
      <c r="AE131" s="2" t="e">
        <f ca="1">_xll.BDH($C$128,"WORK_CAP_GROWTH","FQ3 2014","FQ3 2014","Currency=INR","Period=FQ","BEST_FPERIOD_OVERRIDE=FQ","FILING_STATUS=OR","EQY_CONSOLIDATED=Y","Sort=A","Dates=H","DateFormat=P","Fill=—","Direction=H","UseDPDF=Y")</f>
        <v>#NAME?</v>
      </c>
      <c r="AF131" s="2" t="e">
        <f ca="1">_xll.BDH($C$128,"ACCOUNTS_PAYABLE_GROWTH_1YR","FQ3 2014","FQ3 2014","Currency=INR","Period=FQ","BEST_FPERIOD_OVERRIDE=FQ","FILING_STATUS=OR","EQY_CONSOLIDATED=Y","Sort=A","Dates=H","DateFormat=P","Fill=—","Direction=H","UseDPDF=Y")</f>
        <v>#NAME?</v>
      </c>
      <c r="AG131" s="2" t="e">
        <f ca="1">_xll.BDH($C$128,"SHORT_TERM_DEBT_1_YEAR_GROWTH","FQ3 2014","FQ3 2014","Currency=INR","Period=FQ","BEST_FPERIOD_OVERRIDE=FQ","FILING_STATUS=OR","EQY_CONSOLIDATED=Y","Sort=A","Dates=H","DateFormat=P","Fill=—","Direction=H","UseDPDF=Y")</f>
        <v>#NAME?</v>
      </c>
      <c r="AH131" s="2" t="e">
        <f ca="1">_xll.BDH($C$128,"TOTAL_DEBT_1_YEAR_GROWTH","FQ3 2014","FQ3 2014","Currency=INR","Period=FQ","BEST_FPERIOD_OVERRIDE=FQ","FILING_STATUS=OR","EQY_CONSOLIDATED=Y","Sort=A","Dates=H","DateFormat=P","Fill=—","Direction=H","UseDPDF=Y")</f>
        <v>#NAME?</v>
      </c>
      <c r="AI131" s="2" t="e">
        <f ca="1">_xll.BDH($C$128,"TOTAL_EQUITY_1_YEAR_GROWTH","FQ3 2014","FQ3 2014","Currency=INR","Period=FQ","BEST_FPERIOD_OVERRIDE=FQ","FILING_STATUS=OR","EQY_CONSOLIDATED=Y","Sort=A","Dates=H","DateFormat=P","Fill=—","Direction=H","UseDPDF=Y")</f>
        <v>#NAME?</v>
      </c>
      <c r="AJ131" s="2" t="e">
        <f ca="1">_xll.BDH($C$128,"GROWTH_IN_CAP","FQ3 2014","FQ3 2014","Currency=INR","Period=FQ","BEST_FPERIOD_OVERRIDE=FQ","FILING_STATUS=OR","EQY_CONSOLIDATED=Y","Sort=A","Dates=H","DateFormat=P","Fill=—","Direction=H","UseDPDF=Y")</f>
        <v>#NAME?</v>
      </c>
      <c r="AK131" s="2" t="e">
        <f ca="1">_xll.BDH($C$128,"BVPS_GROWTH","FQ3 2014","FQ3 2014","Currency=INR","Period=FQ","BEST_FPERIOD_OVERRIDE=FQ","FILING_STATUS=OR","EQY_CONSOLIDATED=Y","Sort=A","Dates=H","DateFormat=P","Fill=—","Direction=H","UseDPDF=Y")</f>
        <v>#NAME?</v>
      </c>
      <c r="AL131" s="2" t="e">
        <f ca="1">_xll.BDH($C$128,"CASH_FLOW_GROWTH","FQ3 2014","FQ3 2014","Currency=INR","Period=FQ","BEST_FPERIOD_OVERRIDE=FQ","FILING_STATUS=OR","EQY_CONSOLIDATED=Y","Sort=A","Dates=H","DateFormat=P","Fill=—","Direction=H","UseDPDF=Y")</f>
        <v>#NAME?</v>
      </c>
      <c r="AM131" s="2" t="e">
        <f ca="1">_xll.BDH($C$128,"GEO_GROW_NET_SALES","FQ3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131" s="2" t="e">
        <f ca="1">_xll.BDH($C$128,"GEO_GROW_EBITDA","FQ3 2014","FQ3 2014","Currency=INR","Period=FQ","BEST_FPERIOD_OVERRIDE=FQ","FILING_STATUS=OR","EQY_CONSOLIDATED=Y","FA_ADJUSTED=GAAP","Sort=A","Dates=H","DateFormat=P","Fill=—","Direction=H","UseDPDF=Y")</f>
        <v>#NAME?</v>
      </c>
      <c r="AO131" s="2" t="e">
        <f ca="1">_xll.BDH($C$128,"GEO_GROW_OPER_INC","FQ3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131" s="2" t="e">
        <f ca="1">_xll.BDH($C$128,"NET_INCOME_TO_COMMON_5_YR_GROWTH","FQ3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131" s="2" t="e">
        <f ca="1">_xll.BDH($C$128,"5Y_GEO_GROWTH_DILUTED_EPS","FQ3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131" s="2" t="e">
        <f ca="1">_xll.BDH($C$128,"GEO_GROW_DVD_PER_SH","FQ3 2014","FQ3 2014","Currency=INR","Period=FQ","BEST_FPERIOD_OVERRIDE=FQ","FILING_STATUS=OR","EQY_CONSOLIDATED=Y","Sort=A","Dates=H","DateFormat=P","Fill=—","Direction=H","UseDPDF=Y")</f>
        <v>#NAME?</v>
      </c>
      <c r="AS131" s="2" t="e">
        <f ca="1">_xll.BDH($C$128,"ACCOUNTS_RECEIVABLE_5_YR_GROWTH","FQ3 2014","FQ3 2014","Currency=INR","Period=FQ","BEST_FPERIOD_OVERRIDE=FQ","FILING_STATUS=OR","EQY_CONSOLIDATED=Y","Sort=A","Dates=H","DateFormat=P","Fill=—","Direction=H","UseDPDF=Y")</f>
        <v>#NAME?</v>
      </c>
      <c r="AT131" s="2" t="e">
        <f ca="1">_xll.BDH($C$128,"INVENTORY_5_YEAR_GROWTH","FQ3 2014","FQ3 2014","Currency=INR","Period=FQ","BEST_FPERIOD_OVERRIDE=FQ","FILING_STATUS=OR","EQY_CONSOLIDATED=Y","Sort=A","Dates=H","DateFormat=P","Fill=—","Direction=H","UseDPDF=Y")</f>
        <v>#NAME?</v>
      </c>
      <c r="AU131" s="2" t="e">
        <f ca="1">_xll.BDH($C$128,"NET_FIXED_ASSETS_5_YEAR_GROWTH","FQ3 2014","FQ3 2014","Currency=INR","Period=FQ","BEST_FPERIOD_OVERRIDE=FQ","FILING_STATUS=OR","EQY_CONSOLIDATED=Y","Sort=A","Dates=H","DateFormat=P","Fill=—","Direction=H","UseDPDF=Y")</f>
        <v>#NAME?</v>
      </c>
      <c r="AV131" s="2" t="e">
        <f ca="1">_xll.BDH($C$128,"GEO_GROW_TOT_ASSET","FQ3 2014","FQ3 2014","Currency=INR","Period=FQ","BEST_FPERIOD_OVERRIDE=FQ","FILING_STATUS=OR","EQY_CONSOLIDATED=Y","Sort=A","Dates=H","DateFormat=P","Fill=—","Direction=H","UseDPDF=Y")</f>
        <v>#NAME?</v>
      </c>
      <c r="AW131" s="2" t="e">
        <f ca="1">_xll.BDH($C$128,"MODIFIED_WORKING_CPTL_5YR_GRWTH","FQ3 2014","FQ3 2014","Currency=INR","Period=FQ","BEST_FPERIOD_OVERRIDE=FQ","FILING_STATUS=OR","EQY_CONSOLIDATED=Y","Sort=A","Dates=H","DateFormat=P","Fill=—","Direction=H","UseDPDF=Y")</f>
        <v>#NAME?</v>
      </c>
      <c r="AX131" s="2" t="e">
        <f ca="1">_xll.BDH($C$128,"WORKING_CAPITAL_5_YEAR_GROWTH","FQ3 2014","FQ3 2014","Currency=INR","Period=FQ","BEST_FPERIOD_OVERRIDE=FQ","FILING_STATUS=OR","EQY_CONSOLIDATED=Y","Sort=A","Dates=H","DateFormat=P","Fill=—","Direction=H","UseDPDF=Y")</f>
        <v>#NAME?</v>
      </c>
      <c r="AY131" s="2" t="e">
        <f ca="1">_xll.BDH($C$128,"ACCOUNTS_PAYABLE_5_YEAR_GROWTH","FQ3 2014","FQ3 2014","Currency=INR","Period=FQ","BEST_FPERIOD_OVERRIDE=FQ","FILING_STATUS=OR","EQY_CONSOLIDATED=Y","Sort=A","Dates=H","DateFormat=P","Fill=—","Direction=H","UseDPDF=Y")</f>
        <v>#NAME?</v>
      </c>
      <c r="AZ131" s="2" t="e">
        <f ca="1">_xll.BDH($C$128,"SHORT_TERM_DEBT_5_YEAR_GROWTH","FQ3 2014","FQ3 2014","Currency=INR","Period=FQ","BEST_FPERIOD_OVERRIDE=FQ","FILING_STATUS=OR","EQY_CONSOLIDATED=Y","Sort=A","Dates=H","DateFormat=P","Fill=—","Direction=H","UseDPDF=Y")</f>
        <v>#NAME?</v>
      </c>
      <c r="BA131" s="2" t="e">
        <f ca="1">_xll.BDH($C$128,"TOTAL_DEBT_5_YEAR_GROWTH","FQ3 2014","FQ3 2014","Currency=INR","Period=FQ","BEST_FPERIOD_OVERRIDE=FQ","FILING_STATUS=OR","EQY_CONSOLIDATED=Y","Sort=A","Dates=H","DateFormat=P","Fill=—","Direction=H","UseDPDF=Y")</f>
        <v>#NAME?</v>
      </c>
      <c r="BB131" s="2" t="e">
        <f ca="1">_xll.BDH($C$128,"GEO_GROW_TOT_SHRHLDR_EQY","FQ3 2014","FQ3 2014","Currency=INR","Period=FQ","BEST_FPERIOD_OVERRIDE=FQ","FILING_STATUS=OR","EQY_CONSOLIDATED=Y","Sort=A","Dates=H","DateFormat=P","Fill=—","Direction=H","UseDPDF=Y")</f>
        <v>#NAME?</v>
      </c>
      <c r="BC131" s="2" t="e">
        <f ca="1">_xll.BDH($C$128,"TOTAL_CAPITAL_5_YEAR_GROWTH","FQ3 2014","FQ3 2014","Currency=INR","Period=FQ","BEST_FPERIOD_OVERRIDE=FQ","FILING_STATUS=OR","EQY_CONSOLIDATED=Y","Sort=A","Dates=H","DateFormat=P","Fill=—","Direction=H","UseDPDF=Y")</f>
        <v>#NAME?</v>
      </c>
      <c r="BD131" s="2" t="e">
        <f ca="1">_xll.BDH($C$128,"GEO_GROW_BOOK_VAL","FQ3 2014","FQ3 2014","Currency=INR","Period=FQ","BEST_FPERIOD_OVERRIDE=FQ","FILING_STATUS=OR","EQY_CONSOLIDATED=Y","Sort=A","Dates=H","DateFormat=P","Fill=—","Direction=H","UseDPDF=Y")</f>
        <v>#NAME?</v>
      </c>
      <c r="BE131" s="2" t="e">
        <f ca="1">_xll.BDH($C$128,"GEO_GROW_CASH_OPER_ACT","FQ3 2014","FQ3 2014","Currency=INR","Period=FQ","BEST_FPERIOD_OVERRIDE=FQ","FILING_STATUS=OR","EQY_CONSOLIDATED=Y","Sort=A","Dates=H","DateFormat=P","Fill=—","Direction=H","UseDPDF=Y")</f>
        <v>#NAME?</v>
      </c>
      <c r="BF131" s="2" t="e">
        <f ca="1">_xll.BDH($C$128,"REVENUE_SEQUENTIAL_GROWTH","FQ3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131" s="2" t="e">
        <f ca="1">_xll.BDH($C$128,"EBITDA_SEQUENTIAL_GROWTH","FQ3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131" s="2" t="e">
        <f ca="1">_xll.BDH($C$128,"OPERATING_INCOME_SEQ_GROWTH","FQ3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131" s="2" t="e">
        <f ca="1">_xll.BDH($C$128,"NET_INCOME_TO_COMMON_SEQ_GROWTH","FQ3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131" s="2" t="e">
        <f ca="1">_xll.BDH($C$128,"EPS_DILUTED_SEQUENTIAL_GROWTH","FQ3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131" s="2" t="e">
        <f ca="1">_xll.BDH($C$128,"DPS_SEQUENTIAL_GROWTH","FQ3 2014","FQ3 2014","Currency=INR","Period=FQ","BEST_FPERIOD_OVERRIDE=FQ","FILING_STATUS=OR","EQY_CONSOLIDATED=Y","Sort=A","Dates=H","DateFormat=P","Fill=—","Direction=H","UseDPDF=Y")</f>
        <v>#NAME?</v>
      </c>
      <c r="BL131" s="2" t="e">
        <f ca="1">_xll.BDH($C$128,"ACCOUNTS_RECEIVABLE_SEQ_GROWTH","FQ3 2014","FQ3 2014","Currency=INR","Period=FQ","BEST_FPERIOD_OVERRIDE=FQ","FILING_STATUS=OR","EQY_CONSOLIDATED=Y","Sort=A","Dates=H","DateFormat=P","Fill=—","Direction=H","UseDPDF=Y")</f>
        <v>#NAME?</v>
      </c>
      <c r="BM131" s="2" t="e">
        <f ca="1">_xll.BDH($C$128,"INVENTORY_SEQUENTIAL_GROWTH","FQ3 2014","FQ3 2014","Currency=INR","Period=FQ","BEST_FPERIOD_OVERRIDE=FQ","FILING_STATUS=OR","EQY_CONSOLIDATED=Y","Sort=A","Dates=H","DateFormat=P","Fill=—","Direction=H","UseDPDF=Y")</f>
        <v>#NAME?</v>
      </c>
      <c r="BN131" s="2" t="e">
        <f ca="1">_xll.BDH($C$128,"FIXED_ASSETS_SEQUENTIAL_GROWTH","FQ3 2014","FQ3 2014","Currency=INR","Period=FQ","BEST_FPERIOD_OVERRIDE=FQ","FILING_STATUS=OR","EQY_CONSOLIDATED=Y","Sort=A","Dates=H","DateFormat=P","Fill=—","Direction=H","UseDPDF=Y")</f>
        <v>#NAME?</v>
      </c>
      <c r="BO131" s="2" t="e">
        <f ca="1">_xll.BDH($C$128,"TOTAL_ASSETS_SEQUENTIAL_GROWTH","FQ3 2014","FQ3 2014","Currency=INR","Period=FQ","BEST_FPERIOD_OVERRIDE=FQ","FILING_STATUS=OR","EQY_CONSOLIDATED=Y","Sort=A","Dates=H","DateFormat=P","Fill=—","Direction=H","UseDPDF=Y")</f>
        <v>#NAME?</v>
      </c>
      <c r="BP131" s="2" t="e">
        <f ca="1">_xll.BDH($C$128,"MODIFIED_WORKING_CPTL_SEQ_GRWTH","FQ3 2014","FQ3 2014","Currency=INR","Period=FQ","BEST_FPERIOD_OVERRIDE=FQ","FILING_STATUS=OR","EQY_CONSOLIDATED=Y","Sort=A","Dates=H","DateFormat=P","Fill=—","Direction=H","UseDPDF=Y")</f>
        <v>#NAME?</v>
      </c>
      <c r="BQ131" s="2" t="e">
        <f ca="1">_xll.BDH($C$128,"WORKING_CAPITAL_SEQ_GROWTH","FQ3 2014","FQ3 2014","Currency=INR","Period=FQ","BEST_FPERIOD_OVERRIDE=FQ","FILING_STATUS=OR","EQY_CONSOLIDATED=Y","Sort=A","Dates=H","DateFormat=P","Fill=—","Direction=H","UseDPDF=Y")</f>
        <v>#NAME?</v>
      </c>
      <c r="BR131" s="2" t="e">
        <f ca="1">_xll.BDH($C$128,"ACCOUNTS_PAYABLE_SEQ_GROWTH","FQ3 2014","FQ3 2014","Currency=INR","Period=FQ","BEST_FPERIOD_OVERRIDE=FQ","FILING_STATUS=OR","EQY_CONSOLIDATED=Y","Sort=A","Dates=H","DateFormat=P","Fill=—","Direction=H","UseDPDF=Y")</f>
        <v>#NAME?</v>
      </c>
      <c r="BS131" s="2" t="e">
        <f ca="1">_xll.BDH($C$128,"ST_DEBT_SEQUENTIAL_GROWTH","FQ3 2014","FQ3 2014","Currency=INR","Period=FQ","BEST_FPERIOD_OVERRIDE=FQ","FILING_STATUS=OR","EQY_CONSOLIDATED=Y","Sort=A","Dates=H","DateFormat=P","Fill=—","Direction=H","UseDPDF=Y")</f>
        <v>#NAME?</v>
      </c>
      <c r="BT131" s="2" t="e">
        <f ca="1">_xll.BDH($C$128,"TOTAL_DEBT_SEQUENTIAL_GROWTH","FQ3 2014","FQ3 2014","Currency=INR","Period=FQ","BEST_FPERIOD_OVERRIDE=FQ","FILING_STATUS=OR","EQY_CONSOLIDATED=Y","Sort=A","Dates=H","DateFormat=P","Fill=—","Direction=H","UseDPDF=Y")</f>
        <v>#NAME?</v>
      </c>
      <c r="BU131" s="2" t="e">
        <f ca="1">_xll.BDH($C$128,"TOTAL_EQUITY_SEQUENTIAL_GROWTH","FQ3 2014","FQ3 2014","Currency=INR","Period=FQ","BEST_FPERIOD_OVERRIDE=FQ","FILING_STATUS=OR","EQY_CONSOLIDATED=Y","Sort=A","Dates=H","DateFormat=P","Fill=—","Direction=H","UseDPDF=Y")</f>
        <v>#NAME?</v>
      </c>
      <c r="BV131" s="2" t="e">
        <f ca="1">_xll.BDH($C$128,"TOTAL_CAPITAL_SEQUENTIAL_GROWTH","FQ3 2014","FQ3 2014","Currency=INR","Period=FQ","BEST_FPERIOD_OVERRIDE=FQ","FILING_STATUS=OR","EQY_CONSOLIDATED=Y","Sort=A","Dates=H","DateFormat=P","Fill=—","Direction=H","UseDPDF=Y")</f>
        <v>#NAME?</v>
      </c>
      <c r="BW131" s="2" t="e">
        <f ca="1">_xll.BDH($C$128,"BPS_SEQUENTIAL_GROWTH","FQ3 2014","FQ3 2014","Currency=INR","Period=FQ","BEST_FPERIOD_OVERRIDE=FQ","FILING_STATUS=OR","EQY_CONSOLIDATED=Y","Sort=A","Dates=H","DateFormat=P","Fill=—","Direction=H","UseDPDF=Y")</f>
        <v>#NAME?</v>
      </c>
      <c r="BX131" s="2" t="e">
        <f ca="1">_xll.BDH($C$128,"CFO_SEQUENTIAL_GROWTH","FQ3 2014","FQ3 2014","Currency=INR","Period=FQ","BEST_FPERIOD_OVERRIDE=FQ","FILING_STATUS=OR","EQY_CONSOLIDATED=Y","Sort=A","Dates=H","DateFormat=P","Fill=—","Direction=H","UseDPDF=Y")</f>
        <v>#NAME?</v>
      </c>
      <c r="BY131" s="3" t="e">
        <f ca="1">_xll.BDH($C$128,"SHORT_AND_LONG_TERM_DEBT","FQ3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131" s="3" t="e">
        <f ca="1">_xll.BDH($C$128,"BS_ST_BORROW","FQ3 2014","FQ3 2014","Currency=INR","Period=FQ","BEST_FPERIOD_OVERRIDE=FQ","FILING_STATUS=OR","EQY_CONSOLIDATED=Y","SCALING_FORMAT=MLN","Sort=A","Dates=H","DateFormat=P","Fill=—","Direction=H","UseDPDF=Y")</f>
        <v>#NAME?</v>
      </c>
      <c r="CA131" s="3" t="e">
        <f ca="1">_xll.BDH($C$128,"BS_LT_BORROW","FQ3 2014","FQ3 2014","Currency=INR","Period=FQ","BEST_FPERIOD_OVERRIDE=FQ","FILING_STATUS=OR","EQY_CONSOLIDATED=Y","SCALING_FORMAT=MLN","Sort=A","Dates=H","DateFormat=P","Fill=—","Direction=H","UseDPDF=Y")</f>
        <v>#NAME?</v>
      </c>
      <c r="CB131" s="2" t="e">
        <f ca="1">_xll.BDH($C$128,"TOT_DEBT_TO_EBITDA","FQ3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131" s="2" t="e">
        <f ca="1">_xll.BDH($C$128,"NET_DEBT_TO_EBITDA","FQ3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131" s="2" t="e">
        <f ca="1">_xll.BDH($C$128,"TOTAL_DEBT_TO_EBIT","FQ3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131" s="2" t="e">
        <f ca="1">_xll.BDH($C$128,"NET_DEBT_TO_EBIT","FQ3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131" s="2" t="e">
        <f ca="1">_xll.BDH($C$128,"EBITDA_TO_INTEREST_EXPN","FQ3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131" s="2" t="e">
        <f ca="1">_xll.BDH($C$128,"COM_EQY_TO_TOT_ASSET","FQ3 2014","FQ3 2014","Currency=INR","Period=FQ","BEST_FPERIOD_OVERRIDE=FQ","FILING_STATUS=OR","EQY_CONSOLIDATED=Y","Sort=A","Dates=H","DateFormat=P","Fill=—","Direction=H","UseDPDF=Y")</f>
        <v>#NAME?</v>
      </c>
      <c r="CH131" s="2" t="e">
        <f ca="1">_xll.BDH($C$128,"LT_DEBT_TO_TOT_EQY","FQ3 2014","FQ3 2014","Currency=INR","Period=FQ","BEST_FPERIOD_OVERRIDE=FQ","FILING_STATUS=OR","EQY_CONSOLIDATED=Y","Sort=A","Dates=H","DateFormat=P","Fill=—","Direction=H","UseDPDF=Y")</f>
        <v>#NAME?</v>
      </c>
      <c r="CI131" s="2" t="e">
        <f ca="1">_xll.BDH($C$128,"LT_DEBT_TO_TOT_CAP","FQ3 2014","FQ3 2014","Currency=INR","Period=FQ","BEST_FPERIOD_OVERRIDE=FQ","FILING_STATUS=OR","EQY_CONSOLIDATED=Y","Sort=A","Dates=H","DateFormat=P","Fill=—","Direction=H","UseDPDF=Y")</f>
        <v>#NAME?</v>
      </c>
      <c r="CJ131" s="2" t="e">
        <f ca="1">_xll.BDH($C$128,"LT_DEBT_TO_TOT_ASSET","FQ3 2014","FQ3 2014","Currency=INR","Period=FQ","BEST_FPERIOD_OVERRIDE=FQ","FILING_STATUS=OR","EQY_CONSOLIDATED=Y","Sort=A","Dates=H","DateFormat=P","Fill=—","Direction=H","UseDPDF=Y")</f>
        <v>#NAME?</v>
      </c>
      <c r="CK131" s="2" t="e">
        <f ca="1">_xll.BDH($C$128,"TOT_DEBT_TO_TOT_EQY","FQ3 2014","FQ3 2014","Currency=INR","Period=FQ","BEST_FPERIOD_OVERRIDE=FQ","FILING_STATUS=OR","EQY_CONSOLIDATED=Y","Sort=A","Dates=H","DateFormat=P","Fill=—","Direction=H","UseDPDF=Y")</f>
        <v>#NAME?</v>
      </c>
      <c r="CL131" s="2" t="e">
        <f ca="1">_xll.BDH($C$128,"TOT_DEBT_TO_TOT_CAP","FQ3 2014","FQ3 2014","Currency=INR","Period=FQ","BEST_FPERIOD_OVERRIDE=FQ","FILING_STATUS=OR","EQY_CONSOLIDATED=Y","Sort=A","Dates=H","DateFormat=P","Fill=—","Direction=H","UseDPDF=Y")</f>
        <v>#NAME?</v>
      </c>
      <c r="CM131" s="2" t="e">
        <f ca="1">_xll.BDH($C$128,"TOT_DEBT_TO_TOT_ASSET","FQ3 2014","FQ3 2014","Currency=INR","Period=FQ","BEST_FPERIOD_OVERRIDE=FQ","FILING_STATUS=OR","EQY_CONSOLIDATED=Y","Sort=A","Dates=H","DateFormat=P","Fill=—","Direction=H","UseDPDF=Y")</f>
        <v>#NAME?</v>
      </c>
      <c r="CN131" s="2" t="e">
        <f ca="1">_xll.BDH($C$128,"NET_DEBT_TO_SHRHLDR_EQTY","FQ3 2014","FQ3 2014","Currency=INR","Period=FQ","BEST_FPERIOD_OVERRIDE=FQ","FILING_STATUS=OR","EQY_CONSOLIDATED=Y","Sort=A","Dates=H","DateFormat=P","Fill=—","Direction=H","UseDPDF=Y")</f>
        <v>#NAME?</v>
      </c>
      <c r="CO131" s="2" t="e">
        <f ca="1">_xll.BDH($C$128,"NET_DEBT_%_CAPITAL","FQ3 2014","FQ3 2014","Currency=INR","Period=FQ","BEST_FPERIOD_OVERRIDE=FQ","FILING_STATUS=OR","EQY_CONSOLIDATED=Y","Sort=A","Dates=H","DateFormat=P","Fill=—","Direction=H","UseDPDF=Y")</f>
        <v>#NAME?</v>
      </c>
      <c r="CP131" s="3" t="e">
        <f ca="1">_xll.BDH($C$128,"EBITDA","FQ3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131" s="3" t="e">
        <f ca="1">_xll.BDH($C$128,"EBITDA_AFTER_CAPEX","FQ3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131" s="3" t="e">
        <f ca="1">_xll.BDH($C$128,"IS_OPER_INC","FQ3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131" s="2" t="e">
        <f ca="1">_xll.BDH($C$128,"CASH_RATIO","FQ3 2014","FQ3 2014","Currency=INR","Period=FQ","BEST_FPERIOD_OVERRIDE=FQ","FILING_STATUS=OR","EQY_CONSOLIDATED=Y","Sort=A","Dates=H","DateFormat=P","Fill=—","Direction=H","UseDPDF=Y")</f>
        <v>#NAME?</v>
      </c>
      <c r="CT131" s="2" t="e">
        <f ca="1">_xll.BDH($C$128,"CUR_RATIO","FQ3 2014","FQ3 2014","Currency=INR","Period=FQ","BEST_FPERIOD_OVERRIDE=FQ","FILING_STATUS=OR","EQY_CONSOLIDATED=Y","Sort=A","Dates=H","DateFormat=P","Fill=—","Direction=H","UseDPDF=Y")</f>
        <v>#NAME?</v>
      </c>
      <c r="CU131" s="2" t="e">
        <f ca="1">_xll.BDH($C$128,"QUICK_RATIO","FQ3 2014","FQ3 2014","Currency=INR","Period=FQ","BEST_FPERIOD_OVERRIDE=FQ","FILING_STATUS=OR","EQY_CONSOLIDATED=Y","Sort=A","Dates=H","DateFormat=P","Fill=—","Direction=H","UseDPDF=Y")</f>
        <v>#NAME?</v>
      </c>
      <c r="CV131" s="2" t="e">
        <f ca="1">_xll.BDH($C$128,"ALTMAN_Z_SCORE","FQ3 2014","FQ3 2014","Currency=INR","Period=FQ","BEST_FPERIOD_OVERRIDE=FQ","FILING_STATUS=OR","EQY_CONSOLIDATED=Y","Sort=A","Dates=H","DateFormat=P","Fill=—","Direction=H","UseDPDF=Y")</f>
        <v>#NAME?</v>
      </c>
      <c r="CW131" s="4" t="e">
        <f ca="1">_xll.BDH($C$128,"ACCT_RCV_TURN","FQ3 2014","FQ3 2014","Currency=INR","Period=FQ","BEST_FPERIOD_OVERRIDE=FQ","FILING_STATUS=OR","EQY_CONSOLIDATED=Y","FA_ADJUSTED=GAAP","Sort=A","Dates=H","DateFormat=P","Fill=—","Direction=H","UseDPDF=Y")</f>
        <v>#NAME?</v>
      </c>
      <c r="CX131" s="2" t="e">
        <f ca="1">_xll.BDH($C$128,"ACCT_RCV_DAYS","FQ3 2014","FQ3 2014","Currency=INR","Period=FQ","BEST_FPERIOD_OVERRIDE=FQ","FILING_STATUS=OR","EQY_CONSOLIDATED=Y","FA_ADJUSTED=GAAP","Sort=A","Dates=H","DateFormat=P","Fill=—","Direction=H","UseDPDF=Y")</f>
        <v>#NAME?</v>
      </c>
      <c r="CY131" s="4" t="e">
        <f ca="1">_xll.BDH($C$128,"INVENT_TURN","FQ3 2014","FQ3 2014","Currency=INR","Period=FQ","BEST_FPERIOD_OVERRIDE=FQ","FILING_STATUS=OR","EQY_CONSOLIDATED=Y","FA_ADJUSTED=GAAP","Sort=A","Dates=H","DateFormat=P","Fill=—","Direction=H","UseDPDF=Y")</f>
        <v>#NAME?</v>
      </c>
      <c r="CZ131" s="2" t="e">
        <f ca="1">_xll.BDH($C$128,"INVENT_DAYS","FQ3 2014","FQ3 2014","Currency=INR","Period=FQ","BEST_FPERIOD_OVERRIDE=FQ","FILING_STATUS=OR","EQY_CONSOLIDATED=Y","FA_ADJUSTED=GAAP","Sort=A","Dates=H","DateFormat=P","Fill=—","Direction=H","UseDPDF=Y")</f>
        <v>#NAME?</v>
      </c>
      <c r="DA131" s="4" t="e">
        <f ca="1">_xll.BDH($C$128,"ACCOUNTS_PAYABLE_TURNOVER","FQ3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131" s="2" t="e">
        <f ca="1">_xll.BDH($C$128,"ACCOUNTS_PAYABLE_TURNOVER_DAYS","FQ3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131" s="4" t="e">
        <f ca="1">_xll.BDH($C$128,"CASH_CONVERSION_CYCLE","FQ3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131" s="4" t="e">
        <f ca="1">_xll.BDH($C$128,"INV_TO_CASH_DAYS","FQ3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131" s="5" t="e">
        <f ca="1">_xll.BDH($C$128,"BS_INVENTORIES","FQ3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131" s="3" t="e">
        <f ca="1">_xll.BDH($C$128,"INVTRY_RAW_MATERIALS","FQ3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131" s="3" t="e">
        <f ca="1">_xll.BDH($C$128,"INVTRY_IN_PROGRESS","FQ3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131" s="3" t="e">
        <f ca="1">_xll.BDH($C$128,"INVTRY_FINISHED_GOODS","FQ3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131" s="3" t="e">
        <f ca="1">_xll.BDH($C$128,"BS_OTHER_INV","FQ3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132" spans="1:113" x14ac:dyDescent="0.3">
      <c r="A132" s="6"/>
      <c r="B132" s="6"/>
      <c r="C132" s="6"/>
      <c r="D132" s="6"/>
      <c r="E132" t="s">
        <v>81</v>
      </c>
      <c r="F132" t="e">
        <f ca="1">_xll.BDH($C$128,"RETURN_COM_EQY","FQ4 2014","FQ4 2014","Currency=INR","Period=FQ","BEST_FPERIOD_OVERRIDE=FQ","FILING_STATUS=OR","EQY_CONSOLIDATED=Y","FA_ADJUSTED=GAAP","Sort=A","Dates=H","DateFormat=P","Fill=—","Direction=H","UseDPDF=Y")</f>
        <v>#NAME?</v>
      </c>
      <c r="G132" t="e">
        <f ca="1">_xll.BDH($C$128,"RETURN_ON_ASSET","FQ4 2014","FQ4 2014","Currency=INR","Period=FQ","BEST_FPERIOD_OVERRIDE=FQ","FILING_STATUS=OR","EQY_CONSOLIDATED=Y","FA_ADJUSTED=GAAP","Sort=A","Dates=H","DateFormat=P","Fill=—","Direction=H","UseDPDF=Y")</f>
        <v>#NAME?</v>
      </c>
      <c r="H132" t="e">
        <f ca="1">_xll.BDH($C$128,"RETURN_ON_CAP","FQ4 2014","FQ4 2014","Currency=INR","Period=FQ","BEST_FPERIOD_OVERRIDE=FQ","FILING_STATUS=OR","EQY_CONSOLIDATED=Y","FA_ADJUSTED=GAAP","Sort=A","Dates=H","DateFormat=P","Fill=—","Direction=H","UseDPDF=Y")</f>
        <v>#NAME?</v>
      </c>
      <c r="I132" t="e">
        <f ca="1">_xll.BDH($C$128,"RETURN_ON_INV_CAPITAL","FQ4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132" t="e">
        <f ca="1">_xll.BDH($C$128,"EBITDA_TO_REVENUE","FQ4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132" t="e">
        <f ca="1">_xll.BDH($C$128,"OPER_MARGIN","FQ4 2014","FQ4 2014","Currency=INR","Period=FQ","BEST_FPERIOD_OVERRIDE=FQ","FILING_STATUS=OR","EQY_CONSOLIDATED=Y","FA_ADJUSTED=GAAP","Sort=A","Dates=H","DateFormat=P","Fill=—","Direction=H","UseDPDF=Y")</f>
        <v>#NAME?</v>
      </c>
      <c r="L132" t="e">
        <f ca="1">_xll.BDH($C$128,"INCREMENTAL_OPERATING_MARGIN","FQ4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132" t="e">
        <f ca="1">_xll.BDH($C$128,"PRETAX_INC_TO_NET_SALES","FQ4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132" t="e">
        <f ca="1">_xll.BDH($C$128,"INC_BEF_XO_ITEMS_TO_NET_SALES","FQ4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132" t="e">
        <f ca="1">_xll.BDH($C$128,"PROF_MARGIN","FQ4 2014","FQ4 2014","Currency=INR","Period=FQ","BEST_FPERIOD_OVERRIDE=FQ","FILING_STATUS=OR","EQY_CONSOLIDATED=Y","FA_ADJUSTED=GAAP","Sort=A","Dates=H","DateFormat=P","Fill=—","Direction=H","UseDPDF=Y")</f>
        <v>#NAME?</v>
      </c>
      <c r="P132" t="e">
        <f ca="1">_xll.BDH($C$128,"NET_INCOME_TO_COMMON_MARGIN","FQ4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132" t="e">
        <f ca="1">_xll.BDH($C$128,"EFF_TAX_RATE","FQ4 2014","FQ4 2014","Currency=INR","Period=FQ","BEST_FPERIOD_OVERRIDE=FQ","FILING_STATUS=OR","EQY_CONSOLIDATED=Y","FA_ADJUSTED=GAAP","Sort=A","Dates=H","DateFormat=P","Fill=—","Direction=H","UseDPDF=Y")</f>
        <v>#NAME?</v>
      </c>
      <c r="R132" t="e">
        <f ca="1">_xll.BDH($C$128,"DVD_PAYOUT_RATIO","FQ4 2014","FQ4 2014","Currency=INR","Period=FQ","BEST_FPERIOD_OVERRIDE=FQ","FILING_STATUS=OR","EQY_CONSOLIDATED=Y","FA_ADJUSTED=GAAP","Sort=A","Dates=H","DateFormat=P","Fill=—","Direction=H","UseDPDF=Y")</f>
        <v>#NAME?</v>
      </c>
      <c r="S132" t="e">
        <f ca="1">_xll.BDH($C$128,"SUSTAIN_GROWTH_RT","FQ4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132" s="2" t="e">
        <f ca="1">_xll.BDH($C$128,"SALES_GROWTH","FQ4 2014","FQ4 2014","Currency=INR","Period=FQ","BEST_FPERIOD_OVERRIDE=FQ","FILING_STATUS=OR","EQY_CONSOLIDATED=Y","FA_ADJUSTED=GAAP","Sort=A","Dates=H","DateFormat=P","Fill=—","Direction=H","UseDPDF=Y")</f>
        <v>#NAME?</v>
      </c>
      <c r="U132" s="2" t="e">
        <f ca="1">_xll.BDH($C$128,"EBITDA_GROWTH","FQ4 2014","FQ4 2014","Currency=INR","Period=FQ","BEST_FPERIOD_OVERRIDE=FQ","FILING_STATUS=OR","EQY_CONSOLIDATED=Y","FA_ADJUSTED=GAAP","Sort=A","Dates=H","DateFormat=P","Fill=—","Direction=H","UseDPDF=Y")</f>
        <v>#NAME?</v>
      </c>
      <c r="V132" s="2" t="e">
        <f ca="1">_xll.BDH($C$128,"OPER_INC_GROWTH","FQ4 2014","FQ4 2014","Currency=INR","Period=FQ","BEST_FPERIOD_OVERRIDE=FQ","FILING_STATUS=OR","EQY_CONSOLIDATED=Y","FA_ADJUSTED=GAAP","Sort=A","Dates=H","DateFormat=P","Fill=—","Direction=H","UseDPDF=Y")</f>
        <v>#NAME?</v>
      </c>
      <c r="W132" s="2" t="e">
        <f ca="1">_xll.BDH($C$128,"EARN_FOR_COM_GROWTH","FQ4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132" s="2" t="e">
        <f ca="1">_xll.BDH($C$128,"DILUTED_EPS_AFT_XO_ITEMS_GROWTH","FQ4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132" s="2" t="e">
        <f ca="1">_xll.BDH($C$128,"DIVIDEND_PER_SHARE_1_YEAR_GROWTH","FQ4 2014","FQ4 2014","Currency=INR","Period=FQ","BEST_FPERIOD_OVERRIDE=FQ","FILING_STATUS=OR","EQY_CONSOLIDATED=Y","Sort=A","Dates=H","DateFormat=P","Fill=—","Direction=H","UseDPDF=Y")</f>
        <v>#NAME?</v>
      </c>
      <c r="Z132" s="2" t="e">
        <f ca="1">_xll.BDH($C$128,"ACCOUNTS_RECEIVABLE_GROWTH","FQ4 2014","FQ4 2014","Currency=INR","Period=FQ","BEST_FPERIOD_OVERRIDE=FQ","FILING_STATUS=OR","EQY_CONSOLIDATED=Y","Sort=A","Dates=H","DateFormat=P","Fill=—","Direction=H","UseDPDF=Y")</f>
        <v>#NAME?</v>
      </c>
      <c r="AA132" s="2" t="e">
        <f ca="1">_xll.BDH($C$128,"INVENTORY_GROWTH","FQ4 2014","FQ4 2014","Currency=INR","Period=FQ","BEST_FPERIOD_OVERRIDE=FQ","FILING_STATUS=OR","EQY_CONSOLIDATED=Y","Sort=A","Dates=H","DateFormat=P","Fill=—","Direction=H","UseDPDF=Y")</f>
        <v>#NAME?</v>
      </c>
      <c r="AB132" s="2" t="e">
        <f ca="1">_xll.BDH($C$128,"NET_FIXED_ASSETS_1_YEAR_GROWTH","FQ4 2014","FQ4 2014","Currency=INR","Period=FQ","BEST_FPERIOD_OVERRIDE=FQ","FILING_STATUS=OR","EQY_CONSOLIDATED=Y","Sort=A","Dates=H","DateFormat=P","Fill=—","Direction=H","UseDPDF=Y")</f>
        <v>#NAME?</v>
      </c>
      <c r="AC132" s="2" t="e">
        <f ca="1">_xll.BDH($C$128,"ASSET_GROWTH","FQ4 2014","FQ4 2014","Currency=INR","Period=FQ","BEST_FPERIOD_OVERRIDE=FQ","FILING_STATUS=OR","EQY_CONSOLIDATED=Y","Sort=A","Dates=H","DateFormat=P","Fill=—","Direction=H","UseDPDF=Y")</f>
        <v>#NAME?</v>
      </c>
      <c r="AD132" s="2" t="e">
        <f ca="1">_xll.BDH($C$128,"MODIFIED_WORK_CAP_GROWTH","FQ4 2014","FQ4 2014","Currency=INR","Period=FQ","BEST_FPERIOD_OVERRIDE=FQ","FILING_STATUS=OR","EQY_CONSOLIDATED=Y","Sort=A","Dates=H","DateFormat=P","Fill=—","Direction=H","UseDPDF=Y")</f>
        <v>#NAME?</v>
      </c>
      <c r="AE132" s="2" t="e">
        <f ca="1">_xll.BDH($C$128,"WORK_CAP_GROWTH","FQ4 2014","FQ4 2014","Currency=INR","Period=FQ","BEST_FPERIOD_OVERRIDE=FQ","FILING_STATUS=OR","EQY_CONSOLIDATED=Y","Sort=A","Dates=H","DateFormat=P","Fill=—","Direction=H","UseDPDF=Y")</f>
        <v>#NAME?</v>
      </c>
      <c r="AF132" s="2" t="e">
        <f ca="1">_xll.BDH($C$128,"ACCOUNTS_PAYABLE_GROWTH_1YR","FQ4 2014","FQ4 2014","Currency=INR","Period=FQ","BEST_FPERIOD_OVERRIDE=FQ","FILING_STATUS=OR","EQY_CONSOLIDATED=Y","Sort=A","Dates=H","DateFormat=P","Fill=—","Direction=H","UseDPDF=Y")</f>
        <v>#NAME?</v>
      </c>
      <c r="AG132" s="2" t="e">
        <f ca="1">_xll.BDH($C$128,"SHORT_TERM_DEBT_1_YEAR_GROWTH","FQ4 2014","FQ4 2014","Currency=INR","Period=FQ","BEST_FPERIOD_OVERRIDE=FQ","FILING_STATUS=OR","EQY_CONSOLIDATED=Y","Sort=A","Dates=H","DateFormat=P","Fill=—","Direction=H","UseDPDF=Y")</f>
        <v>#NAME?</v>
      </c>
      <c r="AH132" s="2" t="e">
        <f ca="1">_xll.BDH($C$128,"TOTAL_DEBT_1_YEAR_GROWTH","FQ4 2014","FQ4 2014","Currency=INR","Period=FQ","BEST_FPERIOD_OVERRIDE=FQ","FILING_STATUS=OR","EQY_CONSOLIDATED=Y","Sort=A","Dates=H","DateFormat=P","Fill=—","Direction=H","UseDPDF=Y")</f>
        <v>#NAME?</v>
      </c>
      <c r="AI132" s="2" t="e">
        <f ca="1">_xll.BDH($C$128,"TOTAL_EQUITY_1_YEAR_GROWTH","FQ4 2014","FQ4 2014","Currency=INR","Period=FQ","BEST_FPERIOD_OVERRIDE=FQ","FILING_STATUS=OR","EQY_CONSOLIDATED=Y","Sort=A","Dates=H","DateFormat=P","Fill=—","Direction=H","UseDPDF=Y")</f>
        <v>#NAME?</v>
      </c>
      <c r="AJ132" s="2" t="e">
        <f ca="1">_xll.BDH($C$128,"GROWTH_IN_CAP","FQ4 2014","FQ4 2014","Currency=INR","Period=FQ","BEST_FPERIOD_OVERRIDE=FQ","FILING_STATUS=OR","EQY_CONSOLIDATED=Y","Sort=A","Dates=H","DateFormat=P","Fill=—","Direction=H","UseDPDF=Y")</f>
        <v>#NAME?</v>
      </c>
      <c r="AK132" s="2" t="e">
        <f ca="1">_xll.BDH($C$128,"BVPS_GROWTH","FQ4 2014","FQ4 2014","Currency=INR","Period=FQ","BEST_FPERIOD_OVERRIDE=FQ","FILING_STATUS=OR","EQY_CONSOLIDATED=Y","Sort=A","Dates=H","DateFormat=P","Fill=—","Direction=H","UseDPDF=Y")</f>
        <v>#NAME?</v>
      </c>
      <c r="AL132" s="2" t="e">
        <f ca="1">_xll.BDH($C$128,"CASH_FLOW_GROWTH","FQ4 2014","FQ4 2014","Currency=INR","Period=FQ","BEST_FPERIOD_OVERRIDE=FQ","FILING_STATUS=OR","EQY_CONSOLIDATED=Y","Sort=A","Dates=H","DateFormat=P","Fill=—","Direction=H","UseDPDF=Y")</f>
        <v>#NAME?</v>
      </c>
      <c r="AM132" s="2" t="e">
        <f ca="1">_xll.BDH($C$128,"GEO_GROW_NET_SALES","FQ4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132" s="2" t="e">
        <f ca="1">_xll.BDH($C$128,"GEO_GROW_EBITDA","FQ4 2014","FQ4 2014","Currency=INR","Period=FQ","BEST_FPERIOD_OVERRIDE=FQ","FILING_STATUS=OR","EQY_CONSOLIDATED=Y","FA_ADJUSTED=GAAP","Sort=A","Dates=H","DateFormat=P","Fill=—","Direction=H","UseDPDF=Y")</f>
        <v>#NAME?</v>
      </c>
      <c r="AO132" s="2" t="e">
        <f ca="1">_xll.BDH($C$128,"GEO_GROW_OPER_INC","FQ4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132" s="2" t="e">
        <f ca="1">_xll.BDH($C$128,"NET_INCOME_TO_COMMON_5_YR_GROWTH","FQ4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132" s="2" t="e">
        <f ca="1">_xll.BDH($C$128,"5Y_GEO_GROWTH_DILUTED_EPS","FQ4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132" s="2" t="e">
        <f ca="1">_xll.BDH($C$128,"GEO_GROW_DVD_PER_SH","FQ4 2014","FQ4 2014","Currency=INR","Period=FQ","BEST_FPERIOD_OVERRIDE=FQ","FILING_STATUS=OR","EQY_CONSOLIDATED=Y","Sort=A","Dates=H","DateFormat=P","Fill=—","Direction=H","UseDPDF=Y")</f>
        <v>#NAME?</v>
      </c>
      <c r="AS132" s="2" t="e">
        <f ca="1">_xll.BDH($C$128,"ACCOUNTS_RECEIVABLE_5_YR_GROWTH","FQ4 2014","FQ4 2014","Currency=INR","Period=FQ","BEST_FPERIOD_OVERRIDE=FQ","FILING_STATUS=OR","EQY_CONSOLIDATED=Y","Sort=A","Dates=H","DateFormat=P","Fill=—","Direction=H","UseDPDF=Y")</f>
        <v>#NAME?</v>
      </c>
      <c r="AT132" s="2" t="e">
        <f ca="1">_xll.BDH($C$128,"INVENTORY_5_YEAR_GROWTH","FQ4 2014","FQ4 2014","Currency=INR","Period=FQ","BEST_FPERIOD_OVERRIDE=FQ","FILING_STATUS=OR","EQY_CONSOLIDATED=Y","Sort=A","Dates=H","DateFormat=P","Fill=—","Direction=H","UseDPDF=Y")</f>
        <v>#NAME?</v>
      </c>
      <c r="AU132" s="2" t="e">
        <f ca="1">_xll.BDH($C$128,"NET_FIXED_ASSETS_5_YEAR_GROWTH","FQ4 2014","FQ4 2014","Currency=INR","Period=FQ","BEST_FPERIOD_OVERRIDE=FQ","FILING_STATUS=OR","EQY_CONSOLIDATED=Y","Sort=A","Dates=H","DateFormat=P","Fill=—","Direction=H","UseDPDF=Y")</f>
        <v>#NAME?</v>
      </c>
      <c r="AV132" s="2" t="e">
        <f ca="1">_xll.BDH($C$128,"GEO_GROW_TOT_ASSET","FQ4 2014","FQ4 2014","Currency=INR","Period=FQ","BEST_FPERIOD_OVERRIDE=FQ","FILING_STATUS=OR","EQY_CONSOLIDATED=Y","Sort=A","Dates=H","DateFormat=P","Fill=—","Direction=H","UseDPDF=Y")</f>
        <v>#NAME?</v>
      </c>
      <c r="AW132" s="2" t="e">
        <f ca="1">_xll.BDH($C$128,"MODIFIED_WORKING_CPTL_5YR_GRWTH","FQ4 2014","FQ4 2014","Currency=INR","Period=FQ","BEST_FPERIOD_OVERRIDE=FQ","FILING_STATUS=OR","EQY_CONSOLIDATED=Y","Sort=A","Dates=H","DateFormat=P","Fill=—","Direction=H","UseDPDF=Y")</f>
        <v>#NAME?</v>
      </c>
      <c r="AX132" s="2" t="e">
        <f ca="1">_xll.BDH($C$128,"WORKING_CAPITAL_5_YEAR_GROWTH","FQ4 2014","FQ4 2014","Currency=INR","Period=FQ","BEST_FPERIOD_OVERRIDE=FQ","FILING_STATUS=OR","EQY_CONSOLIDATED=Y","Sort=A","Dates=H","DateFormat=P","Fill=—","Direction=H","UseDPDF=Y")</f>
        <v>#NAME?</v>
      </c>
      <c r="AY132" s="2" t="e">
        <f ca="1">_xll.BDH($C$128,"ACCOUNTS_PAYABLE_5_YEAR_GROWTH","FQ4 2014","FQ4 2014","Currency=INR","Period=FQ","BEST_FPERIOD_OVERRIDE=FQ","FILING_STATUS=OR","EQY_CONSOLIDATED=Y","Sort=A","Dates=H","DateFormat=P","Fill=—","Direction=H","UseDPDF=Y")</f>
        <v>#NAME?</v>
      </c>
      <c r="AZ132" s="2" t="e">
        <f ca="1">_xll.BDH($C$128,"SHORT_TERM_DEBT_5_YEAR_GROWTH","FQ4 2014","FQ4 2014","Currency=INR","Period=FQ","BEST_FPERIOD_OVERRIDE=FQ","FILING_STATUS=OR","EQY_CONSOLIDATED=Y","Sort=A","Dates=H","DateFormat=P","Fill=—","Direction=H","UseDPDF=Y")</f>
        <v>#NAME?</v>
      </c>
      <c r="BA132" s="2" t="e">
        <f ca="1">_xll.BDH($C$128,"TOTAL_DEBT_5_YEAR_GROWTH","FQ4 2014","FQ4 2014","Currency=INR","Period=FQ","BEST_FPERIOD_OVERRIDE=FQ","FILING_STATUS=OR","EQY_CONSOLIDATED=Y","Sort=A","Dates=H","DateFormat=P","Fill=—","Direction=H","UseDPDF=Y")</f>
        <v>#NAME?</v>
      </c>
      <c r="BB132" s="2" t="e">
        <f ca="1">_xll.BDH($C$128,"GEO_GROW_TOT_SHRHLDR_EQY","FQ4 2014","FQ4 2014","Currency=INR","Period=FQ","BEST_FPERIOD_OVERRIDE=FQ","FILING_STATUS=OR","EQY_CONSOLIDATED=Y","Sort=A","Dates=H","DateFormat=P","Fill=—","Direction=H","UseDPDF=Y")</f>
        <v>#NAME?</v>
      </c>
      <c r="BC132" s="2" t="e">
        <f ca="1">_xll.BDH($C$128,"TOTAL_CAPITAL_5_YEAR_GROWTH","FQ4 2014","FQ4 2014","Currency=INR","Period=FQ","BEST_FPERIOD_OVERRIDE=FQ","FILING_STATUS=OR","EQY_CONSOLIDATED=Y","Sort=A","Dates=H","DateFormat=P","Fill=—","Direction=H","UseDPDF=Y")</f>
        <v>#NAME?</v>
      </c>
      <c r="BD132" s="2" t="e">
        <f ca="1">_xll.BDH($C$128,"GEO_GROW_BOOK_VAL","FQ4 2014","FQ4 2014","Currency=INR","Period=FQ","BEST_FPERIOD_OVERRIDE=FQ","FILING_STATUS=OR","EQY_CONSOLIDATED=Y","Sort=A","Dates=H","DateFormat=P","Fill=—","Direction=H","UseDPDF=Y")</f>
        <v>#NAME?</v>
      </c>
      <c r="BE132" s="2" t="e">
        <f ca="1">_xll.BDH($C$128,"GEO_GROW_CASH_OPER_ACT","FQ4 2014","FQ4 2014","Currency=INR","Period=FQ","BEST_FPERIOD_OVERRIDE=FQ","FILING_STATUS=OR","EQY_CONSOLIDATED=Y","Sort=A","Dates=H","DateFormat=P","Fill=—","Direction=H","UseDPDF=Y")</f>
        <v>#NAME?</v>
      </c>
      <c r="BF132" s="2" t="e">
        <f ca="1">_xll.BDH($C$128,"REVENUE_SEQUENTIAL_GROWTH","FQ4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132" s="2" t="e">
        <f ca="1">_xll.BDH($C$128,"EBITDA_SEQUENTIAL_GROWTH","FQ4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132" s="2" t="e">
        <f ca="1">_xll.BDH($C$128,"OPERATING_INCOME_SEQ_GROWTH","FQ4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132" s="2" t="e">
        <f ca="1">_xll.BDH($C$128,"NET_INCOME_TO_COMMON_SEQ_GROWTH","FQ4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132" s="2" t="e">
        <f ca="1">_xll.BDH($C$128,"EPS_DILUTED_SEQUENTIAL_GROWTH","FQ4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132" s="2" t="e">
        <f ca="1">_xll.BDH($C$128,"DPS_SEQUENTIAL_GROWTH","FQ4 2014","FQ4 2014","Currency=INR","Period=FQ","BEST_FPERIOD_OVERRIDE=FQ","FILING_STATUS=OR","EQY_CONSOLIDATED=Y","Sort=A","Dates=H","DateFormat=P","Fill=—","Direction=H","UseDPDF=Y")</f>
        <v>#NAME?</v>
      </c>
      <c r="BL132" s="2" t="e">
        <f ca="1">_xll.BDH($C$128,"ACCOUNTS_RECEIVABLE_SEQ_GROWTH","FQ4 2014","FQ4 2014","Currency=INR","Period=FQ","BEST_FPERIOD_OVERRIDE=FQ","FILING_STATUS=OR","EQY_CONSOLIDATED=Y","Sort=A","Dates=H","DateFormat=P","Fill=—","Direction=H","UseDPDF=Y")</f>
        <v>#NAME?</v>
      </c>
      <c r="BM132" s="2" t="e">
        <f ca="1">_xll.BDH($C$128,"INVENTORY_SEQUENTIAL_GROWTH","FQ4 2014","FQ4 2014","Currency=INR","Period=FQ","BEST_FPERIOD_OVERRIDE=FQ","FILING_STATUS=OR","EQY_CONSOLIDATED=Y","Sort=A","Dates=H","DateFormat=P","Fill=—","Direction=H","UseDPDF=Y")</f>
        <v>#NAME?</v>
      </c>
      <c r="BN132" s="2" t="e">
        <f ca="1">_xll.BDH($C$128,"FIXED_ASSETS_SEQUENTIAL_GROWTH","FQ4 2014","FQ4 2014","Currency=INR","Period=FQ","BEST_FPERIOD_OVERRIDE=FQ","FILING_STATUS=OR","EQY_CONSOLIDATED=Y","Sort=A","Dates=H","DateFormat=P","Fill=—","Direction=H","UseDPDF=Y")</f>
        <v>#NAME?</v>
      </c>
      <c r="BO132" s="2" t="e">
        <f ca="1">_xll.BDH($C$128,"TOTAL_ASSETS_SEQUENTIAL_GROWTH","FQ4 2014","FQ4 2014","Currency=INR","Period=FQ","BEST_FPERIOD_OVERRIDE=FQ","FILING_STATUS=OR","EQY_CONSOLIDATED=Y","Sort=A","Dates=H","DateFormat=P","Fill=—","Direction=H","UseDPDF=Y")</f>
        <v>#NAME?</v>
      </c>
      <c r="BP132" s="2" t="e">
        <f ca="1">_xll.BDH($C$128,"MODIFIED_WORKING_CPTL_SEQ_GRWTH","FQ4 2014","FQ4 2014","Currency=INR","Period=FQ","BEST_FPERIOD_OVERRIDE=FQ","FILING_STATUS=OR","EQY_CONSOLIDATED=Y","Sort=A","Dates=H","DateFormat=P","Fill=—","Direction=H","UseDPDF=Y")</f>
        <v>#NAME?</v>
      </c>
      <c r="BQ132" s="2" t="e">
        <f ca="1">_xll.BDH($C$128,"WORKING_CAPITAL_SEQ_GROWTH","FQ4 2014","FQ4 2014","Currency=INR","Period=FQ","BEST_FPERIOD_OVERRIDE=FQ","FILING_STATUS=OR","EQY_CONSOLIDATED=Y","Sort=A","Dates=H","DateFormat=P","Fill=—","Direction=H","UseDPDF=Y")</f>
        <v>#NAME?</v>
      </c>
      <c r="BR132" s="2" t="e">
        <f ca="1">_xll.BDH($C$128,"ACCOUNTS_PAYABLE_SEQ_GROWTH","FQ4 2014","FQ4 2014","Currency=INR","Period=FQ","BEST_FPERIOD_OVERRIDE=FQ","FILING_STATUS=OR","EQY_CONSOLIDATED=Y","Sort=A","Dates=H","DateFormat=P","Fill=—","Direction=H","UseDPDF=Y")</f>
        <v>#NAME?</v>
      </c>
      <c r="BS132" s="2" t="e">
        <f ca="1">_xll.BDH($C$128,"ST_DEBT_SEQUENTIAL_GROWTH","FQ4 2014","FQ4 2014","Currency=INR","Period=FQ","BEST_FPERIOD_OVERRIDE=FQ","FILING_STATUS=OR","EQY_CONSOLIDATED=Y","Sort=A","Dates=H","DateFormat=P","Fill=—","Direction=H","UseDPDF=Y")</f>
        <v>#NAME?</v>
      </c>
      <c r="BT132" s="2" t="e">
        <f ca="1">_xll.BDH($C$128,"TOTAL_DEBT_SEQUENTIAL_GROWTH","FQ4 2014","FQ4 2014","Currency=INR","Period=FQ","BEST_FPERIOD_OVERRIDE=FQ","FILING_STATUS=OR","EQY_CONSOLIDATED=Y","Sort=A","Dates=H","DateFormat=P","Fill=—","Direction=H","UseDPDF=Y")</f>
        <v>#NAME?</v>
      </c>
      <c r="BU132" s="2" t="e">
        <f ca="1">_xll.BDH($C$128,"TOTAL_EQUITY_SEQUENTIAL_GROWTH","FQ4 2014","FQ4 2014","Currency=INR","Period=FQ","BEST_FPERIOD_OVERRIDE=FQ","FILING_STATUS=OR","EQY_CONSOLIDATED=Y","Sort=A","Dates=H","DateFormat=P","Fill=—","Direction=H","UseDPDF=Y")</f>
        <v>#NAME?</v>
      </c>
      <c r="BV132" s="2" t="e">
        <f ca="1">_xll.BDH($C$128,"TOTAL_CAPITAL_SEQUENTIAL_GROWTH","FQ4 2014","FQ4 2014","Currency=INR","Period=FQ","BEST_FPERIOD_OVERRIDE=FQ","FILING_STATUS=OR","EQY_CONSOLIDATED=Y","Sort=A","Dates=H","DateFormat=P","Fill=—","Direction=H","UseDPDF=Y")</f>
        <v>#NAME?</v>
      </c>
      <c r="BW132" s="2" t="e">
        <f ca="1">_xll.BDH($C$128,"BPS_SEQUENTIAL_GROWTH","FQ4 2014","FQ4 2014","Currency=INR","Period=FQ","BEST_FPERIOD_OVERRIDE=FQ","FILING_STATUS=OR","EQY_CONSOLIDATED=Y","Sort=A","Dates=H","DateFormat=P","Fill=—","Direction=H","UseDPDF=Y")</f>
        <v>#NAME?</v>
      </c>
      <c r="BX132" s="2" t="e">
        <f ca="1">_xll.BDH($C$128,"CFO_SEQUENTIAL_GROWTH","FQ4 2014","FQ4 2014","Currency=INR","Period=FQ","BEST_FPERIOD_OVERRIDE=FQ","FILING_STATUS=OR","EQY_CONSOLIDATED=Y","Sort=A","Dates=H","DateFormat=P","Fill=—","Direction=H","UseDPDF=Y")</f>
        <v>#NAME?</v>
      </c>
      <c r="BY132" s="3" t="e">
        <f ca="1">_xll.BDH($C$128,"SHORT_AND_LONG_TERM_DEBT","FQ4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132" s="3" t="e">
        <f ca="1">_xll.BDH($C$128,"BS_ST_BORROW","FQ4 2014","FQ4 2014","Currency=INR","Period=FQ","BEST_FPERIOD_OVERRIDE=FQ","FILING_STATUS=OR","EQY_CONSOLIDATED=Y","SCALING_FORMAT=MLN","Sort=A","Dates=H","DateFormat=P","Fill=—","Direction=H","UseDPDF=Y")</f>
        <v>#NAME?</v>
      </c>
      <c r="CA132" s="3" t="e">
        <f ca="1">_xll.BDH($C$128,"BS_LT_BORROW","FQ4 2014","FQ4 2014","Currency=INR","Period=FQ","BEST_FPERIOD_OVERRIDE=FQ","FILING_STATUS=OR","EQY_CONSOLIDATED=Y","SCALING_FORMAT=MLN","Sort=A","Dates=H","DateFormat=P","Fill=—","Direction=H","UseDPDF=Y")</f>
        <v>#NAME?</v>
      </c>
      <c r="CB132" s="2" t="e">
        <f ca="1">_xll.BDH($C$128,"TOT_DEBT_TO_EBITDA","FQ4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132" s="2" t="e">
        <f ca="1">_xll.BDH($C$128,"NET_DEBT_TO_EBITDA","FQ4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132" s="2" t="e">
        <f ca="1">_xll.BDH($C$128,"TOTAL_DEBT_TO_EBIT","FQ4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132" s="2" t="e">
        <f ca="1">_xll.BDH($C$128,"NET_DEBT_TO_EBIT","FQ4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132" s="2" t="e">
        <f ca="1">_xll.BDH($C$128,"EBITDA_TO_INTEREST_EXPN","FQ4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132" s="2" t="e">
        <f ca="1">_xll.BDH($C$128,"COM_EQY_TO_TOT_ASSET","FQ4 2014","FQ4 2014","Currency=INR","Period=FQ","BEST_FPERIOD_OVERRIDE=FQ","FILING_STATUS=OR","EQY_CONSOLIDATED=Y","Sort=A","Dates=H","DateFormat=P","Fill=—","Direction=H","UseDPDF=Y")</f>
        <v>#NAME?</v>
      </c>
      <c r="CH132" s="2" t="e">
        <f ca="1">_xll.BDH($C$128,"LT_DEBT_TO_TOT_EQY","FQ4 2014","FQ4 2014","Currency=INR","Period=FQ","BEST_FPERIOD_OVERRIDE=FQ","FILING_STATUS=OR","EQY_CONSOLIDATED=Y","Sort=A","Dates=H","DateFormat=P","Fill=—","Direction=H","UseDPDF=Y")</f>
        <v>#NAME?</v>
      </c>
      <c r="CI132" s="2" t="e">
        <f ca="1">_xll.BDH($C$128,"LT_DEBT_TO_TOT_CAP","FQ4 2014","FQ4 2014","Currency=INR","Period=FQ","BEST_FPERIOD_OVERRIDE=FQ","FILING_STATUS=OR","EQY_CONSOLIDATED=Y","Sort=A","Dates=H","DateFormat=P","Fill=—","Direction=H","UseDPDF=Y")</f>
        <v>#NAME?</v>
      </c>
      <c r="CJ132" s="2" t="e">
        <f ca="1">_xll.BDH($C$128,"LT_DEBT_TO_TOT_ASSET","FQ4 2014","FQ4 2014","Currency=INR","Period=FQ","BEST_FPERIOD_OVERRIDE=FQ","FILING_STATUS=OR","EQY_CONSOLIDATED=Y","Sort=A","Dates=H","DateFormat=P","Fill=—","Direction=H","UseDPDF=Y")</f>
        <v>#NAME?</v>
      </c>
      <c r="CK132" s="2" t="e">
        <f ca="1">_xll.BDH($C$128,"TOT_DEBT_TO_TOT_EQY","FQ4 2014","FQ4 2014","Currency=INR","Period=FQ","BEST_FPERIOD_OVERRIDE=FQ","FILING_STATUS=OR","EQY_CONSOLIDATED=Y","Sort=A","Dates=H","DateFormat=P","Fill=—","Direction=H","UseDPDF=Y")</f>
        <v>#NAME?</v>
      </c>
      <c r="CL132" s="2" t="e">
        <f ca="1">_xll.BDH($C$128,"TOT_DEBT_TO_TOT_CAP","FQ4 2014","FQ4 2014","Currency=INR","Period=FQ","BEST_FPERIOD_OVERRIDE=FQ","FILING_STATUS=OR","EQY_CONSOLIDATED=Y","Sort=A","Dates=H","DateFormat=P","Fill=—","Direction=H","UseDPDF=Y")</f>
        <v>#NAME?</v>
      </c>
      <c r="CM132" s="2" t="e">
        <f ca="1">_xll.BDH($C$128,"TOT_DEBT_TO_TOT_ASSET","FQ4 2014","FQ4 2014","Currency=INR","Period=FQ","BEST_FPERIOD_OVERRIDE=FQ","FILING_STATUS=OR","EQY_CONSOLIDATED=Y","Sort=A","Dates=H","DateFormat=P","Fill=—","Direction=H","UseDPDF=Y")</f>
        <v>#NAME?</v>
      </c>
      <c r="CN132" s="2" t="e">
        <f ca="1">_xll.BDH($C$128,"NET_DEBT_TO_SHRHLDR_EQTY","FQ4 2014","FQ4 2014","Currency=INR","Period=FQ","BEST_FPERIOD_OVERRIDE=FQ","FILING_STATUS=OR","EQY_CONSOLIDATED=Y","Sort=A","Dates=H","DateFormat=P","Fill=—","Direction=H","UseDPDF=Y")</f>
        <v>#NAME?</v>
      </c>
      <c r="CO132" s="2" t="e">
        <f ca="1">_xll.BDH($C$128,"NET_DEBT_%_CAPITAL","FQ4 2014","FQ4 2014","Currency=INR","Period=FQ","BEST_FPERIOD_OVERRIDE=FQ","FILING_STATUS=OR","EQY_CONSOLIDATED=Y","Sort=A","Dates=H","DateFormat=P","Fill=—","Direction=H","UseDPDF=Y")</f>
        <v>#NAME?</v>
      </c>
      <c r="CP132" s="3" t="e">
        <f ca="1">_xll.BDH($C$128,"EBITDA","FQ4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132" s="3" t="e">
        <f ca="1">_xll.BDH($C$128,"EBITDA_AFTER_CAPEX","FQ4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132" s="3" t="e">
        <f ca="1">_xll.BDH($C$128,"IS_OPER_INC","FQ4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132" s="2" t="e">
        <f ca="1">_xll.BDH($C$128,"CASH_RATIO","FQ4 2014","FQ4 2014","Currency=INR","Period=FQ","BEST_FPERIOD_OVERRIDE=FQ","FILING_STATUS=OR","EQY_CONSOLIDATED=Y","Sort=A","Dates=H","DateFormat=P","Fill=—","Direction=H","UseDPDF=Y")</f>
        <v>#NAME?</v>
      </c>
      <c r="CT132" s="2" t="e">
        <f ca="1">_xll.BDH($C$128,"CUR_RATIO","FQ4 2014","FQ4 2014","Currency=INR","Period=FQ","BEST_FPERIOD_OVERRIDE=FQ","FILING_STATUS=OR","EQY_CONSOLIDATED=Y","Sort=A","Dates=H","DateFormat=P","Fill=—","Direction=H","UseDPDF=Y")</f>
        <v>#NAME?</v>
      </c>
      <c r="CU132" s="2" t="e">
        <f ca="1">_xll.BDH($C$128,"QUICK_RATIO","FQ4 2014","FQ4 2014","Currency=INR","Period=FQ","BEST_FPERIOD_OVERRIDE=FQ","FILING_STATUS=OR","EQY_CONSOLIDATED=Y","Sort=A","Dates=H","DateFormat=P","Fill=—","Direction=H","UseDPDF=Y")</f>
        <v>#NAME?</v>
      </c>
      <c r="CV132" s="2" t="e">
        <f ca="1">_xll.BDH($C$128,"ALTMAN_Z_SCORE","FQ4 2014","FQ4 2014","Currency=INR","Period=FQ","BEST_FPERIOD_OVERRIDE=FQ","FILING_STATUS=OR","EQY_CONSOLIDATED=Y","Sort=A","Dates=H","DateFormat=P","Fill=—","Direction=H","UseDPDF=Y")</f>
        <v>#NAME?</v>
      </c>
      <c r="CW132" s="4" t="e">
        <f ca="1">_xll.BDH($C$128,"ACCT_RCV_TURN","FQ4 2014","FQ4 2014","Currency=INR","Period=FQ","BEST_FPERIOD_OVERRIDE=FQ","FILING_STATUS=OR","EQY_CONSOLIDATED=Y","FA_ADJUSTED=GAAP","Sort=A","Dates=H","DateFormat=P","Fill=—","Direction=H","UseDPDF=Y")</f>
        <v>#NAME?</v>
      </c>
      <c r="CX132" s="2" t="e">
        <f ca="1">_xll.BDH($C$128,"ACCT_RCV_DAYS","FQ4 2014","FQ4 2014","Currency=INR","Period=FQ","BEST_FPERIOD_OVERRIDE=FQ","FILING_STATUS=OR","EQY_CONSOLIDATED=Y","FA_ADJUSTED=GAAP","Sort=A","Dates=H","DateFormat=P","Fill=—","Direction=H","UseDPDF=Y")</f>
        <v>#NAME?</v>
      </c>
      <c r="CY132" s="4" t="e">
        <f ca="1">_xll.BDH($C$128,"INVENT_TURN","FQ4 2014","FQ4 2014","Currency=INR","Period=FQ","BEST_FPERIOD_OVERRIDE=FQ","FILING_STATUS=OR","EQY_CONSOLIDATED=Y","FA_ADJUSTED=GAAP","Sort=A","Dates=H","DateFormat=P","Fill=—","Direction=H","UseDPDF=Y")</f>
        <v>#NAME?</v>
      </c>
      <c r="CZ132" s="2" t="e">
        <f ca="1">_xll.BDH($C$128,"INVENT_DAYS","FQ4 2014","FQ4 2014","Currency=INR","Period=FQ","BEST_FPERIOD_OVERRIDE=FQ","FILING_STATUS=OR","EQY_CONSOLIDATED=Y","FA_ADJUSTED=GAAP","Sort=A","Dates=H","DateFormat=P","Fill=—","Direction=H","UseDPDF=Y")</f>
        <v>#NAME?</v>
      </c>
      <c r="DA132" s="4" t="e">
        <f ca="1">_xll.BDH($C$128,"ACCOUNTS_PAYABLE_TURNOVER","FQ4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132" s="2" t="e">
        <f ca="1">_xll.BDH($C$128,"ACCOUNTS_PAYABLE_TURNOVER_DAYS","FQ4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132" s="4" t="e">
        <f ca="1">_xll.BDH($C$128,"CASH_CONVERSION_CYCLE","FQ4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132" s="4" t="e">
        <f ca="1">_xll.BDH($C$128,"INV_TO_CASH_DAYS","FQ4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132" s="5" t="e">
        <f ca="1">_xll.BDH($C$128,"BS_INVENTORIES","FQ4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132" s="3" t="e">
        <f ca="1">_xll.BDH($C$128,"INVTRY_RAW_MATERIALS","FQ4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132" s="3" t="e">
        <f ca="1">_xll.BDH($C$128,"INVTRY_IN_PROGRESS","FQ4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132" s="3" t="e">
        <f ca="1">_xll.BDH($C$128,"INVTRY_FINISHED_GOODS","FQ4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132" s="3" t="e">
        <f ca="1">_xll.BDH($C$128,"BS_OTHER_INV","FQ4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133" spans="1:113" x14ac:dyDescent="0.3">
      <c r="A133" s="6"/>
      <c r="B133" s="6"/>
      <c r="C133" s="6"/>
      <c r="D133" s="6" t="s">
        <v>82</v>
      </c>
      <c r="E133" t="s">
        <v>77</v>
      </c>
      <c r="F133" t="e">
        <f ca="1">_xll.BDH($C$128,"RETURN_COM_EQY","FY 2015","FY 2015","Currency=INR","Period=FY","BEST_FPERIOD_OVERRIDE=FY","FILING_STATUS=OR","EQY_CONSOLIDATED=Y","FA_ADJUSTED=GAAP","Sort=A","Dates=H","DateFormat=P","Fill=—","Direction=H","UseDPDF=Y")</f>
        <v>#NAME?</v>
      </c>
      <c r="G133" t="e">
        <f ca="1">_xll.BDH($C$128,"RETURN_ON_ASSET","FY 2015","FY 2015","Currency=INR","Period=FY","BEST_FPERIOD_OVERRIDE=FY","FILING_STATUS=OR","EQY_CONSOLIDATED=Y","FA_ADJUSTED=GAAP","Sort=A","Dates=H","DateFormat=P","Fill=—","Direction=H","UseDPDF=Y")</f>
        <v>#NAME?</v>
      </c>
      <c r="H133" t="e">
        <f ca="1">_xll.BDH($C$128,"RETURN_ON_CAP","FY 2015","FY 2015","Currency=INR","Period=FY","BEST_FPERIOD_OVERRIDE=FY","FILING_STATUS=OR","EQY_CONSOLIDATED=Y","FA_ADJUSTED=GAAP","Sort=A","Dates=H","DateFormat=P","Fill=—","Direction=H","UseDPDF=Y")</f>
        <v>#NAME?</v>
      </c>
      <c r="I133" t="e">
        <f ca="1">_xll.BDH($C$128,"RETURN_ON_INV_CAPITAL","FY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133" t="e">
        <f ca="1">_xll.BDH($C$128,"EBITDA_TO_REVENUE","FY 2015","FY 2015","Currency=INR","Period=FY","BEST_FPERIOD_OVERRIDE=FY","FILING_STATUS=OR","EQY_CONSOLIDATED=Y","FA_ADJUSTED=GAAP","Sort=A","Dates=H","DateFormat=P","Fill=—","Direction=H","UseDPDF=Y")</f>
        <v>#NAME?</v>
      </c>
      <c r="K133" t="e">
        <f ca="1">_xll.BDH($C$128,"OPER_MARGIN","FY 2015","FY 2015","Currency=INR","Period=FY","BEST_FPERIOD_OVERRIDE=FY","FILING_STATUS=OR","EQY_CONSOLIDATED=Y","FA_ADJUSTED=GAAP","Sort=A","Dates=H","DateFormat=P","Fill=—","Direction=H","UseDPDF=Y")</f>
        <v>#NAME?</v>
      </c>
      <c r="L133" t="e">
        <f ca="1">_xll.BDH($C$128,"INCREMENTAL_OPERATING_MARGIN","FY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133" t="e">
        <f ca="1">_xll.BDH($C$128,"PRETAX_INC_TO_NET_SALES","FY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133" t="e">
        <f ca="1">_xll.BDH($C$128,"INC_BEF_XO_ITEMS_TO_NET_SALES","FY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133" t="e">
        <f ca="1">_xll.BDH($C$128,"PROF_MARGIN","FY 2015","FY 2015","Currency=INR","Period=FY","BEST_FPERIOD_OVERRIDE=FY","FILING_STATUS=OR","EQY_CONSOLIDATED=Y","FA_ADJUSTED=GAAP","Sort=A","Dates=H","DateFormat=P","Fill=—","Direction=H","UseDPDF=Y")</f>
        <v>#NAME?</v>
      </c>
      <c r="P133" t="e">
        <f ca="1">_xll.BDH($C$128,"NET_INCOME_TO_COMMON_MARGIN","FY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133" t="e">
        <f ca="1">_xll.BDH($C$128,"EFF_TAX_RATE","FY 2015","FY 2015","Currency=INR","Period=FY","BEST_FPERIOD_OVERRIDE=FY","FILING_STATUS=OR","EQY_CONSOLIDATED=Y","FA_ADJUSTED=GAAP","Sort=A","Dates=H","DateFormat=P","Fill=—","Direction=H","UseDPDF=Y")</f>
        <v>#NAME?</v>
      </c>
      <c r="R133" t="e">
        <f ca="1">_xll.BDH($C$128,"DVD_PAYOUT_RATIO","FY 2015","FY 2015","Currency=INR","Period=FY","BEST_FPERIOD_OVERRIDE=FY","FILING_STATUS=OR","EQY_CONSOLIDATED=Y","FA_ADJUSTED=GAAP","Sort=A","Dates=H","DateFormat=P","Fill=—","Direction=H","UseDPDF=Y")</f>
        <v>#NAME?</v>
      </c>
      <c r="S133" t="e">
        <f ca="1">_xll.BDH($C$128,"SUSTAIN_GROWTH_RT","FY 2015","FY 2015","Currency=INR","Period=FY","BEST_FPERIOD_OVERRIDE=FY","FILING_STATUS=OR","EQY_CONSOLIDATED=Y","FA_ADJUSTED=GAAP","Sort=A","Dates=H","DateFormat=P","Fill=—","Direction=H","UseDPDF=Y")</f>
        <v>#NAME?</v>
      </c>
      <c r="T133" s="2" t="e">
        <f ca="1">_xll.BDH($C$128,"SALES_GROWTH","FY 2015","FY 2015","Currency=INR","Period=FY","BEST_FPERIOD_OVERRIDE=FY","FILING_STATUS=OR","EQY_CONSOLIDATED=Y","FA_ADJUSTED=GAAP","Sort=A","Dates=H","DateFormat=P","Fill=—","Direction=H","UseDPDF=Y")</f>
        <v>#NAME?</v>
      </c>
      <c r="U133" s="2" t="e">
        <f ca="1">_xll.BDH($C$128,"EBITDA_GROWTH","FY 2015","FY 2015","Currency=INR","Period=FY","BEST_FPERIOD_OVERRIDE=FY","FILING_STATUS=OR","EQY_CONSOLIDATED=Y","FA_ADJUSTED=GAAP","Sort=A","Dates=H","DateFormat=P","Fill=—","Direction=H","UseDPDF=Y")</f>
        <v>#NAME?</v>
      </c>
      <c r="V133" s="2" t="e">
        <f ca="1">_xll.BDH($C$128,"OPER_INC_GROWTH","FY 2015","FY 2015","Currency=INR","Period=FY","BEST_FPERIOD_OVERRIDE=FY","FILING_STATUS=OR","EQY_CONSOLIDATED=Y","FA_ADJUSTED=GAAP","Sort=A","Dates=H","DateFormat=P","Fill=—","Direction=H","UseDPDF=Y")</f>
        <v>#NAME?</v>
      </c>
      <c r="W133" s="2" t="e">
        <f ca="1">_xll.BDH($C$128,"EARN_FOR_COM_GROWTH","FY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133" s="2" t="e">
        <f ca="1">_xll.BDH($C$128,"DILUTED_EPS_AFT_XO_ITEMS_GROWTH","FY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133" s="2" t="e">
        <f ca="1">_xll.BDH($C$128,"DIVIDEND_PER_SHARE_1_YEAR_GROWTH","FY 2015","FY 2015","Currency=INR","Period=FY","BEST_FPERIOD_OVERRIDE=FY","FILING_STATUS=OR","EQY_CONSOLIDATED=Y","Sort=A","Dates=H","DateFormat=P","Fill=—","Direction=H","UseDPDF=Y")</f>
        <v>#NAME?</v>
      </c>
      <c r="Z133" s="2" t="e">
        <f ca="1">_xll.BDH($C$128,"ACCOUNTS_RECEIVABLE_GROWTH","FY 2015","FY 2015","Currency=INR","Period=FY","BEST_FPERIOD_OVERRIDE=FY","FILING_STATUS=OR","EQY_CONSOLIDATED=Y","Sort=A","Dates=H","DateFormat=P","Fill=—","Direction=H","UseDPDF=Y")</f>
        <v>#NAME?</v>
      </c>
      <c r="AA133" s="2" t="e">
        <f ca="1">_xll.BDH($C$128,"INVENTORY_GROWTH","FY 2015","FY 2015","Currency=INR","Period=FY","BEST_FPERIOD_OVERRIDE=FY","FILING_STATUS=OR","EQY_CONSOLIDATED=Y","Sort=A","Dates=H","DateFormat=P","Fill=—","Direction=H","UseDPDF=Y")</f>
        <v>#NAME?</v>
      </c>
      <c r="AB133" s="2" t="e">
        <f ca="1">_xll.BDH($C$128,"NET_FIXED_ASSETS_1_YEAR_GROWTH","FY 2015","FY 2015","Currency=INR","Period=FY","BEST_FPERIOD_OVERRIDE=FY","FILING_STATUS=OR","EQY_CONSOLIDATED=Y","Sort=A","Dates=H","DateFormat=P","Fill=—","Direction=H","UseDPDF=Y")</f>
        <v>#NAME?</v>
      </c>
      <c r="AC133" s="2" t="e">
        <f ca="1">_xll.BDH($C$128,"ASSET_GROWTH","FY 2015","FY 2015","Currency=INR","Period=FY","BEST_FPERIOD_OVERRIDE=FY","FILING_STATUS=OR","EQY_CONSOLIDATED=Y","Sort=A","Dates=H","DateFormat=P","Fill=—","Direction=H","UseDPDF=Y")</f>
        <v>#NAME?</v>
      </c>
      <c r="AD133" s="2" t="e">
        <f ca="1">_xll.BDH($C$128,"MODIFIED_WORK_CAP_GROWTH","FY 2015","FY 2015","Currency=INR","Period=FY","BEST_FPERIOD_OVERRIDE=FY","FILING_STATUS=OR","EQY_CONSOLIDATED=Y","Sort=A","Dates=H","DateFormat=P","Fill=—","Direction=H","UseDPDF=Y")</f>
        <v>#NAME?</v>
      </c>
      <c r="AE133" s="2" t="e">
        <f ca="1">_xll.BDH($C$128,"WORK_CAP_GROWTH","FY 2015","FY 2015","Currency=INR","Period=FY","BEST_FPERIOD_OVERRIDE=FY","FILING_STATUS=OR","EQY_CONSOLIDATED=Y","Sort=A","Dates=H","DateFormat=P","Fill=—","Direction=H","UseDPDF=Y")</f>
        <v>#NAME?</v>
      </c>
      <c r="AF133" s="2" t="e">
        <f ca="1">_xll.BDH($C$128,"ACCOUNTS_PAYABLE_GROWTH_1YR","FY 2015","FY 2015","Currency=INR","Period=FY","BEST_FPERIOD_OVERRIDE=FY","FILING_STATUS=OR","EQY_CONSOLIDATED=Y","Sort=A","Dates=H","DateFormat=P","Fill=—","Direction=H","UseDPDF=Y")</f>
        <v>#NAME?</v>
      </c>
      <c r="AG133" s="2" t="e">
        <f ca="1">_xll.BDH($C$128,"SHORT_TERM_DEBT_1_YEAR_GROWTH","FY 2015","FY 2015","Currency=INR","Period=FY","BEST_FPERIOD_OVERRIDE=FY","FILING_STATUS=OR","EQY_CONSOLIDATED=Y","Sort=A","Dates=H","DateFormat=P","Fill=—","Direction=H","UseDPDF=Y")</f>
        <v>#NAME?</v>
      </c>
      <c r="AH133" s="2" t="e">
        <f ca="1">_xll.BDH($C$128,"TOTAL_DEBT_1_YEAR_GROWTH","FY 2015","FY 2015","Currency=INR","Period=FY","BEST_FPERIOD_OVERRIDE=FY","FILING_STATUS=OR","EQY_CONSOLIDATED=Y","Sort=A","Dates=H","DateFormat=P","Fill=—","Direction=H","UseDPDF=Y")</f>
        <v>#NAME?</v>
      </c>
      <c r="AI133" s="2" t="e">
        <f ca="1">_xll.BDH($C$128,"TOTAL_EQUITY_1_YEAR_GROWTH","FY 2015","FY 2015","Currency=INR","Period=FY","BEST_FPERIOD_OVERRIDE=FY","FILING_STATUS=OR","EQY_CONSOLIDATED=Y","Sort=A","Dates=H","DateFormat=P","Fill=—","Direction=H","UseDPDF=Y")</f>
        <v>#NAME?</v>
      </c>
      <c r="AJ133" s="2" t="e">
        <f ca="1">_xll.BDH($C$128,"GROWTH_IN_CAP","FY 2015","FY 2015","Currency=INR","Period=FY","BEST_FPERIOD_OVERRIDE=FY","FILING_STATUS=OR","EQY_CONSOLIDATED=Y","Sort=A","Dates=H","DateFormat=P","Fill=—","Direction=H","UseDPDF=Y")</f>
        <v>#NAME?</v>
      </c>
      <c r="AK133" s="2" t="e">
        <f ca="1">_xll.BDH($C$128,"BVPS_GROWTH","FY 2015","FY 2015","Currency=INR","Period=FY","BEST_FPERIOD_OVERRIDE=FY","FILING_STATUS=OR","EQY_CONSOLIDATED=Y","Sort=A","Dates=H","DateFormat=P","Fill=—","Direction=H","UseDPDF=Y")</f>
        <v>#NAME?</v>
      </c>
      <c r="AL133" s="2" t="e">
        <f ca="1">_xll.BDH($C$128,"CASH_FLOW_GROWTH","FY 2015","FY 2015","Currency=INR","Period=FY","BEST_FPERIOD_OVERRIDE=FY","FILING_STATUS=OR","EQY_CONSOLIDATED=Y","Sort=A","Dates=H","DateFormat=P","Fill=—","Direction=H","UseDPDF=Y")</f>
        <v>#NAME?</v>
      </c>
      <c r="AM133" s="2" t="e">
        <f ca="1">_xll.BDH($C$128,"GEO_GROW_NET_SALES","FY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133" s="2" t="e">
        <f ca="1">_xll.BDH($C$128,"GEO_GROW_EBITDA","FY 2015","FY 2015","Currency=INR","Period=FY","BEST_FPERIOD_OVERRIDE=FY","FILING_STATUS=OR","EQY_CONSOLIDATED=Y","FA_ADJUSTED=GAAP","Sort=A","Dates=H","DateFormat=P","Fill=—","Direction=H","UseDPDF=Y")</f>
        <v>#NAME?</v>
      </c>
      <c r="AO133" s="2" t="e">
        <f ca="1">_xll.BDH($C$128,"GEO_GROW_OPER_INC","FY 2015","FY 2015","Currency=INR","Period=FY","BEST_FPERIOD_OVERRIDE=FY","FILING_STATUS=OR","EQY_CONSOLIDATED=Y","FA_ADJUSTED=GAAP","Sort=A","Dates=H","DateFormat=P","Fill=—","Direction=H","UseDPDF=Y")</f>
        <v>#NAME?</v>
      </c>
      <c r="AP133" s="2" t="e">
        <f ca="1">_xll.BDH($C$128,"NET_INCOME_TO_COMMON_5_YR_GROWTH","FY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133" s="2" t="e">
        <f ca="1">_xll.BDH($C$128,"5Y_GEO_GROWTH_DILUTED_EPS","FY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133" s="2" t="e">
        <f ca="1">_xll.BDH($C$128,"GEO_GROW_DVD_PER_SH","FY 2015","FY 2015","Currency=INR","Period=FY","BEST_FPERIOD_OVERRIDE=FY","FILING_STATUS=OR","EQY_CONSOLIDATED=Y","Sort=A","Dates=H","DateFormat=P","Fill=—","Direction=H","UseDPDF=Y")</f>
        <v>#NAME?</v>
      </c>
      <c r="AS133" s="2" t="e">
        <f ca="1">_xll.BDH($C$128,"ACCOUNTS_RECEIVABLE_5_YR_GROWTH","FY 2015","FY 2015","Currency=INR","Period=FY","BEST_FPERIOD_OVERRIDE=FY","FILING_STATUS=OR","EQY_CONSOLIDATED=Y","Sort=A","Dates=H","DateFormat=P","Fill=—","Direction=H","UseDPDF=Y")</f>
        <v>#NAME?</v>
      </c>
      <c r="AT133" s="2" t="e">
        <f ca="1">_xll.BDH($C$128,"INVENTORY_5_YEAR_GROWTH","FY 2015","FY 2015","Currency=INR","Period=FY","BEST_FPERIOD_OVERRIDE=FY","FILING_STATUS=OR","EQY_CONSOLIDATED=Y","Sort=A","Dates=H","DateFormat=P","Fill=—","Direction=H","UseDPDF=Y")</f>
        <v>#NAME?</v>
      </c>
      <c r="AU133" s="2" t="e">
        <f ca="1">_xll.BDH($C$128,"NET_FIXED_ASSETS_5_YEAR_GROWTH","FY 2015","FY 2015","Currency=INR","Period=FY","BEST_FPERIOD_OVERRIDE=FY","FILING_STATUS=OR","EQY_CONSOLIDATED=Y","Sort=A","Dates=H","DateFormat=P","Fill=—","Direction=H","UseDPDF=Y")</f>
        <v>#NAME?</v>
      </c>
      <c r="AV133" s="2" t="e">
        <f ca="1">_xll.BDH($C$128,"GEO_GROW_TOT_ASSET","FY 2015","FY 2015","Currency=INR","Period=FY","BEST_FPERIOD_OVERRIDE=FY","FILING_STATUS=OR","EQY_CONSOLIDATED=Y","Sort=A","Dates=H","DateFormat=P","Fill=—","Direction=H","UseDPDF=Y")</f>
        <v>#NAME?</v>
      </c>
      <c r="AW133" s="2" t="e">
        <f ca="1">_xll.BDH($C$128,"MODIFIED_WORKING_CPTL_5YR_GRWTH","FY 2015","FY 2015","Currency=INR","Period=FY","BEST_FPERIOD_OVERRIDE=FY","FILING_STATUS=OR","EQY_CONSOLIDATED=Y","Sort=A","Dates=H","DateFormat=P","Fill=—","Direction=H","UseDPDF=Y")</f>
        <v>#NAME?</v>
      </c>
      <c r="AX133" s="2" t="e">
        <f ca="1">_xll.BDH($C$128,"WORKING_CAPITAL_5_YEAR_GROWTH","FY 2015","FY 2015","Currency=INR","Period=FY","BEST_FPERIOD_OVERRIDE=FY","FILING_STATUS=OR","EQY_CONSOLIDATED=Y","Sort=A","Dates=H","DateFormat=P","Fill=—","Direction=H","UseDPDF=Y")</f>
        <v>#NAME?</v>
      </c>
      <c r="AY133" s="2" t="e">
        <f ca="1">_xll.BDH($C$128,"ACCOUNTS_PAYABLE_5_YEAR_GROWTH","FY 2015","FY 2015","Currency=INR","Period=FY","BEST_FPERIOD_OVERRIDE=FY","FILING_STATUS=OR","EQY_CONSOLIDATED=Y","Sort=A","Dates=H","DateFormat=P","Fill=—","Direction=H","UseDPDF=Y")</f>
        <v>#NAME?</v>
      </c>
      <c r="AZ133" s="2" t="e">
        <f ca="1">_xll.BDH($C$128,"SHORT_TERM_DEBT_5_YEAR_GROWTH","FY 2015","FY 2015","Currency=INR","Period=FY","BEST_FPERIOD_OVERRIDE=FY","FILING_STATUS=OR","EQY_CONSOLIDATED=Y","Sort=A","Dates=H","DateFormat=P","Fill=—","Direction=H","UseDPDF=Y")</f>
        <v>#NAME?</v>
      </c>
      <c r="BA133" s="2" t="e">
        <f ca="1">_xll.BDH($C$128,"TOTAL_DEBT_5_YEAR_GROWTH","FY 2015","FY 2015","Currency=INR","Period=FY","BEST_FPERIOD_OVERRIDE=FY","FILING_STATUS=OR","EQY_CONSOLIDATED=Y","Sort=A","Dates=H","DateFormat=P","Fill=—","Direction=H","UseDPDF=Y")</f>
        <v>#NAME?</v>
      </c>
      <c r="BB133" s="2" t="e">
        <f ca="1">_xll.BDH($C$128,"GEO_GROW_TOT_SHRHLDR_EQY","FY 2015","FY 2015","Currency=INR","Period=FY","BEST_FPERIOD_OVERRIDE=FY","FILING_STATUS=OR","EQY_CONSOLIDATED=Y","Sort=A","Dates=H","DateFormat=P","Fill=—","Direction=H","UseDPDF=Y")</f>
        <v>#NAME?</v>
      </c>
      <c r="BC133" s="2" t="e">
        <f ca="1">_xll.BDH($C$128,"TOTAL_CAPITAL_5_YEAR_GROWTH","FY 2015","FY 2015","Currency=INR","Period=FY","BEST_FPERIOD_OVERRIDE=FY","FILING_STATUS=OR","EQY_CONSOLIDATED=Y","Sort=A","Dates=H","DateFormat=P","Fill=—","Direction=H","UseDPDF=Y")</f>
        <v>#NAME?</v>
      </c>
      <c r="BD133" s="2" t="e">
        <f ca="1">_xll.BDH($C$128,"GEO_GROW_BOOK_VAL","FY 2015","FY 2015","Currency=INR","Period=FY","BEST_FPERIOD_OVERRIDE=FY","FILING_STATUS=OR","EQY_CONSOLIDATED=Y","Sort=A","Dates=H","DateFormat=P","Fill=—","Direction=H","UseDPDF=Y")</f>
        <v>#NAME?</v>
      </c>
      <c r="BE133" s="2" t="e">
        <f ca="1">_xll.BDH($C$128,"GEO_GROW_CASH_OPER_ACT","FY 2015","FY 2015","Currency=INR","Period=FY","BEST_FPERIOD_OVERRIDE=FY","FILING_STATUS=OR","EQY_CONSOLIDATED=Y","Sort=A","Dates=H","DateFormat=P","Fill=—","Direction=H","UseDPDF=Y")</f>
        <v>#NAME?</v>
      </c>
      <c r="BF133" s="2" t="e">
        <f ca="1">_xll.BDH($C$128,"REVENUE_SEQUENTIAL_GROWTH","FY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133" s="2" t="e">
        <f ca="1">_xll.BDH($C$128,"EBITDA_SEQUENTIAL_GROWTH","FY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133" s="2" t="e">
        <f ca="1">_xll.BDH($C$128,"OPERATING_INCOME_SEQ_GROWTH","FY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133" s="2" t="e">
        <f ca="1">_xll.BDH($C$128,"NET_INCOME_TO_COMMON_SEQ_GROWTH","FY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133" s="2" t="e">
        <f ca="1">_xll.BDH($C$128,"EPS_DILUTED_SEQUENTIAL_GROWTH","FY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133" s="2" t="e">
        <f ca="1">_xll.BDH($C$128,"DPS_SEQUENTIAL_GROWTH","FY 2015","FY 2015","Currency=INR","Period=FY","BEST_FPERIOD_OVERRIDE=FY","FILING_STATUS=OR","EQY_CONSOLIDATED=Y","Sort=A","Dates=H","DateFormat=P","Fill=—","Direction=H","UseDPDF=Y")</f>
        <v>#NAME?</v>
      </c>
      <c r="BL133" s="2" t="e">
        <f ca="1">_xll.BDH($C$128,"ACCOUNTS_RECEIVABLE_SEQ_GROWTH","FY 2015","FY 2015","Currency=INR","Period=FY","BEST_FPERIOD_OVERRIDE=FY","FILING_STATUS=OR","EQY_CONSOLIDATED=Y","Sort=A","Dates=H","DateFormat=P","Fill=—","Direction=H","UseDPDF=Y")</f>
        <v>#NAME?</v>
      </c>
      <c r="BM133" s="2" t="e">
        <f ca="1">_xll.BDH($C$128,"INVENTORY_SEQUENTIAL_GROWTH","FY 2015","FY 2015","Currency=INR","Period=FY","BEST_FPERIOD_OVERRIDE=FY","FILING_STATUS=OR","EQY_CONSOLIDATED=Y","Sort=A","Dates=H","DateFormat=P","Fill=—","Direction=H","UseDPDF=Y")</f>
        <v>#NAME?</v>
      </c>
      <c r="BN133" s="2" t="e">
        <f ca="1">_xll.BDH($C$128,"FIXED_ASSETS_SEQUENTIAL_GROWTH","FY 2015","FY 2015","Currency=INR","Period=FY","BEST_FPERIOD_OVERRIDE=FY","FILING_STATUS=OR","EQY_CONSOLIDATED=Y","Sort=A","Dates=H","DateFormat=P","Fill=—","Direction=H","UseDPDF=Y")</f>
        <v>#NAME?</v>
      </c>
      <c r="BO133" s="2" t="e">
        <f ca="1">_xll.BDH($C$128,"TOTAL_ASSETS_SEQUENTIAL_GROWTH","FY 2015","FY 2015","Currency=INR","Period=FY","BEST_FPERIOD_OVERRIDE=FY","FILING_STATUS=OR","EQY_CONSOLIDATED=Y","Sort=A","Dates=H","DateFormat=P","Fill=—","Direction=H","UseDPDF=Y")</f>
        <v>#NAME?</v>
      </c>
      <c r="BP133" s="2" t="e">
        <f ca="1">_xll.BDH($C$128,"MODIFIED_WORKING_CPTL_SEQ_GRWTH","FY 2015","FY 2015","Currency=INR","Period=FY","BEST_FPERIOD_OVERRIDE=FY","FILING_STATUS=OR","EQY_CONSOLIDATED=Y","Sort=A","Dates=H","DateFormat=P","Fill=—","Direction=H","UseDPDF=Y")</f>
        <v>#NAME?</v>
      </c>
      <c r="BQ133" s="2" t="e">
        <f ca="1">_xll.BDH($C$128,"WORKING_CAPITAL_SEQ_GROWTH","FY 2015","FY 2015","Currency=INR","Period=FY","BEST_FPERIOD_OVERRIDE=FY","FILING_STATUS=OR","EQY_CONSOLIDATED=Y","Sort=A","Dates=H","DateFormat=P","Fill=—","Direction=H","UseDPDF=Y")</f>
        <v>#NAME?</v>
      </c>
      <c r="BR133" s="2" t="e">
        <f ca="1">_xll.BDH($C$128,"ACCOUNTS_PAYABLE_SEQ_GROWTH","FY 2015","FY 2015","Currency=INR","Period=FY","BEST_FPERIOD_OVERRIDE=FY","FILING_STATUS=OR","EQY_CONSOLIDATED=Y","Sort=A","Dates=H","DateFormat=P","Fill=—","Direction=H","UseDPDF=Y")</f>
        <v>#NAME?</v>
      </c>
      <c r="BS133" s="2" t="e">
        <f ca="1">_xll.BDH($C$128,"ST_DEBT_SEQUENTIAL_GROWTH","FY 2015","FY 2015","Currency=INR","Period=FY","BEST_FPERIOD_OVERRIDE=FY","FILING_STATUS=OR","EQY_CONSOLIDATED=Y","Sort=A","Dates=H","DateFormat=P","Fill=—","Direction=H","UseDPDF=Y")</f>
        <v>#NAME?</v>
      </c>
      <c r="BT133" s="2" t="e">
        <f ca="1">_xll.BDH($C$128,"TOTAL_DEBT_SEQUENTIAL_GROWTH","FY 2015","FY 2015","Currency=INR","Period=FY","BEST_FPERIOD_OVERRIDE=FY","FILING_STATUS=OR","EQY_CONSOLIDATED=Y","Sort=A","Dates=H","DateFormat=P","Fill=—","Direction=H","UseDPDF=Y")</f>
        <v>#NAME?</v>
      </c>
      <c r="BU133" s="2" t="e">
        <f ca="1">_xll.BDH($C$128,"TOTAL_EQUITY_SEQUENTIAL_GROWTH","FY 2015","FY 2015","Currency=INR","Period=FY","BEST_FPERIOD_OVERRIDE=FY","FILING_STATUS=OR","EQY_CONSOLIDATED=Y","Sort=A","Dates=H","DateFormat=P","Fill=—","Direction=H","UseDPDF=Y")</f>
        <v>#NAME?</v>
      </c>
      <c r="BV133" s="2" t="e">
        <f ca="1">_xll.BDH($C$128,"TOTAL_CAPITAL_SEQUENTIAL_GROWTH","FY 2015","FY 2015","Currency=INR","Period=FY","BEST_FPERIOD_OVERRIDE=FY","FILING_STATUS=OR","EQY_CONSOLIDATED=Y","Sort=A","Dates=H","DateFormat=P","Fill=—","Direction=H","UseDPDF=Y")</f>
        <v>#NAME?</v>
      </c>
      <c r="BW133" s="2" t="e">
        <f ca="1">_xll.BDH($C$128,"BPS_SEQUENTIAL_GROWTH","FY 2015","FY 2015","Currency=INR","Period=FY","BEST_FPERIOD_OVERRIDE=FY","FILING_STATUS=OR","EQY_CONSOLIDATED=Y","Sort=A","Dates=H","DateFormat=P","Fill=—","Direction=H","UseDPDF=Y")</f>
        <v>#NAME?</v>
      </c>
      <c r="BX133" s="2" t="e">
        <f ca="1">_xll.BDH($C$128,"CFO_SEQUENTIAL_GROWTH","FY 2015","FY 2015","Currency=INR","Period=FY","BEST_FPERIOD_OVERRIDE=FY","FILING_STATUS=OR","EQY_CONSOLIDATED=Y","Sort=A","Dates=H","DateFormat=P","Fill=—","Direction=H","UseDPDF=Y")</f>
        <v>#NAME?</v>
      </c>
      <c r="BY133" s="3" t="e">
        <f ca="1">_xll.BDH($C$128,"SHORT_AND_LONG_TERM_DEBT","FY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133" s="3" t="e">
        <f ca="1">_xll.BDH($C$128,"BS_ST_BORROW","FY 2015","FY 2015","Currency=INR","Period=FY","BEST_FPERIOD_OVERRIDE=FY","FILING_STATUS=OR","EQY_CONSOLIDATED=Y","SCALING_FORMAT=MLN","Sort=A","Dates=H","DateFormat=P","Fill=—","Direction=H","UseDPDF=Y")</f>
        <v>#NAME?</v>
      </c>
      <c r="CA133" s="3" t="e">
        <f ca="1">_xll.BDH($C$128,"BS_LT_BORROW","FY 2015","FY 2015","Currency=INR","Period=FY","BEST_FPERIOD_OVERRIDE=FY","FILING_STATUS=OR","EQY_CONSOLIDATED=Y","SCALING_FORMAT=MLN","Sort=A","Dates=H","DateFormat=P","Fill=—","Direction=H","UseDPDF=Y")</f>
        <v>#NAME?</v>
      </c>
      <c r="CB133" s="2" t="e">
        <f ca="1">_xll.BDH($C$128,"TOT_DEBT_TO_EBITDA","FY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133" s="2" t="e">
        <f ca="1">_xll.BDH($C$128,"NET_DEBT_TO_EBITDA","FY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133" s="2" t="e">
        <f ca="1">_xll.BDH($C$128,"TOTAL_DEBT_TO_EBIT","FY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133" s="2" t="e">
        <f ca="1">_xll.BDH($C$128,"NET_DEBT_TO_EBIT","FY 2015","FY 2015","Currency=INR","Period=FY","BEST_FPERIOD_OVERRIDE=FY","FILING_STATUS=OR","EQY_CONSOLIDATED=Y","FA_ADJUSTED=GAAP","Sort=A","Dates=H","DateFormat=P","Fill=—","Direction=H","UseDPDF=Y")</f>
        <v>#NAME?</v>
      </c>
      <c r="CF133" s="2" t="e">
        <f ca="1">_xll.BDH($C$128,"EBITDA_TO_INTEREST_EXPN","FY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133" s="2" t="e">
        <f ca="1">_xll.BDH($C$128,"COM_EQY_TO_TOT_ASSET","FY 2015","FY 2015","Currency=INR","Period=FY","BEST_FPERIOD_OVERRIDE=FY","FILING_STATUS=OR","EQY_CONSOLIDATED=Y","Sort=A","Dates=H","DateFormat=P","Fill=—","Direction=H","UseDPDF=Y")</f>
        <v>#NAME?</v>
      </c>
      <c r="CH133" s="2" t="e">
        <f ca="1">_xll.BDH($C$128,"LT_DEBT_TO_TOT_EQY","FY 2015","FY 2015","Currency=INR","Period=FY","BEST_FPERIOD_OVERRIDE=FY","FILING_STATUS=OR","EQY_CONSOLIDATED=Y","Sort=A","Dates=H","DateFormat=P","Fill=—","Direction=H","UseDPDF=Y")</f>
        <v>#NAME?</v>
      </c>
      <c r="CI133" s="2" t="e">
        <f ca="1">_xll.BDH($C$128,"LT_DEBT_TO_TOT_CAP","FY 2015","FY 2015","Currency=INR","Period=FY","BEST_FPERIOD_OVERRIDE=FY","FILING_STATUS=OR","EQY_CONSOLIDATED=Y","Sort=A","Dates=H","DateFormat=P","Fill=—","Direction=H","UseDPDF=Y")</f>
        <v>#NAME?</v>
      </c>
      <c r="CJ133" s="2" t="e">
        <f ca="1">_xll.BDH($C$128,"LT_DEBT_TO_TOT_ASSET","FY 2015","FY 2015","Currency=INR","Period=FY","BEST_FPERIOD_OVERRIDE=FY","FILING_STATUS=OR","EQY_CONSOLIDATED=Y","Sort=A","Dates=H","DateFormat=P","Fill=—","Direction=H","UseDPDF=Y")</f>
        <v>#NAME?</v>
      </c>
      <c r="CK133" s="2" t="e">
        <f ca="1">_xll.BDH($C$128,"TOT_DEBT_TO_TOT_EQY","FY 2015","FY 2015","Currency=INR","Period=FY","BEST_FPERIOD_OVERRIDE=FY","FILING_STATUS=OR","EQY_CONSOLIDATED=Y","Sort=A","Dates=H","DateFormat=P","Fill=—","Direction=H","UseDPDF=Y")</f>
        <v>#NAME?</v>
      </c>
      <c r="CL133" s="2" t="e">
        <f ca="1">_xll.BDH($C$128,"TOT_DEBT_TO_TOT_CAP","FY 2015","FY 2015","Currency=INR","Period=FY","BEST_FPERIOD_OVERRIDE=FY","FILING_STATUS=OR","EQY_CONSOLIDATED=Y","Sort=A","Dates=H","DateFormat=P","Fill=—","Direction=H","UseDPDF=Y")</f>
        <v>#NAME?</v>
      </c>
      <c r="CM133" s="2" t="e">
        <f ca="1">_xll.BDH($C$128,"TOT_DEBT_TO_TOT_ASSET","FY 2015","FY 2015","Currency=INR","Period=FY","BEST_FPERIOD_OVERRIDE=FY","FILING_STATUS=OR","EQY_CONSOLIDATED=Y","Sort=A","Dates=H","DateFormat=P","Fill=—","Direction=H","UseDPDF=Y")</f>
        <v>#NAME?</v>
      </c>
      <c r="CN133" s="2" t="e">
        <f ca="1">_xll.BDH($C$128,"NET_DEBT_TO_SHRHLDR_EQTY","FY 2015","FY 2015","Currency=INR","Period=FY","BEST_FPERIOD_OVERRIDE=FY","FILING_STATUS=OR","EQY_CONSOLIDATED=Y","Sort=A","Dates=H","DateFormat=P","Fill=—","Direction=H","UseDPDF=Y")</f>
        <v>#NAME?</v>
      </c>
      <c r="CO133" s="2" t="e">
        <f ca="1">_xll.BDH($C$128,"NET_DEBT_%_CAPITAL","FY 2015","FY 2015","Currency=INR","Period=FY","BEST_FPERIOD_OVERRIDE=FY","FILING_STATUS=OR","EQY_CONSOLIDATED=Y","Sort=A","Dates=H","DateFormat=P","Fill=—","Direction=H","UseDPDF=Y")</f>
        <v>#NAME?</v>
      </c>
      <c r="CP133" s="3" t="e">
        <f ca="1">_xll.BDH($C$128,"EBITDA","FY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133" s="3" t="e">
        <f ca="1">_xll.BDH($C$128,"EBITDA_AFTER_CAPEX","FY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133" s="3" t="e">
        <f ca="1">_xll.BDH($C$128,"IS_OPER_INC","FY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133" s="2" t="e">
        <f ca="1">_xll.BDH($C$128,"CASH_RATIO","FY 2015","FY 2015","Currency=INR","Period=FY","BEST_FPERIOD_OVERRIDE=FY","FILING_STATUS=OR","EQY_CONSOLIDATED=Y","Sort=A","Dates=H","DateFormat=P","Fill=—","Direction=H","UseDPDF=Y")</f>
        <v>#NAME?</v>
      </c>
      <c r="CT133" s="2" t="e">
        <f ca="1">_xll.BDH($C$128,"CUR_RATIO","FY 2015","FY 2015","Currency=INR","Period=FY","BEST_FPERIOD_OVERRIDE=FY","FILING_STATUS=OR","EQY_CONSOLIDATED=Y","Sort=A","Dates=H","DateFormat=P","Fill=—","Direction=H","UseDPDF=Y")</f>
        <v>#NAME?</v>
      </c>
      <c r="CU133" s="2" t="e">
        <f ca="1">_xll.BDH($C$128,"QUICK_RATIO","FY 2015","FY 2015","Currency=INR","Period=FY","BEST_FPERIOD_OVERRIDE=FY","FILING_STATUS=OR","EQY_CONSOLIDATED=Y","Sort=A","Dates=H","DateFormat=P","Fill=—","Direction=H","UseDPDF=Y")</f>
        <v>#NAME?</v>
      </c>
      <c r="CV133" s="2" t="e">
        <f ca="1">_xll.BDH($C$128,"ALTMAN_Z_SCORE","FY 2015","FY 2015","Currency=INR","Period=FY","BEST_FPERIOD_OVERRIDE=FY","FILING_STATUS=OR","EQY_CONSOLIDATED=Y","Sort=A","Dates=H","DateFormat=P","Fill=—","Direction=H","UseDPDF=Y")</f>
        <v>#NAME?</v>
      </c>
      <c r="CW133" s="4" t="e">
        <f ca="1">_xll.BDH($C$128,"ACCT_RCV_TURN","FY 2015","FY 2015","Currency=INR","Period=FY","BEST_FPERIOD_OVERRIDE=FY","FILING_STATUS=OR","EQY_CONSOLIDATED=Y","FA_ADJUSTED=GAAP","Sort=A","Dates=H","DateFormat=P","Fill=—","Direction=H","UseDPDF=Y")</f>
        <v>#NAME?</v>
      </c>
      <c r="CX133" s="2" t="e">
        <f ca="1">_xll.BDH($C$128,"ACCT_RCV_DAYS","FY 2015","FY 2015","Currency=INR","Period=FY","BEST_FPERIOD_OVERRIDE=FY","FILING_STATUS=OR","EQY_CONSOLIDATED=Y","FA_ADJUSTED=GAAP","Sort=A","Dates=H","DateFormat=P","Fill=—","Direction=H","UseDPDF=Y")</f>
        <v>#NAME?</v>
      </c>
      <c r="CY133" s="4" t="e">
        <f ca="1">_xll.BDH($C$128,"INVENT_TURN","FY 2015","FY 2015","Currency=INR","Period=FY","BEST_FPERIOD_OVERRIDE=FY","FILING_STATUS=OR","EQY_CONSOLIDATED=Y","FA_ADJUSTED=GAAP","Sort=A","Dates=H","DateFormat=P","Fill=—","Direction=H","UseDPDF=Y")</f>
        <v>#NAME?</v>
      </c>
      <c r="CZ133" s="2" t="e">
        <f ca="1">_xll.BDH($C$128,"INVENT_DAYS","FY 2015","FY 2015","Currency=INR","Period=FY","BEST_FPERIOD_OVERRIDE=FY","FILING_STATUS=OR","EQY_CONSOLIDATED=Y","FA_ADJUSTED=GAAP","Sort=A","Dates=H","DateFormat=P","Fill=—","Direction=H","UseDPDF=Y")</f>
        <v>#NAME?</v>
      </c>
      <c r="DA133" s="4" t="e">
        <f ca="1">_xll.BDH($C$128,"ACCOUNTS_PAYABLE_TURNOVER","FY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133" s="2" t="e">
        <f ca="1">_xll.BDH($C$128,"ACCOUNTS_PAYABLE_TURNOVER_DAYS","FY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133" s="4" t="e">
        <f ca="1">_xll.BDH($C$128,"CASH_CONVERSION_CYCLE","FY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133" s="4" t="e">
        <f ca="1">_xll.BDH($C$128,"INV_TO_CASH_DAYS","FY 2015","FY 2015","Currency=INR","Period=FY","BEST_FPERIOD_OVERRIDE=FY","FILING_STATUS=OR","EQY_CONSOLIDATED=Y","FA_ADJUSTED=GAAP","Sort=A","Dates=H","DateFormat=P","Fill=—","Direction=H","UseDPDF=Y")</f>
        <v>#NAME?</v>
      </c>
      <c r="DE133" s="5" t="e">
        <f ca="1">_xll.BDH($C$128,"BS_INVENTORIES","FY 2015","FY 2015","Currency=INR","Period=FY","BEST_FPERIOD_OVERRIDE=FY","FILING_STATUS=OR","EQY_CONSOLIDATED=Y","SCALING_FORMAT=MLN","Sort=A","Dates=H","DateFormat=P","Fill=—","Direction=H","UseDPDF=Y")</f>
        <v>#NAME?</v>
      </c>
      <c r="DF133" s="3" t="e">
        <f ca="1">_xll.BDH($C$128,"INVTRY_RAW_MATERIALS","FY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133" s="3" t="e">
        <f ca="1">_xll.BDH($C$128,"INVTRY_IN_PROGRESS","FY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133" s="3" t="e">
        <f ca="1">_xll.BDH($C$128,"INVTRY_FINISHED_GOODS","FY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133" s="3" t="e">
        <f ca="1">_xll.BDH($C$128,"BS_OTHER_INV","FY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134" spans="1:113" x14ac:dyDescent="0.3">
      <c r="A134" s="6"/>
      <c r="B134" s="6"/>
      <c r="C134" s="6"/>
      <c r="D134" s="6"/>
      <c r="E134" t="s">
        <v>78</v>
      </c>
      <c r="F134" t="e">
        <f ca="1">_xll.BDH($C$128,"RETURN_COM_EQY","FQ1 2015","FQ1 2015","Currency=INR","Period=FQ","BEST_FPERIOD_OVERRIDE=FQ","FILING_STATUS=OR","EQY_CONSOLIDATED=Y","FA_ADJUSTED=GAAP","Sort=A","Dates=H","DateFormat=P","Fill=—","Direction=H","UseDPDF=Y")</f>
        <v>#NAME?</v>
      </c>
      <c r="G134" t="e">
        <f ca="1">_xll.BDH($C$128,"RETURN_ON_ASSET","FQ1 2015","FQ1 2015","Currency=INR","Period=FQ","BEST_FPERIOD_OVERRIDE=FQ","FILING_STATUS=OR","EQY_CONSOLIDATED=Y","FA_ADJUSTED=GAAP","Sort=A","Dates=H","DateFormat=P","Fill=—","Direction=H","UseDPDF=Y")</f>
        <v>#NAME?</v>
      </c>
      <c r="H134" t="e">
        <f ca="1">_xll.BDH($C$128,"RETURN_ON_CAP","FQ1 2015","FQ1 2015","Currency=INR","Period=FQ","BEST_FPERIOD_OVERRIDE=FQ","FILING_STATUS=OR","EQY_CONSOLIDATED=Y","FA_ADJUSTED=GAAP","Sort=A","Dates=H","DateFormat=P","Fill=—","Direction=H","UseDPDF=Y")</f>
        <v>#NAME?</v>
      </c>
      <c r="I134" t="e">
        <f ca="1">_xll.BDH($C$128,"RETURN_ON_INV_CAPITAL","FQ1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134" t="e">
        <f ca="1">_xll.BDH($C$128,"EBITDA_TO_REVENUE","FQ1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134" t="e">
        <f ca="1">_xll.BDH($C$128,"OPER_MARGIN","FQ1 2015","FQ1 2015","Currency=INR","Period=FQ","BEST_FPERIOD_OVERRIDE=FQ","FILING_STATUS=OR","EQY_CONSOLIDATED=Y","FA_ADJUSTED=GAAP","Sort=A","Dates=H","DateFormat=P","Fill=—","Direction=H","UseDPDF=Y")</f>
        <v>#NAME?</v>
      </c>
      <c r="L134" t="e">
        <f ca="1">_xll.BDH($C$128,"INCREMENTAL_OPERATING_MARGIN","FQ1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134" t="e">
        <f ca="1">_xll.BDH($C$128,"PRETAX_INC_TO_NET_SALES","FQ1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134" t="e">
        <f ca="1">_xll.BDH($C$128,"INC_BEF_XO_ITEMS_TO_NET_SALES","FQ1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134" t="e">
        <f ca="1">_xll.BDH($C$128,"PROF_MARGIN","FQ1 2015","FQ1 2015","Currency=INR","Period=FQ","BEST_FPERIOD_OVERRIDE=FQ","FILING_STATUS=OR","EQY_CONSOLIDATED=Y","FA_ADJUSTED=GAAP","Sort=A","Dates=H","DateFormat=P","Fill=—","Direction=H","UseDPDF=Y")</f>
        <v>#NAME?</v>
      </c>
      <c r="P134" t="e">
        <f ca="1">_xll.BDH($C$128,"NET_INCOME_TO_COMMON_MARGIN","FQ1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134" t="e">
        <f ca="1">_xll.BDH($C$128,"EFF_TAX_RATE","FQ1 2015","FQ1 2015","Currency=INR","Period=FQ","BEST_FPERIOD_OVERRIDE=FQ","FILING_STATUS=OR","EQY_CONSOLIDATED=Y","FA_ADJUSTED=GAAP","Sort=A","Dates=H","DateFormat=P","Fill=—","Direction=H","UseDPDF=Y")</f>
        <v>#NAME?</v>
      </c>
      <c r="R134" t="e">
        <f ca="1">_xll.BDH($C$128,"DVD_PAYOUT_RATIO","FQ1 2015","FQ1 2015","Currency=INR","Period=FQ","BEST_FPERIOD_OVERRIDE=FQ","FILING_STATUS=OR","EQY_CONSOLIDATED=Y","FA_ADJUSTED=GAAP","Sort=A","Dates=H","DateFormat=P","Fill=—","Direction=H","UseDPDF=Y")</f>
        <v>#NAME?</v>
      </c>
      <c r="S134" t="e">
        <f ca="1">_xll.BDH($C$128,"SUSTAIN_GROWTH_RT","FQ1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134" s="2" t="e">
        <f ca="1">_xll.BDH($C$128,"SALES_GROWTH","FQ1 2015","FQ1 2015","Currency=INR","Period=FQ","BEST_FPERIOD_OVERRIDE=FQ","FILING_STATUS=OR","EQY_CONSOLIDATED=Y","FA_ADJUSTED=GAAP","Sort=A","Dates=H","DateFormat=P","Fill=—","Direction=H","UseDPDF=Y")</f>
        <v>#NAME?</v>
      </c>
      <c r="U134" s="2" t="e">
        <f ca="1">_xll.BDH($C$128,"EBITDA_GROWTH","FQ1 2015","FQ1 2015","Currency=INR","Period=FQ","BEST_FPERIOD_OVERRIDE=FQ","FILING_STATUS=OR","EQY_CONSOLIDATED=Y","FA_ADJUSTED=GAAP","Sort=A","Dates=H","DateFormat=P","Fill=—","Direction=H","UseDPDF=Y")</f>
        <v>#NAME?</v>
      </c>
      <c r="V134" s="2" t="e">
        <f ca="1">_xll.BDH($C$128,"OPER_INC_GROWTH","FQ1 2015","FQ1 2015","Currency=INR","Period=FQ","BEST_FPERIOD_OVERRIDE=FQ","FILING_STATUS=OR","EQY_CONSOLIDATED=Y","FA_ADJUSTED=GAAP","Sort=A","Dates=H","DateFormat=P","Fill=—","Direction=H","UseDPDF=Y")</f>
        <v>#NAME?</v>
      </c>
      <c r="W134" s="2" t="e">
        <f ca="1">_xll.BDH($C$128,"EARN_FOR_COM_GROWTH","FQ1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134" s="2" t="e">
        <f ca="1">_xll.BDH($C$128,"DILUTED_EPS_AFT_XO_ITEMS_GROWTH","FQ1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134" s="2" t="e">
        <f ca="1">_xll.BDH($C$128,"DIVIDEND_PER_SHARE_1_YEAR_GROWTH","FQ1 2015","FQ1 2015","Currency=INR","Period=FQ","BEST_FPERIOD_OVERRIDE=FQ","FILING_STATUS=OR","EQY_CONSOLIDATED=Y","Sort=A","Dates=H","DateFormat=P","Fill=—","Direction=H","UseDPDF=Y")</f>
        <v>#NAME?</v>
      </c>
      <c r="Z134" s="2" t="e">
        <f ca="1">_xll.BDH($C$128,"ACCOUNTS_RECEIVABLE_GROWTH","FQ1 2015","FQ1 2015","Currency=INR","Period=FQ","BEST_FPERIOD_OVERRIDE=FQ","FILING_STATUS=OR","EQY_CONSOLIDATED=Y","Sort=A","Dates=H","DateFormat=P","Fill=—","Direction=H","UseDPDF=Y")</f>
        <v>#NAME?</v>
      </c>
      <c r="AA134" s="2" t="e">
        <f ca="1">_xll.BDH($C$128,"INVENTORY_GROWTH","FQ1 2015","FQ1 2015","Currency=INR","Period=FQ","BEST_FPERIOD_OVERRIDE=FQ","FILING_STATUS=OR","EQY_CONSOLIDATED=Y","Sort=A","Dates=H","DateFormat=P","Fill=—","Direction=H","UseDPDF=Y")</f>
        <v>#NAME?</v>
      </c>
      <c r="AB134" s="2" t="e">
        <f ca="1">_xll.BDH($C$128,"NET_FIXED_ASSETS_1_YEAR_GROWTH","FQ1 2015","FQ1 2015","Currency=INR","Period=FQ","BEST_FPERIOD_OVERRIDE=FQ","FILING_STATUS=OR","EQY_CONSOLIDATED=Y","Sort=A","Dates=H","DateFormat=P","Fill=—","Direction=H","UseDPDF=Y")</f>
        <v>#NAME?</v>
      </c>
      <c r="AC134" s="2" t="e">
        <f ca="1">_xll.BDH($C$128,"ASSET_GROWTH","FQ1 2015","FQ1 2015","Currency=INR","Period=FQ","BEST_FPERIOD_OVERRIDE=FQ","FILING_STATUS=OR","EQY_CONSOLIDATED=Y","Sort=A","Dates=H","DateFormat=P","Fill=—","Direction=H","UseDPDF=Y")</f>
        <v>#NAME?</v>
      </c>
      <c r="AD134" s="2" t="e">
        <f ca="1">_xll.BDH($C$128,"MODIFIED_WORK_CAP_GROWTH","FQ1 2015","FQ1 2015","Currency=INR","Period=FQ","BEST_FPERIOD_OVERRIDE=FQ","FILING_STATUS=OR","EQY_CONSOLIDATED=Y","Sort=A","Dates=H","DateFormat=P","Fill=—","Direction=H","UseDPDF=Y")</f>
        <v>#NAME?</v>
      </c>
      <c r="AE134" s="2" t="e">
        <f ca="1">_xll.BDH($C$128,"WORK_CAP_GROWTH","FQ1 2015","FQ1 2015","Currency=INR","Period=FQ","BEST_FPERIOD_OVERRIDE=FQ","FILING_STATUS=OR","EQY_CONSOLIDATED=Y","Sort=A","Dates=H","DateFormat=P","Fill=—","Direction=H","UseDPDF=Y")</f>
        <v>#NAME?</v>
      </c>
      <c r="AF134" s="2" t="e">
        <f ca="1">_xll.BDH($C$128,"ACCOUNTS_PAYABLE_GROWTH_1YR","FQ1 2015","FQ1 2015","Currency=INR","Period=FQ","BEST_FPERIOD_OVERRIDE=FQ","FILING_STATUS=OR","EQY_CONSOLIDATED=Y","Sort=A","Dates=H","DateFormat=P","Fill=—","Direction=H","UseDPDF=Y")</f>
        <v>#NAME?</v>
      </c>
      <c r="AG134" s="2" t="e">
        <f ca="1">_xll.BDH($C$128,"SHORT_TERM_DEBT_1_YEAR_GROWTH","FQ1 2015","FQ1 2015","Currency=INR","Period=FQ","BEST_FPERIOD_OVERRIDE=FQ","FILING_STATUS=OR","EQY_CONSOLIDATED=Y","Sort=A","Dates=H","DateFormat=P","Fill=—","Direction=H","UseDPDF=Y")</f>
        <v>#NAME?</v>
      </c>
      <c r="AH134" s="2" t="e">
        <f ca="1">_xll.BDH($C$128,"TOTAL_DEBT_1_YEAR_GROWTH","FQ1 2015","FQ1 2015","Currency=INR","Period=FQ","BEST_FPERIOD_OVERRIDE=FQ","FILING_STATUS=OR","EQY_CONSOLIDATED=Y","Sort=A","Dates=H","DateFormat=P","Fill=—","Direction=H","UseDPDF=Y")</f>
        <v>#NAME?</v>
      </c>
      <c r="AI134" s="2" t="e">
        <f ca="1">_xll.BDH($C$128,"TOTAL_EQUITY_1_YEAR_GROWTH","FQ1 2015","FQ1 2015","Currency=INR","Period=FQ","BEST_FPERIOD_OVERRIDE=FQ","FILING_STATUS=OR","EQY_CONSOLIDATED=Y","Sort=A","Dates=H","DateFormat=P","Fill=—","Direction=H","UseDPDF=Y")</f>
        <v>#NAME?</v>
      </c>
      <c r="AJ134" s="2" t="e">
        <f ca="1">_xll.BDH($C$128,"GROWTH_IN_CAP","FQ1 2015","FQ1 2015","Currency=INR","Period=FQ","BEST_FPERIOD_OVERRIDE=FQ","FILING_STATUS=OR","EQY_CONSOLIDATED=Y","Sort=A","Dates=H","DateFormat=P","Fill=—","Direction=H","UseDPDF=Y")</f>
        <v>#NAME?</v>
      </c>
      <c r="AK134" s="2" t="e">
        <f ca="1">_xll.BDH($C$128,"BVPS_GROWTH","FQ1 2015","FQ1 2015","Currency=INR","Period=FQ","BEST_FPERIOD_OVERRIDE=FQ","FILING_STATUS=OR","EQY_CONSOLIDATED=Y","Sort=A","Dates=H","DateFormat=P","Fill=—","Direction=H","UseDPDF=Y")</f>
        <v>#NAME?</v>
      </c>
      <c r="AL134" s="2" t="e">
        <f ca="1">_xll.BDH($C$128,"CASH_FLOW_GROWTH","FQ1 2015","FQ1 2015","Currency=INR","Period=FQ","BEST_FPERIOD_OVERRIDE=FQ","FILING_STATUS=OR","EQY_CONSOLIDATED=Y","Sort=A","Dates=H","DateFormat=P","Fill=—","Direction=H","UseDPDF=Y")</f>
        <v>#NAME?</v>
      </c>
      <c r="AM134" s="2" t="e">
        <f ca="1">_xll.BDH($C$128,"GEO_GROW_NET_SALES","FQ1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134" s="2" t="e">
        <f ca="1">_xll.BDH($C$128,"GEO_GROW_EBITDA","FQ1 2015","FQ1 2015","Currency=INR","Period=FQ","BEST_FPERIOD_OVERRIDE=FQ","FILING_STATUS=OR","EQY_CONSOLIDATED=Y","FA_ADJUSTED=GAAP","Sort=A","Dates=H","DateFormat=P","Fill=—","Direction=H","UseDPDF=Y")</f>
        <v>#NAME?</v>
      </c>
      <c r="AO134" s="2" t="e">
        <f ca="1">_xll.BDH($C$128,"GEO_GROW_OPER_INC","FQ1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134" s="2" t="e">
        <f ca="1">_xll.BDH($C$128,"NET_INCOME_TO_COMMON_5_YR_GROWTH","FQ1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134" s="2" t="e">
        <f ca="1">_xll.BDH($C$128,"5Y_GEO_GROWTH_DILUTED_EPS","FQ1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134" s="2" t="e">
        <f ca="1">_xll.BDH($C$128,"GEO_GROW_DVD_PER_SH","FQ1 2015","FQ1 2015","Currency=INR","Period=FQ","BEST_FPERIOD_OVERRIDE=FQ","FILING_STATUS=OR","EQY_CONSOLIDATED=Y","Sort=A","Dates=H","DateFormat=P","Fill=—","Direction=H","UseDPDF=Y")</f>
        <v>#NAME?</v>
      </c>
      <c r="AS134" s="2" t="e">
        <f ca="1">_xll.BDH($C$128,"ACCOUNTS_RECEIVABLE_5_YR_GROWTH","FQ1 2015","FQ1 2015","Currency=INR","Period=FQ","BEST_FPERIOD_OVERRIDE=FQ","FILING_STATUS=OR","EQY_CONSOLIDATED=Y","Sort=A","Dates=H","DateFormat=P","Fill=—","Direction=H","UseDPDF=Y")</f>
        <v>#NAME?</v>
      </c>
      <c r="AT134" s="2" t="e">
        <f ca="1">_xll.BDH($C$128,"INVENTORY_5_YEAR_GROWTH","FQ1 2015","FQ1 2015","Currency=INR","Period=FQ","BEST_FPERIOD_OVERRIDE=FQ","FILING_STATUS=OR","EQY_CONSOLIDATED=Y","Sort=A","Dates=H","DateFormat=P","Fill=—","Direction=H","UseDPDF=Y")</f>
        <v>#NAME?</v>
      </c>
      <c r="AU134" s="2" t="e">
        <f ca="1">_xll.BDH($C$128,"NET_FIXED_ASSETS_5_YEAR_GROWTH","FQ1 2015","FQ1 2015","Currency=INR","Period=FQ","BEST_FPERIOD_OVERRIDE=FQ","FILING_STATUS=OR","EQY_CONSOLIDATED=Y","Sort=A","Dates=H","DateFormat=P","Fill=—","Direction=H","UseDPDF=Y")</f>
        <v>#NAME?</v>
      </c>
      <c r="AV134" s="2" t="e">
        <f ca="1">_xll.BDH($C$128,"GEO_GROW_TOT_ASSET","FQ1 2015","FQ1 2015","Currency=INR","Period=FQ","BEST_FPERIOD_OVERRIDE=FQ","FILING_STATUS=OR","EQY_CONSOLIDATED=Y","Sort=A","Dates=H","DateFormat=P","Fill=—","Direction=H","UseDPDF=Y")</f>
        <v>#NAME?</v>
      </c>
      <c r="AW134" s="2" t="e">
        <f ca="1">_xll.BDH($C$128,"MODIFIED_WORKING_CPTL_5YR_GRWTH","FQ1 2015","FQ1 2015","Currency=INR","Period=FQ","BEST_FPERIOD_OVERRIDE=FQ","FILING_STATUS=OR","EQY_CONSOLIDATED=Y","Sort=A","Dates=H","DateFormat=P","Fill=—","Direction=H","UseDPDF=Y")</f>
        <v>#NAME?</v>
      </c>
      <c r="AX134" s="2" t="e">
        <f ca="1">_xll.BDH($C$128,"WORKING_CAPITAL_5_YEAR_GROWTH","FQ1 2015","FQ1 2015","Currency=INR","Period=FQ","BEST_FPERIOD_OVERRIDE=FQ","FILING_STATUS=OR","EQY_CONSOLIDATED=Y","Sort=A","Dates=H","DateFormat=P","Fill=—","Direction=H","UseDPDF=Y")</f>
        <v>#NAME?</v>
      </c>
      <c r="AY134" s="2" t="e">
        <f ca="1">_xll.BDH($C$128,"ACCOUNTS_PAYABLE_5_YEAR_GROWTH","FQ1 2015","FQ1 2015","Currency=INR","Period=FQ","BEST_FPERIOD_OVERRIDE=FQ","FILING_STATUS=OR","EQY_CONSOLIDATED=Y","Sort=A","Dates=H","DateFormat=P","Fill=—","Direction=H","UseDPDF=Y")</f>
        <v>#NAME?</v>
      </c>
      <c r="AZ134" s="2" t="e">
        <f ca="1">_xll.BDH($C$128,"SHORT_TERM_DEBT_5_YEAR_GROWTH","FQ1 2015","FQ1 2015","Currency=INR","Period=FQ","BEST_FPERIOD_OVERRIDE=FQ","FILING_STATUS=OR","EQY_CONSOLIDATED=Y","Sort=A","Dates=H","DateFormat=P","Fill=—","Direction=H","UseDPDF=Y")</f>
        <v>#NAME?</v>
      </c>
      <c r="BA134" s="2" t="e">
        <f ca="1">_xll.BDH($C$128,"TOTAL_DEBT_5_YEAR_GROWTH","FQ1 2015","FQ1 2015","Currency=INR","Period=FQ","BEST_FPERIOD_OVERRIDE=FQ","FILING_STATUS=OR","EQY_CONSOLIDATED=Y","Sort=A","Dates=H","DateFormat=P","Fill=—","Direction=H","UseDPDF=Y")</f>
        <v>#NAME?</v>
      </c>
      <c r="BB134" s="2" t="e">
        <f ca="1">_xll.BDH($C$128,"GEO_GROW_TOT_SHRHLDR_EQY","FQ1 2015","FQ1 2015","Currency=INR","Period=FQ","BEST_FPERIOD_OVERRIDE=FQ","FILING_STATUS=OR","EQY_CONSOLIDATED=Y","Sort=A","Dates=H","DateFormat=P","Fill=—","Direction=H","UseDPDF=Y")</f>
        <v>#NAME?</v>
      </c>
      <c r="BC134" s="2" t="e">
        <f ca="1">_xll.BDH($C$128,"TOTAL_CAPITAL_5_YEAR_GROWTH","FQ1 2015","FQ1 2015","Currency=INR","Period=FQ","BEST_FPERIOD_OVERRIDE=FQ","FILING_STATUS=OR","EQY_CONSOLIDATED=Y","Sort=A","Dates=H","DateFormat=P","Fill=—","Direction=H","UseDPDF=Y")</f>
        <v>#NAME?</v>
      </c>
      <c r="BD134" s="2" t="e">
        <f ca="1">_xll.BDH($C$128,"GEO_GROW_BOOK_VAL","FQ1 2015","FQ1 2015","Currency=INR","Period=FQ","BEST_FPERIOD_OVERRIDE=FQ","FILING_STATUS=OR","EQY_CONSOLIDATED=Y","Sort=A","Dates=H","DateFormat=P","Fill=—","Direction=H","UseDPDF=Y")</f>
        <v>#NAME?</v>
      </c>
      <c r="BE134" s="2" t="e">
        <f ca="1">_xll.BDH($C$128,"GEO_GROW_CASH_OPER_ACT","FQ1 2015","FQ1 2015","Currency=INR","Period=FQ","BEST_FPERIOD_OVERRIDE=FQ","FILING_STATUS=OR","EQY_CONSOLIDATED=Y","Sort=A","Dates=H","DateFormat=P","Fill=—","Direction=H","UseDPDF=Y")</f>
        <v>#NAME?</v>
      </c>
      <c r="BF134" s="2" t="e">
        <f ca="1">_xll.BDH($C$128,"REVENUE_SEQUENTIAL_GROWTH","FQ1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134" s="2" t="e">
        <f ca="1">_xll.BDH($C$128,"EBITDA_SEQUENTIAL_GROWTH","FQ1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134" s="2" t="e">
        <f ca="1">_xll.BDH($C$128,"OPERATING_INCOME_SEQ_GROWTH","FQ1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134" s="2" t="e">
        <f ca="1">_xll.BDH($C$128,"NET_INCOME_TO_COMMON_SEQ_GROWTH","FQ1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134" s="2" t="e">
        <f ca="1">_xll.BDH($C$128,"EPS_DILUTED_SEQUENTIAL_GROWTH","FQ1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134" s="2" t="e">
        <f ca="1">_xll.BDH($C$128,"DPS_SEQUENTIAL_GROWTH","FQ1 2015","FQ1 2015","Currency=INR","Period=FQ","BEST_FPERIOD_OVERRIDE=FQ","FILING_STATUS=OR","EQY_CONSOLIDATED=Y","Sort=A","Dates=H","DateFormat=P","Fill=—","Direction=H","UseDPDF=Y")</f>
        <v>#NAME?</v>
      </c>
      <c r="BL134" s="2" t="e">
        <f ca="1">_xll.BDH($C$128,"ACCOUNTS_RECEIVABLE_SEQ_GROWTH","FQ1 2015","FQ1 2015","Currency=INR","Period=FQ","BEST_FPERIOD_OVERRIDE=FQ","FILING_STATUS=OR","EQY_CONSOLIDATED=Y","Sort=A","Dates=H","DateFormat=P","Fill=—","Direction=H","UseDPDF=Y")</f>
        <v>#NAME?</v>
      </c>
      <c r="BM134" s="2" t="e">
        <f ca="1">_xll.BDH($C$128,"INVENTORY_SEQUENTIAL_GROWTH","FQ1 2015","FQ1 2015","Currency=INR","Period=FQ","BEST_FPERIOD_OVERRIDE=FQ","FILING_STATUS=OR","EQY_CONSOLIDATED=Y","Sort=A","Dates=H","DateFormat=P","Fill=—","Direction=H","UseDPDF=Y")</f>
        <v>#NAME?</v>
      </c>
      <c r="BN134" s="2" t="e">
        <f ca="1">_xll.BDH($C$128,"FIXED_ASSETS_SEQUENTIAL_GROWTH","FQ1 2015","FQ1 2015","Currency=INR","Period=FQ","BEST_FPERIOD_OVERRIDE=FQ","FILING_STATUS=OR","EQY_CONSOLIDATED=Y","Sort=A","Dates=H","DateFormat=P","Fill=—","Direction=H","UseDPDF=Y")</f>
        <v>#NAME?</v>
      </c>
      <c r="BO134" s="2" t="e">
        <f ca="1">_xll.BDH($C$128,"TOTAL_ASSETS_SEQUENTIAL_GROWTH","FQ1 2015","FQ1 2015","Currency=INR","Period=FQ","BEST_FPERIOD_OVERRIDE=FQ","FILING_STATUS=OR","EQY_CONSOLIDATED=Y","Sort=A","Dates=H","DateFormat=P","Fill=—","Direction=H","UseDPDF=Y")</f>
        <v>#NAME?</v>
      </c>
      <c r="BP134" s="2" t="e">
        <f ca="1">_xll.BDH($C$128,"MODIFIED_WORKING_CPTL_SEQ_GRWTH","FQ1 2015","FQ1 2015","Currency=INR","Period=FQ","BEST_FPERIOD_OVERRIDE=FQ","FILING_STATUS=OR","EQY_CONSOLIDATED=Y","Sort=A","Dates=H","DateFormat=P","Fill=—","Direction=H","UseDPDF=Y")</f>
        <v>#NAME?</v>
      </c>
      <c r="BQ134" s="2" t="e">
        <f ca="1">_xll.BDH($C$128,"WORKING_CAPITAL_SEQ_GROWTH","FQ1 2015","FQ1 2015","Currency=INR","Period=FQ","BEST_FPERIOD_OVERRIDE=FQ","FILING_STATUS=OR","EQY_CONSOLIDATED=Y","Sort=A","Dates=H","DateFormat=P","Fill=—","Direction=H","UseDPDF=Y")</f>
        <v>#NAME?</v>
      </c>
      <c r="BR134" s="2" t="e">
        <f ca="1">_xll.BDH($C$128,"ACCOUNTS_PAYABLE_SEQ_GROWTH","FQ1 2015","FQ1 2015","Currency=INR","Period=FQ","BEST_FPERIOD_OVERRIDE=FQ","FILING_STATUS=OR","EQY_CONSOLIDATED=Y","Sort=A","Dates=H","DateFormat=P","Fill=—","Direction=H","UseDPDF=Y")</f>
        <v>#NAME?</v>
      </c>
      <c r="BS134" s="2" t="e">
        <f ca="1">_xll.BDH($C$128,"ST_DEBT_SEQUENTIAL_GROWTH","FQ1 2015","FQ1 2015","Currency=INR","Period=FQ","BEST_FPERIOD_OVERRIDE=FQ","FILING_STATUS=OR","EQY_CONSOLIDATED=Y","Sort=A","Dates=H","DateFormat=P","Fill=—","Direction=H","UseDPDF=Y")</f>
        <v>#NAME?</v>
      </c>
      <c r="BT134" s="2" t="e">
        <f ca="1">_xll.BDH($C$128,"TOTAL_DEBT_SEQUENTIAL_GROWTH","FQ1 2015","FQ1 2015","Currency=INR","Period=FQ","BEST_FPERIOD_OVERRIDE=FQ","FILING_STATUS=OR","EQY_CONSOLIDATED=Y","Sort=A","Dates=H","DateFormat=P","Fill=—","Direction=H","UseDPDF=Y")</f>
        <v>#NAME?</v>
      </c>
      <c r="BU134" s="2" t="e">
        <f ca="1">_xll.BDH($C$128,"TOTAL_EQUITY_SEQUENTIAL_GROWTH","FQ1 2015","FQ1 2015","Currency=INR","Period=FQ","BEST_FPERIOD_OVERRIDE=FQ","FILING_STATUS=OR","EQY_CONSOLIDATED=Y","Sort=A","Dates=H","DateFormat=P","Fill=—","Direction=H","UseDPDF=Y")</f>
        <v>#NAME?</v>
      </c>
      <c r="BV134" s="2" t="e">
        <f ca="1">_xll.BDH($C$128,"TOTAL_CAPITAL_SEQUENTIAL_GROWTH","FQ1 2015","FQ1 2015","Currency=INR","Period=FQ","BEST_FPERIOD_OVERRIDE=FQ","FILING_STATUS=OR","EQY_CONSOLIDATED=Y","Sort=A","Dates=H","DateFormat=P","Fill=—","Direction=H","UseDPDF=Y")</f>
        <v>#NAME?</v>
      </c>
      <c r="BW134" s="2" t="e">
        <f ca="1">_xll.BDH($C$128,"BPS_SEQUENTIAL_GROWTH","FQ1 2015","FQ1 2015","Currency=INR","Period=FQ","BEST_FPERIOD_OVERRIDE=FQ","FILING_STATUS=OR","EQY_CONSOLIDATED=Y","Sort=A","Dates=H","DateFormat=P","Fill=—","Direction=H","UseDPDF=Y")</f>
        <v>#NAME?</v>
      </c>
      <c r="BX134" s="2" t="e">
        <f ca="1">_xll.BDH($C$128,"CFO_SEQUENTIAL_GROWTH","FQ1 2015","FQ1 2015","Currency=INR","Period=FQ","BEST_FPERIOD_OVERRIDE=FQ","FILING_STATUS=OR","EQY_CONSOLIDATED=Y","Sort=A","Dates=H","DateFormat=P","Fill=—","Direction=H","UseDPDF=Y")</f>
        <v>#NAME?</v>
      </c>
      <c r="BY134" s="3" t="e">
        <f ca="1">_xll.BDH($C$128,"SHORT_AND_LONG_TERM_DEBT","FQ1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134" s="3" t="e">
        <f ca="1">_xll.BDH($C$128,"BS_ST_BORROW","FQ1 2015","FQ1 2015","Currency=INR","Period=FQ","BEST_FPERIOD_OVERRIDE=FQ","FILING_STATUS=OR","EQY_CONSOLIDATED=Y","SCALING_FORMAT=MLN","Sort=A","Dates=H","DateFormat=P","Fill=—","Direction=H","UseDPDF=Y")</f>
        <v>#NAME?</v>
      </c>
      <c r="CA134" s="3" t="e">
        <f ca="1">_xll.BDH($C$128,"BS_LT_BORROW","FQ1 2015","FQ1 2015","Currency=INR","Period=FQ","BEST_FPERIOD_OVERRIDE=FQ","FILING_STATUS=OR","EQY_CONSOLIDATED=Y","SCALING_FORMAT=MLN","Sort=A","Dates=H","DateFormat=P","Fill=—","Direction=H","UseDPDF=Y")</f>
        <v>#NAME?</v>
      </c>
      <c r="CB134" s="2" t="e">
        <f ca="1">_xll.BDH($C$128,"TOT_DEBT_TO_EBITDA","FQ1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134" s="2" t="e">
        <f ca="1">_xll.BDH($C$128,"NET_DEBT_TO_EBITDA","FQ1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134" s="2" t="e">
        <f ca="1">_xll.BDH($C$128,"TOTAL_DEBT_TO_EBIT","FQ1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134" s="2" t="e">
        <f ca="1">_xll.BDH($C$128,"NET_DEBT_TO_EBIT","FQ1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134" s="2" t="e">
        <f ca="1">_xll.BDH($C$128,"EBITDA_TO_INTEREST_EXPN","FQ1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134" s="2" t="e">
        <f ca="1">_xll.BDH($C$128,"COM_EQY_TO_TOT_ASSET","FQ1 2015","FQ1 2015","Currency=INR","Period=FQ","BEST_FPERIOD_OVERRIDE=FQ","FILING_STATUS=OR","EQY_CONSOLIDATED=Y","Sort=A","Dates=H","DateFormat=P","Fill=—","Direction=H","UseDPDF=Y")</f>
        <v>#NAME?</v>
      </c>
      <c r="CH134" s="2" t="e">
        <f ca="1">_xll.BDH($C$128,"LT_DEBT_TO_TOT_EQY","FQ1 2015","FQ1 2015","Currency=INR","Period=FQ","BEST_FPERIOD_OVERRIDE=FQ","FILING_STATUS=OR","EQY_CONSOLIDATED=Y","Sort=A","Dates=H","DateFormat=P","Fill=—","Direction=H","UseDPDF=Y")</f>
        <v>#NAME?</v>
      </c>
      <c r="CI134" s="2" t="e">
        <f ca="1">_xll.BDH($C$128,"LT_DEBT_TO_TOT_CAP","FQ1 2015","FQ1 2015","Currency=INR","Period=FQ","BEST_FPERIOD_OVERRIDE=FQ","FILING_STATUS=OR","EQY_CONSOLIDATED=Y","Sort=A","Dates=H","DateFormat=P","Fill=—","Direction=H","UseDPDF=Y")</f>
        <v>#NAME?</v>
      </c>
      <c r="CJ134" s="2" t="e">
        <f ca="1">_xll.BDH($C$128,"LT_DEBT_TO_TOT_ASSET","FQ1 2015","FQ1 2015","Currency=INR","Period=FQ","BEST_FPERIOD_OVERRIDE=FQ","FILING_STATUS=OR","EQY_CONSOLIDATED=Y","Sort=A","Dates=H","DateFormat=P","Fill=—","Direction=H","UseDPDF=Y")</f>
        <v>#NAME?</v>
      </c>
      <c r="CK134" s="2" t="e">
        <f ca="1">_xll.BDH($C$128,"TOT_DEBT_TO_TOT_EQY","FQ1 2015","FQ1 2015","Currency=INR","Period=FQ","BEST_FPERIOD_OVERRIDE=FQ","FILING_STATUS=OR","EQY_CONSOLIDATED=Y","Sort=A","Dates=H","DateFormat=P","Fill=—","Direction=H","UseDPDF=Y")</f>
        <v>#NAME?</v>
      </c>
      <c r="CL134" s="2" t="e">
        <f ca="1">_xll.BDH($C$128,"TOT_DEBT_TO_TOT_CAP","FQ1 2015","FQ1 2015","Currency=INR","Period=FQ","BEST_FPERIOD_OVERRIDE=FQ","FILING_STATUS=OR","EQY_CONSOLIDATED=Y","Sort=A","Dates=H","DateFormat=P","Fill=—","Direction=H","UseDPDF=Y")</f>
        <v>#NAME?</v>
      </c>
      <c r="CM134" s="2" t="e">
        <f ca="1">_xll.BDH($C$128,"TOT_DEBT_TO_TOT_ASSET","FQ1 2015","FQ1 2015","Currency=INR","Period=FQ","BEST_FPERIOD_OVERRIDE=FQ","FILING_STATUS=OR","EQY_CONSOLIDATED=Y","Sort=A","Dates=H","DateFormat=P","Fill=—","Direction=H","UseDPDF=Y")</f>
        <v>#NAME?</v>
      </c>
      <c r="CN134" s="2" t="e">
        <f ca="1">_xll.BDH($C$128,"NET_DEBT_TO_SHRHLDR_EQTY","FQ1 2015","FQ1 2015","Currency=INR","Period=FQ","BEST_FPERIOD_OVERRIDE=FQ","FILING_STATUS=OR","EQY_CONSOLIDATED=Y","Sort=A","Dates=H","DateFormat=P","Fill=—","Direction=H","UseDPDF=Y")</f>
        <v>#NAME?</v>
      </c>
      <c r="CO134" s="2" t="e">
        <f ca="1">_xll.BDH($C$128,"NET_DEBT_%_CAPITAL","FQ1 2015","FQ1 2015","Currency=INR","Period=FQ","BEST_FPERIOD_OVERRIDE=FQ","FILING_STATUS=OR","EQY_CONSOLIDATED=Y","Sort=A","Dates=H","DateFormat=P","Fill=—","Direction=H","UseDPDF=Y")</f>
        <v>#NAME?</v>
      </c>
      <c r="CP134" s="3" t="e">
        <f ca="1">_xll.BDH($C$128,"EBITDA","FQ1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134" s="3" t="e">
        <f ca="1">_xll.BDH($C$128,"EBITDA_AFTER_CAPEX","FQ1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134" s="3" t="e">
        <f ca="1">_xll.BDH($C$128,"IS_OPER_INC","FQ1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134" s="2" t="e">
        <f ca="1">_xll.BDH($C$128,"CASH_RATIO","FQ1 2015","FQ1 2015","Currency=INR","Period=FQ","BEST_FPERIOD_OVERRIDE=FQ","FILING_STATUS=OR","EQY_CONSOLIDATED=Y","Sort=A","Dates=H","DateFormat=P","Fill=—","Direction=H","UseDPDF=Y")</f>
        <v>#NAME?</v>
      </c>
      <c r="CT134" s="2" t="e">
        <f ca="1">_xll.BDH($C$128,"CUR_RATIO","FQ1 2015","FQ1 2015","Currency=INR","Period=FQ","BEST_FPERIOD_OVERRIDE=FQ","FILING_STATUS=OR","EQY_CONSOLIDATED=Y","Sort=A","Dates=H","DateFormat=P","Fill=—","Direction=H","UseDPDF=Y")</f>
        <v>#NAME?</v>
      </c>
      <c r="CU134" s="2" t="e">
        <f ca="1">_xll.BDH($C$128,"QUICK_RATIO","FQ1 2015","FQ1 2015","Currency=INR","Period=FQ","BEST_FPERIOD_OVERRIDE=FQ","FILING_STATUS=OR","EQY_CONSOLIDATED=Y","Sort=A","Dates=H","DateFormat=P","Fill=—","Direction=H","UseDPDF=Y")</f>
        <v>#NAME?</v>
      </c>
      <c r="CV134" s="2" t="e">
        <f ca="1">_xll.BDH($C$128,"ALTMAN_Z_SCORE","FQ1 2015","FQ1 2015","Currency=INR","Period=FQ","BEST_FPERIOD_OVERRIDE=FQ","FILING_STATUS=OR","EQY_CONSOLIDATED=Y","Sort=A","Dates=H","DateFormat=P","Fill=—","Direction=H","UseDPDF=Y")</f>
        <v>#NAME?</v>
      </c>
      <c r="CW134" s="4" t="e">
        <f ca="1">_xll.BDH($C$128,"ACCT_RCV_TURN","FQ1 2015","FQ1 2015","Currency=INR","Period=FQ","BEST_FPERIOD_OVERRIDE=FQ","FILING_STATUS=OR","EQY_CONSOLIDATED=Y","FA_ADJUSTED=GAAP","Sort=A","Dates=H","DateFormat=P","Fill=—","Direction=H","UseDPDF=Y")</f>
        <v>#NAME?</v>
      </c>
      <c r="CX134" s="2" t="e">
        <f ca="1">_xll.BDH($C$128,"ACCT_RCV_DAYS","FQ1 2015","FQ1 2015","Currency=INR","Period=FQ","BEST_FPERIOD_OVERRIDE=FQ","FILING_STATUS=OR","EQY_CONSOLIDATED=Y","FA_ADJUSTED=GAAP","Sort=A","Dates=H","DateFormat=P","Fill=—","Direction=H","UseDPDF=Y")</f>
        <v>#NAME?</v>
      </c>
      <c r="CY134" s="4" t="e">
        <f ca="1">_xll.BDH($C$128,"INVENT_TURN","FQ1 2015","FQ1 2015","Currency=INR","Period=FQ","BEST_FPERIOD_OVERRIDE=FQ","FILING_STATUS=OR","EQY_CONSOLIDATED=Y","FA_ADJUSTED=GAAP","Sort=A","Dates=H","DateFormat=P","Fill=—","Direction=H","UseDPDF=Y")</f>
        <v>#NAME?</v>
      </c>
      <c r="CZ134" s="2" t="e">
        <f ca="1">_xll.BDH($C$128,"INVENT_DAYS","FQ1 2015","FQ1 2015","Currency=INR","Period=FQ","BEST_FPERIOD_OVERRIDE=FQ","FILING_STATUS=OR","EQY_CONSOLIDATED=Y","FA_ADJUSTED=GAAP","Sort=A","Dates=H","DateFormat=P","Fill=—","Direction=H","UseDPDF=Y")</f>
        <v>#NAME?</v>
      </c>
      <c r="DA134" s="4" t="e">
        <f ca="1">_xll.BDH($C$128,"ACCOUNTS_PAYABLE_TURNOVER","FQ1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134" s="2" t="e">
        <f ca="1">_xll.BDH($C$128,"ACCOUNTS_PAYABLE_TURNOVER_DAYS","FQ1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134" s="4" t="e">
        <f ca="1">_xll.BDH($C$128,"CASH_CONVERSION_CYCLE","FQ1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134" s="4" t="e">
        <f ca="1">_xll.BDH($C$128,"INV_TO_CASH_DAYS","FQ1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134" s="5" t="e">
        <f ca="1">_xll.BDH($C$128,"BS_INVENTORIES","FQ1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134" s="3" t="e">
        <f ca="1">_xll.BDH($C$128,"INVTRY_RAW_MATERIALS","FQ1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134" s="3" t="e">
        <f ca="1">_xll.BDH($C$128,"INVTRY_IN_PROGRESS","FQ1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134" s="3" t="e">
        <f ca="1">_xll.BDH($C$128,"INVTRY_FINISHED_GOODS","FQ1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134" s="3" t="e">
        <f ca="1">_xll.BDH($C$128,"BS_OTHER_INV","FQ1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135" spans="1:113" x14ac:dyDescent="0.3">
      <c r="A135" s="6"/>
      <c r="B135" s="6"/>
      <c r="C135" s="6"/>
      <c r="D135" s="6"/>
      <c r="E135" t="s">
        <v>79</v>
      </c>
      <c r="F135" t="e">
        <f ca="1">_xll.BDH($C$128,"RETURN_COM_EQY","FQ2 2015","FQ2 2015","Currency=INR","Period=FQ","BEST_FPERIOD_OVERRIDE=FQ","FILING_STATUS=OR","EQY_CONSOLIDATED=Y","FA_ADJUSTED=GAAP","Sort=A","Dates=H","DateFormat=P","Fill=—","Direction=H","UseDPDF=Y")</f>
        <v>#NAME?</v>
      </c>
      <c r="G135" t="e">
        <f ca="1">_xll.BDH($C$128,"RETURN_ON_ASSET","FQ2 2015","FQ2 2015","Currency=INR","Period=FQ","BEST_FPERIOD_OVERRIDE=FQ","FILING_STATUS=OR","EQY_CONSOLIDATED=Y","FA_ADJUSTED=GAAP","Sort=A","Dates=H","DateFormat=P","Fill=—","Direction=H","UseDPDF=Y")</f>
        <v>#NAME?</v>
      </c>
      <c r="H135" t="e">
        <f ca="1">_xll.BDH($C$128,"RETURN_ON_CAP","FQ2 2015","FQ2 2015","Currency=INR","Period=FQ","BEST_FPERIOD_OVERRIDE=FQ","FILING_STATUS=OR","EQY_CONSOLIDATED=Y","FA_ADJUSTED=GAAP","Sort=A","Dates=H","DateFormat=P","Fill=—","Direction=H","UseDPDF=Y")</f>
        <v>#NAME?</v>
      </c>
      <c r="I135" t="e">
        <f ca="1">_xll.BDH($C$128,"RETURN_ON_INV_CAPITAL","FQ2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135" t="e">
        <f ca="1">_xll.BDH($C$128,"EBITDA_TO_REVENUE","FQ2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135" t="e">
        <f ca="1">_xll.BDH($C$128,"OPER_MARGIN","FQ2 2015","FQ2 2015","Currency=INR","Period=FQ","BEST_FPERIOD_OVERRIDE=FQ","FILING_STATUS=OR","EQY_CONSOLIDATED=Y","FA_ADJUSTED=GAAP","Sort=A","Dates=H","DateFormat=P","Fill=—","Direction=H","UseDPDF=Y")</f>
        <v>#NAME?</v>
      </c>
      <c r="L135" t="e">
        <f ca="1">_xll.BDH($C$128,"INCREMENTAL_OPERATING_MARGIN","FQ2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135" t="e">
        <f ca="1">_xll.BDH($C$128,"PRETAX_INC_TO_NET_SALES","FQ2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135" t="e">
        <f ca="1">_xll.BDH($C$128,"INC_BEF_XO_ITEMS_TO_NET_SALES","FQ2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135" t="e">
        <f ca="1">_xll.BDH($C$128,"PROF_MARGIN","FQ2 2015","FQ2 2015","Currency=INR","Period=FQ","BEST_FPERIOD_OVERRIDE=FQ","FILING_STATUS=OR","EQY_CONSOLIDATED=Y","FA_ADJUSTED=GAAP","Sort=A","Dates=H","DateFormat=P","Fill=—","Direction=H","UseDPDF=Y")</f>
        <v>#NAME?</v>
      </c>
      <c r="P135" t="e">
        <f ca="1">_xll.BDH($C$128,"NET_INCOME_TO_COMMON_MARGIN","FQ2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135" t="e">
        <f ca="1">_xll.BDH($C$128,"EFF_TAX_RATE","FQ2 2015","FQ2 2015","Currency=INR","Period=FQ","BEST_FPERIOD_OVERRIDE=FQ","FILING_STATUS=OR","EQY_CONSOLIDATED=Y","FA_ADJUSTED=GAAP","Sort=A","Dates=H","DateFormat=P","Fill=—","Direction=H","UseDPDF=Y")</f>
        <v>#NAME?</v>
      </c>
      <c r="R135" t="e">
        <f ca="1">_xll.BDH($C$128,"DVD_PAYOUT_RATIO","FQ2 2015","FQ2 2015","Currency=INR","Period=FQ","BEST_FPERIOD_OVERRIDE=FQ","FILING_STATUS=OR","EQY_CONSOLIDATED=Y","FA_ADJUSTED=GAAP","Sort=A","Dates=H","DateFormat=P","Fill=—","Direction=H","UseDPDF=Y")</f>
        <v>#NAME?</v>
      </c>
      <c r="S135" t="e">
        <f ca="1">_xll.BDH($C$128,"SUSTAIN_GROWTH_RT","FQ2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135" s="2" t="e">
        <f ca="1">_xll.BDH($C$128,"SALES_GROWTH","FQ2 2015","FQ2 2015","Currency=INR","Period=FQ","BEST_FPERIOD_OVERRIDE=FQ","FILING_STATUS=OR","EQY_CONSOLIDATED=Y","FA_ADJUSTED=GAAP","Sort=A","Dates=H","DateFormat=P","Fill=—","Direction=H","UseDPDF=Y")</f>
        <v>#NAME?</v>
      </c>
      <c r="U135" s="2" t="e">
        <f ca="1">_xll.BDH($C$128,"EBITDA_GROWTH","FQ2 2015","FQ2 2015","Currency=INR","Period=FQ","BEST_FPERIOD_OVERRIDE=FQ","FILING_STATUS=OR","EQY_CONSOLIDATED=Y","FA_ADJUSTED=GAAP","Sort=A","Dates=H","DateFormat=P","Fill=—","Direction=H","UseDPDF=Y")</f>
        <v>#NAME?</v>
      </c>
      <c r="V135" s="2" t="e">
        <f ca="1">_xll.BDH($C$128,"OPER_INC_GROWTH","FQ2 2015","FQ2 2015","Currency=INR","Period=FQ","BEST_FPERIOD_OVERRIDE=FQ","FILING_STATUS=OR","EQY_CONSOLIDATED=Y","FA_ADJUSTED=GAAP","Sort=A","Dates=H","DateFormat=P","Fill=—","Direction=H","UseDPDF=Y")</f>
        <v>#NAME?</v>
      </c>
      <c r="W135" s="2" t="e">
        <f ca="1">_xll.BDH($C$128,"EARN_FOR_COM_GROWTH","FQ2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135" s="2" t="e">
        <f ca="1">_xll.BDH($C$128,"DILUTED_EPS_AFT_XO_ITEMS_GROWTH","FQ2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135" s="2" t="e">
        <f ca="1">_xll.BDH($C$128,"DIVIDEND_PER_SHARE_1_YEAR_GROWTH","FQ2 2015","FQ2 2015","Currency=INR","Period=FQ","BEST_FPERIOD_OVERRIDE=FQ","FILING_STATUS=OR","EQY_CONSOLIDATED=Y","Sort=A","Dates=H","DateFormat=P","Fill=—","Direction=H","UseDPDF=Y")</f>
        <v>#NAME?</v>
      </c>
      <c r="Z135" s="2" t="e">
        <f ca="1">_xll.BDH($C$128,"ACCOUNTS_RECEIVABLE_GROWTH","FQ2 2015","FQ2 2015","Currency=INR","Period=FQ","BEST_FPERIOD_OVERRIDE=FQ","FILING_STATUS=OR","EQY_CONSOLIDATED=Y","Sort=A","Dates=H","DateFormat=P","Fill=—","Direction=H","UseDPDF=Y")</f>
        <v>#NAME?</v>
      </c>
      <c r="AA135" s="2" t="e">
        <f ca="1">_xll.BDH($C$128,"INVENTORY_GROWTH","FQ2 2015","FQ2 2015","Currency=INR","Period=FQ","BEST_FPERIOD_OVERRIDE=FQ","FILING_STATUS=OR","EQY_CONSOLIDATED=Y","Sort=A","Dates=H","DateFormat=P","Fill=—","Direction=H","UseDPDF=Y")</f>
        <v>#NAME?</v>
      </c>
      <c r="AB135" s="2" t="e">
        <f ca="1">_xll.BDH($C$128,"NET_FIXED_ASSETS_1_YEAR_GROWTH","FQ2 2015","FQ2 2015","Currency=INR","Period=FQ","BEST_FPERIOD_OVERRIDE=FQ","FILING_STATUS=OR","EQY_CONSOLIDATED=Y","Sort=A","Dates=H","DateFormat=P","Fill=—","Direction=H","UseDPDF=Y")</f>
        <v>#NAME?</v>
      </c>
      <c r="AC135" s="2" t="e">
        <f ca="1">_xll.BDH($C$128,"ASSET_GROWTH","FQ2 2015","FQ2 2015","Currency=INR","Period=FQ","BEST_FPERIOD_OVERRIDE=FQ","FILING_STATUS=OR","EQY_CONSOLIDATED=Y","Sort=A","Dates=H","DateFormat=P","Fill=—","Direction=H","UseDPDF=Y")</f>
        <v>#NAME?</v>
      </c>
      <c r="AD135" s="2" t="e">
        <f ca="1">_xll.BDH($C$128,"MODIFIED_WORK_CAP_GROWTH","FQ2 2015","FQ2 2015","Currency=INR","Period=FQ","BEST_FPERIOD_OVERRIDE=FQ","FILING_STATUS=OR","EQY_CONSOLIDATED=Y","Sort=A","Dates=H","DateFormat=P","Fill=—","Direction=H","UseDPDF=Y")</f>
        <v>#NAME?</v>
      </c>
      <c r="AE135" s="2" t="e">
        <f ca="1">_xll.BDH($C$128,"WORK_CAP_GROWTH","FQ2 2015","FQ2 2015","Currency=INR","Period=FQ","BEST_FPERIOD_OVERRIDE=FQ","FILING_STATUS=OR","EQY_CONSOLIDATED=Y","Sort=A","Dates=H","DateFormat=P","Fill=—","Direction=H","UseDPDF=Y")</f>
        <v>#NAME?</v>
      </c>
      <c r="AF135" s="2" t="e">
        <f ca="1">_xll.BDH($C$128,"ACCOUNTS_PAYABLE_GROWTH_1YR","FQ2 2015","FQ2 2015","Currency=INR","Period=FQ","BEST_FPERIOD_OVERRIDE=FQ","FILING_STATUS=OR","EQY_CONSOLIDATED=Y","Sort=A","Dates=H","DateFormat=P","Fill=—","Direction=H","UseDPDF=Y")</f>
        <v>#NAME?</v>
      </c>
      <c r="AG135" s="2" t="e">
        <f ca="1">_xll.BDH($C$128,"SHORT_TERM_DEBT_1_YEAR_GROWTH","FQ2 2015","FQ2 2015","Currency=INR","Period=FQ","BEST_FPERIOD_OVERRIDE=FQ","FILING_STATUS=OR","EQY_CONSOLIDATED=Y","Sort=A","Dates=H","DateFormat=P","Fill=—","Direction=H","UseDPDF=Y")</f>
        <v>#NAME?</v>
      </c>
      <c r="AH135" s="2" t="e">
        <f ca="1">_xll.BDH($C$128,"TOTAL_DEBT_1_YEAR_GROWTH","FQ2 2015","FQ2 2015","Currency=INR","Period=FQ","BEST_FPERIOD_OVERRIDE=FQ","FILING_STATUS=OR","EQY_CONSOLIDATED=Y","Sort=A","Dates=H","DateFormat=P","Fill=—","Direction=H","UseDPDF=Y")</f>
        <v>#NAME?</v>
      </c>
      <c r="AI135" s="2" t="e">
        <f ca="1">_xll.BDH($C$128,"TOTAL_EQUITY_1_YEAR_GROWTH","FQ2 2015","FQ2 2015","Currency=INR","Period=FQ","BEST_FPERIOD_OVERRIDE=FQ","FILING_STATUS=OR","EQY_CONSOLIDATED=Y","Sort=A","Dates=H","DateFormat=P","Fill=—","Direction=H","UseDPDF=Y")</f>
        <v>#NAME?</v>
      </c>
      <c r="AJ135" s="2" t="e">
        <f ca="1">_xll.BDH($C$128,"GROWTH_IN_CAP","FQ2 2015","FQ2 2015","Currency=INR","Period=FQ","BEST_FPERIOD_OVERRIDE=FQ","FILING_STATUS=OR","EQY_CONSOLIDATED=Y","Sort=A","Dates=H","DateFormat=P","Fill=—","Direction=H","UseDPDF=Y")</f>
        <v>#NAME?</v>
      </c>
      <c r="AK135" s="2" t="e">
        <f ca="1">_xll.BDH($C$128,"BVPS_GROWTH","FQ2 2015","FQ2 2015","Currency=INR","Period=FQ","BEST_FPERIOD_OVERRIDE=FQ","FILING_STATUS=OR","EQY_CONSOLIDATED=Y","Sort=A","Dates=H","DateFormat=P","Fill=—","Direction=H","UseDPDF=Y")</f>
        <v>#NAME?</v>
      </c>
      <c r="AL135" s="2" t="e">
        <f ca="1">_xll.BDH($C$128,"CASH_FLOW_GROWTH","FQ2 2015","FQ2 2015","Currency=INR","Period=FQ","BEST_FPERIOD_OVERRIDE=FQ","FILING_STATUS=OR","EQY_CONSOLIDATED=Y","Sort=A","Dates=H","DateFormat=P","Fill=—","Direction=H","UseDPDF=Y")</f>
        <v>#NAME?</v>
      </c>
      <c r="AM135" s="2" t="e">
        <f ca="1">_xll.BDH($C$128,"GEO_GROW_NET_SALES","FQ2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135" s="2" t="e">
        <f ca="1">_xll.BDH($C$128,"GEO_GROW_EBITDA","FQ2 2015","FQ2 2015","Currency=INR","Period=FQ","BEST_FPERIOD_OVERRIDE=FQ","FILING_STATUS=OR","EQY_CONSOLIDATED=Y","FA_ADJUSTED=GAAP","Sort=A","Dates=H","DateFormat=P","Fill=—","Direction=H","UseDPDF=Y")</f>
        <v>#NAME?</v>
      </c>
      <c r="AO135" s="2" t="e">
        <f ca="1">_xll.BDH($C$128,"GEO_GROW_OPER_INC","FQ2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135" s="2" t="e">
        <f ca="1">_xll.BDH($C$128,"NET_INCOME_TO_COMMON_5_YR_GROWTH","FQ2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135" s="2" t="e">
        <f ca="1">_xll.BDH($C$128,"5Y_GEO_GROWTH_DILUTED_EPS","FQ2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135" s="2" t="e">
        <f ca="1">_xll.BDH($C$128,"GEO_GROW_DVD_PER_SH","FQ2 2015","FQ2 2015","Currency=INR","Period=FQ","BEST_FPERIOD_OVERRIDE=FQ","FILING_STATUS=OR","EQY_CONSOLIDATED=Y","Sort=A","Dates=H","DateFormat=P","Fill=—","Direction=H","UseDPDF=Y")</f>
        <v>#NAME?</v>
      </c>
      <c r="AS135" s="2" t="e">
        <f ca="1">_xll.BDH($C$128,"ACCOUNTS_RECEIVABLE_5_YR_GROWTH","FQ2 2015","FQ2 2015","Currency=INR","Period=FQ","BEST_FPERIOD_OVERRIDE=FQ","FILING_STATUS=OR","EQY_CONSOLIDATED=Y","Sort=A","Dates=H","DateFormat=P","Fill=—","Direction=H","UseDPDF=Y")</f>
        <v>#NAME?</v>
      </c>
      <c r="AT135" s="2" t="e">
        <f ca="1">_xll.BDH($C$128,"INVENTORY_5_YEAR_GROWTH","FQ2 2015","FQ2 2015","Currency=INR","Period=FQ","BEST_FPERIOD_OVERRIDE=FQ","FILING_STATUS=OR","EQY_CONSOLIDATED=Y","Sort=A","Dates=H","DateFormat=P","Fill=—","Direction=H","UseDPDF=Y")</f>
        <v>#NAME?</v>
      </c>
      <c r="AU135" s="2" t="e">
        <f ca="1">_xll.BDH($C$128,"NET_FIXED_ASSETS_5_YEAR_GROWTH","FQ2 2015","FQ2 2015","Currency=INR","Period=FQ","BEST_FPERIOD_OVERRIDE=FQ","FILING_STATUS=OR","EQY_CONSOLIDATED=Y","Sort=A","Dates=H","DateFormat=P","Fill=—","Direction=H","UseDPDF=Y")</f>
        <v>#NAME?</v>
      </c>
      <c r="AV135" s="2" t="e">
        <f ca="1">_xll.BDH($C$128,"GEO_GROW_TOT_ASSET","FQ2 2015","FQ2 2015","Currency=INR","Period=FQ","BEST_FPERIOD_OVERRIDE=FQ","FILING_STATUS=OR","EQY_CONSOLIDATED=Y","Sort=A","Dates=H","DateFormat=P","Fill=—","Direction=H","UseDPDF=Y")</f>
        <v>#NAME?</v>
      </c>
      <c r="AW135" s="2" t="e">
        <f ca="1">_xll.BDH($C$128,"MODIFIED_WORKING_CPTL_5YR_GRWTH","FQ2 2015","FQ2 2015","Currency=INR","Period=FQ","BEST_FPERIOD_OVERRIDE=FQ","FILING_STATUS=OR","EQY_CONSOLIDATED=Y","Sort=A","Dates=H","DateFormat=P","Fill=—","Direction=H","UseDPDF=Y")</f>
        <v>#NAME?</v>
      </c>
      <c r="AX135" s="2" t="e">
        <f ca="1">_xll.BDH($C$128,"WORKING_CAPITAL_5_YEAR_GROWTH","FQ2 2015","FQ2 2015","Currency=INR","Period=FQ","BEST_FPERIOD_OVERRIDE=FQ","FILING_STATUS=OR","EQY_CONSOLIDATED=Y","Sort=A","Dates=H","DateFormat=P","Fill=—","Direction=H","UseDPDF=Y")</f>
        <v>#NAME?</v>
      </c>
      <c r="AY135" s="2" t="e">
        <f ca="1">_xll.BDH($C$128,"ACCOUNTS_PAYABLE_5_YEAR_GROWTH","FQ2 2015","FQ2 2015","Currency=INR","Period=FQ","BEST_FPERIOD_OVERRIDE=FQ","FILING_STATUS=OR","EQY_CONSOLIDATED=Y","Sort=A","Dates=H","DateFormat=P","Fill=—","Direction=H","UseDPDF=Y")</f>
        <v>#NAME?</v>
      </c>
      <c r="AZ135" s="2" t="e">
        <f ca="1">_xll.BDH($C$128,"SHORT_TERM_DEBT_5_YEAR_GROWTH","FQ2 2015","FQ2 2015","Currency=INR","Period=FQ","BEST_FPERIOD_OVERRIDE=FQ","FILING_STATUS=OR","EQY_CONSOLIDATED=Y","Sort=A","Dates=H","DateFormat=P","Fill=—","Direction=H","UseDPDF=Y")</f>
        <v>#NAME?</v>
      </c>
      <c r="BA135" s="2" t="e">
        <f ca="1">_xll.BDH($C$128,"TOTAL_DEBT_5_YEAR_GROWTH","FQ2 2015","FQ2 2015","Currency=INR","Period=FQ","BEST_FPERIOD_OVERRIDE=FQ","FILING_STATUS=OR","EQY_CONSOLIDATED=Y","Sort=A","Dates=H","DateFormat=P","Fill=—","Direction=H","UseDPDF=Y")</f>
        <v>#NAME?</v>
      </c>
      <c r="BB135" s="2" t="e">
        <f ca="1">_xll.BDH($C$128,"GEO_GROW_TOT_SHRHLDR_EQY","FQ2 2015","FQ2 2015","Currency=INR","Period=FQ","BEST_FPERIOD_OVERRIDE=FQ","FILING_STATUS=OR","EQY_CONSOLIDATED=Y","Sort=A","Dates=H","DateFormat=P","Fill=—","Direction=H","UseDPDF=Y")</f>
        <v>#NAME?</v>
      </c>
      <c r="BC135" s="2" t="e">
        <f ca="1">_xll.BDH($C$128,"TOTAL_CAPITAL_5_YEAR_GROWTH","FQ2 2015","FQ2 2015","Currency=INR","Period=FQ","BEST_FPERIOD_OVERRIDE=FQ","FILING_STATUS=OR","EQY_CONSOLIDATED=Y","Sort=A","Dates=H","DateFormat=P","Fill=—","Direction=H","UseDPDF=Y")</f>
        <v>#NAME?</v>
      </c>
      <c r="BD135" s="2" t="e">
        <f ca="1">_xll.BDH($C$128,"GEO_GROW_BOOK_VAL","FQ2 2015","FQ2 2015","Currency=INR","Period=FQ","BEST_FPERIOD_OVERRIDE=FQ","FILING_STATUS=OR","EQY_CONSOLIDATED=Y","Sort=A","Dates=H","DateFormat=P","Fill=—","Direction=H","UseDPDF=Y")</f>
        <v>#NAME?</v>
      </c>
      <c r="BE135" s="2" t="e">
        <f ca="1">_xll.BDH($C$128,"GEO_GROW_CASH_OPER_ACT","FQ2 2015","FQ2 2015","Currency=INR","Period=FQ","BEST_FPERIOD_OVERRIDE=FQ","FILING_STATUS=OR","EQY_CONSOLIDATED=Y","Sort=A","Dates=H","DateFormat=P","Fill=—","Direction=H","UseDPDF=Y")</f>
        <v>#NAME?</v>
      </c>
      <c r="BF135" s="2" t="e">
        <f ca="1">_xll.BDH($C$128,"REVENUE_SEQUENTIAL_GROWTH","FQ2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135" s="2" t="e">
        <f ca="1">_xll.BDH($C$128,"EBITDA_SEQUENTIAL_GROWTH","FQ2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135" s="2" t="e">
        <f ca="1">_xll.BDH($C$128,"OPERATING_INCOME_SEQ_GROWTH","FQ2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135" s="2" t="e">
        <f ca="1">_xll.BDH($C$128,"NET_INCOME_TO_COMMON_SEQ_GROWTH","FQ2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135" s="2" t="e">
        <f ca="1">_xll.BDH($C$128,"EPS_DILUTED_SEQUENTIAL_GROWTH","FQ2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135" s="2" t="e">
        <f ca="1">_xll.BDH($C$128,"DPS_SEQUENTIAL_GROWTH","FQ2 2015","FQ2 2015","Currency=INR","Period=FQ","BEST_FPERIOD_OVERRIDE=FQ","FILING_STATUS=OR","EQY_CONSOLIDATED=Y","Sort=A","Dates=H","DateFormat=P","Fill=—","Direction=H","UseDPDF=Y")</f>
        <v>#NAME?</v>
      </c>
      <c r="BL135" s="2" t="e">
        <f ca="1">_xll.BDH($C$128,"ACCOUNTS_RECEIVABLE_SEQ_GROWTH","FQ2 2015","FQ2 2015","Currency=INR","Period=FQ","BEST_FPERIOD_OVERRIDE=FQ","FILING_STATUS=OR","EQY_CONSOLIDATED=Y","Sort=A","Dates=H","DateFormat=P","Fill=—","Direction=H","UseDPDF=Y")</f>
        <v>#NAME?</v>
      </c>
      <c r="BM135" s="2" t="e">
        <f ca="1">_xll.BDH($C$128,"INVENTORY_SEQUENTIAL_GROWTH","FQ2 2015","FQ2 2015","Currency=INR","Period=FQ","BEST_FPERIOD_OVERRIDE=FQ","FILING_STATUS=OR","EQY_CONSOLIDATED=Y","Sort=A","Dates=H","DateFormat=P","Fill=—","Direction=H","UseDPDF=Y")</f>
        <v>#NAME?</v>
      </c>
      <c r="BN135" s="2" t="e">
        <f ca="1">_xll.BDH($C$128,"FIXED_ASSETS_SEQUENTIAL_GROWTH","FQ2 2015","FQ2 2015","Currency=INR","Period=FQ","BEST_FPERIOD_OVERRIDE=FQ","FILING_STATUS=OR","EQY_CONSOLIDATED=Y","Sort=A","Dates=H","DateFormat=P","Fill=—","Direction=H","UseDPDF=Y")</f>
        <v>#NAME?</v>
      </c>
      <c r="BO135" s="2" t="e">
        <f ca="1">_xll.BDH($C$128,"TOTAL_ASSETS_SEQUENTIAL_GROWTH","FQ2 2015","FQ2 2015","Currency=INR","Period=FQ","BEST_FPERIOD_OVERRIDE=FQ","FILING_STATUS=OR","EQY_CONSOLIDATED=Y","Sort=A","Dates=H","DateFormat=P","Fill=—","Direction=H","UseDPDF=Y")</f>
        <v>#NAME?</v>
      </c>
      <c r="BP135" s="2" t="e">
        <f ca="1">_xll.BDH($C$128,"MODIFIED_WORKING_CPTL_SEQ_GRWTH","FQ2 2015","FQ2 2015","Currency=INR","Period=FQ","BEST_FPERIOD_OVERRIDE=FQ","FILING_STATUS=OR","EQY_CONSOLIDATED=Y","Sort=A","Dates=H","DateFormat=P","Fill=—","Direction=H","UseDPDF=Y")</f>
        <v>#NAME?</v>
      </c>
      <c r="BQ135" s="2" t="e">
        <f ca="1">_xll.BDH($C$128,"WORKING_CAPITAL_SEQ_GROWTH","FQ2 2015","FQ2 2015","Currency=INR","Period=FQ","BEST_FPERIOD_OVERRIDE=FQ","FILING_STATUS=OR","EQY_CONSOLIDATED=Y","Sort=A","Dates=H","DateFormat=P","Fill=—","Direction=H","UseDPDF=Y")</f>
        <v>#NAME?</v>
      </c>
      <c r="BR135" s="2" t="e">
        <f ca="1">_xll.BDH($C$128,"ACCOUNTS_PAYABLE_SEQ_GROWTH","FQ2 2015","FQ2 2015","Currency=INR","Period=FQ","BEST_FPERIOD_OVERRIDE=FQ","FILING_STATUS=OR","EQY_CONSOLIDATED=Y","Sort=A","Dates=H","DateFormat=P","Fill=—","Direction=H","UseDPDF=Y")</f>
        <v>#NAME?</v>
      </c>
      <c r="BS135" s="2" t="e">
        <f ca="1">_xll.BDH($C$128,"ST_DEBT_SEQUENTIAL_GROWTH","FQ2 2015","FQ2 2015","Currency=INR","Period=FQ","BEST_FPERIOD_OVERRIDE=FQ","FILING_STATUS=OR","EQY_CONSOLIDATED=Y","Sort=A","Dates=H","DateFormat=P","Fill=—","Direction=H","UseDPDF=Y")</f>
        <v>#NAME?</v>
      </c>
      <c r="BT135" s="2" t="e">
        <f ca="1">_xll.BDH($C$128,"TOTAL_DEBT_SEQUENTIAL_GROWTH","FQ2 2015","FQ2 2015","Currency=INR","Period=FQ","BEST_FPERIOD_OVERRIDE=FQ","FILING_STATUS=OR","EQY_CONSOLIDATED=Y","Sort=A","Dates=H","DateFormat=P","Fill=—","Direction=H","UseDPDF=Y")</f>
        <v>#NAME?</v>
      </c>
      <c r="BU135" s="2" t="e">
        <f ca="1">_xll.BDH($C$128,"TOTAL_EQUITY_SEQUENTIAL_GROWTH","FQ2 2015","FQ2 2015","Currency=INR","Period=FQ","BEST_FPERIOD_OVERRIDE=FQ","FILING_STATUS=OR","EQY_CONSOLIDATED=Y","Sort=A","Dates=H","DateFormat=P","Fill=—","Direction=H","UseDPDF=Y")</f>
        <v>#NAME?</v>
      </c>
      <c r="BV135" s="2" t="e">
        <f ca="1">_xll.BDH($C$128,"TOTAL_CAPITAL_SEQUENTIAL_GROWTH","FQ2 2015","FQ2 2015","Currency=INR","Period=FQ","BEST_FPERIOD_OVERRIDE=FQ","FILING_STATUS=OR","EQY_CONSOLIDATED=Y","Sort=A","Dates=H","DateFormat=P","Fill=—","Direction=H","UseDPDF=Y")</f>
        <v>#NAME?</v>
      </c>
      <c r="BW135" s="2" t="e">
        <f ca="1">_xll.BDH($C$128,"BPS_SEQUENTIAL_GROWTH","FQ2 2015","FQ2 2015","Currency=INR","Period=FQ","BEST_FPERIOD_OVERRIDE=FQ","FILING_STATUS=OR","EQY_CONSOLIDATED=Y","Sort=A","Dates=H","DateFormat=P","Fill=—","Direction=H","UseDPDF=Y")</f>
        <v>#NAME?</v>
      </c>
      <c r="BX135" s="2" t="e">
        <f ca="1">_xll.BDH($C$128,"CFO_SEQUENTIAL_GROWTH","FQ2 2015","FQ2 2015","Currency=INR","Period=FQ","BEST_FPERIOD_OVERRIDE=FQ","FILING_STATUS=OR","EQY_CONSOLIDATED=Y","Sort=A","Dates=H","DateFormat=P","Fill=—","Direction=H","UseDPDF=Y")</f>
        <v>#NAME?</v>
      </c>
      <c r="BY135" s="3" t="e">
        <f ca="1">_xll.BDH($C$128,"SHORT_AND_LONG_TERM_DEBT","FQ2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135" s="3" t="e">
        <f ca="1">_xll.BDH($C$128,"BS_ST_BORROW","FQ2 2015","FQ2 2015","Currency=INR","Period=FQ","BEST_FPERIOD_OVERRIDE=FQ","FILING_STATUS=OR","EQY_CONSOLIDATED=Y","SCALING_FORMAT=MLN","Sort=A","Dates=H","DateFormat=P","Fill=—","Direction=H","UseDPDF=Y")</f>
        <v>#NAME?</v>
      </c>
      <c r="CA135" s="3" t="e">
        <f ca="1">_xll.BDH($C$128,"BS_LT_BORROW","FQ2 2015","FQ2 2015","Currency=INR","Period=FQ","BEST_FPERIOD_OVERRIDE=FQ","FILING_STATUS=OR","EQY_CONSOLIDATED=Y","SCALING_FORMAT=MLN","Sort=A","Dates=H","DateFormat=P","Fill=—","Direction=H","UseDPDF=Y")</f>
        <v>#NAME?</v>
      </c>
      <c r="CB135" s="2" t="e">
        <f ca="1">_xll.BDH($C$128,"TOT_DEBT_TO_EBITDA","FQ2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135" s="2" t="e">
        <f ca="1">_xll.BDH($C$128,"NET_DEBT_TO_EBITDA","FQ2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135" s="2" t="e">
        <f ca="1">_xll.BDH($C$128,"TOTAL_DEBT_TO_EBIT","FQ2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135" s="2" t="e">
        <f ca="1">_xll.BDH($C$128,"NET_DEBT_TO_EBIT","FQ2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135" s="2" t="e">
        <f ca="1">_xll.BDH($C$128,"EBITDA_TO_INTEREST_EXPN","FQ2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135" s="2" t="e">
        <f ca="1">_xll.BDH($C$128,"COM_EQY_TO_TOT_ASSET","FQ2 2015","FQ2 2015","Currency=INR","Period=FQ","BEST_FPERIOD_OVERRIDE=FQ","FILING_STATUS=OR","EQY_CONSOLIDATED=Y","Sort=A","Dates=H","DateFormat=P","Fill=—","Direction=H","UseDPDF=Y")</f>
        <v>#NAME?</v>
      </c>
      <c r="CH135" s="2" t="e">
        <f ca="1">_xll.BDH($C$128,"LT_DEBT_TO_TOT_EQY","FQ2 2015","FQ2 2015","Currency=INR","Period=FQ","BEST_FPERIOD_OVERRIDE=FQ","FILING_STATUS=OR","EQY_CONSOLIDATED=Y","Sort=A","Dates=H","DateFormat=P","Fill=—","Direction=H","UseDPDF=Y")</f>
        <v>#NAME?</v>
      </c>
      <c r="CI135" s="2" t="e">
        <f ca="1">_xll.BDH($C$128,"LT_DEBT_TO_TOT_CAP","FQ2 2015","FQ2 2015","Currency=INR","Period=FQ","BEST_FPERIOD_OVERRIDE=FQ","FILING_STATUS=OR","EQY_CONSOLIDATED=Y","Sort=A","Dates=H","DateFormat=P","Fill=—","Direction=H","UseDPDF=Y")</f>
        <v>#NAME?</v>
      </c>
      <c r="CJ135" s="2" t="e">
        <f ca="1">_xll.BDH($C$128,"LT_DEBT_TO_TOT_ASSET","FQ2 2015","FQ2 2015","Currency=INR","Period=FQ","BEST_FPERIOD_OVERRIDE=FQ","FILING_STATUS=OR","EQY_CONSOLIDATED=Y","Sort=A","Dates=H","DateFormat=P","Fill=—","Direction=H","UseDPDF=Y")</f>
        <v>#NAME?</v>
      </c>
      <c r="CK135" s="2" t="e">
        <f ca="1">_xll.BDH($C$128,"TOT_DEBT_TO_TOT_EQY","FQ2 2015","FQ2 2015","Currency=INR","Period=FQ","BEST_FPERIOD_OVERRIDE=FQ","FILING_STATUS=OR","EQY_CONSOLIDATED=Y","Sort=A","Dates=H","DateFormat=P","Fill=—","Direction=H","UseDPDF=Y")</f>
        <v>#NAME?</v>
      </c>
      <c r="CL135" s="2" t="e">
        <f ca="1">_xll.BDH($C$128,"TOT_DEBT_TO_TOT_CAP","FQ2 2015","FQ2 2015","Currency=INR","Period=FQ","BEST_FPERIOD_OVERRIDE=FQ","FILING_STATUS=OR","EQY_CONSOLIDATED=Y","Sort=A","Dates=H","DateFormat=P","Fill=—","Direction=H","UseDPDF=Y")</f>
        <v>#NAME?</v>
      </c>
      <c r="CM135" s="2" t="e">
        <f ca="1">_xll.BDH($C$128,"TOT_DEBT_TO_TOT_ASSET","FQ2 2015","FQ2 2015","Currency=INR","Period=FQ","BEST_FPERIOD_OVERRIDE=FQ","FILING_STATUS=OR","EQY_CONSOLIDATED=Y","Sort=A","Dates=H","DateFormat=P","Fill=—","Direction=H","UseDPDF=Y")</f>
        <v>#NAME?</v>
      </c>
      <c r="CN135" s="2" t="e">
        <f ca="1">_xll.BDH($C$128,"NET_DEBT_TO_SHRHLDR_EQTY","FQ2 2015","FQ2 2015","Currency=INR","Period=FQ","BEST_FPERIOD_OVERRIDE=FQ","FILING_STATUS=OR","EQY_CONSOLIDATED=Y","Sort=A","Dates=H","DateFormat=P","Fill=—","Direction=H","UseDPDF=Y")</f>
        <v>#NAME?</v>
      </c>
      <c r="CO135" s="2" t="e">
        <f ca="1">_xll.BDH($C$128,"NET_DEBT_%_CAPITAL","FQ2 2015","FQ2 2015","Currency=INR","Period=FQ","BEST_FPERIOD_OVERRIDE=FQ","FILING_STATUS=OR","EQY_CONSOLIDATED=Y","Sort=A","Dates=H","DateFormat=P","Fill=—","Direction=H","UseDPDF=Y")</f>
        <v>#NAME?</v>
      </c>
      <c r="CP135" s="3" t="e">
        <f ca="1">_xll.BDH($C$128,"EBITDA","FQ2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135" s="3" t="e">
        <f ca="1">_xll.BDH($C$128,"EBITDA_AFTER_CAPEX","FQ2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135" s="3" t="e">
        <f ca="1">_xll.BDH($C$128,"IS_OPER_INC","FQ2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135" s="2" t="e">
        <f ca="1">_xll.BDH($C$128,"CASH_RATIO","FQ2 2015","FQ2 2015","Currency=INR","Period=FQ","BEST_FPERIOD_OVERRIDE=FQ","FILING_STATUS=OR","EQY_CONSOLIDATED=Y","Sort=A","Dates=H","DateFormat=P","Fill=—","Direction=H","UseDPDF=Y")</f>
        <v>#NAME?</v>
      </c>
      <c r="CT135" s="2" t="e">
        <f ca="1">_xll.BDH($C$128,"CUR_RATIO","FQ2 2015","FQ2 2015","Currency=INR","Period=FQ","BEST_FPERIOD_OVERRIDE=FQ","FILING_STATUS=OR","EQY_CONSOLIDATED=Y","Sort=A","Dates=H","DateFormat=P","Fill=—","Direction=H","UseDPDF=Y")</f>
        <v>#NAME?</v>
      </c>
      <c r="CU135" s="2" t="e">
        <f ca="1">_xll.BDH($C$128,"QUICK_RATIO","FQ2 2015","FQ2 2015","Currency=INR","Period=FQ","BEST_FPERIOD_OVERRIDE=FQ","FILING_STATUS=OR","EQY_CONSOLIDATED=Y","Sort=A","Dates=H","DateFormat=P","Fill=—","Direction=H","UseDPDF=Y")</f>
        <v>#NAME?</v>
      </c>
      <c r="CV135" s="2" t="e">
        <f ca="1">_xll.BDH($C$128,"ALTMAN_Z_SCORE","FQ2 2015","FQ2 2015","Currency=INR","Period=FQ","BEST_FPERIOD_OVERRIDE=FQ","FILING_STATUS=OR","EQY_CONSOLIDATED=Y","Sort=A","Dates=H","DateFormat=P","Fill=—","Direction=H","UseDPDF=Y")</f>
        <v>#NAME?</v>
      </c>
      <c r="CW135" s="4" t="e">
        <f ca="1">_xll.BDH($C$128,"ACCT_RCV_TURN","FQ2 2015","FQ2 2015","Currency=INR","Period=FQ","BEST_FPERIOD_OVERRIDE=FQ","FILING_STATUS=OR","EQY_CONSOLIDATED=Y","FA_ADJUSTED=GAAP","Sort=A","Dates=H","DateFormat=P","Fill=—","Direction=H","UseDPDF=Y")</f>
        <v>#NAME?</v>
      </c>
      <c r="CX135" s="2" t="e">
        <f ca="1">_xll.BDH($C$128,"ACCT_RCV_DAYS","FQ2 2015","FQ2 2015","Currency=INR","Period=FQ","BEST_FPERIOD_OVERRIDE=FQ","FILING_STATUS=OR","EQY_CONSOLIDATED=Y","FA_ADJUSTED=GAAP","Sort=A","Dates=H","DateFormat=P","Fill=—","Direction=H","UseDPDF=Y")</f>
        <v>#NAME?</v>
      </c>
      <c r="CY135" s="4" t="e">
        <f ca="1">_xll.BDH($C$128,"INVENT_TURN","FQ2 2015","FQ2 2015","Currency=INR","Period=FQ","BEST_FPERIOD_OVERRIDE=FQ","FILING_STATUS=OR","EQY_CONSOLIDATED=Y","FA_ADJUSTED=GAAP","Sort=A","Dates=H","DateFormat=P","Fill=—","Direction=H","UseDPDF=Y")</f>
        <v>#NAME?</v>
      </c>
      <c r="CZ135" s="2" t="e">
        <f ca="1">_xll.BDH($C$128,"INVENT_DAYS","FQ2 2015","FQ2 2015","Currency=INR","Period=FQ","BEST_FPERIOD_OVERRIDE=FQ","FILING_STATUS=OR","EQY_CONSOLIDATED=Y","FA_ADJUSTED=GAAP","Sort=A","Dates=H","DateFormat=P","Fill=—","Direction=H","UseDPDF=Y")</f>
        <v>#NAME?</v>
      </c>
      <c r="DA135" s="4" t="e">
        <f ca="1">_xll.BDH($C$128,"ACCOUNTS_PAYABLE_TURNOVER","FQ2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135" s="2" t="e">
        <f ca="1">_xll.BDH($C$128,"ACCOUNTS_PAYABLE_TURNOVER_DAYS","FQ2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135" s="4" t="e">
        <f ca="1">_xll.BDH($C$128,"CASH_CONVERSION_CYCLE","FQ2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135" s="4" t="e">
        <f ca="1">_xll.BDH($C$128,"INV_TO_CASH_DAYS","FQ2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135" s="5" t="e">
        <f ca="1">_xll.BDH($C$128,"BS_INVENTORIES","FQ2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135" s="3" t="e">
        <f ca="1">_xll.BDH($C$128,"INVTRY_RAW_MATERIALS","FQ2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135" s="3" t="e">
        <f ca="1">_xll.BDH($C$128,"INVTRY_IN_PROGRESS","FQ2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135" s="3" t="e">
        <f ca="1">_xll.BDH($C$128,"INVTRY_FINISHED_GOODS","FQ2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135" s="3" t="e">
        <f ca="1">_xll.BDH($C$128,"BS_OTHER_INV","FQ2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136" spans="1:113" x14ac:dyDescent="0.3">
      <c r="A136" s="6"/>
      <c r="B136" s="6"/>
      <c r="C136" s="6"/>
      <c r="D136" s="6"/>
      <c r="E136" t="s">
        <v>80</v>
      </c>
      <c r="F136" t="e">
        <f ca="1">_xll.BDH($C$128,"RETURN_COM_EQY","FQ3 2015","FQ3 2015","Currency=INR","Period=FQ","BEST_FPERIOD_OVERRIDE=FQ","FILING_STATUS=OR","EQY_CONSOLIDATED=Y","FA_ADJUSTED=GAAP","Sort=A","Dates=H","DateFormat=P","Fill=—","Direction=H","UseDPDF=Y")</f>
        <v>#NAME?</v>
      </c>
      <c r="G136" t="e">
        <f ca="1">_xll.BDH($C$128,"RETURN_ON_ASSET","FQ3 2015","FQ3 2015","Currency=INR","Period=FQ","BEST_FPERIOD_OVERRIDE=FQ","FILING_STATUS=OR","EQY_CONSOLIDATED=Y","FA_ADJUSTED=GAAP","Sort=A","Dates=H","DateFormat=P","Fill=—","Direction=H","UseDPDF=Y")</f>
        <v>#NAME?</v>
      </c>
      <c r="H136" t="e">
        <f ca="1">_xll.BDH($C$128,"RETURN_ON_CAP","FQ3 2015","FQ3 2015","Currency=INR","Period=FQ","BEST_FPERIOD_OVERRIDE=FQ","FILING_STATUS=OR","EQY_CONSOLIDATED=Y","FA_ADJUSTED=GAAP","Sort=A","Dates=H","DateFormat=P","Fill=—","Direction=H","UseDPDF=Y")</f>
        <v>#NAME?</v>
      </c>
      <c r="I136" t="e">
        <f ca="1">_xll.BDH($C$128,"RETURN_ON_INV_CAPITAL","FQ3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136" t="e">
        <f ca="1">_xll.BDH($C$128,"EBITDA_TO_REVENUE","FQ3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136" t="e">
        <f ca="1">_xll.BDH($C$128,"OPER_MARGIN","FQ3 2015","FQ3 2015","Currency=INR","Period=FQ","BEST_FPERIOD_OVERRIDE=FQ","FILING_STATUS=OR","EQY_CONSOLIDATED=Y","FA_ADJUSTED=GAAP","Sort=A","Dates=H","DateFormat=P","Fill=—","Direction=H","UseDPDF=Y")</f>
        <v>#NAME?</v>
      </c>
      <c r="L136" t="e">
        <f ca="1">_xll.BDH($C$128,"INCREMENTAL_OPERATING_MARGIN","FQ3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136" t="e">
        <f ca="1">_xll.BDH($C$128,"PRETAX_INC_TO_NET_SALES","FQ3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136" t="e">
        <f ca="1">_xll.BDH($C$128,"INC_BEF_XO_ITEMS_TO_NET_SALES","FQ3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136" t="e">
        <f ca="1">_xll.BDH($C$128,"PROF_MARGIN","FQ3 2015","FQ3 2015","Currency=INR","Period=FQ","BEST_FPERIOD_OVERRIDE=FQ","FILING_STATUS=OR","EQY_CONSOLIDATED=Y","FA_ADJUSTED=GAAP","Sort=A","Dates=H","DateFormat=P","Fill=—","Direction=H","UseDPDF=Y")</f>
        <v>#NAME?</v>
      </c>
      <c r="P136" t="e">
        <f ca="1">_xll.BDH($C$128,"NET_INCOME_TO_COMMON_MARGIN","FQ3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136" t="e">
        <f ca="1">_xll.BDH($C$128,"EFF_TAX_RATE","FQ3 2015","FQ3 2015","Currency=INR","Period=FQ","BEST_FPERIOD_OVERRIDE=FQ","FILING_STATUS=OR","EQY_CONSOLIDATED=Y","FA_ADJUSTED=GAAP","Sort=A","Dates=H","DateFormat=P","Fill=—","Direction=H","UseDPDF=Y")</f>
        <v>#NAME?</v>
      </c>
      <c r="R136" t="e">
        <f ca="1">_xll.BDH($C$128,"DVD_PAYOUT_RATIO","FQ3 2015","FQ3 2015","Currency=INR","Period=FQ","BEST_FPERIOD_OVERRIDE=FQ","FILING_STATUS=OR","EQY_CONSOLIDATED=Y","FA_ADJUSTED=GAAP","Sort=A","Dates=H","DateFormat=P","Fill=—","Direction=H","UseDPDF=Y")</f>
        <v>#NAME?</v>
      </c>
      <c r="S136" t="e">
        <f ca="1">_xll.BDH($C$128,"SUSTAIN_GROWTH_RT","FQ3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136" s="2" t="e">
        <f ca="1">_xll.BDH($C$128,"SALES_GROWTH","FQ3 2015","FQ3 2015","Currency=INR","Period=FQ","BEST_FPERIOD_OVERRIDE=FQ","FILING_STATUS=OR","EQY_CONSOLIDATED=Y","FA_ADJUSTED=GAAP","Sort=A","Dates=H","DateFormat=P","Fill=—","Direction=H","UseDPDF=Y")</f>
        <v>#NAME?</v>
      </c>
      <c r="U136" s="2" t="e">
        <f ca="1">_xll.BDH($C$128,"EBITDA_GROWTH","FQ3 2015","FQ3 2015","Currency=INR","Period=FQ","BEST_FPERIOD_OVERRIDE=FQ","FILING_STATUS=OR","EQY_CONSOLIDATED=Y","FA_ADJUSTED=GAAP","Sort=A","Dates=H","DateFormat=P","Fill=—","Direction=H","UseDPDF=Y")</f>
        <v>#NAME?</v>
      </c>
      <c r="V136" s="2" t="e">
        <f ca="1">_xll.BDH($C$128,"OPER_INC_GROWTH","FQ3 2015","FQ3 2015","Currency=INR","Period=FQ","BEST_FPERIOD_OVERRIDE=FQ","FILING_STATUS=OR","EQY_CONSOLIDATED=Y","FA_ADJUSTED=GAAP","Sort=A","Dates=H","DateFormat=P","Fill=—","Direction=H","UseDPDF=Y")</f>
        <v>#NAME?</v>
      </c>
      <c r="W136" s="2" t="e">
        <f ca="1">_xll.BDH($C$128,"EARN_FOR_COM_GROWTH","FQ3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136" s="2" t="e">
        <f ca="1">_xll.BDH($C$128,"DILUTED_EPS_AFT_XO_ITEMS_GROWTH","FQ3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136" s="2" t="e">
        <f ca="1">_xll.BDH($C$128,"DIVIDEND_PER_SHARE_1_YEAR_GROWTH","FQ3 2015","FQ3 2015","Currency=INR","Period=FQ","BEST_FPERIOD_OVERRIDE=FQ","FILING_STATUS=OR","EQY_CONSOLIDATED=Y","Sort=A","Dates=H","DateFormat=P","Fill=—","Direction=H","UseDPDF=Y")</f>
        <v>#NAME?</v>
      </c>
      <c r="Z136" s="2" t="e">
        <f ca="1">_xll.BDH($C$128,"ACCOUNTS_RECEIVABLE_GROWTH","FQ3 2015","FQ3 2015","Currency=INR","Period=FQ","BEST_FPERIOD_OVERRIDE=FQ","FILING_STATUS=OR","EQY_CONSOLIDATED=Y","Sort=A","Dates=H","DateFormat=P","Fill=—","Direction=H","UseDPDF=Y")</f>
        <v>#NAME?</v>
      </c>
      <c r="AA136" s="2" t="e">
        <f ca="1">_xll.BDH($C$128,"INVENTORY_GROWTH","FQ3 2015","FQ3 2015","Currency=INR","Period=FQ","BEST_FPERIOD_OVERRIDE=FQ","FILING_STATUS=OR","EQY_CONSOLIDATED=Y","Sort=A","Dates=H","DateFormat=P","Fill=—","Direction=H","UseDPDF=Y")</f>
        <v>#NAME?</v>
      </c>
      <c r="AB136" s="2" t="e">
        <f ca="1">_xll.BDH($C$128,"NET_FIXED_ASSETS_1_YEAR_GROWTH","FQ3 2015","FQ3 2015","Currency=INR","Period=FQ","BEST_FPERIOD_OVERRIDE=FQ","FILING_STATUS=OR","EQY_CONSOLIDATED=Y","Sort=A","Dates=H","DateFormat=P","Fill=—","Direction=H","UseDPDF=Y")</f>
        <v>#NAME?</v>
      </c>
      <c r="AC136" s="2" t="e">
        <f ca="1">_xll.BDH($C$128,"ASSET_GROWTH","FQ3 2015","FQ3 2015","Currency=INR","Period=FQ","BEST_FPERIOD_OVERRIDE=FQ","FILING_STATUS=OR","EQY_CONSOLIDATED=Y","Sort=A","Dates=H","DateFormat=P","Fill=—","Direction=H","UseDPDF=Y")</f>
        <v>#NAME?</v>
      </c>
      <c r="AD136" s="2" t="e">
        <f ca="1">_xll.BDH($C$128,"MODIFIED_WORK_CAP_GROWTH","FQ3 2015","FQ3 2015","Currency=INR","Period=FQ","BEST_FPERIOD_OVERRIDE=FQ","FILING_STATUS=OR","EQY_CONSOLIDATED=Y","Sort=A","Dates=H","DateFormat=P","Fill=—","Direction=H","UseDPDF=Y")</f>
        <v>#NAME?</v>
      </c>
      <c r="AE136" s="2" t="e">
        <f ca="1">_xll.BDH($C$128,"WORK_CAP_GROWTH","FQ3 2015","FQ3 2015","Currency=INR","Period=FQ","BEST_FPERIOD_OVERRIDE=FQ","FILING_STATUS=OR","EQY_CONSOLIDATED=Y","Sort=A","Dates=H","DateFormat=P","Fill=—","Direction=H","UseDPDF=Y")</f>
        <v>#NAME?</v>
      </c>
      <c r="AF136" s="2" t="e">
        <f ca="1">_xll.BDH($C$128,"ACCOUNTS_PAYABLE_GROWTH_1YR","FQ3 2015","FQ3 2015","Currency=INR","Period=FQ","BEST_FPERIOD_OVERRIDE=FQ","FILING_STATUS=OR","EQY_CONSOLIDATED=Y","Sort=A","Dates=H","DateFormat=P","Fill=—","Direction=H","UseDPDF=Y")</f>
        <v>#NAME?</v>
      </c>
      <c r="AG136" s="2" t="e">
        <f ca="1">_xll.BDH($C$128,"SHORT_TERM_DEBT_1_YEAR_GROWTH","FQ3 2015","FQ3 2015","Currency=INR","Period=FQ","BEST_FPERIOD_OVERRIDE=FQ","FILING_STATUS=OR","EQY_CONSOLIDATED=Y","Sort=A","Dates=H","DateFormat=P","Fill=—","Direction=H","UseDPDF=Y")</f>
        <v>#NAME?</v>
      </c>
      <c r="AH136" s="2" t="e">
        <f ca="1">_xll.BDH($C$128,"TOTAL_DEBT_1_YEAR_GROWTH","FQ3 2015","FQ3 2015","Currency=INR","Period=FQ","BEST_FPERIOD_OVERRIDE=FQ","FILING_STATUS=OR","EQY_CONSOLIDATED=Y","Sort=A","Dates=H","DateFormat=P","Fill=—","Direction=H","UseDPDF=Y")</f>
        <v>#NAME?</v>
      </c>
      <c r="AI136" s="2" t="e">
        <f ca="1">_xll.BDH($C$128,"TOTAL_EQUITY_1_YEAR_GROWTH","FQ3 2015","FQ3 2015","Currency=INR","Period=FQ","BEST_FPERIOD_OVERRIDE=FQ","FILING_STATUS=OR","EQY_CONSOLIDATED=Y","Sort=A","Dates=H","DateFormat=P","Fill=—","Direction=H","UseDPDF=Y")</f>
        <v>#NAME?</v>
      </c>
      <c r="AJ136" s="2" t="e">
        <f ca="1">_xll.BDH($C$128,"GROWTH_IN_CAP","FQ3 2015","FQ3 2015","Currency=INR","Period=FQ","BEST_FPERIOD_OVERRIDE=FQ","FILING_STATUS=OR","EQY_CONSOLIDATED=Y","Sort=A","Dates=H","DateFormat=P","Fill=—","Direction=H","UseDPDF=Y")</f>
        <v>#NAME?</v>
      </c>
      <c r="AK136" s="2" t="e">
        <f ca="1">_xll.BDH($C$128,"BVPS_GROWTH","FQ3 2015","FQ3 2015","Currency=INR","Period=FQ","BEST_FPERIOD_OVERRIDE=FQ","FILING_STATUS=OR","EQY_CONSOLIDATED=Y","Sort=A","Dates=H","DateFormat=P","Fill=—","Direction=H","UseDPDF=Y")</f>
        <v>#NAME?</v>
      </c>
      <c r="AL136" s="2" t="e">
        <f ca="1">_xll.BDH($C$128,"CASH_FLOW_GROWTH","FQ3 2015","FQ3 2015","Currency=INR","Period=FQ","BEST_FPERIOD_OVERRIDE=FQ","FILING_STATUS=OR","EQY_CONSOLIDATED=Y","Sort=A","Dates=H","DateFormat=P","Fill=—","Direction=H","UseDPDF=Y")</f>
        <v>#NAME?</v>
      </c>
      <c r="AM136" s="2" t="e">
        <f ca="1">_xll.BDH($C$128,"GEO_GROW_NET_SALES","FQ3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136" s="2" t="e">
        <f ca="1">_xll.BDH($C$128,"GEO_GROW_EBITDA","FQ3 2015","FQ3 2015","Currency=INR","Period=FQ","BEST_FPERIOD_OVERRIDE=FQ","FILING_STATUS=OR","EQY_CONSOLIDATED=Y","FA_ADJUSTED=GAAP","Sort=A","Dates=H","DateFormat=P","Fill=—","Direction=H","UseDPDF=Y")</f>
        <v>#NAME?</v>
      </c>
      <c r="AO136" s="2" t="e">
        <f ca="1">_xll.BDH($C$128,"GEO_GROW_OPER_INC","FQ3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136" s="2" t="e">
        <f ca="1">_xll.BDH($C$128,"NET_INCOME_TO_COMMON_5_YR_GROWTH","FQ3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136" s="2" t="e">
        <f ca="1">_xll.BDH($C$128,"5Y_GEO_GROWTH_DILUTED_EPS","FQ3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136" s="2" t="e">
        <f ca="1">_xll.BDH($C$128,"GEO_GROW_DVD_PER_SH","FQ3 2015","FQ3 2015","Currency=INR","Period=FQ","BEST_FPERIOD_OVERRIDE=FQ","FILING_STATUS=OR","EQY_CONSOLIDATED=Y","Sort=A","Dates=H","DateFormat=P","Fill=—","Direction=H","UseDPDF=Y")</f>
        <v>#NAME?</v>
      </c>
      <c r="AS136" s="2" t="e">
        <f ca="1">_xll.BDH($C$128,"ACCOUNTS_RECEIVABLE_5_YR_GROWTH","FQ3 2015","FQ3 2015","Currency=INR","Period=FQ","BEST_FPERIOD_OVERRIDE=FQ","FILING_STATUS=OR","EQY_CONSOLIDATED=Y","Sort=A","Dates=H","DateFormat=P","Fill=—","Direction=H","UseDPDF=Y")</f>
        <v>#NAME?</v>
      </c>
      <c r="AT136" s="2" t="e">
        <f ca="1">_xll.BDH($C$128,"INVENTORY_5_YEAR_GROWTH","FQ3 2015","FQ3 2015","Currency=INR","Period=FQ","BEST_FPERIOD_OVERRIDE=FQ","FILING_STATUS=OR","EQY_CONSOLIDATED=Y","Sort=A","Dates=H","DateFormat=P","Fill=—","Direction=H","UseDPDF=Y")</f>
        <v>#NAME?</v>
      </c>
      <c r="AU136" s="2" t="e">
        <f ca="1">_xll.BDH($C$128,"NET_FIXED_ASSETS_5_YEAR_GROWTH","FQ3 2015","FQ3 2015","Currency=INR","Period=FQ","BEST_FPERIOD_OVERRIDE=FQ","FILING_STATUS=OR","EQY_CONSOLIDATED=Y","Sort=A","Dates=H","DateFormat=P","Fill=—","Direction=H","UseDPDF=Y")</f>
        <v>#NAME?</v>
      </c>
      <c r="AV136" s="2" t="e">
        <f ca="1">_xll.BDH($C$128,"GEO_GROW_TOT_ASSET","FQ3 2015","FQ3 2015","Currency=INR","Period=FQ","BEST_FPERIOD_OVERRIDE=FQ","FILING_STATUS=OR","EQY_CONSOLIDATED=Y","Sort=A","Dates=H","DateFormat=P","Fill=—","Direction=H","UseDPDF=Y")</f>
        <v>#NAME?</v>
      </c>
      <c r="AW136" s="2" t="e">
        <f ca="1">_xll.BDH($C$128,"MODIFIED_WORKING_CPTL_5YR_GRWTH","FQ3 2015","FQ3 2015","Currency=INR","Period=FQ","BEST_FPERIOD_OVERRIDE=FQ","FILING_STATUS=OR","EQY_CONSOLIDATED=Y","Sort=A","Dates=H","DateFormat=P","Fill=—","Direction=H","UseDPDF=Y")</f>
        <v>#NAME?</v>
      </c>
      <c r="AX136" s="2" t="e">
        <f ca="1">_xll.BDH($C$128,"WORKING_CAPITAL_5_YEAR_GROWTH","FQ3 2015","FQ3 2015","Currency=INR","Period=FQ","BEST_FPERIOD_OVERRIDE=FQ","FILING_STATUS=OR","EQY_CONSOLIDATED=Y","Sort=A","Dates=H","DateFormat=P","Fill=—","Direction=H","UseDPDF=Y")</f>
        <v>#NAME?</v>
      </c>
      <c r="AY136" s="2" t="e">
        <f ca="1">_xll.BDH($C$128,"ACCOUNTS_PAYABLE_5_YEAR_GROWTH","FQ3 2015","FQ3 2015","Currency=INR","Period=FQ","BEST_FPERIOD_OVERRIDE=FQ","FILING_STATUS=OR","EQY_CONSOLIDATED=Y","Sort=A","Dates=H","DateFormat=P","Fill=—","Direction=H","UseDPDF=Y")</f>
        <v>#NAME?</v>
      </c>
      <c r="AZ136" s="2" t="e">
        <f ca="1">_xll.BDH($C$128,"SHORT_TERM_DEBT_5_YEAR_GROWTH","FQ3 2015","FQ3 2015","Currency=INR","Period=FQ","BEST_FPERIOD_OVERRIDE=FQ","FILING_STATUS=OR","EQY_CONSOLIDATED=Y","Sort=A","Dates=H","DateFormat=P","Fill=—","Direction=H","UseDPDF=Y")</f>
        <v>#NAME?</v>
      </c>
      <c r="BA136" s="2" t="e">
        <f ca="1">_xll.BDH($C$128,"TOTAL_DEBT_5_YEAR_GROWTH","FQ3 2015","FQ3 2015","Currency=INR","Period=FQ","BEST_FPERIOD_OVERRIDE=FQ","FILING_STATUS=OR","EQY_CONSOLIDATED=Y","Sort=A","Dates=H","DateFormat=P","Fill=—","Direction=H","UseDPDF=Y")</f>
        <v>#NAME?</v>
      </c>
      <c r="BB136" s="2" t="e">
        <f ca="1">_xll.BDH($C$128,"GEO_GROW_TOT_SHRHLDR_EQY","FQ3 2015","FQ3 2015","Currency=INR","Period=FQ","BEST_FPERIOD_OVERRIDE=FQ","FILING_STATUS=OR","EQY_CONSOLIDATED=Y","Sort=A","Dates=H","DateFormat=P","Fill=—","Direction=H","UseDPDF=Y")</f>
        <v>#NAME?</v>
      </c>
      <c r="BC136" s="2" t="e">
        <f ca="1">_xll.BDH($C$128,"TOTAL_CAPITAL_5_YEAR_GROWTH","FQ3 2015","FQ3 2015","Currency=INR","Period=FQ","BEST_FPERIOD_OVERRIDE=FQ","FILING_STATUS=OR","EQY_CONSOLIDATED=Y","Sort=A","Dates=H","DateFormat=P","Fill=—","Direction=H","UseDPDF=Y")</f>
        <v>#NAME?</v>
      </c>
      <c r="BD136" s="2" t="e">
        <f ca="1">_xll.BDH($C$128,"GEO_GROW_BOOK_VAL","FQ3 2015","FQ3 2015","Currency=INR","Period=FQ","BEST_FPERIOD_OVERRIDE=FQ","FILING_STATUS=OR","EQY_CONSOLIDATED=Y","Sort=A","Dates=H","DateFormat=P","Fill=—","Direction=H","UseDPDF=Y")</f>
        <v>#NAME?</v>
      </c>
      <c r="BE136" s="2" t="e">
        <f ca="1">_xll.BDH($C$128,"GEO_GROW_CASH_OPER_ACT","FQ3 2015","FQ3 2015","Currency=INR","Period=FQ","BEST_FPERIOD_OVERRIDE=FQ","FILING_STATUS=OR","EQY_CONSOLIDATED=Y","Sort=A","Dates=H","DateFormat=P","Fill=—","Direction=H","UseDPDF=Y")</f>
        <v>#NAME?</v>
      </c>
      <c r="BF136" s="2" t="e">
        <f ca="1">_xll.BDH($C$128,"REVENUE_SEQUENTIAL_GROWTH","FQ3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136" s="2" t="e">
        <f ca="1">_xll.BDH($C$128,"EBITDA_SEQUENTIAL_GROWTH","FQ3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136" s="2" t="e">
        <f ca="1">_xll.BDH($C$128,"OPERATING_INCOME_SEQ_GROWTH","FQ3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136" s="2" t="e">
        <f ca="1">_xll.BDH($C$128,"NET_INCOME_TO_COMMON_SEQ_GROWTH","FQ3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136" s="2" t="e">
        <f ca="1">_xll.BDH($C$128,"EPS_DILUTED_SEQUENTIAL_GROWTH","FQ3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136" s="2" t="e">
        <f ca="1">_xll.BDH($C$128,"DPS_SEQUENTIAL_GROWTH","FQ3 2015","FQ3 2015","Currency=INR","Period=FQ","BEST_FPERIOD_OVERRIDE=FQ","FILING_STATUS=OR","EQY_CONSOLIDATED=Y","Sort=A","Dates=H","DateFormat=P","Fill=—","Direction=H","UseDPDF=Y")</f>
        <v>#NAME?</v>
      </c>
      <c r="BL136" s="2" t="e">
        <f ca="1">_xll.BDH($C$128,"ACCOUNTS_RECEIVABLE_SEQ_GROWTH","FQ3 2015","FQ3 2015","Currency=INR","Period=FQ","BEST_FPERIOD_OVERRIDE=FQ","FILING_STATUS=OR","EQY_CONSOLIDATED=Y","Sort=A","Dates=H","DateFormat=P","Fill=—","Direction=H","UseDPDF=Y")</f>
        <v>#NAME?</v>
      </c>
      <c r="BM136" s="2" t="e">
        <f ca="1">_xll.BDH($C$128,"INVENTORY_SEQUENTIAL_GROWTH","FQ3 2015","FQ3 2015","Currency=INR","Period=FQ","BEST_FPERIOD_OVERRIDE=FQ","FILING_STATUS=OR","EQY_CONSOLIDATED=Y","Sort=A","Dates=H","DateFormat=P","Fill=—","Direction=H","UseDPDF=Y")</f>
        <v>#NAME?</v>
      </c>
      <c r="BN136" s="2" t="e">
        <f ca="1">_xll.BDH($C$128,"FIXED_ASSETS_SEQUENTIAL_GROWTH","FQ3 2015","FQ3 2015","Currency=INR","Period=FQ","BEST_FPERIOD_OVERRIDE=FQ","FILING_STATUS=OR","EQY_CONSOLIDATED=Y","Sort=A","Dates=H","DateFormat=P","Fill=—","Direction=H","UseDPDF=Y")</f>
        <v>#NAME?</v>
      </c>
      <c r="BO136" s="2" t="e">
        <f ca="1">_xll.BDH($C$128,"TOTAL_ASSETS_SEQUENTIAL_GROWTH","FQ3 2015","FQ3 2015","Currency=INR","Period=FQ","BEST_FPERIOD_OVERRIDE=FQ","FILING_STATUS=OR","EQY_CONSOLIDATED=Y","Sort=A","Dates=H","DateFormat=P","Fill=—","Direction=H","UseDPDF=Y")</f>
        <v>#NAME?</v>
      </c>
      <c r="BP136" s="2" t="e">
        <f ca="1">_xll.BDH($C$128,"MODIFIED_WORKING_CPTL_SEQ_GRWTH","FQ3 2015","FQ3 2015","Currency=INR","Period=FQ","BEST_FPERIOD_OVERRIDE=FQ","FILING_STATUS=OR","EQY_CONSOLIDATED=Y","Sort=A","Dates=H","DateFormat=P","Fill=—","Direction=H","UseDPDF=Y")</f>
        <v>#NAME?</v>
      </c>
      <c r="BQ136" s="2" t="e">
        <f ca="1">_xll.BDH($C$128,"WORKING_CAPITAL_SEQ_GROWTH","FQ3 2015","FQ3 2015","Currency=INR","Period=FQ","BEST_FPERIOD_OVERRIDE=FQ","FILING_STATUS=OR","EQY_CONSOLIDATED=Y","Sort=A","Dates=H","DateFormat=P","Fill=—","Direction=H","UseDPDF=Y")</f>
        <v>#NAME?</v>
      </c>
      <c r="BR136" s="2" t="e">
        <f ca="1">_xll.BDH($C$128,"ACCOUNTS_PAYABLE_SEQ_GROWTH","FQ3 2015","FQ3 2015","Currency=INR","Period=FQ","BEST_FPERIOD_OVERRIDE=FQ","FILING_STATUS=OR","EQY_CONSOLIDATED=Y","Sort=A","Dates=H","DateFormat=P","Fill=—","Direction=H","UseDPDF=Y")</f>
        <v>#NAME?</v>
      </c>
      <c r="BS136" s="2" t="e">
        <f ca="1">_xll.BDH($C$128,"ST_DEBT_SEQUENTIAL_GROWTH","FQ3 2015","FQ3 2015","Currency=INR","Period=FQ","BEST_FPERIOD_OVERRIDE=FQ","FILING_STATUS=OR","EQY_CONSOLIDATED=Y","Sort=A","Dates=H","DateFormat=P","Fill=—","Direction=H","UseDPDF=Y")</f>
        <v>#NAME?</v>
      </c>
      <c r="BT136" s="2" t="e">
        <f ca="1">_xll.BDH($C$128,"TOTAL_DEBT_SEQUENTIAL_GROWTH","FQ3 2015","FQ3 2015","Currency=INR","Period=FQ","BEST_FPERIOD_OVERRIDE=FQ","FILING_STATUS=OR","EQY_CONSOLIDATED=Y","Sort=A","Dates=H","DateFormat=P","Fill=—","Direction=H","UseDPDF=Y")</f>
        <v>#NAME?</v>
      </c>
      <c r="BU136" s="2" t="e">
        <f ca="1">_xll.BDH($C$128,"TOTAL_EQUITY_SEQUENTIAL_GROWTH","FQ3 2015","FQ3 2015","Currency=INR","Period=FQ","BEST_FPERIOD_OVERRIDE=FQ","FILING_STATUS=OR","EQY_CONSOLIDATED=Y","Sort=A","Dates=H","DateFormat=P","Fill=—","Direction=H","UseDPDF=Y")</f>
        <v>#NAME?</v>
      </c>
      <c r="BV136" s="2" t="e">
        <f ca="1">_xll.BDH($C$128,"TOTAL_CAPITAL_SEQUENTIAL_GROWTH","FQ3 2015","FQ3 2015","Currency=INR","Period=FQ","BEST_FPERIOD_OVERRIDE=FQ","FILING_STATUS=OR","EQY_CONSOLIDATED=Y","Sort=A","Dates=H","DateFormat=P","Fill=—","Direction=H","UseDPDF=Y")</f>
        <v>#NAME?</v>
      </c>
      <c r="BW136" s="2" t="e">
        <f ca="1">_xll.BDH($C$128,"BPS_SEQUENTIAL_GROWTH","FQ3 2015","FQ3 2015","Currency=INR","Period=FQ","BEST_FPERIOD_OVERRIDE=FQ","FILING_STATUS=OR","EQY_CONSOLIDATED=Y","Sort=A","Dates=H","DateFormat=P","Fill=—","Direction=H","UseDPDF=Y")</f>
        <v>#NAME?</v>
      </c>
      <c r="BX136" s="2" t="e">
        <f ca="1">_xll.BDH($C$128,"CFO_SEQUENTIAL_GROWTH","FQ3 2015","FQ3 2015","Currency=INR","Period=FQ","BEST_FPERIOD_OVERRIDE=FQ","FILING_STATUS=OR","EQY_CONSOLIDATED=Y","Sort=A","Dates=H","DateFormat=P","Fill=—","Direction=H","UseDPDF=Y")</f>
        <v>#NAME?</v>
      </c>
      <c r="BY136" s="3" t="e">
        <f ca="1">_xll.BDH($C$128,"SHORT_AND_LONG_TERM_DEBT","FQ3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136" s="3" t="e">
        <f ca="1">_xll.BDH($C$128,"BS_ST_BORROW","FQ3 2015","FQ3 2015","Currency=INR","Period=FQ","BEST_FPERIOD_OVERRIDE=FQ","FILING_STATUS=OR","EQY_CONSOLIDATED=Y","SCALING_FORMAT=MLN","Sort=A","Dates=H","DateFormat=P","Fill=—","Direction=H","UseDPDF=Y")</f>
        <v>#NAME?</v>
      </c>
      <c r="CA136" s="3" t="e">
        <f ca="1">_xll.BDH($C$128,"BS_LT_BORROW","FQ3 2015","FQ3 2015","Currency=INR","Period=FQ","BEST_FPERIOD_OVERRIDE=FQ","FILING_STATUS=OR","EQY_CONSOLIDATED=Y","SCALING_FORMAT=MLN","Sort=A","Dates=H","DateFormat=P","Fill=—","Direction=H","UseDPDF=Y")</f>
        <v>#NAME?</v>
      </c>
      <c r="CB136" s="2" t="e">
        <f ca="1">_xll.BDH($C$128,"TOT_DEBT_TO_EBITDA","FQ3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136" s="2" t="e">
        <f ca="1">_xll.BDH($C$128,"NET_DEBT_TO_EBITDA","FQ3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136" s="2" t="e">
        <f ca="1">_xll.BDH($C$128,"TOTAL_DEBT_TO_EBIT","FQ3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136" s="2" t="e">
        <f ca="1">_xll.BDH($C$128,"NET_DEBT_TO_EBIT","FQ3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136" s="2" t="e">
        <f ca="1">_xll.BDH($C$128,"EBITDA_TO_INTEREST_EXPN","FQ3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136" s="2" t="e">
        <f ca="1">_xll.BDH($C$128,"COM_EQY_TO_TOT_ASSET","FQ3 2015","FQ3 2015","Currency=INR","Period=FQ","BEST_FPERIOD_OVERRIDE=FQ","FILING_STATUS=OR","EQY_CONSOLIDATED=Y","Sort=A","Dates=H","DateFormat=P","Fill=—","Direction=H","UseDPDF=Y")</f>
        <v>#NAME?</v>
      </c>
      <c r="CH136" s="2" t="e">
        <f ca="1">_xll.BDH($C$128,"LT_DEBT_TO_TOT_EQY","FQ3 2015","FQ3 2015","Currency=INR","Period=FQ","BEST_FPERIOD_OVERRIDE=FQ","FILING_STATUS=OR","EQY_CONSOLIDATED=Y","Sort=A","Dates=H","DateFormat=P","Fill=—","Direction=H","UseDPDF=Y")</f>
        <v>#NAME?</v>
      </c>
      <c r="CI136" s="2" t="e">
        <f ca="1">_xll.BDH($C$128,"LT_DEBT_TO_TOT_CAP","FQ3 2015","FQ3 2015","Currency=INR","Period=FQ","BEST_FPERIOD_OVERRIDE=FQ","FILING_STATUS=OR","EQY_CONSOLIDATED=Y","Sort=A","Dates=H","DateFormat=P","Fill=—","Direction=H","UseDPDF=Y")</f>
        <v>#NAME?</v>
      </c>
      <c r="CJ136" s="2" t="e">
        <f ca="1">_xll.BDH($C$128,"LT_DEBT_TO_TOT_ASSET","FQ3 2015","FQ3 2015","Currency=INR","Period=FQ","BEST_FPERIOD_OVERRIDE=FQ","FILING_STATUS=OR","EQY_CONSOLIDATED=Y","Sort=A","Dates=H","DateFormat=P","Fill=—","Direction=H","UseDPDF=Y")</f>
        <v>#NAME?</v>
      </c>
      <c r="CK136" s="2" t="e">
        <f ca="1">_xll.BDH($C$128,"TOT_DEBT_TO_TOT_EQY","FQ3 2015","FQ3 2015","Currency=INR","Period=FQ","BEST_FPERIOD_OVERRIDE=FQ","FILING_STATUS=OR","EQY_CONSOLIDATED=Y","Sort=A","Dates=H","DateFormat=P","Fill=—","Direction=H","UseDPDF=Y")</f>
        <v>#NAME?</v>
      </c>
      <c r="CL136" s="2" t="e">
        <f ca="1">_xll.BDH($C$128,"TOT_DEBT_TO_TOT_CAP","FQ3 2015","FQ3 2015","Currency=INR","Period=FQ","BEST_FPERIOD_OVERRIDE=FQ","FILING_STATUS=OR","EQY_CONSOLIDATED=Y","Sort=A","Dates=H","DateFormat=P","Fill=—","Direction=H","UseDPDF=Y")</f>
        <v>#NAME?</v>
      </c>
      <c r="CM136" s="2" t="e">
        <f ca="1">_xll.BDH($C$128,"TOT_DEBT_TO_TOT_ASSET","FQ3 2015","FQ3 2015","Currency=INR","Period=FQ","BEST_FPERIOD_OVERRIDE=FQ","FILING_STATUS=OR","EQY_CONSOLIDATED=Y","Sort=A","Dates=H","DateFormat=P","Fill=—","Direction=H","UseDPDF=Y")</f>
        <v>#NAME?</v>
      </c>
      <c r="CN136" s="2" t="e">
        <f ca="1">_xll.BDH($C$128,"NET_DEBT_TO_SHRHLDR_EQTY","FQ3 2015","FQ3 2015","Currency=INR","Period=FQ","BEST_FPERIOD_OVERRIDE=FQ","FILING_STATUS=OR","EQY_CONSOLIDATED=Y","Sort=A","Dates=H","DateFormat=P","Fill=—","Direction=H","UseDPDF=Y")</f>
        <v>#NAME?</v>
      </c>
      <c r="CO136" s="2" t="e">
        <f ca="1">_xll.BDH($C$128,"NET_DEBT_%_CAPITAL","FQ3 2015","FQ3 2015","Currency=INR","Period=FQ","BEST_FPERIOD_OVERRIDE=FQ","FILING_STATUS=OR","EQY_CONSOLIDATED=Y","Sort=A","Dates=H","DateFormat=P","Fill=—","Direction=H","UseDPDF=Y")</f>
        <v>#NAME?</v>
      </c>
      <c r="CP136" s="3" t="e">
        <f ca="1">_xll.BDH($C$128,"EBITDA","FQ3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136" s="3" t="e">
        <f ca="1">_xll.BDH($C$128,"EBITDA_AFTER_CAPEX","FQ3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136" s="3" t="e">
        <f ca="1">_xll.BDH($C$128,"IS_OPER_INC","FQ3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136" s="2" t="e">
        <f ca="1">_xll.BDH($C$128,"CASH_RATIO","FQ3 2015","FQ3 2015","Currency=INR","Period=FQ","BEST_FPERIOD_OVERRIDE=FQ","FILING_STATUS=OR","EQY_CONSOLIDATED=Y","Sort=A","Dates=H","DateFormat=P","Fill=—","Direction=H","UseDPDF=Y")</f>
        <v>#NAME?</v>
      </c>
      <c r="CT136" s="2" t="e">
        <f ca="1">_xll.BDH($C$128,"CUR_RATIO","FQ3 2015","FQ3 2015","Currency=INR","Period=FQ","BEST_FPERIOD_OVERRIDE=FQ","FILING_STATUS=OR","EQY_CONSOLIDATED=Y","Sort=A","Dates=H","DateFormat=P","Fill=—","Direction=H","UseDPDF=Y")</f>
        <v>#NAME?</v>
      </c>
      <c r="CU136" s="2" t="e">
        <f ca="1">_xll.BDH($C$128,"QUICK_RATIO","FQ3 2015","FQ3 2015","Currency=INR","Period=FQ","BEST_FPERIOD_OVERRIDE=FQ","FILING_STATUS=OR","EQY_CONSOLIDATED=Y","Sort=A","Dates=H","DateFormat=P","Fill=—","Direction=H","UseDPDF=Y")</f>
        <v>#NAME?</v>
      </c>
      <c r="CV136" s="2" t="e">
        <f ca="1">_xll.BDH($C$128,"ALTMAN_Z_SCORE","FQ3 2015","FQ3 2015","Currency=INR","Period=FQ","BEST_FPERIOD_OVERRIDE=FQ","FILING_STATUS=OR","EQY_CONSOLIDATED=Y","Sort=A","Dates=H","DateFormat=P","Fill=—","Direction=H","UseDPDF=Y")</f>
        <v>#NAME?</v>
      </c>
      <c r="CW136" s="4" t="e">
        <f ca="1">_xll.BDH($C$128,"ACCT_RCV_TURN","FQ3 2015","FQ3 2015","Currency=INR","Period=FQ","BEST_FPERIOD_OVERRIDE=FQ","FILING_STATUS=OR","EQY_CONSOLIDATED=Y","FA_ADJUSTED=GAAP","Sort=A","Dates=H","DateFormat=P","Fill=—","Direction=H","UseDPDF=Y")</f>
        <v>#NAME?</v>
      </c>
      <c r="CX136" s="2" t="e">
        <f ca="1">_xll.BDH($C$128,"ACCT_RCV_DAYS","FQ3 2015","FQ3 2015","Currency=INR","Period=FQ","BEST_FPERIOD_OVERRIDE=FQ","FILING_STATUS=OR","EQY_CONSOLIDATED=Y","FA_ADJUSTED=GAAP","Sort=A","Dates=H","DateFormat=P","Fill=—","Direction=H","UseDPDF=Y")</f>
        <v>#NAME?</v>
      </c>
      <c r="CY136" s="4" t="e">
        <f ca="1">_xll.BDH($C$128,"INVENT_TURN","FQ3 2015","FQ3 2015","Currency=INR","Period=FQ","BEST_FPERIOD_OVERRIDE=FQ","FILING_STATUS=OR","EQY_CONSOLIDATED=Y","FA_ADJUSTED=GAAP","Sort=A","Dates=H","DateFormat=P","Fill=—","Direction=H","UseDPDF=Y")</f>
        <v>#NAME?</v>
      </c>
      <c r="CZ136" s="2" t="e">
        <f ca="1">_xll.BDH($C$128,"INVENT_DAYS","FQ3 2015","FQ3 2015","Currency=INR","Period=FQ","BEST_FPERIOD_OVERRIDE=FQ","FILING_STATUS=OR","EQY_CONSOLIDATED=Y","FA_ADJUSTED=GAAP","Sort=A","Dates=H","DateFormat=P","Fill=—","Direction=H","UseDPDF=Y")</f>
        <v>#NAME?</v>
      </c>
      <c r="DA136" s="4" t="e">
        <f ca="1">_xll.BDH($C$128,"ACCOUNTS_PAYABLE_TURNOVER","FQ3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136" s="2" t="e">
        <f ca="1">_xll.BDH($C$128,"ACCOUNTS_PAYABLE_TURNOVER_DAYS","FQ3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136" s="4" t="e">
        <f ca="1">_xll.BDH($C$128,"CASH_CONVERSION_CYCLE","FQ3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136" s="4" t="e">
        <f ca="1">_xll.BDH($C$128,"INV_TO_CASH_DAYS","FQ3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136" s="5" t="e">
        <f ca="1">_xll.BDH($C$128,"BS_INVENTORIES","FQ3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136" s="3" t="e">
        <f ca="1">_xll.BDH($C$128,"INVTRY_RAW_MATERIALS","FQ3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136" s="3" t="e">
        <f ca="1">_xll.BDH($C$128,"INVTRY_IN_PROGRESS","FQ3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136" s="3" t="e">
        <f ca="1">_xll.BDH($C$128,"INVTRY_FINISHED_GOODS","FQ3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136" s="3" t="e">
        <f ca="1">_xll.BDH($C$128,"BS_OTHER_INV","FQ3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137" spans="1:113" x14ac:dyDescent="0.3">
      <c r="A137" s="6"/>
      <c r="B137" s="6"/>
      <c r="C137" s="6"/>
      <c r="D137" s="6"/>
      <c r="E137" t="s">
        <v>81</v>
      </c>
      <c r="F137" t="e">
        <f ca="1">_xll.BDH($C$128,"RETURN_COM_EQY","FQ4 2015","FQ4 2015","Currency=INR","Period=FQ","BEST_FPERIOD_OVERRIDE=FQ","FILING_STATUS=OR","EQY_CONSOLIDATED=Y","FA_ADJUSTED=GAAP","Sort=A","Dates=H","DateFormat=P","Fill=—","Direction=H","UseDPDF=Y")</f>
        <v>#NAME?</v>
      </c>
      <c r="G137" t="e">
        <f ca="1">_xll.BDH($C$128,"RETURN_ON_ASSET","FQ4 2015","FQ4 2015","Currency=INR","Period=FQ","BEST_FPERIOD_OVERRIDE=FQ","FILING_STATUS=OR","EQY_CONSOLIDATED=Y","FA_ADJUSTED=GAAP","Sort=A","Dates=H","DateFormat=P","Fill=—","Direction=H","UseDPDF=Y")</f>
        <v>#NAME?</v>
      </c>
      <c r="H137" t="e">
        <f ca="1">_xll.BDH($C$128,"RETURN_ON_CAP","FQ4 2015","FQ4 2015","Currency=INR","Period=FQ","BEST_FPERIOD_OVERRIDE=FQ","FILING_STATUS=OR","EQY_CONSOLIDATED=Y","FA_ADJUSTED=GAAP","Sort=A","Dates=H","DateFormat=P","Fill=—","Direction=H","UseDPDF=Y")</f>
        <v>#NAME?</v>
      </c>
      <c r="I137" t="e">
        <f ca="1">_xll.BDH($C$128,"RETURN_ON_INV_CAPITAL","FQ4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137" t="e">
        <f ca="1">_xll.BDH($C$128,"EBITDA_TO_REVENUE","FQ4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137" t="e">
        <f ca="1">_xll.BDH($C$128,"OPER_MARGIN","FQ4 2015","FQ4 2015","Currency=INR","Period=FQ","BEST_FPERIOD_OVERRIDE=FQ","FILING_STATUS=OR","EQY_CONSOLIDATED=Y","FA_ADJUSTED=GAAP","Sort=A","Dates=H","DateFormat=P","Fill=—","Direction=H","UseDPDF=Y")</f>
        <v>#NAME?</v>
      </c>
      <c r="L137" t="e">
        <f ca="1">_xll.BDH($C$128,"INCREMENTAL_OPERATING_MARGIN","FQ4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137" t="e">
        <f ca="1">_xll.BDH($C$128,"PRETAX_INC_TO_NET_SALES","FQ4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137" t="e">
        <f ca="1">_xll.BDH($C$128,"INC_BEF_XO_ITEMS_TO_NET_SALES","FQ4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137" t="e">
        <f ca="1">_xll.BDH($C$128,"PROF_MARGIN","FQ4 2015","FQ4 2015","Currency=INR","Period=FQ","BEST_FPERIOD_OVERRIDE=FQ","FILING_STATUS=OR","EQY_CONSOLIDATED=Y","FA_ADJUSTED=GAAP","Sort=A","Dates=H","DateFormat=P","Fill=—","Direction=H","UseDPDF=Y")</f>
        <v>#NAME?</v>
      </c>
      <c r="P137" t="e">
        <f ca="1">_xll.BDH($C$128,"NET_INCOME_TO_COMMON_MARGIN","FQ4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137" t="e">
        <f ca="1">_xll.BDH($C$128,"EFF_TAX_RATE","FQ4 2015","FQ4 2015","Currency=INR","Period=FQ","BEST_FPERIOD_OVERRIDE=FQ","FILING_STATUS=OR","EQY_CONSOLIDATED=Y","FA_ADJUSTED=GAAP","Sort=A","Dates=H","DateFormat=P","Fill=—","Direction=H","UseDPDF=Y")</f>
        <v>#NAME?</v>
      </c>
      <c r="R137" t="e">
        <f ca="1">_xll.BDH($C$128,"DVD_PAYOUT_RATIO","FQ4 2015","FQ4 2015","Currency=INR","Period=FQ","BEST_FPERIOD_OVERRIDE=FQ","FILING_STATUS=OR","EQY_CONSOLIDATED=Y","FA_ADJUSTED=GAAP","Sort=A","Dates=H","DateFormat=P","Fill=—","Direction=H","UseDPDF=Y")</f>
        <v>#NAME?</v>
      </c>
      <c r="S137" t="e">
        <f ca="1">_xll.BDH($C$128,"SUSTAIN_GROWTH_RT","FQ4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137" s="2" t="e">
        <f ca="1">_xll.BDH($C$128,"SALES_GROWTH","FQ4 2015","FQ4 2015","Currency=INR","Period=FQ","BEST_FPERIOD_OVERRIDE=FQ","FILING_STATUS=OR","EQY_CONSOLIDATED=Y","FA_ADJUSTED=GAAP","Sort=A","Dates=H","DateFormat=P","Fill=—","Direction=H","UseDPDF=Y")</f>
        <v>#NAME?</v>
      </c>
      <c r="U137" s="2" t="e">
        <f ca="1">_xll.BDH($C$128,"EBITDA_GROWTH","FQ4 2015","FQ4 2015","Currency=INR","Period=FQ","BEST_FPERIOD_OVERRIDE=FQ","FILING_STATUS=OR","EQY_CONSOLIDATED=Y","FA_ADJUSTED=GAAP","Sort=A","Dates=H","DateFormat=P","Fill=—","Direction=H","UseDPDF=Y")</f>
        <v>#NAME?</v>
      </c>
      <c r="V137" s="2" t="e">
        <f ca="1">_xll.BDH($C$128,"OPER_INC_GROWTH","FQ4 2015","FQ4 2015","Currency=INR","Period=FQ","BEST_FPERIOD_OVERRIDE=FQ","FILING_STATUS=OR","EQY_CONSOLIDATED=Y","FA_ADJUSTED=GAAP","Sort=A","Dates=H","DateFormat=P","Fill=—","Direction=H","UseDPDF=Y")</f>
        <v>#NAME?</v>
      </c>
      <c r="W137" s="2" t="e">
        <f ca="1">_xll.BDH($C$128,"EARN_FOR_COM_GROWTH","FQ4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137" s="2" t="e">
        <f ca="1">_xll.BDH($C$128,"DILUTED_EPS_AFT_XO_ITEMS_GROWTH","FQ4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137" s="2" t="e">
        <f ca="1">_xll.BDH($C$128,"DIVIDEND_PER_SHARE_1_YEAR_GROWTH","FQ4 2015","FQ4 2015","Currency=INR","Period=FQ","BEST_FPERIOD_OVERRIDE=FQ","FILING_STATUS=OR","EQY_CONSOLIDATED=Y","Sort=A","Dates=H","DateFormat=P","Fill=—","Direction=H","UseDPDF=Y")</f>
        <v>#NAME?</v>
      </c>
      <c r="Z137" s="2" t="e">
        <f ca="1">_xll.BDH($C$128,"ACCOUNTS_RECEIVABLE_GROWTH","FQ4 2015","FQ4 2015","Currency=INR","Period=FQ","BEST_FPERIOD_OVERRIDE=FQ","FILING_STATUS=OR","EQY_CONSOLIDATED=Y","Sort=A","Dates=H","DateFormat=P","Fill=—","Direction=H","UseDPDF=Y")</f>
        <v>#NAME?</v>
      </c>
      <c r="AA137" s="2" t="e">
        <f ca="1">_xll.BDH($C$128,"INVENTORY_GROWTH","FQ4 2015","FQ4 2015","Currency=INR","Period=FQ","BEST_FPERIOD_OVERRIDE=FQ","FILING_STATUS=OR","EQY_CONSOLIDATED=Y","Sort=A","Dates=H","DateFormat=P","Fill=—","Direction=H","UseDPDF=Y")</f>
        <v>#NAME?</v>
      </c>
      <c r="AB137" s="2" t="e">
        <f ca="1">_xll.BDH($C$128,"NET_FIXED_ASSETS_1_YEAR_GROWTH","FQ4 2015","FQ4 2015","Currency=INR","Period=FQ","BEST_FPERIOD_OVERRIDE=FQ","FILING_STATUS=OR","EQY_CONSOLIDATED=Y","Sort=A","Dates=H","DateFormat=P","Fill=—","Direction=H","UseDPDF=Y")</f>
        <v>#NAME?</v>
      </c>
      <c r="AC137" s="2" t="e">
        <f ca="1">_xll.BDH($C$128,"ASSET_GROWTH","FQ4 2015","FQ4 2015","Currency=INR","Period=FQ","BEST_FPERIOD_OVERRIDE=FQ","FILING_STATUS=OR","EQY_CONSOLIDATED=Y","Sort=A","Dates=H","DateFormat=P","Fill=—","Direction=H","UseDPDF=Y")</f>
        <v>#NAME?</v>
      </c>
      <c r="AD137" s="2" t="e">
        <f ca="1">_xll.BDH($C$128,"MODIFIED_WORK_CAP_GROWTH","FQ4 2015","FQ4 2015","Currency=INR","Period=FQ","BEST_FPERIOD_OVERRIDE=FQ","FILING_STATUS=OR","EQY_CONSOLIDATED=Y","Sort=A","Dates=H","DateFormat=P","Fill=—","Direction=H","UseDPDF=Y")</f>
        <v>#NAME?</v>
      </c>
      <c r="AE137" s="2" t="e">
        <f ca="1">_xll.BDH($C$128,"WORK_CAP_GROWTH","FQ4 2015","FQ4 2015","Currency=INR","Period=FQ","BEST_FPERIOD_OVERRIDE=FQ","FILING_STATUS=OR","EQY_CONSOLIDATED=Y","Sort=A","Dates=H","DateFormat=P","Fill=—","Direction=H","UseDPDF=Y")</f>
        <v>#NAME?</v>
      </c>
      <c r="AF137" s="2" t="e">
        <f ca="1">_xll.BDH($C$128,"ACCOUNTS_PAYABLE_GROWTH_1YR","FQ4 2015","FQ4 2015","Currency=INR","Period=FQ","BEST_FPERIOD_OVERRIDE=FQ","FILING_STATUS=OR","EQY_CONSOLIDATED=Y","Sort=A","Dates=H","DateFormat=P","Fill=—","Direction=H","UseDPDF=Y")</f>
        <v>#NAME?</v>
      </c>
      <c r="AG137" s="2" t="e">
        <f ca="1">_xll.BDH($C$128,"SHORT_TERM_DEBT_1_YEAR_GROWTH","FQ4 2015","FQ4 2015","Currency=INR","Period=FQ","BEST_FPERIOD_OVERRIDE=FQ","FILING_STATUS=OR","EQY_CONSOLIDATED=Y","Sort=A","Dates=H","DateFormat=P","Fill=—","Direction=H","UseDPDF=Y")</f>
        <v>#NAME?</v>
      </c>
      <c r="AH137" s="2" t="e">
        <f ca="1">_xll.BDH($C$128,"TOTAL_DEBT_1_YEAR_GROWTH","FQ4 2015","FQ4 2015","Currency=INR","Period=FQ","BEST_FPERIOD_OVERRIDE=FQ","FILING_STATUS=OR","EQY_CONSOLIDATED=Y","Sort=A","Dates=H","DateFormat=P","Fill=—","Direction=H","UseDPDF=Y")</f>
        <v>#NAME?</v>
      </c>
      <c r="AI137" s="2" t="e">
        <f ca="1">_xll.BDH($C$128,"TOTAL_EQUITY_1_YEAR_GROWTH","FQ4 2015","FQ4 2015","Currency=INR","Period=FQ","BEST_FPERIOD_OVERRIDE=FQ","FILING_STATUS=OR","EQY_CONSOLIDATED=Y","Sort=A","Dates=H","DateFormat=P","Fill=—","Direction=H","UseDPDF=Y")</f>
        <v>#NAME?</v>
      </c>
      <c r="AJ137" s="2" t="e">
        <f ca="1">_xll.BDH($C$128,"GROWTH_IN_CAP","FQ4 2015","FQ4 2015","Currency=INR","Period=FQ","BEST_FPERIOD_OVERRIDE=FQ","FILING_STATUS=OR","EQY_CONSOLIDATED=Y","Sort=A","Dates=H","DateFormat=P","Fill=—","Direction=H","UseDPDF=Y")</f>
        <v>#NAME?</v>
      </c>
      <c r="AK137" s="2" t="e">
        <f ca="1">_xll.BDH($C$128,"BVPS_GROWTH","FQ4 2015","FQ4 2015","Currency=INR","Period=FQ","BEST_FPERIOD_OVERRIDE=FQ","FILING_STATUS=OR","EQY_CONSOLIDATED=Y","Sort=A","Dates=H","DateFormat=P","Fill=—","Direction=H","UseDPDF=Y")</f>
        <v>#NAME?</v>
      </c>
      <c r="AL137" s="2" t="e">
        <f ca="1">_xll.BDH($C$128,"CASH_FLOW_GROWTH","FQ4 2015","FQ4 2015","Currency=INR","Period=FQ","BEST_FPERIOD_OVERRIDE=FQ","FILING_STATUS=OR","EQY_CONSOLIDATED=Y","Sort=A","Dates=H","DateFormat=P","Fill=—","Direction=H","UseDPDF=Y")</f>
        <v>#NAME?</v>
      </c>
      <c r="AM137" s="2" t="e">
        <f ca="1">_xll.BDH($C$128,"GEO_GROW_NET_SALES","FQ4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137" s="2" t="e">
        <f ca="1">_xll.BDH($C$128,"GEO_GROW_EBITDA","FQ4 2015","FQ4 2015","Currency=INR","Period=FQ","BEST_FPERIOD_OVERRIDE=FQ","FILING_STATUS=OR","EQY_CONSOLIDATED=Y","FA_ADJUSTED=GAAP","Sort=A","Dates=H","DateFormat=P","Fill=—","Direction=H","UseDPDF=Y")</f>
        <v>#NAME?</v>
      </c>
      <c r="AO137" s="2" t="e">
        <f ca="1">_xll.BDH($C$128,"GEO_GROW_OPER_INC","FQ4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137" s="2" t="e">
        <f ca="1">_xll.BDH($C$128,"NET_INCOME_TO_COMMON_5_YR_GROWTH","FQ4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137" s="2" t="e">
        <f ca="1">_xll.BDH($C$128,"5Y_GEO_GROWTH_DILUTED_EPS","FQ4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137" s="2" t="e">
        <f ca="1">_xll.BDH($C$128,"GEO_GROW_DVD_PER_SH","FQ4 2015","FQ4 2015","Currency=INR","Period=FQ","BEST_FPERIOD_OVERRIDE=FQ","FILING_STATUS=OR","EQY_CONSOLIDATED=Y","Sort=A","Dates=H","DateFormat=P","Fill=—","Direction=H","UseDPDF=Y")</f>
        <v>#NAME?</v>
      </c>
      <c r="AS137" s="2" t="e">
        <f ca="1">_xll.BDH($C$128,"ACCOUNTS_RECEIVABLE_5_YR_GROWTH","FQ4 2015","FQ4 2015","Currency=INR","Period=FQ","BEST_FPERIOD_OVERRIDE=FQ","FILING_STATUS=OR","EQY_CONSOLIDATED=Y","Sort=A","Dates=H","DateFormat=P","Fill=—","Direction=H","UseDPDF=Y")</f>
        <v>#NAME?</v>
      </c>
      <c r="AT137" s="2" t="e">
        <f ca="1">_xll.BDH($C$128,"INVENTORY_5_YEAR_GROWTH","FQ4 2015","FQ4 2015","Currency=INR","Period=FQ","BEST_FPERIOD_OVERRIDE=FQ","FILING_STATUS=OR","EQY_CONSOLIDATED=Y","Sort=A","Dates=H","DateFormat=P","Fill=—","Direction=H","UseDPDF=Y")</f>
        <v>#NAME?</v>
      </c>
      <c r="AU137" s="2" t="e">
        <f ca="1">_xll.BDH($C$128,"NET_FIXED_ASSETS_5_YEAR_GROWTH","FQ4 2015","FQ4 2015","Currency=INR","Period=FQ","BEST_FPERIOD_OVERRIDE=FQ","FILING_STATUS=OR","EQY_CONSOLIDATED=Y","Sort=A","Dates=H","DateFormat=P","Fill=—","Direction=H","UseDPDF=Y")</f>
        <v>#NAME?</v>
      </c>
      <c r="AV137" s="2" t="e">
        <f ca="1">_xll.BDH($C$128,"GEO_GROW_TOT_ASSET","FQ4 2015","FQ4 2015","Currency=INR","Period=FQ","BEST_FPERIOD_OVERRIDE=FQ","FILING_STATUS=OR","EQY_CONSOLIDATED=Y","Sort=A","Dates=H","DateFormat=P","Fill=—","Direction=H","UseDPDF=Y")</f>
        <v>#NAME?</v>
      </c>
      <c r="AW137" s="2" t="e">
        <f ca="1">_xll.BDH($C$128,"MODIFIED_WORKING_CPTL_5YR_GRWTH","FQ4 2015","FQ4 2015","Currency=INR","Period=FQ","BEST_FPERIOD_OVERRIDE=FQ","FILING_STATUS=OR","EQY_CONSOLIDATED=Y","Sort=A","Dates=H","DateFormat=P","Fill=—","Direction=H","UseDPDF=Y")</f>
        <v>#NAME?</v>
      </c>
      <c r="AX137" s="2" t="e">
        <f ca="1">_xll.BDH($C$128,"WORKING_CAPITAL_5_YEAR_GROWTH","FQ4 2015","FQ4 2015","Currency=INR","Period=FQ","BEST_FPERIOD_OVERRIDE=FQ","FILING_STATUS=OR","EQY_CONSOLIDATED=Y","Sort=A","Dates=H","DateFormat=P","Fill=—","Direction=H","UseDPDF=Y")</f>
        <v>#NAME?</v>
      </c>
      <c r="AY137" s="2" t="e">
        <f ca="1">_xll.BDH($C$128,"ACCOUNTS_PAYABLE_5_YEAR_GROWTH","FQ4 2015","FQ4 2015","Currency=INR","Period=FQ","BEST_FPERIOD_OVERRIDE=FQ","FILING_STATUS=OR","EQY_CONSOLIDATED=Y","Sort=A","Dates=H","DateFormat=P","Fill=—","Direction=H","UseDPDF=Y")</f>
        <v>#NAME?</v>
      </c>
      <c r="AZ137" s="2" t="e">
        <f ca="1">_xll.BDH($C$128,"SHORT_TERM_DEBT_5_YEAR_GROWTH","FQ4 2015","FQ4 2015","Currency=INR","Period=FQ","BEST_FPERIOD_OVERRIDE=FQ","FILING_STATUS=OR","EQY_CONSOLIDATED=Y","Sort=A","Dates=H","DateFormat=P","Fill=—","Direction=H","UseDPDF=Y")</f>
        <v>#NAME?</v>
      </c>
      <c r="BA137" s="2" t="e">
        <f ca="1">_xll.BDH($C$128,"TOTAL_DEBT_5_YEAR_GROWTH","FQ4 2015","FQ4 2015","Currency=INR","Period=FQ","BEST_FPERIOD_OVERRIDE=FQ","FILING_STATUS=OR","EQY_CONSOLIDATED=Y","Sort=A","Dates=H","DateFormat=P","Fill=—","Direction=H","UseDPDF=Y")</f>
        <v>#NAME?</v>
      </c>
      <c r="BB137" s="2" t="e">
        <f ca="1">_xll.BDH($C$128,"GEO_GROW_TOT_SHRHLDR_EQY","FQ4 2015","FQ4 2015","Currency=INR","Period=FQ","BEST_FPERIOD_OVERRIDE=FQ","FILING_STATUS=OR","EQY_CONSOLIDATED=Y","Sort=A","Dates=H","DateFormat=P","Fill=—","Direction=H","UseDPDF=Y")</f>
        <v>#NAME?</v>
      </c>
      <c r="BC137" s="2" t="e">
        <f ca="1">_xll.BDH($C$128,"TOTAL_CAPITAL_5_YEAR_GROWTH","FQ4 2015","FQ4 2015","Currency=INR","Period=FQ","BEST_FPERIOD_OVERRIDE=FQ","FILING_STATUS=OR","EQY_CONSOLIDATED=Y","Sort=A","Dates=H","DateFormat=P","Fill=—","Direction=H","UseDPDF=Y")</f>
        <v>#NAME?</v>
      </c>
      <c r="BD137" s="2" t="e">
        <f ca="1">_xll.BDH($C$128,"GEO_GROW_BOOK_VAL","FQ4 2015","FQ4 2015","Currency=INR","Period=FQ","BEST_FPERIOD_OVERRIDE=FQ","FILING_STATUS=OR","EQY_CONSOLIDATED=Y","Sort=A","Dates=H","DateFormat=P","Fill=—","Direction=H","UseDPDF=Y")</f>
        <v>#NAME?</v>
      </c>
      <c r="BE137" s="2" t="e">
        <f ca="1">_xll.BDH($C$128,"GEO_GROW_CASH_OPER_ACT","FQ4 2015","FQ4 2015","Currency=INR","Period=FQ","BEST_FPERIOD_OVERRIDE=FQ","FILING_STATUS=OR","EQY_CONSOLIDATED=Y","Sort=A","Dates=H","DateFormat=P","Fill=—","Direction=H","UseDPDF=Y")</f>
        <v>#NAME?</v>
      </c>
      <c r="BF137" s="2" t="e">
        <f ca="1">_xll.BDH($C$128,"REVENUE_SEQUENTIAL_GROWTH","FQ4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137" s="2" t="e">
        <f ca="1">_xll.BDH($C$128,"EBITDA_SEQUENTIAL_GROWTH","FQ4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137" s="2" t="e">
        <f ca="1">_xll.BDH($C$128,"OPERATING_INCOME_SEQ_GROWTH","FQ4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137" s="2" t="e">
        <f ca="1">_xll.BDH($C$128,"NET_INCOME_TO_COMMON_SEQ_GROWTH","FQ4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137" s="2" t="e">
        <f ca="1">_xll.BDH($C$128,"EPS_DILUTED_SEQUENTIAL_GROWTH","FQ4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137" s="2" t="e">
        <f ca="1">_xll.BDH($C$128,"DPS_SEQUENTIAL_GROWTH","FQ4 2015","FQ4 2015","Currency=INR","Period=FQ","BEST_FPERIOD_OVERRIDE=FQ","FILING_STATUS=OR","EQY_CONSOLIDATED=Y","Sort=A","Dates=H","DateFormat=P","Fill=—","Direction=H","UseDPDF=Y")</f>
        <v>#NAME?</v>
      </c>
      <c r="BL137" s="2" t="e">
        <f ca="1">_xll.BDH($C$128,"ACCOUNTS_RECEIVABLE_SEQ_GROWTH","FQ4 2015","FQ4 2015","Currency=INR","Period=FQ","BEST_FPERIOD_OVERRIDE=FQ","FILING_STATUS=OR","EQY_CONSOLIDATED=Y","Sort=A","Dates=H","DateFormat=P","Fill=—","Direction=H","UseDPDF=Y")</f>
        <v>#NAME?</v>
      </c>
      <c r="BM137" s="2" t="e">
        <f ca="1">_xll.BDH($C$128,"INVENTORY_SEQUENTIAL_GROWTH","FQ4 2015","FQ4 2015","Currency=INR","Period=FQ","BEST_FPERIOD_OVERRIDE=FQ","FILING_STATUS=OR","EQY_CONSOLIDATED=Y","Sort=A","Dates=H","DateFormat=P","Fill=—","Direction=H","UseDPDF=Y")</f>
        <v>#NAME?</v>
      </c>
      <c r="BN137" s="2" t="e">
        <f ca="1">_xll.BDH($C$128,"FIXED_ASSETS_SEQUENTIAL_GROWTH","FQ4 2015","FQ4 2015","Currency=INR","Period=FQ","BEST_FPERIOD_OVERRIDE=FQ","FILING_STATUS=OR","EQY_CONSOLIDATED=Y","Sort=A","Dates=H","DateFormat=P","Fill=—","Direction=H","UseDPDF=Y")</f>
        <v>#NAME?</v>
      </c>
      <c r="BO137" s="2" t="e">
        <f ca="1">_xll.BDH($C$128,"TOTAL_ASSETS_SEQUENTIAL_GROWTH","FQ4 2015","FQ4 2015","Currency=INR","Period=FQ","BEST_FPERIOD_OVERRIDE=FQ","FILING_STATUS=OR","EQY_CONSOLIDATED=Y","Sort=A","Dates=H","DateFormat=P","Fill=—","Direction=H","UseDPDF=Y")</f>
        <v>#NAME?</v>
      </c>
      <c r="BP137" s="2" t="e">
        <f ca="1">_xll.BDH($C$128,"MODIFIED_WORKING_CPTL_SEQ_GRWTH","FQ4 2015","FQ4 2015","Currency=INR","Period=FQ","BEST_FPERIOD_OVERRIDE=FQ","FILING_STATUS=OR","EQY_CONSOLIDATED=Y","Sort=A","Dates=H","DateFormat=P","Fill=—","Direction=H","UseDPDF=Y")</f>
        <v>#NAME?</v>
      </c>
      <c r="BQ137" s="2" t="e">
        <f ca="1">_xll.BDH($C$128,"WORKING_CAPITAL_SEQ_GROWTH","FQ4 2015","FQ4 2015","Currency=INR","Period=FQ","BEST_FPERIOD_OVERRIDE=FQ","FILING_STATUS=OR","EQY_CONSOLIDATED=Y","Sort=A","Dates=H","DateFormat=P","Fill=—","Direction=H","UseDPDF=Y")</f>
        <v>#NAME?</v>
      </c>
      <c r="BR137" s="2" t="e">
        <f ca="1">_xll.BDH($C$128,"ACCOUNTS_PAYABLE_SEQ_GROWTH","FQ4 2015","FQ4 2015","Currency=INR","Period=FQ","BEST_FPERIOD_OVERRIDE=FQ","FILING_STATUS=OR","EQY_CONSOLIDATED=Y","Sort=A","Dates=H","DateFormat=P","Fill=—","Direction=H","UseDPDF=Y")</f>
        <v>#NAME?</v>
      </c>
      <c r="BS137" s="2" t="e">
        <f ca="1">_xll.BDH($C$128,"ST_DEBT_SEQUENTIAL_GROWTH","FQ4 2015","FQ4 2015","Currency=INR","Period=FQ","BEST_FPERIOD_OVERRIDE=FQ","FILING_STATUS=OR","EQY_CONSOLIDATED=Y","Sort=A","Dates=H","DateFormat=P","Fill=—","Direction=H","UseDPDF=Y")</f>
        <v>#NAME?</v>
      </c>
      <c r="BT137" s="2" t="e">
        <f ca="1">_xll.BDH($C$128,"TOTAL_DEBT_SEQUENTIAL_GROWTH","FQ4 2015","FQ4 2015","Currency=INR","Period=FQ","BEST_FPERIOD_OVERRIDE=FQ","FILING_STATUS=OR","EQY_CONSOLIDATED=Y","Sort=A","Dates=H","DateFormat=P","Fill=—","Direction=H","UseDPDF=Y")</f>
        <v>#NAME?</v>
      </c>
      <c r="BU137" s="2" t="e">
        <f ca="1">_xll.BDH($C$128,"TOTAL_EQUITY_SEQUENTIAL_GROWTH","FQ4 2015","FQ4 2015","Currency=INR","Period=FQ","BEST_FPERIOD_OVERRIDE=FQ","FILING_STATUS=OR","EQY_CONSOLIDATED=Y","Sort=A","Dates=H","DateFormat=P","Fill=—","Direction=H","UseDPDF=Y")</f>
        <v>#NAME?</v>
      </c>
      <c r="BV137" s="2" t="e">
        <f ca="1">_xll.BDH($C$128,"TOTAL_CAPITAL_SEQUENTIAL_GROWTH","FQ4 2015","FQ4 2015","Currency=INR","Period=FQ","BEST_FPERIOD_OVERRIDE=FQ","FILING_STATUS=OR","EQY_CONSOLIDATED=Y","Sort=A","Dates=H","DateFormat=P","Fill=—","Direction=H","UseDPDF=Y")</f>
        <v>#NAME?</v>
      </c>
      <c r="BW137" s="2" t="e">
        <f ca="1">_xll.BDH($C$128,"BPS_SEQUENTIAL_GROWTH","FQ4 2015","FQ4 2015","Currency=INR","Period=FQ","BEST_FPERIOD_OVERRIDE=FQ","FILING_STATUS=OR","EQY_CONSOLIDATED=Y","Sort=A","Dates=H","DateFormat=P","Fill=—","Direction=H","UseDPDF=Y")</f>
        <v>#NAME?</v>
      </c>
      <c r="BX137" s="2" t="e">
        <f ca="1">_xll.BDH($C$128,"CFO_SEQUENTIAL_GROWTH","FQ4 2015","FQ4 2015","Currency=INR","Period=FQ","BEST_FPERIOD_OVERRIDE=FQ","FILING_STATUS=OR","EQY_CONSOLIDATED=Y","Sort=A","Dates=H","DateFormat=P","Fill=—","Direction=H","UseDPDF=Y")</f>
        <v>#NAME?</v>
      </c>
      <c r="BY137" s="3" t="e">
        <f ca="1">_xll.BDH($C$128,"SHORT_AND_LONG_TERM_DEBT","FQ4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137" s="3" t="e">
        <f ca="1">_xll.BDH($C$128,"BS_ST_BORROW","FQ4 2015","FQ4 2015","Currency=INR","Period=FQ","BEST_FPERIOD_OVERRIDE=FQ","FILING_STATUS=OR","EQY_CONSOLIDATED=Y","SCALING_FORMAT=MLN","Sort=A","Dates=H","DateFormat=P","Fill=—","Direction=H","UseDPDF=Y")</f>
        <v>#NAME?</v>
      </c>
      <c r="CA137" s="3" t="e">
        <f ca="1">_xll.BDH($C$128,"BS_LT_BORROW","FQ4 2015","FQ4 2015","Currency=INR","Period=FQ","BEST_FPERIOD_OVERRIDE=FQ","FILING_STATUS=OR","EQY_CONSOLIDATED=Y","SCALING_FORMAT=MLN","Sort=A","Dates=H","DateFormat=P","Fill=—","Direction=H","UseDPDF=Y")</f>
        <v>#NAME?</v>
      </c>
      <c r="CB137" s="2" t="e">
        <f ca="1">_xll.BDH($C$128,"TOT_DEBT_TO_EBITDA","FQ4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137" s="2" t="e">
        <f ca="1">_xll.BDH($C$128,"NET_DEBT_TO_EBITDA","FQ4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137" s="2" t="e">
        <f ca="1">_xll.BDH($C$128,"TOTAL_DEBT_TO_EBIT","FQ4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137" s="2" t="e">
        <f ca="1">_xll.BDH($C$128,"NET_DEBT_TO_EBIT","FQ4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137" s="2" t="e">
        <f ca="1">_xll.BDH($C$128,"EBITDA_TO_INTEREST_EXPN","FQ4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137" s="2" t="e">
        <f ca="1">_xll.BDH($C$128,"COM_EQY_TO_TOT_ASSET","FQ4 2015","FQ4 2015","Currency=INR","Period=FQ","BEST_FPERIOD_OVERRIDE=FQ","FILING_STATUS=OR","EQY_CONSOLIDATED=Y","Sort=A","Dates=H","DateFormat=P","Fill=—","Direction=H","UseDPDF=Y")</f>
        <v>#NAME?</v>
      </c>
      <c r="CH137" s="2" t="e">
        <f ca="1">_xll.BDH($C$128,"LT_DEBT_TO_TOT_EQY","FQ4 2015","FQ4 2015","Currency=INR","Period=FQ","BEST_FPERIOD_OVERRIDE=FQ","FILING_STATUS=OR","EQY_CONSOLIDATED=Y","Sort=A","Dates=H","DateFormat=P","Fill=—","Direction=H","UseDPDF=Y")</f>
        <v>#NAME?</v>
      </c>
      <c r="CI137" s="2" t="e">
        <f ca="1">_xll.BDH($C$128,"LT_DEBT_TO_TOT_CAP","FQ4 2015","FQ4 2015","Currency=INR","Period=FQ","BEST_FPERIOD_OVERRIDE=FQ","FILING_STATUS=OR","EQY_CONSOLIDATED=Y","Sort=A","Dates=H","DateFormat=P","Fill=—","Direction=H","UseDPDF=Y")</f>
        <v>#NAME?</v>
      </c>
      <c r="CJ137" s="2" t="e">
        <f ca="1">_xll.BDH($C$128,"LT_DEBT_TO_TOT_ASSET","FQ4 2015","FQ4 2015","Currency=INR","Period=FQ","BEST_FPERIOD_OVERRIDE=FQ","FILING_STATUS=OR","EQY_CONSOLIDATED=Y","Sort=A","Dates=H","DateFormat=P","Fill=—","Direction=H","UseDPDF=Y")</f>
        <v>#NAME?</v>
      </c>
      <c r="CK137" s="2" t="e">
        <f ca="1">_xll.BDH($C$128,"TOT_DEBT_TO_TOT_EQY","FQ4 2015","FQ4 2015","Currency=INR","Period=FQ","BEST_FPERIOD_OVERRIDE=FQ","FILING_STATUS=OR","EQY_CONSOLIDATED=Y","Sort=A","Dates=H","DateFormat=P","Fill=—","Direction=H","UseDPDF=Y")</f>
        <v>#NAME?</v>
      </c>
      <c r="CL137" s="2" t="e">
        <f ca="1">_xll.BDH($C$128,"TOT_DEBT_TO_TOT_CAP","FQ4 2015","FQ4 2015","Currency=INR","Period=FQ","BEST_FPERIOD_OVERRIDE=FQ","FILING_STATUS=OR","EQY_CONSOLIDATED=Y","Sort=A","Dates=H","DateFormat=P","Fill=—","Direction=H","UseDPDF=Y")</f>
        <v>#NAME?</v>
      </c>
      <c r="CM137" s="2" t="e">
        <f ca="1">_xll.BDH($C$128,"TOT_DEBT_TO_TOT_ASSET","FQ4 2015","FQ4 2015","Currency=INR","Period=FQ","BEST_FPERIOD_OVERRIDE=FQ","FILING_STATUS=OR","EQY_CONSOLIDATED=Y","Sort=A","Dates=H","DateFormat=P","Fill=—","Direction=H","UseDPDF=Y")</f>
        <v>#NAME?</v>
      </c>
      <c r="CN137" s="2" t="e">
        <f ca="1">_xll.BDH($C$128,"NET_DEBT_TO_SHRHLDR_EQTY","FQ4 2015","FQ4 2015","Currency=INR","Period=FQ","BEST_FPERIOD_OVERRIDE=FQ","FILING_STATUS=OR","EQY_CONSOLIDATED=Y","Sort=A","Dates=H","DateFormat=P","Fill=—","Direction=H","UseDPDF=Y")</f>
        <v>#NAME?</v>
      </c>
      <c r="CO137" s="2" t="e">
        <f ca="1">_xll.BDH($C$128,"NET_DEBT_%_CAPITAL","FQ4 2015","FQ4 2015","Currency=INR","Period=FQ","BEST_FPERIOD_OVERRIDE=FQ","FILING_STATUS=OR","EQY_CONSOLIDATED=Y","Sort=A","Dates=H","DateFormat=P","Fill=—","Direction=H","UseDPDF=Y")</f>
        <v>#NAME?</v>
      </c>
      <c r="CP137" s="3" t="e">
        <f ca="1">_xll.BDH($C$128,"EBITDA","FQ4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137" s="3" t="e">
        <f ca="1">_xll.BDH($C$128,"EBITDA_AFTER_CAPEX","FQ4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137" s="3" t="e">
        <f ca="1">_xll.BDH($C$128,"IS_OPER_INC","FQ4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137" s="2" t="e">
        <f ca="1">_xll.BDH($C$128,"CASH_RATIO","FQ4 2015","FQ4 2015","Currency=INR","Period=FQ","BEST_FPERIOD_OVERRIDE=FQ","FILING_STATUS=OR","EQY_CONSOLIDATED=Y","Sort=A","Dates=H","DateFormat=P","Fill=—","Direction=H","UseDPDF=Y")</f>
        <v>#NAME?</v>
      </c>
      <c r="CT137" s="2" t="e">
        <f ca="1">_xll.BDH($C$128,"CUR_RATIO","FQ4 2015","FQ4 2015","Currency=INR","Period=FQ","BEST_FPERIOD_OVERRIDE=FQ","FILING_STATUS=OR","EQY_CONSOLIDATED=Y","Sort=A","Dates=H","DateFormat=P","Fill=—","Direction=H","UseDPDF=Y")</f>
        <v>#NAME?</v>
      </c>
      <c r="CU137" s="2" t="e">
        <f ca="1">_xll.BDH($C$128,"QUICK_RATIO","FQ4 2015","FQ4 2015","Currency=INR","Period=FQ","BEST_FPERIOD_OVERRIDE=FQ","FILING_STATUS=OR","EQY_CONSOLIDATED=Y","Sort=A","Dates=H","DateFormat=P","Fill=—","Direction=H","UseDPDF=Y")</f>
        <v>#NAME?</v>
      </c>
      <c r="CV137" s="2" t="e">
        <f ca="1">_xll.BDH($C$128,"ALTMAN_Z_SCORE","FQ4 2015","FQ4 2015","Currency=INR","Period=FQ","BEST_FPERIOD_OVERRIDE=FQ","FILING_STATUS=OR","EQY_CONSOLIDATED=Y","Sort=A","Dates=H","DateFormat=P","Fill=—","Direction=H","UseDPDF=Y")</f>
        <v>#NAME?</v>
      </c>
      <c r="CW137" s="4" t="e">
        <f ca="1">_xll.BDH($C$128,"ACCT_RCV_TURN","FQ4 2015","FQ4 2015","Currency=INR","Period=FQ","BEST_FPERIOD_OVERRIDE=FQ","FILING_STATUS=OR","EQY_CONSOLIDATED=Y","FA_ADJUSTED=GAAP","Sort=A","Dates=H","DateFormat=P","Fill=—","Direction=H","UseDPDF=Y")</f>
        <v>#NAME?</v>
      </c>
      <c r="CX137" s="2" t="e">
        <f ca="1">_xll.BDH($C$128,"ACCT_RCV_DAYS","FQ4 2015","FQ4 2015","Currency=INR","Period=FQ","BEST_FPERIOD_OVERRIDE=FQ","FILING_STATUS=OR","EQY_CONSOLIDATED=Y","FA_ADJUSTED=GAAP","Sort=A","Dates=H","DateFormat=P","Fill=—","Direction=H","UseDPDF=Y")</f>
        <v>#NAME?</v>
      </c>
      <c r="CY137" s="4" t="e">
        <f ca="1">_xll.BDH($C$128,"INVENT_TURN","FQ4 2015","FQ4 2015","Currency=INR","Period=FQ","BEST_FPERIOD_OVERRIDE=FQ","FILING_STATUS=OR","EQY_CONSOLIDATED=Y","FA_ADJUSTED=GAAP","Sort=A","Dates=H","DateFormat=P","Fill=—","Direction=H","UseDPDF=Y")</f>
        <v>#NAME?</v>
      </c>
      <c r="CZ137" s="2" t="e">
        <f ca="1">_xll.BDH($C$128,"INVENT_DAYS","FQ4 2015","FQ4 2015","Currency=INR","Period=FQ","BEST_FPERIOD_OVERRIDE=FQ","FILING_STATUS=OR","EQY_CONSOLIDATED=Y","FA_ADJUSTED=GAAP","Sort=A","Dates=H","DateFormat=P","Fill=—","Direction=H","UseDPDF=Y")</f>
        <v>#NAME?</v>
      </c>
      <c r="DA137" s="4" t="e">
        <f ca="1">_xll.BDH($C$128,"ACCOUNTS_PAYABLE_TURNOVER","FQ4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137" s="2" t="e">
        <f ca="1">_xll.BDH($C$128,"ACCOUNTS_PAYABLE_TURNOVER_DAYS","FQ4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137" s="4" t="e">
        <f ca="1">_xll.BDH($C$128,"CASH_CONVERSION_CYCLE","FQ4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137" s="4" t="e">
        <f ca="1">_xll.BDH($C$128,"INV_TO_CASH_DAYS","FQ4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137" s="5" t="e">
        <f ca="1">_xll.BDH($C$128,"BS_INVENTORIES","FQ4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137" s="3" t="e">
        <f ca="1">_xll.BDH($C$128,"INVTRY_RAW_MATERIALS","FQ4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137" s="3" t="e">
        <f ca="1">_xll.BDH($C$128,"INVTRY_IN_PROGRESS","FQ4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137" s="3" t="e">
        <f ca="1">_xll.BDH($C$128,"INVTRY_FINISHED_GOODS","FQ4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137" s="3" t="e">
        <f ca="1">_xll.BDH($C$128,"BS_OTHER_INV","FQ4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138" spans="1:113" x14ac:dyDescent="0.3">
      <c r="A138" s="6"/>
      <c r="B138" s="6"/>
      <c r="C138" s="6"/>
      <c r="D138" s="6" t="s">
        <v>83</v>
      </c>
      <c r="E138" t="s">
        <v>77</v>
      </c>
      <c r="F138" t="e">
        <f ca="1">_xll.BDH($C$128,"RETURN_COM_EQY","FY 2016","FY 2016","Currency=INR","Period=FY","BEST_FPERIOD_OVERRIDE=FY","FILING_STATUS=OR","EQY_CONSOLIDATED=Y","FA_ADJUSTED=GAAP","Sort=A","Dates=H","DateFormat=P","Fill=—","Direction=H","UseDPDF=Y")</f>
        <v>#NAME?</v>
      </c>
      <c r="G138" t="e">
        <f ca="1">_xll.BDH($C$128,"RETURN_ON_ASSET","FY 2016","FY 2016","Currency=INR","Period=FY","BEST_FPERIOD_OVERRIDE=FY","FILING_STATUS=OR","EQY_CONSOLIDATED=Y","FA_ADJUSTED=GAAP","Sort=A","Dates=H","DateFormat=P","Fill=—","Direction=H","UseDPDF=Y")</f>
        <v>#NAME?</v>
      </c>
      <c r="H138" t="e">
        <f ca="1">_xll.BDH($C$128,"RETURN_ON_CAP","FY 2016","FY 2016","Currency=INR","Period=FY","BEST_FPERIOD_OVERRIDE=FY","FILING_STATUS=OR","EQY_CONSOLIDATED=Y","FA_ADJUSTED=GAAP","Sort=A","Dates=H","DateFormat=P","Fill=—","Direction=H","UseDPDF=Y")</f>
        <v>#NAME?</v>
      </c>
      <c r="I138" t="e">
        <f ca="1">_xll.BDH($C$128,"RETURN_ON_INV_CAPITAL","FY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138" t="e">
        <f ca="1">_xll.BDH($C$128,"EBITDA_TO_REVENUE","FY 2016","FY 2016","Currency=INR","Period=FY","BEST_FPERIOD_OVERRIDE=FY","FILING_STATUS=OR","EQY_CONSOLIDATED=Y","FA_ADJUSTED=GAAP","Sort=A","Dates=H","DateFormat=P","Fill=—","Direction=H","UseDPDF=Y")</f>
        <v>#NAME?</v>
      </c>
      <c r="K138" t="e">
        <f ca="1">_xll.BDH($C$128,"OPER_MARGIN","FY 2016","FY 2016","Currency=INR","Period=FY","BEST_FPERIOD_OVERRIDE=FY","FILING_STATUS=OR","EQY_CONSOLIDATED=Y","FA_ADJUSTED=GAAP","Sort=A","Dates=H","DateFormat=P","Fill=—","Direction=H","UseDPDF=Y")</f>
        <v>#NAME?</v>
      </c>
      <c r="L138" t="e">
        <f ca="1">_xll.BDH($C$128,"INCREMENTAL_OPERATING_MARGIN","FY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138" t="e">
        <f ca="1">_xll.BDH($C$128,"PRETAX_INC_TO_NET_SALES","FY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138" t="e">
        <f ca="1">_xll.BDH($C$128,"INC_BEF_XO_ITEMS_TO_NET_SALES","FY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138" t="e">
        <f ca="1">_xll.BDH($C$128,"PROF_MARGIN","FY 2016","FY 2016","Currency=INR","Period=FY","BEST_FPERIOD_OVERRIDE=FY","FILING_STATUS=OR","EQY_CONSOLIDATED=Y","FA_ADJUSTED=GAAP","Sort=A","Dates=H","DateFormat=P","Fill=—","Direction=H","UseDPDF=Y")</f>
        <v>#NAME?</v>
      </c>
      <c r="P138" t="e">
        <f ca="1">_xll.BDH($C$128,"NET_INCOME_TO_COMMON_MARGIN","FY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138" t="e">
        <f ca="1">_xll.BDH($C$128,"EFF_TAX_RATE","FY 2016","FY 2016","Currency=INR","Period=FY","BEST_FPERIOD_OVERRIDE=FY","FILING_STATUS=OR","EQY_CONSOLIDATED=Y","FA_ADJUSTED=GAAP","Sort=A","Dates=H","DateFormat=P","Fill=—","Direction=H","UseDPDF=Y")</f>
        <v>#NAME?</v>
      </c>
      <c r="R138" t="e">
        <f ca="1">_xll.BDH($C$128,"DVD_PAYOUT_RATIO","FY 2016","FY 2016","Currency=INR","Period=FY","BEST_FPERIOD_OVERRIDE=FY","FILING_STATUS=OR","EQY_CONSOLIDATED=Y","FA_ADJUSTED=GAAP","Sort=A","Dates=H","DateFormat=P","Fill=—","Direction=H","UseDPDF=Y")</f>
        <v>#NAME?</v>
      </c>
      <c r="S138" t="e">
        <f ca="1">_xll.BDH($C$128,"SUSTAIN_GROWTH_RT","FY 2016","FY 2016","Currency=INR","Period=FY","BEST_FPERIOD_OVERRIDE=FY","FILING_STATUS=OR","EQY_CONSOLIDATED=Y","FA_ADJUSTED=GAAP","Sort=A","Dates=H","DateFormat=P","Fill=—","Direction=H","UseDPDF=Y")</f>
        <v>#NAME?</v>
      </c>
      <c r="T138" s="2" t="e">
        <f ca="1">_xll.BDH($C$128,"SALES_GROWTH","FY 2016","FY 2016","Currency=INR","Period=FY","BEST_FPERIOD_OVERRIDE=FY","FILING_STATUS=OR","EQY_CONSOLIDATED=Y","FA_ADJUSTED=GAAP","Sort=A","Dates=H","DateFormat=P","Fill=—","Direction=H","UseDPDF=Y")</f>
        <v>#NAME?</v>
      </c>
      <c r="U138" s="2" t="e">
        <f ca="1">_xll.BDH($C$128,"EBITDA_GROWTH","FY 2016","FY 2016","Currency=INR","Period=FY","BEST_FPERIOD_OVERRIDE=FY","FILING_STATUS=OR","EQY_CONSOLIDATED=Y","FA_ADJUSTED=GAAP","Sort=A","Dates=H","DateFormat=P","Fill=—","Direction=H","UseDPDF=Y")</f>
        <v>#NAME?</v>
      </c>
      <c r="V138" s="2" t="e">
        <f ca="1">_xll.BDH($C$128,"OPER_INC_GROWTH","FY 2016","FY 2016","Currency=INR","Period=FY","BEST_FPERIOD_OVERRIDE=FY","FILING_STATUS=OR","EQY_CONSOLIDATED=Y","FA_ADJUSTED=GAAP","Sort=A","Dates=H","DateFormat=P","Fill=—","Direction=H","UseDPDF=Y")</f>
        <v>#NAME?</v>
      </c>
      <c r="W138" s="2" t="e">
        <f ca="1">_xll.BDH($C$128,"EARN_FOR_COM_GROWTH","FY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138" s="2" t="e">
        <f ca="1">_xll.BDH($C$128,"DILUTED_EPS_AFT_XO_ITEMS_GROWTH","FY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138" s="2" t="e">
        <f ca="1">_xll.BDH($C$128,"DIVIDEND_PER_SHARE_1_YEAR_GROWTH","FY 2016","FY 2016","Currency=INR","Period=FY","BEST_FPERIOD_OVERRIDE=FY","FILING_STATUS=OR","EQY_CONSOLIDATED=Y","Sort=A","Dates=H","DateFormat=P","Fill=—","Direction=H","UseDPDF=Y")</f>
        <v>#NAME?</v>
      </c>
      <c r="Z138" s="2" t="e">
        <f ca="1">_xll.BDH($C$128,"ACCOUNTS_RECEIVABLE_GROWTH","FY 2016","FY 2016","Currency=INR","Period=FY","BEST_FPERIOD_OVERRIDE=FY","FILING_STATUS=OR","EQY_CONSOLIDATED=Y","Sort=A","Dates=H","DateFormat=P","Fill=—","Direction=H","UseDPDF=Y")</f>
        <v>#NAME?</v>
      </c>
      <c r="AA138" s="2" t="e">
        <f ca="1">_xll.BDH($C$128,"INVENTORY_GROWTH","FY 2016","FY 2016","Currency=INR","Period=FY","BEST_FPERIOD_OVERRIDE=FY","FILING_STATUS=OR","EQY_CONSOLIDATED=Y","Sort=A","Dates=H","DateFormat=P","Fill=—","Direction=H","UseDPDF=Y")</f>
        <v>#NAME?</v>
      </c>
      <c r="AB138" s="2" t="e">
        <f ca="1">_xll.BDH($C$128,"NET_FIXED_ASSETS_1_YEAR_GROWTH","FY 2016","FY 2016","Currency=INR","Period=FY","BEST_FPERIOD_OVERRIDE=FY","FILING_STATUS=OR","EQY_CONSOLIDATED=Y","Sort=A","Dates=H","DateFormat=P","Fill=—","Direction=H","UseDPDF=Y")</f>
        <v>#NAME?</v>
      </c>
      <c r="AC138" s="2" t="e">
        <f ca="1">_xll.BDH($C$128,"ASSET_GROWTH","FY 2016","FY 2016","Currency=INR","Period=FY","BEST_FPERIOD_OVERRIDE=FY","FILING_STATUS=OR","EQY_CONSOLIDATED=Y","Sort=A","Dates=H","DateFormat=P","Fill=—","Direction=H","UseDPDF=Y")</f>
        <v>#NAME?</v>
      </c>
      <c r="AD138" s="2" t="e">
        <f ca="1">_xll.BDH($C$128,"MODIFIED_WORK_CAP_GROWTH","FY 2016","FY 2016","Currency=INR","Period=FY","BEST_FPERIOD_OVERRIDE=FY","FILING_STATUS=OR","EQY_CONSOLIDATED=Y","Sort=A","Dates=H","DateFormat=P","Fill=—","Direction=H","UseDPDF=Y")</f>
        <v>#NAME?</v>
      </c>
      <c r="AE138" s="2" t="e">
        <f ca="1">_xll.BDH($C$128,"WORK_CAP_GROWTH","FY 2016","FY 2016","Currency=INR","Period=FY","BEST_FPERIOD_OVERRIDE=FY","FILING_STATUS=OR","EQY_CONSOLIDATED=Y","Sort=A","Dates=H","DateFormat=P","Fill=—","Direction=H","UseDPDF=Y")</f>
        <v>#NAME?</v>
      </c>
      <c r="AF138" s="2" t="e">
        <f ca="1">_xll.BDH($C$128,"ACCOUNTS_PAYABLE_GROWTH_1YR","FY 2016","FY 2016","Currency=INR","Period=FY","BEST_FPERIOD_OVERRIDE=FY","FILING_STATUS=OR","EQY_CONSOLIDATED=Y","Sort=A","Dates=H","DateFormat=P","Fill=—","Direction=H","UseDPDF=Y")</f>
        <v>#NAME?</v>
      </c>
      <c r="AG138" s="2" t="e">
        <f ca="1">_xll.BDH($C$128,"SHORT_TERM_DEBT_1_YEAR_GROWTH","FY 2016","FY 2016","Currency=INR","Period=FY","BEST_FPERIOD_OVERRIDE=FY","FILING_STATUS=OR","EQY_CONSOLIDATED=Y","Sort=A","Dates=H","DateFormat=P","Fill=—","Direction=H","UseDPDF=Y")</f>
        <v>#NAME?</v>
      </c>
      <c r="AH138" s="2" t="e">
        <f ca="1">_xll.BDH($C$128,"TOTAL_DEBT_1_YEAR_GROWTH","FY 2016","FY 2016","Currency=INR","Period=FY","BEST_FPERIOD_OVERRIDE=FY","FILING_STATUS=OR","EQY_CONSOLIDATED=Y","Sort=A","Dates=H","DateFormat=P","Fill=—","Direction=H","UseDPDF=Y")</f>
        <v>#NAME?</v>
      </c>
      <c r="AI138" s="2" t="e">
        <f ca="1">_xll.BDH($C$128,"TOTAL_EQUITY_1_YEAR_GROWTH","FY 2016","FY 2016","Currency=INR","Period=FY","BEST_FPERIOD_OVERRIDE=FY","FILING_STATUS=OR","EQY_CONSOLIDATED=Y","Sort=A","Dates=H","DateFormat=P","Fill=—","Direction=H","UseDPDF=Y")</f>
        <v>#NAME?</v>
      </c>
      <c r="AJ138" s="2" t="e">
        <f ca="1">_xll.BDH($C$128,"GROWTH_IN_CAP","FY 2016","FY 2016","Currency=INR","Period=FY","BEST_FPERIOD_OVERRIDE=FY","FILING_STATUS=OR","EQY_CONSOLIDATED=Y","Sort=A","Dates=H","DateFormat=P","Fill=—","Direction=H","UseDPDF=Y")</f>
        <v>#NAME?</v>
      </c>
      <c r="AK138" s="2" t="e">
        <f ca="1">_xll.BDH($C$128,"BVPS_GROWTH","FY 2016","FY 2016","Currency=INR","Period=FY","BEST_FPERIOD_OVERRIDE=FY","FILING_STATUS=OR","EQY_CONSOLIDATED=Y","Sort=A","Dates=H","DateFormat=P","Fill=—","Direction=H","UseDPDF=Y")</f>
        <v>#NAME?</v>
      </c>
      <c r="AL138" s="2" t="e">
        <f ca="1">_xll.BDH($C$128,"CASH_FLOW_GROWTH","FY 2016","FY 2016","Currency=INR","Period=FY","BEST_FPERIOD_OVERRIDE=FY","FILING_STATUS=OR","EQY_CONSOLIDATED=Y","Sort=A","Dates=H","DateFormat=P","Fill=—","Direction=H","UseDPDF=Y")</f>
        <v>#NAME?</v>
      </c>
      <c r="AM138" s="2" t="e">
        <f ca="1">_xll.BDH($C$128,"GEO_GROW_NET_SALES","FY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138" s="2" t="e">
        <f ca="1">_xll.BDH($C$128,"GEO_GROW_EBITDA","FY 2016","FY 2016","Currency=INR","Period=FY","BEST_FPERIOD_OVERRIDE=FY","FILING_STATUS=OR","EQY_CONSOLIDATED=Y","FA_ADJUSTED=GAAP","Sort=A","Dates=H","DateFormat=P","Fill=—","Direction=H","UseDPDF=Y")</f>
        <v>#NAME?</v>
      </c>
      <c r="AO138" s="2" t="e">
        <f ca="1">_xll.BDH($C$128,"GEO_GROW_OPER_INC","FY 2016","FY 2016","Currency=INR","Period=FY","BEST_FPERIOD_OVERRIDE=FY","FILING_STATUS=OR","EQY_CONSOLIDATED=Y","FA_ADJUSTED=GAAP","Sort=A","Dates=H","DateFormat=P","Fill=—","Direction=H","UseDPDF=Y")</f>
        <v>#NAME?</v>
      </c>
      <c r="AP138" s="2" t="e">
        <f ca="1">_xll.BDH($C$128,"NET_INCOME_TO_COMMON_5_YR_GROWTH","FY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138" s="2" t="e">
        <f ca="1">_xll.BDH($C$128,"5Y_GEO_GROWTH_DILUTED_EPS","FY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138" s="2" t="e">
        <f ca="1">_xll.BDH($C$128,"GEO_GROW_DVD_PER_SH","FY 2016","FY 2016","Currency=INR","Period=FY","BEST_FPERIOD_OVERRIDE=FY","FILING_STATUS=OR","EQY_CONSOLIDATED=Y","Sort=A","Dates=H","DateFormat=P","Fill=—","Direction=H","UseDPDF=Y")</f>
        <v>#NAME?</v>
      </c>
      <c r="AS138" s="2" t="e">
        <f ca="1">_xll.BDH($C$128,"ACCOUNTS_RECEIVABLE_5_YR_GROWTH","FY 2016","FY 2016","Currency=INR","Period=FY","BEST_FPERIOD_OVERRIDE=FY","FILING_STATUS=OR","EQY_CONSOLIDATED=Y","Sort=A","Dates=H","DateFormat=P","Fill=—","Direction=H","UseDPDF=Y")</f>
        <v>#NAME?</v>
      </c>
      <c r="AT138" s="2" t="e">
        <f ca="1">_xll.BDH($C$128,"INVENTORY_5_YEAR_GROWTH","FY 2016","FY 2016","Currency=INR","Period=FY","BEST_FPERIOD_OVERRIDE=FY","FILING_STATUS=OR","EQY_CONSOLIDATED=Y","Sort=A","Dates=H","DateFormat=P","Fill=—","Direction=H","UseDPDF=Y")</f>
        <v>#NAME?</v>
      </c>
      <c r="AU138" s="2" t="e">
        <f ca="1">_xll.BDH($C$128,"NET_FIXED_ASSETS_5_YEAR_GROWTH","FY 2016","FY 2016","Currency=INR","Period=FY","BEST_FPERIOD_OVERRIDE=FY","FILING_STATUS=OR","EQY_CONSOLIDATED=Y","Sort=A","Dates=H","DateFormat=P","Fill=—","Direction=H","UseDPDF=Y")</f>
        <v>#NAME?</v>
      </c>
      <c r="AV138" s="2" t="e">
        <f ca="1">_xll.BDH($C$128,"GEO_GROW_TOT_ASSET","FY 2016","FY 2016","Currency=INR","Period=FY","BEST_FPERIOD_OVERRIDE=FY","FILING_STATUS=OR","EQY_CONSOLIDATED=Y","Sort=A","Dates=H","DateFormat=P","Fill=—","Direction=H","UseDPDF=Y")</f>
        <v>#NAME?</v>
      </c>
      <c r="AW138" s="2" t="e">
        <f ca="1">_xll.BDH($C$128,"MODIFIED_WORKING_CPTL_5YR_GRWTH","FY 2016","FY 2016","Currency=INR","Period=FY","BEST_FPERIOD_OVERRIDE=FY","FILING_STATUS=OR","EQY_CONSOLIDATED=Y","Sort=A","Dates=H","DateFormat=P","Fill=—","Direction=H","UseDPDF=Y")</f>
        <v>#NAME?</v>
      </c>
      <c r="AX138" s="2" t="e">
        <f ca="1">_xll.BDH($C$128,"WORKING_CAPITAL_5_YEAR_GROWTH","FY 2016","FY 2016","Currency=INR","Period=FY","BEST_FPERIOD_OVERRIDE=FY","FILING_STATUS=OR","EQY_CONSOLIDATED=Y","Sort=A","Dates=H","DateFormat=P","Fill=—","Direction=H","UseDPDF=Y")</f>
        <v>#NAME?</v>
      </c>
      <c r="AY138" s="2" t="e">
        <f ca="1">_xll.BDH($C$128,"ACCOUNTS_PAYABLE_5_YEAR_GROWTH","FY 2016","FY 2016","Currency=INR","Period=FY","BEST_FPERIOD_OVERRIDE=FY","FILING_STATUS=OR","EQY_CONSOLIDATED=Y","Sort=A","Dates=H","DateFormat=P","Fill=—","Direction=H","UseDPDF=Y")</f>
        <v>#NAME?</v>
      </c>
      <c r="AZ138" s="2" t="e">
        <f ca="1">_xll.BDH($C$128,"SHORT_TERM_DEBT_5_YEAR_GROWTH","FY 2016","FY 2016","Currency=INR","Period=FY","BEST_FPERIOD_OVERRIDE=FY","FILING_STATUS=OR","EQY_CONSOLIDATED=Y","Sort=A","Dates=H","DateFormat=P","Fill=—","Direction=H","UseDPDF=Y")</f>
        <v>#NAME?</v>
      </c>
      <c r="BA138" s="2" t="e">
        <f ca="1">_xll.BDH($C$128,"TOTAL_DEBT_5_YEAR_GROWTH","FY 2016","FY 2016","Currency=INR","Period=FY","BEST_FPERIOD_OVERRIDE=FY","FILING_STATUS=OR","EQY_CONSOLIDATED=Y","Sort=A","Dates=H","DateFormat=P","Fill=—","Direction=H","UseDPDF=Y")</f>
        <v>#NAME?</v>
      </c>
      <c r="BB138" s="2" t="e">
        <f ca="1">_xll.BDH($C$128,"GEO_GROW_TOT_SHRHLDR_EQY","FY 2016","FY 2016","Currency=INR","Period=FY","BEST_FPERIOD_OVERRIDE=FY","FILING_STATUS=OR","EQY_CONSOLIDATED=Y","Sort=A","Dates=H","DateFormat=P","Fill=—","Direction=H","UseDPDF=Y")</f>
        <v>#NAME?</v>
      </c>
      <c r="BC138" s="2" t="e">
        <f ca="1">_xll.BDH($C$128,"TOTAL_CAPITAL_5_YEAR_GROWTH","FY 2016","FY 2016","Currency=INR","Period=FY","BEST_FPERIOD_OVERRIDE=FY","FILING_STATUS=OR","EQY_CONSOLIDATED=Y","Sort=A","Dates=H","DateFormat=P","Fill=—","Direction=H","UseDPDF=Y")</f>
        <v>#NAME?</v>
      </c>
      <c r="BD138" s="2" t="e">
        <f ca="1">_xll.BDH($C$128,"GEO_GROW_BOOK_VAL","FY 2016","FY 2016","Currency=INR","Period=FY","BEST_FPERIOD_OVERRIDE=FY","FILING_STATUS=OR","EQY_CONSOLIDATED=Y","Sort=A","Dates=H","DateFormat=P","Fill=—","Direction=H","UseDPDF=Y")</f>
        <v>#NAME?</v>
      </c>
      <c r="BE138" s="2" t="e">
        <f ca="1">_xll.BDH($C$128,"GEO_GROW_CASH_OPER_ACT","FY 2016","FY 2016","Currency=INR","Period=FY","BEST_FPERIOD_OVERRIDE=FY","FILING_STATUS=OR","EQY_CONSOLIDATED=Y","Sort=A","Dates=H","DateFormat=P","Fill=—","Direction=H","UseDPDF=Y")</f>
        <v>#NAME?</v>
      </c>
      <c r="BF138" s="2" t="e">
        <f ca="1">_xll.BDH($C$128,"REVENUE_SEQUENTIAL_GROWTH","FY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138" s="2" t="e">
        <f ca="1">_xll.BDH($C$128,"EBITDA_SEQUENTIAL_GROWTH","FY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138" s="2" t="e">
        <f ca="1">_xll.BDH($C$128,"OPERATING_INCOME_SEQ_GROWTH","FY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138" s="2" t="e">
        <f ca="1">_xll.BDH($C$128,"NET_INCOME_TO_COMMON_SEQ_GROWTH","FY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138" s="2" t="e">
        <f ca="1">_xll.BDH($C$128,"EPS_DILUTED_SEQUENTIAL_GROWTH","FY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138" s="2" t="e">
        <f ca="1">_xll.BDH($C$128,"DPS_SEQUENTIAL_GROWTH","FY 2016","FY 2016","Currency=INR","Period=FY","BEST_FPERIOD_OVERRIDE=FY","FILING_STATUS=OR","EQY_CONSOLIDATED=Y","Sort=A","Dates=H","DateFormat=P","Fill=—","Direction=H","UseDPDF=Y")</f>
        <v>#NAME?</v>
      </c>
      <c r="BL138" s="2" t="e">
        <f ca="1">_xll.BDH($C$128,"ACCOUNTS_RECEIVABLE_SEQ_GROWTH","FY 2016","FY 2016","Currency=INR","Period=FY","BEST_FPERIOD_OVERRIDE=FY","FILING_STATUS=OR","EQY_CONSOLIDATED=Y","Sort=A","Dates=H","DateFormat=P","Fill=—","Direction=H","UseDPDF=Y")</f>
        <v>#NAME?</v>
      </c>
      <c r="BM138" s="2" t="e">
        <f ca="1">_xll.BDH($C$128,"INVENTORY_SEQUENTIAL_GROWTH","FY 2016","FY 2016","Currency=INR","Period=FY","BEST_FPERIOD_OVERRIDE=FY","FILING_STATUS=OR","EQY_CONSOLIDATED=Y","Sort=A","Dates=H","DateFormat=P","Fill=—","Direction=H","UseDPDF=Y")</f>
        <v>#NAME?</v>
      </c>
      <c r="BN138" s="2" t="e">
        <f ca="1">_xll.BDH($C$128,"FIXED_ASSETS_SEQUENTIAL_GROWTH","FY 2016","FY 2016","Currency=INR","Period=FY","BEST_FPERIOD_OVERRIDE=FY","FILING_STATUS=OR","EQY_CONSOLIDATED=Y","Sort=A","Dates=H","DateFormat=P","Fill=—","Direction=H","UseDPDF=Y")</f>
        <v>#NAME?</v>
      </c>
      <c r="BO138" s="2" t="e">
        <f ca="1">_xll.BDH($C$128,"TOTAL_ASSETS_SEQUENTIAL_GROWTH","FY 2016","FY 2016","Currency=INR","Period=FY","BEST_FPERIOD_OVERRIDE=FY","FILING_STATUS=OR","EQY_CONSOLIDATED=Y","Sort=A","Dates=H","DateFormat=P","Fill=—","Direction=H","UseDPDF=Y")</f>
        <v>#NAME?</v>
      </c>
      <c r="BP138" s="2" t="e">
        <f ca="1">_xll.BDH($C$128,"MODIFIED_WORKING_CPTL_SEQ_GRWTH","FY 2016","FY 2016","Currency=INR","Period=FY","BEST_FPERIOD_OVERRIDE=FY","FILING_STATUS=OR","EQY_CONSOLIDATED=Y","Sort=A","Dates=H","DateFormat=P","Fill=—","Direction=H","UseDPDF=Y")</f>
        <v>#NAME?</v>
      </c>
      <c r="BQ138" s="2" t="e">
        <f ca="1">_xll.BDH($C$128,"WORKING_CAPITAL_SEQ_GROWTH","FY 2016","FY 2016","Currency=INR","Period=FY","BEST_FPERIOD_OVERRIDE=FY","FILING_STATUS=OR","EQY_CONSOLIDATED=Y","Sort=A","Dates=H","DateFormat=P","Fill=—","Direction=H","UseDPDF=Y")</f>
        <v>#NAME?</v>
      </c>
      <c r="BR138" s="2" t="e">
        <f ca="1">_xll.BDH($C$128,"ACCOUNTS_PAYABLE_SEQ_GROWTH","FY 2016","FY 2016","Currency=INR","Period=FY","BEST_FPERIOD_OVERRIDE=FY","FILING_STATUS=OR","EQY_CONSOLIDATED=Y","Sort=A","Dates=H","DateFormat=P","Fill=—","Direction=H","UseDPDF=Y")</f>
        <v>#NAME?</v>
      </c>
      <c r="BS138" s="2" t="e">
        <f ca="1">_xll.BDH($C$128,"ST_DEBT_SEQUENTIAL_GROWTH","FY 2016","FY 2016","Currency=INR","Period=FY","BEST_FPERIOD_OVERRIDE=FY","FILING_STATUS=OR","EQY_CONSOLIDATED=Y","Sort=A","Dates=H","DateFormat=P","Fill=—","Direction=H","UseDPDF=Y")</f>
        <v>#NAME?</v>
      </c>
      <c r="BT138" s="2" t="e">
        <f ca="1">_xll.BDH($C$128,"TOTAL_DEBT_SEQUENTIAL_GROWTH","FY 2016","FY 2016","Currency=INR","Period=FY","BEST_FPERIOD_OVERRIDE=FY","FILING_STATUS=OR","EQY_CONSOLIDATED=Y","Sort=A","Dates=H","DateFormat=P","Fill=—","Direction=H","UseDPDF=Y")</f>
        <v>#NAME?</v>
      </c>
      <c r="BU138" s="2" t="e">
        <f ca="1">_xll.BDH($C$128,"TOTAL_EQUITY_SEQUENTIAL_GROWTH","FY 2016","FY 2016","Currency=INR","Period=FY","BEST_FPERIOD_OVERRIDE=FY","FILING_STATUS=OR","EQY_CONSOLIDATED=Y","Sort=A","Dates=H","DateFormat=P","Fill=—","Direction=H","UseDPDF=Y")</f>
        <v>#NAME?</v>
      </c>
      <c r="BV138" s="2" t="e">
        <f ca="1">_xll.BDH($C$128,"TOTAL_CAPITAL_SEQUENTIAL_GROWTH","FY 2016","FY 2016","Currency=INR","Period=FY","BEST_FPERIOD_OVERRIDE=FY","FILING_STATUS=OR","EQY_CONSOLIDATED=Y","Sort=A","Dates=H","DateFormat=P","Fill=—","Direction=H","UseDPDF=Y")</f>
        <v>#NAME?</v>
      </c>
      <c r="BW138" s="2" t="e">
        <f ca="1">_xll.BDH($C$128,"BPS_SEQUENTIAL_GROWTH","FY 2016","FY 2016","Currency=INR","Period=FY","BEST_FPERIOD_OVERRIDE=FY","FILING_STATUS=OR","EQY_CONSOLIDATED=Y","Sort=A","Dates=H","DateFormat=P","Fill=—","Direction=H","UseDPDF=Y")</f>
        <v>#NAME?</v>
      </c>
      <c r="BX138" s="2" t="e">
        <f ca="1">_xll.BDH($C$128,"CFO_SEQUENTIAL_GROWTH","FY 2016","FY 2016","Currency=INR","Period=FY","BEST_FPERIOD_OVERRIDE=FY","FILING_STATUS=OR","EQY_CONSOLIDATED=Y","Sort=A","Dates=H","DateFormat=P","Fill=—","Direction=H","UseDPDF=Y")</f>
        <v>#NAME?</v>
      </c>
      <c r="BY138" s="3" t="e">
        <f ca="1">_xll.BDH($C$128,"SHORT_AND_LONG_TERM_DEBT","FY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138" s="3" t="e">
        <f ca="1">_xll.BDH($C$128,"BS_ST_BORROW","FY 2016","FY 2016","Currency=INR","Period=FY","BEST_FPERIOD_OVERRIDE=FY","FILING_STATUS=OR","EQY_CONSOLIDATED=Y","SCALING_FORMAT=MLN","Sort=A","Dates=H","DateFormat=P","Fill=—","Direction=H","UseDPDF=Y")</f>
        <v>#NAME?</v>
      </c>
      <c r="CA138" s="3" t="e">
        <f ca="1">_xll.BDH($C$128,"BS_LT_BORROW","FY 2016","FY 2016","Currency=INR","Period=FY","BEST_FPERIOD_OVERRIDE=FY","FILING_STATUS=OR","EQY_CONSOLIDATED=Y","SCALING_FORMAT=MLN","Sort=A","Dates=H","DateFormat=P","Fill=—","Direction=H","UseDPDF=Y")</f>
        <v>#NAME?</v>
      </c>
      <c r="CB138" s="2" t="e">
        <f ca="1">_xll.BDH($C$128,"TOT_DEBT_TO_EBITDA","FY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138" s="2" t="e">
        <f ca="1">_xll.BDH($C$128,"NET_DEBT_TO_EBITDA","FY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138" s="2" t="e">
        <f ca="1">_xll.BDH($C$128,"TOTAL_DEBT_TO_EBIT","FY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138" s="2" t="e">
        <f ca="1">_xll.BDH($C$128,"NET_DEBT_TO_EBIT","FY 2016","FY 2016","Currency=INR","Period=FY","BEST_FPERIOD_OVERRIDE=FY","FILING_STATUS=OR","EQY_CONSOLIDATED=Y","FA_ADJUSTED=GAAP","Sort=A","Dates=H","DateFormat=P","Fill=—","Direction=H","UseDPDF=Y")</f>
        <v>#NAME?</v>
      </c>
      <c r="CF138" s="2" t="e">
        <f ca="1">_xll.BDH($C$128,"EBITDA_TO_INTEREST_EXPN","FY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138" s="2" t="e">
        <f ca="1">_xll.BDH($C$128,"COM_EQY_TO_TOT_ASSET","FY 2016","FY 2016","Currency=INR","Period=FY","BEST_FPERIOD_OVERRIDE=FY","FILING_STATUS=OR","EQY_CONSOLIDATED=Y","Sort=A","Dates=H","DateFormat=P","Fill=—","Direction=H","UseDPDF=Y")</f>
        <v>#NAME?</v>
      </c>
      <c r="CH138" s="2" t="e">
        <f ca="1">_xll.BDH($C$128,"LT_DEBT_TO_TOT_EQY","FY 2016","FY 2016","Currency=INR","Period=FY","BEST_FPERIOD_OVERRIDE=FY","FILING_STATUS=OR","EQY_CONSOLIDATED=Y","Sort=A","Dates=H","DateFormat=P","Fill=—","Direction=H","UseDPDF=Y")</f>
        <v>#NAME?</v>
      </c>
      <c r="CI138" s="2" t="e">
        <f ca="1">_xll.BDH($C$128,"LT_DEBT_TO_TOT_CAP","FY 2016","FY 2016","Currency=INR","Period=FY","BEST_FPERIOD_OVERRIDE=FY","FILING_STATUS=OR","EQY_CONSOLIDATED=Y","Sort=A","Dates=H","DateFormat=P","Fill=—","Direction=H","UseDPDF=Y")</f>
        <v>#NAME?</v>
      </c>
      <c r="CJ138" s="2" t="e">
        <f ca="1">_xll.BDH($C$128,"LT_DEBT_TO_TOT_ASSET","FY 2016","FY 2016","Currency=INR","Period=FY","BEST_FPERIOD_OVERRIDE=FY","FILING_STATUS=OR","EQY_CONSOLIDATED=Y","Sort=A","Dates=H","DateFormat=P","Fill=—","Direction=H","UseDPDF=Y")</f>
        <v>#NAME?</v>
      </c>
      <c r="CK138" s="2" t="e">
        <f ca="1">_xll.BDH($C$128,"TOT_DEBT_TO_TOT_EQY","FY 2016","FY 2016","Currency=INR","Period=FY","BEST_FPERIOD_OVERRIDE=FY","FILING_STATUS=OR","EQY_CONSOLIDATED=Y","Sort=A","Dates=H","DateFormat=P","Fill=—","Direction=H","UseDPDF=Y")</f>
        <v>#NAME?</v>
      </c>
      <c r="CL138" s="2" t="e">
        <f ca="1">_xll.BDH($C$128,"TOT_DEBT_TO_TOT_CAP","FY 2016","FY 2016","Currency=INR","Period=FY","BEST_FPERIOD_OVERRIDE=FY","FILING_STATUS=OR","EQY_CONSOLIDATED=Y","Sort=A","Dates=H","DateFormat=P","Fill=—","Direction=H","UseDPDF=Y")</f>
        <v>#NAME?</v>
      </c>
      <c r="CM138" s="2" t="e">
        <f ca="1">_xll.BDH($C$128,"TOT_DEBT_TO_TOT_ASSET","FY 2016","FY 2016","Currency=INR","Period=FY","BEST_FPERIOD_OVERRIDE=FY","FILING_STATUS=OR","EQY_CONSOLIDATED=Y","Sort=A","Dates=H","DateFormat=P","Fill=—","Direction=H","UseDPDF=Y")</f>
        <v>#NAME?</v>
      </c>
      <c r="CN138" s="2" t="e">
        <f ca="1">_xll.BDH($C$128,"NET_DEBT_TO_SHRHLDR_EQTY","FY 2016","FY 2016","Currency=INR","Period=FY","BEST_FPERIOD_OVERRIDE=FY","FILING_STATUS=OR","EQY_CONSOLIDATED=Y","Sort=A","Dates=H","DateFormat=P","Fill=—","Direction=H","UseDPDF=Y")</f>
        <v>#NAME?</v>
      </c>
      <c r="CO138" s="2" t="e">
        <f ca="1">_xll.BDH($C$128,"NET_DEBT_%_CAPITAL","FY 2016","FY 2016","Currency=INR","Period=FY","BEST_FPERIOD_OVERRIDE=FY","FILING_STATUS=OR","EQY_CONSOLIDATED=Y","Sort=A","Dates=H","DateFormat=P","Fill=—","Direction=H","UseDPDF=Y")</f>
        <v>#NAME?</v>
      </c>
      <c r="CP138" s="3" t="e">
        <f ca="1">_xll.BDH($C$128,"EBITDA","FY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138" s="3" t="e">
        <f ca="1">_xll.BDH($C$128,"EBITDA_AFTER_CAPEX","FY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138" s="3" t="e">
        <f ca="1">_xll.BDH($C$128,"IS_OPER_INC","FY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138" s="2" t="e">
        <f ca="1">_xll.BDH($C$128,"CASH_RATIO","FY 2016","FY 2016","Currency=INR","Period=FY","BEST_FPERIOD_OVERRIDE=FY","FILING_STATUS=OR","EQY_CONSOLIDATED=Y","Sort=A","Dates=H","DateFormat=P","Fill=—","Direction=H","UseDPDF=Y")</f>
        <v>#NAME?</v>
      </c>
      <c r="CT138" s="2" t="e">
        <f ca="1">_xll.BDH($C$128,"CUR_RATIO","FY 2016","FY 2016","Currency=INR","Period=FY","BEST_FPERIOD_OVERRIDE=FY","FILING_STATUS=OR","EQY_CONSOLIDATED=Y","Sort=A","Dates=H","DateFormat=P","Fill=—","Direction=H","UseDPDF=Y")</f>
        <v>#NAME?</v>
      </c>
      <c r="CU138" s="2" t="e">
        <f ca="1">_xll.BDH($C$128,"QUICK_RATIO","FY 2016","FY 2016","Currency=INR","Period=FY","BEST_FPERIOD_OVERRIDE=FY","FILING_STATUS=OR","EQY_CONSOLIDATED=Y","Sort=A","Dates=H","DateFormat=P","Fill=—","Direction=H","UseDPDF=Y")</f>
        <v>#NAME?</v>
      </c>
      <c r="CV138" s="2" t="e">
        <f ca="1">_xll.BDH($C$128,"ALTMAN_Z_SCORE","FY 2016","FY 2016","Currency=INR","Period=FY","BEST_FPERIOD_OVERRIDE=FY","FILING_STATUS=OR","EQY_CONSOLIDATED=Y","Sort=A","Dates=H","DateFormat=P","Fill=—","Direction=H","UseDPDF=Y")</f>
        <v>#NAME?</v>
      </c>
      <c r="CW138" s="4" t="e">
        <f ca="1">_xll.BDH($C$128,"ACCT_RCV_TURN","FY 2016","FY 2016","Currency=INR","Period=FY","BEST_FPERIOD_OVERRIDE=FY","FILING_STATUS=OR","EQY_CONSOLIDATED=Y","FA_ADJUSTED=GAAP","Sort=A","Dates=H","DateFormat=P","Fill=—","Direction=H","UseDPDF=Y")</f>
        <v>#NAME?</v>
      </c>
      <c r="CX138" s="2" t="e">
        <f ca="1">_xll.BDH($C$128,"ACCT_RCV_DAYS","FY 2016","FY 2016","Currency=INR","Period=FY","BEST_FPERIOD_OVERRIDE=FY","FILING_STATUS=OR","EQY_CONSOLIDATED=Y","FA_ADJUSTED=GAAP","Sort=A","Dates=H","DateFormat=P","Fill=—","Direction=H","UseDPDF=Y")</f>
        <v>#NAME?</v>
      </c>
      <c r="CY138" s="4" t="e">
        <f ca="1">_xll.BDH($C$128,"INVENT_TURN","FY 2016","FY 2016","Currency=INR","Period=FY","BEST_FPERIOD_OVERRIDE=FY","FILING_STATUS=OR","EQY_CONSOLIDATED=Y","FA_ADJUSTED=GAAP","Sort=A","Dates=H","DateFormat=P","Fill=—","Direction=H","UseDPDF=Y")</f>
        <v>#NAME?</v>
      </c>
      <c r="CZ138" s="2" t="e">
        <f ca="1">_xll.BDH($C$128,"INVENT_DAYS","FY 2016","FY 2016","Currency=INR","Period=FY","BEST_FPERIOD_OVERRIDE=FY","FILING_STATUS=OR","EQY_CONSOLIDATED=Y","FA_ADJUSTED=GAAP","Sort=A","Dates=H","DateFormat=P","Fill=—","Direction=H","UseDPDF=Y")</f>
        <v>#NAME?</v>
      </c>
      <c r="DA138" s="4" t="e">
        <f ca="1">_xll.BDH($C$128,"ACCOUNTS_PAYABLE_TURNOVER","FY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138" s="2" t="e">
        <f ca="1">_xll.BDH($C$128,"ACCOUNTS_PAYABLE_TURNOVER_DAYS","FY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138" s="4" t="e">
        <f ca="1">_xll.BDH($C$128,"CASH_CONVERSION_CYCLE","FY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138" s="4" t="e">
        <f ca="1">_xll.BDH($C$128,"INV_TO_CASH_DAYS","FY 2016","FY 2016","Currency=INR","Period=FY","BEST_FPERIOD_OVERRIDE=FY","FILING_STATUS=OR","EQY_CONSOLIDATED=Y","FA_ADJUSTED=GAAP","Sort=A","Dates=H","DateFormat=P","Fill=—","Direction=H","UseDPDF=Y")</f>
        <v>#NAME?</v>
      </c>
      <c r="DE138" s="5" t="e">
        <f ca="1">_xll.BDH($C$128,"BS_INVENTORIES","FY 2016","FY 2016","Currency=INR","Period=FY","BEST_FPERIOD_OVERRIDE=FY","FILING_STATUS=OR","EQY_CONSOLIDATED=Y","SCALING_FORMAT=MLN","Sort=A","Dates=H","DateFormat=P","Fill=—","Direction=H","UseDPDF=Y")</f>
        <v>#NAME?</v>
      </c>
      <c r="DF138" s="3" t="e">
        <f ca="1">_xll.BDH($C$128,"INVTRY_RAW_MATERIALS","FY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138" s="3" t="e">
        <f ca="1">_xll.BDH($C$128,"INVTRY_IN_PROGRESS","FY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138" s="3" t="e">
        <f ca="1">_xll.BDH($C$128,"INVTRY_FINISHED_GOODS","FY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138" s="3" t="e">
        <f ca="1">_xll.BDH($C$128,"BS_OTHER_INV","FY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139" spans="1:113" x14ac:dyDescent="0.3">
      <c r="A139" s="6"/>
      <c r="B139" s="6"/>
      <c r="C139" s="6"/>
      <c r="D139" s="6"/>
      <c r="E139" t="s">
        <v>78</v>
      </c>
      <c r="F139" t="e">
        <f ca="1">_xll.BDH($C$128,"RETURN_COM_EQY","FQ1 2016","FQ1 2016","Currency=INR","Period=FQ","BEST_FPERIOD_OVERRIDE=FQ","FILING_STATUS=OR","EQY_CONSOLIDATED=Y","FA_ADJUSTED=GAAP","Sort=A","Dates=H","DateFormat=P","Fill=—","Direction=H","UseDPDF=Y")</f>
        <v>#NAME?</v>
      </c>
      <c r="G139" t="e">
        <f ca="1">_xll.BDH($C$128,"RETURN_ON_ASSET","FQ1 2016","FQ1 2016","Currency=INR","Period=FQ","BEST_FPERIOD_OVERRIDE=FQ","FILING_STATUS=OR","EQY_CONSOLIDATED=Y","FA_ADJUSTED=GAAP","Sort=A","Dates=H","DateFormat=P","Fill=—","Direction=H","UseDPDF=Y")</f>
        <v>#NAME?</v>
      </c>
      <c r="H139" t="e">
        <f ca="1">_xll.BDH($C$128,"RETURN_ON_CAP","FQ1 2016","FQ1 2016","Currency=INR","Period=FQ","BEST_FPERIOD_OVERRIDE=FQ","FILING_STATUS=OR","EQY_CONSOLIDATED=Y","FA_ADJUSTED=GAAP","Sort=A","Dates=H","DateFormat=P","Fill=—","Direction=H","UseDPDF=Y")</f>
        <v>#NAME?</v>
      </c>
      <c r="I139" t="e">
        <f ca="1">_xll.BDH($C$128,"RETURN_ON_INV_CAPITAL","FQ1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139" t="e">
        <f ca="1">_xll.BDH($C$128,"EBITDA_TO_REVENUE","FQ1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139" t="e">
        <f ca="1">_xll.BDH($C$128,"OPER_MARGIN","FQ1 2016","FQ1 2016","Currency=INR","Period=FQ","BEST_FPERIOD_OVERRIDE=FQ","FILING_STATUS=OR","EQY_CONSOLIDATED=Y","FA_ADJUSTED=GAAP","Sort=A","Dates=H","DateFormat=P","Fill=—","Direction=H","UseDPDF=Y")</f>
        <v>#NAME?</v>
      </c>
      <c r="L139" t="e">
        <f ca="1">_xll.BDH($C$128,"INCREMENTAL_OPERATING_MARGIN","FQ1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139" t="e">
        <f ca="1">_xll.BDH($C$128,"PRETAX_INC_TO_NET_SALES","FQ1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139" t="e">
        <f ca="1">_xll.BDH($C$128,"INC_BEF_XO_ITEMS_TO_NET_SALES","FQ1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139" t="e">
        <f ca="1">_xll.BDH($C$128,"PROF_MARGIN","FQ1 2016","FQ1 2016","Currency=INR","Period=FQ","BEST_FPERIOD_OVERRIDE=FQ","FILING_STATUS=OR","EQY_CONSOLIDATED=Y","FA_ADJUSTED=GAAP","Sort=A","Dates=H","DateFormat=P","Fill=—","Direction=H","UseDPDF=Y")</f>
        <v>#NAME?</v>
      </c>
      <c r="P139" t="e">
        <f ca="1">_xll.BDH($C$128,"NET_INCOME_TO_COMMON_MARGIN","FQ1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139" t="e">
        <f ca="1">_xll.BDH($C$128,"EFF_TAX_RATE","FQ1 2016","FQ1 2016","Currency=INR","Period=FQ","BEST_FPERIOD_OVERRIDE=FQ","FILING_STATUS=OR","EQY_CONSOLIDATED=Y","FA_ADJUSTED=GAAP","Sort=A","Dates=H","DateFormat=P","Fill=—","Direction=H","UseDPDF=Y")</f>
        <v>#NAME?</v>
      </c>
      <c r="R139" t="e">
        <f ca="1">_xll.BDH($C$128,"DVD_PAYOUT_RATIO","FQ1 2016","FQ1 2016","Currency=INR","Period=FQ","BEST_FPERIOD_OVERRIDE=FQ","FILING_STATUS=OR","EQY_CONSOLIDATED=Y","FA_ADJUSTED=GAAP","Sort=A","Dates=H","DateFormat=P","Fill=—","Direction=H","UseDPDF=Y")</f>
        <v>#NAME?</v>
      </c>
      <c r="S139" t="e">
        <f ca="1">_xll.BDH($C$128,"SUSTAIN_GROWTH_RT","FQ1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139" s="2" t="e">
        <f ca="1">_xll.BDH($C$128,"SALES_GROWTH","FQ1 2016","FQ1 2016","Currency=INR","Period=FQ","BEST_FPERIOD_OVERRIDE=FQ","FILING_STATUS=OR","EQY_CONSOLIDATED=Y","FA_ADJUSTED=GAAP","Sort=A","Dates=H","DateFormat=P","Fill=—","Direction=H","UseDPDF=Y")</f>
        <v>#NAME?</v>
      </c>
      <c r="U139" s="2" t="e">
        <f ca="1">_xll.BDH($C$128,"EBITDA_GROWTH","FQ1 2016","FQ1 2016","Currency=INR","Period=FQ","BEST_FPERIOD_OVERRIDE=FQ","FILING_STATUS=OR","EQY_CONSOLIDATED=Y","FA_ADJUSTED=GAAP","Sort=A","Dates=H","DateFormat=P","Fill=—","Direction=H","UseDPDF=Y")</f>
        <v>#NAME?</v>
      </c>
      <c r="V139" s="2" t="e">
        <f ca="1">_xll.BDH($C$128,"OPER_INC_GROWTH","FQ1 2016","FQ1 2016","Currency=INR","Period=FQ","BEST_FPERIOD_OVERRIDE=FQ","FILING_STATUS=OR","EQY_CONSOLIDATED=Y","FA_ADJUSTED=GAAP","Sort=A","Dates=H","DateFormat=P","Fill=—","Direction=H","UseDPDF=Y")</f>
        <v>#NAME?</v>
      </c>
      <c r="W139" s="2" t="e">
        <f ca="1">_xll.BDH($C$128,"EARN_FOR_COM_GROWTH","FQ1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139" s="2" t="e">
        <f ca="1">_xll.BDH($C$128,"DILUTED_EPS_AFT_XO_ITEMS_GROWTH","FQ1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139" s="2" t="e">
        <f ca="1">_xll.BDH($C$128,"DIVIDEND_PER_SHARE_1_YEAR_GROWTH","FQ1 2016","FQ1 2016","Currency=INR","Period=FQ","BEST_FPERIOD_OVERRIDE=FQ","FILING_STATUS=OR","EQY_CONSOLIDATED=Y","Sort=A","Dates=H","DateFormat=P","Fill=—","Direction=H","UseDPDF=Y")</f>
        <v>#NAME?</v>
      </c>
      <c r="Z139" s="2" t="e">
        <f ca="1">_xll.BDH($C$128,"ACCOUNTS_RECEIVABLE_GROWTH","FQ1 2016","FQ1 2016","Currency=INR","Period=FQ","BEST_FPERIOD_OVERRIDE=FQ","FILING_STATUS=OR","EQY_CONSOLIDATED=Y","Sort=A","Dates=H","DateFormat=P","Fill=—","Direction=H","UseDPDF=Y")</f>
        <v>#NAME?</v>
      </c>
      <c r="AA139" s="2" t="e">
        <f ca="1">_xll.BDH($C$128,"INVENTORY_GROWTH","FQ1 2016","FQ1 2016","Currency=INR","Period=FQ","BEST_FPERIOD_OVERRIDE=FQ","FILING_STATUS=OR","EQY_CONSOLIDATED=Y","Sort=A","Dates=H","DateFormat=P","Fill=—","Direction=H","UseDPDF=Y")</f>
        <v>#NAME?</v>
      </c>
      <c r="AB139" s="2" t="e">
        <f ca="1">_xll.BDH($C$128,"NET_FIXED_ASSETS_1_YEAR_GROWTH","FQ1 2016","FQ1 2016","Currency=INR","Period=FQ","BEST_FPERIOD_OVERRIDE=FQ","FILING_STATUS=OR","EQY_CONSOLIDATED=Y","Sort=A","Dates=H","DateFormat=P","Fill=—","Direction=H","UseDPDF=Y")</f>
        <v>#NAME?</v>
      </c>
      <c r="AC139" s="2" t="e">
        <f ca="1">_xll.BDH($C$128,"ASSET_GROWTH","FQ1 2016","FQ1 2016","Currency=INR","Period=FQ","BEST_FPERIOD_OVERRIDE=FQ","FILING_STATUS=OR","EQY_CONSOLIDATED=Y","Sort=A","Dates=H","DateFormat=P","Fill=—","Direction=H","UseDPDF=Y")</f>
        <v>#NAME?</v>
      </c>
      <c r="AD139" s="2" t="e">
        <f ca="1">_xll.BDH($C$128,"MODIFIED_WORK_CAP_GROWTH","FQ1 2016","FQ1 2016","Currency=INR","Period=FQ","BEST_FPERIOD_OVERRIDE=FQ","FILING_STATUS=OR","EQY_CONSOLIDATED=Y","Sort=A","Dates=H","DateFormat=P","Fill=—","Direction=H","UseDPDF=Y")</f>
        <v>#NAME?</v>
      </c>
      <c r="AE139" s="2" t="e">
        <f ca="1">_xll.BDH($C$128,"WORK_CAP_GROWTH","FQ1 2016","FQ1 2016","Currency=INR","Period=FQ","BEST_FPERIOD_OVERRIDE=FQ","FILING_STATUS=OR","EQY_CONSOLIDATED=Y","Sort=A","Dates=H","DateFormat=P","Fill=—","Direction=H","UseDPDF=Y")</f>
        <v>#NAME?</v>
      </c>
      <c r="AF139" s="2" t="e">
        <f ca="1">_xll.BDH($C$128,"ACCOUNTS_PAYABLE_GROWTH_1YR","FQ1 2016","FQ1 2016","Currency=INR","Period=FQ","BEST_FPERIOD_OVERRIDE=FQ","FILING_STATUS=OR","EQY_CONSOLIDATED=Y","Sort=A","Dates=H","DateFormat=P","Fill=—","Direction=H","UseDPDF=Y")</f>
        <v>#NAME?</v>
      </c>
      <c r="AG139" s="2" t="e">
        <f ca="1">_xll.BDH($C$128,"SHORT_TERM_DEBT_1_YEAR_GROWTH","FQ1 2016","FQ1 2016","Currency=INR","Period=FQ","BEST_FPERIOD_OVERRIDE=FQ","FILING_STATUS=OR","EQY_CONSOLIDATED=Y","Sort=A","Dates=H","DateFormat=P","Fill=—","Direction=H","UseDPDF=Y")</f>
        <v>#NAME?</v>
      </c>
      <c r="AH139" s="2" t="e">
        <f ca="1">_xll.BDH($C$128,"TOTAL_DEBT_1_YEAR_GROWTH","FQ1 2016","FQ1 2016","Currency=INR","Period=FQ","BEST_FPERIOD_OVERRIDE=FQ","FILING_STATUS=OR","EQY_CONSOLIDATED=Y","Sort=A","Dates=H","DateFormat=P","Fill=—","Direction=H","UseDPDF=Y")</f>
        <v>#NAME?</v>
      </c>
      <c r="AI139" s="2" t="e">
        <f ca="1">_xll.BDH($C$128,"TOTAL_EQUITY_1_YEAR_GROWTH","FQ1 2016","FQ1 2016","Currency=INR","Period=FQ","BEST_FPERIOD_OVERRIDE=FQ","FILING_STATUS=OR","EQY_CONSOLIDATED=Y","Sort=A","Dates=H","DateFormat=P","Fill=—","Direction=H","UseDPDF=Y")</f>
        <v>#NAME?</v>
      </c>
      <c r="AJ139" s="2" t="e">
        <f ca="1">_xll.BDH($C$128,"GROWTH_IN_CAP","FQ1 2016","FQ1 2016","Currency=INR","Period=FQ","BEST_FPERIOD_OVERRIDE=FQ","FILING_STATUS=OR","EQY_CONSOLIDATED=Y","Sort=A","Dates=H","DateFormat=P","Fill=—","Direction=H","UseDPDF=Y")</f>
        <v>#NAME?</v>
      </c>
      <c r="AK139" s="2" t="e">
        <f ca="1">_xll.BDH($C$128,"BVPS_GROWTH","FQ1 2016","FQ1 2016","Currency=INR","Period=FQ","BEST_FPERIOD_OVERRIDE=FQ","FILING_STATUS=OR","EQY_CONSOLIDATED=Y","Sort=A","Dates=H","DateFormat=P","Fill=—","Direction=H","UseDPDF=Y")</f>
        <v>#NAME?</v>
      </c>
      <c r="AL139" s="2" t="e">
        <f ca="1">_xll.BDH($C$128,"CASH_FLOW_GROWTH","FQ1 2016","FQ1 2016","Currency=INR","Period=FQ","BEST_FPERIOD_OVERRIDE=FQ","FILING_STATUS=OR","EQY_CONSOLIDATED=Y","Sort=A","Dates=H","DateFormat=P","Fill=—","Direction=H","UseDPDF=Y")</f>
        <v>#NAME?</v>
      </c>
      <c r="AM139" s="2" t="e">
        <f ca="1">_xll.BDH($C$128,"GEO_GROW_NET_SALES","FQ1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139" s="2" t="e">
        <f ca="1">_xll.BDH($C$128,"GEO_GROW_EBITDA","FQ1 2016","FQ1 2016","Currency=INR","Period=FQ","BEST_FPERIOD_OVERRIDE=FQ","FILING_STATUS=OR","EQY_CONSOLIDATED=Y","FA_ADJUSTED=GAAP","Sort=A","Dates=H","DateFormat=P","Fill=—","Direction=H","UseDPDF=Y")</f>
        <v>#NAME?</v>
      </c>
      <c r="AO139" s="2" t="e">
        <f ca="1">_xll.BDH($C$128,"GEO_GROW_OPER_INC","FQ1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139" s="2" t="e">
        <f ca="1">_xll.BDH($C$128,"NET_INCOME_TO_COMMON_5_YR_GROWTH","FQ1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139" s="2" t="e">
        <f ca="1">_xll.BDH($C$128,"5Y_GEO_GROWTH_DILUTED_EPS","FQ1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139" s="2" t="e">
        <f ca="1">_xll.BDH($C$128,"GEO_GROW_DVD_PER_SH","FQ1 2016","FQ1 2016","Currency=INR","Period=FQ","BEST_FPERIOD_OVERRIDE=FQ","FILING_STATUS=OR","EQY_CONSOLIDATED=Y","Sort=A","Dates=H","DateFormat=P","Fill=—","Direction=H","UseDPDF=Y")</f>
        <v>#NAME?</v>
      </c>
      <c r="AS139" s="2" t="e">
        <f ca="1">_xll.BDH($C$128,"ACCOUNTS_RECEIVABLE_5_YR_GROWTH","FQ1 2016","FQ1 2016","Currency=INR","Period=FQ","BEST_FPERIOD_OVERRIDE=FQ","FILING_STATUS=OR","EQY_CONSOLIDATED=Y","Sort=A","Dates=H","DateFormat=P","Fill=—","Direction=H","UseDPDF=Y")</f>
        <v>#NAME?</v>
      </c>
      <c r="AT139" s="2" t="e">
        <f ca="1">_xll.BDH($C$128,"INVENTORY_5_YEAR_GROWTH","FQ1 2016","FQ1 2016","Currency=INR","Period=FQ","BEST_FPERIOD_OVERRIDE=FQ","FILING_STATUS=OR","EQY_CONSOLIDATED=Y","Sort=A","Dates=H","DateFormat=P","Fill=—","Direction=H","UseDPDF=Y")</f>
        <v>#NAME?</v>
      </c>
      <c r="AU139" s="2" t="e">
        <f ca="1">_xll.BDH($C$128,"NET_FIXED_ASSETS_5_YEAR_GROWTH","FQ1 2016","FQ1 2016","Currency=INR","Period=FQ","BEST_FPERIOD_OVERRIDE=FQ","FILING_STATUS=OR","EQY_CONSOLIDATED=Y","Sort=A","Dates=H","DateFormat=P","Fill=—","Direction=H","UseDPDF=Y")</f>
        <v>#NAME?</v>
      </c>
      <c r="AV139" s="2" t="e">
        <f ca="1">_xll.BDH($C$128,"GEO_GROW_TOT_ASSET","FQ1 2016","FQ1 2016","Currency=INR","Period=FQ","BEST_FPERIOD_OVERRIDE=FQ","FILING_STATUS=OR","EQY_CONSOLIDATED=Y","Sort=A","Dates=H","DateFormat=P","Fill=—","Direction=H","UseDPDF=Y")</f>
        <v>#NAME?</v>
      </c>
      <c r="AW139" s="2" t="e">
        <f ca="1">_xll.BDH($C$128,"MODIFIED_WORKING_CPTL_5YR_GRWTH","FQ1 2016","FQ1 2016","Currency=INR","Period=FQ","BEST_FPERIOD_OVERRIDE=FQ","FILING_STATUS=OR","EQY_CONSOLIDATED=Y","Sort=A","Dates=H","DateFormat=P","Fill=—","Direction=H","UseDPDF=Y")</f>
        <v>#NAME?</v>
      </c>
      <c r="AX139" s="2" t="e">
        <f ca="1">_xll.BDH($C$128,"WORKING_CAPITAL_5_YEAR_GROWTH","FQ1 2016","FQ1 2016","Currency=INR","Period=FQ","BEST_FPERIOD_OVERRIDE=FQ","FILING_STATUS=OR","EQY_CONSOLIDATED=Y","Sort=A","Dates=H","DateFormat=P","Fill=—","Direction=H","UseDPDF=Y")</f>
        <v>#NAME?</v>
      </c>
      <c r="AY139" s="2" t="e">
        <f ca="1">_xll.BDH($C$128,"ACCOUNTS_PAYABLE_5_YEAR_GROWTH","FQ1 2016","FQ1 2016","Currency=INR","Period=FQ","BEST_FPERIOD_OVERRIDE=FQ","FILING_STATUS=OR","EQY_CONSOLIDATED=Y","Sort=A","Dates=H","DateFormat=P","Fill=—","Direction=H","UseDPDF=Y")</f>
        <v>#NAME?</v>
      </c>
      <c r="AZ139" s="2" t="e">
        <f ca="1">_xll.BDH($C$128,"SHORT_TERM_DEBT_5_YEAR_GROWTH","FQ1 2016","FQ1 2016","Currency=INR","Period=FQ","BEST_FPERIOD_OVERRIDE=FQ","FILING_STATUS=OR","EQY_CONSOLIDATED=Y","Sort=A","Dates=H","DateFormat=P","Fill=—","Direction=H","UseDPDF=Y")</f>
        <v>#NAME?</v>
      </c>
      <c r="BA139" s="2" t="e">
        <f ca="1">_xll.BDH($C$128,"TOTAL_DEBT_5_YEAR_GROWTH","FQ1 2016","FQ1 2016","Currency=INR","Period=FQ","BEST_FPERIOD_OVERRIDE=FQ","FILING_STATUS=OR","EQY_CONSOLIDATED=Y","Sort=A","Dates=H","DateFormat=P","Fill=—","Direction=H","UseDPDF=Y")</f>
        <v>#NAME?</v>
      </c>
      <c r="BB139" s="2" t="e">
        <f ca="1">_xll.BDH($C$128,"GEO_GROW_TOT_SHRHLDR_EQY","FQ1 2016","FQ1 2016","Currency=INR","Period=FQ","BEST_FPERIOD_OVERRIDE=FQ","FILING_STATUS=OR","EQY_CONSOLIDATED=Y","Sort=A","Dates=H","DateFormat=P","Fill=—","Direction=H","UseDPDF=Y")</f>
        <v>#NAME?</v>
      </c>
      <c r="BC139" s="2" t="e">
        <f ca="1">_xll.BDH($C$128,"TOTAL_CAPITAL_5_YEAR_GROWTH","FQ1 2016","FQ1 2016","Currency=INR","Period=FQ","BEST_FPERIOD_OVERRIDE=FQ","FILING_STATUS=OR","EQY_CONSOLIDATED=Y","Sort=A","Dates=H","DateFormat=P","Fill=—","Direction=H","UseDPDF=Y")</f>
        <v>#NAME?</v>
      </c>
      <c r="BD139" s="2" t="e">
        <f ca="1">_xll.BDH($C$128,"GEO_GROW_BOOK_VAL","FQ1 2016","FQ1 2016","Currency=INR","Period=FQ","BEST_FPERIOD_OVERRIDE=FQ","FILING_STATUS=OR","EQY_CONSOLIDATED=Y","Sort=A","Dates=H","DateFormat=P","Fill=—","Direction=H","UseDPDF=Y")</f>
        <v>#NAME?</v>
      </c>
      <c r="BE139" s="2" t="e">
        <f ca="1">_xll.BDH($C$128,"GEO_GROW_CASH_OPER_ACT","FQ1 2016","FQ1 2016","Currency=INR","Period=FQ","BEST_FPERIOD_OVERRIDE=FQ","FILING_STATUS=OR","EQY_CONSOLIDATED=Y","Sort=A","Dates=H","DateFormat=P","Fill=—","Direction=H","UseDPDF=Y")</f>
        <v>#NAME?</v>
      </c>
      <c r="BF139" s="2" t="e">
        <f ca="1">_xll.BDH($C$128,"REVENUE_SEQUENTIAL_GROWTH","FQ1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139" s="2" t="e">
        <f ca="1">_xll.BDH($C$128,"EBITDA_SEQUENTIAL_GROWTH","FQ1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139" s="2" t="e">
        <f ca="1">_xll.BDH($C$128,"OPERATING_INCOME_SEQ_GROWTH","FQ1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139" s="2" t="e">
        <f ca="1">_xll.BDH($C$128,"NET_INCOME_TO_COMMON_SEQ_GROWTH","FQ1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139" s="2" t="e">
        <f ca="1">_xll.BDH($C$128,"EPS_DILUTED_SEQUENTIAL_GROWTH","FQ1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139" s="2" t="e">
        <f ca="1">_xll.BDH($C$128,"DPS_SEQUENTIAL_GROWTH","FQ1 2016","FQ1 2016","Currency=INR","Period=FQ","BEST_FPERIOD_OVERRIDE=FQ","FILING_STATUS=OR","EQY_CONSOLIDATED=Y","Sort=A","Dates=H","DateFormat=P","Fill=—","Direction=H","UseDPDF=Y")</f>
        <v>#NAME?</v>
      </c>
      <c r="BL139" s="2" t="e">
        <f ca="1">_xll.BDH($C$128,"ACCOUNTS_RECEIVABLE_SEQ_GROWTH","FQ1 2016","FQ1 2016","Currency=INR","Period=FQ","BEST_FPERIOD_OVERRIDE=FQ","FILING_STATUS=OR","EQY_CONSOLIDATED=Y","Sort=A","Dates=H","DateFormat=P","Fill=—","Direction=H","UseDPDF=Y")</f>
        <v>#NAME?</v>
      </c>
      <c r="BM139" s="2" t="e">
        <f ca="1">_xll.BDH($C$128,"INVENTORY_SEQUENTIAL_GROWTH","FQ1 2016","FQ1 2016","Currency=INR","Period=FQ","BEST_FPERIOD_OVERRIDE=FQ","FILING_STATUS=OR","EQY_CONSOLIDATED=Y","Sort=A","Dates=H","DateFormat=P","Fill=—","Direction=H","UseDPDF=Y")</f>
        <v>#NAME?</v>
      </c>
      <c r="BN139" s="2" t="e">
        <f ca="1">_xll.BDH($C$128,"FIXED_ASSETS_SEQUENTIAL_GROWTH","FQ1 2016","FQ1 2016","Currency=INR","Period=FQ","BEST_FPERIOD_OVERRIDE=FQ","FILING_STATUS=OR","EQY_CONSOLIDATED=Y","Sort=A","Dates=H","DateFormat=P","Fill=—","Direction=H","UseDPDF=Y")</f>
        <v>#NAME?</v>
      </c>
      <c r="BO139" s="2" t="e">
        <f ca="1">_xll.BDH($C$128,"TOTAL_ASSETS_SEQUENTIAL_GROWTH","FQ1 2016","FQ1 2016","Currency=INR","Period=FQ","BEST_FPERIOD_OVERRIDE=FQ","FILING_STATUS=OR","EQY_CONSOLIDATED=Y","Sort=A","Dates=H","DateFormat=P","Fill=—","Direction=H","UseDPDF=Y")</f>
        <v>#NAME?</v>
      </c>
      <c r="BP139" s="2" t="e">
        <f ca="1">_xll.BDH($C$128,"MODIFIED_WORKING_CPTL_SEQ_GRWTH","FQ1 2016","FQ1 2016","Currency=INR","Period=FQ","BEST_FPERIOD_OVERRIDE=FQ","FILING_STATUS=OR","EQY_CONSOLIDATED=Y","Sort=A","Dates=H","DateFormat=P","Fill=—","Direction=H","UseDPDF=Y")</f>
        <v>#NAME?</v>
      </c>
      <c r="BQ139" s="2" t="e">
        <f ca="1">_xll.BDH($C$128,"WORKING_CAPITAL_SEQ_GROWTH","FQ1 2016","FQ1 2016","Currency=INR","Period=FQ","BEST_FPERIOD_OVERRIDE=FQ","FILING_STATUS=OR","EQY_CONSOLIDATED=Y","Sort=A","Dates=H","DateFormat=P","Fill=—","Direction=H","UseDPDF=Y")</f>
        <v>#NAME?</v>
      </c>
      <c r="BR139" s="2" t="e">
        <f ca="1">_xll.BDH($C$128,"ACCOUNTS_PAYABLE_SEQ_GROWTH","FQ1 2016","FQ1 2016","Currency=INR","Period=FQ","BEST_FPERIOD_OVERRIDE=FQ","FILING_STATUS=OR","EQY_CONSOLIDATED=Y","Sort=A","Dates=H","DateFormat=P","Fill=—","Direction=H","UseDPDF=Y")</f>
        <v>#NAME?</v>
      </c>
      <c r="BS139" s="2" t="e">
        <f ca="1">_xll.BDH($C$128,"ST_DEBT_SEQUENTIAL_GROWTH","FQ1 2016","FQ1 2016","Currency=INR","Period=FQ","BEST_FPERIOD_OVERRIDE=FQ","FILING_STATUS=OR","EQY_CONSOLIDATED=Y","Sort=A","Dates=H","DateFormat=P","Fill=—","Direction=H","UseDPDF=Y")</f>
        <v>#NAME?</v>
      </c>
      <c r="BT139" s="2" t="e">
        <f ca="1">_xll.BDH($C$128,"TOTAL_DEBT_SEQUENTIAL_GROWTH","FQ1 2016","FQ1 2016","Currency=INR","Period=FQ","BEST_FPERIOD_OVERRIDE=FQ","FILING_STATUS=OR","EQY_CONSOLIDATED=Y","Sort=A","Dates=H","DateFormat=P","Fill=—","Direction=H","UseDPDF=Y")</f>
        <v>#NAME?</v>
      </c>
      <c r="BU139" s="2" t="e">
        <f ca="1">_xll.BDH($C$128,"TOTAL_EQUITY_SEQUENTIAL_GROWTH","FQ1 2016","FQ1 2016","Currency=INR","Period=FQ","BEST_FPERIOD_OVERRIDE=FQ","FILING_STATUS=OR","EQY_CONSOLIDATED=Y","Sort=A","Dates=H","DateFormat=P","Fill=—","Direction=H","UseDPDF=Y")</f>
        <v>#NAME?</v>
      </c>
      <c r="BV139" s="2" t="e">
        <f ca="1">_xll.BDH($C$128,"TOTAL_CAPITAL_SEQUENTIAL_GROWTH","FQ1 2016","FQ1 2016","Currency=INR","Period=FQ","BEST_FPERIOD_OVERRIDE=FQ","FILING_STATUS=OR","EQY_CONSOLIDATED=Y","Sort=A","Dates=H","DateFormat=P","Fill=—","Direction=H","UseDPDF=Y")</f>
        <v>#NAME?</v>
      </c>
      <c r="BW139" s="2" t="e">
        <f ca="1">_xll.BDH($C$128,"BPS_SEQUENTIAL_GROWTH","FQ1 2016","FQ1 2016","Currency=INR","Period=FQ","BEST_FPERIOD_OVERRIDE=FQ","FILING_STATUS=OR","EQY_CONSOLIDATED=Y","Sort=A","Dates=H","DateFormat=P","Fill=—","Direction=H","UseDPDF=Y")</f>
        <v>#NAME?</v>
      </c>
      <c r="BX139" s="2" t="e">
        <f ca="1">_xll.BDH($C$128,"CFO_SEQUENTIAL_GROWTH","FQ1 2016","FQ1 2016","Currency=INR","Period=FQ","BEST_FPERIOD_OVERRIDE=FQ","FILING_STATUS=OR","EQY_CONSOLIDATED=Y","Sort=A","Dates=H","DateFormat=P","Fill=—","Direction=H","UseDPDF=Y")</f>
        <v>#NAME?</v>
      </c>
      <c r="BY139" s="3" t="e">
        <f ca="1">_xll.BDH($C$128,"SHORT_AND_LONG_TERM_DEBT","FQ1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139" s="3" t="e">
        <f ca="1">_xll.BDH($C$128,"BS_ST_BORROW","FQ1 2016","FQ1 2016","Currency=INR","Period=FQ","BEST_FPERIOD_OVERRIDE=FQ","FILING_STATUS=OR","EQY_CONSOLIDATED=Y","SCALING_FORMAT=MLN","Sort=A","Dates=H","DateFormat=P","Fill=—","Direction=H","UseDPDF=Y")</f>
        <v>#NAME?</v>
      </c>
      <c r="CA139" s="3" t="e">
        <f ca="1">_xll.BDH($C$128,"BS_LT_BORROW","FQ1 2016","FQ1 2016","Currency=INR","Period=FQ","BEST_FPERIOD_OVERRIDE=FQ","FILING_STATUS=OR","EQY_CONSOLIDATED=Y","SCALING_FORMAT=MLN","Sort=A","Dates=H","DateFormat=P","Fill=—","Direction=H","UseDPDF=Y")</f>
        <v>#NAME?</v>
      </c>
      <c r="CB139" s="2" t="e">
        <f ca="1">_xll.BDH($C$128,"TOT_DEBT_TO_EBITDA","FQ1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139" s="2" t="e">
        <f ca="1">_xll.BDH($C$128,"NET_DEBT_TO_EBITDA","FQ1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139" s="2" t="e">
        <f ca="1">_xll.BDH($C$128,"TOTAL_DEBT_TO_EBIT","FQ1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139" s="2" t="e">
        <f ca="1">_xll.BDH($C$128,"NET_DEBT_TO_EBIT","FQ1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139" s="2" t="e">
        <f ca="1">_xll.BDH($C$128,"EBITDA_TO_INTEREST_EXPN","FQ1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139" s="2" t="e">
        <f ca="1">_xll.BDH($C$128,"COM_EQY_TO_TOT_ASSET","FQ1 2016","FQ1 2016","Currency=INR","Period=FQ","BEST_FPERIOD_OVERRIDE=FQ","FILING_STATUS=OR","EQY_CONSOLIDATED=Y","Sort=A","Dates=H","DateFormat=P","Fill=—","Direction=H","UseDPDF=Y")</f>
        <v>#NAME?</v>
      </c>
      <c r="CH139" s="2" t="e">
        <f ca="1">_xll.BDH($C$128,"LT_DEBT_TO_TOT_EQY","FQ1 2016","FQ1 2016","Currency=INR","Period=FQ","BEST_FPERIOD_OVERRIDE=FQ","FILING_STATUS=OR","EQY_CONSOLIDATED=Y","Sort=A","Dates=H","DateFormat=P","Fill=—","Direction=H","UseDPDF=Y")</f>
        <v>#NAME?</v>
      </c>
      <c r="CI139" s="2" t="e">
        <f ca="1">_xll.BDH($C$128,"LT_DEBT_TO_TOT_CAP","FQ1 2016","FQ1 2016","Currency=INR","Period=FQ","BEST_FPERIOD_OVERRIDE=FQ","FILING_STATUS=OR","EQY_CONSOLIDATED=Y","Sort=A","Dates=H","DateFormat=P","Fill=—","Direction=H","UseDPDF=Y")</f>
        <v>#NAME?</v>
      </c>
      <c r="CJ139" s="2" t="e">
        <f ca="1">_xll.BDH($C$128,"LT_DEBT_TO_TOT_ASSET","FQ1 2016","FQ1 2016","Currency=INR","Period=FQ","BEST_FPERIOD_OVERRIDE=FQ","FILING_STATUS=OR","EQY_CONSOLIDATED=Y","Sort=A","Dates=H","DateFormat=P","Fill=—","Direction=H","UseDPDF=Y")</f>
        <v>#NAME?</v>
      </c>
      <c r="CK139" s="2" t="e">
        <f ca="1">_xll.BDH($C$128,"TOT_DEBT_TO_TOT_EQY","FQ1 2016","FQ1 2016","Currency=INR","Period=FQ","BEST_FPERIOD_OVERRIDE=FQ","FILING_STATUS=OR","EQY_CONSOLIDATED=Y","Sort=A","Dates=H","DateFormat=P","Fill=—","Direction=H","UseDPDF=Y")</f>
        <v>#NAME?</v>
      </c>
      <c r="CL139" s="2" t="e">
        <f ca="1">_xll.BDH($C$128,"TOT_DEBT_TO_TOT_CAP","FQ1 2016","FQ1 2016","Currency=INR","Period=FQ","BEST_FPERIOD_OVERRIDE=FQ","FILING_STATUS=OR","EQY_CONSOLIDATED=Y","Sort=A","Dates=H","DateFormat=P","Fill=—","Direction=H","UseDPDF=Y")</f>
        <v>#NAME?</v>
      </c>
      <c r="CM139" s="2" t="e">
        <f ca="1">_xll.BDH($C$128,"TOT_DEBT_TO_TOT_ASSET","FQ1 2016","FQ1 2016","Currency=INR","Period=FQ","BEST_FPERIOD_OVERRIDE=FQ","FILING_STATUS=OR","EQY_CONSOLIDATED=Y","Sort=A","Dates=H","DateFormat=P","Fill=—","Direction=H","UseDPDF=Y")</f>
        <v>#NAME?</v>
      </c>
      <c r="CN139" s="2" t="e">
        <f ca="1">_xll.BDH($C$128,"NET_DEBT_TO_SHRHLDR_EQTY","FQ1 2016","FQ1 2016","Currency=INR","Period=FQ","BEST_FPERIOD_OVERRIDE=FQ","FILING_STATUS=OR","EQY_CONSOLIDATED=Y","Sort=A","Dates=H","DateFormat=P","Fill=—","Direction=H","UseDPDF=Y")</f>
        <v>#NAME?</v>
      </c>
      <c r="CO139" s="2" t="e">
        <f ca="1">_xll.BDH($C$128,"NET_DEBT_%_CAPITAL","FQ1 2016","FQ1 2016","Currency=INR","Period=FQ","BEST_FPERIOD_OVERRIDE=FQ","FILING_STATUS=OR","EQY_CONSOLIDATED=Y","Sort=A","Dates=H","DateFormat=P","Fill=—","Direction=H","UseDPDF=Y")</f>
        <v>#NAME?</v>
      </c>
      <c r="CP139" s="3" t="e">
        <f ca="1">_xll.BDH($C$128,"EBITDA","FQ1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139" s="3" t="e">
        <f ca="1">_xll.BDH($C$128,"EBITDA_AFTER_CAPEX","FQ1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139" s="3" t="e">
        <f ca="1">_xll.BDH($C$128,"IS_OPER_INC","FQ1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139" s="2" t="e">
        <f ca="1">_xll.BDH($C$128,"CASH_RATIO","FQ1 2016","FQ1 2016","Currency=INR","Period=FQ","BEST_FPERIOD_OVERRIDE=FQ","FILING_STATUS=OR","EQY_CONSOLIDATED=Y","Sort=A","Dates=H","DateFormat=P","Fill=—","Direction=H","UseDPDF=Y")</f>
        <v>#NAME?</v>
      </c>
      <c r="CT139" s="2" t="e">
        <f ca="1">_xll.BDH($C$128,"CUR_RATIO","FQ1 2016","FQ1 2016","Currency=INR","Period=FQ","BEST_FPERIOD_OVERRIDE=FQ","FILING_STATUS=OR","EQY_CONSOLIDATED=Y","Sort=A","Dates=H","DateFormat=P","Fill=—","Direction=H","UseDPDF=Y")</f>
        <v>#NAME?</v>
      </c>
      <c r="CU139" s="2" t="e">
        <f ca="1">_xll.BDH($C$128,"QUICK_RATIO","FQ1 2016","FQ1 2016","Currency=INR","Period=FQ","BEST_FPERIOD_OVERRIDE=FQ","FILING_STATUS=OR","EQY_CONSOLIDATED=Y","Sort=A","Dates=H","DateFormat=P","Fill=—","Direction=H","UseDPDF=Y")</f>
        <v>#NAME?</v>
      </c>
      <c r="CV139" s="2" t="e">
        <f ca="1">_xll.BDH($C$128,"ALTMAN_Z_SCORE","FQ1 2016","FQ1 2016","Currency=INR","Period=FQ","BEST_FPERIOD_OVERRIDE=FQ","FILING_STATUS=OR","EQY_CONSOLIDATED=Y","Sort=A","Dates=H","DateFormat=P","Fill=—","Direction=H","UseDPDF=Y")</f>
        <v>#NAME?</v>
      </c>
      <c r="CW139" s="4" t="e">
        <f ca="1">_xll.BDH($C$128,"ACCT_RCV_TURN","FQ1 2016","FQ1 2016","Currency=INR","Period=FQ","BEST_FPERIOD_OVERRIDE=FQ","FILING_STATUS=OR","EQY_CONSOLIDATED=Y","FA_ADJUSTED=GAAP","Sort=A","Dates=H","DateFormat=P","Fill=—","Direction=H","UseDPDF=Y")</f>
        <v>#NAME?</v>
      </c>
      <c r="CX139" s="2" t="e">
        <f ca="1">_xll.BDH($C$128,"ACCT_RCV_DAYS","FQ1 2016","FQ1 2016","Currency=INR","Period=FQ","BEST_FPERIOD_OVERRIDE=FQ","FILING_STATUS=OR","EQY_CONSOLIDATED=Y","FA_ADJUSTED=GAAP","Sort=A","Dates=H","DateFormat=P","Fill=—","Direction=H","UseDPDF=Y")</f>
        <v>#NAME?</v>
      </c>
      <c r="CY139" s="4" t="e">
        <f ca="1">_xll.BDH($C$128,"INVENT_TURN","FQ1 2016","FQ1 2016","Currency=INR","Period=FQ","BEST_FPERIOD_OVERRIDE=FQ","FILING_STATUS=OR","EQY_CONSOLIDATED=Y","FA_ADJUSTED=GAAP","Sort=A","Dates=H","DateFormat=P","Fill=—","Direction=H","UseDPDF=Y")</f>
        <v>#NAME?</v>
      </c>
      <c r="CZ139" s="2" t="e">
        <f ca="1">_xll.BDH($C$128,"INVENT_DAYS","FQ1 2016","FQ1 2016","Currency=INR","Period=FQ","BEST_FPERIOD_OVERRIDE=FQ","FILING_STATUS=OR","EQY_CONSOLIDATED=Y","FA_ADJUSTED=GAAP","Sort=A","Dates=H","DateFormat=P","Fill=—","Direction=H","UseDPDF=Y")</f>
        <v>#NAME?</v>
      </c>
      <c r="DA139" s="4" t="e">
        <f ca="1">_xll.BDH($C$128,"ACCOUNTS_PAYABLE_TURNOVER","FQ1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139" s="2" t="e">
        <f ca="1">_xll.BDH($C$128,"ACCOUNTS_PAYABLE_TURNOVER_DAYS","FQ1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139" s="4" t="e">
        <f ca="1">_xll.BDH($C$128,"CASH_CONVERSION_CYCLE","FQ1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139" s="4" t="e">
        <f ca="1">_xll.BDH($C$128,"INV_TO_CASH_DAYS","FQ1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139" s="5" t="e">
        <f ca="1">_xll.BDH($C$128,"BS_INVENTORIES","FQ1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139" s="3" t="e">
        <f ca="1">_xll.BDH($C$128,"INVTRY_RAW_MATERIALS","FQ1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139" s="3" t="e">
        <f ca="1">_xll.BDH($C$128,"INVTRY_IN_PROGRESS","FQ1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139" s="3" t="e">
        <f ca="1">_xll.BDH($C$128,"INVTRY_FINISHED_GOODS","FQ1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139" s="3" t="e">
        <f ca="1">_xll.BDH($C$128,"BS_OTHER_INV","FQ1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140" spans="1:113" x14ac:dyDescent="0.3">
      <c r="A140" s="6"/>
      <c r="B140" s="6"/>
      <c r="C140" s="6"/>
      <c r="D140" s="6"/>
      <c r="E140" t="s">
        <v>79</v>
      </c>
      <c r="F140" t="e">
        <f ca="1">_xll.BDH($C$128,"RETURN_COM_EQY","FQ2 2016","FQ2 2016","Currency=INR","Period=FQ","BEST_FPERIOD_OVERRIDE=FQ","FILING_STATUS=OR","EQY_CONSOLIDATED=Y","FA_ADJUSTED=GAAP","Sort=A","Dates=H","DateFormat=P","Fill=—","Direction=H","UseDPDF=Y")</f>
        <v>#NAME?</v>
      </c>
      <c r="G140" t="e">
        <f ca="1">_xll.BDH($C$128,"RETURN_ON_ASSET","FQ2 2016","FQ2 2016","Currency=INR","Period=FQ","BEST_FPERIOD_OVERRIDE=FQ","FILING_STATUS=OR","EQY_CONSOLIDATED=Y","FA_ADJUSTED=GAAP","Sort=A","Dates=H","DateFormat=P","Fill=—","Direction=H","UseDPDF=Y")</f>
        <v>#NAME?</v>
      </c>
      <c r="H140" t="e">
        <f ca="1">_xll.BDH($C$128,"RETURN_ON_CAP","FQ2 2016","FQ2 2016","Currency=INR","Period=FQ","BEST_FPERIOD_OVERRIDE=FQ","FILING_STATUS=OR","EQY_CONSOLIDATED=Y","FA_ADJUSTED=GAAP","Sort=A","Dates=H","DateFormat=P","Fill=—","Direction=H","UseDPDF=Y")</f>
        <v>#NAME?</v>
      </c>
      <c r="I140" t="e">
        <f ca="1">_xll.BDH($C$128,"RETURN_ON_INV_CAPITAL","FQ2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140" t="e">
        <f ca="1">_xll.BDH($C$128,"EBITDA_TO_REVENUE","FQ2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140" t="e">
        <f ca="1">_xll.BDH($C$128,"OPER_MARGIN","FQ2 2016","FQ2 2016","Currency=INR","Period=FQ","BEST_FPERIOD_OVERRIDE=FQ","FILING_STATUS=OR","EQY_CONSOLIDATED=Y","FA_ADJUSTED=GAAP","Sort=A","Dates=H","DateFormat=P","Fill=—","Direction=H","UseDPDF=Y")</f>
        <v>#NAME?</v>
      </c>
      <c r="L140" t="e">
        <f ca="1">_xll.BDH($C$128,"INCREMENTAL_OPERATING_MARGIN","FQ2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140" t="e">
        <f ca="1">_xll.BDH($C$128,"PRETAX_INC_TO_NET_SALES","FQ2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140" t="e">
        <f ca="1">_xll.BDH($C$128,"INC_BEF_XO_ITEMS_TO_NET_SALES","FQ2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140" t="e">
        <f ca="1">_xll.BDH($C$128,"PROF_MARGIN","FQ2 2016","FQ2 2016","Currency=INR","Period=FQ","BEST_FPERIOD_OVERRIDE=FQ","FILING_STATUS=OR","EQY_CONSOLIDATED=Y","FA_ADJUSTED=GAAP","Sort=A","Dates=H","DateFormat=P","Fill=—","Direction=H","UseDPDF=Y")</f>
        <v>#NAME?</v>
      </c>
      <c r="P140" t="e">
        <f ca="1">_xll.BDH($C$128,"NET_INCOME_TO_COMMON_MARGIN","FQ2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140" t="e">
        <f ca="1">_xll.BDH($C$128,"EFF_TAX_RATE","FQ2 2016","FQ2 2016","Currency=INR","Period=FQ","BEST_FPERIOD_OVERRIDE=FQ","FILING_STATUS=OR","EQY_CONSOLIDATED=Y","FA_ADJUSTED=GAAP","Sort=A","Dates=H","DateFormat=P","Fill=—","Direction=H","UseDPDF=Y")</f>
        <v>#NAME?</v>
      </c>
      <c r="R140" t="e">
        <f ca="1">_xll.BDH($C$128,"DVD_PAYOUT_RATIO","FQ2 2016","FQ2 2016","Currency=INR","Period=FQ","BEST_FPERIOD_OVERRIDE=FQ","FILING_STATUS=OR","EQY_CONSOLIDATED=Y","FA_ADJUSTED=GAAP","Sort=A","Dates=H","DateFormat=P","Fill=—","Direction=H","UseDPDF=Y")</f>
        <v>#NAME?</v>
      </c>
      <c r="S140" t="e">
        <f ca="1">_xll.BDH($C$128,"SUSTAIN_GROWTH_RT","FQ2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140" s="2" t="e">
        <f ca="1">_xll.BDH($C$128,"SALES_GROWTH","FQ2 2016","FQ2 2016","Currency=INR","Period=FQ","BEST_FPERIOD_OVERRIDE=FQ","FILING_STATUS=OR","EQY_CONSOLIDATED=Y","FA_ADJUSTED=GAAP","Sort=A","Dates=H","DateFormat=P","Fill=—","Direction=H","UseDPDF=Y")</f>
        <v>#NAME?</v>
      </c>
      <c r="U140" s="2" t="e">
        <f ca="1">_xll.BDH($C$128,"EBITDA_GROWTH","FQ2 2016","FQ2 2016","Currency=INR","Period=FQ","BEST_FPERIOD_OVERRIDE=FQ","FILING_STATUS=OR","EQY_CONSOLIDATED=Y","FA_ADJUSTED=GAAP","Sort=A","Dates=H","DateFormat=P","Fill=—","Direction=H","UseDPDF=Y")</f>
        <v>#NAME?</v>
      </c>
      <c r="V140" s="2" t="e">
        <f ca="1">_xll.BDH($C$128,"OPER_INC_GROWTH","FQ2 2016","FQ2 2016","Currency=INR","Period=FQ","BEST_FPERIOD_OVERRIDE=FQ","FILING_STATUS=OR","EQY_CONSOLIDATED=Y","FA_ADJUSTED=GAAP","Sort=A","Dates=H","DateFormat=P","Fill=—","Direction=H","UseDPDF=Y")</f>
        <v>#NAME?</v>
      </c>
      <c r="W140" s="2" t="e">
        <f ca="1">_xll.BDH($C$128,"EARN_FOR_COM_GROWTH","FQ2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140" s="2" t="e">
        <f ca="1">_xll.BDH($C$128,"DILUTED_EPS_AFT_XO_ITEMS_GROWTH","FQ2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140" s="2" t="e">
        <f ca="1">_xll.BDH($C$128,"DIVIDEND_PER_SHARE_1_YEAR_GROWTH","FQ2 2016","FQ2 2016","Currency=INR","Period=FQ","BEST_FPERIOD_OVERRIDE=FQ","FILING_STATUS=OR","EQY_CONSOLIDATED=Y","Sort=A","Dates=H","DateFormat=P","Fill=—","Direction=H","UseDPDF=Y")</f>
        <v>#NAME?</v>
      </c>
      <c r="Z140" s="2" t="e">
        <f ca="1">_xll.BDH($C$128,"ACCOUNTS_RECEIVABLE_GROWTH","FQ2 2016","FQ2 2016","Currency=INR","Period=FQ","BEST_FPERIOD_OVERRIDE=FQ","FILING_STATUS=OR","EQY_CONSOLIDATED=Y","Sort=A","Dates=H","DateFormat=P","Fill=—","Direction=H","UseDPDF=Y")</f>
        <v>#NAME?</v>
      </c>
      <c r="AA140" s="2" t="e">
        <f ca="1">_xll.BDH($C$128,"INVENTORY_GROWTH","FQ2 2016","FQ2 2016","Currency=INR","Period=FQ","BEST_FPERIOD_OVERRIDE=FQ","FILING_STATUS=OR","EQY_CONSOLIDATED=Y","Sort=A","Dates=H","DateFormat=P","Fill=—","Direction=H","UseDPDF=Y")</f>
        <v>#NAME?</v>
      </c>
      <c r="AB140" s="2" t="e">
        <f ca="1">_xll.BDH($C$128,"NET_FIXED_ASSETS_1_YEAR_GROWTH","FQ2 2016","FQ2 2016","Currency=INR","Period=FQ","BEST_FPERIOD_OVERRIDE=FQ","FILING_STATUS=OR","EQY_CONSOLIDATED=Y","Sort=A","Dates=H","DateFormat=P","Fill=—","Direction=H","UseDPDF=Y")</f>
        <v>#NAME?</v>
      </c>
      <c r="AC140" s="2" t="e">
        <f ca="1">_xll.BDH($C$128,"ASSET_GROWTH","FQ2 2016","FQ2 2016","Currency=INR","Period=FQ","BEST_FPERIOD_OVERRIDE=FQ","FILING_STATUS=OR","EQY_CONSOLIDATED=Y","Sort=A","Dates=H","DateFormat=P","Fill=—","Direction=H","UseDPDF=Y")</f>
        <v>#NAME?</v>
      </c>
      <c r="AD140" s="2" t="e">
        <f ca="1">_xll.BDH($C$128,"MODIFIED_WORK_CAP_GROWTH","FQ2 2016","FQ2 2016","Currency=INR","Period=FQ","BEST_FPERIOD_OVERRIDE=FQ","FILING_STATUS=OR","EQY_CONSOLIDATED=Y","Sort=A","Dates=H","DateFormat=P","Fill=—","Direction=H","UseDPDF=Y")</f>
        <v>#NAME?</v>
      </c>
      <c r="AE140" s="2" t="e">
        <f ca="1">_xll.BDH($C$128,"WORK_CAP_GROWTH","FQ2 2016","FQ2 2016","Currency=INR","Period=FQ","BEST_FPERIOD_OVERRIDE=FQ","FILING_STATUS=OR","EQY_CONSOLIDATED=Y","Sort=A","Dates=H","DateFormat=P","Fill=—","Direction=H","UseDPDF=Y")</f>
        <v>#NAME?</v>
      </c>
      <c r="AF140" s="2" t="e">
        <f ca="1">_xll.BDH($C$128,"ACCOUNTS_PAYABLE_GROWTH_1YR","FQ2 2016","FQ2 2016","Currency=INR","Period=FQ","BEST_FPERIOD_OVERRIDE=FQ","FILING_STATUS=OR","EQY_CONSOLIDATED=Y","Sort=A","Dates=H","DateFormat=P","Fill=—","Direction=H","UseDPDF=Y")</f>
        <v>#NAME?</v>
      </c>
      <c r="AG140" s="2" t="e">
        <f ca="1">_xll.BDH($C$128,"SHORT_TERM_DEBT_1_YEAR_GROWTH","FQ2 2016","FQ2 2016","Currency=INR","Period=FQ","BEST_FPERIOD_OVERRIDE=FQ","FILING_STATUS=OR","EQY_CONSOLIDATED=Y","Sort=A","Dates=H","DateFormat=P","Fill=—","Direction=H","UseDPDF=Y")</f>
        <v>#NAME?</v>
      </c>
      <c r="AH140" s="2" t="e">
        <f ca="1">_xll.BDH($C$128,"TOTAL_DEBT_1_YEAR_GROWTH","FQ2 2016","FQ2 2016","Currency=INR","Period=FQ","BEST_FPERIOD_OVERRIDE=FQ","FILING_STATUS=OR","EQY_CONSOLIDATED=Y","Sort=A","Dates=H","DateFormat=P","Fill=—","Direction=H","UseDPDF=Y")</f>
        <v>#NAME?</v>
      </c>
      <c r="AI140" s="2" t="e">
        <f ca="1">_xll.BDH($C$128,"TOTAL_EQUITY_1_YEAR_GROWTH","FQ2 2016","FQ2 2016","Currency=INR","Period=FQ","BEST_FPERIOD_OVERRIDE=FQ","FILING_STATUS=OR","EQY_CONSOLIDATED=Y","Sort=A","Dates=H","DateFormat=P","Fill=—","Direction=H","UseDPDF=Y")</f>
        <v>#NAME?</v>
      </c>
      <c r="AJ140" s="2" t="e">
        <f ca="1">_xll.BDH($C$128,"GROWTH_IN_CAP","FQ2 2016","FQ2 2016","Currency=INR","Period=FQ","BEST_FPERIOD_OVERRIDE=FQ","FILING_STATUS=OR","EQY_CONSOLIDATED=Y","Sort=A","Dates=H","DateFormat=P","Fill=—","Direction=H","UseDPDF=Y")</f>
        <v>#NAME?</v>
      </c>
      <c r="AK140" s="2" t="e">
        <f ca="1">_xll.BDH($C$128,"BVPS_GROWTH","FQ2 2016","FQ2 2016","Currency=INR","Period=FQ","BEST_FPERIOD_OVERRIDE=FQ","FILING_STATUS=OR","EQY_CONSOLIDATED=Y","Sort=A","Dates=H","DateFormat=P","Fill=—","Direction=H","UseDPDF=Y")</f>
        <v>#NAME?</v>
      </c>
      <c r="AL140" s="2" t="e">
        <f ca="1">_xll.BDH($C$128,"CASH_FLOW_GROWTH","FQ2 2016","FQ2 2016","Currency=INR","Period=FQ","BEST_FPERIOD_OVERRIDE=FQ","FILING_STATUS=OR","EQY_CONSOLIDATED=Y","Sort=A","Dates=H","DateFormat=P","Fill=—","Direction=H","UseDPDF=Y")</f>
        <v>#NAME?</v>
      </c>
      <c r="AM140" s="2" t="e">
        <f ca="1">_xll.BDH($C$128,"GEO_GROW_NET_SALES","FQ2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140" s="2" t="e">
        <f ca="1">_xll.BDH($C$128,"GEO_GROW_EBITDA","FQ2 2016","FQ2 2016","Currency=INR","Period=FQ","BEST_FPERIOD_OVERRIDE=FQ","FILING_STATUS=OR","EQY_CONSOLIDATED=Y","FA_ADJUSTED=GAAP","Sort=A","Dates=H","DateFormat=P","Fill=—","Direction=H","UseDPDF=Y")</f>
        <v>#NAME?</v>
      </c>
      <c r="AO140" s="2" t="e">
        <f ca="1">_xll.BDH($C$128,"GEO_GROW_OPER_INC","FQ2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140" s="2" t="e">
        <f ca="1">_xll.BDH($C$128,"NET_INCOME_TO_COMMON_5_YR_GROWTH","FQ2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140" s="2" t="e">
        <f ca="1">_xll.BDH($C$128,"5Y_GEO_GROWTH_DILUTED_EPS","FQ2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140" s="2" t="e">
        <f ca="1">_xll.BDH($C$128,"GEO_GROW_DVD_PER_SH","FQ2 2016","FQ2 2016","Currency=INR","Period=FQ","BEST_FPERIOD_OVERRIDE=FQ","FILING_STATUS=OR","EQY_CONSOLIDATED=Y","Sort=A","Dates=H","DateFormat=P","Fill=—","Direction=H","UseDPDF=Y")</f>
        <v>#NAME?</v>
      </c>
      <c r="AS140" s="2" t="e">
        <f ca="1">_xll.BDH($C$128,"ACCOUNTS_RECEIVABLE_5_YR_GROWTH","FQ2 2016","FQ2 2016","Currency=INR","Period=FQ","BEST_FPERIOD_OVERRIDE=FQ","FILING_STATUS=OR","EQY_CONSOLIDATED=Y","Sort=A","Dates=H","DateFormat=P","Fill=—","Direction=H","UseDPDF=Y")</f>
        <v>#NAME?</v>
      </c>
      <c r="AT140" s="2" t="e">
        <f ca="1">_xll.BDH($C$128,"INVENTORY_5_YEAR_GROWTH","FQ2 2016","FQ2 2016","Currency=INR","Period=FQ","BEST_FPERIOD_OVERRIDE=FQ","FILING_STATUS=OR","EQY_CONSOLIDATED=Y","Sort=A","Dates=H","DateFormat=P","Fill=—","Direction=H","UseDPDF=Y")</f>
        <v>#NAME?</v>
      </c>
      <c r="AU140" s="2" t="e">
        <f ca="1">_xll.BDH($C$128,"NET_FIXED_ASSETS_5_YEAR_GROWTH","FQ2 2016","FQ2 2016","Currency=INR","Period=FQ","BEST_FPERIOD_OVERRIDE=FQ","FILING_STATUS=OR","EQY_CONSOLIDATED=Y","Sort=A","Dates=H","DateFormat=P","Fill=—","Direction=H","UseDPDF=Y")</f>
        <v>#NAME?</v>
      </c>
      <c r="AV140" s="2" t="e">
        <f ca="1">_xll.BDH($C$128,"GEO_GROW_TOT_ASSET","FQ2 2016","FQ2 2016","Currency=INR","Period=FQ","BEST_FPERIOD_OVERRIDE=FQ","FILING_STATUS=OR","EQY_CONSOLIDATED=Y","Sort=A","Dates=H","DateFormat=P","Fill=—","Direction=H","UseDPDF=Y")</f>
        <v>#NAME?</v>
      </c>
      <c r="AW140" s="2" t="e">
        <f ca="1">_xll.BDH($C$128,"MODIFIED_WORKING_CPTL_5YR_GRWTH","FQ2 2016","FQ2 2016","Currency=INR","Period=FQ","BEST_FPERIOD_OVERRIDE=FQ","FILING_STATUS=OR","EQY_CONSOLIDATED=Y","Sort=A","Dates=H","DateFormat=P","Fill=—","Direction=H","UseDPDF=Y")</f>
        <v>#NAME?</v>
      </c>
      <c r="AX140" s="2" t="e">
        <f ca="1">_xll.BDH($C$128,"WORKING_CAPITAL_5_YEAR_GROWTH","FQ2 2016","FQ2 2016","Currency=INR","Period=FQ","BEST_FPERIOD_OVERRIDE=FQ","FILING_STATUS=OR","EQY_CONSOLIDATED=Y","Sort=A","Dates=H","DateFormat=P","Fill=—","Direction=H","UseDPDF=Y")</f>
        <v>#NAME?</v>
      </c>
      <c r="AY140" s="2" t="e">
        <f ca="1">_xll.BDH($C$128,"ACCOUNTS_PAYABLE_5_YEAR_GROWTH","FQ2 2016","FQ2 2016","Currency=INR","Period=FQ","BEST_FPERIOD_OVERRIDE=FQ","FILING_STATUS=OR","EQY_CONSOLIDATED=Y","Sort=A","Dates=H","DateFormat=P","Fill=—","Direction=H","UseDPDF=Y")</f>
        <v>#NAME?</v>
      </c>
      <c r="AZ140" s="2" t="e">
        <f ca="1">_xll.BDH($C$128,"SHORT_TERM_DEBT_5_YEAR_GROWTH","FQ2 2016","FQ2 2016","Currency=INR","Period=FQ","BEST_FPERIOD_OVERRIDE=FQ","FILING_STATUS=OR","EQY_CONSOLIDATED=Y","Sort=A","Dates=H","DateFormat=P","Fill=—","Direction=H","UseDPDF=Y")</f>
        <v>#NAME?</v>
      </c>
      <c r="BA140" s="2" t="e">
        <f ca="1">_xll.BDH($C$128,"TOTAL_DEBT_5_YEAR_GROWTH","FQ2 2016","FQ2 2016","Currency=INR","Period=FQ","BEST_FPERIOD_OVERRIDE=FQ","FILING_STATUS=OR","EQY_CONSOLIDATED=Y","Sort=A","Dates=H","DateFormat=P","Fill=—","Direction=H","UseDPDF=Y")</f>
        <v>#NAME?</v>
      </c>
      <c r="BB140" s="2" t="e">
        <f ca="1">_xll.BDH($C$128,"GEO_GROW_TOT_SHRHLDR_EQY","FQ2 2016","FQ2 2016","Currency=INR","Period=FQ","BEST_FPERIOD_OVERRIDE=FQ","FILING_STATUS=OR","EQY_CONSOLIDATED=Y","Sort=A","Dates=H","DateFormat=P","Fill=—","Direction=H","UseDPDF=Y")</f>
        <v>#NAME?</v>
      </c>
      <c r="BC140" s="2" t="e">
        <f ca="1">_xll.BDH($C$128,"TOTAL_CAPITAL_5_YEAR_GROWTH","FQ2 2016","FQ2 2016","Currency=INR","Period=FQ","BEST_FPERIOD_OVERRIDE=FQ","FILING_STATUS=OR","EQY_CONSOLIDATED=Y","Sort=A","Dates=H","DateFormat=P","Fill=—","Direction=H","UseDPDF=Y")</f>
        <v>#NAME?</v>
      </c>
      <c r="BD140" s="2" t="e">
        <f ca="1">_xll.BDH($C$128,"GEO_GROW_BOOK_VAL","FQ2 2016","FQ2 2016","Currency=INR","Period=FQ","BEST_FPERIOD_OVERRIDE=FQ","FILING_STATUS=OR","EQY_CONSOLIDATED=Y","Sort=A","Dates=H","DateFormat=P","Fill=—","Direction=H","UseDPDF=Y")</f>
        <v>#NAME?</v>
      </c>
      <c r="BE140" s="2" t="e">
        <f ca="1">_xll.BDH($C$128,"GEO_GROW_CASH_OPER_ACT","FQ2 2016","FQ2 2016","Currency=INR","Period=FQ","BEST_FPERIOD_OVERRIDE=FQ","FILING_STATUS=OR","EQY_CONSOLIDATED=Y","Sort=A","Dates=H","DateFormat=P","Fill=—","Direction=H","UseDPDF=Y")</f>
        <v>#NAME?</v>
      </c>
      <c r="BF140" s="2" t="e">
        <f ca="1">_xll.BDH($C$128,"REVENUE_SEQUENTIAL_GROWTH","FQ2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140" s="2" t="e">
        <f ca="1">_xll.BDH($C$128,"EBITDA_SEQUENTIAL_GROWTH","FQ2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140" s="2" t="e">
        <f ca="1">_xll.BDH($C$128,"OPERATING_INCOME_SEQ_GROWTH","FQ2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140" s="2" t="e">
        <f ca="1">_xll.BDH($C$128,"NET_INCOME_TO_COMMON_SEQ_GROWTH","FQ2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140" s="2" t="e">
        <f ca="1">_xll.BDH($C$128,"EPS_DILUTED_SEQUENTIAL_GROWTH","FQ2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140" s="2" t="e">
        <f ca="1">_xll.BDH($C$128,"DPS_SEQUENTIAL_GROWTH","FQ2 2016","FQ2 2016","Currency=INR","Period=FQ","BEST_FPERIOD_OVERRIDE=FQ","FILING_STATUS=OR","EQY_CONSOLIDATED=Y","Sort=A","Dates=H","DateFormat=P","Fill=—","Direction=H","UseDPDF=Y")</f>
        <v>#NAME?</v>
      </c>
      <c r="BL140" s="2" t="e">
        <f ca="1">_xll.BDH($C$128,"ACCOUNTS_RECEIVABLE_SEQ_GROWTH","FQ2 2016","FQ2 2016","Currency=INR","Period=FQ","BEST_FPERIOD_OVERRIDE=FQ","FILING_STATUS=OR","EQY_CONSOLIDATED=Y","Sort=A","Dates=H","DateFormat=P","Fill=—","Direction=H","UseDPDF=Y")</f>
        <v>#NAME?</v>
      </c>
      <c r="BM140" s="2" t="e">
        <f ca="1">_xll.BDH($C$128,"INVENTORY_SEQUENTIAL_GROWTH","FQ2 2016","FQ2 2016","Currency=INR","Period=FQ","BEST_FPERIOD_OVERRIDE=FQ","FILING_STATUS=OR","EQY_CONSOLIDATED=Y","Sort=A","Dates=H","DateFormat=P","Fill=—","Direction=H","UseDPDF=Y")</f>
        <v>#NAME?</v>
      </c>
      <c r="BN140" s="2" t="e">
        <f ca="1">_xll.BDH($C$128,"FIXED_ASSETS_SEQUENTIAL_GROWTH","FQ2 2016","FQ2 2016","Currency=INR","Period=FQ","BEST_FPERIOD_OVERRIDE=FQ","FILING_STATUS=OR","EQY_CONSOLIDATED=Y","Sort=A","Dates=H","DateFormat=P","Fill=—","Direction=H","UseDPDF=Y")</f>
        <v>#NAME?</v>
      </c>
      <c r="BO140" s="2" t="e">
        <f ca="1">_xll.BDH($C$128,"TOTAL_ASSETS_SEQUENTIAL_GROWTH","FQ2 2016","FQ2 2016","Currency=INR","Period=FQ","BEST_FPERIOD_OVERRIDE=FQ","FILING_STATUS=OR","EQY_CONSOLIDATED=Y","Sort=A","Dates=H","DateFormat=P","Fill=—","Direction=H","UseDPDF=Y")</f>
        <v>#NAME?</v>
      </c>
      <c r="BP140" s="2" t="e">
        <f ca="1">_xll.BDH($C$128,"MODIFIED_WORKING_CPTL_SEQ_GRWTH","FQ2 2016","FQ2 2016","Currency=INR","Period=FQ","BEST_FPERIOD_OVERRIDE=FQ","FILING_STATUS=OR","EQY_CONSOLIDATED=Y","Sort=A","Dates=H","DateFormat=P","Fill=—","Direction=H","UseDPDF=Y")</f>
        <v>#NAME?</v>
      </c>
      <c r="BQ140" s="2" t="e">
        <f ca="1">_xll.BDH($C$128,"WORKING_CAPITAL_SEQ_GROWTH","FQ2 2016","FQ2 2016","Currency=INR","Period=FQ","BEST_FPERIOD_OVERRIDE=FQ","FILING_STATUS=OR","EQY_CONSOLIDATED=Y","Sort=A","Dates=H","DateFormat=P","Fill=—","Direction=H","UseDPDF=Y")</f>
        <v>#NAME?</v>
      </c>
      <c r="BR140" s="2" t="e">
        <f ca="1">_xll.BDH($C$128,"ACCOUNTS_PAYABLE_SEQ_GROWTH","FQ2 2016","FQ2 2016","Currency=INR","Period=FQ","BEST_FPERIOD_OVERRIDE=FQ","FILING_STATUS=OR","EQY_CONSOLIDATED=Y","Sort=A","Dates=H","DateFormat=P","Fill=—","Direction=H","UseDPDF=Y")</f>
        <v>#NAME?</v>
      </c>
      <c r="BS140" s="2" t="e">
        <f ca="1">_xll.BDH($C$128,"ST_DEBT_SEQUENTIAL_GROWTH","FQ2 2016","FQ2 2016","Currency=INR","Period=FQ","BEST_FPERIOD_OVERRIDE=FQ","FILING_STATUS=OR","EQY_CONSOLIDATED=Y","Sort=A","Dates=H","DateFormat=P","Fill=—","Direction=H","UseDPDF=Y")</f>
        <v>#NAME?</v>
      </c>
      <c r="BT140" s="2" t="e">
        <f ca="1">_xll.BDH($C$128,"TOTAL_DEBT_SEQUENTIAL_GROWTH","FQ2 2016","FQ2 2016","Currency=INR","Period=FQ","BEST_FPERIOD_OVERRIDE=FQ","FILING_STATUS=OR","EQY_CONSOLIDATED=Y","Sort=A","Dates=H","DateFormat=P","Fill=—","Direction=H","UseDPDF=Y")</f>
        <v>#NAME?</v>
      </c>
      <c r="BU140" s="2" t="e">
        <f ca="1">_xll.BDH($C$128,"TOTAL_EQUITY_SEQUENTIAL_GROWTH","FQ2 2016","FQ2 2016","Currency=INR","Period=FQ","BEST_FPERIOD_OVERRIDE=FQ","FILING_STATUS=OR","EQY_CONSOLIDATED=Y","Sort=A","Dates=H","DateFormat=P","Fill=—","Direction=H","UseDPDF=Y")</f>
        <v>#NAME?</v>
      </c>
      <c r="BV140" s="2" t="e">
        <f ca="1">_xll.BDH($C$128,"TOTAL_CAPITAL_SEQUENTIAL_GROWTH","FQ2 2016","FQ2 2016","Currency=INR","Period=FQ","BEST_FPERIOD_OVERRIDE=FQ","FILING_STATUS=OR","EQY_CONSOLIDATED=Y","Sort=A","Dates=H","DateFormat=P","Fill=—","Direction=H","UseDPDF=Y")</f>
        <v>#NAME?</v>
      </c>
      <c r="BW140" s="2" t="e">
        <f ca="1">_xll.BDH($C$128,"BPS_SEQUENTIAL_GROWTH","FQ2 2016","FQ2 2016","Currency=INR","Period=FQ","BEST_FPERIOD_OVERRIDE=FQ","FILING_STATUS=OR","EQY_CONSOLIDATED=Y","Sort=A","Dates=H","DateFormat=P","Fill=—","Direction=H","UseDPDF=Y")</f>
        <v>#NAME?</v>
      </c>
      <c r="BX140" s="2" t="e">
        <f ca="1">_xll.BDH($C$128,"CFO_SEQUENTIAL_GROWTH","FQ2 2016","FQ2 2016","Currency=INR","Period=FQ","BEST_FPERIOD_OVERRIDE=FQ","FILING_STATUS=OR","EQY_CONSOLIDATED=Y","Sort=A","Dates=H","DateFormat=P","Fill=—","Direction=H","UseDPDF=Y")</f>
        <v>#NAME?</v>
      </c>
      <c r="BY140" s="3" t="e">
        <f ca="1">_xll.BDH($C$128,"SHORT_AND_LONG_TERM_DEBT","FQ2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140" s="3" t="e">
        <f ca="1">_xll.BDH($C$128,"BS_ST_BORROW","FQ2 2016","FQ2 2016","Currency=INR","Period=FQ","BEST_FPERIOD_OVERRIDE=FQ","FILING_STATUS=OR","EQY_CONSOLIDATED=Y","SCALING_FORMAT=MLN","Sort=A","Dates=H","DateFormat=P","Fill=—","Direction=H","UseDPDF=Y")</f>
        <v>#NAME?</v>
      </c>
      <c r="CA140" s="3" t="e">
        <f ca="1">_xll.BDH($C$128,"BS_LT_BORROW","FQ2 2016","FQ2 2016","Currency=INR","Period=FQ","BEST_FPERIOD_OVERRIDE=FQ","FILING_STATUS=OR","EQY_CONSOLIDATED=Y","SCALING_FORMAT=MLN","Sort=A","Dates=H","DateFormat=P","Fill=—","Direction=H","UseDPDF=Y")</f>
        <v>#NAME?</v>
      </c>
      <c r="CB140" s="2" t="e">
        <f ca="1">_xll.BDH($C$128,"TOT_DEBT_TO_EBITDA","FQ2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140" s="2" t="e">
        <f ca="1">_xll.BDH($C$128,"NET_DEBT_TO_EBITDA","FQ2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140" s="2" t="e">
        <f ca="1">_xll.BDH($C$128,"TOTAL_DEBT_TO_EBIT","FQ2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140" s="2" t="e">
        <f ca="1">_xll.BDH($C$128,"NET_DEBT_TO_EBIT","FQ2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140" s="2" t="e">
        <f ca="1">_xll.BDH($C$128,"EBITDA_TO_INTEREST_EXPN","FQ2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140" s="2" t="e">
        <f ca="1">_xll.BDH($C$128,"COM_EQY_TO_TOT_ASSET","FQ2 2016","FQ2 2016","Currency=INR","Period=FQ","BEST_FPERIOD_OVERRIDE=FQ","FILING_STATUS=OR","EQY_CONSOLIDATED=Y","Sort=A","Dates=H","DateFormat=P","Fill=—","Direction=H","UseDPDF=Y")</f>
        <v>#NAME?</v>
      </c>
      <c r="CH140" s="2" t="e">
        <f ca="1">_xll.BDH($C$128,"LT_DEBT_TO_TOT_EQY","FQ2 2016","FQ2 2016","Currency=INR","Period=FQ","BEST_FPERIOD_OVERRIDE=FQ","FILING_STATUS=OR","EQY_CONSOLIDATED=Y","Sort=A","Dates=H","DateFormat=P","Fill=—","Direction=H","UseDPDF=Y")</f>
        <v>#NAME?</v>
      </c>
      <c r="CI140" s="2" t="e">
        <f ca="1">_xll.BDH($C$128,"LT_DEBT_TO_TOT_CAP","FQ2 2016","FQ2 2016","Currency=INR","Period=FQ","BEST_FPERIOD_OVERRIDE=FQ","FILING_STATUS=OR","EQY_CONSOLIDATED=Y","Sort=A","Dates=H","DateFormat=P","Fill=—","Direction=H","UseDPDF=Y")</f>
        <v>#NAME?</v>
      </c>
      <c r="CJ140" s="2" t="e">
        <f ca="1">_xll.BDH($C$128,"LT_DEBT_TO_TOT_ASSET","FQ2 2016","FQ2 2016","Currency=INR","Period=FQ","BEST_FPERIOD_OVERRIDE=FQ","FILING_STATUS=OR","EQY_CONSOLIDATED=Y","Sort=A","Dates=H","DateFormat=P","Fill=—","Direction=H","UseDPDF=Y")</f>
        <v>#NAME?</v>
      </c>
      <c r="CK140" s="2" t="e">
        <f ca="1">_xll.BDH($C$128,"TOT_DEBT_TO_TOT_EQY","FQ2 2016","FQ2 2016","Currency=INR","Period=FQ","BEST_FPERIOD_OVERRIDE=FQ","FILING_STATUS=OR","EQY_CONSOLIDATED=Y","Sort=A","Dates=H","DateFormat=P","Fill=—","Direction=H","UseDPDF=Y")</f>
        <v>#NAME?</v>
      </c>
      <c r="CL140" s="2" t="e">
        <f ca="1">_xll.BDH($C$128,"TOT_DEBT_TO_TOT_CAP","FQ2 2016","FQ2 2016","Currency=INR","Period=FQ","BEST_FPERIOD_OVERRIDE=FQ","FILING_STATUS=OR","EQY_CONSOLIDATED=Y","Sort=A","Dates=H","DateFormat=P","Fill=—","Direction=H","UseDPDF=Y")</f>
        <v>#NAME?</v>
      </c>
      <c r="CM140" s="2" t="e">
        <f ca="1">_xll.BDH($C$128,"TOT_DEBT_TO_TOT_ASSET","FQ2 2016","FQ2 2016","Currency=INR","Period=FQ","BEST_FPERIOD_OVERRIDE=FQ","FILING_STATUS=OR","EQY_CONSOLIDATED=Y","Sort=A","Dates=H","DateFormat=P","Fill=—","Direction=H","UseDPDF=Y")</f>
        <v>#NAME?</v>
      </c>
      <c r="CN140" s="2" t="e">
        <f ca="1">_xll.BDH($C$128,"NET_DEBT_TO_SHRHLDR_EQTY","FQ2 2016","FQ2 2016","Currency=INR","Period=FQ","BEST_FPERIOD_OVERRIDE=FQ","FILING_STATUS=OR","EQY_CONSOLIDATED=Y","Sort=A","Dates=H","DateFormat=P","Fill=—","Direction=H","UseDPDF=Y")</f>
        <v>#NAME?</v>
      </c>
      <c r="CO140" s="2" t="e">
        <f ca="1">_xll.BDH($C$128,"NET_DEBT_%_CAPITAL","FQ2 2016","FQ2 2016","Currency=INR","Period=FQ","BEST_FPERIOD_OVERRIDE=FQ","FILING_STATUS=OR","EQY_CONSOLIDATED=Y","Sort=A","Dates=H","DateFormat=P","Fill=—","Direction=H","UseDPDF=Y")</f>
        <v>#NAME?</v>
      </c>
      <c r="CP140" s="3" t="e">
        <f ca="1">_xll.BDH($C$128,"EBITDA","FQ2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140" s="3" t="e">
        <f ca="1">_xll.BDH($C$128,"EBITDA_AFTER_CAPEX","FQ2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140" s="3" t="e">
        <f ca="1">_xll.BDH($C$128,"IS_OPER_INC","FQ2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140" s="2" t="e">
        <f ca="1">_xll.BDH($C$128,"CASH_RATIO","FQ2 2016","FQ2 2016","Currency=INR","Period=FQ","BEST_FPERIOD_OVERRIDE=FQ","FILING_STATUS=OR","EQY_CONSOLIDATED=Y","Sort=A","Dates=H","DateFormat=P","Fill=—","Direction=H","UseDPDF=Y")</f>
        <v>#NAME?</v>
      </c>
      <c r="CT140" s="2" t="e">
        <f ca="1">_xll.BDH($C$128,"CUR_RATIO","FQ2 2016","FQ2 2016","Currency=INR","Period=FQ","BEST_FPERIOD_OVERRIDE=FQ","FILING_STATUS=OR","EQY_CONSOLIDATED=Y","Sort=A","Dates=H","DateFormat=P","Fill=—","Direction=H","UseDPDF=Y")</f>
        <v>#NAME?</v>
      </c>
      <c r="CU140" s="2" t="e">
        <f ca="1">_xll.BDH($C$128,"QUICK_RATIO","FQ2 2016","FQ2 2016","Currency=INR","Period=FQ","BEST_FPERIOD_OVERRIDE=FQ","FILING_STATUS=OR","EQY_CONSOLIDATED=Y","Sort=A","Dates=H","DateFormat=P","Fill=—","Direction=H","UseDPDF=Y")</f>
        <v>#NAME?</v>
      </c>
      <c r="CV140" s="2" t="e">
        <f ca="1">_xll.BDH($C$128,"ALTMAN_Z_SCORE","FQ2 2016","FQ2 2016","Currency=INR","Period=FQ","BEST_FPERIOD_OVERRIDE=FQ","FILING_STATUS=OR","EQY_CONSOLIDATED=Y","Sort=A","Dates=H","DateFormat=P","Fill=—","Direction=H","UseDPDF=Y")</f>
        <v>#NAME?</v>
      </c>
      <c r="CW140" s="4" t="e">
        <f ca="1">_xll.BDH($C$128,"ACCT_RCV_TURN","FQ2 2016","FQ2 2016","Currency=INR","Period=FQ","BEST_FPERIOD_OVERRIDE=FQ","FILING_STATUS=OR","EQY_CONSOLIDATED=Y","FA_ADJUSTED=GAAP","Sort=A","Dates=H","DateFormat=P","Fill=—","Direction=H","UseDPDF=Y")</f>
        <v>#NAME?</v>
      </c>
      <c r="CX140" s="2" t="e">
        <f ca="1">_xll.BDH($C$128,"ACCT_RCV_DAYS","FQ2 2016","FQ2 2016","Currency=INR","Period=FQ","BEST_FPERIOD_OVERRIDE=FQ","FILING_STATUS=OR","EQY_CONSOLIDATED=Y","FA_ADJUSTED=GAAP","Sort=A","Dates=H","DateFormat=P","Fill=—","Direction=H","UseDPDF=Y")</f>
        <v>#NAME?</v>
      </c>
      <c r="CY140" s="4" t="e">
        <f ca="1">_xll.BDH($C$128,"INVENT_TURN","FQ2 2016","FQ2 2016","Currency=INR","Period=FQ","BEST_FPERIOD_OVERRIDE=FQ","FILING_STATUS=OR","EQY_CONSOLIDATED=Y","FA_ADJUSTED=GAAP","Sort=A","Dates=H","DateFormat=P","Fill=—","Direction=H","UseDPDF=Y")</f>
        <v>#NAME?</v>
      </c>
      <c r="CZ140" s="2" t="e">
        <f ca="1">_xll.BDH($C$128,"INVENT_DAYS","FQ2 2016","FQ2 2016","Currency=INR","Period=FQ","BEST_FPERIOD_OVERRIDE=FQ","FILING_STATUS=OR","EQY_CONSOLIDATED=Y","FA_ADJUSTED=GAAP","Sort=A","Dates=H","DateFormat=P","Fill=—","Direction=H","UseDPDF=Y")</f>
        <v>#NAME?</v>
      </c>
      <c r="DA140" s="4" t="e">
        <f ca="1">_xll.BDH($C$128,"ACCOUNTS_PAYABLE_TURNOVER","FQ2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140" s="2" t="e">
        <f ca="1">_xll.BDH($C$128,"ACCOUNTS_PAYABLE_TURNOVER_DAYS","FQ2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140" s="4" t="e">
        <f ca="1">_xll.BDH($C$128,"CASH_CONVERSION_CYCLE","FQ2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140" s="4" t="e">
        <f ca="1">_xll.BDH($C$128,"INV_TO_CASH_DAYS","FQ2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140" s="5" t="e">
        <f ca="1">_xll.BDH($C$128,"BS_INVENTORIES","FQ2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140" s="3" t="e">
        <f ca="1">_xll.BDH($C$128,"INVTRY_RAW_MATERIALS","FQ2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140" s="3" t="e">
        <f ca="1">_xll.BDH($C$128,"INVTRY_IN_PROGRESS","FQ2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140" s="3" t="e">
        <f ca="1">_xll.BDH($C$128,"INVTRY_FINISHED_GOODS","FQ2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140" s="3" t="e">
        <f ca="1">_xll.BDH($C$128,"BS_OTHER_INV","FQ2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141" spans="1:113" x14ac:dyDescent="0.3">
      <c r="A141" s="6"/>
      <c r="B141" s="6"/>
      <c r="C141" s="6"/>
      <c r="D141" s="6"/>
      <c r="E141" t="s">
        <v>80</v>
      </c>
      <c r="F141" t="e">
        <f ca="1">_xll.BDH($C$128,"RETURN_COM_EQY","FQ3 2016","FQ3 2016","Currency=INR","Period=FQ","BEST_FPERIOD_OVERRIDE=FQ","FILING_STATUS=OR","EQY_CONSOLIDATED=Y","FA_ADJUSTED=GAAP","Sort=A","Dates=H","DateFormat=P","Fill=—","Direction=H","UseDPDF=Y")</f>
        <v>#NAME?</v>
      </c>
      <c r="G141" t="e">
        <f ca="1">_xll.BDH($C$128,"RETURN_ON_ASSET","FQ3 2016","FQ3 2016","Currency=INR","Period=FQ","BEST_FPERIOD_OVERRIDE=FQ","FILING_STATUS=OR","EQY_CONSOLIDATED=Y","FA_ADJUSTED=GAAP","Sort=A","Dates=H","DateFormat=P","Fill=—","Direction=H","UseDPDF=Y")</f>
        <v>#NAME?</v>
      </c>
      <c r="H141" t="e">
        <f ca="1">_xll.BDH($C$128,"RETURN_ON_CAP","FQ3 2016","FQ3 2016","Currency=INR","Period=FQ","BEST_FPERIOD_OVERRIDE=FQ","FILING_STATUS=OR","EQY_CONSOLIDATED=Y","FA_ADJUSTED=GAAP","Sort=A","Dates=H","DateFormat=P","Fill=—","Direction=H","UseDPDF=Y")</f>
        <v>#NAME?</v>
      </c>
      <c r="I141" t="e">
        <f ca="1">_xll.BDH($C$128,"RETURN_ON_INV_CAPITAL","FQ3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141" t="e">
        <f ca="1">_xll.BDH($C$128,"EBITDA_TO_REVENUE","FQ3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141" t="e">
        <f ca="1">_xll.BDH($C$128,"OPER_MARGIN","FQ3 2016","FQ3 2016","Currency=INR","Period=FQ","BEST_FPERIOD_OVERRIDE=FQ","FILING_STATUS=OR","EQY_CONSOLIDATED=Y","FA_ADJUSTED=GAAP","Sort=A","Dates=H","DateFormat=P","Fill=—","Direction=H","UseDPDF=Y")</f>
        <v>#NAME?</v>
      </c>
      <c r="L141" t="e">
        <f ca="1">_xll.BDH($C$128,"INCREMENTAL_OPERATING_MARGIN","FQ3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141" t="e">
        <f ca="1">_xll.BDH($C$128,"PRETAX_INC_TO_NET_SALES","FQ3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141" t="e">
        <f ca="1">_xll.BDH($C$128,"INC_BEF_XO_ITEMS_TO_NET_SALES","FQ3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141" t="e">
        <f ca="1">_xll.BDH($C$128,"PROF_MARGIN","FQ3 2016","FQ3 2016","Currency=INR","Period=FQ","BEST_FPERIOD_OVERRIDE=FQ","FILING_STATUS=OR","EQY_CONSOLIDATED=Y","FA_ADJUSTED=GAAP","Sort=A","Dates=H","DateFormat=P","Fill=—","Direction=H","UseDPDF=Y")</f>
        <v>#NAME?</v>
      </c>
      <c r="P141" t="e">
        <f ca="1">_xll.BDH($C$128,"NET_INCOME_TO_COMMON_MARGIN","FQ3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141" t="e">
        <f ca="1">_xll.BDH($C$128,"EFF_TAX_RATE","FQ3 2016","FQ3 2016","Currency=INR","Period=FQ","BEST_FPERIOD_OVERRIDE=FQ","FILING_STATUS=OR","EQY_CONSOLIDATED=Y","FA_ADJUSTED=GAAP","Sort=A","Dates=H","DateFormat=P","Fill=—","Direction=H","UseDPDF=Y")</f>
        <v>#NAME?</v>
      </c>
      <c r="R141" t="e">
        <f ca="1">_xll.BDH($C$128,"DVD_PAYOUT_RATIO","FQ3 2016","FQ3 2016","Currency=INR","Period=FQ","BEST_FPERIOD_OVERRIDE=FQ","FILING_STATUS=OR","EQY_CONSOLIDATED=Y","FA_ADJUSTED=GAAP","Sort=A","Dates=H","DateFormat=P","Fill=—","Direction=H","UseDPDF=Y")</f>
        <v>#NAME?</v>
      </c>
      <c r="S141" t="e">
        <f ca="1">_xll.BDH($C$128,"SUSTAIN_GROWTH_RT","FQ3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141" s="2" t="e">
        <f ca="1">_xll.BDH($C$128,"SALES_GROWTH","FQ3 2016","FQ3 2016","Currency=INR","Period=FQ","BEST_FPERIOD_OVERRIDE=FQ","FILING_STATUS=OR","EQY_CONSOLIDATED=Y","FA_ADJUSTED=GAAP","Sort=A","Dates=H","DateFormat=P","Fill=—","Direction=H","UseDPDF=Y")</f>
        <v>#NAME?</v>
      </c>
      <c r="U141" s="2" t="e">
        <f ca="1">_xll.BDH($C$128,"EBITDA_GROWTH","FQ3 2016","FQ3 2016","Currency=INR","Period=FQ","BEST_FPERIOD_OVERRIDE=FQ","FILING_STATUS=OR","EQY_CONSOLIDATED=Y","FA_ADJUSTED=GAAP","Sort=A","Dates=H","DateFormat=P","Fill=—","Direction=H","UseDPDF=Y")</f>
        <v>#NAME?</v>
      </c>
      <c r="V141" s="2" t="e">
        <f ca="1">_xll.BDH($C$128,"OPER_INC_GROWTH","FQ3 2016","FQ3 2016","Currency=INR","Period=FQ","BEST_FPERIOD_OVERRIDE=FQ","FILING_STATUS=OR","EQY_CONSOLIDATED=Y","FA_ADJUSTED=GAAP","Sort=A","Dates=H","DateFormat=P","Fill=—","Direction=H","UseDPDF=Y")</f>
        <v>#NAME?</v>
      </c>
      <c r="W141" s="2" t="e">
        <f ca="1">_xll.BDH($C$128,"EARN_FOR_COM_GROWTH","FQ3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141" s="2" t="e">
        <f ca="1">_xll.BDH($C$128,"DILUTED_EPS_AFT_XO_ITEMS_GROWTH","FQ3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141" s="2" t="e">
        <f ca="1">_xll.BDH($C$128,"DIVIDEND_PER_SHARE_1_YEAR_GROWTH","FQ3 2016","FQ3 2016","Currency=INR","Period=FQ","BEST_FPERIOD_OVERRIDE=FQ","FILING_STATUS=OR","EQY_CONSOLIDATED=Y","Sort=A","Dates=H","DateFormat=P","Fill=—","Direction=H","UseDPDF=Y")</f>
        <v>#NAME?</v>
      </c>
      <c r="Z141" s="2" t="e">
        <f ca="1">_xll.BDH($C$128,"ACCOUNTS_RECEIVABLE_GROWTH","FQ3 2016","FQ3 2016","Currency=INR","Period=FQ","BEST_FPERIOD_OVERRIDE=FQ","FILING_STATUS=OR","EQY_CONSOLIDATED=Y","Sort=A","Dates=H","DateFormat=P","Fill=—","Direction=H","UseDPDF=Y")</f>
        <v>#NAME?</v>
      </c>
      <c r="AA141" s="2" t="e">
        <f ca="1">_xll.BDH($C$128,"INVENTORY_GROWTH","FQ3 2016","FQ3 2016","Currency=INR","Period=FQ","BEST_FPERIOD_OVERRIDE=FQ","FILING_STATUS=OR","EQY_CONSOLIDATED=Y","Sort=A","Dates=H","DateFormat=P","Fill=—","Direction=H","UseDPDF=Y")</f>
        <v>#NAME?</v>
      </c>
      <c r="AB141" s="2" t="e">
        <f ca="1">_xll.BDH($C$128,"NET_FIXED_ASSETS_1_YEAR_GROWTH","FQ3 2016","FQ3 2016","Currency=INR","Period=FQ","BEST_FPERIOD_OVERRIDE=FQ","FILING_STATUS=OR","EQY_CONSOLIDATED=Y","Sort=A","Dates=H","DateFormat=P","Fill=—","Direction=H","UseDPDF=Y")</f>
        <v>#NAME?</v>
      </c>
      <c r="AC141" s="2" t="e">
        <f ca="1">_xll.BDH($C$128,"ASSET_GROWTH","FQ3 2016","FQ3 2016","Currency=INR","Period=FQ","BEST_FPERIOD_OVERRIDE=FQ","FILING_STATUS=OR","EQY_CONSOLIDATED=Y","Sort=A","Dates=H","DateFormat=P","Fill=—","Direction=H","UseDPDF=Y")</f>
        <v>#NAME?</v>
      </c>
      <c r="AD141" s="2" t="e">
        <f ca="1">_xll.BDH($C$128,"MODIFIED_WORK_CAP_GROWTH","FQ3 2016","FQ3 2016","Currency=INR","Period=FQ","BEST_FPERIOD_OVERRIDE=FQ","FILING_STATUS=OR","EQY_CONSOLIDATED=Y","Sort=A","Dates=H","DateFormat=P","Fill=—","Direction=H","UseDPDF=Y")</f>
        <v>#NAME?</v>
      </c>
      <c r="AE141" s="2" t="e">
        <f ca="1">_xll.BDH($C$128,"WORK_CAP_GROWTH","FQ3 2016","FQ3 2016","Currency=INR","Period=FQ","BEST_FPERIOD_OVERRIDE=FQ","FILING_STATUS=OR","EQY_CONSOLIDATED=Y","Sort=A","Dates=H","DateFormat=P","Fill=—","Direction=H","UseDPDF=Y")</f>
        <v>#NAME?</v>
      </c>
      <c r="AF141" s="2" t="e">
        <f ca="1">_xll.BDH($C$128,"ACCOUNTS_PAYABLE_GROWTH_1YR","FQ3 2016","FQ3 2016","Currency=INR","Period=FQ","BEST_FPERIOD_OVERRIDE=FQ","FILING_STATUS=OR","EQY_CONSOLIDATED=Y","Sort=A","Dates=H","DateFormat=P","Fill=—","Direction=H","UseDPDF=Y")</f>
        <v>#NAME?</v>
      </c>
      <c r="AG141" s="2" t="e">
        <f ca="1">_xll.BDH($C$128,"SHORT_TERM_DEBT_1_YEAR_GROWTH","FQ3 2016","FQ3 2016","Currency=INR","Period=FQ","BEST_FPERIOD_OVERRIDE=FQ","FILING_STATUS=OR","EQY_CONSOLIDATED=Y","Sort=A","Dates=H","DateFormat=P","Fill=—","Direction=H","UseDPDF=Y")</f>
        <v>#NAME?</v>
      </c>
      <c r="AH141" s="2" t="e">
        <f ca="1">_xll.BDH($C$128,"TOTAL_DEBT_1_YEAR_GROWTH","FQ3 2016","FQ3 2016","Currency=INR","Period=FQ","BEST_FPERIOD_OVERRIDE=FQ","FILING_STATUS=OR","EQY_CONSOLIDATED=Y","Sort=A","Dates=H","DateFormat=P","Fill=—","Direction=H","UseDPDF=Y")</f>
        <v>#NAME?</v>
      </c>
      <c r="AI141" s="2" t="e">
        <f ca="1">_xll.BDH($C$128,"TOTAL_EQUITY_1_YEAR_GROWTH","FQ3 2016","FQ3 2016","Currency=INR","Period=FQ","BEST_FPERIOD_OVERRIDE=FQ","FILING_STATUS=OR","EQY_CONSOLIDATED=Y","Sort=A","Dates=H","DateFormat=P","Fill=—","Direction=H","UseDPDF=Y")</f>
        <v>#NAME?</v>
      </c>
      <c r="AJ141" s="2" t="e">
        <f ca="1">_xll.BDH($C$128,"GROWTH_IN_CAP","FQ3 2016","FQ3 2016","Currency=INR","Period=FQ","BEST_FPERIOD_OVERRIDE=FQ","FILING_STATUS=OR","EQY_CONSOLIDATED=Y","Sort=A","Dates=H","DateFormat=P","Fill=—","Direction=H","UseDPDF=Y")</f>
        <v>#NAME?</v>
      </c>
      <c r="AK141" s="2" t="e">
        <f ca="1">_xll.BDH($C$128,"BVPS_GROWTH","FQ3 2016","FQ3 2016","Currency=INR","Period=FQ","BEST_FPERIOD_OVERRIDE=FQ","FILING_STATUS=OR","EQY_CONSOLIDATED=Y","Sort=A","Dates=H","DateFormat=P","Fill=—","Direction=H","UseDPDF=Y")</f>
        <v>#NAME?</v>
      </c>
      <c r="AL141" s="2" t="e">
        <f ca="1">_xll.BDH($C$128,"CASH_FLOW_GROWTH","FQ3 2016","FQ3 2016","Currency=INR","Period=FQ","BEST_FPERIOD_OVERRIDE=FQ","FILING_STATUS=OR","EQY_CONSOLIDATED=Y","Sort=A","Dates=H","DateFormat=P","Fill=—","Direction=H","UseDPDF=Y")</f>
        <v>#NAME?</v>
      </c>
      <c r="AM141" s="2" t="e">
        <f ca="1">_xll.BDH($C$128,"GEO_GROW_NET_SALES","FQ3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141" s="2" t="e">
        <f ca="1">_xll.BDH($C$128,"GEO_GROW_EBITDA","FQ3 2016","FQ3 2016","Currency=INR","Period=FQ","BEST_FPERIOD_OVERRIDE=FQ","FILING_STATUS=OR","EQY_CONSOLIDATED=Y","FA_ADJUSTED=GAAP","Sort=A","Dates=H","DateFormat=P","Fill=—","Direction=H","UseDPDF=Y")</f>
        <v>#NAME?</v>
      </c>
      <c r="AO141" s="2" t="e">
        <f ca="1">_xll.BDH($C$128,"GEO_GROW_OPER_INC","FQ3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141" s="2" t="e">
        <f ca="1">_xll.BDH($C$128,"NET_INCOME_TO_COMMON_5_YR_GROWTH","FQ3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141" s="2" t="e">
        <f ca="1">_xll.BDH($C$128,"5Y_GEO_GROWTH_DILUTED_EPS","FQ3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141" s="2" t="e">
        <f ca="1">_xll.BDH($C$128,"GEO_GROW_DVD_PER_SH","FQ3 2016","FQ3 2016","Currency=INR","Period=FQ","BEST_FPERIOD_OVERRIDE=FQ","FILING_STATUS=OR","EQY_CONSOLIDATED=Y","Sort=A","Dates=H","DateFormat=P","Fill=—","Direction=H","UseDPDF=Y")</f>
        <v>#NAME?</v>
      </c>
      <c r="AS141" s="2" t="e">
        <f ca="1">_xll.BDH($C$128,"ACCOUNTS_RECEIVABLE_5_YR_GROWTH","FQ3 2016","FQ3 2016","Currency=INR","Period=FQ","BEST_FPERIOD_OVERRIDE=FQ","FILING_STATUS=OR","EQY_CONSOLIDATED=Y","Sort=A","Dates=H","DateFormat=P","Fill=—","Direction=H","UseDPDF=Y")</f>
        <v>#NAME?</v>
      </c>
      <c r="AT141" s="2" t="e">
        <f ca="1">_xll.BDH($C$128,"INVENTORY_5_YEAR_GROWTH","FQ3 2016","FQ3 2016","Currency=INR","Period=FQ","BEST_FPERIOD_OVERRIDE=FQ","FILING_STATUS=OR","EQY_CONSOLIDATED=Y","Sort=A","Dates=H","DateFormat=P","Fill=—","Direction=H","UseDPDF=Y")</f>
        <v>#NAME?</v>
      </c>
      <c r="AU141" s="2" t="e">
        <f ca="1">_xll.BDH($C$128,"NET_FIXED_ASSETS_5_YEAR_GROWTH","FQ3 2016","FQ3 2016","Currency=INR","Period=FQ","BEST_FPERIOD_OVERRIDE=FQ","FILING_STATUS=OR","EQY_CONSOLIDATED=Y","Sort=A","Dates=H","DateFormat=P","Fill=—","Direction=H","UseDPDF=Y")</f>
        <v>#NAME?</v>
      </c>
      <c r="AV141" s="2" t="e">
        <f ca="1">_xll.BDH($C$128,"GEO_GROW_TOT_ASSET","FQ3 2016","FQ3 2016","Currency=INR","Period=FQ","BEST_FPERIOD_OVERRIDE=FQ","FILING_STATUS=OR","EQY_CONSOLIDATED=Y","Sort=A","Dates=H","DateFormat=P","Fill=—","Direction=H","UseDPDF=Y")</f>
        <v>#NAME?</v>
      </c>
      <c r="AW141" s="2" t="e">
        <f ca="1">_xll.BDH($C$128,"MODIFIED_WORKING_CPTL_5YR_GRWTH","FQ3 2016","FQ3 2016","Currency=INR","Period=FQ","BEST_FPERIOD_OVERRIDE=FQ","FILING_STATUS=OR","EQY_CONSOLIDATED=Y","Sort=A","Dates=H","DateFormat=P","Fill=—","Direction=H","UseDPDF=Y")</f>
        <v>#NAME?</v>
      </c>
      <c r="AX141" s="2" t="e">
        <f ca="1">_xll.BDH($C$128,"WORKING_CAPITAL_5_YEAR_GROWTH","FQ3 2016","FQ3 2016","Currency=INR","Period=FQ","BEST_FPERIOD_OVERRIDE=FQ","FILING_STATUS=OR","EQY_CONSOLIDATED=Y","Sort=A","Dates=H","DateFormat=P","Fill=—","Direction=H","UseDPDF=Y")</f>
        <v>#NAME?</v>
      </c>
      <c r="AY141" s="2" t="e">
        <f ca="1">_xll.BDH($C$128,"ACCOUNTS_PAYABLE_5_YEAR_GROWTH","FQ3 2016","FQ3 2016","Currency=INR","Period=FQ","BEST_FPERIOD_OVERRIDE=FQ","FILING_STATUS=OR","EQY_CONSOLIDATED=Y","Sort=A","Dates=H","DateFormat=P","Fill=—","Direction=H","UseDPDF=Y")</f>
        <v>#NAME?</v>
      </c>
      <c r="AZ141" s="2" t="e">
        <f ca="1">_xll.BDH($C$128,"SHORT_TERM_DEBT_5_YEAR_GROWTH","FQ3 2016","FQ3 2016","Currency=INR","Period=FQ","BEST_FPERIOD_OVERRIDE=FQ","FILING_STATUS=OR","EQY_CONSOLIDATED=Y","Sort=A","Dates=H","DateFormat=P","Fill=—","Direction=H","UseDPDF=Y")</f>
        <v>#NAME?</v>
      </c>
      <c r="BA141" s="2" t="e">
        <f ca="1">_xll.BDH($C$128,"TOTAL_DEBT_5_YEAR_GROWTH","FQ3 2016","FQ3 2016","Currency=INR","Period=FQ","BEST_FPERIOD_OVERRIDE=FQ","FILING_STATUS=OR","EQY_CONSOLIDATED=Y","Sort=A","Dates=H","DateFormat=P","Fill=—","Direction=H","UseDPDF=Y")</f>
        <v>#NAME?</v>
      </c>
      <c r="BB141" s="2" t="e">
        <f ca="1">_xll.BDH($C$128,"GEO_GROW_TOT_SHRHLDR_EQY","FQ3 2016","FQ3 2016","Currency=INR","Period=FQ","BEST_FPERIOD_OVERRIDE=FQ","FILING_STATUS=OR","EQY_CONSOLIDATED=Y","Sort=A","Dates=H","DateFormat=P","Fill=—","Direction=H","UseDPDF=Y")</f>
        <v>#NAME?</v>
      </c>
      <c r="BC141" s="2" t="e">
        <f ca="1">_xll.BDH($C$128,"TOTAL_CAPITAL_5_YEAR_GROWTH","FQ3 2016","FQ3 2016","Currency=INR","Period=FQ","BEST_FPERIOD_OVERRIDE=FQ","FILING_STATUS=OR","EQY_CONSOLIDATED=Y","Sort=A","Dates=H","DateFormat=P","Fill=—","Direction=H","UseDPDF=Y")</f>
        <v>#NAME?</v>
      </c>
      <c r="BD141" s="2" t="e">
        <f ca="1">_xll.BDH($C$128,"GEO_GROW_BOOK_VAL","FQ3 2016","FQ3 2016","Currency=INR","Period=FQ","BEST_FPERIOD_OVERRIDE=FQ","FILING_STATUS=OR","EQY_CONSOLIDATED=Y","Sort=A","Dates=H","DateFormat=P","Fill=—","Direction=H","UseDPDF=Y")</f>
        <v>#NAME?</v>
      </c>
      <c r="BE141" s="2" t="e">
        <f ca="1">_xll.BDH($C$128,"GEO_GROW_CASH_OPER_ACT","FQ3 2016","FQ3 2016","Currency=INR","Period=FQ","BEST_FPERIOD_OVERRIDE=FQ","FILING_STATUS=OR","EQY_CONSOLIDATED=Y","Sort=A","Dates=H","DateFormat=P","Fill=—","Direction=H","UseDPDF=Y")</f>
        <v>#NAME?</v>
      </c>
      <c r="BF141" s="2" t="e">
        <f ca="1">_xll.BDH($C$128,"REVENUE_SEQUENTIAL_GROWTH","FQ3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141" s="2" t="e">
        <f ca="1">_xll.BDH($C$128,"EBITDA_SEQUENTIAL_GROWTH","FQ3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141" s="2" t="e">
        <f ca="1">_xll.BDH($C$128,"OPERATING_INCOME_SEQ_GROWTH","FQ3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141" s="2" t="e">
        <f ca="1">_xll.BDH($C$128,"NET_INCOME_TO_COMMON_SEQ_GROWTH","FQ3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141" s="2" t="e">
        <f ca="1">_xll.BDH($C$128,"EPS_DILUTED_SEQUENTIAL_GROWTH","FQ3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141" s="2" t="e">
        <f ca="1">_xll.BDH($C$128,"DPS_SEQUENTIAL_GROWTH","FQ3 2016","FQ3 2016","Currency=INR","Period=FQ","BEST_FPERIOD_OVERRIDE=FQ","FILING_STATUS=OR","EQY_CONSOLIDATED=Y","Sort=A","Dates=H","DateFormat=P","Fill=—","Direction=H","UseDPDF=Y")</f>
        <v>#NAME?</v>
      </c>
      <c r="BL141" s="2" t="e">
        <f ca="1">_xll.BDH($C$128,"ACCOUNTS_RECEIVABLE_SEQ_GROWTH","FQ3 2016","FQ3 2016","Currency=INR","Period=FQ","BEST_FPERIOD_OVERRIDE=FQ","FILING_STATUS=OR","EQY_CONSOLIDATED=Y","Sort=A","Dates=H","DateFormat=P","Fill=—","Direction=H","UseDPDF=Y")</f>
        <v>#NAME?</v>
      </c>
      <c r="BM141" s="2" t="e">
        <f ca="1">_xll.BDH($C$128,"INVENTORY_SEQUENTIAL_GROWTH","FQ3 2016","FQ3 2016","Currency=INR","Period=FQ","BEST_FPERIOD_OVERRIDE=FQ","FILING_STATUS=OR","EQY_CONSOLIDATED=Y","Sort=A","Dates=H","DateFormat=P","Fill=—","Direction=H","UseDPDF=Y")</f>
        <v>#NAME?</v>
      </c>
      <c r="BN141" s="2" t="e">
        <f ca="1">_xll.BDH($C$128,"FIXED_ASSETS_SEQUENTIAL_GROWTH","FQ3 2016","FQ3 2016","Currency=INR","Period=FQ","BEST_FPERIOD_OVERRIDE=FQ","FILING_STATUS=OR","EQY_CONSOLIDATED=Y","Sort=A","Dates=H","DateFormat=P","Fill=—","Direction=H","UseDPDF=Y")</f>
        <v>#NAME?</v>
      </c>
      <c r="BO141" s="2" t="e">
        <f ca="1">_xll.BDH($C$128,"TOTAL_ASSETS_SEQUENTIAL_GROWTH","FQ3 2016","FQ3 2016","Currency=INR","Period=FQ","BEST_FPERIOD_OVERRIDE=FQ","FILING_STATUS=OR","EQY_CONSOLIDATED=Y","Sort=A","Dates=H","DateFormat=P","Fill=—","Direction=H","UseDPDF=Y")</f>
        <v>#NAME?</v>
      </c>
      <c r="BP141" s="2" t="e">
        <f ca="1">_xll.BDH($C$128,"MODIFIED_WORKING_CPTL_SEQ_GRWTH","FQ3 2016","FQ3 2016","Currency=INR","Period=FQ","BEST_FPERIOD_OVERRIDE=FQ","FILING_STATUS=OR","EQY_CONSOLIDATED=Y","Sort=A","Dates=H","DateFormat=P","Fill=—","Direction=H","UseDPDF=Y")</f>
        <v>#NAME?</v>
      </c>
      <c r="BQ141" s="2" t="e">
        <f ca="1">_xll.BDH($C$128,"WORKING_CAPITAL_SEQ_GROWTH","FQ3 2016","FQ3 2016","Currency=INR","Period=FQ","BEST_FPERIOD_OVERRIDE=FQ","FILING_STATUS=OR","EQY_CONSOLIDATED=Y","Sort=A","Dates=H","DateFormat=P","Fill=—","Direction=H","UseDPDF=Y")</f>
        <v>#NAME?</v>
      </c>
      <c r="BR141" s="2" t="e">
        <f ca="1">_xll.BDH($C$128,"ACCOUNTS_PAYABLE_SEQ_GROWTH","FQ3 2016","FQ3 2016","Currency=INR","Period=FQ","BEST_FPERIOD_OVERRIDE=FQ","FILING_STATUS=OR","EQY_CONSOLIDATED=Y","Sort=A","Dates=H","DateFormat=P","Fill=—","Direction=H","UseDPDF=Y")</f>
        <v>#NAME?</v>
      </c>
      <c r="BS141" s="2" t="e">
        <f ca="1">_xll.BDH($C$128,"ST_DEBT_SEQUENTIAL_GROWTH","FQ3 2016","FQ3 2016","Currency=INR","Period=FQ","BEST_FPERIOD_OVERRIDE=FQ","FILING_STATUS=OR","EQY_CONSOLIDATED=Y","Sort=A","Dates=H","DateFormat=P","Fill=—","Direction=H","UseDPDF=Y")</f>
        <v>#NAME?</v>
      </c>
      <c r="BT141" s="2" t="e">
        <f ca="1">_xll.BDH($C$128,"TOTAL_DEBT_SEQUENTIAL_GROWTH","FQ3 2016","FQ3 2016","Currency=INR","Period=FQ","BEST_FPERIOD_OVERRIDE=FQ","FILING_STATUS=OR","EQY_CONSOLIDATED=Y","Sort=A","Dates=H","DateFormat=P","Fill=—","Direction=H","UseDPDF=Y")</f>
        <v>#NAME?</v>
      </c>
      <c r="BU141" s="2" t="e">
        <f ca="1">_xll.BDH($C$128,"TOTAL_EQUITY_SEQUENTIAL_GROWTH","FQ3 2016","FQ3 2016","Currency=INR","Period=FQ","BEST_FPERIOD_OVERRIDE=FQ","FILING_STATUS=OR","EQY_CONSOLIDATED=Y","Sort=A","Dates=H","DateFormat=P","Fill=—","Direction=H","UseDPDF=Y")</f>
        <v>#NAME?</v>
      </c>
      <c r="BV141" s="2" t="e">
        <f ca="1">_xll.BDH($C$128,"TOTAL_CAPITAL_SEQUENTIAL_GROWTH","FQ3 2016","FQ3 2016","Currency=INR","Period=FQ","BEST_FPERIOD_OVERRIDE=FQ","FILING_STATUS=OR","EQY_CONSOLIDATED=Y","Sort=A","Dates=H","DateFormat=P","Fill=—","Direction=H","UseDPDF=Y")</f>
        <v>#NAME?</v>
      </c>
      <c r="BW141" s="2" t="e">
        <f ca="1">_xll.BDH($C$128,"BPS_SEQUENTIAL_GROWTH","FQ3 2016","FQ3 2016","Currency=INR","Period=FQ","BEST_FPERIOD_OVERRIDE=FQ","FILING_STATUS=OR","EQY_CONSOLIDATED=Y","Sort=A","Dates=H","DateFormat=P","Fill=—","Direction=H","UseDPDF=Y")</f>
        <v>#NAME?</v>
      </c>
      <c r="BX141" s="2" t="e">
        <f ca="1">_xll.BDH($C$128,"CFO_SEQUENTIAL_GROWTH","FQ3 2016","FQ3 2016","Currency=INR","Period=FQ","BEST_FPERIOD_OVERRIDE=FQ","FILING_STATUS=OR","EQY_CONSOLIDATED=Y","Sort=A","Dates=H","DateFormat=P","Fill=—","Direction=H","UseDPDF=Y")</f>
        <v>#NAME?</v>
      </c>
      <c r="BY141" s="3" t="e">
        <f ca="1">_xll.BDH($C$128,"SHORT_AND_LONG_TERM_DEBT","FQ3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141" s="3" t="e">
        <f ca="1">_xll.BDH($C$128,"BS_ST_BORROW","FQ3 2016","FQ3 2016","Currency=INR","Period=FQ","BEST_FPERIOD_OVERRIDE=FQ","FILING_STATUS=OR","EQY_CONSOLIDATED=Y","SCALING_FORMAT=MLN","Sort=A","Dates=H","DateFormat=P","Fill=—","Direction=H","UseDPDF=Y")</f>
        <v>#NAME?</v>
      </c>
      <c r="CA141" s="3" t="e">
        <f ca="1">_xll.BDH($C$128,"BS_LT_BORROW","FQ3 2016","FQ3 2016","Currency=INR","Period=FQ","BEST_FPERIOD_OVERRIDE=FQ","FILING_STATUS=OR","EQY_CONSOLIDATED=Y","SCALING_FORMAT=MLN","Sort=A","Dates=H","DateFormat=P","Fill=—","Direction=H","UseDPDF=Y")</f>
        <v>#NAME?</v>
      </c>
      <c r="CB141" s="2" t="e">
        <f ca="1">_xll.BDH($C$128,"TOT_DEBT_TO_EBITDA","FQ3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141" s="2" t="e">
        <f ca="1">_xll.BDH($C$128,"NET_DEBT_TO_EBITDA","FQ3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141" s="2" t="e">
        <f ca="1">_xll.BDH($C$128,"TOTAL_DEBT_TO_EBIT","FQ3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141" s="2" t="e">
        <f ca="1">_xll.BDH($C$128,"NET_DEBT_TO_EBIT","FQ3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141" s="2" t="e">
        <f ca="1">_xll.BDH($C$128,"EBITDA_TO_INTEREST_EXPN","FQ3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141" s="2" t="e">
        <f ca="1">_xll.BDH($C$128,"COM_EQY_TO_TOT_ASSET","FQ3 2016","FQ3 2016","Currency=INR","Period=FQ","BEST_FPERIOD_OVERRIDE=FQ","FILING_STATUS=OR","EQY_CONSOLIDATED=Y","Sort=A","Dates=H","DateFormat=P","Fill=—","Direction=H","UseDPDF=Y")</f>
        <v>#NAME?</v>
      </c>
      <c r="CH141" s="2" t="e">
        <f ca="1">_xll.BDH($C$128,"LT_DEBT_TO_TOT_EQY","FQ3 2016","FQ3 2016","Currency=INR","Period=FQ","BEST_FPERIOD_OVERRIDE=FQ","FILING_STATUS=OR","EQY_CONSOLIDATED=Y","Sort=A","Dates=H","DateFormat=P","Fill=—","Direction=H","UseDPDF=Y")</f>
        <v>#NAME?</v>
      </c>
      <c r="CI141" s="2" t="e">
        <f ca="1">_xll.BDH($C$128,"LT_DEBT_TO_TOT_CAP","FQ3 2016","FQ3 2016","Currency=INR","Period=FQ","BEST_FPERIOD_OVERRIDE=FQ","FILING_STATUS=OR","EQY_CONSOLIDATED=Y","Sort=A","Dates=H","DateFormat=P","Fill=—","Direction=H","UseDPDF=Y")</f>
        <v>#NAME?</v>
      </c>
      <c r="CJ141" s="2" t="e">
        <f ca="1">_xll.BDH($C$128,"LT_DEBT_TO_TOT_ASSET","FQ3 2016","FQ3 2016","Currency=INR","Period=FQ","BEST_FPERIOD_OVERRIDE=FQ","FILING_STATUS=OR","EQY_CONSOLIDATED=Y","Sort=A","Dates=H","DateFormat=P","Fill=—","Direction=H","UseDPDF=Y")</f>
        <v>#NAME?</v>
      </c>
      <c r="CK141" s="2" t="e">
        <f ca="1">_xll.BDH($C$128,"TOT_DEBT_TO_TOT_EQY","FQ3 2016","FQ3 2016","Currency=INR","Period=FQ","BEST_FPERIOD_OVERRIDE=FQ","FILING_STATUS=OR","EQY_CONSOLIDATED=Y","Sort=A","Dates=H","DateFormat=P","Fill=—","Direction=H","UseDPDF=Y")</f>
        <v>#NAME?</v>
      </c>
      <c r="CL141" s="2" t="e">
        <f ca="1">_xll.BDH($C$128,"TOT_DEBT_TO_TOT_CAP","FQ3 2016","FQ3 2016","Currency=INR","Period=FQ","BEST_FPERIOD_OVERRIDE=FQ","FILING_STATUS=OR","EQY_CONSOLIDATED=Y","Sort=A","Dates=H","DateFormat=P","Fill=—","Direction=H","UseDPDF=Y")</f>
        <v>#NAME?</v>
      </c>
      <c r="CM141" s="2" t="e">
        <f ca="1">_xll.BDH($C$128,"TOT_DEBT_TO_TOT_ASSET","FQ3 2016","FQ3 2016","Currency=INR","Period=FQ","BEST_FPERIOD_OVERRIDE=FQ","FILING_STATUS=OR","EQY_CONSOLIDATED=Y","Sort=A","Dates=H","DateFormat=P","Fill=—","Direction=H","UseDPDF=Y")</f>
        <v>#NAME?</v>
      </c>
      <c r="CN141" s="2" t="e">
        <f ca="1">_xll.BDH($C$128,"NET_DEBT_TO_SHRHLDR_EQTY","FQ3 2016","FQ3 2016","Currency=INR","Period=FQ","BEST_FPERIOD_OVERRIDE=FQ","FILING_STATUS=OR","EQY_CONSOLIDATED=Y","Sort=A","Dates=H","DateFormat=P","Fill=—","Direction=H","UseDPDF=Y")</f>
        <v>#NAME?</v>
      </c>
      <c r="CO141" s="2" t="e">
        <f ca="1">_xll.BDH($C$128,"NET_DEBT_%_CAPITAL","FQ3 2016","FQ3 2016","Currency=INR","Period=FQ","BEST_FPERIOD_OVERRIDE=FQ","FILING_STATUS=OR","EQY_CONSOLIDATED=Y","Sort=A","Dates=H","DateFormat=P","Fill=—","Direction=H","UseDPDF=Y")</f>
        <v>#NAME?</v>
      </c>
      <c r="CP141" s="3" t="e">
        <f ca="1">_xll.BDH($C$128,"EBITDA","FQ3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141" s="3" t="e">
        <f ca="1">_xll.BDH($C$128,"EBITDA_AFTER_CAPEX","FQ3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141" s="3" t="e">
        <f ca="1">_xll.BDH($C$128,"IS_OPER_INC","FQ3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141" s="2" t="e">
        <f ca="1">_xll.BDH($C$128,"CASH_RATIO","FQ3 2016","FQ3 2016","Currency=INR","Period=FQ","BEST_FPERIOD_OVERRIDE=FQ","FILING_STATUS=OR","EQY_CONSOLIDATED=Y","Sort=A","Dates=H","DateFormat=P","Fill=—","Direction=H","UseDPDF=Y")</f>
        <v>#NAME?</v>
      </c>
      <c r="CT141" s="2" t="e">
        <f ca="1">_xll.BDH($C$128,"CUR_RATIO","FQ3 2016","FQ3 2016","Currency=INR","Period=FQ","BEST_FPERIOD_OVERRIDE=FQ","FILING_STATUS=OR","EQY_CONSOLIDATED=Y","Sort=A","Dates=H","DateFormat=P","Fill=—","Direction=H","UseDPDF=Y")</f>
        <v>#NAME?</v>
      </c>
      <c r="CU141" s="2" t="e">
        <f ca="1">_xll.BDH($C$128,"QUICK_RATIO","FQ3 2016","FQ3 2016","Currency=INR","Period=FQ","BEST_FPERIOD_OVERRIDE=FQ","FILING_STATUS=OR","EQY_CONSOLIDATED=Y","Sort=A","Dates=H","DateFormat=P","Fill=—","Direction=H","UseDPDF=Y")</f>
        <v>#NAME?</v>
      </c>
      <c r="CV141" s="2" t="e">
        <f ca="1">_xll.BDH($C$128,"ALTMAN_Z_SCORE","FQ3 2016","FQ3 2016","Currency=INR","Period=FQ","BEST_FPERIOD_OVERRIDE=FQ","FILING_STATUS=OR","EQY_CONSOLIDATED=Y","Sort=A","Dates=H","DateFormat=P","Fill=—","Direction=H","UseDPDF=Y")</f>
        <v>#NAME?</v>
      </c>
      <c r="CW141" s="4" t="e">
        <f ca="1">_xll.BDH($C$128,"ACCT_RCV_TURN","FQ3 2016","FQ3 2016","Currency=INR","Period=FQ","BEST_FPERIOD_OVERRIDE=FQ","FILING_STATUS=OR","EQY_CONSOLIDATED=Y","FA_ADJUSTED=GAAP","Sort=A","Dates=H","DateFormat=P","Fill=—","Direction=H","UseDPDF=Y")</f>
        <v>#NAME?</v>
      </c>
      <c r="CX141" s="2" t="e">
        <f ca="1">_xll.BDH($C$128,"ACCT_RCV_DAYS","FQ3 2016","FQ3 2016","Currency=INR","Period=FQ","BEST_FPERIOD_OVERRIDE=FQ","FILING_STATUS=OR","EQY_CONSOLIDATED=Y","FA_ADJUSTED=GAAP","Sort=A","Dates=H","DateFormat=P","Fill=—","Direction=H","UseDPDF=Y")</f>
        <v>#NAME?</v>
      </c>
      <c r="CY141" s="4" t="e">
        <f ca="1">_xll.BDH($C$128,"INVENT_TURN","FQ3 2016","FQ3 2016","Currency=INR","Period=FQ","BEST_FPERIOD_OVERRIDE=FQ","FILING_STATUS=OR","EQY_CONSOLIDATED=Y","FA_ADJUSTED=GAAP","Sort=A","Dates=H","DateFormat=P","Fill=—","Direction=H","UseDPDF=Y")</f>
        <v>#NAME?</v>
      </c>
      <c r="CZ141" s="2" t="e">
        <f ca="1">_xll.BDH($C$128,"INVENT_DAYS","FQ3 2016","FQ3 2016","Currency=INR","Period=FQ","BEST_FPERIOD_OVERRIDE=FQ","FILING_STATUS=OR","EQY_CONSOLIDATED=Y","FA_ADJUSTED=GAAP","Sort=A","Dates=H","DateFormat=P","Fill=—","Direction=H","UseDPDF=Y")</f>
        <v>#NAME?</v>
      </c>
      <c r="DA141" s="4" t="e">
        <f ca="1">_xll.BDH($C$128,"ACCOUNTS_PAYABLE_TURNOVER","FQ3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141" s="2" t="e">
        <f ca="1">_xll.BDH($C$128,"ACCOUNTS_PAYABLE_TURNOVER_DAYS","FQ3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141" s="4" t="e">
        <f ca="1">_xll.BDH($C$128,"CASH_CONVERSION_CYCLE","FQ3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141" s="4" t="e">
        <f ca="1">_xll.BDH($C$128,"INV_TO_CASH_DAYS","FQ3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141" s="5" t="e">
        <f ca="1">_xll.BDH($C$128,"BS_INVENTORIES","FQ3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141" s="3" t="e">
        <f ca="1">_xll.BDH($C$128,"INVTRY_RAW_MATERIALS","FQ3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141" s="3" t="e">
        <f ca="1">_xll.BDH($C$128,"INVTRY_IN_PROGRESS","FQ3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141" s="3" t="e">
        <f ca="1">_xll.BDH($C$128,"INVTRY_FINISHED_GOODS","FQ3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141" s="3" t="e">
        <f ca="1">_xll.BDH($C$128,"BS_OTHER_INV","FQ3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142" spans="1:113" x14ac:dyDescent="0.3">
      <c r="A142" s="6"/>
      <c r="B142" s="6"/>
      <c r="C142" s="6"/>
      <c r="D142" s="6"/>
      <c r="E142" t="s">
        <v>81</v>
      </c>
      <c r="F142" t="e">
        <f ca="1">_xll.BDH($C$128,"RETURN_COM_EQY","FQ4 2016","FQ4 2016","Currency=INR","Period=FQ","BEST_FPERIOD_OVERRIDE=FQ","FILING_STATUS=OR","EQY_CONSOLIDATED=Y","FA_ADJUSTED=GAAP","Sort=A","Dates=H","DateFormat=P","Fill=—","Direction=H","UseDPDF=Y")</f>
        <v>#NAME?</v>
      </c>
      <c r="G142" t="e">
        <f ca="1">_xll.BDH($C$128,"RETURN_ON_ASSET","FQ4 2016","FQ4 2016","Currency=INR","Period=FQ","BEST_FPERIOD_OVERRIDE=FQ","FILING_STATUS=OR","EQY_CONSOLIDATED=Y","FA_ADJUSTED=GAAP","Sort=A","Dates=H","DateFormat=P","Fill=—","Direction=H","UseDPDF=Y")</f>
        <v>#NAME?</v>
      </c>
      <c r="H142" t="e">
        <f ca="1">_xll.BDH($C$128,"RETURN_ON_CAP","FQ4 2016","FQ4 2016","Currency=INR","Period=FQ","BEST_FPERIOD_OVERRIDE=FQ","FILING_STATUS=OR","EQY_CONSOLIDATED=Y","FA_ADJUSTED=GAAP","Sort=A","Dates=H","DateFormat=P","Fill=—","Direction=H","UseDPDF=Y")</f>
        <v>#NAME?</v>
      </c>
      <c r="I142" t="e">
        <f ca="1">_xll.BDH($C$128,"RETURN_ON_INV_CAPITAL","FQ4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142" t="e">
        <f ca="1">_xll.BDH($C$128,"EBITDA_TO_REVENUE","FQ4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142" t="e">
        <f ca="1">_xll.BDH($C$128,"OPER_MARGIN","FQ4 2016","FQ4 2016","Currency=INR","Period=FQ","BEST_FPERIOD_OVERRIDE=FQ","FILING_STATUS=OR","EQY_CONSOLIDATED=Y","FA_ADJUSTED=GAAP","Sort=A","Dates=H","DateFormat=P","Fill=—","Direction=H","UseDPDF=Y")</f>
        <v>#NAME?</v>
      </c>
      <c r="L142" t="e">
        <f ca="1">_xll.BDH($C$128,"INCREMENTAL_OPERATING_MARGIN","FQ4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142" t="e">
        <f ca="1">_xll.BDH($C$128,"PRETAX_INC_TO_NET_SALES","FQ4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142" t="e">
        <f ca="1">_xll.BDH($C$128,"INC_BEF_XO_ITEMS_TO_NET_SALES","FQ4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142" t="e">
        <f ca="1">_xll.BDH($C$128,"PROF_MARGIN","FQ4 2016","FQ4 2016","Currency=INR","Period=FQ","BEST_FPERIOD_OVERRIDE=FQ","FILING_STATUS=OR","EQY_CONSOLIDATED=Y","FA_ADJUSTED=GAAP","Sort=A","Dates=H","DateFormat=P","Fill=—","Direction=H","UseDPDF=Y")</f>
        <v>#NAME?</v>
      </c>
      <c r="P142" t="e">
        <f ca="1">_xll.BDH($C$128,"NET_INCOME_TO_COMMON_MARGIN","FQ4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142" t="e">
        <f ca="1">_xll.BDH($C$128,"EFF_TAX_RATE","FQ4 2016","FQ4 2016","Currency=INR","Period=FQ","BEST_FPERIOD_OVERRIDE=FQ","FILING_STATUS=OR","EQY_CONSOLIDATED=Y","FA_ADJUSTED=GAAP","Sort=A","Dates=H","DateFormat=P","Fill=—","Direction=H","UseDPDF=Y")</f>
        <v>#NAME?</v>
      </c>
      <c r="R142" t="e">
        <f ca="1">_xll.BDH($C$128,"DVD_PAYOUT_RATIO","FQ4 2016","FQ4 2016","Currency=INR","Period=FQ","BEST_FPERIOD_OVERRIDE=FQ","FILING_STATUS=OR","EQY_CONSOLIDATED=Y","FA_ADJUSTED=GAAP","Sort=A","Dates=H","DateFormat=P","Fill=—","Direction=H","UseDPDF=Y")</f>
        <v>#NAME?</v>
      </c>
      <c r="S142" t="e">
        <f ca="1">_xll.BDH($C$128,"SUSTAIN_GROWTH_RT","FQ4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142" s="2" t="e">
        <f ca="1">_xll.BDH($C$128,"SALES_GROWTH","FQ4 2016","FQ4 2016","Currency=INR","Period=FQ","BEST_FPERIOD_OVERRIDE=FQ","FILING_STATUS=OR","EQY_CONSOLIDATED=Y","FA_ADJUSTED=GAAP","Sort=A","Dates=H","DateFormat=P","Fill=—","Direction=H","UseDPDF=Y")</f>
        <v>#NAME?</v>
      </c>
      <c r="U142" s="2" t="e">
        <f ca="1">_xll.BDH($C$128,"EBITDA_GROWTH","FQ4 2016","FQ4 2016","Currency=INR","Period=FQ","BEST_FPERIOD_OVERRIDE=FQ","FILING_STATUS=OR","EQY_CONSOLIDATED=Y","FA_ADJUSTED=GAAP","Sort=A","Dates=H","DateFormat=P","Fill=—","Direction=H","UseDPDF=Y")</f>
        <v>#NAME?</v>
      </c>
      <c r="V142" s="2" t="e">
        <f ca="1">_xll.BDH($C$128,"OPER_INC_GROWTH","FQ4 2016","FQ4 2016","Currency=INR","Period=FQ","BEST_FPERIOD_OVERRIDE=FQ","FILING_STATUS=OR","EQY_CONSOLIDATED=Y","FA_ADJUSTED=GAAP","Sort=A","Dates=H","DateFormat=P","Fill=—","Direction=H","UseDPDF=Y")</f>
        <v>#NAME?</v>
      </c>
      <c r="W142" s="2" t="e">
        <f ca="1">_xll.BDH($C$128,"EARN_FOR_COM_GROWTH","FQ4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142" s="2" t="e">
        <f ca="1">_xll.BDH($C$128,"DILUTED_EPS_AFT_XO_ITEMS_GROWTH","FQ4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142" s="2" t="e">
        <f ca="1">_xll.BDH($C$128,"DIVIDEND_PER_SHARE_1_YEAR_GROWTH","FQ4 2016","FQ4 2016","Currency=INR","Period=FQ","BEST_FPERIOD_OVERRIDE=FQ","FILING_STATUS=OR","EQY_CONSOLIDATED=Y","Sort=A","Dates=H","DateFormat=P","Fill=—","Direction=H","UseDPDF=Y")</f>
        <v>#NAME?</v>
      </c>
      <c r="Z142" s="2" t="e">
        <f ca="1">_xll.BDH($C$128,"ACCOUNTS_RECEIVABLE_GROWTH","FQ4 2016","FQ4 2016","Currency=INR","Period=FQ","BEST_FPERIOD_OVERRIDE=FQ","FILING_STATUS=OR","EQY_CONSOLIDATED=Y","Sort=A","Dates=H","DateFormat=P","Fill=—","Direction=H","UseDPDF=Y")</f>
        <v>#NAME?</v>
      </c>
      <c r="AA142" s="2" t="e">
        <f ca="1">_xll.BDH($C$128,"INVENTORY_GROWTH","FQ4 2016","FQ4 2016","Currency=INR","Period=FQ","BEST_FPERIOD_OVERRIDE=FQ","FILING_STATUS=OR","EQY_CONSOLIDATED=Y","Sort=A","Dates=H","DateFormat=P","Fill=—","Direction=H","UseDPDF=Y")</f>
        <v>#NAME?</v>
      </c>
      <c r="AB142" s="2" t="e">
        <f ca="1">_xll.BDH($C$128,"NET_FIXED_ASSETS_1_YEAR_GROWTH","FQ4 2016","FQ4 2016","Currency=INR","Period=FQ","BEST_FPERIOD_OVERRIDE=FQ","FILING_STATUS=OR","EQY_CONSOLIDATED=Y","Sort=A","Dates=H","DateFormat=P","Fill=—","Direction=H","UseDPDF=Y")</f>
        <v>#NAME?</v>
      </c>
      <c r="AC142" s="2" t="e">
        <f ca="1">_xll.BDH($C$128,"ASSET_GROWTH","FQ4 2016","FQ4 2016","Currency=INR","Period=FQ","BEST_FPERIOD_OVERRIDE=FQ","FILING_STATUS=OR","EQY_CONSOLIDATED=Y","Sort=A","Dates=H","DateFormat=P","Fill=—","Direction=H","UseDPDF=Y")</f>
        <v>#NAME?</v>
      </c>
      <c r="AD142" s="2" t="e">
        <f ca="1">_xll.BDH($C$128,"MODIFIED_WORK_CAP_GROWTH","FQ4 2016","FQ4 2016","Currency=INR","Period=FQ","BEST_FPERIOD_OVERRIDE=FQ","FILING_STATUS=OR","EQY_CONSOLIDATED=Y","Sort=A","Dates=H","DateFormat=P","Fill=—","Direction=H","UseDPDF=Y")</f>
        <v>#NAME?</v>
      </c>
      <c r="AE142" s="2" t="e">
        <f ca="1">_xll.BDH($C$128,"WORK_CAP_GROWTH","FQ4 2016","FQ4 2016","Currency=INR","Period=FQ","BEST_FPERIOD_OVERRIDE=FQ","FILING_STATUS=OR","EQY_CONSOLIDATED=Y","Sort=A","Dates=H","DateFormat=P","Fill=—","Direction=H","UseDPDF=Y")</f>
        <v>#NAME?</v>
      </c>
      <c r="AF142" s="2" t="e">
        <f ca="1">_xll.BDH($C$128,"ACCOUNTS_PAYABLE_GROWTH_1YR","FQ4 2016","FQ4 2016","Currency=INR","Period=FQ","BEST_FPERIOD_OVERRIDE=FQ","FILING_STATUS=OR","EQY_CONSOLIDATED=Y","Sort=A","Dates=H","DateFormat=P","Fill=—","Direction=H","UseDPDF=Y")</f>
        <v>#NAME?</v>
      </c>
      <c r="AG142" s="2" t="e">
        <f ca="1">_xll.BDH($C$128,"SHORT_TERM_DEBT_1_YEAR_GROWTH","FQ4 2016","FQ4 2016","Currency=INR","Period=FQ","BEST_FPERIOD_OVERRIDE=FQ","FILING_STATUS=OR","EQY_CONSOLIDATED=Y","Sort=A","Dates=H","DateFormat=P","Fill=—","Direction=H","UseDPDF=Y")</f>
        <v>#NAME?</v>
      </c>
      <c r="AH142" s="2" t="e">
        <f ca="1">_xll.BDH($C$128,"TOTAL_DEBT_1_YEAR_GROWTH","FQ4 2016","FQ4 2016","Currency=INR","Period=FQ","BEST_FPERIOD_OVERRIDE=FQ","FILING_STATUS=OR","EQY_CONSOLIDATED=Y","Sort=A","Dates=H","DateFormat=P","Fill=—","Direction=H","UseDPDF=Y")</f>
        <v>#NAME?</v>
      </c>
      <c r="AI142" s="2" t="e">
        <f ca="1">_xll.BDH($C$128,"TOTAL_EQUITY_1_YEAR_GROWTH","FQ4 2016","FQ4 2016","Currency=INR","Period=FQ","BEST_FPERIOD_OVERRIDE=FQ","FILING_STATUS=OR","EQY_CONSOLIDATED=Y","Sort=A","Dates=H","DateFormat=P","Fill=—","Direction=H","UseDPDF=Y")</f>
        <v>#NAME?</v>
      </c>
      <c r="AJ142" s="2" t="e">
        <f ca="1">_xll.BDH($C$128,"GROWTH_IN_CAP","FQ4 2016","FQ4 2016","Currency=INR","Period=FQ","BEST_FPERIOD_OVERRIDE=FQ","FILING_STATUS=OR","EQY_CONSOLIDATED=Y","Sort=A","Dates=H","DateFormat=P","Fill=—","Direction=H","UseDPDF=Y")</f>
        <v>#NAME?</v>
      </c>
      <c r="AK142" s="2" t="e">
        <f ca="1">_xll.BDH($C$128,"BVPS_GROWTH","FQ4 2016","FQ4 2016","Currency=INR","Period=FQ","BEST_FPERIOD_OVERRIDE=FQ","FILING_STATUS=OR","EQY_CONSOLIDATED=Y","Sort=A","Dates=H","DateFormat=P","Fill=—","Direction=H","UseDPDF=Y")</f>
        <v>#NAME?</v>
      </c>
      <c r="AL142" s="2" t="e">
        <f ca="1">_xll.BDH($C$128,"CASH_FLOW_GROWTH","FQ4 2016","FQ4 2016","Currency=INR","Period=FQ","BEST_FPERIOD_OVERRIDE=FQ","FILING_STATUS=OR","EQY_CONSOLIDATED=Y","Sort=A","Dates=H","DateFormat=P","Fill=—","Direction=H","UseDPDF=Y")</f>
        <v>#NAME?</v>
      </c>
      <c r="AM142" s="2" t="e">
        <f ca="1">_xll.BDH($C$128,"GEO_GROW_NET_SALES","FQ4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142" s="2" t="e">
        <f ca="1">_xll.BDH($C$128,"GEO_GROW_EBITDA","FQ4 2016","FQ4 2016","Currency=INR","Period=FQ","BEST_FPERIOD_OVERRIDE=FQ","FILING_STATUS=OR","EQY_CONSOLIDATED=Y","FA_ADJUSTED=GAAP","Sort=A","Dates=H","DateFormat=P","Fill=—","Direction=H","UseDPDF=Y")</f>
        <v>#NAME?</v>
      </c>
      <c r="AO142" s="2" t="e">
        <f ca="1">_xll.BDH($C$128,"GEO_GROW_OPER_INC","FQ4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142" s="2" t="e">
        <f ca="1">_xll.BDH($C$128,"NET_INCOME_TO_COMMON_5_YR_GROWTH","FQ4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142" s="2" t="e">
        <f ca="1">_xll.BDH($C$128,"5Y_GEO_GROWTH_DILUTED_EPS","FQ4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142" s="2" t="e">
        <f ca="1">_xll.BDH($C$128,"GEO_GROW_DVD_PER_SH","FQ4 2016","FQ4 2016","Currency=INR","Period=FQ","BEST_FPERIOD_OVERRIDE=FQ","FILING_STATUS=OR","EQY_CONSOLIDATED=Y","Sort=A","Dates=H","DateFormat=P","Fill=—","Direction=H","UseDPDF=Y")</f>
        <v>#NAME?</v>
      </c>
      <c r="AS142" s="2" t="e">
        <f ca="1">_xll.BDH($C$128,"ACCOUNTS_RECEIVABLE_5_YR_GROWTH","FQ4 2016","FQ4 2016","Currency=INR","Period=FQ","BEST_FPERIOD_OVERRIDE=FQ","FILING_STATUS=OR","EQY_CONSOLIDATED=Y","Sort=A","Dates=H","DateFormat=P","Fill=—","Direction=H","UseDPDF=Y")</f>
        <v>#NAME?</v>
      </c>
      <c r="AT142" s="2" t="e">
        <f ca="1">_xll.BDH($C$128,"INVENTORY_5_YEAR_GROWTH","FQ4 2016","FQ4 2016","Currency=INR","Period=FQ","BEST_FPERIOD_OVERRIDE=FQ","FILING_STATUS=OR","EQY_CONSOLIDATED=Y","Sort=A","Dates=H","DateFormat=P","Fill=—","Direction=H","UseDPDF=Y")</f>
        <v>#NAME?</v>
      </c>
      <c r="AU142" s="2" t="e">
        <f ca="1">_xll.BDH($C$128,"NET_FIXED_ASSETS_5_YEAR_GROWTH","FQ4 2016","FQ4 2016","Currency=INR","Period=FQ","BEST_FPERIOD_OVERRIDE=FQ","FILING_STATUS=OR","EQY_CONSOLIDATED=Y","Sort=A","Dates=H","DateFormat=P","Fill=—","Direction=H","UseDPDF=Y")</f>
        <v>#NAME?</v>
      </c>
      <c r="AV142" s="2" t="e">
        <f ca="1">_xll.BDH($C$128,"GEO_GROW_TOT_ASSET","FQ4 2016","FQ4 2016","Currency=INR","Period=FQ","BEST_FPERIOD_OVERRIDE=FQ","FILING_STATUS=OR","EQY_CONSOLIDATED=Y","Sort=A","Dates=H","DateFormat=P","Fill=—","Direction=H","UseDPDF=Y")</f>
        <v>#NAME?</v>
      </c>
      <c r="AW142" s="2" t="e">
        <f ca="1">_xll.BDH($C$128,"MODIFIED_WORKING_CPTL_5YR_GRWTH","FQ4 2016","FQ4 2016","Currency=INR","Period=FQ","BEST_FPERIOD_OVERRIDE=FQ","FILING_STATUS=OR","EQY_CONSOLIDATED=Y","Sort=A","Dates=H","DateFormat=P","Fill=—","Direction=H","UseDPDF=Y")</f>
        <v>#NAME?</v>
      </c>
      <c r="AX142" s="2" t="e">
        <f ca="1">_xll.BDH($C$128,"WORKING_CAPITAL_5_YEAR_GROWTH","FQ4 2016","FQ4 2016","Currency=INR","Period=FQ","BEST_FPERIOD_OVERRIDE=FQ","FILING_STATUS=OR","EQY_CONSOLIDATED=Y","Sort=A","Dates=H","DateFormat=P","Fill=—","Direction=H","UseDPDF=Y")</f>
        <v>#NAME?</v>
      </c>
      <c r="AY142" s="2" t="e">
        <f ca="1">_xll.BDH($C$128,"ACCOUNTS_PAYABLE_5_YEAR_GROWTH","FQ4 2016","FQ4 2016","Currency=INR","Period=FQ","BEST_FPERIOD_OVERRIDE=FQ","FILING_STATUS=OR","EQY_CONSOLIDATED=Y","Sort=A","Dates=H","DateFormat=P","Fill=—","Direction=H","UseDPDF=Y")</f>
        <v>#NAME?</v>
      </c>
      <c r="AZ142" s="2" t="e">
        <f ca="1">_xll.BDH($C$128,"SHORT_TERM_DEBT_5_YEAR_GROWTH","FQ4 2016","FQ4 2016","Currency=INR","Period=FQ","BEST_FPERIOD_OVERRIDE=FQ","FILING_STATUS=OR","EQY_CONSOLIDATED=Y","Sort=A","Dates=H","DateFormat=P","Fill=—","Direction=H","UseDPDF=Y")</f>
        <v>#NAME?</v>
      </c>
      <c r="BA142" s="2" t="e">
        <f ca="1">_xll.BDH($C$128,"TOTAL_DEBT_5_YEAR_GROWTH","FQ4 2016","FQ4 2016","Currency=INR","Period=FQ","BEST_FPERIOD_OVERRIDE=FQ","FILING_STATUS=OR","EQY_CONSOLIDATED=Y","Sort=A","Dates=H","DateFormat=P","Fill=—","Direction=H","UseDPDF=Y")</f>
        <v>#NAME?</v>
      </c>
      <c r="BB142" s="2" t="e">
        <f ca="1">_xll.BDH($C$128,"GEO_GROW_TOT_SHRHLDR_EQY","FQ4 2016","FQ4 2016","Currency=INR","Period=FQ","BEST_FPERIOD_OVERRIDE=FQ","FILING_STATUS=OR","EQY_CONSOLIDATED=Y","Sort=A","Dates=H","DateFormat=P","Fill=—","Direction=H","UseDPDF=Y")</f>
        <v>#NAME?</v>
      </c>
      <c r="BC142" s="2" t="e">
        <f ca="1">_xll.BDH($C$128,"TOTAL_CAPITAL_5_YEAR_GROWTH","FQ4 2016","FQ4 2016","Currency=INR","Period=FQ","BEST_FPERIOD_OVERRIDE=FQ","FILING_STATUS=OR","EQY_CONSOLIDATED=Y","Sort=A","Dates=H","DateFormat=P","Fill=—","Direction=H","UseDPDF=Y")</f>
        <v>#NAME?</v>
      </c>
      <c r="BD142" s="2" t="e">
        <f ca="1">_xll.BDH($C$128,"GEO_GROW_BOOK_VAL","FQ4 2016","FQ4 2016","Currency=INR","Period=FQ","BEST_FPERIOD_OVERRIDE=FQ","FILING_STATUS=OR","EQY_CONSOLIDATED=Y","Sort=A","Dates=H","DateFormat=P","Fill=—","Direction=H","UseDPDF=Y")</f>
        <v>#NAME?</v>
      </c>
      <c r="BE142" s="2" t="e">
        <f ca="1">_xll.BDH($C$128,"GEO_GROW_CASH_OPER_ACT","FQ4 2016","FQ4 2016","Currency=INR","Period=FQ","BEST_FPERIOD_OVERRIDE=FQ","FILING_STATUS=OR","EQY_CONSOLIDATED=Y","Sort=A","Dates=H","DateFormat=P","Fill=—","Direction=H","UseDPDF=Y")</f>
        <v>#NAME?</v>
      </c>
      <c r="BF142" s="2" t="e">
        <f ca="1">_xll.BDH($C$128,"REVENUE_SEQUENTIAL_GROWTH","FQ4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142" s="2" t="e">
        <f ca="1">_xll.BDH($C$128,"EBITDA_SEQUENTIAL_GROWTH","FQ4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142" s="2" t="e">
        <f ca="1">_xll.BDH($C$128,"OPERATING_INCOME_SEQ_GROWTH","FQ4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142" s="2" t="e">
        <f ca="1">_xll.BDH($C$128,"NET_INCOME_TO_COMMON_SEQ_GROWTH","FQ4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142" s="2" t="e">
        <f ca="1">_xll.BDH($C$128,"EPS_DILUTED_SEQUENTIAL_GROWTH","FQ4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142" s="2" t="e">
        <f ca="1">_xll.BDH($C$128,"DPS_SEQUENTIAL_GROWTH","FQ4 2016","FQ4 2016","Currency=INR","Period=FQ","BEST_FPERIOD_OVERRIDE=FQ","FILING_STATUS=OR","EQY_CONSOLIDATED=Y","Sort=A","Dates=H","DateFormat=P","Fill=—","Direction=H","UseDPDF=Y")</f>
        <v>#NAME?</v>
      </c>
      <c r="BL142" s="2" t="e">
        <f ca="1">_xll.BDH($C$128,"ACCOUNTS_RECEIVABLE_SEQ_GROWTH","FQ4 2016","FQ4 2016","Currency=INR","Period=FQ","BEST_FPERIOD_OVERRIDE=FQ","FILING_STATUS=OR","EQY_CONSOLIDATED=Y","Sort=A","Dates=H","DateFormat=P","Fill=—","Direction=H","UseDPDF=Y")</f>
        <v>#NAME?</v>
      </c>
      <c r="BM142" s="2" t="e">
        <f ca="1">_xll.BDH($C$128,"INVENTORY_SEQUENTIAL_GROWTH","FQ4 2016","FQ4 2016","Currency=INR","Period=FQ","BEST_FPERIOD_OVERRIDE=FQ","FILING_STATUS=OR","EQY_CONSOLIDATED=Y","Sort=A","Dates=H","DateFormat=P","Fill=—","Direction=H","UseDPDF=Y")</f>
        <v>#NAME?</v>
      </c>
      <c r="BN142" s="2" t="e">
        <f ca="1">_xll.BDH($C$128,"FIXED_ASSETS_SEQUENTIAL_GROWTH","FQ4 2016","FQ4 2016","Currency=INR","Period=FQ","BEST_FPERIOD_OVERRIDE=FQ","FILING_STATUS=OR","EQY_CONSOLIDATED=Y","Sort=A","Dates=H","DateFormat=P","Fill=—","Direction=H","UseDPDF=Y")</f>
        <v>#NAME?</v>
      </c>
      <c r="BO142" s="2" t="e">
        <f ca="1">_xll.BDH($C$128,"TOTAL_ASSETS_SEQUENTIAL_GROWTH","FQ4 2016","FQ4 2016","Currency=INR","Period=FQ","BEST_FPERIOD_OVERRIDE=FQ","FILING_STATUS=OR","EQY_CONSOLIDATED=Y","Sort=A","Dates=H","DateFormat=P","Fill=—","Direction=H","UseDPDF=Y")</f>
        <v>#NAME?</v>
      </c>
      <c r="BP142" s="2" t="e">
        <f ca="1">_xll.BDH($C$128,"MODIFIED_WORKING_CPTL_SEQ_GRWTH","FQ4 2016","FQ4 2016","Currency=INR","Period=FQ","BEST_FPERIOD_OVERRIDE=FQ","FILING_STATUS=OR","EQY_CONSOLIDATED=Y","Sort=A","Dates=H","DateFormat=P","Fill=—","Direction=H","UseDPDF=Y")</f>
        <v>#NAME?</v>
      </c>
      <c r="BQ142" s="2" t="e">
        <f ca="1">_xll.BDH($C$128,"WORKING_CAPITAL_SEQ_GROWTH","FQ4 2016","FQ4 2016","Currency=INR","Period=FQ","BEST_FPERIOD_OVERRIDE=FQ","FILING_STATUS=OR","EQY_CONSOLIDATED=Y","Sort=A","Dates=H","DateFormat=P","Fill=—","Direction=H","UseDPDF=Y")</f>
        <v>#NAME?</v>
      </c>
      <c r="BR142" s="2" t="e">
        <f ca="1">_xll.BDH($C$128,"ACCOUNTS_PAYABLE_SEQ_GROWTH","FQ4 2016","FQ4 2016","Currency=INR","Period=FQ","BEST_FPERIOD_OVERRIDE=FQ","FILING_STATUS=OR","EQY_CONSOLIDATED=Y","Sort=A","Dates=H","DateFormat=P","Fill=—","Direction=H","UseDPDF=Y")</f>
        <v>#NAME?</v>
      </c>
      <c r="BS142" s="2" t="e">
        <f ca="1">_xll.BDH($C$128,"ST_DEBT_SEQUENTIAL_GROWTH","FQ4 2016","FQ4 2016","Currency=INR","Period=FQ","BEST_FPERIOD_OVERRIDE=FQ","FILING_STATUS=OR","EQY_CONSOLIDATED=Y","Sort=A","Dates=H","DateFormat=P","Fill=—","Direction=H","UseDPDF=Y")</f>
        <v>#NAME?</v>
      </c>
      <c r="BT142" s="2" t="e">
        <f ca="1">_xll.BDH($C$128,"TOTAL_DEBT_SEQUENTIAL_GROWTH","FQ4 2016","FQ4 2016","Currency=INR","Period=FQ","BEST_FPERIOD_OVERRIDE=FQ","FILING_STATUS=OR","EQY_CONSOLIDATED=Y","Sort=A","Dates=H","DateFormat=P","Fill=—","Direction=H","UseDPDF=Y")</f>
        <v>#NAME?</v>
      </c>
      <c r="BU142" s="2" t="e">
        <f ca="1">_xll.BDH($C$128,"TOTAL_EQUITY_SEQUENTIAL_GROWTH","FQ4 2016","FQ4 2016","Currency=INR","Period=FQ","BEST_FPERIOD_OVERRIDE=FQ","FILING_STATUS=OR","EQY_CONSOLIDATED=Y","Sort=A","Dates=H","DateFormat=P","Fill=—","Direction=H","UseDPDF=Y")</f>
        <v>#NAME?</v>
      </c>
      <c r="BV142" s="2" t="e">
        <f ca="1">_xll.BDH($C$128,"TOTAL_CAPITAL_SEQUENTIAL_GROWTH","FQ4 2016","FQ4 2016","Currency=INR","Period=FQ","BEST_FPERIOD_OVERRIDE=FQ","FILING_STATUS=OR","EQY_CONSOLIDATED=Y","Sort=A","Dates=H","DateFormat=P","Fill=—","Direction=H","UseDPDF=Y")</f>
        <v>#NAME?</v>
      </c>
      <c r="BW142" s="2" t="e">
        <f ca="1">_xll.BDH($C$128,"BPS_SEQUENTIAL_GROWTH","FQ4 2016","FQ4 2016","Currency=INR","Period=FQ","BEST_FPERIOD_OVERRIDE=FQ","FILING_STATUS=OR","EQY_CONSOLIDATED=Y","Sort=A","Dates=H","DateFormat=P","Fill=—","Direction=H","UseDPDF=Y")</f>
        <v>#NAME?</v>
      </c>
      <c r="BX142" s="2" t="e">
        <f ca="1">_xll.BDH($C$128,"CFO_SEQUENTIAL_GROWTH","FQ4 2016","FQ4 2016","Currency=INR","Period=FQ","BEST_FPERIOD_OVERRIDE=FQ","FILING_STATUS=OR","EQY_CONSOLIDATED=Y","Sort=A","Dates=H","DateFormat=P","Fill=—","Direction=H","UseDPDF=Y")</f>
        <v>#NAME?</v>
      </c>
      <c r="BY142" s="3" t="e">
        <f ca="1">_xll.BDH($C$128,"SHORT_AND_LONG_TERM_DEBT","FQ4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142" s="3" t="e">
        <f ca="1">_xll.BDH($C$128,"BS_ST_BORROW","FQ4 2016","FQ4 2016","Currency=INR","Period=FQ","BEST_FPERIOD_OVERRIDE=FQ","FILING_STATUS=OR","EQY_CONSOLIDATED=Y","SCALING_FORMAT=MLN","Sort=A","Dates=H","DateFormat=P","Fill=—","Direction=H","UseDPDF=Y")</f>
        <v>#NAME?</v>
      </c>
      <c r="CA142" s="3" t="e">
        <f ca="1">_xll.BDH($C$128,"BS_LT_BORROW","FQ4 2016","FQ4 2016","Currency=INR","Period=FQ","BEST_FPERIOD_OVERRIDE=FQ","FILING_STATUS=OR","EQY_CONSOLIDATED=Y","SCALING_FORMAT=MLN","Sort=A","Dates=H","DateFormat=P","Fill=—","Direction=H","UseDPDF=Y")</f>
        <v>#NAME?</v>
      </c>
      <c r="CB142" s="2" t="e">
        <f ca="1">_xll.BDH($C$128,"TOT_DEBT_TO_EBITDA","FQ4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142" s="2" t="e">
        <f ca="1">_xll.BDH($C$128,"NET_DEBT_TO_EBITDA","FQ4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142" s="2" t="e">
        <f ca="1">_xll.BDH($C$128,"TOTAL_DEBT_TO_EBIT","FQ4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142" s="2" t="e">
        <f ca="1">_xll.BDH($C$128,"NET_DEBT_TO_EBIT","FQ4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142" s="2" t="e">
        <f ca="1">_xll.BDH($C$128,"EBITDA_TO_INTEREST_EXPN","FQ4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142" s="2" t="e">
        <f ca="1">_xll.BDH($C$128,"COM_EQY_TO_TOT_ASSET","FQ4 2016","FQ4 2016","Currency=INR","Period=FQ","BEST_FPERIOD_OVERRIDE=FQ","FILING_STATUS=OR","EQY_CONSOLIDATED=Y","Sort=A","Dates=H","DateFormat=P","Fill=—","Direction=H","UseDPDF=Y")</f>
        <v>#NAME?</v>
      </c>
      <c r="CH142" s="2" t="e">
        <f ca="1">_xll.BDH($C$128,"LT_DEBT_TO_TOT_EQY","FQ4 2016","FQ4 2016","Currency=INR","Period=FQ","BEST_FPERIOD_OVERRIDE=FQ","FILING_STATUS=OR","EQY_CONSOLIDATED=Y","Sort=A","Dates=H","DateFormat=P","Fill=—","Direction=H","UseDPDF=Y")</f>
        <v>#NAME?</v>
      </c>
      <c r="CI142" s="2" t="e">
        <f ca="1">_xll.BDH($C$128,"LT_DEBT_TO_TOT_CAP","FQ4 2016","FQ4 2016","Currency=INR","Period=FQ","BEST_FPERIOD_OVERRIDE=FQ","FILING_STATUS=OR","EQY_CONSOLIDATED=Y","Sort=A","Dates=H","DateFormat=P","Fill=—","Direction=H","UseDPDF=Y")</f>
        <v>#NAME?</v>
      </c>
      <c r="CJ142" s="2" t="e">
        <f ca="1">_xll.BDH($C$128,"LT_DEBT_TO_TOT_ASSET","FQ4 2016","FQ4 2016","Currency=INR","Period=FQ","BEST_FPERIOD_OVERRIDE=FQ","FILING_STATUS=OR","EQY_CONSOLIDATED=Y","Sort=A","Dates=H","DateFormat=P","Fill=—","Direction=H","UseDPDF=Y")</f>
        <v>#NAME?</v>
      </c>
      <c r="CK142" s="2" t="e">
        <f ca="1">_xll.BDH($C$128,"TOT_DEBT_TO_TOT_EQY","FQ4 2016","FQ4 2016","Currency=INR","Period=FQ","BEST_FPERIOD_OVERRIDE=FQ","FILING_STATUS=OR","EQY_CONSOLIDATED=Y","Sort=A","Dates=H","DateFormat=P","Fill=—","Direction=H","UseDPDF=Y")</f>
        <v>#NAME?</v>
      </c>
      <c r="CL142" s="2" t="e">
        <f ca="1">_xll.BDH($C$128,"TOT_DEBT_TO_TOT_CAP","FQ4 2016","FQ4 2016","Currency=INR","Period=FQ","BEST_FPERIOD_OVERRIDE=FQ","FILING_STATUS=OR","EQY_CONSOLIDATED=Y","Sort=A","Dates=H","DateFormat=P","Fill=—","Direction=H","UseDPDF=Y")</f>
        <v>#NAME?</v>
      </c>
      <c r="CM142" s="2" t="e">
        <f ca="1">_xll.BDH($C$128,"TOT_DEBT_TO_TOT_ASSET","FQ4 2016","FQ4 2016","Currency=INR","Period=FQ","BEST_FPERIOD_OVERRIDE=FQ","FILING_STATUS=OR","EQY_CONSOLIDATED=Y","Sort=A","Dates=H","DateFormat=P","Fill=—","Direction=H","UseDPDF=Y")</f>
        <v>#NAME?</v>
      </c>
      <c r="CN142" s="2" t="e">
        <f ca="1">_xll.BDH($C$128,"NET_DEBT_TO_SHRHLDR_EQTY","FQ4 2016","FQ4 2016","Currency=INR","Period=FQ","BEST_FPERIOD_OVERRIDE=FQ","FILING_STATUS=OR","EQY_CONSOLIDATED=Y","Sort=A","Dates=H","DateFormat=P","Fill=—","Direction=H","UseDPDF=Y")</f>
        <v>#NAME?</v>
      </c>
      <c r="CO142" s="2" t="e">
        <f ca="1">_xll.BDH($C$128,"NET_DEBT_%_CAPITAL","FQ4 2016","FQ4 2016","Currency=INR","Period=FQ","BEST_FPERIOD_OVERRIDE=FQ","FILING_STATUS=OR","EQY_CONSOLIDATED=Y","Sort=A","Dates=H","DateFormat=P","Fill=—","Direction=H","UseDPDF=Y")</f>
        <v>#NAME?</v>
      </c>
      <c r="CP142" s="3" t="e">
        <f ca="1">_xll.BDH($C$128,"EBITDA","FQ4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142" s="3" t="e">
        <f ca="1">_xll.BDH($C$128,"EBITDA_AFTER_CAPEX","FQ4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142" s="3" t="e">
        <f ca="1">_xll.BDH($C$128,"IS_OPER_INC","FQ4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142" s="2" t="e">
        <f ca="1">_xll.BDH($C$128,"CASH_RATIO","FQ4 2016","FQ4 2016","Currency=INR","Period=FQ","BEST_FPERIOD_OVERRIDE=FQ","FILING_STATUS=OR","EQY_CONSOLIDATED=Y","Sort=A","Dates=H","DateFormat=P","Fill=—","Direction=H","UseDPDF=Y")</f>
        <v>#NAME?</v>
      </c>
      <c r="CT142" s="2" t="e">
        <f ca="1">_xll.BDH($C$128,"CUR_RATIO","FQ4 2016","FQ4 2016","Currency=INR","Period=FQ","BEST_FPERIOD_OVERRIDE=FQ","FILING_STATUS=OR","EQY_CONSOLIDATED=Y","Sort=A","Dates=H","DateFormat=P","Fill=—","Direction=H","UseDPDF=Y")</f>
        <v>#NAME?</v>
      </c>
      <c r="CU142" s="2" t="e">
        <f ca="1">_xll.BDH($C$128,"QUICK_RATIO","FQ4 2016","FQ4 2016","Currency=INR","Period=FQ","BEST_FPERIOD_OVERRIDE=FQ","FILING_STATUS=OR","EQY_CONSOLIDATED=Y","Sort=A","Dates=H","DateFormat=P","Fill=—","Direction=H","UseDPDF=Y")</f>
        <v>#NAME?</v>
      </c>
      <c r="CV142" s="2" t="e">
        <f ca="1">_xll.BDH($C$128,"ALTMAN_Z_SCORE","FQ4 2016","FQ4 2016","Currency=INR","Period=FQ","BEST_FPERIOD_OVERRIDE=FQ","FILING_STATUS=OR","EQY_CONSOLIDATED=Y","Sort=A","Dates=H","DateFormat=P","Fill=—","Direction=H","UseDPDF=Y")</f>
        <v>#NAME?</v>
      </c>
      <c r="CW142" s="4" t="e">
        <f ca="1">_xll.BDH($C$128,"ACCT_RCV_TURN","FQ4 2016","FQ4 2016","Currency=INR","Period=FQ","BEST_FPERIOD_OVERRIDE=FQ","FILING_STATUS=OR","EQY_CONSOLIDATED=Y","FA_ADJUSTED=GAAP","Sort=A","Dates=H","DateFormat=P","Fill=—","Direction=H","UseDPDF=Y")</f>
        <v>#NAME?</v>
      </c>
      <c r="CX142" s="2" t="e">
        <f ca="1">_xll.BDH($C$128,"ACCT_RCV_DAYS","FQ4 2016","FQ4 2016","Currency=INR","Period=FQ","BEST_FPERIOD_OVERRIDE=FQ","FILING_STATUS=OR","EQY_CONSOLIDATED=Y","FA_ADJUSTED=GAAP","Sort=A","Dates=H","DateFormat=P","Fill=—","Direction=H","UseDPDF=Y")</f>
        <v>#NAME?</v>
      </c>
      <c r="CY142" s="4" t="e">
        <f ca="1">_xll.BDH($C$128,"INVENT_TURN","FQ4 2016","FQ4 2016","Currency=INR","Period=FQ","BEST_FPERIOD_OVERRIDE=FQ","FILING_STATUS=OR","EQY_CONSOLIDATED=Y","FA_ADJUSTED=GAAP","Sort=A","Dates=H","DateFormat=P","Fill=—","Direction=H","UseDPDF=Y")</f>
        <v>#NAME?</v>
      </c>
      <c r="CZ142" s="2" t="e">
        <f ca="1">_xll.BDH($C$128,"INVENT_DAYS","FQ4 2016","FQ4 2016","Currency=INR","Period=FQ","BEST_FPERIOD_OVERRIDE=FQ","FILING_STATUS=OR","EQY_CONSOLIDATED=Y","FA_ADJUSTED=GAAP","Sort=A","Dates=H","DateFormat=P","Fill=—","Direction=H","UseDPDF=Y")</f>
        <v>#NAME?</v>
      </c>
      <c r="DA142" s="4" t="e">
        <f ca="1">_xll.BDH($C$128,"ACCOUNTS_PAYABLE_TURNOVER","FQ4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142" s="2" t="e">
        <f ca="1">_xll.BDH($C$128,"ACCOUNTS_PAYABLE_TURNOVER_DAYS","FQ4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142" s="4" t="e">
        <f ca="1">_xll.BDH($C$128,"CASH_CONVERSION_CYCLE","FQ4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142" s="4" t="e">
        <f ca="1">_xll.BDH($C$128,"INV_TO_CASH_DAYS","FQ4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142" s="5" t="e">
        <f ca="1">_xll.BDH($C$128,"BS_INVENTORIES","FQ4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142" s="3" t="e">
        <f ca="1">_xll.BDH($C$128,"INVTRY_RAW_MATERIALS","FQ4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142" s="3" t="e">
        <f ca="1">_xll.BDH($C$128,"INVTRY_IN_PROGRESS","FQ4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142" s="3" t="e">
        <f ca="1">_xll.BDH($C$128,"INVTRY_FINISHED_GOODS","FQ4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142" s="3" t="e">
        <f ca="1">_xll.BDH($C$128,"BS_OTHER_INV","FQ4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143" spans="1:113" x14ac:dyDescent="0.3">
      <c r="A143" s="6"/>
      <c r="B143" s="6"/>
      <c r="C143" s="6"/>
      <c r="D143" s="6" t="s">
        <v>84</v>
      </c>
      <c r="E143" t="s">
        <v>77</v>
      </c>
      <c r="F143" t="e">
        <f ca="1">_xll.BDH($C$128,"RETURN_COM_EQY","FY 2017","FY 2017","Currency=INR","Period=FY","BEST_FPERIOD_OVERRIDE=FY","FILING_STATUS=OR","EQY_CONSOLIDATED=Y","FA_ADJUSTED=GAAP","Sort=A","Dates=H","DateFormat=P","Fill=—","Direction=H","UseDPDF=Y")</f>
        <v>#NAME?</v>
      </c>
      <c r="G143" t="e">
        <f ca="1">_xll.BDH($C$128,"RETURN_ON_ASSET","FY 2017","FY 2017","Currency=INR","Period=FY","BEST_FPERIOD_OVERRIDE=FY","FILING_STATUS=OR","EQY_CONSOLIDATED=Y","FA_ADJUSTED=GAAP","Sort=A","Dates=H","DateFormat=P","Fill=—","Direction=H","UseDPDF=Y")</f>
        <v>#NAME?</v>
      </c>
      <c r="H143" t="e">
        <f ca="1">_xll.BDH($C$128,"RETURN_ON_CAP","FY 2017","FY 2017","Currency=INR","Period=FY","BEST_FPERIOD_OVERRIDE=FY","FILING_STATUS=OR","EQY_CONSOLIDATED=Y","FA_ADJUSTED=GAAP","Sort=A","Dates=H","DateFormat=P","Fill=—","Direction=H","UseDPDF=Y")</f>
        <v>#NAME?</v>
      </c>
      <c r="I143" t="e">
        <f ca="1">_xll.BDH($C$128,"RETURN_ON_INV_CAPITAL","FY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143" t="e">
        <f ca="1">_xll.BDH($C$128,"EBITDA_TO_REVENUE","FY 2017","FY 2017","Currency=INR","Period=FY","BEST_FPERIOD_OVERRIDE=FY","FILING_STATUS=OR","EQY_CONSOLIDATED=Y","FA_ADJUSTED=GAAP","Sort=A","Dates=H","DateFormat=P","Fill=—","Direction=H","UseDPDF=Y")</f>
        <v>#NAME?</v>
      </c>
      <c r="K143" t="e">
        <f ca="1">_xll.BDH($C$128,"OPER_MARGIN","FY 2017","FY 2017","Currency=INR","Period=FY","BEST_FPERIOD_OVERRIDE=FY","FILING_STATUS=OR","EQY_CONSOLIDATED=Y","FA_ADJUSTED=GAAP","Sort=A","Dates=H","DateFormat=P","Fill=—","Direction=H","UseDPDF=Y")</f>
        <v>#NAME?</v>
      </c>
      <c r="L143" t="e">
        <f ca="1">_xll.BDH($C$128,"INCREMENTAL_OPERATING_MARGIN","FY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143" t="e">
        <f ca="1">_xll.BDH($C$128,"PRETAX_INC_TO_NET_SALES","FY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143" t="e">
        <f ca="1">_xll.BDH($C$128,"INC_BEF_XO_ITEMS_TO_NET_SALES","FY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143" t="e">
        <f ca="1">_xll.BDH($C$128,"PROF_MARGIN","FY 2017","FY 2017","Currency=INR","Period=FY","BEST_FPERIOD_OVERRIDE=FY","FILING_STATUS=OR","EQY_CONSOLIDATED=Y","FA_ADJUSTED=GAAP","Sort=A","Dates=H","DateFormat=P","Fill=—","Direction=H","UseDPDF=Y")</f>
        <v>#NAME?</v>
      </c>
      <c r="P143" t="e">
        <f ca="1">_xll.BDH($C$128,"NET_INCOME_TO_COMMON_MARGIN","FY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143" t="e">
        <f ca="1">_xll.BDH($C$128,"EFF_TAX_RATE","FY 2017","FY 2017","Currency=INR","Period=FY","BEST_FPERIOD_OVERRIDE=FY","FILING_STATUS=OR","EQY_CONSOLIDATED=Y","FA_ADJUSTED=GAAP","Sort=A","Dates=H","DateFormat=P","Fill=—","Direction=H","UseDPDF=Y")</f>
        <v>#NAME?</v>
      </c>
      <c r="R143" t="e">
        <f ca="1">_xll.BDH($C$128,"DVD_PAYOUT_RATIO","FY 2017","FY 2017","Currency=INR","Period=FY","BEST_FPERIOD_OVERRIDE=FY","FILING_STATUS=OR","EQY_CONSOLIDATED=Y","FA_ADJUSTED=GAAP","Sort=A","Dates=H","DateFormat=P","Fill=—","Direction=H","UseDPDF=Y")</f>
        <v>#NAME?</v>
      </c>
      <c r="S143" t="e">
        <f ca="1">_xll.BDH($C$128,"SUSTAIN_GROWTH_RT","FY 2017","FY 2017","Currency=INR","Period=FY","BEST_FPERIOD_OVERRIDE=FY","FILING_STATUS=OR","EQY_CONSOLIDATED=Y","FA_ADJUSTED=GAAP","Sort=A","Dates=H","DateFormat=P","Fill=—","Direction=H","UseDPDF=Y")</f>
        <v>#NAME?</v>
      </c>
      <c r="T143" s="2" t="e">
        <f ca="1">_xll.BDH($C$128,"SALES_GROWTH","FY 2017","FY 2017","Currency=INR","Period=FY","BEST_FPERIOD_OVERRIDE=FY","FILING_STATUS=OR","EQY_CONSOLIDATED=Y","FA_ADJUSTED=GAAP","Sort=A","Dates=H","DateFormat=P","Fill=—","Direction=H","UseDPDF=Y")</f>
        <v>#NAME?</v>
      </c>
      <c r="U143" s="2" t="e">
        <f ca="1">_xll.BDH($C$128,"EBITDA_GROWTH","FY 2017","FY 2017","Currency=INR","Period=FY","BEST_FPERIOD_OVERRIDE=FY","FILING_STATUS=OR","EQY_CONSOLIDATED=Y","FA_ADJUSTED=GAAP","Sort=A","Dates=H","DateFormat=P","Fill=—","Direction=H","UseDPDF=Y")</f>
        <v>#NAME?</v>
      </c>
      <c r="V143" s="2" t="e">
        <f ca="1">_xll.BDH($C$128,"OPER_INC_GROWTH","FY 2017","FY 2017","Currency=INR","Period=FY","BEST_FPERIOD_OVERRIDE=FY","FILING_STATUS=OR","EQY_CONSOLIDATED=Y","FA_ADJUSTED=GAAP","Sort=A","Dates=H","DateFormat=P","Fill=—","Direction=H","UseDPDF=Y")</f>
        <v>#NAME?</v>
      </c>
      <c r="W143" s="2" t="e">
        <f ca="1">_xll.BDH($C$128,"EARN_FOR_COM_GROWTH","FY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143" s="2" t="e">
        <f ca="1">_xll.BDH($C$128,"DILUTED_EPS_AFT_XO_ITEMS_GROWTH","FY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143" s="2" t="e">
        <f ca="1">_xll.BDH($C$128,"DIVIDEND_PER_SHARE_1_YEAR_GROWTH","FY 2017","FY 2017","Currency=INR","Period=FY","BEST_FPERIOD_OVERRIDE=FY","FILING_STATUS=OR","EQY_CONSOLIDATED=Y","Sort=A","Dates=H","DateFormat=P","Fill=—","Direction=H","UseDPDF=Y")</f>
        <v>#NAME?</v>
      </c>
      <c r="Z143" s="2" t="e">
        <f ca="1">_xll.BDH($C$128,"ACCOUNTS_RECEIVABLE_GROWTH","FY 2017","FY 2017","Currency=INR","Period=FY","BEST_FPERIOD_OVERRIDE=FY","FILING_STATUS=OR","EQY_CONSOLIDATED=Y","Sort=A","Dates=H","DateFormat=P","Fill=—","Direction=H","UseDPDF=Y")</f>
        <v>#NAME?</v>
      </c>
      <c r="AA143" s="2" t="e">
        <f ca="1">_xll.BDH($C$128,"INVENTORY_GROWTH","FY 2017","FY 2017","Currency=INR","Period=FY","BEST_FPERIOD_OVERRIDE=FY","FILING_STATUS=OR","EQY_CONSOLIDATED=Y","Sort=A","Dates=H","DateFormat=P","Fill=—","Direction=H","UseDPDF=Y")</f>
        <v>#NAME?</v>
      </c>
      <c r="AB143" s="2" t="e">
        <f ca="1">_xll.BDH($C$128,"NET_FIXED_ASSETS_1_YEAR_GROWTH","FY 2017","FY 2017","Currency=INR","Period=FY","BEST_FPERIOD_OVERRIDE=FY","FILING_STATUS=OR","EQY_CONSOLIDATED=Y","Sort=A","Dates=H","DateFormat=P","Fill=—","Direction=H","UseDPDF=Y")</f>
        <v>#NAME?</v>
      </c>
      <c r="AC143" s="2" t="e">
        <f ca="1">_xll.BDH($C$128,"ASSET_GROWTH","FY 2017","FY 2017","Currency=INR","Period=FY","BEST_FPERIOD_OVERRIDE=FY","FILING_STATUS=OR","EQY_CONSOLIDATED=Y","Sort=A","Dates=H","DateFormat=P","Fill=—","Direction=H","UseDPDF=Y")</f>
        <v>#NAME?</v>
      </c>
      <c r="AD143" s="2" t="e">
        <f ca="1">_xll.BDH($C$128,"MODIFIED_WORK_CAP_GROWTH","FY 2017","FY 2017","Currency=INR","Period=FY","BEST_FPERIOD_OVERRIDE=FY","FILING_STATUS=OR","EQY_CONSOLIDATED=Y","Sort=A","Dates=H","DateFormat=P","Fill=—","Direction=H","UseDPDF=Y")</f>
        <v>#NAME?</v>
      </c>
      <c r="AE143" s="2" t="e">
        <f ca="1">_xll.BDH($C$128,"WORK_CAP_GROWTH","FY 2017","FY 2017","Currency=INR","Period=FY","BEST_FPERIOD_OVERRIDE=FY","FILING_STATUS=OR","EQY_CONSOLIDATED=Y","Sort=A","Dates=H","DateFormat=P","Fill=—","Direction=H","UseDPDF=Y")</f>
        <v>#NAME?</v>
      </c>
      <c r="AF143" s="2" t="e">
        <f ca="1">_xll.BDH($C$128,"ACCOUNTS_PAYABLE_GROWTH_1YR","FY 2017","FY 2017","Currency=INR","Period=FY","BEST_FPERIOD_OVERRIDE=FY","FILING_STATUS=OR","EQY_CONSOLIDATED=Y","Sort=A","Dates=H","DateFormat=P","Fill=—","Direction=H","UseDPDF=Y")</f>
        <v>#NAME?</v>
      </c>
      <c r="AG143" s="2" t="e">
        <f ca="1">_xll.BDH($C$128,"SHORT_TERM_DEBT_1_YEAR_GROWTH","FY 2017","FY 2017","Currency=INR","Period=FY","BEST_FPERIOD_OVERRIDE=FY","FILING_STATUS=OR","EQY_CONSOLIDATED=Y","Sort=A","Dates=H","DateFormat=P","Fill=—","Direction=H","UseDPDF=Y")</f>
        <v>#NAME?</v>
      </c>
      <c r="AH143" s="2" t="e">
        <f ca="1">_xll.BDH($C$128,"TOTAL_DEBT_1_YEAR_GROWTH","FY 2017","FY 2017","Currency=INR","Period=FY","BEST_FPERIOD_OVERRIDE=FY","FILING_STATUS=OR","EQY_CONSOLIDATED=Y","Sort=A","Dates=H","DateFormat=P","Fill=—","Direction=H","UseDPDF=Y")</f>
        <v>#NAME?</v>
      </c>
      <c r="AI143" s="2" t="e">
        <f ca="1">_xll.BDH($C$128,"TOTAL_EQUITY_1_YEAR_GROWTH","FY 2017","FY 2017","Currency=INR","Period=FY","BEST_FPERIOD_OVERRIDE=FY","FILING_STATUS=OR","EQY_CONSOLIDATED=Y","Sort=A","Dates=H","DateFormat=P","Fill=—","Direction=H","UseDPDF=Y")</f>
        <v>#NAME?</v>
      </c>
      <c r="AJ143" s="2" t="e">
        <f ca="1">_xll.BDH($C$128,"GROWTH_IN_CAP","FY 2017","FY 2017","Currency=INR","Period=FY","BEST_FPERIOD_OVERRIDE=FY","FILING_STATUS=OR","EQY_CONSOLIDATED=Y","Sort=A","Dates=H","DateFormat=P","Fill=—","Direction=H","UseDPDF=Y")</f>
        <v>#NAME?</v>
      </c>
      <c r="AK143" s="2" t="e">
        <f ca="1">_xll.BDH($C$128,"BVPS_GROWTH","FY 2017","FY 2017","Currency=INR","Period=FY","BEST_FPERIOD_OVERRIDE=FY","FILING_STATUS=OR","EQY_CONSOLIDATED=Y","Sort=A","Dates=H","DateFormat=P","Fill=—","Direction=H","UseDPDF=Y")</f>
        <v>#NAME?</v>
      </c>
      <c r="AL143" s="2" t="e">
        <f ca="1">_xll.BDH($C$128,"CASH_FLOW_GROWTH","FY 2017","FY 2017","Currency=INR","Period=FY","BEST_FPERIOD_OVERRIDE=FY","FILING_STATUS=OR","EQY_CONSOLIDATED=Y","Sort=A","Dates=H","DateFormat=P","Fill=—","Direction=H","UseDPDF=Y")</f>
        <v>#NAME?</v>
      </c>
      <c r="AM143" s="2" t="e">
        <f ca="1">_xll.BDH($C$128,"GEO_GROW_NET_SALES","FY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143" s="2" t="e">
        <f ca="1">_xll.BDH($C$128,"GEO_GROW_EBITDA","FY 2017","FY 2017","Currency=INR","Period=FY","BEST_FPERIOD_OVERRIDE=FY","FILING_STATUS=OR","EQY_CONSOLIDATED=Y","FA_ADJUSTED=GAAP","Sort=A","Dates=H","DateFormat=P","Fill=—","Direction=H","UseDPDF=Y")</f>
        <v>#NAME?</v>
      </c>
      <c r="AO143" s="2" t="e">
        <f ca="1">_xll.BDH($C$128,"GEO_GROW_OPER_INC","FY 2017","FY 2017","Currency=INR","Period=FY","BEST_FPERIOD_OVERRIDE=FY","FILING_STATUS=OR","EQY_CONSOLIDATED=Y","FA_ADJUSTED=GAAP","Sort=A","Dates=H","DateFormat=P","Fill=—","Direction=H","UseDPDF=Y")</f>
        <v>#NAME?</v>
      </c>
      <c r="AP143" s="2" t="e">
        <f ca="1">_xll.BDH($C$128,"NET_INCOME_TO_COMMON_5_YR_GROWTH","FY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143" s="2" t="e">
        <f ca="1">_xll.BDH($C$128,"5Y_GEO_GROWTH_DILUTED_EPS","FY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143" s="2" t="e">
        <f ca="1">_xll.BDH($C$128,"GEO_GROW_DVD_PER_SH","FY 2017","FY 2017","Currency=INR","Period=FY","BEST_FPERIOD_OVERRIDE=FY","FILING_STATUS=OR","EQY_CONSOLIDATED=Y","Sort=A","Dates=H","DateFormat=P","Fill=—","Direction=H","UseDPDF=Y")</f>
        <v>#NAME?</v>
      </c>
      <c r="AS143" s="2" t="e">
        <f ca="1">_xll.BDH($C$128,"ACCOUNTS_RECEIVABLE_5_YR_GROWTH","FY 2017","FY 2017","Currency=INR","Period=FY","BEST_FPERIOD_OVERRIDE=FY","FILING_STATUS=OR","EQY_CONSOLIDATED=Y","Sort=A","Dates=H","DateFormat=P","Fill=—","Direction=H","UseDPDF=Y")</f>
        <v>#NAME?</v>
      </c>
      <c r="AT143" s="2" t="e">
        <f ca="1">_xll.BDH($C$128,"INVENTORY_5_YEAR_GROWTH","FY 2017","FY 2017","Currency=INR","Period=FY","BEST_FPERIOD_OVERRIDE=FY","FILING_STATUS=OR","EQY_CONSOLIDATED=Y","Sort=A","Dates=H","DateFormat=P","Fill=—","Direction=H","UseDPDF=Y")</f>
        <v>#NAME?</v>
      </c>
      <c r="AU143" s="2" t="e">
        <f ca="1">_xll.BDH($C$128,"NET_FIXED_ASSETS_5_YEAR_GROWTH","FY 2017","FY 2017","Currency=INR","Period=FY","BEST_FPERIOD_OVERRIDE=FY","FILING_STATUS=OR","EQY_CONSOLIDATED=Y","Sort=A","Dates=H","DateFormat=P","Fill=—","Direction=H","UseDPDF=Y")</f>
        <v>#NAME?</v>
      </c>
      <c r="AV143" s="2" t="e">
        <f ca="1">_xll.BDH($C$128,"GEO_GROW_TOT_ASSET","FY 2017","FY 2017","Currency=INR","Period=FY","BEST_FPERIOD_OVERRIDE=FY","FILING_STATUS=OR","EQY_CONSOLIDATED=Y","Sort=A","Dates=H","DateFormat=P","Fill=—","Direction=H","UseDPDF=Y")</f>
        <v>#NAME?</v>
      </c>
      <c r="AW143" s="2" t="e">
        <f ca="1">_xll.BDH($C$128,"MODIFIED_WORKING_CPTL_5YR_GRWTH","FY 2017","FY 2017","Currency=INR","Period=FY","BEST_FPERIOD_OVERRIDE=FY","FILING_STATUS=OR","EQY_CONSOLIDATED=Y","Sort=A","Dates=H","DateFormat=P","Fill=—","Direction=H","UseDPDF=Y")</f>
        <v>#NAME?</v>
      </c>
      <c r="AX143" s="2" t="e">
        <f ca="1">_xll.BDH($C$128,"WORKING_CAPITAL_5_YEAR_GROWTH","FY 2017","FY 2017","Currency=INR","Period=FY","BEST_FPERIOD_OVERRIDE=FY","FILING_STATUS=OR","EQY_CONSOLIDATED=Y","Sort=A","Dates=H","DateFormat=P","Fill=—","Direction=H","UseDPDF=Y")</f>
        <v>#NAME?</v>
      </c>
      <c r="AY143" s="2" t="e">
        <f ca="1">_xll.BDH($C$128,"ACCOUNTS_PAYABLE_5_YEAR_GROWTH","FY 2017","FY 2017","Currency=INR","Period=FY","BEST_FPERIOD_OVERRIDE=FY","FILING_STATUS=OR","EQY_CONSOLIDATED=Y","Sort=A","Dates=H","DateFormat=P","Fill=—","Direction=H","UseDPDF=Y")</f>
        <v>#NAME?</v>
      </c>
      <c r="AZ143" s="2" t="e">
        <f ca="1">_xll.BDH($C$128,"SHORT_TERM_DEBT_5_YEAR_GROWTH","FY 2017","FY 2017","Currency=INR","Period=FY","BEST_FPERIOD_OVERRIDE=FY","FILING_STATUS=OR","EQY_CONSOLIDATED=Y","Sort=A","Dates=H","DateFormat=P","Fill=—","Direction=H","UseDPDF=Y")</f>
        <v>#NAME?</v>
      </c>
      <c r="BA143" s="2" t="e">
        <f ca="1">_xll.BDH($C$128,"TOTAL_DEBT_5_YEAR_GROWTH","FY 2017","FY 2017","Currency=INR","Period=FY","BEST_FPERIOD_OVERRIDE=FY","FILING_STATUS=OR","EQY_CONSOLIDATED=Y","Sort=A","Dates=H","DateFormat=P","Fill=—","Direction=H","UseDPDF=Y")</f>
        <v>#NAME?</v>
      </c>
      <c r="BB143" s="2" t="e">
        <f ca="1">_xll.BDH($C$128,"GEO_GROW_TOT_SHRHLDR_EQY","FY 2017","FY 2017","Currency=INR","Period=FY","BEST_FPERIOD_OVERRIDE=FY","FILING_STATUS=OR","EQY_CONSOLIDATED=Y","Sort=A","Dates=H","DateFormat=P","Fill=—","Direction=H","UseDPDF=Y")</f>
        <v>#NAME?</v>
      </c>
      <c r="BC143" s="2" t="e">
        <f ca="1">_xll.BDH($C$128,"TOTAL_CAPITAL_5_YEAR_GROWTH","FY 2017","FY 2017","Currency=INR","Period=FY","BEST_FPERIOD_OVERRIDE=FY","FILING_STATUS=OR","EQY_CONSOLIDATED=Y","Sort=A","Dates=H","DateFormat=P","Fill=—","Direction=H","UseDPDF=Y")</f>
        <v>#NAME?</v>
      </c>
      <c r="BD143" s="2" t="e">
        <f ca="1">_xll.BDH($C$128,"GEO_GROW_BOOK_VAL","FY 2017","FY 2017","Currency=INR","Period=FY","BEST_FPERIOD_OVERRIDE=FY","FILING_STATUS=OR","EQY_CONSOLIDATED=Y","Sort=A","Dates=H","DateFormat=P","Fill=—","Direction=H","UseDPDF=Y")</f>
        <v>#NAME?</v>
      </c>
      <c r="BE143" s="2" t="e">
        <f ca="1">_xll.BDH($C$128,"GEO_GROW_CASH_OPER_ACT","FY 2017","FY 2017","Currency=INR","Period=FY","BEST_FPERIOD_OVERRIDE=FY","FILING_STATUS=OR","EQY_CONSOLIDATED=Y","Sort=A","Dates=H","DateFormat=P","Fill=—","Direction=H","UseDPDF=Y")</f>
        <v>#NAME?</v>
      </c>
      <c r="BF143" s="2" t="e">
        <f ca="1">_xll.BDH($C$128,"REVENUE_SEQUENTIAL_GROWTH","FY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143" s="2" t="e">
        <f ca="1">_xll.BDH($C$128,"EBITDA_SEQUENTIAL_GROWTH","FY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143" s="2" t="e">
        <f ca="1">_xll.BDH($C$128,"OPERATING_INCOME_SEQ_GROWTH","FY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143" s="2" t="e">
        <f ca="1">_xll.BDH($C$128,"NET_INCOME_TO_COMMON_SEQ_GROWTH","FY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143" s="2" t="e">
        <f ca="1">_xll.BDH($C$128,"EPS_DILUTED_SEQUENTIAL_GROWTH","FY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143" s="2" t="e">
        <f ca="1">_xll.BDH($C$128,"DPS_SEQUENTIAL_GROWTH","FY 2017","FY 2017","Currency=INR","Period=FY","BEST_FPERIOD_OVERRIDE=FY","FILING_STATUS=OR","EQY_CONSOLIDATED=Y","Sort=A","Dates=H","DateFormat=P","Fill=—","Direction=H","UseDPDF=Y")</f>
        <v>#NAME?</v>
      </c>
      <c r="BL143" s="2" t="e">
        <f ca="1">_xll.BDH($C$128,"ACCOUNTS_RECEIVABLE_SEQ_GROWTH","FY 2017","FY 2017","Currency=INR","Period=FY","BEST_FPERIOD_OVERRIDE=FY","FILING_STATUS=OR","EQY_CONSOLIDATED=Y","Sort=A","Dates=H","DateFormat=P","Fill=—","Direction=H","UseDPDF=Y")</f>
        <v>#NAME?</v>
      </c>
      <c r="BM143" s="2" t="e">
        <f ca="1">_xll.BDH($C$128,"INVENTORY_SEQUENTIAL_GROWTH","FY 2017","FY 2017","Currency=INR","Period=FY","BEST_FPERIOD_OVERRIDE=FY","FILING_STATUS=OR","EQY_CONSOLIDATED=Y","Sort=A","Dates=H","DateFormat=P","Fill=—","Direction=H","UseDPDF=Y")</f>
        <v>#NAME?</v>
      </c>
      <c r="BN143" s="2" t="e">
        <f ca="1">_xll.BDH($C$128,"FIXED_ASSETS_SEQUENTIAL_GROWTH","FY 2017","FY 2017","Currency=INR","Period=FY","BEST_FPERIOD_OVERRIDE=FY","FILING_STATUS=OR","EQY_CONSOLIDATED=Y","Sort=A","Dates=H","DateFormat=P","Fill=—","Direction=H","UseDPDF=Y")</f>
        <v>#NAME?</v>
      </c>
      <c r="BO143" s="2" t="e">
        <f ca="1">_xll.BDH($C$128,"TOTAL_ASSETS_SEQUENTIAL_GROWTH","FY 2017","FY 2017","Currency=INR","Period=FY","BEST_FPERIOD_OVERRIDE=FY","FILING_STATUS=OR","EQY_CONSOLIDATED=Y","Sort=A","Dates=H","DateFormat=P","Fill=—","Direction=H","UseDPDF=Y")</f>
        <v>#NAME?</v>
      </c>
      <c r="BP143" s="2" t="e">
        <f ca="1">_xll.BDH($C$128,"MODIFIED_WORKING_CPTL_SEQ_GRWTH","FY 2017","FY 2017","Currency=INR","Period=FY","BEST_FPERIOD_OVERRIDE=FY","FILING_STATUS=OR","EQY_CONSOLIDATED=Y","Sort=A","Dates=H","DateFormat=P","Fill=—","Direction=H","UseDPDF=Y")</f>
        <v>#NAME?</v>
      </c>
      <c r="BQ143" s="2" t="e">
        <f ca="1">_xll.BDH($C$128,"WORKING_CAPITAL_SEQ_GROWTH","FY 2017","FY 2017","Currency=INR","Period=FY","BEST_FPERIOD_OVERRIDE=FY","FILING_STATUS=OR","EQY_CONSOLIDATED=Y","Sort=A","Dates=H","DateFormat=P","Fill=—","Direction=H","UseDPDF=Y")</f>
        <v>#NAME?</v>
      </c>
      <c r="BR143" s="2" t="e">
        <f ca="1">_xll.BDH($C$128,"ACCOUNTS_PAYABLE_SEQ_GROWTH","FY 2017","FY 2017","Currency=INR","Period=FY","BEST_FPERIOD_OVERRIDE=FY","FILING_STATUS=OR","EQY_CONSOLIDATED=Y","Sort=A","Dates=H","DateFormat=P","Fill=—","Direction=H","UseDPDF=Y")</f>
        <v>#NAME?</v>
      </c>
      <c r="BS143" s="2" t="e">
        <f ca="1">_xll.BDH($C$128,"ST_DEBT_SEQUENTIAL_GROWTH","FY 2017","FY 2017","Currency=INR","Period=FY","BEST_FPERIOD_OVERRIDE=FY","FILING_STATUS=OR","EQY_CONSOLIDATED=Y","Sort=A","Dates=H","DateFormat=P","Fill=—","Direction=H","UseDPDF=Y")</f>
        <v>#NAME?</v>
      </c>
      <c r="BT143" s="2" t="e">
        <f ca="1">_xll.BDH($C$128,"TOTAL_DEBT_SEQUENTIAL_GROWTH","FY 2017","FY 2017","Currency=INR","Period=FY","BEST_FPERIOD_OVERRIDE=FY","FILING_STATUS=OR","EQY_CONSOLIDATED=Y","Sort=A","Dates=H","DateFormat=P","Fill=—","Direction=H","UseDPDF=Y")</f>
        <v>#NAME?</v>
      </c>
      <c r="BU143" s="2" t="e">
        <f ca="1">_xll.BDH($C$128,"TOTAL_EQUITY_SEQUENTIAL_GROWTH","FY 2017","FY 2017","Currency=INR","Period=FY","BEST_FPERIOD_OVERRIDE=FY","FILING_STATUS=OR","EQY_CONSOLIDATED=Y","Sort=A","Dates=H","DateFormat=P","Fill=—","Direction=H","UseDPDF=Y")</f>
        <v>#NAME?</v>
      </c>
      <c r="BV143" s="2" t="e">
        <f ca="1">_xll.BDH($C$128,"TOTAL_CAPITAL_SEQUENTIAL_GROWTH","FY 2017","FY 2017","Currency=INR","Period=FY","BEST_FPERIOD_OVERRIDE=FY","FILING_STATUS=OR","EQY_CONSOLIDATED=Y","Sort=A","Dates=H","DateFormat=P","Fill=—","Direction=H","UseDPDF=Y")</f>
        <v>#NAME?</v>
      </c>
      <c r="BW143" s="2" t="e">
        <f ca="1">_xll.BDH($C$128,"BPS_SEQUENTIAL_GROWTH","FY 2017","FY 2017","Currency=INR","Period=FY","BEST_FPERIOD_OVERRIDE=FY","FILING_STATUS=OR","EQY_CONSOLIDATED=Y","Sort=A","Dates=H","DateFormat=P","Fill=—","Direction=H","UseDPDF=Y")</f>
        <v>#NAME?</v>
      </c>
      <c r="BX143" s="2" t="e">
        <f ca="1">_xll.BDH($C$128,"CFO_SEQUENTIAL_GROWTH","FY 2017","FY 2017","Currency=INR","Period=FY","BEST_FPERIOD_OVERRIDE=FY","FILING_STATUS=OR","EQY_CONSOLIDATED=Y","Sort=A","Dates=H","DateFormat=P","Fill=—","Direction=H","UseDPDF=Y")</f>
        <v>#NAME?</v>
      </c>
      <c r="BY143" s="3" t="e">
        <f ca="1">_xll.BDH($C$128,"SHORT_AND_LONG_TERM_DEBT","FY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143" s="3" t="e">
        <f ca="1">_xll.BDH($C$128,"BS_ST_BORROW","FY 2017","FY 2017","Currency=INR","Period=FY","BEST_FPERIOD_OVERRIDE=FY","FILING_STATUS=OR","EQY_CONSOLIDATED=Y","SCALING_FORMAT=MLN","Sort=A","Dates=H","DateFormat=P","Fill=—","Direction=H","UseDPDF=Y")</f>
        <v>#NAME?</v>
      </c>
      <c r="CA143" s="3" t="e">
        <f ca="1">_xll.BDH($C$128,"BS_LT_BORROW","FY 2017","FY 2017","Currency=INR","Period=FY","BEST_FPERIOD_OVERRIDE=FY","FILING_STATUS=OR","EQY_CONSOLIDATED=Y","SCALING_FORMAT=MLN","Sort=A","Dates=H","DateFormat=P","Fill=—","Direction=H","UseDPDF=Y")</f>
        <v>#NAME?</v>
      </c>
      <c r="CB143" s="2" t="e">
        <f ca="1">_xll.BDH($C$128,"TOT_DEBT_TO_EBITDA","FY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143" s="2" t="e">
        <f ca="1">_xll.BDH($C$128,"NET_DEBT_TO_EBITDA","FY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143" s="2" t="e">
        <f ca="1">_xll.BDH($C$128,"TOTAL_DEBT_TO_EBIT","FY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143" s="2" t="e">
        <f ca="1">_xll.BDH($C$128,"NET_DEBT_TO_EBIT","FY 2017","FY 2017","Currency=INR","Period=FY","BEST_FPERIOD_OVERRIDE=FY","FILING_STATUS=OR","EQY_CONSOLIDATED=Y","FA_ADJUSTED=GAAP","Sort=A","Dates=H","DateFormat=P","Fill=—","Direction=H","UseDPDF=Y")</f>
        <v>#NAME?</v>
      </c>
      <c r="CF143" s="2" t="e">
        <f ca="1">_xll.BDH($C$128,"EBITDA_TO_INTEREST_EXPN","FY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143" s="2" t="e">
        <f ca="1">_xll.BDH($C$128,"COM_EQY_TO_TOT_ASSET","FY 2017","FY 2017","Currency=INR","Period=FY","BEST_FPERIOD_OVERRIDE=FY","FILING_STATUS=OR","EQY_CONSOLIDATED=Y","Sort=A","Dates=H","DateFormat=P","Fill=—","Direction=H","UseDPDF=Y")</f>
        <v>#NAME?</v>
      </c>
      <c r="CH143" s="2" t="e">
        <f ca="1">_xll.BDH($C$128,"LT_DEBT_TO_TOT_EQY","FY 2017","FY 2017","Currency=INR","Period=FY","BEST_FPERIOD_OVERRIDE=FY","FILING_STATUS=OR","EQY_CONSOLIDATED=Y","Sort=A","Dates=H","DateFormat=P","Fill=—","Direction=H","UseDPDF=Y")</f>
        <v>#NAME?</v>
      </c>
      <c r="CI143" s="2" t="e">
        <f ca="1">_xll.BDH($C$128,"LT_DEBT_TO_TOT_CAP","FY 2017","FY 2017","Currency=INR","Period=FY","BEST_FPERIOD_OVERRIDE=FY","FILING_STATUS=OR","EQY_CONSOLIDATED=Y","Sort=A","Dates=H","DateFormat=P","Fill=—","Direction=H","UseDPDF=Y")</f>
        <v>#NAME?</v>
      </c>
      <c r="CJ143" s="2" t="e">
        <f ca="1">_xll.BDH($C$128,"LT_DEBT_TO_TOT_ASSET","FY 2017","FY 2017","Currency=INR","Period=FY","BEST_FPERIOD_OVERRIDE=FY","FILING_STATUS=OR","EQY_CONSOLIDATED=Y","Sort=A","Dates=H","DateFormat=P","Fill=—","Direction=H","UseDPDF=Y")</f>
        <v>#NAME?</v>
      </c>
      <c r="CK143" s="2" t="e">
        <f ca="1">_xll.BDH($C$128,"TOT_DEBT_TO_TOT_EQY","FY 2017","FY 2017","Currency=INR","Period=FY","BEST_FPERIOD_OVERRIDE=FY","FILING_STATUS=OR","EQY_CONSOLIDATED=Y","Sort=A","Dates=H","DateFormat=P","Fill=—","Direction=H","UseDPDF=Y")</f>
        <v>#NAME?</v>
      </c>
      <c r="CL143" s="2" t="e">
        <f ca="1">_xll.BDH($C$128,"TOT_DEBT_TO_TOT_CAP","FY 2017","FY 2017","Currency=INR","Period=FY","BEST_FPERIOD_OVERRIDE=FY","FILING_STATUS=OR","EQY_CONSOLIDATED=Y","Sort=A","Dates=H","DateFormat=P","Fill=—","Direction=H","UseDPDF=Y")</f>
        <v>#NAME?</v>
      </c>
      <c r="CM143" s="2" t="e">
        <f ca="1">_xll.BDH($C$128,"TOT_DEBT_TO_TOT_ASSET","FY 2017","FY 2017","Currency=INR","Period=FY","BEST_FPERIOD_OVERRIDE=FY","FILING_STATUS=OR","EQY_CONSOLIDATED=Y","Sort=A","Dates=H","DateFormat=P","Fill=—","Direction=H","UseDPDF=Y")</f>
        <v>#NAME?</v>
      </c>
      <c r="CN143" s="2" t="e">
        <f ca="1">_xll.BDH($C$128,"NET_DEBT_TO_SHRHLDR_EQTY","FY 2017","FY 2017","Currency=INR","Period=FY","BEST_FPERIOD_OVERRIDE=FY","FILING_STATUS=OR","EQY_CONSOLIDATED=Y","Sort=A","Dates=H","DateFormat=P","Fill=—","Direction=H","UseDPDF=Y")</f>
        <v>#NAME?</v>
      </c>
      <c r="CO143" s="2" t="e">
        <f ca="1">_xll.BDH($C$128,"NET_DEBT_%_CAPITAL","FY 2017","FY 2017","Currency=INR","Period=FY","BEST_FPERIOD_OVERRIDE=FY","FILING_STATUS=OR","EQY_CONSOLIDATED=Y","Sort=A","Dates=H","DateFormat=P","Fill=—","Direction=H","UseDPDF=Y")</f>
        <v>#NAME?</v>
      </c>
      <c r="CP143" s="3" t="e">
        <f ca="1">_xll.BDH($C$128,"EBITDA","FY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143" s="3" t="e">
        <f ca="1">_xll.BDH($C$128,"EBITDA_AFTER_CAPEX","FY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143" s="3" t="e">
        <f ca="1">_xll.BDH($C$128,"IS_OPER_INC","FY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143" s="2" t="e">
        <f ca="1">_xll.BDH($C$128,"CASH_RATIO","FY 2017","FY 2017","Currency=INR","Period=FY","BEST_FPERIOD_OVERRIDE=FY","FILING_STATUS=OR","EQY_CONSOLIDATED=Y","Sort=A","Dates=H","DateFormat=P","Fill=—","Direction=H","UseDPDF=Y")</f>
        <v>#NAME?</v>
      </c>
      <c r="CT143" s="2" t="e">
        <f ca="1">_xll.BDH($C$128,"CUR_RATIO","FY 2017","FY 2017","Currency=INR","Period=FY","BEST_FPERIOD_OVERRIDE=FY","FILING_STATUS=OR","EQY_CONSOLIDATED=Y","Sort=A","Dates=H","DateFormat=P","Fill=—","Direction=H","UseDPDF=Y")</f>
        <v>#NAME?</v>
      </c>
      <c r="CU143" s="2" t="e">
        <f ca="1">_xll.BDH($C$128,"QUICK_RATIO","FY 2017","FY 2017","Currency=INR","Period=FY","BEST_FPERIOD_OVERRIDE=FY","FILING_STATUS=OR","EQY_CONSOLIDATED=Y","Sort=A","Dates=H","DateFormat=P","Fill=—","Direction=H","UseDPDF=Y")</f>
        <v>#NAME?</v>
      </c>
      <c r="CV143" s="2" t="e">
        <f ca="1">_xll.BDH($C$128,"ALTMAN_Z_SCORE","FY 2017","FY 2017","Currency=INR","Period=FY","BEST_FPERIOD_OVERRIDE=FY","FILING_STATUS=OR","EQY_CONSOLIDATED=Y","Sort=A","Dates=H","DateFormat=P","Fill=—","Direction=H","UseDPDF=Y")</f>
        <v>#NAME?</v>
      </c>
      <c r="CW143" s="4" t="e">
        <f ca="1">_xll.BDH($C$128,"ACCT_RCV_TURN","FY 2017","FY 2017","Currency=INR","Period=FY","BEST_FPERIOD_OVERRIDE=FY","FILING_STATUS=OR","EQY_CONSOLIDATED=Y","FA_ADJUSTED=GAAP","Sort=A","Dates=H","DateFormat=P","Fill=—","Direction=H","UseDPDF=Y")</f>
        <v>#NAME?</v>
      </c>
      <c r="CX143" s="2" t="e">
        <f ca="1">_xll.BDH($C$128,"ACCT_RCV_DAYS","FY 2017","FY 2017","Currency=INR","Period=FY","BEST_FPERIOD_OVERRIDE=FY","FILING_STATUS=OR","EQY_CONSOLIDATED=Y","FA_ADJUSTED=GAAP","Sort=A","Dates=H","DateFormat=P","Fill=—","Direction=H","UseDPDF=Y")</f>
        <v>#NAME?</v>
      </c>
      <c r="CY143" s="4" t="e">
        <f ca="1">_xll.BDH($C$128,"INVENT_TURN","FY 2017","FY 2017","Currency=INR","Period=FY","BEST_FPERIOD_OVERRIDE=FY","FILING_STATUS=OR","EQY_CONSOLIDATED=Y","FA_ADJUSTED=GAAP","Sort=A","Dates=H","DateFormat=P","Fill=—","Direction=H","UseDPDF=Y")</f>
        <v>#NAME?</v>
      </c>
      <c r="CZ143" s="2" t="e">
        <f ca="1">_xll.BDH($C$128,"INVENT_DAYS","FY 2017","FY 2017","Currency=INR","Period=FY","BEST_FPERIOD_OVERRIDE=FY","FILING_STATUS=OR","EQY_CONSOLIDATED=Y","FA_ADJUSTED=GAAP","Sort=A","Dates=H","DateFormat=P","Fill=—","Direction=H","UseDPDF=Y")</f>
        <v>#NAME?</v>
      </c>
      <c r="DA143" s="4" t="e">
        <f ca="1">_xll.BDH($C$128,"ACCOUNTS_PAYABLE_TURNOVER","FY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143" s="2" t="e">
        <f ca="1">_xll.BDH($C$128,"ACCOUNTS_PAYABLE_TURNOVER_DAYS","FY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143" s="4" t="e">
        <f ca="1">_xll.BDH($C$128,"CASH_CONVERSION_CYCLE","FY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143" s="4" t="e">
        <f ca="1">_xll.BDH($C$128,"INV_TO_CASH_DAYS","FY 2017","FY 2017","Currency=INR","Period=FY","BEST_FPERIOD_OVERRIDE=FY","FILING_STATUS=OR","EQY_CONSOLIDATED=Y","FA_ADJUSTED=GAAP","Sort=A","Dates=H","DateFormat=P","Fill=—","Direction=H","UseDPDF=Y")</f>
        <v>#NAME?</v>
      </c>
      <c r="DE143" s="5" t="e">
        <f ca="1">_xll.BDH($C$128,"BS_INVENTORIES","FY 2017","FY 2017","Currency=INR","Period=FY","BEST_FPERIOD_OVERRIDE=FY","FILING_STATUS=OR","EQY_CONSOLIDATED=Y","SCALING_FORMAT=MLN","Sort=A","Dates=H","DateFormat=P","Fill=—","Direction=H","UseDPDF=Y")</f>
        <v>#NAME?</v>
      </c>
      <c r="DF143" s="3" t="e">
        <f ca="1">_xll.BDH($C$128,"INVTRY_RAW_MATERIALS","FY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143" s="3" t="e">
        <f ca="1">_xll.BDH($C$128,"INVTRY_IN_PROGRESS","FY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143" s="3" t="e">
        <f ca="1">_xll.BDH($C$128,"INVTRY_FINISHED_GOODS","FY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143" s="3" t="e">
        <f ca="1">_xll.BDH($C$128,"BS_OTHER_INV","FY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144" spans="1:113" x14ac:dyDescent="0.3">
      <c r="A144" s="6"/>
      <c r="B144" s="6"/>
      <c r="C144" s="6"/>
      <c r="D144" s="6"/>
      <c r="E144" t="s">
        <v>78</v>
      </c>
      <c r="F144" t="e">
        <f ca="1">_xll.BDH($C$128,"RETURN_COM_EQY","FQ1 2017","FQ1 2017","Currency=INR","Period=FQ","BEST_FPERIOD_OVERRIDE=FQ","FILING_STATUS=OR","EQY_CONSOLIDATED=Y","FA_ADJUSTED=GAAP","Sort=A","Dates=H","DateFormat=P","Fill=—","Direction=H","UseDPDF=Y")</f>
        <v>#NAME?</v>
      </c>
      <c r="G144" t="e">
        <f ca="1">_xll.BDH($C$128,"RETURN_ON_ASSET","FQ1 2017","FQ1 2017","Currency=INR","Period=FQ","BEST_FPERIOD_OVERRIDE=FQ","FILING_STATUS=OR","EQY_CONSOLIDATED=Y","FA_ADJUSTED=GAAP","Sort=A","Dates=H","DateFormat=P","Fill=—","Direction=H","UseDPDF=Y")</f>
        <v>#NAME?</v>
      </c>
      <c r="H144" t="e">
        <f ca="1">_xll.BDH($C$128,"RETURN_ON_CAP","FQ1 2017","FQ1 2017","Currency=INR","Period=FQ","BEST_FPERIOD_OVERRIDE=FQ","FILING_STATUS=OR","EQY_CONSOLIDATED=Y","FA_ADJUSTED=GAAP","Sort=A","Dates=H","DateFormat=P","Fill=—","Direction=H","UseDPDF=Y")</f>
        <v>#NAME?</v>
      </c>
      <c r="I144" t="e">
        <f ca="1">_xll.BDH($C$128,"RETURN_ON_INV_CAPITAL","FQ1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144" t="e">
        <f ca="1">_xll.BDH($C$128,"EBITDA_TO_REVENUE","FQ1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144" t="e">
        <f ca="1">_xll.BDH($C$128,"OPER_MARGIN","FQ1 2017","FQ1 2017","Currency=INR","Period=FQ","BEST_FPERIOD_OVERRIDE=FQ","FILING_STATUS=OR","EQY_CONSOLIDATED=Y","FA_ADJUSTED=GAAP","Sort=A","Dates=H","DateFormat=P","Fill=—","Direction=H","UseDPDF=Y")</f>
        <v>#NAME?</v>
      </c>
      <c r="L144" t="e">
        <f ca="1">_xll.BDH($C$128,"INCREMENTAL_OPERATING_MARGIN","FQ1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144" t="e">
        <f ca="1">_xll.BDH($C$128,"PRETAX_INC_TO_NET_SALES","FQ1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144" t="e">
        <f ca="1">_xll.BDH($C$128,"INC_BEF_XO_ITEMS_TO_NET_SALES","FQ1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144" t="e">
        <f ca="1">_xll.BDH($C$128,"PROF_MARGIN","FQ1 2017","FQ1 2017","Currency=INR","Period=FQ","BEST_FPERIOD_OVERRIDE=FQ","FILING_STATUS=OR","EQY_CONSOLIDATED=Y","FA_ADJUSTED=GAAP","Sort=A","Dates=H","DateFormat=P","Fill=—","Direction=H","UseDPDF=Y")</f>
        <v>#NAME?</v>
      </c>
      <c r="P144" t="e">
        <f ca="1">_xll.BDH($C$128,"NET_INCOME_TO_COMMON_MARGIN","FQ1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144" t="e">
        <f ca="1">_xll.BDH($C$128,"EFF_TAX_RATE","FQ1 2017","FQ1 2017","Currency=INR","Period=FQ","BEST_FPERIOD_OVERRIDE=FQ","FILING_STATUS=OR","EQY_CONSOLIDATED=Y","FA_ADJUSTED=GAAP","Sort=A","Dates=H","DateFormat=P","Fill=—","Direction=H","UseDPDF=Y")</f>
        <v>#NAME?</v>
      </c>
      <c r="R144" t="e">
        <f ca="1">_xll.BDH($C$128,"DVD_PAYOUT_RATIO","FQ1 2017","FQ1 2017","Currency=INR","Period=FQ","BEST_FPERIOD_OVERRIDE=FQ","FILING_STATUS=OR","EQY_CONSOLIDATED=Y","FA_ADJUSTED=GAAP","Sort=A","Dates=H","DateFormat=P","Fill=—","Direction=H","UseDPDF=Y")</f>
        <v>#NAME?</v>
      </c>
      <c r="S144" t="e">
        <f ca="1">_xll.BDH($C$128,"SUSTAIN_GROWTH_RT","FQ1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144" s="2" t="e">
        <f ca="1">_xll.BDH($C$128,"SALES_GROWTH","FQ1 2017","FQ1 2017","Currency=INR","Period=FQ","BEST_FPERIOD_OVERRIDE=FQ","FILING_STATUS=OR","EQY_CONSOLIDATED=Y","FA_ADJUSTED=GAAP","Sort=A","Dates=H","DateFormat=P","Fill=—","Direction=H","UseDPDF=Y")</f>
        <v>#NAME?</v>
      </c>
      <c r="U144" s="2" t="e">
        <f ca="1">_xll.BDH($C$128,"EBITDA_GROWTH","FQ1 2017","FQ1 2017","Currency=INR","Period=FQ","BEST_FPERIOD_OVERRIDE=FQ","FILING_STATUS=OR","EQY_CONSOLIDATED=Y","FA_ADJUSTED=GAAP","Sort=A","Dates=H","DateFormat=P","Fill=—","Direction=H","UseDPDF=Y")</f>
        <v>#NAME?</v>
      </c>
      <c r="V144" s="2" t="e">
        <f ca="1">_xll.BDH($C$128,"OPER_INC_GROWTH","FQ1 2017","FQ1 2017","Currency=INR","Period=FQ","BEST_FPERIOD_OVERRIDE=FQ","FILING_STATUS=OR","EQY_CONSOLIDATED=Y","FA_ADJUSTED=GAAP","Sort=A","Dates=H","DateFormat=P","Fill=—","Direction=H","UseDPDF=Y")</f>
        <v>#NAME?</v>
      </c>
      <c r="W144" s="2" t="e">
        <f ca="1">_xll.BDH($C$128,"EARN_FOR_COM_GROWTH","FQ1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144" s="2" t="e">
        <f ca="1">_xll.BDH($C$128,"DILUTED_EPS_AFT_XO_ITEMS_GROWTH","FQ1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144" s="2" t="e">
        <f ca="1">_xll.BDH($C$128,"DIVIDEND_PER_SHARE_1_YEAR_GROWTH","FQ1 2017","FQ1 2017","Currency=INR","Period=FQ","BEST_FPERIOD_OVERRIDE=FQ","FILING_STATUS=OR","EQY_CONSOLIDATED=Y","Sort=A","Dates=H","DateFormat=P","Fill=—","Direction=H","UseDPDF=Y")</f>
        <v>#NAME?</v>
      </c>
      <c r="Z144" s="2" t="e">
        <f ca="1">_xll.BDH($C$128,"ACCOUNTS_RECEIVABLE_GROWTH","FQ1 2017","FQ1 2017","Currency=INR","Period=FQ","BEST_FPERIOD_OVERRIDE=FQ","FILING_STATUS=OR","EQY_CONSOLIDATED=Y","Sort=A","Dates=H","DateFormat=P","Fill=—","Direction=H","UseDPDF=Y")</f>
        <v>#NAME?</v>
      </c>
      <c r="AA144" s="2" t="e">
        <f ca="1">_xll.BDH($C$128,"INVENTORY_GROWTH","FQ1 2017","FQ1 2017","Currency=INR","Period=FQ","BEST_FPERIOD_OVERRIDE=FQ","FILING_STATUS=OR","EQY_CONSOLIDATED=Y","Sort=A","Dates=H","DateFormat=P","Fill=—","Direction=H","UseDPDF=Y")</f>
        <v>#NAME?</v>
      </c>
      <c r="AB144" s="2" t="e">
        <f ca="1">_xll.BDH($C$128,"NET_FIXED_ASSETS_1_YEAR_GROWTH","FQ1 2017","FQ1 2017","Currency=INR","Period=FQ","BEST_FPERIOD_OVERRIDE=FQ","FILING_STATUS=OR","EQY_CONSOLIDATED=Y","Sort=A","Dates=H","DateFormat=P","Fill=—","Direction=H","UseDPDF=Y")</f>
        <v>#NAME?</v>
      </c>
      <c r="AC144" s="2" t="e">
        <f ca="1">_xll.BDH($C$128,"ASSET_GROWTH","FQ1 2017","FQ1 2017","Currency=INR","Period=FQ","BEST_FPERIOD_OVERRIDE=FQ","FILING_STATUS=OR","EQY_CONSOLIDATED=Y","Sort=A","Dates=H","DateFormat=P","Fill=—","Direction=H","UseDPDF=Y")</f>
        <v>#NAME?</v>
      </c>
      <c r="AD144" s="2" t="e">
        <f ca="1">_xll.BDH($C$128,"MODIFIED_WORK_CAP_GROWTH","FQ1 2017","FQ1 2017","Currency=INR","Period=FQ","BEST_FPERIOD_OVERRIDE=FQ","FILING_STATUS=OR","EQY_CONSOLIDATED=Y","Sort=A","Dates=H","DateFormat=P","Fill=—","Direction=H","UseDPDF=Y")</f>
        <v>#NAME?</v>
      </c>
      <c r="AE144" s="2" t="e">
        <f ca="1">_xll.BDH($C$128,"WORK_CAP_GROWTH","FQ1 2017","FQ1 2017","Currency=INR","Period=FQ","BEST_FPERIOD_OVERRIDE=FQ","FILING_STATUS=OR","EQY_CONSOLIDATED=Y","Sort=A","Dates=H","DateFormat=P","Fill=—","Direction=H","UseDPDF=Y")</f>
        <v>#NAME?</v>
      </c>
      <c r="AF144" s="2" t="e">
        <f ca="1">_xll.BDH($C$128,"ACCOUNTS_PAYABLE_GROWTH_1YR","FQ1 2017","FQ1 2017","Currency=INR","Period=FQ","BEST_FPERIOD_OVERRIDE=FQ","FILING_STATUS=OR","EQY_CONSOLIDATED=Y","Sort=A","Dates=H","DateFormat=P","Fill=—","Direction=H","UseDPDF=Y")</f>
        <v>#NAME?</v>
      </c>
      <c r="AG144" s="2" t="e">
        <f ca="1">_xll.BDH($C$128,"SHORT_TERM_DEBT_1_YEAR_GROWTH","FQ1 2017","FQ1 2017","Currency=INR","Period=FQ","BEST_FPERIOD_OVERRIDE=FQ","FILING_STATUS=OR","EQY_CONSOLIDATED=Y","Sort=A","Dates=H","DateFormat=P","Fill=—","Direction=H","UseDPDF=Y")</f>
        <v>#NAME?</v>
      </c>
      <c r="AH144" s="2" t="e">
        <f ca="1">_xll.BDH($C$128,"TOTAL_DEBT_1_YEAR_GROWTH","FQ1 2017","FQ1 2017","Currency=INR","Period=FQ","BEST_FPERIOD_OVERRIDE=FQ","FILING_STATUS=OR","EQY_CONSOLIDATED=Y","Sort=A","Dates=H","DateFormat=P","Fill=—","Direction=H","UseDPDF=Y")</f>
        <v>#NAME?</v>
      </c>
      <c r="AI144" s="2" t="e">
        <f ca="1">_xll.BDH($C$128,"TOTAL_EQUITY_1_YEAR_GROWTH","FQ1 2017","FQ1 2017","Currency=INR","Period=FQ","BEST_FPERIOD_OVERRIDE=FQ","FILING_STATUS=OR","EQY_CONSOLIDATED=Y","Sort=A","Dates=H","DateFormat=P","Fill=—","Direction=H","UseDPDF=Y")</f>
        <v>#NAME?</v>
      </c>
      <c r="AJ144" s="2" t="e">
        <f ca="1">_xll.BDH($C$128,"GROWTH_IN_CAP","FQ1 2017","FQ1 2017","Currency=INR","Period=FQ","BEST_FPERIOD_OVERRIDE=FQ","FILING_STATUS=OR","EQY_CONSOLIDATED=Y","Sort=A","Dates=H","DateFormat=P","Fill=—","Direction=H","UseDPDF=Y")</f>
        <v>#NAME?</v>
      </c>
      <c r="AK144" s="2" t="e">
        <f ca="1">_xll.BDH($C$128,"BVPS_GROWTH","FQ1 2017","FQ1 2017","Currency=INR","Period=FQ","BEST_FPERIOD_OVERRIDE=FQ","FILING_STATUS=OR","EQY_CONSOLIDATED=Y","Sort=A","Dates=H","DateFormat=P","Fill=—","Direction=H","UseDPDF=Y")</f>
        <v>#NAME?</v>
      </c>
      <c r="AL144" s="2" t="e">
        <f ca="1">_xll.BDH($C$128,"CASH_FLOW_GROWTH","FQ1 2017","FQ1 2017","Currency=INR","Period=FQ","BEST_FPERIOD_OVERRIDE=FQ","FILING_STATUS=OR","EQY_CONSOLIDATED=Y","Sort=A","Dates=H","DateFormat=P","Fill=—","Direction=H","UseDPDF=Y")</f>
        <v>#NAME?</v>
      </c>
      <c r="AM144" s="2" t="e">
        <f ca="1">_xll.BDH($C$128,"GEO_GROW_NET_SALES","FQ1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144" s="2" t="e">
        <f ca="1">_xll.BDH($C$128,"GEO_GROW_EBITDA","FQ1 2017","FQ1 2017","Currency=INR","Period=FQ","BEST_FPERIOD_OVERRIDE=FQ","FILING_STATUS=OR","EQY_CONSOLIDATED=Y","FA_ADJUSTED=GAAP","Sort=A","Dates=H","DateFormat=P","Fill=—","Direction=H","UseDPDF=Y")</f>
        <v>#NAME?</v>
      </c>
      <c r="AO144" s="2" t="e">
        <f ca="1">_xll.BDH($C$128,"GEO_GROW_OPER_INC","FQ1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144" s="2" t="e">
        <f ca="1">_xll.BDH($C$128,"NET_INCOME_TO_COMMON_5_YR_GROWTH","FQ1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144" s="2" t="e">
        <f ca="1">_xll.BDH($C$128,"5Y_GEO_GROWTH_DILUTED_EPS","FQ1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144" s="2" t="e">
        <f ca="1">_xll.BDH($C$128,"GEO_GROW_DVD_PER_SH","FQ1 2017","FQ1 2017","Currency=INR","Period=FQ","BEST_FPERIOD_OVERRIDE=FQ","FILING_STATUS=OR","EQY_CONSOLIDATED=Y","Sort=A","Dates=H","DateFormat=P","Fill=—","Direction=H","UseDPDF=Y")</f>
        <v>#NAME?</v>
      </c>
      <c r="AS144" s="2" t="e">
        <f ca="1">_xll.BDH($C$128,"ACCOUNTS_RECEIVABLE_5_YR_GROWTH","FQ1 2017","FQ1 2017","Currency=INR","Period=FQ","BEST_FPERIOD_OVERRIDE=FQ","FILING_STATUS=OR","EQY_CONSOLIDATED=Y","Sort=A","Dates=H","DateFormat=P","Fill=—","Direction=H","UseDPDF=Y")</f>
        <v>#NAME?</v>
      </c>
      <c r="AT144" s="2" t="e">
        <f ca="1">_xll.BDH($C$128,"INVENTORY_5_YEAR_GROWTH","FQ1 2017","FQ1 2017","Currency=INR","Period=FQ","BEST_FPERIOD_OVERRIDE=FQ","FILING_STATUS=OR","EQY_CONSOLIDATED=Y","Sort=A","Dates=H","DateFormat=P","Fill=—","Direction=H","UseDPDF=Y")</f>
        <v>#NAME?</v>
      </c>
      <c r="AU144" s="2" t="e">
        <f ca="1">_xll.BDH($C$128,"NET_FIXED_ASSETS_5_YEAR_GROWTH","FQ1 2017","FQ1 2017","Currency=INR","Period=FQ","BEST_FPERIOD_OVERRIDE=FQ","FILING_STATUS=OR","EQY_CONSOLIDATED=Y","Sort=A","Dates=H","DateFormat=P","Fill=—","Direction=H","UseDPDF=Y")</f>
        <v>#NAME?</v>
      </c>
      <c r="AV144" s="2" t="e">
        <f ca="1">_xll.BDH($C$128,"GEO_GROW_TOT_ASSET","FQ1 2017","FQ1 2017","Currency=INR","Period=FQ","BEST_FPERIOD_OVERRIDE=FQ","FILING_STATUS=OR","EQY_CONSOLIDATED=Y","Sort=A","Dates=H","DateFormat=P","Fill=—","Direction=H","UseDPDF=Y")</f>
        <v>#NAME?</v>
      </c>
      <c r="AW144" s="2" t="e">
        <f ca="1">_xll.BDH($C$128,"MODIFIED_WORKING_CPTL_5YR_GRWTH","FQ1 2017","FQ1 2017","Currency=INR","Period=FQ","BEST_FPERIOD_OVERRIDE=FQ","FILING_STATUS=OR","EQY_CONSOLIDATED=Y","Sort=A","Dates=H","DateFormat=P","Fill=—","Direction=H","UseDPDF=Y")</f>
        <v>#NAME?</v>
      </c>
      <c r="AX144" s="2" t="e">
        <f ca="1">_xll.BDH($C$128,"WORKING_CAPITAL_5_YEAR_GROWTH","FQ1 2017","FQ1 2017","Currency=INR","Period=FQ","BEST_FPERIOD_OVERRIDE=FQ","FILING_STATUS=OR","EQY_CONSOLIDATED=Y","Sort=A","Dates=H","DateFormat=P","Fill=—","Direction=H","UseDPDF=Y")</f>
        <v>#NAME?</v>
      </c>
      <c r="AY144" s="2" t="e">
        <f ca="1">_xll.BDH($C$128,"ACCOUNTS_PAYABLE_5_YEAR_GROWTH","FQ1 2017","FQ1 2017","Currency=INR","Period=FQ","BEST_FPERIOD_OVERRIDE=FQ","FILING_STATUS=OR","EQY_CONSOLIDATED=Y","Sort=A","Dates=H","DateFormat=P","Fill=—","Direction=H","UseDPDF=Y")</f>
        <v>#NAME?</v>
      </c>
      <c r="AZ144" s="2" t="e">
        <f ca="1">_xll.BDH($C$128,"SHORT_TERM_DEBT_5_YEAR_GROWTH","FQ1 2017","FQ1 2017","Currency=INR","Period=FQ","BEST_FPERIOD_OVERRIDE=FQ","FILING_STATUS=OR","EQY_CONSOLIDATED=Y","Sort=A","Dates=H","DateFormat=P","Fill=—","Direction=H","UseDPDF=Y")</f>
        <v>#NAME?</v>
      </c>
      <c r="BA144" s="2" t="e">
        <f ca="1">_xll.BDH($C$128,"TOTAL_DEBT_5_YEAR_GROWTH","FQ1 2017","FQ1 2017","Currency=INR","Period=FQ","BEST_FPERIOD_OVERRIDE=FQ","FILING_STATUS=OR","EQY_CONSOLIDATED=Y","Sort=A","Dates=H","DateFormat=P","Fill=—","Direction=H","UseDPDF=Y")</f>
        <v>#NAME?</v>
      </c>
      <c r="BB144" s="2" t="e">
        <f ca="1">_xll.BDH($C$128,"GEO_GROW_TOT_SHRHLDR_EQY","FQ1 2017","FQ1 2017","Currency=INR","Period=FQ","BEST_FPERIOD_OVERRIDE=FQ","FILING_STATUS=OR","EQY_CONSOLIDATED=Y","Sort=A","Dates=H","DateFormat=P","Fill=—","Direction=H","UseDPDF=Y")</f>
        <v>#NAME?</v>
      </c>
      <c r="BC144" s="2" t="e">
        <f ca="1">_xll.BDH($C$128,"TOTAL_CAPITAL_5_YEAR_GROWTH","FQ1 2017","FQ1 2017","Currency=INR","Period=FQ","BEST_FPERIOD_OVERRIDE=FQ","FILING_STATUS=OR","EQY_CONSOLIDATED=Y","Sort=A","Dates=H","DateFormat=P","Fill=—","Direction=H","UseDPDF=Y")</f>
        <v>#NAME?</v>
      </c>
      <c r="BD144" s="2" t="e">
        <f ca="1">_xll.BDH($C$128,"GEO_GROW_BOOK_VAL","FQ1 2017","FQ1 2017","Currency=INR","Period=FQ","BEST_FPERIOD_OVERRIDE=FQ","FILING_STATUS=OR","EQY_CONSOLIDATED=Y","Sort=A","Dates=H","DateFormat=P","Fill=—","Direction=H","UseDPDF=Y")</f>
        <v>#NAME?</v>
      </c>
      <c r="BE144" s="2" t="e">
        <f ca="1">_xll.BDH($C$128,"GEO_GROW_CASH_OPER_ACT","FQ1 2017","FQ1 2017","Currency=INR","Period=FQ","BEST_FPERIOD_OVERRIDE=FQ","FILING_STATUS=OR","EQY_CONSOLIDATED=Y","Sort=A","Dates=H","DateFormat=P","Fill=—","Direction=H","UseDPDF=Y")</f>
        <v>#NAME?</v>
      </c>
      <c r="BF144" s="2" t="e">
        <f ca="1">_xll.BDH($C$128,"REVENUE_SEQUENTIAL_GROWTH","FQ1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144" s="2" t="e">
        <f ca="1">_xll.BDH($C$128,"EBITDA_SEQUENTIAL_GROWTH","FQ1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144" s="2" t="e">
        <f ca="1">_xll.BDH($C$128,"OPERATING_INCOME_SEQ_GROWTH","FQ1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144" s="2" t="e">
        <f ca="1">_xll.BDH($C$128,"NET_INCOME_TO_COMMON_SEQ_GROWTH","FQ1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144" s="2" t="e">
        <f ca="1">_xll.BDH($C$128,"EPS_DILUTED_SEQUENTIAL_GROWTH","FQ1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144" s="2" t="e">
        <f ca="1">_xll.BDH($C$128,"DPS_SEQUENTIAL_GROWTH","FQ1 2017","FQ1 2017","Currency=INR","Period=FQ","BEST_FPERIOD_OVERRIDE=FQ","FILING_STATUS=OR","EQY_CONSOLIDATED=Y","Sort=A","Dates=H","DateFormat=P","Fill=—","Direction=H","UseDPDF=Y")</f>
        <v>#NAME?</v>
      </c>
      <c r="BL144" s="2" t="e">
        <f ca="1">_xll.BDH($C$128,"ACCOUNTS_RECEIVABLE_SEQ_GROWTH","FQ1 2017","FQ1 2017","Currency=INR","Period=FQ","BEST_FPERIOD_OVERRIDE=FQ","FILING_STATUS=OR","EQY_CONSOLIDATED=Y","Sort=A","Dates=H","DateFormat=P","Fill=—","Direction=H","UseDPDF=Y")</f>
        <v>#NAME?</v>
      </c>
      <c r="BM144" s="2" t="e">
        <f ca="1">_xll.BDH($C$128,"INVENTORY_SEQUENTIAL_GROWTH","FQ1 2017","FQ1 2017","Currency=INR","Period=FQ","BEST_FPERIOD_OVERRIDE=FQ","FILING_STATUS=OR","EQY_CONSOLIDATED=Y","Sort=A","Dates=H","DateFormat=P","Fill=—","Direction=H","UseDPDF=Y")</f>
        <v>#NAME?</v>
      </c>
      <c r="BN144" s="2" t="e">
        <f ca="1">_xll.BDH($C$128,"FIXED_ASSETS_SEQUENTIAL_GROWTH","FQ1 2017","FQ1 2017","Currency=INR","Period=FQ","BEST_FPERIOD_OVERRIDE=FQ","FILING_STATUS=OR","EQY_CONSOLIDATED=Y","Sort=A","Dates=H","DateFormat=P","Fill=—","Direction=H","UseDPDF=Y")</f>
        <v>#NAME?</v>
      </c>
      <c r="BO144" s="2" t="e">
        <f ca="1">_xll.BDH($C$128,"TOTAL_ASSETS_SEQUENTIAL_GROWTH","FQ1 2017","FQ1 2017","Currency=INR","Period=FQ","BEST_FPERIOD_OVERRIDE=FQ","FILING_STATUS=OR","EQY_CONSOLIDATED=Y","Sort=A","Dates=H","DateFormat=P","Fill=—","Direction=H","UseDPDF=Y")</f>
        <v>#NAME?</v>
      </c>
      <c r="BP144" s="2" t="e">
        <f ca="1">_xll.BDH($C$128,"MODIFIED_WORKING_CPTL_SEQ_GRWTH","FQ1 2017","FQ1 2017","Currency=INR","Period=FQ","BEST_FPERIOD_OVERRIDE=FQ","FILING_STATUS=OR","EQY_CONSOLIDATED=Y","Sort=A","Dates=H","DateFormat=P","Fill=—","Direction=H","UseDPDF=Y")</f>
        <v>#NAME?</v>
      </c>
      <c r="BQ144" s="2" t="e">
        <f ca="1">_xll.BDH($C$128,"WORKING_CAPITAL_SEQ_GROWTH","FQ1 2017","FQ1 2017","Currency=INR","Period=FQ","BEST_FPERIOD_OVERRIDE=FQ","FILING_STATUS=OR","EQY_CONSOLIDATED=Y","Sort=A","Dates=H","DateFormat=P","Fill=—","Direction=H","UseDPDF=Y")</f>
        <v>#NAME?</v>
      </c>
      <c r="BR144" s="2" t="e">
        <f ca="1">_xll.BDH($C$128,"ACCOUNTS_PAYABLE_SEQ_GROWTH","FQ1 2017","FQ1 2017","Currency=INR","Period=FQ","BEST_FPERIOD_OVERRIDE=FQ","FILING_STATUS=OR","EQY_CONSOLIDATED=Y","Sort=A","Dates=H","DateFormat=P","Fill=—","Direction=H","UseDPDF=Y")</f>
        <v>#NAME?</v>
      </c>
      <c r="BS144" s="2" t="e">
        <f ca="1">_xll.BDH($C$128,"ST_DEBT_SEQUENTIAL_GROWTH","FQ1 2017","FQ1 2017","Currency=INR","Period=FQ","BEST_FPERIOD_OVERRIDE=FQ","FILING_STATUS=OR","EQY_CONSOLIDATED=Y","Sort=A","Dates=H","DateFormat=P","Fill=—","Direction=H","UseDPDF=Y")</f>
        <v>#NAME?</v>
      </c>
      <c r="BT144" s="2" t="e">
        <f ca="1">_xll.BDH($C$128,"TOTAL_DEBT_SEQUENTIAL_GROWTH","FQ1 2017","FQ1 2017","Currency=INR","Period=FQ","BEST_FPERIOD_OVERRIDE=FQ","FILING_STATUS=OR","EQY_CONSOLIDATED=Y","Sort=A","Dates=H","DateFormat=P","Fill=—","Direction=H","UseDPDF=Y")</f>
        <v>#NAME?</v>
      </c>
      <c r="BU144" s="2" t="e">
        <f ca="1">_xll.BDH($C$128,"TOTAL_EQUITY_SEQUENTIAL_GROWTH","FQ1 2017","FQ1 2017","Currency=INR","Period=FQ","BEST_FPERIOD_OVERRIDE=FQ","FILING_STATUS=OR","EQY_CONSOLIDATED=Y","Sort=A","Dates=H","DateFormat=P","Fill=—","Direction=H","UseDPDF=Y")</f>
        <v>#NAME?</v>
      </c>
      <c r="BV144" s="2" t="e">
        <f ca="1">_xll.BDH($C$128,"TOTAL_CAPITAL_SEQUENTIAL_GROWTH","FQ1 2017","FQ1 2017","Currency=INR","Period=FQ","BEST_FPERIOD_OVERRIDE=FQ","FILING_STATUS=OR","EQY_CONSOLIDATED=Y","Sort=A","Dates=H","DateFormat=P","Fill=—","Direction=H","UseDPDF=Y")</f>
        <v>#NAME?</v>
      </c>
      <c r="BW144" s="2" t="e">
        <f ca="1">_xll.BDH($C$128,"BPS_SEQUENTIAL_GROWTH","FQ1 2017","FQ1 2017","Currency=INR","Period=FQ","BEST_FPERIOD_OVERRIDE=FQ","FILING_STATUS=OR","EQY_CONSOLIDATED=Y","Sort=A","Dates=H","DateFormat=P","Fill=—","Direction=H","UseDPDF=Y")</f>
        <v>#NAME?</v>
      </c>
      <c r="BX144" s="2" t="e">
        <f ca="1">_xll.BDH($C$128,"CFO_SEQUENTIAL_GROWTH","FQ1 2017","FQ1 2017","Currency=INR","Period=FQ","BEST_FPERIOD_OVERRIDE=FQ","FILING_STATUS=OR","EQY_CONSOLIDATED=Y","Sort=A","Dates=H","DateFormat=P","Fill=—","Direction=H","UseDPDF=Y")</f>
        <v>#NAME?</v>
      </c>
      <c r="BY144" s="3" t="e">
        <f ca="1">_xll.BDH($C$128,"SHORT_AND_LONG_TERM_DEBT","FQ1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144" s="3" t="e">
        <f ca="1">_xll.BDH($C$128,"BS_ST_BORROW","FQ1 2017","FQ1 2017","Currency=INR","Period=FQ","BEST_FPERIOD_OVERRIDE=FQ","FILING_STATUS=OR","EQY_CONSOLIDATED=Y","SCALING_FORMAT=MLN","Sort=A","Dates=H","DateFormat=P","Fill=—","Direction=H","UseDPDF=Y")</f>
        <v>#NAME?</v>
      </c>
      <c r="CA144" s="3" t="e">
        <f ca="1">_xll.BDH($C$128,"BS_LT_BORROW","FQ1 2017","FQ1 2017","Currency=INR","Period=FQ","BEST_FPERIOD_OVERRIDE=FQ","FILING_STATUS=OR","EQY_CONSOLIDATED=Y","SCALING_FORMAT=MLN","Sort=A","Dates=H","DateFormat=P","Fill=—","Direction=H","UseDPDF=Y")</f>
        <v>#NAME?</v>
      </c>
      <c r="CB144" s="2" t="e">
        <f ca="1">_xll.BDH($C$128,"TOT_DEBT_TO_EBITDA","FQ1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144" s="2" t="e">
        <f ca="1">_xll.BDH($C$128,"NET_DEBT_TO_EBITDA","FQ1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144" s="2" t="e">
        <f ca="1">_xll.BDH($C$128,"TOTAL_DEBT_TO_EBIT","FQ1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144" s="2" t="e">
        <f ca="1">_xll.BDH($C$128,"NET_DEBT_TO_EBIT","FQ1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144" s="2" t="e">
        <f ca="1">_xll.BDH($C$128,"EBITDA_TO_INTEREST_EXPN","FQ1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144" s="2" t="e">
        <f ca="1">_xll.BDH($C$128,"COM_EQY_TO_TOT_ASSET","FQ1 2017","FQ1 2017","Currency=INR","Period=FQ","BEST_FPERIOD_OVERRIDE=FQ","FILING_STATUS=OR","EQY_CONSOLIDATED=Y","Sort=A","Dates=H","DateFormat=P","Fill=—","Direction=H","UseDPDF=Y")</f>
        <v>#NAME?</v>
      </c>
      <c r="CH144" s="2" t="e">
        <f ca="1">_xll.BDH($C$128,"LT_DEBT_TO_TOT_EQY","FQ1 2017","FQ1 2017","Currency=INR","Period=FQ","BEST_FPERIOD_OVERRIDE=FQ","FILING_STATUS=OR","EQY_CONSOLIDATED=Y","Sort=A","Dates=H","DateFormat=P","Fill=—","Direction=H","UseDPDF=Y")</f>
        <v>#NAME?</v>
      </c>
      <c r="CI144" s="2" t="e">
        <f ca="1">_xll.BDH($C$128,"LT_DEBT_TO_TOT_CAP","FQ1 2017","FQ1 2017","Currency=INR","Period=FQ","BEST_FPERIOD_OVERRIDE=FQ","FILING_STATUS=OR","EQY_CONSOLIDATED=Y","Sort=A","Dates=H","DateFormat=P","Fill=—","Direction=H","UseDPDF=Y")</f>
        <v>#NAME?</v>
      </c>
      <c r="CJ144" s="2" t="e">
        <f ca="1">_xll.BDH($C$128,"LT_DEBT_TO_TOT_ASSET","FQ1 2017","FQ1 2017","Currency=INR","Period=FQ","BEST_FPERIOD_OVERRIDE=FQ","FILING_STATUS=OR","EQY_CONSOLIDATED=Y","Sort=A","Dates=H","DateFormat=P","Fill=—","Direction=H","UseDPDF=Y")</f>
        <v>#NAME?</v>
      </c>
      <c r="CK144" s="2" t="e">
        <f ca="1">_xll.BDH($C$128,"TOT_DEBT_TO_TOT_EQY","FQ1 2017","FQ1 2017","Currency=INR","Period=FQ","BEST_FPERIOD_OVERRIDE=FQ","FILING_STATUS=OR","EQY_CONSOLIDATED=Y","Sort=A","Dates=H","DateFormat=P","Fill=—","Direction=H","UseDPDF=Y")</f>
        <v>#NAME?</v>
      </c>
      <c r="CL144" s="2" t="e">
        <f ca="1">_xll.BDH($C$128,"TOT_DEBT_TO_TOT_CAP","FQ1 2017","FQ1 2017","Currency=INR","Period=FQ","BEST_FPERIOD_OVERRIDE=FQ","FILING_STATUS=OR","EQY_CONSOLIDATED=Y","Sort=A","Dates=H","DateFormat=P","Fill=—","Direction=H","UseDPDF=Y")</f>
        <v>#NAME?</v>
      </c>
      <c r="CM144" s="2" t="e">
        <f ca="1">_xll.BDH($C$128,"TOT_DEBT_TO_TOT_ASSET","FQ1 2017","FQ1 2017","Currency=INR","Period=FQ","BEST_FPERIOD_OVERRIDE=FQ","FILING_STATUS=OR","EQY_CONSOLIDATED=Y","Sort=A","Dates=H","DateFormat=P","Fill=—","Direction=H","UseDPDF=Y")</f>
        <v>#NAME?</v>
      </c>
      <c r="CN144" s="2" t="e">
        <f ca="1">_xll.BDH($C$128,"NET_DEBT_TO_SHRHLDR_EQTY","FQ1 2017","FQ1 2017","Currency=INR","Period=FQ","BEST_FPERIOD_OVERRIDE=FQ","FILING_STATUS=OR","EQY_CONSOLIDATED=Y","Sort=A","Dates=H","DateFormat=P","Fill=—","Direction=H","UseDPDF=Y")</f>
        <v>#NAME?</v>
      </c>
      <c r="CO144" s="2" t="e">
        <f ca="1">_xll.BDH($C$128,"NET_DEBT_%_CAPITAL","FQ1 2017","FQ1 2017","Currency=INR","Period=FQ","BEST_FPERIOD_OVERRIDE=FQ","FILING_STATUS=OR","EQY_CONSOLIDATED=Y","Sort=A","Dates=H","DateFormat=P","Fill=—","Direction=H","UseDPDF=Y")</f>
        <v>#NAME?</v>
      </c>
      <c r="CP144" s="3" t="e">
        <f ca="1">_xll.BDH($C$128,"EBITDA","FQ1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144" s="3" t="e">
        <f ca="1">_xll.BDH($C$128,"EBITDA_AFTER_CAPEX","FQ1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144" s="3" t="e">
        <f ca="1">_xll.BDH($C$128,"IS_OPER_INC","FQ1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144" s="2" t="e">
        <f ca="1">_xll.BDH($C$128,"CASH_RATIO","FQ1 2017","FQ1 2017","Currency=INR","Period=FQ","BEST_FPERIOD_OVERRIDE=FQ","FILING_STATUS=OR","EQY_CONSOLIDATED=Y","Sort=A","Dates=H","DateFormat=P","Fill=—","Direction=H","UseDPDF=Y")</f>
        <v>#NAME?</v>
      </c>
      <c r="CT144" s="2" t="e">
        <f ca="1">_xll.BDH($C$128,"CUR_RATIO","FQ1 2017","FQ1 2017","Currency=INR","Period=FQ","BEST_FPERIOD_OVERRIDE=FQ","FILING_STATUS=OR","EQY_CONSOLIDATED=Y","Sort=A","Dates=H","DateFormat=P","Fill=—","Direction=H","UseDPDF=Y")</f>
        <v>#NAME?</v>
      </c>
      <c r="CU144" s="2" t="e">
        <f ca="1">_xll.BDH($C$128,"QUICK_RATIO","FQ1 2017","FQ1 2017","Currency=INR","Period=FQ","BEST_FPERIOD_OVERRIDE=FQ","FILING_STATUS=OR","EQY_CONSOLIDATED=Y","Sort=A","Dates=H","DateFormat=P","Fill=—","Direction=H","UseDPDF=Y")</f>
        <v>#NAME?</v>
      </c>
      <c r="CV144" s="2" t="e">
        <f ca="1">_xll.BDH($C$128,"ALTMAN_Z_SCORE","FQ1 2017","FQ1 2017","Currency=INR","Period=FQ","BEST_FPERIOD_OVERRIDE=FQ","FILING_STATUS=OR","EQY_CONSOLIDATED=Y","Sort=A","Dates=H","DateFormat=P","Fill=—","Direction=H","UseDPDF=Y")</f>
        <v>#NAME?</v>
      </c>
      <c r="CW144" s="4" t="e">
        <f ca="1">_xll.BDH($C$128,"ACCT_RCV_TURN","FQ1 2017","FQ1 2017","Currency=INR","Period=FQ","BEST_FPERIOD_OVERRIDE=FQ","FILING_STATUS=OR","EQY_CONSOLIDATED=Y","FA_ADJUSTED=GAAP","Sort=A","Dates=H","DateFormat=P","Fill=—","Direction=H","UseDPDF=Y")</f>
        <v>#NAME?</v>
      </c>
      <c r="CX144" s="2" t="e">
        <f ca="1">_xll.BDH($C$128,"ACCT_RCV_DAYS","FQ1 2017","FQ1 2017","Currency=INR","Period=FQ","BEST_FPERIOD_OVERRIDE=FQ","FILING_STATUS=OR","EQY_CONSOLIDATED=Y","FA_ADJUSTED=GAAP","Sort=A","Dates=H","DateFormat=P","Fill=—","Direction=H","UseDPDF=Y")</f>
        <v>#NAME?</v>
      </c>
      <c r="CY144" s="4" t="e">
        <f ca="1">_xll.BDH($C$128,"INVENT_TURN","FQ1 2017","FQ1 2017","Currency=INR","Period=FQ","BEST_FPERIOD_OVERRIDE=FQ","FILING_STATUS=OR","EQY_CONSOLIDATED=Y","FA_ADJUSTED=GAAP","Sort=A","Dates=H","DateFormat=P","Fill=—","Direction=H","UseDPDF=Y")</f>
        <v>#NAME?</v>
      </c>
      <c r="CZ144" s="2" t="e">
        <f ca="1">_xll.BDH($C$128,"INVENT_DAYS","FQ1 2017","FQ1 2017","Currency=INR","Period=FQ","BEST_FPERIOD_OVERRIDE=FQ","FILING_STATUS=OR","EQY_CONSOLIDATED=Y","FA_ADJUSTED=GAAP","Sort=A","Dates=H","DateFormat=P","Fill=—","Direction=H","UseDPDF=Y")</f>
        <v>#NAME?</v>
      </c>
      <c r="DA144" s="4" t="e">
        <f ca="1">_xll.BDH($C$128,"ACCOUNTS_PAYABLE_TURNOVER","FQ1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144" s="2" t="e">
        <f ca="1">_xll.BDH($C$128,"ACCOUNTS_PAYABLE_TURNOVER_DAYS","FQ1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144" s="4" t="e">
        <f ca="1">_xll.BDH($C$128,"CASH_CONVERSION_CYCLE","FQ1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144" s="4" t="e">
        <f ca="1">_xll.BDH($C$128,"INV_TO_CASH_DAYS","FQ1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144" s="5" t="e">
        <f ca="1">_xll.BDH($C$128,"BS_INVENTORIES","FQ1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144" s="3" t="e">
        <f ca="1">_xll.BDH($C$128,"INVTRY_RAW_MATERIALS","FQ1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144" s="3" t="e">
        <f ca="1">_xll.BDH($C$128,"INVTRY_IN_PROGRESS","FQ1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144" s="3" t="e">
        <f ca="1">_xll.BDH($C$128,"INVTRY_FINISHED_GOODS","FQ1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144" s="3" t="e">
        <f ca="1">_xll.BDH($C$128,"BS_OTHER_INV","FQ1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145" spans="1:113" x14ac:dyDescent="0.3">
      <c r="A145" s="6"/>
      <c r="B145" s="6"/>
      <c r="C145" s="6"/>
      <c r="D145" s="6"/>
      <c r="E145" t="s">
        <v>79</v>
      </c>
      <c r="F145" t="e">
        <f ca="1">_xll.BDH($C$128,"RETURN_COM_EQY","FQ2 2017","FQ2 2017","Currency=INR","Period=FQ","BEST_FPERIOD_OVERRIDE=FQ","FILING_STATUS=OR","EQY_CONSOLIDATED=Y","FA_ADJUSTED=GAAP","Sort=A","Dates=H","DateFormat=P","Fill=—","Direction=H","UseDPDF=Y")</f>
        <v>#NAME?</v>
      </c>
      <c r="G145" t="e">
        <f ca="1">_xll.BDH($C$128,"RETURN_ON_ASSET","FQ2 2017","FQ2 2017","Currency=INR","Period=FQ","BEST_FPERIOD_OVERRIDE=FQ","FILING_STATUS=OR","EQY_CONSOLIDATED=Y","FA_ADJUSTED=GAAP","Sort=A","Dates=H","DateFormat=P","Fill=—","Direction=H","UseDPDF=Y")</f>
        <v>#NAME?</v>
      </c>
      <c r="H145" t="e">
        <f ca="1">_xll.BDH($C$128,"RETURN_ON_CAP","FQ2 2017","FQ2 2017","Currency=INR","Period=FQ","BEST_FPERIOD_OVERRIDE=FQ","FILING_STATUS=OR","EQY_CONSOLIDATED=Y","FA_ADJUSTED=GAAP","Sort=A","Dates=H","DateFormat=P","Fill=—","Direction=H","UseDPDF=Y")</f>
        <v>#NAME?</v>
      </c>
      <c r="I145" t="e">
        <f ca="1">_xll.BDH($C$128,"RETURN_ON_INV_CAPITAL","FQ2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145" t="e">
        <f ca="1">_xll.BDH($C$128,"EBITDA_TO_REVENUE","FQ2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145" t="e">
        <f ca="1">_xll.BDH($C$128,"OPER_MARGIN","FQ2 2017","FQ2 2017","Currency=INR","Period=FQ","BEST_FPERIOD_OVERRIDE=FQ","FILING_STATUS=OR","EQY_CONSOLIDATED=Y","FA_ADJUSTED=GAAP","Sort=A","Dates=H","DateFormat=P","Fill=—","Direction=H","UseDPDF=Y")</f>
        <v>#NAME?</v>
      </c>
      <c r="L145" t="e">
        <f ca="1">_xll.BDH($C$128,"INCREMENTAL_OPERATING_MARGIN","FQ2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145" t="e">
        <f ca="1">_xll.BDH($C$128,"PRETAX_INC_TO_NET_SALES","FQ2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145" t="e">
        <f ca="1">_xll.BDH($C$128,"INC_BEF_XO_ITEMS_TO_NET_SALES","FQ2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145" t="e">
        <f ca="1">_xll.BDH($C$128,"PROF_MARGIN","FQ2 2017","FQ2 2017","Currency=INR","Period=FQ","BEST_FPERIOD_OVERRIDE=FQ","FILING_STATUS=OR","EQY_CONSOLIDATED=Y","FA_ADJUSTED=GAAP","Sort=A","Dates=H","DateFormat=P","Fill=—","Direction=H","UseDPDF=Y")</f>
        <v>#NAME?</v>
      </c>
      <c r="P145" t="e">
        <f ca="1">_xll.BDH($C$128,"NET_INCOME_TO_COMMON_MARGIN","FQ2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145" t="e">
        <f ca="1">_xll.BDH($C$128,"EFF_TAX_RATE","FQ2 2017","FQ2 2017","Currency=INR","Period=FQ","BEST_FPERIOD_OVERRIDE=FQ","FILING_STATUS=OR","EQY_CONSOLIDATED=Y","FA_ADJUSTED=GAAP","Sort=A","Dates=H","DateFormat=P","Fill=—","Direction=H","UseDPDF=Y")</f>
        <v>#NAME?</v>
      </c>
      <c r="R145" t="e">
        <f ca="1">_xll.BDH($C$128,"DVD_PAYOUT_RATIO","FQ2 2017","FQ2 2017","Currency=INR","Period=FQ","BEST_FPERIOD_OVERRIDE=FQ","FILING_STATUS=OR","EQY_CONSOLIDATED=Y","FA_ADJUSTED=GAAP","Sort=A","Dates=H","DateFormat=P","Fill=—","Direction=H","UseDPDF=Y")</f>
        <v>#NAME?</v>
      </c>
      <c r="S145" t="e">
        <f ca="1">_xll.BDH($C$128,"SUSTAIN_GROWTH_RT","FQ2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145" s="2" t="e">
        <f ca="1">_xll.BDH($C$128,"SALES_GROWTH","FQ2 2017","FQ2 2017","Currency=INR","Period=FQ","BEST_FPERIOD_OVERRIDE=FQ","FILING_STATUS=OR","EQY_CONSOLIDATED=Y","FA_ADJUSTED=GAAP","Sort=A","Dates=H","DateFormat=P","Fill=—","Direction=H","UseDPDF=Y")</f>
        <v>#NAME?</v>
      </c>
      <c r="U145" s="2" t="e">
        <f ca="1">_xll.BDH($C$128,"EBITDA_GROWTH","FQ2 2017","FQ2 2017","Currency=INR","Period=FQ","BEST_FPERIOD_OVERRIDE=FQ","FILING_STATUS=OR","EQY_CONSOLIDATED=Y","FA_ADJUSTED=GAAP","Sort=A","Dates=H","DateFormat=P","Fill=—","Direction=H","UseDPDF=Y")</f>
        <v>#NAME?</v>
      </c>
      <c r="V145" s="2" t="e">
        <f ca="1">_xll.BDH($C$128,"OPER_INC_GROWTH","FQ2 2017","FQ2 2017","Currency=INR","Period=FQ","BEST_FPERIOD_OVERRIDE=FQ","FILING_STATUS=OR","EQY_CONSOLIDATED=Y","FA_ADJUSTED=GAAP","Sort=A","Dates=H","DateFormat=P","Fill=—","Direction=H","UseDPDF=Y")</f>
        <v>#NAME?</v>
      </c>
      <c r="W145" s="2" t="e">
        <f ca="1">_xll.BDH($C$128,"EARN_FOR_COM_GROWTH","FQ2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145" s="2" t="e">
        <f ca="1">_xll.BDH($C$128,"DILUTED_EPS_AFT_XO_ITEMS_GROWTH","FQ2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145" s="2" t="e">
        <f ca="1">_xll.BDH($C$128,"DIVIDEND_PER_SHARE_1_YEAR_GROWTH","FQ2 2017","FQ2 2017","Currency=INR","Period=FQ","BEST_FPERIOD_OVERRIDE=FQ","FILING_STATUS=OR","EQY_CONSOLIDATED=Y","Sort=A","Dates=H","DateFormat=P","Fill=—","Direction=H","UseDPDF=Y")</f>
        <v>#NAME?</v>
      </c>
      <c r="Z145" s="2" t="e">
        <f ca="1">_xll.BDH($C$128,"ACCOUNTS_RECEIVABLE_GROWTH","FQ2 2017","FQ2 2017","Currency=INR","Period=FQ","BEST_FPERIOD_OVERRIDE=FQ","FILING_STATUS=OR","EQY_CONSOLIDATED=Y","Sort=A","Dates=H","DateFormat=P","Fill=—","Direction=H","UseDPDF=Y")</f>
        <v>#NAME?</v>
      </c>
      <c r="AA145" s="2" t="e">
        <f ca="1">_xll.BDH($C$128,"INVENTORY_GROWTH","FQ2 2017","FQ2 2017","Currency=INR","Period=FQ","BEST_FPERIOD_OVERRIDE=FQ","FILING_STATUS=OR","EQY_CONSOLIDATED=Y","Sort=A","Dates=H","DateFormat=P","Fill=—","Direction=H","UseDPDF=Y")</f>
        <v>#NAME?</v>
      </c>
      <c r="AB145" s="2" t="e">
        <f ca="1">_xll.BDH($C$128,"NET_FIXED_ASSETS_1_YEAR_GROWTH","FQ2 2017","FQ2 2017","Currency=INR","Period=FQ","BEST_FPERIOD_OVERRIDE=FQ","FILING_STATUS=OR","EQY_CONSOLIDATED=Y","Sort=A","Dates=H","DateFormat=P","Fill=—","Direction=H","UseDPDF=Y")</f>
        <v>#NAME?</v>
      </c>
      <c r="AC145" s="2" t="e">
        <f ca="1">_xll.BDH($C$128,"ASSET_GROWTH","FQ2 2017","FQ2 2017","Currency=INR","Period=FQ","BEST_FPERIOD_OVERRIDE=FQ","FILING_STATUS=OR","EQY_CONSOLIDATED=Y","Sort=A","Dates=H","DateFormat=P","Fill=—","Direction=H","UseDPDF=Y")</f>
        <v>#NAME?</v>
      </c>
      <c r="AD145" s="2" t="e">
        <f ca="1">_xll.BDH($C$128,"MODIFIED_WORK_CAP_GROWTH","FQ2 2017","FQ2 2017","Currency=INR","Period=FQ","BEST_FPERIOD_OVERRIDE=FQ","FILING_STATUS=OR","EQY_CONSOLIDATED=Y","Sort=A","Dates=H","DateFormat=P","Fill=—","Direction=H","UseDPDF=Y")</f>
        <v>#NAME?</v>
      </c>
      <c r="AE145" s="2" t="e">
        <f ca="1">_xll.BDH($C$128,"WORK_CAP_GROWTH","FQ2 2017","FQ2 2017","Currency=INR","Period=FQ","BEST_FPERIOD_OVERRIDE=FQ","FILING_STATUS=OR","EQY_CONSOLIDATED=Y","Sort=A","Dates=H","DateFormat=P","Fill=—","Direction=H","UseDPDF=Y")</f>
        <v>#NAME?</v>
      </c>
      <c r="AF145" s="2" t="e">
        <f ca="1">_xll.BDH($C$128,"ACCOUNTS_PAYABLE_GROWTH_1YR","FQ2 2017","FQ2 2017","Currency=INR","Period=FQ","BEST_FPERIOD_OVERRIDE=FQ","FILING_STATUS=OR","EQY_CONSOLIDATED=Y","Sort=A","Dates=H","DateFormat=P","Fill=—","Direction=H","UseDPDF=Y")</f>
        <v>#NAME?</v>
      </c>
      <c r="AG145" s="2" t="e">
        <f ca="1">_xll.BDH($C$128,"SHORT_TERM_DEBT_1_YEAR_GROWTH","FQ2 2017","FQ2 2017","Currency=INR","Period=FQ","BEST_FPERIOD_OVERRIDE=FQ","FILING_STATUS=OR","EQY_CONSOLIDATED=Y","Sort=A","Dates=H","DateFormat=P","Fill=—","Direction=H","UseDPDF=Y")</f>
        <v>#NAME?</v>
      </c>
      <c r="AH145" s="2" t="e">
        <f ca="1">_xll.BDH($C$128,"TOTAL_DEBT_1_YEAR_GROWTH","FQ2 2017","FQ2 2017","Currency=INR","Period=FQ","BEST_FPERIOD_OVERRIDE=FQ","FILING_STATUS=OR","EQY_CONSOLIDATED=Y","Sort=A","Dates=H","DateFormat=P","Fill=—","Direction=H","UseDPDF=Y")</f>
        <v>#NAME?</v>
      </c>
      <c r="AI145" s="2" t="e">
        <f ca="1">_xll.BDH($C$128,"TOTAL_EQUITY_1_YEAR_GROWTH","FQ2 2017","FQ2 2017","Currency=INR","Period=FQ","BEST_FPERIOD_OVERRIDE=FQ","FILING_STATUS=OR","EQY_CONSOLIDATED=Y","Sort=A","Dates=H","DateFormat=P","Fill=—","Direction=H","UseDPDF=Y")</f>
        <v>#NAME?</v>
      </c>
      <c r="AJ145" s="2" t="e">
        <f ca="1">_xll.BDH($C$128,"GROWTH_IN_CAP","FQ2 2017","FQ2 2017","Currency=INR","Period=FQ","BEST_FPERIOD_OVERRIDE=FQ","FILING_STATUS=OR","EQY_CONSOLIDATED=Y","Sort=A","Dates=H","DateFormat=P","Fill=—","Direction=H","UseDPDF=Y")</f>
        <v>#NAME?</v>
      </c>
      <c r="AK145" s="2" t="e">
        <f ca="1">_xll.BDH($C$128,"BVPS_GROWTH","FQ2 2017","FQ2 2017","Currency=INR","Period=FQ","BEST_FPERIOD_OVERRIDE=FQ","FILING_STATUS=OR","EQY_CONSOLIDATED=Y","Sort=A","Dates=H","DateFormat=P","Fill=—","Direction=H","UseDPDF=Y")</f>
        <v>#NAME?</v>
      </c>
      <c r="AL145" s="2" t="e">
        <f ca="1">_xll.BDH($C$128,"CASH_FLOW_GROWTH","FQ2 2017","FQ2 2017","Currency=INR","Period=FQ","BEST_FPERIOD_OVERRIDE=FQ","FILING_STATUS=OR","EQY_CONSOLIDATED=Y","Sort=A","Dates=H","DateFormat=P","Fill=—","Direction=H","UseDPDF=Y")</f>
        <v>#NAME?</v>
      </c>
      <c r="AM145" s="2" t="e">
        <f ca="1">_xll.BDH($C$128,"GEO_GROW_NET_SALES","FQ2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145" s="2" t="e">
        <f ca="1">_xll.BDH($C$128,"GEO_GROW_EBITDA","FQ2 2017","FQ2 2017","Currency=INR","Period=FQ","BEST_FPERIOD_OVERRIDE=FQ","FILING_STATUS=OR","EQY_CONSOLIDATED=Y","FA_ADJUSTED=GAAP","Sort=A","Dates=H","DateFormat=P","Fill=—","Direction=H","UseDPDF=Y")</f>
        <v>#NAME?</v>
      </c>
      <c r="AO145" s="2" t="e">
        <f ca="1">_xll.BDH($C$128,"GEO_GROW_OPER_INC","FQ2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145" s="2" t="e">
        <f ca="1">_xll.BDH($C$128,"NET_INCOME_TO_COMMON_5_YR_GROWTH","FQ2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145" s="2" t="e">
        <f ca="1">_xll.BDH($C$128,"5Y_GEO_GROWTH_DILUTED_EPS","FQ2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145" s="2" t="e">
        <f ca="1">_xll.BDH($C$128,"GEO_GROW_DVD_PER_SH","FQ2 2017","FQ2 2017","Currency=INR","Period=FQ","BEST_FPERIOD_OVERRIDE=FQ","FILING_STATUS=OR","EQY_CONSOLIDATED=Y","Sort=A","Dates=H","DateFormat=P","Fill=—","Direction=H","UseDPDF=Y")</f>
        <v>#NAME?</v>
      </c>
      <c r="AS145" s="2" t="e">
        <f ca="1">_xll.BDH($C$128,"ACCOUNTS_RECEIVABLE_5_YR_GROWTH","FQ2 2017","FQ2 2017","Currency=INR","Period=FQ","BEST_FPERIOD_OVERRIDE=FQ","FILING_STATUS=OR","EQY_CONSOLIDATED=Y","Sort=A","Dates=H","DateFormat=P","Fill=—","Direction=H","UseDPDF=Y")</f>
        <v>#NAME?</v>
      </c>
      <c r="AT145" s="2" t="e">
        <f ca="1">_xll.BDH($C$128,"INVENTORY_5_YEAR_GROWTH","FQ2 2017","FQ2 2017","Currency=INR","Period=FQ","BEST_FPERIOD_OVERRIDE=FQ","FILING_STATUS=OR","EQY_CONSOLIDATED=Y","Sort=A","Dates=H","DateFormat=P","Fill=—","Direction=H","UseDPDF=Y")</f>
        <v>#NAME?</v>
      </c>
      <c r="AU145" s="2" t="e">
        <f ca="1">_xll.BDH($C$128,"NET_FIXED_ASSETS_5_YEAR_GROWTH","FQ2 2017","FQ2 2017","Currency=INR","Period=FQ","BEST_FPERIOD_OVERRIDE=FQ","FILING_STATUS=OR","EQY_CONSOLIDATED=Y","Sort=A","Dates=H","DateFormat=P","Fill=—","Direction=H","UseDPDF=Y")</f>
        <v>#NAME?</v>
      </c>
      <c r="AV145" s="2" t="e">
        <f ca="1">_xll.BDH($C$128,"GEO_GROW_TOT_ASSET","FQ2 2017","FQ2 2017","Currency=INR","Period=FQ","BEST_FPERIOD_OVERRIDE=FQ","FILING_STATUS=OR","EQY_CONSOLIDATED=Y","Sort=A","Dates=H","DateFormat=P","Fill=—","Direction=H","UseDPDF=Y")</f>
        <v>#NAME?</v>
      </c>
      <c r="AW145" s="2" t="e">
        <f ca="1">_xll.BDH($C$128,"MODIFIED_WORKING_CPTL_5YR_GRWTH","FQ2 2017","FQ2 2017","Currency=INR","Period=FQ","BEST_FPERIOD_OVERRIDE=FQ","FILING_STATUS=OR","EQY_CONSOLIDATED=Y","Sort=A","Dates=H","DateFormat=P","Fill=—","Direction=H","UseDPDF=Y")</f>
        <v>#NAME?</v>
      </c>
      <c r="AX145" s="2" t="e">
        <f ca="1">_xll.BDH($C$128,"WORKING_CAPITAL_5_YEAR_GROWTH","FQ2 2017","FQ2 2017","Currency=INR","Period=FQ","BEST_FPERIOD_OVERRIDE=FQ","FILING_STATUS=OR","EQY_CONSOLIDATED=Y","Sort=A","Dates=H","DateFormat=P","Fill=—","Direction=H","UseDPDF=Y")</f>
        <v>#NAME?</v>
      </c>
      <c r="AY145" s="2" t="e">
        <f ca="1">_xll.BDH($C$128,"ACCOUNTS_PAYABLE_5_YEAR_GROWTH","FQ2 2017","FQ2 2017","Currency=INR","Period=FQ","BEST_FPERIOD_OVERRIDE=FQ","FILING_STATUS=OR","EQY_CONSOLIDATED=Y","Sort=A","Dates=H","DateFormat=P","Fill=—","Direction=H","UseDPDF=Y")</f>
        <v>#NAME?</v>
      </c>
      <c r="AZ145" s="2" t="e">
        <f ca="1">_xll.BDH($C$128,"SHORT_TERM_DEBT_5_YEAR_GROWTH","FQ2 2017","FQ2 2017","Currency=INR","Period=FQ","BEST_FPERIOD_OVERRIDE=FQ","FILING_STATUS=OR","EQY_CONSOLIDATED=Y","Sort=A","Dates=H","DateFormat=P","Fill=—","Direction=H","UseDPDF=Y")</f>
        <v>#NAME?</v>
      </c>
      <c r="BA145" s="2" t="e">
        <f ca="1">_xll.BDH($C$128,"TOTAL_DEBT_5_YEAR_GROWTH","FQ2 2017","FQ2 2017","Currency=INR","Period=FQ","BEST_FPERIOD_OVERRIDE=FQ","FILING_STATUS=OR","EQY_CONSOLIDATED=Y","Sort=A","Dates=H","DateFormat=P","Fill=—","Direction=H","UseDPDF=Y")</f>
        <v>#NAME?</v>
      </c>
      <c r="BB145" s="2" t="e">
        <f ca="1">_xll.BDH($C$128,"GEO_GROW_TOT_SHRHLDR_EQY","FQ2 2017","FQ2 2017","Currency=INR","Period=FQ","BEST_FPERIOD_OVERRIDE=FQ","FILING_STATUS=OR","EQY_CONSOLIDATED=Y","Sort=A","Dates=H","DateFormat=P","Fill=—","Direction=H","UseDPDF=Y")</f>
        <v>#NAME?</v>
      </c>
      <c r="BC145" s="2" t="e">
        <f ca="1">_xll.BDH($C$128,"TOTAL_CAPITAL_5_YEAR_GROWTH","FQ2 2017","FQ2 2017","Currency=INR","Period=FQ","BEST_FPERIOD_OVERRIDE=FQ","FILING_STATUS=OR","EQY_CONSOLIDATED=Y","Sort=A","Dates=H","DateFormat=P","Fill=—","Direction=H","UseDPDF=Y")</f>
        <v>#NAME?</v>
      </c>
      <c r="BD145" s="2" t="e">
        <f ca="1">_xll.BDH($C$128,"GEO_GROW_BOOK_VAL","FQ2 2017","FQ2 2017","Currency=INR","Period=FQ","BEST_FPERIOD_OVERRIDE=FQ","FILING_STATUS=OR","EQY_CONSOLIDATED=Y","Sort=A","Dates=H","DateFormat=P","Fill=—","Direction=H","UseDPDF=Y")</f>
        <v>#NAME?</v>
      </c>
      <c r="BE145" s="2" t="e">
        <f ca="1">_xll.BDH($C$128,"GEO_GROW_CASH_OPER_ACT","FQ2 2017","FQ2 2017","Currency=INR","Period=FQ","BEST_FPERIOD_OVERRIDE=FQ","FILING_STATUS=OR","EQY_CONSOLIDATED=Y","Sort=A","Dates=H","DateFormat=P","Fill=—","Direction=H","UseDPDF=Y")</f>
        <v>#NAME?</v>
      </c>
      <c r="BF145" s="2" t="e">
        <f ca="1">_xll.BDH($C$128,"REVENUE_SEQUENTIAL_GROWTH","FQ2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145" s="2" t="e">
        <f ca="1">_xll.BDH($C$128,"EBITDA_SEQUENTIAL_GROWTH","FQ2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145" s="2" t="e">
        <f ca="1">_xll.BDH($C$128,"OPERATING_INCOME_SEQ_GROWTH","FQ2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145" s="2" t="e">
        <f ca="1">_xll.BDH($C$128,"NET_INCOME_TO_COMMON_SEQ_GROWTH","FQ2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145" s="2" t="e">
        <f ca="1">_xll.BDH($C$128,"EPS_DILUTED_SEQUENTIAL_GROWTH","FQ2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145" s="2" t="e">
        <f ca="1">_xll.BDH($C$128,"DPS_SEQUENTIAL_GROWTH","FQ2 2017","FQ2 2017","Currency=INR","Period=FQ","BEST_FPERIOD_OVERRIDE=FQ","FILING_STATUS=OR","EQY_CONSOLIDATED=Y","Sort=A","Dates=H","DateFormat=P","Fill=—","Direction=H","UseDPDF=Y")</f>
        <v>#NAME?</v>
      </c>
      <c r="BL145" s="2" t="e">
        <f ca="1">_xll.BDH($C$128,"ACCOUNTS_RECEIVABLE_SEQ_GROWTH","FQ2 2017","FQ2 2017","Currency=INR","Period=FQ","BEST_FPERIOD_OVERRIDE=FQ","FILING_STATUS=OR","EQY_CONSOLIDATED=Y","Sort=A","Dates=H","DateFormat=P","Fill=—","Direction=H","UseDPDF=Y")</f>
        <v>#NAME?</v>
      </c>
      <c r="BM145" s="2" t="e">
        <f ca="1">_xll.BDH($C$128,"INVENTORY_SEQUENTIAL_GROWTH","FQ2 2017","FQ2 2017","Currency=INR","Period=FQ","BEST_FPERIOD_OVERRIDE=FQ","FILING_STATUS=OR","EQY_CONSOLIDATED=Y","Sort=A","Dates=H","DateFormat=P","Fill=—","Direction=H","UseDPDF=Y")</f>
        <v>#NAME?</v>
      </c>
      <c r="BN145" s="2" t="e">
        <f ca="1">_xll.BDH($C$128,"FIXED_ASSETS_SEQUENTIAL_GROWTH","FQ2 2017","FQ2 2017","Currency=INR","Period=FQ","BEST_FPERIOD_OVERRIDE=FQ","FILING_STATUS=OR","EQY_CONSOLIDATED=Y","Sort=A","Dates=H","DateFormat=P","Fill=—","Direction=H","UseDPDF=Y")</f>
        <v>#NAME?</v>
      </c>
      <c r="BO145" s="2" t="e">
        <f ca="1">_xll.BDH($C$128,"TOTAL_ASSETS_SEQUENTIAL_GROWTH","FQ2 2017","FQ2 2017","Currency=INR","Period=FQ","BEST_FPERIOD_OVERRIDE=FQ","FILING_STATUS=OR","EQY_CONSOLIDATED=Y","Sort=A","Dates=H","DateFormat=P","Fill=—","Direction=H","UseDPDF=Y")</f>
        <v>#NAME?</v>
      </c>
      <c r="BP145" s="2" t="e">
        <f ca="1">_xll.BDH($C$128,"MODIFIED_WORKING_CPTL_SEQ_GRWTH","FQ2 2017","FQ2 2017","Currency=INR","Period=FQ","BEST_FPERIOD_OVERRIDE=FQ","FILING_STATUS=OR","EQY_CONSOLIDATED=Y","Sort=A","Dates=H","DateFormat=P","Fill=—","Direction=H","UseDPDF=Y")</f>
        <v>#NAME?</v>
      </c>
      <c r="BQ145" s="2" t="e">
        <f ca="1">_xll.BDH($C$128,"WORKING_CAPITAL_SEQ_GROWTH","FQ2 2017","FQ2 2017","Currency=INR","Period=FQ","BEST_FPERIOD_OVERRIDE=FQ","FILING_STATUS=OR","EQY_CONSOLIDATED=Y","Sort=A","Dates=H","DateFormat=P","Fill=—","Direction=H","UseDPDF=Y")</f>
        <v>#NAME?</v>
      </c>
      <c r="BR145" s="2" t="e">
        <f ca="1">_xll.BDH($C$128,"ACCOUNTS_PAYABLE_SEQ_GROWTH","FQ2 2017","FQ2 2017","Currency=INR","Period=FQ","BEST_FPERIOD_OVERRIDE=FQ","FILING_STATUS=OR","EQY_CONSOLIDATED=Y","Sort=A","Dates=H","DateFormat=P","Fill=—","Direction=H","UseDPDF=Y")</f>
        <v>#NAME?</v>
      </c>
      <c r="BS145" s="2" t="e">
        <f ca="1">_xll.BDH($C$128,"ST_DEBT_SEQUENTIAL_GROWTH","FQ2 2017","FQ2 2017","Currency=INR","Period=FQ","BEST_FPERIOD_OVERRIDE=FQ","FILING_STATUS=OR","EQY_CONSOLIDATED=Y","Sort=A","Dates=H","DateFormat=P","Fill=—","Direction=H","UseDPDF=Y")</f>
        <v>#NAME?</v>
      </c>
      <c r="BT145" s="2" t="e">
        <f ca="1">_xll.BDH($C$128,"TOTAL_DEBT_SEQUENTIAL_GROWTH","FQ2 2017","FQ2 2017","Currency=INR","Period=FQ","BEST_FPERIOD_OVERRIDE=FQ","FILING_STATUS=OR","EQY_CONSOLIDATED=Y","Sort=A","Dates=H","DateFormat=P","Fill=—","Direction=H","UseDPDF=Y")</f>
        <v>#NAME?</v>
      </c>
      <c r="BU145" s="2" t="e">
        <f ca="1">_xll.BDH($C$128,"TOTAL_EQUITY_SEQUENTIAL_GROWTH","FQ2 2017","FQ2 2017","Currency=INR","Period=FQ","BEST_FPERIOD_OVERRIDE=FQ","FILING_STATUS=OR","EQY_CONSOLIDATED=Y","Sort=A","Dates=H","DateFormat=P","Fill=—","Direction=H","UseDPDF=Y")</f>
        <v>#NAME?</v>
      </c>
      <c r="BV145" s="2" t="e">
        <f ca="1">_xll.BDH($C$128,"TOTAL_CAPITAL_SEQUENTIAL_GROWTH","FQ2 2017","FQ2 2017","Currency=INR","Period=FQ","BEST_FPERIOD_OVERRIDE=FQ","FILING_STATUS=OR","EQY_CONSOLIDATED=Y","Sort=A","Dates=H","DateFormat=P","Fill=—","Direction=H","UseDPDF=Y")</f>
        <v>#NAME?</v>
      </c>
      <c r="BW145" s="2" t="e">
        <f ca="1">_xll.BDH($C$128,"BPS_SEQUENTIAL_GROWTH","FQ2 2017","FQ2 2017","Currency=INR","Period=FQ","BEST_FPERIOD_OVERRIDE=FQ","FILING_STATUS=OR","EQY_CONSOLIDATED=Y","Sort=A","Dates=H","DateFormat=P","Fill=—","Direction=H","UseDPDF=Y")</f>
        <v>#NAME?</v>
      </c>
      <c r="BX145" s="2" t="e">
        <f ca="1">_xll.BDH($C$128,"CFO_SEQUENTIAL_GROWTH","FQ2 2017","FQ2 2017","Currency=INR","Period=FQ","BEST_FPERIOD_OVERRIDE=FQ","FILING_STATUS=OR","EQY_CONSOLIDATED=Y","Sort=A","Dates=H","DateFormat=P","Fill=—","Direction=H","UseDPDF=Y")</f>
        <v>#NAME?</v>
      </c>
      <c r="BY145" s="3" t="e">
        <f ca="1">_xll.BDH($C$128,"SHORT_AND_LONG_TERM_DEBT","FQ2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145" s="3" t="e">
        <f ca="1">_xll.BDH($C$128,"BS_ST_BORROW","FQ2 2017","FQ2 2017","Currency=INR","Period=FQ","BEST_FPERIOD_OVERRIDE=FQ","FILING_STATUS=OR","EQY_CONSOLIDATED=Y","SCALING_FORMAT=MLN","Sort=A","Dates=H","DateFormat=P","Fill=—","Direction=H","UseDPDF=Y")</f>
        <v>#NAME?</v>
      </c>
      <c r="CA145" s="3" t="e">
        <f ca="1">_xll.BDH($C$128,"BS_LT_BORROW","FQ2 2017","FQ2 2017","Currency=INR","Period=FQ","BEST_FPERIOD_OVERRIDE=FQ","FILING_STATUS=OR","EQY_CONSOLIDATED=Y","SCALING_FORMAT=MLN","Sort=A","Dates=H","DateFormat=P","Fill=—","Direction=H","UseDPDF=Y")</f>
        <v>#NAME?</v>
      </c>
      <c r="CB145" s="2" t="e">
        <f ca="1">_xll.BDH($C$128,"TOT_DEBT_TO_EBITDA","FQ2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145" s="2" t="e">
        <f ca="1">_xll.BDH($C$128,"NET_DEBT_TO_EBITDA","FQ2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145" s="2" t="e">
        <f ca="1">_xll.BDH($C$128,"TOTAL_DEBT_TO_EBIT","FQ2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145" s="2" t="e">
        <f ca="1">_xll.BDH($C$128,"NET_DEBT_TO_EBIT","FQ2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145" s="2" t="e">
        <f ca="1">_xll.BDH($C$128,"EBITDA_TO_INTEREST_EXPN","FQ2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145" s="2" t="e">
        <f ca="1">_xll.BDH($C$128,"COM_EQY_TO_TOT_ASSET","FQ2 2017","FQ2 2017","Currency=INR","Period=FQ","BEST_FPERIOD_OVERRIDE=FQ","FILING_STATUS=OR","EQY_CONSOLIDATED=Y","Sort=A","Dates=H","DateFormat=P","Fill=—","Direction=H","UseDPDF=Y")</f>
        <v>#NAME?</v>
      </c>
      <c r="CH145" s="2" t="e">
        <f ca="1">_xll.BDH($C$128,"LT_DEBT_TO_TOT_EQY","FQ2 2017","FQ2 2017","Currency=INR","Period=FQ","BEST_FPERIOD_OVERRIDE=FQ","FILING_STATUS=OR","EQY_CONSOLIDATED=Y","Sort=A","Dates=H","DateFormat=P","Fill=—","Direction=H","UseDPDF=Y")</f>
        <v>#NAME?</v>
      </c>
      <c r="CI145" s="2" t="e">
        <f ca="1">_xll.BDH($C$128,"LT_DEBT_TO_TOT_CAP","FQ2 2017","FQ2 2017","Currency=INR","Period=FQ","BEST_FPERIOD_OVERRIDE=FQ","FILING_STATUS=OR","EQY_CONSOLIDATED=Y","Sort=A","Dates=H","DateFormat=P","Fill=—","Direction=H","UseDPDF=Y")</f>
        <v>#NAME?</v>
      </c>
      <c r="CJ145" s="2" t="e">
        <f ca="1">_xll.BDH($C$128,"LT_DEBT_TO_TOT_ASSET","FQ2 2017","FQ2 2017","Currency=INR","Period=FQ","BEST_FPERIOD_OVERRIDE=FQ","FILING_STATUS=OR","EQY_CONSOLIDATED=Y","Sort=A","Dates=H","DateFormat=P","Fill=—","Direction=H","UseDPDF=Y")</f>
        <v>#NAME?</v>
      </c>
      <c r="CK145" s="2" t="e">
        <f ca="1">_xll.BDH($C$128,"TOT_DEBT_TO_TOT_EQY","FQ2 2017","FQ2 2017","Currency=INR","Period=FQ","BEST_FPERIOD_OVERRIDE=FQ","FILING_STATUS=OR","EQY_CONSOLIDATED=Y","Sort=A","Dates=H","DateFormat=P","Fill=—","Direction=H","UseDPDF=Y")</f>
        <v>#NAME?</v>
      </c>
      <c r="CL145" s="2" t="e">
        <f ca="1">_xll.BDH($C$128,"TOT_DEBT_TO_TOT_CAP","FQ2 2017","FQ2 2017","Currency=INR","Period=FQ","BEST_FPERIOD_OVERRIDE=FQ","FILING_STATUS=OR","EQY_CONSOLIDATED=Y","Sort=A","Dates=H","DateFormat=P","Fill=—","Direction=H","UseDPDF=Y")</f>
        <v>#NAME?</v>
      </c>
      <c r="CM145" s="2" t="e">
        <f ca="1">_xll.BDH($C$128,"TOT_DEBT_TO_TOT_ASSET","FQ2 2017","FQ2 2017","Currency=INR","Period=FQ","BEST_FPERIOD_OVERRIDE=FQ","FILING_STATUS=OR","EQY_CONSOLIDATED=Y","Sort=A","Dates=H","DateFormat=P","Fill=—","Direction=H","UseDPDF=Y")</f>
        <v>#NAME?</v>
      </c>
      <c r="CN145" s="2" t="e">
        <f ca="1">_xll.BDH($C$128,"NET_DEBT_TO_SHRHLDR_EQTY","FQ2 2017","FQ2 2017","Currency=INR","Period=FQ","BEST_FPERIOD_OVERRIDE=FQ","FILING_STATUS=OR","EQY_CONSOLIDATED=Y","Sort=A","Dates=H","DateFormat=P","Fill=—","Direction=H","UseDPDF=Y")</f>
        <v>#NAME?</v>
      </c>
      <c r="CO145" s="2" t="e">
        <f ca="1">_xll.BDH($C$128,"NET_DEBT_%_CAPITAL","FQ2 2017","FQ2 2017","Currency=INR","Period=FQ","BEST_FPERIOD_OVERRIDE=FQ","FILING_STATUS=OR","EQY_CONSOLIDATED=Y","Sort=A","Dates=H","DateFormat=P","Fill=—","Direction=H","UseDPDF=Y")</f>
        <v>#NAME?</v>
      </c>
      <c r="CP145" s="3" t="e">
        <f ca="1">_xll.BDH($C$128,"EBITDA","FQ2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145" s="3" t="e">
        <f ca="1">_xll.BDH($C$128,"EBITDA_AFTER_CAPEX","FQ2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145" s="3" t="e">
        <f ca="1">_xll.BDH($C$128,"IS_OPER_INC","FQ2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145" s="2" t="e">
        <f ca="1">_xll.BDH($C$128,"CASH_RATIO","FQ2 2017","FQ2 2017","Currency=INR","Period=FQ","BEST_FPERIOD_OVERRIDE=FQ","FILING_STATUS=OR","EQY_CONSOLIDATED=Y","Sort=A","Dates=H","DateFormat=P","Fill=—","Direction=H","UseDPDF=Y")</f>
        <v>#NAME?</v>
      </c>
      <c r="CT145" s="2" t="e">
        <f ca="1">_xll.BDH($C$128,"CUR_RATIO","FQ2 2017","FQ2 2017","Currency=INR","Period=FQ","BEST_FPERIOD_OVERRIDE=FQ","FILING_STATUS=OR","EQY_CONSOLIDATED=Y","Sort=A","Dates=H","DateFormat=P","Fill=—","Direction=H","UseDPDF=Y")</f>
        <v>#NAME?</v>
      </c>
      <c r="CU145" s="2" t="e">
        <f ca="1">_xll.BDH($C$128,"QUICK_RATIO","FQ2 2017","FQ2 2017","Currency=INR","Period=FQ","BEST_FPERIOD_OVERRIDE=FQ","FILING_STATUS=OR","EQY_CONSOLIDATED=Y","Sort=A","Dates=H","DateFormat=P","Fill=—","Direction=H","UseDPDF=Y")</f>
        <v>#NAME?</v>
      </c>
      <c r="CV145" s="2" t="e">
        <f ca="1">_xll.BDH($C$128,"ALTMAN_Z_SCORE","FQ2 2017","FQ2 2017","Currency=INR","Period=FQ","BEST_FPERIOD_OVERRIDE=FQ","FILING_STATUS=OR","EQY_CONSOLIDATED=Y","Sort=A","Dates=H","DateFormat=P","Fill=—","Direction=H","UseDPDF=Y")</f>
        <v>#NAME?</v>
      </c>
      <c r="CW145" s="4" t="e">
        <f ca="1">_xll.BDH($C$128,"ACCT_RCV_TURN","FQ2 2017","FQ2 2017","Currency=INR","Period=FQ","BEST_FPERIOD_OVERRIDE=FQ","FILING_STATUS=OR","EQY_CONSOLIDATED=Y","FA_ADJUSTED=GAAP","Sort=A","Dates=H","DateFormat=P","Fill=—","Direction=H","UseDPDF=Y")</f>
        <v>#NAME?</v>
      </c>
      <c r="CX145" s="2" t="e">
        <f ca="1">_xll.BDH($C$128,"ACCT_RCV_DAYS","FQ2 2017","FQ2 2017","Currency=INR","Period=FQ","BEST_FPERIOD_OVERRIDE=FQ","FILING_STATUS=OR","EQY_CONSOLIDATED=Y","FA_ADJUSTED=GAAP","Sort=A","Dates=H","DateFormat=P","Fill=—","Direction=H","UseDPDF=Y")</f>
        <v>#NAME?</v>
      </c>
      <c r="CY145" s="4" t="e">
        <f ca="1">_xll.BDH($C$128,"INVENT_TURN","FQ2 2017","FQ2 2017","Currency=INR","Period=FQ","BEST_FPERIOD_OVERRIDE=FQ","FILING_STATUS=OR","EQY_CONSOLIDATED=Y","FA_ADJUSTED=GAAP","Sort=A","Dates=H","DateFormat=P","Fill=—","Direction=H","UseDPDF=Y")</f>
        <v>#NAME?</v>
      </c>
      <c r="CZ145" s="2" t="e">
        <f ca="1">_xll.BDH($C$128,"INVENT_DAYS","FQ2 2017","FQ2 2017","Currency=INR","Period=FQ","BEST_FPERIOD_OVERRIDE=FQ","FILING_STATUS=OR","EQY_CONSOLIDATED=Y","FA_ADJUSTED=GAAP","Sort=A","Dates=H","DateFormat=P","Fill=—","Direction=H","UseDPDF=Y")</f>
        <v>#NAME?</v>
      </c>
      <c r="DA145" s="4" t="e">
        <f ca="1">_xll.BDH($C$128,"ACCOUNTS_PAYABLE_TURNOVER","FQ2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145" s="2" t="e">
        <f ca="1">_xll.BDH($C$128,"ACCOUNTS_PAYABLE_TURNOVER_DAYS","FQ2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145" s="4" t="e">
        <f ca="1">_xll.BDH($C$128,"CASH_CONVERSION_CYCLE","FQ2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145" s="4" t="e">
        <f ca="1">_xll.BDH($C$128,"INV_TO_CASH_DAYS","FQ2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145" s="5" t="e">
        <f ca="1">_xll.BDH($C$128,"BS_INVENTORIES","FQ2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145" s="3" t="e">
        <f ca="1">_xll.BDH($C$128,"INVTRY_RAW_MATERIALS","FQ2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145" s="3" t="e">
        <f ca="1">_xll.BDH($C$128,"INVTRY_IN_PROGRESS","FQ2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145" s="3" t="e">
        <f ca="1">_xll.BDH($C$128,"INVTRY_FINISHED_GOODS","FQ2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145" s="3" t="e">
        <f ca="1">_xll.BDH($C$128,"BS_OTHER_INV","FQ2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146" spans="1:113" x14ac:dyDescent="0.3">
      <c r="A146" s="6"/>
      <c r="B146" s="6"/>
      <c r="C146" s="6"/>
      <c r="D146" s="6"/>
      <c r="E146" t="s">
        <v>80</v>
      </c>
      <c r="F146" t="e">
        <f ca="1">_xll.BDH($C$128,"RETURN_COM_EQY","FQ3 2017","FQ3 2017","Currency=INR","Period=FQ","BEST_FPERIOD_OVERRIDE=FQ","FILING_STATUS=OR","EQY_CONSOLIDATED=Y","FA_ADJUSTED=GAAP","Sort=A","Dates=H","DateFormat=P","Fill=—","Direction=H","UseDPDF=Y")</f>
        <v>#NAME?</v>
      </c>
      <c r="G146" t="e">
        <f ca="1">_xll.BDH($C$128,"RETURN_ON_ASSET","FQ3 2017","FQ3 2017","Currency=INR","Period=FQ","BEST_FPERIOD_OVERRIDE=FQ","FILING_STATUS=OR","EQY_CONSOLIDATED=Y","FA_ADJUSTED=GAAP","Sort=A","Dates=H","DateFormat=P","Fill=—","Direction=H","UseDPDF=Y")</f>
        <v>#NAME?</v>
      </c>
      <c r="H146" t="e">
        <f ca="1">_xll.BDH($C$128,"RETURN_ON_CAP","FQ3 2017","FQ3 2017","Currency=INR","Period=FQ","BEST_FPERIOD_OVERRIDE=FQ","FILING_STATUS=OR","EQY_CONSOLIDATED=Y","FA_ADJUSTED=GAAP","Sort=A","Dates=H","DateFormat=P","Fill=—","Direction=H","UseDPDF=Y")</f>
        <v>#NAME?</v>
      </c>
      <c r="I146" t="e">
        <f ca="1">_xll.BDH($C$128,"RETURN_ON_INV_CAPITAL","FQ3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146" t="e">
        <f ca="1">_xll.BDH($C$128,"EBITDA_TO_REVENUE","FQ3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146" t="e">
        <f ca="1">_xll.BDH($C$128,"OPER_MARGIN","FQ3 2017","FQ3 2017","Currency=INR","Period=FQ","BEST_FPERIOD_OVERRIDE=FQ","FILING_STATUS=OR","EQY_CONSOLIDATED=Y","FA_ADJUSTED=GAAP","Sort=A","Dates=H","DateFormat=P","Fill=—","Direction=H","UseDPDF=Y")</f>
        <v>#NAME?</v>
      </c>
      <c r="L146" t="e">
        <f ca="1">_xll.BDH($C$128,"INCREMENTAL_OPERATING_MARGIN","FQ3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146" t="e">
        <f ca="1">_xll.BDH($C$128,"PRETAX_INC_TO_NET_SALES","FQ3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146" t="e">
        <f ca="1">_xll.BDH($C$128,"INC_BEF_XO_ITEMS_TO_NET_SALES","FQ3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146" t="e">
        <f ca="1">_xll.BDH($C$128,"PROF_MARGIN","FQ3 2017","FQ3 2017","Currency=INR","Period=FQ","BEST_FPERIOD_OVERRIDE=FQ","FILING_STATUS=OR","EQY_CONSOLIDATED=Y","FA_ADJUSTED=GAAP","Sort=A","Dates=H","DateFormat=P","Fill=—","Direction=H","UseDPDF=Y")</f>
        <v>#NAME?</v>
      </c>
      <c r="P146" t="e">
        <f ca="1">_xll.BDH($C$128,"NET_INCOME_TO_COMMON_MARGIN","FQ3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146" t="e">
        <f ca="1">_xll.BDH($C$128,"EFF_TAX_RATE","FQ3 2017","FQ3 2017","Currency=INR","Period=FQ","BEST_FPERIOD_OVERRIDE=FQ","FILING_STATUS=OR","EQY_CONSOLIDATED=Y","FA_ADJUSTED=GAAP","Sort=A","Dates=H","DateFormat=P","Fill=—","Direction=H","UseDPDF=Y")</f>
        <v>#NAME?</v>
      </c>
      <c r="R146" t="e">
        <f ca="1">_xll.BDH($C$128,"DVD_PAYOUT_RATIO","FQ3 2017","FQ3 2017","Currency=INR","Period=FQ","BEST_FPERIOD_OVERRIDE=FQ","FILING_STATUS=OR","EQY_CONSOLIDATED=Y","FA_ADJUSTED=GAAP","Sort=A","Dates=H","DateFormat=P","Fill=—","Direction=H","UseDPDF=Y")</f>
        <v>#NAME?</v>
      </c>
      <c r="S146" t="e">
        <f ca="1">_xll.BDH($C$128,"SUSTAIN_GROWTH_RT","FQ3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146" s="2" t="e">
        <f ca="1">_xll.BDH($C$128,"SALES_GROWTH","FQ3 2017","FQ3 2017","Currency=INR","Period=FQ","BEST_FPERIOD_OVERRIDE=FQ","FILING_STATUS=OR","EQY_CONSOLIDATED=Y","FA_ADJUSTED=GAAP","Sort=A","Dates=H","DateFormat=P","Fill=—","Direction=H","UseDPDF=Y")</f>
        <v>#NAME?</v>
      </c>
      <c r="U146" s="2" t="e">
        <f ca="1">_xll.BDH($C$128,"EBITDA_GROWTH","FQ3 2017","FQ3 2017","Currency=INR","Period=FQ","BEST_FPERIOD_OVERRIDE=FQ","FILING_STATUS=OR","EQY_CONSOLIDATED=Y","FA_ADJUSTED=GAAP","Sort=A","Dates=H","DateFormat=P","Fill=—","Direction=H","UseDPDF=Y")</f>
        <v>#NAME?</v>
      </c>
      <c r="V146" s="2" t="e">
        <f ca="1">_xll.BDH($C$128,"OPER_INC_GROWTH","FQ3 2017","FQ3 2017","Currency=INR","Period=FQ","BEST_FPERIOD_OVERRIDE=FQ","FILING_STATUS=OR","EQY_CONSOLIDATED=Y","FA_ADJUSTED=GAAP","Sort=A","Dates=H","DateFormat=P","Fill=—","Direction=H","UseDPDF=Y")</f>
        <v>#NAME?</v>
      </c>
      <c r="W146" s="2" t="e">
        <f ca="1">_xll.BDH($C$128,"EARN_FOR_COM_GROWTH","FQ3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146" s="2" t="e">
        <f ca="1">_xll.BDH($C$128,"DILUTED_EPS_AFT_XO_ITEMS_GROWTH","FQ3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146" s="2" t="e">
        <f ca="1">_xll.BDH($C$128,"DIVIDEND_PER_SHARE_1_YEAR_GROWTH","FQ3 2017","FQ3 2017","Currency=INR","Period=FQ","BEST_FPERIOD_OVERRIDE=FQ","FILING_STATUS=OR","EQY_CONSOLIDATED=Y","Sort=A","Dates=H","DateFormat=P","Fill=—","Direction=H","UseDPDF=Y")</f>
        <v>#NAME?</v>
      </c>
      <c r="Z146" s="2" t="e">
        <f ca="1">_xll.BDH($C$128,"ACCOUNTS_RECEIVABLE_GROWTH","FQ3 2017","FQ3 2017","Currency=INR","Period=FQ","BEST_FPERIOD_OVERRIDE=FQ","FILING_STATUS=OR","EQY_CONSOLIDATED=Y","Sort=A","Dates=H","DateFormat=P","Fill=—","Direction=H","UseDPDF=Y")</f>
        <v>#NAME?</v>
      </c>
      <c r="AA146" s="2" t="e">
        <f ca="1">_xll.BDH($C$128,"INVENTORY_GROWTH","FQ3 2017","FQ3 2017","Currency=INR","Period=FQ","BEST_FPERIOD_OVERRIDE=FQ","FILING_STATUS=OR","EQY_CONSOLIDATED=Y","Sort=A","Dates=H","DateFormat=P","Fill=—","Direction=H","UseDPDF=Y")</f>
        <v>#NAME?</v>
      </c>
      <c r="AB146" s="2" t="e">
        <f ca="1">_xll.BDH($C$128,"NET_FIXED_ASSETS_1_YEAR_GROWTH","FQ3 2017","FQ3 2017","Currency=INR","Period=FQ","BEST_FPERIOD_OVERRIDE=FQ","FILING_STATUS=OR","EQY_CONSOLIDATED=Y","Sort=A","Dates=H","DateFormat=P","Fill=—","Direction=H","UseDPDF=Y")</f>
        <v>#NAME?</v>
      </c>
      <c r="AC146" s="2" t="e">
        <f ca="1">_xll.BDH($C$128,"ASSET_GROWTH","FQ3 2017","FQ3 2017","Currency=INR","Period=FQ","BEST_FPERIOD_OVERRIDE=FQ","FILING_STATUS=OR","EQY_CONSOLIDATED=Y","Sort=A","Dates=H","DateFormat=P","Fill=—","Direction=H","UseDPDF=Y")</f>
        <v>#NAME?</v>
      </c>
      <c r="AD146" s="2" t="e">
        <f ca="1">_xll.BDH($C$128,"MODIFIED_WORK_CAP_GROWTH","FQ3 2017","FQ3 2017","Currency=INR","Period=FQ","BEST_FPERIOD_OVERRIDE=FQ","FILING_STATUS=OR","EQY_CONSOLIDATED=Y","Sort=A","Dates=H","DateFormat=P","Fill=—","Direction=H","UseDPDF=Y")</f>
        <v>#NAME?</v>
      </c>
      <c r="AE146" s="2" t="e">
        <f ca="1">_xll.BDH($C$128,"WORK_CAP_GROWTH","FQ3 2017","FQ3 2017","Currency=INR","Period=FQ","BEST_FPERIOD_OVERRIDE=FQ","FILING_STATUS=OR","EQY_CONSOLIDATED=Y","Sort=A","Dates=H","DateFormat=P","Fill=—","Direction=H","UseDPDF=Y")</f>
        <v>#NAME?</v>
      </c>
      <c r="AF146" s="2" t="e">
        <f ca="1">_xll.BDH($C$128,"ACCOUNTS_PAYABLE_GROWTH_1YR","FQ3 2017","FQ3 2017","Currency=INR","Period=FQ","BEST_FPERIOD_OVERRIDE=FQ","FILING_STATUS=OR","EQY_CONSOLIDATED=Y","Sort=A","Dates=H","DateFormat=P","Fill=—","Direction=H","UseDPDF=Y")</f>
        <v>#NAME?</v>
      </c>
      <c r="AG146" s="2" t="e">
        <f ca="1">_xll.BDH($C$128,"SHORT_TERM_DEBT_1_YEAR_GROWTH","FQ3 2017","FQ3 2017","Currency=INR","Period=FQ","BEST_FPERIOD_OVERRIDE=FQ","FILING_STATUS=OR","EQY_CONSOLIDATED=Y","Sort=A","Dates=H","DateFormat=P","Fill=—","Direction=H","UseDPDF=Y")</f>
        <v>#NAME?</v>
      </c>
      <c r="AH146" s="2" t="e">
        <f ca="1">_xll.BDH($C$128,"TOTAL_DEBT_1_YEAR_GROWTH","FQ3 2017","FQ3 2017","Currency=INR","Period=FQ","BEST_FPERIOD_OVERRIDE=FQ","FILING_STATUS=OR","EQY_CONSOLIDATED=Y","Sort=A","Dates=H","DateFormat=P","Fill=—","Direction=H","UseDPDF=Y")</f>
        <v>#NAME?</v>
      </c>
      <c r="AI146" s="2" t="e">
        <f ca="1">_xll.BDH($C$128,"TOTAL_EQUITY_1_YEAR_GROWTH","FQ3 2017","FQ3 2017","Currency=INR","Period=FQ","BEST_FPERIOD_OVERRIDE=FQ","FILING_STATUS=OR","EQY_CONSOLIDATED=Y","Sort=A","Dates=H","DateFormat=P","Fill=—","Direction=H","UseDPDF=Y")</f>
        <v>#NAME?</v>
      </c>
      <c r="AJ146" s="2" t="e">
        <f ca="1">_xll.BDH($C$128,"GROWTH_IN_CAP","FQ3 2017","FQ3 2017","Currency=INR","Period=FQ","BEST_FPERIOD_OVERRIDE=FQ","FILING_STATUS=OR","EQY_CONSOLIDATED=Y","Sort=A","Dates=H","DateFormat=P","Fill=—","Direction=H","UseDPDF=Y")</f>
        <v>#NAME?</v>
      </c>
      <c r="AK146" s="2" t="e">
        <f ca="1">_xll.BDH($C$128,"BVPS_GROWTH","FQ3 2017","FQ3 2017","Currency=INR","Period=FQ","BEST_FPERIOD_OVERRIDE=FQ","FILING_STATUS=OR","EQY_CONSOLIDATED=Y","Sort=A","Dates=H","DateFormat=P","Fill=—","Direction=H","UseDPDF=Y")</f>
        <v>#NAME?</v>
      </c>
      <c r="AL146" s="2" t="e">
        <f ca="1">_xll.BDH($C$128,"CASH_FLOW_GROWTH","FQ3 2017","FQ3 2017","Currency=INR","Period=FQ","BEST_FPERIOD_OVERRIDE=FQ","FILING_STATUS=OR","EQY_CONSOLIDATED=Y","Sort=A","Dates=H","DateFormat=P","Fill=—","Direction=H","UseDPDF=Y")</f>
        <v>#NAME?</v>
      </c>
      <c r="AM146" s="2" t="e">
        <f ca="1">_xll.BDH($C$128,"GEO_GROW_NET_SALES","FQ3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146" s="2" t="e">
        <f ca="1">_xll.BDH($C$128,"GEO_GROW_EBITDA","FQ3 2017","FQ3 2017","Currency=INR","Period=FQ","BEST_FPERIOD_OVERRIDE=FQ","FILING_STATUS=OR","EQY_CONSOLIDATED=Y","FA_ADJUSTED=GAAP","Sort=A","Dates=H","DateFormat=P","Fill=—","Direction=H","UseDPDF=Y")</f>
        <v>#NAME?</v>
      </c>
      <c r="AO146" s="2" t="e">
        <f ca="1">_xll.BDH($C$128,"GEO_GROW_OPER_INC","FQ3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146" s="2" t="e">
        <f ca="1">_xll.BDH($C$128,"NET_INCOME_TO_COMMON_5_YR_GROWTH","FQ3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146" s="2" t="e">
        <f ca="1">_xll.BDH($C$128,"5Y_GEO_GROWTH_DILUTED_EPS","FQ3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146" s="2" t="e">
        <f ca="1">_xll.BDH($C$128,"GEO_GROW_DVD_PER_SH","FQ3 2017","FQ3 2017","Currency=INR","Period=FQ","BEST_FPERIOD_OVERRIDE=FQ","FILING_STATUS=OR","EQY_CONSOLIDATED=Y","Sort=A","Dates=H","DateFormat=P","Fill=—","Direction=H","UseDPDF=Y")</f>
        <v>#NAME?</v>
      </c>
      <c r="AS146" s="2" t="e">
        <f ca="1">_xll.BDH($C$128,"ACCOUNTS_RECEIVABLE_5_YR_GROWTH","FQ3 2017","FQ3 2017","Currency=INR","Period=FQ","BEST_FPERIOD_OVERRIDE=FQ","FILING_STATUS=OR","EQY_CONSOLIDATED=Y","Sort=A","Dates=H","DateFormat=P","Fill=—","Direction=H","UseDPDF=Y")</f>
        <v>#NAME?</v>
      </c>
      <c r="AT146" s="2" t="e">
        <f ca="1">_xll.BDH($C$128,"INVENTORY_5_YEAR_GROWTH","FQ3 2017","FQ3 2017","Currency=INR","Period=FQ","BEST_FPERIOD_OVERRIDE=FQ","FILING_STATUS=OR","EQY_CONSOLIDATED=Y","Sort=A","Dates=H","DateFormat=P","Fill=—","Direction=H","UseDPDF=Y")</f>
        <v>#NAME?</v>
      </c>
      <c r="AU146" s="2" t="e">
        <f ca="1">_xll.BDH($C$128,"NET_FIXED_ASSETS_5_YEAR_GROWTH","FQ3 2017","FQ3 2017","Currency=INR","Period=FQ","BEST_FPERIOD_OVERRIDE=FQ","FILING_STATUS=OR","EQY_CONSOLIDATED=Y","Sort=A","Dates=H","DateFormat=P","Fill=—","Direction=H","UseDPDF=Y")</f>
        <v>#NAME?</v>
      </c>
      <c r="AV146" s="2" t="e">
        <f ca="1">_xll.BDH($C$128,"GEO_GROW_TOT_ASSET","FQ3 2017","FQ3 2017","Currency=INR","Period=FQ","BEST_FPERIOD_OVERRIDE=FQ","FILING_STATUS=OR","EQY_CONSOLIDATED=Y","Sort=A","Dates=H","DateFormat=P","Fill=—","Direction=H","UseDPDF=Y")</f>
        <v>#NAME?</v>
      </c>
      <c r="AW146" s="2" t="e">
        <f ca="1">_xll.BDH($C$128,"MODIFIED_WORKING_CPTL_5YR_GRWTH","FQ3 2017","FQ3 2017","Currency=INR","Period=FQ","BEST_FPERIOD_OVERRIDE=FQ","FILING_STATUS=OR","EQY_CONSOLIDATED=Y","Sort=A","Dates=H","DateFormat=P","Fill=—","Direction=H","UseDPDF=Y")</f>
        <v>#NAME?</v>
      </c>
      <c r="AX146" s="2" t="e">
        <f ca="1">_xll.BDH($C$128,"WORKING_CAPITAL_5_YEAR_GROWTH","FQ3 2017","FQ3 2017","Currency=INR","Period=FQ","BEST_FPERIOD_OVERRIDE=FQ","FILING_STATUS=OR","EQY_CONSOLIDATED=Y","Sort=A","Dates=H","DateFormat=P","Fill=—","Direction=H","UseDPDF=Y")</f>
        <v>#NAME?</v>
      </c>
      <c r="AY146" s="2" t="e">
        <f ca="1">_xll.BDH($C$128,"ACCOUNTS_PAYABLE_5_YEAR_GROWTH","FQ3 2017","FQ3 2017","Currency=INR","Period=FQ","BEST_FPERIOD_OVERRIDE=FQ","FILING_STATUS=OR","EQY_CONSOLIDATED=Y","Sort=A","Dates=H","DateFormat=P","Fill=—","Direction=H","UseDPDF=Y")</f>
        <v>#NAME?</v>
      </c>
      <c r="AZ146" s="2" t="e">
        <f ca="1">_xll.BDH($C$128,"SHORT_TERM_DEBT_5_YEAR_GROWTH","FQ3 2017","FQ3 2017","Currency=INR","Period=FQ","BEST_FPERIOD_OVERRIDE=FQ","FILING_STATUS=OR","EQY_CONSOLIDATED=Y","Sort=A","Dates=H","DateFormat=P","Fill=—","Direction=H","UseDPDF=Y")</f>
        <v>#NAME?</v>
      </c>
      <c r="BA146" s="2" t="e">
        <f ca="1">_xll.BDH($C$128,"TOTAL_DEBT_5_YEAR_GROWTH","FQ3 2017","FQ3 2017","Currency=INR","Period=FQ","BEST_FPERIOD_OVERRIDE=FQ","FILING_STATUS=OR","EQY_CONSOLIDATED=Y","Sort=A","Dates=H","DateFormat=P","Fill=—","Direction=H","UseDPDF=Y")</f>
        <v>#NAME?</v>
      </c>
      <c r="BB146" s="2" t="e">
        <f ca="1">_xll.BDH($C$128,"GEO_GROW_TOT_SHRHLDR_EQY","FQ3 2017","FQ3 2017","Currency=INR","Period=FQ","BEST_FPERIOD_OVERRIDE=FQ","FILING_STATUS=OR","EQY_CONSOLIDATED=Y","Sort=A","Dates=H","DateFormat=P","Fill=—","Direction=H","UseDPDF=Y")</f>
        <v>#NAME?</v>
      </c>
      <c r="BC146" s="2" t="e">
        <f ca="1">_xll.BDH($C$128,"TOTAL_CAPITAL_5_YEAR_GROWTH","FQ3 2017","FQ3 2017","Currency=INR","Period=FQ","BEST_FPERIOD_OVERRIDE=FQ","FILING_STATUS=OR","EQY_CONSOLIDATED=Y","Sort=A","Dates=H","DateFormat=P","Fill=—","Direction=H","UseDPDF=Y")</f>
        <v>#NAME?</v>
      </c>
      <c r="BD146" s="2" t="e">
        <f ca="1">_xll.BDH($C$128,"GEO_GROW_BOOK_VAL","FQ3 2017","FQ3 2017","Currency=INR","Period=FQ","BEST_FPERIOD_OVERRIDE=FQ","FILING_STATUS=OR","EQY_CONSOLIDATED=Y","Sort=A","Dates=H","DateFormat=P","Fill=—","Direction=H","UseDPDF=Y")</f>
        <v>#NAME?</v>
      </c>
      <c r="BE146" s="2" t="e">
        <f ca="1">_xll.BDH($C$128,"GEO_GROW_CASH_OPER_ACT","FQ3 2017","FQ3 2017","Currency=INR","Period=FQ","BEST_FPERIOD_OVERRIDE=FQ","FILING_STATUS=OR","EQY_CONSOLIDATED=Y","Sort=A","Dates=H","DateFormat=P","Fill=—","Direction=H","UseDPDF=Y")</f>
        <v>#NAME?</v>
      </c>
      <c r="BF146" s="2" t="e">
        <f ca="1">_xll.BDH($C$128,"REVENUE_SEQUENTIAL_GROWTH","FQ3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146" s="2" t="e">
        <f ca="1">_xll.BDH($C$128,"EBITDA_SEQUENTIAL_GROWTH","FQ3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146" s="2" t="e">
        <f ca="1">_xll.BDH($C$128,"OPERATING_INCOME_SEQ_GROWTH","FQ3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146" s="2" t="e">
        <f ca="1">_xll.BDH($C$128,"NET_INCOME_TO_COMMON_SEQ_GROWTH","FQ3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146" s="2" t="e">
        <f ca="1">_xll.BDH($C$128,"EPS_DILUTED_SEQUENTIAL_GROWTH","FQ3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146" s="2" t="e">
        <f ca="1">_xll.BDH($C$128,"DPS_SEQUENTIAL_GROWTH","FQ3 2017","FQ3 2017","Currency=INR","Period=FQ","BEST_FPERIOD_OVERRIDE=FQ","FILING_STATUS=OR","EQY_CONSOLIDATED=Y","Sort=A","Dates=H","DateFormat=P","Fill=—","Direction=H","UseDPDF=Y")</f>
        <v>#NAME?</v>
      </c>
      <c r="BL146" s="2" t="e">
        <f ca="1">_xll.BDH($C$128,"ACCOUNTS_RECEIVABLE_SEQ_GROWTH","FQ3 2017","FQ3 2017","Currency=INR","Period=FQ","BEST_FPERIOD_OVERRIDE=FQ","FILING_STATUS=OR","EQY_CONSOLIDATED=Y","Sort=A","Dates=H","DateFormat=P","Fill=—","Direction=H","UseDPDF=Y")</f>
        <v>#NAME?</v>
      </c>
      <c r="BM146" s="2" t="e">
        <f ca="1">_xll.BDH($C$128,"INVENTORY_SEQUENTIAL_GROWTH","FQ3 2017","FQ3 2017","Currency=INR","Period=FQ","BEST_FPERIOD_OVERRIDE=FQ","FILING_STATUS=OR","EQY_CONSOLIDATED=Y","Sort=A","Dates=H","DateFormat=P","Fill=—","Direction=H","UseDPDF=Y")</f>
        <v>#NAME?</v>
      </c>
      <c r="BN146" s="2" t="e">
        <f ca="1">_xll.BDH($C$128,"FIXED_ASSETS_SEQUENTIAL_GROWTH","FQ3 2017","FQ3 2017","Currency=INR","Period=FQ","BEST_FPERIOD_OVERRIDE=FQ","FILING_STATUS=OR","EQY_CONSOLIDATED=Y","Sort=A","Dates=H","DateFormat=P","Fill=—","Direction=H","UseDPDF=Y")</f>
        <v>#NAME?</v>
      </c>
      <c r="BO146" s="2" t="e">
        <f ca="1">_xll.BDH($C$128,"TOTAL_ASSETS_SEQUENTIAL_GROWTH","FQ3 2017","FQ3 2017","Currency=INR","Period=FQ","BEST_FPERIOD_OVERRIDE=FQ","FILING_STATUS=OR","EQY_CONSOLIDATED=Y","Sort=A","Dates=H","DateFormat=P","Fill=—","Direction=H","UseDPDF=Y")</f>
        <v>#NAME?</v>
      </c>
      <c r="BP146" s="2" t="e">
        <f ca="1">_xll.BDH($C$128,"MODIFIED_WORKING_CPTL_SEQ_GRWTH","FQ3 2017","FQ3 2017","Currency=INR","Period=FQ","BEST_FPERIOD_OVERRIDE=FQ","FILING_STATUS=OR","EQY_CONSOLIDATED=Y","Sort=A","Dates=H","DateFormat=P","Fill=—","Direction=H","UseDPDF=Y")</f>
        <v>#NAME?</v>
      </c>
      <c r="BQ146" s="2" t="e">
        <f ca="1">_xll.BDH($C$128,"WORKING_CAPITAL_SEQ_GROWTH","FQ3 2017","FQ3 2017","Currency=INR","Period=FQ","BEST_FPERIOD_OVERRIDE=FQ","FILING_STATUS=OR","EQY_CONSOLIDATED=Y","Sort=A","Dates=H","DateFormat=P","Fill=—","Direction=H","UseDPDF=Y")</f>
        <v>#NAME?</v>
      </c>
      <c r="BR146" s="2" t="e">
        <f ca="1">_xll.BDH($C$128,"ACCOUNTS_PAYABLE_SEQ_GROWTH","FQ3 2017","FQ3 2017","Currency=INR","Period=FQ","BEST_FPERIOD_OVERRIDE=FQ","FILING_STATUS=OR","EQY_CONSOLIDATED=Y","Sort=A","Dates=H","DateFormat=P","Fill=—","Direction=H","UseDPDF=Y")</f>
        <v>#NAME?</v>
      </c>
      <c r="BS146" s="2" t="e">
        <f ca="1">_xll.BDH($C$128,"ST_DEBT_SEQUENTIAL_GROWTH","FQ3 2017","FQ3 2017","Currency=INR","Period=FQ","BEST_FPERIOD_OVERRIDE=FQ","FILING_STATUS=OR","EQY_CONSOLIDATED=Y","Sort=A","Dates=H","DateFormat=P","Fill=—","Direction=H","UseDPDF=Y")</f>
        <v>#NAME?</v>
      </c>
      <c r="BT146" s="2" t="e">
        <f ca="1">_xll.BDH($C$128,"TOTAL_DEBT_SEQUENTIAL_GROWTH","FQ3 2017","FQ3 2017","Currency=INR","Period=FQ","BEST_FPERIOD_OVERRIDE=FQ","FILING_STATUS=OR","EQY_CONSOLIDATED=Y","Sort=A","Dates=H","DateFormat=P","Fill=—","Direction=H","UseDPDF=Y")</f>
        <v>#NAME?</v>
      </c>
      <c r="BU146" s="2" t="e">
        <f ca="1">_xll.BDH($C$128,"TOTAL_EQUITY_SEQUENTIAL_GROWTH","FQ3 2017","FQ3 2017","Currency=INR","Period=FQ","BEST_FPERIOD_OVERRIDE=FQ","FILING_STATUS=OR","EQY_CONSOLIDATED=Y","Sort=A","Dates=H","DateFormat=P","Fill=—","Direction=H","UseDPDF=Y")</f>
        <v>#NAME?</v>
      </c>
      <c r="BV146" s="2" t="e">
        <f ca="1">_xll.BDH($C$128,"TOTAL_CAPITAL_SEQUENTIAL_GROWTH","FQ3 2017","FQ3 2017","Currency=INR","Period=FQ","BEST_FPERIOD_OVERRIDE=FQ","FILING_STATUS=OR","EQY_CONSOLIDATED=Y","Sort=A","Dates=H","DateFormat=P","Fill=—","Direction=H","UseDPDF=Y")</f>
        <v>#NAME?</v>
      </c>
      <c r="BW146" s="2" t="e">
        <f ca="1">_xll.BDH($C$128,"BPS_SEQUENTIAL_GROWTH","FQ3 2017","FQ3 2017","Currency=INR","Period=FQ","BEST_FPERIOD_OVERRIDE=FQ","FILING_STATUS=OR","EQY_CONSOLIDATED=Y","Sort=A","Dates=H","DateFormat=P","Fill=—","Direction=H","UseDPDF=Y")</f>
        <v>#NAME?</v>
      </c>
      <c r="BX146" s="2" t="e">
        <f ca="1">_xll.BDH($C$128,"CFO_SEQUENTIAL_GROWTH","FQ3 2017","FQ3 2017","Currency=INR","Period=FQ","BEST_FPERIOD_OVERRIDE=FQ","FILING_STATUS=OR","EQY_CONSOLIDATED=Y","Sort=A","Dates=H","DateFormat=P","Fill=—","Direction=H","UseDPDF=Y")</f>
        <v>#NAME?</v>
      </c>
      <c r="BY146" s="3" t="e">
        <f ca="1">_xll.BDH($C$128,"SHORT_AND_LONG_TERM_DEBT","FQ3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146" s="3" t="e">
        <f ca="1">_xll.BDH($C$128,"BS_ST_BORROW","FQ3 2017","FQ3 2017","Currency=INR","Period=FQ","BEST_FPERIOD_OVERRIDE=FQ","FILING_STATUS=OR","EQY_CONSOLIDATED=Y","SCALING_FORMAT=MLN","Sort=A","Dates=H","DateFormat=P","Fill=—","Direction=H","UseDPDF=Y")</f>
        <v>#NAME?</v>
      </c>
      <c r="CA146" s="3" t="e">
        <f ca="1">_xll.BDH($C$128,"BS_LT_BORROW","FQ3 2017","FQ3 2017","Currency=INR","Period=FQ","BEST_FPERIOD_OVERRIDE=FQ","FILING_STATUS=OR","EQY_CONSOLIDATED=Y","SCALING_FORMAT=MLN","Sort=A","Dates=H","DateFormat=P","Fill=—","Direction=H","UseDPDF=Y")</f>
        <v>#NAME?</v>
      </c>
      <c r="CB146" s="2" t="e">
        <f ca="1">_xll.BDH($C$128,"TOT_DEBT_TO_EBITDA","FQ3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146" s="2" t="e">
        <f ca="1">_xll.BDH($C$128,"NET_DEBT_TO_EBITDA","FQ3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146" s="2" t="e">
        <f ca="1">_xll.BDH($C$128,"TOTAL_DEBT_TO_EBIT","FQ3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146" s="2" t="e">
        <f ca="1">_xll.BDH($C$128,"NET_DEBT_TO_EBIT","FQ3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146" s="2" t="e">
        <f ca="1">_xll.BDH($C$128,"EBITDA_TO_INTEREST_EXPN","FQ3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146" s="2" t="e">
        <f ca="1">_xll.BDH($C$128,"COM_EQY_TO_TOT_ASSET","FQ3 2017","FQ3 2017","Currency=INR","Period=FQ","BEST_FPERIOD_OVERRIDE=FQ","FILING_STATUS=OR","EQY_CONSOLIDATED=Y","Sort=A","Dates=H","DateFormat=P","Fill=—","Direction=H","UseDPDF=Y")</f>
        <v>#NAME?</v>
      </c>
      <c r="CH146" s="2" t="e">
        <f ca="1">_xll.BDH($C$128,"LT_DEBT_TO_TOT_EQY","FQ3 2017","FQ3 2017","Currency=INR","Period=FQ","BEST_FPERIOD_OVERRIDE=FQ","FILING_STATUS=OR","EQY_CONSOLIDATED=Y","Sort=A","Dates=H","DateFormat=P","Fill=—","Direction=H","UseDPDF=Y")</f>
        <v>#NAME?</v>
      </c>
      <c r="CI146" s="2" t="e">
        <f ca="1">_xll.BDH($C$128,"LT_DEBT_TO_TOT_CAP","FQ3 2017","FQ3 2017","Currency=INR","Period=FQ","BEST_FPERIOD_OVERRIDE=FQ","FILING_STATUS=OR","EQY_CONSOLIDATED=Y","Sort=A","Dates=H","DateFormat=P","Fill=—","Direction=H","UseDPDF=Y")</f>
        <v>#NAME?</v>
      </c>
      <c r="CJ146" s="2" t="e">
        <f ca="1">_xll.BDH($C$128,"LT_DEBT_TO_TOT_ASSET","FQ3 2017","FQ3 2017","Currency=INR","Period=FQ","BEST_FPERIOD_OVERRIDE=FQ","FILING_STATUS=OR","EQY_CONSOLIDATED=Y","Sort=A","Dates=H","DateFormat=P","Fill=—","Direction=H","UseDPDF=Y")</f>
        <v>#NAME?</v>
      </c>
      <c r="CK146" s="2" t="e">
        <f ca="1">_xll.BDH($C$128,"TOT_DEBT_TO_TOT_EQY","FQ3 2017","FQ3 2017","Currency=INR","Period=FQ","BEST_FPERIOD_OVERRIDE=FQ","FILING_STATUS=OR","EQY_CONSOLIDATED=Y","Sort=A","Dates=H","DateFormat=P","Fill=—","Direction=H","UseDPDF=Y")</f>
        <v>#NAME?</v>
      </c>
      <c r="CL146" s="2" t="e">
        <f ca="1">_xll.BDH($C$128,"TOT_DEBT_TO_TOT_CAP","FQ3 2017","FQ3 2017","Currency=INR","Period=FQ","BEST_FPERIOD_OVERRIDE=FQ","FILING_STATUS=OR","EQY_CONSOLIDATED=Y","Sort=A","Dates=H","DateFormat=P","Fill=—","Direction=H","UseDPDF=Y")</f>
        <v>#NAME?</v>
      </c>
      <c r="CM146" s="2" t="e">
        <f ca="1">_xll.BDH($C$128,"TOT_DEBT_TO_TOT_ASSET","FQ3 2017","FQ3 2017","Currency=INR","Period=FQ","BEST_FPERIOD_OVERRIDE=FQ","FILING_STATUS=OR","EQY_CONSOLIDATED=Y","Sort=A","Dates=H","DateFormat=P","Fill=—","Direction=H","UseDPDF=Y")</f>
        <v>#NAME?</v>
      </c>
      <c r="CN146" s="2" t="e">
        <f ca="1">_xll.BDH($C$128,"NET_DEBT_TO_SHRHLDR_EQTY","FQ3 2017","FQ3 2017","Currency=INR","Period=FQ","BEST_FPERIOD_OVERRIDE=FQ","FILING_STATUS=OR","EQY_CONSOLIDATED=Y","Sort=A","Dates=H","DateFormat=P","Fill=—","Direction=H","UseDPDF=Y")</f>
        <v>#NAME?</v>
      </c>
      <c r="CO146" s="2" t="e">
        <f ca="1">_xll.BDH($C$128,"NET_DEBT_%_CAPITAL","FQ3 2017","FQ3 2017","Currency=INR","Period=FQ","BEST_FPERIOD_OVERRIDE=FQ","FILING_STATUS=OR","EQY_CONSOLIDATED=Y","Sort=A","Dates=H","DateFormat=P","Fill=—","Direction=H","UseDPDF=Y")</f>
        <v>#NAME?</v>
      </c>
      <c r="CP146" s="3" t="e">
        <f ca="1">_xll.BDH($C$128,"EBITDA","FQ3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146" s="3" t="e">
        <f ca="1">_xll.BDH($C$128,"EBITDA_AFTER_CAPEX","FQ3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146" s="3" t="e">
        <f ca="1">_xll.BDH($C$128,"IS_OPER_INC","FQ3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146" s="2" t="e">
        <f ca="1">_xll.BDH($C$128,"CASH_RATIO","FQ3 2017","FQ3 2017","Currency=INR","Period=FQ","BEST_FPERIOD_OVERRIDE=FQ","FILING_STATUS=OR","EQY_CONSOLIDATED=Y","Sort=A","Dates=H","DateFormat=P","Fill=—","Direction=H","UseDPDF=Y")</f>
        <v>#NAME?</v>
      </c>
      <c r="CT146" s="2" t="e">
        <f ca="1">_xll.BDH($C$128,"CUR_RATIO","FQ3 2017","FQ3 2017","Currency=INR","Period=FQ","BEST_FPERIOD_OVERRIDE=FQ","FILING_STATUS=OR","EQY_CONSOLIDATED=Y","Sort=A","Dates=H","DateFormat=P","Fill=—","Direction=H","UseDPDF=Y")</f>
        <v>#NAME?</v>
      </c>
      <c r="CU146" s="2" t="e">
        <f ca="1">_xll.BDH($C$128,"QUICK_RATIO","FQ3 2017","FQ3 2017","Currency=INR","Period=FQ","BEST_FPERIOD_OVERRIDE=FQ","FILING_STATUS=OR","EQY_CONSOLIDATED=Y","Sort=A","Dates=H","DateFormat=P","Fill=—","Direction=H","UseDPDF=Y")</f>
        <v>#NAME?</v>
      </c>
      <c r="CV146" s="2" t="e">
        <f ca="1">_xll.BDH($C$128,"ALTMAN_Z_SCORE","FQ3 2017","FQ3 2017","Currency=INR","Period=FQ","BEST_FPERIOD_OVERRIDE=FQ","FILING_STATUS=OR","EQY_CONSOLIDATED=Y","Sort=A","Dates=H","DateFormat=P","Fill=—","Direction=H","UseDPDF=Y")</f>
        <v>#NAME?</v>
      </c>
      <c r="CW146" s="4" t="e">
        <f ca="1">_xll.BDH($C$128,"ACCT_RCV_TURN","FQ3 2017","FQ3 2017","Currency=INR","Period=FQ","BEST_FPERIOD_OVERRIDE=FQ","FILING_STATUS=OR","EQY_CONSOLIDATED=Y","FA_ADJUSTED=GAAP","Sort=A","Dates=H","DateFormat=P","Fill=—","Direction=H","UseDPDF=Y")</f>
        <v>#NAME?</v>
      </c>
      <c r="CX146" s="2" t="e">
        <f ca="1">_xll.BDH($C$128,"ACCT_RCV_DAYS","FQ3 2017","FQ3 2017","Currency=INR","Period=FQ","BEST_FPERIOD_OVERRIDE=FQ","FILING_STATUS=OR","EQY_CONSOLIDATED=Y","FA_ADJUSTED=GAAP","Sort=A","Dates=H","DateFormat=P","Fill=—","Direction=H","UseDPDF=Y")</f>
        <v>#NAME?</v>
      </c>
      <c r="CY146" s="4" t="e">
        <f ca="1">_xll.BDH($C$128,"INVENT_TURN","FQ3 2017","FQ3 2017","Currency=INR","Period=FQ","BEST_FPERIOD_OVERRIDE=FQ","FILING_STATUS=OR","EQY_CONSOLIDATED=Y","FA_ADJUSTED=GAAP","Sort=A","Dates=H","DateFormat=P","Fill=—","Direction=H","UseDPDF=Y")</f>
        <v>#NAME?</v>
      </c>
      <c r="CZ146" s="2" t="e">
        <f ca="1">_xll.BDH($C$128,"INVENT_DAYS","FQ3 2017","FQ3 2017","Currency=INR","Period=FQ","BEST_FPERIOD_OVERRIDE=FQ","FILING_STATUS=OR","EQY_CONSOLIDATED=Y","FA_ADJUSTED=GAAP","Sort=A","Dates=H","DateFormat=P","Fill=—","Direction=H","UseDPDF=Y")</f>
        <v>#NAME?</v>
      </c>
      <c r="DA146" s="4" t="e">
        <f ca="1">_xll.BDH($C$128,"ACCOUNTS_PAYABLE_TURNOVER","FQ3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146" s="2" t="e">
        <f ca="1">_xll.BDH($C$128,"ACCOUNTS_PAYABLE_TURNOVER_DAYS","FQ3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146" s="4" t="e">
        <f ca="1">_xll.BDH($C$128,"CASH_CONVERSION_CYCLE","FQ3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146" s="4" t="e">
        <f ca="1">_xll.BDH($C$128,"INV_TO_CASH_DAYS","FQ3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146" s="5" t="e">
        <f ca="1">_xll.BDH($C$128,"BS_INVENTORIES","FQ3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146" s="3" t="e">
        <f ca="1">_xll.BDH($C$128,"INVTRY_RAW_MATERIALS","FQ3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146" s="3" t="e">
        <f ca="1">_xll.BDH($C$128,"INVTRY_IN_PROGRESS","FQ3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146" s="3" t="e">
        <f ca="1">_xll.BDH($C$128,"INVTRY_FINISHED_GOODS","FQ3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146" s="3" t="e">
        <f ca="1">_xll.BDH($C$128,"BS_OTHER_INV","FQ3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147" spans="1:113" x14ac:dyDescent="0.3">
      <c r="A147" s="6"/>
      <c r="B147" s="6"/>
      <c r="C147" s="6"/>
      <c r="D147" s="6"/>
      <c r="E147" t="s">
        <v>81</v>
      </c>
      <c r="F147" t="e">
        <f ca="1">_xll.BDH($C$128,"RETURN_COM_EQY","FQ4 2017","FQ4 2017","Currency=INR","Period=FQ","BEST_FPERIOD_OVERRIDE=FQ","FILING_STATUS=OR","EQY_CONSOLIDATED=Y","FA_ADJUSTED=GAAP","Sort=A","Dates=H","DateFormat=P","Fill=—","Direction=H","UseDPDF=Y")</f>
        <v>#NAME?</v>
      </c>
      <c r="G147" t="e">
        <f ca="1">_xll.BDH($C$128,"RETURN_ON_ASSET","FQ4 2017","FQ4 2017","Currency=INR","Period=FQ","BEST_FPERIOD_OVERRIDE=FQ","FILING_STATUS=OR","EQY_CONSOLIDATED=Y","FA_ADJUSTED=GAAP","Sort=A","Dates=H","DateFormat=P","Fill=—","Direction=H","UseDPDF=Y")</f>
        <v>#NAME?</v>
      </c>
      <c r="H147" t="e">
        <f ca="1">_xll.BDH($C$128,"RETURN_ON_CAP","FQ4 2017","FQ4 2017","Currency=INR","Period=FQ","BEST_FPERIOD_OVERRIDE=FQ","FILING_STATUS=OR","EQY_CONSOLIDATED=Y","FA_ADJUSTED=GAAP","Sort=A","Dates=H","DateFormat=P","Fill=—","Direction=H","UseDPDF=Y")</f>
        <v>#NAME?</v>
      </c>
      <c r="I147" t="e">
        <f ca="1">_xll.BDH($C$128,"RETURN_ON_INV_CAPITAL","FQ4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147" t="e">
        <f ca="1">_xll.BDH($C$128,"EBITDA_TO_REVENUE","FQ4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147" t="e">
        <f ca="1">_xll.BDH($C$128,"OPER_MARGIN","FQ4 2017","FQ4 2017","Currency=INR","Period=FQ","BEST_FPERIOD_OVERRIDE=FQ","FILING_STATUS=OR","EQY_CONSOLIDATED=Y","FA_ADJUSTED=GAAP","Sort=A","Dates=H","DateFormat=P","Fill=—","Direction=H","UseDPDF=Y")</f>
        <v>#NAME?</v>
      </c>
      <c r="L147" t="e">
        <f ca="1">_xll.BDH($C$128,"INCREMENTAL_OPERATING_MARGIN","FQ4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147" t="e">
        <f ca="1">_xll.BDH($C$128,"PRETAX_INC_TO_NET_SALES","FQ4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147" t="e">
        <f ca="1">_xll.BDH($C$128,"INC_BEF_XO_ITEMS_TO_NET_SALES","FQ4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147" t="e">
        <f ca="1">_xll.BDH($C$128,"PROF_MARGIN","FQ4 2017","FQ4 2017","Currency=INR","Period=FQ","BEST_FPERIOD_OVERRIDE=FQ","FILING_STATUS=OR","EQY_CONSOLIDATED=Y","FA_ADJUSTED=GAAP","Sort=A","Dates=H","DateFormat=P","Fill=—","Direction=H","UseDPDF=Y")</f>
        <v>#NAME?</v>
      </c>
      <c r="P147" t="e">
        <f ca="1">_xll.BDH($C$128,"NET_INCOME_TO_COMMON_MARGIN","FQ4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147" t="e">
        <f ca="1">_xll.BDH($C$128,"EFF_TAX_RATE","FQ4 2017","FQ4 2017","Currency=INR","Period=FQ","BEST_FPERIOD_OVERRIDE=FQ","FILING_STATUS=OR","EQY_CONSOLIDATED=Y","FA_ADJUSTED=GAAP","Sort=A","Dates=H","DateFormat=P","Fill=—","Direction=H","UseDPDF=Y")</f>
        <v>#NAME?</v>
      </c>
      <c r="R147" t="e">
        <f ca="1">_xll.BDH($C$128,"DVD_PAYOUT_RATIO","FQ4 2017","FQ4 2017","Currency=INR","Period=FQ","BEST_FPERIOD_OVERRIDE=FQ","FILING_STATUS=OR","EQY_CONSOLIDATED=Y","FA_ADJUSTED=GAAP","Sort=A","Dates=H","DateFormat=P","Fill=—","Direction=H","UseDPDF=Y")</f>
        <v>#NAME?</v>
      </c>
      <c r="S147" t="e">
        <f ca="1">_xll.BDH($C$128,"SUSTAIN_GROWTH_RT","FQ4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147" s="2" t="e">
        <f ca="1">_xll.BDH($C$128,"SALES_GROWTH","FQ4 2017","FQ4 2017","Currency=INR","Period=FQ","BEST_FPERIOD_OVERRIDE=FQ","FILING_STATUS=OR","EQY_CONSOLIDATED=Y","FA_ADJUSTED=GAAP","Sort=A","Dates=H","DateFormat=P","Fill=—","Direction=H","UseDPDF=Y")</f>
        <v>#NAME?</v>
      </c>
      <c r="U147" s="2" t="e">
        <f ca="1">_xll.BDH($C$128,"EBITDA_GROWTH","FQ4 2017","FQ4 2017","Currency=INR","Period=FQ","BEST_FPERIOD_OVERRIDE=FQ","FILING_STATUS=OR","EQY_CONSOLIDATED=Y","FA_ADJUSTED=GAAP","Sort=A","Dates=H","DateFormat=P","Fill=—","Direction=H","UseDPDF=Y")</f>
        <v>#NAME?</v>
      </c>
      <c r="V147" s="2" t="e">
        <f ca="1">_xll.BDH($C$128,"OPER_INC_GROWTH","FQ4 2017","FQ4 2017","Currency=INR","Period=FQ","BEST_FPERIOD_OVERRIDE=FQ","FILING_STATUS=OR","EQY_CONSOLIDATED=Y","FA_ADJUSTED=GAAP","Sort=A","Dates=H","DateFormat=P","Fill=—","Direction=H","UseDPDF=Y")</f>
        <v>#NAME?</v>
      </c>
      <c r="W147" s="2" t="e">
        <f ca="1">_xll.BDH($C$128,"EARN_FOR_COM_GROWTH","FQ4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147" s="2" t="e">
        <f ca="1">_xll.BDH($C$128,"DILUTED_EPS_AFT_XO_ITEMS_GROWTH","FQ4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147" s="2" t="e">
        <f ca="1">_xll.BDH($C$128,"DIVIDEND_PER_SHARE_1_YEAR_GROWTH","FQ4 2017","FQ4 2017","Currency=INR","Period=FQ","BEST_FPERIOD_OVERRIDE=FQ","FILING_STATUS=OR","EQY_CONSOLIDATED=Y","Sort=A","Dates=H","DateFormat=P","Fill=—","Direction=H","UseDPDF=Y")</f>
        <v>#NAME?</v>
      </c>
      <c r="Z147" s="2" t="e">
        <f ca="1">_xll.BDH($C$128,"ACCOUNTS_RECEIVABLE_GROWTH","FQ4 2017","FQ4 2017","Currency=INR","Period=FQ","BEST_FPERIOD_OVERRIDE=FQ","FILING_STATUS=OR","EQY_CONSOLIDATED=Y","Sort=A","Dates=H","DateFormat=P","Fill=—","Direction=H","UseDPDF=Y")</f>
        <v>#NAME?</v>
      </c>
      <c r="AA147" s="2" t="e">
        <f ca="1">_xll.BDH($C$128,"INVENTORY_GROWTH","FQ4 2017","FQ4 2017","Currency=INR","Period=FQ","BEST_FPERIOD_OVERRIDE=FQ","FILING_STATUS=OR","EQY_CONSOLIDATED=Y","Sort=A","Dates=H","DateFormat=P","Fill=—","Direction=H","UseDPDF=Y")</f>
        <v>#NAME?</v>
      </c>
      <c r="AB147" s="2" t="e">
        <f ca="1">_xll.BDH($C$128,"NET_FIXED_ASSETS_1_YEAR_GROWTH","FQ4 2017","FQ4 2017","Currency=INR","Period=FQ","BEST_FPERIOD_OVERRIDE=FQ","FILING_STATUS=OR","EQY_CONSOLIDATED=Y","Sort=A","Dates=H","DateFormat=P","Fill=—","Direction=H","UseDPDF=Y")</f>
        <v>#NAME?</v>
      </c>
      <c r="AC147" s="2" t="e">
        <f ca="1">_xll.BDH($C$128,"ASSET_GROWTH","FQ4 2017","FQ4 2017","Currency=INR","Period=FQ","BEST_FPERIOD_OVERRIDE=FQ","FILING_STATUS=OR","EQY_CONSOLIDATED=Y","Sort=A","Dates=H","DateFormat=P","Fill=—","Direction=H","UseDPDF=Y")</f>
        <v>#NAME?</v>
      </c>
      <c r="AD147" s="2" t="e">
        <f ca="1">_xll.BDH($C$128,"MODIFIED_WORK_CAP_GROWTH","FQ4 2017","FQ4 2017","Currency=INR","Period=FQ","BEST_FPERIOD_OVERRIDE=FQ","FILING_STATUS=OR","EQY_CONSOLIDATED=Y","Sort=A","Dates=H","DateFormat=P","Fill=—","Direction=H","UseDPDF=Y")</f>
        <v>#NAME?</v>
      </c>
      <c r="AE147" s="2" t="e">
        <f ca="1">_xll.BDH($C$128,"WORK_CAP_GROWTH","FQ4 2017","FQ4 2017","Currency=INR","Period=FQ","BEST_FPERIOD_OVERRIDE=FQ","FILING_STATUS=OR","EQY_CONSOLIDATED=Y","Sort=A","Dates=H","DateFormat=P","Fill=—","Direction=H","UseDPDF=Y")</f>
        <v>#NAME?</v>
      </c>
      <c r="AF147" s="2" t="e">
        <f ca="1">_xll.BDH($C$128,"ACCOUNTS_PAYABLE_GROWTH_1YR","FQ4 2017","FQ4 2017","Currency=INR","Period=FQ","BEST_FPERIOD_OVERRIDE=FQ","FILING_STATUS=OR","EQY_CONSOLIDATED=Y","Sort=A","Dates=H","DateFormat=P","Fill=—","Direction=H","UseDPDF=Y")</f>
        <v>#NAME?</v>
      </c>
      <c r="AG147" s="2" t="e">
        <f ca="1">_xll.BDH($C$128,"SHORT_TERM_DEBT_1_YEAR_GROWTH","FQ4 2017","FQ4 2017","Currency=INR","Period=FQ","BEST_FPERIOD_OVERRIDE=FQ","FILING_STATUS=OR","EQY_CONSOLIDATED=Y","Sort=A","Dates=H","DateFormat=P","Fill=—","Direction=H","UseDPDF=Y")</f>
        <v>#NAME?</v>
      </c>
      <c r="AH147" s="2" t="e">
        <f ca="1">_xll.BDH($C$128,"TOTAL_DEBT_1_YEAR_GROWTH","FQ4 2017","FQ4 2017","Currency=INR","Period=FQ","BEST_FPERIOD_OVERRIDE=FQ","FILING_STATUS=OR","EQY_CONSOLIDATED=Y","Sort=A","Dates=H","DateFormat=P","Fill=—","Direction=H","UseDPDF=Y")</f>
        <v>#NAME?</v>
      </c>
      <c r="AI147" s="2" t="e">
        <f ca="1">_xll.BDH($C$128,"TOTAL_EQUITY_1_YEAR_GROWTH","FQ4 2017","FQ4 2017","Currency=INR","Period=FQ","BEST_FPERIOD_OVERRIDE=FQ","FILING_STATUS=OR","EQY_CONSOLIDATED=Y","Sort=A","Dates=H","DateFormat=P","Fill=—","Direction=H","UseDPDF=Y")</f>
        <v>#NAME?</v>
      </c>
      <c r="AJ147" s="2" t="e">
        <f ca="1">_xll.BDH($C$128,"GROWTH_IN_CAP","FQ4 2017","FQ4 2017","Currency=INR","Period=FQ","BEST_FPERIOD_OVERRIDE=FQ","FILING_STATUS=OR","EQY_CONSOLIDATED=Y","Sort=A","Dates=H","DateFormat=P","Fill=—","Direction=H","UseDPDF=Y")</f>
        <v>#NAME?</v>
      </c>
      <c r="AK147" s="2" t="e">
        <f ca="1">_xll.BDH($C$128,"BVPS_GROWTH","FQ4 2017","FQ4 2017","Currency=INR","Period=FQ","BEST_FPERIOD_OVERRIDE=FQ","FILING_STATUS=OR","EQY_CONSOLIDATED=Y","Sort=A","Dates=H","DateFormat=P","Fill=—","Direction=H","UseDPDF=Y")</f>
        <v>#NAME?</v>
      </c>
      <c r="AL147" s="2" t="e">
        <f ca="1">_xll.BDH($C$128,"CASH_FLOW_GROWTH","FQ4 2017","FQ4 2017","Currency=INR","Period=FQ","BEST_FPERIOD_OVERRIDE=FQ","FILING_STATUS=OR","EQY_CONSOLIDATED=Y","Sort=A","Dates=H","DateFormat=P","Fill=—","Direction=H","UseDPDF=Y")</f>
        <v>#NAME?</v>
      </c>
      <c r="AM147" s="2" t="e">
        <f ca="1">_xll.BDH($C$128,"GEO_GROW_NET_SALES","FQ4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147" s="2" t="e">
        <f ca="1">_xll.BDH($C$128,"GEO_GROW_EBITDA","FQ4 2017","FQ4 2017","Currency=INR","Period=FQ","BEST_FPERIOD_OVERRIDE=FQ","FILING_STATUS=OR","EQY_CONSOLIDATED=Y","FA_ADJUSTED=GAAP","Sort=A","Dates=H","DateFormat=P","Fill=—","Direction=H","UseDPDF=Y")</f>
        <v>#NAME?</v>
      </c>
      <c r="AO147" s="2" t="e">
        <f ca="1">_xll.BDH($C$128,"GEO_GROW_OPER_INC","FQ4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147" s="2" t="e">
        <f ca="1">_xll.BDH($C$128,"NET_INCOME_TO_COMMON_5_YR_GROWTH","FQ4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147" s="2" t="e">
        <f ca="1">_xll.BDH($C$128,"5Y_GEO_GROWTH_DILUTED_EPS","FQ4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147" s="2" t="e">
        <f ca="1">_xll.BDH($C$128,"GEO_GROW_DVD_PER_SH","FQ4 2017","FQ4 2017","Currency=INR","Period=FQ","BEST_FPERIOD_OVERRIDE=FQ","FILING_STATUS=OR","EQY_CONSOLIDATED=Y","Sort=A","Dates=H","DateFormat=P","Fill=—","Direction=H","UseDPDF=Y")</f>
        <v>#NAME?</v>
      </c>
      <c r="AS147" s="2" t="e">
        <f ca="1">_xll.BDH($C$128,"ACCOUNTS_RECEIVABLE_5_YR_GROWTH","FQ4 2017","FQ4 2017","Currency=INR","Period=FQ","BEST_FPERIOD_OVERRIDE=FQ","FILING_STATUS=OR","EQY_CONSOLIDATED=Y","Sort=A","Dates=H","DateFormat=P","Fill=—","Direction=H","UseDPDF=Y")</f>
        <v>#NAME?</v>
      </c>
      <c r="AT147" s="2" t="e">
        <f ca="1">_xll.BDH($C$128,"INVENTORY_5_YEAR_GROWTH","FQ4 2017","FQ4 2017","Currency=INR","Period=FQ","BEST_FPERIOD_OVERRIDE=FQ","FILING_STATUS=OR","EQY_CONSOLIDATED=Y","Sort=A","Dates=H","DateFormat=P","Fill=—","Direction=H","UseDPDF=Y")</f>
        <v>#NAME?</v>
      </c>
      <c r="AU147" s="2" t="e">
        <f ca="1">_xll.BDH($C$128,"NET_FIXED_ASSETS_5_YEAR_GROWTH","FQ4 2017","FQ4 2017","Currency=INR","Period=FQ","BEST_FPERIOD_OVERRIDE=FQ","FILING_STATUS=OR","EQY_CONSOLIDATED=Y","Sort=A","Dates=H","DateFormat=P","Fill=—","Direction=H","UseDPDF=Y")</f>
        <v>#NAME?</v>
      </c>
      <c r="AV147" s="2" t="e">
        <f ca="1">_xll.BDH($C$128,"GEO_GROW_TOT_ASSET","FQ4 2017","FQ4 2017","Currency=INR","Period=FQ","BEST_FPERIOD_OVERRIDE=FQ","FILING_STATUS=OR","EQY_CONSOLIDATED=Y","Sort=A","Dates=H","DateFormat=P","Fill=—","Direction=H","UseDPDF=Y")</f>
        <v>#NAME?</v>
      </c>
      <c r="AW147" s="2" t="e">
        <f ca="1">_xll.BDH($C$128,"MODIFIED_WORKING_CPTL_5YR_GRWTH","FQ4 2017","FQ4 2017","Currency=INR","Period=FQ","BEST_FPERIOD_OVERRIDE=FQ","FILING_STATUS=OR","EQY_CONSOLIDATED=Y","Sort=A","Dates=H","DateFormat=P","Fill=—","Direction=H","UseDPDF=Y")</f>
        <v>#NAME?</v>
      </c>
      <c r="AX147" s="2" t="e">
        <f ca="1">_xll.BDH($C$128,"WORKING_CAPITAL_5_YEAR_GROWTH","FQ4 2017","FQ4 2017","Currency=INR","Period=FQ","BEST_FPERIOD_OVERRIDE=FQ","FILING_STATUS=OR","EQY_CONSOLIDATED=Y","Sort=A","Dates=H","DateFormat=P","Fill=—","Direction=H","UseDPDF=Y")</f>
        <v>#NAME?</v>
      </c>
      <c r="AY147" s="2" t="e">
        <f ca="1">_xll.BDH($C$128,"ACCOUNTS_PAYABLE_5_YEAR_GROWTH","FQ4 2017","FQ4 2017","Currency=INR","Period=FQ","BEST_FPERIOD_OVERRIDE=FQ","FILING_STATUS=OR","EQY_CONSOLIDATED=Y","Sort=A","Dates=H","DateFormat=P","Fill=—","Direction=H","UseDPDF=Y")</f>
        <v>#NAME?</v>
      </c>
      <c r="AZ147" s="2" t="e">
        <f ca="1">_xll.BDH($C$128,"SHORT_TERM_DEBT_5_YEAR_GROWTH","FQ4 2017","FQ4 2017","Currency=INR","Period=FQ","BEST_FPERIOD_OVERRIDE=FQ","FILING_STATUS=OR","EQY_CONSOLIDATED=Y","Sort=A","Dates=H","DateFormat=P","Fill=—","Direction=H","UseDPDF=Y")</f>
        <v>#NAME?</v>
      </c>
      <c r="BA147" s="2" t="e">
        <f ca="1">_xll.BDH($C$128,"TOTAL_DEBT_5_YEAR_GROWTH","FQ4 2017","FQ4 2017","Currency=INR","Period=FQ","BEST_FPERIOD_OVERRIDE=FQ","FILING_STATUS=OR","EQY_CONSOLIDATED=Y","Sort=A","Dates=H","DateFormat=P","Fill=—","Direction=H","UseDPDF=Y")</f>
        <v>#NAME?</v>
      </c>
      <c r="BB147" s="2" t="e">
        <f ca="1">_xll.BDH($C$128,"GEO_GROW_TOT_SHRHLDR_EQY","FQ4 2017","FQ4 2017","Currency=INR","Period=FQ","BEST_FPERIOD_OVERRIDE=FQ","FILING_STATUS=OR","EQY_CONSOLIDATED=Y","Sort=A","Dates=H","DateFormat=P","Fill=—","Direction=H","UseDPDF=Y")</f>
        <v>#NAME?</v>
      </c>
      <c r="BC147" s="2" t="e">
        <f ca="1">_xll.BDH($C$128,"TOTAL_CAPITAL_5_YEAR_GROWTH","FQ4 2017","FQ4 2017","Currency=INR","Period=FQ","BEST_FPERIOD_OVERRIDE=FQ","FILING_STATUS=OR","EQY_CONSOLIDATED=Y","Sort=A","Dates=H","DateFormat=P","Fill=—","Direction=H","UseDPDF=Y")</f>
        <v>#NAME?</v>
      </c>
      <c r="BD147" s="2" t="e">
        <f ca="1">_xll.BDH($C$128,"GEO_GROW_BOOK_VAL","FQ4 2017","FQ4 2017","Currency=INR","Period=FQ","BEST_FPERIOD_OVERRIDE=FQ","FILING_STATUS=OR","EQY_CONSOLIDATED=Y","Sort=A","Dates=H","DateFormat=P","Fill=—","Direction=H","UseDPDF=Y")</f>
        <v>#NAME?</v>
      </c>
      <c r="BE147" s="2" t="e">
        <f ca="1">_xll.BDH($C$128,"GEO_GROW_CASH_OPER_ACT","FQ4 2017","FQ4 2017","Currency=INR","Period=FQ","BEST_FPERIOD_OVERRIDE=FQ","FILING_STATUS=OR","EQY_CONSOLIDATED=Y","Sort=A","Dates=H","DateFormat=P","Fill=—","Direction=H","UseDPDF=Y")</f>
        <v>#NAME?</v>
      </c>
      <c r="BF147" s="2" t="e">
        <f ca="1">_xll.BDH($C$128,"REVENUE_SEQUENTIAL_GROWTH","FQ4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147" s="2" t="e">
        <f ca="1">_xll.BDH($C$128,"EBITDA_SEQUENTIAL_GROWTH","FQ4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147" s="2" t="e">
        <f ca="1">_xll.BDH($C$128,"OPERATING_INCOME_SEQ_GROWTH","FQ4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147" s="2" t="e">
        <f ca="1">_xll.BDH($C$128,"NET_INCOME_TO_COMMON_SEQ_GROWTH","FQ4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147" s="2" t="e">
        <f ca="1">_xll.BDH($C$128,"EPS_DILUTED_SEQUENTIAL_GROWTH","FQ4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147" s="2" t="e">
        <f ca="1">_xll.BDH($C$128,"DPS_SEQUENTIAL_GROWTH","FQ4 2017","FQ4 2017","Currency=INR","Period=FQ","BEST_FPERIOD_OVERRIDE=FQ","FILING_STATUS=OR","EQY_CONSOLIDATED=Y","Sort=A","Dates=H","DateFormat=P","Fill=—","Direction=H","UseDPDF=Y")</f>
        <v>#NAME?</v>
      </c>
      <c r="BL147" s="2" t="e">
        <f ca="1">_xll.BDH($C$128,"ACCOUNTS_RECEIVABLE_SEQ_GROWTH","FQ4 2017","FQ4 2017","Currency=INR","Period=FQ","BEST_FPERIOD_OVERRIDE=FQ","FILING_STATUS=OR","EQY_CONSOLIDATED=Y","Sort=A","Dates=H","DateFormat=P","Fill=—","Direction=H","UseDPDF=Y")</f>
        <v>#NAME?</v>
      </c>
      <c r="BM147" s="2" t="e">
        <f ca="1">_xll.BDH($C$128,"INVENTORY_SEQUENTIAL_GROWTH","FQ4 2017","FQ4 2017","Currency=INR","Period=FQ","BEST_FPERIOD_OVERRIDE=FQ","FILING_STATUS=OR","EQY_CONSOLIDATED=Y","Sort=A","Dates=H","DateFormat=P","Fill=—","Direction=H","UseDPDF=Y")</f>
        <v>#NAME?</v>
      </c>
      <c r="BN147" s="2" t="e">
        <f ca="1">_xll.BDH($C$128,"FIXED_ASSETS_SEQUENTIAL_GROWTH","FQ4 2017","FQ4 2017","Currency=INR","Period=FQ","BEST_FPERIOD_OVERRIDE=FQ","FILING_STATUS=OR","EQY_CONSOLIDATED=Y","Sort=A","Dates=H","DateFormat=P","Fill=—","Direction=H","UseDPDF=Y")</f>
        <v>#NAME?</v>
      </c>
      <c r="BO147" s="2" t="e">
        <f ca="1">_xll.BDH($C$128,"TOTAL_ASSETS_SEQUENTIAL_GROWTH","FQ4 2017","FQ4 2017","Currency=INR","Period=FQ","BEST_FPERIOD_OVERRIDE=FQ","FILING_STATUS=OR","EQY_CONSOLIDATED=Y","Sort=A","Dates=H","DateFormat=P","Fill=—","Direction=H","UseDPDF=Y")</f>
        <v>#NAME?</v>
      </c>
      <c r="BP147" s="2" t="e">
        <f ca="1">_xll.BDH($C$128,"MODIFIED_WORKING_CPTL_SEQ_GRWTH","FQ4 2017","FQ4 2017","Currency=INR","Period=FQ","BEST_FPERIOD_OVERRIDE=FQ","FILING_STATUS=OR","EQY_CONSOLIDATED=Y","Sort=A","Dates=H","DateFormat=P","Fill=—","Direction=H","UseDPDF=Y")</f>
        <v>#NAME?</v>
      </c>
      <c r="BQ147" s="2" t="e">
        <f ca="1">_xll.BDH($C$128,"WORKING_CAPITAL_SEQ_GROWTH","FQ4 2017","FQ4 2017","Currency=INR","Period=FQ","BEST_FPERIOD_OVERRIDE=FQ","FILING_STATUS=OR","EQY_CONSOLIDATED=Y","Sort=A","Dates=H","DateFormat=P","Fill=—","Direction=H","UseDPDF=Y")</f>
        <v>#NAME?</v>
      </c>
      <c r="BR147" s="2" t="e">
        <f ca="1">_xll.BDH($C$128,"ACCOUNTS_PAYABLE_SEQ_GROWTH","FQ4 2017","FQ4 2017","Currency=INR","Period=FQ","BEST_FPERIOD_OVERRIDE=FQ","FILING_STATUS=OR","EQY_CONSOLIDATED=Y","Sort=A","Dates=H","DateFormat=P","Fill=—","Direction=H","UseDPDF=Y")</f>
        <v>#NAME?</v>
      </c>
      <c r="BS147" s="2" t="e">
        <f ca="1">_xll.BDH($C$128,"ST_DEBT_SEQUENTIAL_GROWTH","FQ4 2017","FQ4 2017","Currency=INR","Period=FQ","BEST_FPERIOD_OVERRIDE=FQ","FILING_STATUS=OR","EQY_CONSOLIDATED=Y","Sort=A","Dates=H","DateFormat=P","Fill=—","Direction=H","UseDPDF=Y")</f>
        <v>#NAME?</v>
      </c>
      <c r="BT147" s="2" t="e">
        <f ca="1">_xll.BDH($C$128,"TOTAL_DEBT_SEQUENTIAL_GROWTH","FQ4 2017","FQ4 2017","Currency=INR","Period=FQ","BEST_FPERIOD_OVERRIDE=FQ","FILING_STATUS=OR","EQY_CONSOLIDATED=Y","Sort=A","Dates=H","DateFormat=P","Fill=—","Direction=H","UseDPDF=Y")</f>
        <v>#NAME?</v>
      </c>
      <c r="BU147" s="2" t="e">
        <f ca="1">_xll.BDH($C$128,"TOTAL_EQUITY_SEQUENTIAL_GROWTH","FQ4 2017","FQ4 2017","Currency=INR","Period=FQ","BEST_FPERIOD_OVERRIDE=FQ","FILING_STATUS=OR","EQY_CONSOLIDATED=Y","Sort=A","Dates=H","DateFormat=P","Fill=—","Direction=H","UseDPDF=Y")</f>
        <v>#NAME?</v>
      </c>
      <c r="BV147" s="2" t="e">
        <f ca="1">_xll.BDH($C$128,"TOTAL_CAPITAL_SEQUENTIAL_GROWTH","FQ4 2017","FQ4 2017","Currency=INR","Period=FQ","BEST_FPERIOD_OVERRIDE=FQ","FILING_STATUS=OR","EQY_CONSOLIDATED=Y","Sort=A","Dates=H","DateFormat=P","Fill=—","Direction=H","UseDPDF=Y")</f>
        <v>#NAME?</v>
      </c>
      <c r="BW147" s="2" t="e">
        <f ca="1">_xll.BDH($C$128,"BPS_SEQUENTIAL_GROWTH","FQ4 2017","FQ4 2017","Currency=INR","Period=FQ","BEST_FPERIOD_OVERRIDE=FQ","FILING_STATUS=OR","EQY_CONSOLIDATED=Y","Sort=A","Dates=H","DateFormat=P","Fill=—","Direction=H","UseDPDF=Y")</f>
        <v>#NAME?</v>
      </c>
      <c r="BX147" s="2" t="e">
        <f ca="1">_xll.BDH($C$128,"CFO_SEQUENTIAL_GROWTH","FQ4 2017","FQ4 2017","Currency=INR","Period=FQ","BEST_FPERIOD_OVERRIDE=FQ","FILING_STATUS=OR","EQY_CONSOLIDATED=Y","Sort=A","Dates=H","DateFormat=P","Fill=—","Direction=H","UseDPDF=Y")</f>
        <v>#NAME?</v>
      </c>
      <c r="BY147" s="3" t="e">
        <f ca="1">_xll.BDH($C$128,"SHORT_AND_LONG_TERM_DEBT","FQ4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147" s="3" t="e">
        <f ca="1">_xll.BDH($C$128,"BS_ST_BORROW","FQ4 2017","FQ4 2017","Currency=INR","Period=FQ","BEST_FPERIOD_OVERRIDE=FQ","FILING_STATUS=OR","EQY_CONSOLIDATED=Y","SCALING_FORMAT=MLN","Sort=A","Dates=H","DateFormat=P","Fill=—","Direction=H","UseDPDF=Y")</f>
        <v>#NAME?</v>
      </c>
      <c r="CA147" s="3" t="e">
        <f ca="1">_xll.BDH($C$128,"BS_LT_BORROW","FQ4 2017","FQ4 2017","Currency=INR","Period=FQ","BEST_FPERIOD_OVERRIDE=FQ","FILING_STATUS=OR","EQY_CONSOLIDATED=Y","SCALING_FORMAT=MLN","Sort=A","Dates=H","DateFormat=P","Fill=—","Direction=H","UseDPDF=Y")</f>
        <v>#NAME?</v>
      </c>
      <c r="CB147" s="2" t="e">
        <f ca="1">_xll.BDH($C$128,"TOT_DEBT_TO_EBITDA","FQ4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147" s="2" t="e">
        <f ca="1">_xll.BDH($C$128,"NET_DEBT_TO_EBITDA","FQ4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147" s="2" t="e">
        <f ca="1">_xll.BDH($C$128,"TOTAL_DEBT_TO_EBIT","FQ4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147" s="2" t="e">
        <f ca="1">_xll.BDH($C$128,"NET_DEBT_TO_EBIT","FQ4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147" s="2" t="e">
        <f ca="1">_xll.BDH($C$128,"EBITDA_TO_INTEREST_EXPN","FQ4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147" s="2" t="e">
        <f ca="1">_xll.BDH($C$128,"COM_EQY_TO_TOT_ASSET","FQ4 2017","FQ4 2017","Currency=INR","Period=FQ","BEST_FPERIOD_OVERRIDE=FQ","FILING_STATUS=OR","EQY_CONSOLIDATED=Y","Sort=A","Dates=H","DateFormat=P","Fill=—","Direction=H","UseDPDF=Y")</f>
        <v>#NAME?</v>
      </c>
      <c r="CH147" s="2" t="e">
        <f ca="1">_xll.BDH($C$128,"LT_DEBT_TO_TOT_EQY","FQ4 2017","FQ4 2017","Currency=INR","Period=FQ","BEST_FPERIOD_OVERRIDE=FQ","FILING_STATUS=OR","EQY_CONSOLIDATED=Y","Sort=A","Dates=H","DateFormat=P","Fill=—","Direction=H","UseDPDF=Y")</f>
        <v>#NAME?</v>
      </c>
      <c r="CI147" s="2" t="e">
        <f ca="1">_xll.BDH($C$128,"LT_DEBT_TO_TOT_CAP","FQ4 2017","FQ4 2017","Currency=INR","Period=FQ","BEST_FPERIOD_OVERRIDE=FQ","FILING_STATUS=OR","EQY_CONSOLIDATED=Y","Sort=A","Dates=H","DateFormat=P","Fill=—","Direction=H","UseDPDF=Y")</f>
        <v>#NAME?</v>
      </c>
      <c r="CJ147" s="2" t="e">
        <f ca="1">_xll.BDH($C$128,"LT_DEBT_TO_TOT_ASSET","FQ4 2017","FQ4 2017","Currency=INR","Period=FQ","BEST_FPERIOD_OVERRIDE=FQ","FILING_STATUS=OR","EQY_CONSOLIDATED=Y","Sort=A","Dates=H","DateFormat=P","Fill=—","Direction=H","UseDPDF=Y")</f>
        <v>#NAME?</v>
      </c>
      <c r="CK147" s="2" t="e">
        <f ca="1">_xll.BDH($C$128,"TOT_DEBT_TO_TOT_EQY","FQ4 2017","FQ4 2017","Currency=INR","Period=FQ","BEST_FPERIOD_OVERRIDE=FQ","FILING_STATUS=OR","EQY_CONSOLIDATED=Y","Sort=A","Dates=H","DateFormat=P","Fill=—","Direction=H","UseDPDF=Y")</f>
        <v>#NAME?</v>
      </c>
      <c r="CL147" s="2" t="e">
        <f ca="1">_xll.BDH($C$128,"TOT_DEBT_TO_TOT_CAP","FQ4 2017","FQ4 2017","Currency=INR","Period=FQ","BEST_FPERIOD_OVERRIDE=FQ","FILING_STATUS=OR","EQY_CONSOLIDATED=Y","Sort=A","Dates=H","DateFormat=P","Fill=—","Direction=H","UseDPDF=Y")</f>
        <v>#NAME?</v>
      </c>
      <c r="CM147" s="2" t="e">
        <f ca="1">_xll.BDH($C$128,"TOT_DEBT_TO_TOT_ASSET","FQ4 2017","FQ4 2017","Currency=INR","Period=FQ","BEST_FPERIOD_OVERRIDE=FQ","FILING_STATUS=OR","EQY_CONSOLIDATED=Y","Sort=A","Dates=H","DateFormat=P","Fill=—","Direction=H","UseDPDF=Y")</f>
        <v>#NAME?</v>
      </c>
      <c r="CN147" s="2" t="e">
        <f ca="1">_xll.BDH($C$128,"NET_DEBT_TO_SHRHLDR_EQTY","FQ4 2017","FQ4 2017","Currency=INR","Period=FQ","BEST_FPERIOD_OVERRIDE=FQ","FILING_STATUS=OR","EQY_CONSOLIDATED=Y","Sort=A","Dates=H","DateFormat=P","Fill=—","Direction=H","UseDPDF=Y")</f>
        <v>#NAME?</v>
      </c>
      <c r="CO147" s="2" t="e">
        <f ca="1">_xll.BDH($C$128,"NET_DEBT_%_CAPITAL","FQ4 2017","FQ4 2017","Currency=INR","Period=FQ","BEST_FPERIOD_OVERRIDE=FQ","FILING_STATUS=OR","EQY_CONSOLIDATED=Y","Sort=A","Dates=H","DateFormat=P","Fill=—","Direction=H","UseDPDF=Y")</f>
        <v>#NAME?</v>
      </c>
      <c r="CP147" s="3" t="e">
        <f ca="1">_xll.BDH($C$128,"EBITDA","FQ4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147" s="3" t="e">
        <f ca="1">_xll.BDH($C$128,"EBITDA_AFTER_CAPEX","FQ4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147" s="3" t="e">
        <f ca="1">_xll.BDH($C$128,"IS_OPER_INC","FQ4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147" s="2" t="e">
        <f ca="1">_xll.BDH($C$128,"CASH_RATIO","FQ4 2017","FQ4 2017","Currency=INR","Period=FQ","BEST_FPERIOD_OVERRIDE=FQ","FILING_STATUS=OR","EQY_CONSOLIDATED=Y","Sort=A","Dates=H","DateFormat=P","Fill=—","Direction=H","UseDPDF=Y")</f>
        <v>#NAME?</v>
      </c>
      <c r="CT147" s="2" t="e">
        <f ca="1">_xll.BDH($C$128,"CUR_RATIO","FQ4 2017","FQ4 2017","Currency=INR","Period=FQ","BEST_FPERIOD_OVERRIDE=FQ","FILING_STATUS=OR","EQY_CONSOLIDATED=Y","Sort=A","Dates=H","DateFormat=P","Fill=—","Direction=H","UseDPDF=Y")</f>
        <v>#NAME?</v>
      </c>
      <c r="CU147" s="2" t="e">
        <f ca="1">_xll.BDH($C$128,"QUICK_RATIO","FQ4 2017","FQ4 2017","Currency=INR","Period=FQ","BEST_FPERIOD_OVERRIDE=FQ","FILING_STATUS=OR","EQY_CONSOLIDATED=Y","Sort=A","Dates=H","DateFormat=P","Fill=—","Direction=H","UseDPDF=Y")</f>
        <v>#NAME?</v>
      </c>
      <c r="CV147" s="2" t="e">
        <f ca="1">_xll.BDH($C$128,"ALTMAN_Z_SCORE","FQ4 2017","FQ4 2017","Currency=INR","Period=FQ","BEST_FPERIOD_OVERRIDE=FQ","FILING_STATUS=OR","EQY_CONSOLIDATED=Y","Sort=A","Dates=H","DateFormat=P","Fill=—","Direction=H","UseDPDF=Y")</f>
        <v>#NAME?</v>
      </c>
      <c r="CW147" s="4" t="e">
        <f ca="1">_xll.BDH($C$128,"ACCT_RCV_TURN","FQ4 2017","FQ4 2017","Currency=INR","Period=FQ","BEST_FPERIOD_OVERRIDE=FQ","FILING_STATUS=OR","EQY_CONSOLIDATED=Y","FA_ADJUSTED=GAAP","Sort=A","Dates=H","DateFormat=P","Fill=—","Direction=H","UseDPDF=Y")</f>
        <v>#NAME?</v>
      </c>
      <c r="CX147" s="2" t="e">
        <f ca="1">_xll.BDH($C$128,"ACCT_RCV_DAYS","FQ4 2017","FQ4 2017","Currency=INR","Period=FQ","BEST_FPERIOD_OVERRIDE=FQ","FILING_STATUS=OR","EQY_CONSOLIDATED=Y","FA_ADJUSTED=GAAP","Sort=A","Dates=H","DateFormat=P","Fill=—","Direction=H","UseDPDF=Y")</f>
        <v>#NAME?</v>
      </c>
      <c r="CY147" s="4" t="e">
        <f ca="1">_xll.BDH($C$128,"INVENT_TURN","FQ4 2017","FQ4 2017","Currency=INR","Period=FQ","BEST_FPERIOD_OVERRIDE=FQ","FILING_STATUS=OR","EQY_CONSOLIDATED=Y","FA_ADJUSTED=GAAP","Sort=A","Dates=H","DateFormat=P","Fill=—","Direction=H","UseDPDF=Y")</f>
        <v>#NAME?</v>
      </c>
      <c r="CZ147" s="2" t="e">
        <f ca="1">_xll.BDH($C$128,"INVENT_DAYS","FQ4 2017","FQ4 2017","Currency=INR","Period=FQ","BEST_FPERIOD_OVERRIDE=FQ","FILING_STATUS=OR","EQY_CONSOLIDATED=Y","FA_ADJUSTED=GAAP","Sort=A","Dates=H","DateFormat=P","Fill=—","Direction=H","UseDPDF=Y")</f>
        <v>#NAME?</v>
      </c>
      <c r="DA147" s="4" t="e">
        <f ca="1">_xll.BDH($C$128,"ACCOUNTS_PAYABLE_TURNOVER","FQ4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147" s="2" t="e">
        <f ca="1">_xll.BDH($C$128,"ACCOUNTS_PAYABLE_TURNOVER_DAYS","FQ4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147" s="4" t="e">
        <f ca="1">_xll.BDH($C$128,"CASH_CONVERSION_CYCLE","FQ4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147" s="4" t="e">
        <f ca="1">_xll.BDH($C$128,"INV_TO_CASH_DAYS","FQ4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147" s="5" t="e">
        <f ca="1">_xll.BDH($C$128,"BS_INVENTORIES","FQ4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147" s="3" t="e">
        <f ca="1">_xll.BDH($C$128,"INVTRY_RAW_MATERIALS","FQ4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147" s="3" t="e">
        <f ca="1">_xll.BDH($C$128,"INVTRY_IN_PROGRESS","FQ4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147" s="3" t="e">
        <f ca="1">_xll.BDH($C$128,"INVTRY_FINISHED_GOODS","FQ4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147" s="3" t="e">
        <f ca="1">_xll.BDH($C$128,"BS_OTHER_INV","FQ4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148" spans="1:113" x14ac:dyDescent="0.3">
      <c r="A148" s="6"/>
      <c r="B148" s="6"/>
      <c r="C148" s="6"/>
      <c r="D148" s="6" t="s">
        <v>85</v>
      </c>
      <c r="E148" t="s">
        <v>77</v>
      </c>
      <c r="F148" t="e">
        <f ca="1">_xll.BDH($C$128,"RETURN_COM_EQY","FY 2018","FY 2018","Currency=INR","Period=FY","BEST_FPERIOD_OVERRIDE=FY","FILING_STATUS=OR","EQY_CONSOLIDATED=Y","FA_ADJUSTED=GAAP","Sort=A","Dates=H","DateFormat=P","Fill=—","Direction=H","UseDPDF=Y")</f>
        <v>#NAME?</v>
      </c>
      <c r="G148" t="e">
        <f ca="1">_xll.BDH($C$128,"RETURN_ON_ASSET","FY 2018","FY 2018","Currency=INR","Period=FY","BEST_FPERIOD_OVERRIDE=FY","FILING_STATUS=OR","EQY_CONSOLIDATED=Y","FA_ADJUSTED=GAAP","Sort=A","Dates=H","DateFormat=P","Fill=—","Direction=H","UseDPDF=Y")</f>
        <v>#NAME?</v>
      </c>
      <c r="H148" t="e">
        <f ca="1">_xll.BDH($C$128,"RETURN_ON_CAP","FY 2018","FY 2018","Currency=INR","Period=FY","BEST_FPERIOD_OVERRIDE=FY","FILING_STATUS=OR","EQY_CONSOLIDATED=Y","FA_ADJUSTED=GAAP","Sort=A","Dates=H","DateFormat=P","Fill=—","Direction=H","UseDPDF=Y")</f>
        <v>#NAME?</v>
      </c>
      <c r="I148" t="e">
        <f ca="1">_xll.BDH($C$128,"RETURN_ON_INV_CAPITAL","FY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148" t="e">
        <f ca="1">_xll.BDH($C$128,"EBITDA_TO_REVENUE","FY 2018","FY 2018","Currency=INR","Period=FY","BEST_FPERIOD_OVERRIDE=FY","FILING_STATUS=OR","EQY_CONSOLIDATED=Y","FA_ADJUSTED=GAAP","Sort=A","Dates=H","DateFormat=P","Fill=—","Direction=H","UseDPDF=Y")</f>
        <v>#NAME?</v>
      </c>
      <c r="K148" t="e">
        <f ca="1">_xll.BDH($C$128,"OPER_MARGIN","FY 2018","FY 2018","Currency=INR","Period=FY","BEST_FPERIOD_OVERRIDE=FY","FILING_STATUS=OR","EQY_CONSOLIDATED=Y","FA_ADJUSTED=GAAP","Sort=A","Dates=H","DateFormat=P","Fill=—","Direction=H","UseDPDF=Y")</f>
        <v>#NAME?</v>
      </c>
      <c r="L148" t="e">
        <f ca="1">_xll.BDH($C$128,"INCREMENTAL_OPERATING_MARGIN","FY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148" t="e">
        <f ca="1">_xll.BDH($C$128,"PRETAX_INC_TO_NET_SALES","FY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148" t="e">
        <f ca="1">_xll.BDH($C$128,"INC_BEF_XO_ITEMS_TO_NET_SALES","FY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148" t="e">
        <f ca="1">_xll.BDH($C$128,"PROF_MARGIN","FY 2018","FY 2018","Currency=INR","Period=FY","BEST_FPERIOD_OVERRIDE=FY","FILING_STATUS=OR","EQY_CONSOLIDATED=Y","FA_ADJUSTED=GAAP","Sort=A","Dates=H","DateFormat=P","Fill=—","Direction=H","UseDPDF=Y")</f>
        <v>#NAME?</v>
      </c>
      <c r="P148" t="e">
        <f ca="1">_xll.BDH($C$128,"NET_INCOME_TO_COMMON_MARGIN","FY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148" t="e">
        <f ca="1">_xll.BDH($C$128,"EFF_TAX_RATE","FY 2018","FY 2018","Currency=INR","Period=FY","BEST_FPERIOD_OVERRIDE=FY","FILING_STATUS=OR","EQY_CONSOLIDATED=Y","FA_ADJUSTED=GAAP","Sort=A","Dates=H","DateFormat=P","Fill=—","Direction=H","UseDPDF=Y")</f>
        <v>#NAME?</v>
      </c>
      <c r="R148" t="e">
        <f ca="1">_xll.BDH($C$128,"DVD_PAYOUT_RATIO","FY 2018","FY 2018","Currency=INR","Period=FY","BEST_FPERIOD_OVERRIDE=FY","FILING_STATUS=OR","EQY_CONSOLIDATED=Y","FA_ADJUSTED=GAAP","Sort=A","Dates=H","DateFormat=P","Fill=—","Direction=H","UseDPDF=Y")</f>
        <v>#NAME?</v>
      </c>
      <c r="S148" t="e">
        <f ca="1">_xll.BDH($C$128,"SUSTAIN_GROWTH_RT","FY 2018","FY 2018","Currency=INR","Period=FY","BEST_FPERIOD_OVERRIDE=FY","FILING_STATUS=OR","EQY_CONSOLIDATED=Y","FA_ADJUSTED=GAAP","Sort=A","Dates=H","DateFormat=P","Fill=—","Direction=H","UseDPDF=Y")</f>
        <v>#NAME?</v>
      </c>
      <c r="T148" s="2" t="e">
        <f ca="1">_xll.BDH($C$128,"SALES_GROWTH","FY 2018","FY 2018","Currency=INR","Period=FY","BEST_FPERIOD_OVERRIDE=FY","FILING_STATUS=OR","EQY_CONSOLIDATED=Y","FA_ADJUSTED=GAAP","Sort=A","Dates=H","DateFormat=P","Fill=—","Direction=H","UseDPDF=Y")</f>
        <v>#NAME?</v>
      </c>
      <c r="U148" s="2" t="e">
        <f ca="1">_xll.BDH($C$128,"EBITDA_GROWTH","FY 2018","FY 2018","Currency=INR","Period=FY","BEST_FPERIOD_OVERRIDE=FY","FILING_STATUS=OR","EQY_CONSOLIDATED=Y","FA_ADJUSTED=GAAP","Sort=A","Dates=H","DateFormat=P","Fill=—","Direction=H","UseDPDF=Y")</f>
        <v>#NAME?</v>
      </c>
      <c r="V148" s="2" t="e">
        <f ca="1">_xll.BDH($C$128,"OPER_INC_GROWTH","FY 2018","FY 2018","Currency=INR","Period=FY","BEST_FPERIOD_OVERRIDE=FY","FILING_STATUS=OR","EQY_CONSOLIDATED=Y","FA_ADJUSTED=GAAP","Sort=A","Dates=H","DateFormat=P","Fill=—","Direction=H","UseDPDF=Y")</f>
        <v>#NAME?</v>
      </c>
      <c r="W148" s="2" t="e">
        <f ca="1">_xll.BDH($C$128,"EARN_FOR_COM_GROWTH","FY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148" s="2" t="e">
        <f ca="1">_xll.BDH($C$128,"DILUTED_EPS_AFT_XO_ITEMS_GROWTH","FY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148" s="2" t="e">
        <f ca="1">_xll.BDH($C$128,"DIVIDEND_PER_SHARE_1_YEAR_GROWTH","FY 2018","FY 2018","Currency=INR","Period=FY","BEST_FPERIOD_OVERRIDE=FY","FILING_STATUS=OR","EQY_CONSOLIDATED=Y","Sort=A","Dates=H","DateFormat=P","Fill=—","Direction=H","UseDPDF=Y")</f>
        <v>#NAME?</v>
      </c>
      <c r="Z148" s="2" t="e">
        <f ca="1">_xll.BDH($C$128,"ACCOUNTS_RECEIVABLE_GROWTH","FY 2018","FY 2018","Currency=INR","Period=FY","BEST_FPERIOD_OVERRIDE=FY","FILING_STATUS=OR","EQY_CONSOLIDATED=Y","Sort=A","Dates=H","DateFormat=P","Fill=—","Direction=H","UseDPDF=Y")</f>
        <v>#NAME?</v>
      </c>
      <c r="AA148" s="2" t="e">
        <f ca="1">_xll.BDH($C$128,"INVENTORY_GROWTH","FY 2018","FY 2018","Currency=INR","Period=FY","BEST_FPERIOD_OVERRIDE=FY","FILING_STATUS=OR","EQY_CONSOLIDATED=Y","Sort=A","Dates=H","DateFormat=P","Fill=—","Direction=H","UseDPDF=Y")</f>
        <v>#NAME?</v>
      </c>
      <c r="AB148" s="2" t="e">
        <f ca="1">_xll.BDH($C$128,"NET_FIXED_ASSETS_1_YEAR_GROWTH","FY 2018","FY 2018","Currency=INR","Period=FY","BEST_FPERIOD_OVERRIDE=FY","FILING_STATUS=OR","EQY_CONSOLIDATED=Y","Sort=A","Dates=H","DateFormat=P","Fill=—","Direction=H","UseDPDF=Y")</f>
        <v>#NAME?</v>
      </c>
      <c r="AC148" s="2" t="e">
        <f ca="1">_xll.BDH($C$128,"ASSET_GROWTH","FY 2018","FY 2018","Currency=INR","Period=FY","BEST_FPERIOD_OVERRIDE=FY","FILING_STATUS=OR","EQY_CONSOLIDATED=Y","Sort=A","Dates=H","DateFormat=P","Fill=—","Direction=H","UseDPDF=Y")</f>
        <v>#NAME?</v>
      </c>
      <c r="AD148" s="2" t="e">
        <f ca="1">_xll.BDH($C$128,"MODIFIED_WORK_CAP_GROWTH","FY 2018","FY 2018","Currency=INR","Period=FY","BEST_FPERIOD_OVERRIDE=FY","FILING_STATUS=OR","EQY_CONSOLIDATED=Y","Sort=A","Dates=H","DateFormat=P","Fill=—","Direction=H","UseDPDF=Y")</f>
        <v>#NAME?</v>
      </c>
      <c r="AE148" s="2" t="e">
        <f ca="1">_xll.BDH($C$128,"WORK_CAP_GROWTH","FY 2018","FY 2018","Currency=INR","Period=FY","BEST_FPERIOD_OVERRIDE=FY","FILING_STATUS=OR","EQY_CONSOLIDATED=Y","Sort=A","Dates=H","DateFormat=P","Fill=—","Direction=H","UseDPDF=Y")</f>
        <v>#NAME?</v>
      </c>
      <c r="AF148" s="2" t="e">
        <f ca="1">_xll.BDH($C$128,"ACCOUNTS_PAYABLE_GROWTH_1YR","FY 2018","FY 2018","Currency=INR","Period=FY","BEST_FPERIOD_OVERRIDE=FY","FILING_STATUS=OR","EQY_CONSOLIDATED=Y","Sort=A","Dates=H","DateFormat=P","Fill=—","Direction=H","UseDPDF=Y")</f>
        <v>#NAME?</v>
      </c>
      <c r="AG148" s="2" t="e">
        <f ca="1">_xll.BDH($C$128,"SHORT_TERM_DEBT_1_YEAR_GROWTH","FY 2018","FY 2018","Currency=INR","Period=FY","BEST_FPERIOD_OVERRIDE=FY","FILING_STATUS=OR","EQY_CONSOLIDATED=Y","Sort=A","Dates=H","DateFormat=P","Fill=—","Direction=H","UseDPDF=Y")</f>
        <v>#NAME?</v>
      </c>
      <c r="AH148" s="2" t="e">
        <f ca="1">_xll.BDH($C$128,"TOTAL_DEBT_1_YEAR_GROWTH","FY 2018","FY 2018","Currency=INR","Period=FY","BEST_FPERIOD_OVERRIDE=FY","FILING_STATUS=OR","EQY_CONSOLIDATED=Y","Sort=A","Dates=H","DateFormat=P","Fill=—","Direction=H","UseDPDF=Y")</f>
        <v>#NAME?</v>
      </c>
      <c r="AI148" s="2" t="e">
        <f ca="1">_xll.BDH($C$128,"TOTAL_EQUITY_1_YEAR_GROWTH","FY 2018","FY 2018","Currency=INR","Period=FY","BEST_FPERIOD_OVERRIDE=FY","FILING_STATUS=OR","EQY_CONSOLIDATED=Y","Sort=A","Dates=H","DateFormat=P","Fill=—","Direction=H","UseDPDF=Y")</f>
        <v>#NAME?</v>
      </c>
      <c r="AJ148" s="2" t="e">
        <f ca="1">_xll.BDH($C$128,"GROWTH_IN_CAP","FY 2018","FY 2018","Currency=INR","Period=FY","BEST_FPERIOD_OVERRIDE=FY","FILING_STATUS=OR","EQY_CONSOLIDATED=Y","Sort=A","Dates=H","DateFormat=P","Fill=—","Direction=H","UseDPDF=Y")</f>
        <v>#NAME?</v>
      </c>
      <c r="AK148" s="2" t="e">
        <f ca="1">_xll.BDH($C$128,"BVPS_GROWTH","FY 2018","FY 2018","Currency=INR","Period=FY","BEST_FPERIOD_OVERRIDE=FY","FILING_STATUS=OR","EQY_CONSOLIDATED=Y","Sort=A","Dates=H","DateFormat=P","Fill=—","Direction=H","UseDPDF=Y")</f>
        <v>#NAME?</v>
      </c>
      <c r="AL148" s="2" t="e">
        <f ca="1">_xll.BDH($C$128,"CASH_FLOW_GROWTH","FY 2018","FY 2018","Currency=INR","Period=FY","BEST_FPERIOD_OVERRIDE=FY","FILING_STATUS=OR","EQY_CONSOLIDATED=Y","Sort=A","Dates=H","DateFormat=P","Fill=—","Direction=H","UseDPDF=Y")</f>
        <v>#NAME?</v>
      </c>
      <c r="AM148" s="2" t="e">
        <f ca="1">_xll.BDH($C$128,"GEO_GROW_NET_SALES","FY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148" s="2" t="e">
        <f ca="1">_xll.BDH($C$128,"GEO_GROW_EBITDA","FY 2018","FY 2018","Currency=INR","Period=FY","BEST_FPERIOD_OVERRIDE=FY","FILING_STATUS=OR","EQY_CONSOLIDATED=Y","FA_ADJUSTED=GAAP","Sort=A","Dates=H","DateFormat=P","Fill=—","Direction=H","UseDPDF=Y")</f>
        <v>#NAME?</v>
      </c>
      <c r="AO148" s="2" t="e">
        <f ca="1">_xll.BDH($C$128,"GEO_GROW_OPER_INC","FY 2018","FY 2018","Currency=INR","Period=FY","BEST_FPERIOD_OVERRIDE=FY","FILING_STATUS=OR","EQY_CONSOLIDATED=Y","FA_ADJUSTED=GAAP","Sort=A","Dates=H","DateFormat=P","Fill=—","Direction=H","UseDPDF=Y")</f>
        <v>#NAME?</v>
      </c>
      <c r="AP148" s="2" t="e">
        <f ca="1">_xll.BDH($C$128,"NET_INCOME_TO_COMMON_5_YR_GROWTH","FY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148" s="2" t="e">
        <f ca="1">_xll.BDH($C$128,"5Y_GEO_GROWTH_DILUTED_EPS","FY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148" s="2" t="e">
        <f ca="1">_xll.BDH($C$128,"GEO_GROW_DVD_PER_SH","FY 2018","FY 2018","Currency=INR","Period=FY","BEST_FPERIOD_OVERRIDE=FY","FILING_STATUS=OR","EQY_CONSOLIDATED=Y","Sort=A","Dates=H","DateFormat=P","Fill=—","Direction=H","UseDPDF=Y")</f>
        <v>#NAME?</v>
      </c>
      <c r="AS148" s="2" t="e">
        <f ca="1">_xll.BDH($C$128,"ACCOUNTS_RECEIVABLE_5_YR_GROWTH","FY 2018","FY 2018","Currency=INR","Period=FY","BEST_FPERIOD_OVERRIDE=FY","FILING_STATUS=OR","EQY_CONSOLIDATED=Y","Sort=A","Dates=H","DateFormat=P","Fill=—","Direction=H","UseDPDF=Y")</f>
        <v>#NAME?</v>
      </c>
      <c r="AT148" s="2" t="e">
        <f ca="1">_xll.BDH($C$128,"INVENTORY_5_YEAR_GROWTH","FY 2018","FY 2018","Currency=INR","Period=FY","BEST_FPERIOD_OVERRIDE=FY","FILING_STATUS=OR","EQY_CONSOLIDATED=Y","Sort=A","Dates=H","DateFormat=P","Fill=—","Direction=H","UseDPDF=Y")</f>
        <v>#NAME?</v>
      </c>
      <c r="AU148" s="2" t="e">
        <f ca="1">_xll.BDH($C$128,"NET_FIXED_ASSETS_5_YEAR_GROWTH","FY 2018","FY 2018","Currency=INR","Period=FY","BEST_FPERIOD_OVERRIDE=FY","FILING_STATUS=OR","EQY_CONSOLIDATED=Y","Sort=A","Dates=H","DateFormat=P","Fill=—","Direction=H","UseDPDF=Y")</f>
        <v>#NAME?</v>
      </c>
      <c r="AV148" s="2" t="e">
        <f ca="1">_xll.BDH($C$128,"GEO_GROW_TOT_ASSET","FY 2018","FY 2018","Currency=INR","Period=FY","BEST_FPERIOD_OVERRIDE=FY","FILING_STATUS=OR","EQY_CONSOLIDATED=Y","Sort=A","Dates=H","DateFormat=P","Fill=—","Direction=H","UseDPDF=Y")</f>
        <v>#NAME?</v>
      </c>
      <c r="AW148" s="2" t="e">
        <f ca="1">_xll.BDH($C$128,"MODIFIED_WORKING_CPTL_5YR_GRWTH","FY 2018","FY 2018","Currency=INR","Period=FY","BEST_FPERIOD_OVERRIDE=FY","FILING_STATUS=OR","EQY_CONSOLIDATED=Y","Sort=A","Dates=H","DateFormat=P","Fill=—","Direction=H","UseDPDF=Y")</f>
        <v>#NAME?</v>
      </c>
      <c r="AX148" s="2" t="e">
        <f ca="1">_xll.BDH($C$128,"WORKING_CAPITAL_5_YEAR_GROWTH","FY 2018","FY 2018","Currency=INR","Period=FY","BEST_FPERIOD_OVERRIDE=FY","FILING_STATUS=OR","EQY_CONSOLIDATED=Y","Sort=A","Dates=H","DateFormat=P","Fill=—","Direction=H","UseDPDF=Y")</f>
        <v>#NAME?</v>
      </c>
      <c r="AY148" s="2" t="e">
        <f ca="1">_xll.BDH($C$128,"ACCOUNTS_PAYABLE_5_YEAR_GROWTH","FY 2018","FY 2018","Currency=INR","Period=FY","BEST_FPERIOD_OVERRIDE=FY","FILING_STATUS=OR","EQY_CONSOLIDATED=Y","Sort=A","Dates=H","DateFormat=P","Fill=—","Direction=H","UseDPDF=Y")</f>
        <v>#NAME?</v>
      </c>
      <c r="AZ148" s="2" t="e">
        <f ca="1">_xll.BDH($C$128,"SHORT_TERM_DEBT_5_YEAR_GROWTH","FY 2018","FY 2018","Currency=INR","Period=FY","BEST_FPERIOD_OVERRIDE=FY","FILING_STATUS=OR","EQY_CONSOLIDATED=Y","Sort=A","Dates=H","DateFormat=P","Fill=—","Direction=H","UseDPDF=Y")</f>
        <v>#NAME?</v>
      </c>
      <c r="BA148" s="2" t="e">
        <f ca="1">_xll.BDH($C$128,"TOTAL_DEBT_5_YEAR_GROWTH","FY 2018","FY 2018","Currency=INR","Period=FY","BEST_FPERIOD_OVERRIDE=FY","FILING_STATUS=OR","EQY_CONSOLIDATED=Y","Sort=A","Dates=H","DateFormat=P","Fill=—","Direction=H","UseDPDF=Y")</f>
        <v>#NAME?</v>
      </c>
      <c r="BB148" s="2" t="e">
        <f ca="1">_xll.BDH($C$128,"GEO_GROW_TOT_SHRHLDR_EQY","FY 2018","FY 2018","Currency=INR","Period=FY","BEST_FPERIOD_OVERRIDE=FY","FILING_STATUS=OR","EQY_CONSOLIDATED=Y","Sort=A","Dates=H","DateFormat=P","Fill=—","Direction=H","UseDPDF=Y")</f>
        <v>#NAME?</v>
      </c>
      <c r="BC148" s="2" t="e">
        <f ca="1">_xll.BDH($C$128,"TOTAL_CAPITAL_5_YEAR_GROWTH","FY 2018","FY 2018","Currency=INR","Period=FY","BEST_FPERIOD_OVERRIDE=FY","FILING_STATUS=OR","EQY_CONSOLIDATED=Y","Sort=A","Dates=H","DateFormat=P","Fill=—","Direction=H","UseDPDF=Y")</f>
        <v>#NAME?</v>
      </c>
      <c r="BD148" s="2" t="e">
        <f ca="1">_xll.BDH($C$128,"GEO_GROW_BOOK_VAL","FY 2018","FY 2018","Currency=INR","Period=FY","BEST_FPERIOD_OVERRIDE=FY","FILING_STATUS=OR","EQY_CONSOLIDATED=Y","Sort=A","Dates=H","DateFormat=P","Fill=—","Direction=H","UseDPDF=Y")</f>
        <v>#NAME?</v>
      </c>
      <c r="BE148" s="2" t="e">
        <f ca="1">_xll.BDH($C$128,"GEO_GROW_CASH_OPER_ACT","FY 2018","FY 2018","Currency=INR","Period=FY","BEST_FPERIOD_OVERRIDE=FY","FILING_STATUS=OR","EQY_CONSOLIDATED=Y","Sort=A","Dates=H","DateFormat=P","Fill=—","Direction=H","UseDPDF=Y")</f>
        <v>#NAME?</v>
      </c>
      <c r="BF148" s="2" t="e">
        <f ca="1">_xll.BDH($C$128,"REVENUE_SEQUENTIAL_GROWTH","FY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148" s="2" t="e">
        <f ca="1">_xll.BDH($C$128,"EBITDA_SEQUENTIAL_GROWTH","FY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148" s="2" t="e">
        <f ca="1">_xll.BDH($C$128,"OPERATING_INCOME_SEQ_GROWTH","FY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148" s="2" t="e">
        <f ca="1">_xll.BDH($C$128,"NET_INCOME_TO_COMMON_SEQ_GROWTH","FY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148" s="2" t="e">
        <f ca="1">_xll.BDH($C$128,"EPS_DILUTED_SEQUENTIAL_GROWTH","FY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148" s="2" t="e">
        <f ca="1">_xll.BDH($C$128,"DPS_SEQUENTIAL_GROWTH","FY 2018","FY 2018","Currency=INR","Period=FY","BEST_FPERIOD_OVERRIDE=FY","FILING_STATUS=OR","EQY_CONSOLIDATED=Y","Sort=A","Dates=H","DateFormat=P","Fill=—","Direction=H","UseDPDF=Y")</f>
        <v>#NAME?</v>
      </c>
      <c r="BL148" s="2" t="e">
        <f ca="1">_xll.BDH($C$128,"ACCOUNTS_RECEIVABLE_SEQ_GROWTH","FY 2018","FY 2018","Currency=INR","Period=FY","BEST_FPERIOD_OVERRIDE=FY","FILING_STATUS=OR","EQY_CONSOLIDATED=Y","Sort=A","Dates=H","DateFormat=P","Fill=—","Direction=H","UseDPDF=Y")</f>
        <v>#NAME?</v>
      </c>
      <c r="BM148" s="2" t="e">
        <f ca="1">_xll.BDH($C$128,"INVENTORY_SEQUENTIAL_GROWTH","FY 2018","FY 2018","Currency=INR","Period=FY","BEST_FPERIOD_OVERRIDE=FY","FILING_STATUS=OR","EQY_CONSOLIDATED=Y","Sort=A","Dates=H","DateFormat=P","Fill=—","Direction=H","UseDPDF=Y")</f>
        <v>#NAME?</v>
      </c>
      <c r="BN148" s="2" t="e">
        <f ca="1">_xll.BDH($C$128,"FIXED_ASSETS_SEQUENTIAL_GROWTH","FY 2018","FY 2018","Currency=INR","Period=FY","BEST_FPERIOD_OVERRIDE=FY","FILING_STATUS=OR","EQY_CONSOLIDATED=Y","Sort=A","Dates=H","DateFormat=P","Fill=—","Direction=H","UseDPDF=Y")</f>
        <v>#NAME?</v>
      </c>
      <c r="BO148" s="2" t="e">
        <f ca="1">_xll.BDH($C$128,"TOTAL_ASSETS_SEQUENTIAL_GROWTH","FY 2018","FY 2018","Currency=INR","Period=FY","BEST_FPERIOD_OVERRIDE=FY","FILING_STATUS=OR","EQY_CONSOLIDATED=Y","Sort=A","Dates=H","DateFormat=P","Fill=—","Direction=H","UseDPDF=Y")</f>
        <v>#NAME?</v>
      </c>
      <c r="BP148" s="2" t="e">
        <f ca="1">_xll.BDH($C$128,"MODIFIED_WORKING_CPTL_SEQ_GRWTH","FY 2018","FY 2018","Currency=INR","Period=FY","BEST_FPERIOD_OVERRIDE=FY","FILING_STATUS=OR","EQY_CONSOLIDATED=Y","Sort=A","Dates=H","DateFormat=P","Fill=—","Direction=H","UseDPDF=Y")</f>
        <v>#NAME?</v>
      </c>
      <c r="BQ148" s="2" t="e">
        <f ca="1">_xll.BDH($C$128,"WORKING_CAPITAL_SEQ_GROWTH","FY 2018","FY 2018","Currency=INR","Period=FY","BEST_FPERIOD_OVERRIDE=FY","FILING_STATUS=OR","EQY_CONSOLIDATED=Y","Sort=A","Dates=H","DateFormat=P","Fill=—","Direction=H","UseDPDF=Y")</f>
        <v>#NAME?</v>
      </c>
      <c r="BR148" s="2" t="e">
        <f ca="1">_xll.BDH($C$128,"ACCOUNTS_PAYABLE_SEQ_GROWTH","FY 2018","FY 2018","Currency=INR","Period=FY","BEST_FPERIOD_OVERRIDE=FY","FILING_STATUS=OR","EQY_CONSOLIDATED=Y","Sort=A","Dates=H","DateFormat=P","Fill=—","Direction=H","UseDPDF=Y")</f>
        <v>#NAME?</v>
      </c>
      <c r="BS148" s="2" t="e">
        <f ca="1">_xll.BDH($C$128,"ST_DEBT_SEQUENTIAL_GROWTH","FY 2018","FY 2018","Currency=INR","Period=FY","BEST_FPERIOD_OVERRIDE=FY","FILING_STATUS=OR","EQY_CONSOLIDATED=Y","Sort=A","Dates=H","DateFormat=P","Fill=—","Direction=H","UseDPDF=Y")</f>
        <v>#NAME?</v>
      </c>
      <c r="BT148" s="2" t="e">
        <f ca="1">_xll.BDH($C$128,"TOTAL_DEBT_SEQUENTIAL_GROWTH","FY 2018","FY 2018","Currency=INR","Period=FY","BEST_FPERIOD_OVERRIDE=FY","FILING_STATUS=OR","EQY_CONSOLIDATED=Y","Sort=A","Dates=H","DateFormat=P","Fill=—","Direction=H","UseDPDF=Y")</f>
        <v>#NAME?</v>
      </c>
      <c r="BU148" s="2" t="e">
        <f ca="1">_xll.BDH($C$128,"TOTAL_EQUITY_SEQUENTIAL_GROWTH","FY 2018","FY 2018","Currency=INR","Period=FY","BEST_FPERIOD_OVERRIDE=FY","FILING_STATUS=OR","EQY_CONSOLIDATED=Y","Sort=A","Dates=H","DateFormat=P","Fill=—","Direction=H","UseDPDF=Y")</f>
        <v>#NAME?</v>
      </c>
      <c r="BV148" s="2" t="e">
        <f ca="1">_xll.BDH($C$128,"TOTAL_CAPITAL_SEQUENTIAL_GROWTH","FY 2018","FY 2018","Currency=INR","Period=FY","BEST_FPERIOD_OVERRIDE=FY","FILING_STATUS=OR","EQY_CONSOLIDATED=Y","Sort=A","Dates=H","DateFormat=P","Fill=—","Direction=H","UseDPDF=Y")</f>
        <v>#NAME?</v>
      </c>
      <c r="BW148" s="2" t="e">
        <f ca="1">_xll.BDH($C$128,"BPS_SEQUENTIAL_GROWTH","FY 2018","FY 2018","Currency=INR","Period=FY","BEST_FPERIOD_OVERRIDE=FY","FILING_STATUS=OR","EQY_CONSOLIDATED=Y","Sort=A","Dates=H","DateFormat=P","Fill=—","Direction=H","UseDPDF=Y")</f>
        <v>#NAME?</v>
      </c>
      <c r="BX148" s="2" t="e">
        <f ca="1">_xll.BDH($C$128,"CFO_SEQUENTIAL_GROWTH","FY 2018","FY 2018","Currency=INR","Period=FY","BEST_FPERIOD_OVERRIDE=FY","FILING_STATUS=OR","EQY_CONSOLIDATED=Y","Sort=A","Dates=H","DateFormat=P","Fill=—","Direction=H","UseDPDF=Y")</f>
        <v>#NAME?</v>
      </c>
      <c r="BY148" s="3" t="e">
        <f ca="1">_xll.BDH($C$128,"SHORT_AND_LONG_TERM_DEBT","FY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148" s="3" t="e">
        <f ca="1">_xll.BDH($C$128,"BS_ST_BORROW","FY 2018","FY 2018","Currency=INR","Period=FY","BEST_FPERIOD_OVERRIDE=FY","FILING_STATUS=OR","EQY_CONSOLIDATED=Y","SCALING_FORMAT=MLN","Sort=A","Dates=H","DateFormat=P","Fill=—","Direction=H","UseDPDF=Y")</f>
        <v>#NAME?</v>
      </c>
      <c r="CA148" s="3" t="e">
        <f ca="1">_xll.BDH($C$128,"BS_LT_BORROW","FY 2018","FY 2018","Currency=INR","Period=FY","BEST_FPERIOD_OVERRIDE=FY","FILING_STATUS=OR","EQY_CONSOLIDATED=Y","SCALING_FORMAT=MLN","Sort=A","Dates=H","DateFormat=P","Fill=—","Direction=H","UseDPDF=Y")</f>
        <v>#NAME?</v>
      </c>
      <c r="CB148" s="2" t="e">
        <f ca="1">_xll.BDH($C$128,"TOT_DEBT_TO_EBITDA","FY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148" s="2" t="e">
        <f ca="1">_xll.BDH($C$128,"NET_DEBT_TO_EBITDA","FY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148" s="2" t="e">
        <f ca="1">_xll.BDH($C$128,"TOTAL_DEBT_TO_EBIT","FY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148" s="2" t="e">
        <f ca="1">_xll.BDH($C$128,"NET_DEBT_TO_EBIT","FY 2018","FY 2018","Currency=INR","Period=FY","BEST_FPERIOD_OVERRIDE=FY","FILING_STATUS=OR","EQY_CONSOLIDATED=Y","FA_ADJUSTED=GAAP","Sort=A","Dates=H","DateFormat=P","Fill=—","Direction=H","UseDPDF=Y")</f>
        <v>#NAME?</v>
      </c>
      <c r="CF148" s="2" t="e">
        <f ca="1">_xll.BDH($C$128,"EBITDA_TO_INTEREST_EXPN","FY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148" s="2" t="e">
        <f ca="1">_xll.BDH($C$128,"COM_EQY_TO_TOT_ASSET","FY 2018","FY 2018","Currency=INR","Period=FY","BEST_FPERIOD_OVERRIDE=FY","FILING_STATUS=OR","EQY_CONSOLIDATED=Y","Sort=A","Dates=H","DateFormat=P","Fill=—","Direction=H","UseDPDF=Y")</f>
        <v>#NAME?</v>
      </c>
      <c r="CH148" s="2" t="e">
        <f ca="1">_xll.BDH($C$128,"LT_DEBT_TO_TOT_EQY","FY 2018","FY 2018","Currency=INR","Period=FY","BEST_FPERIOD_OVERRIDE=FY","FILING_STATUS=OR","EQY_CONSOLIDATED=Y","Sort=A","Dates=H","DateFormat=P","Fill=—","Direction=H","UseDPDF=Y")</f>
        <v>#NAME?</v>
      </c>
      <c r="CI148" s="2" t="e">
        <f ca="1">_xll.BDH($C$128,"LT_DEBT_TO_TOT_CAP","FY 2018","FY 2018","Currency=INR","Period=FY","BEST_FPERIOD_OVERRIDE=FY","FILING_STATUS=OR","EQY_CONSOLIDATED=Y","Sort=A","Dates=H","DateFormat=P","Fill=—","Direction=H","UseDPDF=Y")</f>
        <v>#NAME?</v>
      </c>
      <c r="CJ148" s="2" t="e">
        <f ca="1">_xll.BDH($C$128,"LT_DEBT_TO_TOT_ASSET","FY 2018","FY 2018","Currency=INR","Period=FY","BEST_FPERIOD_OVERRIDE=FY","FILING_STATUS=OR","EQY_CONSOLIDATED=Y","Sort=A","Dates=H","DateFormat=P","Fill=—","Direction=H","UseDPDF=Y")</f>
        <v>#NAME?</v>
      </c>
      <c r="CK148" s="2" t="e">
        <f ca="1">_xll.BDH($C$128,"TOT_DEBT_TO_TOT_EQY","FY 2018","FY 2018","Currency=INR","Period=FY","BEST_FPERIOD_OVERRIDE=FY","FILING_STATUS=OR","EQY_CONSOLIDATED=Y","Sort=A","Dates=H","DateFormat=P","Fill=—","Direction=H","UseDPDF=Y")</f>
        <v>#NAME?</v>
      </c>
      <c r="CL148" s="2" t="e">
        <f ca="1">_xll.BDH($C$128,"TOT_DEBT_TO_TOT_CAP","FY 2018","FY 2018","Currency=INR","Period=FY","BEST_FPERIOD_OVERRIDE=FY","FILING_STATUS=OR","EQY_CONSOLIDATED=Y","Sort=A","Dates=H","DateFormat=P","Fill=—","Direction=H","UseDPDF=Y")</f>
        <v>#NAME?</v>
      </c>
      <c r="CM148" s="2" t="e">
        <f ca="1">_xll.BDH($C$128,"TOT_DEBT_TO_TOT_ASSET","FY 2018","FY 2018","Currency=INR","Period=FY","BEST_FPERIOD_OVERRIDE=FY","FILING_STATUS=OR","EQY_CONSOLIDATED=Y","Sort=A","Dates=H","DateFormat=P","Fill=—","Direction=H","UseDPDF=Y")</f>
        <v>#NAME?</v>
      </c>
      <c r="CN148" s="2" t="e">
        <f ca="1">_xll.BDH($C$128,"NET_DEBT_TO_SHRHLDR_EQTY","FY 2018","FY 2018","Currency=INR","Period=FY","BEST_FPERIOD_OVERRIDE=FY","FILING_STATUS=OR","EQY_CONSOLIDATED=Y","Sort=A","Dates=H","DateFormat=P","Fill=—","Direction=H","UseDPDF=Y")</f>
        <v>#NAME?</v>
      </c>
      <c r="CO148" s="2" t="e">
        <f ca="1">_xll.BDH($C$128,"NET_DEBT_%_CAPITAL","FY 2018","FY 2018","Currency=INR","Period=FY","BEST_FPERIOD_OVERRIDE=FY","FILING_STATUS=OR","EQY_CONSOLIDATED=Y","Sort=A","Dates=H","DateFormat=P","Fill=—","Direction=H","UseDPDF=Y")</f>
        <v>#NAME?</v>
      </c>
      <c r="CP148" s="3" t="e">
        <f ca="1">_xll.BDH($C$128,"EBITDA","FY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148" s="3" t="e">
        <f ca="1">_xll.BDH($C$128,"EBITDA_AFTER_CAPEX","FY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148" s="3" t="e">
        <f ca="1">_xll.BDH($C$128,"IS_OPER_INC","FY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148" s="2" t="e">
        <f ca="1">_xll.BDH($C$128,"CASH_RATIO","FY 2018","FY 2018","Currency=INR","Period=FY","BEST_FPERIOD_OVERRIDE=FY","FILING_STATUS=OR","EQY_CONSOLIDATED=Y","Sort=A","Dates=H","DateFormat=P","Fill=—","Direction=H","UseDPDF=Y")</f>
        <v>#NAME?</v>
      </c>
      <c r="CT148" s="2" t="e">
        <f ca="1">_xll.BDH($C$128,"CUR_RATIO","FY 2018","FY 2018","Currency=INR","Period=FY","BEST_FPERIOD_OVERRIDE=FY","FILING_STATUS=OR","EQY_CONSOLIDATED=Y","Sort=A","Dates=H","DateFormat=P","Fill=—","Direction=H","UseDPDF=Y")</f>
        <v>#NAME?</v>
      </c>
      <c r="CU148" s="2" t="e">
        <f ca="1">_xll.BDH($C$128,"QUICK_RATIO","FY 2018","FY 2018","Currency=INR","Period=FY","BEST_FPERIOD_OVERRIDE=FY","FILING_STATUS=OR","EQY_CONSOLIDATED=Y","Sort=A","Dates=H","DateFormat=P","Fill=—","Direction=H","UseDPDF=Y")</f>
        <v>#NAME?</v>
      </c>
      <c r="CV148" s="2" t="e">
        <f ca="1">_xll.BDH($C$128,"ALTMAN_Z_SCORE","FY 2018","FY 2018","Currency=INR","Period=FY","BEST_FPERIOD_OVERRIDE=FY","FILING_STATUS=OR","EQY_CONSOLIDATED=Y","Sort=A","Dates=H","DateFormat=P","Fill=—","Direction=H","UseDPDF=Y")</f>
        <v>#NAME?</v>
      </c>
      <c r="CW148" s="4" t="e">
        <f ca="1">_xll.BDH($C$128,"ACCT_RCV_TURN","FY 2018","FY 2018","Currency=INR","Period=FY","BEST_FPERIOD_OVERRIDE=FY","FILING_STATUS=OR","EQY_CONSOLIDATED=Y","FA_ADJUSTED=GAAP","Sort=A","Dates=H","DateFormat=P","Fill=—","Direction=H","UseDPDF=Y")</f>
        <v>#NAME?</v>
      </c>
      <c r="CX148" s="2" t="e">
        <f ca="1">_xll.BDH($C$128,"ACCT_RCV_DAYS","FY 2018","FY 2018","Currency=INR","Period=FY","BEST_FPERIOD_OVERRIDE=FY","FILING_STATUS=OR","EQY_CONSOLIDATED=Y","FA_ADJUSTED=GAAP","Sort=A","Dates=H","DateFormat=P","Fill=—","Direction=H","UseDPDF=Y")</f>
        <v>#NAME?</v>
      </c>
      <c r="CY148" s="4" t="e">
        <f ca="1">_xll.BDH($C$128,"INVENT_TURN","FY 2018","FY 2018","Currency=INR","Period=FY","BEST_FPERIOD_OVERRIDE=FY","FILING_STATUS=OR","EQY_CONSOLIDATED=Y","FA_ADJUSTED=GAAP","Sort=A","Dates=H","DateFormat=P","Fill=—","Direction=H","UseDPDF=Y")</f>
        <v>#NAME?</v>
      </c>
      <c r="CZ148" s="2" t="e">
        <f ca="1">_xll.BDH($C$128,"INVENT_DAYS","FY 2018","FY 2018","Currency=INR","Period=FY","BEST_FPERIOD_OVERRIDE=FY","FILING_STATUS=OR","EQY_CONSOLIDATED=Y","FA_ADJUSTED=GAAP","Sort=A","Dates=H","DateFormat=P","Fill=—","Direction=H","UseDPDF=Y")</f>
        <v>#NAME?</v>
      </c>
      <c r="DA148" s="4" t="e">
        <f ca="1">_xll.BDH($C$128,"ACCOUNTS_PAYABLE_TURNOVER","FY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148" s="2" t="e">
        <f ca="1">_xll.BDH($C$128,"ACCOUNTS_PAYABLE_TURNOVER_DAYS","FY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148" s="4" t="e">
        <f ca="1">_xll.BDH($C$128,"CASH_CONVERSION_CYCLE","FY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148" s="4" t="e">
        <f ca="1">_xll.BDH($C$128,"INV_TO_CASH_DAYS","FY 2018","FY 2018","Currency=INR","Period=FY","BEST_FPERIOD_OVERRIDE=FY","FILING_STATUS=OR","EQY_CONSOLIDATED=Y","FA_ADJUSTED=GAAP","Sort=A","Dates=H","DateFormat=P","Fill=—","Direction=H","UseDPDF=Y")</f>
        <v>#NAME?</v>
      </c>
      <c r="DE148" s="5" t="e">
        <f ca="1">_xll.BDH($C$128,"BS_INVENTORIES","FY 2018","FY 2018","Currency=INR","Period=FY","BEST_FPERIOD_OVERRIDE=FY","FILING_STATUS=OR","EQY_CONSOLIDATED=Y","SCALING_FORMAT=MLN","Sort=A","Dates=H","DateFormat=P","Fill=—","Direction=H","UseDPDF=Y")</f>
        <v>#NAME?</v>
      </c>
      <c r="DF148" s="3" t="e">
        <f ca="1">_xll.BDH($C$128,"INVTRY_RAW_MATERIALS","FY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148" s="3" t="e">
        <f ca="1">_xll.BDH($C$128,"INVTRY_IN_PROGRESS","FY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148" s="3" t="e">
        <f ca="1">_xll.BDH($C$128,"INVTRY_FINISHED_GOODS","FY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148" s="3" t="e">
        <f ca="1">_xll.BDH($C$128,"BS_OTHER_INV","FY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149" spans="1:113" x14ac:dyDescent="0.3">
      <c r="A149" s="6"/>
      <c r="B149" s="6"/>
      <c r="C149" s="6"/>
      <c r="D149" s="6"/>
      <c r="E149" t="s">
        <v>78</v>
      </c>
      <c r="F149" t="e">
        <f ca="1">_xll.BDH($C$128,"RETURN_COM_EQY","FQ1 2018","FQ1 2018","Currency=INR","Period=FQ","BEST_FPERIOD_OVERRIDE=FQ","FILING_STATUS=OR","EQY_CONSOLIDATED=Y","FA_ADJUSTED=GAAP","Sort=A","Dates=H","DateFormat=P","Fill=—","Direction=H","UseDPDF=Y")</f>
        <v>#NAME?</v>
      </c>
      <c r="G149" t="e">
        <f ca="1">_xll.BDH($C$128,"RETURN_ON_ASSET","FQ1 2018","FQ1 2018","Currency=INR","Period=FQ","BEST_FPERIOD_OVERRIDE=FQ","FILING_STATUS=OR","EQY_CONSOLIDATED=Y","FA_ADJUSTED=GAAP","Sort=A","Dates=H","DateFormat=P","Fill=—","Direction=H","UseDPDF=Y")</f>
        <v>#NAME?</v>
      </c>
      <c r="H149" t="e">
        <f ca="1">_xll.BDH($C$128,"RETURN_ON_CAP","FQ1 2018","FQ1 2018","Currency=INR","Period=FQ","BEST_FPERIOD_OVERRIDE=FQ","FILING_STATUS=OR","EQY_CONSOLIDATED=Y","FA_ADJUSTED=GAAP","Sort=A","Dates=H","DateFormat=P","Fill=—","Direction=H","UseDPDF=Y")</f>
        <v>#NAME?</v>
      </c>
      <c r="I149" t="e">
        <f ca="1">_xll.BDH($C$128,"RETURN_ON_INV_CAPITAL","FQ1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149" t="e">
        <f ca="1">_xll.BDH($C$128,"EBITDA_TO_REVENUE","FQ1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149" t="e">
        <f ca="1">_xll.BDH($C$128,"OPER_MARGIN","FQ1 2018","FQ1 2018","Currency=INR","Period=FQ","BEST_FPERIOD_OVERRIDE=FQ","FILING_STATUS=OR","EQY_CONSOLIDATED=Y","FA_ADJUSTED=GAAP","Sort=A","Dates=H","DateFormat=P","Fill=—","Direction=H","UseDPDF=Y")</f>
        <v>#NAME?</v>
      </c>
      <c r="L149" t="e">
        <f ca="1">_xll.BDH($C$128,"INCREMENTAL_OPERATING_MARGIN","FQ1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149" t="e">
        <f ca="1">_xll.BDH($C$128,"PRETAX_INC_TO_NET_SALES","FQ1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149" t="e">
        <f ca="1">_xll.BDH($C$128,"INC_BEF_XO_ITEMS_TO_NET_SALES","FQ1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149" t="e">
        <f ca="1">_xll.BDH($C$128,"PROF_MARGIN","FQ1 2018","FQ1 2018","Currency=INR","Period=FQ","BEST_FPERIOD_OVERRIDE=FQ","FILING_STATUS=OR","EQY_CONSOLIDATED=Y","FA_ADJUSTED=GAAP","Sort=A","Dates=H","DateFormat=P","Fill=—","Direction=H","UseDPDF=Y")</f>
        <v>#NAME?</v>
      </c>
      <c r="P149" t="e">
        <f ca="1">_xll.BDH($C$128,"NET_INCOME_TO_COMMON_MARGIN","FQ1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149" t="e">
        <f ca="1">_xll.BDH($C$128,"EFF_TAX_RATE","FQ1 2018","FQ1 2018","Currency=INR","Period=FQ","BEST_FPERIOD_OVERRIDE=FQ","FILING_STATUS=OR","EQY_CONSOLIDATED=Y","FA_ADJUSTED=GAAP","Sort=A","Dates=H","DateFormat=P","Fill=—","Direction=H","UseDPDF=Y")</f>
        <v>#NAME?</v>
      </c>
      <c r="R149" t="e">
        <f ca="1">_xll.BDH($C$128,"DVD_PAYOUT_RATIO","FQ1 2018","FQ1 2018","Currency=INR","Period=FQ","BEST_FPERIOD_OVERRIDE=FQ","FILING_STATUS=OR","EQY_CONSOLIDATED=Y","FA_ADJUSTED=GAAP","Sort=A","Dates=H","DateFormat=P","Fill=—","Direction=H","UseDPDF=Y")</f>
        <v>#NAME?</v>
      </c>
      <c r="S149" t="e">
        <f ca="1">_xll.BDH($C$128,"SUSTAIN_GROWTH_RT","FQ1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149" s="2" t="e">
        <f ca="1">_xll.BDH($C$128,"SALES_GROWTH","FQ1 2018","FQ1 2018","Currency=INR","Period=FQ","BEST_FPERIOD_OVERRIDE=FQ","FILING_STATUS=OR","EQY_CONSOLIDATED=Y","FA_ADJUSTED=GAAP","Sort=A","Dates=H","DateFormat=P","Fill=—","Direction=H","UseDPDF=Y")</f>
        <v>#NAME?</v>
      </c>
      <c r="U149" s="2" t="e">
        <f ca="1">_xll.BDH($C$128,"EBITDA_GROWTH","FQ1 2018","FQ1 2018","Currency=INR","Period=FQ","BEST_FPERIOD_OVERRIDE=FQ","FILING_STATUS=OR","EQY_CONSOLIDATED=Y","FA_ADJUSTED=GAAP","Sort=A","Dates=H","DateFormat=P","Fill=—","Direction=H","UseDPDF=Y")</f>
        <v>#NAME?</v>
      </c>
      <c r="V149" s="2" t="e">
        <f ca="1">_xll.BDH($C$128,"OPER_INC_GROWTH","FQ1 2018","FQ1 2018","Currency=INR","Period=FQ","BEST_FPERIOD_OVERRIDE=FQ","FILING_STATUS=OR","EQY_CONSOLIDATED=Y","FA_ADJUSTED=GAAP","Sort=A","Dates=H","DateFormat=P","Fill=—","Direction=H","UseDPDF=Y")</f>
        <v>#NAME?</v>
      </c>
      <c r="W149" s="2" t="e">
        <f ca="1">_xll.BDH($C$128,"EARN_FOR_COM_GROWTH","FQ1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149" s="2" t="e">
        <f ca="1">_xll.BDH($C$128,"DILUTED_EPS_AFT_XO_ITEMS_GROWTH","FQ1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149" s="2" t="e">
        <f ca="1">_xll.BDH($C$128,"DIVIDEND_PER_SHARE_1_YEAR_GROWTH","FQ1 2018","FQ1 2018","Currency=INR","Period=FQ","BEST_FPERIOD_OVERRIDE=FQ","FILING_STATUS=OR","EQY_CONSOLIDATED=Y","Sort=A","Dates=H","DateFormat=P","Fill=—","Direction=H","UseDPDF=Y")</f>
        <v>#NAME?</v>
      </c>
      <c r="Z149" s="2" t="e">
        <f ca="1">_xll.BDH($C$128,"ACCOUNTS_RECEIVABLE_GROWTH","FQ1 2018","FQ1 2018","Currency=INR","Period=FQ","BEST_FPERIOD_OVERRIDE=FQ","FILING_STATUS=OR","EQY_CONSOLIDATED=Y","Sort=A","Dates=H","DateFormat=P","Fill=—","Direction=H","UseDPDF=Y")</f>
        <v>#NAME?</v>
      </c>
      <c r="AA149" s="2" t="e">
        <f ca="1">_xll.BDH($C$128,"INVENTORY_GROWTH","FQ1 2018","FQ1 2018","Currency=INR","Period=FQ","BEST_FPERIOD_OVERRIDE=FQ","FILING_STATUS=OR","EQY_CONSOLIDATED=Y","Sort=A","Dates=H","DateFormat=P","Fill=—","Direction=H","UseDPDF=Y")</f>
        <v>#NAME?</v>
      </c>
      <c r="AB149" s="2" t="e">
        <f ca="1">_xll.BDH($C$128,"NET_FIXED_ASSETS_1_YEAR_GROWTH","FQ1 2018","FQ1 2018","Currency=INR","Period=FQ","BEST_FPERIOD_OVERRIDE=FQ","FILING_STATUS=OR","EQY_CONSOLIDATED=Y","Sort=A","Dates=H","DateFormat=P","Fill=—","Direction=H","UseDPDF=Y")</f>
        <v>#NAME?</v>
      </c>
      <c r="AC149" s="2" t="e">
        <f ca="1">_xll.BDH($C$128,"ASSET_GROWTH","FQ1 2018","FQ1 2018","Currency=INR","Period=FQ","BEST_FPERIOD_OVERRIDE=FQ","FILING_STATUS=OR","EQY_CONSOLIDATED=Y","Sort=A","Dates=H","DateFormat=P","Fill=—","Direction=H","UseDPDF=Y")</f>
        <v>#NAME?</v>
      </c>
      <c r="AD149" s="2" t="e">
        <f ca="1">_xll.BDH($C$128,"MODIFIED_WORK_CAP_GROWTH","FQ1 2018","FQ1 2018","Currency=INR","Period=FQ","BEST_FPERIOD_OVERRIDE=FQ","FILING_STATUS=OR","EQY_CONSOLIDATED=Y","Sort=A","Dates=H","DateFormat=P","Fill=—","Direction=H","UseDPDF=Y")</f>
        <v>#NAME?</v>
      </c>
      <c r="AE149" s="2" t="e">
        <f ca="1">_xll.BDH($C$128,"WORK_CAP_GROWTH","FQ1 2018","FQ1 2018","Currency=INR","Period=FQ","BEST_FPERIOD_OVERRIDE=FQ","FILING_STATUS=OR","EQY_CONSOLIDATED=Y","Sort=A","Dates=H","DateFormat=P","Fill=—","Direction=H","UseDPDF=Y")</f>
        <v>#NAME?</v>
      </c>
      <c r="AF149" s="2" t="e">
        <f ca="1">_xll.BDH($C$128,"ACCOUNTS_PAYABLE_GROWTH_1YR","FQ1 2018","FQ1 2018","Currency=INR","Period=FQ","BEST_FPERIOD_OVERRIDE=FQ","FILING_STATUS=OR","EQY_CONSOLIDATED=Y","Sort=A","Dates=H","DateFormat=P","Fill=—","Direction=H","UseDPDF=Y")</f>
        <v>#NAME?</v>
      </c>
      <c r="AG149" s="2" t="e">
        <f ca="1">_xll.BDH($C$128,"SHORT_TERM_DEBT_1_YEAR_GROWTH","FQ1 2018","FQ1 2018","Currency=INR","Period=FQ","BEST_FPERIOD_OVERRIDE=FQ","FILING_STATUS=OR","EQY_CONSOLIDATED=Y","Sort=A","Dates=H","DateFormat=P","Fill=—","Direction=H","UseDPDF=Y")</f>
        <v>#NAME?</v>
      </c>
      <c r="AH149" s="2" t="e">
        <f ca="1">_xll.BDH($C$128,"TOTAL_DEBT_1_YEAR_GROWTH","FQ1 2018","FQ1 2018","Currency=INR","Period=FQ","BEST_FPERIOD_OVERRIDE=FQ","FILING_STATUS=OR","EQY_CONSOLIDATED=Y","Sort=A","Dates=H","DateFormat=P","Fill=—","Direction=H","UseDPDF=Y")</f>
        <v>#NAME?</v>
      </c>
      <c r="AI149" s="2" t="e">
        <f ca="1">_xll.BDH($C$128,"TOTAL_EQUITY_1_YEAR_GROWTH","FQ1 2018","FQ1 2018","Currency=INR","Period=FQ","BEST_FPERIOD_OVERRIDE=FQ","FILING_STATUS=OR","EQY_CONSOLIDATED=Y","Sort=A","Dates=H","DateFormat=P","Fill=—","Direction=H","UseDPDF=Y")</f>
        <v>#NAME?</v>
      </c>
      <c r="AJ149" s="2" t="e">
        <f ca="1">_xll.BDH($C$128,"GROWTH_IN_CAP","FQ1 2018","FQ1 2018","Currency=INR","Period=FQ","BEST_FPERIOD_OVERRIDE=FQ","FILING_STATUS=OR","EQY_CONSOLIDATED=Y","Sort=A","Dates=H","DateFormat=P","Fill=—","Direction=H","UseDPDF=Y")</f>
        <v>#NAME?</v>
      </c>
      <c r="AK149" s="2" t="e">
        <f ca="1">_xll.BDH($C$128,"BVPS_GROWTH","FQ1 2018","FQ1 2018","Currency=INR","Period=FQ","BEST_FPERIOD_OVERRIDE=FQ","FILING_STATUS=OR","EQY_CONSOLIDATED=Y","Sort=A","Dates=H","DateFormat=P","Fill=—","Direction=H","UseDPDF=Y")</f>
        <v>#NAME?</v>
      </c>
      <c r="AL149" s="2" t="e">
        <f ca="1">_xll.BDH($C$128,"CASH_FLOW_GROWTH","FQ1 2018","FQ1 2018","Currency=INR","Period=FQ","BEST_FPERIOD_OVERRIDE=FQ","FILING_STATUS=OR","EQY_CONSOLIDATED=Y","Sort=A","Dates=H","DateFormat=P","Fill=—","Direction=H","UseDPDF=Y")</f>
        <v>#NAME?</v>
      </c>
      <c r="AM149" s="2" t="e">
        <f ca="1">_xll.BDH($C$128,"GEO_GROW_NET_SALES","FQ1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149" s="2" t="e">
        <f ca="1">_xll.BDH($C$128,"GEO_GROW_EBITDA","FQ1 2018","FQ1 2018","Currency=INR","Period=FQ","BEST_FPERIOD_OVERRIDE=FQ","FILING_STATUS=OR","EQY_CONSOLIDATED=Y","FA_ADJUSTED=GAAP","Sort=A","Dates=H","DateFormat=P","Fill=—","Direction=H","UseDPDF=Y")</f>
        <v>#NAME?</v>
      </c>
      <c r="AO149" s="2" t="e">
        <f ca="1">_xll.BDH($C$128,"GEO_GROW_OPER_INC","FQ1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149" s="2" t="e">
        <f ca="1">_xll.BDH($C$128,"NET_INCOME_TO_COMMON_5_YR_GROWTH","FQ1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149" s="2" t="e">
        <f ca="1">_xll.BDH($C$128,"5Y_GEO_GROWTH_DILUTED_EPS","FQ1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149" s="2" t="e">
        <f ca="1">_xll.BDH($C$128,"GEO_GROW_DVD_PER_SH","FQ1 2018","FQ1 2018","Currency=INR","Period=FQ","BEST_FPERIOD_OVERRIDE=FQ","FILING_STATUS=OR","EQY_CONSOLIDATED=Y","Sort=A","Dates=H","DateFormat=P","Fill=—","Direction=H","UseDPDF=Y")</f>
        <v>#NAME?</v>
      </c>
      <c r="AS149" s="2" t="e">
        <f ca="1">_xll.BDH($C$128,"ACCOUNTS_RECEIVABLE_5_YR_GROWTH","FQ1 2018","FQ1 2018","Currency=INR","Period=FQ","BEST_FPERIOD_OVERRIDE=FQ","FILING_STATUS=OR","EQY_CONSOLIDATED=Y","Sort=A","Dates=H","DateFormat=P","Fill=—","Direction=H","UseDPDF=Y")</f>
        <v>#NAME?</v>
      </c>
      <c r="AT149" s="2" t="e">
        <f ca="1">_xll.BDH($C$128,"INVENTORY_5_YEAR_GROWTH","FQ1 2018","FQ1 2018","Currency=INR","Period=FQ","BEST_FPERIOD_OVERRIDE=FQ","FILING_STATUS=OR","EQY_CONSOLIDATED=Y","Sort=A","Dates=H","DateFormat=P","Fill=—","Direction=H","UseDPDF=Y")</f>
        <v>#NAME?</v>
      </c>
      <c r="AU149" s="2" t="e">
        <f ca="1">_xll.BDH($C$128,"NET_FIXED_ASSETS_5_YEAR_GROWTH","FQ1 2018","FQ1 2018","Currency=INR","Period=FQ","BEST_FPERIOD_OVERRIDE=FQ","FILING_STATUS=OR","EQY_CONSOLIDATED=Y","Sort=A","Dates=H","DateFormat=P","Fill=—","Direction=H","UseDPDF=Y")</f>
        <v>#NAME?</v>
      </c>
      <c r="AV149" s="2" t="e">
        <f ca="1">_xll.BDH($C$128,"GEO_GROW_TOT_ASSET","FQ1 2018","FQ1 2018","Currency=INR","Period=FQ","BEST_FPERIOD_OVERRIDE=FQ","FILING_STATUS=OR","EQY_CONSOLIDATED=Y","Sort=A","Dates=H","DateFormat=P","Fill=—","Direction=H","UseDPDF=Y")</f>
        <v>#NAME?</v>
      </c>
      <c r="AW149" s="2" t="e">
        <f ca="1">_xll.BDH($C$128,"MODIFIED_WORKING_CPTL_5YR_GRWTH","FQ1 2018","FQ1 2018","Currency=INR","Period=FQ","BEST_FPERIOD_OVERRIDE=FQ","FILING_STATUS=OR","EQY_CONSOLIDATED=Y","Sort=A","Dates=H","DateFormat=P","Fill=—","Direction=H","UseDPDF=Y")</f>
        <v>#NAME?</v>
      </c>
      <c r="AX149" s="2" t="e">
        <f ca="1">_xll.BDH($C$128,"WORKING_CAPITAL_5_YEAR_GROWTH","FQ1 2018","FQ1 2018","Currency=INR","Period=FQ","BEST_FPERIOD_OVERRIDE=FQ","FILING_STATUS=OR","EQY_CONSOLIDATED=Y","Sort=A","Dates=H","DateFormat=P","Fill=—","Direction=H","UseDPDF=Y")</f>
        <v>#NAME?</v>
      </c>
      <c r="AY149" s="2" t="e">
        <f ca="1">_xll.BDH($C$128,"ACCOUNTS_PAYABLE_5_YEAR_GROWTH","FQ1 2018","FQ1 2018","Currency=INR","Period=FQ","BEST_FPERIOD_OVERRIDE=FQ","FILING_STATUS=OR","EQY_CONSOLIDATED=Y","Sort=A","Dates=H","DateFormat=P","Fill=—","Direction=H","UseDPDF=Y")</f>
        <v>#NAME?</v>
      </c>
      <c r="AZ149" s="2" t="e">
        <f ca="1">_xll.BDH($C$128,"SHORT_TERM_DEBT_5_YEAR_GROWTH","FQ1 2018","FQ1 2018","Currency=INR","Period=FQ","BEST_FPERIOD_OVERRIDE=FQ","FILING_STATUS=OR","EQY_CONSOLIDATED=Y","Sort=A","Dates=H","DateFormat=P","Fill=—","Direction=H","UseDPDF=Y")</f>
        <v>#NAME?</v>
      </c>
      <c r="BA149" s="2" t="e">
        <f ca="1">_xll.BDH($C$128,"TOTAL_DEBT_5_YEAR_GROWTH","FQ1 2018","FQ1 2018","Currency=INR","Period=FQ","BEST_FPERIOD_OVERRIDE=FQ","FILING_STATUS=OR","EQY_CONSOLIDATED=Y","Sort=A","Dates=H","DateFormat=P","Fill=—","Direction=H","UseDPDF=Y")</f>
        <v>#NAME?</v>
      </c>
      <c r="BB149" s="2" t="e">
        <f ca="1">_xll.BDH($C$128,"GEO_GROW_TOT_SHRHLDR_EQY","FQ1 2018","FQ1 2018","Currency=INR","Period=FQ","BEST_FPERIOD_OVERRIDE=FQ","FILING_STATUS=OR","EQY_CONSOLIDATED=Y","Sort=A","Dates=H","DateFormat=P","Fill=—","Direction=H","UseDPDF=Y")</f>
        <v>#NAME?</v>
      </c>
      <c r="BC149" s="2" t="e">
        <f ca="1">_xll.BDH($C$128,"TOTAL_CAPITAL_5_YEAR_GROWTH","FQ1 2018","FQ1 2018","Currency=INR","Period=FQ","BEST_FPERIOD_OVERRIDE=FQ","FILING_STATUS=OR","EQY_CONSOLIDATED=Y","Sort=A","Dates=H","DateFormat=P","Fill=—","Direction=H","UseDPDF=Y")</f>
        <v>#NAME?</v>
      </c>
      <c r="BD149" s="2" t="e">
        <f ca="1">_xll.BDH($C$128,"GEO_GROW_BOOK_VAL","FQ1 2018","FQ1 2018","Currency=INR","Period=FQ","BEST_FPERIOD_OVERRIDE=FQ","FILING_STATUS=OR","EQY_CONSOLIDATED=Y","Sort=A","Dates=H","DateFormat=P","Fill=—","Direction=H","UseDPDF=Y")</f>
        <v>#NAME?</v>
      </c>
      <c r="BE149" s="2" t="e">
        <f ca="1">_xll.BDH($C$128,"GEO_GROW_CASH_OPER_ACT","FQ1 2018","FQ1 2018","Currency=INR","Period=FQ","BEST_FPERIOD_OVERRIDE=FQ","FILING_STATUS=OR","EQY_CONSOLIDATED=Y","Sort=A","Dates=H","DateFormat=P","Fill=—","Direction=H","UseDPDF=Y")</f>
        <v>#NAME?</v>
      </c>
      <c r="BF149" s="2" t="e">
        <f ca="1">_xll.BDH($C$128,"REVENUE_SEQUENTIAL_GROWTH","FQ1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149" s="2" t="e">
        <f ca="1">_xll.BDH($C$128,"EBITDA_SEQUENTIAL_GROWTH","FQ1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149" s="2" t="e">
        <f ca="1">_xll.BDH($C$128,"OPERATING_INCOME_SEQ_GROWTH","FQ1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149" s="2" t="e">
        <f ca="1">_xll.BDH($C$128,"NET_INCOME_TO_COMMON_SEQ_GROWTH","FQ1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149" s="2" t="e">
        <f ca="1">_xll.BDH($C$128,"EPS_DILUTED_SEQUENTIAL_GROWTH","FQ1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149" s="2" t="e">
        <f ca="1">_xll.BDH($C$128,"DPS_SEQUENTIAL_GROWTH","FQ1 2018","FQ1 2018","Currency=INR","Period=FQ","BEST_FPERIOD_OVERRIDE=FQ","FILING_STATUS=OR","EQY_CONSOLIDATED=Y","Sort=A","Dates=H","DateFormat=P","Fill=—","Direction=H","UseDPDF=Y")</f>
        <v>#NAME?</v>
      </c>
      <c r="BL149" s="2" t="e">
        <f ca="1">_xll.BDH($C$128,"ACCOUNTS_RECEIVABLE_SEQ_GROWTH","FQ1 2018","FQ1 2018","Currency=INR","Period=FQ","BEST_FPERIOD_OVERRIDE=FQ","FILING_STATUS=OR","EQY_CONSOLIDATED=Y","Sort=A","Dates=H","DateFormat=P","Fill=—","Direction=H","UseDPDF=Y")</f>
        <v>#NAME?</v>
      </c>
      <c r="BM149" s="2" t="e">
        <f ca="1">_xll.BDH($C$128,"INVENTORY_SEQUENTIAL_GROWTH","FQ1 2018","FQ1 2018","Currency=INR","Period=FQ","BEST_FPERIOD_OVERRIDE=FQ","FILING_STATUS=OR","EQY_CONSOLIDATED=Y","Sort=A","Dates=H","DateFormat=P","Fill=—","Direction=H","UseDPDF=Y")</f>
        <v>#NAME?</v>
      </c>
      <c r="BN149" s="2" t="e">
        <f ca="1">_xll.BDH($C$128,"FIXED_ASSETS_SEQUENTIAL_GROWTH","FQ1 2018","FQ1 2018","Currency=INR","Period=FQ","BEST_FPERIOD_OVERRIDE=FQ","FILING_STATUS=OR","EQY_CONSOLIDATED=Y","Sort=A","Dates=H","DateFormat=P","Fill=—","Direction=H","UseDPDF=Y")</f>
        <v>#NAME?</v>
      </c>
      <c r="BO149" s="2" t="e">
        <f ca="1">_xll.BDH($C$128,"TOTAL_ASSETS_SEQUENTIAL_GROWTH","FQ1 2018","FQ1 2018","Currency=INR","Period=FQ","BEST_FPERIOD_OVERRIDE=FQ","FILING_STATUS=OR","EQY_CONSOLIDATED=Y","Sort=A","Dates=H","DateFormat=P","Fill=—","Direction=H","UseDPDF=Y")</f>
        <v>#NAME?</v>
      </c>
      <c r="BP149" s="2" t="e">
        <f ca="1">_xll.BDH($C$128,"MODIFIED_WORKING_CPTL_SEQ_GRWTH","FQ1 2018","FQ1 2018","Currency=INR","Period=FQ","BEST_FPERIOD_OVERRIDE=FQ","FILING_STATUS=OR","EQY_CONSOLIDATED=Y","Sort=A","Dates=H","DateFormat=P","Fill=—","Direction=H","UseDPDF=Y")</f>
        <v>#NAME?</v>
      </c>
      <c r="BQ149" s="2" t="e">
        <f ca="1">_xll.BDH($C$128,"WORKING_CAPITAL_SEQ_GROWTH","FQ1 2018","FQ1 2018","Currency=INR","Period=FQ","BEST_FPERIOD_OVERRIDE=FQ","FILING_STATUS=OR","EQY_CONSOLIDATED=Y","Sort=A","Dates=H","DateFormat=P","Fill=—","Direction=H","UseDPDF=Y")</f>
        <v>#NAME?</v>
      </c>
      <c r="BR149" s="2" t="e">
        <f ca="1">_xll.BDH($C$128,"ACCOUNTS_PAYABLE_SEQ_GROWTH","FQ1 2018","FQ1 2018","Currency=INR","Period=FQ","BEST_FPERIOD_OVERRIDE=FQ","FILING_STATUS=OR","EQY_CONSOLIDATED=Y","Sort=A","Dates=H","DateFormat=P","Fill=—","Direction=H","UseDPDF=Y")</f>
        <v>#NAME?</v>
      </c>
      <c r="BS149" s="2" t="e">
        <f ca="1">_xll.BDH($C$128,"ST_DEBT_SEQUENTIAL_GROWTH","FQ1 2018","FQ1 2018","Currency=INR","Period=FQ","BEST_FPERIOD_OVERRIDE=FQ","FILING_STATUS=OR","EQY_CONSOLIDATED=Y","Sort=A","Dates=H","DateFormat=P","Fill=—","Direction=H","UseDPDF=Y")</f>
        <v>#NAME?</v>
      </c>
      <c r="BT149" s="2" t="e">
        <f ca="1">_xll.BDH($C$128,"TOTAL_DEBT_SEQUENTIAL_GROWTH","FQ1 2018","FQ1 2018","Currency=INR","Period=FQ","BEST_FPERIOD_OVERRIDE=FQ","FILING_STATUS=OR","EQY_CONSOLIDATED=Y","Sort=A","Dates=H","DateFormat=P","Fill=—","Direction=H","UseDPDF=Y")</f>
        <v>#NAME?</v>
      </c>
      <c r="BU149" s="2" t="e">
        <f ca="1">_xll.BDH($C$128,"TOTAL_EQUITY_SEQUENTIAL_GROWTH","FQ1 2018","FQ1 2018","Currency=INR","Period=FQ","BEST_FPERIOD_OVERRIDE=FQ","FILING_STATUS=OR","EQY_CONSOLIDATED=Y","Sort=A","Dates=H","DateFormat=P","Fill=—","Direction=H","UseDPDF=Y")</f>
        <v>#NAME?</v>
      </c>
      <c r="BV149" s="2" t="e">
        <f ca="1">_xll.BDH($C$128,"TOTAL_CAPITAL_SEQUENTIAL_GROWTH","FQ1 2018","FQ1 2018","Currency=INR","Period=FQ","BEST_FPERIOD_OVERRIDE=FQ","FILING_STATUS=OR","EQY_CONSOLIDATED=Y","Sort=A","Dates=H","DateFormat=P","Fill=—","Direction=H","UseDPDF=Y")</f>
        <v>#NAME?</v>
      </c>
      <c r="BW149" s="2" t="e">
        <f ca="1">_xll.BDH($C$128,"BPS_SEQUENTIAL_GROWTH","FQ1 2018","FQ1 2018","Currency=INR","Period=FQ","BEST_FPERIOD_OVERRIDE=FQ","FILING_STATUS=OR","EQY_CONSOLIDATED=Y","Sort=A","Dates=H","DateFormat=P","Fill=—","Direction=H","UseDPDF=Y")</f>
        <v>#NAME?</v>
      </c>
      <c r="BX149" s="2" t="e">
        <f ca="1">_xll.BDH($C$128,"CFO_SEQUENTIAL_GROWTH","FQ1 2018","FQ1 2018","Currency=INR","Period=FQ","BEST_FPERIOD_OVERRIDE=FQ","FILING_STATUS=OR","EQY_CONSOLIDATED=Y","Sort=A","Dates=H","DateFormat=P","Fill=—","Direction=H","UseDPDF=Y")</f>
        <v>#NAME?</v>
      </c>
      <c r="BY149" s="3" t="e">
        <f ca="1">_xll.BDH($C$128,"SHORT_AND_LONG_TERM_DEBT","FQ1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149" s="3" t="e">
        <f ca="1">_xll.BDH($C$128,"BS_ST_BORROW","FQ1 2018","FQ1 2018","Currency=INR","Period=FQ","BEST_FPERIOD_OVERRIDE=FQ","FILING_STATUS=OR","EQY_CONSOLIDATED=Y","SCALING_FORMAT=MLN","Sort=A","Dates=H","DateFormat=P","Fill=—","Direction=H","UseDPDF=Y")</f>
        <v>#NAME?</v>
      </c>
      <c r="CA149" s="3" t="e">
        <f ca="1">_xll.BDH($C$128,"BS_LT_BORROW","FQ1 2018","FQ1 2018","Currency=INR","Period=FQ","BEST_FPERIOD_OVERRIDE=FQ","FILING_STATUS=OR","EQY_CONSOLIDATED=Y","SCALING_FORMAT=MLN","Sort=A","Dates=H","DateFormat=P","Fill=—","Direction=H","UseDPDF=Y")</f>
        <v>#NAME?</v>
      </c>
      <c r="CB149" s="2" t="e">
        <f ca="1">_xll.BDH($C$128,"TOT_DEBT_TO_EBITDA","FQ1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149" s="2" t="e">
        <f ca="1">_xll.BDH($C$128,"NET_DEBT_TO_EBITDA","FQ1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149" s="2" t="e">
        <f ca="1">_xll.BDH($C$128,"TOTAL_DEBT_TO_EBIT","FQ1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149" s="2" t="e">
        <f ca="1">_xll.BDH($C$128,"NET_DEBT_TO_EBIT","FQ1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149" s="2" t="e">
        <f ca="1">_xll.BDH($C$128,"EBITDA_TO_INTEREST_EXPN","FQ1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149" s="2" t="e">
        <f ca="1">_xll.BDH($C$128,"COM_EQY_TO_TOT_ASSET","FQ1 2018","FQ1 2018","Currency=INR","Period=FQ","BEST_FPERIOD_OVERRIDE=FQ","FILING_STATUS=OR","EQY_CONSOLIDATED=Y","Sort=A","Dates=H","DateFormat=P","Fill=—","Direction=H","UseDPDF=Y")</f>
        <v>#NAME?</v>
      </c>
      <c r="CH149" s="2" t="e">
        <f ca="1">_xll.BDH($C$128,"LT_DEBT_TO_TOT_EQY","FQ1 2018","FQ1 2018","Currency=INR","Period=FQ","BEST_FPERIOD_OVERRIDE=FQ","FILING_STATUS=OR","EQY_CONSOLIDATED=Y","Sort=A","Dates=H","DateFormat=P","Fill=—","Direction=H","UseDPDF=Y")</f>
        <v>#NAME?</v>
      </c>
      <c r="CI149" s="2" t="e">
        <f ca="1">_xll.BDH($C$128,"LT_DEBT_TO_TOT_CAP","FQ1 2018","FQ1 2018","Currency=INR","Period=FQ","BEST_FPERIOD_OVERRIDE=FQ","FILING_STATUS=OR","EQY_CONSOLIDATED=Y","Sort=A","Dates=H","DateFormat=P","Fill=—","Direction=H","UseDPDF=Y")</f>
        <v>#NAME?</v>
      </c>
      <c r="CJ149" s="2" t="e">
        <f ca="1">_xll.BDH($C$128,"LT_DEBT_TO_TOT_ASSET","FQ1 2018","FQ1 2018","Currency=INR","Period=FQ","BEST_FPERIOD_OVERRIDE=FQ","FILING_STATUS=OR","EQY_CONSOLIDATED=Y","Sort=A","Dates=H","DateFormat=P","Fill=—","Direction=H","UseDPDF=Y")</f>
        <v>#NAME?</v>
      </c>
      <c r="CK149" s="2" t="e">
        <f ca="1">_xll.BDH($C$128,"TOT_DEBT_TO_TOT_EQY","FQ1 2018","FQ1 2018","Currency=INR","Period=FQ","BEST_FPERIOD_OVERRIDE=FQ","FILING_STATUS=OR","EQY_CONSOLIDATED=Y","Sort=A","Dates=H","DateFormat=P","Fill=—","Direction=H","UseDPDF=Y")</f>
        <v>#NAME?</v>
      </c>
      <c r="CL149" s="2" t="e">
        <f ca="1">_xll.BDH($C$128,"TOT_DEBT_TO_TOT_CAP","FQ1 2018","FQ1 2018","Currency=INR","Period=FQ","BEST_FPERIOD_OVERRIDE=FQ","FILING_STATUS=OR","EQY_CONSOLIDATED=Y","Sort=A","Dates=H","DateFormat=P","Fill=—","Direction=H","UseDPDF=Y")</f>
        <v>#NAME?</v>
      </c>
      <c r="CM149" s="2" t="e">
        <f ca="1">_xll.BDH($C$128,"TOT_DEBT_TO_TOT_ASSET","FQ1 2018","FQ1 2018","Currency=INR","Period=FQ","BEST_FPERIOD_OVERRIDE=FQ","FILING_STATUS=OR","EQY_CONSOLIDATED=Y","Sort=A","Dates=H","DateFormat=P","Fill=—","Direction=H","UseDPDF=Y")</f>
        <v>#NAME?</v>
      </c>
      <c r="CN149" s="2" t="e">
        <f ca="1">_xll.BDH($C$128,"NET_DEBT_TO_SHRHLDR_EQTY","FQ1 2018","FQ1 2018","Currency=INR","Period=FQ","BEST_FPERIOD_OVERRIDE=FQ","FILING_STATUS=OR","EQY_CONSOLIDATED=Y","Sort=A","Dates=H","DateFormat=P","Fill=—","Direction=H","UseDPDF=Y")</f>
        <v>#NAME?</v>
      </c>
      <c r="CO149" s="2" t="e">
        <f ca="1">_xll.BDH($C$128,"NET_DEBT_%_CAPITAL","FQ1 2018","FQ1 2018","Currency=INR","Period=FQ","BEST_FPERIOD_OVERRIDE=FQ","FILING_STATUS=OR","EQY_CONSOLIDATED=Y","Sort=A","Dates=H","DateFormat=P","Fill=—","Direction=H","UseDPDF=Y")</f>
        <v>#NAME?</v>
      </c>
      <c r="CP149" s="3" t="e">
        <f ca="1">_xll.BDH($C$128,"EBITDA","FQ1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149" s="3" t="e">
        <f ca="1">_xll.BDH($C$128,"EBITDA_AFTER_CAPEX","FQ1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149" s="3" t="e">
        <f ca="1">_xll.BDH($C$128,"IS_OPER_INC","FQ1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149" s="2" t="e">
        <f ca="1">_xll.BDH($C$128,"CASH_RATIO","FQ1 2018","FQ1 2018","Currency=INR","Period=FQ","BEST_FPERIOD_OVERRIDE=FQ","FILING_STATUS=OR","EQY_CONSOLIDATED=Y","Sort=A","Dates=H","DateFormat=P","Fill=—","Direction=H","UseDPDF=Y")</f>
        <v>#NAME?</v>
      </c>
      <c r="CT149" s="2" t="e">
        <f ca="1">_xll.BDH($C$128,"CUR_RATIO","FQ1 2018","FQ1 2018","Currency=INR","Period=FQ","BEST_FPERIOD_OVERRIDE=FQ","FILING_STATUS=OR","EQY_CONSOLIDATED=Y","Sort=A","Dates=H","DateFormat=P","Fill=—","Direction=H","UseDPDF=Y")</f>
        <v>#NAME?</v>
      </c>
      <c r="CU149" s="2" t="e">
        <f ca="1">_xll.BDH($C$128,"QUICK_RATIO","FQ1 2018","FQ1 2018","Currency=INR","Period=FQ","BEST_FPERIOD_OVERRIDE=FQ","FILING_STATUS=OR","EQY_CONSOLIDATED=Y","Sort=A","Dates=H","DateFormat=P","Fill=—","Direction=H","UseDPDF=Y")</f>
        <v>#NAME?</v>
      </c>
      <c r="CV149" s="2" t="e">
        <f ca="1">_xll.BDH($C$128,"ALTMAN_Z_SCORE","FQ1 2018","FQ1 2018","Currency=INR","Period=FQ","BEST_FPERIOD_OVERRIDE=FQ","FILING_STATUS=OR","EQY_CONSOLIDATED=Y","Sort=A","Dates=H","DateFormat=P","Fill=—","Direction=H","UseDPDF=Y")</f>
        <v>#NAME?</v>
      </c>
      <c r="CW149" s="4" t="e">
        <f ca="1">_xll.BDH($C$128,"ACCT_RCV_TURN","FQ1 2018","FQ1 2018","Currency=INR","Period=FQ","BEST_FPERIOD_OVERRIDE=FQ","FILING_STATUS=OR","EQY_CONSOLIDATED=Y","FA_ADJUSTED=GAAP","Sort=A","Dates=H","DateFormat=P","Fill=—","Direction=H","UseDPDF=Y")</f>
        <v>#NAME?</v>
      </c>
      <c r="CX149" s="2" t="e">
        <f ca="1">_xll.BDH($C$128,"ACCT_RCV_DAYS","FQ1 2018","FQ1 2018","Currency=INR","Period=FQ","BEST_FPERIOD_OVERRIDE=FQ","FILING_STATUS=OR","EQY_CONSOLIDATED=Y","FA_ADJUSTED=GAAP","Sort=A","Dates=H","DateFormat=P","Fill=—","Direction=H","UseDPDF=Y")</f>
        <v>#NAME?</v>
      </c>
      <c r="CY149" s="4" t="e">
        <f ca="1">_xll.BDH($C$128,"INVENT_TURN","FQ1 2018","FQ1 2018","Currency=INR","Period=FQ","BEST_FPERIOD_OVERRIDE=FQ","FILING_STATUS=OR","EQY_CONSOLIDATED=Y","FA_ADJUSTED=GAAP","Sort=A","Dates=H","DateFormat=P","Fill=—","Direction=H","UseDPDF=Y")</f>
        <v>#NAME?</v>
      </c>
      <c r="CZ149" s="2" t="e">
        <f ca="1">_xll.BDH($C$128,"INVENT_DAYS","FQ1 2018","FQ1 2018","Currency=INR","Period=FQ","BEST_FPERIOD_OVERRIDE=FQ","FILING_STATUS=OR","EQY_CONSOLIDATED=Y","FA_ADJUSTED=GAAP","Sort=A","Dates=H","DateFormat=P","Fill=—","Direction=H","UseDPDF=Y")</f>
        <v>#NAME?</v>
      </c>
      <c r="DA149" s="4" t="e">
        <f ca="1">_xll.BDH($C$128,"ACCOUNTS_PAYABLE_TURNOVER","FQ1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149" s="2" t="e">
        <f ca="1">_xll.BDH($C$128,"ACCOUNTS_PAYABLE_TURNOVER_DAYS","FQ1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149" s="4" t="e">
        <f ca="1">_xll.BDH($C$128,"CASH_CONVERSION_CYCLE","FQ1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149" s="4" t="e">
        <f ca="1">_xll.BDH($C$128,"INV_TO_CASH_DAYS","FQ1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149" s="5" t="e">
        <f ca="1">_xll.BDH($C$128,"BS_INVENTORIES","FQ1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149" s="3" t="e">
        <f ca="1">_xll.BDH($C$128,"INVTRY_RAW_MATERIALS","FQ1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149" s="3" t="e">
        <f ca="1">_xll.BDH($C$128,"INVTRY_IN_PROGRESS","FQ1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149" s="3" t="e">
        <f ca="1">_xll.BDH($C$128,"INVTRY_FINISHED_GOODS","FQ1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149" s="3" t="e">
        <f ca="1">_xll.BDH($C$128,"BS_OTHER_INV","FQ1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150" spans="1:113" x14ac:dyDescent="0.3">
      <c r="A150" s="6"/>
      <c r="B150" s="6"/>
      <c r="C150" s="6"/>
      <c r="D150" s="6"/>
      <c r="E150" t="s">
        <v>79</v>
      </c>
      <c r="F150" t="e">
        <f ca="1">_xll.BDH($C$128,"RETURN_COM_EQY","FQ2 2018","FQ2 2018","Currency=INR","Period=FQ","BEST_FPERIOD_OVERRIDE=FQ","FILING_STATUS=OR","EQY_CONSOLIDATED=Y","FA_ADJUSTED=GAAP","Sort=A","Dates=H","DateFormat=P","Fill=—","Direction=H","UseDPDF=Y")</f>
        <v>#NAME?</v>
      </c>
      <c r="G150" t="e">
        <f ca="1">_xll.BDH($C$128,"RETURN_ON_ASSET","FQ2 2018","FQ2 2018","Currency=INR","Period=FQ","BEST_FPERIOD_OVERRIDE=FQ","FILING_STATUS=OR","EQY_CONSOLIDATED=Y","FA_ADJUSTED=GAAP","Sort=A","Dates=H","DateFormat=P","Fill=—","Direction=H","UseDPDF=Y")</f>
        <v>#NAME?</v>
      </c>
      <c r="H150" t="e">
        <f ca="1">_xll.BDH($C$128,"RETURN_ON_CAP","FQ2 2018","FQ2 2018","Currency=INR","Period=FQ","BEST_FPERIOD_OVERRIDE=FQ","FILING_STATUS=OR","EQY_CONSOLIDATED=Y","FA_ADJUSTED=GAAP","Sort=A","Dates=H","DateFormat=P","Fill=—","Direction=H","UseDPDF=Y")</f>
        <v>#NAME?</v>
      </c>
      <c r="I150" t="e">
        <f ca="1">_xll.BDH($C$128,"RETURN_ON_INV_CAPITAL","FQ2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150" t="e">
        <f ca="1">_xll.BDH($C$128,"EBITDA_TO_REVENUE","FQ2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150" t="e">
        <f ca="1">_xll.BDH($C$128,"OPER_MARGIN","FQ2 2018","FQ2 2018","Currency=INR","Period=FQ","BEST_FPERIOD_OVERRIDE=FQ","FILING_STATUS=OR","EQY_CONSOLIDATED=Y","FA_ADJUSTED=GAAP","Sort=A","Dates=H","DateFormat=P","Fill=—","Direction=H","UseDPDF=Y")</f>
        <v>#NAME?</v>
      </c>
      <c r="L150" t="e">
        <f ca="1">_xll.BDH($C$128,"INCREMENTAL_OPERATING_MARGIN","FQ2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150" t="e">
        <f ca="1">_xll.BDH($C$128,"PRETAX_INC_TO_NET_SALES","FQ2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150" t="e">
        <f ca="1">_xll.BDH($C$128,"INC_BEF_XO_ITEMS_TO_NET_SALES","FQ2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150" t="e">
        <f ca="1">_xll.BDH($C$128,"PROF_MARGIN","FQ2 2018","FQ2 2018","Currency=INR","Period=FQ","BEST_FPERIOD_OVERRIDE=FQ","FILING_STATUS=OR","EQY_CONSOLIDATED=Y","FA_ADJUSTED=GAAP","Sort=A","Dates=H","DateFormat=P","Fill=—","Direction=H","UseDPDF=Y")</f>
        <v>#NAME?</v>
      </c>
      <c r="P150" t="e">
        <f ca="1">_xll.BDH($C$128,"NET_INCOME_TO_COMMON_MARGIN","FQ2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150" t="e">
        <f ca="1">_xll.BDH($C$128,"EFF_TAX_RATE","FQ2 2018","FQ2 2018","Currency=INR","Period=FQ","BEST_FPERIOD_OVERRIDE=FQ","FILING_STATUS=OR","EQY_CONSOLIDATED=Y","FA_ADJUSTED=GAAP","Sort=A","Dates=H","DateFormat=P","Fill=—","Direction=H","UseDPDF=Y")</f>
        <v>#NAME?</v>
      </c>
      <c r="R150" t="e">
        <f ca="1">_xll.BDH($C$128,"DVD_PAYOUT_RATIO","FQ2 2018","FQ2 2018","Currency=INR","Period=FQ","BEST_FPERIOD_OVERRIDE=FQ","FILING_STATUS=OR","EQY_CONSOLIDATED=Y","FA_ADJUSTED=GAAP","Sort=A","Dates=H","DateFormat=P","Fill=—","Direction=H","UseDPDF=Y")</f>
        <v>#NAME?</v>
      </c>
      <c r="S150" t="e">
        <f ca="1">_xll.BDH($C$128,"SUSTAIN_GROWTH_RT","FQ2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150" s="2" t="e">
        <f ca="1">_xll.BDH($C$128,"SALES_GROWTH","FQ2 2018","FQ2 2018","Currency=INR","Period=FQ","BEST_FPERIOD_OVERRIDE=FQ","FILING_STATUS=OR","EQY_CONSOLIDATED=Y","FA_ADJUSTED=GAAP","Sort=A","Dates=H","DateFormat=P","Fill=—","Direction=H","UseDPDF=Y")</f>
        <v>#NAME?</v>
      </c>
      <c r="U150" s="2" t="e">
        <f ca="1">_xll.BDH($C$128,"EBITDA_GROWTH","FQ2 2018","FQ2 2018","Currency=INR","Period=FQ","BEST_FPERIOD_OVERRIDE=FQ","FILING_STATUS=OR","EQY_CONSOLIDATED=Y","FA_ADJUSTED=GAAP","Sort=A","Dates=H","DateFormat=P","Fill=—","Direction=H","UseDPDF=Y")</f>
        <v>#NAME?</v>
      </c>
      <c r="V150" s="2" t="e">
        <f ca="1">_xll.BDH($C$128,"OPER_INC_GROWTH","FQ2 2018","FQ2 2018","Currency=INR","Period=FQ","BEST_FPERIOD_OVERRIDE=FQ","FILING_STATUS=OR","EQY_CONSOLIDATED=Y","FA_ADJUSTED=GAAP","Sort=A","Dates=H","DateFormat=P","Fill=—","Direction=H","UseDPDF=Y")</f>
        <v>#NAME?</v>
      </c>
      <c r="W150" s="2" t="e">
        <f ca="1">_xll.BDH($C$128,"EARN_FOR_COM_GROWTH","FQ2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150" s="2" t="e">
        <f ca="1">_xll.BDH($C$128,"DILUTED_EPS_AFT_XO_ITEMS_GROWTH","FQ2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150" s="2" t="e">
        <f ca="1">_xll.BDH($C$128,"DIVIDEND_PER_SHARE_1_YEAR_GROWTH","FQ2 2018","FQ2 2018","Currency=INR","Period=FQ","BEST_FPERIOD_OVERRIDE=FQ","FILING_STATUS=OR","EQY_CONSOLIDATED=Y","Sort=A","Dates=H","DateFormat=P","Fill=—","Direction=H","UseDPDF=Y")</f>
        <v>#NAME?</v>
      </c>
      <c r="Z150" s="2" t="e">
        <f ca="1">_xll.BDH($C$128,"ACCOUNTS_RECEIVABLE_GROWTH","FQ2 2018","FQ2 2018","Currency=INR","Period=FQ","BEST_FPERIOD_OVERRIDE=FQ","FILING_STATUS=OR","EQY_CONSOLIDATED=Y","Sort=A","Dates=H","DateFormat=P","Fill=—","Direction=H","UseDPDF=Y")</f>
        <v>#NAME?</v>
      </c>
      <c r="AA150" s="2" t="e">
        <f ca="1">_xll.BDH($C$128,"INVENTORY_GROWTH","FQ2 2018","FQ2 2018","Currency=INR","Period=FQ","BEST_FPERIOD_OVERRIDE=FQ","FILING_STATUS=OR","EQY_CONSOLIDATED=Y","Sort=A","Dates=H","DateFormat=P","Fill=—","Direction=H","UseDPDF=Y")</f>
        <v>#NAME?</v>
      </c>
      <c r="AB150" s="2" t="e">
        <f ca="1">_xll.BDH($C$128,"NET_FIXED_ASSETS_1_YEAR_GROWTH","FQ2 2018","FQ2 2018","Currency=INR","Period=FQ","BEST_FPERIOD_OVERRIDE=FQ","FILING_STATUS=OR","EQY_CONSOLIDATED=Y","Sort=A","Dates=H","DateFormat=P","Fill=—","Direction=H","UseDPDF=Y")</f>
        <v>#NAME?</v>
      </c>
      <c r="AC150" s="2" t="e">
        <f ca="1">_xll.BDH($C$128,"ASSET_GROWTH","FQ2 2018","FQ2 2018","Currency=INR","Period=FQ","BEST_FPERIOD_OVERRIDE=FQ","FILING_STATUS=OR","EQY_CONSOLIDATED=Y","Sort=A","Dates=H","DateFormat=P","Fill=—","Direction=H","UseDPDF=Y")</f>
        <v>#NAME?</v>
      </c>
      <c r="AD150" s="2" t="e">
        <f ca="1">_xll.BDH($C$128,"MODIFIED_WORK_CAP_GROWTH","FQ2 2018","FQ2 2018","Currency=INR","Period=FQ","BEST_FPERIOD_OVERRIDE=FQ","FILING_STATUS=OR","EQY_CONSOLIDATED=Y","Sort=A","Dates=H","DateFormat=P","Fill=—","Direction=H","UseDPDF=Y")</f>
        <v>#NAME?</v>
      </c>
      <c r="AE150" s="2" t="e">
        <f ca="1">_xll.BDH($C$128,"WORK_CAP_GROWTH","FQ2 2018","FQ2 2018","Currency=INR","Period=FQ","BEST_FPERIOD_OVERRIDE=FQ","FILING_STATUS=OR","EQY_CONSOLIDATED=Y","Sort=A","Dates=H","DateFormat=P","Fill=—","Direction=H","UseDPDF=Y")</f>
        <v>#NAME?</v>
      </c>
      <c r="AF150" s="2" t="e">
        <f ca="1">_xll.BDH($C$128,"ACCOUNTS_PAYABLE_GROWTH_1YR","FQ2 2018","FQ2 2018","Currency=INR","Period=FQ","BEST_FPERIOD_OVERRIDE=FQ","FILING_STATUS=OR","EQY_CONSOLIDATED=Y","Sort=A","Dates=H","DateFormat=P","Fill=—","Direction=H","UseDPDF=Y")</f>
        <v>#NAME?</v>
      </c>
      <c r="AG150" s="2" t="e">
        <f ca="1">_xll.BDH($C$128,"SHORT_TERM_DEBT_1_YEAR_GROWTH","FQ2 2018","FQ2 2018","Currency=INR","Period=FQ","BEST_FPERIOD_OVERRIDE=FQ","FILING_STATUS=OR","EQY_CONSOLIDATED=Y","Sort=A","Dates=H","DateFormat=P","Fill=—","Direction=H","UseDPDF=Y")</f>
        <v>#NAME?</v>
      </c>
      <c r="AH150" s="2" t="e">
        <f ca="1">_xll.BDH($C$128,"TOTAL_DEBT_1_YEAR_GROWTH","FQ2 2018","FQ2 2018","Currency=INR","Period=FQ","BEST_FPERIOD_OVERRIDE=FQ","FILING_STATUS=OR","EQY_CONSOLIDATED=Y","Sort=A","Dates=H","DateFormat=P","Fill=—","Direction=H","UseDPDF=Y")</f>
        <v>#NAME?</v>
      </c>
      <c r="AI150" s="2" t="e">
        <f ca="1">_xll.BDH($C$128,"TOTAL_EQUITY_1_YEAR_GROWTH","FQ2 2018","FQ2 2018","Currency=INR","Period=FQ","BEST_FPERIOD_OVERRIDE=FQ","FILING_STATUS=OR","EQY_CONSOLIDATED=Y","Sort=A","Dates=H","DateFormat=P","Fill=—","Direction=H","UseDPDF=Y")</f>
        <v>#NAME?</v>
      </c>
      <c r="AJ150" s="2" t="e">
        <f ca="1">_xll.BDH($C$128,"GROWTH_IN_CAP","FQ2 2018","FQ2 2018","Currency=INR","Period=FQ","BEST_FPERIOD_OVERRIDE=FQ","FILING_STATUS=OR","EQY_CONSOLIDATED=Y","Sort=A","Dates=H","DateFormat=P","Fill=—","Direction=H","UseDPDF=Y")</f>
        <v>#NAME?</v>
      </c>
      <c r="AK150" s="2" t="e">
        <f ca="1">_xll.BDH($C$128,"BVPS_GROWTH","FQ2 2018","FQ2 2018","Currency=INR","Period=FQ","BEST_FPERIOD_OVERRIDE=FQ","FILING_STATUS=OR","EQY_CONSOLIDATED=Y","Sort=A","Dates=H","DateFormat=P","Fill=—","Direction=H","UseDPDF=Y")</f>
        <v>#NAME?</v>
      </c>
      <c r="AL150" s="2" t="e">
        <f ca="1">_xll.BDH($C$128,"CASH_FLOW_GROWTH","FQ2 2018","FQ2 2018","Currency=INR","Period=FQ","BEST_FPERIOD_OVERRIDE=FQ","FILING_STATUS=OR","EQY_CONSOLIDATED=Y","Sort=A","Dates=H","DateFormat=P","Fill=—","Direction=H","UseDPDF=Y")</f>
        <v>#NAME?</v>
      </c>
      <c r="AM150" s="2" t="e">
        <f ca="1">_xll.BDH($C$128,"GEO_GROW_NET_SALES","FQ2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150" s="2" t="e">
        <f ca="1">_xll.BDH($C$128,"GEO_GROW_EBITDA","FQ2 2018","FQ2 2018","Currency=INR","Period=FQ","BEST_FPERIOD_OVERRIDE=FQ","FILING_STATUS=OR","EQY_CONSOLIDATED=Y","FA_ADJUSTED=GAAP","Sort=A","Dates=H","DateFormat=P","Fill=—","Direction=H","UseDPDF=Y")</f>
        <v>#NAME?</v>
      </c>
      <c r="AO150" s="2" t="e">
        <f ca="1">_xll.BDH($C$128,"GEO_GROW_OPER_INC","FQ2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150" s="2" t="e">
        <f ca="1">_xll.BDH($C$128,"NET_INCOME_TO_COMMON_5_YR_GROWTH","FQ2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150" s="2" t="e">
        <f ca="1">_xll.BDH($C$128,"5Y_GEO_GROWTH_DILUTED_EPS","FQ2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150" s="2" t="e">
        <f ca="1">_xll.BDH($C$128,"GEO_GROW_DVD_PER_SH","FQ2 2018","FQ2 2018","Currency=INR","Period=FQ","BEST_FPERIOD_OVERRIDE=FQ","FILING_STATUS=OR","EQY_CONSOLIDATED=Y","Sort=A","Dates=H","DateFormat=P","Fill=—","Direction=H","UseDPDF=Y")</f>
        <v>#NAME?</v>
      </c>
      <c r="AS150" s="2" t="e">
        <f ca="1">_xll.BDH($C$128,"ACCOUNTS_RECEIVABLE_5_YR_GROWTH","FQ2 2018","FQ2 2018","Currency=INR","Period=FQ","BEST_FPERIOD_OVERRIDE=FQ","FILING_STATUS=OR","EQY_CONSOLIDATED=Y","Sort=A","Dates=H","DateFormat=P","Fill=—","Direction=H","UseDPDF=Y")</f>
        <v>#NAME?</v>
      </c>
      <c r="AT150" s="2" t="e">
        <f ca="1">_xll.BDH($C$128,"INVENTORY_5_YEAR_GROWTH","FQ2 2018","FQ2 2018","Currency=INR","Period=FQ","BEST_FPERIOD_OVERRIDE=FQ","FILING_STATUS=OR","EQY_CONSOLIDATED=Y","Sort=A","Dates=H","DateFormat=P","Fill=—","Direction=H","UseDPDF=Y")</f>
        <v>#NAME?</v>
      </c>
      <c r="AU150" s="2" t="e">
        <f ca="1">_xll.BDH($C$128,"NET_FIXED_ASSETS_5_YEAR_GROWTH","FQ2 2018","FQ2 2018","Currency=INR","Period=FQ","BEST_FPERIOD_OVERRIDE=FQ","FILING_STATUS=OR","EQY_CONSOLIDATED=Y","Sort=A","Dates=H","DateFormat=P","Fill=—","Direction=H","UseDPDF=Y")</f>
        <v>#NAME?</v>
      </c>
      <c r="AV150" s="2" t="e">
        <f ca="1">_xll.BDH($C$128,"GEO_GROW_TOT_ASSET","FQ2 2018","FQ2 2018","Currency=INR","Period=FQ","BEST_FPERIOD_OVERRIDE=FQ","FILING_STATUS=OR","EQY_CONSOLIDATED=Y","Sort=A","Dates=H","DateFormat=P","Fill=—","Direction=H","UseDPDF=Y")</f>
        <v>#NAME?</v>
      </c>
      <c r="AW150" s="2" t="e">
        <f ca="1">_xll.BDH($C$128,"MODIFIED_WORKING_CPTL_5YR_GRWTH","FQ2 2018","FQ2 2018","Currency=INR","Period=FQ","BEST_FPERIOD_OVERRIDE=FQ","FILING_STATUS=OR","EQY_CONSOLIDATED=Y","Sort=A","Dates=H","DateFormat=P","Fill=—","Direction=H","UseDPDF=Y")</f>
        <v>#NAME?</v>
      </c>
      <c r="AX150" s="2" t="e">
        <f ca="1">_xll.BDH($C$128,"WORKING_CAPITAL_5_YEAR_GROWTH","FQ2 2018","FQ2 2018","Currency=INR","Period=FQ","BEST_FPERIOD_OVERRIDE=FQ","FILING_STATUS=OR","EQY_CONSOLIDATED=Y","Sort=A","Dates=H","DateFormat=P","Fill=—","Direction=H","UseDPDF=Y")</f>
        <v>#NAME?</v>
      </c>
      <c r="AY150" s="2" t="e">
        <f ca="1">_xll.BDH($C$128,"ACCOUNTS_PAYABLE_5_YEAR_GROWTH","FQ2 2018","FQ2 2018","Currency=INR","Period=FQ","BEST_FPERIOD_OVERRIDE=FQ","FILING_STATUS=OR","EQY_CONSOLIDATED=Y","Sort=A","Dates=H","DateFormat=P","Fill=—","Direction=H","UseDPDF=Y")</f>
        <v>#NAME?</v>
      </c>
      <c r="AZ150" s="2" t="e">
        <f ca="1">_xll.BDH($C$128,"SHORT_TERM_DEBT_5_YEAR_GROWTH","FQ2 2018","FQ2 2018","Currency=INR","Period=FQ","BEST_FPERIOD_OVERRIDE=FQ","FILING_STATUS=OR","EQY_CONSOLIDATED=Y","Sort=A","Dates=H","DateFormat=P","Fill=—","Direction=H","UseDPDF=Y")</f>
        <v>#NAME?</v>
      </c>
      <c r="BA150" s="2" t="e">
        <f ca="1">_xll.BDH($C$128,"TOTAL_DEBT_5_YEAR_GROWTH","FQ2 2018","FQ2 2018","Currency=INR","Period=FQ","BEST_FPERIOD_OVERRIDE=FQ","FILING_STATUS=OR","EQY_CONSOLIDATED=Y","Sort=A","Dates=H","DateFormat=P","Fill=—","Direction=H","UseDPDF=Y")</f>
        <v>#NAME?</v>
      </c>
      <c r="BB150" s="2" t="e">
        <f ca="1">_xll.BDH($C$128,"GEO_GROW_TOT_SHRHLDR_EQY","FQ2 2018","FQ2 2018","Currency=INR","Period=FQ","BEST_FPERIOD_OVERRIDE=FQ","FILING_STATUS=OR","EQY_CONSOLIDATED=Y","Sort=A","Dates=H","DateFormat=P","Fill=—","Direction=H","UseDPDF=Y")</f>
        <v>#NAME?</v>
      </c>
      <c r="BC150" s="2" t="e">
        <f ca="1">_xll.BDH($C$128,"TOTAL_CAPITAL_5_YEAR_GROWTH","FQ2 2018","FQ2 2018","Currency=INR","Period=FQ","BEST_FPERIOD_OVERRIDE=FQ","FILING_STATUS=OR","EQY_CONSOLIDATED=Y","Sort=A","Dates=H","DateFormat=P","Fill=—","Direction=H","UseDPDF=Y")</f>
        <v>#NAME?</v>
      </c>
      <c r="BD150" s="2" t="e">
        <f ca="1">_xll.BDH($C$128,"GEO_GROW_BOOK_VAL","FQ2 2018","FQ2 2018","Currency=INR","Period=FQ","BEST_FPERIOD_OVERRIDE=FQ","FILING_STATUS=OR","EQY_CONSOLIDATED=Y","Sort=A","Dates=H","DateFormat=P","Fill=—","Direction=H","UseDPDF=Y")</f>
        <v>#NAME?</v>
      </c>
      <c r="BE150" s="2" t="e">
        <f ca="1">_xll.BDH($C$128,"GEO_GROW_CASH_OPER_ACT","FQ2 2018","FQ2 2018","Currency=INR","Period=FQ","BEST_FPERIOD_OVERRIDE=FQ","FILING_STATUS=OR","EQY_CONSOLIDATED=Y","Sort=A","Dates=H","DateFormat=P","Fill=—","Direction=H","UseDPDF=Y")</f>
        <v>#NAME?</v>
      </c>
      <c r="BF150" s="2" t="e">
        <f ca="1">_xll.BDH($C$128,"REVENUE_SEQUENTIAL_GROWTH","FQ2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150" s="2" t="e">
        <f ca="1">_xll.BDH($C$128,"EBITDA_SEQUENTIAL_GROWTH","FQ2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150" s="2" t="e">
        <f ca="1">_xll.BDH($C$128,"OPERATING_INCOME_SEQ_GROWTH","FQ2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150" s="2" t="e">
        <f ca="1">_xll.BDH($C$128,"NET_INCOME_TO_COMMON_SEQ_GROWTH","FQ2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150" s="2" t="e">
        <f ca="1">_xll.BDH($C$128,"EPS_DILUTED_SEQUENTIAL_GROWTH","FQ2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150" s="2" t="e">
        <f ca="1">_xll.BDH($C$128,"DPS_SEQUENTIAL_GROWTH","FQ2 2018","FQ2 2018","Currency=INR","Period=FQ","BEST_FPERIOD_OVERRIDE=FQ","FILING_STATUS=OR","EQY_CONSOLIDATED=Y","Sort=A","Dates=H","DateFormat=P","Fill=—","Direction=H","UseDPDF=Y")</f>
        <v>#NAME?</v>
      </c>
      <c r="BL150" s="2" t="e">
        <f ca="1">_xll.BDH($C$128,"ACCOUNTS_RECEIVABLE_SEQ_GROWTH","FQ2 2018","FQ2 2018","Currency=INR","Period=FQ","BEST_FPERIOD_OVERRIDE=FQ","FILING_STATUS=OR","EQY_CONSOLIDATED=Y","Sort=A","Dates=H","DateFormat=P","Fill=—","Direction=H","UseDPDF=Y")</f>
        <v>#NAME?</v>
      </c>
      <c r="BM150" s="2" t="e">
        <f ca="1">_xll.BDH($C$128,"INVENTORY_SEQUENTIAL_GROWTH","FQ2 2018","FQ2 2018","Currency=INR","Period=FQ","BEST_FPERIOD_OVERRIDE=FQ","FILING_STATUS=OR","EQY_CONSOLIDATED=Y","Sort=A","Dates=H","DateFormat=P","Fill=—","Direction=H","UseDPDF=Y")</f>
        <v>#NAME?</v>
      </c>
      <c r="BN150" s="2" t="e">
        <f ca="1">_xll.BDH($C$128,"FIXED_ASSETS_SEQUENTIAL_GROWTH","FQ2 2018","FQ2 2018","Currency=INR","Period=FQ","BEST_FPERIOD_OVERRIDE=FQ","FILING_STATUS=OR","EQY_CONSOLIDATED=Y","Sort=A","Dates=H","DateFormat=P","Fill=—","Direction=H","UseDPDF=Y")</f>
        <v>#NAME?</v>
      </c>
      <c r="BO150" s="2" t="e">
        <f ca="1">_xll.BDH($C$128,"TOTAL_ASSETS_SEQUENTIAL_GROWTH","FQ2 2018","FQ2 2018","Currency=INR","Period=FQ","BEST_FPERIOD_OVERRIDE=FQ","FILING_STATUS=OR","EQY_CONSOLIDATED=Y","Sort=A","Dates=H","DateFormat=P","Fill=—","Direction=H","UseDPDF=Y")</f>
        <v>#NAME?</v>
      </c>
      <c r="BP150" s="2" t="e">
        <f ca="1">_xll.BDH($C$128,"MODIFIED_WORKING_CPTL_SEQ_GRWTH","FQ2 2018","FQ2 2018","Currency=INR","Period=FQ","BEST_FPERIOD_OVERRIDE=FQ","FILING_STATUS=OR","EQY_CONSOLIDATED=Y","Sort=A","Dates=H","DateFormat=P","Fill=—","Direction=H","UseDPDF=Y")</f>
        <v>#NAME?</v>
      </c>
      <c r="BQ150" s="2" t="e">
        <f ca="1">_xll.BDH($C$128,"WORKING_CAPITAL_SEQ_GROWTH","FQ2 2018","FQ2 2018","Currency=INR","Period=FQ","BEST_FPERIOD_OVERRIDE=FQ","FILING_STATUS=OR","EQY_CONSOLIDATED=Y","Sort=A","Dates=H","DateFormat=P","Fill=—","Direction=H","UseDPDF=Y")</f>
        <v>#NAME?</v>
      </c>
      <c r="BR150" s="2" t="e">
        <f ca="1">_xll.BDH($C$128,"ACCOUNTS_PAYABLE_SEQ_GROWTH","FQ2 2018","FQ2 2018","Currency=INR","Period=FQ","BEST_FPERIOD_OVERRIDE=FQ","FILING_STATUS=OR","EQY_CONSOLIDATED=Y","Sort=A","Dates=H","DateFormat=P","Fill=—","Direction=H","UseDPDF=Y")</f>
        <v>#NAME?</v>
      </c>
      <c r="BS150" s="2" t="e">
        <f ca="1">_xll.BDH($C$128,"ST_DEBT_SEQUENTIAL_GROWTH","FQ2 2018","FQ2 2018","Currency=INR","Period=FQ","BEST_FPERIOD_OVERRIDE=FQ","FILING_STATUS=OR","EQY_CONSOLIDATED=Y","Sort=A","Dates=H","DateFormat=P","Fill=—","Direction=H","UseDPDF=Y")</f>
        <v>#NAME?</v>
      </c>
      <c r="BT150" s="2" t="e">
        <f ca="1">_xll.BDH($C$128,"TOTAL_DEBT_SEQUENTIAL_GROWTH","FQ2 2018","FQ2 2018","Currency=INR","Period=FQ","BEST_FPERIOD_OVERRIDE=FQ","FILING_STATUS=OR","EQY_CONSOLIDATED=Y","Sort=A","Dates=H","DateFormat=P","Fill=—","Direction=H","UseDPDF=Y")</f>
        <v>#NAME?</v>
      </c>
      <c r="BU150" s="2" t="e">
        <f ca="1">_xll.BDH($C$128,"TOTAL_EQUITY_SEQUENTIAL_GROWTH","FQ2 2018","FQ2 2018","Currency=INR","Period=FQ","BEST_FPERIOD_OVERRIDE=FQ","FILING_STATUS=OR","EQY_CONSOLIDATED=Y","Sort=A","Dates=H","DateFormat=P","Fill=—","Direction=H","UseDPDF=Y")</f>
        <v>#NAME?</v>
      </c>
      <c r="BV150" s="2" t="e">
        <f ca="1">_xll.BDH($C$128,"TOTAL_CAPITAL_SEQUENTIAL_GROWTH","FQ2 2018","FQ2 2018","Currency=INR","Period=FQ","BEST_FPERIOD_OVERRIDE=FQ","FILING_STATUS=OR","EQY_CONSOLIDATED=Y","Sort=A","Dates=H","DateFormat=P","Fill=—","Direction=H","UseDPDF=Y")</f>
        <v>#NAME?</v>
      </c>
      <c r="BW150" s="2" t="e">
        <f ca="1">_xll.BDH($C$128,"BPS_SEQUENTIAL_GROWTH","FQ2 2018","FQ2 2018","Currency=INR","Period=FQ","BEST_FPERIOD_OVERRIDE=FQ","FILING_STATUS=OR","EQY_CONSOLIDATED=Y","Sort=A","Dates=H","DateFormat=P","Fill=—","Direction=H","UseDPDF=Y")</f>
        <v>#NAME?</v>
      </c>
      <c r="BX150" s="2" t="e">
        <f ca="1">_xll.BDH($C$128,"CFO_SEQUENTIAL_GROWTH","FQ2 2018","FQ2 2018","Currency=INR","Period=FQ","BEST_FPERIOD_OVERRIDE=FQ","FILING_STATUS=OR","EQY_CONSOLIDATED=Y","Sort=A","Dates=H","DateFormat=P","Fill=—","Direction=H","UseDPDF=Y")</f>
        <v>#NAME?</v>
      </c>
      <c r="BY150" s="3" t="e">
        <f ca="1">_xll.BDH($C$128,"SHORT_AND_LONG_TERM_DEBT","FQ2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150" s="3" t="e">
        <f ca="1">_xll.BDH($C$128,"BS_ST_BORROW","FQ2 2018","FQ2 2018","Currency=INR","Period=FQ","BEST_FPERIOD_OVERRIDE=FQ","FILING_STATUS=OR","EQY_CONSOLIDATED=Y","SCALING_FORMAT=MLN","Sort=A","Dates=H","DateFormat=P","Fill=—","Direction=H","UseDPDF=Y")</f>
        <v>#NAME?</v>
      </c>
      <c r="CA150" s="3" t="e">
        <f ca="1">_xll.BDH($C$128,"BS_LT_BORROW","FQ2 2018","FQ2 2018","Currency=INR","Period=FQ","BEST_FPERIOD_OVERRIDE=FQ","FILING_STATUS=OR","EQY_CONSOLIDATED=Y","SCALING_FORMAT=MLN","Sort=A","Dates=H","DateFormat=P","Fill=—","Direction=H","UseDPDF=Y")</f>
        <v>#NAME?</v>
      </c>
      <c r="CB150" s="2" t="e">
        <f ca="1">_xll.BDH($C$128,"TOT_DEBT_TO_EBITDA","FQ2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150" s="2" t="e">
        <f ca="1">_xll.BDH($C$128,"NET_DEBT_TO_EBITDA","FQ2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150" s="2" t="e">
        <f ca="1">_xll.BDH($C$128,"TOTAL_DEBT_TO_EBIT","FQ2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150" s="2" t="e">
        <f ca="1">_xll.BDH($C$128,"NET_DEBT_TO_EBIT","FQ2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150" s="2" t="e">
        <f ca="1">_xll.BDH($C$128,"EBITDA_TO_INTEREST_EXPN","FQ2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150" s="2" t="e">
        <f ca="1">_xll.BDH($C$128,"COM_EQY_TO_TOT_ASSET","FQ2 2018","FQ2 2018","Currency=INR","Period=FQ","BEST_FPERIOD_OVERRIDE=FQ","FILING_STATUS=OR","EQY_CONSOLIDATED=Y","Sort=A","Dates=H","DateFormat=P","Fill=—","Direction=H","UseDPDF=Y")</f>
        <v>#NAME?</v>
      </c>
      <c r="CH150" s="2" t="e">
        <f ca="1">_xll.BDH($C$128,"LT_DEBT_TO_TOT_EQY","FQ2 2018","FQ2 2018","Currency=INR","Period=FQ","BEST_FPERIOD_OVERRIDE=FQ","FILING_STATUS=OR","EQY_CONSOLIDATED=Y","Sort=A","Dates=H","DateFormat=P","Fill=—","Direction=H","UseDPDF=Y")</f>
        <v>#NAME?</v>
      </c>
      <c r="CI150" s="2" t="e">
        <f ca="1">_xll.BDH($C$128,"LT_DEBT_TO_TOT_CAP","FQ2 2018","FQ2 2018","Currency=INR","Period=FQ","BEST_FPERIOD_OVERRIDE=FQ","FILING_STATUS=OR","EQY_CONSOLIDATED=Y","Sort=A","Dates=H","DateFormat=P","Fill=—","Direction=H","UseDPDF=Y")</f>
        <v>#NAME?</v>
      </c>
      <c r="CJ150" s="2" t="e">
        <f ca="1">_xll.BDH($C$128,"LT_DEBT_TO_TOT_ASSET","FQ2 2018","FQ2 2018","Currency=INR","Period=FQ","BEST_FPERIOD_OVERRIDE=FQ","FILING_STATUS=OR","EQY_CONSOLIDATED=Y","Sort=A","Dates=H","DateFormat=P","Fill=—","Direction=H","UseDPDF=Y")</f>
        <v>#NAME?</v>
      </c>
      <c r="CK150" s="2" t="e">
        <f ca="1">_xll.BDH($C$128,"TOT_DEBT_TO_TOT_EQY","FQ2 2018","FQ2 2018","Currency=INR","Period=FQ","BEST_FPERIOD_OVERRIDE=FQ","FILING_STATUS=OR","EQY_CONSOLIDATED=Y","Sort=A","Dates=H","DateFormat=P","Fill=—","Direction=H","UseDPDF=Y")</f>
        <v>#NAME?</v>
      </c>
      <c r="CL150" s="2" t="e">
        <f ca="1">_xll.BDH($C$128,"TOT_DEBT_TO_TOT_CAP","FQ2 2018","FQ2 2018","Currency=INR","Period=FQ","BEST_FPERIOD_OVERRIDE=FQ","FILING_STATUS=OR","EQY_CONSOLIDATED=Y","Sort=A","Dates=H","DateFormat=P","Fill=—","Direction=H","UseDPDF=Y")</f>
        <v>#NAME?</v>
      </c>
      <c r="CM150" s="2" t="e">
        <f ca="1">_xll.BDH($C$128,"TOT_DEBT_TO_TOT_ASSET","FQ2 2018","FQ2 2018","Currency=INR","Period=FQ","BEST_FPERIOD_OVERRIDE=FQ","FILING_STATUS=OR","EQY_CONSOLIDATED=Y","Sort=A","Dates=H","DateFormat=P","Fill=—","Direction=H","UseDPDF=Y")</f>
        <v>#NAME?</v>
      </c>
      <c r="CN150" s="2" t="e">
        <f ca="1">_xll.BDH($C$128,"NET_DEBT_TO_SHRHLDR_EQTY","FQ2 2018","FQ2 2018","Currency=INR","Period=FQ","BEST_FPERIOD_OVERRIDE=FQ","FILING_STATUS=OR","EQY_CONSOLIDATED=Y","Sort=A","Dates=H","DateFormat=P","Fill=—","Direction=H","UseDPDF=Y")</f>
        <v>#NAME?</v>
      </c>
      <c r="CO150" s="2" t="e">
        <f ca="1">_xll.BDH($C$128,"NET_DEBT_%_CAPITAL","FQ2 2018","FQ2 2018","Currency=INR","Period=FQ","BEST_FPERIOD_OVERRIDE=FQ","FILING_STATUS=OR","EQY_CONSOLIDATED=Y","Sort=A","Dates=H","DateFormat=P","Fill=—","Direction=H","UseDPDF=Y")</f>
        <v>#NAME?</v>
      </c>
      <c r="CP150" s="3" t="e">
        <f ca="1">_xll.BDH($C$128,"EBITDA","FQ2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150" s="3" t="e">
        <f ca="1">_xll.BDH($C$128,"EBITDA_AFTER_CAPEX","FQ2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150" s="3" t="e">
        <f ca="1">_xll.BDH($C$128,"IS_OPER_INC","FQ2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150" s="2" t="e">
        <f ca="1">_xll.BDH($C$128,"CASH_RATIO","FQ2 2018","FQ2 2018","Currency=INR","Period=FQ","BEST_FPERIOD_OVERRIDE=FQ","FILING_STATUS=OR","EQY_CONSOLIDATED=Y","Sort=A","Dates=H","DateFormat=P","Fill=—","Direction=H","UseDPDF=Y")</f>
        <v>#NAME?</v>
      </c>
      <c r="CT150" s="2" t="e">
        <f ca="1">_xll.BDH($C$128,"CUR_RATIO","FQ2 2018","FQ2 2018","Currency=INR","Period=FQ","BEST_FPERIOD_OVERRIDE=FQ","FILING_STATUS=OR","EQY_CONSOLIDATED=Y","Sort=A","Dates=H","DateFormat=P","Fill=—","Direction=H","UseDPDF=Y")</f>
        <v>#NAME?</v>
      </c>
      <c r="CU150" s="2" t="e">
        <f ca="1">_xll.BDH($C$128,"QUICK_RATIO","FQ2 2018","FQ2 2018","Currency=INR","Period=FQ","BEST_FPERIOD_OVERRIDE=FQ","FILING_STATUS=OR","EQY_CONSOLIDATED=Y","Sort=A","Dates=H","DateFormat=P","Fill=—","Direction=H","UseDPDF=Y")</f>
        <v>#NAME?</v>
      </c>
      <c r="CV150" s="2" t="e">
        <f ca="1">_xll.BDH($C$128,"ALTMAN_Z_SCORE","FQ2 2018","FQ2 2018","Currency=INR","Period=FQ","BEST_FPERIOD_OVERRIDE=FQ","FILING_STATUS=OR","EQY_CONSOLIDATED=Y","Sort=A","Dates=H","DateFormat=P","Fill=—","Direction=H","UseDPDF=Y")</f>
        <v>#NAME?</v>
      </c>
      <c r="CW150" s="4" t="e">
        <f ca="1">_xll.BDH($C$128,"ACCT_RCV_TURN","FQ2 2018","FQ2 2018","Currency=INR","Period=FQ","BEST_FPERIOD_OVERRIDE=FQ","FILING_STATUS=OR","EQY_CONSOLIDATED=Y","FA_ADJUSTED=GAAP","Sort=A","Dates=H","DateFormat=P","Fill=—","Direction=H","UseDPDF=Y")</f>
        <v>#NAME?</v>
      </c>
      <c r="CX150" s="2" t="e">
        <f ca="1">_xll.BDH($C$128,"ACCT_RCV_DAYS","FQ2 2018","FQ2 2018","Currency=INR","Period=FQ","BEST_FPERIOD_OVERRIDE=FQ","FILING_STATUS=OR","EQY_CONSOLIDATED=Y","FA_ADJUSTED=GAAP","Sort=A","Dates=H","DateFormat=P","Fill=—","Direction=H","UseDPDF=Y")</f>
        <v>#NAME?</v>
      </c>
      <c r="CY150" s="4" t="e">
        <f ca="1">_xll.BDH($C$128,"INVENT_TURN","FQ2 2018","FQ2 2018","Currency=INR","Period=FQ","BEST_FPERIOD_OVERRIDE=FQ","FILING_STATUS=OR","EQY_CONSOLIDATED=Y","FA_ADJUSTED=GAAP","Sort=A","Dates=H","DateFormat=P","Fill=—","Direction=H","UseDPDF=Y")</f>
        <v>#NAME?</v>
      </c>
      <c r="CZ150" s="2" t="e">
        <f ca="1">_xll.BDH($C$128,"INVENT_DAYS","FQ2 2018","FQ2 2018","Currency=INR","Period=FQ","BEST_FPERIOD_OVERRIDE=FQ","FILING_STATUS=OR","EQY_CONSOLIDATED=Y","FA_ADJUSTED=GAAP","Sort=A","Dates=H","DateFormat=P","Fill=—","Direction=H","UseDPDF=Y")</f>
        <v>#NAME?</v>
      </c>
      <c r="DA150" s="4" t="e">
        <f ca="1">_xll.BDH($C$128,"ACCOUNTS_PAYABLE_TURNOVER","FQ2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150" s="2" t="e">
        <f ca="1">_xll.BDH($C$128,"ACCOUNTS_PAYABLE_TURNOVER_DAYS","FQ2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150" s="4" t="e">
        <f ca="1">_xll.BDH($C$128,"CASH_CONVERSION_CYCLE","FQ2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150" s="4" t="e">
        <f ca="1">_xll.BDH($C$128,"INV_TO_CASH_DAYS","FQ2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150" s="5" t="e">
        <f ca="1">_xll.BDH($C$128,"BS_INVENTORIES","FQ2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150" s="3" t="e">
        <f ca="1">_xll.BDH($C$128,"INVTRY_RAW_MATERIALS","FQ2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150" s="3" t="e">
        <f ca="1">_xll.BDH($C$128,"INVTRY_IN_PROGRESS","FQ2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150" s="3" t="e">
        <f ca="1">_xll.BDH($C$128,"INVTRY_FINISHED_GOODS","FQ2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150" s="3" t="e">
        <f ca="1">_xll.BDH($C$128,"BS_OTHER_INV","FQ2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151" spans="1:113" x14ac:dyDescent="0.3">
      <c r="A151" s="6"/>
      <c r="B151" s="6"/>
      <c r="C151" s="6"/>
      <c r="D151" s="6"/>
      <c r="E151" t="s">
        <v>80</v>
      </c>
      <c r="F151" t="e">
        <f ca="1">_xll.BDH($C$128,"RETURN_COM_EQY","FQ3 2018","FQ3 2018","Currency=INR","Period=FQ","BEST_FPERIOD_OVERRIDE=FQ","FILING_STATUS=OR","EQY_CONSOLIDATED=Y","FA_ADJUSTED=GAAP","Sort=A","Dates=H","DateFormat=P","Fill=—","Direction=H","UseDPDF=Y")</f>
        <v>#NAME?</v>
      </c>
      <c r="G151" t="e">
        <f ca="1">_xll.BDH($C$128,"RETURN_ON_ASSET","FQ3 2018","FQ3 2018","Currency=INR","Period=FQ","BEST_FPERIOD_OVERRIDE=FQ","FILING_STATUS=OR","EQY_CONSOLIDATED=Y","FA_ADJUSTED=GAAP","Sort=A","Dates=H","DateFormat=P","Fill=—","Direction=H","UseDPDF=Y")</f>
        <v>#NAME?</v>
      </c>
      <c r="H151" t="e">
        <f ca="1">_xll.BDH($C$128,"RETURN_ON_CAP","FQ3 2018","FQ3 2018","Currency=INR","Period=FQ","BEST_FPERIOD_OVERRIDE=FQ","FILING_STATUS=OR","EQY_CONSOLIDATED=Y","FA_ADJUSTED=GAAP","Sort=A","Dates=H","DateFormat=P","Fill=—","Direction=H","UseDPDF=Y")</f>
        <v>#NAME?</v>
      </c>
      <c r="I151" t="e">
        <f ca="1">_xll.BDH($C$128,"RETURN_ON_INV_CAPITAL","FQ3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151" t="e">
        <f ca="1">_xll.BDH($C$128,"EBITDA_TO_REVENUE","FQ3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151" t="e">
        <f ca="1">_xll.BDH($C$128,"OPER_MARGIN","FQ3 2018","FQ3 2018","Currency=INR","Period=FQ","BEST_FPERIOD_OVERRIDE=FQ","FILING_STATUS=OR","EQY_CONSOLIDATED=Y","FA_ADJUSTED=GAAP","Sort=A","Dates=H","DateFormat=P","Fill=—","Direction=H","UseDPDF=Y")</f>
        <v>#NAME?</v>
      </c>
      <c r="L151" t="e">
        <f ca="1">_xll.BDH($C$128,"INCREMENTAL_OPERATING_MARGIN","FQ3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151" t="e">
        <f ca="1">_xll.BDH($C$128,"PRETAX_INC_TO_NET_SALES","FQ3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151" t="e">
        <f ca="1">_xll.BDH($C$128,"INC_BEF_XO_ITEMS_TO_NET_SALES","FQ3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151" t="e">
        <f ca="1">_xll.BDH($C$128,"PROF_MARGIN","FQ3 2018","FQ3 2018","Currency=INR","Period=FQ","BEST_FPERIOD_OVERRIDE=FQ","FILING_STATUS=OR","EQY_CONSOLIDATED=Y","FA_ADJUSTED=GAAP","Sort=A","Dates=H","DateFormat=P","Fill=—","Direction=H","UseDPDF=Y")</f>
        <v>#NAME?</v>
      </c>
      <c r="P151" t="e">
        <f ca="1">_xll.BDH($C$128,"NET_INCOME_TO_COMMON_MARGIN","FQ3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151" t="e">
        <f ca="1">_xll.BDH($C$128,"EFF_TAX_RATE","FQ3 2018","FQ3 2018","Currency=INR","Period=FQ","BEST_FPERIOD_OVERRIDE=FQ","FILING_STATUS=OR","EQY_CONSOLIDATED=Y","FA_ADJUSTED=GAAP","Sort=A","Dates=H","DateFormat=P","Fill=—","Direction=H","UseDPDF=Y")</f>
        <v>#NAME?</v>
      </c>
      <c r="R151" t="e">
        <f ca="1">_xll.BDH($C$128,"DVD_PAYOUT_RATIO","FQ3 2018","FQ3 2018","Currency=INR","Period=FQ","BEST_FPERIOD_OVERRIDE=FQ","FILING_STATUS=OR","EQY_CONSOLIDATED=Y","FA_ADJUSTED=GAAP","Sort=A","Dates=H","DateFormat=P","Fill=—","Direction=H","UseDPDF=Y")</f>
        <v>#NAME?</v>
      </c>
      <c r="S151" t="e">
        <f ca="1">_xll.BDH($C$128,"SUSTAIN_GROWTH_RT","FQ3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151" s="2" t="e">
        <f ca="1">_xll.BDH($C$128,"SALES_GROWTH","FQ3 2018","FQ3 2018","Currency=INR","Period=FQ","BEST_FPERIOD_OVERRIDE=FQ","FILING_STATUS=OR","EQY_CONSOLIDATED=Y","FA_ADJUSTED=GAAP","Sort=A","Dates=H","DateFormat=P","Fill=—","Direction=H","UseDPDF=Y")</f>
        <v>#NAME?</v>
      </c>
      <c r="U151" s="2" t="e">
        <f ca="1">_xll.BDH($C$128,"EBITDA_GROWTH","FQ3 2018","FQ3 2018","Currency=INR","Period=FQ","BEST_FPERIOD_OVERRIDE=FQ","FILING_STATUS=OR","EQY_CONSOLIDATED=Y","FA_ADJUSTED=GAAP","Sort=A","Dates=H","DateFormat=P","Fill=—","Direction=H","UseDPDF=Y")</f>
        <v>#NAME?</v>
      </c>
      <c r="V151" s="2" t="e">
        <f ca="1">_xll.BDH($C$128,"OPER_INC_GROWTH","FQ3 2018","FQ3 2018","Currency=INR","Period=FQ","BEST_FPERIOD_OVERRIDE=FQ","FILING_STATUS=OR","EQY_CONSOLIDATED=Y","FA_ADJUSTED=GAAP","Sort=A","Dates=H","DateFormat=P","Fill=—","Direction=H","UseDPDF=Y")</f>
        <v>#NAME?</v>
      </c>
      <c r="W151" s="2" t="e">
        <f ca="1">_xll.BDH($C$128,"EARN_FOR_COM_GROWTH","FQ3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151" s="2" t="e">
        <f ca="1">_xll.BDH($C$128,"DILUTED_EPS_AFT_XO_ITEMS_GROWTH","FQ3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151" s="2" t="e">
        <f ca="1">_xll.BDH($C$128,"DIVIDEND_PER_SHARE_1_YEAR_GROWTH","FQ3 2018","FQ3 2018","Currency=INR","Period=FQ","BEST_FPERIOD_OVERRIDE=FQ","FILING_STATUS=OR","EQY_CONSOLIDATED=Y","Sort=A","Dates=H","DateFormat=P","Fill=—","Direction=H","UseDPDF=Y")</f>
        <v>#NAME?</v>
      </c>
      <c r="Z151" s="2" t="e">
        <f ca="1">_xll.BDH($C$128,"ACCOUNTS_RECEIVABLE_GROWTH","FQ3 2018","FQ3 2018","Currency=INR","Period=FQ","BEST_FPERIOD_OVERRIDE=FQ","FILING_STATUS=OR","EQY_CONSOLIDATED=Y","Sort=A","Dates=H","DateFormat=P","Fill=—","Direction=H","UseDPDF=Y")</f>
        <v>#NAME?</v>
      </c>
      <c r="AA151" s="2" t="e">
        <f ca="1">_xll.BDH($C$128,"INVENTORY_GROWTH","FQ3 2018","FQ3 2018","Currency=INR","Period=FQ","BEST_FPERIOD_OVERRIDE=FQ","FILING_STATUS=OR","EQY_CONSOLIDATED=Y","Sort=A","Dates=H","DateFormat=P","Fill=—","Direction=H","UseDPDF=Y")</f>
        <v>#NAME?</v>
      </c>
      <c r="AB151" s="2" t="e">
        <f ca="1">_xll.BDH($C$128,"NET_FIXED_ASSETS_1_YEAR_GROWTH","FQ3 2018","FQ3 2018","Currency=INR","Period=FQ","BEST_FPERIOD_OVERRIDE=FQ","FILING_STATUS=OR","EQY_CONSOLIDATED=Y","Sort=A","Dates=H","DateFormat=P","Fill=—","Direction=H","UseDPDF=Y")</f>
        <v>#NAME?</v>
      </c>
      <c r="AC151" s="2" t="e">
        <f ca="1">_xll.BDH($C$128,"ASSET_GROWTH","FQ3 2018","FQ3 2018","Currency=INR","Period=FQ","BEST_FPERIOD_OVERRIDE=FQ","FILING_STATUS=OR","EQY_CONSOLIDATED=Y","Sort=A","Dates=H","DateFormat=P","Fill=—","Direction=H","UseDPDF=Y")</f>
        <v>#NAME?</v>
      </c>
      <c r="AD151" s="2" t="e">
        <f ca="1">_xll.BDH($C$128,"MODIFIED_WORK_CAP_GROWTH","FQ3 2018","FQ3 2018","Currency=INR","Period=FQ","BEST_FPERIOD_OVERRIDE=FQ","FILING_STATUS=OR","EQY_CONSOLIDATED=Y","Sort=A","Dates=H","DateFormat=P","Fill=—","Direction=H","UseDPDF=Y")</f>
        <v>#NAME?</v>
      </c>
      <c r="AE151" s="2" t="e">
        <f ca="1">_xll.BDH($C$128,"WORK_CAP_GROWTH","FQ3 2018","FQ3 2018","Currency=INR","Period=FQ","BEST_FPERIOD_OVERRIDE=FQ","FILING_STATUS=OR","EQY_CONSOLIDATED=Y","Sort=A","Dates=H","DateFormat=P","Fill=—","Direction=H","UseDPDF=Y")</f>
        <v>#NAME?</v>
      </c>
      <c r="AF151" s="2" t="e">
        <f ca="1">_xll.BDH($C$128,"ACCOUNTS_PAYABLE_GROWTH_1YR","FQ3 2018","FQ3 2018","Currency=INR","Period=FQ","BEST_FPERIOD_OVERRIDE=FQ","FILING_STATUS=OR","EQY_CONSOLIDATED=Y","Sort=A","Dates=H","DateFormat=P","Fill=—","Direction=H","UseDPDF=Y")</f>
        <v>#NAME?</v>
      </c>
      <c r="AG151" s="2" t="e">
        <f ca="1">_xll.BDH($C$128,"SHORT_TERM_DEBT_1_YEAR_GROWTH","FQ3 2018","FQ3 2018","Currency=INR","Period=FQ","BEST_FPERIOD_OVERRIDE=FQ","FILING_STATUS=OR","EQY_CONSOLIDATED=Y","Sort=A","Dates=H","DateFormat=P","Fill=—","Direction=H","UseDPDF=Y")</f>
        <v>#NAME?</v>
      </c>
      <c r="AH151" s="2" t="e">
        <f ca="1">_xll.BDH($C$128,"TOTAL_DEBT_1_YEAR_GROWTH","FQ3 2018","FQ3 2018","Currency=INR","Period=FQ","BEST_FPERIOD_OVERRIDE=FQ","FILING_STATUS=OR","EQY_CONSOLIDATED=Y","Sort=A","Dates=H","DateFormat=P","Fill=—","Direction=H","UseDPDF=Y")</f>
        <v>#NAME?</v>
      </c>
      <c r="AI151" s="2" t="e">
        <f ca="1">_xll.BDH($C$128,"TOTAL_EQUITY_1_YEAR_GROWTH","FQ3 2018","FQ3 2018","Currency=INR","Period=FQ","BEST_FPERIOD_OVERRIDE=FQ","FILING_STATUS=OR","EQY_CONSOLIDATED=Y","Sort=A","Dates=H","DateFormat=P","Fill=—","Direction=H","UseDPDF=Y")</f>
        <v>#NAME?</v>
      </c>
      <c r="AJ151" s="2" t="e">
        <f ca="1">_xll.BDH($C$128,"GROWTH_IN_CAP","FQ3 2018","FQ3 2018","Currency=INR","Period=FQ","BEST_FPERIOD_OVERRIDE=FQ","FILING_STATUS=OR","EQY_CONSOLIDATED=Y","Sort=A","Dates=H","DateFormat=P","Fill=—","Direction=H","UseDPDF=Y")</f>
        <v>#NAME?</v>
      </c>
      <c r="AK151" s="2" t="e">
        <f ca="1">_xll.BDH($C$128,"BVPS_GROWTH","FQ3 2018","FQ3 2018","Currency=INR","Period=FQ","BEST_FPERIOD_OVERRIDE=FQ","FILING_STATUS=OR","EQY_CONSOLIDATED=Y","Sort=A","Dates=H","DateFormat=P","Fill=—","Direction=H","UseDPDF=Y")</f>
        <v>#NAME?</v>
      </c>
      <c r="AL151" s="2" t="e">
        <f ca="1">_xll.BDH($C$128,"CASH_FLOW_GROWTH","FQ3 2018","FQ3 2018","Currency=INR","Period=FQ","BEST_FPERIOD_OVERRIDE=FQ","FILING_STATUS=OR","EQY_CONSOLIDATED=Y","Sort=A","Dates=H","DateFormat=P","Fill=—","Direction=H","UseDPDF=Y")</f>
        <v>#NAME?</v>
      </c>
      <c r="AM151" s="2" t="e">
        <f ca="1">_xll.BDH($C$128,"GEO_GROW_NET_SALES","FQ3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151" s="2" t="e">
        <f ca="1">_xll.BDH($C$128,"GEO_GROW_EBITDA","FQ3 2018","FQ3 2018","Currency=INR","Period=FQ","BEST_FPERIOD_OVERRIDE=FQ","FILING_STATUS=OR","EQY_CONSOLIDATED=Y","FA_ADJUSTED=GAAP","Sort=A","Dates=H","DateFormat=P","Fill=—","Direction=H","UseDPDF=Y")</f>
        <v>#NAME?</v>
      </c>
      <c r="AO151" s="2" t="e">
        <f ca="1">_xll.BDH($C$128,"GEO_GROW_OPER_INC","FQ3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151" s="2" t="e">
        <f ca="1">_xll.BDH($C$128,"NET_INCOME_TO_COMMON_5_YR_GROWTH","FQ3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151" s="2" t="e">
        <f ca="1">_xll.BDH($C$128,"5Y_GEO_GROWTH_DILUTED_EPS","FQ3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151" s="2" t="e">
        <f ca="1">_xll.BDH($C$128,"GEO_GROW_DVD_PER_SH","FQ3 2018","FQ3 2018","Currency=INR","Period=FQ","BEST_FPERIOD_OVERRIDE=FQ","FILING_STATUS=OR","EQY_CONSOLIDATED=Y","Sort=A","Dates=H","DateFormat=P","Fill=—","Direction=H","UseDPDF=Y")</f>
        <v>#NAME?</v>
      </c>
      <c r="AS151" s="2" t="e">
        <f ca="1">_xll.BDH($C$128,"ACCOUNTS_RECEIVABLE_5_YR_GROWTH","FQ3 2018","FQ3 2018","Currency=INR","Period=FQ","BEST_FPERIOD_OVERRIDE=FQ","FILING_STATUS=OR","EQY_CONSOLIDATED=Y","Sort=A","Dates=H","DateFormat=P","Fill=—","Direction=H","UseDPDF=Y")</f>
        <v>#NAME?</v>
      </c>
      <c r="AT151" s="2" t="e">
        <f ca="1">_xll.BDH($C$128,"INVENTORY_5_YEAR_GROWTH","FQ3 2018","FQ3 2018","Currency=INR","Period=FQ","BEST_FPERIOD_OVERRIDE=FQ","FILING_STATUS=OR","EQY_CONSOLIDATED=Y","Sort=A","Dates=H","DateFormat=P","Fill=—","Direction=H","UseDPDF=Y")</f>
        <v>#NAME?</v>
      </c>
      <c r="AU151" s="2" t="e">
        <f ca="1">_xll.BDH($C$128,"NET_FIXED_ASSETS_5_YEAR_GROWTH","FQ3 2018","FQ3 2018","Currency=INR","Period=FQ","BEST_FPERIOD_OVERRIDE=FQ","FILING_STATUS=OR","EQY_CONSOLIDATED=Y","Sort=A","Dates=H","DateFormat=P","Fill=—","Direction=H","UseDPDF=Y")</f>
        <v>#NAME?</v>
      </c>
      <c r="AV151" s="2" t="e">
        <f ca="1">_xll.BDH($C$128,"GEO_GROW_TOT_ASSET","FQ3 2018","FQ3 2018","Currency=INR","Period=FQ","BEST_FPERIOD_OVERRIDE=FQ","FILING_STATUS=OR","EQY_CONSOLIDATED=Y","Sort=A","Dates=H","DateFormat=P","Fill=—","Direction=H","UseDPDF=Y")</f>
        <v>#NAME?</v>
      </c>
      <c r="AW151" s="2" t="e">
        <f ca="1">_xll.BDH($C$128,"MODIFIED_WORKING_CPTL_5YR_GRWTH","FQ3 2018","FQ3 2018","Currency=INR","Period=FQ","BEST_FPERIOD_OVERRIDE=FQ","FILING_STATUS=OR","EQY_CONSOLIDATED=Y","Sort=A","Dates=H","DateFormat=P","Fill=—","Direction=H","UseDPDF=Y")</f>
        <v>#NAME?</v>
      </c>
      <c r="AX151" s="2" t="e">
        <f ca="1">_xll.BDH($C$128,"WORKING_CAPITAL_5_YEAR_GROWTH","FQ3 2018","FQ3 2018","Currency=INR","Period=FQ","BEST_FPERIOD_OVERRIDE=FQ","FILING_STATUS=OR","EQY_CONSOLIDATED=Y","Sort=A","Dates=H","DateFormat=P","Fill=—","Direction=H","UseDPDF=Y")</f>
        <v>#NAME?</v>
      </c>
      <c r="AY151" s="2" t="e">
        <f ca="1">_xll.BDH($C$128,"ACCOUNTS_PAYABLE_5_YEAR_GROWTH","FQ3 2018","FQ3 2018","Currency=INR","Period=FQ","BEST_FPERIOD_OVERRIDE=FQ","FILING_STATUS=OR","EQY_CONSOLIDATED=Y","Sort=A","Dates=H","DateFormat=P","Fill=—","Direction=H","UseDPDF=Y")</f>
        <v>#NAME?</v>
      </c>
      <c r="AZ151" s="2" t="e">
        <f ca="1">_xll.BDH($C$128,"SHORT_TERM_DEBT_5_YEAR_GROWTH","FQ3 2018","FQ3 2018","Currency=INR","Period=FQ","BEST_FPERIOD_OVERRIDE=FQ","FILING_STATUS=OR","EQY_CONSOLIDATED=Y","Sort=A","Dates=H","DateFormat=P","Fill=—","Direction=H","UseDPDF=Y")</f>
        <v>#NAME?</v>
      </c>
      <c r="BA151" s="2" t="e">
        <f ca="1">_xll.BDH($C$128,"TOTAL_DEBT_5_YEAR_GROWTH","FQ3 2018","FQ3 2018","Currency=INR","Period=FQ","BEST_FPERIOD_OVERRIDE=FQ","FILING_STATUS=OR","EQY_CONSOLIDATED=Y","Sort=A","Dates=H","DateFormat=P","Fill=—","Direction=H","UseDPDF=Y")</f>
        <v>#NAME?</v>
      </c>
      <c r="BB151" s="2" t="e">
        <f ca="1">_xll.BDH($C$128,"GEO_GROW_TOT_SHRHLDR_EQY","FQ3 2018","FQ3 2018","Currency=INR","Period=FQ","BEST_FPERIOD_OVERRIDE=FQ","FILING_STATUS=OR","EQY_CONSOLIDATED=Y","Sort=A","Dates=H","DateFormat=P","Fill=—","Direction=H","UseDPDF=Y")</f>
        <v>#NAME?</v>
      </c>
      <c r="BC151" s="2" t="e">
        <f ca="1">_xll.BDH($C$128,"TOTAL_CAPITAL_5_YEAR_GROWTH","FQ3 2018","FQ3 2018","Currency=INR","Period=FQ","BEST_FPERIOD_OVERRIDE=FQ","FILING_STATUS=OR","EQY_CONSOLIDATED=Y","Sort=A","Dates=H","DateFormat=P","Fill=—","Direction=H","UseDPDF=Y")</f>
        <v>#NAME?</v>
      </c>
      <c r="BD151" s="2" t="e">
        <f ca="1">_xll.BDH($C$128,"GEO_GROW_BOOK_VAL","FQ3 2018","FQ3 2018","Currency=INR","Period=FQ","BEST_FPERIOD_OVERRIDE=FQ","FILING_STATUS=OR","EQY_CONSOLIDATED=Y","Sort=A","Dates=H","DateFormat=P","Fill=—","Direction=H","UseDPDF=Y")</f>
        <v>#NAME?</v>
      </c>
      <c r="BE151" s="2" t="e">
        <f ca="1">_xll.BDH($C$128,"GEO_GROW_CASH_OPER_ACT","FQ3 2018","FQ3 2018","Currency=INR","Period=FQ","BEST_FPERIOD_OVERRIDE=FQ","FILING_STATUS=OR","EQY_CONSOLIDATED=Y","Sort=A","Dates=H","DateFormat=P","Fill=—","Direction=H","UseDPDF=Y")</f>
        <v>#NAME?</v>
      </c>
      <c r="BF151" s="2" t="e">
        <f ca="1">_xll.BDH($C$128,"REVENUE_SEQUENTIAL_GROWTH","FQ3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151" s="2" t="e">
        <f ca="1">_xll.BDH($C$128,"EBITDA_SEQUENTIAL_GROWTH","FQ3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151" s="2" t="e">
        <f ca="1">_xll.BDH($C$128,"OPERATING_INCOME_SEQ_GROWTH","FQ3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151" s="2" t="e">
        <f ca="1">_xll.BDH($C$128,"NET_INCOME_TO_COMMON_SEQ_GROWTH","FQ3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151" s="2" t="e">
        <f ca="1">_xll.BDH($C$128,"EPS_DILUTED_SEQUENTIAL_GROWTH","FQ3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151" s="2" t="e">
        <f ca="1">_xll.BDH($C$128,"DPS_SEQUENTIAL_GROWTH","FQ3 2018","FQ3 2018","Currency=INR","Period=FQ","BEST_FPERIOD_OVERRIDE=FQ","FILING_STATUS=OR","EQY_CONSOLIDATED=Y","Sort=A","Dates=H","DateFormat=P","Fill=—","Direction=H","UseDPDF=Y")</f>
        <v>#NAME?</v>
      </c>
      <c r="BL151" s="2" t="e">
        <f ca="1">_xll.BDH($C$128,"ACCOUNTS_RECEIVABLE_SEQ_GROWTH","FQ3 2018","FQ3 2018","Currency=INR","Period=FQ","BEST_FPERIOD_OVERRIDE=FQ","FILING_STATUS=OR","EQY_CONSOLIDATED=Y","Sort=A","Dates=H","DateFormat=P","Fill=—","Direction=H","UseDPDF=Y")</f>
        <v>#NAME?</v>
      </c>
      <c r="BM151" s="2" t="e">
        <f ca="1">_xll.BDH($C$128,"INVENTORY_SEQUENTIAL_GROWTH","FQ3 2018","FQ3 2018","Currency=INR","Period=FQ","BEST_FPERIOD_OVERRIDE=FQ","FILING_STATUS=OR","EQY_CONSOLIDATED=Y","Sort=A","Dates=H","DateFormat=P","Fill=—","Direction=H","UseDPDF=Y")</f>
        <v>#NAME?</v>
      </c>
      <c r="BN151" s="2" t="e">
        <f ca="1">_xll.BDH($C$128,"FIXED_ASSETS_SEQUENTIAL_GROWTH","FQ3 2018","FQ3 2018","Currency=INR","Period=FQ","BEST_FPERIOD_OVERRIDE=FQ","FILING_STATUS=OR","EQY_CONSOLIDATED=Y","Sort=A","Dates=H","DateFormat=P","Fill=—","Direction=H","UseDPDF=Y")</f>
        <v>#NAME?</v>
      </c>
      <c r="BO151" s="2" t="e">
        <f ca="1">_xll.BDH($C$128,"TOTAL_ASSETS_SEQUENTIAL_GROWTH","FQ3 2018","FQ3 2018","Currency=INR","Period=FQ","BEST_FPERIOD_OVERRIDE=FQ","FILING_STATUS=OR","EQY_CONSOLIDATED=Y","Sort=A","Dates=H","DateFormat=P","Fill=—","Direction=H","UseDPDF=Y")</f>
        <v>#NAME?</v>
      </c>
      <c r="BP151" s="2" t="e">
        <f ca="1">_xll.BDH($C$128,"MODIFIED_WORKING_CPTL_SEQ_GRWTH","FQ3 2018","FQ3 2018","Currency=INR","Period=FQ","BEST_FPERIOD_OVERRIDE=FQ","FILING_STATUS=OR","EQY_CONSOLIDATED=Y","Sort=A","Dates=H","DateFormat=P","Fill=—","Direction=H","UseDPDF=Y")</f>
        <v>#NAME?</v>
      </c>
      <c r="BQ151" s="2" t="e">
        <f ca="1">_xll.BDH($C$128,"WORKING_CAPITAL_SEQ_GROWTH","FQ3 2018","FQ3 2018","Currency=INR","Period=FQ","BEST_FPERIOD_OVERRIDE=FQ","FILING_STATUS=OR","EQY_CONSOLIDATED=Y","Sort=A","Dates=H","DateFormat=P","Fill=—","Direction=H","UseDPDF=Y")</f>
        <v>#NAME?</v>
      </c>
      <c r="BR151" s="2" t="e">
        <f ca="1">_xll.BDH($C$128,"ACCOUNTS_PAYABLE_SEQ_GROWTH","FQ3 2018","FQ3 2018","Currency=INR","Period=FQ","BEST_FPERIOD_OVERRIDE=FQ","FILING_STATUS=OR","EQY_CONSOLIDATED=Y","Sort=A","Dates=H","DateFormat=P","Fill=—","Direction=H","UseDPDF=Y")</f>
        <v>#NAME?</v>
      </c>
      <c r="BS151" s="2" t="e">
        <f ca="1">_xll.BDH($C$128,"ST_DEBT_SEQUENTIAL_GROWTH","FQ3 2018","FQ3 2018","Currency=INR","Period=FQ","BEST_FPERIOD_OVERRIDE=FQ","FILING_STATUS=OR","EQY_CONSOLIDATED=Y","Sort=A","Dates=H","DateFormat=P","Fill=—","Direction=H","UseDPDF=Y")</f>
        <v>#NAME?</v>
      </c>
      <c r="BT151" s="2" t="e">
        <f ca="1">_xll.BDH($C$128,"TOTAL_DEBT_SEQUENTIAL_GROWTH","FQ3 2018","FQ3 2018","Currency=INR","Period=FQ","BEST_FPERIOD_OVERRIDE=FQ","FILING_STATUS=OR","EQY_CONSOLIDATED=Y","Sort=A","Dates=H","DateFormat=P","Fill=—","Direction=H","UseDPDF=Y")</f>
        <v>#NAME?</v>
      </c>
      <c r="BU151" s="2" t="e">
        <f ca="1">_xll.BDH($C$128,"TOTAL_EQUITY_SEQUENTIAL_GROWTH","FQ3 2018","FQ3 2018","Currency=INR","Period=FQ","BEST_FPERIOD_OVERRIDE=FQ","FILING_STATUS=OR","EQY_CONSOLIDATED=Y","Sort=A","Dates=H","DateFormat=P","Fill=—","Direction=H","UseDPDF=Y")</f>
        <v>#NAME?</v>
      </c>
      <c r="BV151" s="2" t="e">
        <f ca="1">_xll.BDH($C$128,"TOTAL_CAPITAL_SEQUENTIAL_GROWTH","FQ3 2018","FQ3 2018","Currency=INR","Period=FQ","BEST_FPERIOD_OVERRIDE=FQ","FILING_STATUS=OR","EQY_CONSOLIDATED=Y","Sort=A","Dates=H","DateFormat=P","Fill=—","Direction=H","UseDPDF=Y")</f>
        <v>#NAME?</v>
      </c>
      <c r="BW151" s="2" t="e">
        <f ca="1">_xll.BDH($C$128,"BPS_SEQUENTIAL_GROWTH","FQ3 2018","FQ3 2018","Currency=INR","Period=FQ","BEST_FPERIOD_OVERRIDE=FQ","FILING_STATUS=OR","EQY_CONSOLIDATED=Y","Sort=A","Dates=H","DateFormat=P","Fill=—","Direction=H","UseDPDF=Y")</f>
        <v>#NAME?</v>
      </c>
      <c r="BX151" s="2" t="e">
        <f ca="1">_xll.BDH($C$128,"CFO_SEQUENTIAL_GROWTH","FQ3 2018","FQ3 2018","Currency=INR","Period=FQ","BEST_FPERIOD_OVERRIDE=FQ","FILING_STATUS=OR","EQY_CONSOLIDATED=Y","Sort=A","Dates=H","DateFormat=P","Fill=—","Direction=H","UseDPDF=Y")</f>
        <v>#NAME?</v>
      </c>
      <c r="BY151" s="3" t="e">
        <f ca="1">_xll.BDH($C$128,"SHORT_AND_LONG_TERM_DEBT","FQ3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151" s="3" t="e">
        <f ca="1">_xll.BDH($C$128,"BS_ST_BORROW","FQ3 2018","FQ3 2018","Currency=INR","Period=FQ","BEST_FPERIOD_OVERRIDE=FQ","FILING_STATUS=OR","EQY_CONSOLIDATED=Y","SCALING_FORMAT=MLN","Sort=A","Dates=H","DateFormat=P","Fill=—","Direction=H","UseDPDF=Y")</f>
        <v>#NAME?</v>
      </c>
      <c r="CA151" s="3" t="e">
        <f ca="1">_xll.BDH($C$128,"BS_LT_BORROW","FQ3 2018","FQ3 2018","Currency=INR","Period=FQ","BEST_FPERIOD_OVERRIDE=FQ","FILING_STATUS=OR","EQY_CONSOLIDATED=Y","SCALING_FORMAT=MLN","Sort=A","Dates=H","DateFormat=P","Fill=—","Direction=H","UseDPDF=Y")</f>
        <v>#NAME?</v>
      </c>
      <c r="CB151" s="2" t="e">
        <f ca="1">_xll.BDH($C$128,"TOT_DEBT_TO_EBITDA","FQ3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151" s="2" t="e">
        <f ca="1">_xll.BDH($C$128,"NET_DEBT_TO_EBITDA","FQ3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151" s="2" t="e">
        <f ca="1">_xll.BDH($C$128,"TOTAL_DEBT_TO_EBIT","FQ3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151" s="2" t="e">
        <f ca="1">_xll.BDH($C$128,"NET_DEBT_TO_EBIT","FQ3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151" s="2" t="e">
        <f ca="1">_xll.BDH($C$128,"EBITDA_TO_INTEREST_EXPN","FQ3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151" s="2" t="e">
        <f ca="1">_xll.BDH($C$128,"COM_EQY_TO_TOT_ASSET","FQ3 2018","FQ3 2018","Currency=INR","Period=FQ","BEST_FPERIOD_OVERRIDE=FQ","FILING_STATUS=OR","EQY_CONSOLIDATED=Y","Sort=A","Dates=H","DateFormat=P","Fill=—","Direction=H","UseDPDF=Y")</f>
        <v>#NAME?</v>
      </c>
      <c r="CH151" s="2" t="e">
        <f ca="1">_xll.BDH($C$128,"LT_DEBT_TO_TOT_EQY","FQ3 2018","FQ3 2018","Currency=INR","Period=FQ","BEST_FPERIOD_OVERRIDE=FQ","FILING_STATUS=OR","EQY_CONSOLIDATED=Y","Sort=A","Dates=H","DateFormat=P","Fill=—","Direction=H","UseDPDF=Y")</f>
        <v>#NAME?</v>
      </c>
      <c r="CI151" s="2" t="e">
        <f ca="1">_xll.BDH($C$128,"LT_DEBT_TO_TOT_CAP","FQ3 2018","FQ3 2018","Currency=INR","Period=FQ","BEST_FPERIOD_OVERRIDE=FQ","FILING_STATUS=OR","EQY_CONSOLIDATED=Y","Sort=A","Dates=H","DateFormat=P","Fill=—","Direction=H","UseDPDF=Y")</f>
        <v>#NAME?</v>
      </c>
      <c r="CJ151" s="2" t="e">
        <f ca="1">_xll.BDH($C$128,"LT_DEBT_TO_TOT_ASSET","FQ3 2018","FQ3 2018","Currency=INR","Period=FQ","BEST_FPERIOD_OVERRIDE=FQ","FILING_STATUS=OR","EQY_CONSOLIDATED=Y","Sort=A","Dates=H","DateFormat=P","Fill=—","Direction=H","UseDPDF=Y")</f>
        <v>#NAME?</v>
      </c>
      <c r="CK151" s="2" t="e">
        <f ca="1">_xll.BDH($C$128,"TOT_DEBT_TO_TOT_EQY","FQ3 2018","FQ3 2018","Currency=INR","Period=FQ","BEST_FPERIOD_OVERRIDE=FQ","FILING_STATUS=OR","EQY_CONSOLIDATED=Y","Sort=A","Dates=H","DateFormat=P","Fill=—","Direction=H","UseDPDF=Y")</f>
        <v>#NAME?</v>
      </c>
      <c r="CL151" s="2" t="e">
        <f ca="1">_xll.BDH($C$128,"TOT_DEBT_TO_TOT_CAP","FQ3 2018","FQ3 2018","Currency=INR","Period=FQ","BEST_FPERIOD_OVERRIDE=FQ","FILING_STATUS=OR","EQY_CONSOLIDATED=Y","Sort=A","Dates=H","DateFormat=P","Fill=—","Direction=H","UseDPDF=Y")</f>
        <v>#NAME?</v>
      </c>
      <c r="CM151" s="2" t="e">
        <f ca="1">_xll.BDH($C$128,"TOT_DEBT_TO_TOT_ASSET","FQ3 2018","FQ3 2018","Currency=INR","Period=FQ","BEST_FPERIOD_OVERRIDE=FQ","FILING_STATUS=OR","EQY_CONSOLIDATED=Y","Sort=A","Dates=H","DateFormat=P","Fill=—","Direction=H","UseDPDF=Y")</f>
        <v>#NAME?</v>
      </c>
      <c r="CN151" s="2" t="e">
        <f ca="1">_xll.BDH($C$128,"NET_DEBT_TO_SHRHLDR_EQTY","FQ3 2018","FQ3 2018","Currency=INR","Period=FQ","BEST_FPERIOD_OVERRIDE=FQ","FILING_STATUS=OR","EQY_CONSOLIDATED=Y","Sort=A","Dates=H","DateFormat=P","Fill=—","Direction=H","UseDPDF=Y")</f>
        <v>#NAME?</v>
      </c>
      <c r="CO151" s="2" t="e">
        <f ca="1">_xll.BDH($C$128,"NET_DEBT_%_CAPITAL","FQ3 2018","FQ3 2018","Currency=INR","Period=FQ","BEST_FPERIOD_OVERRIDE=FQ","FILING_STATUS=OR","EQY_CONSOLIDATED=Y","Sort=A","Dates=H","DateFormat=P","Fill=—","Direction=H","UseDPDF=Y")</f>
        <v>#NAME?</v>
      </c>
      <c r="CP151" s="3" t="e">
        <f ca="1">_xll.BDH($C$128,"EBITDA","FQ3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151" s="3" t="e">
        <f ca="1">_xll.BDH($C$128,"EBITDA_AFTER_CAPEX","FQ3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151" s="3" t="e">
        <f ca="1">_xll.BDH($C$128,"IS_OPER_INC","FQ3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151" s="2" t="e">
        <f ca="1">_xll.BDH($C$128,"CASH_RATIO","FQ3 2018","FQ3 2018","Currency=INR","Period=FQ","BEST_FPERIOD_OVERRIDE=FQ","FILING_STATUS=OR","EQY_CONSOLIDATED=Y","Sort=A","Dates=H","DateFormat=P","Fill=—","Direction=H","UseDPDF=Y")</f>
        <v>#NAME?</v>
      </c>
      <c r="CT151" s="2" t="e">
        <f ca="1">_xll.BDH($C$128,"CUR_RATIO","FQ3 2018","FQ3 2018","Currency=INR","Period=FQ","BEST_FPERIOD_OVERRIDE=FQ","FILING_STATUS=OR","EQY_CONSOLIDATED=Y","Sort=A","Dates=H","DateFormat=P","Fill=—","Direction=H","UseDPDF=Y")</f>
        <v>#NAME?</v>
      </c>
      <c r="CU151" s="2" t="e">
        <f ca="1">_xll.BDH($C$128,"QUICK_RATIO","FQ3 2018","FQ3 2018","Currency=INR","Period=FQ","BEST_FPERIOD_OVERRIDE=FQ","FILING_STATUS=OR","EQY_CONSOLIDATED=Y","Sort=A","Dates=H","DateFormat=P","Fill=—","Direction=H","UseDPDF=Y")</f>
        <v>#NAME?</v>
      </c>
      <c r="CV151" s="2" t="e">
        <f ca="1">_xll.BDH($C$128,"ALTMAN_Z_SCORE","FQ3 2018","FQ3 2018","Currency=INR","Period=FQ","BEST_FPERIOD_OVERRIDE=FQ","FILING_STATUS=OR","EQY_CONSOLIDATED=Y","Sort=A","Dates=H","DateFormat=P","Fill=—","Direction=H","UseDPDF=Y")</f>
        <v>#NAME?</v>
      </c>
      <c r="CW151" s="4" t="e">
        <f ca="1">_xll.BDH($C$128,"ACCT_RCV_TURN","FQ3 2018","FQ3 2018","Currency=INR","Period=FQ","BEST_FPERIOD_OVERRIDE=FQ","FILING_STATUS=OR","EQY_CONSOLIDATED=Y","FA_ADJUSTED=GAAP","Sort=A","Dates=H","DateFormat=P","Fill=—","Direction=H","UseDPDF=Y")</f>
        <v>#NAME?</v>
      </c>
      <c r="CX151" s="2" t="e">
        <f ca="1">_xll.BDH($C$128,"ACCT_RCV_DAYS","FQ3 2018","FQ3 2018","Currency=INR","Period=FQ","BEST_FPERIOD_OVERRIDE=FQ","FILING_STATUS=OR","EQY_CONSOLIDATED=Y","FA_ADJUSTED=GAAP","Sort=A","Dates=H","DateFormat=P","Fill=—","Direction=H","UseDPDF=Y")</f>
        <v>#NAME?</v>
      </c>
      <c r="CY151" s="4" t="e">
        <f ca="1">_xll.BDH($C$128,"INVENT_TURN","FQ3 2018","FQ3 2018","Currency=INR","Period=FQ","BEST_FPERIOD_OVERRIDE=FQ","FILING_STATUS=OR","EQY_CONSOLIDATED=Y","FA_ADJUSTED=GAAP","Sort=A","Dates=H","DateFormat=P","Fill=—","Direction=H","UseDPDF=Y")</f>
        <v>#NAME?</v>
      </c>
      <c r="CZ151" s="2" t="e">
        <f ca="1">_xll.BDH($C$128,"INVENT_DAYS","FQ3 2018","FQ3 2018","Currency=INR","Period=FQ","BEST_FPERIOD_OVERRIDE=FQ","FILING_STATUS=OR","EQY_CONSOLIDATED=Y","FA_ADJUSTED=GAAP","Sort=A","Dates=H","DateFormat=P","Fill=—","Direction=H","UseDPDF=Y")</f>
        <v>#NAME?</v>
      </c>
      <c r="DA151" s="4" t="e">
        <f ca="1">_xll.BDH($C$128,"ACCOUNTS_PAYABLE_TURNOVER","FQ3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151" s="2" t="e">
        <f ca="1">_xll.BDH($C$128,"ACCOUNTS_PAYABLE_TURNOVER_DAYS","FQ3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151" s="4" t="e">
        <f ca="1">_xll.BDH($C$128,"CASH_CONVERSION_CYCLE","FQ3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151" s="4" t="e">
        <f ca="1">_xll.BDH($C$128,"INV_TO_CASH_DAYS","FQ3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151" s="5" t="e">
        <f ca="1">_xll.BDH($C$128,"BS_INVENTORIES","FQ3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151" s="3" t="e">
        <f ca="1">_xll.BDH($C$128,"INVTRY_RAW_MATERIALS","FQ3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151" s="3" t="e">
        <f ca="1">_xll.BDH($C$128,"INVTRY_IN_PROGRESS","FQ3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151" s="3" t="e">
        <f ca="1">_xll.BDH($C$128,"INVTRY_FINISHED_GOODS","FQ3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151" s="3" t="e">
        <f ca="1">_xll.BDH($C$128,"BS_OTHER_INV","FQ3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152" spans="1:113" x14ac:dyDescent="0.3">
      <c r="A152" s="6"/>
      <c r="B152" s="6"/>
      <c r="C152" s="6"/>
      <c r="D152" s="6"/>
      <c r="E152" t="s">
        <v>81</v>
      </c>
      <c r="F152" t="e">
        <f ca="1">_xll.BDH($C$128,"RETURN_COM_EQY","FQ4 2018","FQ4 2018","Currency=INR","Period=FQ","BEST_FPERIOD_OVERRIDE=FQ","FILING_STATUS=OR","EQY_CONSOLIDATED=Y","FA_ADJUSTED=GAAP","Sort=A","Dates=H","DateFormat=P","Fill=—","Direction=H","UseDPDF=Y")</f>
        <v>#NAME?</v>
      </c>
      <c r="G152" t="e">
        <f ca="1">_xll.BDH($C$128,"RETURN_ON_ASSET","FQ4 2018","FQ4 2018","Currency=INR","Period=FQ","BEST_FPERIOD_OVERRIDE=FQ","FILING_STATUS=OR","EQY_CONSOLIDATED=Y","FA_ADJUSTED=GAAP","Sort=A","Dates=H","DateFormat=P","Fill=—","Direction=H","UseDPDF=Y")</f>
        <v>#NAME?</v>
      </c>
      <c r="H152" t="e">
        <f ca="1">_xll.BDH($C$128,"RETURN_ON_CAP","FQ4 2018","FQ4 2018","Currency=INR","Period=FQ","BEST_FPERIOD_OVERRIDE=FQ","FILING_STATUS=OR","EQY_CONSOLIDATED=Y","FA_ADJUSTED=GAAP","Sort=A","Dates=H","DateFormat=P","Fill=—","Direction=H","UseDPDF=Y")</f>
        <v>#NAME?</v>
      </c>
      <c r="I152" t="e">
        <f ca="1">_xll.BDH($C$128,"RETURN_ON_INV_CAPITAL","FQ4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152" t="e">
        <f ca="1">_xll.BDH($C$128,"EBITDA_TO_REVENUE","FQ4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152" t="e">
        <f ca="1">_xll.BDH($C$128,"OPER_MARGIN","FQ4 2018","FQ4 2018","Currency=INR","Period=FQ","BEST_FPERIOD_OVERRIDE=FQ","FILING_STATUS=OR","EQY_CONSOLIDATED=Y","FA_ADJUSTED=GAAP","Sort=A","Dates=H","DateFormat=P","Fill=—","Direction=H","UseDPDF=Y")</f>
        <v>#NAME?</v>
      </c>
      <c r="L152" t="e">
        <f ca="1">_xll.BDH($C$128,"INCREMENTAL_OPERATING_MARGIN","FQ4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152" t="e">
        <f ca="1">_xll.BDH($C$128,"PRETAX_INC_TO_NET_SALES","FQ4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152" t="e">
        <f ca="1">_xll.BDH($C$128,"INC_BEF_XO_ITEMS_TO_NET_SALES","FQ4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152" t="e">
        <f ca="1">_xll.BDH($C$128,"PROF_MARGIN","FQ4 2018","FQ4 2018","Currency=INR","Period=FQ","BEST_FPERIOD_OVERRIDE=FQ","FILING_STATUS=OR","EQY_CONSOLIDATED=Y","FA_ADJUSTED=GAAP","Sort=A","Dates=H","DateFormat=P","Fill=—","Direction=H","UseDPDF=Y")</f>
        <v>#NAME?</v>
      </c>
      <c r="P152" t="e">
        <f ca="1">_xll.BDH($C$128,"NET_INCOME_TO_COMMON_MARGIN","FQ4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152" t="e">
        <f ca="1">_xll.BDH($C$128,"EFF_TAX_RATE","FQ4 2018","FQ4 2018","Currency=INR","Period=FQ","BEST_FPERIOD_OVERRIDE=FQ","FILING_STATUS=OR","EQY_CONSOLIDATED=Y","FA_ADJUSTED=GAAP","Sort=A","Dates=H","DateFormat=P","Fill=—","Direction=H","UseDPDF=Y")</f>
        <v>#NAME?</v>
      </c>
      <c r="R152" t="e">
        <f ca="1">_xll.BDH($C$128,"DVD_PAYOUT_RATIO","FQ4 2018","FQ4 2018","Currency=INR","Period=FQ","BEST_FPERIOD_OVERRIDE=FQ","FILING_STATUS=OR","EQY_CONSOLIDATED=Y","FA_ADJUSTED=GAAP","Sort=A","Dates=H","DateFormat=P","Fill=—","Direction=H","UseDPDF=Y")</f>
        <v>#NAME?</v>
      </c>
      <c r="S152" t="e">
        <f ca="1">_xll.BDH($C$128,"SUSTAIN_GROWTH_RT","FQ4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152" s="2" t="e">
        <f ca="1">_xll.BDH($C$128,"SALES_GROWTH","FQ4 2018","FQ4 2018","Currency=INR","Period=FQ","BEST_FPERIOD_OVERRIDE=FQ","FILING_STATUS=OR","EQY_CONSOLIDATED=Y","FA_ADJUSTED=GAAP","Sort=A","Dates=H","DateFormat=P","Fill=—","Direction=H","UseDPDF=Y")</f>
        <v>#NAME?</v>
      </c>
      <c r="U152" s="2" t="e">
        <f ca="1">_xll.BDH($C$128,"EBITDA_GROWTH","FQ4 2018","FQ4 2018","Currency=INR","Period=FQ","BEST_FPERIOD_OVERRIDE=FQ","FILING_STATUS=OR","EQY_CONSOLIDATED=Y","FA_ADJUSTED=GAAP","Sort=A","Dates=H","DateFormat=P","Fill=—","Direction=H","UseDPDF=Y")</f>
        <v>#NAME?</v>
      </c>
      <c r="V152" s="2" t="e">
        <f ca="1">_xll.BDH($C$128,"OPER_INC_GROWTH","FQ4 2018","FQ4 2018","Currency=INR","Period=FQ","BEST_FPERIOD_OVERRIDE=FQ","FILING_STATUS=OR","EQY_CONSOLIDATED=Y","FA_ADJUSTED=GAAP","Sort=A","Dates=H","DateFormat=P","Fill=—","Direction=H","UseDPDF=Y")</f>
        <v>#NAME?</v>
      </c>
      <c r="W152" s="2" t="e">
        <f ca="1">_xll.BDH($C$128,"EARN_FOR_COM_GROWTH","FQ4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152" s="2" t="e">
        <f ca="1">_xll.BDH($C$128,"DILUTED_EPS_AFT_XO_ITEMS_GROWTH","FQ4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152" s="2" t="e">
        <f ca="1">_xll.BDH($C$128,"DIVIDEND_PER_SHARE_1_YEAR_GROWTH","FQ4 2018","FQ4 2018","Currency=INR","Period=FQ","BEST_FPERIOD_OVERRIDE=FQ","FILING_STATUS=OR","EQY_CONSOLIDATED=Y","Sort=A","Dates=H","DateFormat=P","Fill=—","Direction=H","UseDPDF=Y")</f>
        <v>#NAME?</v>
      </c>
      <c r="Z152" s="2" t="e">
        <f ca="1">_xll.BDH($C$128,"ACCOUNTS_RECEIVABLE_GROWTH","FQ4 2018","FQ4 2018","Currency=INR","Period=FQ","BEST_FPERIOD_OVERRIDE=FQ","FILING_STATUS=OR","EQY_CONSOLIDATED=Y","Sort=A","Dates=H","DateFormat=P","Fill=—","Direction=H","UseDPDF=Y")</f>
        <v>#NAME?</v>
      </c>
      <c r="AA152" s="2" t="e">
        <f ca="1">_xll.BDH($C$128,"INVENTORY_GROWTH","FQ4 2018","FQ4 2018","Currency=INR","Period=FQ","BEST_FPERIOD_OVERRIDE=FQ","FILING_STATUS=OR","EQY_CONSOLIDATED=Y","Sort=A","Dates=H","DateFormat=P","Fill=—","Direction=H","UseDPDF=Y")</f>
        <v>#NAME?</v>
      </c>
      <c r="AB152" s="2" t="e">
        <f ca="1">_xll.BDH($C$128,"NET_FIXED_ASSETS_1_YEAR_GROWTH","FQ4 2018","FQ4 2018","Currency=INR","Period=FQ","BEST_FPERIOD_OVERRIDE=FQ","FILING_STATUS=OR","EQY_CONSOLIDATED=Y","Sort=A","Dates=H","DateFormat=P","Fill=—","Direction=H","UseDPDF=Y")</f>
        <v>#NAME?</v>
      </c>
      <c r="AC152" s="2" t="e">
        <f ca="1">_xll.BDH($C$128,"ASSET_GROWTH","FQ4 2018","FQ4 2018","Currency=INR","Period=FQ","BEST_FPERIOD_OVERRIDE=FQ","FILING_STATUS=OR","EQY_CONSOLIDATED=Y","Sort=A","Dates=H","DateFormat=P","Fill=—","Direction=H","UseDPDF=Y")</f>
        <v>#NAME?</v>
      </c>
      <c r="AD152" s="2" t="e">
        <f ca="1">_xll.BDH($C$128,"MODIFIED_WORK_CAP_GROWTH","FQ4 2018","FQ4 2018","Currency=INR","Period=FQ","BEST_FPERIOD_OVERRIDE=FQ","FILING_STATUS=OR","EQY_CONSOLIDATED=Y","Sort=A","Dates=H","DateFormat=P","Fill=—","Direction=H","UseDPDF=Y")</f>
        <v>#NAME?</v>
      </c>
      <c r="AE152" s="2" t="e">
        <f ca="1">_xll.BDH($C$128,"WORK_CAP_GROWTH","FQ4 2018","FQ4 2018","Currency=INR","Period=FQ","BEST_FPERIOD_OVERRIDE=FQ","FILING_STATUS=OR","EQY_CONSOLIDATED=Y","Sort=A","Dates=H","DateFormat=P","Fill=—","Direction=H","UseDPDF=Y")</f>
        <v>#NAME?</v>
      </c>
      <c r="AF152" s="2" t="e">
        <f ca="1">_xll.BDH($C$128,"ACCOUNTS_PAYABLE_GROWTH_1YR","FQ4 2018","FQ4 2018","Currency=INR","Period=FQ","BEST_FPERIOD_OVERRIDE=FQ","FILING_STATUS=OR","EQY_CONSOLIDATED=Y","Sort=A","Dates=H","DateFormat=P","Fill=—","Direction=H","UseDPDF=Y")</f>
        <v>#NAME?</v>
      </c>
      <c r="AG152" s="2" t="e">
        <f ca="1">_xll.BDH($C$128,"SHORT_TERM_DEBT_1_YEAR_GROWTH","FQ4 2018","FQ4 2018","Currency=INR","Period=FQ","BEST_FPERIOD_OVERRIDE=FQ","FILING_STATUS=OR","EQY_CONSOLIDATED=Y","Sort=A","Dates=H","DateFormat=P","Fill=—","Direction=H","UseDPDF=Y")</f>
        <v>#NAME?</v>
      </c>
      <c r="AH152" s="2" t="e">
        <f ca="1">_xll.BDH($C$128,"TOTAL_DEBT_1_YEAR_GROWTH","FQ4 2018","FQ4 2018","Currency=INR","Period=FQ","BEST_FPERIOD_OVERRIDE=FQ","FILING_STATUS=OR","EQY_CONSOLIDATED=Y","Sort=A","Dates=H","DateFormat=P","Fill=—","Direction=H","UseDPDF=Y")</f>
        <v>#NAME?</v>
      </c>
      <c r="AI152" s="2" t="e">
        <f ca="1">_xll.BDH($C$128,"TOTAL_EQUITY_1_YEAR_GROWTH","FQ4 2018","FQ4 2018","Currency=INR","Period=FQ","BEST_FPERIOD_OVERRIDE=FQ","FILING_STATUS=OR","EQY_CONSOLIDATED=Y","Sort=A","Dates=H","DateFormat=P","Fill=—","Direction=H","UseDPDF=Y")</f>
        <v>#NAME?</v>
      </c>
      <c r="AJ152" s="2" t="e">
        <f ca="1">_xll.BDH($C$128,"GROWTH_IN_CAP","FQ4 2018","FQ4 2018","Currency=INR","Period=FQ","BEST_FPERIOD_OVERRIDE=FQ","FILING_STATUS=OR","EQY_CONSOLIDATED=Y","Sort=A","Dates=H","DateFormat=P","Fill=—","Direction=H","UseDPDF=Y")</f>
        <v>#NAME?</v>
      </c>
      <c r="AK152" s="2" t="e">
        <f ca="1">_xll.BDH($C$128,"BVPS_GROWTH","FQ4 2018","FQ4 2018","Currency=INR","Period=FQ","BEST_FPERIOD_OVERRIDE=FQ","FILING_STATUS=OR","EQY_CONSOLIDATED=Y","Sort=A","Dates=H","DateFormat=P","Fill=—","Direction=H","UseDPDF=Y")</f>
        <v>#NAME?</v>
      </c>
      <c r="AL152" s="2" t="e">
        <f ca="1">_xll.BDH($C$128,"CASH_FLOW_GROWTH","FQ4 2018","FQ4 2018","Currency=INR","Period=FQ","BEST_FPERIOD_OVERRIDE=FQ","FILING_STATUS=OR","EQY_CONSOLIDATED=Y","Sort=A","Dates=H","DateFormat=P","Fill=—","Direction=H","UseDPDF=Y")</f>
        <v>#NAME?</v>
      </c>
      <c r="AM152" s="2" t="e">
        <f ca="1">_xll.BDH($C$128,"GEO_GROW_NET_SALES","FQ4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152" s="2" t="e">
        <f ca="1">_xll.BDH($C$128,"GEO_GROW_EBITDA","FQ4 2018","FQ4 2018","Currency=INR","Period=FQ","BEST_FPERIOD_OVERRIDE=FQ","FILING_STATUS=OR","EQY_CONSOLIDATED=Y","FA_ADJUSTED=GAAP","Sort=A","Dates=H","DateFormat=P","Fill=—","Direction=H","UseDPDF=Y")</f>
        <v>#NAME?</v>
      </c>
      <c r="AO152" s="2" t="e">
        <f ca="1">_xll.BDH($C$128,"GEO_GROW_OPER_INC","FQ4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152" s="2" t="e">
        <f ca="1">_xll.BDH($C$128,"NET_INCOME_TO_COMMON_5_YR_GROWTH","FQ4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152" s="2" t="e">
        <f ca="1">_xll.BDH($C$128,"5Y_GEO_GROWTH_DILUTED_EPS","FQ4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152" s="2" t="e">
        <f ca="1">_xll.BDH($C$128,"GEO_GROW_DVD_PER_SH","FQ4 2018","FQ4 2018","Currency=INR","Period=FQ","BEST_FPERIOD_OVERRIDE=FQ","FILING_STATUS=OR","EQY_CONSOLIDATED=Y","Sort=A","Dates=H","DateFormat=P","Fill=—","Direction=H","UseDPDF=Y")</f>
        <v>#NAME?</v>
      </c>
      <c r="AS152" s="2" t="e">
        <f ca="1">_xll.BDH($C$128,"ACCOUNTS_RECEIVABLE_5_YR_GROWTH","FQ4 2018","FQ4 2018","Currency=INR","Period=FQ","BEST_FPERIOD_OVERRIDE=FQ","FILING_STATUS=OR","EQY_CONSOLIDATED=Y","Sort=A","Dates=H","DateFormat=P","Fill=—","Direction=H","UseDPDF=Y")</f>
        <v>#NAME?</v>
      </c>
      <c r="AT152" s="2" t="e">
        <f ca="1">_xll.BDH($C$128,"INVENTORY_5_YEAR_GROWTH","FQ4 2018","FQ4 2018","Currency=INR","Period=FQ","BEST_FPERIOD_OVERRIDE=FQ","FILING_STATUS=OR","EQY_CONSOLIDATED=Y","Sort=A","Dates=H","DateFormat=P","Fill=—","Direction=H","UseDPDF=Y")</f>
        <v>#NAME?</v>
      </c>
      <c r="AU152" s="2" t="e">
        <f ca="1">_xll.BDH($C$128,"NET_FIXED_ASSETS_5_YEAR_GROWTH","FQ4 2018","FQ4 2018","Currency=INR","Period=FQ","BEST_FPERIOD_OVERRIDE=FQ","FILING_STATUS=OR","EQY_CONSOLIDATED=Y","Sort=A","Dates=H","DateFormat=P","Fill=—","Direction=H","UseDPDF=Y")</f>
        <v>#NAME?</v>
      </c>
      <c r="AV152" s="2" t="e">
        <f ca="1">_xll.BDH($C$128,"GEO_GROW_TOT_ASSET","FQ4 2018","FQ4 2018","Currency=INR","Period=FQ","BEST_FPERIOD_OVERRIDE=FQ","FILING_STATUS=OR","EQY_CONSOLIDATED=Y","Sort=A","Dates=H","DateFormat=P","Fill=—","Direction=H","UseDPDF=Y")</f>
        <v>#NAME?</v>
      </c>
      <c r="AW152" s="2" t="e">
        <f ca="1">_xll.BDH($C$128,"MODIFIED_WORKING_CPTL_5YR_GRWTH","FQ4 2018","FQ4 2018","Currency=INR","Period=FQ","BEST_FPERIOD_OVERRIDE=FQ","FILING_STATUS=OR","EQY_CONSOLIDATED=Y","Sort=A","Dates=H","DateFormat=P","Fill=—","Direction=H","UseDPDF=Y")</f>
        <v>#NAME?</v>
      </c>
      <c r="AX152" s="2" t="e">
        <f ca="1">_xll.BDH($C$128,"WORKING_CAPITAL_5_YEAR_GROWTH","FQ4 2018","FQ4 2018","Currency=INR","Period=FQ","BEST_FPERIOD_OVERRIDE=FQ","FILING_STATUS=OR","EQY_CONSOLIDATED=Y","Sort=A","Dates=H","DateFormat=P","Fill=—","Direction=H","UseDPDF=Y")</f>
        <v>#NAME?</v>
      </c>
      <c r="AY152" s="2" t="e">
        <f ca="1">_xll.BDH($C$128,"ACCOUNTS_PAYABLE_5_YEAR_GROWTH","FQ4 2018","FQ4 2018","Currency=INR","Period=FQ","BEST_FPERIOD_OVERRIDE=FQ","FILING_STATUS=OR","EQY_CONSOLIDATED=Y","Sort=A","Dates=H","DateFormat=P","Fill=—","Direction=H","UseDPDF=Y")</f>
        <v>#NAME?</v>
      </c>
      <c r="AZ152" s="2" t="e">
        <f ca="1">_xll.BDH($C$128,"SHORT_TERM_DEBT_5_YEAR_GROWTH","FQ4 2018","FQ4 2018","Currency=INR","Period=FQ","BEST_FPERIOD_OVERRIDE=FQ","FILING_STATUS=OR","EQY_CONSOLIDATED=Y","Sort=A","Dates=H","DateFormat=P","Fill=—","Direction=H","UseDPDF=Y")</f>
        <v>#NAME?</v>
      </c>
      <c r="BA152" s="2" t="e">
        <f ca="1">_xll.BDH($C$128,"TOTAL_DEBT_5_YEAR_GROWTH","FQ4 2018","FQ4 2018","Currency=INR","Period=FQ","BEST_FPERIOD_OVERRIDE=FQ","FILING_STATUS=OR","EQY_CONSOLIDATED=Y","Sort=A","Dates=H","DateFormat=P","Fill=—","Direction=H","UseDPDF=Y")</f>
        <v>#NAME?</v>
      </c>
      <c r="BB152" s="2" t="e">
        <f ca="1">_xll.BDH($C$128,"GEO_GROW_TOT_SHRHLDR_EQY","FQ4 2018","FQ4 2018","Currency=INR","Period=FQ","BEST_FPERIOD_OVERRIDE=FQ","FILING_STATUS=OR","EQY_CONSOLIDATED=Y","Sort=A","Dates=H","DateFormat=P","Fill=—","Direction=H","UseDPDF=Y")</f>
        <v>#NAME?</v>
      </c>
      <c r="BC152" s="2" t="e">
        <f ca="1">_xll.BDH($C$128,"TOTAL_CAPITAL_5_YEAR_GROWTH","FQ4 2018","FQ4 2018","Currency=INR","Period=FQ","BEST_FPERIOD_OVERRIDE=FQ","FILING_STATUS=OR","EQY_CONSOLIDATED=Y","Sort=A","Dates=H","DateFormat=P","Fill=—","Direction=H","UseDPDF=Y")</f>
        <v>#NAME?</v>
      </c>
      <c r="BD152" s="2" t="e">
        <f ca="1">_xll.BDH($C$128,"GEO_GROW_BOOK_VAL","FQ4 2018","FQ4 2018","Currency=INR","Period=FQ","BEST_FPERIOD_OVERRIDE=FQ","FILING_STATUS=OR","EQY_CONSOLIDATED=Y","Sort=A","Dates=H","DateFormat=P","Fill=—","Direction=H","UseDPDF=Y")</f>
        <v>#NAME?</v>
      </c>
      <c r="BE152" s="2" t="e">
        <f ca="1">_xll.BDH($C$128,"GEO_GROW_CASH_OPER_ACT","FQ4 2018","FQ4 2018","Currency=INR","Period=FQ","BEST_FPERIOD_OVERRIDE=FQ","FILING_STATUS=OR","EQY_CONSOLIDATED=Y","Sort=A","Dates=H","DateFormat=P","Fill=—","Direction=H","UseDPDF=Y")</f>
        <v>#NAME?</v>
      </c>
      <c r="BF152" s="2" t="e">
        <f ca="1">_xll.BDH($C$128,"REVENUE_SEQUENTIAL_GROWTH","FQ4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152" s="2" t="e">
        <f ca="1">_xll.BDH($C$128,"EBITDA_SEQUENTIAL_GROWTH","FQ4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152" s="2" t="e">
        <f ca="1">_xll.BDH($C$128,"OPERATING_INCOME_SEQ_GROWTH","FQ4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152" s="2" t="e">
        <f ca="1">_xll.BDH($C$128,"NET_INCOME_TO_COMMON_SEQ_GROWTH","FQ4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152" s="2" t="e">
        <f ca="1">_xll.BDH($C$128,"EPS_DILUTED_SEQUENTIAL_GROWTH","FQ4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152" s="2" t="e">
        <f ca="1">_xll.BDH($C$128,"DPS_SEQUENTIAL_GROWTH","FQ4 2018","FQ4 2018","Currency=INR","Period=FQ","BEST_FPERIOD_OVERRIDE=FQ","FILING_STATUS=OR","EQY_CONSOLIDATED=Y","Sort=A","Dates=H","DateFormat=P","Fill=—","Direction=H","UseDPDF=Y")</f>
        <v>#NAME?</v>
      </c>
      <c r="BL152" s="2" t="e">
        <f ca="1">_xll.BDH($C$128,"ACCOUNTS_RECEIVABLE_SEQ_GROWTH","FQ4 2018","FQ4 2018","Currency=INR","Period=FQ","BEST_FPERIOD_OVERRIDE=FQ","FILING_STATUS=OR","EQY_CONSOLIDATED=Y","Sort=A","Dates=H","DateFormat=P","Fill=—","Direction=H","UseDPDF=Y")</f>
        <v>#NAME?</v>
      </c>
      <c r="BM152" s="2" t="e">
        <f ca="1">_xll.BDH($C$128,"INVENTORY_SEQUENTIAL_GROWTH","FQ4 2018","FQ4 2018","Currency=INR","Period=FQ","BEST_FPERIOD_OVERRIDE=FQ","FILING_STATUS=OR","EQY_CONSOLIDATED=Y","Sort=A","Dates=H","DateFormat=P","Fill=—","Direction=H","UseDPDF=Y")</f>
        <v>#NAME?</v>
      </c>
      <c r="BN152" s="2" t="e">
        <f ca="1">_xll.BDH($C$128,"FIXED_ASSETS_SEQUENTIAL_GROWTH","FQ4 2018","FQ4 2018","Currency=INR","Period=FQ","BEST_FPERIOD_OVERRIDE=FQ","FILING_STATUS=OR","EQY_CONSOLIDATED=Y","Sort=A","Dates=H","DateFormat=P","Fill=—","Direction=H","UseDPDF=Y")</f>
        <v>#NAME?</v>
      </c>
      <c r="BO152" s="2" t="e">
        <f ca="1">_xll.BDH($C$128,"TOTAL_ASSETS_SEQUENTIAL_GROWTH","FQ4 2018","FQ4 2018","Currency=INR","Period=FQ","BEST_FPERIOD_OVERRIDE=FQ","FILING_STATUS=OR","EQY_CONSOLIDATED=Y","Sort=A","Dates=H","DateFormat=P","Fill=—","Direction=H","UseDPDF=Y")</f>
        <v>#NAME?</v>
      </c>
      <c r="BP152" s="2" t="e">
        <f ca="1">_xll.BDH($C$128,"MODIFIED_WORKING_CPTL_SEQ_GRWTH","FQ4 2018","FQ4 2018","Currency=INR","Period=FQ","BEST_FPERIOD_OVERRIDE=FQ","FILING_STATUS=OR","EQY_CONSOLIDATED=Y","Sort=A","Dates=H","DateFormat=P","Fill=—","Direction=H","UseDPDF=Y")</f>
        <v>#NAME?</v>
      </c>
      <c r="BQ152" s="2" t="e">
        <f ca="1">_xll.BDH($C$128,"WORKING_CAPITAL_SEQ_GROWTH","FQ4 2018","FQ4 2018","Currency=INR","Period=FQ","BEST_FPERIOD_OVERRIDE=FQ","FILING_STATUS=OR","EQY_CONSOLIDATED=Y","Sort=A","Dates=H","DateFormat=P","Fill=—","Direction=H","UseDPDF=Y")</f>
        <v>#NAME?</v>
      </c>
      <c r="BR152" s="2" t="e">
        <f ca="1">_xll.BDH($C$128,"ACCOUNTS_PAYABLE_SEQ_GROWTH","FQ4 2018","FQ4 2018","Currency=INR","Period=FQ","BEST_FPERIOD_OVERRIDE=FQ","FILING_STATUS=OR","EQY_CONSOLIDATED=Y","Sort=A","Dates=H","DateFormat=P","Fill=—","Direction=H","UseDPDF=Y")</f>
        <v>#NAME?</v>
      </c>
      <c r="BS152" s="2" t="e">
        <f ca="1">_xll.BDH($C$128,"ST_DEBT_SEQUENTIAL_GROWTH","FQ4 2018","FQ4 2018","Currency=INR","Period=FQ","BEST_FPERIOD_OVERRIDE=FQ","FILING_STATUS=OR","EQY_CONSOLIDATED=Y","Sort=A","Dates=H","DateFormat=P","Fill=—","Direction=H","UseDPDF=Y")</f>
        <v>#NAME?</v>
      </c>
      <c r="BT152" s="2" t="e">
        <f ca="1">_xll.BDH($C$128,"TOTAL_DEBT_SEQUENTIAL_GROWTH","FQ4 2018","FQ4 2018","Currency=INR","Period=FQ","BEST_FPERIOD_OVERRIDE=FQ","FILING_STATUS=OR","EQY_CONSOLIDATED=Y","Sort=A","Dates=H","DateFormat=P","Fill=—","Direction=H","UseDPDF=Y")</f>
        <v>#NAME?</v>
      </c>
      <c r="BU152" s="2" t="e">
        <f ca="1">_xll.BDH($C$128,"TOTAL_EQUITY_SEQUENTIAL_GROWTH","FQ4 2018","FQ4 2018","Currency=INR","Period=FQ","BEST_FPERIOD_OVERRIDE=FQ","FILING_STATUS=OR","EQY_CONSOLIDATED=Y","Sort=A","Dates=H","DateFormat=P","Fill=—","Direction=H","UseDPDF=Y")</f>
        <v>#NAME?</v>
      </c>
      <c r="BV152" s="2" t="e">
        <f ca="1">_xll.BDH($C$128,"TOTAL_CAPITAL_SEQUENTIAL_GROWTH","FQ4 2018","FQ4 2018","Currency=INR","Period=FQ","BEST_FPERIOD_OVERRIDE=FQ","FILING_STATUS=OR","EQY_CONSOLIDATED=Y","Sort=A","Dates=H","DateFormat=P","Fill=—","Direction=H","UseDPDF=Y")</f>
        <v>#NAME?</v>
      </c>
      <c r="BW152" s="2" t="e">
        <f ca="1">_xll.BDH($C$128,"BPS_SEQUENTIAL_GROWTH","FQ4 2018","FQ4 2018","Currency=INR","Period=FQ","BEST_FPERIOD_OVERRIDE=FQ","FILING_STATUS=OR","EQY_CONSOLIDATED=Y","Sort=A","Dates=H","DateFormat=P","Fill=—","Direction=H","UseDPDF=Y")</f>
        <v>#NAME?</v>
      </c>
      <c r="BX152" s="2" t="e">
        <f ca="1">_xll.BDH($C$128,"CFO_SEQUENTIAL_GROWTH","FQ4 2018","FQ4 2018","Currency=INR","Period=FQ","BEST_FPERIOD_OVERRIDE=FQ","FILING_STATUS=OR","EQY_CONSOLIDATED=Y","Sort=A","Dates=H","DateFormat=P","Fill=—","Direction=H","UseDPDF=Y")</f>
        <v>#NAME?</v>
      </c>
      <c r="BY152" s="3" t="e">
        <f ca="1">_xll.BDH($C$128,"SHORT_AND_LONG_TERM_DEBT","FQ4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152" s="3" t="e">
        <f ca="1">_xll.BDH($C$128,"BS_ST_BORROW","FQ4 2018","FQ4 2018","Currency=INR","Period=FQ","BEST_FPERIOD_OVERRIDE=FQ","FILING_STATUS=OR","EQY_CONSOLIDATED=Y","SCALING_FORMAT=MLN","Sort=A","Dates=H","DateFormat=P","Fill=—","Direction=H","UseDPDF=Y")</f>
        <v>#NAME?</v>
      </c>
      <c r="CA152" s="3" t="e">
        <f ca="1">_xll.BDH($C$128,"BS_LT_BORROW","FQ4 2018","FQ4 2018","Currency=INR","Period=FQ","BEST_FPERIOD_OVERRIDE=FQ","FILING_STATUS=OR","EQY_CONSOLIDATED=Y","SCALING_FORMAT=MLN","Sort=A","Dates=H","DateFormat=P","Fill=—","Direction=H","UseDPDF=Y")</f>
        <v>#NAME?</v>
      </c>
      <c r="CB152" s="2" t="e">
        <f ca="1">_xll.BDH($C$128,"TOT_DEBT_TO_EBITDA","FQ4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152" s="2" t="e">
        <f ca="1">_xll.BDH($C$128,"NET_DEBT_TO_EBITDA","FQ4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152" s="2" t="e">
        <f ca="1">_xll.BDH($C$128,"TOTAL_DEBT_TO_EBIT","FQ4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152" s="2" t="e">
        <f ca="1">_xll.BDH($C$128,"NET_DEBT_TO_EBIT","FQ4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152" s="2" t="e">
        <f ca="1">_xll.BDH($C$128,"EBITDA_TO_INTEREST_EXPN","FQ4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152" s="2" t="e">
        <f ca="1">_xll.BDH($C$128,"COM_EQY_TO_TOT_ASSET","FQ4 2018","FQ4 2018","Currency=INR","Period=FQ","BEST_FPERIOD_OVERRIDE=FQ","FILING_STATUS=OR","EQY_CONSOLIDATED=Y","Sort=A","Dates=H","DateFormat=P","Fill=—","Direction=H","UseDPDF=Y")</f>
        <v>#NAME?</v>
      </c>
      <c r="CH152" s="2" t="e">
        <f ca="1">_xll.BDH($C$128,"LT_DEBT_TO_TOT_EQY","FQ4 2018","FQ4 2018","Currency=INR","Period=FQ","BEST_FPERIOD_OVERRIDE=FQ","FILING_STATUS=OR","EQY_CONSOLIDATED=Y","Sort=A","Dates=H","DateFormat=P","Fill=—","Direction=H","UseDPDF=Y")</f>
        <v>#NAME?</v>
      </c>
      <c r="CI152" s="2" t="e">
        <f ca="1">_xll.BDH($C$128,"LT_DEBT_TO_TOT_CAP","FQ4 2018","FQ4 2018","Currency=INR","Period=FQ","BEST_FPERIOD_OVERRIDE=FQ","FILING_STATUS=OR","EQY_CONSOLIDATED=Y","Sort=A","Dates=H","DateFormat=P","Fill=—","Direction=H","UseDPDF=Y")</f>
        <v>#NAME?</v>
      </c>
      <c r="CJ152" s="2" t="e">
        <f ca="1">_xll.BDH($C$128,"LT_DEBT_TO_TOT_ASSET","FQ4 2018","FQ4 2018","Currency=INR","Period=FQ","BEST_FPERIOD_OVERRIDE=FQ","FILING_STATUS=OR","EQY_CONSOLIDATED=Y","Sort=A","Dates=H","DateFormat=P","Fill=—","Direction=H","UseDPDF=Y")</f>
        <v>#NAME?</v>
      </c>
      <c r="CK152" s="2" t="e">
        <f ca="1">_xll.BDH($C$128,"TOT_DEBT_TO_TOT_EQY","FQ4 2018","FQ4 2018","Currency=INR","Period=FQ","BEST_FPERIOD_OVERRIDE=FQ","FILING_STATUS=OR","EQY_CONSOLIDATED=Y","Sort=A","Dates=H","DateFormat=P","Fill=—","Direction=H","UseDPDF=Y")</f>
        <v>#NAME?</v>
      </c>
      <c r="CL152" s="2" t="e">
        <f ca="1">_xll.BDH($C$128,"TOT_DEBT_TO_TOT_CAP","FQ4 2018","FQ4 2018","Currency=INR","Period=FQ","BEST_FPERIOD_OVERRIDE=FQ","FILING_STATUS=OR","EQY_CONSOLIDATED=Y","Sort=A","Dates=H","DateFormat=P","Fill=—","Direction=H","UseDPDF=Y")</f>
        <v>#NAME?</v>
      </c>
      <c r="CM152" s="2" t="e">
        <f ca="1">_xll.BDH($C$128,"TOT_DEBT_TO_TOT_ASSET","FQ4 2018","FQ4 2018","Currency=INR","Period=FQ","BEST_FPERIOD_OVERRIDE=FQ","FILING_STATUS=OR","EQY_CONSOLIDATED=Y","Sort=A","Dates=H","DateFormat=P","Fill=—","Direction=H","UseDPDF=Y")</f>
        <v>#NAME?</v>
      </c>
      <c r="CN152" s="2" t="e">
        <f ca="1">_xll.BDH($C$128,"NET_DEBT_TO_SHRHLDR_EQTY","FQ4 2018","FQ4 2018","Currency=INR","Period=FQ","BEST_FPERIOD_OVERRIDE=FQ","FILING_STATUS=OR","EQY_CONSOLIDATED=Y","Sort=A","Dates=H","DateFormat=P","Fill=—","Direction=H","UseDPDF=Y")</f>
        <v>#NAME?</v>
      </c>
      <c r="CO152" s="2" t="e">
        <f ca="1">_xll.BDH($C$128,"NET_DEBT_%_CAPITAL","FQ4 2018","FQ4 2018","Currency=INR","Period=FQ","BEST_FPERIOD_OVERRIDE=FQ","FILING_STATUS=OR","EQY_CONSOLIDATED=Y","Sort=A","Dates=H","DateFormat=P","Fill=—","Direction=H","UseDPDF=Y")</f>
        <v>#NAME?</v>
      </c>
      <c r="CP152" s="3" t="e">
        <f ca="1">_xll.BDH($C$128,"EBITDA","FQ4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152" s="3" t="e">
        <f ca="1">_xll.BDH($C$128,"EBITDA_AFTER_CAPEX","FQ4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152" s="3" t="e">
        <f ca="1">_xll.BDH($C$128,"IS_OPER_INC","FQ4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152" s="2" t="e">
        <f ca="1">_xll.BDH($C$128,"CASH_RATIO","FQ4 2018","FQ4 2018","Currency=INR","Period=FQ","BEST_FPERIOD_OVERRIDE=FQ","FILING_STATUS=OR","EQY_CONSOLIDATED=Y","Sort=A","Dates=H","DateFormat=P","Fill=—","Direction=H","UseDPDF=Y")</f>
        <v>#NAME?</v>
      </c>
      <c r="CT152" s="2" t="e">
        <f ca="1">_xll.BDH($C$128,"CUR_RATIO","FQ4 2018","FQ4 2018","Currency=INR","Period=FQ","BEST_FPERIOD_OVERRIDE=FQ","FILING_STATUS=OR","EQY_CONSOLIDATED=Y","Sort=A","Dates=H","DateFormat=P","Fill=—","Direction=H","UseDPDF=Y")</f>
        <v>#NAME?</v>
      </c>
      <c r="CU152" s="2" t="e">
        <f ca="1">_xll.BDH($C$128,"QUICK_RATIO","FQ4 2018","FQ4 2018","Currency=INR","Period=FQ","BEST_FPERIOD_OVERRIDE=FQ","FILING_STATUS=OR","EQY_CONSOLIDATED=Y","Sort=A","Dates=H","DateFormat=P","Fill=—","Direction=H","UseDPDF=Y")</f>
        <v>#NAME?</v>
      </c>
      <c r="CV152" s="2" t="e">
        <f ca="1">_xll.BDH($C$128,"ALTMAN_Z_SCORE","FQ4 2018","FQ4 2018","Currency=INR","Period=FQ","BEST_FPERIOD_OVERRIDE=FQ","FILING_STATUS=OR","EQY_CONSOLIDATED=Y","Sort=A","Dates=H","DateFormat=P","Fill=—","Direction=H","UseDPDF=Y")</f>
        <v>#NAME?</v>
      </c>
      <c r="CW152" s="4" t="e">
        <f ca="1">_xll.BDH($C$128,"ACCT_RCV_TURN","FQ4 2018","FQ4 2018","Currency=INR","Period=FQ","BEST_FPERIOD_OVERRIDE=FQ","FILING_STATUS=OR","EQY_CONSOLIDATED=Y","FA_ADJUSTED=GAAP","Sort=A","Dates=H","DateFormat=P","Fill=—","Direction=H","UseDPDF=Y")</f>
        <v>#NAME?</v>
      </c>
      <c r="CX152" s="2" t="e">
        <f ca="1">_xll.BDH($C$128,"ACCT_RCV_DAYS","FQ4 2018","FQ4 2018","Currency=INR","Period=FQ","BEST_FPERIOD_OVERRIDE=FQ","FILING_STATUS=OR","EQY_CONSOLIDATED=Y","FA_ADJUSTED=GAAP","Sort=A","Dates=H","DateFormat=P","Fill=—","Direction=H","UseDPDF=Y")</f>
        <v>#NAME?</v>
      </c>
      <c r="CY152" s="4" t="e">
        <f ca="1">_xll.BDH($C$128,"INVENT_TURN","FQ4 2018","FQ4 2018","Currency=INR","Period=FQ","BEST_FPERIOD_OVERRIDE=FQ","FILING_STATUS=OR","EQY_CONSOLIDATED=Y","FA_ADJUSTED=GAAP","Sort=A","Dates=H","DateFormat=P","Fill=—","Direction=H","UseDPDF=Y")</f>
        <v>#NAME?</v>
      </c>
      <c r="CZ152" s="2" t="e">
        <f ca="1">_xll.BDH($C$128,"INVENT_DAYS","FQ4 2018","FQ4 2018","Currency=INR","Period=FQ","BEST_FPERIOD_OVERRIDE=FQ","FILING_STATUS=OR","EQY_CONSOLIDATED=Y","FA_ADJUSTED=GAAP","Sort=A","Dates=H","DateFormat=P","Fill=—","Direction=H","UseDPDF=Y")</f>
        <v>#NAME?</v>
      </c>
      <c r="DA152" s="4" t="e">
        <f ca="1">_xll.BDH($C$128,"ACCOUNTS_PAYABLE_TURNOVER","FQ4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152" s="2" t="e">
        <f ca="1">_xll.BDH($C$128,"ACCOUNTS_PAYABLE_TURNOVER_DAYS","FQ4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152" s="4" t="e">
        <f ca="1">_xll.BDH($C$128,"CASH_CONVERSION_CYCLE","FQ4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152" s="4" t="e">
        <f ca="1">_xll.BDH($C$128,"INV_TO_CASH_DAYS","FQ4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152" s="5" t="e">
        <f ca="1">_xll.BDH($C$128,"BS_INVENTORIES","FQ4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152" s="3" t="e">
        <f ca="1">_xll.BDH($C$128,"INVTRY_RAW_MATERIALS","FQ4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152" s="3" t="e">
        <f ca="1">_xll.BDH($C$128,"INVTRY_IN_PROGRESS","FQ4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152" s="3" t="e">
        <f ca="1">_xll.BDH($C$128,"INVTRY_FINISHED_GOODS","FQ4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152" s="3" t="e">
        <f ca="1">_xll.BDH($C$128,"BS_OTHER_INV","FQ4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153" spans="1:113" x14ac:dyDescent="0.3">
      <c r="A153" s="6">
        <v>7</v>
      </c>
      <c r="B153" s="6" t="s">
        <v>96</v>
      </c>
      <c r="C153" s="6" t="s">
        <v>97</v>
      </c>
      <c r="D153" s="6" t="s">
        <v>76</v>
      </c>
      <c r="E153" t="s">
        <v>77</v>
      </c>
      <c r="F153" t="e">
        <f ca="1">_xll.BDH($C$153,"RETURN_COM_EQY","FY 2014","FY 2014","Currency=INR","Period=FY","BEST_FPERIOD_OVERRIDE=FY","FILING_STATUS=OR","EQY_CONSOLIDATED=Y","FA_ADJUSTED=GAAP","Sort=A","Dates=H","DateFormat=P","Fill=—","Direction=H","UseDPDF=Y")</f>
        <v>#NAME?</v>
      </c>
      <c r="G153" t="e">
        <f ca="1">_xll.BDH($C$153,"RETURN_ON_ASSET","FY 2014","FY 2014","Currency=INR","Period=FY","BEST_FPERIOD_OVERRIDE=FY","FILING_STATUS=OR","EQY_CONSOLIDATED=Y","FA_ADJUSTED=GAAP","Sort=A","Dates=H","DateFormat=P","Fill=—","Direction=H","UseDPDF=Y")</f>
        <v>#NAME?</v>
      </c>
      <c r="H153" t="e">
        <f ca="1">_xll.BDH($C$153,"RETURN_ON_CAP","FY 2014","FY 2014","Currency=INR","Period=FY","BEST_FPERIOD_OVERRIDE=FY","FILING_STATUS=OR","EQY_CONSOLIDATED=Y","FA_ADJUSTED=GAAP","Sort=A","Dates=H","DateFormat=P","Fill=—","Direction=H","UseDPDF=Y")</f>
        <v>#NAME?</v>
      </c>
      <c r="I153" t="e">
        <f ca="1">_xll.BDH($C$153,"RETURN_ON_INV_CAPITAL","FY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153" t="e">
        <f ca="1">_xll.BDH($C$153,"EBITDA_TO_REVENUE","FY 2014","FY 2014","Currency=INR","Period=FY","BEST_FPERIOD_OVERRIDE=FY","FILING_STATUS=OR","EQY_CONSOLIDATED=Y","FA_ADJUSTED=GAAP","Sort=A","Dates=H","DateFormat=P","Fill=—","Direction=H","UseDPDF=Y")</f>
        <v>#NAME?</v>
      </c>
      <c r="K153" t="e">
        <f ca="1">_xll.BDH($C$153,"OPER_MARGIN","FY 2014","FY 2014","Currency=INR","Period=FY","BEST_FPERIOD_OVERRIDE=FY","FILING_STATUS=OR","EQY_CONSOLIDATED=Y","FA_ADJUSTED=GAAP","Sort=A","Dates=H","DateFormat=P","Fill=—","Direction=H","UseDPDF=Y")</f>
        <v>#NAME?</v>
      </c>
      <c r="L153" t="e">
        <f ca="1">_xll.BDH($C$153,"INCREMENTAL_OPERATING_MARGIN","FY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153" t="e">
        <f ca="1">_xll.BDH($C$153,"PRETAX_INC_TO_NET_SALES","FY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153" t="e">
        <f ca="1">_xll.BDH($C$153,"INC_BEF_XO_ITEMS_TO_NET_SALES","FY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153" t="e">
        <f ca="1">_xll.BDH($C$153,"PROF_MARGIN","FY 2014","FY 2014","Currency=INR","Period=FY","BEST_FPERIOD_OVERRIDE=FY","FILING_STATUS=OR","EQY_CONSOLIDATED=Y","FA_ADJUSTED=GAAP","Sort=A","Dates=H","DateFormat=P","Fill=—","Direction=H","UseDPDF=Y")</f>
        <v>#NAME?</v>
      </c>
      <c r="P153" t="e">
        <f ca="1">_xll.BDH($C$153,"NET_INCOME_TO_COMMON_MARGIN","FY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153" t="e">
        <f ca="1">_xll.BDH($C$153,"EFF_TAX_RATE","FY 2014","FY 2014","Currency=INR","Period=FY","BEST_FPERIOD_OVERRIDE=FY","FILING_STATUS=OR","EQY_CONSOLIDATED=Y","FA_ADJUSTED=GAAP","Sort=A","Dates=H","DateFormat=P","Fill=—","Direction=H","UseDPDF=Y")</f>
        <v>#NAME?</v>
      </c>
      <c r="R153" t="e">
        <f ca="1">_xll.BDH($C$153,"DVD_PAYOUT_RATIO","FY 2014","FY 2014","Currency=INR","Period=FY","BEST_FPERIOD_OVERRIDE=FY","FILING_STATUS=OR","EQY_CONSOLIDATED=Y","FA_ADJUSTED=GAAP","Sort=A","Dates=H","DateFormat=P","Fill=—","Direction=H","UseDPDF=Y")</f>
        <v>#NAME?</v>
      </c>
      <c r="S153" t="e">
        <f ca="1">_xll.BDH($C$153,"SUSTAIN_GROWTH_RT","FY 2014","FY 2014","Currency=INR","Period=FY","BEST_FPERIOD_OVERRIDE=FY","FILING_STATUS=OR","EQY_CONSOLIDATED=Y","FA_ADJUSTED=GAAP","Sort=A","Dates=H","DateFormat=P","Fill=—","Direction=H","UseDPDF=Y")</f>
        <v>#NAME?</v>
      </c>
      <c r="T153" s="2" t="e">
        <f ca="1">_xll.BDH($C$153,"SALES_GROWTH","FY 2014","FY 2014","Currency=INR","Period=FY","BEST_FPERIOD_OVERRIDE=FY","FILING_STATUS=OR","EQY_CONSOLIDATED=Y","FA_ADJUSTED=GAAP","Sort=A","Dates=H","DateFormat=P","Fill=—","Direction=H","UseDPDF=Y")</f>
        <v>#NAME?</v>
      </c>
      <c r="U153" s="2" t="e">
        <f ca="1">_xll.BDH($C$153,"EBITDA_GROWTH","FY 2014","FY 2014","Currency=INR","Period=FY","BEST_FPERIOD_OVERRIDE=FY","FILING_STATUS=OR","EQY_CONSOLIDATED=Y","FA_ADJUSTED=GAAP","Sort=A","Dates=H","DateFormat=P","Fill=—","Direction=H","UseDPDF=Y")</f>
        <v>#NAME?</v>
      </c>
      <c r="V153" s="2" t="e">
        <f ca="1">_xll.BDH($C$153,"OPER_INC_GROWTH","FY 2014","FY 2014","Currency=INR","Period=FY","BEST_FPERIOD_OVERRIDE=FY","FILING_STATUS=OR","EQY_CONSOLIDATED=Y","FA_ADJUSTED=GAAP","Sort=A","Dates=H","DateFormat=P","Fill=—","Direction=H","UseDPDF=Y")</f>
        <v>#NAME?</v>
      </c>
      <c r="W153" s="2" t="e">
        <f ca="1">_xll.BDH($C$153,"EARN_FOR_COM_GROWTH","FY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153" s="2" t="e">
        <f ca="1">_xll.BDH($C$153,"DILUTED_EPS_AFT_XO_ITEMS_GROWTH","FY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153" s="2" t="e">
        <f ca="1">_xll.BDH($C$153,"DIVIDEND_PER_SHARE_1_YEAR_GROWTH","FY 2014","FY 2014","Currency=INR","Period=FY","BEST_FPERIOD_OVERRIDE=FY","FILING_STATUS=OR","EQY_CONSOLIDATED=Y","Sort=A","Dates=H","DateFormat=P","Fill=—","Direction=H","UseDPDF=Y")</f>
        <v>#NAME?</v>
      </c>
      <c r="Z153" s="2" t="e">
        <f ca="1">_xll.BDH($C$153,"ACCOUNTS_RECEIVABLE_GROWTH","FY 2014","FY 2014","Currency=INR","Period=FY","BEST_FPERIOD_OVERRIDE=FY","FILING_STATUS=OR","EQY_CONSOLIDATED=Y","Sort=A","Dates=H","DateFormat=P","Fill=—","Direction=H","UseDPDF=Y")</f>
        <v>#NAME?</v>
      </c>
      <c r="AA153" s="2" t="e">
        <f ca="1">_xll.BDH($C$153,"INVENTORY_GROWTH","FY 2014","FY 2014","Currency=INR","Period=FY","BEST_FPERIOD_OVERRIDE=FY","FILING_STATUS=OR","EQY_CONSOLIDATED=Y","Sort=A","Dates=H","DateFormat=P","Fill=—","Direction=H","UseDPDF=Y")</f>
        <v>#NAME?</v>
      </c>
      <c r="AB153" s="2" t="e">
        <f ca="1">_xll.BDH($C$153,"NET_FIXED_ASSETS_1_YEAR_GROWTH","FY 2014","FY 2014","Currency=INR","Period=FY","BEST_FPERIOD_OVERRIDE=FY","FILING_STATUS=OR","EQY_CONSOLIDATED=Y","Sort=A","Dates=H","DateFormat=P","Fill=—","Direction=H","UseDPDF=Y")</f>
        <v>#NAME?</v>
      </c>
      <c r="AC153" s="2" t="e">
        <f ca="1">_xll.BDH($C$153,"ASSET_GROWTH","FY 2014","FY 2014","Currency=INR","Period=FY","BEST_FPERIOD_OVERRIDE=FY","FILING_STATUS=OR","EQY_CONSOLIDATED=Y","Sort=A","Dates=H","DateFormat=P","Fill=—","Direction=H","UseDPDF=Y")</f>
        <v>#NAME?</v>
      </c>
      <c r="AD153" s="2" t="e">
        <f ca="1">_xll.BDH($C$153,"MODIFIED_WORK_CAP_GROWTH","FY 2014","FY 2014","Currency=INR","Period=FY","BEST_FPERIOD_OVERRIDE=FY","FILING_STATUS=OR","EQY_CONSOLIDATED=Y","Sort=A","Dates=H","DateFormat=P","Fill=—","Direction=H","UseDPDF=Y")</f>
        <v>#NAME?</v>
      </c>
      <c r="AE153" s="2" t="e">
        <f ca="1">_xll.BDH($C$153,"WORK_CAP_GROWTH","FY 2014","FY 2014","Currency=INR","Period=FY","BEST_FPERIOD_OVERRIDE=FY","FILING_STATUS=OR","EQY_CONSOLIDATED=Y","Sort=A","Dates=H","DateFormat=P","Fill=—","Direction=H","UseDPDF=Y")</f>
        <v>#NAME?</v>
      </c>
      <c r="AF153" s="2" t="e">
        <f ca="1">_xll.BDH($C$153,"ACCOUNTS_PAYABLE_GROWTH_1YR","FY 2014","FY 2014","Currency=INR","Period=FY","BEST_FPERIOD_OVERRIDE=FY","FILING_STATUS=OR","EQY_CONSOLIDATED=Y","Sort=A","Dates=H","DateFormat=P","Fill=—","Direction=H","UseDPDF=Y")</f>
        <v>#NAME?</v>
      </c>
      <c r="AG153" s="2" t="e">
        <f ca="1">_xll.BDH($C$153,"SHORT_TERM_DEBT_1_YEAR_GROWTH","FY 2014","FY 2014","Currency=INR","Period=FY","BEST_FPERIOD_OVERRIDE=FY","FILING_STATUS=OR","EQY_CONSOLIDATED=Y","Sort=A","Dates=H","DateFormat=P","Fill=—","Direction=H","UseDPDF=Y")</f>
        <v>#NAME?</v>
      </c>
      <c r="AH153" s="2" t="e">
        <f ca="1">_xll.BDH($C$153,"TOTAL_DEBT_1_YEAR_GROWTH","FY 2014","FY 2014","Currency=INR","Period=FY","BEST_FPERIOD_OVERRIDE=FY","FILING_STATUS=OR","EQY_CONSOLIDATED=Y","Sort=A","Dates=H","DateFormat=P","Fill=—","Direction=H","UseDPDF=Y")</f>
        <v>#NAME?</v>
      </c>
      <c r="AI153" s="2" t="e">
        <f ca="1">_xll.BDH($C$153,"TOTAL_EQUITY_1_YEAR_GROWTH","FY 2014","FY 2014","Currency=INR","Period=FY","BEST_FPERIOD_OVERRIDE=FY","FILING_STATUS=OR","EQY_CONSOLIDATED=Y","Sort=A","Dates=H","DateFormat=P","Fill=—","Direction=H","UseDPDF=Y")</f>
        <v>#NAME?</v>
      </c>
      <c r="AJ153" s="2" t="e">
        <f ca="1">_xll.BDH($C$153,"GROWTH_IN_CAP","FY 2014","FY 2014","Currency=INR","Period=FY","BEST_FPERIOD_OVERRIDE=FY","FILING_STATUS=OR","EQY_CONSOLIDATED=Y","Sort=A","Dates=H","DateFormat=P","Fill=—","Direction=H","UseDPDF=Y")</f>
        <v>#NAME?</v>
      </c>
      <c r="AK153" s="2" t="e">
        <f ca="1">_xll.BDH($C$153,"BVPS_GROWTH","FY 2014","FY 2014","Currency=INR","Period=FY","BEST_FPERIOD_OVERRIDE=FY","FILING_STATUS=OR","EQY_CONSOLIDATED=Y","Sort=A","Dates=H","DateFormat=P","Fill=—","Direction=H","UseDPDF=Y")</f>
        <v>#NAME?</v>
      </c>
      <c r="AL153" s="2" t="e">
        <f ca="1">_xll.BDH($C$153,"CASH_FLOW_GROWTH","FY 2014","FY 2014","Currency=INR","Period=FY","BEST_FPERIOD_OVERRIDE=FY","FILING_STATUS=OR","EQY_CONSOLIDATED=Y","Sort=A","Dates=H","DateFormat=P","Fill=—","Direction=H","UseDPDF=Y")</f>
        <v>#NAME?</v>
      </c>
      <c r="AM153" s="2" t="e">
        <f ca="1">_xll.BDH($C$153,"GEO_GROW_NET_SALES","FY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153" s="2" t="e">
        <f ca="1">_xll.BDH($C$153,"GEO_GROW_EBITDA","FY 2014","FY 2014","Currency=INR","Period=FY","BEST_FPERIOD_OVERRIDE=FY","FILING_STATUS=OR","EQY_CONSOLIDATED=Y","FA_ADJUSTED=GAAP","Sort=A","Dates=H","DateFormat=P","Fill=—","Direction=H","UseDPDF=Y")</f>
        <v>#NAME?</v>
      </c>
      <c r="AO153" s="2" t="e">
        <f ca="1">_xll.BDH($C$153,"GEO_GROW_OPER_INC","FY 2014","FY 2014","Currency=INR","Period=FY","BEST_FPERIOD_OVERRIDE=FY","FILING_STATUS=OR","EQY_CONSOLIDATED=Y","FA_ADJUSTED=GAAP","Sort=A","Dates=H","DateFormat=P","Fill=—","Direction=H","UseDPDF=Y")</f>
        <v>#NAME?</v>
      </c>
      <c r="AP153" s="2" t="e">
        <f ca="1">_xll.BDH($C$153,"NET_INCOME_TO_COMMON_5_YR_GROWTH","FY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153" s="2" t="e">
        <f ca="1">_xll.BDH($C$153,"5Y_GEO_GROWTH_DILUTED_EPS","FY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153" s="2" t="e">
        <f ca="1">_xll.BDH($C$153,"GEO_GROW_DVD_PER_SH","FY 2014","FY 2014","Currency=INR","Period=FY","BEST_FPERIOD_OVERRIDE=FY","FILING_STATUS=OR","EQY_CONSOLIDATED=Y","Sort=A","Dates=H","DateFormat=P","Fill=—","Direction=H","UseDPDF=Y")</f>
        <v>#NAME?</v>
      </c>
      <c r="AS153" s="2" t="e">
        <f ca="1">_xll.BDH($C$153,"ACCOUNTS_RECEIVABLE_5_YR_GROWTH","FY 2014","FY 2014","Currency=INR","Period=FY","BEST_FPERIOD_OVERRIDE=FY","FILING_STATUS=OR","EQY_CONSOLIDATED=Y","Sort=A","Dates=H","DateFormat=P","Fill=—","Direction=H","UseDPDF=Y")</f>
        <v>#NAME?</v>
      </c>
      <c r="AT153" s="2" t="e">
        <f ca="1">_xll.BDH($C$153,"INVENTORY_5_YEAR_GROWTH","FY 2014","FY 2014","Currency=INR","Period=FY","BEST_FPERIOD_OVERRIDE=FY","FILING_STATUS=OR","EQY_CONSOLIDATED=Y","Sort=A","Dates=H","DateFormat=P","Fill=—","Direction=H","UseDPDF=Y")</f>
        <v>#NAME?</v>
      </c>
      <c r="AU153" s="2" t="e">
        <f ca="1">_xll.BDH($C$153,"NET_FIXED_ASSETS_5_YEAR_GROWTH","FY 2014","FY 2014","Currency=INR","Period=FY","BEST_FPERIOD_OVERRIDE=FY","FILING_STATUS=OR","EQY_CONSOLIDATED=Y","Sort=A","Dates=H","DateFormat=P","Fill=—","Direction=H","UseDPDF=Y")</f>
        <v>#NAME?</v>
      </c>
      <c r="AV153" s="2" t="e">
        <f ca="1">_xll.BDH($C$153,"GEO_GROW_TOT_ASSET","FY 2014","FY 2014","Currency=INR","Period=FY","BEST_FPERIOD_OVERRIDE=FY","FILING_STATUS=OR","EQY_CONSOLIDATED=Y","Sort=A","Dates=H","DateFormat=P","Fill=—","Direction=H","UseDPDF=Y")</f>
        <v>#NAME?</v>
      </c>
      <c r="AW153" s="2" t="e">
        <f ca="1">_xll.BDH($C$153,"MODIFIED_WORKING_CPTL_5YR_GRWTH","FY 2014","FY 2014","Currency=INR","Period=FY","BEST_FPERIOD_OVERRIDE=FY","FILING_STATUS=OR","EQY_CONSOLIDATED=Y","Sort=A","Dates=H","DateFormat=P","Fill=—","Direction=H","UseDPDF=Y")</f>
        <v>#NAME?</v>
      </c>
      <c r="AX153" s="2" t="e">
        <f ca="1">_xll.BDH($C$153,"WORKING_CAPITAL_5_YEAR_GROWTH","FY 2014","FY 2014","Currency=INR","Period=FY","BEST_FPERIOD_OVERRIDE=FY","FILING_STATUS=OR","EQY_CONSOLIDATED=Y","Sort=A","Dates=H","DateFormat=P","Fill=—","Direction=H","UseDPDF=Y")</f>
        <v>#NAME?</v>
      </c>
      <c r="AY153" s="2" t="e">
        <f ca="1">_xll.BDH($C$153,"ACCOUNTS_PAYABLE_5_YEAR_GROWTH","FY 2014","FY 2014","Currency=INR","Period=FY","BEST_FPERIOD_OVERRIDE=FY","FILING_STATUS=OR","EQY_CONSOLIDATED=Y","Sort=A","Dates=H","DateFormat=P","Fill=—","Direction=H","UseDPDF=Y")</f>
        <v>#NAME?</v>
      </c>
      <c r="AZ153" s="2" t="e">
        <f ca="1">_xll.BDH($C$153,"SHORT_TERM_DEBT_5_YEAR_GROWTH","FY 2014","FY 2014","Currency=INR","Period=FY","BEST_FPERIOD_OVERRIDE=FY","FILING_STATUS=OR","EQY_CONSOLIDATED=Y","Sort=A","Dates=H","DateFormat=P","Fill=—","Direction=H","UseDPDF=Y")</f>
        <v>#NAME?</v>
      </c>
      <c r="BA153" s="2" t="e">
        <f ca="1">_xll.BDH($C$153,"TOTAL_DEBT_5_YEAR_GROWTH","FY 2014","FY 2014","Currency=INR","Period=FY","BEST_FPERIOD_OVERRIDE=FY","FILING_STATUS=OR","EQY_CONSOLIDATED=Y","Sort=A","Dates=H","DateFormat=P","Fill=—","Direction=H","UseDPDF=Y")</f>
        <v>#NAME?</v>
      </c>
      <c r="BB153" s="2" t="e">
        <f ca="1">_xll.BDH($C$153,"GEO_GROW_TOT_SHRHLDR_EQY","FY 2014","FY 2014","Currency=INR","Period=FY","BEST_FPERIOD_OVERRIDE=FY","FILING_STATUS=OR","EQY_CONSOLIDATED=Y","Sort=A","Dates=H","DateFormat=P","Fill=—","Direction=H","UseDPDF=Y")</f>
        <v>#NAME?</v>
      </c>
      <c r="BC153" s="2" t="e">
        <f ca="1">_xll.BDH($C$153,"TOTAL_CAPITAL_5_YEAR_GROWTH","FY 2014","FY 2014","Currency=INR","Period=FY","BEST_FPERIOD_OVERRIDE=FY","FILING_STATUS=OR","EQY_CONSOLIDATED=Y","Sort=A","Dates=H","DateFormat=P","Fill=—","Direction=H","UseDPDF=Y")</f>
        <v>#NAME?</v>
      </c>
      <c r="BD153" s="2" t="e">
        <f ca="1">_xll.BDH($C$153,"GEO_GROW_BOOK_VAL","FY 2014","FY 2014","Currency=INR","Period=FY","BEST_FPERIOD_OVERRIDE=FY","FILING_STATUS=OR","EQY_CONSOLIDATED=Y","Sort=A","Dates=H","DateFormat=P","Fill=—","Direction=H","UseDPDF=Y")</f>
        <v>#NAME?</v>
      </c>
      <c r="BE153" s="2" t="e">
        <f ca="1">_xll.BDH($C$153,"GEO_GROW_CASH_OPER_ACT","FY 2014","FY 2014","Currency=INR","Period=FY","BEST_FPERIOD_OVERRIDE=FY","FILING_STATUS=OR","EQY_CONSOLIDATED=Y","Sort=A","Dates=H","DateFormat=P","Fill=—","Direction=H","UseDPDF=Y")</f>
        <v>#NAME?</v>
      </c>
      <c r="BF153" s="2" t="e">
        <f ca="1">_xll.BDH($C$153,"REVENUE_SEQUENTIAL_GROWTH","FY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153" s="2" t="e">
        <f ca="1">_xll.BDH($C$153,"EBITDA_SEQUENTIAL_GROWTH","FY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153" s="2" t="e">
        <f ca="1">_xll.BDH($C$153,"OPERATING_INCOME_SEQ_GROWTH","FY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153" s="2" t="e">
        <f ca="1">_xll.BDH($C$153,"NET_INCOME_TO_COMMON_SEQ_GROWTH","FY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153" s="2" t="e">
        <f ca="1">_xll.BDH($C$153,"EPS_DILUTED_SEQUENTIAL_GROWTH","FY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153" s="2" t="e">
        <f ca="1">_xll.BDH($C$153,"DPS_SEQUENTIAL_GROWTH","FY 2014","FY 2014","Currency=INR","Period=FY","BEST_FPERIOD_OVERRIDE=FY","FILING_STATUS=OR","EQY_CONSOLIDATED=Y","Sort=A","Dates=H","DateFormat=P","Fill=—","Direction=H","UseDPDF=Y")</f>
        <v>#NAME?</v>
      </c>
      <c r="BL153" s="2" t="e">
        <f ca="1">_xll.BDH($C$153,"ACCOUNTS_RECEIVABLE_SEQ_GROWTH","FY 2014","FY 2014","Currency=INR","Period=FY","BEST_FPERIOD_OVERRIDE=FY","FILING_STATUS=OR","EQY_CONSOLIDATED=Y","Sort=A","Dates=H","DateFormat=P","Fill=—","Direction=H","UseDPDF=Y")</f>
        <v>#NAME?</v>
      </c>
      <c r="BM153" s="2" t="e">
        <f ca="1">_xll.BDH($C$153,"INVENTORY_SEQUENTIAL_GROWTH","FY 2014","FY 2014","Currency=INR","Period=FY","BEST_FPERIOD_OVERRIDE=FY","FILING_STATUS=OR","EQY_CONSOLIDATED=Y","Sort=A","Dates=H","DateFormat=P","Fill=—","Direction=H","UseDPDF=Y")</f>
        <v>#NAME?</v>
      </c>
      <c r="BN153" s="2" t="e">
        <f ca="1">_xll.BDH($C$153,"FIXED_ASSETS_SEQUENTIAL_GROWTH","FY 2014","FY 2014","Currency=INR","Period=FY","BEST_FPERIOD_OVERRIDE=FY","FILING_STATUS=OR","EQY_CONSOLIDATED=Y","Sort=A","Dates=H","DateFormat=P","Fill=—","Direction=H","UseDPDF=Y")</f>
        <v>#NAME?</v>
      </c>
      <c r="BO153" s="2" t="e">
        <f ca="1">_xll.BDH($C$153,"TOTAL_ASSETS_SEQUENTIAL_GROWTH","FY 2014","FY 2014","Currency=INR","Period=FY","BEST_FPERIOD_OVERRIDE=FY","FILING_STATUS=OR","EQY_CONSOLIDATED=Y","Sort=A","Dates=H","DateFormat=P","Fill=—","Direction=H","UseDPDF=Y")</f>
        <v>#NAME?</v>
      </c>
      <c r="BP153" s="2" t="e">
        <f ca="1">_xll.BDH($C$153,"MODIFIED_WORKING_CPTL_SEQ_GRWTH","FY 2014","FY 2014","Currency=INR","Period=FY","BEST_FPERIOD_OVERRIDE=FY","FILING_STATUS=OR","EQY_CONSOLIDATED=Y","Sort=A","Dates=H","DateFormat=P","Fill=—","Direction=H","UseDPDF=Y")</f>
        <v>#NAME?</v>
      </c>
      <c r="BQ153" s="2" t="e">
        <f ca="1">_xll.BDH($C$153,"WORKING_CAPITAL_SEQ_GROWTH","FY 2014","FY 2014","Currency=INR","Period=FY","BEST_FPERIOD_OVERRIDE=FY","FILING_STATUS=OR","EQY_CONSOLIDATED=Y","Sort=A","Dates=H","DateFormat=P","Fill=—","Direction=H","UseDPDF=Y")</f>
        <v>#NAME?</v>
      </c>
      <c r="BR153" s="2" t="e">
        <f ca="1">_xll.BDH($C$153,"ACCOUNTS_PAYABLE_SEQ_GROWTH","FY 2014","FY 2014","Currency=INR","Period=FY","BEST_FPERIOD_OVERRIDE=FY","FILING_STATUS=OR","EQY_CONSOLIDATED=Y","Sort=A","Dates=H","DateFormat=P","Fill=—","Direction=H","UseDPDF=Y")</f>
        <v>#NAME?</v>
      </c>
      <c r="BS153" s="2" t="e">
        <f ca="1">_xll.BDH($C$153,"ST_DEBT_SEQUENTIAL_GROWTH","FY 2014","FY 2014","Currency=INR","Period=FY","BEST_FPERIOD_OVERRIDE=FY","FILING_STATUS=OR","EQY_CONSOLIDATED=Y","Sort=A","Dates=H","DateFormat=P","Fill=—","Direction=H","UseDPDF=Y")</f>
        <v>#NAME?</v>
      </c>
      <c r="BT153" s="2" t="e">
        <f ca="1">_xll.BDH($C$153,"TOTAL_DEBT_SEQUENTIAL_GROWTH","FY 2014","FY 2014","Currency=INR","Period=FY","BEST_FPERIOD_OVERRIDE=FY","FILING_STATUS=OR","EQY_CONSOLIDATED=Y","Sort=A","Dates=H","DateFormat=P","Fill=—","Direction=H","UseDPDF=Y")</f>
        <v>#NAME?</v>
      </c>
      <c r="BU153" s="2" t="e">
        <f ca="1">_xll.BDH($C$153,"TOTAL_EQUITY_SEQUENTIAL_GROWTH","FY 2014","FY 2014","Currency=INR","Period=FY","BEST_FPERIOD_OVERRIDE=FY","FILING_STATUS=OR","EQY_CONSOLIDATED=Y","Sort=A","Dates=H","DateFormat=P","Fill=—","Direction=H","UseDPDF=Y")</f>
        <v>#NAME?</v>
      </c>
      <c r="BV153" s="2" t="e">
        <f ca="1">_xll.BDH($C$153,"TOTAL_CAPITAL_SEQUENTIAL_GROWTH","FY 2014","FY 2014","Currency=INR","Period=FY","BEST_FPERIOD_OVERRIDE=FY","FILING_STATUS=OR","EQY_CONSOLIDATED=Y","Sort=A","Dates=H","DateFormat=P","Fill=—","Direction=H","UseDPDF=Y")</f>
        <v>#NAME?</v>
      </c>
      <c r="BW153" s="2" t="e">
        <f ca="1">_xll.BDH($C$153,"BPS_SEQUENTIAL_GROWTH","FY 2014","FY 2014","Currency=INR","Period=FY","BEST_FPERIOD_OVERRIDE=FY","FILING_STATUS=OR","EQY_CONSOLIDATED=Y","Sort=A","Dates=H","DateFormat=P","Fill=—","Direction=H","UseDPDF=Y")</f>
        <v>#NAME?</v>
      </c>
      <c r="BX153" s="2" t="e">
        <f ca="1">_xll.BDH($C$153,"CFO_SEQUENTIAL_GROWTH","FY 2014","FY 2014","Currency=INR","Period=FY","BEST_FPERIOD_OVERRIDE=FY","FILING_STATUS=OR","EQY_CONSOLIDATED=Y","Sort=A","Dates=H","DateFormat=P","Fill=—","Direction=H","UseDPDF=Y")</f>
        <v>#NAME?</v>
      </c>
      <c r="BY153" s="3" t="e">
        <f ca="1">_xll.BDH($C$153,"SHORT_AND_LONG_TERM_DEBT","FY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153" s="3" t="e">
        <f ca="1">_xll.BDH($C$153,"BS_ST_BORROW","FY 2014","FY 2014","Currency=INR","Period=FY","BEST_FPERIOD_OVERRIDE=FY","FILING_STATUS=OR","EQY_CONSOLIDATED=Y","SCALING_FORMAT=MLN","Sort=A","Dates=H","DateFormat=P","Fill=—","Direction=H","UseDPDF=Y")</f>
        <v>#NAME?</v>
      </c>
      <c r="CA153" s="3" t="e">
        <f ca="1">_xll.BDH($C$153,"BS_LT_BORROW","FY 2014","FY 2014","Currency=INR","Period=FY","BEST_FPERIOD_OVERRIDE=FY","FILING_STATUS=OR","EQY_CONSOLIDATED=Y","SCALING_FORMAT=MLN","Sort=A","Dates=H","DateFormat=P","Fill=—","Direction=H","UseDPDF=Y")</f>
        <v>#NAME?</v>
      </c>
      <c r="CB153" s="2" t="e">
        <f ca="1">_xll.BDH($C$153,"TOT_DEBT_TO_EBITDA","FY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153" s="2" t="e">
        <f ca="1">_xll.BDH($C$153,"NET_DEBT_TO_EBITDA","FY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153" s="2" t="e">
        <f ca="1">_xll.BDH($C$153,"TOTAL_DEBT_TO_EBIT","FY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153" s="2" t="e">
        <f ca="1">_xll.BDH($C$153,"NET_DEBT_TO_EBIT","FY 2014","FY 2014","Currency=INR","Period=FY","BEST_FPERIOD_OVERRIDE=FY","FILING_STATUS=OR","EQY_CONSOLIDATED=Y","FA_ADJUSTED=GAAP","Sort=A","Dates=H","DateFormat=P","Fill=—","Direction=H","UseDPDF=Y")</f>
        <v>#NAME?</v>
      </c>
      <c r="CF153" s="2" t="e">
        <f ca="1">_xll.BDH($C$153,"EBITDA_TO_INTEREST_EXPN","FY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153" s="2" t="e">
        <f ca="1">_xll.BDH($C$153,"COM_EQY_TO_TOT_ASSET","FY 2014","FY 2014","Currency=INR","Period=FY","BEST_FPERIOD_OVERRIDE=FY","FILING_STATUS=OR","EQY_CONSOLIDATED=Y","Sort=A","Dates=H","DateFormat=P","Fill=—","Direction=H","UseDPDF=Y")</f>
        <v>#NAME?</v>
      </c>
      <c r="CH153" s="2" t="e">
        <f ca="1">_xll.BDH($C$153,"LT_DEBT_TO_TOT_EQY","FY 2014","FY 2014","Currency=INR","Period=FY","BEST_FPERIOD_OVERRIDE=FY","FILING_STATUS=OR","EQY_CONSOLIDATED=Y","Sort=A","Dates=H","DateFormat=P","Fill=—","Direction=H","UseDPDF=Y")</f>
        <v>#NAME?</v>
      </c>
      <c r="CI153" s="2" t="e">
        <f ca="1">_xll.BDH($C$153,"LT_DEBT_TO_TOT_CAP","FY 2014","FY 2014","Currency=INR","Period=FY","BEST_FPERIOD_OVERRIDE=FY","FILING_STATUS=OR","EQY_CONSOLIDATED=Y","Sort=A","Dates=H","DateFormat=P","Fill=—","Direction=H","UseDPDF=Y")</f>
        <v>#NAME?</v>
      </c>
      <c r="CJ153" s="2" t="e">
        <f ca="1">_xll.BDH($C$153,"LT_DEBT_TO_TOT_ASSET","FY 2014","FY 2014","Currency=INR","Period=FY","BEST_FPERIOD_OVERRIDE=FY","FILING_STATUS=OR","EQY_CONSOLIDATED=Y","Sort=A","Dates=H","DateFormat=P","Fill=—","Direction=H","UseDPDF=Y")</f>
        <v>#NAME?</v>
      </c>
      <c r="CK153" s="2" t="e">
        <f ca="1">_xll.BDH($C$153,"TOT_DEBT_TO_TOT_EQY","FY 2014","FY 2014","Currency=INR","Period=FY","BEST_FPERIOD_OVERRIDE=FY","FILING_STATUS=OR","EQY_CONSOLIDATED=Y","Sort=A","Dates=H","DateFormat=P","Fill=—","Direction=H","UseDPDF=Y")</f>
        <v>#NAME?</v>
      </c>
      <c r="CL153" s="2" t="e">
        <f ca="1">_xll.BDH($C$153,"TOT_DEBT_TO_TOT_CAP","FY 2014","FY 2014","Currency=INR","Period=FY","BEST_FPERIOD_OVERRIDE=FY","FILING_STATUS=OR","EQY_CONSOLIDATED=Y","Sort=A","Dates=H","DateFormat=P","Fill=—","Direction=H","UseDPDF=Y")</f>
        <v>#NAME?</v>
      </c>
      <c r="CM153" s="2" t="e">
        <f ca="1">_xll.BDH($C$153,"TOT_DEBT_TO_TOT_ASSET","FY 2014","FY 2014","Currency=INR","Period=FY","BEST_FPERIOD_OVERRIDE=FY","FILING_STATUS=OR","EQY_CONSOLIDATED=Y","Sort=A","Dates=H","DateFormat=P","Fill=—","Direction=H","UseDPDF=Y")</f>
        <v>#NAME?</v>
      </c>
      <c r="CN153" s="2" t="e">
        <f ca="1">_xll.BDH($C$153,"NET_DEBT_TO_SHRHLDR_EQTY","FY 2014","FY 2014","Currency=INR","Period=FY","BEST_FPERIOD_OVERRIDE=FY","FILING_STATUS=OR","EQY_CONSOLIDATED=Y","Sort=A","Dates=H","DateFormat=P","Fill=—","Direction=H","UseDPDF=Y")</f>
        <v>#NAME?</v>
      </c>
      <c r="CO153" s="2" t="e">
        <f ca="1">_xll.BDH($C$153,"NET_DEBT_%_CAPITAL","FY 2014","FY 2014","Currency=INR","Period=FY","BEST_FPERIOD_OVERRIDE=FY","FILING_STATUS=OR","EQY_CONSOLIDATED=Y","Sort=A","Dates=H","DateFormat=P","Fill=—","Direction=H","UseDPDF=Y")</f>
        <v>#NAME?</v>
      </c>
      <c r="CP153" s="3" t="e">
        <f ca="1">_xll.BDH($C$153,"EBITDA","FY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153" s="3" t="e">
        <f ca="1">_xll.BDH($C$153,"EBITDA_AFTER_CAPEX","FY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153" s="3" t="e">
        <f ca="1">_xll.BDH($C$153,"IS_OPER_INC","FY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153" s="2" t="e">
        <f ca="1">_xll.BDH($C$153,"CASH_RATIO","FY 2014","FY 2014","Currency=INR","Period=FY","BEST_FPERIOD_OVERRIDE=FY","FILING_STATUS=OR","EQY_CONSOLIDATED=Y","Sort=A","Dates=H","DateFormat=P","Fill=—","Direction=H","UseDPDF=Y")</f>
        <v>#NAME?</v>
      </c>
      <c r="CT153" s="2" t="e">
        <f ca="1">_xll.BDH($C$153,"CUR_RATIO","FY 2014","FY 2014","Currency=INR","Period=FY","BEST_FPERIOD_OVERRIDE=FY","FILING_STATUS=OR","EQY_CONSOLIDATED=Y","Sort=A","Dates=H","DateFormat=P","Fill=—","Direction=H","UseDPDF=Y")</f>
        <v>#NAME?</v>
      </c>
      <c r="CU153" s="2" t="e">
        <f ca="1">_xll.BDH($C$153,"QUICK_RATIO","FY 2014","FY 2014","Currency=INR","Period=FY","BEST_FPERIOD_OVERRIDE=FY","FILING_STATUS=OR","EQY_CONSOLIDATED=Y","Sort=A","Dates=H","DateFormat=P","Fill=—","Direction=H","UseDPDF=Y")</f>
        <v>#NAME?</v>
      </c>
      <c r="CV153" s="2" t="e">
        <f ca="1">_xll.BDH($C$153,"ALTMAN_Z_SCORE","FY 2014","FY 2014","Currency=INR","Period=FY","BEST_FPERIOD_OVERRIDE=FY","FILING_STATUS=OR","EQY_CONSOLIDATED=Y","Sort=A","Dates=H","DateFormat=P","Fill=—","Direction=H","UseDPDF=Y")</f>
        <v>#NAME?</v>
      </c>
      <c r="CW153" s="4" t="e">
        <f ca="1">_xll.BDH($C$153,"ACCT_RCV_TURN","FY 2014","FY 2014","Currency=INR","Period=FY","BEST_FPERIOD_OVERRIDE=FY","FILING_STATUS=OR","EQY_CONSOLIDATED=Y","FA_ADJUSTED=GAAP","Sort=A","Dates=H","DateFormat=P","Fill=—","Direction=H","UseDPDF=Y")</f>
        <v>#NAME?</v>
      </c>
      <c r="CX153" s="2" t="e">
        <f ca="1">_xll.BDH($C$153,"ACCT_RCV_DAYS","FY 2014","FY 2014","Currency=INR","Period=FY","BEST_FPERIOD_OVERRIDE=FY","FILING_STATUS=OR","EQY_CONSOLIDATED=Y","FA_ADJUSTED=GAAP","Sort=A","Dates=H","DateFormat=P","Fill=—","Direction=H","UseDPDF=Y")</f>
        <v>#NAME?</v>
      </c>
      <c r="CY153" s="4" t="e">
        <f ca="1">_xll.BDH($C$153,"INVENT_TURN","FY 2014","FY 2014","Currency=INR","Period=FY","BEST_FPERIOD_OVERRIDE=FY","FILING_STATUS=OR","EQY_CONSOLIDATED=Y","FA_ADJUSTED=GAAP","Sort=A","Dates=H","DateFormat=P","Fill=—","Direction=H","UseDPDF=Y")</f>
        <v>#NAME?</v>
      </c>
      <c r="CZ153" s="2" t="e">
        <f ca="1">_xll.BDH($C$153,"INVENT_DAYS","FY 2014","FY 2014","Currency=INR","Period=FY","BEST_FPERIOD_OVERRIDE=FY","FILING_STATUS=OR","EQY_CONSOLIDATED=Y","FA_ADJUSTED=GAAP","Sort=A","Dates=H","DateFormat=P","Fill=—","Direction=H","UseDPDF=Y")</f>
        <v>#NAME?</v>
      </c>
      <c r="DA153" s="4" t="e">
        <f ca="1">_xll.BDH($C$153,"ACCOUNTS_PAYABLE_TURNOVER","FY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153" s="2" t="e">
        <f ca="1">_xll.BDH($C$153,"ACCOUNTS_PAYABLE_TURNOVER_DAYS","FY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153" s="4" t="e">
        <f ca="1">_xll.BDH($C$153,"CASH_CONVERSION_CYCLE","FY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153" s="4" t="e">
        <f ca="1">_xll.BDH($C$153,"INV_TO_CASH_DAYS","FY 2014","FY 2014","Currency=INR","Period=FY","BEST_FPERIOD_OVERRIDE=FY","FILING_STATUS=OR","EQY_CONSOLIDATED=Y","FA_ADJUSTED=GAAP","Sort=A","Dates=H","DateFormat=P","Fill=—","Direction=H","UseDPDF=Y")</f>
        <v>#NAME?</v>
      </c>
      <c r="DE153" s="5" t="e">
        <f ca="1">_xll.BDH($C$153,"BS_INVENTORIES","FY 2014","FY 2014","Currency=INR","Period=FY","BEST_FPERIOD_OVERRIDE=FY","FILING_STATUS=OR","EQY_CONSOLIDATED=Y","SCALING_FORMAT=MLN","Sort=A","Dates=H","DateFormat=P","Fill=—","Direction=H","UseDPDF=Y")</f>
        <v>#NAME?</v>
      </c>
      <c r="DF153" s="3" t="e">
        <f ca="1">_xll.BDH($C$153,"INVTRY_RAW_MATERIALS","FY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153" s="3" t="e">
        <f ca="1">_xll.BDH($C$153,"INVTRY_IN_PROGRESS","FY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153" s="3" t="e">
        <f ca="1">_xll.BDH($C$153,"INVTRY_FINISHED_GOODS","FY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153" s="3" t="e">
        <f ca="1">_xll.BDH($C$153,"BS_OTHER_INV","FY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154" spans="1:113" x14ac:dyDescent="0.3">
      <c r="A154" s="6"/>
      <c r="B154" s="6"/>
      <c r="C154" s="6"/>
      <c r="D154" s="6"/>
      <c r="E154" t="s">
        <v>78</v>
      </c>
      <c r="F154" t="e">
        <f ca="1">_xll.BDH($C$153,"RETURN_COM_EQY","FQ1 2014","FQ1 2014","Currency=INR","Period=FQ","BEST_FPERIOD_OVERRIDE=FQ","FILING_STATUS=OR","EQY_CONSOLIDATED=Y","FA_ADJUSTED=GAAP","Sort=A","Dates=H","DateFormat=P","Fill=—","Direction=H","UseDPDF=Y")</f>
        <v>#NAME?</v>
      </c>
      <c r="G154" t="e">
        <f ca="1">_xll.BDH($C$153,"RETURN_ON_ASSET","FQ1 2014","FQ1 2014","Currency=INR","Period=FQ","BEST_FPERIOD_OVERRIDE=FQ","FILING_STATUS=OR","EQY_CONSOLIDATED=Y","FA_ADJUSTED=GAAP","Sort=A","Dates=H","DateFormat=P","Fill=—","Direction=H","UseDPDF=Y")</f>
        <v>#NAME?</v>
      </c>
      <c r="H154" t="e">
        <f ca="1">_xll.BDH($C$153,"RETURN_ON_CAP","FQ1 2014","FQ1 2014","Currency=INR","Period=FQ","BEST_FPERIOD_OVERRIDE=FQ","FILING_STATUS=OR","EQY_CONSOLIDATED=Y","FA_ADJUSTED=GAAP","Sort=A","Dates=H","DateFormat=P","Fill=—","Direction=H","UseDPDF=Y")</f>
        <v>#NAME?</v>
      </c>
      <c r="I154" t="e">
        <f ca="1">_xll.BDH($C$153,"RETURN_ON_INV_CAPITAL","FQ1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154" t="e">
        <f ca="1">_xll.BDH($C$153,"EBITDA_TO_REVENUE","FQ1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154" t="e">
        <f ca="1">_xll.BDH($C$153,"OPER_MARGIN","FQ1 2014","FQ1 2014","Currency=INR","Period=FQ","BEST_FPERIOD_OVERRIDE=FQ","FILING_STATUS=OR","EQY_CONSOLIDATED=Y","FA_ADJUSTED=GAAP","Sort=A","Dates=H","DateFormat=P","Fill=—","Direction=H","UseDPDF=Y")</f>
        <v>#NAME?</v>
      </c>
      <c r="L154" t="e">
        <f ca="1">_xll.BDH($C$153,"INCREMENTAL_OPERATING_MARGIN","FQ1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154" t="e">
        <f ca="1">_xll.BDH($C$153,"PRETAX_INC_TO_NET_SALES","FQ1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154" t="e">
        <f ca="1">_xll.BDH($C$153,"INC_BEF_XO_ITEMS_TO_NET_SALES","FQ1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154" t="e">
        <f ca="1">_xll.BDH($C$153,"PROF_MARGIN","FQ1 2014","FQ1 2014","Currency=INR","Period=FQ","BEST_FPERIOD_OVERRIDE=FQ","FILING_STATUS=OR","EQY_CONSOLIDATED=Y","FA_ADJUSTED=GAAP","Sort=A","Dates=H","DateFormat=P","Fill=—","Direction=H","UseDPDF=Y")</f>
        <v>#NAME?</v>
      </c>
      <c r="P154" t="e">
        <f ca="1">_xll.BDH($C$153,"NET_INCOME_TO_COMMON_MARGIN","FQ1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154" t="e">
        <f ca="1">_xll.BDH($C$153,"EFF_TAX_RATE","FQ1 2014","FQ1 2014","Currency=INR","Period=FQ","BEST_FPERIOD_OVERRIDE=FQ","FILING_STATUS=OR","EQY_CONSOLIDATED=Y","FA_ADJUSTED=GAAP","Sort=A","Dates=H","DateFormat=P","Fill=—","Direction=H","UseDPDF=Y")</f>
        <v>#NAME?</v>
      </c>
      <c r="R154" t="e">
        <f ca="1">_xll.BDH($C$153,"DVD_PAYOUT_RATIO","FQ1 2014","FQ1 2014","Currency=INR","Period=FQ","BEST_FPERIOD_OVERRIDE=FQ","FILING_STATUS=OR","EQY_CONSOLIDATED=Y","FA_ADJUSTED=GAAP","Sort=A","Dates=H","DateFormat=P","Fill=—","Direction=H","UseDPDF=Y")</f>
        <v>#NAME?</v>
      </c>
      <c r="S154" t="e">
        <f ca="1">_xll.BDH($C$153,"SUSTAIN_GROWTH_RT","FQ1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154" s="2" t="e">
        <f ca="1">_xll.BDH($C$153,"SALES_GROWTH","FQ1 2014","FQ1 2014","Currency=INR","Period=FQ","BEST_FPERIOD_OVERRIDE=FQ","FILING_STATUS=OR","EQY_CONSOLIDATED=Y","FA_ADJUSTED=GAAP","Sort=A","Dates=H","DateFormat=P","Fill=—","Direction=H","UseDPDF=Y")</f>
        <v>#NAME?</v>
      </c>
      <c r="U154" s="2" t="e">
        <f ca="1">_xll.BDH($C$153,"EBITDA_GROWTH","FQ1 2014","FQ1 2014","Currency=INR","Period=FQ","BEST_FPERIOD_OVERRIDE=FQ","FILING_STATUS=OR","EQY_CONSOLIDATED=Y","FA_ADJUSTED=GAAP","Sort=A","Dates=H","DateFormat=P","Fill=—","Direction=H","UseDPDF=Y")</f>
        <v>#NAME?</v>
      </c>
      <c r="V154" s="2" t="e">
        <f ca="1">_xll.BDH($C$153,"OPER_INC_GROWTH","FQ1 2014","FQ1 2014","Currency=INR","Period=FQ","BEST_FPERIOD_OVERRIDE=FQ","FILING_STATUS=OR","EQY_CONSOLIDATED=Y","FA_ADJUSTED=GAAP","Sort=A","Dates=H","DateFormat=P","Fill=—","Direction=H","UseDPDF=Y")</f>
        <v>#NAME?</v>
      </c>
      <c r="W154" s="2" t="e">
        <f ca="1">_xll.BDH($C$153,"EARN_FOR_COM_GROWTH","FQ1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154" s="2" t="e">
        <f ca="1">_xll.BDH($C$153,"DILUTED_EPS_AFT_XO_ITEMS_GROWTH","FQ1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154" s="2" t="e">
        <f ca="1">_xll.BDH($C$153,"DIVIDEND_PER_SHARE_1_YEAR_GROWTH","FQ1 2014","FQ1 2014","Currency=INR","Period=FQ","BEST_FPERIOD_OVERRIDE=FQ","FILING_STATUS=OR","EQY_CONSOLIDATED=Y","Sort=A","Dates=H","DateFormat=P","Fill=—","Direction=H","UseDPDF=Y")</f>
        <v>#NAME?</v>
      </c>
      <c r="Z154" s="2" t="e">
        <f ca="1">_xll.BDH($C$153,"ACCOUNTS_RECEIVABLE_GROWTH","FQ1 2014","FQ1 2014","Currency=INR","Period=FQ","BEST_FPERIOD_OVERRIDE=FQ","FILING_STATUS=OR","EQY_CONSOLIDATED=Y","Sort=A","Dates=H","DateFormat=P","Fill=—","Direction=H","UseDPDF=Y")</f>
        <v>#NAME?</v>
      </c>
      <c r="AA154" s="2" t="e">
        <f ca="1">_xll.BDH($C$153,"INVENTORY_GROWTH","FQ1 2014","FQ1 2014","Currency=INR","Period=FQ","BEST_FPERIOD_OVERRIDE=FQ","FILING_STATUS=OR","EQY_CONSOLIDATED=Y","Sort=A","Dates=H","DateFormat=P","Fill=—","Direction=H","UseDPDF=Y")</f>
        <v>#NAME?</v>
      </c>
      <c r="AB154" s="2" t="e">
        <f ca="1">_xll.BDH($C$153,"NET_FIXED_ASSETS_1_YEAR_GROWTH","FQ1 2014","FQ1 2014","Currency=INR","Period=FQ","BEST_FPERIOD_OVERRIDE=FQ","FILING_STATUS=OR","EQY_CONSOLIDATED=Y","Sort=A","Dates=H","DateFormat=P","Fill=—","Direction=H","UseDPDF=Y")</f>
        <v>#NAME?</v>
      </c>
      <c r="AC154" s="2" t="e">
        <f ca="1">_xll.BDH($C$153,"ASSET_GROWTH","FQ1 2014","FQ1 2014","Currency=INR","Period=FQ","BEST_FPERIOD_OVERRIDE=FQ","FILING_STATUS=OR","EQY_CONSOLIDATED=Y","Sort=A","Dates=H","DateFormat=P","Fill=—","Direction=H","UseDPDF=Y")</f>
        <v>#NAME?</v>
      </c>
      <c r="AD154" s="2" t="e">
        <f ca="1">_xll.BDH($C$153,"MODIFIED_WORK_CAP_GROWTH","FQ1 2014","FQ1 2014","Currency=INR","Period=FQ","BEST_FPERIOD_OVERRIDE=FQ","FILING_STATUS=OR","EQY_CONSOLIDATED=Y","Sort=A","Dates=H","DateFormat=P","Fill=—","Direction=H","UseDPDF=Y")</f>
        <v>#NAME?</v>
      </c>
      <c r="AE154" s="2" t="e">
        <f ca="1">_xll.BDH($C$153,"WORK_CAP_GROWTH","FQ1 2014","FQ1 2014","Currency=INR","Period=FQ","BEST_FPERIOD_OVERRIDE=FQ","FILING_STATUS=OR","EQY_CONSOLIDATED=Y","Sort=A","Dates=H","DateFormat=P","Fill=—","Direction=H","UseDPDF=Y")</f>
        <v>#NAME?</v>
      </c>
      <c r="AF154" s="2" t="e">
        <f ca="1">_xll.BDH($C$153,"ACCOUNTS_PAYABLE_GROWTH_1YR","FQ1 2014","FQ1 2014","Currency=INR","Period=FQ","BEST_FPERIOD_OVERRIDE=FQ","FILING_STATUS=OR","EQY_CONSOLIDATED=Y","Sort=A","Dates=H","DateFormat=P","Fill=—","Direction=H","UseDPDF=Y")</f>
        <v>#NAME?</v>
      </c>
      <c r="AG154" s="2" t="e">
        <f ca="1">_xll.BDH($C$153,"SHORT_TERM_DEBT_1_YEAR_GROWTH","FQ1 2014","FQ1 2014","Currency=INR","Period=FQ","BEST_FPERIOD_OVERRIDE=FQ","FILING_STATUS=OR","EQY_CONSOLIDATED=Y","Sort=A","Dates=H","DateFormat=P","Fill=—","Direction=H","UseDPDF=Y")</f>
        <v>#NAME?</v>
      </c>
      <c r="AH154" s="2" t="e">
        <f ca="1">_xll.BDH($C$153,"TOTAL_DEBT_1_YEAR_GROWTH","FQ1 2014","FQ1 2014","Currency=INR","Period=FQ","BEST_FPERIOD_OVERRIDE=FQ","FILING_STATUS=OR","EQY_CONSOLIDATED=Y","Sort=A","Dates=H","DateFormat=P","Fill=—","Direction=H","UseDPDF=Y")</f>
        <v>#NAME?</v>
      </c>
      <c r="AI154" s="2" t="e">
        <f ca="1">_xll.BDH($C$153,"TOTAL_EQUITY_1_YEAR_GROWTH","FQ1 2014","FQ1 2014","Currency=INR","Period=FQ","BEST_FPERIOD_OVERRIDE=FQ","FILING_STATUS=OR","EQY_CONSOLIDATED=Y","Sort=A","Dates=H","DateFormat=P","Fill=—","Direction=H","UseDPDF=Y")</f>
        <v>#NAME?</v>
      </c>
      <c r="AJ154" s="2" t="e">
        <f ca="1">_xll.BDH($C$153,"GROWTH_IN_CAP","FQ1 2014","FQ1 2014","Currency=INR","Period=FQ","BEST_FPERIOD_OVERRIDE=FQ","FILING_STATUS=OR","EQY_CONSOLIDATED=Y","Sort=A","Dates=H","DateFormat=P","Fill=—","Direction=H","UseDPDF=Y")</f>
        <v>#NAME?</v>
      </c>
      <c r="AK154" s="2" t="e">
        <f ca="1">_xll.BDH($C$153,"BVPS_GROWTH","FQ1 2014","FQ1 2014","Currency=INR","Period=FQ","BEST_FPERIOD_OVERRIDE=FQ","FILING_STATUS=OR","EQY_CONSOLIDATED=Y","Sort=A","Dates=H","DateFormat=P","Fill=—","Direction=H","UseDPDF=Y")</f>
        <v>#NAME?</v>
      </c>
      <c r="AL154" s="2" t="e">
        <f ca="1">_xll.BDH($C$153,"CASH_FLOW_GROWTH","FQ1 2014","FQ1 2014","Currency=INR","Period=FQ","BEST_FPERIOD_OVERRIDE=FQ","FILING_STATUS=OR","EQY_CONSOLIDATED=Y","Sort=A","Dates=H","DateFormat=P","Fill=—","Direction=H","UseDPDF=Y")</f>
        <v>#NAME?</v>
      </c>
      <c r="AM154" s="2" t="e">
        <f ca="1">_xll.BDH($C$153,"GEO_GROW_NET_SALES","FQ1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154" s="2" t="e">
        <f ca="1">_xll.BDH($C$153,"GEO_GROW_EBITDA","FQ1 2014","FQ1 2014","Currency=INR","Period=FQ","BEST_FPERIOD_OVERRIDE=FQ","FILING_STATUS=OR","EQY_CONSOLIDATED=Y","FA_ADJUSTED=GAAP","Sort=A","Dates=H","DateFormat=P","Fill=—","Direction=H","UseDPDF=Y")</f>
        <v>#NAME?</v>
      </c>
      <c r="AO154" s="2" t="e">
        <f ca="1">_xll.BDH($C$153,"GEO_GROW_OPER_INC","FQ1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154" s="2" t="e">
        <f ca="1">_xll.BDH($C$153,"NET_INCOME_TO_COMMON_5_YR_GROWTH","FQ1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154" s="2" t="e">
        <f ca="1">_xll.BDH($C$153,"5Y_GEO_GROWTH_DILUTED_EPS","FQ1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154" s="2" t="e">
        <f ca="1">_xll.BDH($C$153,"GEO_GROW_DVD_PER_SH","FQ1 2014","FQ1 2014","Currency=INR","Period=FQ","BEST_FPERIOD_OVERRIDE=FQ","FILING_STATUS=OR","EQY_CONSOLIDATED=Y","Sort=A","Dates=H","DateFormat=P","Fill=—","Direction=H","UseDPDF=Y")</f>
        <v>#NAME?</v>
      </c>
      <c r="AS154" s="2" t="e">
        <f ca="1">_xll.BDH($C$153,"ACCOUNTS_RECEIVABLE_5_YR_GROWTH","FQ1 2014","FQ1 2014","Currency=INR","Period=FQ","BEST_FPERIOD_OVERRIDE=FQ","FILING_STATUS=OR","EQY_CONSOLIDATED=Y","Sort=A","Dates=H","DateFormat=P","Fill=—","Direction=H","UseDPDF=Y")</f>
        <v>#NAME?</v>
      </c>
      <c r="AT154" s="2" t="e">
        <f ca="1">_xll.BDH($C$153,"INVENTORY_5_YEAR_GROWTH","FQ1 2014","FQ1 2014","Currency=INR","Period=FQ","BEST_FPERIOD_OVERRIDE=FQ","FILING_STATUS=OR","EQY_CONSOLIDATED=Y","Sort=A","Dates=H","DateFormat=P","Fill=—","Direction=H","UseDPDF=Y")</f>
        <v>#NAME?</v>
      </c>
      <c r="AU154" s="2" t="e">
        <f ca="1">_xll.BDH($C$153,"NET_FIXED_ASSETS_5_YEAR_GROWTH","FQ1 2014","FQ1 2014","Currency=INR","Period=FQ","BEST_FPERIOD_OVERRIDE=FQ","FILING_STATUS=OR","EQY_CONSOLIDATED=Y","Sort=A","Dates=H","DateFormat=P","Fill=—","Direction=H","UseDPDF=Y")</f>
        <v>#NAME?</v>
      </c>
      <c r="AV154" s="2" t="e">
        <f ca="1">_xll.BDH($C$153,"GEO_GROW_TOT_ASSET","FQ1 2014","FQ1 2014","Currency=INR","Period=FQ","BEST_FPERIOD_OVERRIDE=FQ","FILING_STATUS=OR","EQY_CONSOLIDATED=Y","Sort=A","Dates=H","DateFormat=P","Fill=—","Direction=H","UseDPDF=Y")</f>
        <v>#NAME?</v>
      </c>
      <c r="AW154" s="2" t="e">
        <f ca="1">_xll.BDH($C$153,"MODIFIED_WORKING_CPTL_5YR_GRWTH","FQ1 2014","FQ1 2014","Currency=INR","Period=FQ","BEST_FPERIOD_OVERRIDE=FQ","FILING_STATUS=OR","EQY_CONSOLIDATED=Y","Sort=A","Dates=H","DateFormat=P","Fill=—","Direction=H","UseDPDF=Y")</f>
        <v>#NAME?</v>
      </c>
      <c r="AX154" s="2" t="e">
        <f ca="1">_xll.BDH($C$153,"WORKING_CAPITAL_5_YEAR_GROWTH","FQ1 2014","FQ1 2014","Currency=INR","Period=FQ","BEST_FPERIOD_OVERRIDE=FQ","FILING_STATUS=OR","EQY_CONSOLIDATED=Y","Sort=A","Dates=H","DateFormat=P","Fill=—","Direction=H","UseDPDF=Y")</f>
        <v>#NAME?</v>
      </c>
      <c r="AY154" s="2" t="e">
        <f ca="1">_xll.BDH($C$153,"ACCOUNTS_PAYABLE_5_YEAR_GROWTH","FQ1 2014","FQ1 2014","Currency=INR","Period=FQ","BEST_FPERIOD_OVERRIDE=FQ","FILING_STATUS=OR","EQY_CONSOLIDATED=Y","Sort=A","Dates=H","DateFormat=P","Fill=—","Direction=H","UseDPDF=Y")</f>
        <v>#NAME?</v>
      </c>
      <c r="AZ154" s="2" t="e">
        <f ca="1">_xll.BDH($C$153,"SHORT_TERM_DEBT_5_YEAR_GROWTH","FQ1 2014","FQ1 2014","Currency=INR","Period=FQ","BEST_FPERIOD_OVERRIDE=FQ","FILING_STATUS=OR","EQY_CONSOLIDATED=Y","Sort=A","Dates=H","DateFormat=P","Fill=—","Direction=H","UseDPDF=Y")</f>
        <v>#NAME?</v>
      </c>
      <c r="BA154" s="2" t="e">
        <f ca="1">_xll.BDH($C$153,"TOTAL_DEBT_5_YEAR_GROWTH","FQ1 2014","FQ1 2014","Currency=INR","Period=FQ","BEST_FPERIOD_OVERRIDE=FQ","FILING_STATUS=OR","EQY_CONSOLIDATED=Y","Sort=A","Dates=H","DateFormat=P","Fill=—","Direction=H","UseDPDF=Y")</f>
        <v>#NAME?</v>
      </c>
      <c r="BB154" s="2" t="e">
        <f ca="1">_xll.BDH($C$153,"GEO_GROW_TOT_SHRHLDR_EQY","FQ1 2014","FQ1 2014","Currency=INR","Period=FQ","BEST_FPERIOD_OVERRIDE=FQ","FILING_STATUS=OR","EQY_CONSOLIDATED=Y","Sort=A","Dates=H","DateFormat=P","Fill=—","Direction=H","UseDPDF=Y")</f>
        <v>#NAME?</v>
      </c>
      <c r="BC154" s="2" t="e">
        <f ca="1">_xll.BDH($C$153,"TOTAL_CAPITAL_5_YEAR_GROWTH","FQ1 2014","FQ1 2014","Currency=INR","Period=FQ","BEST_FPERIOD_OVERRIDE=FQ","FILING_STATUS=OR","EQY_CONSOLIDATED=Y","Sort=A","Dates=H","DateFormat=P","Fill=—","Direction=H","UseDPDF=Y")</f>
        <v>#NAME?</v>
      </c>
      <c r="BD154" s="2" t="e">
        <f ca="1">_xll.BDH($C$153,"GEO_GROW_BOOK_VAL","FQ1 2014","FQ1 2014","Currency=INR","Period=FQ","BEST_FPERIOD_OVERRIDE=FQ","FILING_STATUS=OR","EQY_CONSOLIDATED=Y","Sort=A","Dates=H","DateFormat=P","Fill=—","Direction=H","UseDPDF=Y")</f>
        <v>#NAME?</v>
      </c>
      <c r="BE154" s="2" t="e">
        <f ca="1">_xll.BDH($C$153,"GEO_GROW_CASH_OPER_ACT","FQ1 2014","FQ1 2014","Currency=INR","Period=FQ","BEST_FPERIOD_OVERRIDE=FQ","FILING_STATUS=OR","EQY_CONSOLIDATED=Y","Sort=A","Dates=H","DateFormat=P","Fill=—","Direction=H","UseDPDF=Y")</f>
        <v>#NAME?</v>
      </c>
      <c r="BF154" s="2" t="e">
        <f ca="1">_xll.BDH($C$153,"REVENUE_SEQUENTIAL_GROWTH","FQ1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154" s="2" t="e">
        <f ca="1">_xll.BDH($C$153,"EBITDA_SEQUENTIAL_GROWTH","FQ1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154" s="2" t="e">
        <f ca="1">_xll.BDH($C$153,"OPERATING_INCOME_SEQ_GROWTH","FQ1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154" s="2" t="e">
        <f ca="1">_xll.BDH($C$153,"NET_INCOME_TO_COMMON_SEQ_GROWTH","FQ1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154" s="2" t="e">
        <f ca="1">_xll.BDH($C$153,"EPS_DILUTED_SEQUENTIAL_GROWTH","FQ1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154" s="2" t="e">
        <f ca="1">_xll.BDH($C$153,"DPS_SEQUENTIAL_GROWTH","FQ1 2014","FQ1 2014","Currency=INR","Period=FQ","BEST_FPERIOD_OVERRIDE=FQ","FILING_STATUS=OR","EQY_CONSOLIDATED=Y","Sort=A","Dates=H","DateFormat=P","Fill=—","Direction=H","UseDPDF=Y")</f>
        <v>#NAME?</v>
      </c>
      <c r="BL154" s="2" t="e">
        <f ca="1">_xll.BDH($C$153,"ACCOUNTS_RECEIVABLE_SEQ_GROWTH","FQ1 2014","FQ1 2014","Currency=INR","Period=FQ","BEST_FPERIOD_OVERRIDE=FQ","FILING_STATUS=OR","EQY_CONSOLIDATED=Y","Sort=A","Dates=H","DateFormat=P","Fill=—","Direction=H","UseDPDF=Y")</f>
        <v>#NAME?</v>
      </c>
      <c r="BM154" s="2" t="e">
        <f ca="1">_xll.BDH($C$153,"INVENTORY_SEQUENTIAL_GROWTH","FQ1 2014","FQ1 2014","Currency=INR","Period=FQ","BEST_FPERIOD_OVERRIDE=FQ","FILING_STATUS=OR","EQY_CONSOLIDATED=Y","Sort=A","Dates=H","DateFormat=P","Fill=—","Direction=H","UseDPDF=Y")</f>
        <v>#NAME?</v>
      </c>
      <c r="BN154" s="2" t="e">
        <f ca="1">_xll.BDH($C$153,"FIXED_ASSETS_SEQUENTIAL_GROWTH","FQ1 2014","FQ1 2014","Currency=INR","Period=FQ","BEST_FPERIOD_OVERRIDE=FQ","FILING_STATUS=OR","EQY_CONSOLIDATED=Y","Sort=A","Dates=H","DateFormat=P","Fill=—","Direction=H","UseDPDF=Y")</f>
        <v>#NAME?</v>
      </c>
      <c r="BO154" s="2" t="e">
        <f ca="1">_xll.BDH($C$153,"TOTAL_ASSETS_SEQUENTIAL_GROWTH","FQ1 2014","FQ1 2014","Currency=INR","Period=FQ","BEST_FPERIOD_OVERRIDE=FQ","FILING_STATUS=OR","EQY_CONSOLIDATED=Y","Sort=A","Dates=H","DateFormat=P","Fill=—","Direction=H","UseDPDF=Y")</f>
        <v>#NAME?</v>
      </c>
      <c r="BP154" s="2" t="e">
        <f ca="1">_xll.BDH($C$153,"MODIFIED_WORKING_CPTL_SEQ_GRWTH","FQ1 2014","FQ1 2014","Currency=INR","Period=FQ","BEST_FPERIOD_OVERRIDE=FQ","FILING_STATUS=OR","EQY_CONSOLIDATED=Y","Sort=A","Dates=H","DateFormat=P","Fill=—","Direction=H","UseDPDF=Y")</f>
        <v>#NAME?</v>
      </c>
      <c r="BQ154" s="2" t="e">
        <f ca="1">_xll.BDH($C$153,"WORKING_CAPITAL_SEQ_GROWTH","FQ1 2014","FQ1 2014","Currency=INR","Period=FQ","BEST_FPERIOD_OVERRIDE=FQ","FILING_STATUS=OR","EQY_CONSOLIDATED=Y","Sort=A","Dates=H","DateFormat=P","Fill=—","Direction=H","UseDPDF=Y")</f>
        <v>#NAME?</v>
      </c>
      <c r="BR154" s="2" t="e">
        <f ca="1">_xll.BDH($C$153,"ACCOUNTS_PAYABLE_SEQ_GROWTH","FQ1 2014","FQ1 2014","Currency=INR","Period=FQ","BEST_FPERIOD_OVERRIDE=FQ","FILING_STATUS=OR","EQY_CONSOLIDATED=Y","Sort=A","Dates=H","DateFormat=P","Fill=—","Direction=H","UseDPDF=Y")</f>
        <v>#NAME?</v>
      </c>
      <c r="BS154" s="2" t="e">
        <f ca="1">_xll.BDH($C$153,"ST_DEBT_SEQUENTIAL_GROWTH","FQ1 2014","FQ1 2014","Currency=INR","Period=FQ","BEST_FPERIOD_OVERRIDE=FQ","FILING_STATUS=OR","EQY_CONSOLIDATED=Y","Sort=A","Dates=H","DateFormat=P","Fill=—","Direction=H","UseDPDF=Y")</f>
        <v>#NAME?</v>
      </c>
      <c r="BT154" s="2" t="e">
        <f ca="1">_xll.BDH($C$153,"TOTAL_DEBT_SEQUENTIAL_GROWTH","FQ1 2014","FQ1 2014","Currency=INR","Period=FQ","BEST_FPERIOD_OVERRIDE=FQ","FILING_STATUS=OR","EQY_CONSOLIDATED=Y","Sort=A","Dates=H","DateFormat=P","Fill=—","Direction=H","UseDPDF=Y")</f>
        <v>#NAME?</v>
      </c>
      <c r="BU154" s="2" t="e">
        <f ca="1">_xll.BDH($C$153,"TOTAL_EQUITY_SEQUENTIAL_GROWTH","FQ1 2014","FQ1 2014","Currency=INR","Period=FQ","BEST_FPERIOD_OVERRIDE=FQ","FILING_STATUS=OR","EQY_CONSOLIDATED=Y","Sort=A","Dates=H","DateFormat=P","Fill=—","Direction=H","UseDPDF=Y")</f>
        <v>#NAME?</v>
      </c>
      <c r="BV154" s="2" t="e">
        <f ca="1">_xll.BDH($C$153,"TOTAL_CAPITAL_SEQUENTIAL_GROWTH","FQ1 2014","FQ1 2014","Currency=INR","Period=FQ","BEST_FPERIOD_OVERRIDE=FQ","FILING_STATUS=OR","EQY_CONSOLIDATED=Y","Sort=A","Dates=H","DateFormat=P","Fill=—","Direction=H","UseDPDF=Y")</f>
        <v>#NAME?</v>
      </c>
      <c r="BW154" s="2" t="e">
        <f ca="1">_xll.BDH($C$153,"BPS_SEQUENTIAL_GROWTH","FQ1 2014","FQ1 2014","Currency=INR","Period=FQ","BEST_FPERIOD_OVERRIDE=FQ","FILING_STATUS=OR","EQY_CONSOLIDATED=Y","Sort=A","Dates=H","DateFormat=P","Fill=—","Direction=H","UseDPDF=Y")</f>
        <v>#NAME?</v>
      </c>
      <c r="BX154" s="2" t="e">
        <f ca="1">_xll.BDH($C$153,"CFO_SEQUENTIAL_GROWTH","FQ1 2014","FQ1 2014","Currency=INR","Period=FQ","BEST_FPERIOD_OVERRIDE=FQ","FILING_STATUS=OR","EQY_CONSOLIDATED=Y","Sort=A","Dates=H","DateFormat=P","Fill=—","Direction=H","UseDPDF=Y")</f>
        <v>#NAME?</v>
      </c>
      <c r="BY154" s="3" t="e">
        <f ca="1">_xll.BDH($C$153,"SHORT_AND_LONG_TERM_DEBT","FQ1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154" s="3" t="e">
        <f ca="1">_xll.BDH($C$153,"BS_ST_BORROW","FQ1 2014","FQ1 2014","Currency=INR","Period=FQ","BEST_FPERIOD_OVERRIDE=FQ","FILING_STATUS=OR","EQY_CONSOLIDATED=Y","SCALING_FORMAT=MLN","Sort=A","Dates=H","DateFormat=P","Fill=—","Direction=H","UseDPDF=Y")</f>
        <v>#NAME?</v>
      </c>
      <c r="CA154" s="3" t="e">
        <f ca="1">_xll.BDH($C$153,"BS_LT_BORROW","FQ1 2014","FQ1 2014","Currency=INR","Period=FQ","BEST_FPERIOD_OVERRIDE=FQ","FILING_STATUS=OR","EQY_CONSOLIDATED=Y","SCALING_FORMAT=MLN","Sort=A","Dates=H","DateFormat=P","Fill=—","Direction=H","UseDPDF=Y")</f>
        <v>#NAME?</v>
      </c>
      <c r="CB154" s="2" t="e">
        <f ca="1">_xll.BDH($C$153,"TOT_DEBT_TO_EBITDA","FQ1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154" s="2" t="e">
        <f ca="1">_xll.BDH($C$153,"NET_DEBT_TO_EBITDA","FQ1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154" s="2" t="e">
        <f ca="1">_xll.BDH($C$153,"TOTAL_DEBT_TO_EBIT","FQ1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154" s="2" t="e">
        <f ca="1">_xll.BDH($C$153,"NET_DEBT_TO_EBIT","FQ1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154" s="2" t="e">
        <f ca="1">_xll.BDH($C$153,"EBITDA_TO_INTEREST_EXPN","FQ1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154" s="2" t="e">
        <f ca="1">_xll.BDH($C$153,"COM_EQY_TO_TOT_ASSET","FQ1 2014","FQ1 2014","Currency=INR","Period=FQ","BEST_FPERIOD_OVERRIDE=FQ","FILING_STATUS=OR","EQY_CONSOLIDATED=Y","Sort=A","Dates=H","DateFormat=P","Fill=—","Direction=H","UseDPDF=Y")</f>
        <v>#NAME?</v>
      </c>
      <c r="CH154" s="2" t="e">
        <f ca="1">_xll.BDH($C$153,"LT_DEBT_TO_TOT_EQY","FQ1 2014","FQ1 2014","Currency=INR","Period=FQ","BEST_FPERIOD_OVERRIDE=FQ","FILING_STATUS=OR","EQY_CONSOLIDATED=Y","Sort=A","Dates=H","DateFormat=P","Fill=—","Direction=H","UseDPDF=Y")</f>
        <v>#NAME?</v>
      </c>
      <c r="CI154" s="2" t="e">
        <f ca="1">_xll.BDH($C$153,"LT_DEBT_TO_TOT_CAP","FQ1 2014","FQ1 2014","Currency=INR","Period=FQ","BEST_FPERIOD_OVERRIDE=FQ","FILING_STATUS=OR","EQY_CONSOLIDATED=Y","Sort=A","Dates=H","DateFormat=P","Fill=—","Direction=H","UseDPDF=Y")</f>
        <v>#NAME?</v>
      </c>
      <c r="CJ154" s="2" t="e">
        <f ca="1">_xll.BDH($C$153,"LT_DEBT_TO_TOT_ASSET","FQ1 2014","FQ1 2014","Currency=INR","Period=FQ","BEST_FPERIOD_OVERRIDE=FQ","FILING_STATUS=OR","EQY_CONSOLIDATED=Y","Sort=A","Dates=H","DateFormat=P","Fill=—","Direction=H","UseDPDF=Y")</f>
        <v>#NAME?</v>
      </c>
      <c r="CK154" s="2" t="e">
        <f ca="1">_xll.BDH($C$153,"TOT_DEBT_TO_TOT_EQY","FQ1 2014","FQ1 2014","Currency=INR","Period=FQ","BEST_FPERIOD_OVERRIDE=FQ","FILING_STATUS=OR","EQY_CONSOLIDATED=Y","Sort=A","Dates=H","DateFormat=P","Fill=—","Direction=H","UseDPDF=Y")</f>
        <v>#NAME?</v>
      </c>
      <c r="CL154" s="2" t="e">
        <f ca="1">_xll.BDH($C$153,"TOT_DEBT_TO_TOT_CAP","FQ1 2014","FQ1 2014","Currency=INR","Period=FQ","BEST_FPERIOD_OVERRIDE=FQ","FILING_STATUS=OR","EQY_CONSOLIDATED=Y","Sort=A","Dates=H","DateFormat=P","Fill=—","Direction=H","UseDPDF=Y")</f>
        <v>#NAME?</v>
      </c>
      <c r="CM154" s="2" t="e">
        <f ca="1">_xll.BDH($C$153,"TOT_DEBT_TO_TOT_ASSET","FQ1 2014","FQ1 2014","Currency=INR","Period=FQ","BEST_FPERIOD_OVERRIDE=FQ","FILING_STATUS=OR","EQY_CONSOLIDATED=Y","Sort=A","Dates=H","DateFormat=P","Fill=—","Direction=H","UseDPDF=Y")</f>
        <v>#NAME?</v>
      </c>
      <c r="CN154" s="2" t="e">
        <f ca="1">_xll.BDH($C$153,"NET_DEBT_TO_SHRHLDR_EQTY","FQ1 2014","FQ1 2014","Currency=INR","Period=FQ","BEST_FPERIOD_OVERRIDE=FQ","FILING_STATUS=OR","EQY_CONSOLIDATED=Y","Sort=A","Dates=H","DateFormat=P","Fill=—","Direction=H","UseDPDF=Y")</f>
        <v>#NAME?</v>
      </c>
      <c r="CO154" s="2" t="e">
        <f ca="1">_xll.BDH($C$153,"NET_DEBT_%_CAPITAL","FQ1 2014","FQ1 2014","Currency=INR","Period=FQ","BEST_FPERIOD_OVERRIDE=FQ","FILING_STATUS=OR","EQY_CONSOLIDATED=Y","Sort=A","Dates=H","DateFormat=P","Fill=—","Direction=H","UseDPDF=Y")</f>
        <v>#NAME?</v>
      </c>
      <c r="CP154" s="3" t="e">
        <f ca="1">_xll.BDH($C$153,"EBITDA","FQ1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154" s="3" t="e">
        <f ca="1">_xll.BDH($C$153,"EBITDA_AFTER_CAPEX","FQ1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154" s="3" t="e">
        <f ca="1">_xll.BDH($C$153,"IS_OPER_INC","FQ1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154" s="2" t="e">
        <f ca="1">_xll.BDH($C$153,"CASH_RATIO","FQ1 2014","FQ1 2014","Currency=INR","Period=FQ","BEST_FPERIOD_OVERRIDE=FQ","FILING_STATUS=OR","EQY_CONSOLIDATED=Y","Sort=A","Dates=H","DateFormat=P","Fill=—","Direction=H","UseDPDF=Y")</f>
        <v>#NAME?</v>
      </c>
      <c r="CT154" s="2" t="e">
        <f ca="1">_xll.BDH($C$153,"CUR_RATIO","FQ1 2014","FQ1 2014","Currency=INR","Period=FQ","BEST_FPERIOD_OVERRIDE=FQ","FILING_STATUS=OR","EQY_CONSOLIDATED=Y","Sort=A","Dates=H","DateFormat=P","Fill=—","Direction=H","UseDPDF=Y")</f>
        <v>#NAME?</v>
      </c>
      <c r="CU154" s="2" t="e">
        <f ca="1">_xll.BDH($C$153,"QUICK_RATIO","FQ1 2014","FQ1 2014","Currency=INR","Period=FQ","BEST_FPERIOD_OVERRIDE=FQ","FILING_STATUS=OR","EQY_CONSOLIDATED=Y","Sort=A","Dates=H","DateFormat=P","Fill=—","Direction=H","UseDPDF=Y")</f>
        <v>#NAME?</v>
      </c>
      <c r="CV154" s="2" t="e">
        <f ca="1">_xll.BDH($C$153,"ALTMAN_Z_SCORE","FQ1 2014","FQ1 2014","Currency=INR","Period=FQ","BEST_FPERIOD_OVERRIDE=FQ","FILING_STATUS=OR","EQY_CONSOLIDATED=Y","Sort=A","Dates=H","DateFormat=P","Fill=—","Direction=H","UseDPDF=Y")</f>
        <v>#NAME?</v>
      </c>
      <c r="CW154" s="4" t="e">
        <f ca="1">_xll.BDH($C$153,"ACCT_RCV_TURN","FQ1 2014","FQ1 2014","Currency=INR","Period=FQ","BEST_FPERIOD_OVERRIDE=FQ","FILING_STATUS=OR","EQY_CONSOLIDATED=Y","FA_ADJUSTED=GAAP","Sort=A","Dates=H","DateFormat=P","Fill=—","Direction=H","UseDPDF=Y")</f>
        <v>#NAME?</v>
      </c>
      <c r="CX154" s="2" t="e">
        <f ca="1">_xll.BDH($C$153,"ACCT_RCV_DAYS","FQ1 2014","FQ1 2014","Currency=INR","Period=FQ","BEST_FPERIOD_OVERRIDE=FQ","FILING_STATUS=OR","EQY_CONSOLIDATED=Y","FA_ADJUSTED=GAAP","Sort=A","Dates=H","DateFormat=P","Fill=—","Direction=H","UseDPDF=Y")</f>
        <v>#NAME?</v>
      </c>
      <c r="CY154" s="4" t="e">
        <f ca="1">_xll.BDH($C$153,"INVENT_TURN","FQ1 2014","FQ1 2014","Currency=INR","Period=FQ","BEST_FPERIOD_OVERRIDE=FQ","FILING_STATUS=OR","EQY_CONSOLIDATED=Y","FA_ADJUSTED=GAAP","Sort=A","Dates=H","DateFormat=P","Fill=—","Direction=H","UseDPDF=Y")</f>
        <v>#NAME?</v>
      </c>
      <c r="CZ154" s="2" t="e">
        <f ca="1">_xll.BDH($C$153,"INVENT_DAYS","FQ1 2014","FQ1 2014","Currency=INR","Period=FQ","BEST_FPERIOD_OVERRIDE=FQ","FILING_STATUS=OR","EQY_CONSOLIDATED=Y","FA_ADJUSTED=GAAP","Sort=A","Dates=H","DateFormat=P","Fill=—","Direction=H","UseDPDF=Y")</f>
        <v>#NAME?</v>
      </c>
      <c r="DA154" s="4" t="e">
        <f ca="1">_xll.BDH($C$153,"ACCOUNTS_PAYABLE_TURNOVER","FQ1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154" s="2" t="e">
        <f ca="1">_xll.BDH($C$153,"ACCOUNTS_PAYABLE_TURNOVER_DAYS","FQ1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154" s="4" t="e">
        <f ca="1">_xll.BDH($C$153,"CASH_CONVERSION_CYCLE","FQ1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154" s="4" t="e">
        <f ca="1">_xll.BDH($C$153,"INV_TO_CASH_DAYS","FQ1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154" s="5" t="e">
        <f ca="1">_xll.BDH($C$153,"BS_INVENTORIES","FQ1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154" s="3" t="e">
        <f ca="1">_xll.BDH($C$153,"INVTRY_RAW_MATERIALS","FQ1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154" s="3" t="e">
        <f ca="1">_xll.BDH($C$153,"INVTRY_IN_PROGRESS","FQ1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154" s="3" t="e">
        <f ca="1">_xll.BDH($C$153,"INVTRY_FINISHED_GOODS","FQ1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154" s="3" t="e">
        <f ca="1">_xll.BDH($C$153,"BS_OTHER_INV","FQ1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155" spans="1:113" x14ac:dyDescent="0.3">
      <c r="A155" s="6"/>
      <c r="B155" s="6"/>
      <c r="C155" s="6"/>
      <c r="D155" s="6"/>
      <c r="E155" t="s">
        <v>79</v>
      </c>
      <c r="F155" t="e">
        <f ca="1">_xll.BDH($C$153,"RETURN_COM_EQY","FQ2 2014","FQ2 2014","Currency=INR","Period=FQ","BEST_FPERIOD_OVERRIDE=FQ","FILING_STATUS=OR","EQY_CONSOLIDATED=Y","FA_ADJUSTED=GAAP","Sort=A","Dates=H","DateFormat=P","Fill=—","Direction=H","UseDPDF=Y")</f>
        <v>#NAME?</v>
      </c>
      <c r="G155" t="e">
        <f ca="1">_xll.BDH($C$153,"RETURN_ON_ASSET","FQ2 2014","FQ2 2014","Currency=INR","Period=FQ","BEST_FPERIOD_OVERRIDE=FQ","FILING_STATUS=OR","EQY_CONSOLIDATED=Y","FA_ADJUSTED=GAAP","Sort=A","Dates=H","DateFormat=P","Fill=—","Direction=H","UseDPDF=Y")</f>
        <v>#NAME?</v>
      </c>
      <c r="H155" t="e">
        <f ca="1">_xll.BDH($C$153,"RETURN_ON_CAP","FQ2 2014","FQ2 2014","Currency=INR","Period=FQ","BEST_FPERIOD_OVERRIDE=FQ","FILING_STATUS=OR","EQY_CONSOLIDATED=Y","FA_ADJUSTED=GAAP","Sort=A","Dates=H","DateFormat=P","Fill=—","Direction=H","UseDPDF=Y")</f>
        <v>#NAME?</v>
      </c>
      <c r="I155" t="e">
        <f ca="1">_xll.BDH($C$153,"RETURN_ON_INV_CAPITAL","FQ2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155" t="e">
        <f ca="1">_xll.BDH($C$153,"EBITDA_TO_REVENUE","FQ2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155" t="e">
        <f ca="1">_xll.BDH($C$153,"OPER_MARGIN","FQ2 2014","FQ2 2014","Currency=INR","Period=FQ","BEST_FPERIOD_OVERRIDE=FQ","FILING_STATUS=OR","EQY_CONSOLIDATED=Y","FA_ADJUSTED=GAAP","Sort=A","Dates=H","DateFormat=P","Fill=—","Direction=H","UseDPDF=Y")</f>
        <v>#NAME?</v>
      </c>
      <c r="L155" t="e">
        <f ca="1">_xll.BDH($C$153,"INCREMENTAL_OPERATING_MARGIN","FQ2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155" t="e">
        <f ca="1">_xll.BDH($C$153,"PRETAX_INC_TO_NET_SALES","FQ2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155" t="e">
        <f ca="1">_xll.BDH($C$153,"INC_BEF_XO_ITEMS_TO_NET_SALES","FQ2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155" t="e">
        <f ca="1">_xll.BDH($C$153,"PROF_MARGIN","FQ2 2014","FQ2 2014","Currency=INR","Period=FQ","BEST_FPERIOD_OVERRIDE=FQ","FILING_STATUS=OR","EQY_CONSOLIDATED=Y","FA_ADJUSTED=GAAP","Sort=A","Dates=H","DateFormat=P","Fill=—","Direction=H","UseDPDF=Y")</f>
        <v>#NAME?</v>
      </c>
      <c r="P155" t="e">
        <f ca="1">_xll.BDH($C$153,"NET_INCOME_TO_COMMON_MARGIN","FQ2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155" t="e">
        <f ca="1">_xll.BDH($C$153,"EFF_TAX_RATE","FQ2 2014","FQ2 2014","Currency=INR","Period=FQ","BEST_FPERIOD_OVERRIDE=FQ","FILING_STATUS=OR","EQY_CONSOLIDATED=Y","FA_ADJUSTED=GAAP","Sort=A","Dates=H","DateFormat=P","Fill=—","Direction=H","UseDPDF=Y")</f>
        <v>#NAME?</v>
      </c>
      <c r="R155" t="e">
        <f ca="1">_xll.BDH($C$153,"DVD_PAYOUT_RATIO","FQ2 2014","FQ2 2014","Currency=INR","Period=FQ","BEST_FPERIOD_OVERRIDE=FQ","FILING_STATUS=OR","EQY_CONSOLIDATED=Y","FA_ADJUSTED=GAAP","Sort=A","Dates=H","DateFormat=P","Fill=—","Direction=H","UseDPDF=Y")</f>
        <v>#NAME?</v>
      </c>
      <c r="S155" t="e">
        <f ca="1">_xll.BDH($C$153,"SUSTAIN_GROWTH_RT","FQ2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155" s="2" t="e">
        <f ca="1">_xll.BDH($C$153,"SALES_GROWTH","FQ2 2014","FQ2 2014","Currency=INR","Period=FQ","BEST_FPERIOD_OVERRIDE=FQ","FILING_STATUS=OR","EQY_CONSOLIDATED=Y","FA_ADJUSTED=GAAP","Sort=A","Dates=H","DateFormat=P","Fill=—","Direction=H","UseDPDF=Y")</f>
        <v>#NAME?</v>
      </c>
      <c r="U155" s="2" t="e">
        <f ca="1">_xll.BDH($C$153,"EBITDA_GROWTH","FQ2 2014","FQ2 2014","Currency=INR","Period=FQ","BEST_FPERIOD_OVERRIDE=FQ","FILING_STATUS=OR","EQY_CONSOLIDATED=Y","FA_ADJUSTED=GAAP","Sort=A","Dates=H","DateFormat=P","Fill=—","Direction=H","UseDPDF=Y")</f>
        <v>#NAME?</v>
      </c>
      <c r="V155" s="2" t="e">
        <f ca="1">_xll.BDH($C$153,"OPER_INC_GROWTH","FQ2 2014","FQ2 2014","Currency=INR","Period=FQ","BEST_FPERIOD_OVERRIDE=FQ","FILING_STATUS=OR","EQY_CONSOLIDATED=Y","FA_ADJUSTED=GAAP","Sort=A","Dates=H","DateFormat=P","Fill=—","Direction=H","UseDPDF=Y")</f>
        <v>#NAME?</v>
      </c>
      <c r="W155" s="2" t="e">
        <f ca="1">_xll.BDH($C$153,"EARN_FOR_COM_GROWTH","FQ2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155" s="2" t="e">
        <f ca="1">_xll.BDH($C$153,"DILUTED_EPS_AFT_XO_ITEMS_GROWTH","FQ2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155" s="2" t="e">
        <f ca="1">_xll.BDH($C$153,"DIVIDEND_PER_SHARE_1_YEAR_GROWTH","FQ2 2014","FQ2 2014","Currency=INR","Period=FQ","BEST_FPERIOD_OVERRIDE=FQ","FILING_STATUS=OR","EQY_CONSOLIDATED=Y","Sort=A","Dates=H","DateFormat=P","Fill=—","Direction=H","UseDPDF=Y")</f>
        <v>#NAME?</v>
      </c>
      <c r="Z155" s="2" t="e">
        <f ca="1">_xll.BDH($C$153,"ACCOUNTS_RECEIVABLE_GROWTH","FQ2 2014","FQ2 2014","Currency=INR","Period=FQ","BEST_FPERIOD_OVERRIDE=FQ","FILING_STATUS=OR","EQY_CONSOLIDATED=Y","Sort=A","Dates=H","DateFormat=P","Fill=—","Direction=H","UseDPDF=Y")</f>
        <v>#NAME?</v>
      </c>
      <c r="AA155" s="2" t="e">
        <f ca="1">_xll.BDH($C$153,"INVENTORY_GROWTH","FQ2 2014","FQ2 2014","Currency=INR","Period=FQ","BEST_FPERIOD_OVERRIDE=FQ","FILING_STATUS=OR","EQY_CONSOLIDATED=Y","Sort=A","Dates=H","DateFormat=P","Fill=—","Direction=H","UseDPDF=Y")</f>
        <v>#NAME?</v>
      </c>
      <c r="AB155" s="2" t="e">
        <f ca="1">_xll.BDH($C$153,"NET_FIXED_ASSETS_1_YEAR_GROWTH","FQ2 2014","FQ2 2014","Currency=INR","Period=FQ","BEST_FPERIOD_OVERRIDE=FQ","FILING_STATUS=OR","EQY_CONSOLIDATED=Y","Sort=A","Dates=H","DateFormat=P","Fill=—","Direction=H","UseDPDF=Y")</f>
        <v>#NAME?</v>
      </c>
      <c r="AC155" s="2" t="e">
        <f ca="1">_xll.BDH($C$153,"ASSET_GROWTH","FQ2 2014","FQ2 2014","Currency=INR","Period=FQ","BEST_FPERIOD_OVERRIDE=FQ","FILING_STATUS=OR","EQY_CONSOLIDATED=Y","Sort=A","Dates=H","DateFormat=P","Fill=—","Direction=H","UseDPDF=Y")</f>
        <v>#NAME?</v>
      </c>
      <c r="AD155" s="2" t="e">
        <f ca="1">_xll.BDH($C$153,"MODIFIED_WORK_CAP_GROWTH","FQ2 2014","FQ2 2014","Currency=INR","Period=FQ","BEST_FPERIOD_OVERRIDE=FQ","FILING_STATUS=OR","EQY_CONSOLIDATED=Y","Sort=A","Dates=H","DateFormat=P","Fill=—","Direction=H","UseDPDF=Y")</f>
        <v>#NAME?</v>
      </c>
      <c r="AE155" s="2" t="e">
        <f ca="1">_xll.BDH($C$153,"WORK_CAP_GROWTH","FQ2 2014","FQ2 2014","Currency=INR","Period=FQ","BEST_FPERIOD_OVERRIDE=FQ","FILING_STATUS=OR","EQY_CONSOLIDATED=Y","Sort=A","Dates=H","DateFormat=P","Fill=—","Direction=H","UseDPDF=Y")</f>
        <v>#NAME?</v>
      </c>
      <c r="AF155" s="2" t="e">
        <f ca="1">_xll.BDH($C$153,"ACCOUNTS_PAYABLE_GROWTH_1YR","FQ2 2014","FQ2 2014","Currency=INR","Period=FQ","BEST_FPERIOD_OVERRIDE=FQ","FILING_STATUS=OR","EQY_CONSOLIDATED=Y","Sort=A","Dates=H","DateFormat=P","Fill=—","Direction=H","UseDPDF=Y")</f>
        <v>#NAME?</v>
      </c>
      <c r="AG155" s="2" t="e">
        <f ca="1">_xll.BDH($C$153,"SHORT_TERM_DEBT_1_YEAR_GROWTH","FQ2 2014","FQ2 2014","Currency=INR","Period=FQ","BEST_FPERIOD_OVERRIDE=FQ","FILING_STATUS=OR","EQY_CONSOLIDATED=Y","Sort=A","Dates=H","DateFormat=P","Fill=—","Direction=H","UseDPDF=Y")</f>
        <v>#NAME?</v>
      </c>
      <c r="AH155" s="2" t="e">
        <f ca="1">_xll.BDH($C$153,"TOTAL_DEBT_1_YEAR_GROWTH","FQ2 2014","FQ2 2014","Currency=INR","Period=FQ","BEST_FPERIOD_OVERRIDE=FQ","FILING_STATUS=OR","EQY_CONSOLIDATED=Y","Sort=A","Dates=H","DateFormat=P","Fill=—","Direction=H","UseDPDF=Y")</f>
        <v>#NAME?</v>
      </c>
      <c r="AI155" s="2" t="e">
        <f ca="1">_xll.BDH($C$153,"TOTAL_EQUITY_1_YEAR_GROWTH","FQ2 2014","FQ2 2014","Currency=INR","Period=FQ","BEST_FPERIOD_OVERRIDE=FQ","FILING_STATUS=OR","EQY_CONSOLIDATED=Y","Sort=A","Dates=H","DateFormat=P","Fill=—","Direction=H","UseDPDF=Y")</f>
        <v>#NAME?</v>
      </c>
      <c r="AJ155" s="2" t="e">
        <f ca="1">_xll.BDH($C$153,"GROWTH_IN_CAP","FQ2 2014","FQ2 2014","Currency=INR","Period=FQ","BEST_FPERIOD_OVERRIDE=FQ","FILING_STATUS=OR","EQY_CONSOLIDATED=Y","Sort=A","Dates=H","DateFormat=P","Fill=—","Direction=H","UseDPDF=Y")</f>
        <v>#NAME?</v>
      </c>
      <c r="AK155" s="2" t="e">
        <f ca="1">_xll.BDH($C$153,"BVPS_GROWTH","FQ2 2014","FQ2 2014","Currency=INR","Period=FQ","BEST_FPERIOD_OVERRIDE=FQ","FILING_STATUS=OR","EQY_CONSOLIDATED=Y","Sort=A","Dates=H","DateFormat=P","Fill=—","Direction=H","UseDPDF=Y")</f>
        <v>#NAME?</v>
      </c>
      <c r="AL155" s="2" t="e">
        <f ca="1">_xll.BDH($C$153,"CASH_FLOW_GROWTH","FQ2 2014","FQ2 2014","Currency=INR","Period=FQ","BEST_FPERIOD_OVERRIDE=FQ","FILING_STATUS=OR","EQY_CONSOLIDATED=Y","Sort=A","Dates=H","DateFormat=P","Fill=—","Direction=H","UseDPDF=Y")</f>
        <v>#NAME?</v>
      </c>
      <c r="AM155" s="2" t="e">
        <f ca="1">_xll.BDH($C$153,"GEO_GROW_NET_SALES","FQ2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155" s="2" t="e">
        <f ca="1">_xll.BDH($C$153,"GEO_GROW_EBITDA","FQ2 2014","FQ2 2014","Currency=INR","Period=FQ","BEST_FPERIOD_OVERRIDE=FQ","FILING_STATUS=OR","EQY_CONSOLIDATED=Y","FA_ADJUSTED=GAAP","Sort=A","Dates=H","DateFormat=P","Fill=—","Direction=H","UseDPDF=Y")</f>
        <v>#NAME?</v>
      </c>
      <c r="AO155" s="2" t="e">
        <f ca="1">_xll.BDH($C$153,"GEO_GROW_OPER_INC","FQ2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155" s="2" t="e">
        <f ca="1">_xll.BDH($C$153,"NET_INCOME_TO_COMMON_5_YR_GROWTH","FQ2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155" s="2" t="e">
        <f ca="1">_xll.BDH($C$153,"5Y_GEO_GROWTH_DILUTED_EPS","FQ2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155" s="2" t="e">
        <f ca="1">_xll.BDH($C$153,"GEO_GROW_DVD_PER_SH","FQ2 2014","FQ2 2014","Currency=INR","Period=FQ","BEST_FPERIOD_OVERRIDE=FQ","FILING_STATUS=OR","EQY_CONSOLIDATED=Y","Sort=A","Dates=H","DateFormat=P","Fill=—","Direction=H","UseDPDF=Y")</f>
        <v>#NAME?</v>
      </c>
      <c r="AS155" s="2" t="e">
        <f ca="1">_xll.BDH($C$153,"ACCOUNTS_RECEIVABLE_5_YR_GROWTH","FQ2 2014","FQ2 2014","Currency=INR","Period=FQ","BEST_FPERIOD_OVERRIDE=FQ","FILING_STATUS=OR","EQY_CONSOLIDATED=Y","Sort=A","Dates=H","DateFormat=P","Fill=—","Direction=H","UseDPDF=Y")</f>
        <v>#NAME?</v>
      </c>
      <c r="AT155" s="2" t="e">
        <f ca="1">_xll.BDH($C$153,"INVENTORY_5_YEAR_GROWTH","FQ2 2014","FQ2 2014","Currency=INR","Period=FQ","BEST_FPERIOD_OVERRIDE=FQ","FILING_STATUS=OR","EQY_CONSOLIDATED=Y","Sort=A","Dates=H","DateFormat=P","Fill=—","Direction=H","UseDPDF=Y")</f>
        <v>#NAME?</v>
      </c>
      <c r="AU155" s="2" t="e">
        <f ca="1">_xll.BDH($C$153,"NET_FIXED_ASSETS_5_YEAR_GROWTH","FQ2 2014","FQ2 2014","Currency=INR","Period=FQ","BEST_FPERIOD_OVERRIDE=FQ","FILING_STATUS=OR","EQY_CONSOLIDATED=Y","Sort=A","Dates=H","DateFormat=P","Fill=—","Direction=H","UseDPDF=Y")</f>
        <v>#NAME?</v>
      </c>
      <c r="AV155" s="2" t="e">
        <f ca="1">_xll.BDH($C$153,"GEO_GROW_TOT_ASSET","FQ2 2014","FQ2 2014","Currency=INR","Period=FQ","BEST_FPERIOD_OVERRIDE=FQ","FILING_STATUS=OR","EQY_CONSOLIDATED=Y","Sort=A","Dates=H","DateFormat=P","Fill=—","Direction=H","UseDPDF=Y")</f>
        <v>#NAME?</v>
      </c>
      <c r="AW155" s="2" t="e">
        <f ca="1">_xll.BDH($C$153,"MODIFIED_WORKING_CPTL_5YR_GRWTH","FQ2 2014","FQ2 2014","Currency=INR","Period=FQ","BEST_FPERIOD_OVERRIDE=FQ","FILING_STATUS=OR","EQY_CONSOLIDATED=Y","Sort=A","Dates=H","DateFormat=P","Fill=—","Direction=H","UseDPDF=Y")</f>
        <v>#NAME?</v>
      </c>
      <c r="AX155" s="2" t="e">
        <f ca="1">_xll.BDH($C$153,"WORKING_CAPITAL_5_YEAR_GROWTH","FQ2 2014","FQ2 2014","Currency=INR","Period=FQ","BEST_FPERIOD_OVERRIDE=FQ","FILING_STATUS=OR","EQY_CONSOLIDATED=Y","Sort=A","Dates=H","DateFormat=P","Fill=—","Direction=H","UseDPDF=Y")</f>
        <v>#NAME?</v>
      </c>
      <c r="AY155" s="2" t="e">
        <f ca="1">_xll.BDH($C$153,"ACCOUNTS_PAYABLE_5_YEAR_GROWTH","FQ2 2014","FQ2 2014","Currency=INR","Period=FQ","BEST_FPERIOD_OVERRIDE=FQ","FILING_STATUS=OR","EQY_CONSOLIDATED=Y","Sort=A","Dates=H","DateFormat=P","Fill=—","Direction=H","UseDPDF=Y")</f>
        <v>#NAME?</v>
      </c>
      <c r="AZ155" s="2" t="e">
        <f ca="1">_xll.BDH($C$153,"SHORT_TERM_DEBT_5_YEAR_GROWTH","FQ2 2014","FQ2 2014","Currency=INR","Period=FQ","BEST_FPERIOD_OVERRIDE=FQ","FILING_STATUS=OR","EQY_CONSOLIDATED=Y","Sort=A","Dates=H","DateFormat=P","Fill=—","Direction=H","UseDPDF=Y")</f>
        <v>#NAME?</v>
      </c>
      <c r="BA155" s="2" t="e">
        <f ca="1">_xll.BDH($C$153,"TOTAL_DEBT_5_YEAR_GROWTH","FQ2 2014","FQ2 2014","Currency=INR","Period=FQ","BEST_FPERIOD_OVERRIDE=FQ","FILING_STATUS=OR","EQY_CONSOLIDATED=Y","Sort=A","Dates=H","DateFormat=P","Fill=—","Direction=H","UseDPDF=Y")</f>
        <v>#NAME?</v>
      </c>
      <c r="BB155" s="2" t="e">
        <f ca="1">_xll.BDH($C$153,"GEO_GROW_TOT_SHRHLDR_EQY","FQ2 2014","FQ2 2014","Currency=INR","Period=FQ","BEST_FPERIOD_OVERRIDE=FQ","FILING_STATUS=OR","EQY_CONSOLIDATED=Y","Sort=A","Dates=H","DateFormat=P","Fill=—","Direction=H","UseDPDF=Y")</f>
        <v>#NAME?</v>
      </c>
      <c r="BC155" s="2" t="e">
        <f ca="1">_xll.BDH($C$153,"TOTAL_CAPITAL_5_YEAR_GROWTH","FQ2 2014","FQ2 2014","Currency=INR","Period=FQ","BEST_FPERIOD_OVERRIDE=FQ","FILING_STATUS=OR","EQY_CONSOLIDATED=Y","Sort=A","Dates=H","DateFormat=P","Fill=—","Direction=H","UseDPDF=Y")</f>
        <v>#NAME?</v>
      </c>
      <c r="BD155" s="2" t="e">
        <f ca="1">_xll.BDH($C$153,"GEO_GROW_BOOK_VAL","FQ2 2014","FQ2 2014","Currency=INR","Period=FQ","BEST_FPERIOD_OVERRIDE=FQ","FILING_STATUS=OR","EQY_CONSOLIDATED=Y","Sort=A","Dates=H","DateFormat=P","Fill=—","Direction=H","UseDPDF=Y")</f>
        <v>#NAME?</v>
      </c>
      <c r="BE155" s="2" t="e">
        <f ca="1">_xll.BDH($C$153,"GEO_GROW_CASH_OPER_ACT","FQ2 2014","FQ2 2014","Currency=INR","Period=FQ","BEST_FPERIOD_OVERRIDE=FQ","FILING_STATUS=OR","EQY_CONSOLIDATED=Y","Sort=A","Dates=H","DateFormat=P","Fill=—","Direction=H","UseDPDF=Y")</f>
        <v>#NAME?</v>
      </c>
      <c r="BF155" s="2" t="e">
        <f ca="1">_xll.BDH($C$153,"REVENUE_SEQUENTIAL_GROWTH","FQ2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155" s="2" t="e">
        <f ca="1">_xll.BDH($C$153,"EBITDA_SEQUENTIAL_GROWTH","FQ2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155" s="2" t="e">
        <f ca="1">_xll.BDH($C$153,"OPERATING_INCOME_SEQ_GROWTH","FQ2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155" s="2" t="e">
        <f ca="1">_xll.BDH($C$153,"NET_INCOME_TO_COMMON_SEQ_GROWTH","FQ2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155" s="2" t="e">
        <f ca="1">_xll.BDH($C$153,"EPS_DILUTED_SEQUENTIAL_GROWTH","FQ2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155" s="2" t="e">
        <f ca="1">_xll.BDH($C$153,"DPS_SEQUENTIAL_GROWTH","FQ2 2014","FQ2 2014","Currency=INR","Period=FQ","BEST_FPERIOD_OVERRIDE=FQ","FILING_STATUS=OR","EQY_CONSOLIDATED=Y","Sort=A","Dates=H","DateFormat=P","Fill=—","Direction=H","UseDPDF=Y")</f>
        <v>#NAME?</v>
      </c>
      <c r="BL155" s="2" t="e">
        <f ca="1">_xll.BDH($C$153,"ACCOUNTS_RECEIVABLE_SEQ_GROWTH","FQ2 2014","FQ2 2014","Currency=INR","Period=FQ","BEST_FPERIOD_OVERRIDE=FQ","FILING_STATUS=OR","EQY_CONSOLIDATED=Y","Sort=A","Dates=H","DateFormat=P","Fill=—","Direction=H","UseDPDF=Y")</f>
        <v>#NAME?</v>
      </c>
      <c r="BM155" s="2" t="e">
        <f ca="1">_xll.BDH($C$153,"INVENTORY_SEQUENTIAL_GROWTH","FQ2 2014","FQ2 2014","Currency=INR","Period=FQ","BEST_FPERIOD_OVERRIDE=FQ","FILING_STATUS=OR","EQY_CONSOLIDATED=Y","Sort=A","Dates=H","DateFormat=P","Fill=—","Direction=H","UseDPDF=Y")</f>
        <v>#NAME?</v>
      </c>
      <c r="BN155" s="2" t="e">
        <f ca="1">_xll.BDH($C$153,"FIXED_ASSETS_SEQUENTIAL_GROWTH","FQ2 2014","FQ2 2014","Currency=INR","Period=FQ","BEST_FPERIOD_OVERRIDE=FQ","FILING_STATUS=OR","EQY_CONSOLIDATED=Y","Sort=A","Dates=H","DateFormat=P","Fill=—","Direction=H","UseDPDF=Y")</f>
        <v>#NAME?</v>
      </c>
      <c r="BO155" s="2" t="e">
        <f ca="1">_xll.BDH($C$153,"TOTAL_ASSETS_SEQUENTIAL_GROWTH","FQ2 2014","FQ2 2014","Currency=INR","Period=FQ","BEST_FPERIOD_OVERRIDE=FQ","FILING_STATUS=OR","EQY_CONSOLIDATED=Y","Sort=A","Dates=H","DateFormat=P","Fill=—","Direction=H","UseDPDF=Y")</f>
        <v>#NAME?</v>
      </c>
      <c r="BP155" s="2" t="e">
        <f ca="1">_xll.BDH($C$153,"MODIFIED_WORKING_CPTL_SEQ_GRWTH","FQ2 2014","FQ2 2014","Currency=INR","Period=FQ","BEST_FPERIOD_OVERRIDE=FQ","FILING_STATUS=OR","EQY_CONSOLIDATED=Y","Sort=A","Dates=H","DateFormat=P","Fill=—","Direction=H","UseDPDF=Y")</f>
        <v>#NAME?</v>
      </c>
      <c r="BQ155" s="2" t="e">
        <f ca="1">_xll.BDH($C$153,"WORKING_CAPITAL_SEQ_GROWTH","FQ2 2014","FQ2 2014","Currency=INR","Period=FQ","BEST_FPERIOD_OVERRIDE=FQ","FILING_STATUS=OR","EQY_CONSOLIDATED=Y","Sort=A","Dates=H","DateFormat=P","Fill=—","Direction=H","UseDPDF=Y")</f>
        <v>#NAME?</v>
      </c>
      <c r="BR155" s="2" t="e">
        <f ca="1">_xll.BDH($C$153,"ACCOUNTS_PAYABLE_SEQ_GROWTH","FQ2 2014","FQ2 2014","Currency=INR","Period=FQ","BEST_FPERIOD_OVERRIDE=FQ","FILING_STATUS=OR","EQY_CONSOLIDATED=Y","Sort=A","Dates=H","DateFormat=P","Fill=—","Direction=H","UseDPDF=Y")</f>
        <v>#NAME?</v>
      </c>
      <c r="BS155" s="2" t="e">
        <f ca="1">_xll.BDH($C$153,"ST_DEBT_SEQUENTIAL_GROWTH","FQ2 2014","FQ2 2014","Currency=INR","Period=FQ","BEST_FPERIOD_OVERRIDE=FQ","FILING_STATUS=OR","EQY_CONSOLIDATED=Y","Sort=A","Dates=H","DateFormat=P","Fill=—","Direction=H","UseDPDF=Y")</f>
        <v>#NAME?</v>
      </c>
      <c r="BT155" s="2" t="e">
        <f ca="1">_xll.BDH($C$153,"TOTAL_DEBT_SEQUENTIAL_GROWTH","FQ2 2014","FQ2 2014","Currency=INR","Period=FQ","BEST_FPERIOD_OVERRIDE=FQ","FILING_STATUS=OR","EQY_CONSOLIDATED=Y","Sort=A","Dates=H","DateFormat=P","Fill=—","Direction=H","UseDPDF=Y")</f>
        <v>#NAME?</v>
      </c>
      <c r="BU155" s="2" t="e">
        <f ca="1">_xll.BDH($C$153,"TOTAL_EQUITY_SEQUENTIAL_GROWTH","FQ2 2014","FQ2 2014","Currency=INR","Period=FQ","BEST_FPERIOD_OVERRIDE=FQ","FILING_STATUS=OR","EQY_CONSOLIDATED=Y","Sort=A","Dates=H","DateFormat=P","Fill=—","Direction=H","UseDPDF=Y")</f>
        <v>#NAME?</v>
      </c>
      <c r="BV155" s="2" t="e">
        <f ca="1">_xll.BDH($C$153,"TOTAL_CAPITAL_SEQUENTIAL_GROWTH","FQ2 2014","FQ2 2014","Currency=INR","Period=FQ","BEST_FPERIOD_OVERRIDE=FQ","FILING_STATUS=OR","EQY_CONSOLIDATED=Y","Sort=A","Dates=H","DateFormat=P","Fill=—","Direction=H","UseDPDF=Y")</f>
        <v>#NAME?</v>
      </c>
      <c r="BW155" s="2" t="e">
        <f ca="1">_xll.BDH($C$153,"BPS_SEQUENTIAL_GROWTH","FQ2 2014","FQ2 2014","Currency=INR","Period=FQ","BEST_FPERIOD_OVERRIDE=FQ","FILING_STATUS=OR","EQY_CONSOLIDATED=Y","Sort=A","Dates=H","DateFormat=P","Fill=—","Direction=H","UseDPDF=Y")</f>
        <v>#NAME?</v>
      </c>
      <c r="BX155" s="2" t="e">
        <f ca="1">_xll.BDH($C$153,"CFO_SEQUENTIAL_GROWTH","FQ2 2014","FQ2 2014","Currency=INR","Period=FQ","BEST_FPERIOD_OVERRIDE=FQ","FILING_STATUS=OR","EQY_CONSOLIDATED=Y","Sort=A","Dates=H","DateFormat=P","Fill=—","Direction=H","UseDPDF=Y")</f>
        <v>#NAME?</v>
      </c>
      <c r="BY155" s="3" t="e">
        <f ca="1">_xll.BDH($C$153,"SHORT_AND_LONG_TERM_DEBT","FQ2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155" s="3" t="e">
        <f ca="1">_xll.BDH($C$153,"BS_ST_BORROW","FQ2 2014","FQ2 2014","Currency=INR","Period=FQ","BEST_FPERIOD_OVERRIDE=FQ","FILING_STATUS=OR","EQY_CONSOLIDATED=Y","SCALING_FORMAT=MLN","Sort=A","Dates=H","DateFormat=P","Fill=—","Direction=H","UseDPDF=Y")</f>
        <v>#NAME?</v>
      </c>
      <c r="CA155" s="3" t="e">
        <f ca="1">_xll.BDH($C$153,"BS_LT_BORROW","FQ2 2014","FQ2 2014","Currency=INR","Period=FQ","BEST_FPERIOD_OVERRIDE=FQ","FILING_STATUS=OR","EQY_CONSOLIDATED=Y","SCALING_FORMAT=MLN","Sort=A","Dates=H","DateFormat=P","Fill=—","Direction=H","UseDPDF=Y")</f>
        <v>#NAME?</v>
      </c>
      <c r="CB155" s="2" t="e">
        <f ca="1">_xll.BDH($C$153,"TOT_DEBT_TO_EBITDA","FQ2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155" s="2" t="e">
        <f ca="1">_xll.BDH($C$153,"NET_DEBT_TO_EBITDA","FQ2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155" s="2" t="e">
        <f ca="1">_xll.BDH($C$153,"TOTAL_DEBT_TO_EBIT","FQ2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155" s="2" t="e">
        <f ca="1">_xll.BDH($C$153,"NET_DEBT_TO_EBIT","FQ2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155" s="2" t="e">
        <f ca="1">_xll.BDH($C$153,"EBITDA_TO_INTEREST_EXPN","FQ2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155" s="2" t="e">
        <f ca="1">_xll.BDH($C$153,"COM_EQY_TO_TOT_ASSET","FQ2 2014","FQ2 2014","Currency=INR","Period=FQ","BEST_FPERIOD_OVERRIDE=FQ","FILING_STATUS=OR","EQY_CONSOLIDATED=Y","Sort=A","Dates=H","DateFormat=P","Fill=—","Direction=H","UseDPDF=Y")</f>
        <v>#NAME?</v>
      </c>
      <c r="CH155" s="2" t="e">
        <f ca="1">_xll.BDH($C$153,"LT_DEBT_TO_TOT_EQY","FQ2 2014","FQ2 2014","Currency=INR","Period=FQ","BEST_FPERIOD_OVERRIDE=FQ","FILING_STATUS=OR","EQY_CONSOLIDATED=Y","Sort=A","Dates=H","DateFormat=P","Fill=—","Direction=H","UseDPDF=Y")</f>
        <v>#NAME?</v>
      </c>
      <c r="CI155" s="2" t="e">
        <f ca="1">_xll.BDH($C$153,"LT_DEBT_TO_TOT_CAP","FQ2 2014","FQ2 2014","Currency=INR","Period=FQ","BEST_FPERIOD_OVERRIDE=FQ","FILING_STATUS=OR","EQY_CONSOLIDATED=Y","Sort=A","Dates=H","DateFormat=P","Fill=—","Direction=H","UseDPDF=Y")</f>
        <v>#NAME?</v>
      </c>
      <c r="CJ155" s="2" t="e">
        <f ca="1">_xll.BDH($C$153,"LT_DEBT_TO_TOT_ASSET","FQ2 2014","FQ2 2014","Currency=INR","Period=FQ","BEST_FPERIOD_OVERRIDE=FQ","FILING_STATUS=OR","EQY_CONSOLIDATED=Y","Sort=A","Dates=H","DateFormat=P","Fill=—","Direction=H","UseDPDF=Y")</f>
        <v>#NAME?</v>
      </c>
      <c r="CK155" s="2" t="e">
        <f ca="1">_xll.BDH($C$153,"TOT_DEBT_TO_TOT_EQY","FQ2 2014","FQ2 2014","Currency=INR","Period=FQ","BEST_FPERIOD_OVERRIDE=FQ","FILING_STATUS=OR","EQY_CONSOLIDATED=Y","Sort=A","Dates=H","DateFormat=P","Fill=—","Direction=H","UseDPDF=Y")</f>
        <v>#NAME?</v>
      </c>
      <c r="CL155" s="2" t="e">
        <f ca="1">_xll.BDH($C$153,"TOT_DEBT_TO_TOT_CAP","FQ2 2014","FQ2 2014","Currency=INR","Period=FQ","BEST_FPERIOD_OVERRIDE=FQ","FILING_STATUS=OR","EQY_CONSOLIDATED=Y","Sort=A","Dates=H","DateFormat=P","Fill=—","Direction=H","UseDPDF=Y")</f>
        <v>#NAME?</v>
      </c>
      <c r="CM155" s="2" t="e">
        <f ca="1">_xll.BDH($C$153,"TOT_DEBT_TO_TOT_ASSET","FQ2 2014","FQ2 2014","Currency=INR","Period=FQ","BEST_FPERIOD_OVERRIDE=FQ","FILING_STATUS=OR","EQY_CONSOLIDATED=Y","Sort=A","Dates=H","DateFormat=P","Fill=—","Direction=H","UseDPDF=Y")</f>
        <v>#NAME?</v>
      </c>
      <c r="CN155" s="2" t="e">
        <f ca="1">_xll.BDH($C$153,"NET_DEBT_TO_SHRHLDR_EQTY","FQ2 2014","FQ2 2014","Currency=INR","Period=FQ","BEST_FPERIOD_OVERRIDE=FQ","FILING_STATUS=OR","EQY_CONSOLIDATED=Y","Sort=A","Dates=H","DateFormat=P","Fill=—","Direction=H","UseDPDF=Y")</f>
        <v>#NAME?</v>
      </c>
      <c r="CO155" s="2" t="e">
        <f ca="1">_xll.BDH($C$153,"NET_DEBT_%_CAPITAL","FQ2 2014","FQ2 2014","Currency=INR","Period=FQ","BEST_FPERIOD_OVERRIDE=FQ","FILING_STATUS=OR","EQY_CONSOLIDATED=Y","Sort=A","Dates=H","DateFormat=P","Fill=—","Direction=H","UseDPDF=Y")</f>
        <v>#NAME?</v>
      </c>
      <c r="CP155" s="3" t="e">
        <f ca="1">_xll.BDH($C$153,"EBITDA","FQ2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155" s="3" t="e">
        <f ca="1">_xll.BDH($C$153,"EBITDA_AFTER_CAPEX","FQ2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155" s="3" t="e">
        <f ca="1">_xll.BDH($C$153,"IS_OPER_INC","FQ2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155" s="2" t="e">
        <f ca="1">_xll.BDH($C$153,"CASH_RATIO","FQ2 2014","FQ2 2014","Currency=INR","Period=FQ","BEST_FPERIOD_OVERRIDE=FQ","FILING_STATUS=OR","EQY_CONSOLIDATED=Y","Sort=A","Dates=H","DateFormat=P","Fill=—","Direction=H","UseDPDF=Y")</f>
        <v>#NAME?</v>
      </c>
      <c r="CT155" s="2" t="e">
        <f ca="1">_xll.BDH($C$153,"CUR_RATIO","FQ2 2014","FQ2 2014","Currency=INR","Period=FQ","BEST_FPERIOD_OVERRIDE=FQ","FILING_STATUS=OR","EQY_CONSOLIDATED=Y","Sort=A","Dates=H","DateFormat=P","Fill=—","Direction=H","UseDPDF=Y")</f>
        <v>#NAME?</v>
      </c>
      <c r="CU155" s="2" t="e">
        <f ca="1">_xll.BDH($C$153,"QUICK_RATIO","FQ2 2014","FQ2 2014","Currency=INR","Period=FQ","BEST_FPERIOD_OVERRIDE=FQ","FILING_STATUS=OR","EQY_CONSOLIDATED=Y","Sort=A","Dates=H","DateFormat=P","Fill=—","Direction=H","UseDPDF=Y")</f>
        <v>#NAME?</v>
      </c>
      <c r="CV155" s="2" t="e">
        <f ca="1">_xll.BDH($C$153,"ALTMAN_Z_SCORE","FQ2 2014","FQ2 2014","Currency=INR","Period=FQ","BEST_FPERIOD_OVERRIDE=FQ","FILING_STATUS=OR","EQY_CONSOLIDATED=Y","Sort=A","Dates=H","DateFormat=P","Fill=—","Direction=H","UseDPDF=Y")</f>
        <v>#NAME?</v>
      </c>
      <c r="CW155" s="4" t="e">
        <f ca="1">_xll.BDH($C$153,"ACCT_RCV_TURN","FQ2 2014","FQ2 2014","Currency=INR","Period=FQ","BEST_FPERIOD_OVERRIDE=FQ","FILING_STATUS=OR","EQY_CONSOLIDATED=Y","FA_ADJUSTED=GAAP","Sort=A","Dates=H","DateFormat=P","Fill=—","Direction=H","UseDPDF=Y")</f>
        <v>#NAME?</v>
      </c>
      <c r="CX155" s="2" t="e">
        <f ca="1">_xll.BDH($C$153,"ACCT_RCV_DAYS","FQ2 2014","FQ2 2014","Currency=INR","Period=FQ","BEST_FPERIOD_OVERRIDE=FQ","FILING_STATUS=OR","EQY_CONSOLIDATED=Y","FA_ADJUSTED=GAAP","Sort=A","Dates=H","DateFormat=P","Fill=—","Direction=H","UseDPDF=Y")</f>
        <v>#NAME?</v>
      </c>
      <c r="CY155" s="4" t="e">
        <f ca="1">_xll.BDH($C$153,"INVENT_TURN","FQ2 2014","FQ2 2014","Currency=INR","Period=FQ","BEST_FPERIOD_OVERRIDE=FQ","FILING_STATUS=OR","EQY_CONSOLIDATED=Y","FA_ADJUSTED=GAAP","Sort=A","Dates=H","DateFormat=P","Fill=—","Direction=H","UseDPDF=Y")</f>
        <v>#NAME?</v>
      </c>
      <c r="CZ155" s="2" t="e">
        <f ca="1">_xll.BDH($C$153,"INVENT_DAYS","FQ2 2014","FQ2 2014","Currency=INR","Period=FQ","BEST_FPERIOD_OVERRIDE=FQ","FILING_STATUS=OR","EQY_CONSOLIDATED=Y","FA_ADJUSTED=GAAP","Sort=A","Dates=H","DateFormat=P","Fill=—","Direction=H","UseDPDF=Y")</f>
        <v>#NAME?</v>
      </c>
      <c r="DA155" s="4" t="e">
        <f ca="1">_xll.BDH($C$153,"ACCOUNTS_PAYABLE_TURNOVER","FQ2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155" s="2" t="e">
        <f ca="1">_xll.BDH($C$153,"ACCOUNTS_PAYABLE_TURNOVER_DAYS","FQ2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155" s="4" t="e">
        <f ca="1">_xll.BDH($C$153,"CASH_CONVERSION_CYCLE","FQ2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155" s="4" t="e">
        <f ca="1">_xll.BDH($C$153,"INV_TO_CASH_DAYS","FQ2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155" s="5" t="e">
        <f ca="1">_xll.BDH($C$153,"BS_INVENTORIES","FQ2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155" s="3" t="e">
        <f ca="1">_xll.BDH($C$153,"INVTRY_RAW_MATERIALS","FQ2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155" s="3" t="e">
        <f ca="1">_xll.BDH($C$153,"INVTRY_IN_PROGRESS","FQ2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155" s="3" t="e">
        <f ca="1">_xll.BDH($C$153,"INVTRY_FINISHED_GOODS","FQ2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155" s="3" t="e">
        <f ca="1">_xll.BDH($C$153,"BS_OTHER_INV","FQ2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156" spans="1:113" x14ac:dyDescent="0.3">
      <c r="A156" s="6"/>
      <c r="B156" s="6"/>
      <c r="C156" s="6"/>
      <c r="D156" s="6"/>
      <c r="E156" t="s">
        <v>80</v>
      </c>
      <c r="F156" t="e">
        <f ca="1">_xll.BDH($C$153,"RETURN_COM_EQY","FQ3 2014","FQ3 2014","Currency=INR","Period=FQ","BEST_FPERIOD_OVERRIDE=FQ","FILING_STATUS=OR","EQY_CONSOLIDATED=Y","FA_ADJUSTED=GAAP","Sort=A","Dates=H","DateFormat=P","Fill=—","Direction=H","UseDPDF=Y")</f>
        <v>#NAME?</v>
      </c>
      <c r="G156" t="e">
        <f ca="1">_xll.BDH($C$153,"RETURN_ON_ASSET","FQ3 2014","FQ3 2014","Currency=INR","Period=FQ","BEST_FPERIOD_OVERRIDE=FQ","FILING_STATUS=OR","EQY_CONSOLIDATED=Y","FA_ADJUSTED=GAAP","Sort=A","Dates=H","DateFormat=P","Fill=—","Direction=H","UseDPDF=Y")</f>
        <v>#NAME?</v>
      </c>
      <c r="H156" t="e">
        <f ca="1">_xll.BDH($C$153,"RETURN_ON_CAP","FQ3 2014","FQ3 2014","Currency=INR","Period=FQ","BEST_FPERIOD_OVERRIDE=FQ","FILING_STATUS=OR","EQY_CONSOLIDATED=Y","FA_ADJUSTED=GAAP","Sort=A","Dates=H","DateFormat=P","Fill=—","Direction=H","UseDPDF=Y")</f>
        <v>#NAME?</v>
      </c>
      <c r="I156" t="e">
        <f ca="1">_xll.BDH($C$153,"RETURN_ON_INV_CAPITAL","FQ3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156" t="e">
        <f ca="1">_xll.BDH($C$153,"EBITDA_TO_REVENUE","FQ3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156" t="e">
        <f ca="1">_xll.BDH($C$153,"OPER_MARGIN","FQ3 2014","FQ3 2014","Currency=INR","Period=FQ","BEST_FPERIOD_OVERRIDE=FQ","FILING_STATUS=OR","EQY_CONSOLIDATED=Y","FA_ADJUSTED=GAAP","Sort=A","Dates=H","DateFormat=P","Fill=—","Direction=H","UseDPDF=Y")</f>
        <v>#NAME?</v>
      </c>
      <c r="L156" t="e">
        <f ca="1">_xll.BDH($C$153,"INCREMENTAL_OPERATING_MARGIN","FQ3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156" t="e">
        <f ca="1">_xll.BDH($C$153,"PRETAX_INC_TO_NET_SALES","FQ3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156" t="e">
        <f ca="1">_xll.BDH($C$153,"INC_BEF_XO_ITEMS_TO_NET_SALES","FQ3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156" t="e">
        <f ca="1">_xll.BDH($C$153,"PROF_MARGIN","FQ3 2014","FQ3 2014","Currency=INR","Period=FQ","BEST_FPERIOD_OVERRIDE=FQ","FILING_STATUS=OR","EQY_CONSOLIDATED=Y","FA_ADJUSTED=GAAP","Sort=A","Dates=H","DateFormat=P","Fill=—","Direction=H","UseDPDF=Y")</f>
        <v>#NAME?</v>
      </c>
      <c r="P156" t="e">
        <f ca="1">_xll.BDH($C$153,"NET_INCOME_TO_COMMON_MARGIN","FQ3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156" t="e">
        <f ca="1">_xll.BDH($C$153,"EFF_TAX_RATE","FQ3 2014","FQ3 2014","Currency=INR","Period=FQ","BEST_FPERIOD_OVERRIDE=FQ","FILING_STATUS=OR","EQY_CONSOLIDATED=Y","FA_ADJUSTED=GAAP","Sort=A","Dates=H","DateFormat=P","Fill=—","Direction=H","UseDPDF=Y")</f>
        <v>#NAME?</v>
      </c>
      <c r="R156" t="e">
        <f ca="1">_xll.BDH($C$153,"DVD_PAYOUT_RATIO","FQ3 2014","FQ3 2014","Currency=INR","Period=FQ","BEST_FPERIOD_OVERRIDE=FQ","FILING_STATUS=OR","EQY_CONSOLIDATED=Y","FA_ADJUSTED=GAAP","Sort=A","Dates=H","DateFormat=P","Fill=—","Direction=H","UseDPDF=Y")</f>
        <v>#NAME?</v>
      </c>
      <c r="S156" t="e">
        <f ca="1">_xll.BDH($C$153,"SUSTAIN_GROWTH_RT","FQ3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156" s="2" t="e">
        <f ca="1">_xll.BDH($C$153,"SALES_GROWTH","FQ3 2014","FQ3 2014","Currency=INR","Period=FQ","BEST_FPERIOD_OVERRIDE=FQ","FILING_STATUS=OR","EQY_CONSOLIDATED=Y","FA_ADJUSTED=GAAP","Sort=A","Dates=H","DateFormat=P","Fill=—","Direction=H","UseDPDF=Y")</f>
        <v>#NAME?</v>
      </c>
      <c r="U156" s="2" t="e">
        <f ca="1">_xll.BDH($C$153,"EBITDA_GROWTH","FQ3 2014","FQ3 2014","Currency=INR","Period=FQ","BEST_FPERIOD_OVERRIDE=FQ","FILING_STATUS=OR","EQY_CONSOLIDATED=Y","FA_ADJUSTED=GAAP","Sort=A","Dates=H","DateFormat=P","Fill=—","Direction=H","UseDPDF=Y")</f>
        <v>#NAME?</v>
      </c>
      <c r="V156" s="2" t="e">
        <f ca="1">_xll.BDH($C$153,"OPER_INC_GROWTH","FQ3 2014","FQ3 2014","Currency=INR","Period=FQ","BEST_FPERIOD_OVERRIDE=FQ","FILING_STATUS=OR","EQY_CONSOLIDATED=Y","FA_ADJUSTED=GAAP","Sort=A","Dates=H","DateFormat=P","Fill=—","Direction=H","UseDPDF=Y")</f>
        <v>#NAME?</v>
      </c>
      <c r="W156" s="2" t="e">
        <f ca="1">_xll.BDH($C$153,"EARN_FOR_COM_GROWTH","FQ3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156" s="2" t="e">
        <f ca="1">_xll.BDH($C$153,"DILUTED_EPS_AFT_XO_ITEMS_GROWTH","FQ3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156" s="2" t="e">
        <f ca="1">_xll.BDH($C$153,"DIVIDEND_PER_SHARE_1_YEAR_GROWTH","FQ3 2014","FQ3 2014","Currency=INR","Period=FQ","BEST_FPERIOD_OVERRIDE=FQ","FILING_STATUS=OR","EQY_CONSOLIDATED=Y","Sort=A","Dates=H","DateFormat=P","Fill=—","Direction=H","UseDPDF=Y")</f>
        <v>#NAME?</v>
      </c>
      <c r="Z156" s="2" t="e">
        <f ca="1">_xll.BDH($C$153,"ACCOUNTS_RECEIVABLE_GROWTH","FQ3 2014","FQ3 2014","Currency=INR","Period=FQ","BEST_FPERIOD_OVERRIDE=FQ","FILING_STATUS=OR","EQY_CONSOLIDATED=Y","Sort=A","Dates=H","DateFormat=P","Fill=—","Direction=H","UseDPDF=Y")</f>
        <v>#NAME?</v>
      </c>
      <c r="AA156" s="2" t="e">
        <f ca="1">_xll.BDH($C$153,"INVENTORY_GROWTH","FQ3 2014","FQ3 2014","Currency=INR","Period=FQ","BEST_FPERIOD_OVERRIDE=FQ","FILING_STATUS=OR","EQY_CONSOLIDATED=Y","Sort=A","Dates=H","DateFormat=P","Fill=—","Direction=H","UseDPDF=Y")</f>
        <v>#NAME?</v>
      </c>
      <c r="AB156" s="2" t="e">
        <f ca="1">_xll.BDH($C$153,"NET_FIXED_ASSETS_1_YEAR_GROWTH","FQ3 2014","FQ3 2014","Currency=INR","Period=FQ","BEST_FPERIOD_OVERRIDE=FQ","FILING_STATUS=OR","EQY_CONSOLIDATED=Y","Sort=A","Dates=H","DateFormat=P","Fill=—","Direction=H","UseDPDF=Y")</f>
        <v>#NAME?</v>
      </c>
      <c r="AC156" s="2" t="e">
        <f ca="1">_xll.BDH($C$153,"ASSET_GROWTH","FQ3 2014","FQ3 2014","Currency=INR","Period=FQ","BEST_FPERIOD_OVERRIDE=FQ","FILING_STATUS=OR","EQY_CONSOLIDATED=Y","Sort=A","Dates=H","DateFormat=P","Fill=—","Direction=H","UseDPDF=Y")</f>
        <v>#NAME?</v>
      </c>
      <c r="AD156" s="2" t="e">
        <f ca="1">_xll.BDH($C$153,"MODIFIED_WORK_CAP_GROWTH","FQ3 2014","FQ3 2014","Currency=INR","Period=FQ","BEST_FPERIOD_OVERRIDE=FQ","FILING_STATUS=OR","EQY_CONSOLIDATED=Y","Sort=A","Dates=H","DateFormat=P","Fill=—","Direction=H","UseDPDF=Y")</f>
        <v>#NAME?</v>
      </c>
      <c r="AE156" s="2" t="e">
        <f ca="1">_xll.BDH($C$153,"WORK_CAP_GROWTH","FQ3 2014","FQ3 2014","Currency=INR","Period=FQ","BEST_FPERIOD_OVERRIDE=FQ","FILING_STATUS=OR","EQY_CONSOLIDATED=Y","Sort=A","Dates=H","DateFormat=P","Fill=—","Direction=H","UseDPDF=Y")</f>
        <v>#NAME?</v>
      </c>
      <c r="AF156" s="2" t="e">
        <f ca="1">_xll.BDH($C$153,"ACCOUNTS_PAYABLE_GROWTH_1YR","FQ3 2014","FQ3 2014","Currency=INR","Period=FQ","BEST_FPERIOD_OVERRIDE=FQ","FILING_STATUS=OR","EQY_CONSOLIDATED=Y","Sort=A","Dates=H","DateFormat=P","Fill=—","Direction=H","UseDPDF=Y")</f>
        <v>#NAME?</v>
      </c>
      <c r="AG156" s="2" t="e">
        <f ca="1">_xll.BDH($C$153,"SHORT_TERM_DEBT_1_YEAR_GROWTH","FQ3 2014","FQ3 2014","Currency=INR","Period=FQ","BEST_FPERIOD_OVERRIDE=FQ","FILING_STATUS=OR","EQY_CONSOLIDATED=Y","Sort=A","Dates=H","DateFormat=P","Fill=—","Direction=H","UseDPDF=Y")</f>
        <v>#NAME?</v>
      </c>
      <c r="AH156" s="2" t="e">
        <f ca="1">_xll.BDH($C$153,"TOTAL_DEBT_1_YEAR_GROWTH","FQ3 2014","FQ3 2014","Currency=INR","Period=FQ","BEST_FPERIOD_OVERRIDE=FQ","FILING_STATUS=OR","EQY_CONSOLIDATED=Y","Sort=A","Dates=H","DateFormat=P","Fill=—","Direction=H","UseDPDF=Y")</f>
        <v>#NAME?</v>
      </c>
      <c r="AI156" s="2" t="e">
        <f ca="1">_xll.BDH($C$153,"TOTAL_EQUITY_1_YEAR_GROWTH","FQ3 2014","FQ3 2014","Currency=INR","Period=FQ","BEST_FPERIOD_OVERRIDE=FQ","FILING_STATUS=OR","EQY_CONSOLIDATED=Y","Sort=A","Dates=H","DateFormat=P","Fill=—","Direction=H","UseDPDF=Y")</f>
        <v>#NAME?</v>
      </c>
      <c r="AJ156" s="2" t="e">
        <f ca="1">_xll.BDH($C$153,"GROWTH_IN_CAP","FQ3 2014","FQ3 2014","Currency=INR","Period=FQ","BEST_FPERIOD_OVERRIDE=FQ","FILING_STATUS=OR","EQY_CONSOLIDATED=Y","Sort=A","Dates=H","DateFormat=P","Fill=—","Direction=H","UseDPDF=Y")</f>
        <v>#NAME?</v>
      </c>
      <c r="AK156" s="2" t="e">
        <f ca="1">_xll.BDH($C$153,"BVPS_GROWTH","FQ3 2014","FQ3 2014","Currency=INR","Period=FQ","BEST_FPERIOD_OVERRIDE=FQ","FILING_STATUS=OR","EQY_CONSOLIDATED=Y","Sort=A","Dates=H","DateFormat=P","Fill=—","Direction=H","UseDPDF=Y")</f>
        <v>#NAME?</v>
      </c>
      <c r="AL156" s="2" t="e">
        <f ca="1">_xll.BDH($C$153,"CASH_FLOW_GROWTH","FQ3 2014","FQ3 2014","Currency=INR","Period=FQ","BEST_FPERIOD_OVERRIDE=FQ","FILING_STATUS=OR","EQY_CONSOLIDATED=Y","Sort=A","Dates=H","DateFormat=P","Fill=—","Direction=H","UseDPDF=Y")</f>
        <v>#NAME?</v>
      </c>
      <c r="AM156" s="2" t="e">
        <f ca="1">_xll.BDH($C$153,"GEO_GROW_NET_SALES","FQ3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156" s="2" t="e">
        <f ca="1">_xll.BDH($C$153,"GEO_GROW_EBITDA","FQ3 2014","FQ3 2014","Currency=INR","Period=FQ","BEST_FPERIOD_OVERRIDE=FQ","FILING_STATUS=OR","EQY_CONSOLIDATED=Y","FA_ADJUSTED=GAAP","Sort=A","Dates=H","DateFormat=P","Fill=—","Direction=H","UseDPDF=Y")</f>
        <v>#NAME?</v>
      </c>
      <c r="AO156" s="2" t="e">
        <f ca="1">_xll.BDH($C$153,"GEO_GROW_OPER_INC","FQ3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156" s="2" t="e">
        <f ca="1">_xll.BDH($C$153,"NET_INCOME_TO_COMMON_5_YR_GROWTH","FQ3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156" s="2" t="e">
        <f ca="1">_xll.BDH($C$153,"5Y_GEO_GROWTH_DILUTED_EPS","FQ3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156" s="2" t="e">
        <f ca="1">_xll.BDH($C$153,"GEO_GROW_DVD_PER_SH","FQ3 2014","FQ3 2014","Currency=INR","Period=FQ","BEST_FPERIOD_OVERRIDE=FQ","FILING_STATUS=OR","EQY_CONSOLIDATED=Y","Sort=A","Dates=H","DateFormat=P","Fill=—","Direction=H","UseDPDF=Y")</f>
        <v>#NAME?</v>
      </c>
      <c r="AS156" s="2" t="e">
        <f ca="1">_xll.BDH($C$153,"ACCOUNTS_RECEIVABLE_5_YR_GROWTH","FQ3 2014","FQ3 2014","Currency=INR","Period=FQ","BEST_FPERIOD_OVERRIDE=FQ","FILING_STATUS=OR","EQY_CONSOLIDATED=Y","Sort=A","Dates=H","DateFormat=P","Fill=—","Direction=H","UseDPDF=Y")</f>
        <v>#NAME?</v>
      </c>
      <c r="AT156" s="2" t="e">
        <f ca="1">_xll.BDH($C$153,"INVENTORY_5_YEAR_GROWTH","FQ3 2014","FQ3 2014","Currency=INR","Period=FQ","BEST_FPERIOD_OVERRIDE=FQ","FILING_STATUS=OR","EQY_CONSOLIDATED=Y","Sort=A","Dates=H","DateFormat=P","Fill=—","Direction=H","UseDPDF=Y")</f>
        <v>#NAME?</v>
      </c>
      <c r="AU156" s="2" t="e">
        <f ca="1">_xll.BDH($C$153,"NET_FIXED_ASSETS_5_YEAR_GROWTH","FQ3 2014","FQ3 2014","Currency=INR","Period=FQ","BEST_FPERIOD_OVERRIDE=FQ","FILING_STATUS=OR","EQY_CONSOLIDATED=Y","Sort=A","Dates=H","DateFormat=P","Fill=—","Direction=H","UseDPDF=Y")</f>
        <v>#NAME?</v>
      </c>
      <c r="AV156" s="2" t="e">
        <f ca="1">_xll.BDH($C$153,"GEO_GROW_TOT_ASSET","FQ3 2014","FQ3 2014","Currency=INR","Period=FQ","BEST_FPERIOD_OVERRIDE=FQ","FILING_STATUS=OR","EQY_CONSOLIDATED=Y","Sort=A","Dates=H","DateFormat=P","Fill=—","Direction=H","UseDPDF=Y")</f>
        <v>#NAME?</v>
      </c>
      <c r="AW156" s="2" t="e">
        <f ca="1">_xll.BDH($C$153,"MODIFIED_WORKING_CPTL_5YR_GRWTH","FQ3 2014","FQ3 2014","Currency=INR","Period=FQ","BEST_FPERIOD_OVERRIDE=FQ","FILING_STATUS=OR","EQY_CONSOLIDATED=Y","Sort=A","Dates=H","DateFormat=P","Fill=—","Direction=H","UseDPDF=Y")</f>
        <v>#NAME?</v>
      </c>
      <c r="AX156" s="2" t="e">
        <f ca="1">_xll.BDH($C$153,"WORKING_CAPITAL_5_YEAR_GROWTH","FQ3 2014","FQ3 2014","Currency=INR","Period=FQ","BEST_FPERIOD_OVERRIDE=FQ","FILING_STATUS=OR","EQY_CONSOLIDATED=Y","Sort=A","Dates=H","DateFormat=P","Fill=—","Direction=H","UseDPDF=Y")</f>
        <v>#NAME?</v>
      </c>
      <c r="AY156" s="2" t="e">
        <f ca="1">_xll.BDH($C$153,"ACCOUNTS_PAYABLE_5_YEAR_GROWTH","FQ3 2014","FQ3 2014","Currency=INR","Period=FQ","BEST_FPERIOD_OVERRIDE=FQ","FILING_STATUS=OR","EQY_CONSOLIDATED=Y","Sort=A","Dates=H","DateFormat=P","Fill=—","Direction=H","UseDPDF=Y")</f>
        <v>#NAME?</v>
      </c>
      <c r="AZ156" s="2" t="e">
        <f ca="1">_xll.BDH($C$153,"SHORT_TERM_DEBT_5_YEAR_GROWTH","FQ3 2014","FQ3 2014","Currency=INR","Period=FQ","BEST_FPERIOD_OVERRIDE=FQ","FILING_STATUS=OR","EQY_CONSOLIDATED=Y","Sort=A","Dates=H","DateFormat=P","Fill=—","Direction=H","UseDPDF=Y")</f>
        <v>#NAME?</v>
      </c>
      <c r="BA156" s="2" t="e">
        <f ca="1">_xll.BDH($C$153,"TOTAL_DEBT_5_YEAR_GROWTH","FQ3 2014","FQ3 2014","Currency=INR","Period=FQ","BEST_FPERIOD_OVERRIDE=FQ","FILING_STATUS=OR","EQY_CONSOLIDATED=Y","Sort=A","Dates=H","DateFormat=P","Fill=—","Direction=H","UseDPDF=Y")</f>
        <v>#NAME?</v>
      </c>
      <c r="BB156" s="2" t="e">
        <f ca="1">_xll.BDH($C$153,"GEO_GROW_TOT_SHRHLDR_EQY","FQ3 2014","FQ3 2014","Currency=INR","Period=FQ","BEST_FPERIOD_OVERRIDE=FQ","FILING_STATUS=OR","EQY_CONSOLIDATED=Y","Sort=A","Dates=H","DateFormat=P","Fill=—","Direction=H","UseDPDF=Y")</f>
        <v>#NAME?</v>
      </c>
      <c r="BC156" s="2" t="e">
        <f ca="1">_xll.BDH($C$153,"TOTAL_CAPITAL_5_YEAR_GROWTH","FQ3 2014","FQ3 2014","Currency=INR","Period=FQ","BEST_FPERIOD_OVERRIDE=FQ","FILING_STATUS=OR","EQY_CONSOLIDATED=Y","Sort=A","Dates=H","DateFormat=P","Fill=—","Direction=H","UseDPDF=Y")</f>
        <v>#NAME?</v>
      </c>
      <c r="BD156" s="2" t="e">
        <f ca="1">_xll.BDH($C$153,"GEO_GROW_BOOK_VAL","FQ3 2014","FQ3 2014","Currency=INR","Period=FQ","BEST_FPERIOD_OVERRIDE=FQ","FILING_STATUS=OR","EQY_CONSOLIDATED=Y","Sort=A","Dates=H","DateFormat=P","Fill=—","Direction=H","UseDPDF=Y")</f>
        <v>#NAME?</v>
      </c>
      <c r="BE156" s="2" t="e">
        <f ca="1">_xll.BDH($C$153,"GEO_GROW_CASH_OPER_ACT","FQ3 2014","FQ3 2014","Currency=INR","Period=FQ","BEST_FPERIOD_OVERRIDE=FQ","FILING_STATUS=OR","EQY_CONSOLIDATED=Y","Sort=A","Dates=H","DateFormat=P","Fill=—","Direction=H","UseDPDF=Y")</f>
        <v>#NAME?</v>
      </c>
      <c r="BF156" s="2" t="e">
        <f ca="1">_xll.BDH($C$153,"REVENUE_SEQUENTIAL_GROWTH","FQ3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156" s="2" t="e">
        <f ca="1">_xll.BDH($C$153,"EBITDA_SEQUENTIAL_GROWTH","FQ3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156" s="2" t="e">
        <f ca="1">_xll.BDH($C$153,"OPERATING_INCOME_SEQ_GROWTH","FQ3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156" s="2" t="e">
        <f ca="1">_xll.BDH($C$153,"NET_INCOME_TO_COMMON_SEQ_GROWTH","FQ3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156" s="2" t="e">
        <f ca="1">_xll.BDH($C$153,"EPS_DILUTED_SEQUENTIAL_GROWTH","FQ3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156" s="2" t="e">
        <f ca="1">_xll.BDH($C$153,"DPS_SEQUENTIAL_GROWTH","FQ3 2014","FQ3 2014","Currency=INR","Period=FQ","BEST_FPERIOD_OVERRIDE=FQ","FILING_STATUS=OR","EQY_CONSOLIDATED=Y","Sort=A","Dates=H","DateFormat=P","Fill=—","Direction=H","UseDPDF=Y")</f>
        <v>#NAME?</v>
      </c>
      <c r="BL156" s="2" t="e">
        <f ca="1">_xll.BDH($C$153,"ACCOUNTS_RECEIVABLE_SEQ_GROWTH","FQ3 2014","FQ3 2014","Currency=INR","Period=FQ","BEST_FPERIOD_OVERRIDE=FQ","FILING_STATUS=OR","EQY_CONSOLIDATED=Y","Sort=A","Dates=H","DateFormat=P","Fill=—","Direction=H","UseDPDF=Y")</f>
        <v>#NAME?</v>
      </c>
      <c r="BM156" s="2" t="e">
        <f ca="1">_xll.BDH($C$153,"INVENTORY_SEQUENTIAL_GROWTH","FQ3 2014","FQ3 2014","Currency=INR","Period=FQ","BEST_FPERIOD_OVERRIDE=FQ","FILING_STATUS=OR","EQY_CONSOLIDATED=Y","Sort=A","Dates=H","DateFormat=P","Fill=—","Direction=H","UseDPDF=Y")</f>
        <v>#NAME?</v>
      </c>
      <c r="BN156" s="2" t="e">
        <f ca="1">_xll.BDH($C$153,"FIXED_ASSETS_SEQUENTIAL_GROWTH","FQ3 2014","FQ3 2014","Currency=INR","Period=FQ","BEST_FPERIOD_OVERRIDE=FQ","FILING_STATUS=OR","EQY_CONSOLIDATED=Y","Sort=A","Dates=H","DateFormat=P","Fill=—","Direction=H","UseDPDF=Y")</f>
        <v>#NAME?</v>
      </c>
      <c r="BO156" s="2" t="e">
        <f ca="1">_xll.BDH($C$153,"TOTAL_ASSETS_SEQUENTIAL_GROWTH","FQ3 2014","FQ3 2014","Currency=INR","Period=FQ","BEST_FPERIOD_OVERRIDE=FQ","FILING_STATUS=OR","EQY_CONSOLIDATED=Y","Sort=A","Dates=H","DateFormat=P","Fill=—","Direction=H","UseDPDF=Y")</f>
        <v>#NAME?</v>
      </c>
      <c r="BP156" s="2" t="e">
        <f ca="1">_xll.BDH($C$153,"MODIFIED_WORKING_CPTL_SEQ_GRWTH","FQ3 2014","FQ3 2014","Currency=INR","Period=FQ","BEST_FPERIOD_OVERRIDE=FQ","FILING_STATUS=OR","EQY_CONSOLIDATED=Y","Sort=A","Dates=H","DateFormat=P","Fill=—","Direction=H","UseDPDF=Y")</f>
        <v>#NAME?</v>
      </c>
      <c r="BQ156" s="2" t="e">
        <f ca="1">_xll.BDH($C$153,"WORKING_CAPITAL_SEQ_GROWTH","FQ3 2014","FQ3 2014","Currency=INR","Period=FQ","BEST_FPERIOD_OVERRIDE=FQ","FILING_STATUS=OR","EQY_CONSOLIDATED=Y","Sort=A","Dates=H","DateFormat=P","Fill=—","Direction=H","UseDPDF=Y")</f>
        <v>#NAME?</v>
      </c>
      <c r="BR156" s="2" t="e">
        <f ca="1">_xll.BDH($C$153,"ACCOUNTS_PAYABLE_SEQ_GROWTH","FQ3 2014","FQ3 2014","Currency=INR","Period=FQ","BEST_FPERIOD_OVERRIDE=FQ","FILING_STATUS=OR","EQY_CONSOLIDATED=Y","Sort=A","Dates=H","DateFormat=P","Fill=—","Direction=H","UseDPDF=Y")</f>
        <v>#NAME?</v>
      </c>
      <c r="BS156" s="2" t="e">
        <f ca="1">_xll.BDH($C$153,"ST_DEBT_SEQUENTIAL_GROWTH","FQ3 2014","FQ3 2014","Currency=INR","Period=FQ","BEST_FPERIOD_OVERRIDE=FQ","FILING_STATUS=OR","EQY_CONSOLIDATED=Y","Sort=A","Dates=H","DateFormat=P","Fill=—","Direction=H","UseDPDF=Y")</f>
        <v>#NAME?</v>
      </c>
      <c r="BT156" s="2" t="e">
        <f ca="1">_xll.BDH($C$153,"TOTAL_DEBT_SEQUENTIAL_GROWTH","FQ3 2014","FQ3 2014","Currency=INR","Period=FQ","BEST_FPERIOD_OVERRIDE=FQ","FILING_STATUS=OR","EQY_CONSOLIDATED=Y","Sort=A","Dates=H","DateFormat=P","Fill=—","Direction=H","UseDPDF=Y")</f>
        <v>#NAME?</v>
      </c>
      <c r="BU156" s="2" t="e">
        <f ca="1">_xll.BDH($C$153,"TOTAL_EQUITY_SEQUENTIAL_GROWTH","FQ3 2014","FQ3 2014","Currency=INR","Period=FQ","BEST_FPERIOD_OVERRIDE=FQ","FILING_STATUS=OR","EQY_CONSOLIDATED=Y","Sort=A","Dates=H","DateFormat=P","Fill=—","Direction=H","UseDPDF=Y")</f>
        <v>#NAME?</v>
      </c>
      <c r="BV156" s="2" t="e">
        <f ca="1">_xll.BDH($C$153,"TOTAL_CAPITAL_SEQUENTIAL_GROWTH","FQ3 2014","FQ3 2014","Currency=INR","Period=FQ","BEST_FPERIOD_OVERRIDE=FQ","FILING_STATUS=OR","EQY_CONSOLIDATED=Y","Sort=A","Dates=H","DateFormat=P","Fill=—","Direction=H","UseDPDF=Y")</f>
        <v>#NAME?</v>
      </c>
      <c r="BW156" s="2" t="e">
        <f ca="1">_xll.BDH($C$153,"BPS_SEQUENTIAL_GROWTH","FQ3 2014","FQ3 2014","Currency=INR","Period=FQ","BEST_FPERIOD_OVERRIDE=FQ","FILING_STATUS=OR","EQY_CONSOLIDATED=Y","Sort=A","Dates=H","DateFormat=P","Fill=—","Direction=H","UseDPDF=Y")</f>
        <v>#NAME?</v>
      </c>
      <c r="BX156" s="2" t="e">
        <f ca="1">_xll.BDH($C$153,"CFO_SEQUENTIAL_GROWTH","FQ3 2014","FQ3 2014","Currency=INR","Period=FQ","BEST_FPERIOD_OVERRIDE=FQ","FILING_STATUS=OR","EQY_CONSOLIDATED=Y","Sort=A","Dates=H","DateFormat=P","Fill=—","Direction=H","UseDPDF=Y")</f>
        <v>#NAME?</v>
      </c>
      <c r="BY156" s="3" t="e">
        <f ca="1">_xll.BDH($C$153,"SHORT_AND_LONG_TERM_DEBT","FQ3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156" s="3" t="e">
        <f ca="1">_xll.BDH($C$153,"BS_ST_BORROW","FQ3 2014","FQ3 2014","Currency=INR","Period=FQ","BEST_FPERIOD_OVERRIDE=FQ","FILING_STATUS=OR","EQY_CONSOLIDATED=Y","SCALING_FORMAT=MLN","Sort=A","Dates=H","DateFormat=P","Fill=—","Direction=H","UseDPDF=Y")</f>
        <v>#NAME?</v>
      </c>
      <c r="CA156" s="3" t="e">
        <f ca="1">_xll.BDH($C$153,"BS_LT_BORROW","FQ3 2014","FQ3 2014","Currency=INR","Period=FQ","BEST_FPERIOD_OVERRIDE=FQ","FILING_STATUS=OR","EQY_CONSOLIDATED=Y","SCALING_FORMAT=MLN","Sort=A","Dates=H","DateFormat=P","Fill=—","Direction=H","UseDPDF=Y")</f>
        <v>#NAME?</v>
      </c>
      <c r="CB156" s="2" t="e">
        <f ca="1">_xll.BDH($C$153,"TOT_DEBT_TO_EBITDA","FQ3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156" s="2" t="e">
        <f ca="1">_xll.BDH($C$153,"NET_DEBT_TO_EBITDA","FQ3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156" s="2" t="e">
        <f ca="1">_xll.BDH($C$153,"TOTAL_DEBT_TO_EBIT","FQ3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156" s="2" t="e">
        <f ca="1">_xll.BDH($C$153,"NET_DEBT_TO_EBIT","FQ3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156" s="2" t="e">
        <f ca="1">_xll.BDH($C$153,"EBITDA_TO_INTEREST_EXPN","FQ3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156" s="2" t="e">
        <f ca="1">_xll.BDH($C$153,"COM_EQY_TO_TOT_ASSET","FQ3 2014","FQ3 2014","Currency=INR","Period=FQ","BEST_FPERIOD_OVERRIDE=FQ","FILING_STATUS=OR","EQY_CONSOLIDATED=Y","Sort=A","Dates=H","DateFormat=P","Fill=—","Direction=H","UseDPDF=Y")</f>
        <v>#NAME?</v>
      </c>
      <c r="CH156" s="2" t="e">
        <f ca="1">_xll.BDH($C$153,"LT_DEBT_TO_TOT_EQY","FQ3 2014","FQ3 2014","Currency=INR","Period=FQ","BEST_FPERIOD_OVERRIDE=FQ","FILING_STATUS=OR","EQY_CONSOLIDATED=Y","Sort=A","Dates=H","DateFormat=P","Fill=—","Direction=H","UseDPDF=Y")</f>
        <v>#NAME?</v>
      </c>
      <c r="CI156" s="2" t="e">
        <f ca="1">_xll.BDH($C$153,"LT_DEBT_TO_TOT_CAP","FQ3 2014","FQ3 2014","Currency=INR","Period=FQ","BEST_FPERIOD_OVERRIDE=FQ","FILING_STATUS=OR","EQY_CONSOLIDATED=Y","Sort=A","Dates=H","DateFormat=P","Fill=—","Direction=H","UseDPDF=Y")</f>
        <v>#NAME?</v>
      </c>
      <c r="CJ156" s="2" t="e">
        <f ca="1">_xll.BDH($C$153,"LT_DEBT_TO_TOT_ASSET","FQ3 2014","FQ3 2014","Currency=INR","Period=FQ","BEST_FPERIOD_OVERRIDE=FQ","FILING_STATUS=OR","EQY_CONSOLIDATED=Y","Sort=A","Dates=H","DateFormat=P","Fill=—","Direction=H","UseDPDF=Y")</f>
        <v>#NAME?</v>
      </c>
      <c r="CK156" s="2" t="e">
        <f ca="1">_xll.BDH($C$153,"TOT_DEBT_TO_TOT_EQY","FQ3 2014","FQ3 2014","Currency=INR","Period=FQ","BEST_FPERIOD_OVERRIDE=FQ","FILING_STATUS=OR","EQY_CONSOLIDATED=Y","Sort=A","Dates=H","DateFormat=P","Fill=—","Direction=H","UseDPDF=Y")</f>
        <v>#NAME?</v>
      </c>
      <c r="CL156" s="2" t="e">
        <f ca="1">_xll.BDH($C$153,"TOT_DEBT_TO_TOT_CAP","FQ3 2014","FQ3 2014","Currency=INR","Period=FQ","BEST_FPERIOD_OVERRIDE=FQ","FILING_STATUS=OR","EQY_CONSOLIDATED=Y","Sort=A","Dates=H","DateFormat=P","Fill=—","Direction=H","UseDPDF=Y")</f>
        <v>#NAME?</v>
      </c>
      <c r="CM156" s="2" t="e">
        <f ca="1">_xll.BDH($C$153,"TOT_DEBT_TO_TOT_ASSET","FQ3 2014","FQ3 2014","Currency=INR","Period=FQ","BEST_FPERIOD_OVERRIDE=FQ","FILING_STATUS=OR","EQY_CONSOLIDATED=Y","Sort=A","Dates=H","DateFormat=P","Fill=—","Direction=H","UseDPDF=Y")</f>
        <v>#NAME?</v>
      </c>
      <c r="CN156" s="2" t="e">
        <f ca="1">_xll.BDH($C$153,"NET_DEBT_TO_SHRHLDR_EQTY","FQ3 2014","FQ3 2014","Currency=INR","Period=FQ","BEST_FPERIOD_OVERRIDE=FQ","FILING_STATUS=OR","EQY_CONSOLIDATED=Y","Sort=A","Dates=H","DateFormat=P","Fill=—","Direction=H","UseDPDF=Y")</f>
        <v>#NAME?</v>
      </c>
      <c r="CO156" s="2" t="e">
        <f ca="1">_xll.BDH($C$153,"NET_DEBT_%_CAPITAL","FQ3 2014","FQ3 2014","Currency=INR","Period=FQ","BEST_FPERIOD_OVERRIDE=FQ","FILING_STATUS=OR","EQY_CONSOLIDATED=Y","Sort=A","Dates=H","DateFormat=P","Fill=—","Direction=H","UseDPDF=Y")</f>
        <v>#NAME?</v>
      </c>
      <c r="CP156" s="3" t="e">
        <f ca="1">_xll.BDH($C$153,"EBITDA","FQ3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156" s="3" t="e">
        <f ca="1">_xll.BDH($C$153,"EBITDA_AFTER_CAPEX","FQ3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156" s="3" t="e">
        <f ca="1">_xll.BDH($C$153,"IS_OPER_INC","FQ3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156" s="2" t="e">
        <f ca="1">_xll.BDH($C$153,"CASH_RATIO","FQ3 2014","FQ3 2014","Currency=INR","Period=FQ","BEST_FPERIOD_OVERRIDE=FQ","FILING_STATUS=OR","EQY_CONSOLIDATED=Y","Sort=A","Dates=H","DateFormat=P","Fill=—","Direction=H","UseDPDF=Y")</f>
        <v>#NAME?</v>
      </c>
      <c r="CT156" s="2" t="e">
        <f ca="1">_xll.BDH($C$153,"CUR_RATIO","FQ3 2014","FQ3 2014","Currency=INR","Period=FQ","BEST_FPERIOD_OVERRIDE=FQ","FILING_STATUS=OR","EQY_CONSOLIDATED=Y","Sort=A","Dates=H","DateFormat=P","Fill=—","Direction=H","UseDPDF=Y")</f>
        <v>#NAME?</v>
      </c>
      <c r="CU156" s="2" t="e">
        <f ca="1">_xll.BDH($C$153,"QUICK_RATIO","FQ3 2014","FQ3 2014","Currency=INR","Period=FQ","BEST_FPERIOD_OVERRIDE=FQ","FILING_STATUS=OR","EQY_CONSOLIDATED=Y","Sort=A","Dates=H","DateFormat=P","Fill=—","Direction=H","UseDPDF=Y")</f>
        <v>#NAME?</v>
      </c>
      <c r="CV156" s="2" t="e">
        <f ca="1">_xll.BDH($C$153,"ALTMAN_Z_SCORE","FQ3 2014","FQ3 2014","Currency=INR","Period=FQ","BEST_FPERIOD_OVERRIDE=FQ","FILING_STATUS=OR","EQY_CONSOLIDATED=Y","Sort=A","Dates=H","DateFormat=P","Fill=—","Direction=H","UseDPDF=Y")</f>
        <v>#NAME?</v>
      </c>
      <c r="CW156" s="4" t="e">
        <f ca="1">_xll.BDH($C$153,"ACCT_RCV_TURN","FQ3 2014","FQ3 2014","Currency=INR","Period=FQ","BEST_FPERIOD_OVERRIDE=FQ","FILING_STATUS=OR","EQY_CONSOLIDATED=Y","FA_ADJUSTED=GAAP","Sort=A","Dates=H","DateFormat=P","Fill=—","Direction=H","UseDPDF=Y")</f>
        <v>#NAME?</v>
      </c>
      <c r="CX156" s="2" t="e">
        <f ca="1">_xll.BDH($C$153,"ACCT_RCV_DAYS","FQ3 2014","FQ3 2014","Currency=INR","Period=FQ","BEST_FPERIOD_OVERRIDE=FQ","FILING_STATUS=OR","EQY_CONSOLIDATED=Y","FA_ADJUSTED=GAAP","Sort=A","Dates=H","DateFormat=P","Fill=—","Direction=H","UseDPDF=Y")</f>
        <v>#NAME?</v>
      </c>
      <c r="CY156" s="4" t="e">
        <f ca="1">_xll.BDH($C$153,"INVENT_TURN","FQ3 2014","FQ3 2014","Currency=INR","Period=FQ","BEST_FPERIOD_OVERRIDE=FQ","FILING_STATUS=OR","EQY_CONSOLIDATED=Y","FA_ADJUSTED=GAAP","Sort=A","Dates=H","DateFormat=P","Fill=—","Direction=H","UseDPDF=Y")</f>
        <v>#NAME?</v>
      </c>
      <c r="CZ156" s="2" t="e">
        <f ca="1">_xll.BDH($C$153,"INVENT_DAYS","FQ3 2014","FQ3 2014","Currency=INR","Period=FQ","BEST_FPERIOD_OVERRIDE=FQ","FILING_STATUS=OR","EQY_CONSOLIDATED=Y","FA_ADJUSTED=GAAP","Sort=A","Dates=H","DateFormat=P","Fill=—","Direction=H","UseDPDF=Y")</f>
        <v>#NAME?</v>
      </c>
      <c r="DA156" s="4" t="e">
        <f ca="1">_xll.BDH($C$153,"ACCOUNTS_PAYABLE_TURNOVER","FQ3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156" s="2" t="e">
        <f ca="1">_xll.BDH($C$153,"ACCOUNTS_PAYABLE_TURNOVER_DAYS","FQ3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156" s="4" t="e">
        <f ca="1">_xll.BDH($C$153,"CASH_CONVERSION_CYCLE","FQ3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156" s="4" t="e">
        <f ca="1">_xll.BDH($C$153,"INV_TO_CASH_DAYS","FQ3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156" s="5" t="e">
        <f ca="1">_xll.BDH($C$153,"BS_INVENTORIES","FQ3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156" s="3" t="e">
        <f ca="1">_xll.BDH($C$153,"INVTRY_RAW_MATERIALS","FQ3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156" s="3" t="e">
        <f ca="1">_xll.BDH($C$153,"INVTRY_IN_PROGRESS","FQ3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156" s="3" t="e">
        <f ca="1">_xll.BDH($C$153,"INVTRY_FINISHED_GOODS","FQ3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156" s="3" t="e">
        <f ca="1">_xll.BDH($C$153,"BS_OTHER_INV","FQ3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157" spans="1:113" x14ac:dyDescent="0.3">
      <c r="A157" s="6"/>
      <c r="B157" s="6"/>
      <c r="C157" s="6"/>
      <c r="D157" s="6"/>
      <c r="E157" t="s">
        <v>81</v>
      </c>
      <c r="F157" t="e">
        <f ca="1">_xll.BDH($C$153,"RETURN_COM_EQY","FQ4 2014","FQ4 2014","Currency=INR","Period=FQ","BEST_FPERIOD_OVERRIDE=FQ","FILING_STATUS=OR","EQY_CONSOLIDATED=Y","FA_ADJUSTED=GAAP","Sort=A","Dates=H","DateFormat=P","Fill=—","Direction=H","UseDPDF=Y")</f>
        <v>#NAME?</v>
      </c>
      <c r="G157" t="e">
        <f ca="1">_xll.BDH($C$153,"RETURN_ON_ASSET","FQ4 2014","FQ4 2014","Currency=INR","Period=FQ","BEST_FPERIOD_OVERRIDE=FQ","FILING_STATUS=OR","EQY_CONSOLIDATED=Y","FA_ADJUSTED=GAAP","Sort=A","Dates=H","DateFormat=P","Fill=—","Direction=H","UseDPDF=Y")</f>
        <v>#NAME?</v>
      </c>
      <c r="H157" t="e">
        <f ca="1">_xll.BDH($C$153,"RETURN_ON_CAP","FQ4 2014","FQ4 2014","Currency=INR","Period=FQ","BEST_FPERIOD_OVERRIDE=FQ","FILING_STATUS=OR","EQY_CONSOLIDATED=Y","FA_ADJUSTED=GAAP","Sort=A","Dates=H","DateFormat=P","Fill=—","Direction=H","UseDPDF=Y")</f>
        <v>#NAME?</v>
      </c>
      <c r="I157" t="e">
        <f ca="1">_xll.BDH($C$153,"RETURN_ON_INV_CAPITAL","FQ4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157" t="e">
        <f ca="1">_xll.BDH($C$153,"EBITDA_TO_REVENUE","FQ4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157" t="e">
        <f ca="1">_xll.BDH($C$153,"OPER_MARGIN","FQ4 2014","FQ4 2014","Currency=INR","Period=FQ","BEST_FPERIOD_OVERRIDE=FQ","FILING_STATUS=OR","EQY_CONSOLIDATED=Y","FA_ADJUSTED=GAAP","Sort=A","Dates=H","DateFormat=P","Fill=—","Direction=H","UseDPDF=Y")</f>
        <v>#NAME?</v>
      </c>
      <c r="L157" t="e">
        <f ca="1">_xll.BDH($C$153,"INCREMENTAL_OPERATING_MARGIN","FQ4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157" t="e">
        <f ca="1">_xll.BDH($C$153,"PRETAX_INC_TO_NET_SALES","FQ4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157" t="e">
        <f ca="1">_xll.BDH($C$153,"INC_BEF_XO_ITEMS_TO_NET_SALES","FQ4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157" t="e">
        <f ca="1">_xll.BDH($C$153,"PROF_MARGIN","FQ4 2014","FQ4 2014","Currency=INR","Period=FQ","BEST_FPERIOD_OVERRIDE=FQ","FILING_STATUS=OR","EQY_CONSOLIDATED=Y","FA_ADJUSTED=GAAP","Sort=A","Dates=H","DateFormat=P","Fill=—","Direction=H","UseDPDF=Y")</f>
        <v>#NAME?</v>
      </c>
      <c r="P157" t="e">
        <f ca="1">_xll.BDH($C$153,"NET_INCOME_TO_COMMON_MARGIN","FQ4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157" t="e">
        <f ca="1">_xll.BDH($C$153,"EFF_TAX_RATE","FQ4 2014","FQ4 2014","Currency=INR","Period=FQ","BEST_FPERIOD_OVERRIDE=FQ","FILING_STATUS=OR","EQY_CONSOLIDATED=Y","FA_ADJUSTED=GAAP","Sort=A","Dates=H","DateFormat=P","Fill=—","Direction=H","UseDPDF=Y")</f>
        <v>#NAME?</v>
      </c>
      <c r="R157" t="e">
        <f ca="1">_xll.BDH($C$153,"DVD_PAYOUT_RATIO","FQ4 2014","FQ4 2014","Currency=INR","Period=FQ","BEST_FPERIOD_OVERRIDE=FQ","FILING_STATUS=OR","EQY_CONSOLIDATED=Y","FA_ADJUSTED=GAAP","Sort=A","Dates=H","DateFormat=P","Fill=—","Direction=H","UseDPDF=Y")</f>
        <v>#NAME?</v>
      </c>
      <c r="S157" t="e">
        <f ca="1">_xll.BDH($C$153,"SUSTAIN_GROWTH_RT","FQ4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157" s="2" t="e">
        <f ca="1">_xll.BDH($C$153,"SALES_GROWTH","FQ4 2014","FQ4 2014","Currency=INR","Period=FQ","BEST_FPERIOD_OVERRIDE=FQ","FILING_STATUS=OR","EQY_CONSOLIDATED=Y","FA_ADJUSTED=GAAP","Sort=A","Dates=H","DateFormat=P","Fill=—","Direction=H","UseDPDF=Y")</f>
        <v>#NAME?</v>
      </c>
      <c r="U157" s="2" t="e">
        <f ca="1">_xll.BDH($C$153,"EBITDA_GROWTH","FQ4 2014","FQ4 2014","Currency=INR","Period=FQ","BEST_FPERIOD_OVERRIDE=FQ","FILING_STATUS=OR","EQY_CONSOLIDATED=Y","FA_ADJUSTED=GAAP","Sort=A","Dates=H","DateFormat=P","Fill=—","Direction=H","UseDPDF=Y")</f>
        <v>#NAME?</v>
      </c>
      <c r="V157" s="2" t="e">
        <f ca="1">_xll.BDH($C$153,"OPER_INC_GROWTH","FQ4 2014","FQ4 2014","Currency=INR","Period=FQ","BEST_FPERIOD_OVERRIDE=FQ","FILING_STATUS=OR","EQY_CONSOLIDATED=Y","FA_ADJUSTED=GAAP","Sort=A","Dates=H","DateFormat=P","Fill=—","Direction=H","UseDPDF=Y")</f>
        <v>#NAME?</v>
      </c>
      <c r="W157" s="2" t="e">
        <f ca="1">_xll.BDH($C$153,"EARN_FOR_COM_GROWTH","FQ4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157" s="2" t="e">
        <f ca="1">_xll.BDH($C$153,"DILUTED_EPS_AFT_XO_ITEMS_GROWTH","FQ4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157" s="2" t="e">
        <f ca="1">_xll.BDH($C$153,"DIVIDEND_PER_SHARE_1_YEAR_GROWTH","FQ4 2014","FQ4 2014","Currency=INR","Period=FQ","BEST_FPERIOD_OVERRIDE=FQ","FILING_STATUS=OR","EQY_CONSOLIDATED=Y","Sort=A","Dates=H","DateFormat=P","Fill=—","Direction=H","UseDPDF=Y")</f>
        <v>#NAME?</v>
      </c>
      <c r="Z157" s="2" t="e">
        <f ca="1">_xll.BDH($C$153,"ACCOUNTS_RECEIVABLE_GROWTH","FQ4 2014","FQ4 2014","Currency=INR","Period=FQ","BEST_FPERIOD_OVERRIDE=FQ","FILING_STATUS=OR","EQY_CONSOLIDATED=Y","Sort=A","Dates=H","DateFormat=P","Fill=—","Direction=H","UseDPDF=Y")</f>
        <v>#NAME?</v>
      </c>
      <c r="AA157" s="2" t="e">
        <f ca="1">_xll.BDH($C$153,"INVENTORY_GROWTH","FQ4 2014","FQ4 2014","Currency=INR","Period=FQ","BEST_FPERIOD_OVERRIDE=FQ","FILING_STATUS=OR","EQY_CONSOLIDATED=Y","Sort=A","Dates=H","DateFormat=P","Fill=—","Direction=H","UseDPDF=Y")</f>
        <v>#NAME?</v>
      </c>
      <c r="AB157" s="2" t="e">
        <f ca="1">_xll.BDH($C$153,"NET_FIXED_ASSETS_1_YEAR_GROWTH","FQ4 2014","FQ4 2014","Currency=INR","Period=FQ","BEST_FPERIOD_OVERRIDE=FQ","FILING_STATUS=OR","EQY_CONSOLIDATED=Y","Sort=A","Dates=H","DateFormat=P","Fill=—","Direction=H","UseDPDF=Y")</f>
        <v>#NAME?</v>
      </c>
      <c r="AC157" s="2" t="e">
        <f ca="1">_xll.BDH($C$153,"ASSET_GROWTH","FQ4 2014","FQ4 2014","Currency=INR","Period=FQ","BEST_FPERIOD_OVERRIDE=FQ","FILING_STATUS=OR","EQY_CONSOLIDATED=Y","Sort=A","Dates=H","DateFormat=P","Fill=—","Direction=H","UseDPDF=Y")</f>
        <v>#NAME?</v>
      </c>
      <c r="AD157" s="2" t="e">
        <f ca="1">_xll.BDH($C$153,"MODIFIED_WORK_CAP_GROWTH","FQ4 2014","FQ4 2014","Currency=INR","Period=FQ","BEST_FPERIOD_OVERRIDE=FQ","FILING_STATUS=OR","EQY_CONSOLIDATED=Y","Sort=A","Dates=H","DateFormat=P","Fill=—","Direction=H","UseDPDF=Y")</f>
        <v>#NAME?</v>
      </c>
      <c r="AE157" s="2" t="e">
        <f ca="1">_xll.BDH($C$153,"WORK_CAP_GROWTH","FQ4 2014","FQ4 2014","Currency=INR","Period=FQ","BEST_FPERIOD_OVERRIDE=FQ","FILING_STATUS=OR","EQY_CONSOLIDATED=Y","Sort=A","Dates=H","DateFormat=P","Fill=—","Direction=H","UseDPDF=Y")</f>
        <v>#NAME?</v>
      </c>
      <c r="AF157" s="2" t="e">
        <f ca="1">_xll.BDH($C$153,"ACCOUNTS_PAYABLE_GROWTH_1YR","FQ4 2014","FQ4 2014","Currency=INR","Period=FQ","BEST_FPERIOD_OVERRIDE=FQ","FILING_STATUS=OR","EQY_CONSOLIDATED=Y","Sort=A","Dates=H","DateFormat=P","Fill=—","Direction=H","UseDPDF=Y")</f>
        <v>#NAME?</v>
      </c>
      <c r="AG157" s="2" t="e">
        <f ca="1">_xll.BDH($C$153,"SHORT_TERM_DEBT_1_YEAR_GROWTH","FQ4 2014","FQ4 2014","Currency=INR","Period=FQ","BEST_FPERIOD_OVERRIDE=FQ","FILING_STATUS=OR","EQY_CONSOLIDATED=Y","Sort=A","Dates=H","DateFormat=P","Fill=—","Direction=H","UseDPDF=Y")</f>
        <v>#NAME?</v>
      </c>
      <c r="AH157" s="2" t="e">
        <f ca="1">_xll.BDH($C$153,"TOTAL_DEBT_1_YEAR_GROWTH","FQ4 2014","FQ4 2014","Currency=INR","Period=FQ","BEST_FPERIOD_OVERRIDE=FQ","FILING_STATUS=OR","EQY_CONSOLIDATED=Y","Sort=A","Dates=H","DateFormat=P","Fill=—","Direction=H","UseDPDF=Y")</f>
        <v>#NAME?</v>
      </c>
      <c r="AI157" s="2" t="e">
        <f ca="1">_xll.BDH($C$153,"TOTAL_EQUITY_1_YEAR_GROWTH","FQ4 2014","FQ4 2014","Currency=INR","Period=FQ","BEST_FPERIOD_OVERRIDE=FQ","FILING_STATUS=OR","EQY_CONSOLIDATED=Y","Sort=A","Dates=H","DateFormat=P","Fill=—","Direction=H","UseDPDF=Y")</f>
        <v>#NAME?</v>
      </c>
      <c r="AJ157" s="2" t="e">
        <f ca="1">_xll.BDH($C$153,"GROWTH_IN_CAP","FQ4 2014","FQ4 2014","Currency=INR","Period=FQ","BEST_FPERIOD_OVERRIDE=FQ","FILING_STATUS=OR","EQY_CONSOLIDATED=Y","Sort=A","Dates=H","DateFormat=P","Fill=—","Direction=H","UseDPDF=Y")</f>
        <v>#NAME?</v>
      </c>
      <c r="AK157" s="2" t="e">
        <f ca="1">_xll.BDH($C$153,"BVPS_GROWTH","FQ4 2014","FQ4 2014","Currency=INR","Period=FQ","BEST_FPERIOD_OVERRIDE=FQ","FILING_STATUS=OR","EQY_CONSOLIDATED=Y","Sort=A","Dates=H","DateFormat=P","Fill=—","Direction=H","UseDPDF=Y")</f>
        <v>#NAME?</v>
      </c>
      <c r="AL157" s="2" t="e">
        <f ca="1">_xll.BDH($C$153,"CASH_FLOW_GROWTH","FQ4 2014","FQ4 2014","Currency=INR","Period=FQ","BEST_FPERIOD_OVERRIDE=FQ","FILING_STATUS=OR","EQY_CONSOLIDATED=Y","Sort=A","Dates=H","DateFormat=P","Fill=—","Direction=H","UseDPDF=Y")</f>
        <v>#NAME?</v>
      </c>
      <c r="AM157" s="2" t="e">
        <f ca="1">_xll.BDH($C$153,"GEO_GROW_NET_SALES","FQ4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157" s="2" t="e">
        <f ca="1">_xll.BDH($C$153,"GEO_GROW_EBITDA","FQ4 2014","FQ4 2014","Currency=INR","Period=FQ","BEST_FPERIOD_OVERRIDE=FQ","FILING_STATUS=OR","EQY_CONSOLIDATED=Y","FA_ADJUSTED=GAAP","Sort=A","Dates=H","DateFormat=P","Fill=—","Direction=H","UseDPDF=Y")</f>
        <v>#NAME?</v>
      </c>
      <c r="AO157" s="2" t="e">
        <f ca="1">_xll.BDH($C$153,"GEO_GROW_OPER_INC","FQ4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157" s="2" t="e">
        <f ca="1">_xll.BDH($C$153,"NET_INCOME_TO_COMMON_5_YR_GROWTH","FQ4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157" s="2" t="e">
        <f ca="1">_xll.BDH($C$153,"5Y_GEO_GROWTH_DILUTED_EPS","FQ4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157" s="2" t="e">
        <f ca="1">_xll.BDH($C$153,"GEO_GROW_DVD_PER_SH","FQ4 2014","FQ4 2014","Currency=INR","Period=FQ","BEST_FPERIOD_OVERRIDE=FQ","FILING_STATUS=OR","EQY_CONSOLIDATED=Y","Sort=A","Dates=H","DateFormat=P","Fill=—","Direction=H","UseDPDF=Y")</f>
        <v>#NAME?</v>
      </c>
      <c r="AS157" s="2" t="e">
        <f ca="1">_xll.BDH($C$153,"ACCOUNTS_RECEIVABLE_5_YR_GROWTH","FQ4 2014","FQ4 2014","Currency=INR","Period=FQ","BEST_FPERIOD_OVERRIDE=FQ","FILING_STATUS=OR","EQY_CONSOLIDATED=Y","Sort=A","Dates=H","DateFormat=P","Fill=—","Direction=H","UseDPDF=Y")</f>
        <v>#NAME?</v>
      </c>
      <c r="AT157" s="2" t="e">
        <f ca="1">_xll.BDH($C$153,"INVENTORY_5_YEAR_GROWTH","FQ4 2014","FQ4 2014","Currency=INR","Period=FQ","BEST_FPERIOD_OVERRIDE=FQ","FILING_STATUS=OR","EQY_CONSOLIDATED=Y","Sort=A","Dates=H","DateFormat=P","Fill=—","Direction=H","UseDPDF=Y")</f>
        <v>#NAME?</v>
      </c>
      <c r="AU157" s="2" t="e">
        <f ca="1">_xll.BDH($C$153,"NET_FIXED_ASSETS_5_YEAR_GROWTH","FQ4 2014","FQ4 2014","Currency=INR","Period=FQ","BEST_FPERIOD_OVERRIDE=FQ","FILING_STATUS=OR","EQY_CONSOLIDATED=Y","Sort=A","Dates=H","DateFormat=P","Fill=—","Direction=H","UseDPDF=Y")</f>
        <v>#NAME?</v>
      </c>
      <c r="AV157" s="2" t="e">
        <f ca="1">_xll.BDH($C$153,"GEO_GROW_TOT_ASSET","FQ4 2014","FQ4 2014","Currency=INR","Period=FQ","BEST_FPERIOD_OVERRIDE=FQ","FILING_STATUS=OR","EQY_CONSOLIDATED=Y","Sort=A","Dates=H","DateFormat=P","Fill=—","Direction=H","UseDPDF=Y")</f>
        <v>#NAME?</v>
      </c>
      <c r="AW157" s="2" t="e">
        <f ca="1">_xll.BDH($C$153,"MODIFIED_WORKING_CPTL_5YR_GRWTH","FQ4 2014","FQ4 2014","Currency=INR","Period=FQ","BEST_FPERIOD_OVERRIDE=FQ","FILING_STATUS=OR","EQY_CONSOLIDATED=Y","Sort=A","Dates=H","DateFormat=P","Fill=—","Direction=H","UseDPDF=Y")</f>
        <v>#NAME?</v>
      </c>
      <c r="AX157" s="2" t="e">
        <f ca="1">_xll.BDH($C$153,"WORKING_CAPITAL_5_YEAR_GROWTH","FQ4 2014","FQ4 2014","Currency=INR","Period=FQ","BEST_FPERIOD_OVERRIDE=FQ","FILING_STATUS=OR","EQY_CONSOLIDATED=Y","Sort=A","Dates=H","DateFormat=P","Fill=—","Direction=H","UseDPDF=Y")</f>
        <v>#NAME?</v>
      </c>
      <c r="AY157" s="2" t="e">
        <f ca="1">_xll.BDH($C$153,"ACCOUNTS_PAYABLE_5_YEAR_GROWTH","FQ4 2014","FQ4 2014","Currency=INR","Period=FQ","BEST_FPERIOD_OVERRIDE=FQ","FILING_STATUS=OR","EQY_CONSOLIDATED=Y","Sort=A","Dates=H","DateFormat=P","Fill=—","Direction=H","UseDPDF=Y")</f>
        <v>#NAME?</v>
      </c>
      <c r="AZ157" s="2" t="e">
        <f ca="1">_xll.BDH($C$153,"SHORT_TERM_DEBT_5_YEAR_GROWTH","FQ4 2014","FQ4 2014","Currency=INR","Period=FQ","BEST_FPERIOD_OVERRIDE=FQ","FILING_STATUS=OR","EQY_CONSOLIDATED=Y","Sort=A","Dates=H","DateFormat=P","Fill=—","Direction=H","UseDPDF=Y")</f>
        <v>#NAME?</v>
      </c>
      <c r="BA157" s="2" t="e">
        <f ca="1">_xll.BDH($C$153,"TOTAL_DEBT_5_YEAR_GROWTH","FQ4 2014","FQ4 2014","Currency=INR","Period=FQ","BEST_FPERIOD_OVERRIDE=FQ","FILING_STATUS=OR","EQY_CONSOLIDATED=Y","Sort=A","Dates=H","DateFormat=P","Fill=—","Direction=H","UseDPDF=Y")</f>
        <v>#NAME?</v>
      </c>
      <c r="BB157" s="2" t="e">
        <f ca="1">_xll.BDH($C$153,"GEO_GROW_TOT_SHRHLDR_EQY","FQ4 2014","FQ4 2014","Currency=INR","Period=FQ","BEST_FPERIOD_OVERRIDE=FQ","FILING_STATUS=OR","EQY_CONSOLIDATED=Y","Sort=A","Dates=H","DateFormat=P","Fill=—","Direction=H","UseDPDF=Y")</f>
        <v>#NAME?</v>
      </c>
      <c r="BC157" s="2" t="e">
        <f ca="1">_xll.BDH($C$153,"TOTAL_CAPITAL_5_YEAR_GROWTH","FQ4 2014","FQ4 2014","Currency=INR","Period=FQ","BEST_FPERIOD_OVERRIDE=FQ","FILING_STATUS=OR","EQY_CONSOLIDATED=Y","Sort=A","Dates=H","DateFormat=P","Fill=—","Direction=H","UseDPDF=Y")</f>
        <v>#NAME?</v>
      </c>
      <c r="BD157" s="2" t="e">
        <f ca="1">_xll.BDH($C$153,"GEO_GROW_BOOK_VAL","FQ4 2014","FQ4 2014","Currency=INR","Period=FQ","BEST_FPERIOD_OVERRIDE=FQ","FILING_STATUS=OR","EQY_CONSOLIDATED=Y","Sort=A","Dates=H","DateFormat=P","Fill=—","Direction=H","UseDPDF=Y")</f>
        <v>#NAME?</v>
      </c>
      <c r="BE157" s="2" t="e">
        <f ca="1">_xll.BDH($C$153,"GEO_GROW_CASH_OPER_ACT","FQ4 2014","FQ4 2014","Currency=INR","Period=FQ","BEST_FPERIOD_OVERRIDE=FQ","FILING_STATUS=OR","EQY_CONSOLIDATED=Y","Sort=A","Dates=H","DateFormat=P","Fill=—","Direction=H","UseDPDF=Y")</f>
        <v>#NAME?</v>
      </c>
      <c r="BF157" s="2" t="e">
        <f ca="1">_xll.BDH($C$153,"REVENUE_SEQUENTIAL_GROWTH","FQ4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157" s="2" t="e">
        <f ca="1">_xll.BDH($C$153,"EBITDA_SEQUENTIAL_GROWTH","FQ4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157" s="2" t="e">
        <f ca="1">_xll.BDH($C$153,"OPERATING_INCOME_SEQ_GROWTH","FQ4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157" s="2" t="e">
        <f ca="1">_xll.BDH($C$153,"NET_INCOME_TO_COMMON_SEQ_GROWTH","FQ4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157" s="2" t="e">
        <f ca="1">_xll.BDH($C$153,"EPS_DILUTED_SEQUENTIAL_GROWTH","FQ4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157" s="2" t="e">
        <f ca="1">_xll.BDH($C$153,"DPS_SEQUENTIAL_GROWTH","FQ4 2014","FQ4 2014","Currency=INR","Period=FQ","BEST_FPERIOD_OVERRIDE=FQ","FILING_STATUS=OR","EQY_CONSOLIDATED=Y","Sort=A","Dates=H","DateFormat=P","Fill=—","Direction=H","UseDPDF=Y")</f>
        <v>#NAME?</v>
      </c>
      <c r="BL157" s="2" t="e">
        <f ca="1">_xll.BDH($C$153,"ACCOUNTS_RECEIVABLE_SEQ_GROWTH","FQ4 2014","FQ4 2014","Currency=INR","Period=FQ","BEST_FPERIOD_OVERRIDE=FQ","FILING_STATUS=OR","EQY_CONSOLIDATED=Y","Sort=A","Dates=H","DateFormat=P","Fill=—","Direction=H","UseDPDF=Y")</f>
        <v>#NAME?</v>
      </c>
      <c r="BM157" s="2" t="e">
        <f ca="1">_xll.BDH($C$153,"INVENTORY_SEQUENTIAL_GROWTH","FQ4 2014","FQ4 2014","Currency=INR","Period=FQ","BEST_FPERIOD_OVERRIDE=FQ","FILING_STATUS=OR","EQY_CONSOLIDATED=Y","Sort=A","Dates=H","DateFormat=P","Fill=—","Direction=H","UseDPDF=Y")</f>
        <v>#NAME?</v>
      </c>
      <c r="BN157" s="2" t="e">
        <f ca="1">_xll.BDH($C$153,"FIXED_ASSETS_SEQUENTIAL_GROWTH","FQ4 2014","FQ4 2014","Currency=INR","Period=FQ","BEST_FPERIOD_OVERRIDE=FQ","FILING_STATUS=OR","EQY_CONSOLIDATED=Y","Sort=A","Dates=H","DateFormat=P","Fill=—","Direction=H","UseDPDF=Y")</f>
        <v>#NAME?</v>
      </c>
      <c r="BO157" s="2" t="e">
        <f ca="1">_xll.BDH($C$153,"TOTAL_ASSETS_SEQUENTIAL_GROWTH","FQ4 2014","FQ4 2014","Currency=INR","Period=FQ","BEST_FPERIOD_OVERRIDE=FQ","FILING_STATUS=OR","EQY_CONSOLIDATED=Y","Sort=A","Dates=H","DateFormat=P","Fill=—","Direction=H","UseDPDF=Y")</f>
        <v>#NAME?</v>
      </c>
      <c r="BP157" s="2" t="e">
        <f ca="1">_xll.BDH($C$153,"MODIFIED_WORKING_CPTL_SEQ_GRWTH","FQ4 2014","FQ4 2014","Currency=INR","Period=FQ","BEST_FPERIOD_OVERRIDE=FQ","FILING_STATUS=OR","EQY_CONSOLIDATED=Y","Sort=A","Dates=H","DateFormat=P","Fill=—","Direction=H","UseDPDF=Y")</f>
        <v>#NAME?</v>
      </c>
      <c r="BQ157" s="2" t="e">
        <f ca="1">_xll.BDH($C$153,"WORKING_CAPITAL_SEQ_GROWTH","FQ4 2014","FQ4 2014","Currency=INR","Period=FQ","BEST_FPERIOD_OVERRIDE=FQ","FILING_STATUS=OR","EQY_CONSOLIDATED=Y","Sort=A","Dates=H","DateFormat=P","Fill=—","Direction=H","UseDPDF=Y")</f>
        <v>#NAME?</v>
      </c>
      <c r="BR157" s="2" t="e">
        <f ca="1">_xll.BDH($C$153,"ACCOUNTS_PAYABLE_SEQ_GROWTH","FQ4 2014","FQ4 2014","Currency=INR","Period=FQ","BEST_FPERIOD_OVERRIDE=FQ","FILING_STATUS=OR","EQY_CONSOLIDATED=Y","Sort=A","Dates=H","DateFormat=P","Fill=—","Direction=H","UseDPDF=Y")</f>
        <v>#NAME?</v>
      </c>
      <c r="BS157" s="2" t="e">
        <f ca="1">_xll.BDH($C$153,"ST_DEBT_SEQUENTIAL_GROWTH","FQ4 2014","FQ4 2014","Currency=INR","Period=FQ","BEST_FPERIOD_OVERRIDE=FQ","FILING_STATUS=OR","EQY_CONSOLIDATED=Y","Sort=A","Dates=H","DateFormat=P","Fill=—","Direction=H","UseDPDF=Y")</f>
        <v>#NAME?</v>
      </c>
      <c r="BT157" s="2" t="e">
        <f ca="1">_xll.BDH($C$153,"TOTAL_DEBT_SEQUENTIAL_GROWTH","FQ4 2014","FQ4 2014","Currency=INR","Period=FQ","BEST_FPERIOD_OVERRIDE=FQ","FILING_STATUS=OR","EQY_CONSOLIDATED=Y","Sort=A","Dates=H","DateFormat=P","Fill=—","Direction=H","UseDPDF=Y")</f>
        <v>#NAME?</v>
      </c>
      <c r="BU157" s="2" t="e">
        <f ca="1">_xll.BDH($C$153,"TOTAL_EQUITY_SEQUENTIAL_GROWTH","FQ4 2014","FQ4 2014","Currency=INR","Period=FQ","BEST_FPERIOD_OVERRIDE=FQ","FILING_STATUS=OR","EQY_CONSOLIDATED=Y","Sort=A","Dates=H","DateFormat=P","Fill=—","Direction=H","UseDPDF=Y")</f>
        <v>#NAME?</v>
      </c>
      <c r="BV157" s="2" t="e">
        <f ca="1">_xll.BDH($C$153,"TOTAL_CAPITAL_SEQUENTIAL_GROWTH","FQ4 2014","FQ4 2014","Currency=INR","Period=FQ","BEST_FPERIOD_OVERRIDE=FQ","FILING_STATUS=OR","EQY_CONSOLIDATED=Y","Sort=A","Dates=H","DateFormat=P","Fill=—","Direction=H","UseDPDF=Y")</f>
        <v>#NAME?</v>
      </c>
      <c r="BW157" s="2" t="e">
        <f ca="1">_xll.BDH($C$153,"BPS_SEQUENTIAL_GROWTH","FQ4 2014","FQ4 2014","Currency=INR","Period=FQ","BEST_FPERIOD_OVERRIDE=FQ","FILING_STATUS=OR","EQY_CONSOLIDATED=Y","Sort=A","Dates=H","DateFormat=P","Fill=—","Direction=H","UseDPDF=Y")</f>
        <v>#NAME?</v>
      </c>
      <c r="BX157" s="2" t="e">
        <f ca="1">_xll.BDH($C$153,"CFO_SEQUENTIAL_GROWTH","FQ4 2014","FQ4 2014","Currency=INR","Period=FQ","BEST_FPERIOD_OVERRIDE=FQ","FILING_STATUS=OR","EQY_CONSOLIDATED=Y","Sort=A","Dates=H","DateFormat=P","Fill=—","Direction=H","UseDPDF=Y")</f>
        <v>#NAME?</v>
      </c>
      <c r="BY157" s="3" t="e">
        <f ca="1">_xll.BDH($C$153,"SHORT_AND_LONG_TERM_DEBT","FQ4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157" s="3" t="e">
        <f ca="1">_xll.BDH($C$153,"BS_ST_BORROW","FQ4 2014","FQ4 2014","Currency=INR","Period=FQ","BEST_FPERIOD_OVERRIDE=FQ","FILING_STATUS=OR","EQY_CONSOLIDATED=Y","SCALING_FORMAT=MLN","Sort=A","Dates=H","DateFormat=P","Fill=—","Direction=H","UseDPDF=Y")</f>
        <v>#NAME?</v>
      </c>
      <c r="CA157" s="3" t="e">
        <f ca="1">_xll.BDH($C$153,"BS_LT_BORROW","FQ4 2014","FQ4 2014","Currency=INR","Period=FQ","BEST_FPERIOD_OVERRIDE=FQ","FILING_STATUS=OR","EQY_CONSOLIDATED=Y","SCALING_FORMAT=MLN","Sort=A","Dates=H","DateFormat=P","Fill=—","Direction=H","UseDPDF=Y")</f>
        <v>#NAME?</v>
      </c>
      <c r="CB157" s="2" t="e">
        <f ca="1">_xll.BDH($C$153,"TOT_DEBT_TO_EBITDA","FQ4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157" s="2" t="e">
        <f ca="1">_xll.BDH($C$153,"NET_DEBT_TO_EBITDA","FQ4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157" s="2" t="e">
        <f ca="1">_xll.BDH($C$153,"TOTAL_DEBT_TO_EBIT","FQ4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157" s="2" t="e">
        <f ca="1">_xll.BDH($C$153,"NET_DEBT_TO_EBIT","FQ4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157" s="2" t="e">
        <f ca="1">_xll.BDH($C$153,"EBITDA_TO_INTEREST_EXPN","FQ4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157" s="2" t="e">
        <f ca="1">_xll.BDH($C$153,"COM_EQY_TO_TOT_ASSET","FQ4 2014","FQ4 2014","Currency=INR","Period=FQ","BEST_FPERIOD_OVERRIDE=FQ","FILING_STATUS=OR","EQY_CONSOLIDATED=Y","Sort=A","Dates=H","DateFormat=P","Fill=—","Direction=H","UseDPDF=Y")</f>
        <v>#NAME?</v>
      </c>
      <c r="CH157" s="2" t="e">
        <f ca="1">_xll.BDH($C$153,"LT_DEBT_TO_TOT_EQY","FQ4 2014","FQ4 2014","Currency=INR","Period=FQ","BEST_FPERIOD_OVERRIDE=FQ","FILING_STATUS=OR","EQY_CONSOLIDATED=Y","Sort=A","Dates=H","DateFormat=P","Fill=—","Direction=H","UseDPDF=Y")</f>
        <v>#NAME?</v>
      </c>
      <c r="CI157" s="2" t="e">
        <f ca="1">_xll.BDH($C$153,"LT_DEBT_TO_TOT_CAP","FQ4 2014","FQ4 2014","Currency=INR","Period=FQ","BEST_FPERIOD_OVERRIDE=FQ","FILING_STATUS=OR","EQY_CONSOLIDATED=Y","Sort=A","Dates=H","DateFormat=P","Fill=—","Direction=H","UseDPDF=Y")</f>
        <v>#NAME?</v>
      </c>
      <c r="CJ157" s="2" t="e">
        <f ca="1">_xll.BDH($C$153,"LT_DEBT_TO_TOT_ASSET","FQ4 2014","FQ4 2014","Currency=INR","Period=FQ","BEST_FPERIOD_OVERRIDE=FQ","FILING_STATUS=OR","EQY_CONSOLIDATED=Y","Sort=A","Dates=H","DateFormat=P","Fill=—","Direction=H","UseDPDF=Y")</f>
        <v>#NAME?</v>
      </c>
      <c r="CK157" s="2" t="e">
        <f ca="1">_xll.BDH($C$153,"TOT_DEBT_TO_TOT_EQY","FQ4 2014","FQ4 2014","Currency=INR","Period=FQ","BEST_FPERIOD_OVERRIDE=FQ","FILING_STATUS=OR","EQY_CONSOLIDATED=Y","Sort=A","Dates=H","DateFormat=P","Fill=—","Direction=H","UseDPDF=Y")</f>
        <v>#NAME?</v>
      </c>
      <c r="CL157" s="2" t="e">
        <f ca="1">_xll.BDH($C$153,"TOT_DEBT_TO_TOT_CAP","FQ4 2014","FQ4 2014","Currency=INR","Period=FQ","BEST_FPERIOD_OVERRIDE=FQ","FILING_STATUS=OR","EQY_CONSOLIDATED=Y","Sort=A","Dates=H","DateFormat=P","Fill=—","Direction=H","UseDPDF=Y")</f>
        <v>#NAME?</v>
      </c>
      <c r="CM157" s="2" t="e">
        <f ca="1">_xll.BDH($C$153,"TOT_DEBT_TO_TOT_ASSET","FQ4 2014","FQ4 2014","Currency=INR","Period=FQ","BEST_FPERIOD_OVERRIDE=FQ","FILING_STATUS=OR","EQY_CONSOLIDATED=Y","Sort=A","Dates=H","DateFormat=P","Fill=—","Direction=H","UseDPDF=Y")</f>
        <v>#NAME?</v>
      </c>
      <c r="CN157" s="2" t="e">
        <f ca="1">_xll.BDH($C$153,"NET_DEBT_TO_SHRHLDR_EQTY","FQ4 2014","FQ4 2014","Currency=INR","Period=FQ","BEST_FPERIOD_OVERRIDE=FQ","FILING_STATUS=OR","EQY_CONSOLIDATED=Y","Sort=A","Dates=H","DateFormat=P","Fill=—","Direction=H","UseDPDF=Y")</f>
        <v>#NAME?</v>
      </c>
      <c r="CO157" s="2" t="e">
        <f ca="1">_xll.BDH($C$153,"NET_DEBT_%_CAPITAL","FQ4 2014","FQ4 2014","Currency=INR","Period=FQ","BEST_FPERIOD_OVERRIDE=FQ","FILING_STATUS=OR","EQY_CONSOLIDATED=Y","Sort=A","Dates=H","DateFormat=P","Fill=—","Direction=H","UseDPDF=Y")</f>
        <v>#NAME?</v>
      </c>
      <c r="CP157" s="3" t="e">
        <f ca="1">_xll.BDH($C$153,"EBITDA","FQ4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157" s="3" t="e">
        <f ca="1">_xll.BDH($C$153,"EBITDA_AFTER_CAPEX","FQ4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157" s="3" t="e">
        <f ca="1">_xll.BDH($C$153,"IS_OPER_INC","FQ4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157" s="2" t="e">
        <f ca="1">_xll.BDH($C$153,"CASH_RATIO","FQ4 2014","FQ4 2014","Currency=INR","Period=FQ","BEST_FPERIOD_OVERRIDE=FQ","FILING_STATUS=OR","EQY_CONSOLIDATED=Y","Sort=A","Dates=H","DateFormat=P","Fill=—","Direction=H","UseDPDF=Y")</f>
        <v>#NAME?</v>
      </c>
      <c r="CT157" s="2" t="e">
        <f ca="1">_xll.BDH($C$153,"CUR_RATIO","FQ4 2014","FQ4 2014","Currency=INR","Period=FQ","BEST_FPERIOD_OVERRIDE=FQ","FILING_STATUS=OR","EQY_CONSOLIDATED=Y","Sort=A","Dates=H","DateFormat=P","Fill=—","Direction=H","UseDPDF=Y")</f>
        <v>#NAME?</v>
      </c>
      <c r="CU157" s="2" t="e">
        <f ca="1">_xll.BDH($C$153,"QUICK_RATIO","FQ4 2014","FQ4 2014","Currency=INR","Period=FQ","BEST_FPERIOD_OVERRIDE=FQ","FILING_STATUS=OR","EQY_CONSOLIDATED=Y","Sort=A","Dates=H","DateFormat=P","Fill=—","Direction=H","UseDPDF=Y")</f>
        <v>#NAME?</v>
      </c>
      <c r="CV157" s="2" t="e">
        <f ca="1">_xll.BDH($C$153,"ALTMAN_Z_SCORE","FQ4 2014","FQ4 2014","Currency=INR","Period=FQ","BEST_FPERIOD_OVERRIDE=FQ","FILING_STATUS=OR","EQY_CONSOLIDATED=Y","Sort=A","Dates=H","DateFormat=P","Fill=—","Direction=H","UseDPDF=Y")</f>
        <v>#NAME?</v>
      </c>
      <c r="CW157" s="4" t="e">
        <f ca="1">_xll.BDH($C$153,"ACCT_RCV_TURN","FQ4 2014","FQ4 2014","Currency=INR","Period=FQ","BEST_FPERIOD_OVERRIDE=FQ","FILING_STATUS=OR","EQY_CONSOLIDATED=Y","FA_ADJUSTED=GAAP","Sort=A","Dates=H","DateFormat=P","Fill=—","Direction=H","UseDPDF=Y")</f>
        <v>#NAME?</v>
      </c>
      <c r="CX157" s="2" t="e">
        <f ca="1">_xll.BDH($C$153,"ACCT_RCV_DAYS","FQ4 2014","FQ4 2014","Currency=INR","Period=FQ","BEST_FPERIOD_OVERRIDE=FQ","FILING_STATUS=OR","EQY_CONSOLIDATED=Y","FA_ADJUSTED=GAAP","Sort=A","Dates=H","DateFormat=P","Fill=—","Direction=H","UseDPDF=Y")</f>
        <v>#NAME?</v>
      </c>
      <c r="CY157" s="4" t="e">
        <f ca="1">_xll.BDH($C$153,"INVENT_TURN","FQ4 2014","FQ4 2014","Currency=INR","Period=FQ","BEST_FPERIOD_OVERRIDE=FQ","FILING_STATUS=OR","EQY_CONSOLIDATED=Y","FA_ADJUSTED=GAAP","Sort=A","Dates=H","DateFormat=P","Fill=—","Direction=H","UseDPDF=Y")</f>
        <v>#NAME?</v>
      </c>
      <c r="CZ157" s="2" t="e">
        <f ca="1">_xll.BDH($C$153,"INVENT_DAYS","FQ4 2014","FQ4 2014","Currency=INR","Period=FQ","BEST_FPERIOD_OVERRIDE=FQ","FILING_STATUS=OR","EQY_CONSOLIDATED=Y","FA_ADJUSTED=GAAP","Sort=A","Dates=H","DateFormat=P","Fill=—","Direction=H","UseDPDF=Y")</f>
        <v>#NAME?</v>
      </c>
      <c r="DA157" s="4" t="e">
        <f ca="1">_xll.BDH($C$153,"ACCOUNTS_PAYABLE_TURNOVER","FQ4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157" s="2" t="e">
        <f ca="1">_xll.BDH($C$153,"ACCOUNTS_PAYABLE_TURNOVER_DAYS","FQ4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157" s="4" t="e">
        <f ca="1">_xll.BDH($C$153,"CASH_CONVERSION_CYCLE","FQ4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157" s="4" t="e">
        <f ca="1">_xll.BDH($C$153,"INV_TO_CASH_DAYS","FQ4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157" s="5" t="e">
        <f ca="1">_xll.BDH($C$153,"BS_INVENTORIES","FQ4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157" s="3" t="e">
        <f ca="1">_xll.BDH($C$153,"INVTRY_RAW_MATERIALS","FQ4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157" s="3" t="e">
        <f ca="1">_xll.BDH($C$153,"INVTRY_IN_PROGRESS","FQ4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157" s="3" t="e">
        <f ca="1">_xll.BDH($C$153,"INVTRY_FINISHED_GOODS","FQ4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157" s="3" t="e">
        <f ca="1">_xll.BDH($C$153,"BS_OTHER_INV","FQ4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158" spans="1:113" x14ac:dyDescent="0.3">
      <c r="A158" s="6"/>
      <c r="B158" s="6"/>
      <c r="C158" s="6"/>
      <c r="D158" s="6" t="s">
        <v>82</v>
      </c>
      <c r="E158" t="s">
        <v>77</v>
      </c>
      <c r="F158" t="e">
        <f ca="1">_xll.BDH($C$153,"RETURN_COM_EQY","FY 2015","FY 2015","Currency=INR","Period=FY","BEST_FPERIOD_OVERRIDE=FY","FILING_STATUS=OR","EQY_CONSOLIDATED=Y","FA_ADJUSTED=GAAP","Sort=A","Dates=H","DateFormat=P","Fill=—","Direction=H","UseDPDF=Y")</f>
        <v>#NAME?</v>
      </c>
      <c r="G158" t="e">
        <f ca="1">_xll.BDH($C$153,"RETURN_ON_ASSET","FY 2015","FY 2015","Currency=INR","Period=FY","BEST_FPERIOD_OVERRIDE=FY","FILING_STATUS=OR","EQY_CONSOLIDATED=Y","FA_ADJUSTED=GAAP","Sort=A","Dates=H","DateFormat=P","Fill=—","Direction=H","UseDPDF=Y")</f>
        <v>#NAME?</v>
      </c>
      <c r="H158" t="e">
        <f ca="1">_xll.BDH($C$153,"RETURN_ON_CAP","FY 2015","FY 2015","Currency=INR","Period=FY","BEST_FPERIOD_OVERRIDE=FY","FILING_STATUS=OR","EQY_CONSOLIDATED=Y","FA_ADJUSTED=GAAP","Sort=A","Dates=H","DateFormat=P","Fill=—","Direction=H","UseDPDF=Y")</f>
        <v>#NAME?</v>
      </c>
      <c r="I158" t="e">
        <f ca="1">_xll.BDH($C$153,"RETURN_ON_INV_CAPITAL","FY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158" t="e">
        <f ca="1">_xll.BDH($C$153,"EBITDA_TO_REVENUE","FY 2015","FY 2015","Currency=INR","Period=FY","BEST_FPERIOD_OVERRIDE=FY","FILING_STATUS=OR","EQY_CONSOLIDATED=Y","FA_ADJUSTED=GAAP","Sort=A","Dates=H","DateFormat=P","Fill=—","Direction=H","UseDPDF=Y")</f>
        <v>#NAME?</v>
      </c>
      <c r="K158" t="e">
        <f ca="1">_xll.BDH($C$153,"OPER_MARGIN","FY 2015","FY 2015","Currency=INR","Period=FY","BEST_FPERIOD_OVERRIDE=FY","FILING_STATUS=OR","EQY_CONSOLIDATED=Y","FA_ADJUSTED=GAAP","Sort=A","Dates=H","DateFormat=P","Fill=—","Direction=H","UseDPDF=Y")</f>
        <v>#NAME?</v>
      </c>
      <c r="L158" t="e">
        <f ca="1">_xll.BDH($C$153,"INCREMENTAL_OPERATING_MARGIN","FY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158" t="e">
        <f ca="1">_xll.BDH($C$153,"PRETAX_INC_TO_NET_SALES","FY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158" t="e">
        <f ca="1">_xll.BDH($C$153,"INC_BEF_XO_ITEMS_TO_NET_SALES","FY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158" t="e">
        <f ca="1">_xll.BDH($C$153,"PROF_MARGIN","FY 2015","FY 2015","Currency=INR","Period=FY","BEST_FPERIOD_OVERRIDE=FY","FILING_STATUS=OR","EQY_CONSOLIDATED=Y","FA_ADJUSTED=GAAP","Sort=A","Dates=H","DateFormat=P","Fill=—","Direction=H","UseDPDF=Y")</f>
        <v>#NAME?</v>
      </c>
      <c r="P158" t="e">
        <f ca="1">_xll.BDH($C$153,"NET_INCOME_TO_COMMON_MARGIN","FY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158" t="e">
        <f ca="1">_xll.BDH($C$153,"EFF_TAX_RATE","FY 2015","FY 2015","Currency=INR","Period=FY","BEST_FPERIOD_OVERRIDE=FY","FILING_STATUS=OR","EQY_CONSOLIDATED=Y","FA_ADJUSTED=GAAP","Sort=A","Dates=H","DateFormat=P","Fill=—","Direction=H","UseDPDF=Y")</f>
        <v>#NAME?</v>
      </c>
      <c r="R158" t="e">
        <f ca="1">_xll.BDH($C$153,"DVD_PAYOUT_RATIO","FY 2015","FY 2015","Currency=INR","Period=FY","BEST_FPERIOD_OVERRIDE=FY","FILING_STATUS=OR","EQY_CONSOLIDATED=Y","FA_ADJUSTED=GAAP","Sort=A","Dates=H","DateFormat=P","Fill=—","Direction=H","UseDPDF=Y")</f>
        <v>#NAME?</v>
      </c>
      <c r="S158" t="e">
        <f ca="1">_xll.BDH($C$153,"SUSTAIN_GROWTH_RT","FY 2015","FY 2015","Currency=INR","Period=FY","BEST_FPERIOD_OVERRIDE=FY","FILING_STATUS=OR","EQY_CONSOLIDATED=Y","FA_ADJUSTED=GAAP","Sort=A","Dates=H","DateFormat=P","Fill=—","Direction=H","UseDPDF=Y")</f>
        <v>#NAME?</v>
      </c>
      <c r="T158" s="2" t="e">
        <f ca="1">_xll.BDH($C$153,"SALES_GROWTH","FY 2015","FY 2015","Currency=INR","Period=FY","BEST_FPERIOD_OVERRIDE=FY","FILING_STATUS=OR","EQY_CONSOLIDATED=Y","FA_ADJUSTED=GAAP","Sort=A","Dates=H","DateFormat=P","Fill=—","Direction=H","UseDPDF=Y")</f>
        <v>#NAME?</v>
      </c>
      <c r="U158" s="2" t="e">
        <f ca="1">_xll.BDH($C$153,"EBITDA_GROWTH","FY 2015","FY 2015","Currency=INR","Period=FY","BEST_FPERIOD_OVERRIDE=FY","FILING_STATUS=OR","EQY_CONSOLIDATED=Y","FA_ADJUSTED=GAAP","Sort=A","Dates=H","DateFormat=P","Fill=—","Direction=H","UseDPDF=Y")</f>
        <v>#NAME?</v>
      </c>
      <c r="V158" s="2" t="e">
        <f ca="1">_xll.BDH($C$153,"OPER_INC_GROWTH","FY 2015","FY 2015","Currency=INR","Period=FY","BEST_FPERIOD_OVERRIDE=FY","FILING_STATUS=OR","EQY_CONSOLIDATED=Y","FA_ADJUSTED=GAAP","Sort=A","Dates=H","DateFormat=P","Fill=—","Direction=H","UseDPDF=Y")</f>
        <v>#NAME?</v>
      </c>
      <c r="W158" s="2" t="e">
        <f ca="1">_xll.BDH($C$153,"EARN_FOR_COM_GROWTH","FY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158" s="2" t="e">
        <f ca="1">_xll.BDH($C$153,"DILUTED_EPS_AFT_XO_ITEMS_GROWTH","FY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158" s="2" t="e">
        <f ca="1">_xll.BDH($C$153,"DIVIDEND_PER_SHARE_1_YEAR_GROWTH","FY 2015","FY 2015","Currency=INR","Period=FY","BEST_FPERIOD_OVERRIDE=FY","FILING_STATUS=OR","EQY_CONSOLIDATED=Y","Sort=A","Dates=H","DateFormat=P","Fill=—","Direction=H","UseDPDF=Y")</f>
        <v>#NAME?</v>
      </c>
      <c r="Z158" s="2" t="e">
        <f ca="1">_xll.BDH($C$153,"ACCOUNTS_RECEIVABLE_GROWTH","FY 2015","FY 2015","Currency=INR","Period=FY","BEST_FPERIOD_OVERRIDE=FY","FILING_STATUS=OR","EQY_CONSOLIDATED=Y","Sort=A","Dates=H","DateFormat=P","Fill=—","Direction=H","UseDPDF=Y")</f>
        <v>#NAME?</v>
      </c>
      <c r="AA158" s="2" t="e">
        <f ca="1">_xll.BDH($C$153,"INVENTORY_GROWTH","FY 2015","FY 2015","Currency=INR","Period=FY","BEST_FPERIOD_OVERRIDE=FY","FILING_STATUS=OR","EQY_CONSOLIDATED=Y","Sort=A","Dates=H","DateFormat=P","Fill=—","Direction=H","UseDPDF=Y")</f>
        <v>#NAME?</v>
      </c>
      <c r="AB158" s="2" t="e">
        <f ca="1">_xll.BDH($C$153,"NET_FIXED_ASSETS_1_YEAR_GROWTH","FY 2015","FY 2015","Currency=INR","Period=FY","BEST_FPERIOD_OVERRIDE=FY","FILING_STATUS=OR","EQY_CONSOLIDATED=Y","Sort=A","Dates=H","DateFormat=P","Fill=—","Direction=H","UseDPDF=Y")</f>
        <v>#NAME?</v>
      </c>
      <c r="AC158" s="2" t="e">
        <f ca="1">_xll.BDH($C$153,"ASSET_GROWTH","FY 2015","FY 2015","Currency=INR","Period=FY","BEST_FPERIOD_OVERRIDE=FY","FILING_STATUS=OR","EQY_CONSOLIDATED=Y","Sort=A","Dates=H","DateFormat=P","Fill=—","Direction=H","UseDPDF=Y")</f>
        <v>#NAME?</v>
      </c>
      <c r="AD158" s="2" t="e">
        <f ca="1">_xll.BDH($C$153,"MODIFIED_WORK_CAP_GROWTH","FY 2015","FY 2015","Currency=INR","Period=FY","BEST_FPERIOD_OVERRIDE=FY","FILING_STATUS=OR","EQY_CONSOLIDATED=Y","Sort=A","Dates=H","DateFormat=P","Fill=—","Direction=H","UseDPDF=Y")</f>
        <v>#NAME?</v>
      </c>
      <c r="AE158" s="2" t="e">
        <f ca="1">_xll.BDH($C$153,"WORK_CAP_GROWTH","FY 2015","FY 2015","Currency=INR","Period=FY","BEST_FPERIOD_OVERRIDE=FY","FILING_STATUS=OR","EQY_CONSOLIDATED=Y","Sort=A","Dates=H","DateFormat=P","Fill=—","Direction=H","UseDPDF=Y")</f>
        <v>#NAME?</v>
      </c>
      <c r="AF158" s="2" t="e">
        <f ca="1">_xll.BDH($C$153,"ACCOUNTS_PAYABLE_GROWTH_1YR","FY 2015","FY 2015","Currency=INR","Period=FY","BEST_FPERIOD_OVERRIDE=FY","FILING_STATUS=OR","EQY_CONSOLIDATED=Y","Sort=A","Dates=H","DateFormat=P","Fill=—","Direction=H","UseDPDF=Y")</f>
        <v>#NAME?</v>
      </c>
      <c r="AG158" s="2" t="e">
        <f ca="1">_xll.BDH($C$153,"SHORT_TERM_DEBT_1_YEAR_GROWTH","FY 2015","FY 2015","Currency=INR","Period=FY","BEST_FPERIOD_OVERRIDE=FY","FILING_STATUS=OR","EQY_CONSOLIDATED=Y","Sort=A","Dates=H","DateFormat=P","Fill=—","Direction=H","UseDPDF=Y")</f>
        <v>#NAME?</v>
      </c>
      <c r="AH158" s="2" t="e">
        <f ca="1">_xll.BDH($C$153,"TOTAL_DEBT_1_YEAR_GROWTH","FY 2015","FY 2015","Currency=INR","Period=FY","BEST_FPERIOD_OVERRIDE=FY","FILING_STATUS=OR","EQY_CONSOLIDATED=Y","Sort=A","Dates=H","DateFormat=P","Fill=—","Direction=H","UseDPDF=Y")</f>
        <v>#NAME?</v>
      </c>
      <c r="AI158" s="2" t="e">
        <f ca="1">_xll.BDH($C$153,"TOTAL_EQUITY_1_YEAR_GROWTH","FY 2015","FY 2015","Currency=INR","Period=FY","BEST_FPERIOD_OVERRIDE=FY","FILING_STATUS=OR","EQY_CONSOLIDATED=Y","Sort=A","Dates=H","DateFormat=P","Fill=—","Direction=H","UseDPDF=Y")</f>
        <v>#NAME?</v>
      </c>
      <c r="AJ158" s="2" t="e">
        <f ca="1">_xll.BDH($C$153,"GROWTH_IN_CAP","FY 2015","FY 2015","Currency=INR","Period=FY","BEST_FPERIOD_OVERRIDE=FY","FILING_STATUS=OR","EQY_CONSOLIDATED=Y","Sort=A","Dates=H","DateFormat=P","Fill=—","Direction=H","UseDPDF=Y")</f>
        <v>#NAME?</v>
      </c>
      <c r="AK158" s="2" t="e">
        <f ca="1">_xll.BDH($C$153,"BVPS_GROWTH","FY 2015","FY 2015","Currency=INR","Period=FY","BEST_FPERIOD_OVERRIDE=FY","FILING_STATUS=OR","EQY_CONSOLIDATED=Y","Sort=A","Dates=H","DateFormat=P","Fill=—","Direction=H","UseDPDF=Y")</f>
        <v>#NAME?</v>
      </c>
      <c r="AL158" s="2" t="e">
        <f ca="1">_xll.BDH($C$153,"CASH_FLOW_GROWTH","FY 2015","FY 2015","Currency=INR","Period=FY","BEST_FPERIOD_OVERRIDE=FY","FILING_STATUS=OR","EQY_CONSOLIDATED=Y","Sort=A","Dates=H","DateFormat=P","Fill=—","Direction=H","UseDPDF=Y")</f>
        <v>#NAME?</v>
      </c>
      <c r="AM158" s="2" t="e">
        <f ca="1">_xll.BDH($C$153,"GEO_GROW_NET_SALES","FY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158" s="2" t="e">
        <f ca="1">_xll.BDH($C$153,"GEO_GROW_EBITDA","FY 2015","FY 2015","Currency=INR","Period=FY","BEST_FPERIOD_OVERRIDE=FY","FILING_STATUS=OR","EQY_CONSOLIDATED=Y","FA_ADJUSTED=GAAP","Sort=A","Dates=H","DateFormat=P","Fill=—","Direction=H","UseDPDF=Y")</f>
        <v>#NAME?</v>
      </c>
      <c r="AO158" s="2" t="e">
        <f ca="1">_xll.BDH($C$153,"GEO_GROW_OPER_INC","FY 2015","FY 2015","Currency=INR","Period=FY","BEST_FPERIOD_OVERRIDE=FY","FILING_STATUS=OR","EQY_CONSOLIDATED=Y","FA_ADJUSTED=GAAP","Sort=A","Dates=H","DateFormat=P","Fill=—","Direction=H","UseDPDF=Y")</f>
        <v>#NAME?</v>
      </c>
      <c r="AP158" s="2" t="e">
        <f ca="1">_xll.BDH($C$153,"NET_INCOME_TO_COMMON_5_YR_GROWTH","FY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158" s="2" t="e">
        <f ca="1">_xll.BDH($C$153,"5Y_GEO_GROWTH_DILUTED_EPS","FY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158" s="2" t="e">
        <f ca="1">_xll.BDH($C$153,"GEO_GROW_DVD_PER_SH","FY 2015","FY 2015","Currency=INR","Period=FY","BEST_FPERIOD_OVERRIDE=FY","FILING_STATUS=OR","EQY_CONSOLIDATED=Y","Sort=A","Dates=H","DateFormat=P","Fill=—","Direction=H","UseDPDF=Y")</f>
        <v>#NAME?</v>
      </c>
      <c r="AS158" s="2" t="e">
        <f ca="1">_xll.BDH($C$153,"ACCOUNTS_RECEIVABLE_5_YR_GROWTH","FY 2015","FY 2015","Currency=INR","Period=FY","BEST_FPERIOD_OVERRIDE=FY","FILING_STATUS=OR","EQY_CONSOLIDATED=Y","Sort=A","Dates=H","DateFormat=P","Fill=—","Direction=H","UseDPDF=Y")</f>
        <v>#NAME?</v>
      </c>
      <c r="AT158" s="2" t="e">
        <f ca="1">_xll.BDH($C$153,"INVENTORY_5_YEAR_GROWTH","FY 2015","FY 2015","Currency=INR","Period=FY","BEST_FPERIOD_OVERRIDE=FY","FILING_STATUS=OR","EQY_CONSOLIDATED=Y","Sort=A","Dates=H","DateFormat=P","Fill=—","Direction=H","UseDPDF=Y")</f>
        <v>#NAME?</v>
      </c>
      <c r="AU158" s="2" t="e">
        <f ca="1">_xll.BDH($C$153,"NET_FIXED_ASSETS_5_YEAR_GROWTH","FY 2015","FY 2015","Currency=INR","Period=FY","BEST_FPERIOD_OVERRIDE=FY","FILING_STATUS=OR","EQY_CONSOLIDATED=Y","Sort=A","Dates=H","DateFormat=P","Fill=—","Direction=H","UseDPDF=Y")</f>
        <v>#NAME?</v>
      </c>
      <c r="AV158" s="2" t="e">
        <f ca="1">_xll.BDH($C$153,"GEO_GROW_TOT_ASSET","FY 2015","FY 2015","Currency=INR","Period=FY","BEST_FPERIOD_OVERRIDE=FY","FILING_STATUS=OR","EQY_CONSOLIDATED=Y","Sort=A","Dates=H","DateFormat=P","Fill=—","Direction=H","UseDPDF=Y")</f>
        <v>#NAME?</v>
      </c>
      <c r="AW158" s="2" t="e">
        <f ca="1">_xll.BDH($C$153,"MODIFIED_WORKING_CPTL_5YR_GRWTH","FY 2015","FY 2015","Currency=INR","Period=FY","BEST_FPERIOD_OVERRIDE=FY","FILING_STATUS=OR","EQY_CONSOLIDATED=Y","Sort=A","Dates=H","DateFormat=P","Fill=—","Direction=H","UseDPDF=Y")</f>
        <v>#NAME?</v>
      </c>
      <c r="AX158" s="2" t="e">
        <f ca="1">_xll.BDH($C$153,"WORKING_CAPITAL_5_YEAR_GROWTH","FY 2015","FY 2015","Currency=INR","Period=FY","BEST_FPERIOD_OVERRIDE=FY","FILING_STATUS=OR","EQY_CONSOLIDATED=Y","Sort=A","Dates=H","DateFormat=P","Fill=—","Direction=H","UseDPDF=Y")</f>
        <v>#NAME?</v>
      </c>
      <c r="AY158" s="2" t="e">
        <f ca="1">_xll.BDH($C$153,"ACCOUNTS_PAYABLE_5_YEAR_GROWTH","FY 2015","FY 2015","Currency=INR","Period=FY","BEST_FPERIOD_OVERRIDE=FY","FILING_STATUS=OR","EQY_CONSOLIDATED=Y","Sort=A","Dates=H","DateFormat=P","Fill=—","Direction=H","UseDPDF=Y")</f>
        <v>#NAME?</v>
      </c>
      <c r="AZ158" s="2" t="e">
        <f ca="1">_xll.BDH($C$153,"SHORT_TERM_DEBT_5_YEAR_GROWTH","FY 2015","FY 2015","Currency=INR","Period=FY","BEST_FPERIOD_OVERRIDE=FY","FILING_STATUS=OR","EQY_CONSOLIDATED=Y","Sort=A","Dates=H","DateFormat=P","Fill=—","Direction=H","UseDPDF=Y")</f>
        <v>#NAME?</v>
      </c>
      <c r="BA158" s="2" t="e">
        <f ca="1">_xll.BDH($C$153,"TOTAL_DEBT_5_YEAR_GROWTH","FY 2015","FY 2015","Currency=INR","Period=FY","BEST_FPERIOD_OVERRIDE=FY","FILING_STATUS=OR","EQY_CONSOLIDATED=Y","Sort=A","Dates=H","DateFormat=P","Fill=—","Direction=H","UseDPDF=Y")</f>
        <v>#NAME?</v>
      </c>
      <c r="BB158" s="2" t="e">
        <f ca="1">_xll.BDH($C$153,"GEO_GROW_TOT_SHRHLDR_EQY","FY 2015","FY 2015","Currency=INR","Period=FY","BEST_FPERIOD_OVERRIDE=FY","FILING_STATUS=OR","EQY_CONSOLIDATED=Y","Sort=A","Dates=H","DateFormat=P","Fill=—","Direction=H","UseDPDF=Y")</f>
        <v>#NAME?</v>
      </c>
      <c r="BC158" s="2" t="e">
        <f ca="1">_xll.BDH($C$153,"TOTAL_CAPITAL_5_YEAR_GROWTH","FY 2015","FY 2015","Currency=INR","Period=FY","BEST_FPERIOD_OVERRIDE=FY","FILING_STATUS=OR","EQY_CONSOLIDATED=Y","Sort=A","Dates=H","DateFormat=P","Fill=—","Direction=H","UseDPDF=Y")</f>
        <v>#NAME?</v>
      </c>
      <c r="BD158" s="2" t="e">
        <f ca="1">_xll.BDH($C$153,"GEO_GROW_BOOK_VAL","FY 2015","FY 2015","Currency=INR","Period=FY","BEST_FPERIOD_OVERRIDE=FY","FILING_STATUS=OR","EQY_CONSOLIDATED=Y","Sort=A","Dates=H","DateFormat=P","Fill=—","Direction=H","UseDPDF=Y")</f>
        <v>#NAME?</v>
      </c>
      <c r="BE158" s="2" t="e">
        <f ca="1">_xll.BDH($C$153,"GEO_GROW_CASH_OPER_ACT","FY 2015","FY 2015","Currency=INR","Period=FY","BEST_FPERIOD_OVERRIDE=FY","FILING_STATUS=OR","EQY_CONSOLIDATED=Y","Sort=A","Dates=H","DateFormat=P","Fill=—","Direction=H","UseDPDF=Y")</f>
        <v>#NAME?</v>
      </c>
      <c r="BF158" s="2" t="e">
        <f ca="1">_xll.BDH($C$153,"REVENUE_SEQUENTIAL_GROWTH","FY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158" s="2" t="e">
        <f ca="1">_xll.BDH($C$153,"EBITDA_SEQUENTIAL_GROWTH","FY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158" s="2" t="e">
        <f ca="1">_xll.BDH($C$153,"OPERATING_INCOME_SEQ_GROWTH","FY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158" s="2" t="e">
        <f ca="1">_xll.BDH($C$153,"NET_INCOME_TO_COMMON_SEQ_GROWTH","FY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158" s="2" t="e">
        <f ca="1">_xll.BDH($C$153,"EPS_DILUTED_SEQUENTIAL_GROWTH","FY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158" s="2" t="e">
        <f ca="1">_xll.BDH($C$153,"DPS_SEQUENTIAL_GROWTH","FY 2015","FY 2015","Currency=INR","Period=FY","BEST_FPERIOD_OVERRIDE=FY","FILING_STATUS=OR","EQY_CONSOLIDATED=Y","Sort=A","Dates=H","DateFormat=P","Fill=—","Direction=H","UseDPDF=Y")</f>
        <v>#NAME?</v>
      </c>
      <c r="BL158" s="2" t="e">
        <f ca="1">_xll.BDH($C$153,"ACCOUNTS_RECEIVABLE_SEQ_GROWTH","FY 2015","FY 2015","Currency=INR","Period=FY","BEST_FPERIOD_OVERRIDE=FY","FILING_STATUS=OR","EQY_CONSOLIDATED=Y","Sort=A","Dates=H","DateFormat=P","Fill=—","Direction=H","UseDPDF=Y")</f>
        <v>#NAME?</v>
      </c>
      <c r="BM158" s="2" t="e">
        <f ca="1">_xll.BDH($C$153,"INVENTORY_SEQUENTIAL_GROWTH","FY 2015","FY 2015","Currency=INR","Period=FY","BEST_FPERIOD_OVERRIDE=FY","FILING_STATUS=OR","EQY_CONSOLIDATED=Y","Sort=A","Dates=H","DateFormat=P","Fill=—","Direction=H","UseDPDF=Y")</f>
        <v>#NAME?</v>
      </c>
      <c r="BN158" s="2" t="e">
        <f ca="1">_xll.BDH($C$153,"FIXED_ASSETS_SEQUENTIAL_GROWTH","FY 2015","FY 2015","Currency=INR","Period=FY","BEST_FPERIOD_OVERRIDE=FY","FILING_STATUS=OR","EQY_CONSOLIDATED=Y","Sort=A","Dates=H","DateFormat=P","Fill=—","Direction=H","UseDPDF=Y")</f>
        <v>#NAME?</v>
      </c>
      <c r="BO158" s="2" t="e">
        <f ca="1">_xll.BDH($C$153,"TOTAL_ASSETS_SEQUENTIAL_GROWTH","FY 2015","FY 2015","Currency=INR","Period=FY","BEST_FPERIOD_OVERRIDE=FY","FILING_STATUS=OR","EQY_CONSOLIDATED=Y","Sort=A","Dates=H","DateFormat=P","Fill=—","Direction=H","UseDPDF=Y")</f>
        <v>#NAME?</v>
      </c>
      <c r="BP158" s="2" t="e">
        <f ca="1">_xll.BDH($C$153,"MODIFIED_WORKING_CPTL_SEQ_GRWTH","FY 2015","FY 2015","Currency=INR","Period=FY","BEST_FPERIOD_OVERRIDE=FY","FILING_STATUS=OR","EQY_CONSOLIDATED=Y","Sort=A","Dates=H","DateFormat=P","Fill=—","Direction=H","UseDPDF=Y")</f>
        <v>#NAME?</v>
      </c>
      <c r="BQ158" s="2" t="e">
        <f ca="1">_xll.BDH($C$153,"WORKING_CAPITAL_SEQ_GROWTH","FY 2015","FY 2015","Currency=INR","Period=FY","BEST_FPERIOD_OVERRIDE=FY","FILING_STATUS=OR","EQY_CONSOLIDATED=Y","Sort=A","Dates=H","DateFormat=P","Fill=—","Direction=H","UseDPDF=Y")</f>
        <v>#NAME?</v>
      </c>
      <c r="BR158" s="2" t="e">
        <f ca="1">_xll.BDH($C$153,"ACCOUNTS_PAYABLE_SEQ_GROWTH","FY 2015","FY 2015","Currency=INR","Period=FY","BEST_FPERIOD_OVERRIDE=FY","FILING_STATUS=OR","EQY_CONSOLIDATED=Y","Sort=A","Dates=H","DateFormat=P","Fill=—","Direction=H","UseDPDF=Y")</f>
        <v>#NAME?</v>
      </c>
      <c r="BS158" s="2" t="e">
        <f ca="1">_xll.BDH($C$153,"ST_DEBT_SEQUENTIAL_GROWTH","FY 2015","FY 2015","Currency=INR","Period=FY","BEST_FPERIOD_OVERRIDE=FY","FILING_STATUS=OR","EQY_CONSOLIDATED=Y","Sort=A","Dates=H","DateFormat=P","Fill=—","Direction=H","UseDPDF=Y")</f>
        <v>#NAME?</v>
      </c>
      <c r="BT158" s="2" t="e">
        <f ca="1">_xll.BDH($C$153,"TOTAL_DEBT_SEQUENTIAL_GROWTH","FY 2015","FY 2015","Currency=INR","Period=FY","BEST_FPERIOD_OVERRIDE=FY","FILING_STATUS=OR","EQY_CONSOLIDATED=Y","Sort=A","Dates=H","DateFormat=P","Fill=—","Direction=H","UseDPDF=Y")</f>
        <v>#NAME?</v>
      </c>
      <c r="BU158" s="2" t="e">
        <f ca="1">_xll.BDH($C$153,"TOTAL_EQUITY_SEQUENTIAL_GROWTH","FY 2015","FY 2015","Currency=INR","Period=FY","BEST_FPERIOD_OVERRIDE=FY","FILING_STATUS=OR","EQY_CONSOLIDATED=Y","Sort=A","Dates=H","DateFormat=P","Fill=—","Direction=H","UseDPDF=Y")</f>
        <v>#NAME?</v>
      </c>
      <c r="BV158" s="2" t="e">
        <f ca="1">_xll.BDH($C$153,"TOTAL_CAPITAL_SEQUENTIAL_GROWTH","FY 2015","FY 2015","Currency=INR","Period=FY","BEST_FPERIOD_OVERRIDE=FY","FILING_STATUS=OR","EQY_CONSOLIDATED=Y","Sort=A","Dates=H","DateFormat=P","Fill=—","Direction=H","UseDPDF=Y")</f>
        <v>#NAME?</v>
      </c>
      <c r="BW158" s="2" t="e">
        <f ca="1">_xll.BDH($C$153,"BPS_SEQUENTIAL_GROWTH","FY 2015","FY 2015","Currency=INR","Period=FY","BEST_FPERIOD_OVERRIDE=FY","FILING_STATUS=OR","EQY_CONSOLIDATED=Y","Sort=A","Dates=H","DateFormat=P","Fill=—","Direction=H","UseDPDF=Y")</f>
        <v>#NAME?</v>
      </c>
      <c r="BX158" s="2" t="e">
        <f ca="1">_xll.BDH($C$153,"CFO_SEQUENTIAL_GROWTH","FY 2015","FY 2015","Currency=INR","Period=FY","BEST_FPERIOD_OVERRIDE=FY","FILING_STATUS=OR","EQY_CONSOLIDATED=Y","Sort=A","Dates=H","DateFormat=P","Fill=—","Direction=H","UseDPDF=Y")</f>
        <v>#NAME?</v>
      </c>
      <c r="BY158" s="3" t="e">
        <f ca="1">_xll.BDH($C$153,"SHORT_AND_LONG_TERM_DEBT","FY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158" s="3" t="e">
        <f ca="1">_xll.BDH($C$153,"BS_ST_BORROW","FY 2015","FY 2015","Currency=INR","Period=FY","BEST_FPERIOD_OVERRIDE=FY","FILING_STATUS=OR","EQY_CONSOLIDATED=Y","SCALING_FORMAT=MLN","Sort=A","Dates=H","DateFormat=P","Fill=—","Direction=H","UseDPDF=Y")</f>
        <v>#NAME?</v>
      </c>
      <c r="CA158" s="3" t="e">
        <f ca="1">_xll.BDH($C$153,"BS_LT_BORROW","FY 2015","FY 2015","Currency=INR","Period=FY","BEST_FPERIOD_OVERRIDE=FY","FILING_STATUS=OR","EQY_CONSOLIDATED=Y","SCALING_FORMAT=MLN","Sort=A","Dates=H","DateFormat=P","Fill=—","Direction=H","UseDPDF=Y")</f>
        <v>#NAME?</v>
      </c>
      <c r="CB158" s="2" t="e">
        <f ca="1">_xll.BDH($C$153,"TOT_DEBT_TO_EBITDA","FY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158" s="2" t="e">
        <f ca="1">_xll.BDH($C$153,"NET_DEBT_TO_EBITDA","FY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158" s="2" t="e">
        <f ca="1">_xll.BDH($C$153,"TOTAL_DEBT_TO_EBIT","FY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158" s="2" t="e">
        <f ca="1">_xll.BDH($C$153,"NET_DEBT_TO_EBIT","FY 2015","FY 2015","Currency=INR","Period=FY","BEST_FPERIOD_OVERRIDE=FY","FILING_STATUS=OR","EQY_CONSOLIDATED=Y","FA_ADJUSTED=GAAP","Sort=A","Dates=H","DateFormat=P","Fill=—","Direction=H","UseDPDF=Y")</f>
        <v>#NAME?</v>
      </c>
      <c r="CF158" s="2" t="e">
        <f ca="1">_xll.BDH($C$153,"EBITDA_TO_INTEREST_EXPN","FY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158" s="2" t="e">
        <f ca="1">_xll.BDH($C$153,"COM_EQY_TO_TOT_ASSET","FY 2015","FY 2015","Currency=INR","Period=FY","BEST_FPERIOD_OVERRIDE=FY","FILING_STATUS=OR","EQY_CONSOLIDATED=Y","Sort=A","Dates=H","DateFormat=P","Fill=—","Direction=H","UseDPDF=Y")</f>
        <v>#NAME?</v>
      </c>
      <c r="CH158" s="2" t="e">
        <f ca="1">_xll.BDH($C$153,"LT_DEBT_TO_TOT_EQY","FY 2015","FY 2015","Currency=INR","Period=FY","BEST_FPERIOD_OVERRIDE=FY","FILING_STATUS=OR","EQY_CONSOLIDATED=Y","Sort=A","Dates=H","DateFormat=P","Fill=—","Direction=H","UseDPDF=Y")</f>
        <v>#NAME?</v>
      </c>
      <c r="CI158" s="2" t="e">
        <f ca="1">_xll.BDH($C$153,"LT_DEBT_TO_TOT_CAP","FY 2015","FY 2015","Currency=INR","Period=FY","BEST_FPERIOD_OVERRIDE=FY","FILING_STATUS=OR","EQY_CONSOLIDATED=Y","Sort=A","Dates=H","DateFormat=P","Fill=—","Direction=H","UseDPDF=Y")</f>
        <v>#NAME?</v>
      </c>
      <c r="CJ158" s="2" t="e">
        <f ca="1">_xll.BDH($C$153,"LT_DEBT_TO_TOT_ASSET","FY 2015","FY 2015","Currency=INR","Period=FY","BEST_FPERIOD_OVERRIDE=FY","FILING_STATUS=OR","EQY_CONSOLIDATED=Y","Sort=A","Dates=H","DateFormat=P","Fill=—","Direction=H","UseDPDF=Y")</f>
        <v>#NAME?</v>
      </c>
      <c r="CK158" s="2" t="e">
        <f ca="1">_xll.BDH($C$153,"TOT_DEBT_TO_TOT_EQY","FY 2015","FY 2015","Currency=INR","Period=FY","BEST_FPERIOD_OVERRIDE=FY","FILING_STATUS=OR","EQY_CONSOLIDATED=Y","Sort=A","Dates=H","DateFormat=P","Fill=—","Direction=H","UseDPDF=Y")</f>
        <v>#NAME?</v>
      </c>
      <c r="CL158" s="2" t="e">
        <f ca="1">_xll.BDH($C$153,"TOT_DEBT_TO_TOT_CAP","FY 2015","FY 2015","Currency=INR","Period=FY","BEST_FPERIOD_OVERRIDE=FY","FILING_STATUS=OR","EQY_CONSOLIDATED=Y","Sort=A","Dates=H","DateFormat=P","Fill=—","Direction=H","UseDPDF=Y")</f>
        <v>#NAME?</v>
      </c>
      <c r="CM158" s="2" t="e">
        <f ca="1">_xll.BDH($C$153,"TOT_DEBT_TO_TOT_ASSET","FY 2015","FY 2015","Currency=INR","Period=FY","BEST_FPERIOD_OVERRIDE=FY","FILING_STATUS=OR","EQY_CONSOLIDATED=Y","Sort=A","Dates=H","DateFormat=P","Fill=—","Direction=H","UseDPDF=Y")</f>
        <v>#NAME?</v>
      </c>
      <c r="CN158" s="2" t="e">
        <f ca="1">_xll.BDH($C$153,"NET_DEBT_TO_SHRHLDR_EQTY","FY 2015","FY 2015","Currency=INR","Period=FY","BEST_FPERIOD_OVERRIDE=FY","FILING_STATUS=OR","EQY_CONSOLIDATED=Y","Sort=A","Dates=H","DateFormat=P","Fill=—","Direction=H","UseDPDF=Y")</f>
        <v>#NAME?</v>
      </c>
      <c r="CO158" s="2" t="e">
        <f ca="1">_xll.BDH($C$153,"NET_DEBT_%_CAPITAL","FY 2015","FY 2015","Currency=INR","Period=FY","BEST_FPERIOD_OVERRIDE=FY","FILING_STATUS=OR","EQY_CONSOLIDATED=Y","Sort=A","Dates=H","DateFormat=P","Fill=—","Direction=H","UseDPDF=Y")</f>
        <v>#NAME?</v>
      </c>
      <c r="CP158" s="3" t="e">
        <f ca="1">_xll.BDH($C$153,"EBITDA","FY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158" s="3" t="e">
        <f ca="1">_xll.BDH($C$153,"EBITDA_AFTER_CAPEX","FY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158" s="3" t="e">
        <f ca="1">_xll.BDH($C$153,"IS_OPER_INC","FY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158" s="2" t="e">
        <f ca="1">_xll.BDH($C$153,"CASH_RATIO","FY 2015","FY 2015","Currency=INR","Period=FY","BEST_FPERIOD_OVERRIDE=FY","FILING_STATUS=OR","EQY_CONSOLIDATED=Y","Sort=A","Dates=H","DateFormat=P","Fill=—","Direction=H","UseDPDF=Y")</f>
        <v>#NAME?</v>
      </c>
      <c r="CT158" s="2" t="e">
        <f ca="1">_xll.BDH($C$153,"CUR_RATIO","FY 2015","FY 2015","Currency=INR","Period=FY","BEST_FPERIOD_OVERRIDE=FY","FILING_STATUS=OR","EQY_CONSOLIDATED=Y","Sort=A","Dates=H","DateFormat=P","Fill=—","Direction=H","UseDPDF=Y")</f>
        <v>#NAME?</v>
      </c>
      <c r="CU158" s="2" t="e">
        <f ca="1">_xll.BDH($C$153,"QUICK_RATIO","FY 2015","FY 2015","Currency=INR","Period=FY","BEST_FPERIOD_OVERRIDE=FY","FILING_STATUS=OR","EQY_CONSOLIDATED=Y","Sort=A","Dates=H","DateFormat=P","Fill=—","Direction=H","UseDPDF=Y")</f>
        <v>#NAME?</v>
      </c>
      <c r="CV158" s="2" t="e">
        <f ca="1">_xll.BDH($C$153,"ALTMAN_Z_SCORE","FY 2015","FY 2015","Currency=INR","Period=FY","BEST_FPERIOD_OVERRIDE=FY","FILING_STATUS=OR","EQY_CONSOLIDATED=Y","Sort=A","Dates=H","DateFormat=P","Fill=—","Direction=H","UseDPDF=Y")</f>
        <v>#NAME?</v>
      </c>
      <c r="CW158" s="4" t="e">
        <f ca="1">_xll.BDH($C$153,"ACCT_RCV_TURN","FY 2015","FY 2015","Currency=INR","Period=FY","BEST_FPERIOD_OVERRIDE=FY","FILING_STATUS=OR","EQY_CONSOLIDATED=Y","FA_ADJUSTED=GAAP","Sort=A","Dates=H","DateFormat=P","Fill=—","Direction=H","UseDPDF=Y")</f>
        <v>#NAME?</v>
      </c>
      <c r="CX158" s="2" t="e">
        <f ca="1">_xll.BDH($C$153,"ACCT_RCV_DAYS","FY 2015","FY 2015","Currency=INR","Period=FY","BEST_FPERIOD_OVERRIDE=FY","FILING_STATUS=OR","EQY_CONSOLIDATED=Y","FA_ADJUSTED=GAAP","Sort=A","Dates=H","DateFormat=P","Fill=—","Direction=H","UseDPDF=Y")</f>
        <v>#NAME?</v>
      </c>
      <c r="CY158" s="4" t="e">
        <f ca="1">_xll.BDH($C$153,"INVENT_TURN","FY 2015","FY 2015","Currency=INR","Period=FY","BEST_FPERIOD_OVERRIDE=FY","FILING_STATUS=OR","EQY_CONSOLIDATED=Y","FA_ADJUSTED=GAAP","Sort=A","Dates=H","DateFormat=P","Fill=—","Direction=H","UseDPDF=Y")</f>
        <v>#NAME?</v>
      </c>
      <c r="CZ158" s="2" t="e">
        <f ca="1">_xll.BDH($C$153,"INVENT_DAYS","FY 2015","FY 2015","Currency=INR","Period=FY","BEST_FPERIOD_OVERRIDE=FY","FILING_STATUS=OR","EQY_CONSOLIDATED=Y","FA_ADJUSTED=GAAP","Sort=A","Dates=H","DateFormat=P","Fill=—","Direction=H","UseDPDF=Y")</f>
        <v>#NAME?</v>
      </c>
      <c r="DA158" s="4" t="e">
        <f ca="1">_xll.BDH($C$153,"ACCOUNTS_PAYABLE_TURNOVER","FY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158" s="2" t="e">
        <f ca="1">_xll.BDH($C$153,"ACCOUNTS_PAYABLE_TURNOVER_DAYS","FY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158" s="4" t="e">
        <f ca="1">_xll.BDH($C$153,"CASH_CONVERSION_CYCLE","FY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158" s="4" t="e">
        <f ca="1">_xll.BDH($C$153,"INV_TO_CASH_DAYS","FY 2015","FY 2015","Currency=INR","Period=FY","BEST_FPERIOD_OVERRIDE=FY","FILING_STATUS=OR","EQY_CONSOLIDATED=Y","FA_ADJUSTED=GAAP","Sort=A","Dates=H","DateFormat=P","Fill=—","Direction=H","UseDPDF=Y")</f>
        <v>#NAME?</v>
      </c>
      <c r="DE158" s="5" t="e">
        <f ca="1">_xll.BDH($C$153,"BS_INVENTORIES","FY 2015","FY 2015","Currency=INR","Period=FY","BEST_FPERIOD_OVERRIDE=FY","FILING_STATUS=OR","EQY_CONSOLIDATED=Y","SCALING_FORMAT=MLN","Sort=A","Dates=H","DateFormat=P","Fill=—","Direction=H","UseDPDF=Y")</f>
        <v>#NAME?</v>
      </c>
      <c r="DF158" s="3" t="e">
        <f ca="1">_xll.BDH($C$153,"INVTRY_RAW_MATERIALS","FY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158" s="3" t="e">
        <f ca="1">_xll.BDH($C$153,"INVTRY_IN_PROGRESS","FY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158" s="3" t="e">
        <f ca="1">_xll.BDH($C$153,"INVTRY_FINISHED_GOODS","FY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158" s="3" t="e">
        <f ca="1">_xll.BDH($C$153,"BS_OTHER_INV","FY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159" spans="1:113" x14ac:dyDescent="0.3">
      <c r="A159" s="6"/>
      <c r="B159" s="6"/>
      <c r="C159" s="6"/>
      <c r="D159" s="6"/>
      <c r="E159" t="s">
        <v>78</v>
      </c>
      <c r="F159" t="e">
        <f ca="1">_xll.BDH($C$153,"RETURN_COM_EQY","FQ1 2015","FQ1 2015","Currency=INR","Period=FQ","BEST_FPERIOD_OVERRIDE=FQ","FILING_STATUS=OR","EQY_CONSOLIDATED=Y","FA_ADJUSTED=GAAP","Sort=A","Dates=H","DateFormat=P","Fill=—","Direction=H","UseDPDF=Y")</f>
        <v>#NAME?</v>
      </c>
      <c r="G159" t="e">
        <f ca="1">_xll.BDH($C$153,"RETURN_ON_ASSET","FQ1 2015","FQ1 2015","Currency=INR","Period=FQ","BEST_FPERIOD_OVERRIDE=FQ","FILING_STATUS=OR","EQY_CONSOLIDATED=Y","FA_ADJUSTED=GAAP","Sort=A","Dates=H","DateFormat=P","Fill=—","Direction=H","UseDPDF=Y")</f>
        <v>#NAME?</v>
      </c>
      <c r="H159" t="e">
        <f ca="1">_xll.BDH($C$153,"RETURN_ON_CAP","FQ1 2015","FQ1 2015","Currency=INR","Period=FQ","BEST_FPERIOD_OVERRIDE=FQ","FILING_STATUS=OR","EQY_CONSOLIDATED=Y","FA_ADJUSTED=GAAP","Sort=A","Dates=H","DateFormat=P","Fill=—","Direction=H","UseDPDF=Y")</f>
        <v>#NAME?</v>
      </c>
      <c r="I159" t="e">
        <f ca="1">_xll.BDH($C$153,"RETURN_ON_INV_CAPITAL","FQ1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159" t="e">
        <f ca="1">_xll.BDH($C$153,"EBITDA_TO_REVENUE","FQ1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159" t="e">
        <f ca="1">_xll.BDH($C$153,"OPER_MARGIN","FQ1 2015","FQ1 2015","Currency=INR","Period=FQ","BEST_FPERIOD_OVERRIDE=FQ","FILING_STATUS=OR","EQY_CONSOLIDATED=Y","FA_ADJUSTED=GAAP","Sort=A","Dates=H","DateFormat=P","Fill=—","Direction=H","UseDPDF=Y")</f>
        <v>#NAME?</v>
      </c>
      <c r="L159" t="e">
        <f ca="1">_xll.BDH($C$153,"INCREMENTAL_OPERATING_MARGIN","FQ1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159" t="e">
        <f ca="1">_xll.BDH($C$153,"PRETAX_INC_TO_NET_SALES","FQ1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159" t="e">
        <f ca="1">_xll.BDH($C$153,"INC_BEF_XO_ITEMS_TO_NET_SALES","FQ1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159" t="e">
        <f ca="1">_xll.BDH($C$153,"PROF_MARGIN","FQ1 2015","FQ1 2015","Currency=INR","Period=FQ","BEST_FPERIOD_OVERRIDE=FQ","FILING_STATUS=OR","EQY_CONSOLIDATED=Y","FA_ADJUSTED=GAAP","Sort=A","Dates=H","DateFormat=P","Fill=—","Direction=H","UseDPDF=Y")</f>
        <v>#NAME?</v>
      </c>
      <c r="P159" t="e">
        <f ca="1">_xll.BDH($C$153,"NET_INCOME_TO_COMMON_MARGIN","FQ1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159" t="e">
        <f ca="1">_xll.BDH($C$153,"EFF_TAX_RATE","FQ1 2015","FQ1 2015","Currency=INR","Period=FQ","BEST_FPERIOD_OVERRIDE=FQ","FILING_STATUS=OR","EQY_CONSOLIDATED=Y","FA_ADJUSTED=GAAP","Sort=A","Dates=H","DateFormat=P","Fill=—","Direction=H","UseDPDF=Y")</f>
        <v>#NAME?</v>
      </c>
      <c r="R159" t="e">
        <f ca="1">_xll.BDH($C$153,"DVD_PAYOUT_RATIO","FQ1 2015","FQ1 2015","Currency=INR","Period=FQ","BEST_FPERIOD_OVERRIDE=FQ","FILING_STATUS=OR","EQY_CONSOLIDATED=Y","FA_ADJUSTED=GAAP","Sort=A","Dates=H","DateFormat=P","Fill=—","Direction=H","UseDPDF=Y")</f>
        <v>#NAME?</v>
      </c>
      <c r="S159" t="e">
        <f ca="1">_xll.BDH($C$153,"SUSTAIN_GROWTH_RT","FQ1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159" s="2" t="e">
        <f ca="1">_xll.BDH($C$153,"SALES_GROWTH","FQ1 2015","FQ1 2015","Currency=INR","Period=FQ","BEST_FPERIOD_OVERRIDE=FQ","FILING_STATUS=OR","EQY_CONSOLIDATED=Y","FA_ADJUSTED=GAAP","Sort=A","Dates=H","DateFormat=P","Fill=—","Direction=H","UseDPDF=Y")</f>
        <v>#NAME?</v>
      </c>
      <c r="U159" s="2" t="e">
        <f ca="1">_xll.BDH($C$153,"EBITDA_GROWTH","FQ1 2015","FQ1 2015","Currency=INR","Period=FQ","BEST_FPERIOD_OVERRIDE=FQ","FILING_STATUS=OR","EQY_CONSOLIDATED=Y","FA_ADJUSTED=GAAP","Sort=A","Dates=H","DateFormat=P","Fill=—","Direction=H","UseDPDF=Y")</f>
        <v>#NAME?</v>
      </c>
      <c r="V159" s="2" t="e">
        <f ca="1">_xll.BDH($C$153,"OPER_INC_GROWTH","FQ1 2015","FQ1 2015","Currency=INR","Period=FQ","BEST_FPERIOD_OVERRIDE=FQ","FILING_STATUS=OR","EQY_CONSOLIDATED=Y","FA_ADJUSTED=GAAP","Sort=A","Dates=H","DateFormat=P","Fill=—","Direction=H","UseDPDF=Y")</f>
        <v>#NAME?</v>
      </c>
      <c r="W159" s="2" t="e">
        <f ca="1">_xll.BDH($C$153,"EARN_FOR_COM_GROWTH","FQ1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159" s="2" t="e">
        <f ca="1">_xll.BDH($C$153,"DILUTED_EPS_AFT_XO_ITEMS_GROWTH","FQ1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159" s="2" t="e">
        <f ca="1">_xll.BDH($C$153,"DIVIDEND_PER_SHARE_1_YEAR_GROWTH","FQ1 2015","FQ1 2015","Currency=INR","Period=FQ","BEST_FPERIOD_OVERRIDE=FQ","FILING_STATUS=OR","EQY_CONSOLIDATED=Y","Sort=A","Dates=H","DateFormat=P","Fill=—","Direction=H","UseDPDF=Y")</f>
        <v>#NAME?</v>
      </c>
      <c r="Z159" s="2" t="e">
        <f ca="1">_xll.BDH($C$153,"ACCOUNTS_RECEIVABLE_GROWTH","FQ1 2015","FQ1 2015","Currency=INR","Period=FQ","BEST_FPERIOD_OVERRIDE=FQ","FILING_STATUS=OR","EQY_CONSOLIDATED=Y","Sort=A","Dates=H","DateFormat=P","Fill=—","Direction=H","UseDPDF=Y")</f>
        <v>#NAME?</v>
      </c>
      <c r="AA159" s="2" t="e">
        <f ca="1">_xll.BDH($C$153,"INVENTORY_GROWTH","FQ1 2015","FQ1 2015","Currency=INR","Period=FQ","BEST_FPERIOD_OVERRIDE=FQ","FILING_STATUS=OR","EQY_CONSOLIDATED=Y","Sort=A","Dates=H","DateFormat=P","Fill=—","Direction=H","UseDPDF=Y")</f>
        <v>#NAME?</v>
      </c>
      <c r="AB159" s="2" t="e">
        <f ca="1">_xll.BDH($C$153,"NET_FIXED_ASSETS_1_YEAR_GROWTH","FQ1 2015","FQ1 2015","Currency=INR","Period=FQ","BEST_FPERIOD_OVERRIDE=FQ","FILING_STATUS=OR","EQY_CONSOLIDATED=Y","Sort=A","Dates=H","DateFormat=P","Fill=—","Direction=H","UseDPDF=Y")</f>
        <v>#NAME?</v>
      </c>
      <c r="AC159" s="2" t="e">
        <f ca="1">_xll.BDH($C$153,"ASSET_GROWTH","FQ1 2015","FQ1 2015","Currency=INR","Period=FQ","BEST_FPERIOD_OVERRIDE=FQ","FILING_STATUS=OR","EQY_CONSOLIDATED=Y","Sort=A","Dates=H","DateFormat=P","Fill=—","Direction=H","UseDPDF=Y")</f>
        <v>#NAME?</v>
      </c>
      <c r="AD159" s="2" t="e">
        <f ca="1">_xll.BDH($C$153,"MODIFIED_WORK_CAP_GROWTH","FQ1 2015","FQ1 2015","Currency=INR","Period=FQ","BEST_FPERIOD_OVERRIDE=FQ","FILING_STATUS=OR","EQY_CONSOLIDATED=Y","Sort=A","Dates=H","DateFormat=P","Fill=—","Direction=H","UseDPDF=Y")</f>
        <v>#NAME?</v>
      </c>
      <c r="AE159" s="2" t="e">
        <f ca="1">_xll.BDH($C$153,"WORK_CAP_GROWTH","FQ1 2015","FQ1 2015","Currency=INR","Period=FQ","BEST_FPERIOD_OVERRIDE=FQ","FILING_STATUS=OR","EQY_CONSOLIDATED=Y","Sort=A","Dates=H","DateFormat=P","Fill=—","Direction=H","UseDPDF=Y")</f>
        <v>#NAME?</v>
      </c>
      <c r="AF159" s="2" t="e">
        <f ca="1">_xll.BDH($C$153,"ACCOUNTS_PAYABLE_GROWTH_1YR","FQ1 2015","FQ1 2015","Currency=INR","Period=FQ","BEST_FPERIOD_OVERRIDE=FQ","FILING_STATUS=OR","EQY_CONSOLIDATED=Y","Sort=A","Dates=H","DateFormat=P","Fill=—","Direction=H","UseDPDF=Y")</f>
        <v>#NAME?</v>
      </c>
      <c r="AG159" s="2" t="e">
        <f ca="1">_xll.BDH($C$153,"SHORT_TERM_DEBT_1_YEAR_GROWTH","FQ1 2015","FQ1 2015","Currency=INR","Period=FQ","BEST_FPERIOD_OVERRIDE=FQ","FILING_STATUS=OR","EQY_CONSOLIDATED=Y","Sort=A","Dates=H","DateFormat=P","Fill=—","Direction=H","UseDPDF=Y")</f>
        <v>#NAME?</v>
      </c>
      <c r="AH159" s="2" t="e">
        <f ca="1">_xll.BDH($C$153,"TOTAL_DEBT_1_YEAR_GROWTH","FQ1 2015","FQ1 2015","Currency=INR","Period=FQ","BEST_FPERIOD_OVERRIDE=FQ","FILING_STATUS=OR","EQY_CONSOLIDATED=Y","Sort=A","Dates=H","DateFormat=P","Fill=—","Direction=H","UseDPDF=Y")</f>
        <v>#NAME?</v>
      </c>
      <c r="AI159" s="2" t="e">
        <f ca="1">_xll.BDH($C$153,"TOTAL_EQUITY_1_YEAR_GROWTH","FQ1 2015","FQ1 2015","Currency=INR","Period=FQ","BEST_FPERIOD_OVERRIDE=FQ","FILING_STATUS=OR","EQY_CONSOLIDATED=Y","Sort=A","Dates=H","DateFormat=P","Fill=—","Direction=H","UseDPDF=Y")</f>
        <v>#NAME?</v>
      </c>
      <c r="AJ159" s="2" t="e">
        <f ca="1">_xll.BDH($C$153,"GROWTH_IN_CAP","FQ1 2015","FQ1 2015","Currency=INR","Period=FQ","BEST_FPERIOD_OVERRIDE=FQ","FILING_STATUS=OR","EQY_CONSOLIDATED=Y","Sort=A","Dates=H","DateFormat=P","Fill=—","Direction=H","UseDPDF=Y")</f>
        <v>#NAME?</v>
      </c>
      <c r="AK159" s="2" t="e">
        <f ca="1">_xll.BDH($C$153,"BVPS_GROWTH","FQ1 2015","FQ1 2015","Currency=INR","Period=FQ","BEST_FPERIOD_OVERRIDE=FQ","FILING_STATUS=OR","EQY_CONSOLIDATED=Y","Sort=A","Dates=H","DateFormat=P","Fill=—","Direction=H","UseDPDF=Y")</f>
        <v>#NAME?</v>
      </c>
      <c r="AL159" s="2" t="e">
        <f ca="1">_xll.BDH($C$153,"CASH_FLOW_GROWTH","FQ1 2015","FQ1 2015","Currency=INR","Period=FQ","BEST_FPERIOD_OVERRIDE=FQ","FILING_STATUS=OR","EQY_CONSOLIDATED=Y","Sort=A","Dates=H","DateFormat=P","Fill=—","Direction=H","UseDPDF=Y")</f>
        <v>#NAME?</v>
      </c>
      <c r="AM159" s="2" t="e">
        <f ca="1">_xll.BDH($C$153,"GEO_GROW_NET_SALES","FQ1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159" s="2" t="e">
        <f ca="1">_xll.BDH($C$153,"GEO_GROW_EBITDA","FQ1 2015","FQ1 2015","Currency=INR","Period=FQ","BEST_FPERIOD_OVERRIDE=FQ","FILING_STATUS=OR","EQY_CONSOLIDATED=Y","FA_ADJUSTED=GAAP","Sort=A","Dates=H","DateFormat=P","Fill=—","Direction=H","UseDPDF=Y")</f>
        <v>#NAME?</v>
      </c>
      <c r="AO159" s="2" t="e">
        <f ca="1">_xll.BDH($C$153,"GEO_GROW_OPER_INC","FQ1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159" s="2" t="e">
        <f ca="1">_xll.BDH($C$153,"NET_INCOME_TO_COMMON_5_YR_GROWTH","FQ1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159" s="2" t="e">
        <f ca="1">_xll.BDH($C$153,"5Y_GEO_GROWTH_DILUTED_EPS","FQ1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159" s="2" t="e">
        <f ca="1">_xll.BDH($C$153,"GEO_GROW_DVD_PER_SH","FQ1 2015","FQ1 2015","Currency=INR","Period=FQ","BEST_FPERIOD_OVERRIDE=FQ","FILING_STATUS=OR","EQY_CONSOLIDATED=Y","Sort=A","Dates=H","DateFormat=P","Fill=—","Direction=H","UseDPDF=Y")</f>
        <v>#NAME?</v>
      </c>
      <c r="AS159" s="2" t="e">
        <f ca="1">_xll.BDH($C$153,"ACCOUNTS_RECEIVABLE_5_YR_GROWTH","FQ1 2015","FQ1 2015","Currency=INR","Period=FQ","BEST_FPERIOD_OVERRIDE=FQ","FILING_STATUS=OR","EQY_CONSOLIDATED=Y","Sort=A","Dates=H","DateFormat=P","Fill=—","Direction=H","UseDPDF=Y")</f>
        <v>#NAME?</v>
      </c>
      <c r="AT159" s="2" t="e">
        <f ca="1">_xll.BDH($C$153,"INVENTORY_5_YEAR_GROWTH","FQ1 2015","FQ1 2015","Currency=INR","Period=FQ","BEST_FPERIOD_OVERRIDE=FQ","FILING_STATUS=OR","EQY_CONSOLIDATED=Y","Sort=A","Dates=H","DateFormat=P","Fill=—","Direction=H","UseDPDF=Y")</f>
        <v>#NAME?</v>
      </c>
      <c r="AU159" s="2" t="e">
        <f ca="1">_xll.BDH($C$153,"NET_FIXED_ASSETS_5_YEAR_GROWTH","FQ1 2015","FQ1 2015","Currency=INR","Period=FQ","BEST_FPERIOD_OVERRIDE=FQ","FILING_STATUS=OR","EQY_CONSOLIDATED=Y","Sort=A","Dates=H","DateFormat=P","Fill=—","Direction=H","UseDPDF=Y")</f>
        <v>#NAME?</v>
      </c>
      <c r="AV159" s="2" t="e">
        <f ca="1">_xll.BDH($C$153,"GEO_GROW_TOT_ASSET","FQ1 2015","FQ1 2015","Currency=INR","Period=FQ","BEST_FPERIOD_OVERRIDE=FQ","FILING_STATUS=OR","EQY_CONSOLIDATED=Y","Sort=A","Dates=H","DateFormat=P","Fill=—","Direction=H","UseDPDF=Y")</f>
        <v>#NAME?</v>
      </c>
      <c r="AW159" s="2" t="e">
        <f ca="1">_xll.BDH($C$153,"MODIFIED_WORKING_CPTL_5YR_GRWTH","FQ1 2015","FQ1 2015","Currency=INR","Period=FQ","BEST_FPERIOD_OVERRIDE=FQ","FILING_STATUS=OR","EQY_CONSOLIDATED=Y","Sort=A","Dates=H","DateFormat=P","Fill=—","Direction=H","UseDPDF=Y")</f>
        <v>#NAME?</v>
      </c>
      <c r="AX159" s="2" t="e">
        <f ca="1">_xll.BDH($C$153,"WORKING_CAPITAL_5_YEAR_GROWTH","FQ1 2015","FQ1 2015","Currency=INR","Period=FQ","BEST_FPERIOD_OVERRIDE=FQ","FILING_STATUS=OR","EQY_CONSOLIDATED=Y","Sort=A","Dates=H","DateFormat=P","Fill=—","Direction=H","UseDPDF=Y")</f>
        <v>#NAME?</v>
      </c>
      <c r="AY159" s="2" t="e">
        <f ca="1">_xll.BDH($C$153,"ACCOUNTS_PAYABLE_5_YEAR_GROWTH","FQ1 2015","FQ1 2015","Currency=INR","Period=FQ","BEST_FPERIOD_OVERRIDE=FQ","FILING_STATUS=OR","EQY_CONSOLIDATED=Y","Sort=A","Dates=H","DateFormat=P","Fill=—","Direction=H","UseDPDF=Y")</f>
        <v>#NAME?</v>
      </c>
      <c r="AZ159" s="2" t="e">
        <f ca="1">_xll.BDH($C$153,"SHORT_TERM_DEBT_5_YEAR_GROWTH","FQ1 2015","FQ1 2015","Currency=INR","Period=FQ","BEST_FPERIOD_OVERRIDE=FQ","FILING_STATUS=OR","EQY_CONSOLIDATED=Y","Sort=A","Dates=H","DateFormat=P","Fill=—","Direction=H","UseDPDF=Y")</f>
        <v>#NAME?</v>
      </c>
      <c r="BA159" s="2" t="e">
        <f ca="1">_xll.BDH($C$153,"TOTAL_DEBT_5_YEAR_GROWTH","FQ1 2015","FQ1 2015","Currency=INR","Period=FQ","BEST_FPERIOD_OVERRIDE=FQ","FILING_STATUS=OR","EQY_CONSOLIDATED=Y","Sort=A","Dates=H","DateFormat=P","Fill=—","Direction=H","UseDPDF=Y")</f>
        <v>#NAME?</v>
      </c>
      <c r="BB159" s="2" t="e">
        <f ca="1">_xll.BDH($C$153,"GEO_GROW_TOT_SHRHLDR_EQY","FQ1 2015","FQ1 2015","Currency=INR","Period=FQ","BEST_FPERIOD_OVERRIDE=FQ","FILING_STATUS=OR","EQY_CONSOLIDATED=Y","Sort=A","Dates=H","DateFormat=P","Fill=—","Direction=H","UseDPDF=Y")</f>
        <v>#NAME?</v>
      </c>
      <c r="BC159" s="2" t="e">
        <f ca="1">_xll.BDH($C$153,"TOTAL_CAPITAL_5_YEAR_GROWTH","FQ1 2015","FQ1 2015","Currency=INR","Period=FQ","BEST_FPERIOD_OVERRIDE=FQ","FILING_STATUS=OR","EQY_CONSOLIDATED=Y","Sort=A","Dates=H","DateFormat=P","Fill=—","Direction=H","UseDPDF=Y")</f>
        <v>#NAME?</v>
      </c>
      <c r="BD159" s="2" t="e">
        <f ca="1">_xll.BDH($C$153,"GEO_GROW_BOOK_VAL","FQ1 2015","FQ1 2015","Currency=INR","Period=FQ","BEST_FPERIOD_OVERRIDE=FQ","FILING_STATUS=OR","EQY_CONSOLIDATED=Y","Sort=A","Dates=H","DateFormat=P","Fill=—","Direction=H","UseDPDF=Y")</f>
        <v>#NAME?</v>
      </c>
      <c r="BE159" s="2" t="e">
        <f ca="1">_xll.BDH($C$153,"GEO_GROW_CASH_OPER_ACT","FQ1 2015","FQ1 2015","Currency=INR","Period=FQ","BEST_FPERIOD_OVERRIDE=FQ","FILING_STATUS=OR","EQY_CONSOLIDATED=Y","Sort=A","Dates=H","DateFormat=P","Fill=—","Direction=H","UseDPDF=Y")</f>
        <v>#NAME?</v>
      </c>
      <c r="BF159" s="2" t="e">
        <f ca="1">_xll.BDH($C$153,"REVENUE_SEQUENTIAL_GROWTH","FQ1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159" s="2" t="e">
        <f ca="1">_xll.BDH($C$153,"EBITDA_SEQUENTIAL_GROWTH","FQ1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159" s="2" t="e">
        <f ca="1">_xll.BDH($C$153,"OPERATING_INCOME_SEQ_GROWTH","FQ1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159" s="2" t="e">
        <f ca="1">_xll.BDH($C$153,"NET_INCOME_TO_COMMON_SEQ_GROWTH","FQ1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159" s="2" t="e">
        <f ca="1">_xll.BDH($C$153,"EPS_DILUTED_SEQUENTIAL_GROWTH","FQ1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159" s="2" t="e">
        <f ca="1">_xll.BDH($C$153,"DPS_SEQUENTIAL_GROWTH","FQ1 2015","FQ1 2015","Currency=INR","Period=FQ","BEST_FPERIOD_OVERRIDE=FQ","FILING_STATUS=OR","EQY_CONSOLIDATED=Y","Sort=A","Dates=H","DateFormat=P","Fill=—","Direction=H","UseDPDF=Y")</f>
        <v>#NAME?</v>
      </c>
      <c r="BL159" s="2" t="e">
        <f ca="1">_xll.BDH($C$153,"ACCOUNTS_RECEIVABLE_SEQ_GROWTH","FQ1 2015","FQ1 2015","Currency=INR","Period=FQ","BEST_FPERIOD_OVERRIDE=FQ","FILING_STATUS=OR","EQY_CONSOLIDATED=Y","Sort=A","Dates=H","DateFormat=P","Fill=—","Direction=H","UseDPDF=Y")</f>
        <v>#NAME?</v>
      </c>
      <c r="BM159" s="2" t="e">
        <f ca="1">_xll.BDH($C$153,"INVENTORY_SEQUENTIAL_GROWTH","FQ1 2015","FQ1 2015","Currency=INR","Period=FQ","BEST_FPERIOD_OVERRIDE=FQ","FILING_STATUS=OR","EQY_CONSOLIDATED=Y","Sort=A","Dates=H","DateFormat=P","Fill=—","Direction=H","UseDPDF=Y")</f>
        <v>#NAME?</v>
      </c>
      <c r="BN159" s="2" t="e">
        <f ca="1">_xll.BDH($C$153,"FIXED_ASSETS_SEQUENTIAL_GROWTH","FQ1 2015","FQ1 2015","Currency=INR","Period=FQ","BEST_FPERIOD_OVERRIDE=FQ","FILING_STATUS=OR","EQY_CONSOLIDATED=Y","Sort=A","Dates=H","DateFormat=P","Fill=—","Direction=H","UseDPDF=Y")</f>
        <v>#NAME?</v>
      </c>
      <c r="BO159" s="2" t="e">
        <f ca="1">_xll.BDH($C$153,"TOTAL_ASSETS_SEQUENTIAL_GROWTH","FQ1 2015","FQ1 2015","Currency=INR","Period=FQ","BEST_FPERIOD_OVERRIDE=FQ","FILING_STATUS=OR","EQY_CONSOLIDATED=Y","Sort=A","Dates=H","DateFormat=P","Fill=—","Direction=H","UseDPDF=Y")</f>
        <v>#NAME?</v>
      </c>
      <c r="BP159" s="2" t="e">
        <f ca="1">_xll.BDH($C$153,"MODIFIED_WORKING_CPTL_SEQ_GRWTH","FQ1 2015","FQ1 2015","Currency=INR","Period=FQ","BEST_FPERIOD_OVERRIDE=FQ","FILING_STATUS=OR","EQY_CONSOLIDATED=Y","Sort=A","Dates=H","DateFormat=P","Fill=—","Direction=H","UseDPDF=Y")</f>
        <v>#NAME?</v>
      </c>
      <c r="BQ159" s="2" t="e">
        <f ca="1">_xll.BDH($C$153,"WORKING_CAPITAL_SEQ_GROWTH","FQ1 2015","FQ1 2015","Currency=INR","Period=FQ","BEST_FPERIOD_OVERRIDE=FQ","FILING_STATUS=OR","EQY_CONSOLIDATED=Y","Sort=A","Dates=H","DateFormat=P","Fill=—","Direction=H","UseDPDF=Y")</f>
        <v>#NAME?</v>
      </c>
      <c r="BR159" s="2" t="e">
        <f ca="1">_xll.BDH($C$153,"ACCOUNTS_PAYABLE_SEQ_GROWTH","FQ1 2015","FQ1 2015","Currency=INR","Period=FQ","BEST_FPERIOD_OVERRIDE=FQ","FILING_STATUS=OR","EQY_CONSOLIDATED=Y","Sort=A","Dates=H","DateFormat=P","Fill=—","Direction=H","UseDPDF=Y")</f>
        <v>#NAME?</v>
      </c>
      <c r="BS159" s="2" t="e">
        <f ca="1">_xll.BDH($C$153,"ST_DEBT_SEQUENTIAL_GROWTH","FQ1 2015","FQ1 2015","Currency=INR","Period=FQ","BEST_FPERIOD_OVERRIDE=FQ","FILING_STATUS=OR","EQY_CONSOLIDATED=Y","Sort=A","Dates=H","DateFormat=P","Fill=—","Direction=H","UseDPDF=Y")</f>
        <v>#NAME?</v>
      </c>
      <c r="BT159" s="2" t="e">
        <f ca="1">_xll.BDH($C$153,"TOTAL_DEBT_SEQUENTIAL_GROWTH","FQ1 2015","FQ1 2015","Currency=INR","Period=FQ","BEST_FPERIOD_OVERRIDE=FQ","FILING_STATUS=OR","EQY_CONSOLIDATED=Y","Sort=A","Dates=H","DateFormat=P","Fill=—","Direction=H","UseDPDF=Y")</f>
        <v>#NAME?</v>
      </c>
      <c r="BU159" s="2" t="e">
        <f ca="1">_xll.BDH($C$153,"TOTAL_EQUITY_SEQUENTIAL_GROWTH","FQ1 2015","FQ1 2015","Currency=INR","Period=FQ","BEST_FPERIOD_OVERRIDE=FQ","FILING_STATUS=OR","EQY_CONSOLIDATED=Y","Sort=A","Dates=H","DateFormat=P","Fill=—","Direction=H","UseDPDF=Y")</f>
        <v>#NAME?</v>
      </c>
      <c r="BV159" s="2" t="e">
        <f ca="1">_xll.BDH($C$153,"TOTAL_CAPITAL_SEQUENTIAL_GROWTH","FQ1 2015","FQ1 2015","Currency=INR","Period=FQ","BEST_FPERIOD_OVERRIDE=FQ","FILING_STATUS=OR","EQY_CONSOLIDATED=Y","Sort=A","Dates=H","DateFormat=P","Fill=—","Direction=H","UseDPDF=Y")</f>
        <v>#NAME?</v>
      </c>
      <c r="BW159" s="2" t="e">
        <f ca="1">_xll.BDH($C$153,"BPS_SEQUENTIAL_GROWTH","FQ1 2015","FQ1 2015","Currency=INR","Period=FQ","BEST_FPERIOD_OVERRIDE=FQ","FILING_STATUS=OR","EQY_CONSOLIDATED=Y","Sort=A","Dates=H","DateFormat=P","Fill=—","Direction=H","UseDPDF=Y")</f>
        <v>#NAME?</v>
      </c>
      <c r="BX159" s="2" t="e">
        <f ca="1">_xll.BDH($C$153,"CFO_SEQUENTIAL_GROWTH","FQ1 2015","FQ1 2015","Currency=INR","Period=FQ","BEST_FPERIOD_OVERRIDE=FQ","FILING_STATUS=OR","EQY_CONSOLIDATED=Y","Sort=A","Dates=H","DateFormat=P","Fill=—","Direction=H","UseDPDF=Y")</f>
        <v>#NAME?</v>
      </c>
      <c r="BY159" s="3" t="e">
        <f ca="1">_xll.BDH($C$153,"SHORT_AND_LONG_TERM_DEBT","FQ1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159" s="3" t="e">
        <f ca="1">_xll.BDH($C$153,"BS_ST_BORROW","FQ1 2015","FQ1 2015","Currency=INR","Period=FQ","BEST_FPERIOD_OVERRIDE=FQ","FILING_STATUS=OR","EQY_CONSOLIDATED=Y","SCALING_FORMAT=MLN","Sort=A","Dates=H","DateFormat=P","Fill=—","Direction=H","UseDPDF=Y")</f>
        <v>#NAME?</v>
      </c>
      <c r="CA159" s="3" t="e">
        <f ca="1">_xll.BDH($C$153,"BS_LT_BORROW","FQ1 2015","FQ1 2015","Currency=INR","Period=FQ","BEST_FPERIOD_OVERRIDE=FQ","FILING_STATUS=OR","EQY_CONSOLIDATED=Y","SCALING_FORMAT=MLN","Sort=A","Dates=H","DateFormat=P","Fill=—","Direction=H","UseDPDF=Y")</f>
        <v>#NAME?</v>
      </c>
      <c r="CB159" s="2" t="e">
        <f ca="1">_xll.BDH($C$153,"TOT_DEBT_TO_EBITDA","FQ1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159" s="2" t="e">
        <f ca="1">_xll.BDH($C$153,"NET_DEBT_TO_EBITDA","FQ1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159" s="2" t="e">
        <f ca="1">_xll.BDH($C$153,"TOTAL_DEBT_TO_EBIT","FQ1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159" s="2" t="e">
        <f ca="1">_xll.BDH($C$153,"NET_DEBT_TO_EBIT","FQ1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159" s="2" t="e">
        <f ca="1">_xll.BDH($C$153,"EBITDA_TO_INTEREST_EXPN","FQ1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159" s="2" t="e">
        <f ca="1">_xll.BDH($C$153,"COM_EQY_TO_TOT_ASSET","FQ1 2015","FQ1 2015","Currency=INR","Period=FQ","BEST_FPERIOD_OVERRIDE=FQ","FILING_STATUS=OR","EQY_CONSOLIDATED=Y","Sort=A","Dates=H","DateFormat=P","Fill=—","Direction=H","UseDPDF=Y")</f>
        <v>#NAME?</v>
      </c>
      <c r="CH159" s="2" t="e">
        <f ca="1">_xll.BDH($C$153,"LT_DEBT_TO_TOT_EQY","FQ1 2015","FQ1 2015","Currency=INR","Period=FQ","BEST_FPERIOD_OVERRIDE=FQ","FILING_STATUS=OR","EQY_CONSOLIDATED=Y","Sort=A","Dates=H","DateFormat=P","Fill=—","Direction=H","UseDPDF=Y")</f>
        <v>#NAME?</v>
      </c>
      <c r="CI159" s="2" t="e">
        <f ca="1">_xll.BDH($C$153,"LT_DEBT_TO_TOT_CAP","FQ1 2015","FQ1 2015","Currency=INR","Period=FQ","BEST_FPERIOD_OVERRIDE=FQ","FILING_STATUS=OR","EQY_CONSOLIDATED=Y","Sort=A","Dates=H","DateFormat=P","Fill=—","Direction=H","UseDPDF=Y")</f>
        <v>#NAME?</v>
      </c>
      <c r="CJ159" s="2" t="e">
        <f ca="1">_xll.BDH($C$153,"LT_DEBT_TO_TOT_ASSET","FQ1 2015","FQ1 2015","Currency=INR","Period=FQ","BEST_FPERIOD_OVERRIDE=FQ","FILING_STATUS=OR","EQY_CONSOLIDATED=Y","Sort=A","Dates=H","DateFormat=P","Fill=—","Direction=H","UseDPDF=Y")</f>
        <v>#NAME?</v>
      </c>
      <c r="CK159" s="2" t="e">
        <f ca="1">_xll.BDH($C$153,"TOT_DEBT_TO_TOT_EQY","FQ1 2015","FQ1 2015","Currency=INR","Period=FQ","BEST_FPERIOD_OVERRIDE=FQ","FILING_STATUS=OR","EQY_CONSOLIDATED=Y","Sort=A","Dates=H","DateFormat=P","Fill=—","Direction=H","UseDPDF=Y")</f>
        <v>#NAME?</v>
      </c>
      <c r="CL159" s="2" t="e">
        <f ca="1">_xll.BDH($C$153,"TOT_DEBT_TO_TOT_CAP","FQ1 2015","FQ1 2015","Currency=INR","Period=FQ","BEST_FPERIOD_OVERRIDE=FQ","FILING_STATUS=OR","EQY_CONSOLIDATED=Y","Sort=A","Dates=H","DateFormat=P","Fill=—","Direction=H","UseDPDF=Y")</f>
        <v>#NAME?</v>
      </c>
      <c r="CM159" s="2" t="e">
        <f ca="1">_xll.BDH($C$153,"TOT_DEBT_TO_TOT_ASSET","FQ1 2015","FQ1 2015","Currency=INR","Period=FQ","BEST_FPERIOD_OVERRIDE=FQ","FILING_STATUS=OR","EQY_CONSOLIDATED=Y","Sort=A","Dates=H","DateFormat=P","Fill=—","Direction=H","UseDPDF=Y")</f>
        <v>#NAME?</v>
      </c>
      <c r="CN159" s="2" t="e">
        <f ca="1">_xll.BDH($C$153,"NET_DEBT_TO_SHRHLDR_EQTY","FQ1 2015","FQ1 2015","Currency=INR","Period=FQ","BEST_FPERIOD_OVERRIDE=FQ","FILING_STATUS=OR","EQY_CONSOLIDATED=Y","Sort=A","Dates=H","DateFormat=P","Fill=—","Direction=H","UseDPDF=Y")</f>
        <v>#NAME?</v>
      </c>
      <c r="CO159" s="2" t="e">
        <f ca="1">_xll.BDH($C$153,"NET_DEBT_%_CAPITAL","FQ1 2015","FQ1 2015","Currency=INR","Period=FQ","BEST_FPERIOD_OVERRIDE=FQ","FILING_STATUS=OR","EQY_CONSOLIDATED=Y","Sort=A","Dates=H","DateFormat=P","Fill=—","Direction=H","UseDPDF=Y")</f>
        <v>#NAME?</v>
      </c>
      <c r="CP159" s="3" t="e">
        <f ca="1">_xll.BDH($C$153,"EBITDA","FQ1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159" s="3" t="e">
        <f ca="1">_xll.BDH($C$153,"EBITDA_AFTER_CAPEX","FQ1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159" s="3" t="e">
        <f ca="1">_xll.BDH($C$153,"IS_OPER_INC","FQ1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159" s="2" t="e">
        <f ca="1">_xll.BDH($C$153,"CASH_RATIO","FQ1 2015","FQ1 2015","Currency=INR","Period=FQ","BEST_FPERIOD_OVERRIDE=FQ","FILING_STATUS=OR","EQY_CONSOLIDATED=Y","Sort=A","Dates=H","DateFormat=P","Fill=—","Direction=H","UseDPDF=Y")</f>
        <v>#NAME?</v>
      </c>
      <c r="CT159" s="2" t="e">
        <f ca="1">_xll.BDH($C$153,"CUR_RATIO","FQ1 2015","FQ1 2015","Currency=INR","Period=FQ","BEST_FPERIOD_OVERRIDE=FQ","FILING_STATUS=OR","EQY_CONSOLIDATED=Y","Sort=A","Dates=H","DateFormat=P","Fill=—","Direction=H","UseDPDF=Y")</f>
        <v>#NAME?</v>
      </c>
      <c r="CU159" s="2" t="e">
        <f ca="1">_xll.BDH($C$153,"QUICK_RATIO","FQ1 2015","FQ1 2015","Currency=INR","Period=FQ","BEST_FPERIOD_OVERRIDE=FQ","FILING_STATUS=OR","EQY_CONSOLIDATED=Y","Sort=A","Dates=H","DateFormat=P","Fill=—","Direction=H","UseDPDF=Y")</f>
        <v>#NAME?</v>
      </c>
      <c r="CV159" s="2" t="e">
        <f ca="1">_xll.BDH($C$153,"ALTMAN_Z_SCORE","FQ1 2015","FQ1 2015","Currency=INR","Period=FQ","BEST_FPERIOD_OVERRIDE=FQ","FILING_STATUS=OR","EQY_CONSOLIDATED=Y","Sort=A","Dates=H","DateFormat=P","Fill=—","Direction=H","UseDPDF=Y")</f>
        <v>#NAME?</v>
      </c>
      <c r="CW159" s="4" t="e">
        <f ca="1">_xll.BDH($C$153,"ACCT_RCV_TURN","FQ1 2015","FQ1 2015","Currency=INR","Period=FQ","BEST_FPERIOD_OVERRIDE=FQ","FILING_STATUS=OR","EQY_CONSOLIDATED=Y","FA_ADJUSTED=GAAP","Sort=A","Dates=H","DateFormat=P","Fill=—","Direction=H","UseDPDF=Y")</f>
        <v>#NAME?</v>
      </c>
      <c r="CX159" s="2" t="e">
        <f ca="1">_xll.BDH($C$153,"ACCT_RCV_DAYS","FQ1 2015","FQ1 2015","Currency=INR","Period=FQ","BEST_FPERIOD_OVERRIDE=FQ","FILING_STATUS=OR","EQY_CONSOLIDATED=Y","FA_ADJUSTED=GAAP","Sort=A","Dates=H","DateFormat=P","Fill=—","Direction=H","UseDPDF=Y")</f>
        <v>#NAME?</v>
      </c>
      <c r="CY159" s="4" t="e">
        <f ca="1">_xll.BDH($C$153,"INVENT_TURN","FQ1 2015","FQ1 2015","Currency=INR","Period=FQ","BEST_FPERIOD_OVERRIDE=FQ","FILING_STATUS=OR","EQY_CONSOLIDATED=Y","FA_ADJUSTED=GAAP","Sort=A","Dates=H","DateFormat=P","Fill=—","Direction=H","UseDPDF=Y")</f>
        <v>#NAME?</v>
      </c>
      <c r="CZ159" s="2" t="e">
        <f ca="1">_xll.BDH($C$153,"INVENT_DAYS","FQ1 2015","FQ1 2015","Currency=INR","Period=FQ","BEST_FPERIOD_OVERRIDE=FQ","FILING_STATUS=OR","EQY_CONSOLIDATED=Y","FA_ADJUSTED=GAAP","Sort=A","Dates=H","DateFormat=P","Fill=—","Direction=H","UseDPDF=Y")</f>
        <v>#NAME?</v>
      </c>
      <c r="DA159" s="4" t="e">
        <f ca="1">_xll.BDH($C$153,"ACCOUNTS_PAYABLE_TURNOVER","FQ1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159" s="2" t="e">
        <f ca="1">_xll.BDH($C$153,"ACCOUNTS_PAYABLE_TURNOVER_DAYS","FQ1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159" s="4" t="e">
        <f ca="1">_xll.BDH($C$153,"CASH_CONVERSION_CYCLE","FQ1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159" s="4" t="e">
        <f ca="1">_xll.BDH($C$153,"INV_TO_CASH_DAYS","FQ1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159" s="5" t="e">
        <f ca="1">_xll.BDH($C$153,"BS_INVENTORIES","FQ1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159" s="3" t="e">
        <f ca="1">_xll.BDH($C$153,"INVTRY_RAW_MATERIALS","FQ1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159" s="3" t="e">
        <f ca="1">_xll.BDH($C$153,"INVTRY_IN_PROGRESS","FQ1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159" s="3" t="e">
        <f ca="1">_xll.BDH($C$153,"INVTRY_FINISHED_GOODS","FQ1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159" s="3" t="e">
        <f ca="1">_xll.BDH($C$153,"BS_OTHER_INV","FQ1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160" spans="1:113" x14ac:dyDescent="0.3">
      <c r="A160" s="6"/>
      <c r="B160" s="6"/>
      <c r="C160" s="6"/>
      <c r="D160" s="6"/>
      <c r="E160" t="s">
        <v>79</v>
      </c>
      <c r="F160" t="e">
        <f ca="1">_xll.BDH($C$153,"RETURN_COM_EQY","FQ2 2015","FQ2 2015","Currency=INR","Period=FQ","BEST_FPERIOD_OVERRIDE=FQ","FILING_STATUS=OR","EQY_CONSOLIDATED=Y","FA_ADJUSTED=GAAP","Sort=A","Dates=H","DateFormat=P","Fill=—","Direction=H","UseDPDF=Y")</f>
        <v>#NAME?</v>
      </c>
      <c r="G160" t="e">
        <f ca="1">_xll.BDH($C$153,"RETURN_ON_ASSET","FQ2 2015","FQ2 2015","Currency=INR","Period=FQ","BEST_FPERIOD_OVERRIDE=FQ","FILING_STATUS=OR","EQY_CONSOLIDATED=Y","FA_ADJUSTED=GAAP","Sort=A","Dates=H","DateFormat=P","Fill=—","Direction=H","UseDPDF=Y")</f>
        <v>#NAME?</v>
      </c>
      <c r="H160" t="e">
        <f ca="1">_xll.BDH($C$153,"RETURN_ON_CAP","FQ2 2015","FQ2 2015","Currency=INR","Period=FQ","BEST_FPERIOD_OVERRIDE=FQ","FILING_STATUS=OR","EQY_CONSOLIDATED=Y","FA_ADJUSTED=GAAP","Sort=A","Dates=H","DateFormat=P","Fill=—","Direction=H","UseDPDF=Y")</f>
        <v>#NAME?</v>
      </c>
      <c r="I160" t="e">
        <f ca="1">_xll.BDH($C$153,"RETURN_ON_INV_CAPITAL","FQ2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160" t="e">
        <f ca="1">_xll.BDH($C$153,"EBITDA_TO_REVENUE","FQ2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160" t="e">
        <f ca="1">_xll.BDH($C$153,"OPER_MARGIN","FQ2 2015","FQ2 2015","Currency=INR","Period=FQ","BEST_FPERIOD_OVERRIDE=FQ","FILING_STATUS=OR","EQY_CONSOLIDATED=Y","FA_ADJUSTED=GAAP","Sort=A","Dates=H","DateFormat=P","Fill=—","Direction=H","UseDPDF=Y")</f>
        <v>#NAME?</v>
      </c>
      <c r="L160" t="e">
        <f ca="1">_xll.BDH($C$153,"INCREMENTAL_OPERATING_MARGIN","FQ2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160" t="e">
        <f ca="1">_xll.BDH($C$153,"PRETAX_INC_TO_NET_SALES","FQ2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160" t="e">
        <f ca="1">_xll.BDH($C$153,"INC_BEF_XO_ITEMS_TO_NET_SALES","FQ2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160" t="e">
        <f ca="1">_xll.BDH($C$153,"PROF_MARGIN","FQ2 2015","FQ2 2015","Currency=INR","Period=FQ","BEST_FPERIOD_OVERRIDE=FQ","FILING_STATUS=OR","EQY_CONSOLIDATED=Y","FA_ADJUSTED=GAAP","Sort=A","Dates=H","DateFormat=P","Fill=—","Direction=H","UseDPDF=Y")</f>
        <v>#NAME?</v>
      </c>
      <c r="P160" t="e">
        <f ca="1">_xll.BDH($C$153,"NET_INCOME_TO_COMMON_MARGIN","FQ2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160" t="e">
        <f ca="1">_xll.BDH($C$153,"EFF_TAX_RATE","FQ2 2015","FQ2 2015","Currency=INR","Period=FQ","BEST_FPERIOD_OVERRIDE=FQ","FILING_STATUS=OR","EQY_CONSOLIDATED=Y","FA_ADJUSTED=GAAP","Sort=A","Dates=H","DateFormat=P","Fill=—","Direction=H","UseDPDF=Y")</f>
        <v>#NAME?</v>
      </c>
      <c r="R160" t="e">
        <f ca="1">_xll.BDH($C$153,"DVD_PAYOUT_RATIO","FQ2 2015","FQ2 2015","Currency=INR","Period=FQ","BEST_FPERIOD_OVERRIDE=FQ","FILING_STATUS=OR","EQY_CONSOLIDATED=Y","FA_ADJUSTED=GAAP","Sort=A","Dates=H","DateFormat=P","Fill=—","Direction=H","UseDPDF=Y")</f>
        <v>#NAME?</v>
      </c>
      <c r="S160" t="e">
        <f ca="1">_xll.BDH($C$153,"SUSTAIN_GROWTH_RT","FQ2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160" s="2" t="e">
        <f ca="1">_xll.BDH($C$153,"SALES_GROWTH","FQ2 2015","FQ2 2015","Currency=INR","Period=FQ","BEST_FPERIOD_OVERRIDE=FQ","FILING_STATUS=OR","EQY_CONSOLIDATED=Y","FA_ADJUSTED=GAAP","Sort=A","Dates=H","DateFormat=P","Fill=—","Direction=H","UseDPDF=Y")</f>
        <v>#NAME?</v>
      </c>
      <c r="U160" s="2" t="e">
        <f ca="1">_xll.BDH($C$153,"EBITDA_GROWTH","FQ2 2015","FQ2 2015","Currency=INR","Period=FQ","BEST_FPERIOD_OVERRIDE=FQ","FILING_STATUS=OR","EQY_CONSOLIDATED=Y","FA_ADJUSTED=GAAP","Sort=A","Dates=H","DateFormat=P","Fill=—","Direction=H","UseDPDF=Y")</f>
        <v>#NAME?</v>
      </c>
      <c r="V160" s="2" t="e">
        <f ca="1">_xll.BDH($C$153,"OPER_INC_GROWTH","FQ2 2015","FQ2 2015","Currency=INR","Period=FQ","BEST_FPERIOD_OVERRIDE=FQ","FILING_STATUS=OR","EQY_CONSOLIDATED=Y","FA_ADJUSTED=GAAP","Sort=A","Dates=H","DateFormat=P","Fill=—","Direction=H","UseDPDF=Y")</f>
        <v>#NAME?</v>
      </c>
      <c r="W160" s="2" t="e">
        <f ca="1">_xll.BDH($C$153,"EARN_FOR_COM_GROWTH","FQ2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160" s="2" t="e">
        <f ca="1">_xll.BDH($C$153,"DILUTED_EPS_AFT_XO_ITEMS_GROWTH","FQ2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160" s="2" t="e">
        <f ca="1">_xll.BDH($C$153,"DIVIDEND_PER_SHARE_1_YEAR_GROWTH","FQ2 2015","FQ2 2015","Currency=INR","Period=FQ","BEST_FPERIOD_OVERRIDE=FQ","FILING_STATUS=OR","EQY_CONSOLIDATED=Y","Sort=A","Dates=H","DateFormat=P","Fill=—","Direction=H","UseDPDF=Y")</f>
        <v>#NAME?</v>
      </c>
      <c r="Z160" s="2" t="e">
        <f ca="1">_xll.BDH($C$153,"ACCOUNTS_RECEIVABLE_GROWTH","FQ2 2015","FQ2 2015","Currency=INR","Period=FQ","BEST_FPERIOD_OVERRIDE=FQ","FILING_STATUS=OR","EQY_CONSOLIDATED=Y","Sort=A","Dates=H","DateFormat=P","Fill=—","Direction=H","UseDPDF=Y")</f>
        <v>#NAME?</v>
      </c>
      <c r="AA160" s="2" t="e">
        <f ca="1">_xll.BDH($C$153,"INVENTORY_GROWTH","FQ2 2015","FQ2 2015","Currency=INR","Period=FQ","BEST_FPERIOD_OVERRIDE=FQ","FILING_STATUS=OR","EQY_CONSOLIDATED=Y","Sort=A","Dates=H","DateFormat=P","Fill=—","Direction=H","UseDPDF=Y")</f>
        <v>#NAME?</v>
      </c>
      <c r="AB160" s="2" t="e">
        <f ca="1">_xll.BDH($C$153,"NET_FIXED_ASSETS_1_YEAR_GROWTH","FQ2 2015","FQ2 2015","Currency=INR","Period=FQ","BEST_FPERIOD_OVERRIDE=FQ","FILING_STATUS=OR","EQY_CONSOLIDATED=Y","Sort=A","Dates=H","DateFormat=P","Fill=—","Direction=H","UseDPDF=Y")</f>
        <v>#NAME?</v>
      </c>
      <c r="AC160" s="2" t="e">
        <f ca="1">_xll.BDH($C$153,"ASSET_GROWTH","FQ2 2015","FQ2 2015","Currency=INR","Period=FQ","BEST_FPERIOD_OVERRIDE=FQ","FILING_STATUS=OR","EQY_CONSOLIDATED=Y","Sort=A","Dates=H","DateFormat=P","Fill=—","Direction=H","UseDPDF=Y")</f>
        <v>#NAME?</v>
      </c>
      <c r="AD160" s="2" t="e">
        <f ca="1">_xll.BDH($C$153,"MODIFIED_WORK_CAP_GROWTH","FQ2 2015","FQ2 2015","Currency=INR","Period=FQ","BEST_FPERIOD_OVERRIDE=FQ","FILING_STATUS=OR","EQY_CONSOLIDATED=Y","Sort=A","Dates=H","DateFormat=P","Fill=—","Direction=H","UseDPDF=Y")</f>
        <v>#NAME?</v>
      </c>
      <c r="AE160" s="2" t="e">
        <f ca="1">_xll.BDH($C$153,"WORK_CAP_GROWTH","FQ2 2015","FQ2 2015","Currency=INR","Period=FQ","BEST_FPERIOD_OVERRIDE=FQ","FILING_STATUS=OR","EQY_CONSOLIDATED=Y","Sort=A","Dates=H","DateFormat=P","Fill=—","Direction=H","UseDPDF=Y")</f>
        <v>#NAME?</v>
      </c>
      <c r="AF160" s="2" t="e">
        <f ca="1">_xll.BDH($C$153,"ACCOUNTS_PAYABLE_GROWTH_1YR","FQ2 2015","FQ2 2015","Currency=INR","Period=FQ","BEST_FPERIOD_OVERRIDE=FQ","FILING_STATUS=OR","EQY_CONSOLIDATED=Y","Sort=A","Dates=H","DateFormat=P","Fill=—","Direction=H","UseDPDF=Y")</f>
        <v>#NAME?</v>
      </c>
      <c r="AG160" s="2" t="e">
        <f ca="1">_xll.BDH($C$153,"SHORT_TERM_DEBT_1_YEAR_GROWTH","FQ2 2015","FQ2 2015","Currency=INR","Period=FQ","BEST_FPERIOD_OVERRIDE=FQ","FILING_STATUS=OR","EQY_CONSOLIDATED=Y","Sort=A","Dates=H","DateFormat=P","Fill=—","Direction=H","UseDPDF=Y")</f>
        <v>#NAME?</v>
      </c>
      <c r="AH160" s="2" t="e">
        <f ca="1">_xll.BDH($C$153,"TOTAL_DEBT_1_YEAR_GROWTH","FQ2 2015","FQ2 2015","Currency=INR","Period=FQ","BEST_FPERIOD_OVERRIDE=FQ","FILING_STATUS=OR","EQY_CONSOLIDATED=Y","Sort=A","Dates=H","DateFormat=P","Fill=—","Direction=H","UseDPDF=Y")</f>
        <v>#NAME?</v>
      </c>
      <c r="AI160" s="2" t="e">
        <f ca="1">_xll.BDH($C$153,"TOTAL_EQUITY_1_YEAR_GROWTH","FQ2 2015","FQ2 2015","Currency=INR","Period=FQ","BEST_FPERIOD_OVERRIDE=FQ","FILING_STATUS=OR","EQY_CONSOLIDATED=Y","Sort=A","Dates=H","DateFormat=P","Fill=—","Direction=H","UseDPDF=Y")</f>
        <v>#NAME?</v>
      </c>
      <c r="AJ160" s="2" t="e">
        <f ca="1">_xll.BDH($C$153,"GROWTH_IN_CAP","FQ2 2015","FQ2 2015","Currency=INR","Period=FQ","BEST_FPERIOD_OVERRIDE=FQ","FILING_STATUS=OR","EQY_CONSOLIDATED=Y","Sort=A","Dates=H","DateFormat=P","Fill=—","Direction=H","UseDPDF=Y")</f>
        <v>#NAME?</v>
      </c>
      <c r="AK160" s="2" t="e">
        <f ca="1">_xll.BDH($C$153,"BVPS_GROWTH","FQ2 2015","FQ2 2015","Currency=INR","Period=FQ","BEST_FPERIOD_OVERRIDE=FQ","FILING_STATUS=OR","EQY_CONSOLIDATED=Y","Sort=A","Dates=H","DateFormat=P","Fill=—","Direction=H","UseDPDF=Y")</f>
        <v>#NAME?</v>
      </c>
      <c r="AL160" s="2" t="e">
        <f ca="1">_xll.BDH($C$153,"CASH_FLOW_GROWTH","FQ2 2015","FQ2 2015","Currency=INR","Period=FQ","BEST_FPERIOD_OVERRIDE=FQ","FILING_STATUS=OR","EQY_CONSOLIDATED=Y","Sort=A","Dates=H","DateFormat=P","Fill=—","Direction=H","UseDPDF=Y")</f>
        <v>#NAME?</v>
      </c>
      <c r="AM160" s="2" t="e">
        <f ca="1">_xll.BDH($C$153,"GEO_GROW_NET_SALES","FQ2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160" s="2" t="e">
        <f ca="1">_xll.BDH($C$153,"GEO_GROW_EBITDA","FQ2 2015","FQ2 2015","Currency=INR","Period=FQ","BEST_FPERIOD_OVERRIDE=FQ","FILING_STATUS=OR","EQY_CONSOLIDATED=Y","FA_ADJUSTED=GAAP","Sort=A","Dates=H","DateFormat=P","Fill=—","Direction=H","UseDPDF=Y")</f>
        <v>#NAME?</v>
      </c>
      <c r="AO160" s="2" t="e">
        <f ca="1">_xll.BDH($C$153,"GEO_GROW_OPER_INC","FQ2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160" s="2" t="e">
        <f ca="1">_xll.BDH($C$153,"NET_INCOME_TO_COMMON_5_YR_GROWTH","FQ2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160" s="2" t="e">
        <f ca="1">_xll.BDH($C$153,"5Y_GEO_GROWTH_DILUTED_EPS","FQ2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160" s="2" t="e">
        <f ca="1">_xll.BDH($C$153,"GEO_GROW_DVD_PER_SH","FQ2 2015","FQ2 2015","Currency=INR","Period=FQ","BEST_FPERIOD_OVERRIDE=FQ","FILING_STATUS=OR","EQY_CONSOLIDATED=Y","Sort=A","Dates=H","DateFormat=P","Fill=—","Direction=H","UseDPDF=Y")</f>
        <v>#NAME?</v>
      </c>
      <c r="AS160" s="2" t="e">
        <f ca="1">_xll.BDH($C$153,"ACCOUNTS_RECEIVABLE_5_YR_GROWTH","FQ2 2015","FQ2 2015","Currency=INR","Period=FQ","BEST_FPERIOD_OVERRIDE=FQ","FILING_STATUS=OR","EQY_CONSOLIDATED=Y","Sort=A","Dates=H","DateFormat=P","Fill=—","Direction=H","UseDPDF=Y")</f>
        <v>#NAME?</v>
      </c>
      <c r="AT160" s="2" t="e">
        <f ca="1">_xll.BDH($C$153,"INVENTORY_5_YEAR_GROWTH","FQ2 2015","FQ2 2015","Currency=INR","Period=FQ","BEST_FPERIOD_OVERRIDE=FQ","FILING_STATUS=OR","EQY_CONSOLIDATED=Y","Sort=A","Dates=H","DateFormat=P","Fill=—","Direction=H","UseDPDF=Y")</f>
        <v>#NAME?</v>
      </c>
      <c r="AU160" s="2" t="e">
        <f ca="1">_xll.BDH($C$153,"NET_FIXED_ASSETS_5_YEAR_GROWTH","FQ2 2015","FQ2 2015","Currency=INR","Period=FQ","BEST_FPERIOD_OVERRIDE=FQ","FILING_STATUS=OR","EQY_CONSOLIDATED=Y","Sort=A","Dates=H","DateFormat=P","Fill=—","Direction=H","UseDPDF=Y")</f>
        <v>#NAME?</v>
      </c>
      <c r="AV160" s="2" t="e">
        <f ca="1">_xll.BDH($C$153,"GEO_GROW_TOT_ASSET","FQ2 2015","FQ2 2015","Currency=INR","Period=FQ","BEST_FPERIOD_OVERRIDE=FQ","FILING_STATUS=OR","EQY_CONSOLIDATED=Y","Sort=A","Dates=H","DateFormat=P","Fill=—","Direction=H","UseDPDF=Y")</f>
        <v>#NAME?</v>
      </c>
      <c r="AW160" s="2" t="e">
        <f ca="1">_xll.BDH($C$153,"MODIFIED_WORKING_CPTL_5YR_GRWTH","FQ2 2015","FQ2 2015","Currency=INR","Period=FQ","BEST_FPERIOD_OVERRIDE=FQ","FILING_STATUS=OR","EQY_CONSOLIDATED=Y","Sort=A","Dates=H","DateFormat=P","Fill=—","Direction=H","UseDPDF=Y")</f>
        <v>#NAME?</v>
      </c>
      <c r="AX160" s="2" t="e">
        <f ca="1">_xll.BDH($C$153,"WORKING_CAPITAL_5_YEAR_GROWTH","FQ2 2015","FQ2 2015","Currency=INR","Period=FQ","BEST_FPERIOD_OVERRIDE=FQ","FILING_STATUS=OR","EQY_CONSOLIDATED=Y","Sort=A","Dates=H","DateFormat=P","Fill=—","Direction=H","UseDPDF=Y")</f>
        <v>#NAME?</v>
      </c>
      <c r="AY160" s="2" t="e">
        <f ca="1">_xll.BDH($C$153,"ACCOUNTS_PAYABLE_5_YEAR_GROWTH","FQ2 2015","FQ2 2015","Currency=INR","Period=FQ","BEST_FPERIOD_OVERRIDE=FQ","FILING_STATUS=OR","EQY_CONSOLIDATED=Y","Sort=A","Dates=H","DateFormat=P","Fill=—","Direction=H","UseDPDF=Y")</f>
        <v>#NAME?</v>
      </c>
      <c r="AZ160" s="2" t="e">
        <f ca="1">_xll.BDH($C$153,"SHORT_TERM_DEBT_5_YEAR_GROWTH","FQ2 2015","FQ2 2015","Currency=INR","Period=FQ","BEST_FPERIOD_OVERRIDE=FQ","FILING_STATUS=OR","EQY_CONSOLIDATED=Y","Sort=A","Dates=H","DateFormat=P","Fill=—","Direction=H","UseDPDF=Y")</f>
        <v>#NAME?</v>
      </c>
      <c r="BA160" s="2" t="e">
        <f ca="1">_xll.BDH($C$153,"TOTAL_DEBT_5_YEAR_GROWTH","FQ2 2015","FQ2 2015","Currency=INR","Period=FQ","BEST_FPERIOD_OVERRIDE=FQ","FILING_STATUS=OR","EQY_CONSOLIDATED=Y","Sort=A","Dates=H","DateFormat=P","Fill=—","Direction=H","UseDPDF=Y")</f>
        <v>#NAME?</v>
      </c>
      <c r="BB160" s="2" t="e">
        <f ca="1">_xll.BDH($C$153,"GEO_GROW_TOT_SHRHLDR_EQY","FQ2 2015","FQ2 2015","Currency=INR","Period=FQ","BEST_FPERIOD_OVERRIDE=FQ","FILING_STATUS=OR","EQY_CONSOLIDATED=Y","Sort=A","Dates=H","DateFormat=P","Fill=—","Direction=H","UseDPDF=Y")</f>
        <v>#NAME?</v>
      </c>
      <c r="BC160" s="2" t="e">
        <f ca="1">_xll.BDH($C$153,"TOTAL_CAPITAL_5_YEAR_GROWTH","FQ2 2015","FQ2 2015","Currency=INR","Period=FQ","BEST_FPERIOD_OVERRIDE=FQ","FILING_STATUS=OR","EQY_CONSOLIDATED=Y","Sort=A","Dates=H","DateFormat=P","Fill=—","Direction=H","UseDPDF=Y")</f>
        <v>#NAME?</v>
      </c>
      <c r="BD160" s="2" t="e">
        <f ca="1">_xll.BDH($C$153,"GEO_GROW_BOOK_VAL","FQ2 2015","FQ2 2015","Currency=INR","Period=FQ","BEST_FPERIOD_OVERRIDE=FQ","FILING_STATUS=OR","EQY_CONSOLIDATED=Y","Sort=A","Dates=H","DateFormat=P","Fill=—","Direction=H","UseDPDF=Y")</f>
        <v>#NAME?</v>
      </c>
      <c r="BE160" s="2" t="e">
        <f ca="1">_xll.BDH($C$153,"GEO_GROW_CASH_OPER_ACT","FQ2 2015","FQ2 2015","Currency=INR","Period=FQ","BEST_FPERIOD_OVERRIDE=FQ","FILING_STATUS=OR","EQY_CONSOLIDATED=Y","Sort=A","Dates=H","DateFormat=P","Fill=—","Direction=H","UseDPDF=Y")</f>
        <v>#NAME?</v>
      </c>
      <c r="BF160" s="2" t="e">
        <f ca="1">_xll.BDH($C$153,"REVENUE_SEQUENTIAL_GROWTH","FQ2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160" s="2" t="e">
        <f ca="1">_xll.BDH($C$153,"EBITDA_SEQUENTIAL_GROWTH","FQ2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160" s="2" t="e">
        <f ca="1">_xll.BDH($C$153,"OPERATING_INCOME_SEQ_GROWTH","FQ2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160" s="2" t="e">
        <f ca="1">_xll.BDH($C$153,"NET_INCOME_TO_COMMON_SEQ_GROWTH","FQ2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160" s="2" t="e">
        <f ca="1">_xll.BDH($C$153,"EPS_DILUTED_SEQUENTIAL_GROWTH","FQ2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160" s="2" t="e">
        <f ca="1">_xll.BDH($C$153,"DPS_SEQUENTIAL_GROWTH","FQ2 2015","FQ2 2015","Currency=INR","Period=FQ","BEST_FPERIOD_OVERRIDE=FQ","FILING_STATUS=OR","EQY_CONSOLIDATED=Y","Sort=A","Dates=H","DateFormat=P","Fill=—","Direction=H","UseDPDF=Y")</f>
        <v>#NAME?</v>
      </c>
      <c r="BL160" s="2" t="e">
        <f ca="1">_xll.BDH($C$153,"ACCOUNTS_RECEIVABLE_SEQ_GROWTH","FQ2 2015","FQ2 2015","Currency=INR","Period=FQ","BEST_FPERIOD_OVERRIDE=FQ","FILING_STATUS=OR","EQY_CONSOLIDATED=Y","Sort=A","Dates=H","DateFormat=P","Fill=—","Direction=H","UseDPDF=Y")</f>
        <v>#NAME?</v>
      </c>
      <c r="BM160" s="2" t="e">
        <f ca="1">_xll.BDH($C$153,"INVENTORY_SEQUENTIAL_GROWTH","FQ2 2015","FQ2 2015","Currency=INR","Period=FQ","BEST_FPERIOD_OVERRIDE=FQ","FILING_STATUS=OR","EQY_CONSOLIDATED=Y","Sort=A","Dates=H","DateFormat=P","Fill=—","Direction=H","UseDPDF=Y")</f>
        <v>#NAME?</v>
      </c>
      <c r="BN160" s="2" t="e">
        <f ca="1">_xll.BDH($C$153,"FIXED_ASSETS_SEQUENTIAL_GROWTH","FQ2 2015","FQ2 2015","Currency=INR","Period=FQ","BEST_FPERIOD_OVERRIDE=FQ","FILING_STATUS=OR","EQY_CONSOLIDATED=Y","Sort=A","Dates=H","DateFormat=P","Fill=—","Direction=H","UseDPDF=Y")</f>
        <v>#NAME?</v>
      </c>
      <c r="BO160" s="2" t="e">
        <f ca="1">_xll.BDH($C$153,"TOTAL_ASSETS_SEQUENTIAL_GROWTH","FQ2 2015","FQ2 2015","Currency=INR","Period=FQ","BEST_FPERIOD_OVERRIDE=FQ","FILING_STATUS=OR","EQY_CONSOLIDATED=Y","Sort=A","Dates=H","DateFormat=P","Fill=—","Direction=H","UseDPDF=Y")</f>
        <v>#NAME?</v>
      </c>
      <c r="BP160" s="2" t="e">
        <f ca="1">_xll.BDH($C$153,"MODIFIED_WORKING_CPTL_SEQ_GRWTH","FQ2 2015","FQ2 2015","Currency=INR","Period=FQ","BEST_FPERIOD_OVERRIDE=FQ","FILING_STATUS=OR","EQY_CONSOLIDATED=Y","Sort=A","Dates=H","DateFormat=P","Fill=—","Direction=H","UseDPDF=Y")</f>
        <v>#NAME?</v>
      </c>
      <c r="BQ160" s="2" t="e">
        <f ca="1">_xll.BDH($C$153,"WORKING_CAPITAL_SEQ_GROWTH","FQ2 2015","FQ2 2015","Currency=INR","Period=FQ","BEST_FPERIOD_OVERRIDE=FQ","FILING_STATUS=OR","EQY_CONSOLIDATED=Y","Sort=A","Dates=H","DateFormat=P","Fill=—","Direction=H","UseDPDF=Y")</f>
        <v>#NAME?</v>
      </c>
      <c r="BR160" s="2" t="e">
        <f ca="1">_xll.BDH($C$153,"ACCOUNTS_PAYABLE_SEQ_GROWTH","FQ2 2015","FQ2 2015","Currency=INR","Period=FQ","BEST_FPERIOD_OVERRIDE=FQ","FILING_STATUS=OR","EQY_CONSOLIDATED=Y","Sort=A","Dates=H","DateFormat=P","Fill=—","Direction=H","UseDPDF=Y")</f>
        <v>#NAME?</v>
      </c>
      <c r="BS160" s="2" t="e">
        <f ca="1">_xll.BDH($C$153,"ST_DEBT_SEQUENTIAL_GROWTH","FQ2 2015","FQ2 2015","Currency=INR","Period=FQ","BEST_FPERIOD_OVERRIDE=FQ","FILING_STATUS=OR","EQY_CONSOLIDATED=Y","Sort=A","Dates=H","DateFormat=P","Fill=—","Direction=H","UseDPDF=Y")</f>
        <v>#NAME?</v>
      </c>
      <c r="BT160" s="2" t="e">
        <f ca="1">_xll.BDH($C$153,"TOTAL_DEBT_SEQUENTIAL_GROWTH","FQ2 2015","FQ2 2015","Currency=INR","Period=FQ","BEST_FPERIOD_OVERRIDE=FQ","FILING_STATUS=OR","EQY_CONSOLIDATED=Y","Sort=A","Dates=H","DateFormat=P","Fill=—","Direction=H","UseDPDF=Y")</f>
        <v>#NAME?</v>
      </c>
      <c r="BU160" s="2" t="e">
        <f ca="1">_xll.BDH($C$153,"TOTAL_EQUITY_SEQUENTIAL_GROWTH","FQ2 2015","FQ2 2015","Currency=INR","Period=FQ","BEST_FPERIOD_OVERRIDE=FQ","FILING_STATUS=OR","EQY_CONSOLIDATED=Y","Sort=A","Dates=H","DateFormat=P","Fill=—","Direction=H","UseDPDF=Y")</f>
        <v>#NAME?</v>
      </c>
      <c r="BV160" s="2" t="e">
        <f ca="1">_xll.BDH($C$153,"TOTAL_CAPITAL_SEQUENTIAL_GROWTH","FQ2 2015","FQ2 2015","Currency=INR","Period=FQ","BEST_FPERIOD_OVERRIDE=FQ","FILING_STATUS=OR","EQY_CONSOLIDATED=Y","Sort=A","Dates=H","DateFormat=P","Fill=—","Direction=H","UseDPDF=Y")</f>
        <v>#NAME?</v>
      </c>
      <c r="BW160" s="2" t="e">
        <f ca="1">_xll.BDH($C$153,"BPS_SEQUENTIAL_GROWTH","FQ2 2015","FQ2 2015","Currency=INR","Period=FQ","BEST_FPERIOD_OVERRIDE=FQ","FILING_STATUS=OR","EQY_CONSOLIDATED=Y","Sort=A","Dates=H","DateFormat=P","Fill=—","Direction=H","UseDPDF=Y")</f>
        <v>#NAME?</v>
      </c>
      <c r="BX160" s="2" t="e">
        <f ca="1">_xll.BDH($C$153,"CFO_SEQUENTIAL_GROWTH","FQ2 2015","FQ2 2015","Currency=INR","Period=FQ","BEST_FPERIOD_OVERRIDE=FQ","FILING_STATUS=OR","EQY_CONSOLIDATED=Y","Sort=A","Dates=H","DateFormat=P","Fill=—","Direction=H","UseDPDF=Y")</f>
        <v>#NAME?</v>
      </c>
      <c r="BY160" s="3" t="e">
        <f ca="1">_xll.BDH($C$153,"SHORT_AND_LONG_TERM_DEBT","FQ2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160" s="3" t="e">
        <f ca="1">_xll.BDH($C$153,"BS_ST_BORROW","FQ2 2015","FQ2 2015","Currency=INR","Period=FQ","BEST_FPERIOD_OVERRIDE=FQ","FILING_STATUS=OR","EQY_CONSOLIDATED=Y","SCALING_FORMAT=MLN","Sort=A","Dates=H","DateFormat=P","Fill=—","Direction=H","UseDPDF=Y")</f>
        <v>#NAME?</v>
      </c>
      <c r="CA160" s="3" t="e">
        <f ca="1">_xll.BDH($C$153,"BS_LT_BORROW","FQ2 2015","FQ2 2015","Currency=INR","Period=FQ","BEST_FPERIOD_OVERRIDE=FQ","FILING_STATUS=OR","EQY_CONSOLIDATED=Y","SCALING_FORMAT=MLN","Sort=A","Dates=H","DateFormat=P","Fill=—","Direction=H","UseDPDF=Y")</f>
        <v>#NAME?</v>
      </c>
      <c r="CB160" s="2" t="e">
        <f ca="1">_xll.BDH($C$153,"TOT_DEBT_TO_EBITDA","FQ2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160" s="2" t="e">
        <f ca="1">_xll.BDH($C$153,"NET_DEBT_TO_EBITDA","FQ2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160" s="2" t="e">
        <f ca="1">_xll.BDH($C$153,"TOTAL_DEBT_TO_EBIT","FQ2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160" s="2" t="e">
        <f ca="1">_xll.BDH($C$153,"NET_DEBT_TO_EBIT","FQ2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160" s="2" t="e">
        <f ca="1">_xll.BDH($C$153,"EBITDA_TO_INTEREST_EXPN","FQ2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160" s="2" t="e">
        <f ca="1">_xll.BDH($C$153,"COM_EQY_TO_TOT_ASSET","FQ2 2015","FQ2 2015","Currency=INR","Period=FQ","BEST_FPERIOD_OVERRIDE=FQ","FILING_STATUS=OR","EQY_CONSOLIDATED=Y","Sort=A","Dates=H","DateFormat=P","Fill=—","Direction=H","UseDPDF=Y")</f>
        <v>#NAME?</v>
      </c>
      <c r="CH160" s="2" t="e">
        <f ca="1">_xll.BDH($C$153,"LT_DEBT_TO_TOT_EQY","FQ2 2015","FQ2 2015","Currency=INR","Period=FQ","BEST_FPERIOD_OVERRIDE=FQ","FILING_STATUS=OR","EQY_CONSOLIDATED=Y","Sort=A","Dates=H","DateFormat=P","Fill=—","Direction=H","UseDPDF=Y")</f>
        <v>#NAME?</v>
      </c>
      <c r="CI160" s="2" t="e">
        <f ca="1">_xll.BDH($C$153,"LT_DEBT_TO_TOT_CAP","FQ2 2015","FQ2 2015","Currency=INR","Period=FQ","BEST_FPERIOD_OVERRIDE=FQ","FILING_STATUS=OR","EQY_CONSOLIDATED=Y","Sort=A","Dates=H","DateFormat=P","Fill=—","Direction=H","UseDPDF=Y")</f>
        <v>#NAME?</v>
      </c>
      <c r="CJ160" s="2" t="e">
        <f ca="1">_xll.BDH($C$153,"LT_DEBT_TO_TOT_ASSET","FQ2 2015","FQ2 2015","Currency=INR","Period=FQ","BEST_FPERIOD_OVERRIDE=FQ","FILING_STATUS=OR","EQY_CONSOLIDATED=Y","Sort=A","Dates=H","DateFormat=P","Fill=—","Direction=H","UseDPDF=Y")</f>
        <v>#NAME?</v>
      </c>
      <c r="CK160" s="2" t="e">
        <f ca="1">_xll.BDH($C$153,"TOT_DEBT_TO_TOT_EQY","FQ2 2015","FQ2 2015","Currency=INR","Period=FQ","BEST_FPERIOD_OVERRIDE=FQ","FILING_STATUS=OR","EQY_CONSOLIDATED=Y","Sort=A","Dates=H","DateFormat=P","Fill=—","Direction=H","UseDPDF=Y")</f>
        <v>#NAME?</v>
      </c>
      <c r="CL160" s="2" t="e">
        <f ca="1">_xll.BDH($C$153,"TOT_DEBT_TO_TOT_CAP","FQ2 2015","FQ2 2015","Currency=INR","Period=FQ","BEST_FPERIOD_OVERRIDE=FQ","FILING_STATUS=OR","EQY_CONSOLIDATED=Y","Sort=A","Dates=H","DateFormat=P","Fill=—","Direction=H","UseDPDF=Y")</f>
        <v>#NAME?</v>
      </c>
      <c r="CM160" s="2" t="e">
        <f ca="1">_xll.BDH($C$153,"TOT_DEBT_TO_TOT_ASSET","FQ2 2015","FQ2 2015","Currency=INR","Period=FQ","BEST_FPERIOD_OVERRIDE=FQ","FILING_STATUS=OR","EQY_CONSOLIDATED=Y","Sort=A","Dates=H","DateFormat=P","Fill=—","Direction=H","UseDPDF=Y")</f>
        <v>#NAME?</v>
      </c>
      <c r="CN160" s="2" t="e">
        <f ca="1">_xll.BDH($C$153,"NET_DEBT_TO_SHRHLDR_EQTY","FQ2 2015","FQ2 2015","Currency=INR","Period=FQ","BEST_FPERIOD_OVERRIDE=FQ","FILING_STATUS=OR","EQY_CONSOLIDATED=Y","Sort=A","Dates=H","DateFormat=P","Fill=—","Direction=H","UseDPDF=Y")</f>
        <v>#NAME?</v>
      </c>
      <c r="CO160" s="2" t="e">
        <f ca="1">_xll.BDH($C$153,"NET_DEBT_%_CAPITAL","FQ2 2015","FQ2 2015","Currency=INR","Period=FQ","BEST_FPERIOD_OVERRIDE=FQ","FILING_STATUS=OR","EQY_CONSOLIDATED=Y","Sort=A","Dates=H","DateFormat=P","Fill=—","Direction=H","UseDPDF=Y")</f>
        <v>#NAME?</v>
      </c>
      <c r="CP160" s="3" t="e">
        <f ca="1">_xll.BDH($C$153,"EBITDA","FQ2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160" s="3" t="e">
        <f ca="1">_xll.BDH($C$153,"EBITDA_AFTER_CAPEX","FQ2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160" s="3" t="e">
        <f ca="1">_xll.BDH($C$153,"IS_OPER_INC","FQ2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160" s="2" t="e">
        <f ca="1">_xll.BDH($C$153,"CASH_RATIO","FQ2 2015","FQ2 2015","Currency=INR","Period=FQ","BEST_FPERIOD_OVERRIDE=FQ","FILING_STATUS=OR","EQY_CONSOLIDATED=Y","Sort=A","Dates=H","DateFormat=P","Fill=—","Direction=H","UseDPDF=Y")</f>
        <v>#NAME?</v>
      </c>
      <c r="CT160" s="2" t="e">
        <f ca="1">_xll.BDH($C$153,"CUR_RATIO","FQ2 2015","FQ2 2015","Currency=INR","Period=FQ","BEST_FPERIOD_OVERRIDE=FQ","FILING_STATUS=OR","EQY_CONSOLIDATED=Y","Sort=A","Dates=H","DateFormat=P","Fill=—","Direction=H","UseDPDF=Y")</f>
        <v>#NAME?</v>
      </c>
      <c r="CU160" s="2" t="e">
        <f ca="1">_xll.BDH($C$153,"QUICK_RATIO","FQ2 2015","FQ2 2015","Currency=INR","Period=FQ","BEST_FPERIOD_OVERRIDE=FQ","FILING_STATUS=OR","EQY_CONSOLIDATED=Y","Sort=A","Dates=H","DateFormat=P","Fill=—","Direction=H","UseDPDF=Y")</f>
        <v>#NAME?</v>
      </c>
      <c r="CV160" s="2" t="e">
        <f ca="1">_xll.BDH($C$153,"ALTMAN_Z_SCORE","FQ2 2015","FQ2 2015","Currency=INR","Period=FQ","BEST_FPERIOD_OVERRIDE=FQ","FILING_STATUS=OR","EQY_CONSOLIDATED=Y","Sort=A","Dates=H","DateFormat=P","Fill=—","Direction=H","UseDPDF=Y")</f>
        <v>#NAME?</v>
      </c>
      <c r="CW160" s="4" t="e">
        <f ca="1">_xll.BDH($C$153,"ACCT_RCV_TURN","FQ2 2015","FQ2 2015","Currency=INR","Period=FQ","BEST_FPERIOD_OVERRIDE=FQ","FILING_STATUS=OR","EQY_CONSOLIDATED=Y","FA_ADJUSTED=GAAP","Sort=A","Dates=H","DateFormat=P","Fill=—","Direction=H","UseDPDF=Y")</f>
        <v>#NAME?</v>
      </c>
      <c r="CX160" s="2" t="e">
        <f ca="1">_xll.BDH($C$153,"ACCT_RCV_DAYS","FQ2 2015","FQ2 2015","Currency=INR","Period=FQ","BEST_FPERIOD_OVERRIDE=FQ","FILING_STATUS=OR","EQY_CONSOLIDATED=Y","FA_ADJUSTED=GAAP","Sort=A","Dates=H","DateFormat=P","Fill=—","Direction=H","UseDPDF=Y")</f>
        <v>#NAME?</v>
      </c>
      <c r="CY160" s="4" t="e">
        <f ca="1">_xll.BDH($C$153,"INVENT_TURN","FQ2 2015","FQ2 2015","Currency=INR","Period=FQ","BEST_FPERIOD_OVERRIDE=FQ","FILING_STATUS=OR","EQY_CONSOLIDATED=Y","FA_ADJUSTED=GAAP","Sort=A","Dates=H","DateFormat=P","Fill=—","Direction=H","UseDPDF=Y")</f>
        <v>#NAME?</v>
      </c>
      <c r="CZ160" s="2" t="e">
        <f ca="1">_xll.BDH($C$153,"INVENT_DAYS","FQ2 2015","FQ2 2015","Currency=INR","Period=FQ","BEST_FPERIOD_OVERRIDE=FQ","FILING_STATUS=OR","EQY_CONSOLIDATED=Y","FA_ADJUSTED=GAAP","Sort=A","Dates=H","DateFormat=P","Fill=—","Direction=H","UseDPDF=Y")</f>
        <v>#NAME?</v>
      </c>
      <c r="DA160" s="4" t="e">
        <f ca="1">_xll.BDH($C$153,"ACCOUNTS_PAYABLE_TURNOVER","FQ2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160" s="2" t="e">
        <f ca="1">_xll.BDH($C$153,"ACCOUNTS_PAYABLE_TURNOVER_DAYS","FQ2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160" s="4" t="e">
        <f ca="1">_xll.BDH($C$153,"CASH_CONVERSION_CYCLE","FQ2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160" s="4" t="e">
        <f ca="1">_xll.BDH($C$153,"INV_TO_CASH_DAYS","FQ2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160" s="5" t="e">
        <f ca="1">_xll.BDH($C$153,"BS_INVENTORIES","FQ2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160" s="3" t="e">
        <f ca="1">_xll.BDH($C$153,"INVTRY_RAW_MATERIALS","FQ2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160" s="3" t="e">
        <f ca="1">_xll.BDH($C$153,"INVTRY_IN_PROGRESS","FQ2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160" s="3" t="e">
        <f ca="1">_xll.BDH($C$153,"INVTRY_FINISHED_GOODS","FQ2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160" s="3" t="e">
        <f ca="1">_xll.BDH($C$153,"BS_OTHER_INV","FQ2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161" spans="1:113" x14ac:dyDescent="0.3">
      <c r="A161" s="6"/>
      <c r="B161" s="6"/>
      <c r="C161" s="6"/>
      <c r="D161" s="6"/>
      <c r="E161" t="s">
        <v>80</v>
      </c>
      <c r="F161" t="e">
        <f ca="1">_xll.BDH($C$153,"RETURN_COM_EQY","FQ3 2015","FQ3 2015","Currency=INR","Period=FQ","BEST_FPERIOD_OVERRIDE=FQ","FILING_STATUS=OR","EQY_CONSOLIDATED=Y","FA_ADJUSTED=GAAP","Sort=A","Dates=H","DateFormat=P","Fill=—","Direction=H","UseDPDF=Y")</f>
        <v>#NAME?</v>
      </c>
      <c r="G161" t="e">
        <f ca="1">_xll.BDH($C$153,"RETURN_ON_ASSET","FQ3 2015","FQ3 2015","Currency=INR","Period=FQ","BEST_FPERIOD_OVERRIDE=FQ","FILING_STATUS=OR","EQY_CONSOLIDATED=Y","FA_ADJUSTED=GAAP","Sort=A","Dates=H","DateFormat=P","Fill=—","Direction=H","UseDPDF=Y")</f>
        <v>#NAME?</v>
      </c>
      <c r="H161" t="e">
        <f ca="1">_xll.BDH($C$153,"RETURN_ON_CAP","FQ3 2015","FQ3 2015","Currency=INR","Period=FQ","BEST_FPERIOD_OVERRIDE=FQ","FILING_STATUS=OR","EQY_CONSOLIDATED=Y","FA_ADJUSTED=GAAP","Sort=A","Dates=H","DateFormat=P","Fill=—","Direction=H","UseDPDF=Y")</f>
        <v>#NAME?</v>
      </c>
      <c r="I161" t="e">
        <f ca="1">_xll.BDH($C$153,"RETURN_ON_INV_CAPITAL","FQ3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161" t="e">
        <f ca="1">_xll.BDH($C$153,"EBITDA_TO_REVENUE","FQ3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161" t="e">
        <f ca="1">_xll.BDH($C$153,"OPER_MARGIN","FQ3 2015","FQ3 2015","Currency=INR","Period=FQ","BEST_FPERIOD_OVERRIDE=FQ","FILING_STATUS=OR","EQY_CONSOLIDATED=Y","FA_ADJUSTED=GAAP","Sort=A","Dates=H","DateFormat=P","Fill=—","Direction=H","UseDPDF=Y")</f>
        <v>#NAME?</v>
      </c>
      <c r="L161" t="e">
        <f ca="1">_xll.BDH($C$153,"INCREMENTAL_OPERATING_MARGIN","FQ3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161" t="e">
        <f ca="1">_xll.BDH($C$153,"PRETAX_INC_TO_NET_SALES","FQ3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161" t="e">
        <f ca="1">_xll.BDH($C$153,"INC_BEF_XO_ITEMS_TO_NET_SALES","FQ3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161" t="e">
        <f ca="1">_xll.BDH($C$153,"PROF_MARGIN","FQ3 2015","FQ3 2015","Currency=INR","Period=FQ","BEST_FPERIOD_OVERRIDE=FQ","FILING_STATUS=OR","EQY_CONSOLIDATED=Y","FA_ADJUSTED=GAAP","Sort=A","Dates=H","DateFormat=P","Fill=—","Direction=H","UseDPDF=Y")</f>
        <v>#NAME?</v>
      </c>
      <c r="P161" t="e">
        <f ca="1">_xll.BDH($C$153,"NET_INCOME_TO_COMMON_MARGIN","FQ3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161" t="e">
        <f ca="1">_xll.BDH($C$153,"EFF_TAX_RATE","FQ3 2015","FQ3 2015","Currency=INR","Period=FQ","BEST_FPERIOD_OVERRIDE=FQ","FILING_STATUS=OR","EQY_CONSOLIDATED=Y","FA_ADJUSTED=GAAP","Sort=A","Dates=H","DateFormat=P","Fill=—","Direction=H","UseDPDF=Y")</f>
        <v>#NAME?</v>
      </c>
      <c r="R161" t="e">
        <f ca="1">_xll.BDH($C$153,"DVD_PAYOUT_RATIO","FQ3 2015","FQ3 2015","Currency=INR","Period=FQ","BEST_FPERIOD_OVERRIDE=FQ","FILING_STATUS=OR","EQY_CONSOLIDATED=Y","FA_ADJUSTED=GAAP","Sort=A","Dates=H","DateFormat=P","Fill=—","Direction=H","UseDPDF=Y")</f>
        <v>#NAME?</v>
      </c>
      <c r="S161" t="e">
        <f ca="1">_xll.BDH($C$153,"SUSTAIN_GROWTH_RT","FQ3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161" s="2" t="e">
        <f ca="1">_xll.BDH($C$153,"SALES_GROWTH","FQ3 2015","FQ3 2015","Currency=INR","Period=FQ","BEST_FPERIOD_OVERRIDE=FQ","FILING_STATUS=OR","EQY_CONSOLIDATED=Y","FA_ADJUSTED=GAAP","Sort=A","Dates=H","DateFormat=P","Fill=—","Direction=H","UseDPDF=Y")</f>
        <v>#NAME?</v>
      </c>
      <c r="U161" s="2" t="e">
        <f ca="1">_xll.BDH($C$153,"EBITDA_GROWTH","FQ3 2015","FQ3 2015","Currency=INR","Period=FQ","BEST_FPERIOD_OVERRIDE=FQ","FILING_STATUS=OR","EQY_CONSOLIDATED=Y","FA_ADJUSTED=GAAP","Sort=A","Dates=H","DateFormat=P","Fill=—","Direction=H","UseDPDF=Y")</f>
        <v>#NAME?</v>
      </c>
      <c r="V161" s="2" t="e">
        <f ca="1">_xll.BDH($C$153,"OPER_INC_GROWTH","FQ3 2015","FQ3 2015","Currency=INR","Period=FQ","BEST_FPERIOD_OVERRIDE=FQ","FILING_STATUS=OR","EQY_CONSOLIDATED=Y","FA_ADJUSTED=GAAP","Sort=A","Dates=H","DateFormat=P","Fill=—","Direction=H","UseDPDF=Y")</f>
        <v>#NAME?</v>
      </c>
      <c r="W161" s="2" t="e">
        <f ca="1">_xll.BDH($C$153,"EARN_FOR_COM_GROWTH","FQ3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161" s="2" t="e">
        <f ca="1">_xll.BDH($C$153,"DILUTED_EPS_AFT_XO_ITEMS_GROWTH","FQ3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161" s="2" t="e">
        <f ca="1">_xll.BDH($C$153,"DIVIDEND_PER_SHARE_1_YEAR_GROWTH","FQ3 2015","FQ3 2015","Currency=INR","Period=FQ","BEST_FPERIOD_OVERRIDE=FQ","FILING_STATUS=OR","EQY_CONSOLIDATED=Y","Sort=A","Dates=H","DateFormat=P","Fill=—","Direction=H","UseDPDF=Y")</f>
        <v>#NAME?</v>
      </c>
      <c r="Z161" s="2" t="e">
        <f ca="1">_xll.BDH($C$153,"ACCOUNTS_RECEIVABLE_GROWTH","FQ3 2015","FQ3 2015","Currency=INR","Period=FQ","BEST_FPERIOD_OVERRIDE=FQ","FILING_STATUS=OR","EQY_CONSOLIDATED=Y","Sort=A","Dates=H","DateFormat=P","Fill=—","Direction=H","UseDPDF=Y")</f>
        <v>#NAME?</v>
      </c>
      <c r="AA161" s="2" t="e">
        <f ca="1">_xll.BDH($C$153,"INVENTORY_GROWTH","FQ3 2015","FQ3 2015","Currency=INR","Period=FQ","BEST_FPERIOD_OVERRIDE=FQ","FILING_STATUS=OR","EQY_CONSOLIDATED=Y","Sort=A","Dates=H","DateFormat=P","Fill=—","Direction=H","UseDPDF=Y")</f>
        <v>#NAME?</v>
      </c>
      <c r="AB161" s="2" t="e">
        <f ca="1">_xll.BDH($C$153,"NET_FIXED_ASSETS_1_YEAR_GROWTH","FQ3 2015","FQ3 2015","Currency=INR","Period=FQ","BEST_FPERIOD_OVERRIDE=FQ","FILING_STATUS=OR","EQY_CONSOLIDATED=Y","Sort=A","Dates=H","DateFormat=P","Fill=—","Direction=H","UseDPDF=Y")</f>
        <v>#NAME?</v>
      </c>
      <c r="AC161" s="2" t="e">
        <f ca="1">_xll.BDH($C$153,"ASSET_GROWTH","FQ3 2015","FQ3 2015","Currency=INR","Period=FQ","BEST_FPERIOD_OVERRIDE=FQ","FILING_STATUS=OR","EQY_CONSOLIDATED=Y","Sort=A","Dates=H","DateFormat=P","Fill=—","Direction=H","UseDPDF=Y")</f>
        <v>#NAME?</v>
      </c>
      <c r="AD161" s="2" t="e">
        <f ca="1">_xll.BDH($C$153,"MODIFIED_WORK_CAP_GROWTH","FQ3 2015","FQ3 2015","Currency=INR","Period=FQ","BEST_FPERIOD_OVERRIDE=FQ","FILING_STATUS=OR","EQY_CONSOLIDATED=Y","Sort=A","Dates=H","DateFormat=P","Fill=—","Direction=H","UseDPDF=Y")</f>
        <v>#NAME?</v>
      </c>
      <c r="AE161" s="2" t="e">
        <f ca="1">_xll.BDH($C$153,"WORK_CAP_GROWTH","FQ3 2015","FQ3 2015","Currency=INR","Period=FQ","BEST_FPERIOD_OVERRIDE=FQ","FILING_STATUS=OR","EQY_CONSOLIDATED=Y","Sort=A","Dates=H","DateFormat=P","Fill=—","Direction=H","UseDPDF=Y")</f>
        <v>#NAME?</v>
      </c>
      <c r="AF161" s="2" t="e">
        <f ca="1">_xll.BDH($C$153,"ACCOUNTS_PAYABLE_GROWTH_1YR","FQ3 2015","FQ3 2015","Currency=INR","Period=FQ","BEST_FPERIOD_OVERRIDE=FQ","FILING_STATUS=OR","EQY_CONSOLIDATED=Y","Sort=A","Dates=H","DateFormat=P","Fill=—","Direction=H","UseDPDF=Y")</f>
        <v>#NAME?</v>
      </c>
      <c r="AG161" s="2" t="e">
        <f ca="1">_xll.BDH($C$153,"SHORT_TERM_DEBT_1_YEAR_GROWTH","FQ3 2015","FQ3 2015","Currency=INR","Period=FQ","BEST_FPERIOD_OVERRIDE=FQ","FILING_STATUS=OR","EQY_CONSOLIDATED=Y","Sort=A","Dates=H","DateFormat=P","Fill=—","Direction=H","UseDPDF=Y")</f>
        <v>#NAME?</v>
      </c>
      <c r="AH161" s="2" t="e">
        <f ca="1">_xll.BDH($C$153,"TOTAL_DEBT_1_YEAR_GROWTH","FQ3 2015","FQ3 2015","Currency=INR","Period=FQ","BEST_FPERIOD_OVERRIDE=FQ","FILING_STATUS=OR","EQY_CONSOLIDATED=Y","Sort=A","Dates=H","DateFormat=P","Fill=—","Direction=H","UseDPDF=Y")</f>
        <v>#NAME?</v>
      </c>
      <c r="AI161" s="2" t="e">
        <f ca="1">_xll.BDH($C$153,"TOTAL_EQUITY_1_YEAR_GROWTH","FQ3 2015","FQ3 2015","Currency=INR","Period=FQ","BEST_FPERIOD_OVERRIDE=FQ","FILING_STATUS=OR","EQY_CONSOLIDATED=Y","Sort=A","Dates=H","DateFormat=P","Fill=—","Direction=H","UseDPDF=Y")</f>
        <v>#NAME?</v>
      </c>
      <c r="AJ161" s="2" t="e">
        <f ca="1">_xll.BDH($C$153,"GROWTH_IN_CAP","FQ3 2015","FQ3 2015","Currency=INR","Period=FQ","BEST_FPERIOD_OVERRIDE=FQ","FILING_STATUS=OR","EQY_CONSOLIDATED=Y","Sort=A","Dates=H","DateFormat=P","Fill=—","Direction=H","UseDPDF=Y")</f>
        <v>#NAME?</v>
      </c>
      <c r="AK161" s="2" t="e">
        <f ca="1">_xll.BDH($C$153,"BVPS_GROWTH","FQ3 2015","FQ3 2015","Currency=INR","Period=FQ","BEST_FPERIOD_OVERRIDE=FQ","FILING_STATUS=OR","EQY_CONSOLIDATED=Y","Sort=A","Dates=H","DateFormat=P","Fill=—","Direction=H","UseDPDF=Y")</f>
        <v>#NAME?</v>
      </c>
      <c r="AL161" s="2" t="e">
        <f ca="1">_xll.BDH($C$153,"CASH_FLOW_GROWTH","FQ3 2015","FQ3 2015","Currency=INR","Period=FQ","BEST_FPERIOD_OVERRIDE=FQ","FILING_STATUS=OR","EQY_CONSOLIDATED=Y","Sort=A","Dates=H","DateFormat=P","Fill=—","Direction=H","UseDPDF=Y")</f>
        <v>#NAME?</v>
      </c>
      <c r="AM161" s="2" t="e">
        <f ca="1">_xll.BDH($C$153,"GEO_GROW_NET_SALES","FQ3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161" s="2" t="e">
        <f ca="1">_xll.BDH($C$153,"GEO_GROW_EBITDA","FQ3 2015","FQ3 2015","Currency=INR","Period=FQ","BEST_FPERIOD_OVERRIDE=FQ","FILING_STATUS=OR","EQY_CONSOLIDATED=Y","FA_ADJUSTED=GAAP","Sort=A","Dates=H","DateFormat=P","Fill=—","Direction=H","UseDPDF=Y")</f>
        <v>#NAME?</v>
      </c>
      <c r="AO161" s="2" t="e">
        <f ca="1">_xll.BDH($C$153,"GEO_GROW_OPER_INC","FQ3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161" s="2" t="e">
        <f ca="1">_xll.BDH($C$153,"NET_INCOME_TO_COMMON_5_YR_GROWTH","FQ3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161" s="2" t="e">
        <f ca="1">_xll.BDH($C$153,"5Y_GEO_GROWTH_DILUTED_EPS","FQ3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161" s="2" t="e">
        <f ca="1">_xll.BDH($C$153,"GEO_GROW_DVD_PER_SH","FQ3 2015","FQ3 2015","Currency=INR","Period=FQ","BEST_FPERIOD_OVERRIDE=FQ","FILING_STATUS=OR","EQY_CONSOLIDATED=Y","Sort=A","Dates=H","DateFormat=P","Fill=—","Direction=H","UseDPDF=Y")</f>
        <v>#NAME?</v>
      </c>
      <c r="AS161" s="2" t="e">
        <f ca="1">_xll.BDH($C$153,"ACCOUNTS_RECEIVABLE_5_YR_GROWTH","FQ3 2015","FQ3 2015","Currency=INR","Period=FQ","BEST_FPERIOD_OVERRIDE=FQ","FILING_STATUS=OR","EQY_CONSOLIDATED=Y","Sort=A","Dates=H","DateFormat=P","Fill=—","Direction=H","UseDPDF=Y")</f>
        <v>#NAME?</v>
      </c>
      <c r="AT161" s="2" t="e">
        <f ca="1">_xll.BDH($C$153,"INVENTORY_5_YEAR_GROWTH","FQ3 2015","FQ3 2015","Currency=INR","Period=FQ","BEST_FPERIOD_OVERRIDE=FQ","FILING_STATUS=OR","EQY_CONSOLIDATED=Y","Sort=A","Dates=H","DateFormat=P","Fill=—","Direction=H","UseDPDF=Y")</f>
        <v>#NAME?</v>
      </c>
      <c r="AU161" s="2" t="e">
        <f ca="1">_xll.BDH($C$153,"NET_FIXED_ASSETS_5_YEAR_GROWTH","FQ3 2015","FQ3 2015","Currency=INR","Period=FQ","BEST_FPERIOD_OVERRIDE=FQ","FILING_STATUS=OR","EQY_CONSOLIDATED=Y","Sort=A","Dates=H","DateFormat=P","Fill=—","Direction=H","UseDPDF=Y")</f>
        <v>#NAME?</v>
      </c>
      <c r="AV161" s="2" t="e">
        <f ca="1">_xll.BDH($C$153,"GEO_GROW_TOT_ASSET","FQ3 2015","FQ3 2015","Currency=INR","Period=FQ","BEST_FPERIOD_OVERRIDE=FQ","FILING_STATUS=OR","EQY_CONSOLIDATED=Y","Sort=A","Dates=H","DateFormat=P","Fill=—","Direction=H","UseDPDF=Y")</f>
        <v>#NAME?</v>
      </c>
      <c r="AW161" s="2" t="e">
        <f ca="1">_xll.BDH($C$153,"MODIFIED_WORKING_CPTL_5YR_GRWTH","FQ3 2015","FQ3 2015","Currency=INR","Period=FQ","BEST_FPERIOD_OVERRIDE=FQ","FILING_STATUS=OR","EQY_CONSOLIDATED=Y","Sort=A","Dates=H","DateFormat=P","Fill=—","Direction=H","UseDPDF=Y")</f>
        <v>#NAME?</v>
      </c>
      <c r="AX161" s="2" t="e">
        <f ca="1">_xll.BDH($C$153,"WORKING_CAPITAL_5_YEAR_GROWTH","FQ3 2015","FQ3 2015","Currency=INR","Period=FQ","BEST_FPERIOD_OVERRIDE=FQ","FILING_STATUS=OR","EQY_CONSOLIDATED=Y","Sort=A","Dates=H","DateFormat=P","Fill=—","Direction=H","UseDPDF=Y")</f>
        <v>#NAME?</v>
      </c>
      <c r="AY161" s="2" t="e">
        <f ca="1">_xll.BDH($C$153,"ACCOUNTS_PAYABLE_5_YEAR_GROWTH","FQ3 2015","FQ3 2015","Currency=INR","Period=FQ","BEST_FPERIOD_OVERRIDE=FQ","FILING_STATUS=OR","EQY_CONSOLIDATED=Y","Sort=A","Dates=H","DateFormat=P","Fill=—","Direction=H","UseDPDF=Y")</f>
        <v>#NAME?</v>
      </c>
      <c r="AZ161" s="2" t="e">
        <f ca="1">_xll.BDH($C$153,"SHORT_TERM_DEBT_5_YEAR_GROWTH","FQ3 2015","FQ3 2015","Currency=INR","Period=FQ","BEST_FPERIOD_OVERRIDE=FQ","FILING_STATUS=OR","EQY_CONSOLIDATED=Y","Sort=A","Dates=H","DateFormat=P","Fill=—","Direction=H","UseDPDF=Y")</f>
        <v>#NAME?</v>
      </c>
      <c r="BA161" s="2" t="e">
        <f ca="1">_xll.BDH($C$153,"TOTAL_DEBT_5_YEAR_GROWTH","FQ3 2015","FQ3 2015","Currency=INR","Period=FQ","BEST_FPERIOD_OVERRIDE=FQ","FILING_STATUS=OR","EQY_CONSOLIDATED=Y","Sort=A","Dates=H","DateFormat=P","Fill=—","Direction=H","UseDPDF=Y")</f>
        <v>#NAME?</v>
      </c>
      <c r="BB161" s="2" t="e">
        <f ca="1">_xll.BDH($C$153,"GEO_GROW_TOT_SHRHLDR_EQY","FQ3 2015","FQ3 2015","Currency=INR","Period=FQ","BEST_FPERIOD_OVERRIDE=FQ","FILING_STATUS=OR","EQY_CONSOLIDATED=Y","Sort=A","Dates=H","DateFormat=P","Fill=—","Direction=H","UseDPDF=Y")</f>
        <v>#NAME?</v>
      </c>
      <c r="BC161" s="2" t="e">
        <f ca="1">_xll.BDH($C$153,"TOTAL_CAPITAL_5_YEAR_GROWTH","FQ3 2015","FQ3 2015","Currency=INR","Period=FQ","BEST_FPERIOD_OVERRIDE=FQ","FILING_STATUS=OR","EQY_CONSOLIDATED=Y","Sort=A","Dates=H","DateFormat=P","Fill=—","Direction=H","UseDPDF=Y")</f>
        <v>#NAME?</v>
      </c>
      <c r="BD161" s="2" t="e">
        <f ca="1">_xll.BDH($C$153,"GEO_GROW_BOOK_VAL","FQ3 2015","FQ3 2015","Currency=INR","Period=FQ","BEST_FPERIOD_OVERRIDE=FQ","FILING_STATUS=OR","EQY_CONSOLIDATED=Y","Sort=A","Dates=H","DateFormat=P","Fill=—","Direction=H","UseDPDF=Y")</f>
        <v>#NAME?</v>
      </c>
      <c r="BE161" s="2" t="e">
        <f ca="1">_xll.BDH($C$153,"GEO_GROW_CASH_OPER_ACT","FQ3 2015","FQ3 2015","Currency=INR","Period=FQ","BEST_FPERIOD_OVERRIDE=FQ","FILING_STATUS=OR","EQY_CONSOLIDATED=Y","Sort=A","Dates=H","DateFormat=P","Fill=—","Direction=H","UseDPDF=Y")</f>
        <v>#NAME?</v>
      </c>
      <c r="BF161" s="2" t="e">
        <f ca="1">_xll.BDH($C$153,"REVENUE_SEQUENTIAL_GROWTH","FQ3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161" s="2" t="e">
        <f ca="1">_xll.BDH($C$153,"EBITDA_SEQUENTIAL_GROWTH","FQ3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161" s="2" t="e">
        <f ca="1">_xll.BDH($C$153,"OPERATING_INCOME_SEQ_GROWTH","FQ3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161" s="2" t="e">
        <f ca="1">_xll.BDH($C$153,"NET_INCOME_TO_COMMON_SEQ_GROWTH","FQ3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161" s="2" t="e">
        <f ca="1">_xll.BDH($C$153,"EPS_DILUTED_SEQUENTIAL_GROWTH","FQ3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161" s="2" t="e">
        <f ca="1">_xll.BDH($C$153,"DPS_SEQUENTIAL_GROWTH","FQ3 2015","FQ3 2015","Currency=INR","Period=FQ","BEST_FPERIOD_OVERRIDE=FQ","FILING_STATUS=OR","EQY_CONSOLIDATED=Y","Sort=A","Dates=H","DateFormat=P","Fill=—","Direction=H","UseDPDF=Y")</f>
        <v>#NAME?</v>
      </c>
      <c r="BL161" s="2" t="e">
        <f ca="1">_xll.BDH($C$153,"ACCOUNTS_RECEIVABLE_SEQ_GROWTH","FQ3 2015","FQ3 2015","Currency=INR","Period=FQ","BEST_FPERIOD_OVERRIDE=FQ","FILING_STATUS=OR","EQY_CONSOLIDATED=Y","Sort=A","Dates=H","DateFormat=P","Fill=—","Direction=H","UseDPDF=Y")</f>
        <v>#NAME?</v>
      </c>
      <c r="BM161" s="2" t="e">
        <f ca="1">_xll.BDH($C$153,"INVENTORY_SEQUENTIAL_GROWTH","FQ3 2015","FQ3 2015","Currency=INR","Period=FQ","BEST_FPERIOD_OVERRIDE=FQ","FILING_STATUS=OR","EQY_CONSOLIDATED=Y","Sort=A","Dates=H","DateFormat=P","Fill=—","Direction=H","UseDPDF=Y")</f>
        <v>#NAME?</v>
      </c>
      <c r="BN161" s="2" t="e">
        <f ca="1">_xll.BDH($C$153,"FIXED_ASSETS_SEQUENTIAL_GROWTH","FQ3 2015","FQ3 2015","Currency=INR","Period=FQ","BEST_FPERIOD_OVERRIDE=FQ","FILING_STATUS=OR","EQY_CONSOLIDATED=Y","Sort=A","Dates=H","DateFormat=P","Fill=—","Direction=H","UseDPDF=Y")</f>
        <v>#NAME?</v>
      </c>
      <c r="BO161" s="2" t="e">
        <f ca="1">_xll.BDH($C$153,"TOTAL_ASSETS_SEQUENTIAL_GROWTH","FQ3 2015","FQ3 2015","Currency=INR","Period=FQ","BEST_FPERIOD_OVERRIDE=FQ","FILING_STATUS=OR","EQY_CONSOLIDATED=Y","Sort=A","Dates=H","DateFormat=P","Fill=—","Direction=H","UseDPDF=Y")</f>
        <v>#NAME?</v>
      </c>
      <c r="BP161" s="2" t="e">
        <f ca="1">_xll.BDH($C$153,"MODIFIED_WORKING_CPTL_SEQ_GRWTH","FQ3 2015","FQ3 2015","Currency=INR","Period=FQ","BEST_FPERIOD_OVERRIDE=FQ","FILING_STATUS=OR","EQY_CONSOLIDATED=Y","Sort=A","Dates=H","DateFormat=P","Fill=—","Direction=H","UseDPDF=Y")</f>
        <v>#NAME?</v>
      </c>
      <c r="BQ161" s="2" t="e">
        <f ca="1">_xll.BDH($C$153,"WORKING_CAPITAL_SEQ_GROWTH","FQ3 2015","FQ3 2015","Currency=INR","Period=FQ","BEST_FPERIOD_OVERRIDE=FQ","FILING_STATUS=OR","EQY_CONSOLIDATED=Y","Sort=A","Dates=H","DateFormat=P","Fill=—","Direction=H","UseDPDF=Y")</f>
        <v>#NAME?</v>
      </c>
      <c r="BR161" s="2" t="e">
        <f ca="1">_xll.BDH($C$153,"ACCOUNTS_PAYABLE_SEQ_GROWTH","FQ3 2015","FQ3 2015","Currency=INR","Period=FQ","BEST_FPERIOD_OVERRIDE=FQ","FILING_STATUS=OR","EQY_CONSOLIDATED=Y","Sort=A","Dates=H","DateFormat=P","Fill=—","Direction=H","UseDPDF=Y")</f>
        <v>#NAME?</v>
      </c>
      <c r="BS161" s="2" t="e">
        <f ca="1">_xll.BDH($C$153,"ST_DEBT_SEQUENTIAL_GROWTH","FQ3 2015","FQ3 2015","Currency=INR","Period=FQ","BEST_FPERIOD_OVERRIDE=FQ","FILING_STATUS=OR","EQY_CONSOLIDATED=Y","Sort=A","Dates=H","DateFormat=P","Fill=—","Direction=H","UseDPDF=Y")</f>
        <v>#NAME?</v>
      </c>
      <c r="BT161" s="2" t="e">
        <f ca="1">_xll.BDH($C$153,"TOTAL_DEBT_SEQUENTIAL_GROWTH","FQ3 2015","FQ3 2015","Currency=INR","Period=FQ","BEST_FPERIOD_OVERRIDE=FQ","FILING_STATUS=OR","EQY_CONSOLIDATED=Y","Sort=A","Dates=H","DateFormat=P","Fill=—","Direction=H","UseDPDF=Y")</f>
        <v>#NAME?</v>
      </c>
      <c r="BU161" s="2" t="e">
        <f ca="1">_xll.BDH($C$153,"TOTAL_EQUITY_SEQUENTIAL_GROWTH","FQ3 2015","FQ3 2015","Currency=INR","Period=FQ","BEST_FPERIOD_OVERRIDE=FQ","FILING_STATUS=OR","EQY_CONSOLIDATED=Y","Sort=A","Dates=H","DateFormat=P","Fill=—","Direction=H","UseDPDF=Y")</f>
        <v>#NAME?</v>
      </c>
      <c r="BV161" s="2" t="e">
        <f ca="1">_xll.BDH($C$153,"TOTAL_CAPITAL_SEQUENTIAL_GROWTH","FQ3 2015","FQ3 2015","Currency=INR","Period=FQ","BEST_FPERIOD_OVERRIDE=FQ","FILING_STATUS=OR","EQY_CONSOLIDATED=Y","Sort=A","Dates=H","DateFormat=P","Fill=—","Direction=H","UseDPDF=Y")</f>
        <v>#NAME?</v>
      </c>
      <c r="BW161" s="2" t="e">
        <f ca="1">_xll.BDH($C$153,"BPS_SEQUENTIAL_GROWTH","FQ3 2015","FQ3 2015","Currency=INR","Period=FQ","BEST_FPERIOD_OVERRIDE=FQ","FILING_STATUS=OR","EQY_CONSOLIDATED=Y","Sort=A","Dates=H","DateFormat=P","Fill=—","Direction=H","UseDPDF=Y")</f>
        <v>#NAME?</v>
      </c>
      <c r="BX161" s="2" t="e">
        <f ca="1">_xll.BDH($C$153,"CFO_SEQUENTIAL_GROWTH","FQ3 2015","FQ3 2015","Currency=INR","Period=FQ","BEST_FPERIOD_OVERRIDE=FQ","FILING_STATUS=OR","EQY_CONSOLIDATED=Y","Sort=A","Dates=H","DateFormat=P","Fill=—","Direction=H","UseDPDF=Y")</f>
        <v>#NAME?</v>
      </c>
      <c r="BY161" s="3" t="e">
        <f ca="1">_xll.BDH($C$153,"SHORT_AND_LONG_TERM_DEBT","FQ3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161" s="3" t="e">
        <f ca="1">_xll.BDH($C$153,"BS_ST_BORROW","FQ3 2015","FQ3 2015","Currency=INR","Period=FQ","BEST_FPERIOD_OVERRIDE=FQ","FILING_STATUS=OR","EQY_CONSOLIDATED=Y","SCALING_FORMAT=MLN","Sort=A","Dates=H","DateFormat=P","Fill=—","Direction=H","UseDPDF=Y")</f>
        <v>#NAME?</v>
      </c>
      <c r="CA161" s="3" t="e">
        <f ca="1">_xll.BDH($C$153,"BS_LT_BORROW","FQ3 2015","FQ3 2015","Currency=INR","Period=FQ","BEST_FPERIOD_OVERRIDE=FQ","FILING_STATUS=OR","EQY_CONSOLIDATED=Y","SCALING_FORMAT=MLN","Sort=A","Dates=H","DateFormat=P","Fill=—","Direction=H","UseDPDF=Y")</f>
        <v>#NAME?</v>
      </c>
      <c r="CB161" s="2" t="e">
        <f ca="1">_xll.BDH($C$153,"TOT_DEBT_TO_EBITDA","FQ3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161" s="2" t="e">
        <f ca="1">_xll.BDH($C$153,"NET_DEBT_TO_EBITDA","FQ3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161" s="2" t="e">
        <f ca="1">_xll.BDH($C$153,"TOTAL_DEBT_TO_EBIT","FQ3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161" s="2" t="e">
        <f ca="1">_xll.BDH($C$153,"NET_DEBT_TO_EBIT","FQ3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161" s="2" t="e">
        <f ca="1">_xll.BDH($C$153,"EBITDA_TO_INTEREST_EXPN","FQ3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161" s="2" t="e">
        <f ca="1">_xll.BDH($C$153,"COM_EQY_TO_TOT_ASSET","FQ3 2015","FQ3 2015","Currency=INR","Period=FQ","BEST_FPERIOD_OVERRIDE=FQ","FILING_STATUS=OR","EQY_CONSOLIDATED=Y","Sort=A","Dates=H","DateFormat=P","Fill=—","Direction=H","UseDPDF=Y")</f>
        <v>#NAME?</v>
      </c>
      <c r="CH161" s="2" t="e">
        <f ca="1">_xll.BDH($C$153,"LT_DEBT_TO_TOT_EQY","FQ3 2015","FQ3 2015","Currency=INR","Period=FQ","BEST_FPERIOD_OVERRIDE=FQ","FILING_STATUS=OR","EQY_CONSOLIDATED=Y","Sort=A","Dates=H","DateFormat=P","Fill=—","Direction=H","UseDPDF=Y")</f>
        <v>#NAME?</v>
      </c>
      <c r="CI161" s="2" t="e">
        <f ca="1">_xll.BDH($C$153,"LT_DEBT_TO_TOT_CAP","FQ3 2015","FQ3 2015","Currency=INR","Period=FQ","BEST_FPERIOD_OVERRIDE=FQ","FILING_STATUS=OR","EQY_CONSOLIDATED=Y","Sort=A","Dates=H","DateFormat=P","Fill=—","Direction=H","UseDPDF=Y")</f>
        <v>#NAME?</v>
      </c>
      <c r="CJ161" s="2" t="e">
        <f ca="1">_xll.BDH($C$153,"LT_DEBT_TO_TOT_ASSET","FQ3 2015","FQ3 2015","Currency=INR","Period=FQ","BEST_FPERIOD_OVERRIDE=FQ","FILING_STATUS=OR","EQY_CONSOLIDATED=Y","Sort=A","Dates=H","DateFormat=P","Fill=—","Direction=H","UseDPDF=Y")</f>
        <v>#NAME?</v>
      </c>
      <c r="CK161" s="2" t="e">
        <f ca="1">_xll.BDH($C$153,"TOT_DEBT_TO_TOT_EQY","FQ3 2015","FQ3 2015","Currency=INR","Period=FQ","BEST_FPERIOD_OVERRIDE=FQ","FILING_STATUS=OR","EQY_CONSOLIDATED=Y","Sort=A","Dates=H","DateFormat=P","Fill=—","Direction=H","UseDPDF=Y")</f>
        <v>#NAME?</v>
      </c>
      <c r="CL161" s="2" t="e">
        <f ca="1">_xll.BDH($C$153,"TOT_DEBT_TO_TOT_CAP","FQ3 2015","FQ3 2015","Currency=INR","Period=FQ","BEST_FPERIOD_OVERRIDE=FQ","FILING_STATUS=OR","EQY_CONSOLIDATED=Y","Sort=A","Dates=H","DateFormat=P","Fill=—","Direction=H","UseDPDF=Y")</f>
        <v>#NAME?</v>
      </c>
      <c r="CM161" s="2" t="e">
        <f ca="1">_xll.BDH($C$153,"TOT_DEBT_TO_TOT_ASSET","FQ3 2015","FQ3 2015","Currency=INR","Period=FQ","BEST_FPERIOD_OVERRIDE=FQ","FILING_STATUS=OR","EQY_CONSOLIDATED=Y","Sort=A","Dates=H","DateFormat=P","Fill=—","Direction=H","UseDPDF=Y")</f>
        <v>#NAME?</v>
      </c>
      <c r="CN161" s="2" t="e">
        <f ca="1">_xll.BDH($C$153,"NET_DEBT_TO_SHRHLDR_EQTY","FQ3 2015","FQ3 2015","Currency=INR","Period=FQ","BEST_FPERIOD_OVERRIDE=FQ","FILING_STATUS=OR","EQY_CONSOLIDATED=Y","Sort=A","Dates=H","DateFormat=P","Fill=—","Direction=H","UseDPDF=Y")</f>
        <v>#NAME?</v>
      </c>
      <c r="CO161" s="2" t="e">
        <f ca="1">_xll.BDH($C$153,"NET_DEBT_%_CAPITAL","FQ3 2015","FQ3 2015","Currency=INR","Period=FQ","BEST_FPERIOD_OVERRIDE=FQ","FILING_STATUS=OR","EQY_CONSOLIDATED=Y","Sort=A","Dates=H","DateFormat=P","Fill=—","Direction=H","UseDPDF=Y")</f>
        <v>#NAME?</v>
      </c>
      <c r="CP161" s="3" t="e">
        <f ca="1">_xll.BDH($C$153,"EBITDA","FQ3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161" s="3" t="e">
        <f ca="1">_xll.BDH($C$153,"EBITDA_AFTER_CAPEX","FQ3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161" s="3" t="e">
        <f ca="1">_xll.BDH($C$153,"IS_OPER_INC","FQ3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161" s="2" t="e">
        <f ca="1">_xll.BDH($C$153,"CASH_RATIO","FQ3 2015","FQ3 2015","Currency=INR","Period=FQ","BEST_FPERIOD_OVERRIDE=FQ","FILING_STATUS=OR","EQY_CONSOLIDATED=Y","Sort=A","Dates=H","DateFormat=P","Fill=—","Direction=H","UseDPDF=Y")</f>
        <v>#NAME?</v>
      </c>
      <c r="CT161" s="2" t="e">
        <f ca="1">_xll.BDH($C$153,"CUR_RATIO","FQ3 2015","FQ3 2015","Currency=INR","Period=FQ","BEST_FPERIOD_OVERRIDE=FQ","FILING_STATUS=OR","EQY_CONSOLIDATED=Y","Sort=A","Dates=H","DateFormat=P","Fill=—","Direction=H","UseDPDF=Y")</f>
        <v>#NAME?</v>
      </c>
      <c r="CU161" s="2" t="e">
        <f ca="1">_xll.BDH($C$153,"QUICK_RATIO","FQ3 2015","FQ3 2015","Currency=INR","Period=FQ","BEST_FPERIOD_OVERRIDE=FQ","FILING_STATUS=OR","EQY_CONSOLIDATED=Y","Sort=A","Dates=H","DateFormat=P","Fill=—","Direction=H","UseDPDF=Y")</f>
        <v>#NAME?</v>
      </c>
      <c r="CV161" s="2" t="e">
        <f ca="1">_xll.BDH($C$153,"ALTMAN_Z_SCORE","FQ3 2015","FQ3 2015","Currency=INR","Period=FQ","BEST_FPERIOD_OVERRIDE=FQ","FILING_STATUS=OR","EQY_CONSOLIDATED=Y","Sort=A","Dates=H","DateFormat=P","Fill=—","Direction=H","UseDPDF=Y")</f>
        <v>#NAME?</v>
      </c>
      <c r="CW161" s="4" t="e">
        <f ca="1">_xll.BDH($C$153,"ACCT_RCV_TURN","FQ3 2015","FQ3 2015","Currency=INR","Period=FQ","BEST_FPERIOD_OVERRIDE=FQ","FILING_STATUS=OR","EQY_CONSOLIDATED=Y","FA_ADJUSTED=GAAP","Sort=A","Dates=H","DateFormat=P","Fill=—","Direction=H","UseDPDF=Y")</f>
        <v>#NAME?</v>
      </c>
      <c r="CX161" s="2" t="e">
        <f ca="1">_xll.BDH($C$153,"ACCT_RCV_DAYS","FQ3 2015","FQ3 2015","Currency=INR","Period=FQ","BEST_FPERIOD_OVERRIDE=FQ","FILING_STATUS=OR","EQY_CONSOLIDATED=Y","FA_ADJUSTED=GAAP","Sort=A","Dates=H","DateFormat=P","Fill=—","Direction=H","UseDPDF=Y")</f>
        <v>#NAME?</v>
      </c>
      <c r="CY161" s="4" t="e">
        <f ca="1">_xll.BDH($C$153,"INVENT_TURN","FQ3 2015","FQ3 2015","Currency=INR","Period=FQ","BEST_FPERIOD_OVERRIDE=FQ","FILING_STATUS=OR","EQY_CONSOLIDATED=Y","FA_ADJUSTED=GAAP","Sort=A","Dates=H","DateFormat=P","Fill=—","Direction=H","UseDPDF=Y")</f>
        <v>#NAME?</v>
      </c>
      <c r="CZ161" s="2" t="e">
        <f ca="1">_xll.BDH($C$153,"INVENT_DAYS","FQ3 2015","FQ3 2015","Currency=INR","Period=FQ","BEST_FPERIOD_OVERRIDE=FQ","FILING_STATUS=OR","EQY_CONSOLIDATED=Y","FA_ADJUSTED=GAAP","Sort=A","Dates=H","DateFormat=P","Fill=—","Direction=H","UseDPDF=Y")</f>
        <v>#NAME?</v>
      </c>
      <c r="DA161" s="4" t="e">
        <f ca="1">_xll.BDH($C$153,"ACCOUNTS_PAYABLE_TURNOVER","FQ3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161" s="2" t="e">
        <f ca="1">_xll.BDH($C$153,"ACCOUNTS_PAYABLE_TURNOVER_DAYS","FQ3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161" s="4" t="e">
        <f ca="1">_xll.BDH($C$153,"CASH_CONVERSION_CYCLE","FQ3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161" s="4" t="e">
        <f ca="1">_xll.BDH($C$153,"INV_TO_CASH_DAYS","FQ3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161" s="5" t="e">
        <f ca="1">_xll.BDH($C$153,"BS_INVENTORIES","FQ3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161" s="3" t="e">
        <f ca="1">_xll.BDH($C$153,"INVTRY_RAW_MATERIALS","FQ3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161" s="3" t="e">
        <f ca="1">_xll.BDH($C$153,"INVTRY_IN_PROGRESS","FQ3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161" s="3" t="e">
        <f ca="1">_xll.BDH($C$153,"INVTRY_FINISHED_GOODS","FQ3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161" s="3" t="e">
        <f ca="1">_xll.BDH($C$153,"BS_OTHER_INV","FQ3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162" spans="1:113" x14ac:dyDescent="0.3">
      <c r="A162" s="6"/>
      <c r="B162" s="6"/>
      <c r="C162" s="6"/>
      <c r="D162" s="6"/>
      <c r="E162" t="s">
        <v>81</v>
      </c>
      <c r="F162" t="e">
        <f ca="1">_xll.BDH($C$153,"RETURN_COM_EQY","FQ4 2015","FQ4 2015","Currency=INR","Period=FQ","BEST_FPERIOD_OVERRIDE=FQ","FILING_STATUS=OR","EQY_CONSOLIDATED=Y","FA_ADJUSTED=GAAP","Sort=A","Dates=H","DateFormat=P","Fill=—","Direction=H","UseDPDF=Y")</f>
        <v>#NAME?</v>
      </c>
      <c r="G162" t="e">
        <f ca="1">_xll.BDH($C$153,"RETURN_ON_ASSET","FQ4 2015","FQ4 2015","Currency=INR","Period=FQ","BEST_FPERIOD_OVERRIDE=FQ","FILING_STATUS=OR","EQY_CONSOLIDATED=Y","FA_ADJUSTED=GAAP","Sort=A","Dates=H","DateFormat=P","Fill=—","Direction=H","UseDPDF=Y")</f>
        <v>#NAME?</v>
      </c>
      <c r="H162" t="e">
        <f ca="1">_xll.BDH($C$153,"RETURN_ON_CAP","FQ4 2015","FQ4 2015","Currency=INR","Period=FQ","BEST_FPERIOD_OVERRIDE=FQ","FILING_STATUS=OR","EQY_CONSOLIDATED=Y","FA_ADJUSTED=GAAP","Sort=A","Dates=H","DateFormat=P","Fill=—","Direction=H","UseDPDF=Y")</f>
        <v>#NAME?</v>
      </c>
      <c r="I162" t="e">
        <f ca="1">_xll.BDH($C$153,"RETURN_ON_INV_CAPITAL","FQ4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162" t="e">
        <f ca="1">_xll.BDH($C$153,"EBITDA_TO_REVENUE","FQ4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162" t="e">
        <f ca="1">_xll.BDH($C$153,"OPER_MARGIN","FQ4 2015","FQ4 2015","Currency=INR","Period=FQ","BEST_FPERIOD_OVERRIDE=FQ","FILING_STATUS=OR","EQY_CONSOLIDATED=Y","FA_ADJUSTED=GAAP","Sort=A","Dates=H","DateFormat=P","Fill=—","Direction=H","UseDPDF=Y")</f>
        <v>#NAME?</v>
      </c>
      <c r="L162" t="e">
        <f ca="1">_xll.BDH($C$153,"INCREMENTAL_OPERATING_MARGIN","FQ4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162" t="e">
        <f ca="1">_xll.BDH($C$153,"PRETAX_INC_TO_NET_SALES","FQ4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162" t="e">
        <f ca="1">_xll.BDH($C$153,"INC_BEF_XO_ITEMS_TO_NET_SALES","FQ4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162" t="e">
        <f ca="1">_xll.BDH($C$153,"PROF_MARGIN","FQ4 2015","FQ4 2015","Currency=INR","Period=FQ","BEST_FPERIOD_OVERRIDE=FQ","FILING_STATUS=OR","EQY_CONSOLIDATED=Y","FA_ADJUSTED=GAAP","Sort=A","Dates=H","DateFormat=P","Fill=—","Direction=H","UseDPDF=Y")</f>
        <v>#NAME?</v>
      </c>
      <c r="P162" t="e">
        <f ca="1">_xll.BDH($C$153,"NET_INCOME_TO_COMMON_MARGIN","FQ4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162" t="e">
        <f ca="1">_xll.BDH($C$153,"EFF_TAX_RATE","FQ4 2015","FQ4 2015","Currency=INR","Period=FQ","BEST_FPERIOD_OVERRIDE=FQ","FILING_STATUS=OR","EQY_CONSOLIDATED=Y","FA_ADJUSTED=GAAP","Sort=A","Dates=H","DateFormat=P","Fill=—","Direction=H","UseDPDF=Y")</f>
        <v>#NAME?</v>
      </c>
      <c r="R162" t="e">
        <f ca="1">_xll.BDH($C$153,"DVD_PAYOUT_RATIO","FQ4 2015","FQ4 2015","Currency=INR","Period=FQ","BEST_FPERIOD_OVERRIDE=FQ","FILING_STATUS=OR","EQY_CONSOLIDATED=Y","FA_ADJUSTED=GAAP","Sort=A","Dates=H","DateFormat=P","Fill=—","Direction=H","UseDPDF=Y")</f>
        <v>#NAME?</v>
      </c>
      <c r="S162" t="e">
        <f ca="1">_xll.BDH($C$153,"SUSTAIN_GROWTH_RT","FQ4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162" s="2" t="e">
        <f ca="1">_xll.BDH($C$153,"SALES_GROWTH","FQ4 2015","FQ4 2015","Currency=INR","Period=FQ","BEST_FPERIOD_OVERRIDE=FQ","FILING_STATUS=OR","EQY_CONSOLIDATED=Y","FA_ADJUSTED=GAAP","Sort=A","Dates=H","DateFormat=P","Fill=—","Direction=H","UseDPDF=Y")</f>
        <v>#NAME?</v>
      </c>
      <c r="U162" s="2" t="e">
        <f ca="1">_xll.BDH($C$153,"EBITDA_GROWTH","FQ4 2015","FQ4 2015","Currency=INR","Period=FQ","BEST_FPERIOD_OVERRIDE=FQ","FILING_STATUS=OR","EQY_CONSOLIDATED=Y","FA_ADJUSTED=GAAP","Sort=A","Dates=H","DateFormat=P","Fill=—","Direction=H","UseDPDF=Y")</f>
        <v>#NAME?</v>
      </c>
      <c r="V162" s="2" t="e">
        <f ca="1">_xll.BDH($C$153,"OPER_INC_GROWTH","FQ4 2015","FQ4 2015","Currency=INR","Period=FQ","BEST_FPERIOD_OVERRIDE=FQ","FILING_STATUS=OR","EQY_CONSOLIDATED=Y","FA_ADJUSTED=GAAP","Sort=A","Dates=H","DateFormat=P","Fill=—","Direction=H","UseDPDF=Y")</f>
        <v>#NAME?</v>
      </c>
      <c r="W162" s="2" t="e">
        <f ca="1">_xll.BDH($C$153,"EARN_FOR_COM_GROWTH","FQ4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162" s="2" t="e">
        <f ca="1">_xll.BDH($C$153,"DILUTED_EPS_AFT_XO_ITEMS_GROWTH","FQ4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162" s="2" t="e">
        <f ca="1">_xll.BDH($C$153,"DIVIDEND_PER_SHARE_1_YEAR_GROWTH","FQ4 2015","FQ4 2015","Currency=INR","Period=FQ","BEST_FPERIOD_OVERRIDE=FQ","FILING_STATUS=OR","EQY_CONSOLIDATED=Y","Sort=A","Dates=H","DateFormat=P","Fill=—","Direction=H","UseDPDF=Y")</f>
        <v>#NAME?</v>
      </c>
      <c r="Z162" s="2" t="e">
        <f ca="1">_xll.BDH($C$153,"ACCOUNTS_RECEIVABLE_GROWTH","FQ4 2015","FQ4 2015","Currency=INR","Period=FQ","BEST_FPERIOD_OVERRIDE=FQ","FILING_STATUS=OR","EQY_CONSOLIDATED=Y","Sort=A","Dates=H","DateFormat=P","Fill=—","Direction=H","UseDPDF=Y")</f>
        <v>#NAME?</v>
      </c>
      <c r="AA162" s="2" t="e">
        <f ca="1">_xll.BDH($C$153,"INVENTORY_GROWTH","FQ4 2015","FQ4 2015","Currency=INR","Period=FQ","BEST_FPERIOD_OVERRIDE=FQ","FILING_STATUS=OR","EQY_CONSOLIDATED=Y","Sort=A","Dates=H","DateFormat=P","Fill=—","Direction=H","UseDPDF=Y")</f>
        <v>#NAME?</v>
      </c>
      <c r="AB162" s="2" t="e">
        <f ca="1">_xll.BDH($C$153,"NET_FIXED_ASSETS_1_YEAR_GROWTH","FQ4 2015","FQ4 2015","Currency=INR","Period=FQ","BEST_FPERIOD_OVERRIDE=FQ","FILING_STATUS=OR","EQY_CONSOLIDATED=Y","Sort=A","Dates=H","DateFormat=P","Fill=—","Direction=H","UseDPDF=Y")</f>
        <v>#NAME?</v>
      </c>
      <c r="AC162" s="2" t="e">
        <f ca="1">_xll.BDH($C$153,"ASSET_GROWTH","FQ4 2015","FQ4 2015","Currency=INR","Period=FQ","BEST_FPERIOD_OVERRIDE=FQ","FILING_STATUS=OR","EQY_CONSOLIDATED=Y","Sort=A","Dates=H","DateFormat=P","Fill=—","Direction=H","UseDPDF=Y")</f>
        <v>#NAME?</v>
      </c>
      <c r="AD162" s="2" t="e">
        <f ca="1">_xll.BDH($C$153,"MODIFIED_WORK_CAP_GROWTH","FQ4 2015","FQ4 2015","Currency=INR","Period=FQ","BEST_FPERIOD_OVERRIDE=FQ","FILING_STATUS=OR","EQY_CONSOLIDATED=Y","Sort=A","Dates=H","DateFormat=P","Fill=—","Direction=H","UseDPDF=Y")</f>
        <v>#NAME?</v>
      </c>
      <c r="AE162" s="2" t="e">
        <f ca="1">_xll.BDH($C$153,"WORK_CAP_GROWTH","FQ4 2015","FQ4 2015","Currency=INR","Period=FQ","BEST_FPERIOD_OVERRIDE=FQ","FILING_STATUS=OR","EQY_CONSOLIDATED=Y","Sort=A","Dates=H","DateFormat=P","Fill=—","Direction=H","UseDPDF=Y")</f>
        <v>#NAME?</v>
      </c>
      <c r="AF162" s="2" t="e">
        <f ca="1">_xll.BDH($C$153,"ACCOUNTS_PAYABLE_GROWTH_1YR","FQ4 2015","FQ4 2015","Currency=INR","Period=FQ","BEST_FPERIOD_OVERRIDE=FQ","FILING_STATUS=OR","EQY_CONSOLIDATED=Y","Sort=A","Dates=H","DateFormat=P","Fill=—","Direction=H","UseDPDF=Y")</f>
        <v>#NAME?</v>
      </c>
      <c r="AG162" s="2" t="e">
        <f ca="1">_xll.BDH($C$153,"SHORT_TERM_DEBT_1_YEAR_GROWTH","FQ4 2015","FQ4 2015","Currency=INR","Period=FQ","BEST_FPERIOD_OVERRIDE=FQ","FILING_STATUS=OR","EQY_CONSOLIDATED=Y","Sort=A","Dates=H","DateFormat=P","Fill=—","Direction=H","UseDPDF=Y")</f>
        <v>#NAME?</v>
      </c>
      <c r="AH162" s="2" t="e">
        <f ca="1">_xll.BDH($C$153,"TOTAL_DEBT_1_YEAR_GROWTH","FQ4 2015","FQ4 2015","Currency=INR","Period=FQ","BEST_FPERIOD_OVERRIDE=FQ","FILING_STATUS=OR","EQY_CONSOLIDATED=Y","Sort=A","Dates=H","DateFormat=P","Fill=—","Direction=H","UseDPDF=Y")</f>
        <v>#NAME?</v>
      </c>
      <c r="AI162" s="2" t="e">
        <f ca="1">_xll.BDH($C$153,"TOTAL_EQUITY_1_YEAR_GROWTH","FQ4 2015","FQ4 2015","Currency=INR","Period=FQ","BEST_FPERIOD_OVERRIDE=FQ","FILING_STATUS=OR","EQY_CONSOLIDATED=Y","Sort=A","Dates=H","DateFormat=P","Fill=—","Direction=H","UseDPDF=Y")</f>
        <v>#NAME?</v>
      </c>
      <c r="AJ162" s="2" t="e">
        <f ca="1">_xll.BDH($C$153,"GROWTH_IN_CAP","FQ4 2015","FQ4 2015","Currency=INR","Period=FQ","BEST_FPERIOD_OVERRIDE=FQ","FILING_STATUS=OR","EQY_CONSOLIDATED=Y","Sort=A","Dates=H","DateFormat=P","Fill=—","Direction=H","UseDPDF=Y")</f>
        <v>#NAME?</v>
      </c>
      <c r="AK162" s="2" t="e">
        <f ca="1">_xll.BDH($C$153,"BVPS_GROWTH","FQ4 2015","FQ4 2015","Currency=INR","Period=FQ","BEST_FPERIOD_OVERRIDE=FQ","FILING_STATUS=OR","EQY_CONSOLIDATED=Y","Sort=A","Dates=H","DateFormat=P","Fill=—","Direction=H","UseDPDF=Y")</f>
        <v>#NAME?</v>
      </c>
      <c r="AL162" s="2" t="e">
        <f ca="1">_xll.BDH($C$153,"CASH_FLOW_GROWTH","FQ4 2015","FQ4 2015","Currency=INR","Period=FQ","BEST_FPERIOD_OVERRIDE=FQ","FILING_STATUS=OR","EQY_CONSOLIDATED=Y","Sort=A","Dates=H","DateFormat=P","Fill=—","Direction=H","UseDPDF=Y")</f>
        <v>#NAME?</v>
      </c>
      <c r="AM162" s="2" t="e">
        <f ca="1">_xll.BDH($C$153,"GEO_GROW_NET_SALES","FQ4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162" s="2" t="e">
        <f ca="1">_xll.BDH($C$153,"GEO_GROW_EBITDA","FQ4 2015","FQ4 2015","Currency=INR","Period=FQ","BEST_FPERIOD_OVERRIDE=FQ","FILING_STATUS=OR","EQY_CONSOLIDATED=Y","FA_ADJUSTED=GAAP","Sort=A","Dates=H","DateFormat=P","Fill=—","Direction=H","UseDPDF=Y")</f>
        <v>#NAME?</v>
      </c>
      <c r="AO162" s="2" t="e">
        <f ca="1">_xll.BDH($C$153,"GEO_GROW_OPER_INC","FQ4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162" s="2" t="e">
        <f ca="1">_xll.BDH($C$153,"NET_INCOME_TO_COMMON_5_YR_GROWTH","FQ4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162" s="2" t="e">
        <f ca="1">_xll.BDH($C$153,"5Y_GEO_GROWTH_DILUTED_EPS","FQ4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162" s="2" t="e">
        <f ca="1">_xll.BDH($C$153,"GEO_GROW_DVD_PER_SH","FQ4 2015","FQ4 2015","Currency=INR","Period=FQ","BEST_FPERIOD_OVERRIDE=FQ","FILING_STATUS=OR","EQY_CONSOLIDATED=Y","Sort=A","Dates=H","DateFormat=P","Fill=—","Direction=H","UseDPDF=Y")</f>
        <v>#NAME?</v>
      </c>
      <c r="AS162" s="2" t="e">
        <f ca="1">_xll.BDH($C$153,"ACCOUNTS_RECEIVABLE_5_YR_GROWTH","FQ4 2015","FQ4 2015","Currency=INR","Period=FQ","BEST_FPERIOD_OVERRIDE=FQ","FILING_STATUS=OR","EQY_CONSOLIDATED=Y","Sort=A","Dates=H","DateFormat=P","Fill=—","Direction=H","UseDPDF=Y")</f>
        <v>#NAME?</v>
      </c>
      <c r="AT162" s="2" t="e">
        <f ca="1">_xll.BDH($C$153,"INVENTORY_5_YEAR_GROWTH","FQ4 2015","FQ4 2015","Currency=INR","Period=FQ","BEST_FPERIOD_OVERRIDE=FQ","FILING_STATUS=OR","EQY_CONSOLIDATED=Y","Sort=A","Dates=H","DateFormat=P","Fill=—","Direction=H","UseDPDF=Y")</f>
        <v>#NAME?</v>
      </c>
      <c r="AU162" s="2" t="e">
        <f ca="1">_xll.BDH($C$153,"NET_FIXED_ASSETS_5_YEAR_GROWTH","FQ4 2015","FQ4 2015","Currency=INR","Period=FQ","BEST_FPERIOD_OVERRIDE=FQ","FILING_STATUS=OR","EQY_CONSOLIDATED=Y","Sort=A","Dates=H","DateFormat=P","Fill=—","Direction=H","UseDPDF=Y")</f>
        <v>#NAME?</v>
      </c>
      <c r="AV162" s="2" t="e">
        <f ca="1">_xll.BDH($C$153,"GEO_GROW_TOT_ASSET","FQ4 2015","FQ4 2015","Currency=INR","Period=FQ","BEST_FPERIOD_OVERRIDE=FQ","FILING_STATUS=OR","EQY_CONSOLIDATED=Y","Sort=A","Dates=H","DateFormat=P","Fill=—","Direction=H","UseDPDF=Y")</f>
        <v>#NAME?</v>
      </c>
      <c r="AW162" s="2" t="e">
        <f ca="1">_xll.BDH($C$153,"MODIFIED_WORKING_CPTL_5YR_GRWTH","FQ4 2015","FQ4 2015","Currency=INR","Period=FQ","BEST_FPERIOD_OVERRIDE=FQ","FILING_STATUS=OR","EQY_CONSOLIDATED=Y","Sort=A","Dates=H","DateFormat=P","Fill=—","Direction=H","UseDPDF=Y")</f>
        <v>#NAME?</v>
      </c>
      <c r="AX162" s="2" t="e">
        <f ca="1">_xll.BDH($C$153,"WORKING_CAPITAL_5_YEAR_GROWTH","FQ4 2015","FQ4 2015","Currency=INR","Period=FQ","BEST_FPERIOD_OVERRIDE=FQ","FILING_STATUS=OR","EQY_CONSOLIDATED=Y","Sort=A","Dates=H","DateFormat=P","Fill=—","Direction=H","UseDPDF=Y")</f>
        <v>#NAME?</v>
      </c>
      <c r="AY162" s="2" t="e">
        <f ca="1">_xll.BDH($C$153,"ACCOUNTS_PAYABLE_5_YEAR_GROWTH","FQ4 2015","FQ4 2015","Currency=INR","Period=FQ","BEST_FPERIOD_OVERRIDE=FQ","FILING_STATUS=OR","EQY_CONSOLIDATED=Y","Sort=A","Dates=H","DateFormat=P","Fill=—","Direction=H","UseDPDF=Y")</f>
        <v>#NAME?</v>
      </c>
      <c r="AZ162" s="2" t="e">
        <f ca="1">_xll.BDH($C$153,"SHORT_TERM_DEBT_5_YEAR_GROWTH","FQ4 2015","FQ4 2015","Currency=INR","Period=FQ","BEST_FPERIOD_OVERRIDE=FQ","FILING_STATUS=OR","EQY_CONSOLIDATED=Y","Sort=A","Dates=H","DateFormat=P","Fill=—","Direction=H","UseDPDF=Y")</f>
        <v>#NAME?</v>
      </c>
      <c r="BA162" s="2" t="e">
        <f ca="1">_xll.BDH($C$153,"TOTAL_DEBT_5_YEAR_GROWTH","FQ4 2015","FQ4 2015","Currency=INR","Period=FQ","BEST_FPERIOD_OVERRIDE=FQ","FILING_STATUS=OR","EQY_CONSOLIDATED=Y","Sort=A","Dates=H","DateFormat=P","Fill=—","Direction=H","UseDPDF=Y")</f>
        <v>#NAME?</v>
      </c>
      <c r="BB162" s="2" t="e">
        <f ca="1">_xll.BDH($C$153,"GEO_GROW_TOT_SHRHLDR_EQY","FQ4 2015","FQ4 2015","Currency=INR","Period=FQ","BEST_FPERIOD_OVERRIDE=FQ","FILING_STATUS=OR","EQY_CONSOLIDATED=Y","Sort=A","Dates=H","DateFormat=P","Fill=—","Direction=H","UseDPDF=Y")</f>
        <v>#NAME?</v>
      </c>
      <c r="BC162" s="2" t="e">
        <f ca="1">_xll.BDH($C$153,"TOTAL_CAPITAL_5_YEAR_GROWTH","FQ4 2015","FQ4 2015","Currency=INR","Period=FQ","BEST_FPERIOD_OVERRIDE=FQ","FILING_STATUS=OR","EQY_CONSOLIDATED=Y","Sort=A","Dates=H","DateFormat=P","Fill=—","Direction=H","UseDPDF=Y")</f>
        <v>#NAME?</v>
      </c>
      <c r="BD162" s="2" t="e">
        <f ca="1">_xll.BDH($C$153,"GEO_GROW_BOOK_VAL","FQ4 2015","FQ4 2015","Currency=INR","Period=FQ","BEST_FPERIOD_OVERRIDE=FQ","FILING_STATUS=OR","EQY_CONSOLIDATED=Y","Sort=A","Dates=H","DateFormat=P","Fill=—","Direction=H","UseDPDF=Y")</f>
        <v>#NAME?</v>
      </c>
      <c r="BE162" s="2" t="e">
        <f ca="1">_xll.BDH($C$153,"GEO_GROW_CASH_OPER_ACT","FQ4 2015","FQ4 2015","Currency=INR","Period=FQ","BEST_FPERIOD_OVERRIDE=FQ","FILING_STATUS=OR","EQY_CONSOLIDATED=Y","Sort=A","Dates=H","DateFormat=P","Fill=—","Direction=H","UseDPDF=Y")</f>
        <v>#NAME?</v>
      </c>
      <c r="BF162" s="2" t="e">
        <f ca="1">_xll.BDH($C$153,"REVENUE_SEQUENTIAL_GROWTH","FQ4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162" s="2" t="e">
        <f ca="1">_xll.BDH($C$153,"EBITDA_SEQUENTIAL_GROWTH","FQ4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162" s="2" t="e">
        <f ca="1">_xll.BDH($C$153,"OPERATING_INCOME_SEQ_GROWTH","FQ4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162" s="2" t="e">
        <f ca="1">_xll.BDH($C$153,"NET_INCOME_TO_COMMON_SEQ_GROWTH","FQ4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162" s="2" t="e">
        <f ca="1">_xll.BDH($C$153,"EPS_DILUTED_SEQUENTIAL_GROWTH","FQ4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162" s="2" t="e">
        <f ca="1">_xll.BDH($C$153,"DPS_SEQUENTIAL_GROWTH","FQ4 2015","FQ4 2015","Currency=INR","Period=FQ","BEST_FPERIOD_OVERRIDE=FQ","FILING_STATUS=OR","EQY_CONSOLIDATED=Y","Sort=A","Dates=H","DateFormat=P","Fill=—","Direction=H","UseDPDF=Y")</f>
        <v>#NAME?</v>
      </c>
      <c r="BL162" s="2" t="e">
        <f ca="1">_xll.BDH($C$153,"ACCOUNTS_RECEIVABLE_SEQ_GROWTH","FQ4 2015","FQ4 2015","Currency=INR","Period=FQ","BEST_FPERIOD_OVERRIDE=FQ","FILING_STATUS=OR","EQY_CONSOLIDATED=Y","Sort=A","Dates=H","DateFormat=P","Fill=—","Direction=H","UseDPDF=Y")</f>
        <v>#NAME?</v>
      </c>
      <c r="BM162" s="2" t="e">
        <f ca="1">_xll.BDH($C$153,"INVENTORY_SEQUENTIAL_GROWTH","FQ4 2015","FQ4 2015","Currency=INR","Period=FQ","BEST_FPERIOD_OVERRIDE=FQ","FILING_STATUS=OR","EQY_CONSOLIDATED=Y","Sort=A","Dates=H","DateFormat=P","Fill=—","Direction=H","UseDPDF=Y")</f>
        <v>#NAME?</v>
      </c>
      <c r="BN162" s="2" t="e">
        <f ca="1">_xll.BDH($C$153,"FIXED_ASSETS_SEQUENTIAL_GROWTH","FQ4 2015","FQ4 2015","Currency=INR","Period=FQ","BEST_FPERIOD_OVERRIDE=FQ","FILING_STATUS=OR","EQY_CONSOLIDATED=Y","Sort=A","Dates=H","DateFormat=P","Fill=—","Direction=H","UseDPDF=Y")</f>
        <v>#NAME?</v>
      </c>
      <c r="BO162" s="2" t="e">
        <f ca="1">_xll.BDH($C$153,"TOTAL_ASSETS_SEQUENTIAL_GROWTH","FQ4 2015","FQ4 2015","Currency=INR","Period=FQ","BEST_FPERIOD_OVERRIDE=FQ","FILING_STATUS=OR","EQY_CONSOLIDATED=Y","Sort=A","Dates=H","DateFormat=P","Fill=—","Direction=H","UseDPDF=Y")</f>
        <v>#NAME?</v>
      </c>
      <c r="BP162" s="2" t="e">
        <f ca="1">_xll.BDH($C$153,"MODIFIED_WORKING_CPTL_SEQ_GRWTH","FQ4 2015","FQ4 2015","Currency=INR","Period=FQ","BEST_FPERIOD_OVERRIDE=FQ","FILING_STATUS=OR","EQY_CONSOLIDATED=Y","Sort=A","Dates=H","DateFormat=P","Fill=—","Direction=H","UseDPDF=Y")</f>
        <v>#NAME?</v>
      </c>
      <c r="BQ162" s="2" t="e">
        <f ca="1">_xll.BDH($C$153,"WORKING_CAPITAL_SEQ_GROWTH","FQ4 2015","FQ4 2015","Currency=INR","Period=FQ","BEST_FPERIOD_OVERRIDE=FQ","FILING_STATUS=OR","EQY_CONSOLIDATED=Y","Sort=A","Dates=H","DateFormat=P","Fill=—","Direction=H","UseDPDF=Y")</f>
        <v>#NAME?</v>
      </c>
      <c r="BR162" s="2" t="e">
        <f ca="1">_xll.BDH($C$153,"ACCOUNTS_PAYABLE_SEQ_GROWTH","FQ4 2015","FQ4 2015","Currency=INR","Period=FQ","BEST_FPERIOD_OVERRIDE=FQ","FILING_STATUS=OR","EQY_CONSOLIDATED=Y","Sort=A","Dates=H","DateFormat=P","Fill=—","Direction=H","UseDPDF=Y")</f>
        <v>#NAME?</v>
      </c>
      <c r="BS162" s="2" t="e">
        <f ca="1">_xll.BDH($C$153,"ST_DEBT_SEQUENTIAL_GROWTH","FQ4 2015","FQ4 2015","Currency=INR","Period=FQ","BEST_FPERIOD_OVERRIDE=FQ","FILING_STATUS=OR","EQY_CONSOLIDATED=Y","Sort=A","Dates=H","DateFormat=P","Fill=—","Direction=H","UseDPDF=Y")</f>
        <v>#NAME?</v>
      </c>
      <c r="BT162" s="2" t="e">
        <f ca="1">_xll.BDH($C$153,"TOTAL_DEBT_SEQUENTIAL_GROWTH","FQ4 2015","FQ4 2015","Currency=INR","Period=FQ","BEST_FPERIOD_OVERRIDE=FQ","FILING_STATUS=OR","EQY_CONSOLIDATED=Y","Sort=A","Dates=H","DateFormat=P","Fill=—","Direction=H","UseDPDF=Y")</f>
        <v>#NAME?</v>
      </c>
      <c r="BU162" s="2" t="e">
        <f ca="1">_xll.BDH($C$153,"TOTAL_EQUITY_SEQUENTIAL_GROWTH","FQ4 2015","FQ4 2015","Currency=INR","Period=FQ","BEST_FPERIOD_OVERRIDE=FQ","FILING_STATUS=OR","EQY_CONSOLIDATED=Y","Sort=A","Dates=H","DateFormat=P","Fill=—","Direction=H","UseDPDF=Y")</f>
        <v>#NAME?</v>
      </c>
      <c r="BV162" s="2" t="e">
        <f ca="1">_xll.BDH($C$153,"TOTAL_CAPITAL_SEQUENTIAL_GROWTH","FQ4 2015","FQ4 2015","Currency=INR","Period=FQ","BEST_FPERIOD_OVERRIDE=FQ","FILING_STATUS=OR","EQY_CONSOLIDATED=Y","Sort=A","Dates=H","DateFormat=P","Fill=—","Direction=H","UseDPDF=Y")</f>
        <v>#NAME?</v>
      </c>
      <c r="BW162" s="2" t="e">
        <f ca="1">_xll.BDH($C$153,"BPS_SEQUENTIAL_GROWTH","FQ4 2015","FQ4 2015","Currency=INR","Period=FQ","BEST_FPERIOD_OVERRIDE=FQ","FILING_STATUS=OR","EQY_CONSOLIDATED=Y","Sort=A","Dates=H","DateFormat=P","Fill=—","Direction=H","UseDPDF=Y")</f>
        <v>#NAME?</v>
      </c>
      <c r="BX162" s="2" t="e">
        <f ca="1">_xll.BDH($C$153,"CFO_SEQUENTIAL_GROWTH","FQ4 2015","FQ4 2015","Currency=INR","Period=FQ","BEST_FPERIOD_OVERRIDE=FQ","FILING_STATUS=OR","EQY_CONSOLIDATED=Y","Sort=A","Dates=H","DateFormat=P","Fill=—","Direction=H","UseDPDF=Y")</f>
        <v>#NAME?</v>
      </c>
      <c r="BY162" s="3" t="e">
        <f ca="1">_xll.BDH($C$153,"SHORT_AND_LONG_TERM_DEBT","FQ4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162" s="3" t="e">
        <f ca="1">_xll.BDH($C$153,"BS_ST_BORROW","FQ4 2015","FQ4 2015","Currency=INR","Period=FQ","BEST_FPERIOD_OVERRIDE=FQ","FILING_STATUS=OR","EQY_CONSOLIDATED=Y","SCALING_FORMAT=MLN","Sort=A","Dates=H","DateFormat=P","Fill=—","Direction=H","UseDPDF=Y")</f>
        <v>#NAME?</v>
      </c>
      <c r="CA162" s="3" t="e">
        <f ca="1">_xll.BDH($C$153,"BS_LT_BORROW","FQ4 2015","FQ4 2015","Currency=INR","Period=FQ","BEST_FPERIOD_OVERRIDE=FQ","FILING_STATUS=OR","EQY_CONSOLIDATED=Y","SCALING_FORMAT=MLN","Sort=A","Dates=H","DateFormat=P","Fill=—","Direction=H","UseDPDF=Y")</f>
        <v>#NAME?</v>
      </c>
      <c r="CB162" s="2" t="e">
        <f ca="1">_xll.BDH($C$153,"TOT_DEBT_TO_EBITDA","FQ4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162" s="2" t="e">
        <f ca="1">_xll.BDH($C$153,"NET_DEBT_TO_EBITDA","FQ4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162" s="2" t="e">
        <f ca="1">_xll.BDH($C$153,"TOTAL_DEBT_TO_EBIT","FQ4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162" s="2" t="e">
        <f ca="1">_xll.BDH($C$153,"NET_DEBT_TO_EBIT","FQ4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162" s="2" t="e">
        <f ca="1">_xll.BDH($C$153,"EBITDA_TO_INTEREST_EXPN","FQ4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162" s="2" t="e">
        <f ca="1">_xll.BDH($C$153,"COM_EQY_TO_TOT_ASSET","FQ4 2015","FQ4 2015","Currency=INR","Period=FQ","BEST_FPERIOD_OVERRIDE=FQ","FILING_STATUS=OR","EQY_CONSOLIDATED=Y","Sort=A","Dates=H","DateFormat=P","Fill=—","Direction=H","UseDPDF=Y")</f>
        <v>#NAME?</v>
      </c>
      <c r="CH162" s="2" t="e">
        <f ca="1">_xll.BDH($C$153,"LT_DEBT_TO_TOT_EQY","FQ4 2015","FQ4 2015","Currency=INR","Period=FQ","BEST_FPERIOD_OVERRIDE=FQ","FILING_STATUS=OR","EQY_CONSOLIDATED=Y","Sort=A","Dates=H","DateFormat=P","Fill=—","Direction=H","UseDPDF=Y")</f>
        <v>#NAME?</v>
      </c>
      <c r="CI162" s="2" t="e">
        <f ca="1">_xll.BDH($C$153,"LT_DEBT_TO_TOT_CAP","FQ4 2015","FQ4 2015","Currency=INR","Period=FQ","BEST_FPERIOD_OVERRIDE=FQ","FILING_STATUS=OR","EQY_CONSOLIDATED=Y","Sort=A","Dates=H","DateFormat=P","Fill=—","Direction=H","UseDPDF=Y")</f>
        <v>#NAME?</v>
      </c>
      <c r="CJ162" s="2" t="e">
        <f ca="1">_xll.BDH($C$153,"LT_DEBT_TO_TOT_ASSET","FQ4 2015","FQ4 2015","Currency=INR","Period=FQ","BEST_FPERIOD_OVERRIDE=FQ","FILING_STATUS=OR","EQY_CONSOLIDATED=Y","Sort=A","Dates=H","DateFormat=P","Fill=—","Direction=H","UseDPDF=Y")</f>
        <v>#NAME?</v>
      </c>
      <c r="CK162" s="2" t="e">
        <f ca="1">_xll.BDH($C$153,"TOT_DEBT_TO_TOT_EQY","FQ4 2015","FQ4 2015","Currency=INR","Period=FQ","BEST_FPERIOD_OVERRIDE=FQ","FILING_STATUS=OR","EQY_CONSOLIDATED=Y","Sort=A","Dates=H","DateFormat=P","Fill=—","Direction=H","UseDPDF=Y")</f>
        <v>#NAME?</v>
      </c>
      <c r="CL162" s="2" t="e">
        <f ca="1">_xll.BDH($C$153,"TOT_DEBT_TO_TOT_CAP","FQ4 2015","FQ4 2015","Currency=INR","Period=FQ","BEST_FPERIOD_OVERRIDE=FQ","FILING_STATUS=OR","EQY_CONSOLIDATED=Y","Sort=A","Dates=H","DateFormat=P","Fill=—","Direction=H","UseDPDF=Y")</f>
        <v>#NAME?</v>
      </c>
      <c r="CM162" s="2" t="e">
        <f ca="1">_xll.BDH($C$153,"TOT_DEBT_TO_TOT_ASSET","FQ4 2015","FQ4 2015","Currency=INR","Period=FQ","BEST_FPERIOD_OVERRIDE=FQ","FILING_STATUS=OR","EQY_CONSOLIDATED=Y","Sort=A","Dates=H","DateFormat=P","Fill=—","Direction=H","UseDPDF=Y")</f>
        <v>#NAME?</v>
      </c>
      <c r="CN162" s="2" t="e">
        <f ca="1">_xll.BDH($C$153,"NET_DEBT_TO_SHRHLDR_EQTY","FQ4 2015","FQ4 2015","Currency=INR","Period=FQ","BEST_FPERIOD_OVERRIDE=FQ","FILING_STATUS=OR","EQY_CONSOLIDATED=Y","Sort=A","Dates=H","DateFormat=P","Fill=—","Direction=H","UseDPDF=Y")</f>
        <v>#NAME?</v>
      </c>
      <c r="CO162" s="2" t="e">
        <f ca="1">_xll.BDH($C$153,"NET_DEBT_%_CAPITAL","FQ4 2015","FQ4 2015","Currency=INR","Period=FQ","BEST_FPERIOD_OVERRIDE=FQ","FILING_STATUS=OR","EQY_CONSOLIDATED=Y","Sort=A","Dates=H","DateFormat=P","Fill=—","Direction=H","UseDPDF=Y")</f>
        <v>#NAME?</v>
      </c>
      <c r="CP162" s="3" t="e">
        <f ca="1">_xll.BDH($C$153,"EBITDA","FQ4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162" s="3" t="e">
        <f ca="1">_xll.BDH($C$153,"EBITDA_AFTER_CAPEX","FQ4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162" s="3" t="e">
        <f ca="1">_xll.BDH($C$153,"IS_OPER_INC","FQ4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162" s="2" t="e">
        <f ca="1">_xll.BDH($C$153,"CASH_RATIO","FQ4 2015","FQ4 2015","Currency=INR","Period=FQ","BEST_FPERIOD_OVERRIDE=FQ","FILING_STATUS=OR","EQY_CONSOLIDATED=Y","Sort=A","Dates=H","DateFormat=P","Fill=—","Direction=H","UseDPDF=Y")</f>
        <v>#NAME?</v>
      </c>
      <c r="CT162" s="2" t="e">
        <f ca="1">_xll.BDH($C$153,"CUR_RATIO","FQ4 2015","FQ4 2015","Currency=INR","Period=FQ","BEST_FPERIOD_OVERRIDE=FQ","FILING_STATUS=OR","EQY_CONSOLIDATED=Y","Sort=A","Dates=H","DateFormat=P","Fill=—","Direction=H","UseDPDF=Y")</f>
        <v>#NAME?</v>
      </c>
      <c r="CU162" s="2" t="e">
        <f ca="1">_xll.BDH($C$153,"QUICK_RATIO","FQ4 2015","FQ4 2015","Currency=INR","Period=FQ","BEST_FPERIOD_OVERRIDE=FQ","FILING_STATUS=OR","EQY_CONSOLIDATED=Y","Sort=A","Dates=H","DateFormat=P","Fill=—","Direction=H","UseDPDF=Y")</f>
        <v>#NAME?</v>
      </c>
      <c r="CV162" s="2" t="e">
        <f ca="1">_xll.BDH($C$153,"ALTMAN_Z_SCORE","FQ4 2015","FQ4 2015","Currency=INR","Period=FQ","BEST_FPERIOD_OVERRIDE=FQ","FILING_STATUS=OR","EQY_CONSOLIDATED=Y","Sort=A","Dates=H","DateFormat=P","Fill=—","Direction=H","UseDPDF=Y")</f>
        <v>#NAME?</v>
      </c>
      <c r="CW162" s="4" t="e">
        <f ca="1">_xll.BDH($C$153,"ACCT_RCV_TURN","FQ4 2015","FQ4 2015","Currency=INR","Period=FQ","BEST_FPERIOD_OVERRIDE=FQ","FILING_STATUS=OR","EQY_CONSOLIDATED=Y","FA_ADJUSTED=GAAP","Sort=A","Dates=H","DateFormat=P","Fill=—","Direction=H","UseDPDF=Y")</f>
        <v>#NAME?</v>
      </c>
      <c r="CX162" s="2" t="e">
        <f ca="1">_xll.BDH($C$153,"ACCT_RCV_DAYS","FQ4 2015","FQ4 2015","Currency=INR","Period=FQ","BEST_FPERIOD_OVERRIDE=FQ","FILING_STATUS=OR","EQY_CONSOLIDATED=Y","FA_ADJUSTED=GAAP","Sort=A","Dates=H","DateFormat=P","Fill=—","Direction=H","UseDPDF=Y")</f>
        <v>#NAME?</v>
      </c>
      <c r="CY162" s="4" t="e">
        <f ca="1">_xll.BDH($C$153,"INVENT_TURN","FQ4 2015","FQ4 2015","Currency=INR","Period=FQ","BEST_FPERIOD_OVERRIDE=FQ","FILING_STATUS=OR","EQY_CONSOLIDATED=Y","FA_ADJUSTED=GAAP","Sort=A","Dates=H","DateFormat=P","Fill=—","Direction=H","UseDPDF=Y")</f>
        <v>#NAME?</v>
      </c>
      <c r="CZ162" s="2" t="e">
        <f ca="1">_xll.BDH($C$153,"INVENT_DAYS","FQ4 2015","FQ4 2015","Currency=INR","Period=FQ","BEST_FPERIOD_OVERRIDE=FQ","FILING_STATUS=OR","EQY_CONSOLIDATED=Y","FA_ADJUSTED=GAAP","Sort=A","Dates=H","DateFormat=P","Fill=—","Direction=H","UseDPDF=Y")</f>
        <v>#NAME?</v>
      </c>
      <c r="DA162" s="4" t="e">
        <f ca="1">_xll.BDH($C$153,"ACCOUNTS_PAYABLE_TURNOVER","FQ4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162" s="2" t="e">
        <f ca="1">_xll.BDH($C$153,"ACCOUNTS_PAYABLE_TURNOVER_DAYS","FQ4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162" s="4" t="e">
        <f ca="1">_xll.BDH($C$153,"CASH_CONVERSION_CYCLE","FQ4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162" s="4" t="e">
        <f ca="1">_xll.BDH($C$153,"INV_TO_CASH_DAYS","FQ4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162" s="5" t="e">
        <f ca="1">_xll.BDH($C$153,"BS_INVENTORIES","FQ4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162" s="3" t="e">
        <f ca="1">_xll.BDH($C$153,"INVTRY_RAW_MATERIALS","FQ4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162" s="3" t="e">
        <f ca="1">_xll.BDH($C$153,"INVTRY_IN_PROGRESS","FQ4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162" s="3" t="e">
        <f ca="1">_xll.BDH($C$153,"INVTRY_FINISHED_GOODS","FQ4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162" s="3" t="e">
        <f ca="1">_xll.BDH($C$153,"BS_OTHER_INV","FQ4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163" spans="1:113" x14ac:dyDescent="0.3">
      <c r="A163" s="6"/>
      <c r="B163" s="6"/>
      <c r="C163" s="6"/>
      <c r="D163" s="6" t="s">
        <v>83</v>
      </c>
      <c r="E163" t="s">
        <v>77</v>
      </c>
      <c r="F163" t="e">
        <f ca="1">_xll.BDH($C$153,"RETURN_COM_EQY","FY 2016","FY 2016","Currency=INR","Period=FY","BEST_FPERIOD_OVERRIDE=FY","FILING_STATUS=OR","EQY_CONSOLIDATED=Y","FA_ADJUSTED=GAAP","Sort=A","Dates=H","DateFormat=P","Fill=—","Direction=H","UseDPDF=Y")</f>
        <v>#NAME?</v>
      </c>
      <c r="G163" t="e">
        <f ca="1">_xll.BDH($C$153,"RETURN_ON_ASSET","FY 2016","FY 2016","Currency=INR","Period=FY","BEST_FPERIOD_OVERRIDE=FY","FILING_STATUS=OR","EQY_CONSOLIDATED=Y","FA_ADJUSTED=GAAP","Sort=A","Dates=H","DateFormat=P","Fill=—","Direction=H","UseDPDF=Y")</f>
        <v>#NAME?</v>
      </c>
      <c r="H163" t="e">
        <f ca="1">_xll.BDH($C$153,"RETURN_ON_CAP","FY 2016","FY 2016","Currency=INR","Period=FY","BEST_FPERIOD_OVERRIDE=FY","FILING_STATUS=OR","EQY_CONSOLIDATED=Y","FA_ADJUSTED=GAAP","Sort=A","Dates=H","DateFormat=P","Fill=—","Direction=H","UseDPDF=Y")</f>
        <v>#NAME?</v>
      </c>
      <c r="I163" t="e">
        <f ca="1">_xll.BDH($C$153,"RETURN_ON_INV_CAPITAL","FY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163" t="e">
        <f ca="1">_xll.BDH($C$153,"EBITDA_TO_REVENUE","FY 2016","FY 2016","Currency=INR","Period=FY","BEST_FPERIOD_OVERRIDE=FY","FILING_STATUS=OR","EQY_CONSOLIDATED=Y","FA_ADJUSTED=GAAP","Sort=A","Dates=H","DateFormat=P","Fill=—","Direction=H","UseDPDF=Y")</f>
        <v>#NAME?</v>
      </c>
      <c r="K163" t="e">
        <f ca="1">_xll.BDH($C$153,"OPER_MARGIN","FY 2016","FY 2016","Currency=INR","Period=FY","BEST_FPERIOD_OVERRIDE=FY","FILING_STATUS=OR","EQY_CONSOLIDATED=Y","FA_ADJUSTED=GAAP","Sort=A","Dates=H","DateFormat=P","Fill=—","Direction=H","UseDPDF=Y")</f>
        <v>#NAME?</v>
      </c>
      <c r="L163" t="e">
        <f ca="1">_xll.BDH($C$153,"INCREMENTAL_OPERATING_MARGIN","FY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163" t="e">
        <f ca="1">_xll.BDH($C$153,"PRETAX_INC_TO_NET_SALES","FY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163" t="e">
        <f ca="1">_xll.BDH($C$153,"INC_BEF_XO_ITEMS_TO_NET_SALES","FY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163" t="e">
        <f ca="1">_xll.BDH($C$153,"PROF_MARGIN","FY 2016","FY 2016","Currency=INR","Period=FY","BEST_FPERIOD_OVERRIDE=FY","FILING_STATUS=OR","EQY_CONSOLIDATED=Y","FA_ADJUSTED=GAAP","Sort=A","Dates=H","DateFormat=P","Fill=—","Direction=H","UseDPDF=Y")</f>
        <v>#NAME?</v>
      </c>
      <c r="P163" t="e">
        <f ca="1">_xll.BDH($C$153,"NET_INCOME_TO_COMMON_MARGIN","FY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163" t="e">
        <f ca="1">_xll.BDH($C$153,"EFF_TAX_RATE","FY 2016","FY 2016","Currency=INR","Period=FY","BEST_FPERIOD_OVERRIDE=FY","FILING_STATUS=OR","EQY_CONSOLIDATED=Y","FA_ADJUSTED=GAAP","Sort=A","Dates=H","DateFormat=P","Fill=—","Direction=H","UseDPDF=Y")</f>
        <v>#NAME?</v>
      </c>
      <c r="R163" t="e">
        <f ca="1">_xll.BDH($C$153,"DVD_PAYOUT_RATIO","FY 2016","FY 2016","Currency=INR","Period=FY","BEST_FPERIOD_OVERRIDE=FY","FILING_STATUS=OR","EQY_CONSOLIDATED=Y","FA_ADJUSTED=GAAP","Sort=A","Dates=H","DateFormat=P","Fill=—","Direction=H","UseDPDF=Y")</f>
        <v>#NAME?</v>
      </c>
      <c r="S163" t="e">
        <f ca="1">_xll.BDH($C$153,"SUSTAIN_GROWTH_RT","FY 2016","FY 2016","Currency=INR","Period=FY","BEST_FPERIOD_OVERRIDE=FY","FILING_STATUS=OR","EQY_CONSOLIDATED=Y","FA_ADJUSTED=GAAP","Sort=A","Dates=H","DateFormat=P","Fill=—","Direction=H","UseDPDF=Y")</f>
        <v>#NAME?</v>
      </c>
      <c r="T163" s="2" t="e">
        <f ca="1">_xll.BDH($C$153,"SALES_GROWTH","FY 2016","FY 2016","Currency=INR","Period=FY","BEST_FPERIOD_OVERRIDE=FY","FILING_STATUS=OR","EQY_CONSOLIDATED=Y","FA_ADJUSTED=GAAP","Sort=A","Dates=H","DateFormat=P","Fill=—","Direction=H","UseDPDF=Y")</f>
        <v>#NAME?</v>
      </c>
      <c r="U163" s="2" t="e">
        <f ca="1">_xll.BDH($C$153,"EBITDA_GROWTH","FY 2016","FY 2016","Currency=INR","Period=FY","BEST_FPERIOD_OVERRIDE=FY","FILING_STATUS=OR","EQY_CONSOLIDATED=Y","FA_ADJUSTED=GAAP","Sort=A","Dates=H","DateFormat=P","Fill=—","Direction=H","UseDPDF=Y")</f>
        <v>#NAME?</v>
      </c>
      <c r="V163" s="2" t="e">
        <f ca="1">_xll.BDH($C$153,"OPER_INC_GROWTH","FY 2016","FY 2016","Currency=INR","Period=FY","BEST_FPERIOD_OVERRIDE=FY","FILING_STATUS=OR","EQY_CONSOLIDATED=Y","FA_ADJUSTED=GAAP","Sort=A","Dates=H","DateFormat=P","Fill=—","Direction=H","UseDPDF=Y")</f>
        <v>#NAME?</v>
      </c>
      <c r="W163" s="2" t="e">
        <f ca="1">_xll.BDH($C$153,"EARN_FOR_COM_GROWTH","FY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163" s="2" t="e">
        <f ca="1">_xll.BDH($C$153,"DILUTED_EPS_AFT_XO_ITEMS_GROWTH","FY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163" s="2" t="e">
        <f ca="1">_xll.BDH($C$153,"DIVIDEND_PER_SHARE_1_YEAR_GROWTH","FY 2016","FY 2016","Currency=INR","Period=FY","BEST_FPERIOD_OVERRIDE=FY","FILING_STATUS=OR","EQY_CONSOLIDATED=Y","Sort=A","Dates=H","DateFormat=P","Fill=—","Direction=H","UseDPDF=Y")</f>
        <v>#NAME?</v>
      </c>
      <c r="Z163" s="2" t="e">
        <f ca="1">_xll.BDH($C$153,"ACCOUNTS_RECEIVABLE_GROWTH","FY 2016","FY 2016","Currency=INR","Period=FY","BEST_FPERIOD_OVERRIDE=FY","FILING_STATUS=OR","EQY_CONSOLIDATED=Y","Sort=A","Dates=H","DateFormat=P","Fill=—","Direction=H","UseDPDF=Y")</f>
        <v>#NAME?</v>
      </c>
      <c r="AA163" s="2" t="e">
        <f ca="1">_xll.BDH($C$153,"INVENTORY_GROWTH","FY 2016","FY 2016","Currency=INR","Period=FY","BEST_FPERIOD_OVERRIDE=FY","FILING_STATUS=OR","EQY_CONSOLIDATED=Y","Sort=A","Dates=H","DateFormat=P","Fill=—","Direction=H","UseDPDF=Y")</f>
        <v>#NAME?</v>
      </c>
      <c r="AB163" s="2" t="e">
        <f ca="1">_xll.BDH($C$153,"NET_FIXED_ASSETS_1_YEAR_GROWTH","FY 2016","FY 2016","Currency=INR","Period=FY","BEST_FPERIOD_OVERRIDE=FY","FILING_STATUS=OR","EQY_CONSOLIDATED=Y","Sort=A","Dates=H","DateFormat=P","Fill=—","Direction=H","UseDPDF=Y")</f>
        <v>#NAME?</v>
      </c>
      <c r="AC163" s="2" t="e">
        <f ca="1">_xll.BDH($C$153,"ASSET_GROWTH","FY 2016","FY 2016","Currency=INR","Period=FY","BEST_FPERIOD_OVERRIDE=FY","FILING_STATUS=OR","EQY_CONSOLIDATED=Y","Sort=A","Dates=H","DateFormat=P","Fill=—","Direction=H","UseDPDF=Y")</f>
        <v>#NAME?</v>
      </c>
      <c r="AD163" s="2" t="e">
        <f ca="1">_xll.BDH($C$153,"MODIFIED_WORK_CAP_GROWTH","FY 2016","FY 2016","Currency=INR","Period=FY","BEST_FPERIOD_OVERRIDE=FY","FILING_STATUS=OR","EQY_CONSOLIDATED=Y","Sort=A","Dates=H","DateFormat=P","Fill=—","Direction=H","UseDPDF=Y")</f>
        <v>#NAME?</v>
      </c>
      <c r="AE163" s="2" t="e">
        <f ca="1">_xll.BDH($C$153,"WORK_CAP_GROWTH","FY 2016","FY 2016","Currency=INR","Period=FY","BEST_FPERIOD_OVERRIDE=FY","FILING_STATUS=OR","EQY_CONSOLIDATED=Y","Sort=A","Dates=H","DateFormat=P","Fill=—","Direction=H","UseDPDF=Y")</f>
        <v>#NAME?</v>
      </c>
      <c r="AF163" s="2" t="e">
        <f ca="1">_xll.BDH($C$153,"ACCOUNTS_PAYABLE_GROWTH_1YR","FY 2016","FY 2016","Currency=INR","Period=FY","BEST_FPERIOD_OVERRIDE=FY","FILING_STATUS=OR","EQY_CONSOLIDATED=Y","Sort=A","Dates=H","DateFormat=P","Fill=—","Direction=H","UseDPDF=Y")</f>
        <v>#NAME?</v>
      </c>
      <c r="AG163" s="2" t="e">
        <f ca="1">_xll.BDH($C$153,"SHORT_TERM_DEBT_1_YEAR_GROWTH","FY 2016","FY 2016","Currency=INR","Period=FY","BEST_FPERIOD_OVERRIDE=FY","FILING_STATUS=OR","EQY_CONSOLIDATED=Y","Sort=A","Dates=H","DateFormat=P","Fill=—","Direction=H","UseDPDF=Y")</f>
        <v>#NAME?</v>
      </c>
      <c r="AH163" s="2" t="e">
        <f ca="1">_xll.BDH($C$153,"TOTAL_DEBT_1_YEAR_GROWTH","FY 2016","FY 2016","Currency=INR","Period=FY","BEST_FPERIOD_OVERRIDE=FY","FILING_STATUS=OR","EQY_CONSOLIDATED=Y","Sort=A","Dates=H","DateFormat=P","Fill=—","Direction=H","UseDPDF=Y")</f>
        <v>#NAME?</v>
      </c>
      <c r="AI163" s="2" t="e">
        <f ca="1">_xll.BDH($C$153,"TOTAL_EQUITY_1_YEAR_GROWTH","FY 2016","FY 2016","Currency=INR","Period=FY","BEST_FPERIOD_OVERRIDE=FY","FILING_STATUS=OR","EQY_CONSOLIDATED=Y","Sort=A","Dates=H","DateFormat=P","Fill=—","Direction=H","UseDPDF=Y")</f>
        <v>#NAME?</v>
      </c>
      <c r="AJ163" s="2" t="e">
        <f ca="1">_xll.BDH($C$153,"GROWTH_IN_CAP","FY 2016","FY 2016","Currency=INR","Period=FY","BEST_FPERIOD_OVERRIDE=FY","FILING_STATUS=OR","EQY_CONSOLIDATED=Y","Sort=A","Dates=H","DateFormat=P","Fill=—","Direction=H","UseDPDF=Y")</f>
        <v>#NAME?</v>
      </c>
      <c r="AK163" s="2" t="e">
        <f ca="1">_xll.BDH($C$153,"BVPS_GROWTH","FY 2016","FY 2016","Currency=INR","Period=FY","BEST_FPERIOD_OVERRIDE=FY","FILING_STATUS=OR","EQY_CONSOLIDATED=Y","Sort=A","Dates=H","DateFormat=P","Fill=—","Direction=H","UseDPDF=Y")</f>
        <v>#NAME?</v>
      </c>
      <c r="AL163" s="2" t="e">
        <f ca="1">_xll.BDH($C$153,"CASH_FLOW_GROWTH","FY 2016","FY 2016","Currency=INR","Period=FY","BEST_FPERIOD_OVERRIDE=FY","FILING_STATUS=OR","EQY_CONSOLIDATED=Y","Sort=A","Dates=H","DateFormat=P","Fill=—","Direction=H","UseDPDF=Y")</f>
        <v>#NAME?</v>
      </c>
      <c r="AM163" s="2" t="e">
        <f ca="1">_xll.BDH($C$153,"GEO_GROW_NET_SALES","FY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163" s="2" t="e">
        <f ca="1">_xll.BDH($C$153,"GEO_GROW_EBITDA","FY 2016","FY 2016","Currency=INR","Period=FY","BEST_FPERIOD_OVERRIDE=FY","FILING_STATUS=OR","EQY_CONSOLIDATED=Y","FA_ADJUSTED=GAAP","Sort=A","Dates=H","DateFormat=P","Fill=—","Direction=H","UseDPDF=Y")</f>
        <v>#NAME?</v>
      </c>
      <c r="AO163" s="2" t="e">
        <f ca="1">_xll.BDH($C$153,"GEO_GROW_OPER_INC","FY 2016","FY 2016","Currency=INR","Period=FY","BEST_FPERIOD_OVERRIDE=FY","FILING_STATUS=OR","EQY_CONSOLIDATED=Y","FA_ADJUSTED=GAAP","Sort=A","Dates=H","DateFormat=P","Fill=—","Direction=H","UseDPDF=Y")</f>
        <v>#NAME?</v>
      </c>
      <c r="AP163" s="2" t="e">
        <f ca="1">_xll.BDH($C$153,"NET_INCOME_TO_COMMON_5_YR_GROWTH","FY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163" s="2" t="e">
        <f ca="1">_xll.BDH($C$153,"5Y_GEO_GROWTH_DILUTED_EPS","FY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163" s="2" t="e">
        <f ca="1">_xll.BDH($C$153,"GEO_GROW_DVD_PER_SH","FY 2016","FY 2016","Currency=INR","Period=FY","BEST_FPERIOD_OVERRIDE=FY","FILING_STATUS=OR","EQY_CONSOLIDATED=Y","Sort=A","Dates=H","DateFormat=P","Fill=—","Direction=H","UseDPDF=Y")</f>
        <v>#NAME?</v>
      </c>
      <c r="AS163" s="2" t="e">
        <f ca="1">_xll.BDH($C$153,"ACCOUNTS_RECEIVABLE_5_YR_GROWTH","FY 2016","FY 2016","Currency=INR","Period=FY","BEST_FPERIOD_OVERRIDE=FY","FILING_STATUS=OR","EQY_CONSOLIDATED=Y","Sort=A","Dates=H","DateFormat=P","Fill=—","Direction=H","UseDPDF=Y")</f>
        <v>#NAME?</v>
      </c>
      <c r="AT163" s="2" t="e">
        <f ca="1">_xll.BDH($C$153,"INVENTORY_5_YEAR_GROWTH","FY 2016","FY 2016","Currency=INR","Period=FY","BEST_FPERIOD_OVERRIDE=FY","FILING_STATUS=OR","EQY_CONSOLIDATED=Y","Sort=A","Dates=H","DateFormat=P","Fill=—","Direction=H","UseDPDF=Y")</f>
        <v>#NAME?</v>
      </c>
      <c r="AU163" s="2" t="e">
        <f ca="1">_xll.BDH($C$153,"NET_FIXED_ASSETS_5_YEAR_GROWTH","FY 2016","FY 2016","Currency=INR","Period=FY","BEST_FPERIOD_OVERRIDE=FY","FILING_STATUS=OR","EQY_CONSOLIDATED=Y","Sort=A","Dates=H","DateFormat=P","Fill=—","Direction=H","UseDPDF=Y")</f>
        <v>#NAME?</v>
      </c>
      <c r="AV163" s="2" t="e">
        <f ca="1">_xll.BDH($C$153,"GEO_GROW_TOT_ASSET","FY 2016","FY 2016","Currency=INR","Period=FY","BEST_FPERIOD_OVERRIDE=FY","FILING_STATUS=OR","EQY_CONSOLIDATED=Y","Sort=A","Dates=H","DateFormat=P","Fill=—","Direction=H","UseDPDF=Y")</f>
        <v>#NAME?</v>
      </c>
      <c r="AW163" s="2" t="e">
        <f ca="1">_xll.BDH($C$153,"MODIFIED_WORKING_CPTL_5YR_GRWTH","FY 2016","FY 2016","Currency=INR","Period=FY","BEST_FPERIOD_OVERRIDE=FY","FILING_STATUS=OR","EQY_CONSOLIDATED=Y","Sort=A","Dates=H","DateFormat=P","Fill=—","Direction=H","UseDPDF=Y")</f>
        <v>#NAME?</v>
      </c>
      <c r="AX163" s="2" t="e">
        <f ca="1">_xll.BDH($C$153,"WORKING_CAPITAL_5_YEAR_GROWTH","FY 2016","FY 2016","Currency=INR","Period=FY","BEST_FPERIOD_OVERRIDE=FY","FILING_STATUS=OR","EQY_CONSOLIDATED=Y","Sort=A","Dates=H","DateFormat=P","Fill=—","Direction=H","UseDPDF=Y")</f>
        <v>#NAME?</v>
      </c>
      <c r="AY163" s="2" t="e">
        <f ca="1">_xll.BDH($C$153,"ACCOUNTS_PAYABLE_5_YEAR_GROWTH","FY 2016","FY 2016","Currency=INR","Period=FY","BEST_FPERIOD_OVERRIDE=FY","FILING_STATUS=OR","EQY_CONSOLIDATED=Y","Sort=A","Dates=H","DateFormat=P","Fill=—","Direction=H","UseDPDF=Y")</f>
        <v>#NAME?</v>
      </c>
      <c r="AZ163" s="2" t="e">
        <f ca="1">_xll.BDH($C$153,"SHORT_TERM_DEBT_5_YEAR_GROWTH","FY 2016","FY 2016","Currency=INR","Period=FY","BEST_FPERIOD_OVERRIDE=FY","FILING_STATUS=OR","EQY_CONSOLIDATED=Y","Sort=A","Dates=H","DateFormat=P","Fill=—","Direction=H","UseDPDF=Y")</f>
        <v>#NAME?</v>
      </c>
      <c r="BA163" s="2" t="e">
        <f ca="1">_xll.BDH($C$153,"TOTAL_DEBT_5_YEAR_GROWTH","FY 2016","FY 2016","Currency=INR","Period=FY","BEST_FPERIOD_OVERRIDE=FY","FILING_STATUS=OR","EQY_CONSOLIDATED=Y","Sort=A","Dates=H","DateFormat=P","Fill=—","Direction=H","UseDPDF=Y")</f>
        <v>#NAME?</v>
      </c>
      <c r="BB163" s="2" t="e">
        <f ca="1">_xll.BDH($C$153,"GEO_GROW_TOT_SHRHLDR_EQY","FY 2016","FY 2016","Currency=INR","Period=FY","BEST_FPERIOD_OVERRIDE=FY","FILING_STATUS=OR","EQY_CONSOLIDATED=Y","Sort=A","Dates=H","DateFormat=P","Fill=—","Direction=H","UseDPDF=Y")</f>
        <v>#NAME?</v>
      </c>
      <c r="BC163" s="2" t="e">
        <f ca="1">_xll.BDH($C$153,"TOTAL_CAPITAL_5_YEAR_GROWTH","FY 2016","FY 2016","Currency=INR","Period=FY","BEST_FPERIOD_OVERRIDE=FY","FILING_STATUS=OR","EQY_CONSOLIDATED=Y","Sort=A","Dates=H","DateFormat=P","Fill=—","Direction=H","UseDPDF=Y")</f>
        <v>#NAME?</v>
      </c>
      <c r="BD163" s="2" t="e">
        <f ca="1">_xll.BDH($C$153,"GEO_GROW_BOOK_VAL","FY 2016","FY 2016","Currency=INR","Period=FY","BEST_FPERIOD_OVERRIDE=FY","FILING_STATUS=OR","EQY_CONSOLIDATED=Y","Sort=A","Dates=H","DateFormat=P","Fill=—","Direction=H","UseDPDF=Y")</f>
        <v>#NAME?</v>
      </c>
      <c r="BE163" s="2" t="e">
        <f ca="1">_xll.BDH($C$153,"GEO_GROW_CASH_OPER_ACT","FY 2016","FY 2016","Currency=INR","Period=FY","BEST_FPERIOD_OVERRIDE=FY","FILING_STATUS=OR","EQY_CONSOLIDATED=Y","Sort=A","Dates=H","DateFormat=P","Fill=—","Direction=H","UseDPDF=Y")</f>
        <v>#NAME?</v>
      </c>
      <c r="BF163" s="2" t="e">
        <f ca="1">_xll.BDH($C$153,"REVENUE_SEQUENTIAL_GROWTH","FY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163" s="2" t="e">
        <f ca="1">_xll.BDH($C$153,"EBITDA_SEQUENTIAL_GROWTH","FY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163" s="2" t="e">
        <f ca="1">_xll.BDH($C$153,"OPERATING_INCOME_SEQ_GROWTH","FY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163" s="2" t="e">
        <f ca="1">_xll.BDH($C$153,"NET_INCOME_TO_COMMON_SEQ_GROWTH","FY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163" s="2" t="e">
        <f ca="1">_xll.BDH($C$153,"EPS_DILUTED_SEQUENTIAL_GROWTH","FY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163" s="2" t="e">
        <f ca="1">_xll.BDH($C$153,"DPS_SEQUENTIAL_GROWTH","FY 2016","FY 2016","Currency=INR","Period=FY","BEST_FPERIOD_OVERRIDE=FY","FILING_STATUS=OR","EQY_CONSOLIDATED=Y","Sort=A","Dates=H","DateFormat=P","Fill=—","Direction=H","UseDPDF=Y")</f>
        <v>#NAME?</v>
      </c>
      <c r="BL163" s="2" t="e">
        <f ca="1">_xll.BDH($C$153,"ACCOUNTS_RECEIVABLE_SEQ_GROWTH","FY 2016","FY 2016","Currency=INR","Period=FY","BEST_FPERIOD_OVERRIDE=FY","FILING_STATUS=OR","EQY_CONSOLIDATED=Y","Sort=A","Dates=H","DateFormat=P","Fill=—","Direction=H","UseDPDF=Y")</f>
        <v>#NAME?</v>
      </c>
      <c r="BM163" s="2" t="e">
        <f ca="1">_xll.BDH($C$153,"INVENTORY_SEQUENTIAL_GROWTH","FY 2016","FY 2016","Currency=INR","Period=FY","BEST_FPERIOD_OVERRIDE=FY","FILING_STATUS=OR","EQY_CONSOLIDATED=Y","Sort=A","Dates=H","DateFormat=P","Fill=—","Direction=H","UseDPDF=Y")</f>
        <v>#NAME?</v>
      </c>
      <c r="BN163" s="2" t="e">
        <f ca="1">_xll.BDH($C$153,"FIXED_ASSETS_SEQUENTIAL_GROWTH","FY 2016","FY 2016","Currency=INR","Period=FY","BEST_FPERIOD_OVERRIDE=FY","FILING_STATUS=OR","EQY_CONSOLIDATED=Y","Sort=A","Dates=H","DateFormat=P","Fill=—","Direction=H","UseDPDF=Y")</f>
        <v>#NAME?</v>
      </c>
      <c r="BO163" s="2" t="e">
        <f ca="1">_xll.BDH($C$153,"TOTAL_ASSETS_SEQUENTIAL_GROWTH","FY 2016","FY 2016","Currency=INR","Period=FY","BEST_FPERIOD_OVERRIDE=FY","FILING_STATUS=OR","EQY_CONSOLIDATED=Y","Sort=A","Dates=H","DateFormat=P","Fill=—","Direction=H","UseDPDF=Y")</f>
        <v>#NAME?</v>
      </c>
      <c r="BP163" s="2" t="e">
        <f ca="1">_xll.BDH($C$153,"MODIFIED_WORKING_CPTL_SEQ_GRWTH","FY 2016","FY 2016","Currency=INR","Period=FY","BEST_FPERIOD_OVERRIDE=FY","FILING_STATUS=OR","EQY_CONSOLIDATED=Y","Sort=A","Dates=H","DateFormat=P","Fill=—","Direction=H","UseDPDF=Y")</f>
        <v>#NAME?</v>
      </c>
      <c r="BQ163" s="2" t="e">
        <f ca="1">_xll.BDH($C$153,"WORKING_CAPITAL_SEQ_GROWTH","FY 2016","FY 2016","Currency=INR","Period=FY","BEST_FPERIOD_OVERRIDE=FY","FILING_STATUS=OR","EQY_CONSOLIDATED=Y","Sort=A","Dates=H","DateFormat=P","Fill=—","Direction=H","UseDPDF=Y")</f>
        <v>#NAME?</v>
      </c>
      <c r="BR163" s="2" t="e">
        <f ca="1">_xll.BDH($C$153,"ACCOUNTS_PAYABLE_SEQ_GROWTH","FY 2016","FY 2016","Currency=INR","Period=FY","BEST_FPERIOD_OVERRIDE=FY","FILING_STATUS=OR","EQY_CONSOLIDATED=Y","Sort=A","Dates=H","DateFormat=P","Fill=—","Direction=H","UseDPDF=Y")</f>
        <v>#NAME?</v>
      </c>
      <c r="BS163" s="2" t="e">
        <f ca="1">_xll.BDH($C$153,"ST_DEBT_SEQUENTIAL_GROWTH","FY 2016","FY 2016","Currency=INR","Period=FY","BEST_FPERIOD_OVERRIDE=FY","FILING_STATUS=OR","EQY_CONSOLIDATED=Y","Sort=A","Dates=H","DateFormat=P","Fill=—","Direction=H","UseDPDF=Y")</f>
        <v>#NAME?</v>
      </c>
      <c r="BT163" s="2" t="e">
        <f ca="1">_xll.BDH($C$153,"TOTAL_DEBT_SEQUENTIAL_GROWTH","FY 2016","FY 2016","Currency=INR","Period=FY","BEST_FPERIOD_OVERRIDE=FY","FILING_STATUS=OR","EQY_CONSOLIDATED=Y","Sort=A","Dates=H","DateFormat=P","Fill=—","Direction=H","UseDPDF=Y")</f>
        <v>#NAME?</v>
      </c>
      <c r="BU163" s="2" t="e">
        <f ca="1">_xll.BDH($C$153,"TOTAL_EQUITY_SEQUENTIAL_GROWTH","FY 2016","FY 2016","Currency=INR","Period=FY","BEST_FPERIOD_OVERRIDE=FY","FILING_STATUS=OR","EQY_CONSOLIDATED=Y","Sort=A","Dates=H","DateFormat=P","Fill=—","Direction=H","UseDPDF=Y")</f>
        <v>#NAME?</v>
      </c>
      <c r="BV163" s="2" t="e">
        <f ca="1">_xll.BDH($C$153,"TOTAL_CAPITAL_SEQUENTIAL_GROWTH","FY 2016","FY 2016","Currency=INR","Period=FY","BEST_FPERIOD_OVERRIDE=FY","FILING_STATUS=OR","EQY_CONSOLIDATED=Y","Sort=A","Dates=H","DateFormat=P","Fill=—","Direction=H","UseDPDF=Y")</f>
        <v>#NAME?</v>
      </c>
      <c r="BW163" s="2" t="e">
        <f ca="1">_xll.BDH($C$153,"BPS_SEQUENTIAL_GROWTH","FY 2016","FY 2016","Currency=INR","Period=FY","BEST_FPERIOD_OVERRIDE=FY","FILING_STATUS=OR","EQY_CONSOLIDATED=Y","Sort=A","Dates=H","DateFormat=P","Fill=—","Direction=H","UseDPDF=Y")</f>
        <v>#NAME?</v>
      </c>
      <c r="BX163" s="2" t="e">
        <f ca="1">_xll.BDH($C$153,"CFO_SEQUENTIAL_GROWTH","FY 2016","FY 2016","Currency=INR","Period=FY","BEST_FPERIOD_OVERRIDE=FY","FILING_STATUS=OR","EQY_CONSOLIDATED=Y","Sort=A","Dates=H","DateFormat=P","Fill=—","Direction=H","UseDPDF=Y")</f>
        <v>#NAME?</v>
      </c>
      <c r="BY163" s="3" t="e">
        <f ca="1">_xll.BDH($C$153,"SHORT_AND_LONG_TERM_DEBT","FY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163" s="3" t="e">
        <f ca="1">_xll.BDH($C$153,"BS_ST_BORROW","FY 2016","FY 2016","Currency=INR","Period=FY","BEST_FPERIOD_OVERRIDE=FY","FILING_STATUS=OR","EQY_CONSOLIDATED=Y","SCALING_FORMAT=MLN","Sort=A","Dates=H","DateFormat=P","Fill=—","Direction=H","UseDPDF=Y")</f>
        <v>#NAME?</v>
      </c>
      <c r="CA163" s="3" t="e">
        <f ca="1">_xll.BDH($C$153,"BS_LT_BORROW","FY 2016","FY 2016","Currency=INR","Period=FY","BEST_FPERIOD_OVERRIDE=FY","FILING_STATUS=OR","EQY_CONSOLIDATED=Y","SCALING_FORMAT=MLN","Sort=A","Dates=H","DateFormat=P","Fill=—","Direction=H","UseDPDF=Y")</f>
        <v>#NAME?</v>
      </c>
      <c r="CB163" s="2" t="e">
        <f ca="1">_xll.BDH($C$153,"TOT_DEBT_TO_EBITDA","FY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163" s="2" t="e">
        <f ca="1">_xll.BDH($C$153,"NET_DEBT_TO_EBITDA","FY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163" s="2" t="e">
        <f ca="1">_xll.BDH($C$153,"TOTAL_DEBT_TO_EBIT","FY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163" s="2" t="e">
        <f ca="1">_xll.BDH($C$153,"NET_DEBT_TO_EBIT","FY 2016","FY 2016","Currency=INR","Period=FY","BEST_FPERIOD_OVERRIDE=FY","FILING_STATUS=OR","EQY_CONSOLIDATED=Y","FA_ADJUSTED=GAAP","Sort=A","Dates=H","DateFormat=P","Fill=—","Direction=H","UseDPDF=Y")</f>
        <v>#NAME?</v>
      </c>
      <c r="CF163" s="2" t="e">
        <f ca="1">_xll.BDH($C$153,"EBITDA_TO_INTEREST_EXPN","FY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163" s="2" t="e">
        <f ca="1">_xll.BDH($C$153,"COM_EQY_TO_TOT_ASSET","FY 2016","FY 2016","Currency=INR","Period=FY","BEST_FPERIOD_OVERRIDE=FY","FILING_STATUS=OR","EQY_CONSOLIDATED=Y","Sort=A","Dates=H","DateFormat=P","Fill=—","Direction=H","UseDPDF=Y")</f>
        <v>#NAME?</v>
      </c>
      <c r="CH163" s="2" t="e">
        <f ca="1">_xll.BDH($C$153,"LT_DEBT_TO_TOT_EQY","FY 2016","FY 2016","Currency=INR","Period=FY","BEST_FPERIOD_OVERRIDE=FY","FILING_STATUS=OR","EQY_CONSOLIDATED=Y","Sort=A","Dates=H","DateFormat=P","Fill=—","Direction=H","UseDPDF=Y")</f>
        <v>#NAME?</v>
      </c>
      <c r="CI163" s="2" t="e">
        <f ca="1">_xll.BDH($C$153,"LT_DEBT_TO_TOT_CAP","FY 2016","FY 2016","Currency=INR","Period=FY","BEST_FPERIOD_OVERRIDE=FY","FILING_STATUS=OR","EQY_CONSOLIDATED=Y","Sort=A","Dates=H","DateFormat=P","Fill=—","Direction=H","UseDPDF=Y")</f>
        <v>#NAME?</v>
      </c>
      <c r="CJ163" s="2" t="e">
        <f ca="1">_xll.BDH($C$153,"LT_DEBT_TO_TOT_ASSET","FY 2016","FY 2016","Currency=INR","Period=FY","BEST_FPERIOD_OVERRIDE=FY","FILING_STATUS=OR","EQY_CONSOLIDATED=Y","Sort=A","Dates=H","DateFormat=P","Fill=—","Direction=H","UseDPDF=Y")</f>
        <v>#NAME?</v>
      </c>
      <c r="CK163" s="2" t="e">
        <f ca="1">_xll.BDH($C$153,"TOT_DEBT_TO_TOT_EQY","FY 2016","FY 2016","Currency=INR","Period=FY","BEST_FPERIOD_OVERRIDE=FY","FILING_STATUS=OR","EQY_CONSOLIDATED=Y","Sort=A","Dates=H","DateFormat=P","Fill=—","Direction=H","UseDPDF=Y")</f>
        <v>#NAME?</v>
      </c>
      <c r="CL163" s="2" t="e">
        <f ca="1">_xll.BDH($C$153,"TOT_DEBT_TO_TOT_CAP","FY 2016","FY 2016","Currency=INR","Period=FY","BEST_FPERIOD_OVERRIDE=FY","FILING_STATUS=OR","EQY_CONSOLIDATED=Y","Sort=A","Dates=H","DateFormat=P","Fill=—","Direction=H","UseDPDF=Y")</f>
        <v>#NAME?</v>
      </c>
      <c r="CM163" s="2" t="e">
        <f ca="1">_xll.BDH($C$153,"TOT_DEBT_TO_TOT_ASSET","FY 2016","FY 2016","Currency=INR","Period=FY","BEST_FPERIOD_OVERRIDE=FY","FILING_STATUS=OR","EQY_CONSOLIDATED=Y","Sort=A","Dates=H","DateFormat=P","Fill=—","Direction=H","UseDPDF=Y")</f>
        <v>#NAME?</v>
      </c>
      <c r="CN163" s="2" t="e">
        <f ca="1">_xll.BDH($C$153,"NET_DEBT_TO_SHRHLDR_EQTY","FY 2016","FY 2016","Currency=INR","Period=FY","BEST_FPERIOD_OVERRIDE=FY","FILING_STATUS=OR","EQY_CONSOLIDATED=Y","Sort=A","Dates=H","DateFormat=P","Fill=—","Direction=H","UseDPDF=Y")</f>
        <v>#NAME?</v>
      </c>
      <c r="CO163" s="2" t="e">
        <f ca="1">_xll.BDH($C$153,"NET_DEBT_%_CAPITAL","FY 2016","FY 2016","Currency=INR","Period=FY","BEST_FPERIOD_OVERRIDE=FY","FILING_STATUS=OR","EQY_CONSOLIDATED=Y","Sort=A","Dates=H","DateFormat=P","Fill=—","Direction=H","UseDPDF=Y")</f>
        <v>#NAME?</v>
      </c>
      <c r="CP163" s="3" t="e">
        <f ca="1">_xll.BDH($C$153,"EBITDA","FY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163" s="3" t="e">
        <f ca="1">_xll.BDH($C$153,"EBITDA_AFTER_CAPEX","FY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163" s="3" t="e">
        <f ca="1">_xll.BDH($C$153,"IS_OPER_INC","FY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163" s="2" t="e">
        <f ca="1">_xll.BDH($C$153,"CASH_RATIO","FY 2016","FY 2016","Currency=INR","Period=FY","BEST_FPERIOD_OVERRIDE=FY","FILING_STATUS=OR","EQY_CONSOLIDATED=Y","Sort=A","Dates=H","DateFormat=P","Fill=—","Direction=H","UseDPDF=Y")</f>
        <v>#NAME?</v>
      </c>
      <c r="CT163" s="2" t="e">
        <f ca="1">_xll.BDH($C$153,"CUR_RATIO","FY 2016","FY 2016","Currency=INR","Period=FY","BEST_FPERIOD_OVERRIDE=FY","FILING_STATUS=OR","EQY_CONSOLIDATED=Y","Sort=A","Dates=H","DateFormat=P","Fill=—","Direction=H","UseDPDF=Y")</f>
        <v>#NAME?</v>
      </c>
      <c r="CU163" s="2" t="e">
        <f ca="1">_xll.BDH($C$153,"QUICK_RATIO","FY 2016","FY 2016","Currency=INR","Period=FY","BEST_FPERIOD_OVERRIDE=FY","FILING_STATUS=OR","EQY_CONSOLIDATED=Y","Sort=A","Dates=H","DateFormat=P","Fill=—","Direction=H","UseDPDF=Y")</f>
        <v>#NAME?</v>
      </c>
      <c r="CV163" s="2" t="e">
        <f ca="1">_xll.BDH($C$153,"ALTMAN_Z_SCORE","FY 2016","FY 2016","Currency=INR","Period=FY","BEST_FPERIOD_OVERRIDE=FY","FILING_STATUS=OR","EQY_CONSOLIDATED=Y","Sort=A","Dates=H","DateFormat=P","Fill=—","Direction=H","UseDPDF=Y")</f>
        <v>#NAME?</v>
      </c>
      <c r="CW163" s="4" t="e">
        <f ca="1">_xll.BDH($C$153,"ACCT_RCV_TURN","FY 2016","FY 2016","Currency=INR","Period=FY","BEST_FPERIOD_OVERRIDE=FY","FILING_STATUS=OR","EQY_CONSOLIDATED=Y","FA_ADJUSTED=GAAP","Sort=A","Dates=H","DateFormat=P","Fill=—","Direction=H","UseDPDF=Y")</f>
        <v>#NAME?</v>
      </c>
      <c r="CX163" s="2" t="e">
        <f ca="1">_xll.BDH($C$153,"ACCT_RCV_DAYS","FY 2016","FY 2016","Currency=INR","Period=FY","BEST_FPERIOD_OVERRIDE=FY","FILING_STATUS=OR","EQY_CONSOLIDATED=Y","FA_ADJUSTED=GAAP","Sort=A","Dates=H","DateFormat=P","Fill=—","Direction=H","UseDPDF=Y")</f>
        <v>#NAME?</v>
      </c>
      <c r="CY163" s="4" t="e">
        <f ca="1">_xll.BDH($C$153,"INVENT_TURN","FY 2016","FY 2016","Currency=INR","Period=FY","BEST_FPERIOD_OVERRIDE=FY","FILING_STATUS=OR","EQY_CONSOLIDATED=Y","FA_ADJUSTED=GAAP","Sort=A","Dates=H","DateFormat=P","Fill=—","Direction=H","UseDPDF=Y")</f>
        <v>#NAME?</v>
      </c>
      <c r="CZ163" s="2" t="e">
        <f ca="1">_xll.BDH($C$153,"INVENT_DAYS","FY 2016","FY 2016","Currency=INR","Period=FY","BEST_FPERIOD_OVERRIDE=FY","FILING_STATUS=OR","EQY_CONSOLIDATED=Y","FA_ADJUSTED=GAAP","Sort=A","Dates=H","DateFormat=P","Fill=—","Direction=H","UseDPDF=Y")</f>
        <v>#NAME?</v>
      </c>
      <c r="DA163" s="4" t="e">
        <f ca="1">_xll.BDH($C$153,"ACCOUNTS_PAYABLE_TURNOVER","FY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163" s="2" t="e">
        <f ca="1">_xll.BDH($C$153,"ACCOUNTS_PAYABLE_TURNOVER_DAYS","FY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163" s="4" t="e">
        <f ca="1">_xll.BDH($C$153,"CASH_CONVERSION_CYCLE","FY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163" s="4" t="e">
        <f ca="1">_xll.BDH($C$153,"INV_TO_CASH_DAYS","FY 2016","FY 2016","Currency=INR","Period=FY","BEST_FPERIOD_OVERRIDE=FY","FILING_STATUS=OR","EQY_CONSOLIDATED=Y","FA_ADJUSTED=GAAP","Sort=A","Dates=H","DateFormat=P","Fill=—","Direction=H","UseDPDF=Y")</f>
        <v>#NAME?</v>
      </c>
      <c r="DE163" s="5" t="e">
        <f ca="1">_xll.BDH($C$153,"BS_INVENTORIES","FY 2016","FY 2016","Currency=INR","Period=FY","BEST_FPERIOD_OVERRIDE=FY","FILING_STATUS=OR","EQY_CONSOLIDATED=Y","SCALING_FORMAT=MLN","Sort=A","Dates=H","DateFormat=P","Fill=—","Direction=H","UseDPDF=Y")</f>
        <v>#NAME?</v>
      </c>
      <c r="DF163" s="3" t="e">
        <f ca="1">_xll.BDH($C$153,"INVTRY_RAW_MATERIALS","FY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163" s="3" t="e">
        <f ca="1">_xll.BDH($C$153,"INVTRY_IN_PROGRESS","FY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163" s="3" t="e">
        <f ca="1">_xll.BDH($C$153,"INVTRY_FINISHED_GOODS","FY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163" s="3" t="e">
        <f ca="1">_xll.BDH($C$153,"BS_OTHER_INV","FY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164" spans="1:113" x14ac:dyDescent="0.3">
      <c r="A164" s="6"/>
      <c r="B164" s="6"/>
      <c r="C164" s="6"/>
      <c r="D164" s="6"/>
      <c r="E164" t="s">
        <v>78</v>
      </c>
      <c r="F164" t="e">
        <f ca="1">_xll.BDH($C$153,"RETURN_COM_EQY","FQ1 2016","FQ1 2016","Currency=INR","Period=FQ","BEST_FPERIOD_OVERRIDE=FQ","FILING_STATUS=OR","EQY_CONSOLIDATED=Y","FA_ADJUSTED=GAAP","Sort=A","Dates=H","DateFormat=P","Fill=—","Direction=H","UseDPDF=Y")</f>
        <v>#NAME?</v>
      </c>
      <c r="G164" t="e">
        <f ca="1">_xll.BDH($C$153,"RETURN_ON_ASSET","FQ1 2016","FQ1 2016","Currency=INR","Period=FQ","BEST_FPERIOD_OVERRIDE=FQ","FILING_STATUS=OR","EQY_CONSOLIDATED=Y","FA_ADJUSTED=GAAP","Sort=A","Dates=H","DateFormat=P","Fill=—","Direction=H","UseDPDF=Y")</f>
        <v>#NAME?</v>
      </c>
      <c r="H164" t="e">
        <f ca="1">_xll.BDH($C$153,"RETURN_ON_CAP","FQ1 2016","FQ1 2016","Currency=INR","Period=FQ","BEST_FPERIOD_OVERRIDE=FQ","FILING_STATUS=OR","EQY_CONSOLIDATED=Y","FA_ADJUSTED=GAAP","Sort=A","Dates=H","DateFormat=P","Fill=—","Direction=H","UseDPDF=Y")</f>
        <v>#NAME?</v>
      </c>
      <c r="I164" t="e">
        <f ca="1">_xll.BDH($C$153,"RETURN_ON_INV_CAPITAL","FQ1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164" t="e">
        <f ca="1">_xll.BDH($C$153,"EBITDA_TO_REVENUE","FQ1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164" t="e">
        <f ca="1">_xll.BDH($C$153,"OPER_MARGIN","FQ1 2016","FQ1 2016","Currency=INR","Period=FQ","BEST_FPERIOD_OVERRIDE=FQ","FILING_STATUS=OR","EQY_CONSOLIDATED=Y","FA_ADJUSTED=GAAP","Sort=A","Dates=H","DateFormat=P","Fill=—","Direction=H","UseDPDF=Y")</f>
        <v>#NAME?</v>
      </c>
      <c r="L164" t="e">
        <f ca="1">_xll.BDH($C$153,"INCREMENTAL_OPERATING_MARGIN","FQ1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164" t="e">
        <f ca="1">_xll.BDH($C$153,"PRETAX_INC_TO_NET_SALES","FQ1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164" t="e">
        <f ca="1">_xll.BDH($C$153,"INC_BEF_XO_ITEMS_TO_NET_SALES","FQ1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164" t="e">
        <f ca="1">_xll.BDH($C$153,"PROF_MARGIN","FQ1 2016","FQ1 2016","Currency=INR","Period=FQ","BEST_FPERIOD_OVERRIDE=FQ","FILING_STATUS=OR","EQY_CONSOLIDATED=Y","FA_ADJUSTED=GAAP","Sort=A","Dates=H","DateFormat=P","Fill=—","Direction=H","UseDPDF=Y")</f>
        <v>#NAME?</v>
      </c>
      <c r="P164" t="e">
        <f ca="1">_xll.BDH($C$153,"NET_INCOME_TO_COMMON_MARGIN","FQ1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164" t="e">
        <f ca="1">_xll.BDH($C$153,"EFF_TAX_RATE","FQ1 2016","FQ1 2016","Currency=INR","Period=FQ","BEST_FPERIOD_OVERRIDE=FQ","FILING_STATUS=OR","EQY_CONSOLIDATED=Y","FA_ADJUSTED=GAAP","Sort=A","Dates=H","DateFormat=P","Fill=—","Direction=H","UseDPDF=Y")</f>
        <v>#NAME?</v>
      </c>
      <c r="R164" t="e">
        <f ca="1">_xll.BDH($C$153,"DVD_PAYOUT_RATIO","FQ1 2016","FQ1 2016","Currency=INR","Period=FQ","BEST_FPERIOD_OVERRIDE=FQ","FILING_STATUS=OR","EQY_CONSOLIDATED=Y","FA_ADJUSTED=GAAP","Sort=A","Dates=H","DateFormat=P","Fill=—","Direction=H","UseDPDF=Y")</f>
        <v>#NAME?</v>
      </c>
      <c r="S164" t="e">
        <f ca="1">_xll.BDH($C$153,"SUSTAIN_GROWTH_RT","FQ1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164" s="2" t="e">
        <f ca="1">_xll.BDH($C$153,"SALES_GROWTH","FQ1 2016","FQ1 2016","Currency=INR","Period=FQ","BEST_FPERIOD_OVERRIDE=FQ","FILING_STATUS=OR","EQY_CONSOLIDATED=Y","FA_ADJUSTED=GAAP","Sort=A","Dates=H","DateFormat=P","Fill=—","Direction=H","UseDPDF=Y")</f>
        <v>#NAME?</v>
      </c>
      <c r="U164" s="2" t="e">
        <f ca="1">_xll.BDH($C$153,"EBITDA_GROWTH","FQ1 2016","FQ1 2016","Currency=INR","Period=FQ","BEST_FPERIOD_OVERRIDE=FQ","FILING_STATUS=OR","EQY_CONSOLIDATED=Y","FA_ADJUSTED=GAAP","Sort=A","Dates=H","DateFormat=P","Fill=—","Direction=H","UseDPDF=Y")</f>
        <v>#NAME?</v>
      </c>
      <c r="V164" s="2" t="e">
        <f ca="1">_xll.BDH($C$153,"OPER_INC_GROWTH","FQ1 2016","FQ1 2016","Currency=INR","Period=FQ","BEST_FPERIOD_OVERRIDE=FQ","FILING_STATUS=OR","EQY_CONSOLIDATED=Y","FA_ADJUSTED=GAAP","Sort=A","Dates=H","DateFormat=P","Fill=—","Direction=H","UseDPDF=Y")</f>
        <v>#NAME?</v>
      </c>
      <c r="W164" s="2" t="e">
        <f ca="1">_xll.BDH($C$153,"EARN_FOR_COM_GROWTH","FQ1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164" s="2" t="e">
        <f ca="1">_xll.BDH($C$153,"DILUTED_EPS_AFT_XO_ITEMS_GROWTH","FQ1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164" s="2" t="e">
        <f ca="1">_xll.BDH($C$153,"DIVIDEND_PER_SHARE_1_YEAR_GROWTH","FQ1 2016","FQ1 2016","Currency=INR","Period=FQ","BEST_FPERIOD_OVERRIDE=FQ","FILING_STATUS=OR","EQY_CONSOLIDATED=Y","Sort=A","Dates=H","DateFormat=P","Fill=—","Direction=H","UseDPDF=Y")</f>
        <v>#NAME?</v>
      </c>
      <c r="Z164" s="2" t="e">
        <f ca="1">_xll.BDH($C$153,"ACCOUNTS_RECEIVABLE_GROWTH","FQ1 2016","FQ1 2016","Currency=INR","Period=FQ","BEST_FPERIOD_OVERRIDE=FQ","FILING_STATUS=OR","EQY_CONSOLIDATED=Y","Sort=A","Dates=H","DateFormat=P","Fill=—","Direction=H","UseDPDF=Y")</f>
        <v>#NAME?</v>
      </c>
      <c r="AA164" s="2" t="e">
        <f ca="1">_xll.BDH($C$153,"INVENTORY_GROWTH","FQ1 2016","FQ1 2016","Currency=INR","Period=FQ","BEST_FPERIOD_OVERRIDE=FQ","FILING_STATUS=OR","EQY_CONSOLIDATED=Y","Sort=A","Dates=H","DateFormat=P","Fill=—","Direction=H","UseDPDF=Y")</f>
        <v>#NAME?</v>
      </c>
      <c r="AB164" s="2" t="e">
        <f ca="1">_xll.BDH($C$153,"NET_FIXED_ASSETS_1_YEAR_GROWTH","FQ1 2016","FQ1 2016","Currency=INR","Period=FQ","BEST_FPERIOD_OVERRIDE=FQ","FILING_STATUS=OR","EQY_CONSOLIDATED=Y","Sort=A","Dates=H","DateFormat=P","Fill=—","Direction=H","UseDPDF=Y")</f>
        <v>#NAME?</v>
      </c>
      <c r="AC164" s="2" t="e">
        <f ca="1">_xll.BDH($C$153,"ASSET_GROWTH","FQ1 2016","FQ1 2016","Currency=INR","Period=FQ","BEST_FPERIOD_OVERRIDE=FQ","FILING_STATUS=OR","EQY_CONSOLIDATED=Y","Sort=A","Dates=H","DateFormat=P","Fill=—","Direction=H","UseDPDF=Y")</f>
        <v>#NAME?</v>
      </c>
      <c r="AD164" s="2" t="e">
        <f ca="1">_xll.BDH($C$153,"MODIFIED_WORK_CAP_GROWTH","FQ1 2016","FQ1 2016","Currency=INR","Period=FQ","BEST_FPERIOD_OVERRIDE=FQ","FILING_STATUS=OR","EQY_CONSOLIDATED=Y","Sort=A","Dates=H","DateFormat=P","Fill=—","Direction=H","UseDPDF=Y")</f>
        <v>#NAME?</v>
      </c>
      <c r="AE164" s="2" t="e">
        <f ca="1">_xll.BDH($C$153,"WORK_CAP_GROWTH","FQ1 2016","FQ1 2016","Currency=INR","Period=FQ","BEST_FPERIOD_OVERRIDE=FQ","FILING_STATUS=OR","EQY_CONSOLIDATED=Y","Sort=A","Dates=H","DateFormat=P","Fill=—","Direction=H","UseDPDF=Y")</f>
        <v>#NAME?</v>
      </c>
      <c r="AF164" s="2" t="e">
        <f ca="1">_xll.BDH($C$153,"ACCOUNTS_PAYABLE_GROWTH_1YR","FQ1 2016","FQ1 2016","Currency=INR","Period=FQ","BEST_FPERIOD_OVERRIDE=FQ","FILING_STATUS=OR","EQY_CONSOLIDATED=Y","Sort=A","Dates=H","DateFormat=P","Fill=—","Direction=H","UseDPDF=Y")</f>
        <v>#NAME?</v>
      </c>
      <c r="AG164" s="2" t="e">
        <f ca="1">_xll.BDH($C$153,"SHORT_TERM_DEBT_1_YEAR_GROWTH","FQ1 2016","FQ1 2016","Currency=INR","Period=FQ","BEST_FPERIOD_OVERRIDE=FQ","FILING_STATUS=OR","EQY_CONSOLIDATED=Y","Sort=A","Dates=H","DateFormat=P","Fill=—","Direction=H","UseDPDF=Y")</f>
        <v>#NAME?</v>
      </c>
      <c r="AH164" s="2" t="e">
        <f ca="1">_xll.BDH($C$153,"TOTAL_DEBT_1_YEAR_GROWTH","FQ1 2016","FQ1 2016","Currency=INR","Period=FQ","BEST_FPERIOD_OVERRIDE=FQ","FILING_STATUS=OR","EQY_CONSOLIDATED=Y","Sort=A","Dates=H","DateFormat=P","Fill=—","Direction=H","UseDPDF=Y")</f>
        <v>#NAME?</v>
      </c>
      <c r="AI164" s="2" t="e">
        <f ca="1">_xll.BDH($C$153,"TOTAL_EQUITY_1_YEAR_GROWTH","FQ1 2016","FQ1 2016","Currency=INR","Period=FQ","BEST_FPERIOD_OVERRIDE=FQ","FILING_STATUS=OR","EQY_CONSOLIDATED=Y","Sort=A","Dates=H","DateFormat=P","Fill=—","Direction=H","UseDPDF=Y")</f>
        <v>#NAME?</v>
      </c>
      <c r="AJ164" s="2" t="e">
        <f ca="1">_xll.BDH($C$153,"GROWTH_IN_CAP","FQ1 2016","FQ1 2016","Currency=INR","Period=FQ","BEST_FPERIOD_OVERRIDE=FQ","FILING_STATUS=OR","EQY_CONSOLIDATED=Y","Sort=A","Dates=H","DateFormat=P","Fill=—","Direction=H","UseDPDF=Y")</f>
        <v>#NAME?</v>
      </c>
      <c r="AK164" s="2" t="e">
        <f ca="1">_xll.BDH($C$153,"BVPS_GROWTH","FQ1 2016","FQ1 2016","Currency=INR","Period=FQ","BEST_FPERIOD_OVERRIDE=FQ","FILING_STATUS=OR","EQY_CONSOLIDATED=Y","Sort=A","Dates=H","DateFormat=P","Fill=—","Direction=H","UseDPDF=Y")</f>
        <v>#NAME?</v>
      </c>
      <c r="AL164" s="2" t="e">
        <f ca="1">_xll.BDH($C$153,"CASH_FLOW_GROWTH","FQ1 2016","FQ1 2016","Currency=INR","Period=FQ","BEST_FPERIOD_OVERRIDE=FQ","FILING_STATUS=OR","EQY_CONSOLIDATED=Y","Sort=A","Dates=H","DateFormat=P","Fill=—","Direction=H","UseDPDF=Y")</f>
        <v>#NAME?</v>
      </c>
      <c r="AM164" s="2" t="e">
        <f ca="1">_xll.BDH($C$153,"GEO_GROW_NET_SALES","FQ1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164" s="2" t="e">
        <f ca="1">_xll.BDH($C$153,"GEO_GROW_EBITDA","FQ1 2016","FQ1 2016","Currency=INR","Period=FQ","BEST_FPERIOD_OVERRIDE=FQ","FILING_STATUS=OR","EQY_CONSOLIDATED=Y","FA_ADJUSTED=GAAP","Sort=A","Dates=H","DateFormat=P","Fill=—","Direction=H","UseDPDF=Y")</f>
        <v>#NAME?</v>
      </c>
      <c r="AO164" s="2" t="e">
        <f ca="1">_xll.BDH($C$153,"GEO_GROW_OPER_INC","FQ1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164" s="2" t="e">
        <f ca="1">_xll.BDH($C$153,"NET_INCOME_TO_COMMON_5_YR_GROWTH","FQ1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164" s="2" t="e">
        <f ca="1">_xll.BDH($C$153,"5Y_GEO_GROWTH_DILUTED_EPS","FQ1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164" s="2" t="e">
        <f ca="1">_xll.BDH($C$153,"GEO_GROW_DVD_PER_SH","FQ1 2016","FQ1 2016","Currency=INR","Period=FQ","BEST_FPERIOD_OVERRIDE=FQ","FILING_STATUS=OR","EQY_CONSOLIDATED=Y","Sort=A","Dates=H","DateFormat=P","Fill=—","Direction=H","UseDPDF=Y")</f>
        <v>#NAME?</v>
      </c>
      <c r="AS164" s="2" t="e">
        <f ca="1">_xll.BDH($C$153,"ACCOUNTS_RECEIVABLE_5_YR_GROWTH","FQ1 2016","FQ1 2016","Currency=INR","Period=FQ","BEST_FPERIOD_OVERRIDE=FQ","FILING_STATUS=OR","EQY_CONSOLIDATED=Y","Sort=A","Dates=H","DateFormat=P","Fill=—","Direction=H","UseDPDF=Y")</f>
        <v>#NAME?</v>
      </c>
      <c r="AT164" s="2" t="e">
        <f ca="1">_xll.BDH($C$153,"INVENTORY_5_YEAR_GROWTH","FQ1 2016","FQ1 2016","Currency=INR","Period=FQ","BEST_FPERIOD_OVERRIDE=FQ","FILING_STATUS=OR","EQY_CONSOLIDATED=Y","Sort=A","Dates=H","DateFormat=P","Fill=—","Direction=H","UseDPDF=Y")</f>
        <v>#NAME?</v>
      </c>
      <c r="AU164" s="2" t="e">
        <f ca="1">_xll.BDH($C$153,"NET_FIXED_ASSETS_5_YEAR_GROWTH","FQ1 2016","FQ1 2016","Currency=INR","Period=FQ","BEST_FPERIOD_OVERRIDE=FQ","FILING_STATUS=OR","EQY_CONSOLIDATED=Y","Sort=A","Dates=H","DateFormat=P","Fill=—","Direction=H","UseDPDF=Y")</f>
        <v>#NAME?</v>
      </c>
      <c r="AV164" s="2" t="e">
        <f ca="1">_xll.BDH($C$153,"GEO_GROW_TOT_ASSET","FQ1 2016","FQ1 2016","Currency=INR","Period=FQ","BEST_FPERIOD_OVERRIDE=FQ","FILING_STATUS=OR","EQY_CONSOLIDATED=Y","Sort=A","Dates=H","DateFormat=P","Fill=—","Direction=H","UseDPDF=Y")</f>
        <v>#NAME?</v>
      </c>
      <c r="AW164" s="2" t="e">
        <f ca="1">_xll.BDH($C$153,"MODIFIED_WORKING_CPTL_5YR_GRWTH","FQ1 2016","FQ1 2016","Currency=INR","Period=FQ","BEST_FPERIOD_OVERRIDE=FQ","FILING_STATUS=OR","EQY_CONSOLIDATED=Y","Sort=A","Dates=H","DateFormat=P","Fill=—","Direction=H","UseDPDF=Y")</f>
        <v>#NAME?</v>
      </c>
      <c r="AX164" s="2" t="e">
        <f ca="1">_xll.BDH($C$153,"WORKING_CAPITAL_5_YEAR_GROWTH","FQ1 2016","FQ1 2016","Currency=INR","Period=FQ","BEST_FPERIOD_OVERRIDE=FQ","FILING_STATUS=OR","EQY_CONSOLIDATED=Y","Sort=A","Dates=H","DateFormat=P","Fill=—","Direction=H","UseDPDF=Y")</f>
        <v>#NAME?</v>
      </c>
      <c r="AY164" s="2" t="e">
        <f ca="1">_xll.BDH($C$153,"ACCOUNTS_PAYABLE_5_YEAR_GROWTH","FQ1 2016","FQ1 2016","Currency=INR","Period=FQ","BEST_FPERIOD_OVERRIDE=FQ","FILING_STATUS=OR","EQY_CONSOLIDATED=Y","Sort=A","Dates=H","DateFormat=P","Fill=—","Direction=H","UseDPDF=Y")</f>
        <v>#NAME?</v>
      </c>
      <c r="AZ164" s="2" t="e">
        <f ca="1">_xll.BDH($C$153,"SHORT_TERM_DEBT_5_YEAR_GROWTH","FQ1 2016","FQ1 2016","Currency=INR","Period=FQ","BEST_FPERIOD_OVERRIDE=FQ","FILING_STATUS=OR","EQY_CONSOLIDATED=Y","Sort=A","Dates=H","DateFormat=P","Fill=—","Direction=H","UseDPDF=Y")</f>
        <v>#NAME?</v>
      </c>
      <c r="BA164" s="2" t="e">
        <f ca="1">_xll.BDH($C$153,"TOTAL_DEBT_5_YEAR_GROWTH","FQ1 2016","FQ1 2016","Currency=INR","Period=FQ","BEST_FPERIOD_OVERRIDE=FQ","FILING_STATUS=OR","EQY_CONSOLIDATED=Y","Sort=A","Dates=H","DateFormat=P","Fill=—","Direction=H","UseDPDF=Y")</f>
        <v>#NAME?</v>
      </c>
      <c r="BB164" s="2" t="e">
        <f ca="1">_xll.BDH($C$153,"GEO_GROW_TOT_SHRHLDR_EQY","FQ1 2016","FQ1 2016","Currency=INR","Period=FQ","BEST_FPERIOD_OVERRIDE=FQ","FILING_STATUS=OR","EQY_CONSOLIDATED=Y","Sort=A","Dates=H","DateFormat=P","Fill=—","Direction=H","UseDPDF=Y")</f>
        <v>#NAME?</v>
      </c>
      <c r="BC164" s="2" t="e">
        <f ca="1">_xll.BDH($C$153,"TOTAL_CAPITAL_5_YEAR_GROWTH","FQ1 2016","FQ1 2016","Currency=INR","Period=FQ","BEST_FPERIOD_OVERRIDE=FQ","FILING_STATUS=OR","EQY_CONSOLIDATED=Y","Sort=A","Dates=H","DateFormat=P","Fill=—","Direction=H","UseDPDF=Y")</f>
        <v>#NAME?</v>
      </c>
      <c r="BD164" s="2" t="e">
        <f ca="1">_xll.BDH($C$153,"GEO_GROW_BOOK_VAL","FQ1 2016","FQ1 2016","Currency=INR","Period=FQ","BEST_FPERIOD_OVERRIDE=FQ","FILING_STATUS=OR","EQY_CONSOLIDATED=Y","Sort=A","Dates=H","DateFormat=P","Fill=—","Direction=H","UseDPDF=Y")</f>
        <v>#NAME?</v>
      </c>
      <c r="BE164" s="2" t="e">
        <f ca="1">_xll.BDH($C$153,"GEO_GROW_CASH_OPER_ACT","FQ1 2016","FQ1 2016","Currency=INR","Period=FQ","BEST_FPERIOD_OVERRIDE=FQ","FILING_STATUS=OR","EQY_CONSOLIDATED=Y","Sort=A","Dates=H","DateFormat=P","Fill=—","Direction=H","UseDPDF=Y")</f>
        <v>#NAME?</v>
      </c>
      <c r="BF164" s="2" t="e">
        <f ca="1">_xll.BDH($C$153,"REVENUE_SEQUENTIAL_GROWTH","FQ1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164" s="2" t="e">
        <f ca="1">_xll.BDH($C$153,"EBITDA_SEQUENTIAL_GROWTH","FQ1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164" s="2" t="e">
        <f ca="1">_xll.BDH($C$153,"OPERATING_INCOME_SEQ_GROWTH","FQ1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164" s="2" t="e">
        <f ca="1">_xll.BDH($C$153,"NET_INCOME_TO_COMMON_SEQ_GROWTH","FQ1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164" s="2" t="e">
        <f ca="1">_xll.BDH($C$153,"EPS_DILUTED_SEQUENTIAL_GROWTH","FQ1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164" s="2" t="e">
        <f ca="1">_xll.BDH($C$153,"DPS_SEQUENTIAL_GROWTH","FQ1 2016","FQ1 2016","Currency=INR","Period=FQ","BEST_FPERIOD_OVERRIDE=FQ","FILING_STATUS=OR","EQY_CONSOLIDATED=Y","Sort=A","Dates=H","DateFormat=P","Fill=—","Direction=H","UseDPDF=Y")</f>
        <v>#NAME?</v>
      </c>
      <c r="BL164" s="2" t="e">
        <f ca="1">_xll.BDH($C$153,"ACCOUNTS_RECEIVABLE_SEQ_GROWTH","FQ1 2016","FQ1 2016","Currency=INR","Period=FQ","BEST_FPERIOD_OVERRIDE=FQ","FILING_STATUS=OR","EQY_CONSOLIDATED=Y","Sort=A","Dates=H","DateFormat=P","Fill=—","Direction=H","UseDPDF=Y")</f>
        <v>#NAME?</v>
      </c>
      <c r="BM164" s="2" t="e">
        <f ca="1">_xll.BDH($C$153,"INVENTORY_SEQUENTIAL_GROWTH","FQ1 2016","FQ1 2016","Currency=INR","Period=FQ","BEST_FPERIOD_OVERRIDE=FQ","FILING_STATUS=OR","EQY_CONSOLIDATED=Y","Sort=A","Dates=H","DateFormat=P","Fill=—","Direction=H","UseDPDF=Y")</f>
        <v>#NAME?</v>
      </c>
      <c r="BN164" s="2" t="e">
        <f ca="1">_xll.BDH($C$153,"FIXED_ASSETS_SEQUENTIAL_GROWTH","FQ1 2016","FQ1 2016","Currency=INR","Period=FQ","BEST_FPERIOD_OVERRIDE=FQ","FILING_STATUS=OR","EQY_CONSOLIDATED=Y","Sort=A","Dates=H","DateFormat=P","Fill=—","Direction=H","UseDPDF=Y")</f>
        <v>#NAME?</v>
      </c>
      <c r="BO164" s="2" t="e">
        <f ca="1">_xll.BDH($C$153,"TOTAL_ASSETS_SEQUENTIAL_GROWTH","FQ1 2016","FQ1 2016","Currency=INR","Period=FQ","BEST_FPERIOD_OVERRIDE=FQ","FILING_STATUS=OR","EQY_CONSOLIDATED=Y","Sort=A","Dates=H","DateFormat=P","Fill=—","Direction=H","UseDPDF=Y")</f>
        <v>#NAME?</v>
      </c>
      <c r="BP164" s="2" t="e">
        <f ca="1">_xll.BDH($C$153,"MODIFIED_WORKING_CPTL_SEQ_GRWTH","FQ1 2016","FQ1 2016","Currency=INR","Period=FQ","BEST_FPERIOD_OVERRIDE=FQ","FILING_STATUS=OR","EQY_CONSOLIDATED=Y","Sort=A","Dates=H","DateFormat=P","Fill=—","Direction=H","UseDPDF=Y")</f>
        <v>#NAME?</v>
      </c>
      <c r="BQ164" s="2" t="e">
        <f ca="1">_xll.BDH($C$153,"WORKING_CAPITAL_SEQ_GROWTH","FQ1 2016","FQ1 2016","Currency=INR","Period=FQ","BEST_FPERIOD_OVERRIDE=FQ","FILING_STATUS=OR","EQY_CONSOLIDATED=Y","Sort=A","Dates=H","DateFormat=P","Fill=—","Direction=H","UseDPDF=Y")</f>
        <v>#NAME?</v>
      </c>
      <c r="BR164" s="2" t="e">
        <f ca="1">_xll.BDH($C$153,"ACCOUNTS_PAYABLE_SEQ_GROWTH","FQ1 2016","FQ1 2016","Currency=INR","Period=FQ","BEST_FPERIOD_OVERRIDE=FQ","FILING_STATUS=OR","EQY_CONSOLIDATED=Y","Sort=A","Dates=H","DateFormat=P","Fill=—","Direction=H","UseDPDF=Y")</f>
        <v>#NAME?</v>
      </c>
      <c r="BS164" s="2" t="e">
        <f ca="1">_xll.BDH($C$153,"ST_DEBT_SEQUENTIAL_GROWTH","FQ1 2016","FQ1 2016","Currency=INR","Period=FQ","BEST_FPERIOD_OVERRIDE=FQ","FILING_STATUS=OR","EQY_CONSOLIDATED=Y","Sort=A","Dates=H","DateFormat=P","Fill=—","Direction=H","UseDPDF=Y")</f>
        <v>#NAME?</v>
      </c>
      <c r="BT164" s="2" t="e">
        <f ca="1">_xll.BDH($C$153,"TOTAL_DEBT_SEQUENTIAL_GROWTH","FQ1 2016","FQ1 2016","Currency=INR","Period=FQ","BEST_FPERIOD_OVERRIDE=FQ","FILING_STATUS=OR","EQY_CONSOLIDATED=Y","Sort=A","Dates=H","DateFormat=P","Fill=—","Direction=H","UseDPDF=Y")</f>
        <v>#NAME?</v>
      </c>
      <c r="BU164" s="2" t="e">
        <f ca="1">_xll.BDH($C$153,"TOTAL_EQUITY_SEQUENTIAL_GROWTH","FQ1 2016","FQ1 2016","Currency=INR","Period=FQ","BEST_FPERIOD_OVERRIDE=FQ","FILING_STATUS=OR","EQY_CONSOLIDATED=Y","Sort=A","Dates=H","DateFormat=P","Fill=—","Direction=H","UseDPDF=Y")</f>
        <v>#NAME?</v>
      </c>
      <c r="BV164" s="2" t="e">
        <f ca="1">_xll.BDH($C$153,"TOTAL_CAPITAL_SEQUENTIAL_GROWTH","FQ1 2016","FQ1 2016","Currency=INR","Period=FQ","BEST_FPERIOD_OVERRIDE=FQ","FILING_STATUS=OR","EQY_CONSOLIDATED=Y","Sort=A","Dates=H","DateFormat=P","Fill=—","Direction=H","UseDPDF=Y")</f>
        <v>#NAME?</v>
      </c>
      <c r="BW164" s="2" t="e">
        <f ca="1">_xll.BDH($C$153,"BPS_SEQUENTIAL_GROWTH","FQ1 2016","FQ1 2016","Currency=INR","Period=FQ","BEST_FPERIOD_OVERRIDE=FQ","FILING_STATUS=OR","EQY_CONSOLIDATED=Y","Sort=A","Dates=H","DateFormat=P","Fill=—","Direction=H","UseDPDF=Y")</f>
        <v>#NAME?</v>
      </c>
      <c r="BX164" s="2" t="e">
        <f ca="1">_xll.BDH($C$153,"CFO_SEQUENTIAL_GROWTH","FQ1 2016","FQ1 2016","Currency=INR","Period=FQ","BEST_FPERIOD_OVERRIDE=FQ","FILING_STATUS=OR","EQY_CONSOLIDATED=Y","Sort=A","Dates=H","DateFormat=P","Fill=—","Direction=H","UseDPDF=Y")</f>
        <v>#NAME?</v>
      </c>
      <c r="BY164" s="3" t="e">
        <f ca="1">_xll.BDH($C$153,"SHORT_AND_LONG_TERM_DEBT","FQ1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164" s="3" t="e">
        <f ca="1">_xll.BDH($C$153,"BS_ST_BORROW","FQ1 2016","FQ1 2016","Currency=INR","Period=FQ","BEST_FPERIOD_OVERRIDE=FQ","FILING_STATUS=OR","EQY_CONSOLIDATED=Y","SCALING_FORMAT=MLN","Sort=A","Dates=H","DateFormat=P","Fill=—","Direction=H","UseDPDF=Y")</f>
        <v>#NAME?</v>
      </c>
      <c r="CA164" s="3" t="e">
        <f ca="1">_xll.BDH($C$153,"BS_LT_BORROW","FQ1 2016","FQ1 2016","Currency=INR","Period=FQ","BEST_FPERIOD_OVERRIDE=FQ","FILING_STATUS=OR","EQY_CONSOLIDATED=Y","SCALING_FORMAT=MLN","Sort=A","Dates=H","DateFormat=P","Fill=—","Direction=H","UseDPDF=Y")</f>
        <v>#NAME?</v>
      </c>
      <c r="CB164" s="2" t="e">
        <f ca="1">_xll.BDH($C$153,"TOT_DEBT_TO_EBITDA","FQ1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164" s="2" t="e">
        <f ca="1">_xll.BDH($C$153,"NET_DEBT_TO_EBITDA","FQ1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164" s="2" t="e">
        <f ca="1">_xll.BDH($C$153,"TOTAL_DEBT_TO_EBIT","FQ1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164" s="2" t="e">
        <f ca="1">_xll.BDH($C$153,"NET_DEBT_TO_EBIT","FQ1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164" s="2" t="e">
        <f ca="1">_xll.BDH($C$153,"EBITDA_TO_INTEREST_EXPN","FQ1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164" s="2" t="e">
        <f ca="1">_xll.BDH($C$153,"COM_EQY_TO_TOT_ASSET","FQ1 2016","FQ1 2016","Currency=INR","Period=FQ","BEST_FPERIOD_OVERRIDE=FQ","FILING_STATUS=OR","EQY_CONSOLIDATED=Y","Sort=A","Dates=H","DateFormat=P","Fill=—","Direction=H","UseDPDF=Y")</f>
        <v>#NAME?</v>
      </c>
      <c r="CH164" s="2" t="e">
        <f ca="1">_xll.BDH($C$153,"LT_DEBT_TO_TOT_EQY","FQ1 2016","FQ1 2016","Currency=INR","Period=FQ","BEST_FPERIOD_OVERRIDE=FQ","FILING_STATUS=OR","EQY_CONSOLIDATED=Y","Sort=A","Dates=H","DateFormat=P","Fill=—","Direction=H","UseDPDF=Y")</f>
        <v>#NAME?</v>
      </c>
      <c r="CI164" s="2" t="e">
        <f ca="1">_xll.BDH($C$153,"LT_DEBT_TO_TOT_CAP","FQ1 2016","FQ1 2016","Currency=INR","Period=FQ","BEST_FPERIOD_OVERRIDE=FQ","FILING_STATUS=OR","EQY_CONSOLIDATED=Y","Sort=A","Dates=H","DateFormat=P","Fill=—","Direction=H","UseDPDF=Y")</f>
        <v>#NAME?</v>
      </c>
      <c r="CJ164" s="2" t="e">
        <f ca="1">_xll.BDH($C$153,"LT_DEBT_TO_TOT_ASSET","FQ1 2016","FQ1 2016","Currency=INR","Period=FQ","BEST_FPERIOD_OVERRIDE=FQ","FILING_STATUS=OR","EQY_CONSOLIDATED=Y","Sort=A","Dates=H","DateFormat=P","Fill=—","Direction=H","UseDPDF=Y")</f>
        <v>#NAME?</v>
      </c>
      <c r="CK164" s="2" t="e">
        <f ca="1">_xll.BDH($C$153,"TOT_DEBT_TO_TOT_EQY","FQ1 2016","FQ1 2016","Currency=INR","Period=FQ","BEST_FPERIOD_OVERRIDE=FQ","FILING_STATUS=OR","EQY_CONSOLIDATED=Y","Sort=A","Dates=H","DateFormat=P","Fill=—","Direction=H","UseDPDF=Y")</f>
        <v>#NAME?</v>
      </c>
      <c r="CL164" s="2" t="e">
        <f ca="1">_xll.BDH($C$153,"TOT_DEBT_TO_TOT_CAP","FQ1 2016","FQ1 2016","Currency=INR","Period=FQ","BEST_FPERIOD_OVERRIDE=FQ","FILING_STATUS=OR","EQY_CONSOLIDATED=Y","Sort=A","Dates=H","DateFormat=P","Fill=—","Direction=H","UseDPDF=Y")</f>
        <v>#NAME?</v>
      </c>
      <c r="CM164" s="2" t="e">
        <f ca="1">_xll.BDH($C$153,"TOT_DEBT_TO_TOT_ASSET","FQ1 2016","FQ1 2016","Currency=INR","Period=FQ","BEST_FPERIOD_OVERRIDE=FQ","FILING_STATUS=OR","EQY_CONSOLIDATED=Y","Sort=A","Dates=H","DateFormat=P","Fill=—","Direction=H","UseDPDF=Y")</f>
        <v>#NAME?</v>
      </c>
      <c r="CN164" s="2" t="e">
        <f ca="1">_xll.BDH($C$153,"NET_DEBT_TO_SHRHLDR_EQTY","FQ1 2016","FQ1 2016","Currency=INR","Period=FQ","BEST_FPERIOD_OVERRIDE=FQ","FILING_STATUS=OR","EQY_CONSOLIDATED=Y","Sort=A","Dates=H","DateFormat=P","Fill=—","Direction=H","UseDPDF=Y")</f>
        <v>#NAME?</v>
      </c>
      <c r="CO164" s="2" t="e">
        <f ca="1">_xll.BDH($C$153,"NET_DEBT_%_CAPITAL","FQ1 2016","FQ1 2016","Currency=INR","Period=FQ","BEST_FPERIOD_OVERRIDE=FQ","FILING_STATUS=OR","EQY_CONSOLIDATED=Y","Sort=A","Dates=H","DateFormat=P","Fill=—","Direction=H","UseDPDF=Y")</f>
        <v>#NAME?</v>
      </c>
      <c r="CP164" s="3" t="e">
        <f ca="1">_xll.BDH($C$153,"EBITDA","FQ1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164" s="3" t="e">
        <f ca="1">_xll.BDH($C$153,"EBITDA_AFTER_CAPEX","FQ1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164" s="3" t="e">
        <f ca="1">_xll.BDH($C$153,"IS_OPER_INC","FQ1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164" s="2" t="e">
        <f ca="1">_xll.BDH($C$153,"CASH_RATIO","FQ1 2016","FQ1 2016","Currency=INR","Period=FQ","BEST_FPERIOD_OVERRIDE=FQ","FILING_STATUS=OR","EQY_CONSOLIDATED=Y","Sort=A","Dates=H","DateFormat=P","Fill=—","Direction=H","UseDPDF=Y")</f>
        <v>#NAME?</v>
      </c>
      <c r="CT164" s="2" t="e">
        <f ca="1">_xll.BDH($C$153,"CUR_RATIO","FQ1 2016","FQ1 2016","Currency=INR","Period=FQ","BEST_FPERIOD_OVERRIDE=FQ","FILING_STATUS=OR","EQY_CONSOLIDATED=Y","Sort=A","Dates=H","DateFormat=P","Fill=—","Direction=H","UseDPDF=Y")</f>
        <v>#NAME?</v>
      </c>
      <c r="CU164" s="2" t="e">
        <f ca="1">_xll.BDH($C$153,"QUICK_RATIO","FQ1 2016","FQ1 2016","Currency=INR","Period=FQ","BEST_FPERIOD_OVERRIDE=FQ","FILING_STATUS=OR","EQY_CONSOLIDATED=Y","Sort=A","Dates=H","DateFormat=P","Fill=—","Direction=H","UseDPDF=Y")</f>
        <v>#NAME?</v>
      </c>
      <c r="CV164" s="2" t="e">
        <f ca="1">_xll.BDH($C$153,"ALTMAN_Z_SCORE","FQ1 2016","FQ1 2016","Currency=INR","Period=FQ","BEST_FPERIOD_OVERRIDE=FQ","FILING_STATUS=OR","EQY_CONSOLIDATED=Y","Sort=A","Dates=H","DateFormat=P","Fill=—","Direction=H","UseDPDF=Y")</f>
        <v>#NAME?</v>
      </c>
      <c r="CW164" s="4" t="e">
        <f ca="1">_xll.BDH($C$153,"ACCT_RCV_TURN","FQ1 2016","FQ1 2016","Currency=INR","Period=FQ","BEST_FPERIOD_OVERRIDE=FQ","FILING_STATUS=OR","EQY_CONSOLIDATED=Y","FA_ADJUSTED=GAAP","Sort=A","Dates=H","DateFormat=P","Fill=—","Direction=H","UseDPDF=Y")</f>
        <v>#NAME?</v>
      </c>
      <c r="CX164" s="2" t="e">
        <f ca="1">_xll.BDH($C$153,"ACCT_RCV_DAYS","FQ1 2016","FQ1 2016","Currency=INR","Period=FQ","BEST_FPERIOD_OVERRIDE=FQ","FILING_STATUS=OR","EQY_CONSOLIDATED=Y","FA_ADJUSTED=GAAP","Sort=A","Dates=H","DateFormat=P","Fill=—","Direction=H","UseDPDF=Y")</f>
        <v>#NAME?</v>
      </c>
      <c r="CY164" s="4" t="e">
        <f ca="1">_xll.BDH($C$153,"INVENT_TURN","FQ1 2016","FQ1 2016","Currency=INR","Period=FQ","BEST_FPERIOD_OVERRIDE=FQ","FILING_STATUS=OR","EQY_CONSOLIDATED=Y","FA_ADJUSTED=GAAP","Sort=A","Dates=H","DateFormat=P","Fill=—","Direction=H","UseDPDF=Y")</f>
        <v>#NAME?</v>
      </c>
      <c r="CZ164" s="2" t="e">
        <f ca="1">_xll.BDH($C$153,"INVENT_DAYS","FQ1 2016","FQ1 2016","Currency=INR","Period=FQ","BEST_FPERIOD_OVERRIDE=FQ","FILING_STATUS=OR","EQY_CONSOLIDATED=Y","FA_ADJUSTED=GAAP","Sort=A","Dates=H","DateFormat=P","Fill=—","Direction=H","UseDPDF=Y")</f>
        <v>#NAME?</v>
      </c>
      <c r="DA164" s="4" t="e">
        <f ca="1">_xll.BDH($C$153,"ACCOUNTS_PAYABLE_TURNOVER","FQ1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164" s="2" t="e">
        <f ca="1">_xll.BDH($C$153,"ACCOUNTS_PAYABLE_TURNOVER_DAYS","FQ1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164" s="4" t="e">
        <f ca="1">_xll.BDH($C$153,"CASH_CONVERSION_CYCLE","FQ1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164" s="4" t="e">
        <f ca="1">_xll.BDH($C$153,"INV_TO_CASH_DAYS","FQ1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164" s="5" t="e">
        <f ca="1">_xll.BDH($C$153,"BS_INVENTORIES","FQ1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164" s="3" t="e">
        <f ca="1">_xll.BDH($C$153,"INVTRY_RAW_MATERIALS","FQ1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164" s="3" t="e">
        <f ca="1">_xll.BDH($C$153,"INVTRY_IN_PROGRESS","FQ1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164" s="3" t="e">
        <f ca="1">_xll.BDH($C$153,"INVTRY_FINISHED_GOODS","FQ1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164" s="3" t="e">
        <f ca="1">_xll.BDH($C$153,"BS_OTHER_INV","FQ1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165" spans="1:113" x14ac:dyDescent="0.3">
      <c r="A165" s="6"/>
      <c r="B165" s="6"/>
      <c r="C165" s="6"/>
      <c r="D165" s="6"/>
      <c r="E165" t="s">
        <v>79</v>
      </c>
      <c r="F165" t="e">
        <f ca="1">_xll.BDH($C$153,"RETURN_COM_EQY","FQ2 2016","FQ2 2016","Currency=INR","Period=FQ","BEST_FPERIOD_OVERRIDE=FQ","FILING_STATUS=OR","EQY_CONSOLIDATED=Y","FA_ADJUSTED=GAAP","Sort=A","Dates=H","DateFormat=P","Fill=—","Direction=H","UseDPDF=Y")</f>
        <v>#NAME?</v>
      </c>
      <c r="G165" t="e">
        <f ca="1">_xll.BDH($C$153,"RETURN_ON_ASSET","FQ2 2016","FQ2 2016","Currency=INR","Period=FQ","BEST_FPERIOD_OVERRIDE=FQ","FILING_STATUS=OR","EQY_CONSOLIDATED=Y","FA_ADJUSTED=GAAP","Sort=A","Dates=H","DateFormat=P","Fill=—","Direction=H","UseDPDF=Y")</f>
        <v>#NAME?</v>
      </c>
      <c r="H165" t="e">
        <f ca="1">_xll.BDH($C$153,"RETURN_ON_CAP","FQ2 2016","FQ2 2016","Currency=INR","Period=FQ","BEST_FPERIOD_OVERRIDE=FQ","FILING_STATUS=OR","EQY_CONSOLIDATED=Y","FA_ADJUSTED=GAAP","Sort=A","Dates=H","DateFormat=P","Fill=—","Direction=H","UseDPDF=Y")</f>
        <v>#NAME?</v>
      </c>
      <c r="I165" t="e">
        <f ca="1">_xll.BDH($C$153,"RETURN_ON_INV_CAPITAL","FQ2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165" t="e">
        <f ca="1">_xll.BDH($C$153,"EBITDA_TO_REVENUE","FQ2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165" t="e">
        <f ca="1">_xll.BDH($C$153,"OPER_MARGIN","FQ2 2016","FQ2 2016","Currency=INR","Period=FQ","BEST_FPERIOD_OVERRIDE=FQ","FILING_STATUS=OR","EQY_CONSOLIDATED=Y","FA_ADJUSTED=GAAP","Sort=A","Dates=H","DateFormat=P","Fill=—","Direction=H","UseDPDF=Y")</f>
        <v>#NAME?</v>
      </c>
      <c r="L165" t="e">
        <f ca="1">_xll.BDH($C$153,"INCREMENTAL_OPERATING_MARGIN","FQ2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165" t="e">
        <f ca="1">_xll.BDH($C$153,"PRETAX_INC_TO_NET_SALES","FQ2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165" t="e">
        <f ca="1">_xll.BDH($C$153,"INC_BEF_XO_ITEMS_TO_NET_SALES","FQ2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165" t="e">
        <f ca="1">_xll.BDH($C$153,"PROF_MARGIN","FQ2 2016","FQ2 2016","Currency=INR","Period=FQ","BEST_FPERIOD_OVERRIDE=FQ","FILING_STATUS=OR","EQY_CONSOLIDATED=Y","FA_ADJUSTED=GAAP","Sort=A","Dates=H","DateFormat=P","Fill=—","Direction=H","UseDPDF=Y")</f>
        <v>#NAME?</v>
      </c>
      <c r="P165" t="e">
        <f ca="1">_xll.BDH($C$153,"NET_INCOME_TO_COMMON_MARGIN","FQ2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165" t="e">
        <f ca="1">_xll.BDH($C$153,"EFF_TAX_RATE","FQ2 2016","FQ2 2016","Currency=INR","Period=FQ","BEST_FPERIOD_OVERRIDE=FQ","FILING_STATUS=OR","EQY_CONSOLIDATED=Y","FA_ADJUSTED=GAAP","Sort=A","Dates=H","DateFormat=P","Fill=—","Direction=H","UseDPDF=Y")</f>
        <v>#NAME?</v>
      </c>
      <c r="R165" t="e">
        <f ca="1">_xll.BDH($C$153,"DVD_PAYOUT_RATIO","FQ2 2016","FQ2 2016","Currency=INR","Period=FQ","BEST_FPERIOD_OVERRIDE=FQ","FILING_STATUS=OR","EQY_CONSOLIDATED=Y","FA_ADJUSTED=GAAP","Sort=A","Dates=H","DateFormat=P","Fill=—","Direction=H","UseDPDF=Y")</f>
        <v>#NAME?</v>
      </c>
      <c r="S165" t="e">
        <f ca="1">_xll.BDH($C$153,"SUSTAIN_GROWTH_RT","FQ2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165" s="2" t="e">
        <f ca="1">_xll.BDH($C$153,"SALES_GROWTH","FQ2 2016","FQ2 2016","Currency=INR","Period=FQ","BEST_FPERIOD_OVERRIDE=FQ","FILING_STATUS=OR","EQY_CONSOLIDATED=Y","FA_ADJUSTED=GAAP","Sort=A","Dates=H","DateFormat=P","Fill=—","Direction=H","UseDPDF=Y")</f>
        <v>#NAME?</v>
      </c>
      <c r="U165" s="2" t="e">
        <f ca="1">_xll.BDH($C$153,"EBITDA_GROWTH","FQ2 2016","FQ2 2016","Currency=INR","Period=FQ","BEST_FPERIOD_OVERRIDE=FQ","FILING_STATUS=OR","EQY_CONSOLIDATED=Y","FA_ADJUSTED=GAAP","Sort=A","Dates=H","DateFormat=P","Fill=—","Direction=H","UseDPDF=Y")</f>
        <v>#NAME?</v>
      </c>
      <c r="V165" s="2" t="e">
        <f ca="1">_xll.BDH($C$153,"OPER_INC_GROWTH","FQ2 2016","FQ2 2016","Currency=INR","Period=FQ","BEST_FPERIOD_OVERRIDE=FQ","FILING_STATUS=OR","EQY_CONSOLIDATED=Y","FA_ADJUSTED=GAAP","Sort=A","Dates=H","DateFormat=P","Fill=—","Direction=H","UseDPDF=Y")</f>
        <v>#NAME?</v>
      </c>
      <c r="W165" s="2" t="e">
        <f ca="1">_xll.BDH($C$153,"EARN_FOR_COM_GROWTH","FQ2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165" s="2" t="e">
        <f ca="1">_xll.BDH($C$153,"DILUTED_EPS_AFT_XO_ITEMS_GROWTH","FQ2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165" s="2" t="e">
        <f ca="1">_xll.BDH($C$153,"DIVIDEND_PER_SHARE_1_YEAR_GROWTH","FQ2 2016","FQ2 2016","Currency=INR","Period=FQ","BEST_FPERIOD_OVERRIDE=FQ","FILING_STATUS=OR","EQY_CONSOLIDATED=Y","Sort=A","Dates=H","DateFormat=P","Fill=—","Direction=H","UseDPDF=Y")</f>
        <v>#NAME?</v>
      </c>
      <c r="Z165" s="2" t="e">
        <f ca="1">_xll.BDH($C$153,"ACCOUNTS_RECEIVABLE_GROWTH","FQ2 2016","FQ2 2016","Currency=INR","Period=FQ","BEST_FPERIOD_OVERRIDE=FQ","FILING_STATUS=OR","EQY_CONSOLIDATED=Y","Sort=A","Dates=H","DateFormat=P","Fill=—","Direction=H","UseDPDF=Y")</f>
        <v>#NAME?</v>
      </c>
      <c r="AA165" s="2" t="e">
        <f ca="1">_xll.BDH($C$153,"INVENTORY_GROWTH","FQ2 2016","FQ2 2016","Currency=INR","Period=FQ","BEST_FPERIOD_OVERRIDE=FQ","FILING_STATUS=OR","EQY_CONSOLIDATED=Y","Sort=A","Dates=H","DateFormat=P","Fill=—","Direction=H","UseDPDF=Y")</f>
        <v>#NAME?</v>
      </c>
      <c r="AB165" s="2" t="e">
        <f ca="1">_xll.BDH($C$153,"NET_FIXED_ASSETS_1_YEAR_GROWTH","FQ2 2016","FQ2 2016","Currency=INR","Period=FQ","BEST_FPERIOD_OVERRIDE=FQ","FILING_STATUS=OR","EQY_CONSOLIDATED=Y","Sort=A","Dates=H","DateFormat=P","Fill=—","Direction=H","UseDPDF=Y")</f>
        <v>#NAME?</v>
      </c>
      <c r="AC165" s="2" t="e">
        <f ca="1">_xll.BDH($C$153,"ASSET_GROWTH","FQ2 2016","FQ2 2016","Currency=INR","Period=FQ","BEST_FPERIOD_OVERRIDE=FQ","FILING_STATUS=OR","EQY_CONSOLIDATED=Y","Sort=A","Dates=H","DateFormat=P","Fill=—","Direction=H","UseDPDF=Y")</f>
        <v>#NAME?</v>
      </c>
      <c r="AD165" s="2" t="e">
        <f ca="1">_xll.BDH($C$153,"MODIFIED_WORK_CAP_GROWTH","FQ2 2016","FQ2 2016","Currency=INR","Period=FQ","BEST_FPERIOD_OVERRIDE=FQ","FILING_STATUS=OR","EQY_CONSOLIDATED=Y","Sort=A","Dates=H","DateFormat=P","Fill=—","Direction=H","UseDPDF=Y")</f>
        <v>#NAME?</v>
      </c>
      <c r="AE165" s="2" t="e">
        <f ca="1">_xll.BDH($C$153,"WORK_CAP_GROWTH","FQ2 2016","FQ2 2016","Currency=INR","Period=FQ","BEST_FPERIOD_OVERRIDE=FQ","FILING_STATUS=OR","EQY_CONSOLIDATED=Y","Sort=A","Dates=H","DateFormat=P","Fill=—","Direction=H","UseDPDF=Y")</f>
        <v>#NAME?</v>
      </c>
      <c r="AF165" s="2" t="e">
        <f ca="1">_xll.BDH($C$153,"ACCOUNTS_PAYABLE_GROWTH_1YR","FQ2 2016","FQ2 2016","Currency=INR","Period=FQ","BEST_FPERIOD_OVERRIDE=FQ","FILING_STATUS=OR","EQY_CONSOLIDATED=Y","Sort=A","Dates=H","DateFormat=P","Fill=—","Direction=H","UseDPDF=Y")</f>
        <v>#NAME?</v>
      </c>
      <c r="AG165" s="2" t="e">
        <f ca="1">_xll.BDH($C$153,"SHORT_TERM_DEBT_1_YEAR_GROWTH","FQ2 2016","FQ2 2016","Currency=INR","Period=FQ","BEST_FPERIOD_OVERRIDE=FQ","FILING_STATUS=OR","EQY_CONSOLIDATED=Y","Sort=A","Dates=H","DateFormat=P","Fill=—","Direction=H","UseDPDF=Y")</f>
        <v>#NAME?</v>
      </c>
      <c r="AH165" s="2" t="e">
        <f ca="1">_xll.BDH($C$153,"TOTAL_DEBT_1_YEAR_GROWTH","FQ2 2016","FQ2 2016","Currency=INR","Period=FQ","BEST_FPERIOD_OVERRIDE=FQ","FILING_STATUS=OR","EQY_CONSOLIDATED=Y","Sort=A","Dates=H","DateFormat=P","Fill=—","Direction=H","UseDPDF=Y")</f>
        <v>#NAME?</v>
      </c>
      <c r="AI165" s="2" t="e">
        <f ca="1">_xll.BDH($C$153,"TOTAL_EQUITY_1_YEAR_GROWTH","FQ2 2016","FQ2 2016","Currency=INR","Period=FQ","BEST_FPERIOD_OVERRIDE=FQ","FILING_STATUS=OR","EQY_CONSOLIDATED=Y","Sort=A","Dates=H","DateFormat=P","Fill=—","Direction=H","UseDPDF=Y")</f>
        <v>#NAME?</v>
      </c>
      <c r="AJ165" s="2" t="e">
        <f ca="1">_xll.BDH($C$153,"GROWTH_IN_CAP","FQ2 2016","FQ2 2016","Currency=INR","Period=FQ","BEST_FPERIOD_OVERRIDE=FQ","FILING_STATUS=OR","EQY_CONSOLIDATED=Y","Sort=A","Dates=H","DateFormat=P","Fill=—","Direction=H","UseDPDF=Y")</f>
        <v>#NAME?</v>
      </c>
      <c r="AK165" s="2" t="e">
        <f ca="1">_xll.BDH($C$153,"BVPS_GROWTH","FQ2 2016","FQ2 2016","Currency=INR","Period=FQ","BEST_FPERIOD_OVERRIDE=FQ","FILING_STATUS=OR","EQY_CONSOLIDATED=Y","Sort=A","Dates=H","DateFormat=P","Fill=—","Direction=H","UseDPDF=Y")</f>
        <v>#NAME?</v>
      </c>
      <c r="AL165" s="2" t="e">
        <f ca="1">_xll.BDH($C$153,"CASH_FLOW_GROWTH","FQ2 2016","FQ2 2016","Currency=INR","Period=FQ","BEST_FPERIOD_OVERRIDE=FQ","FILING_STATUS=OR","EQY_CONSOLIDATED=Y","Sort=A","Dates=H","DateFormat=P","Fill=—","Direction=H","UseDPDF=Y")</f>
        <v>#NAME?</v>
      </c>
      <c r="AM165" s="2" t="e">
        <f ca="1">_xll.BDH($C$153,"GEO_GROW_NET_SALES","FQ2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165" s="2" t="e">
        <f ca="1">_xll.BDH($C$153,"GEO_GROW_EBITDA","FQ2 2016","FQ2 2016","Currency=INR","Period=FQ","BEST_FPERIOD_OVERRIDE=FQ","FILING_STATUS=OR","EQY_CONSOLIDATED=Y","FA_ADJUSTED=GAAP","Sort=A","Dates=H","DateFormat=P","Fill=—","Direction=H","UseDPDF=Y")</f>
        <v>#NAME?</v>
      </c>
      <c r="AO165" s="2" t="e">
        <f ca="1">_xll.BDH($C$153,"GEO_GROW_OPER_INC","FQ2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165" s="2" t="e">
        <f ca="1">_xll.BDH($C$153,"NET_INCOME_TO_COMMON_5_YR_GROWTH","FQ2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165" s="2" t="e">
        <f ca="1">_xll.BDH($C$153,"5Y_GEO_GROWTH_DILUTED_EPS","FQ2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165" s="2" t="e">
        <f ca="1">_xll.BDH($C$153,"GEO_GROW_DVD_PER_SH","FQ2 2016","FQ2 2016","Currency=INR","Period=FQ","BEST_FPERIOD_OVERRIDE=FQ","FILING_STATUS=OR","EQY_CONSOLIDATED=Y","Sort=A","Dates=H","DateFormat=P","Fill=—","Direction=H","UseDPDF=Y")</f>
        <v>#NAME?</v>
      </c>
      <c r="AS165" s="2" t="e">
        <f ca="1">_xll.BDH($C$153,"ACCOUNTS_RECEIVABLE_5_YR_GROWTH","FQ2 2016","FQ2 2016","Currency=INR","Period=FQ","BEST_FPERIOD_OVERRIDE=FQ","FILING_STATUS=OR","EQY_CONSOLIDATED=Y","Sort=A","Dates=H","DateFormat=P","Fill=—","Direction=H","UseDPDF=Y")</f>
        <v>#NAME?</v>
      </c>
      <c r="AT165" s="2" t="e">
        <f ca="1">_xll.BDH($C$153,"INVENTORY_5_YEAR_GROWTH","FQ2 2016","FQ2 2016","Currency=INR","Period=FQ","BEST_FPERIOD_OVERRIDE=FQ","FILING_STATUS=OR","EQY_CONSOLIDATED=Y","Sort=A","Dates=H","DateFormat=P","Fill=—","Direction=H","UseDPDF=Y")</f>
        <v>#NAME?</v>
      </c>
      <c r="AU165" s="2" t="e">
        <f ca="1">_xll.BDH($C$153,"NET_FIXED_ASSETS_5_YEAR_GROWTH","FQ2 2016","FQ2 2016","Currency=INR","Period=FQ","BEST_FPERIOD_OVERRIDE=FQ","FILING_STATUS=OR","EQY_CONSOLIDATED=Y","Sort=A","Dates=H","DateFormat=P","Fill=—","Direction=H","UseDPDF=Y")</f>
        <v>#NAME?</v>
      </c>
      <c r="AV165" s="2" t="e">
        <f ca="1">_xll.BDH($C$153,"GEO_GROW_TOT_ASSET","FQ2 2016","FQ2 2016","Currency=INR","Period=FQ","BEST_FPERIOD_OVERRIDE=FQ","FILING_STATUS=OR","EQY_CONSOLIDATED=Y","Sort=A","Dates=H","DateFormat=P","Fill=—","Direction=H","UseDPDF=Y")</f>
        <v>#NAME?</v>
      </c>
      <c r="AW165" s="2" t="e">
        <f ca="1">_xll.BDH($C$153,"MODIFIED_WORKING_CPTL_5YR_GRWTH","FQ2 2016","FQ2 2016","Currency=INR","Period=FQ","BEST_FPERIOD_OVERRIDE=FQ","FILING_STATUS=OR","EQY_CONSOLIDATED=Y","Sort=A","Dates=H","DateFormat=P","Fill=—","Direction=H","UseDPDF=Y")</f>
        <v>#NAME?</v>
      </c>
      <c r="AX165" s="2" t="e">
        <f ca="1">_xll.BDH($C$153,"WORKING_CAPITAL_5_YEAR_GROWTH","FQ2 2016","FQ2 2016","Currency=INR","Period=FQ","BEST_FPERIOD_OVERRIDE=FQ","FILING_STATUS=OR","EQY_CONSOLIDATED=Y","Sort=A","Dates=H","DateFormat=P","Fill=—","Direction=H","UseDPDF=Y")</f>
        <v>#NAME?</v>
      </c>
      <c r="AY165" s="2" t="e">
        <f ca="1">_xll.BDH($C$153,"ACCOUNTS_PAYABLE_5_YEAR_GROWTH","FQ2 2016","FQ2 2016","Currency=INR","Period=FQ","BEST_FPERIOD_OVERRIDE=FQ","FILING_STATUS=OR","EQY_CONSOLIDATED=Y","Sort=A","Dates=H","DateFormat=P","Fill=—","Direction=H","UseDPDF=Y")</f>
        <v>#NAME?</v>
      </c>
      <c r="AZ165" s="2" t="e">
        <f ca="1">_xll.BDH($C$153,"SHORT_TERM_DEBT_5_YEAR_GROWTH","FQ2 2016","FQ2 2016","Currency=INR","Period=FQ","BEST_FPERIOD_OVERRIDE=FQ","FILING_STATUS=OR","EQY_CONSOLIDATED=Y","Sort=A","Dates=H","DateFormat=P","Fill=—","Direction=H","UseDPDF=Y")</f>
        <v>#NAME?</v>
      </c>
      <c r="BA165" s="2" t="e">
        <f ca="1">_xll.BDH($C$153,"TOTAL_DEBT_5_YEAR_GROWTH","FQ2 2016","FQ2 2016","Currency=INR","Period=FQ","BEST_FPERIOD_OVERRIDE=FQ","FILING_STATUS=OR","EQY_CONSOLIDATED=Y","Sort=A","Dates=H","DateFormat=P","Fill=—","Direction=H","UseDPDF=Y")</f>
        <v>#NAME?</v>
      </c>
      <c r="BB165" s="2" t="e">
        <f ca="1">_xll.BDH($C$153,"GEO_GROW_TOT_SHRHLDR_EQY","FQ2 2016","FQ2 2016","Currency=INR","Period=FQ","BEST_FPERIOD_OVERRIDE=FQ","FILING_STATUS=OR","EQY_CONSOLIDATED=Y","Sort=A","Dates=H","DateFormat=P","Fill=—","Direction=H","UseDPDF=Y")</f>
        <v>#NAME?</v>
      </c>
      <c r="BC165" s="2" t="e">
        <f ca="1">_xll.BDH($C$153,"TOTAL_CAPITAL_5_YEAR_GROWTH","FQ2 2016","FQ2 2016","Currency=INR","Period=FQ","BEST_FPERIOD_OVERRIDE=FQ","FILING_STATUS=OR","EQY_CONSOLIDATED=Y","Sort=A","Dates=H","DateFormat=P","Fill=—","Direction=H","UseDPDF=Y")</f>
        <v>#NAME?</v>
      </c>
      <c r="BD165" s="2" t="e">
        <f ca="1">_xll.BDH($C$153,"GEO_GROW_BOOK_VAL","FQ2 2016","FQ2 2016","Currency=INR","Period=FQ","BEST_FPERIOD_OVERRIDE=FQ","FILING_STATUS=OR","EQY_CONSOLIDATED=Y","Sort=A","Dates=H","DateFormat=P","Fill=—","Direction=H","UseDPDF=Y")</f>
        <v>#NAME?</v>
      </c>
      <c r="BE165" s="2" t="e">
        <f ca="1">_xll.BDH($C$153,"GEO_GROW_CASH_OPER_ACT","FQ2 2016","FQ2 2016","Currency=INR","Period=FQ","BEST_FPERIOD_OVERRIDE=FQ","FILING_STATUS=OR","EQY_CONSOLIDATED=Y","Sort=A","Dates=H","DateFormat=P","Fill=—","Direction=H","UseDPDF=Y")</f>
        <v>#NAME?</v>
      </c>
      <c r="BF165" s="2" t="e">
        <f ca="1">_xll.BDH($C$153,"REVENUE_SEQUENTIAL_GROWTH","FQ2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165" s="2" t="e">
        <f ca="1">_xll.BDH($C$153,"EBITDA_SEQUENTIAL_GROWTH","FQ2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165" s="2" t="e">
        <f ca="1">_xll.BDH($C$153,"OPERATING_INCOME_SEQ_GROWTH","FQ2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165" s="2" t="e">
        <f ca="1">_xll.BDH($C$153,"NET_INCOME_TO_COMMON_SEQ_GROWTH","FQ2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165" s="2" t="e">
        <f ca="1">_xll.BDH($C$153,"EPS_DILUTED_SEQUENTIAL_GROWTH","FQ2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165" s="2" t="e">
        <f ca="1">_xll.BDH($C$153,"DPS_SEQUENTIAL_GROWTH","FQ2 2016","FQ2 2016","Currency=INR","Period=FQ","BEST_FPERIOD_OVERRIDE=FQ","FILING_STATUS=OR","EQY_CONSOLIDATED=Y","Sort=A","Dates=H","DateFormat=P","Fill=—","Direction=H","UseDPDF=Y")</f>
        <v>#NAME?</v>
      </c>
      <c r="BL165" s="2" t="e">
        <f ca="1">_xll.BDH($C$153,"ACCOUNTS_RECEIVABLE_SEQ_GROWTH","FQ2 2016","FQ2 2016","Currency=INR","Period=FQ","BEST_FPERIOD_OVERRIDE=FQ","FILING_STATUS=OR","EQY_CONSOLIDATED=Y","Sort=A","Dates=H","DateFormat=P","Fill=—","Direction=H","UseDPDF=Y")</f>
        <v>#NAME?</v>
      </c>
      <c r="BM165" s="2" t="e">
        <f ca="1">_xll.BDH($C$153,"INVENTORY_SEQUENTIAL_GROWTH","FQ2 2016","FQ2 2016","Currency=INR","Period=FQ","BEST_FPERIOD_OVERRIDE=FQ","FILING_STATUS=OR","EQY_CONSOLIDATED=Y","Sort=A","Dates=H","DateFormat=P","Fill=—","Direction=H","UseDPDF=Y")</f>
        <v>#NAME?</v>
      </c>
      <c r="BN165" s="2" t="e">
        <f ca="1">_xll.BDH($C$153,"FIXED_ASSETS_SEQUENTIAL_GROWTH","FQ2 2016","FQ2 2016","Currency=INR","Period=FQ","BEST_FPERIOD_OVERRIDE=FQ","FILING_STATUS=OR","EQY_CONSOLIDATED=Y","Sort=A","Dates=H","DateFormat=P","Fill=—","Direction=H","UseDPDF=Y")</f>
        <v>#NAME?</v>
      </c>
      <c r="BO165" s="2" t="e">
        <f ca="1">_xll.BDH($C$153,"TOTAL_ASSETS_SEQUENTIAL_GROWTH","FQ2 2016","FQ2 2016","Currency=INR","Period=FQ","BEST_FPERIOD_OVERRIDE=FQ","FILING_STATUS=OR","EQY_CONSOLIDATED=Y","Sort=A","Dates=H","DateFormat=P","Fill=—","Direction=H","UseDPDF=Y")</f>
        <v>#NAME?</v>
      </c>
      <c r="BP165" s="2" t="e">
        <f ca="1">_xll.BDH($C$153,"MODIFIED_WORKING_CPTL_SEQ_GRWTH","FQ2 2016","FQ2 2016","Currency=INR","Period=FQ","BEST_FPERIOD_OVERRIDE=FQ","FILING_STATUS=OR","EQY_CONSOLIDATED=Y","Sort=A","Dates=H","DateFormat=P","Fill=—","Direction=H","UseDPDF=Y")</f>
        <v>#NAME?</v>
      </c>
      <c r="BQ165" s="2" t="e">
        <f ca="1">_xll.BDH($C$153,"WORKING_CAPITAL_SEQ_GROWTH","FQ2 2016","FQ2 2016","Currency=INR","Period=FQ","BEST_FPERIOD_OVERRIDE=FQ","FILING_STATUS=OR","EQY_CONSOLIDATED=Y","Sort=A","Dates=H","DateFormat=P","Fill=—","Direction=H","UseDPDF=Y")</f>
        <v>#NAME?</v>
      </c>
      <c r="BR165" s="2" t="e">
        <f ca="1">_xll.BDH($C$153,"ACCOUNTS_PAYABLE_SEQ_GROWTH","FQ2 2016","FQ2 2016","Currency=INR","Period=FQ","BEST_FPERIOD_OVERRIDE=FQ","FILING_STATUS=OR","EQY_CONSOLIDATED=Y","Sort=A","Dates=H","DateFormat=P","Fill=—","Direction=H","UseDPDF=Y")</f>
        <v>#NAME?</v>
      </c>
      <c r="BS165" s="2" t="e">
        <f ca="1">_xll.BDH($C$153,"ST_DEBT_SEQUENTIAL_GROWTH","FQ2 2016","FQ2 2016","Currency=INR","Period=FQ","BEST_FPERIOD_OVERRIDE=FQ","FILING_STATUS=OR","EQY_CONSOLIDATED=Y","Sort=A","Dates=H","DateFormat=P","Fill=—","Direction=H","UseDPDF=Y")</f>
        <v>#NAME?</v>
      </c>
      <c r="BT165" s="2" t="e">
        <f ca="1">_xll.BDH($C$153,"TOTAL_DEBT_SEQUENTIAL_GROWTH","FQ2 2016","FQ2 2016","Currency=INR","Period=FQ","BEST_FPERIOD_OVERRIDE=FQ","FILING_STATUS=OR","EQY_CONSOLIDATED=Y","Sort=A","Dates=H","DateFormat=P","Fill=—","Direction=H","UseDPDF=Y")</f>
        <v>#NAME?</v>
      </c>
      <c r="BU165" s="2" t="e">
        <f ca="1">_xll.BDH($C$153,"TOTAL_EQUITY_SEQUENTIAL_GROWTH","FQ2 2016","FQ2 2016","Currency=INR","Period=FQ","BEST_FPERIOD_OVERRIDE=FQ","FILING_STATUS=OR","EQY_CONSOLIDATED=Y","Sort=A","Dates=H","DateFormat=P","Fill=—","Direction=H","UseDPDF=Y")</f>
        <v>#NAME?</v>
      </c>
      <c r="BV165" s="2" t="e">
        <f ca="1">_xll.BDH($C$153,"TOTAL_CAPITAL_SEQUENTIAL_GROWTH","FQ2 2016","FQ2 2016","Currency=INR","Period=FQ","BEST_FPERIOD_OVERRIDE=FQ","FILING_STATUS=OR","EQY_CONSOLIDATED=Y","Sort=A","Dates=H","DateFormat=P","Fill=—","Direction=H","UseDPDF=Y")</f>
        <v>#NAME?</v>
      </c>
      <c r="BW165" s="2" t="e">
        <f ca="1">_xll.BDH($C$153,"BPS_SEQUENTIAL_GROWTH","FQ2 2016","FQ2 2016","Currency=INR","Period=FQ","BEST_FPERIOD_OVERRIDE=FQ","FILING_STATUS=OR","EQY_CONSOLIDATED=Y","Sort=A","Dates=H","DateFormat=P","Fill=—","Direction=H","UseDPDF=Y")</f>
        <v>#NAME?</v>
      </c>
      <c r="BX165" s="2" t="e">
        <f ca="1">_xll.BDH($C$153,"CFO_SEQUENTIAL_GROWTH","FQ2 2016","FQ2 2016","Currency=INR","Period=FQ","BEST_FPERIOD_OVERRIDE=FQ","FILING_STATUS=OR","EQY_CONSOLIDATED=Y","Sort=A","Dates=H","DateFormat=P","Fill=—","Direction=H","UseDPDF=Y")</f>
        <v>#NAME?</v>
      </c>
      <c r="BY165" s="3" t="e">
        <f ca="1">_xll.BDH($C$153,"SHORT_AND_LONG_TERM_DEBT","FQ2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165" s="3" t="e">
        <f ca="1">_xll.BDH($C$153,"BS_ST_BORROW","FQ2 2016","FQ2 2016","Currency=INR","Period=FQ","BEST_FPERIOD_OVERRIDE=FQ","FILING_STATUS=OR","EQY_CONSOLIDATED=Y","SCALING_FORMAT=MLN","Sort=A","Dates=H","DateFormat=P","Fill=—","Direction=H","UseDPDF=Y")</f>
        <v>#NAME?</v>
      </c>
      <c r="CA165" s="3" t="e">
        <f ca="1">_xll.BDH($C$153,"BS_LT_BORROW","FQ2 2016","FQ2 2016","Currency=INR","Period=FQ","BEST_FPERIOD_OVERRIDE=FQ","FILING_STATUS=OR","EQY_CONSOLIDATED=Y","SCALING_FORMAT=MLN","Sort=A","Dates=H","DateFormat=P","Fill=—","Direction=H","UseDPDF=Y")</f>
        <v>#NAME?</v>
      </c>
      <c r="CB165" s="2" t="e">
        <f ca="1">_xll.BDH($C$153,"TOT_DEBT_TO_EBITDA","FQ2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165" s="2" t="e">
        <f ca="1">_xll.BDH($C$153,"NET_DEBT_TO_EBITDA","FQ2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165" s="2" t="e">
        <f ca="1">_xll.BDH($C$153,"TOTAL_DEBT_TO_EBIT","FQ2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165" s="2" t="e">
        <f ca="1">_xll.BDH($C$153,"NET_DEBT_TO_EBIT","FQ2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165" s="2" t="e">
        <f ca="1">_xll.BDH($C$153,"EBITDA_TO_INTEREST_EXPN","FQ2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165" s="2" t="e">
        <f ca="1">_xll.BDH($C$153,"COM_EQY_TO_TOT_ASSET","FQ2 2016","FQ2 2016","Currency=INR","Period=FQ","BEST_FPERIOD_OVERRIDE=FQ","FILING_STATUS=OR","EQY_CONSOLIDATED=Y","Sort=A","Dates=H","DateFormat=P","Fill=—","Direction=H","UseDPDF=Y")</f>
        <v>#NAME?</v>
      </c>
      <c r="CH165" s="2" t="e">
        <f ca="1">_xll.BDH($C$153,"LT_DEBT_TO_TOT_EQY","FQ2 2016","FQ2 2016","Currency=INR","Period=FQ","BEST_FPERIOD_OVERRIDE=FQ","FILING_STATUS=OR","EQY_CONSOLIDATED=Y","Sort=A","Dates=H","DateFormat=P","Fill=—","Direction=H","UseDPDF=Y")</f>
        <v>#NAME?</v>
      </c>
      <c r="CI165" s="2" t="e">
        <f ca="1">_xll.BDH($C$153,"LT_DEBT_TO_TOT_CAP","FQ2 2016","FQ2 2016","Currency=INR","Period=FQ","BEST_FPERIOD_OVERRIDE=FQ","FILING_STATUS=OR","EQY_CONSOLIDATED=Y","Sort=A","Dates=H","DateFormat=P","Fill=—","Direction=H","UseDPDF=Y")</f>
        <v>#NAME?</v>
      </c>
      <c r="CJ165" s="2" t="e">
        <f ca="1">_xll.BDH($C$153,"LT_DEBT_TO_TOT_ASSET","FQ2 2016","FQ2 2016","Currency=INR","Period=FQ","BEST_FPERIOD_OVERRIDE=FQ","FILING_STATUS=OR","EQY_CONSOLIDATED=Y","Sort=A","Dates=H","DateFormat=P","Fill=—","Direction=H","UseDPDF=Y")</f>
        <v>#NAME?</v>
      </c>
      <c r="CK165" s="2" t="e">
        <f ca="1">_xll.BDH($C$153,"TOT_DEBT_TO_TOT_EQY","FQ2 2016","FQ2 2016","Currency=INR","Period=FQ","BEST_FPERIOD_OVERRIDE=FQ","FILING_STATUS=OR","EQY_CONSOLIDATED=Y","Sort=A","Dates=H","DateFormat=P","Fill=—","Direction=H","UseDPDF=Y")</f>
        <v>#NAME?</v>
      </c>
      <c r="CL165" s="2" t="e">
        <f ca="1">_xll.BDH($C$153,"TOT_DEBT_TO_TOT_CAP","FQ2 2016","FQ2 2016","Currency=INR","Period=FQ","BEST_FPERIOD_OVERRIDE=FQ","FILING_STATUS=OR","EQY_CONSOLIDATED=Y","Sort=A","Dates=H","DateFormat=P","Fill=—","Direction=H","UseDPDF=Y")</f>
        <v>#NAME?</v>
      </c>
      <c r="CM165" s="2" t="e">
        <f ca="1">_xll.BDH($C$153,"TOT_DEBT_TO_TOT_ASSET","FQ2 2016","FQ2 2016","Currency=INR","Period=FQ","BEST_FPERIOD_OVERRIDE=FQ","FILING_STATUS=OR","EQY_CONSOLIDATED=Y","Sort=A","Dates=H","DateFormat=P","Fill=—","Direction=H","UseDPDF=Y")</f>
        <v>#NAME?</v>
      </c>
      <c r="CN165" s="2" t="e">
        <f ca="1">_xll.BDH($C$153,"NET_DEBT_TO_SHRHLDR_EQTY","FQ2 2016","FQ2 2016","Currency=INR","Period=FQ","BEST_FPERIOD_OVERRIDE=FQ","FILING_STATUS=OR","EQY_CONSOLIDATED=Y","Sort=A","Dates=H","DateFormat=P","Fill=—","Direction=H","UseDPDF=Y")</f>
        <v>#NAME?</v>
      </c>
      <c r="CO165" s="2" t="e">
        <f ca="1">_xll.BDH($C$153,"NET_DEBT_%_CAPITAL","FQ2 2016","FQ2 2016","Currency=INR","Period=FQ","BEST_FPERIOD_OVERRIDE=FQ","FILING_STATUS=OR","EQY_CONSOLIDATED=Y","Sort=A","Dates=H","DateFormat=P","Fill=—","Direction=H","UseDPDF=Y")</f>
        <v>#NAME?</v>
      </c>
      <c r="CP165" s="3" t="e">
        <f ca="1">_xll.BDH($C$153,"EBITDA","FQ2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165" s="3" t="e">
        <f ca="1">_xll.BDH($C$153,"EBITDA_AFTER_CAPEX","FQ2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165" s="3" t="e">
        <f ca="1">_xll.BDH($C$153,"IS_OPER_INC","FQ2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165" s="2" t="e">
        <f ca="1">_xll.BDH($C$153,"CASH_RATIO","FQ2 2016","FQ2 2016","Currency=INR","Period=FQ","BEST_FPERIOD_OVERRIDE=FQ","FILING_STATUS=OR","EQY_CONSOLIDATED=Y","Sort=A","Dates=H","DateFormat=P","Fill=—","Direction=H","UseDPDF=Y")</f>
        <v>#NAME?</v>
      </c>
      <c r="CT165" s="2" t="e">
        <f ca="1">_xll.BDH($C$153,"CUR_RATIO","FQ2 2016","FQ2 2016","Currency=INR","Period=FQ","BEST_FPERIOD_OVERRIDE=FQ","FILING_STATUS=OR","EQY_CONSOLIDATED=Y","Sort=A","Dates=H","DateFormat=P","Fill=—","Direction=H","UseDPDF=Y")</f>
        <v>#NAME?</v>
      </c>
      <c r="CU165" s="2" t="e">
        <f ca="1">_xll.BDH($C$153,"QUICK_RATIO","FQ2 2016","FQ2 2016","Currency=INR","Period=FQ","BEST_FPERIOD_OVERRIDE=FQ","FILING_STATUS=OR","EQY_CONSOLIDATED=Y","Sort=A","Dates=H","DateFormat=P","Fill=—","Direction=H","UseDPDF=Y")</f>
        <v>#NAME?</v>
      </c>
      <c r="CV165" s="2" t="e">
        <f ca="1">_xll.BDH($C$153,"ALTMAN_Z_SCORE","FQ2 2016","FQ2 2016","Currency=INR","Period=FQ","BEST_FPERIOD_OVERRIDE=FQ","FILING_STATUS=OR","EQY_CONSOLIDATED=Y","Sort=A","Dates=H","DateFormat=P","Fill=—","Direction=H","UseDPDF=Y")</f>
        <v>#NAME?</v>
      </c>
      <c r="CW165" s="4" t="e">
        <f ca="1">_xll.BDH($C$153,"ACCT_RCV_TURN","FQ2 2016","FQ2 2016","Currency=INR","Period=FQ","BEST_FPERIOD_OVERRIDE=FQ","FILING_STATUS=OR","EQY_CONSOLIDATED=Y","FA_ADJUSTED=GAAP","Sort=A","Dates=H","DateFormat=P","Fill=—","Direction=H","UseDPDF=Y")</f>
        <v>#NAME?</v>
      </c>
      <c r="CX165" s="2" t="e">
        <f ca="1">_xll.BDH($C$153,"ACCT_RCV_DAYS","FQ2 2016","FQ2 2016","Currency=INR","Period=FQ","BEST_FPERIOD_OVERRIDE=FQ","FILING_STATUS=OR","EQY_CONSOLIDATED=Y","FA_ADJUSTED=GAAP","Sort=A","Dates=H","DateFormat=P","Fill=—","Direction=H","UseDPDF=Y")</f>
        <v>#NAME?</v>
      </c>
      <c r="CY165" s="4" t="e">
        <f ca="1">_xll.BDH($C$153,"INVENT_TURN","FQ2 2016","FQ2 2016","Currency=INR","Period=FQ","BEST_FPERIOD_OVERRIDE=FQ","FILING_STATUS=OR","EQY_CONSOLIDATED=Y","FA_ADJUSTED=GAAP","Sort=A","Dates=H","DateFormat=P","Fill=—","Direction=H","UseDPDF=Y")</f>
        <v>#NAME?</v>
      </c>
      <c r="CZ165" s="2" t="e">
        <f ca="1">_xll.BDH($C$153,"INVENT_DAYS","FQ2 2016","FQ2 2016","Currency=INR","Period=FQ","BEST_FPERIOD_OVERRIDE=FQ","FILING_STATUS=OR","EQY_CONSOLIDATED=Y","FA_ADJUSTED=GAAP","Sort=A","Dates=H","DateFormat=P","Fill=—","Direction=H","UseDPDF=Y")</f>
        <v>#NAME?</v>
      </c>
      <c r="DA165" s="4" t="e">
        <f ca="1">_xll.BDH($C$153,"ACCOUNTS_PAYABLE_TURNOVER","FQ2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165" s="2" t="e">
        <f ca="1">_xll.BDH($C$153,"ACCOUNTS_PAYABLE_TURNOVER_DAYS","FQ2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165" s="4" t="e">
        <f ca="1">_xll.BDH($C$153,"CASH_CONVERSION_CYCLE","FQ2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165" s="4" t="e">
        <f ca="1">_xll.BDH($C$153,"INV_TO_CASH_DAYS","FQ2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165" s="5" t="e">
        <f ca="1">_xll.BDH($C$153,"BS_INVENTORIES","FQ2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165" s="3" t="e">
        <f ca="1">_xll.BDH($C$153,"INVTRY_RAW_MATERIALS","FQ2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165" s="3" t="e">
        <f ca="1">_xll.BDH($C$153,"INVTRY_IN_PROGRESS","FQ2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165" s="3" t="e">
        <f ca="1">_xll.BDH($C$153,"INVTRY_FINISHED_GOODS","FQ2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165" s="3" t="e">
        <f ca="1">_xll.BDH($C$153,"BS_OTHER_INV","FQ2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166" spans="1:113" x14ac:dyDescent="0.3">
      <c r="A166" s="6"/>
      <c r="B166" s="6"/>
      <c r="C166" s="6"/>
      <c r="D166" s="6"/>
      <c r="E166" t="s">
        <v>80</v>
      </c>
      <c r="F166" t="e">
        <f ca="1">_xll.BDH($C$153,"RETURN_COM_EQY","FQ3 2016","FQ3 2016","Currency=INR","Period=FQ","BEST_FPERIOD_OVERRIDE=FQ","FILING_STATUS=OR","EQY_CONSOLIDATED=Y","FA_ADJUSTED=GAAP","Sort=A","Dates=H","DateFormat=P","Fill=—","Direction=H","UseDPDF=Y")</f>
        <v>#NAME?</v>
      </c>
      <c r="G166" t="e">
        <f ca="1">_xll.BDH($C$153,"RETURN_ON_ASSET","FQ3 2016","FQ3 2016","Currency=INR","Period=FQ","BEST_FPERIOD_OVERRIDE=FQ","FILING_STATUS=OR","EQY_CONSOLIDATED=Y","FA_ADJUSTED=GAAP","Sort=A","Dates=H","DateFormat=P","Fill=—","Direction=H","UseDPDF=Y")</f>
        <v>#NAME?</v>
      </c>
      <c r="H166" t="e">
        <f ca="1">_xll.BDH($C$153,"RETURN_ON_CAP","FQ3 2016","FQ3 2016","Currency=INR","Period=FQ","BEST_FPERIOD_OVERRIDE=FQ","FILING_STATUS=OR","EQY_CONSOLIDATED=Y","FA_ADJUSTED=GAAP","Sort=A","Dates=H","DateFormat=P","Fill=—","Direction=H","UseDPDF=Y")</f>
        <v>#NAME?</v>
      </c>
      <c r="I166" t="e">
        <f ca="1">_xll.BDH($C$153,"RETURN_ON_INV_CAPITAL","FQ3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166" t="e">
        <f ca="1">_xll.BDH($C$153,"EBITDA_TO_REVENUE","FQ3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166" t="e">
        <f ca="1">_xll.BDH($C$153,"OPER_MARGIN","FQ3 2016","FQ3 2016","Currency=INR","Period=FQ","BEST_FPERIOD_OVERRIDE=FQ","FILING_STATUS=OR","EQY_CONSOLIDATED=Y","FA_ADJUSTED=GAAP","Sort=A","Dates=H","DateFormat=P","Fill=—","Direction=H","UseDPDF=Y")</f>
        <v>#NAME?</v>
      </c>
      <c r="L166" t="e">
        <f ca="1">_xll.BDH($C$153,"INCREMENTAL_OPERATING_MARGIN","FQ3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166" t="e">
        <f ca="1">_xll.BDH($C$153,"PRETAX_INC_TO_NET_SALES","FQ3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166" t="e">
        <f ca="1">_xll.BDH($C$153,"INC_BEF_XO_ITEMS_TO_NET_SALES","FQ3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166" t="e">
        <f ca="1">_xll.BDH($C$153,"PROF_MARGIN","FQ3 2016","FQ3 2016","Currency=INR","Period=FQ","BEST_FPERIOD_OVERRIDE=FQ","FILING_STATUS=OR","EQY_CONSOLIDATED=Y","FA_ADJUSTED=GAAP","Sort=A","Dates=H","DateFormat=P","Fill=—","Direction=H","UseDPDF=Y")</f>
        <v>#NAME?</v>
      </c>
      <c r="P166" t="e">
        <f ca="1">_xll.BDH($C$153,"NET_INCOME_TO_COMMON_MARGIN","FQ3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166" t="e">
        <f ca="1">_xll.BDH($C$153,"EFF_TAX_RATE","FQ3 2016","FQ3 2016","Currency=INR","Period=FQ","BEST_FPERIOD_OVERRIDE=FQ","FILING_STATUS=OR","EQY_CONSOLIDATED=Y","FA_ADJUSTED=GAAP","Sort=A","Dates=H","DateFormat=P","Fill=—","Direction=H","UseDPDF=Y")</f>
        <v>#NAME?</v>
      </c>
      <c r="R166" t="e">
        <f ca="1">_xll.BDH($C$153,"DVD_PAYOUT_RATIO","FQ3 2016","FQ3 2016","Currency=INR","Period=FQ","BEST_FPERIOD_OVERRIDE=FQ","FILING_STATUS=OR","EQY_CONSOLIDATED=Y","FA_ADJUSTED=GAAP","Sort=A","Dates=H","DateFormat=P","Fill=—","Direction=H","UseDPDF=Y")</f>
        <v>#NAME?</v>
      </c>
      <c r="S166" t="e">
        <f ca="1">_xll.BDH($C$153,"SUSTAIN_GROWTH_RT","FQ3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166" s="2" t="e">
        <f ca="1">_xll.BDH($C$153,"SALES_GROWTH","FQ3 2016","FQ3 2016","Currency=INR","Period=FQ","BEST_FPERIOD_OVERRIDE=FQ","FILING_STATUS=OR","EQY_CONSOLIDATED=Y","FA_ADJUSTED=GAAP","Sort=A","Dates=H","DateFormat=P","Fill=—","Direction=H","UseDPDF=Y")</f>
        <v>#NAME?</v>
      </c>
      <c r="U166" s="2" t="e">
        <f ca="1">_xll.BDH($C$153,"EBITDA_GROWTH","FQ3 2016","FQ3 2016","Currency=INR","Period=FQ","BEST_FPERIOD_OVERRIDE=FQ","FILING_STATUS=OR","EQY_CONSOLIDATED=Y","FA_ADJUSTED=GAAP","Sort=A","Dates=H","DateFormat=P","Fill=—","Direction=H","UseDPDF=Y")</f>
        <v>#NAME?</v>
      </c>
      <c r="V166" s="2" t="e">
        <f ca="1">_xll.BDH($C$153,"OPER_INC_GROWTH","FQ3 2016","FQ3 2016","Currency=INR","Period=FQ","BEST_FPERIOD_OVERRIDE=FQ","FILING_STATUS=OR","EQY_CONSOLIDATED=Y","FA_ADJUSTED=GAAP","Sort=A","Dates=H","DateFormat=P","Fill=—","Direction=H","UseDPDF=Y")</f>
        <v>#NAME?</v>
      </c>
      <c r="W166" s="2" t="e">
        <f ca="1">_xll.BDH($C$153,"EARN_FOR_COM_GROWTH","FQ3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166" s="2" t="e">
        <f ca="1">_xll.BDH($C$153,"DILUTED_EPS_AFT_XO_ITEMS_GROWTH","FQ3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166" s="2" t="e">
        <f ca="1">_xll.BDH($C$153,"DIVIDEND_PER_SHARE_1_YEAR_GROWTH","FQ3 2016","FQ3 2016","Currency=INR","Period=FQ","BEST_FPERIOD_OVERRIDE=FQ","FILING_STATUS=OR","EQY_CONSOLIDATED=Y","Sort=A","Dates=H","DateFormat=P","Fill=—","Direction=H","UseDPDF=Y")</f>
        <v>#NAME?</v>
      </c>
      <c r="Z166" s="2" t="e">
        <f ca="1">_xll.BDH($C$153,"ACCOUNTS_RECEIVABLE_GROWTH","FQ3 2016","FQ3 2016","Currency=INR","Period=FQ","BEST_FPERIOD_OVERRIDE=FQ","FILING_STATUS=OR","EQY_CONSOLIDATED=Y","Sort=A","Dates=H","DateFormat=P","Fill=—","Direction=H","UseDPDF=Y")</f>
        <v>#NAME?</v>
      </c>
      <c r="AA166" s="2" t="e">
        <f ca="1">_xll.BDH($C$153,"INVENTORY_GROWTH","FQ3 2016","FQ3 2016","Currency=INR","Period=FQ","BEST_FPERIOD_OVERRIDE=FQ","FILING_STATUS=OR","EQY_CONSOLIDATED=Y","Sort=A","Dates=H","DateFormat=P","Fill=—","Direction=H","UseDPDF=Y")</f>
        <v>#NAME?</v>
      </c>
      <c r="AB166" s="2" t="e">
        <f ca="1">_xll.BDH($C$153,"NET_FIXED_ASSETS_1_YEAR_GROWTH","FQ3 2016","FQ3 2016","Currency=INR","Period=FQ","BEST_FPERIOD_OVERRIDE=FQ","FILING_STATUS=OR","EQY_CONSOLIDATED=Y","Sort=A","Dates=H","DateFormat=P","Fill=—","Direction=H","UseDPDF=Y")</f>
        <v>#NAME?</v>
      </c>
      <c r="AC166" s="2" t="e">
        <f ca="1">_xll.BDH($C$153,"ASSET_GROWTH","FQ3 2016","FQ3 2016","Currency=INR","Period=FQ","BEST_FPERIOD_OVERRIDE=FQ","FILING_STATUS=OR","EQY_CONSOLIDATED=Y","Sort=A","Dates=H","DateFormat=P","Fill=—","Direction=H","UseDPDF=Y")</f>
        <v>#NAME?</v>
      </c>
      <c r="AD166" s="2" t="e">
        <f ca="1">_xll.BDH($C$153,"MODIFIED_WORK_CAP_GROWTH","FQ3 2016","FQ3 2016","Currency=INR","Period=FQ","BEST_FPERIOD_OVERRIDE=FQ","FILING_STATUS=OR","EQY_CONSOLIDATED=Y","Sort=A","Dates=H","DateFormat=P","Fill=—","Direction=H","UseDPDF=Y")</f>
        <v>#NAME?</v>
      </c>
      <c r="AE166" s="2" t="e">
        <f ca="1">_xll.BDH($C$153,"WORK_CAP_GROWTH","FQ3 2016","FQ3 2016","Currency=INR","Period=FQ","BEST_FPERIOD_OVERRIDE=FQ","FILING_STATUS=OR","EQY_CONSOLIDATED=Y","Sort=A","Dates=H","DateFormat=P","Fill=—","Direction=H","UseDPDF=Y")</f>
        <v>#NAME?</v>
      </c>
      <c r="AF166" s="2" t="e">
        <f ca="1">_xll.BDH($C$153,"ACCOUNTS_PAYABLE_GROWTH_1YR","FQ3 2016","FQ3 2016","Currency=INR","Period=FQ","BEST_FPERIOD_OVERRIDE=FQ","FILING_STATUS=OR","EQY_CONSOLIDATED=Y","Sort=A","Dates=H","DateFormat=P","Fill=—","Direction=H","UseDPDF=Y")</f>
        <v>#NAME?</v>
      </c>
      <c r="AG166" s="2" t="e">
        <f ca="1">_xll.BDH($C$153,"SHORT_TERM_DEBT_1_YEAR_GROWTH","FQ3 2016","FQ3 2016","Currency=INR","Period=FQ","BEST_FPERIOD_OVERRIDE=FQ","FILING_STATUS=OR","EQY_CONSOLIDATED=Y","Sort=A","Dates=H","DateFormat=P","Fill=—","Direction=H","UseDPDF=Y")</f>
        <v>#NAME?</v>
      </c>
      <c r="AH166" s="2" t="e">
        <f ca="1">_xll.BDH($C$153,"TOTAL_DEBT_1_YEAR_GROWTH","FQ3 2016","FQ3 2016","Currency=INR","Period=FQ","BEST_FPERIOD_OVERRIDE=FQ","FILING_STATUS=OR","EQY_CONSOLIDATED=Y","Sort=A","Dates=H","DateFormat=P","Fill=—","Direction=H","UseDPDF=Y")</f>
        <v>#NAME?</v>
      </c>
      <c r="AI166" s="2" t="e">
        <f ca="1">_xll.BDH($C$153,"TOTAL_EQUITY_1_YEAR_GROWTH","FQ3 2016","FQ3 2016","Currency=INR","Period=FQ","BEST_FPERIOD_OVERRIDE=FQ","FILING_STATUS=OR","EQY_CONSOLIDATED=Y","Sort=A","Dates=H","DateFormat=P","Fill=—","Direction=H","UseDPDF=Y")</f>
        <v>#NAME?</v>
      </c>
      <c r="AJ166" s="2" t="e">
        <f ca="1">_xll.BDH($C$153,"GROWTH_IN_CAP","FQ3 2016","FQ3 2016","Currency=INR","Period=FQ","BEST_FPERIOD_OVERRIDE=FQ","FILING_STATUS=OR","EQY_CONSOLIDATED=Y","Sort=A","Dates=H","DateFormat=P","Fill=—","Direction=H","UseDPDF=Y")</f>
        <v>#NAME?</v>
      </c>
      <c r="AK166" s="2" t="e">
        <f ca="1">_xll.BDH($C$153,"BVPS_GROWTH","FQ3 2016","FQ3 2016","Currency=INR","Period=FQ","BEST_FPERIOD_OVERRIDE=FQ","FILING_STATUS=OR","EQY_CONSOLIDATED=Y","Sort=A","Dates=H","DateFormat=P","Fill=—","Direction=H","UseDPDF=Y")</f>
        <v>#NAME?</v>
      </c>
      <c r="AL166" s="2" t="e">
        <f ca="1">_xll.BDH($C$153,"CASH_FLOW_GROWTH","FQ3 2016","FQ3 2016","Currency=INR","Period=FQ","BEST_FPERIOD_OVERRIDE=FQ","FILING_STATUS=OR","EQY_CONSOLIDATED=Y","Sort=A","Dates=H","DateFormat=P","Fill=—","Direction=H","UseDPDF=Y")</f>
        <v>#NAME?</v>
      </c>
      <c r="AM166" s="2" t="e">
        <f ca="1">_xll.BDH($C$153,"GEO_GROW_NET_SALES","FQ3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166" s="2" t="e">
        <f ca="1">_xll.BDH($C$153,"GEO_GROW_EBITDA","FQ3 2016","FQ3 2016","Currency=INR","Period=FQ","BEST_FPERIOD_OVERRIDE=FQ","FILING_STATUS=OR","EQY_CONSOLIDATED=Y","FA_ADJUSTED=GAAP","Sort=A","Dates=H","DateFormat=P","Fill=—","Direction=H","UseDPDF=Y")</f>
        <v>#NAME?</v>
      </c>
      <c r="AO166" s="2" t="e">
        <f ca="1">_xll.BDH($C$153,"GEO_GROW_OPER_INC","FQ3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166" s="2" t="e">
        <f ca="1">_xll.BDH($C$153,"NET_INCOME_TO_COMMON_5_YR_GROWTH","FQ3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166" s="2" t="e">
        <f ca="1">_xll.BDH($C$153,"5Y_GEO_GROWTH_DILUTED_EPS","FQ3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166" s="2" t="e">
        <f ca="1">_xll.BDH($C$153,"GEO_GROW_DVD_PER_SH","FQ3 2016","FQ3 2016","Currency=INR","Period=FQ","BEST_FPERIOD_OVERRIDE=FQ","FILING_STATUS=OR","EQY_CONSOLIDATED=Y","Sort=A","Dates=H","DateFormat=P","Fill=—","Direction=H","UseDPDF=Y")</f>
        <v>#NAME?</v>
      </c>
      <c r="AS166" s="2" t="e">
        <f ca="1">_xll.BDH($C$153,"ACCOUNTS_RECEIVABLE_5_YR_GROWTH","FQ3 2016","FQ3 2016","Currency=INR","Period=FQ","BEST_FPERIOD_OVERRIDE=FQ","FILING_STATUS=OR","EQY_CONSOLIDATED=Y","Sort=A","Dates=H","DateFormat=P","Fill=—","Direction=H","UseDPDF=Y")</f>
        <v>#NAME?</v>
      </c>
      <c r="AT166" s="2" t="e">
        <f ca="1">_xll.BDH($C$153,"INVENTORY_5_YEAR_GROWTH","FQ3 2016","FQ3 2016","Currency=INR","Period=FQ","BEST_FPERIOD_OVERRIDE=FQ","FILING_STATUS=OR","EQY_CONSOLIDATED=Y","Sort=A","Dates=H","DateFormat=P","Fill=—","Direction=H","UseDPDF=Y")</f>
        <v>#NAME?</v>
      </c>
      <c r="AU166" s="2" t="e">
        <f ca="1">_xll.BDH($C$153,"NET_FIXED_ASSETS_5_YEAR_GROWTH","FQ3 2016","FQ3 2016","Currency=INR","Period=FQ","BEST_FPERIOD_OVERRIDE=FQ","FILING_STATUS=OR","EQY_CONSOLIDATED=Y","Sort=A","Dates=H","DateFormat=P","Fill=—","Direction=H","UseDPDF=Y")</f>
        <v>#NAME?</v>
      </c>
      <c r="AV166" s="2" t="e">
        <f ca="1">_xll.BDH($C$153,"GEO_GROW_TOT_ASSET","FQ3 2016","FQ3 2016","Currency=INR","Period=FQ","BEST_FPERIOD_OVERRIDE=FQ","FILING_STATUS=OR","EQY_CONSOLIDATED=Y","Sort=A","Dates=H","DateFormat=P","Fill=—","Direction=H","UseDPDF=Y")</f>
        <v>#NAME?</v>
      </c>
      <c r="AW166" s="2" t="e">
        <f ca="1">_xll.BDH($C$153,"MODIFIED_WORKING_CPTL_5YR_GRWTH","FQ3 2016","FQ3 2016","Currency=INR","Period=FQ","BEST_FPERIOD_OVERRIDE=FQ","FILING_STATUS=OR","EQY_CONSOLIDATED=Y","Sort=A","Dates=H","DateFormat=P","Fill=—","Direction=H","UseDPDF=Y")</f>
        <v>#NAME?</v>
      </c>
      <c r="AX166" s="2" t="e">
        <f ca="1">_xll.BDH($C$153,"WORKING_CAPITAL_5_YEAR_GROWTH","FQ3 2016","FQ3 2016","Currency=INR","Period=FQ","BEST_FPERIOD_OVERRIDE=FQ","FILING_STATUS=OR","EQY_CONSOLIDATED=Y","Sort=A","Dates=H","DateFormat=P","Fill=—","Direction=H","UseDPDF=Y")</f>
        <v>#NAME?</v>
      </c>
      <c r="AY166" s="2" t="e">
        <f ca="1">_xll.BDH($C$153,"ACCOUNTS_PAYABLE_5_YEAR_GROWTH","FQ3 2016","FQ3 2016","Currency=INR","Period=FQ","BEST_FPERIOD_OVERRIDE=FQ","FILING_STATUS=OR","EQY_CONSOLIDATED=Y","Sort=A","Dates=H","DateFormat=P","Fill=—","Direction=H","UseDPDF=Y")</f>
        <v>#NAME?</v>
      </c>
      <c r="AZ166" s="2" t="e">
        <f ca="1">_xll.BDH($C$153,"SHORT_TERM_DEBT_5_YEAR_GROWTH","FQ3 2016","FQ3 2016","Currency=INR","Period=FQ","BEST_FPERIOD_OVERRIDE=FQ","FILING_STATUS=OR","EQY_CONSOLIDATED=Y","Sort=A","Dates=H","DateFormat=P","Fill=—","Direction=H","UseDPDF=Y")</f>
        <v>#NAME?</v>
      </c>
      <c r="BA166" s="2" t="e">
        <f ca="1">_xll.BDH($C$153,"TOTAL_DEBT_5_YEAR_GROWTH","FQ3 2016","FQ3 2016","Currency=INR","Period=FQ","BEST_FPERIOD_OVERRIDE=FQ","FILING_STATUS=OR","EQY_CONSOLIDATED=Y","Sort=A","Dates=H","DateFormat=P","Fill=—","Direction=H","UseDPDF=Y")</f>
        <v>#NAME?</v>
      </c>
      <c r="BB166" s="2" t="e">
        <f ca="1">_xll.BDH($C$153,"GEO_GROW_TOT_SHRHLDR_EQY","FQ3 2016","FQ3 2016","Currency=INR","Period=FQ","BEST_FPERIOD_OVERRIDE=FQ","FILING_STATUS=OR","EQY_CONSOLIDATED=Y","Sort=A","Dates=H","DateFormat=P","Fill=—","Direction=H","UseDPDF=Y")</f>
        <v>#NAME?</v>
      </c>
      <c r="BC166" s="2" t="e">
        <f ca="1">_xll.BDH($C$153,"TOTAL_CAPITAL_5_YEAR_GROWTH","FQ3 2016","FQ3 2016","Currency=INR","Period=FQ","BEST_FPERIOD_OVERRIDE=FQ","FILING_STATUS=OR","EQY_CONSOLIDATED=Y","Sort=A","Dates=H","DateFormat=P","Fill=—","Direction=H","UseDPDF=Y")</f>
        <v>#NAME?</v>
      </c>
      <c r="BD166" s="2" t="e">
        <f ca="1">_xll.BDH($C$153,"GEO_GROW_BOOK_VAL","FQ3 2016","FQ3 2016","Currency=INR","Period=FQ","BEST_FPERIOD_OVERRIDE=FQ","FILING_STATUS=OR","EQY_CONSOLIDATED=Y","Sort=A","Dates=H","DateFormat=P","Fill=—","Direction=H","UseDPDF=Y")</f>
        <v>#NAME?</v>
      </c>
      <c r="BE166" s="2" t="e">
        <f ca="1">_xll.BDH($C$153,"GEO_GROW_CASH_OPER_ACT","FQ3 2016","FQ3 2016","Currency=INR","Period=FQ","BEST_FPERIOD_OVERRIDE=FQ","FILING_STATUS=OR","EQY_CONSOLIDATED=Y","Sort=A","Dates=H","DateFormat=P","Fill=—","Direction=H","UseDPDF=Y")</f>
        <v>#NAME?</v>
      </c>
      <c r="BF166" s="2" t="e">
        <f ca="1">_xll.BDH($C$153,"REVENUE_SEQUENTIAL_GROWTH","FQ3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166" s="2" t="e">
        <f ca="1">_xll.BDH($C$153,"EBITDA_SEQUENTIAL_GROWTH","FQ3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166" s="2" t="e">
        <f ca="1">_xll.BDH($C$153,"OPERATING_INCOME_SEQ_GROWTH","FQ3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166" s="2" t="e">
        <f ca="1">_xll.BDH($C$153,"NET_INCOME_TO_COMMON_SEQ_GROWTH","FQ3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166" s="2" t="e">
        <f ca="1">_xll.BDH($C$153,"EPS_DILUTED_SEQUENTIAL_GROWTH","FQ3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166" s="2" t="e">
        <f ca="1">_xll.BDH($C$153,"DPS_SEQUENTIAL_GROWTH","FQ3 2016","FQ3 2016","Currency=INR","Period=FQ","BEST_FPERIOD_OVERRIDE=FQ","FILING_STATUS=OR","EQY_CONSOLIDATED=Y","Sort=A","Dates=H","DateFormat=P","Fill=—","Direction=H","UseDPDF=Y")</f>
        <v>#NAME?</v>
      </c>
      <c r="BL166" s="2" t="e">
        <f ca="1">_xll.BDH($C$153,"ACCOUNTS_RECEIVABLE_SEQ_GROWTH","FQ3 2016","FQ3 2016","Currency=INR","Period=FQ","BEST_FPERIOD_OVERRIDE=FQ","FILING_STATUS=OR","EQY_CONSOLIDATED=Y","Sort=A","Dates=H","DateFormat=P","Fill=—","Direction=H","UseDPDF=Y")</f>
        <v>#NAME?</v>
      </c>
      <c r="BM166" s="2" t="e">
        <f ca="1">_xll.BDH($C$153,"INVENTORY_SEQUENTIAL_GROWTH","FQ3 2016","FQ3 2016","Currency=INR","Period=FQ","BEST_FPERIOD_OVERRIDE=FQ","FILING_STATUS=OR","EQY_CONSOLIDATED=Y","Sort=A","Dates=H","DateFormat=P","Fill=—","Direction=H","UseDPDF=Y")</f>
        <v>#NAME?</v>
      </c>
      <c r="BN166" s="2" t="e">
        <f ca="1">_xll.BDH($C$153,"FIXED_ASSETS_SEQUENTIAL_GROWTH","FQ3 2016","FQ3 2016","Currency=INR","Period=FQ","BEST_FPERIOD_OVERRIDE=FQ","FILING_STATUS=OR","EQY_CONSOLIDATED=Y","Sort=A","Dates=H","DateFormat=P","Fill=—","Direction=H","UseDPDF=Y")</f>
        <v>#NAME?</v>
      </c>
      <c r="BO166" s="2" t="e">
        <f ca="1">_xll.BDH($C$153,"TOTAL_ASSETS_SEQUENTIAL_GROWTH","FQ3 2016","FQ3 2016","Currency=INR","Period=FQ","BEST_FPERIOD_OVERRIDE=FQ","FILING_STATUS=OR","EQY_CONSOLIDATED=Y","Sort=A","Dates=H","DateFormat=P","Fill=—","Direction=H","UseDPDF=Y")</f>
        <v>#NAME?</v>
      </c>
      <c r="BP166" s="2" t="e">
        <f ca="1">_xll.BDH($C$153,"MODIFIED_WORKING_CPTL_SEQ_GRWTH","FQ3 2016","FQ3 2016","Currency=INR","Period=FQ","BEST_FPERIOD_OVERRIDE=FQ","FILING_STATUS=OR","EQY_CONSOLIDATED=Y","Sort=A","Dates=H","DateFormat=P","Fill=—","Direction=H","UseDPDF=Y")</f>
        <v>#NAME?</v>
      </c>
      <c r="BQ166" s="2" t="e">
        <f ca="1">_xll.BDH($C$153,"WORKING_CAPITAL_SEQ_GROWTH","FQ3 2016","FQ3 2016","Currency=INR","Period=FQ","BEST_FPERIOD_OVERRIDE=FQ","FILING_STATUS=OR","EQY_CONSOLIDATED=Y","Sort=A","Dates=H","DateFormat=P","Fill=—","Direction=H","UseDPDF=Y")</f>
        <v>#NAME?</v>
      </c>
      <c r="BR166" s="2" t="e">
        <f ca="1">_xll.BDH($C$153,"ACCOUNTS_PAYABLE_SEQ_GROWTH","FQ3 2016","FQ3 2016","Currency=INR","Period=FQ","BEST_FPERIOD_OVERRIDE=FQ","FILING_STATUS=OR","EQY_CONSOLIDATED=Y","Sort=A","Dates=H","DateFormat=P","Fill=—","Direction=H","UseDPDF=Y")</f>
        <v>#NAME?</v>
      </c>
      <c r="BS166" s="2" t="e">
        <f ca="1">_xll.BDH($C$153,"ST_DEBT_SEQUENTIAL_GROWTH","FQ3 2016","FQ3 2016","Currency=INR","Period=FQ","BEST_FPERIOD_OVERRIDE=FQ","FILING_STATUS=OR","EQY_CONSOLIDATED=Y","Sort=A","Dates=H","DateFormat=P","Fill=—","Direction=H","UseDPDF=Y")</f>
        <v>#NAME?</v>
      </c>
      <c r="BT166" s="2" t="e">
        <f ca="1">_xll.BDH($C$153,"TOTAL_DEBT_SEQUENTIAL_GROWTH","FQ3 2016","FQ3 2016","Currency=INR","Period=FQ","BEST_FPERIOD_OVERRIDE=FQ","FILING_STATUS=OR","EQY_CONSOLIDATED=Y","Sort=A","Dates=H","DateFormat=P","Fill=—","Direction=H","UseDPDF=Y")</f>
        <v>#NAME?</v>
      </c>
      <c r="BU166" s="2" t="e">
        <f ca="1">_xll.BDH($C$153,"TOTAL_EQUITY_SEQUENTIAL_GROWTH","FQ3 2016","FQ3 2016","Currency=INR","Period=FQ","BEST_FPERIOD_OVERRIDE=FQ","FILING_STATUS=OR","EQY_CONSOLIDATED=Y","Sort=A","Dates=H","DateFormat=P","Fill=—","Direction=H","UseDPDF=Y")</f>
        <v>#NAME?</v>
      </c>
      <c r="BV166" s="2" t="e">
        <f ca="1">_xll.BDH($C$153,"TOTAL_CAPITAL_SEQUENTIAL_GROWTH","FQ3 2016","FQ3 2016","Currency=INR","Period=FQ","BEST_FPERIOD_OVERRIDE=FQ","FILING_STATUS=OR","EQY_CONSOLIDATED=Y","Sort=A","Dates=H","DateFormat=P","Fill=—","Direction=H","UseDPDF=Y")</f>
        <v>#NAME?</v>
      </c>
      <c r="BW166" s="2" t="e">
        <f ca="1">_xll.BDH($C$153,"BPS_SEQUENTIAL_GROWTH","FQ3 2016","FQ3 2016","Currency=INR","Period=FQ","BEST_FPERIOD_OVERRIDE=FQ","FILING_STATUS=OR","EQY_CONSOLIDATED=Y","Sort=A","Dates=H","DateFormat=P","Fill=—","Direction=H","UseDPDF=Y")</f>
        <v>#NAME?</v>
      </c>
      <c r="BX166" s="2" t="e">
        <f ca="1">_xll.BDH($C$153,"CFO_SEQUENTIAL_GROWTH","FQ3 2016","FQ3 2016","Currency=INR","Period=FQ","BEST_FPERIOD_OVERRIDE=FQ","FILING_STATUS=OR","EQY_CONSOLIDATED=Y","Sort=A","Dates=H","DateFormat=P","Fill=—","Direction=H","UseDPDF=Y")</f>
        <v>#NAME?</v>
      </c>
      <c r="BY166" s="3" t="e">
        <f ca="1">_xll.BDH($C$153,"SHORT_AND_LONG_TERM_DEBT","FQ3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166" s="3" t="e">
        <f ca="1">_xll.BDH($C$153,"BS_ST_BORROW","FQ3 2016","FQ3 2016","Currency=INR","Period=FQ","BEST_FPERIOD_OVERRIDE=FQ","FILING_STATUS=OR","EQY_CONSOLIDATED=Y","SCALING_FORMAT=MLN","Sort=A","Dates=H","DateFormat=P","Fill=—","Direction=H","UseDPDF=Y")</f>
        <v>#NAME?</v>
      </c>
      <c r="CA166" s="3" t="e">
        <f ca="1">_xll.BDH($C$153,"BS_LT_BORROW","FQ3 2016","FQ3 2016","Currency=INR","Period=FQ","BEST_FPERIOD_OVERRIDE=FQ","FILING_STATUS=OR","EQY_CONSOLIDATED=Y","SCALING_FORMAT=MLN","Sort=A","Dates=H","DateFormat=P","Fill=—","Direction=H","UseDPDF=Y")</f>
        <v>#NAME?</v>
      </c>
      <c r="CB166" s="2" t="e">
        <f ca="1">_xll.BDH($C$153,"TOT_DEBT_TO_EBITDA","FQ3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166" s="2" t="e">
        <f ca="1">_xll.BDH($C$153,"NET_DEBT_TO_EBITDA","FQ3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166" s="2" t="e">
        <f ca="1">_xll.BDH($C$153,"TOTAL_DEBT_TO_EBIT","FQ3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166" s="2" t="e">
        <f ca="1">_xll.BDH($C$153,"NET_DEBT_TO_EBIT","FQ3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166" s="2" t="e">
        <f ca="1">_xll.BDH($C$153,"EBITDA_TO_INTEREST_EXPN","FQ3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166" s="2" t="e">
        <f ca="1">_xll.BDH($C$153,"COM_EQY_TO_TOT_ASSET","FQ3 2016","FQ3 2016","Currency=INR","Period=FQ","BEST_FPERIOD_OVERRIDE=FQ","FILING_STATUS=OR","EQY_CONSOLIDATED=Y","Sort=A","Dates=H","DateFormat=P","Fill=—","Direction=H","UseDPDF=Y")</f>
        <v>#NAME?</v>
      </c>
      <c r="CH166" s="2" t="e">
        <f ca="1">_xll.BDH($C$153,"LT_DEBT_TO_TOT_EQY","FQ3 2016","FQ3 2016","Currency=INR","Period=FQ","BEST_FPERIOD_OVERRIDE=FQ","FILING_STATUS=OR","EQY_CONSOLIDATED=Y","Sort=A","Dates=H","DateFormat=P","Fill=—","Direction=H","UseDPDF=Y")</f>
        <v>#NAME?</v>
      </c>
      <c r="CI166" s="2" t="e">
        <f ca="1">_xll.BDH($C$153,"LT_DEBT_TO_TOT_CAP","FQ3 2016","FQ3 2016","Currency=INR","Period=FQ","BEST_FPERIOD_OVERRIDE=FQ","FILING_STATUS=OR","EQY_CONSOLIDATED=Y","Sort=A","Dates=H","DateFormat=P","Fill=—","Direction=H","UseDPDF=Y")</f>
        <v>#NAME?</v>
      </c>
      <c r="CJ166" s="2" t="e">
        <f ca="1">_xll.BDH($C$153,"LT_DEBT_TO_TOT_ASSET","FQ3 2016","FQ3 2016","Currency=INR","Period=FQ","BEST_FPERIOD_OVERRIDE=FQ","FILING_STATUS=OR","EQY_CONSOLIDATED=Y","Sort=A","Dates=H","DateFormat=P","Fill=—","Direction=H","UseDPDF=Y")</f>
        <v>#NAME?</v>
      </c>
      <c r="CK166" s="2" t="e">
        <f ca="1">_xll.BDH($C$153,"TOT_DEBT_TO_TOT_EQY","FQ3 2016","FQ3 2016","Currency=INR","Period=FQ","BEST_FPERIOD_OVERRIDE=FQ","FILING_STATUS=OR","EQY_CONSOLIDATED=Y","Sort=A","Dates=H","DateFormat=P","Fill=—","Direction=H","UseDPDF=Y")</f>
        <v>#NAME?</v>
      </c>
      <c r="CL166" s="2" t="e">
        <f ca="1">_xll.BDH($C$153,"TOT_DEBT_TO_TOT_CAP","FQ3 2016","FQ3 2016","Currency=INR","Period=FQ","BEST_FPERIOD_OVERRIDE=FQ","FILING_STATUS=OR","EQY_CONSOLIDATED=Y","Sort=A","Dates=H","DateFormat=P","Fill=—","Direction=H","UseDPDF=Y")</f>
        <v>#NAME?</v>
      </c>
      <c r="CM166" s="2" t="e">
        <f ca="1">_xll.BDH($C$153,"TOT_DEBT_TO_TOT_ASSET","FQ3 2016","FQ3 2016","Currency=INR","Period=FQ","BEST_FPERIOD_OVERRIDE=FQ","FILING_STATUS=OR","EQY_CONSOLIDATED=Y","Sort=A","Dates=H","DateFormat=P","Fill=—","Direction=H","UseDPDF=Y")</f>
        <v>#NAME?</v>
      </c>
      <c r="CN166" s="2" t="e">
        <f ca="1">_xll.BDH($C$153,"NET_DEBT_TO_SHRHLDR_EQTY","FQ3 2016","FQ3 2016","Currency=INR","Period=FQ","BEST_FPERIOD_OVERRIDE=FQ","FILING_STATUS=OR","EQY_CONSOLIDATED=Y","Sort=A","Dates=H","DateFormat=P","Fill=—","Direction=H","UseDPDF=Y")</f>
        <v>#NAME?</v>
      </c>
      <c r="CO166" s="2" t="e">
        <f ca="1">_xll.BDH($C$153,"NET_DEBT_%_CAPITAL","FQ3 2016","FQ3 2016","Currency=INR","Period=FQ","BEST_FPERIOD_OVERRIDE=FQ","FILING_STATUS=OR","EQY_CONSOLIDATED=Y","Sort=A","Dates=H","DateFormat=P","Fill=—","Direction=H","UseDPDF=Y")</f>
        <v>#NAME?</v>
      </c>
      <c r="CP166" s="3" t="e">
        <f ca="1">_xll.BDH($C$153,"EBITDA","FQ3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166" s="3" t="e">
        <f ca="1">_xll.BDH($C$153,"EBITDA_AFTER_CAPEX","FQ3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166" s="3" t="e">
        <f ca="1">_xll.BDH($C$153,"IS_OPER_INC","FQ3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166" s="2" t="e">
        <f ca="1">_xll.BDH($C$153,"CASH_RATIO","FQ3 2016","FQ3 2016","Currency=INR","Period=FQ","BEST_FPERIOD_OVERRIDE=FQ","FILING_STATUS=OR","EQY_CONSOLIDATED=Y","Sort=A","Dates=H","DateFormat=P","Fill=—","Direction=H","UseDPDF=Y")</f>
        <v>#NAME?</v>
      </c>
      <c r="CT166" s="2" t="e">
        <f ca="1">_xll.BDH($C$153,"CUR_RATIO","FQ3 2016","FQ3 2016","Currency=INR","Period=FQ","BEST_FPERIOD_OVERRIDE=FQ","FILING_STATUS=OR","EQY_CONSOLIDATED=Y","Sort=A","Dates=H","DateFormat=P","Fill=—","Direction=H","UseDPDF=Y")</f>
        <v>#NAME?</v>
      </c>
      <c r="CU166" s="2" t="e">
        <f ca="1">_xll.BDH($C$153,"QUICK_RATIO","FQ3 2016","FQ3 2016","Currency=INR","Period=FQ","BEST_FPERIOD_OVERRIDE=FQ","FILING_STATUS=OR","EQY_CONSOLIDATED=Y","Sort=A","Dates=H","DateFormat=P","Fill=—","Direction=H","UseDPDF=Y")</f>
        <v>#NAME?</v>
      </c>
      <c r="CV166" s="2" t="e">
        <f ca="1">_xll.BDH($C$153,"ALTMAN_Z_SCORE","FQ3 2016","FQ3 2016","Currency=INR","Period=FQ","BEST_FPERIOD_OVERRIDE=FQ","FILING_STATUS=OR","EQY_CONSOLIDATED=Y","Sort=A","Dates=H","DateFormat=P","Fill=—","Direction=H","UseDPDF=Y")</f>
        <v>#NAME?</v>
      </c>
      <c r="CW166" s="4" t="e">
        <f ca="1">_xll.BDH($C$153,"ACCT_RCV_TURN","FQ3 2016","FQ3 2016","Currency=INR","Period=FQ","BEST_FPERIOD_OVERRIDE=FQ","FILING_STATUS=OR","EQY_CONSOLIDATED=Y","FA_ADJUSTED=GAAP","Sort=A","Dates=H","DateFormat=P","Fill=—","Direction=H","UseDPDF=Y")</f>
        <v>#NAME?</v>
      </c>
      <c r="CX166" s="2" t="e">
        <f ca="1">_xll.BDH($C$153,"ACCT_RCV_DAYS","FQ3 2016","FQ3 2016","Currency=INR","Period=FQ","BEST_FPERIOD_OVERRIDE=FQ","FILING_STATUS=OR","EQY_CONSOLIDATED=Y","FA_ADJUSTED=GAAP","Sort=A","Dates=H","DateFormat=P","Fill=—","Direction=H","UseDPDF=Y")</f>
        <v>#NAME?</v>
      </c>
      <c r="CY166" s="4" t="e">
        <f ca="1">_xll.BDH($C$153,"INVENT_TURN","FQ3 2016","FQ3 2016","Currency=INR","Period=FQ","BEST_FPERIOD_OVERRIDE=FQ","FILING_STATUS=OR","EQY_CONSOLIDATED=Y","FA_ADJUSTED=GAAP","Sort=A","Dates=H","DateFormat=P","Fill=—","Direction=H","UseDPDF=Y")</f>
        <v>#NAME?</v>
      </c>
      <c r="CZ166" s="2" t="e">
        <f ca="1">_xll.BDH($C$153,"INVENT_DAYS","FQ3 2016","FQ3 2016","Currency=INR","Period=FQ","BEST_FPERIOD_OVERRIDE=FQ","FILING_STATUS=OR","EQY_CONSOLIDATED=Y","FA_ADJUSTED=GAAP","Sort=A","Dates=H","DateFormat=P","Fill=—","Direction=H","UseDPDF=Y")</f>
        <v>#NAME?</v>
      </c>
      <c r="DA166" s="4" t="e">
        <f ca="1">_xll.BDH($C$153,"ACCOUNTS_PAYABLE_TURNOVER","FQ3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166" s="2" t="e">
        <f ca="1">_xll.BDH($C$153,"ACCOUNTS_PAYABLE_TURNOVER_DAYS","FQ3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166" s="4" t="e">
        <f ca="1">_xll.BDH($C$153,"CASH_CONVERSION_CYCLE","FQ3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166" s="4" t="e">
        <f ca="1">_xll.BDH($C$153,"INV_TO_CASH_DAYS","FQ3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166" s="5" t="e">
        <f ca="1">_xll.BDH($C$153,"BS_INVENTORIES","FQ3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166" s="3" t="e">
        <f ca="1">_xll.BDH($C$153,"INVTRY_RAW_MATERIALS","FQ3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166" s="3" t="e">
        <f ca="1">_xll.BDH($C$153,"INVTRY_IN_PROGRESS","FQ3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166" s="3" t="e">
        <f ca="1">_xll.BDH($C$153,"INVTRY_FINISHED_GOODS","FQ3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166" s="3" t="e">
        <f ca="1">_xll.BDH($C$153,"BS_OTHER_INV","FQ3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167" spans="1:113" x14ac:dyDescent="0.3">
      <c r="A167" s="6"/>
      <c r="B167" s="6"/>
      <c r="C167" s="6"/>
      <c r="D167" s="6"/>
      <c r="E167" t="s">
        <v>81</v>
      </c>
      <c r="F167" t="e">
        <f ca="1">_xll.BDH($C$153,"RETURN_COM_EQY","FQ4 2016","FQ4 2016","Currency=INR","Period=FQ","BEST_FPERIOD_OVERRIDE=FQ","FILING_STATUS=OR","EQY_CONSOLIDATED=Y","FA_ADJUSTED=GAAP","Sort=A","Dates=H","DateFormat=P","Fill=—","Direction=H","UseDPDF=Y")</f>
        <v>#NAME?</v>
      </c>
      <c r="G167" t="e">
        <f ca="1">_xll.BDH($C$153,"RETURN_ON_ASSET","FQ4 2016","FQ4 2016","Currency=INR","Period=FQ","BEST_FPERIOD_OVERRIDE=FQ","FILING_STATUS=OR","EQY_CONSOLIDATED=Y","FA_ADJUSTED=GAAP","Sort=A","Dates=H","DateFormat=P","Fill=—","Direction=H","UseDPDF=Y")</f>
        <v>#NAME?</v>
      </c>
      <c r="H167" t="e">
        <f ca="1">_xll.BDH($C$153,"RETURN_ON_CAP","FQ4 2016","FQ4 2016","Currency=INR","Period=FQ","BEST_FPERIOD_OVERRIDE=FQ","FILING_STATUS=OR","EQY_CONSOLIDATED=Y","FA_ADJUSTED=GAAP","Sort=A","Dates=H","DateFormat=P","Fill=—","Direction=H","UseDPDF=Y")</f>
        <v>#NAME?</v>
      </c>
      <c r="I167" t="e">
        <f ca="1">_xll.BDH($C$153,"RETURN_ON_INV_CAPITAL","FQ4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167" t="e">
        <f ca="1">_xll.BDH($C$153,"EBITDA_TO_REVENUE","FQ4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167" t="e">
        <f ca="1">_xll.BDH($C$153,"OPER_MARGIN","FQ4 2016","FQ4 2016","Currency=INR","Period=FQ","BEST_FPERIOD_OVERRIDE=FQ","FILING_STATUS=OR","EQY_CONSOLIDATED=Y","FA_ADJUSTED=GAAP","Sort=A","Dates=H","DateFormat=P","Fill=—","Direction=H","UseDPDF=Y")</f>
        <v>#NAME?</v>
      </c>
      <c r="L167" t="e">
        <f ca="1">_xll.BDH($C$153,"INCREMENTAL_OPERATING_MARGIN","FQ4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167" t="e">
        <f ca="1">_xll.BDH($C$153,"PRETAX_INC_TO_NET_SALES","FQ4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167" t="e">
        <f ca="1">_xll.BDH($C$153,"INC_BEF_XO_ITEMS_TO_NET_SALES","FQ4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167" t="e">
        <f ca="1">_xll.BDH($C$153,"PROF_MARGIN","FQ4 2016","FQ4 2016","Currency=INR","Period=FQ","BEST_FPERIOD_OVERRIDE=FQ","FILING_STATUS=OR","EQY_CONSOLIDATED=Y","FA_ADJUSTED=GAAP","Sort=A","Dates=H","DateFormat=P","Fill=—","Direction=H","UseDPDF=Y")</f>
        <v>#NAME?</v>
      </c>
      <c r="P167" t="e">
        <f ca="1">_xll.BDH($C$153,"NET_INCOME_TO_COMMON_MARGIN","FQ4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167" t="e">
        <f ca="1">_xll.BDH($C$153,"EFF_TAX_RATE","FQ4 2016","FQ4 2016","Currency=INR","Period=FQ","BEST_FPERIOD_OVERRIDE=FQ","FILING_STATUS=OR","EQY_CONSOLIDATED=Y","FA_ADJUSTED=GAAP","Sort=A","Dates=H","DateFormat=P","Fill=—","Direction=H","UseDPDF=Y")</f>
        <v>#NAME?</v>
      </c>
      <c r="R167" t="e">
        <f ca="1">_xll.BDH($C$153,"DVD_PAYOUT_RATIO","FQ4 2016","FQ4 2016","Currency=INR","Period=FQ","BEST_FPERIOD_OVERRIDE=FQ","FILING_STATUS=OR","EQY_CONSOLIDATED=Y","FA_ADJUSTED=GAAP","Sort=A","Dates=H","DateFormat=P","Fill=—","Direction=H","UseDPDF=Y")</f>
        <v>#NAME?</v>
      </c>
      <c r="S167" t="e">
        <f ca="1">_xll.BDH($C$153,"SUSTAIN_GROWTH_RT","FQ4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167" s="2" t="e">
        <f ca="1">_xll.BDH($C$153,"SALES_GROWTH","FQ4 2016","FQ4 2016","Currency=INR","Period=FQ","BEST_FPERIOD_OVERRIDE=FQ","FILING_STATUS=OR","EQY_CONSOLIDATED=Y","FA_ADJUSTED=GAAP","Sort=A","Dates=H","DateFormat=P","Fill=—","Direction=H","UseDPDF=Y")</f>
        <v>#NAME?</v>
      </c>
      <c r="U167" s="2" t="e">
        <f ca="1">_xll.BDH($C$153,"EBITDA_GROWTH","FQ4 2016","FQ4 2016","Currency=INR","Period=FQ","BEST_FPERIOD_OVERRIDE=FQ","FILING_STATUS=OR","EQY_CONSOLIDATED=Y","FA_ADJUSTED=GAAP","Sort=A","Dates=H","DateFormat=P","Fill=—","Direction=H","UseDPDF=Y")</f>
        <v>#NAME?</v>
      </c>
      <c r="V167" s="2" t="e">
        <f ca="1">_xll.BDH($C$153,"OPER_INC_GROWTH","FQ4 2016","FQ4 2016","Currency=INR","Period=FQ","BEST_FPERIOD_OVERRIDE=FQ","FILING_STATUS=OR","EQY_CONSOLIDATED=Y","FA_ADJUSTED=GAAP","Sort=A","Dates=H","DateFormat=P","Fill=—","Direction=H","UseDPDF=Y")</f>
        <v>#NAME?</v>
      </c>
      <c r="W167" s="2" t="e">
        <f ca="1">_xll.BDH($C$153,"EARN_FOR_COM_GROWTH","FQ4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167" s="2" t="e">
        <f ca="1">_xll.BDH($C$153,"DILUTED_EPS_AFT_XO_ITEMS_GROWTH","FQ4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167" s="2" t="e">
        <f ca="1">_xll.BDH($C$153,"DIVIDEND_PER_SHARE_1_YEAR_GROWTH","FQ4 2016","FQ4 2016","Currency=INR","Period=FQ","BEST_FPERIOD_OVERRIDE=FQ","FILING_STATUS=OR","EQY_CONSOLIDATED=Y","Sort=A","Dates=H","DateFormat=P","Fill=—","Direction=H","UseDPDF=Y")</f>
        <v>#NAME?</v>
      </c>
      <c r="Z167" s="2" t="e">
        <f ca="1">_xll.BDH($C$153,"ACCOUNTS_RECEIVABLE_GROWTH","FQ4 2016","FQ4 2016","Currency=INR","Period=FQ","BEST_FPERIOD_OVERRIDE=FQ","FILING_STATUS=OR","EQY_CONSOLIDATED=Y","Sort=A","Dates=H","DateFormat=P","Fill=—","Direction=H","UseDPDF=Y")</f>
        <v>#NAME?</v>
      </c>
      <c r="AA167" s="2" t="e">
        <f ca="1">_xll.BDH($C$153,"INVENTORY_GROWTH","FQ4 2016","FQ4 2016","Currency=INR","Period=FQ","BEST_FPERIOD_OVERRIDE=FQ","FILING_STATUS=OR","EQY_CONSOLIDATED=Y","Sort=A","Dates=H","DateFormat=P","Fill=—","Direction=H","UseDPDF=Y")</f>
        <v>#NAME?</v>
      </c>
      <c r="AB167" s="2" t="e">
        <f ca="1">_xll.BDH($C$153,"NET_FIXED_ASSETS_1_YEAR_GROWTH","FQ4 2016","FQ4 2016","Currency=INR","Period=FQ","BEST_FPERIOD_OVERRIDE=FQ","FILING_STATUS=OR","EQY_CONSOLIDATED=Y","Sort=A","Dates=H","DateFormat=P","Fill=—","Direction=H","UseDPDF=Y")</f>
        <v>#NAME?</v>
      </c>
      <c r="AC167" s="2" t="e">
        <f ca="1">_xll.BDH($C$153,"ASSET_GROWTH","FQ4 2016","FQ4 2016","Currency=INR","Period=FQ","BEST_FPERIOD_OVERRIDE=FQ","FILING_STATUS=OR","EQY_CONSOLIDATED=Y","Sort=A","Dates=H","DateFormat=P","Fill=—","Direction=H","UseDPDF=Y")</f>
        <v>#NAME?</v>
      </c>
      <c r="AD167" s="2" t="e">
        <f ca="1">_xll.BDH($C$153,"MODIFIED_WORK_CAP_GROWTH","FQ4 2016","FQ4 2016","Currency=INR","Period=FQ","BEST_FPERIOD_OVERRIDE=FQ","FILING_STATUS=OR","EQY_CONSOLIDATED=Y","Sort=A","Dates=H","DateFormat=P","Fill=—","Direction=H","UseDPDF=Y")</f>
        <v>#NAME?</v>
      </c>
      <c r="AE167" s="2" t="e">
        <f ca="1">_xll.BDH($C$153,"WORK_CAP_GROWTH","FQ4 2016","FQ4 2016","Currency=INR","Period=FQ","BEST_FPERIOD_OVERRIDE=FQ","FILING_STATUS=OR","EQY_CONSOLIDATED=Y","Sort=A","Dates=H","DateFormat=P","Fill=—","Direction=H","UseDPDF=Y")</f>
        <v>#NAME?</v>
      </c>
      <c r="AF167" s="2" t="e">
        <f ca="1">_xll.BDH($C$153,"ACCOUNTS_PAYABLE_GROWTH_1YR","FQ4 2016","FQ4 2016","Currency=INR","Period=FQ","BEST_FPERIOD_OVERRIDE=FQ","FILING_STATUS=OR","EQY_CONSOLIDATED=Y","Sort=A","Dates=H","DateFormat=P","Fill=—","Direction=H","UseDPDF=Y")</f>
        <v>#NAME?</v>
      </c>
      <c r="AG167" s="2" t="e">
        <f ca="1">_xll.BDH($C$153,"SHORT_TERM_DEBT_1_YEAR_GROWTH","FQ4 2016","FQ4 2016","Currency=INR","Period=FQ","BEST_FPERIOD_OVERRIDE=FQ","FILING_STATUS=OR","EQY_CONSOLIDATED=Y","Sort=A","Dates=H","DateFormat=P","Fill=—","Direction=H","UseDPDF=Y")</f>
        <v>#NAME?</v>
      </c>
      <c r="AH167" s="2" t="e">
        <f ca="1">_xll.BDH($C$153,"TOTAL_DEBT_1_YEAR_GROWTH","FQ4 2016","FQ4 2016","Currency=INR","Period=FQ","BEST_FPERIOD_OVERRIDE=FQ","FILING_STATUS=OR","EQY_CONSOLIDATED=Y","Sort=A","Dates=H","DateFormat=P","Fill=—","Direction=H","UseDPDF=Y")</f>
        <v>#NAME?</v>
      </c>
      <c r="AI167" s="2" t="e">
        <f ca="1">_xll.BDH($C$153,"TOTAL_EQUITY_1_YEAR_GROWTH","FQ4 2016","FQ4 2016","Currency=INR","Period=FQ","BEST_FPERIOD_OVERRIDE=FQ","FILING_STATUS=OR","EQY_CONSOLIDATED=Y","Sort=A","Dates=H","DateFormat=P","Fill=—","Direction=H","UseDPDF=Y")</f>
        <v>#NAME?</v>
      </c>
      <c r="AJ167" s="2" t="e">
        <f ca="1">_xll.BDH($C$153,"GROWTH_IN_CAP","FQ4 2016","FQ4 2016","Currency=INR","Period=FQ","BEST_FPERIOD_OVERRIDE=FQ","FILING_STATUS=OR","EQY_CONSOLIDATED=Y","Sort=A","Dates=H","DateFormat=P","Fill=—","Direction=H","UseDPDF=Y")</f>
        <v>#NAME?</v>
      </c>
      <c r="AK167" s="2" t="e">
        <f ca="1">_xll.BDH($C$153,"BVPS_GROWTH","FQ4 2016","FQ4 2016","Currency=INR","Period=FQ","BEST_FPERIOD_OVERRIDE=FQ","FILING_STATUS=OR","EQY_CONSOLIDATED=Y","Sort=A","Dates=H","DateFormat=P","Fill=—","Direction=H","UseDPDF=Y")</f>
        <v>#NAME?</v>
      </c>
      <c r="AL167" s="2" t="e">
        <f ca="1">_xll.BDH($C$153,"CASH_FLOW_GROWTH","FQ4 2016","FQ4 2016","Currency=INR","Period=FQ","BEST_FPERIOD_OVERRIDE=FQ","FILING_STATUS=OR","EQY_CONSOLIDATED=Y","Sort=A","Dates=H","DateFormat=P","Fill=—","Direction=H","UseDPDF=Y")</f>
        <v>#NAME?</v>
      </c>
      <c r="AM167" s="2" t="e">
        <f ca="1">_xll.BDH($C$153,"GEO_GROW_NET_SALES","FQ4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167" s="2" t="e">
        <f ca="1">_xll.BDH($C$153,"GEO_GROW_EBITDA","FQ4 2016","FQ4 2016","Currency=INR","Period=FQ","BEST_FPERIOD_OVERRIDE=FQ","FILING_STATUS=OR","EQY_CONSOLIDATED=Y","FA_ADJUSTED=GAAP","Sort=A","Dates=H","DateFormat=P","Fill=—","Direction=H","UseDPDF=Y")</f>
        <v>#NAME?</v>
      </c>
      <c r="AO167" s="2" t="e">
        <f ca="1">_xll.BDH($C$153,"GEO_GROW_OPER_INC","FQ4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167" s="2" t="e">
        <f ca="1">_xll.BDH($C$153,"NET_INCOME_TO_COMMON_5_YR_GROWTH","FQ4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167" s="2" t="e">
        <f ca="1">_xll.BDH($C$153,"5Y_GEO_GROWTH_DILUTED_EPS","FQ4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167" s="2" t="e">
        <f ca="1">_xll.BDH($C$153,"GEO_GROW_DVD_PER_SH","FQ4 2016","FQ4 2016","Currency=INR","Period=FQ","BEST_FPERIOD_OVERRIDE=FQ","FILING_STATUS=OR","EQY_CONSOLIDATED=Y","Sort=A","Dates=H","DateFormat=P","Fill=—","Direction=H","UseDPDF=Y")</f>
        <v>#NAME?</v>
      </c>
      <c r="AS167" s="2" t="e">
        <f ca="1">_xll.BDH($C$153,"ACCOUNTS_RECEIVABLE_5_YR_GROWTH","FQ4 2016","FQ4 2016","Currency=INR","Period=FQ","BEST_FPERIOD_OVERRIDE=FQ","FILING_STATUS=OR","EQY_CONSOLIDATED=Y","Sort=A","Dates=H","DateFormat=P","Fill=—","Direction=H","UseDPDF=Y")</f>
        <v>#NAME?</v>
      </c>
      <c r="AT167" s="2" t="e">
        <f ca="1">_xll.BDH($C$153,"INVENTORY_5_YEAR_GROWTH","FQ4 2016","FQ4 2016","Currency=INR","Period=FQ","BEST_FPERIOD_OVERRIDE=FQ","FILING_STATUS=OR","EQY_CONSOLIDATED=Y","Sort=A","Dates=H","DateFormat=P","Fill=—","Direction=H","UseDPDF=Y")</f>
        <v>#NAME?</v>
      </c>
      <c r="AU167" s="2" t="e">
        <f ca="1">_xll.BDH($C$153,"NET_FIXED_ASSETS_5_YEAR_GROWTH","FQ4 2016","FQ4 2016","Currency=INR","Period=FQ","BEST_FPERIOD_OVERRIDE=FQ","FILING_STATUS=OR","EQY_CONSOLIDATED=Y","Sort=A","Dates=H","DateFormat=P","Fill=—","Direction=H","UseDPDF=Y")</f>
        <v>#NAME?</v>
      </c>
      <c r="AV167" s="2" t="e">
        <f ca="1">_xll.BDH($C$153,"GEO_GROW_TOT_ASSET","FQ4 2016","FQ4 2016","Currency=INR","Period=FQ","BEST_FPERIOD_OVERRIDE=FQ","FILING_STATUS=OR","EQY_CONSOLIDATED=Y","Sort=A","Dates=H","DateFormat=P","Fill=—","Direction=H","UseDPDF=Y")</f>
        <v>#NAME?</v>
      </c>
      <c r="AW167" s="2" t="e">
        <f ca="1">_xll.BDH($C$153,"MODIFIED_WORKING_CPTL_5YR_GRWTH","FQ4 2016","FQ4 2016","Currency=INR","Period=FQ","BEST_FPERIOD_OVERRIDE=FQ","FILING_STATUS=OR","EQY_CONSOLIDATED=Y","Sort=A","Dates=H","DateFormat=P","Fill=—","Direction=H","UseDPDF=Y")</f>
        <v>#NAME?</v>
      </c>
      <c r="AX167" s="2" t="e">
        <f ca="1">_xll.BDH($C$153,"WORKING_CAPITAL_5_YEAR_GROWTH","FQ4 2016","FQ4 2016","Currency=INR","Period=FQ","BEST_FPERIOD_OVERRIDE=FQ","FILING_STATUS=OR","EQY_CONSOLIDATED=Y","Sort=A","Dates=H","DateFormat=P","Fill=—","Direction=H","UseDPDF=Y")</f>
        <v>#NAME?</v>
      </c>
      <c r="AY167" s="2" t="e">
        <f ca="1">_xll.BDH($C$153,"ACCOUNTS_PAYABLE_5_YEAR_GROWTH","FQ4 2016","FQ4 2016","Currency=INR","Period=FQ","BEST_FPERIOD_OVERRIDE=FQ","FILING_STATUS=OR","EQY_CONSOLIDATED=Y","Sort=A","Dates=H","DateFormat=P","Fill=—","Direction=H","UseDPDF=Y")</f>
        <v>#NAME?</v>
      </c>
      <c r="AZ167" s="2" t="e">
        <f ca="1">_xll.BDH($C$153,"SHORT_TERM_DEBT_5_YEAR_GROWTH","FQ4 2016","FQ4 2016","Currency=INR","Period=FQ","BEST_FPERIOD_OVERRIDE=FQ","FILING_STATUS=OR","EQY_CONSOLIDATED=Y","Sort=A","Dates=H","DateFormat=P","Fill=—","Direction=H","UseDPDF=Y")</f>
        <v>#NAME?</v>
      </c>
      <c r="BA167" s="2" t="e">
        <f ca="1">_xll.BDH($C$153,"TOTAL_DEBT_5_YEAR_GROWTH","FQ4 2016","FQ4 2016","Currency=INR","Period=FQ","BEST_FPERIOD_OVERRIDE=FQ","FILING_STATUS=OR","EQY_CONSOLIDATED=Y","Sort=A","Dates=H","DateFormat=P","Fill=—","Direction=H","UseDPDF=Y")</f>
        <v>#NAME?</v>
      </c>
      <c r="BB167" s="2" t="e">
        <f ca="1">_xll.BDH($C$153,"GEO_GROW_TOT_SHRHLDR_EQY","FQ4 2016","FQ4 2016","Currency=INR","Period=FQ","BEST_FPERIOD_OVERRIDE=FQ","FILING_STATUS=OR","EQY_CONSOLIDATED=Y","Sort=A","Dates=H","DateFormat=P","Fill=—","Direction=H","UseDPDF=Y")</f>
        <v>#NAME?</v>
      </c>
      <c r="BC167" s="2" t="e">
        <f ca="1">_xll.BDH($C$153,"TOTAL_CAPITAL_5_YEAR_GROWTH","FQ4 2016","FQ4 2016","Currency=INR","Period=FQ","BEST_FPERIOD_OVERRIDE=FQ","FILING_STATUS=OR","EQY_CONSOLIDATED=Y","Sort=A","Dates=H","DateFormat=P","Fill=—","Direction=H","UseDPDF=Y")</f>
        <v>#NAME?</v>
      </c>
      <c r="BD167" s="2" t="e">
        <f ca="1">_xll.BDH($C$153,"GEO_GROW_BOOK_VAL","FQ4 2016","FQ4 2016","Currency=INR","Period=FQ","BEST_FPERIOD_OVERRIDE=FQ","FILING_STATUS=OR","EQY_CONSOLIDATED=Y","Sort=A","Dates=H","DateFormat=P","Fill=—","Direction=H","UseDPDF=Y")</f>
        <v>#NAME?</v>
      </c>
      <c r="BE167" s="2" t="e">
        <f ca="1">_xll.BDH($C$153,"GEO_GROW_CASH_OPER_ACT","FQ4 2016","FQ4 2016","Currency=INR","Period=FQ","BEST_FPERIOD_OVERRIDE=FQ","FILING_STATUS=OR","EQY_CONSOLIDATED=Y","Sort=A","Dates=H","DateFormat=P","Fill=—","Direction=H","UseDPDF=Y")</f>
        <v>#NAME?</v>
      </c>
      <c r="BF167" s="2" t="e">
        <f ca="1">_xll.BDH($C$153,"REVENUE_SEQUENTIAL_GROWTH","FQ4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167" s="2" t="e">
        <f ca="1">_xll.BDH($C$153,"EBITDA_SEQUENTIAL_GROWTH","FQ4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167" s="2" t="e">
        <f ca="1">_xll.BDH($C$153,"OPERATING_INCOME_SEQ_GROWTH","FQ4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167" s="2" t="e">
        <f ca="1">_xll.BDH($C$153,"NET_INCOME_TO_COMMON_SEQ_GROWTH","FQ4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167" s="2" t="e">
        <f ca="1">_xll.BDH($C$153,"EPS_DILUTED_SEQUENTIAL_GROWTH","FQ4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167" s="2" t="e">
        <f ca="1">_xll.BDH($C$153,"DPS_SEQUENTIAL_GROWTH","FQ4 2016","FQ4 2016","Currency=INR","Period=FQ","BEST_FPERIOD_OVERRIDE=FQ","FILING_STATUS=OR","EQY_CONSOLIDATED=Y","Sort=A","Dates=H","DateFormat=P","Fill=—","Direction=H","UseDPDF=Y")</f>
        <v>#NAME?</v>
      </c>
      <c r="BL167" s="2" t="e">
        <f ca="1">_xll.BDH($C$153,"ACCOUNTS_RECEIVABLE_SEQ_GROWTH","FQ4 2016","FQ4 2016","Currency=INR","Period=FQ","BEST_FPERIOD_OVERRIDE=FQ","FILING_STATUS=OR","EQY_CONSOLIDATED=Y","Sort=A","Dates=H","DateFormat=P","Fill=—","Direction=H","UseDPDF=Y")</f>
        <v>#NAME?</v>
      </c>
      <c r="BM167" s="2" t="e">
        <f ca="1">_xll.BDH($C$153,"INVENTORY_SEQUENTIAL_GROWTH","FQ4 2016","FQ4 2016","Currency=INR","Period=FQ","BEST_FPERIOD_OVERRIDE=FQ","FILING_STATUS=OR","EQY_CONSOLIDATED=Y","Sort=A","Dates=H","DateFormat=P","Fill=—","Direction=H","UseDPDF=Y")</f>
        <v>#NAME?</v>
      </c>
      <c r="BN167" s="2" t="e">
        <f ca="1">_xll.BDH($C$153,"FIXED_ASSETS_SEQUENTIAL_GROWTH","FQ4 2016","FQ4 2016","Currency=INR","Period=FQ","BEST_FPERIOD_OVERRIDE=FQ","FILING_STATUS=OR","EQY_CONSOLIDATED=Y","Sort=A","Dates=H","DateFormat=P","Fill=—","Direction=H","UseDPDF=Y")</f>
        <v>#NAME?</v>
      </c>
      <c r="BO167" s="2" t="e">
        <f ca="1">_xll.BDH($C$153,"TOTAL_ASSETS_SEQUENTIAL_GROWTH","FQ4 2016","FQ4 2016","Currency=INR","Period=FQ","BEST_FPERIOD_OVERRIDE=FQ","FILING_STATUS=OR","EQY_CONSOLIDATED=Y","Sort=A","Dates=H","DateFormat=P","Fill=—","Direction=H","UseDPDF=Y")</f>
        <v>#NAME?</v>
      </c>
      <c r="BP167" s="2" t="e">
        <f ca="1">_xll.BDH($C$153,"MODIFIED_WORKING_CPTL_SEQ_GRWTH","FQ4 2016","FQ4 2016","Currency=INR","Period=FQ","BEST_FPERIOD_OVERRIDE=FQ","FILING_STATUS=OR","EQY_CONSOLIDATED=Y","Sort=A","Dates=H","DateFormat=P","Fill=—","Direction=H","UseDPDF=Y")</f>
        <v>#NAME?</v>
      </c>
      <c r="BQ167" s="2" t="e">
        <f ca="1">_xll.BDH($C$153,"WORKING_CAPITAL_SEQ_GROWTH","FQ4 2016","FQ4 2016","Currency=INR","Period=FQ","BEST_FPERIOD_OVERRIDE=FQ","FILING_STATUS=OR","EQY_CONSOLIDATED=Y","Sort=A","Dates=H","DateFormat=P","Fill=—","Direction=H","UseDPDF=Y")</f>
        <v>#NAME?</v>
      </c>
      <c r="BR167" s="2" t="e">
        <f ca="1">_xll.BDH($C$153,"ACCOUNTS_PAYABLE_SEQ_GROWTH","FQ4 2016","FQ4 2016","Currency=INR","Period=FQ","BEST_FPERIOD_OVERRIDE=FQ","FILING_STATUS=OR","EQY_CONSOLIDATED=Y","Sort=A","Dates=H","DateFormat=P","Fill=—","Direction=H","UseDPDF=Y")</f>
        <v>#NAME?</v>
      </c>
      <c r="BS167" s="2" t="e">
        <f ca="1">_xll.BDH($C$153,"ST_DEBT_SEQUENTIAL_GROWTH","FQ4 2016","FQ4 2016","Currency=INR","Period=FQ","BEST_FPERIOD_OVERRIDE=FQ","FILING_STATUS=OR","EQY_CONSOLIDATED=Y","Sort=A","Dates=H","DateFormat=P","Fill=—","Direction=H","UseDPDF=Y")</f>
        <v>#NAME?</v>
      </c>
      <c r="BT167" s="2" t="e">
        <f ca="1">_xll.BDH($C$153,"TOTAL_DEBT_SEQUENTIAL_GROWTH","FQ4 2016","FQ4 2016","Currency=INR","Period=FQ","BEST_FPERIOD_OVERRIDE=FQ","FILING_STATUS=OR","EQY_CONSOLIDATED=Y","Sort=A","Dates=H","DateFormat=P","Fill=—","Direction=H","UseDPDF=Y")</f>
        <v>#NAME?</v>
      </c>
      <c r="BU167" s="2" t="e">
        <f ca="1">_xll.BDH($C$153,"TOTAL_EQUITY_SEQUENTIAL_GROWTH","FQ4 2016","FQ4 2016","Currency=INR","Period=FQ","BEST_FPERIOD_OVERRIDE=FQ","FILING_STATUS=OR","EQY_CONSOLIDATED=Y","Sort=A","Dates=H","DateFormat=P","Fill=—","Direction=H","UseDPDF=Y")</f>
        <v>#NAME?</v>
      </c>
      <c r="BV167" s="2" t="e">
        <f ca="1">_xll.BDH($C$153,"TOTAL_CAPITAL_SEQUENTIAL_GROWTH","FQ4 2016","FQ4 2016","Currency=INR","Period=FQ","BEST_FPERIOD_OVERRIDE=FQ","FILING_STATUS=OR","EQY_CONSOLIDATED=Y","Sort=A","Dates=H","DateFormat=P","Fill=—","Direction=H","UseDPDF=Y")</f>
        <v>#NAME?</v>
      </c>
      <c r="BW167" s="2" t="e">
        <f ca="1">_xll.BDH($C$153,"BPS_SEQUENTIAL_GROWTH","FQ4 2016","FQ4 2016","Currency=INR","Period=FQ","BEST_FPERIOD_OVERRIDE=FQ","FILING_STATUS=OR","EQY_CONSOLIDATED=Y","Sort=A","Dates=H","DateFormat=P","Fill=—","Direction=H","UseDPDF=Y")</f>
        <v>#NAME?</v>
      </c>
      <c r="BX167" s="2" t="e">
        <f ca="1">_xll.BDH($C$153,"CFO_SEQUENTIAL_GROWTH","FQ4 2016","FQ4 2016","Currency=INR","Period=FQ","BEST_FPERIOD_OVERRIDE=FQ","FILING_STATUS=OR","EQY_CONSOLIDATED=Y","Sort=A","Dates=H","DateFormat=P","Fill=—","Direction=H","UseDPDF=Y")</f>
        <v>#NAME?</v>
      </c>
      <c r="BY167" s="3" t="e">
        <f ca="1">_xll.BDH($C$153,"SHORT_AND_LONG_TERM_DEBT","FQ4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167" s="3" t="e">
        <f ca="1">_xll.BDH($C$153,"BS_ST_BORROW","FQ4 2016","FQ4 2016","Currency=INR","Period=FQ","BEST_FPERIOD_OVERRIDE=FQ","FILING_STATUS=OR","EQY_CONSOLIDATED=Y","SCALING_FORMAT=MLN","Sort=A","Dates=H","DateFormat=P","Fill=—","Direction=H","UseDPDF=Y")</f>
        <v>#NAME?</v>
      </c>
      <c r="CA167" s="3" t="e">
        <f ca="1">_xll.BDH($C$153,"BS_LT_BORROW","FQ4 2016","FQ4 2016","Currency=INR","Period=FQ","BEST_FPERIOD_OVERRIDE=FQ","FILING_STATUS=OR","EQY_CONSOLIDATED=Y","SCALING_FORMAT=MLN","Sort=A","Dates=H","DateFormat=P","Fill=—","Direction=H","UseDPDF=Y")</f>
        <v>#NAME?</v>
      </c>
      <c r="CB167" s="2" t="e">
        <f ca="1">_xll.BDH($C$153,"TOT_DEBT_TO_EBITDA","FQ4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167" s="2" t="e">
        <f ca="1">_xll.BDH($C$153,"NET_DEBT_TO_EBITDA","FQ4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167" s="2" t="e">
        <f ca="1">_xll.BDH($C$153,"TOTAL_DEBT_TO_EBIT","FQ4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167" s="2" t="e">
        <f ca="1">_xll.BDH($C$153,"NET_DEBT_TO_EBIT","FQ4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167" s="2" t="e">
        <f ca="1">_xll.BDH($C$153,"EBITDA_TO_INTEREST_EXPN","FQ4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167" s="2" t="e">
        <f ca="1">_xll.BDH($C$153,"COM_EQY_TO_TOT_ASSET","FQ4 2016","FQ4 2016","Currency=INR","Period=FQ","BEST_FPERIOD_OVERRIDE=FQ","FILING_STATUS=OR","EQY_CONSOLIDATED=Y","Sort=A","Dates=H","DateFormat=P","Fill=—","Direction=H","UseDPDF=Y")</f>
        <v>#NAME?</v>
      </c>
      <c r="CH167" s="2" t="e">
        <f ca="1">_xll.BDH($C$153,"LT_DEBT_TO_TOT_EQY","FQ4 2016","FQ4 2016","Currency=INR","Period=FQ","BEST_FPERIOD_OVERRIDE=FQ","FILING_STATUS=OR","EQY_CONSOLIDATED=Y","Sort=A","Dates=H","DateFormat=P","Fill=—","Direction=H","UseDPDF=Y")</f>
        <v>#NAME?</v>
      </c>
      <c r="CI167" s="2" t="e">
        <f ca="1">_xll.BDH($C$153,"LT_DEBT_TO_TOT_CAP","FQ4 2016","FQ4 2016","Currency=INR","Period=FQ","BEST_FPERIOD_OVERRIDE=FQ","FILING_STATUS=OR","EQY_CONSOLIDATED=Y","Sort=A","Dates=H","DateFormat=P","Fill=—","Direction=H","UseDPDF=Y")</f>
        <v>#NAME?</v>
      </c>
      <c r="CJ167" s="2" t="e">
        <f ca="1">_xll.BDH($C$153,"LT_DEBT_TO_TOT_ASSET","FQ4 2016","FQ4 2016","Currency=INR","Period=FQ","BEST_FPERIOD_OVERRIDE=FQ","FILING_STATUS=OR","EQY_CONSOLIDATED=Y","Sort=A","Dates=H","DateFormat=P","Fill=—","Direction=H","UseDPDF=Y")</f>
        <v>#NAME?</v>
      </c>
      <c r="CK167" s="2" t="e">
        <f ca="1">_xll.BDH($C$153,"TOT_DEBT_TO_TOT_EQY","FQ4 2016","FQ4 2016","Currency=INR","Period=FQ","BEST_FPERIOD_OVERRIDE=FQ","FILING_STATUS=OR","EQY_CONSOLIDATED=Y","Sort=A","Dates=H","DateFormat=P","Fill=—","Direction=H","UseDPDF=Y")</f>
        <v>#NAME?</v>
      </c>
      <c r="CL167" s="2" t="e">
        <f ca="1">_xll.BDH($C$153,"TOT_DEBT_TO_TOT_CAP","FQ4 2016","FQ4 2016","Currency=INR","Period=FQ","BEST_FPERIOD_OVERRIDE=FQ","FILING_STATUS=OR","EQY_CONSOLIDATED=Y","Sort=A","Dates=H","DateFormat=P","Fill=—","Direction=H","UseDPDF=Y")</f>
        <v>#NAME?</v>
      </c>
      <c r="CM167" s="2" t="e">
        <f ca="1">_xll.BDH($C$153,"TOT_DEBT_TO_TOT_ASSET","FQ4 2016","FQ4 2016","Currency=INR","Period=FQ","BEST_FPERIOD_OVERRIDE=FQ","FILING_STATUS=OR","EQY_CONSOLIDATED=Y","Sort=A","Dates=H","DateFormat=P","Fill=—","Direction=H","UseDPDF=Y")</f>
        <v>#NAME?</v>
      </c>
      <c r="CN167" s="2" t="e">
        <f ca="1">_xll.BDH($C$153,"NET_DEBT_TO_SHRHLDR_EQTY","FQ4 2016","FQ4 2016","Currency=INR","Period=FQ","BEST_FPERIOD_OVERRIDE=FQ","FILING_STATUS=OR","EQY_CONSOLIDATED=Y","Sort=A","Dates=H","DateFormat=P","Fill=—","Direction=H","UseDPDF=Y")</f>
        <v>#NAME?</v>
      </c>
      <c r="CO167" s="2" t="e">
        <f ca="1">_xll.BDH($C$153,"NET_DEBT_%_CAPITAL","FQ4 2016","FQ4 2016","Currency=INR","Period=FQ","BEST_FPERIOD_OVERRIDE=FQ","FILING_STATUS=OR","EQY_CONSOLIDATED=Y","Sort=A","Dates=H","DateFormat=P","Fill=—","Direction=H","UseDPDF=Y")</f>
        <v>#NAME?</v>
      </c>
      <c r="CP167" s="3" t="e">
        <f ca="1">_xll.BDH($C$153,"EBITDA","FQ4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167" s="3" t="e">
        <f ca="1">_xll.BDH($C$153,"EBITDA_AFTER_CAPEX","FQ4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167" s="3" t="e">
        <f ca="1">_xll.BDH($C$153,"IS_OPER_INC","FQ4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167" s="2" t="e">
        <f ca="1">_xll.BDH($C$153,"CASH_RATIO","FQ4 2016","FQ4 2016","Currency=INR","Period=FQ","BEST_FPERIOD_OVERRIDE=FQ","FILING_STATUS=OR","EQY_CONSOLIDATED=Y","Sort=A","Dates=H","DateFormat=P","Fill=—","Direction=H","UseDPDF=Y")</f>
        <v>#NAME?</v>
      </c>
      <c r="CT167" s="2" t="e">
        <f ca="1">_xll.BDH($C$153,"CUR_RATIO","FQ4 2016","FQ4 2016","Currency=INR","Period=FQ","BEST_FPERIOD_OVERRIDE=FQ","FILING_STATUS=OR","EQY_CONSOLIDATED=Y","Sort=A","Dates=H","DateFormat=P","Fill=—","Direction=H","UseDPDF=Y")</f>
        <v>#NAME?</v>
      </c>
      <c r="CU167" s="2" t="e">
        <f ca="1">_xll.BDH($C$153,"QUICK_RATIO","FQ4 2016","FQ4 2016","Currency=INR","Period=FQ","BEST_FPERIOD_OVERRIDE=FQ","FILING_STATUS=OR","EQY_CONSOLIDATED=Y","Sort=A","Dates=H","DateFormat=P","Fill=—","Direction=H","UseDPDF=Y")</f>
        <v>#NAME?</v>
      </c>
      <c r="CV167" s="2" t="e">
        <f ca="1">_xll.BDH($C$153,"ALTMAN_Z_SCORE","FQ4 2016","FQ4 2016","Currency=INR","Period=FQ","BEST_FPERIOD_OVERRIDE=FQ","FILING_STATUS=OR","EQY_CONSOLIDATED=Y","Sort=A","Dates=H","DateFormat=P","Fill=—","Direction=H","UseDPDF=Y")</f>
        <v>#NAME?</v>
      </c>
      <c r="CW167" s="4" t="e">
        <f ca="1">_xll.BDH($C$153,"ACCT_RCV_TURN","FQ4 2016","FQ4 2016","Currency=INR","Period=FQ","BEST_FPERIOD_OVERRIDE=FQ","FILING_STATUS=OR","EQY_CONSOLIDATED=Y","FA_ADJUSTED=GAAP","Sort=A","Dates=H","DateFormat=P","Fill=—","Direction=H","UseDPDF=Y")</f>
        <v>#NAME?</v>
      </c>
      <c r="CX167" s="2" t="e">
        <f ca="1">_xll.BDH($C$153,"ACCT_RCV_DAYS","FQ4 2016","FQ4 2016","Currency=INR","Period=FQ","BEST_FPERIOD_OVERRIDE=FQ","FILING_STATUS=OR","EQY_CONSOLIDATED=Y","FA_ADJUSTED=GAAP","Sort=A","Dates=H","DateFormat=P","Fill=—","Direction=H","UseDPDF=Y")</f>
        <v>#NAME?</v>
      </c>
      <c r="CY167" s="4" t="e">
        <f ca="1">_xll.BDH($C$153,"INVENT_TURN","FQ4 2016","FQ4 2016","Currency=INR","Period=FQ","BEST_FPERIOD_OVERRIDE=FQ","FILING_STATUS=OR","EQY_CONSOLIDATED=Y","FA_ADJUSTED=GAAP","Sort=A","Dates=H","DateFormat=P","Fill=—","Direction=H","UseDPDF=Y")</f>
        <v>#NAME?</v>
      </c>
      <c r="CZ167" s="2" t="e">
        <f ca="1">_xll.BDH($C$153,"INVENT_DAYS","FQ4 2016","FQ4 2016","Currency=INR","Period=FQ","BEST_FPERIOD_OVERRIDE=FQ","FILING_STATUS=OR","EQY_CONSOLIDATED=Y","FA_ADJUSTED=GAAP","Sort=A","Dates=H","DateFormat=P","Fill=—","Direction=H","UseDPDF=Y")</f>
        <v>#NAME?</v>
      </c>
      <c r="DA167" s="4" t="e">
        <f ca="1">_xll.BDH($C$153,"ACCOUNTS_PAYABLE_TURNOVER","FQ4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167" s="2" t="e">
        <f ca="1">_xll.BDH($C$153,"ACCOUNTS_PAYABLE_TURNOVER_DAYS","FQ4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167" s="4" t="e">
        <f ca="1">_xll.BDH($C$153,"CASH_CONVERSION_CYCLE","FQ4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167" s="4" t="e">
        <f ca="1">_xll.BDH($C$153,"INV_TO_CASH_DAYS","FQ4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167" s="5" t="e">
        <f ca="1">_xll.BDH($C$153,"BS_INVENTORIES","FQ4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167" s="3" t="e">
        <f ca="1">_xll.BDH($C$153,"INVTRY_RAW_MATERIALS","FQ4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167" s="3" t="e">
        <f ca="1">_xll.BDH($C$153,"INVTRY_IN_PROGRESS","FQ4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167" s="3" t="e">
        <f ca="1">_xll.BDH($C$153,"INVTRY_FINISHED_GOODS","FQ4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167" s="3" t="e">
        <f ca="1">_xll.BDH($C$153,"BS_OTHER_INV","FQ4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168" spans="1:113" x14ac:dyDescent="0.3">
      <c r="A168" s="6"/>
      <c r="B168" s="6"/>
      <c r="C168" s="6"/>
      <c r="D168" s="6" t="s">
        <v>84</v>
      </c>
      <c r="E168" t="s">
        <v>77</v>
      </c>
      <c r="F168" t="e">
        <f ca="1">_xll.BDH($C$153,"RETURN_COM_EQY","FY 2017","FY 2017","Currency=INR","Period=FY","BEST_FPERIOD_OVERRIDE=FY","FILING_STATUS=OR","EQY_CONSOLIDATED=Y","FA_ADJUSTED=GAAP","Sort=A","Dates=H","DateFormat=P","Fill=—","Direction=H","UseDPDF=Y")</f>
        <v>#NAME?</v>
      </c>
      <c r="G168" t="e">
        <f ca="1">_xll.BDH($C$153,"RETURN_ON_ASSET","FY 2017","FY 2017","Currency=INR","Period=FY","BEST_FPERIOD_OVERRIDE=FY","FILING_STATUS=OR","EQY_CONSOLIDATED=Y","FA_ADJUSTED=GAAP","Sort=A","Dates=H","DateFormat=P","Fill=—","Direction=H","UseDPDF=Y")</f>
        <v>#NAME?</v>
      </c>
      <c r="H168" t="e">
        <f ca="1">_xll.BDH($C$153,"RETURN_ON_CAP","FY 2017","FY 2017","Currency=INR","Period=FY","BEST_FPERIOD_OVERRIDE=FY","FILING_STATUS=OR","EQY_CONSOLIDATED=Y","FA_ADJUSTED=GAAP","Sort=A","Dates=H","DateFormat=P","Fill=—","Direction=H","UseDPDF=Y")</f>
        <v>#NAME?</v>
      </c>
      <c r="I168" t="e">
        <f ca="1">_xll.BDH($C$153,"RETURN_ON_INV_CAPITAL","FY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168" t="e">
        <f ca="1">_xll.BDH($C$153,"EBITDA_TO_REVENUE","FY 2017","FY 2017","Currency=INR","Period=FY","BEST_FPERIOD_OVERRIDE=FY","FILING_STATUS=OR","EQY_CONSOLIDATED=Y","FA_ADJUSTED=GAAP","Sort=A","Dates=H","DateFormat=P","Fill=—","Direction=H","UseDPDF=Y")</f>
        <v>#NAME?</v>
      </c>
      <c r="K168" t="e">
        <f ca="1">_xll.BDH($C$153,"OPER_MARGIN","FY 2017","FY 2017","Currency=INR","Period=FY","BEST_FPERIOD_OVERRIDE=FY","FILING_STATUS=OR","EQY_CONSOLIDATED=Y","FA_ADJUSTED=GAAP","Sort=A","Dates=H","DateFormat=P","Fill=—","Direction=H","UseDPDF=Y")</f>
        <v>#NAME?</v>
      </c>
      <c r="L168" t="e">
        <f ca="1">_xll.BDH($C$153,"INCREMENTAL_OPERATING_MARGIN","FY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168" t="e">
        <f ca="1">_xll.BDH($C$153,"PRETAX_INC_TO_NET_SALES","FY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168" t="e">
        <f ca="1">_xll.BDH($C$153,"INC_BEF_XO_ITEMS_TO_NET_SALES","FY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168" t="e">
        <f ca="1">_xll.BDH($C$153,"PROF_MARGIN","FY 2017","FY 2017","Currency=INR","Period=FY","BEST_FPERIOD_OVERRIDE=FY","FILING_STATUS=OR","EQY_CONSOLIDATED=Y","FA_ADJUSTED=GAAP","Sort=A","Dates=H","DateFormat=P","Fill=—","Direction=H","UseDPDF=Y")</f>
        <v>#NAME?</v>
      </c>
      <c r="P168" t="e">
        <f ca="1">_xll.BDH($C$153,"NET_INCOME_TO_COMMON_MARGIN","FY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168" t="e">
        <f ca="1">_xll.BDH($C$153,"EFF_TAX_RATE","FY 2017","FY 2017","Currency=INR","Period=FY","BEST_FPERIOD_OVERRIDE=FY","FILING_STATUS=OR","EQY_CONSOLIDATED=Y","FA_ADJUSTED=GAAP","Sort=A","Dates=H","DateFormat=P","Fill=—","Direction=H","UseDPDF=Y")</f>
        <v>#NAME?</v>
      </c>
      <c r="R168" t="e">
        <f ca="1">_xll.BDH($C$153,"DVD_PAYOUT_RATIO","FY 2017","FY 2017","Currency=INR","Period=FY","BEST_FPERIOD_OVERRIDE=FY","FILING_STATUS=OR","EQY_CONSOLIDATED=Y","FA_ADJUSTED=GAAP","Sort=A","Dates=H","DateFormat=P","Fill=—","Direction=H","UseDPDF=Y")</f>
        <v>#NAME?</v>
      </c>
      <c r="S168" t="e">
        <f ca="1">_xll.BDH($C$153,"SUSTAIN_GROWTH_RT","FY 2017","FY 2017","Currency=INR","Period=FY","BEST_FPERIOD_OVERRIDE=FY","FILING_STATUS=OR","EQY_CONSOLIDATED=Y","FA_ADJUSTED=GAAP","Sort=A","Dates=H","DateFormat=P","Fill=—","Direction=H","UseDPDF=Y")</f>
        <v>#NAME?</v>
      </c>
      <c r="T168" s="2" t="e">
        <f ca="1">_xll.BDH($C$153,"SALES_GROWTH","FY 2017","FY 2017","Currency=INR","Period=FY","BEST_FPERIOD_OVERRIDE=FY","FILING_STATUS=OR","EQY_CONSOLIDATED=Y","FA_ADJUSTED=GAAP","Sort=A","Dates=H","DateFormat=P","Fill=—","Direction=H","UseDPDF=Y")</f>
        <v>#NAME?</v>
      </c>
      <c r="U168" s="2" t="e">
        <f ca="1">_xll.BDH($C$153,"EBITDA_GROWTH","FY 2017","FY 2017","Currency=INR","Period=FY","BEST_FPERIOD_OVERRIDE=FY","FILING_STATUS=OR","EQY_CONSOLIDATED=Y","FA_ADJUSTED=GAAP","Sort=A","Dates=H","DateFormat=P","Fill=—","Direction=H","UseDPDF=Y")</f>
        <v>#NAME?</v>
      </c>
      <c r="V168" s="2" t="e">
        <f ca="1">_xll.BDH($C$153,"OPER_INC_GROWTH","FY 2017","FY 2017","Currency=INR","Period=FY","BEST_FPERIOD_OVERRIDE=FY","FILING_STATUS=OR","EQY_CONSOLIDATED=Y","FA_ADJUSTED=GAAP","Sort=A","Dates=H","DateFormat=P","Fill=—","Direction=H","UseDPDF=Y")</f>
        <v>#NAME?</v>
      </c>
      <c r="W168" s="2" t="e">
        <f ca="1">_xll.BDH($C$153,"EARN_FOR_COM_GROWTH","FY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168" s="2" t="e">
        <f ca="1">_xll.BDH($C$153,"DILUTED_EPS_AFT_XO_ITEMS_GROWTH","FY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168" s="2" t="e">
        <f ca="1">_xll.BDH($C$153,"DIVIDEND_PER_SHARE_1_YEAR_GROWTH","FY 2017","FY 2017","Currency=INR","Period=FY","BEST_FPERIOD_OVERRIDE=FY","FILING_STATUS=OR","EQY_CONSOLIDATED=Y","Sort=A","Dates=H","DateFormat=P","Fill=—","Direction=H","UseDPDF=Y")</f>
        <v>#NAME?</v>
      </c>
      <c r="Z168" s="2" t="e">
        <f ca="1">_xll.BDH($C$153,"ACCOUNTS_RECEIVABLE_GROWTH","FY 2017","FY 2017","Currency=INR","Period=FY","BEST_FPERIOD_OVERRIDE=FY","FILING_STATUS=OR","EQY_CONSOLIDATED=Y","Sort=A","Dates=H","DateFormat=P","Fill=—","Direction=H","UseDPDF=Y")</f>
        <v>#NAME?</v>
      </c>
      <c r="AA168" s="2" t="e">
        <f ca="1">_xll.BDH($C$153,"INVENTORY_GROWTH","FY 2017","FY 2017","Currency=INR","Period=FY","BEST_FPERIOD_OVERRIDE=FY","FILING_STATUS=OR","EQY_CONSOLIDATED=Y","Sort=A","Dates=H","DateFormat=P","Fill=—","Direction=H","UseDPDF=Y")</f>
        <v>#NAME?</v>
      </c>
      <c r="AB168" s="2" t="e">
        <f ca="1">_xll.BDH($C$153,"NET_FIXED_ASSETS_1_YEAR_GROWTH","FY 2017","FY 2017","Currency=INR","Period=FY","BEST_FPERIOD_OVERRIDE=FY","FILING_STATUS=OR","EQY_CONSOLIDATED=Y","Sort=A","Dates=H","DateFormat=P","Fill=—","Direction=H","UseDPDF=Y")</f>
        <v>#NAME?</v>
      </c>
      <c r="AC168" s="2" t="e">
        <f ca="1">_xll.BDH($C$153,"ASSET_GROWTH","FY 2017","FY 2017","Currency=INR","Period=FY","BEST_FPERIOD_OVERRIDE=FY","FILING_STATUS=OR","EQY_CONSOLIDATED=Y","Sort=A","Dates=H","DateFormat=P","Fill=—","Direction=H","UseDPDF=Y")</f>
        <v>#NAME?</v>
      </c>
      <c r="AD168" s="2" t="e">
        <f ca="1">_xll.BDH($C$153,"MODIFIED_WORK_CAP_GROWTH","FY 2017","FY 2017","Currency=INR","Period=FY","BEST_FPERIOD_OVERRIDE=FY","FILING_STATUS=OR","EQY_CONSOLIDATED=Y","Sort=A","Dates=H","DateFormat=P","Fill=—","Direction=H","UseDPDF=Y")</f>
        <v>#NAME?</v>
      </c>
      <c r="AE168" s="2" t="e">
        <f ca="1">_xll.BDH($C$153,"WORK_CAP_GROWTH","FY 2017","FY 2017","Currency=INR","Period=FY","BEST_FPERIOD_OVERRIDE=FY","FILING_STATUS=OR","EQY_CONSOLIDATED=Y","Sort=A","Dates=H","DateFormat=P","Fill=—","Direction=H","UseDPDF=Y")</f>
        <v>#NAME?</v>
      </c>
      <c r="AF168" s="2" t="e">
        <f ca="1">_xll.BDH($C$153,"ACCOUNTS_PAYABLE_GROWTH_1YR","FY 2017","FY 2017","Currency=INR","Period=FY","BEST_FPERIOD_OVERRIDE=FY","FILING_STATUS=OR","EQY_CONSOLIDATED=Y","Sort=A","Dates=H","DateFormat=P","Fill=—","Direction=H","UseDPDF=Y")</f>
        <v>#NAME?</v>
      </c>
      <c r="AG168" s="2" t="e">
        <f ca="1">_xll.BDH($C$153,"SHORT_TERM_DEBT_1_YEAR_GROWTH","FY 2017","FY 2017","Currency=INR","Period=FY","BEST_FPERIOD_OVERRIDE=FY","FILING_STATUS=OR","EQY_CONSOLIDATED=Y","Sort=A","Dates=H","DateFormat=P","Fill=—","Direction=H","UseDPDF=Y")</f>
        <v>#NAME?</v>
      </c>
      <c r="AH168" s="2" t="e">
        <f ca="1">_xll.BDH($C$153,"TOTAL_DEBT_1_YEAR_GROWTH","FY 2017","FY 2017","Currency=INR","Period=FY","BEST_FPERIOD_OVERRIDE=FY","FILING_STATUS=OR","EQY_CONSOLIDATED=Y","Sort=A","Dates=H","DateFormat=P","Fill=—","Direction=H","UseDPDF=Y")</f>
        <v>#NAME?</v>
      </c>
      <c r="AI168" s="2" t="e">
        <f ca="1">_xll.BDH($C$153,"TOTAL_EQUITY_1_YEAR_GROWTH","FY 2017","FY 2017","Currency=INR","Period=FY","BEST_FPERIOD_OVERRIDE=FY","FILING_STATUS=OR","EQY_CONSOLIDATED=Y","Sort=A","Dates=H","DateFormat=P","Fill=—","Direction=H","UseDPDF=Y")</f>
        <v>#NAME?</v>
      </c>
      <c r="AJ168" s="2" t="e">
        <f ca="1">_xll.BDH($C$153,"GROWTH_IN_CAP","FY 2017","FY 2017","Currency=INR","Period=FY","BEST_FPERIOD_OVERRIDE=FY","FILING_STATUS=OR","EQY_CONSOLIDATED=Y","Sort=A","Dates=H","DateFormat=P","Fill=—","Direction=H","UseDPDF=Y")</f>
        <v>#NAME?</v>
      </c>
      <c r="AK168" s="2" t="e">
        <f ca="1">_xll.BDH($C$153,"BVPS_GROWTH","FY 2017","FY 2017","Currency=INR","Period=FY","BEST_FPERIOD_OVERRIDE=FY","FILING_STATUS=OR","EQY_CONSOLIDATED=Y","Sort=A","Dates=H","DateFormat=P","Fill=—","Direction=H","UseDPDF=Y")</f>
        <v>#NAME?</v>
      </c>
      <c r="AL168" s="2" t="e">
        <f ca="1">_xll.BDH($C$153,"CASH_FLOW_GROWTH","FY 2017","FY 2017","Currency=INR","Period=FY","BEST_FPERIOD_OVERRIDE=FY","FILING_STATUS=OR","EQY_CONSOLIDATED=Y","Sort=A","Dates=H","DateFormat=P","Fill=—","Direction=H","UseDPDF=Y")</f>
        <v>#NAME?</v>
      </c>
      <c r="AM168" s="2" t="e">
        <f ca="1">_xll.BDH($C$153,"GEO_GROW_NET_SALES","FY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168" s="2" t="e">
        <f ca="1">_xll.BDH($C$153,"GEO_GROW_EBITDA","FY 2017","FY 2017","Currency=INR","Period=FY","BEST_FPERIOD_OVERRIDE=FY","FILING_STATUS=OR","EQY_CONSOLIDATED=Y","FA_ADJUSTED=GAAP","Sort=A","Dates=H","DateFormat=P","Fill=—","Direction=H","UseDPDF=Y")</f>
        <v>#NAME?</v>
      </c>
      <c r="AO168" s="2" t="e">
        <f ca="1">_xll.BDH($C$153,"GEO_GROW_OPER_INC","FY 2017","FY 2017","Currency=INR","Period=FY","BEST_FPERIOD_OVERRIDE=FY","FILING_STATUS=OR","EQY_CONSOLIDATED=Y","FA_ADJUSTED=GAAP","Sort=A","Dates=H","DateFormat=P","Fill=—","Direction=H","UseDPDF=Y")</f>
        <v>#NAME?</v>
      </c>
      <c r="AP168" s="2" t="e">
        <f ca="1">_xll.BDH($C$153,"NET_INCOME_TO_COMMON_5_YR_GROWTH","FY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168" s="2" t="e">
        <f ca="1">_xll.BDH($C$153,"5Y_GEO_GROWTH_DILUTED_EPS","FY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168" s="2" t="e">
        <f ca="1">_xll.BDH($C$153,"GEO_GROW_DVD_PER_SH","FY 2017","FY 2017","Currency=INR","Period=FY","BEST_FPERIOD_OVERRIDE=FY","FILING_STATUS=OR","EQY_CONSOLIDATED=Y","Sort=A","Dates=H","DateFormat=P","Fill=—","Direction=H","UseDPDF=Y")</f>
        <v>#NAME?</v>
      </c>
      <c r="AS168" s="2" t="e">
        <f ca="1">_xll.BDH($C$153,"ACCOUNTS_RECEIVABLE_5_YR_GROWTH","FY 2017","FY 2017","Currency=INR","Period=FY","BEST_FPERIOD_OVERRIDE=FY","FILING_STATUS=OR","EQY_CONSOLIDATED=Y","Sort=A","Dates=H","DateFormat=P","Fill=—","Direction=H","UseDPDF=Y")</f>
        <v>#NAME?</v>
      </c>
      <c r="AT168" s="2" t="e">
        <f ca="1">_xll.BDH($C$153,"INVENTORY_5_YEAR_GROWTH","FY 2017","FY 2017","Currency=INR","Period=FY","BEST_FPERIOD_OVERRIDE=FY","FILING_STATUS=OR","EQY_CONSOLIDATED=Y","Sort=A","Dates=H","DateFormat=P","Fill=—","Direction=H","UseDPDF=Y")</f>
        <v>#NAME?</v>
      </c>
      <c r="AU168" s="2" t="e">
        <f ca="1">_xll.BDH($C$153,"NET_FIXED_ASSETS_5_YEAR_GROWTH","FY 2017","FY 2017","Currency=INR","Period=FY","BEST_FPERIOD_OVERRIDE=FY","FILING_STATUS=OR","EQY_CONSOLIDATED=Y","Sort=A","Dates=H","DateFormat=P","Fill=—","Direction=H","UseDPDF=Y")</f>
        <v>#NAME?</v>
      </c>
      <c r="AV168" s="2" t="e">
        <f ca="1">_xll.BDH($C$153,"GEO_GROW_TOT_ASSET","FY 2017","FY 2017","Currency=INR","Period=FY","BEST_FPERIOD_OVERRIDE=FY","FILING_STATUS=OR","EQY_CONSOLIDATED=Y","Sort=A","Dates=H","DateFormat=P","Fill=—","Direction=H","UseDPDF=Y")</f>
        <v>#NAME?</v>
      </c>
      <c r="AW168" s="2" t="e">
        <f ca="1">_xll.BDH($C$153,"MODIFIED_WORKING_CPTL_5YR_GRWTH","FY 2017","FY 2017","Currency=INR","Period=FY","BEST_FPERIOD_OVERRIDE=FY","FILING_STATUS=OR","EQY_CONSOLIDATED=Y","Sort=A","Dates=H","DateFormat=P","Fill=—","Direction=H","UseDPDF=Y")</f>
        <v>#NAME?</v>
      </c>
      <c r="AX168" s="2" t="e">
        <f ca="1">_xll.BDH($C$153,"WORKING_CAPITAL_5_YEAR_GROWTH","FY 2017","FY 2017","Currency=INR","Period=FY","BEST_FPERIOD_OVERRIDE=FY","FILING_STATUS=OR","EQY_CONSOLIDATED=Y","Sort=A","Dates=H","DateFormat=P","Fill=—","Direction=H","UseDPDF=Y")</f>
        <v>#NAME?</v>
      </c>
      <c r="AY168" s="2" t="e">
        <f ca="1">_xll.BDH($C$153,"ACCOUNTS_PAYABLE_5_YEAR_GROWTH","FY 2017","FY 2017","Currency=INR","Period=FY","BEST_FPERIOD_OVERRIDE=FY","FILING_STATUS=OR","EQY_CONSOLIDATED=Y","Sort=A","Dates=H","DateFormat=P","Fill=—","Direction=H","UseDPDF=Y")</f>
        <v>#NAME?</v>
      </c>
      <c r="AZ168" s="2" t="e">
        <f ca="1">_xll.BDH($C$153,"SHORT_TERM_DEBT_5_YEAR_GROWTH","FY 2017","FY 2017","Currency=INR","Period=FY","BEST_FPERIOD_OVERRIDE=FY","FILING_STATUS=OR","EQY_CONSOLIDATED=Y","Sort=A","Dates=H","DateFormat=P","Fill=—","Direction=H","UseDPDF=Y")</f>
        <v>#NAME?</v>
      </c>
      <c r="BA168" s="2" t="e">
        <f ca="1">_xll.BDH($C$153,"TOTAL_DEBT_5_YEAR_GROWTH","FY 2017","FY 2017","Currency=INR","Period=FY","BEST_FPERIOD_OVERRIDE=FY","FILING_STATUS=OR","EQY_CONSOLIDATED=Y","Sort=A","Dates=H","DateFormat=P","Fill=—","Direction=H","UseDPDF=Y")</f>
        <v>#NAME?</v>
      </c>
      <c r="BB168" s="2" t="e">
        <f ca="1">_xll.BDH($C$153,"GEO_GROW_TOT_SHRHLDR_EQY","FY 2017","FY 2017","Currency=INR","Period=FY","BEST_FPERIOD_OVERRIDE=FY","FILING_STATUS=OR","EQY_CONSOLIDATED=Y","Sort=A","Dates=H","DateFormat=P","Fill=—","Direction=H","UseDPDF=Y")</f>
        <v>#NAME?</v>
      </c>
      <c r="BC168" s="2" t="e">
        <f ca="1">_xll.BDH($C$153,"TOTAL_CAPITAL_5_YEAR_GROWTH","FY 2017","FY 2017","Currency=INR","Period=FY","BEST_FPERIOD_OVERRIDE=FY","FILING_STATUS=OR","EQY_CONSOLIDATED=Y","Sort=A","Dates=H","DateFormat=P","Fill=—","Direction=H","UseDPDF=Y")</f>
        <v>#NAME?</v>
      </c>
      <c r="BD168" s="2" t="e">
        <f ca="1">_xll.BDH($C$153,"GEO_GROW_BOOK_VAL","FY 2017","FY 2017","Currency=INR","Period=FY","BEST_FPERIOD_OVERRIDE=FY","FILING_STATUS=OR","EQY_CONSOLIDATED=Y","Sort=A","Dates=H","DateFormat=P","Fill=—","Direction=H","UseDPDF=Y")</f>
        <v>#NAME?</v>
      </c>
      <c r="BE168" s="2" t="e">
        <f ca="1">_xll.BDH($C$153,"GEO_GROW_CASH_OPER_ACT","FY 2017","FY 2017","Currency=INR","Period=FY","BEST_FPERIOD_OVERRIDE=FY","FILING_STATUS=OR","EQY_CONSOLIDATED=Y","Sort=A","Dates=H","DateFormat=P","Fill=—","Direction=H","UseDPDF=Y")</f>
        <v>#NAME?</v>
      </c>
      <c r="BF168" s="2" t="e">
        <f ca="1">_xll.BDH($C$153,"REVENUE_SEQUENTIAL_GROWTH","FY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168" s="2" t="e">
        <f ca="1">_xll.BDH($C$153,"EBITDA_SEQUENTIAL_GROWTH","FY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168" s="2" t="e">
        <f ca="1">_xll.BDH($C$153,"OPERATING_INCOME_SEQ_GROWTH","FY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168" s="2" t="e">
        <f ca="1">_xll.BDH($C$153,"NET_INCOME_TO_COMMON_SEQ_GROWTH","FY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168" s="2" t="e">
        <f ca="1">_xll.BDH($C$153,"EPS_DILUTED_SEQUENTIAL_GROWTH","FY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168" s="2" t="e">
        <f ca="1">_xll.BDH($C$153,"DPS_SEQUENTIAL_GROWTH","FY 2017","FY 2017","Currency=INR","Period=FY","BEST_FPERIOD_OVERRIDE=FY","FILING_STATUS=OR","EQY_CONSOLIDATED=Y","Sort=A","Dates=H","DateFormat=P","Fill=—","Direction=H","UseDPDF=Y")</f>
        <v>#NAME?</v>
      </c>
      <c r="BL168" s="2" t="e">
        <f ca="1">_xll.BDH($C$153,"ACCOUNTS_RECEIVABLE_SEQ_GROWTH","FY 2017","FY 2017","Currency=INR","Period=FY","BEST_FPERIOD_OVERRIDE=FY","FILING_STATUS=OR","EQY_CONSOLIDATED=Y","Sort=A","Dates=H","DateFormat=P","Fill=—","Direction=H","UseDPDF=Y")</f>
        <v>#NAME?</v>
      </c>
      <c r="BM168" s="2" t="e">
        <f ca="1">_xll.BDH($C$153,"INVENTORY_SEQUENTIAL_GROWTH","FY 2017","FY 2017","Currency=INR","Period=FY","BEST_FPERIOD_OVERRIDE=FY","FILING_STATUS=OR","EQY_CONSOLIDATED=Y","Sort=A","Dates=H","DateFormat=P","Fill=—","Direction=H","UseDPDF=Y")</f>
        <v>#NAME?</v>
      </c>
      <c r="BN168" s="2" t="e">
        <f ca="1">_xll.BDH($C$153,"FIXED_ASSETS_SEQUENTIAL_GROWTH","FY 2017","FY 2017","Currency=INR","Period=FY","BEST_FPERIOD_OVERRIDE=FY","FILING_STATUS=OR","EQY_CONSOLIDATED=Y","Sort=A","Dates=H","DateFormat=P","Fill=—","Direction=H","UseDPDF=Y")</f>
        <v>#NAME?</v>
      </c>
      <c r="BO168" s="2" t="e">
        <f ca="1">_xll.BDH($C$153,"TOTAL_ASSETS_SEQUENTIAL_GROWTH","FY 2017","FY 2017","Currency=INR","Period=FY","BEST_FPERIOD_OVERRIDE=FY","FILING_STATUS=OR","EQY_CONSOLIDATED=Y","Sort=A","Dates=H","DateFormat=P","Fill=—","Direction=H","UseDPDF=Y")</f>
        <v>#NAME?</v>
      </c>
      <c r="BP168" s="2" t="e">
        <f ca="1">_xll.BDH($C$153,"MODIFIED_WORKING_CPTL_SEQ_GRWTH","FY 2017","FY 2017","Currency=INR","Period=FY","BEST_FPERIOD_OVERRIDE=FY","FILING_STATUS=OR","EQY_CONSOLIDATED=Y","Sort=A","Dates=H","DateFormat=P","Fill=—","Direction=H","UseDPDF=Y")</f>
        <v>#NAME?</v>
      </c>
      <c r="BQ168" s="2" t="e">
        <f ca="1">_xll.BDH($C$153,"WORKING_CAPITAL_SEQ_GROWTH","FY 2017","FY 2017","Currency=INR","Period=FY","BEST_FPERIOD_OVERRIDE=FY","FILING_STATUS=OR","EQY_CONSOLIDATED=Y","Sort=A","Dates=H","DateFormat=P","Fill=—","Direction=H","UseDPDF=Y")</f>
        <v>#NAME?</v>
      </c>
      <c r="BR168" s="2" t="e">
        <f ca="1">_xll.BDH($C$153,"ACCOUNTS_PAYABLE_SEQ_GROWTH","FY 2017","FY 2017","Currency=INR","Period=FY","BEST_FPERIOD_OVERRIDE=FY","FILING_STATUS=OR","EQY_CONSOLIDATED=Y","Sort=A","Dates=H","DateFormat=P","Fill=—","Direction=H","UseDPDF=Y")</f>
        <v>#NAME?</v>
      </c>
      <c r="BS168" s="2" t="e">
        <f ca="1">_xll.BDH($C$153,"ST_DEBT_SEQUENTIAL_GROWTH","FY 2017","FY 2017","Currency=INR","Period=FY","BEST_FPERIOD_OVERRIDE=FY","FILING_STATUS=OR","EQY_CONSOLIDATED=Y","Sort=A","Dates=H","DateFormat=P","Fill=—","Direction=H","UseDPDF=Y")</f>
        <v>#NAME?</v>
      </c>
      <c r="BT168" s="2" t="e">
        <f ca="1">_xll.BDH($C$153,"TOTAL_DEBT_SEQUENTIAL_GROWTH","FY 2017","FY 2017","Currency=INR","Period=FY","BEST_FPERIOD_OVERRIDE=FY","FILING_STATUS=OR","EQY_CONSOLIDATED=Y","Sort=A","Dates=H","DateFormat=P","Fill=—","Direction=H","UseDPDF=Y")</f>
        <v>#NAME?</v>
      </c>
      <c r="BU168" s="2" t="e">
        <f ca="1">_xll.BDH($C$153,"TOTAL_EQUITY_SEQUENTIAL_GROWTH","FY 2017","FY 2017","Currency=INR","Period=FY","BEST_FPERIOD_OVERRIDE=FY","FILING_STATUS=OR","EQY_CONSOLIDATED=Y","Sort=A","Dates=H","DateFormat=P","Fill=—","Direction=H","UseDPDF=Y")</f>
        <v>#NAME?</v>
      </c>
      <c r="BV168" s="2" t="e">
        <f ca="1">_xll.BDH($C$153,"TOTAL_CAPITAL_SEQUENTIAL_GROWTH","FY 2017","FY 2017","Currency=INR","Period=FY","BEST_FPERIOD_OVERRIDE=FY","FILING_STATUS=OR","EQY_CONSOLIDATED=Y","Sort=A","Dates=H","DateFormat=P","Fill=—","Direction=H","UseDPDF=Y")</f>
        <v>#NAME?</v>
      </c>
      <c r="BW168" s="2" t="e">
        <f ca="1">_xll.BDH($C$153,"BPS_SEQUENTIAL_GROWTH","FY 2017","FY 2017","Currency=INR","Period=FY","BEST_FPERIOD_OVERRIDE=FY","FILING_STATUS=OR","EQY_CONSOLIDATED=Y","Sort=A","Dates=H","DateFormat=P","Fill=—","Direction=H","UseDPDF=Y")</f>
        <v>#NAME?</v>
      </c>
      <c r="BX168" s="2" t="e">
        <f ca="1">_xll.BDH($C$153,"CFO_SEQUENTIAL_GROWTH","FY 2017","FY 2017","Currency=INR","Period=FY","BEST_FPERIOD_OVERRIDE=FY","FILING_STATUS=OR","EQY_CONSOLIDATED=Y","Sort=A","Dates=H","DateFormat=P","Fill=—","Direction=H","UseDPDF=Y")</f>
        <v>#NAME?</v>
      </c>
      <c r="BY168" s="3" t="e">
        <f ca="1">_xll.BDH($C$153,"SHORT_AND_LONG_TERM_DEBT","FY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168" s="3" t="e">
        <f ca="1">_xll.BDH($C$153,"BS_ST_BORROW","FY 2017","FY 2017","Currency=INR","Period=FY","BEST_FPERIOD_OVERRIDE=FY","FILING_STATUS=OR","EQY_CONSOLIDATED=Y","SCALING_FORMAT=MLN","Sort=A","Dates=H","DateFormat=P","Fill=—","Direction=H","UseDPDF=Y")</f>
        <v>#NAME?</v>
      </c>
      <c r="CA168" s="3" t="e">
        <f ca="1">_xll.BDH($C$153,"BS_LT_BORROW","FY 2017","FY 2017","Currency=INR","Period=FY","BEST_FPERIOD_OVERRIDE=FY","FILING_STATUS=OR","EQY_CONSOLIDATED=Y","SCALING_FORMAT=MLN","Sort=A","Dates=H","DateFormat=P","Fill=—","Direction=H","UseDPDF=Y")</f>
        <v>#NAME?</v>
      </c>
      <c r="CB168" s="2" t="e">
        <f ca="1">_xll.BDH($C$153,"TOT_DEBT_TO_EBITDA","FY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168" s="2" t="e">
        <f ca="1">_xll.BDH($C$153,"NET_DEBT_TO_EBITDA","FY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168" s="2" t="e">
        <f ca="1">_xll.BDH($C$153,"TOTAL_DEBT_TO_EBIT","FY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168" s="2" t="e">
        <f ca="1">_xll.BDH($C$153,"NET_DEBT_TO_EBIT","FY 2017","FY 2017","Currency=INR","Period=FY","BEST_FPERIOD_OVERRIDE=FY","FILING_STATUS=OR","EQY_CONSOLIDATED=Y","FA_ADJUSTED=GAAP","Sort=A","Dates=H","DateFormat=P","Fill=—","Direction=H","UseDPDF=Y")</f>
        <v>#NAME?</v>
      </c>
      <c r="CF168" s="2" t="e">
        <f ca="1">_xll.BDH($C$153,"EBITDA_TO_INTEREST_EXPN","FY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168" s="2" t="e">
        <f ca="1">_xll.BDH($C$153,"COM_EQY_TO_TOT_ASSET","FY 2017","FY 2017","Currency=INR","Period=FY","BEST_FPERIOD_OVERRIDE=FY","FILING_STATUS=OR","EQY_CONSOLIDATED=Y","Sort=A","Dates=H","DateFormat=P","Fill=—","Direction=H","UseDPDF=Y")</f>
        <v>#NAME?</v>
      </c>
      <c r="CH168" s="2" t="e">
        <f ca="1">_xll.BDH($C$153,"LT_DEBT_TO_TOT_EQY","FY 2017","FY 2017","Currency=INR","Period=FY","BEST_FPERIOD_OVERRIDE=FY","FILING_STATUS=OR","EQY_CONSOLIDATED=Y","Sort=A","Dates=H","DateFormat=P","Fill=—","Direction=H","UseDPDF=Y")</f>
        <v>#NAME?</v>
      </c>
      <c r="CI168" s="2" t="e">
        <f ca="1">_xll.BDH($C$153,"LT_DEBT_TO_TOT_CAP","FY 2017","FY 2017","Currency=INR","Period=FY","BEST_FPERIOD_OVERRIDE=FY","FILING_STATUS=OR","EQY_CONSOLIDATED=Y","Sort=A","Dates=H","DateFormat=P","Fill=—","Direction=H","UseDPDF=Y")</f>
        <v>#NAME?</v>
      </c>
      <c r="CJ168" s="2" t="e">
        <f ca="1">_xll.BDH($C$153,"LT_DEBT_TO_TOT_ASSET","FY 2017","FY 2017","Currency=INR","Period=FY","BEST_FPERIOD_OVERRIDE=FY","FILING_STATUS=OR","EQY_CONSOLIDATED=Y","Sort=A","Dates=H","DateFormat=P","Fill=—","Direction=H","UseDPDF=Y")</f>
        <v>#NAME?</v>
      </c>
      <c r="CK168" s="2" t="e">
        <f ca="1">_xll.BDH($C$153,"TOT_DEBT_TO_TOT_EQY","FY 2017","FY 2017","Currency=INR","Period=FY","BEST_FPERIOD_OVERRIDE=FY","FILING_STATUS=OR","EQY_CONSOLIDATED=Y","Sort=A","Dates=H","DateFormat=P","Fill=—","Direction=H","UseDPDF=Y")</f>
        <v>#NAME?</v>
      </c>
      <c r="CL168" s="2" t="e">
        <f ca="1">_xll.BDH($C$153,"TOT_DEBT_TO_TOT_CAP","FY 2017","FY 2017","Currency=INR","Period=FY","BEST_FPERIOD_OVERRIDE=FY","FILING_STATUS=OR","EQY_CONSOLIDATED=Y","Sort=A","Dates=H","DateFormat=P","Fill=—","Direction=H","UseDPDF=Y")</f>
        <v>#NAME?</v>
      </c>
      <c r="CM168" s="2" t="e">
        <f ca="1">_xll.BDH($C$153,"TOT_DEBT_TO_TOT_ASSET","FY 2017","FY 2017","Currency=INR","Period=FY","BEST_FPERIOD_OVERRIDE=FY","FILING_STATUS=OR","EQY_CONSOLIDATED=Y","Sort=A","Dates=H","DateFormat=P","Fill=—","Direction=H","UseDPDF=Y")</f>
        <v>#NAME?</v>
      </c>
      <c r="CN168" s="2" t="e">
        <f ca="1">_xll.BDH($C$153,"NET_DEBT_TO_SHRHLDR_EQTY","FY 2017","FY 2017","Currency=INR","Period=FY","BEST_FPERIOD_OVERRIDE=FY","FILING_STATUS=OR","EQY_CONSOLIDATED=Y","Sort=A","Dates=H","DateFormat=P","Fill=—","Direction=H","UseDPDF=Y")</f>
        <v>#NAME?</v>
      </c>
      <c r="CO168" s="2" t="e">
        <f ca="1">_xll.BDH($C$153,"NET_DEBT_%_CAPITAL","FY 2017","FY 2017","Currency=INR","Period=FY","BEST_FPERIOD_OVERRIDE=FY","FILING_STATUS=OR","EQY_CONSOLIDATED=Y","Sort=A","Dates=H","DateFormat=P","Fill=—","Direction=H","UseDPDF=Y")</f>
        <v>#NAME?</v>
      </c>
      <c r="CP168" s="3" t="e">
        <f ca="1">_xll.BDH($C$153,"EBITDA","FY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168" s="3" t="e">
        <f ca="1">_xll.BDH($C$153,"EBITDA_AFTER_CAPEX","FY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168" s="3" t="e">
        <f ca="1">_xll.BDH($C$153,"IS_OPER_INC","FY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168" s="2" t="e">
        <f ca="1">_xll.BDH($C$153,"CASH_RATIO","FY 2017","FY 2017","Currency=INR","Period=FY","BEST_FPERIOD_OVERRIDE=FY","FILING_STATUS=OR","EQY_CONSOLIDATED=Y","Sort=A","Dates=H","DateFormat=P","Fill=—","Direction=H","UseDPDF=Y")</f>
        <v>#NAME?</v>
      </c>
      <c r="CT168" s="2" t="e">
        <f ca="1">_xll.BDH($C$153,"CUR_RATIO","FY 2017","FY 2017","Currency=INR","Period=FY","BEST_FPERIOD_OVERRIDE=FY","FILING_STATUS=OR","EQY_CONSOLIDATED=Y","Sort=A","Dates=H","DateFormat=P","Fill=—","Direction=H","UseDPDF=Y")</f>
        <v>#NAME?</v>
      </c>
      <c r="CU168" s="2" t="e">
        <f ca="1">_xll.BDH($C$153,"QUICK_RATIO","FY 2017","FY 2017","Currency=INR","Period=FY","BEST_FPERIOD_OVERRIDE=FY","FILING_STATUS=OR","EQY_CONSOLIDATED=Y","Sort=A","Dates=H","DateFormat=P","Fill=—","Direction=H","UseDPDF=Y")</f>
        <v>#NAME?</v>
      </c>
      <c r="CV168" s="2" t="e">
        <f ca="1">_xll.BDH($C$153,"ALTMAN_Z_SCORE","FY 2017","FY 2017","Currency=INR","Period=FY","BEST_FPERIOD_OVERRIDE=FY","FILING_STATUS=OR","EQY_CONSOLIDATED=Y","Sort=A","Dates=H","DateFormat=P","Fill=—","Direction=H","UseDPDF=Y")</f>
        <v>#NAME?</v>
      </c>
      <c r="CW168" s="4" t="e">
        <f ca="1">_xll.BDH($C$153,"ACCT_RCV_TURN","FY 2017","FY 2017","Currency=INR","Period=FY","BEST_FPERIOD_OVERRIDE=FY","FILING_STATUS=OR","EQY_CONSOLIDATED=Y","FA_ADJUSTED=GAAP","Sort=A","Dates=H","DateFormat=P","Fill=—","Direction=H","UseDPDF=Y")</f>
        <v>#NAME?</v>
      </c>
      <c r="CX168" s="2" t="e">
        <f ca="1">_xll.BDH($C$153,"ACCT_RCV_DAYS","FY 2017","FY 2017","Currency=INR","Period=FY","BEST_FPERIOD_OVERRIDE=FY","FILING_STATUS=OR","EQY_CONSOLIDATED=Y","FA_ADJUSTED=GAAP","Sort=A","Dates=H","DateFormat=P","Fill=—","Direction=H","UseDPDF=Y")</f>
        <v>#NAME?</v>
      </c>
      <c r="CY168" s="4" t="e">
        <f ca="1">_xll.BDH($C$153,"INVENT_TURN","FY 2017","FY 2017","Currency=INR","Period=FY","BEST_FPERIOD_OVERRIDE=FY","FILING_STATUS=OR","EQY_CONSOLIDATED=Y","FA_ADJUSTED=GAAP","Sort=A","Dates=H","DateFormat=P","Fill=—","Direction=H","UseDPDF=Y")</f>
        <v>#NAME?</v>
      </c>
      <c r="CZ168" s="2" t="e">
        <f ca="1">_xll.BDH($C$153,"INVENT_DAYS","FY 2017","FY 2017","Currency=INR","Period=FY","BEST_FPERIOD_OVERRIDE=FY","FILING_STATUS=OR","EQY_CONSOLIDATED=Y","FA_ADJUSTED=GAAP","Sort=A","Dates=H","DateFormat=P","Fill=—","Direction=H","UseDPDF=Y")</f>
        <v>#NAME?</v>
      </c>
      <c r="DA168" s="4" t="e">
        <f ca="1">_xll.BDH($C$153,"ACCOUNTS_PAYABLE_TURNOVER","FY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168" s="2" t="e">
        <f ca="1">_xll.BDH($C$153,"ACCOUNTS_PAYABLE_TURNOVER_DAYS","FY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168" s="4" t="e">
        <f ca="1">_xll.BDH($C$153,"CASH_CONVERSION_CYCLE","FY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168" s="4" t="e">
        <f ca="1">_xll.BDH($C$153,"INV_TO_CASH_DAYS","FY 2017","FY 2017","Currency=INR","Period=FY","BEST_FPERIOD_OVERRIDE=FY","FILING_STATUS=OR","EQY_CONSOLIDATED=Y","FA_ADJUSTED=GAAP","Sort=A","Dates=H","DateFormat=P","Fill=—","Direction=H","UseDPDF=Y")</f>
        <v>#NAME?</v>
      </c>
      <c r="DE168" s="5" t="e">
        <f ca="1">_xll.BDH($C$153,"BS_INVENTORIES","FY 2017","FY 2017","Currency=INR","Period=FY","BEST_FPERIOD_OVERRIDE=FY","FILING_STATUS=OR","EQY_CONSOLIDATED=Y","SCALING_FORMAT=MLN","Sort=A","Dates=H","DateFormat=P","Fill=—","Direction=H","UseDPDF=Y")</f>
        <v>#NAME?</v>
      </c>
      <c r="DF168" s="3" t="e">
        <f ca="1">_xll.BDH($C$153,"INVTRY_RAW_MATERIALS","FY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168" s="3" t="e">
        <f ca="1">_xll.BDH($C$153,"INVTRY_IN_PROGRESS","FY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168" s="3" t="e">
        <f ca="1">_xll.BDH($C$153,"INVTRY_FINISHED_GOODS","FY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168" s="3" t="e">
        <f ca="1">_xll.BDH($C$153,"BS_OTHER_INV","FY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169" spans="1:113" x14ac:dyDescent="0.3">
      <c r="A169" s="6"/>
      <c r="B169" s="6"/>
      <c r="C169" s="6"/>
      <c r="D169" s="6"/>
      <c r="E169" t="s">
        <v>78</v>
      </c>
      <c r="F169" t="e">
        <f ca="1">_xll.BDH($C$153,"RETURN_COM_EQY","FQ1 2017","FQ1 2017","Currency=INR","Period=FQ","BEST_FPERIOD_OVERRIDE=FQ","FILING_STATUS=OR","EQY_CONSOLIDATED=Y","FA_ADJUSTED=GAAP","Sort=A","Dates=H","DateFormat=P","Fill=—","Direction=H","UseDPDF=Y")</f>
        <v>#NAME?</v>
      </c>
      <c r="G169" t="e">
        <f ca="1">_xll.BDH($C$153,"RETURN_ON_ASSET","FQ1 2017","FQ1 2017","Currency=INR","Period=FQ","BEST_FPERIOD_OVERRIDE=FQ","FILING_STATUS=OR","EQY_CONSOLIDATED=Y","FA_ADJUSTED=GAAP","Sort=A","Dates=H","DateFormat=P","Fill=—","Direction=H","UseDPDF=Y")</f>
        <v>#NAME?</v>
      </c>
      <c r="H169" t="e">
        <f ca="1">_xll.BDH($C$153,"RETURN_ON_CAP","FQ1 2017","FQ1 2017","Currency=INR","Period=FQ","BEST_FPERIOD_OVERRIDE=FQ","FILING_STATUS=OR","EQY_CONSOLIDATED=Y","FA_ADJUSTED=GAAP","Sort=A","Dates=H","DateFormat=P","Fill=—","Direction=H","UseDPDF=Y")</f>
        <v>#NAME?</v>
      </c>
      <c r="I169" t="e">
        <f ca="1">_xll.BDH($C$153,"RETURN_ON_INV_CAPITAL","FQ1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169" t="e">
        <f ca="1">_xll.BDH($C$153,"EBITDA_TO_REVENUE","FQ1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169" t="e">
        <f ca="1">_xll.BDH($C$153,"OPER_MARGIN","FQ1 2017","FQ1 2017","Currency=INR","Period=FQ","BEST_FPERIOD_OVERRIDE=FQ","FILING_STATUS=OR","EQY_CONSOLIDATED=Y","FA_ADJUSTED=GAAP","Sort=A","Dates=H","DateFormat=P","Fill=—","Direction=H","UseDPDF=Y")</f>
        <v>#NAME?</v>
      </c>
      <c r="L169" t="e">
        <f ca="1">_xll.BDH($C$153,"INCREMENTAL_OPERATING_MARGIN","FQ1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169" t="e">
        <f ca="1">_xll.BDH($C$153,"PRETAX_INC_TO_NET_SALES","FQ1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169" t="e">
        <f ca="1">_xll.BDH($C$153,"INC_BEF_XO_ITEMS_TO_NET_SALES","FQ1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169" t="e">
        <f ca="1">_xll.BDH($C$153,"PROF_MARGIN","FQ1 2017","FQ1 2017","Currency=INR","Period=FQ","BEST_FPERIOD_OVERRIDE=FQ","FILING_STATUS=OR","EQY_CONSOLIDATED=Y","FA_ADJUSTED=GAAP","Sort=A","Dates=H","DateFormat=P","Fill=—","Direction=H","UseDPDF=Y")</f>
        <v>#NAME?</v>
      </c>
      <c r="P169" t="e">
        <f ca="1">_xll.BDH($C$153,"NET_INCOME_TO_COMMON_MARGIN","FQ1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169" t="e">
        <f ca="1">_xll.BDH($C$153,"EFF_TAX_RATE","FQ1 2017","FQ1 2017","Currency=INR","Period=FQ","BEST_FPERIOD_OVERRIDE=FQ","FILING_STATUS=OR","EQY_CONSOLIDATED=Y","FA_ADJUSTED=GAAP","Sort=A","Dates=H","DateFormat=P","Fill=—","Direction=H","UseDPDF=Y")</f>
        <v>#NAME?</v>
      </c>
      <c r="R169" t="e">
        <f ca="1">_xll.BDH($C$153,"DVD_PAYOUT_RATIO","FQ1 2017","FQ1 2017","Currency=INR","Period=FQ","BEST_FPERIOD_OVERRIDE=FQ","FILING_STATUS=OR","EQY_CONSOLIDATED=Y","FA_ADJUSTED=GAAP","Sort=A","Dates=H","DateFormat=P","Fill=—","Direction=H","UseDPDF=Y")</f>
        <v>#NAME?</v>
      </c>
      <c r="S169" t="e">
        <f ca="1">_xll.BDH($C$153,"SUSTAIN_GROWTH_RT","FQ1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169" s="2" t="e">
        <f ca="1">_xll.BDH($C$153,"SALES_GROWTH","FQ1 2017","FQ1 2017","Currency=INR","Period=FQ","BEST_FPERIOD_OVERRIDE=FQ","FILING_STATUS=OR","EQY_CONSOLIDATED=Y","FA_ADJUSTED=GAAP","Sort=A","Dates=H","DateFormat=P","Fill=—","Direction=H","UseDPDF=Y")</f>
        <v>#NAME?</v>
      </c>
      <c r="U169" s="2" t="e">
        <f ca="1">_xll.BDH($C$153,"EBITDA_GROWTH","FQ1 2017","FQ1 2017","Currency=INR","Period=FQ","BEST_FPERIOD_OVERRIDE=FQ","FILING_STATUS=OR","EQY_CONSOLIDATED=Y","FA_ADJUSTED=GAAP","Sort=A","Dates=H","DateFormat=P","Fill=—","Direction=H","UseDPDF=Y")</f>
        <v>#NAME?</v>
      </c>
      <c r="V169" s="2" t="e">
        <f ca="1">_xll.BDH($C$153,"OPER_INC_GROWTH","FQ1 2017","FQ1 2017","Currency=INR","Period=FQ","BEST_FPERIOD_OVERRIDE=FQ","FILING_STATUS=OR","EQY_CONSOLIDATED=Y","FA_ADJUSTED=GAAP","Sort=A","Dates=H","DateFormat=P","Fill=—","Direction=H","UseDPDF=Y")</f>
        <v>#NAME?</v>
      </c>
      <c r="W169" s="2" t="e">
        <f ca="1">_xll.BDH($C$153,"EARN_FOR_COM_GROWTH","FQ1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169" s="2" t="e">
        <f ca="1">_xll.BDH($C$153,"DILUTED_EPS_AFT_XO_ITEMS_GROWTH","FQ1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169" s="2" t="e">
        <f ca="1">_xll.BDH($C$153,"DIVIDEND_PER_SHARE_1_YEAR_GROWTH","FQ1 2017","FQ1 2017","Currency=INR","Period=FQ","BEST_FPERIOD_OVERRIDE=FQ","FILING_STATUS=OR","EQY_CONSOLIDATED=Y","Sort=A","Dates=H","DateFormat=P","Fill=—","Direction=H","UseDPDF=Y")</f>
        <v>#NAME?</v>
      </c>
      <c r="Z169" s="2" t="e">
        <f ca="1">_xll.BDH($C$153,"ACCOUNTS_RECEIVABLE_GROWTH","FQ1 2017","FQ1 2017","Currency=INR","Period=FQ","BEST_FPERIOD_OVERRIDE=FQ","FILING_STATUS=OR","EQY_CONSOLIDATED=Y","Sort=A","Dates=H","DateFormat=P","Fill=—","Direction=H","UseDPDF=Y")</f>
        <v>#NAME?</v>
      </c>
      <c r="AA169" s="2" t="e">
        <f ca="1">_xll.BDH($C$153,"INVENTORY_GROWTH","FQ1 2017","FQ1 2017","Currency=INR","Period=FQ","BEST_FPERIOD_OVERRIDE=FQ","FILING_STATUS=OR","EQY_CONSOLIDATED=Y","Sort=A","Dates=H","DateFormat=P","Fill=—","Direction=H","UseDPDF=Y")</f>
        <v>#NAME?</v>
      </c>
      <c r="AB169" s="2" t="e">
        <f ca="1">_xll.BDH($C$153,"NET_FIXED_ASSETS_1_YEAR_GROWTH","FQ1 2017","FQ1 2017","Currency=INR","Period=FQ","BEST_FPERIOD_OVERRIDE=FQ","FILING_STATUS=OR","EQY_CONSOLIDATED=Y","Sort=A","Dates=H","DateFormat=P","Fill=—","Direction=H","UseDPDF=Y")</f>
        <v>#NAME?</v>
      </c>
      <c r="AC169" s="2" t="e">
        <f ca="1">_xll.BDH($C$153,"ASSET_GROWTH","FQ1 2017","FQ1 2017","Currency=INR","Period=FQ","BEST_FPERIOD_OVERRIDE=FQ","FILING_STATUS=OR","EQY_CONSOLIDATED=Y","Sort=A","Dates=H","DateFormat=P","Fill=—","Direction=H","UseDPDF=Y")</f>
        <v>#NAME?</v>
      </c>
      <c r="AD169" s="2" t="e">
        <f ca="1">_xll.BDH($C$153,"MODIFIED_WORK_CAP_GROWTH","FQ1 2017","FQ1 2017","Currency=INR","Period=FQ","BEST_FPERIOD_OVERRIDE=FQ","FILING_STATUS=OR","EQY_CONSOLIDATED=Y","Sort=A","Dates=H","DateFormat=P","Fill=—","Direction=H","UseDPDF=Y")</f>
        <v>#NAME?</v>
      </c>
      <c r="AE169" s="2" t="e">
        <f ca="1">_xll.BDH($C$153,"WORK_CAP_GROWTH","FQ1 2017","FQ1 2017","Currency=INR","Period=FQ","BEST_FPERIOD_OVERRIDE=FQ","FILING_STATUS=OR","EQY_CONSOLIDATED=Y","Sort=A","Dates=H","DateFormat=P","Fill=—","Direction=H","UseDPDF=Y")</f>
        <v>#NAME?</v>
      </c>
      <c r="AF169" s="2" t="e">
        <f ca="1">_xll.BDH($C$153,"ACCOUNTS_PAYABLE_GROWTH_1YR","FQ1 2017","FQ1 2017","Currency=INR","Period=FQ","BEST_FPERIOD_OVERRIDE=FQ","FILING_STATUS=OR","EQY_CONSOLIDATED=Y","Sort=A","Dates=H","DateFormat=P","Fill=—","Direction=H","UseDPDF=Y")</f>
        <v>#NAME?</v>
      </c>
      <c r="AG169" s="2" t="e">
        <f ca="1">_xll.BDH($C$153,"SHORT_TERM_DEBT_1_YEAR_GROWTH","FQ1 2017","FQ1 2017","Currency=INR","Period=FQ","BEST_FPERIOD_OVERRIDE=FQ","FILING_STATUS=OR","EQY_CONSOLIDATED=Y","Sort=A","Dates=H","DateFormat=P","Fill=—","Direction=H","UseDPDF=Y")</f>
        <v>#NAME?</v>
      </c>
      <c r="AH169" s="2" t="e">
        <f ca="1">_xll.BDH($C$153,"TOTAL_DEBT_1_YEAR_GROWTH","FQ1 2017","FQ1 2017","Currency=INR","Period=FQ","BEST_FPERIOD_OVERRIDE=FQ","FILING_STATUS=OR","EQY_CONSOLIDATED=Y","Sort=A","Dates=H","DateFormat=P","Fill=—","Direction=H","UseDPDF=Y")</f>
        <v>#NAME?</v>
      </c>
      <c r="AI169" s="2" t="e">
        <f ca="1">_xll.BDH($C$153,"TOTAL_EQUITY_1_YEAR_GROWTH","FQ1 2017","FQ1 2017","Currency=INR","Period=FQ","BEST_FPERIOD_OVERRIDE=FQ","FILING_STATUS=OR","EQY_CONSOLIDATED=Y","Sort=A","Dates=H","DateFormat=P","Fill=—","Direction=H","UseDPDF=Y")</f>
        <v>#NAME?</v>
      </c>
      <c r="AJ169" s="2" t="e">
        <f ca="1">_xll.BDH($C$153,"GROWTH_IN_CAP","FQ1 2017","FQ1 2017","Currency=INR","Period=FQ","BEST_FPERIOD_OVERRIDE=FQ","FILING_STATUS=OR","EQY_CONSOLIDATED=Y","Sort=A","Dates=H","DateFormat=P","Fill=—","Direction=H","UseDPDF=Y")</f>
        <v>#NAME?</v>
      </c>
      <c r="AK169" s="2" t="e">
        <f ca="1">_xll.BDH($C$153,"BVPS_GROWTH","FQ1 2017","FQ1 2017","Currency=INR","Period=FQ","BEST_FPERIOD_OVERRIDE=FQ","FILING_STATUS=OR","EQY_CONSOLIDATED=Y","Sort=A","Dates=H","DateFormat=P","Fill=—","Direction=H","UseDPDF=Y")</f>
        <v>#NAME?</v>
      </c>
      <c r="AL169" s="2" t="e">
        <f ca="1">_xll.BDH($C$153,"CASH_FLOW_GROWTH","FQ1 2017","FQ1 2017","Currency=INR","Period=FQ","BEST_FPERIOD_OVERRIDE=FQ","FILING_STATUS=OR","EQY_CONSOLIDATED=Y","Sort=A","Dates=H","DateFormat=P","Fill=—","Direction=H","UseDPDF=Y")</f>
        <v>#NAME?</v>
      </c>
      <c r="AM169" s="2" t="e">
        <f ca="1">_xll.BDH($C$153,"GEO_GROW_NET_SALES","FQ1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169" s="2" t="e">
        <f ca="1">_xll.BDH($C$153,"GEO_GROW_EBITDA","FQ1 2017","FQ1 2017","Currency=INR","Period=FQ","BEST_FPERIOD_OVERRIDE=FQ","FILING_STATUS=OR","EQY_CONSOLIDATED=Y","FA_ADJUSTED=GAAP","Sort=A","Dates=H","DateFormat=P","Fill=—","Direction=H","UseDPDF=Y")</f>
        <v>#NAME?</v>
      </c>
      <c r="AO169" s="2" t="e">
        <f ca="1">_xll.BDH($C$153,"GEO_GROW_OPER_INC","FQ1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169" s="2" t="e">
        <f ca="1">_xll.BDH($C$153,"NET_INCOME_TO_COMMON_5_YR_GROWTH","FQ1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169" s="2" t="e">
        <f ca="1">_xll.BDH($C$153,"5Y_GEO_GROWTH_DILUTED_EPS","FQ1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169" s="2" t="e">
        <f ca="1">_xll.BDH($C$153,"GEO_GROW_DVD_PER_SH","FQ1 2017","FQ1 2017","Currency=INR","Period=FQ","BEST_FPERIOD_OVERRIDE=FQ","FILING_STATUS=OR","EQY_CONSOLIDATED=Y","Sort=A","Dates=H","DateFormat=P","Fill=—","Direction=H","UseDPDF=Y")</f>
        <v>#NAME?</v>
      </c>
      <c r="AS169" s="2" t="e">
        <f ca="1">_xll.BDH($C$153,"ACCOUNTS_RECEIVABLE_5_YR_GROWTH","FQ1 2017","FQ1 2017","Currency=INR","Period=FQ","BEST_FPERIOD_OVERRIDE=FQ","FILING_STATUS=OR","EQY_CONSOLIDATED=Y","Sort=A","Dates=H","DateFormat=P","Fill=—","Direction=H","UseDPDF=Y")</f>
        <v>#NAME?</v>
      </c>
      <c r="AT169" s="2" t="e">
        <f ca="1">_xll.BDH($C$153,"INVENTORY_5_YEAR_GROWTH","FQ1 2017","FQ1 2017","Currency=INR","Period=FQ","BEST_FPERIOD_OVERRIDE=FQ","FILING_STATUS=OR","EQY_CONSOLIDATED=Y","Sort=A","Dates=H","DateFormat=P","Fill=—","Direction=H","UseDPDF=Y")</f>
        <v>#NAME?</v>
      </c>
      <c r="AU169" s="2" t="e">
        <f ca="1">_xll.BDH($C$153,"NET_FIXED_ASSETS_5_YEAR_GROWTH","FQ1 2017","FQ1 2017","Currency=INR","Period=FQ","BEST_FPERIOD_OVERRIDE=FQ","FILING_STATUS=OR","EQY_CONSOLIDATED=Y","Sort=A","Dates=H","DateFormat=P","Fill=—","Direction=H","UseDPDF=Y")</f>
        <v>#NAME?</v>
      </c>
      <c r="AV169" s="2" t="e">
        <f ca="1">_xll.BDH($C$153,"GEO_GROW_TOT_ASSET","FQ1 2017","FQ1 2017","Currency=INR","Period=FQ","BEST_FPERIOD_OVERRIDE=FQ","FILING_STATUS=OR","EQY_CONSOLIDATED=Y","Sort=A","Dates=H","DateFormat=P","Fill=—","Direction=H","UseDPDF=Y")</f>
        <v>#NAME?</v>
      </c>
      <c r="AW169" s="2" t="e">
        <f ca="1">_xll.BDH($C$153,"MODIFIED_WORKING_CPTL_5YR_GRWTH","FQ1 2017","FQ1 2017","Currency=INR","Period=FQ","BEST_FPERIOD_OVERRIDE=FQ","FILING_STATUS=OR","EQY_CONSOLIDATED=Y","Sort=A","Dates=H","DateFormat=P","Fill=—","Direction=H","UseDPDF=Y")</f>
        <v>#NAME?</v>
      </c>
      <c r="AX169" s="2" t="e">
        <f ca="1">_xll.BDH($C$153,"WORKING_CAPITAL_5_YEAR_GROWTH","FQ1 2017","FQ1 2017","Currency=INR","Period=FQ","BEST_FPERIOD_OVERRIDE=FQ","FILING_STATUS=OR","EQY_CONSOLIDATED=Y","Sort=A","Dates=H","DateFormat=P","Fill=—","Direction=H","UseDPDF=Y")</f>
        <v>#NAME?</v>
      </c>
      <c r="AY169" s="2" t="e">
        <f ca="1">_xll.BDH($C$153,"ACCOUNTS_PAYABLE_5_YEAR_GROWTH","FQ1 2017","FQ1 2017","Currency=INR","Period=FQ","BEST_FPERIOD_OVERRIDE=FQ","FILING_STATUS=OR","EQY_CONSOLIDATED=Y","Sort=A","Dates=H","DateFormat=P","Fill=—","Direction=H","UseDPDF=Y")</f>
        <v>#NAME?</v>
      </c>
      <c r="AZ169" s="2" t="e">
        <f ca="1">_xll.BDH($C$153,"SHORT_TERM_DEBT_5_YEAR_GROWTH","FQ1 2017","FQ1 2017","Currency=INR","Period=FQ","BEST_FPERIOD_OVERRIDE=FQ","FILING_STATUS=OR","EQY_CONSOLIDATED=Y","Sort=A","Dates=H","DateFormat=P","Fill=—","Direction=H","UseDPDF=Y")</f>
        <v>#NAME?</v>
      </c>
      <c r="BA169" s="2" t="e">
        <f ca="1">_xll.BDH($C$153,"TOTAL_DEBT_5_YEAR_GROWTH","FQ1 2017","FQ1 2017","Currency=INR","Period=FQ","BEST_FPERIOD_OVERRIDE=FQ","FILING_STATUS=OR","EQY_CONSOLIDATED=Y","Sort=A","Dates=H","DateFormat=P","Fill=—","Direction=H","UseDPDF=Y")</f>
        <v>#NAME?</v>
      </c>
      <c r="BB169" s="2" t="e">
        <f ca="1">_xll.BDH($C$153,"GEO_GROW_TOT_SHRHLDR_EQY","FQ1 2017","FQ1 2017","Currency=INR","Period=FQ","BEST_FPERIOD_OVERRIDE=FQ","FILING_STATUS=OR","EQY_CONSOLIDATED=Y","Sort=A","Dates=H","DateFormat=P","Fill=—","Direction=H","UseDPDF=Y")</f>
        <v>#NAME?</v>
      </c>
      <c r="BC169" s="2" t="e">
        <f ca="1">_xll.BDH($C$153,"TOTAL_CAPITAL_5_YEAR_GROWTH","FQ1 2017","FQ1 2017","Currency=INR","Period=FQ","BEST_FPERIOD_OVERRIDE=FQ","FILING_STATUS=OR","EQY_CONSOLIDATED=Y","Sort=A","Dates=H","DateFormat=P","Fill=—","Direction=H","UseDPDF=Y")</f>
        <v>#NAME?</v>
      </c>
      <c r="BD169" s="2" t="e">
        <f ca="1">_xll.BDH($C$153,"GEO_GROW_BOOK_VAL","FQ1 2017","FQ1 2017","Currency=INR","Period=FQ","BEST_FPERIOD_OVERRIDE=FQ","FILING_STATUS=OR","EQY_CONSOLIDATED=Y","Sort=A","Dates=H","DateFormat=P","Fill=—","Direction=H","UseDPDF=Y")</f>
        <v>#NAME?</v>
      </c>
      <c r="BE169" s="2" t="e">
        <f ca="1">_xll.BDH($C$153,"GEO_GROW_CASH_OPER_ACT","FQ1 2017","FQ1 2017","Currency=INR","Period=FQ","BEST_FPERIOD_OVERRIDE=FQ","FILING_STATUS=OR","EQY_CONSOLIDATED=Y","Sort=A","Dates=H","DateFormat=P","Fill=—","Direction=H","UseDPDF=Y")</f>
        <v>#NAME?</v>
      </c>
      <c r="BF169" s="2" t="e">
        <f ca="1">_xll.BDH($C$153,"REVENUE_SEQUENTIAL_GROWTH","FQ1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169" s="2" t="e">
        <f ca="1">_xll.BDH($C$153,"EBITDA_SEQUENTIAL_GROWTH","FQ1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169" s="2" t="e">
        <f ca="1">_xll.BDH($C$153,"OPERATING_INCOME_SEQ_GROWTH","FQ1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169" s="2" t="e">
        <f ca="1">_xll.BDH($C$153,"NET_INCOME_TO_COMMON_SEQ_GROWTH","FQ1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169" s="2" t="e">
        <f ca="1">_xll.BDH($C$153,"EPS_DILUTED_SEQUENTIAL_GROWTH","FQ1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169" s="2" t="e">
        <f ca="1">_xll.BDH($C$153,"DPS_SEQUENTIAL_GROWTH","FQ1 2017","FQ1 2017","Currency=INR","Period=FQ","BEST_FPERIOD_OVERRIDE=FQ","FILING_STATUS=OR","EQY_CONSOLIDATED=Y","Sort=A","Dates=H","DateFormat=P","Fill=—","Direction=H","UseDPDF=Y")</f>
        <v>#NAME?</v>
      </c>
      <c r="BL169" s="2" t="e">
        <f ca="1">_xll.BDH($C$153,"ACCOUNTS_RECEIVABLE_SEQ_GROWTH","FQ1 2017","FQ1 2017","Currency=INR","Period=FQ","BEST_FPERIOD_OVERRIDE=FQ","FILING_STATUS=OR","EQY_CONSOLIDATED=Y","Sort=A","Dates=H","DateFormat=P","Fill=—","Direction=H","UseDPDF=Y")</f>
        <v>#NAME?</v>
      </c>
      <c r="BM169" s="2" t="e">
        <f ca="1">_xll.BDH($C$153,"INVENTORY_SEQUENTIAL_GROWTH","FQ1 2017","FQ1 2017","Currency=INR","Period=FQ","BEST_FPERIOD_OVERRIDE=FQ","FILING_STATUS=OR","EQY_CONSOLIDATED=Y","Sort=A","Dates=H","DateFormat=P","Fill=—","Direction=H","UseDPDF=Y")</f>
        <v>#NAME?</v>
      </c>
      <c r="BN169" s="2" t="e">
        <f ca="1">_xll.BDH($C$153,"FIXED_ASSETS_SEQUENTIAL_GROWTH","FQ1 2017","FQ1 2017","Currency=INR","Period=FQ","BEST_FPERIOD_OVERRIDE=FQ","FILING_STATUS=OR","EQY_CONSOLIDATED=Y","Sort=A","Dates=H","DateFormat=P","Fill=—","Direction=H","UseDPDF=Y")</f>
        <v>#NAME?</v>
      </c>
      <c r="BO169" s="2" t="e">
        <f ca="1">_xll.BDH($C$153,"TOTAL_ASSETS_SEQUENTIAL_GROWTH","FQ1 2017","FQ1 2017","Currency=INR","Period=FQ","BEST_FPERIOD_OVERRIDE=FQ","FILING_STATUS=OR","EQY_CONSOLIDATED=Y","Sort=A","Dates=H","DateFormat=P","Fill=—","Direction=H","UseDPDF=Y")</f>
        <v>#NAME?</v>
      </c>
      <c r="BP169" s="2" t="e">
        <f ca="1">_xll.BDH($C$153,"MODIFIED_WORKING_CPTL_SEQ_GRWTH","FQ1 2017","FQ1 2017","Currency=INR","Period=FQ","BEST_FPERIOD_OVERRIDE=FQ","FILING_STATUS=OR","EQY_CONSOLIDATED=Y","Sort=A","Dates=H","DateFormat=P","Fill=—","Direction=H","UseDPDF=Y")</f>
        <v>#NAME?</v>
      </c>
      <c r="BQ169" s="2" t="e">
        <f ca="1">_xll.BDH($C$153,"WORKING_CAPITAL_SEQ_GROWTH","FQ1 2017","FQ1 2017","Currency=INR","Period=FQ","BEST_FPERIOD_OVERRIDE=FQ","FILING_STATUS=OR","EQY_CONSOLIDATED=Y","Sort=A","Dates=H","DateFormat=P","Fill=—","Direction=H","UseDPDF=Y")</f>
        <v>#NAME?</v>
      </c>
      <c r="BR169" s="2" t="e">
        <f ca="1">_xll.BDH($C$153,"ACCOUNTS_PAYABLE_SEQ_GROWTH","FQ1 2017","FQ1 2017","Currency=INR","Period=FQ","BEST_FPERIOD_OVERRIDE=FQ","FILING_STATUS=OR","EQY_CONSOLIDATED=Y","Sort=A","Dates=H","DateFormat=P","Fill=—","Direction=H","UseDPDF=Y")</f>
        <v>#NAME?</v>
      </c>
      <c r="BS169" s="2" t="e">
        <f ca="1">_xll.BDH($C$153,"ST_DEBT_SEQUENTIAL_GROWTH","FQ1 2017","FQ1 2017","Currency=INR","Period=FQ","BEST_FPERIOD_OVERRIDE=FQ","FILING_STATUS=OR","EQY_CONSOLIDATED=Y","Sort=A","Dates=H","DateFormat=P","Fill=—","Direction=H","UseDPDF=Y")</f>
        <v>#NAME?</v>
      </c>
      <c r="BT169" s="2" t="e">
        <f ca="1">_xll.BDH($C$153,"TOTAL_DEBT_SEQUENTIAL_GROWTH","FQ1 2017","FQ1 2017","Currency=INR","Period=FQ","BEST_FPERIOD_OVERRIDE=FQ","FILING_STATUS=OR","EQY_CONSOLIDATED=Y","Sort=A","Dates=H","DateFormat=P","Fill=—","Direction=H","UseDPDF=Y")</f>
        <v>#NAME?</v>
      </c>
      <c r="BU169" s="2" t="e">
        <f ca="1">_xll.BDH($C$153,"TOTAL_EQUITY_SEQUENTIAL_GROWTH","FQ1 2017","FQ1 2017","Currency=INR","Period=FQ","BEST_FPERIOD_OVERRIDE=FQ","FILING_STATUS=OR","EQY_CONSOLIDATED=Y","Sort=A","Dates=H","DateFormat=P","Fill=—","Direction=H","UseDPDF=Y")</f>
        <v>#NAME?</v>
      </c>
      <c r="BV169" s="2" t="e">
        <f ca="1">_xll.BDH($C$153,"TOTAL_CAPITAL_SEQUENTIAL_GROWTH","FQ1 2017","FQ1 2017","Currency=INR","Period=FQ","BEST_FPERIOD_OVERRIDE=FQ","FILING_STATUS=OR","EQY_CONSOLIDATED=Y","Sort=A","Dates=H","DateFormat=P","Fill=—","Direction=H","UseDPDF=Y")</f>
        <v>#NAME?</v>
      </c>
      <c r="BW169" s="2" t="e">
        <f ca="1">_xll.BDH($C$153,"BPS_SEQUENTIAL_GROWTH","FQ1 2017","FQ1 2017","Currency=INR","Period=FQ","BEST_FPERIOD_OVERRIDE=FQ","FILING_STATUS=OR","EQY_CONSOLIDATED=Y","Sort=A","Dates=H","DateFormat=P","Fill=—","Direction=H","UseDPDF=Y")</f>
        <v>#NAME?</v>
      </c>
      <c r="BX169" s="2" t="e">
        <f ca="1">_xll.BDH($C$153,"CFO_SEQUENTIAL_GROWTH","FQ1 2017","FQ1 2017","Currency=INR","Period=FQ","BEST_FPERIOD_OVERRIDE=FQ","FILING_STATUS=OR","EQY_CONSOLIDATED=Y","Sort=A","Dates=H","DateFormat=P","Fill=—","Direction=H","UseDPDF=Y")</f>
        <v>#NAME?</v>
      </c>
      <c r="BY169" s="3" t="e">
        <f ca="1">_xll.BDH($C$153,"SHORT_AND_LONG_TERM_DEBT","FQ1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169" s="3" t="e">
        <f ca="1">_xll.BDH($C$153,"BS_ST_BORROW","FQ1 2017","FQ1 2017","Currency=INR","Period=FQ","BEST_FPERIOD_OVERRIDE=FQ","FILING_STATUS=OR","EQY_CONSOLIDATED=Y","SCALING_FORMAT=MLN","Sort=A","Dates=H","DateFormat=P","Fill=—","Direction=H","UseDPDF=Y")</f>
        <v>#NAME?</v>
      </c>
      <c r="CA169" s="3" t="e">
        <f ca="1">_xll.BDH($C$153,"BS_LT_BORROW","FQ1 2017","FQ1 2017","Currency=INR","Period=FQ","BEST_FPERIOD_OVERRIDE=FQ","FILING_STATUS=OR","EQY_CONSOLIDATED=Y","SCALING_FORMAT=MLN","Sort=A","Dates=H","DateFormat=P","Fill=—","Direction=H","UseDPDF=Y")</f>
        <v>#NAME?</v>
      </c>
      <c r="CB169" s="2" t="e">
        <f ca="1">_xll.BDH($C$153,"TOT_DEBT_TO_EBITDA","FQ1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169" s="2" t="e">
        <f ca="1">_xll.BDH($C$153,"NET_DEBT_TO_EBITDA","FQ1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169" s="2" t="e">
        <f ca="1">_xll.BDH($C$153,"TOTAL_DEBT_TO_EBIT","FQ1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169" s="2" t="e">
        <f ca="1">_xll.BDH($C$153,"NET_DEBT_TO_EBIT","FQ1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169" s="2" t="e">
        <f ca="1">_xll.BDH($C$153,"EBITDA_TO_INTEREST_EXPN","FQ1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169" s="2" t="e">
        <f ca="1">_xll.BDH($C$153,"COM_EQY_TO_TOT_ASSET","FQ1 2017","FQ1 2017","Currency=INR","Period=FQ","BEST_FPERIOD_OVERRIDE=FQ","FILING_STATUS=OR","EQY_CONSOLIDATED=Y","Sort=A","Dates=H","DateFormat=P","Fill=—","Direction=H","UseDPDF=Y")</f>
        <v>#NAME?</v>
      </c>
      <c r="CH169" s="2" t="e">
        <f ca="1">_xll.BDH($C$153,"LT_DEBT_TO_TOT_EQY","FQ1 2017","FQ1 2017","Currency=INR","Period=FQ","BEST_FPERIOD_OVERRIDE=FQ","FILING_STATUS=OR","EQY_CONSOLIDATED=Y","Sort=A","Dates=H","DateFormat=P","Fill=—","Direction=H","UseDPDF=Y")</f>
        <v>#NAME?</v>
      </c>
      <c r="CI169" s="2" t="e">
        <f ca="1">_xll.BDH($C$153,"LT_DEBT_TO_TOT_CAP","FQ1 2017","FQ1 2017","Currency=INR","Period=FQ","BEST_FPERIOD_OVERRIDE=FQ","FILING_STATUS=OR","EQY_CONSOLIDATED=Y","Sort=A","Dates=H","DateFormat=P","Fill=—","Direction=H","UseDPDF=Y")</f>
        <v>#NAME?</v>
      </c>
      <c r="CJ169" s="2" t="e">
        <f ca="1">_xll.BDH($C$153,"LT_DEBT_TO_TOT_ASSET","FQ1 2017","FQ1 2017","Currency=INR","Period=FQ","BEST_FPERIOD_OVERRIDE=FQ","FILING_STATUS=OR","EQY_CONSOLIDATED=Y","Sort=A","Dates=H","DateFormat=P","Fill=—","Direction=H","UseDPDF=Y")</f>
        <v>#NAME?</v>
      </c>
      <c r="CK169" s="2" t="e">
        <f ca="1">_xll.BDH($C$153,"TOT_DEBT_TO_TOT_EQY","FQ1 2017","FQ1 2017","Currency=INR","Period=FQ","BEST_FPERIOD_OVERRIDE=FQ","FILING_STATUS=OR","EQY_CONSOLIDATED=Y","Sort=A","Dates=H","DateFormat=P","Fill=—","Direction=H","UseDPDF=Y")</f>
        <v>#NAME?</v>
      </c>
      <c r="CL169" s="2" t="e">
        <f ca="1">_xll.BDH($C$153,"TOT_DEBT_TO_TOT_CAP","FQ1 2017","FQ1 2017","Currency=INR","Period=FQ","BEST_FPERIOD_OVERRIDE=FQ","FILING_STATUS=OR","EQY_CONSOLIDATED=Y","Sort=A","Dates=H","DateFormat=P","Fill=—","Direction=H","UseDPDF=Y")</f>
        <v>#NAME?</v>
      </c>
      <c r="CM169" s="2" t="e">
        <f ca="1">_xll.BDH($C$153,"TOT_DEBT_TO_TOT_ASSET","FQ1 2017","FQ1 2017","Currency=INR","Period=FQ","BEST_FPERIOD_OVERRIDE=FQ","FILING_STATUS=OR","EQY_CONSOLIDATED=Y","Sort=A","Dates=H","DateFormat=P","Fill=—","Direction=H","UseDPDF=Y")</f>
        <v>#NAME?</v>
      </c>
      <c r="CN169" s="2" t="e">
        <f ca="1">_xll.BDH($C$153,"NET_DEBT_TO_SHRHLDR_EQTY","FQ1 2017","FQ1 2017","Currency=INR","Period=FQ","BEST_FPERIOD_OVERRIDE=FQ","FILING_STATUS=OR","EQY_CONSOLIDATED=Y","Sort=A","Dates=H","DateFormat=P","Fill=—","Direction=H","UseDPDF=Y")</f>
        <v>#NAME?</v>
      </c>
      <c r="CO169" s="2" t="e">
        <f ca="1">_xll.BDH($C$153,"NET_DEBT_%_CAPITAL","FQ1 2017","FQ1 2017","Currency=INR","Period=FQ","BEST_FPERIOD_OVERRIDE=FQ","FILING_STATUS=OR","EQY_CONSOLIDATED=Y","Sort=A","Dates=H","DateFormat=P","Fill=—","Direction=H","UseDPDF=Y")</f>
        <v>#NAME?</v>
      </c>
      <c r="CP169" s="3" t="e">
        <f ca="1">_xll.BDH($C$153,"EBITDA","FQ1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169" s="3" t="e">
        <f ca="1">_xll.BDH($C$153,"EBITDA_AFTER_CAPEX","FQ1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169" s="3" t="e">
        <f ca="1">_xll.BDH($C$153,"IS_OPER_INC","FQ1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169" s="2" t="e">
        <f ca="1">_xll.BDH($C$153,"CASH_RATIO","FQ1 2017","FQ1 2017","Currency=INR","Period=FQ","BEST_FPERIOD_OVERRIDE=FQ","FILING_STATUS=OR","EQY_CONSOLIDATED=Y","Sort=A","Dates=H","DateFormat=P","Fill=—","Direction=H","UseDPDF=Y")</f>
        <v>#NAME?</v>
      </c>
      <c r="CT169" s="2" t="e">
        <f ca="1">_xll.BDH($C$153,"CUR_RATIO","FQ1 2017","FQ1 2017","Currency=INR","Period=FQ","BEST_FPERIOD_OVERRIDE=FQ","FILING_STATUS=OR","EQY_CONSOLIDATED=Y","Sort=A","Dates=H","DateFormat=P","Fill=—","Direction=H","UseDPDF=Y")</f>
        <v>#NAME?</v>
      </c>
      <c r="CU169" s="2" t="e">
        <f ca="1">_xll.BDH($C$153,"QUICK_RATIO","FQ1 2017","FQ1 2017","Currency=INR","Period=FQ","BEST_FPERIOD_OVERRIDE=FQ","FILING_STATUS=OR","EQY_CONSOLIDATED=Y","Sort=A","Dates=H","DateFormat=P","Fill=—","Direction=H","UseDPDF=Y")</f>
        <v>#NAME?</v>
      </c>
      <c r="CV169" s="2" t="e">
        <f ca="1">_xll.BDH($C$153,"ALTMAN_Z_SCORE","FQ1 2017","FQ1 2017","Currency=INR","Period=FQ","BEST_FPERIOD_OVERRIDE=FQ","FILING_STATUS=OR","EQY_CONSOLIDATED=Y","Sort=A","Dates=H","DateFormat=P","Fill=—","Direction=H","UseDPDF=Y")</f>
        <v>#NAME?</v>
      </c>
      <c r="CW169" s="4" t="e">
        <f ca="1">_xll.BDH($C$153,"ACCT_RCV_TURN","FQ1 2017","FQ1 2017","Currency=INR","Period=FQ","BEST_FPERIOD_OVERRIDE=FQ","FILING_STATUS=OR","EQY_CONSOLIDATED=Y","FA_ADJUSTED=GAAP","Sort=A","Dates=H","DateFormat=P","Fill=—","Direction=H","UseDPDF=Y")</f>
        <v>#NAME?</v>
      </c>
      <c r="CX169" s="2" t="e">
        <f ca="1">_xll.BDH($C$153,"ACCT_RCV_DAYS","FQ1 2017","FQ1 2017","Currency=INR","Period=FQ","BEST_FPERIOD_OVERRIDE=FQ","FILING_STATUS=OR","EQY_CONSOLIDATED=Y","FA_ADJUSTED=GAAP","Sort=A","Dates=H","DateFormat=P","Fill=—","Direction=H","UseDPDF=Y")</f>
        <v>#NAME?</v>
      </c>
      <c r="CY169" s="4" t="e">
        <f ca="1">_xll.BDH($C$153,"INVENT_TURN","FQ1 2017","FQ1 2017","Currency=INR","Period=FQ","BEST_FPERIOD_OVERRIDE=FQ","FILING_STATUS=OR","EQY_CONSOLIDATED=Y","FA_ADJUSTED=GAAP","Sort=A","Dates=H","DateFormat=P","Fill=—","Direction=H","UseDPDF=Y")</f>
        <v>#NAME?</v>
      </c>
      <c r="CZ169" s="2" t="e">
        <f ca="1">_xll.BDH($C$153,"INVENT_DAYS","FQ1 2017","FQ1 2017","Currency=INR","Period=FQ","BEST_FPERIOD_OVERRIDE=FQ","FILING_STATUS=OR","EQY_CONSOLIDATED=Y","FA_ADJUSTED=GAAP","Sort=A","Dates=H","DateFormat=P","Fill=—","Direction=H","UseDPDF=Y")</f>
        <v>#NAME?</v>
      </c>
      <c r="DA169" s="4" t="e">
        <f ca="1">_xll.BDH($C$153,"ACCOUNTS_PAYABLE_TURNOVER","FQ1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169" s="2" t="e">
        <f ca="1">_xll.BDH($C$153,"ACCOUNTS_PAYABLE_TURNOVER_DAYS","FQ1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169" s="4" t="e">
        <f ca="1">_xll.BDH($C$153,"CASH_CONVERSION_CYCLE","FQ1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169" s="4" t="e">
        <f ca="1">_xll.BDH($C$153,"INV_TO_CASH_DAYS","FQ1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169" s="5" t="e">
        <f ca="1">_xll.BDH($C$153,"BS_INVENTORIES","FQ1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169" s="3" t="e">
        <f ca="1">_xll.BDH($C$153,"INVTRY_RAW_MATERIALS","FQ1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169" s="3" t="e">
        <f ca="1">_xll.BDH($C$153,"INVTRY_IN_PROGRESS","FQ1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169" s="3" t="e">
        <f ca="1">_xll.BDH($C$153,"INVTRY_FINISHED_GOODS","FQ1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169" s="3" t="e">
        <f ca="1">_xll.BDH($C$153,"BS_OTHER_INV","FQ1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170" spans="1:113" x14ac:dyDescent="0.3">
      <c r="A170" s="6"/>
      <c r="B170" s="6"/>
      <c r="C170" s="6"/>
      <c r="D170" s="6"/>
      <c r="E170" t="s">
        <v>79</v>
      </c>
      <c r="F170" t="e">
        <f ca="1">_xll.BDH($C$153,"RETURN_COM_EQY","FQ2 2017","FQ2 2017","Currency=INR","Period=FQ","BEST_FPERIOD_OVERRIDE=FQ","FILING_STATUS=OR","EQY_CONSOLIDATED=Y","FA_ADJUSTED=GAAP","Sort=A","Dates=H","DateFormat=P","Fill=—","Direction=H","UseDPDF=Y")</f>
        <v>#NAME?</v>
      </c>
      <c r="G170" t="e">
        <f ca="1">_xll.BDH($C$153,"RETURN_ON_ASSET","FQ2 2017","FQ2 2017","Currency=INR","Period=FQ","BEST_FPERIOD_OVERRIDE=FQ","FILING_STATUS=OR","EQY_CONSOLIDATED=Y","FA_ADJUSTED=GAAP","Sort=A","Dates=H","DateFormat=P","Fill=—","Direction=H","UseDPDF=Y")</f>
        <v>#NAME?</v>
      </c>
      <c r="H170" t="e">
        <f ca="1">_xll.BDH($C$153,"RETURN_ON_CAP","FQ2 2017","FQ2 2017","Currency=INR","Period=FQ","BEST_FPERIOD_OVERRIDE=FQ","FILING_STATUS=OR","EQY_CONSOLIDATED=Y","FA_ADJUSTED=GAAP","Sort=A","Dates=H","DateFormat=P","Fill=—","Direction=H","UseDPDF=Y")</f>
        <v>#NAME?</v>
      </c>
      <c r="I170" t="e">
        <f ca="1">_xll.BDH($C$153,"RETURN_ON_INV_CAPITAL","FQ2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170" t="e">
        <f ca="1">_xll.BDH($C$153,"EBITDA_TO_REVENUE","FQ2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170" t="e">
        <f ca="1">_xll.BDH($C$153,"OPER_MARGIN","FQ2 2017","FQ2 2017","Currency=INR","Period=FQ","BEST_FPERIOD_OVERRIDE=FQ","FILING_STATUS=OR","EQY_CONSOLIDATED=Y","FA_ADJUSTED=GAAP","Sort=A","Dates=H","DateFormat=P","Fill=—","Direction=H","UseDPDF=Y")</f>
        <v>#NAME?</v>
      </c>
      <c r="L170" t="e">
        <f ca="1">_xll.BDH($C$153,"INCREMENTAL_OPERATING_MARGIN","FQ2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170" t="e">
        <f ca="1">_xll.BDH($C$153,"PRETAX_INC_TO_NET_SALES","FQ2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170" t="e">
        <f ca="1">_xll.BDH($C$153,"INC_BEF_XO_ITEMS_TO_NET_SALES","FQ2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170" t="e">
        <f ca="1">_xll.BDH($C$153,"PROF_MARGIN","FQ2 2017","FQ2 2017","Currency=INR","Period=FQ","BEST_FPERIOD_OVERRIDE=FQ","FILING_STATUS=OR","EQY_CONSOLIDATED=Y","FA_ADJUSTED=GAAP","Sort=A","Dates=H","DateFormat=P","Fill=—","Direction=H","UseDPDF=Y")</f>
        <v>#NAME?</v>
      </c>
      <c r="P170" t="e">
        <f ca="1">_xll.BDH($C$153,"NET_INCOME_TO_COMMON_MARGIN","FQ2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170" t="e">
        <f ca="1">_xll.BDH($C$153,"EFF_TAX_RATE","FQ2 2017","FQ2 2017","Currency=INR","Period=FQ","BEST_FPERIOD_OVERRIDE=FQ","FILING_STATUS=OR","EQY_CONSOLIDATED=Y","FA_ADJUSTED=GAAP","Sort=A","Dates=H","DateFormat=P","Fill=—","Direction=H","UseDPDF=Y")</f>
        <v>#NAME?</v>
      </c>
      <c r="R170" t="e">
        <f ca="1">_xll.BDH($C$153,"DVD_PAYOUT_RATIO","FQ2 2017","FQ2 2017","Currency=INR","Period=FQ","BEST_FPERIOD_OVERRIDE=FQ","FILING_STATUS=OR","EQY_CONSOLIDATED=Y","FA_ADJUSTED=GAAP","Sort=A","Dates=H","DateFormat=P","Fill=—","Direction=H","UseDPDF=Y")</f>
        <v>#NAME?</v>
      </c>
      <c r="S170" t="e">
        <f ca="1">_xll.BDH($C$153,"SUSTAIN_GROWTH_RT","FQ2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170" s="2" t="e">
        <f ca="1">_xll.BDH($C$153,"SALES_GROWTH","FQ2 2017","FQ2 2017","Currency=INR","Period=FQ","BEST_FPERIOD_OVERRIDE=FQ","FILING_STATUS=OR","EQY_CONSOLIDATED=Y","FA_ADJUSTED=GAAP","Sort=A","Dates=H","DateFormat=P","Fill=—","Direction=H","UseDPDF=Y")</f>
        <v>#NAME?</v>
      </c>
      <c r="U170" s="2" t="e">
        <f ca="1">_xll.BDH($C$153,"EBITDA_GROWTH","FQ2 2017","FQ2 2017","Currency=INR","Period=FQ","BEST_FPERIOD_OVERRIDE=FQ","FILING_STATUS=OR","EQY_CONSOLIDATED=Y","FA_ADJUSTED=GAAP","Sort=A","Dates=H","DateFormat=P","Fill=—","Direction=H","UseDPDF=Y")</f>
        <v>#NAME?</v>
      </c>
      <c r="V170" s="2" t="e">
        <f ca="1">_xll.BDH($C$153,"OPER_INC_GROWTH","FQ2 2017","FQ2 2017","Currency=INR","Period=FQ","BEST_FPERIOD_OVERRIDE=FQ","FILING_STATUS=OR","EQY_CONSOLIDATED=Y","FA_ADJUSTED=GAAP","Sort=A","Dates=H","DateFormat=P","Fill=—","Direction=H","UseDPDF=Y")</f>
        <v>#NAME?</v>
      </c>
      <c r="W170" s="2" t="e">
        <f ca="1">_xll.BDH($C$153,"EARN_FOR_COM_GROWTH","FQ2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170" s="2" t="e">
        <f ca="1">_xll.BDH($C$153,"DILUTED_EPS_AFT_XO_ITEMS_GROWTH","FQ2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170" s="2" t="e">
        <f ca="1">_xll.BDH($C$153,"DIVIDEND_PER_SHARE_1_YEAR_GROWTH","FQ2 2017","FQ2 2017","Currency=INR","Period=FQ","BEST_FPERIOD_OVERRIDE=FQ","FILING_STATUS=OR","EQY_CONSOLIDATED=Y","Sort=A","Dates=H","DateFormat=P","Fill=—","Direction=H","UseDPDF=Y")</f>
        <v>#NAME?</v>
      </c>
      <c r="Z170" s="2" t="e">
        <f ca="1">_xll.BDH($C$153,"ACCOUNTS_RECEIVABLE_GROWTH","FQ2 2017","FQ2 2017","Currency=INR","Period=FQ","BEST_FPERIOD_OVERRIDE=FQ","FILING_STATUS=OR","EQY_CONSOLIDATED=Y","Sort=A","Dates=H","DateFormat=P","Fill=—","Direction=H","UseDPDF=Y")</f>
        <v>#NAME?</v>
      </c>
      <c r="AA170" s="2" t="e">
        <f ca="1">_xll.BDH($C$153,"INVENTORY_GROWTH","FQ2 2017","FQ2 2017","Currency=INR","Period=FQ","BEST_FPERIOD_OVERRIDE=FQ","FILING_STATUS=OR","EQY_CONSOLIDATED=Y","Sort=A","Dates=H","DateFormat=P","Fill=—","Direction=H","UseDPDF=Y")</f>
        <v>#NAME?</v>
      </c>
      <c r="AB170" s="2" t="e">
        <f ca="1">_xll.BDH($C$153,"NET_FIXED_ASSETS_1_YEAR_GROWTH","FQ2 2017","FQ2 2017","Currency=INR","Period=FQ","BEST_FPERIOD_OVERRIDE=FQ","FILING_STATUS=OR","EQY_CONSOLIDATED=Y","Sort=A","Dates=H","DateFormat=P","Fill=—","Direction=H","UseDPDF=Y")</f>
        <v>#NAME?</v>
      </c>
      <c r="AC170" s="2" t="e">
        <f ca="1">_xll.BDH($C$153,"ASSET_GROWTH","FQ2 2017","FQ2 2017","Currency=INR","Period=FQ","BEST_FPERIOD_OVERRIDE=FQ","FILING_STATUS=OR","EQY_CONSOLIDATED=Y","Sort=A","Dates=H","DateFormat=P","Fill=—","Direction=H","UseDPDF=Y")</f>
        <v>#NAME?</v>
      </c>
      <c r="AD170" s="2" t="e">
        <f ca="1">_xll.BDH($C$153,"MODIFIED_WORK_CAP_GROWTH","FQ2 2017","FQ2 2017","Currency=INR","Period=FQ","BEST_FPERIOD_OVERRIDE=FQ","FILING_STATUS=OR","EQY_CONSOLIDATED=Y","Sort=A","Dates=H","DateFormat=P","Fill=—","Direction=H","UseDPDF=Y")</f>
        <v>#NAME?</v>
      </c>
      <c r="AE170" s="2" t="e">
        <f ca="1">_xll.BDH($C$153,"WORK_CAP_GROWTH","FQ2 2017","FQ2 2017","Currency=INR","Period=FQ","BEST_FPERIOD_OVERRIDE=FQ","FILING_STATUS=OR","EQY_CONSOLIDATED=Y","Sort=A","Dates=H","DateFormat=P","Fill=—","Direction=H","UseDPDF=Y")</f>
        <v>#NAME?</v>
      </c>
      <c r="AF170" s="2" t="e">
        <f ca="1">_xll.BDH($C$153,"ACCOUNTS_PAYABLE_GROWTH_1YR","FQ2 2017","FQ2 2017","Currency=INR","Period=FQ","BEST_FPERIOD_OVERRIDE=FQ","FILING_STATUS=OR","EQY_CONSOLIDATED=Y","Sort=A","Dates=H","DateFormat=P","Fill=—","Direction=H","UseDPDF=Y")</f>
        <v>#NAME?</v>
      </c>
      <c r="AG170" s="2" t="e">
        <f ca="1">_xll.BDH($C$153,"SHORT_TERM_DEBT_1_YEAR_GROWTH","FQ2 2017","FQ2 2017","Currency=INR","Period=FQ","BEST_FPERIOD_OVERRIDE=FQ","FILING_STATUS=OR","EQY_CONSOLIDATED=Y","Sort=A","Dates=H","DateFormat=P","Fill=—","Direction=H","UseDPDF=Y")</f>
        <v>#NAME?</v>
      </c>
      <c r="AH170" s="2" t="e">
        <f ca="1">_xll.BDH($C$153,"TOTAL_DEBT_1_YEAR_GROWTH","FQ2 2017","FQ2 2017","Currency=INR","Period=FQ","BEST_FPERIOD_OVERRIDE=FQ","FILING_STATUS=OR","EQY_CONSOLIDATED=Y","Sort=A","Dates=H","DateFormat=P","Fill=—","Direction=H","UseDPDF=Y")</f>
        <v>#NAME?</v>
      </c>
      <c r="AI170" s="2" t="e">
        <f ca="1">_xll.BDH($C$153,"TOTAL_EQUITY_1_YEAR_GROWTH","FQ2 2017","FQ2 2017","Currency=INR","Period=FQ","BEST_FPERIOD_OVERRIDE=FQ","FILING_STATUS=OR","EQY_CONSOLIDATED=Y","Sort=A","Dates=H","DateFormat=P","Fill=—","Direction=H","UseDPDF=Y")</f>
        <v>#NAME?</v>
      </c>
      <c r="AJ170" s="2" t="e">
        <f ca="1">_xll.BDH($C$153,"GROWTH_IN_CAP","FQ2 2017","FQ2 2017","Currency=INR","Period=FQ","BEST_FPERIOD_OVERRIDE=FQ","FILING_STATUS=OR","EQY_CONSOLIDATED=Y","Sort=A","Dates=H","DateFormat=P","Fill=—","Direction=H","UseDPDF=Y")</f>
        <v>#NAME?</v>
      </c>
      <c r="AK170" s="2" t="e">
        <f ca="1">_xll.BDH($C$153,"BVPS_GROWTH","FQ2 2017","FQ2 2017","Currency=INR","Period=FQ","BEST_FPERIOD_OVERRIDE=FQ","FILING_STATUS=OR","EQY_CONSOLIDATED=Y","Sort=A","Dates=H","DateFormat=P","Fill=—","Direction=H","UseDPDF=Y")</f>
        <v>#NAME?</v>
      </c>
      <c r="AL170" s="2" t="e">
        <f ca="1">_xll.BDH($C$153,"CASH_FLOW_GROWTH","FQ2 2017","FQ2 2017","Currency=INR","Period=FQ","BEST_FPERIOD_OVERRIDE=FQ","FILING_STATUS=OR","EQY_CONSOLIDATED=Y","Sort=A","Dates=H","DateFormat=P","Fill=—","Direction=H","UseDPDF=Y")</f>
        <v>#NAME?</v>
      </c>
      <c r="AM170" s="2" t="e">
        <f ca="1">_xll.BDH($C$153,"GEO_GROW_NET_SALES","FQ2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170" s="2" t="e">
        <f ca="1">_xll.BDH($C$153,"GEO_GROW_EBITDA","FQ2 2017","FQ2 2017","Currency=INR","Period=FQ","BEST_FPERIOD_OVERRIDE=FQ","FILING_STATUS=OR","EQY_CONSOLIDATED=Y","FA_ADJUSTED=GAAP","Sort=A","Dates=H","DateFormat=P","Fill=—","Direction=H","UseDPDF=Y")</f>
        <v>#NAME?</v>
      </c>
      <c r="AO170" s="2" t="e">
        <f ca="1">_xll.BDH($C$153,"GEO_GROW_OPER_INC","FQ2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170" s="2" t="e">
        <f ca="1">_xll.BDH($C$153,"NET_INCOME_TO_COMMON_5_YR_GROWTH","FQ2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170" s="2" t="e">
        <f ca="1">_xll.BDH($C$153,"5Y_GEO_GROWTH_DILUTED_EPS","FQ2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170" s="2" t="e">
        <f ca="1">_xll.BDH($C$153,"GEO_GROW_DVD_PER_SH","FQ2 2017","FQ2 2017","Currency=INR","Period=FQ","BEST_FPERIOD_OVERRIDE=FQ","FILING_STATUS=OR","EQY_CONSOLIDATED=Y","Sort=A","Dates=H","DateFormat=P","Fill=—","Direction=H","UseDPDF=Y")</f>
        <v>#NAME?</v>
      </c>
      <c r="AS170" s="2" t="e">
        <f ca="1">_xll.BDH($C$153,"ACCOUNTS_RECEIVABLE_5_YR_GROWTH","FQ2 2017","FQ2 2017","Currency=INR","Period=FQ","BEST_FPERIOD_OVERRIDE=FQ","FILING_STATUS=OR","EQY_CONSOLIDATED=Y","Sort=A","Dates=H","DateFormat=P","Fill=—","Direction=H","UseDPDF=Y")</f>
        <v>#NAME?</v>
      </c>
      <c r="AT170" s="2" t="e">
        <f ca="1">_xll.BDH($C$153,"INVENTORY_5_YEAR_GROWTH","FQ2 2017","FQ2 2017","Currency=INR","Period=FQ","BEST_FPERIOD_OVERRIDE=FQ","FILING_STATUS=OR","EQY_CONSOLIDATED=Y","Sort=A","Dates=H","DateFormat=P","Fill=—","Direction=H","UseDPDF=Y")</f>
        <v>#NAME?</v>
      </c>
      <c r="AU170" s="2" t="e">
        <f ca="1">_xll.BDH($C$153,"NET_FIXED_ASSETS_5_YEAR_GROWTH","FQ2 2017","FQ2 2017","Currency=INR","Period=FQ","BEST_FPERIOD_OVERRIDE=FQ","FILING_STATUS=OR","EQY_CONSOLIDATED=Y","Sort=A","Dates=H","DateFormat=P","Fill=—","Direction=H","UseDPDF=Y")</f>
        <v>#NAME?</v>
      </c>
      <c r="AV170" s="2" t="e">
        <f ca="1">_xll.BDH($C$153,"GEO_GROW_TOT_ASSET","FQ2 2017","FQ2 2017","Currency=INR","Period=FQ","BEST_FPERIOD_OVERRIDE=FQ","FILING_STATUS=OR","EQY_CONSOLIDATED=Y","Sort=A","Dates=H","DateFormat=P","Fill=—","Direction=H","UseDPDF=Y")</f>
        <v>#NAME?</v>
      </c>
      <c r="AW170" s="2" t="e">
        <f ca="1">_xll.BDH($C$153,"MODIFIED_WORKING_CPTL_5YR_GRWTH","FQ2 2017","FQ2 2017","Currency=INR","Period=FQ","BEST_FPERIOD_OVERRIDE=FQ","FILING_STATUS=OR","EQY_CONSOLIDATED=Y","Sort=A","Dates=H","DateFormat=P","Fill=—","Direction=H","UseDPDF=Y")</f>
        <v>#NAME?</v>
      </c>
      <c r="AX170" s="2" t="e">
        <f ca="1">_xll.BDH($C$153,"WORKING_CAPITAL_5_YEAR_GROWTH","FQ2 2017","FQ2 2017","Currency=INR","Period=FQ","BEST_FPERIOD_OVERRIDE=FQ","FILING_STATUS=OR","EQY_CONSOLIDATED=Y","Sort=A","Dates=H","DateFormat=P","Fill=—","Direction=H","UseDPDF=Y")</f>
        <v>#NAME?</v>
      </c>
      <c r="AY170" s="2" t="e">
        <f ca="1">_xll.BDH($C$153,"ACCOUNTS_PAYABLE_5_YEAR_GROWTH","FQ2 2017","FQ2 2017","Currency=INR","Period=FQ","BEST_FPERIOD_OVERRIDE=FQ","FILING_STATUS=OR","EQY_CONSOLIDATED=Y","Sort=A","Dates=H","DateFormat=P","Fill=—","Direction=H","UseDPDF=Y")</f>
        <v>#NAME?</v>
      </c>
      <c r="AZ170" s="2" t="e">
        <f ca="1">_xll.BDH($C$153,"SHORT_TERM_DEBT_5_YEAR_GROWTH","FQ2 2017","FQ2 2017","Currency=INR","Period=FQ","BEST_FPERIOD_OVERRIDE=FQ","FILING_STATUS=OR","EQY_CONSOLIDATED=Y","Sort=A","Dates=H","DateFormat=P","Fill=—","Direction=H","UseDPDF=Y")</f>
        <v>#NAME?</v>
      </c>
      <c r="BA170" s="2" t="e">
        <f ca="1">_xll.BDH($C$153,"TOTAL_DEBT_5_YEAR_GROWTH","FQ2 2017","FQ2 2017","Currency=INR","Period=FQ","BEST_FPERIOD_OVERRIDE=FQ","FILING_STATUS=OR","EQY_CONSOLIDATED=Y","Sort=A","Dates=H","DateFormat=P","Fill=—","Direction=H","UseDPDF=Y")</f>
        <v>#NAME?</v>
      </c>
      <c r="BB170" s="2" t="e">
        <f ca="1">_xll.BDH($C$153,"GEO_GROW_TOT_SHRHLDR_EQY","FQ2 2017","FQ2 2017","Currency=INR","Period=FQ","BEST_FPERIOD_OVERRIDE=FQ","FILING_STATUS=OR","EQY_CONSOLIDATED=Y","Sort=A","Dates=H","DateFormat=P","Fill=—","Direction=H","UseDPDF=Y")</f>
        <v>#NAME?</v>
      </c>
      <c r="BC170" s="2" t="e">
        <f ca="1">_xll.BDH($C$153,"TOTAL_CAPITAL_5_YEAR_GROWTH","FQ2 2017","FQ2 2017","Currency=INR","Period=FQ","BEST_FPERIOD_OVERRIDE=FQ","FILING_STATUS=OR","EQY_CONSOLIDATED=Y","Sort=A","Dates=H","DateFormat=P","Fill=—","Direction=H","UseDPDF=Y")</f>
        <v>#NAME?</v>
      </c>
      <c r="BD170" s="2" t="e">
        <f ca="1">_xll.BDH($C$153,"GEO_GROW_BOOK_VAL","FQ2 2017","FQ2 2017","Currency=INR","Period=FQ","BEST_FPERIOD_OVERRIDE=FQ","FILING_STATUS=OR","EQY_CONSOLIDATED=Y","Sort=A","Dates=H","DateFormat=P","Fill=—","Direction=H","UseDPDF=Y")</f>
        <v>#NAME?</v>
      </c>
      <c r="BE170" s="2" t="e">
        <f ca="1">_xll.BDH($C$153,"GEO_GROW_CASH_OPER_ACT","FQ2 2017","FQ2 2017","Currency=INR","Period=FQ","BEST_FPERIOD_OVERRIDE=FQ","FILING_STATUS=OR","EQY_CONSOLIDATED=Y","Sort=A","Dates=H","DateFormat=P","Fill=—","Direction=H","UseDPDF=Y")</f>
        <v>#NAME?</v>
      </c>
      <c r="BF170" s="2" t="e">
        <f ca="1">_xll.BDH($C$153,"REVENUE_SEQUENTIAL_GROWTH","FQ2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170" s="2" t="e">
        <f ca="1">_xll.BDH($C$153,"EBITDA_SEQUENTIAL_GROWTH","FQ2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170" s="2" t="e">
        <f ca="1">_xll.BDH($C$153,"OPERATING_INCOME_SEQ_GROWTH","FQ2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170" s="2" t="e">
        <f ca="1">_xll.BDH($C$153,"NET_INCOME_TO_COMMON_SEQ_GROWTH","FQ2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170" s="2" t="e">
        <f ca="1">_xll.BDH($C$153,"EPS_DILUTED_SEQUENTIAL_GROWTH","FQ2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170" s="2" t="e">
        <f ca="1">_xll.BDH($C$153,"DPS_SEQUENTIAL_GROWTH","FQ2 2017","FQ2 2017","Currency=INR","Period=FQ","BEST_FPERIOD_OVERRIDE=FQ","FILING_STATUS=OR","EQY_CONSOLIDATED=Y","Sort=A","Dates=H","DateFormat=P","Fill=—","Direction=H","UseDPDF=Y")</f>
        <v>#NAME?</v>
      </c>
      <c r="BL170" s="2" t="e">
        <f ca="1">_xll.BDH($C$153,"ACCOUNTS_RECEIVABLE_SEQ_GROWTH","FQ2 2017","FQ2 2017","Currency=INR","Period=FQ","BEST_FPERIOD_OVERRIDE=FQ","FILING_STATUS=OR","EQY_CONSOLIDATED=Y","Sort=A","Dates=H","DateFormat=P","Fill=—","Direction=H","UseDPDF=Y")</f>
        <v>#NAME?</v>
      </c>
      <c r="BM170" s="2" t="e">
        <f ca="1">_xll.BDH($C$153,"INVENTORY_SEQUENTIAL_GROWTH","FQ2 2017","FQ2 2017","Currency=INR","Period=FQ","BEST_FPERIOD_OVERRIDE=FQ","FILING_STATUS=OR","EQY_CONSOLIDATED=Y","Sort=A","Dates=H","DateFormat=P","Fill=—","Direction=H","UseDPDF=Y")</f>
        <v>#NAME?</v>
      </c>
      <c r="BN170" s="2" t="e">
        <f ca="1">_xll.BDH($C$153,"FIXED_ASSETS_SEQUENTIAL_GROWTH","FQ2 2017","FQ2 2017","Currency=INR","Period=FQ","BEST_FPERIOD_OVERRIDE=FQ","FILING_STATUS=OR","EQY_CONSOLIDATED=Y","Sort=A","Dates=H","DateFormat=P","Fill=—","Direction=H","UseDPDF=Y")</f>
        <v>#NAME?</v>
      </c>
      <c r="BO170" s="2" t="e">
        <f ca="1">_xll.BDH($C$153,"TOTAL_ASSETS_SEQUENTIAL_GROWTH","FQ2 2017","FQ2 2017","Currency=INR","Period=FQ","BEST_FPERIOD_OVERRIDE=FQ","FILING_STATUS=OR","EQY_CONSOLIDATED=Y","Sort=A","Dates=H","DateFormat=P","Fill=—","Direction=H","UseDPDF=Y")</f>
        <v>#NAME?</v>
      </c>
      <c r="BP170" s="2" t="e">
        <f ca="1">_xll.BDH($C$153,"MODIFIED_WORKING_CPTL_SEQ_GRWTH","FQ2 2017","FQ2 2017","Currency=INR","Period=FQ","BEST_FPERIOD_OVERRIDE=FQ","FILING_STATUS=OR","EQY_CONSOLIDATED=Y","Sort=A","Dates=H","DateFormat=P","Fill=—","Direction=H","UseDPDF=Y")</f>
        <v>#NAME?</v>
      </c>
      <c r="BQ170" s="2" t="e">
        <f ca="1">_xll.BDH($C$153,"WORKING_CAPITAL_SEQ_GROWTH","FQ2 2017","FQ2 2017","Currency=INR","Period=FQ","BEST_FPERIOD_OVERRIDE=FQ","FILING_STATUS=OR","EQY_CONSOLIDATED=Y","Sort=A","Dates=H","DateFormat=P","Fill=—","Direction=H","UseDPDF=Y")</f>
        <v>#NAME?</v>
      </c>
      <c r="BR170" s="2" t="e">
        <f ca="1">_xll.BDH($C$153,"ACCOUNTS_PAYABLE_SEQ_GROWTH","FQ2 2017","FQ2 2017","Currency=INR","Period=FQ","BEST_FPERIOD_OVERRIDE=FQ","FILING_STATUS=OR","EQY_CONSOLIDATED=Y","Sort=A","Dates=H","DateFormat=P","Fill=—","Direction=H","UseDPDF=Y")</f>
        <v>#NAME?</v>
      </c>
      <c r="BS170" s="2" t="e">
        <f ca="1">_xll.BDH($C$153,"ST_DEBT_SEQUENTIAL_GROWTH","FQ2 2017","FQ2 2017","Currency=INR","Period=FQ","BEST_FPERIOD_OVERRIDE=FQ","FILING_STATUS=OR","EQY_CONSOLIDATED=Y","Sort=A","Dates=H","DateFormat=P","Fill=—","Direction=H","UseDPDF=Y")</f>
        <v>#NAME?</v>
      </c>
      <c r="BT170" s="2" t="e">
        <f ca="1">_xll.BDH($C$153,"TOTAL_DEBT_SEQUENTIAL_GROWTH","FQ2 2017","FQ2 2017","Currency=INR","Period=FQ","BEST_FPERIOD_OVERRIDE=FQ","FILING_STATUS=OR","EQY_CONSOLIDATED=Y","Sort=A","Dates=H","DateFormat=P","Fill=—","Direction=H","UseDPDF=Y")</f>
        <v>#NAME?</v>
      </c>
      <c r="BU170" s="2" t="e">
        <f ca="1">_xll.BDH($C$153,"TOTAL_EQUITY_SEQUENTIAL_GROWTH","FQ2 2017","FQ2 2017","Currency=INR","Period=FQ","BEST_FPERIOD_OVERRIDE=FQ","FILING_STATUS=OR","EQY_CONSOLIDATED=Y","Sort=A","Dates=H","DateFormat=P","Fill=—","Direction=H","UseDPDF=Y")</f>
        <v>#NAME?</v>
      </c>
      <c r="BV170" s="2" t="e">
        <f ca="1">_xll.BDH($C$153,"TOTAL_CAPITAL_SEQUENTIAL_GROWTH","FQ2 2017","FQ2 2017","Currency=INR","Period=FQ","BEST_FPERIOD_OVERRIDE=FQ","FILING_STATUS=OR","EQY_CONSOLIDATED=Y","Sort=A","Dates=H","DateFormat=P","Fill=—","Direction=H","UseDPDF=Y")</f>
        <v>#NAME?</v>
      </c>
      <c r="BW170" s="2" t="e">
        <f ca="1">_xll.BDH($C$153,"BPS_SEQUENTIAL_GROWTH","FQ2 2017","FQ2 2017","Currency=INR","Period=FQ","BEST_FPERIOD_OVERRIDE=FQ","FILING_STATUS=OR","EQY_CONSOLIDATED=Y","Sort=A","Dates=H","DateFormat=P","Fill=—","Direction=H","UseDPDF=Y")</f>
        <v>#NAME?</v>
      </c>
      <c r="BX170" s="2" t="e">
        <f ca="1">_xll.BDH($C$153,"CFO_SEQUENTIAL_GROWTH","FQ2 2017","FQ2 2017","Currency=INR","Period=FQ","BEST_FPERIOD_OVERRIDE=FQ","FILING_STATUS=OR","EQY_CONSOLIDATED=Y","Sort=A","Dates=H","DateFormat=P","Fill=—","Direction=H","UseDPDF=Y")</f>
        <v>#NAME?</v>
      </c>
      <c r="BY170" s="3" t="e">
        <f ca="1">_xll.BDH($C$153,"SHORT_AND_LONG_TERM_DEBT","FQ2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170" s="3" t="e">
        <f ca="1">_xll.BDH($C$153,"BS_ST_BORROW","FQ2 2017","FQ2 2017","Currency=INR","Period=FQ","BEST_FPERIOD_OVERRIDE=FQ","FILING_STATUS=OR","EQY_CONSOLIDATED=Y","SCALING_FORMAT=MLN","Sort=A","Dates=H","DateFormat=P","Fill=—","Direction=H","UseDPDF=Y")</f>
        <v>#NAME?</v>
      </c>
      <c r="CA170" s="3" t="e">
        <f ca="1">_xll.BDH($C$153,"BS_LT_BORROW","FQ2 2017","FQ2 2017","Currency=INR","Period=FQ","BEST_FPERIOD_OVERRIDE=FQ","FILING_STATUS=OR","EQY_CONSOLIDATED=Y","SCALING_FORMAT=MLN","Sort=A","Dates=H","DateFormat=P","Fill=—","Direction=H","UseDPDF=Y")</f>
        <v>#NAME?</v>
      </c>
      <c r="CB170" s="2" t="e">
        <f ca="1">_xll.BDH($C$153,"TOT_DEBT_TO_EBITDA","FQ2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170" s="2" t="e">
        <f ca="1">_xll.BDH($C$153,"NET_DEBT_TO_EBITDA","FQ2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170" s="2" t="e">
        <f ca="1">_xll.BDH($C$153,"TOTAL_DEBT_TO_EBIT","FQ2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170" s="2" t="e">
        <f ca="1">_xll.BDH($C$153,"NET_DEBT_TO_EBIT","FQ2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170" s="2" t="e">
        <f ca="1">_xll.BDH($C$153,"EBITDA_TO_INTEREST_EXPN","FQ2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170" s="2" t="e">
        <f ca="1">_xll.BDH($C$153,"COM_EQY_TO_TOT_ASSET","FQ2 2017","FQ2 2017","Currency=INR","Period=FQ","BEST_FPERIOD_OVERRIDE=FQ","FILING_STATUS=OR","EQY_CONSOLIDATED=Y","Sort=A","Dates=H","DateFormat=P","Fill=—","Direction=H","UseDPDF=Y")</f>
        <v>#NAME?</v>
      </c>
      <c r="CH170" s="2" t="e">
        <f ca="1">_xll.BDH($C$153,"LT_DEBT_TO_TOT_EQY","FQ2 2017","FQ2 2017","Currency=INR","Period=FQ","BEST_FPERIOD_OVERRIDE=FQ","FILING_STATUS=OR","EQY_CONSOLIDATED=Y","Sort=A","Dates=H","DateFormat=P","Fill=—","Direction=H","UseDPDF=Y")</f>
        <v>#NAME?</v>
      </c>
      <c r="CI170" s="2" t="e">
        <f ca="1">_xll.BDH($C$153,"LT_DEBT_TO_TOT_CAP","FQ2 2017","FQ2 2017","Currency=INR","Period=FQ","BEST_FPERIOD_OVERRIDE=FQ","FILING_STATUS=OR","EQY_CONSOLIDATED=Y","Sort=A","Dates=H","DateFormat=P","Fill=—","Direction=H","UseDPDF=Y")</f>
        <v>#NAME?</v>
      </c>
      <c r="CJ170" s="2" t="e">
        <f ca="1">_xll.BDH($C$153,"LT_DEBT_TO_TOT_ASSET","FQ2 2017","FQ2 2017","Currency=INR","Period=FQ","BEST_FPERIOD_OVERRIDE=FQ","FILING_STATUS=OR","EQY_CONSOLIDATED=Y","Sort=A","Dates=H","DateFormat=P","Fill=—","Direction=H","UseDPDF=Y")</f>
        <v>#NAME?</v>
      </c>
      <c r="CK170" s="2" t="e">
        <f ca="1">_xll.BDH($C$153,"TOT_DEBT_TO_TOT_EQY","FQ2 2017","FQ2 2017","Currency=INR","Period=FQ","BEST_FPERIOD_OVERRIDE=FQ","FILING_STATUS=OR","EQY_CONSOLIDATED=Y","Sort=A","Dates=H","DateFormat=P","Fill=—","Direction=H","UseDPDF=Y")</f>
        <v>#NAME?</v>
      </c>
      <c r="CL170" s="2" t="e">
        <f ca="1">_xll.BDH($C$153,"TOT_DEBT_TO_TOT_CAP","FQ2 2017","FQ2 2017","Currency=INR","Period=FQ","BEST_FPERIOD_OVERRIDE=FQ","FILING_STATUS=OR","EQY_CONSOLIDATED=Y","Sort=A","Dates=H","DateFormat=P","Fill=—","Direction=H","UseDPDF=Y")</f>
        <v>#NAME?</v>
      </c>
      <c r="CM170" s="2" t="e">
        <f ca="1">_xll.BDH($C$153,"TOT_DEBT_TO_TOT_ASSET","FQ2 2017","FQ2 2017","Currency=INR","Period=FQ","BEST_FPERIOD_OVERRIDE=FQ","FILING_STATUS=OR","EQY_CONSOLIDATED=Y","Sort=A","Dates=H","DateFormat=P","Fill=—","Direction=H","UseDPDF=Y")</f>
        <v>#NAME?</v>
      </c>
      <c r="CN170" s="2" t="e">
        <f ca="1">_xll.BDH($C$153,"NET_DEBT_TO_SHRHLDR_EQTY","FQ2 2017","FQ2 2017","Currency=INR","Period=FQ","BEST_FPERIOD_OVERRIDE=FQ","FILING_STATUS=OR","EQY_CONSOLIDATED=Y","Sort=A","Dates=H","DateFormat=P","Fill=—","Direction=H","UseDPDF=Y")</f>
        <v>#NAME?</v>
      </c>
      <c r="CO170" s="2" t="e">
        <f ca="1">_xll.BDH($C$153,"NET_DEBT_%_CAPITAL","FQ2 2017","FQ2 2017","Currency=INR","Period=FQ","BEST_FPERIOD_OVERRIDE=FQ","FILING_STATUS=OR","EQY_CONSOLIDATED=Y","Sort=A","Dates=H","DateFormat=P","Fill=—","Direction=H","UseDPDF=Y")</f>
        <v>#NAME?</v>
      </c>
      <c r="CP170" s="3" t="e">
        <f ca="1">_xll.BDH($C$153,"EBITDA","FQ2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170" s="3" t="e">
        <f ca="1">_xll.BDH($C$153,"EBITDA_AFTER_CAPEX","FQ2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170" s="3" t="e">
        <f ca="1">_xll.BDH($C$153,"IS_OPER_INC","FQ2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170" s="2" t="e">
        <f ca="1">_xll.BDH($C$153,"CASH_RATIO","FQ2 2017","FQ2 2017","Currency=INR","Period=FQ","BEST_FPERIOD_OVERRIDE=FQ","FILING_STATUS=OR","EQY_CONSOLIDATED=Y","Sort=A","Dates=H","DateFormat=P","Fill=—","Direction=H","UseDPDF=Y")</f>
        <v>#NAME?</v>
      </c>
      <c r="CT170" s="2" t="e">
        <f ca="1">_xll.BDH($C$153,"CUR_RATIO","FQ2 2017","FQ2 2017","Currency=INR","Period=FQ","BEST_FPERIOD_OVERRIDE=FQ","FILING_STATUS=OR","EQY_CONSOLIDATED=Y","Sort=A","Dates=H","DateFormat=P","Fill=—","Direction=H","UseDPDF=Y")</f>
        <v>#NAME?</v>
      </c>
      <c r="CU170" s="2" t="e">
        <f ca="1">_xll.BDH($C$153,"QUICK_RATIO","FQ2 2017","FQ2 2017","Currency=INR","Period=FQ","BEST_FPERIOD_OVERRIDE=FQ","FILING_STATUS=OR","EQY_CONSOLIDATED=Y","Sort=A","Dates=H","DateFormat=P","Fill=—","Direction=H","UseDPDF=Y")</f>
        <v>#NAME?</v>
      </c>
      <c r="CV170" s="2" t="e">
        <f ca="1">_xll.BDH($C$153,"ALTMAN_Z_SCORE","FQ2 2017","FQ2 2017","Currency=INR","Period=FQ","BEST_FPERIOD_OVERRIDE=FQ","FILING_STATUS=OR","EQY_CONSOLIDATED=Y","Sort=A","Dates=H","DateFormat=P","Fill=—","Direction=H","UseDPDF=Y")</f>
        <v>#NAME?</v>
      </c>
      <c r="CW170" s="4" t="e">
        <f ca="1">_xll.BDH($C$153,"ACCT_RCV_TURN","FQ2 2017","FQ2 2017","Currency=INR","Period=FQ","BEST_FPERIOD_OVERRIDE=FQ","FILING_STATUS=OR","EQY_CONSOLIDATED=Y","FA_ADJUSTED=GAAP","Sort=A","Dates=H","DateFormat=P","Fill=—","Direction=H","UseDPDF=Y")</f>
        <v>#NAME?</v>
      </c>
      <c r="CX170" s="2" t="e">
        <f ca="1">_xll.BDH($C$153,"ACCT_RCV_DAYS","FQ2 2017","FQ2 2017","Currency=INR","Period=FQ","BEST_FPERIOD_OVERRIDE=FQ","FILING_STATUS=OR","EQY_CONSOLIDATED=Y","FA_ADJUSTED=GAAP","Sort=A","Dates=H","DateFormat=P","Fill=—","Direction=H","UseDPDF=Y")</f>
        <v>#NAME?</v>
      </c>
      <c r="CY170" s="4" t="e">
        <f ca="1">_xll.BDH($C$153,"INVENT_TURN","FQ2 2017","FQ2 2017","Currency=INR","Period=FQ","BEST_FPERIOD_OVERRIDE=FQ","FILING_STATUS=OR","EQY_CONSOLIDATED=Y","FA_ADJUSTED=GAAP","Sort=A","Dates=H","DateFormat=P","Fill=—","Direction=H","UseDPDF=Y")</f>
        <v>#NAME?</v>
      </c>
      <c r="CZ170" s="2" t="e">
        <f ca="1">_xll.BDH($C$153,"INVENT_DAYS","FQ2 2017","FQ2 2017","Currency=INR","Period=FQ","BEST_FPERIOD_OVERRIDE=FQ","FILING_STATUS=OR","EQY_CONSOLIDATED=Y","FA_ADJUSTED=GAAP","Sort=A","Dates=H","DateFormat=P","Fill=—","Direction=H","UseDPDF=Y")</f>
        <v>#NAME?</v>
      </c>
      <c r="DA170" s="4" t="e">
        <f ca="1">_xll.BDH($C$153,"ACCOUNTS_PAYABLE_TURNOVER","FQ2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170" s="2" t="e">
        <f ca="1">_xll.BDH($C$153,"ACCOUNTS_PAYABLE_TURNOVER_DAYS","FQ2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170" s="4" t="e">
        <f ca="1">_xll.BDH($C$153,"CASH_CONVERSION_CYCLE","FQ2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170" s="4" t="e">
        <f ca="1">_xll.BDH($C$153,"INV_TO_CASH_DAYS","FQ2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170" s="5" t="e">
        <f ca="1">_xll.BDH($C$153,"BS_INVENTORIES","FQ2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170" s="3" t="e">
        <f ca="1">_xll.BDH($C$153,"INVTRY_RAW_MATERIALS","FQ2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170" s="3" t="e">
        <f ca="1">_xll.BDH($C$153,"INVTRY_IN_PROGRESS","FQ2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170" s="3" t="e">
        <f ca="1">_xll.BDH($C$153,"INVTRY_FINISHED_GOODS","FQ2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170" s="3" t="e">
        <f ca="1">_xll.BDH($C$153,"BS_OTHER_INV","FQ2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171" spans="1:113" x14ac:dyDescent="0.3">
      <c r="A171" s="6"/>
      <c r="B171" s="6"/>
      <c r="C171" s="6"/>
      <c r="D171" s="6"/>
      <c r="E171" t="s">
        <v>80</v>
      </c>
      <c r="F171" t="e">
        <f ca="1">_xll.BDH($C$153,"RETURN_COM_EQY","FQ3 2017","FQ3 2017","Currency=INR","Period=FQ","BEST_FPERIOD_OVERRIDE=FQ","FILING_STATUS=OR","EQY_CONSOLIDATED=Y","FA_ADJUSTED=GAAP","Sort=A","Dates=H","DateFormat=P","Fill=—","Direction=H","UseDPDF=Y")</f>
        <v>#NAME?</v>
      </c>
      <c r="G171" t="e">
        <f ca="1">_xll.BDH($C$153,"RETURN_ON_ASSET","FQ3 2017","FQ3 2017","Currency=INR","Period=FQ","BEST_FPERIOD_OVERRIDE=FQ","FILING_STATUS=OR","EQY_CONSOLIDATED=Y","FA_ADJUSTED=GAAP","Sort=A","Dates=H","DateFormat=P","Fill=—","Direction=H","UseDPDF=Y")</f>
        <v>#NAME?</v>
      </c>
      <c r="H171" t="e">
        <f ca="1">_xll.BDH($C$153,"RETURN_ON_CAP","FQ3 2017","FQ3 2017","Currency=INR","Period=FQ","BEST_FPERIOD_OVERRIDE=FQ","FILING_STATUS=OR","EQY_CONSOLIDATED=Y","FA_ADJUSTED=GAAP","Sort=A","Dates=H","DateFormat=P","Fill=—","Direction=H","UseDPDF=Y")</f>
        <v>#NAME?</v>
      </c>
      <c r="I171" t="e">
        <f ca="1">_xll.BDH($C$153,"RETURN_ON_INV_CAPITAL","FQ3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171" t="e">
        <f ca="1">_xll.BDH($C$153,"EBITDA_TO_REVENUE","FQ3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171" t="e">
        <f ca="1">_xll.BDH($C$153,"OPER_MARGIN","FQ3 2017","FQ3 2017","Currency=INR","Period=FQ","BEST_FPERIOD_OVERRIDE=FQ","FILING_STATUS=OR","EQY_CONSOLIDATED=Y","FA_ADJUSTED=GAAP","Sort=A","Dates=H","DateFormat=P","Fill=—","Direction=H","UseDPDF=Y")</f>
        <v>#NAME?</v>
      </c>
      <c r="L171" t="e">
        <f ca="1">_xll.BDH($C$153,"INCREMENTAL_OPERATING_MARGIN","FQ3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171" t="e">
        <f ca="1">_xll.BDH($C$153,"PRETAX_INC_TO_NET_SALES","FQ3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171" t="e">
        <f ca="1">_xll.BDH($C$153,"INC_BEF_XO_ITEMS_TO_NET_SALES","FQ3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171" t="e">
        <f ca="1">_xll.BDH($C$153,"PROF_MARGIN","FQ3 2017","FQ3 2017","Currency=INR","Period=FQ","BEST_FPERIOD_OVERRIDE=FQ","FILING_STATUS=OR","EQY_CONSOLIDATED=Y","FA_ADJUSTED=GAAP","Sort=A","Dates=H","DateFormat=P","Fill=—","Direction=H","UseDPDF=Y")</f>
        <v>#NAME?</v>
      </c>
      <c r="P171" t="e">
        <f ca="1">_xll.BDH($C$153,"NET_INCOME_TO_COMMON_MARGIN","FQ3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171" t="e">
        <f ca="1">_xll.BDH($C$153,"EFF_TAX_RATE","FQ3 2017","FQ3 2017","Currency=INR","Period=FQ","BEST_FPERIOD_OVERRIDE=FQ","FILING_STATUS=OR","EQY_CONSOLIDATED=Y","FA_ADJUSTED=GAAP","Sort=A","Dates=H","DateFormat=P","Fill=—","Direction=H","UseDPDF=Y")</f>
        <v>#NAME?</v>
      </c>
      <c r="R171" t="e">
        <f ca="1">_xll.BDH($C$153,"DVD_PAYOUT_RATIO","FQ3 2017","FQ3 2017","Currency=INR","Period=FQ","BEST_FPERIOD_OVERRIDE=FQ","FILING_STATUS=OR","EQY_CONSOLIDATED=Y","FA_ADJUSTED=GAAP","Sort=A","Dates=H","DateFormat=P","Fill=—","Direction=H","UseDPDF=Y")</f>
        <v>#NAME?</v>
      </c>
      <c r="S171" t="e">
        <f ca="1">_xll.BDH($C$153,"SUSTAIN_GROWTH_RT","FQ3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171" s="2" t="e">
        <f ca="1">_xll.BDH($C$153,"SALES_GROWTH","FQ3 2017","FQ3 2017","Currency=INR","Period=FQ","BEST_FPERIOD_OVERRIDE=FQ","FILING_STATUS=OR","EQY_CONSOLIDATED=Y","FA_ADJUSTED=GAAP","Sort=A","Dates=H","DateFormat=P","Fill=—","Direction=H","UseDPDF=Y")</f>
        <v>#NAME?</v>
      </c>
      <c r="U171" s="2" t="e">
        <f ca="1">_xll.BDH($C$153,"EBITDA_GROWTH","FQ3 2017","FQ3 2017","Currency=INR","Period=FQ","BEST_FPERIOD_OVERRIDE=FQ","FILING_STATUS=OR","EQY_CONSOLIDATED=Y","FA_ADJUSTED=GAAP","Sort=A","Dates=H","DateFormat=P","Fill=—","Direction=H","UseDPDF=Y")</f>
        <v>#NAME?</v>
      </c>
      <c r="V171" s="2" t="e">
        <f ca="1">_xll.BDH($C$153,"OPER_INC_GROWTH","FQ3 2017","FQ3 2017","Currency=INR","Period=FQ","BEST_FPERIOD_OVERRIDE=FQ","FILING_STATUS=OR","EQY_CONSOLIDATED=Y","FA_ADJUSTED=GAAP","Sort=A","Dates=H","DateFormat=P","Fill=—","Direction=H","UseDPDF=Y")</f>
        <v>#NAME?</v>
      </c>
      <c r="W171" s="2" t="e">
        <f ca="1">_xll.BDH($C$153,"EARN_FOR_COM_GROWTH","FQ3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171" s="2" t="e">
        <f ca="1">_xll.BDH($C$153,"DILUTED_EPS_AFT_XO_ITEMS_GROWTH","FQ3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171" s="2" t="e">
        <f ca="1">_xll.BDH($C$153,"DIVIDEND_PER_SHARE_1_YEAR_GROWTH","FQ3 2017","FQ3 2017","Currency=INR","Period=FQ","BEST_FPERIOD_OVERRIDE=FQ","FILING_STATUS=OR","EQY_CONSOLIDATED=Y","Sort=A","Dates=H","DateFormat=P","Fill=—","Direction=H","UseDPDF=Y")</f>
        <v>#NAME?</v>
      </c>
      <c r="Z171" s="2" t="e">
        <f ca="1">_xll.BDH($C$153,"ACCOUNTS_RECEIVABLE_GROWTH","FQ3 2017","FQ3 2017","Currency=INR","Period=FQ","BEST_FPERIOD_OVERRIDE=FQ","FILING_STATUS=OR","EQY_CONSOLIDATED=Y","Sort=A","Dates=H","DateFormat=P","Fill=—","Direction=H","UseDPDF=Y")</f>
        <v>#NAME?</v>
      </c>
      <c r="AA171" s="2" t="e">
        <f ca="1">_xll.BDH($C$153,"INVENTORY_GROWTH","FQ3 2017","FQ3 2017","Currency=INR","Period=FQ","BEST_FPERIOD_OVERRIDE=FQ","FILING_STATUS=OR","EQY_CONSOLIDATED=Y","Sort=A","Dates=H","DateFormat=P","Fill=—","Direction=H","UseDPDF=Y")</f>
        <v>#NAME?</v>
      </c>
      <c r="AB171" s="2" t="e">
        <f ca="1">_xll.BDH($C$153,"NET_FIXED_ASSETS_1_YEAR_GROWTH","FQ3 2017","FQ3 2017","Currency=INR","Period=FQ","BEST_FPERIOD_OVERRIDE=FQ","FILING_STATUS=OR","EQY_CONSOLIDATED=Y","Sort=A","Dates=H","DateFormat=P","Fill=—","Direction=H","UseDPDF=Y")</f>
        <v>#NAME?</v>
      </c>
      <c r="AC171" s="2" t="e">
        <f ca="1">_xll.BDH($C$153,"ASSET_GROWTH","FQ3 2017","FQ3 2017","Currency=INR","Period=FQ","BEST_FPERIOD_OVERRIDE=FQ","FILING_STATUS=OR","EQY_CONSOLIDATED=Y","Sort=A","Dates=H","DateFormat=P","Fill=—","Direction=H","UseDPDF=Y")</f>
        <v>#NAME?</v>
      </c>
      <c r="AD171" s="2" t="e">
        <f ca="1">_xll.BDH($C$153,"MODIFIED_WORK_CAP_GROWTH","FQ3 2017","FQ3 2017","Currency=INR","Period=FQ","BEST_FPERIOD_OVERRIDE=FQ","FILING_STATUS=OR","EQY_CONSOLIDATED=Y","Sort=A","Dates=H","DateFormat=P","Fill=—","Direction=H","UseDPDF=Y")</f>
        <v>#NAME?</v>
      </c>
      <c r="AE171" s="2" t="e">
        <f ca="1">_xll.BDH($C$153,"WORK_CAP_GROWTH","FQ3 2017","FQ3 2017","Currency=INR","Period=FQ","BEST_FPERIOD_OVERRIDE=FQ","FILING_STATUS=OR","EQY_CONSOLIDATED=Y","Sort=A","Dates=H","DateFormat=P","Fill=—","Direction=H","UseDPDF=Y")</f>
        <v>#NAME?</v>
      </c>
      <c r="AF171" s="2" t="e">
        <f ca="1">_xll.BDH($C$153,"ACCOUNTS_PAYABLE_GROWTH_1YR","FQ3 2017","FQ3 2017","Currency=INR","Period=FQ","BEST_FPERIOD_OVERRIDE=FQ","FILING_STATUS=OR","EQY_CONSOLIDATED=Y","Sort=A","Dates=H","DateFormat=P","Fill=—","Direction=H","UseDPDF=Y")</f>
        <v>#NAME?</v>
      </c>
      <c r="AG171" s="2" t="e">
        <f ca="1">_xll.BDH($C$153,"SHORT_TERM_DEBT_1_YEAR_GROWTH","FQ3 2017","FQ3 2017","Currency=INR","Period=FQ","BEST_FPERIOD_OVERRIDE=FQ","FILING_STATUS=OR","EQY_CONSOLIDATED=Y","Sort=A","Dates=H","DateFormat=P","Fill=—","Direction=H","UseDPDF=Y")</f>
        <v>#NAME?</v>
      </c>
      <c r="AH171" s="2" t="e">
        <f ca="1">_xll.BDH($C$153,"TOTAL_DEBT_1_YEAR_GROWTH","FQ3 2017","FQ3 2017","Currency=INR","Period=FQ","BEST_FPERIOD_OVERRIDE=FQ","FILING_STATUS=OR","EQY_CONSOLIDATED=Y","Sort=A","Dates=H","DateFormat=P","Fill=—","Direction=H","UseDPDF=Y")</f>
        <v>#NAME?</v>
      </c>
      <c r="AI171" s="2" t="e">
        <f ca="1">_xll.BDH($C$153,"TOTAL_EQUITY_1_YEAR_GROWTH","FQ3 2017","FQ3 2017","Currency=INR","Period=FQ","BEST_FPERIOD_OVERRIDE=FQ","FILING_STATUS=OR","EQY_CONSOLIDATED=Y","Sort=A","Dates=H","DateFormat=P","Fill=—","Direction=H","UseDPDF=Y")</f>
        <v>#NAME?</v>
      </c>
      <c r="AJ171" s="2" t="e">
        <f ca="1">_xll.BDH($C$153,"GROWTH_IN_CAP","FQ3 2017","FQ3 2017","Currency=INR","Period=FQ","BEST_FPERIOD_OVERRIDE=FQ","FILING_STATUS=OR","EQY_CONSOLIDATED=Y","Sort=A","Dates=H","DateFormat=P","Fill=—","Direction=H","UseDPDF=Y")</f>
        <v>#NAME?</v>
      </c>
      <c r="AK171" s="2" t="e">
        <f ca="1">_xll.BDH($C$153,"BVPS_GROWTH","FQ3 2017","FQ3 2017","Currency=INR","Period=FQ","BEST_FPERIOD_OVERRIDE=FQ","FILING_STATUS=OR","EQY_CONSOLIDATED=Y","Sort=A","Dates=H","DateFormat=P","Fill=—","Direction=H","UseDPDF=Y")</f>
        <v>#NAME?</v>
      </c>
      <c r="AL171" s="2" t="e">
        <f ca="1">_xll.BDH($C$153,"CASH_FLOW_GROWTH","FQ3 2017","FQ3 2017","Currency=INR","Period=FQ","BEST_FPERIOD_OVERRIDE=FQ","FILING_STATUS=OR","EQY_CONSOLIDATED=Y","Sort=A","Dates=H","DateFormat=P","Fill=—","Direction=H","UseDPDF=Y")</f>
        <v>#NAME?</v>
      </c>
      <c r="AM171" s="2" t="e">
        <f ca="1">_xll.BDH($C$153,"GEO_GROW_NET_SALES","FQ3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171" s="2" t="e">
        <f ca="1">_xll.BDH($C$153,"GEO_GROW_EBITDA","FQ3 2017","FQ3 2017","Currency=INR","Period=FQ","BEST_FPERIOD_OVERRIDE=FQ","FILING_STATUS=OR","EQY_CONSOLIDATED=Y","FA_ADJUSTED=GAAP","Sort=A","Dates=H","DateFormat=P","Fill=—","Direction=H","UseDPDF=Y")</f>
        <v>#NAME?</v>
      </c>
      <c r="AO171" s="2" t="e">
        <f ca="1">_xll.BDH($C$153,"GEO_GROW_OPER_INC","FQ3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171" s="2" t="e">
        <f ca="1">_xll.BDH($C$153,"NET_INCOME_TO_COMMON_5_YR_GROWTH","FQ3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171" s="2" t="e">
        <f ca="1">_xll.BDH($C$153,"5Y_GEO_GROWTH_DILUTED_EPS","FQ3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171" s="2" t="e">
        <f ca="1">_xll.BDH($C$153,"GEO_GROW_DVD_PER_SH","FQ3 2017","FQ3 2017","Currency=INR","Period=FQ","BEST_FPERIOD_OVERRIDE=FQ","FILING_STATUS=OR","EQY_CONSOLIDATED=Y","Sort=A","Dates=H","DateFormat=P","Fill=—","Direction=H","UseDPDF=Y")</f>
        <v>#NAME?</v>
      </c>
      <c r="AS171" s="2" t="e">
        <f ca="1">_xll.BDH($C$153,"ACCOUNTS_RECEIVABLE_5_YR_GROWTH","FQ3 2017","FQ3 2017","Currency=INR","Period=FQ","BEST_FPERIOD_OVERRIDE=FQ","FILING_STATUS=OR","EQY_CONSOLIDATED=Y","Sort=A","Dates=H","DateFormat=P","Fill=—","Direction=H","UseDPDF=Y")</f>
        <v>#NAME?</v>
      </c>
      <c r="AT171" s="2" t="e">
        <f ca="1">_xll.BDH($C$153,"INVENTORY_5_YEAR_GROWTH","FQ3 2017","FQ3 2017","Currency=INR","Period=FQ","BEST_FPERIOD_OVERRIDE=FQ","FILING_STATUS=OR","EQY_CONSOLIDATED=Y","Sort=A","Dates=H","DateFormat=P","Fill=—","Direction=H","UseDPDF=Y")</f>
        <v>#NAME?</v>
      </c>
      <c r="AU171" s="2" t="e">
        <f ca="1">_xll.BDH($C$153,"NET_FIXED_ASSETS_5_YEAR_GROWTH","FQ3 2017","FQ3 2017","Currency=INR","Period=FQ","BEST_FPERIOD_OVERRIDE=FQ","FILING_STATUS=OR","EQY_CONSOLIDATED=Y","Sort=A","Dates=H","DateFormat=P","Fill=—","Direction=H","UseDPDF=Y")</f>
        <v>#NAME?</v>
      </c>
      <c r="AV171" s="2" t="e">
        <f ca="1">_xll.BDH($C$153,"GEO_GROW_TOT_ASSET","FQ3 2017","FQ3 2017","Currency=INR","Period=FQ","BEST_FPERIOD_OVERRIDE=FQ","FILING_STATUS=OR","EQY_CONSOLIDATED=Y","Sort=A","Dates=H","DateFormat=P","Fill=—","Direction=H","UseDPDF=Y")</f>
        <v>#NAME?</v>
      </c>
      <c r="AW171" s="2" t="e">
        <f ca="1">_xll.BDH($C$153,"MODIFIED_WORKING_CPTL_5YR_GRWTH","FQ3 2017","FQ3 2017","Currency=INR","Period=FQ","BEST_FPERIOD_OVERRIDE=FQ","FILING_STATUS=OR","EQY_CONSOLIDATED=Y","Sort=A","Dates=H","DateFormat=P","Fill=—","Direction=H","UseDPDF=Y")</f>
        <v>#NAME?</v>
      </c>
      <c r="AX171" s="2" t="e">
        <f ca="1">_xll.BDH($C$153,"WORKING_CAPITAL_5_YEAR_GROWTH","FQ3 2017","FQ3 2017","Currency=INR","Period=FQ","BEST_FPERIOD_OVERRIDE=FQ","FILING_STATUS=OR","EQY_CONSOLIDATED=Y","Sort=A","Dates=H","DateFormat=P","Fill=—","Direction=H","UseDPDF=Y")</f>
        <v>#NAME?</v>
      </c>
      <c r="AY171" s="2" t="e">
        <f ca="1">_xll.BDH($C$153,"ACCOUNTS_PAYABLE_5_YEAR_GROWTH","FQ3 2017","FQ3 2017","Currency=INR","Period=FQ","BEST_FPERIOD_OVERRIDE=FQ","FILING_STATUS=OR","EQY_CONSOLIDATED=Y","Sort=A","Dates=H","DateFormat=P","Fill=—","Direction=H","UseDPDF=Y")</f>
        <v>#NAME?</v>
      </c>
      <c r="AZ171" s="2" t="e">
        <f ca="1">_xll.BDH($C$153,"SHORT_TERM_DEBT_5_YEAR_GROWTH","FQ3 2017","FQ3 2017","Currency=INR","Period=FQ","BEST_FPERIOD_OVERRIDE=FQ","FILING_STATUS=OR","EQY_CONSOLIDATED=Y","Sort=A","Dates=H","DateFormat=P","Fill=—","Direction=H","UseDPDF=Y")</f>
        <v>#NAME?</v>
      </c>
      <c r="BA171" s="2" t="e">
        <f ca="1">_xll.BDH($C$153,"TOTAL_DEBT_5_YEAR_GROWTH","FQ3 2017","FQ3 2017","Currency=INR","Period=FQ","BEST_FPERIOD_OVERRIDE=FQ","FILING_STATUS=OR","EQY_CONSOLIDATED=Y","Sort=A","Dates=H","DateFormat=P","Fill=—","Direction=H","UseDPDF=Y")</f>
        <v>#NAME?</v>
      </c>
      <c r="BB171" s="2" t="e">
        <f ca="1">_xll.BDH($C$153,"GEO_GROW_TOT_SHRHLDR_EQY","FQ3 2017","FQ3 2017","Currency=INR","Period=FQ","BEST_FPERIOD_OVERRIDE=FQ","FILING_STATUS=OR","EQY_CONSOLIDATED=Y","Sort=A","Dates=H","DateFormat=P","Fill=—","Direction=H","UseDPDF=Y")</f>
        <v>#NAME?</v>
      </c>
      <c r="BC171" s="2" t="e">
        <f ca="1">_xll.BDH($C$153,"TOTAL_CAPITAL_5_YEAR_GROWTH","FQ3 2017","FQ3 2017","Currency=INR","Period=FQ","BEST_FPERIOD_OVERRIDE=FQ","FILING_STATUS=OR","EQY_CONSOLIDATED=Y","Sort=A","Dates=H","DateFormat=P","Fill=—","Direction=H","UseDPDF=Y")</f>
        <v>#NAME?</v>
      </c>
      <c r="BD171" s="2" t="e">
        <f ca="1">_xll.BDH($C$153,"GEO_GROW_BOOK_VAL","FQ3 2017","FQ3 2017","Currency=INR","Period=FQ","BEST_FPERIOD_OVERRIDE=FQ","FILING_STATUS=OR","EQY_CONSOLIDATED=Y","Sort=A","Dates=H","DateFormat=P","Fill=—","Direction=H","UseDPDF=Y")</f>
        <v>#NAME?</v>
      </c>
      <c r="BE171" s="2" t="e">
        <f ca="1">_xll.BDH($C$153,"GEO_GROW_CASH_OPER_ACT","FQ3 2017","FQ3 2017","Currency=INR","Period=FQ","BEST_FPERIOD_OVERRIDE=FQ","FILING_STATUS=OR","EQY_CONSOLIDATED=Y","Sort=A","Dates=H","DateFormat=P","Fill=—","Direction=H","UseDPDF=Y")</f>
        <v>#NAME?</v>
      </c>
      <c r="BF171" s="2" t="e">
        <f ca="1">_xll.BDH($C$153,"REVENUE_SEQUENTIAL_GROWTH","FQ3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171" s="2" t="e">
        <f ca="1">_xll.BDH($C$153,"EBITDA_SEQUENTIAL_GROWTH","FQ3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171" s="2" t="e">
        <f ca="1">_xll.BDH($C$153,"OPERATING_INCOME_SEQ_GROWTH","FQ3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171" s="2" t="e">
        <f ca="1">_xll.BDH($C$153,"NET_INCOME_TO_COMMON_SEQ_GROWTH","FQ3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171" s="2" t="e">
        <f ca="1">_xll.BDH($C$153,"EPS_DILUTED_SEQUENTIAL_GROWTH","FQ3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171" s="2" t="e">
        <f ca="1">_xll.BDH($C$153,"DPS_SEQUENTIAL_GROWTH","FQ3 2017","FQ3 2017","Currency=INR","Period=FQ","BEST_FPERIOD_OVERRIDE=FQ","FILING_STATUS=OR","EQY_CONSOLIDATED=Y","Sort=A","Dates=H","DateFormat=P","Fill=—","Direction=H","UseDPDF=Y")</f>
        <v>#NAME?</v>
      </c>
      <c r="BL171" s="2" t="e">
        <f ca="1">_xll.BDH($C$153,"ACCOUNTS_RECEIVABLE_SEQ_GROWTH","FQ3 2017","FQ3 2017","Currency=INR","Period=FQ","BEST_FPERIOD_OVERRIDE=FQ","FILING_STATUS=OR","EQY_CONSOLIDATED=Y","Sort=A","Dates=H","DateFormat=P","Fill=—","Direction=H","UseDPDF=Y")</f>
        <v>#NAME?</v>
      </c>
      <c r="BM171" s="2" t="e">
        <f ca="1">_xll.BDH($C$153,"INVENTORY_SEQUENTIAL_GROWTH","FQ3 2017","FQ3 2017","Currency=INR","Period=FQ","BEST_FPERIOD_OVERRIDE=FQ","FILING_STATUS=OR","EQY_CONSOLIDATED=Y","Sort=A","Dates=H","DateFormat=P","Fill=—","Direction=H","UseDPDF=Y")</f>
        <v>#NAME?</v>
      </c>
      <c r="BN171" s="2" t="e">
        <f ca="1">_xll.BDH($C$153,"FIXED_ASSETS_SEQUENTIAL_GROWTH","FQ3 2017","FQ3 2017","Currency=INR","Period=FQ","BEST_FPERIOD_OVERRIDE=FQ","FILING_STATUS=OR","EQY_CONSOLIDATED=Y","Sort=A","Dates=H","DateFormat=P","Fill=—","Direction=H","UseDPDF=Y")</f>
        <v>#NAME?</v>
      </c>
      <c r="BO171" s="2" t="e">
        <f ca="1">_xll.BDH($C$153,"TOTAL_ASSETS_SEQUENTIAL_GROWTH","FQ3 2017","FQ3 2017","Currency=INR","Period=FQ","BEST_FPERIOD_OVERRIDE=FQ","FILING_STATUS=OR","EQY_CONSOLIDATED=Y","Sort=A","Dates=H","DateFormat=P","Fill=—","Direction=H","UseDPDF=Y")</f>
        <v>#NAME?</v>
      </c>
      <c r="BP171" s="2" t="e">
        <f ca="1">_xll.BDH($C$153,"MODIFIED_WORKING_CPTL_SEQ_GRWTH","FQ3 2017","FQ3 2017","Currency=INR","Period=FQ","BEST_FPERIOD_OVERRIDE=FQ","FILING_STATUS=OR","EQY_CONSOLIDATED=Y","Sort=A","Dates=H","DateFormat=P","Fill=—","Direction=H","UseDPDF=Y")</f>
        <v>#NAME?</v>
      </c>
      <c r="BQ171" s="2" t="e">
        <f ca="1">_xll.BDH($C$153,"WORKING_CAPITAL_SEQ_GROWTH","FQ3 2017","FQ3 2017","Currency=INR","Period=FQ","BEST_FPERIOD_OVERRIDE=FQ","FILING_STATUS=OR","EQY_CONSOLIDATED=Y","Sort=A","Dates=H","DateFormat=P","Fill=—","Direction=H","UseDPDF=Y")</f>
        <v>#NAME?</v>
      </c>
      <c r="BR171" s="2" t="e">
        <f ca="1">_xll.BDH($C$153,"ACCOUNTS_PAYABLE_SEQ_GROWTH","FQ3 2017","FQ3 2017","Currency=INR","Period=FQ","BEST_FPERIOD_OVERRIDE=FQ","FILING_STATUS=OR","EQY_CONSOLIDATED=Y","Sort=A","Dates=H","DateFormat=P","Fill=—","Direction=H","UseDPDF=Y")</f>
        <v>#NAME?</v>
      </c>
      <c r="BS171" s="2" t="e">
        <f ca="1">_xll.BDH($C$153,"ST_DEBT_SEQUENTIAL_GROWTH","FQ3 2017","FQ3 2017","Currency=INR","Period=FQ","BEST_FPERIOD_OVERRIDE=FQ","FILING_STATUS=OR","EQY_CONSOLIDATED=Y","Sort=A","Dates=H","DateFormat=P","Fill=—","Direction=H","UseDPDF=Y")</f>
        <v>#NAME?</v>
      </c>
      <c r="BT171" s="2" t="e">
        <f ca="1">_xll.BDH($C$153,"TOTAL_DEBT_SEQUENTIAL_GROWTH","FQ3 2017","FQ3 2017","Currency=INR","Period=FQ","BEST_FPERIOD_OVERRIDE=FQ","FILING_STATUS=OR","EQY_CONSOLIDATED=Y","Sort=A","Dates=H","DateFormat=P","Fill=—","Direction=H","UseDPDF=Y")</f>
        <v>#NAME?</v>
      </c>
      <c r="BU171" s="2" t="e">
        <f ca="1">_xll.BDH($C$153,"TOTAL_EQUITY_SEQUENTIAL_GROWTH","FQ3 2017","FQ3 2017","Currency=INR","Period=FQ","BEST_FPERIOD_OVERRIDE=FQ","FILING_STATUS=OR","EQY_CONSOLIDATED=Y","Sort=A","Dates=H","DateFormat=P","Fill=—","Direction=H","UseDPDF=Y")</f>
        <v>#NAME?</v>
      </c>
      <c r="BV171" s="2" t="e">
        <f ca="1">_xll.BDH($C$153,"TOTAL_CAPITAL_SEQUENTIAL_GROWTH","FQ3 2017","FQ3 2017","Currency=INR","Period=FQ","BEST_FPERIOD_OVERRIDE=FQ","FILING_STATUS=OR","EQY_CONSOLIDATED=Y","Sort=A","Dates=H","DateFormat=P","Fill=—","Direction=H","UseDPDF=Y")</f>
        <v>#NAME?</v>
      </c>
      <c r="BW171" s="2" t="e">
        <f ca="1">_xll.BDH($C$153,"BPS_SEQUENTIAL_GROWTH","FQ3 2017","FQ3 2017","Currency=INR","Period=FQ","BEST_FPERIOD_OVERRIDE=FQ","FILING_STATUS=OR","EQY_CONSOLIDATED=Y","Sort=A","Dates=H","DateFormat=P","Fill=—","Direction=H","UseDPDF=Y")</f>
        <v>#NAME?</v>
      </c>
      <c r="BX171" s="2" t="e">
        <f ca="1">_xll.BDH($C$153,"CFO_SEQUENTIAL_GROWTH","FQ3 2017","FQ3 2017","Currency=INR","Period=FQ","BEST_FPERIOD_OVERRIDE=FQ","FILING_STATUS=OR","EQY_CONSOLIDATED=Y","Sort=A","Dates=H","DateFormat=P","Fill=—","Direction=H","UseDPDF=Y")</f>
        <v>#NAME?</v>
      </c>
      <c r="BY171" s="3" t="e">
        <f ca="1">_xll.BDH($C$153,"SHORT_AND_LONG_TERM_DEBT","FQ3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171" s="3" t="e">
        <f ca="1">_xll.BDH($C$153,"BS_ST_BORROW","FQ3 2017","FQ3 2017","Currency=INR","Period=FQ","BEST_FPERIOD_OVERRIDE=FQ","FILING_STATUS=OR","EQY_CONSOLIDATED=Y","SCALING_FORMAT=MLN","Sort=A","Dates=H","DateFormat=P","Fill=—","Direction=H","UseDPDF=Y")</f>
        <v>#NAME?</v>
      </c>
      <c r="CA171" s="3" t="e">
        <f ca="1">_xll.BDH($C$153,"BS_LT_BORROW","FQ3 2017","FQ3 2017","Currency=INR","Period=FQ","BEST_FPERIOD_OVERRIDE=FQ","FILING_STATUS=OR","EQY_CONSOLIDATED=Y","SCALING_FORMAT=MLN","Sort=A","Dates=H","DateFormat=P","Fill=—","Direction=H","UseDPDF=Y")</f>
        <v>#NAME?</v>
      </c>
      <c r="CB171" s="2" t="e">
        <f ca="1">_xll.BDH($C$153,"TOT_DEBT_TO_EBITDA","FQ3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171" s="2" t="e">
        <f ca="1">_xll.BDH($C$153,"NET_DEBT_TO_EBITDA","FQ3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171" s="2" t="e">
        <f ca="1">_xll.BDH($C$153,"TOTAL_DEBT_TO_EBIT","FQ3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171" s="2" t="e">
        <f ca="1">_xll.BDH($C$153,"NET_DEBT_TO_EBIT","FQ3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171" s="2" t="e">
        <f ca="1">_xll.BDH($C$153,"EBITDA_TO_INTEREST_EXPN","FQ3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171" s="2" t="e">
        <f ca="1">_xll.BDH($C$153,"COM_EQY_TO_TOT_ASSET","FQ3 2017","FQ3 2017","Currency=INR","Period=FQ","BEST_FPERIOD_OVERRIDE=FQ","FILING_STATUS=OR","EQY_CONSOLIDATED=Y","Sort=A","Dates=H","DateFormat=P","Fill=—","Direction=H","UseDPDF=Y")</f>
        <v>#NAME?</v>
      </c>
      <c r="CH171" s="2" t="e">
        <f ca="1">_xll.BDH($C$153,"LT_DEBT_TO_TOT_EQY","FQ3 2017","FQ3 2017","Currency=INR","Period=FQ","BEST_FPERIOD_OVERRIDE=FQ","FILING_STATUS=OR","EQY_CONSOLIDATED=Y","Sort=A","Dates=H","DateFormat=P","Fill=—","Direction=H","UseDPDF=Y")</f>
        <v>#NAME?</v>
      </c>
      <c r="CI171" s="2" t="e">
        <f ca="1">_xll.BDH($C$153,"LT_DEBT_TO_TOT_CAP","FQ3 2017","FQ3 2017","Currency=INR","Period=FQ","BEST_FPERIOD_OVERRIDE=FQ","FILING_STATUS=OR","EQY_CONSOLIDATED=Y","Sort=A","Dates=H","DateFormat=P","Fill=—","Direction=H","UseDPDF=Y")</f>
        <v>#NAME?</v>
      </c>
      <c r="CJ171" s="2" t="e">
        <f ca="1">_xll.BDH($C$153,"LT_DEBT_TO_TOT_ASSET","FQ3 2017","FQ3 2017","Currency=INR","Period=FQ","BEST_FPERIOD_OVERRIDE=FQ","FILING_STATUS=OR","EQY_CONSOLIDATED=Y","Sort=A","Dates=H","DateFormat=P","Fill=—","Direction=H","UseDPDF=Y")</f>
        <v>#NAME?</v>
      </c>
      <c r="CK171" s="2" t="e">
        <f ca="1">_xll.BDH($C$153,"TOT_DEBT_TO_TOT_EQY","FQ3 2017","FQ3 2017","Currency=INR","Period=FQ","BEST_FPERIOD_OVERRIDE=FQ","FILING_STATUS=OR","EQY_CONSOLIDATED=Y","Sort=A","Dates=H","DateFormat=P","Fill=—","Direction=H","UseDPDF=Y")</f>
        <v>#NAME?</v>
      </c>
      <c r="CL171" s="2" t="e">
        <f ca="1">_xll.BDH($C$153,"TOT_DEBT_TO_TOT_CAP","FQ3 2017","FQ3 2017","Currency=INR","Period=FQ","BEST_FPERIOD_OVERRIDE=FQ","FILING_STATUS=OR","EQY_CONSOLIDATED=Y","Sort=A","Dates=H","DateFormat=P","Fill=—","Direction=H","UseDPDF=Y")</f>
        <v>#NAME?</v>
      </c>
      <c r="CM171" s="2" t="e">
        <f ca="1">_xll.BDH($C$153,"TOT_DEBT_TO_TOT_ASSET","FQ3 2017","FQ3 2017","Currency=INR","Period=FQ","BEST_FPERIOD_OVERRIDE=FQ","FILING_STATUS=OR","EQY_CONSOLIDATED=Y","Sort=A","Dates=H","DateFormat=P","Fill=—","Direction=H","UseDPDF=Y")</f>
        <v>#NAME?</v>
      </c>
      <c r="CN171" s="2" t="e">
        <f ca="1">_xll.BDH($C$153,"NET_DEBT_TO_SHRHLDR_EQTY","FQ3 2017","FQ3 2017","Currency=INR","Period=FQ","BEST_FPERIOD_OVERRIDE=FQ","FILING_STATUS=OR","EQY_CONSOLIDATED=Y","Sort=A","Dates=H","DateFormat=P","Fill=—","Direction=H","UseDPDF=Y")</f>
        <v>#NAME?</v>
      </c>
      <c r="CO171" s="2" t="e">
        <f ca="1">_xll.BDH($C$153,"NET_DEBT_%_CAPITAL","FQ3 2017","FQ3 2017","Currency=INR","Period=FQ","BEST_FPERIOD_OVERRIDE=FQ","FILING_STATUS=OR","EQY_CONSOLIDATED=Y","Sort=A","Dates=H","DateFormat=P","Fill=—","Direction=H","UseDPDF=Y")</f>
        <v>#NAME?</v>
      </c>
      <c r="CP171" s="3" t="e">
        <f ca="1">_xll.BDH($C$153,"EBITDA","FQ3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171" s="3" t="e">
        <f ca="1">_xll.BDH($C$153,"EBITDA_AFTER_CAPEX","FQ3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171" s="3" t="e">
        <f ca="1">_xll.BDH($C$153,"IS_OPER_INC","FQ3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171" s="2" t="e">
        <f ca="1">_xll.BDH($C$153,"CASH_RATIO","FQ3 2017","FQ3 2017","Currency=INR","Period=FQ","BEST_FPERIOD_OVERRIDE=FQ","FILING_STATUS=OR","EQY_CONSOLIDATED=Y","Sort=A","Dates=H","DateFormat=P","Fill=—","Direction=H","UseDPDF=Y")</f>
        <v>#NAME?</v>
      </c>
      <c r="CT171" s="2" t="e">
        <f ca="1">_xll.BDH($C$153,"CUR_RATIO","FQ3 2017","FQ3 2017","Currency=INR","Period=FQ","BEST_FPERIOD_OVERRIDE=FQ","FILING_STATUS=OR","EQY_CONSOLIDATED=Y","Sort=A","Dates=H","DateFormat=P","Fill=—","Direction=H","UseDPDF=Y")</f>
        <v>#NAME?</v>
      </c>
      <c r="CU171" s="2" t="e">
        <f ca="1">_xll.BDH($C$153,"QUICK_RATIO","FQ3 2017","FQ3 2017","Currency=INR","Period=FQ","BEST_FPERIOD_OVERRIDE=FQ","FILING_STATUS=OR","EQY_CONSOLIDATED=Y","Sort=A","Dates=H","DateFormat=P","Fill=—","Direction=H","UseDPDF=Y")</f>
        <v>#NAME?</v>
      </c>
      <c r="CV171" s="2" t="e">
        <f ca="1">_xll.BDH($C$153,"ALTMAN_Z_SCORE","FQ3 2017","FQ3 2017","Currency=INR","Period=FQ","BEST_FPERIOD_OVERRIDE=FQ","FILING_STATUS=OR","EQY_CONSOLIDATED=Y","Sort=A","Dates=H","DateFormat=P","Fill=—","Direction=H","UseDPDF=Y")</f>
        <v>#NAME?</v>
      </c>
      <c r="CW171" s="4" t="e">
        <f ca="1">_xll.BDH($C$153,"ACCT_RCV_TURN","FQ3 2017","FQ3 2017","Currency=INR","Period=FQ","BEST_FPERIOD_OVERRIDE=FQ","FILING_STATUS=OR","EQY_CONSOLIDATED=Y","FA_ADJUSTED=GAAP","Sort=A","Dates=H","DateFormat=P","Fill=—","Direction=H","UseDPDF=Y")</f>
        <v>#NAME?</v>
      </c>
      <c r="CX171" s="2" t="e">
        <f ca="1">_xll.BDH($C$153,"ACCT_RCV_DAYS","FQ3 2017","FQ3 2017","Currency=INR","Period=FQ","BEST_FPERIOD_OVERRIDE=FQ","FILING_STATUS=OR","EQY_CONSOLIDATED=Y","FA_ADJUSTED=GAAP","Sort=A","Dates=H","DateFormat=P","Fill=—","Direction=H","UseDPDF=Y")</f>
        <v>#NAME?</v>
      </c>
      <c r="CY171" s="4" t="e">
        <f ca="1">_xll.BDH($C$153,"INVENT_TURN","FQ3 2017","FQ3 2017","Currency=INR","Period=FQ","BEST_FPERIOD_OVERRIDE=FQ","FILING_STATUS=OR","EQY_CONSOLIDATED=Y","FA_ADJUSTED=GAAP","Sort=A","Dates=H","DateFormat=P","Fill=—","Direction=H","UseDPDF=Y")</f>
        <v>#NAME?</v>
      </c>
      <c r="CZ171" s="2" t="e">
        <f ca="1">_xll.BDH($C$153,"INVENT_DAYS","FQ3 2017","FQ3 2017","Currency=INR","Period=FQ","BEST_FPERIOD_OVERRIDE=FQ","FILING_STATUS=OR","EQY_CONSOLIDATED=Y","FA_ADJUSTED=GAAP","Sort=A","Dates=H","DateFormat=P","Fill=—","Direction=H","UseDPDF=Y")</f>
        <v>#NAME?</v>
      </c>
      <c r="DA171" s="4" t="e">
        <f ca="1">_xll.BDH($C$153,"ACCOUNTS_PAYABLE_TURNOVER","FQ3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171" s="2" t="e">
        <f ca="1">_xll.BDH($C$153,"ACCOUNTS_PAYABLE_TURNOVER_DAYS","FQ3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171" s="4" t="e">
        <f ca="1">_xll.BDH($C$153,"CASH_CONVERSION_CYCLE","FQ3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171" s="4" t="e">
        <f ca="1">_xll.BDH($C$153,"INV_TO_CASH_DAYS","FQ3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171" s="5" t="e">
        <f ca="1">_xll.BDH($C$153,"BS_INVENTORIES","FQ3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171" s="3" t="e">
        <f ca="1">_xll.BDH($C$153,"INVTRY_RAW_MATERIALS","FQ3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171" s="3" t="e">
        <f ca="1">_xll.BDH($C$153,"INVTRY_IN_PROGRESS","FQ3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171" s="3" t="e">
        <f ca="1">_xll.BDH($C$153,"INVTRY_FINISHED_GOODS","FQ3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171" s="3" t="e">
        <f ca="1">_xll.BDH($C$153,"BS_OTHER_INV","FQ3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172" spans="1:113" x14ac:dyDescent="0.3">
      <c r="A172" s="6"/>
      <c r="B172" s="6"/>
      <c r="C172" s="6"/>
      <c r="D172" s="6"/>
      <c r="E172" t="s">
        <v>81</v>
      </c>
      <c r="F172" t="e">
        <f ca="1">_xll.BDH($C$153,"RETURN_COM_EQY","FQ4 2017","FQ4 2017","Currency=INR","Period=FQ","BEST_FPERIOD_OVERRIDE=FQ","FILING_STATUS=OR","EQY_CONSOLIDATED=Y","FA_ADJUSTED=GAAP","Sort=A","Dates=H","DateFormat=P","Fill=—","Direction=H","UseDPDF=Y")</f>
        <v>#NAME?</v>
      </c>
      <c r="G172" t="e">
        <f ca="1">_xll.BDH($C$153,"RETURN_ON_ASSET","FQ4 2017","FQ4 2017","Currency=INR","Period=FQ","BEST_FPERIOD_OVERRIDE=FQ","FILING_STATUS=OR","EQY_CONSOLIDATED=Y","FA_ADJUSTED=GAAP","Sort=A","Dates=H","DateFormat=P","Fill=—","Direction=H","UseDPDF=Y")</f>
        <v>#NAME?</v>
      </c>
      <c r="H172" t="e">
        <f ca="1">_xll.BDH($C$153,"RETURN_ON_CAP","FQ4 2017","FQ4 2017","Currency=INR","Period=FQ","BEST_FPERIOD_OVERRIDE=FQ","FILING_STATUS=OR","EQY_CONSOLIDATED=Y","FA_ADJUSTED=GAAP","Sort=A","Dates=H","DateFormat=P","Fill=—","Direction=H","UseDPDF=Y")</f>
        <v>#NAME?</v>
      </c>
      <c r="I172" t="e">
        <f ca="1">_xll.BDH($C$153,"RETURN_ON_INV_CAPITAL","FQ4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172" t="e">
        <f ca="1">_xll.BDH($C$153,"EBITDA_TO_REVENUE","FQ4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172" t="e">
        <f ca="1">_xll.BDH($C$153,"OPER_MARGIN","FQ4 2017","FQ4 2017","Currency=INR","Period=FQ","BEST_FPERIOD_OVERRIDE=FQ","FILING_STATUS=OR","EQY_CONSOLIDATED=Y","FA_ADJUSTED=GAAP","Sort=A","Dates=H","DateFormat=P","Fill=—","Direction=H","UseDPDF=Y")</f>
        <v>#NAME?</v>
      </c>
      <c r="L172" t="e">
        <f ca="1">_xll.BDH($C$153,"INCREMENTAL_OPERATING_MARGIN","FQ4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172" t="e">
        <f ca="1">_xll.BDH($C$153,"PRETAX_INC_TO_NET_SALES","FQ4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172" t="e">
        <f ca="1">_xll.BDH($C$153,"INC_BEF_XO_ITEMS_TO_NET_SALES","FQ4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172" t="e">
        <f ca="1">_xll.BDH($C$153,"PROF_MARGIN","FQ4 2017","FQ4 2017","Currency=INR","Period=FQ","BEST_FPERIOD_OVERRIDE=FQ","FILING_STATUS=OR","EQY_CONSOLIDATED=Y","FA_ADJUSTED=GAAP","Sort=A","Dates=H","DateFormat=P","Fill=—","Direction=H","UseDPDF=Y")</f>
        <v>#NAME?</v>
      </c>
      <c r="P172" t="e">
        <f ca="1">_xll.BDH($C$153,"NET_INCOME_TO_COMMON_MARGIN","FQ4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172" t="e">
        <f ca="1">_xll.BDH($C$153,"EFF_TAX_RATE","FQ4 2017","FQ4 2017","Currency=INR","Period=FQ","BEST_FPERIOD_OVERRIDE=FQ","FILING_STATUS=OR","EQY_CONSOLIDATED=Y","FA_ADJUSTED=GAAP","Sort=A","Dates=H","DateFormat=P","Fill=—","Direction=H","UseDPDF=Y")</f>
        <v>#NAME?</v>
      </c>
      <c r="R172" t="e">
        <f ca="1">_xll.BDH($C$153,"DVD_PAYOUT_RATIO","FQ4 2017","FQ4 2017","Currency=INR","Period=FQ","BEST_FPERIOD_OVERRIDE=FQ","FILING_STATUS=OR","EQY_CONSOLIDATED=Y","FA_ADJUSTED=GAAP","Sort=A","Dates=H","DateFormat=P","Fill=—","Direction=H","UseDPDF=Y")</f>
        <v>#NAME?</v>
      </c>
      <c r="S172" t="e">
        <f ca="1">_xll.BDH($C$153,"SUSTAIN_GROWTH_RT","FQ4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172" s="2" t="e">
        <f ca="1">_xll.BDH($C$153,"SALES_GROWTH","FQ4 2017","FQ4 2017","Currency=INR","Period=FQ","BEST_FPERIOD_OVERRIDE=FQ","FILING_STATUS=OR","EQY_CONSOLIDATED=Y","FA_ADJUSTED=GAAP","Sort=A","Dates=H","DateFormat=P","Fill=—","Direction=H","UseDPDF=Y")</f>
        <v>#NAME?</v>
      </c>
      <c r="U172" s="2" t="e">
        <f ca="1">_xll.BDH($C$153,"EBITDA_GROWTH","FQ4 2017","FQ4 2017","Currency=INR","Period=FQ","BEST_FPERIOD_OVERRIDE=FQ","FILING_STATUS=OR","EQY_CONSOLIDATED=Y","FA_ADJUSTED=GAAP","Sort=A","Dates=H","DateFormat=P","Fill=—","Direction=H","UseDPDF=Y")</f>
        <v>#NAME?</v>
      </c>
      <c r="V172" s="2" t="e">
        <f ca="1">_xll.BDH($C$153,"OPER_INC_GROWTH","FQ4 2017","FQ4 2017","Currency=INR","Period=FQ","BEST_FPERIOD_OVERRIDE=FQ","FILING_STATUS=OR","EQY_CONSOLIDATED=Y","FA_ADJUSTED=GAAP","Sort=A","Dates=H","DateFormat=P","Fill=—","Direction=H","UseDPDF=Y")</f>
        <v>#NAME?</v>
      </c>
      <c r="W172" s="2" t="e">
        <f ca="1">_xll.BDH($C$153,"EARN_FOR_COM_GROWTH","FQ4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172" s="2" t="e">
        <f ca="1">_xll.BDH($C$153,"DILUTED_EPS_AFT_XO_ITEMS_GROWTH","FQ4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172" s="2" t="e">
        <f ca="1">_xll.BDH($C$153,"DIVIDEND_PER_SHARE_1_YEAR_GROWTH","FQ4 2017","FQ4 2017","Currency=INR","Period=FQ","BEST_FPERIOD_OVERRIDE=FQ","FILING_STATUS=OR","EQY_CONSOLIDATED=Y","Sort=A","Dates=H","DateFormat=P","Fill=—","Direction=H","UseDPDF=Y")</f>
        <v>#NAME?</v>
      </c>
      <c r="Z172" s="2" t="e">
        <f ca="1">_xll.BDH($C$153,"ACCOUNTS_RECEIVABLE_GROWTH","FQ4 2017","FQ4 2017","Currency=INR","Period=FQ","BEST_FPERIOD_OVERRIDE=FQ","FILING_STATUS=OR","EQY_CONSOLIDATED=Y","Sort=A","Dates=H","DateFormat=P","Fill=—","Direction=H","UseDPDF=Y")</f>
        <v>#NAME?</v>
      </c>
      <c r="AA172" s="2" t="e">
        <f ca="1">_xll.BDH($C$153,"INVENTORY_GROWTH","FQ4 2017","FQ4 2017","Currency=INR","Period=FQ","BEST_FPERIOD_OVERRIDE=FQ","FILING_STATUS=OR","EQY_CONSOLIDATED=Y","Sort=A","Dates=H","DateFormat=P","Fill=—","Direction=H","UseDPDF=Y")</f>
        <v>#NAME?</v>
      </c>
      <c r="AB172" s="2" t="e">
        <f ca="1">_xll.BDH($C$153,"NET_FIXED_ASSETS_1_YEAR_GROWTH","FQ4 2017","FQ4 2017","Currency=INR","Period=FQ","BEST_FPERIOD_OVERRIDE=FQ","FILING_STATUS=OR","EQY_CONSOLIDATED=Y","Sort=A","Dates=H","DateFormat=P","Fill=—","Direction=H","UseDPDF=Y")</f>
        <v>#NAME?</v>
      </c>
      <c r="AC172" s="2" t="e">
        <f ca="1">_xll.BDH($C$153,"ASSET_GROWTH","FQ4 2017","FQ4 2017","Currency=INR","Period=FQ","BEST_FPERIOD_OVERRIDE=FQ","FILING_STATUS=OR","EQY_CONSOLIDATED=Y","Sort=A","Dates=H","DateFormat=P","Fill=—","Direction=H","UseDPDF=Y")</f>
        <v>#NAME?</v>
      </c>
      <c r="AD172" s="2" t="e">
        <f ca="1">_xll.BDH($C$153,"MODIFIED_WORK_CAP_GROWTH","FQ4 2017","FQ4 2017","Currency=INR","Period=FQ","BEST_FPERIOD_OVERRIDE=FQ","FILING_STATUS=OR","EQY_CONSOLIDATED=Y","Sort=A","Dates=H","DateFormat=P","Fill=—","Direction=H","UseDPDF=Y")</f>
        <v>#NAME?</v>
      </c>
      <c r="AE172" s="2" t="e">
        <f ca="1">_xll.BDH($C$153,"WORK_CAP_GROWTH","FQ4 2017","FQ4 2017","Currency=INR","Period=FQ","BEST_FPERIOD_OVERRIDE=FQ","FILING_STATUS=OR","EQY_CONSOLIDATED=Y","Sort=A","Dates=H","DateFormat=P","Fill=—","Direction=H","UseDPDF=Y")</f>
        <v>#NAME?</v>
      </c>
      <c r="AF172" s="2" t="e">
        <f ca="1">_xll.BDH($C$153,"ACCOUNTS_PAYABLE_GROWTH_1YR","FQ4 2017","FQ4 2017","Currency=INR","Period=FQ","BEST_FPERIOD_OVERRIDE=FQ","FILING_STATUS=OR","EQY_CONSOLIDATED=Y","Sort=A","Dates=H","DateFormat=P","Fill=—","Direction=H","UseDPDF=Y")</f>
        <v>#NAME?</v>
      </c>
      <c r="AG172" s="2" t="e">
        <f ca="1">_xll.BDH($C$153,"SHORT_TERM_DEBT_1_YEAR_GROWTH","FQ4 2017","FQ4 2017","Currency=INR","Period=FQ","BEST_FPERIOD_OVERRIDE=FQ","FILING_STATUS=OR","EQY_CONSOLIDATED=Y","Sort=A","Dates=H","DateFormat=P","Fill=—","Direction=H","UseDPDF=Y")</f>
        <v>#NAME?</v>
      </c>
      <c r="AH172" s="2" t="e">
        <f ca="1">_xll.BDH($C$153,"TOTAL_DEBT_1_YEAR_GROWTH","FQ4 2017","FQ4 2017","Currency=INR","Period=FQ","BEST_FPERIOD_OVERRIDE=FQ","FILING_STATUS=OR","EQY_CONSOLIDATED=Y","Sort=A","Dates=H","DateFormat=P","Fill=—","Direction=H","UseDPDF=Y")</f>
        <v>#NAME?</v>
      </c>
      <c r="AI172" s="2" t="e">
        <f ca="1">_xll.BDH($C$153,"TOTAL_EQUITY_1_YEAR_GROWTH","FQ4 2017","FQ4 2017","Currency=INR","Period=FQ","BEST_FPERIOD_OVERRIDE=FQ","FILING_STATUS=OR","EQY_CONSOLIDATED=Y","Sort=A","Dates=H","DateFormat=P","Fill=—","Direction=H","UseDPDF=Y")</f>
        <v>#NAME?</v>
      </c>
      <c r="AJ172" s="2" t="e">
        <f ca="1">_xll.BDH($C$153,"GROWTH_IN_CAP","FQ4 2017","FQ4 2017","Currency=INR","Period=FQ","BEST_FPERIOD_OVERRIDE=FQ","FILING_STATUS=OR","EQY_CONSOLIDATED=Y","Sort=A","Dates=H","DateFormat=P","Fill=—","Direction=H","UseDPDF=Y")</f>
        <v>#NAME?</v>
      </c>
      <c r="AK172" s="2" t="e">
        <f ca="1">_xll.BDH($C$153,"BVPS_GROWTH","FQ4 2017","FQ4 2017","Currency=INR","Period=FQ","BEST_FPERIOD_OVERRIDE=FQ","FILING_STATUS=OR","EQY_CONSOLIDATED=Y","Sort=A","Dates=H","DateFormat=P","Fill=—","Direction=H","UseDPDF=Y")</f>
        <v>#NAME?</v>
      </c>
      <c r="AL172" s="2" t="e">
        <f ca="1">_xll.BDH($C$153,"CASH_FLOW_GROWTH","FQ4 2017","FQ4 2017","Currency=INR","Period=FQ","BEST_FPERIOD_OVERRIDE=FQ","FILING_STATUS=OR","EQY_CONSOLIDATED=Y","Sort=A","Dates=H","DateFormat=P","Fill=—","Direction=H","UseDPDF=Y")</f>
        <v>#NAME?</v>
      </c>
      <c r="AM172" s="2" t="e">
        <f ca="1">_xll.BDH($C$153,"GEO_GROW_NET_SALES","FQ4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172" s="2" t="e">
        <f ca="1">_xll.BDH($C$153,"GEO_GROW_EBITDA","FQ4 2017","FQ4 2017","Currency=INR","Period=FQ","BEST_FPERIOD_OVERRIDE=FQ","FILING_STATUS=OR","EQY_CONSOLIDATED=Y","FA_ADJUSTED=GAAP","Sort=A","Dates=H","DateFormat=P","Fill=—","Direction=H","UseDPDF=Y")</f>
        <v>#NAME?</v>
      </c>
      <c r="AO172" s="2" t="e">
        <f ca="1">_xll.BDH($C$153,"GEO_GROW_OPER_INC","FQ4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172" s="2" t="e">
        <f ca="1">_xll.BDH($C$153,"NET_INCOME_TO_COMMON_5_YR_GROWTH","FQ4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172" s="2" t="e">
        <f ca="1">_xll.BDH($C$153,"5Y_GEO_GROWTH_DILUTED_EPS","FQ4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172" s="2" t="e">
        <f ca="1">_xll.BDH($C$153,"GEO_GROW_DVD_PER_SH","FQ4 2017","FQ4 2017","Currency=INR","Period=FQ","BEST_FPERIOD_OVERRIDE=FQ","FILING_STATUS=OR","EQY_CONSOLIDATED=Y","Sort=A","Dates=H","DateFormat=P","Fill=—","Direction=H","UseDPDF=Y")</f>
        <v>#NAME?</v>
      </c>
      <c r="AS172" s="2" t="e">
        <f ca="1">_xll.BDH($C$153,"ACCOUNTS_RECEIVABLE_5_YR_GROWTH","FQ4 2017","FQ4 2017","Currency=INR","Period=FQ","BEST_FPERIOD_OVERRIDE=FQ","FILING_STATUS=OR","EQY_CONSOLIDATED=Y","Sort=A","Dates=H","DateFormat=P","Fill=—","Direction=H","UseDPDF=Y")</f>
        <v>#NAME?</v>
      </c>
      <c r="AT172" s="2" t="e">
        <f ca="1">_xll.BDH($C$153,"INVENTORY_5_YEAR_GROWTH","FQ4 2017","FQ4 2017","Currency=INR","Period=FQ","BEST_FPERIOD_OVERRIDE=FQ","FILING_STATUS=OR","EQY_CONSOLIDATED=Y","Sort=A","Dates=H","DateFormat=P","Fill=—","Direction=H","UseDPDF=Y")</f>
        <v>#NAME?</v>
      </c>
      <c r="AU172" s="2" t="e">
        <f ca="1">_xll.BDH($C$153,"NET_FIXED_ASSETS_5_YEAR_GROWTH","FQ4 2017","FQ4 2017","Currency=INR","Period=FQ","BEST_FPERIOD_OVERRIDE=FQ","FILING_STATUS=OR","EQY_CONSOLIDATED=Y","Sort=A","Dates=H","DateFormat=P","Fill=—","Direction=H","UseDPDF=Y")</f>
        <v>#NAME?</v>
      </c>
      <c r="AV172" s="2" t="e">
        <f ca="1">_xll.BDH($C$153,"GEO_GROW_TOT_ASSET","FQ4 2017","FQ4 2017","Currency=INR","Period=FQ","BEST_FPERIOD_OVERRIDE=FQ","FILING_STATUS=OR","EQY_CONSOLIDATED=Y","Sort=A","Dates=H","DateFormat=P","Fill=—","Direction=H","UseDPDF=Y")</f>
        <v>#NAME?</v>
      </c>
      <c r="AW172" s="2" t="e">
        <f ca="1">_xll.BDH($C$153,"MODIFIED_WORKING_CPTL_5YR_GRWTH","FQ4 2017","FQ4 2017","Currency=INR","Period=FQ","BEST_FPERIOD_OVERRIDE=FQ","FILING_STATUS=OR","EQY_CONSOLIDATED=Y","Sort=A","Dates=H","DateFormat=P","Fill=—","Direction=H","UseDPDF=Y")</f>
        <v>#NAME?</v>
      </c>
      <c r="AX172" s="2" t="e">
        <f ca="1">_xll.BDH($C$153,"WORKING_CAPITAL_5_YEAR_GROWTH","FQ4 2017","FQ4 2017","Currency=INR","Period=FQ","BEST_FPERIOD_OVERRIDE=FQ","FILING_STATUS=OR","EQY_CONSOLIDATED=Y","Sort=A","Dates=H","DateFormat=P","Fill=—","Direction=H","UseDPDF=Y")</f>
        <v>#NAME?</v>
      </c>
      <c r="AY172" s="2" t="e">
        <f ca="1">_xll.BDH($C$153,"ACCOUNTS_PAYABLE_5_YEAR_GROWTH","FQ4 2017","FQ4 2017","Currency=INR","Period=FQ","BEST_FPERIOD_OVERRIDE=FQ","FILING_STATUS=OR","EQY_CONSOLIDATED=Y","Sort=A","Dates=H","DateFormat=P","Fill=—","Direction=H","UseDPDF=Y")</f>
        <v>#NAME?</v>
      </c>
      <c r="AZ172" s="2" t="e">
        <f ca="1">_xll.BDH($C$153,"SHORT_TERM_DEBT_5_YEAR_GROWTH","FQ4 2017","FQ4 2017","Currency=INR","Period=FQ","BEST_FPERIOD_OVERRIDE=FQ","FILING_STATUS=OR","EQY_CONSOLIDATED=Y","Sort=A","Dates=H","DateFormat=P","Fill=—","Direction=H","UseDPDF=Y")</f>
        <v>#NAME?</v>
      </c>
      <c r="BA172" s="2" t="e">
        <f ca="1">_xll.BDH($C$153,"TOTAL_DEBT_5_YEAR_GROWTH","FQ4 2017","FQ4 2017","Currency=INR","Period=FQ","BEST_FPERIOD_OVERRIDE=FQ","FILING_STATUS=OR","EQY_CONSOLIDATED=Y","Sort=A","Dates=H","DateFormat=P","Fill=—","Direction=H","UseDPDF=Y")</f>
        <v>#NAME?</v>
      </c>
      <c r="BB172" s="2" t="e">
        <f ca="1">_xll.BDH($C$153,"GEO_GROW_TOT_SHRHLDR_EQY","FQ4 2017","FQ4 2017","Currency=INR","Period=FQ","BEST_FPERIOD_OVERRIDE=FQ","FILING_STATUS=OR","EQY_CONSOLIDATED=Y","Sort=A","Dates=H","DateFormat=P","Fill=—","Direction=H","UseDPDF=Y")</f>
        <v>#NAME?</v>
      </c>
      <c r="BC172" s="2" t="e">
        <f ca="1">_xll.BDH($C$153,"TOTAL_CAPITAL_5_YEAR_GROWTH","FQ4 2017","FQ4 2017","Currency=INR","Period=FQ","BEST_FPERIOD_OVERRIDE=FQ","FILING_STATUS=OR","EQY_CONSOLIDATED=Y","Sort=A","Dates=H","DateFormat=P","Fill=—","Direction=H","UseDPDF=Y")</f>
        <v>#NAME?</v>
      </c>
      <c r="BD172" s="2" t="e">
        <f ca="1">_xll.BDH($C$153,"GEO_GROW_BOOK_VAL","FQ4 2017","FQ4 2017","Currency=INR","Period=FQ","BEST_FPERIOD_OVERRIDE=FQ","FILING_STATUS=OR","EQY_CONSOLIDATED=Y","Sort=A","Dates=H","DateFormat=P","Fill=—","Direction=H","UseDPDF=Y")</f>
        <v>#NAME?</v>
      </c>
      <c r="BE172" s="2" t="e">
        <f ca="1">_xll.BDH($C$153,"GEO_GROW_CASH_OPER_ACT","FQ4 2017","FQ4 2017","Currency=INR","Period=FQ","BEST_FPERIOD_OVERRIDE=FQ","FILING_STATUS=OR","EQY_CONSOLIDATED=Y","Sort=A","Dates=H","DateFormat=P","Fill=—","Direction=H","UseDPDF=Y")</f>
        <v>#NAME?</v>
      </c>
      <c r="BF172" s="2" t="e">
        <f ca="1">_xll.BDH($C$153,"REVENUE_SEQUENTIAL_GROWTH","FQ4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172" s="2" t="e">
        <f ca="1">_xll.BDH($C$153,"EBITDA_SEQUENTIAL_GROWTH","FQ4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172" s="2" t="e">
        <f ca="1">_xll.BDH($C$153,"OPERATING_INCOME_SEQ_GROWTH","FQ4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172" s="2" t="e">
        <f ca="1">_xll.BDH($C$153,"NET_INCOME_TO_COMMON_SEQ_GROWTH","FQ4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172" s="2" t="e">
        <f ca="1">_xll.BDH($C$153,"EPS_DILUTED_SEQUENTIAL_GROWTH","FQ4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172" s="2" t="e">
        <f ca="1">_xll.BDH($C$153,"DPS_SEQUENTIAL_GROWTH","FQ4 2017","FQ4 2017","Currency=INR","Period=FQ","BEST_FPERIOD_OVERRIDE=FQ","FILING_STATUS=OR","EQY_CONSOLIDATED=Y","Sort=A","Dates=H","DateFormat=P","Fill=—","Direction=H","UseDPDF=Y")</f>
        <v>#NAME?</v>
      </c>
      <c r="BL172" s="2" t="e">
        <f ca="1">_xll.BDH($C$153,"ACCOUNTS_RECEIVABLE_SEQ_GROWTH","FQ4 2017","FQ4 2017","Currency=INR","Period=FQ","BEST_FPERIOD_OVERRIDE=FQ","FILING_STATUS=OR","EQY_CONSOLIDATED=Y","Sort=A","Dates=H","DateFormat=P","Fill=—","Direction=H","UseDPDF=Y")</f>
        <v>#NAME?</v>
      </c>
      <c r="BM172" s="2" t="e">
        <f ca="1">_xll.BDH($C$153,"INVENTORY_SEQUENTIAL_GROWTH","FQ4 2017","FQ4 2017","Currency=INR","Period=FQ","BEST_FPERIOD_OVERRIDE=FQ","FILING_STATUS=OR","EQY_CONSOLIDATED=Y","Sort=A","Dates=H","DateFormat=P","Fill=—","Direction=H","UseDPDF=Y")</f>
        <v>#NAME?</v>
      </c>
      <c r="BN172" s="2" t="e">
        <f ca="1">_xll.BDH($C$153,"FIXED_ASSETS_SEQUENTIAL_GROWTH","FQ4 2017","FQ4 2017","Currency=INR","Period=FQ","BEST_FPERIOD_OVERRIDE=FQ","FILING_STATUS=OR","EQY_CONSOLIDATED=Y","Sort=A","Dates=H","DateFormat=P","Fill=—","Direction=H","UseDPDF=Y")</f>
        <v>#NAME?</v>
      </c>
      <c r="BO172" s="2" t="e">
        <f ca="1">_xll.BDH($C$153,"TOTAL_ASSETS_SEQUENTIAL_GROWTH","FQ4 2017","FQ4 2017","Currency=INR","Period=FQ","BEST_FPERIOD_OVERRIDE=FQ","FILING_STATUS=OR","EQY_CONSOLIDATED=Y","Sort=A","Dates=H","DateFormat=P","Fill=—","Direction=H","UseDPDF=Y")</f>
        <v>#NAME?</v>
      </c>
      <c r="BP172" s="2" t="e">
        <f ca="1">_xll.BDH($C$153,"MODIFIED_WORKING_CPTL_SEQ_GRWTH","FQ4 2017","FQ4 2017","Currency=INR","Period=FQ","BEST_FPERIOD_OVERRIDE=FQ","FILING_STATUS=OR","EQY_CONSOLIDATED=Y","Sort=A","Dates=H","DateFormat=P","Fill=—","Direction=H","UseDPDF=Y")</f>
        <v>#NAME?</v>
      </c>
      <c r="BQ172" s="2" t="e">
        <f ca="1">_xll.BDH($C$153,"WORKING_CAPITAL_SEQ_GROWTH","FQ4 2017","FQ4 2017","Currency=INR","Period=FQ","BEST_FPERIOD_OVERRIDE=FQ","FILING_STATUS=OR","EQY_CONSOLIDATED=Y","Sort=A","Dates=H","DateFormat=P","Fill=—","Direction=H","UseDPDF=Y")</f>
        <v>#NAME?</v>
      </c>
      <c r="BR172" s="2" t="e">
        <f ca="1">_xll.BDH($C$153,"ACCOUNTS_PAYABLE_SEQ_GROWTH","FQ4 2017","FQ4 2017","Currency=INR","Period=FQ","BEST_FPERIOD_OVERRIDE=FQ","FILING_STATUS=OR","EQY_CONSOLIDATED=Y","Sort=A","Dates=H","DateFormat=P","Fill=—","Direction=H","UseDPDF=Y")</f>
        <v>#NAME?</v>
      </c>
      <c r="BS172" s="2" t="e">
        <f ca="1">_xll.BDH($C$153,"ST_DEBT_SEQUENTIAL_GROWTH","FQ4 2017","FQ4 2017","Currency=INR","Period=FQ","BEST_FPERIOD_OVERRIDE=FQ","FILING_STATUS=OR","EQY_CONSOLIDATED=Y","Sort=A","Dates=H","DateFormat=P","Fill=—","Direction=H","UseDPDF=Y")</f>
        <v>#NAME?</v>
      </c>
      <c r="BT172" s="2" t="e">
        <f ca="1">_xll.BDH($C$153,"TOTAL_DEBT_SEQUENTIAL_GROWTH","FQ4 2017","FQ4 2017","Currency=INR","Period=FQ","BEST_FPERIOD_OVERRIDE=FQ","FILING_STATUS=OR","EQY_CONSOLIDATED=Y","Sort=A","Dates=H","DateFormat=P","Fill=—","Direction=H","UseDPDF=Y")</f>
        <v>#NAME?</v>
      </c>
      <c r="BU172" s="2" t="e">
        <f ca="1">_xll.BDH($C$153,"TOTAL_EQUITY_SEQUENTIAL_GROWTH","FQ4 2017","FQ4 2017","Currency=INR","Period=FQ","BEST_FPERIOD_OVERRIDE=FQ","FILING_STATUS=OR","EQY_CONSOLIDATED=Y","Sort=A","Dates=H","DateFormat=P","Fill=—","Direction=H","UseDPDF=Y")</f>
        <v>#NAME?</v>
      </c>
      <c r="BV172" s="2" t="e">
        <f ca="1">_xll.BDH($C$153,"TOTAL_CAPITAL_SEQUENTIAL_GROWTH","FQ4 2017","FQ4 2017","Currency=INR","Period=FQ","BEST_FPERIOD_OVERRIDE=FQ","FILING_STATUS=OR","EQY_CONSOLIDATED=Y","Sort=A","Dates=H","DateFormat=P","Fill=—","Direction=H","UseDPDF=Y")</f>
        <v>#NAME?</v>
      </c>
      <c r="BW172" s="2" t="e">
        <f ca="1">_xll.BDH($C$153,"BPS_SEQUENTIAL_GROWTH","FQ4 2017","FQ4 2017","Currency=INR","Period=FQ","BEST_FPERIOD_OVERRIDE=FQ","FILING_STATUS=OR","EQY_CONSOLIDATED=Y","Sort=A","Dates=H","DateFormat=P","Fill=—","Direction=H","UseDPDF=Y")</f>
        <v>#NAME?</v>
      </c>
      <c r="BX172" s="2" t="e">
        <f ca="1">_xll.BDH($C$153,"CFO_SEQUENTIAL_GROWTH","FQ4 2017","FQ4 2017","Currency=INR","Period=FQ","BEST_FPERIOD_OVERRIDE=FQ","FILING_STATUS=OR","EQY_CONSOLIDATED=Y","Sort=A","Dates=H","DateFormat=P","Fill=—","Direction=H","UseDPDF=Y")</f>
        <v>#NAME?</v>
      </c>
      <c r="BY172" s="3" t="e">
        <f ca="1">_xll.BDH($C$153,"SHORT_AND_LONG_TERM_DEBT","FQ4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172" s="3" t="e">
        <f ca="1">_xll.BDH($C$153,"BS_ST_BORROW","FQ4 2017","FQ4 2017","Currency=INR","Period=FQ","BEST_FPERIOD_OVERRIDE=FQ","FILING_STATUS=OR","EQY_CONSOLIDATED=Y","SCALING_FORMAT=MLN","Sort=A","Dates=H","DateFormat=P","Fill=—","Direction=H","UseDPDF=Y")</f>
        <v>#NAME?</v>
      </c>
      <c r="CA172" s="3" t="e">
        <f ca="1">_xll.BDH($C$153,"BS_LT_BORROW","FQ4 2017","FQ4 2017","Currency=INR","Period=FQ","BEST_FPERIOD_OVERRIDE=FQ","FILING_STATUS=OR","EQY_CONSOLIDATED=Y","SCALING_FORMAT=MLN","Sort=A","Dates=H","DateFormat=P","Fill=—","Direction=H","UseDPDF=Y")</f>
        <v>#NAME?</v>
      </c>
      <c r="CB172" s="2" t="e">
        <f ca="1">_xll.BDH($C$153,"TOT_DEBT_TO_EBITDA","FQ4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172" s="2" t="e">
        <f ca="1">_xll.BDH($C$153,"NET_DEBT_TO_EBITDA","FQ4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172" s="2" t="e">
        <f ca="1">_xll.BDH($C$153,"TOTAL_DEBT_TO_EBIT","FQ4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172" s="2" t="e">
        <f ca="1">_xll.BDH($C$153,"NET_DEBT_TO_EBIT","FQ4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172" s="2" t="e">
        <f ca="1">_xll.BDH($C$153,"EBITDA_TO_INTEREST_EXPN","FQ4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172" s="2" t="e">
        <f ca="1">_xll.BDH($C$153,"COM_EQY_TO_TOT_ASSET","FQ4 2017","FQ4 2017","Currency=INR","Period=FQ","BEST_FPERIOD_OVERRIDE=FQ","FILING_STATUS=OR","EQY_CONSOLIDATED=Y","Sort=A","Dates=H","DateFormat=P","Fill=—","Direction=H","UseDPDF=Y")</f>
        <v>#NAME?</v>
      </c>
      <c r="CH172" s="2" t="e">
        <f ca="1">_xll.BDH($C$153,"LT_DEBT_TO_TOT_EQY","FQ4 2017","FQ4 2017","Currency=INR","Period=FQ","BEST_FPERIOD_OVERRIDE=FQ","FILING_STATUS=OR","EQY_CONSOLIDATED=Y","Sort=A","Dates=H","DateFormat=P","Fill=—","Direction=H","UseDPDF=Y")</f>
        <v>#NAME?</v>
      </c>
      <c r="CI172" s="2" t="e">
        <f ca="1">_xll.BDH($C$153,"LT_DEBT_TO_TOT_CAP","FQ4 2017","FQ4 2017","Currency=INR","Period=FQ","BEST_FPERIOD_OVERRIDE=FQ","FILING_STATUS=OR","EQY_CONSOLIDATED=Y","Sort=A","Dates=H","DateFormat=P","Fill=—","Direction=H","UseDPDF=Y")</f>
        <v>#NAME?</v>
      </c>
      <c r="CJ172" s="2" t="e">
        <f ca="1">_xll.BDH($C$153,"LT_DEBT_TO_TOT_ASSET","FQ4 2017","FQ4 2017","Currency=INR","Period=FQ","BEST_FPERIOD_OVERRIDE=FQ","FILING_STATUS=OR","EQY_CONSOLIDATED=Y","Sort=A","Dates=H","DateFormat=P","Fill=—","Direction=H","UseDPDF=Y")</f>
        <v>#NAME?</v>
      </c>
      <c r="CK172" s="2" t="e">
        <f ca="1">_xll.BDH($C$153,"TOT_DEBT_TO_TOT_EQY","FQ4 2017","FQ4 2017","Currency=INR","Period=FQ","BEST_FPERIOD_OVERRIDE=FQ","FILING_STATUS=OR","EQY_CONSOLIDATED=Y","Sort=A","Dates=H","DateFormat=P","Fill=—","Direction=H","UseDPDF=Y")</f>
        <v>#NAME?</v>
      </c>
      <c r="CL172" s="2" t="e">
        <f ca="1">_xll.BDH($C$153,"TOT_DEBT_TO_TOT_CAP","FQ4 2017","FQ4 2017","Currency=INR","Period=FQ","BEST_FPERIOD_OVERRIDE=FQ","FILING_STATUS=OR","EQY_CONSOLIDATED=Y","Sort=A","Dates=H","DateFormat=P","Fill=—","Direction=H","UseDPDF=Y")</f>
        <v>#NAME?</v>
      </c>
      <c r="CM172" s="2" t="e">
        <f ca="1">_xll.BDH($C$153,"TOT_DEBT_TO_TOT_ASSET","FQ4 2017","FQ4 2017","Currency=INR","Period=FQ","BEST_FPERIOD_OVERRIDE=FQ","FILING_STATUS=OR","EQY_CONSOLIDATED=Y","Sort=A","Dates=H","DateFormat=P","Fill=—","Direction=H","UseDPDF=Y")</f>
        <v>#NAME?</v>
      </c>
      <c r="CN172" s="2" t="e">
        <f ca="1">_xll.BDH($C$153,"NET_DEBT_TO_SHRHLDR_EQTY","FQ4 2017","FQ4 2017","Currency=INR","Period=FQ","BEST_FPERIOD_OVERRIDE=FQ","FILING_STATUS=OR","EQY_CONSOLIDATED=Y","Sort=A","Dates=H","DateFormat=P","Fill=—","Direction=H","UseDPDF=Y")</f>
        <v>#NAME?</v>
      </c>
      <c r="CO172" s="2" t="e">
        <f ca="1">_xll.BDH($C$153,"NET_DEBT_%_CAPITAL","FQ4 2017","FQ4 2017","Currency=INR","Period=FQ","BEST_FPERIOD_OVERRIDE=FQ","FILING_STATUS=OR","EQY_CONSOLIDATED=Y","Sort=A","Dates=H","DateFormat=P","Fill=—","Direction=H","UseDPDF=Y")</f>
        <v>#NAME?</v>
      </c>
      <c r="CP172" s="3" t="e">
        <f ca="1">_xll.BDH($C$153,"EBITDA","FQ4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172" s="3" t="e">
        <f ca="1">_xll.BDH($C$153,"EBITDA_AFTER_CAPEX","FQ4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172" s="3" t="e">
        <f ca="1">_xll.BDH($C$153,"IS_OPER_INC","FQ4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172" s="2" t="e">
        <f ca="1">_xll.BDH($C$153,"CASH_RATIO","FQ4 2017","FQ4 2017","Currency=INR","Period=FQ","BEST_FPERIOD_OVERRIDE=FQ","FILING_STATUS=OR","EQY_CONSOLIDATED=Y","Sort=A","Dates=H","DateFormat=P","Fill=—","Direction=H","UseDPDF=Y")</f>
        <v>#NAME?</v>
      </c>
      <c r="CT172" s="2" t="e">
        <f ca="1">_xll.BDH($C$153,"CUR_RATIO","FQ4 2017","FQ4 2017","Currency=INR","Period=FQ","BEST_FPERIOD_OVERRIDE=FQ","FILING_STATUS=OR","EQY_CONSOLIDATED=Y","Sort=A","Dates=H","DateFormat=P","Fill=—","Direction=H","UseDPDF=Y")</f>
        <v>#NAME?</v>
      </c>
      <c r="CU172" s="2" t="e">
        <f ca="1">_xll.BDH($C$153,"QUICK_RATIO","FQ4 2017","FQ4 2017","Currency=INR","Period=FQ","BEST_FPERIOD_OVERRIDE=FQ","FILING_STATUS=OR","EQY_CONSOLIDATED=Y","Sort=A","Dates=H","DateFormat=P","Fill=—","Direction=H","UseDPDF=Y")</f>
        <v>#NAME?</v>
      </c>
      <c r="CV172" s="2" t="e">
        <f ca="1">_xll.BDH($C$153,"ALTMAN_Z_SCORE","FQ4 2017","FQ4 2017","Currency=INR","Period=FQ","BEST_FPERIOD_OVERRIDE=FQ","FILING_STATUS=OR","EQY_CONSOLIDATED=Y","Sort=A","Dates=H","DateFormat=P","Fill=—","Direction=H","UseDPDF=Y")</f>
        <v>#NAME?</v>
      </c>
      <c r="CW172" s="4" t="e">
        <f ca="1">_xll.BDH($C$153,"ACCT_RCV_TURN","FQ4 2017","FQ4 2017","Currency=INR","Period=FQ","BEST_FPERIOD_OVERRIDE=FQ","FILING_STATUS=OR","EQY_CONSOLIDATED=Y","FA_ADJUSTED=GAAP","Sort=A","Dates=H","DateFormat=P","Fill=—","Direction=H","UseDPDF=Y")</f>
        <v>#NAME?</v>
      </c>
      <c r="CX172" s="2" t="e">
        <f ca="1">_xll.BDH($C$153,"ACCT_RCV_DAYS","FQ4 2017","FQ4 2017","Currency=INR","Period=FQ","BEST_FPERIOD_OVERRIDE=FQ","FILING_STATUS=OR","EQY_CONSOLIDATED=Y","FA_ADJUSTED=GAAP","Sort=A","Dates=H","DateFormat=P","Fill=—","Direction=H","UseDPDF=Y")</f>
        <v>#NAME?</v>
      </c>
      <c r="CY172" s="4" t="e">
        <f ca="1">_xll.BDH($C$153,"INVENT_TURN","FQ4 2017","FQ4 2017","Currency=INR","Period=FQ","BEST_FPERIOD_OVERRIDE=FQ","FILING_STATUS=OR","EQY_CONSOLIDATED=Y","FA_ADJUSTED=GAAP","Sort=A","Dates=H","DateFormat=P","Fill=—","Direction=H","UseDPDF=Y")</f>
        <v>#NAME?</v>
      </c>
      <c r="CZ172" s="2" t="e">
        <f ca="1">_xll.BDH($C$153,"INVENT_DAYS","FQ4 2017","FQ4 2017","Currency=INR","Period=FQ","BEST_FPERIOD_OVERRIDE=FQ","FILING_STATUS=OR","EQY_CONSOLIDATED=Y","FA_ADJUSTED=GAAP","Sort=A","Dates=H","DateFormat=P","Fill=—","Direction=H","UseDPDF=Y")</f>
        <v>#NAME?</v>
      </c>
      <c r="DA172" s="4" t="e">
        <f ca="1">_xll.BDH($C$153,"ACCOUNTS_PAYABLE_TURNOVER","FQ4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172" s="2" t="e">
        <f ca="1">_xll.BDH($C$153,"ACCOUNTS_PAYABLE_TURNOVER_DAYS","FQ4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172" s="4" t="e">
        <f ca="1">_xll.BDH($C$153,"CASH_CONVERSION_CYCLE","FQ4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172" s="4" t="e">
        <f ca="1">_xll.BDH($C$153,"INV_TO_CASH_DAYS","FQ4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172" s="5" t="e">
        <f ca="1">_xll.BDH($C$153,"BS_INVENTORIES","FQ4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172" s="3" t="e">
        <f ca="1">_xll.BDH($C$153,"INVTRY_RAW_MATERIALS","FQ4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172" s="3" t="e">
        <f ca="1">_xll.BDH($C$153,"INVTRY_IN_PROGRESS","FQ4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172" s="3" t="e">
        <f ca="1">_xll.BDH($C$153,"INVTRY_FINISHED_GOODS","FQ4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172" s="3" t="e">
        <f ca="1">_xll.BDH($C$153,"BS_OTHER_INV","FQ4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173" spans="1:113" x14ac:dyDescent="0.3">
      <c r="A173" s="6"/>
      <c r="B173" s="6"/>
      <c r="C173" s="6"/>
      <c r="D173" s="6" t="s">
        <v>85</v>
      </c>
      <c r="E173" t="s">
        <v>77</v>
      </c>
      <c r="F173" t="e">
        <f ca="1">_xll.BDH($C$153,"RETURN_COM_EQY","FY 2018","FY 2018","Currency=INR","Period=FY","BEST_FPERIOD_OVERRIDE=FY","FILING_STATUS=OR","EQY_CONSOLIDATED=Y","FA_ADJUSTED=GAAP","Sort=A","Dates=H","DateFormat=P","Fill=—","Direction=H","UseDPDF=Y")</f>
        <v>#NAME?</v>
      </c>
      <c r="G173" t="e">
        <f ca="1">_xll.BDH($C$153,"RETURN_ON_ASSET","FY 2018","FY 2018","Currency=INR","Period=FY","BEST_FPERIOD_OVERRIDE=FY","FILING_STATUS=OR","EQY_CONSOLIDATED=Y","FA_ADJUSTED=GAAP","Sort=A","Dates=H","DateFormat=P","Fill=—","Direction=H","UseDPDF=Y")</f>
        <v>#NAME?</v>
      </c>
      <c r="H173" t="e">
        <f ca="1">_xll.BDH($C$153,"RETURN_ON_CAP","FY 2018","FY 2018","Currency=INR","Period=FY","BEST_FPERIOD_OVERRIDE=FY","FILING_STATUS=OR","EQY_CONSOLIDATED=Y","FA_ADJUSTED=GAAP","Sort=A","Dates=H","DateFormat=P","Fill=—","Direction=H","UseDPDF=Y")</f>
        <v>#NAME?</v>
      </c>
      <c r="I173" t="e">
        <f ca="1">_xll.BDH($C$153,"RETURN_ON_INV_CAPITAL","FY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173" t="e">
        <f ca="1">_xll.BDH($C$153,"EBITDA_TO_REVENUE","FY 2018","FY 2018","Currency=INR","Period=FY","BEST_FPERIOD_OVERRIDE=FY","FILING_STATUS=OR","EQY_CONSOLIDATED=Y","FA_ADJUSTED=GAAP","Sort=A","Dates=H","DateFormat=P","Fill=—","Direction=H","UseDPDF=Y")</f>
        <v>#NAME?</v>
      </c>
      <c r="K173" t="e">
        <f ca="1">_xll.BDH($C$153,"OPER_MARGIN","FY 2018","FY 2018","Currency=INR","Period=FY","BEST_FPERIOD_OVERRIDE=FY","FILING_STATUS=OR","EQY_CONSOLIDATED=Y","FA_ADJUSTED=GAAP","Sort=A","Dates=H","DateFormat=P","Fill=—","Direction=H","UseDPDF=Y")</f>
        <v>#NAME?</v>
      </c>
      <c r="L173" t="e">
        <f ca="1">_xll.BDH($C$153,"INCREMENTAL_OPERATING_MARGIN","FY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173" t="e">
        <f ca="1">_xll.BDH($C$153,"PRETAX_INC_TO_NET_SALES","FY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173" t="e">
        <f ca="1">_xll.BDH($C$153,"INC_BEF_XO_ITEMS_TO_NET_SALES","FY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173" t="e">
        <f ca="1">_xll.BDH($C$153,"PROF_MARGIN","FY 2018","FY 2018","Currency=INR","Period=FY","BEST_FPERIOD_OVERRIDE=FY","FILING_STATUS=OR","EQY_CONSOLIDATED=Y","FA_ADJUSTED=GAAP","Sort=A","Dates=H","DateFormat=P","Fill=—","Direction=H","UseDPDF=Y")</f>
        <v>#NAME?</v>
      </c>
      <c r="P173" t="e">
        <f ca="1">_xll.BDH($C$153,"NET_INCOME_TO_COMMON_MARGIN","FY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173" t="e">
        <f ca="1">_xll.BDH($C$153,"EFF_TAX_RATE","FY 2018","FY 2018","Currency=INR","Period=FY","BEST_FPERIOD_OVERRIDE=FY","FILING_STATUS=OR","EQY_CONSOLIDATED=Y","FA_ADJUSTED=GAAP","Sort=A","Dates=H","DateFormat=P","Fill=—","Direction=H","UseDPDF=Y")</f>
        <v>#NAME?</v>
      </c>
      <c r="R173" t="e">
        <f ca="1">_xll.BDH($C$153,"DVD_PAYOUT_RATIO","FY 2018","FY 2018","Currency=INR","Period=FY","BEST_FPERIOD_OVERRIDE=FY","FILING_STATUS=OR","EQY_CONSOLIDATED=Y","FA_ADJUSTED=GAAP","Sort=A","Dates=H","DateFormat=P","Fill=—","Direction=H","UseDPDF=Y")</f>
        <v>#NAME?</v>
      </c>
      <c r="S173" t="e">
        <f ca="1">_xll.BDH($C$153,"SUSTAIN_GROWTH_RT","FY 2018","FY 2018","Currency=INR","Period=FY","BEST_FPERIOD_OVERRIDE=FY","FILING_STATUS=OR","EQY_CONSOLIDATED=Y","FA_ADJUSTED=GAAP","Sort=A","Dates=H","DateFormat=P","Fill=—","Direction=H","UseDPDF=Y")</f>
        <v>#NAME?</v>
      </c>
      <c r="T173" s="2" t="e">
        <f ca="1">_xll.BDH($C$153,"SALES_GROWTH","FY 2018","FY 2018","Currency=INR","Period=FY","BEST_FPERIOD_OVERRIDE=FY","FILING_STATUS=OR","EQY_CONSOLIDATED=Y","FA_ADJUSTED=GAAP","Sort=A","Dates=H","DateFormat=P","Fill=—","Direction=H","UseDPDF=Y")</f>
        <v>#NAME?</v>
      </c>
      <c r="U173" s="2" t="e">
        <f ca="1">_xll.BDH($C$153,"EBITDA_GROWTH","FY 2018","FY 2018","Currency=INR","Period=FY","BEST_FPERIOD_OVERRIDE=FY","FILING_STATUS=OR","EQY_CONSOLIDATED=Y","FA_ADJUSTED=GAAP","Sort=A","Dates=H","DateFormat=P","Fill=—","Direction=H","UseDPDF=Y")</f>
        <v>#NAME?</v>
      </c>
      <c r="V173" s="2" t="e">
        <f ca="1">_xll.BDH($C$153,"OPER_INC_GROWTH","FY 2018","FY 2018","Currency=INR","Period=FY","BEST_FPERIOD_OVERRIDE=FY","FILING_STATUS=OR","EQY_CONSOLIDATED=Y","FA_ADJUSTED=GAAP","Sort=A","Dates=H","DateFormat=P","Fill=—","Direction=H","UseDPDF=Y")</f>
        <v>#NAME?</v>
      </c>
      <c r="W173" s="2" t="e">
        <f ca="1">_xll.BDH($C$153,"EARN_FOR_COM_GROWTH","FY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173" s="2" t="e">
        <f ca="1">_xll.BDH($C$153,"DILUTED_EPS_AFT_XO_ITEMS_GROWTH","FY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173" s="2" t="e">
        <f ca="1">_xll.BDH($C$153,"DIVIDEND_PER_SHARE_1_YEAR_GROWTH","FY 2018","FY 2018","Currency=INR","Period=FY","BEST_FPERIOD_OVERRIDE=FY","FILING_STATUS=OR","EQY_CONSOLIDATED=Y","Sort=A","Dates=H","DateFormat=P","Fill=—","Direction=H","UseDPDF=Y")</f>
        <v>#NAME?</v>
      </c>
      <c r="Z173" s="2" t="e">
        <f ca="1">_xll.BDH($C$153,"ACCOUNTS_RECEIVABLE_GROWTH","FY 2018","FY 2018","Currency=INR","Period=FY","BEST_FPERIOD_OVERRIDE=FY","FILING_STATUS=OR","EQY_CONSOLIDATED=Y","Sort=A","Dates=H","DateFormat=P","Fill=—","Direction=H","UseDPDF=Y")</f>
        <v>#NAME?</v>
      </c>
      <c r="AA173" s="2" t="e">
        <f ca="1">_xll.BDH($C$153,"INVENTORY_GROWTH","FY 2018","FY 2018","Currency=INR","Period=FY","BEST_FPERIOD_OVERRIDE=FY","FILING_STATUS=OR","EQY_CONSOLIDATED=Y","Sort=A","Dates=H","DateFormat=P","Fill=—","Direction=H","UseDPDF=Y")</f>
        <v>#NAME?</v>
      </c>
      <c r="AB173" s="2" t="e">
        <f ca="1">_xll.BDH($C$153,"NET_FIXED_ASSETS_1_YEAR_GROWTH","FY 2018","FY 2018","Currency=INR","Period=FY","BEST_FPERIOD_OVERRIDE=FY","FILING_STATUS=OR","EQY_CONSOLIDATED=Y","Sort=A","Dates=H","DateFormat=P","Fill=—","Direction=H","UseDPDF=Y")</f>
        <v>#NAME?</v>
      </c>
      <c r="AC173" s="2" t="e">
        <f ca="1">_xll.BDH($C$153,"ASSET_GROWTH","FY 2018","FY 2018","Currency=INR","Period=FY","BEST_FPERIOD_OVERRIDE=FY","FILING_STATUS=OR","EQY_CONSOLIDATED=Y","Sort=A","Dates=H","DateFormat=P","Fill=—","Direction=H","UseDPDF=Y")</f>
        <v>#NAME?</v>
      </c>
      <c r="AD173" s="2" t="e">
        <f ca="1">_xll.BDH($C$153,"MODIFIED_WORK_CAP_GROWTH","FY 2018","FY 2018","Currency=INR","Period=FY","BEST_FPERIOD_OVERRIDE=FY","FILING_STATUS=OR","EQY_CONSOLIDATED=Y","Sort=A","Dates=H","DateFormat=P","Fill=—","Direction=H","UseDPDF=Y")</f>
        <v>#NAME?</v>
      </c>
      <c r="AE173" s="2" t="e">
        <f ca="1">_xll.BDH($C$153,"WORK_CAP_GROWTH","FY 2018","FY 2018","Currency=INR","Period=FY","BEST_FPERIOD_OVERRIDE=FY","FILING_STATUS=OR","EQY_CONSOLIDATED=Y","Sort=A","Dates=H","DateFormat=P","Fill=—","Direction=H","UseDPDF=Y")</f>
        <v>#NAME?</v>
      </c>
      <c r="AF173" s="2" t="e">
        <f ca="1">_xll.BDH($C$153,"ACCOUNTS_PAYABLE_GROWTH_1YR","FY 2018","FY 2018","Currency=INR","Period=FY","BEST_FPERIOD_OVERRIDE=FY","FILING_STATUS=OR","EQY_CONSOLIDATED=Y","Sort=A","Dates=H","DateFormat=P","Fill=—","Direction=H","UseDPDF=Y")</f>
        <v>#NAME?</v>
      </c>
      <c r="AG173" s="2" t="e">
        <f ca="1">_xll.BDH($C$153,"SHORT_TERM_DEBT_1_YEAR_GROWTH","FY 2018","FY 2018","Currency=INR","Period=FY","BEST_FPERIOD_OVERRIDE=FY","FILING_STATUS=OR","EQY_CONSOLIDATED=Y","Sort=A","Dates=H","DateFormat=P","Fill=—","Direction=H","UseDPDF=Y")</f>
        <v>#NAME?</v>
      </c>
      <c r="AH173" s="2" t="e">
        <f ca="1">_xll.BDH($C$153,"TOTAL_DEBT_1_YEAR_GROWTH","FY 2018","FY 2018","Currency=INR","Period=FY","BEST_FPERIOD_OVERRIDE=FY","FILING_STATUS=OR","EQY_CONSOLIDATED=Y","Sort=A","Dates=H","DateFormat=P","Fill=—","Direction=H","UseDPDF=Y")</f>
        <v>#NAME?</v>
      </c>
      <c r="AI173" s="2" t="e">
        <f ca="1">_xll.BDH($C$153,"TOTAL_EQUITY_1_YEAR_GROWTH","FY 2018","FY 2018","Currency=INR","Period=FY","BEST_FPERIOD_OVERRIDE=FY","FILING_STATUS=OR","EQY_CONSOLIDATED=Y","Sort=A","Dates=H","DateFormat=P","Fill=—","Direction=H","UseDPDF=Y")</f>
        <v>#NAME?</v>
      </c>
      <c r="AJ173" s="2" t="e">
        <f ca="1">_xll.BDH($C$153,"GROWTH_IN_CAP","FY 2018","FY 2018","Currency=INR","Period=FY","BEST_FPERIOD_OVERRIDE=FY","FILING_STATUS=OR","EQY_CONSOLIDATED=Y","Sort=A","Dates=H","DateFormat=P","Fill=—","Direction=H","UseDPDF=Y")</f>
        <v>#NAME?</v>
      </c>
      <c r="AK173" s="2" t="e">
        <f ca="1">_xll.BDH($C$153,"BVPS_GROWTH","FY 2018","FY 2018","Currency=INR","Period=FY","BEST_FPERIOD_OVERRIDE=FY","FILING_STATUS=OR","EQY_CONSOLIDATED=Y","Sort=A","Dates=H","DateFormat=P","Fill=—","Direction=H","UseDPDF=Y")</f>
        <v>#NAME?</v>
      </c>
      <c r="AL173" s="2" t="e">
        <f ca="1">_xll.BDH($C$153,"CASH_FLOW_GROWTH","FY 2018","FY 2018","Currency=INR","Period=FY","BEST_FPERIOD_OVERRIDE=FY","FILING_STATUS=OR","EQY_CONSOLIDATED=Y","Sort=A","Dates=H","DateFormat=P","Fill=—","Direction=H","UseDPDF=Y")</f>
        <v>#NAME?</v>
      </c>
      <c r="AM173" s="2" t="e">
        <f ca="1">_xll.BDH($C$153,"GEO_GROW_NET_SALES","FY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173" s="2" t="e">
        <f ca="1">_xll.BDH($C$153,"GEO_GROW_EBITDA","FY 2018","FY 2018","Currency=INR","Period=FY","BEST_FPERIOD_OVERRIDE=FY","FILING_STATUS=OR","EQY_CONSOLIDATED=Y","FA_ADJUSTED=GAAP","Sort=A","Dates=H","DateFormat=P","Fill=—","Direction=H","UseDPDF=Y")</f>
        <v>#NAME?</v>
      </c>
      <c r="AO173" s="2" t="e">
        <f ca="1">_xll.BDH($C$153,"GEO_GROW_OPER_INC","FY 2018","FY 2018","Currency=INR","Period=FY","BEST_FPERIOD_OVERRIDE=FY","FILING_STATUS=OR","EQY_CONSOLIDATED=Y","FA_ADJUSTED=GAAP","Sort=A","Dates=H","DateFormat=P","Fill=—","Direction=H","UseDPDF=Y")</f>
        <v>#NAME?</v>
      </c>
      <c r="AP173" s="2" t="e">
        <f ca="1">_xll.BDH($C$153,"NET_INCOME_TO_COMMON_5_YR_GROWTH","FY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173" s="2" t="e">
        <f ca="1">_xll.BDH($C$153,"5Y_GEO_GROWTH_DILUTED_EPS","FY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173" s="2" t="e">
        <f ca="1">_xll.BDH($C$153,"GEO_GROW_DVD_PER_SH","FY 2018","FY 2018","Currency=INR","Period=FY","BEST_FPERIOD_OVERRIDE=FY","FILING_STATUS=OR","EQY_CONSOLIDATED=Y","Sort=A","Dates=H","DateFormat=P","Fill=—","Direction=H","UseDPDF=Y")</f>
        <v>#NAME?</v>
      </c>
      <c r="AS173" s="2" t="e">
        <f ca="1">_xll.BDH($C$153,"ACCOUNTS_RECEIVABLE_5_YR_GROWTH","FY 2018","FY 2018","Currency=INR","Period=FY","BEST_FPERIOD_OVERRIDE=FY","FILING_STATUS=OR","EQY_CONSOLIDATED=Y","Sort=A","Dates=H","DateFormat=P","Fill=—","Direction=H","UseDPDF=Y")</f>
        <v>#NAME?</v>
      </c>
      <c r="AT173" s="2" t="e">
        <f ca="1">_xll.BDH($C$153,"INVENTORY_5_YEAR_GROWTH","FY 2018","FY 2018","Currency=INR","Period=FY","BEST_FPERIOD_OVERRIDE=FY","FILING_STATUS=OR","EQY_CONSOLIDATED=Y","Sort=A","Dates=H","DateFormat=P","Fill=—","Direction=H","UseDPDF=Y")</f>
        <v>#NAME?</v>
      </c>
      <c r="AU173" s="2" t="e">
        <f ca="1">_xll.BDH($C$153,"NET_FIXED_ASSETS_5_YEAR_GROWTH","FY 2018","FY 2018","Currency=INR","Period=FY","BEST_FPERIOD_OVERRIDE=FY","FILING_STATUS=OR","EQY_CONSOLIDATED=Y","Sort=A","Dates=H","DateFormat=P","Fill=—","Direction=H","UseDPDF=Y")</f>
        <v>#NAME?</v>
      </c>
      <c r="AV173" s="2" t="e">
        <f ca="1">_xll.BDH($C$153,"GEO_GROW_TOT_ASSET","FY 2018","FY 2018","Currency=INR","Period=FY","BEST_FPERIOD_OVERRIDE=FY","FILING_STATUS=OR","EQY_CONSOLIDATED=Y","Sort=A","Dates=H","DateFormat=P","Fill=—","Direction=H","UseDPDF=Y")</f>
        <v>#NAME?</v>
      </c>
      <c r="AW173" s="2" t="e">
        <f ca="1">_xll.BDH($C$153,"MODIFIED_WORKING_CPTL_5YR_GRWTH","FY 2018","FY 2018","Currency=INR","Period=FY","BEST_FPERIOD_OVERRIDE=FY","FILING_STATUS=OR","EQY_CONSOLIDATED=Y","Sort=A","Dates=H","DateFormat=P","Fill=—","Direction=H","UseDPDF=Y")</f>
        <v>#NAME?</v>
      </c>
      <c r="AX173" s="2" t="e">
        <f ca="1">_xll.BDH($C$153,"WORKING_CAPITAL_5_YEAR_GROWTH","FY 2018","FY 2018","Currency=INR","Period=FY","BEST_FPERIOD_OVERRIDE=FY","FILING_STATUS=OR","EQY_CONSOLIDATED=Y","Sort=A","Dates=H","DateFormat=P","Fill=—","Direction=H","UseDPDF=Y")</f>
        <v>#NAME?</v>
      </c>
      <c r="AY173" s="2" t="e">
        <f ca="1">_xll.BDH($C$153,"ACCOUNTS_PAYABLE_5_YEAR_GROWTH","FY 2018","FY 2018","Currency=INR","Period=FY","BEST_FPERIOD_OVERRIDE=FY","FILING_STATUS=OR","EQY_CONSOLIDATED=Y","Sort=A","Dates=H","DateFormat=P","Fill=—","Direction=H","UseDPDF=Y")</f>
        <v>#NAME?</v>
      </c>
      <c r="AZ173" s="2" t="e">
        <f ca="1">_xll.BDH($C$153,"SHORT_TERM_DEBT_5_YEAR_GROWTH","FY 2018","FY 2018","Currency=INR","Period=FY","BEST_FPERIOD_OVERRIDE=FY","FILING_STATUS=OR","EQY_CONSOLIDATED=Y","Sort=A","Dates=H","DateFormat=P","Fill=—","Direction=H","UseDPDF=Y")</f>
        <v>#NAME?</v>
      </c>
      <c r="BA173" s="2" t="e">
        <f ca="1">_xll.BDH($C$153,"TOTAL_DEBT_5_YEAR_GROWTH","FY 2018","FY 2018","Currency=INR","Period=FY","BEST_FPERIOD_OVERRIDE=FY","FILING_STATUS=OR","EQY_CONSOLIDATED=Y","Sort=A","Dates=H","DateFormat=P","Fill=—","Direction=H","UseDPDF=Y")</f>
        <v>#NAME?</v>
      </c>
      <c r="BB173" s="2" t="e">
        <f ca="1">_xll.BDH($C$153,"GEO_GROW_TOT_SHRHLDR_EQY","FY 2018","FY 2018","Currency=INR","Period=FY","BEST_FPERIOD_OVERRIDE=FY","FILING_STATUS=OR","EQY_CONSOLIDATED=Y","Sort=A","Dates=H","DateFormat=P","Fill=—","Direction=H","UseDPDF=Y")</f>
        <v>#NAME?</v>
      </c>
      <c r="BC173" s="2" t="e">
        <f ca="1">_xll.BDH($C$153,"TOTAL_CAPITAL_5_YEAR_GROWTH","FY 2018","FY 2018","Currency=INR","Period=FY","BEST_FPERIOD_OVERRIDE=FY","FILING_STATUS=OR","EQY_CONSOLIDATED=Y","Sort=A","Dates=H","DateFormat=P","Fill=—","Direction=H","UseDPDF=Y")</f>
        <v>#NAME?</v>
      </c>
      <c r="BD173" s="2" t="e">
        <f ca="1">_xll.BDH($C$153,"GEO_GROW_BOOK_VAL","FY 2018","FY 2018","Currency=INR","Period=FY","BEST_FPERIOD_OVERRIDE=FY","FILING_STATUS=OR","EQY_CONSOLIDATED=Y","Sort=A","Dates=H","DateFormat=P","Fill=—","Direction=H","UseDPDF=Y")</f>
        <v>#NAME?</v>
      </c>
      <c r="BE173" s="2" t="e">
        <f ca="1">_xll.BDH($C$153,"GEO_GROW_CASH_OPER_ACT","FY 2018","FY 2018","Currency=INR","Period=FY","BEST_FPERIOD_OVERRIDE=FY","FILING_STATUS=OR","EQY_CONSOLIDATED=Y","Sort=A","Dates=H","DateFormat=P","Fill=—","Direction=H","UseDPDF=Y")</f>
        <v>#NAME?</v>
      </c>
      <c r="BF173" s="2" t="e">
        <f ca="1">_xll.BDH($C$153,"REVENUE_SEQUENTIAL_GROWTH","FY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173" s="2" t="e">
        <f ca="1">_xll.BDH($C$153,"EBITDA_SEQUENTIAL_GROWTH","FY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173" s="2" t="e">
        <f ca="1">_xll.BDH($C$153,"OPERATING_INCOME_SEQ_GROWTH","FY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173" s="2" t="e">
        <f ca="1">_xll.BDH($C$153,"NET_INCOME_TO_COMMON_SEQ_GROWTH","FY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173" s="2" t="e">
        <f ca="1">_xll.BDH($C$153,"EPS_DILUTED_SEQUENTIAL_GROWTH","FY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173" s="2" t="e">
        <f ca="1">_xll.BDH($C$153,"DPS_SEQUENTIAL_GROWTH","FY 2018","FY 2018","Currency=INR","Period=FY","BEST_FPERIOD_OVERRIDE=FY","FILING_STATUS=OR","EQY_CONSOLIDATED=Y","Sort=A","Dates=H","DateFormat=P","Fill=—","Direction=H","UseDPDF=Y")</f>
        <v>#NAME?</v>
      </c>
      <c r="BL173" s="2" t="e">
        <f ca="1">_xll.BDH($C$153,"ACCOUNTS_RECEIVABLE_SEQ_GROWTH","FY 2018","FY 2018","Currency=INR","Period=FY","BEST_FPERIOD_OVERRIDE=FY","FILING_STATUS=OR","EQY_CONSOLIDATED=Y","Sort=A","Dates=H","DateFormat=P","Fill=—","Direction=H","UseDPDF=Y")</f>
        <v>#NAME?</v>
      </c>
      <c r="BM173" s="2" t="e">
        <f ca="1">_xll.BDH($C$153,"INVENTORY_SEQUENTIAL_GROWTH","FY 2018","FY 2018","Currency=INR","Period=FY","BEST_FPERIOD_OVERRIDE=FY","FILING_STATUS=OR","EQY_CONSOLIDATED=Y","Sort=A","Dates=H","DateFormat=P","Fill=—","Direction=H","UseDPDF=Y")</f>
        <v>#NAME?</v>
      </c>
      <c r="BN173" s="2" t="e">
        <f ca="1">_xll.BDH($C$153,"FIXED_ASSETS_SEQUENTIAL_GROWTH","FY 2018","FY 2018","Currency=INR","Period=FY","BEST_FPERIOD_OVERRIDE=FY","FILING_STATUS=OR","EQY_CONSOLIDATED=Y","Sort=A","Dates=H","DateFormat=P","Fill=—","Direction=H","UseDPDF=Y")</f>
        <v>#NAME?</v>
      </c>
      <c r="BO173" s="2" t="e">
        <f ca="1">_xll.BDH($C$153,"TOTAL_ASSETS_SEQUENTIAL_GROWTH","FY 2018","FY 2018","Currency=INR","Period=FY","BEST_FPERIOD_OVERRIDE=FY","FILING_STATUS=OR","EQY_CONSOLIDATED=Y","Sort=A","Dates=H","DateFormat=P","Fill=—","Direction=H","UseDPDF=Y")</f>
        <v>#NAME?</v>
      </c>
      <c r="BP173" s="2" t="e">
        <f ca="1">_xll.BDH($C$153,"MODIFIED_WORKING_CPTL_SEQ_GRWTH","FY 2018","FY 2018","Currency=INR","Period=FY","BEST_FPERIOD_OVERRIDE=FY","FILING_STATUS=OR","EQY_CONSOLIDATED=Y","Sort=A","Dates=H","DateFormat=P","Fill=—","Direction=H","UseDPDF=Y")</f>
        <v>#NAME?</v>
      </c>
      <c r="BQ173" s="2" t="e">
        <f ca="1">_xll.BDH($C$153,"WORKING_CAPITAL_SEQ_GROWTH","FY 2018","FY 2018","Currency=INR","Period=FY","BEST_FPERIOD_OVERRIDE=FY","FILING_STATUS=OR","EQY_CONSOLIDATED=Y","Sort=A","Dates=H","DateFormat=P","Fill=—","Direction=H","UseDPDF=Y")</f>
        <v>#NAME?</v>
      </c>
      <c r="BR173" s="2" t="e">
        <f ca="1">_xll.BDH($C$153,"ACCOUNTS_PAYABLE_SEQ_GROWTH","FY 2018","FY 2018","Currency=INR","Period=FY","BEST_FPERIOD_OVERRIDE=FY","FILING_STATUS=OR","EQY_CONSOLIDATED=Y","Sort=A","Dates=H","DateFormat=P","Fill=—","Direction=H","UseDPDF=Y")</f>
        <v>#NAME?</v>
      </c>
      <c r="BS173" s="2" t="e">
        <f ca="1">_xll.BDH($C$153,"ST_DEBT_SEQUENTIAL_GROWTH","FY 2018","FY 2018","Currency=INR","Period=FY","BEST_FPERIOD_OVERRIDE=FY","FILING_STATUS=OR","EQY_CONSOLIDATED=Y","Sort=A","Dates=H","DateFormat=P","Fill=—","Direction=H","UseDPDF=Y")</f>
        <v>#NAME?</v>
      </c>
      <c r="BT173" s="2" t="e">
        <f ca="1">_xll.BDH($C$153,"TOTAL_DEBT_SEQUENTIAL_GROWTH","FY 2018","FY 2018","Currency=INR","Period=FY","BEST_FPERIOD_OVERRIDE=FY","FILING_STATUS=OR","EQY_CONSOLIDATED=Y","Sort=A","Dates=H","DateFormat=P","Fill=—","Direction=H","UseDPDF=Y")</f>
        <v>#NAME?</v>
      </c>
      <c r="BU173" s="2" t="e">
        <f ca="1">_xll.BDH($C$153,"TOTAL_EQUITY_SEQUENTIAL_GROWTH","FY 2018","FY 2018","Currency=INR","Period=FY","BEST_FPERIOD_OVERRIDE=FY","FILING_STATUS=OR","EQY_CONSOLIDATED=Y","Sort=A","Dates=H","DateFormat=P","Fill=—","Direction=H","UseDPDF=Y")</f>
        <v>#NAME?</v>
      </c>
      <c r="BV173" s="2" t="e">
        <f ca="1">_xll.BDH($C$153,"TOTAL_CAPITAL_SEQUENTIAL_GROWTH","FY 2018","FY 2018","Currency=INR","Period=FY","BEST_FPERIOD_OVERRIDE=FY","FILING_STATUS=OR","EQY_CONSOLIDATED=Y","Sort=A","Dates=H","DateFormat=P","Fill=—","Direction=H","UseDPDF=Y")</f>
        <v>#NAME?</v>
      </c>
      <c r="BW173" s="2" t="e">
        <f ca="1">_xll.BDH($C$153,"BPS_SEQUENTIAL_GROWTH","FY 2018","FY 2018","Currency=INR","Period=FY","BEST_FPERIOD_OVERRIDE=FY","FILING_STATUS=OR","EQY_CONSOLIDATED=Y","Sort=A","Dates=H","DateFormat=P","Fill=—","Direction=H","UseDPDF=Y")</f>
        <v>#NAME?</v>
      </c>
      <c r="BX173" s="2" t="e">
        <f ca="1">_xll.BDH($C$153,"CFO_SEQUENTIAL_GROWTH","FY 2018","FY 2018","Currency=INR","Period=FY","BEST_FPERIOD_OVERRIDE=FY","FILING_STATUS=OR","EQY_CONSOLIDATED=Y","Sort=A","Dates=H","DateFormat=P","Fill=—","Direction=H","UseDPDF=Y")</f>
        <v>#NAME?</v>
      </c>
      <c r="BY173" s="3" t="e">
        <f ca="1">_xll.BDH($C$153,"SHORT_AND_LONG_TERM_DEBT","FY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173" s="3" t="e">
        <f ca="1">_xll.BDH($C$153,"BS_ST_BORROW","FY 2018","FY 2018","Currency=INR","Period=FY","BEST_FPERIOD_OVERRIDE=FY","FILING_STATUS=OR","EQY_CONSOLIDATED=Y","SCALING_FORMAT=MLN","Sort=A","Dates=H","DateFormat=P","Fill=—","Direction=H","UseDPDF=Y")</f>
        <v>#NAME?</v>
      </c>
      <c r="CA173" s="3" t="e">
        <f ca="1">_xll.BDH($C$153,"BS_LT_BORROW","FY 2018","FY 2018","Currency=INR","Period=FY","BEST_FPERIOD_OVERRIDE=FY","FILING_STATUS=OR","EQY_CONSOLIDATED=Y","SCALING_FORMAT=MLN","Sort=A","Dates=H","DateFormat=P","Fill=—","Direction=H","UseDPDF=Y")</f>
        <v>#NAME?</v>
      </c>
      <c r="CB173" s="2" t="e">
        <f ca="1">_xll.BDH($C$153,"TOT_DEBT_TO_EBITDA","FY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173" s="2" t="e">
        <f ca="1">_xll.BDH($C$153,"NET_DEBT_TO_EBITDA","FY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173" s="2" t="e">
        <f ca="1">_xll.BDH($C$153,"TOTAL_DEBT_TO_EBIT","FY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173" s="2" t="e">
        <f ca="1">_xll.BDH($C$153,"NET_DEBT_TO_EBIT","FY 2018","FY 2018","Currency=INR","Period=FY","BEST_FPERIOD_OVERRIDE=FY","FILING_STATUS=OR","EQY_CONSOLIDATED=Y","FA_ADJUSTED=GAAP","Sort=A","Dates=H","DateFormat=P","Fill=—","Direction=H","UseDPDF=Y")</f>
        <v>#NAME?</v>
      </c>
      <c r="CF173" s="2" t="e">
        <f ca="1">_xll.BDH($C$153,"EBITDA_TO_INTEREST_EXPN","FY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173" s="2" t="e">
        <f ca="1">_xll.BDH($C$153,"COM_EQY_TO_TOT_ASSET","FY 2018","FY 2018","Currency=INR","Period=FY","BEST_FPERIOD_OVERRIDE=FY","FILING_STATUS=OR","EQY_CONSOLIDATED=Y","Sort=A","Dates=H","DateFormat=P","Fill=—","Direction=H","UseDPDF=Y")</f>
        <v>#NAME?</v>
      </c>
      <c r="CH173" s="2" t="e">
        <f ca="1">_xll.BDH($C$153,"LT_DEBT_TO_TOT_EQY","FY 2018","FY 2018","Currency=INR","Period=FY","BEST_FPERIOD_OVERRIDE=FY","FILING_STATUS=OR","EQY_CONSOLIDATED=Y","Sort=A","Dates=H","DateFormat=P","Fill=—","Direction=H","UseDPDF=Y")</f>
        <v>#NAME?</v>
      </c>
      <c r="CI173" s="2" t="e">
        <f ca="1">_xll.BDH($C$153,"LT_DEBT_TO_TOT_CAP","FY 2018","FY 2018","Currency=INR","Period=FY","BEST_FPERIOD_OVERRIDE=FY","FILING_STATUS=OR","EQY_CONSOLIDATED=Y","Sort=A","Dates=H","DateFormat=P","Fill=—","Direction=H","UseDPDF=Y")</f>
        <v>#NAME?</v>
      </c>
      <c r="CJ173" s="2" t="e">
        <f ca="1">_xll.BDH($C$153,"LT_DEBT_TO_TOT_ASSET","FY 2018","FY 2018","Currency=INR","Period=FY","BEST_FPERIOD_OVERRIDE=FY","FILING_STATUS=OR","EQY_CONSOLIDATED=Y","Sort=A","Dates=H","DateFormat=P","Fill=—","Direction=H","UseDPDF=Y")</f>
        <v>#NAME?</v>
      </c>
      <c r="CK173" s="2" t="e">
        <f ca="1">_xll.BDH($C$153,"TOT_DEBT_TO_TOT_EQY","FY 2018","FY 2018","Currency=INR","Period=FY","BEST_FPERIOD_OVERRIDE=FY","FILING_STATUS=OR","EQY_CONSOLIDATED=Y","Sort=A","Dates=H","DateFormat=P","Fill=—","Direction=H","UseDPDF=Y")</f>
        <v>#NAME?</v>
      </c>
      <c r="CL173" s="2" t="e">
        <f ca="1">_xll.BDH($C$153,"TOT_DEBT_TO_TOT_CAP","FY 2018","FY 2018","Currency=INR","Period=FY","BEST_FPERIOD_OVERRIDE=FY","FILING_STATUS=OR","EQY_CONSOLIDATED=Y","Sort=A","Dates=H","DateFormat=P","Fill=—","Direction=H","UseDPDF=Y")</f>
        <v>#NAME?</v>
      </c>
      <c r="CM173" s="2" t="e">
        <f ca="1">_xll.BDH($C$153,"TOT_DEBT_TO_TOT_ASSET","FY 2018","FY 2018","Currency=INR","Period=FY","BEST_FPERIOD_OVERRIDE=FY","FILING_STATUS=OR","EQY_CONSOLIDATED=Y","Sort=A","Dates=H","DateFormat=P","Fill=—","Direction=H","UseDPDF=Y")</f>
        <v>#NAME?</v>
      </c>
      <c r="CN173" s="2" t="e">
        <f ca="1">_xll.BDH($C$153,"NET_DEBT_TO_SHRHLDR_EQTY","FY 2018","FY 2018","Currency=INR","Period=FY","BEST_FPERIOD_OVERRIDE=FY","FILING_STATUS=OR","EQY_CONSOLIDATED=Y","Sort=A","Dates=H","DateFormat=P","Fill=—","Direction=H","UseDPDF=Y")</f>
        <v>#NAME?</v>
      </c>
      <c r="CO173" s="2" t="e">
        <f ca="1">_xll.BDH($C$153,"NET_DEBT_%_CAPITAL","FY 2018","FY 2018","Currency=INR","Period=FY","BEST_FPERIOD_OVERRIDE=FY","FILING_STATUS=OR","EQY_CONSOLIDATED=Y","Sort=A","Dates=H","DateFormat=P","Fill=—","Direction=H","UseDPDF=Y")</f>
        <v>#NAME?</v>
      </c>
      <c r="CP173" s="3" t="e">
        <f ca="1">_xll.BDH($C$153,"EBITDA","FY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173" s="3" t="e">
        <f ca="1">_xll.BDH($C$153,"EBITDA_AFTER_CAPEX","FY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173" s="3" t="e">
        <f ca="1">_xll.BDH($C$153,"IS_OPER_INC","FY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173" s="2" t="e">
        <f ca="1">_xll.BDH($C$153,"CASH_RATIO","FY 2018","FY 2018","Currency=INR","Period=FY","BEST_FPERIOD_OVERRIDE=FY","FILING_STATUS=OR","EQY_CONSOLIDATED=Y","Sort=A","Dates=H","DateFormat=P","Fill=—","Direction=H","UseDPDF=Y")</f>
        <v>#NAME?</v>
      </c>
      <c r="CT173" s="2" t="e">
        <f ca="1">_xll.BDH($C$153,"CUR_RATIO","FY 2018","FY 2018","Currency=INR","Period=FY","BEST_FPERIOD_OVERRIDE=FY","FILING_STATUS=OR","EQY_CONSOLIDATED=Y","Sort=A","Dates=H","DateFormat=P","Fill=—","Direction=H","UseDPDF=Y")</f>
        <v>#NAME?</v>
      </c>
      <c r="CU173" s="2" t="e">
        <f ca="1">_xll.BDH($C$153,"QUICK_RATIO","FY 2018","FY 2018","Currency=INR","Period=FY","BEST_FPERIOD_OVERRIDE=FY","FILING_STATUS=OR","EQY_CONSOLIDATED=Y","Sort=A","Dates=H","DateFormat=P","Fill=—","Direction=H","UseDPDF=Y")</f>
        <v>#NAME?</v>
      </c>
      <c r="CV173" s="2" t="e">
        <f ca="1">_xll.BDH($C$153,"ALTMAN_Z_SCORE","FY 2018","FY 2018","Currency=INR","Period=FY","BEST_FPERIOD_OVERRIDE=FY","FILING_STATUS=OR","EQY_CONSOLIDATED=Y","Sort=A","Dates=H","DateFormat=P","Fill=—","Direction=H","UseDPDF=Y")</f>
        <v>#NAME?</v>
      </c>
      <c r="CW173" s="4" t="e">
        <f ca="1">_xll.BDH($C$153,"ACCT_RCV_TURN","FY 2018","FY 2018","Currency=INR","Period=FY","BEST_FPERIOD_OVERRIDE=FY","FILING_STATUS=OR","EQY_CONSOLIDATED=Y","FA_ADJUSTED=GAAP","Sort=A","Dates=H","DateFormat=P","Fill=—","Direction=H","UseDPDF=Y")</f>
        <v>#NAME?</v>
      </c>
      <c r="CX173" s="2" t="e">
        <f ca="1">_xll.BDH($C$153,"ACCT_RCV_DAYS","FY 2018","FY 2018","Currency=INR","Period=FY","BEST_FPERIOD_OVERRIDE=FY","FILING_STATUS=OR","EQY_CONSOLIDATED=Y","FA_ADJUSTED=GAAP","Sort=A","Dates=H","DateFormat=P","Fill=—","Direction=H","UseDPDF=Y")</f>
        <v>#NAME?</v>
      </c>
      <c r="CY173" s="4" t="e">
        <f ca="1">_xll.BDH($C$153,"INVENT_TURN","FY 2018","FY 2018","Currency=INR","Period=FY","BEST_FPERIOD_OVERRIDE=FY","FILING_STATUS=OR","EQY_CONSOLIDATED=Y","FA_ADJUSTED=GAAP","Sort=A","Dates=H","DateFormat=P","Fill=—","Direction=H","UseDPDF=Y")</f>
        <v>#NAME?</v>
      </c>
      <c r="CZ173" s="2" t="e">
        <f ca="1">_xll.BDH($C$153,"INVENT_DAYS","FY 2018","FY 2018","Currency=INR","Period=FY","BEST_FPERIOD_OVERRIDE=FY","FILING_STATUS=OR","EQY_CONSOLIDATED=Y","FA_ADJUSTED=GAAP","Sort=A","Dates=H","DateFormat=P","Fill=—","Direction=H","UseDPDF=Y")</f>
        <v>#NAME?</v>
      </c>
      <c r="DA173" s="4" t="e">
        <f ca="1">_xll.BDH($C$153,"ACCOUNTS_PAYABLE_TURNOVER","FY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173" s="2" t="e">
        <f ca="1">_xll.BDH($C$153,"ACCOUNTS_PAYABLE_TURNOVER_DAYS","FY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173" s="4" t="e">
        <f ca="1">_xll.BDH($C$153,"CASH_CONVERSION_CYCLE","FY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173" s="4" t="e">
        <f ca="1">_xll.BDH($C$153,"INV_TO_CASH_DAYS","FY 2018","FY 2018","Currency=INR","Period=FY","BEST_FPERIOD_OVERRIDE=FY","FILING_STATUS=OR","EQY_CONSOLIDATED=Y","FA_ADJUSTED=GAAP","Sort=A","Dates=H","DateFormat=P","Fill=—","Direction=H","UseDPDF=Y")</f>
        <v>#NAME?</v>
      </c>
      <c r="DE173" s="5" t="e">
        <f ca="1">_xll.BDH($C$153,"BS_INVENTORIES","FY 2018","FY 2018","Currency=INR","Period=FY","BEST_FPERIOD_OVERRIDE=FY","FILING_STATUS=OR","EQY_CONSOLIDATED=Y","SCALING_FORMAT=MLN","Sort=A","Dates=H","DateFormat=P","Fill=—","Direction=H","UseDPDF=Y")</f>
        <v>#NAME?</v>
      </c>
      <c r="DF173" s="3" t="e">
        <f ca="1">_xll.BDH($C$153,"INVTRY_RAW_MATERIALS","FY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173" s="3" t="e">
        <f ca="1">_xll.BDH($C$153,"INVTRY_IN_PROGRESS","FY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173" s="3" t="e">
        <f ca="1">_xll.BDH($C$153,"INVTRY_FINISHED_GOODS","FY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173" s="3" t="e">
        <f ca="1">_xll.BDH($C$153,"BS_OTHER_INV","FY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174" spans="1:113" x14ac:dyDescent="0.3">
      <c r="A174" s="6"/>
      <c r="B174" s="6"/>
      <c r="C174" s="6"/>
      <c r="D174" s="6"/>
      <c r="E174" t="s">
        <v>78</v>
      </c>
      <c r="F174" t="e">
        <f ca="1">_xll.BDH($C$153,"RETURN_COM_EQY","FQ1 2018","FQ1 2018","Currency=INR","Period=FQ","BEST_FPERIOD_OVERRIDE=FQ","FILING_STATUS=OR","EQY_CONSOLIDATED=Y","FA_ADJUSTED=GAAP","Sort=A","Dates=H","DateFormat=P","Fill=—","Direction=H","UseDPDF=Y")</f>
        <v>#NAME?</v>
      </c>
      <c r="G174" t="e">
        <f ca="1">_xll.BDH($C$153,"RETURN_ON_ASSET","FQ1 2018","FQ1 2018","Currency=INR","Period=FQ","BEST_FPERIOD_OVERRIDE=FQ","FILING_STATUS=OR","EQY_CONSOLIDATED=Y","FA_ADJUSTED=GAAP","Sort=A","Dates=H","DateFormat=P","Fill=—","Direction=H","UseDPDF=Y")</f>
        <v>#NAME?</v>
      </c>
      <c r="H174" t="e">
        <f ca="1">_xll.BDH($C$153,"RETURN_ON_CAP","FQ1 2018","FQ1 2018","Currency=INR","Period=FQ","BEST_FPERIOD_OVERRIDE=FQ","FILING_STATUS=OR","EQY_CONSOLIDATED=Y","FA_ADJUSTED=GAAP","Sort=A","Dates=H","DateFormat=P","Fill=—","Direction=H","UseDPDF=Y")</f>
        <v>#NAME?</v>
      </c>
      <c r="I174" t="e">
        <f ca="1">_xll.BDH($C$153,"RETURN_ON_INV_CAPITAL","FQ1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174" t="e">
        <f ca="1">_xll.BDH($C$153,"EBITDA_TO_REVENUE","FQ1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174" t="e">
        <f ca="1">_xll.BDH($C$153,"OPER_MARGIN","FQ1 2018","FQ1 2018","Currency=INR","Period=FQ","BEST_FPERIOD_OVERRIDE=FQ","FILING_STATUS=OR","EQY_CONSOLIDATED=Y","FA_ADJUSTED=GAAP","Sort=A","Dates=H","DateFormat=P","Fill=—","Direction=H","UseDPDF=Y")</f>
        <v>#NAME?</v>
      </c>
      <c r="L174" t="e">
        <f ca="1">_xll.BDH($C$153,"INCREMENTAL_OPERATING_MARGIN","FQ1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174" t="e">
        <f ca="1">_xll.BDH($C$153,"PRETAX_INC_TO_NET_SALES","FQ1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174" t="e">
        <f ca="1">_xll.BDH($C$153,"INC_BEF_XO_ITEMS_TO_NET_SALES","FQ1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174" t="e">
        <f ca="1">_xll.BDH($C$153,"PROF_MARGIN","FQ1 2018","FQ1 2018","Currency=INR","Period=FQ","BEST_FPERIOD_OVERRIDE=FQ","FILING_STATUS=OR","EQY_CONSOLIDATED=Y","FA_ADJUSTED=GAAP","Sort=A","Dates=H","DateFormat=P","Fill=—","Direction=H","UseDPDF=Y")</f>
        <v>#NAME?</v>
      </c>
      <c r="P174" t="e">
        <f ca="1">_xll.BDH($C$153,"NET_INCOME_TO_COMMON_MARGIN","FQ1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174" t="e">
        <f ca="1">_xll.BDH($C$153,"EFF_TAX_RATE","FQ1 2018","FQ1 2018","Currency=INR","Period=FQ","BEST_FPERIOD_OVERRIDE=FQ","FILING_STATUS=OR","EQY_CONSOLIDATED=Y","FA_ADJUSTED=GAAP","Sort=A","Dates=H","DateFormat=P","Fill=—","Direction=H","UseDPDF=Y")</f>
        <v>#NAME?</v>
      </c>
      <c r="R174" t="e">
        <f ca="1">_xll.BDH($C$153,"DVD_PAYOUT_RATIO","FQ1 2018","FQ1 2018","Currency=INR","Period=FQ","BEST_FPERIOD_OVERRIDE=FQ","FILING_STATUS=OR","EQY_CONSOLIDATED=Y","FA_ADJUSTED=GAAP","Sort=A","Dates=H","DateFormat=P","Fill=—","Direction=H","UseDPDF=Y")</f>
        <v>#NAME?</v>
      </c>
      <c r="S174" t="e">
        <f ca="1">_xll.BDH($C$153,"SUSTAIN_GROWTH_RT","FQ1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174" s="2" t="e">
        <f ca="1">_xll.BDH($C$153,"SALES_GROWTH","FQ1 2018","FQ1 2018","Currency=INR","Period=FQ","BEST_FPERIOD_OVERRIDE=FQ","FILING_STATUS=OR","EQY_CONSOLIDATED=Y","FA_ADJUSTED=GAAP","Sort=A","Dates=H","DateFormat=P","Fill=—","Direction=H","UseDPDF=Y")</f>
        <v>#NAME?</v>
      </c>
      <c r="U174" s="2" t="e">
        <f ca="1">_xll.BDH($C$153,"EBITDA_GROWTH","FQ1 2018","FQ1 2018","Currency=INR","Period=FQ","BEST_FPERIOD_OVERRIDE=FQ","FILING_STATUS=OR","EQY_CONSOLIDATED=Y","FA_ADJUSTED=GAAP","Sort=A","Dates=H","DateFormat=P","Fill=—","Direction=H","UseDPDF=Y")</f>
        <v>#NAME?</v>
      </c>
      <c r="V174" s="2" t="e">
        <f ca="1">_xll.BDH($C$153,"OPER_INC_GROWTH","FQ1 2018","FQ1 2018","Currency=INR","Period=FQ","BEST_FPERIOD_OVERRIDE=FQ","FILING_STATUS=OR","EQY_CONSOLIDATED=Y","FA_ADJUSTED=GAAP","Sort=A","Dates=H","DateFormat=P","Fill=—","Direction=H","UseDPDF=Y")</f>
        <v>#NAME?</v>
      </c>
      <c r="W174" s="2" t="e">
        <f ca="1">_xll.BDH($C$153,"EARN_FOR_COM_GROWTH","FQ1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174" s="2" t="e">
        <f ca="1">_xll.BDH($C$153,"DILUTED_EPS_AFT_XO_ITEMS_GROWTH","FQ1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174" s="2" t="e">
        <f ca="1">_xll.BDH($C$153,"DIVIDEND_PER_SHARE_1_YEAR_GROWTH","FQ1 2018","FQ1 2018","Currency=INR","Period=FQ","BEST_FPERIOD_OVERRIDE=FQ","FILING_STATUS=OR","EQY_CONSOLIDATED=Y","Sort=A","Dates=H","DateFormat=P","Fill=—","Direction=H","UseDPDF=Y")</f>
        <v>#NAME?</v>
      </c>
      <c r="Z174" s="2" t="e">
        <f ca="1">_xll.BDH($C$153,"ACCOUNTS_RECEIVABLE_GROWTH","FQ1 2018","FQ1 2018","Currency=INR","Period=FQ","BEST_FPERIOD_OVERRIDE=FQ","FILING_STATUS=OR","EQY_CONSOLIDATED=Y","Sort=A","Dates=H","DateFormat=P","Fill=—","Direction=H","UseDPDF=Y")</f>
        <v>#NAME?</v>
      </c>
      <c r="AA174" s="2" t="e">
        <f ca="1">_xll.BDH($C$153,"INVENTORY_GROWTH","FQ1 2018","FQ1 2018","Currency=INR","Period=FQ","BEST_FPERIOD_OVERRIDE=FQ","FILING_STATUS=OR","EQY_CONSOLIDATED=Y","Sort=A","Dates=H","DateFormat=P","Fill=—","Direction=H","UseDPDF=Y")</f>
        <v>#NAME?</v>
      </c>
      <c r="AB174" s="2" t="e">
        <f ca="1">_xll.BDH($C$153,"NET_FIXED_ASSETS_1_YEAR_GROWTH","FQ1 2018","FQ1 2018","Currency=INR","Period=FQ","BEST_FPERIOD_OVERRIDE=FQ","FILING_STATUS=OR","EQY_CONSOLIDATED=Y","Sort=A","Dates=H","DateFormat=P","Fill=—","Direction=H","UseDPDF=Y")</f>
        <v>#NAME?</v>
      </c>
      <c r="AC174" s="2" t="e">
        <f ca="1">_xll.BDH($C$153,"ASSET_GROWTH","FQ1 2018","FQ1 2018","Currency=INR","Period=FQ","BEST_FPERIOD_OVERRIDE=FQ","FILING_STATUS=OR","EQY_CONSOLIDATED=Y","Sort=A","Dates=H","DateFormat=P","Fill=—","Direction=H","UseDPDF=Y")</f>
        <v>#NAME?</v>
      </c>
      <c r="AD174" s="2" t="e">
        <f ca="1">_xll.BDH($C$153,"MODIFIED_WORK_CAP_GROWTH","FQ1 2018","FQ1 2018","Currency=INR","Period=FQ","BEST_FPERIOD_OVERRIDE=FQ","FILING_STATUS=OR","EQY_CONSOLIDATED=Y","Sort=A","Dates=H","DateFormat=P","Fill=—","Direction=H","UseDPDF=Y")</f>
        <v>#NAME?</v>
      </c>
      <c r="AE174" s="2" t="e">
        <f ca="1">_xll.BDH($C$153,"WORK_CAP_GROWTH","FQ1 2018","FQ1 2018","Currency=INR","Period=FQ","BEST_FPERIOD_OVERRIDE=FQ","FILING_STATUS=OR","EQY_CONSOLIDATED=Y","Sort=A","Dates=H","DateFormat=P","Fill=—","Direction=H","UseDPDF=Y")</f>
        <v>#NAME?</v>
      </c>
      <c r="AF174" s="2" t="e">
        <f ca="1">_xll.BDH($C$153,"ACCOUNTS_PAYABLE_GROWTH_1YR","FQ1 2018","FQ1 2018","Currency=INR","Period=FQ","BEST_FPERIOD_OVERRIDE=FQ","FILING_STATUS=OR","EQY_CONSOLIDATED=Y","Sort=A","Dates=H","DateFormat=P","Fill=—","Direction=H","UseDPDF=Y")</f>
        <v>#NAME?</v>
      </c>
      <c r="AG174" s="2" t="e">
        <f ca="1">_xll.BDH($C$153,"SHORT_TERM_DEBT_1_YEAR_GROWTH","FQ1 2018","FQ1 2018","Currency=INR","Period=FQ","BEST_FPERIOD_OVERRIDE=FQ","FILING_STATUS=OR","EQY_CONSOLIDATED=Y","Sort=A","Dates=H","DateFormat=P","Fill=—","Direction=H","UseDPDF=Y")</f>
        <v>#NAME?</v>
      </c>
      <c r="AH174" s="2" t="e">
        <f ca="1">_xll.BDH($C$153,"TOTAL_DEBT_1_YEAR_GROWTH","FQ1 2018","FQ1 2018","Currency=INR","Period=FQ","BEST_FPERIOD_OVERRIDE=FQ","FILING_STATUS=OR","EQY_CONSOLIDATED=Y","Sort=A","Dates=H","DateFormat=P","Fill=—","Direction=H","UseDPDF=Y")</f>
        <v>#NAME?</v>
      </c>
      <c r="AI174" s="2" t="e">
        <f ca="1">_xll.BDH($C$153,"TOTAL_EQUITY_1_YEAR_GROWTH","FQ1 2018","FQ1 2018","Currency=INR","Period=FQ","BEST_FPERIOD_OVERRIDE=FQ","FILING_STATUS=OR","EQY_CONSOLIDATED=Y","Sort=A","Dates=H","DateFormat=P","Fill=—","Direction=H","UseDPDF=Y")</f>
        <v>#NAME?</v>
      </c>
      <c r="AJ174" s="2" t="e">
        <f ca="1">_xll.BDH($C$153,"GROWTH_IN_CAP","FQ1 2018","FQ1 2018","Currency=INR","Period=FQ","BEST_FPERIOD_OVERRIDE=FQ","FILING_STATUS=OR","EQY_CONSOLIDATED=Y","Sort=A","Dates=H","DateFormat=P","Fill=—","Direction=H","UseDPDF=Y")</f>
        <v>#NAME?</v>
      </c>
      <c r="AK174" s="2" t="e">
        <f ca="1">_xll.BDH($C$153,"BVPS_GROWTH","FQ1 2018","FQ1 2018","Currency=INR","Period=FQ","BEST_FPERIOD_OVERRIDE=FQ","FILING_STATUS=OR","EQY_CONSOLIDATED=Y","Sort=A","Dates=H","DateFormat=P","Fill=—","Direction=H","UseDPDF=Y")</f>
        <v>#NAME?</v>
      </c>
      <c r="AL174" s="2" t="e">
        <f ca="1">_xll.BDH($C$153,"CASH_FLOW_GROWTH","FQ1 2018","FQ1 2018","Currency=INR","Period=FQ","BEST_FPERIOD_OVERRIDE=FQ","FILING_STATUS=OR","EQY_CONSOLIDATED=Y","Sort=A","Dates=H","DateFormat=P","Fill=—","Direction=H","UseDPDF=Y")</f>
        <v>#NAME?</v>
      </c>
      <c r="AM174" s="2" t="e">
        <f ca="1">_xll.BDH($C$153,"GEO_GROW_NET_SALES","FQ1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174" s="2" t="e">
        <f ca="1">_xll.BDH($C$153,"GEO_GROW_EBITDA","FQ1 2018","FQ1 2018","Currency=INR","Period=FQ","BEST_FPERIOD_OVERRIDE=FQ","FILING_STATUS=OR","EQY_CONSOLIDATED=Y","FA_ADJUSTED=GAAP","Sort=A","Dates=H","DateFormat=P","Fill=—","Direction=H","UseDPDF=Y")</f>
        <v>#NAME?</v>
      </c>
      <c r="AO174" s="2" t="e">
        <f ca="1">_xll.BDH($C$153,"GEO_GROW_OPER_INC","FQ1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174" s="2" t="e">
        <f ca="1">_xll.BDH($C$153,"NET_INCOME_TO_COMMON_5_YR_GROWTH","FQ1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174" s="2" t="e">
        <f ca="1">_xll.BDH($C$153,"5Y_GEO_GROWTH_DILUTED_EPS","FQ1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174" s="2" t="e">
        <f ca="1">_xll.BDH($C$153,"GEO_GROW_DVD_PER_SH","FQ1 2018","FQ1 2018","Currency=INR","Period=FQ","BEST_FPERIOD_OVERRIDE=FQ","FILING_STATUS=OR","EQY_CONSOLIDATED=Y","Sort=A","Dates=H","DateFormat=P","Fill=—","Direction=H","UseDPDF=Y")</f>
        <v>#NAME?</v>
      </c>
      <c r="AS174" s="2" t="e">
        <f ca="1">_xll.BDH($C$153,"ACCOUNTS_RECEIVABLE_5_YR_GROWTH","FQ1 2018","FQ1 2018","Currency=INR","Period=FQ","BEST_FPERIOD_OVERRIDE=FQ","FILING_STATUS=OR","EQY_CONSOLIDATED=Y","Sort=A","Dates=H","DateFormat=P","Fill=—","Direction=H","UseDPDF=Y")</f>
        <v>#NAME?</v>
      </c>
      <c r="AT174" s="2" t="e">
        <f ca="1">_xll.BDH($C$153,"INVENTORY_5_YEAR_GROWTH","FQ1 2018","FQ1 2018","Currency=INR","Period=FQ","BEST_FPERIOD_OVERRIDE=FQ","FILING_STATUS=OR","EQY_CONSOLIDATED=Y","Sort=A","Dates=H","DateFormat=P","Fill=—","Direction=H","UseDPDF=Y")</f>
        <v>#NAME?</v>
      </c>
      <c r="AU174" s="2" t="e">
        <f ca="1">_xll.BDH($C$153,"NET_FIXED_ASSETS_5_YEAR_GROWTH","FQ1 2018","FQ1 2018","Currency=INR","Period=FQ","BEST_FPERIOD_OVERRIDE=FQ","FILING_STATUS=OR","EQY_CONSOLIDATED=Y","Sort=A","Dates=H","DateFormat=P","Fill=—","Direction=H","UseDPDF=Y")</f>
        <v>#NAME?</v>
      </c>
      <c r="AV174" s="2" t="e">
        <f ca="1">_xll.BDH($C$153,"GEO_GROW_TOT_ASSET","FQ1 2018","FQ1 2018","Currency=INR","Period=FQ","BEST_FPERIOD_OVERRIDE=FQ","FILING_STATUS=OR","EQY_CONSOLIDATED=Y","Sort=A","Dates=H","DateFormat=P","Fill=—","Direction=H","UseDPDF=Y")</f>
        <v>#NAME?</v>
      </c>
      <c r="AW174" s="2" t="e">
        <f ca="1">_xll.BDH($C$153,"MODIFIED_WORKING_CPTL_5YR_GRWTH","FQ1 2018","FQ1 2018","Currency=INR","Period=FQ","BEST_FPERIOD_OVERRIDE=FQ","FILING_STATUS=OR","EQY_CONSOLIDATED=Y","Sort=A","Dates=H","DateFormat=P","Fill=—","Direction=H","UseDPDF=Y")</f>
        <v>#NAME?</v>
      </c>
      <c r="AX174" s="2" t="e">
        <f ca="1">_xll.BDH($C$153,"WORKING_CAPITAL_5_YEAR_GROWTH","FQ1 2018","FQ1 2018","Currency=INR","Period=FQ","BEST_FPERIOD_OVERRIDE=FQ","FILING_STATUS=OR","EQY_CONSOLIDATED=Y","Sort=A","Dates=H","DateFormat=P","Fill=—","Direction=H","UseDPDF=Y")</f>
        <v>#NAME?</v>
      </c>
      <c r="AY174" s="2" t="e">
        <f ca="1">_xll.BDH($C$153,"ACCOUNTS_PAYABLE_5_YEAR_GROWTH","FQ1 2018","FQ1 2018","Currency=INR","Period=FQ","BEST_FPERIOD_OVERRIDE=FQ","FILING_STATUS=OR","EQY_CONSOLIDATED=Y","Sort=A","Dates=H","DateFormat=P","Fill=—","Direction=H","UseDPDF=Y")</f>
        <v>#NAME?</v>
      </c>
      <c r="AZ174" s="2" t="e">
        <f ca="1">_xll.BDH($C$153,"SHORT_TERM_DEBT_5_YEAR_GROWTH","FQ1 2018","FQ1 2018","Currency=INR","Period=FQ","BEST_FPERIOD_OVERRIDE=FQ","FILING_STATUS=OR","EQY_CONSOLIDATED=Y","Sort=A","Dates=H","DateFormat=P","Fill=—","Direction=H","UseDPDF=Y")</f>
        <v>#NAME?</v>
      </c>
      <c r="BA174" s="2" t="e">
        <f ca="1">_xll.BDH($C$153,"TOTAL_DEBT_5_YEAR_GROWTH","FQ1 2018","FQ1 2018","Currency=INR","Period=FQ","BEST_FPERIOD_OVERRIDE=FQ","FILING_STATUS=OR","EQY_CONSOLIDATED=Y","Sort=A","Dates=H","DateFormat=P","Fill=—","Direction=H","UseDPDF=Y")</f>
        <v>#NAME?</v>
      </c>
      <c r="BB174" s="2" t="e">
        <f ca="1">_xll.BDH($C$153,"GEO_GROW_TOT_SHRHLDR_EQY","FQ1 2018","FQ1 2018","Currency=INR","Period=FQ","BEST_FPERIOD_OVERRIDE=FQ","FILING_STATUS=OR","EQY_CONSOLIDATED=Y","Sort=A","Dates=H","DateFormat=P","Fill=—","Direction=H","UseDPDF=Y")</f>
        <v>#NAME?</v>
      </c>
      <c r="BC174" s="2" t="e">
        <f ca="1">_xll.BDH($C$153,"TOTAL_CAPITAL_5_YEAR_GROWTH","FQ1 2018","FQ1 2018","Currency=INR","Period=FQ","BEST_FPERIOD_OVERRIDE=FQ","FILING_STATUS=OR","EQY_CONSOLIDATED=Y","Sort=A","Dates=H","DateFormat=P","Fill=—","Direction=H","UseDPDF=Y")</f>
        <v>#NAME?</v>
      </c>
      <c r="BD174" s="2" t="e">
        <f ca="1">_xll.BDH($C$153,"GEO_GROW_BOOK_VAL","FQ1 2018","FQ1 2018","Currency=INR","Period=FQ","BEST_FPERIOD_OVERRIDE=FQ","FILING_STATUS=OR","EQY_CONSOLIDATED=Y","Sort=A","Dates=H","DateFormat=P","Fill=—","Direction=H","UseDPDF=Y")</f>
        <v>#NAME?</v>
      </c>
      <c r="BE174" s="2" t="e">
        <f ca="1">_xll.BDH($C$153,"GEO_GROW_CASH_OPER_ACT","FQ1 2018","FQ1 2018","Currency=INR","Period=FQ","BEST_FPERIOD_OVERRIDE=FQ","FILING_STATUS=OR","EQY_CONSOLIDATED=Y","Sort=A","Dates=H","DateFormat=P","Fill=—","Direction=H","UseDPDF=Y")</f>
        <v>#NAME?</v>
      </c>
      <c r="BF174" s="2" t="e">
        <f ca="1">_xll.BDH($C$153,"REVENUE_SEQUENTIAL_GROWTH","FQ1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174" s="2" t="e">
        <f ca="1">_xll.BDH($C$153,"EBITDA_SEQUENTIAL_GROWTH","FQ1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174" s="2" t="e">
        <f ca="1">_xll.BDH($C$153,"OPERATING_INCOME_SEQ_GROWTH","FQ1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174" s="2" t="e">
        <f ca="1">_xll.BDH($C$153,"NET_INCOME_TO_COMMON_SEQ_GROWTH","FQ1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174" s="2" t="e">
        <f ca="1">_xll.BDH($C$153,"EPS_DILUTED_SEQUENTIAL_GROWTH","FQ1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174" s="2" t="e">
        <f ca="1">_xll.BDH($C$153,"DPS_SEQUENTIAL_GROWTH","FQ1 2018","FQ1 2018","Currency=INR","Period=FQ","BEST_FPERIOD_OVERRIDE=FQ","FILING_STATUS=OR","EQY_CONSOLIDATED=Y","Sort=A","Dates=H","DateFormat=P","Fill=—","Direction=H","UseDPDF=Y")</f>
        <v>#NAME?</v>
      </c>
      <c r="BL174" s="2" t="e">
        <f ca="1">_xll.BDH($C$153,"ACCOUNTS_RECEIVABLE_SEQ_GROWTH","FQ1 2018","FQ1 2018","Currency=INR","Period=FQ","BEST_FPERIOD_OVERRIDE=FQ","FILING_STATUS=OR","EQY_CONSOLIDATED=Y","Sort=A","Dates=H","DateFormat=P","Fill=—","Direction=H","UseDPDF=Y")</f>
        <v>#NAME?</v>
      </c>
      <c r="BM174" s="2" t="e">
        <f ca="1">_xll.BDH($C$153,"INVENTORY_SEQUENTIAL_GROWTH","FQ1 2018","FQ1 2018","Currency=INR","Period=FQ","BEST_FPERIOD_OVERRIDE=FQ","FILING_STATUS=OR","EQY_CONSOLIDATED=Y","Sort=A","Dates=H","DateFormat=P","Fill=—","Direction=H","UseDPDF=Y")</f>
        <v>#NAME?</v>
      </c>
      <c r="BN174" s="2" t="e">
        <f ca="1">_xll.BDH($C$153,"FIXED_ASSETS_SEQUENTIAL_GROWTH","FQ1 2018","FQ1 2018","Currency=INR","Period=FQ","BEST_FPERIOD_OVERRIDE=FQ","FILING_STATUS=OR","EQY_CONSOLIDATED=Y","Sort=A","Dates=H","DateFormat=P","Fill=—","Direction=H","UseDPDF=Y")</f>
        <v>#NAME?</v>
      </c>
      <c r="BO174" s="2" t="e">
        <f ca="1">_xll.BDH($C$153,"TOTAL_ASSETS_SEQUENTIAL_GROWTH","FQ1 2018","FQ1 2018","Currency=INR","Period=FQ","BEST_FPERIOD_OVERRIDE=FQ","FILING_STATUS=OR","EQY_CONSOLIDATED=Y","Sort=A","Dates=H","DateFormat=P","Fill=—","Direction=H","UseDPDF=Y")</f>
        <v>#NAME?</v>
      </c>
      <c r="BP174" s="2" t="e">
        <f ca="1">_xll.BDH($C$153,"MODIFIED_WORKING_CPTL_SEQ_GRWTH","FQ1 2018","FQ1 2018","Currency=INR","Period=FQ","BEST_FPERIOD_OVERRIDE=FQ","FILING_STATUS=OR","EQY_CONSOLIDATED=Y","Sort=A","Dates=H","DateFormat=P","Fill=—","Direction=H","UseDPDF=Y")</f>
        <v>#NAME?</v>
      </c>
      <c r="BQ174" s="2" t="e">
        <f ca="1">_xll.BDH($C$153,"WORKING_CAPITAL_SEQ_GROWTH","FQ1 2018","FQ1 2018","Currency=INR","Period=FQ","BEST_FPERIOD_OVERRIDE=FQ","FILING_STATUS=OR","EQY_CONSOLIDATED=Y","Sort=A","Dates=H","DateFormat=P","Fill=—","Direction=H","UseDPDF=Y")</f>
        <v>#NAME?</v>
      </c>
      <c r="BR174" s="2" t="e">
        <f ca="1">_xll.BDH($C$153,"ACCOUNTS_PAYABLE_SEQ_GROWTH","FQ1 2018","FQ1 2018","Currency=INR","Period=FQ","BEST_FPERIOD_OVERRIDE=FQ","FILING_STATUS=OR","EQY_CONSOLIDATED=Y","Sort=A","Dates=H","DateFormat=P","Fill=—","Direction=H","UseDPDF=Y")</f>
        <v>#NAME?</v>
      </c>
      <c r="BS174" s="2" t="e">
        <f ca="1">_xll.BDH($C$153,"ST_DEBT_SEQUENTIAL_GROWTH","FQ1 2018","FQ1 2018","Currency=INR","Period=FQ","BEST_FPERIOD_OVERRIDE=FQ","FILING_STATUS=OR","EQY_CONSOLIDATED=Y","Sort=A","Dates=H","DateFormat=P","Fill=—","Direction=H","UseDPDF=Y")</f>
        <v>#NAME?</v>
      </c>
      <c r="BT174" s="2" t="e">
        <f ca="1">_xll.BDH($C$153,"TOTAL_DEBT_SEQUENTIAL_GROWTH","FQ1 2018","FQ1 2018","Currency=INR","Period=FQ","BEST_FPERIOD_OVERRIDE=FQ","FILING_STATUS=OR","EQY_CONSOLIDATED=Y","Sort=A","Dates=H","DateFormat=P","Fill=—","Direction=H","UseDPDF=Y")</f>
        <v>#NAME?</v>
      </c>
      <c r="BU174" s="2" t="e">
        <f ca="1">_xll.BDH($C$153,"TOTAL_EQUITY_SEQUENTIAL_GROWTH","FQ1 2018","FQ1 2018","Currency=INR","Period=FQ","BEST_FPERIOD_OVERRIDE=FQ","FILING_STATUS=OR","EQY_CONSOLIDATED=Y","Sort=A","Dates=H","DateFormat=P","Fill=—","Direction=H","UseDPDF=Y")</f>
        <v>#NAME?</v>
      </c>
      <c r="BV174" s="2" t="e">
        <f ca="1">_xll.BDH($C$153,"TOTAL_CAPITAL_SEQUENTIAL_GROWTH","FQ1 2018","FQ1 2018","Currency=INR","Period=FQ","BEST_FPERIOD_OVERRIDE=FQ","FILING_STATUS=OR","EQY_CONSOLIDATED=Y","Sort=A","Dates=H","DateFormat=P","Fill=—","Direction=H","UseDPDF=Y")</f>
        <v>#NAME?</v>
      </c>
      <c r="BW174" s="2" t="e">
        <f ca="1">_xll.BDH($C$153,"BPS_SEQUENTIAL_GROWTH","FQ1 2018","FQ1 2018","Currency=INR","Period=FQ","BEST_FPERIOD_OVERRIDE=FQ","FILING_STATUS=OR","EQY_CONSOLIDATED=Y","Sort=A","Dates=H","DateFormat=P","Fill=—","Direction=H","UseDPDF=Y")</f>
        <v>#NAME?</v>
      </c>
      <c r="BX174" s="2" t="e">
        <f ca="1">_xll.BDH($C$153,"CFO_SEQUENTIAL_GROWTH","FQ1 2018","FQ1 2018","Currency=INR","Period=FQ","BEST_FPERIOD_OVERRIDE=FQ","FILING_STATUS=OR","EQY_CONSOLIDATED=Y","Sort=A","Dates=H","DateFormat=P","Fill=—","Direction=H","UseDPDF=Y")</f>
        <v>#NAME?</v>
      </c>
      <c r="BY174" s="3" t="e">
        <f ca="1">_xll.BDH($C$153,"SHORT_AND_LONG_TERM_DEBT","FQ1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174" s="3" t="e">
        <f ca="1">_xll.BDH($C$153,"BS_ST_BORROW","FQ1 2018","FQ1 2018","Currency=INR","Period=FQ","BEST_FPERIOD_OVERRIDE=FQ","FILING_STATUS=OR","EQY_CONSOLIDATED=Y","SCALING_FORMAT=MLN","Sort=A","Dates=H","DateFormat=P","Fill=—","Direction=H","UseDPDF=Y")</f>
        <v>#NAME?</v>
      </c>
      <c r="CA174" s="3" t="e">
        <f ca="1">_xll.BDH($C$153,"BS_LT_BORROW","FQ1 2018","FQ1 2018","Currency=INR","Period=FQ","BEST_FPERIOD_OVERRIDE=FQ","FILING_STATUS=OR","EQY_CONSOLIDATED=Y","SCALING_FORMAT=MLN","Sort=A","Dates=H","DateFormat=P","Fill=—","Direction=H","UseDPDF=Y")</f>
        <v>#NAME?</v>
      </c>
      <c r="CB174" s="2" t="e">
        <f ca="1">_xll.BDH($C$153,"TOT_DEBT_TO_EBITDA","FQ1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174" s="2" t="e">
        <f ca="1">_xll.BDH($C$153,"NET_DEBT_TO_EBITDA","FQ1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174" s="2" t="e">
        <f ca="1">_xll.BDH($C$153,"TOTAL_DEBT_TO_EBIT","FQ1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174" s="2" t="e">
        <f ca="1">_xll.BDH($C$153,"NET_DEBT_TO_EBIT","FQ1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174" s="2" t="e">
        <f ca="1">_xll.BDH($C$153,"EBITDA_TO_INTEREST_EXPN","FQ1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174" s="2" t="e">
        <f ca="1">_xll.BDH($C$153,"COM_EQY_TO_TOT_ASSET","FQ1 2018","FQ1 2018","Currency=INR","Period=FQ","BEST_FPERIOD_OVERRIDE=FQ","FILING_STATUS=OR","EQY_CONSOLIDATED=Y","Sort=A","Dates=H","DateFormat=P","Fill=—","Direction=H","UseDPDF=Y")</f>
        <v>#NAME?</v>
      </c>
      <c r="CH174" s="2" t="e">
        <f ca="1">_xll.BDH($C$153,"LT_DEBT_TO_TOT_EQY","FQ1 2018","FQ1 2018","Currency=INR","Period=FQ","BEST_FPERIOD_OVERRIDE=FQ","FILING_STATUS=OR","EQY_CONSOLIDATED=Y","Sort=A","Dates=H","DateFormat=P","Fill=—","Direction=H","UseDPDF=Y")</f>
        <v>#NAME?</v>
      </c>
      <c r="CI174" s="2" t="e">
        <f ca="1">_xll.BDH($C$153,"LT_DEBT_TO_TOT_CAP","FQ1 2018","FQ1 2018","Currency=INR","Period=FQ","BEST_FPERIOD_OVERRIDE=FQ","FILING_STATUS=OR","EQY_CONSOLIDATED=Y","Sort=A","Dates=H","DateFormat=P","Fill=—","Direction=H","UseDPDF=Y")</f>
        <v>#NAME?</v>
      </c>
      <c r="CJ174" s="2" t="e">
        <f ca="1">_xll.BDH($C$153,"LT_DEBT_TO_TOT_ASSET","FQ1 2018","FQ1 2018","Currency=INR","Period=FQ","BEST_FPERIOD_OVERRIDE=FQ","FILING_STATUS=OR","EQY_CONSOLIDATED=Y","Sort=A","Dates=H","DateFormat=P","Fill=—","Direction=H","UseDPDF=Y")</f>
        <v>#NAME?</v>
      </c>
      <c r="CK174" s="2" t="e">
        <f ca="1">_xll.BDH($C$153,"TOT_DEBT_TO_TOT_EQY","FQ1 2018","FQ1 2018","Currency=INR","Period=FQ","BEST_FPERIOD_OVERRIDE=FQ","FILING_STATUS=OR","EQY_CONSOLIDATED=Y","Sort=A","Dates=H","DateFormat=P","Fill=—","Direction=H","UseDPDF=Y")</f>
        <v>#NAME?</v>
      </c>
      <c r="CL174" s="2" t="e">
        <f ca="1">_xll.BDH($C$153,"TOT_DEBT_TO_TOT_CAP","FQ1 2018","FQ1 2018","Currency=INR","Period=FQ","BEST_FPERIOD_OVERRIDE=FQ","FILING_STATUS=OR","EQY_CONSOLIDATED=Y","Sort=A","Dates=H","DateFormat=P","Fill=—","Direction=H","UseDPDF=Y")</f>
        <v>#NAME?</v>
      </c>
      <c r="CM174" s="2" t="e">
        <f ca="1">_xll.BDH($C$153,"TOT_DEBT_TO_TOT_ASSET","FQ1 2018","FQ1 2018","Currency=INR","Period=FQ","BEST_FPERIOD_OVERRIDE=FQ","FILING_STATUS=OR","EQY_CONSOLIDATED=Y","Sort=A","Dates=H","DateFormat=P","Fill=—","Direction=H","UseDPDF=Y")</f>
        <v>#NAME?</v>
      </c>
      <c r="CN174" s="2" t="e">
        <f ca="1">_xll.BDH($C$153,"NET_DEBT_TO_SHRHLDR_EQTY","FQ1 2018","FQ1 2018","Currency=INR","Period=FQ","BEST_FPERIOD_OVERRIDE=FQ","FILING_STATUS=OR","EQY_CONSOLIDATED=Y","Sort=A","Dates=H","DateFormat=P","Fill=—","Direction=H","UseDPDF=Y")</f>
        <v>#NAME?</v>
      </c>
      <c r="CO174" s="2" t="e">
        <f ca="1">_xll.BDH($C$153,"NET_DEBT_%_CAPITAL","FQ1 2018","FQ1 2018","Currency=INR","Period=FQ","BEST_FPERIOD_OVERRIDE=FQ","FILING_STATUS=OR","EQY_CONSOLIDATED=Y","Sort=A","Dates=H","DateFormat=P","Fill=—","Direction=H","UseDPDF=Y")</f>
        <v>#NAME?</v>
      </c>
      <c r="CP174" s="3" t="e">
        <f ca="1">_xll.BDH($C$153,"EBITDA","FQ1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174" s="3" t="e">
        <f ca="1">_xll.BDH($C$153,"EBITDA_AFTER_CAPEX","FQ1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174" s="3" t="e">
        <f ca="1">_xll.BDH($C$153,"IS_OPER_INC","FQ1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174" s="2" t="e">
        <f ca="1">_xll.BDH($C$153,"CASH_RATIO","FQ1 2018","FQ1 2018","Currency=INR","Period=FQ","BEST_FPERIOD_OVERRIDE=FQ","FILING_STATUS=OR","EQY_CONSOLIDATED=Y","Sort=A","Dates=H","DateFormat=P","Fill=—","Direction=H","UseDPDF=Y")</f>
        <v>#NAME?</v>
      </c>
      <c r="CT174" s="2" t="e">
        <f ca="1">_xll.BDH($C$153,"CUR_RATIO","FQ1 2018","FQ1 2018","Currency=INR","Period=FQ","BEST_FPERIOD_OVERRIDE=FQ","FILING_STATUS=OR","EQY_CONSOLIDATED=Y","Sort=A","Dates=H","DateFormat=P","Fill=—","Direction=H","UseDPDF=Y")</f>
        <v>#NAME?</v>
      </c>
      <c r="CU174" s="2" t="e">
        <f ca="1">_xll.BDH($C$153,"QUICK_RATIO","FQ1 2018","FQ1 2018","Currency=INR","Period=FQ","BEST_FPERIOD_OVERRIDE=FQ","FILING_STATUS=OR","EQY_CONSOLIDATED=Y","Sort=A","Dates=H","DateFormat=P","Fill=—","Direction=H","UseDPDF=Y")</f>
        <v>#NAME?</v>
      </c>
      <c r="CV174" s="2" t="e">
        <f ca="1">_xll.BDH($C$153,"ALTMAN_Z_SCORE","FQ1 2018","FQ1 2018","Currency=INR","Period=FQ","BEST_FPERIOD_OVERRIDE=FQ","FILING_STATUS=OR","EQY_CONSOLIDATED=Y","Sort=A","Dates=H","DateFormat=P","Fill=—","Direction=H","UseDPDF=Y")</f>
        <v>#NAME?</v>
      </c>
      <c r="CW174" s="4" t="e">
        <f ca="1">_xll.BDH($C$153,"ACCT_RCV_TURN","FQ1 2018","FQ1 2018","Currency=INR","Period=FQ","BEST_FPERIOD_OVERRIDE=FQ","FILING_STATUS=OR","EQY_CONSOLIDATED=Y","FA_ADJUSTED=GAAP","Sort=A","Dates=H","DateFormat=P","Fill=—","Direction=H","UseDPDF=Y")</f>
        <v>#NAME?</v>
      </c>
      <c r="CX174" s="2" t="e">
        <f ca="1">_xll.BDH($C$153,"ACCT_RCV_DAYS","FQ1 2018","FQ1 2018","Currency=INR","Period=FQ","BEST_FPERIOD_OVERRIDE=FQ","FILING_STATUS=OR","EQY_CONSOLIDATED=Y","FA_ADJUSTED=GAAP","Sort=A","Dates=H","DateFormat=P","Fill=—","Direction=H","UseDPDF=Y")</f>
        <v>#NAME?</v>
      </c>
      <c r="CY174" s="4" t="e">
        <f ca="1">_xll.BDH($C$153,"INVENT_TURN","FQ1 2018","FQ1 2018","Currency=INR","Period=FQ","BEST_FPERIOD_OVERRIDE=FQ","FILING_STATUS=OR","EQY_CONSOLIDATED=Y","FA_ADJUSTED=GAAP","Sort=A","Dates=H","DateFormat=P","Fill=—","Direction=H","UseDPDF=Y")</f>
        <v>#NAME?</v>
      </c>
      <c r="CZ174" s="2" t="e">
        <f ca="1">_xll.BDH($C$153,"INVENT_DAYS","FQ1 2018","FQ1 2018","Currency=INR","Period=FQ","BEST_FPERIOD_OVERRIDE=FQ","FILING_STATUS=OR","EQY_CONSOLIDATED=Y","FA_ADJUSTED=GAAP","Sort=A","Dates=H","DateFormat=P","Fill=—","Direction=H","UseDPDF=Y")</f>
        <v>#NAME?</v>
      </c>
      <c r="DA174" s="4" t="e">
        <f ca="1">_xll.BDH($C$153,"ACCOUNTS_PAYABLE_TURNOVER","FQ1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174" s="2" t="e">
        <f ca="1">_xll.BDH($C$153,"ACCOUNTS_PAYABLE_TURNOVER_DAYS","FQ1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174" s="4" t="e">
        <f ca="1">_xll.BDH($C$153,"CASH_CONVERSION_CYCLE","FQ1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174" s="4" t="e">
        <f ca="1">_xll.BDH($C$153,"INV_TO_CASH_DAYS","FQ1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174" s="5" t="e">
        <f ca="1">_xll.BDH($C$153,"BS_INVENTORIES","FQ1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174" s="3" t="e">
        <f ca="1">_xll.BDH($C$153,"INVTRY_RAW_MATERIALS","FQ1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174" s="3" t="e">
        <f ca="1">_xll.BDH($C$153,"INVTRY_IN_PROGRESS","FQ1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174" s="3" t="e">
        <f ca="1">_xll.BDH($C$153,"INVTRY_FINISHED_GOODS","FQ1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174" s="3" t="e">
        <f ca="1">_xll.BDH($C$153,"BS_OTHER_INV","FQ1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175" spans="1:113" x14ac:dyDescent="0.3">
      <c r="A175" s="6"/>
      <c r="B175" s="6"/>
      <c r="C175" s="6"/>
      <c r="D175" s="6"/>
      <c r="E175" t="s">
        <v>79</v>
      </c>
      <c r="F175" t="e">
        <f ca="1">_xll.BDH($C$153,"RETURN_COM_EQY","FQ2 2018","FQ2 2018","Currency=INR","Period=FQ","BEST_FPERIOD_OVERRIDE=FQ","FILING_STATUS=OR","EQY_CONSOLIDATED=Y","FA_ADJUSTED=GAAP","Sort=A","Dates=H","DateFormat=P","Fill=—","Direction=H","UseDPDF=Y")</f>
        <v>#NAME?</v>
      </c>
      <c r="G175" t="e">
        <f ca="1">_xll.BDH($C$153,"RETURN_ON_ASSET","FQ2 2018","FQ2 2018","Currency=INR","Period=FQ","BEST_FPERIOD_OVERRIDE=FQ","FILING_STATUS=OR","EQY_CONSOLIDATED=Y","FA_ADJUSTED=GAAP","Sort=A","Dates=H","DateFormat=P","Fill=—","Direction=H","UseDPDF=Y")</f>
        <v>#NAME?</v>
      </c>
      <c r="H175" t="e">
        <f ca="1">_xll.BDH($C$153,"RETURN_ON_CAP","FQ2 2018","FQ2 2018","Currency=INR","Period=FQ","BEST_FPERIOD_OVERRIDE=FQ","FILING_STATUS=OR","EQY_CONSOLIDATED=Y","FA_ADJUSTED=GAAP","Sort=A","Dates=H","DateFormat=P","Fill=—","Direction=H","UseDPDF=Y")</f>
        <v>#NAME?</v>
      </c>
      <c r="I175" t="e">
        <f ca="1">_xll.BDH($C$153,"RETURN_ON_INV_CAPITAL","FQ2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175" t="e">
        <f ca="1">_xll.BDH($C$153,"EBITDA_TO_REVENUE","FQ2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175" t="e">
        <f ca="1">_xll.BDH($C$153,"OPER_MARGIN","FQ2 2018","FQ2 2018","Currency=INR","Period=FQ","BEST_FPERIOD_OVERRIDE=FQ","FILING_STATUS=OR","EQY_CONSOLIDATED=Y","FA_ADJUSTED=GAAP","Sort=A","Dates=H","DateFormat=P","Fill=—","Direction=H","UseDPDF=Y")</f>
        <v>#NAME?</v>
      </c>
      <c r="L175" t="e">
        <f ca="1">_xll.BDH($C$153,"INCREMENTAL_OPERATING_MARGIN","FQ2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175" t="e">
        <f ca="1">_xll.BDH($C$153,"PRETAX_INC_TO_NET_SALES","FQ2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175" t="e">
        <f ca="1">_xll.BDH($C$153,"INC_BEF_XO_ITEMS_TO_NET_SALES","FQ2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175" t="e">
        <f ca="1">_xll.BDH($C$153,"PROF_MARGIN","FQ2 2018","FQ2 2018","Currency=INR","Period=FQ","BEST_FPERIOD_OVERRIDE=FQ","FILING_STATUS=OR","EQY_CONSOLIDATED=Y","FA_ADJUSTED=GAAP","Sort=A","Dates=H","DateFormat=P","Fill=—","Direction=H","UseDPDF=Y")</f>
        <v>#NAME?</v>
      </c>
      <c r="P175" t="e">
        <f ca="1">_xll.BDH($C$153,"NET_INCOME_TO_COMMON_MARGIN","FQ2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175" t="e">
        <f ca="1">_xll.BDH($C$153,"EFF_TAX_RATE","FQ2 2018","FQ2 2018","Currency=INR","Period=FQ","BEST_FPERIOD_OVERRIDE=FQ","FILING_STATUS=OR","EQY_CONSOLIDATED=Y","FA_ADJUSTED=GAAP","Sort=A","Dates=H","DateFormat=P","Fill=—","Direction=H","UseDPDF=Y")</f>
        <v>#NAME?</v>
      </c>
      <c r="R175" t="e">
        <f ca="1">_xll.BDH($C$153,"DVD_PAYOUT_RATIO","FQ2 2018","FQ2 2018","Currency=INR","Period=FQ","BEST_FPERIOD_OVERRIDE=FQ","FILING_STATUS=OR","EQY_CONSOLIDATED=Y","FA_ADJUSTED=GAAP","Sort=A","Dates=H","DateFormat=P","Fill=—","Direction=H","UseDPDF=Y")</f>
        <v>#NAME?</v>
      </c>
      <c r="S175" t="e">
        <f ca="1">_xll.BDH($C$153,"SUSTAIN_GROWTH_RT","FQ2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175" s="2" t="e">
        <f ca="1">_xll.BDH($C$153,"SALES_GROWTH","FQ2 2018","FQ2 2018","Currency=INR","Period=FQ","BEST_FPERIOD_OVERRIDE=FQ","FILING_STATUS=OR","EQY_CONSOLIDATED=Y","FA_ADJUSTED=GAAP","Sort=A","Dates=H","DateFormat=P","Fill=—","Direction=H","UseDPDF=Y")</f>
        <v>#NAME?</v>
      </c>
      <c r="U175" s="2" t="e">
        <f ca="1">_xll.BDH($C$153,"EBITDA_GROWTH","FQ2 2018","FQ2 2018","Currency=INR","Period=FQ","BEST_FPERIOD_OVERRIDE=FQ","FILING_STATUS=OR","EQY_CONSOLIDATED=Y","FA_ADJUSTED=GAAP","Sort=A","Dates=H","DateFormat=P","Fill=—","Direction=H","UseDPDF=Y")</f>
        <v>#NAME?</v>
      </c>
      <c r="V175" s="2" t="e">
        <f ca="1">_xll.BDH($C$153,"OPER_INC_GROWTH","FQ2 2018","FQ2 2018","Currency=INR","Period=FQ","BEST_FPERIOD_OVERRIDE=FQ","FILING_STATUS=OR","EQY_CONSOLIDATED=Y","FA_ADJUSTED=GAAP","Sort=A","Dates=H","DateFormat=P","Fill=—","Direction=H","UseDPDF=Y")</f>
        <v>#NAME?</v>
      </c>
      <c r="W175" s="2" t="e">
        <f ca="1">_xll.BDH($C$153,"EARN_FOR_COM_GROWTH","FQ2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175" s="2" t="e">
        <f ca="1">_xll.BDH($C$153,"DILUTED_EPS_AFT_XO_ITEMS_GROWTH","FQ2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175" s="2" t="e">
        <f ca="1">_xll.BDH($C$153,"DIVIDEND_PER_SHARE_1_YEAR_GROWTH","FQ2 2018","FQ2 2018","Currency=INR","Period=FQ","BEST_FPERIOD_OVERRIDE=FQ","FILING_STATUS=OR","EQY_CONSOLIDATED=Y","Sort=A","Dates=H","DateFormat=P","Fill=—","Direction=H","UseDPDF=Y")</f>
        <v>#NAME?</v>
      </c>
      <c r="Z175" s="2" t="e">
        <f ca="1">_xll.BDH($C$153,"ACCOUNTS_RECEIVABLE_GROWTH","FQ2 2018","FQ2 2018","Currency=INR","Period=FQ","BEST_FPERIOD_OVERRIDE=FQ","FILING_STATUS=OR","EQY_CONSOLIDATED=Y","Sort=A","Dates=H","DateFormat=P","Fill=—","Direction=H","UseDPDF=Y")</f>
        <v>#NAME?</v>
      </c>
      <c r="AA175" s="2" t="e">
        <f ca="1">_xll.BDH($C$153,"INVENTORY_GROWTH","FQ2 2018","FQ2 2018","Currency=INR","Period=FQ","BEST_FPERIOD_OVERRIDE=FQ","FILING_STATUS=OR","EQY_CONSOLIDATED=Y","Sort=A","Dates=H","DateFormat=P","Fill=—","Direction=H","UseDPDF=Y")</f>
        <v>#NAME?</v>
      </c>
      <c r="AB175" s="2" t="e">
        <f ca="1">_xll.BDH($C$153,"NET_FIXED_ASSETS_1_YEAR_GROWTH","FQ2 2018","FQ2 2018","Currency=INR","Period=FQ","BEST_FPERIOD_OVERRIDE=FQ","FILING_STATUS=OR","EQY_CONSOLIDATED=Y","Sort=A","Dates=H","DateFormat=P","Fill=—","Direction=H","UseDPDF=Y")</f>
        <v>#NAME?</v>
      </c>
      <c r="AC175" s="2" t="e">
        <f ca="1">_xll.BDH($C$153,"ASSET_GROWTH","FQ2 2018","FQ2 2018","Currency=INR","Period=FQ","BEST_FPERIOD_OVERRIDE=FQ","FILING_STATUS=OR","EQY_CONSOLIDATED=Y","Sort=A","Dates=H","DateFormat=P","Fill=—","Direction=H","UseDPDF=Y")</f>
        <v>#NAME?</v>
      </c>
      <c r="AD175" s="2" t="e">
        <f ca="1">_xll.BDH($C$153,"MODIFIED_WORK_CAP_GROWTH","FQ2 2018","FQ2 2018","Currency=INR","Period=FQ","BEST_FPERIOD_OVERRIDE=FQ","FILING_STATUS=OR","EQY_CONSOLIDATED=Y","Sort=A","Dates=H","DateFormat=P","Fill=—","Direction=H","UseDPDF=Y")</f>
        <v>#NAME?</v>
      </c>
      <c r="AE175" s="2" t="e">
        <f ca="1">_xll.BDH($C$153,"WORK_CAP_GROWTH","FQ2 2018","FQ2 2018","Currency=INR","Period=FQ","BEST_FPERIOD_OVERRIDE=FQ","FILING_STATUS=OR","EQY_CONSOLIDATED=Y","Sort=A","Dates=H","DateFormat=P","Fill=—","Direction=H","UseDPDF=Y")</f>
        <v>#NAME?</v>
      </c>
      <c r="AF175" s="2" t="e">
        <f ca="1">_xll.BDH($C$153,"ACCOUNTS_PAYABLE_GROWTH_1YR","FQ2 2018","FQ2 2018","Currency=INR","Period=FQ","BEST_FPERIOD_OVERRIDE=FQ","FILING_STATUS=OR","EQY_CONSOLIDATED=Y","Sort=A","Dates=H","DateFormat=P","Fill=—","Direction=H","UseDPDF=Y")</f>
        <v>#NAME?</v>
      </c>
      <c r="AG175" s="2" t="e">
        <f ca="1">_xll.BDH($C$153,"SHORT_TERM_DEBT_1_YEAR_GROWTH","FQ2 2018","FQ2 2018","Currency=INR","Period=FQ","BEST_FPERIOD_OVERRIDE=FQ","FILING_STATUS=OR","EQY_CONSOLIDATED=Y","Sort=A","Dates=H","DateFormat=P","Fill=—","Direction=H","UseDPDF=Y")</f>
        <v>#NAME?</v>
      </c>
      <c r="AH175" s="2" t="e">
        <f ca="1">_xll.BDH($C$153,"TOTAL_DEBT_1_YEAR_GROWTH","FQ2 2018","FQ2 2018","Currency=INR","Period=FQ","BEST_FPERIOD_OVERRIDE=FQ","FILING_STATUS=OR","EQY_CONSOLIDATED=Y","Sort=A","Dates=H","DateFormat=P","Fill=—","Direction=H","UseDPDF=Y")</f>
        <v>#NAME?</v>
      </c>
      <c r="AI175" s="2" t="e">
        <f ca="1">_xll.BDH($C$153,"TOTAL_EQUITY_1_YEAR_GROWTH","FQ2 2018","FQ2 2018","Currency=INR","Period=FQ","BEST_FPERIOD_OVERRIDE=FQ","FILING_STATUS=OR","EQY_CONSOLIDATED=Y","Sort=A","Dates=H","DateFormat=P","Fill=—","Direction=H","UseDPDF=Y")</f>
        <v>#NAME?</v>
      </c>
      <c r="AJ175" s="2" t="e">
        <f ca="1">_xll.BDH($C$153,"GROWTH_IN_CAP","FQ2 2018","FQ2 2018","Currency=INR","Period=FQ","BEST_FPERIOD_OVERRIDE=FQ","FILING_STATUS=OR","EQY_CONSOLIDATED=Y","Sort=A","Dates=H","DateFormat=P","Fill=—","Direction=H","UseDPDF=Y")</f>
        <v>#NAME?</v>
      </c>
      <c r="AK175" s="2" t="e">
        <f ca="1">_xll.BDH($C$153,"BVPS_GROWTH","FQ2 2018","FQ2 2018","Currency=INR","Period=FQ","BEST_FPERIOD_OVERRIDE=FQ","FILING_STATUS=OR","EQY_CONSOLIDATED=Y","Sort=A","Dates=H","DateFormat=P","Fill=—","Direction=H","UseDPDF=Y")</f>
        <v>#NAME?</v>
      </c>
      <c r="AL175" s="2" t="e">
        <f ca="1">_xll.BDH($C$153,"CASH_FLOW_GROWTH","FQ2 2018","FQ2 2018","Currency=INR","Period=FQ","BEST_FPERIOD_OVERRIDE=FQ","FILING_STATUS=OR","EQY_CONSOLIDATED=Y","Sort=A","Dates=H","DateFormat=P","Fill=—","Direction=H","UseDPDF=Y")</f>
        <v>#NAME?</v>
      </c>
      <c r="AM175" s="2" t="e">
        <f ca="1">_xll.BDH($C$153,"GEO_GROW_NET_SALES","FQ2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175" s="2" t="e">
        <f ca="1">_xll.BDH($C$153,"GEO_GROW_EBITDA","FQ2 2018","FQ2 2018","Currency=INR","Period=FQ","BEST_FPERIOD_OVERRIDE=FQ","FILING_STATUS=OR","EQY_CONSOLIDATED=Y","FA_ADJUSTED=GAAP","Sort=A","Dates=H","DateFormat=P","Fill=—","Direction=H","UseDPDF=Y")</f>
        <v>#NAME?</v>
      </c>
      <c r="AO175" s="2" t="e">
        <f ca="1">_xll.BDH($C$153,"GEO_GROW_OPER_INC","FQ2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175" s="2" t="e">
        <f ca="1">_xll.BDH($C$153,"NET_INCOME_TO_COMMON_5_YR_GROWTH","FQ2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175" s="2" t="e">
        <f ca="1">_xll.BDH($C$153,"5Y_GEO_GROWTH_DILUTED_EPS","FQ2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175" s="2" t="e">
        <f ca="1">_xll.BDH($C$153,"GEO_GROW_DVD_PER_SH","FQ2 2018","FQ2 2018","Currency=INR","Period=FQ","BEST_FPERIOD_OVERRIDE=FQ","FILING_STATUS=OR","EQY_CONSOLIDATED=Y","Sort=A","Dates=H","DateFormat=P","Fill=—","Direction=H","UseDPDF=Y")</f>
        <v>#NAME?</v>
      </c>
      <c r="AS175" s="2" t="e">
        <f ca="1">_xll.BDH($C$153,"ACCOUNTS_RECEIVABLE_5_YR_GROWTH","FQ2 2018","FQ2 2018","Currency=INR","Period=FQ","BEST_FPERIOD_OVERRIDE=FQ","FILING_STATUS=OR","EQY_CONSOLIDATED=Y","Sort=A","Dates=H","DateFormat=P","Fill=—","Direction=H","UseDPDF=Y")</f>
        <v>#NAME?</v>
      </c>
      <c r="AT175" s="2" t="e">
        <f ca="1">_xll.BDH($C$153,"INVENTORY_5_YEAR_GROWTH","FQ2 2018","FQ2 2018","Currency=INR","Period=FQ","BEST_FPERIOD_OVERRIDE=FQ","FILING_STATUS=OR","EQY_CONSOLIDATED=Y","Sort=A","Dates=H","DateFormat=P","Fill=—","Direction=H","UseDPDF=Y")</f>
        <v>#NAME?</v>
      </c>
      <c r="AU175" s="2" t="e">
        <f ca="1">_xll.BDH($C$153,"NET_FIXED_ASSETS_5_YEAR_GROWTH","FQ2 2018","FQ2 2018","Currency=INR","Period=FQ","BEST_FPERIOD_OVERRIDE=FQ","FILING_STATUS=OR","EQY_CONSOLIDATED=Y","Sort=A","Dates=H","DateFormat=P","Fill=—","Direction=H","UseDPDF=Y")</f>
        <v>#NAME?</v>
      </c>
      <c r="AV175" s="2" t="e">
        <f ca="1">_xll.BDH($C$153,"GEO_GROW_TOT_ASSET","FQ2 2018","FQ2 2018","Currency=INR","Period=FQ","BEST_FPERIOD_OVERRIDE=FQ","FILING_STATUS=OR","EQY_CONSOLIDATED=Y","Sort=A","Dates=H","DateFormat=P","Fill=—","Direction=H","UseDPDF=Y")</f>
        <v>#NAME?</v>
      </c>
      <c r="AW175" s="2" t="e">
        <f ca="1">_xll.BDH($C$153,"MODIFIED_WORKING_CPTL_5YR_GRWTH","FQ2 2018","FQ2 2018","Currency=INR","Period=FQ","BEST_FPERIOD_OVERRIDE=FQ","FILING_STATUS=OR","EQY_CONSOLIDATED=Y","Sort=A","Dates=H","DateFormat=P","Fill=—","Direction=H","UseDPDF=Y")</f>
        <v>#NAME?</v>
      </c>
      <c r="AX175" s="2" t="e">
        <f ca="1">_xll.BDH($C$153,"WORKING_CAPITAL_5_YEAR_GROWTH","FQ2 2018","FQ2 2018","Currency=INR","Period=FQ","BEST_FPERIOD_OVERRIDE=FQ","FILING_STATUS=OR","EQY_CONSOLIDATED=Y","Sort=A","Dates=H","DateFormat=P","Fill=—","Direction=H","UseDPDF=Y")</f>
        <v>#NAME?</v>
      </c>
      <c r="AY175" s="2" t="e">
        <f ca="1">_xll.BDH($C$153,"ACCOUNTS_PAYABLE_5_YEAR_GROWTH","FQ2 2018","FQ2 2018","Currency=INR","Period=FQ","BEST_FPERIOD_OVERRIDE=FQ","FILING_STATUS=OR","EQY_CONSOLIDATED=Y","Sort=A","Dates=H","DateFormat=P","Fill=—","Direction=H","UseDPDF=Y")</f>
        <v>#NAME?</v>
      </c>
      <c r="AZ175" s="2" t="e">
        <f ca="1">_xll.BDH($C$153,"SHORT_TERM_DEBT_5_YEAR_GROWTH","FQ2 2018","FQ2 2018","Currency=INR","Period=FQ","BEST_FPERIOD_OVERRIDE=FQ","FILING_STATUS=OR","EQY_CONSOLIDATED=Y","Sort=A","Dates=H","DateFormat=P","Fill=—","Direction=H","UseDPDF=Y")</f>
        <v>#NAME?</v>
      </c>
      <c r="BA175" s="2" t="e">
        <f ca="1">_xll.BDH($C$153,"TOTAL_DEBT_5_YEAR_GROWTH","FQ2 2018","FQ2 2018","Currency=INR","Period=FQ","BEST_FPERIOD_OVERRIDE=FQ","FILING_STATUS=OR","EQY_CONSOLIDATED=Y","Sort=A","Dates=H","DateFormat=P","Fill=—","Direction=H","UseDPDF=Y")</f>
        <v>#NAME?</v>
      </c>
      <c r="BB175" s="2" t="e">
        <f ca="1">_xll.BDH($C$153,"GEO_GROW_TOT_SHRHLDR_EQY","FQ2 2018","FQ2 2018","Currency=INR","Period=FQ","BEST_FPERIOD_OVERRIDE=FQ","FILING_STATUS=OR","EQY_CONSOLIDATED=Y","Sort=A","Dates=H","DateFormat=P","Fill=—","Direction=H","UseDPDF=Y")</f>
        <v>#NAME?</v>
      </c>
      <c r="BC175" s="2" t="e">
        <f ca="1">_xll.BDH($C$153,"TOTAL_CAPITAL_5_YEAR_GROWTH","FQ2 2018","FQ2 2018","Currency=INR","Period=FQ","BEST_FPERIOD_OVERRIDE=FQ","FILING_STATUS=OR","EQY_CONSOLIDATED=Y","Sort=A","Dates=H","DateFormat=P","Fill=—","Direction=H","UseDPDF=Y")</f>
        <v>#NAME?</v>
      </c>
      <c r="BD175" s="2" t="e">
        <f ca="1">_xll.BDH($C$153,"GEO_GROW_BOOK_VAL","FQ2 2018","FQ2 2018","Currency=INR","Period=FQ","BEST_FPERIOD_OVERRIDE=FQ","FILING_STATUS=OR","EQY_CONSOLIDATED=Y","Sort=A","Dates=H","DateFormat=P","Fill=—","Direction=H","UseDPDF=Y")</f>
        <v>#NAME?</v>
      </c>
      <c r="BE175" s="2" t="e">
        <f ca="1">_xll.BDH($C$153,"GEO_GROW_CASH_OPER_ACT","FQ2 2018","FQ2 2018","Currency=INR","Period=FQ","BEST_FPERIOD_OVERRIDE=FQ","FILING_STATUS=OR","EQY_CONSOLIDATED=Y","Sort=A","Dates=H","DateFormat=P","Fill=—","Direction=H","UseDPDF=Y")</f>
        <v>#NAME?</v>
      </c>
      <c r="BF175" s="2" t="e">
        <f ca="1">_xll.BDH($C$153,"REVENUE_SEQUENTIAL_GROWTH","FQ2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175" s="2" t="e">
        <f ca="1">_xll.BDH($C$153,"EBITDA_SEQUENTIAL_GROWTH","FQ2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175" s="2" t="e">
        <f ca="1">_xll.BDH($C$153,"OPERATING_INCOME_SEQ_GROWTH","FQ2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175" s="2" t="e">
        <f ca="1">_xll.BDH($C$153,"NET_INCOME_TO_COMMON_SEQ_GROWTH","FQ2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175" s="2" t="e">
        <f ca="1">_xll.BDH($C$153,"EPS_DILUTED_SEQUENTIAL_GROWTH","FQ2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175" s="2" t="e">
        <f ca="1">_xll.BDH($C$153,"DPS_SEQUENTIAL_GROWTH","FQ2 2018","FQ2 2018","Currency=INR","Period=FQ","BEST_FPERIOD_OVERRIDE=FQ","FILING_STATUS=OR","EQY_CONSOLIDATED=Y","Sort=A","Dates=H","DateFormat=P","Fill=—","Direction=H","UseDPDF=Y")</f>
        <v>#NAME?</v>
      </c>
      <c r="BL175" s="2" t="e">
        <f ca="1">_xll.BDH($C$153,"ACCOUNTS_RECEIVABLE_SEQ_GROWTH","FQ2 2018","FQ2 2018","Currency=INR","Period=FQ","BEST_FPERIOD_OVERRIDE=FQ","FILING_STATUS=OR","EQY_CONSOLIDATED=Y","Sort=A","Dates=H","DateFormat=P","Fill=—","Direction=H","UseDPDF=Y")</f>
        <v>#NAME?</v>
      </c>
      <c r="BM175" s="2" t="e">
        <f ca="1">_xll.BDH($C$153,"INVENTORY_SEQUENTIAL_GROWTH","FQ2 2018","FQ2 2018","Currency=INR","Period=FQ","BEST_FPERIOD_OVERRIDE=FQ","FILING_STATUS=OR","EQY_CONSOLIDATED=Y","Sort=A","Dates=H","DateFormat=P","Fill=—","Direction=H","UseDPDF=Y")</f>
        <v>#NAME?</v>
      </c>
      <c r="BN175" s="2" t="e">
        <f ca="1">_xll.BDH($C$153,"FIXED_ASSETS_SEQUENTIAL_GROWTH","FQ2 2018","FQ2 2018","Currency=INR","Period=FQ","BEST_FPERIOD_OVERRIDE=FQ","FILING_STATUS=OR","EQY_CONSOLIDATED=Y","Sort=A","Dates=H","DateFormat=P","Fill=—","Direction=H","UseDPDF=Y")</f>
        <v>#NAME?</v>
      </c>
      <c r="BO175" s="2" t="e">
        <f ca="1">_xll.BDH($C$153,"TOTAL_ASSETS_SEQUENTIAL_GROWTH","FQ2 2018","FQ2 2018","Currency=INR","Period=FQ","BEST_FPERIOD_OVERRIDE=FQ","FILING_STATUS=OR","EQY_CONSOLIDATED=Y","Sort=A","Dates=H","DateFormat=P","Fill=—","Direction=H","UseDPDF=Y")</f>
        <v>#NAME?</v>
      </c>
      <c r="BP175" s="2" t="e">
        <f ca="1">_xll.BDH($C$153,"MODIFIED_WORKING_CPTL_SEQ_GRWTH","FQ2 2018","FQ2 2018","Currency=INR","Period=FQ","BEST_FPERIOD_OVERRIDE=FQ","FILING_STATUS=OR","EQY_CONSOLIDATED=Y","Sort=A","Dates=H","DateFormat=P","Fill=—","Direction=H","UseDPDF=Y")</f>
        <v>#NAME?</v>
      </c>
      <c r="BQ175" s="2" t="e">
        <f ca="1">_xll.BDH($C$153,"WORKING_CAPITAL_SEQ_GROWTH","FQ2 2018","FQ2 2018","Currency=INR","Period=FQ","BEST_FPERIOD_OVERRIDE=FQ","FILING_STATUS=OR","EQY_CONSOLIDATED=Y","Sort=A","Dates=H","DateFormat=P","Fill=—","Direction=H","UseDPDF=Y")</f>
        <v>#NAME?</v>
      </c>
      <c r="BR175" s="2" t="e">
        <f ca="1">_xll.BDH($C$153,"ACCOUNTS_PAYABLE_SEQ_GROWTH","FQ2 2018","FQ2 2018","Currency=INR","Period=FQ","BEST_FPERIOD_OVERRIDE=FQ","FILING_STATUS=OR","EQY_CONSOLIDATED=Y","Sort=A","Dates=H","DateFormat=P","Fill=—","Direction=H","UseDPDF=Y")</f>
        <v>#NAME?</v>
      </c>
      <c r="BS175" s="2" t="e">
        <f ca="1">_xll.BDH($C$153,"ST_DEBT_SEQUENTIAL_GROWTH","FQ2 2018","FQ2 2018","Currency=INR","Period=FQ","BEST_FPERIOD_OVERRIDE=FQ","FILING_STATUS=OR","EQY_CONSOLIDATED=Y","Sort=A","Dates=H","DateFormat=P","Fill=—","Direction=H","UseDPDF=Y")</f>
        <v>#NAME?</v>
      </c>
      <c r="BT175" s="2" t="e">
        <f ca="1">_xll.BDH($C$153,"TOTAL_DEBT_SEQUENTIAL_GROWTH","FQ2 2018","FQ2 2018","Currency=INR","Period=FQ","BEST_FPERIOD_OVERRIDE=FQ","FILING_STATUS=OR","EQY_CONSOLIDATED=Y","Sort=A","Dates=H","DateFormat=P","Fill=—","Direction=H","UseDPDF=Y")</f>
        <v>#NAME?</v>
      </c>
      <c r="BU175" s="2" t="e">
        <f ca="1">_xll.BDH($C$153,"TOTAL_EQUITY_SEQUENTIAL_GROWTH","FQ2 2018","FQ2 2018","Currency=INR","Period=FQ","BEST_FPERIOD_OVERRIDE=FQ","FILING_STATUS=OR","EQY_CONSOLIDATED=Y","Sort=A","Dates=H","DateFormat=P","Fill=—","Direction=H","UseDPDF=Y")</f>
        <v>#NAME?</v>
      </c>
      <c r="BV175" s="2" t="e">
        <f ca="1">_xll.BDH($C$153,"TOTAL_CAPITAL_SEQUENTIAL_GROWTH","FQ2 2018","FQ2 2018","Currency=INR","Period=FQ","BEST_FPERIOD_OVERRIDE=FQ","FILING_STATUS=OR","EQY_CONSOLIDATED=Y","Sort=A","Dates=H","DateFormat=P","Fill=—","Direction=H","UseDPDF=Y")</f>
        <v>#NAME?</v>
      </c>
      <c r="BW175" s="2" t="e">
        <f ca="1">_xll.BDH($C$153,"BPS_SEQUENTIAL_GROWTH","FQ2 2018","FQ2 2018","Currency=INR","Period=FQ","BEST_FPERIOD_OVERRIDE=FQ","FILING_STATUS=OR","EQY_CONSOLIDATED=Y","Sort=A","Dates=H","DateFormat=P","Fill=—","Direction=H","UseDPDF=Y")</f>
        <v>#NAME?</v>
      </c>
      <c r="BX175" s="2" t="e">
        <f ca="1">_xll.BDH($C$153,"CFO_SEQUENTIAL_GROWTH","FQ2 2018","FQ2 2018","Currency=INR","Period=FQ","BEST_FPERIOD_OVERRIDE=FQ","FILING_STATUS=OR","EQY_CONSOLIDATED=Y","Sort=A","Dates=H","DateFormat=P","Fill=—","Direction=H","UseDPDF=Y")</f>
        <v>#NAME?</v>
      </c>
      <c r="BY175" s="3" t="e">
        <f ca="1">_xll.BDH($C$153,"SHORT_AND_LONG_TERM_DEBT","FQ2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175" s="3" t="e">
        <f ca="1">_xll.BDH($C$153,"BS_ST_BORROW","FQ2 2018","FQ2 2018","Currency=INR","Period=FQ","BEST_FPERIOD_OVERRIDE=FQ","FILING_STATUS=OR","EQY_CONSOLIDATED=Y","SCALING_FORMAT=MLN","Sort=A","Dates=H","DateFormat=P","Fill=—","Direction=H","UseDPDF=Y")</f>
        <v>#NAME?</v>
      </c>
      <c r="CA175" s="3" t="e">
        <f ca="1">_xll.BDH($C$153,"BS_LT_BORROW","FQ2 2018","FQ2 2018","Currency=INR","Period=FQ","BEST_FPERIOD_OVERRIDE=FQ","FILING_STATUS=OR","EQY_CONSOLIDATED=Y","SCALING_FORMAT=MLN","Sort=A","Dates=H","DateFormat=P","Fill=—","Direction=H","UseDPDF=Y")</f>
        <v>#NAME?</v>
      </c>
      <c r="CB175" s="2" t="e">
        <f ca="1">_xll.BDH($C$153,"TOT_DEBT_TO_EBITDA","FQ2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175" s="2" t="e">
        <f ca="1">_xll.BDH($C$153,"NET_DEBT_TO_EBITDA","FQ2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175" s="2" t="e">
        <f ca="1">_xll.BDH($C$153,"TOTAL_DEBT_TO_EBIT","FQ2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175" s="2" t="e">
        <f ca="1">_xll.BDH($C$153,"NET_DEBT_TO_EBIT","FQ2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175" s="2" t="e">
        <f ca="1">_xll.BDH($C$153,"EBITDA_TO_INTEREST_EXPN","FQ2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175" s="2" t="e">
        <f ca="1">_xll.BDH($C$153,"COM_EQY_TO_TOT_ASSET","FQ2 2018","FQ2 2018","Currency=INR","Period=FQ","BEST_FPERIOD_OVERRIDE=FQ","FILING_STATUS=OR","EQY_CONSOLIDATED=Y","Sort=A","Dates=H","DateFormat=P","Fill=—","Direction=H","UseDPDF=Y")</f>
        <v>#NAME?</v>
      </c>
      <c r="CH175" s="2" t="e">
        <f ca="1">_xll.BDH($C$153,"LT_DEBT_TO_TOT_EQY","FQ2 2018","FQ2 2018","Currency=INR","Period=FQ","BEST_FPERIOD_OVERRIDE=FQ","FILING_STATUS=OR","EQY_CONSOLIDATED=Y","Sort=A","Dates=H","DateFormat=P","Fill=—","Direction=H","UseDPDF=Y")</f>
        <v>#NAME?</v>
      </c>
      <c r="CI175" s="2" t="e">
        <f ca="1">_xll.BDH($C$153,"LT_DEBT_TO_TOT_CAP","FQ2 2018","FQ2 2018","Currency=INR","Period=FQ","BEST_FPERIOD_OVERRIDE=FQ","FILING_STATUS=OR","EQY_CONSOLIDATED=Y","Sort=A","Dates=H","DateFormat=P","Fill=—","Direction=H","UseDPDF=Y")</f>
        <v>#NAME?</v>
      </c>
      <c r="CJ175" s="2" t="e">
        <f ca="1">_xll.BDH($C$153,"LT_DEBT_TO_TOT_ASSET","FQ2 2018","FQ2 2018","Currency=INR","Period=FQ","BEST_FPERIOD_OVERRIDE=FQ","FILING_STATUS=OR","EQY_CONSOLIDATED=Y","Sort=A","Dates=H","DateFormat=P","Fill=—","Direction=H","UseDPDF=Y")</f>
        <v>#NAME?</v>
      </c>
      <c r="CK175" s="2" t="e">
        <f ca="1">_xll.BDH($C$153,"TOT_DEBT_TO_TOT_EQY","FQ2 2018","FQ2 2018","Currency=INR","Period=FQ","BEST_FPERIOD_OVERRIDE=FQ","FILING_STATUS=OR","EQY_CONSOLIDATED=Y","Sort=A","Dates=H","DateFormat=P","Fill=—","Direction=H","UseDPDF=Y")</f>
        <v>#NAME?</v>
      </c>
      <c r="CL175" s="2" t="e">
        <f ca="1">_xll.BDH($C$153,"TOT_DEBT_TO_TOT_CAP","FQ2 2018","FQ2 2018","Currency=INR","Period=FQ","BEST_FPERIOD_OVERRIDE=FQ","FILING_STATUS=OR","EQY_CONSOLIDATED=Y","Sort=A","Dates=H","DateFormat=P","Fill=—","Direction=H","UseDPDF=Y")</f>
        <v>#NAME?</v>
      </c>
      <c r="CM175" s="2" t="e">
        <f ca="1">_xll.BDH($C$153,"TOT_DEBT_TO_TOT_ASSET","FQ2 2018","FQ2 2018","Currency=INR","Period=FQ","BEST_FPERIOD_OVERRIDE=FQ","FILING_STATUS=OR","EQY_CONSOLIDATED=Y","Sort=A","Dates=H","DateFormat=P","Fill=—","Direction=H","UseDPDF=Y")</f>
        <v>#NAME?</v>
      </c>
      <c r="CN175" s="2" t="e">
        <f ca="1">_xll.BDH($C$153,"NET_DEBT_TO_SHRHLDR_EQTY","FQ2 2018","FQ2 2018","Currency=INR","Period=FQ","BEST_FPERIOD_OVERRIDE=FQ","FILING_STATUS=OR","EQY_CONSOLIDATED=Y","Sort=A","Dates=H","DateFormat=P","Fill=—","Direction=H","UseDPDF=Y")</f>
        <v>#NAME?</v>
      </c>
      <c r="CO175" s="2" t="e">
        <f ca="1">_xll.BDH($C$153,"NET_DEBT_%_CAPITAL","FQ2 2018","FQ2 2018","Currency=INR","Period=FQ","BEST_FPERIOD_OVERRIDE=FQ","FILING_STATUS=OR","EQY_CONSOLIDATED=Y","Sort=A","Dates=H","DateFormat=P","Fill=—","Direction=H","UseDPDF=Y")</f>
        <v>#NAME?</v>
      </c>
      <c r="CP175" s="3" t="e">
        <f ca="1">_xll.BDH($C$153,"EBITDA","FQ2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175" s="3" t="e">
        <f ca="1">_xll.BDH($C$153,"EBITDA_AFTER_CAPEX","FQ2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175" s="3" t="e">
        <f ca="1">_xll.BDH($C$153,"IS_OPER_INC","FQ2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175" s="2" t="e">
        <f ca="1">_xll.BDH($C$153,"CASH_RATIO","FQ2 2018","FQ2 2018","Currency=INR","Period=FQ","BEST_FPERIOD_OVERRIDE=FQ","FILING_STATUS=OR","EQY_CONSOLIDATED=Y","Sort=A","Dates=H","DateFormat=P","Fill=—","Direction=H","UseDPDF=Y")</f>
        <v>#NAME?</v>
      </c>
      <c r="CT175" s="2" t="e">
        <f ca="1">_xll.BDH($C$153,"CUR_RATIO","FQ2 2018","FQ2 2018","Currency=INR","Period=FQ","BEST_FPERIOD_OVERRIDE=FQ","FILING_STATUS=OR","EQY_CONSOLIDATED=Y","Sort=A","Dates=H","DateFormat=P","Fill=—","Direction=H","UseDPDF=Y")</f>
        <v>#NAME?</v>
      </c>
      <c r="CU175" s="2" t="e">
        <f ca="1">_xll.BDH($C$153,"QUICK_RATIO","FQ2 2018","FQ2 2018","Currency=INR","Period=FQ","BEST_FPERIOD_OVERRIDE=FQ","FILING_STATUS=OR","EQY_CONSOLIDATED=Y","Sort=A","Dates=H","DateFormat=P","Fill=—","Direction=H","UseDPDF=Y")</f>
        <v>#NAME?</v>
      </c>
      <c r="CV175" s="2" t="e">
        <f ca="1">_xll.BDH($C$153,"ALTMAN_Z_SCORE","FQ2 2018","FQ2 2018","Currency=INR","Period=FQ","BEST_FPERIOD_OVERRIDE=FQ","FILING_STATUS=OR","EQY_CONSOLIDATED=Y","Sort=A","Dates=H","DateFormat=P","Fill=—","Direction=H","UseDPDF=Y")</f>
        <v>#NAME?</v>
      </c>
      <c r="CW175" s="4" t="e">
        <f ca="1">_xll.BDH($C$153,"ACCT_RCV_TURN","FQ2 2018","FQ2 2018","Currency=INR","Period=FQ","BEST_FPERIOD_OVERRIDE=FQ","FILING_STATUS=OR","EQY_CONSOLIDATED=Y","FA_ADJUSTED=GAAP","Sort=A","Dates=H","DateFormat=P","Fill=—","Direction=H","UseDPDF=Y")</f>
        <v>#NAME?</v>
      </c>
      <c r="CX175" s="2" t="e">
        <f ca="1">_xll.BDH($C$153,"ACCT_RCV_DAYS","FQ2 2018","FQ2 2018","Currency=INR","Period=FQ","BEST_FPERIOD_OVERRIDE=FQ","FILING_STATUS=OR","EQY_CONSOLIDATED=Y","FA_ADJUSTED=GAAP","Sort=A","Dates=H","DateFormat=P","Fill=—","Direction=H","UseDPDF=Y")</f>
        <v>#NAME?</v>
      </c>
      <c r="CY175" s="4" t="e">
        <f ca="1">_xll.BDH($C$153,"INVENT_TURN","FQ2 2018","FQ2 2018","Currency=INR","Period=FQ","BEST_FPERIOD_OVERRIDE=FQ","FILING_STATUS=OR","EQY_CONSOLIDATED=Y","FA_ADJUSTED=GAAP","Sort=A","Dates=H","DateFormat=P","Fill=—","Direction=H","UseDPDF=Y")</f>
        <v>#NAME?</v>
      </c>
      <c r="CZ175" s="2" t="e">
        <f ca="1">_xll.BDH($C$153,"INVENT_DAYS","FQ2 2018","FQ2 2018","Currency=INR","Period=FQ","BEST_FPERIOD_OVERRIDE=FQ","FILING_STATUS=OR","EQY_CONSOLIDATED=Y","FA_ADJUSTED=GAAP","Sort=A","Dates=H","DateFormat=P","Fill=—","Direction=H","UseDPDF=Y")</f>
        <v>#NAME?</v>
      </c>
      <c r="DA175" s="4" t="e">
        <f ca="1">_xll.BDH($C$153,"ACCOUNTS_PAYABLE_TURNOVER","FQ2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175" s="2" t="e">
        <f ca="1">_xll.BDH($C$153,"ACCOUNTS_PAYABLE_TURNOVER_DAYS","FQ2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175" s="4" t="e">
        <f ca="1">_xll.BDH($C$153,"CASH_CONVERSION_CYCLE","FQ2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175" s="4" t="e">
        <f ca="1">_xll.BDH($C$153,"INV_TO_CASH_DAYS","FQ2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175" s="5" t="e">
        <f ca="1">_xll.BDH($C$153,"BS_INVENTORIES","FQ2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175" s="3" t="e">
        <f ca="1">_xll.BDH($C$153,"INVTRY_RAW_MATERIALS","FQ2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175" s="3" t="e">
        <f ca="1">_xll.BDH($C$153,"INVTRY_IN_PROGRESS","FQ2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175" s="3" t="e">
        <f ca="1">_xll.BDH($C$153,"INVTRY_FINISHED_GOODS","FQ2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175" s="3" t="e">
        <f ca="1">_xll.BDH($C$153,"BS_OTHER_INV","FQ2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176" spans="1:113" x14ac:dyDescent="0.3">
      <c r="A176" s="6"/>
      <c r="B176" s="6"/>
      <c r="C176" s="6"/>
      <c r="D176" s="6"/>
      <c r="E176" t="s">
        <v>80</v>
      </c>
      <c r="F176" t="e">
        <f ca="1">_xll.BDH($C$153,"RETURN_COM_EQY","FQ3 2018","FQ3 2018","Currency=INR","Period=FQ","BEST_FPERIOD_OVERRIDE=FQ","FILING_STATUS=OR","EQY_CONSOLIDATED=Y","FA_ADJUSTED=GAAP","Sort=A","Dates=H","DateFormat=P","Fill=—","Direction=H","UseDPDF=Y")</f>
        <v>#NAME?</v>
      </c>
      <c r="G176" t="e">
        <f ca="1">_xll.BDH($C$153,"RETURN_ON_ASSET","FQ3 2018","FQ3 2018","Currency=INR","Period=FQ","BEST_FPERIOD_OVERRIDE=FQ","FILING_STATUS=OR","EQY_CONSOLIDATED=Y","FA_ADJUSTED=GAAP","Sort=A","Dates=H","DateFormat=P","Fill=—","Direction=H","UseDPDF=Y")</f>
        <v>#NAME?</v>
      </c>
      <c r="H176" t="e">
        <f ca="1">_xll.BDH($C$153,"RETURN_ON_CAP","FQ3 2018","FQ3 2018","Currency=INR","Period=FQ","BEST_FPERIOD_OVERRIDE=FQ","FILING_STATUS=OR","EQY_CONSOLIDATED=Y","FA_ADJUSTED=GAAP","Sort=A","Dates=H","DateFormat=P","Fill=—","Direction=H","UseDPDF=Y")</f>
        <v>#NAME?</v>
      </c>
      <c r="I176" t="e">
        <f ca="1">_xll.BDH($C$153,"RETURN_ON_INV_CAPITAL","FQ3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176" t="e">
        <f ca="1">_xll.BDH($C$153,"EBITDA_TO_REVENUE","FQ3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176" t="e">
        <f ca="1">_xll.BDH($C$153,"OPER_MARGIN","FQ3 2018","FQ3 2018","Currency=INR","Period=FQ","BEST_FPERIOD_OVERRIDE=FQ","FILING_STATUS=OR","EQY_CONSOLIDATED=Y","FA_ADJUSTED=GAAP","Sort=A","Dates=H","DateFormat=P","Fill=—","Direction=H","UseDPDF=Y")</f>
        <v>#NAME?</v>
      </c>
      <c r="L176" t="e">
        <f ca="1">_xll.BDH($C$153,"INCREMENTAL_OPERATING_MARGIN","FQ3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176" t="e">
        <f ca="1">_xll.BDH($C$153,"PRETAX_INC_TO_NET_SALES","FQ3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176" t="e">
        <f ca="1">_xll.BDH($C$153,"INC_BEF_XO_ITEMS_TO_NET_SALES","FQ3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176" t="e">
        <f ca="1">_xll.BDH($C$153,"PROF_MARGIN","FQ3 2018","FQ3 2018","Currency=INR","Period=FQ","BEST_FPERIOD_OVERRIDE=FQ","FILING_STATUS=OR","EQY_CONSOLIDATED=Y","FA_ADJUSTED=GAAP","Sort=A","Dates=H","DateFormat=P","Fill=—","Direction=H","UseDPDF=Y")</f>
        <v>#NAME?</v>
      </c>
      <c r="P176" t="e">
        <f ca="1">_xll.BDH($C$153,"NET_INCOME_TO_COMMON_MARGIN","FQ3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176" t="e">
        <f ca="1">_xll.BDH($C$153,"EFF_TAX_RATE","FQ3 2018","FQ3 2018","Currency=INR","Period=FQ","BEST_FPERIOD_OVERRIDE=FQ","FILING_STATUS=OR","EQY_CONSOLIDATED=Y","FA_ADJUSTED=GAAP","Sort=A","Dates=H","DateFormat=P","Fill=—","Direction=H","UseDPDF=Y")</f>
        <v>#NAME?</v>
      </c>
      <c r="R176" t="e">
        <f ca="1">_xll.BDH($C$153,"DVD_PAYOUT_RATIO","FQ3 2018","FQ3 2018","Currency=INR","Period=FQ","BEST_FPERIOD_OVERRIDE=FQ","FILING_STATUS=OR","EQY_CONSOLIDATED=Y","FA_ADJUSTED=GAAP","Sort=A","Dates=H","DateFormat=P","Fill=—","Direction=H","UseDPDF=Y")</f>
        <v>#NAME?</v>
      </c>
      <c r="S176" t="e">
        <f ca="1">_xll.BDH($C$153,"SUSTAIN_GROWTH_RT","FQ3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176" s="2" t="e">
        <f ca="1">_xll.BDH($C$153,"SALES_GROWTH","FQ3 2018","FQ3 2018","Currency=INR","Period=FQ","BEST_FPERIOD_OVERRIDE=FQ","FILING_STATUS=OR","EQY_CONSOLIDATED=Y","FA_ADJUSTED=GAAP","Sort=A","Dates=H","DateFormat=P","Fill=—","Direction=H","UseDPDF=Y")</f>
        <v>#NAME?</v>
      </c>
      <c r="U176" s="2" t="e">
        <f ca="1">_xll.BDH($C$153,"EBITDA_GROWTH","FQ3 2018","FQ3 2018","Currency=INR","Period=FQ","BEST_FPERIOD_OVERRIDE=FQ","FILING_STATUS=OR","EQY_CONSOLIDATED=Y","FA_ADJUSTED=GAAP","Sort=A","Dates=H","DateFormat=P","Fill=—","Direction=H","UseDPDF=Y")</f>
        <v>#NAME?</v>
      </c>
      <c r="V176" s="2" t="e">
        <f ca="1">_xll.BDH($C$153,"OPER_INC_GROWTH","FQ3 2018","FQ3 2018","Currency=INR","Period=FQ","BEST_FPERIOD_OVERRIDE=FQ","FILING_STATUS=OR","EQY_CONSOLIDATED=Y","FA_ADJUSTED=GAAP","Sort=A","Dates=H","DateFormat=P","Fill=—","Direction=H","UseDPDF=Y")</f>
        <v>#NAME?</v>
      </c>
      <c r="W176" s="2" t="e">
        <f ca="1">_xll.BDH($C$153,"EARN_FOR_COM_GROWTH","FQ3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176" s="2" t="e">
        <f ca="1">_xll.BDH($C$153,"DILUTED_EPS_AFT_XO_ITEMS_GROWTH","FQ3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176" s="2" t="e">
        <f ca="1">_xll.BDH($C$153,"DIVIDEND_PER_SHARE_1_YEAR_GROWTH","FQ3 2018","FQ3 2018","Currency=INR","Period=FQ","BEST_FPERIOD_OVERRIDE=FQ","FILING_STATUS=OR","EQY_CONSOLIDATED=Y","Sort=A","Dates=H","DateFormat=P","Fill=—","Direction=H","UseDPDF=Y")</f>
        <v>#NAME?</v>
      </c>
      <c r="Z176" s="2" t="e">
        <f ca="1">_xll.BDH($C$153,"ACCOUNTS_RECEIVABLE_GROWTH","FQ3 2018","FQ3 2018","Currency=INR","Period=FQ","BEST_FPERIOD_OVERRIDE=FQ","FILING_STATUS=OR","EQY_CONSOLIDATED=Y","Sort=A","Dates=H","DateFormat=P","Fill=—","Direction=H","UseDPDF=Y")</f>
        <v>#NAME?</v>
      </c>
      <c r="AA176" s="2" t="e">
        <f ca="1">_xll.BDH($C$153,"INVENTORY_GROWTH","FQ3 2018","FQ3 2018","Currency=INR","Period=FQ","BEST_FPERIOD_OVERRIDE=FQ","FILING_STATUS=OR","EQY_CONSOLIDATED=Y","Sort=A","Dates=H","DateFormat=P","Fill=—","Direction=H","UseDPDF=Y")</f>
        <v>#NAME?</v>
      </c>
      <c r="AB176" s="2" t="e">
        <f ca="1">_xll.BDH($C$153,"NET_FIXED_ASSETS_1_YEAR_GROWTH","FQ3 2018","FQ3 2018","Currency=INR","Period=FQ","BEST_FPERIOD_OVERRIDE=FQ","FILING_STATUS=OR","EQY_CONSOLIDATED=Y","Sort=A","Dates=H","DateFormat=P","Fill=—","Direction=H","UseDPDF=Y")</f>
        <v>#NAME?</v>
      </c>
      <c r="AC176" s="2" t="e">
        <f ca="1">_xll.BDH($C$153,"ASSET_GROWTH","FQ3 2018","FQ3 2018","Currency=INR","Period=FQ","BEST_FPERIOD_OVERRIDE=FQ","FILING_STATUS=OR","EQY_CONSOLIDATED=Y","Sort=A","Dates=H","DateFormat=P","Fill=—","Direction=H","UseDPDF=Y")</f>
        <v>#NAME?</v>
      </c>
      <c r="AD176" s="2" t="e">
        <f ca="1">_xll.BDH($C$153,"MODIFIED_WORK_CAP_GROWTH","FQ3 2018","FQ3 2018","Currency=INR","Period=FQ","BEST_FPERIOD_OVERRIDE=FQ","FILING_STATUS=OR","EQY_CONSOLIDATED=Y","Sort=A","Dates=H","DateFormat=P","Fill=—","Direction=H","UseDPDF=Y")</f>
        <v>#NAME?</v>
      </c>
      <c r="AE176" s="2" t="e">
        <f ca="1">_xll.BDH($C$153,"WORK_CAP_GROWTH","FQ3 2018","FQ3 2018","Currency=INR","Period=FQ","BEST_FPERIOD_OVERRIDE=FQ","FILING_STATUS=OR","EQY_CONSOLIDATED=Y","Sort=A","Dates=H","DateFormat=P","Fill=—","Direction=H","UseDPDF=Y")</f>
        <v>#NAME?</v>
      </c>
      <c r="AF176" s="2" t="e">
        <f ca="1">_xll.BDH($C$153,"ACCOUNTS_PAYABLE_GROWTH_1YR","FQ3 2018","FQ3 2018","Currency=INR","Period=FQ","BEST_FPERIOD_OVERRIDE=FQ","FILING_STATUS=OR","EQY_CONSOLIDATED=Y","Sort=A","Dates=H","DateFormat=P","Fill=—","Direction=H","UseDPDF=Y")</f>
        <v>#NAME?</v>
      </c>
      <c r="AG176" s="2" t="e">
        <f ca="1">_xll.BDH($C$153,"SHORT_TERM_DEBT_1_YEAR_GROWTH","FQ3 2018","FQ3 2018","Currency=INR","Period=FQ","BEST_FPERIOD_OVERRIDE=FQ","FILING_STATUS=OR","EQY_CONSOLIDATED=Y","Sort=A","Dates=H","DateFormat=P","Fill=—","Direction=H","UseDPDF=Y")</f>
        <v>#NAME?</v>
      </c>
      <c r="AH176" s="2" t="e">
        <f ca="1">_xll.BDH($C$153,"TOTAL_DEBT_1_YEAR_GROWTH","FQ3 2018","FQ3 2018","Currency=INR","Period=FQ","BEST_FPERIOD_OVERRIDE=FQ","FILING_STATUS=OR","EQY_CONSOLIDATED=Y","Sort=A","Dates=H","DateFormat=P","Fill=—","Direction=H","UseDPDF=Y")</f>
        <v>#NAME?</v>
      </c>
      <c r="AI176" s="2" t="e">
        <f ca="1">_xll.BDH($C$153,"TOTAL_EQUITY_1_YEAR_GROWTH","FQ3 2018","FQ3 2018","Currency=INR","Period=FQ","BEST_FPERIOD_OVERRIDE=FQ","FILING_STATUS=OR","EQY_CONSOLIDATED=Y","Sort=A","Dates=H","DateFormat=P","Fill=—","Direction=H","UseDPDF=Y")</f>
        <v>#NAME?</v>
      </c>
      <c r="AJ176" s="2" t="e">
        <f ca="1">_xll.BDH($C$153,"GROWTH_IN_CAP","FQ3 2018","FQ3 2018","Currency=INR","Period=FQ","BEST_FPERIOD_OVERRIDE=FQ","FILING_STATUS=OR","EQY_CONSOLIDATED=Y","Sort=A","Dates=H","DateFormat=P","Fill=—","Direction=H","UseDPDF=Y")</f>
        <v>#NAME?</v>
      </c>
      <c r="AK176" s="2" t="e">
        <f ca="1">_xll.BDH($C$153,"BVPS_GROWTH","FQ3 2018","FQ3 2018","Currency=INR","Period=FQ","BEST_FPERIOD_OVERRIDE=FQ","FILING_STATUS=OR","EQY_CONSOLIDATED=Y","Sort=A","Dates=H","DateFormat=P","Fill=—","Direction=H","UseDPDF=Y")</f>
        <v>#NAME?</v>
      </c>
      <c r="AL176" s="2" t="e">
        <f ca="1">_xll.BDH($C$153,"CASH_FLOW_GROWTH","FQ3 2018","FQ3 2018","Currency=INR","Period=FQ","BEST_FPERIOD_OVERRIDE=FQ","FILING_STATUS=OR","EQY_CONSOLIDATED=Y","Sort=A","Dates=H","DateFormat=P","Fill=—","Direction=H","UseDPDF=Y")</f>
        <v>#NAME?</v>
      </c>
      <c r="AM176" s="2" t="e">
        <f ca="1">_xll.BDH($C$153,"GEO_GROW_NET_SALES","FQ3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176" s="2" t="e">
        <f ca="1">_xll.BDH($C$153,"GEO_GROW_EBITDA","FQ3 2018","FQ3 2018","Currency=INR","Period=FQ","BEST_FPERIOD_OVERRIDE=FQ","FILING_STATUS=OR","EQY_CONSOLIDATED=Y","FA_ADJUSTED=GAAP","Sort=A","Dates=H","DateFormat=P","Fill=—","Direction=H","UseDPDF=Y")</f>
        <v>#NAME?</v>
      </c>
      <c r="AO176" s="2" t="e">
        <f ca="1">_xll.BDH($C$153,"GEO_GROW_OPER_INC","FQ3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176" s="2" t="e">
        <f ca="1">_xll.BDH($C$153,"NET_INCOME_TO_COMMON_5_YR_GROWTH","FQ3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176" s="2" t="e">
        <f ca="1">_xll.BDH($C$153,"5Y_GEO_GROWTH_DILUTED_EPS","FQ3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176" s="2" t="e">
        <f ca="1">_xll.BDH($C$153,"GEO_GROW_DVD_PER_SH","FQ3 2018","FQ3 2018","Currency=INR","Period=FQ","BEST_FPERIOD_OVERRIDE=FQ","FILING_STATUS=OR","EQY_CONSOLIDATED=Y","Sort=A","Dates=H","DateFormat=P","Fill=—","Direction=H","UseDPDF=Y")</f>
        <v>#NAME?</v>
      </c>
      <c r="AS176" s="2" t="e">
        <f ca="1">_xll.BDH($C$153,"ACCOUNTS_RECEIVABLE_5_YR_GROWTH","FQ3 2018","FQ3 2018","Currency=INR","Period=FQ","BEST_FPERIOD_OVERRIDE=FQ","FILING_STATUS=OR","EQY_CONSOLIDATED=Y","Sort=A","Dates=H","DateFormat=P","Fill=—","Direction=H","UseDPDF=Y")</f>
        <v>#NAME?</v>
      </c>
      <c r="AT176" s="2" t="e">
        <f ca="1">_xll.BDH($C$153,"INVENTORY_5_YEAR_GROWTH","FQ3 2018","FQ3 2018","Currency=INR","Period=FQ","BEST_FPERIOD_OVERRIDE=FQ","FILING_STATUS=OR","EQY_CONSOLIDATED=Y","Sort=A","Dates=H","DateFormat=P","Fill=—","Direction=H","UseDPDF=Y")</f>
        <v>#NAME?</v>
      </c>
      <c r="AU176" s="2" t="e">
        <f ca="1">_xll.BDH($C$153,"NET_FIXED_ASSETS_5_YEAR_GROWTH","FQ3 2018","FQ3 2018","Currency=INR","Period=FQ","BEST_FPERIOD_OVERRIDE=FQ","FILING_STATUS=OR","EQY_CONSOLIDATED=Y","Sort=A","Dates=H","DateFormat=P","Fill=—","Direction=H","UseDPDF=Y")</f>
        <v>#NAME?</v>
      </c>
      <c r="AV176" s="2" t="e">
        <f ca="1">_xll.BDH($C$153,"GEO_GROW_TOT_ASSET","FQ3 2018","FQ3 2018","Currency=INR","Period=FQ","BEST_FPERIOD_OVERRIDE=FQ","FILING_STATUS=OR","EQY_CONSOLIDATED=Y","Sort=A","Dates=H","DateFormat=P","Fill=—","Direction=H","UseDPDF=Y")</f>
        <v>#NAME?</v>
      </c>
      <c r="AW176" s="2" t="e">
        <f ca="1">_xll.BDH($C$153,"MODIFIED_WORKING_CPTL_5YR_GRWTH","FQ3 2018","FQ3 2018","Currency=INR","Period=FQ","BEST_FPERIOD_OVERRIDE=FQ","FILING_STATUS=OR","EQY_CONSOLIDATED=Y","Sort=A","Dates=H","DateFormat=P","Fill=—","Direction=H","UseDPDF=Y")</f>
        <v>#NAME?</v>
      </c>
      <c r="AX176" s="2" t="e">
        <f ca="1">_xll.BDH($C$153,"WORKING_CAPITAL_5_YEAR_GROWTH","FQ3 2018","FQ3 2018","Currency=INR","Period=FQ","BEST_FPERIOD_OVERRIDE=FQ","FILING_STATUS=OR","EQY_CONSOLIDATED=Y","Sort=A","Dates=H","DateFormat=P","Fill=—","Direction=H","UseDPDF=Y")</f>
        <v>#NAME?</v>
      </c>
      <c r="AY176" s="2" t="e">
        <f ca="1">_xll.BDH($C$153,"ACCOUNTS_PAYABLE_5_YEAR_GROWTH","FQ3 2018","FQ3 2018","Currency=INR","Period=FQ","BEST_FPERIOD_OVERRIDE=FQ","FILING_STATUS=OR","EQY_CONSOLIDATED=Y","Sort=A","Dates=H","DateFormat=P","Fill=—","Direction=H","UseDPDF=Y")</f>
        <v>#NAME?</v>
      </c>
      <c r="AZ176" s="2" t="e">
        <f ca="1">_xll.BDH($C$153,"SHORT_TERM_DEBT_5_YEAR_GROWTH","FQ3 2018","FQ3 2018","Currency=INR","Period=FQ","BEST_FPERIOD_OVERRIDE=FQ","FILING_STATUS=OR","EQY_CONSOLIDATED=Y","Sort=A","Dates=H","DateFormat=P","Fill=—","Direction=H","UseDPDF=Y")</f>
        <v>#NAME?</v>
      </c>
      <c r="BA176" s="2" t="e">
        <f ca="1">_xll.BDH($C$153,"TOTAL_DEBT_5_YEAR_GROWTH","FQ3 2018","FQ3 2018","Currency=INR","Period=FQ","BEST_FPERIOD_OVERRIDE=FQ","FILING_STATUS=OR","EQY_CONSOLIDATED=Y","Sort=A","Dates=H","DateFormat=P","Fill=—","Direction=H","UseDPDF=Y")</f>
        <v>#NAME?</v>
      </c>
      <c r="BB176" s="2" t="e">
        <f ca="1">_xll.BDH($C$153,"GEO_GROW_TOT_SHRHLDR_EQY","FQ3 2018","FQ3 2018","Currency=INR","Period=FQ","BEST_FPERIOD_OVERRIDE=FQ","FILING_STATUS=OR","EQY_CONSOLIDATED=Y","Sort=A","Dates=H","DateFormat=P","Fill=—","Direction=H","UseDPDF=Y")</f>
        <v>#NAME?</v>
      </c>
      <c r="BC176" s="2" t="e">
        <f ca="1">_xll.BDH($C$153,"TOTAL_CAPITAL_5_YEAR_GROWTH","FQ3 2018","FQ3 2018","Currency=INR","Period=FQ","BEST_FPERIOD_OVERRIDE=FQ","FILING_STATUS=OR","EQY_CONSOLIDATED=Y","Sort=A","Dates=H","DateFormat=P","Fill=—","Direction=H","UseDPDF=Y")</f>
        <v>#NAME?</v>
      </c>
      <c r="BD176" s="2" t="e">
        <f ca="1">_xll.BDH($C$153,"GEO_GROW_BOOK_VAL","FQ3 2018","FQ3 2018","Currency=INR","Period=FQ","BEST_FPERIOD_OVERRIDE=FQ","FILING_STATUS=OR","EQY_CONSOLIDATED=Y","Sort=A","Dates=H","DateFormat=P","Fill=—","Direction=H","UseDPDF=Y")</f>
        <v>#NAME?</v>
      </c>
      <c r="BE176" s="2" t="e">
        <f ca="1">_xll.BDH($C$153,"GEO_GROW_CASH_OPER_ACT","FQ3 2018","FQ3 2018","Currency=INR","Period=FQ","BEST_FPERIOD_OVERRIDE=FQ","FILING_STATUS=OR","EQY_CONSOLIDATED=Y","Sort=A","Dates=H","DateFormat=P","Fill=—","Direction=H","UseDPDF=Y")</f>
        <v>#NAME?</v>
      </c>
      <c r="BF176" s="2" t="e">
        <f ca="1">_xll.BDH($C$153,"REVENUE_SEQUENTIAL_GROWTH","FQ3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176" s="2" t="e">
        <f ca="1">_xll.BDH($C$153,"EBITDA_SEQUENTIAL_GROWTH","FQ3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176" s="2" t="e">
        <f ca="1">_xll.BDH($C$153,"OPERATING_INCOME_SEQ_GROWTH","FQ3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176" s="2" t="e">
        <f ca="1">_xll.BDH($C$153,"NET_INCOME_TO_COMMON_SEQ_GROWTH","FQ3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176" s="2" t="e">
        <f ca="1">_xll.BDH($C$153,"EPS_DILUTED_SEQUENTIAL_GROWTH","FQ3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176" s="2" t="e">
        <f ca="1">_xll.BDH($C$153,"DPS_SEQUENTIAL_GROWTH","FQ3 2018","FQ3 2018","Currency=INR","Period=FQ","BEST_FPERIOD_OVERRIDE=FQ","FILING_STATUS=OR","EQY_CONSOLIDATED=Y","Sort=A","Dates=H","DateFormat=P","Fill=—","Direction=H","UseDPDF=Y")</f>
        <v>#NAME?</v>
      </c>
      <c r="BL176" s="2" t="e">
        <f ca="1">_xll.BDH($C$153,"ACCOUNTS_RECEIVABLE_SEQ_GROWTH","FQ3 2018","FQ3 2018","Currency=INR","Period=FQ","BEST_FPERIOD_OVERRIDE=FQ","FILING_STATUS=OR","EQY_CONSOLIDATED=Y","Sort=A","Dates=H","DateFormat=P","Fill=—","Direction=H","UseDPDF=Y")</f>
        <v>#NAME?</v>
      </c>
      <c r="BM176" s="2" t="e">
        <f ca="1">_xll.BDH($C$153,"INVENTORY_SEQUENTIAL_GROWTH","FQ3 2018","FQ3 2018","Currency=INR","Period=FQ","BEST_FPERIOD_OVERRIDE=FQ","FILING_STATUS=OR","EQY_CONSOLIDATED=Y","Sort=A","Dates=H","DateFormat=P","Fill=—","Direction=H","UseDPDF=Y")</f>
        <v>#NAME?</v>
      </c>
      <c r="BN176" s="2" t="e">
        <f ca="1">_xll.BDH($C$153,"FIXED_ASSETS_SEQUENTIAL_GROWTH","FQ3 2018","FQ3 2018","Currency=INR","Period=FQ","BEST_FPERIOD_OVERRIDE=FQ","FILING_STATUS=OR","EQY_CONSOLIDATED=Y","Sort=A","Dates=H","DateFormat=P","Fill=—","Direction=H","UseDPDF=Y")</f>
        <v>#NAME?</v>
      </c>
      <c r="BO176" s="2" t="e">
        <f ca="1">_xll.BDH($C$153,"TOTAL_ASSETS_SEQUENTIAL_GROWTH","FQ3 2018","FQ3 2018","Currency=INR","Period=FQ","BEST_FPERIOD_OVERRIDE=FQ","FILING_STATUS=OR","EQY_CONSOLIDATED=Y","Sort=A","Dates=H","DateFormat=P","Fill=—","Direction=H","UseDPDF=Y")</f>
        <v>#NAME?</v>
      </c>
      <c r="BP176" s="2" t="e">
        <f ca="1">_xll.BDH($C$153,"MODIFIED_WORKING_CPTL_SEQ_GRWTH","FQ3 2018","FQ3 2018","Currency=INR","Period=FQ","BEST_FPERIOD_OVERRIDE=FQ","FILING_STATUS=OR","EQY_CONSOLIDATED=Y","Sort=A","Dates=H","DateFormat=P","Fill=—","Direction=H","UseDPDF=Y")</f>
        <v>#NAME?</v>
      </c>
      <c r="BQ176" s="2" t="e">
        <f ca="1">_xll.BDH($C$153,"WORKING_CAPITAL_SEQ_GROWTH","FQ3 2018","FQ3 2018","Currency=INR","Period=FQ","BEST_FPERIOD_OVERRIDE=FQ","FILING_STATUS=OR","EQY_CONSOLIDATED=Y","Sort=A","Dates=H","DateFormat=P","Fill=—","Direction=H","UseDPDF=Y")</f>
        <v>#NAME?</v>
      </c>
      <c r="BR176" s="2" t="e">
        <f ca="1">_xll.BDH($C$153,"ACCOUNTS_PAYABLE_SEQ_GROWTH","FQ3 2018","FQ3 2018","Currency=INR","Period=FQ","BEST_FPERIOD_OVERRIDE=FQ","FILING_STATUS=OR","EQY_CONSOLIDATED=Y","Sort=A","Dates=H","DateFormat=P","Fill=—","Direction=H","UseDPDF=Y")</f>
        <v>#NAME?</v>
      </c>
      <c r="BS176" s="2" t="e">
        <f ca="1">_xll.BDH($C$153,"ST_DEBT_SEQUENTIAL_GROWTH","FQ3 2018","FQ3 2018","Currency=INR","Period=FQ","BEST_FPERIOD_OVERRIDE=FQ","FILING_STATUS=OR","EQY_CONSOLIDATED=Y","Sort=A","Dates=H","DateFormat=P","Fill=—","Direction=H","UseDPDF=Y")</f>
        <v>#NAME?</v>
      </c>
      <c r="BT176" s="2" t="e">
        <f ca="1">_xll.BDH($C$153,"TOTAL_DEBT_SEQUENTIAL_GROWTH","FQ3 2018","FQ3 2018","Currency=INR","Period=FQ","BEST_FPERIOD_OVERRIDE=FQ","FILING_STATUS=OR","EQY_CONSOLIDATED=Y","Sort=A","Dates=H","DateFormat=P","Fill=—","Direction=H","UseDPDF=Y")</f>
        <v>#NAME?</v>
      </c>
      <c r="BU176" s="2" t="e">
        <f ca="1">_xll.BDH($C$153,"TOTAL_EQUITY_SEQUENTIAL_GROWTH","FQ3 2018","FQ3 2018","Currency=INR","Period=FQ","BEST_FPERIOD_OVERRIDE=FQ","FILING_STATUS=OR","EQY_CONSOLIDATED=Y","Sort=A","Dates=H","DateFormat=P","Fill=—","Direction=H","UseDPDF=Y")</f>
        <v>#NAME?</v>
      </c>
      <c r="BV176" s="2" t="e">
        <f ca="1">_xll.BDH($C$153,"TOTAL_CAPITAL_SEQUENTIAL_GROWTH","FQ3 2018","FQ3 2018","Currency=INR","Period=FQ","BEST_FPERIOD_OVERRIDE=FQ","FILING_STATUS=OR","EQY_CONSOLIDATED=Y","Sort=A","Dates=H","DateFormat=P","Fill=—","Direction=H","UseDPDF=Y")</f>
        <v>#NAME?</v>
      </c>
      <c r="BW176" s="2" t="e">
        <f ca="1">_xll.BDH($C$153,"BPS_SEQUENTIAL_GROWTH","FQ3 2018","FQ3 2018","Currency=INR","Period=FQ","BEST_FPERIOD_OVERRIDE=FQ","FILING_STATUS=OR","EQY_CONSOLIDATED=Y","Sort=A","Dates=H","DateFormat=P","Fill=—","Direction=H","UseDPDF=Y")</f>
        <v>#NAME?</v>
      </c>
      <c r="BX176" s="2" t="e">
        <f ca="1">_xll.BDH($C$153,"CFO_SEQUENTIAL_GROWTH","FQ3 2018","FQ3 2018","Currency=INR","Period=FQ","BEST_FPERIOD_OVERRIDE=FQ","FILING_STATUS=OR","EQY_CONSOLIDATED=Y","Sort=A","Dates=H","DateFormat=P","Fill=—","Direction=H","UseDPDF=Y")</f>
        <v>#NAME?</v>
      </c>
      <c r="BY176" s="3" t="e">
        <f ca="1">_xll.BDH($C$153,"SHORT_AND_LONG_TERM_DEBT","FQ3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176" s="3" t="e">
        <f ca="1">_xll.BDH($C$153,"BS_ST_BORROW","FQ3 2018","FQ3 2018","Currency=INR","Period=FQ","BEST_FPERIOD_OVERRIDE=FQ","FILING_STATUS=OR","EQY_CONSOLIDATED=Y","SCALING_FORMAT=MLN","Sort=A","Dates=H","DateFormat=P","Fill=—","Direction=H","UseDPDF=Y")</f>
        <v>#NAME?</v>
      </c>
      <c r="CA176" s="3" t="e">
        <f ca="1">_xll.BDH($C$153,"BS_LT_BORROW","FQ3 2018","FQ3 2018","Currency=INR","Period=FQ","BEST_FPERIOD_OVERRIDE=FQ","FILING_STATUS=OR","EQY_CONSOLIDATED=Y","SCALING_FORMAT=MLN","Sort=A","Dates=H","DateFormat=P","Fill=—","Direction=H","UseDPDF=Y")</f>
        <v>#NAME?</v>
      </c>
      <c r="CB176" s="2" t="e">
        <f ca="1">_xll.BDH($C$153,"TOT_DEBT_TO_EBITDA","FQ3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176" s="2" t="e">
        <f ca="1">_xll.BDH($C$153,"NET_DEBT_TO_EBITDA","FQ3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176" s="2" t="e">
        <f ca="1">_xll.BDH($C$153,"TOTAL_DEBT_TO_EBIT","FQ3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176" s="2" t="e">
        <f ca="1">_xll.BDH($C$153,"NET_DEBT_TO_EBIT","FQ3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176" s="2" t="e">
        <f ca="1">_xll.BDH($C$153,"EBITDA_TO_INTEREST_EXPN","FQ3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176" s="2" t="e">
        <f ca="1">_xll.BDH($C$153,"COM_EQY_TO_TOT_ASSET","FQ3 2018","FQ3 2018","Currency=INR","Period=FQ","BEST_FPERIOD_OVERRIDE=FQ","FILING_STATUS=OR","EQY_CONSOLIDATED=Y","Sort=A","Dates=H","DateFormat=P","Fill=—","Direction=H","UseDPDF=Y")</f>
        <v>#NAME?</v>
      </c>
      <c r="CH176" s="2" t="e">
        <f ca="1">_xll.BDH($C$153,"LT_DEBT_TO_TOT_EQY","FQ3 2018","FQ3 2018","Currency=INR","Period=FQ","BEST_FPERIOD_OVERRIDE=FQ","FILING_STATUS=OR","EQY_CONSOLIDATED=Y","Sort=A","Dates=H","DateFormat=P","Fill=—","Direction=H","UseDPDF=Y")</f>
        <v>#NAME?</v>
      </c>
      <c r="CI176" s="2" t="e">
        <f ca="1">_xll.BDH($C$153,"LT_DEBT_TO_TOT_CAP","FQ3 2018","FQ3 2018","Currency=INR","Period=FQ","BEST_FPERIOD_OVERRIDE=FQ","FILING_STATUS=OR","EQY_CONSOLIDATED=Y","Sort=A","Dates=H","DateFormat=P","Fill=—","Direction=H","UseDPDF=Y")</f>
        <v>#NAME?</v>
      </c>
      <c r="CJ176" s="2" t="e">
        <f ca="1">_xll.BDH($C$153,"LT_DEBT_TO_TOT_ASSET","FQ3 2018","FQ3 2018","Currency=INR","Period=FQ","BEST_FPERIOD_OVERRIDE=FQ","FILING_STATUS=OR","EQY_CONSOLIDATED=Y","Sort=A","Dates=H","DateFormat=P","Fill=—","Direction=H","UseDPDF=Y")</f>
        <v>#NAME?</v>
      </c>
      <c r="CK176" s="2" t="e">
        <f ca="1">_xll.BDH($C$153,"TOT_DEBT_TO_TOT_EQY","FQ3 2018","FQ3 2018","Currency=INR","Period=FQ","BEST_FPERIOD_OVERRIDE=FQ","FILING_STATUS=OR","EQY_CONSOLIDATED=Y","Sort=A","Dates=H","DateFormat=P","Fill=—","Direction=H","UseDPDF=Y")</f>
        <v>#NAME?</v>
      </c>
      <c r="CL176" s="2" t="e">
        <f ca="1">_xll.BDH($C$153,"TOT_DEBT_TO_TOT_CAP","FQ3 2018","FQ3 2018","Currency=INR","Period=FQ","BEST_FPERIOD_OVERRIDE=FQ","FILING_STATUS=OR","EQY_CONSOLIDATED=Y","Sort=A","Dates=H","DateFormat=P","Fill=—","Direction=H","UseDPDF=Y")</f>
        <v>#NAME?</v>
      </c>
      <c r="CM176" s="2" t="e">
        <f ca="1">_xll.BDH($C$153,"TOT_DEBT_TO_TOT_ASSET","FQ3 2018","FQ3 2018","Currency=INR","Period=FQ","BEST_FPERIOD_OVERRIDE=FQ","FILING_STATUS=OR","EQY_CONSOLIDATED=Y","Sort=A","Dates=H","DateFormat=P","Fill=—","Direction=H","UseDPDF=Y")</f>
        <v>#NAME?</v>
      </c>
      <c r="CN176" s="2" t="e">
        <f ca="1">_xll.BDH($C$153,"NET_DEBT_TO_SHRHLDR_EQTY","FQ3 2018","FQ3 2018","Currency=INR","Period=FQ","BEST_FPERIOD_OVERRIDE=FQ","FILING_STATUS=OR","EQY_CONSOLIDATED=Y","Sort=A","Dates=H","DateFormat=P","Fill=—","Direction=H","UseDPDF=Y")</f>
        <v>#NAME?</v>
      </c>
      <c r="CO176" s="2" t="e">
        <f ca="1">_xll.BDH($C$153,"NET_DEBT_%_CAPITAL","FQ3 2018","FQ3 2018","Currency=INR","Period=FQ","BEST_FPERIOD_OVERRIDE=FQ","FILING_STATUS=OR","EQY_CONSOLIDATED=Y","Sort=A","Dates=H","DateFormat=P","Fill=—","Direction=H","UseDPDF=Y")</f>
        <v>#NAME?</v>
      </c>
      <c r="CP176" s="3" t="e">
        <f ca="1">_xll.BDH($C$153,"EBITDA","FQ3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176" s="3" t="e">
        <f ca="1">_xll.BDH($C$153,"EBITDA_AFTER_CAPEX","FQ3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176" s="3" t="e">
        <f ca="1">_xll.BDH($C$153,"IS_OPER_INC","FQ3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176" s="2" t="e">
        <f ca="1">_xll.BDH($C$153,"CASH_RATIO","FQ3 2018","FQ3 2018","Currency=INR","Period=FQ","BEST_FPERIOD_OVERRIDE=FQ","FILING_STATUS=OR","EQY_CONSOLIDATED=Y","Sort=A","Dates=H","DateFormat=P","Fill=—","Direction=H","UseDPDF=Y")</f>
        <v>#NAME?</v>
      </c>
      <c r="CT176" s="2" t="e">
        <f ca="1">_xll.BDH($C$153,"CUR_RATIO","FQ3 2018","FQ3 2018","Currency=INR","Period=FQ","BEST_FPERIOD_OVERRIDE=FQ","FILING_STATUS=OR","EQY_CONSOLIDATED=Y","Sort=A","Dates=H","DateFormat=P","Fill=—","Direction=H","UseDPDF=Y")</f>
        <v>#NAME?</v>
      </c>
      <c r="CU176" s="2" t="e">
        <f ca="1">_xll.BDH($C$153,"QUICK_RATIO","FQ3 2018","FQ3 2018","Currency=INR","Period=FQ","BEST_FPERIOD_OVERRIDE=FQ","FILING_STATUS=OR","EQY_CONSOLIDATED=Y","Sort=A","Dates=H","DateFormat=P","Fill=—","Direction=H","UseDPDF=Y")</f>
        <v>#NAME?</v>
      </c>
      <c r="CV176" s="2" t="e">
        <f ca="1">_xll.BDH($C$153,"ALTMAN_Z_SCORE","FQ3 2018","FQ3 2018","Currency=INR","Period=FQ","BEST_FPERIOD_OVERRIDE=FQ","FILING_STATUS=OR","EQY_CONSOLIDATED=Y","Sort=A","Dates=H","DateFormat=P","Fill=—","Direction=H","UseDPDF=Y")</f>
        <v>#NAME?</v>
      </c>
      <c r="CW176" s="4" t="e">
        <f ca="1">_xll.BDH($C$153,"ACCT_RCV_TURN","FQ3 2018","FQ3 2018","Currency=INR","Period=FQ","BEST_FPERIOD_OVERRIDE=FQ","FILING_STATUS=OR","EQY_CONSOLIDATED=Y","FA_ADJUSTED=GAAP","Sort=A","Dates=H","DateFormat=P","Fill=—","Direction=H","UseDPDF=Y")</f>
        <v>#NAME?</v>
      </c>
      <c r="CX176" s="2" t="e">
        <f ca="1">_xll.BDH($C$153,"ACCT_RCV_DAYS","FQ3 2018","FQ3 2018","Currency=INR","Period=FQ","BEST_FPERIOD_OVERRIDE=FQ","FILING_STATUS=OR","EQY_CONSOLIDATED=Y","FA_ADJUSTED=GAAP","Sort=A","Dates=H","DateFormat=P","Fill=—","Direction=H","UseDPDF=Y")</f>
        <v>#NAME?</v>
      </c>
      <c r="CY176" s="4" t="e">
        <f ca="1">_xll.BDH($C$153,"INVENT_TURN","FQ3 2018","FQ3 2018","Currency=INR","Period=FQ","BEST_FPERIOD_OVERRIDE=FQ","FILING_STATUS=OR","EQY_CONSOLIDATED=Y","FA_ADJUSTED=GAAP","Sort=A","Dates=H","DateFormat=P","Fill=—","Direction=H","UseDPDF=Y")</f>
        <v>#NAME?</v>
      </c>
      <c r="CZ176" s="2" t="e">
        <f ca="1">_xll.BDH($C$153,"INVENT_DAYS","FQ3 2018","FQ3 2018","Currency=INR","Period=FQ","BEST_FPERIOD_OVERRIDE=FQ","FILING_STATUS=OR","EQY_CONSOLIDATED=Y","FA_ADJUSTED=GAAP","Sort=A","Dates=H","DateFormat=P","Fill=—","Direction=H","UseDPDF=Y")</f>
        <v>#NAME?</v>
      </c>
      <c r="DA176" s="4" t="e">
        <f ca="1">_xll.BDH($C$153,"ACCOUNTS_PAYABLE_TURNOVER","FQ3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176" s="2" t="e">
        <f ca="1">_xll.BDH($C$153,"ACCOUNTS_PAYABLE_TURNOVER_DAYS","FQ3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176" s="4" t="e">
        <f ca="1">_xll.BDH($C$153,"CASH_CONVERSION_CYCLE","FQ3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176" s="4" t="e">
        <f ca="1">_xll.BDH($C$153,"INV_TO_CASH_DAYS","FQ3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176" s="5" t="e">
        <f ca="1">_xll.BDH($C$153,"BS_INVENTORIES","FQ3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176" s="3" t="e">
        <f ca="1">_xll.BDH($C$153,"INVTRY_RAW_MATERIALS","FQ3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176" s="3" t="e">
        <f ca="1">_xll.BDH($C$153,"INVTRY_IN_PROGRESS","FQ3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176" s="3" t="e">
        <f ca="1">_xll.BDH($C$153,"INVTRY_FINISHED_GOODS","FQ3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176" s="3" t="e">
        <f ca="1">_xll.BDH($C$153,"BS_OTHER_INV","FQ3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177" spans="1:113" x14ac:dyDescent="0.3">
      <c r="A177" s="6"/>
      <c r="B177" s="6"/>
      <c r="C177" s="6"/>
      <c r="D177" s="6"/>
      <c r="E177" t="s">
        <v>81</v>
      </c>
      <c r="F177" t="e">
        <f ca="1">_xll.BDH($C$153,"RETURN_COM_EQY","FQ4 2018","FQ4 2018","Currency=INR","Period=FQ","BEST_FPERIOD_OVERRIDE=FQ","FILING_STATUS=OR","EQY_CONSOLIDATED=Y","FA_ADJUSTED=GAAP","Sort=A","Dates=H","DateFormat=P","Fill=—","Direction=H","UseDPDF=Y")</f>
        <v>#NAME?</v>
      </c>
      <c r="G177" t="e">
        <f ca="1">_xll.BDH($C$153,"RETURN_ON_ASSET","FQ4 2018","FQ4 2018","Currency=INR","Period=FQ","BEST_FPERIOD_OVERRIDE=FQ","FILING_STATUS=OR","EQY_CONSOLIDATED=Y","FA_ADJUSTED=GAAP","Sort=A","Dates=H","DateFormat=P","Fill=—","Direction=H","UseDPDF=Y")</f>
        <v>#NAME?</v>
      </c>
      <c r="H177" t="e">
        <f ca="1">_xll.BDH($C$153,"RETURN_ON_CAP","FQ4 2018","FQ4 2018","Currency=INR","Period=FQ","BEST_FPERIOD_OVERRIDE=FQ","FILING_STATUS=OR","EQY_CONSOLIDATED=Y","FA_ADJUSTED=GAAP","Sort=A","Dates=H","DateFormat=P","Fill=—","Direction=H","UseDPDF=Y")</f>
        <v>#NAME?</v>
      </c>
      <c r="I177" t="e">
        <f ca="1">_xll.BDH($C$153,"RETURN_ON_INV_CAPITAL","FQ4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177" t="e">
        <f ca="1">_xll.BDH($C$153,"EBITDA_TO_REVENUE","FQ4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177" t="e">
        <f ca="1">_xll.BDH($C$153,"OPER_MARGIN","FQ4 2018","FQ4 2018","Currency=INR","Period=FQ","BEST_FPERIOD_OVERRIDE=FQ","FILING_STATUS=OR","EQY_CONSOLIDATED=Y","FA_ADJUSTED=GAAP","Sort=A","Dates=H","DateFormat=P","Fill=—","Direction=H","UseDPDF=Y")</f>
        <v>#NAME?</v>
      </c>
      <c r="L177" t="e">
        <f ca="1">_xll.BDH($C$153,"INCREMENTAL_OPERATING_MARGIN","FQ4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177" t="e">
        <f ca="1">_xll.BDH($C$153,"PRETAX_INC_TO_NET_SALES","FQ4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177" t="e">
        <f ca="1">_xll.BDH($C$153,"INC_BEF_XO_ITEMS_TO_NET_SALES","FQ4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177" t="e">
        <f ca="1">_xll.BDH($C$153,"PROF_MARGIN","FQ4 2018","FQ4 2018","Currency=INR","Period=FQ","BEST_FPERIOD_OVERRIDE=FQ","FILING_STATUS=OR","EQY_CONSOLIDATED=Y","FA_ADJUSTED=GAAP","Sort=A","Dates=H","DateFormat=P","Fill=—","Direction=H","UseDPDF=Y")</f>
        <v>#NAME?</v>
      </c>
      <c r="P177" t="e">
        <f ca="1">_xll.BDH($C$153,"NET_INCOME_TO_COMMON_MARGIN","FQ4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177" t="e">
        <f ca="1">_xll.BDH($C$153,"EFF_TAX_RATE","FQ4 2018","FQ4 2018","Currency=INR","Period=FQ","BEST_FPERIOD_OVERRIDE=FQ","FILING_STATUS=OR","EQY_CONSOLIDATED=Y","FA_ADJUSTED=GAAP","Sort=A","Dates=H","DateFormat=P","Fill=—","Direction=H","UseDPDF=Y")</f>
        <v>#NAME?</v>
      </c>
      <c r="R177" t="e">
        <f ca="1">_xll.BDH($C$153,"DVD_PAYOUT_RATIO","FQ4 2018","FQ4 2018","Currency=INR","Period=FQ","BEST_FPERIOD_OVERRIDE=FQ","FILING_STATUS=OR","EQY_CONSOLIDATED=Y","FA_ADJUSTED=GAAP","Sort=A","Dates=H","DateFormat=P","Fill=—","Direction=H","UseDPDF=Y")</f>
        <v>#NAME?</v>
      </c>
      <c r="S177" t="e">
        <f ca="1">_xll.BDH($C$153,"SUSTAIN_GROWTH_RT","FQ4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177" s="2" t="e">
        <f ca="1">_xll.BDH($C$153,"SALES_GROWTH","FQ4 2018","FQ4 2018","Currency=INR","Period=FQ","BEST_FPERIOD_OVERRIDE=FQ","FILING_STATUS=OR","EQY_CONSOLIDATED=Y","FA_ADJUSTED=GAAP","Sort=A","Dates=H","DateFormat=P","Fill=—","Direction=H","UseDPDF=Y")</f>
        <v>#NAME?</v>
      </c>
      <c r="U177" s="2" t="e">
        <f ca="1">_xll.BDH($C$153,"EBITDA_GROWTH","FQ4 2018","FQ4 2018","Currency=INR","Period=FQ","BEST_FPERIOD_OVERRIDE=FQ","FILING_STATUS=OR","EQY_CONSOLIDATED=Y","FA_ADJUSTED=GAAP","Sort=A","Dates=H","DateFormat=P","Fill=—","Direction=H","UseDPDF=Y")</f>
        <v>#NAME?</v>
      </c>
      <c r="V177" s="2" t="e">
        <f ca="1">_xll.BDH($C$153,"OPER_INC_GROWTH","FQ4 2018","FQ4 2018","Currency=INR","Period=FQ","BEST_FPERIOD_OVERRIDE=FQ","FILING_STATUS=OR","EQY_CONSOLIDATED=Y","FA_ADJUSTED=GAAP","Sort=A","Dates=H","DateFormat=P","Fill=—","Direction=H","UseDPDF=Y")</f>
        <v>#NAME?</v>
      </c>
      <c r="W177" s="2" t="e">
        <f ca="1">_xll.BDH($C$153,"EARN_FOR_COM_GROWTH","FQ4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177" s="2" t="e">
        <f ca="1">_xll.BDH($C$153,"DILUTED_EPS_AFT_XO_ITEMS_GROWTH","FQ4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177" s="2" t="e">
        <f ca="1">_xll.BDH($C$153,"DIVIDEND_PER_SHARE_1_YEAR_GROWTH","FQ4 2018","FQ4 2018","Currency=INR","Period=FQ","BEST_FPERIOD_OVERRIDE=FQ","FILING_STATUS=OR","EQY_CONSOLIDATED=Y","Sort=A","Dates=H","DateFormat=P","Fill=—","Direction=H","UseDPDF=Y")</f>
        <v>#NAME?</v>
      </c>
      <c r="Z177" s="2" t="e">
        <f ca="1">_xll.BDH($C$153,"ACCOUNTS_RECEIVABLE_GROWTH","FQ4 2018","FQ4 2018","Currency=INR","Period=FQ","BEST_FPERIOD_OVERRIDE=FQ","FILING_STATUS=OR","EQY_CONSOLIDATED=Y","Sort=A","Dates=H","DateFormat=P","Fill=—","Direction=H","UseDPDF=Y")</f>
        <v>#NAME?</v>
      </c>
      <c r="AA177" s="2" t="e">
        <f ca="1">_xll.BDH($C$153,"INVENTORY_GROWTH","FQ4 2018","FQ4 2018","Currency=INR","Period=FQ","BEST_FPERIOD_OVERRIDE=FQ","FILING_STATUS=OR","EQY_CONSOLIDATED=Y","Sort=A","Dates=H","DateFormat=P","Fill=—","Direction=H","UseDPDF=Y")</f>
        <v>#NAME?</v>
      </c>
      <c r="AB177" s="2" t="e">
        <f ca="1">_xll.BDH($C$153,"NET_FIXED_ASSETS_1_YEAR_GROWTH","FQ4 2018","FQ4 2018","Currency=INR","Period=FQ","BEST_FPERIOD_OVERRIDE=FQ","FILING_STATUS=OR","EQY_CONSOLIDATED=Y","Sort=A","Dates=H","DateFormat=P","Fill=—","Direction=H","UseDPDF=Y")</f>
        <v>#NAME?</v>
      </c>
      <c r="AC177" s="2" t="e">
        <f ca="1">_xll.BDH($C$153,"ASSET_GROWTH","FQ4 2018","FQ4 2018","Currency=INR","Period=FQ","BEST_FPERIOD_OVERRIDE=FQ","FILING_STATUS=OR","EQY_CONSOLIDATED=Y","Sort=A","Dates=H","DateFormat=P","Fill=—","Direction=H","UseDPDF=Y")</f>
        <v>#NAME?</v>
      </c>
      <c r="AD177" s="2" t="e">
        <f ca="1">_xll.BDH($C$153,"MODIFIED_WORK_CAP_GROWTH","FQ4 2018","FQ4 2018","Currency=INR","Period=FQ","BEST_FPERIOD_OVERRIDE=FQ","FILING_STATUS=OR","EQY_CONSOLIDATED=Y","Sort=A","Dates=H","DateFormat=P","Fill=—","Direction=H","UseDPDF=Y")</f>
        <v>#NAME?</v>
      </c>
      <c r="AE177" s="2" t="e">
        <f ca="1">_xll.BDH($C$153,"WORK_CAP_GROWTH","FQ4 2018","FQ4 2018","Currency=INR","Period=FQ","BEST_FPERIOD_OVERRIDE=FQ","FILING_STATUS=OR","EQY_CONSOLIDATED=Y","Sort=A","Dates=H","DateFormat=P","Fill=—","Direction=H","UseDPDF=Y")</f>
        <v>#NAME?</v>
      </c>
      <c r="AF177" s="2" t="e">
        <f ca="1">_xll.BDH($C$153,"ACCOUNTS_PAYABLE_GROWTH_1YR","FQ4 2018","FQ4 2018","Currency=INR","Period=FQ","BEST_FPERIOD_OVERRIDE=FQ","FILING_STATUS=OR","EQY_CONSOLIDATED=Y","Sort=A","Dates=H","DateFormat=P","Fill=—","Direction=H","UseDPDF=Y")</f>
        <v>#NAME?</v>
      </c>
      <c r="AG177" s="2" t="e">
        <f ca="1">_xll.BDH($C$153,"SHORT_TERM_DEBT_1_YEAR_GROWTH","FQ4 2018","FQ4 2018","Currency=INR","Period=FQ","BEST_FPERIOD_OVERRIDE=FQ","FILING_STATUS=OR","EQY_CONSOLIDATED=Y","Sort=A","Dates=H","DateFormat=P","Fill=—","Direction=H","UseDPDF=Y")</f>
        <v>#NAME?</v>
      </c>
      <c r="AH177" s="2" t="e">
        <f ca="1">_xll.BDH($C$153,"TOTAL_DEBT_1_YEAR_GROWTH","FQ4 2018","FQ4 2018","Currency=INR","Period=FQ","BEST_FPERIOD_OVERRIDE=FQ","FILING_STATUS=OR","EQY_CONSOLIDATED=Y","Sort=A","Dates=H","DateFormat=P","Fill=—","Direction=H","UseDPDF=Y")</f>
        <v>#NAME?</v>
      </c>
      <c r="AI177" s="2" t="e">
        <f ca="1">_xll.BDH($C$153,"TOTAL_EQUITY_1_YEAR_GROWTH","FQ4 2018","FQ4 2018","Currency=INR","Period=FQ","BEST_FPERIOD_OVERRIDE=FQ","FILING_STATUS=OR","EQY_CONSOLIDATED=Y","Sort=A","Dates=H","DateFormat=P","Fill=—","Direction=H","UseDPDF=Y")</f>
        <v>#NAME?</v>
      </c>
      <c r="AJ177" s="2" t="e">
        <f ca="1">_xll.BDH($C$153,"GROWTH_IN_CAP","FQ4 2018","FQ4 2018","Currency=INR","Period=FQ","BEST_FPERIOD_OVERRIDE=FQ","FILING_STATUS=OR","EQY_CONSOLIDATED=Y","Sort=A","Dates=H","DateFormat=P","Fill=—","Direction=H","UseDPDF=Y")</f>
        <v>#NAME?</v>
      </c>
      <c r="AK177" s="2" t="e">
        <f ca="1">_xll.BDH($C$153,"BVPS_GROWTH","FQ4 2018","FQ4 2018","Currency=INR","Period=FQ","BEST_FPERIOD_OVERRIDE=FQ","FILING_STATUS=OR","EQY_CONSOLIDATED=Y","Sort=A","Dates=H","DateFormat=P","Fill=—","Direction=H","UseDPDF=Y")</f>
        <v>#NAME?</v>
      </c>
      <c r="AL177" s="2" t="e">
        <f ca="1">_xll.BDH($C$153,"CASH_FLOW_GROWTH","FQ4 2018","FQ4 2018","Currency=INR","Period=FQ","BEST_FPERIOD_OVERRIDE=FQ","FILING_STATUS=OR","EQY_CONSOLIDATED=Y","Sort=A","Dates=H","DateFormat=P","Fill=—","Direction=H","UseDPDF=Y")</f>
        <v>#NAME?</v>
      </c>
      <c r="AM177" s="2" t="e">
        <f ca="1">_xll.BDH($C$153,"GEO_GROW_NET_SALES","FQ4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177" s="2" t="e">
        <f ca="1">_xll.BDH($C$153,"GEO_GROW_EBITDA","FQ4 2018","FQ4 2018","Currency=INR","Period=FQ","BEST_FPERIOD_OVERRIDE=FQ","FILING_STATUS=OR","EQY_CONSOLIDATED=Y","FA_ADJUSTED=GAAP","Sort=A","Dates=H","DateFormat=P","Fill=—","Direction=H","UseDPDF=Y")</f>
        <v>#NAME?</v>
      </c>
      <c r="AO177" s="2" t="e">
        <f ca="1">_xll.BDH($C$153,"GEO_GROW_OPER_INC","FQ4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177" s="2" t="e">
        <f ca="1">_xll.BDH($C$153,"NET_INCOME_TO_COMMON_5_YR_GROWTH","FQ4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177" s="2" t="e">
        <f ca="1">_xll.BDH($C$153,"5Y_GEO_GROWTH_DILUTED_EPS","FQ4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177" s="2" t="e">
        <f ca="1">_xll.BDH($C$153,"GEO_GROW_DVD_PER_SH","FQ4 2018","FQ4 2018","Currency=INR","Period=FQ","BEST_FPERIOD_OVERRIDE=FQ","FILING_STATUS=OR","EQY_CONSOLIDATED=Y","Sort=A","Dates=H","DateFormat=P","Fill=—","Direction=H","UseDPDF=Y")</f>
        <v>#NAME?</v>
      </c>
      <c r="AS177" s="2" t="e">
        <f ca="1">_xll.BDH($C$153,"ACCOUNTS_RECEIVABLE_5_YR_GROWTH","FQ4 2018","FQ4 2018","Currency=INR","Period=FQ","BEST_FPERIOD_OVERRIDE=FQ","FILING_STATUS=OR","EQY_CONSOLIDATED=Y","Sort=A","Dates=H","DateFormat=P","Fill=—","Direction=H","UseDPDF=Y")</f>
        <v>#NAME?</v>
      </c>
      <c r="AT177" s="2" t="e">
        <f ca="1">_xll.BDH($C$153,"INVENTORY_5_YEAR_GROWTH","FQ4 2018","FQ4 2018","Currency=INR","Period=FQ","BEST_FPERIOD_OVERRIDE=FQ","FILING_STATUS=OR","EQY_CONSOLIDATED=Y","Sort=A","Dates=H","DateFormat=P","Fill=—","Direction=H","UseDPDF=Y")</f>
        <v>#NAME?</v>
      </c>
      <c r="AU177" s="2" t="e">
        <f ca="1">_xll.BDH($C$153,"NET_FIXED_ASSETS_5_YEAR_GROWTH","FQ4 2018","FQ4 2018","Currency=INR","Period=FQ","BEST_FPERIOD_OVERRIDE=FQ","FILING_STATUS=OR","EQY_CONSOLIDATED=Y","Sort=A","Dates=H","DateFormat=P","Fill=—","Direction=H","UseDPDF=Y")</f>
        <v>#NAME?</v>
      </c>
      <c r="AV177" s="2" t="e">
        <f ca="1">_xll.BDH($C$153,"GEO_GROW_TOT_ASSET","FQ4 2018","FQ4 2018","Currency=INR","Period=FQ","BEST_FPERIOD_OVERRIDE=FQ","FILING_STATUS=OR","EQY_CONSOLIDATED=Y","Sort=A","Dates=H","DateFormat=P","Fill=—","Direction=H","UseDPDF=Y")</f>
        <v>#NAME?</v>
      </c>
      <c r="AW177" s="2" t="e">
        <f ca="1">_xll.BDH($C$153,"MODIFIED_WORKING_CPTL_5YR_GRWTH","FQ4 2018","FQ4 2018","Currency=INR","Period=FQ","BEST_FPERIOD_OVERRIDE=FQ","FILING_STATUS=OR","EQY_CONSOLIDATED=Y","Sort=A","Dates=H","DateFormat=P","Fill=—","Direction=H","UseDPDF=Y")</f>
        <v>#NAME?</v>
      </c>
      <c r="AX177" s="2" t="e">
        <f ca="1">_xll.BDH($C$153,"WORKING_CAPITAL_5_YEAR_GROWTH","FQ4 2018","FQ4 2018","Currency=INR","Period=FQ","BEST_FPERIOD_OVERRIDE=FQ","FILING_STATUS=OR","EQY_CONSOLIDATED=Y","Sort=A","Dates=H","DateFormat=P","Fill=—","Direction=H","UseDPDF=Y")</f>
        <v>#NAME?</v>
      </c>
      <c r="AY177" s="2" t="e">
        <f ca="1">_xll.BDH($C$153,"ACCOUNTS_PAYABLE_5_YEAR_GROWTH","FQ4 2018","FQ4 2018","Currency=INR","Period=FQ","BEST_FPERIOD_OVERRIDE=FQ","FILING_STATUS=OR","EQY_CONSOLIDATED=Y","Sort=A","Dates=H","DateFormat=P","Fill=—","Direction=H","UseDPDF=Y")</f>
        <v>#NAME?</v>
      </c>
      <c r="AZ177" s="2" t="e">
        <f ca="1">_xll.BDH($C$153,"SHORT_TERM_DEBT_5_YEAR_GROWTH","FQ4 2018","FQ4 2018","Currency=INR","Period=FQ","BEST_FPERIOD_OVERRIDE=FQ","FILING_STATUS=OR","EQY_CONSOLIDATED=Y","Sort=A","Dates=H","DateFormat=P","Fill=—","Direction=H","UseDPDF=Y")</f>
        <v>#NAME?</v>
      </c>
      <c r="BA177" s="2" t="e">
        <f ca="1">_xll.BDH($C$153,"TOTAL_DEBT_5_YEAR_GROWTH","FQ4 2018","FQ4 2018","Currency=INR","Period=FQ","BEST_FPERIOD_OVERRIDE=FQ","FILING_STATUS=OR","EQY_CONSOLIDATED=Y","Sort=A","Dates=H","DateFormat=P","Fill=—","Direction=H","UseDPDF=Y")</f>
        <v>#NAME?</v>
      </c>
      <c r="BB177" s="2" t="e">
        <f ca="1">_xll.BDH($C$153,"GEO_GROW_TOT_SHRHLDR_EQY","FQ4 2018","FQ4 2018","Currency=INR","Period=FQ","BEST_FPERIOD_OVERRIDE=FQ","FILING_STATUS=OR","EQY_CONSOLIDATED=Y","Sort=A","Dates=H","DateFormat=P","Fill=—","Direction=H","UseDPDF=Y")</f>
        <v>#NAME?</v>
      </c>
      <c r="BC177" s="2" t="e">
        <f ca="1">_xll.BDH($C$153,"TOTAL_CAPITAL_5_YEAR_GROWTH","FQ4 2018","FQ4 2018","Currency=INR","Period=FQ","BEST_FPERIOD_OVERRIDE=FQ","FILING_STATUS=OR","EQY_CONSOLIDATED=Y","Sort=A","Dates=H","DateFormat=P","Fill=—","Direction=H","UseDPDF=Y")</f>
        <v>#NAME?</v>
      </c>
      <c r="BD177" s="2" t="e">
        <f ca="1">_xll.BDH($C$153,"GEO_GROW_BOOK_VAL","FQ4 2018","FQ4 2018","Currency=INR","Period=FQ","BEST_FPERIOD_OVERRIDE=FQ","FILING_STATUS=OR","EQY_CONSOLIDATED=Y","Sort=A","Dates=H","DateFormat=P","Fill=—","Direction=H","UseDPDF=Y")</f>
        <v>#NAME?</v>
      </c>
      <c r="BE177" s="2" t="e">
        <f ca="1">_xll.BDH($C$153,"GEO_GROW_CASH_OPER_ACT","FQ4 2018","FQ4 2018","Currency=INR","Period=FQ","BEST_FPERIOD_OVERRIDE=FQ","FILING_STATUS=OR","EQY_CONSOLIDATED=Y","Sort=A","Dates=H","DateFormat=P","Fill=—","Direction=H","UseDPDF=Y")</f>
        <v>#NAME?</v>
      </c>
      <c r="BF177" s="2" t="e">
        <f ca="1">_xll.BDH($C$153,"REVENUE_SEQUENTIAL_GROWTH","FQ4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177" s="2" t="e">
        <f ca="1">_xll.BDH($C$153,"EBITDA_SEQUENTIAL_GROWTH","FQ4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177" s="2" t="e">
        <f ca="1">_xll.BDH($C$153,"OPERATING_INCOME_SEQ_GROWTH","FQ4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177" s="2" t="e">
        <f ca="1">_xll.BDH($C$153,"NET_INCOME_TO_COMMON_SEQ_GROWTH","FQ4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177" s="2" t="e">
        <f ca="1">_xll.BDH($C$153,"EPS_DILUTED_SEQUENTIAL_GROWTH","FQ4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177" s="2" t="e">
        <f ca="1">_xll.BDH($C$153,"DPS_SEQUENTIAL_GROWTH","FQ4 2018","FQ4 2018","Currency=INR","Period=FQ","BEST_FPERIOD_OVERRIDE=FQ","FILING_STATUS=OR","EQY_CONSOLIDATED=Y","Sort=A","Dates=H","DateFormat=P","Fill=—","Direction=H","UseDPDF=Y")</f>
        <v>#NAME?</v>
      </c>
      <c r="BL177" s="2" t="e">
        <f ca="1">_xll.BDH($C$153,"ACCOUNTS_RECEIVABLE_SEQ_GROWTH","FQ4 2018","FQ4 2018","Currency=INR","Period=FQ","BEST_FPERIOD_OVERRIDE=FQ","FILING_STATUS=OR","EQY_CONSOLIDATED=Y","Sort=A","Dates=H","DateFormat=P","Fill=—","Direction=H","UseDPDF=Y")</f>
        <v>#NAME?</v>
      </c>
      <c r="BM177" s="2" t="e">
        <f ca="1">_xll.BDH($C$153,"INVENTORY_SEQUENTIAL_GROWTH","FQ4 2018","FQ4 2018","Currency=INR","Period=FQ","BEST_FPERIOD_OVERRIDE=FQ","FILING_STATUS=OR","EQY_CONSOLIDATED=Y","Sort=A","Dates=H","DateFormat=P","Fill=—","Direction=H","UseDPDF=Y")</f>
        <v>#NAME?</v>
      </c>
      <c r="BN177" s="2" t="e">
        <f ca="1">_xll.BDH($C$153,"FIXED_ASSETS_SEQUENTIAL_GROWTH","FQ4 2018","FQ4 2018","Currency=INR","Period=FQ","BEST_FPERIOD_OVERRIDE=FQ","FILING_STATUS=OR","EQY_CONSOLIDATED=Y","Sort=A","Dates=H","DateFormat=P","Fill=—","Direction=H","UseDPDF=Y")</f>
        <v>#NAME?</v>
      </c>
      <c r="BO177" s="2" t="e">
        <f ca="1">_xll.BDH($C$153,"TOTAL_ASSETS_SEQUENTIAL_GROWTH","FQ4 2018","FQ4 2018","Currency=INR","Period=FQ","BEST_FPERIOD_OVERRIDE=FQ","FILING_STATUS=OR","EQY_CONSOLIDATED=Y","Sort=A","Dates=H","DateFormat=P","Fill=—","Direction=H","UseDPDF=Y")</f>
        <v>#NAME?</v>
      </c>
      <c r="BP177" s="2" t="e">
        <f ca="1">_xll.BDH($C$153,"MODIFIED_WORKING_CPTL_SEQ_GRWTH","FQ4 2018","FQ4 2018","Currency=INR","Period=FQ","BEST_FPERIOD_OVERRIDE=FQ","FILING_STATUS=OR","EQY_CONSOLIDATED=Y","Sort=A","Dates=H","DateFormat=P","Fill=—","Direction=H","UseDPDF=Y")</f>
        <v>#NAME?</v>
      </c>
      <c r="BQ177" s="2" t="e">
        <f ca="1">_xll.BDH($C$153,"WORKING_CAPITAL_SEQ_GROWTH","FQ4 2018","FQ4 2018","Currency=INR","Period=FQ","BEST_FPERIOD_OVERRIDE=FQ","FILING_STATUS=OR","EQY_CONSOLIDATED=Y","Sort=A","Dates=H","DateFormat=P","Fill=—","Direction=H","UseDPDF=Y")</f>
        <v>#NAME?</v>
      </c>
      <c r="BR177" s="2" t="e">
        <f ca="1">_xll.BDH($C$153,"ACCOUNTS_PAYABLE_SEQ_GROWTH","FQ4 2018","FQ4 2018","Currency=INR","Period=FQ","BEST_FPERIOD_OVERRIDE=FQ","FILING_STATUS=OR","EQY_CONSOLIDATED=Y","Sort=A","Dates=H","DateFormat=P","Fill=—","Direction=H","UseDPDF=Y")</f>
        <v>#NAME?</v>
      </c>
      <c r="BS177" s="2" t="e">
        <f ca="1">_xll.BDH($C$153,"ST_DEBT_SEQUENTIAL_GROWTH","FQ4 2018","FQ4 2018","Currency=INR","Period=FQ","BEST_FPERIOD_OVERRIDE=FQ","FILING_STATUS=OR","EQY_CONSOLIDATED=Y","Sort=A","Dates=H","DateFormat=P","Fill=—","Direction=H","UseDPDF=Y")</f>
        <v>#NAME?</v>
      </c>
      <c r="BT177" s="2" t="e">
        <f ca="1">_xll.BDH($C$153,"TOTAL_DEBT_SEQUENTIAL_GROWTH","FQ4 2018","FQ4 2018","Currency=INR","Period=FQ","BEST_FPERIOD_OVERRIDE=FQ","FILING_STATUS=OR","EQY_CONSOLIDATED=Y","Sort=A","Dates=H","DateFormat=P","Fill=—","Direction=H","UseDPDF=Y")</f>
        <v>#NAME?</v>
      </c>
      <c r="BU177" s="2" t="e">
        <f ca="1">_xll.BDH($C$153,"TOTAL_EQUITY_SEQUENTIAL_GROWTH","FQ4 2018","FQ4 2018","Currency=INR","Period=FQ","BEST_FPERIOD_OVERRIDE=FQ","FILING_STATUS=OR","EQY_CONSOLIDATED=Y","Sort=A","Dates=H","DateFormat=P","Fill=—","Direction=H","UseDPDF=Y")</f>
        <v>#NAME?</v>
      </c>
      <c r="BV177" s="2" t="e">
        <f ca="1">_xll.BDH($C$153,"TOTAL_CAPITAL_SEQUENTIAL_GROWTH","FQ4 2018","FQ4 2018","Currency=INR","Period=FQ","BEST_FPERIOD_OVERRIDE=FQ","FILING_STATUS=OR","EQY_CONSOLIDATED=Y","Sort=A","Dates=H","DateFormat=P","Fill=—","Direction=H","UseDPDF=Y")</f>
        <v>#NAME?</v>
      </c>
      <c r="BW177" s="2" t="e">
        <f ca="1">_xll.BDH($C$153,"BPS_SEQUENTIAL_GROWTH","FQ4 2018","FQ4 2018","Currency=INR","Period=FQ","BEST_FPERIOD_OVERRIDE=FQ","FILING_STATUS=OR","EQY_CONSOLIDATED=Y","Sort=A","Dates=H","DateFormat=P","Fill=—","Direction=H","UseDPDF=Y")</f>
        <v>#NAME?</v>
      </c>
      <c r="BX177" s="2" t="e">
        <f ca="1">_xll.BDH($C$153,"CFO_SEQUENTIAL_GROWTH","FQ4 2018","FQ4 2018","Currency=INR","Period=FQ","BEST_FPERIOD_OVERRIDE=FQ","FILING_STATUS=OR","EQY_CONSOLIDATED=Y","Sort=A","Dates=H","DateFormat=P","Fill=—","Direction=H","UseDPDF=Y")</f>
        <v>#NAME?</v>
      </c>
      <c r="BY177" s="3" t="e">
        <f ca="1">_xll.BDH($C$153,"SHORT_AND_LONG_TERM_DEBT","FQ4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177" s="3" t="e">
        <f ca="1">_xll.BDH($C$153,"BS_ST_BORROW","FQ4 2018","FQ4 2018","Currency=INR","Period=FQ","BEST_FPERIOD_OVERRIDE=FQ","FILING_STATUS=OR","EQY_CONSOLIDATED=Y","SCALING_FORMAT=MLN","Sort=A","Dates=H","DateFormat=P","Fill=—","Direction=H","UseDPDF=Y")</f>
        <v>#NAME?</v>
      </c>
      <c r="CA177" s="3" t="e">
        <f ca="1">_xll.BDH($C$153,"BS_LT_BORROW","FQ4 2018","FQ4 2018","Currency=INR","Period=FQ","BEST_FPERIOD_OVERRIDE=FQ","FILING_STATUS=OR","EQY_CONSOLIDATED=Y","SCALING_FORMAT=MLN","Sort=A","Dates=H","DateFormat=P","Fill=—","Direction=H","UseDPDF=Y")</f>
        <v>#NAME?</v>
      </c>
      <c r="CB177" s="2" t="e">
        <f ca="1">_xll.BDH($C$153,"TOT_DEBT_TO_EBITDA","FQ4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177" s="2" t="e">
        <f ca="1">_xll.BDH($C$153,"NET_DEBT_TO_EBITDA","FQ4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177" s="2" t="e">
        <f ca="1">_xll.BDH($C$153,"TOTAL_DEBT_TO_EBIT","FQ4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177" s="2" t="e">
        <f ca="1">_xll.BDH($C$153,"NET_DEBT_TO_EBIT","FQ4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177" s="2" t="e">
        <f ca="1">_xll.BDH($C$153,"EBITDA_TO_INTEREST_EXPN","FQ4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177" s="2" t="e">
        <f ca="1">_xll.BDH($C$153,"COM_EQY_TO_TOT_ASSET","FQ4 2018","FQ4 2018","Currency=INR","Period=FQ","BEST_FPERIOD_OVERRIDE=FQ","FILING_STATUS=OR","EQY_CONSOLIDATED=Y","Sort=A","Dates=H","DateFormat=P","Fill=—","Direction=H","UseDPDF=Y")</f>
        <v>#NAME?</v>
      </c>
      <c r="CH177" s="2" t="e">
        <f ca="1">_xll.BDH($C$153,"LT_DEBT_TO_TOT_EQY","FQ4 2018","FQ4 2018","Currency=INR","Period=FQ","BEST_FPERIOD_OVERRIDE=FQ","FILING_STATUS=OR","EQY_CONSOLIDATED=Y","Sort=A","Dates=H","DateFormat=P","Fill=—","Direction=H","UseDPDF=Y")</f>
        <v>#NAME?</v>
      </c>
      <c r="CI177" s="2" t="e">
        <f ca="1">_xll.BDH($C$153,"LT_DEBT_TO_TOT_CAP","FQ4 2018","FQ4 2018","Currency=INR","Period=FQ","BEST_FPERIOD_OVERRIDE=FQ","FILING_STATUS=OR","EQY_CONSOLIDATED=Y","Sort=A","Dates=H","DateFormat=P","Fill=—","Direction=H","UseDPDF=Y")</f>
        <v>#NAME?</v>
      </c>
      <c r="CJ177" s="2" t="e">
        <f ca="1">_xll.BDH($C$153,"LT_DEBT_TO_TOT_ASSET","FQ4 2018","FQ4 2018","Currency=INR","Period=FQ","BEST_FPERIOD_OVERRIDE=FQ","FILING_STATUS=OR","EQY_CONSOLIDATED=Y","Sort=A","Dates=H","DateFormat=P","Fill=—","Direction=H","UseDPDF=Y")</f>
        <v>#NAME?</v>
      </c>
      <c r="CK177" s="2" t="e">
        <f ca="1">_xll.BDH($C$153,"TOT_DEBT_TO_TOT_EQY","FQ4 2018","FQ4 2018","Currency=INR","Period=FQ","BEST_FPERIOD_OVERRIDE=FQ","FILING_STATUS=OR","EQY_CONSOLIDATED=Y","Sort=A","Dates=H","DateFormat=P","Fill=—","Direction=H","UseDPDF=Y")</f>
        <v>#NAME?</v>
      </c>
      <c r="CL177" s="2" t="e">
        <f ca="1">_xll.BDH($C$153,"TOT_DEBT_TO_TOT_CAP","FQ4 2018","FQ4 2018","Currency=INR","Period=FQ","BEST_FPERIOD_OVERRIDE=FQ","FILING_STATUS=OR","EQY_CONSOLIDATED=Y","Sort=A","Dates=H","DateFormat=P","Fill=—","Direction=H","UseDPDF=Y")</f>
        <v>#NAME?</v>
      </c>
      <c r="CM177" s="2" t="e">
        <f ca="1">_xll.BDH($C$153,"TOT_DEBT_TO_TOT_ASSET","FQ4 2018","FQ4 2018","Currency=INR","Period=FQ","BEST_FPERIOD_OVERRIDE=FQ","FILING_STATUS=OR","EQY_CONSOLIDATED=Y","Sort=A","Dates=H","DateFormat=P","Fill=—","Direction=H","UseDPDF=Y")</f>
        <v>#NAME?</v>
      </c>
      <c r="CN177" s="2" t="e">
        <f ca="1">_xll.BDH($C$153,"NET_DEBT_TO_SHRHLDR_EQTY","FQ4 2018","FQ4 2018","Currency=INR","Period=FQ","BEST_FPERIOD_OVERRIDE=FQ","FILING_STATUS=OR","EQY_CONSOLIDATED=Y","Sort=A","Dates=H","DateFormat=P","Fill=—","Direction=H","UseDPDF=Y")</f>
        <v>#NAME?</v>
      </c>
      <c r="CO177" s="2" t="e">
        <f ca="1">_xll.BDH($C$153,"NET_DEBT_%_CAPITAL","FQ4 2018","FQ4 2018","Currency=INR","Period=FQ","BEST_FPERIOD_OVERRIDE=FQ","FILING_STATUS=OR","EQY_CONSOLIDATED=Y","Sort=A","Dates=H","DateFormat=P","Fill=—","Direction=H","UseDPDF=Y")</f>
        <v>#NAME?</v>
      </c>
      <c r="CP177" s="3" t="e">
        <f ca="1">_xll.BDH($C$153,"EBITDA","FQ4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177" s="3" t="e">
        <f ca="1">_xll.BDH($C$153,"EBITDA_AFTER_CAPEX","FQ4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177" s="3" t="e">
        <f ca="1">_xll.BDH($C$153,"IS_OPER_INC","FQ4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177" s="2" t="e">
        <f ca="1">_xll.BDH($C$153,"CASH_RATIO","FQ4 2018","FQ4 2018","Currency=INR","Period=FQ","BEST_FPERIOD_OVERRIDE=FQ","FILING_STATUS=OR","EQY_CONSOLIDATED=Y","Sort=A","Dates=H","DateFormat=P","Fill=—","Direction=H","UseDPDF=Y")</f>
        <v>#NAME?</v>
      </c>
      <c r="CT177" s="2" t="e">
        <f ca="1">_xll.BDH($C$153,"CUR_RATIO","FQ4 2018","FQ4 2018","Currency=INR","Period=FQ","BEST_FPERIOD_OVERRIDE=FQ","FILING_STATUS=OR","EQY_CONSOLIDATED=Y","Sort=A","Dates=H","DateFormat=P","Fill=—","Direction=H","UseDPDF=Y")</f>
        <v>#NAME?</v>
      </c>
      <c r="CU177" s="2" t="e">
        <f ca="1">_xll.BDH($C$153,"QUICK_RATIO","FQ4 2018","FQ4 2018","Currency=INR","Period=FQ","BEST_FPERIOD_OVERRIDE=FQ","FILING_STATUS=OR","EQY_CONSOLIDATED=Y","Sort=A","Dates=H","DateFormat=P","Fill=—","Direction=H","UseDPDF=Y")</f>
        <v>#NAME?</v>
      </c>
      <c r="CV177" s="2" t="e">
        <f ca="1">_xll.BDH($C$153,"ALTMAN_Z_SCORE","FQ4 2018","FQ4 2018","Currency=INR","Period=FQ","BEST_FPERIOD_OVERRIDE=FQ","FILING_STATUS=OR","EQY_CONSOLIDATED=Y","Sort=A","Dates=H","DateFormat=P","Fill=—","Direction=H","UseDPDF=Y")</f>
        <v>#NAME?</v>
      </c>
      <c r="CW177" s="4" t="e">
        <f ca="1">_xll.BDH($C$153,"ACCT_RCV_TURN","FQ4 2018","FQ4 2018","Currency=INR","Period=FQ","BEST_FPERIOD_OVERRIDE=FQ","FILING_STATUS=OR","EQY_CONSOLIDATED=Y","FA_ADJUSTED=GAAP","Sort=A","Dates=H","DateFormat=P","Fill=—","Direction=H","UseDPDF=Y")</f>
        <v>#NAME?</v>
      </c>
      <c r="CX177" s="2" t="e">
        <f ca="1">_xll.BDH($C$153,"ACCT_RCV_DAYS","FQ4 2018","FQ4 2018","Currency=INR","Period=FQ","BEST_FPERIOD_OVERRIDE=FQ","FILING_STATUS=OR","EQY_CONSOLIDATED=Y","FA_ADJUSTED=GAAP","Sort=A","Dates=H","DateFormat=P","Fill=—","Direction=H","UseDPDF=Y")</f>
        <v>#NAME?</v>
      </c>
      <c r="CY177" s="4" t="e">
        <f ca="1">_xll.BDH($C$153,"INVENT_TURN","FQ4 2018","FQ4 2018","Currency=INR","Period=FQ","BEST_FPERIOD_OVERRIDE=FQ","FILING_STATUS=OR","EQY_CONSOLIDATED=Y","FA_ADJUSTED=GAAP","Sort=A","Dates=H","DateFormat=P","Fill=—","Direction=H","UseDPDF=Y")</f>
        <v>#NAME?</v>
      </c>
      <c r="CZ177" s="2" t="e">
        <f ca="1">_xll.BDH($C$153,"INVENT_DAYS","FQ4 2018","FQ4 2018","Currency=INR","Period=FQ","BEST_FPERIOD_OVERRIDE=FQ","FILING_STATUS=OR","EQY_CONSOLIDATED=Y","FA_ADJUSTED=GAAP","Sort=A","Dates=H","DateFormat=P","Fill=—","Direction=H","UseDPDF=Y")</f>
        <v>#NAME?</v>
      </c>
      <c r="DA177" s="4" t="e">
        <f ca="1">_xll.BDH($C$153,"ACCOUNTS_PAYABLE_TURNOVER","FQ4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177" s="2" t="e">
        <f ca="1">_xll.BDH($C$153,"ACCOUNTS_PAYABLE_TURNOVER_DAYS","FQ4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177" s="4" t="e">
        <f ca="1">_xll.BDH($C$153,"CASH_CONVERSION_CYCLE","FQ4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177" s="4" t="e">
        <f ca="1">_xll.BDH($C$153,"INV_TO_CASH_DAYS","FQ4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177" s="5" t="e">
        <f ca="1">_xll.BDH($C$153,"BS_INVENTORIES","FQ4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177" s="3" t="e">
        <f ca="1">_xll.BDH($C$153,"INVTRY_RAW_MATERIALS","FQ4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177" s="3" t="e">
        <f ca="1">_xll.BDH($C$153,"INVTRY_IN_PROGRESS","FQ4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177" s="3" t="e">
        <f ca="1">_xll.BDH($C$153,"INVTRY_FINISHED_GOODS","FQ4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177" s="3" t="e">
        <f ca="1">_xll.BDH($C$153,"BS_OTHER_INV","FQ4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178" spans="1:113" x14ac:dyDescent="0.3">
      <c r="A178" s="6">
        <v>8</v>
      </c>
      <c r="B178" s="6" t="s">
        <v>98</v>
      </c>
      <c r="C178" s="6" t="s">
        <v>99</v>
      </c>
      <c r="D178" s="6" t="s">
        <v>76</v>
      </c>
      <c r="E178" t="s">
        <v>77</v>
      </c>
      <c r="F178" t="e">
        <f ca="1">_xll.BDH($C$178,"RETURN_COM_EQY","FY 2014","FY 2014","Currency=INR","Period=FY","BEST_FPERIOD_OVERRIDE=FY","FILING_STATUS=OR","EQY_CONSOLIDATED=Y","FA_ADJUSTED=GAAP","Sort=A","Dates=H","DateFormat=P","Fill=—","Direction=H","UseDPDF=Y")</f>
        <v>#NAME?</v>
      </c>
      <c r="G178" t="e">
        <f ca="1">_xll.BDH($C$178,"RETURN_ON_ASSET","FY 2014","FY 2014","Currency=INR","Period=FY","BEST_FPERIOD_OVERRIDE=FY","FILING_STATUS=OR","EQY_CONSOLIDATED=Y","FA_ADJUSTED=GAAP","Sort=A","Dates=H","DateFormat=P","Fill=—","Direction=H","UseDPDF=Y")</f>
        <v>#NAME?</v>
      </c>
      <c r="H178" t="e">
        <f ca="1">_xll.BDH($C$178,"RETURN_ON_CAP","FY 2014","FY 2014","Currency=INR","Period=FY","BEST_FPERIOD_OVERRIDE=FY","FILING_STATUS=OR","EQY_CONSOLIDATED=Y","FA_ADJUSTED=GAAP","Sort=A","Dates=H","DateFormat=P","Fill=—","Direction=H","UseDPDF=Y")</f>
        <v>#NAME?</v>
      </c>
      <c r="I178" t="e">
        <f ca="1">_xll.BDH($C$178,"RETURN_ON_INV_CAPITAL","FY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178" t="e">
        <f ca="1">_xll.BDH($C$178,"EBITDA_TO_REVENUE","FY 2014","FY 2014","Currency=INR","Period=FY","BEST_FPERIOD_OVERRIDE=FY","FILING_STATUS=OR","EQY_CONSOLIDATED=Y","FA_ADJUSTED=GAAP","Sort=A","Dates=H","DateFormat=P","Fill=—","Direction=H","UseDPDF=Y")</f>
        <v>#NAME?</v>
      </c>
      <c r="K178" t="e">
        <f ca="1">_xll.BDH($C$178,"OPER_MARGIN","FY 2014","FY 2014","Currency=INR","Period=FY","BEST_FPERIOD_OVERRIDE=FY","FILING_STATUS=OR","EQY_CONSOLIDATED=Y","FA_ADJUSTED=GAAP","Sort=A","Dates=H","DateFormat=P","Fill=—","Direction=H","UseDPDF=Y")</f>
        <v>#NAME?</v>
      </c>
      <c r="L178" t="e">
        <f ca="1">_xll.BDH($C$178,"INCREMENTAL_OPERATING_MARGIN","FY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178" t="e">
        <f ca="1">_xll.BDH($C$178,"PRETAX_INC_TO_NET_SALES","FY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178" t="e">
        <f ca="1">_xll.BDH($C$178,"INC_BEF_XO_ITEMS_TO_NET_SALES","FY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178" t="e">
        <f ca="1">_xll.BDH($C$178,"PROF_MARGIN","FY 2014","FY 2014","Currency=INR","Period=FY","BEST_FPERIOD_OVERRIDE=FY","FILING_STATUS=OR","EQY_CONSOLIDATED=Y","FA_ADJUSTED=GAAP","Sort=A","Dates=H","DateFormat=P","Fill=—","Direction=H","UseDPDF=Y")</f>
        <v>#NAME?</v>
      </c>
      <c r="P178" t="e">
        <f ca="1">_xll.BDH($C$178,"NET_INCOME_TO_COMMON_MARGIN","FY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178" t="e">
        <f ca="1">_xll.BDH($C$178,"EFF_TAX_RATE","FY 2014","FY 2014","Currency=INR","Period=FY","BEST_FPERIOD_OVERRIDE=FY","FILING_STATUS=OR","EQY_CONSOLIDATED=Y","FA_ADJUSTED=GAAP","Sort=A","Dates=H","DateFormat=P","Fill=—","Direction=H","UseDPDF=Y")</f>
        <v>#NAME?</v>
      </c>
      <c r="R178" t="e">
        <f ca="1">_xll.BDH($C$178,"DVD_PAYOUT_RATIO","FY 2014","FY 2014","Currency=INR","Period=FY","BEST_FPERIOD_OVERRIDE=FY","FILING_STATUS=OR","EQY_CONSOLIDATED=Y","FA_ADJUSTED=GAAP","Sort=A","Dates=H","DateFormat=P","Fill=—","Direction=H","UseDPDF=Y")</f>
        <v>#NAME?</v>
      </c>
      <c r="S178" t="e">
        <f ca="1">_xll.BDH($C$178,"SUSTAIN_GROWTH_RT","FY 2014","FY 2014","Currency=INR","Period=FY","BEST_FPERIOD_OVERRIDE=FY","FILING_STATUS=OR","EQY_CONSOLIDATED=Y","FA_ADJUSTED=GAAP","Sort=A","Dates=H","DateFormat=P","Fill=—","Direction=H","UseDPDF=Y")</f>
        <v>#NAME?</v>
      </c>
      <c r="T178" s="2" t="e">
        <f ca="1">_xll.BDH($C$178,"SALES_GROWTH","FY 2014","FY 2014","Currency=INR","Period=FY","BEST_FPERIOD_OVERRIDE=FY","FILING_STATUS=OR","EQY_CONSOLIDATED=Y","FA_ADJUSTED=GAAP","Sort=A","Dates=H","DateFormat=P","Fill=—","Direction=H","UseDPDF=Y")</f>
        <v>#NAME?</v>
      </c>
      <c r="U178" s="2" t="e">
        <f ca="1">_xll.BDH($C$178,"EBITDA_GROWTH","FY 2014","FY 2014","Currency=INR","Period=FY","BEST_FPERIOD_OVERRIDE=FY","FILING_STATUS=OR","EQY_CONSOLIDATED=Y","FA_ADJUSTED=GAAP","Sort=A","Dates=H","DateFormat=P","Fill=—","Direction=H","UseDPDF=Y")</f>
        <v>#NAME?</v>
      </c>
      <c r="V178" s="2" t="e">
        <f ca="1">_xll.BDH($C$178,"OPER_INC_GROWTH","FY 2014","FY 2014","Currency=INR","Period=FY","BEST_FPERIOD_OVERRIDE=FY","FILING_STATUS=OR","EQY_CONSOLIDATED=Y","FA_ADJUSTED=GAAP","Sort=A","Dates=H","DateFormat=P","Fill=—","Direction=H","UseDPDF=Y")</f>
        <v>#NAME?</v>
      </c>
      <c r="W178" s="2" t="e">
        <f ca="1">_xll.BDH($C$178,"EARN_FOR_COM_GROWTH","FY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178" s="2" t="e">
        <f ca="1">_xll.BDH($C$178,"DILUTED_EPS_AFT_XO_ITEMS_GROWTH","FY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178" s="2" t="e">
        <f ca="1">_xll.BDH($C$178,"DIVIDEND_PER_SHARE_1_YEAR_GROWTH","FY 2014","FY 2014","Currency=INR","Period=FY","BEST_FPERIOD_OVERRIDE=FY","FILING_STATUS=OR","EQY_CONSOLIDATED=Y","Sort=A","Dates=H","DateFormat=P","Fill=—","Direction=H","UseDPDF=Y")</f>
        <v>#NAME?</v>
      </c>
      <c r="Z178" s="2" t="e">
        <f ca="1">_xll.BDH($C$178,"ACCOUNTS_RECEIVABLE_GROWTH","FY 2014","FY 2014","Currency=INR","Period=FY","BEST_FPERIOD_OVERRIDE=FY","FILING_STATUS=OR","EQY_CONSOLIDATED=Y","Sort=A","Dates=H","DateFormat=P","Fill=—","Direction=H","UseDPDF=Y")</f>
        <v>#NAME?</v>
      </c>
      <c r="AA178" s="2" t="e">
        <f ca="1">_xll.BDH($C$178,"INVENTORY_GROWTH","FY 2014","FY 2014","Currency=INR","Period=FY","BEST_FPERIOD_OVERRIDE=FY","FILING_STATUS=OR","EQY_CONSOLIDATED=Y","Sort=A","Dates=H","DateFormat=P","Fill=—","Direction=H","UseDPDF=Y")</f>
        <v>#NAME?</v>
      </c>
      <c r="AB178" s="2" t="e">
        <f ca="1">_xll.BDH($C$178,"NET_FIXED_ASSETS_1_YEAR_GROWTH","FY 2014","FY 2014","Currency=INR","Period=FY","BEST_FPERIOD_OVERRIDE=FY","FILING_STATUS=OR","EQY_CONSOLIDATED=Y","Sort=A","Dates=H","DateFormat=P","Fill=—","Direction=H","UseDPDF=Y")</f>
        <v>#NAME?</v>
      </c>
      <c r="AC178" s="2" t="e">
        <f ca="1">_xll.BDH($C$178,"ASSET_GROWTH","FY 2014","FY 2014","Currency=INR","Period=FY","BEST_FPERIOD_OVERRIDE=FY","FILING_STATUS=OR","EQY_CONSOLIDATED=Y","Sort=A","Dates=H","DateFormat=P","Fill=—","Direction=H","UseDPDF=Y")</f>
        <v>#NAME?</v>
      </c>
      <c r="AD178" s="2" t="e">
        <f ca="1">_xll.BDH($C$178,"MODIFIED_WORK_CAP_GROWTH","FY 2014","FY 2014","Currency=INR","Period=FY","BEST_FPERIOD_OVERRIDE=FY","FILING_STATUS=OR","EQY_CONSOLIDATED=Y","Sort=A","Dates=H","DateFormat=P","Fill=—","Direction=H","UseDPDF=Y")</f>
        <v>#NAME?</v>
      </c>
      <c r="AE178" s="2" t="e">
        <f ca="1">_xll.BDH($C$178,"WORK_CAP_GROWTH","FY 2014","FY 2014","Currency=INR","Period=FY","BEST_FPERIOD_OVERRIDE=FY","FILING_STATUS=OR","EQY_CONSOLIDATED=Y","Sort=A","Dates=H","DateFormat=P","Fill=—","Direction=H","UseDPDF=Y")</f>
        <v>#NAME?</v>
      </c>
      <c r="AF178" s="2" t="e">
        <f ca="1">_xll.BDH($C$178,"ACCOUNTS_PAYABLE_GROWTH_1YR","FY 2014","FY 2014","Currency=INR","Period=FY","BEST_FPERIOD_OVERRIDE=FY","FILING_STATUS=OR","EQY_CONSOLIDATED=Y","Sort=A","Dates=H","DateFormat=P","Fill=—","Direction=H","UseDPDF=Y")</f>
        <v>#NAME?</v>
      </c>
      <c r="AG178" s="2" t="e">
        <f ca="1">_xll.BDH($C$178,"SHORT_TERM_DEBT_1_YEAR_GROWTH","FY 2014","FY 2014","Currency=INR","Period=FY","BEST_FPERIOD_OVERRIDE=FY","FILING_STATUS=OR","EQY_CONSOLIDATED=Y","Sort=A","Dates=H","DateFormat=P","Fill=—","Direction=H","UseDPDF=Y")</f>
        <v>#NAME?</v>
      </c>
      <c r="AH178" s="2" t="e">
        <f ca="1">_xll.BDH($C$178,"TOTAL_DEBT_1_YEAR_GROWTH","FY 2014","FY 2014","Currency=INR","Period=FY","BEST_FPERIOD_OVERRIDE=FY","FILING_STATUS=OR","EQY_CONSOLIDATED=Y","Sort=A","Dates=H","DateFormat=P","Fill=—","Direction=H","UseDPDF=Y")</f>
        <v>#NAME?</v>
      </c>
      <c r="AI178" s="2" t="e">
        <f ca="1">_xll.BDH($C$178,"TOTAL_EQUITY_1_YEAR_GROWTH","FY 2014","FY 2014","Currency=INR","Period=FY","BEST_FPERIOD_OVERRIDE=FY","FILING_STATUS=OR","EQY_CONSOLIDATED=Y","Sort=A","Dates=H","DateFormat=P","Fill=—","Direction=H","UseDPDF=Y")</f>
        <v>#NAME?</v>
      </c>
      <c r="AJ178" s="2" t="e">
        <f ca="1">_xll.BDH($C$178,"GROWTH_IN_CAP","FY 2014","FY 2014","Currency=INR","Period=FY","BEST_FPERIOD_OVERRIDE=FY","FILING_STATUS=OR","EQY_CONSOLIDATED=Y","Sort=A","Dates=H","DateFormat=P","Fill=—","Direction=H","UseDPDF=Y")</f>
        <v>#NAME?</v>
      </c>
      <c r="AK178" s="2" t="e">
        <f ca="1">_xll.BDH($C$178,"BVPS_GROWTH","FY 2014","FY 2014","Currency=INR","Period=FY","BEST_FPERIOD_OVERRIDE=FY","FILING_STATUS=OR","EQY_CONSOLIDATED=Y","Sort=A","Dates=H","DateFormat=P","Fill=—","Direction=H","UseDPDF=Y")</f>
        <v>#NAME?</v>
      </c>
      <c r="AL178" s="2" t="e">
        <f ca="1">_xll.BDH($C$178,"CASH_FLOW_GROWTH","FY 2014","FY 2014","Currency=INR","Period=FY","BEST_FPERIOD_OVERRIDE=FY","FILING_STATUS=OR","EQY_CONSOLIDATED=Y","Sort=A","Dates=H","DateFormat=P","Fill=—","Direction=H","UseDPDF=Y")</f>
        <v>#NAME?</v>
      </c>
      <c r="AM178" s="2" t="e">
        <f ca="1">_xll.BDH($C$178,"GEO_GROW_NET_SALES","FY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178" s="2" t="e">
        <f ca="1">_xll.BDH($C$178,"GEO_GROW_EBITDA","FY 2014","FY 2014","Currency=INR","Period=FY","BEST_FPERIOD_OVERRIDE=FY","FILING_STATUS=OR","EQY_CONSOLIDATED=Y","FA_ADJUSTED=GAAP","Sort=A","Dates=H","DateFormat=P","Fill=—","Direction=H","UseDPDF=Y")</f>
        <v>#NAME?</v>
      </c>
      <c r="AO178" s="2" t="e">
        <f ca="1">_xll.BDH($C$178,"GEO_GROW_OPER_INC","FY 2014","FY 2014","Currency=INR","Period=FY","BEST_FPERIOD_OVERRIDE=FY","FILING_STATUS=OR","EQY_CONSOLIDATED=Y","FA_ADJUSTED=GAAP","Sort=A","Dates=H","DateFormat=P","Fill=—","Direction=H","UseDPDF=Y")</f>
        <v>#NAME?</v>
      </c>
      <c r="AP178" s="2" t="e">
        <f ca="1">_xll.BDH($C$178,"NET_INCOME_TO_COMMON_5_YR_GROWTH","FY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178" s="2" t="e">
        <f ca="1">_xll.BDH($C$178,"5Y_GEO_GROWTH_DILUTED_EPS","FY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178" s="2" t="e">
        <f ca="1">_xll.BDH($C$178,"GEO_GROW_DVD_PER_SH","FY 2014","FY 2014","Currency=INR","Period=FY","BEST_FPERIOD_OVERRIDE=FY","FILING_STATUS=OR","EQY_CONSOLIDATED=Y","Sort=A","Dates=H","DateFormat=P","Fill=—","Direction=H","UseDPDF=Y")</f>
        <v>#NAME?</v>
      </c>
      <c r="AS178" s="2" t="e">
        <f ca="1">_xll.BDH($C$178,"ACCOUNTS_RECEIVABLE_5_YR_GROWTH","FY 2014","FY 2014","Currency=INR","Period=FY","BEST_FPERIOD_OVERRIDE=FY","FILING_STATUS=OR","EQY_CONSOLIDATED=Y","Sort=A","Dates=H","DateFormat=P","Fill=—","Direction=H","UseDPDF=Y")</f>
        <v>#NAME?</v>
      </c>
      <c r="AT178" s="2" t="e">
        <f ca="1">_xll.BDH($C$178,"INVENTORY_5_YEAR_GROWTH","FY 2014","FY 2014","Currency=INR","Period=FY","BEST_FPERIOD_OVERRIDE=FY","FILING_STATUS=OR","EQY_CONSOLIDATED=Y","Sort=A","Dates=H","DateFormat=P","Fill=—","Direction=H","UseDPDF=Y")</f>
        <v>#NAME?</v>
      </c>
      <c r="AU178" s="2" t="e">
        <f ca="1">_xll.BDH($C$178,"NET_FIXED_ASSETS_5_YEAR_GROWTH","FY 2014","FY 2014","Currency=INR","Period=FY","BEST_FPERIOD_OVERRIDE=FY","FILING_STATUS=OR","EQY_CONSOLIDATED=Y","Sort=A","Dates=H","DateFormat=P","Fill=—","Direction=H","UseDPDF=Y")</f>
        <v>#NAME?</v>
      </c>
      <c r="AV178" s="2" t="e">
        <f ca="1">_xll.BDH($C$178,"GEO_GROW_TOT_ASSET","FY 2014","FY 2014","Currency=INR","Period=FY","BEST_FPERIOD_OVERRIDE=FY","FILING_STATUS=OR","EQY_CONSOLIDATED=Y","Sort=A","Dates=H","DateFormat=P","Fill=—","Direction=H","UseDPDF=Y")</f>
        <v>#NAME?</v>
      </c>
      <c r="AW178" s="2" t="e">
        <f ca="1">_xll.BDH($C$178,"MODIFIED_WORKING_CPTL_5YR_GRWTH","FY 2014","FY 2014","Currency=INR","Period=FY","BEST_FPERIOD_OVERRIDE=FY","FILING_STATUS=OR","EQY_CONSOLIDATED=Y","Sort=A","Dates=H","DateFormat=P","Fill=—","Direction=H","UseDPDF=Y")</f>
        <v>#NAME?</v>
      </c>
      <c r="AX178" s="2" t="e">
        <f ca="1">_xll.BDH($C$178,"WORKING_CAPITAL_5_YEAR_GROWTH","FY 2014","FY 2014","Currency=INR","Period=FY","BEST_FPERIOD_OVERRIDE=FY","FILING_STATUS=OR","EQY_CONSOLIDATED=Y","Sort=A","Dates=H","DateFormat=P","Fill=—","Direction=H","UseDPDF=Y")</f>
        <v>#NAME?</v>
      </c>
      <c r="AY178" s="2" t="e">
        <f ca="1">_xll.BDH($C$178,"ACCOUNTS_PAYABLE_5_YEAR_GROWTH","FY 2014","FY 2014","Currency=INR","Period=FY","BEST_FPERIOD_OVERRIDE=FY","FILING_STATUS=OR","EQY_CONSOLIDATED=Y","Sort=A","Dates=H","DateFormat=P","Fill=—","Direction=H","UseDPDF=Y")</f>
        <v>#NAME?</v>
      </c>
      <c r="AZ178" s="2" t="e">
        <f ca="1">_xll.BDH($C$178,"SHORT_TERM_DEBT_5_YEAR_GROWTH","FY 2014","FY 2014","Currency=INR","Period=FY","BEST_FPERIOD_OVERRIDE=FY","FILING_STATUS=OR","EQY_CONSOLIDATED=Y","Sort=A","Dates=H","DateFormat=P","Fill=—","Direction=H","UseDPDF=Y")</f>
        <v>#NAME?</v>
      </c>
      <c r="BA178" s="2" t="e">
        <f ca="1">_xll.BDH($C$178,"TOTAL_DEBT_5_YEAR_GROWTH","FY 2014","FY 2014","Currency=INR","Period=FY","BEST_FPERIOD_OVERRIDE=FY","FILING_STATUS=OR","EQY_CONSOLIDATED=Y","Sort=A","Dates=H","DateFormat=P","Fill=—","Direction=H","UseDPDF=Y")</f>
        <v>#NAME?</v>
      </c>
      <c r="BB178" s="2" t="e">
        <f ca="1">_xll.BDH($C$178,"GEO_GROW_TOT_SHRHLDR_EQY","FY 2014","FY 2014","Currency=INR","Period=FY","BEST_FPERIOD_OVERRIDE=FY","FILING_STATUS=OR","EQY_CONSOLIDATED=Y","Sort=A","Dates=H","DateFormat=P","Fill=—","Direction=H","UseDPDF=Y")</f>
        <v>#NAME?</v>
      </c>
      <c r="BC178" s="2" t="e">
        <f ca="1">_xll.BDH($C$178,"TOTAL_CAPITAL_5_YEAR_GROWTH","FY 2014","FY 2014","Currency=INR","Period=FY","BEST_FPERIOD_OVERRIDE=FY","FILING_STATUS=OR","EQY_CONSOLIDATED=Y","Sort=A","Dates=H","DateFormat=P","Fill=—","Direction=H","UseDPDF=Y")</f>
        <v>#NAME?</v>
      </c>
      <c r="BD178" s="2" t="e">
        <f ca="1">_xll.BDH($C$178,"GEO_GROW_BOOK_VAL","FY 2014","FY 2014","Currency=INR","Period=FY","BEST_FPERIOD_OVERRIDE=FY","FILING_STATUS=OR","EQY_CONSOLIDATED=Y","Sort=A","Dates=H","DateFormat=P","Fill=—","Direction=H","UseDPDF=Y")</f>
        <v>#NAME?</v>
      </c>
      <c r="BE178" s="2" t="e">
        <f ca="1">_xll.BDH($C$178,"GEO_GROW_CASH_OPER_ACT","FY 2014","FY 2014","Currency=INR","Period=FY","BEST_FPERIOD_OVERRIDE=FY","FILING_STATUS=OR","EQY_CONSOLIDATED=Y","Sort=A","Dates=H","DateFormat=P","Fill=—","Direction=H","UseDPDF=Y")</f>
        <v>#NAME?</v>
      </c>
      <c r="BF178" s="2" t="e">
        <f ca="1">_xll.BDH($C$178,"REVENUE_SEQUENTIAL_GROWTH","FY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178" s="2" t="e">
        <f ca="1">_xll.BDH($C$178,"EBITDA_SEQUENTIAL_GROWTH","FY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178" s="2" t="e">
        <f ca="1">_xll.BDH($C$178,"OPERATING_INCOME_SEQ_GROWTH","FY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178" s="2" t="e">
        <f ca="1">_xll.BDH($C$178,"NET_INCOME_TO_COMMON_SEQ_GROWTH","FY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178" s="2" t="e">
        <f ca="1">_xll.BDH($C$178,"EPS_DILUTED_SEQUENTIAL_GROWTH","FY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178" s="2" t="e">
        <f ca="1">_xll.BDH($C$178,"DPS_SEQUENTIAL_GROWTH","FY 2014","FY 2014","Currency=INR","Period=FY","BEST_FPERIOD_OVERRIDE=FY","FILING_STATUS=OR","EQY_CONSOLIDATED=Y","Sort=A","Dates=H","DateFormat=P","Fill=—","Direction=H","UseDPDF=Y")</f>
        <v>#NAME?</v>
      </c>
      <c r="BL178" s="2" t="e">
        <f ca="1">_xll.BDH($C$178,"ACCOUNTS_RECEIVABLE_SEQ_GROWTH","FY 2014","FY 2014","Currency=INR","Period=FY","BEST_FPERIOD_OVERRIDE=FY","FILING_STATUS=OR","EQY_CONSOLIDATED=Y","Sort=A","Dates=H","DateFormat=P","Fill=—","Direction=H","UseDPDF=Y")</f>
        <v>#NAME?</v>
      </c>
      <c r="BM178" s="2" t="e">
        <f ca="1">_xll.BDH($C$178,"INVENTORY_SEQUENTIAL_GROWTH","FY 2014","FY 2014","Currency=INR","Period=FY","BEST_FPERIOD_OVERRIDE=FY","FILING_STATUS=OR","EQY_CONSOLIDATED=Y","Sort=A","Dates=H","DateFormat=P","Fill=—","Direction=H","UseDPDF=Y")</f>
        <v>#NAME?</v>
      </c>
      <c r="BN178" s="2" t="e">
        <f ca="1">_xll.BDH($C$178,"FIXED_ASSETS_SEQUENTIAL_GROWTH","FY 2014","FY 2014","Currency=INR","Period=FY","BEST_FPERIOD_OVERRIDE=FY","FILING_STATUS=OR","EQY_CONSOLIDATED=Y","Sort=A","Dates=H","DateFormat=P","Fill=—","Direction=H","UseDPDF=Y")</f>
        <v>#NAME?</v>
      </c>
      <c r="BO178" s="2" t="e">
        <f ca="1">_xll.BDH($C$178,"TOTAL_ASSETS_SEQUENTIAL_GROWTH","FY 2014","FY 2014","Currency=INR","Period=FY","BEST_FPERIOD_OVERRIDE=FY","FILING_STATUS=OR","EQY_CONSOLIDATED=Y","Sort=A","Dates=H","DateFormat=P","Fill=—","Direction=H","UseDPDF=Y")</f>
        <v>#NAME?</v>
      </c>
      <c r="BP178" s="2" t="e">
        <f ca="1">_xll.BDH($C$178,"MODIFIED_WORKING_CPTL_SEQ_GRWTH","FY 2014","FY 2014","Currency=INR","Period=FY","BEST_FPERIOD_OVERRIDE=FY","FILING_STATUS=OR","EQY_CONSOLIDATED=Y","Sort=A","Dates=H","DateFormat=P","Fill=—","Direction=H","UseDPDF=Y")</f>
        <v>#NAME?</v>
      </c>
      <c r="BQ178" s="2" t="e">
        <f ca="1">_xll.BDH($C$178,"WORKING_CAPITAL_SEQ_GROWTH","FY 2014","FY 2014","Currency=INR","Period=FY","BEST_FPERIOD_OVERRIDE=FY","FILING_STATUS=OR","EQY_CONSOLIDATED=Y","Sort=A","Dates=H","DateFormat=P","Fill=—","Direction=H","UseDPDF=Y")</f>
        <v>#NAME?</v>
      </c>
      <c r="BR178" s="2" t="e">
        <f ca="1">_xll.BDH($C$178,"ACCOUNTS_PAYABLE_SEQ_GROWTH","FY 2014","FY 2014","Currency=INR","Period=FY","BEST_FPERIOD_OVERRIDE=FY","FILING_STATUS=OR","EQY_CONSOLIDATED=Y","Sort=A","Dates=H","DateFormat=P","Fill=—","Direction=H","UseDPDF=Y")</f>
        <v>#NAME?</v>
      </c>
      <c r="BS178" s="2" t="e">
        <f ca="1">_xll.BDH($C$178,"ST_DEBT_SEQUENTIAL_GROWTH","FY 2014","FY 2014","Currency=INR","Period=FY","BEST_FPERIOD_OVERRIDE=FY","FILING_STATUS=OR","EQY_CONSOLIDATED=Y","Sort=A","Dates=H","DateFormat=P","Fill=—","Direction=H","UseDPDF=Y")</f>
        <v>#NAME?</v>
      </c>
      <c r="BT178" s="2" t="e">
        <f ca="1">_xll.BDH($C$178,"TOTAL_DEBT_SEQUENTIAL_GROWTH","FY 2014","FY 2014","Currency=INR","Period=FY","BEST_FPERIOD_OVERRIDE=FY","FILING_STATUS=OR","EQY_CONSOLIDATED=Y","Sort=A","Dates=H","DateFormat=P","Fill=—","Direction=H","UseDPDF=Y")</f>
        <v>#NAME?</v>
      </c>
      <c r="BU178" s="2" t="e">
        <f ca="1">_xll.BDH($C$178,"TOTAL_EQUITY_SEQUENTIAL_GROWTH","FY 2014","FY 2014","Currency=INR","Period=FY","BEST_FPERIOD_OVERRIDE=FY","FILING_STATUS=OR","EQY_CONSOLIDATED=Y","Sort=A","Dates=H","DateFormat=P","Fill=—","Direction=H","UseDPDF=Y")</f>
        <v>#NAME?</v>
      </c>
      <c r="BV178" s="2" t="e">
        <f ca="1">_xll.BDH($C$178,"TOTAL_CAPITAL_SEQUENTIAL_GROWTH","FY 2014","FY 2014","Currency=INR","Period=FY","BEST_FPERIOD_OVERRIDE=FY","FILING_STATUS=OR","EQY_CONSOLIDATED=Y","Sort=A","Dates=H","DateFormat=P","Fill=—","Direction=H","UseDPDF=Y")</f>
        <v>#NAME?</v>
      </c>
      <c r="BW178" s="2" t="e">
        <f ca="1">_xll.BDH($C$178,"BPS_SEQUENTIAL_GROWTH","FY 2014","FY 2014","Currency=INR","Period=FY","BEST_FPERIOD_OVERRIDE=FY","FILING_STATUS=OR","EQY_CONSOLIDATED=Y","Sort=A","Dates=H","DateFormat=P","Fill=—","Direction=H","UseDPDF=Y")</f>
        <v>#NAME?</v>
      </c>
      <c r="BX178" s="2" t="e">
        <f ca="1">_xll.BDH($C$178,"CFO_SEQUENTIAL_GROWTH","FY 2014","FY 2014","Currency=INR","Period=FY","BEST_FPERIOD_OVERRIDE=FY","FILING_STATUS=OR","EQY_CONSOLIDATED=Y","Sort=A","Dates=H","DateFormat=P","Fill=—","Direction=H","UseDPDF=Y")</f>
        <v>#NAME?</v>
      </c>
      <c r="BY178" s="3" t="e">
        <f ca="1">_xll.BDH($C$178,"SHORT_AND_LONG_TERM_DEBT","FY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178" s="3" t="e">
        <f ca="1">_xll.BDH($C$178,"BS_ST_BORROW","FY 2014","FY 2014","Currency=INR","Period=FY","BEST_FPERIOD_OVERRIDE=FY","FILING_STATUS=OR","EQY_CONSOLIDATED=Y","SCALING_FORMAT=MLN","Sort=A","Dates=H","DateFormat=P","Fill=—","Direction=H","UseDPDF=Y")</f>
        <v>#NAME?</v>
      </c>
      <c r="CA178" s="3" t="e">
        <f ca="1">_xll.BDH($C$178,"BS_LT_BORROW","FY 2014","FY 2014","Currency=INR","Period=FY","BEST_FPERIOD_OVERRIDE=FY","FILING_STATUS=OR","EQY_CONSOLIDATED=Y","SCALING_FORMAT=MLN","Sort=A","Dates=H","DateFormat=P","Fill=—","Direction=H","UseDPDF=Y")</f>
        <v>#NAME?</v>
      </c>
      <c r="CB178" s="2" t="e">
        <f ca="1">_xll.BDH($C$178,"TOT_DEBT_TO_EBITDA","FY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178" s="2" t="e">
        <f ca="1">_xll.BDH($C$178,"NET_DEBT_TO_EBITDA","FY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178" s="2" t="e">
        <f ca="1">_xll.BDH($C$178,"TOTAL_DEBT_TO_EBIT","FY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178" s="2" t="e">
        <f ca="1">_xll.BDH($C$178,"NET_DEBT_TO_EBIT","FY 2014","FY 2014","Currency=INR","Period=FY","BEST_FPERIOD_OVERRIDE=FY","FILING_STATUS=OR","EQY_CONSOLIDATED=Y","FA_ADJUSTED=GAAP","Sort=A","Dates=H","DateFormat=P","Fill=—","Direction=H","UseDPDF=Y")</f>
        <v>#NAME?</v>
      </c>
      <c r="CF178" s="2" t="e">
        <f ca="1">_xll.BDH($C$178,"EBITDA_TO_INTEREST_EXPN","FY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178" s="2" t="e">
        <f ca="1">_xll.BDH($C$178,"COM_EQY_TO_TOT_ASSET","FY 2014","FY 2014","Currency=INR","Period=FY","BEST_FPERIOD_OVERRIDE=FY","FILING_STATUS=OR","EQY_CONSOLIDATED=Y","Sort=A","Dates=H","DateFormat=P","Fill=—","Direction=H","UseDPDF=Y")</f>
        <v>#NAME?</v>
      </c>
      <c r="CH178" s="2" t="e">
        <f ca="1">_xll.BDH($C$178,"LT_DEBT_TO_TOT_EQY","FY 2014","FY 2014","Currency=INR","Period=FY","BEST_FPERIOD_OVERRIDE=FY","FILING_STATUS=OR","EQY_CONSOLIDATED=Y","Sort=A","Dates=H","DateFormat=P","Fill=—","Direction=H","UseDPDF=Y")</f>
        <v>#NAME?</v>
      </c>
      <c r="CI178" s="2" t="e">
        <f ca="1">_xll.BDH($C$178,"LT_DEBT_TO_TOT_CAP","FY 2014","FY 2014","Currency=INR","Period=FY","BEST_FPERIOD_OVERRIDE=FY","FILING_STATUS=OR","EQY_CONSOLIDATED=Y","Sort=A","Dates=H","DateFormat=P","Fill=—","Direction=H","UseDPDF=Y")</f>
        <v>#NAME?</v>
      </c>
      <c r="CJ178" s="2" t="e">
        <f ca="1">_xll.BDH($C$178,"LT_DEBT_TO_TOT_ASSET","FY 2014","FY 2014","Currency=INR","Period=FY","BEST_FPERIOD_OVERRIDE=FY","FILING_STATUS=OR","EQY_CONSOLIDATED=Y","Sort=A","Dates=H","DateFormat=P","Fill=—","Direction=H","UseDPDF=Y")</f>
        <v>#NAME?</v>
      </c>
      <c r="CK178" s="2" t="e">
        <f ca="1">_xll.BDH($C$178,"TOT_DEBT_TO_TOT_EQY","FY 2014","FY 2014","Currency=INR","Period=FY","BEST_FPERIOD_OVERRIDE=FY","FILING_STATUS=OR","EQY_CONSOLIDATED=Y","Sort=A","Dates=H","DateFormat=P","Fill=—","Direction=H","UseDPDF=Y")</f>
        <v>#NAME?</v>
      </c>
      <c r="CL178" s="2" t="e">
        <f ca="1">_xll.BDH($C$178,"TOT_DEBT_TO_TOT_CAP","FY 2014","FY 2014","Currency=INR","Period=FY","BEST_FPERIOD_OVERRIDE=FY","FILING_STATUS=OR","EQY_CONSOLIDATED=Y","Sort=A","Dates=H","DateFormat=P","Fill=—","Direction=H","UseDPDF=Y")</f>
        <v>#NAME?</v>
      </c>
      <c r="CM178" s="2" t="e">
        <f ca="1">_xll.BDH($C$178,"TOT_DEBT_TO_TOT_ASSET","FY 2014","FY 2014","Currency=INR","Period=FY","BEST_FPERIOD_OVERRIDE=FY","FILING_STATUS=OR","EQY_CONSOLIDATED=Y","Sort=A","Dates=H","DateFormat=P","Fill=—","Direction=H","UseDPDF=Y")</f>
        <v>#NAME?</v>
      </c>
      <c r="CN178" s="2" t="e">
        <f ca="1">_xll.BDH($C$178,"NET_DEBT_TO_SHRHLDR_EQTY","FY 2014","FY 2014","Currency=INR","Period=FY","BEST_FPERIOD_OVERRIDE=FY","FILING_STATUS=OR","EQY_CONSOLIDATED=Y","Sort=A","Dates=H","DateFormat=P","Fill=—","Direction=H","UseDPDF=Y")</f>
        <v>#NAME?</v>
      </c>
      <c r="CO178" s="2" t="e">
        <f ca="1">_xll.BDH($C$178,"NET_DEBT_%_CAPITAL","FY 2014","FY 2014","Currency=INR","Period=FY","BEST_FPERIOD_OVERRIDE=FY","FILING_STATUS=OR","EQY_CONSOLIDATED=Y","Sort=A","Dates=H","DateFormat=P","Fill=—","Direction=H","UseDPDF=Y")</f>
        <v>#NAME?</v>
      </c>
      <c r="CP178" s="3" t="e">
        <f ca="1">_xll.BDH($C$178,"EBITDA","FY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178" s="3" t="e">
        <f ca="1">_xll.BDH($C$178,"EBITDA_AFTER_CAPEX","FY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178" s="3" t="e">
        <f ca="1">_xll.BDH($C$178,"IS_OPER_INC","FY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178" s="2" t="e">
        <f ca="1">_xll.BDH($C$178,"CASH_RATIO","FY 2014","FY 2014","Currency=INR","Period=FY","BEST_FPERIOD_OVERRIDE=FY","FILING_STATUS=OR","EQY_CONSOLIDATED=Y","Sort=A","Dates=H","DateFormat=P","Fill=—","Direction=H","UseDPDF=Y")</f>
        <v>#NAME?</v>
      </c>
      <c r="CT178" s="2" t="e">
        <f ca="1">_xll.BDH($C$178,"CUR_RATIO","FY 2014","FY 2014","Currency=INR","Period=FY","BEST_FPERIOD_OVERRIDE=FY","FILING_STATUS=OR","EQY_CONSOLIDATED=Y","Sort=A","Dates=H","DateFormat=P","Fill=—","Direction=H","UseDPDF=Y")</f>
        <v>#NAME?</v>
      </c>
      <c r="CU178" s="2" t="e">
        <f ca="1">_xll.BDH($C$178,"QUICK_RATIO","FY 2014","FY 2014","Currency=INR","Period=FY","BEST_FPERIOD_OVERRIDE=FY","FILING_STATUS=OR","EQY_CONSOLIDATED=Y","Sort=A","Dates=H","DateFormat=P","Fill=—","Direction=H","UseDPDF=Y")</f>
        <v>#NAME?</v>
      </c>
      <c r="CV178" s="2" t="e">
        <f ca="1">_xll.BDH($C$178,"ALTMAN_Z_SCORE","FY 2014","FY 2014","Currency=INR","Period=FY","BEST_FPERIOD_OVERRIDE=FY","FILING_STATUS=OR","EQY_CONSOLIDATED=Y","Sort=A","Dates=H","DateFormat=P","Fill=—","Direction=H","UseDPDF=Y")</f>
        <v>#NAME?</v>
      </c>
      <c r="CW178" s="4" t="e">
        <f ca="1">_xll.BDH($C$178,"ACCT_RCV_TURN","FY 2014","FY 2014","Currency=INR","Period=FY","BEST_FPERIOD_OVERRIDE=FY","FILING_STATUS=OR","EQY_CONSOLIDATED=Y","FA_ADJUSTED=GAAP","Sort=A","Dates=H","DateFormat=P","Fill=—","Direction=H","UseDPDF=Y")</f>
        <v>#NAME?</v>
      </c>
      <c r="CX178" s="2" t="e">
        <f ca="1">_xll.BDH($C$178,"ACCT_RCV_DAYS","FY 2014","FY 2014","Currency=INR","Period=FY","BEST_FPERIOD_OVERRIDE=FY","FILING_STATUS=OR","EQY_CONSOLIDATED=Y","FA_ADJUSTED=GAAP","Sort=A","Dates=H","DateFormat=P","Fill=—","Direction=H","UseDPDF=Y")</f>
        <v>#NAME?</v>
      </c>
      <c r="CY178" s="4" t="e">
        <f ca="1">_xll.BDH($C$178,"INVENT_TURN","FY 2014","FY 2014","Currency=INR","Period=FY","BEST_FPERIOD_OVERRIDE=FY","FILING_STATUS=OR","EQY_CONSOLIDATED=Y","FA_ADJUSTED=GAAP","Sort=A","Dates=H","DateFormat=P","Fill=—","Direction=H","UseDPDF=Y")</f>
        <v>#NAME?</v>
      </c>
      <c r="CZ178" s="2" t="e">
        <f ca="1">_xll.BDH($C$178,"INVENT_DAYS","FY 2014","FY 2014","Currency=INR","Period=FY","BEST_FPERIOD_OVERRIDE=FY","FILING_STATUS=OR","EQY_CONSOLIDATED=Y","FA_ADJUSTED=GAAP","Sort=A","Dates=H","DateFormat=P","Fill=—","Direction=H","UseDPDF=Y")</f>
        <v>#NAME?</v>
      </c>
      <c r="DA178" s="4" t="e">
        <f ca="1">_xll.BDH($C$178,"ACCOUNTS_PAYABLE_TURNOVER","FY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178" s="2" t="e">
        <f ca="1">_xll.BDH($C$178,"ACCOUNTS_PAYABLE_TURNOVER_DAYS","FY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178" s="4" t="e">
        <f ca="1">_xll.BDH($C$178,"CASH_CONVERSION_CYCLE","FY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178" s="4" t="e">
        <f ca="1">_xll.BDH($C$178,"INV_TO_CASH_DAYS","FY 2014","FY 2014","Currency=INR","Period=FY","BEST_FPERIOD_OVERRIDE=FY","FILING_STATUS=OR","EQY_CONSOLIDATED=Y","FA_ADJUSTED=GAAP","Sort=A","Dates=H","DateFormat=P","Fill=—","Direction=H","UseDPDF=Y")</f>
        <v>#NAME?</v>
      </c>
      <c r="DE178" s="5" t="e">
        <f ca="1">_xll.BDH($C$178,"BS_INVENTORIES","FY 2014","FY 2014","Currency=INR","Period=FY","BEST_FPERIOD_OVERRIDE=FY","FILING_STATUS=OR","EQY_CONSOLIDATED=Y","SCALING_FORMAT=MLN","Sort=A","Dates=H","DateFormat=P","Fill=—","Direction=H","UseDPDF=Y")</f>
        <v>#NAME?</v>
      </c>
      <c r="DF178" s="3" t="e">
        <f ca="1">_xll.BDH($C$178,"INVTRY_RAW_MATERIALS","FY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178" s="3" t="e">
        <f ca="1">_xll.BDH($C$178,"INVTRY_IN_PROGRESS","FY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178" s="3" t="e">
        <f ca="1">_xll.BDH($C$178,"INVTRY_FINISHED_GOODS","FY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178" s="3" t="e">
        <f ca="1">_xll.BDH($C$178,"BS_OTHER_INV","FY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179" spans="1:113" x14ac:dyDescent="0.3">
      <c r="A179" s="6"/>
      <c r="B179" s="6"/>
      <c r="C179" s="6"/>
      <c r="D179" s="6"/>
      <c r="E179" t="s">
        <v>78</v>
      </c>
      <c r="F179" t="e">
        <f ca="1">_xll.BDH($C$178,"RETURN_COM_EQY","FQ1 2014","FQ1 2014","Currency=INR","Period=FQ","BEST_FPERIOD_OVERRIDE=FQ","FILING_STATUS=OR","EQY_CONSOLIDATED=Y","FA_ADJUSTED=GAAP","Sort=A","Dates=H","DateFormat=P","Fill=—","Direction=H","UseDPDF=Y")</f>
        <v>#NAME?</v>
      </c>
      <c r="G179" t="e">
        <f ca="1">_xll.BDH($C$178,"RETURN_ON_ASSET","FQ1 2014","FQ1 2014","Currency=INR","Period=FQ","BEST_FPERIOD_OVERRIDE=FQ","FILING_STATUS=OR","EQY_CONSOLIDATED=Y","FA_ADJUSTED=GAAP","Sort=A","Dates=H","DateFormat=P","Fill=—","Direction=H","UseDPDF=Y")</f>
        <v>#NAME?</v>
      </c>
      <c r="H179" t="e">
        <f ca="1">_xll.BDH($C$178,"RETURN_ON_CAP","FQ1 2014","FQ1 2014","Currency=INR","Period=FQ","BEST_FPERIOD_OVERRIDE=FQ","FILING_STATUS=OR","EQY_CONSOLIDATED=Y","FA_ADJUSTED=GAAP","Sort=A","Dates=H","DateFormat=P","Fill=—","Direction=H","UseDPDF=Y")</f>
        <v>#NAME?</v>
      </c>
      <c r="I179" t="e">
        <f ca="1">_xll.BDH($C$178,"RETURN_ON_INV_CAPITAL","FQ1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179" t="e">
        <f ca="1">_xll.BDH($C$178,"EBITDA_TO_REVENUE","FQ1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179" t="e">
        <f ca="1">_xll.BDH($C$178,"OPER_MARGIN","FQ1 2014","FQ1 2014","Currency=INR","Period=FQ","BEST_FPERIOD_OVERRIDE=FQ","FILING_STATUS=OR","EQY_CONSOLIDATED=Y","FA_ADJUSTED=GAAP","Sort=A","Dates=H","DateFormat=P","Fill=—","Direction=H","UseDPDF=Y")</f>
        <v>#NAME?</v>
      </c>
      <c r="L179" t="e">
        <f ca="1">_xll.BDH($C$178,"INCREMENTAL_OPERATING_MARGIN","FQ1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179" t="e">
        <f ca="1">_xll.BDH($C$178,"PRETAX_INC_TO_NET_SALES","FQ1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179" t="e">
        <f ca="1">_xll.BDH($C$178,"INC_BEF_XO_ITEMS_TO_NET_SALES","FQ1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179" t="e">
        <f ca="1">_xll.BDH($C$178,"PROF_MARGIN","FQ1 2014","FQ1 2014","Currency=INR","Period=FQ","BEST_FPERIOD_OVERRIDE=FQ","FILING_STATUS=OR","EQY_CONSOLIDATED=Y","FA_ADJUSTED=GAAP","Sort=A","Dates=H","DateFormat=P","Fill=—","Direction=H","UseDPDF=Y")</f>
        <v>#NAME?</v>
      </c>
      <c r="P179" t="e">
        <f ca="1">_xll.BDH($C$178,"NET_INCOME_TO_COMMON_MARGIN","FQ1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179" t="e">
        <f ca="1">_xll.BDH($C$178,"EFF_TAX_RATE","FQ1 2014","FQ1 2014","Currency=INR","Period=FQ","BEST_FPERIOD_OVERRIDE=FQ","FILING_STATUS=OR","EQY_CONSOLIDATED=Y","FA_ADJUSTED=GAAP","Sort=A","Dates=H","DateFormat=P","Fill=—","Direction=H","UseDPDF=Y")</f>
        <v>#NAME?</v>
      </c>
      <c r="R179" t="e">
        <f ca="1">_xll.BDH($C$178,"DVD_PAYOUT_RATIO","FQ1 2014","FQ1 2014","Currency=INR","Period=FQ","BEST_FPERIOD_OVERRIDE=FQ","FILING_STATUS=OR","EQY_CONSOLIDATED=Y","FA_ADJUSTED=GAAP","Sort=A","Dates=H","DateFormat=P","Fill=—","Direction=H","UseDPDF=Y")</f>
        <v>#NAME?</v>
      </c>
      <c r="S179" t="e">
        <f ca="1">_xll.BDH($C$178,"SUSTAIN_GROWTH_RT","FQ1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179" s="2" t="e">
        <f ca="1">_xll.BDH($C$178,"SALES_GROWTH","FQ1 2014","FQ1 2014","Currency=INR","Period=FQ","BEST_FPERIOD_OVERRIDE=FQ","FILING_STATUS=OR","EQY_CONSOLIDATED=Y","FA_ADJUSTED=GAAP","Sort=A","Dates=H","DateFormat=P","Fill=—","Direction=H","UseDPDF=Y")</f>
        <v>#NAME?</v>
      </c>
      <c r="U179" s="2" t="e">
        <f ca="1">_xll.BDH($C$178,"EBITDA_GROWTH","FQ1 2014","FQ1 2014","Currency=INR","Period=FQ","BEST_FPERIOD_OVERRIDE=FQ","FILING_STATUS=OR","EQY_CONSOLIDATED=Y","FA_ADJUSTED=GAAP","Sort=A","Dates=H","DateFormat=P","Fill=—","Direction=H","UseDPDF=Y")</f>
        <v>#NAME?</v>
      </c>
      <c r="V179" s="2" t="e">
        <f ca="1">_xll.BDH($C$178,"OPER_INC_GROWTH","FQ1 2014","FQ1 2014","Currency=INR","Period=FQ","BEST_FPERIOD_OVERRIDE=FQ","FILING_STATUS=OR","EQY_CONSOLIDATED=Y","FA_ADJUSTED=GAAP","Sort=A","Dates=H","DateFormat=P","Fill=—","Direction=H","UseDPDF=Y")</f>
        <v>#NAME?</v>
      </c>
      <c r="W179" s="2" t="e">
        <f ca="1">_xll.BDH($C$178,"EARN_FOR_COM_GROWTH","FQ1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179" s="2" t="e">
        <f ca="1">_xll.BDH($C$178,"DILUTED_EPS_AFT_XO_ITEMS_GROWTH","FQ1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179" s="2" t="e">
        <f ca="1">_xll.BDH($C$178,"DIVIDEND_PER_SHARE_1_YEAR_GROWTH","FQ1 2014","FQ1 2014","Currency=INR","Period=FQ","BEST_FPERIOD_OVERRIDE=FQ","FILING_STATUS=OR","EQY_CONSOLIDATED=Y","Sort=A","Dates=H","DateFormat=P","Fill=—","Direction=H","UseDPDF=Y")</f>
        <v>#NAME?</v>
      </c>
      <c r="Z179" s="2" t="e">
        <f ca="1">_xll.BDH($C$178,"ACCOUNTS_RECEIVABLE_GROWTH","FQ1 2014","FQ1 2014","Currency=INR","Period=FQ","BEST_FPERIOD_OVERRIDE=FQ","FILING_STATUS=OR","EQY_CONSOLIDATED=Y","Sort=A","Dates=H","DateFormat=P","Fill=—","Direction=H","UseDPDF=Y")</f>
        <v>#NAME?</v>
      </c>
      <c r="AA179" s="2" t="e">
        <f ca="1">_xll.BDH($C$178,"INVENTORY_GROWTH","FQ1 2014","FQ1 2014","Currency=INR","Period=FQ","BEST_FPERIOD_OVERRIDE=FQ","FILING_STATUS=OR","EQY_CONSOLIDATED=Y","Sort=A","Dates=H","DateFormat=P","Fill=—","Direction=H","UseDPDF=Y")</f>
        <v>#NAME?</v>
      </c>
      <c r="AB179" s="2" t="e">
        <f ca="1">_xll.BDH($C$178,"NET_FIXED_ASSETS_1_YEAR_GROWTH","FQ1 2014","FQ1 2014","Currency=INR","Period=FQ","BEST_FPERIOD_OVERRIDE=FQ","FILING_STATUS=OR","EQY_CONSOLIDATED=Y","Sort=A","Dates=H","DateFormat=P","Fill=—","Direction=H","UseDPDF=Y")</f>
        <v>#NAME?</v>
      </c>
      <c r="AC179" s="2" t="e">
        <f ca="1">_xll.BDH($C$178,"ASSET_GROWTH","FQ1 2014","FQ1 2014","Currency=INR","Period=FQ","BEST_FPERIOD_OVERRIDE=FQ","FILING_STATUS=OR","EQY_CONSOLIDATED=Y","Sort=A","Dates=H","DateFormat=P","Fill=—","Direction=H","UseDPDF=Y")</f>
        <v>#NAME?</v>
      </c>
      <c r="AD179" s="2" t="e">
        <f ca="1">_xll.BDH($C$178,"MODIFIED_WORK_CAP_GROWTH","FQ1 2014","FQ1 2014","Currency=INR","Period=FQ","BEST_FPERIOD_OVERRIDE=FQ","FILING_STATUS=OR","EQY_CONSOLIDATED=Y","Sort=A","Dates=H","DateFormat=P","Fill=—","Direction=H","UseDPDF=Y")</f>
        <v>#NAME?</v>
      </c>
      <c r="AE179" s="2" t="e">
        <f ca="1">_xll.BDH($C$178,"WORK_CAP_GROWTH","FQ1 2014","FQ1 2014","Currency=INR","Period=FQ","BEST_FPERIOD_OVERRIDE=FQ","FILING_STATUS=OR","EQY_CONSOLIDATED=Y","Sort=A","Dates=H","DateFormat=P","Fill=—","Direction=H","UseDPDF=Y")</f>
        <v>#NAME?</v>
      </c>
      <c r="AF179" s="2" t="e">
        <f ca="1">_xll.BDH($C$178,"ACCOUNTS_PAYABLE_GROWTH_1YR","FQ1 2014","FQ1 2014","Currency=INR","Period=FQ","BEST_FPERIOD_OVERRIDE=FQ","FILING_STATUS=OR","EQY_CONSOLIDATED=Y","Sort=A","Dates=H","DateFormat=P","Fill=—","Direction=H","UseDPDF=Y")</f>
        <v>#NAME?</v>
      </c>
      <c r="AG179" s="2" t="e">
        <f ca="1">_xll.BDH($C$178,"SHORT_TERM_DEBT_1_YEAR_GROWTH","FQ1 2014","FQ1 2014","Currency=INR","Period=FQ","BEST_FPERIOD_OVERRIDE=FQ","FILING_STATUS=OR","EQY_CONSOLIDATED=Y","Sort=A","Dates=H","DateFormat=P","Fill=—","Direction=H","UseDPDF=Y")</f>
        <v>#NAME?</v>
      </c>
      <c r="AH179" s="2" t="e">
        <f ca="1">_xll.BDH($C$178,"TOTAL_DEBT_1_YEAR_GROWTH","FQ1 2014","FQ1 2014","Currency=INR","Period=FQ","BEST_FPERIOD_OVERRIDE=FQ","FILING_STATUS=OR","EQY_CONSOLIDATED=Y","Sort=A","Dates=H","DateFormat=P","Fill=—","Direction=H","UseDPDF=Y")</f>
        <v>#NAME?</v>
      </c>
      <c r="AI179" s="2" t="e">
        <f ca="1">_xll.BDH($C$178,"TOTAL_EQUITY_1_YEAR_GROWTH","FQ1 2014","FQ1 2014","Currency=INR","Period=FQ","BEST_FPERIOD_OVERRIDE=FQ","FILING_STATUS=OR","EQY_CONSOLIDATED=Y","Sort=A","Dates=H","DateFormat=P","Fill=—","Direction=H","UseDPDF=Y")</f>
        <v>#NAME?</v>
      </c>
      <c r="AJ179" s="2" t="e">
        <f ca="1">_xll.BDH($C$178,"GROWTH_IN_CAP","FQ1 2014","FQ1 2014","Currency=INR","Period=FQ","BEST_FPERIOD_OVERRIDE=FQ","FILING_STATUS=OR","EQY_CONSOLIDATED=Y","Sort=A","Dates=H","DateFormat=P","Fill=—","Direction=H","UseDPDF=Y")</f>
        <v>#NAME?</v>
      </c>
      <c r="AK179" s="2" t="e">
        <f ca="1">_xll.BDH($C$178,"BVPS_GROWTH","FQ1 2014","FQ1 2014","Currency=INR","Period=FQ","BEST_FPERIOD_OVERRIDE=FQ","FILING_STATUS=OR","EQY_CONSOLIDATED=Y","Sort=A","Dates=H","DateFormat=P","Fill=—","Direction=H","UseDPDF=Y")</f>
        <v>#NAME?</v>
      </c>
      <c r="AL179" s="2" t="e">
        <f ca="1">_xll.BDH($C$178,"CASH_FLOW_GROWTH","FQ1 2014","FQ1 2014","Currency=INR","Period=FQ","BEST_FPERIOD_OVERRIDE=FQ","FILING_STATUS=OR","EQY_CONSOLIDATED=Y","Sort=A","Dates=H","DateFormat=P","Fill=—","Direction=H","UseDPDF=Y")</f>
        <v>#NAME?</v>
      </c>
      <c r="AM179" s="2" t="e">
        <f ca="1">_xll.BDH($C$178,"GEO_GROW_NET_SALES","FQ1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179" s="2" t="e">
        <f ca="1">_xll.BDH($C$178,"GEO_GROW_EBITDA","FQ1 2014","FQ1 2014","Currency=INR","Period=FQ","BEST_FPERIOD_OVERRIDE=FQ","FILING_STATUS=OR","EQY_CONSOLIDATED=Y","FA_ADJUSTED=GAAP","Sort=A","Dates=H","DateFormat=P","Fill=—","Direction=H","UseDPDF=Y")</f>
        <v>#NAME?</v>
      </c>
      <c r="AO179" s="2" t="e">
        <f ca="1">_xll.BDH($C$178,"GEO_GROW_OPER_INC","FQ1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179" s="2" t="e">
        <f ca="1">_xll.BDH($C$178,"NET_INCOME_TO_COMMON_5_YR_GROWTH","FQ1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179" s="2" t="e">
        <f ca="1">_xll.BDH($C$178,"5Y_GEO_GROWTH_DILUTED_EPS","FQ1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179" s="2" t="e">
        <f ca="1">_xll.BDH($C$178,"GEO_GROW_DVD_PER_SH","FQ1 2014","FQ1 2014","Currency=INR","Period=FQ","BEST_FPERIOD_OVERRIDE=FQ","FILING_STATUS=OR","EQY_CONSOLIDATED=Y","Sort=A","Dates=H","DateFormat=P","Fill=—","Direction=H","UseDPDF=Y")</f>
        <v>#NAME?</v>
      </c>
      <c r="AS179" s="2" t="e">
        <f ca="1">_xll.BDH($C$178,"ACCOUNTS_RECEIVABLE_5_YR_GROWTH","FQ1 2014","FQ1 2014","Currency=INR","Period=FQ","BEST_FPERIOD_OVERRIDE=FQ","FILING_STATUS=OR","EQY_CONSOLIDATED=Y","Sort=A","Dates=H","DateFormat=P","Fill=—","Direction=H","UseDPDF=Y")</f>
        <v>#NAME?</v>
      </c>
      <c r="AT179" s="2" t="e">
        <f ca="1">_xll.BDH($C$178,"INVENTORY_5_YEAR_GROWTH","FQ1 2014","FQ1 2014","Currency=INR","Period=FQ","BEST_FPERIOD_OVERRIDE=FQ","FILING_STATUS=OR","EQY_CONSOLIDATED=Y","Sort=A","Dates=H","DateFormat=P","Fill=—","Direction=H","UseDPDF=Y")</f>
        <v>#NAME?</v>
      </c>
      <c r="AU179" s="2" t="e">
        <f ca="1">_xll.BDH($C$178,"NET_FIXED_ASSETS_5_YEAR_GROWTH","FQ1 2014","FQ1 2014","Currency=INR","Period=FQ","BEST_FPERIOD_OVERRIDE=FQ","FILING_STATUS=OR","EQY_CONSOLIDATED=Y","Sort=A","Dates=H","DateFormat=P","Fill=—","Direction=H","UseDPDF=Y")</f>
        <v>#NAME?</v>
      </c>
      <c r="AV179" s="2" t="e">
        <f ca="1">_xll.BDH($C$178,"GEO_GROW_TOT_ASSET","FQ1 2014","FQ1 2014","Currency=INR","Period=FQ","BEST_FPERIOD_OVERRIDE=FQ","FILING_STATUS=OR","EQY_CONSOLIDATED=Y","Sort=A","Dates=H","DateFormat=P","Fill=—","Direction=H","UseDPDF=Y")</f>
        <v>#NAME?</v>
      </c>
      <c r="AW179" s="2" t="e">
        <f ca="1">_xll.BDH($C$178,"MODIFIED_WORKING_CPTL_5YR_GRWTH","FQ1 2014","FQ1 2014","Currency=INR","Period=FQ","BEST_FPERIOD_OVERRIDE=FQ","FILING_STATUS=OR","EQY_CONSOLIDATED=Y","Sort=A","Dates=H","DateFormat=P","Fill=—","Direction=H","UseDPDF=Y")</f>
        <v>#NAME?</v>
      </c>
      <c r="AX179" s="2" t="e">
        <f ca="1">_xll.BDH($C$178,"WORKING_CAPITAL_5_YEAR_GROWTH","FQ1 2014","FQ1 2014","Currency=INR","Period=FQ","BEST_FPERIOD_OVERRIDE=FQ","FILING_STATUS=OR","EQY_CONSOLIDATED=Y","Sort=A","Dates=H","DateFormat=P","Fill=—","Direction=H","UseDPDF=Y")</f>
        <v>#NAME?</v>
      </c>
      <c r="AY179" s="2" t="e">
        <f ca="1">_xll.BDH($C$178,"ACCOUNTS_PAYABLE_5_YEAR_GROWTH","FQ1 2014","FQ1 2014","Currency=INR","Period=FQ","BEST_FPERIOD_OVERRIDE=FQ","FILING_STATUS=OR","EQY_CONSOLIDATED=Y","Sort=A","Dates=H","DateFormat=P","Fill=—","Direction=H","UseDPDF=Y")</f>
        <v>#NAME?</v>
      </c>
      <c r="AZ179" s="2" t="e">
        <f ca="1">_xll.BDH($C$178,"SHORT_TERM_DEBT_5_YEAR_GROWTH","FQ1 2014","FQ1 2014","Currency=INR","Period=FQ","BEST_FPERIOD_OVERRIDE=FQ","FILING_STATUS=OR","EQY_CONSOLIDATED=Y","Sort=A","Dates=H","DateFormat=P","Fill=—","Direction=H","UseDPDF=Y")</f>
        <v>#NAME?</v>
      </c>
      <c r="BA179" s="2" t="e">
        <f ca="1">_xll.BDH($C$178,"TOTAL_DEBT_5_YEAR_GROWTH","FQ1 2014","FQ1 2014","Currency=INR","Period=FQ","BEST_FPERIOD_OVERRIDE=FQ","FILING_STATUS=OR","EQY_CONSOLIDATED=Y","Sort=A","Dates=H","DateFormat=P","Fill=—","Direction=H","UseDPDF=Y")</f>
        <v>#NAME?</v>
      </c>
      <c r="BB179" s="2" t="e">
        <f ca="1">_xll.BDH($C$178,"GEO_GROW_TOT_SHRHLDR_EQY","FQ1 2014","FQ1 2014","Currency=INR","Period=FQ","BEST_FPERIOD_OVERRIDE=FQ","FILING_STATUS=OR","EQY_CONSOLIDATED=Y","Sort=A","Dates=H","DateFormat=P","Fill=—","Direction=H","UseDPDF=Y")</f>
        <v>#NAME?</v>
      </c>
      <c r="BC179" s="2" t="e">
        <f ca="1">_xll.BDH($C$178,"TOTAL_CAPITAL_5_YEAR_GROWTH","FQ1 2014","FQ1 2014","Currency=INR","Period=FQ","BEST_FPERIOD_OVERRIDE=FQ","FILING_STATUS=OR","EQY_CONSOLIDATED=Y","Sort=A","Dates=H","DateFormat=P","Fill=—","Direction=H","UseDPDF=Y")</f>
        <v>#NAME?</v>
      </c>
      <c r="BD179" s="2" t="e">
        <f ca="1">_xll.BDH($C$178,"GEO_GROW_BOOK_VAL","FQ1 2014","FQ1 2014","Currency=INR","Period=FQ","BEST_FPERIOD_OVERRIDE=FQ","FILING_STATUS=OR","EQY_CONSOLIDATED=Y","Sort=A","Dates=H","DateFormat=P","Fill=—","Direction=H","UseDPDF=Y")</f>
        <v>#NAME?</v>
      </c>
      <c r="BE179" s="2" t="e">
        <f ca="1">_xll.BDH($C$178,"GEO_GROW_CASH_OPER_ACT","FQ1 2014","FQ1 2014","Currency=INR","Period=FQ","BEST_FPERIOD_OVERRIDE=FQ","FILING_STATUS=OR","EQY_CONSOLIDATED=Y","Sort=A","Dates=H","DateFormat=P","Fill=—","Direction=H","UseDPDF=Y")</f>
        <v>#NAME?</v>
      </c>
      <c r="BF179" s="2" t="e">
        <f ca="1">_xll.BDH($C$178,"REVENUE_SEQUENTIAL_GROWTH","FQ1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179" s="2" t="e">
        <f ca="1">_xll.BDH($C$178,"EBITDA_SEQUENTIAL_GROWTH","FQ1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179" s="2" t="e">
        <f ca="1">_xll.BDH($C$178,"OPERATING_INCOME_SEQ_GROWTH","FQ1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179" s="2" t="e">
        <f ca="1">_xll.BDH($C$178,"NET_INCOME_TO_COMMON_SEQ_GROWTH","FQ1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179" s="2" t="e">
        <f ca="1">_xll.BDH($C$178,"EPS_DILUTED_SEQUENTIAL_GROWTH","FQ1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179" s="2" t="e">
        <f ca="1">_xll.BDH($C$178,"DPS_SEQUENTIAL_GROWTH","FQ1 2014","FQ1 2014","Currency=INR","Period=FQ","BEST_FPERIOD_OVERRIDE=FQ","FILING_STATUS=OR","EQY_CONSOLIDATED=Y","Sort=A","Dates=H","DateFormat=P","Fill=—","Direction=H","UseDPDF=Y")</f>
        <v>#NAME?</v>
      </c>
      <c r="BL179" s="2" t="e">
        <f ca="1">_xll.BDH($C$178,"ACCOUNTS_RECEIVABLE_SEQ_GROWTH","FQ1 2014","FQ1 2014","Currency=INR","Period=FQ","BEST_FPERIOD_OVERRIDE=FQ","FILING_STATUS=OR","EQY_CONSOLIDATED=Y","Sort=A","Dates=H","DateFormat=P","Fill=—","Direction=H","UseDPDF=Y")</f>
        <v>#NAME?</v>
      </c>
      <c r="BM179" s="2" t="e">
        <f ca="1">_xll.BDH($C$178,"INVENTORY_SEQUENTIAL_GROWTH","FQ1 2014","FQ1 2014","Currency=INR","Period=FQ","BEST_FPERIOD_OVERRIDE=FQ","FILING_STATUS=OR","EQY_CONSOLIDATED=Y","Sort=A","Dates=H","DateFormat=P","Fill=—","Direction=H","UseDPDF=Y")</f>
        <v>#NAME?</v>
      </c>
      <c r="BN179" s="2" t="e">
        <f ca="1">_xll.BDH($C$178,"FIXED_ASSETS_SEQUENTIAL_GROWTH","FQ1 2014","FQ1 2014","Currency=INR","Period=FQ","BEST_FPERIOD_OVERRIDE=FQ","FILING_STATUS=OR","EQY_CONSOLIDATED=Y","Sort=A","Dates=H","DateFormat=P","Fill=—","Direction=H","UseDPDF=Y")</f>
        <v>#NAME?</v>
      </c>
      <c r="BO179" s="2" t="e">
        <f ca="1">_xll.BDH($C$178,"TOTAL_ASSETS_SEQUENTIAL_GROWTH","FQ1 2014","FQ1 2014","Currency=INR","Period=FQ","BEST_FPERIOD_OVERRIDE=FQ","FILING_STATUS=OR","EQY_CONSOLIDATED=Y","Sort=A","Dates=H","DateFormat=P","Fill=—","Direction=H","UseDPDF=Y")</f>
        <v>#NAME?</v>
      </c>
      <c r="BP179" s="2" t="e">
        <f ca="1">_xll.BDH($C$178,"MODIFIED_WORKING_CPTL_SEQ_GRWTH","FQ1 2014","FQ1 2014","Currency=INR","Period=FQ","BEST_FPERIOD_OVERRIDE=FQ","FILING_STATUS=OR","EQY_CONSOLIDATED=Y","Sort=A","Dates=H","DateFormat=P","Fill=—","Direction=H","UseDPDF=Y")</f>
        <v>#NAME?</v>
      </c>
      <c r="BQ179" s="2" t="e">
        <f ca="1">_xll.BDH($C$178,"WORKING_CAPITAL_SEQ_GROWTH","FQ1 2014","FQ1 2014","Currency=INR","Period=FQ","BEST_FPERIOD_OVERRIDE=FQ","FILING_STATUS=OR","EQY_CONSOLIDATED=Y","Sort=A","Dates=H","DateFormat=P","Fill=—","Direction=H","UseDPDF=Y")</f>
        <v>#NAME?</v>
      </c>
      <c r="BR179" s="2" t="e">
        <f ca="1">_xll.BDH($C$178,"ACCOUNTS_PAYABLE_SEQ_GROWTH","FQ1 2014","FQ1 2014","Currency=INR","Period=FQ","BEST_FPERIOD_OVERRIDE=FQ","FILING_STATUS=OR","EQY_CONSOLIDATED=Y","Sort=A","Dates=H","DateFormat=P","Fill=—","Direction=H","UseDPDF=Y")</f>
        <v>#NAME?</v>
      </c>
      <c r="BS179" s="2" t="e">
        <f ca="1">_xll.BDH($C$178,"ST_DEBT_SEQUENTIAL_GROWTH","FQ1 2014","FQ1 2014","Currency=INR","Period=FQ","BEST_FPERIOD_OVERRIDE=FQ","FILING_STATUS=OR","EQY_CONSOLIDATED=Y","Sort=A","Dates=H","DateFormat=P","Fill=—","Direction=H","UseDPDF=Y")</f>
        <v>#NAME?</v>
      </c>
      <c r="BT179" s="2" t="e">
        <f ca="1">_xll.BDH($C$178,"TOTAL_DEBT_SEQUENTIAL_GROWTH","FQ1 2014","FQ1 2014","Currency=INR","Period=FQ","BEST_FPERIOD_OVERRIDE=FQ","FILING_STATUS=OR","EQY_CONSOLIDATED=Y","Sort=A","Dates=H","DateFormat=P","Fill=—","Direction=H","UseDPDF=Y")</f>
        <v>#NAME?</v>
      </c>
      <c r="BU179" s="2" t="e">
        <f ca="1">_xll.BDH($C$178,"TOTAL_EQUITY_SEQUENTIAL_GROWTH","FQ1 2014","FQ1 2014","Currency=INR","Period=FQ","BEST_FPERIOD_OVERRIDE=FQ","FILING_STATUS=OR","EQY_CONSOLIDATED=Y","Sort=A","Dates=H","DateFormat=P","Fill=—","Direction=H","UseDPDF=Y")</f>
        <v>#NAME?</v>
      </c>
      <c r="BV179" s="2" t="e">
        <f ca="1">_xll.BDH($C$178,"TOTAL_CAPITAL_SEQUENTIAL_GROWTH","FQ1 2014","FQ1 2014","Currency=INR","Period=FQ","BEST_FPERIOD_OVERRIDE=FQ","FILING_STATUS=OR","EQY_CONSOLIDATED=Y","Sort=A","Dates=H","DateFormat=P","Fill=—","Direction=H","UseDPDF=Y")</f>
        <v>#NAME?</v>
      </c>
      <c r="BW179" s="2" t="e">
        <f ca="1">_xll.BDH($C$178,"BPS_SEQUENTIAL_GROWTH","FQ1 2014","FQ1 2014","Currency=INR","Period=FQ","BEST_FPERIOD_OVERRIDE=FQ","FILING_STATUS=OR","EQY_CONSOLIDATED=Y","Sort=A","Dates=H","DateFormat=P","Fill=—","Direction=H","UseDPDF=Y")</f>
        <v>#NAME?</v>
      </c>
      <c r="BX179" s="2" t="e">
        <f ca="1">_xll.BDH($C$178,"CFO_SEQUENTIAL_GROWTH","FQ1 2014","FQ1 2014","Currency=INR","Period=FQ","BEST_FPERIOD_OVERRIDE=FQ","FILING_STATUS=OR","EQY_CONSOLIDATED=Y","Sort=A","Dates=H","DateFormat=P","Fill=—","Direction=H","UseDPDF=Y")</f>
        <v>#NAME?</v>
      </c>
      <c r="BY179" s="3" t="e">
        <f ca="1">_xll.BDH($C$178,"SHORT_AND_LONG_TERM_DEBT","FQ1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179" s="3" t="e">
        <f ca="1">_xll.BDH($C$178,"BS_ST_BORROW","FQ1 2014","FQ1 2014","Currency=INR","Period=FQ","BEST_FPERIOD_OVERRIDE=FQ","FILING_STATUS=OR","EQY_CONSOLIDATED=Y","SCALING_FORMAT=MLN","Sort=A","Dates=H","DateFormat=P","Fill=—","Direction=H","UseDPDF=Y")</f>
        <v>#NAME?</v>
      </c>
      <c r="CA179" s="3" t="e">
        <f ca="1">_xll.BDH($C$178,"BS_LT_BORROW","FQ1 2014","FQ1 2014","Currency=INR","Period=FQ","BEST_FPERIOD_OVERRIDE=FQ","FILING_STATUS=OR","EQY_CONSOLIDATED=Y","SCALING_FORMAT=MLN","Sort=A","Dates=H","DateFormat=P","Fill=—","Direction=H","UseDPDF=Y")</f>
        <v>#NAME?</v>
      </c>
      <c r="CB179" s="2" t="e">
        <f ca="1">_xll.BDH($C$178,"TOT_DEBT_TO_EBITDA","FQ1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179" s="2" t="e">
        <f ca="1">_xll.BDH($C$178,"NET_DEBT_TO_EBITDA","FQ1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179" s="2" t="e">
        <f ca="1">_xll.BDH($C$178,"TOTAL_DEBT_TO_EBIT","FQ1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179" s="2" t="e">
        <f ca="1">_xll.BDH($C$178,"NET_DEBT_TO_EBIT","FQ1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179" s="2" t="e">
        <f ca="1">_xll.BDH($C$178,"EBITDA_TO_INTEREST_EXPN","FQ1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179" s="2" t="e">
        <f ca="1">_xll.BDH($C$178,"COM_EQY_TO_TOT_ASSET","FQ1 2014","FQ1 2014","Currency=INR","Period=FQ","BEST_FPERIOD_OVERRIDE=FQ","FILING_STATUS=OR","EQY_CONSOLIDATED=Y","Sort=A","Dates=H","DateFormat=P","Fill=—","Direction=H","UseDPDF=Y")</f>
        <v>#NAME?</v>
      </c>
      <c r="CH179" s="2" t="e">
        <f ca="1">_xll.BDH($C$178,"LT_DEBT_TO_TOT_EQY","FQ1 2014","FQ1 2014","Currency=INR","Period=FQ","BEST_FPERIOD_OVERRIDE=FQ","FILING_STATUS=OR","EQY_CONSOLIDATED=Y","Sort=A","Dates=H","DateFormat=P","Fill=—","Direction=H","UseDPDF=Y")</f>
        <v>#NAME?</v>
      </c>
      <c r="CI179" s="2" t="e">
        <f ca="1">_xll.BDH($C$178,"LT_DEBT_TO_TOT_CAP","FQ1 2014","FQ1 2014","Currency=INR","Period=FQ","BEST_FPERIOD_OVERRIDE=FQ","FILING_STATUS=OR","EQY_CONSOLIDATED=Y","Sort=A","Dates=H","DateFormat=P","Fill=—","Direction=H","UseDPDF=Y")</f>
        <v>#NAME?</v>
      </c>
      <c r="CJ179" s="2" t="e">
        <f ca="1">_xll.BDH($C$178,"LT_DEBT_TO_TOT_ASSET","FQ1 2014","FQ1 2014","Currency=INR","Period=FQ","BEST_FPERIOD_OVERRIDE=FQ","FILING_STATUS=OR","EQY_CONSOLIDATED=Y","Sort=A","Dates=H","DateFormat=P","Fill=—","Direction=H","UseDPDF=Y")</f>
        <v>#NAME?</v>
      </c>
      <c r="CK179" s="2" t="e">
        <f ca="1">_xll.BDH($C$178,"TOT_DEBT_TO_TOT_EQY","FQ1 2014","FQ1 2014","Currency=INR","Period=FQ","BEST_FPERIOD_OVERRIDE=FQ","FILING_STATUS=OR","EQY_CONSOLIDATED=Y","Sort=A","Dates=H","DateFormat=P","Fill=—","Direction=H","UseDPDF=Y")</f>
        <v>#NAME?</v>
      </c>
      <c r="CL179" s="2" t="e">
        <f ca="1">_xll.BDH($C$178,"TOT_DEBT_TO_TOT_CAP","FQ1 2014","FQ1 2014","Currency=INR","Period=FQ","BEST_FPERIOD_OVERRIDE=FQ","FILING_STATUS=OR","EQY_CONSOLIDATED=Y","Sort=A","Dates=H","DateFormat=P","Fill=—","Direction=H","UseDPDF=Y")</f>
        <v>#NAME?</v>
      </c>
      <c r="CM179" s="2" t="e">
        <f ca="1">_xll.BDH($C$178,"TOT_DEBT_TO_TOT_ASSET","FQ1 2014","FQ1 2014","Currency=INR","Period=FQ","BEST_FPERIOD_OVERRIDE=FQ","FILING_STATUS=OR","EQY_CONSOLIDATED=Y","Sort=A","Dates=H","DateFormat=P","Fill=—","Direction=H","UseDPDF=Y")</f>
        <v>#NAME?</v>
      </c>
      <c r="CN179" s="2" t="e">
        <f ca="1">_xll.BDH($C$178,"NET_DEBT_TO_SHRHLDR_EQTY","FQ1 2014","FQ1 2014","Currency=INR","Period=FQ","BEST_FPERIOD_OVERRIDE=FQ","FILING_STATUS=OR","EQY_CONSOLIDATED=Y","Sort=A","Dates=H","DateFormat=P","Fill=—","Direction=H","UseDPDF=Y")</f>
        <v>#NAME?</v>
      </c>
      <c r="CO179" s="2" t="e">
        <f ca="1">_xll.BDH($C$178,"NET_DEBT_%_CAPITAL","FQ1 2014","FQ1 2014","Currency=INR","Period=FQ","BEST_FPERIOD_OVERRIDE=FQ","FILING_STATUS=OR","EQY_CONSOLIDATED=Y","Sort=A","Dates=H","DateFormat=P","Fill=—","Direction=H","UseDPDF=Y")</f>
        <v>#NAME?</v>
      </c>
      <c r="CP179" s="3" t="e">
        <f ca="1">_xll.BDH($C$178,"EBITDA","FQ1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179" s="3" t="e">
        <f ca="1">_xll.BDH($C$178,"EBITDA_AFTER_CAPEX","FQ1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179" s="3" t="e">
        <f ca="1">_xll.BDH($C$178,"IS_OPER_INC","FQ1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179" s="2" t="e">
        <f ca="1">_xll.BDH($C$178,"CASH_RATIO","FQ1 2014","FQ1 2014","Currency=INR","Period=FQ","BEST_FPERIOD_OVERRIDE=FQ","FILING_STATUS=OR","EQY_CONSOLIDATED=Y","Sort=A","Dates=H","DateFormat=P","Fill=—","Direction=H","UseDPDF=Y")</f>
        <v>#NAME?</v>
      </c>
      <c r="CT179" s="2" t="e">
        <f ca="1">_xll.BDH($C$178,"CUR_RATIO","FQ1 2014","FQ1 2014","Currency=INR","Period=FQ","BEST_FPERIOD_OVERRIDE=FQ","FILING_STATUS=OR","EQY_CONSOLIDATED=Y","Sort=A","Dates=H","DateFormat=P","Fill=—","Direction=H","UseDPDF=Y")</f>
        <v>#NAME?</v>
      </c>
      <c r="CU179" s="2" t="e">
        <f ca="1">_xll.BDH($C$178,"QUICK_RATIO","FQ1 2014","FQ1 2014","Currency=INR","Period=FQ","BEST_FPERIOD_OVERRIDE=FQ","FILING_STATUS=OR","EQY_CONSOLIDATED=Y","Sort=A","Dates=H","DateFormat=P","Fill=—","Direction=H","UseDPDF=Y")</f>
        <v>#NAME?</v>
      </c>
      <c r="CV179" s="2" t="e">
        <f ca="1">_xll.BDH($C$178,"ALTMAN_Z_SCORE","FQ1 2014","FQ1 2014","Currency=INR","Period=FQ","BEST_FPERIOD_OVERRIDE=FQ","FILING_STATUS=OR","EQY_CONSOLIDATED=Y","Sort=A","Dates=H","DateFormat=P","Fill=—","Direction=H","UseDPDF=Y")</f>
        <v>#NAME?</v>
      </c>
      <c r="CW179" s="4" t="e">
        <f ca="1">_xll.BDH($C$178,"ACCT_RCV_TURN","FQ1 2014","FQ1 2014","Currency=INR","Period=FQ","BEST_FPERIOD_OVERRIDE=FQ","FILING_STATUS=OR","EQY_CONSOLIDATED=Y","FA_ADJUSTED=GAAP","Sort=A","Dates=H","DateFormat=P","Fill=—","Direction=H","UseDPDF=Y")</f>
        <v>#NAME?</v>
      </c>
      <c r="CX179" s="2" t="e">
        <f ca="1">_xll.BDH($C$178,"ACCT_RCV_DAYS","FQ1 2014","FQ1 2014","Currency=INR","Period=FQ","BEST_FPERIOD_OVERRIDE=FQ","FILING_STATUS=OR","EQY_CONSOLIDATED=Y","FA_ADJUSTED=GAAP","Sort=A","Dates=H","DateFormat=P","Fill=—","Direction=H","UseDPDF=Y")</f>
        <v>#NAME?</v>
      </c>
      <c r="CY179" s="4" t="e">
        <f ca="1">_xll.BDH($C$178,"INVENT_TURN","FQ1 2014","FQ1 2014","Currency=INR","Period=FQ","BEST_FPERIOD_OVERRIDE=FQ","FILING_STATUS=OR","EQY_CONSOLIDATED=Y","FA_ADJUSTED=GAAP","Sort=A","Dates=H","DateFormat=P","Fill=—","Direction=H","UseDPDF=Y")</f>
        <v>#NAME?</v>
      </c>
      <c r="CZ179" s="2" t="e">
        <f ca="1">_xll.BDH($C$178,"INVENT_DAYS","FQ1 2014","FQ1 2014","Currency=INR","Period=FQ","BEST_FPERIOD_OVERRIDE=FQ","FILING_STATUS=OR","EQY_CONSOLIDATED=Y","FA_ADJUSTED=GAAP","Sort=A","Dates=H","DateFormat=P","Fill=—","Direction=H","UseDPDF=Y")</f>
        <v>#NAME?</v>
      </c>
      <c r="DA179" s="4" t="e">
        <f ca="1">_xll.BDH($C$178,"ACCOUNTS_PAYABLE_TURNOVER","FQ1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179" s="2" t="e">
        <f ca="1">_xll.BDH($C$178,"ACCOUNTS_PAYABLE_TURNOVER_DAYS","FQ1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179" s="4" t="e">
        <f ca="1">_xll.BDH($C$178,"CASH_CONVERSION_CYCLE","FQ1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179" s="4" t="e">
        <f ca="1">_xll.BDH($C$178,"INV_TO_CASH_DAYS","FQ1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179" s="5" t="e">
        <f ca="1">_xll.BDH($C$178,"BS_INVENTORIES","FQ1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179" s="3" t="e">
        <f ca="1">_xll.BDH($C$178,"INVTRY_RAW_MATERIALS","FQ1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179" s="3" t="e">
        <f ca="1">_xll.BDH($C$178,"INVTRY_IN_PROGRESS","FQ1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179" s="3" t="e">
        <f ca="1">_xll.BDH($C$178,"INVTRY_FINISHED_GOODS","FQ1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179" s="3" t="e">
        <f ca="1">_xll.BDH($C$178,"BS_OTHER_INV","FQ1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180" spans="1:113" x14ac:dyDescent="0.3">
      <c r="A180" s="6"/>
      <c r="B180" s="6"/>
      <c r="C180" s="6"/>
      <c r="D180" s="6"/>
      <c r="E180" t="s">
        <v>79</v>
      </c>
      <c r="F180" t="e">
        <f ca="1">_xll.BDH($C$178,"RETURN_COM_EQY","FQ2 2014","FQ2 2014","Currency=INR","Period=FQ","BEST_FPERIOD_OVERRIDE=FQ","FILING_STATUS=OR","EQY_CONSOLIDATED=Y","FA_ADJUSTED=GAAP","Sort=A","Dates=H","DateFormat=P","Fill=—","Direction=H","UseDPDF=Y")</f>
        <v>#NAME?</v>
      </c>
      <c r="G180" t="e">
        <f ca="1">_xll.BDH($C$178,"RETURN_ON_ASSET","FQ2 2014","FQ2 2014","Currency=INR","Period=FQ","BEST_FPERIOD_OVERRIDE=FQ","FILING_STATUS=OR","EQY_CONSOLIDATED=Y","FA_ADJUSTED=GAAP","Sort=A","Dates=H","DateFormat=P","Fill=—","Direction=H","UseDPDF=Y")</f>
        <v>#NAME?</v>
      </c>
      <c r="H180" t="e">
        <f ca="1">_xll.BDH($C$178,"RETURN_ON_CAP","FQ2 2014","FQ2 2014","Currency=INR","Period=FQ","BEST_FPERIOD_OVERRIDE=FQ","FILING_STATUS=OR","EQY_CONSOLIDATED=Y","FA_ADJUSTED=GAAP","Sort=A","Dates=H","DateFormat=P","Fill=—","Direction=H","UseDPDF=Y")</f>
        <v>#NAME?</v>
      </c>
      <c r="I180" t="e">
        <f ca="1">_xll.BDH($C$178,"RETURN_ON_INV_CAPITAL","FQ2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180" t="e">
        <f ca="1">_xll.BDH($C$178,"EBITDA_TO_REVENUE","FQ2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180" t="e">
        <f ca="1">_xll.BDH($C$178,"OPER_MARGIN","FQ2 2014","FQ2 2014","Currency=INR","Period=FQ","BEST_FPERIOD_OVERRIDE=FQ","FILING_STATUS=OR","EQY_CONSOLIDATED=Y","FA_ADJUSTED=GAAP","Sort=A","Dates=H","DateFormat=P","Fill=—","Direction=H","UseDPDF=Y")</f>
        <v>#NAME?</v>
      </c>
      <c r="L180" t="e">
        <f ca="1">_xll.BDH($C$178,"INCREMENTAL_OPERATING_MARGIN","FQ2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180" t="e">
        <f ca="1">_xll.BDH($C$178,"PRETAX_INC_TO_NET_SALES","FQ2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180" t="e">
        <f ca="1">_xll.BDH($C$178,"INC_BEF_XO_ITEMS_TO_NET_SALES","FQ2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180" t="e">
        <f ca="1">_xll.BDH($C$178,"PROF_MARGIN","FQ2 2014","FQ2 2014","Currency=INR","Period=FQ","BEST_FPERIOD_OVERRIDE=FQ","FILING_STATUS=OR","EQY_CONSOLIDATED=Y","FA_ADJUSTED=GAAP","Sort=A","Dates=H","DateFormat=P","Fill=—","Direction=H","UseDPDF=Y")</f>
        <v>#NAME?</v>
      </c>
      <c r="P180" t="e">
        <f ca="1">_xll.BDH($C$178,"NET_INCOME_TO_COMMON_MARGIN","FQ2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180" t="e">
        <f ca="1">_xll.BDH($C$178,"EFF_TAX_RATE","FQ2 2014","FQ2 2014","Currency=INR","Period=FQ","BEST_FPERIOD_OVERRIDE=FQ","FILING_STATUS=OR","EQY_CONSOLIDATED=Y","FA_ADJUSTED=GAAP","Sort=A","Dates=H","DateFormat=P","Fill=—","Direction=H","UseDPDF=Y")</f>
        <v>#NAME?</v>
      </c>
      <c r="R180" t="e">
        <f ca="1">_xll.BDH($C$178,"DVD_PAYOUT_RATIO","FQ2 2014","FQ2 2014","Currency=INR","Period=FQ","BEST_FPERIOD_OVERRIDE=FQ","FILING_STATUS=OR","EQY_CONSOLIDATED=Y","FA_ADJUSTED=GAAP","Sort=A","Dates=H","DateFormat=P","Fill=—","Direction=H","UseDPDF=Y")</f>
        <v>#NAME?</v>
      </c>
      <c r="S180" t="e">
        <f ca="1">_xll.BDH($C$178,"SUSTAIN_GROWTH_RT","FQ2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180" s="2" t="e">
        <f ca="1">_xll.BDH($C$178,"SALES_GROWTH","FQ2 2014","FQ2 2014","Currency=INR","Period=FQ","BEST_FPERIOD_OVERRIDE=FQ","FILING_STATUS=OR","EQY_CONSOLIDATED=Y","FA_ADJUSTED=GAAP","Sort=A","Dates=H","DateFormat=P","Fill=—","Direction=H","UseDPDF=Y")</f>
        <v>#NAME?</v>
      </c>
      <c r="U180" s="2" t="e">
        <f ca="1">_xll.BDH($C$178,"EBITDA_GROWTH","FQ2 2014","FQ2 2014","Currency=INR","Period=FQ","BEST_FPERIOD_OVERRIDE=FQ","FILING_STATUS=OR","EQY_CONSOLIDATED=Y","FA_ADJUSTED=GAAP","Sort=A","Dates=H","DateFormat=P","Fill=—","Direction=H","UseDPDF=Y")</f>
        <v>#NAME?</v>
      </c>
      <c r="V180" s="2" t="e">
        <f ca="1">_xll.BDH($C$178,"OPER_INC_GROWTH","FQ2 2014","FQ2 2014","Currency=INR","Period=FQ","BEST_FPERIOD_OVERRIDE=FQ","FILING_STATUS=OR","EQY_CONSOLIDATED=Y","FA_ADJUSTED=GAAP","Sort=A","Dates=H","DateFormat=P","Fill=—","Direction=H","UseDPDF=Y")</f>
        <v>#NAME?</v>
      </c>
      <c r="W180" s="2" t="e">
        <f ca="1">_xll.BDH($C$178,"EARN_FOR_COM_GROWTH","FQ2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180" s="2" t="e">
        <f ca="1">_xll.BDH($C$178,"DILUTED_EPS_AFT_XO_ITEMS_GROWTH","FQ2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180" s="2" t="e">
        <f ca="1">_xll.BDH($C$178,"DIVIDEND_PER_SHARE_1_YEAR_GROWTH","FQ2 2014","FQ2 2014","Currency=INR","Period=FQ","BEST_FPERIOD_OVERRIDE=FQ","FILING_STATUS=OR","EQY_CONSOLIDATED=Y","Sort=A","Dates=H","DateFormat=P","Fill=—","Direction=H","UseDPDF=Y")</f>
        <v>#NAME?</v>
      </c>
      <c r="Z180" s="2" t="e">
        <f ca="1">_xll.BDH($C$178,"ACCOUNTS_RECEIVABLE_GROWTH","FQ2 2014","FQ2 2014","Currency=INR","Period=FQ","BEST_FPERIOD_OVERRIDE=FQ","FILING_STATUS=OR","EQY_CONSOLIDATED=Y","Sort=A","Dates=H","DateFormat=P","Fill=—","Direction=H","UseDPDF=Y")</f>
        <v>#NAME?</v>
      </c>
      <c r="AA180" s="2" t="e">
        <f ca="1">_xll.BDH($C$178,"INVENTORY_GROWTH","FQ2 2014","FQ2 2014","Currency=INR","Period=FQ","BEST_FPERIOD_OVERRIDE=FQ","FILING_STATUS=OR","EQY_CONSOLIDATED=Y","Sort=A","Dates=H","DateFormat=P","Fill=—","Direction=H","UseDPDF=Y")</f>
        <v>#NAME?</v>
      </c>
      <c r="AB180" s="2" t="e">
        <f ca="1">_xll.BDH($C$178,"NET_FIXED_ASSETS_1_YEAR_GROWTH","FQ2 2014","FQ2 2014","Currency=INR","Period=FQ","BEST_FPERIOD_OVERRIDE=FQ","FILING_STATUS=OR","EQY_CONSOLIDATED=Y","Sort=A","Dates=H","DateFormat=P","Fill=—","Direction=H","UseDPDF=Y")</f>
        <v>#NAME?</v>
      </c>
      <c r="AC180" s="2" t="e">
        <f ca="1">_xll.BDH($C$178,"ASSET_GROWTH","FQ2 2014","FQ2 2014","Currency=INR","Period=FQ","BEST_FPERIOD_OVERRIDE=FQ","FILING_STATUS=OR","EQY_CONSOLIDATED=Y","Sort=A","Dates=H","DateFormat=P","Fill=—","Direction=H","UseDPDF=Y")</f>
        <v>#NAME?</v>
      </c>
      <c r="AD180" s="2" t="e">
        <f ca="1">_xll.BDH($C$178,"MODIFIED_WORK_CAP_GROWTH","FQ2 2014","FQ2 2014","Currency=INR","Period=FQ","BEST_FPERIOD_OVERRIDE=FQ","FILING_STATUS=OR","EQY_CONSOLIDATED=Y","Sort=A","Dates=H","DateFormat=P","Fill=—","Direction=H","UseDPDF=Y")</f>
        <v>#NAME?</v>
      </c>
      <c r="AE180" s="2" t="e">
        <f ca="1">_xll.BDH($C$178,"WORK_CAP_GROWTH","FQ2 2014","FQ2 2014","Currency=INR","Period=FQ","BEST_FPERIOD_OVERRIDE=FQ","FILING_STATUS=OR","EQY_CONSOLIDATED=Y","Sort=A","Dates=H","DateFormat=P","Fill=—","Direction=H","UseDPDF=Y")</f>
        <v>#NAME?</v>
      </c>
      <c r="AF180" s="2" t="e">
        <f ca="1">_xll.BDH($C$178,"ACCOUNTS_PAYABLE_GROWTH_1YR","FQ2 2014","FQ2 2014","Currency=INR","Period=FQ","BEST_FPERIOD_OVERRIDE=FQ","FILING_STATUS=OR","EQY_CONSOLIDATED=Y","Sort=A","Dates=H","DateFormat=P","Fill=—","Direction=H","UseDPDF=Y")</f>
        <v>#NAME?</v>
      </c>
      <c r="AG180" s="2" t="e">
        <f ca="1">_xll.BDH($C$178,"SHORT_TERM_DEBT_1_YEAR_GROWTH","FQ2 2014","FQ2 2014","Currency=INR","Period=FQ","BEST_FPERIOD_OVERRIDE=FQ","FILING_STATUS=OR","EQY_CONSOLIDATED=Y","Sort=A","Dates=H","DateFormat=P","Fill=—","Direction=H","UseDPDF=Y")</f>
        <v>#NAME?</v>
      </c>
      <c r="AH180" s="2" t="e">
        <f ca="1">_xll.BDH($C$178,"TOTAL_DEBT_1_YEAR_GROWTH","FQ2 2014","FQ2 2014","Currency=INR","Period=FQ","BEST_FPERIOD_OVERRIDE=FQ","FILING_STATUS=OR","EQY_CONSOLIDATED=Y","Sort=A","Dates=H","DateFormat=P","Fill=—","Direction=H","UseDPDF=Y")</f>
        <v>#NAME?</v>
      </c>
      <c r="AI180" s="2" t="e">
        <f ca="1">_xll.BDH($C$178,"TOTAL_EQUITY_1_YEAR_GROWTH","FQ2 2014","FQ2 2014","Currency=INR","Period=FQ","BEST_FPERIOD_OVERRIDE=FQ","FILING_STATUS=OR","EQY_CONSOLIDATED=Y","Sort=A","Dates=H","DateFormat=P","Fill=—","Direction=H","UseDPDF=Y")</f>
        <v>#NAME?</v>
      </c>
      <c r="AJ180" s="2" t="e">
        <f ca="1">_xll.BDH($C$178,"GROWTH_IN_CAP","FQ2 2014","FQ2 2014","Currency=INR","Period=FQ","BEST_FPERIOD_OVERRIDE=FQ","FILING_STATUS=OR","EQY_CONSOLIDATED=Y","Sort=A","Dates=H","DateFormat=P","Fill=—","Direction=H","UseDPDF=Y")</f>
        <v>#NAME?</v>
      </c>
      <c r="AK180" s="2" t="e">
        <f ca="1">_xll.BDH($C$178,"BVPS_GROWTH","FQ2 2014","FQ2 2014","Currency=INR","Period=FQ","BEST_FPERIOD_OVERRIDE=FQ","FILING_STATUS=OR","EQY_CONSOLIDATED=Y","Sort=A","Dates=H","DateFormat=P","Fill=—","Direction=H","UseDPDF=Y")</f>
        <v>#NAME?</v>
      </c>
      <c r="AL180" s="2" t="e">
        <f ca="1">_xll.BDH($C$178,"CASH_FLOW_GROWTH","FQ2 2014","FQ2 2014","Currency=INR","Period=FQ","BEST_FPERIOD_OVERRIDE=FQ","FILING_STATUS=OR","EQY_CONSOLIDATED=Y","Sort=A","Dates=H","DateFormat=P","Fill=—","Direction=H","UseDPDF=Y")</f>
        <v>#NAME?</v>
      </c>
      <c r="AM180" s="2" t="e">
        <f ca="1">_xll.BDH($C$178,"GEO_GROW_NET_SALES","FQ2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180" s="2" t="e">
        <f ca="1">_xll.BDH($C$178,"GEO_GROW_EBITDA","FQ2 2014","FQ2 2014","Currency=INR","Period=FQ","BEST_FPERIOD_OVERRIDE=FQ","FILING_STATUS=OR","EQY_CONSOLIDATED=Y","FA_ADJUSTED=GAAP","Sort=A","Dates=H","DateFormat=P","Fill=—","Direction=H","UseDPDF=Y")</f>
        <v>#NAME?</v>
      </c>
      <c r="AO180" s="2" t="e">
        <f ca="1">_xll.BDH($C$178,"GEO_GROW_OPER_INC","FQ2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180" s="2" t="e">
        <f ca="1">_xll.BDH($C$178,"NET_INCOME_TO_COMMON_5_YR_GROWTH","FQ2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180" s="2" t="e">
        <f ca="1">_xll.BDH($C$178,"5Y_GEO_GROWTH_DILUTED_EPS","FQ2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180" s="2" t="e">
        <f ca="1">_xll.BDH($C$178,"GEO_GROW_DVD_PER_SH","FQ2 2014","FQ2 2014","Currency=INR","Period=FQ","BEST_FPERIOD_OVERRIDE=FQ","FILING_STATUS=OR","EQY_CONSOLIDATED=Y","Sort=A","Dates=H","DateFormat=P","Fill=—","Direction=H","UseDPDF=Y")</f>
        <v>#NAME?</v>
      </c>
      <c r="AS180" s="2" t="e">
        <f ca="1">_xll.BDH($C$178,"ACCOUNTS_RECEIVABLE_5_YR_GROWTH","FQ2 2014","FQ2 2014","Currency=INR","Period=FQ","BEST_FPERIOD_OVERRIDE=FQ","FILING_STATUS=OR","EQY_CONSOLIDATED=Y","Sort=A","Dates=H","DateFormat=P","Fill=—","Direction=H","UseDPDF=Y")</f>
        <v>#NAME?</v>
      </c>
      <c r="AT180" s="2" t="e">
        <f ca="1">_xll.BDH($C$178,"INVENTORY_5_YEAR_GROWTH","FQ2 2014","FQ2 2014","Currency=INR","Period=FQ","BEST_FPERIOD_OVERRIDE=FQ","FILING_STATUS=OR","EQY_CONSOLIDATED=Y","Sort=A","Dates=H","DateFormat=P","Fill=—","Direction=H","UseDPDF=Y")</f>
        <v>#NAME?</v>
      </c>
      <c r="AU180" s="2" t="e">
        <f ca="1">_xll.BDH($C$178,"NET_FIXED_ASSETS_5_YEAR_GROWTH","FQ2 2014","FQ2 2014","Currency=INR","Period=FQ","BEST_FPERIOD_OVERRIDE=FQ","FILING_STATUS=OR","EQY_CONSOLIDATED=Y","Sort=A","Dates=H","DateFormat=P","Fill=—","Direction=H","UseDPDF=Y")</f>
        <v>#NAME?</v>
      </c>
      <c r="AV180" s="2" t="e">
        <f ca="1">_xll.BDH($C$178,"GEO_GROW_TOT_ASSET","FQ2 2014","FQ2 2014","Currency=INR","Period=FQ","BEST_FPERIOD_OVERRIDE=FQ","FILING_STATUS=OR","EQY_CONSOLIDATED=Y","Sort=A","Dates=H","DateFormat=P","Fill=—","Direction=H","UseDPDF=Y")</f>
        <v>#NAME?</v>
      </c>
      <c r="AW180" s="2" t="e">
        <f ca="1">_xll.BDH($C$178,"MODIFIED_WORKING_CPTL_5YR_GRWTH","FQ2 2014","FQ2 2014","Currency=INR","Period=FQ","BEST_FPERIOD_OVERRIDE=FQ","FILING_STATUS=OR","EQY_CONSOLIDATED=Y","Sort=A","Dates=H","DateFormat=P","Fill=—","Direction=H","UseDPDF=Y")</f>
        <v>#NAME?</v>
      </c>
      <c r="AX180" s="2" t="e">
        <f ca="1">_xll.BDH($C$178,"WORKING_CAPITAL_5_YEAR_GROWTH","FQ2 2014","FQ2 2014","Currency=INR","Period=FQ","BEST_FPERIOD_OVERRIDE=FQ","FILING_STATUS=OR","EQY_CONSOLIDATED=Y","Sort=A","Dates=H","DateFormat=P","Fill=—","Direction=H","UseDPDF=Y")</f>
        <v>#NAME?</v>
      </c>
      <c r="AY180" s="2" t="e">
        <f ca="1">_xll.BDH($C$178,"ACCOUNTS_PAYABLE_5_YEAR_GROWTH","FQ2 2014","FQ2 2014","Currency=INR","Period=FQ","BEST_FPERIOD_OVERRIDE=FQ","FILING_STATUS=OR","EQY_CONSOLIDATED=Y","Sort=A","Dates=H","DateFormat=P","Fill=—","Direction=H","UseDPDF=Y")</f>
        <v>#NAME?</v>
      </c>
      <c r="AZ180" s="2" t="e">
        <f ca="1">_xll.BDH($C$178,"SHORT_TERM_DEBT_5_YEAR_GROWTH","FQ2 2014","FQ2 2014","Currency=INR","Period=FQ","BEST_FPERIOD_OVERRIDE=FQ","FILING_STATUS=OR","EQY_CONSOLIDATED=Y","Sort=A","Dates=H","DateFormat=P","Fill=—","Direction=H","UseDPDF=Y")</f>
        <v>#NAME?</v>
      </c>
      <c r="BA180" s="2" t="e">
        <f ca="1">_xll.BDH($C$178,"TOTAL_DEBT_5_YEAR_GROWTH","FQ2 2014","FQ2 2014","Currency=INR","Period=FQ","BEST_FPERIOD_OVERRIDE=FQ","FILING_STATUS=OR","EQY_CONSOLIDATED=Y","Sort=A","Dates=H","DateFormat=P","Fill=—","Direction=H","UseDPDF=Y")</f>
        <v>#NAME?</v>
      </c>
      <c r="BB180" s="2" t="e">
        <f ca="1">_xll.BDH($C$178,"GEO_GROW_TOT_SHRHLDR_EQY","FQ2 2014","FQ2 2014","Currency=INR","Period=FQ","BEST_FPERIOD_OVERRIDE=FQ","FILING_STATUS=OR","EQY_CONSOLIDATED=Y","Sort=A","Dates=H","DateFormat=P","Fill=—","Direction=H","UseDPDF=Y")</f>
        <v>#NAME?</v>
      </c>
      <c r="BC180" s="2" t="e">
        <f ca="1">_xll.BDH($C$178,"TOTAL_CAPITAL_5_YEAR_GROWTH","FQ2 2014","FQ2 2014","Currency=INR","Period=FQ","BEST_FPERIOD_OVERRIDE=FQ","FILING_STATUS=OR","EQY_CONSOLIDATED=Y","Sort=A","Dates=H","DateFormat=P","Fill=—","Direction=H","UseDPDF=Y")</f>
        <v>#NAME?</v>
      </c>
      <c r="BD180" s="2" t="e">
        <f ca="1">_xll.BDH($C$178,"GEO_GROW_BOOK_VAL","FQ2 2014","FQ2 2014","Currency=INR","Period=FQ","BEST_FPERIOD_OVERRIDE=FQ","FILING_STATUS=OR","EQY_CONSOLIDATED=Y","Sort=A","Dates=H","DateFormat=P","Fill=—","Direction=H","UseDPDF=Y")</f>
        <v>#NAME?</v>
      </c>
      <c r="BE180" s="2" t="e">
        <f ca="1">_xll.BDH($C$178,"GEO_GROW_CASH_OPER_ACT","FQ2 2014","FQ2 2014","Currency=INR","Period=FQ","BEST_FPERIOD_OVERRIDE=FQ","FILING_STATUS=OR","EQY_CONSOLIDATED=Y","Sort=A","Dates=H","DateFormat=P","Fill=—","Direction=H","UseDPDF=Y")</f>
        <v>#NAME?</v>
      </c>
      <c r="BF180" s="2" t="e">
        <f ca="1">_xll.BDH($C$178,"REVENUE_SEQUENTIAL_GROWTH","FQ2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180" s="2" t="e">
        <f ca="1">_xll.BDH($C$178,"EBITDA_SEQUENTIAL_GROWTH","FQ2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180" s="2" t="e">
        <f ca="1">_xll.BDH($C$178,"OPERATING_INCOME_SEQ_GROWTH","FQ2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180" s="2" t="e">
        <f ca="1">_xll.BDH($C$178,"NET_INCOME_TO_COMMON_SEQ_GROWTH","FQ2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180" s="2" t="e">
        <f ca="1">_xll.BDH($C$178,"EPS_DILUTED_SEQUENTIAL_GROWTH","FQ2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180" s="2" t="e">
        <f ca="1">_xll.BDH($C$178,"DPS_SEQUENTIAL_GROWTH","FQ2 2014","FQ2 2014","Currency=INR","Period=FQ","BEST_FPERIOD_OVERRIDE=FQ","FILING_STATUS=OR","EQY_CONSOLIDATED=Y","Sort=A","Dates=H","DateFormat=P","Fill=—","Direction=H","UseDPDF=Y")</f>
        <v>#NAME?</v>
      </c>
      <c r="BL180" s="2" t="e">
        <f ca="1">_xll.BDH($C$178,"ACCOUNTS_RECEIVABLE_SEQ_GROWTH","FQ2 2014","FQ2 2014","Currency=INR","Period=FQ","BEST_FPERIOD_OVERRIDE=FQ","FILING_STATUS=OR","EQY_CONSOLIDATED=Y","Sort=A","Dates=H","DateFormat=P","Fill=—","Direction=H","UseDPDF=Y")</f>
        <v>#NAME?</v>
      </c>
      <c r="BM180" s="2" t="e">
        <f ca="1">_xll.BDH($C$178,"INVENTORY_SEQUENTIAL_GROWTH","FQ2 2014","FQ2 2014","Currency=INR","Period=FQ","BEST_FPERIOD_OVERRIDE=FQ","FILING_STATUS=OR","EQY_CONSOLIDATED=Y","Sort=A","Dates=H","DateFormat=P","Fill=—","Direction=H","UseDPDF=Y")</f>
        <v>#NAME?</v>
      </c>
      <c r="BN180" s="2" t="e">
        <f ca="1">_xll.BDH($C$178,"FIXED_ASSETS_SEQUENTIAL_GROWTH","FQ2 2014","FQ2 2014","Currency=INR","Period=FQ","BEST_FPERIOD_OVERRIDE=FQ","FILING_STATUS=OR","EQY_CONSOLIDATED=Y","Sort=A","Dates=H","DateFormat=P","Fill=—","Direction=H","UseDPDF=Y")</f>
        <v>#NAME?</v>
      </c>
      <c r="BO180" s="2" t="e">
        <f ca="1">_xll.BDH($C$178,"TOTAL_ASSETS_SEQUENTIAL_GROWTH","FQ2 2014","FQ2 2014","Currency=INR","Period=FQ","BEST_FPERIOD_OVERRIDE=FQ","FILING_STATUS=OR","EQY_CONSOLIDATED=Y","Sort=A","Dates=H","DateFormat=P","Fill=—","Direction=H","UseDPDF=Y")</f>
        <v>#NAME?</v>
      </c>
      <c r="BP180" s="2" t="e">
        <f ca="1">_xll.BDH($C$178,"MODIFIED_WORKING_CPTL_SEQ_GRWTH","FQ2 2014","FQ2 2014","Currency=INR","Period=FQ","BEST_FPERIOD_OVERRIDE=FQ","FILING_STATUS=OR","EQY_CONSOLIDATED=Y","Sort=A","Dates=H","DateFormat=P","Fill=—","Direction=H","UseDPDF=Y")</f>
        <v>#NAME?</v>
      </c>
      <c r="BQ180" s="2" t="e">
        <f ca="1">_xll.BDH($C$178,"WORKING_CAPITAL_SEQ_GROWTH","FQ2 2014","FQ2 2014","Currency=INR","Period=FQ","BEST_FPERIOD_OVERRIDE=FQ","FILING_STATUS=OR","EQY_CONSOLIDATED=Y","Sort=A","Dates=H","DateFormat=P","Fill=—","Direction=H","UseDPDF=Y")</f>
        <v>#NAME?</v>
      </c>
      <c r="BR180" s="2" t="e">
        <f ca="1">_xll.BDH($C$178,"ACCOUNTS_PAYABLE_SEQ_GROWTH","FQ2 2014","FQ2 2014","Currency=INR","Period=FQ","BEST_FPERIOD_OVERRIDE=FQ","FILING_STATUS=OR","EQY_CONSOLIDATED=Y","Sort=A","Dates=H","DateFormat=P","Fill=—","Direction=H","UseDPDF=Y")</f>
        <v>#NAME?</v>
      </c>
      <c r="BS180" s="2" t="e">
        <f ca="1">_xll.BDH($C$178,"ST_DEBT_SEQUENTIAL_GROWTH","FQ2 2014","FQ2 2014","Currency=INR","Period=FQ","BEST_FPERIOD_OVERRIDE=FQ","FILING_STATUS=OR","EQY_CONSOLIDATED=Y","Sort=A","Dates=H","DateFormat=P","Fill=—","Direction=H","UseDPDF=Y")</f>
        <v>#NAME?</v>
      </c>
      <c r="BT180" s="2" t="e">
        <f ca="1">_xll.BDH($C$178,"TOTAL_DEBT_SEQUENTIAL_GROWTH","FQ2 2014","FQ2 2014","Currency=INR","Period=FQ","BEST_FPERIOD_OVERRIDE=FQ","FILING_STATUS=OR","EQY_CONSOLIDATED=Y","Sort=A","Dates=H","DateFormat=P","Fill=—","Direction=H","UseDPDF=Y")</f>
        <v>#NAME?</v>
      </c>
      <c r="BU180" s="2" t="e">
        <f ca="1">_xll.BDH($C$178,"TOTAL_EQUITY_SEQUENTIAL_GROWTH","FQ2 2014","FQ2 2014","Currency=INR","Period=FQ","BEST_FPERIOD_OVERRIDE=FQ","FILING_STATUS=OR","EQY_CONSOLIDATED=Y","Sort=A","Dates=H","DateFormat=P","Fill=—","Direction=H","UseDPDF=Y")</f>
        <v>#NAME?</v>
      </c>
      <c r="BV180" s="2" t="e">
        <f ca="1">_xll.BDH($C$178,"TOTAL_CAPITAL_SEQUENTIAL_GROWTH","FQ2 2014","FQ2 2014","Currency=INR","Period=FQ","BEST_FPERIOD_OVERRIDE=FQ","FILING_STATUS=OR","EQY_CONSOLIDATED=Y","Sort=A","Dates=H","DateFormat=P","Fill=—","Direction=H","UseDPDF=Y")</f>
        <v>#NAME?</v>
      </c>
      <c r="BW180" s="2" t="e">
        <f ca="1">_xll.BDH($C$178,"BPS_SEQUENTIAL_GROWTH","FQ2 2014","FQ2 2014","Currency=INR","Period=FQ","BEST_FPERIOD_OVERRIDE=FQ","FILING_STATUS=OR","EQY_CONSOLIDATED=Y","Sort=A","Dates=H","DateFormat=P","Fill=—","Direction=H","UseDPDF=Y")</f>
        <v>#NAME?</v>
      </c>
      <c r="BX180" s="2" t="e">
        <f ca="1">_xll.BDH($C$178,"CFO_SEQUENTIAL_GROWTH","FQ2 2014","FQ2 2014","Currency=INR","Period=FQ","BEST_FPERIOD_OVERRIDE=FQ","FILING_STATUS=OR","EQY_CONSOLIDATED=Y","Sort=A","Dates=H","DateFormat=P","Fill=—","Direction=H","UseDPDF=Y")</f>
        <v>#NAME?</v>
      </c>
      <c r="BY180" s="3" t="e">
        <f ca="1">_xll.BDH($C$178,"SHORT_AND_LONG_TERM_DEBT","FQ2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180" s="3" t="e">
        <f ca="1">_xll.BDH($C$178,"BS_ST_BORROW","FQ2 2014","FQ2 2014","Currency=INR","Period=FQ","BEST_FPERIOD_OVERRIDE=FQ","FILING_STATUS=OR","EQY_CONSOLIDATED=Y","SCALING_FORMAT=MLN","Sort=A","Dates=H","DateFormat=P","Fill=—","Direction=H","UseDPDF=Y")</f>
        <v>#NAME?</v>
      </c>
      <c r="CA180" s="3" t="e">
        <f ca="1">_xll.BDH($C$178,"BS_LT_BORROW","FQ2 2014","FQ2 2014","Currency=INR","Period=FQ","BEST_FPERIOD_OVERRIDE=FQ","FILING_STATUS=OR","EQY_CONSOLIDATED=Y","SCALING_FORMAT=MLN","Sort=A","Dates=H","DateFormat=P","Fill=—","Direction=H","UseDPDF=Y")</f>
        <v>#NAME?</v>
      </c>
      <c r="CB180" s="2" t="e">
        <f ca="1">_xll.BDH($C$178,"TOT_DEBT_TO_EBITDA","FQ2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180" s="2" t="e">
        <f ca="1">_xll.BDH($C$178,"NET_DEBT_TO_EBITDA","FQ2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180" s="2" t="e">
        <f ca="1">_xll.BDH($C$178,"TOTAL_DEBT_TO_EBIT","FQ2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180" s="2" t="e">
        <f ca="1">_xll.BDH($C$178,"NET_DEBT_TO_EBIT","FQ2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180" s="2" t="e">
        <f ca="1">_xll.BDH($C$178,"EBITDA_TO_INTEREST_EXPN","FQ2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180" s="2" t="e">
        <f ca="1">_xll.BDH($C$178,"COM_EQY_TO_TOT_ASSET","FQ2 2014","FQ2 2014","Currency=INR","Period=FQ","BEST_FPERIOD_OVERRIDE=FQ","FILING_STATUS=OR","EQY_CONSOLIDATED=Y","Sort=A","Dates=H","DateFormat=P","Fill=—","Direction=H","UseDPDF=Y")</f>
        <v>#NAME?</v>
      </c>
      <c r="CH180" s="2" t="e">
        <f ca="1">_xll.BDH($C$178,"LT_DEBT_TO_TOT_EQY","FQ2 2014","FQ2 2014","Currency=INR","Period=FQ","BEST_FPERIOD_OVERRIDE=FQ","FILING_STATUS=OR","EQY_CONSOLIDATED=Y","Sort=A","Dates=H","DateFormat=P","Fill=—","Direction=H","UseDPDF=Y")</f>
        <v>#NAME?</v>
      </c>
      <c r="CI180" s="2" t="e">
        <f ca="1">_xll.BDH($C$178,"LT_DEBT_TO_TOT_CAP","FQ2 2014","FQ2 2014","Currency=INR","Period=FQ","BEST_FPERIOD_OVERRIDE=FQ","FILING_STATUS=OR","EQY_CONSOLIDATED=Y","Sort=A","Dates=H","DateFormat=P","Fill=—","Direction=H","UseDPDF=Y")</f>
        <v>#NAME?</v>
      </c>
      <c r="CJ180" s="2" t="e">
        <f ca="1">_xll.BDH($C$178,"LT_DEBT_TO_TOT_ASSET","FQ2 2014","FQ2 2014","Currency=INR","Period=FQ","BEST_FPERIOD_OVERRIDE=FQ","FILING_STATUS=OR","EQY_CONSOLIDATED=Y","Sort=A","Dates=H","DateFormat=P","Fill=—","Direction=H","UseDPDF=Y")</f>
        <v>#NAME?</v>
      </c>
      <c r="CK180" s="2" t="e">
        <f ca="1">_xll.BDH($C$178,"TOT_DEBT_TO_TOT_EQY","FQ2 2014","FQ2 2014","Currency=INR","Period=FQ","BEST_FPERIOD_OVERRIDE=FQ","FILING_STATUS=OR","EQY_CONSOLIDATED=Y","Sort=A","Dates=H","DateFormat=P","Fill=—","Direction=H","UseDPDF=Y")</f>
        <v>#NAME?</v>
      </c>
      <c r="CL180" s="2" t="e">
        <f ca="1">_xll.BDH($C$178,"TOT_DEBT_TO_TOT_CAP","FQ2 2014","FQ2 2014","Currency=INR","Period=FQ","BEST_FPERIOD_OVERRIDE=FQ","FILING_STATUS=OR","EQY_CONSOLIDATED=Y","Sort=A","Dates=H","DateFormat=P","Fill=—","Direction=H","UseDPDF=Y")</f>
        <v>#NAME?</v>
      </c>
      <c r="CM180" s="2" t="e">
        <f ca="1">_xll.BDH($C$178,"TOT_DEBT_TO_TOT_ASSET","FQ2 2014","FQ2 2014","Currency=INR","Period=FQ","BEST_FPERIOD_OVERRIDE=FQ","FILING_STATUS=OR","EQY_CONSOLIDATED=Y","Sort=A","Dates=H","DateFormat=P","Fill=—","Direction=H","UseDPDF=Y")</f>
        <v>#NAME?</v>
      </c>
      <c r="CN180" s="2" t="e">
        <f ca="1">_xll.BDH($C$178,"NET_DEBT_TO_SHRHLDR_EQTY","FQ2 2014","FQ2 2014","Currency=INR","Period=FQ","BEST_FPERIOD_OVERRIDE=FQ","FILING_STATUS=OR","EQY_CONSOLIDATED=Y","Sort=A","Dates=H","DateFormat=P","Fill=—","Direction=H","UseDPDF=Y")</f>
        <v>#NAME?</v>
      </c>
      <c r="CO180" s="2" t="e">
        <f ca="1">_xll.BDH($C$178,"NET_DEBT_%_CAPITAL","FQ2 2014","FQ2 2014","Currency=INR","Period=FQ","BEST_FPERIOD_OVERRIDE=FQ","FILING_STATUS=OR","EQY_CONSOLIDATED=Y","Sort=A","Dates=H","DateFormat=P","Fill=—","Direction=H","UseDPDF=Y")</f>
        <v>#NAME?</v>
      </c>
      <c r="CP180" s="3" t="e">
        <f ca="1">_xll.BDH($C$178,"EBITDA","FQ2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180" s="3" t="e">
        <f ca="1">_xll.BDH($C$178,"EBITDA_AFTER_CAPEX","FQ2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180" s="3" t="e">
        <f ca="1">_xll.BDH($C$178,"IS_OPER_INC","FQ2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180" s="2" t="e">
        <f ca="1">_xll.BDH($C$178,"CASH_RATIO","FQ2 2014","FQ2 2014","Currency=INR","Period=FQ","BEST_FPERIOD_OVERRIDE=FQ","FILING_STATUS=OR","EQY_CONSOLIDATED=Y","Sort=A","Dates=H","DateFormat=P","Fill=—","Direction=H","UseDPDF=Y")</f>
        <v>#NAME?</v>
      </c>
      <c r="CT180" s="2" t="e">
        <f ca="1">_xll.BDH($C$178,"CUR_RATIO","FQ2 2014","FQ2 2014","Currency=INR","Period=FQ","BEST_FPERIOD_OVERRIDE=FQ","FILING_STATUS=OR","EQY_CONSOLIDATED=Y","Sort=A","Dates=H","DateFormat=P","Fill=—","Direction=H","UseDPDF=Y")</f>
        <v>#NAME?</v>
      </c>
      <c r="CU180" s="2" t="e">
        <f ca="1">_xll.BDH($C$178,"QUICK_RATIO","FQ2 2014","FQ2 2014","Currency=INR","Period=FQ","BEST_FPERIOD_OVERRIDE=FQ","FILING_STATUS=OR","EQY_CONSOLIDATED=Y","Sort=A","Dates=H","DateFormat=P","Fill=—","Direction=H","UseDPDF=Y")</f>
        <v>#NAME?</v>
      </c>
      <c r="CV180" s="2" t="e">
        <f ca="1">_xll.BDH($C$178,"ALTMAN_Z_SCORE","FQ2 2014","FQ2 2014","Currency=INR","Period=FQ","BEST_FPERIOD_OVERRIDE=FQ","FILING_STATUS=OR","EQY_CONSOLIDATED=Y","Sort=A","Dates=H","DateFormat=P","Fill=—","Direction=H","UseDPDF=Y")</f>
        <v>#NAME?</v>
      </c>
      <c r="CW180" s="4" t="e">
        <f ca="1">_xll.BDH($C$178,"ACCT_RCV_TURN","FQ2 2014","FQ2 2014","Currency=INR","Period=FQ","BEST_FPERIOD_OVERRIDE=FQ","FILING_STATUS=OR","EQY_CONSOLIDATED=Y","FA_ADJUSTED=GAAP","Sort=A","Dates=H","DateFormat=P","Fill=—","Direction=H","UseDPDF=Y")</f>
        <v>#NAME?</v>
      </c>
      <c r="CX180" s="2" t="e">
        <f ca="1">_xll.BDH($C$178,"ACCT_RCV_DAYS","FQ2 2014","FQ2 2014","Currency=INR","Period=FQ","BEST_FPERIOD_OVERRIDE=FQ","FILING_STATUS=OR","EQY_CONSOLIDATED=Y","FA_ADJUSTED=GAAP","Sort=A","Dates=H","DateFormat=P","Fill=—","Direction=H","UseDPDF=Y")</f>
        <v>#NAME?</v>
      </c>
      <c r="CY180" s="4" t="e">
        <f ca="1">_xll.BDH($C$178,"INVENT_TURN","FQ2 2014","FQ2 2014","Currency=INR","Period=FQ","BEST_FPERIOD_OVERRIDE=FQ","FILING_STATUS=OR","EQY_CONSOLIDATED=Y","FA_ADJUSTED=GAAP","Sort=A","Dates=H","DateFormat=P","Fill=—","Direction=H","UseDPDF=Y")</f>
        <v>#NAME?</v>
      </c>
      <c r="CZ180" s="2" t="e">
        <f ca="1">_xll.BDH($C$178,"INVENT_DAYS","FQ2 2014","FQ2 2014","Currency=INR","Period=FQ","BEST_FPERIOD_OVERRIDE=FQ","FILING_STATUS=OR","EQY_CONSOLIDATED=Y","FA_ADJUSTED=GAAP","Sort=A","Dates=H","DateFormat=P","Fill=—","Direction=H","UseDPDF=Y")</f>
        <v>#NAME?</v>
      </c>
      <c r="DA180" s="4" t="e">
        <f ca="1">_xll.BDH($C$178,"ACCOUNTS_PAYABLE_TURNOVER","FQ2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180" s="2" t="e">
        <f ca="1">_xll.BDH($C$178,"ACCOUNTS_PAYABLE_TURNOVER_DAYS","FQ2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180" s="4" t="e">
        <f ca="1">_xll.BDH($C$178,"CASH_CONVERSION_CYCLE","FQ2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180" s="4" t="e">
        <f ca="1">_xll.BDH($C$178,"INV_TO_CASH_DAYS","FQ2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180" s="5" t="e">
        <f ca="1">_xll.BDH($C$178,"BS_INVENTORIES","FQ2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180" s="3" t="e">
        <f ca="1">_xll.BDH($C$178,"INVTRY_RAW_MATERIALS","FQ2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180" s="3" t="e">
        <f ca="1">_xll.BDH($C$178,"INVTRY_IN_PROGRESS","FQ2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180" s="3" t="e">
        <f ca="1">_xll.BDH($C$178,"INVTRY_FINISHED_GOODS","FQ2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180" s="3" t="e">
        <f ca="1">_xll.BDH($C$178,"BS_OTHER_INV","FQ2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181" spans="1:113" x14ac:dyDescent="0.3">
      <c r="A181" s="6"/>
      <c r="B181" s="6"/>
      <c r="C181" s="6"/>
      <c r="D181" s="6"/>
      <c r="E181" t="s">
        <v>80</v>
      </c>
      <c r="F181" t="e">
        <f ca="1">_xll.BDH($C$178,"RETURN_COM_EQY","FQ3 2014","FQ3 2014","Currency=INR","Period=FQ","BEST_FPERIOD_OVERRIDE=FQ","FILING_STATUS=OR","EQY_CONSOLIDATED=Y","FA_ADJUSTED=GAAP","Sort=A","Dates=H","DateFormat=P","Fill=—","Direction=H","UseDPDF=Y")</f>
        <v>#NAME?</v>
      </c>
      <c r="G181" t="e">
        <f ca="1">_xll.BDH($C$178,"RETURN_ON_ASSET","FQ3 2014","FQ3 2014","Currency=INR","Period=FQ","BEST_FPERIOD_OVERRIDE=FQ","FILING_STATUS=OR","EQY_CONSOLIDATED=Y","FA_ADJUSTED=GAAP","Sort=A","Dates=H","DateFormat=P","Fill=—","Direction=H","UseDPDF=Y")</f>
        <v>#NAME?</v>
      </c>
      <c r="H181" t="e">
        <f ca="1">_xll.BDH($C$178,"RETURN_ON_CAP","FQ3 2014","FQ3 2014","Currency=INR","Period=FQ","BEST_FPERIOD_OVERRIDE=FQ","FILING_STATUS=OR","EQY_CONSOLIDATED=Y","FA_ADJUSTED=GAAP","Sort=A","Dates=H","DateFormat=P","Fill=—","Direction=H","UseDPDF=Y")</f>
        <v>#NAME?</v>
      </c>
      <c r="I181" t="e">
        <f ca="1">_xll.BDH($C$178,"RETURN_ON_INV_CAPITAL","FQ3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181" t="e">
        <f ca="1">_xll.BDH($C$178,"EBITDA_TO_REVENUE","FQ3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181" t="e">
        <f ca="1">_xll.BDH($C$178,"OPER_MARGIN","FQ3 2014","FQ3 2014","Currency=INR","Period=FQ","BEST_FPERIOD_OVERRIDE=FQ","FILING_STATUS=OR","EQY_CONSOLIDATED=Y","FA_ADJUSTED=GAAP","Sort=A","Dates=H","DateFormat=P","Fill=—","Direction=H","UseDPDF=Y")</f>
        <v>#NAME?</v>
      </c>
      <c r="L181" t="e">
        <f ca="1">_xll.BDH($C$178,"INCREMENTAL_OPERATING_MARGIN","FQ3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181" t="e">
        <f ca="1">_xll.BDH($C$178,"PRETAX_INC_TO_NET_SALES","FQ3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181" t="e">
        <f ca="1">_xll.BDH($C$178,"INC_BEF_XO_ITEMS_TO_NET_SALES","FQ3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181" t="e">
        <f ca="1">_xll.BDH($C$178,"PROF_MARGIN","FQ3 2014","FQ3 2014","Currency=INR","Period=FQ","BEST_FPERIOD_OVERRIDE=FQ","FILING_STATUS=OR","EQY_CONSOLIDATED=Y","FA_ADJUSTED=GAAP","Sort=A","Dates=H","DateFormat=P","Fill=—","Direction=H","UseDPDF=Y")</f>
        <v>#NAME?</v>
      </c>
      <c r="P181" t="e">
        <f ca="1">_xll.BDH($C$178,"NET_INCOME_TO_COMMON_MARGIN","FQ3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181" t="e">
        <f ca="1">_xll.BDH($C$178,"EFF_TAX_RATE","FQ3 2014","FQ3 2014","Currency=INR","Period=FQ","BEST_FPERIOD_OVERRIDE=FQ","FILING_STATUS=OR","EQY_CONSOLIDATED=Y","FA_ADJUSTED=GAAP","Sort=A","Dates=H","DateFormat=P","Fill=—","Direction=H","UseDPDF=Y")</f>
        <v>#NAME?</v>
      </c>
      <c r="R181" t="e">
        <f ca="1">_xll.BDH($C$178,"DVD_PAYOUT_RATIO","FQ3 2014","FQ3 2014","Currency=INR","Period=FQ","BEST_FPERIOD_OVERRIDE=FQ","FILING_STATUS=OR","EQY_CONSOLIDATED=Y","FA_ADJUSTED=GAAP","Sort=A","Dates=H","DateFormat=P","Fill=—","Direction=H","UseDPDF=Y")</f>
        <v>#NAME?</v>
      </c>
      <c r="S181" t="e">
        <f ca="1">_xll.BDH($C$178,"SUSTAIN_GROWTH_RT","FQ3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181" s="2" t="e">
        <f ca="1">_xll.BDH($C$178,"SALES_GROWTH","FQ3 2014","FQ3 2014","Currency=INR","Period=FQ","BEST_FPERIOD_OVERRIDE=FQ","FILING_STATUS=OR","EQY_CONSOLIDATED=Y","FA_ADJUSTED=GAAP","Sort=A","Dates=H","DateFormat=P","Fill=—","Direction=H","UseDPDF=Y")</f>
        <v>#NAME?</v>
      </c>
      <c r="U181" s="2" t="e">
        <f ca="1">_xll.BDH($C$178,"EBITDA_GROWTH","FQ3 2014","FQ3 2014","Currency=INR","Period=FQ","BEST_FPERIOD_OVERRIDE=FQ","FILING_STATUS=OR","EQY_CONSOLIDATED=Y","FA_ADJUSTED=GAAP","Sort=A","Dates=H","DateFormat=P","Fill=—","Direction=H","UseDPDF=Y")</f>
        <v>#NAME?</v>
      </c>
      <c r="V181" s="2" t="e">
        <f ca="1">_xll.BDH($C$178,"OPER_INC_GROWTH","FQ3 2014","FQ3 2014","Currency=INR","Period=FQ","BEST_FPERIOD_OVERRIDE=FQ","FILING_STATUS=OR","EQY_CONSOLIDATED=Y","FA_ADJUSTED=GAAP","Sort=A","Dates=H","DateFormat=P","Fill=—","Direction=H","UseDPDF=Y")</f>
        <v>#NAME?</v>
      </c>
      <c r="W181" s="2" t="e">
        <f ca="1">_xll.BDH($C$178,"EARN_FOR_COM_GROWTH","FQ3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181" s="2" t="e">
        <f ca="1">_xll.BDH($C$178,"DILUTED_EPS_AFT_XO_ITEMS_GROWTH","FQ3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181" s="2" t="e">
        <f ca="1">_xll.BDH($C$178,"DIVIDEND_PER_SHARE_1_YEAR_GROWTH","FQ3 2014","FQ3 2014","Currency=INR","Period=FQ","BEST_FPERIOD_OVERRIDE=FQ","FILING_STATUS=OR","EQY_CONSOLIDATED=Y","Sort=A","Dates=H","DateFormat=P","Fill=—","Direction=H","UseDPDF=Y")</f>
        <v>#NAME?</v>
      </c>
      <c r="Z181" s="2" t="e">
        <f ca="1">_xll.BDH($C$178,"ACCOUNTS_RECEIVABLE_GROWTH","FQ3 2014","FQ3 2014","Currency=INR","Period=FQ","BEST_FPERIOD_OVERRIDE=FQ","FILING_STATUS=OR","EQY_CONSOLIDATED=Y","Sort=A","Dates=H","DateFormat=P","Fill=—","Direction=H","UseDPDF=Y")</f>
        <v>#NAME?</v>
      </c>
      <c r="AA181" s="2" t="e">
        <f ca="1">_xll.BDH($C$178,"INVENTORY_GROWTH","FQ3 2014","FQ3 2014","Currency=INR","Period=FQ","BEST_FPERIOD_OVERRIDE=FQ","FILING_STATUS=OR","EQY_CONSOLIDATED=Y","Sort=A","Dates=H","DateFormat=P","Fill=—","Direction=H","UseDPDF=Y")</f>
        <v>#NAME?</v>
      </c>
      <c r="AB181" s="2" t="e">
        <f ca="1">_xll.BDH($C$178,"NET_FIXED_ASSETS_1_YEAR_GROWTH","FQ3 2014","FQ3 2014","Currency=INR","Period=FQ","BEST_FPERIOD_OVERRIDE=FQ","FILING_STATUS=OR","EQY_CONSOLIDATED=Y","Sort=A","Dates=H","DateFormat=P","Fill=—","Direction=H","UseDPDF=Y")</f>
        <v>#NAME?</v>
      </c>
      <c r="AC181" s="2" t="e">
        <f ca="1">_xll.BDH($C$178,"ASSET_GROWTH","FQ3 2014","FQ3 2014","Currency=INR","Period=FQ","BEST_FPERIOD_OVERRIDE=FQ","FILING_STATUS=OR","EQY_CONSOLIDATED=Y","Sort=A","Dates=H","DateFormat=P","Fill=—","Direction=H","UseDPDF=Y")</f>
        <v>#NAME?</v>
      </c>
      <c r="AD181" s="2" t="e">
        <f ca="1">_xll.BDH($C$178,"MODIFIED_WORK_CAP_GROWTH","FQ3 2014","FQ3 2014","Currency=INR","Period=FQ","BEST_FPERIOD_OVERRIDE=FQ","FILING_STATUS=OR","EQY_CONSOLIDATED=Y","Sort=A","Dates=H","DateFormat=P","Fill=—","Direction=H","UseDPDF=Y")</f>
        <v>#NAME?</v>
      </c>
      <c r="AE181" s="2" t="e">
        <f ca="1">_xll.BDH($C$178,"WORK_CAP_GROWTH","FQ3 2014","FQ3 2014","Currency=INR","Period=FQ","BEST_FPERIOD_OVERRIDE=FQ","FILING_STATUS=OR","EQY_CONSOLIDATED=Y","Sort=A","Dates=H","DateFormat=P","Fill=—","Direction=H","UseDPDF=Y")</f>
        <v>#NAME?</v>
      </c>
      <c r="AF181" s="2" t="e">
        <f ca="1">_xll.BDH($C$178,"ACCOUNTS_PAYABLE_GROWTH_1YR","FQ3 2014","FQ3 2014","Currency=INR","Period=FQ","BEST_FPERIOD_OVERRIDE=FQ","FILING_STATUS=OR","EQY_CONSOLIDATED=Y","Sort=A","Dates=H","DateFormat=P","Fill=—","Direction=H","UseDPDF=Y")</f>
        <v>#NAME?</v>
      </c>
      <c r="AG181" s="2" t="e">
        <f ca="1">_xll.BDH($C$178,"SHORT_TERM_DEBT_1_YEAR_GROWTH","FQ3 2014","FQ3 2014","Currency=INR","Period=FQ","BEST_FPERIOD_OVERRIDE=FQ","FILING_STATUS=OR","EQY_CONSOLIDATED=Y","Sort=A","Dates=H","DateFormat=P","Fill=—","Direction=H","UseDPDF=Y")</f>
        <v>#NAME?</v>
      </c>
      <c r="AH181" s="2" t="e">
        <f ca="1">_xll.BDH($C$178,"TOTAL_DEBT_1_YEAR_GROWTH","FQ3 2014","FQ3 2014","Currency=INR","Period=FQ","BEST_FPERIOD_OVERRIDE=FQ","FILING_STATUS=OR","EQY_CONSOLIDATED=Y","Sort=A","Dates=H","DateFormat=P","Fill=—","Direction=H","UseDPDF=Y")</f>
        <v>#NAME?</v>
      </c>
      <c r="AI181" s="2" t="e">
        <f ca="1">_xll.BDH($C$178,"TOTAL_EQUITY_1_YEAR_GROWTH","FQ3 2014","FQ3 2014","Currency=INR","Period=FQ","BEST_FPERIOD_OVERRIDE=FQ","FILING_STATUS=OR","EQY_CONSOLIDATED=Y","Sort=A","Dates=H","DateFormat=P","Fill=—","Direction=H","UseDPDF=Y")</f>
        <v>#NAME?</v>
      </c>
      <c r="AJ181" s="2" t="e">
        <f ca="1">_xll.BDH($C$178,"GROWTH_IN_CAP","FQ3 2014","FQ3 2014","Currency=INR","Period=FQ","BEST_FPERIOD_OVERRIDE=FQ","FILING_STATUS=OR","EQY_CONSOLIDATED=Y","Sort=A","Dates=H","DateFormat=P","Fill=—","Direction=H","UseDPDF=Y")</f>
        <v>#NAME?</v>
      </c>
      <c r="AK181" s="2" t="e">
        <f ca="1">_xll.BDH($C$178,"BVPS_GROWTH","FQ3 2014","FQ3 2014","Currency=INR","Period=FQ","BEST_FPERIOD_OVERRIDE=FQ","FILING_STATUS=OR","EQY_CONSOLIDATED=Y","Sort=A","Dates=H","DateFormat=P","Fill=—","Direction=H","UseDPDF=Y")</f>
        <v>#NAME?</v>
      </c>
      <c r="AL181" s="2" t="e">
        <f ca="1">_xll.BDH($C$178,"CASH_FLOW_GROWTH","FQ3 2014","FQ3 2014","Currency=INR","Period=FQ","BEST_FPERIOD_OVERRIDE=FQ","FILING_STATUS=OR","EQY_CONSOLIDATED=Y","Sort=A","Dates=H","DateFormat=P","Fill=—","Direction=H","UseDPDF=Y")</f>
        <v>#NAME?</v>
      </c>
      <c r="AM181" s="2" t="e">
        <f ca="1">_xll.BDH($C$178,"GEO_GROW_NET_SALES","FQ3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181" s="2" t="e">
        <f ca="1">_xll.BDH($C$178,"GEO_GROW_EBITDA","FQ3 2014","FQ3 2014","Currency=INR","Period=FQ","BEST_FPERIOD_OVERRIDE=FQ","FILING_STATUS=OR","EQY_CONSOLIDATED=Y","FA_ADJUSTED=GAAP","Sort=A","Dates=H","DateFormat=P","Fill=—","Direction=H","UseDPDF=Y")</f>
        <v>#NAME?</v>
      </c>
      <c r="AO181" s="2" t="e">
        <f ca="1">_xll.BDH($C$178,"GEO_GROW_OPER_INC","FQ3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181" s="2" t="e">
        <f ca="1">_xll.BDH($C$178,"NET_INCOME_TO_COMMON_5_YR_GROWTH","FQ3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181" s="2" t="e">
        <f ca="1">_xll.BDH($C$178,"5Y_GEO_GROWTH_DILUTED_EPS","FQ3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181" s="2" t="e">
        <f ca="1">_xll.BDH($C$178,"GEO_GROW_DVD_PER_SH","FQ3 2014","FQ3 2014","Currency=INR","Period=FQ","BEST_FPERIOD_OVERRIDE=FQ","FILING_STATUS=OR","EQY_CONSOLIDATED=Y","Sort=A","Dates=H","DateFormat=P","Fill=—","Direction=H","UseDPDF=Y")</f>
        <v>#NAME?</v>
      </c>
      <c r="AS181" s="2" t="e">
        <f ca="1">_xll.BDH($C$178,"ACCOUNTS_RECEIVABLE_5_YR_GROWTH","FQ3 2014","FQ3 2014","Currency=INR","Period=FQ","BEST_FPERIOD_OVERRIDE=FQ","FILING_STATUS=OR","EQY_CONSOLIDATED=Y","Sort=A","Dates=H","DateFormat=P","Fill=—","Direction=H","UseDPDF=Y")</f>
        <v>#NAME?</v>
      </c>
      <c r="AT181" s="2" t="e">
        <f ca="1">_xll.BDH($C$178,"INVENTORY_5_YEAR_GROWTH","FQ3 2014","FQ3 2014","Currency=INR","Period=FQ","BEST_FPERIOD_OVERRIDE=FQ","FILING_STATUS=OR","EQY_CONSOLIDATED=Y","Sort=A","Dates=H","DateFormat=P","Fill=—","Direction=H","UseDPDF=Y")</f>
        <v>#NAME?</v>
      </c>
      <c r="AU181" s="2" t="e">
        <f ca="1">_xll.BDH($C$178,"NET_FIXED_ASSETS_5_YEAR_GROWTH","FQ3 2014","FQ3 2014","Currency=INR","Period=FQ","BEST_FPERIOD_OVERRIDE=FQ","FILING_STATUS=OR","EQY_CONSOLIDATED=Y","Sort=A","Dates=H","DateFormat=P","Fill=—","Direction=H","UseDPDF=Y")</f>
        <v>#NAME?</v>
      </c>
      <c r="AV181" s="2" t="e">
        <f ca="1">_xll.BDH($C$178,"GEO_GROW_TOT_ASSET","FQ3 2014","FQ3 2014","Currency=INR","Period=FQ","BEST_FPERIOD_OVERRIDE=FQ","FILING_STATUS=OR","EQY_CONSOLIDATED=Y","Sort=A","Dates=H","DateFormat=P","Fill=—","Direction=H","UseDPDF=Y")</f>
        <v>#NAME?</v>
      </c>
      <c r="AW181" s="2" t="e">
        <f ca="1">_xll.BDH($C$178,"MODIFIED_WORKING_CPTL_5YR_GRWTH","FQ3 2014","FQ3 2014","Currency=INR","Period=FQ","BEST_FPERIOD_OVERRIDE=FQ","FILING_STATUS=OR","EQY_CONSOLIDATED=Y","Sort=A","Dates=H","DateFormat=P","Fill=—","Direction=H","UseDPDF=Y")</f>
        <v>#NAME?</v>
      </c>
      <c r="AX181" s="2" t="e">
        <f ca="1">_xll.BDH($C$178,"WORKING_CAPITAL_5_YEAR_GROWTH","FQ3 2014","FQ3 2014","Currency=INR","Period=FQ","BEST_FPERIOD_OVERRIDE=FQ","FILING_STATUS=OR","EQY_CONSOLIDATED=Y","Sort=A","Dates=H","DateFormat=P","Fill=—","Direction=H","UseDPDF=Y")</f>
        <v>#NAME?</v>
      </c>
      <c r="AY181" s="2" t="e">
        <f ca="1">_xll.BDH($C$178,"ACCOUNTS_PAYABLE_5_YEAR_GROWTH","FQ3 2014","FQ3 2014","Currency=INR","Period=FQ","BEST_FPERIOD_OVERRIDE=FQ","FILING_STATUS=OR","EQY_CONSOLIDATED=Y","Sort=A","Dates=H","DateFormat=P","Fill=—","Direction=H","UseDPDF=Y")</f>
        <v>#NAME?</v>
      </c>
      <c r="AZ181" s="2" t="e">
        <f ca="1">_xll.BDH($C$178,"SHORT_TERM_DEBT_5_YEAR_GROWTH","FQ3 2014","FQ3 2014","Currency=INR","Period=FQ","BEST_FPERIOD_OVERRIDE=FQ","FILING_STATUS=OR","EQY_CONSOLIDATED=Y","Sort=A","Dates=H","DateFormat=P","Fill=—","Direction=H","UseDPDF=Y")</f>
        <v>#NAME?</v>
      </c>
      <c r="BA181" s="2" t="e">
        <f ca="1">_xll.BDH($C$178,"TOTAL_DEBT_5_YEAR_GROWTH","FQ3 2014","FQ3 2014","Currency=INR","Period=FQ","BEST_FPERIOD_OVERRIDE=FQ","FILING_STATUS=OR","EQY_CONSOLIDATED=Y","Sort=A","Dates=H","DateFormat=P","Fill=—","Direction=H","UseDPDF=Y")</f>
        <v>#NAME?</v>
      </c>
      <c r="BB181" s="2" t="e">
        <f ca="1">_xll.BDH($C$178,"GEO_GROW_TOT_SHRHLDR_EQY","FQ3 2014","FQ3 2014","Currency=INR","Period=FQ","BEST_FPERIOD_OVERRIDE=FQ","FILING_STATUS=OR","EQY_CONSOLIDATED=Y","Sort=A","Dates=H","DateFormat=P","Fill=—","Direction=H","UseDPDF=Y")</f>
        <v>#NAME?</v>
      </c>
      <c r="BC181" s="2" t="e">
        <f ca="1">_xll.BDH($C$178,"TOTAL_CAPITAL_5_YEAR_GROWTH","FQ3 2014","FQ3 2014","Currency=INR","Period=FQ","BEST_FPERIOD_OVERRIDE=FQ","FILING_STATUS=OR","EQY_CONSOLIDATED=Y","Sort=A","Dates=H","DateFormat=P","Fill=—","Direction=H","UseDPDF=Y")</f>
        <v>#NAME?</v>
      </c>
      <c r="BD181" s="2" t="e">
        <f ca="1">_xll.BDH($C$178,"GEO_GROW_BOOK_VAL","FQ3 2014","FQ3 2014","Currency=INR","Period=FQ","BEST_FPERIOD_OVERRIDE=FQ","FILING_STATUS=OR","EQY_CONSOLIDATED=Y","Sort=A","Dates=H","DateFormat=P","Fill=—","Direction=H","UseDPDF=Y")</f>
        <v>#NAME?</v>
      </c>
      <c r="BE181" s="2" t="e">
        <f ca="1">_xll.BDH($C$178,"GEO_GROW_CASH_OPER_ACT","FQ3 2014","FQ3 2014","Currency=INR","Period=FQ","BEST_FPERIOD_OVERRIDE=FQ","FILING_STATUS=OR","EQY_CONSOLIDATED=Y","Sort=A","Dates=H","DateFormat=P","Fill=—","Direction=H","UseDPDF=Y")</f>
        <v>#NAME?</v>
      </c>
      <c r="BF181" s="2" t="e">
        <f ca="1">_xll.BDH($C$178,"REVENUE_SEQUENTIAL_GROWTH","FQ3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181" s="2" t="e">
        <f ca="1">_xll.BDH($C$178,"EBITDA_SEQUENTIAL_GROWTH","FQ3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181" s="2" t="e">
        <f ca="1">_xll.BDH($C$178,"OPERATING_INCOME_SEQ_GROWTH","FQ3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181" s="2" t="e">
        <f ca="1">_xll.BDH($C$178,"NET_INCOME_TO_COMMON_SEQ_GROWTH","FQ3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181" s="2" t="e">
        <f ca="1">_xll.BDH($C$178,"EPS_DILUTED_SEQUENTIAL_GROWTH","FQ3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181" s="2" t="e">
        <f ca="1">_xll.BDH($C$178,"DPS_SEQUENTIAL_GROWTH","FQ3 2014","FQ3 2014","Currency=INR","Period=FQ","BEST_FPERIOD_OVERRIDE=FQ","FILING_STATUS=OR","EQY_CONSOLIDATED=Y","Sort=A","Dates=H","DateFormat=P","Fill=—","Direction=H","UseDPDF=Y")</f>
        <v>#NAME?</v>
      </c>
      <c r="BL181" s="2" t="e">
        <f ca="1">_xll.BDH($C$178,"ACCOUNTS_RECEIVABLE_SEQ_GROWTH","FQ3 2014","FQ3 2014","Currency=INR","Period=FQ","BEST_FPERIOD_OVERRIDE=FQ","FILING_STATUS=OR","EQY_CONSOLIDATED=Y","Sort=A","Dates=H","DateFormat=P","Fill=—","Direction=H","UseDPDF=Y")</f>
        <v>#NAME?</v>
      </c>
      <c r="BM181" s="2" t="e">
        <f ca="1">_xll.BDH($C$178,"INVENTORY_SEQUENTIAL_GROWTH","FQ3 2014","FQ3 2014","Currency=INR","Period=FQ","BEST_FPERIOD_OVERRIDE=FQ","FILING_STATUS=OR","EQY_CONSOLIDATED=Y","Sort=A","Dates=H","DateFormat=P","Fill=—","Direction=H","UseDPDF=Y")</f>
        <v>#NAME?</v>
      </c>
      <c r="BN181" s="2" t="e">
        <f ca="1">_xll.BDH($C$178,"FIXED_ASSETS_SEQUENTIAL_GROWTH","FQ3 2014","FQ3 2014","Currency=INR","Period=FQ","BEST_FPERIOD_OVERRIDE=FQ","FILING_STATUS=OR","EQY_CONSOLIDATED=Y","Sort=A","Dates=H","DateFormat=P","Fill=—","Direction=H","UseDPDF=Y")</f>
        <v>#NAME?</v>
      </c>
      <c r="BO181" s="2" t="e">
        <f ca="1">_xll.BDH($C$178,"TOTAL_ASSETS_SEQUENTIAL_GROWTH","FQ3 2014","FQ3 2014","Currency=INR","Period=FQ","BEST_FPERIOD_OVERRIDE=FQ","FILING_STATUS=OR","EQY_CONSOLIDATED=Y","Sort=A","Dates=H","DateFormat=P","Fill=—","Direction=H","UseDPDF=Y")</f>
        <v>#NAME?</v>
      </c>
      <c r="BP181" s="2" t="e">
        <f ca="1">_xll.BDH($C$178,"MODIFIED_WORKING_CPTL_SEQ_GRWTH","FQ3 2014","FQ3 2014","Currency=INR","Period=FQ","BEST_FPERIOD_OVERRIDE=FQ","FILING_STATUS=OR","EQY_CONSOLIDATED=Y","Sort=A","Dates=H","DateFormat=P","Fill=—","Direction=H","UseDPDF=Y")</f>
        <v>#NAME?</v>
      </c>
      <c r="BQ181" s="2" t="e">
        <f ca="1">_xll.BDH($C$178,"WORKING_CAPITAL_SEQ_GROWTH","FQ3 2014","FQ3 2014","Currency=INR","Period=FQ","BEST_FPERIOD_OVERRIDE=FQ","FILING_STATUS=OR","EQY_CONSOLIDATED=Y","Sort=A","Dates=H","DateFormat=P","Fill=—","Direction=H","UseDPDF=Y")</f>
        <v>#NAME?</v>
      </c>
      <c r="BR181" s="2" t="e">
        <f ca="1">_xll.BDH($C$178,"ACCOUNTS_PAYABLE_SEQ_GROWTH","FQ3 2014","FQ3 2014","Currency=INR","Period=FQ","BEST_FPERIOD_OVERRIDE=FQ","FILING_STATUS=OR","EQY_CONSOLIDATED=Y","Sort=A","Dates=H","DateFormat=P","Fill=—","Direction=H","UseDPDF=Y")</f>
        <v>#NAME?</v>
      </c>
      <c r="BS181" s="2" t="e">
        <f ca="1">_xll.BDH($C$178,"ST_DEBT_SEQUENTIAL_GROWTH","FQ3 2014","FQ3 2014","Currency=INR","Period=FQ","BEST_FPERIOD_OVERRIDE=FQ","FILING_STATUS=OR","EQY_CONSOLIDATED=Y","Sort=A","Dates=H","DateFormat=P","Fill=—","Direction=H","UseDPDF=Y")</f>
        <v>#NAME?</v>
      </c>
      <c r="BT181" s="2" t="e">
        <f ca="1">_xll.BDH($C$178,"TOTAL_DEBT_SEQUENTIAL_GROWTH","FQ3 2014","FQ3 2014","Currency=INR","Period=FQ","BEST_FPERIOD_OVERRIDE=FQ","FILING_STATUS=OR","EQY_CONSOLIDATED=Y","Sort=A","Dates=H","DateFormat=P","Fill=—","Direction=H","UseDPDF=Y")</f>
        <v>#NAME?</v>
      </c>
      <c r="BU181" s="2" t="e">
        <f ca="1">_xll.BDH($C$178,"TOTAL_EQUITY_SEQUENTIAL_GROWTH","FQ3 2014","FQ3 2014","Currency=INR","Period=FQ","BEST_FPERIOD_OVERRIDE=FQ","FILING_STATUS=OR","EQY_CONSOLIDATED=Y","Sort=A","Dates=H","DateFormat=P","Fill=—","Direction=H","UseDPDF=Y")</f>
        <v>#NAME?</v>
      </c>
      <c r="BV181" s="2" t="e">
        <f ca="1">_xll.BDH($C$178,"TOTAL_CAPITAL_SEQUENTIAL_GROWTH","FQ3 2014","FQ3 2014","Currency=INR","Period=FQ","BEST_FPERIOD_OVERRIDE=FQ","FILING_STATUS=OR","EQY_CONSOLIDATED=Y","Sort=A","Dates=H","DateFormat=P","Fill=—","Direction=H","UseDPDF=Y")</f>
        <v>#NAME?</v>
      </c>
      <c r="BW181" s="2" t="e">
        <f ca="1">_xll.BDH($C$178,"BPS_SEQUENTIAL_GROWTH","FQ3 2014","FQ3 2014","Currency=INR","Period=FQ","BEST_FPERIOD_OVERRIDE=FQ","FILING_STATUS=OR","EQY_CONSOLIDATED=Y","Sort=A","Dates=H","DateFormat=P","Fill=—","Direction=H","UseDPDF=Y")</f>
        <v>#NAME?</v>
      </c>
      <c r="BX181" s="2" t="e">
        <f ca="1">_xll.BDH($C$178,"CFO_SEQUENTIAL_GROWTH","FQ3 2014","FQ3 2014","Currency=INR","Period=FQ","BEST_FPERIOD_OVERRIDE=FQ","FILING_STATUS=OR","EQY_CONSOLIDATED=Y","Sort=A","Dates=H","DateFormat=P","Fill=—","Direction=H","UseDPDF=Y")</f>
        <v>#NAME?</v>
      </c>
      <c r="BY181" s="3" t="e">
        <f ca="1">_xll.BDH($C$178,"SHORT_AND_LONG_TERM_DEBT","FQ3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181" s="3" t="e">
        <f ca="1">_xll.BDH($C$178,"BS_ST_BORROW","FQ3 2014","FQ3 2014","Currency=INR","Period=FQ","BEST_FPERIOD_OVERRIDE=FQ","FILING_STATUS=OR","EQY_CONSOLIDATED=Y","SCALING_FORMAT=MLN","Sort=A","Dates=H","DateFormat=P","Fill=—","Direction=H","UseDPDF=Y")</f>
        <v>#NAME?</v>
      </c>
      <c r="CA181" s="3" t="e">
        <f ca="1">_xll.BDH($C$178,"BS_LT_BORROW","FQ3 2014","FQ3 2014","Currency=INR","Period=FQ","BEST_FPERIOD_OVERRIDE=FQ","FILING_STATUS=OR","EQY_CONSOLIDATED=Y","SCALING_FORMAT=MLN","Sort=A","Dates=H","DateFormat=P","Fill=—","Direction=H","UseDPDF=Y")</f>
        <v>#NAME?</v>
      </c>
      <c r="CB181" s="2" t="e">
        <f ca="1">_xll.BDH($C$178,"TOT_DEBT_TO_EBITDA","FQ3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181" s="2" t="e">
        <f ca="1">_xll.BDH($C$178,"NET_DEBT_TO_EBITDA","FQ3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181" s="2" t="e">
        <f ca="1">_xll.BDH($C$178,"TOTAL_DEBT_TO_EBIT","FQ3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181" s="2" t="e">
        <f ca="1">_xll.BDH($C$178,"NET_DEBT_TO_EBIT","FQ3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181" s="2" t="e">
        <f ca="1">_xll.BDH($C$178,"EBITDA_TO_INTEREST_EXPN","FQ3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181" s="2" t="e">
        <f ca="1">_xll.BDH($C$178,"COM_EQY_TO_TOT_ASSET","FQ3 2014","FQ3 2014","Currency=INR","Period=FQ","BEST_FPERIOD_OVERRIDE=FQ","FILING_STATUS=OR","EQY_CONSOLIDATED=Y","Sort=A","Dates=H","DateFormat=P","Fill=—","Direction=H","UseDPDF=Y")</f>
        <v>#NAME?</v>
      </c>
      <c r="CH181" s="2" t="e">
        <f ca="1">_xll.BDH($C$178,"LT_DEBT_TO_TOT_EQY","FQ3 2014","FQ3 2014","Currency=INR","Period=FQ","BEST_FPERIOD_OVERRIDE=FQ","FILING_STATUS=OR","EQY_CONSOLIDATED=Y","Sort=A","Dates=H","DateFormat=P","Fill=—","Direction=H","UseDPDF=Y")</f>
        <v>#NAME?</v>
      </c>
      <c r="CI181" s="2" t="e">
        <f ca="1">_xll.BDH($C$178,"LT_DEBT_TO_TOT_CAP","FQ3 2014","FQ3 2014","Currency=INR","Period=FQ","BEST_FPERIOD_OVERRIDE=FQ","FILING_STATUS=OR","EQY_CONSOLIDATED=Y","Sort=A","Dates=H","DateFormat=P","Fill=—","Direction=H","UseDPDF=Y")</f>
        <v>#NAME?</v>
      </c>
      <c r="CJ181" s="2" t="e">
        <f ca="1">_xll.BDH($C$178,"LT_DEBT_TO_TOT_ASSET","FQ3 2014","FQ3 2014","Currency=INR","Period=FQ","BEST_FPERIOD_OVERRIDE=FQ","FILING_STATUS=OR","EQY_CONSOLIDATED=Y","Sort=A","Dates=H","DateFormat=P","Fill=—","Direction=H","UseDPDF=Y")</f>
        <v>#NAME?</v>
      </c>
      <c r="CK181" s="2" t="e">
        <f ca="1">_xll.BDH($C$178,"TOT_DEBT_TO_TOT_EQY","FQ3 2014","FQ3 2014","Currency=INR","Period=FQ","BEST_FPERIOD_OVERRIDE=FQ","FILING_STATUS=OR","EQY_CONSOLIDATED=Y","Sort=A","Dates=H","DateFormat=P","Fill=—","Direction=H","UseDPDF=Y")</f>
        <v>#NAME?</v>
      </c>
      <c r="CL181" s="2" t="e">
        <f ca="1">_xll.BDH($C$178,"TOT_DEBT_TO_TOT_CAP","FQ3 2014","FQ3 2014","Currency=INR","Period=FQ","BEST_FPERIOD_OVERRIDE=FQ","FILING_STATUS=OR","EQY_CONSOLIDATED=Y","Sort=A","Dates=H","DateFormat=P","Fill=—","Direction=H","UseDPDF=Y")</f>
        <v>#NAME?</v>
      </c>
      <c r="CM181" s="2" t="e">
        <f ca="1">_xll.BDH($C$178,"TOT_DEBT_TO_TOT_ASSET","FQ3 2014","FQ3 2014","Currency=INR","Period=FQ","BEST_FPERIOD_OVERRIDE=FQ","FILING_STATUS=OR","EQY_CONSOLIDATED=Y","Sort=A","Dates=H","DateFormat=P","Fill=—","Direction=H","UseDPDF=Y")</f>
        <v>#NAME?</v>
      </c>
      <c r="CN181" s="2" t="e">
        <f ca="1">_xll.BDH($C$178,"NET_DEBT_TO_SHRHLDR_EQTY","FQ3 2014","FQ3 2014","Currency=INR","Period=FQ","BEST_FPERIOD_OVERRIDE=FQ","FILING_STATUS=OR","EQY_CONSOLIDATED=Y","Sort=A","Dates=H","DateFormat=P","Fill=—","Direction=H","UseDPDF=Y")</f>
        <v>#NAME?</v>
      </c>
      <c r="CO181" s="2" t="e">
        <f ca="1">_xll.BDH($C$178,"NET_DEBT_%_CAPITAL","FQ3 2014","FQ3 2014","Currency=INR","Period=FQ","BEST_FPERIOD_OVERRIDE=FQ","FILING_STATUS=OR","EQY_CONSOLIDATED=Y","Sort=A","Dates=H","DateFormat=P","Fill=—","Direction=H","UseDPDF=Y")</f>
        <v>#NAME?</v>
      </c>
      <c r="CP181" s="3" t="e">
        <f ca="1">_xll.BDH($C$178,"EBITDA","FQ3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181" s="3" t="e">
        <f ca="1">_xll.BDH($C$178,"EBITDA_AFTER_CAPEX","FQ3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181" s="3" t="e">
        <f ca="1">_xll.BDH($C$178,"IS_OPER_INC","FQ3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181" s="2" t="e">
        <f ca="1">_xll.BDH($C$178,"CASH_RATIO","FQ3 2014","FQ3 2014","Currency=INR","Period=FQ","BEST_FPERIOD_OVERRIDE=FQ","FILING_STATUS=OR","EQY_CONSOLIDATED=Y","Sort=A","Dates=H","DateFormat=P","Fill=—","Direction=H","UseDPDF=Y")</f>
        <v>#NAME?</v>
      </c>
      <c r="CT181" s="2" t="e">
        <f ca="1">_xll.BDH($C$178,"CUR_RATIO","FQ3 2014","FQ3 2014","Currency=INR","Period=FQ","BEST_FPERIOD_OVERRIDE=FQ","FILING_STATUS=OR","EQY_CONSOLIDATED=Y","Sort=A","Dates=H","DateFormat=P","Fill=—","Direction=H","UseDPDF=Y")</f>
        <v>#NAME?</v>
      </c>
      <c r="CU181" s="2" t="e">
        <f ca="1">_xll.BDH($C$178,"QUICK_RATIO","FQ3 2014","FQ3 2014","Currency=INR","Period=FQ","BEST_FPERIOD_OVERRIDE=FQ","FILING_STATUS=OR","EQY_CONSOLIDATED=Y","Sort=A","Dates=H","DateFormat=P","Fill=—","Direction=H","UseDPDF=Y")</f>
        <v>#NAME?</v>
      </c>
      <c r="CV181" s="2" t="e">
        <f ca="1">_xll.BDH($C$178,"ALTMAN_Z_SCORE","FQ3 2014","FQ3 2014","Currency=INR","Period=FQ","BEST_FPERIOD_OVERRIDE=FQ","FILING_STATUS=OR","EQY_CONSOLIDATED=Y","Sort=A","Dates=H","DateFormat=P","Fill=—","Direction=H","UseDPDF=Y")</f>
        <v>#NAME?</v>
      </c>
      <c r="CW181" s="4" t="e">
        <f ca="1">_xll.BDH($C$178,"ACCT_RCV_TURN","FQ3 2014","FQ3 2014","Currency=INR","Period=FQ","BEST_FPERIOD_OVERRIDE=FQ","FILING_STATUS=OR","EQY_CONSOLIDATED=Y","FA_ADJUSTED=GAAP","Sort=A","Dates=H","DateFormat=P","Fill=—","Direction=H","UseDPDF=Y")</f>
        <v>#NAME?</v>
      </c>
      <c r="CX181" s="2" t="e">
        <f ca="1">_xll.BDH($C$178,"ACCT_RCV_DAYS","FQ3 2014","FQ3 2014","Currency=INR","Period=FQ","BEST_FPERIOD_OVERRIDE=FQ","FILING_STATUS=OR","EQY_CONSOLIDATED=Y","FA_ADJUSTED=GAAP","Sort=A","Dates=H","DateFormat=P","Fill=—","Direction=H","UseDPDF=Y")</f>
        <v>#NAME?</v>
      </c>
      <c r="CY181" s="4" t="e">
        <f ca="1">_xll.BDH($C$178,"INVENT_TURN","FQ3 2014","FQ3 2014","Currency=INR","Period=FQ","BEST_FPERIOD_OVERRIDE=FQ","FILING_STATUS=OR","EQY_CONSOLIDATED=Y","FA_ADJUSTED=GAAP","Sort=A","Dates=H","DateFormat=P","Fill=—","Direction=H","UseDPDF=Y")</f>
        <v>#NAME?</v>
      </c>
      <c r="CZ181" s="2" t="e">
        <f ca="1">_xll.BDH($C$178,"INVENT_DAYS","FQ3 2014","FQ3 2014","Currency=INR","Period=FQ","BEST_FPERIOD_OVERRIDE=FQ","FILING_STATUS=OR","EQY_CONSOLIDATED=Y","FA_ADJUSTED=GAAP","Sort=A","Dates=H","DateFormat=P","Fill=—","Direction=H","UseDPDF=Y")</f>
        <v>#NAME?</v>
      </c>
      <c r="DA181" s="4" t="e">
        <f ca="1">_xll.BDH($C$178,"ACCOUNTS_PAYABLE_TURNOVER","FQ3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181" s="2" t="e">
        <f ca="1">_xll.BDH($C$178,"ACCOUNTS_PAYABLE_TURNOVER_DAYS","FQ3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181" s="4" t="e">
        <f ca="1">_xll.BDH($C$178,"CASH_CONVERSION_CYCLE","FQ3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181" s="4" t="e">
        <f ca="1">_xll.BDH($C$178,"INV_TO_CASH_DAYS","FQ3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181" s="5" t="e">
        <f ca="1">_xll.BDH($C$178,"BS_INVENTORIES","FQ3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181" s="3" t="e">
        <f ca="1">_xll.BDH($C$178,"INVTRY_RAW_MATERIALS","FQ3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181" s="3" t="e">
        <f ca="1">_xll.BDH($C$178,"INVTRY_IN_PROGRESS","FQ3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181" s="3" t="e">
        <f ca="1">_xll.BDH($C$178,"INVTRY_FINISHED_GOODS","FQ3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181" s="3" t="e">
        <f ca="1">_xll.BDH($C$178,"BS_OTHER_INV","FQ3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182" spans="1:113" x14ac:dyDescent="0.3">
      <c r="A182" s="6"/>
      <c r="B182" s="6"/>
      <c r="C182" s="6"/>
      <c r="D182" s="6"/>
      <c r="E182" t="s">
        <v>81</v>
      </c>
      <c r="F182" t="e">
        <f ca="1">_xll.BDH($C$178,"RETURN_COM_EQY","FQ4 2014","FQ4 2014","Currency=INR","Period=FQ","BEST_FPERIOD_OVERRIDE=FQ","FILING_STATUS=OR","EQY_CONSOLIDATED=Y","FA_ADJUSTED=GAAP","Sort=A","Dates=H","DateFormat=P","Fill=—","Direction=H","UseDPDF=Y")</f>
        <v>#NAME?</v>
      </c>
      <c r="G182" t="e">
        <f ca="1">_xll.BDH($C$178,"RETURN_ON_ASSET","FQ4 2014","FQ4 2014","Currency=INR","Period=FQ","BEST_FPERIOD_OVERRIDE=FQ","FILING_STATUS=OR","EQY_CONSOLIDATED=Y","FA_ADJUSTED=GAAP","Sort=A","Dates=H","DateFormat=P","Fill=—","Direction=H","UseDPDF=Y")</f>
        <v>#NAME?</v>
      </c>
      <c r="H182" t="e">
        <f ca="1">_xll.BDH($C$178,"RETURN_ON_CAP","FQ4 2014","FQ4 2014","Currency=INR","Period=FQ","BEST_FPERIOD_OVERRIDE=FQ","FILING_STATUS=OR","EQY_CONSOLIDATED=Y","FA_ADJUSTED=GAAP","Sort=A","Dates=H","DateFormat=P","Fill=—","Direction=H","UseDPDF=Y")</f>
        <v>#NAME?</v>
      </c>
      <c r="I182" t="e">
        <f ca="1">_xll.BDH($C$178,"RETURN_ON_INV_CAPITAL","FQ4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182" t="e">
        <f ca="1">_xll.BDH($C$178,"EBITDA_TO_REVENUE","FQ4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182" t="e">
        <f ca="1">_xll.BDH($C$178,"OPER_MARGIN","FQ4 2014","FQ4 2014","Currency=INR","Period=FQ","BEST_FPERIOD_OVERRIDE=FQ","FILING_STATUS=OR","EQY_CONSOLIDATED=Y","FA_ADJUSTED=GAAP","Sort=A","Dates=H","DateFormat=P","Fill=—","Direction=H","UseDPDF=Y")</f>
        <v>#NAME?</v>
      </c>
      <c r="L182" t="e">
        <f ca="1">_xll.BDH($C$178,"INCREMENTAL_OPERATING_MARGIN","FQ4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182" t="e">
        <f ca="1">_xll.BDH($C$178,"PRETAX_INC_TO_NET_SALES","FQ4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182" t="e">
        <f ca="1">_xll.BDH($C$178,"INC_BEF_XO_ITEMS_TO_NET_SALES","FQ4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182" t="e">
        <f ca="1">_xll.BDH($C$178,"PROF_MARGIN","FQ4 2014","FQ4 2014","Currency=INR","Period=FQ","BEST_FPERIOD_OVERRIDE=FQ","FILING_STATUS=OR","EQY_CONSOLIDATED=Y","FA_ADJUSTED=GAAP","Sort=A","Dates=H","DateFormat=P","Fill=—","Direction=H","UseDPDF=Y")</f>
        <v>#NAME?</v>
      </c>
      <c r="P182" t="e">
        <f ca="1">_xll.BDH($C$178,"NET_INCOME_TO_COMMON_MARGIN","FQ4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182" t="e">
        <f ca="1">_xll.BDH($C$178,"EFF_TAX_RATE","FQ4 2014","FQ4 2014","Currency=INR","Period=FQ","BEST_FPERIOD_OVERRIDE=FQ","FILING_STATUS=OR","EQY_CONSOLIDATED=Y","FA_ADJUSTED=GAAP","Sort=A","Dates=H","DateFormat=P","Fill=—","Direction=H","UseDPDF=Y")</f>
        <v>#NAME?</v>
      </c>
      <c r="R182" t="e">
        <f ca="1">_xll.BDH($C$178,"DVD_PAYOUT_RATIO","FQ4 2014","FQ4 2014","Currency=INR","Period=FQ","BEST_FPERIOD_OVERRIDE=FQ","FILING_STATUS=OR","EQY_CONSOLIDATED=Y","FA_ADJUSTED=GAAP","Sort=A","Dates=H","DateFormat=P","Fill=—","Direction=H","UseDPDF=Y")</f>
        <v>#NAME?</v>
      </c>
      <c r="S182" t="e">
        <f ca="1">_xll.BDH($C$178,"SUSTAIN_GROWTH_RT","FQ4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182" s="2" t="e">
        <f ca="1">_xll.BDH($C$178,"SALES_GROWTH","FQ4 2014","FQ4 2014","Currency=INR","Period=FQ","BEST_FPERIOD_OVERRIDE=FQ","FILING_STATUS=OR","EQY_CONSOLIDATED=Y","FA_ADJUSTED=GAAP","Sort=A","Dates=H","DateFormat=P","Fill=—","Direction=H","UseDPDF=Y")</f>
        <v>#NAME?</v>
      </c>
      <c r="U182" s="2" t="e">
        <f ca="1">_xll.BDH($C$178,"EBITDA_GROWTH","FQ4 2014","FQ4 2014","Currency=INR","Period=FQ","BEST_FPERIOD_OVERRIDE=FQ","FILING_STATUS=OR","EQY_CONSOLIDATED=Y","FA_ADJUSTED=GAAP","Sort=A","Dates=H","DateFormat=P","Fill=—","Direction=H","UseDPDF=Y")</f>
        <v>#NAME?</v>
      </c>
      <c r="V182" s="2" t="e">
        <f ca="1">_xll.BDH($C$178,"OPER_INC_GROWTH","FQ4 2014","FQ4 2014","Currency=INR","Period=FQ","BEST_FPERIOD_OVERRIDE=FQ","FILING_STATUS=OR","EQY_CONSOLIDATED=Y","FA_ADJUSTED=GAAP","Sort=A","Dates=H","DateFormat=P","Fill=—","Direction=H","UseDPDF=Y")</f>
        <v>#NAME?</v>
      </c>
      <c r="W182" s="2" t="e">
        <f ca="1">_xll.BDH($C$178,"EARN_FOR_COM_GROWTH","FQ4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182" s="2" t="e">
        <f ca="1">_xll.BDH($C$178,"DILUTED_EPS_AFT_XO_ITEMS_GROWTH","FQ4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182" s="2" t="e">
        <f ca="1">_xll.BDH($C$178,"DIVIDEND_PER_SHARE_1_YEAR_GROWTH","FQ4 2014","FQ4 2014","Currency=INR","Period=FQ","BEST_FPERIOD_OVERRIDE=FQ","FILING_STATUS=OR","EQY_CONSOLIDATED=Y","Sort=A","Dates=H","DateFormat=P","Fill=—","Direction=H","UseDPDF=Y")</f>
        <v>#NAME?</v>
      </c>
      <c r="Z182" s="2" t="e">
        <f ca="1">_xll.BDH($C$178,"ACCOUNTS_RECEIVABLE_GROWTH","FQ4 2014","FQ4 2014","Currency=INR","Period=FQ","BEST_FPERIOD_OVERRIDE=FQ","FILING_STATUS=OR","EQY_CONSOLIDATED=Y","Sort=A","Dates=H","DateFormat=P","Fill=—","Direction=H","UseDPDF=Y")</f>
        <v>#NAME?</v>
      </c>
      <c r="AA182" s="2" t="e">
        <f ca="1">_xll.BDH($C$178,"INVENTORY_GROWTH","FQ4 2014","FQ4 2014","Currency=INR","Period=FQ","BEST_FPERIOD_OVERRIDE=FQ","FILING_STATUS=OR","EQY_CONSOLIDATED=Y","Sort=A","Dates=H","DateFormat=P","Fill=—","Direction=H","UseDPDF=Y")</f>
        <v>#NAME?</v>
      </c>
      <c r="AB182" s="2" t="e">
        <f ca="1">_xll.BDH($C$178,"NET_FIXED_ASSETS_1_YEAR_GROWTH","FQ4 2014","FQ4 2014","Currency=INR","Period=FQ","BEST_FPERIOD_OVERRIDE=FQ","FILING_STATUS=OR","EQY_CONSOLIDATED=Y","Sort=A","Dates=H","DateFormat=P","Fill=—","Direction=H","UseDPDF=Y")</f>
        <v>#NAME?</v>
      </c>
      <c r="AC182" s="2" t="e">
        <f ca="1">_xll.BDH($C$178,"ASSET_GROWTH","FQ4 2014","FQ4 2014","Currency=INR","Period=FQ","BEST_FPERIOD_OVERRIDE=FQ","FILING_STATUS=OR","EQY_CONSOLIDATED=Y","Sort=A","Dates=H","DateFormat=P","Fill=—","Direction=H","UseDPDF=Y")</f>
        <v>#NAME?</v>
      </c>
      <c r="AD182" s="2" t="e">
        <f ca="1">_xll.BDH($C$178,"MODIFIED_WORK_CAP_GROWTH","FQ4 2014","FQ4 2014","Currency=INR","Period=FQ","BEST_FPERIOD_OVERRIDE=FQ","FILING_STATUS=OR","EQY_CONSOLIDATED=Y","Sort=A","Dates=H","DateFormat=P","Fill=—","Direction=H","UseDPDF=Y")</f>
        <v>#NAME?</v>
      </c>
      <c r="AE182" s="2" t="e">
        <f ca="1">_xll.BDH($C$178,"WORK_CAP_GROWTH","FQ4 2014","FQ4 2014","Currency=INR","Period=FQ","BEST_FPERIOD_OVERRIDE=FQ","FILING_STATUS=OR","EQY_CONSOLIDATED=Y","Sort=A","Dates=H","DateFormat=P","Fill=—","Direction=H","UseDPDF=Y")</f>
        <v>#NAME?</v>
      </c>
      <c r="AF182" s="2" t="e">
        <f ca="1">_xll.BDH($C$178,"ACCOUNTS_PAYABLE_GROWTH_1YR","FQ4 2014","FQ4 2014","Currency=INR","Period=FQ","BEST_FPERIOD_OVERRIDE=FQ","FILING_STATUS=OR","EQY_CONSOLIDATED=Y","Sort=A","Dates=H","DateFormat=P","Fill=—","Direction=H","UseDPDF=Y")</f>
        <v>#NAME?</v>
      </c>
      <c r="AG182" s="2" t="e">
        <f ca="1">_xll.BDH($C$178,"SHORT_TERM_DEBT_1_YEAR_GROWTH","FQ4 2014","FQ4 2014","Currency=INR","Period=FQ","BEST_FPERIOD_OVERRIDE=FQ","FILING_STATUS=OR","EQY_CONSOLIDATED=Y","Sort=A","Dates=H","DateFormat=P","Fill=—","Direction=H","UseDPDF=Y")</f>
        <v>#NAME?</v>
      </c>
      <c r="AH182" s="2" t="e">
        <f ca="1">_xll.BDH($C$178,"TOTAL_DEBT_1_YEAR_GROWTH","FQ4 2014","FQ4 2014","Currency=INR","Period=FQ","BEST_FPERIOD_OVERRIDE=FQ","FILING_STATUS=OR","EQY_CONSOLIDATED=Y","Sort=A","Dates=H","DateFormat=P","Fill=—","Direction=H","UseDPDF=Y")</f>
        <v>#NAME?</v>
      </c>
      <c r="AI182" s="2" t="e">
        <f ca="1">_xll.BDH($C$178,"TOTAL_EQUITY_1_YEAR_GROWTH","FQ4 2014","FQ4 2014","Currency=INR","Period=FQ","BEST_FPERIOD_OVERRIDE=FQ","FILING_STATUS=OR","EQY_CONSOLIDATED=Y","Sort=A","Dates=H","DateFormat=P","Fill=—","Direction=H","UseDPDF=Y")</f>
        <v>#NAME?</v>
      </c>
      <c r="AJ182" s="2" t="e">
        <f ca="1">_xll.BDH($C$178,"GROWTH_IN_CAP","FQ4 2014","FQ4 2014","Currency=INR","Period=FQ","BEST_FPERIOD_OVERRIDE=FQ","FILING_STATUS=OR","EQY_CONSOLIDATED=Y","Sort=A","Dates=H","DateFormat=P","Fill=—","Direction=H","UseDPDF=Y")</f>
        <v>#NAME?</v>
      </c>
      <c r="AK182" s="2" t="e">
        <f ca="1">_xll.BDH($C$178,"BVPS_GROWTH","FQ4 2014","FQ4 2014","Currency=INR","Period=FQ","BEST_FPERIOD_OVERRIDE=FQ","FILING_STATUS=OR","EQY_CONSOLIDATED=Y","Sort=A","Dates=H","DateFormat=P","Fill=—","Direction=H","UseDPDF=Y")</f>
        <v>#NAME?</v>
      </c>
      <c r="AL182" s="2" t="e">
        <f ca="1">_xll.BDH($C$178,"CASH_FLOW_GROWTH","FQ4 2014","FQ4 2014","Currency=INR","Period=FQ","BEST_FPERIOD_OVERRIDE=FQ","FILING_STATUS=OR","EQY_CONSOLIDATED=Y","Sort=A","Dates=H","DateFormat=P","Fill=—","Direction=H","UseDPDF=Y")</f>
        <v>#NAME?</v>
      </c>
      <c r="AM182" s="2" t="e">
        <f ca="1">_xll.BDH($C$178,"GEO_GROW_NET_SALES","FQ4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182" s="2" t="e">
        <f ca="1">_xll.BDH($C$178,"GEO_GROW_EBITDA","FQ4 2014","FQ4 2014","Currency=INR","Period=FQ","BEST_FPERIOD_OVERRIDE=FQ","FILING_STATUS=OR","EQY_CONSOLIDATED=Y","FA_ADJUSTED=GAAP","Sort=A","Dates=H","DateFormat=P","Fill=—","Direction=H","UseDPDF=Y")</f>
        <v>#NAME?</v>
      </c>
      <c r="AO182" s="2" t="e">
        <f ca="1">_xll.BDH($C$178,"GEO_GROW_OPER_INC","FQ4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182" s="2" t="e">
        <f ca="1">_xll.BDH($C$178,"NET_INCOME_TO_COMMON_5_YR_GROWTH","FQ4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182" s="2" t="e">
        <f ca="1">_xll.BDH($C$178,"5Y_GEO_GROWTH_DILUTED_EPS","FQ4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182" s="2" t="e">
        <f ca="1">_xll.BDH($C$178,"GEO_GROW_DVD_PER_SH","FQ4 2014","FQ4 2014","Currency=INR","Period=FQ","BEST_FPERIOD_OVERRIDE=FQ","FILING_STATUS=OR","EQY_CONSOLIDATED=Y","Sort=A","Dates=H","DateFormat=P","Fill=—","Direction=H","UseDPDF=Y")</f>
        <v>#NAME?</v>
      </c>
      <c r="AS182" s="2" t="e">
        <f ca="1">_xll.BDH($C$178,"ACCOUNTS_RECEIVABLE_5_YR_GROWTH","FQ4 2014","FQ4 2014","Currency=INR","Period=FQ","BEST_FPERIOD_OVERRIDE=FQ","FILING_STATUS=OR","EQY_CONSOLIDATED=Y","Sort=A","Dates=H","DateFormat=P","Fill=—","Direction=H","UseDPDF=Y")</f>
        <v>#NAME?</v>
      </c>
      <c r="AT182" s="2" t="e">
        <f ca="1">_xll.BDH($C$178,"INVENTORY_5_YEAR_GROWTH","FQ4 2014","FQ4 2014","Currency=INR","Period=FQ","BEST_FPERIOD_OVERRIDE=FQ","FILING_STATUS=OR","EQY_CONSOLIDATED=Y","Sort=A","Dates=H","DateFormat=P","Fill=—","Direction=H","UseDPDF=Y")</f>
        <v>#NAME?</v>
      </c>
      <c r="AU182" s="2" t="e">
        <f ca="1">_xll.BDH($C$178,"NET_FIXED_ASSETS_5_YEAR_GROWTH","FQ4 2014","FQ4 2014","Currency=INR","Period=FQ","BEST_FPERIOD_OVERRIDE=FQ","FILING_STATUS=OR","EQY_CONSOLIDATED=Y","Sort=A","Dates=H","DateFormat=P","Fill=—","Direction=H","UseDPDF=Y")</f>
        <v>#NAME?</v>
      </c>
      <c r="AV182" s="2" t="e">
        <f ca="1">_xll.BDH($C$178,"GEO_GROW_TOT_ASSET","FQ4 2014","FQ4 2014","Currency=INR","Period=FQ","BEST_FPERIOD_OVERRIDE=FQ","FILING_STATUS=OR","EQY_CONSOLIDATED=Y","Sort=A","Dates=H","DateFormat=P","Fill=—","Direction=H","UseDPDF=Y")</f>
        <v>#NAME?</v>
      </c>
      <c r="AW182" s="2" t="e">
        <f ca="1">_xll.BDH($C$178,"MODIFIED_WORKING_CPTL_5YR_GRWTH","FQ4 2014","FQ4 2014","Currency=INR","Period=FQ","BEST_FPERIOD_OVERRIDE=FQ","FILING_STATUS=OR","EQY_CONSOLIDATED=Y","Sort=A","Dates=H","DateFormat=P","Fill=—","Direction=H","UseDPDF=Y")</f>
        <v>#NAME?</v>
      </c>
      <c r="AX182" s="2" t="e">
        <f ca="1">_xll.BDH($C$178,"WORKING_CAPITAL_5_YEAR_GROWTH","FQ4 2014","FQ4 2014","Currency=INR","Period=FQ","BEST_FPERIOD_OVERRIDE=FQ","FILING_STATUS=OR","EQY_CONSOLIDATED=Y","Sort=A","Dates=H","DateFormat=P","Fill=—","Direction=H","UseDPDF=Y")</f>
        <v>#NAME?</v>
      </c>
      <c r="AY182" s="2" t="e">
        <f ca="1">_xll.BDH($C$178,"ACCOUNTS_PAYABLE_5_YEAR_GROWTH","FQ4 2014","FQ4 2014","Currency=INR","Period=FQ","BEST_FPERIOD_OVERRIDE=FQ","FILING_STATUS=OR","EQY_CONSOLIDATED=Y","Sort=A","Dates=H","DateFormat=P","Fill=—","Direction=H","UseDPDF=Y")</f>
        <v>#NAME?</v>
      </c>
      <c r="AZ182" s="2" t="e">
        <f ca="1">_xll.BDH($C$178,"SHORT_TERM_DEBT_5_YEAR_GROWTH","FQ4 2014","FQ4 2014","Currency=INR","Period=FQ","BEST_FPERIOD_OVERRIDE=FQ","FILING_STATUS=OR","EQY_CONSOLIDATED=Y","Sort=A","Dates=H","DateFormat=P","Fill=—","Direction=H","UseDPDF=Y")</f>
        <v>#NAME?</v>
      </c>
      <c r="BA182" s="2" t="e">
        <f ca="1">_xll.BDH($C$178,"TOTAL_DEBT_5_YEAR_GROWTH","FQ4 2014","FQ4 2014","Currency=INR","Period=FQ","BEST_FPERIOD_OVERRIDE=FQ","FILING_STATUS=OR","EQY_CONSOLIDATED=Y","Sort=A","Dates=H","DateFormat=P","Fill=—","Direction=H","UseDPDF=Y")</f>
        <v>#NAME?</v>
      </c>
      <c r="BB182" s="2" t="e">
        <f ca="1">_xll.BDH($C$178,"GEO_GROW_TOT_SHRHLDR_EQY","FQ4 2014","FQ4 2014","Currency=INR","Period=FQ","BEST_FPERIOD_OVERRIDE=FQ","FILING_STATUS=OR","EQY_CONSOLIDATED=Y","Sort=A","Dates=H","DateFormat=P","Fill=—","Direction=H","UseDPDF=Y")</f>
        <v>#NAME?</v>
      </c>
      <c r="BC182" s="2" t="e">
        <f ca="1">_xll.BDH($C$178,"TOTAL_CAPITAL_5_YEAR_GROWTH","FQ4 2014","FQ4 2014","Currency=INR","Period=FQ","BEST_FPERIOD_OVERRIDE=FQ","FILING_STATUS=OR","EQY_CONSOLIDATED=Y","Sort=A","Dates=H","DateFormat=P","Fill=—","Direction=H","UseDPDF=Y")</f>
        <v>#NAME?</v>
      </c>
      <c r="BD182" s="2" t="e">
        <f ca="1">_xll.BDH($C$178,"GEO_GROW_BOOK_VAL","FQ4 2014","FQ4 2014","Currency=INR","Period=FQ","BEST_FPERIOD_OVERRIDE=FQ","FILING_STATUS=OR","EQY_CONSOLIDATED=Y","Sort=A","Dates=H","DateFormat=P","Fill=—","Direction=H","UseDPDF=Y")</f>
        <v>#NAME?</v>
      </c>
      <c r="BE182" s="2" t="e">
        <f ca="1">_xll.BDH($C$178,"GEO_GROW_CASH_OPER_ACT","FQ4 2014","FQ4 2014","Currency=INR","Period=FQ","BEST_FPERIOD_OVERRIDE=FQ","FILING_STATUS=OR","EQY_CONSOLIDATED=Y","Sort=A","Dates=H","DateFormat=P","Fill=—","Direction=H","UseDPDF=Y")</f>
        <v>#NAME?</v>
      </c>
      <c r="BF182" s="2" t="e">
        <f ca="1">_xll.BDH($C$178,"REVENUE_SEQUENTIAL_GROWTH","FQ4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182" s="2" t="e">
        <f ca="1">_xll.BDH($C$178,"EBITDA_SEQUENTIAL_GROWTH","FQ4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182" s="2" t="e">
        <f ca="1">_xll.BDH($C$178,"OPERATING_INCOME_SEQ_GROWTH","FQ4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182" s="2" t="e">
        <f ca="1">_xll.BDH($C$178,"NET_INCOME_TO_COMMON_SEQ_GROWTH","FQ4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182" s="2" t="e">
        <f ca="1">_xll.BDH($C$178,"EPS_DILUTED_SEQUENTIAL_GROWTH","FQ4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182" s="2" t="e">
        <f ca="1">_xll.BDH($C$178,"DPS_SEQUENTIAL_GROWTH","FQ4 2014","FQ4 2014","Currency=INR","Period=FQ","BEST_FPERIOD_OVERRIDE=FQ","FILING_STATUS=OR","EQY_CONSOLIDATED=Y","Sort=A","Dates=H","DateFormat=P","Fill=—","Direction=H","UseDPDF=Y")</f>
        <v>#NAME?</v>
      </c>
      <c r="BL182" s="2" t="e">
        <f ca="1">_xll.BDH($C$178,"ACCOUNTS_RECEIVABLE_SEQ_GROWTH","FQ4 2014","FQ4 2014","Currency=INR","Period=FQ","BEST_FPERIOD_OVERRIDE=FQ","FILING_STATUS=OR","EQY_CONSOLIDATED=Y","Sort=A","Dates=H","DateFormat=P","Fill=—","Direction=H","UseDPDF=Y")</f>
        <v>#NAME?</v>
      </c>
      <c r="BM182" s="2" t="e">
        <f ca="1">_xll.BDH($C$178,"INVENTORY_SEQUENTIAL_GROWTH","FQ4 2014","FQ4 2014","Currency=INR","Period=FQ","BEST_FPERIOD_OVERRIDE=FQ","FILING_STATUS=OR","EQY_CONSOLIDATED=Y","Sort=A","Dates=H","DateFormat=P","Fill=—","Direction=H","UseDPDF=Y")</f>
        <v>#NAME?</v>
      </c>
      <c r="BN182" s="2" t="e">
        <f ca="1">_xll.BDH($C$178,"FIXED_ASSETS_SEQUENTIAL_GROWTH","FQ4 2014","FQ4 2014","Currency=INR","Period=FQ","BEST_FPERIOD_OVERRIDE=FQ","FILING_STATUS=OR","EQY_CONSOLIDATED=Y","Sort=A","Dates=H","DateFormat=P","Fill=—","Direction=H","UseDPDF=Y")</f>
        <v>#NAME?</v>
      </c>
      <c r="BO182" s="2" t="e">
        <f ca="1">_xll.BDH($C$178,"TOTAL_ASSETS_SEQUENTIAL_GROWTH","FQ4 2014","FQ4 2014","Currency=INR","Period=FQ","BEST_FPERIOD_OVERRIDE=FQ","FILING_STATUS=OR","EQY_CONSOLIDATED=Y","Sort=A","Dates=H","DateFormat=P","Fill=—","Direction=H","UseDPDF=Y")</f>
        <v>#NAME?</v>
      </c>
      <c r="BP182" s="2" t="e">
        <f ca="1">_xll.BDH($C$178,"MODIFIED_WORKING_CPTL_SEQ_GRWTH","FQ4 2014","FQ4 2014","Currency=INR","Period=FQ","BEST_FPERIOD_OVERRIDE=FQ","FILING_STATUS=OR","EQY_CONSOLIDATED=Y","Sort=A","Dates=H","DateFormat=P","Fill=—","Direction=H","UseDPDF=Y")</f>
        <v>#NAME?</v>
      </c>
      <c r="BQ182" s="2" t="e">
        <f ca="1">_xll.BDH($C$178,"WORKING_CAPITAL_SEQ_GROWTH","FQ4 2014","FQ4 2014","Currency=INR","Period=FQ","BEST_FPERIOD_OVERRIDE=FQ","FILING_STATUS=OR","EQY_CONSOLIDATED=Y","Sort=A","Dates=H","DateFormat=P","Fill=—","Direction=H","UseDPDF=Y")</f>
        <v>#NAME?</v>
      </c>
      <c r="BR182" s="2" t="e">
        <f ca="1">_xll.BDH($C$178,"ACCOUNTS_PAYABLE_SEQ_GROWTH","FQ4 2014","FQ4 2014","Currency=INR","Period=FQ","BEST_FPERIOD_OVERRIDE=FQ","FILING_STATUS=OR","EQY_CONSOLIDATED=Y","Sort=A","Dates=H","DateFormat=P","Fill=—","Direction=H","UseDPDF=Y")</f>
        <v>#NAME?</v>
      </c>
      <c r="BS182" s="2" t="e">
        <f ca="1">_xll.BDH($C$178,"ST_DEBT_SEQUENTIAL_GROWTH","FQ4 2014","FQ4 2014","Currency=INR","Period=FQ","BEST_FPERIOD_OVERRIDE=FQ","FILING_STATUS=OR","EQY_CONSOLIDATED=Y","Sort=A","Dates=H","DateFormat=P","Fill=—","Direction=H","UseDPDF=Y")</f>
        <v>#NAME?</v>
      </c>
      <c r="BT182" s="2" t="e">
        <f ca="1">_xll.BDH($C$178,"TOTAL_DEBT_SEQUENTIAL_GROWTH","FQ4 2014","FQ4 2014","Currency=INR","Period=FQ","BEST_FPERIOD_OVERRIDE=FQ","FILING_STATUS=OR","EQY_CONSOLIDATED=Y","Sort=A","Dates=H","DateFormat=P","Fill=—","Direction=H","UseDPDF=Y")</f>
        <v>#NAME?</v>
      </c>
      <c r="BU182" s="2" t="e">
        <f ca="1">_xll.BDH($C$178,"TOTAL_EQUITY_SEQUENTIAL_GROWTH","FQ4 2014","FQ4 2014","Currency=INR","Period=FQ","BEST_FPERIOD_OVERRIDE=FQ","FILING_STATUS=OR","EQY_CONSOLIDATED=Y","Sort=A","Dates=H","DateFormat=P","Fill=—","Direction=H","UseDPDF=Y")</f>
        <v>#NAME?</v>
      </c>
      <c r="BV182" s="2" t="e">
        <f ca="1">_xll.BDH($C$178,"TOTAL_CAPITAL_SEQUENTIAL_GROWTH","FQ4 2014","FQ4 2014","Currency=INR","Period=FQ","BEST_FPERIOD_OVERRIDE=FQ","FILING_STATUS=OR","EQY_CONSOLIDATED=Y","Sort=A","Dates=H","DateFormat=P","Fill=—","Direction=H","UseDPDF=Y")</f>
        <v>#NAME?</v>
      </c>
      <c r="BW182" s="2" t="e">
        <f ca="1">_xll.BDH($C$178,"BPS_SEQUENTIAL_GROWTH","FQ4 2014","FQ4 2014","Currency=INR","Period=FQ","BEST_FPERIOD_OVERRIDE=FQ","FILING_STATUS=OR","EQY_CONSOLIDATED=Y","Sort=A","Dates=H","DateFormat=P","Fill=—","Direction=H","UseDPDF=Y")</f>
        <v>#NAME?</v>
      </c>
      <c r="BX182" s="2" t="e">
        <f ca="1">_xll.BDH($C$178,"CFO_SEQUENTIAL_GROWTH","FQ4 2014","FQ4 2014","Currency=INR","Period=FQ","BEST_FPERIOD_OVERRIDE=FQ","FILING_STATUS=OR","EQY_CONSOLIDATED=Y","Sort=A","Dates=H","DateFormat=P","Fill=—","Direction=H","UseDPDF=Y")</f>
        <v>#NAME?</v>
      </c>
      <c r="BY182" s="3" t="e">
        <f ca="1">_xll.BDH($C$178,"SHORT_AND_LONG_TERM_DEBT","FQ4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182" s="3" t="e">
        <f ca="1">_xll.BDH($C$178,"BS_ST_BORROW","FQ4 2014","FQ4 2014","Currency=INR","Period=FQ","BEST_FPERIOD_OVERRIDE=FQ","FILING_STATUS=OR","EQY_CONSOLIDATED=Y","SCALING_FORMAT=MLN","Sort=A","Dates=H","DateFormat=P","Fill=—","Direction=H","UseDPDF=Y")</f>
        <v>#NAME?</v>
      </c>
      <c r="CA182" s="3" t="e">
        <f ca="1">_xll.BDH($C$178,"BS_LT_BORROW","FQ4 2014","FQ4 2014","Currency=INR","Period=FQ","BEST_FPERIOD_OVERRIDE=FQ","FILING_STATUS=OR","EQY_CONSOLIDATED=Y","SCALING_FORMAT=MLN","Sort=A","Dates=H","DateFormat=P","Fill=—","Direction=H","UseDPDF=Y")</f>
        <v>#NAME?</v>
      </c>
      <c r="CB182" s="2" t="e">
        <f ca="1">_xll.BDH($C$178,"TOT_DEBT_TO_EBITDA","FQ4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182" s="2" t="e">
        <f ca="1">_xll.BDH($C$178,"NET_DEBT_TO_EBITDA","FQ4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182" s="2" t="e">
        <f ca="1">_xll.BDH($C$178,"TOTAL_DEBT_TO_EBIT","FQ4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182" s="2" t="e">
        <f ca="1">_xll.BDH($C$178,"NET_DEBT_TO_EBIT","FQ4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182" s="2" t="e">
        <f ca="1">_xll.BDH($C$178,"EBITDA_TO_INTEREST_EXPN","FQ4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182" s="2" t="e">
        <f ca="1">_xll.BDH($C$178,"COM_EQY_TO_TOT_ASSET","FQ4 2014","FQ4 2014","Currency=INR","Period=FQ","BEST_FPERIOD_OVERRIDE=FQ","FILING_STATUS=OR","EQY_CONSOLIDATED=Y","Sort=A","Dates=H","DateFormat=P","Fill=—","Direction=H","UseDPDF=Y")</f>
        <v>#NAME?</v>
      </c>
      <c r="CH182" s="2" t="e">
        <f ca="1">_xll.BDH($C$178,"LT_DEBT_TO_TOT_EQY","FQ4 2014","FQ4 2014","Currency=INR","Period=FQ","BEST_FPERIOD_OVERRIDE=FQ","FILING_STATUS=OR","EQY_CONSOLIDATED=Y","Sort=A","Dates=H","DateFormat=P","Fill=—","Direction=H","UseDPDF=Y")</f>
        <v>#NAME?</v>
      </c>
      <c r="CI182" s="2" t="e">
        <f ca="1">_xll.BDH($C$178,"LT_DEBT_TO_TOT_CAP","FQ4 2014","FQ4 2014","Currency=INR","Period=FQ","BEST_FPERIOD_OVERRIDE=FQ","FILING_STATUS=OR","EQY_CONSOLIDATED=Y","Sort=A","Dates=H","DateFormat=P","Fill=—","Direction=H","UseDPDF=Y")</f>
        <v>#NAME?</v>
      </c>
      <c r="CJ182" s="2" t="e">
        <f ca="1">_xll.BDH($C$178,"LT_DEBT_TO_TOT_ASSET","FQ4 2014","FQ4 2014","Currency=INR","Period=FQ","BEST_FPERIOD_OVERRIDE=FQ","FILING_STATUS=OR","EQY_CONSOLIDATED=Y","Sort=A","Dates=H","DateFormat=P","Fill=—","Direction=H","UseDPDF=Y")</f>
        <v>#NAME?</v>
      </c>
      <c r="CK182" s="2" t="e">
        <f ca="1">_xll.BDH($C$178,"TOT_DEBT_TO_TOT_EQY","FQ4 2014","FQ4 2014","Currency=INR","Period=FQ","BEST_FPERIOD_OVERRIDE=FQ","FILING_STATUS=OR","EQY_CONSOLIDATED=Y","Sort=A","Dates=H","DateFormat=P","Fill=—","Direction=H","UseDPDF=Y")</f>
        <v>#NAME?</v>
      </c>
      <c r="CL182" s="2" t="e">
        <f ca="1">_xll.BDH($C$178,"TOT_DEBT_TO_TOT_CAP","FQ4 2014","FQ4 2014","Currency=INR","Period=FQ","BEST_FPERIOD_OVERRIDE=FQ","FILING_STATUS=OR","EQY_CONSOLIDATED=Y","Sort=A","Dates=H","DateFormat=P","Fill=—","Direction=H","UseDPDF=Y")</f>
        <v>#NAME?</v>
      </c>
      <c r="CM182" s="2" t="e">
        <f ca="1">_xll.BDH($C$178,"TOT_DEBT_TO_TOT_ASSET","FQ4 2014","FQ4 2014","Currency=INR","Period=FQ","BEST_FPERIOD_OVERRIDE=FQ","FILING_STATUS=OR","EQY_CONSOLIDATED=Y","Sort=A","Dates=H","DateFormat=P","Fill=—","Direction=H","UseDPDF=Y")</f>
        <v>#NAME?</v>
      </c>
      <c r="CN182" s="2" t="e">
        <f ca="1">_xll.BDH($C$178,"NET_DEBT_TO_SHRHLDR_EQTY","FQ4 2014","FQ4 2014","Currency=INR","Period=FQ","BEST_FPERIOD_OVERRIDE=FQ","FILING_STATUS=OR","EQY_CONSOLIDATED=Y","Sort=A","Dates=H","DateFormat=P","Fill=—","Direction=H","UseDPDF=Y")</f>
        <v>#NAME?</v>
      </c>
      <c r="CO182" s="2" t="e">
        <f ca="1">_xll.BDH($C$178,"NET_DEBT_%_CAPITAL","FQ4 2014","FQ4 2014","Currency=INR","Period=FQ","BEST_FPERIOD_OVERRIDE=FQ","FILING_STATUS=OR","EQY_CONSOLIDATED=Y","Sort=A","Dates=H","DateFormat=P","Fill=—","Direction=H","UseDPDF=Y")</f>
        <v>#NAME?</v>
      </c>
      <c r="CP182" s="3" t="e">
        <f ca="1">_xll.BDH($C$178,"EBITDA","FQ4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182" s="3" t="e">
        <f ca="1">_xll.BDH($C$178,"EBITDA_AFTER_CAPEX","FQ4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182" s="3" t="e">
        <f ca="1">_xll.BDH($C$178,"IS_OPER_INC","FQ4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182" s="2" t="e">
        <f ca="1">_xll.BDH($C$178,"CASH_RATIO","FQ4 2014","FQ4 2014","Currency=INR","Period=FQ","BEST_FPERIOD_OVERRIDE=FQ","FILING_STATUS=OR","EQY_CONSOLIDATED=Y","Sort=A","Dates=H","DateFormat=P","Fill=—","Direction=H","UseDPDF=Y")</f>
        <v>#NAME?</v>
      </c>
      <c r="CT182" s="2" t="e">
        <f ca="1">_xll.BDH($C$178,"CUR_RATIO","FQ4 2014","FQ4 2014","Currency=INR","Period=FQ","BEST_FPERIOD_OVERRIDE=FQ","FILING_STATUS=OR","EQY_CONSOLIDATED=Y","Sort=A","Dates=H","DateFormat=P","Fill=—","Direction=H","UseDPDF=Y")</f>
        <v>#NAME?</v>
      </c>
      <c r="CU182" s="2" t="e">
        <f ca="1">_xll.BDH($C$178,"QUICK_RATIO","FQ4 2014","FQ4 2014","Currency=INR","Period=FQ","BEST_FPERIOD_OVERRIDE=FQ","FILING_STATUS=OR","EQY_CONSOLIDATED=Y","Sort=A","Dates=H","DateFormat=P","Fill=—","Direction=H","UseDPDF=Y")</f>
        <v>#NAME?</v>
      </c>
      <c r="CV182" s="2" t="e">
        <f ca="1">_xll.BDH($C$178,"ALTMAN_Z_SCORE","FQ4 2014","FQ4 2014","Currency=INR","Period=FQ","BEST_FPERIOD_OVERRIDE=FQ","FILING_STATUS=OR","EQY_CONSOLIDATED=Y","Sort=A","Dates=H","DateFormat=P","Fill=—","Direction=H","UseDPDF=Y")</f>
        <v>#NAME?</v>
      </c>
      <c r="CW182" s="4" t="e">
        <f ca="1">_xll.BDH($C$178,"ACCT_RCV_TURN","FQ4 2014","FQ4 2014","Currency=INR","Period=FQ","BEST_FPERIOD_OVERRIDE=FQ","FILING_STATUS=OR","EQY_CONSOLIDATED=Y","FA_ADJUSTED=GAAP","Sort=A","Dates=H","DateFormat=P","Fill=—","Direction=H","UseDPDF=Y")</f>
        <v>#NAME?</v>
      </c>
      <c r="CX182" s="2" t="e">
        <f ca="1">_xll.BDH($C$178,"ACCT_RCV_DAYS","FQ4 2014","FQ4 2014","Currency=INR","Period=FQ","BEST_FPERIOD_OVERRIDE=FQ","FILING_STATUS=OR","EQY_CONSOLIDATED=Y","FA_ADJUSTED=GAAP","Sort=A","Dates=H","DateFormat=P","Fill=—","Direction=H","UseDPDF=Y")</f>
        <v>#NAME?</v>
      </c>
      <c r="CY182" s="4" t="e">
        <f ca="1">_xll.BDH($C$178,"INVENT_TURN","FQ4 2014","FQ4 2014","Currency=INR","Period=FQ","BEST_FPERIOD_OVERRIDE=FQ","FILING_STATUS=OR","EQY_CONSOLIDATED=Y","FA_ADJUSTED=GAAP","Sort=A","Dates=H","DateFormat=P","Fill=—","Direction=H","UseDPDF=Y")</f>
        <v>#NAME?</v>
      </c>
      <c r="CZ182" s="2" t="e">
        <f ca="1">_xll.BDH($C$178,"INVENT_DAYS","FQ4 2014","FQ4 2014","Currency=INR","Period=FQ","BEST_FPERIOD_OVERRIDE=FQ","FILING_STATUS=OR","EQY_CONSOLIDATED=Y","FA_ADJUSTED=GAAP","Sort=A","Dates=H","DateFormat=P","Fill=—","Direction=H","UseDPDF=Y")</f>
        <v>#NAME?</v>
      </c>
      <c r="DA182" s="4" t="e">
        <f ca="1">_xll.BDH($C$178,"ACCOUNTS_PAYABLE_TURNOVER","FQ4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182" s="2" t="e">
        <f ca="1">_xll.BDH($C$178,"ACCOUNTS_PAYABLE_TURNOVER_DAYS","FQ4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182" s="4" t="e">
        <f ca="1">_xll.BDH($C$178,"CASH_CONVERSION_CYCLE","FQ4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182" s="4" t="e">
        <f ca="1">_xll.BDH($C$178,"INV_TO_CASH_DAYS","FQ4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182" s="5" t="e">
        <f ca="1">_xll.BDH($C$178,"BS_INVENTORIES","FQ4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182" s="3" t="e">
        <f ca="1">_xll.BDH($C$178,"INVTRY_RAW_MATERIALS","FQ4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182" s="3" t="e">
        <f ca="1">_xll.BDH($C$178,"INVTRY_IN_PROGRESS","FQ4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182" s="3" t="e">
        <f ca="1">_xll.BDH($C$178,"INVTRY_FINISHED_GOODS","FQ4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182" s="3" t="e">
        <f ca="1">_xll.BDH($C$178,"BS_OTHER_INV","FQ4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183" spans="1:113" x14ac:dyDescent="0.3">
      <c r="A183" s="6"/>
      <c r="B183" s="6"/>
      <c r="C183" s="6"/>
      <c r="D183" s="6" t="s">
        <v>82</v>
      </c>
      <c r="E183" t="s">
        <v>77</v>
      </c>
      <c r="F183" t="e">
        <f ca="1">_xll.BDH($C$178,"RETURN_COM_EQY","FY 2015","FY 2015","Currency=INR","Period=FY","BEST_FPERIOD_OVERRIDE=FY","FILING_STATUS=OR","EQY_CONSOLIDATED=Y","FA_ADJUSTED=GAAP","Sort=A","Dates=H","DateFormat=P","Fill=—","Direction=H","UseDPDF=Y")</f>
        <v>#NAME?</v>
      </c>
      <c r="G183" t="e">
        <f ca="1">_xll.BDH($C$178,"RETURN_ON_ASSET","FY 2015","FY 2015","Currency=INR","Period=FY","BEST_FPERIOD_OVERRIDE=FY","FILING_STATUS=OR","EQY_CONSOLIDATED=Y","FA_ADJUSTED=GAAP","Sort=A","Dates=H","DateFormat=P","Fill=—","Direction=H","UseDPDF=Y")</f>
        <v>#NAME?</v>
      </c>
      <c r="H183" t="e">
        <f ca="1">_xll.BDH($C$178,"RETURN_ON_CAP","FY 2015","FY 2015","Currency=INR","Period=FY","BEST_FPERIOD_OVERRIDE=FY","FILING_STATUS=OR","EQY_CONSOLIDATED=Y","FA_ADJUSTED=GAAP","Sort=A","Dates=H","DateFormat=P","Fill=—","Direction=H","UseDPDF=Y")</f>
        <v>#NAME?</v>
      </c>
      <c r="I183" t="e">
        <f ca="1">_xll.BDH($C$178,"RETURN_ON_INV_CAPITAL","FY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183" t="e">
        <f ca="1">_xll.BDH($C$178,"EBITDA_TO_REVENUE","FY 2015","FY 2015","Currency=INR","Period=FY","BEST_FPERIOD_OVERRIDE=FY","FILING_STATUS=OR","EQY_CONSOLIDATED=Y","FA_ADJUSTED=GAAP","Sort=A","Dates=H","DateFormat=P","Fill=—","Direction=H","UseDPDF=Y")</f>
        <v>#NAME?</v>
      </c>
      <c r="K183" t="e">
        <f ca="1">_xll.BDH($C$178,"OPER_MARGIN","FY 2015","FY 2015","Currency=INR","Period=FY","BEST_FPERIOD_OVERRIDE=FY","FILING_STATUS=OR","EQY_CONSOLIDATED=Y","FA_ADJUSTED=GAAP","Sort=A","Dates=H","DateFormat=P","Fill=—","Direction=H","UseDPDF=Y")</f>
        <v>#NAME?</v>
      </c>
      <c r="L183" t="e">
        <f ca="1">_xll.BDH($C$178,"INCREMENTAL_OPERATING_MARGIN","FY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183" t="e">
        <f ca="1">_xll.BDH($C$178,"PRETAX_INC_TO_NET_SALES","FY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183" t="e">
        <f ca="1">_xll.BDH($C$178,"INC_BEF_XO_ITEMS_TO_NET_SALES","FY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183" t="e">
        <f ca="1">_xll.BDH($C$178,"PROF_MARGIN","FY 2015","FY 2015","Currency=INR","Period=FY","BEST_FPERIOD_OVERRIDE=FY","FILING_STATUS=OR","EQY_CONSOLIDATED=Y","FA_ADJUSTED=GAAP","Sort=A","Dates=H","DateFormat=P","Fill=—","Direction=H","UseDPDF=Y")</f>
        <v>#NAME?</v>
      </c>
      <c r="P183" t="e">
        <f ca="1">_xll.BDH($C$178,"NET_INCOME_TO_COMMON_MARGIN","FY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183" t="e">
        <f ca="1">_xll.BDH($C$178,"EFF_TAX_RATE","FY 2015","FY 2015","Currency=INR","Period=FY","BEST_FPERIOD_OVERRIDE=FY","FILING_STATUS=OR","EQY_CONSOLIDATED=Y","FA_ADJUSTED=GAAP","Sort=A","Dates=H","DateFormat=P","Fill=—","Direction=H","UseDPDF=Y")</f>
        <v>#NAME?</v>
      </c>
      <c r="R183" t="e">
        <f ca="1">_xll.BDH($C$178,"DVD_PAYOUT_RATIO","FY 2015","FY 2015","Currency=INR","Period=FY","BEST_FPERIOD_OVERRIDE=FY","FILING_STATUS=OR","EQY_CONSOLIDATED=Y","FA_ADJUSTED=GAAP","Sort=A","Dates=H","DateFormat=P","Fill=—","Direction=H","UseDPDF=Y")</f>
        <v>#NAME?</v>
      </c>
      <c r="S183" t="e">
        <f ca="1">_xll.BDH($C$178,"SUSTAIN_GROWTH_RT","FY 2015","FY 2015","Currency=INR","Period=FY","BEST_FPERIOD_OVERRIDE=FY","FILING_STATUS=OR","EQY_CONSOLIDATED=Y","FA_ADJUSTED=GAAP","Sort=A","Dates=H","DateFormat=P","Fill=—","Direction=H","UseDPDF=Y")</f>
        <v>#NAME?</v>
      </c>
      <c r="T183" s="2" t="e">
        <f ca="1">_xll.BDH($C$178,"SALES_GROWTH","FY 2015","FY 2015","Currency=INR","Period=FY","BEST_FPERIOD_OVERRIDE=FY","FILING_STATUS=OR","EQY_CONSOLIDATED=Y","FA_ADJUSTED=GAAP","Sort=A","Dates=H","DateFormat=P","Fill=—","Direction=H","UseDPDF=Y")</f>
        <v>#NAME?</v>
      </c>
      <c r="U183" s="2" t="e">
        <f ca="1">_xll.BDH($C$178,"EBITDA_GROWTH","FY 2015","FY 2015","Currency=INR","Period=FY","BEST_FPERIOD_OVERRIDE=FY","FILING_STATUS=OR","EQY_CONSOLIDATED=Y","FA_ADJUSTED=GAAP","Sort=A","Dates=H","DateFormat=P","Fill=—","Direction=H","UseDPDF=Y")</f>
        <v>#NAME?</v>
      </c>
      <c r="V183" s="2" t="e">
        <f ca="1">_xll.BDH($C$178,"OPER_INC_GROWTH","FY 2015","FY 2015","Currency=INR","Period=FY","BEST_FPERIOD_OVERRIDE=FY","FILING_STATUS=OR","EQY_CONSOLIDATED=Y","FA_ADJUSTED=GAAP","Sort=A","Dates=H","DateFormat=P","Fill=—","Direction=H","UseDPDF=Y")</f>
        <v>#NAME?</v>
      </c>
      <c r="W183" s="2" t="e">
        <f ca="1">_xll.BDH($C$178,"EARN_FOR_COM_GROWTH","FY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183" s="2" t="e">
        <f ca="1">_xll.BDH($C$178,"DILUTED_EPS_AFT_XO_ITEMS_GROWTH","FY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183" s="2" t="e">
        <f ca="1">_xll.BDH($C$178,"DIVIDEND_PER_SHARE_1_YEAR_GROWTH","FY 2015","FY 2015","Currency=INR","Period=FY","BEST_FPERIOD_OVERRIDE=FY","FILING_STATUS=OR","EQY_CONSOLIDATED=Y","Sort=A","Dates=H","DateFormat=P","Fill=—","Direction=H","UseDPDF=Y")</f>
        <v>#NAME?</v>
      </c>
      <c r="Z183" s="2" t="e">
        <f ca="1">_xll.BDH($C$178,"ACCOUNTS_RECEIVABLE_GROWTH","FY 2015","FY 2015","Currency=INR","Period=FY","BEST_FPERIOD_OVERRIDE=FY","FILING_STATUS=OR","EQY_CONSOLIDATED=Y","Sort=A","Dates=H","DateFormat=P","Fill=—","Direction=H","UseDPDF=Y")</f>
        <v>#NAME?</v>
      </c>
      <c r="AA183" s="2" t="e">
        <f ca="1">_xll.BDH($C$178,"INVENTORY_GROWTH","FY 2015","FY 2015","Currency=INR","Period=FY","BEST_FPERIOD_OVERRIDE=FY","FILING_STATUS=OR","EQY_CONSOLIDATED=Y","Sort=A","Dates=H","DateFormat=P","Fill=—","Direction=H","UseDPDF=Y")</f>
        <v>#NAME?</v>
      </c>
      <c r="AB183" s="2" t="e">
        <f ca="1">_xll.BDH($C$178,"NET_FIXED_ASSETS_1_YEAR_GROWTH","FY 2015","FY 2015","Currency=INR","Period=FY","BEST_FPERIOD_OVERRIDE=FY","FILING_STATUS=OR","EQY_CONSOLIDATED=Y","Sort=A","Dates=H","DateFormat=P","Fill=—","Direction=H","UseDPDF=Y")</f>
        <v>#NAME?</v>
      </c>
      <c r="AC183" s="2" t="e">
        <f ca="1">_xll.BDH($C$178,"ASSET_GROWTH","FY 2015","FY 2015","Currency=INR","Period=FY","BEST_FPERIOD_OVERRIDE=FY","FILING_STATUS=OR","EQY_CONSOLIDATED=Y","Sort=A","Dates=H","DateFormat=P","Fill=—","Direction=H","UseDPDF=Y")</f>
        <v>#NAME?</v>
      </c>
      <c r="AD183" s="2" t="e">
        <f ca="1">_xll.BDH($C$178,"MODIFIED_WORK_CAP_GROWTH","FY 2015","FY 2015","Currency=INR","Period=FY","BEST_FPERIOD_OVERRIDE=FY","FILING_STATUS=OR","EQY_CONSOLIDATED=Y","Sort=A","Dates=H","DateFormat=P","Fill=—","Direction=H","UseDPDF=Y")</f>
        <v>#NAME?</v>
      </c>
      <c r="AE183" s="2" t="e">
        <f ca="1">_xll.BDH($C$178,"WORK_CAP_GROWTH","FY 2015","FY 2015","Currency=INR","Period=FY","BEST_FPERIOD_OVERRIDE=FY","FILING_STATUS=OR","EQY_CONSOLIDATED=Y","Sort=A","Dates=H","DateFormat=P","Fill=—","Direction=H","UseDPDF=Y")</f>
        <v>#NAME?</v>
      </c>
      <c r="AF183" s="2" t="e">
        <f ca="1">_xll.BDH($C$178,"ACCOUNTS_PAYABLE_GROWTH_1YR","FY 2015","FY 2015","Currency=INR","Period=FY","BEST_FPERIOD_OVERRIDE=FY","FILING_STATUS=OR","EQY_CONSOLIDATED=Y","Sort=A","Dates=H","DateFormat=P","Fill=—","Direction=H","UseDPDF=Y")</f>
        <v>#NAME?</v>
      </c>
      <c r="AG183" s="2" t="e">
        <f ca="1">_xll.BDH($C$178,"SHORT_TERM_DEBT_1_YEAR_GROWTH","FY 2015","FY 2015","Currency=INR","Period=FY","BEST_FPERIOD_OVERRIDE=FY","FILING_STATUS=OR","EQY_CONSOLIDATED=Y","Sort=A","Dates=H","DateFormat=P","Fill=—","Direction=H","UseDPDF=Y")</f>
        <v>#NAME?</v>
      </c>
      <c r="AH183" s="2" t="e">
        <f ca="1">_xll.BDH($C$178,"TOTAL_DEBT_1_YEAR_GROWTH","FY 2015","FY 2015","Currency=INR","Period=FY","BEST_FPERIOD_OVERRIDE=FY","FILING_STATUS=OR","EQY_CONSOLIDATED=Y","Sort=A","Dates=H","DateFormat=P","Fill=—","Direction=H","UseDPDF=Y")</f>
        <v>#NAME?</v>
      </c>
      <c r="AI183" s="2" t="e">
        <f ca="1">_xll.BDH($C$178,"TOTAL_EQUITY_1_YEAR_GROWTH","FY 2015","FY 2015","Currency=INR","Period=FY","BEST_FPERIOD_OVERRIDE=FY","FILING_STATUS=OR","EQY_CONSOLIDATED=Y","Sort=A","Dates=H","DateFormat=P","Fill=—","Direction=H","UseDPDF=Y")</f>
        <v>#NAME?</v>
      </c>
      <c r="AJ183" s="2" t="e">
        <f ca="1">_xll.BDH($C$178,"GROWTH_IN_CAP","FY 2015","FY 2015","Currency=INR","Period=FY","BEST_FPERIOD_OVERRIDE=FY","FILING_STATUS=OR","EQY_CONSOLIDATED=Y","Sort=A","Dates=H","DateFormat=P","Fill=—","Direction=H","UseDPDF=Y")</f>
        <v>#NAME?</v>
      </c>
      <c r="AK183" s="2" t="e">
        <f ca="1">_xll.BDH($C$178,"BVPS_GROWTH","FY 2015","FY 2015","Currency=INR","Period=FY","BEST_FPERIOD_OVERRIDE=FY","FILING_STATUS=OR","EQY_CONSOLIDATED=Y","Sort=A","Dates=H","DateFormat=P","Fill=—","Direction=H","UseDPDF=Y")</f>
        <v>#NAME?</v>
      </c>
      <c r="AL183" s="2" t="e">
        <f ca="1">_xll.BDH($C$178,"CASH_FLOW_GROWTH","FY 2015","FY 2015","Currency=INR","Period=FY","BEST_FPERIOD_OVERRIDE=FY","FILING_STATUS=OR","EQY_CONSOLIDATED=Y","Sort=A","Dates=H","DateFormat=P","Fill=—","Direction=H","UseDPDF=Y")</f>
        <v>#NAME?</v>
      </c>
      <c r="AM183" s="2" t="e">
        <f ca="1">_xll.BDH($C$178,"GEO_GROW_NET_SALES","FY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183" s="2" t="e">
        <f ca="1">_xll.BDH($C$178,"GEO_GROW_EBITDA","FY 2015","FY 2015","Currency=INR","Period=FY","BEST_FPERIOD_OVERRIDE=FY","FILING_STATUS=OR","EQY_CONSOLIDATED=Y","FA_ADJUSTED=GAAP","Sort=A","Dates=H","DateFormat=P","Fill=—","Direction=H","UseDPDF=Y")</f>
        <v>#NAME?</v>
      </c>
      <c r="AO183" s="2" t="e">
        <f ca="1">_xll.BDH($C$178,"GEO_GROW_OPER_INC","FY 2015","FY 2015","Currency=INR","Period=FY","BEST_FPERIOD_OVERRIDE=FY","FILING_STATUS=OR","EQY_CONSOLIDATED=Y","FA_ADJUSTED=GAAP","Sort=A","Dates=H","DateFormat=P","Fill=—","Direction=H","UseDPDF=Y")</f>
        <v>#NAME?</v>
      </c>
      <c r="AP183" s="2" t="e">
        <f ca="1">_xll.BDH($C$178,"NET_INCOME_TO_COMMON_5_YR_GROWTH","FY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183" s="2" t="e">
        <f ca="1">_xll.BDH($C$178,"5Y_GEO_GROWTH_DILUTED_EPS","FY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183" s="2" t="e">
        <f ca="1">_xll.BDH($C$178,"GEO_GROW_DVD_PER_SH","FY 2015","FY 2015","Currency=INR","Period=FY","BEST_FPERIOD_OVERRIDE=FY","FILING_STATUS=OR","EQY_CONSOLIDATED=Y","Sort=A","Dates=H","DateFormat=P","Fill=—","Direction=H","UseDPDF=Y")</f>
        <v>#NAME?</v>
      </c>
      <c r="AS183" s="2" t="e">
        <f ca="1">_xll.BDH($C$178,"ACCOUNTS_RECEIVABLE_5_YR_GROWTH","FY 2015","FY 2015","Currency=INR","Period=FY","BEST_FPERIOD_OVERRIDE=FY","FILING_STATUS=OR","EQY_CONSOLIDATED=Y","Sort=A","Dates=H","DateFormat=P","Fill=—","Direction=H","UseDPDF=Y")</f>
        <v>#NAME?</v>
      </c>
      <c r="AT183" s="2" t="e">
        <f ca="1">_xll.BDH($C$178,"INVENTORY_5_YEAR_GROWTH","FY 2015","FY 2015","Currency=INR","Period=FY","BEST_FPERIOD_OVERRIDE=FY","FILING_STATUS=OR","EQY_CONSOLIDATED=Y","Sort=A","Dates=H","DateFormat=P","Fill=—","Direction=H","UseDPDF=Y")</f>
        <v>#NAME?</v>
      </c>
      <c r="AU183" s="2" t="e">
        <f ca="1">_xll.BDH($C$178,"NET_FIXED_ASSETS_5_YEAR_GROWTH","FY 2015","FY 2015","Currency=INR","Period=FY","BEST_FPERIOD_OVERRIDE=FY","FILING_STATUS=OR","EQY_CONSOLIDATED=Y","Sort=A","Dates=H","DateFormat=P","Fill=—","Direction=H","UseDPDF=Y")</f>
        <v>#NAME?</v>
      </c>
      <c r="AV183" s="2" t="e">
        <f ca="1">_xll.BDH($C$178,"GEO_GROW_TOT_ASSET","FY 2015","FY 2015","Currency=INR","Period=FY","BEST_FPERIOD_OVERRIDE=FY","FILING_STATUS=OR","EQY_CONSOLIDATED=Y","Sort=A","Dates=H","DateFormat=P","Fill=—","Direction=H","UseDPDF=Y")</f>
        <v>#NAME?</v>
      </c>
      <c r="AW183" s="2" t="e">
        <f ca="1">_xll.BDH($C$178,"MODIFIED_WORKING_CPTL_5YR_GRWTH","FY 2015","FY 2015","Currency=INR","Period=FY","BEST_FPERIOD_OVERRIDE=FY","FILING_STATUS=OR","EQY_CONSOLIDATED=Y","Sort=A","Dates=H","DateFormat=P","Fill=—","Direction=H","UseDPDF=Y")</f>
        <v>#NAME?</v>
      </c>
      <c r="AX183" s="2" t="e">
        <f ca="1">_xll.BDH($C$178,"WORKING_CAPITAL_5_YEAR_GROWTH","FY 2015","FY 2015","Currency=INR","Period=FY","BEST_FPERIOD_OVERRIDE=FY","FILING_STATUS=OR","EQY_CONSOLIDATED=Y","Sort=A","Dates=H","DateFormat=P","Fill=—","Direction=H","UseDPDF=Y")</f>
        <v>#NAME?</v>
      </c>
      <c r="AY183" s="2" t="e">
        <f ca="1">_xll.BDH($C$178,"ACCOUNTS_PAYABLE_5_YEAR_GROWTH","FY 2015","FY 2015","Currency=INR","Period=FY","BEST_FPERIOD_OVERRIDE=FY","FILING_STATUS=OR","EQY_CONSOLIDATED=Y","Sort=A","Dates=H","DateFormat=P","Fill=—","Direction=H","UseDPDF=Y")</f>
        <v>#NAME?</v>
      </c>
      <c r="AZ183" s="2" t="e">
        <f ca="1">_xll.BDH($C$178,"SHORT_TERM_DEBT_5_YEAR_GROWTH","FY 2015","FY 2015","Currency=INR","Period=FY","BEST_FPERIOD_OVERRIDE=FY","FILING_STATUS=OR","EQY_CONSOLIDATED=Y","Sort=A","Dates=H","DateFormat=P","Fill=—","Direction=H","UseDPDF=Y")</f>
        <v>#NAME?</v>
      </c>
      <c r="BA183" s="2" t="e">
        <f ca="1">_xll.BDH($C$178,"TOTAL_DEBT_5_YEAR_GROWTH","FY 2015","FY 2015","Currency=INR","Period=FY","BEST_FPERIOD_OVERRIDE=FY","FILING_STATUS=OR","EQY_CONSOLIDATED=Y","Sort=A","Dates=H","DateFormat=P","Fill=—","Direction=H","UseDPDF=Y")</f>
        <v>#NAME?</v>
      </c>
      <c r="BB183" s="2" t="e">
        <f ca="1">_xll.BDH($C$178,"GEO_GROW_TOT_SHRHLDR_EQY","FY 2015","FY 2015","Currency=INR","Period=FY","BEST_FPERIOD_OVERRIDE=FY","FILING_STATUS=OR","EQY_CONSOLIDATED=Y","Sort=A","Dates=H","DateFormat=P","Fill=—","Direction=H","UseDPDF=Y")</f>
        <v>#NAME?</v>
      </c>
      <c r="BC183" s="2" t="e">
        <f ca="1">_xll.BDH($C$178,"TOTAL_CAPITAL_5_YEAR_GROWTH","FY 2015","FY 2015","Currency=INR","Period=FY","BEST_FPERIOD_OVERRIDE=FY","FILING_STATUS=OR","EQY_CONSOLIDATED=Y","Sort=A","Dates=H","DateFormat=P","Fill=—","Direction=H","UseDPDF=Y")</f>
        <v>#NAME?</v>
      </c>
      <c r="BD183" s="2" t="e">
        <f ca="1">_xll.BDH($C$178,"GEO_GROW_BOOK_VAL","FY 2015","FY 2015","Currency=INR","Period=FY","BEST_FPERIOD_OVERRIDE=FY","FILING_STATUS=OR","EQY_CONSOLIDATED=Y","Sort=A","Dates=H","DateFormat=P","Fill=—","Direction=H","UseDPDF=Y")</f>
        <v>#NAME?</v>
      </c>
      <c r="BE183" s="2" t="e">
        <f ca="1">_xll.BDH($C$178,"GEO_GROW_CASH_OPER_ACT","FY 2015","FY 2015","Currency=INR","Period=FY","BEST_FPERIOD_OVERRIDE=FY","FILING_STATUS=OR","EQY_CONSOLIDATED=Y","Sort=A","Dates=H","DateFormat=P","Fill=—","Direction=H","UseDPDF=Y")</f>
        <v>#NAME?</v>
      </c>
      <c r="BF183" s="2" t="e">
        <f ca="1">_xll.BDH($C$178,"REVENUE_SEQUENTIAL_GROWTH","FY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183" s="2" t="e">
        <f ca="1">_xll.BDH($C$178,"EBITDA_SEQUENTIAL_GROWTH","FY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183" s="2" t="e">
        <f ca="1">_xll.BDH($C$178,"OPERATING_INCOME_SEQ_GROWTH","FY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183" s="2" t="e">
        <f ca="1">_xll.BDH($C$178,"NET_INCOME_TO_COMMON_SEQ_GROWTH","FY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183" s="2" t="e">
        <f ca="1">_xll.BDH($C$178,"EPS_DILUTED_SEQUENTIAL_GROWTH","FY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183" s="2" t="e">
        <f ca="1">_xll.BDH($C$178,"DPS_SEQUENTIAL_GROWTH","FY 2015","FY 2015","Currency=INR","Period=FY","BEST_FPERIOD_OVERRIDE=FY","FILING_STATUS=OR","EQY_CONSOLIDATED=Y","Sort=A","Dates=H","DateFormat=P","Fill=—","Direction=H","UseDPDF=Y")</f>
        <v>#NAME?</v>
      </c>
      <c r="BL183" s="2" t="e">
        <f ca="1">_xll.BDH($C$178,"ACCOUNTS_RECEIVABLE_SEQ_GROWTH","FY 2015","FY 2015","Currency=INR","Period=FY","BEST_FPERIOD_OVERRIDE=FY","FILING_STATUS=OR","EQY_CONSOLIDATED=Y","Sort=A","Dates=H","DateFormat=P","Fill=—","Direction=H","UseDPDF=Y")</f>
        <v>#NAME?</v>
      </c>
      <c r="BM183" s="2" t="e">
        <f ca="1">_xll.BDH($C$178,"INVENTORY_SEQUENTIAL_GROWTH","FY 2015","FY 2015","Currency=INR","Period=FY","BEST_FPERIOD_OVERRIDE=FY","FILING_STATUS=OR","EQY_CONSOLIDATED=Y","Sort=A","Dates=H","DateFormat=P","Fill=—","Direction=H","UseDPDF=Y")</f>
        <v>#NAME?</v>
      </c>
      <c r="BN183" s="2" t="e">
        <f ca="1">_xll.BDH($C$178,"FIXED_ASSETS_SEQUENTIAL_GROWTH","FY 2015","FY 2015","Currency=INR","Period=FY","BEST_FPERIOD_OVERRIDE=FY","FILING_STATUS=OR","EQY_CONSOLIDATED=Y","Sort=A","Dates=H","DateFormat=P","Fill=—","Direction=H","UseDPDF=Y")</f>
        <v>#NAME?</v>
      </c>
      <c r="BO183" s="2" t="e">
        <f ca="1">_xll.BDH($C$178,"TOTAL_ASSETS_SEQUENTIAL_GROWTH","FY 2015","FY 2015","Currency=INR","Period=FY","BEST_FPERIOD_OVERRIDE=FY","FILING_STATUS=OR","EQY_CONSOLIDATED=Y","Sort=A","Dates=H","DateFormat=P","Fill=—","Direction=H","UseDPDF=Y")</f>
        <v>#NAME?</v>
      </c>
      <c r="BP183" s="2" t="e">
        <f ca="1">_xll.BDH($C$178,"MODIFIED_WORKING_CPTL_SEQ_GRWTH","FY 2015","FY 2015","Currency=INR","Period=FY","BEST_FPERIOD_OVERRIDE=FY","FILING_STATUS=OR","EQY_CONSOLIDATED=Y","Sort=A","Dates=H","DateFormat=P","Fill=—","Direction=H","UseDPDF=Y")</f>
        <v>#NAME?</v>
      </c>
      <c r="BQ183" s="2" t="e">
        <f ca="1">_xll.BDH($C$178,"WORKING_CAPITAL_SEQ_GROWTH","FY 2015","FY 2015","Currency=INR","Period=FY","BEST_FPERIOD_OVERRIDE=FY","FILING_STATUS=OR","EQY_CONSOLIDATED=Y","Sort=A","Dates=H","DateFormat=P","Fill=—","Direction=H","UseDPDF=Y")</f>
        <v>#NAME?</v>
      </c>
      <c r="BR183" s="2" t="e">
        <f ca="1">_xll.BDH($C$178,"ACCOUNTS_PAYABLE_SEQ_GROWTH","FY 2015","FY 2015","Currency=INR","Period=FY","BEST_FPERIOD_OVERRIDE=FY","FILING_STATUS=OR","EQY_CONSOLIDATED=Y","Sort=A","Dates=H","DateFormat=P","Fill=—","Direction=H","UseDPDF=Y")</f>
        <v>#NAME?</v>
      </c>
      <c r="BS183" s="2" t="e">
        <f ca="1">_xll.BDH($C$178,"ST_DEBT_SEQUENTIAL_GROWTH","FY 2015","FY 2015","Currency=INR","Period=FY","BEST_FPERIOD_OVERRIDE=FY","FILING_STATUS=OR","EQY_CONSOLIDATED=Y","Sort=A","Dates=H","DateFormat=P","Fill=—","Direction=H","UseDPDF=Y")</f>
        <v>#NAME?</v>
      </c>
      <c r="BT183" s="2" t="e">
        <f ca="1">_xll.BDH($C$178,"TOTAL_DEBT_SEQUENTIAL_GROWTH","FY 2015","FY 2015","Currency=INR","Period=FY","BEST_FPERIOD_OVERRIDE=FY","FILING_STATUS=OR","EQY_CONSOLIDATED=Y","Sort=A","Dates=H","DateFormat=P","Fill=—","Direction=H","UseDPDF=Y")</f>
        <v>#NAME?</v>
      </c>
      <c r="BU183" s="2" t="e">
        <f ca="1">_xll.BDH($C$178,"TOTAL_EQUITY_SEQUENTIAL_GROWTH","FY 2015","FY 2015","Currency=INR","Period=FY","BEST_FPERIOD_OVERRIDE=FY","FILING_STATUS=OR","EQY_CONSOLIDATED=Y","Sort=A","Dates=H","DateFormat=P","Fill=—","Direction=H","UseDPDF=Y")</f>
        <v>#NAME?</v>
      </c>
      <c r="BV183" s="2" t="e">
        <f ca="1">_xll.BDH($C$178,"TOTAL_CAPITAL_SEQUENTIAL_GROWTH","FY 2015","FY 2015","Currency=INR","Period=FY","BEST_FPERIOD_OVERRIDE=FY","FILING_STATUS=OR","EQY_CONSOLIDATED=Y","Sort=A","Dates=H","DateFormat=P","Fill=—","Direction=H","UseDPDF=Y")</f>
        <v>#NAME?</v>
      </c>
      <c r="BW183" s="2" t="e">
        <f ca="1">_xll.BDH($C$178,"BPS_SEQUENTIAL_GROWTH","FY 2015","FY 2015","Currency=INR","Period=FY","BEST_FPERIOD_OVERRIDE=FY","FILING_STATUS=OR","EQY_CONSOLIDATED=Y","Sort=A","Dates=H","DateFormat=P","Fill=—","Direction=H","UseDPDF=Y")</f>
        <v>#NAME?</v>
      </c>
      <c r="BX183" s="2" t="e">
        <f ca="1">_xll.BDH($C$178,"CFO_SEQUENTIAL_GROWTH","FY 2015","FY 2015","Currency=INR","Period=FY","BEST_FPERIOD_OVERRIDE=FY","FILING_STATUS=OR","EQY_CONSOLIDATED=Y","Sort=A","Dates=H","DateFormat=P","Fill=—","Direction=H","UseDPDF=Y")</f>
        <v>#NAME?</v>
      </c>
      <c r="BY183" s="3" t="e">
        <f ca="1">_xll.BDH($C$178,"SHORT_AND_LONG_TERM_DEBT","FY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183" s="3" t="e">
        <f ca="1">_xll.BDH($C$178,"BS_ST_BORROW","FY 2015","FY 2015","Currency=INR","Period=FY","BEST_FPERIOD_OVERRIDE=FY","FILING_STATUS=OR","EQY_CONSOLIDATED=Y","SCALING_FORMAT=MLN","Sort=A","Dates=H","DateFormat=P","Fill=—","Direction=H","UseDPDF=Y")</f>
        <v>#NAME?</v>
      </c>
      <c r="CA183" s="3" t="e">
        <f ca="1">_xll.BDH($C$178,"BS_LT_BORROW","FY 2015","FY 2015","Currency=INR","Period=FY","BEST_FPERIOD_OVERRIDE=FY","FILING_STATUS=OR","EQY_CONSOLIDATED=Y","SCALING_FORMAT=MLN","Sort=A","Dates=H","DateFormat=P","Fill=—","Direction=H","UseDPDF=Y")</f>
        <v>#NAME?</v>
      </c>
      <c r="CB183" s="2" t="e">
        <f ca="1">_xll.BDH($C$178,"TOT_DEBT_TO_EBITDA","FY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183" s="2" t="e">
        <f ca="1">_xll.BDH($C$178,"NET_DEBT_TO_EBITDA","FY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183" s="2" t="e">
        <f ca="1">_xll.BDH($C$178,"TOTAL_DEBT_TO_EBIT","FY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183" s="2" t="e">
        <f ca="1">_xll.BDH($C$178,"NET_DEBT_TO_EBIT","FY 2015","FY 2015","Currency=INR","Period=FY","BEST_FPERIOD_OVERRIDE=FY","FILING_STATUS=OR","EQY_CONSOLIDATED=Y","FA_ADJUSTED=GAAP","Sort=A","Dates=H","DateFormat=P","Fill=—","Direction=H","UseDPDF=Y")</f>
        <v>#NAME?</v>
      </c>
      <c r="CF183" s="2" t="e">
        <f ca="1">_xll.BDH($C$178,"EBITDA_TO_INTEREST_EXPN","FY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183" s="2" t="e">
        <f ca="1">_xll.BDH($C$178,"COM_EQY_TO_TOT_ASSET","FY 2015","FY 2015","Currency=INR","Period=FY","BEST_FPERIOD_OVERRIDE=FY","FILING_STATUS=OR","EQY_CONSOLIDATED=Y","Sort=A","Dates=H","DateFormat=P","Fill=—","Direction=H","UseDPDF=Y")</f>
        <v>#NAME?</v>
      </c>
      <c r="CH183" s="2" t="e">
        <f ca="1">_xll.BDH($C$178,"LT_DEBT_TO_TOT_EQY","FY 2015","FY 2015","Currency=INR","Period=FY","BEST_FPERIOD_OVERRIDE=FY","FILING_STATUS=OR","EQY_CONSOLIDATED=Y","Sort=A","Dates=H","DateFormat=P","Fill=—","Direction=H","UseDPDF=Y")</f>
        <v>#NAME?</v>
      </c>
      <c r="CI183" s="2" t="e">
        <f ca="1">_xll.BDH($C$178,"LT_DEBT_TO_TOT_CAP","FY 2015","FY 2015","Currency=INR","Period=FY","BEST_FPERIOD_OVERRIDE=FY","FILING_STATUS=OR","EQY_CONSOLIDATED=Y","Sort=A","Dates=H","DateFormat=P","Fill=—","Direction=H","UseDPDF=Y")</f>
        <v>#NAME?</v>
      </c>
      <c r="CJ183" s="2" t="e">
        <f ca="1">_xll.BDH($C$178,"LT_DEBT_TO_TOT_ASSET","FY 2015","FY 2015","Currency=INR","Period=FY","BEST_FPERIOD_OVERRIDE=FY","FILING_STATUS=OR","EQY_CONSOLIDATED=Y","Sort=A","Dates=H","DateFormat=P","Fill=—","Direction=H","UseDPDF=Y")</f>
        <v>#NAME?</v>
      </c>
      <c r="CK183" s="2" t="e">
        <f ca="1">_xll.BDH($C$178,"TOT_DEBT_TO_TOT_EQY","FY 2015","FY 2015","Currency=INR","Period=FY","BEST_FPERIOD_OVERRIDE=FY","FILING_STATUS=OR","EQY_CONSOLIDATED=Y","Sort=A","Dates=H","DateFormat=P","Fill=—","Direction=H","UseDPDF=Y")</f>
        <v>#NAME?</v>
      </c>
      <c r="CL183" s="2" t="e">
        <f ca="1">_xll.BDH($C$178,"TOT_DEBT_TO_TOT_CAP","FY 2015","FY 2015","Currency=INR","Period=FY","BEST_FPERIOD_OVERRIDE=FY","FILING_STATUS=OR","EQY_CONSOLIDATED=Y","Sort=A","Dates=H","DateFormat=P","Fill=—","Direction=H","UseDPDF=Y")</f>
        <v>#NAME?</v>
      </c>
      <c r="CM183" s="2" t="e">
        <f ca="1">_xll.BDH($C$178,"TOT_DEBT_TO_TOT_ASSET","FY 2015","FY 2015","Currency=INR","Period=FY","BEST_FPERIOD_OVERRIDE=FY","FILING_STATUS=OR","EQY_CONSOLIDATED=Y","Sort=A","Dates=H","DateFormat=P","Fill=—","Direction=H","UseDPDF=Y")</f>
        <v>#NAME?</v>
      </c>
      <c r="CN183" s="2" t="e">
        <f ca="1">_xll.BDH($C$178,"NET_DEBT_TO_SHRHLDR_EQTY","FY 2015","FY 2015","Currency=INR","Period=FY","BEST_FPERIOD_OVERRIDE=FY","FILING_STATUS=OR","EQY_CONSOLIDATED=Y","Sort=A","Dates=H","DateFormat=P","Fill=—","Direction=H","UseDPDF=Y")</f>
        <v>#NAME?</v>
      </c>
      <c r="CO183" s="2" t="e">
        <f ca="1">_xll.BDH($C$178,"NET_DEBT_%_CAPITAL","FY 2015","FY 2015","Currency=INR","Period=FY","BEST_FPERIOD_OVERRIDE=FY","FILING_STATUS=OR","EQY_CONSOLIDATED=Y","Sort=A","Dates=H","DateFormat=P","Fill=—","Direction=H","UseDPDF=Y")</f>
        <v>#NAME?</v>
      </c>
      <c r="CP183" s="3" t="e">
        <f ca="1">_xll.BDH($C$178,"EBITDA","FY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183" s="3" t="e">
        <f ca="1">_xll.BDH($C$178,"EBITDA_AFTER_CAPEX","FY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183" s="3" t="e">
        <f ca="1">_xll.BDH($C$178,"IS_OPER_INC","FY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183" s="2" t="e">
        <f ca="1">_xll.BDH($C$178,"CASH_RATIO","FY 2015","FY 2015","Currency=INR","Period=FY","BEST_FPERIOD_OVERRIDE=FY","FILING_STATUS=OR","EQY_CONSOLIDATED=Y","Sort=A","Dates=H","DateFormat=P","Fill=—","Direction=H","UseDPDF=Y")</f>
        <v>#NAME?</v>
      </c>
      <c r="CT183" s="2" t="e">
        <f ca="1">_xll.BDH($C$178,"CUR_RATIO","FY 2015","FY 2015","Currency=INR","Period=FY","BEST_FPERIOD_OVERRIDE=FY","FILING_STATUS=OR","EQY_CONSOLIDATED=Y","Sort=A","Dates=H","DateFormat=P","Fill=—","Direction=H","UseDPDF=Y")</f>
        <v>#NAME?</v>
      </c>
      <c r="CU183" s="2" t="e">
        <f ca="1">_xll.BDH($C$178,"QUICK_RATIO","FY 2015","FY 2015","Currency=INR","Period=FY","BEST_FPERIOD_OVERRIDE=FY","FILING_STATUS=OR","EQY_CONSOLIDATED=Y","Sort=A","Dates=H","DateFormat=P","Fill=—","Direction=H","UseDPDF=Y")</f>
        <v>#NAME?</v>
      </c>
      <c r="CV183" s="2" t="e">
        <f ca="1">_xll.BDH($C$178,"ALTMAN_Z_SCORE","FY 2015","FY 2015","Currency=INR","Period=FY","BEST_FPERIOD_OVERRIDE=FY","FILING_STATUS=OR","EQY_CONSOLIDATED=Y","Sort=A","Dates=H","DateFormat=P","Fill=—","Direction=H","UseDPDF=Y")</f>
        <v>#NAME?</v>
      </c>
      <c r="CW183" s="4" t="e">
        <f ca="1">_xll.BDH($C$178,"ACCT_RCV_TURN","FY 2015","FY 2015","Currency=INR","Period=FY","BEST_FPERIOD_OVERRIDE=FY","FILING_STATUS=OR","EQY_CONSOLIDATED=Y","FA_ADJUSTED=GAAP","Sort=A","Dates=H","DateFormat=P","Fill=—","Direction=H","UseDPDF=Y")</f>
        <v>#NAME?</v>
      </c>
      <c r="CX183" s="2" t="e">
        <f ca="1">_xll.BDH($C$178,"ACCT_RCV_DAYS","FY 2015","FY 2015","Currency=INR","Period=FY","BEST_FPERIOD_OVERRIDE=FY","FILING_STATUS=OR","EQY_CONSOLIDATED=Y","FA_ADJUSTED=GAAP","Sort=A","Dates=H","DateFormat=P","Fill=—","Direction=H","UseDPDF=Y")</f>
        <v>#NAME?</v>
      </c>
      <c r="CY183" s="4" t="e">
        <f ca="1">_xll.BDH($C$178,"INVENT_TURN","FY 2015","FY 2015","Currency=INR","Period=FY","BEST_FPERIOD_OVERRIDE=FY","FILING_STATUS=OR","EQY_CONSOLIDATED=Y","FA_ADJUSTED=GAAP","Sort=A","Dates=H","DateFormat=P","Fill=—","Direction=H","UseDPDF=Y")</f>
        <v>#NAME?</v>
      </c>
      <c r="CZ183" s="2" t="e">
        <f ca="1">_xll.BDH($C$178,"INVENT_DAYS","FY 2015","FY 2015","Currency=INR","Period=FY","BEST_FPERIOD_OVERRIDE=FY","FILING_STATUS=OR","EQY_CONSOLIDATED=Y","FA_ADJUSTED=GAAP","Sort=A","Dates=H","DateFormat=P","Fill=—","Direction=H","UseDPDF=Y")</f>
        <v>#NAME?</v>
      </c>
      <c r="DA183" s="4" t="e">
        <f ca="1">_xll.BDH($C$178,"ACCOUNTS_PAYABLE_TURNOVER","FY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183" s="2" t="e">
        <f ca="1">_xll.BDH($C$178,"ACCOUNTS_PAYABLE_TURNOVER_DAYS","FY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183" s="4" t="e">
        <f ca="1">_xll.BDH($C$178,"CASH_CONVERSION_CYCLE","FY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183" s="4" t="e">
        <f ca="1">_xll.BDH($C$178,"INV_TO_CASH_DAYS","FY 2015","FY 2015","Currency=INR","Period=FY","BEST_FPERIOD_OVERRIDE=FY","FILING_STATUS=OR","EQY_CONSOLIDATED=Y","FA_ADJUSTED=GAAP","Sort=A","Dates=H","DateFormat=P","Fill=—","Direction=H","UseDPDF=Y")</f>
        <v>#NAME?</v>
      </c>
      <c r="DE183" s="5" t="e">
        <f ca="1">_xll.BDH($C$178,"BS_INVENTORIES","FY 2015","FY 2015","Currency=INR","Period=FY","BEST_FPERIOD_OVERRIDE=FY","FILING_STATUS=OR","EQY_CONSOLIDATED=Y","SCALING_FORMAT=MLN","Sort=A","Dates=H","DateFormat=P","Fill=—","Direction=H","UseDPDF=Y")</f>
        <v>#NAME?</v>
      </c>
      <c r="DF183" s="3" t="e">
        <f ca="1">_xll.BDH($C$178,"INVTRY_RAW_MATERIALS","FY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183" s="3" t="e">
        <f ca="1">_xll.BDH($C$178,"INVTRY_IN_PROGRESS","FY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183" s="3" t="e">
        <f ca="1">_xll.BDH($C$178,"INVTRY_FINISHED_GOODS","FY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183" s="3" t="e">
        <f ca="1">_xll.BDH($C$178,"BS_OTHER_INV","FY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184" spans="1:113" x14ac:dyDescent="0.3">
      <c r="A184" s="6"/>
      <c r="B184" s="6"/>
      <c r="C184" s="6"/>
      <c r="D184" s="6"/>
      <c r="E184" t="s">
        <v>78</v>
      </c>
      <c r="F184" t="e">
        <f ca="1">_xll.BDH($C$178,"RETURN_COM_EQY","FQ1 2015","FQ1 2015","Currency=INR","Period=FQ","BEST_FPERIOD_OVERRIDE=FQ","FILING_STATUS=OR","EQY_CONSOLIDATED=Y","FA_ADJUSTED=GAAP","Sort=A","Dates=H","DateFormat=P","Fill=—","Direction=H","UseDPDF=Y")</f>
        <v>#NAME?</v>
      </c>
      <c r="G184" t="e">
        <f ca="1">_xll.BDH($C$178,"RETURN_ON_ASSET","FQ1 2015","FQ1 2015","Currency=INR","Period=FQ","BEST_FPERIOD_OVERRIDE=FQ","FILING_STATUS=OR","EQY_CONSOLIDATED=Y","FA_ADJUSTED=GAAP","Sort=A","Dates=H","DateFormat=P","Fill=—","Direction=H","UseDPDF=Y")</f>
        <v>#NAME?</v>
      </c>
      <c r="H184" t="e">
        <f ca="1">_xll.BDH($C$178,"RETURN_ON_CAP","FQ1 2015","FQ1 2015","Currency=INR","Period=FQ","BEST_FPERIOD_OVERRIDE=FQ","FILING_STATUS=OR","EQY_CONSOLIDATED=Y","FA_ADJUSTED=GAAP","Sort=A","Dates=H","DateFormat=P","Fill=—","Direction=H","UseDPDF=Y")</f>
        <v>#NAME?</v>
      </c>
      <c r="I184" t="e">
        <f ca="1">_xll.BDH($C$178,"RETURN_ON_INV_CAPITAL","FQ1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184" t="e">
        <f ca="1">_xll.BDH($C$178,"EBITDA_TO_REVENUE","FQ1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184" t="e">
        <f ca="1">_xll.BDH($C$178,"OPER_MARGIN","FQ1 2015","FQ1 2015","Currency=INR","Period=FQ","BEST_FPERIOD_OVERRIDE=FQ","FILING_STATUS=OR","EQY_CONSOLIDATED=Y","FA_ADJUSTED=GAAP","Sort=A","Dates=H","DateFormat=P","Fill=—","Direction=H","UseDPDF=Y")</f>
        <v>#NAME?</v>
      </c>
      <c r="L184" t="e">
        <f ca="1">_xll.BDH($C$178,"INCREMENTAL_OPERATING_MARGIN","FQ1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184" t="e">
        <f ca="1">_xll.BDH($C$178,"PRETAX_INC_TO_NET_SALES","FQ1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184" t="e">
        <f ca="1">_xll.BDH($C$178,"INC_BEF_XO_ITEMS_TO_NET_SALES","FQ1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184" t="e">
        <f ca="1">_xll.BDH($C$178,"PROF_MARGIN","FQ1 2015","FQ1 2015","Currency=INR","Period=FQ","BEST_FPERIOD_OVERRIDE=FQ","FILING_STATUS=OR","EQY_CONSOLIDATED=Y","FA_ADJUSTED=GAAP","Sort=A","Dates=H","DateFormat=P","Fill=—","Direction=H","UseDPDF=Y")</f>
        <v>#NAME?</v>
      </c>
      <c r="P184" t="e">
        <f ca="1">_xll.BDH($C$178,"NET_INCOME_TO_COMMON_MARGIN","FQ1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184" t="e">
        <f ca="1">_xll.BDH($C$178,"EFF_TAX_RATE","FQ1 2015","FQ1 2015","Currency=INR","Period=FQ","BEST_FPERIOD_OVERRIDE=FQ","FILING_STATUS=OR","EQY_CONSOLIDATED=Y","FA_ADJUSTED=GAAP","Sort=A","Dates=H","DateFormat=P","Fill=—","Direction=H","UseDPDF=Y")</f>
        <v>#NAME?</v>
      </c>
      <c r="R184" t="e">
        <f ca="1">_xll.BDH($C$178,"DVD_PAYOUT_RATIO","FQ1 2015","FQ1 2015","Currency=INR","Period=FQ","BEST_FPERIOD_OVERRIDE=FQ","FILING_STATUS=OR","EQY_CONSOLIDATED=Y","FA_ADJUSTED=GAAP","Sort=A","Dates=H","DateFormat=P","Fill=—","Direction=H","UseDPDF=Y")</f>
        <v>#NAME?</v>
      </c>
      <c r="S184" t="e">
        <f ca="1">_xll.BDH($C$178,"SUSTAIN_GROWTH_RT","FQ1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184" s="2" t="e">
        <f ca="1">_xll.BDH($C$178,"SALES_GROWTH","FQ1 2015","FQ1 2015","Currency=INR","Period=FQ","BEST_FPERIOD_OVERRIDE=FQ","FILING_STATUS=OR","EQY_CONSOLIDATED=Y","FA_ADJUSTED=GAAP","Sort=A","Dates=H","DateFormat=P","Fill=—","Direction=H","UseDPDF=Y")</f>
        <v>#NAME?</v>
      </c>
      <c r="U184" s="2" t="e">
        <f ca="1">_xll.BDH($C$178,"EBITDA_GROWTH","FQ1 2015","FQ1 2015","Currency=INR","Period=FQ","BEST_FPERIOD_OVERRIDE=FQ","FILING_STATUS=OR","EQY_CONSOLIDATED=Y","FA_ADJUSTED=GAAP","Sort=A","Dates=H","DateFormat=P","Fill=—","Direction=H","UseDPDF=Y")</f>
        <v>#NAME?</v>
      </c>
      <c r="V184" s="2" t="e">
        <f ca="1">_xll.BDH($C$178,"OPER_INC_GROWTH","FQ1 2015","FQ1 2015","Currency=INR","Period=FQ","BEST_FPERIOD_OVERRIDE=FQ","FILING_STATUS=OR","EQY_CONSOLIDATED=Y","FA_ADJUSTED=GAAP","Sort=A","Dates=H","DateFormat=P","Fill=—","Direction=H","UseDPDF=Y")</f>
        <v>#NAME?</v>
      </c>
      <c r="W184" s="2" t="e">
        <f ca="1">_xll.BDH($C$178,"EARN_FOR_COM_GROWTH","FQ1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184" s="2" t="e">
        <f ca="1">_xll.BDH($C$178,"DILUTED_EPS_AFT_XO_ITEMS_GROWTH","FQ1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184" s="2" t="e">
        <f ca="1">_xll.BDH($C$178,"DIVIDEND_PER_SHARE_1_YEAR_GROWTH","FQ1 2015","FQ1 2015","Currency=INR","Period=FQ","BEST_FPERIOD_OVERRIDE=FQ","FILING_STATUS=OR","EQY_CONSOLIDATED=Y","Sort=A","Dates=H","DateFormat=P","Fill=—","Direction=H","UseDPDF=Y")</f>
        <v>#NAME?</v>
      </c>
      <c r="Z184" s="2" t="e">
        <f ca="1">_xll.BDH($C$178,"ACCOUNTS_RECEIVABLE_GROWTH","FQ1 2015","FQ1 2015","Currency=INR","Period=FQ","BEST_FPERIOD_OVERRIDE=FQ","FILING_STATUS=OR","EQY_CONSOLIDATED=Y","Sort=A","Dates=H","DateFormat=P","Fill=—","Direction=H","UseDPDF=Y")</f>
        <v>#NAME?</v>
      </c>
      <c r="AA184" s="2" t="e">
        <f ca="1">_xll.BDH($C$178,"INVENTORY_GROWTH","FQ1 2015","FQ1 2015","Currency=INR","Period=FQ","BEST_FPERIOD_OVERRIDE=FQ","FILING_STATUS=OR","EQY_CONSOLIDATED=Y","Sort=A","Dates=H","DateFormat=P","Fill=—","Direction=H","UseDPDF=Y")</f>
        <v>#NAME?</v>
      </c>
      <c r="AB184" s="2" t="e">
        <f ca="1">_xll.BDH($C$178,"NET_FIXED_ASSETS_1_YEAR_GROWTH","FQ1 2015","FQ1 2015","Currency=INR","Period=FQ","BEST_FPERIOD_OVERRIDE=FQ","FILING_STATUS=OR","EQY_CONSOLIDATED=Y","Sort=A","Dates=H","DateFormat=P","Fill=—","Direction=H","UseDPDF=Y")</f>
        <v>#NAME?</v>
      </c>
      <c r="AC184" s="2" t="e">
        <f ca="1">_xll.BDH($C$178,"ASSET_GROWTH","FQ1 2015","FQ1 2015","Currency=INR","Period=FQ","BEST_FPERIOD_OVERRIDE=FQ","FILING_STATUS=OR","EQY_CONSOLIDATED=Y","Sort=A","Dates=H","DateFormat=P","Fill=—","Direction=H","UseDPDF=Y")</f>
        <v>#NAME?</v>
      </c>
      <c r="AD184" s="2" t="e">
        <f ca="1">_xll.BDH($C$178,"MODIFIED_WORK_CAP_GROWTH","FQ1 2015","FQ1 2015","Currency=INR","Period=FQ","BEST_FPERIOD_OVERRIDE=FQ","FILING_STATUS=OR","EQY_CONSOLIDATED=Y","Sort=A","Dates=H","DateFormat=P","Fill=—","Direction=H","UseDPDF=Y")</f>
        <v>#NAME?</v>
      </c>
      <c r="AE184" s="2" t="e">
        <f ca="1">_xll.BDH($C$178,"WORK_CAP_GROWTH","FQ1 2015","FQ1 2015","Currency=INR","Period=FQ","BEST_FPERIOD_OVERRIDE=FQ","FILING_STATUS=OR","EQY_CONSOLIDATED=Y","Sort=A","Dates=H","DateFormat=P","Fill=—","Direction=H","UseDPDF=Y")</f>
        <v>#NAME?</v>
      </c>
      <c r="AF184" s="2" t="e">
        <f ca="1">_xll.BDH($C$178,"ACCOUNTS_PAYABLE_GROWTH_1YR","FQ1 2015","FQ1 2015","Currency=INR","Period=FQ","BEST_FPERIOD_OVERRIDE=FQ","FILING_STATUS=OR","EQY_CONSOLIDATED=Y","Sort=A","Dates=H","DateFormat=P","Fill=—","Direction=H","UseDPDF=Y")</f>
        <v>#NAME?</v>
      </c>
      <c r="AG184" s="2" t="e">
        <f ca="1">_xll.BDH($C$178,"SHORT_TERM_DEBT_1_YEAR_GROWTH","FQ1 2015","FQ1 2015","Currency=INR","Period=FQ","BEST_FPERIOD_OVERRIDE=FQ","FILING_STATUS=OR","EQY_CONSOLIDATED=Y","Sort=A","Dates=H","DateFormat=P","Fill=—","Direction=H","UseDPDF=Y")</f>
        <v>#NAME?</v>
      </c>
      <c r="AH184" s="2" t="e">
        <f ca="1">_xll.BDH($C$178,"TOTAL_DEBT_1_YEAR_GROWTH","FQ1 2015","FQ1 2015","Currency=INR","Period=FQ","BEST_FPERIOD_OVERRIDE=FQ","FILING_STATUS=OR","EQY_CONSOLIDATED=Y","Sort=A","Dates=H","DateFormat=P","Fill=—","Direction=H","UseDPDF=Y")</f>
        <v>#NAME?</v>
      </c>
      <c r="AI184" s="2" t="e">
        <f ca="1">_xll.BDH($C$178,"TOTAL_EQUITY_1_YEAR_GROWTH","FQ1 2015","FQ1 2015","Currency=INR","Period=FQ","BEST_FPERIOD_OVERRIDE=FQ","FILING_STATUS=OR","EQY_CONSOLIDATED=Y","Sort=A","Dates=H","DateFormat=P","Fill=—","Direction=H","UseDPDF=Y")</f>
        <v>#NAME?</v>
      </c>
      <c r="AJ184" s="2" t="e">
        <f ca="1">_xll.BDH($C$178,"GROWTH_IN_CAP","FQ1 2015","FQ1 2015","Currency=INR","Period=FQ","BEST_FPERIOD_OVERRIDE=FQ","FILING_STATUS=OR","EQY_CONSOLIDATED=Y","Sort=A","Dates=H","DateFormat=P","Fill=—","Direction=H","UseDPDF=Y")</f>
        <v>#NAME?</v>
      </c>
      <c r="AK184" s="2" t="e">
        <f ca="1">_xll.BDH($C$178,"BVPS_GROWTH","FQ1 2015","FQ1 2015","Currency=INR","Period=FQ","BEST_FPERIOD_OVERRIDE=FQ","FILING_STATUS=OR","EQY_CONSOLIDATED=Y","Sort=A","Dates=H","DateFormat=P","Fill=—","Direction=H","UseDPDF=Y")</f>
        <v>#NAME?</v>
      </c>
      <c r="AL184" s="2" t="e">
        <f ca="1">_xll.BDH($C$178,"CASH_FLOW_GROWTH","FQ1 2015","FQ1 2015","Currency=INR","Period=FQ","BEST_FPERIOD_OVERRIDE=FQ","FILING_STATUS=OR","EQY_CONSOLIDATED=Y","Sort=A","Dates=H","DateFormat=P","Fill=—","Direction=H","UseDPDF=Y")</f>
        <v>#NAME?</v>
      </c>
      <c r="AM184" s="2" t="e">
        <f ca="1">_xll.BDH($C$178,"GEO_GROW_NET_SALES","FQ1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184" s="2" t="e">
        <f ca="1">_xll.BDH($C$178,"GEO_GROW_EBITDA","FQ1 2015","FQ1 2015","Currency=INR","Period=FQ","BEST_FPERIOD_OVERRIDE=FQ","FILING_STATUS=OR","EQY_CONSOLIDATED=Y","FA_ADJUSTED=GAAP","Sort=A","Dates=H","DateFormat=P","Fill=—","Direction=H","UseDPDF=Y")</f>
        <v>#NAME?</v>
      </c>
      <c r="AO184" s="2" t="e">
        <f ca="1">_xll.BDH($C$178,"GEO_GROW_OPER_INC","FQ1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184" s="2" t="e">
        <f ca="1">_xll.BDH($C$178,"NET_INCOME_TO_COMMON_5_YR_GROWTH","FQ1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184" s="2" t="e">
        <f ca="1">_xll.BDH($C$178,"5Y_GEO_GROWTH_DILUTED_EPS","FQ1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184" s="2" t="e">
        <f ca="1">_xll.BDH($C$178,"GEO_GROW_DVD_PER_SH","FQ1 2015","FQ1 2015","Currency=INR","Period=FQ","BEST_FPERIOD_OVERRIDE=FQ","FILING_STATUS=OR","EQY_CONSOLIDATED=Y","Sort=A","Dates=H","DateFormat=P","Fill=—","Direction=H","UseDPDF=Y")</f>
        <v>#NAME?</v>
      </c>
      <c r="AS184" s="2" t="e">
        <f ca="1">_xll.BDH($C$178,"ACCOUNTS_RECEIVABLE_5_YR_GROWTH","FQ1 2015","FQ1 2015","Currency=INR","Period=FQ","BEST_FPERIOD_OVERRIDE=FQ","FILING_STATUS=OR","EQY_CONSOLIDATED=Y","Sort=A","Dates=H","DateFormat=P","Fill=—","Direction=H","UseDPDF=Y")</f>
        <v>#NAME?</v>
      </c>
      <c r="AT184" s="2" t="e">
        <f ca="1">_xll.BDH($C$178,"INVENTORY_5_YEAR_GROWTH","FQ1 2015","FQ1 2015","Currency=INR","Period=FQ","BEST_FPERIOD_OVERRIDE=FQ","FILING_STATUS=OR","EQY_CONSOLIDATED=Y","Sort=A","Dates=H","DateFormat=P","Fill=—","Direction=H","UseDPDF=Y")</f>
        <v>#NAME?</v>
      </c>
      <c r="AU184" s="2" t="e">
        <f ca="1">_xll.BDH($C$178,"NET_FIXED_ASSETS_5_YEAR_GROWTH","FQ1 2015","FQ1 2015","Currency=INR","Period=FQ","BEST_FPERIOD_OVERRIDE=FQ","FILING_STATUS=OR","EQY_CONSOLIDATED=Y","Sort=A","Dates=H","DateFormat=P","Fill=—","Direction=H","UseDPDF=Y")</f>
        <v>#NAME?</v>
      </c>
      <c r="AV184" s="2" t="e">
        <f ca="1">_xll.BDH($C$178,"GEO_GROW_TOT_ASSET","FQ1 2015","FQ1 2015","Currency=INR","Period=FQ","BEST_FPERIOD_OVERRIDE=FQ","FILING_STATUS=OR","EQY_CONSOLIDATED=Y","Sort=A","Dates=H","DateFormat=P","Fill=—","Direction=H","UseDPDF=Y")</f>
        <v>#NAME?</v>
      </c>
      <c r="AW184" s="2" t="e">
        <f ca="1">_xll.BDH($C$178,"MODIFIED_WORKING_CPTL_5YR_GRWTH","FQ1 2015","FQ1 2015","Currency=INR","Period=FQ","BEST_FPERIOD_OVERRIDE=FQ","FILING_STATUS=OR","EQY_CONSOLIDATED=Y","Sort=A","Dates=H","DateFormat=P","Fill=—","Direction=H","UseDPDF=Y")</f>
        <v>#NAME?</v>
      </c>
      <c r="AX184" s="2" t="e">
        <f ca="1">_xll.BDH($C$178,"WORKING_CAPITAL_5_YEAR_GROWTH","FQ1 2015","FQ1 2015","Currency=INR","Period=FQ","BEST_FPERIOD_OVERRIDE=FQ","FILING_STATUS=OR","EQY_CONSOLIDATED=Y","Sort=A","Dates=H","DateFormat=P","Fill=—","Direction=H","UseDPDF=Y")</f>
        <v>#NAME?</v>
      </c>
      <c r="AY184" s="2" t="e">
        <f ca="1">_xll.BDH($C$178,"ACCOUNTS_PAYABLE_5_YEAR_GROWTH","FQ1 2015","FQ1 2015","Currency=INR","Period=FQ","BEST_FPERIOD_OVERRIDE=FQ","FILING_STATUS=OR","EQY_CONSOLIDATED=Y","Sort=A","Dates=H","DateFormat=P","Fill=—","Direction=H","UseDPDF=Y")</f>
        <v>#NAME?</v>
      </c>
      <c r="AZ184" s="2" t="e">
        <f ca="1">_xll.BDH($C$178,"SHORT_TERM_DEBT_5_YEAR_GROWTH","FQ1 2015","FQ1 2015","Currency=INR","Period=FQ","BEST_FPERIOD_OVERRIDE=FQ","FILING_STATUS=OR","EQY_CONSOLIDATED=Y","Sort=A","Dates=H","DateFormat=P","Fill=—","Direction=H","UseDPDF=Y")</f>
        <v>#NAME?</v>
      </c>
      <c r="BA184" s="2" t="e">
        <f ca="1">_xll.BDH($C$178,"TOTAL_DEBT_5_YEAR_GROWTH","FQ1 2015","FQ1 2015","Currency=INR","Period=FQ","BEST_FPERIOD_OVERRIDE=FQ","FILING_STATUS=OR","EQY_CONSOLIDATED=Y","Sort=A","Dates=H","DateFormat=P","Fill=—","Direction=H","UseDPDF=Y")</f>
        <v>#NAME?</v>
      </c>
      <c r="BB184" s="2" t="e">
        <f ca="1">_xll.BDH($C$178,"GEO_GROW_TOT_SHRHLDR_EQY","FQ1 2015","FQ1 2015","Currency=INR","Period=FQ","BEST_FPERIOD_OVERRIDE=FQ","FILING_STATUS=OR","EQY_CONSOLIDATED=Y","Sort=A","Dates=H","DateFormat=P","Fill=—","Direction=H","UseDPDF=Y")</f>
        <v>#NAME?</v>
      </c>
      <c r="BC184" s="2" t="e">
        <f ca="1">_xll.BDH($C$178,"TOTAL_CAPITAL_5_YEAR_GROWTH","FQ1 2015","FQ1 2015","Currency=INR","Period=FQ","BEST_FPERIOD_OVERRIDE=FQ","FILING_STATUS=OR","EQY_CONSOLIDATED=Y","Sort=A","Dates=H","DateFormat=P","Fill=—","Direction=H","UseDPDF=Y")</f>
        <v>#NAME?</v>
      </c>
      <c r="BD184" s="2" t="e">
        <f ca="1">_xll.BDH($C$178,"GEO_GROW_BOOK_VAL","FQ1 2015","FQ1 2015","Currency=INR","Period=FQ","BEST_FPERIOD_OVERRIDE=FQ","FILING_STATUS=OR","EQY_CONSOLIDATED=Y","Sort=A","Dates=H","DateFormat=P","Fill=—","Direction=H","UseDPDF=Y")</f>
        <v>#NAME?</v>
      </c>
      <c r="BE184" s="2" t="e">
        <f ca="1">_xll.BDH($C$178,"GEO_GROW_CASH_OPER_ACT","FQ1 2015","FQ1 2015","Currency=INR","Period=FQ","BEST_FPERIOD_OVERRIDE=FQ","FILING_STATUS=OR","EQY_CONSOLIDATED=Y","Sort=A","Dates=H","DateFormat=P","Fill=—","Direction=H","UseDPDF=Y")</f>
        <v>#NAME?</v>
      </c>
      <c r="BF184" s="2" t="e">
        <f ca="1">_xll.BDH($C$178,"REVENUE_SEQUENTIAL_GROWTH","FQ1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184" s="2" t="e">
        <f ca="1">_xll.BDH($C$178,"EBITDA_SEQUENTIAL_GROWTH","FQ1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184" s="2" t="e">
        <f ca="1">_xll.BDH($C$178,"OPERATING_INCOME_SEQ_GROWTH","FQ1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184" s="2" t="e">
        <f ca="1">_xll.BDH($C$178,"NET_INCOME_TO_COMMON_SEQ_GROWTH","FQ1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184" s="2" t="e">
        <f ca="1">_xll.BDH($C$178,"EPS_DILUTED_SEQUENTIAL_GROWTH","FQ1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184" s="2" t="e">
        <f ca="1">_xll.BDH($C$178,"DPS_SEQUENTIAL_GROWTH","FQ1 2015","FQ1 2015","Currency=INR","Period=FQ","BEST_FPERIOD_OVERRIDE=FQ","FILING_STATUS=OR","EQY_CONSOLIDATED=Y","Sort=A","Dates=H","DateFormat=P","Fill=—","Direction=H","UseDPDF=Y")</f>
        <v>#NAME?</v>
      </c>
      <c r="BL184" s="2" t="e">
        <f ca="1">_xll.BDH($C$178,"ACCOUNTS_RECEIVABLE_SEQ_GROWTH","FQ1 2015","FQ1 2015","Currency=INR","Period=FQ","BEST_FPERIOD_OVERRIDE=FQ","FILING_STATUS=OR","EQY_CONSOLIDATED=Y","Sort=A","Dates=H","DateFormat=P","Fill=—","Direction=H","UseDPDF=Y")</f>
        <v>#NAME?</v>
      </c>
      <c r="BM184" s="2" t="e">
        <f ca="1">_xll.BDH($C$178,"INVENTORY_SEQUENTIAL_GROWTH","FQ1 2015","FQ1 2015","Currency=INR","Period=FQ","BEST_FPERIOD_OVERRIDE=FQ","FILING_STATUS=OR","EQY_CONSOLIDATED=Y","Sort=A","Dates=H","DateFormat=P","Fill=—","Direction=H","UseDPDF=Y")</f>
        <v>#NAME?</v>
      </c>
      <c r="BN184" s="2" t="e">
        <f ca="1">_xll.BDH($C$178,"FIXED_ASSETS_SEQUENTIAL_GROWTH","FQ1 2015","FQ1 2015","Currency=INR","Period=FQ","BEST_FPERIOD_OVERRIDE=FQ","FILING_STATUS=OR","EQY_CONSOLIDATED=Y","Sort=A","Dates=H","DateFormat=P","Fill=—","Direction=H","UseDPDF=Y")</f>
        <v>#NAME?</v>
      </c>
      <c r="BO184" s="2" t="e">
        <f ca="1">_xll.BDH($C$178,"TOTAL_ASSETS_SEQUENTIAL_GROWTH","FQ1 2015","FQ1 2015","Currency=INR","Period=FQ","BEST_FPERIOD_OVERRIDE=FQ","FILING_STATUS=OR","EQY_CONSOLIDATED=Y","Sort=A","Dates=H","DateFormat=P","Fill=—","Direction=H","UseDPDF=Y")</f>
        <v>#NAME?</v>
      </c>
      <c r="BP184" s="2" t="e">
        <f ca="1">_xll.BDH($C$178,"MODIFIED_WORKING_CPTL_SEQ_GRWTH","FQ1 2015","FQ1 2015","Currency=INR","Period=FQ","BEST_FPERIOD_OVERRIDE=FQ","FILING_STATUS=OR","EQY_CONSOLIDATED=Y","Sort=A","Dates=H","DateFormat=P","Fill=—","Direction=H","UseDPDF=Y")</f>
        <v>#NAME?</v>
      </c>
      <c r="BQ184" s="2" t="e">
        <f ca="1">_xll.BDH($C$178,"WORKING_CAPITAL_SEQ_GROWTH","FQ1 2015","FQ1 2015","Currency=INR","Period=FQ","BEST_FPERIOD_OVERRIDE=FQ","FILING_STATUS=OR","EQY_CONSOLIDATED=Y","Sort=A","Dates=H","DateFormat=P","Fill=—","Direction=H","UseDPDF=Y")</f>
        <v>#NAME?</v>
      </c>
      <c r="BR184" s="2" t="e">
        <f ca="1">_xll.BDH($C$178,"ACCOUNTS_PAYABLE_SEQ_GROWTH","FQ1 2015","FQ1 2015","Currency=INR","Period=FQ","BEST_FPERIOD_OVERRIDE=FQ","FILING_STATUS=OR","EQY_CONSOLIDATED=Y","Sort=A","Dates=H","DateFormat=P","Fill=—","Direction=H","UseDPDF=Y")</f>
        <v>#NAME?</v>
      </c>
      <c r="BS184" s="2" t="e">
        <f ca="1">_xll.BDH($C$178,"ST_DEBT_SEQUENTIAL_GROWTH","FQ1 2015","FQ1 2015","Currency=INR","Period=FQ","BEST_FPERIOD_OVERRIDE=FQ","FILING_STATUS=OR","EQY_CONSOLIDATED=Y","Sort=A","Dates=H","DateFormat=P","Fill=—","Direction=H","UseDPDF=Y")</f>
        <v>#NAME?</v>
      </c>
      <c r="BT184" s="2" t="e">
        <f ca="1">_xll.BDH($C$178,"TOTAL_DEBT_SEQUENTIAL_GROWTH","FQ1 2015","FQ1 2015","Currency=INR","Period=FQ","BEST_FPERIOD_OVERRIDE=FQ","FILING_STATUS=OR","EQY_CONSOLIDATED=Y","Sort=A","Dates=H","DateFormat=P","Fill=—","Direction=H","UseDPDF=Y")</f>
        <v>#NAME?</v>
      </c>
      <c r="BU184" s="2" t="e">
        <f ca="1">_xll.BDH($C$178,"TOTAL_EQUITY_SEQUENTIAL_GROWTH","FQ1 2015","FQ1 2015","Currency=INR","Period=FQ","BEST_FPERIOD_OVERRIDE=FQ","FILING_STATUS=OR","EQY_CONSOLIDATED=Y","Sort=A","Dates=H","DateFormat=P","Fill=—","Direction=H","UseDPDF=Y")</f>
        <v>#NAME?</v>
      </c>
      <c r="BV184" s="2" t="e">
        <f ca="1">_xll.BDH($C$178,"TOTAL_CAPITAL_SEQUENTIAL_GROWTH","FQ1 2015","FQ1 2015","Currency=INR","Period=FQ","BEST_FPERIOD_OVERRIDE=FQ","FILING_STATUS=OR","EQY_CONSOLIDATED=Y","Sort=A","Dates=H","DateFormat=P","Fill=—","Direction=H","UseDPDF=Y")</f>
        <v>#NAME?</v>
      </c>
      <c r="BW184" s="2" t="e">
        <f ca="1">_xll.BDH($C$178,"BPS_SEQUENTIAL_GROWTH","FQ1 2015","FQ1 2015","Currency=INR","Period=FQ","BEST_FPERIOD_OVERRIDE=FQ","FILING_STATUS=OR","EQY_CONSOLIDATED=Y","Sort=A","Dates=H","DateFormat=P","Fill=—","Direction=H","UseDPDF=Y")</f>
        <v>#NAME?</v>
      </c>
      <c r="BX184" s="2" t="e">
        <f ca="1">_xll.BDH($C$178,"CFO_SEQUENTIAL_GROWTH","FQ1 2015","FQ1 2015","Currency=INR","Period=FQ","BEST_FPERIOD_OVERRIDE=FQ","FILING_STATUS=OR","EQY_CONSOLIDATED=Y","Sort=A","Dates=H","DateFormat=P","Fill=—","Direction=H","UseDPDF=Y")</f>
        <v>#NAME?</v>
      </c>
      <c r="BY184" s="3" t="e">
        <f ca="1">_xll.BDH($C$178,"SHORT_AND_LONG_TERM_DEBT","FQ1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184" s="3" t="e">
        <f ca="1">_xll.BDH($C$178,"BS_ST_BORROW","FQ1 2015","FQ1 2015","Currency=INR","Period=FQ","BEST_FPERIOD_OVERRIDE=FQ","FILING_STATUS=OR","EQY_CONSOLIDATED=Y","SCALING_FORMAT=MLN","Sort=A","Dates=H","DateFormat=P","Fill=—","Direction=H","UseDPDF=Y")</f>
        <v>#NAME?</v>
      </c>
      <c r="CA184" s="3" t="e">
        <f ca="1">_xll.BDH($C$178,"BS_LT_BORROW","FQ1 2015","FQ1 2015","Currency=INR","Period=FQ","BEST_FPERIOD_OVERRIDE=FQ","FILING_STATUS=OR","EQY_CONSOLIDATED=Y","SCALING_FORMAT=MLN","Sort=A","Dates=H","DateFormat=P","Fill=—","Direction=H","UseDPDF=Y")</f>
        <v>#NAME?</v>
      </c>
      <c r="CB184" s="2" t="e">
        <f ca="1">_xll.BDH($C$178,"TOT_DEBT_TO_EBITDA","FQ1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184" s="2" t="e">
        <f ca="1">_xll.BDH($C$178,"NET_DEBT_TO_EBITDA","FQ1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184" s="2" t="e">
        <f ca="1">_xll.BDH($C$178,"TOTAL_DEBT_TO_EBIT","FQ1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184" s="2" t="e">
        <f ca="1">_xll.BDH($C$178,"NET_DEBT_TO_EBIT","FQ1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184" s="2" t="e">
        <f ca="1">_xll.BDH($C$178,"EBITDA_TO_INTEREST_EXPN","FQ1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184" s="2" t="e">
        <f ca="1">_xll.BDH($C$178,"COM_EQY_TO_TOT_ASSET","FQ1 2015","FQ1 2015","Currency=INR","Period=FQ","BEST_FPERIOD_OVERRIDE=FQ","FILING_STATUS=OR","EQY_CONSOLIDATED=Y","Sort=A","Dates=H","DateFormat=P","Fill=—","Direction=H","UseDPDF=Y")</f>
        <v>#NAME?</v>
      </c>
      <c r="CH184" s="2" t="e">
        <f ca="1">_xll.BDH($C$178,"LT_DEBT_TO_TOT_EQY","FQ1 2015","FQ1 2015","Currency=INR","Period=FQ","BEST_FPERIOD_OVERRIDE=FQ","FILING_STATUS=OR","EQY_CONSOLIDATED=Y","Sort=A","Dates=H","DateFormat=P","Fill=—","Direction=H","UseDPDF=Y")</f>
        <v>#NAME?</v>
      </c>
      <c r="CI184" s="2" t="e">
        <f ca="1">_xll.BDH($C$178,"LT_DEBT_TO_TOT_CAP","FQ1 2015","FQ1 2015","Currency=INR","Period=FQ","BEST_FPERIOD_OVERRIDE=FQ","FILING_STATUS=OR","EQY_CONSOLIDATED=Y","Sort=A","Dates=H","DateFormat=P","Fill=—","Direction=H","UseDPDF=Y")</f>
        <v>#NAME?</v>
      </c>
      <c r="CJ184" s="2" t="e">
        <f ca="1">_xll.BDH($C$178,"LT_DEBT_TO_TOT_ASSET","FQ1 2015","FQ1 2015","Currency=INR","Period=FQ","BEST_FPERIOD_OVERRIDE=FQ","FILING_STATUS=OR","EQY_CONSOLIDATED=Y","Sort=A","Dates=H","DateFormat=P","Fill=—","Direction=H","UseDPDF=Y")</f>
        <v>#NAME?</v>
      </c>
      <c r="CK184" s="2" t="e">
        <f ca="1">_xll.BDH($C$178,"TOT_DEBT_TO_TOT_EQY","FQ1 2015","FQ1 2015","Currency=INR","Period=FQ","BEST_FPERIOD_OVERRIDE=FQ","FILING_STATUS=OR","EQY_CONSOLIDATED=Y","Sort=A","Dates=H","DateFormat=P","Fill=—","Direction=H","UseDPDF=Y")</f>
        <v>#NAME?</v>
      </c>
      <c r="CL184" s="2" t="e">
        <f ca="1">_xll.BDH($C$178,"TOT_DEBT_TO_TOT_CAP","FQ1 2015","FQ1 2015","Currency=INR","Period=FQ","BEST_FPERIOD_OVERRIDE=FQ","FILING_STATUS=OR","EQY_CONSOLIDATED=Y","Sort=A","Dates=H","DateFormat=P","Fill=—","Direction=H","UseDPDF=Y")</f>
        <v>#NAME?</v>
      </c>
      <c r="CM184" s="2" t="e">
        <f ca="1">_xll.BDH($C$178,"TOT_DEBT_TO_TOT_ASSET","FQ1 2015","FQ1 2015","Currency=INR","Period=FQ","BEST_FPERIOD_OVERRIDE=FQ","FILING_STATUS=OR","EQY_CONSOLIDATED=Y","Sort=A","Dates=H","DateFormat=P","Fill=—","Direction=H","UseDPDF=Y")</f>
        <v>#NAME?</v>
      </c>
      <c r="CN184" s="2" t="e">
        <f ca="1">_xll.BDH($C$178,"NET_DEBT_TO_SHRHLDR_EQTY","FQ1 2015","FQ1 2015","Currency=INR","Period=FQ","BEST_FPERIOD_OVERRIDE=FQ","FILING_STATUS=OR","EQY_CONSOLIDATED=Y","Sort=A","Dates=H","DateFormat=P","Fill=—","Direction=H","UseDPDF=Y")</f>
        <v>#NAME?</v>
      </c>
      <c r="CO184" s="2" t="e">
        <f ca="1">_xll.BDH($C$178,"NET_DEBT_%_CAPITAL","FQ1 2015","FQ1 2015","Currency=INR","Period=FQ","BEST_FPERIOD_OVERRIDE=FQ","FILING_STATUS=OR","EQY_CONSOLIDATED=Y","Sort=A","Dates=H","DateFormat=P","Fill=—","Direction=H","UseDPDF=Y")</f>
        <v>#NAME?</v>
      </c>
      <c r="CP184" s="3" t="e">
        <f ca="1">_xll.BDH($C$178,"EBITDA","FQ1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184" s="3" t="e">
        <f ca="1">_xll.BDH($C$178,"EBITDA_AFTER_CAPEX","FQ1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184" s="3" t="e">
        <f ca="1">_xll.BDH($C$178,"IS_OPER_INC","FQ1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184" s="2" t="e">
        <f ca="1">_xll.BDH($C$178,"CASH_RATIO","FQ1 2015","FQ1 2015","Currency=INR","Period=FQ","BEST_FPERIOD_OVERRIDE=FQ","FILING_STATUS=OR","EQY_CONSOLIDATED=Y","Sort=A","Dates=H","DateFormat=P","Fill=—","Direction=H","UseDPDF=Y")</f>
        <v>#NAME?</v>
      </c>
      <c r="CT184" s="2" t="e">
        <f ca="1">_xll.BDH($C$178,"CUR_RATIO","FQ1 2015","FQ1 2015","Currency=INR","Period=FQ","BEST_FPERIOD_OVERRIDE=FQ","FILING_STATUS=OR","EQY_CONSOLIDATED=Y","Sort=A","Dates=H","DateFormat=P","Fill=—","Direction=H","UseDPDF=Y")</f>
        <v>#NAME?</v>
      </c>
      <c r="CU184" s="2" t="e">
        <f ca="1">_xll.BDH($C$178,"QUICK_RATIO","FQ1 2015","FQ1 2015","Currency=INR","Period=FQ","BEST_FPERIOD_OVERRIDE=FQ","FILING_STATUS=OR","EQY_CONSOLIDATED=Y","Sort=A","Dates=H","DateFormat=P","Fill=—","Direction=H","UseDPDF=Y")</f>
        <v>#NAME?</v>
      </c>
      <c r="CV184" s="2" t="e">
        <f ca="1">_xll.BDH($C$178,"ALTMAN_Z_SCORE","FQ1 2015","FQ1 2015","Currency=INR","Period=FQ","BEST_FPERIOD_OVERRIDE=FQ","FILING_STATUS=OR","EQY_CONSOLIDATED=Y","Sort=A","Dates=H","DateFormat=P","Fill=—","Direction=H","UseDPDF=Y")</f>
        <v>#NAME?</v>
      </c>
      <c r="CW184" s="4" t="e">
        <f ca="1">_xll.BDH($C$178,"ACCT_RCV_TURN","FQ1 2015","FQ1 2015","Currency=INR","Period=FQ","BEST_FPERIOD_OVERRIDE=FQ","FILING_STATUS=OR","EQY_CONSOLIDATED=Y","FA_ADJUSTED=GAAP","Sort=A","Dates=H","DateFormat=P","Fill=—","Direction=H","UseDPDF=Y")</f>
        <v>#NAME?</v>
      </c>
      <c r="CX184" s="2" t="e">
        <f ca="1">_xll.BDH($C$178,"ACCT_RCV_DAYS","FQ1 2015","FQ1 2015","Currency=INR","Period=FQ","BEST_FPERIOD_OVERRIDE=FQ","FILING_STATUS=OR","EQY_CONSOLIDATED=Y","FA_ADJUSTED=GAAP","Sort=A","Dates=H","DateFormat=P","Fill=—","Direction=H","UseDPDF=Y")</f>
        <v>#NAME?</v>
      </c>
      <c r="CY184" s="4" t="e">
        <f ca="1">_xll.BDH($C$178,"INVENT_TURN","FQ1 2015","FQ1 2015","Currency=INR","Period=FQ","BEST_FPERIOD_OVERRIDE=FQ","FILING_STATUS=OR","EQY_CONSOLIDATED=Y","FA_ADJUSTED=GAAP","Sort=A","Dates=H","DateFormat=P","Fill=—","Direction=H","UseDPDF=Y")</f>
        <v>#NAME?</v>
      </c>
      <c r="CZ184" s="2" t="e">
        <f ca="1">_xll.BDH($C$178,"INVENT_DAYS","FQ1 2015","FQ1 2015","Currency=INR","Period=FQ","BEST_FPERIOD_OVERRIDE=FQ","FILING_STATUS=OR","EQY_CONSOLIDATED=Y","FA_ADJUSTED=GAAP","Sort=A","Dates=H","DateFormat=P","Fill=—","Direction=H","UseDPDF=Y")</f>
        <v>#NAME?</v>
      </c>
      <c r="DA184" s="4" t="e">
        <f ca="1">_xll.BDH($C$178,"ACCOUNTS_PAYABLE_TURNOVER","FQ1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184" s="2" t="e">
        <f ca="1">_xll.BDH($C$178,"ACCOUNTS_PAYABLE_TURNOVER_DAYS","FQ1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184" s="4" t="e">
        <f ca="1">_xll.BDH($C$178,"CASH_CONVERSION_CYCLE","FQ1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184" s="4" t="e">
        <f ca="1">_xll.BDH($C$178,"INV_TO_CASH_DAYS","FQ1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184" s="5" t="e">
        <f ca="1">_xll.BDH($C$178,"BS_INVENTORIES","FQ1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184" s="3" t="e">
        <f ca="1">_xll.BDH($C$178,"INVTRY_RAW_MATERIALS","FQ1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184" s="3" t="e">
        <f ca="1">_xll.BDH($C$178,"INVTRY_IN_PROGRESS","FQ1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184" s="3" t="e">
        <f ca="1">_xll.BDH($C$178,"INVTRY_FINISHED_GOODS","FQ1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184" s="3" t="e">
        <f ca="1">_xll.BDH($C$178,"BS_OTHER_INV","FQ1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185" spans="1:113" x14ac:dyDescent="0.3">
      <c r="A185" s="6"/>
      <c r="B185" s="6"/>
      <c r="C185" s="6"/>
      <c r="D185" s="6"/>
      <c r="E185" t="s">
        <v>79</v>
      </c>
      <c r="F185" t="e">
        <f ca="1">_xll.BDH($C$178,"RETURN_COM_EQY","FQ2 2015","FQ2 2015","Currency=INR","Period=FQ","BEST_FPERIOD_OVERRIDE=FQ","FILING_STATUS=OR","EQY_CONSOLIDATED=Y","FA_ADJUSTED=GAAP","Sort=A","Dates=H","DateFormat=P","Fill=—","Direction=H","UseDPDF=Y")</f>
        <v>#NAME?</v>
      </c>
      <c r="G185" t="e">
        <f ca="1">_xll.BDH($C$178,"RETURN_ON_ASSET","FQ2 2015","FQ2 2015","Currency=INR","Period=FQ","BEST_FPERIOD_OVERRIDE=FQ","FILING_STATUS=OR","EQY_CONSOLIDATED=Y","FA_ADJUSTED=GAAP","Sort=A","Dates=H","DateFormat=P","Fill=—","Direction=H","UseDPDF=Y")</f>
        <v>#NAME?</v>
      </c>
      <c r="H185" t="e">
        <f ca="1">_xll.BDH($C$178,"RETURN_ON_CAP","FQ2 2015","FQ2 2015","Currency=INR","Period=FQ","BEST_FPERIOD_OVERRIDE=FQ","FILING_STATUS=OR","EQY_CONSOLIDATED=Y","FA_ADJUSTED=GAAP","Sort=A","Dates=H","DateFormat=P","Fill=—","Direction=H","UseDPDF=Y")</f>
        <v>#NAME?</v>
      </c>
      <c r="I185" t="e">
        <f ca="1">_xll.BDH($C$178,"RETURN_ON_INV_CAPITAL","FQ2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185" t="e">
        <f ca="1">_xll.BDH($C$178,"EBITDA_TO_REVENUE","FQ2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185" t="e">
        <f ca="1">_xll.BDH($C$178,"OPER_MARGIN","FQ2 2015","FQ2 2015","Currency=INR","Period=FQ","BEST_FPERIOD_OVERRIDE=FQ","FILING_STATUS=OR","EQY_CONSOLIDATED=Y","FA_ADJUSTED=GAAP","Sort=A","Dates=H","DateFormat=P","Fill=—","Direction=H","UseDPDF=Y")</f>
        <v>#NAME?</v>
      </c>
      <c r="L185" t="e">
        <f ca="1">_xll.BDH($C$178,"INCREMENTAL_OPERATING_MARGIN","FQ2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185" t="e">
        <f ca="1">_xll.BDH($C$178,"PRETAX_INC_TO_NET_SALES","FQ2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185" t="e">
        <f ca="1">_xll.BDH($C$178,"INC_BEF_XO_ITEMS_TO_NET_SALES","FQ2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185" t="e">
        <f ca="1">_xll.BDH($C$178,"PROF_MARGIN","FQ2 2015","FQ2 2015","Currency=INR","Period=FQ","BEST_FPERIOD_OVERRIDE=FQ","FILING_STATUS=OR","EQY_CONSOLIDATED=Y","FA_ADJUSTED=GAAP","Sort=A","Dates=H","DateFormat=P","Fill=—","Direction=H","UseDPDF=Y")</f>
        <v>#NAME?</v>
      </c>
      <c r="P185" t="e">
        <f ca="1">_xll.BDH($C$178,"NET_INCOME_TO_COMMON_MARGIN","FQ2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185" t="e">
        <f ca="1">_xll.BDH($C$178,"EFF_TAX_RATE","FQ2 2015","FQ2 2015","Currency=INR","Period=FQ","BEST_FPERIOD_OVERRIDE=FQ","FILING_STATUS=OR","EQY_CONSOLIDATED=Y","FA_ADJUSTED=GAAP","Sort=A","Dates=H","DateFormat=P","Fill=—","Direction=H","UseDPDF=Y")</f>
        <v>#NAME?</v>
      </c>
      <c r="R185" t="e">
        <f ca="1">_xll.BDH($C$178,"DVD_PAYOUT_RATIO","FQ2 2015","FQ2 2015","Currency=INR","Period=FQ","BEST_FPERIOD_OVERRIDE=FQ","FILING_STATUS=OR","EQY_CONSOLIDATED=Y","FA_ADJUSTED=GAAP","Sort=A","Dates=H","DateFormat=P","Fill=—","Direction=H","UseDPDF=Y")</f>
        <v>#NAME?</v>
      </c>
      <c r="S185" t="e">
        <f ca="1">_xll.BDH($C$178,"SUSTAIN_GROWTH_RT","FQ2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185" s="2" t="e">
        <f ca="1">_xll.BDH($C$178,"SALES_GROWTH","FQ2 2015","FQ2 2015","Currency=INR","Period=FQ","BEST_FPERIOD_OVERRIDE=FQ","FILING_STATUS=OR","EQY_CONSOLIDATED=Y","FA_ADJUSTED=GAAP","Sort=A","Dates=H","DateFormat=P","Fill=—","Direction=H","UseDPDF=Y")</f>
        <v>#NAME?</v>
      </c>
      <c r="U185" s="2" t="e">
        <f ca="1">_xll.BDH($C$178,"EBITDA_GROWTH","FQ2 2015","FQ2 2015","Currency=INR","Period=FQ","BEST_FPERIOD_OVERRIDE=FQ","FILING_STATUS=OR","EQY_CONSOLIDATED=Y","FA_ADJUSTED=GAAP","Sort=A","Dates=H","DateFormat=P","Fill=—","Direction=H","UseDPDF=Y")</f>
        <v>#NAME?</v>
      </c>
      <c r="V185" s="2" t="e">
        <f ca="1">_xll.BDH($C$178,"OPER_INC_GROWTH","FQ2 2015","FQ2 2015","Currency=INR","Period=FQ","BEST_FPERIOD_OVERRIDE=FQ","FILING_STATUS=OR","EQY_CONSOLIDATED=Y","FA_ADJUSTED=GAAP","Sort=A","Dates=H","DateFormat=P","Fill=—","Direction=H","UseDPDF=Y")</f>
        <v>#NAME?</v>
      </c>
      <c r="W185" s="2" t="e">
        <f ca="1">_xll.BDH($C$178,"EARN_FOR_COM_GROWTH","FQ2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185" s="2" t="e">
        <f ca="1">_xll.BDH($C$178,"DILUTED_EPS_AFT_XO_ITEMS_GROWTH","FQ2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185" s="2" t="e">
        <f ca="1">_xll.BDH($C$178,"DIVIDEND_PER_SHARE_1_YEAR_GROWTH","FQ2 2015","FQ2 2015","Currency=INR","Period=FQ","BEST_FPERIOD_OVERRIDE=FQ","FILING_STATUS=OR","EQY_CONSOLIDATED=Y","Sort=A","Dates=H","DateFormat=P","Fill=—","Direction=H","UseDPDF=Y")</f>
        <v>#NAME?</v>
      </c>
      <c r="Z185" s="2" t="e">
        <f ca="1">_xll.BDH($C$178,"ACCOUNTS_RECEIVABLE_GROWTH","FQ2 2015","FQ2 2015","Currency=INR","Period=FQ","BEST_FPERIOD_OVERRIDE=FQ","FILING_STATUS=OR","EQY_CONSOLIDATED=Y","Sort=A","Dates=H","DateFormat=P","Fill=—","Direction=H","UseDPDF=Y")</f>
        <v>#NAME?</v>
      </c>
      <c r="AA185" s="2" t="e">
        <f ca="1">_xll.BDH($C$178,"INVENTORY_GROWTH","FQ2 2015","FQ2 2015","Currency=INR","Period=FQ","BEST_FPERIOD_OVERRIDE=FQ","FILING_STATUS=OR","EQY_CONSOLIDATED=Y","Sort=A","Dates=H","DateFormat=P","Fill=—","Direction=H","UseDPDF=Y")</f>
        <v>#NAME?</v>
      </c>
      <c r="AB185" s="2" t="e">
        <f ca="1">_xll.BDH($C$178,"NET_FIXED_ASSETS_1_YEAR_GROWTH","FQ2 2015","FQ2 2015","Currency=INR","Period=FQ","BEST_FPERIOD_OVERRIDE=FQ","FILING_STATUS=OR","EQY_CONSOLIDATED=Y","Sort=A","Dates=H","DateFormat=P","Fill=—","Direction=H","UseDPDF=Y")</f>
        <v>#NAME?</v>
      </c>
      <c r="AC185" s="2" t="e">
        <f ca="1">_xll.BDH($C$178,"ASSET_GROWTH","FQ2 2015","FQ2 2015","Currency=INR","Period=FQ","BEST_FPERIOD_OVERRIDE=FQ","FILING_STATUS=OR","EQY_CONSOLIDATED=Y","Sort=A","Dates=H","DateFormat=P","Fill=—","Direction=H","UseDPDF=Y")</f>
        <v>#NAME?</v>
      </c>
      <c r="AD185" s="2" t="e">
        <f ca="1">_xll.BDH($C$178,"MODIFIED_WORK_CAP_GROWTH","FQ2 2015","FQ2 2015","Currency=INR","Period=FQ","BEST_FPERIOD_OVERRIDE=FQ","FILING_STATUS=OR","EQY_CONSOLIDATED=Y","Sort=A","Dates=H","DateFormat=P","Fill=—","Direction=H","UseDPDF=Y")</f>
        <v>#NAME?</v>
      </c>
      <c r="AE185" s="2" t="e">
        <f ca="1">_xll.BDH($C$178,"WORK_CAP_GROWTH","FQ2 2015","FQ2 2015","Currency=INR","Period=FQ","BEST_FPERIOD_OVERRIDE=FQ","FILING_STATUS=OR","EQY_CONSOLIDATED=Y","Sort=A","Dates=H","DateFormat=P","Fill=—","Direction=H","UseDPDF=Y")</f>
        <v>#NAME?</v>
      </c>
      <c r="AF185" s="2" t="e">
        <f ca="1">_xll.BDH($C$178,"ACCOUNTS_PAYABLE_GROWTH_1YR","FQ2 2015","FQ2 2015","Currency=INR","Period=FQ","BEST_FPERIOD_OVERRIDE=FQ","FILING_STATUS=OR","EQY_CONSOLIDATED=Y","Sort=A","Dates=H","DateFormat=P","Fill=—","Direction=H","UseDPDF=Y")</f>
        <v>#NAME?</v>
      </c>
      <c r="AG185" s="2" t="e">
        <f ca="1">_xll.BDH($C$178,"SHORT_TERM_DEBT_1_YEAR_GROWTH","FQ2 2015","FQ2 2015","Currency=INR","Period=FQ","BEST_FPERIOD_OVERRIDE=FQ","FILING_STATUS=OR","EQY_CONSOLIDATED=Y","Sort=A","Dates=H","DateFormat=P","Fill=—","Direction=H","UseDPDF=Y")</f>
        <v>#NAME?</v>
      </c>
      <c r="AH185" s="2" t="e">
        <f ca="1">_xll.BDH($C$178,"TOTAL_DEBT_1_YEAR_GROWTH","FQ2 2015","FQ2 2015","Currency=INR","Period=FQ","BEST_FPERIOD_OVERRIDE=FQ","FILING_STATUS=OR","EQY_CONSOLIDATED=Y","Sort=A","Dates=H","DateFormat=P","Fill=—","Direction=H","UseDPDF=Y")</f>
        <v>#NAME?</v>
      </c>
      <c r="AI185" s="2" t="e">
        <f ca="1">_xll.BDH($C$178,"TOTAL_EQUITY_1_YEAR_GROWTH","FQ2 2015","FQ2 2015","Currency=INR","Period=FQ","BEST_FPERIOD_OVERRIDE=FQ","FILING_STATUS=OR","EQY_CONSOLIDATED=Y","Sort=A","Dates=H","DateFormat=P","Fill=—","Direction=H","UseDPDF=Y")</f>
        <v>#NAME?</v>
      </c>
      <c r="AJ185" s="2" t="e">
        <f ca="1">_xll.BDH($C$178,"GROWTH_IN_CAP","FQ2 2015","FQ2 2015","Currency=INR","Period=FQ","BEST_FPERIOD_OVERRIDE=FQ","FILING_STATUS=OR","EQY_CONSOLIDATED=Y","Sort=A","Dates=H","DateFormat=P","Fill=—","Direction=H","UseDPDF=Y")</f>
        <v>#NAME?</v>
      </c>
      <c r="AK185" s="2" t="e">
        <f ca="1">_xll.BDH($C$178,"BVPS_GROWTH","FQ2 2015","FQ2 2015","Currency=INR","Period=FQ","BEST_FPERIOD_OVERRIDE=FQ","FILING_STATUS=OR","EQY_CONSOLIDATED=Y","Sort=A","Dates=H","DateFormat=P","Fill=—","Direction=H","UseDPDF=Y")</f>
        <v>#NAME?</v>
      </c>
      <c r="AL185" s="2" t="e">
        <f ca="1">_xll.BDH($C$178,"CASH_FLOW_GROWTH","FQ2 2015","FQ2 2015","Currency=INR","Period=FQ","BEST_FPERIOD_OVERRIDE=FQ","FILING_STATUS=OR","EQY_CONSOLIDATED=Y","Sort=A","Dates=H","DateFormat=P","Fill=—","Direction=H","UseDPDF=Y")</f>
        <v>#NAME?</v>
      </c>
      <c r="AM185" s="2" t="e">
        <f ca="1">_xll.BDH($C$178,"GEO_GROW_NET_SALES","FQ2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185" s="2" t="e">
        <f ca="1">_xll.BDH($C$178,"GEO_GROW_EBITDA","FQ2 2015","FQ2 2015","Currency=INR","Period=FQ","BEST_FPERIOD_OVERRIDE=FQ","FILING_STATUS=OR","EQY_CONSOLIDATED=Y","FA_ADJUSTED=GAAP","Sort=A","Dates=H","DateFormat=P","Fill=—","Direction=H","UseDPDF=Y")</f>
        <v>#NAME?</v>
      </c>
      <c r="AO185" s="2" t="e">
        <f ca="1">_xll.BDH($C$178,"GEO_GROW_OPER_INC","FQ2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185" s="2" t="e">
        <f ca="1">_xll.BDH($C$178,"NET_INCOME_TO_COMMON_5_YR_GROWTH","FQ2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185" s="2" t="e">
        <f ca="1">_xll.BDH($C$178,"5Y_GEO_GROWTH_DILUTED_EPS","FQ2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185" s="2" t="e">
        <f ca="1">_xll.BDH($C$178,"GEO_GROW_DVD_PER_SH","FQ2 2015","FQ2 2015","Currency=INR","Period=FQ","BEST_FPERIOD_OVERRIDE=FQ","FILING_STATUS=OR","EQY_CONSOLIDATED=Y","Sort=A","Dates=H","DateFormat=P","Fill=—","Direction=H","UseDPDF=Y")</f>
        <v>#NAME?</v>
      </c>
      <c r="AS185" s="2" t="e">
        <f ca="1">_xll.BDH($C$178,"ACCOUNTS_RECEIVABLE_5_YR_GROWTH","FQ2 2015","FQ2 2015","Currency=INR","Period=FQ","BEST_FPERIOD_OVERRIDE=FQ","FILING_STATUS=OR","EQY_CONSOLIDATED=Y","Sort=A","Dates=H","DateFormat=P","Fill=—","Direction=H","UseDPDF=Y")</f>
        <v>#NAME?</v>
      </c>
      <c r="AT185" s="2" t="e">
        <f ca="1">_xll.BDH($C$178,"INVENTORY_5_YEAR_GROWTH","FQ2 2015","FQ2 2015","Currency=INR","Period=FQ","BEST_FPERIOD_OVERRIDE=FQ","FILING_STATUS=OR","EQY_CONSOLIDATED=Y","Sort=A","Dates=H","DateFormat=P","Fill=—","Direction=H","UseDPDF=Y")</f>
        <v>#NAME?</v>
      </c>
      <c r="AU185" s="2" t="e">
        <f ca="1">_xll.BDH($C$178,"NET_FIXED_ASSETS_5_YEAR_GROWTH","FQ2 2015","FQ2 2015","Currency=INR","Period=FQ","BEST_FPERIOD_OVERRIDE=FQ","FILING_STATUS=OR","EQY_CONSOLIDATED=Y","Sort=A","Dates=H","DateFormat=P","Fill=—","Direction=H","UseDPDF=Y")</f>
        <v>#NAME?</v>
      </c>
      <c r="AV185" s="2" t="e">
        <f ca="1">_xll.BDH($C$178,"GEO_GROW_TOT_ASSET","FQ2 2015","FQ2 2015","Currency=INR","Period=FQ","BEST_FPERIOD_OVERRIDE=FQ","FILING_STATUS=OR","EQY_CONSOLIDATED=Y","Sort=A","Dates=H","DateFormat=P","Fill=—","Direction=H","UseDPDF=Y")</f>
        <v>#NAME?</v>
      </c>
      <c r="AW185" s="2" t="e">
        <f ca="1">_xll.BDH($C$178,"MODIFIED_WORKING_CPTL_5YR_GRWTH","FQ2 2015","FQ2 2015","Currency=INR","Period=FQ","BEST_FPERIOD_OVERRIDE=FQ","FILING_STATUS=OR","EQY_CONSOLIDATED=Y","Sort=A","Dates=H","DateFormat=P","Fill=—","Direction=H","UseDPDF=Y")</f>
        <v>#NAME?</v>
      </c>
      <c r="AX185" s="2" t="e">
        <f ca="1">_xll.BDH($C$178,"WORKING_CAPITAL_5_YEAR_GROWTH","FQ2 2015","FQ2 2015","Currency=INR","Period=FQ","BEST_FPERIOD_OVERRIDE=FQ","FILING_STATUS=OR","EQY_CONSOLIDATED=Y","Sort=A","Dates=H","DateFormat=P","Fill=—","Direction=H","UseDPDF=Y")</f>
        <v>#NAME?</v>
      </c>
      <c r="AY185" s="2" t="e">
        <f ca="1">_xll.BDH($C$178,"ACCOUNTS_PAYABLE_5_YEAR_GROWTH","FQ2 2015","FQ2 2015","Currency=INR","Period=FQ","BEST_FPERIOD_OVERRIDE=FQ","FILING_STATUS=OR","EQY_CONSOLIDATED=Y","Sort=A","Dates=H","DateFormat=P","Fill=—","Direction=H","UseDPDF=Y")</f>
        <v>#NAME?</v>
      </c>
      <c r="AZ185" s="2" t="e">
        <f ca="1">_xll.BDH($C$178,"SHORT_TERM_DEBT_5_YEAR_GROWTH","FQ2 2015","FQ2 2015","Currency=INR","Period=FQ","BEST_FPERIOD_OVERRIDE=FQ","FILING_STATUS=OR","EQY_CONSOLIDATED=Y","Sort=A","Dates=H","DateFormat=P","Fill=—","Direction=H","UseDPDF=Y")</f>
        <v>#NAME?</v>
      </c>
      <c r="BA185" s="2" t="e">
        <f ca="1">_xll.BDH($C$178,"TOTAL_DEBT_5_YEAR_GROWTH","FQ2 2015","FQ2 2015","Currency=INR","Period=FQ","BEST_FPERIOD_OVERRIDE=FQ","FILING_STATUS=OR","EQY_CONSOLIDATED=Y","Sort=A","Dates=H","DateFormat=P","Fill=—","Direction=H","UseDPDF=Y")</f>
        <v>#NAME?</v>
      </c>
      <c r="BB185" s="2" t="e">
        <f ca="1">_xll.BDH($C$178,"GEO_GROW_TOT_SHRHLDR_EQY","FQ2 2015","FQ2 2015","Currency=INR","Period=FQ","BEST_FPERIOD_OVERRIDE=FQ","FILING_STATUS=OR","EQY_CONSOLIDATED=Y","Sort=A","Dates=H","DateFormat=P","Fill=—","Direction=H","UseDPDF=Y")</f>
        <v>#NAME?</v>
      </c>
      <c r="BC185" s="2" t="e">
        <f ca="1">_xll.BDH($C$178,"TOTAL_CAPITAL_5_YEAR_GROWTH","FQ2 2015","FQ2 2015","Currency=INR","Period=FQ","BEST_FPERIOD_OVERRIDE=FQ","FILING_STATUS=OR","EQY_CONSOLIDATED=Y","Sort=A","Dates=H","DateFormat=P","Fill=—","Direction=H","UseDPDF=Y")</f>
        <v>#NAME?</v>
      </c>
      <c r="BD185" s="2" t="e">
        <f ca="1">_xll.BDH($C$178,"GEO_GROW_BOOK_VAL","FQ2 2015","FQ2 2015","Currency=INR","Period=FQ","BEST_FPERIOD_OVERRIDE=FQ","FILING_STATUS=OR","EQY_CONSOLIDATED=Y","Sort=A","Dates=H","DateFormat=P","Fill=—","Direction=H","UseDPDF=Y")</f>
        <v>#NAME?</v>
      </c>
      <c r="BE185" s="2" t="e">
        <f ca="1">_xll.BDH($C$178,"GEO_GROW_CASH_OPER_ACT","FQ2 2015","FQ2 2015","Currency=INR","Period=FQ","BEST_FPERIOD_OVERRIDE=FQ","FILING_STATUS=OR","EQY_CONSOLIDATED=Y","Sort=A","Dates=H","DateFormat=P","Fill=—","Direction=H","UseDPDF=Y")</f>
        <v>#NAME?</v>
      </c>
      <c r="BF185" s="2" t="e">
        <f ca="1">_xll.BDH($C$178,"REVENUE_SEQUENTIAL_GROWTH","FQ2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185" s="2" t="e">
        <f ca="1">_xll.BDH($C$178,"EBITDA_SEQUENTIAL_GROWTH","FQ2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185" s="2" t="e">
        <f ca="1">_xll.BDH($C$178,"OPERATING_INCOME_SEQ_GROWTH","FQ2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185" s="2" t="e">
        <f ca="1">_xll.BDH($C$178,"NET_INCOME_TO_COMMON_SEQ_GROWTH","FQ2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185" s="2" t="e">
        <f ca="1">_xll.BDH($C$178,"EPS_DILUTED_SEQUENTIAL_GROWTH","FQ2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185" s="2" t="e">
        <f ca="1">_xll.BDH($C$178,"DPS_SEQUENTIAL_GROWTH","FQ2 2015","FQ2 2015","Currency=INR","Period=FQ","BEST_FPERIOD_OVERRIDE=FQ","FILING_STATUS=OR","EQY_CONSOLIDATED=Y","Sort=A","Dates=H","DateFormat=P","Fill=—","Direction=H","UseDPDF=Y")</f>
        <v>#NAME?</v>
      </c>
      <c r="BL185" s="2" t="e">
        <f ca="1">_xll.BDH($C$178,"ACCOUNTS_RECEIVABLE_SEQ_GROWTH","FQ2 2015","FQ2 2015","Currency=INR","Period=FQ","BEST_FPERIOD_OVERRIDE=FQ","FILING_STATUS=OR","EQY_CONSOLIDATED=Y","Sort=A","Dates=H","DateFormat=P","Fill=—","Direction=H","UseDPDF=Y")</f>
        <v>#NAME?</v>
      </c>
      <c r="BM185" s="2" t="e">
        <f ca="1">_xll.BDH($C$178,"INVENTORY_SEQUENTIAL_GROWTH","FQ2 2015","FQ2 2015","Currency=INR","Period=FQ","BEST_FPERIOD_OVERRIDE=FQ","FILING_STATUS=OR","EQY_CONSOLIDATED=Y","Sort=A","Dates=H","DateFormat=P","Fill=—","Direction=H","UseDPDF=Y")</f>
        <v>#NAME?</v>
      </c>
      <c r="BN185" s="2" t="e">
        <f ca="1">_xll.BDH($C$178,"FIXED_ASSETS_SEQUENTIAL_GROWTH","FQ2 2015","FQ2 2015","Currency=INR","Period=FQ","BEST_FPERIOD_OVERRIDE=FQ","FILING_STATUS=OR","EQY_CONSOLIDATED=Y","Sort=A","Dates=H","DateFormat=P","Fill=—","Direction=H","UseDPDF=Y")</f>
        <v>#NAME?</v>
      </c>
      <c r="BO185" s="2" t="e">
        <f ca="1">_xll.BDH($C$178,"TOTAL_ASSETS_SEQUENTIAL_GROWTH","FQ2 2015","FQ2 2015","Currency=INR","Period=FQ","BEST_FPERIOD_OVERRIDE=FQ","FILING_STATUS=OR","EQY_CONSOLIDATED=Y","Sort=A","Dates=H","DateFormat=P","Fill=—","Direction=H","UseDPDF=Y")</f>
        <v>#NAME?</v>
      </c>
      <c r="BP185" s="2" t="e">
        <f ca="1">_xll.BDH($C$178,"MODIFIED_WORKING_CPTL_SEQ_GRWTH","FQ2 2015","FQ2 2015","Currency=INR","Period=FQ","BEST_FPERIOD_OVERRIDE=FQ","FILING_STATUS=OR","EQY_CONSOLIDATED=Y","Sort=A","Dates=H","DateFormat=P","Fill=—","Direction=H","UseDPDF=Y")</f>
        <v>#NAME?</v>
      </c>
      <c r="BQ185" s="2" t="e">
        <f ca="1">_xll.BDH($C$178,"WORKING_CAPITAL_SEQ_GROWTH","FQ2 2015","FQ2 2015","Currency=INR","Period=FQ","BEST_FPERIOD_OVERRIDE=FQ","FILING_STATUS=OR","EQY_CONSOLIDATED=Y","Sort=A","Dates=H","DateFormat=P","Fill=—","Direction=H","UseDPDF=Y")</f>
        <v>#NAME?</v>
      </c>
      <c r="BR185" s="2" t="e">
        <f ca="1">_xll.BDH($C$178,"ACCOUNTS_PAYABLE_SEQ_GROWTH","FQ2 2015","FQ2 2015","Currency=INR","Period=FQ","BEST_FPERIOD_OVERRIDE=FQ","FILING_STATUS=OR","EQY_CONSOLIDATED=Y","Sort=A","Dates=H","DateFormat=P","Fill=—","Direction=H","UseDPDF=Y")</f>
        <v>#NAME?</v>
      </c>
      <c r="BS185" s="2" t="e">
        <f ca="1">_xll.BDH($C$178,"ST_DEBT_SEQUENTIAL_GROWTH","FQ2 2015","FQ2 2015","Currency=INR","Period=FQ","BEST_FPERIOD_OVERRIDE=FQ","FILING_STATUS=OR","EQY_CONSOLIDATED=Y","Sort=A","Dates=H","DateFormat=P","Fill=—","Direction=H","UseDPDF=Y")</f>
        <v>#NAME?</v>
      </c>
      <c r="BT185" s="2" t="e">
        <f ca="1">_xll.BDH($C$178,"TOTAL_DEBT_SEQUENTIAL_GROWTH","FQ2 2015","FQ2 2015","Currency=INR","Period=FQ","BEST_FPERIOD_OVERRIDE=FQ","FILING_STATUS=OR","EQY_CONSOLIDATED=Y","Sort=A","Dates=H","DateFormat=P","Fill=—","Direction=H","UseDPDF=Y")</f>
        <v>#NAME?</v>
      </c>
      <c r="BU185" s="2" t="e">
        <f ca="1">_xll.BDH($C$178,"TOTAL_EQUITY_SEQUENTIAL_GROWTH","FQ2 2015","FQ2 2015","Currency=INR","Period=FQ","BEST_FPERIOD_OVERRIDE=FQ","FILING_STATUS=OR","EQY_CONSOLIDATED=Y","Sort=A","Dates=H","DateFormat=P","Fill=—","Direction=H","UseDPDF=Y")</f>
        <v>#NAME?</v>
      </c>
      <c r="BV185" s="2" t="e">
        <f ca="1">_xll.BDH($C$178,"TOTAL_CAPITAL_SEQUENTIAL_GROWTH","FQ2 2015","FQ2 2015","Currency=INR","Period=FQ","BEST_FPERIOD_OVERRIDE=FQ","FILING_STATUS=OR","EQY_CONSOLIDATED=Y","Sort=A","Dates=H","DateFormat=P","Fill=—","Direction=H","UseDPDF=Y")</f>
        <v>#NAME?</v>
      </c>
      <c r="BW185" s="2" t="e">
        <f ca="1">_xll.BDH($C$178,"BPS_SEQUENTIAL_GROWTH","FQ2 2015","FQ2 2015","Currency=INR","Period=FQ","BEST_FPERIOD_OVERRIDE=FQ","FILING_STATUS=OR","EQY_CONSOLIDATED=Y","Sort=A","Dates=H","DateFormat=P","Fill=—","Direction=H","UseDPDF=Y")</f>
        <v>#NAME?</v>
      </c>
      <c r="BX185" s="2" t="e">
        <f ca="1">_xll.BDH($C$178,"CFO_SEQUENTIAL_GROWTH","FQ2 2015","FQ2 2015","Currency=INR","Period=FQ","BEST_FPERIOD_OVERRIDE=FQ","FILING_STATUS=OR","EQY_CONSOLIDATED=Y","Sort=A","Dates=H","DateFormat=P","Fill=—","Direction=H","UseDPDF=Y")</f>
        <v>#NAME?</v>
      </c>
      <c r="BY185" s="3" t="e">
        <f ca="1">_xll.BDH($C$178,"SHORT_AND_LONG_TERM_DEBT","FQ2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185" s="3" t="e">
        <f ca="1">_xll.BDH($C$178,"BS_ST_BORROW","FQ2 2015","FQ2 2015","Currency=INR","Period=FQ","BEST_FPERIOD_OVERRIDE=FQ","FILING_STATUS=OR","EQY_CONSOLIDATED=Y","SCALING_FORMAT=MLN","Sort=A","Dates=H","DateFormat=P","Fill=—","Direction=H","UseDPDF=Y")</f>
        <v>#NAME?</v>
      </c>
      <c r="CA185" s="3" t="e">
        <f ca="1">_xll.BDH($C$178,"BS_LT_BORROW","FQ2 2015","FQ2 2015","Currency=INR","Period=FQ","BEST_FPERIOD_OVERRIDE=FQ","FILING_STATUS=OR","EQY_CONSOLIDATED=Y","SCALING_FORMAT=MLN","Sort=A","Dates=H","DateFormat=P","Fill=—","Direction=H","UseDPDF=Y")</f>
        <v>#NAME?</v>
      </c>
      <c r="CB185" s="2" t="e">
        <f ca="1">_xll.BDH($C$178,"TOT_DEBT_TO_EBITDA","FQ2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185" s="2" t="e">
        <f ca="1">_xll.BDH($C$178,"NET_DEBT_TO_EBITDA","FQ2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185" s="2" t="e">
        <f ca="1">_xll.BDH($C$178,"TOTAL_DEBT_TO_EBIT","FQ2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185" s="2" t="e">
        <f ca="1">_xll.BDH($C$178,"NET_DEBT_TO_EBIT","FQ2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185" s="2" t="e">
        <f ca="1">_xll.BDH($C$178,"EBITDA_TO_INTEREST_EXPN","FQ2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185" s="2" t="e">
        <f ca="1">_xll.BDH($C$178,"COM_EQY_TO_TOT_ASSET","FQ2 2015","FQ2 2015","Currency=INR","Period=FQ","BEST_FPERIOD_OVERRIDE=FQ","FILING_STATUS=OR","EQY_CONSOLIDATED=Y","Sort=A","Dates=H","DateFormat=P","Fill=—","Direction=H","UseDPDF=Y")</f>
        <v>#NAME?</v>
      </c>
      <c r="CH185" s="2" t="e">
        <f ca="1">_xll.BDH($C$178,"LT_DEBT_TO_TOT_EQY","FQ2 2015","FQ2 2015","Currency=INR","Period=FQ","BEST_FPERIOD_OVERRIDE=FQ","FILING_STATUS=OR","EQY_CONSOLIDATED=Y","Sort=A","Dates=H","DateFormat=P","Fill=—","Direction=H","UseDPDF=Y")</f>
        <v>#NAME?</v>
      </c>
      <c r="CI185" s="2" t="e">
        <f ca="1">_xll.BDH($C$178,"LT_DEBT_TO_TOT_CAP","FQ2 2015","FQ2 2015","Currency=INR","Period=FQ","BEST_FPERIOD_OVERRIDE=FQ","FILING_STATUS=OR","EQY_CONSOLIDATED=Y","Sort=A","Dates=H","DateFormat=P","Fill=—","Direction=H","UseDPDF=Y")</f>
        <v>#NAME?</v>
      </c>
      <c r="CJ185" s="2" t="e">
        <f ca="1">_xll.BDH($C$178,"LT_DEBT_TO_TOT_ASSET","FQ2 2015","FQ2 2015","Currency=INR","Period=FQ","BEST_FPERIOD_OVERRIDE=FQ","FILING_STATUS=OR","EQY_CONSOLIDATED=Y","Sort=A","Dates=H","DateFormat=P","Fill=—","Direction=H","UseDPDF=Y")</f>
        <v>#NAME?</v>
      </c>
      <c r="CK185" s="2" t="e">
        <f ca="1">_xll.BDH($C$178,"TOT_DEBT_TO_TOT_EQY","FQ2 2015","FQ2 2015","Currency=INR","Period=FQ","BEST_FPERIOD_OVERRIDE=FQ","FILING_STATUS=OR","EQY_CONSOLIDATED=Y","Sort=A","Dates=H","DateFormat=P","Fill=—","Direction=H","UseDPDF=Y")</f>
        <v>#NAME?</v>
      </c>
      <c r="CL185" s="2" t="e">
        <f ca="1">_xll.BDH($C$178,"TOT_DEBT_TO_TOT_CAP","FQ2 2015","FQ2 2015","Currency=INR","Period=FQ","BEST_FPERIOD_OVERRIDE=FQ","FILING_STATUS=OR","EQY_CONSOLIDATED=Y","Sort=A","Dates=H","DateFormat=P","Fill=—","Direction=H","UseDPDF=Y")</f>
        <v>#NAME?</v>
      </c>
      <c r="CM185" s="2" t="e">
        <f ca="1">_xll.BDH($C$178,"TOT_DEBT_TO_TOT_ASSET","FQ2 2015","FQ2 2015","Currency=INR","Period=FQ","BEST_FPERIOD_OVERRIDE=FQ","FILING_STATUS=OR","EQY_CONSOLIDATED=Y","Sort=A","Dates=H","DateFormat=P","Fill=—","Direction=H","UseDPDF=Y")</f>
        <v>#NAME?</v>
      </c>
      <c r="CN185" s="2" t="e">
        <f ca="1">_xll.BDH($C$178,"NET_DEBT_TO_SHRHLDR_EQTY","FQ2 2015","FQ2 2015","Currency=INR","Period=FQ","BEST_FPERIOD_OVERRIDE=FQ","FILING_STATUS=OR","EQY_CONSOLIDATED=Y","Sort=A","Dates=H","DateFormat=P","Fill=—","Direction=H","UseDPDF=Y")</f>
        <v>#NAME?</v>
      </c>
      <c r="CO185" s="2" t="e">
        <f ca="1">_xll.BDH($C$178,"NET_DEBT_%_CAPITAL","FQ2 2015","FQ2 2015","Currency=INR","Period=FQ","BEST_FPERIOD_OVERRIDE=FQ","FILING_STATUS=OR","EQY_CONSOLIDATED=Y","Sort=A","Dates=H","DateFormat=P","Fill=—","Direction=H","UseDPDF=Y")</f>
        <v>#NAME?</v>
      </c>
      <c r="CP185" s="3" t="e">
        <f ca="1">_xll.BDH($C$178,"EBITDA","FQ2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185" s="3" t="e">
        <f ca="1">_xll.BDH($C$178,"EBITDA_AFTER_CAPEX","FQ2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185" s="3" t="e">
        <f ca="1">_xll.BDH($C$178,"IS_OPER_INC","FQ2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185" s="2" t="e">
        <f ca="1">_xll.BDH($C$178,"CASH_RATIO","FQ2 2015","FQ2 2015","Currency=INR","Period=FQ","BEST_FPERIOD_OVERRIDE=FQ","FILING_STATUS=OR","EQY_CONSOLIDATED=Y","Sort=A","Dates=H","DateFormat=P","Fill=—","Direction=H","UseDPDF=Y")</f>
        <v>#NAME?</v>
      </c>
      <c r="CT185" s="2" t="e">
        <f ca="1">_xll.BDH($C$178,"CUR_RATIO","FQ2 2015","FQ2 2015","Currency=INR","Period=FQ","BEST_FPERIOD_OVERRIDE=FQ","FILING_STATUS=OR","EQY_CONSOLIDATED=Y","Sort=A","Dates=H","DateFormat=P","Fill=—","Direction=H","UseDPDF=Y")</f>
        <v>#NAME?</v>
      </c>
      <c r="CU185" s="2" t="e">
        <f ca="1">_xll.BDH($C$178,"QUICK_RATIO","FQ2 2015","FQ2 2015","Currency=INR","Period=FQ","BEST_FPERIOD_OVERRIDE=FQ","FILING_STATUS=OR","EQY_CONSOLIDATED=Y","Sort=A","Dates=H","DateFormat=P","Fill=—","Direction=H","UseDPDF=Y")</f>
        <v>#NAME?</v>
      </c>
      <c r="CV185" s="2" t="e">
        <f ca="1">_xll.BDH($C$178,"ALTMAN_Z_SCORE","FQ2 2015","FQ2 2015","Currency=INR","Period=FQ","BEST_FPERIOD_OVERRIDE=FQ","FILING_STATUS=OR","EQY_CONSOLIDATED=Y","Sort=A","Dates=H","DateFormat=P","Fill=—","Direction=H","UseDPDF=Y")</f>
        <v>#NAME?</v>
      </c>
      <c r="CW185" s="4" t="e">
        <f ca="1">_xll.BDH($C$178,"ACCT_RCV_TURN","FQ2 2015","FQ2 2015","Currency=INR","Period=FQ","BEST_FPERIOD_OVERRIDE=FQ","FILING_STATUS=OR","EQY_CONSOLIDATED=Y","FA_ADJUSTED=GAAP","Sort=A","Dates=H","DateFormat=P","Fill=—","Direction=H","UseDPDF=Y")</f>
        <v>#NAME?</v>
      </c>
      <c r="CX185" s="2" t="e">
        <f ca="1">_xll.BDH($C$178,"ACCT_RCV_DAYS","FQ2 2015","FQ2 2015","Currency=INR","Period=FQ","BEST_FPERIOD_OVERRIDE=FQ","FILING_STATUS=OR","EQY_CONSOLIDATED=Y","FA_ADJUSTED=GAAP","Sort=A","Dates=H","DateFormat=P","Fill=—","Direction=H","UseDPDF=Y")</f>
        <v>#NAME?</v>
      </c>
      <c r="CY185" s="4" t="e">
        <f ca="1">_xll.BDH($C$178,"INVENT_TURN","FQ2 2015","FQ2 2015","Currency=INR","Period=FQ","BEST_FPERIOD_OVERRIDE=FQ","FILING_STATUS=OR","EQY_CONSOLIDATED=Y","FA_ADJUSTED=GAAP","Sort=A","Dates=H","DateFormat=P","Fill=—","Direction=H","UseDPDF=Y")</f>
        <v>#NAME?</v>
      </c>
      <c r="CZ185" s="2" t="e">
        <f ca="1">_xll.BDH($C$178,"INVENT_DAYS","FQ2 2015","FQ2 2015","Currency=INR","Period=FQ","BEST_FPERIOD_OVERRIDE=FQ","FILING_STATUS=OR","EQY_CONSOLIDATED=Y","FA_ADJUSTED=GAAP","Sort=A","Dates=H","DateFormat=P","Fill=—","Direction=H","UseDPDF=Y")</f>
        <v>#NAME?</v>
      </c>
      <c r="DA185" s="4" t="e">
        <f ca="1">_xll.BDH($C$178,"ACCOUNTS_PAYABLE_TURNOVER","FQ2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185" s="2" t="e">
        <f ca="1">_xll.BDH($C$178,"ACCOUNTS_PAYABLE_TURNOVER_DAYS","FQ2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185" s="4" t="e">
        <f ca="1">_xll.BDH($C$178,"CASH_CONVERSION_CYCLE","FQ2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185" s="4" t="e">
        <f ca="1">_xll.BDH($C$178,"INV_TO_CASH_DAYS","FQ2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185" s="5" t="e">
        <f ca="1">_xll.BDH($C$178,"BS_INVENTORIES","FQ2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185" s="3" t="e">
        <f ca="1">_xll.BDH($C$178,"INVTRY_RAW_MATERIALS","FQ2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185" s="3" t="e">
        <f ca="1">_xll.BDH($C$178,"INVTRY_IN_PROGRESS","FQ2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185" s="3" t="e">
        <f ca="1">_xll.BDH($C$178,"INVTRY_FINISHED_GOODS","FQ2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185" s="3" t="e">
        <f ca="1">_xll.BDH($C$178,"BS_OTHER_INV","FQ2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186" spans="1:113" x14ac:dyDescent="0.3">
      <c r="A186" s="6"/>
      <c r="B186" s="6"/>
      <c r="C186" s="6"/>
      <c r="D186" s="6"/>
      <c r="E186" t="s">
        <v>80</v>
      </c>
      <c r="F186" t="e">
        <f ca="1">_xll.BDH($C$178,"RETURN_COM_EQY","FQ3 2015","FQ3 2015","Currency=INR","Period=FQ","BEST_FPERIOD_OVERRIDE=FQ","FILING_STATUS=OR","EQY_CONSOLIDATED=Y","FA_ADJUSTED=GAAP","Sort=A","Dates=H","DateFormat=P","Fill=—","Direction=H","UseDPDF=Y")</f>
        <v>#NAME?</v>
      </c>
      <c r="G186" t="e">
        <f ca="1">_xll.BDH($C$178,"RETURN_ON_ASSET","FQ3 2015","FQ3 2015","Currency=INR","Period=FQ","BEST_FPERIOD_OVERRIDE=FQ","FILING_STATUS=OR","EQY_CONSOLIDATED=Y","FA_ADJUSTED=GAAP","Sort=A","Dates=H","DateFormat=P","Fill=—","Direction=H","UseDPDF=Y")</f>
        <v>#NAME?</v>
      </c>
      <c r="H186" t="e">
        <f ca="1">_xll.BDH($C$178,"RETURN_ON_CAP","FQ3 2015","FQ3 2015","Currency=INR","Period=FQ","BEST_FPERIOD_OVERRIDE=FQ","FILING_STATUS=OR","EQY_CONSOLIDATED=Y","FA_ADJUSTED=GAAP","Sort=A","Dates=H","DateFormat=P","Fill=—","Direction=H","UseDPDF=Y")</f>
        <v>#NAME?</v>
      </c>
      <c r="I186" t="e">
        <f ca="1">_xll.BDH($C$178,"RETURN_ON_INV_CAPITAL","FQ3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186" t="e">
        <f ca="1">_xll.BDH($C$178,"EBITDA_TO_REVENUE","FQ3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186" t="e">
        <f ca="1">_xll.BDH($C$178,"OPER_MARGIN","FQ3 2015","FQ3 2015","Currency=INR","Period=FQ","BEST_FPERIOD_OVERRIDE=FQ","FILING_STATUS=OR","EQY_CONSOLIDATED=Y","FA_ADJUSTED=GAAP","Sort=A","Dates=H","DateFormat=P","Fill=—","Direction=H","UseDPDF=Y")</f>
        <v>#NAME?</v>
      </c>
      <c r="L186" t="e">
        <f ca="1">_xll.BDH($C$178,"INCREMENTAL_OPERATING_MARGIN","FQ3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186" t="e">
        <f ca="1">_xll.BDH($C$178,"PRETAX_INC_TO_NET_SALES","FQ3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186" t="e">
        <f ca="1">_xll.BDH($C$178,"INC_BEF_XO_ITEMS_TO_NET_SALES","FQ3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186" t="e">
        <f ca="1">_xll.BDH($C$178,"PROF_MARGIN","FQ3 2015","FQ3 2015","Currency=INR","Period=FQ","BEST_FPERIOD_OVERRIDE=FQ","FILING_STATUS=OR","EQY_CONSOLIDATED=Y","FA_ADJUSTED=GAAP","Sort=A","Dates=H","DateFormat=P","Fill=—","Direction=H","UseDPDF=Y")</f>
        <v>#NAME?</v>
      </c>
      <c r="P186" t="e">
        <f ca="1">_xll.BDH($C$178,"NET_INCOME_TO_COMMON_MARGIN","FQ3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186" t="e">
        <f ca="1">_xll.BDH($C$178,"EFF_TAX_RATE","FQ3 2015","FQ3 2015","Currency=INR","Period=FQ","BEST_FPERIOD_OVERRIDE=FQ","FILING_STATUS=OR","EQY_CONSOLIDATED=Y","FA_ADJUSTED=GAAP","Sort=A","Dates=H","DateFormat=P","Fill=—","Direction=H","UseDPDF=Y")</f>
        <v>#NAME?</v>
      </c>
      <c r="R186" t="e">
        <f ca="1">_xll.BDH($C$178,"DVD_PAYOUT_RATIO","FQ3 2015","FQ3 2015","Currency=INR","Period=FQ","BEST_FPERIOD_OVERRIDE=FQ","FILING_STATUS=OR","EQY_CONSOLIDATED=Y","FA_ADJUSTED=GAAP","Sort=A","Dates=H","DateFormat=P","Fill=—","Direction=H","UseDPDF=Y")</f>
        <v>#NAME?</v>
      </c>
      <c r="S186" t="e">
        <f ca="1">_xll.BDH($C$178,"SUSTAIN_GROWTH_RT","FQ3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186" s="2" t="e">
        <f ca="1">_xll.BDH($C$178,"SALES_GROWTH","FQ3 2015","FQ3 2015","Currency=INR","Period=FQ","BEST_FPERIOD_OVERRIDE=FQ","FILING_STATUS=OR","EQY_CONSOLIDATED=Y","FA_ADJUSTED=GAAP","Sort=A","Dates=H","DateFormat=P","Fill=—","Direction=H","UseDPDF=Y")</f>
        <v>#NAME?</v>
      </c>
      <c r="U186" s="2" t="e">
        <f ca="1">_xll.BDH($C$178,"EBITDA_GROWTH","FQ3 2015","FQ3 2015","Currency=INR","Period=FQ","BEST_FPERIOD_OVERRIDE=FQ","FILING_STATUS=OR","EQY_CONSOLIDATED=Y","FA_ADJUSTED=GAAP","Sort=A","Dates=H","DateFormat=P","Fill=—","Direction=H","UseDPDF=Y")</f>
        <v>#NAME?</v>
      </c>
      <c r="V186" s="2" t="e">
        <f ca="1">_xll.BDH($C$178,"OPER_INC_GROWTH","FQ3 2015","FQ3 2015","Currency=INR","Period=FQ","BEST_FPERIOD_OVERRIDE=FQ","FILING_STATUS=OR","EQY_CONSOLIDATED=Y","FA_ADJUSTED=GAAP","Sort=A","Dates=H","DateFormat=P","Fill=—","Direction=H","UseDPDF=Y")</f>
        <v>#NAME?</v>
      </c>
      <c r="W186" s="2" t="e">
        <f ca="1">_xll.BDH($C$178,"EARN_FOR_COM_GROWTH","FQ3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186" s="2" t="e">
        <f ca="1">_xll.BDH($C$178,"DILUTED_EPS_AFT_XO_ITEMS_GROWTH","FQ3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186" s="2" t="e">
        <f ca="1">_xll.BDH($C$178,"DIVIDEND_PER_SHARE_1_YEAR_GROWTH","FQ3 2015","FQ3 2015","Currency=INR","Period=FQ","BEST_FPERIOD_OVERRIDE=FQ","FILING_STATUS=OR","EQY_CONSOLIDATED=Y","Sort=A","Dates=H","DateFormat=P","Fill=—","Direction=H","UseDPDF=Y")</f>
        <v>#NAME?</v>
      </c>
      <c r="Z186" s="2" t="e">
        <f ca="1">_xll.BDH($C$178,"ACCOUNTS_RECEIVABLE_GROWTH","FQ3 2015","FQ3 2015","Currency=INR","Period=FQ","BEST_FPERIOD_OVERRIDE=FQ","FILING_STATUS=OR","EQY_CONSOLIDATED=Y","Sort=A","Dates=H","DateFormat=P","Fill=—","Direction=H","UseDPDF=Y")</f>
        <v>#NAME?</v>
      </c>
      <c r="AA186" s="2" t="e">
        <f ca="1">_xll.BDH($C$178,"INVENTORY_GROWTH","FQ3 2015","FQ3 2015","Currency=INR","Period=FQ","BEST_FPERIOD_OVERRIDE=FQ","FILING_STATUS=OR","EQY_CONSOLIDATED=Y","Sort=A","Dates=H","DateFormat=P","Fill=—","Direction=H","UseDPDF=Y")</f>
        <v>#NAME?</v>
      </c>
      <c r="AB186" s="2" t="e">
        <f ca="1">_xll.BDH($C$178,"NET_FIXED_ASSETS_1_YEAR_GROWTH","FQ3 2015","FQ3 2015","Currency=INR","Period=FQ","BEST_FPERIOD_OVERRIDE=FQ","FILING_STATUS=OR","EQY_CONSOLIDATED=Y","Sort=A","Dates=H","DateFormat=P","Fill=—","Direction=H","UseDPDF=Y")</f>
        <v>#NAME?</v>
      </c>
      <c r="AC186" s="2" t="e">
        <f ca="1">_xll.BDH($C$178,"ASSET_GROWTH","FQ3 2015","FQ3 2015","Currency=INR","Period=FQ","BEST_FPERIOD_OVERRIDE=FQ","FILING_STATUS=OR","EQY_CONSOLIDATED=Y","Sort=A","Dates=H","DateFormat=P","Fill=—","Direction=H","UseDPDF=Y")</f>
        <v>#NAME?</v>
      </c>
      <c r="AD186" s="2" t="e">
        <f ca="1">_xll.BDH($C$178,"MODIFIED_WORK_CAP_GROWTH","FQ3 2015","FQ3 2015","Currency=INR","Period=FQ","BEST_FPERIOD_OVERRIDE=FQ","FILING_STATUS=OR","EQY_CONSOLIDATED=Y","Sort=A","Dates=H","DateFormat=P","Fill=—","Direction=H","UseDPDF=Y")</f>
        <v>#NAME?</v>
      </c>
      <c r="AE186" s="2" t="e">
        <f ca="1">_xll.BDH($C$178,"WORK_CAP_GROWTH","FQ3 2015","FQ3 2015","Currency=INR","Period=FQ","BEST_FPERIOD_OVERRIDE=FQ","FILING_STATUS=OR","EQY_CONSOLIDATED=Y","Sort=A","Dates=H","DateFormat=P","Fill=—","Direction=H","UseDPDF=Y")</f>
        <v>#NAME?</v>
      </c>
      <c r="AF186" s="2" t="e">
        <f ca="1">_xll.BDH($C$178,"ACCOUNTS_PAYABLE_GROWTH_1YR","FQ3 2015","FQ3 2015","Currency=INR","Period=FQ","BEST_FPERIOD_OVERRIDE=FQ","FILING_STATUS=OR","EQY_CONSOLIDATED=Y","Sort=A","Dates=H","DateFormat=P","Fill=—","Direction=H","UseDPDF=Y")</f>
        <v>#NAME?</v>
      </c>
      <c r="AG186" s="2" t="e">
        <f ca="1">_xll.BDH($C$178,"SHORT_TERM_DEBT_1_YEAR_GROWTH","FQ3 2015","FQ3 2015","Currency=INR","Period=FQ","BEST_FPERIOD_OVERRIDE=FQ","FILING_STATUS=OR","EQY_CONSOLIDATED=Y","Sort=A","Dates=H","DateFormat=P","Fill=—","Direction=H","UseDPDF=Y")</f>
        <v>#NAME?</v>
      </c>
      <c r="AH186" s="2" t="e">
        <f ca="1">_xll.BDH($C$178,"TOTAL_DEBT_1_YEAR_GROWTH","FQ3 2015","FQ3 2015","Currency=INR","Period=FQ","BEST_FPERIOD_OVERRIDE=FQ","FILING_STATUS=OR","EQY_CONSOLIDATED=Y","Sort=A","Dates=H","DateFormat=P","Fill=—","Direction=H","UseDPDF=Y")</f>
        <v>#NAME?</v>
      </c>
      <c r="AI186" s="2" t="e">
        <f ca="1">_xll.BDH($C$178,"TOTAL_EQUITY_1_YEAR_GROWTH","FQ3 2015","FQ3 2015","Currency=INR","Period=FQ","BEST_FPERIOD_OVERRIDE=FQ","FILING_STATUS=OR","EQY_CONSOLIDATED=Y","Sort=A","Dates=H","DateFormat=P","Fill=—","Direction=H","UseDPDF=Y")</f>
        <v>#NAME?</v>
      </c>
      <c r="AJ186" s="2" t="e">
        <f ca="1">_xll.BDH($C$178,"GROWTH_IN_CAP","FQ3 2015","FQ3 2015","Currency=INR","Period=FQ","BEST_FPERIOD_OVERRIDE=FQ","FILING_STATUS=OR","EQY_CONSOLIDATED=Y","Sort=A","Dates=H","DateFormat=P","Fill=—","Direction=H","UseDPDF=Y")</f>
        <v>#NAME?</v>
      </c>
      <c r="AK186" s="2" t="e">
        <f ca="1">_xll.BDH($C$178,"BVPS_GROWTH","FQ3 2015","FQ3 2015","Currency=INR","Period=FQ","BEST_FPERIOD_OVERRIDE=FQ","FILING_STATUS=OR","EQY_CONSOLIDATED=Y","Sort=A","Dates=H","DateFormat=P","Fill=—","Direction=H","UseDPDF=Y")</f>
        <v>#NAME?</v>
      </c>
      <c r="AL186" s="2" t="e">
        <f ca="1">_xll.BDH($C$178,"CASH_FLOW_GROWTH","FQ3 2015","FQ3 2015","Currency=INR","Period=FQ","BEST_FPERIOD_OVERRIDE=FQ","FILING_STATUS=OR","EQY_CONSOLIDATED=Y","Sort=A","Dates=H","DateFormat=P","Fill=—","Direction=H","UseDPDF=Y")</f>
        <v>#NAME?</v>
      </c>
      <c r="AM186" s="2" t="e">
        <f ca="1">_xll.BDH($C$178,"GEO_GROW_NET_SALES","FQ3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186" s="2" t="e">
        <f ca="1">_xll.BDH($C$178,"GEO_GROW_EBITDA","FQ3 2015","FQ3 2015","Currency=INR","Period=FQ","BEST_FPERIOD_OVERRIDE=FQ","FILING_STATUS=OR","EQY_CONSOLIDATED=Y","FA_ADJUSTED=GAAP","Sort=A","Dates=H","DateFormat=P","Fill=—","Direction=H","UseDPDF=Y")</f>
        <v>#NAME?</v>
      </c>
      <c r="AO186" s="2" t="e">
        <f ca="1">_xll.BDH($C$178,"GEO_GROW_OPER_INC","FQ3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186" s="2" t="e">
        <f ca="1">_xll.BDH($C$178,"NET_INCOME_TO_COMMON_5_YR_GROWTH","FQ3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186" s="2" t="e">
        <f ca="1">_xll.BDH($C$178,"5Y_GEO_GROWTH_DILUTED_EPS","FQ3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186" s="2" t="e">
        <f ca="1">_xll.BDH($C$178,"GEO_GROW_DVD_PER_SH","FQ3 2015","FQ3 2015","Currency=INR","Period=FQ","BEST_FPERIOD_OVERRIDE=FQ","FILING_STATUS=OR","EQY_CONSOLIDATED=Y","Sort=A","Dates=H","DateFormat=P","Fill=—","Direction=H","UseDPDF=Y")</f>
        <v>#NAME?</v>
      </c>
      <c r="AS186" s="2" t="e">
        <f ca="1">_xll.BDH($C$178,"ACCOUNTS_RECEIVABLE_5_YR_GROWTH","FQ3 2015","FQ3 2015","Currency=INR","Period=FQ","BEST_FPERIOD_OVERRIDE=FQ","FILING_STATUS=OR","EQY_CONSOLIDATED=Y","Sort=A","Dates=H","DateFormat=P","Fill=—","Direction=H","UseDPDF=Y")</f>
        <v>#NAME?</v>
      </c>
      <c r="AT186" s="2" t="e">
        <f ca="1">_xll.BDH($C$178,"INVENTORY_5_YEAR_GROWTH","FQ3 2015","FQ3 2015","Currency=INR","Period=FQ","BEST_FPERIOD_OVERRIDE=FQ","FILING_STATUS=OR","EQY_CONSOLIDATED=Y","Sort=A","Dates=H","DateFormat=P","Fill=—","Direction=H","UseDPDF=Y")</f>
        <v>#NAME?</v>
      </c>
      <c r="AU186" s="2" t="e">
        <f ca="1">_xll.BDH($C$178,"NET_FIXED_ASSETS_5_YEAR_GROWTH","FQ3 2015","FQ3 2015","Currency=INR","Period=FQ","BEST_FPERIOD_OVERRIDE=FQ","FILING_STATUS=OR","EQY_CONSOLIDATED=Y","Sort=A","Dates=H","DateFormat=P","Fill=—","Direction=H","UseDPDF=Y")</f>
        <v>#NAME?</v>
      </c>
      <c r="AV186" s="2" t="e">
        <f ca="1">_xll.BDH($C$178,"GEO_GROW_TOT_ASSET","FQ3 2015","FQ3 2015","Currency=INR","Period=FQ","BEST_FPERIOD_OVERRIDE=FQ","FILING_STATUS=OR","EQY_CONSOLIDATED=Y","Sort=A","Dates=H","DateFormat=P","Fill=—","Direction=H","UseDPDF=Y")</f>
        <v>#NAME?</v>
      </c>
      <c r="AW186" s="2" t="e">
        <f ca="1">_xll.BDH($C$178,"MODIFIED_WORKING_CPTL_5YR_GRWTH","FQ3 2015","FQ3 2015","Currency=INR","Period=FQ","BEST_FPERIOD_OVERRIDE=FQ","FILING_STATUS=OR","EQY_CONSOLIDATED=Y","Sort=A","Dates=H","DateFormat=P","Fill=—","Direction=H","UseDPDF=Y")</f>
        <v>#NAME?</v>
      </c>
      <c r="AX186" s="2" t="e">
        <f ca="1">_xll.BDH($C$178,"WORKING_CAPITAL_5_YEAR_GROWTH","FQ3 2015","FQ3 2015","Currency=INR","Period=FQ","BEST_FPERIOD_OVERRIDE=FQ","FILING_STATUS=OR","EQY_CONSOLIDATED=Y","Sort=A","Dates=H","DateFormat=P","Fill=—","Direction=H","UseDPDF=Y")</f>
        <v>#NAME?</v>
      </c>
      <c r="AY186" s="2" t="e">
        <f ca="1">_xll.BDH($C$178,"ACCOUNTS_PAYABLE_5_YEAR_GROWTH","FQ3 2015","FQ3 2015","Currency=INR","Period=FQ","BEST_FPERIOD_OVERRIDE=FQ","FILING_STATUS=OR","EQY_CONSOLIDATED=Y","Sort=A","Dates=H","DateFormat=P","Fill=—","Direction=H","UseDPDF=Y")</f>
        <v>#NAME?</v>
      </c>
      <c r="AZ186" s="2" t="e">
        <f ca="1">_xll.BDH($C$178,"SHORT_TERM_DEBT_5_YEAR_GROWTH","FQ3 2015","FQ3 2015","Currency=INR","Period=FQ","BEST_FPERIOD_OVERRIDE=FQ","FILING_STATUS=OR","EQY_CONSOLIDATED=Y","Sort=A","Dates=H","DateFormat=P","Fill=—","Direction=H","UseDPDF=Y")</f>
        <v>#NAME?</v>
      </c>
      <c r="BA186" s="2" t="e">
        <f ca="1">_xll.BDH($C$178,"TOTAL_DEBT_5_YEAR_GROWTH","FQ3 2015","FQ3 2015","Currency=INR","Period=FQ","BEST_FPERIOD_OVERRIDE=FQ","FILING_STATUS=OR","EQY_CONSOLIDATED=Y","Sort=A","Dates=H","DateFormat=P","Fill=—","Direction=H","UseDPDF=Y")</f>
        <v>#NAME?</v>
      </c>
      <c r="BB186" s="2" t="e">
        <f ca="1">_xll.BDH($C$178,"GEO_GROW_TOT_SHRHLDR_EQY","FQ3 2015","FQ3 2015","Currency=INR","Period=FQ","BEST_FPERIOD_OVERRIDE=FQ","FILING_STATUS=OR","EQY_CONSOLIDATED=Y","Sort=A","Dates=H","DateFormat=P","Fill=—","Direction=H","UseDPDF=Y")</f>
        <v>#NAME?</v>
      </c>
      <c r="BC186" s="2" t="e">
        <f ca="1">_xll.BDH($C$178,"TOTAL_CAPITAL_5_YEAR_GROWTH","FQ3 2015","FQ3 2015","Currency=INR","Period=FQ","BEST_FPERIOD_OVERRIDE=FQ","FILING_STATUS=OR","EQY_CONSOLIDATED=Y","Sort=A","Dates=H","DateFormat=P","Fill=—","Direction=H","UseDPDF=Y")</f>
        <v>#NAME?</v>
      </c>
      <c r="BD186" s="2" t="e">
        <f ca="1">_xll.BDH($C$178,"GEO_GROW_BOOK_VAL","FQ3 2015","FQ3 2015","Currency=INR","Period=FQ","BEST_FPERIOD_OVERRIDE=FQ","FILING_STATUS=OR","EQY_CONSOLIDATED=Y","Sort=A","Dates=H","DateFormat=P","Fill=—","Direction=H","UseDPDF=Y")</f>
        <v>#NAME?</v>
      </c>
      <c r="BE186" s="2" t="e">
        <f ca="1">_xll.BDH($C$178,"GEO_GROW_CASH_OPER_ACT","FQ3 2015","FQ3 2015","Currency=INR","Period=FQ","BEST_FPERIOD_OVERRIDE=FQ","FILING_STATUS=OR","EQY_CONSOLIDATED=Y","Sort=A","Dates=H","DateFormat=P","Fill=—","Direction=H","UseDPDF=Y")</f>
        <v>#NAME?</v>
      </c>
      <c r="BF186" s="2" t="e">
        <f ca="1">_xll.BDH($C$178,"REVENUE_SEQUENTIAL_GROWTH","FQ3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186" s="2" t="e">
        <f ca="1">_xll.BDH($C$178,"EBITDA_SEQUENTIAL_GROWTH","FQ3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186" s="2" t="e">
        <f ca="1">_xll.BDH($C$178,"OPERATING_INCOME_SEQ_GROWTH","FQ3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186" s="2" t="e">
        <f ca="1">_xll.BDH($C$178,"NET_INCOME_TO_COMMON_SEQ_GROWTH","FQ3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186" s="2" t="e">
        <f ca="1">_xll.BDH($C$178,"EPS_DILUTED_SEQUENTIAL_GROWTH","FQ3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186" s="2" t="e">
        <f ca="1">_xll.BDH($C$178,"DPS_SEQUENTIAL_GROWTH","FQ3 2015","FQ3 2015","Currency=INR","Period=FQ","BEST_FPERIOD_OVERRIDE=FQ","FILING_STATUS=OR","EQY_CONSOLIDATED=Y","Sort=A","Dates=H","DateFormat=P","Fill=—","Direction=H","UseDPDF=Y")</f>
        <v>#NAME?</v>
      </c>
      <c r="BL186" s="2" t="e">
        <f ca="1">_xll.BDH($C$178,"ACCOUNTS_RECEIVABLE_SEQ_GROWTH","FQ3 2015","FQ3 2015","Currency=INR","Period=FQ","BEST_FPERIOD_OVERRIDE=FQ","FILING_STATUS=OR","EQY_CONSOLIDATED=Y","Sort=A","Dates=H","DateFormat=P","Fill=—","Direction=H","UseDPDF=Y")</f>
        <v>#NAME?</v>
      </c>
      <c r="BM186" s="2" t="e">
        <f ca="1">_xll.BDH($C$178,"INVENTORY_SEQUENTIAL_GROWTH","FQ3 2015","FQ3 2015","Currency=INR","Period=FQ","BEST_FPERIOD_OVERRIDE=FQ","FILING_STATUS=OR","EQY_CONSOLIDATED=Y","Sort=A","Dates=H","DateFormat=P","Fill=—","Direction=H","UseDPDF=Y")</f>
        <v>#NAME?</v>
      </c>
      <c r="BN186" s="2" t="e">
        <f ca="1">_xll.BDH($C$178,"FIXED_ASSETS_SEQUENTIAL_GROWTH","FQ3 2015","FQ3 2015","Currency=INR","Period=FQ","BEST_FPERIOD_OVERRIDE=FQ","FILING_STATUS=OR","EQY_CONSOLIDATED=Y","Sort=A","Dates=H","DateFormat=P","Fill=—","Direction=H","UseDPDF=Y")</f>
        <v>#NAME?</v>
      </c>
      <c r="BO186" s="2" t="e">
        <f ca="1">_xll.BDH($C$178,"TOTAL_ASSETS_SEQUENTIAL_GROWTH","FQ3 2015","FQ3 2015","Currency=INR","Period=FQ","BEST_FPERIOD_OVERRIDE=FQ","FILING_STATUS=OR","EQY_CONSOLIDATED=Y","Sort=A","Dates=H","DateFormat=P","Fill=—","Direction=H","UseDPDF=Y")</f>
        <v>#NAME?</v>
      </c>
      <c r="BP186" s="2" t="e">
        <f ca="1">_xll.BDH($C$178,"MODIFIED_WORKING_CPTL_SEQ_GRWTH","FQ3 2015","FQ3 2015","Currency=INR","Period=FQ","BEST_FPERIOD_OVERRIDE=FQ","FILING_STATUS=OR","EQY_CONSOLIDATED=Y","Sort=A","Dates=H","DateFormat=P","Fill=—","Direction=H","UseDPDF=Y")</f>
        <v>#NAME?</v>
      </c>
      <c r="BQ186" s="2" t="e">
        <f ca="1">_xll.BDH($C$178,"WORKING_CAPITAL_SEQ_GROWTH","FQ3 2015","FQ3 2015","Currency=INR","Period=FQ","BEST_FPERIOD_OVERRIDE=FQ","FILING_STATUS=OR","EQY_CONSOLIDATED=Y","Sort=A","Dates=H","DateFormat=P","Fill=—","Direction=H","UseDPDF=Y")</f>
        <v>#NAME?</v>
      </c>
      <c r="BR186" s="2" t="e">
        <f ca="1">_xll.BDH($C$178,"ACCOUNTS_PAYABLE_SEQ_GROWTH","FQ3 2015","FQ3 2015","Currency=INR","Period=FQ","BEST_FPERIOD_OVERRIDE=FQ","FILING_STATUS=OR","EQY_CONSOLIDATED=Y","Sort=A","Dates=H","DateFormat=P","Fill=—","Direction=H","UseDPDF=Y")</f>
        <v>#NAME?</v>
      </c>
      <c r="BS186" s="2" t="e">
        <f ca="1">_xll.BDH($C$178,"ST_DEBT_SEQUENTIAL_GROWTH","FQ3 2015","FQ3 2015","Currency=INR","Period=FQ","BEST_FPERIOD_OVERRIDE=FQ","FILING_STATUS=OR","EQY_CONSOLIDATED=Y","Sort=A","Dates=H","DateFormat=P","Fill=—","Direction=H","UseDPDF=Y")</f>
        <v>#NAME?</v>
      </c>
      <c r="BT186" s="2" t="e">
        <f ca="1">_xll.BDH($C$178,"TOTAL_DEBT_SEQUENTIAL_GROWTH","FQ3 2015","FQ3 2015","Currency=INR","Period=FQ","BEST_FPERIOD_OVERRIDE=FQ","FILING_STATUS=OR","EQY_CONSOLIDATED=Y","Sort=A","Dates=H","DateFormat=P","Fill=—","Direction=H","UseDPDF=Y")</f>
        <v>#NAME?</v>
      </c>
      <c r="BU186" s="2" t="e">
        <f ca="1">_xll.BDH($C$178,"TOTAL_EQUITY_SEQUENTIAL_GROWTH","FQ3 2015","FQ3 2015","Currency=INR","Period=FQ","BEST_FPERIOD_OVERRIDE=FQ","FILING_STATUS=OR","EQY_CONSOLIDATED=Y","Sort=A","Dates=H","DateFormat=P","Fill=—","Direction=H","UseDPDF=Y")</f>
        <v>#NAME?</v>
      </c>
      <c r="BV186" s="2" t="e">
        <f ca="1">_xll.BDH($C$178,"TOTAL_CAPITAL_SEQUENTIAL_GROWTH","FQ3 2015","FQ3 2015","Currency=INR","Period=FQ","BEST_FPERIOD_OVERRIDE=FQ","FILING_STATUS=OR","EQY_CONSOLIDATED=Y","Sort=A","Dates=H","DateFormat=P","Fill=—","Direction=H","UseDPDF=Y")</f>
        <v>#NAME?</v>
      </c>
      <c r="BW186" s="2" t="e">
        <f ca="1">_xll.BDH($C$178,"BPS_SEQUENTIAL_GROWTH","FQ3 2015","FQ3 2015","Currency=INR","Period=FQ","BEST_FPERIOD_OVERRIDE=FQ","FILING_STATUS=OR","EQY_CONSOLIDATED=Y","Sort=A","Dates=H","DateFormat=P","Fill=—","Direction=H","UseDPDF=Y")</f>
        <v>#NAME?</v>
      </c>
      <c r="BX186" s="2" t="e">
        <f ca="1">_xll.BDH($C$178,"CFO_SEQUENTIAL_GROWTH","FQ3 2015","FQ3 2015","Currency=INR","Period=FQ","BEST_FPERIOD_OVERRIDE=FQ","FILING_STATUS=OR","EQY_CONSOLIDATED=Y","Sort=A","Dates=H","DateFormat=P","Fill=—","Direction=H","UseDPDF=Y")</f>
        <v>#NAME?</v>
      </c>
      <c r="BY186" s="3" t="e">
        <f ca="1">_xll.BDH($C$178,"SHORT_AND_LONG_TERM_DEBT","FQ3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186" s="3" t="e">
        <f ca="1">_xll.BDH($C$178,"BS_ST_BORROW","FQ3 2015","FQ3 2015","Currency=INR","Period=FQ","BEST_FPERIOD_OVERRIDE=FQ","FILING_STATUS=OR","EQY_CONSOLIDATED=Y","SCALING_FORMAT=MLN","Sort=A","Dates=H","DateFormat=P","Fill=—","Direction=H","UseDPDF=Y")</f>
        <v>#NAME?</v>
      </c>
      <c r="CA186" s="3" t="e">
        <f ca="1">_xll.BDH($C$178,"BS_LT_BORROW","FQ3 2015","FQ3 2015","Currency=INR","Period=FQ","BEST_FPERIOD_OVERRIDE=FQ","FILING_STATUS=OR","EQY_CONSOLIDATED=Y","SCALING_FORMAT=MLN","Sort=A","Dates=H","DateFormat=P","Fill=—","Direction=H","UseDPDF=Y")</f>
        <v>#NAME?</v>
      </c>
      <c r="CB186" s="2" t="e">
        <f ca="1">_xll.BDH($C$178,"TOT_DEBT_TO_EBITDA","FQ3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186" s="2" t="e">
        <f ca="1">_xll.BDH($C$178,"NET_DEBT_TO_EBITDA","FQ3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186" s="2" t="e">
        <f ca="1">_xll.BDH($C$178,"TOTAL_DEBT_TO_EBIT","FQ3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186" s="2" t="e">
        <f ca="1">_xll.BDH($C$178,"NET_DEBT_TO_EBIT","FQ3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186" s="2" t="e">
        <f ca="1">_xll.BDH($C$178,"EBITDA_TO_INTEREST_EXPN","FQ3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186" s="2" t="e">
        <f ca="1">_xll.BDH($C$178,"COM_EQY_TO_TOT_ASSET","FQ3 2015","FQ3 2015","Currency=INR","Period=FQ","BEST_FPERIOD_OVERRIDE=FQ","FILING_STATUS=OR","EQY_CONSOLIDATED=Y","Sort=A","Dates=H","DateFormat=P","Fill=—","Direction=H","UseDPDF=Y")</f>
        <v>#NAME?</v>
      </c>
      <c r="CH186" s="2" t="e">
        <f ca="1">_xll.BDH($C$178,"LT_DEBT_TO_TOT_EQY","FQ3 2015","FQ3 2015","Currency=INR","Period=FQ","BEST_FPERIOD_OVERRIDE=FQ","FILING_STATUS=OR","EQY_CONSOLIDATED=Y","Sort=A","Dates=H","DateFormat=P","Fill=—","Direction=H","UseDPDF=Y")</f>
        <v>#NAME?</v>
      </c>
      <c r="CI186" s="2" t="e">
        <f ca="1">_xll.BDH($C$178,"LT_DEBT_TO_TOT_CAP","FQ3 2015","FQ3 2015","Currency=INR","Period=FQ","BEST_FPERIOD_OVERRIDE=FQ","FILING_STATUS=OR","EQY_CONSOLIDATED=Y","Sort=A","Dates=H","DateFormat=P","Fill=—","Direction=H","UseDPDF=Y")</f>
        <v>#NAME?</v>
      </c>
      <c r="CJ186" s="2" t="e">
        <f ca="1">_xll.BDH($C$178,"LT_DEBT_TO_TOT_ASSET","FQ3 2015","FQ3 2015","Currency=INR","Period=FQ","BEST_FPERIOD_OVERRIDE=FQ","FILING_STATUS=OR","EQY_CONSOLIDATED=Y","Sort=A","Dates=H","DateFormat=P","Fill=—","Direction=H","UseDPDF=Y")</f>
        <v>#NAME?</v>
      </c>
      <c r="CK186" s="2" t="e">
        <f ca="1">_xll.BDH($C$178,"TOT_DEBT_TO_TOT_EQY","FQ3 2015","FQ3 2015","Currency=INR","Period=FQ","BEST_FPERIOD_OVERRIDE=FQ","FILING_STATUS=OR","EQY_CONSOLIDATED=Y","Sort=A","Dates=H","DateFormat=P","Fill=—","Direction=H","UseDPDF=Y")</f>
        <v>#NAME?</v>
      </c>
      <c r="CL186" s="2" t="e">
        <f ca="1">_xll.BDH($C$178,"TOT_DEBT_TO_TOT_CAP","FQ3 2015","FQ3 2015","Currency=INR","Period=FQ","BEST_FPERIOD_OVERRIDE=FQ","FILING_STATUS=OR","EQY_CONSOLIDATED=Y","Sort=A","Dates=H","DateFormat=P","Fill=—","Direction=H","UseDPDF=Y")</f>
        <v>#NAME?</v>
      </c>
      <c r="CM186" s="2" t="e">
        <f ca="1">_xll.BDH($C$178,"TOT_DEBT_TO_TOT_ASSET","FQ3 2015","FQ3 2015","Currency=INR","Period=FQ","BEST_FPERIOD_OVERRIDE=FQ","FILING_STATUS=OR","EQY_CONSOLIDATED=Y","Sort=A","Dates=H","DateFormat=P","Fill=—","Direction=H","UseDPDF=Y")</f>
        <v>#NAME?</v>
      </c>
      <c r="CN186" s="2" t="e">
        <f ca="1">_xll.BDH($C$178,"NET_DEBT_TO_SHRHLDR_EQTY","FQ3 2015","FQ3 2015","Currency=INR","Period=FQ","BEST_FPERIOD_OVERRIDE=FQ","FILING_STATUS=OR","EQY_CONSOLIDATED=Y","Sort=A","Dates=H","DateFormat=P","Fill=—","Direction=H","UseDPDF=Y")</f>
        <v>#NAME?</v>
      </c>
      <c r="CO186" s="2" t="e">
        <f ca="1">_xll.BDH($C$178,"NET_DEBT_%_CAPITAL","FQ3 2015","FQ3 2015","Currency=INR","Period=FQ","BEST_FPERIOD_OVERRIDE=FQ","FILING_STATUS=OR","EQY_CONSOLIDATED=Y","Sort=A","Dates=H","DateFormat=P","Fill=—","Direction=H","UseDPDF=Y")</f>
        <v>#NAME?</v>
      </c>
      <c r="CP186" s="3" t="e">
        <f ca="1">_xll.BDH($C$178,"EBITDA","FQ3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186" s="3" t="e">
        <f ca="1">_xll.BDH($C$178,"EBITDA_AFTER_CAPEX","FQ3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186" s="3" t="e">
        <f ca="1">_xll.BDH($C$178,"IS_OPER_INC","FQ3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186" s="2" t="e">
        <f ca="1">_xll.BDH($C$178,"CASH_RATIO","FQ3 2015","FQ3 2015","Currency=INR","Period=FQ","BEST_FPERIOD_OVERRIDE=FQ","FILING_STATUS=OR","EQY_CONSOLIDATED=Y","Sort=A","Dates=H","DateFormat=P","Fill=—","Direction=H","UseDPDF=Y")</f>
        <v>#NAME?</v>
      </c>
      <c r="CT186" s="2" t="e">
        <f ca="1">_xll.BDH($C$178,"CUR_RATIO","FQ3 2015","FQ3 2015","Currency=INR","Period=FQ","BEST_FPERIOD_OVERRIDE=FQ","FILING_STATUS=OR","EQY_CONSOLIDATED=Y","Sort=A","Dates=H","DateFormat=P","Fill=—","Direction=H","UseDPDF=Y")</f>
        <v>#NAME?</v>
      </c>
      <c r="CU186" s="2" t="e">
        <f ca="1">_xll.BDH($C$178,"QUICK_RATIO","FQ3 2015","FQ3 2015","Currency=INR","Period=FQ","BEST_FPERIOD_OVERRIDE=FQ","FILING_STATUS=OR","EQY_CONSOLIDATED=Y","Sort=A","Dates=H","DateFormat=P","Fill=—","Direction=H","UseDPDF=Y")</f>
        <v>#NAME?</v>
      </c>
      <c r="CV186" s="2" t="e">
        <f ca="1">_xll.BDH($C$178,"ALTMAN_Z_SCORE","FQ3 2015","FQ3 2015","Currency=INR","Period=FQ","BEST_FPERIOD_OVERRIDE=FQ","FILING_STATUS=OR","EQY_CONSOLIDATED=Y","Sort=A","Dates=H","DateFormat=P","Fill=—","Direction=H","UseDPDF=Y")</f>
        <v>#NAME?</v>
      </c>
      <c r="CW186" s="4" t="e">
        <f ca="1">_xll.BDH($C$178,"ACCT_RCV_TURN","FQ3 2015","FQ3 2015","Currency=INR","Period=FQ","BEST_FPERIOD_OVERRIDE=FQ","FILING_STATUS=OR","EQY_CONSOLIDATED=Y","FA_ADJUSTED=GAAP","Sort=A","Dates=H","DateFormat=P","Fill=—","Direction=H","UseDPDF=Y")</f>
        <v>#NAME?</v>
      </c>
      <c r="CX186" s="2" t="e">
        <f ca="1">_xll.BDH($C$178,"ACCT_RCV_DAYS","FQ3 2015","FQ3 2015","Currency=INR","Period=FQ","BEST_FPERIOD_OVERRIDE=FQ","FILING_STATUS=OR","EQY_CONSOLIDATED=Y","FA_ADJUSTED=GAAP","Sort=A","Dates=H","DateFormat=P","Fill=—","Direction=H","UseDPDF=Y")</f>
        <v>#NAME?</v>
      </c>
      <c r="CY186" s="4" t="e">
        <f ca="1">_xll.BDH($C$178,"INVENT_TURN","FQ3 2015","FQ3 2015","Currency=INR","Period=FQ","BEST_FPERIOD_OVERRIDE=FQ","FILING_STATUS=OR","EQY_CONSOLIDATED=Y","FA_ADJUSTED=GAAP","Sort=A","Dates=H","DateFormat=P","Fill=—","Direction=H","UseDPDF=Y")</f>
        <v>#NAME?</v>
      </c>
      <c r="CZ186" s="2" t="e">
        <f ca="1">_xll.BDH($C$178,"INVENT_DAYS","FQ3 2015","FQ3 2015","Currency=INR","Period=FQ","BEST_FPERIOD_OVERRIDE=FQ","FILING_STATUS=OR","EQY_CONSOLIDATED=Y","FA_ADJUSTED=GAAP","Sort=A","Dates=H","DateFormat=P","Fill=—","Direction=H","UseDPDF=Y")</f>
        <v>#NAME?</v>
      </c>
      <c r="DA186" s="4" t="e">
        <f ca="1">_xll.BDH($C$178,"ACCOUNTS_PAYABLE_TURNOVER","FQ3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186" s="2" t="e">
        <f ca="1">_xll.BDH($C$178,"ACCOUNTS_PAYABLE_TURNOVER_DAYS","FQ3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186" s="4" t="e">
        <f ca="1">_xll.BDH($C$178,"CASH_CONVERSION_CYCLE","FQ3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186" s="4" t="e">
        <f ca="1">_xll.BDH($C$178,"INV_TO_CASH_DAYS","FQ3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186" s="5" t="e">
        <f ca="1">_xll.BDH($C$178,"BS_INVENTORIES","FQ3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186" s="3" t="e">
        <f ca="1">_xll.BDH($C$178,"INVTRY_RAW_MATERIALS","FQ3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186" s="3" t="e">
        <f ca="1">_xll.BDH($C$178,"INVTRY_IN_PROGRESS","FQ3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186" s="3" t="e">
        <f ca="1">_xll.BDH($C$178,"INVTRY_FINISHED_GOODS","FQ3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186" s="3" t="e">
        <f ca="1">_xll.BDH($C$178,"BS_OTHER_INV","FQ3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187" spans="1:113" x14ac:dyDescent="0.3">
      <c r="A187" s="6"/>
      <c r="B187" s="6"/>
      <c r="C187" s="6"/>
      <c r="D187" s="6"/>
      <c r="E187" t="s">
        <v>81</v>
      </c>
      <c r="F187" t="e">
        <f ca="1">_xll.BDH($C$178,"RETURN_COM_EQY","FQ4 2015","FQ4 2015","Currency=INR","Period=FQ","BEST_FPERIOD_OVERRIDE=FQ","FILING_STATUS=OR","EQY_CONSOLIDATED=Y","FA_ADJUSTED=GAAP","Sort=A","Dates=H","DateFormat=P","Fill=—","Direction=H","UseDPDF=Y")</f>
        <v>#NAME?</v>
      </c>
      <c r="G187" t="e">
        <f ca="1">_xll.BDH($C$178,"RETURN_ON_ASSET","FQ4 2015","FQ4 2015","Currency=INR","Period=FQ","BEST_FPERIOD_OVERRIDE=FQ","FILING_STATUS=OR","EQY_CONSOLIDATED=Y","FA_ADJUSTED=GAAP","Sort=A","Dates=H","DateFormat=P","Fill=—","Direction=H","UseDPDF=Y")</f>
        <v>#NAME?</v>
      </c>
      <c r="H187" t="e">
        <f ca="1">_xll.BDH($C$178,"RETURN_ON_CAP","FQ4 2015","FQ4 2015","Currency=INR","Period=FQ","BEST_FPERIOD_OVERRIDE=FQ","FILING_STATUS=OR","EQY_CONSOLIDATED=Y","FA_ADJUSTED=GAAP","Sort=A","Dates=H","DateFormat=P","Fill=—","Direction=H","UseDPDF=Y")</f>
        <v>#NAME?</v>
      </c>
      <c r="I187" t="e">
        <f ca="1">_xll.BDH($C$178,"RETURN_ON_INV_CAPITAL","FQ4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187" t="e">
        <f ca="1">_xll.BDH($C$178,"EBITDA_TO_REVENUE","FQ4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187" t="e">
        <f ca="1">_xll.BDH($C$178,"OPER_MARGIN","FQ4 2015","FQ4 2015","Currency=INR","Period=FQ","BEST_FPERIOD_OVERRIDE=FQ","FILING_STATUS=OR","EQY_CONSOLIDATED=Y","FA_ADJUSTED=GAAP","Sort=A","Dates=H","DateFormat=P","Fill=—","Direction=H","UseDPDF=Y")</f>
        <v>#NAME?</v>
      </c>
      <c r="L187" t="e">
        <f ca="1">_xll.BDH($C$178,"INCREMENTAL_OPERATING_MARGIN","FQ4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187" t="e">
        <f ca="1">_xll.BDH($C$178,"PRETAX_INC_TO_NET_SALES","FQ4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187" t="e">
        <f ca="1">_xll.BDH($C$178,"INC_BEF_XO_ITEMS_TO_NET_SALES","FQ4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187" t="e">
        <f ca="1">_xll.BDH($C$178,"PROF_MARGIN","FQ4 2015","FQ4 2015","Currency=INR","Period=FQ","BEST_FPERIOD_OVERRIDE=FQ","FILING_STATUS=OR","EQY_CONSOLIDATED=Y","FA_ADJUSTED=GAAP","Sort=A","Dates=H","DateFormat=P","Fill=—","Direction=H","UseDPDF=Y")</f>
        <v>#NAME?</v>
      </c>
      <c r="P187" t="e">
        <f ca="1">_xll.BDH($C$178,"NET_INCOME_TO_COMMON_MARGIN","FQ4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187" t="e">
        <f ca="1">_xll.BDH($C$178,"EFF_TAX_RATE","FQ4 2015","FQ4 2015","Currency=INR","Period=FQ","BEST_FPERIOD_OVERRIDE=FQ","FILING_STATUS=OR","EQY_CONSOLIDATED=Y","FA_ADJUSTED=GAAP","Sort=A","Dates=H","DateFormat=P","Fill=—","Direction=H","UseDPDF=Y")</f>
        <v>#NAME?</v>
      </c>
      <c r="R187" t="e">
        <f ca="1">_xll.BDH($C$178,"DVD_PAYOUT_RATIO","FQ4 2015","FQ4 2015","Currency=INR","Period=FQ","BEST_FPERIOD_OVERRIDE=FQ","FILING_STATUS=OR","EQY_CONSOLIDATED=Y","FA_ADJUSTED=GAAP","Sort=A","Dates=H","DateFormat=P","Fill=—","Direction=H","UseDPDF=Y")</f>
        <v>#NAME?</v>
      </c>
      <c r="S187" t="e">
        <f ca="1">_xll.BDH($C$178,"SUSTAIN_GROWTH_RT","FQ4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187" s="2" t="e">
        <f ca="1">_xll.BDH($C$178,"SALES_GROWTH","FQ4 2015","FQ4 2015","Currency=INR","Period=FQ","BEST_FPERIOD_OVERRIDE=FQ","FILING_STATUS=OR","EQY_CONSOLIDATED=Y","FA_ADJUSTED=GAAP","Sort=A","Dates=H","DateFormat=P","Fill=—","Direction=H","UseDPDF=Y")</f>
        <v>#NAME?</v>
      </c>
      <c r="U187" s="2" t="e">
        <f ca="1">_xll.BDH($C$178,"EBITDA_GROWTH","FQ4 2015","FQ4 2015","Currency=INR","Period=FQ","BEST_FPERIOD_OVERRIDE=FQ","FILING_STATUS=OR","EQY_CONSOLIDATED=Y","FA_ADJUSTED=GAAP","Sort=A","Dates=H","DateFormat=P","Fill=—","Direction=H","UseDPDF=Y")</f>
        <v>#NAME?</v>
      </c>
      <c r="V187" s="2" t="e">
        <f ca="1">_xll.BDH($C$178,"OPER_INC_GROWTH","FQ4 2015","FQ4 2015","Currency=INR","Period=FQ","BEST_FPERIOD_OVERRIDE=FQ","FILING_STATUS=OR","EQY_CONSOLIDATED=Y","FA_ADJUSTED=GAAP","Sort=A","Dates=H","DateFormat=P","Fill=—","Direction=H","UseDPDF=Y")</f>
        <v>#NAME?</v>
      </c>
      <c r="W187" s="2" t="e">
        <f ca="1">_xll.BDH($C$178,"EARN_FOR_COM_GROWTH","FQ4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187" s="2" t="e">
        <f ca="1">_xll.BDH($C$178,"DILUTED_EPS_AFT_XO_ITEMS_GROWTH","FQ4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187" s="2" t="e">
        <f ca="1">_xll.BDH($C$178,"DIVIDEND_PER_SHARE_1_YEAR_GROWTH","FQ4 2015","FQ4 2015","Currency=INR","Period=FQ","BEST_FPERIOD_OVERRIDE=FQ","FILING_STATUS=OR","EQY_CONSOLIDATED=Y","Sort=A","Dates=H","DateFormat=P","Fill=—","Direction=H","UseDPDF=Y")</f>
        <v>#NAME?</v>
      </c>
      <c r="Z187" s="2" t="e">
        <f ca="1">_xll.BDH($C$178,"ACCOUNTS_RECEIVABLE_GROWTH","FQ4 2015","FQ4 2015","Currency=INR","Period=FQ","BEST_FPERIOD_OVERRIDE=FQ","FILING_STATUS=OR","EQY_CONSOLIDATED=Y","Sort=A","Dates=H","DateFormat=P","Fill=—","Direction=H","UseDPDF=Y")</f>
        <v>#NAME?</v>
      </c>
      <c r="AA187" s="2" t="e">
        <f ca="1">_xll.BDH($C$178,"INVENTORY_GROWTH","FQ4 2015","FQ4 2015","Currency=INR","Period=FQ","BEST_FPERIOD_OVERRIDE=FQ","FILING_STATUS=OR","EQY_CONSOLIDATED=Y","Sort=A","Dates=H","DateFormat=P","Fill=—","Direction=H","UseDPDF=Y")</f>
        <v>#NAME?</v>
      </c>
      <c r="AB187" s="2" t="e">
        <f ca="1">_xll.BDH($C$178,"NET_FIXED_ASSETS_1_YEAR_GROWTH","FQ4 2015","FQ4 2015","Currency=INR","Period=FQ","BEST_FPERIOD_OVERRIDE=FQ","FILING_STATUS=OR","EQY_CONSOLIDATED=Y","Sort=A","Dates=H","DateFormat=P","Fill=—","Direction=H","UseDPDF=Y")</f>
        <v>#NAME?</v>
      </c>
      <c r="AC187" s="2" t="e">
        <f ca="1">_xll.BDH($C$178,"ASSET_GROWTH","FQ4 2015","FQ4 2015","Currency=INR","Period=FQ","BEST_FPERIOD_OVERRIDE=FQ","FILING_STATUS=OR","EQY_CONSOLIDATED=Y","Sort=A","Dates=H","DateFormat=P","Fill=—","Direction=H","UseDPDF=Y")</f>
        <v>#NAME?</v>
      </c>
      <c r="AD187" s="2" t="e">
        <f ca="1">_xll.BDH($C$178,"MODIFIED_WORK_CAP_GROWTH","FQ4 2015","FQ4 2015","Currency=INR","Period=FQ","BEST_FPERIOD_OVERRIDE=FQ","FILING_STATUS=OR","EQY_CONSOLIDATED=Y","Sort=A","Dates=H","DateFormat=P","Fill=—","Direction=H","UseDPDF=Y")</f>
        <v>#NAME?</v>
      </c>
      <c r="AE187" s="2" t="e">
        <f ca="1">_xll.BDH($C$178,"WORK_CAP_GROWTH","FQ4 2015","FQ4 2015","Currency=INR","Period=FQ","BEST_FPERIOD_OVERRIDE=FQ","FILING_STATUS=OR","EQY_CONSOLIDATED=Y","Sort=A","Dates=H","DateFormat=P","Fill=—","Direction=H","UseDPDF=Y")</f>
        <v>#NAME?</v>
      </c>
      <c r="AF187" s="2" t="e">
        <f ca="1">_xll.BDH($C$178,"ACCOUNTS_PAYABLE_GROWTH_1YR","FQ4 2015","FQ4 2015","Currency=INR","Period=FQ","BEST_FPERIOD_OVERRIDE=FQ","FILING_STATUS=OR","EQY_CONSOLIDATED=Y","Sort=A","Dates=H","DateFormat=P","Fill=—","Direction=H","UseDPDF=Y")</f>
        <v>#NAME?</v>
      </c>
      <c r="AG187" s="2" t="e">
        <f ca="1">_xll.BDH($C$178,"SHORT_TERM_DEBT_1_YEAR_GROWTH","FQ4 2015","FQ4 2015","Currency=INR","Period=FQ","BEST_FPERIOD_OVERRIDE=FQ","FILING_STATUS=OR","EQY_CONSOLIDATED=Y","Sort=A","Dates=H","DateFormat=P","Fill=—","Direction=H","UseDPDF=Y")</f>
        <v>#NAME?</v>
      </c>
      <c r="AH187" s="2" t="e">
        <f ca="1">_xll.BDH($C$178,"TOTAL_DEBT_1_YEAR_GROWTH","FQ4 2015","FQ4 2015","Currency=INR","Period=FQ","BEST_FPERIOD_OVERRIDE=FQ","FILING_STATUS=OR","EQY_CONSOLIDATED=Y","Sort=A","Dates=H","DateFormat=P","Fill=—","Direction=H","UseDPDF=Y")</f>
        <v>#NAME?</v>
      </c>
      <c r="AI187" s="2" t="e">
        <f ca="1">_xll.BDH($C$178,"TOTAL_EQUITY_1_YEAR_GROWTH","FQ4 2015","FQ4 2015","Currency=INR","Period=FQ","BEST_FPERIOD_OVERRIDE=FQ","FILING_STATUS=OR","EQY_CONSOLIDATED=Y","Sort=A","Dates=H","DateFormat=P","Fill=—","Direction=H","UseDPDF=Y")</f>
        <v>#NAME?</v>
      </c>
      <c r="AJ187" s="2" t="e">
        <f ca="1">_xll.BDH($C$178,"GROWTH_IN_CAP","FQ4 2015","FQ4 2015","Currency=INR","Period=FQ","BEST_FPERIOD_OVERRIDE=FQ","FILING_STATUS=OR","EQY_CONSOLIDATED=Y","Sort=A","Dates=H","DateFormat=P","Fill=—","Direction=H","UseDPDF=Y")</f>
        <v>#NAME?</v>
      </c>
      <c r="AK187" s="2" t="e">
        <f ca="1">_xll.BDH($C$178,"BVPS_GROWTH","FQ4 2015","FQ4 2015","Currency=INR","Period=FQ","BEST_FPERIOD_OVERRIDE=FQ","FILING_STATUS=OR","EQY_CONSOLIDATED=Y","Sort=A","Dates=H","DateFormat=P","Fill=—","Direction=H","UseDPDF=Y")</f>
        <v>#NAME?</v>
      </c>
      <c r="AL187" s="2" t="e">
        <f ca="1">_xll.BDH($C$178,"CASH_FLOW_GROWTH","FQ4 2015","FQ4 2015","Currency=INR","Period=FQ","BEST_FPERIOD_OVERRIDE=FQ","FILING_STATUS=OR","EQY_CONSOLIDATED=Y","Sort=A","Dates=H","DateFormat=P","Fill=—","Direction=H","UseDPDF=Y")</f>
        <v>#NAME?</v>
      </c>
      <c r="AM187" s="2" t="e">
        <f ca="1">_xll.BDH($C$178,"GEO_GROW_NET_SALES","FQ4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187" s="2" t="e">
        <f ca="1">_xll.BDH($C$178,"GEO_GROW_EBITDA","FQ4 2015","FQ4 2015","Currency=INR","Period=FQ","BEST_FPERIOD_OVERRIDE=FQ","FILING_STATUS=OR","EQY_CONSOLIDATED=Y","FA_ADJUSTED=GAAP","Sort=A","Dates=H","DateFormat=P","Fill=—","Direction=H","UseDPDF=Y")</f>
        <v>#NAME?</v>
      </c>
      <c r="AO187" s="2" t="e">
        <f ca="1">_xll.BDH($C$178,"GEO_GROW_OPER_INC","FQ4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187" s="2" t="e">
        <f ca="1">_xll.BDH($C$178,"NET_INCOME_TO_COMMON_5_YR_GROWTH","FQ4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187" s="2" t="e">
        <f ca="1">_xll.BDH($C$178,"5Y_GEO_GROWTH_DILUTED_EPS","FQ4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187" s="2" t="e">
        <f ca="1">_xll.BDH($C$178,"GEO_GROW_DVD_PER_SH","FQ4 2015","FQ4 2015","Currency=INR","Period=FQ","BEST_FPERIOD_OVERRIDE=FQ","FILING_STATUS=OR","EQY_CONSOLIDATED=Y","Sort=A","Dates=H","DateFormat=P","Fill=—","Direction=H","UseDPDF=Y")</f>
        <v>#NAME?</v>
      </c>
      <c r="AS187" s="2" t="e">
        <f ca="1">_xll.BDH($C$178,"ACCOUNTS_RECEIVABLE_5_YR_GROWTH","FQ4 2015","FQ4 2015","Currency=INR","Period=FQ","BEST_FPERIOD_OVERRIDE=FQ","FILING_STATUS=OR","EQY_CONSOLIDATED=Y","Sort=A","Dates=H","DateFormat=P","Fill=—","Direction=H","UseDPDF=Y")</f>
        <v>#NAME?</v>
      </c>
      <c r="AT187" s="2" t="e">
        <f ca="1">_xll.BDH($C$178,"INVENTORY_5_YEAR_GROWTH","FQ4 2015","FQ4 2015","Currency=INR","Period=FQ","BEST_FPERIOD_OVERRIDE=FQ","FILING_STATUS=OR","EQY_CONSOLIDATED=Y","Sort=A","Dates=H","DateFormat=P","Fill=—","Direction=H","UseDPDF=Y")</f>
        <v>#NAME?</v>
      </c>
      <c r="AU187" s="2" t="e">
        <f ca="1">_xll.BDH($C$178,"NET_FIXED_ASSETS_5_YEAR_GROWTH","FQ4 2015","FQ4 2015","Currency=INR","Period=FQ","BEST_FPERIOD_OVERRIDE=FQ","FILING_STATUS=OR","EQY_CONSOLIDATED=Y","Sort=A","Dates=H","DateFormat=P","Fill=—","Direction=H","UseDPDF=Y")</f>
        <v>#NAME?</v>
      </c>
      <c r="AV187" s="2" t="e">
        <f ca="1">_xll.BDH($C$178,"GEO_GROW_TOT_ASSET","FQ4 2015","FQ4 2015","Currency=INR","Period=FQ","BEST_FPERIOD_OVERRIDE=FQ","FILING_STATUS=OR","EQY_CONSOLIDATED=Y","Sort=A","Dates=H","DateFormat=P","Fill=—","Direction=H","UseDPDF=Y")</f>
        <v>#NAME?</v>
      </c>
      <c r="AW187" s="2" t="e">
        <f ca="1">_xll.BDH($C$178,"MODIFIED_WORKING_CPTL_5YR_GRWTH","FQ4 2015","FQ4 2015","Currency=INR","Period=FQ","BEST_FPERIOD_OVERRIDE=FQ","FILING_STATUS=OR","EQY_CONSOLIDATED=Y","Sort=A","Dates=H","DateFormat=P","Fill=—","Direction=H","UseDPDF=Y")</f>
        <v>#NAME?</v>
      </c>
      <c r="AX187" s="2" t="e">
        <f ca="1">_xll.BDH($C$178,"WORKING_CAPITAL_5_YEAR_GROWTH","FQ4 2015","FQ4 2015","Currency=INR","Period=FQ","BEST_FPERIOD_OVERRIDE=FQ","FILING_STATUS=OR","EQY_CONSOLIDATED=Y","Sort=A","Dates=H","DateFormat=P","Fill=—","Direction=H","UseDPDF=Y")</f>
        <v>#NAME?</v>
      </c>
      <c r="AY187" s="2" t="e">
        <f ca="1">_xll.BDH($C$178,"ACCOUNTS_PAYABLE_5_YEAR_GROWTH","FQ4 2015","FQ4 2015","Currency=INR","Period=FQ","BEST_FPERIOD_OVERRIDE=FQ","FILING_STATUS=OR","EQY_CONSOLIDATED=Y","Sort=A","Dates=H","DateFormat=P","Fill=—","Direction=H","UseDPDF=Y")</f>
        <v>#NAME?</v>
      </c>
      <c r="AZ187" s="2" t="e">
        <f ca="1">_xll.BDH($C$178,"SHORT_TERM_DEBT_5_YEAR_GROWTH","FQ4 2015","FQ4 2015","Currency=INR","Period=FQ","BEST_FPERIOD_OVERRIDE=FQ","FILING_STATUS=OR","EQY_CONSOLIDATED=Y","Sort=A","Dates=H","DateFormat=P","Fill=—","Direction=H","UseDPDF=Y")</f>
        <v>#NAME?</v>
      </c>
      <c r="BA187" s="2" t="e">
        <f ca="1">_xll.BDH($C$178,"TOTAL_DEBT_5_YEAR_GROWTH","FQ4 2015","FQ4 2015","Currency=INR","Period=FQ","BEST_FPERIOD_OVERRIDE=FQ","FILING_STATUS=OR","EQY_CONSOLIDATED=Y","Sort=A","Dates=H","DateFormat=P","Fill=—","Direction=H","UseDPDF=Y")</f>
        <v>#NAME?</v>
      </c>
      <c r="BB187" s="2" t="e">
        <f ca="1">_xll.BDH($C$178,"GEO_GROW_TOT_SHRHLDR_EQY","FQ4 2015","FQ4 2015","Currency=INR","Period=FQ","BEST_FPERIOD_OVERRIDE=FQ","FILING_STATUS=OR","EQY_CONSOLIDATED=Y","Sort=A","Dates=H","DateFormat=P","Fill=—","Direction=H","UseDPDF=Y")</f>
        <v>#NAME?</v>
      </c>
      <c r="BC187" s="2" t="e">
        <f ca="1">_xll.BDH($C$178,"TOTAL_CAPITAL_5_YEAR_GROWTH","FQ4 2015","FQ4 2015","Currency=INR","Period=FQ","BEST_FPERIOD_OVERRIDE=FQ","FILING_STATUS=OR","EQY_CONSOLIDATED=Y","Sort=A","Dates=H","DateFormat=P","Fill=—","Direction=H","UseDPDF=Y")</f>
        <v>#NAME?</v>
      </c>
      <c r="BD187" s="2" t="e">
        <f ca="1">_xll.BDH($C$178,"GEO_GROW_BOOK_VAL","FQ4 2015","FQ4 2015","Currency=INR","Period=FQ","BEST_FPERIOD_OVERRIDE=FQ","FILING_STATUS=OR","EQY_CONSOLIDATED=Y","Sort=A","Dates=H","DateFormat=P","Fill=—","Direction=H","UseDPDF=Y")</f>
        <v>#NAME?</v>
      </c>
      <c r="BE187" s="2" t="e">
        <f ca="1">_xll.BDH($C$178,"GEO_GROW_CASH_OPER_ACT","FQ4 2015","FQ4 2015","Currency=INR","Period=FQ","BEST_FPERIOD_OVERRIDE=FQ","FILING_STATUS=OR","EQY_CONSOLIDATED=Y","Sort=A","Dates=H","DateFormat=P","Fill=—","Direction=H","UseDPDF=Y")</f>
        <v>#NAME?</v>
      </c>
      <c r="BF187" s="2" t="e">
        <f ca="1">_xll.BDH($C$178,"REVENUE_SEQUENTIAL_GROWTH","FQ4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187" s="2" t="e">
        <f ca="1">_xll.BDH($C$178,"EBITDA_SEQUENTIAL_GROWTH","FQ4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187" s="2" t="e">
        <f ca="1">_xll.BDH($C$178,"OPERATING_INCOME_SEQ_GROWTH","FQ4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187" s="2" t="e">
        <f ca="1">_xll.BDH($C$178,"NET_INCOME_TO_COMMON_SEQ_GROWTH","FQ4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187" s="2" t="e">
        <f ca="1">_xll.BDH($C$178,"EPS_DILUTED_SEQUENTIAL_GROWTH","FQ4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187" s="2" t="e">
        <f ca="1">_xll.BDH($C$178,"DPS_SEQUENTIAL_GROWTH","FQ4 2015","FQ4 2015","Currency=INR","Period=FQ","BEST_FPERIOD_OVERRIDE=FQ","FILING_STATUS=OR","EQY_CONSOLIDATED=Y","Sort=A","Dates=H","DateFormat=P","Fill=—","Direction=H","UseDPDF=Y")</f>
        <v>#NAME?</v>
      </c>
      <c r="BL187" s="2" t="e">
        <f ca="1">_xll.BDH($C$178,"ACCOUNTS_RECEIVABLE_SEQ_GROWTH","FQ4 2015","FQ4 2015","Currency=INR","Period=FQ","BEST_FPERIOD_OVERRIDE=FQ","FILING_STATUS=OR","EQY_CONSOLIDATED=Y","Sort=A","Dates=H","DateFormat=P","Fill=—","Direction=H","UseDPDF=Y")</f>
        <v>#NAME?</v>
      </c>
      <c r="BM187" s="2" t="e">
        <f ca="1">_xll.BDH($C$178,"INVENTORY_SEQUENTIAL_GROWTH","FQ4 2015","FQ4 2015","Currency=INR","Period=FQ","BEST_FPERIOD_OVERRIDE=FQ","FILING_STATUS=OR","EQY_CONSOLIDATED=Y","Sort=A","Dates=H","DateFormat=P","Fill=—","Direction=H","UseDPDF=Y")</f>
        <v>#NAME?</v>
      </c>
      <c r="BN187" s="2" t="e">
        <f ca="1">_xll.BDH($C$178,"FIXED_ASSETS_SEQUENTIAL_GROWTH","FQ4 2015","FQ4 2015","Currency=INR","Period=FQ","BEST_FPERIOD_OVERRIDE=FQ","FILING_STATUS=OR","EQY_CONSOLIDATED=Y","Sort=A","Dates=H","DateFormat=P","Fill=—","Direction=H","UseDPDF=Y")</f>
        <v>#NAME?</v>
      </c>
      <c r="BO187" s="2" t="e">
        <f ca="1">_xll.BDH($C$178,"TOTAL_ASSETS_SEQUENTIAL_GROWTH","FQ4 2015","FQ4 2015","Currency=INR","Period=FQ","BEST_FPERIOD_OVERRIDE=FQ","FILING_STATUS=OR","EQY_CONSOLIDATED=Y","Sort=A","Dates=H","DateFormat=P","Fill=—","Direction=H","UseDPDF=Y")</f>
        <v>#NAME?</v>
      </c>
      <c r="BP187" s="2" t="e">
        <f ca="1">_xll.BDH($C$178,"MODIFIED_WORKING_CPTL_SEQ_GRWTH","FQ4 2015","FQ4 2015","Currency=INR","Period=FQ","BEST_FPERIOD_OVERRIDE=FQ","FILING_STATUS=OR","EQY_CONSOLIDATED=Y","Sort=A","Dates=H","DateFormat=P","Fill=—","Direction=H","UseDPDF=Y")</f>
        <v>#NAME?</v>
      </c>
      <c r="BQ187" s="2" t="e">
        <f ca="1">_xll.BDH($C$178,"WORKING_CAPITAL_SEQ_GROWTH","FQ4 2015","FQ4 2015","Currency=INR","Period=FQ","BEST_FPERIOD_OVERRIDE=FQ","FILING_STATUS=OR","EQY_CONSOLIDATED=Y","Sort=A","Dates=H","DateFormat=P","Fill=—","Direction=H","UseDPDF=Y")</f>
        <v>#NAME?</v>
      </c>
      <c r="BR187" s="2" t="e">
        <f ca="1">_xll.BDH($C$178,"ACCOUNTS_PAYABLE_SEQ_GROWTH","FQ4 2015","FQ4 2015","Currency=INR","Period=FQ","BEST_FPERIOD_OVERRIDE=FQ","FILING_STATUS=OR","EQY_CONSOLIDATED=Y","Sort=A","Dates=H","DateFormat=P","Fill=—","Direction=H","UseDPDF=Y")</f>
        <v>#NAME?</v>
      </c>
      <c r="BS187" s="2" t="e">
        <f ca="1">_xll.BDH($C$178,"ST_DEBT_SEQUENTIAL_GROWTH","FQ4 2015","FQ4 2015","Currency=INR","Period=FQ","BEST_FPERIOD_OVERRIDE=FQ","FILING_STATUS=OR","EQY_CONSOLIDATED=Y","Sort=A","Dates=H","DateFormat=P","Fill=—","Direction=H","UseDPDF=Y")</f>
        <v>#NAME?</v>
      </c>
      <c r="BT187" s="2" t="e">
        <f ca="1">_xll.BDH($C$178,"TOTAL_DEBT_SEQUENTIAL_GROWTH","FQ4 2015","FQ4 2015","Currency=INR","Period=FQ","BEST_FPERIOD_OVERRIDE=FQ","FILING_STATUS=OR","EQY_CONSOLIDATED=Y","Sort=A","Dates=H","DateFormat=P","Fill=—","Direction=H","UseDPDF=Y")</f>
        <v>#NAME?</v>
      </c>
      <c r="BU187" s="2" t="e">
        <f ca="1">_xll.BDH($C$178,"TOTAL_EQUITY_SEQUENTIAL_GROWTH","FQ4 2015","FQ4 2015","Currency=INR","Period=FQ","BEST_FPERIOD_OVERRIDE=FQ","FILING_STATUS=OR","EQY_CONSOLIDATED=Y","Sort=A","Dates=H","DateFormat=P","Fill=—","Direction=H","UseDPDF=Y")</f>
        <v>#NAME?</v>
      </c>
      <c r="BV187" s="2" t="e">
        <f ca="1">_xll.BDH($C$178,"TOTAL_CAPITAL_SEQUENTIAL_GROWTH","FQ4 2015","FQ4 2015","Currency=INR","Period=FQ","BEST_FPERIOD_OVERRIDE=FQ","FILING_STATUS=OR","EQY_CONSOLIDATED=Y","Sort=A","Dates=H","DateFormat=P","Fill=—","Direction=H","UseDPDF=Y")</f>
        <v>#NAME?</v>
      </c>
      <c r="BW187" s="2" t="e">
        <f ca="1">_xll.BDH($C$178,"BPS_SEQUENTIAL_GROWTH","FQ4 2015","FQ4 2015","Currency=INR","Period=FQ","BEST_FPERIOD_OVERRIDE=FQ","FILING_STATUS=OR","EQY_CONSOLIDATED=Y","Sort=A","Dates=H","DateFormat=P","Fill=—","Direction=H","UseDPDF=Y")</f>
        <v>#NAME?</v>
      </c>
      <c r="BX187" s="2" t="e">
        <f ca="1">_xll.BDH($C$178,"CFO_SEQUENTIAL_GROWTH","FQ4 2015","FQ4 2015","Currency=INR","Period=FQ","BEST_FPERIOD_OVERRIDE=FQ","FILING_STATUS=OR","EQY_CONSOLIDATED=Y","Sort=A","Dates=H","DateFormat=P","Fill=—","Direction=H","UseDPDF=Y")</f>
        <v>#NAME?</v>
      </c>
      <c r="BY187" s="3" t="e">
        <f ca="1">_xll.BDH($C$178,"SHORT_AND_LONG_TERM_DEBT","FQ4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187" s="3" t="e">
        <f ca="1">_xll.BDH($C$178,"BS_ST_BORROW","FQ4 2015","FQ4 2015","Currency=INR","Period=FQ","BEST_FPERIOD_OVERRIDE=FQ","FILING_STATUS=OR","EQY_CONSOLIDATED=Y","SCALING_FORMAT=MLN","Sort=A","Dates=H","DateFormat=P","Fill=—","Direction=H","UseDPDF=Y")</f>
        <v>#NAME?</v>
      </c>
      <c r="CA187" s="3" t="e">
        <f ca="1">_xll.BDH($C$178,"BS_LT_BORROW","FQ4 2015","FQ4 2015","Currency=INR","Period=FQ","BEST_FPERIOD_OVERRIDE=FQ","FILING_STATUS=OR","EQY_CONSOLIDATED=Y","SCALING_FORMAT=MLN","Sort=A","Dates=H","DateFormat=P","Fill=—","Direction=H","UseDPDF=Y")</f>
        <v>#NAME?</v>
      </c>
      <c r="CB187" s="2" t="e">
        <f ca="1">_xll.BDH($C$178,"TOT_DEBT_TO_EBITDA","FQ4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187" s="2" t="e">
        <f ca="1">_xll.BDH($C$178,"NET_DEBT_TO_EBITDA","FQ4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187" s="2" t="e">
        <f ca="1">_xll.BDH($C$178,"TOTAL_DEBT_TO_EBIT","FQ4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187" s="2" t="e">
        <f ca="1">_xll.BDH($C$178,"NET_DEBT_TO_EBIT","FQ4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187" s="2" t="e">
        <f ca="1">_xll.BDH($C$178,"EBITDA_TO_INTEREST_EXPN","FQ4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187" s="2" t="e">
        <f ca="1">_xll.BDH($C$178,"COM_EQY_TO_TOT_ASSET","FQ4 2015","FQ4 2015","Currency=INR","Period=FQ","BEST_FPERIOD_OVERRIDE=FQ","FILING_STATUS=OR","EQY_CONSOLIDATED=Y","Sort=A","Dates=H","DateFormat=P","Fill=—","Direction=H","UseDPDF=Y")</f>
        <v>#NAME?</v>
      </c>
      <c r="CH187" s="2" t="e">
        <f ca="1">_xll.BDH($C$178,"LT_DEBT_TO_TOT_EQY","FQ4 2015","FQ4 2015","Currency=INR","Period=FQ","BEST_FPERIOD_OVERRIDE=FQ","FILING_STATUS=OR","EQY_CONSOLIDATED=Y","Sort=A","Dates=H","DateFormat=P","Fill=—","Direction=H","UseDPDF=Y")</f>
        <v>#NAME?</v>
      </c>
      <c r="CI187" s="2" t="e">
        <f ca="1">_xll.BDH($C$178,"LT_DEBT_TO_TOT_CAP","FQ4 2015","FQ4 2015","Currency=INR","Period=FQ","BEST_FPERIOD_OVERRIDE=FQ","FILING_STATUS=OR","EQY_CONSOLIDATED=Y","Sort=A","Dates=H","DateFormat=P","Fill=—","Direction=H","UseDPDF=Y")</f>
        <v>#NAME?</v>
      </c>
      <c r="CJ187" s="2" t="e">
        <f ca="1">_xll.BDH($C$178,"LT_DEBT_TO_TOT_ASSET","FQ4 2015","FQ4 2015","Currency=INR","Period=FQ","BEST_FPERIOD_OVERRIDE=FQ","FILING_STATUS=OR","EQY_CONSOLIDATED=Y","Sort=A","Dates=H","DateFormat=P","Fill=—","Direction=H","UseDPDF=Y")</f>
        <v>#NAME?</v>
      </c>
      <c r="CK187" s="2" t="e">
        <f ca="1">_xll.BDH($C$178,"TOT_DEBT_TO_TOT_EQY","FQ4 2015","FQ4 2015","Currency=INR","Period=FQ","BEST_FPERIOD_OVERRIDE=FQ","FILING_STATUS=OR","EQY_CONSOLIDATED=Y","Sort=A","Dates=H","DateFormat=P","Fill=—","Direction=H","UseDPDF=Y")</f>
        <v>#NAME?</v>
      </c>
      <c r="CL187" s="2" t="e">
        <f ca="1">_xll.BDH($C$178,"TOT_DEBT_TO_TOT_CAP","FQ4 2015","FQ4 2015","Currency=INR","Period=FQ","BEST_FPERIOD_OVERRIDE=FQ","FILING_STATUS=OR","EQY_CONSOLIDATED=Y","Sort=A","Dates=H","DateFormat=P","Fill=—","Direction=H","UseDPDF=Y")</f>
        <v>#NAME?</v>
      </c>
      <c r="CM187" s="2" t="e">
        <f ca="1">_xll.BDH($C$178,"TOT_DEBT_TO_TOT_ASSET","FQ4 2015","FQ4 2015","Currency=INR","Period=FQ","BEST_FPERIOD_OVERRIDE=FQ","FILING_STATUS=OR","EQY_CONSOLIDATED=Y","Sort=A","Dates=H","DateFormat=P","Fill=—","Direction=H","UseDPDF=Y")</f>
        <v>#NAME?</v>
      </c>
      <c r="CN187" s="2" t="e">
        <f ca="1">_xll.BDH($C$178,"NET_DEBT_TO_SHRHLDR_EQTY","FQ4 2015","FQ4 2015","Currency=INR","Period=FQ","BEST_FPERIOD_OVERRIDE=FQ","FILING_STATUS=OR","EQY_CONSOLIDATED=Y","Sort=A","Dates=H","DateFormat=P","Fill=—","Direction=H","UseDPDF=Y")</f>
        <v>#NAME?</v>
      </c>
      <c r="CO187" s="2" t="e">
        <f ca="1">_xll.BDH($C$178,"NET_DEBT_%_CAPITAL","FQ4 2015","FQ4 2015","Currency=INR","Period=FQ","BEST_FPERIOD_OVERRIDE=FQ","FILING_STATUS=OR","EQY_CONSOLIDATED=Y","Sort=A","Dates=H","DateFormat=P","Fill=—","Direction=H","UseDPDF=Y")</f>
        <v>#NAME?</v>
      </c>
      <c r="CP187" s="3" t="e">
        <f ca="1">_xll.BDH($C$178,"EBITDA","FQ4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187" s="3" t="e">
        <f ca="1">_xll.BDH($C$178,"EBITDA_AFTER_CAPEX","FQ4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187" s="3" t="e">
        <f ca="1">_xll.BDH($C$178,"IS_OPER_INC","FQ4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187" s="2" t="e">
        <f ca="1">_xll.BDH($C$178,"CASH_RATIO","FQ4 2015","FQ4 2015","Currency=INR","Period=FQ","BEST_FPERIOD_OVERRIDE=FQ","FILING_STATUS=OR","EQY_CONSOLIDATED=Y","Sort=A","Dates=H","DateFormat=P","Fill=—","Direction=H","UseDPDF=Y")</f>
        <v>#NAME?</v>
      </c>
      <c r="CT187" s="2" t="e">
        <f ca="1">_xll.BDH($C$178,"CUR_RATIO","FQ4 2015","FQ4 2015","Currency=INR","Period=FQ","BEST_FPERIOD_OVERRIDE=FQ","FILING_STATUS=OR","EQY_CONSOLIDATED=Y","Sort=A","Dates=H","DateFormat=P","Fill=—","Direction=H","UseDPDF=Y")</f>
        <v>#NAME?</v>
      </c>
      <c r="CU187" s="2" t="e">
        <f ca="1">_xll.BDH($C$178,"QUICK_RATIO","FQ4 2015","FQ4 2015","Currency=INR","Period=FQ","BEST_FPERIOD_OVERRIDE=FQ","FILING_STATUS=OR","EQY_CONSOLIDATED=Y","Sort=A","Dates=H","DateFormat=P","Fill=—","Direction=H","UseDPDF=Y")</f>
        <v>#NAME?</v>
      </c>
      <c r="CV187" s="2" t="e">
        <f ca="1">_xll.BDH($C$178,"ALTMAN_Z_SCORE","FQ4 2015","FQ4 2015","Currency=INR","Period=FQ","BEST_FPERIOD_OVERRIDE=FQ","FILING_STATUS=OR","EQY_CONSOLIDATED=Y","Sort=A","Dates=H","DateFormat=P","Fill=—","Direction=H","UseDPDF=Y")</f>
        <v>#NAME?</v>
      </c>
      <c r="CW187" s="4" t="e">
        <f ca="1">_xll.BDH($C$178,"ACCT_RCV_TURN","FQ4 2015","FQ4 2015","Currency=INR","Period=FQ","BEST_FPERIOD_OVERRIDE=FQ","FILING_STATUS=OR","EQY_CONSOLIDATED=Y","FA_ADJUSTED=GAAP","Sort=A","Dates=H","DateFormat=P","Fill=—","Direction=H","UseDPDF=Y")</f>
        <v>#NAME?</v>
      </c>
      <c r="CX187" s="2" t="e">
        <f ca="1">_xll.BDH($C$178,"ACCT_RCV_DAYS","FQ4 2015","FQ4 2015","Currency=INR","Period=FQ","BEST_FPERIOD_OVERRIDE=FQ","FILING_STATUS=OR","EQY_CONSOLIDATED=Y","FA_ADJUSTED=GAAP","Sort=A","Dates=H","DateFormat=P","Fill=—","Direction=H","UseDPDF=Y")</f>
        <v>#NAME?</v>
      </c>
      <c r="CY187" s="4" t="e">
        <f ca="1">_xll.BDH($C$178,"INVENT_TURN","FQ4 2015","FQ4 2015","Currency=INR","Period=FQ","BEST_FPERIOD_OVERRIDE=FQ","FILING_STATUS=OR","EQY_CONSOLIDATED=Y","FA_ADJUSTED=GAAP","Sort=A","Dates=H","DateFormat=P","Fill=—","Direction=H","UseDPDF=Y")</f>
        <v>#NAME?</v>
      </c>
      <c r="CZ187" s="2" t="e">
        <f ca="1">_xll.BDH($C$178,"INVENT_DAYS","FQ4 2015","FQ4 2015","Currency=INR","Period=FQ","BEST_FPERIOD_OVERRIDE=FQ","FILING_STATUS=OR","EQY_CONSOLIDATED=Y","FA_ADJUSTED=GAAP","Sort=A","Dates=H","DateFormat=P","Fill=—","Direction=H","UseDPDF=Y")</f>
        <v>#NAME?</v>
      </c>
      <c r="DA187" s="4" t="e">
        <f ca="1">_xll.BDH($C$178,"ACCOUNTS_PAYABLE_TURNOVER","FQ4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187" s="2" t="e">
        <f ca="1">_xll.BDH($C$178,"ACCOUNTS_PAYABLE_TURNOVER_DAYS","FQ4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187" s="4" t="e">
        <f ca="1">_xll.BDH($C$178,"CASH_CONVERSION_CYCLE","FQ4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187" s="4" t="e">
        <f ca="1">_xll.BDH($C$178,"INV_TO_CASH_DAYS","FQ4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187" s="5" t="e">
        <f ca="1">_xll.BDH($C$178,"BS_INVENTORIES","FQ4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187" s="3" t="e">
        <f ca="1">_xll.BDH($C$178,"INVTRY_RAW_MATERIALS","FQ4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187" s="3" t="e">
        <f ca="1">_xll.BDH($C$178,"INVTRY_IN_PROGRESS","FQ4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187" s="3" t="e">
        <f ca="1">_xll.BDH($C$178,"INVTRY_FINISHED_GOODS","FQ4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187" s="3" t="e">
        <f ca="1">_xll.BDH($C$178,"BS_OTHER_INV","FQ4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188" spans="1:113" x14ac:dyDescent="0.3">
      <c r="A188" s="6"/>
      <c r="B188" s="6"/>
      <c r="C188" s="6"/>
      <c r="D188" s="6" t="s">
        <v>83</v>
      </c>
      <c r="E188" t="s">
        <v>77</v>
      </c>
      <c r="F188" t="e">
        <f ca="1">_xll.BDH($C$178,"RETURN_COM_EQY","FY 2016","FY 2016","Currency=INR","Period=FY","BEST_FPERIOD_OVERRIDE=FY","FILING_STATUS=OR","EQY_CONSOLIDATED=Y","FA_ADJUSTED=GAAP","Sort=A","Dates=H","DateFormat=P","Fill=—","Direction=H","UseDPDF=Y")</f>
        <v>#NAME?</v>
      </c>
      <c r="G188" t="e">
        <f ca="1">_xll.BDH($C$178,"RETURN_ON_ASSET","FY 2016","FY 2016","Currency=INR","Period=FY","BEST_FPERIOD_OVERRIDE=FY","FILING_STATUS=OR","EQY_CONSOLIDATED=Y","FA_ADJUSTED=GAAP","Sort=A","Dates=H","DateFormat=P","Fill=—","Direction=H","UseDPDF=Y")</f>
        <v>#NAME?</v>
      </c>
      <c r="H188" t="e">
        <f ca="1">_xll.BDH($C$178,"RETURN_ON_CAP","FY 2016","FY 2016","Currency=INR","Period=FY","BEST_FPERIOD_OVERRIDE=FY","FILING_STATUS=OR","EQY_CONSOLIDATED=Y","FA_ADJUSTED=GAAP","Sort=A","Dates=H","DateFormat=P","Fill=—","Direction=H","UseDPDF=Y")</f>
        <v>#NAME?</v>
      </c>
      <c r="I188" t="e">
        <f ca="1">_xll.BDH($C$178,"RETURN_ON_INV_CAPITAL","FY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188" t="e">
        <f ca="1">_xll.BDH($C$178,"EBITDA_TO_REVENUE","FY 2016","FY 2016","Currency=INR","Period=FY","BEST_FPERIOD_OVERRIDE=FY","FILING_STATUS=OR","EQY_CONSOLIDATED=Y","FA_ADJUSTED=GAAP","Sort=A","Dates=H","DateFormat=P","Fill=—","Direction=H","UseDPDF=Y")</f>
        <v>#NAME?</v>
      </c>
      <c r="K188" t="e">
        <f ca="1">_xll.BDH($C$178,"OPER_MARGIN","FY 2016","FY 2016","Currency=INR","Period=FY","BEST_FPERIOD_OVERRIDE=FY","FILING_STATUS=OR","EQY_CONSOLIDATED=Y","FA_ADJUSTED=GAAP","Sort=A","Dates=H","DateFormat=P","Fill=—","Direction=H","UseDPDF=Y")</f>
        <v>#NAME?</v>
      </c>
      <c r="L188" t="e">
        <f ca="1">_xll.BDH($C$178,"INCREMENTAL_OPERATING_MARGIN","FY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188" t="e">
        <f ca="1">_xll.BDH($C$178,"PRETAX_INC_TO_NET_SALES","FY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188" t="e">
        <f ca="1">_xll.BDH($C$178,"INC_BEF_XO_ITEMS_TO_NET_SALES","FY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188" t="e">
        <f ca="1">_xll.BDH($C$178,"PROF_MARGIN","FY 2016","FY 2016","Currency=INR","Period=FY","BEST_FPERIOD_OVERRIDE=FY","FILING_STATUS=OR","EQY_CONSOLIDATED=Y","FA_ADJUSTED=GAAP","Sort=A","Dates=H","DateFormat=P","Fill=—","Direction=H","UseDPDF=Y")</f>
        <v>#NAME?</v>
      </c>
      <c r="P188" t="e">
        <f ca="1">_xll.BDH($C$178,"NET_INCOME_TO_COMMON_MARGIN","FY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188" t="e">
        <f ca="1">_xll.BDH($C$178,"EFF_TAX_RATE","FY 2016","FY 2016","Currency=INR","Period=FY","BEST_FPERIOD_OVERRIDE=FY","FILING_STATUS=OR","EQY_CONSOLIDATED=Y","FA_ADJUSTED=GAAP","Sort=A","Dates=H","DateFormat=P","Fill=—","Direction=H","UseDPDF=Y")</f>
        <v>#NAME?</v>
      </c>
      <c r="R188" t="e">
        <f ca="1">_xll.BDH($C$178,"DVD_PAYOUT_RATIO","FY 2016","FY 2016","Currency=INR","Period=FY","BEST_FPERIOD_OVERRIDE=FY","FILING_STATUS=OR","EQY_CONSOLIDATED=Y","FA_ADJUSTED=GAAP","Sort=A","Dates=H","DateFormat=P","Fill=—","Direction=H","UseDPDF=Y")</f>
        <v>#NAME?</v>
      </c>
      <c r="S188" t="e">
        <f ca="1">_xll.BDH($C$178,"SUSTAIN_GROWTH_RT","FY 2016","FY 2016","Currency=INR","Period=FY","BEST_FPERIOD_OVERRIDE=FY","FILING_STATUS=OR","EQY_CONSOLIDATED=Y","FA_ADJUSTED=GAAP","Sort=A","Dates=H","DateFormat=P","Fill=—","Direction=H","UseDPDF=Y")</f>
        <v>#NAME?</v>
      </c>
      <c r="T188" s="2" t="e">
        <f ca="1">_xll.BDH($C$178,"SALES_GROWTH","FY 2016","FY 2016","Currency=INR","Period=FY","BEST_FPERIOD_OVERRIDE=FY","FILING_STATUS=OR","EQY_CONSOLIDATED=Y","FA_ADJUSTED=GAAP","Sort=A","Dates=H","DateFormat=P","Fill=—","Direction=H","UseDPDF=Y")</f>
        <v>#NAME?</v>
      </c>
      <c r="U188" s="2" t="e">
        <f ca="1">_xll.BDH($C$178,"EBITDA_GROWTH","FY 2016","FY 2016","Currency=INR","Period=FY","BEST_FPERIOD_OVERRIDE=FY","FILING_STATUS=OR","EQY_CONSOLIDATED=Y","FA_ADJUSTED=GAAP","Sort=A","Dates=H","DateFormat=P","Fill=—","Direction=H","UseDPDF=Y")</f>
        <v>#NAME?</v>
      </c>
      <c r="V188" s="2" t="e">
        <f ca="1">_xll.BDH($C$178,"OPER_INC_GROWTH","FY 2016","FY 2016","Currency=INR","Period=FY","BEST_FPERIOD_OVERRIDE=FY","FILING_STATUS=OR","EQY_CONSOLIDATED=Y","FA_ADJUSTED=GAAP","Sort=A","Dates=H","DateFormat=P","Fill=—","Direction=H","UseDPDF=Y")</f>
        <v>#NAME?</v>
      </c>
      <c r="W188" s="2" t="e">
        <f ca="1">_xll.BDH($C$178,"EARN_FOR_COM_GROWTH","FY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188" s="2" t="e">
        <f ca="1">_xll.BDH($C$178,"DILUTED_EPS_AFT_XO_ITEMS_GROWTH","FY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188" s="2" t="e">
        <f ca="1">_xll.BDH($C$178,"DIVIDEND_PER_SHARE_1_YEAR_GROWTH","FY 2016","FY 2016","Currency=INR","Period=FY","BEST_FPERIOD_OVERRIDE=FY","FILING_STATUS=OR","EQY_CONSOLIDATED=Y","Sort=A","Dates=H","DateFormat=P","Fill=—","Direction=H","UseDPDF=Y")</f>
        <v>#NAME?</v>
      </c>
      <c r="Z188" s="2" t="e">
        <f ca="1">_xll.BDH($C$178,"ACCOUNTS_RECEIVABLE_GROWTH","FY 2016","FY 2016","Currency=INR","Period=FY","BEST_FPERIOD_OVERRIDE=FY","FILING_STATUS=OR","EQY_CONSOLIDATED=Y","Sort=A","Dates=H","DateFormat=P","Fill=—","Direction=H","UseDPDF=Y")</f>
        <v>#NAME?</v>
      </c>
      <c r="AA188" s="2" t="e">
        <f ca="1">_xll.BDH($C$178,"INVENTORY_GROWTH","FY 2016","FY 2016","Currency=INR","Period=FY","BEST_FPERIOD_OVERRIDE=FY","FILING_STATUS=OR","EQY_CONSOLIDATED=Y","Sort=A","Dates=H","DateFormat=P","Fill=—","Direction=H","UseDPDF=Y")</f>
        <v>#NAME?</v>
      </c>
      <c r="AB188" s="2" t="e">
        <f ca="1">_xll.BDH($C$178,"NET_FIXED_ASSETS_1_YEAR_GROWTH","FY 2016","FY 2016","Currency=INR","Period=FY","BEST_FPERIOD_OVERRIDE=FY","FILING_STATUS=OR","EQY_CONSOLIDATED=Y","Sort=A","Dates=H","DateFormat=P","Fill=—","Direction=H","UseDPDF=Y")</f>
        <v>#NAME?</v>
      </c>
      <c r="AC188" s="2" t="e">
        <f ca="1">_xll.BDH($C$178,"ASSET_GROWTH","FY 2016","FY 2016","Currency=INR","Period=FY","BEST_FPERIOD_OVERRIDE=FY","FILING_STATUS=OR","EQY_CONSOLIDATED=Y","Sort=A","Dates=H","DateFormat=P","Fill=—","Direction=H","UseDPDF=Y")</f>
        <v>#NAME?</v>
      </c>
      <c r="AD188" s="2" t="e">
        <f ca="1">_xll.BDH($C$178,"MODIFIED_WORK_CAP_GROWTH","FY 2016","FY 2016","Currency=INR","Period=FY","BEST_FPERIOD_OVERRIDE=FY","FILING_STATUS=OR","EQY_CONSOLIDATED=Y","Sort=A","Dates=H","DateFormat=P","Fill=—","Direction=H","UseDPDF=Y")</f>
        <v>#NAME?</v>
      </c>
      <c r="AE188" s="2" t="e">
        <f ca="1">_xll.BDH($C$178,"WORK_CAP_GROWTH","FY 2016","FY 2016","Currency=INR","Period=FY","BEST_FPERIOD_OVERRIDE=FY","FILING_STATUS=OR","EQY_CONSOLIDATED=Y","Sort=A","Dates=H","DateFormat=P","Fill=—","Direction=H","UseDPDF=Y")</f>
        <v>#NAME?</v>
      </c>
      <c r="AF188" s="2" t="e">
        <f ca="1">_xll.BDH($C$178,"ACCOUNTS_PAYABLE_GROWTH_1YR","FY 2016","FY 2016","Currency=INR","Period=FY","BEST_FPERIOD_OVERRIDE=FY","FILING_STATUS=OR","EQY_CONSOLIDATED=Y","Sort=A","Dates=H","DateFormat=P","Fill=—","Direction=H","UseDPDF=Y")</f>
        <v>#NAME?</v>
      </c>
      <c r="AG188" s="2" t="e">
        <f ca="1">_xll.BDH($C$178,"SHORT_TERM_DEBT_1_YEAR_GROWTH","FY 2016","FY 2016","Currency=INR","Period=FY","BEST_FPERIOD_OVERRIDE=FY","FILING_STATUS=OR","EQY_CONSOLIDATED=Y","Sort=A","Dates=H","DateFormat=P","Fill=—","Direction=H","UseDPDF=Y")</f>
        <v>#NAME?</v>
      </c>
      <c r="AH188" s="2" t="e">
        <f ca="1">_xll.BDH($C$178,"TOTAL_DEBT_1_YEAR_GROWTH","FY 2016","FY 2016","Currency=INR","Period=FY","BEST_FPERIOD_OVERRIDE=FY","FILING_STATUS=OR","EQY_CONSOLIDATED=Y","Sort=A","Dates=H","DateFormat=P","Fill=—","Direction=H","UseDPDF=Y")</f>
        <v>#NAME?</v>
      </c>
      <c r="AI188" s="2" t="e">
        <f ca="1">_xll.BDH($C$178,"TOTAL_EQUITY_1_YEAR_GROWTH","FY 2016","FY 2016","Currency=INR","Period=FY","BEST_FPERIOD_OVERRIDE=FY","FILING_STATUS=OR","EQY_CONSOLIDATED=Y","Sort=A","Dates=H","DateFormat=P","Fill=—","Direction=H","UseDPDF=Y")</f>
        <v>#NAME?</v>
      </c>
      <c r="AJ188" s="2" t="e">
        <f ca="1">_xll.BDH($C$178,"GROWTH_IN_CAP","FY 2016","FY 2016","Currency=INR","Period=FY","BEST_FPERIOD_OVERRIDE=FY","FILING_STATUS=OR","EQY_CONSOLIDATED=Y","Sort=A","Dates=H","DateFormat=P","Fill=—","Direction=H","UseDPDF=Y")</f>
        <v>#NAME?</v>
      </c>
      <c r="AK188" s="2" t="e">
        <f ca="1">_xll.BDH($C$178,"BVPS_GROWTH","FY 2016","FY 2016","Currency=INR","Period=FY","BEST_FPERIOD_OVERRIDE=FY","FILING_STATUS=OR","EQY_CONSOLIDATED=Y","Sort=A","Dates=H","DateFormat=P","Fill=—","Direction=H","UseDPDF=Y")</f>
        <v>#NAME?</v>
      </c>
      <c r="AL188" s="2" t="e">
        <f ca="1">_xll.BDH($C$178,"CASH_FLOW_GROWTH","FY 2016","FY 2016","Currency=INR","Period=FY","BEST_FPERIOD_OVERRIDE=FY","FILING_STATUS=OR","EQY_CONSOLIDATED=Y","Sort=A","Dates=H","DateFormat=P","Fill=—","Direction=H","UseDPDF=Y")</f>
        <v>#NAME?</v>
      </c>
      <c r="AM188" s="2" t="e">
        <f ca="1">_xll.BDH($C$178,"GEO_GROW_NET_SALES","FY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188" s="2" t="e">
        <f ca="1">_xll.BDH($C$178,"GEO_GROW_EBITDA","FY 2016","FY 2016","Currency=INR","Period=FY","BEST_FPERIOD_OVERRIDE=FY","FILING_STATUS=OR","EQY_CONSOLIDATED=Y","FA_ADJUSTED=GAAP","Sort=A","Dates=H","DateFormat=P","Fill=—","Direction=H","UseDPDF=Y")</f>
        <v>#NAME?</v>
      </c>
      <c r="AO188" s="2" t="e">
        <f ca="1">_xll.BDH($C$178,"GEO_GROW_OPER_INC","FY 2016","FY 2016","Currency=INR","Period=FY","BEST_FPERIOD_OVERRIDE=FY","FILING_STATUS=OR","EQY_CONSOLIDATED=Y","FA_ADJUSTED=GAAP","Sort=A","Dates=H","DateFormat=P","Fill=—","Direction=H","UseDPDF=Y")</f>
        <v>#NAME?</v>
      </c>
      <c r="AP188" s="2" t="e">
        <f ca="1">_xll.BDH($C$178,"NET_INCOME_TO_COMMON_5_YR_GROWTH","FY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188" s="2" t="e">
        <f ca="1">_xll.BDH($C$178,"5Y_GEO_GROWTH_DILUTED_EPS","FY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188" s="2" t="e">
        <f ca="1">_xll.BDH($C$178,"GEO_GROW_DVD_PER_SH","FY 2016","FY 2016","Currency=INR","Period=FY","BEST_FPERIOD_OVERRIDE=FY","FILING_STATUS=OR","EQY_CONSOLIDATED=Y","Sort=A","Dates=H","DateFormat=P","Fill=—","Direction=H","UseDPDF=Y")</f>
        <v>#NAME?</v>
      </c>
      <c r="AS188" s="2" t="e">
        <f ca="1">_xll.BDH($C$178,"ACCOUNTS_RECEIVABLE_5_YR_GROWTH","FY 2016","FY 2016","Currency=INR","Period=FY","BEST_FPERIOD_OVERRIDE=FY","FILING_STATUS=OR","EQY_CONSOLIDATED=Y","Sort=A","Dates=H","DateFormat=P","Fill=—","Direction=H","UseDPDF=Y")</f>
        <v>#NAME?</v>
      </c>
      <c r="AT188" s="2" t="e">
        <f ca="1">_xll.BDH($C$178,"INVENTORY_5_YEAR_GROWTH","FY 2016","FY 2016","Currency=INR","Period=FY","BEST_FPERIOD_OVERRIDE=FY","FILING_STATUS=OR","EQY_CONSOLIDATED=Y","Sort=A","Dates=H","DateFormat=P","Fill=—","Direction=H","UseDPDF=Y")</f>
        <v>#NAME?</v>
      </c>
      <c r="AU188" s="2" t="e">
        <f ca="1">_xll.BDH($C$178,"NET_FIXED_ASSETS_5_YEAR_GROWTH","FY 2016","FY 2016","Currency=INR","Period=FY","BEST_FPERIOD_OVERRIDE=FY","FILING_STATUS=OR","EQY_CONSOLIDATED=Y","Sort=A","Dates=H","DateFormat=P","Fill=—","Direction=H","UseDPDF=Y")</f>
        <v>#NAME?</v>
      </c>
      <c r="AV188" s="2" t="e">
        <f ca="1">_xll.BDH($C$178,"GEO_GROW_TOT_ASSET","FY 2016","FY 2016","Currency=INR","Period=FY","BEST_FPERIOD_OVERRIDE=FY","FILING_STATUS=OR","EQY_CONSOLIDATED=Y","Sort=A","Dates=H","DateFormat=P","Fill=—","Direction=H","UseDPDF=Y")</f>
        <v>#NAME?</v>
      </c>
      <c r="AW188" s="2" t="e">
        <f ca="1">_xll.BDH($C$178,"MODIFIED_WORKING_CPTL_5YR_GRWTH","FY 2016","FY 2016","Currency=INR","Period=FY","BEST_FPERIOD_OVERRIDE=FY","FILING_STATUS=OR","EQY_CONSOLIDATED=Y","Sort=A","Dates=H","DateFormat=P","Fill=—","Direction=H","UseDPDF=Y")</f>
        <v>#NAME?</v>
      </c>
      <c r="AX188" s="2" t="e">
        <f ca="1">_xll.BDH($C$178,"WORKING_CAPITAL_5_YEAR_GROWTH","FY 2016","FY 2016","Currency=INR","Period=FY","BEST_FPERIOD_OVERRIDE=FY","FILING_STATUS=OR","EQY_CONSOLIDATED=Y","Sort=A","Dates=H","DateFormat=P","Fill=—","Direction=H","UseDPDF=Y")</f>
        <v>#NAME?</v>
      </c>
      <c r="AY188" s="2" t="e">
        <f ca="1">_xll.BDH($C$178,"ACCOUNTS_PAYABLE_5_YEAR_GROWTH","FY 2016","FY 2016","Currency=INR","Period=FY","BEST_FPERIOD_OVERRIDE=FY","FILING_STATUS=OR","EQY_CONSOLIDATED=Y","Sort=A","Dates=H","DateFormat=P","Fill=—","Direction=H","UseDPDF=Y")</f>
        <v>#NAME?</v>
      </c>
      <c r="AZ188" s="2" t="e">
        <f ca="1">_xll.BDH($C$178,"SHORT_TERM_DEBT_5_YEAR_GROWTH","FY 2016","FY 2016","Currency=INR","Period=FY","BEST_FPERIOD_OVERRIDE=FY","FILING_STATUS=OR","EQY_CONSOLIDATED=Y","Sort=A","Dates=H","DateFormat=P","Fill=—","Direction=H","UseDPDF=Y")</f>
        <v>#NAME?</v>
      </c>
      <c r="BA188" s="2" t="e">
        <f ca="1">_xll.BDH($C$178,"TOTAL_DEBT_5_YEAR_GROWTH","FY 2016","FY 2016","Currency=INR","Period=FY","BEST_FPERIOD_OVERRIDE=FY","FILING_STATUS=OR","EQY_CONSOLIDATED=Y","Sort=A","Dates=H","DateFormat=P","Fill=—","Direction=H","UseDPDF=Y")</f>
        <v>#NAME?</v>
      </c>
      <c r="BB188" s="2" t="e">
        <f ca="1">_xll.BDH($C$178,"GEO_GROW_TOT_SHRHLDR_EQY","FY 2016","FY 2016","Currency=INR","Period=FY","BEST_FPERIOD_OVERRIDE=FY","FILING_STATUS=OR","EQY_CONSOLIDATED=Y","Sort=A","Dates=H","DateFormat=P","Fill=—","Direction=H","UseDPDF=Y")</f>
        <v>#NAME?</v>
      </c>
      <c r="BC188" s="2" t="e">
        <f ca="1">_xll.BDH($C$178,"TOTAL_CAPITAL_5_YEAR_GROWTH","FY 2016","FY 2016","Currency=INR","Period=FY","BEST_FPERIOD_OVERRIDE=FY","FILING_STATUS=OR","EQY_CONSOLIDATED=Y","Sort=A","Dates=H","DateFormat=P","Fill=—","Direction=H","UseDPDF=Y")</f>
        <v>#NAME?</v>
      </c>
      <c r="BD188" s="2" t="e">
        <f ca="1">_xll.BDH($C$178,"GEO_GROW_BOOK_VAL","FY 2016","FY 2016","Currency=INR","Period=FY","BEST_FPERIOD_OVERRIDE=FY","FILING_STATUS=OR","EQY_CONSOLIDATED=Y","Sort=A","Dates=H","DateFormat=P","Fill=—","Direction=H","UseDPDF=Y")</f>
        <v>#NAME?</v>
      </c>
      <c r="BE188" s="2" t="e">
        <f ca="1">_xll.BDH($C$178,"GEO_GROW_CASH_OPER_ACT","FY 2016","FY 2016","Currency=INR","Period=FY","BEST_FPERIOD_OVERRIDE=FY","FILING_STATUS=OR","EQY_CONSOLIDATED=Y","Sort=A","Dates=H","DateFormat=P","Fill=—","Direction=H","UseDPDF=Y")</f>
        <v>#NAME?</v>
      </c>
      <c r="BF188" s="2" t="e">
        <f ca="1">_xll.BDH($C$178,"REVENUE_SEQUENTIAL_GROWTH","FY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188" s="2" t="e">
        <f ca="1">_xll.BDH($C$178,"EBITDA_SEQUENTIAL_GROWTH","FY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188" s="2" t="e">
        <f ca="1">_xll.BDH($C$178,"OPERATING_INCOME_SEQ_GROWTH","FY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188" s="2" t="e">
        <f ca="1">_xll.BDH($C$178,"NET_INCOME_TO_COMMON_SEQ_GROWTH","FY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188" s="2" t="e">
        <f ca="1">_xll.BDH($C$178,"EPS_DILUTED_SEQUENTIAL_GROWTH","FY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188" s="2" t="e">
        <f ca="1">_xll.BDH($C$178,"DPS_SEQUENTIAL_GROWTH","FY 2016","FY 2016","Currency=INR","Period=FY","BEST_FPERIOD_OVERRIDE=FY","FILING_STATUS=OR","EQY_CONSOLIDATED=Y","Sort=A","Dates=H","DateFormat=P","Fill=—","Direction=H","UseDPDF=Y")</f>
        <v>#NAME?</v>
      </c>
      <c r="BL188" s="2" t="e">
        <f ca="1">_xll.BDH($C$178,"ACCOUNTS_RECEIVABLE_SEQ_GROWTH","FY 2016","FY 2016","Currency=INR","Period=FY","BEST_FPERIOD_OVERRIDE=FY","FILING_STATUS=OR","EQY_CONSOLIDATED=Y","Sort=A","Dates=H","DateFormat=P","Fill=—","Direction=H","UseDPDF=Y")</f>
        <v>#NAME?</v>
      </c>
      <c r="BM188" s="2" t="e">
        <f ca="1">_xll.BDH($C$178,"INVENTORY_SEQUENTIAL_GROWTH","FY 2016","FY 2016","Currency=INR","Period=FY","BEST_FPERIOD_OVERRIDE=FY","FILING_STATUS=OR","EQY_CONSOLIDATED=Y","Sort=A","Dates=H","DateFormat=P","Fill=—","Direction=H","UseDPDF=Y")</f>
        <v>#NAME?</v>
      </c>
      <c r="BN188" s="2" t="e">
        <f ca="1">_xll.BDH($C$178,"FIXED_ASSETS_SEQUENTIAL_GROWTH","FY 2016","FY 2016","Currency=INR","Period=FY","BEST_FPERIOD_OVERRIDE=FY","FILING_STATUS=OR","EQY_CONSOLIDATED=Y","Sort=A","Dates=H","DateFormat=P","Fill=—","Direction=H","UseDPDF=Y")</f>
        <v>#NAME?</v>
      </c>
      <c r="BO188" s="2" t="e">
        <f ca="1">_xll.BDH($C$178,"TOTAL_ASSETS_SEQUENTIAL_GROWTH","FY 2016","FY 2016","Currency=INR","Period=FY","BEST_FPERIOD_OVERRIDE=FY","FILING_STATUS=OR","EQY_CONSOLIDATED=Y","Sort=A","Dates=H","DateFormat=P","Fill=—","Direction=H","UseDPDF=Y")</f>
        <v>#NAME?</v>
      </c>
      <c r="BP188" s="2" t="e">
        <f ca="1">_xll.BDH($C$178,"MODIFIED_WORKING_CPTL_SEQ_GRWTH","FY 2016","FY 2016","Currency=INR","Period=FY","BEST_FPERIOD_OVERRIDE=FY","FILING_STATUS=OR","EQY_CONSOLIDATED=Y","Sort=A","Dates=H","DateFormat=P","Fill=—","Direction=H","UseDPDF=Y")</f>
        <v>#NAME?</v>
      </c>
      <c r="BQ188" s="2" t="e">
        <f ca="1">_xll.BDH($C$178,"WORKING_CAPITAL_SEQ_GROWTH","FY 2016","FY 2016","Currency=INR","Period=FY","BEST_FPERIOD_OVERRIDE=FY","FILING_STATUS=OR","EQY_CONSOLIDATED=Y","Sort=A","Dates=H","DateFormat=P","Fill=—","Direction=H","UseDPDF=Y")</f>
        <v>#NAME?</v>
      </c>
      <c r="BR188" s="2" t="e">
        <f ca="1">_xll.BDH($C$178,"ACCOUNTS_PAYABLE_SEQ_GROWTH","FY 2016","FY 2016","Currency=INR","Period=FY","BEST_FPERIOD_OVERRIDE=FY","FILING_STATUS=OR","EQY_CONSOLIDATED=Y","Sort=A","Dates=H","DateFormat=P","Fill=—","Direction=H","UseDPDF=Y")</f>
        <v>#NAME?</v>
      </c>
      <c r="BS188" s="2" t="e">
        <f ca="1">_xll.BDH($C$178,"ST_DEBT_SEQUENTIAL_GROWTH","FY 2016","FY 2016","Currency=INR","Period=FY","BEST_FPERIOD_OVERRIDE=FY","FILING_STATUS=OR","EQY_CONSOLIDATED=Y","Sort=A","Dates=H","DateFormat=P","Fill=—","Direction=H","UseDPDF=Y")</f>
        <v>#NAME?</v>
      </c>
      <c r="BT188" s="2" t="e">
        <f ca="1">_xll.BDH($C$178,"TOTAL_DEBT_SEQUENTIAL_GROWTH","FY 2016","FY 2016","Currency=INR","Period=FY","BEST_FPERIOD_OVERRIDE=FY","FILING_STATUS=OR","EQY_CONSOLIDATED=Y","Sort=A","Dates=H","DateFormat=P","Fill=—","Direction=H","UseDPDF=Y")</f>
        <v>#NAME?</v>
      </c>
      <c r="BU188" s="2" t="e">
        <f ca="1">_xll.BDH($C$178,"TOTAL_EQUITY_SEQUENTIAL_GROWTH","FY 2016","FY 2016","Currency=INR","Period=FY","BEST_FPERIOD_OVERRIDE=FY","FILING_STATUS=OR","EQY_CONSOLIDATED=Y","Sort=A","Dates=H","DateFormat=P","Fill=—","Direction=H","UseDPDF=Y")</f>
        <v>#NAME?</v>
      </c>
      <c r="BV188" s="2" t="e">
        <f ca="1">_xll.BDH($C$178,"TOTAL_CAPITAL_SEQUENTIAL_GROWTH","FY 2016","FY 2016","Currency=INR","Period=FY","BEST_FPERIOD_OVERRIDE=FY","FILING_STATUS=OR","EQY_CONSOLIDATED=Y","Sort=A","Dates=H","DateFormat=P","Fill=—","Direction=H","UseDPDF=Y")</f>
        <v>#NAME?</v>
      </c>
      <c r="BW188" s="2" t="e">
        <f ca="1">_xll.BDH($C$178,"BPS_SEQUENTIAL_GROWTH","FY 2016","FY 2016","Currency=INR","Period=FY","BEST_FPERIOD_OVERRIDE=FY","FILING_STATUS=OR","EQY_CONSOLIDATED=Y","Sort=A","Dates=H","DateFormat=P","Fill=—","Direction=H","UseDPDF=Y")</f>
        <v>#NAME?</v>
      </c>
      <c r="BX188" s="2" t="e">
        <f ca="1">_xll.BDH($C$178,"CFO_SEQUENTIAL_GROWTH","FY 2016","FY 2016","Currency=INR","Period=FY","BEST_FPERIOD_OVERRIDE=FY","FILING_STATUS=OR","EQY_CONSOLIDATED=Y","Sort=A","Dates=H","DateFormat=P","Fill=—","Direction=H","UseDPDF=Y")</f>
        <v>#NAME?</v>
      </c>
      <c r="BY188" s="3" t="e">
        <f ca="1">_xll.BDH($C$178,"SHORT_AND_LONG_TERM_DEBT","FY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188" s="3" t="e">
        <f ca="1">_xll.BDH($C$178,"BS_ST_BORROW","FY 2016","FY 2016","Currency=INR","Period=FY","BEST_FPERIOD_OVERRIDE=FY","FILING_STATUS=OR","EQY_CONSOLIDATED=Y","SCALING_FORMAT=MLN","Sort=A","Dates=H","DateFormat=P","Fill=—","Direction=H","UseDPDF=Y")</f>
        <v>#NAME?</v>
      </c>
      <c r="CA188" s="3" t="e">
        <f ca="1">_xll.BDH($C$178,"BS_LT_BORROW","FY 2016","FY 2016","Currency=INR","Period=FY","BEST_FPERIOD_OVERRIDE=FY","FILING_STATUS=OR","EQY_CONSOLIDATED=Y","SCALING_FORMAT=MLN","Sort=A","Dates=H","DateFormat=P","Fill=—","Direction=H","UseDPDF=Y")</f>
        <v>#NAME?</v>
      </c>
      <c r="CB188" s="2" t="e">
        <f ca="1">_xll.BDH($C$178,"TOT_DEBT_TO_EBITDA","FY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188" s="2" t="e">
        <f ca="1">_xll.BDH($C$178,"NET_DEBT_TO_EBITDA","FY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188" s="2" t="e">
        <f ca="1">_xll.BDH($C$178,"TOTAL_DEBT_TO_EBIT","FY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188" s="2" t="e">
        <f ca="1">_xll.BDH($C$178,"NET_DEBT_TO_EBIT","FY 2016","FY 2016","Currency=INR","Period=FY","BEST_FPERIOD_OVERRIDE=FY","FILING_STATUS=OR","EQY_CONSOLIDATED=Y","FA_ADJUSTED=GAAP","Sort=A","Dates=H","DateFormat=P","Fill=—","Direction=H","UseDPDF=Y")</f>
        <v>#NAME?</v>
      </c>
      <c r="CF188" s="2" t="e">
        <f ca="1">_xll.BDH($C$178,"EBITDA_TO_INTEREST_EXPN","FY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188" s="2" t="e">
        <f ca="1">_xll.BDH($C$178,"COM_EQY_TO_TOT_ASSET","FY 2016","FY 2016","Currency=INR","Period=FY","BEST_FPERIOD_OVERRIDE=FY","FILING_STATUS=OR","EQY_CONSOLIDATED=Y","Sort=A","Dates=H","DateFormat=P","Fill=—","Direction=H","UseDPDF=Y")</f>
        <v>#NAME?</v>
      </c>
      <c r="CH188" s="2" t="e">
        <f ca="1">_xll.BDH($C$178,"LT_DEBT_TO_TOT_EQY","FY 2016","FY 2016","Currency=INR","Period=FY","BEST_FPERIOD_OVERRIDE=FY","FILING_STATUS=OR","EQY_CONSOLIDATED=Y","Sort=A","Dates=H","DateFormat=P","Fill=—","Direction=H","UseDPDF=Y")</f>
        <v>#NAME?</v>
      </c>
      <c r="CI188" s="2" t="e">
        <f ca="1">_xll.BDH($C$178,"LT_DEBT_TO_TOT_CAP","FY 2016","FY 2016","Currency=INR","Period=FY","BEST_FPERIOD_OVERRIDE=FY","FILING_STATUS=OR","EQY_CONSOLIDATED=Y","Sort=A","Dates=H","DateFormat=P","Fill=—","Direction=H","UseDPDF=Y")</f>
        <v>#NAME?</v>
      </c>
      <c r="CJ188" s="2" t="e">
        <f ca="1">_xll.BDH($C$178,"LT_DEBT_TO_TOT_ASSET","FY 2016","FY 2016","Currency=INR","Period=FY","BEST_FPERIOD_OVERRIDE=FY","FILING_STATUS=OR","EQY_CONSOLIDATED=Y","Sort=A","Dates=H","DateFormat=P","Fill=—","Direction=H","UseDPDF=Y")</f>
        <v>#NAME?</v>
      </c>
      <c r="CK188" s="2" t="e">
        <f ca="1">_xll.BDH($C$178,"TOT_DEBT_TO_TOT_EQY","FY 2016","FY 2016","Currency=INR","Period=FY","BEST_FPERIOD_OVERRIDE=FY","FILING_STATUS=OR","EQY_CONSOLIDATED=Y","Sort=A","Dates=H","DateFormat=P","Fill=—","Direction=H","UseDPDF=Y")</f>
        <v>#NAME?</v>
      </c>
      <c r="CL188" s="2" t="e">
        <f ca="1">_xll.BDH($C$178,"TOT_DEBT_TO_TOT_CAP","FY 2016","FY 2016","Currency=INR","Period=FY","BEST_FPERIOD_OVERRIDE=FY","FILING_STATUS=OR","EQY_CONSOLIDATED=Y","Sort=A","Dates=H","DateFormat=P","Fill=—","Direction=H","UseDPDF=Y")</f>
        <v>#NAME?</v>
      </c>
      <c r="CM188" s="2" t="e">
        <f ca="1">_xll.BDH($C$178,"TOT_DEBT_TO_TOT_ASSET","FY 2016","FY 2016","Currency=INR","Period=FY","BEST_FPERIOD_OVERRIDE=FY","FILING_STATUS=OR","EQY_CONSOLIDATED=Y","Sort=A","Dates=H","DateFormat=P","Fill=—","Direction=H","UseDPDF=Y")</f>
        <v>#NAME?</v>
      </c>
      <c r="CN188" s="2" t="e">
        <f ca="1">_xll.BDH($C$178,"NET_DEBT_TO_SHRHLDR_EQTY","FY 2016","FY 2016","Currency=INR","Period=FY","BEST_FPERIOD_OVERRIDE=FY","FILING_STATUS=OR","EQY_CONSOLIDATED=Y","Sort=A","Dates=H","DateFormat=P","Fill=—","Direction=H","UseDPDF=Y")</f>
        <v>#NAME?</v>
      </c>
      <c r="CO188" s="2" t="e">
        <f ca="1">_xll.BDH($C$178,"NET_DEBT_%_CAPITAL","FY 2016","FY 2016","Currency=INR","Period=FY","BEST_FPERIOD_OVERRIDE=FY","FILING_STATUS=OR","EQY_CONSOLIDATED=Y","Sort=A","Dates=H","DateFormat=P","Fill=—","Direction=H","UseDPDF=Y")</f>
        <v>#NAME?</v>
      </c>
      <c r="CP188" s="3" t="e">
        <f ca="1">_xll.BDH($C$178,"EBITDA","FY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188" s="3" t="e">
        <f ca="1">_xll.BDH($C$178,"EBITDA_AFTER_CAPEX","FY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188" s="3" t="e">
        <f ca="1">_xll.BDH($C$178,"IS_OPER_INC","FY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188" s="2" t="e">
        <f ca="1">_xll.BDH($C$178,"CASH_RATIO","FY 2016","FY 2016","Currency=INR","Period=FY","BEST_FPERIOD_OVERRIDE=FY","FILING_STATUS=OR","EQY_CONSOLIDATED=Y","Sort=A","Dates=H","DateFormat=P","Fill=—","Direction=H","UseDPDF=Y")</f>
        <v>#NAME?</v>
      </c>
      <c r="CT188" s="2" t="e">
        <f ca="1">_xll.BDH($C$178,"CUR_RATIO","FY 2016","FY 2016","Currency=INR","Period=FY","BEST_FPERIOD_OVERRIDE=FY","FILING_STATUS=OR","EQY_CONSOLIDATED=Y","Sort=A","Dates=H","DateFormat=P","Fill=—","Direction=H","UseDPDF=Y")</f>
        <v>#NAME?</v>
      </c>
      <c r="CU188" s="2" t="e">
        <f ca="1">_xll.BDH($C$178,"QUICK_RATIO","FY 2016","FY 2016","Currency=INR","Period=FY","BEST_FPERIOD_OVERRIDE=FY","FILING_STATUS=OR","EQY_CONSOLIDATED=Y","Sort=A","Dates=H","DateFormat=P","Fill=—","Direction=H","UseDPDF=Y")</f>
        <v>#NAME?</v>
      </c>
      <c r="CV188" s="2" t="e">
        <f ca="1">_xll.BDH($C$178,"ALTMAN_Z_SCORE","FY 2016","FY 2016","Currency=INR","Period=FY","BEST_FPERIOD_OVERRIDE=FY","FILING_STATUS=OR","EQY_CONSOLIDATED=Y","Sort=A","Dates=H","DateFormat=P","Fill=—","Direction=H","UseDPDF=Y")</f>
        <v>#NAME?</v>
      </c>
      <c r="CW188" s="4" t="e">
        <f ca="1">_xll.BDH($C$178,"ACCT_RCV_TURN","FY 2016","FY 2016","Currency=INR","Period=FY","BEST_FPERIOD_OVERRIDE=FY","FILING_STATUS=OR","EQY_CONSOLIDATED=Y","FA_ADJUSTED=GAAP","Sort=A","Dates=H","DateFormat=P","Fill=—","Direction=H","UseDPDF=Y")</f>
        <v>#NAME?</v>
      </c>
      <c r="CX188" s="2" t="e">
        <f ca="1">_xll.BDH($C$178,"ACCT_RCV_DAYS","FY 2016","FY 2016","Currency=INR","Period=FY","BEST_FPERIOD_OVERRIDE=FY","FILING_STATUS=OR","EQY_CONSOLIDATED=Y","FA_ADJUSTED=GAAP","Sort=A","Dates=H","DateFormat=P","Fill=—","Direction=H","UseDPDF=Y")</f>
        <v>#NAME?</v>
      </c>
      <c r="CY188" s="4" t="e">
        <f ca="1">_xll.BDH($C$178,"INVENT_TURN","FY 2016","FY 2016","Currency=INR","Period=FY","BEST_FPERIOD_OVERRIDE=FY","FILING_STATUS=OR","EQY_CONSOLIDATED=Y","FA_ADJUSTED=GAAP","Sort=A","Dates=H","DateFormat=P","Fill=—","Direction=H","UseDPDF=Y")</f>
        <v>#NAME?</v>
      </c>
      <c r="CZ188" s="2" t="e">
        <f ca="1">_xll.BDH($C$178,"INVENT_DAYS","FY 2016","FY 2016","Currency=INR","Period=FY","BEST_FPERIOD_OVERRIDE=FY","FILING_STATUS=OR","EQY_CONSOLIDATED=Y","FA_ADJUSTED=GAAP","Sort=A","Dates=H","DateFormat=P","Fill=—","Direction=H","UseDPDF=Y")</f>
        <v>#NAME?</v>
      </c>
      <c r="DA188" s="4" t="e">
        <f ca="1">_xll.BDH($C$178,"ACCOUNTS_PAYABLE_TURNOVER","FY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188" s="2" t="e">
        <f ca="1">_xll.BDH($C$178,"ACCOUNTS_PAYABLE_TURNOVER_DAYS","FY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188" s="4" t="e">
        <f ca="1">_xll.BDH($C$178,"CASH_CONVERSION_CYCLE","FY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188" s="4" t="e">
        <f ca="1">_xll.BDH($C$178,"INV_TO_CASH_DAYS","FY 2016","FY 2016","Currency=INR","Period=FY","BEST_FPERIOD_OVERRIDE=FY","FILING_STATUS=OR","EQY_CONSOLIDATED=Y","FA_ADJUSTED=GAAP","Sort=A","Dates=H","DateFormat=P","Fill=—","Direction=H","UseDPDF=Y")</f>
        <v>#NAME?</v>
      </c>
      <c r="DE188" s="5" t="e">
        <f ca="1">_xll.BDH($C$178,"BS_INVENTORIES","FY 2016","FY 2016","Currency=INR","Period=FY","BEST_FPERIOD_OVERRIDE=FY","FILING_STATUS=OR","EQY_CONSOLIDATED=Y","SCALING_FORMAT=MLN","Sort=A","Dates=H","DateFormat=P","Fill=—","Direction=H","UseDPDF=Y")</f>
        <v>#NAME?</v>
      </c>
      <c r="DF188" s="3" t="e">
        <f ca="1">_xll.BDH($C$178,"INVTRY_RAW_MATERIALS","FY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188" s="3" t="e">
        <f ca="1">_xll.BDH($C$178,"INVTRY_IN_PROGRESS","FY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188" s="3" t="e">
        <f ca="1">_xll.BDH($C$178,"INVTRY_FINISHED_GOODS","FY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188" s="3" t="e">
        <f ca="1">_xll.BDH($C$178,"BS_OTHER_INV","FY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189" spans="1:113" x14ac:dyDescent="0.3">
      <c r="A189" s="6"/>
      <c r="B189" s="6"/>
      <c r="C189" s="6"/>
      <c r="D189" s="6"/>
      <c r="E189" t="s">
        <v>78</v>
      </c>
      <c r="F189" t="e">
        <f ca="1">_xll.BDH($C$178,"RETURN_COM_EQY","FQ1 2016","FQ1 2016","Currency=INR","Period=FQ","BEST_FPERIOD_OVERRIDE=FQ","FILING_STATUS=OR","EQY_CONSOLIDATED=Y","FA_ADJUSTED=GAAP","Sort=A","Dates=H","DateFormat=P","Fill=—","Direction=H","UseDPDF=Y")</f>
        <v>#NAME?</v>
      </c>
      <c r="G189" t="e">
        <f ca="1">_xll.BDH($C$178,"RETURN_ON_ASSET","FQ1 2016","FQ1 2016","Currency=INR","Period=FQ","BEST_FPERIOD_OVERRIDE=FQ","FILING_STATUS=OR","EQY_CONSOLIDATED=Y","FA_ADJUSTED=GAAP","Sort=A","Dates=H","DateFormat=P","Fill=—","Direction=H","UseDPDF=Y")</f>
        <v>#NAME?</v>
      </c>
      <c r="H189" t="e">
        <f ca="1">_xll.BDH($C$178,"RETURN_ON_CAP","FQ1 2016","FQ1 2016","Currency=INR","Period=FQ","BEST_FPERIOD_OVERRIDE=FQ","FILING_STATUS=OR","EQY_CONSOLIDATED=Y","FA_ADJUSTED=GAAP","Sort=A","Dates=H","DateFormat=P","Fill=—","Direction=H","UseDPDF=Y")</f>
        <v>#NAME?</v>
      </c>
      <c r="I189" t="e">
        <f ca="1">_xll.BDH($C$178,"RETURN_ON_INV_CAPITAL","FQ1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189" t="e">
        <f ca="1">_xll.BDH($C$178,"EBITDA_TO_REVENUE","FQ1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189" t="e">
        <f ca="1">_xll.BDH($C$178,"OPER_MARGIN","FQ1 2016","FQ1 2016","Currency=INR","Period=FQ","BEST_FPERIOD_OVERRIDE=FQ","FILING_STATUS=OR","EQY_CONSOLIDATED=Y","FA_ADJUSTED=GAAP","Sort=A","Dates=H","DateFormat=P","Fill=—","Direction=H","UseDPDF=Y")</f>
        <v>#NAME?</v>
      </c>
      <c r="L189" t="e">
        <f ca="1">_xll.BDH($C$178,"INCREMENTAL_OPERATING_MARGIN","FQ1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189" t="e">
        <f ca="1">_xll.BDH($C$178,"PRETAX_INC_TO_NET_SALES","FQ1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189" t="e">
        <f ca="1">_xll.BDH($C$178,"INC_BEF_XO_ITEMS_TO_NET_SALES","FQ1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189" t="e">
        <f ca="1">_xll.BDH($C$178,"PROF_MARGIN","FQ1 2016","FQ1 2016","Currency=INR","Period=FQ","BEST_FPERIOD_OVERRIDE=FQ","FILING_STATUS=OR","EQY_CONSOLIDATED=Y","FA_ADJUSTED=GAAP","Sort=A","Dates=H","DateFormat=P","Fill=—","Direction=H","UseDPDF=Y")</f>
        <v>#NAME?</v>
      </c>
      <c r="P189" t="e">
        <f ca="1">_xll.BDH($C$178,"NET_INCOME_TO_COMMON_MARGIN","FQ1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189" t="e">
        <f ca="1">_xll.BDH($C$178,"EFF_TAX_RATE","FQ1 2016","FQ1 2016","Currency=INR","Period=FQ","BEST_FPERIOD_OVERRIDE=FQ","FILING_STATUS=OR","EQY_CONSOLIDATED=Y","FA_ADJUSTED=GAAP","Sort=A","Dates=H","DateFormat=P","Fill=—","Direction=H","UseDPDF=Y")</f>
        <v>#NAME?</v>
      </c>
      <c r="R189" t="e">
        <f ca="1">_xll.BDH($C$178,"DVD_PAYOUT_RATIO","FQ1 2016","FQ1 2016","Currency=INR","Period=FQ","BEST_FPERIOD_OVERRIDE=FQ","FILING_STATUS=OR","EQY_CONSOLIDATED=Y","FA_ADJUSTED=GAAP","Sort=A","Dates=H","DateFormat=P","Fill=—","Direction=H","UseDPDF=Y")</f>
        <v>#NAME?</v>
      </c>
      <c r="S189" t="e">
        <f ca="1">_xll.BDH($C$178,"SUSTAIN_GROWTH_RT","FQ1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189" s="2" t="e">
        <f ca="1">_xll.BDH($C$178,"SALES_GROWTH","FQ1 2016","FQ1 2016","Currency=INR","Period=FQ","BEST_FPERIOD_OVERRIDE=FQ","FILING_STATUS=OR","EQY_CONSOLIDATED=Y","FA_ADJUSTED=GAAP","Sort=A","Dates=H","DateFormat=P","Fill=—","Direction=H","UseDPDF=Y")</f>
        <v>#NAME?</v>
      </c>
      <c r="U189" s="2" t="e">
        <f ca="1">_xll.BDH($C$178,"EBITDA_GROWTH","FQ1 2016","FQ1 2016","Currency=INR","Period=FQ","BEST_FPERIOD_OVERRIDE=FQ","FILING_STATUS=OR","EQY_CONSOLIDATED=Y","FA_ADJUSTED=GAAP","Sort=A","Dates=H","DateFormat=P","Fill=—","Direction=H","UseDPDF=Y")</f>
        <v>#NAME?</v>
      </c>
      <c r="V189" s="2" t="e">
        <f ca="1">_xll.BDH($C$178,"OPER_INC_GROWTH","FQ1 2016","FQ1 2016","Currency=INR","Period=FQ","BEST_FPERIOD_OVERRIDE=FQ","FILING_STATUS=OR","EQY_CONSOLIDATED=Y","FA_ADJUSTED=GAAP","Sort=A","Dates=H","DateFormat=P","Fill=—","Direction=H","UseDPDF=Y")</f>
        <v>#NAME?</v>
      </c>
      <c r="W189" s="2" t="e">
        <f ca="1">_xll.BDH($C$178,"EARN_FOR_COM_GROWTH","FQ1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189" s="2" t="e">
        <f ca="1">_xll.BDH($C$178,"DILUTED_EPS_AFT_XO_ITEMS_GROWTH","FQ1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189" s="2" t="e">
        <f ca="1">_xll.BDH($C$178,"DIVIDEND_PER_SHARE_1_YEAR_GROWTH","FQ1 2016","FQ1 2016","Currency=INR","Period=FQ","BEST_FPERIOD_OVERRIDE=FQ","FILING_STATUS=OR","EQY_CONSOLIDATED=Y","Sort=A","Dates=H","DateFormat=P","Fill=—","Direction=H","UseDPDF=Y")</f>
        <v>#NAME?</v>
      </c>
      <c r="Z189" s="2" t="e">
        <f ca="1">_xll.BDH($C$178,"ACCOUNTS_RECEIVABLE_GROWTH","FQ1 2016","FQ1 2016","Currency=INR","Period=FQ","BEST_FPERIOD_OVERRIDE=FQ","FILING_STATUS=OR","EQY_CONSOLIDATED=Y","Sort=A","Dates=H","DateFormat=P","Fill=—","Direction=H","UseDPDF=Y")</f>
        <v>#NAME?</v>
      </c>
      <c r="AA189" s="2" t="e">
        <f ca="1">_xll.BDH($C$178,"INVENTORY_GROWTH","FQ1 2016","FQ1 2016","Currency=INR","Period=FQ","BEST_FPERIOD_OVERRIDE=FQ","FILING_STATUS=OR","EQY_CONSOLIDATED=Y","Sort=A","Dates=H","DateFormat=P","Fill=—","Direction=H","UseDPDF=Y")</f>
        <v>#NAME?</v>
      </c>
      <c r="AB189" s="2" t="e">
        <f ca="1">_xll.BDH($C$178,"NET_FIXED_ASSETS_1_YEAR_GROWTH","FQ1 2016","FQ1 2016","Currency=INR","Period=FQ","BEST_FPERIOD_OVERRIDE=FQ","FILING_STATUS=OR","EQY_CONSOLIDATED=Y","Sort=A","Dates=H","DateFormat=P","Fill=—","Direction=H","UseDPDF=Y")</f>
        <v>#NAME?</v>
      </c>
      <c r="AC189" s="2" t="e">
        <f ca="1">_xll.BDH($C$178,"ASSET_GROWTH","FQ1 2016","FQ1 2016","Currency=INR","Period=FQ","BEST_FPERIOD_OVERRIDE=FQ","FILING_STATUS=OR","EQY_CONSOLIDATED=Y","Sort=A","Dates=H","DateFormat=P","Fill=—","Direction=H","UseDPDF=Y")</f>
        <v>#NAME?</v>
      </c>
      <c r="AD189" s="2" t="e">
        <f ca="1">_xll.BDH($C$178,"MODIFIED_WORK_CAP_GROWTH","FQ1 2016","FQ1 2016","Currency=INR","Period=FQ","BEST_FPERIOD_OVERRIDE=FQ","FILING_STATUS=OR","EQY_CONSOLIDATED=Y","Sort=A","Dates=H","DateFormat=P","Fill=—","Direction=H","UseDPDF=Y")</f>
        <v>#NAME?</v>
      </c>
      <c r="AE189" s="2" t="e">
        <f ca="1">_xll.BDH($C$178,"WORK_CAP_GROWTH","FQ1 2016","FQ1 2016","Currency=INR","Period=FQ","BEST_FPERIOD_OVERRIDE=FQ","FILING_STATUS=OR","EQY_CONSOLIDATED=Y","Sort=A","Dates=H","DateFormat=P","Fill=—","Direction=H","UseDPDF=Y")</f>
        <v>#NAME?</v>
      </c>
      <c r="AF189" s="2" t="e">
        <f ca="1">_xll.BDH($C$178,"ACCOUNTS_PAYABLE_GROWTH_1YR","FQ1 2016","FQ1 2016","Currency=INR","Period=FQ","BEST_FPERIOD_OVERRIDE=FQ","FILING_STATUS=OR","EQY_CONSOLIDATED=Y","Sort=A","Dates=H","DateFormat=P","Fill=—","Direction=H","UseDPDF=Y")</f>
        <v>#NAME?</v>
      </c>
      <c r="AG189" s="2" t="e">
        <f ca="1">_xll.BDH($C$178,"SHORT_TERM_DEBT_1_YEAR_GROWTH","FQ1 2016","FQ1 2016","Currency=INR","Period=FQ","BEST_FPERIOD_OVERRIDE=FQ","FILING_STATUS=OR","EQY_CONSOLIDATED=Y","Sort=A","Dates=H","DateFormat=P","Fill=—","Direction=H","UseDPDF=Y")</f>
        <v>#NAME?</v>
      </c>
      <c r="AH189" s="2" t="e">
        <f ca="1">_xll.BDH($C$178,"TOTAL_DEBT_1_YEAR_GROWTH","FQ1 2016","FQ1 2016","Currency=INR","Period=FQ","BEST_FPERIOD_OVERRIDE=FQ","FILING_STATUS=OR","EQY_CONSOLIDATED=Y","Sort=A","Dates=H","DateFormat=P","Fill=—","Direction=H","UseDPDF=Y")</f>
        <v>#NAME?</v>
      </c>
      <c r="AI189" s="2" t="e">
        <f ca="1">_xll.BDH($C$178,"TOTAL_EQUITY_1_YEAR_GROWTH","FQ1 2016","FQ1 2016","Currency=INR","Period=FQ","BEST_FPERIOD_OVERRIDE=FQ","FILING_STATUS=OR","EQY_CONSOLIDATED=Y","Sort=A","Dates=H","DateFormat=P","Fill=—","Direction=H","UseDPDF=Y")</f>
        <v>#NAME?</v>
      </c>
      <c r="AJ189" s="2" t="e">
        <f ca="1">_xll.BDH($C$178,"GROWTH_IN_CAP","FQ1 2016","FQ1 2016","Currency=INR","Period=FQ","BEST_FPERIOD_OVERRIDE=FQ","FILING_STATUS=OR","EQY_CONSOLIDATED=Y","Sort=A","Dates=H","DateFormat=P","Fill=—","Direction=H","UseDPDF=Y")</f>
        <v>#NAME?</v>
      </c>
      <c r="AK189" s="2" t="e">
        <f ca="1">_xll.BDH($C$178,"BVPS_GROWTH","FQ1 2016","FQ1 2016","Currency=INR","Period=FQ","BEST_FPERIOD_OVERRIDE=FQ","FILING_STATUS=OR","EQY_CONSOLIDATED=Y","Sort=A","Dates=H","DateFormat=P","Fill=—","Direction=H","UseDPDF=Y")</f>
        <v>#NAME?</v>
      </c>
      <c r="AL189" s="2" t="e">
        <f ca="1">_xll.BDH($C$178,"CASH_FLOW_GROWTH","FQ1 2016","FQ1 2016","Currency=INR","Period=FQ","BEST_FPERIOD_OVERRIDE=FQ","FILING_STATUS=OR","EQY_CONSOLIDATED=Y","Sort=A","Dates=H","DateFormat=P","Fill=—","Direction=H","UseDPDF=Y")</f>
        <v>#NAME?</v>
      </c>
      <c r="AM189" s="2" t="e">
        <f ca="1">_xll.BDH($C$178,"GEO_GROW_NET_SALES","FQ1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189" s="2" t="e">
        <f ca="1">_xll.BDH($C$178,"GEO_GROW_EBITDA","FQ1 2016","FQ1 2016","Currency=INR","Period=FQ","BEST_FPERIOD_OVERRIDE=FQ","FILING_STATUS=OR","EQY_CONSOLIDATED=Y","FA_ADJUSTED=GAAP","Sort=A","Dates=H","DateFormat=P","Fill=—","Direction=H","UseDPDF=Y")</f>
        <v>#NAME?</v>
      </c>
      <c r="AO189" s="2" t="e">
        <f ca="1">_xll.BDH($C$178,"GEO_GROW_OPER_INC","FQ1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189" s="2" t="e">
        <f ca="1">_xll.BDH($C$178,"NET_INCOME_TO_COMMON_5_YR_GROWTH","FQ1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189" s="2" t="e">
        <f ca="1">_xll.BDH($C$178,"5Y_GEO_GROWTH_DILUTED_EPS","FQ1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189" s="2" t="e">
        <f ca="1">_xll.BDH($C$178,"GEO_GROW_DVD_PER_SH","FQ1 2016","FQ1 2016","Currency=INR","Period=FQ","BEST_FPERIOD_OVERRIDE=FQ","FILING_STATUS=OR","EQY_CONSOLIDATED=Y","Sort=A","Dates=H","DateFormat=P","Fill=—","Direction=H","UseDPDF=Y")</f>
        <v>#NAME?</v>
      </c>
      <c r="AS189" s="2" t="e">
        <f ca="1">_xll.BDH($C$178,"ACCOUNTS_RECEIVABLE_5_YR_GROWTH","FQ1 2016","FQ1 2016","Currency=INR","Period=FQ","BEST_FPERIOD_OVERRIDE=FQ","FILING_STATUS=OR","EQY_CONSOLIDATED=Y","Sort=A","Dates=H","DateFormat=P","Fill=—","Direction=H","UseDPDF=Y")</f>
        <v>#NAME?</v>
      </c>
      <c r="AT189" s="2" t="e">
        <f ca="1">_xll.BDH($C$178,"INVENTORY_5_YEAR_GROWTH","FQ1 2016","FQ1 2016","Currency=INR","Period=FQ","BEST_FPERIOD_OVERRIDE=FQ","FILING_STATUS=OR","EQY_CONSOLIDATED=Y","Sort=A","Dates=H","DateFormat=P","Fill=—","Direction=H","UseDPDF=Y")</f>
        <v>#NAME?</v>
      </c>
      <c r="AU189" s="2" t="e">
        <f ca="1">_xll.BDH($C$178,"NET_FIXED_ASSETS_5_YEAR_GROWTH","FQ1 2016","FQ1 2016","Currency=INR","Period=FQ","BEST_FPERIOD_OVERRIDE=FQ","FILING_STATUS=OR","EQY_CONSOLIDATED=Y","Sort=A","Dates=H","DateFormat=P","Fill=—","Direction=H","UseDPDF=Y")</f>
        <v>#NAME?</v>
      </c>
      <c r="AV189" s="2" t="e">
        <f ca="1">_xll.BDH($C$178,"GEO_GROW_TOT_ASSET","FQ1 2016","FQ1 2016","Currency=INR","Period=FQ","BEST_FPERIOD_OVERRIDE=FQ","FILING_STATUS=OR","EQY_CONSOLIDATED=Y","Sort=A","Dates=H","DateFormat=P","Fill=—","Direction=H","UseDPDF=Y")</f>
        <v>#NAME?</v>
      </c>
      <c r="AW189" s="2" t="e">
        <f ca="1">_xll.BDH($C$178,"MODIFIED_WORKING_CPTL_5YR_GRWTH","FQ1 2016","FQ1 2016","Currency=INR","Period=FQ","BEST_FPERIOD_OVERRIDE=FQ","FILING_STATUS=OR","EQY_CONSOLIDATED=Y","Sort=A","Dates=H","DateFormat=P","Fill=—","Direction=H","UseDPDF=Y")</f>
        <v>#NAME?</v>
      </c>
      <c r="AX189" s="2" t="e">
        <f ca="1">_xll.BDH($C$178,"WORKING_CAPITAL_5_YEAR_GROWTH","FQ1 2016","FQ1 2016","Currency=INR","Period=FQ","BEST_FPERIOD_OVERRIDE=FQ","FILING_STATUS=OR","EQY_CONSOLIDATED=Y","Sort=A","Dates=H","DateFormat=P","Fill=—","Direction=H","UseDPDF=Y")</f>
        <v>#NAME?</v>
      </c>
      <c r="AY189" s="2" t="e">
        <f ca="1">_xll.BDH($C$178,"ACCOUNTS_PAYABLE_5_YEAR_GROWTH","FQ1 2016","FQ1 2016","Currency=INR","Period=FQ","BEST_FPERIOD_OVERRIDE=FQ","FILING_STATUS=OR","EQY_CONSOLIDATED=Y","Sort=A","Dates=H","DateFormat=P","Fill=—","Direction=H","UseDPDF=Y")</f>
        <v>#NAME?</v>
      </c>
      <c r="AZ189" s="2" t="e">
        <f ca="1">_xll.BDH($C$178,"SHORT_TERM_DEBT_5_YEAR_GROWTH","FQ1 2016","FQ1 2016","Currency=INR","Period=FQ","BEST_FPERIOD_OVERRIDE=FQ","FILING_STATUS=OR","EQY_CONSOLIDATED=Y","Sort=A","Dates=H","DateFormat=P","Fill=—","Direction=H","UseDPDF=Y")</f>
        <v>#NAME?</v>
      </c>
      <c r="BA189" s="2" t="e">
        <f ca="1">_xll.BDH($C$178,"TOTAL_DEBT_5_YEAR_GROWTH","FQ1 2016","FQ1 2016","Currency=INR","Period=FQ","BEST_FPERIOD_OVERRIDE=FQ","FILING_STATUS=OR","EQY_CONSOLIDATED=Y","Sort=A","Dates=H","DateFormat=P","Fill=—","Direction=H","UseDPDF=Y")</f>
        <v>#NAME?</v>
      </c>
      <c r="BB189" s="2" t="e">
        <f ca="1">_xll.BDH($C$178,"GEO_GROW_TOT_SHRHLDR_EQY","FQ1 2016","FQ1 2016","Currency=INR","Period=FQ","BEST_FPERIOD_OVERRIDE=FQ","FILING_STATUS=OR","EQY_CONSOLIDATED=Y","Sort=A","Dates=H","DateFormat=P","Fill=—","Direction=H","UseDPDF=Y")</f>
        <v>#NAME?</v>
      </c>
      <c r="BC189" s="2" t="e">
        <f ca="1">_xll.BDH($C$178,"TOTAL_CAPITAL_5_YEAR_GROWTH","FQ1 2016","FQ1 2016","Currency=INR","Period=FQ","BEST_FPERIOD_OVERRIDE=FQ","FILING_STATUS=OR","EQY_CONSOLIDATED=Y","Sort=A","Dates=H","DateFormat=P","Fill=—","Direction=H","UseDPDF=Y")</f>
        <v>#NAME?</v>
      </c>
      <c r="BD189" s="2" t="e">
        <f ca="1">_xll.BDH($C$178,"GEO_GROW_BOOK_VAL","FQ1 2016","FQ1 2016","Currency=INR","Period=FQ","BEST_FPERIOD_OVERRIDE=FQ","FILING_STATUS=OR","EQY_CONSOLIDATED=Y","Sort=A","Dates=H","DateFormat=P","Fill=—","Direction=H","UseDPDF=Y")</f>
        <v>#NAME?</v>
      </c>
      <c r="BE189" s="2" t="e">
        <f ca="1">_xll.BDH($C$178,"GEO_GROW_CASH_OPER_ACT","FQ1 2016","FQ1 2016","Currency=INR","Period=FQ","BEST_FPERIOD_OVERRIDE=FQ","FILING_STATUS=OR","EQY_CONSOLIDATED=Y","Sort=A","Dates=H","DateFormat=P","Fill=—","Direction=H","UseDPDF=Y")</f>
        <v>#NAME?</v>
      </c>
      <c r="BF189" s="2" t="e">
        <f ca="1">_xll.BDH($C$178,"REVENUE_SEQUENTIAL_GROWTH","FQ1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189" s="2" t="e">
        <f ca="1">_xll.BDH($C$178,"EBITDA_SEQUENTIAL_GROWTH","FQ1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189" s="2" t="e">
        <f ca="1">_xll.BDH($C$178,"OPERATING_INCOME_SEQ_GROWTH","FQ1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189" s="2" t="e">
        <f ca="1">_xll.BDH($C$178,"NET_INCOME_TO_COMMON_SEQ_GROWTH","FQ1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189" s="2" t="e">
        <f ca="1">_xll.BDH($C$178,"EPS_DILUTED_SEQUENTIAL_GROWTH","FQ1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189" s="2" t="e">
        <f ca="1">_xll.BDH($C$178,"DPS_SEQUENTIAL_GROWTH","FQ1 2016","FQ1 2016","Currency=INR","Period=FQ","BEST_FPERIOD_OVERRIDE=FQ","FILING_STATUS=OR","EQY_CONSOLIDATED=Y","Sort=A","Dates=H","DateFormat=P","Fill=—","Direction=H","UseDPDF=Y")</f>
        <v>#NAME?</v>
      </c>
      <c r="BL189" s="2" t="e">
        <f ca="1">_xll.BDH($C$178,"ACCOUNTS_RECEIVABLE_SEQ_GROWTH","FQ1 2016","FQ1 2016","Currency=INR","Period=FQ","BEST_FPERIOD_OVERRIDE=FQ","FILING_STATUS=OR","EQY_CONSOLIDATED=Y","Sort=A","Dates=H","DateFormat=P","Fill=—","Direction=H","UseDPDF=Y")</f>
        <v>#NAME?</v>
      </c>
      <c r="BM189" s="2" t="e">
        <f ca="1">_xll.BDH($C$178,"INVENTORY_SEQUENTIAL_GROWTH","FQ1 2016","FQ1 2016","Currency=INR","Period=FQ","BEST_FPERIOD_OVERRIDE=FQ","FILING_STATUS=OR","EQY_CONSOLIDATED=Y","Sort=A","Dates=H","DateFormat=P","Fill=—","Direction=H","UseDPDF=Y")</f>
        <v>#NAME?</v>
      </c>
      <c r="BN189" s="2" t="e">
        <f ca="1">_xll.BDH($C$178,"FIXED_ASSETS_SEQUENTIAL_GROWTH","FQ1 2016","FQ1 2016","Currency=INR","Period=FQ","BEST_FPERIOD_OVERRIDE=FQ","FILING_STATUS=OR","EQY_CONSOLIDATED=Y","Sort=A","Dates=H","DateFormat=P","Fill=—","Direction=H","UseDPDF=Y")</f>
        <v>#NAME?</v>
      </c>
      <c r="BO189" s="2" t="e">
        <f ca="1">_xll.BDH($C$178,"TOTAL_ASSETS_SEQUENTIAL_GROWTH","FQ1 2016","FQ1 2016","Currency=INR","Period=FQ","BEST_FPERIOD_OVERRIDE=FQ","FILING_STATUS=OR","EQY_CONSOLIDATED=Y","Sort=A","Dates=H","DateFormat=P","Fill=—","Direction=H","UseDPDF=Y")</f>
        <v>#NAME?</v>
      </c>
      <c r="BP189" s="2" t="e">
        <f ca="1">_xll.BDH($C$178,"MODIFIED_WORKING_CPTL_SEQ_GRWTH","FQ1 2016","FQ1 2016","Currency=INR","Period=FQ","BEST_FPERIOD_OVERRIDE=FQ","FILING_STATUS=OR","EQY_CONSOLIDATED=Y","Sort=A","Dates=H","DateFormat=P","Fill=—","Direction=H","UseDPDF=Y")</f>
        <v>#NAME?</v>
      </c>
      <c r="BQ189" s="2" t="e">
        <f ca="1">_xll.BDH($C$178,"WORKING_CAPITAL_SEQ_GROWTH","FQ1 2016","FQ1 2016","Currency=INR","Period=FQ","BEST_FPERIOD_OVERRIDE=FQ","FILING_STATUS=OR","EQY_CONSOLIDATED=Y","Sort=A","Dates=H","DateFormat=P","Fill=—","Direction=H","UseDPDF=Y")</f>
        <v>#NAME?</v>
      </c>
      <c r="BR189" s="2" t="e">
        <f ca="1">_xll.BDH($C$178,"ACCOUNTS_PAYABLE_SEQ_GROWTH","FQ1 2016","FQ1 2016","Currency=INR","Period=FQ","BEST_FPERIOD_OVERRIDE=FQ","FILING_STATUS=OR","EQY_CONSOLIDATED=Y","Sort=A","Dates=H","DateFormat=P","Fill=—","Direction=H","UseDPDF=Y")</f>
        <v>#NAME?</v>
      </c>
      <c r="BS189" s="2" t="e">
        <f ca="1">_xll.BDH($C$178,"ST_DEBT_SEQUENTIAL_GROWTH","FQ1 2016","FQ1 2016","Currency=INR","Period=FQ","BEST_FPERIOD_OVERRIDE=FQ","FILING_STATUS=OR","EQY_CONSOLIDATED=Y","Sort=A","Dates=H","DateFormat=P","Fill=—","Direction=H","UseDPDF=Y")</f>
        <v>#NAME?</v>
      </c>
      <c r="BT189" s="2" t="e">
        <f ca="1">_xll.BDH($C$178,"TOTAL_DEBT_SEQUENTIAL_GROWTH","FQ1 2016","FQ1 2016","Currency=INR","Period=FQ","BEST_FPERIOD_OVERRIDE=FQ","FILING_STATUS=OR","EQY_CONSOLIDATED=Y","Sort=A","Dates=H","DateFormat=P","Fill=—","Direction=H","UseDPDF=Y")</f>
        <v>#NAME?</v>
      </c>
      <c r="BU189" s="2" t="e">
        <f ca="1">_xll.BDH($C$178,"TOTAL_EQUITY_SEQUENTIAL_GROWTH","FQ1 2016","FQ1 2016","Currency=INR","Period=FQ","BEST_FPERIOD_OVERRIDE=FQ","FILING_STATUS=OR","EQY_CONSOLIDATED=Y","Sort=A","Dates=H","DateFormat=P","Fill=—","Direction=H","UseDPDF=Y")</f>
        <v>#NAME?</v>
      </c>
      <c r="BV189" s="2" t="e">
        <f ca="1">_xll.BDH($C$178,"TOTAL_CAPITAL_SEQUENTIAL_GROWTH","FQ1 2016","FQ1 2016","Currency=INR","Period=FQ","BEST_FPERIOD_OVERRIDE=FQ","FILING_STATUS=OR","EQY_CONSOLIDATED=Y","Sort=A","Dates=H","DateFormat=P","Fill=—","Direction=H","UseDPDF=Y")</f>
        <v>#NAME?</v>
      </c>
      <c r="BW189" s="2" t="e">
        <f ca="1">_xll.BDH($C$178,"BPS_SEQUENTIAL_GROWTH","FQ1 2016","FQ1 2016","Currency=INR","Period=FQ","BEST_FPERIOD_OVERRIDE=FQ","FILING_STATUS=OR","EQY_CONSOLIDATED=Y","Sort=A","Dates=H","DateFormat=P","Fill=—","Direction=H","UseDPDF=Y")</f>
        <v>#NAME?</v>
      </c>
      <c r="BX189" s="2" t="e">
        <f ca="1">_xll.BDH($C$178,"CFO_SEQUENTIAL_GROWTH","FQ1 2016","FQ1 2016","Currency=INR","Period=FQ","BEST_FPERIOD_OVERRIDE=FQ","FILING_STATUS=OR","EQY_CONSOLIDATED=Y","Sort=A","Dates=H","DateFormat=P","Fill=—","Direction=H","UseDPDF=Y")</f>
        <v>#NAME?</v>
      </c>
      <c r="BY189" s="3" t="e">
        <f ca="1">_xll.BDH($C$178,"SHORT_AND_LONG_TERM_DEBT","FQ1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189" s="3" t="e">
        <f ca="1">_xll.BDH($C$178,"BS_ST_BORROW","FQ1 2016","FQ1 2016","Currency=INR","Period=FQ","BEST_FPERIOD_OVERRIDE=FQ","FILING_STATUS=OR","EQY_CONSOLIDATED=Y","SCALING_FORMAT=MLN","Sort=A","Dates=H","DateFormat=P","Fill=—","Direction=H","UseDPDF=Y")</f>
        <v>#NAME?</v>
      </c>
      <c r="CA189" s="3" t="e">
        <f ca="1">_xll.BDH($C$178,"BS_LT_BORROW","FQ1 2016","FQ1 2016","Currency=INR","Period=FQ","BEST_FPERIOD_OVERRIDE=FQ","FILING_STATUS=OR","EQY_CONSOLIDATED=Y","SCALING_FORMAT=MLN","Sort=A","Dates=H","DateFormat=P","Fill=—","Direction=H","UseDPDF=Y")</f>
        <v>#NAME?</v>
      </c>
      <c r="CB189" s="2" t="e">
        <f ca="1">_xll.BDH($C$178,"TOT_DEBT_TO_EBITDA","FQ1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189" s="2" t="e">
        <f ca="1">_xll.BDH($C$178,"NET_DEBT_TO_EBITDA","FQ1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189" s="2" t="e">
        <f ca="1">_xll.BDH($C$178,"TOTAL_DEBT_TO_EBIT","FQ1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189" s="2" t="e">
        <f ca="1">_xll.BDH($C$178,"NET_DEBT_TO_EBIT","FQ1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189" s="2" t="e">
        <f ca="1">_xll.BDH($C$178,"EBITDA_TO_INTEREST_EXPN","FQ1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189" s="2" t="e">
        <f ca="1">_xll.BDH($C$178,"COM_EQY_TO_TOT_ASSET","FQ1 2016","FQ1 2016","Currency=INR","Period=FQ","BEST_FPERIOD_OVERRIDE=FQ","FILING_STATUS=OR","EQY_CONSOLIDATED=Y","Sort=A","Dates=H","DateFormat=P","Fill=—","Direction=H","UseDPDF=Y")</f>
        <v>#NAME?</v>
      </c>
      <c r="CH189" s="2" t="e">
        <f ca="1">_xll.BDH($C$178,"LT_DEBT_TO_TOT_EQY","FQ1 2016","FQ1 2016","Currency=INR","Period=FQ","BEST_FPERIOD_OVERRIDE=FQ","FILING_STATUS=OR","EQY_CONSOLIDATED=Y","Sort=A","Dates=H","DateFormat=P","Fill=—","Direction=H","UseDPDF=Y")</f>
        <v>#NAME?</v>
      </c>
      <c r="CI189" s="2" t="e">
        <f ca="1">_xll.BDH($C$178,"LT_DEBT_TO_TOT_CAP","FQ1 2016","FQ1 2016","Currency=INR","Period=FQ","BEST_FPERIOD_OVERRIDE=FQ","FILING_STATUS=OR","EQY_CONSOLIDATED=Y","Sort=A","Dates=H","DateFormat=P","Fill=—","Direction=H","UseDPDF=Y")</f>
        <v>#NAME?</v>
      </c>
      <c r="CJ189" s="2" t="e">
        <f ca="1">_xll.BDH($C$178,"LT_DEBT_TO_TOT_ASSET","FQ1 2016","FQ1 2016","Currency=INR","Period=FQ","BEST_FPERIOD_OVERRIDE=FQ","FILING_STATUS=OR","EQY_CONSOLIDATED=Y","Sort=A","Dates=H","DateFormat=P","Fill=—","Direction=H","UseDPDF=Y")</f>
        <v>#NAME?</v>
      </c>
      <c r="CK189" s="2" t="e">
        <f ca="1">_xll.BDH($C$178,"TOT_DEBT_TO_TOT_EQY","FQ1 2016","FQ1 2016","Currency=INR","Period=FQ","BEST_FPERIOD_OVERRIDE=FQ","FILING_STATUS=OR","EQY_CONSOLIDATED=Y","Sort=A","Dates=H","DateFormat=P","Fill=—","Direction=H","UseDPDF=Y")</f>
        <v>#NAME?</v>
      </c>
      <c r="CL189" s="2" t="e">
        <f ca="1">_xll.BDH($C$178,"TOT_DEBT_TO_TOT_CAP","FQ1 2016","FQ1 2016","Currency=INR","Period=FQ","BEST_FPERIOD_OVERRIDE=FQ","FILING_STATUS=OR","EQY_CONSOLIDATED=Y","Sort=A","Dates=H","DateFormat=P","Fill=—","Direction=H","UseDPDF=Y")</f>
        <v>#NAME?</v>
      </c>
      <c r="CM189" s="2" t="e">
        <f ca="1">_xll.BDH($C$178,"TOT_DEBT_TO_TOT_ASSET","FQ1 2016","FQ1 2016","Currency=INR","Period=FQ","BEST_FPERIOD_OVERRIDE=FQ","FILING_STATUS=OR","EQY_CONSOLIDATED=Y","Sort=A","Dates=H","DateFormat=P","Fill=—","Direction=H","UseDPDF=Y")</f>
        <v>#NAME?</v>
      </c>
      <c r="CN189" s="2" t="e">
        <f ca="1">_xll.BDH($C$178,"NET_DEBT_TO_SHRHLDR_EQTY","FQ1 2016","FQ1 2016","Currency=INR","Period=FQ","BEST_FPERIOD_OVERRIDE=FQ","FILING_STATUS=OR","EQY_CONSOLIDATED=Y","Sort=A","Dates=H","DateFormat=P","Fill=—","Direction=H","UseDPDF=Y")</f>
        <v>#NAME?</v>
      </c>
      <c r="CO189" s="2" t="e">
        <f ca="1">_xll.BDH($C$178,"NET_DEBT_%_CAPITAL","FQ1 2016","FQ1 2016","Currency=INR","Period=FQ","BEST_FPERIOD_OVERRIDE=FQ","FILING_STATUS=OR","EQY_CONSOLIDATED=Y","Sort=A","Dates=H","DateFormat=P","Fill=—","Direction=H","UseDPDF=Y")</f>
        <v>#NAME?</v>
      </c>
      <c r="CP189" s="3" t="e">
        <f ca="1">_xll.BDH($C$178,"EBITDA","FQ1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189" s="3" t="e">
        <f ca="1">_xll.BDH($C$178,"EBITDA_AFTER_CAPEX","FQ1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189" s="3" t="e">
        <f ca="1">_xll.BDH($C$178,"IS_OPER_INC","FQ1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189" s="2" t="e">
        <f ca="1">_xll.BDH($C$178,"CASH_RATIO","FQ1 2016","FQ1 2016","Currency=INR","Period=FQ","BEST_FPERIOD_OVERRIDE=FQ","FILING_STATUS=OR","EQY_CONSOLIDATED=Y","Sort=A","Dates=H","DateFormat=P","Fill=—","Direction=H","UseDPDF=Y")</f>
        <v>#NAME?</v>
      </c>
      <c r="CT189" s="2" t="e">
        <f ca="1">_xll.BDH($C$178,"CUR_RATIO","FQ1 2016","FQ1 2016","Currency=INR","Period=FQ","BEST_FPERIOD_OVERRIDE=FQ","FILING_STATUS=OR","EQY_CONSOLIDATED=Y","Sort=A","Dates=H","DateFormat=P","Fill=—","Direction=H","UseDPDF=Y")</f>
        <v>#NAME?</v>
      </c>
      <c r="CU189" s="2" t="e">
        <f ca="1">_xll.BDH($C$178,"QUICK_RATIO","FQ1 2016","FQ1 2016","Currency=INR","Period=FQ","BEST_FPERIOD_OVERRIDE=FQ","FILING_STATUS=OR","EQY_CONSOLIDATED=Y","Sort=A","Dates=H","DateFormat=P","Fill=—","Direction=H","UseDPDF=Y")</f>
        <v>#NAME?</v>
      </c>
      <c r="CV189" s="2" t="e">
        <f ca="1">_xll.BDH($C$178,"ALTMAN_Z_SCORE","FQ1 2016","FQ1 2016","Currency=INR","Period=FQ","BEST_FPERIOD_OVERRIDE=FQ","FILING_STATUS=OR","EQY_CONSOLIDATED=Y","Sort=A","Dates=H","DateFormat=P","Fill=—","Direction=H","UseDPDF=Y")</f>
        <v>#NAME?</v>
      </c>
      <c r="CW189" s="4" t="e">
        <f ca="1">_xll.BDH($C$178,"ACCT_RCV_TURN","FQ1 2016","FQ1 2016","Currency=INR","Period=FQ","BEST_FPERIOD_OVERRIDE=FQ","FILING_STATUS=OR","EQY_CONSOLIDATED=Y","FA_ADJUSTED=GAAP","Sort=A","Dates=H","DateFormat=P","Fill=—","Direction=H","UseDPDF=Y")</f>
        <v>#NAME?</v>
      </c>
      <c r="CX189" s="2" t="e">
        <f ca="1">_xll.BDH($C$178,"ACCT_RCV_DAYS","FQ1 2016","FQ1 2016","Currency=INR","Period=FQ","BEST_FPERIOD_OVERRIDE=FQ","FILING_STATUS=OR","EQY_CONSOLIDATED=Y","FA_ADJUSTED=GAAP","Sort=A","Dates=H","DateFormat=P","Fill=—","Direction=H","UseDPDF=Y")</f>
        <v>#NAME?</v>
      </c>
      <c r="CY189" s="4" t="e">
        <f ca="1">_xll.BDH($C$178,"INVENT_TURN","FQ1 2016","FQ1 2016","Currency=INR","Period=FQ","BEST_FPERIOD_OVERRIDE=FQ","FILING_STATUS=OR","EQY_CONSOLIDATED=Y","FA_ADJUSTED=GAAP","Sort=A","Dates=H","DateFormat=P","Fill=—","Direction=H","UseDPDF=Y")</f>
        <v>#NAME?</v>
      </c>
      <c r="CZ189" s="2" t="e">
        <f ca="1">_xll.BDH($C$178,"INVENT_DAYS","FQ1 2016","FQ1 2016","Currency=INR","Period=FQ","BEST_FPERIOD_OVERRIDE=FQ","FILING_STATUS=OR","EQY_CONSOLIDATED=Y","FA_ADJUSTED=GAAP","Sort=A","Dates=H","DateFormat=P","Fill=—","Direction=H","UseDPDF=Y")</f>
        <v>#NAME?</v>
      </c>
      <c r="DA189" s="4" t="e">
        <f ca="1">_xll.BDH($C$178,"ACCOUNTS_PAYABLE_TURNOVER","FQ1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189" s="2" t="e">
        <f ca="1">_xll.BDH($C$178,"ACCOUNTS_PAYABLE_TURNOVER_DAYS","FQ1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189" s="4" t="e">
        <f ca="1">_xll.BDH($C$178,"CASH_CONVERSION_CYCLE","FQ1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189" s="4" t="e">
        <f ca="1">_xll.BDH($C$178,"INV_TO_CASH_DAYS","FQ1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189" s="5" t="e">
        <f ca="1">_xll.BDH($C$178,"BS_INVENTORIES","FQ1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189" s="3" t="e">
        <f ca="1">_xll.BDH($C$178,"INVTRY_RAW_MATERIALS","FQ1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189" s="3" t="e">
        <f ca="1">_xll.BDH($C$178,"INVTRY_IN_PROGRESS","FQ1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189" s="3" t="e">
        <f ca="1">_xll.BDH($C$178,"INVTRY_FINISHED_GOODS","FQ1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189" s="3" t="e">
        <f ca="1">_xll.BDH($C$178,"BS_OTHER_INV","FQ1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190" spans="1:113" x14ac:dyDescent="0.3">
      <c r="A190" s="6"/>
      <c r="B190" s="6"/>
      <c r="C190" s="6"/>
      <c r="D190" s="6"/>
      <c r="E190" t="s">
        <v>79</v>
      </c>
      <c r="F190" t="e">
        <f ca="1">_xll.BDH($C$178,"RETURN_COM_EQY","FQ2 2016","FQ2 2016","Currency=INR","Period=FQ","BEST_FPERIOD_OVERRIDE=FQ","FILING_STATUS=OR","EQY_CONSOLIDATED=Y","FA_ADJUSTED=GAAP","Sort=A","Dates=H","DateFormat=P","Fill=—","Direction=H","UseDPDF=Y")</f>
        <v>#NAME?</v>
      </c>
      <c r="G190" t="e">
        <f ca="1">_xll.BDH($C$178,"RETURN_ON_ASSET","FQ2 2016","FQ2 2016","Currency=INR","Period=FQ","BEST_FPERIOD_OVERRIDE=FQ","FILING_STATUS=OR","EQY_CONSOLIDATED=Y","FA_ADJUSTED=GAAP","Sort=A","Dates=H","DateFormat=P","Fill=—","Direction=H","UseDPDF=Y")</f>
        <v>#NAME?</v>
      </c>
      <c r="H190" t="e">
        <f ca="1">_xll.BDH($C$178,"RETURN_ON_CAP","FQ2 2016","FQ2 2016","Currency=INR","Period=FQ","BEST_FPERIOD_OVERRIDE=FQ","FILING_STATUS=OR","EQY_CONSOLIDATED=Y","FA_ADJUSTED=GAAP","Sort=A","Dates=H","DateFormat=P","Fill=—","Direction=H","UseDPDF=Y")</f>
        <v>#NAME?</v>
      </c>
      <c r="I190" t="e">
        <f ca="1">_xll.BDH($C$178,"RETURN_ON_INV_CAPITAL","FQ2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190" t="e">
        <f ca="1">_xll.BDH($C$178,"EBITDA_TO_REVENUE","FQ2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190" t="e">
        <f ca="1">_xll.BDH($C$178,"OPER_MARGIN","FQ2 2016","FQ2 2016","Currency=INR","Period=FQ","BEST_FPERIOD_OVERRIDE=FQ","FILING_STATUS=OR","EQY_CONSOLIDATED=Y","FA_ADJUSTED=GAAP","Sort=A","Dates=H","DateFormat=P","Fill=—","Direction=H","UseDPDF=Y")</f>
        <v>#NAME?</v>
      </c>
      <c r="L190" t="e">
        <f ca="1">_xll.BDH($C$178,"INCREMENTAL_OPERATING_MARGIN","FQ2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190" t="e">
        <f ca="1">_xll.BDH($C$178,"PRETAX_INC_TO_NET_SALES","FQ2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190" t="e">
        <f ca="1">_xll.BDH($C$178,"INC_BEF_XO_ITEMS_TO_NET_SALES","FQ2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190" t="e">
        <f ca="1">_xll.BDH($C$178,"PROF_MARGIN","FQ2 2016","FQ2 2016","Currency=INR","Period=FQ","BEST_FPERIOD_OVERRIDE=FQ","FILING_STATUS=OR","EQY_CONSOLIDATED=Y","FA_ADJUSTED=GAAP","Sort=A","Dates=H","DateFormat=P","Fill=—","Direction=H","UseDPDF=Y")</f>
        <v>#NAME?</v>
      </c>
      <c r="P190" t="e">
        <f ca="1">_xll.BDH($C$178,"NET_INCOME_TO_COMMON_MARGIN","FQ2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190" t="e">
        <f ca="1">_xll.BDH($C$178,"EFF_TAX_RATE","FQ2 2016","FQ2 2016","Currency=INR","Period=FQ","BEST_FPERIOD_OVERRIDE=FQ","FILING_STATUS=OR","EQY_CONSOLIDATED=Y","FA_ADJUSTED=GAAP","Sort=A","Dates=H","DateFormat=P","Fill=—","Direction=H","UseDPDF=Y")</f>
        <v>#NAME?</v>
      </c>
      <c r="R190" t="e">
        <f ca="1">_xll.BDH($C$178,"DVD_PAYOUT_RATIO","FQ2 2016","FQ2 2016","Currency=INR","Period=FQ","BEST_FPERIOD_OVERRIDE=FQ","FILING_STATUS=OR","EQY_CONSOLIDATED=Y","FA_ADJUSTED=GAAP","Sort=A","Dates=H","DateFormat=P","Fill=—","Direction=H","UseDPDF=Y")</f>
        <v>#NAME?</v>
      </c>
      <c r="S190" t="e">
        <f ca="1">_xll.BDH($C$178,"SUSTAIN_GROWTH_RT","FQ2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190" s="2" t="e">
        <f ca="1">_xll.BDH($C$178,"SALES_GROWTH","FQ2 2016","FQ2 2016","Currency=INR","Period=FQ","BEST_FPERIOD_OVERRIDE=FQ","FILING_STATUS=OR","EQY_CONSOLIDATED=Y","FA_ADJUSTED=GAAP","Sort=A","Dates=H","DateFormat=P","Fill=—","Direction=H","UseDPDF=Y")</f>
        <v>#NAME?</v>
      </c>
      <c r="U190" s="2" t="e">
        <f ca="1">_xll.BDH($C$178,"EBITDA_GROWTH","FQ2 2016","FQ2 2016","Currency=INR","Period=FQ","BEST_FPERIOD_OVERRIDE=FQ","FILING_STATUS=OR","EQY_CONSOLIDATED=Y","FA_ADJUSTED=GAAP","Sort=A","Dates=H","DateFormat=P","Fill=—","Direction=H","UseDPDF=Y")</f>
        <v>#NAME?</v>
      </c>
      <c r="V190" s="2" t="e">
        <f ca="1">_xll.BDH($C$178,"OPER_INC_GROWTH","FQ2 2016","FQ2 2016","Currency=INR","Period=FQ","BEST_FPERIOD_OVERRIDE=FQ","FILING_STATUS=OR","EQY_CONSOLIDATED=Y","FA_ADJUSTED=GAAP","Sort=A","Dates=H","DateFormat=P","Fill=—","Direction=H","UseDPDF=Y")</f>
        <v>#NAME?</v>
      </c>
      <c r="W190" s="2" t="e">
        <f ca="1">_xll.BDH($C$178,"EARN_FOR_COM_GROWTH","FQ2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190" s="2" t="e">
        <f ca="1">_xll.BDH($C$178,"DILUTED_EPS_AFT_XO_ITEMS_GROWTH","FQ2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190" s="2" t="e">
        <f ca="1">_xll.BDH($C$178,"DIVIDEND_PER_SHARE_1_YEAR_GROWTH","FQ2 2016","FQ2 2016","Currency=INR","Period=FQ","BEST_FPERIOD_OVERRIDE=FQ","FILING_STATUS=OR","EQY_CONSOLIDATED=Y","Sort=A","Dates=H","DateFormat=P","Fill=—","Direction=H","UseDPDF=Y")</f>
        <v>#NAME?</v>
      </c>
      <c r="Z190" s="2" t="e">
        <f ca="1">_xll.BDH($C$178,"ACCOUNTS_RECEIVABLE_GROWTH","FQ2 2016","FQ2 2016","Currency=INR","Period=FQ","BEST_FPERIOD_OVERRIDE=FQ","FILING_STATUS=OR","EQY_CONSOLIDATED=Y","Sort=A","Dates=H","DateFormat=P","Fill=—","Direction=H","UseDPDF=Y")</f>
        <v>#NAME?</v>
      </c>
      <c r="AA190" s="2" t="e">
        <f ca="1">_xll.BDH($C$178,"INVENTORY_GROWTH","FQ2 2016","FQ2 2016","Currency=INR","Period=FQ","BEST_FPERIOD_OVERRIDE=FQ","FILING_STATUS=OR","EQY_CONSOLIDATED=Y","Sort=A","Dates=H","DateFormat=P","Fill=—","Direction=H","UseDPDF=Y")</f>
        <v>#NAME?</v>
      </c>
      <c r="AB190" s="2" t="e">
        <f ca="1">_xll.BDH($C$178,"NET_FIXED_ASSETS_1_YEAR_GROWTH","FQ2 2016","FQ2 2016","Currency=INR","Period=FQ","BEST_FPERIOD_OVERRIDE=FQ","FILING_STATUS=OR","EQY_CONSOLIDATED=Y","Sort=A","Dates=H","DateFormat=P","Fill=—","Direction=H","UseDPDF=Y")</f>
        <v>#NAME?</v>
      </c>
      <c r="AC190" s="2" t="e">
        <f ca="1">_xll.BDH($C$178,"ASSET_GROWTH","FQ2 2016","FQ2 2016","Currency=INR","Period=FQ","BEST_FPERIOD_OVERRIDE=FQ","FILING_STATUS=OR","EQY_CONSOLIDATED=Y","Sort=A","Dates=H","DateFormat=P","Fill=—","Direction=H","UseDPDF=Y")</f>
        <v>#NAME?</v>
      </c>
      <c r="AD190" s="2" t="e">
        <f ca="1">_xll.BDH($C$178,"MODIFIED_WORK_CAP_GROWTH","FQ2 2016","FQ2 2016","Currency=INR","Period=FQ","BEST_FPERIOD_OVERRIDE=FQ","FILING_STATUS=OR","EQY_CONSOLIDATED=Y","Sort=A","Dates=H","DateFormat=P","Fill=—","Direction=H","UseDPDF=Y")</f>
        <v>#NAME?</v>
      </c>
      <c r="AE190" s="2" t="e">
        <f ca="1">_xll.BDH($C$178,"WORK_CAP_GROWTH","FQ2 2016","FQ2 2016","Currency=INR","Period=FQ","BEST_FPERIOD_OVERRIDE=FQ","FILING_STATUS=OR","EQY_CONSOLIDATED=Y","Sort=A","Dates=H","DateFormat=P","Fill=—","Direction=H","UseDPDF=Y")</f>
        <v>#NAME?</v>
      </c>
      <c r="AF190" s="2" t="e">
        <f ca="1">_xll.BDH($C$178,"ACCOUNTS_PAYABLE_GROWTH_1YR","FQ2 2016","FQ2 2016","Currency=INR","Period=FQ","BEST_FPERIOD_OVERRIDE=FQ","FILING_STATUS=OR","EQY_CONSOLIDATED=Y","Sort=A","Dates=H","DateFormat=P","Fill=—","Direction=H","UseDPDF=Y")</f>
        <v>#NAME?</v>
      </c>
      <c r="AG190" s="2" t="e">
        <f ca="1">_xll.BDH($C$178,"SHORT_TERM_DEBT_1_YEAR_GROWTH","FQ2 2016","FQ2 2016","Currency=INR","Period=FQ","BEST_FPERIOD_OVERRIDE=FQ","FILING_STATUS=OR","EQY_CONSOLIDATED=Y","Sort=A","Dates=H","DateFormat=P","Fill=—","Direction=H","UseDPDF=Y")</f>
        <v>#NAME?</v>
      </c>
      <c r="AH190" s="2" t="e">
        <f ca="1">_xll.BDH($C$178,"TOTAL_DEBT_1_YEAR_GROWTH","FQ2 2016","FQ2 2016","Currency=INR","Period=FQ","BEST_FPERIOD_OVERRIDE=FQ","FILING_STATUS=OR","EQY_CONSOLIDATED=Y","Sort=A","Dates=H","DateFormat=P","Fill=—","Direction=H","UseDPDF=Y")</f>
        <v>#NAME?</v>
      </c>
      <c r="AI190" s="2" t="e">
        <f ca="1">_xll.BDH($C$178,"TOTAL_EQUITY_1_YEAR_GROWTH","FQ2 2016","FQ2 2016","Currency=INR","Period=FQ","BEST_FPERIOD_OVERRIDE=FQ","FILING_STATUS=OR","EQY_CONSOLIDATED=Y","Sort=A","Dates=H","DateFormat=P","Fill=—","Direction=H","UseDPDF=Y")</f>
        <v>#NAME?</v>
      </c>
      <c r="AJ190" s="2" t="e">
        <f ca="1">_xll.BDH($C$178,"GROWTH_IN_CAP","FQ2 2016","FQ2 2016","Currency=INR","Period=FQ","BEST_FPERIOD_OVERRIDE=FQ","FILING_STATUS=OR","EQY_CONSOLIDATED=Y","Sort=A","Dates=H","DateFormat=P","Fill=—","Direction=H","UseDPDF=Y")</f>
        <v>#NAME?</v>
      </c>
      <c r="AK190" s="2" t="e">
        <f ca="1">_xll.BDH($C$178,"BVPS_GROWTH","FQ2 2016","FQ2 2016","Currency=INR","Period=FQ","BEST_FPERIOD_OVERRIDE=FQ","FILING_STATUS=OR","EQY_CONSOLIDATED=Y","Sort=A","Dates=H","DateFormat=P","Fill=—","Direction=H","UseDPDF=Y")</f>
        <v>#NAME?</v>
      </c>
      <c r="AL190" s="2" t="e">
        <f ca="1">_xll.BDH($C$178,"CASH_FLOW_GROWTH","FQ2 2016","FQ2 2016","Currency=INR","Period=FQ","BEST_FPERIOD_OVERRIDE=FQ","FILING_STATUS=OR","EQY_CONSOLIDATED=Y","Sort=A","Dates=H","DateFormat=P","Fill=—","Direction=H","UseDPDF=Y")</f>
        <v>#NAME?</v>
      </c>
      <c r="AM190" s="2" t="e">
        <f ca="1">_xll.BDH($C$178,"GEO_GROW_NET_SALES","FQ2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190" s="2" t="e">
        <f ca="1">_xll.BDH($C$178,"GEO_GROW_EBITDA","FQ2 2016","FQ2 2016","Currency=INR","Period=FQ","BEST_FPERIOD_OVERRIDE=FQ","FILING_STATUS=OR","EQY_CONSOLIDATED=Y","FA_ADJUSTED=GAAP","Sort=A","Dates=H","DateFormat=P","Fill=—","Direction=H","UseDPDF=Y")</f>
        <v>#NAME?</v>
      </c>
      <c r="AO190" s="2" t="e">
        <f ca="1">_xll.BDH($C$178,"GEO_GROW_OPER_INC","FQ2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190" s="2" t="e">
        <f ca="1">_xll.BDH($C$178,"NET_INCOME_TO_COMMON_5_YR_GROWTH","FQ2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190" s="2" t="e">
        <f ca="1">_xll.BDH($C$178,"5Y_GEO_GROWTH_DILUTED_EPS","FQ2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190" s="2" t="e">
        <f ca="1">_xll.BDH($C$178,"GEO_GROW_DVD_PER_SH","FQ2 2016","FQ2 2016","Currency=INR","Period=FQ","BEST_FPERIOD_OVERRIDE=FQ","FILING_STATUS=OR","EQY_CONSOLIDATED=Y","Sort=A","Dates=H","DateFormat=P","Fill=—","Direction=H","UseDPDF=Y")</f>
        <v>#NAME?</v>
      </c>
      <c r="AS190" s="2" t="e">
        <f ca="1">_xll.BDH($C$178,"ACCOUNTS_RECEIVABLE_5_YR_GROWTH","FQ2 2016","FQ2 2016","Currency=INR","Period=FQ","BEST_FPERIOD_OVERRIDE=FQ","FILING_STATUS=OR","EQY_CONSOLIDATED=Y","Sort=A","Dates=H","DateFormat=P","Fill=—","Direction=H","UseDPDF=Y")</f>
        <v>#NAME?</v>
      </c>
      <c r="AT190" s="2" t="e">
        <f ca="1">_xll.BDH($C$178,"INVENTORY_5_YEAR_GROWTH","FQ2 2016","FQ2 2016","Currency=INR","Period=FQ","BEST_FPERIOD_OVERRIDE=FQ","FILING_STATUS=OR","EQY_CONSOLIDATED=Y","Sort=A","Dates=H","DateFormat=P","Fill=—","Direction=H","UseDPDF=Y")</f>
        <v>#NAME?</v>
      </c>
      <c r="AU190" s="2" t="e">
        <f ca="1">_xll.BDH($C$178,"NET_FIXED_ASSETS_5_YEAR_GROWTH","FQ2 2016","FQ2 2016","Currency=INR","Period=FQ","BEST_FPERIOD_OVERRIDE=FQ","FILING_STATUS=OR","EQY_CONSOLIDATED=Y","Sort=A","Dates=H","DateFormat=P","Fill=—","Direction=H","UseDPDF=Y")</f>
        <v>#NAME?</v>
      </c>
      <c r="AV190" s="2" t="e">
        <f ca="1">_xll.BDH($C$178,"GEO_GROW_TOT_ASSET","FQ2 2016","FQ2 2016","Currency=INR","Period=FQ","BEST_FPERIOD_OVERRIDE=FQ","FILING_STATUS=OR","EQY_CONSOLIDATED=Y","Sort=A","Dates=H","DateFormat=P","Fill=—","Direction=H","UseDPDF=Y")</f>
        <v>#NAME?</v>
      </c>
      <c r="AW190" s="2" t="e">
        <f ca="1">_xll.BDH($C$178,"MODIFIED_WORKING_CPTL_5YR_GRWTH","FQ2 2016","FQ2 2016","Currency=INR","Period=FQ","BEST_FPERIOD_OVERRIDE=FQ","FILING_STATUS=OR","EQY_CONSOLIDATED=Y","Sort=A","Dates=H","DateFormat=P","Fill=—","Direction=H","UseDPDF=Y")</f>
        <v>#NAME?</v>
      </c>
      <c r="AX190" s="2" t="e">
        <f ca="1">_xll.BDH($C$178,"WORKING_CAPITAL_5_YEAR_GROWTH","FQ2 2016","FQ2 2016","Currency=INR","Period=FQ","BEST_FPERIOD_OVERRIDE=FQ","FILING_STATUS=OR","EQY_CONSOLIDATED=Y","Sort=A","Dates=H","DateFormat=P","Fill=—","Direction=H","UseDPDF=Y")</f>
        <v>#NAME?</v>
      </c>
      <c r="AY190" s="2" t="e">
        <f ca="1">_xll.BDH($C$178,"ACCOUNTS_PAYABLE_5_YEAR_GROWTH","FQ2 2016","FQ2 2016","Currency=INR","Period=FQ","BEST_FPERIOD_OVERRIDE=FQ","FILING_STATUS=OR","EQY_CONSOLIDATED=Y","Sort=A","Dates=H","DateFormat=P","Fill=—","Direction=H","UseDPDF=Y")</f>
        <v>#NAME?</v>
      </c>
      <c r="AZ190" s="2" t="e">
        <f ca="1">_xll.BDH($C$178,"SHORT_TERM_DEBT_5_YEAR_GROWTH","FQ2 2016","FQ2 2016","Currency=INR","Period=FQ","BEST_FPERIOD_OVERRIDE=FQ","FILING_STATUS=OR","EQY_CONSOLIDATED=Y","Sort=A","Dates=H","DateFormat=P","Fill=—","Direction=H","UseDPDF=Y")</f>
        <v>#NAME?</v>
      </c>
      <c r="BA190" s="2" t="e">
        <f ca="1">_xll.BDH($C$178,"TOTAL_DEBT_5_YEAR_GROWTH","FQ2 2016","FQ2 2016","Currency=INR","Period=FQ","BEST_FPERIOD_OVERRIDE=FQ","FILING_STATUS=OR","EQY_CONSOLIDATED=Y","Sort=A","Dates=H","DateFormat=P","Fill=—","Direction=H","UseDPDF=Y")</f>
        <v>#NAME?</v>
      </c>
      <c r="BB190" s="2" t="e">
        <f ca="1">_xll.BDH($C$178,"GEO_GROW_TOT_SHRHLDR_EQY","FQ2 2016","FQ2 2016","Currency=INR","Period=FQ","BEST_FPERIOD_OVERRIDE=FQ","FILING_STATUS=OR","EQY_CONSOLIDATED=Y","Sort=A","Dates=H","DateFormat=P","Fill=—","Direction=H","UseDPDF=Y")</f>
        <v>#NAME?</v>
      </c>
      <c r="BC190" s="2" t="e">
        <f ca="1">_xll.BDH($C$178,"TOTAL_CAPITAL_5_YEAR_GROWTH","FQ2 2016","FQ2 2016","Currency=INR","Period=FQ","BEST_FPERIOD_OVERRIDE=FQ","FILING_STATUS=OR","EQY_CONSOLIDATED=Y","Sort=A","Dates=H","DateFormat=P","Fill=—","Direction=H","UseDPDF=Y")</f>
        <v>#NAME?</v>
      </c>
      <c r="BD190" s="2" t="e">
        <f ca="1">_xll.BDH($C$178,"GEO_GROW_BOOK_VAL","FQ2 2016","FQ2 2016","Currency=INR","Period=FQ","BEST_FPERIOD_OVERRIDE=FQ","FILING_STATUS=OR","EQY_CONSOLIDATED=Y","Sort=A","Dates=H","DateFormat=P","Fill=—","Direction=H","UseDPDF=Y")</f>
        <v>#NAME?</v>
      </c>
      <c r="BE190" s="2" t="e">
        <f ca="1">_xll.BDH($C$178,"GEO_GROW_CASH_OPER_ACT","FQ2 2016","FQ2 2016","Currency=INR","Period=FQ","BEST_FPERIOD_OVERRIDE=FQ","FILING_STATUS=OR","EQY_CONSOLIDATED=Y","Sort=A","Dates=H","DateFormat=P","Fill=—","Direction=H","UseDPDF=Y")</f>
        <v>#NAME?</v>
      </c>
      <c r="BF190" s="2" t="e">
        <f ca="1">_xll.BDH($C$178,"REVENUE_SEQUENTIAL_GROWTH","FQ2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190" s="2" t="e">
        <f ca="1">_xll.BDH($C$178,"EBITDA_SEQUENTIAL_GROWTH","FQ2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190" s="2" t="e">
        <f ca="1">_xll.BDH($C$178,"OPERATING_INCOME_SEQ_GROWTH","FQ2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190" s="2" t="e">
        <f ca="1">_xll.BDH($C$178,"NET_INCOME_TO_COMMON_SEQ_GROWTH","FQ2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190" s="2" t="e">
        <f ca="1">_xll.BDH($C$178,"EPS_DILUTED_SEQUENTIAL_GROWTH","FQ2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190" s="2" t="e">
        <f ca="1">_xll.BDH($C$178,"DPS_SEQUENTIAL_GROWTH","FQ2 2016","FQ2 2016","Currency=INR","Period=FQ","BEST_FPERIOD_OVERRIDE=FQ","FILING_STATUS=OR","EQY_CONSOLIDATED=Y","Sort=A","Dates=H","DateFormat=P","Fill=—","Direction=H","UseDPDF=Y")</f>
        <v>#NAME?</v>
      </c>
      <c r="BL190" s="2" t="e">
        <f ca="1">_xll.BDH($C$178,"ACCOUNTS_RECEIVABLE_SEQ_GROWTH","FQ2 2016","FQ2 2016","Currency=INR","Period=FQ","BEST_FPERIOD_OVERRIDE=FQ","FILING_STATUS=OR","EQY_CONSOLIDATED=Y","Sort=A","Dates=H","DateFormat=P","Fill=—","Direction=H","UseDPDF=Y")</f>
        <v>#NAME?</v>
      </c>
      <c r="BM190" s="2" t="e">
        <f ca="1">_xll.BDH($C$178,"INVENTORY_SEQUENTIAL_GROWTH","FQ2 2016","FQ2 2016","Currency=INR","Period=FQ","BEST_FPERIOD_OVERRIDE=FQ","FILING_STATUS=OR","EQY_CONSOLIDATED=Y","Sort=A","Dates=H","DateFormat=P","Fill=—","Direction=H","UseDPDF=Y")</f>
        <v>#NAME?</v>
      </c>
      <c r="BN190" s="2" t="e">
        <f ca="1">_xll.BDH($C$178,"FIXED_ASSETS_SEQUENTIAL_GROWTH","FQ2 2016","FQ2 2016","Currency=INR","Period=FQ","BEST_FPERIOD_OVERRIDE=FQ","FILING_STATUS=OR","EQY_CONSOLIDATED=Y","Sort=A","Dates=H","DateFormat=P","Fill=—","Direction=H","UseDPDF=Y")</f>
        <v>#NAME?</v>
      </c>
      <c r="BO190" s="2" t="e">
        <f ca="1">_xll.BDH($C$178,"TOTAL_ASSETS_SEQUENTIAL_GROWTH","FQ2 2016","FQ2 2016","Currency=INR","Period=FQ","BEST_FPERIOD_OVERRIDE=FQ","FILING_STATUS=OR","EQY_CONSOLIDATED=Y","Sort=A","Dates=H","DateFormat=P","Fill=—","Direction=H","UseDPDF=Y")</f>
        <v>#NAME?</v>
      </c>
      <c r="BP190" s="2" t="e">
        <f ca="1">_xll.BDH($C$178,"MODIFIED_WORKING_CPTL_SEQ_GRWTH","FQ2 2016","FQ2 2016","Currency=INR","Period=FQ","BEST_FPERIOD_OVERRIDE=FQ","FILING_STATUS=OR","EQY_CONSOLIDATED=Y","Sort=A","Dates=H","DateFormat=P","Fill=—","Direction=H","UseDPDF=Y")</f>
        <v>#NAME?</v>
      </c>
      <c r="BQ190" s="2" t="e">
        <f ca="1">_xll.BDH($C$178,"WORKING_CAPITAL_SEQ_GROWTH","FQ2 2016","FQ2 2016","Currency=INR","Period=FQ","BEST_FPERIOD_OVERRIDE=FQ","FILING_STATUS=OR","EQY_CONSOLIDATED=Y","Sort=A","Dates=H","DateFormat=P","Fill=—","Direction=H","UseDPDF=Y")</f>
        <v>#NAME?</v>
      </c>
      <c r="BR190" s="2" t="e">
        <f ca="1">_xll.BDH($C$178,"ACCOUNTS_PAYABLE_SEQ_GROWTH","FQ2 2016","FQ2 2016","Currency=INR","Period=FQ","BEST_FPERIOD_OVERRIDE=FQ","FILING_STATUS=OR","EQY_CONSOLIDATED=Y","Sort=A","Dates=H","DateFormat=P","Fill=—","Direction=H","UseDPDF=Y")</f>
        <v>#NAME?</v>
      </c>
      <c r="BS190" s="2" t="e">
        <f ca="1">_xll.BDH($C$178,"ST_DEBT_SEQUENTIAL_GROWTH","FQ2 2016","FQ2 2016","Currency=INR","Period=FQ","BEST_FPERIOD_OVERRIDE=FQ","FILING_STATUS=OR","EQY_CONSOLIDATED=Y","Sort=A","Dates=H","DateFormat=P","Fill=—","Direction=H","UseDPDF=Y")</f>
        <v>#NAME?</v>
      </c>
      <c r="BT190" s="2" t="e">
        <f ca="1">_xll.BDH($C$178,"TOTAL_DEBT_SEQUENTIAL_GROWTH","FQ2 2016","FQ2 2016","Currency=INR","Period=FQ","BEST_FPERIOD_OVERRIDE=FQ","FILING_STATUS=OR","EQY_CONSOLIDATED=Y","Sort=A","Dates=H","DateFormat=P","Fill=—","Direction=H","UseDPDF=Y")</f>
        <v>#NAME?</v>
      </c>
      <c r="BU190" s="2" t="e">
        <f ca="1">_xll.BDH($C$178,"TOTAL_EQUITY_SEQUENTIAL_GROWTH","FQ2 2016","FQ2 2016","Currency=INR","Period=FQ","BEST_FPERIOD_OVERRIDE=FQ","FILING_STATUS=OR","EQY_CONSOLIDATED=Y","Sort=A","Dates=H","DateFormat=P","Fill=—","Direction=H","UseDPDF=Y")</f>
        <v>#NAME?</v>
      </c>
      <c r="BV190" s="2" t="e">
        <f ca="1">_xll.BDH($C$178,"TOTAL_CAPITAL_SEQUENTIAL_GROWTH","FQ2 2016","FQ2 2016","Currency=INR","Period=FQ","BEST_FPERIOD_OVERRIDE=FQ","FILING_STATUS=OR","EQY_CONSOLIDATED=Y","Sort=A","Dates=H","DateFormat=P","Fill=—","Direction=H","UseDPDF=Y")</f>
        <v>#NAME?</v>
      </c>
      <c r="BW190" s="2" t="e">
        <f ca="1">_xll.BDH($C$178,"BPS_SEQUENTIAL_GROWTH","FQ2 2016","FQ2 2016","Currency=INR","Period=FQ","BEST_FPERIOD_OVERRIDE=FQ","FILING_STATUS=OR","EQY_CONSOLIDATED=Y","Sort=A","Dates=H","DateFormat=P","Fill=—","Direction=H","UseDPDF=Y")</f>
        <v>#NAME?</v>
      </c>
      <c r="BX190" s="2" t="e">
        <f ca="1">_xll.BDH($C$178,"CFO_SEQUENTIAL_GROWTH","FQ2 2016","FQ2 2016","Currency=INR","Period=FQ","BEST_FPERIOD_OVERRIDE=FQ","FILING_STATUS=OR","EQY_CONSOLIDATED=Y","Sort=A","Dates=H","DateFormat=P","Fill=—","Direction=H","UseDPDF=Y")</f>
        <v>#NAME?</v>
      </c>
      <c r="BY190" s="3" t="e">
        <f ca="1">_xll.BDH($C$178,"SHORT_AND_LONG_TERM_DEBT","FQ2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190" s="3" t="e">
        <f ca="1">_xll.BDH($C$178,"BS_ST_BORROW","FQ2 2016","FQ2 2016","Currency=INR","Period=FQ","BEST_FPERIOD_OVERRIDE=FQ","FILING_STATUS=OR","EQY_CONSOLIDATED=Y","SCALING_FORMAT=MLN","Sort=A","Dates=H","DateFormat=P","Fill=—","Direction=H","UseDPDF=Y")</f>
        <v>#NAME?</v>
      </c>
      <c r="CA190" s="3" t="e">
        <f ca="1">_xll.BDH($C$178,"BS_LT_BORROW","FQ2 2016","FQ2 2016","Currency=INR","Period=FQ","BEST_FPERIOD_OVERRIDE=FQ","FILING_STATUS=OR","EQY_CONSOLIDATED=Y","SCALING_FORMAT=MLN","Sort=A","Dates=H","DateFormat=P","Fill=—","Direction=H","UseDPDF=Y")</f>
        <v>#NAME?</v>
      </c>
      <c r="CB190" s="2" t="e">
        <f ca="1">_xll.BDH($C$178,"TOT_DEBT_TO_EBITDA","FQ2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190" s="2" t="e">
        <f ca="1">_xll.BDH($C$178,"NET_DEBT_TO_EBITDA","FQ2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190" s="2" t="e">
        <f ca="1">_xll.BDH($C$178,"TOTAL_DEBT_TO_EBIT","FQ2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190" s="2" t="e">
        <f ca="1">_xll.BDH($C$178,"NET_DEBT_TO_EBIT","FQ2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190" s="2" t="e">
        <f ca="1">_xll.BDH($C$178,"EBITDA_TO_INTEREST_EXPN","FQ2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190" s="2" t="e">
        <f ca="1">_xll.BDH($C$178,"COM_EQY_TO_TOT_ASSET","FQ2 2016","FQ2 2016","Currency=INR","Period=FQ","BEST_FPERIOD_OVERRIDE=FQ","FILING_STATUS=OR","EQY_CONSOLIDATED=Y","Sort=A","Dates=H","DateFormat=P","Fill=—","Direction=H","UseDPDF=Y")</f>
        <v>#NAME?</v>
      </c>
      <c r="CH190" s="2" t="e">
        <f ca="1">_xll.BDH($C$178,"LT_DEBT_TO_TOT_EQY","FQ2 2016","FQ2 2016","Currency=INR","Period=FQ","BEST_FPERIOD_OVERRIDE=FQ","FILING_STATUS=OR","EQY_CONSOLIDATED=Y","Sort=A","Dates=H","DateFormat=P","Fill=—","Direction=H","UseDPDF=Y")</f>
        <v>#NAME?</v>
      </c>
      <c r="CI190" s="2" t="e">
        <f ca="1">_xll.BDH($C$178,"LT_DEBT_TO_TOT_CAP","FQ2 2016","FQ2 2016","Currency=INR","Period=FQ","BEST_FPERIOD_OVERRIDE=FQ","FILING_STATUS=OR","EQY_CONSOLIDATED=Y","Sort=A","Dates=H","DateFormat=P","Fill=—","Direction=H","UseDPDF=Y")</f>
        <v>#NAME?</v>
      </c>
      <c r="CJ190" s="2" t="e">
        <f ca="1">_xll.BDH($C$178,"LT_DEBT_TO_TOT_ASSET","FQ2 2016","FQ2 2016","Currency=INR","Period=FQ","BEST_FPERIOD_OVERRIDE=FQ","FILING_STATUS=OR","EQY_CONSOLIDATED=Y","Sort=A","Dates=H","DateFormat=P","Fill=—","Direction=H","UseDPDF=Y")</f>
        <v>#NAME?</v>
      </c>
      <c r="CK190" s="2" t="e">
        <f ca="1">_xll.BDH($C$178,"TOT_DEBT_TO_TOT_EQY","FQ2 2016","FQ2 2016","Currency=INR","Period=FQ","BEST_FPERIOD_OVERRIDE=FQ","FILING_STATUS=OR","EQY_CONSOLIDATED=Y","Sort=A","Dates=H","DateFormat=P","Fill=—","Direction=H","UseDPDF=Y")</f>
        <v>#NAME?</v>
      </c>
      <c r="CL190" s="2" t="e">
        <f ca="1">_xll.BDH($C$178,"TOT_DEBT_TO_TOT_CAP","FQ2 2016","FQ2 2016","Currency=INR","Period=FQ","BEST_FPERIOD_OVERRIDE=FQ","FILING_STATUS=OR","EQY_CONSOLIDATED=Y","Sort=A","Dates=H","DateFormat=P","Fill=—","Direction=H","UseDPDF=Y")</f>
        <v>#NAME?</v>
      </c>
      <c r="CM190" s="2" t="e">
        <f ca="1">_xll.BDH($C$178,"TOT_DEBT_TO_TOT_ASSET","FQ2 2016","FQ2 2016","Currency=INR","Period=FQ","BEST_FPERIOD_OVERRIDE=FQ","FILING_STATUS=OR","EQY_CONSOLIDATED=Y","Sort=A","Dates=H","DateFormat=P","Fill=—","Direction=H","UseDPDF=Y")</f>
        <v>#NAME?</v>
      </c>
      <c r="CN190" s="2" t="e">
        <f ca="1">_xll.BDH($C$178,"NET_DEBT_TO_SHRHLDR_EQTY","FQ2 2016","FQ2 2016","Currency=INR","Period=FQ","BEST_FPERIOD_OVERRIDE=FQ","FILING_STATUS=OR","EQY_CONSOLIDATED=Y","Sort=A","Dates=H","DateFormat=P","Fill=—","Direction=H","UseDPDF=Y")</f>
        <v>#NAME?</v>
      </c>
      <c r="CO190" s="2" t="e">
        <f ca="1">_xll.BDH($C$178,"NET_DEBT_%_CAPITAL","FQ2 2016","FQ2 2016","Currency=INR","Period=FQ","BEST_FPERIOD_OVERRIDE=FQ","FILING_STATUS=OR","EQY_CONSOLIDATED=Y","Sort=A","Dates=H","DateFormat=P","Fill=—","Direction=H","UseDPDF=Y")</f>
        <v>#NAME?</v>
      </c>
      <c r="CP190" s="3" t="e">
        <f ca="1">_xll.BDH($C$178,"EBITDA","FQ2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190" s="3" t="e">
        <f ca="1">_xll.BDH($C$178,"EBITDA_AFTER_CAPEX","FQ2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190" s="3" t="e">
        <f ca="1">_xll.BDH($C$178,"IS_OPER_INC","FQ2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190" s="2" t="e">
        <f ca="1">_xll.BDH($C$178,"CASH_RATIO","FQ2 2016","FQ2 2016","Currency=INR","Period=FQ","BEST_FPERIOD_OVERRIDE=FQ","FILING_STATUS=OR","EQY_CONSOLIDATED=Y","Sort=A","Dates=H","DateFormat=P","Fill=—","Direction=H","UseDPDF=Y")</f>
        <v>#NAME?</v>
      </c>
      <c r="CT190" s="2" t="e">
        <f ca="1">_xll.BDH($C$178,"CUR_RATIO","FQ2 2016","FQ2 2016","Currency=INR","Period=FQ","BEST_FPERIOD_OVERRIDE=FQ","FILING_STATUS=OR","EQY_CONSOLIDATED=Y","Sort=A","Dates=H","DateFormat=P","Fill=—","Direction=H","UseDPDF=Y")</f>
        <v>#NAME?</v>
      </c>
      <c r="CU190" s="2" t="e">
        <f ca="1">_xll.BDH($C$178,"QUICK_RATIO","FQ2 2016","FQ2 2016","Currency=INR","Period=FQ","BEST_FPERIOD_OVERRIDE=FQ","FILING_STATUS=OR","EQY_CONSOLIDATED=Y","Sort=A","Dates=H","DateFormat=P","Fill=—","Direction=H","UseDPDF=Y")</f>
        <v>#NAME?</v>
      </c>
      <c r="CV190" s="2" t="e">
        <f ca="1">_xll.BDH($C$178,"ALTMAN_Z_SCORE","FQ2 2016","FQ2 2016","Currency=INR","Period=FQ","BEST_FPERIOD_OVERRIDE=FQ","FILING_STATUS=OR","EQY_CONSOLIDATED=Y","Sort=A","Dates=H","DateFormat=P","Fill=—","Direction=H","UseDPDF=Y")</f>
        <v>#NAME?</v>
      </c>
      <c r="CW190" s="4" t="e">
        <f ca="1">_xll.BDH($C$178,"ACCT_RCV_TURN","FQ2 2016","FQ2 2016","Currency=INR","Period=FQ","BEST_FPERIOD_OVERRIDE=FQ","FILING_STATUS=OR","EQY_CONSOLIDATED=Y","FA_ADJUSTED=GAAP","Sort=A","Dates=H","DateFormat=P","Fill=—","Direction=H","UseDPDF=Y")</f>
        <v>#NAME?</v>
      </c>
      <c r="CX190" s="2" t="e">
        <f ca="1">_xll.BDH($C$178,"ACCT_RCV_DAYS","FQ2 2016","FQ2 2016","Currency=INR","Period=FQ","BEST_FPERIOD_OVERRIDE=FQ","FILING_STATUS=OR","EQY_CONSOLIDATED=Y","FA_ADJUSTED=GAAP","Sort=A","Dates=H","DateFormat=P","Fill=—","Direction=H","UseDPDF=Y")</f>
        <v>#NAME?</v>
      </c>
      <c r="CY190" s="4" t="e">
        <f ca="1">_xll.BDH($C$178,"INVENT_TURN","FQ2 2016","FQ2 2016","Currency=INR","Period=FQ","BEST_FPERIOD_OVERRIDE=FQ","FILING_STATUS=OR","EQY_CONSOLIDATED=Y","FA_ADJUSTED=GAAP","Sort=A","Dates=H","DateFormat=P","Fill=—","Direction=H","UseDPDF=Y")</f>
        <v>#NAME?</v>
      </c>
      <c r="CZ190" s="2" t="e">
        <f ca="1">_xll.BDH($C$178,"INVENT_DAYS","FQ2 2016","FQ2 2016","Currency=INR","Period=FQ","BEST_FPERIOD_OVERRIDE=FQ","FILING_STATUS=OR","EQY_CONSOLIDATED=Y","FA_ADJUSTED=GAAP","Sort=A","Dates=H","DateFormat=P","Fill=—","Direction=H","UseDPDF=Y")</f>
        <v>#NAME?</v>
      </c>
      <c r="DA190" s="4" t="e">
        <f ca="1">_xll.BDH($C$178,"ACCOUNTS_PAYABLE_TURNOVER","FQ2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190" s="2" t="e">
        <f ca="1">_xll.BDH($C$178,"ACCOUNTS_PAYABLE_TURNOVER_DAYS","FQ2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190" s="4" t="e">
        <f ca="1">_xll.BDH($C$178,"CASH_CONVERSION_CYCLE","FQ2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190" s="4" t="e">
        <f ca="1">_xll.BDH($C$178,"INV_TO_CASH_DAYS","FQ2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190" s="5" t="e">
        <f ca="1">_xll.BDH($C$178,"BS_INVENTORIES","FQ2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190" s="3" t="e">
        <f ca="1">_xll.BDH($C$178,"INVTRY_RAW_MATERIALS","FQ2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190" s="3" t="e">
        <f ca="1">_xll.BDH($C$178,"INVTRY_IN_PROGRESS","FQ2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190" s="3" t="e">
        <f ca="1">_xll.BDH($C$178,"INVTRY_FINISHED_GOODS","FQ2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190" s="3" t="e">
        <f ca="1">_xll.BDH($C$178,"BS_OTHER_INV","FQ2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191" spans="1:113" x14ac:dyDescent="0.3">
      <c r="A191" s="6"/>
      <c r="B191" s="6"/>
      <c r="C191" s="6"/>
      <c r="D191" s="6"/>
      <c r="E191" t="s">
        <v>80</v>
      </c>
      <c r="F191" t="e">
        <f ca="1">_xll.BDH($C$178,"RETURN_COM_EQY","FQ3 2016","FQ3 2016","Currency=INR","Period=FQ","BEST_FPERIOD_OVERRIDE=FQ","FILING_STATUS=OR","EQY_CONSOLIDATED=Y","FA_ADJUSTED=GAAP","Sort=A","Dates=H","DateFormat=P","Fill=—","Direction=H","UseDPDF=Y")</f>
        <v>#NAME?</v>
      </c>
      <c r="G191" t="e">
        <f ca="1">_xll.BDH($C$178,"RETURN_ON_ASSET","FQ3 2016","FQ3 2016","Currency=INR","Period=FQ","BEST_FPERIOD_OVERRIDE=FQ","FILING_STATUS=OR","EQY_CONSOLIDATED=Y","FA_ADJUSTED=GAAP","Sort=A","Dates=H","DateFormat=P","Fill=—","Direction=H","UseDPDF=Y")</f>
        <v>#NAME?</v>
      </c>
      <c r="H191" t="e">
        <f ca="1">_xll.BDH($C$178,"RETURN_ON_CAP","FQ3 2016","FQ3 2016","Currency=INR","Period=FQ","BEST_FPERIOD_OVERRIDE=FQ","FILING_STATUS=OR","EQY_CONSOLIDATED=Y","FA_ADJUSTED=GAAP","Sort=A","Dates=H","DateFormat=P","Fill=—","Direction=H","UseDPDF=Y")</f>
        <v>#NAME?</v>
      </c>
      <c r="I191" t="e">
        <f ca="1">_xll.BDH($C$178,"RETURN_ON_INV_CAPITAL","FQ3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191" t="e">
        <f ca="1">_xll.BDH($C$178,"EBITDA_TO_REVENUE","FQ3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191" t="e">
        <f ca="1">_xll.BDH($C$178,"OPER_MARGIN","FQ3 2016","FQ3 2016","Currency=INR","Period=FQ","BEST_FPERIOD_OVERRIDE=FQ","FILING_STATUS=OR","EQY_CONSOLIDATED=Y","FA_ADJUSTED=GAAP","Sort=A","Dates=H","DateFormat=P","Fill=—","Direction=H","UseDPDF=Y")</f>
        <v>#NAME?</v>
      </c>
      <c r="L191" t="e">
        <f ca="1">_xll.BDH($C$178,"INCREMENTAL_OPERATING_MARGIN","FQ3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191" t="e">
        <f ca="1">_xll.BDH($C$178,"PRETAX_INC_TO_NET_SALES","FQ3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191" t="e">
        <f ca="1">_xll.BDH($C$178,"INC_BEF_XO_ITEMS_TO_NET_SALES","FQ3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191" t="e">
        <f ca="1">_xll.BDH($C$178,"PROF_MARGIN","FQ3 2016","FQ3 2016","Currency=INR","Period=FQ","BEST_FPERIOD_OVERRIDE=FQ","FILING_STATUS=OR","EQY_CONSOLIDATED=Y","FA_ADJUSTED=GAAP","Sort=A","Dates=H","DateFormat=P","Fill=—","Direction=H","UseDPDF=Y")</f>
        <v>#NAME?</v>
      </c>
      <c r="P191" t="e">
        <f ca="1">_xll.BDH($C$178,"NET_INCOME_TO_COMMON_MARGIN","FQ3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191" t="e">
        <f ca="1">_xll.BDH($C$178,"EFF_TAX_RATE","FQ3 2016","FQ3 2016","Currency=INR","Period=FQ","BEST_FPERIOD_OVERRIDE=FQ","FILING_STATUS=OR","EQY_CONSOLIDATED=Y","FA_ADJUSTED=GAAP","Sort=A","Dates=H","DateFormat=P","Fill=—","Direction=H","UseDPDF=Y")</f>
        <v>#NAME?</v>
      </c>
      <c r="R191" t="e">
        <f ca="1">_xll.BDH($C$178,"DVD_PAYOUT_RATIO","FQ3 2016","FQ3 2016","Currency=INR","Period=FQ","BEST_FPERIOD_OVERRIDE=FQ","FILING_STATUS=OR","EQY_CONSOLIDATED=Y","FA_ADJUSTED=GAAP","Sort=A","Dates=H","DateFormat=P","Fill=—","Direction=H","UseDPDF=Y")</f>
        <v>#NAME?</v>
      </c>
      <c r="S191" t="e">
        <f ca="1">_xll.BDH($C$178,"SUSTAIN_GROWTH_RT","FQ3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191" s="2" t="e">
        <f ca="1">_xll.BDH($C$178,"SALES_GROWTH","FQ3 2016","FQ3 2016","Currency=INR","Period=FQ","BEST_FPERIOD_OVERRIDE=FQ","FILING_STATUS=OR","EQY_CONSOLIDATED=Y","FA_ADJUSTED=GAAP","Sort=A","Dates=H","DateFormat=P","Fill=—","Direction=H","UseDPDF=Y")</f>
        <v>#NAME?</v>
      </c>
      <c r="U191" s="2" t="e">
        <f ca="1">_xll.BDH($C$178,"EBITDA_GROWTH","FQ3 2016","FQ3 2016","Currency=INR","Period=FQ","BEST_FPERIOD_OVERRIDE=FQ","FILING_STATUS=OR","EQY_CONSOLIDATED=Y","FA_ADJUSTED=GAAP","Sort=A","Dates=H","DateFormat=P","Fill=—","Direction=H","UseDPDF=Y")</f>
        <v>#NAME?</v>
      </c>
      <c r="V191" s="2" t="e">
        <f ca="1">_xll.BDH($C$178,"OPER_INC_GROWTH","FQ3 2016","FQ3 2016","Currency=INR","Period=FQ","BEST_FPERIOD_OVERRIDE=FQ","FILING_STATUS=OR","EQY_CONSOLIDATED=Y","FA_ADJUSTED=GAAP","Sort=A","Dates=H","DateFormat=P","Fill=—","Direction=H","UseDPDF=Y")</f>
        <v>#NAME?</v>
      </c>
      <c r="W191" s="2" t="e">
        <f ca="1">_xll.BDH($C$178,"EARN_FOR_COM_GROWTH","FQ3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191" s="2" t="e">
        <f ca="1">_xll.BDH($C$178,"DILUTED_EPS_AFT_XO_ITEMS_GROWTH","FQ3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191" s="2" t="e">
        <f ca="1">_xll.BDH($C$178,"DIVIDEND_PER_SHARE_1_YEAR_GROWTH","FQ3 2016","FQ3 2016","Currency=INR","Period=FQ","BEST_FPERIOD_OVERRIDE=FQ","FILING_STATUS=OR","EQY_CONSOLIDATED=Y","Sort=A","Dates=H","DateFormat=P","Fill=—","Direction=H","UseDPDF=Y")</f>
        <v>#NAME?</v>
      </c>
      <c r="Z191" s="2" t="e">
        <f ca="1">_xll.BDH($C$178,"ACCOUNTS_RECEIVABLE_GROWTH","FQ3 2016","FQ3 2016","Currency=INR","Period=FQ","BEST_FPERIOD_OVERRIDE=FQ","FILING_STATUS=OR","EQY_CONSOLIDATED=Y","Sort=A","Dates=H","DateFormat=P","Fill=—","Direction=H","UseDPDF=Y")</f>
        <v>#NAME?</v>
      </c>
      <c r="AA191" s="2" t="e">
        <f ca="1">_xll.BDH($C$178,"INVENTORY_GROWTH","FQ3 2016","FQ3 2016","Currency=INR","Period=FQ","BEST_FPERIOD_OVERRIDE=FQ","FILING_STATUS=OR","EQY_CONSOLIDATED=Y","Sort=A","Dates=H","DateFormat=P","Fill=—","Direction=H","UseDPDF=Y")</f>
        <v>#NAME?</v>
      </c>
      <c r="AB191" s="2" t="e">
        <f ca="1">_xll.BDH($C$178,"NET_FIXED_ASSETS_1_YEAR_GROWTH","FQ3 2016","FQ3 2016","Currency=INR","Period=FQ","BEST_FPERIOD_OVERRIDE=FQ","FILING_STATUS=OR","EQY_CONSOLIDATED=Y","Sort=A","Dates=H","DateFormat=P","Fill=—","Direction=H","UseDPDF=Y")</f>
        <v>#NAME?</v>
      </c>
      <c r="AC191" s="2" t="e">
        <f ca="1">_xll.BDH($C$178,"ASSET_GROWTH","FQ3 2016","FQ3 2016","Currency=INR","Period=FQ","BEST_FPERIOD_OVERRIDE=FQ","FILING_STATUS=OR","EQY_CONSOLIDATED=Y","Sort=A","Dates=H","DateFormat=P","Fill=—","Direction=H","UseDPDF=Y")</f>
        <v>#NAME?</v>
      </c>
      <c r="AD191" s="2" t="e">
        <f ca="1">_xll.BDH($C$178,"MODIFIED_WORK_CAP_GROWTH","FQ3 2016","FQ3 2016","Currency=INR","Period=FQ","BEST_FPERIOD_OVERRIDE=FQ","FILING_STATUS=OR","EQY_CONSOLIDATED=Y","Sort=A","Dates=H","DateFormat=P","Fill=—","Direction=H","UseDPDF=Y")</f>
        <v>#NAME?</v>
      </c>
      <c r="AE191" s="2" t="e">
        <f ca="1">_xll.BDH($C$178,"WORK_CAP_GROWTH","FQ3 2016","FQ3 2016","Currency=INR","Period=FQ","BEST_FPERIOD_OVERRIDE=FQ","FILING_STATUS=OR","EQY_CONSOLIDATED=Y","Sort=A","Dates=H","DateFormat=P","Fill=—","Direction=H","UseDPDF=Y")</f>
        <v>#NAME?</v>
      </c>
      <c r="AF191" s="2" t="e">
        <f ca="1">_xll.BDH($C$178,"ACCOUNTS_PAYABLE_GROWTH_1YR","FQ3 2016","FQ3 2016","Currency=INR","Period=FQ","BEST_FPERIOD_OVERRIDE=FQ","FILING_STATUS=OR","EQY_CONSOLIDATED=Y","Sort=A","Dates=H","DateFormat=P","Fill=—","Direction=H","UseDPDF=Y")</f>
        <v>#NAME?</v>
      </c>
      <c r="AG191" s="2" t="e">
        <f ca="1">_xll.BDH($C$178,"SHORT_TERM_DEBT_1_YEAR_GROWTH","FQ3 2016","FQ3 2016","Currency=INR","Period=FQ","BEST_FPERIOD_OVERRIDE=FQ","FILING_STATUS=OR","EQY_CONSOLIDATED=Y","Sort=A","Dates=H","DateFormat=P","Fill=—","Direction=H","UseDPDF=Y")</f>
        <v>#NAME?</v>
      </c>
      <c r="AH191" s="2" t="e">
        <f ca="1">_xll.BDH($C$178,"TOTAL_DEBT_1_YEAR_GROWTH","FQ3 2016","FQ3 2016","Currency=INR","Period=FQ","BEST_FPERIOD_OVERRIDE=FQ","FILING_STATUS=OR","EQY_CONSOLIDATED=Y","Sort=A","Dates=H","DateFormat=P","Fill=—","Direction=H","UseDPDF=Y")</f>
        <v>#NAME?</v>
      </c>
      <c r="AI191" s="2" t="e">
        <f ca="1">_xll.BDH($C$178,"TOTAL_EQUITY_1_YEAR_GROWTH","FQ3 2016","FQ3 2016","Currency=INR","Period=FQ","BEST_FPERIOD_OVERRIDE=FQ","FILING_STATUS=OR","EQY_CONSOLIDATED=Y","Sort=A","Dates=H","DateFormat=P","Fill=—","Direction=H","UseDPDF=Y")</f>
        <v>#NAME?</v>
      </c>
      <c r="AJ191" s="2" t="e">
        <f ca="1">_xll.BDH($C$178,"GROWTH_IN_CAP","FQ3 2016","FQ3 2016","Currency=INR","Period=FQ","BEST_FPERIOD_OVERRIDE=FQ","FILING_STATUS=OR","EQY_CONSOLIDATED=Y","Sort=A","Dates=H","DateFormat=P","Fill=—","Direction=H","UseDPDF=Y")</f>
        <v>#NAME?</v>
      </c>
      <c r="AK191" s="2" t="e">
        <f ca="1">_xll.BDH($C$178,"BVPS_GROWTH","FQ3 2016","FQ3 2016","Currency=INR","Period=FQ","BEST_FPERIOD_OVERRIDE=FQ","FILING_STATUS=OR","EQY_CONSOLIDATED=Y","Sort=A","Dates=H","DateFormat=P","Fill=—","Direction=H","UseDPDF=Y")</f>
        <v>#NAME?</v>
      </c>
      <c r="AL191" s="2" t="e">
        <f ca="1">_xll.BDH($C$178,"CASH_FLOW_GROWTH","FQ3 2016","FQ3 2016","Currency=INR","Period=FQ","BEST_FPERIOD_OVERRIDE=FQ","FILING_STATUS=OR","EQY_CONSOLIDATED=Y","Sort=A","Dates=H","DateFormat=P","Fill=—","Direction=H","UseDPDF=Y")</f>
        <v>#NAME?</v>
      </c>
      <c r="AM191" s="2" t="e">
        <f ca="1">_xll.BDH($C$178,"GEO_GROW_NET_SALES","FQ3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191" s="2" t="e">
        <f ca="1">_xll.BDH($C$178,"GEO_GROW_EBITDA","FQ3 2016","FQ3 2016","Currency=INR","Period=FQ","BEST_FPERIOD_OVERRIDE=FQ","FILING_STATUS=OR","EQY_CONSOLIDATED=Y","FA_ADJUSTED=GAAP","Sort=A","Dates=H","DateFormat=P","Fill=—","Direction=H","UseDPDF=Y")</f>
        <v>#NAME?</v>
      </c>
      <c r="AO191" s="2" t="e">
        <f ca="1">_xll.BDH($C$178,"GEO_GROW_OPER_INC","FQ3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191" s="2" t="e">
        <f ca="1">_xll.BDH($C$178,"NET_INCOME_TO_COMMON_5_YR_GROWTH","FQ3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191" s="2" t="e">
        <f ca="1">_xll.BDH($C$178,"5Y_GEO_GROWTH_DILUTED_EPS","FQ3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191" s="2" t="e">
        <f ca="1">_xll.BDH($C$178,"GEO_GROW_DVD_PER_SH","FQ3 2016","FQ3 2016","Currency=INR","Period=FQ","BEST_FPERIOD_OVERRIDE=FQ","FILING_STATUS=OR","EQY_CONSOLIDATED=Y","Sort=A","Dates=H","DateFormat=P","Fill=—","Direction=H","UseDPDF=Y")</f>
        <v>#NAME?</v>
      </c>
      <c r="AS191" s="2" t="e">
        <f ca="1">_xll.BDH($C$178,"ACCOUNTS_RECEIVABLE_5_YR_GROWTH","FQ3 2016","FQ3 2016","Currency=INR","Period=FQ","BEST_FPERIOD_OVERRIDE=FQ","FILING_STATUS=OR","EQY_CONSOLIDATED=Y","Sort=A","Dates=H","DateFormat=P","Fill=—","Direction=H","UseDPDF=Y")</f>
        <v>#NAME?</v>
      </c>
      <c r="AT191" s="2" t="e">
        <f ca="1">_xll.BDH($C$178,"INVENTORY_5_YEAR_GROWTH","FQ3 2016","FQ3 2016","Currency=INR","Period=FQ","BEST_FPERIOD_OVERRIDE=FQ","FILING_STATUS=OR","EQY_CONSOLIDATED=Y","Sort=A","Dates=H","DateFormat=P","Fill=—","Direction=H","UseDPDF=Y")</f>
        <v>#NAME?</v>
      </c>
      <c r="AU191" s="2" t="e">
        <f ca="1">_xll.BDH($C$178,"NET_FIXED_ASSETS_5_YEAR_GROWTH","FQ3 2016","FQ3 2016","Currency=INR","Period=FQ","BEST_FPERIOD_OVERRIDE=FQ","FILING_STATUS=OR","EQY_CONSOLIDATED=Y","Sort=A","Dates=H","DateFormat=P","Fill=—","Direction=H","UseDPDF=Y")</f>
        <v>#NAME?</v>
      </c>
      <c r="AV191" s="2" t="e">
        <f ca="1">_xll.BDH($C$178,"GEO_GROW_TOT_ASSET","FQ3 2016","FQ3 2016","Currency=INR","Period=FQ","BEST_FPERIOD_OVERRIDE=FQ","FILING_STATUS=OR","EQY_CONSOLIDATED=Y","Sort=A","Dates=H","DateFormat=P","Fill=—","Direction=H","UseDPDF=Y")</f>
        <v>#NAME?</v>
      </c>
      <c r="AW191" s="2" t="e">
        <f ca="1">_xll.BDH($C$178,"MODIFIED_WORKING_CPTL_5YR_GRWTH","FQ3 2016","FQ3 2016","Currency=INR","Period=FQ","BEST_FPERIOD_OVERRIDE=FQ","FILING_STATUS=OR","EQY_CONSOLIDATED=Y","Sort=A","Dates=H","DateFormat=P","Fill=—","Direction=H","UseDPDF=Y")</f>
        <v>#NAME?</v>
      </c>
      <c r="AX191" s="2" t="e">
        <f ca="1">_xll.BDH($C$178,"WORKING_CAPITAL_5_YEAR_GROWTH","FQ3 2016","FQ3 2016","Currency=INR","Period=FQ","BEST_FPERIOD_OVERRIDE=FQ","FILING_STATUS=OR","EQY_CONSOLIDATED=Y","Sort=A","Dates=H","DateFormat=P","Fill=—","Direction=H","UseDPDF=Y")</f>
        <v>#NAME?</v>
      </c>
      <c r="AY191" s="2" t="e">
        <f ca="1">_xll.BDH($C$178,"ACCOUNTS_PAYABLE_5_YEAR_GROWTH","FQ3 2016","FQ3 2016","Currency=INR","Period=FQ","BEST_FPERIOD_OVERRIDE=FQ","FILING_STATUS=OR","EQY_CONSOLIDATED=Y","Sort=A","Dates=H","DateFormat=P","Fill=—","Direction=H","UseDPDF=Y")</f>
        <v>#NAME?</v>
      </c>
      <c r="AZ191" s="2" t="e">
        <f ca="1">_xll.BDH($C$178,"SHORT_TERM_DEBT_5_YEAR_GROWTH","FQ3 2016","FQ3 2016","Currency=INR","Period=FQ","BEST_FPERIOD_OVERRIDE=FQ","FILING_STATUS=OR","EQY_CONSOLIDATED=Y","Sort=A","Dates=H","DateFormat=P","Fill=—","Direction=H","UseDPDF=Y")</f>
        <v>#NAME?</v>
      </c>
      <c r="BA191" s="2" t="e">
        <f ca="1">_xll.BDH($C$178,"TOTAL_DEBT_5_YEAR_GROWTH","FQ3 2016","FQ3 2016","Currency=INR","Period=FQ","BEST_FPERIOD_OVERRIDE=FQ","FILING_STATUS=OR","EQY_CONSOLIDATED=Y","Sort=A","Dates=H","DateFormat=P","Fill=—","Direction=H","UseDPDF=Y")</f>
        <v>#NAME?</v>
      </c>
      <c r="BB191" s="2" t="e">
        <f ca="1">_xll.BDH($C$178,"GEO_GROW_TOT_SHRHLDR_EQY","FQ3 2016","FQ3 2016","Currency=INR","Period=FQ","BEST_FPERIOD_OVERRIDE=FQ","FILING_STATUS=OR","EQY_CONSOLIDATED=Y","Sort=A","Dates=H","DateFormat=P","Fill=—","Direction=H","UseDPDF=Y")</f>
        <v>#NAME?</v>
      </c>
      <c r="BC191" s="2" t="e">
        <f ca="1">_xll.BDH($C$178,"TOTAL_CAPITAL_5_YEAR_GROWTH","FQ3 2016","FQ3 2016","Currency=INR","Period=FQ","BEST_FPERIOD_OVERRIDE=FQ","FILING_STATUS=OR","EQY_CONSOLIDATED=Y","Sort=A","Dates=H","DateFormat=P","Fill=—","Direction=H","UseDPDF=Y")</f>
        <v>#NAME?</v>
      </c>
      <c r="BD191" s="2" t="e">
        <f ca="1">_xll.BDH($C$178,"GEO_GROW_BOOK_VAL","FQ3 2016","FQ3 2016","Currency=INR","Period=FQ","BEST_FPERIOD_OVERRIDE=FQ","FILING_STATUS=OR","EQY_CONSOLIDATED=Y","Sort=A","Dates=H","DateFormat=P","Fill=—","Direction=H","UseDPDF=Y")</f>
        <v>#NAME?</v>
      </c>
      <c r="BE191" s="2" t="e">
        <f ca="1">_xll.BDH($C$178,"GEO_GROW_CASH_OPER_ACT","FQ3 2016","FQ3 2016","Currency=INR","Period=FQ","BEST_FPERIOD_OVERRIDE=FQ","FILING_STATUS=OR","EQY_CONSOLIDATED=Y","Sort=A","Dates=H","DateFormat=P","Fill=—","Direction=H","UseDPDF=Y")</f>
        <v>#NAME?</v>
      </c>
      <c r="BF191" s="2" t="e">
        <f ca="1">_xll.BDH($C$178,"REVENUE_SEQUENTIAL_GROWTH","FQ3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191" s="2" t="e">
        <f ca="1">_xll.BDH($C$178,"EBITDA_SEQUENTIAL_GROWTH","FQ3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191" s="2" t="e">
        <f ca="1">_xll.BDH($C$178,"OPERATING_INCOME_SEQ_GROWTH","FQ3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191" s="2" t="e">
        <f ca="1">_xll.BDH($C$178,"NET_INCOME_TO_COMMON_SEQ_GROWTH","FQ3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191" s="2" t="e">
        <f ca="1">_xll.BDH($C$178,"EPS_DILUTED_SEQUENTIAL_GROWTH","FQ3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191" s="2" t="e">
        <f ca="1">_xll.BDH($C$178,"DPS_SEQUENTIAL_GROWTH","FQ3 2016","FQ3 2016","Currency=INR","Period=FQ","BEST_FPERIOD_OVERRIDE=FQ","FILING_STATUS=OR","EQY_CONSOLIDATED=Y","Sort=A","Dates=H","DateFormat=P","Fill=—","Direction=H","UseDPDF=Y")</f>
        <v>#NAME?</v>
      </c>
      <c r="BL191" s="2" t="e">
        <f ca="1">_xll.BDH($C$178,"ACCOUNTS_RECEIVABLE_SEQ_GROWTH","FQ3 2016","FQ3 2016","Currency=INR","Period=FQ","BEST_FPERIOD_OVERRIDE=FQ","FILING_STATUS=OR","EQY_CONSOLIDATED=Y","Sort=A","Dates=H","DateFormat=P","Fill=—","Direction=H","UseDPDF=Y")</f>
        <v>#NAME?</v>
      </c>
      <c r="BM191" s="2" t="e">
        <f ca="1">_xll.BDH($C$178,"INVENTORY_SEQUENTIAL_GROWTH","FQ3 2016","FQ3 2016","Currency=INR","Period=FQ","BEST_FPERIOD_OVERRIDE=FQ","FILING_STATUS=OR","EQY_CONSOLIDATED=Y","Sort=A","Dates=H","DateFormat=P","Fill=—","Direction=H","UseDPDF=Y")</f>
        <v>#NAME?</v>
      </c>
      <c r="BN191" s="2" t="e">
        <f ca="1">_xll.BDH($C$178,"FIXED_ASSETS_SEQUENTIAL_GROWTH","FQ3 2016","FQ3 2016","Currency=INR","Period=FQ","BEST_FPERIOD_OVERRIDE=FQ","FILING_STATUS=OR","EQY_CONSOLIDATED=Y","Sort=A","Dates=H","DateFormat=P","Fill=—","Direction=H","UseDPDF=Y")</f>
        <v>#NAME?</v>
      </c>
      <c r="BO191" s="2" t="e">
        <f ca="1">_xll.BDH($C$178,"TOTAL_ASSETS_SEQUENTIAL_GROWTH","FQ3 2016","FQ3 2016","Currency=INR","Period=FQ","BEST_FPERIOD_OVERRIDE=FQ","FILING_STATUS=OR","EQY_CONSOLIDATED=Y","Sort=A","Dates=H","DateFormat=P","Fill=—","Direction=H","UseDPDF=Y")</f>
        <v>#NAME?</v>
      </c>
      <c r="BP191" s="2" t="e">
        <f ca="1">_xll.BDH($C$178,"MODIFIED_WORKING_CPTL_SEQ_GRWTH","FQ3 2016","FQ3 2016","Currency=INR","Period=FQ","BEST_FPERIOD_OVERRIDE=FQ","FILING_STATUS=OR","EQY_CONSOLIDATED=Y","Sort=A","Dates=H","DateFormat=P","Fill=—","Direction=H","UseDPDF=Y")</f>
        <v>#NAME?</v>
      </c>
      <c r="BQ191" s="2" t="e">
        <f ca="1">_xll.BDH($C$178,"WORKING_CAPITAL_SEQ_GROWTH","FQ3 2016","FQ3 2016","Currency=INR","Period=FQ","BEST_FPERIOD_OVERRIDE=FQ","FILING_STATUS=OR","EQY_CONSOLIDATED=Y","Sort=A","Dates=H","DateFormat=P","Fill=—","Direction=H","UseDPDF=Y")</f>
        <v>#NAME?</v>
      </c>
      <c r="BR191" s="2" t="e">
        <f ca="1">_xll.BDH($C$178,"ACCOUNTS_PAYABLE_SEQ_GROWTH","FQ3 2016","FQ3 2016","Currency=INR","Period=FQ","BEST_FPERIOD_OVERRIDE=FQ","FILING_STATUS=OR","EQY_CONSOLIDATED=Y","Sort=A","Dates=H","DateFormat=P","Fill=—","Direction=H","UseDPDF=Y")</f>
        <v>#NAME?</v>
      </c>
      <c r="BS191" s="2" t="e">
        <f ca="1">_xll.BDH($C$178,"ST_DEBT_SEQUENTIAL_GROWTH","FQ3 2016","FQ3 2016","Currency=INR","Period=FQ","BEST_FPERIOD_OVERRIDE=FQ","FILING_STATUS=OR","EQY_CONSOLIDATED=Y","Sort=A","Dates=H","DateFormat=P","Fill=—","Direction=H","UseDPDF=Y")</f>
        <v>#NAME?</v>
      </c>
      <c r="BT191" s="2" t="e">
        <f ca="1">_xll.BDH($C$178,"TOTAL_DEBT_SEQUENTIAL_GROWTH","FQ3 2016","FQ3 2016","Currency=INR","Period=FQ","BEST_FPERIOD_OVERRIDE=FQ","FILING_STATUS=OR","EQY_CONSOLIDATED=Y","Sort=A","Dates=H","DateFormat=P","Fill=—","Direction=H","UseDPDF=Y")</f>
        <v>#NAME?</v>
      </c>
      <c r="BU191" s="2" t="e">
        <f ca="1">_xll.BDH($C$178,"TOTAL_EQUITY_SEQUENTIAL_GROWTH","FQ3 2016","FQ3 2016","Currency=INR","Period=FQ","BEST_FPERIOD_OVERRIDE=FQ","FILING_STATUS=OR","EQY_CONSOLIDATED=Y","Sort=A","Dates=H","DateFormat=P","Fill=—","Direction=H","UseDPDF=Y")</f>
        <v>#NAME?</v>
      </c>
      <c r="BV191" s="2" t="e">
        <f ca="1">_xll.BDH($C$178,"TOTAL_CAPITAL_SEQUENTIAL_GROWTH","FQ3 2016","FQ3 2016","Currency=INR","Period=FQ","BEST_FPERIOD_OVERRIDE=FQ","FILING_STATUS=OR","EQY_CONSOLIDATED=Y","Sort=A","Dates=H","DateFormat=P","Fill=—","Direction=H","UseDPDF=Y")</f>
        <v>#NAME?</v>
      </c>
      <c r="BW191" s="2" t="e">
        <f ca="1">_xll.BDH($C$178,"BPS_SEQUENTIAL_GROWTH","FQ3 2016","FQ3 2016","Currency=INR","Period=FQ","BEST_FPERIOD_OVERRIDE=FQ","FILING_STATUS=OR","EQY_CONSOLIDATED=Y","Sort=A","Dates=H","DateFormat=P","Fill=—","Direction=H","UseDPDF=Y")</f>
        <v>#NAME?</v>
      </c>
      <c r="BX191" s="2" t="e">
        <f ca="1">_xll.BDH($C$178,"CFO_SEQUENTIAL_GROWTH","FQ3 2016","FQ3 2016","Currency=INR","Period=FQ","BEST_FPERIOD_OVERRIDE=FQ","FILING_STATUS=OR","EQY_CONSOLIDATED=Y","Sort=A","Dates=H","DateFormat=P","Fill=—","Direction=H","UseDPDF=Y")</f>
        <v>#NAME?</v>
      </c>
      <c r="BY191" s="3" t="e">
        <f ca="1">_xll.BDH($C$178,"SHORT_AND_LONG_TERM_DEBT","FQ3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191" s="3" t="e">
        <f ca="1">_xll.BDH($C$178,"BS_ST_BORROW","FQ3 2016","FQ3 2016","Currency=INR","Period=FQ","BEST_FPERIOD_OVERRIDE=FQ","FILING_STATUS=OR","EQY_CONSOLIDATED=Y","SCALING_FORMAT=MLN","Sort=A","Dates=H","DateFormat=P","Fill=—","Direction=H","UseDPDF=Y")</f>
        <v>#NAME?</v>
      </c>
      <c r="CA191" s="3" t="e">
        <f ca="1">_xll.BDH($C$178,"BS_LT_BORROW","FQ3 2016","FQ3 2016","Currency=INR","Period=FQ","BEST_FPERIOD_OVERRIDE=FQ","FILING_STATUS=OR","EQY_CONSOLIDATED=Y","SCALING_FORMAT=MLN","Sort=A","Dates=H","DateFormat=P","Fill=—","Direction=H","UseDPDF=Y")</f>
        <v>#NAME?</v>
      </c>
      <c r="CB191" s="2" t="e">
        <f ca="1">_xll.BDH($C$178,"TOT_DEBT_TO_EBITDA","FQ3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191" s="2" t="e">
        <f ca="1">_xll.BDH($C$178,"NET_DEBT_TO_EBITDA","FQ3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191" s="2" t="e">
        <f ca="1">_xll.BDH($C$178,"TOTAL_DEBT_TO_EBIT","FQ3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191" s="2" t="e">
        <f ca="1">_xll.BDH($C$178,"NET_DEBT_TO_EBIT","FQ3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191" s="2" t="e">
        <f ca="1">_xll.BDH($C$178,"EBITDA_TO_INTEREST_EXPN","FQ3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191" s="2" t="e">
        <f ca="1">_xll.BDH($C$178,"COM_EQY_TO_TOT_ASSET","FQ3 2016","FQ3 2016","Currency=INR","Period=FQ","BEST_FPERIOD_OVERRIDE=FQ","FILING_STATUS=OR","EQY_CONSOLIDATED=Y","Sort=A","Dates=H","DateFormat=P","Fill=—","Direction=H","UseDPDF=Y")</f>
        <v>#NAME?</v>
      </c>
      <c r="CH191" s="2" t="e">
        <f ca="1">_xll.BDH($C$178,"LT_DEBT_TO_TOT_EQY","FQ3 2016","FQ3 2016","Currency=INR","Period=FQ","BEST_FPERIOD_OVERRIDE=FQ","FILING_STATUS=OR","EQY_CONSOLIDATED=Y","Sort=A","Dates=H","DateFormat=P","Fill=—","Direction=H","UseDPDF=Y")</f>
        <v>#NAME?</v>
      </c>
      <c r="CI191" s="2" t="e">
        <f ca="1">_xll.BDH($C$178,"LT_DEBT_TO_TOT_CAP","FQ3 2016","FQ3 2016","Currency=INR","Period=FQ","BEST_FPERIOD_OVERRIDE=FQ","FILING_STATUS=OR","EQY_CONSOLIDATED=Y","Sort=A","Dates=H","DateFormat=P","Fill=—","Direction=H","UseDPDF=Y")</f>
        <v>#NAME?</v>
      </c>
      <c r="CJ191" s="2" t="e">
        <f ca="1">_xll.BDH($C$178,"LT_DEBT_TO_TOT_ASSET","FQ3 2016","FQ3 2016","Currency=INR","Period=FQ","BEST_FPERIOD_OVERRIDE=FQ","FILING_STATUS=OR","EQY_CONSOLIDATED=Y","Sort=A","Dates=H","DateFormat=P","Fill=—","Direction=H","UseDPDF=Y")</f>
        <v>#NAME?</v>
      </c>
      <c r="CK191" s="2" t="e">
        <f ca="1">_xll.BDH($C$178,"TOT_DEBT_TO_TOT_EQY","FQ3 2016","FQ3 2016","Currency=INR","Period=FQ","BEST_FPERIOD_OVERRIDE=FQ","FILING_STATUS=OR","EQY_CONSOLIDATED=Y","Sort=A","Dates=H","DateFormat=P","Fill=—","Direction=H","UseDPDF=Y")</f>
        <v>#NAME?</v>
      </c>
      <c r="CL191" s="2" t="e">
        <f ca="1">_xll.BDH($C$178,"TOT_DEBT_TO_TOT_CAP","FQ3 2016","FQ3 2016","Currency=INR","Period=FQ","BEST_FPERIOD_OVERRIDE=FQ","FILING_STATUS=OR","EQY_CONSOLIDATED=Y","Sort=A","Dates=H","DateFormat=P","Fill=—","Direction=H","UseDPDF=Y")</f>
        <v>#NAME?</v>
      </c>
      <c r="CM191" s="2" t="e">
        <f ca="1">_xll.BDH($C$178,"TOT_DEBT_TO_TOT_ASSET","FQ3 2016","FQ3 2016","Currency=INR","Period=FQ","BEST_FPERIOD_OVERRIDE=FQ","FILING_STATUS=OR","EQY_CONSOLIDATED=Y","Sort=A","Dates=H","DateFormat=P","Fill=—","Direction=H","UseDPDF=Y")</f>
        <v>#NAME?</v>
      </c>
      <c r="CN191" s="2" t="e">
        <f ca="1">_xll.BDH($C$178,"NET_DEBT_TO_SHRHLDR_EQTY","FQ3 2016","FQ3 2016","Currency=INR","Period=FQ","BEST_FPERIOD_OVERRIDE=FQ","FILING_STATUS=OR","EQY_CONSOLIDATED=Y","Sort=A","Dates=H","DateFormat=P","Fill=—","Direction=H","UseDPDF=Y")</f>
        <v>#NAME?</v>
      </c>
      <c r="CO191" s="2" t="e">
        <f ca="1">_xll.BDH($C$178,"NET_DEBT_%_CAPITAL","FQ3 2016","FQ3 2016","Currency=INR","Period=FQ","BEST_FPERIOD_OVERRIDE=FQ","FILING_STATUS=OR","EQY_CONSOLIDATED=Y","Sort=A","Dates=H","DateFormat=P","Fill=—","Direction=H","UseDPDF=Y")</f>
        <v>#NAME?</v>
      </c>
      <c r="CP191" s="3" t="e">
        <f ca="1">_xll.BDH($C$178,"EBITDA","FQ3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191" s="3" t="e">
        <f ca="1">_xll.BDH($C$178,"EBITDA_AFTER_CAPEX","FQ3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191" s="3" t="e">
        <f ca="1">_xll.BDH($C$178,"IS_OPER_INC","FQ3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191" s="2" t="e">
        <f ca="1">_xll.BDH($C$178,"CASH_RATIO","FQ3 2016","FQ3 2016","Currency=INR","Period=FQ","BEST_FPERIOD_OVERRIDE=FQ","FILING_STATUS=OR","EQY_CONSOLIDATED=Y","Sort=A","Dates=H","DateFormat=P","Fill=—","Direction=H","UseDPDF=Y")</f>
        <v>#NAME?</v>
      </c>
      <c r="CT191" s="2" t="e">
        <f ca="1">_xll.BDH($C$178,"CUR_RATIO","FQ3 2016","FQ3 2016","Currency=INR","Period=FQ","BEST_FPERIOD_OVERRIDE=FQ","FILING_STATUS=OR","EQY_CONSOLIDATED=Y","Sort=A","Dates=H","DateFormat=P","Fill=—","Direction=H","UseDPDF=Y")</f>
        <v>#NAME?</v>
      </c>
      <c r="CU191" s="2" t="e">
        <f ca="1">_xll.BDH($C$178,"QUICK_RATIO","FQ3 2016","FQ3 2016","Currency=INR","Period=FQ","BEST_FPERIOD_OVERRIDE=FQ","FILING_STATUS=OR","EQY_CONSOLIDATED=Y","Sort=A","Dates=H","DateFormat=P","Fill=—","Direction=H","UseDPDF=Y")</f>
        <v>#NAME?</v>
      </c>
      <c r="CV191" s="2" t="e">
        <f ca="1">_xll.BDH($C$178,"ALTMAN_Z_SCORE","FQ3 2016","FQ3 2016","Currency=INR","Period=FQ","BEST_FPERIOD_OVERRIDE=FQ","FILING_STATUS=OR","EQY_CONSOLIDATED=Y","Sort=A","Dates=H","DateFormat=P","Fill=—","Direction=H","UseDPDF=Y")</f>
        <v>#NAME?</v>
      </c>
      <c r="CW191" s="4" t="e">
        <f ca="1">_xll.BDH($C$178,"ACCT_RCV_TURN","FQ3 2016","FQ3 2016","Currency=INR","Period=FQ","BEST_FPERIOD_OVERRIDE=FQ","FILING_STATUS=OR","EQY_CONSOLIDATED=Y","FA_ADJUSTED=GAAP","Sort=A","Dates=H","DateFormat=P","Fill=—","Direction=H","UseDPDF=Y")</f>
        <v>#NAME?</v>
      </c>
      <c r="CX191" s="2" t="e">
        <f ca="1">_xll.BDH($C$178,"ACCT_RCV_DAYS","FQ3 2016","FQ3 2016","Currency=INR","Period=FQ","BEST_FPERIOD_OVERRIDE=FQ","FILING_STATUS=OR","EQY_CONSOLIDATED=Y","FA_ADJUSTED=GAAP","Sort=A","Dates=H","DateFormat=P","Fill=—","Direction=H","UseDPDF=Y")</f>
        <v>#NAME?</v>
      </c>
      <c r="CY191" s="4" t="e">
        <f ca="1">_xll.BDH($C$178,"INVENT_TURN","FQ3 2016","FQ3 2016","Currency=INR","Period=FQ","BEST_FPERIOD_OVERRIDE=FQ","FILING_STATUS=OR","EQY_CONSOLIDATED=Y","FA_ADJUSTED=GAAP","Sort=A","Dates=H","DateFormat=P","Fill=—","Direction=H","UseDPDF=Y")</f>
        <v>#NAME?</v>
      </c>
      <c r="CZ191" s="2" t="e">
        <f ca="1">_xll.BDH($C$178,"INVENT_DAYS","FQ3 2016","FQ3 2016","Currency=INR","Period=FQ","BEST_FPERIOD_OVERRIDE=FQ","FILING_STATUS=OR","EQY_CONSOLIDATED=Y","FA_ADJUSTED=GAAP","Sort=A","Dates=H","DateFormat=P","Fill=—","Direction=H","UseDPDF=Y")</f>
        <v>#NAME?</v>
      </c>
      <c r="DA191" s="4" t="e">
        <f ca="1">_xll.BDH($C$178,"ACCOUNTS_PAYABLE_TURNOVER","FQ3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191" s="2" t="e">
        <f ca="1">_xll.BDH($C$178,"ACCOUNTS_PAYABLE_TURNOVER_DAYS","FQ3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191" s="4" t="e">
        <f ca="1">_xll.BDH($C$178,"CASH_CONVERSION_CYCLE","FQ3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191" s="4" t="e">
        <f ca="1">_xll.BDH($C$178,"INV_TO_CASH_DAYS","FQ3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191" s="5" t="e">
        <f ca="1">_xll.BDH($C$178,"BS_INVENTORIES","FQ3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191" s="3" t="e">
        <f ca="1">_xll.BDH($C$178,"INVTRY_RAW_MATERIALS","FQ3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191" s="3" t="e">
        <f ca="1">_xll.BDH($C$178,"INVTRY_IN_PROGRESS","FQ3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191" s="3" t="e">
        <f ca="1">_xll.BDH($C$178,"INVTRY_FINISHED_GOODS","FQ3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191" s="3" t="e">
        <f ca="1">_xll.BDH($C$178,"BS_OTHER_INV","FQ3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192" spans="1:113" x14ac:dyDescent="0.3">
      <c r="A192" s="6"/>
      <c r="B192" s="6"/>
      <c r="C192" s="6"/>
      <c r="D192" s="6"/>
      <c r="E192" t="s">
        <v>81</v>
      </c>
      <c r="F192" t="e">
        <f ca="1">_xll.BDH($C$178,"RETURN_COM_EQY","FQ4 2016","FQ4 2016","Currency=INR","Period=FQ","BEST_FPERIOD_OVERRIDE=FQ","FILING_STATUS=OR","EQY_CONSOLIDATED=Y","FA_ADJUSTED=GAAP","Sort=A","Dates=H","DateFormat=P","Fill=—","Direction=H","UseDPDF=Y")</f>
        <v>#NAME?</v>
      </c>
      <c r="G192" t="e">
        <f ca="1">_xll.BDH($C$178,"RETURN_ON_ASSET","FQ4 2016","FQ4 2016","Currency=INR","Period=FQ","BEST_FPERIOD_OVERRIDE=FQ","FILING_STATUS=OR","EQY_CONSOLIDATED=Y","FA_ADJUSTED=GAAP","Sort=A","Dates=H","DateFormat=P","Fill=—","Direction=H","UseDPDF=Y")</f>
        <v>#NAME?</v>
      </c>
      <c r="H192" t="e">
        <f ca="1">_xll.BDH($C$178,"RETURN_ON_CAP","FQ4 2016","FQ4 2016","Currency=INR","Period=FQ","BEST_FPERIOD_OVERRIDE=FQ","FILING_STATUS=OR","EQY_CONSOLIDATED=Y","FA_ADJUSTED=GAAP","Sort=A","Dates=H","DateFormat=P","Fill=—","Direction=H","UseDPDF=Y")</f>
        <v>#NAME?</v>
      </c>
      <c r="I192" t="e">
        <f ca="1">_xll.BDH($C$178,"RETURN_ON_INV_CAPITAL","FQ4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192" t="e">
        <f ca="1">_xll.BDH($C$178,"EBITDA_TO_REVENUE","FQ4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192" t="e">
        <f ca="1">_xll.BDH($C$178,"OPER_MARGIN","FQ4 2016","FQ4 2016","Currency=INR","Period=FQ","BEST_FPERIOD_OVERRIDE=FQ","FILING_STATUS=OR","EQY_CONSOLIDATED=Y","FA_ADJUSTED=GAAP","Sort=A","Dates=H","DateFormat=P","Fill=—","Direction=H","UseDPDF=Y")</f>
        <v>#NAME?</v>
      </c>
      <c r="L192" t="e">
        <f ca="1">_xll.BDH($C$178,"INCREMENTAL_OPERATING_MARGIN","FQ4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192" t="e">
        <f ca="1">_xll.BDH($C$178,"PRETAX_INC_TO_NET_SALES","FQ4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192" t="e">
        <f ca="1">_xll.BDH($C$178,"INC_BEF_XO_ITEMS_TO_NET_SALES","FQ4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192" t="e">
        <f ca="1">_xll.BDH($C$178,"PROF_MARGIN","FQ4 2016","FQ4 2016","Currency=INR","Period=FQ","BEST_FPERIOD_OVERRIDE=FQ","FILING_STATUS=OR","EQY_CONSOLIDATED=Y","FA_ADJUSTED=GAAP","Sort=A","Dates=H","DateFormat=P","Fill=—","Direction=H","UseDPDF=Y")</f>
        <v>#NAME?</v>
      </c>
      <c r="P192" t="e">
        <f ca="1">_xll.BDH($C$178,"NET_INCOME_TO_COMMON_MARGIN","FQ4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192" t="e">
        <f ca="1">_xll.BDH($C$178,"EFF_TAX_RATE","FQ4 2016","FQ4 2016","Currency=INR","Period=FQ","BEST_FPERIOD_OVERRIDE=FQ","FILING_STATUS=OR","EQY_CONSOLIDATED=Y","FA_ADJUSTED=GAAP","Sort=A","Dates=H","DateFormat=P","Fill=—","Direction=H","UseDPDF=Y")</f>
        <v>#NAME?</v>
      </c>
      <c r="R192" t="e">
        <f ca="1">_xll.BDH($C$178,"DVD_PAYOUT_RATIO","FQ4 2016","FQ4 2016","Currency=INR","Period=FQ","BEST_FPERIOD_OVERRIDE=FQ","FILING_STATUS=OR","EQY_CONSOLIDATED=Y","FA_ADJUSTED=GAAP","Sort=A","Dates=H","DateFormat=P","Fill=—","Direction=H","UseDPDF=Y")</f>
        <v>#NAME?</v>
      </c>
      <c r="S192" t="e">
        <f ca="1">_xll.BDH($C$178,"SUSTAIN_GROWTH_RT","FQ4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192" s="2" t="e">
        <f ca="1">_xll.BDH($C$178,"SALES_GROWTH","FQ4 2016","FQ4 2016","Currency=INR","Period=FQ","BEST_FPERIOD_OVERRIDE=FQ","FILING_STATUS=OR","EQY_CONSOLIDATED=Y","FA_ADJUSTED=GAAP","Sort=A","Dates=H","DateFormat=P","Fill=—","Direction=H","UseDPDF=Y")</f>
        <v>#NAME?</v>
      </c>
      <c r="U192" s="2" t="e">
        <f ca="1">_xll.BDH($C$178,"EBITDA_GROWTH","FQ4 2016","FQ4 2016","Currency=INR","Period=FQ","BEST_FPERIOD_OVERRIDE=FQ","FILING_STATUS=OR","EQY_CONSOLIDATED=Y","FA_ADJUSTED=GAAP","Sort=A","Dates=H","DateFormat=P","Fill=—","Direction=H","UseDPDF=Y")</f>
        <v>#NAME?</v>
      </c>
      <c r="V192" s="2" t="e">
        <f ca="1">_xll.BDH($C$178,"OPER_INC_GROWTH","FQ4 2016","FQ4 2016","Currency=INR","Period=FQ","BEST_FPERIOD_OVERRIDE=FQ","FILING_STATUS=OR","EQY_CONSOLIDATED=Y","FA_ADJUSTED=GAAP","Sort=A","Dates=H","DateFormat=P","Fill=—","Direction=H","UseDPDF=Y")</f>
        <v>#NAME?</v>
      </c>
      <c r="W192" s="2" t="e">
        <f ca="1">_xll.BDH($C$178,"EARN_FOR_COM_GROWTH","FQ4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192" s="2" t="e">
        <f ca="1">_xll.BDH($C$178,"DILUTED_EPS_AFT_XO_ITEMS_GROWTH","FQ4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192" s="2" t="e">
        <f ca="1">_xll.BDH($C$178,"DIVIDEND_PER_SHARE_1_YEAR_GROWTH","FQ4 2016","FQ4 2016","Currency=INR","Period=FQ","BEST_FPERIOD_OVERRIDE=FQ","FILING_STATUS=OR","EQY_CONSOLIDATED=Y","Sort=A","Dates=H","DateFormat=P","Fill=—","Direction=H","UseDPDF=Y")</f>
        <v>#NAME?</v>
      </c>
      <c r="Z192" s="2" t="e">
        <f ca="1">_xll.BDH($C$178,"ACCOUNTS_RECEIVABLE_GROWTH","FQ4 2016","FQ4 2016","Currency=INR","Period=FQ","BEST_FPERIOD_OVERRIDE=FQ","FILING_STATUS=OR","EQY_CONSOLIDATED=Y","Sort=A","Dates=H","DateFormat=P","Fill=—","Direction=H","UseDPDF=Y")</f>
        <v>#NAME?</v>
      </c>
      <c r="AA192" s="2" t="e">
        <f ca="1">_xll.BDH($C$178,"INVENTORY_GROWTH","FQ4 2016","FQ4 2016","Currency=INR","Period=FQ","BEST_FPERIOD_OVERRIDE=FQ","FILING_STATUS=OR","EQY_CONSOLIDATED=Y","Sort=A","Dates=H","DateFormat=P","Fill=—","Direction=H","UseDPDF=Y")</f>
        <v>#NAME?</v>
      </c>
      <c r="AB192" s="2" t="e">
        <f ca="1">_xll.BDH($C$178,"NET_FIXED_ASSETS_1_YEAR_GROWTH","FQ4 2016","FQ4 2016","Currency=INR","Period=FQ","BEST_FPERIOD_OVERRIDE=FQ","FILING_STATUS=OR","EQY_CONSOLIDATED=Y","Sort=A","Dates=H","DateFormat=P","Fill=—","Direction=H","UseDPDF=Y")</f>
        <v>#NAME?</v>
      </c>
      <c r="AC192" s="2" t="e">
        <f ca="1">_xll.BDH($C$178,"ASSET_GROWTH","FQ4 2016","FQ4 2016","Currency=INR","Period=FQ","BEST_FPERIOD_OVERRIDE=FQ","FILING_STATUS=OR","EQY_CONSOLIDATED=Y","Sort=A","Dates=H","DateFormat=P","Fill=—","Direction=H","UseDPDF=Y")</f>
        <v>#NAME?</v>
      </c>
      <c r="AD192" s="2" t="e">
        <f ca="1">_xll.BDH($C$178,"MODIFIED_WORK_CAP_GROWTH","FQ4 2016","FQ4 2016","Currency=INR","Period=FQ","BEST_FPERIOD_OVERRIDE=FQ","FILING_STATUS=OR","EQY_CONSOLIDATED=Y","Sort=A","Dates=H","DateFormat=P","Fill=—","Direction=H","UseDPDF=Y")</f>
        <v>#NAME?</v>
      </c>
      <c r="AE192" s="2" t="e">
        <f ca="1">_xll.BDH($C$178,"WORK_CAP_GROWTH","FQ4 2016","FQ4 2016","Currency=INR","Period=FQ","BEST_FPERIOD_OVERRIDE=FQ","FILING_STATUS=OR","EQY_CONSOLIDATED=Y","Sort=A","Dates=H","DateFormat=P","Fill=—","Direction=H","UseDPDF=Y")</f>
        <v>#NAME?</v>
      </c>
      <c r="AF192" s="2" t="e">
        <f ca="1">_xll.BDH($C$178,"ACCOUNTS_PAYABLE_GROWTH_1YR","FQ4 2016","FQ4 2016","Currency=INR","Period=FQ","BEST_FPERIOD_OVERRIDE=FQ","FILING_STATUS=OR","EQY_CONSOLIDATED=Y","Sort=A","Dates=H","DateFormat=P","Fill=—","Direction=H","UseDPDF=Y")</f>
        <v>#NAME?</v>
      </c>
      <c r="AG192" s="2" t="e">
        <f ca="1">_xll.BDH($C$178,"SHORT_TERM_DEBT_1_YEAR_GROWTH","FQ4 2016","FQ4 2016","Currency=INR","Period=FQ","BEST_FPERIOD_OVERRIDE=FQ","FILING_STATUS=OR","EQY_CONSOLIDATED=Y","Sort=A","Dates=H","DateFormat=P","Fill=—","Direction=H","UseDPDF=Y")</f>
        <v>#NAME?</v>
      </c>
      <c r="AH192" s="2" t="e">
        <f ca="1">_xll.BDH($C$178,"TOTAL_DEBT_1_YEAR_GROWTH","FQ4 2016","FQ4 2016","Currency=INR","Period=FQ","BEST_FPERIOD_OVERRIDE=FQ","FILING_STATUS=OR","EQY_CONSOLIDATED=Y","Sort=A","Dates=H","DateFormat=P","Fill=—","Direction=H","UseDPDF=Y")</f>
        <v>#NAME?</v>
      </c>
      <c r="AI192" s="2" t="e">
        <f ca="1">_xll.BDH($C$178,"TOTAL_EQUITY_1_YEAR_GROWTH","FQ4 2016","FQ4 2016","Currency=INR","Period=FQ","BEST_FPERIOD_OVERRIDE=FQ","FILING_STATUS=OR","EQY_CONSOLIDATED=Y","Sort=A","Dates=H","DateFormat=P","Fill=—","Direction=H","UseDPDF=Y")</f>
        <v>#NAME?</v>
      </c>
      <c r="AJ192" s="2" t="e">
        <f ca="1">_xll.BDH($C$178,"GROWTH_IN_CAP","FQ4 2016","FQ4 2016","Currency=INR","Period=FQ","BEST_FPERIOD_OVERRIDE=FQ","FILING_STATUS=OR","EQY_CONSOLIDATED=Y","Sort=A","Dates=H","DateFormat=P","Fill=—","Direction=H","UseDPDF=Y")</f>
        <v>#NAME?</v>
      </c>
      <c r="AK192" s="2" t="e">
        <f ca="1">_xll.BDH($C$178,"BVPS_GROWTH","FQ4 2016","FQ4 2016","Currency=INR","Period=FQ","BEST_FPERIOD_OVERRIDE=FQ","FILING_STATUS=OR","EQY_CONSOLIDATED=Y","Sort=A","Dates=H","DateFormat=P","Fill=—","Direction=H","UseDPDF=Y")</f>
        <v>#NAME?</v>
      </c>
      <c r="AL192" s="2" t="e">
        <f ca="1">_xll.BDH($C$178,"CASH_FLOW_GROWTH","FQ4 2016","FQ4 2016","Currency=INR","Period=FQ","BEST_FPERIOD_OVERRIDE=FQ","FILING_STATUS=OR","EQY_CONSOLIDATED=Y","Sort=A","Dates=H","DateFormat=P","Fill=—","Direction=H","UseDPDF=Y")</f>
        <v>#NAME?</v>
      </c>
      <c r="AM192" s="2" t="e">
        <f ca="1">_xll.BDH($C$178,"GEO_GROW_NET_SALES","FQ4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192" s="2" t="e">
        <f ca="1">_xll.BDH($C$178,"GEO_GROW_EBITDA","FQ4 2016","FQ4 2016","Currency=INR","Period=FQ","BEST_FPERIOD_OVERRIDE=FQ","FILING_STATUS=OR","EQY_CONSOLIDATED=Y","FA_ADJUSTED=GAAP","Sort=A","Dates=H","DateFormat=P","Fill=—","Direction=H","UseDPDF=Y")</f>
        <v>#NAME?</v>
      </c>
      <c r="AO192" s="2" t="e">
        <f ca="1">_xll.BDH($C$178,"GEO_GROW_OPER_INC","FQ4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192" s="2" t="e">
        <f ca="1">_xll.BDH($C$178,"NET_INCOME_TO_COMMON_5_YR_GROWTH","FQ4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192" s="2" t="e">
        <f ca="1">_xll.BDH($C$178,"5Y_GEO_GROWTH_DILUTED_EPS","FQ4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192" s="2" t="e">
        <f ca="1">_xll.BDH($C$178,"GEO_GROW_DVD_PER_SH","FQ4 2016","FQ4 2016","Currency=INR","Period=FQ","BEST_FPERIOD_OVERRIDE=FQ","FILING_STATUS=OR","EQY_CONSOLIDATED=Y","Sort=A","Dates=H","DateFormat=P","Fill=—","Direction=H","UseDPDF=Y")</f>
        <v>#NAME?</v>
      </c>
      <c r="AS192" s="2" t="e">
        <f ca="1">_xll.BDH($C$178,"ACCOUNTS_RECEIVABLE_5_YR_GROWTH","FQ4 2016","FQ4 2016","Currency=INR","Period=FQ","BEST_FPERIOD_OVERRIDE=FQ","FILING_STATUS=OR","EQY_CONSOLIDATED=Y","Sort=A","Dates=H","DateFormat=P","Fill=—","Direction=H","UseDPDF=Y")</f>
        <v>#NAME?</v>
      </c>
      <c r="AT192" s="2" t="e">
        <f ca="1">_xll.BDH($C$178,"INVENTORY_5_YEAR_GROWTH","FQ4 2016","FQ4 2016","Currency=INR","Period=FQ","BEST_FPERIOD_OVERRIDE=FQ","FILING_STATUS=OR","EQY_CONSOLIDATED=Y","Sort=A","Dates=H","DateFormat=P","Fill=—","Direction=H","UseDPDF=Y")</f>
        <v>#NAME?</v>
      </c>
      <c r="AU192" s="2" t="e">
        <f ca="1">_xll.BDH($C$178,"NET_FIXED_ASSETS_5_YEAR_GROWTH","FQ4 2016","FQ4 2016","Currency=INR","Period=FQ","BEST_FPERIOD_OVERRIDE=FQ","FILING_STATUS=OR","EQY_CONSOLIDATED=Y","Sort=A","Dates=H","DateFormat=P","Fill=—","Direction=H","UseDPDF=Y")</f>
        <v>#NAME?</v>
      </c>
      <c r="AV192" s="2" t="e">
        <f ca="1">_xll.BDH($C$178,"GEO_GROW_TOT_ASSET","FQ4 2016","FQ4 2016","Currency=INR","Period=FQ","BEST_FPERIOD_OVERRIDE=FQ","FILING_STATUS=OR","EQY_CONSOLIDATED=Y","Sort=A","Dates=H","DateFormat=P","Fill=—","Direction=H","UseDPDF=Y")</f>
        <v>#NAME?</v>
      </c>
      <c r="AW192" s="2" t="e">
        <f ca="1">_xll.BDH($C$178,"MODIFIED_WORKING_CPTL_5YR_GRWTH","FQ4 2016","FQ4 2016","Currency=INR","Period=FQ","BEST_FPERIOD_OVERRIDE=FQ","FILING_STATUS=OR","EQY_CONSOLIDATED=Y","Sort=A","Dates=H","DateFormat=P","Fill=—","Direction=H","UseDPDF=Y")</f>
        <v>#NAME?</v>
      </c>
      <c r="AX192" s="2" t="e">
        <f ca="1">_xll.BDH($C$178,"WORKING_CAPITAL_5_YEAR_GROWTH","FQ4 2016","FQ4 2016","Currency=INR","Period=FQ","BEST_FPERIOD_OVERRIDE=FQ","FILING_STATUS=OR","EQY_CONSOLIDATED=Y","Sort=A","Dates=H","DateFormat=P","Fill=—","Direction=H","UseDPDF=Y")</f>
        <v>#NAME?</v>
      </c>
      <c r="AY192" s="2" t="e">
        <f ca="1">_xll.BDH($C$178,"ACCOUNTS_PAYABLE_5_YEAR_GROWTH","FQ4 2016","FQ4 2016","Currency=INR","Period=FQ","BEST_FPERIOD_OVERRIDE=FQ","FILING_STATUS=OR","EQY_CONSOLIDATED=Y","Sort=A","Dates=H","DateFormat=P","Fill=—","Direction=H","UseDPDF=Y")</f>
        <v>#NAME?</v>
      </c>
      <c r="AZ192" s="2" t="e">
        <f ca="1">_xll.BDH($C$178,"SHORT_TERM_DEBT_5_YEAR_GROWTH","FQ4 2016","FQ4 2016","Currency=INR","Period=FQ","BEST_FPERIOD_OVERRIDE=FQ","FILING_STATUS=OR","EQY_CONSOLIDATED=Y","Sort=A","Dates=H","DateFormat=P","Fill=—","Direction=H","UseDPDF=Y")</f>
        <v>#NAME?</v>
      </c>
      <c r="BA192" s="2" t="e">
        <f ca="1">_xll.BDH($C$178,"TOTAL_DEBT_5_YEAR_GROWTH","FQ4 2016","FQ4 2016","Currency=INR","Period=FQ","BEST_FPERIOD_OVERRIDE=FQ","FILING_STATUS=OR","EQY_CONSOLIDATED=Y","Sort=A","Dates=H","DateFormat=P","Fill=—","Direction=H","UseDPDF=Y")</f>
        <v>#NAME?</v>
      </c>
      <c r="BB192" s="2" t="e">
        <f ca="1">_xll.BDH($C$178,"GEO_GROW_TOT_SHRHLDR_EQY","FQ4 2016","FQ4 2016","Currency=INR","Period=FQ","BEST_FPERIOD_OVERRIDE=FQ","FILING_STATUS=OR","EQY_CONSOLIDATED=Y","Sort=A","Dates=H","DateFormat=P","Fill=—","Direction=H","UseDPDF=Y")</f>
        <v>#NAME?</v>
      </c>
      <c r="BC192" s="2" t="e">
        <f ca="1">_xll.BDH($C$178,"TOTAL_CAPITAL_5_YEAR_GROWTH","FQ4 2016","FQ4 2016","Currency=INR","Period=FQ","BEST_FPERIOD_OVERRIDE=FQ","FILING_STATUS=OR","EQY_CONSOLIDATED=Y","Sort=A","Dates=H","DateFormat=P","Fill=—","Direction=H","UseDPDF=Y")</f>
        <v>#NAME?</v>
      </c>
      <c r="BD192" s="2" t="e">
        <f ca="1">_xll.BDH($C$178,"GEO_GROW_BOOK_VAL","FQ4 2016","FQ4 2016","Currency=INR","Period=FQ","BEST_FPERIOD_OVERRIDE=FQ","FILING_STATUS=OR","EQY_CONSOLIDATED=Y","Sort=A","Dates=H","DateFormat=P","Fill=—","Direction=H","UseDPDF=Y")</f>
        <v>#NAME?</v>
      </c>
      <c r="BE192" s="2" t="e">
        <f ca="1">_xll.BDH($C$178,"GEO_GROW_CASH_OPER_ACT","FQ4 2016","FQ4 2016","Currency=INR","Period=FQ","BEST_FPERIOD_OVERRIDE=FQ","FILING_STATUS=OR","EQY_CONSOLIDATED=Y","Sort=A","Dates=H","DateFormat=P","Fill=—","Direction=H","UseDPDF=Y")</f>
        <v>#NAME?</v>
      </c>
      <c r="BF192" s="2" t="e">
        <f ca="1">_xll.BDH($C$178,"REVENUE_SEQUENTIAL_GROWTH","FQ4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192" s="2" t="e">
        <f ca="1">_xll.BDH($C$178,"EBITDA_SEQUENTIAL_GROWTH","FQ4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192" s="2" t="e">
        <f ca="1">_xll.BDH($C$178,"OPERATING_INCOME_SEQ_GROWTH","FQ4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192" s="2" t="e">
        <f ca="1">_xll.BDH($C$178,"NET_INCOME_TO_COMMON_SEQ_GROWTH","FQ4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192" s="2" t="e">
        <f ca="1">_xll.BDH($C$178,"EPS_DILUTED_SEQUENTIAL_GROWTH","FQ4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192" s="2" t="e">
        <f ca="1">_xll.BDH($C$178,"DPS_SEQUENTIAL_GROWTH","FQ4 2016","FQ4 2016","Currency=INR","Period=FQ","BEST_FPERIOD_OVERRIDE=FQ","FILING_STATUS=OR","EQY_CONSOLIDATED=Y","Sort=A","Dates=H","DateFormat=P","Fill=—","Direction=H","UseDPDF=Y")</f>
        <v>#NAME?</v>
      </c>
      <c r="BL192" s="2" t="e">
        <f ca="1">_xll.BDH($C$178,"ACCOUNTS_RECEIVABLE_SEQ_GROWTH","FQ4 2016","FQ4 2016","Currency=INR","Period=FQ","BEST_FPERIOD_OVERRIDE=FQ","FILING_STATUS=OR","EQY_CONSOLIDATED=Y","Sort=A","Dates=H","DateFormat=P","Fill=—","Direction=H","UseDPDF=Y")</f>
        <v>#NAME?</v>
      </c>
      <c r="BM192" s="2" t="e">
        <f ca="1">_xll.BDH($C$178,"INVENTORY_SEQUENTIAL_GROWTH","FQ4 2016","FQ4 2016","Currency=INR","Period=FQ","BEST_FPERIOD_OVERRIDE=FQ","FILING_STATUS=OR","EQY_CONSOLIDATED=Y","Sort=A","Dates=H","DateFormat=P","Fill=—","Direction=H","UseDPDF=Y")</f>
        <v>#NAME?</v>
      </c>
      <c r="BN192" s="2" t="e">
        <f ca="1">_xll.BDH($C$178,"FIXED_ASSETS_SEQUENTIAL_GROWTH","FQ4 2016","FQ4 2016","Currency=INR","Period=FQ","BEST_FPERIOD_OVERRIDE=FQ","FILING_STATUS=OR","EQY_CONSOLIDATED=Y","Sort=A","Dates=H","DateFormat=P","Fill=—","Direction=H","UseDPDF=Y")</f>
        <v>#NAME?</v>
      </c>
      <c r="BO192" s="2" t="e">
        <f ca="1">_xll.BDH($C$178,"TOTAL_ASSETS_SEQUENTIAL_GROWTH","FQ4 2016","FQ4 2016","Currency=INR","Period=FQ","BEST_FPERIOD_OVERRIDE=FQ","FILING_STATUS=OR","EQY_CONSOLIDATED=Y","Sort=A","Dates=H","DateFormat=P","Fill=—","Direction=H","UseDPDF=Y")</f>
        <v>#NAME?</v>
      </c>
      <c r="BP192" s="2" t="e">
        <f ca="1">_xll.BDH($C$178,"MODIFIED_WORKING_CPTL_SEQ_GRWTH","FQ4 2016","FQ4 2016","Currency=INR","Period=FQ","BEST_FPERIOD_OVERRIDE=FQ","FILING_STATUS=OR","EQY_CONSOLIDATED=Y","Sort=A","Dates=H","DateFormat=P","Fill=—","Direction=H","UseDPDF=Y")</f>
        <v>#NAME?</v>
      </c>
      <c r="BQ192" s="2" t="e">
        <f ca="1">_xll.BDH($C$178,"WORKING_CAPITAL_SEQ_GROWTH","FQ4 2016","FQ4 2016","Currency=INR","Period=FQ","BEST_FPERIOD_OVERRIDE=FQ","FILING_STATUS=OR","EQY_CONSOLIDATED=Y","Sort=A","Dates=H","DateFormat=P","Fill=—","Direction=H","UseDPDF=Y")</f>
        <v>#NAME?</v>
      </c>
      <c r="BR192" s="2" t="e">
        <f ca="1">_xll.BDH($C$178,"ACCOUNTS_PAYABLE_SEQ_GROWTH","FQ4 2016","FQ4 2016","Currency=INR","Period=FQ","BEST_FPERIOD_OVERRIDE=FQ","FILING_STATUS=OR","EQY_CONSOLIDATED=Y","Sort=A","Dates=H","DateFormat=P","Fill=—","Direction=H","UseDPDF=Y")</f>
        <v>#NAME?</v>
      </c>
      <c r="BS192" s="2" t="e">
        <f ca="1">_xll.BDH($C$178,"ST_DEBT_SEQUENTIAL_GROWTH","FQ4 2016","FQ4 2016","Currency=INR","Period=FQ","BEST_FPERIOD_OVERRIDE=FQ","FILING_STATUS=OR","EQY_CONSOLIDATED=Y","Sort=A","Dates=H","DateFormat=P","Fill=—","Direction=H","UseDPDF=Y")</f>
        <v>#NAME?</v>
      </c>
      <c r="BT192" s="2" t="e">
        <f ca="1">_xll.BDH($C$178,"TOTAL_DEBT_SEQUENTIAL_GROWTH","FQ4 2016","FQ4 2016","Currency=INR","Period=FQ","BEST_FPERIOD_OVERRIDE=FQ","FILING_STATUS=OR","EQY_CONSOLIDATED=Y","Sort=A","Dates=H","DateFormat=P","Fill=—","Direction=H","UseDPDF=Y")</f>
        <v>#NAME?</v>
      </c>
      <c r="BU192" s="2" t="e">
        <f ca="1">_xll.BDH($C$178,"TOTAL_EQUITY_SEQUENTIAL_GROWTH","FQ4 2016","FQ4 2016","Currency=INR","Period=FQ","BEST_FPERIOD_OVERRIDE=FQ","FILING_STATUS=OR","EQY_CONSOLIDATED=Y","Sort=A","Dates=H","DateFormat=P","Fill=—","Direction=H","UseDPDF=Y")</f>
        <v>#NAME?</v>
      </c>
      <c r="BV192" s="2" t="e">
        <f ca="1">_xll.BDH($C$178,"TOTAL_CAPITAL_SEQUENTIAL_GROWTH","FQ4 2016","FQ4 2016","Currency=INR","Period=FQ","BEST_FPERIOD_OVERRIDE=FQ","FILING_STATUS=OR","EQY_CONSOLIDATED=Y","Sort=A","Dates=H","DateFormat=P","Fill=—","Direction=H","UseDPDF=Y")</f>
        <v>#NAME?</v>
      </c>
      <c r="BW192" s="2" t="e">
        <f ca="1">_xll.BDH($C$178,"BPS_SEQUENTIAL_GROWTH","FQ4 2016","FQ4 2016","Currency=INR","Period=FQ","BEST_FPERIOD_OVERRIDE=FQ","FILING_STATUS=OR","EQY_CONSOLIDATED=Y","Sort=A","Dates=H","DateFormat=P","Fill=—","Direction=H","UseDPDF=Y")</f>
        <v>#NAME?</v>
      </c>
      <c r="BX192" s="2" t="e">
        <f ca="1">_xll.BDH($C$178,"CFO_SEQUENTIAL_GROWTH","FQ4 2016","FQ4 2016","Currency=INR","Period=FQ","BEST_FPERIOD_OVERRIDE=FQ","FILING_STATUS=OR","EQY_CONSOLIDATED=Y","Sort=A","Dates=H","DateFormat=P","Fill=—","Direction=H","UseDPDF=Y")</f>
        <v>#NAME?</v>
      </c>
      <c r="BY192" s="3" t="e">
        <f ca="1">_xll.BDH($C$178,"SHORT_AND_LONG_TERM_DEBT","FQ4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192" s="3" t="e">
        <f ca="1">_xll.BDH($C$178,"BS_ST_BORROW","FQ4 2016","FQ4 2016","Currency=INR","Period=FQ","BEST_FPERIOD_OVERRIDE=FQ","FILING_STATUS=OR","EQY_CONSOLIDATED=Y","SCALING_FORMAT=MLN","Sort=A","Dates=H","DateFormat=P","Fill=—","Direction=H","UseDPDF=Y")</f>
        <v>#NAME?</v>
      </c>
      <c r="CA192" s="3" t="e">
        <f ca="1">_xll.BDH($C$178,"BS_LT_BORROW","FQ4 2016","FQ4 2016","Currency=INR","Period=FQ","BEST_FPERIOD_OVERRIDE=FQ","FILING_STATUS=OR","EQY_CONSOLIDATED=Y","SCALING_FORMAT=MLN","Sort=A","Dates=H","DateFormat=P","Fill=—","Direction=H","UseDPDF=Y")</f>
        <v>#NAME?</v>
      </c>
      <c r="CB192" s="2" t="e">
        <f ca="1">_xll.BDH($C$178,"TOT_DEBT_TO_EBITDA","FQ4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192" s="2" t="e">
        <f ca="1">_xll.BDH($C$178,"NET_DEBT_TO_EBITDA","FQ4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192" s="2" t="e">
        <f ca="1">_xll.BDH($C$178,"TOTAL_DEBT_TO_EBIT","FQ4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192" s="2" t="e">
        <f ca="1">_xll.BDH($C$178,"NET_DEBT_TO_EBIT","FQ4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192" s="2" t="e">
        <f ca="1">_xll.BDH($C$178,"EBITDA_TO_INTEREST_EXPN","FQ4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192" s="2" t="e">
        <f ca="1">_xll.BDH($C$178,"COM_EQY_TO_TOT_ASSET","FQ4 2016","FQ4 2016","Currency=INR","Period=FQ","BEST_FPERIOD_OVERRIDE=FQ","FILING_STATUS=OR","EQY_CONSOLIDATED=Y","Sort=A","Dates=H","DateFormat=P","Fill=—","Direction=H","UseDPDF=Y")</f>
        <v>#NAME?</v>
      </c>
      <c r="CH192" s="2" t="e">
        <f ca="1">_xll.BDH($C$178,"LT_DEBT_TO_TOT_EQY","FQ4 2016","FQ4 2016","Currency=INR","Period=FQ","BEST_FPERIOD_OVERRIDE=FQ","FILING_STATUS=OR","EQY_CONSOLIDATED=Y","Sort=A","Dates=H","DateFormat=P","Fill=—","Direction=H","UseDPDF=Y")</f>
        <v>#NAME?</v>
      </c>
      <c r="CI192" s="2" t="e">
        <f ca="1">_xll.BDH($C$178,"LT_DEBT_TO_TOT_CAP","FQ4 2016","FQ4 2016","Currency=INR","Period=FQ","BEST_FPERIOD_OVERRIDE=FQ","FILING_STATUS=OR","EQY_CONSOLIDATED=Y","Sort=A","Dates=H","DateFormat=P","Fill=—","Direction=H","UseDPDF=Y")</f>
        <v>#NAME?</v>
      </c>
      <c r="CJ192" s="2" t="e">
        <f ca="1">_xll.BDH($C$178,"LT_DEBT_TO_TOT_ASSET","FQ4 2016","FQ4 2016","Currency=INR","Period=FQ","BEST_FPERIOD_OVERRIDE=FQ","FILING_STATUS=OR","EQY_CONSOLIDATED=Y","Sort=A","Dates=H","DateFormat=P","Fill=—","Direction=H","UseDPDF=Y")</f>
        <v>#NAME?</v>
      </c>
      <c r="CK192" s="2" t="e">
        <f ca="1">_xll.BDH($C$178,"TOT_DEBT_TO_TOT_EQY","FQ4 2016","FQ4 2016","Currency=INR","Period=FQ","BEST_FPERIOD_OVERRIDE=FQ","FILING_STATUS=OR","EQY_CONSOLIDATED=Y","Sort=A","Dates=H","DateFormat=P","Fill=—","Direction=H","UseDPDF=Y")</f>
        <v>#NAME?</v>
      </c>
      <c r="CL192" s="2" t="e">
        <f ca="1">_xll.BDH($C$178,"TOT_DEBT_TO_TOT_CAP","FQ4 2016","FQ4 2016","Currency=INR","Period=FQ","BEST_FPERIOD_OVERRIDE=FQ","FILING_STATUS=OR","EQY_CONSOLIDATED=Y","Sort=A","Dates=H","DateFormat=P","Fill=—","Direction=H","UseDPDF=Y")</f>
        <v>#NAME?</v>
      </c>
      <c r="CM192" s="2" t="e">
        <f ca="1">_xll.BDH($C$178,"TOT_DEBT_TO_TOT_ASSET","FQ4 2016","FQ4 2016","Currency=INR","Period=FQ","BEST_FPERIOD_OVERRIDE=FQ","FILING_STATUS=OR","EQY_CONSOLIDATED=Y","Sort=A","Dates=H","DateFormat=P","Fill=—","Direction=H","UseDPDF=Y")</f>
        <v>#NAME?</v>
      </c>
      <c r="CN192" s="2" t="e">
        <f ca="1">_xll.BDH($C$178,"NET_DEBT_TO_SHRHLDR_EQTY","FQ4 2016","FQ4 2016","Currency=INR","Period=FQ","BEST_FPERIOD_OVERRIDE=FQ","FILING_STATUS=OR","EQY_CONSOLIDATED=Y","Sort=A","Dates=H","DateFormat=P","Fill=—","Direction=H","UseDPDF=Y")</f>
        <v>#NAME?</v>
      </c>
      <c r="CO192" s="2" t="e">
        <f ca="1">_xll.BDH($C$178,"NET_DEBT_%_CAPITAL","FQ4 2016","FQ4 2016","Currency=INR","Period=FQ","BEST_FPERIOD_OVERRIDE=FQ","FILING_STATUS=OR","EQY_CONSOLIDATED=Y","Sort=A","Dates=H","DateFormat=P","Fill=—","Direction=H","UseDPDF=Y")</f>
        <v>#NAME?</v>
      </c>
      <c r="CP192" s="3" t="e">
        <f ca="1">_xll.BDH($C$178,"EBITDA","FQ4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192" s="3" t="e">
        <f ca="1">_xll.BDH($C$178,"EBITDA_AFTER_CAPEX","FQ4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192" s="3" t="e">
        <f ca="1">_xll.BDH($C$178,"IS_OPER_INC","FQ4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192" s="2" t="e">
        <f ca="1">_xll.BDH($C$178,"CASH_RATIO","FQ4 2016","FQ4 2016","Currency=INR","Period=FQ","BEST_FPERIOD_OVERRIDE=FQ","FILING_STATUS=OR","EQY_CONSOLIDATED=Y","Sort=A","Dates=H","DateFormat=P","Fill=—","Direction=H","UseDPDF=Y")</f>
        <v>#NAME?</v>
      </c>
      <c r="CT192" s="2" t="e">
        <f ca="1">_xll.BDH($C$178,"CUR_RATIO","FQ4 2016","FQ4 2016","Currency=INR","Period=FQ","BEST_FPERIOD_OVERRIDE=FQ","FILING_STATUS=OR","EQY_CONSOLIDATED=Y","Sort=A","Dates=H","DateFormat=P","Fill=—","Direction=H","UseDPDF=Y")</f>
        <v>#NAME?</v>
      </c>
      <c r="CU192" s="2" t="e">
        <f ca="1">_xll.BDH($C$178,"QUICK_RATIO","FQ4 2016","FQ4 2016","Currency=INR","Period=FQ","BEST_FPERIOD_OVERRIDE=FQ","FILING_STATUS=OR","EQY_CONSOLIDATED=Y","Sort=A","Dates=H","DateFormat=P","Fill=—","Direction=H","UseDPDF=Y")</f>
        <v>#NAME?</v>
      </c>
      <c r="CV192" s="2" t="e">
        <f ca="1">_xll.BDH($C$178,"ALTMAN_Z_SCORE","FQ4 2016","FQ4 2016","Currency=INR","Period=FQ","BEST_FPERIOD_OVERRIDE=FQ","FILING_STATUS=OR","EQY_CONSOLIDATED=Y","Sort=A","Dates=H","DateFormat=P","Fill=—","Direction=H","UseDPDF=Y")</f>
        <v>#NAME?</v>
      </c>
      <c r="CW192" s="4" t="e">
        <f ca="1">_xll.BDH($C$178,"ACCT_RCV_TURN","FQ4 2016","FQ4 2016","Currency=INR","Period=FQ","BEST_FPERIOD_OVERRIDE=FQ","FILING_STATUS=OR","EQY_CONSOLIDATED=Y","FA_ADJUSTED=GAAP","Sort=A","Dates=H","DateFormat=P","Fill=—","Direction=H","UseDPDF=Y")</f>
        <v>#NAME?</v>
      </c>
      <c r="CX192" s="2" t="e">
        <f ca="1">_xll.BDH($C$178,"ACCT_RCV_DAYS","FQ4 2016","FQ4 2016","Currency=INR","Period=FQ","BEST_FPERIOD_OVERRIDE=FQ","FILING_STATUS=OR","EQY_CONSOLIDATED=Y","FA_ADJUSTED=GAAP","Sort=A","Dates=H","DateFormat=P","Fill=—","Direction=H","UseDPDF=Y")</f>
        <v>#NAME?</v>
      </c>
      <c r="CY192" s="4" t="e">
        <f ca="1">_xll.BDH($C$178,"INVENT_TURN","FQ4 2016","FQ4 2016","Currency=INR","Period=FQ","BEST_FPERIOD_OVERRIDE=FQ","FILING_STATUS=OR","EQY_CONSOLIDATED=Y","FA_ADJUSTED=GAAP","Sort=A","Dates=H","DateFormat=P","Fill=—","Direction=H","UseDPDF=Y")</f>
        <v>#NAME?</v>
      </c>
      <c r="CZ192" s="2" t="e">
        <f ca="1">_xll.BDH($C$178,"INVENT_DAYS","FQ4 2016","FQ4 2016","Currency=INR","Period=FQ","BEST_FPERIOD_OVERRIDE=FQ","FILING_STATUS=OR","EQY_CONSOLIDATED=Y","FA_ADJUSTED=GAAP","Sort=A","Dates=H","DateFormat=P","Fill=—","Direction=H","UseDPDF=Y")</f>
        <v>#NAME?</v>
      </c>
      <c r="DA192" s="4" t="e">
        <f ca="1">_xll.BDH($C$178,"ACCOUNTS_PAYABLE_TURNOVER","FQ4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192" s="2" t="e">
        <f ca="1">_xll.BDH($C$178,"ACCOUNTS_PAYABLE_TURNOVER_DAYS","FQ4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192" s="4" t="e">
        <f ca="1">_xll.BDH($C$178,"CASH_CONVERSION_CYCLE","FQ4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192" s="4" t="e">
        <f ca="1">_xll.BDH($C$178,"INV_TO_CASH_DAYS","FQ4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192" s="5" t="e">
        <f ca="1">_xll.BDH($C$178,"BS_INVENTORIES","FQ4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192" s="3" t="e">
        <f ca="1">_xll.BDH($C$178,"INVTRY_RAW_MATERIALS","FQ4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192" s="3" t="e">
        <f ca="1">_xll.BDH($C$178,"INVTRY_IN_PROGRESS","FQ4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192" s="3" t="e">
        <f ca="1">_xll.BDH($C$178,"INVTRY_FINISHED_GOODS","FQ4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192" s="3" t="e">
        <f ca="1">_xll.BDH($C$178,"BS_OTHER_INV","FQ4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193" spans="1:113" x14ac:dyDescent="0.3">
      <c r="A193" s="6"/>
      <c r="B193" s="6"/>
      <c r="C193" s="6"/>
      <c r="D193" s="6" t="s">
        <v>84</v>
      </c>
      <c r="E193" t="s">
        <v>77</v>
      </c>
      <c r="F193" t="e">
        <f ca="1">_xll.BDH($C$178,"RETURN_COM_EQY","FY 2017","FY 2017","Currency=INR","Period=FY","BEST_FPERIOD_OVERRIDE=FY","FILING_STATUS=OR","EQY_CONSOLIDATED=Y","FA_ADJUSTED=GAAP","Sort=A","Dates=H","DateFormat=P","Fill=—","Direction=H","UseDPDF=Y")</f>
        <v>#NAME?</v>
      </c>
      <c r="G193" t="e">
        <f ca="1">_xll.BDH($C$178,"RETURN_ON_ASSET","FY 2017","FY 2017","Currency=INR","Period=FY","BEST_FPERIOD_OVERRIDE=FY","FILING_STATUS=OR","EQY_CONSOLIDATED=Y","FA_ADJUSTED=GAAP","Sort=A","Dates=H","DateFormat=P","Fill=—","Direction=H","UseDPDF=Y")</f>
        <v>#NAME?</v>
      </c>
      <c r="H193" t="e">
        <f ca="1">_xll.BDH($C$178,"RETURN_ON_CAP","FY 2017","FY 2017","Currency=INR","Period=FY","BEST_FPERIOD_OVERRIDE=FY","FILING_STATUS=OR","EQY_CONSOLIDATED=Y","FA_ADJUSTED=GAAP","Sort=A","Dates=H","DateFormat=P","Fill=—","Direction=H","UseDPDF=Y")</f>
        <v>#NAME?</v>
      </c>
      <c r="I193" t="e">
        <f ca="1">_xll.BDH($C$178,"RETURN_ON_INV_CAPITAL","FY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193" t="e">
        <f ca="1">_xll.BDH($C$178,"EBITDA_TO_REVENUE","FY 2017","FY 2017","Currency=INR","Period=FY","BEST_FPERIOD_OVERRIDE=FY","FILING_STATUS=OR","EQY_CONSOLIDATED=Y","FA_ADJUSTED=GAAP","Sort=A","Dates=H","DateFormat=P","Fill=—","Direction=H","UseDPDF=Y")</f>
        <v>#NAME?</v>
      </c>
      <c r="K193" t="e">
        <f ca="1">_xll.BDH($C$178,"OPER_MARGIN","FY 2017","FY 2017","Currency=INR","Period=FY","BEST_FPERIOD_OVERRIDE=FY","FILING_STATUS=OR","EQY_CONSOLIDATED=Y","FA_ADJUSTED=GAAP","Sort=A","Dates=H","DateFormat=P","Fill=—","Direction=H","UseDPDF=Y")</f>
        <v>#NAME?</v>
      </c>
      <c r="L193" t="e">
        <f ca="1">_xll.BDH($C$178,"INCREMENTAL_OPERATING_MARGIN","FY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193" t="e">
        <f ca="1">_xll.BDH($C$178,"PRETAX_INC_TO_NET_SALES","FY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193" t="e">
        <f ca="1">_xll.BDH($C$178,"INC_BEF_XO_ITEMS_TO_NET_SALES","FY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193" t="e">
        <f ca="1">_xll.BDH($C$178,"PROF_MARGIN","FY 2017","FY 2017","Currency=INR","Period=FY","BEST_FPERIOD_OVERRIDE=FY","FILING_STATUS=OR","EQY_CONSOLIDATED=Y","FA_ADJUSTED=GAAP","Sort=A","Dates=H","DateFormat=P","Fill=—","Direction=H","UseDPDF=Y")</f>
        <v>#NAME?</v>
      </c>
      <c r="P193" t="e">
        <f ca="1">_xll.BDH($C$178,"NET_INCOME_TO_COMMON_MARGIN","FY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193" t="e">
        <f ca="1">_xll.BDH($C$178,"EFF_TAX_RATE","FY 2017","FY 2017","Currency=INR","Period=FY","BEST_FPERIOD_OVERRIDE=FY","FILING_STATUS=OR","EQY_CONSOLIDATED=Y","FA_ADJUSTED=GAAP","Sort=A","Dates=H","DateFormat=P","Fill=—","Direction=H","UseDPDF=Y")</f>
        <v>#NAME?</v>
      </c>
      <c r="R193" t="e">
        <f ca="1">_xll.BDH($C$178,"DVD_PAYOUT_RATIO","FY 2017","FY 2017","Currency=INR","Period=FY","BEST_FPERIOD_OVERRIDE=FY","FILING_STATUS=OR","EQY_CONSOLIDATED=Y","FA_ADJUSTED=GAAP","Sort=A","Dates=H","DateFormat=P","Fill=—","Direction=H","UseDPDF=Y")</f>
        <v>#NAME?</v>
      </c>
      <c r="S193" t="e">
        <f ca="1">_xll.BDH($C$178,"SUSTAIN_GROWTH_RT","FY 2017","FY 2017","Currency=INR","Period=FY","BEST_FPERIOD_OVERRIDE=FY","FILING_STATUS=OR","EQY_CONSOLIDATED=Y","FA_ADJUSTED=GAAP","Sort=A","Dates=H","DateFormat=P","Fill=—","Direction=H","UseDPDF=Y")</f>
        <v>#NAME?</v>
      </c>
      <c r="T193" s="2" t="e">
        <f ca="1">_xll.BDH($C$178,"SALES_GROWTH","FY 2017","FY 2017","Currency=INR","Period=FY","BEST_FPERIOD_OVERRIDE=FY","FILING_STATUS=OR","EQY_CONSOLIDATED=Y","FA_ADJUSTED=GAAP","Sort=A","Dates=H","DateFormat=P","Fill=—","Direction=H","UseDPDF=Y")</f>
        <v>#NAME?</v>
      </c>
      <c r="U193" s="2" t="e">
        <f ca="1">_xll.BDH($C$178,"EBITDA_GROWTH","FY 2017","FY 2017","Currency=INR","Period=FY","BEST_FPERIOD_OVERRIDE=FY","FILING_STATUS=OR","EQY_CONSOLIDATED=Y","FA_ADJUSTED=GAAP","Sort=A","Dates=H","DateFormat=P","Fill=—","Direction=H","UseDPDF=Y")</f>
        <v>#NAME?</v>
      </c>
      <c r="V193" s="2" t="e">
        <f ca="1">_xll.BDH($C$178,"OPER_INC_GROWTH","FY 2017","FY 2017","Currency=INR","Period=FY","BEST_FPERIOD_OVERRIDE=FY","FILING_STATUS=OR","EQY_CONSOLIDATED=Y","FA_ADJUSTED=GAAP","Sort=A","Dates=H","DateFormat=P","Fill=—","Direction=H","UseDPDF=Y")</f>
        <v>#NAME?</v>
      </c>
      <c r="W193" s="2" t="e">
        <f ca="1">_xll.BDH($C$178,"EARN_FOR_COM_GROWTH","FY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193" s="2" t="e">
        <f ca="1">_xll.BDH($C$178,"DILUTED_EPS_AFT_XO_ITEMS_GROWTH","FY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193" s="2" t="e">
        <f ca="1">_xll.BDH($C$178,"DIVIDEND_PER_SHARE_1_YEAR_GROWTH","FY 2017","FY 2017","Currency=INR","Period=FY","BEST_FPERIOD_OVERRIDE=FY","FILING_STATUS=OR","EQY_CONSOLIDATED=Y","Sort=A","Dates=H","DateFormat=P","Fill=—","Direction=H","UseDPDF=Y")</f>
        <v>#NAME?</v>
      </c>
      <c r="Z193" s="2" t="e">
        <f ca="1">_xll.BDH($C$178,"ACCOUNTS_RECEIVABLE_GROWTH","FY 2017","FY 2017","Currency=INR","Period=FY","BEST_FPERIOD_OVERRIDE=FY","FILING_STATUS=OR","EQY_CONSOLIDATED=Y","Sort=A","Dates=H","DateFormat=P","Fill=—","Direction=H","UseDPDF=Y")</f>
        <v>#NAME?</v>
      </c>
      <c r="AA193" s="2" t="e">
        <f ca="1">_xll.BDH($C$178,"INVENTORY_GROWTH","FY 2017","FY 2017","Currency=INR","Period=FY","BEST_FPERIOD_OVERRIDE=FY","FILING_STATUS=OR","EQY_CONSOLIDATED=Y","Sort=A","Dates=H","DateFormat=P","Fill=—","Direction=H","UseDPDF=Y")</f>
        <v>#NAME?</v>
      </c>
      <c r="AB193" s="2" t="e">
        <f ca="1">_xll.BDH($C$178,"NET_FIXED_ASSETS_1_YEAR_GROWTH","FY 2017","FY 2017","Currency=INR","Period=FY","BEST_FPERIOD_OVERRIDE=FY","FILING_STATUS=OR","EQY_CONSOLIDATED=Y","Sort=A","Dates=H","DateFormat=P","Fill=—","Direction=H","UseDPDF=Y")</f>
        <v>#NAME?</v>
      </c>
      <c r="AC193" s="2" t="e">
        <f ca="1">_xll.BDH($C$178,"ASSET_GROWTH","FY 2017","FY 2017","Currency=INR","Period=FY","BEST_FPERIOD_OVERRIDE=FY","FILING_STATUS=OR","EQY_CONSOLIDATED=Y","Sort=A","Dates=H","DateFormat=P","Fill=—","Direction=H","UseDPDF=Y")</f>
        <v>#NAME?</v>
      </c>
      <c r="AD193" s="2" t="e">
        <f ca="1">_xll.BDH($C$178,"MODIFIED_WORK_CAP_GROWTH","FY 2017","FY 2017","Currency=INR","Period=FY","BEST_FPERIOD_OVERRIDE=FY","FILING_STATUS=OR","EQY_CONSOLIDATED=Y","Sort=A","Dates=H","DateFormat=P","Fill=—","Direction=H","UseDPDF=Y")</f>
        <v>#NAME?</v>
      </c>
      <c r="AE193" s="2" t="e">
        <f ca="1">_xll.BDH($C$178,"WORK_CAP_GROWTH","FY 2017","FY 2017","Currency=INR","Period=FY","BEST_FPERIOD_OVERRIDE=FY","FILING_STATUS=OR","EQY_CONSOLIDATED=Y","Sort=A","Dates=H","DateFormat=P","Fill=—","Direction=H","UseDPDF=Y")</f>
        <v>#NAME?</v>
      </c>
      <c r="AF193" s="2" t="e">
        <f ca="1">_xll.BDH($C$178,"ACCOUNTS_PAYABLE_GROWTH_1YR","FY 2017","FY 2017","Currency=INR","Period=FY","BEST_FPERIOD_OVERRIDE=FY","FILING_STATUS=OR","EQY_CONSOLIDATED=Y","Sort=A","Dates=H","DateFormat=P","Fill=—","Direction=H","UseDPDF=Y")</f>
        <v>#NAME?</v>
      </c>
      <c r="AG193" s="2" t="e">
        <f ca="1">_xll.BDH($C$178,"SHORT_TERM_DEBT_1_YEAR_GROWTH","FY 2017","FY 2017","Currency=INR","Period=FY","BEST_FPERIOD_OVERRIDE=FY","FILING_STATUS=OR","EQY_CONSOLIDATED=Y","Sort=A","Dates=H","DateFormat=P","Fill=—","Direction=H","UseDPDF=Y")</f>
        <v>#NAME?</v>
      </c>
      <c r="AH193" s="2" t="e">
        <f ca="1">_xll.BDH($C$178,"TOTAL_DEBT_1_YEAR_GROWTH","FY 2017","FY 2017","Currency=INR","Period=FY","BEST_FPERIOD_OVERRIDE=FY","FILING_STATUS=OR","EQY_CONSOLIDATED=Y","Sort=A","Dates=H","DateFormat=P","Fill=—","Direction=H","UseDPDF=Y")</f>
        <v>#NAME?</v>
      </c>
      <c r="AI193" s="2" t="e">
        <f ca="1">_xll.BDH($C$178,"TOTAL_EQUITY_1_YEAR_GROWTH","FY 2017","FY 2017","Currency=INR","Period=FY","BEST_FPERIOD_OVERRIDE=FY","FILING_STATUS=OR","EQY_CONSOLIDATED=Y","Sort=A","Dates=H","DateFormat=P","Fill=—","Direction=H","UseDPDF=Y")</f>
        <v>#NAME?</v>
      </c>
      <c r="AJ193" s="2" t="e">
        <f ca="1">_xll.BDH($C$178,"GROWTH_IN_CAP","FY 2017","FY 2017","Currency=INR","Period=FY","BEST_FPERIOD_OVERRIDE=FY","FILING_STATUS=OR","EQY_CONSOLIDATED=Y","Sort=A","Dates=H","DateFormat=P","Fill=—","Direction=H","UseDPDF=Y")</f>
        <v>#NAME?</v>
      </c>
      <c r="AK193" s="2" t="e">
        <f ca="1">_xll.BDH($C$178,"BVPS_GROWTH","FY 2017","FY 2017","Currency=INR","Period=FY","BEST_FPERIOD_OVERRIDE=FY","FILING_STATUS=OR","EQY_CONSOLIDATED=Y","Sort=A","Dates=H","DateFormat=P","Fill=—","Direction=H","UseDPDF=Y")</f>
        <v>#NAME?</v>
      </c>
      <c r="AL193" s="2" t="e">
        <f ca="1">_xll.BDH($C$178,"CASH_FLOW_GROWTH","FY 2017","FY 2017","Currency=INR","Period=FY","BEST_FPERIOD_OVERRIDE=FY","FILING_STATUS=OR","EQY_CONSOLIDATED=Y","Sort=A","Dates=H","DateFormat=P","Fill=—","Direction=H","UseDPDF=Y")</f>
        <v>#NAME?</v>
      </c>
      <c r="AM193" s="2" t="e">
        <f ca="1">_xll.BDH($C$178,"GEO_GROW_NET_SALES","FY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193" s="2" t="e">
        <f ca="1">_xll.BDH($C$178,"GEO_GROW_EBITDA","FY 2017","FY 2017","Currency=INR","Period=FY","BEST_FPERIOD_OVERRIDE=FY","FILING_STATUS=OR","EQY_CONSOLIDATED=Y","FA_ADJUSTED=GAAP","Sort=A","Dates=H","DateFormat=P","Fill=—","Direction=H","UseDPDF=Y")</f>
        <v>#NAME?</v>
      </c>
      <c r="AO193" s="2" t="e">
        <f ca="1">_xll.BDH($C$178,"GEO_GROW_OPER_INC","FY 2017","FY 2017","Currency=INR","Period=FY","BEST_FPERIOD_OVERRIDE=FY","FILING_STATUS=OR","EQY_CONSOLIDATED=Y","FA_ADJUSTED=GAAP","Sort=A","Dates=H","DateFormat=P","Fill=—","Direction=H","UseDPDF=Y")</f>
        <v>#NAME?</v>
      </c>
      <c r="AP193" s="2" t="e">
        <f ca="1">_xll.BDH($C$178,"NET_INCOME_TO_COMMON_5_YR_GROWTH","FY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193" s="2" t="e">
        <f ca="1">_xll.BDH($C$178,"5Y_GEO_GROWTH_DILUTED_EPS","FY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193" s="2" t="e">
        <f ca="1">_xll.BDH($C$178,"GEO_GROW_DVD_PER_SH","FY 2017","FY 2017","Currency=INR","Period=FY","BEST_FPERIOD_OVERRIDE=FY","FILING_STATUS=OR","EQY_CONSOLIDATED=Y","Sort=A","Dates=H","DateFormat=P","Fill=—","Direction=H","UseDPDF=Y")</f>
        <v>#NAME?</v>
      </c>
      <c r="AS193" s="2" t="e">
        <f ca="1">_xll.BDH($C$178,"ACCOUNTS_RECEIVABLE_5_YR_GROWTH","FY 2017","FY 2017","Currency=INR","Period=FY","BEST_FPERIOD_OVERRIDE=FY","FILING_STATUS=OR","EQY_CONSOLIDATED=Y","Sort=A","Dates=H","DateFormat=P","Fill=—","Direction=H","UseDPDF=Y")</f>
        <v>#NAME?</v>
      </c>
      <c r="AT193" s="2" t="e">
        <f ca="1">_xll.BDH($C$178,"INVENTORY_5_YEAR_GROWTH","FY 2017","FY 2017","Currency=INR","Period=FY","BEST_FPERIOD_OVERRIDE=FY","FILING_STATUS=OR","EQY_CONSOLIDATED=Y","Sort=A","Dates=H","DateFormat=P","Fill=—","Direction=H","UseDPDF=Y")</f>
        <v>#NAME?</v>
      </c>
      <c r="AU193" s="2" t="e">
        <f ca="1">_xll.BDH($C$178,"NET_FIXED_ASSETS_5_YEAR_GROWTH","FY 2017","FY 2017","Currency=INR","Period=FY","BEST_FPERIOD_OVERRIDE=FY","FILING_STATUS=OR","EQY_CONSOLIDATED=Y","Sort=A","Dates=H","DateFormat=P","Fill=—","Direction=H","UseDPDF=Y")</f>
        <v>#NAME?</v>
      </c>
      <c r="AV193" s="2" t="e">
        <f ca="1">_xll.BDH($C$178,"GEO_GROW_TOT_ASSET","FY 2017","FY 2017","Currency=INR","Period=FY","BEST_FPERIOD_OVERRIDE=FY","FILING_STATUS=OR","EQY_CONSOLIDATED=Y","Sort=A","Dates=H","DateFormat=P","Fill=—","Direction=H","UseDPDF=Y")</f>
        <v>#NAME?</v>
      </c>
      <c r="AW193" s="2" t="e">
        <f ca="1">_xll.BDH($C$178,"MODIFIED_WORKING_CPTL_5YR_GRWTH","FY 2017","FY 2017","Currency=INR","Period=FY","BEST_FPERIOD_OVERRIDE=FY","FILING_STATUS=OR","EQY_CONSOLIDATED=Y","Sort=A","Dates=H","DateFormat=P","Fill=—","Direction=H","UseDPDF=Y")</f>
        <v>#NAME?</v>
      </c>
      <c r="AX193" s="2" t="e">
        <f ca="1">_xll.BDH($C$178,"WORKING_CAPITAL_5_YEAR_GROWTH","FY 2017","FY 2017","Currency=INR","Period=FY","BEST_FPERIOD_OVERRIDE=FY","FILING_STATUS=OR","EQY_CONSOLIDATED=Y","Sort=A","Dates=H","DateFormat=P","Fill=—","Direction=H","UseDPDF=Y")</f>
        <v>#NAME?</v>
      </c>
      <c r="AY193" s="2" t="e">
        <f ca="1">_xll.BDH($C$178,"ACCOUNTS_PAYABLE_5_YEAR_GROWTH","FY 2017","FY 2017","Currency=INR","Period=FY","BEST_FPERIOD_OVERRIDE=FY","FILING_STATUS=OR","EQY_CONSOLIDATED=Y","Sort=A","Dates=H","DateFormat=P","Fill=—","Direction=H","UseDPDF=Y")</f>
        <v>#NAME?</v>
      </c>
      <c r="AZ193" s="2" t="e">
        <f ca="1">_xll.BDH($C$178,"SHORT_TERM_DEBT_5_YEAR_GROWTH","FY 2017","FY 2017","Currency=INR","Period=FY","BEST_FPERIOD_OVERRIDE=FY","FILING_STATUS=OR","EQY_CONSOLIDATED=Y","Sort=A","Dates=H","DateFormat=P","Fill=—","Direction=H","UseDPDF=Y")</f>
        <v>#NAME?</v>
      </c>
      <c r="BA193" s="2" t="e">
        <f ca="1">_xll.BDH($C$178,"TOTAL_DEBT_5_YEAR_GROWTH","FY 2017","FY 2017","Currency=INR","Period=FY","BEST_FPERIOD_OVERRIDE=FY","FILING_STATUS=OR","EQY_CONSOLIDATED=Y","Sort=A","Dates=H","DateFormat=P","Fill=—","Direction=H","UseDPDF=Y")</f>
        <v>#NAME?</v>
      </c>
      <c r="BB193" s="2" t="e">
        <f ca="1">_xll.BDH($C$178,"GEO_GROW_TOT_SHRHLDR_EQY","FY 2017","FY 2017","Currency=INR","Period=FY","BEST_FPERIOD_OVERRIDE=FY","FILING_STATUS=OR","EQY_CONSOLIDATED=Y","Sort=A","Dates=H","DateFormat=P","Fill=—","Direction=H","UseDPDF=Y")</f>
        <v>#NAME?</v>
      </c>
      <c r="BC193" s="2" t="e">
        <f ca="1">_xll.BDH($C$178,"TOTAL_CAPITAL_5_YEAR_GROWTH","FY 2017","FY 2017","Currency=INR","Period=FY","BEST_FPERIOD_OVERRIDE=FY","FILING_STATUS=OR","EQY_CONSOLIDATED=Y","Sort=A","Dates=H","DateFormat=P","Fill=—","Direction=H","UseDPDF=Y")</f>
        <v>#NAME?</v>
      </c>
      <c r="BD193" s="2" t="e">
        <f ca="1">_xll.BDH($C$178,"GEO_GROW_BOOK_VAL","FY 2017","FY 2017","Currency=INR","Period=FY","BEST_FPERIOD_OVERRIDE=FY","FILING_STATUS=OR","EQY_CONSOLIDATED=Y","Sort=A","Dates=H","DateFormat=P","Fill=—","Direction=H","UseDPDF=Y")</f>
        <v>#NAME?</v>
      </c>
      <c r="BE193" s="2" t="e">
        <f ca="1">_xll.BDH($C$178,"GEO_GROW_CASH_OPER_ACT","FY 2017","FY 2017","Currency=INR","Period=FY","BEST_FPERIOD_OVERRIDE=FY","FILING_STATUS=OR","EQY_CONSOLIDATED=Y","Sort=A","Dates=H","DateFormat=P","Fill=—","Direction=H","UseDPDF=Y")</f>
        <v>#NAME?</v>
      </c>
      <c r="BF193" s="2" t="e">
        <f ca="1">_xll.BDH($C$178,"REVENUE_SEQUENTIAL_GROWTH","FY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193" s="2" t="e">
        <f ca="1">_xll.BDH($C$178,"EBITDA_SEQUENTIAL_GROWTH","FY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193" s="2" t="e">
        <f ca="1">_xll.BDH($C$178,"OPERATING_INCOME_SEQ_GROWTH","FY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193" s="2" t="e">
        <f ca="1">_xll.BDH($C$178,"NET_INCOME_TO_COMMON_SEQ_GROWTH","FY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193" s="2" t="e">
        <f ca="1">_xll.BDH($C$178,"EPS_DILUTED_SEQUENTIAL_GROWTH","FY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193" s="2" t="e">
        <f ca="1">_xll.BDH($C$178,"DPS_SEQUENTIAL_GROWTH","FY 2017","FY 2017","Currency=INR","Period=FY","BEST_FPERIOD_OVERRIDE=FY","FILING_STATUS=OR","EQY_CONSOLIDATED=Y","Sort=A","Dates=H","DateFormat=P","Fill=—","Direction=H","UseDPDF=Y")</f>
        <v>#NAME?</v>
      </c>
      <c r="BL193" s="2" t="e">
        <f ca="1">_xll.BDH($C$178,"ACCOUNTS_RECEIVABLE_SEQ_GROWTH","FY 2017","FY 2017","Currency=INR","Period=FY","BEST_FPERIOD_OVERRIDE=FY","FILING_STATUS=OR","EQY_CONSOLIDATED=Y","Sort=A","Dates=H","DateFormat=P","Fill=—","Direction=H","UseDPDF=Y")</f>
        <v>#NAME?</v>
      </c>
      <c r="BM193" s="2" t="e">
        <f ca="1">_xll.BDH($C$178,"INVENTORY_SEQUENTIAL_GROWTH","FY 2017","FY 2017","Currency=INR","Period=FY","BEST_FPERIOD_OVERRIDE=FY","FILING_STATUS=OR","EQY_CONSOLIDATED=Y","Sort=A","Dates=H","DateFormat=P","Fill=—","Direction=H","UseDPDF=Y")</f>
        <v>#NAME?</v>
      </c>
      <c r="BN193" s="2" t="e">
        <f ca="1">_xll.BDH($C$178,"FIXED_ASSETS_SEQUENTIAL_GROWTH","FY 2017","FY 2017","Currency=INR","Period=FY","BEST_FPERIOD_OVERRIDE=FY","FILING_STATUS=OR","EQY_CONSOLIDATED=Y","Sort=A","Dates=H","DateFormat=P","Fill=—","Direction=H","UseDPDF=Y")</f>
        <v>#NAME?</v>
      </c>
      <c r="BO193" s="2" t="e">
        <f ca="1">_xll.BDH($C$178,"TOTAL_ASSETS_SEQUENTIAL_GROWTH","FY 2017","FY 2017","Currency=INR","Period=FY","BEST_FPERIOD_OVERRIDE=FY","FILING_STATUS=OR","EQY_CONSOLIDATED=Y","Sort=A","Dates=H","DateFormat=P","Fill=—","Direction=H","UseDPDF=Y")</f>
        <v>#NAME?</v>
      </c>
      <c r="BP193" s="2" t="e">
        <f ca="1">_xll.BDH($C$178,"MODIFIED_WORKING_CPTL_SEQ_GRWTH","FY 2017","FY 2017","Currency=INR","Period=FY","BEST_FPERIOD_OVERRIDE=FY","FILING_STATUS=OR","EQY_CONSOLIDATED=Y","Sort=A","Dates=H","DateFormat=P","Fill=—","Direction=H","UseDPDF=Y")</f>
        <v>#NAME?</v>
      </c>
      <c r="BQ193" s="2" t="e">
        <f ca="1">_xll.BDH($C$178,"WORKING_CAPITAL_SEQ_GROWTH","FY 2017","FY 2017","Currency=INR","Period=FY","BEST_FPERIOD_OVERRIDE=FY","FILING_STATUS=OR","EQY_CONSOLIDATED=Y","Sort=A","Dates=H","DateFormat=P","Fill=—","Direction=H","UseDPDF=Y")</f>
        <v>#NAME?</v>
      </c>
      <c r="BR193" s="2" t="e">
        <f ca="1">_xll.BDH($C$178,"ACCOUNTS_PAYABLE_SEQ_GROWTH","FY 2017","FY 2017","Currency=INR","Period=FY","BEST_FPERIOD_OVERRIDE=FY","FILING_STATUS=OR","EQY_CONSOLIDATED=Y","Sort=A","Dates=H","DateFormat=P","Fill=—","Direction=H","UseDPDF=Y")</f>
        <v>#NAME?</v>
      </c>
      <c r="BS193" s="2" t="e">
        <f ca="1">_xll.BDH($C$178,"ST_DEBT_SEQUENTIAL_GROWTH","FY 2017","FY 2017","Currency=INR","Period=FY","BEST_FPERIOD_OVERRIDE=FY","FILING_STATUS=OR","EQY_CONSOLIDATED=Y","Sort=A","Dates=H","DateFormat=P","Fill=—","Direction=H","UseDPDF=Y")</f>
        <v>#NAME?</v>
      </c>
      <c r="BT193" s="2" t="e">
        <f ca="1">_xll.BDH($C$178,"TOTAL_DEBT_SEQUENTIAL_GROWTH","FY 2017","FY 2017","Currency=INR","Period=FY","BEST_FPERIOD_OVERRIDE=FY","FILING_STATUS=OR","EQY_CONSOLIDATED=Y","Sort=A","Dates=H","DateFormat=P","Fill=—","Direction=H","UseDPDF=Y")</f>
        <v>#NAME?</v>
      </c>
      <c r="BU193" s="2" t="e">
        <f ca="1">_xll.BDH($C$178,"TOTAL_EQUITY_SEQUENTIAL_GROWTH","FY 2017","FY 2017","Currency=INR","Period=FY","BEST_FPERIOD_OVERRIDE=FY","FILING_STATUS=OR","EQY_CONSOLIDATED=Y","Sort=A","Dates=H","DateFormat=P","Fill=—","Direction=H","UseDPDF=Y")</f>
        <v>#NAME?</v>
      </c>
      <c r="BV193" s="2" t="e">
        <f ca="1">_xll.BDH($C$178,"TOTAL_CAPITAL_SEQUENTIAL_GROWTH","FY 2017","FY 2017","Currency=INR","Period=FY","BEST_FPERIOD_OVERRIDE=FY","FILING_STATUS=OR","EQY_CONSOLIDATED=Y","Sort=A","Dates=H","DateFormat=P","Fill=—","Direction=H","UseDPDF=Y")</f>
        <v>#NAME?</v>
      </c>
      <c r="BW193" s="2" t="e">
        <f ca="1">_xll.BDH($C$178,"BPS_SEQUENTIAL_GROWTH","FY 2017","FY 2017","Currency=INR","Period=FY","BEST_FPERIOD_OVERRIDE=FY","FILING_STATUS=OR","EQY_CONSOLIDATED=Y","Sort=A","Dates=H","DateFormat=P","Fill=—","Direction=H","UseDPDF=Y")</f>
        <v>#NAME?</v>
      </c>
      <c r="BX193" s="2" t="e">
        <f ca="1">_xll.BDH($C$178,"CFO_SEQUENTIAL_GROWTH","FY 2017","FY 2017","Currency=INR","Period=FY","BEST_FPERIOD_OVERRIDE=FY","FILING_STATUS=OR","EQY_CONSOLIDATED=Y","Sort=A","Dates=H","DateFormat=P","Fill=—","Direction=H","UseDPDF=Y")</f>
        <v>#NAME?</v>
      </c>
      <c r="BY193" s="3" t="e">
        <f ca="1">_xll.BDH($C$178,"SHORT_AND_LONG_TERM_DEBT","FY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193" s="3" t="e">
        <f ca="1">_xll.BDH($C$178,"BS_ST_BORROW","FY 2017","FY 2017","Currency=INR","Period=FY","BEST_FPERIOD_OVERRIDE=FY","FILING_STATUS=OR","EQY_CONSOLIDATED=Y","SCALING_FORMAT=MLN","Sort=A","Dates=H","DateFormat=P","Fill=—","Direction=H","UseDPDF=Y")</f>
        <v>#NAME?</v>
      </c>
      <c r="CA193" s="3" t="e">
        <f ca="1">_xll.BDH($C$178,"BS_LT_BORROW","FY 2017","FY 2017","Currency=INR","Period=FY","BEST_FPERIOD_OVERRIDE=FY","FILING_STATUS=OR","EQY_CONSOLIDATED=Y","SCALING_FORMAT=MLN","Sort=A","Dates=H","DateFormat=P","Fill=—","Direction=H","UseDPDF=Y")</f>
        <v>#NAME?</v>
      </c>
      <c r="CB193" s="2" t="e">
        <f ca="1">_xll.BDH($C$178,"TOT_DEBT_TO_EBITDA","FY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193" s="2" t="e">
        <f ca="1">_xll.BDH($C$178,"NET_DEBT_TO_EBITDA","FY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193" s="2" t="e">
        <f ca="1">_xll.BDH($C$178,"TOTAL_DEBT_TO_EBIT","FY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193" s="2" t="e">
        <f ca="1">_xll.BDH($C$178,"NET_DEBT_TO_EBIT","FY 2017","FY 2017","Currency=INR","Period=FY","BEST_FPERIOD_OVERRIDE=FY","FILING_STATUS=OR","EQY_CONSOLIDATED=Y","FA_ADJUSTED=GAAP","Sort=A","Dates=H","DateFormat=P","Fill=—","Direction=H","UseDPDF=Y")</f>
        <v>#NAME?</v>
      </c>
      <c r="CF193" s="2" t="e">
        <f ca="1">_xll.BDH($C$178,"EBITDA_TO_INTEREST_EXPN","FY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193" s="2" t="e">
        <f ca="1">_xll.BDH($C$178,"COM_EQY_TO_TOT_ASSET","FY 2017","FY 2017","Currency=INR","Period=FY","BEST_FPERIOD_OVERRIDE=FY","FILING_STATUS=OR","EQY_CONSOLIDATED=Y","Sort=A","Dates=H","DateFormat=P","Fill=—","Direction=H","UseDPDF=Y")</f>
        <v>#NAME?</v>
      </c>
      <c r="CH193" s="2" t="e">
        <f ca="1">_xll.BDH($C$178,"LT_DEBT_TO_TOT_EQY","FY 2017","FY 2017","Currency=INR","Period=FY","BEST_FPERIOD_OVERRIDE=FY","FILING_STATUS=OR","EQY_CONSOLIDATED=Y","Sort=A","Dates=H","DateFormat=P","Fill=—","Direction=H","UseDPDF=Y")</f>
        <v>#NAME?</v>
      </c>
      <c r="CI193" s="2" t="e">
        <f ca="1">_xll.BDH($C$178,"LT_DEBT_TO_TOT_CAP","FY 2017","FY 2017","Currency=INR","Period=FY","BEST_FPERIOD_OVERRIDE=FY","FILING_STATUS=OR","EQY_CONSOLIDATED=Y","Sort=A","Dates=H","DateFormat=P","Fill=—","Direction=H","UseDPDF=Y")</f>
        <v>#NAME?</v>
      </c>
      <c r="CJ193" s="2" t="e">
        <f ca="1">_xll.BDH($C$178,"LT_DEBT_TO_TOT_ASSET","FY 2017","FY 2017","Currency=INR","Period=FY","BEST_FPERIOD_OVERRIDE=FY","FILING_STATUS=OR","EQY_CONSOLIDATED=Y","Sort=A","Dates=H","DateFormat=P","Fill=—","Direction=H","UseDPDF=Y")</f>
        <v>#NAME?</v>
      </c>
      <c r="CK193" s="2" t="e">
        <f ca="1">_xll.BDH($C$178,"TOT_DEBT_TO_TOT_EQY","FY 2017","FY 2017","Currency=INR","Period=FY","BEST_FPERIOD_OVERRIDE=FY","FILING_STATUS=OR","EQY_CONSOLIDATED=Y","Sort=A","Dates=H","DateFormat=P","Fill=—","Direction=H","UseDPDF=Y")</f>
        <v>#NAME?</v>
      </c>
      <c r="CL193" s="2" t="e">
        <f ca="1">_xll.BDH($C$178,"TOT_DEBT_TO_TOT_CAP","FY 2017","FY 2017","Currency=INR","Period=FY","BEST_FPERIOD_OVERRIDE=FY","FILING_STATUS=OR","EQY_CONSOLIDATED=Y","Sort=A","Dates=H","DateFormat=P","Fill=—","Direction=H","UseDPDF=Y")</f>
        <v>#NAME?</v>
      </c>
      <c r="CM193" s="2" t="e">
        <f ca="1">_xll.BDH($C$178,"TOT_DEBT_TO_TOT_ASSET","FY 2017","FY 2017","Currency=INR","Period=FY","BEST_FPERIOD_OVERRIDE=FY","FILING_STATUS=OR","EQY_CONSOLIDATED=Y","Sort=A","Dates=H","DateFormat=P","Fill=—","Direction=H","UseDPDF=Y")</f>
        <v>#NAME?</v>
      </c>
      <c r="CN193" s="2" t="e">
        <f ca="1">_xll.BDH($C$178,"NET_DEBT_TO_SHRHLDR_EQTY","FY 2017","FY 2017","Currency=INR","Period=FY","BEST_FPERIOD_OVERRIDE=FY","FILING_STATUS=OR","EQY_CONSOLIDATED=Y","Sort=A","Dates=H","DateFormat=P","Fill=—","Direction=H","UseDPDF=Y")</f>
        <v>#NAME?</v>
      </c>
      <c r="CO193" s="2" t="e">
        <f ca="1">_xll.BDH($C$178,"NET_DEBT_%_CAPITAL","FY 2017","FY 2017","Currency=INR","Period=FY","BEST_FPERIOD_OVERRIDE=FY","FILING_STATUS=OR","EQY_CONSOLIDATED=Y","Sort=A","Dates=H","DateFormat=P","Fill=—","Direction=H","UseDPDF=Y")</f>
        <v>#NAME?</v>
      </c>
      <c r="CP193" s="3" t="e">
        <f ca="1">_xll.BDH($C$178,"EBITDA","FY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193" s="3" t="e">
        <f ca="1">_xll.BDH($C$178,"EBITDA_AFTER_CAPEX","FY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193" s="3" t="e">
        <f ca="1">_xll.BDH($C$178,"IS_OPER_INC","FY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193" s="2" t="e">
        <f ca="1">_xll.BDH($C$178,"CASH_RATIO","FY 2017","FY 2017","Currency=INR","Period=FY","BEST_FPERIOD_OVERRIDE=FY","FILING_STATUS=OR","EQY_CONSOLIDATED=Y","Sort=A","Dates=H","DateFormat=P","Fill=—","Direction=H","UseDPDF=Y")</f>
        <v>#NAME?</v>
      </c>
      <c r="CT193" s="2" t="e">
        <f ca="1">_xll.BDH($C$178,"CUR_RATIO","FY 2017","FY 2017","Currency=INR","Period=FY","BEST_FPERIOD_OVERRIDE=FY","FILING_STATUS=OR","EQY_CONSOLIDATED=Y","Sort=A","Dates=H","DateFormat=P","Fill=—","Direction=H","UseDPDF=Y")</f>
        <v>#NAME?</v>
      </c>
      <c r="CU193" s="2" t="e">
        <f ca="1">_xll.BDH($C$178,"QUICK_RATIO","FY 2017","FY 2017","Currency=INR","Period=FY","BEST_FPERIOD_OVERRIDE=FY","FILING_STATUS=OR","EQY_CONSOLIDATED=Y","Sort=A","Dates=H","DateFormat=P","Fill=—","Direction=H","UseDPDF=Y")</f>
        <v>#NAME?</v>
      </c>
      <c r="CV193" s="2" t="e">
        <f ca="1">_xll.BDH($C$178,"ALTMAN_Z_SCORE","FY 2017","FY 2017","Currency=INR","Period=FY","BEST_FPERIOD_OVERRIDE=FY","FILING_STATUS=OR","EQY_CONSOLIDATED=Y","Sort=A","Dates=H","DateFormat=P","Fill=—","Direction=H","UseDPDF=Y")</f>
        <v>#NAME?</v>
      </c>
      <c r="CW193" s="4" t="e">
        <f ca="1">_xll.BDH($C$178,"ACCT_RCV_TURN","FY 2017","FY 2017","Currency=INR","Period=FY","BEST_FPERIOD_OVERRIDE=FY","FILING_STATUS=OR","EQY_CONSOLIDATED=Y","FA_ADJUSTED=GAAP","Sort=A","Dates=H","DateFormat=P","Fill=—","Direction=H","UseDPDF=Y")</f>
        <v>#NAME?</v>
      </c>
      <c r="CX193" s="2" t="e">
        <f ca="1">_xll.BDH($C$178,"ACCT_RCV_DAYS","FY 2017","FY 2017","Currency=INR","Period=FY","BEST_FPERIOD_OVERRIDE=FY","FILING_STATUS=OR","EQY_CONSOLIDATED=Y","FA_ADJUSTED=GAAP","Sort=A","Dates=H","DateFormat=P","Fill=—","Direction=H","UseDPDF=Y")</f>
        <v>#NAME?</v>
      </c>
      <c r="CY193" s="4" t="e">
        <f ca="1">_xll.BDH($C$178,"INVENT_TURN","FY 2017","FY 2017","Currency=INR","Period=FY","BEST_FPERIOD_OVERRIDE=FY","FILING_STATUS=OR","EQY_CONSOLIDATED=Y","FA_ADJUSTED=GAAP","Sort=A","Dates=H","DateFormat=P","Fill=—","Direction=H","UseDPDF=Y")</f>
        <v>#NAME?</v>
      </c>
      <c r="CZ193" s="2" t="e">
        <f ca="1">_xll.BDH($C$178,"INVENT_DAYS","FY 2017","FY 2017","Currency=INR","Period=FY","BEST_FPERIOD_OVERRIDE=FY","FILING_STATUS=OR","EQY_CONSOLIDATED=Y","FA_ADJUSTED=GAAP","Sort=A","Dates=H","DateFormat=P","Fill=—","Direction=H","UseDPDF=Y")</f>
        <v>#NAME?</v>
      </c>
      <c r="DA193" s="4" t="e">
        <f ca="1">_xll.BDH($C$178,"ACCOUNTS_PAYABLE_TURNOVER","FY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193" s="2" t="e">
        <f ca="1">_xll.BDH($C$178,"ACCOUNTS_PAYABLE_TURNOVER_DAYS","FY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193" s="4" t="e">
        <f ca="1">_xll.BDH($C$178,"CASH_CONVERSION_CYCLE","FY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193" s="4" t="e">
        <f ca="1">_xll.BDH($C$178,"INV_TO_CASH_DAYS","FY 2017","FY 2017","Currency=INR","Period=FY","BEST_FPERIOD_OVERRIDE=FY","FILING_STATUS=OR","EQY_CONSOLIDATED=Y","FA_ADJUSTED=GAAP","Sort=A","Dates=H","DateFormat=P","Fill=—","Direction=H","UseDPDF=Y")</f>
        <v>#NAME?</v>
      </c>
      <c r="DE193" s="5" t="e">
        <f ca="1">_xll.BDH($C$178,"BS_INVENTORIES","FY 2017","FY 2017","Currency=INR","Period=FY","BEST_FPERIOD_OVERRIDE=FY","FILING_STATUS=OR","EQY_CONSOLIDATED=Y","SCALING_FORMAT=MLN","Sort=A","Dates=H","DateFormat=P","Fill=—","Direction=H","UseDPDF=Y")</f>
        <v>#NAME?</v>
      </c>
      <c r="DF193" s="3" t="e">
        <f ca="1">_xll.BDH($C$178,"INVTRY_RAW_MATERIALS","FY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193" s="3" t="e">
        <f ca="1">_xll.BDH($C$178,"INVTRY_IN_PROGRESS","FY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193" s="3" t="e">
        <f ca="1">_xll.BDH($C$178,"INVTRY_FINISHED_GOODS","FY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193" s="3" t="e">
        <f ca="1">_xll.BDH($C$178,"BS_OTHER_INV","FY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194" spans="1:113" x14ac:dyDescent="0.3">
      <c r="A194" s="6"/>
      <c r="B194" s="6"/>
      <c r="C194" s="6"/>
      <c r="D194" s="6"/>
      <c r="E194" t="s">
        <v>78</v>
      </c>
      <c r="F194" t="e">
        <f ca="1">_xll.BDH($C$178,"RETURN_COM_EQY","FQ1 2017","FQ1 2017","Currency=INR","Period=FQ","BEST_FPERIOD_OVERRIDE=FQ","FILING_STATUS=OR","EQY_CONSOLIDATED=Y","FA_ADJUSTED=GAAP","Sort=A","Dates=H","DateFormat=P","Fill=—","Direction=H","UseDPDF=Y")</f>
        <v>#NAME?</v>
      </c>
      <c r="G194" t="e">
        <f ca="1">_xll.BDH($C$178,"RETURN_ON_ASSET","FQ1 2017","FQ1 2017","Currency=INR","Period=FQ","BEST_FPERIOD_OVERRIDE=FQ","FILING_STATUS=OR","EQY_CONSOLIDATED=Y","FA_ADJUSTED=GAAP","Sort=A","Dates=H","DateFormat=P","Fill=—","Direction=H","UseDPDF=Y")</f>
        <v>#NAME?</v>
      </c>
      <c r="H194" t="e">
        <f ca="1">_xll.BDH($C$178,"RETURN_ON_CAP","FQ1 2017","FQ1 2017","Currency=INR","Period=FQ","BEST_FPERIOD_OVERRIDE=FQ","FILING_STATUS=OR","EQY_CONSOLIDATED=Y","FA_ADJUSTED=GAAP","Sort=A","Dates=H","DateFormat=P","Fill=—","Direction=H","UseDPDF=Y")</f>
        <v>#NAME?</v>
      </c>
      <c r="I194" t="e">
        <f ca="1">_xll.BDH($C$178,"RETURN_ON_INV_CAPITAL","FQ1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194" t="e">
        <f ca="1">_xll.BDH($C$178,"EBITDA_TO_REVENUE","FQ1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194" t="e">
        <f ca="1">_xll.BDH($C$178,"OPER_MARGIN","FQ1 2017","FQ1 2017","Currency=INR","Period=FQ","BEST_FPERIOD_OVERRIDE=FQ","FILING_STATUS=OR","EQY_CONSOLIDATED=Y","FA_ADJUSTED=GAAP","Sort=A","Dates=H","DateFormat=P","Fill=—","Direction=H","UseDPDF=Y")</f>
        <v>#NAME?</v>
      </c>
      <c r="L194" t="e">
        <f ca="1">_xll.BDH($C$178,"INCREMENTAL_OPERATING_MARGIN","FQ1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194" t="e">
        <f ca="1">_xll.BDH($C$178,"PRETAX_INC_TO_NET_SALES","FQ1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194" t="e">
        <f ca="1">_xll.BDH($C$178,"INC_BEF_XO_ITEMS_TO_NET_SALES","FQ1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194" t="e">
        <f ca="1">_xll.BDH($C$178,"PROF_MARGIN","FQ1 2017","FQ1 2017","Currency=INR","Period=FQ","BEST_FPERIOD_OVERRIDE=FQ","FILING_STATUS=OR","EQY_CONSOLIDATED=Y","FA_ADJUSTED=GAAP","Sort=A","Dates=H","DateFormat=P","Fill=—","Direction=H","UseDPDF=Y")</f>
        <v>#NAME?</v>
      </c>
      <c r="P194" t="e">
        <f ca="1">_xll.BDH($C$178,"NET_INCOME_TO_COMMON_MARGIN","FQ1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194" t="e">
        <f ca="1">_xll.BDH($C$178,"EFF_TAX_RATE","FQ1 2017","FQ1 2017","Currency=INR","Period=FQ","BEST_FPERIOD_OVERRIDE=FQ","FILING_STATUS=OR","EQY_CONSOLIDATED=Y","FA_ADJUSTED=GAAP","Sort=A","Dates=H","DateFormat=P","Fill=—","Direction=H","UseDPDF=Y")</f>
        <v>#NAME?</v>
      </c>
      <c r="R194" t="e">
        <f ca="1">_xll.BDH($C$178,"DVD_PAYOUT_RATIO","FQ1 2017","FQ1 2017","Currency=INR","Period=FQ","BEST_FPERIOD_OVERRIDE=FQ","FILING_STATUS=OR","EQY_CONSOLIDATED=Y","FA_ADJUSTED=GAAP","Sort=A","Dates=H","DateFormat=P","Fill=—","Direction=H","UseDPDF=Y")</f>
        <v>#NAME?</v>
      </c>
      <c r="S194" t="e">
        <f ca="1">_xll.BDH($C$178,"SUSTAIN_GROWTH_RT","FQ1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194" s="2" t="e">
        <f ca="1">_xll.BDH($C$178,"SALES_GROWTH","FQ1 2017","FQ1 2017","Currency=INR","Period=FQ","BEST_FPERIOD_OVERRIDE=FQ","FILING_STATUS=OR","EQY_CONSOLIDATED=Y","FA_ADJUSTED=GAAP","Sort=A","Dates=H","DateFormat=P","Fill=—","Direction=H","UseDPDF=Y")</f>
        <v>#NAME?</v>
      </c>
      <c r="U194" s="2" t="e">
        <f ca="1">_xll.BDH($C$178,"EBITDA_GROWTH","FQ1 2017","FQ1 2017","Currency=INR","Period=FQ","BEST_FPERIOD_OVERRIDE=FQ","FILING_STATUS=OR","EQY_CONSOLIDATED=Y","FA_ADJUSTED=GAAP","Sort=A","Dates=H","DateFormat=P","Fill=—","Direction=H","UseDPDF=Y")</f>
        <v>#NAME?</v>
      </c>
      <c r="V194" s="2" t="e">
        <f ca="1">_xll.BDH($C$178,"OPER_INC_GROWTH","FQ1 2017","FQ1 2017","Currency=INR","Period=FQ","BEST_FPERIOD_OVERRIDE=FQ","FILING_STATUS=OR","EQY_CONSOLIDATED=Y","FA_ADJUSTED=GAAP","Sort=A","Dates=H","DateFormat=P","Fill=—","Direction=H","UseDPDF=Y")</f>
        <v>#NAME?</v>
      </c>
      <c r="W194" s="2" t="e">
        <f ca="1">_xll.BDH($C$178,"EARN_FOR_COM_GROWTH","FQ1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194" s="2" t="e">
        <f ca="1">_xll.BDH($C$178,"DILUTED_EPS_AFT_XO_ITEMS_GROWTH","FQ1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194" s="2" t="e">
        <f ca="1">_xll.BDH($C$178,"DIVIDEND_PER_SHARE_1_YEAR_GROWTH","FQ1 2017","FQ1 2017","Currency=INR","Period=FQ","BEST_FPERIOD_OVERRIDE=FQ","FILING_STATUS=OR","EQY_CONSOLIDATED=Y","Sort=A","Dates=H","DateFormat=P","Fill=—","Direction=H","UseDPDF=Y")</f>
        <v>#NAME?</v>
      </c>
      <c r="Z194" s="2" t="e">
        <f ca="1">_xll.BDH($C$178,"ACCOUNTS_RECEIVABLE_GROWTH","FQ1 2017","FQ1 2017","Currency=INR","Period=FQ","BEST_FPERIOD_OVERRIDE=FQ","FILING_STATUS=OR","EQY_CONSOLIDATED=Y","Sort=A","Dates=H","DateFormat=P","Fill=—","Direction=H","UseDPDF=Y")</f>
        <v>#NAME?</v>
      </c>
      <c r="AA194" s="2" t="e">
        <f ca="1">_xll.BDH($C$178,"INVENTORY_GROWTH","FQ1 2017","FQ1 2017","Currency=INR","Period=FQ","BEST_FPERIOD_OVERRIDE=FQ","FILING_STATUS=OR","EQY_CONSOLIDATED=Y","Sort=A","Dates=H","DateFormat=P","Fill=—","Direction=H","UseDPDF=Y")</f>
        <v>#NAME?</v>
      </c>
      <c r="AB194" s="2" t="e">
        <f ca="1">_xll.BDH($C$178,"NET_FIXED_ASSETS_1_YEAR_GROWTH","FQ1 2017","FQ1 2017","Currency=INR","Period=FQ","BEST_FPERIOD_OVERRIDE=FQ","FILING_STATUS=OR","EQY_CONSOLIDATED=Y","Sort=A","Dates=H","DateFormat=P","Fill=—","Direction=H","UseDPDF=Y")</f>
        <v>#NAME?</v>
      </c>
      <c r="AC194" s="2" t="e">
        <f ca="1">_xll.BDH($C$178,"ASSET_GROWTH","FQ1 2017","FQ1 2017","Currency=INR","Period=FQ","BEST_FPERIOD_OVERRIDE=FQ","FILING_STATUS=OR","EQY_CONSOLIDATED=Y","Sort=A","Dates=H","DateFormat=P","Fill=—","Direction=H","UseDPDF=Y")</f>
        <v>#NAME?</v>
      </c>
      <c r="AD194" s="2" t="e">
        <f ca="1">_xll.BDH($C$178,"MODIFIED_WORK_CAP_GROWTH","FQ1 2017","FQ1 2017","Currency=INR","Period=FQ","BEST_FPERIOD_OVERRIDE=FQ","FILING_STATUS=OR","EQY_CONSOLIDATED=Y","Sort=A","Dates=H","DateFormat=P","Fill=—","Direction=H","UseDPDF=Y")</f>
        <v>#NAME?</v>
      </c>
      <c r="AE194" s="2" t="e">
        <f ca="1">_xll.BDH($C$178,"WORK_CAP_GROWTH","FQ1 2017","FQ1 2017","Currency=INR","Period=FQ","BEST_FPERIOD_OVERRIDE=FQ","FILING_STATUS=OR","EQY_CONSOLIDATED=Y","Sort=A","Dates=H","DateFormat=P","Fill=—","Direction=H","UseDPDF=Y")</f>
        <v>#NAME?</v>
      </c>
      <c r="AF194" s="2" t="e">
        <f ca="1">_xll.BDH($C$178,"ACCOUNTS_PAYABLE_GROWTH_1YR","FQ1 2017","FQ1 2017","Currency=INR","Period=FQ","BEST_FPERIOD_OVERRIDE=FQ","FILING_STATUS=OR","EQY_CONSOLIDATED=Y","Sort=A","Dates=H","DateFormat=P","Fill=—","Direction=H","UseDPDF=Y")</f>
        <v>#NAME?</v>
      </c>
      <c r="AG194" s="2" t="e">
        <f ca="1">_xll.BDH($C$178,"SHORT_TERM_DEBT_1_YEAR_GROWTH","FQ1 2017","FQ1 2017","Currency=INR","Period=FQ","BEST_FPERIOD_OVERRIDE=FQ","FILING_STATUS=OR","EQY_CONSOLIDATED=Y","Sort=A","Dates=H","DateFormat=P","Fill=—","Direction=H","UseDPDF=Y")</f>
        <v>#NAME?</v>
      </c>
      <c r="AH194" s="2" t="e">
        <f ca="1">_xll.BDH($C$178,"TOTAL_DEBT_1_YEAR_GROWTH","FQ1 2017","FQ1 2017","Currency=INR","Period=FQ","BEST_FPERIOD_OVERRIDE=FQ","FILING_STATUS=OR","EQY_CONSOLIDATED=Y","Sort=A","Dates=H","DateFormat=P","Fill=—","Direction=H","UseDPDF=Y")</f>
        <v>#NAME?</v>
      </c>
      <c r="AI194" s="2" t="e">
        <f ca="1">_xll.BDH($C$178,"TOTAL_EQUITY_1_YEAR_GROWTH","FQ1 2017","FQ1 2017","Currency=INR","Period=FQ","BEST_FPERIOD_OVERRIDE=FQ","FILING_STATUS=OR","EQY_CONSOLIDATED=Y","Sort=A","Dates=H","DateFormat=P","Fill=—","Direction=H","UseDPDF=Y")</f>
        <v>#NAME?</v>
      </c>
      <c r="AJ194" s="2" t="e">
        <f ca="1">_xll.BDH($C$178,"GROWTH_IN_CAP","FQ1 2017","FQ1 2017","Currency=INR","Period=FQ","BEST_FPERIOD_OVERRIDE=FQ","FILING_STATUS=OR","EQY_CONSOLIDATED=Y","Sort=A","Dates=H","DateFormat=P","Fill=—","Direction=H","UseDPDF=Y")</f>
        <v>#NAME?</v>
      </c>
      <c r="AK194" s="2" t="e">
        <f ca="1">_xll.BDH($C$178,"BVPS_GROWTH","FQ1 2017","FQ1 2017","Currency=INR","Period=FQ","BEST_FPERIOD_OVERRIDE=FQ","FILING_STATUS=OR","EQY_CONSOLIDATED=Y","Sort=A","Dates=H","DateFormat=P","Fill=—","Direction=H","UseDPDF=Y")</f>
        <v>#NAME?</v>
      </c>
      <c r="AL194" s="2" t="e">
        <f ca="1">_xll.BDH($C$178,"CASH_FLOW_GROWTH","FQ1 2017","FQ1 2017","Currency=INR","Period=FQ","BEST_FPERIOD_OVERRIDE=FQ","FILING_STATUS=OR","EQY_CONSOLIDATED=Y","Sort=A","Dates=H","DateFormat=P","Fill=—","Direction=H","UseDPDF=Y")</f>
        <v>#NAME?</v>
      </c>
      <c r="AM194" s="2" t="e">
        <f ca="1">_xll.BDH($C$178,"GEO_GROW_NET_SALES","FQ1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194" s="2" t="e">
        <f ca="1">_xll.BDH($C$178,"GEO_GROW_EBITDA","FQ1 2017","FQ1 2017","Currency=INR","Period=FQ","BEST_FPERIOD_OVERRIDE=FQ","FILING_STATUS=OR","EQY_CONSOLIDATED=Y","FA_ADJUSTED=GAAP","Sort=A","Dates=H","DateFormat=P","Fill=—","Direction=H","UseDPDF=Y")</f>
        <v>#NAME?</v>
      </c>
      <c r="AO194" s="2" t="e">
        <f ca="1">_xll.BDH($C$178,"GEO_GROW_OPER_INC","FQ1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194" s="2" t="e">
        <f ca="1">_xll.BDH($C$178,"NET_INCOME_TO_COMMON_5_YR_GROWTH","FQ1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194" s="2" t="e">
        <f ca="1">_xll.BDH($C$178,"5Y_GEO_GROWTH_DILUTED_EPS","FQ1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194" s="2" t="e">
        <f ca="1">_xll.BDH($C$178,"GEO_GROW_DVD_PER_SH","FQ1 2017","FQ1 2017","Currency=INR","Period=FQ","BEST_FPERIOD_OVERRIDE=FQ","FILING_STATUS=OR","EQY_CONSOLIDATED=Y","Sort=A","Dates=H","DateFormat=P","Fill=—","Direction=H","UseDPDF=Y")</f>
        <v>#NAME?</v>
      </c>
      <c r="AS194" s="2" t="e">
        <f ca="1">_xll.BDH($C$178,"ACCOUNTS_RECEIVABLE_5_YR_GROWTH","FQ1 2017","FQ1 2017","Currency=INR","Period=FQ","BEST_FPERIOD_OVERRIDE=FQ","FILING_STATUS=OR","EQY_CONSOLIDATED=Y","Sort=A","Dates=H","DateFormat=P","Fill=—","Direction=H","UseDPDF=Y")</f>
        <v>#NAME?</v>
      </c>
      <c r="AT194" s="2" t="e">
        <f ca="1">_xll.BDH($C$178,"INVENTORY_5_YEAR_GROWTH","FQ1 2017","FQ1 2017","Currency=INR","Period=FQ","BEST_FPERIOD_OVERRIDE=FQ","FILING_STATUS=OR","EQY_CONSOLIDATED=Y","Sort=A","Dates=H","DateFormat=P","Fill=—","Direction=H","UseDPDF=Y")</f>
        <v>#NAME?</v>
      </c>
      <c r="AU194" s="2" t="e">
        <f ca="1">_xll.BDH($C$178,"NET_FIXED_ASSETS_5_YEAR_GROWTH","FQ1 2017","FQ1 2017","Currency=INR","Period=FQ","BEST_FPERIOD_OVERRIDE=FQ","FILING_STATUS=OR","EQY_CONSOLIDATED=Y","Sort=A","Dates=H","DateFormat=P","Fill=—","Direction=H","UseDPDF=Y")</f>
        <v>#NAME?</v>
      </c>
      <c r="AV194" s="2" t="e">
        <f ca="1">_xll.BDH($C$178,"GEO_GROW_TOT_ASSET","FQ1 2017","FQ1 2017","Currency=INR","Period=FQ","BEST_FPERIOD_OVERRIDE=FQ","FILING_STATUS=OR","EQY_CONSOLIDATED=Y","Sort=A","Dates=H","DateFormat=P","Fill=—","Direction=H","UseDPDF=Y")</f>
        <v>#NAME?</v>
      </c>
      <c r="AW194" s="2" t="e">
        <f ca="1">_xll.BDH($C$178,"MODIFIED_WORKING_CPTL_5YR_GRWTH","FQ1 2017","FQ1 2017","Currency=INR","Period=FQ","BEST_FPERIOD_OVERRIDE=FQ","FILING_STATUS=OR","EQY_CONSOLIDATED=Y","Sort=A","Dates=H","DateFormat=P","Fill=—","Direction=H","UseDPDF=Y")</f>
        <v>#NAME?</v>
      </c>
      <c r="AX194" s="2" t="e">
        <f ca="1">_xll.BDH($C$178,"WORKING_CAPITAL_5_YEAR_GROWTH","FQ1 2017","FQ1 2017","Currency=INR","Period=FQ","BEST_FPERIOD_OVERRIDE=FQ","FILING_STATUS=OR","EQY_CONSOLIDATED=Y","Sort=A","Dates=H","DateFormat=P","Fill=—","Direction=H","UseDPDF=Y")</f>
        <v>#NAME?</v>
      </c>
      <c r="AY194" s="2" t="e">
        <f ca="1">_xll.BDH($C$178,"ACCOUNTS_PAYABLE_5_YEAR_GROWTH","FQ1 2017","FQ1 2017","Currency=INR","Period=FQ","BEST_FPERIOD_OVERRIDE=FQ","FILING_STATUS=OR","EQY_CONSOLIDATED=Y","Sort=A","Dates=H","DateFormat=P","Fill=—","Direction=H","UseDPDF=Y")</f>
        <v>#NAME?</v>
      </c>
      <c r="AZ194" s="2" t="e">
        <f ca="1">_xll.BDH($C$178,"SHORT_TERM_DEBT_5_YEAR_GROWTH","FQ1 2017","FQ1 2017","Currency=INR","Period=FQ","BEST_FPERIOD_OVERRIDE=FQ","FILING_STATUS=OR","EQY_CONSOLIDATED=Y","Sort=A","Dates=H","DateFormat=P","Fill=—","Direction=H","UseDPDF=Y")</f>
        <v>#NAME?</v>
      </c>
      <c r="BA194" s="2" t="e">
        <f ca="1">_xll.BDH($C$178,"TOTAL_DEBT_5_YEAR_GROWTH","FQ1 2017","FQ1 2017","Currency=INR","Period=FQ","BEST_FPERIOD_OVERRIDE=FQ","FILING_STATUS=OR","EQY_CONSOLIDATED=Y","Sort=A","Dates=H","DateFormat=P","Fill=—","Direction=H","UseDPDF=Y")</f>
        <v>#NAME?</v>
      </c>
      <c r="BB194" s="2" t="e">
        <f ca="1">_xll.BDH($C$178,"GEO_GROW_TOT_SHRHLDR_EQY","FQ1 2017","FQ1 2017","Currency=INR","Period=FQ","BEST_FPERIOD_OVERRIDE=FQ","FILING_STATUS=OR","EQY_CONSOLIDATED=Y","Sort=A","Dates=H","DateFormat=P","Fill=—","Direction=H","UseDPDF=Y")</f>
        <v>#NAME?</v>
      </c>
      <c r="BC194" s="2" t="e">
        <f ca="1">_xll.BDH($C$178,"TOTAL_CAPITAL_5_YEAR_GROWTH","FQ1 2017","FQ1 2017","Currency=INR","Period=FQ","BEST_FPERIOD_OVERRIDE=FQ","FILING_STATUS=OR","EQY_CONSOLIDATED=Y","Sort=A","Dates=H","DateFormat=P","Fill=—","Direction=H","UseDPDF=Y")</f>
        <v>#NAME?</v>
      </c>
      <c r="BD194" s="2" t="e">
        <f ca="1">_xll.BDH($C$178,"GEO_GROW_BOOK_VAL","FQ1 2017","FQ1 2017","Currency=INR","Period=FQ","BEST_FPERIOD_OVERRIDE=FQ","FILING_STATUS=OR","EQY_CONSOLIDATED=Y","Sort=A","Dates=H","DateFormat=P","Fill=—","Direction=H","UseDPDF=Y")</f>
        <v>#NAME?</v>
      </c>
      <c r="BE194" s="2" t="e">
        <f ca="1">_xll.BDH($C$178,"GEO_GROW_CASH_OPER_ACT","FQ1 2017","FQ1 2017","Currency=INR","Period=FQ","BEST_FPERIOD_OVERRIDE=FQ","FILING_STATUS=OR","EQY_CONSOLIDATED=Y","Sort=A","Dates=H","DateFormat=P","Fill=—","Direction=H","UseDPDF=Y")</f>
        <v>#NAME?</v>
      </c>
      <c r="BF194" s="2" t="e">
        <f ca="1">_xll.BDH($C$178,"REVENUE_SEQUENTIAL_GROWTH","FQ1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194" s="2" t="e">
        <f ca="1">_xll.BDH($C$178,"EBITDA_SEQUENTIAL_GROWTH","FQ1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194" s="2" t="e">
        <f ca="1">_xll.BDH($C$178,"OPERATING_INCOME_SEQ_GROWTH","FQ1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194" s="2" t="e">
        <f ca="1">_xll.BDH($C$178,"NET_INCOME_TO_COMMON_SEQ_GROWTH","FQ1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194" s="2" t="e">
        <f ca="1">_xll.BDH($C$178,"EPS_DILUTED_SEQUENTIAL_GROWTH","FQ1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194" s="2" t="e">
        <f ca="1">_xll.BDH($C$178,"DPS_SEQUENTIAL_GROWTH","FQ1 2017","FQ1 2017","Currency=INR","Period=FQ","BEST_FPERIOD_OVERRIDE=FQ","FILING_STATUS=OR","EQY_CONSOLIDATED=Y","Sort=A","Dates=H","DateFormat=P","Fill=—","Direction=H","UseDPDF=Y")</f>
        <v>#NAME?</v>
      </c>
      <c r="BL194" s="2" t="e">
        <f ca="1">_xll.BDH($C$178,"ACCOUNTS_RECEIVABLE_SEQ_GROWTH","FQ1 2017","FQ1 2017","Currency=INR","Period=FQ","BEST_FPERIOD_OVERRIDE=FQ","FILING_STATUS=OR","EQY_CONSOLIDATED=Y","Sort=A","Dates=H","DateFormat=P","Fill=—","Direction=H","UseDPDF=Y")</f>
        <v>#NAME?</v>
      </c>
      <c r="BM194" s="2" t="e">
        <f ca="1">_xll.BDH($C$178,"INVENTORY_SEQUENTIAL_GROWTH","FQ1 2017","FQ1 2017","Currency=INR","Period=FQ","BEST_FPERIOD_OVERRIDE=FQ","FILING_STATUS=OR","EQY_CONSOLIDATED=Y","Sort=A","Dates=H","DateFormat=P","Fill=—","Direction=H","UseDPDF=Y")</f>
        <v>#NAME?</v>
      </c>
      <c r="BN194" s="2" t="e">
        <f ca="1">_xll.BDH($C$178,"FIXED_ASSETS_SEQUENTIAL_GROWTH","FQ1 2017","FQ1 2017","Currency=INR","Period=FQ","BEST_FPERIOD_OVERRIDE=FQ","FILING_STATUS=OR","EQY_CONSOLIDATED=Y","Sort=A","Dates=H","DateFormat=P","Fill=—","Direction=H","UseDPDF=Y")</f>
        <v>#NAME?</v>
      </c>
      <c r="BO194" s="2" t="e">
        <f ca="1">_xll.BDH($C$178,"TOTAL_ASSETS_SEQUENTIAL_GROWTH","FQ1 2017","FQ1 2017","Currency=INR","Period=FQ","BEST_FPERIOD_OVERRIDE=FQ","FILING_STATUS=OR","EQY_CONSOLIDATED=Y","Sort=A","Dates=H","DateFormat=P","Fill=—","Direction=H","UseDPDF=Y")</f>
        <v>#NAME?</v>
      </c>
      <c r="BP194" s="2" t="e">
        <f ca="1">_xll.BDH($C$178,"MODIFIED_WORKING_CPTL_SEQ_GRWTH","FQ1 2017","FQ1 2017","Currency=INR","Period=FQ","BEST_FPERIOD_OVERRIDE=FQ","FILING_STATUS=OR","EQY_CONSOLIDATED=Y","Sort=A","Dates=H","DateFormat=P","Fill=—","Direction=H","UseDPDF=Y")</f>
        <v>#NAME?</v>
      </c>
      <c r="BQ194" s="2" t="e">
        <f ca="1">_xll.BDH($C$178,"WORKING_CAPITAL_SEQ_GROWTH","FQ1 2017","FQ1 2017","Currency=INR","Period=FQ","BEST_FPERIOD_OVERRIDE=FQ","FILING_STATUS=OR","EQY_CONSOLIDATED=Y","Sort=A","Dates=H","DateFormat=P","Fill=—","Direction=H","UseDPDF=Y")</f>
        <v>#NAME?</v>
      </c>
      <c r="BR194" s="2" t="e">
        <f ca="1">_xll.BDH($C$178,"ACCOUNTS_PAYABLE_SEQ_GROWTH","FQ1 2017","FQ1 2017","Currency=INR","Period=FQ","BEST_FPERIOD_OVERRIDE=FQ","FILING_STATUS=OR","EQY_CONSOLIDATED=Y","Sort=A","Dates=H","DateFormat=P","Fill=—","Direction=H","UseDPDF=Y")</f>
        <v>#NAME?</v>
      </c>
      <c r="BS194" s="2" t="e">
        <f ca="1">_xll.BDH($C$178,"ST_DEBT_SEQUENTIAL_GROWTH","FQ1 2017","FQ1 2017","Currency=INR","Period=FQ","BEST_FPERIOD_OVERRIDE=FQ","FILING_STATUS=OR","EQY_CONSOLIDATED=Y","Sort=A","Dates=H","DateFormat=P","Fill=—","Direction=H","UseDPDF=Y")</f>
        <v>#NAME?</v>
      </c>
      <c r="BT194" s="2" t="e">
        <f ca="1">_xll.BDH($C$178,"TOTAL_DEBT_SEQUENTIAL_GROWTH","FQ1 2017","FQ1 2017","Currency=INR","Period=FQ","BEST_FPERIOD_OVERRIDE=FQ","FILING_STATUS=OR","EQY_CONSOLIDATED=Y","Sort=A","Dates=H","DateFormat=P","Fill=—","Direction=H","UseDPDF=Y")</f>
        <v>#NAME?</v>
      </c>
      <c r="BU194" s="2" t="e">
        <f ca="1">_xll.BDH($C$178,"TOTAL_EQUITY_SEQUENTIAL_GROWTH","FQ1 2017","FQ1 2017","Currency=INR","Period=FQ","BEST_FPERIOD_OVERRIDE=FQ","FILING_STATUS=OR","EQY_CONSOLIDATED=Y","Sort=A","Dates=H","DateFormat=P","Fill=—","Direction=H","UseDPDF=Y")</f>
        <v>#NAME?</v>
      </c>
      <c r="BV194" s="2" t="e">
        <f ca="1">_xll.BDH($C$178,"TOTAL_CAPITAL_SEQUENTIAL_GROWTH","FQ1 2017","FQ1 2017","Currency=INR","Period=FQ","BEST_FPERIOD_OVERRIDE=FQ","FILING_STATUS=OR","EQY_CONSOLIDATED=Y","Sort=A","Dates=H","DateFormat=P","Fill=—","Direction=H","UseDPDF=Y")</f>
        <v>#NAME?</v>
      </c>
      <c r="BW194" s="2" t="e">
        <f ca="1">_xll.BDH($C$178,"BPS_SEQUENTIAL_GROWTH","FQ1 2017","FQ1 2017","Currency=INR","Period=FQ","BEST_FPERIOD_OVERRIDE=FQ","FILING_STATUS=OR","EQY_CONSOLIDATED=Y","Sort=A","Dates=H","DateFormat=P","Fill=—","Direction=H","UseDPDF=Y")</f>
        <v>#NAME?</v>
      </c>
      <c r="BX194" s="2" t="e">
        <f ca="1">_xll.BDH($C$178,"CFO_SEQUENTIAL_GROWTH","FQ1 2017","FQ1 2017","Currency=INR","Period=FQ","BEST_FPERIOD_OVERRIDE=FQ","FILING_STATUS=OR","EQY_CONSOLIDATED=Y","Sort=A","Dates=H","DateFormat=P","Fill=—","Direction=H","UseDPDF=Y")</f>
        <v>#NAME?</v>
      </c>
      <c r="BY194" s="3" t="e">
        <f ca="1">_xll.BDH($C$178,"SHORT_AND_LONG_TERM_DEBT","FQ1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194" s="3" t="e">
        <f ca="1">_xll.BDH($C$178,"BS_ST_BORROW","FQ1 2017","FQ1 2017","Currency=INR","Period=FQ","BEST_FPERIOD_OVERRIDE=FQ","FILING_STATUS=OR","EQY_CONSOLIDATED=Y","SCALING_FORMAT=MLN","Sort=A","Dates=H","DateFormat=P","Fill=—","Direction=H","UseDPDF=Y")</f>
        <v>#NAME?</v>
      </c>
      <c r="CA194" s="3" t="e">
        <f ca="1">_xll.BDH($C$178,"BS_LT_BORROW","FQ1 2017","FQ1 2017","Currency=INR","Period=FQ","BEST_FPERIOD_OVERRIDE=FQ","FILING_STATUS=OR","EQY_CONSOLIDATED=Y","SCALING_FORMAT=MLN","Sort=A","Dates=H","DateFormat=P","Fill=—","Direction=H","UseDPDF=Y")</f>
        <v>#NAME?</v>
      </c>
      <c r="CB194" s="2" t="e">
        <f ca="1">_xll.BDH($C$178,"TOT_DEBT_TO_EBITDA","FQ1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194" s="2" t="e">
        <f ca="1">_xll.BDH($C$178,"NET_DEBT_TO_EBITDA","FQ1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194" s="2" t="e">
        <f ca="1">_xll.BDH($C$178,"TOTAL_DEBT_TO_EBIT","FQ1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194" s="2" t="e">
        <f ca="1">_xll.BDH($C$178,"NET_DEBT_TO_EBIT","FQ1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194" s="2" t="e">
        <f ca="1">_xll.BDH($C$178,"EBITDA_TO_INTEREST_EXPN","FQ1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194" s="2" t="e">
        <f ca="1">_xll.BDH($C$178,"COM_EQY_TO_TOT_ASSET","FQ1 2017","FQ1 2017","Currency=INR","Period=FQ","BEST_FPERIOD_OVERRIDE=FQ","FILING_STATUS=OR","EQY_CONSOLIDATED=Y","Sort=A","Dates=H","DateFormat=P","Fill=—","Direction=H","UseDPDF=Y")</f>
        <v>#NAME?</v>
      </c>
      <c r="CH194" s="2" t="e">
        <f ca="1">_xll.BDH($C$178,"LT_DEBT_TO_TOT_EQY","FQ1 2017","FQ1 2017","Currency=INR","Period=FQ","BEST_FPERIOD_OVERRIDE=FQ","FILING_STATUS=OR","EQY_CONSOLIDATED=Y","Sort=A","Dates=H","DateFormat=P","Fill=—","Direction=H","UseDPDF=Y")</f>
        <v>#NAME?</v>
      </c>
      <c r="CI194" s="2" t="e">
        <f ca="1">_xll.BDH($C$178,"LT_DEBT_TO_TOT_CAP","FQ1 2017","FQ1 2017","Currency=INR","Period=FQ","BEST_FPERIOD_OVERRIDE=FQ","FILING_STATUS=OR","EQY_CONSOLIDATED=Y","Sort=A","Dates=H","DateFormat=P","Fill=—","Direction=H","UseDPDF=Y")</f>
        <v>#NAME?</v>
      </c>
      <c r="CJ194" s="2" t="e">
        <f ca="1">_xll.BDH($C$178,"LT_DEBT_TO_TOT_ASSET","FQ1 2017","FQ1 2017","Currency=INR","Period=FQ","BEST_FPERIOD_OVERRIDE=FQ","FILING_STATUS=OR","EQY_CONSOLIDATED=Y","Sort=A","Dates=H","DateFormat=P","Fill=—","Direction=H","UseDPDF=Y")</f>
        <v>#NAME?</v>
      </c>
      <c r="CK194" s="2" t="e">
        <f ca="1">_xll.BDH($C$178,"TOT_DEBT_TO_TOT_EQY","FQ1 2017","FQ1 2017","Currency=INR","Period=FQ","BEST_FPERIOD_OVERRIDE=FQ","FILING_STATUS=OR","EQY_CONSOLIDATED=Y","Sort=A","Dates=H","DateFormat=P","Fill=—","Direction=H","UseDPDF=Y")</f>
        <v>#NAME?</v>
      </c>
      <c r="CL194" s="2" t="e">
        <f ca="1">_xll.BDH($C$178,"TOT_DEBT_TO_TOT_CAP","FQ1 2017","FQ1 2017","Currency=INR","Period=FQ","BEST_FPERIOD_OVERRIDE=FQ","FILING_STATUS=OR","EQY_CONSOLIDATED=Y","Sort=A","Dates=H","DateFormat=P","Fill=—","Direction=H","UseDPDF=Y")</f>
        <v>#NAME?</v>
      </c>
      <c r="CM194" s="2" t="e">
        <f ca="1">_xll.BDH($C$178,"TOT_DEBT_TO_TOT_ASSET","FQ1 2017","FQ1 2017","Currency=INR","Period=FQ","BEST_FPERIOD_OVERRIDE=FQ","FILING_STATUS=OR","EQY_CONSOLIDATED=Y","Sort=A","Dates=H","DateFormat=P","Fill=—","Direction=H","UseDPDF=Y")</f>
        <v>#NAME?</v>
      </c>
      <c r="CN194" s="2" t="e">
        <f ca="1">_xll.BDH($C$178,"NET_DEBT_TO_SHRHLDR_EQTY","FQ1 2017","FQ1 2017","Currency=INR","Period=FQ","BEST_FPERIOD_OVERRIDE=FQ","FILING_STATUS=OR","EQY_CONSOLIDATED=Y","Sort=A","Dates=H","DateFormat=P","Fill=—","Direction=H","UseDPDF=Y")</f>
        <v>#NAME?</v>
      </c>
      <c r="CO194" s="2" t="e">
        <f ca="1">_xll.BDH($C$178,"NET_DEBT_%_CAPITAL","FQ1 2017","FQ1 2017","Currency=INR","Period=FQ","BEST_FPERIOD_OVERRIDE=FQ","FILING_STATUS=OR","EQY_CONSOLIDATED=Y","Sort=A","Dates=H","DateFormat=P","Fill=—","Direction=H","UseDPDF=Y")</f>
        <v>#NAME?</v>
      </c>
      <c r="CP194" s="3" t="e">
        <f ca="1">_xll.BDH($C$178,"EBITDA","FQ1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194" s="3" t="e">
        <f ca="1">_xll.BDH($C$178,"EBITDA_AFTER_CAPEX","FQ1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194" s="3" t="e">
        <f ca="1">_xll.BDH($C$178,"IS_OPER_INC","FQ1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194" s="2" t="e">
        <f ca="1">_xll.BDH($C$178,"CASH_RATIO","FQ1 2017","FQ1 2017","Currency=INR","Period=FQ","BEST_FPERIOD_OVERRIDE=FQ","FILING_STATUS=OR","EQY_CONSOLIDATED=Y","Sort=A","Dates=H","DateFormat=P","Fill=—","Direction=H","UseDPDF=Y")</f>
        <v>#NAME?</v>
      </c>
      <c r="CT194" s="2" t="e">
        <f ca="1">_xll.BDH($C$178,"CUR_RATIO","FQ1 2017","FQ1 2017","Currency=INR","Period=FQ","BEST_FPERIOD_OVERRIDE=FQ","FILING_STATUS=OR","EQY_CONSOLIDATED=Y","Sort=A","Dates=H","DateFormat=P","Fill=—","Direction=H","UseDPDF=Y")</f>
        <v>#NAME?</v>
      </c>
      <c r="CU194" s="2" t="e">
        <f ca="1">_xll.BDH($C$178,"QUICK_RATIO","FQ1 2017","FQ1 2017","Currency=INR","Period=FQ","BEST_FPERIOD_OVERRIDE=FQ","FILING_STATUS=OR","EQY_CONSOLIDATED=Y","Sort=A","Dates=H","DateFormat=P","Fill=—","Direction=H","UseDPDF=Y")</f>
        <v>#NAME?</v>
      </c>
      <c r="CV194" s="2" t="e">
        <f ca="1">_xll.BDH($C$178,"ALTMAN_Z_SCORE","FQ1 2017","FQ1 2017","Currency=INR","Period=FQ","BEST_FPERIOD_OVERRIDE=FQ","FILING_STATUS=OR","EQY_CONSOLIDATED=Y","Sort=A","Dates=H","DateFormat=P","Fill=—","Direction=H","UseDPDF=Y")</f>
        <v>#NAME?</v>
      </c>
      <c r="CW194" s="4" t="e">
        <f ca="1">_xll.BDH($C$178,"ACCT_RCV_TURN","FQ1 2017","FQ1 2017","Currency=INR","Period=FQ","BEST_FPERIOD_OVERRIDE=FQ","FILING_STATUS=OR","EQY_CONSOLIDATED=Y","FA_ADJUSTED=GAAP","Sort=A","Dates=H","DateFormat=P","Fill=—","Direction=H","UseDPDF=Y")</f>
        <v>#NAME?</v>
      </c>
      <c r="CX194" s="2" t="e">
        <f ca="1">_xll.BDH($C$178,"ACCT_RCV_DAYS","FQ1 2017","FQ1 2017","Currency=INR","Period=FQ","BEST_FPERIOD_OVERRIDE=FQ","FILING_STATUS=OR","EQY_CONSOLIDATED=Y","FA_ADJUSTED=GAAP","Sort=A","Dates=H","DateFormat=P","Fill=—","Direction=H","UseDPDF=Y")</f>
        <v>#NAME?</v>
      </c>
      <c r="CY194" s="4" t="e">
        <f ca="1">_xll.BDH($C$178,"INVENT_TURN","FQ1 2017","FQ1 2017","Currency=INR","Period=FQ","BEST_FPERIOD_OVERRIDE=FQ","FILING_STATUS=OR","EQY_CONSOLIDATED=Y","FA_ADJUSTED=GAAP","Sort=A","Dates=H","DateFormat=P","Fill=—","Direction=H","UseDPDF=Y")</f>
        <v>#NAME?</v>
      </c>
      <c r="CZ194" s="2" t="e">
        <f ca="1">_xll.BDH($C$178,"INVENT_DAYS","FQ1 2017","FQ1 2017","Currency=INR","Period=FQ","BEST_FPERIOD_OVERRIDE=FQ","FILING_STATUS=OR","EQY_CONSOLIDATED=Y","FA_ADJUSTED=GAAP","Sort=A","Dates=H","DateFormat=P","Fill=—","Direction=H","UseDPDF=Y")</f>
        <v>#NAME?</v>
      </c>
      <c r="DA194" s="4" t="e">
        <f ca="1">_xll.BDH($C$178,"ACCOUNTS_PAYABLE_TURNOVER","FQ1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194" s="2" t="e">
        <f ca="1">_xll.BDH($C$178,"ACCOUNTS_PAYABLE_TURNOVER_DAYS","FQ1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194" s="4" t="e">
        <f ca="1">_xll.BDH($C$178,"CASH_CONVERSION_CYCLE","FQ1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194" s="4" t="e">
        <f ca="1">_xll.BDH($C$178,"INV_TO_CASH_DAYS","FQ1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194" s="5" t="e">
        <f ca="1">_xll.BDH($C$178,"BS_INVENTORIES","FQ1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194" s="3" t="e">
        <f ca="1">_xll.BDH($C$178,"INVTRY_RAW_MATERIALS","FQ1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194" s="3" t="e">
        <f ca="1">_xll.BDH($C$178,"INVTRY_IN_PROGRESS","FQ1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194" s="3" t="e">
        <f ca="1">_xll.BDH($C$178,"INVTRY_FINISHED_GOODS","FQ1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194" s="3" t="e">
        <f ca="1">_xll.BDH($C$178,"BS_OTHER_INV","FQ1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195" spans="1:113" x14ac:dyDescent="0.3">
      <c r="A195" s="6"/>
      <c r="B195" s="6"/>
      <c r="C195" s="6"/>
      <c r="D195" s="6"/>
      <c r="E195" t="s">
        <v>79</v>
      </c>
      <c r="F195" t="e">
        <f ca="1">_xll.BDH($C$178,"RETURN_COM_EQY","FQ2 2017","FQ2 2017","Currency=INR","Period=FQ","BEST_FPERIOD_OVERRIDE=FQ","FILING_STATUS=OR","EQY_CONSOLIDATED=Y","FA_ADJUSTED=GAAP","Sort=A","Dates=H","DateFormat=P","Fill=—","Direction=H","UseDPDF=Y")</f>
        <v>#NAME?</v>
      </c>
      <c r="G195" t="e">
        <f ca="1">_xll.BDH($C$178,"RETURN_ON_ASSET","FQ2 2017","FQ2 2017","Currency=INR","Period=FQ","BEST_FPERIOD_OVERRIDE=FQ","FILING_STATUS=OR","EQY_CONSOLIDATED=Y","FA_ADJUSTED=GAAP","Sort=A","Dates=H","DateFormat=P","Fill=—","Direction=H","UseDPDF=Y")</f>
        <v>#NAME?</v>
      </c>
      <c r="H195" t="e">
        <f ca="1">_xll.BDH($C$178,"RETURN_ON_CAP","FQ2 2017","FQ2 2017","Currency=INR","Period=FQ","BEST_FPERIOD_OVERRIDE=FQ","FILING_STATUS=OR","EQY_CONSOLIDATED=Y","FA_ADJUSTED=GAAP","Sort=A","Dates=H","DateFormat=P","Fill=—","Direction=H","UseDPDF=Y")</f>
        <v>#NAME?</v>
      </c>
      <c r="I195" t="e">
        <f ca="1">_xll.BDH($C$178,"RETURN_ON_INV_CAPITAL","FQ2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195" t="e">
        <f ca="1">_xll.BDH($C$178,"EBITDA_TO_REVENUE","FQ2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195" t="e">
        <f ca="1">_xll.BDH($C$178,"OPER_MARGIN","FQ2 2017","FQ2 2017","Currency=INR","Period=FQ","BEST_FPERIOD_OVERRIDE=FQ","FILING_STATUS=OR","EQY_CONSOLIDATED=Y","FA_ADJUSTED=GAAP","Sort=A","Dates=H","DateFormat=P","Fill=—","Direction=H","UseDPDF=Y")</f>
        <v>#NAME?</v>
      </c>
      <c r="L195" t="e">
        <f ca="1">_xll.BDH($C$178,"INCREMENTAL_OPERATING_MARGIN","FQ2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195" t="e">
        <f ca="1">_xll.BDH($C$178,"PRETAX_INC_TO_NET_SALES","FQ2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195" t="e">
        <f ca="1">_xll.BDH($C$178,"INC_BEF_XO_ITEMS_TO_NET_SALES","FQ2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195" t="e">
        <f ca="1">_xll.BDH($C$178,"PROF_MARGIN","FQ2 2017","FQ2 2017","Currency=INR","Period=FQ","BEST_FPERIOD_OVERRIDE=FQ","FILING_STATUS=OR","EQY_CONSOLIDATED=Y","FA_ADJUSTED=GAAP","Sort=A","Dates=H","DateFormat=P","Fill=—","Direction=H","UseDPDF=Y")</f>
        <v>#NAME?</v>
      </c>
      <c r="P195" t="e">
        <f ca="1">_xll.BDH($C$178,"NET_INCOME_TO_COMMON_MARGIN","FQ2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195" t="e">
        <f ca="1">_xll.BDH($C$178,"EFF_TAX_RATE","FQ2 2017","FQ2 2017","Currency=INR","Period=FQ","BEST_FPERIOD_OVERRIDE=FQ","FILING_STATUS=OR","EQY_CONSOLIDATED=Y","FA_ADJUSTED=GAAP","Sort=A","Dates=H","DateFormat=P","Fill=—","Direction=H","UseDPDF=Y")</f>
        <v>#NAME?</v>
      </c>
      <c r="R195" t="e">
        <f ca="1">_xll.BDH($C$178,"DVD_PAYOUT_RATIO","FQ2 2017","FQ2 2017","Currency=INR","Period=FQ","BEST_FPERIOD_OVERRIDE=FQ","FILING_STATUS=OR","EQY_CONSOLIDATED=Y","FA_ADJUSTED=GAAP","Sort=A","Dates=H","DateFormat=P","Fill=—","Direction=H","UseDPDF=Y")</f>
        <v>#NAME?</v>
      </c>
      <c r="S195" t="e">
        <f ca="1">_xll.BDH($C$178,"SUSTAIN_GROWTH_RT","FQ2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195" s="2" t="e">
        <f ca="1">_xll.BDH($C$178,"SALES_GROWTH","FQ2 2017","FQ2 2017","Currency=INR","Period=FQ","BEST_FPERIOD_OVERRIDE=FQ","FILING_STATUS=OR","EQY_CONSOLIDATED=Y","FA_ADJUSTED=GAAP","Sort=A","Dates=H","DateFormat=P","Fill=—","Direction=H","UseDPDF=Y")</f>
        <v>#NAME?</v>
      </c>
      <c r="U195" s="2" t="e">
        <f ca="1">_xll.BDH($C$178,"EBITDA_GROWTH","FQ2 2017","FQ2 2017","Currency=INR","Period=FQ","BEST_FPERIOD_OVERRIDE=FQ","FILING_STATUS=OR","EQY_CONSOLIDATED=Y","FA_ADJUSTED=GAAP","Sort=A","Dates=H","DateFormat=P","Fill=—","Direction=H","UseDPDF=Y")</f>
        <v>#NAME?</v>
      </c>
      <c r="V195" s="2" t="e">
        <f ca="1">_xll.BDH($C$178,"OPER_INC_GROWTH","FQ2 2017","FQ2 2017","Currency=INR","Period=FQ","BEST_FPERIOD_OVERRIDE=FQ","FILING_STATUS=OR","EQY_CONSOLIDATED=Y","FA_ADJUSTED=GAAP","Sort=A","Dates=H","DateFormat=P","Fill=—","Direction=H","UseDPDF=Y")</f>
        <v>#NAME?</v>
      </c>
      <c r="W195" s="2" t="e">
        <f ca="1">_xll.BDH($C$178,"EARN_FOR_COM_GROWTH","FQ2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195" s="2" t="e">
        <f ca="1">_xll.BDH($C$178,"DILUTED_EPS_AFT_XO_ITEMS_GROWTH","FQ2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195" s="2" t="e">
        <f ca="1">_xll.BDH($C$178,"DIVIDEND_PER_SHARE_1_YEAR_GROWTH","FQ2 2017","FQ2 2017","Currency=INR","Period=FQ","BEST_FPERIOD_OVERRIDE=FQ","FILING_STATUS=OR","EQY_CONSOLIDATED=Y","Sort=A","Dates=H","DateFormat=P","Fill=—","Direction=H","UseDPDF=Y")</f>
        <v>#NAME?</v>
      </c>
      <c r="Z195" s="2" t="e">
        <f ca="1">_xll.BDH($C$178,"ACCOUNTS_RECEIVABLE_GROWTH","FQ2 2017","FQ2 2017","Currency=INR","Period=FQ","BEST_FPERIOD_OVERRIDE=FQ","FILING_STATUS=OR","EQY_CONSOLIDATED=Y","Sort=A","Dates=H","DateFormat=P","Fill=—","Direction=H","UseDPDF=Y")</f>
        <v>#NAME?</v>
      </c>
      <c r="AA195" s="2" t="e">
        <f ca="1">_xll.BDH($C$178,"INVENTORY_GROWTH","FQ2 2017","FQ2 2017","Currency=INR","Period=FQ","BEST_FPERIOD_OVERRIDE=FQ","FILING_STATUS=OR","EQY_CONSOLIDATED=Y","Sort=A","Dates=H","DateFormat=P","Fill=—","Direction=H","UseDPDF=Y")</f>
        <v>#NAME?</v>
      </c>
      <c r="AB195" s="2" t="e">
        <f ca="1">_xll.BDH($C$178,"NET_FIXED_ASSETS_1_YEAR_GROWTH","FQ2 2017","FQ2 2017","Currency=INR","Period=FQ","BEST_FPERIOD_OVERRIDE=FQ","FILING_STATUS=OR","EQY_CONSOLIDATED=Y","Sort=A","Dates=H","DateFormat=P","Fill=—","Direction=H","UseDPDF=Y")</f>
        <v>#NAME?</v>
      </c>
      <c r="AC195" s="2" t="e">
        <f ca="1">_xll.BDH($C$178,"ASSET_GROWTH","FQ2 2017","FQ2 2017","Currency=INR","Period=FQ","BEST_FPERIOD_OVERRIDE=FQ","FILING_STATUS=OR","EQY_CONSOLIDATED=Y","Sort=A","Dates=H","DateFormat=P","Fill=—","Direction=H","UseDPDF=Y")</f>
        <v>#NAME?</v>
      </c>
      <c r="AD195" s="2" t="e">
        <f ca="1">_xll.BDH($C$178,"MODIFIED_WORK_CAP_GROWTH","FQ2 2017","FQ2 2017","Currency=INR","Period=FQ","BEST_FPERIOD_OVERRIDE=FQ","FILING_STATUS=OR","EQY_CONSOLIDATED=Y","Sort=A","Dates=H","DateFormat=P","Fill=—","Direction=H","UseDPDF=Y")</f>
        <v>#NAME?</v>
      </c>
      <c r="AE195" s="2" t="e">
        <f ca="1">_xll.BDH($C$178,"WORK_CAP_GROWTH","FQ2 2017","FQ2 2017","Currency=INR","Period=FQ","BEST_FPERIOD_OVERRIDE=FQ","FILING_STATUS=OR","EQY_CONSOLIDATED=Y","Sort=A","Dates=H","DateFormat=P","Fill=—","Direction=H","UseDPDF=Y")</f>
        <v>#NAME?</v>
      </c>
      <c r="AF195" s="2" t="e">
        <f ca="1">_xll.BDH($C$178,"ACCOUNTS_PAYABLE_GROWTH_1YR","FQ2 2017","FQ2 2017","Currency=INR","Period=FQ","BEST_FPERIOD_OVERRIDE=FQ","FILING_STATUS=OR","EQY_CONSOLIDATED=Y","Sort=A","Dates=H","DateFormat=P","Fill=—","Direction=H","UseDPDF=Y")</f>
        <v>#NAME?</v>
      </c>
      <c r="AG195" s="2" t="e">
        <f ca="1">_xll.BDH($C$178,"SHORT_TERM_DEBT_1_YEAR_GROWTH","FQ2 2017","FQ2 2017","Currency=INR","Period=FQ","BEST_FPERIOD_OVERRIDE=FQ","FILING_STATUS=OR","EQY_CONSOLIDATED=Y","Sort=A","Dates=H","DateFormat=P","Fill=—","Direction=H","UseDPDF=Y")</f>
        <v>#NAME?</v>
      </c>
      <c r="AH195" s="2" t="e">
        <f ca="1">_xll.BDH($C$178,"TOTAL_DEBT_1_YEAR_GROWTH","FQ2 2017","FQ2 2017","Currency=INR","Period=FQ","BEST_FPERIOD_OVERRIDE=FQ","FILING_STATUS=OR","EQY_CONSOLIDATED=Y","Sort=A","Dates=H","DateFormat=P","Fill=—","Direction=H","UseDPDF=Y")</f>
        <v>#NAME?</v>
      </c>
      <c r="AI195" s="2" t="e">
        <f ca="1">_xll.BDH($C$178,"TOTAL_EQUITY_1_YEAR_GROWTH","FQ2 2017","FQ2 2017","Currency=INR","Period=FQ","BEST_FPERIOD_OVERRIDE=FQ","FILING_STATUS=OR","EQY_CONSOLIDATED=Y","Sort=A","Dates=H","DateFormat=P","Fill=—","Direction=H","UseDPDF=Y")</f>
        <v>#NAME?</v>
      </c>
      <c r="AJ195" s="2" t="e">
        <f ca="1">_xll.BDH($C$178,"GROWTH_IN_CAP","FQ2 2017","FQ2 2017","Currency=INR","Period=FQ","BEST_FPERIOD_OVERRIDE=FQ","FILING_STATUS=OR","EQY_CONSOLIDATED=Y","Sort=A","Dates=H","DateFormat=P","Fill=—","Direction=H","UseDPDF=Y")</f>
        <v>#NAME?</v>
      </c>
      <c r="AK195" s="2" t="e">
        <f ca="1">_xll.BDH($C$178,"BVPS_GROWTH","FQ2 2017","FQ2 2017","Currency=INR","Period=FQ","BEST_FPERIOD_OVERRIDE=FQ","FILING_STATUS=OR","EQY_CONSOLIDATED=Y","Sort=A","Dates=H","DateFormat=P","Fill=—","Direction=H","UseDPDF=Y")</f>
        <v>#NAME?</v>
      </c>
      <c r="AL195" s="2" t="e">
        <f ca="1">_xll.BDH($C$178,"CASH_FLOW_GROWTH","FQ2 2017","FQ2 2017","Currency=INR","Period=FQ","BEST_FPERIOD_OVERRIDE=FQ","FILING_STATUS=OR","EQY_CONSOLIDATED=Y","Sort=A","Dates=H","DateFormat=P","Fill=—","Direction=H","UseDPDF=Y")</f>
        <v>#NAME?</v>
      </c>
      <c r="AM195" s="2" t="e">
        <f ca="1">_xll.BDH($C$178,"GEO_GROW_NET_SALES","FQ2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195" s="2" t="e">
        <f ca="1">_xll.BDH($C$178,"GEO_GROW_EBITDA","FQ2 2017","FQ2 2017","Currency=INR","Period=FQ","BEST_FPERIOD_OVERRIDE=FQ","FILING_STATUS=OR","EQY_CONSOLIDATED=Y","FA_ADJUSTED=GAAP","Sort=A","Dates=H","DateFormat=P","Fill=—","Direction=H","UseDPDF=Y")</f>
        <v>#NAME?</v>
      </c>
      <c r="AO195" s="2" t="e">
        <f ca="1">_xll.BDH($C$178,"GEO_GROW_OPER_INC","FQ2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195" s="2" t="e">
        <f ca="1">_xll.BDH($C$178,"NET_INCOME_TO_COMMON_5_YR_GROWTH","FQ2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195" s="2" t="e">
        <f ca="1">_xll.BDH($C$178,"5Y_GEO_GROWTH_DILUTED_EPS","FQ2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195" s="2" t="e">
        <f ca="1">_xll.BDH($C$178,"GEO_GROW_DVD_PER_SH","FQ2 2017","FQ2 2017","Currency=INR","Period=FQ","BEST_FPERIOD_OVERRIDE=FQ","FILING_STATUS=OR","EQY_CONSOLIDATED=Y","Sort=A","Dates=H","DateFormat=P","Fill=—","Direction=H","UseDPDF=Y")</f>
        <v>#NAME?</v>
      </c>
      <c r="AS195" s="2" t="e">
        <f ca="1">_xll.BDH($C$178,"ACCOUNTS_RECEIVABLE_5_YR_GROWTH","FQ2 2017","FQ2 2017","Currency=INR","Period=FQ","BEST_FPERIOD_OVERRIDE=FQ","FILING_STATUS=OR","EQY_CONSOLIDATED=Y","Sort=A","Dates=H","DateFormat=P","Fill=—","Direction=H","UseDPDF=Y")</f>
        <v>#NAME?</v>
      </c>
      <c r="AT195" s="2" t="e">
        <f ca="1">_xll.BDH($C$178,"INVENTORY_5_YEAR_GROWTH","FQ2 2017","FQ2 2017","Currency=INR","Period=FQ","BEST_FPERIOD_OVERRIDE=FQ","FILING_STATUS=OR","EQY_CONSOLIDATED=Y","Sort=A","Dates=H","DateFormat=P","Fill=—","Direction=H","UseDPDF=Y")</f>
        <v>#NAME?</v>
      </c>
      <c r="AU195" s="2" t="e">
        <f ca="1">_xll.BDH($C$178,"NET_FIXED_ASSETS_5_YEAR_GROWTH","FQ2 2017","FQ2 2017","Currency=INR","Period=FQ","BEST_FPERIOD_OVERRIDE=FQ","FILING_STATUS=OR","EQY_CONSOLIDATED=Y","Sort=A","Dates=H","DateFormat=P","Fill=—","Direction=H","UseDPDF=Y")</f>
        <v>#NAME?</v>
      </c>
      <c r="AV195" s="2" t="e">
        <f ca="1">_xll.BDH($C$178,"GEO_GROW_TOT_ASSET","FQ2 2017","FQ2 2017","Currency=INR","Period=FQ","BEST_FPERIOD_OVERRIDE=FQ","FILING_STATUS=OR","EQY_CONSOLIDATED=Y","Sort=A","Dates=H","DateFormat=P","Fill=—","Direction=H","UseDPDF=Y")</f>
        <v>#NAME?</v>
      </c>
      <c r="AW195" s="2" t="e">
        <f ca="1">_xll.BDH($C$178,"MODIFIED_WORKING_CPTL_5YR_GRWTH","FQ2 2017","FQ2 2017","Currency=INR","Period=FQ","BEST_FPERIOD_OVERRIDE=FQ","FILING_STATUS=OR","EQY_CONSOLIDATED=Y","Sort=A","Dates=H","DateFormat=P","Fill=—","Direction=H","UseDPDF=Y")</f>
        <v>#NAME?</v>
      </c>
      <c r="AX195" s="2" t="e">
        <f ca="1">_xll.BDH($C$178,"WORKING_CAPITAL_5_YEAR_GROWTH","FQ2 2017","FQ2 2017","Currency=INR","Period=FQ","BEST_FPERIOD_OVERRIDE=FQ","FILING_STATUS=OR","EQY_CONSOLIDATED=Y","Sort=A","Dates=H","DateFormat=P","Fill=—","Direction=H","UseDPDF=Y")</f>
        <v>#NAME?</v>
      </c>
      <c r="AY195" s="2" t="e">
        <f ca="1">_xll.BDH($C$178,"ACCOUNTS_PAYABLE_5_YEAR_GROWTH","FQ2 2017","FQ2 2017","Currency=INR","Period=FQ","BEST_FPERIOD_OVERRIDE=FQ","FILING_STATUS=OR","EQY_CONSOLIDATED=Y","Sort=A","Dates=H","DateFormat=P","Fill=—","Direction=H","UseDPDF=Y")</f>
        <v>#NAME?</v>
      </c>
      <c r="AZ195" s="2" t="e">
        <f ca="1">_xll.BDH($C$178,"SHORT_TERM_DEBT_5_YEAR_GROWTH","FQ2 2017","FQ2 2017","Currency=INR","Period=FQ","BEST_FPERIOD_OVERRIDE=FQ","FILING_STATUS=OR","EQY_CONSOLIDATED=Y","Sort=A","Dates=H","DateFormat=P","Fill=—","Direction=H","UseDPDF=Y")</f>
        <v>#NAME?</v>
      </c>
      <c r="BA195" s="2" t="e">
        <f ca="1">_xll.BDH($C$178,"TOTAL_DEBT_5_YEAR_GROWTH","FQ2 2017","FQ2 2017","Currency=INR","Period=FQ","BEST_FPERIOD_OVERRIDE=FQ","FILING_STATUS=OR","EQY_CONSOLIDATED=Y","Sort=A","Dates=H","DateFormat=P","Fill=—","Direction=H","UseDPDF=Y")</f>
        <v>#NAME?</v>
      </c>
      <c r="BB195" s="2" t="e">
        <f ca="1">_xll.BDH($C$178,"GEO_GROW_TOT_SHRHLDR_EQY","FQ2 2017","FQ2 2017","Currency=INR","Period=FQ","BEST_FPERIOD_OVERRIDE=FQ","FILING_STATUS=OR","EQY_CONSOLIDATED=Y","Sort=A","Dates=H","DateFormat=P","Fill=—","Direction=H","UseDPDF=Y")</f>
        <v>#NAME?</v>
      </c>
      <c r="BC195" s="2" t="e">
        <f ca="1">_xll.BDH($C$178,"TOTAL_CAPITAL_5_YEAR_GROWTH","FQ2 2017","FQ2 2017","Currency=INR","Period=FQ","BEST_FPERIOD_OVERRIDE=FQ","FILING_STATUS=OR","EQY_CONSOLIDATED=Y","Sort=A","Dates=H","DateFormat=P","Fill=—","Direction=H","UseDPDF=Y")</f>
        <v>#NAME?</v>
      </c>
      <c r="BD195" s="2" t="e">
        <f ca="1">_xll.BDH($C$178,"GEO_GROW_BOOK_VAL","FQ2 2017","FQ2 2017","Currency=INR","Period=FQ","BEST_FPERIOD_OVERRIDE=FQ","FILING_STATUS=OR","EQY_CONSOLIDATED=Y","Sort=A","Dates=H","DateFormat=P","Fill=—","Direction=H","UseDPDF=Y")</f>
        <v>#NAME?</v>
      </c>
      <c r="BE195" s="2" t="e">
        <f ca="1">_xll.BDH($C$178,"GEO_GROW_CASH_OPER_ACT","FQ2 2017","FQ2 2017","Currency=INR","Period=FQ","BEST_FPERIOD_OVERRIDE=FQ","FILING_STATUS=OR","EQY_CONSOLIDATED=Y","Sort=A","Dates=H","DateFormat=P","Fill=—","Direction=H","UseDPDF=Y")</f>
        <v>#NAME?</v>
      </c>
      <c r="BF195" s="2" t="e">
        <f ca="1">_xll.BDH($C$178,"REVENUE_SEQUENTIAL_GROWTH","FQ2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195" s="2" t="e">
        <f ca="1">_xll.BDH($C$178,"EBITDA_SEQUENTIAL_GROWTH","FQ2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195" s="2" t="e">
        <f ca="1">_xll.BDH($C$178,"OPERATING_INCOME_SEQ_GROWTH","FQ2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195" s="2" t="e">
        <f ca="1">_xll.BDH($C$178,"NET_INCOME_TO_COMMON_SEQ_GROWTH","FQ2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195" s="2" t="e">
        <f ca="1">_xll.BDH($C$178,"EPS_DILUTED_SEQUENTIAL_GROWTH","FQ2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195" s="2" t="e">
        <f ca="1">_xll.BDH($C$178,"DPS_SEQUENTIAL_GROWTH","FQ2 2017","FQ2 2017","Currency=INR","Period=FQ","BEST_FPERIOD_OVERRIDE=FQ","FILING_STATUS=OR","EQY_CONSOLIDATED=Y","Sort=A","Dates=H","DateFormat=P","Fill=—","Direction=H","UseDPDF=Y")</f>
        <v>#NAME?</v>
      </c>
      <c r="BL195" s="2" t="e">
        <f ca="1">_xll.BDH($C$178,"ACCOUNTS_RECEIVABLE_SEQ_GROWTH","FQ2 2017","FQ2 2017","Currency=INR","Period=FQ","BEST_FPERIOD_OVERRIDE=FQ","FILING_STATUS=OR","EQY_CONSOLIDATED=Y","Sort=A","Dates=H","DateFormat=P","Fill=—","Direction=H","UseDPDF=Y")</f>
        <v>#NAME?</v>
      </c>
      <c r="BM195" s="2" t="e">
        <f ca="1">_xll.BDH($C$178,"INVENTORY_SEQUENTIAL_GROWTH","FQ2 2017","FQ2 2017","Currency=INR","Period=FQ","BEST_FPERIOD_OVERRIDE=FQ","FILING_STATUS=OR","EQY_CONSOLIDATED=Y","Sort=A","Dates=H","DateFormat=P","Fill=—","Direction=H","UseDPDF=Y")</f>
        <v>#NAME?</v>
      </c>
      <c r="BN195" s="2" t="e">
        <f ca="1">_xll.BDH($C$178,"FIXED_ASSETS_SEQUENTIAL_GROWTH","FQ2 2017","FQ2 2017","Currency=INR","Period=FQ","BEST_FPERIOD_OVERRIDE=FQ","FILING_STATUS=OR","EQY_CONSOLIDATED=Y","Sort=A","Dates=H","DateFormat=P","Fill=—","Direction=H","UseDPDF=Y")</f>
        <v>#NAME?</v>
      </c>
      <c r="BO195" s="2" t="e">
        <f ca="1">_xll.BDH($C$178,"TOTAL_ASSETS_SEQUENTIAL_GROWTH","FQ2 2017","FQ2 2017","Currency=INR","Period=FQ","BEST_FPERIOD_OVERRIDE=FQ","FILING_STATUS=OR","EQY_CONSOLIDATED=Y","Sort=A","Dates=H","DateFormat=P","Fill=—","Direction=H","UseDPDF=Y")</f>
        <v>#NAME?</v>
      </c>
      <c r="BP195" s="2" t="e">
        <f ca="1">_xll.BDH($C$178,"MODIFIED_WORKING_CPTL_SEQ_GRWTH","FQ2 2017","FQ2 2017","Currency=INR","Period=FQ","BEST_FPERIOD_OVERRIDE=FQ","FILING_STATUS=OR","EQY_CONSOLIDATED=Y","Sort=A","Dates=H","DateFormat=P","Fill=—","Direction=H","UseDPDF=Y")</f>
        <v>#NAME?</v>
      </c>
      <c r="BQ195" s="2" t="e">
        <f ca="1">_xll.BDH($C$178,"WORKING_CAPITAL_SEQ_GROWTH","FQ2 2017","FQ2 2017","Currency=INR","Period=FQ","BEST_FPERIOD_OVERRIDE=FQ","FILING_STATUS=OR","EQY_CONSOLIDATED=Y","Sort=A","Dates=H","DateFormat=P","Fill=—","Direction=H","UseDPDF=Y")</f>
        <v>#NAME?</v>
      </c>
      <c r="BR195" s="2" t="e">
        <f ca="1">_xll.BDH($C$178,"ACCOUNTS_PAYABLE_SEQ_GROWTH","FQ2 2017","FQ2 2017","Currency=INR","Period=FQ","BEST_FPERIOD_OVERRIDE=FQ","FILING_STATUS=OR","EQY_CONSOLIDATED=Y","Sort=A","Dates=H","DateFormat=P","Fill=—","Direction=H","UseDPDF=Y")</f>
        <v>#NAME?</v>
      </c>
      <c r="BS195" s="2" t="e">
        <f ca="1">_xll.BDH($C$178,"ST_DEBT_SEQUENTIAL_GROWTH","FQ2 2017","FQ2 2017","Currency=INR","Period=FQ","BEST_FPERIOD_OVERRIDE=FQ","FILING_STATUS=OR","EQY_CONSOLIDATED=Y","Sort=A","Dates=H","DateFormat=P","Fill=—","Direction=H","UseDPDF=Y")</f>
        <v>#NAME?</v>
      </c>
      <c r="BT195" s="2" t="e">
        <f ca="1">_xll.BDH($C$178,"TOTAL_DEBT_SEQUENTIAL_GROWTH","FQ2 2017","FQ2 2017","Currency=INR","Period=FQ","BEST_FPERIOD_OVERRIDE=FQ","FILING_STATUS=OR","EQY_CONSOLIDATED=Y","Sort=A","Dates=H","DateFormat=P","Fill=—","Direction=H","UseDPDF=Y")</f>
        <v>#NAME?</v>
      </c>
      <c r="BU195" s="2" t="e">
        <f ca="1">_xll.BDH($C$178,"TOTAL_EQUITY_SEQUENTIAL_GROWTH","FQ2 2017","FQ2 2017","Currency=INR","Period=FQ","BEST_FPERIOD_OVERRIDE=FQ","FILING_STATUS=OR","EQY_CONSOLIDATED=Y","Sort=A","Dates=H","DateFormat=P","Fill=—","Direction=H","UseDPDF=Y")</f>
        <v>#NAME?</v>
      </c>
      <c r="BV195" s="2" t="e">
        <f ca="1">_xll.BDH($C$178,"TOTAL_CAPITAL_SEQUENTIAL_GROWTH","FQ2 2017","FQ2 2017","Currency=INR","Period=FQ","BEST_FPERIOD_OVERRIDE=FQ","FILING_STATUS=OR","EQY_CONSOLIDATED=Y","Sort=A","Dates=H","DateFormat=P","Fill=—","Direction=H","UseDPDF=Y")</f>
        <v>#NAME?</v>
      </c>
      <c r="BW195" s="2" t="e">
        <f ca="1">_xll.BDH($C$178,"BPS_SEQUENTIAL_GROWTH","FQ2 2017","FQ2 2017","Currency=INR","Period=FQ","BEST_FPERIOD_OVERRIDE=FQ","FILING_STATUS=OR","EQY_CONSOLIDATED=Y","Sort=A","Dates=H","DateFormat=P","Fill=—","Direction=H","UseDPDF=Y")</f>
        <v>#NAME?</v>
      </c>
      <c r="BX195" s="2" t="e">
        <f ca="1">_xll.BDH($C$178,"CFO_SEQUENTIAL_GROWTH","FQ2 2017","FQ2 2017","Currency=INR","Period=FQ","BEST_FPERIOD_OVERRIDE=FQ","FILING_STATUS=OR","EQY_CONSOLIDATED=Y","Sort=A","Dates=H","DateFormat=P","Fill=—","Direction=H","UseDPDF=Y")</f>
        <v>#NAME?</v>
      </c>
      <c r="BY195" s="3" t="e">
        <f ca="1">_xll.BDH($C$178,"SHORT_AND_LONG_TERM_DEBT","FQ2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195" s="3" t="e">
        <f ca="1">_xll.BDH($C$178,"BS_ST_BORROW","FQ2 2017","FQ2 2017","Currency=INR","Period=FQ","BEST_FPERIOD_OVERRIDE=FQ","FILING_STATUS=OR","EQY_CONSOLIDATED=Y","SCALING_FORMAT=MLN","Sort=A","Dates=H","DateFormat=P","Fill=—","Direction=H","UseDPDF=Y")</f>
        <v>#NAME?</v>
      </c>
      <c r="CA195" s="3" t="e">
        <f ca="1">_xll.BDH($C$178,"BS_LT_BORROW","FQ2 2017","FQ2 2017","Currency=INR","Period=FQ","BEST_FPERIOD_OVERRIDE=FQ","FILING_STATUS=OR","EQY_CONSOLIDATED=Y","SCALING_FORMAT=MLN","Sort=A","Dates=H","DateFormat=P","Fill=—","Direction=H","UseDPDF=Y")</f>
        <v>#NAME?</v>
      </c>
      <c r="CB195" s="2" t="e">
        <f ca="1">_xll.BDH($C$178,"TOT_DEBT_TO_EBITDA","FQ2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195" s="2" t="e">
        <f ca="1">_xll.BDH($C$178,"NET_DEBT_TO_EBITDA","FQ2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195" s="2" t="e">
        <f ca="1">_xll.BDH($C$178,"TOTAL_DEBT_TO_EBIT","FQ2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195" s="2" t="e">
        <f ca="1">_xll.BDH($C$178,"NET_DEBT_TO_EBIT","FQ2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195" s="2" t="e">
        <f ca="1">_xll.BDH($C$178,"EBITDA_TO_INTEREST_EXPN","FQ2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195" s="2" t="e">
        <f ca="1">_xll.BDH($C$178,"COM_EQY_TO_TOT_ASSET","FQ2 2017","FQ2 2017","Currency=INR","Period=FQ","BEST_FPERIOD_OVERRIDE=FQ","FILING_STATUS=OR","EQY_CONSOLIDATED=Y","Sort=A","Dates=H","DateFormat=P","Fill=—","Direction=H","UseDPDF=Y")</f>
        <v>#NAME?</v>
      </c>
      <c r="CH195" s="2" t="e">
        <f ca="1">_xll.BDH($C$178,"LT_DEBT_TO_TOT_EQY","FQ2 2017","FQ2 2017","Currency=INR","Period=FQ","BEST_FPERIOD_OVERRIDE=FQ","FILING_STATUS=OR","EQY_CONSOLIDATED=Y","Sort=A","Dates=H","DateFormat=P","Fill=—","Direction=H","UseDPDF=Y")</f>
        <v>#NAME?</v>
      </c>
      <c r="CI195" s="2" t="e">
        <f ca="1">_xll.BDH($C$178,"LT_DEBT_TO_TOT_CAP","FQ2 2017","FQ2 2017","Currency=INR","Period=FQ","BEST_FPERIOD_OVERRIDE=FQ","FILING_STATUS=OR","EQY_CONSOLIDATED=Y","Sort=A","Dates=H","DateFormat=P","Fill=—","Direction=H","UseDPDF=Y")</f>
        <v>#NAME?</v>
      </c>
      <c r="CJ195" s="2" t="e">
        <f ca="1">_xll.BDH($C$178,"LT_DEBT_TO_TOT_ASSET","FQ2 2017","FQ2 2017","Currency=INR","Period=FQ","BEST_FPERIOD_OVERRIDE=FQ","FILING_STATUS=OR","EQY_CONSOLIDATED=Y","Sort=A","Dates=H","DateFormat=P","Fill=—","Direction=H","UseDPDF=Y")</f>
        <v>#NAME?</v>
      </c>
      <c r="CK195" s="2" t="e">
        <f ca="1">_xll.BDH($C$178,"TOT_DEBT_TO_TOT_EQY","FQ2 2017","FQ2 2017","Currency=INR","Period=FQ","BEST_FPERIOD_OVERRIDE=FQ","FILING_STATUS=OR","EQY_CONSOLIDATED=Y","Sort=A","Dates=H","DateFormat=P","Fill=—","Direction=H","UseDPDF=Y")</f>
        <v>#NAME?</v>
      </c>
      <c r="CL195" s="2" t="e">
        <f ca="1">_xll.BDH($C$178,"TOT_DEBT_TO_TOT_CAP","FQ2 2017","FQ2 2017","Currency=INR","Period=FQ","BEST_FPERIOD_OVERRIDE=FQ","FILING_STATUS=OR","EQY_CONSOLIDATED=Y","Sort=A","Dates=H","DateFormat=P","Fill=—","Direction=H","UseDPDF=Y")</f>
        <v>#NAME?</v>
      </c>
      <c r="CM195" s="2" t="e">
        <f ca="1">_xll.BDH($C$178,"TOT_DEBT_TO_TOT_ASSET","FQ2 2017","FQ2 2017","Currency=INR","Period=FQ","BEST_FPERIOD_OVERRIDE=FQ","FILING_STATUS=OR","EQY_CONSOLIDATED=Y","Sort=A","Dates=H","DateFormat=P","Fill=—","Direction=H","UseDPDF=Y")</f>
        <v>#NAME?</v>
      </c>
      <c r="CN195" s="2" t="e">
        <f ca="1">_xll.BDH($C$178,"NET_DEBT_TO_SHRHLDR_EQTY","FQ2 2017","FQ2 2017","Currency=INR","Period=FQ","BEST_FPERIOD_OVERRIDE=FQ","FILING_STATUS=OR","EQY_CONSOLIDATED=Y","Sort=A","Dates=H","DateFormat=P","Fill=—","Direction=H","UseDPDF=Y")</f>
        <v>#NAME?</v>
      </c>
      <c r="CO195" s="2" t="e">
        <f ca="1">_xll.BDH($C$178,"NET_DEBT_%_CAPITAL","FQ2 2017","FQ2 2017","Currency=INR","Period=FQ","BEST_FPERIOD_OVERRIDE=FQ","FILING_STATUS=OR","EQY_CONSOLIDATED=Y","Sort=A","Dates=H","DateFormat=P","Fill=—","Direction=H","UseDPDF=Y")</f>
        <v>#NAME?</v>
      </c>
      <c r="CP195" s="3" t="e">
        <f ca="1">_xll.BDH($C$178,"EBITDA","FQ2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195" s="3" t="e">
        <f ca="1">_xll.BDH($C$178,"EBITDA_AFTER_CAPEX","FQ2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195" s="3" t="e">
        <f ca="1">_xll.BDH($C$178,"IS_OPER_INC","FQ2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195" s="2" t="e">
        <f ca="1">_xll.BDH($C$178,"CASH_RATIO","FQ2 2017","FQ2 2017","Currency=INR","Period=FQ","BEST_FPERIOD_OVERRIDE=FQ","FILING_STATUS=OR","EQY_CONSOLIDATED=Y","Sort=A","Dates=H","DateFormat=P","Fill=—","Direction=H","UseDPDF=Y")</f>
        <v>#NAME?</v>
      </c>
      <c r="CT195" s="2" t="e">
        <f ca="1">_xll.BDH($C$178,"CUR_RATIO","FQ2 2017","FQ2 2017","Currency=INR","Period=FQ","BEST_FPERIOD_OVERRIDE=FQ","FILING_STATUS=OR","EQY_CONSOLIDATED=Y","Sort=A","Dates=H","DateFormat=P","Fill=—","Direction=H","UseDPDF=Y")</f>
        <v>#NAME?</v>
      </c>
      <c r="CU195" s="2" t="e">
        <f ca="1">_xll.BDH($C$178,"QUICK_RATIO","FQ2 2017","FQ2 2017","Currency=INR","Period=FQ","BEST_FPERIOD_OVERRIDE=FQ","FILING_STATUS=OR","EQY_CONSOLIDATED=Y","Sort=A","Dates=H","DateFormat=P","Fill=—","Direction=H","UseDPDF=Y")</f>
        <v>#NAME?</v>
      </c>
      <c r="CV195" s="2" t="e">
        <f ca="1">_xll.BDH($C$178,"ALTMAN_Z_SCORE","FQ2 2017","FQ2 2017","Currency=INR","Period=FQ","BEST_FPERIOD_OVERRIDE=FQ","FILING_STATUS=OR","EQY_CONSOLIDATED=Y","Sort=A","Dates=H","DateFormat=P","Fill=—","Direction=H","UseDPDF=Y")</f>
        <v>#NAME?</v>
      </c>
      <c r="CW195" s="4" t="e">
        <f ca="1">_xll.BDH($C$178,"ACCT_RCV_TURN","FQ2 2017","FQ2 2017","Currency=INR","Period=FQ","BEST_FPERIOD_OVERRIDE=FQ","FILING_STATUS=OR","EQY_CONSOLIDATED=Y","FA_ADJUSTED=GAAP","Sort=A","Dates=H","DateFormat=P","Fill=—","Direction=H","UseDPDF=Y")</f>
        <v>#NAME?</v>
      </c>
      <c r="CX195" s="2" t="e">
        <f ca="1">_xll.BDH($C$178,"ACCT_RCV_DAYS","FQ2 2017","FQ2 2017","Currency=INR","Period=FQ","BEST_FPERIOD_OVERRIDE=FQ","FILING_STATUS=OR","EQY_CONSOLIDATED=Y","FA_ADJUSTED=GAAP","Sort=A","Dates=H","DateFormat=P","Fill=—","Direction=H","UseDPDF=Y")</f>
        <v>#NAME?</v>
      </c>
      <c r="CY195" s="4" t="e">
        <f ca="1">_xll.BDH($C$178,"INVENT_TURN","FQ2 2017","FQ2 2017","Currency=INR","Period=FQ","BEST_FPERIOD_OVERRIDE=FQ","FILING_STATUS=OR","EQY_CONSOLIDATED=Y","FA_ADJUSTED=GAAP","Sort=A","Dates=H","DateFormat=P","Fill=—","Direction=H","UseDPDF=Y")</f>
        <v>#NAME?</v>
      </c>
      <c r="CZ195" s="2" t="e">
        <f ca="1">_xll.BDH($C$178,"INVENT_DAYS","FQ2 2017","FQ2 2017","Currency=INR","Period=FQ","BEST_FPERIOD_OVERRIDE=FQ","FILING_STATUS=OR","EQY_CONSOLIDATED=Y","FA_ADJUSTED=GAAP","Sort=A","Dates=H","DateFormat=P","Fill=—","Direction=H","UseDPDF=Y")</f>
        <v>#NAME?</v>
      </c>
      <c r="DA195" s="4" t="e">
        <f ca="1">_xll.BDH($C$178,"ACCOUNTS_PAYABLE_TURNOVER","FQ2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195" s="2" t="e">
        <f ca="1">_xll.BDH($C$178,"ACCOUNTS_PAYABLE_TURNOVER_DAYS","FQ2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195" s="4" t="e">
        <f ca="1">_xll.BDH($C$178,"CASH_CONVERSION_CYCLE","FQ2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195" s="4" t="e">
        <f ca="1">_xll.BDH($C$178,"INV_TO_CASH_DAYS","FQ2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195" s="5" t="e">
        <f ca="1">_xll.BDH($C$178,"BS_INVENTORIES","FQ2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195" s="3" t="e">
        <f ca="1">_xll.BDH($C$178,"INVTRY_RAW_MATERIALS","FQ2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195" s="3" t="e">
        <f ca="1">_xll.BDH($C$178,"INVTRY_IN_PROGRESS","FQ2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195" s="3" t="e">
        <f ca="1">_xll.BDH($C$178,"INVTRY_FINISHED_GOODS","FQ2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195" s="3" t="e">
        <f ca="1">_xll.BDH($C$178,"BS_OTHER_INV","FQ2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196" spans="1:113" x14ac:dyDescent="0.3">
      <c r="A196" s="6"/>
      <c r="B196" s="6"/>
      <c r="C196" s="6"/>
      <c r="D196" s="6"/>
      <c r="E196" t="s">
        <v>80</v>
      </c>
      <c r="F196" t="e">
        <f ca="1">_xll.BDH($C$178,"RETURN_COM_EQY","FQ3 2017","FQ3 2017","Currency=INR","Period=FQ","BEST_FPERIOD_OVERRIDE=FQ","FILING_STATUS=OR","EQY_CONSOLIDATED=Y","FA_ADJUSTED=GAAP","Sort=A","Dates=H","DateFormat=P","Fill=—","Direction=H","UseDPDF=Y")</f>
        <v>#NAME?</v>
      </c>
      <c r="G196" t="e">
        <f ca="1">_xll.BDH($C$178,"RETURN_ON_ASSET","FQ3 2017","FQ3 2017","Currency=INR","Period=FQ","BEST_FPERIOD_OVERRIDE=FQ","FILING_STATUS=OR","EQY_CONSOLIDATED=Y","FA_ADJUSTED=GAAP","Sort=A","Dates=H","DateFormat=P","Fill=—","Direction=H","UseDPDF=Y")</f>
        <v>#NAME?</v>
      </c>
      <c r="H196" t="e">
        <f ca="1">_xll.BDH($C$178,"RETURN_ON_CAP","FQ3 2017","FQ3 2017","Currency=INR","Period=FQ","BEST_FPERIOD_OVERRIDE=FQ","FILING_STATUS=OR","EQY_CONSOLIDATED=Y","FA_ADJUSTED=GAAP","Sort=A","Dates=H","DateFormat=P","Fill=—","Direction=H","UseDPDF=Y")</f>
        <v>#NAME?</v>
      </c>
      <c r="I196" t="e">
        <f ca="1">_xll.BDH($C$178,"RETURN_ON_INV_CAPITAL","FQ3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196" t="e">
        <f ca="1">_xll.BDH($C$178,"EBITDA_TO_REVENUE","FQ3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196" t="e">
        <f ca="1">_xll.BDH($C$178,"OPER_MARGIN","FQ3 2017","FQ3 2017","Currency=INR","Period=FQ","BEST_FPERIOD_OVERRIDE=FQ","FILING_STATUS=OR","EQY_CONSOLIDATED=Y","FA_ADJUSTED=GAAP","Sort=A","Dates=H","DateFormat=P","Fill=—","Direction=H","UseDPDF=Y")</f>
        <v>#NAME?</v>
      </c>
      <c r="L196" t="e">
        <f ca="1">_xll.BDH($C$178,"INCREMENTAL_OPERATING_MARGIN","FQ3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196" t="e">
        <f ca="1">_xll.BDH($C$178,"PRETAX_INC_TO_NET_SALES","FQ3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196" t="e">
        <f ca="1">_xll.BDH($C$178,"INC_BEF_XO_ITEMS_TO_NET_SALES","FQ3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196" t="e">
        <f ca="1">_xll.BDH($C$178,"PROF_MARGIN","FQ3 2017","FQ3 2017","Currency=INR","Period=FQ","BEST_FPERIOD_OVERRIDE=FQ","FILING_STATUS=OR","EQY_CONSOLIDATED=Y","FA_ADJUSTED=GAAP","Sort=A","Dates=H","DateFormat=P","Fill=—","Direction=H","UseDPDF=Y")</f>
        <v>#NAME?</v>
      </c>
      <c r="P196" t="e">
        <f ca="1">_xll.BDH($C$178,"NET_INCOME_TO_COMMON_MARGIN","FQ3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196" t="e">
        <f ca="1">_xll.BDH($C$178,"EFF_TAX_RATE","FQ3 2017","FQ3 2017","Currency=INR","Period=FQ","BEST_FPERIOD_OVERRIDE=FQ","FILING_STATUS=OR","EQY_CONSOLIDATED=Y","FA_ADJUSTED=GAAP","Sort=A","Dates=H","DateFormat=P","Fill=—","Direction=H","UseDPDF=Y")</f>
        <v>#NAME?</v>
      </c>
      <c r="R196" t="e">
        <f ca="1">_xll.BDH($C$178,"DVD_PAYOUT_RATIO","FQ3 2017","FQ3 2017","Currency=INR","Period=FQ","BEST_FPERIOD_OVERRIDE=FQ","FILING_STATUS=OR","EQY_CONSOLIDATED=Y","FA_ADJUSTED=GAAP","Sort=A","Dates=H","DateFormat=P","Fill=—","Direction=H","UseDPDF=Y")</f>
        <v>#NAME?</v>
      </c>
      <c r="S196" t="e">
        <f ca="1">_xll.BDH($C$178,"SUSTAIN_GROWTH_RT","FQ3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196" s="2" t="e">
        <f ca="1">_xll.BDH($C$178,"SALES_GROWTH","FQ3 2017","FQ3 2017","Currency=INR","Period=FQ","BEST_FPERIOD_OVERRIDE=FQ","FILING_STATUS=OR","EQY_CONSOLIDATED=Y","FA_ADJUSTED=GAAP","Sort=A","Dates=H","DateFormat=P","Fill=—","Direction=H","UseDPDF=Y")</f>
        <v>#NAME?</v>
      </c>
      <c r="U196" s="2" t="e">
        <f ca="1">_xll.BDH($C$178,"EBITDA_GROWTH","FQ3 2017","FQ3 2017","Currency=INR","Period=FQ","BEST_FPERIOD_OVERRIDE=FQ","FILING_STATUS=OR","EQY_CONSOLIDATED=Y","FA_ADJUSTED=GAAP","Sort=A","Dates=H","DateFormat=P","Fill=—","Direction=H","UseDPDF=Y")</f>
        <v>#NAME?</v>
      </c>
      <c r="V196" s="2" t="e">
        <f ca="1">_xll.BDH($C$178,"OPER_INC_GROWTH","FQ3 2017","FQ3 2017","Currency=INR","Period=FQ","BEST_FPERIOD_OVERRIDE=FQ","FILING_STATUS=OR","EQY_CONSOLIDATED=Y","FA_ADJUSTED=GAAP","Sort=A","Dates=H","DateFormat=P","Fill=—","Direction=H","UseDPDF=Y")</f>
        <v>#NAME?</v>
      </c>
      <c r="W196" s="2" t="e">
        <f ca="1">_xll.BDH($C$178,"EARN_FOR_COM_GROWTH","FQ3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196" s="2" t="e">
        <f ca="1">_xll.BDH($C$178,"DILUTED_EPS_AFT_XO_ITEMS_GROWTH","FQ3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196" s="2" t="e">
        <f ca="1">_xll.BDH($C$178,"DIVIDEND_PER_SHARE_1_YEAR_GROWTH","FQ3 2017","FQ3 2017","Currency=INR","Period=FQ","BEST_FPERIOD_OVERRIDE=FQ","FILING_STATUS=OR","EQY_CONSOLIDATED=Y","Sort=A","Dates=H","DateFormat=P","Fill=—","Direction=H","UseDPDF=Y")</f>
        <v>#NAME?</v>
      </c>
      <c r="Z196" s="2" t="e">
        <f ca="1">_xll.BDH($C$178,"ACCOUNTS_RECEIVABLE_GROWTH","FQ3 2017","FQ3 2017","Currency=INR","Period=FQ","BEST_FPERIOD_OVERRIDE=FQ","FILING_STATUS=OR","EQY_CONSOLIDATED=Y","Sort=A","Dates=H","DateFormat=P","Fill=—","Direction=H","UseDPDF=Y")</f>
        <v>#NAME?</v>
      </c>
      <c r="AA196" s="2" t="e">
        <f ca="1">_xll.BDH($C$178,"INVENTORY_GROWTH","FQ3 2017","FQ3 2017","Currency=INR","Period=FQ","BEST_FPERIOD_OVERRIDE=FQ","FILING_STATUS=OR","EQY_CONSOLIDATED=Y","Sort=A","Dates=H","DateFormat=P","Fill=—","Direction=H","UseDPDF=Y")</f>
        <v>#NAME?</v>
      </c>
      <c r="AB196" s="2" t="e">
        <f ca="1">_xll.BDH($C$178,"NET_FIXED_ASSETS_1_YEAR_GROWTH","FQ3 2017","FQ3 2017","Currency=INR","Period=FQ","BEST_FPERIOD_OVERRIDE=FQ","FILING_STATUS=OR","EQY_CONSOLIDATED=Y","Sort=A","Dates=H","DateFormat=P","Fill=—","Direction=H","UseDPDF=Y")</f>
        <v>#NAME?</v>
      </c>
      <c r="AC196" s="2" t="e">
        <f ca="1">_xll.BDH($C$178,"ASSET_GROWTH","FQ3 2017","FQ3 2017","Currency=INR","Period=FQ","BEST_FPERIOD_OVERRIDE=FQ","FILING_STATUS=OR","EQY_CONSOLIDATED=Y","Sort=A","Dates=H","DateFormat=P","Fill=—","Direction=H","UseDPDF=Y")</f>
        <v>#NAME?</v>
      </c>
      <c r="AD196" s="2" t="e">
        <f ca="1">_xll.BDH($C$178,"MODIFIED_WORK_CAP_GROWTH","FQ3 2017","FQ3 2017","Currency=INR","Period=FQ","BEST_FPERIOD_OVERRIDE=FQ","FILING_STATUS=OR","EQY_CONSOLIDATED=Y","Sort=A","Dates=H","DateFormat=P","Fill=—","Direction=H","UseDPDF=Y")</f>
        <v>#NAME?</v>
      </c>
      <c r="AE196" s="2" t="e">
        <f ca="1">_xll.BDH($C$178,"WORK_CAP_GROWTH","FQ3 2017","FQ3 2017","Currency=INR","Period=FQ","BEST_FPERIOD_OVERRIDE=FQ","FILING_STATUS=OR","EQY_CONSOLIDATED=Y","Sort=A","Dates=H","DateFormat=P","Fill=—","Direction=H","UseDPDF=Y")</f>
        <v>#NAME?</v>
      </c>
      <c r="AF196" s="2" t="e">
        <f ca="1">_xll.BDH($C$178,"ACCOUNTS_PAYABLE_GROWTH_1YR","FQ3 2017","FQ3 2017","Currency=INR","Period=FQ","BEST_FPERIOD_OVERRIDE=FQ","FILING_STATUS=OR","EQY_CONSOLIDATED=Y","Sort=A","Dates=H","DateFormat=P","Fill=—","Direction=H","UseDPDF=Y")</f>
        <v>#NAME?</v>
      </c>
      <c r="AG196" s="2" t="e">
        <f ca="1">_xll.BDH($C$178,"SHORT_TERM_DEBT_1_YEAR_GROWTH","FQ3 2017","FQ3 2017","Currency=INR","Period=FQ","BEST_FPERIOD_OVERRIDE=FQ","FILING_STATUS=OR","EQY_CONSOLIDATED=Y","Sort=A","Dates=H","DateFormat=P","Fill=—","Direction=H","UseDPDF=Y")</f>
        <v>#NAME?</v>
      </c>
      <c r="AH196" s="2" t="e">
        <f ca="1">_xll.BDH($C$178,"TOTAL_DEBT_1_YEAR_GROWTH","FQ3 2017","FQ3 2017","Currency=INR","Period=FQ","BEST_FPERIOD_OVERRIDE=FQ","FILING_STATUS=OR","EQY_CONSOLIDATED=Y","Sort=A","Dates=H","DateFormat=P","Fill=—","Direction=H","UseDPDF=Y")</f>
        <v>#NAME?</v>
      </c>
      <c r="AI196" s="2" t="e">
        <f ca="1">_xll.BDH($C$178,"TOTAL_EQUITY_1_YEAR_GROWTH","FQ3 2017","FQ3 2017","Currency=INR","Period=FQ","BEST_FPERIOD_OVERRIDE=FQ","FILING_STATUS=OR","EQY_CONSOLIDATED=Y","Sort=A","Dates=H","DateFormat=P","Fill=—","Direction=H","UseDPDF=Y")</f>
        <v>#NAME?</v>
      </c>
      <c r="AJ196" s="2" t="e">
        <f ca="1">_xll.BDH($C$178,"GROWTH_IN_CAP","FQ3 2017","FQ3 2017","Currency=INR","Period=FQ","BEST_FPERIOD_OVERRIDE=FQ","FILING_STATUS=OR","EQY_CONSOLIDATED=Y","Sort=A","Dates=H","DateFormat=P","Fill=—","Direction=H","UseDPDF=Y")</f>
        <v>#NAME?</v>
      </c>
      <c r="AK196" s="2" t="e">
        <f ca="1">_xll.BDH($C$178,"BVPS_GROWTH","FQ3 2017","FQ3 2017","Currency=INR","Period=FQ","BEST_FPERIOD_OVERRIDE=FQ","FILING_STATUS=OR","EQY_CONSOLIDATED=Y","Sort=A","Dates=H","DateFormat=P","Fill=—","Direction=H","UseDPDF=Y")</f>
        <v>#NAME?</v>
      </c>
      <c r="AL196" s="2" t="e">
        <f ca="1">_xll.BDH($C$178,"CASH_FLOW_GROWTH","FQ3 2017","FQ3 2017","Currency=INR","Period=FQ","BEST_FPERIOD_OVERRIDE=FQ","FILING_STATUS=OR","EQY_CONSOLIDATED=Y","Sort=A","Dates=H","DateFormat=P","Fill=—","Direction=H","UseDPDF=Y")</f>
        <v>#NAME?</v>
      </c>
      <c r="AM196" s="2" t="e">
        <f ca="1">_xll.BDH($C$178,"GEO_GROW_NET_SALES","FQ3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196" s="2" t="e">
        <f ca="1">_xll.BDH($C$178,"GEO_GROW_EBITDA","FQ3 2017","FQ3 2017","Currency=INR","Period=FQ","BEST_FPERIOD_OVERRIDE=FQ","FILING_STATUS=OR","EQY_CONSOLIDATED=Y","FA_ADJUSTED=GAAP","Sort=A","Dates=H","DateFormat=P","Fill=—","Direction=H","UseDPDF=Y")</f>
        <v>#NAME?</v>
      </c>
      <c r="AO196" s="2" t="e">
        <f ca="1">_xll.BDH($C$178,"GEO_GROW_OPER_INC","FQ3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196" s="2" t="e">
        <f ca="1">_xll.BDH($C$178,"NET_INCOME_TO_COMMON_5_YR_GROWTH","FQ3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196" s="2" t="e">
        <f ca="1">_xll.BDH($C$178,"5Y_GEO_GROWTH_DILUTED_EPS","FQ3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196" s="2" t="e">
        <f ca="1">_xll.BDH($C$178,"GEO_GROW_DVD_PER_SH","FQ3 2017","FQ3 2017","Currency=INR","Period=FQ","BEST_FPERIOD_OVERRIDE=FQ","FILING_STATUS=OR","EQY_CONSOLIDATED=Y","Sort=A","Dates=H","DateFormat=P","Fill=—","Direction=H","UseDPDF=Y")</f>
        <v>#NAME?</v>
      </c>
      <c r="AS196" s="2" t="e">
        <f ca="1">_xll.BDH($C$178,"ACCOUNTS_RECEIVABLE_5_YR_GROWTH","FQ3 2017","FQ3 2017","Currency=INR","Period=FQ","BEST_FPERIOD_OVERRIDE=FQ","FILING_STATUS=OR","EQY_CONSOLIDATED=Y","Sort=A","Dates=H","DateFormat=P","Fill=—","Direction=H","UseDPDF=Y")</f>
        <v>#NAME?</v>
      </c>
      <c r="AT196" s="2" t="e">
        <f ca="1">_xll.BDH($C$178,"INVENTORY_5_YEAR_GROWTH","FQ3 2017","FQ3 2017","Currency=INR","Period=FQ","BEST_FPERIOD_OVERRIDE=FQ","FILING_STATUS=OR","EQY_CONSOLIDATED=Y","Sort=A","Dates=H","DateFormat=P","Fill=—","Direction=H","UseDPDF=Y")</f>
        <v>#NAME?</v>
      </c>
      <c r="AU196" s="2" t="e">
        <f ca="1">_xll.BDH($C$178,"NET_FIXED_ASSETS_5_YEAR_GROWTH","FQ3 2017","FQ3 2017","Currency=INR","Period=FQ","BEST_FPERIOD_OVERRIDE=FQ","FILING_STATUS=OR","EQY_CONSOLIDATED=Y","Sort=A","Dates=H","DateFormat=P","Fill=—","Direction=H","UseDPDF=Y")</f>
        <v>#NAME?</v>
      </c>
      <c r="AV196" s="2" t="e">
        <f ca="1">_xll.BDH($C$178,"GEO_GROW_TOT_ASSET","FQ3 2017","FQ3 2017","Currency=INR","Period=FQ","BEST_FPERIOD_OVERRIDE=FQ","FILING_STATUS=OR","EQY_CONSOLIDATED=Y","Sort=A","Dates=H","DateFormat=P","Fill=—","Direction=H","UseDPDF=Y")</f>
        <v>#NAME?</v>
      </c>
      <c r="AW196" s="2" t="e">
        <f ca="1">_xll.BDH($C$178,"MODIFIED_WORKING_CPTL_5YR_GRWTH","FQ3 2017","FQ3 2017","Currency=INR","Period=FQ","BEST_FPERIOD_OVERRIDE=FQ","FILING_STATUS=OR","EQY_CONSOLIDATED=Y","Sort=A","Dates=H","DateFormat=P","Fill=—","Direction=H","UseDPDF=Y")</f>
        <v>#NAME?</v>
      </c>
      <c r="AX196" s="2" t="e">
        <f ca="1">_xll.BDH($C$178,"WORKING_CAPITAL_5_YEAR_GROWTH","FQ3 2017","FQ3 2017","Currency=INR","Period=FQ","BEST_FPERIOD_OVERRIDE=FQ","FILING_STATUS=OR","EQY_CONSOLIDATED=Y","Sort=A","Dates=H","DateFormat=P","Fill=—","Direction=H","UseDPDF=Y")</f>
        <v>#NAME?</v>
      </c>
      <c r="AY196" s="2" t="e">
        <f ca="1">_xll.BDH($C$178,"ACCOUNTS_PAYABLE_5_YEAR_GROWTH","FQ3 2017","FQ3 2017","Currency=INR","Period=FQ","BEST_FPERIOD_OVERRIDE=FQ","FILING_STATUS=OR","EQY_CONSOLIDATED=Y","Sort=A","Dates=H","DateFormat=P","Fill=—","Direction=H","UseDPDF=Y")</f>
        <v>#NAME?</v>
      </c>
      <c r="AZ196" s="2" t="e">
        <f ca="1">_xll.BDH($C$178,"SHORT_TERM_DEBT_5_YEAR_GROWTH","FQ3 2017","FQ3 2017","Currency=INR","Period=FQ","BEST_FPERIOD_OVERRIDE=FQ","FILING_STATUS=OR","EQY_CONSOLIDATED=Y","Sort=A","Dates=H","DateFormat=P","Fill=—","Direction=H","UseDPDF=Y")</f>
        <v>#NAME?</v>
      </c>
      <c r="BA196" s="2" t="e">
        <f ca="1">_xll.BDH($C$178,"TOTAL_DEBT_5_YEAR_GROWTH","FQ3 2017","FQ3 2017","Currency=INR","Period=FQ","BEST_FPERIOD_OVERRIDE=FQ","FILING_STATUS=OR","EQY_CONSOLIDATED=Y","Sort=A","Dates=H","DateFormat=P","Fill=—","Direction=H","UseDPDF=Y")</f>
        <v>#NAME?</v>
      </c>
      <c r="BB196" s="2" t="e">
        <f ca="1">_xll.BDH($C$178,"GEO_GROW_TOT_SHRHLDR_EQY","FQ3 2017","FQ3 2017","Currency=INR","Period=FQ","BEST_FPERIOD_OVERRIDE=FQ","FILING_STATUS=OR","EQY_CONSOLIDATED=Y","Sort=A","Dates=H","DateFormat=P","Fill=—","Direction=H","UseDPDF=Y")</f>
        <v>#NAME?</v>
      </c>
      <c r="BC196" s="2" t="e">
        <f ca="1">_xll.BDH($C$178,"TOTAL_CAPITAL_5_YEAR_GROWTH","FQ3 2017","FQ3 2017","Currency=INR","Period=FQ","BEST_FPERIOD_OVERRIDE=FQ","FILING_STATUS=OR","EQY_CONSOLIDATED=Y","Sort=A","Dates=H","DateFormat=P","Fill=—","Direction=H","UseDPDF=Y")</f>
        <v>#NAME?</v>
      </c>
      <c r="BD196" s="2" t="e">
        <f ca="1">_xll.BDH($C$178,"GEO_GROW_BOOK_VAL","FQ3 2017","FQ3 2017","Currency=INR","Period=FQ","BEST_FPERIOD_OVERRIDE=FQ","FILING_STATUS=OR","EQY_CONSOLIDATED=Y","Sort=A","Dates=H","DateFormat=P","Fill=—","Direction=H","UseDPDF=Y")</f>
        <v>#NAME?</v>
      </c>
      <c r="BE196" s="2" t="e">
        <f ca="1">_xll.BDH($C$178,"GEO_GROW_CASH_OPER_ACT","FQ3 2017","FQ3 2017","Currency=INR","Period=FQ","BEST_FPERIOD_OVERRIDE=FQ","FILING_STATUS=OR","EQY_CONSOLIDATED=Y","Sort=A","Dates=H","DateFormat=P","Fill=—","Direction=H","UseDPDF=Y")</f>
        <v>#NAME?</v>
      </c>
      <c r="BF196" s="2" t="e">
        <f ca="1">_xll.BDH($C$178,"REVENUE_SEQUENTIAL_GROWTH","FQ3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196" s="2" t="e">
        <f ca="1">_xll.BDH($C$178,"EBITDA_SEQUENTIAL_GROWTH","FQ3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196" s="2" t="e">
        <f ca="1">_xll.BDH($C$178,"OPERATING_INCOME_SEQ_GROWTH","FQ3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196" s="2" t="e">
        <f ca="1">_xll.BDH($C$178,"NET_INCOME_TO_COMMON_SEQ_GROWTH","FQ3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196" s="2" t="e">
        <f ca="1">_xll.BDH($C$178,"EPS_DILUTED_SEQUENTIAL_GROWTH","FQ3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196" s="2" t="e">
        <f ca="1">_xll.BDH($C$178,"DPS_SEQUENTIAL_GROWTH","FQ3 2017","FQ3 2017","Currency=INR","Period=FQ","BEST_FPERIOD_OVERRIDE=FQ","FILING_STATUS=OR","EQY_CONSOLIDATED=Y","Sort=A","Dates=H","DateFormat=P","Fill=—","Direction=H","UseDPDF=Y")</f>
        <v>#NAME?</v>
      </c>
      <c r="BL196" s="2" t="e">
        <f ca="1">_xll.BDH($C$178,"ACCOUNTS_RECEIVABLE_SEQ_GROWTH","FQ3 2017","FQ3 2017","Currency=INR","Period=FQ","BEST_FPERIOD_OVERRIDE=FQ","FILING_STATUS=OR","EQY_CONSOLIDATED=Y","Sort=A","Dates=H","DateFormat=P","Fill=—","Direction=H","UseDPDF=Y")</f>
        <v>#NAME?</v>
      </c>
      <c r="BM196" s="2" t="e">
        <f ca="1">_xll.BDH($C$178,"INVENTORY_SEQUENTIAL_GROWTH","FQ3 2017","FQ3 2017","Currency=INR","Period=FQ","BEST_FPERIOD_OVERRIDE=FQ","FILING_STATUS=OR","EQY_CONSOLIDATED=Y","Sort=A","Dates=H","DateFormat=P","Fill=—","Direction=H","UseDPDF=Y")</f>
        <v>#NAME?</v>
      </c>
      <c r="BN196" s="2" t="e">
        <f ca="1">_xll.BDH($C$178,"FIXED_ASSETS_SEQUENTIAL_GROWTH","FQ3 2017","FQ3 2017","Currency=INR","Period=FQ","BEST_FPERIOD_OVERRIDE=FQ","FILING_STATUS=OR","EQY_CONSOLIDATED=Y","Sort=A","Dates=H","DateFormat=P","Fill=—","Direction=H","UseDPDF=Y")</f>
        <v>#NAME?</v>
      </c>
      <c r="BO196" s="2" t="e">
        <f ca="1">_xll.BDH($C$178,"TOTAL_ASSETS_SEQUENTIAL_GROWTH","FQ3 2017","FQ3 2017","Currency=INR","Period=FQ","BEST_FPERIOD_OVERRIDE=FQ","FILING_STATUS=OR","EQY_CONSOLIDATED=Y","Sort=A","Dates=H","DateFormat=P","Fill=—","Direction=H","UseDPDF=Y")</f>
        <v>#NAME?</v>
      </c>
      <c r="BP196" s="2" t="e">
        <f ca="1">_xll.BDH($C$178,"MODIFIED_WORKING_CPTL_SEQ_GRWTH","FQ3 2017","FQ3 2017","Currency=INR","Period=FQ","BEST_FPERIOD_OVERRIDE=FQ","FILING_STATUS=OR","EQY_CONSOLIDATED=Y","Sort=A","Dates=H","DateFormat=P","Fill=—","Direction=H","UseDPDF=Y")</f>
        <v>#NAME?</v>
      </c>
      <c r="BQ196" s="2" t="e">
        <f ca="1">_xll.BDH($C$178,"WORKING_CAPITAL_SEQ_GROWTH","FQ3 2017","FQ3 2017","Currency=INR","Period=FQ","BEST_FPERIOD_OVERRIDE=FQ","FILING_STATUS=OR","EQY_CONSOLIDATED=Y","Sort=A","Dates=H","DateFormat=P","Fill=—","Direction=H","UseDPDF=Y")</f>
        <v>#NAME?</v>
      </c>
      <c r="BR196" s="2" t="e">
        <f ca="1">_xll.BDH($C$178,"ACCOUNTS_PAYABLE_SEQ_GROWTH","FQ3 2017","FQ3 2017","Currency=INR","Period=FQ","BEST_FPERIOD_OVERRIDE=FQ","FILING_STATUS=OR","EQY_CONSOLIDATED=Y","Sort=A","Dates=H","DateFormat=P","Fill=—","Direction=H","UseDPDF=Y")</f>
        <v>#NAME?</v>
      </c>
      <c r="BS196" s="2" t="e">
        <f ca="1">_xll.BDH($C$178,"ST_DEBT_SEQUENTIAL_GROWTH","FQ3 2017","FQ3 2017","Currency=INR","Period=FQ","BEST_FPERIOD_OVERRIDE=FQ","FILING_STATUS=OR","EQY_CONSOLIDATED=Y","Sort=A","Dates=H","DateFormat=P","Fill=—","Direction=H","UseDPDF=Y")</f>
        <v>#NAME?</v>
      </c>
      <c r="BT196" s="2" t="e">
        <f ca="1">_xll.BDH($C$178,"TOTAL_DEBT_SEQUENTIAL_GROWTH","FQ3 2017","FQ3 2017","Currency=INR","Period=FQ","BEST_FPERIOD_OVERRIDE=FQ","FILING_STATUS=OR","EQY_CONSOLIDATED=Y","Sort=A","Dates=H","DateFormat=P","Fill=—","Direction=H","UseDPDF=Y")</f>
        <v>#NAME?</v>
      </c>
      <c r="BU196" s="2" t="e">
        <f ca="1">_xll.BDH($C$178,"TOTAL_EQUITY_SEQUENTIAL_GROWTH","FQ3 2017","FQ3 2017","Currency=INR","Period=FQ","BEST_FPERIOD_OVERRIDE=FQ","FILING_STATUS=OR","EQY_CONSOLIDATED=Y","Sort=A","Dates=H","DateFormat=P","Fill=—","Direction=H","UseDPDF=Y")</f>
        <v>#NAME?</v>
      </c>
      <c r="BV196" s="2" t="e">
        <f ca="1">_xll.BDH($C$178,"TOTAL_CAPITAL_SEQUENTIAL_GROWTH","FQ3 2017","FQ3 2017","Currency=INR","Period=FQ","BEST_FPERIOD_OVERRIDE=FQ","FILING_STATUS=OR","EQY_CONSOLIDATED=Y","Sort=A","Dates=H","DateFormat=P","Fill=—","Direction=H","UseDPDF=Y")</f>
        <v>#NAME?</v>
      </c>
      <c r="BW196" s="2" t="e">
        <f ca="1">_xll.BDH($C$178,"BPS_SEQUENTIAL_GROWTH","FQ3 2017","FQ3 2017","Currency=INR","Period=FQ","BEST_FPERIOD_OVERRIDE=FQ","FILING_STATUS=OR","EQY_CONSOLIDATED=Y","Sort=A","Dates=H","DateFormat=P","Fill=—","Direction=H","UseDPDF=Y")</f>
        <v>#NAME?</v>
      </c>
      <c r="BX196" s="2" t="e">
        <f ca="1">_xll.BDH($C$178,"CFO_SEQUENTIAL_GROWTH","FQ3 2017","FQ3 2017","Currency=INR","Period=FQ","BEST_FPERIOD_OVERRIDE=FQ","FILING_STATUS=OR","EQY_CONSOLIDATED=Y","Sort=A","Dates=H","DateFormat=P","Fill=—","Direction=H","UseDPDF=Y")</f>
        <v>#NAME?</v>
      </c>
      <c r="BY196" s="3" t="e">
        <f ca="1">_xll.BDH($C$178,"SHORT_AND_LONG_TERM_DEBT","FQ3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196" s="3" t="e">
        <f ca="1">_xll.BDH($C$178,"BS_ST_BORROW","FQ3 2017","FQ3 2017","Currency=INR","Period=FQ","BEST_FPERIOD_OVERRIDE=FQ","FILING_STATUS=OR","EQY_CONSOLIDATED=Y","SCALING_FORMAT=MLN","Sort=A","Dates=H","DateFormat=P","Fill=—","Direction=H","UseDPDF=Y")</f>
        <v>#NAME?</v>
      </c>
      <c r="CA196" s="3" t="e">
        <f ca="1">_xll.BDH($C$178,"BS_LT_BORROW","FQ3 2017","FQ3 2017","Currency=INR","Period=FQ","BEST_FPERIOD_OVERRIDE=FQ","FILING_STATUS=OR","EQY_CONSOLIDATED=Y","SCALING_FORMAT=MLN","Sort=A","Dates=H","DateFormat=P","Fill=—","Direction=H","UseDPDF=Y")</f>
        <v>#NAME?</v>
      </c>
      <c r="CB196" s="2" t="e">
        <f ca="1">_xll.BDH($C$178,"TOT_DEBT_TO_EBITDA","FQ3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196" s="2" t="e">
        <f ca="1">_xll.BDH($C$178,"NET_DEBT_TO_EBITDA","FQ3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196" s="2" t="e">
        <f ca="1">_xll.BDH($C$178,"TOTAL_DEBT_TO_EBIT","FQ3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196" s="2" t="e">
        <f ca="1">_xll.BDH($C$178,"NET_DEBT_TO_EBIT","FQ3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196" s="2" t="e">
        <f ca="1">_xll.BDH($C$178,"EBITDA_TO_INTEREST_EXPN","FQ3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196" s="2" t="e">
        <f ca="1">_xll.BDH($C$178,"COM_EQY_TO_TOT_ASSET","FQ3 2017","FQ3 2017","Currency=INR","Period=FQ","BEST_FPERIOD_OVERRIDE=FQ","FILING_STATUS=OR","EQY_CONSOLIDATED=Y","Sort=A","Dates=H","DateFormat=P","Fill=—","Direction=H","UseDPDF=Y")</f>
        <v>#NAME?</v>
      </c>
      <c r="CH196" s="2" t="e">
        <f ca="1">_xll.BDH($C$178,"LT_DEBT_TO_TOT_EQY","FQ3 2017","FQ3 2017","Currency=INR","Period=FQ","BEST_FPERIOD_OVERRIDE=FQ","FILING_STATUS=OR","EQY_CONSOLIDATED=Y","Sort=A","Dates=H","DateFormat=P","Fill=—","Direction=H","UseDPDF=Y")</f>
        <v>#NAME?</v>
      </c>
      <c r="CI196" s="2" t="e">
        <f ca="1">_xll.BDH($C$178,"LT_DEBT_TO_TOT_CAP","FQ3 2017","FQ3 2017","Currency=INR","Period=FQ","BEST_FPERIOD_OVERRIDE=FQ","FILING_STATUS=OR","EQY_CONSOLIDATED=Y","Sort=A","Dates=H","DateFormat=P","Fill=—","Direction=H","UseDPDF=Y")</f>
        <v>#NAME?</v>
      </c>
      <c r="CJ196" s="2" t="e">
        <f ca="1">_xll.BDH($C$178,"LT_DEBT_TO_TOT_ASSET","FQ3 2017","FQ3 2017","Currency=INR","Period=FQ","BEST_FPERIOD_OVERRIDE=FQ","FILING_STATUS=OR","EQY_CONSOLIDATED=Y","Sort=A","Dates=H","DateFormat=P","Fill=—","Direction=H","UseDPDF=Y")</f>
        <v>#NAME?</v>
      </c>
      <c r="CK196" s="2" t="e">
        <f ca="1">_xll.BDH($C$178,"TOT_DEBT_TO_TOT_EQY","FQ3 2017","FQ3 2017","Currency=INR","Period=FQ","BEST_FPERIOD_OVERRIDE=FQ","FILING_STATUS=OR","EQY_CONSOLIDATED=Y","Sort=A","Dates=H","DateFormat=P","Fill=—","Direction=H","UseDPDF=Y")</f>
        <v>#NAME?</v>
      </c>
      <c r="CL196" s="2" t="e">
        <f ca="1">_xll.BDH($C$178,"TOT_DEBT_TO_TOT_CAP","FQ3 2017","FQ3 2017","Currency=INR","Period=FQ","BEST_FPERIOD_OVERRIDE=FQ","FILING_STATUS=OR","EQY_CONSOLIDATED=Y","Sort=A","Dates=H","DateFormat=P","Fill=—","Direction=H","UseDPDF=Y")</f>
        <v>#NAME?</v>
      </c>
      <c r="CM196" s="2" t="e">
        <f ca="1">_xll.BDH($C$178,"TOT_DEBT_TO_TOT_ASSET","FQ3 2017","FQ3 2017","Currency=INR","Period=FQ","BEST_FPERIOD_OVERRIDE=FQ","FILING_STATUS=OR","EQY_CONSOLIDATED=Y","Sort=A","Dates=H","DateFormat=P","Fill=—","Direction=H","UseDPDF=Y")</f>
        <v>#NAME?</v>
      </c>
      <c r="CN196" s="2" t="e">
        <f ca="1">_xll.BDH($C$178,"NET_DEBT_TO_SHRHLDR_EQTY","FQ3 2017","FQ3 2017","Currency=INR","Period=FQ","BEST_FPERIOD_OVERRIDE=FQ","FILING_STATUS=OR","EQY_CONSOLIDATED=Y","Sort=A","Dates=H","DateFormat=P","Fill=—","Direction=H","UseDPDF=Y")</f>
        <v>#NAME?</v>
      </c>
      <c r="CO196" s="2" t="e">
        <f ca="1">_xll.BDH($C$178,"NET_DEBT_%_CAPITAL","FQ3 2017","FQ3 2017","Currency=INR","Period=FQ","BEST_FPERIOD_OVERRIDE=FQ","FILING_STATUS=OR","EQY_CONSOLIDATED=Y","Sort=A","Dates=H","DateFormat=P","Fill=—","Direction=H","UseDPDF=Y")</f>
        <v>#NAME?</v>
      </c>
      <c r="CP196" s="3" t="e">
        <f ca="1">_xll.BDH($C$178,"EBITDA","FQ3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196" s="3" t="e">
        <f ca="1">_xll.BDH($C$178,"EBITDA_AFTER_CAPEX","FQ3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196" s="3" t="e">
        <f ca="1">_xll.BDH($C$178,"IS_OPER_INC","FQ3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196" s="2" t="e">
        <f ca="1">_xll.BDH($C$178,"CASH_RATIO","FQ3 2017","FQ3 2017","Currency=INR","Period=FQ","BEST_FPERIOD_OVERRIDE=FQ","FILING_STATUS=OR","EQY_CONSOLIDATED=Y","Sort=A","Dates=H","DateFormat=P","Fill=—","Direction=H","UseDPDF=Y")</f>
        <v>#NAME?</v>
      </c>
      <c r="CT196" s="2" t="e">
        <f ca="1">_xll.BDH($C$178,"CUR_RATIO","FQ3 2017","FQ3 2017","Currency=INR","Period=FQ","BEST_FPERIOD_OVERRIDE=FQ","FILING_STATUS=OR","EQY_CONSOLIDATED=Y","Sort=A","Dates=H","DateFormat=P","Fill=—","Direction=H","UseDPDF=Y")</f>
        <v>#NAME?</v>
      </c>
      <c r="CU196" s="2" t="e">
        <f ca="1">_xll.BDH($C$178,"QUICK_RATIO","FQ3 2017","FQ3 2017","Currency=INR","Period=FQ","BEST_FPERIOD_OVERRIDE=FQ","FILING_STATUS=OR","EQY_CONSOLIDATED=Y","Sort=A","Dates=H","DateFormat=P","Fill=—","Direction=H","UseDPDF=Y")</f>
        <v>#NAME?</v>
      </c>
      <c r="CV196" s="2" t="e">
        <f ca="1">_xll.BDH($C$178,"ALTMAN_Z_SCORE","FQ3 2017","FQ3 2017","Currency=INR","Period=FQ","BEST_FPERIOD_OVERRIDE=FQ","FILING_STATUS=OR","EQY_CONSOLIDATED=Y","Sort=A","Dates=H","DateFormat=P","Fill=—","Direction=H","UseDPDF=Y")</f>
        <v>#NAME?</v>
      </c>
      <c r="CW196" s="4" t="e">
        <f ca="1">_xll.BDH($C$178,"ACCT_RCV_TURN","FQ3 2017","FQ3 2017","Currency=INR","Period=FQ","BEST_FPERIOD_OVERRIDE=FQ","FILING_STATUS=OR","EQY_CONSOLIDATED=Y","FA_ADJUSTED=GAAP","Sort=A","Dates=H","DateFormat=P","Fill=—","Direction=H","UseDPDF=Y")</f>
        <v>#NAME?</v>
      </c>
      <c r="CX196" s="2" t="e">
        <f ca="1">_xll.BDH($C$178,"ACCT_RCV_DAYS","FQ3 2017","FQ3 2017","Currency=INR","Period=FQ","BEST_FPERIOD_OVERRIDE=FQ","FILING_STATUS=OR","EQY_CONSOLIDATED=Y","FA_ADJUSTED=GAAP","Sort=A","Dates=H","DateFormat=P","Fill=—","Direction=H","UseDPDF=Y")</f>
        <v>#NAME?</v>
      </c>
      <c r="CY196" s="4" t="e">
        <f ca="1">_xll.BDH($C$178,"INVENT_TURN","FQ3 2017","FQ3 2017","Currency=INR","Period=FQ","BEST_FPERIOD_OVERRIDE=FQ","FILING_STATUS=OR","EQY_CONSOLIDATED=Y","FA_ADJUSTED=GAAP","Sort=A","Dates=H","DateFormat=P","Fill=—","Direction=H","UseDPDF=Y")</f>
        <v>#NAME?</v>
      </c>
      <c r="CZ196" s="2" t="e">
        <f ca="1">_xll.BDH($C$178,"INVENT_DAYS","FQ3 2017","FQ3 2017","Currency=INR","Period=FQ","BEST_FPERIOD_OVERRIDE=FQ","FILING_STATUS=OR","EQY_CONSOLIDATED=Y","FA_ADJUSTED=GAAP","Sort=A","Dates=H","DateFormat=P","Fill=—","Direction=H","UseDPDF=Y")</f>
        <v>#NAME?</v>
      </c>
      <c r="DA196" s="4" t="e">
        <f ca="1">_xll.BDH($C$178,"ACCOUNTS_PAYABLE_TURNOVER","FQ3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196" s="2" t="e">
        <f ca="1">_xll.BDH($C$178,"ACCOUNTS_PAYABLE_TURNOVER_DAYS","FQ3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196" s="4" t="e">
        <f ca="1">_xll.BDH($C$178,"CASH_CONVERSION_CYCLE","FQ3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196" s="4" t="e">
        <f ca="1">_xll.BDH($C$178,"INV_TO_CASH_DAYS","FQ3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196" s="5" t="e">
        <f ca="1">_xll.BDH($C$178,"BS_INVENTORIES","FQ3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196" s="3" t="e">
        <f ca="1">_xll.BDH($C$178,"INVTRY_RAW_MATERIALS","FQ3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196" s="3" t="e">
        <f ca="1">_xll.BDH($C$178,"INVTRY_IN_PROGRESS","FQ3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196" s="3" t="e">
        <f ca="1">_xll.BDH($C$178,"INVTRY_FINISHED_GOODS","FQ3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196" s="3" t="e">
        <f ca="1">_xll.BDH($C$178,"BS_OTHER_INV","FQ3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197" spans="1:113" x14ac:dyDescent="0.3">
      <c r="A197" s="6"/>
      <c r="B197" s="6"/>
      <c r="C197" s="6"/>
      <c r="D197" s="6"/>
      <c r="E197" t="s">
        <v>81</v>
      </c>
      <c r="F197" t="e">
        <f ca="1">_xll.BDH($C$178,"RETURN_COM_EQY","FQ4 2017","FQ4 2017","Currency=INR","Period=FQ","BEST_FPERIOD_OVERRIDE=FQ","FILING_STATUS=OR","EQY_CONSOLIDATED=Y","FA_ADJUSTED=GAAP","Sort=A","Dates=H","DateFormat=P","Fill=—","Direction=H","UseDPDF=Y")</f>
        <v>#NAME?</v>
      </c>
      <c r="G197" t="e">
        <f ca="1">_xll.BDH($C$178,"RETURN_ON_ASSET","FQ4 2017","FQ4 2017","Currency=INR","Period=FQ","BEST_FPERIOD_OVERRIDE=FQ","FILING_STATUS=OR","EQY_CONSOLIDATED=Y","FA_ADJUSTED=GAAP","Sort=A","Dates=H","DateFormat=P","Fill=—","Direction=H","UseDPDF=Y")</f>
        <v>#NAME?</v>
      </c>
      <c r="H197" t="e">
        <f ca="1">_xll.BDH($C$178,"RETURN_ON_CAP","FQ4 2017","FQ4 2017","Currency=INR","Period=FQ","BEST_FPERIOD_OVERRIDE=FQ","FILING_STATUS=OR","EQY_CONSOLIDATED=Y","FA_ADJUSTED=GAAP","Sort=A","Dates=H","DateFormat=P","Fill=—","Direction=H","UseDPDF=Y")</f>
        <v>#NAME?</v>
      </c>
      <c r="I197" t="e">
        <f ca="1">_xll.BDH($C$178,"RETURN_ON_INV_CAPITAL","FQ4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197" t="e">
        <f ca="1">_xll.BDH($C$178,"EBITDA_TO_REVENUE","FQ4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197" t="e">
        <f ca="1">_xll.BDH($C$178,"OPER_MARGIN","FQ4 2017","FQ4 2017","Currency=INR","Period=FQ","BEST_FPERIOD_OVERRIDE=FQ","FILING_STATUS=OR","EQY_CONSOLIDATED=Y","FA_ADJUSTED=GAAP","Sort=A","Dates=H","DateFormat=P","Fill=—","Direction=H","UseDPDF=Y")</f>
        <v>#NAME?</v>
      </c>
      <c r="L197" t="e">
        <f ca="1">_xll.BDH($C$178,"INCREMENTAL_OPERATING_MARGIN","FQ4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197" t="e">
        <f ca="1">_xll.BDH($C$178,"PRETAX_INC_TO_NET_SALES","FQ4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197" t="e">
        <f ca="1">_xll.BDH($C$178,"INC_BEF_XO_ITEMS_TO_NET_SALES","FQ4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197" t="e">
        <f ca="1">_xll.BDH($C$178,"PROF_MARGIN","FQ4 2017","FQ4 2017","Currency=INR","Period=FQ","BEST_FPERIOD_OVERRIDE=FQ","FILING_STATUS=OR","EQY_CONSOLIDATED=Y","FA_ADJUSTED=GAAP","Sort=A","Dates=H","DateFormat=P","Fill=—","Direction=H","UseDPDF=Y")</f>
        <v>#NAME?</v>
      </c>
      <c r="P197" t="e">
        <f ca="1">_xll.BDH($C$178,"NET_INCOME_TO_COMMON_MARGIN","FQ4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197" t="e">
        <f ca="1">_xll.BDH($C$178,"EFF_TAX_RATE","FQ4 2017","FQ4 2017","Currency=INR","Period=FQ","BEST_FPERIOD_OVERRIDE=FQ","FILING_STATUS=OR","EQY_CONSOLIDATED=Y","FA_ADJUSTED=GAAP","Sort=A","Dates=H","DateFormat=P","Fill=—","Direction=H","UseDPDF=Y")</f>
        <v>#NAME?</v>
      </c>
      <c r="R197" t="e">
        <f ca="1">_xll.BDH($C$178,"DVD_PAYOUT_RATIO","FQ4 2017","FQ4 2017","Currency=INR","Period=FQ","BEST_FPERIOD_OVERRIDE=FQ","FILING_STATUS=OR","EQY_CONSOLIDATED=Y","FA_ADJUSTED=GAAP","Sort=A","Dates=H","DateFormat=P","Fill=—","Direction=H","UseDPDF=Y")</f>
        <v>#NAME?</v>
      </c>
      <c r="S197" t="e">
        <f ca="1">_xll.BDH($C$178,"SUSTAIN_GROWTH_RT","FQ4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197" s="2" t="e">
        <f ca="1">_xll.BDH($C$178,"SALES_GROWTH","FQ4 2017","FQ4 2017","Currency=INR","Period=FQ","BEST_FPERIOD_OVERRIDE=FQ","FILING_STATUS=OR","EQY_CONSOLIDATED=Y","FA_ADJUSTED=GAAP","Sort=A","Dates=H","DateFormat=P","Fill=—","Direction=H","UseDPDF=Y")</f>
        <v>#NAME?</v>
      </c>
      <c r="U197" s="2" t="e">
        <f ca="1">_xll.BDH($C$178,"EBITDA_GROWTH","FQ4 2017","FQ4 2017","Currency=INR","Period=FQ","BEST_FPERIOD_OVERRIDE=FQ","FILING_STATUS=OR","EQY_CONSOLIDATED=Y","FA_ADJUSTED=GAAP","Sort=A","Dates=H","DateFormat=P","Fill=—","Direction=H","UseDPDF=Y")</f>
        <v>#NAME?</v>
      </c>
      <c r="V197" s="2" t="e">
        <f ca="1">_xll.BDH($C$178,"OPER_INC_GROWTH","FQ4 2017","FQ4 2017","Currency=INR","Period=FQ","BEST_FPERIOD_OVERRIDE=FQ","FILING_STATUS=OR","EQY_CONSOLIDATED=Y","FA_ADJUSTED=GAAP","Sort=A","Dates=H","DateFormat=P","Fill=—","Direction=H","UseDPDF=Y")</f>
        <v>#NAME?</v>
      </c>
      <c r="W197" s="2" t="e">
        <f ca="1">_xll.BDH($C$178,"EARN_FOR_COM_GROWTH","FQ4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197" s="2" t="e">
        <f ca="1">_xll.BDH($C$178,"DILUTED_EPS_AFT_XO_ITEMS_GROWTH","FQ4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197" s="2" t="e">
        <f ca="1">_xll.BDH($C$178,"DIVIDEND_PER_SHARE_1_YEAR_GROWTH","FQ4 2017","FQ4 2017","Currency=INR","Period=FQ","BEST_FPERIOD_OVERRIDE=FQ","FILING_STATUS=OR","EQY_CONSOLIDATED=Y","Sort=A","Dates=H","DateFormat=P","Fill=—","Direction=H","UseDPDF=Y")</f>
        <v>#NAME?</v>
      </c>
      <c r="Z197" s="2" t="e">
        <f ca="1">_xll.BDH($C$178,"ACCOUNTS_RECEIVABLE_GROWTH","FQ4 2017","FQ4 2017","Currency=INR","Period=FQ","BEST_FPERIOD_OVERRIDE=FQ","FILING_STATUS=OR","EQY_CONSOLIDATED=Y","Sort=A","Dates=H","DateFormat=P","Fill=—","Direction=H","UseDPDF=Y")</f>
        <v>#NAME?</v>
      </c>
      <c r="AA197" s="2" t="e">
        <f ca="1">_xll.BDH($C$178,"INVENTORY_GROWTH","FQ4 2017","FQ4 2017","Currency=INR","Period=FQ","BEST_FPERIOD_OVERRIDE=FQ","FILING_STATUS=OR","EQY_CONSOLIDATED=Y","Sort=A","Dates=H","DateFormat=P","Fill=—","Direction=H","UseDPDF=Y")</f>
        <v>#NAME?</v>
      </c>
      <c r="AB197" s="2" t="e">
        <f ca="1">_xll.BDH($C$178,"NET_FIXED_ASSETS_1_YEAR_GROWTH","FQ4 2017","FQ4 2017","Currency=INR","Period=FQ","BEST_FPERIOD_OVERRIDE=FQ","FILING_STATUS=OR","EQY_CONSOLIDATED=Y","Sort=A","Dates=H","DateFormat=P","Fill=—","Direction=H","UseDPDF=Y")</f>
        <v>#NAME?</v>
      </c>
      <c r="AC197" s="2" t="e">
        <f ca="1">_xll.BDH($C$178,"ASSET_GROWTH","FQ4 2017","FQ4 2017","Currency=INR","Period=FQ","BEST_FPERIOD_OVERRIDE=FQ","FILING_STATUS=OR","EQY_CONSOLIDATED=Y","Sort=A","Dates=H","DateFormat=P","Fill=—","Direction=H","UseDPDF=Y")</f>
        <v>#NAME?</v>
      </c>
      <c r="AD197" s="2" t="e">
        <f ca="1">_xll.BDH($C$178,"MODIFIED_WORK_CAP_GROWTH","FQ4 2017","FQ4 2017","Currency=INR","Period=FQ","BEST_FPERIOD_OVERRIDE=FQ","FILING_STATUS=OR","EQY_CONSOLIDATED=Y","Sort=A","Dates=H","DateFormat=P","Fill=—","Direction=H","UseDPDF=Y")</f>
        <v>#NAME?</v>
      </c>
      <c r="AE197" s="2" t="e">
        <f ca="1">_xll.BDH($C$178,"WORK_CAP_GROWTH","FQ4 2017","FQ4 2017","Currency=INR","Period=FQ","BEST_FPERIOD_OVERRIDE=FQ","FILING_STATUS=OR","EQY_CONSOLIDATED=Y","Sort=A","Dates=H","DateFormat=P","Fill=—","Direction=H","UseDPDF=Y")</f>
        <v>#NAME?</v>
      </c>
      <c r="AF197" s="2" t="e">
        <f ca="1">_xll.BDH($C$178,"ACCOUNTS_PAYABLE_GROWTH_1YR","FQ4 2017","FQ4 2017","Currency=INR","Period=FQ","BEST_FPERIOD_OVERRIDE=FQ","FILING_STATUS=OR","EQY_CONSOLIDATED=Y","Sort=A","Dates=H","DateFormat=P","Fill=—","Direction=H","UseDPDF=Y")</f>
        <v>#NAME?</v>
      </c>
      <c r="AG197" s="2" t="e">
        <f ca="1">_xll.BDH($C$178,"SHORT_TERM_DEBT_1_YEAR_GROWTH","FQ4 2017","FQ4 2017","Currency=INR","Period=FQ","BEST_FPERIOD_OVERRIDE=FQ","FILING_STATUS=OR","EQY_CONSOLIDATED=Y","Sort=A","Dates=H","DateFormat=P","Fill=—","Direction=H","UseDPDF=Y")</f>
        <v>#NAME?</v>
      </c>
      <c r="AH197" s="2" t="e">
        <f ca="1">_xll.BDH($C$178,"TOTAL_DEBT_1_YEAR_GROWTH","FQ4 2017","FQ4 2017","Currency=INR","Period=FQ","BEST_FPERIOD_OVERRIDE=FQ","FILING_STATUS=OR","EQY_CONSOLIDATED=Y","Sort=A","Dates=H","DateFormat=P","Fill=—","Direction=H","UseDPDF=Y")</f>
        <v>#NAME?</v>
      </c>
      <c r="AI197" s="2" t="e">
        <f ca="1">_xll.BDH($C$178,"TOTAL_EQUITY_1_YEAR_GROWTH","FQ4 2017","FQ4 2017","Currency=INR","Period=FQ","BEST_FPERIOD_OVERRIDE=FQ","FILING_STATUS=OR","EQY_CONSOLIDATED=Y","Sort=A","Dates=H","DateFormat=P","Fill=—","Direction=H","UseDPDF=Y")</f>
        <v>#NAME?</v>
      </c>
      <c r="AJ197" s="2" t="e">
        <f ca="1">_xll.BDH($C$178,"GROWTH_IN_CAP","FQ4 2017","FQ4 2017","Currency=INR","Period=FQ","BEST_FPERIOD_OVERRIDE=FQ","FILING_STATUS=OR","EQY_CONSOLIDATED=Y","Sort=A","Dates=H","DateFormat=P","Fill=—","Direction=H","UseDPDF=Y")</f>
        <v>#NAME?</v>
      </c>
      <c r="AK197" s="2" t="e">
        <f ca="1">_xll.BDH($C$178,"BVPS_GROWTH","FQ4 2017","FQ4 2017","Currency=INR","Period=FQ","BEST_FPERIOD_OVERRIDE=FQ","FILING_STATUS=OR","EQY_CONSOLIDATED=Y","Sort=A","Dates=H","DateFormat=P","Fill=—","Direction=H","UseDPDF=Y")</f>
        <v>#NAME?</v>
      </c>
      <c r="AL197" s="2" t="e">
        <f ca="1">_xll.BDH($C$178,"CASH_FLOW_GROWTH","FQ4 2017","FQ4 2017","Currency=INR","Period=FQ","BEST_FPERIOD_OVERRIDE=FQ","FILING_STATUS=OR","EQY_CONSOLIDATED=Y","Sort=A","Dates=H","DateFormat=P","Fill=—","Direction=H","UseDPDF=Y")</f>
        <v>#NAME?</v>
      </c>
      <c r="AM197" s="2" t="e">
        <f ca="1">_xll.BDH($C$178,"GEO_GROW_NET_SALES","FQ4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197" s="2" t="e">
        <f ca="1">_xll.BDH($C$178,"GEO_GROW_EBITDA","FQ4 2017","FQ4 2017","Currency=INR","Period=FQ","BEST_FPERIOD_OVERRIDE=FQ","FILING_STATUS=OR","EQY_CONSOLIDATED=Y","FA_ADJUSTED=GAAP","Sort=A","Dates=H","DateFormat=P","Fill=—","Direction=H","UseDPDF=Y")</f>
        <v>#NAME?</v>
      </c>
      <c r="AO197" s="2" t="e">
        <f ca="1">_xll.BDH($C$178,"GEO_GROW_OPER_INC","FQ4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197" s="2" t="e">
        <f ca="1">_xll.BDH($C$178,"NET_INCOME_TO_COMMON_5_YR_GROWTH","FQ4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197" s="2" t="e">
        <f ca="1">_xll.BDH($C$178,"5Y_GEO_GROWTH_DILUTED_EPS","FQ4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197" s="2" t="e">
        <f ca="1">_xll.BDH($C$178,"GEO_GROW_DVD_PER_SH","FQ4 2017","FQ4 2017","Currency=INR","Period=FQ","BEST_FPERIOD_OVERRIDE=FQ","FILING_STATUS=OR","EQY_CONSOLIDATED=Y","Sort=A","Dates=H","DateFormat=P","Fill=—","Direction=H","UseDPDF=Y")</f>
        <v>#NAME?</v>
      </c>
      <c r="AS197" s="2" t="e">
        <f ca="1">_xll.BDH($C$178,"ACCOUNTS_RECEIVABLE_5_YR_GROWTH","FQ4 2017","FQ4 2017","Currency=INR","Period=FQ","BEST_FPERIOD_OVERRIDE=FQ","FILING_STATUS=OR","EQY_CONSOLIDATED=Y","Sort=A","Dates=H","DateFormat=P","Fill=—","Direction=H","UseDPDF=Y")</f>
        <v>#NAME?</v>
      </c>
      <c r="AT197" s="2" t="e">
        <f ca="1">_xll.BDH($C$178,"INVENTORY_5_YEAR_GROWTH","FQ4 2017","FQ4 2017","Currency=INR","Period=FQ","BEST_FPERIOD_OVERRIDE=FQ","FILING_STATUS=OR","EQY_CONSOLIDATED=Y","Sort=A","Dates=H","DateFormat=P","Fill=—","Direction=H","UseDPDF=Y")</f>
        <v>#NAME?</v>
      </c>
      <c r="AU197" s="2" t="e">
        <f ca="1">_xll.BDH($C$178,"NET_FIXED_ASSETS_5_YEAR_GROWTH","FQ4 2017","FQ4 2017","Currency=INR","Period=FQ","BEST_FPERIOD_OVERRIDE=FQ","FILING_STATUS=OR","EQY_CONSOLIDATED=Y","Sort=A","Dates=H","DateFormat=P","Fill=—","Direction=H","UseDPDF=Y")</f>
        <v>#NAME?</v>
      </c>
      <c r="AV197" s="2" t="e">
        <f ca="1">_xll.BDH($C$178,"GEO_GROW_TOT_ASSET","FQ4 2017","FQ4 2017","Currency=INR","Period=FQ","BEST_FPERIOD_OVERRIDE=FQ","FILING_STATUS=OR","EQY_CONSOLIDATED=Y","Sort=A","Dates=H","DateFormat=P","Fill=—","Direction=H","UseDPDF=Y")</f>
        <v>#NAME?</v>
      </c>
      <c r="AW197" s="2" t="e">
        <f ca="1">_xll.BDH($C$178,"MODIFIED_WORKING_CPTL_5YR_GRWTH","FQ4 2017","FQ4 2017","Currency=INR","Period=FQ","BEST_FPERIOD_OVERRIDE=FQ","FILING_STATUS=OR","EQY_CONSOLIDATED=Y","Sort=A","Dates=H","DateFormat=P","Fill=—","Direction=H","UseDPDF=Y")</f>
        <v>#NAME?</v>
      </c>
      <c r="AX197" s="2" t="e">
        <f ca="1">_xll.BDH($C$178,"WORKING_CAPITAL_5_YEAR_GROWTH","FQ4 2017","FQ4 2017","Currency=INR","Period=FQ","BEST_FPERIOD_OVERRIDE=FQ","FILING_STATUS=OR","EQY_CONSOLIDATED=Y","Sort=A","Dates=H","DateFormat=P","Fill=—","Direction=H","UseDPDF=Y")</f>
        <v>#NAME?</v>
      </c>
      <c r="AY197" s="2" t="e">
        <f ca="1">_xll.BDH($C$178,"ACCOUNTS_PAYABLE_5_YEAR_GROWTH","FQ4 2017","FQ4 2017","Currency=INR","Period=FQ","BEST_FPERIOD_OVERRIDE=FQ","FILING_STATUS=OR","EQY_CONSOLIDATED=Y","Sort=A","Dates=H","DateFormat=P","Fill=—","Direction=H","UseDPDF=Y")</f>
        <v>#NAME?</v>
      </c>
      <c r="AZ197" s="2" t="e">
        <f ca="1">_xll.BDH($C$178,"SHORT_TERM_DEBT_5_YEAR_GROWTH","FQ4 2017","FQ4 2017","Currency=INR","Period=FQ","BEST_FPERIOD_OVERRIDE=FQ","FILING_STATUS=OR","EQY_CONSOLIDATED=Y","Sort=A","Dates=H","DateFormat=P","Fill=—","Direction=H","UseDPDF=Y")</f>
        <v>#NAME?</v>
      </c>
      <c r="BA197" s="2" t="e">
        <f ca="1">_xll.BDH($C$178,"TOTAL_DEBT_5_YEAR_GROWTH","FQ4 2017","FQ4 2017","Currency=INR","Period=FQ","BEST_FPERIOD_OVERRIDE=FQ","FILING_STATUS=OR","EQY_CONSOLIDATED=Y","Sort=A","Dates=H","DateFormat=P","Fill=—","Direction=H","UseDPDF=Y")</f>
        <v>#NAME?</v>
      </c>
      <c r="BB197" s="2" t="e">
        <f ca="1">_xll.BDH($C$178,"GEO_GROW_TOT_SHRHLDR_EQY","FQ4 2017","FQ4 2017","Currency=INR","Period=FQ","BEST_FPERIOD_OVERRIDE=FQ","FILING_STATUS=OR","EQY_CONSOLIDATED=Y","Sort=A","Dates=H","DateFormat=P","Fill=—","Direction=H","UseDPDF=Y")</f>
        <v>#NAME?</v>
      </c>
      <c r="BC197" s="2" t="e">
        <f ca="1">_xll.BDH($C$178,"TOTAL_CAPITAL_5_YEAR_GROWTH","FQ4 2017","FQ4 2017","Currency=INR","Period=FQ","BEST_FPERIOD_OVERRIDE=FQ","FILING_STATUS=OR","EQY_CONSOLIDATED=Y","Sort=A","Dates=H","DateFormat=P","Fill=—","Direction=H","UseDPDF=Y")</f>
        <v>#NAME?</v>
      </c>
      <c r="BD197" s="2" t="e">
        <f ca="1">_xll.BDH($C$178,"GEO_GROW_BOOK_VAL","FQ4 2017","FQ4 2017","Currency=INR","Period=FQ","BEST_FPERIOD_OVERRIDE=FQ","FILING_STATUS=OR","EQY_CONSOLIDATED=Y","Sort=A","Dates=H","DateFormat=P","Fill=—","Direction=H","UseDPDF=Y")</f>
        <v>#NAME?</v>
      </c>
      <c r="BE197" s="2" t="e">
        <f ca="1">_xll.BDH($C$178,"GEO_GROW_CASH_OPER_ACT","FQ4 2017","FQ4 2017","Currency=INR","Period=FQ","BEST_FPERIOD_OVERRIDE=FQ","FILING_STATUS=OR","EQY_CONSOLIDATED=Y","Sort=A","Dates=H","DateFormat=P","Fill=—","Direction=H","UseDPDF=Y")</f>
        <v>#NAME?</v>
      </c>
      <c r="BF197" s="2" t="e">
        <f ca="1">_xll.BDH($C$178,"REVENUE_SEQUENTIAL_GROWTH","FQ4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197" s="2" t="e">
        <f ca="1">_xll.BDH($C$178,"EBITDA_SEQUENTIAL_GROWTH","FQ4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197" s="2" t="e">
        <f ca="1">_xll.BDH($C$178,"OPERATING_INCOME_SEQ_GROWTH","FQ4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197" s="2" t="e">
        <f ca="1">_xll.BDH($C$178,"NET_INCOME_TO_COMMON_SEQ_GROWTH","FQ4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197" s="2" t="e">
        <f ca="1">_xll.BDH($C$178,"EPS_DILUTED_SEQUENTIAL_GROWTH","FQ4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197" s="2" t="e">
        <f ca="1">_xll.BDH($C$178,"DPS_SEQUENTIAL_GROWTH","FQ4 2017","FQ4 2017","Currency=INR","Period=FQ","BEST_FPERIOD_OVERRIDE=FQ","FILING_STATUS=OR","EQY_CONSOLIDATED=Y","Sort=A","Dates=H","DateFormat=P","Fill=—","Direction=H","UseDPDF=Y")</f>
        <v>#NAME?</v>
      </c>
      <c r="BL197" s="2" t="e">
        <f ca="1">_xll.BDH($C$178,"ACCOUNTS_RECEIVABLE_SEQ_GROWTH","FQ4 2017","FQ4 2017","Currency=INR","Period=FQ","BEST_FPERIOD_OVERRIDE=FQ","FILING_STATUS=OR","EQY_CONSOLIDATED=Y","Sort=A","Dates=H","DateFormat=P","Fill=—","Direction=H","UseDPDF=Y")</f>
        <v>#NAME?</v>
      </c>
      <c r="BM197" s="2" t="e">
        <f ca="1">_xll.BDH($C$178,"INVENTORY_SEQUENTIAL_GROWTH","FQ4 2017","FQ4 2017","Currency=INR","Period=FQ","BEST_FPERIOD_OVERRIDE=FQ","FILING_STATUS=OR","EQY_CONSOLIDATED=Y","Sort=A","Dates=H","DateFormat=P","Fill=—","Direction=H","UseDPDF=Y")</f>
        <v>#NAME?</v>
      </c>
      <c r="BN197" s="2" t="e">
        <f ca="1">_xll.BDH($C$178,"FIXED_ASSETS_SEQUENTIAL_GROWTH","FQ4 2017","FQ4 2017","Currency=INR","Period=FQ","BEST_FPERIOD_OVERRIDE=FQ","FILING_STATUS=OR","EQY_CONSOLIDATED=Y","Sort=A","Dates=H","DateFormat=P","Fill=—","Direction=H","UseDPDF=Y")</f>
        <v>#NAME?</v>
      </c>
      <c r="BO197" s="2" t="e">
        <f ca="1">_xll.BDH($C$178,"TOTAL_ASSETS_SEQUENTIAL_GROWTH","FQ4 2017","FQ4 2017","Currency=INR","Period=FQ","BEST_FPERIOD_OVERRIDE=FQ","FILING_STATUS=OR","EQY_CONSOLIDATED=Y","Sort=A","Dates=H","DateFormat=P","Fill=—","Direction=H","UseDPDF=Y")</f>
        <v>#NAME?</v>
      </c>
      <c r="BP197" s="2" t="e">
        <f ca="1">_xll.BDH($C$178,"MODIFIED_WORKING_CPTL_SEQ_GRWTH","FQ4 2017","FQ4 2017","Currency=INR","Period=FQ","BEST_FPERIOD_OVERRIDE=FQ","FILING_STATUS=OR","EQY_CONSOLIDATED=Y","Sort=A","Dates=H","DateFormat=P","Fill=—","Direction=H","UseDPDF=Y")</f>
        <v>#NAME?</v>
      </c>
      <c r="BQ197" s="2" t="e">
        <f ca="1">_xll.BDH($C$178,"WORKING_CAPITAL_SEQ_GROWTH","FQ4 2017","FQ4 2017","Currency=INR","Period=FQ","BEST_FPERIOD_OVERRIDE=FQ","FILING_STATUS=OR","EQY_CONSOLIDATED=Y","Sort=A","Dates=H","DateFormat=P","Fill=—","Direction=H","UseDPDF=Y")</f>
        <v>#NAME?</v>
      </c>
      <c r="BR197" s="2" t="e">
        <f ca="1">_xll.BDH($C$178,"ACCOUNTS_PAYABLE_SEQ_GROWTH","FQ4 2017","FQ4 2017","Currency=INR","Period=FQ","BEST_FPERIOD_OVERRIDE=FQ","FILING_STATUS=OR","EQY_CONSOLIDATED=Y","Sort=A","Dates=H","DateFormat=P","Fill=—","Direction=H","UseDPDF=Y")</f>
        <v>#NAME?</v>
      </c>
      <c r="BS197" s="2" t="e">
        <f ca="1">_xll.BDH($C$178,"ST_DEBT_SEQUENTIAL_GROWTH","FQ4 2017","FQ4 2017","Currency=INR","Period=FQ","BEST_FPERIOD_OVERRIDE=FQ","FILING_STATUS=OR","EQY_CONSOLIDATED=Y","Sort=A","Dates=H","DateFormat=P","Fill=—","Direction=H","UseDPDF=Y")</f>
        <v>#NAME?</v>
      </c>
      <c r="BT197" s="2" t="e">
        <f ca="1">_xll.BDH($C$178,"TOTAL_DEBT_SEQUENTIAL_GROWTH","FQ4 2017","FQ4 2017","Currency=INR","Period=FQ","BEST_FPERIOD_OVERRIDE=FQ","FILING_STATUS=OR","EQY_CONSOLIDATED=Y","Sort=A","Dates=H","DateFormat=P","Fill=—","Direction=H","UseDPDF=Y")</f>
        <v>#NAME?</v>
      </c>
      <c r="BU197" s="2" t="e">
        <f ca="1">_xll.BDH($C$178,"TOTAL_EQUITY_SEQUENTIAL_GROWTH","FQ4 2017","FQ4 2017","Currency=INR","Period=FQ","BEST_FPERIOD_OVERRIDE=FQ","FILING_STATUS=OR","EQY_CONSOLIDATED=Y","Sort=A","Dates=H","DateFormat=P","Fill=—","Direction=H","UseDPDF=Y")</f>
        <v>#NAME?</v>
      </c>
      <c r="BV197" s="2" t="e">
        <f ca="1">_xll.BDH($C$178,"TOTAL_CAPITAL_SEQUENTIAL_GROWTH","FQ4 2017","FQ4 2017","Currency=INR","Period=FQ","BEST_FPERIOD_OVERRIDE=FQ","FILING_STATUS=OR","EQY_CONSOLIDATED=Y","Sort=A","Dates=H","DateFormat=P","Fill=—","Direction=H","UseDPDF=Y")</f>
        <v>#NAME?</v>
      </c>
      <c r="BW197" s="2" t="e">
        <f ca="1">_xll.BDH($C$178,"BPS_SEQUENTIAL_GROWTH","FQ4 2017","FQ4 2017","Currency=INR","Period=FQ","BEST_FPERIOD_OVERRIDE=FQ","FILING_STATUS=OR","EQY_CONSOLIDATED=Y","Sort=A","Dates=H","DateFormat=P","Fill=—","Direction=H","UseDPDF=Y")</f>
        <v>#NAME?</v>
      </c>
      <c r="BX197" s="2" t="e">
        <f ca="1">_xll.BDH($C$178,"CFO_SEQUENTIAL_GROWTH","FQ4 2017","FQ4 2017","Currency=INR","Period=FQ","BEST_FPERIOD_OVERRIDE=FQ","FILING_STATUS=OR","EQY_CONSOLIDATED=Y","Sort=A","Dates=H","DateFormat=P","Fill=—","Direction=H","UseDPDF=Y")</f>
        <v>#NAME?</v>
      </c>
      <c r="BY197" s="3" t="e">
        <f ca="1">_xll.BDH($C$178,"SHORT_AND_LONG_TERM_DEBT","FQ4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197" s="3" t="e">
        <f ca="1">_xll.BDH($C$178,"BS_ST_BORROW","FQ4 2017","FQ4 2017","Currency=INR","Period=FQ","BEST_FPERIOD_OVERRIDE=FQ","FILING_STATUS=OR","EQY_CONSOLIDATED=Y","SCALING_FORMAT=MLN","Sort=A","Dates=H","DateFormat=P","Fill=—","Direction=H","UseDPDF=Y")</f>
        <v>#NAME?</v>
      </c>
      <c r="CA197" s="3" t="e">
        <f ca="1">_xll.BDH($C$178,"BS_LT_BORROW","FQ4 2017","FQ4 2017","Currency=INR","Period=FQ","BEST_FPERIOD_OVERRIDE=FQ","FILING_STATUS=OR","EQY_CONSOLIDATED=Y","SCALING_FORMAT=MLN","Sort=A","Dates=H","DateFormat=P","Fill=—","Direction=H","UseDPDF=Y")</f>
        <v>#NAME?</v>
      </c>
      <c r="CB197" s="2" t="e">
        <f ca="1">_xll.BDH($C$178,"TOT_DEBT_TO_EBITDA","FQ4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197" s="2" t="e">
        <f ca="1">_xll.BDH($C$178,"NET_DEBT_TO_EBITDA","FQ4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197" s="2" t="e">
        <f ca="1">_xll.BDH($C$178,"TOTAL_DEBT_TO_EBIT","FQ4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197" s="2" t="e">
        <f ca="1">_xll.BDH($C$178,"NET_DEBT_TO_EBIT","FQ4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197" s="2" t="e">
        <f ca="1">_xll.BDH($C$178,"EBITDA_TO_INTEREST_EXPN","FQ4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197" s="2" t="e">
        <f ca="1">_xll.BDH($C$178,"COM_EQY_TO_TOT_ASSET","FQ4 2017","FQ4 2017","Currency=INR","Period=FQ","BEST_FPERIOD_OVERRIDE=FQ","FILING_STATUS=OR","EQY_CONSOLIDATED=Y","Sort=A","Dates=H","DateFormat=P","Fill=—","Direction=H","UseDPDF=Y")</f>
        <v>#NAME?</v>
      </c>
      <c r="CH197" s="2" t="e">
        <f ca="1">_xll.BDH($C$178,"LT_DEBT_TO_TOT_EQY","FQ4 2017","FQ4 2017","Currency=INR","Period=FQ","BEST_FPERIOD_OVERRIDE=FQ","FILING_STATUS=OR","EQY_CONSOLIDATED=Y","Sort=A","Dates=H","DateFormat=P","Fill=—","Direction=H","UseDPDF=Y")</f>
        <v>#NAME?</v>
      </c>
      <c r="CI197" s="2" t="e">
        <f ca="1">_xll.BDH($C$178,"LT_DEBT_TO_TOT_CAP","FQ4 2017","FQ4 2017","Currency=INR","Period=FQ","BEST_FPERIOD_OVERRIDE=FQ","FILING_STATUS=OR","EQY_CONSOLIDATED=Y","Sort=A","Dates=H","DateFormat=P","Fill=—","Direction=H","UseDPDF=Y")</f>
        <v>#NAME?</v>
      </c>
      <c r="CJ197" s="2" t="e">
        <f ca="1">_xll.BDH($C$178,"LT_DEBT_TO_TOT_ASSET","FQ4 2017","FQ4 2017","Currency=INR","Period=FQ","BEST_FPERIOD_OVERRIDE=FQ","FILING_STATUS=OR","EQY_CONSOLIDATED=Y","Sort=A","Dates=H","DateFormat=P","Fill=—","Direction=H","UseDPDF=Y")</f>
        <v>#NAME?</v>
      </c>
      <c r="CK197" s="2" t="e">
        <f ca="1">_xll.BDH($C$178,"TOT_DEBT_TO_TOT_EQY","FQ4 2017","FQ4 2017","Currency=INR","Period=FQ","BEST_FPERIOD_OVERRIDE=FQ","FILING_STATUS=OR","EQY_CONSOLIDATED=Y","Sort=A","Dates=H","DateFormat=P","Fill=—","Direction=H","UseDPDF=Y")</f>
        <v>#NAME?</v>
      </c>
      <c r="CL197" s="2" t="e">
        <f ca="1">_xll.BDH($C$178,"TOT_DEBT_TO_TOT_CAP","FQ4 2017","FQ4 2017","Currency=INR","Period=FQ","BEST_FPERIOD_OVERRIDE=FQ","FILING_STATUS=OR","EQY_CONSOLIDATED=Y","Sort=A","Dates=H","DateFormat=P","Fill=—","Direction=H","UseDPDF=Y")</f>
        <v>#NAME?</v>
      </c>
      <c r="CM197" s="2" t="e">
        <f ca="1">_xll.BDH($C$178,"TOT_DEBT_TO_TOT_ASSET","FQ4 2017","FQ4 2017","Currency=INR","Period=FQ","BEST_FPERIOD_OVERRIDE=FQ","FILING_STATUS=OR","EQY_CONSOLIDATED=Y","Sort=A","Dates=H","DateFormat=P","Fill=—","Direction=H","UseDPDF=Y")</f>
        <v>#NAME?</v>
      </c>
      <c r="CN197" s="2" t="e">
        <f ca="1">_xll.BDH($C$178,"NET_DEBT_TO_SHRHLDR_EQTY","FQ4 2017","FQ4 2017","Currency=INR","Period=FQ","BEST_FPERIOD_OVERRIDE=FQ","FILING_STATUS=OR","EQY_CONSOLIDATED=Y","Sort=A","Dates=H","DateFormat=P","Fill=—","Direction=H","UseDPDF=Y")</f>
        <v>#NAME?</v>
      </c>
      <c r="CO197" s="2" t="e">
        <f ca="1">_xll.BDH($C$178,"NET_DEBT_%_CAPITAL","FQ4 2017","FQ4 2017","Currency=INR","Period=FQ","BEST_FPERIOD_OVERRIDE=FQ","FILING_STATUS=OR","EQY_CONSOLIDATED=Y","Sort=A","Dates=H","DateFormat=P","Fill=—","Direction=H","UseDPDF=Y")</f>
        <v>#NAME?</v>
      </c>
      <c r="CP197" s="3" t="e">
        <f ca="1">_xll.BDH($C$178,"EBITDA","FQ4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197" s="3" t="e">
        <f ca="1">_xll.BDH($C$178,"EBITDA_AFTER_CAPEX","FQ4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197" s="3" t="e">
        <f ca="1">_xll.BDH($C$178,"IS_OPER_INC","FQ4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197" s="2" t="e">
        <f ca="1">_xll.BDH($C$178,"CASH_RATIO","FQ4 2017","FQ4 2017","Currency=INR","Period=FQ","BEST_FPERIOD_OVERRIDE=FQ","FILING_STATUS=OR","EQY_CONSOLIDATED=Y","Sort=A","Dates=H","DateFormat=P","Fill=—","Direction=H","UseDPDF=Y")</f>
        <v>#NAME?</v>
      </c>
      <c r="CT197" s="2" t="e">
        <f ca="1">_xll.BDH($C$178,"CUR_RATIO","FQ4 2017","FQ4 2017","Currency=INR","Period=FQ","BEST_FPERIOD_OVERRIDE=FQ","FILING_STATUS=OR","EQY_CONSOLIDATED=Y","Sort=A","Dates=H","DateFormat=P","Fill=—","Direction=H","UseDPDF=Y")</f>
        <v>#NAME?</v>
      </c>
      <c r="CU197" s="2" t="e">
        <f ca="1">_xll.BDH($C$178,"QUICK_RATIO","FQ4 2017","FQ4 2017","Currency=INR","Period=FQ","BEST_FPERIOD_OVERRIDE=FQ","FILING_STATUS=OR","EQY_CONSOLIDATED=Y","Sort=A","Dates=H","DateFormat=P","Fill=—","Direction=H","UseDPDF=Y")</f>
        <v>#NAME?</v>
      </c>
      <c r="CV197" s="2" t="e">
        <f ca="1">_xll.BDH($C$178,"ALTMAN_Z_SCORE","FQ4 2017","FQ4 2017","Currency=INR","Period=FQ","BEST_FPERIOD_OVERRIDE=FQ","FILING_STATUS=OR","EQY_CONSOLIDATED=Y","Sort=A","Dates=H","DateFormat=P","Fill=—","Direction=H","UseDPDF=Y")</f>
        <v>#NAME?</v>
      </c>
      <c r="CW197" s="4" t="e">
        <f ca="1">_xll.BDH($C$178,"ACCT_RCV_TURN","FQ4 2017","FQ4 2017","Currency=INR","Period=FQ","BEST_FPERIOD_OVERRIDE=FQ","FILING_STATUS=OR","EQY_CONSOLIDATED=Y","FA_ADJUSTED=GAAP","Sort=A","Dates=H","DateFormat=P","Fill=—","Direction=H","UseDPDF=Y")</f>
        <v>#NAME?</v>
      </c>
      <c r="CX197" s="2" t="e">
        <f ca="1">_xll.BDH($C$178,"ACCT_RCV_DAYS","FQ4 2017","FQ4 2017","Currency=INR","Period=FQ","BEST_FPERIOD_OVERRIDE=FQ","FILING_STATUS=OR","EQY_CONSOLIDATED=Y","FA_ADJUSTED=GAAP","Sort=A","Dates=H","DateFormat=P","Fill=—","Direction=H","UseDPDF=Y")</f>
        <v>#NAME?</v>
      </c>
      <c r="CY197" s="4" t="e">
        <f ca="1">_xll.BDH($C$178,"INVENT_TURN","FQ4 2017","FQ4 2017","Currency=INR","Period=FQ","BEST_FPERIOD_OVERRIDE=FQ","FILING_STATUS=OR","EQY_CONSOLIDATED=Y","FA_ADJUSTED=GAAP","Sort=A","Dates=H","DateFormat=P","Fill=—","Direction=H","UseDPDF=Y")</f>
        <v>#NAME?</v>
      </c>
      <c r="CZ197" s="2" t="e">
        <f ca="1">_xll.BDH($C$178,"INVENT_DAYS","FQ4 2017","FQ4 2017","Currency=INR","Period=FQ","BEST_FPERIOD_OVERRIDE=FQ","FILING_STATUS=OR","EQY_CONSOLIDATED=Y","FA_ADJUSTED=GAAP","Sort=A","Dates=H","DateFormat=P","Fill=—","Direction=H","UseDPDF=Y")</f>
        <v>#NAME?</v>
      </c>
      <c r="DA197" s="4" t="e">
        <f ca="1">_xll.BDH($C$178,"ACCOUNTS_PAYABLE_TURNOVER","FQ4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197" s="2" t="e">
        <f ca="1">_xll.BDH($C$178,"ACCOUNTS_PAYABLE_TURNOVER_DAYS","FQ4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197" s="4" t="e">
        <f ca="1">_xll.BDH($C$178,"CASH_CONVERSION_CYCLE","FQ4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197" s="4" t="e">
        <f ca="1">_xll.BDH($C$178,"INV_TO_CASH_DAYS","FQ4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197" s="5" t="e">
        <f ca="1">_xll.BDH($C$178,"BS_INVENTORIES","FQ4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197" s="3" t="e">
        <f ca="1">_xll.BDH($C$178,"INVTRY_RAW_MATERIALS","FQ4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197" s="3" t="e">
        <f ca="1">_xll.BDH($C$178,"INVTRY_IN_PROGRESS","FQ4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197" s="3" t="e">
        <f ca="1">_xll.BDH($C$178,"INVTRY_FINISHED_GOODS","FQ4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197" s="3" t="e">
        <f ca="1">_xll.BDH($C$178,"BS_OTHER_INV","FQ4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198" spans="1:113" x14ac:dyDescent="0.3">
      <c r="A198" s="6"/>
      <c r="B198" s="6"/>
      <c r="C198" s="6"/>
      <c r="D198" s="6" t="s">
        <v>85</v>
      </c>
      <c r="E198" t="s">
        <v>77</v>
      </c>
      <c r="F198" t="e">
        <f ca="1">_xll.BDH($C$178,"RETURN_COM_EQY","FY 2018","FY 2018","Currency=INR","Period=FY","BEST_FPERIOD_OVERRIDE=FY","FILING_STATUS=OR","EQY_CONSOLIDATED=Y","FA_ADJUSTED=GAAP","Sort=A","Dates=H","DateFormat=P","Fill=—","Direction=H","UseDPDF=Y")</f>
        <v>#NAME?</v>
      </c>
      <c r="G198" t="e">
        <f ca="1">_xll.BDH($C$178,"RETURN_ON_ASSET","FY 2018","FY 2018","Currency=INR","Period=FY","BEST_FPERIOD_OVERRIDE=FY","FILING_STATUS=OR","EQY_CONSOLIDATED=Y","FA_ADJUSTED=GAAP","Sort=A","Dates=H","DateFormat=P","Fill=—","Direction=H","UseDPDF=Y")</f>
        <v>#NAME?</v>
      </c>
      <c r="H198" t="e">
        <f ca="1">_xll.BDH($C$178,"RETURN_ON_CAP","FY 2018","FY 2018","Currency=INR","Period=FY","BEST_FPERIOD_OVERRIDE=FY","FILING_STATUS=OR","EQY_CONSOLIDATED=Y","FA_ADJUSTED=GAAP","Sort=A","Dates=H","DateFormat=P","Fill=—","Direction=H","UseDPDF=Y")</f>
        <v>#NAME?</v>
      </c>
      <c r="I198" t="e">
        <f ca="1">_xll.BDH($C$178,"RETURN_ON_INV_CAPITAL","FY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198" t="e">
        <f ca="1">_xll.BDH($C$178,"EBITDA_TO_REVENUE","FY 2018","FY 2018","Currency=INR","Period=FY","BEST_FPERIOD_OVERRIDE=FY","FILING_STATUS=OR","EQY_CONSOLIDATED=Y","FA_ADJUSTED=GAAP","Sort=A","Dates=H","DateFormat=P","Fill=—","Direction=H","UseDPDF=Y")</f>
        <v>#NAME?</v>
      </c>
      <c r="K198" t="e">
        <f ca="1">_xll.BDH($C$178,"OPER_MARGIN","FY 2018","FY 2018","Currency=INR","Period=FY","BEST_FPERIOD_OVERRIDE=FY","FILING_STATUS=OR","EQY_CONSOLIDATED=Y","FA_ADJUSTED=GAAP","Sort=A","Dates=H","DateFormat=P","Fill=—","Direction=H","UseDPDF=Y")</f>
        <v>#NAME?</v>
      </c>
      <c r="L198" t="e">
        <f ca="1">_xll.BDH($C$178,"INCREMENTAL_OPERATING_MARGIN","FY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198" t="e">
        <f ca="1">_xll.BDH($C$178,"PRETAX_INC_TO_NET_SALES","FY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198" t="e">
        <f ca="1">_xll.BDH($C$178,"INC_BEF_XO_ITEMS_TO_NET_SALES","FY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198" t="e">
        <f ca="1">_xll.BDH($C$178,"PROF_MARGIN","FY 2018","FY 2018","Currency=INR","Period=FY","BEST_FPERIOD_OVERRIDE=FY","FILING_STATUS=OR","EQY_CONSOLIDATED=Y","FA_ADJUSTED=GAAP","Sort=A","Dates=H","DateFormat=P","Fill=—","Direction=H","UseDPDF=Y")</f>
        <v>#NAME?</v>
      </c>
      <c r="P198" t="e">
        <f ca="1">_xll.BDH($C$178,"NET_INCOME_TO_COMMON_MARGIN","FY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198" t="e">
        <f ca="1">_xll.BDH($C$178,"EFF_TAX_RATE","FY 2018","FY 2018","Currency=INR","Period=FY","BEST_FPERIOD_OVERRIDE=FY","FILING_STATUS=OR","EQY_CONSOLIDATED=Y","FA_ADJUSTED=GAAP","Sort=A","Dates=H","DateFormat=P","Fill=—","Direction=H","UseDPDF=Y")</f>
        <v>#NAME?</v>
      </c>
      <c r="R198" t="e">
        <f ca="1">_xll.BDH($C$178,"DVD_PAYOUT_RATIO","FY 2018","FY 2018","Currency=INR","Period=FY","BEST_FPERIOD_OVERRIDE=FY","FILING_STATUS=OR","EQY_CONSOLIDATED=Y","FA_ADJUSTED=GAAP","Sort=A","Dates=H","DateFormat=P","Fill=—","Direction=H","UseDPDF=Y")</f>
        <v>#NAME?</v>
      </c>
      <c r="S198" t="e">
        <f ca="1">_xll.BDH($C$178,"SUSTAIN_GROWTH_RT","FY 2018","FY 2018","Currency=INR","Period=FY","BEST_FPERIOD_OVERRIDE=FY","FILING_STATUS=OR","EQY_CONSOLIDATED=Y","FA_ADJUSTED=GAAP","Sort=A","Dates=H","DateFormat=P","Fill=—","Direction=H","UseDPDF=Y")</f>
        <v>#NAME?</v>
      </c>
      <c r="T198" s="2" t="e">
        <f ca="1">_xll.BDH($C$178,"SALES_GROWTH","FY 2018","FY 2018","Currency=INR","Period=FY","BEST_FPERIOD_OVERRIDE=FY","FILING_STATUS=OR","EQY_CONSOLIDATED=Y","FA_ADJUSTED=GAAP","Sort=A","Dates=H","DateFormat=P","Fill=—","Direction=H","UseDPDF=Y")</f>
        <v>#NAME?</v>
      </c>
      <c r="U198" s="2" t="e">
        <f ca="1">_xll.BDH($C$178,"EBITDA_GROWTH","FY 2018","FY 2018","Currency=INR","Period=FY","BEST_FPERIOD_OVERRIDE=FY","FILING_STATUS=OR","EQY_CONSOLIDATED=Y","FA_ADJUSTED=GAAP","Sort=A","Dates=H","DateFormat=P","Fill=—","Direction=H","UseDPDF=Y")</f>
        <v>#NAME?</v>
      </c>
      <c r="V198" s="2" t="e">
        <f ca="1">_xll.BDH($C$178,"OPER_INC_GROWTH","FY 2018","FY 2018","Currency=INR","Period=FY","BEST_FPERIOD_OVERRIDE=FY","FILING_STATUS=OR","EQY_CONSOLIDATED=Y","FA_ADJUSTED=GAAP","Sort=A","Dates=H","DateFormat=P","Fill=—","Direction=H","UseDPDF=Y")</f>
        <v>#NAME?</v>
      </c>
      <c r="W198" s="2" t="e">
        <f ca="1">_xll.BDH($C$178,"EARN_FOR_COM_GROWTH","FY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198" s="2" t="e">
        <f ca="1">_xll.BDH($C$178,"DILUTED_EPS_AFT_XO_ITEMS_GROWTH","FY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198" s="2" t="e">
        <f ca="1">_xll.BDH($C$178,"DIVIDEND_PER_SHARE_1_YEAR_GROWTH","FY 2018","FY 2018","Currency=INR","Period=FY","BEST_FPERIOD_OVERRIDE=FY","FILING_STATUS=OR","EQY_CONSOLIDATED=Y","Sort=A","Dates=H","DateFormat=P","Fill=—","Direction=H","UseDPDF=Y")</f>
        <v>#NAME?</v>
      </c>
      <c r="Z198" s="2" t="e">
        <f ca="1">_xll.BDH($C$178,"ACCOUNTS_RECEIVABLE_GROWTH","FY 2018","FY 2018","Currency=INR","Period=FY","BEST_FPERIOD_OVERRIDE=FY","FILING_STATUS=OR","EQY_CONSOLIDATED=Y","Sort=A","Dates=H","DateFormat=P","Fill=—","Direction=H","UseDPDF=Y")</f>
        <v>#NAME?</v>
      </c>
      <c r="AA198" s="2" t="e">
        <f ca="1">_xll.BDH($C$178,"INVENTORY_GROWTH","FY 2018","FY 2018","Currency=INR","Period=FY","BEST_FPERIOD_OVERRIDE=FY","FILING_STATUS=OR","EQY_CONSOLIDATED=Y","Sort=A","Dates=H","DateFormat=P","Fill=—","Direction=H","UseDPDF=Y")</f>
        <v>#NAME?</v>
      </c>
      <c r="AB198" s="2" t="e">
        <f ca="1">_xll.BDH($C$178,"NET_FIXED_ASSETS_1_YEAR_GROWTH","FY 2018","FY 2018","Currency=INR","Period=FY","BEST_FPERIOD_OVERRIDE=FY","FILING_STATUS=OR","EQY_CONSOLIDATED=Y","Sort=A","Dates=H","DateFormat=P","Fill=—","Direction=H","UseDPDF=Y")</f>
        <v>#NAME?</v>
      </c>
      <c r="AC198" s="2" t="e">
        <f ca="1">_xll.BDH($C$178,"ASSET_GROWTH","FY 2018","FY 2018","Currency=INR","Period=FY","BEST_FPERIOD_OVERRIDE=FY","FILING_STATUS=OR","EQY_CONSOLIDATED=Y","Sort=A","Dates=H","DateFormat=P","Fill=—","Direction=H","UseDPDF=Y")</f>
        <v>#NAME?</v>
      </c>
      <c r="AD198" s="2" t="e">
        <f ca="1">_xll.BDH($C$178,"MODIFIED_WORK_CAP_GROWTH","FY 2018","FY 2018","Currency=INR","Period=FY","BEST_FPERIOD_OVERRIDE=FY","FILING_STATUS=OR","EQY_CONSOLIDATED=Y","Sort=A","Dates=H","DateFormat=P","Fill=—","Direction=H","UseDPDF=Y")</f>
        <v>#NAME?</v>
      </c>
      <c r="AE198" s="2" t="e">
        <f ca="1">_xll.BDH($C$178,"WORK_CAP_GROWTH","FY 2018","FY 2018","Currency=INR","Period=FY","BEST_FPERIOD_OVERRIDE=FY","FILING_STATUS=OR","EQY_CONSOLIDATED=Y","Sort=A","Dates=H","DateFormat=P","Fill=—","Direction=H","UseDPDF=Y")</f>
        <v>#NAME?</v>
      </c>
      <c r="AF198" s="2" t="e">
        <f ca="1">_xll.BDH($C$178,"ACCOUNTS_PAYABLE_GROWTH_1YR","FY 2018","FY 2018","Currency=INR","Period=FY","BEST_FPERIOD_OVERRIDE=FY","FILING_STATUS=OR","EQY_CONSOLIDATED=Y","Sort=A","Dates=H","DateFormat=P","Fill=—","Direction=H","UseDPDF=Y")</f>
        <v>#NAME?</v>
      </c>
      <c r="AG198" s="2" t="e">
        <f ca="1">_xll.BDH($C$178,"SHORT_TERM_DEBT_1_YEAR_GROWTH","FY 2018","FY 2018","Currency=INR","Period=FY","BEST_FPERIOD_OVERRIDE=FY","FILING_STATUS=OR","EQY_CONSOLIDATED=Y","Sort=A","Dates=H","DateFormat=P","Fill=—","Direction=H","UseDPDF=Y")</f>
        <v>#NAME?</v>
      </c>
      <c r="AH198" s="2" t="e">
        <f ca="1">_xll.BDH($C$178,"TOTAL_DEBT_1_YEAR_GROWTH","FY 2018","FY 2018","Currency=INR","Period=FY","BEST_FPERIOD_OVERRIDE=FY","FILING_STATUS=OR","EQY_CONSOLIDATED=Y","Sort=A","Dates=H","DateFormat=P","Fill=—","Direction=H","UseDPDF=Y")</f>
        <v>#NAME?</v>
      </c>
      <c r="AI198" s="2" t="e">
        <f ca="1">_xll.BDH($C$178,"TOTAL_EQUITY_1_YEAR_GROWTH","FY 2018","FY 2018","Currency=INR","Period=FY","BEST_FPERIOD_OVERRIDE=FY","FILING_STATUS=OR","EQY_CONSOLIDATED=Y","Sort=A","Dates=H","DateFormat=P","Fill=—","Direction=H","UseDPDF=Y")</f>
        <v>#NAME?</v>
      </c>
      <c r="AJ198" s="2" t="e">
        <f ca="1">_xll.BDH($C$178,"GROWTH_IN_CAP","FY 2018","FY 2018","Currency=INR","Period=FY","BEST_FPERIOD_OVERRIDE=FY","FILING_STATUS=OR","EQY_CONSOLIDATED=Y","Sort=A","Dates=H","DateFormat=P","Fill=—","Direction=H","UseDPDF=Y")</f>
        <v>#NAME?</v>
      </c>
      <c r="AK198" s="2" t="e">
        <f ca="1">_xll.BDH($C$178,"BVPS_GROWTH","FY 2018","FY 2018","Currency=INR","Period=FY","BEST_FPERIOD_OVERRIDE=FY","FILING_STATUS=OR","EQY_CONSOLIDATED=Y","Sort=A","Dates=H","DateFormat=P","Fill=—","Direction=H","UseDPDF=Y")</f>
        <v>#NAME?</v>
      </c>
      <c r="AL198" s="2" t="e">
        <f ca="1">_xll.BDH($C$178,"CASH_FLOW_GROWTH","FY 2018","FY 2018","Currency=INR","Period=FY","BEST_FPERIOD_OVERRIDE=FY","FILING_STATUS=OR","EQY_CONSOLIDATED=Y","Sort=A","Dates=H","DateFormat=P","Fill=—","Direction=H","UseDPDF=Y")</f>
        <v>#NAME?</v>
      </c>
      <c r="AM198" s="2" t="e">
        <f ca="1">_xll.BDH($C$178,"GEO_GROW_NET_SALES","FY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198" s="2" t="e">
        <f ca="1">_xll.BDH($C$178,"GEO_GROW_EBITDA","FY 2018","FY 2018","Currency=INR","Period=FY","BEST_FPERIOD_OVERRIDE=FY","FILING_STATUS=OR","EQY_CONSOLIDATED=Y","FA_ADJUSTED=GAAP","Sort=A","Dates=H","DateFormat=P","Fill=—","Direction=H","UseDPDF=Y")</f>
        <v>#NAME?</v>
      </c>
      <c r="AO198" s="2" t="e">
        <f ca="1">_xll.BDH($C$178,"GEO_GROW_OPER_INC","FY 2018","FY 2018","Currency=INR","Period=FY","BEST_FPERIOD_OVERRIDE=FY","FILING_STATUS=OR","EQY_CONSOLIDATED=Y","FA_ADJUSTED=GAAP","Sort=A","Dates=H","DateFormat=P","Fill=—","Direction=H","UseDPDF=Y")</f>
        <v>#NAME?</v>
      </c>
      <c r="AP198" s="2" t="e">
        <f ca="1">_xll.BDH($C$178,"NET_INCOME_TO_COMMON_5_YR_GROWTH","FY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198" s="2" t="e">
        <f ca="1">_xll.BDH($C$178,"5Y_GEO_GROWTH_DILUTED_EPS","FY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198" s="2" t="e">
        <f ca="1">_xll.BDH($C$178,"GEO_GROW_DVD_PER_SH","FY 2018","FY 2018","Currency=INR","Period=FY","BEST_FPERIOD_OVERRIDE=FY","FILING_STATUS=OR","EQY_CONSOLIDATED=Y","Sort=A","Dates=H","DateFormat=P","Fill=—","Direction=H","UseDPDF=Y")</f>
        <v>#NAME?</v>
      </c>
      <c r="AS198" s="2" t="e">
        <f ca="1">_xll.BDH($C$178,"ACCOUNTS_RECEIVABLE_5_YR_GROWTH","FY 2018","FY 2018","Currency=INR","Period=FY","BEST_FPERIOD_OVERRIDE=FY","FILING_STATUS=OR","EQY_CONSOLIDATED=Y","Sort=A","Dates=H","DateFormat=P","Fill=—","Direction=H","UseDPDF=Y")</f>
        <v>#NAME?</v>
      </c>
      <c r="AT198" s="2" t="e">
        <f ca="1">_xll.BDH($C$178,"INVENTORY_5_YEAR_GROWTH","FY 2018","FY 2018","Currency=INR","Period=FY","BEST_FPERIOD_OVERRIDE=FY","FILING_STATUS=OR","EQY_CONSOLIDATED=Y","Sort=A","Dates=H","DateFormat=P","Fill=—","Direction=H","UseDPDF=Y")</f>
        <v>#NAME?</v>
      </c>
      <c r="AU198" s="2" t="e">
        <f ca="1">_xll.BDH($C$178,"NET_FIXED_ASSETS_5_YEAR_GROWTH","FY 2018","FY 2018","Currency=INR","Period=FY","BEST_FPERIOD_OVERRIDE=FY","FILING_STATUS=OR","EQY_CONSOLIDATED=Y","Sort=A","Dates=H","DateFormat=P","Fill=—","Direction=H","UseDPDF=Y")</f>
        <v>#NAME?</v>
      </c>
      <c r="AV198" s="2" t="e">
        <f ca="1">_xll.BDH($C$178,"GEO_GROW_TOT_ASSET","FY 2018","FY 2018","Currency=INR","Period=FY","BEST_FPERIOD_OVERRIDE=FY","FILING_STATUS=OR","EQY_CONSOLIDATED=Y","Sort=A","Dates=H","DateFormat=P","Fill=—","Direction=H","UseDPDF=Y")</f>
        <v>#NAME?</v>
      </c>
      <c r="AW198" s="2" t="e">
        <f ca="1">_xll.BDH($C$178,"MODIFIED_WORKING_CPTL_5YR_GRWTH","FY 2018","FY 2018","Currency=INR","Period=FY","BEST_FPERIOD_OVERRIDE=FY","FILING_STATUS=OR","EQY_CONSOLIDATED=Y","Sort=A","Dates=H","DateFormat=P","Fill=—","Direction=H","UseDPDF=Y")</f>
        <v>#NAME?</v>
      </c>
      <c r="AX198" s="2" t="e">
        <f ca="1">_xll.BDH($C$178,"WORKING_CAPITAL_5_YEAR_GROWTH","FY 2018","FY 2018","Currency=INR","Period=FY","BEST_FPERIOD_OVERRIDE=FY","FILING_STATUS=OR","EQY_CONSOLIDATED=Y","Sort=A","Dates=H","DateFormat=P","Fill=—","Direction=H","UseDPDF=Y")</f>
        <v>#NAME?</v>
      </c>
      <c r="AY198" s="2" t="e">
        <f ca="1">_xll.BDH($C$178,"ACCOUNTS_PAYABLE_5_YEAR_GROWTH","FY 2018","FY 2018","Currency=INR","Period=FY","BEST_FPERIOD_OVERRIDE=FY","FILING_STATUS=OR","EQY_CONSOLIDATED=Y","Sort=A","Dates=H","DateFormat=P","Fill=—","Direction=H","UseDPDF=Y")</f>
        <v>#NAME?</v>
      </c>
      <c r="AZ198" s="2" t="e">
        <f ca="1">_xll.BDH($C$178,"SHORT_TERM_DEBT_5_YEAR_GROWTH","FY 2018","FY 2018","Currency=INR","Period=FY","BEST_FPERIOD_OVERRIDE=FY","FILING_STATUS=OR","EQY_CONSOLIDATED=Y","Sort=A","Dates=H","DateFormat=P","Fill=—","Direction=H","UseDPDF=Y")</f>
        <v>#NAME?</v>
      </c>
      <c r="BA198" s="2" t="e">
        <f ca="1">_xll.BDH($C$178,"TOTAL_DEBT_5_YEAR_GROWTH","FY 2018","FY 2018","Currency=INR","Period=FY","BEST_FPERIOD_OVERRIDE=FY","FILING_STATUS=OR","EQY_CONSOLIDATED=Y","Sort=A","Dates=H","DateFormat=P","Fill=—","Direction=H","UseDPDF=Y")</f>
        <v>#NAME?</v>
      </c>
      <c r="BB198" s="2" t="e">
        <f ca="1">_xll.BDH($C$178,"GEO_GROW_TOT_SHRHLDR_EQY","FY 2018","FY 2018","Currency=INR","Period=FY","BEST_FPERIOD_OVERRIDE=FY","FILING_STATUS=OR","EQY_CONSOLIDATED=Y","Sort=A","Dates=H","DateFormat=P","Fill=—","Direction=H","UseDPDF=Y")</f>
        <v>#NAME?</v>
      </c>
      <c r="BC198" s="2" t="e">
        <f ca="1">_xll.BDH($C$178,"TOTAL_CAPITAL_5_YEAR_GROWTH","FY 2018","FY 2018","Currency=INR","Period=FY","BEST_FPERIOD_OVERRIDE=FY","FILING_STATUS=OR","EQY_CONSOLIDATED=Y","Sort=A","Dates=H","DateFormat=P","Fill=—","Direction=H","UseDPDF=Y")</f>
        <v>#NAME?</v>
      </c>
      <c r="BD198" s="2" t="e">
        <f ca="1">_xll.BDH($C$178,"GEO_GROW_BOOK_VAL","FY 2018","FY 2018","Currency=INR","Period=FY","BEST_FPERIOD_OVERRIDE=FY","FILING_STATUS=OR","EQY_CONSOLIDATED=Y","Sort=A","Dates=H","DateFormat=P","Fill=—","Direction=H","UseDPDF=Y")</f>
        <v>#NAME?</v>
      </c>
      <c r="BE198" s="2" t="e">
        <f ca="1">_xll.BDH($C$178,"GEO_GROW_CASH_OPER_ACT","FY 2018","FY 2018","Currency=INR","Period=FY","BEST_FPERIOD_OVERRIDE=FY","FILING_STATUS=OR","EQY_CONSOLIDATED=Y","Sort=A","Dates=H","DateFormat=P","Fill=—","Direction=H","UseDPDF=Y")</f>
        <v>#NAME?</v>
      </c>
      <c r="BF198" s="2" t="e">
        <f ca="1">_xll.BDH($C$178,"REVENUE_SEQUENTIAL_GROWTH","FY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198" s="2" t="e">
        <f ca="1">_xll.BDH($C$178,"EBITDA_SEQUENTIAL_GROWTH","FY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198" s="2" t="e">
        <f ca="1">_xll.BDH($C$178,"OPERATING_INCOME_SEQ_GROWTH","FY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198" s="2" t="e">
        <f ca="1">_xll.BDH($C$178,"NET_INCOME_TO_COMMON_SEQ_GROWTH","FY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198" s="2" t="e">
        <f ca="1">_xll.BDH($C$178,"EPS_DILUTED_SEQUENTIAL_GROWTH","FY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198" s="2" t="e">
        <f ca="1">_xll.BDH($C$178,"DPS_SEQUENTIAL_GROWTH","FY 2018","FY 2018","Currency=INR","Period=FY","BEST_FPERIOD_OVERRIDE=FY","FILING_STATUS=OR","EQY_CONSOLIDATED=Y","Sort=A","Dates=H","DateFormat=P","Fill=—","Direction=H","UseDPDF=Y")</f>
        <v>#NAME?</v>
      </c>
      <c r="BL198" s="2" t="e">
        <f ca="1">_xll.BDH($C$178,"ACCOUNTS_RECEIVABLE_SEQ_GROWTH","FY 2018","FY 2018","Currency=INR","Period=FY","BEST_FPERIOD_OVERRIDE=FY","FILING_STATUS=OR","EQY_CONSOLIDATED=Y","Sort=A","Dates=H","DateFormat=P","Fill=—","Direction=H","UseDPDF=Y")</f>
        <v>#NAME?</v>
      </c>
      <c r="BM198" s="2" t="e">
        <f ca="1">_xll.BDH($C$178,"INVENTORY_SEQUENTIAL_GROWTH","FY 2018","FY 2018","Currency=INR","Period=FY","BEST_FPERIOD_OVERRIDE=FY","FILING_STATUS=OR","EQY_CONSOLIDATED=Y","Sort=A","Dates=H","DateFormat=P","Fill=—","Direction=H","UseDPDF=Y")</f>
        <v>#NAME?</v>
      </c>
      <c r="BN198" s="2" t="e">
        <f ca="1">_xll.BDH($C$178,"FIXED_ASSETS_SEQUENTIAL_GROWTH","FY 2018","FY 2018","Currency=INR","Period=FY","BEST_FPERIOD_OVERRIDE=FY","FILING_STATUS=OR","EQY_CONSOLIDATED=Y","Sort=A","Dates=H","DateFormat=P","Fill=—","Direction=H","UseDPDF=Y")</f>
        <v>#NAME?</v>
      </c>
      <c r="BO198" s="2" t="e">
        <f ca="1">_xll.BDH($C$178,"TOTAL_ASSETS_SEQUENTIAL_GROWTH","FY 2018","FY 2018","Currency=INR","Period=FY","BEST_FPERIOD_OVERRIDE=FY","FILING_STATUS=OR","EQY_CONSOLIDATED=Y","Sort=A","Dates=H","DateFormat=P","Fill=—","Direction=H","UseDPDF=Y")</f>
        <v>#NAME?</v>
      </c>
      <c r="BP198" s="2" t="e">
        <f ca="1">_xll.BDH($C$178,"MODIFIED_WORKING_CPTL_SEQ_GRWTH","FY 2018","FY 2018","Currency=INR","Period=FY","BEST_FPERIOD_OVERRIDE=FY","FILING_STATUS=OR","EQY_CONSOLIDATED=Y","Sort=A","Dates=H","DateFormat=P","Fill=—","Direction=H","UseDPDF=Y")</f>
        <v>#NAME?</v>
      </c>
      <c r="BQ198" s="2" t="e">
        <f ca="1">_xll.BDH($C$178,"WORKING_CAPITAL_SEQ_GROWTH","FY 2018","FY 2018","Currency=INR","Period=FY","BEST_FPERIOD_OVERRIDE=FY","FILING_STATUS=OR","EQY_CONSOLIDATED=Y","Sort=A","Dates=H","DateFormat=P","Fill=—","Direction=H","UseDPDF=Y")</f>
        <v>#NAME?</v>
      </c>
      <c r="BR198" s="2" t="e">
        <f ca="1">_xll.BDH($C$178,"ACCOUNTS_PAYABLE_SEQ_GROWTH","FY 2018","FY 2018","Currency=INR","Period=FY","BEST_FPERIOD_OVERRIDE=FY","FILING_STATUS=OR","EQY_CONSOLIDATED=Y","Sort=A","Dates=H","DateFormat=P","Fill=—","Direction=H","UseDPDF=Y")</f>
        <v>#NAME?</v>
      </c>
      <c r="BS198" s="2" t="e">
        <f ca="1">_xll.BDH($C$178,"ST_DEBT_SEQUENTIAL_GROWTH","FY 2018","FY 2018","Currency=INR","Period=FY","BEST_FPERIOD_OVERRIDE=FY","FILING_STATUS=OR","EQY_CONSOLIDATED=Y","Sort=A","Dates=H","DateFormat=P","Fill=—","Direction=H","UseDPDF=Y")</f>
        <v>#NAME?</v>
      </c>
      <c r="BT198" s="2" t="e">
        <f ca="1">_xll.BDH($C$178,"TOTAL_DEBT_SEQUENTIAL_GROWTH","FY 2018","FY 2018","Currency=INR","Period=FY","BEST_FPERIOD_OVERRIDE=FY","FILING_STATUS=OR","EQY_CONSOLIDATED=Y","Sort=A","Dates=H","DateFormat=P","Fill=—","Direction=H","UseDPDF=Y")</f>
        <v>#NAME?</v>
      </c>
      <c r="BU198" s="2" t="e">
        <f ca="1">_xll.BDH($C$178,"TOTAL_EQUITY_SEQUENTIAL_GROWTH","FY 2018","FY 2018","Currency=INR","Period=FY","BEST_FPERIOD_OVERRIDE=FY","FILING_STATUS=OR","EQY_CONSOLIDATED=Y","Sort=A","Dates=H","DateFormat=P","Fill=—","Direction=H","UseDPDF=Y")</f>
        <v>#NAME?</v>
      </c>
      <c r="BV198" s="2" t="e">
        <f ca="1">_xll.BDH($C$178,"TOTAL_CAPITAL_SEQUENTIAL_GROWTH","FY 2018","FY 2018","Currency=INR","Period=FY","BEST_FPERIOD_OVERRIDE=FY","FILING_STATUS=OR","EQY_CONSOLIDATED=Y","Sort=A","Dates=H","DateFormat=P","Fill=—","Direction=H","UseDPDF=Y")</f>
        <v>#NAME?</v>
      </c>
      <c r="BW198" s="2" t="e">
        <f ca="1">_xll.BDH($C$178,"BPS_SEQUENTIAL_GROWTH","FY 2018","FY 2018","Currency=INR","Period=FY","BEST_FPERIOD_OVERRIDE=FY","FILING_STATUS=OR","EQY_CONSOLIDATED=Y","Sort=A","Dates=H","DateFormat=P","Fill=—","Direction=H","UseDPDF=Y")</f>
        <v>#NAME?</v>
      </c>
      <c r="BX198" s="2" t="e">
        <f ca="1">_xll.BDH($C$178,"CFO_SEQUENTIAL_GROWTH","FY 2018","FY 2018","Currency=INR","Period=FY","BEST_FPERIOD_OVERRIDE=FY","FILING_STATUS=OR","EQY_CONSOLIDATED=Y","Sort=A","Dates=H","DateFormat=P","Fill=—","Direction=H","UseDPDF=Y")</f>
        <v>#NAME?</v>
      </c>
      <c r="BY198" s="3" t="e">
        <f ca="1">_xll.BDH($C$178,"SHORT_AND_LONG_TERM_DEBT","FY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198" s="3" t="e">
        <f ca="1">_xll.BDH($C$178,"BS_ST_BORROW","FY 2018","FY 2018","Currency=INR","Period=FY","BEST_FPERIOD_OVERRIDE=FY","FILING_STATUS=OR","EQY_CONSOLIDATED=Y","SCALING_FORMAT=MLN","Sort=A","Dates=H","DateFormat=P","Fill=—","Direction=H","UseDPDF=Y")</f>
        <v>#NAME?</v>
      </c>
      <c r="CA198" s="3" t="e">
        <f ca="1">_xll.BDH($C$178,"BS_LT_BORROW","FY 2018","FY 2018","Currency=INR","Period=FY","BEST_FPERIOD_OVERRIDE=FY","FILING_STATUS=OR","EQY_CONSOLIDATED=Y","SCALING_FORMAT=MLN","Sort=A","Dates=H","DateFormat=P","Fill=—","Direction=H","UseDPDF=Y")</f>
        <v>#NAME?</v>
      </c>
      <c r="CB198" s="2" t="e">
        <f ca="1">_xll.BDH($C$178,"TOT_DEBT_TO_EBITDA","FY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198" s="2" t="e">
        <f ca="1">_xll.BDH($C$178,"NET_DEBT_TO_EBITDA","FY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198" s="2" t="e">
        <f ca="1">_xll.BDH($C$178,"TOTAL_DEBT_TO_EBIT","FY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198" s="2" t="e">
        <f ca="1">_xll.BDH($C$178,"NET_DEBT_TO_EBIT","FY 2018","FY 2018","Currency=INR","Period=FY","BEST_FPERIOD_OVERRIDE=FY","FILING_STATUS=OR","EQY_CONSOLIDATED=Y","FA_ADJUSTED=GAAP","Sort=A","Dates=H","DateFormat=P","Fill=—","Direction=H","UseDPDF=Y")</f>
        <v>#NAME?</v>
      </c>
      <c r="CF198" s="2" t="e">
        <f ca="1">_xll.BDH($C$178,"EBITDA_TO_INTEREST_EXPN","FY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198" s="2" t="e">
        <f ca="1">_xll.BDH($C$178,"COM_EQY_TO_TOT_ASSET","FY 2018","FY 2018","Currency=INR","Period=FY","BEST_FPERIOD_OVERRIDE=FY","FILING_STATUS=OR","EQY_CONSOLIDATED=Y","Sort=A","Dates=H","DateFormat=P","Fill=—","Direction=H","UseDPDF=Y")</f>
        <v>#NAME?</v>
      </c>
      <c r="CH198" s="2" t="e">
        <f ca="1">_xll.BDH($C$178,"LT_DEBT_TO_TOT_EQY","FY 2018","FY 2018","Currency=INR","Period=FY","BEST_FPERIOD_OVERRIDE=FY","FILING_STATUS=OR","EQY_CONSOLIDATED=Y","Sort=A","Dates=H","DateFormat=P","Fill=—","Direction=H","UseDPDF=Y")</f>
        <v>#NAME?</v>
      </c>
      <c r="CI198" s="2" t="e">
        <f ca="1">_xll.BDH($C$178,"LT_DEBT_TO_TOT_CAP","FY 2018","FY 2018","Currency=INR","Period=FY","BEST_FPERIOD_OVERRIDE=FY","FILING_STATUS=OR","EQY_CONSOLIDATED=Y","Sort=A","Dates=H","DateFormat=P","Fill=—","Direction=H","UseDPDF=Y")</f>
        <v>#NAME?</v>
      </c>
      <c r="CJ198" s="2" t="e">
        <f ca="1">_xll.BDH($C$178,"LT_DEBT_TO_TOT_ASSET","FY 2018","FY 2018","Currency=INR","Period=FY","BEST_FPERIOD_OVERRIDE=FY","FILING_STATUS=OR","EQY_CONSOLIDATED=Y","Sort=A","Dates=H","DateFormat=P","Fill=—","Direction=H","UseDPDF=Y")</f>
        <v>#NAME?</v>
      </c>
      <c r="CK198" s="2" t="e">
        <f ca="1">_xll.BDH($C$178,"TOT_DEBT_TO_TOT_EQY","FY 2018","FY 2018","Currency=INR","Period=FY","BEST_FPERIOD_OVERRIDE=FY","FILING_STATUS=OR","EQY_CONSOLIDATED=Y","Sort=A","Dates=H","DateFormat=P","Fill=—","Direction=H","UseDPDF=Y")</f>
        <v>#NAME?</v>
      </c>
      <c r="CL198" s="2" t="e">
        <f ca="1">_xll.BDH($C$178,"TOT_DEBT_TO_TOT_CAP","FY 2018","FY 2018","Currency=INR","Period=FY","BEST_FPERIOD_OVERRIDE=FY","FILING_STATUS=OR","EQY_CONSOLIDATED=Y","Sort=A","Dates=H","DateFormat=P","Fill=—","Direction=H","UseDPDF=Y")</f>
        <v>#NAME?</v>
      </c>
      <c r="CM198" s="2" t="e">
        <f ca="1">_xll.BDH($C$178,"TOT_DEBT_TO_TOT_ASSET","FY 2018","FY 2018","Currency=INR","Period=FY","BEST_FPERIOD_OVERRIDE=FY","FILING_STATUS=OR","EQY_CONSOLIDATED=Y","Sort=A","Dates=H","DateFormat=P","Fill=—","Direction=H","UseDPDF=Y")</f>
        <v>#NAME?</v>
      </c>
      <c r="CN198" s="2" t="e">
        <f ca="1">_xll.BDH($C$178,"NET_DEBT_TO_SHRHLDR_EQTY","FY 2018","FY 2018","Currency=INR","Period=FY","BEST_FPERIOD_OVERRIDE=FY","FILING_STATUS=OR","EQY_CONSOLIDATED=Y","Sort=A","Dates=H","DateFormat=P","Fill=—","Direction=H","UseDPDF=Y")</f>
        <v>#NAME?</v>
      </c>
      <c r="CO198" s="2" t="e">
        <f ca="1">_xll.BDH($C$178,"NET_DEBT_%_CAPITAL","FY 2018","FY 2018","Currency=INR","Period=FY","BEST_FPERIOD_OVERRIDE=FY","FILING_STATUS=OR","EQY_CONSOLIDATED=Y","Sort=A","Dates=H","DateFormat=P","Fill=—","Direction=H","UseDPDF=Y")</f>
        <v>#NAME?</v>
      </c>
      <c r="CP198" s="3" t="e">
        <f ca="1">_xll.BDH($C$178,"EBITDA","FY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198" s="3" t="e">
        <f ca="1">_xll.BDH($C$178,"EBITDA_AFTER_CAPEX","FY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198" s="3" t="e">
        <f ca="1">_xll.BDH($C$178,"IS_OPER_INC","FY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198" s="2" t="e">
        <f ca="1">_xll.BDH($C$178,"CASH_RATIO","FY 2018","FY 2018","Currency=INR","Period=FY","BEST_FPERIOD_OVERRIDE=FY","FILING_STATUS=OR","EQY_CONSOLIDATED=Y","Sort=A","Dates=H","DateFormat=P","Fill=—","Direction=H","UseDPDF=Y")</f>
        <v>#NAME?</v>
      </c>
      <c r="CT198" s="2" t="e">
        <f ca="1">_xll.BDH($C$178,"CUR_RATIO","FY 2018","FY 2018","Currency=INR","Period=FY","BEST_FPERIOD_OVERRIDE=FY","FILING_STATUS=OR","EQY_CONSOLIDATED=Y","Sort=A","Dates=H","DateFormat=P","Fill=—","Direction=H","UseDPDF=Y")</f>
        <v>#NAME?</v>
      </c>
      <c r="CU198" s="2" t="e">
        <f ca="1">_xll.BDH($C$178,"QUICK_RATIO","FY 2018","FY 2018","Currency=INR","Period=FY","BEST_FPERIOD_OVERRIDE=FY","FILING_STATUS=OR","EQY_CONSOLIDATED=Y","Sort=A","Dates=H","DateFormat=P","Fill=—","Direction=H","UseDPDF=Y")</f>
        <v>#NAME?</v>
      </c>
      <c r="CV198" s="2" t="e">
        <f ca="1">_xll.BDH($C$178,"ALTMAN_Z_SCORE","FY 2018","FY 2018","Currency=INR","Period=FY","BEST_FPERIOD_OVERRIDE=FY","FILING_STATUS=OR","EQY_CONSOLIDATED=Y","Sort=A","Dates=H","DateFormat=P","Fill=—","Direction=H","UseDPDF=Y")</f>
        <v>#NAME?</v>
      </c>
      <c r="CW198" s="4" t="e">
        <f ca="1">_xll.BDH($C$178,"ACCT_RCV_TURN","FY 2018","FY 2018","Currency=INR","Period=FY","BEST_FPERIOD_OVERRIDE=FY","FILING_STATUS=OR","EQY_CONSOLIDATED=Y","FA_ADJUSTED=GAAP","Sort=A","Dates=H","DateFormat=P","Fill=—","Direction=H","UseDPDF=Y")</f>
        <v>#NAME?</v>
      </c>
      <c r="CX198" s="2" t="e">
        <f ca="1">_xll.BDH($C$178,"ACCT_RCV_DAYS","FY 2018","FY 2018","Currency=INR","Period=FY","BEST_FPERIOD_OVERRIDE=FY","FILING_STATUS=OR","EQY_CONSOLIDATED=Y","FA_ADJUSTED=GAAP","Sort=A","Dates=H","DateFormat=P","Fill=—","Direction=H","UseDPDF=Y")</f>
        <v>#NAME?</v>
      </c>
      <c r="CY198" s="4" t="e">
        <f ca="1">_xll.BDH($C$178,"INVENT_TURN","FY 2018","FY 2018","Currency=INR","Period=FY","BEST_FPERIOD_OVERRIDE=FY","FILING_STATUS=OR","EQY_CONSOLIDATED=Y","FA_ADJUSTED=GAAP","Sort=A","Dates=H","DateFormat=P","Fill=—","Direction=H","UseDPDF=Y")</f>
        <v>#NAME?</v>
      </c>
      <c r="CZ198" s="2" t="e">
        <f ca="1">_xll.BDH($C$178,"INVENT_DAYS","FY 2018","FY 2018","Currency=INR","Period=FY","BEST_FPERIOD_OVERRIDE=FY","FILING_STATUS=OR","EQY_CONSOLIDATED=Y","FA_ADJUSTED=GAAP","Sort=A","Dates=H","DateFormat=P","Fill=—","Direction=H","UseDPDF=Y")</f>
        <v>#NAME?</v>
      </c>
      <c r="DA198" s="4" t="e">
        <f ca="1">_xll.BDH($C$178,"ACCOUNTS_PAYABLE_TURNOVER","FY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198" s="2" t="e">
        <f ca="1">_xll.BDH($C$178,"ACCOUNTS_PAYABLE_TURNOVER_DAYS","FY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198" s="4" t="e">
        <f ca="1">_xll.BDH($C$178,"CASH_CONVERSION_CYCLE","FY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198" s="4" t="e">
        <f ca="1">_xll.BDH($C$178,"INV_TO_CASH_DAYS","FY 2018","FY 2018","Currency=INR","Period=FY","BEST_FPERIOD_OVERRIDE=FY","FILING_STATUS=OR","EQY_CONSOLIDATED=Y","FA_ADJUSTED=GAAP","Sort=A","Dates=H","DateFormat=P","Fill=—","Direction=H","UseDPDF=Y")</f>
        <v>#NAME?</v>
      </c>
      <c r="DE198" s="5" t="e">
        <f ca="1">_xll.BDH($C$178,"BS_INVENTORIES","FY 2018","FY 2018","Currency=INR","Period=FY","BEST_FPERIOD_OVERRIDE=FY","FILING_STATUS=OR","EQY_CONSOLIDATED=Y","SCALING_FORMAT=MLN","Sort=A","Dates=H","DateFormat=P","Fill=—","Direction=H","UseDPDF=Y")</f>
        <v>#NAME?</v>
      </c>
      <c r="DF198" s="3" t="e">
        <f ca="1">_xll.BDH($C$178,"INVTRY_RAW_MATERIALS","FY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198" s="3" t="e">
        <f ca="1">_xll.BDH($C$178,"INVTRY_IN_PROGRESS","FY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198" s="3" t="e">
        <f ca="1">_xll.BDH($C$178,"INVTRY_FINISHED_GOODS","FY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198" s="3" t="e">
        <f ca="1">_xll.BDH($C$178,"BS_OTHER_INV","FY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199" spans="1:113" x14ac:dyDescent="0.3">
      <c r="A199" s="6"/>
      <c r="B199" s="6"/>
      <c r="C199" s="6"/>
      <c r="D199" s="6"/>
      <c r="E199" t="s">
        <v>78</v>
      </c>
      <c r="F199" t="e">
        <f ca="1">_xll.BDH($C$178,"RETURN_COM_EQY","FQ1 2018","FQ1 2018","Currency=INR","Period=FQ","BEST_FPERIOD_OVERRIDE=FQ","FILING_STATUS=OR","EQY_CONSOLIDATED=Y","FA_ADJUSTED=GAAP","Sort=A","Dates=H","DateFormat=P","Fill=—","Direction=H","UseDPDF=Y")</f>
        <v>#NAME?</v>
      </c>
      <c r="G199" t="e">
        <f ca="1">_xll.BDH($C$178,"RETURN_ON_ASSET","FQ1 2018","FQ1 2018","Currency=INR","Period=FQ","BEST_FPERIOD_OVERRIDE=FQ","FILING_STATUS=OR","EQY_CONSOLIDATED=Y","FA_ADJUSTED=GAAP","Sort=A","Dates=H","DateFormat=P","Fill=—","Direction=H","UseDPDF=Y")</f>
        <v>#NAME?</v>
      </c>
      <c r="H199" t="e">
        <f ca="1">_xll.BDH($C$178,"RETURN_ON_CAP","FQ1 2018","FQ1 2018","Currency=INR","Period=FQ","BEST_FPERIOD_OVERRIDE=FQ","FILING_STATUS=OR","EQY_CONSOLIDATED=Y","FA_ADJUSTED=GAAP","Sort=A","Dates=H","DateFormat=P","Fill=—","Direction=H","UseDPDF=Y")</f>
        <v>#NAME?</v>
      </c>
      <c r="I199" t="e">
        <f ca="1">_xll.BDH($C$178,"RETURN_ON_INV_CAPITAL","FQ1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199" t="e">
        <f ca="1">_xll.BDH($C$178,"EBITDA_TO_REVENUE","FQ1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199" t="e">
        <f ca="1">_xll.BDH($C$178,"OPER_MARGIN","FQ1 2018","FQ1 2018","Currency=INR","Period=FQ","BEST_FPERIOD_OVERRIDE=FQ","FILING_STATUS=OR","EQY_CONSOLIDATED=Y","FA_ADJUSTED=GAAP","Sort=A","Dates=H","DateFormat=P","Fill=—","Direction=H","UseDPDF=Y")</f>
        <v>#NAME?</v>
      </c>
      <c r="L199" t="e">
        <f ca="1">_xll.BDH($C$178,"INCREMENTAL_OPERATING_MARGIN","FQ1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199" t="e">
        <f ca="1">_xll.BDH($C$178,"PRETAX_INC_TO_NET_SALES","FQ1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199" t="e">
        <f ca="1">_xll.BDH($C$178,"INC_BEF_XO_ITEMS_TO_NET_SALES","FQ1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199" t="e">
        <f ca="1">_xll.BDH($C$178,"PROF_MARGIN","FQ1 2018","FQ1 2018","Currency=INR","Period=FQ","BEST_FPERIOD_OVERRIDE=FQ","FILING_STATUS=OR","EQY_CONSOLIDATED=Y","FA_ADJUSTED=GAAP","Sort=A","Dates=H","DateFormat=P","Fill=—","Direction=H","UseDPDF=Y")</f>
        <v>#NAME?</v>
      </c>
      <c r="P199" t="e">
        <f ca="1">_xll.BDH($C$178,"NET_INCOME_TO_COMMON_MARGIN","FQ1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199" t="e">
        <f ca="1">_xll.BDH($C$178,"EFF_TAX_RATE","FQ1 2018","FQ1 2018","Currency=INR","Period=FQ","BEST_FPERIOD_OVERRIDE=FQ","FILING_STATUS=OR","EQY_CONSOLIDATED=Y","FA_ADJUSTED=GAAP","Sort=A","Dates=H","DateFormat=P","Fill=—","Direction=H","UseDPDF=Y")</f>
        <v>#NAME?</v>
      </c>
      <c r="R199" t="e">
        <f ca="1">_xll.BDH($C$178,"DVD_PAYOUT_RATIO","FQ1 2018","FQ1 2018","Currency=INR","Period=FQ","BEST_FPERIOD_OVERRIDE=FQ","FILING_STATUS=OR","EQY_CONSOLIDATED=Y","FA_ADJUSTED=GAAP","Sort=A","Dates=H","DateFormat=P","Fill=—","Direction=H","UseDPDF=Y")</f>
        <v>#NAME?</v>
      </c>
      <c r="S199" t="e">
        <f ca="1">_xll.BDH($C$178,"SUSTAIN_GROWTH_RT","FQ1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199" s="2" t="e">
        <f ca="1">_xll.BDH($C$178,"SALES_GROWTH","FQ1 2018","FQ1 2018","Currency=INR","Period=FQ","BEST_FPERIOD_OVERRIDE=FQ","FILING_STATUS=OR","EQY_CONSOLIDATED=Y","FA_ADJUSTED=GAAP","Sort=A","Dates=H","DateFormat=P","Fill=—","Direction=H","UseDPDF=Y")</f>
        <v>#NAME?</v>
      </c>
      <c r="U199" s="2" t="e">
        <f ca="1">_xll.BDH($C$178,"EBITDA_GROWTH","FQ1 2018","FQ1 2018","Currency=INR","Period=FQ","BEST_FPERIOD_OVERRIDE=FQ","FILING_STATUS=OR","EQY_CONSOLIDATED=Y","FA_ADJUSTED=GAAP","Sort=A","Dates=H","DateFormat=P","Fill=—","Direction=H","UseDPDF=Y")</f>
        <v>#NAME?</v>
      </c>
      <c r="V199" s="2" t="e">
        <f ca="1">_xll.BDH($C$178,"OPER_INC_GROWTH","FQ1 2018","FQ1 2018","Currency=INR","Period=FQ","BEST_FPERIOD_OVERRIDE=FQ","FILING_STATUS=OR","EQY_CONSOLIDATED=Y","FA_ADJUSTED=GAAP","Sort=A","Dates=H","DateFormat=P","Fill=—","Direction=H","UseDPDF=Y")</f>
        <v>#NAME?</v>
      </c>
      <c r="W199" s="2" t="e">
        <f ca="1">_xll.BDH($C$178,"EARN_FOR_COM_GROWTH","FQ1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199" s="2" t="e">
        <f ca="1">_xll.BDH($C$178,"DILUTED_EPS_AFT_XO_ITEMS_GROWTH","FQ1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199" s="2" t="e">
        <f ca="1">_xll.BDH($C$178,"DIVIDEND_PER_SHARE_1_YEAR_GROWTH","FQ1 2018","FQ1 2018","Currency=INR","Period=FQ","BEST_FPERIOD_OVERRIDE=FQ","FILING_STATUS=OR","EQY_CONSOLIDATED=Y","Sort=A","Dates=H","DateFormat=P","Fill=—","Direction=H","UseDPDF=Y")</f>
        <v>#NAME?</v>
      </c>
      <c r="Z199" s="2" t="e">
        <f ca="1">_xll.BDH($C$178,"ACCOUNTS_RECEIVABLE_GROWTH","FQ1 2018","FQ1 2018","Currency=INR","Period=FQ","BEST_FPERIOD_OVERRIDE=FQ","FILING_STATUS=OR","EQY_CONSOLIDATED=Y","Sort=A","Dates=H","DateFormat=P","Fill=—","Direction=H","UseDPDF=Y")</f>
        <v>#NAME?</v>
      </c>
      <c r="AA199" s="2" t="e">
        <f ca="1">_xll.BDH($C$178,"INVENTORY_GROWTH","FQ1 2018","FQ1 2018","Currency=INR","Period=FQ","BEST_FPERIOD_OVERRIDE=FQ","FILING_STATUS=OR","EQY_CONSOLIDATED=Y","Sort=A","Dates=H","DateFormat=P","Fill=—","Direction=H","UseDPDF=Y")</f>
        <v>#NAME?</v>
      </c>
      <c r="AB199" s="2" t="e">
        <f ca="1">_xll.BDH($C$178,"NET_FIXED_ASSETS_1_YEAR_GROWTH","FQ1 2018","FQ1 2018","Currency=INR","Period=FQ","BEST_FPERIOD_OVERRIDE=FQ","FILING_STATUS=OR","EQY_CONSOLIDATED=Y","Sort=A","Dates=H","DateFormat=P","Fill=—","Direction=H","UseDPDF=Y")</f>
        <v>#NAME?</v>
      </c>
      <c r="AC199" s="2" t="e">
        <f ca="1">_xll.BDH($C$178,"ASSET_GROWTH","FQ1 2018","FQ1 2018","Currency=INR","Period=FQ","BEST_FPERIOD_OVERRIDE=FQ","FILING_STATUS=OR","EQY_CONSOLIDATED=Y","Sort=A","Dates=H","DateFormat=P","Fill=—","Direction=H","UseDPDF=Y")</f>
        <v>#NAME?</v>
      </c>
      <c r="AD199" s="2" t="e">
        <f ca="1">_xll.BDH($C$178,"MODIFIED_WORK_CAP_GROWTH","FQ1 2018","FQ1 2018","Currency=INR","Period=FQ","BEST_FPERIOD_OVERRIDE=FQ","FILING_STATUS=OR","EQY_CONSOLIDATED=Y","Sort=A","Dates=H","DateFormat=P","Fill=—","Direction=H","UseDPDF=Y")</f>
        <v>#NAME?</v>
      </c>
      <c r="AE199" s="2" t="e">
        <f ca="1">_xll.BDH($C$178,"WORK_CAP_GROWTH","FQ1 2018","FQ1 2018","Currency=INR","Period=FQ","BEST_FPERIOD_OVERRIDE=FQ","FILING_STATUS=OR","EQY_CONSOLIDATED=Y","Sort=A","Dates=H","DateFormat=P","Fill=—","Direction=H","UseDPDF=Y")</f>
        <v>#NAME?</v>
      </c>
      <c r="AF199" s="2" t="e">
        <f ca="1">_xll.BDH($C$178,"ACCOUNTS_PAYABLE_GROWTH_1YR","FQ1 2018","FQ1 2018","Currency=INR","Period=FQ","BEST_FPERIOD_OVERRIDE=FQ","FILING_STATUS=OR","EQY_CONSOLIDATED=Y","Sort=A","Dates=H","DateFormat=P","Fill=—","Direction=H","UseDPDF=Y")</f>
        <v>#NAME?</v>
      </c>
      <c r="AG199" s="2" t="e">
        <f ca="1">_xll.BDH($C$178,"SHORT_TERM_DEBT_1_YEAR_GROWTH","FQ1 2018","FQ1 2018","Currency=INR","Period=FQ","BEST_FPERIOD_OVERRIDE=FQ","FILING_STATUS=OR","EQY_CONSOLIDATED=Y","Sort=A","Dates=H","DateFormat=P","Fill=—","Direction=H","UseDPDF=Y")</f>
        <v>#NAME?</v>
      </c>
      <c r="AH199" s="2" t="e">
        <f ca="1">_xll.BDH($C$178,"TOTAL_DEBT_1_YEAR_GROWTH","FQ1 2018","FQ1 2018","Currency=INR","Period=FQ","BEST_FPERIOD_OVERRIDE=FQ","FILING_STATUS=OR","EQY_CONSOLIDATED=Y","Sort=A","Dates=H","DateFormat=P","Fill=—","Direction=H","UseDPDF=Y")</f>
        <v>#NAME?</v>
      </c>
      <c r="AI199" s="2" t="e">
        <f ca="1">_xll.BDH($C$178,"TOTAL_EQUITY_1_YEAR_GROWTH","FQ1 2018","FQ1 2018","Currency=INR","Period=FQ","BEST_FPERIOD_OVERRIDE=FQ","FILING_STATUS=OR","EQY_CONSOLIDATED=Y","Sort=A","Dates=H","DateFormat=P","Fill=—","Direction=H","UseDPDF=Y")</f>
        <v>#NAME?</v>
      </c>
      <c r="AJ199" s="2" t="e">
        <f ca="1">_xll.BDH($C$178,"GROWTH_IN_CAP","FQ1 2018","FQ1 2018","Currency=INR","Period=FQ","BEST_FPERIOD_OVERRIDE=FQ","FILING_STATUS=OR","EQY_CONSOLIDATED=Y","Sort=A","Dates=H","DateFormat=P","Fill=—","Direction=H","UseDPDF=Y")</f>
        <v>#NAME?</v>
      </c>
      <c r="AK199" s="2" t="e">
        <f ca="1">_xll.BDH($C$178,"BVPS_GROWTH","FQ1 2018","FQ1 2018","Currency=INR","Period=FQ","BEST_FPERIOD_OVERRIDE=FQ","FILING_STATUS=OR","EQY_CONSOLIDATED=Y","Sort=A","Dates=H","DateFormat=P","Fill=—","Direction=H","UseDPDF=Y")</f>
        <v>#NAME?</v>
      </c>
      <c r="AL199" s="2" t="e">
        <f ca="1">_xll.BDH($C$178,"CASH_FLOW_GROWTH","FQ1 2018","FQ1 2018","Currency=INR","Period=FQ","BEST_FPERIOD_OVERRIDE=FQ","FILING_STATUS=OR","EQY_CONSOLIDATED=Y","Sort=A","Dates=H","DateFormat=P","Fill=—","Direction=H","UseDPDF=Y")</f>
        <v>#NAME?</v>
      </c>
      <c r="AM199" s="2" t="e">
        <f ca="1">_xll.BDH($C$178,"GEO_GROW_NET_SALES","FQ1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199" s="2" t="e">
        <f ca="1">_xll.BDH($C$178,"GEO_GROW_EBITDA","FQ1 2018","FQ1 2018","Currency=INR","Period=FQ","BEST_FPERIOD_OVERRIDE=FQ","FILING_STATUS=OR","EQY_CONSOLIDATED=Y","FA_ADJUSTED=GAAP","Sort=A","Dates=H","DateFormat=P","Fill=—","Direction=H","UseDPDF=Y")</f>
        <v>#NAME?</v>
      </c>
      <c r="AO199" s="2" t="e">
        <f ca="1">_xll.BDH($C$178,"GEO_GROW_OPER_INC","FQ1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199" s="2" t="e">
        <f ca="1">_xll.BDH($C$178,"NET_INCOME_TO_COMMON_5_YR_GROWTH","FQ1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199" s="2" t="e">
        <f ca="1">_xll.BDH($C$178,"5Y_GEO_GROWTH_DILUTED_EPS","FQ1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199" s="2" t="e">
        <f ca="1">_xll.BDH($C$178,"GEO_GROW_DVD_PER_SH","FQ1 2018","FQ1 2018","Currency=INR","Period=FQ","BEST_FPERIOD_OVERRIDE=FQ","FILING_STATUS=OR","EQY_CONSOLIDATED=Y","Sort=A","Dates=H","DateFormat=P","Fill=—","Direction=H","UseDPDF=Y")</f>
        <v>#NAME?</v>
      </c>
      <c r="AS199" s="2" t="e">
        <f ca="1">_xll.BDH($C$178,"ACCOUNTS_RECEIVABLE_5_YR_GROWTH","FQ1 2018","FQ1 2018","Currency=INR","Period=FQ","BEST_FPERIOD_OVERRIDE=FQ","FILING_STATUS=OR","EQY_CONSOLIDATED=Y","Sort=A","Dates=H","DateFormat=P","Fill=—","Direction=H","UseDPDF=Y")</f>
        <v>#NAME?</v>
      </c>
      <c r="AT199" s="2" t="e">
        <f ca="1">_xll.BDH($C$178,"INVENTORY_5_YEAR_GROWTH","FQ1 2018","FQ1 2018","Currency=INR","Period=FQ","BEST_FPERIOD_OVERRIDE=FQ","FILING_STATUS=OR","EQY_CONSOLIDATED=Y","Sort=A","Dates=H","DateFormat=P","Fill=—","Direction=H","UseDPDF=Y")</f>
        <v>#NAME?</v>
      </c>
      <c r="AU199" s="2" t="e">
        <f ca="1">_xll.BDH($C$178,"NET_FIXED_ASSETS_5_YEAR_GROWTH","FQ1 2018","FQ1 2018","Currency=INR","Period=FQ","BEST_FPERIOD_OVERRIDE=FQ","FILING_STATUS=OR","EQY_CONSOLIDATED=Y","Sort=A","Dates=H","DateFormat=P","Fill=—","Direction=H","UseDPDF=Y")</f>
        <v>#NAME?</v>
      </c>
      <c r="AV199" s="2" t="e">
        <f ca="1">_xll.BDH($C$178,"GEO_GROW_TOT_ASSET","FQ1 2018","FQ1 2018","Currency=INR","Period=FQ","BEST_FPERIOD_OVERRIDE=FQ","FILING_STATUS=OR","EQY_CONSOLIDATED=Y","Sort=A","Dates=H","DateFormat=P","Fill=—","Direction=H","UseDPDF=Y")</f>
        <v>#NAME?</v>
      </c>
      <c r="AW199" s="2" t="e">
        <f ca="1">_xll.BDH($C$178,"MODIFIED_WORKING_CPTL_5YR_GRWTH","FQ1 2018","FQ1 2018","Currency=INR","Period=FQ","BEST_FPERIOD_OVERRIDE=FQ","FILING_STATUS=OR","EQY_CONSOLIDATED=Y","Sort=A","Dates=H","DateFormat=P","Fill=—","Direction=H","UseDPDF=Y")</f>
        <v>#NAME?</v>
      </c>
      <c r="AX199" s="2" t="e">
        <f ca="1">_xll.BDH($C$178,"WORKING_CAPITAL_5_YEAR_GROWTH","FQ1 2018","FQ1 2018","Currency=INR","Period=FQ","BEST_FPERIOD_OVERRIDE=FQ","FILING_STATUS=OR","EQY_CONSOLIDATED=Y","Sort=A","Dates=H","DateFormat=P","Fill=—","Direction=H","UseDPDF=Y")</f>
        <v>#NAME?</v>
      </c>
      <c r="AY199" s="2" t="e">
        <f ca="1">_xll.BDH($C$178,"ACCOUNTS_PAYABLE_5_YEAR_GROWTH","FQ1 2018","FQ1 2018","Currency=INR","Period=FQ","BEST_FPERIOD_OVERRIDE=FQ","FILING_STATUS=OR","EQY_CONSOLIDATED=Y","Sort=A","Dates=H","DateFormat=P","Fill=—","Direction=H","UseDPDF=Y")</f>
        <v>#NAME?</v>
      </c>
      <c r="AZ199" s="2" t="e">
        <f ca="1">_xll.BDH($C$178,"SHORT_TERM_DEBT_5_YEAR_GROWTH","FQ1 2018","FQ1 2018","Currency=INR","Period=FQ","BEST_FPERIOD_OVERRIDE=FQ","FILING_STATUS=OR","EQY_CONSOLIDATED=Y","Sort=A","Dates=H","DateFormat=P","Fill=—","Direction=H","UseDPDF=Y")</f>
        <v>#NAME?</v>
      </c>
      <c r="BA199" s="2" t="e">
        <f ca="1">_xll.BDH($C$178,"TOTAL_DEBT_5_YEAR_GROWTH","FQ1 2018","FQ1 2018","Currency=INR","Period=FQ","BEST_FPERIOD_OVERRIDE=FQ","FILING_STATUS=OR","EQY_CONSOLIDATED=Y","Sort=A","Dates=H","DateFormat=P","Fill=—","Direction=H","UseDPDF=Y")</f>
        <v>#NAME?</v>
      </c>
      <c r="BB199" s="2" t="e">
        <f ca="1">_xll.BDH($C$178,"GEO_GROW_TOT_SHRHLDR_EQY","FQ1 2018","FQ1 2018","Currency=INR","Period=FQ","BEST_FPERIOD_OVERRIDE=FQ","FILING_STATUS=OR","EQY_CONSOLIDATED=Y","Sort=A","Dates=H","DateFormat=P","Fill=—","Direction=H","UseDPDF=Y")</f>
        <v>#NAME?</v>
      </c>
      <c r="BC199" s="2" t="e">
        <f ca="1">_xll.BDH($C$178,"TOTAL_CAPITAL_5_YEAR_GROWTH","FQ1 2018","FQ1 2018","Currency=INR","Period=FQ","BEST_FPERIOD_OVERRIDE=FQ","FILING_STATUS=OR","EQY_CONSOLIDATED=Y","Sort=A","Dates=H","DateFormat=P","Fill=—","Direction=H","UseDPDF=Y")</f>
        <v>#NAME?</v>
      </c>
      <c r="BD199" s="2" t="e">
        <f ca="1">_xll.BDH($C$178,"GEO_GROW_BOOK_VAL","FQ1 2018","FQ1 2018","Currency=INR","Period=FQ","BEST_FPERIOD_OVERRIDE=FQ","FILING_STATUS=OR","EQY_CONSOLIDATED=Y","Sort=A","Dates=H","DateFormat=P","Fill=—","Direction=H","UseDPDF=Y")</f>
        <v>#NAME?</v>
      </c>
      <c r="BE199" s="2" t="e">
        <f ca="1">_xll.BDH($C$178,"GEO_GROW_CASH_OPER_ACT","FQ1 2018","FQ1 2018","Currency=INR","Period=FQ","BEST_FPERIOD_OVERRIDE=FQ","FILING_STATUS=OR","EQY_CONSOLIDATED=Y","Sort=A","Dates=H","DateFormat=P","Fill=—","Direction=H","UseDPDF=Y")</f>
        <v>#NAME?</v>
      </c>
      <c r="BF199" s="2" t="e">
        <f ca="1">_xll.BDH($C$178,"REVENUE_SEQUENTIAL_GROWTH","FQ1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199" s="2" t="e">
        <f ca="1">_xll.BDH($C$178,"EBITDA_SEQUENTIAL_GROWTH","FQ1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199" s="2" t="e">
        <f ca="1">_xll.BDH($C$178,"OPERATING_INCOME_SEQ_GROWTH","FQ1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199" s="2" t="e">
        <f ca="1">_xll.BDH($C$178,"NET_INCOME_TO_COMMON_SEQ_GROWTH","FQ1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199" s="2" t="e">
        <f ca="1">_xll.BDH($C$178,"EPS_DILUTED_SEQUENTIAL_GROWTH","FQ1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199" s="2" t="e">
        <f ca="1">_xll.BDH($C$178,"DPS_SEQUENTIAL_GROWTH","FQ1 2018","FQ1 2018","Currency=INR","Period=FQ","BEST_FPERIOD_OVERRIDE=FQ","FILING_STATUS=OR","EQY_CONSOLIDATED=Y","Sort=A","Dates=H","DateFormat=P","Fill=—","Direction=H","UseDPDF=Y")</f>
        <v>#NAME?</v>
      </c>
      <c r="BL199" s="2" t="e">
        <f ca="1">_xll.BDH($C$178,"ACCOUNTS_RECEIVABLE_SEQ_GROWTH","FQ1 2018","FQ1 2018","Currency=INR","Period=FQ","BEST_FPERIOD_OVERRIDE=FQ","FILING_STATUS=OR","EQY_CONSOLIDATED=Y","Sort=A","Dates=H","DateFormat=P","Fill=—","Direction=H","UseDPDF=Y")</f>
        <v>#NAME?</v>
      </c>
      <c r="BM199" s="2" t="e">
        <f ca="1">_xll.BDH($C$178,"INVENTORY_SEQUENTIAL_GROWTH","FQ1 2018","FQ1 2018","Currency=INR","Period=FQ","BEST_FPERIOD_OVERRIDE=FQ","FILING_STATUS=OR","EQY_CONSOLIDATED=Y","Sort=A","Dates=H","DateFormat=P","Fill=—","Direction=H","UseDPDF=Y")</f>
        <v>#NAME?</v>
      </c>
      <c r="BN199" s="2" t="e">
        <f ca="1">_xll.BDH($C$178,"FIXED_ASSETS_SEQUENTIAL_GROWTH","FQ1 2018","FQ1 2018","Currency=INR","Period=FQ","BEST_FPERIOD_OVERRIDE=FQ","FILING_STATUS=OR","EQY_CONSOLIDATED=Y","Sort=A","Dates=H","DateFormat=P","Fill=—","Direction=H","UseDPDF=Y")</f>
        <v>#NAME?</v>
      </c>
      <c r="BO199" s="2" t="e">
        <f ca="1">_xll.BDH($C$178,"TOTAL_ASSETS_SEQUENTIAL_GROWTH","FQ1 2018","FQ1 2018","Currency=INR","Period=FQ","BEST_FPERIOD_OVERRIDE=FQ","FILING_STATUS=OR","EQY_CONSOLIDATED=Y","Sort=A","Dates=H","DateFormat=P","Fill=—","Direction=H","UseDPDF=Y")</f>
        <v>#NAME?</v>
      </c>
      <c r="BP199" s="2" t="e">
        <f ca="1">_xll.BDH($C$178,"MODIFIED_WORKING_CPTL_SEQ_GRWTH","FQ1 2018","FQ1 2018","Currency=INR","Period=FQ","BEST_FPERIOD_OVERRIDE=FQ","FILING_STATUS=OR","EQY_CONSOLIDATED=Y","Sort=A","Dates=H","DateFormat=P","Fill=—","Direction=H","UseDPDF=Y")</f>
        <v>#NAME?</v>
      </c>
      <c r="BQ199" s="2" t="e">
        <f ca="1">_xll.BDH($C$178,"WORKING_CAPITAL_SEQ_GROWTH","FQ1 2018","FQ1 2018","Currency=INR","Period=FQ","BEST_FPERIOD_OVERRIDE=FQ","FILING_STATUS=OR","EQY_CONSOLIDATED=Y","Sort=A","Dates=H","DateFormat=P","Fill=—","Direction=H","UseDPDF=Y")</f>
        <v>#NAME?</v>
      </c>
      <c r="BR199" s="2" t="e">
        <f ca="1">_xll.BDH($C$178,"ACCOUNTS_PAYABLE_SEQ_GROWTH","FQ1 2018","FQ1 2018","Currency=INR","Period=FQ","BEST_FPERIOD_OVERRIDE=FQ","FILING_STATUS=OR","EQY_CONSOLIDATED=Y","Sort=A","Dates=H","DateFormat=P","Fill=—","Direction=H","UseDPDF=Y")</f>
        <v>#NAME?</v>
      </c>
      <c r="BS199" s="2" t="e">
        <f ca="1">_xll.BDH($C$178,"ST_DEBT_SEQUENTIAL_GROWTH","FQ1 2018","FQ1 2018","Currency=INR","Period=FQ","BEST_FPERIOD_OVERRIDE=FQ","FILING_STATUS=OR","EQY_CONSOLIDATED=Y","Sort=A","Dates=H","DateFormat=P","Fill=—","Direction=H","UseDPDF=Y")</f>
        <v>#NAME?</v>
      </c>
      <c r="BT199" s="2" t="e">
        <f ca="1">_xll.BDH($C$178,"TOTAL_DEBT_SEQUENTIAL_GROWTH","FQ1 2018","FQ1 2018","Currency=INR","Period=FQ","BEST_FPERIOD_OVERRIDE=FQ","FILING_STATUS=OR","EQY_CONSOLIDATED=Y","Sort=A","Dates=H","DateFormat=P","Fill=—","Direction=H","UseDPDF=Y")</f>
        <v>#NAME?</v>
      </c>
      <c r="BU199" s="2" t="e">
        <f ca="1">_xll.BDH($C$178,"TOTAL_EQUITY_SEQUENTIAL_GROWTH","FQ1 2018","FQ1 2018","Currency=INR","Period=FQ","BEST_FPERIOD_OVERRIDE=FQ","FILING_STATUS=OR","EQY_CONSOLIDATED=Y","Sort=A","Dates=H","DateFormat=P","Fill=—","Direction=H","UseDPDF=Y")</f>
        <v>#NAME?</v>
      </c>
      <c r="BV199" s="2" t="e">
        <f ca="1">_xll.BDH($C$178,"TOTAL_CAPITAL_SEQUENTIAL_GROWTH","FQ1 2018","FQ1 2018","Currency=INR","Period=FQ","BEST_FPERIOD_OVERRIDE=FQ","FILING_STATUS=OR","EQY_CONSOLIDATED=Y","Sort=A","Dates=H","DateFormat=P","Fill=—","Direction=H","UseDPDF=Y")</f>
        <v>#NAME?</v>
      </c>
      <c r="BW199" s="2" t="e">
        <f ca="1">_xll.BDH($C$178,"BPS_SEQUENTIAL_GROWTH","FQ1 2018","FQ1 2018","Currency=INR","Period=FQ","BEST_FPERIOD_OVERRIDE=FQ","FILING_STATUS=OR","EQY_CONSOLIDATED=Y","Sort=A","Dates=H","DateFormat=P","Fill=—","Direction=H","UseDPDF=Y")</f>
        <v>#NAME?</v>
      </c>
      <c r="BX199" s="2" t="e">
        <f ca="1">_xll.BDH($C$178,"CFO_SEQUENTIAL_GROWTH","FQ1 2018","FQ1 2018","Currency=INR","Period=FQ","BEST_FPERIOD_OVERRIDE=FQ","FILING_STATUS=OR","EQY_CONSOLIDATED=Y","Sort=A","Dates=H","DateFormat=P","Fill=—","Direction=H","UseDPDF=Y")</f>
        <v>#NAME?</v>
      </c>
      <c r="BY199" s="3" t="e">
        <f ca="1">_xll.BDH($C$178,"SHORT_AND_LONG_TERM_DEBT","FQ1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199" s="3" t="e">
        <f ca="1">_xll.BDH($C$178,"BS_ST_BORROW","FQ1 2018","FQ1 2018","Currency=INR","Period=FQ","BEST_FPERIOD_OVERRIDE=FQ","FILING_STATUS=OR","EQY_CONSOLIDATED=Y","SCALING_FORMAT=MLN","Sort=A","Dates=H","DateFormat=P","Fill=—","Direction=H","UseDPDF=Y")</f>
        <v>#NAME?</v>
      </c>
      <c r="CA199" s="3" t="e">
        <f ca="1">_xll.BDH($C$178,"BS_LT_BORROW","FQ1 2018","FQ1 2018","Currency=INR","Period=FQ","BEST_FPERIOD_OVERRIDE=FQ","FILING_STATUS=OR","EQY_CONSOLIDATED=Y","SCALING_FORMAT=MLN","Sort=A","Dates=H","DateFormat=P","Fill=—","Direction=H","UseDPDF=Y")</f>
        <v>#NAME?</v>
      </c>
      <c r="CB199" s="2" t="e">
        <f ca="1">_xll.BDH($C$178,"TOT_DEBT_TO_EBITDA","FQ1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199" s="2" t="e">
        <f ca="1">_xll.BDH($C$178,"NET_DEBT_TO_EBITDA","FQ1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199" s="2" t="e">
        <f ca="1">_xll.BDH($C$178,"TOTAL_DEBT_TO_EBIT","FQ1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199" s="2" t="e">
        <f ca="1">_xll.BDH($C$178,"NET_DEBT_TO_EBIT","FQ1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199" s="2" t="e">
        <f ca="1">_xll.BDH($C$178,"EBITDA_TO_INTEREST_EXPN","FQ1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199" s="2" t="e">
        <f ca="1">_xll.BDH($C$178,"COM_EQY_TO_TOT_ASSET","FQ1 2018","FQ1 2018","Currency=INR","Period=FQ","BEST_FPERIOD_OVERRIDE=FQ","FILING_STATUS=OR","EQY_CONSOLIDATED=Y","Sort=A","Dates=H","DateFormat=P","Fill=—","Direction=H","UseDPDF=Y")</f>
        <v>#NAME?</v>
      </c>
      <c r="CH199" s="2" t="e">
        <f ca="1">_xll.BDH($C$178,"LT_DEBT_TO_TOT_EQY","FQ1 2018","FQ1 2018","Currency=INR","Period=FQ","BEST_FPERIOD_OVERRIDE=FQ","FILING_STATUS=OR","EQY_CONSOLIDATED=Y","Sort=A","Dates=H","DateFormat=P","Fill=—","Direction=H","UseDPDF=Y")</f>
        <v>#NAME?</v>
      </c>
      <c r="CI199" s="2" t="e">
        <f ca="1">_xll.BDH($C$178,"LT_DEBT_TO_TOT_CAP","FQ1 2018","FQ1 2018","Currency=INR","Period=FQ","BEST_FPERIOD_OVERRIDE=FQ","FILING_STATUS=OR","EQY_CONSOLIDATED=Y","Sort=A","Dates=H","DateFormat=P","Fill=—","Direction=H","UseDPDF=Y")</f>
        <v>#NAME?</v>
      </c>
      <c r="CJ199" s="2" t="e">
        <f ca="1">_xll.BDH($C$178,"LT_DEBT_TO_TOT_ASSET","FQ1 2018","FQ1 2018","Currency=INR","Period=FQ","BEST_FPERIOD_OVERRIDE=FQ","FILING_STATUS=OR","EQY_CONSOLIDATED=Y","Sort=A","Dates=H","DateFormat=P","Fill=—","Direction=H","UseDPDF=Y")</f>
        <v>#NAME?</v>
      </c>
      <c r="CK199" s="2" t="e">
        <f ca="1">_xll.BDH($C$178,"TOT_DEBT_TO_TOT_EQY","FQ1 2018","FQ1 2018","Currency=INR","Period=FQ","BEST_FPERIOD_OVERRIDE=FQ","FILING_STATUS=OR","EQY_CONSOLIDATED=Y","Sort=A","Dates=H","DateFormat=P","Fill=—","Direction=H","UseDPDF=Y")</f>
        <v>#NAME?</v>
      </c>
      <c r="CL199" s="2" t="e">
        <f ca="1">_xll.BDH($C$178,"TOT_DEBT_TO_TOT_CAP","FQ1 2018","FQ1 2018","Currency=INR","Period=FQ","BEST_FPERIOD_OVERRIDE=FQ","FILING_STATUS=OR","EQY_CONSOLIDATED=Y","Sort=A","Dates=H","DateFormat=P","Fill=—","Direction=H","UseDPDF=Y")</f>
        <v>#NAME?</v>
      </c>
      <c r="CM199" s="2" t="e">
        <f ca="1">_xll.BDH($C$178,"TOT_DEBT_TO_TOT_ASSET","FQ1 2018","FQ1 2018","Currency=INR","Period=FQ","BEST_FPERIOD_OVERRIDE=FQ","FILING_STATUS=OR","EQY_CONSOLIDATED=Y","Sort=A","Dates=H","DateFormat=P","Fill=—","Direction=H","UseDPDF=Y")</f>
        <v>#NAME?</v>
      </c>
      <c r="CN199" s="2" t="e">
        <f ca="1">_xll.BDH($C$178,"NET_DEBT_TO_SHRHLDR_EQTY","FQ1 2018","FQ1 2018","Currency=INR","Period=FQ","BEST_FPERIOD_OVERRIDE=FQ","FILING_STATUS=OR","EQY_CONSOLIDATED=Y","Sort=A","Dates=H","DateFormat=P","Fill=—","Direction=H","UseDPDF=Y")</f>
        <v>#NAME?</v>
      </c>
      <c r="CO199" s="2" t="e">
        <f ca="1">_xll.BDH($C$178,"NET_DEBT_%_CAPITAL","FQ1 2018","FQ1 2018","Currency=INR","Period=FQ","BEST_FPERIOD_OVERRIDE=FQ","FILING_STATUS=OR","EQY_CONSOLIDATED=Y","Sort=A","Dates=H","DateFormat=P","Fill=—","Direction=H","UseDPDF=Y")</f>
        <v>#NAME?</v>
      </c>
      <c r="CP199" s="3" t="e">
        <f ca="1">_xll.BDH($C$178,"EBITDA","FQ1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199" s="3" t="e">
        <f ca="1">_xll.BDH($C$178,"EBITDA_AFTER_CAPEX","FQ1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199" s="3" t="e">
        <f ca="1">_xll.BDH($C$178,"IS_OPER_INC","FQ1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199" s="2" t="e">
        <f ca="1">_xll.BDH($C$178,"CASH_RATIO","FQ1 2018","FQ1 2018","Currency=INR","Period=FQ","BEST_FPERIOD_OVERRIDE=FQ","FILING_STATUS=OR","EQY_CONSOLIDATED=Y","Sort=A","Dates=H","DateFormat=P","Fill=—","Direction=H","UseDPDF=Y")</f>
        <v>#NAME?</v>
      </c>
      <c r="CT199" s="2" t="e">
        <f ca="1">_xll.BDH($C$178,"CUR_RATIO","FQ1 2018","FQ1 2018","Currency=INR","Period=FQ","BEST_FPERIOD_OVERRIDE=FQ","FILING_STATUS=OR","EQY_CONSOLIDATED=Y","Sort=A","Dates=H","DateFormat=P","Fill=—","Direction=H","UseDPDF=Y")</f>
        <v>#NAME?</v>
      </c>
      <c r="CU199" s="2" t="e">
        <f ca="1">_xll.BDH($C$178,"QUICK_RATIO","FQ1 2018","FQ1 2018","Currency=INR","Period=FQ","BEST_FPERIOD_OVERRIDE=FQ","FILING_STATUS=OR","EQY_CONSOLIDATED=Y","Sort=A","Dates=H","DateFormat=P","Fill=—","Direction=H","UseDPDF=Y")</f>
        <v>#NAME?</v>
      </c>
      <c r="CV199" s="2" t="e">
        <f ca="1">_xll.BDH($C$178,"ALTMAN_Z_SCORE","FQ1 2018","FQ1 2018","Currency=INR","Period=FQ","BEST_FPERIOD_OVERRIDE=FQ","FILING_STATUS=OR","EQY_CONSOLIDATED=Y","Sort=A","Dates=H","DateFormat=P","Fill=—","Direction=H","UseDPDF=Y")</f>
        <v>#NAME?</v>
      </c>
      <c r="CW199" s="4" t="e">
        <f ca="1">_xll.BDH($C$178,"ACCT_RCV_TURN","FQ1 2018","FQ1 2018","Currency=INR","Period=FQ","BEST_FPERIOD_OVERRIDE=FQ","FILING_STATUS=OR","EQY_CONSOLIDATED=Y","FA_ADJUSTED=GAAP","Sort=A","Dates=H","DateFormat=P","Fill=—","Direction=H","UseDPDF=Y")</f>
        <v>#NAME?</v>
      </c>
      <c r="CX199" s="2" t="e">
        <f ca="1">_xll.BDH($C$178,"ACCT_RCV_DAYS","FQ1 2018","FQ1 2018","Currency=INR","Period=FQ","BEST_FPERIOD_OVERRIDE=FQ","FILING_STATUS=OR","EQY_CONSOLIDATED=Y","FA_ADJUSTED=GAAP","Sort=A","Dates=H","DateFormat=P","Fill=—","Direction=H","UseDPDF=Y")</f>
        <v>#NAME?</v>
      </c>
      <c r="CY199" s="4" t="e">
        <f ca="1">_xll.BDH($C$178,"INVENT_TURN","FQ1 2018","FQ1 2018","Currency=INR","Period=FQ","BEST_FPERIOD_OVERRIDE=FQ","FILING_STATUS=OR","EQY_CONSOLIDATED=Y","FA_ADJUSTED=GAAP","Sort=A","Dates=H","DateFormat=P","Fill=—","Direction=H","UseDPDF=Y")</f>
        <v>#NAME?</v>
      </c>
      <c r="CZ199" s="2" t="e">
        <f ca="1">_xll.BDH($C$178,"INVENT_DAYS","FQ1 2018","FQ1 2018","Currency=INR","Period=FQ","BEST_FPERIOD_OVERRIDE=FQ","FILING_STATUS=OR","EQY_CONSOLIDATED=Y","FA_ADJUSTED=GAAP","Sort=A","Dates=H","DateFormat=P","Fill=—","Direction=H","UseDPDF=Y")</f>
        <v>#NAME?</v>
      </c>
      <c r="DA199" s="4" t="e">
        <f ca="1">_xll.BDH($C$178,"ACCOUNTS_PAYABLE_TURNOVER","FQ1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199" s="2" t="e">
        <f ca="1">_xll.BDH($C$178,"ACCOUNTS_PAYABLE_TURNOVER_DAYS","FQ1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199" s="4" t="e">
        <f ca="1">_xll.BDH($C$178,"CASH_CONVERSION_CYCLE","FQ1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199" s="4" t="e">
        <f ca="1">_xll.BDH($C$178,"INV_TO_CASH_DAYS","FQ1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199" s="5" t="e">
        <f ca="1">_xll.BDH($C$178,"BS_INVENTORIES","FQ1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199" s="3" t="e">
        <f ca="1">_xll.BDH($C$178,"INVTRY_RAW_MATERIALS","FQ1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199" s="3" t="e">
        <f ca="1">_xll.BDH($C$178,"INVTRY_IN_PROGRESS","FQ1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199" s="3" t="e">
        <f ca="1">_xll.BDH($C$178,"INVTRY_FINISHED_GOODS","FQ1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199" s="3" t="e">
        <f ca="1">_xll.BDH($C$178,"BS_OTHER_INV","FQ1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200" spans="1:113" x14ac:dyDescent="0.3">
      <c r="A200" s="6"/>
      <c r="B200" s="6"/>
      <c r="C200" s="6"/>
      <c r="D200" s="6"/>
      <c r="E200" t="s">
        <v>79</v>
      </c>
      <c r="F200" t="e">
        <f ca="1">_xll.BDH($C$178,"RETURN_COM_EQY","FQ2 2018","FQ2 2018","Currency=INR","Period=FQ","BEST_FPERIOD_OVERRIDE=FQ","FILING_STATUS=OR","EQY_CONSOLIDATED=Y","FA_ADJUSTED=GAAP","Sort=A","Dates=H","DateFormat=P","Fill=—","Direction=H","UseDPDF=Y")</f>
        <v>#NAME?</v>
      </c>
      <c r="G200" t="e">
        <f ca="1">_xll.BDH($C$178,"RETURN_ON_ASSET","FQ2 2018","FQ2 2018","Currency=INR","Period=FQ","BEST_FPERIOD_OVERRIDE=FQ","FILING_STATUS=OR","EQY_CONSOLIDATED=Y","FA_ADJUSTED=GAAP","Sort=A","Dates=H","DateFormat=P","Fill=—","Direction=H","UseDPDF=Y")</f>
        <v>#NAME?</v>
      </c>
      <c r="H200" t="e">
        <f ca="1">_xll.BDH($C$178,"RETURN_ON_CAP","FQ2 2018","FQ2 2018","Currency=INR","Period=FQ","BEST_FPERIOD_OVERRIDE=FQ","FILING_STATUS=OR","EQY_CONSOLIDATED=Y","FA_ADJUSTED=GAAP","Sort=A","Dates=H","DateFormat=P","Fill=—","Direction=H","UseDPDF=Y")</f>
        <v>#NAME?</v>
      </c>
      <c r="I200" t="e">
        <f ca="1">_xll.BDH($C$178,"RETURN_ON_INV_CAPITAL","FQ2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200" t="e">
        <f ca="1">_xll.BDH($C$178,"EBITDA_TO_REVENUE","FQ2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200" t="e">
        <f ca="1">_xll.BDH($C$178,"OPER_MARGIN","FQ2 2018","FQ2 2018","Currency=INR","Period=FQ","BEST_FPERIOD_OVERRIDE=FQ","FILING_STATUS=OR","EQY_CONSOLIDATED=Y","FA_ADJUSTED=GAAP","Sort=A","Dates=H","DateFormat=P","Fill=—","Direction=H","UseDPDF=Y")</f>
        <v>#NAME?</v>
      </c>
      <c r="L200" t="e">
        <f ca="1">_xll.BDH($C$178,"INCREMENTAL_OPERATING_MARGIN","FQ2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200" t="e">
        <f ca="1">_xll.BDH($C$178,"PRETAX_INC_TO_NET_SALES","FQ2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200" t="e">
        <f ca="1">_xll.BDH($C$178,"INC_BEF_XO_ITEMS_TO_NET_SALES","FQ2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200" t="e">
        <f ca="1">_xll.BDH($C$178,"PROF_MARGIN","FQ2 2018","FQ2 2018","Currency=INR","Period=FQ","BEST_FPERIOD_OVERRIDE=FQ","FILING_STATUS=OR","EQY_CONSOLIDATED=Y","FA_ADJUSTED=GAAP","Sort=A","Dates=H","DateFormat=P","Fill=—","Direction=H","UseDPDF=Y")</f>
        <v>#NAME?</v>
      </c>
      <c r="P200" t="e">
        <f ca="1">_xll.BDH($C$178,"NET_INCOME_TO_COMMON_MARGIN","FQ2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200" t="e">
        <f ca="1">_xll.BDH($C$178,"EFF_TAX_RATE","FQ2 2018","FQ2 2018","Currency=INR","Period=FQ","BEST_FPERIOD_OVERRIDE=FQ","FILING_STATUS=OR","EQY_CONSOLIDATED=Y","FA_ADJUSTED=GAAP","Sort=A","Dates=H","DateFormat=P","Fill=—","Direction=H","UseDPDF=Y")</f>
        <v>#NAME?</v>
      </c>
      <c r="R200" t="e">
        <f ca="1">_xll.BDH($C$178,"DVD_PAYOUT_RATIO","FQ2 2018","FQ2 2018","Currency=INR","Period=FQ","BEST_FPERIOD_OVERRIDE=FQ","FILING_STATUS=OR","EQY_CONSOLIDATED=Y","FA_ADJUSTED=GAAP","Sort=A","Dates=H","DateFormat=P","Fill=—","Direction=H","UseDPDF=Y")</f>
        <v>#NAME?</v>
      </c>
      <c r="S200" t="e">
        <f ca="1">_xll.BDH($C$178,"SUSTAIN_GROWTH_RT","FQ2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200" s="2" t="e">
        <f ca="1">_xll.BDH($C$178,"SALES_GROWTH","FQ2 2018","FQ2 2018","Currency=INR","Period=FQ","BEST_FPERIOD_OVERRIDE=FQ","FILING_STATUS=OR","EQY_CONSOLIDATED=Y","FA_ADJUSTED=GAAP","Sort=A","Dates=H","DateFormat=P","Fill=—","Direction=H","UseDPDF=Y")</f>
        <v>#NAME?</v>
      </c>
      <c r="U200" s="2" t="e">
        <f ca="1">_xll.BDH($C$178,"EBITDA_GROWTH","FQ2 2018","FQ2 2018","Currency=INR","Period=FQ","BEST_FPERIOD_OVERRIDE=FQ","FILING_STATUS=OR","EQY_CONSOLIDATED=Y","FA_ADJUSTED=GAAP","Sort=A","Dates=H","DateFormat=P","Fill=—","Direction=H","UseDPDF=Y")</f>
        <v>#NAME?</v>
      </c>
      <c r="V200" s="2" t="e">
        <f ca="1">_xll.BDH($C$178,"OPER_INC_GROWTH","FQ2 2018","FQ2 2018","Currency=INR","Period=FQ","BEST_FPERIOD_OVERRIDE=FQ","FILING_STATUS=OR","EQY_CONSOLIDATED=Y","FA_ADJUSTED=GAAP","Sort=A","Dates=H","DateFormat=P","Fill=—","Direction=H","UseDPDF=Y")</f>
        <v>#NAME?</v>
      </c>
      <c r="W200" s="2" t="e">
        <f ca="1">_xll.BDH($C$178,"EARN_FOR_COM_GROWTH","FQ2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200" s="2" t="e">
        <f ca="1">_xll.BDH($C$178,"DILUTED_EPS_AFT_XO_ITEMS_GROWTH","FQ2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200" s="2" t="e">
        <f ca="1">_xll.BDH($C$178,"DIVIDEND_PER_SHARE_1_YEAR_GROWTH","FQ2 2018","FQ2 2018","Currency=INR","Period=FQ","BEST_FPERIOD_OVERRIDE=FQ","FILING_STATUS=OR","EQY_CONSOLIDATED=Y","Sort=A","Dates=H","DateFormat=P","Fill=—","Direction=H","UseDPDF=Y")</f>
        <v>#NAME?</v>
      </c>
      <c r="Z200" s="2" t="e">
        <f ca="1">_xll.BDH($C$178,"ACCOUNTS_RECEIVABLE_GROWTH","FQ2 2018","FQ2 2018","Currency=INR","Period=FQ","BEST_FPERIOD_OVERRIDE=FQ","FILING_STATUS=OR","EQY_CONSOLIDATED=Y","Sort=A","Dates=H","DateFormat=P","Fill=—","Direction=H","UseDPDF=Y")</f>
        <v>#NAME?</v>
      </c>
      <c r="AA200" s="2" t="e">
        <f ca="1">_xll.BDH($C$178,"INVENTORY_GROWTH","FQ2 2018","FQ2 2018","Currency=INR","Period=FQ","BEST_FPERIOD_OVERRIDE=FQ","FILING_STATUS=OR","EQY_CONSOLIDATED=Y","Sort=A","Dates=H","DateFormat=P","Fill=—","Direction=H","UseDPDF=Y")</f>
        <v>#NAME?</v>
      </c>
      <c r="AB200" s="2" t="e">
        <f ca="1">_xll.BDH($C$178,"NET_FIXED_ASSETS_1_YEAR_GROWTH","FQ2 2018","FQ2 2018","Currency=INR","Period=FQ","BEST_FPERIOD_OVERRIDE=FQ","FILING_STATUS=OR","EQY_CONSOLIDATED=Y","Sort=A","Dates=H","DateFormat=P","Fill=—","Direction=H","UseDPDF=Y")</f>
        <v>#NAME?</v>
      </c>
      <c r="AC200" s="2" t="e">
        <f ca="1">_xll.BDH($C$178,"ASSET_GROWTH","FQ2 2018","FQ2 2018","Currency=INR","Period=FQ","BEST_FPERIOD_OVERRIDE=FQ","FILING_STATUS=OR","EQY_CONSOLIDATED=Y","Sort=A","Dates=H","DateFormat=P","Fill=—","Direction=H","UseDPDF=Y")</f>
        <v>#NAME?</v>
      </c>
      <c r="AD200" s="2" t="e">
        <f ca="1">_xll.BDH($C$178,"MODIFIED_WORK_CAP_GROWTH","FQ2 2018","FQ2 2018","Currency=INR","Period=FQ","BEST_FPERIOD_OVERRIDE=FQ","FILING_STATUS=OR","EQY_CONSOLIDATED=Y","Sort=A","Dates=H","DateFormat=P","Fill=—","Direction=H","UseDPDF=Y")</f>
        <v>#NAME?</v>
      </c>
      <c r="AE200" s="2" t="e">
        <f ca="1">_xll.BDH($C$178,"WORK_CAP_GROWTH","FQ2 2018","FQ2 2018","Currency=INR","Period=FQ","BEST_FPERIOD_OVERRIDE=FQ","FILING_STATUS=OR","EQY_CONSOLIDATED=Y","Sort=A","Dates=H","DateFormat=P","Fill=—","Direction=H","UseDPDF=Y")</f>
        <v>#NAME?</v>
      </c>
      <c r="AF200" s="2" t="e">
        <f ca="1">_xll.BDH($C$178,"ACCOUNTS_PAYABLE_GROWTH_1YR","FQ2 2018","FQ2 2018","Currency=INR","Period=FQ","BEST_FPERIOD_OVERRIDE=FQ","FILING_STATUS=OR","EQY_CONSOLIDATED=Y","Sort=A","Dates=H","DateFormat=P","Fill=—","Direction=H","UseDPDF=Y")</f>
        <v>#NAME?</v>
      </c>
      <c r="AG200" s="2" t="e">
        <f ca="1">_xll.BDH($C$178,"SHORT_TERM_DEBT_1_YEAR_GROWTH","FQ2 2018","FQ2 2018","Currency=INR","Period=FQ","BEST_FPERIOD_OVERRIDE=FQ","FILING_STATUS=OR","EQY_CONSOLIDATED=Y","Sort=A","Dates=H","DateFormat=P","Fill=—","Direction=H","UseDPDF=Y")</f>
        <v>#NAME?</v>
      </c>
      <c r="AH200" s="2" t="e">
        <f ca="1">_xll.BDH($C$178,"TOTAL_DEBT_1_YEAR_GROWTH","FQ2 2018","FQ2 2018","Currency=INR","Period=FQ","BEST_FPERIOD_OVERRIDE=FQ","FILING_STATUS=OR","EQY_CONSOLIDATED=Y","Sort=A","Dates=H","DateFormat=P","Fill=—","Direction=H","UseDPDF=Y")</f>
        <v>#NAME?</v>
      </c>
      <c r="AI200" s="2" t="e">
        <f ca="1">_xll.BDH($C$178,"TOTAL_EQUITY_1_YEAR_GROWTH","FQ2 2018","FQ2 2018","Currency=INR","Period=FQ","BEST_FPERIOD_OVERRIDE=FQ","FILING_STATUS=OR","EQY_CONSOLIDATED=Y","Sort=A","Dates=H","DateFormat=P","Fill=—","Direction=H","UseDPDF=Y")</f>
        <v>#NAME?</v>
      </c>
      <c r="AJ200" s="2" t="e">
        <f ca="1">_xll.BDH($C$178,"GROWTH_IN_CAP","FQ2 2018","FQ2 2018","Currency=INR","Period=FQ","BEST_FPERIOD_OVERRIDE=FQ","FILING_STATUS=OR","EQY_CONSOLIDATED=Y","Sort=A","Dates=H","DateFormat=P","Fill=—","Direction=H","UseDPDF=Y")</f>
        <v>#NAME?</v>
      </c>
      <c r="AK200" s="2" t="e">
        <f ca="1">_xll.BDH($C$178,"BVPS_GROWTH","FQ2 2018","FQ2 2018","Currency=INR","Period=FQ","BEST_FPERIOD_OVERRIDE=FQ","FILING_STATUS=OR","EQY_CONSOLIDATED=Y","Sort=A","Dates=H","DateFormat=P","Fill=—","Direction=H","UseDPDF=Y")</f>
        <v>#NAME?</v>
      </c>
      <c r="AL200" s="2" t="e">
        <f ca="1">_xll.BDH($C$178,"CASH_FLOW_GROWTH","FQ2 2018","FQ2 2018","Currency=INR","Period=FQ","BEST_FPERIOD_OVERRIDE=FQ","FILING_STATUS=OR","EQY_CONSOLIDATED=Y","Sort=A","Dates=H","DateFormat=P","Fill=—","Direction=H","UseDPDF=Y")</f>
        <v>#NAME?</v>
      </c>
      <c r="AM200" s="2" t="e">
        <f ca="1">_xll.BDH($C$178,"GEO_GROW_NET_SALES","FQ2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200" s="2" t="e">
        <f ca="1">_xll.BDH($C$178,"GEO_GROW_EBITDA","FQ2 2018","FQ2 2018","Currency=INR","Period=FQ","BEST_FPERIOD_OVERRIDE=FQ","FILING_STATUS=OR","EQY_CONSOLIDATED=Y","FA_ADJUSTED=GAAP","Sort=A","Dates=H","DateFormat=P","Fill=—","Direction=H","UseDPDF=Y")</f>
        <v>#NAME?</v>
      </c>
      <c r="AO200" s="2" t="e">
        <f ca="1">_xll.BDH($C$178,"GEO_GROW_OPER_INC","FQ2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200" s="2" t="e">
        <f ca="1">_xll.BDH($C$178,"NET_INCOME_TO_COMMON_5_YR_GROWTH","FQ2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200" s="2" t="e">
        <f ca="1">_xll.BDH($C$178,"5Y_GEO_GROWTH_DILUTED_EPS","FQ2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200" s="2" t="e">
        <f ca="1">_xll.BDH($C$178,"GEO_GROW_DVD_PER_SH","FQ2 2018","FQ2 2018","Currency=INR","Period=FQ","BEST_FPERIOD_OVERRIDE=FQ","FILING_STATUS=OR","EQY_CONSOLIDATED=Y","Sort=A","Dates=H","DateFormat=P","Fill=—","Direction=H","UseDPDF=Y")</f>
        <v>#NAME?</v>
      </c>
      <c r="AS200" s="2" t="e">
        <f ca="1">_xll.BDH($C$178,"ACCOUNTS_RECEIVABLE_5_YR_GROWTH","FQ2 2018","FQ2 2018","Currency=INR","Period=FQ","BEST_FPERIOD_OVERRIDE=FQ","FILING_STATUS=OR","EQY_CONSOLIDATED=Y","Sort=A","Dates=H","DateFormat=P","Fill=—","Direction=H","UseDPDF=Y")</f>
        <v>#NAME?</v>
      </c>
      <c r="AT200" s="2" t="e">
        <f ca="1">_xll.BDH($C$178,"INVENTORY_5_YEAR_GROWTH","FQ2 2018","FQ2 2018","Currency=INR","Period=FQ","BEST_FPERIOD_OVERRIDE=FQ","FILING_STATUS=OR","EQY_CONSOLIDATED=Y","Sort=A","Dates=H","DateFormat=P","Fill=—","Direction=H","UseDPDF=Y")</f>
        <v>#NAME?</v>
      </c>
      <c r="AU200" s="2" t="e">
        <f ca="1">_xll.BDH($C$178,"NET_FIXED_ASSETS_5_YEAR_GROWTH","FQ2 2018","FQ2 2018","Currency=INR","Period=FQ","BEST_FPERIOD_OVERRIDE=FQ","FILING_STATUS=OR","EQY_CONSOLIDATED=Y","Sort=A","Dates=H","DateFormat=P","Fill=—","Direction=H","UseDPDF=Y")</f>
        <v>#NAME?</v>
      </c>
      <c r="AV200" s="2" t="e">
        <f ca="1">_xll.BDH($C$178,"GEO_GROW_TOT_ASSET","FQ2 2018","FQ2 2018","Currency=INR","Period=FQ","BEST_FPERIOD_OVERRIDE=FQ","FILING_STATUS=OR","EQY_CONSOLIDATED=Y","Sort=A","Dates=H","DateFormat=P","Fill=—","Direction=H","UseDPDF=Y")</f>
        <v>#NAME?</v>
      </c>
      <c r="AW200" s="2" t="e">
        <f ca="1">_xll.BDH($C$178,"MODIFIED_WORKING_CPTL_5YR_GRWTH","FQ2 2018","FQ2 2018","Currency=INR","Period=FQ","BEST_FPERIOD_OVERRIDE=FQ","FILING_STATUS=OR","EQY_CONSOLIDATED=Y","Sort=A","Dates=H","DateFormat=P","Fill=—","Direction=H","UseDPDF=Y")</f>
        <v>#NAME?</v>
      </c>
      <c r="AX200" s="2" t="e">
        <f ca="1">_xll.BDH($C$178,"WORKING_CAPITAL_5_YEAR_GROWTH","FQ2 2018","FQ2 2018","Currency=INR","Period=FQ","BEST_FPERIOD_OVERRIDE=FQ","FILING_STATUS=OR","EQY_CONSOLIDATED=Y","Sort=A","Dates=H","DateFormat=P","Fill=—","Direction=H","UseDPDF=Y")</f>
        <v>#NAME?</v>
      </c>
      <c r="AY200" s="2" t="e">
        <f ca="1">_xll.BDH($C$178,"ACCOUNTS_PAYABLE_5_YEAR_GROWTH","FQ2 2018","FQ2 2018","Currency=INR","Period=FQ","BEST_FPERIOD_OVERRIDE=FQ","FILING_STATUS=OR","EQY_CONSOLIDATED=Y","Sort=A","Dates=H","DateFormat=P","Fill=—","Direction=H","UseDPDF=Y")</f>
        <v>#NAME?</v>
      </c>
      <c r="AZ200" s="2" t="e">
        <f ca="1">_xll.BDH($C$178,"SHORT_TERM_DEBT_5_YEAR_GROWTH","FQ2 2018","FQ2 2018","Currency=INR","Period=FQ","BEST_FPERIOD_OVERRIDE=FQ","FILING_STATUS=OR","EQY_CONSOLIDATED=Y","Sort=A","Dates=H","DateFormat=P","Fill=—","Direction=H","UseDPDF=Y")</f>
        <v>#NAME?</v>
      </c>
      <c r="BA200" s="2" t="e">
        <f ca="1">_xll.BDH($C$178,"TOTAL_DEBT_5_YEAR_GROWTH","FQ2 2018","FQ2 2018","Currency=INR","Period=FQ","BEST_FPERIOD_OVERRIDE=FQ","FILING_STATUS=OR","EQY_CONSOLIDATED=Y","Sort=A","Dates=H","DateFormat=P","Fill=—","Direction=H","UseDPDF=Y")</f>
        <v>#NAME?</v>
      </c>
      <c r="BB200" s="2" t="e">
        <f ca="1">_xll.BDH($C$178,"GEO_GROW_TOT_SHRHLDR_EQY","FQ2 2018","FQ2 2018","Currency=INR","Period=FQ","BEST_FPERIOD_OVERRIDE=FQ","FILING_STATUS=OR","EQY_CONSOLIDATED=Y","Sort=A","Dates=H","DateFormat=P","Fill=—","Direction=H","UseDPDF=Y")</f>
        <v>#NAME?</v>
      </c>
      <c r="BC200" s="2" t="e">
        <f ca="1">_xll.BDH($C$178,"TOTAL_CAPITAL_5_YEAR_GROWTH","FQ2 2018","FQ2 2018","Currency=INR","Period=FQ","BEST_FPERIOD_OVERRIDE=FQ","FILING_STATUS=OR","EQY_CONSOLIDATED=Y","Sort=A","Dates=H","DateFormat=P","Fill=—","Direction=H","UseDPDF=Y")</f>
        <v>#NAME?</v>
      </c>
      <c r="BD200" s="2" t="e">
        <f ca="1">_xll.BDH($C$178,"GEO_GROW_BOOK_VAL","FQ2 2018","FQ2 2018","Currency=INR","Period=FQ","BEST_FPERIOD_OVERRIDE=FQ","FILING_STATUS=OR","EQY_CONSOLIDATED=Y","Sort=A","Dates=H","DateFormat=P","Fill=—","Direction=H","UseDPDF=Y")</f>
        <v>#NAME?</v>
      </c>
      <c r="BE200" s="2" t="e">
        <f ca="1">_xll.BDH($C$178,"GEO_GROW_CASH_OPER_ACT","FQ2 2018","FQ2 2018","Currency=INR","Period=FQ","BEST_FPERIOD_OVERRIDE=FQ","FILING_STATUS=OR","EQY_CONSOLIDATED=Y","Sort=A","Dates=H","DateFormat=P","Fill=—","Direction=H","UseDPDF=Y")</f>
        <v>#NAME?</v>
      </c>
      <c r="BF200" s="2" t="e">
        <f ca="1">_xll.BDH($C$178,"REVENUE_SEQUENTIAL_GROWTH","FQ2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200" s="2" t="e">
        <f ca="1">_xll.BDH($C$178,"EBITDA_SEQUENTIAL_GROWTH","FQ2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200" s="2" t="e">
        <f ca="1">_xll.BDH($C$178,"OPERATING_INCOME_SEQ_GROWTH","FQ2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200" s="2" t="e">
        <f ca="1">_xll.BDH($C$178,"NET_INCOME_TO_COMMON_SEQ_GROWTH","FQ2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200" s="2" t="e">
        <f ca="1">_xll.BDH($C$178,"EPS_DILUTED_SEQUENTIAL_GROWTH","FQ2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200" s="2" t="e">
        <f ca="1">_xll.BDH($C$178,"DPS_SEQUENTIAL_GROWTH","FQ2 2018","FQ2 2018","Currency=INR","Period=FQ","BEST_FPERIOD_OVERRIDE=FQ","FILING_STATUS=OR","EQY_CONSOLIDATED=Y","Sort=A","Dates=H","DateFormat=P","Fill=—","Direction=H","UseDPDF=Y")</f>
        <v>#NAME?</v>
      </c>
      <c r="BL200" s="2" t="e">
        <f ca="1">_xll.BDH($C$178,"ACCOUNTS_RECEIVABLE_SEQ_GROWTH","FQ2 2018","FQ2 2018","Currency=INR","Period=FQ","BEST_FPERIOD_OVERRIDE=FQ","FILING_STATUS=OR","EQY_CONSOLIDATED=Y","Sort=A","Dates=H","DateFormat=P","Fill=—","Direction=H","UseDPDF=Y")</f>
        <v>#NAME?</v>
      </c>
      <c r="BM200" s="2" t="e">
        <f ca="1">_xll.BDH($C$178,"INVENTORY_SEQUENTIAL_GROWTH","FQ2 2018","FQ2 2018","Currency=INR","Period=FQ","BEST_FPERIOD_OVERRIDE=FQ","FILING_STATUS=OR","EQY_CONSOLIDATED=Y","Sort=A","Dates=H","DateFormat=P","Fill=—","Direction=H","UseDPDF=Y")</f>
        <v>#NAME?</v>
      </c>
      <c r="BN200" s="2" t="e">
        <f ca="1">_xll.BDH($C$178,"FIXED_ASSETS_SEQUENTIAL_GROWTH","FQ2 2018","FQ2 2018","Currency=INR","Period=FQ","BEST_FPERIOD_OVERRIDE=FQ","FILING_STATUS=OR","EQY_CONSOLIDATED=Y","Sort=A","Dates=H","DateFormat=P","Fill=—","Direction=H","UseDPDF=Y")</f>
        <v>#NAME?</v>
      </c>
      <c r="BO200" s="2" t="e">
        <f ca="1">_xll.BDH($C$178,"TOTAL_ASSETS_SEQUENTIAL_GROWTH","FQ2 2018","FQ2 2018","Currency=INR","Period=FQ","BEST_FPERIOD_OVERRIDE=FQ","FILING_STATUS=OR","EQY_CONSOLIDATED=Y","Sort=A","Dates=H","DateFormat=P","Fill=—","Direction=H","UseDPDF=Y")</f>
        <v>#NAME?</v>
      </c>
      <c r="BP200" s="2" t="e">
        <f ca="1">_xll.BDH($C$178,"MODIFIED_WORKING_CPTL_SEQ_GRWTH","FQ2 2018","FQ2 2018","Currency=INR","Period=FQ","BEST_FPERIOD_OVERRIDE=FQ","FILING_STATUS=OR","EQY_CONSOLIDATED=Y","Sort=A","Dates=H","DateFormat=P","Fill=—","Direction=H","UseDPDF=Y")</f>
        <v>#NAME?</v>
      </c>
      <c r="BQ200" s="2" t="e">
        <f ca="1">_xll.BDH($C$178,"WORKING_CAPITAL_SEQ_GROWTH","FQ2 2018","FQ2 2018","Currency=INR","Period=FQ","BEST_FPERIOD_OVERRIDE=FQ","FILING_STATUS=OR","EQY_CONSOLIDATED=Y","Sort=A","Dates=H","DateFormat=P","Fill=—","Direction=H","UseDPDF=Y")</f>
        <v>#NAME?</v>
      </c>
      <c r="BR200" s="2" t="e">
        <f ca="1">_xll.BDH($C$178,"ACCOUNTS_PAYABLE_SEQ_GROWTH","FQ2 2018","FQ2 2018","Currency=INR","Period=FQ","BEST_FPERIOD_OVERRIDE=FQ","FILING_STATUS=OR","EQY_CONSOLIDATED=Y","Sort=A","Dates=H","DateFormat=P","Fill=—","Direction=H","UseDPDF=Y")</f>
        <v>#NAME?</v>
      </c>
      <c r="BS200" s="2" t="e">
        <f ca="1">_xll.BDH($C$178,"ST_DEBT_SEQUENTIAL_GROWTH","FQ2 2018","FQ2 2018","Currency=INR","Period=FQ","BEST_FPERIOD_OVERRIDE=FQ","FILING_STATUS=OR","EQY_CONSOLIDATED=Y","Sort=A","Dates=H","DateFormat=P","Fill=—","Direction=H","UseDPDF=Y")</f>
        <v>#NAME?</v>
      </c>
      <c r="BT200" s="2" t="e">
        <f ca="1">_xll.BDH($C$178,"TOTAL_DEBT_SEQUENTIAL_GROWTH","FQ2 2018","FQ2 2018","Currency=INR","Period=FQ","BEST_FPERIOD_OVERRIDE=FQ","FILING_STATUS=OR","EQY_CONSOLIDATED=Y","Sort=A","Dates=H","DateFormat=P","Fill=—","Direction=H","UseDPDF=Y")</f>
        <v>#NAME?</v>
      </c>
      <c r="BU200" s="2" t="e">
        <f ca="1">_xll.BDH($C$178,"TOTAL_EQUITY_SEQUENTIAL_GROWTH","FQ2 2018","FQ2 2018","Currency=INR","Period=FQ","BEST_FPERIOD_OVERRIDE=FQ","FILING_STATUS=OR","EQY_CONSOLIDATED=Y","Sort=A","Dates=H","DateFormat=P","Fill=—","Direction=H","UseDPDF=Y")</f>
        <v>#NAME?</v>
      </c>
      <c r="BV200" s="2" t="e">
        <f ca="1">_xll.BDH($C$178,"TOTAL_CAPITAL_SEQUENTIAL_GROWTH","FQ2 2018","FQ2 2018","Currency=INR","Period=FQ","BEST_FPERIOD_OVERRIDE=FQ","FILING_STATUS=OR","EQY_CONSOLIDATED=Y","Sort=A","Dates=H","DateFormat=P","Fill=—","Direction=H","UseDPDF=Y")</f>
        <v>#NAME?</v>
      </c>
      <c r="BW200" s="2" t="e">
        <f ca="1">_xll.BDH($C$178,"BPS_SEQUENTIAL_GROWTH","FQ2 2018","FQ2 2018","Currency=INR","Period=FQ","BEST_FPERIOD_OVERRIDE=FQ","FILING_STATUS=OR","EQY_CONSOLIDATED=Y","Sort=A","Dates=H","DateFormat=P","Fill=—","Direction=H","UseDPDF=Y")</f>
        <v>#NAME?</v>
      </c>
      <c r="BX200" s="2" t="e">
        <f ca="1">_xll.BDH($C$178,"CFO_SEQUENTIAL_GROWTH","FQ2 2018","FQ2 2018","Currency=INR","Period=FQ","BEST_FPERIOD_OVERRIDE=FQ","FILING_STATUS=OR","EQY_CONSOLIDATED=Y","Sort=A","Dates=H","DateFormat=P","Fill=—","Direction=H","UseDPDF=Y")</f>
        <v>#NAME?</v>
      </c>
      <c r="BY200" s="3" t="e">
        <f ca="1">_xll.BDH($C$178,"SHORT_AND_LONG_TERM_DEBT","FQ2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200" s="3" t="e">
        <f ca="1">_xll.BDH($C$178,"BS_ST_BORROW","FQ2 2018","FQ2 2018","Currency=INR","Period=FQ","BEST_FPERIOD_OVERRIDE=FQ","FILING_STATUS=OR","EQY_CONSOLIDATED=Y","SCALING_FORMAT=MLN","Sort=A","Dates=H","DateFormat=P","Fill=—","Direction=H","UseDPDF=Y")</f>
        <v>#NAME?</v>
      </c>
      <c r="CA200" s="3" t="e">
        <f ca="1">_xll.BDH($C$178,"BS_LT_BORROW","FQ2 2018","FQ2 2018","Currency=INR","Period=FQ","BEST_FPERIOD_OVERRIDE=FQ","FILING_STATUS=OR","EQY_CONSOLIDATED=Y","SCALING_FORMAT=MLN","Sort=A","Dates=H","DateFormat=P","Fill=—","Direction=H","UseDPDF=Y")</f>
        <v>#NAME?</v>
      </c>
      <c r="CB200" s="2" t="e">
        <f ca="1">_xll.BDH($C$178,"TOT_DEBT_TO_EBITDA","FQ2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200" s="2" t="e">
        <f ca="1">_xll.BDH($C$178,"NET_DEBT_TO_EBITDA","FQ2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200" s="2" t="e">
        <f ca="1">_xll.BDH($C$178,"TOTAL_DEBT_TO_EBIT","FQ2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200" s="2" t="e">
        <f ca="1">_xll.BDH($C$178,"NET_DEBT_TO_EBIT","FQ2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200" s="2" t="e">
        <f ca="1">_xll.BDH($C$178,"EBITDA_TO_INTEREST_EXPN","FQ2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200" s="2" t="e">
        <f ca="1">_xll.BDH($C$178,"COM_EQY_TO_TOT_ASSET","FQ2 2018","FQ2 2018","Currency=INR","Period=FQ","BEST_FPERIOD_OVERRIDE=FQ","FILING_STATUS=OR","EQY_CONSOLIDATED=Y","Sort=A","Dates=H","DateFormat=P","Fill=—","Direction=H","UseDPDF=Y")</f>
        <v>#NAME?</v>
      </c>
      <c r="CH200" s="2" t="e">
        <f ca="1">_xll.BDH($C$178,"LT_DEBT_TO_TOT_EQY","FQ2 2018","FQ2 2018","Currency=INR","Period=FQ","BEST_FPERIOD_OVERRIDE=FQ","FILING_STATUS=OR","EQY_CONSOLIDATED=Y","Sort=A","Dates=H","DateFormat=P","Fill=—","Direction=H","UseDPDF=Y")</f>
        <v>#NAME?</v>
      </c>
      <c r="CI200" s="2" t="e">
        <f ca="1">_xll.BDH($C$178,"LT_DEBT_TO_TOT_CAP","FQ2 2018","FQ2 2018","Currency=INR","Period=FQ","BEST_FPERIOD_OVERRIDE=FQ","FILING_STATUS=OR","EQY_CONSOLIDATED=Y","Sort=A","Dates=H","DateFormat=P","Fill=—","Direction=H","UseDPDF=Y")</f>
        <v>#NAME?</v>
      </c>
      <c r="CJ200" s="2" t="e">
        <f ca="1">_xll.BDH($C$178,"LT_DEBT_TO_TOT_ASSET","FQ2 2018","FQ2 2018","Currency=INR","Period=FQ","BEST_FPERIOD_OVERRIDE=FQ","FILING_STATUS=OR","EQY_CONSOLIDATED=Y","Sort=A","Dates=H","DateFormat=P","Fill=—","Direction=H","UseDPDF=Y")</f>
        <v>#NAME?</v>
      </c>
      <c r="CK200" s="2" t="e">
        <f ca="1">_xll.BDH($C$178,"TOT_DEBT_TO_TOT_EQY","FQ2 2018","FQ2 2018","Currency=INR","Period=FQ","BEST_FPERIOD_OVERRIDE=FQ","FILING_STATUS=OR","EQY_CONSOLIDATED=Y","Sort=A","Dates=H","DateFormat=P","Fill=—","Direction=H","UseDPDF=Y")</f>
        <v>#NAME?</v>
      </c>
      <c r="CL200" s="2" t="e">
        <f ca="1">_xll.BDH($C$178,"TOT_DEBT_TO_TOT_CAP","FQ2 2018","FQ2 2018","Currency=INR","Period=FQ","BEST_FPERIOD_OVERRIDE=FQ","FILING_STATUS=OR","EQY_CONSOLIDATED=Y","Sort=A","Dates=H","DateFormat=P","Fill=—","Direction=H","UseDPDF=Y")</f>
        <v>#NAME?</v>
      </c>
      <c r="CM200" s="2" t="e">
        <f ca="1">_xll.BDH($C$178,"TOT_DEBT_TO_TOT_ASSET","FQ2 2018","FQ2 2018","Currency=INR","Period=FQ","BEST_FPERIOD_OVERRIDE=FQ","FILING_STATUS=OR","EQY_CONSOLIDATED=Y","Sort=A","Dates=H","DateFormat=P","Fill=—","Direction=H","UseDPDF=Y")</f>
        <v>#NAME?</v>
      </c>
      <c r="CN200" s="2" t="e">
        <f ca="1">_xll.BDH($C$178,"NET_DEBT_TO_SHRHLDR_EQTY","FQ2 2018","FQ2 2018","Currency=INR","Period=FQ","BEST_FPERIOD_OVERRIDE=FQ","FILING_STATUS=OR","EQY_CONSOLIDATED=Y","Sort=A","Dates=H","DateFormat=P","Fill=—","Direction=H","UseDPDF=Y")</f>
        <v>#NAME?</v>
      </c>
      <c r="CO200" s="2" t="e">
        <f ca="1">_xll.BDH($C$178,"NET_DEBT_%_CAPITAL","FQ2 2018","FQ2 2018","Currency=INR","Period=FQ","BEST_FPERIOD_OVERRIDE=FQ","FILING_STATUS=OR","EQY_CONSOLIDATED=Y","Sort=A","Dates=H","DateFormat=P","Fill=—","Direction=H","UseDPDF=Y")</f>
        <v>#NAME?</v>
      </c>
      <c r="CP200" s="3" t="e">
        <f ca="1">_xll.BDH($C$178,"EBITDA","FQ2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200" s="3" t="e">
        <f ca="1">_xll.BDH($C$178,"EBITDA_AFTER_CAPEX","FQ2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200" s="3" t="e">
        <f ca="1">_xll.BDH($C$178,"IS_OPER_INC","FQ2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200" s="2" t="e">
        <f ca="1">_xll.BDH($C$178,"CASH_RATIO","FQ2 2018","FQ2 2018","Currency=INR","Period=FQ","BEST_FPERIOD_OVERRIDE=FQ","FILING_STATUS=OR","EQY_CONSOLIDATED=Y","Sort=A","Dates=H","DateFormat=P","Fill=—","Direction=H","UseDPDF=Y")</f>
        <v>#NAME?</v>
      </c>
      <c r="CT200" s="2" t="e">
        <f ca="1">_xll.BDH($C$178,"CUR_RATIO","FQ2 2018","FQ2 2018","Currency=INR","Period=FQ","BEST_FPERIOD_OVERRIDE=FQ","FILING_STATUS=OR","EQY_CONSOLIDATED=Y","Sort=A","Dates=H","DateFormat=P","Fill=—","Direction=H","UseDPDF=Y")</f>
        <v>#NAME?</v>
      </c>
      <c r="CU200" s="2" t="e">
        <f ca="1">_xll.BDH($C$178,"QUICK_RATIO","FQ2 2018","FQ2 2018","Currency=INR","Period=FQ","BEST_FPERIOD_OVERRIDE=FQ","FILING_STATUS=OR","EQY_CONSOLIDATED=Y","Sort=A","Dates=H","DateFormat=P","Fill=—","Direction=H","UseDPDF=Y")</f>
        <v>#NAME?</v>
      </c>
      <c r="CV200" s="2" t="e">
        <f ca="1">_xll.BDH($C$178,"ALTMAN_Z_SCORE","FQ2 2018","FQ2 2018","Currency=INR","Period=FQ","BEST_FPERIOD_OVERRIDE=FQ","FILING_STATUS=OR","EQY_CONSOLIDATED=Y","Sort=A","Dates=H","DateFormat=P","Fill=—","Direction=H","UseDPDF=Y")</f>
        <v>#NAME?</v>
      </c>
      <c r="CW200" s="4" t="e">
        <f ca="1">_xll.BDH($C$178,"ACCT_RCV_TURN","FQ2 2018","FQ2 2018","Currency=INR","Period=FQ","BEST_FPERIOD_OVERRIDE=FQ","FILING_STATUS=OR","EQY_CONSOLIDATED=Y","FA_ADJUSTED=GAAP","Sort=A","Dates=H","DateFormat=P","Fill=—","Direction=H","UseDPDF=Y")</f>
        <v>#NAME?</v>
      </c>
      <c r="CX200" s="2" t="e">
        <f ca="1">_xll.BDH($C$178,"ACCT_RCV_DAYS","FQ2 2018","FQ2 2018","Currency=INR","Period=FQ","BEST_FPERIOD_OVERRIDE=FQ","FILING_STATUS=OR","EQY_CONSOLIDATED=Y","FA_ADJUSTED=GAAP","Sort=A","Dates=H","DateFormat=P","Fill=—","Direction=H","UseDPDF=Y")</f>
        <v>#NAME?</v>
      </c>
      <c r="CY200" s="4" t="e">
        <f ca="1">_xll.BDH($C$178,"INVENT_TURN","FQ2 2018","FQ2 2018","Currency=INR","Period=FQ","BEST_FPERIOD_OVERRIDE=FQ","FILING_STATUS=OR","EQY_CONSOLIDATED=Y","FA_ADJUSTED=GAAP","Sort=A","Dates=H","DateFormat=P","Fill=—","Direction=H","UseDPDF=Y")</f>
        <v>#NAME?</v>
      </c>
      <c r="CZ200" s="2" t="e">
        <f ca="1">_xll.BDH($C$178,"INVENT_DAYS","FQ2 2018","FQ2 2018","Currency=INR","Period=FQ","BEST_FPERIOD_OVERRIDE=FQ","FILING_STATUS=OR","EQY_CONSOLIDATED=Y","FA_ADJUSTED=GAAP","Sort=A","Dates=H","DateFormat=P","Fill=—","Direction=H","UseDPDF=Y")</f>
        <v>#NAME?</v>
      </c>
      <c r="DA200" s="4" t="e">
        <f ca="1">_xll.BDH($C$178,"ACCOUNTS_PAYABLE_TURNOVER","FQ2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200" s="2" t="e">
        <f ca="1">_xll.BDH($C$178,"ACCOUNTS_PAYABLE_TURNOVER_DAYS","FQ2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200" s="4" t="e">
        <f ca="1">_xll.BDH($C$178,"CASH_CONVERSION_CYCLE","FQ2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200" s="4" t="e">
        <f ca="1">_xll.BDH($C$178,"INV_TO_CASH_DAYS","FQ2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200" s="5" t="e">
        <f ca="1">_xll.BDH($C$178,"BS_INVENTORIES","FQ2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200" s="3" t="e">
        <f ca="1">_xll.BDH($C$178,"INVTRY_RAW_MATERIALS","FQ2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200" s="3" t="e">
        <f ca="1">_xll.BDH($C$178,"INVTRY_IN_PROGRESS","FQ2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200" s="3" t="e">
        <f ca="1">_xll.BDH($C$178,"INVTRY_FINISHED_GOODS","FQ2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200" s="3" t="e">
        <f ca="1">_xll.BDH($C$178,"BS_OTHER_INV","FQ2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201" spans="1:113" x14ac:dyDescent="0.3">
      <c r="A201" s="6"/>
      <c r="B201" s="6"/>
      <c r="C201" s="6"/>
      <c r="D201" s="6"/>
      <c r="E201" t="s">
        <v>80</v>
      </c>
      <c r="F201" t="e">
        <f ca="1">_xll.BDH($C$178,"RETURN_COM_EQY","FQ3 2018","FQ3 2018","Currency=INR","Period=FQ","BEST_FPERIOD_OVERRIDE=FQ","FILING_STATUS=OR","EQY_CONSOLIDATED=Y","FA_ADJUSTED=GAAP","Sort=A","Dates=H","DateFormat=P","Fill=—","Direction=H","UseDPDF=Y")</f>
        <v>#NAME?</v>
      </c>
      <c r="G201" t="e">
        <f ca="1">_xll.BDH($C$178,"RETURN_ON_ASSET","FQ3 2018","FQ3 2018","Currency=INR","Period=FQ","BEST_FPERIOD_OVERRIDE=FQ","FILING_STATUS=OR","EQY_CONSOLIDATED=Y","FA_ADJUSTED=GAAP","Sort=A","Dates=H","DateFormat=P","Fill=—","Direction=H","UseDPDF=Y")</f>
        <v>#NAME?</v>
      </c>
      <c r="H201" t="e">
        <f ca="1">_xll.BDH($C$178,"RETURN_ON_CAP","FQ3 2018","FQ3 2018","Currency=INR","Period=FQ","BEST_FPERIOD_OVERRIDE=FQ","FILING_STATUS=OR","EQY_CONSOLIDATED=Y","FA_ADJUSTED=GAAP","Sort=A","Dates=H","DateFormat=P","Fill=—","Direction=H","UseDPDF=Y")</f>
        <v>#NAME?</v>
      </c>
      <c r="I201" t="e">
        <f ca="1">_xll.BDH($C$178,"RETURN_ON_INV_CAPITAL","FQ3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201" t="e">
        <f ca="1">_xll.BDH($C$178,"EBITDA_TO_REVENUE","FQ3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201" t="e">
        <f ca="1">_xll.BDH($C$178,"OPER_MARGIN","FQ3 2018","FQ3 2018","Currency=INR","Period=FQ","BEST_FPERIOD_OVERRIDE=FQ","FILING_STATUS=OR","EQY_CONSOLIDATED=Y","FA_ADJUSTED=GAAP","Sort=A","Dates=H","DateFormat=P","Fill=—","Direction=H","UseDPDF=Y")</f>
        <v>#NAME?</v>
      </c>
      <c r="L201" t="e">
        <f ca="1">_xll.BDH($C$178,"INCREMENTAL_OPERATING_MARGIN","FQ3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201" t="e">
        <f ca="1">_xll.BDH($C$178,"PRETAX_INC_TO_NET_SALES","FQ3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201" t="e">
        <f ca="1">_xll.BDH($C$178,"INC_BEF_XO_ITEMS_TO_NET_SALES","FQ3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201" t="e">
        <f ca="1">_xll.BDH($C$178,"PROF_MARGIN","FQ3 2018","FQ3 2018","Currency=INR","Period=FQ","BEST_FPERIOD_OVERRIDE=FQ","FILING_STATUS=OR","EQY_CONSOLIDATED=Y","FA_ADJUSTED=GAAP","Sort=A","Dates=H","DateFormat=P","Fill=—","Direction=H","UseDPDF=Y")</f>
        <v>#NAME?</v>
      </c>
      <c r="P201" t="e">
        <f ca="1">_xll.BDH($C$178,"NET_INCOME_TO_COMMON_MARGIN","FQ3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201" t="e">
        <f ca="1">_xll.BDH($C$178,"EFF_TAX_RATE","FQ3 2018","FQ3 2018","Currency=INR","Period=FQ","BEST_FPERIOD_OVERRIDE=FQ","FILING_STATUS=OR","EQY_CONSOLIDATED=Y","FA_ADJUSTED=GAAP","Sort=A","Dates=H","DateFormat=P","Fill=—","Direction=H","UseDPDF=Y")</f>
        <v>#NAME?</v>
      </c>
      <c r="R201" t="e">
        <f ca="1">_xll.BDH($C$178,"DVD_PAYOUT_RATIO","FQ3 2018","FQ3 2018","Currency=INR","Period=FQ","BEST_FPERIOD_OVERRIDE=FQ","FILING_STATUS=OR","EQY_CONSOLIDATED=Y","FA_ADJUSTED=GAAP","Sort=A","Dates=H","DateFormat=P","Fill=—","Direction=H","UseDPDF=Y")</f>
        <v>#NAME?</v>
      </c>
      <c r="S201" t="e">
        <f ca="1">_xll.BDH($C$178,"SUSTAIN_GROWTH_RT","FQ3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201" s="2" t="e">
        <f ca="1">_xll.BDH($C$178,"SALES_GROWTH","FQ3 2018","FQ3 2018","Currency=INR","Period=FQ","BEST_FPERIOD_OVERRIDE=FQ","FILING_STATUS=OR","EQY_CONSOLIDATED=Y","FA_ADJUSTED=GAAP","Sort=A","Dates=H","DateFormat=P","Fill=—","Direction=H","UseDPDF=Y")</f>
        <v>#NAME?</v>
      </c>
      <c r="U201" s="2" t="e">
        <f ca="1">_xll.BDH($C$178,"EBITDA_GROWTH","FQ3 2018","FQ3 2018","Currency=INR","Period=FQ","BEST_FPERIOD_OVERRIDE=FQ","FILING_STATUS=OR","EQY_CONSOLIDATED=Y","FA_ADJUSTED=GAAP","Sort=A","Dates=H","DateFormat=P","Fill=—","Direction=H","UseDPDF=Y")</f>
        <v>#NAME?</v>
      </c>
      <c r="V201" s="2" t="e">
        <f ca="1">_xll.BDH($C$178,"OPER_INC_GROWTH","FQ3 2018","FQ3 2018","Currency=INR","Period=FQ","BEST_FPERIOD_OVERRIDE=FQ","FILING_STATUS=OR","EQY_CONSOLIDATED=Y","FA_ADJUSTED=GAAP","Sort=A","Dates=H","DateFormat=P","Fill=—","Direction=H","UseDPDF=Y")</f>
        <v>#NAME?</v>
      </c>
      <c r="W201" s="2" t="e">
        <f ca="1">_xll.BDH($C$178,"EARN_FOR_COM_GROWTH","FQ3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201" s="2" t="e">
        <f ca="1">_xll.BDH($C$178,"DILUTED_EPS_AFT_XO_ITEMS_GROWTH","FQ3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201" s="2" t="e">
        <f ca="1">_xll.BDH($C$178,"DIVIDEND_PER_SHARE_1_YEAR_GROWTH","FQ3 2018","FQ3 2018","Currency=INR","Period=FQ","BEST_FPERIOD_OVERRIDE=FQ","FILING_STATUS=OR","EQY_CONSOLIDATED=Y","Sort=A","Dates=H","DateFormat=P","Fill=—","Direction=H","UseDPDF=Y")</f>
        <v>#NAME?</v>
      </c>
      <c r="Z201" s="2" t="e">
        <f ca="1">_xll.BDH($C$178,"ACCOUNTS_RECEIVABLE_GROWTH","FQ3 2018","FQ3 2018","Currency=INR","Period=FQ","BEST_FPERIOD_OVERRIDE=FQ","FILING_STATUS=OR","EQY_CONSOLIDATED=Y","Sort=A","Dates=H","DateFormat=P","Fill=—","Direction=H","UseDPDF=Y")</f>
        <v>#NAME?</v>
      </c>
      <c r="AA201" s="2" t="e">
        <f ca="1">_xll.BDH($C$178,"INVENTORY_GROWTH","FQ3 2018","FQ3 2018","Currency=INR","Period=FQ","BEST_FPERIOD_OVERRIDE=FQ","FILING_STATUS=OR","EQY_CONSOLIDATED=Y","Sort=A","Dates=H","DateFormat=P","Fill=—","Direction=H","UseDPDF=Y")</f>
        <v>#NAME?</v>
      </c>
      <c r="AB201" s="2" t="e">
        <f ca="1">_xll.BDH($C$178,"NET_FIXED_ASSETS_1_YEAR_GROWTH","FQ3 2018","FQ3 2018","Currency=INR","Period=FQ","BEST_FPERIOD_OVERRIDE=FQ","FILING_STATUS=OR","EQY_CONSOLIDATED=Y","Sort=A","Dates=H","DateFormat=P","Fill=—","Direction=H","UseDPDF=Y")</f>
        <v>#NAME?</v>
      </c>
      <c r="AC201" s="2" t="e">
        <f ca="1">_xll.BDH($C$178,"ASSET_GROWTH","FQ3 2018","FQ3 2018","Currency=INR","Period=FQ","BEST_FPERIOD_OVERRIDE=FQ","FILING_STATUS=OR","EQY_CONSOLIDATED=Y","Sort=A","Dates=H","DateFormat=P","Fill=—","Direction=H","UseDPDF=Y")</f>
        <v>#NAME?</v>
      </c>
      <c r="AD201" s="2" t="e">
        <f ca="1">_xll.BDH($C$178,"MODIFIED_WORK_CAP_GROWTH","FQ3 2018","FQ3 2018","Currency=INR","Period=FQ","BEST_FPERIOD_OVERRIDE=FQ","FILING_STATUS=OR","EQY_CONSOLIDATED=Y","Sort=A","Dates=H","DateFormat=P","Fill=—","Direction=H","UseDPDF=Y")</f>
        <v>#NAME?</v>
      </c>
      <c r="AE201" s="2" t="e">
        <f ca="1">_xll.BDH($C$178,"WORK_CAP_GROWTH","FQ3 2018","FQ3 2018","Currency=INR","Period=FQ","BEST_FPERIOD_OVERRIDE=FQ","FILING_STATUS=OR","EQY_CONSOLIDATED=Y","Sort=A","Dates=H","DateFormat=P","Fill=—","Direction=H","UseDPDF=Y")</f>
        <v>#NAME?</v>
      </c>
      <c r="AF201" s="2" t="e">
        <f ca="1">_xll.BDH($C$178,"ACCOUNTS_PAYABLE_GROWTH_1YR","FQ3 2018","FQ3 2018","Currency=INR","Period=FQ","BEST_FPERIOD_OVERRIDE=FQ","FILING_STATUS=OR","EQY_CONSOLIDATED=Y","Sort=A","Dates=H","DateFormat=P","Fill=—","Direction=H","UseDPDF=Y")</f>
        <v>#NAME?</v>
      </c>
      <c r="AG201" s="2" t="e">
        <f ca="1">_xll.BDH($C$178,"SHORT_TERM_DEBT_1_YEAR_GROWTH","FQ3 2018","FQ3 2018","Currency=INR","Period=FQ","BEST_FPERIOD_OVERRIDE=FQ","FILING_STATUS=OR","EQY_CONSOLIDATED=Y","Sort=A","Dates=H","DateFormat=P","Fill=—","Direction=H","UseDPDF=Y")</f>
        <v>#NAME?</v>
      </c>
      <c r="AH201" s="2" t="e">
        <f ca="1">_xll.BDH($C$178,"TOTAL_DEBT_1_YEAR_GROWTH","FQ3 2018","FQ3 2018","Currency=INR","Period=FQ","BEST_FPERIOD_OVERRIDE=FQ","FILING_STATUS=OR","EQY_CONSOLIDATED=Y","Sort=A","Dates=H","DateFormat=P","Fill=—","Direction=H","UseDPDF=Y")</f>
        <v>#NAME?</v>
      </c>
      <c r="AI201" s="2" t="e">
        <f ca="1">_xll.BDH($C$178,"TOTAL_EQUITY_1_YEAR_GROWTH","FQ3 2018","FQ3 2018","Currency=INR","Period=FQ","BEST_FPERIOD_OVERRIDE=FQ","FILING_STATUS=OR","EQY_CONSOLIDATED=Y","Sort=A","Dates=H","DateFormat=P","Fill=—","Direction=H","UseDPDF=Y")</f>
        <v>#NAME?</v>
      </c>
      <c r="AJ201" s="2" t="e">
        <f ca="1">_xll.BDH($C$178,"GROWTH_IN_CAP","FQ3 2018","FQ3 2018","Currency=INR","Period=FQ","BEST_FPERIOD_OVERRIDE=FQ","FILING_STATUS=OR","EQY_CONSOLIDATED=Y","Sort=A","Dates=H","DateFormat=P","Fill=—","Direction=H","UseDPDF=Y")</f>
        <v>#NAME?</v>
      </c>
      <c r="AK201" s="2" t="e">
        <f ca="1">_xll.BDH($C$178,"BVPS_GROWTH","FQ3 2018","FQ3 2018","Currency=INR","Period=FQ","BEST_FPERIOD_OVERRIDE=FQ","FILING_STATUS=OR","EQY_CONSOLIDATED=Y","Sort=A","Dates=H","DateFormat=P","Fill=—","Direction=H","UseDPDF=Y")</f>
        <v>#NAME?</v>
      </c>
      <c r="AL201" s="2" t="e">
        <f ca="1">_xll.BDH($C$178,"CASH_FLOW_GROWTH","FQ3 2018","FQ3 2018","Currency=INR","Period=FQ","BEST_FPERIOD_OVERRIDE=FQ","FILING_STATUS=OR","EQY_CONSOLIDATED=Y","Sort=A","Dates=H","DateFormat=P","Fill=—","Direction=H","UseDPDF=Y")</f>
        <v>#NAME?</v>
      </c>
      <c r="AM201" s="2" t="e">
        <f ca="1">_xll.BDH($C$178,"GEO_GROW_NET_SALES","FQ3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201" s="2" t="e">
        <f ca="1">_xll.BDH($C$178,"GEO_GROW_EBITDA","FQ3 2018","FQ3 2018","Currency=INR","Period=FQ","BEST_FPERIOD_OVERRIDE=FQ","FILING_STATUS=OR","EQY_CONSOLIDATED=Y","FA_ADJUSTED=GAAP","Sort=A","Dates=H","DateFormat=P","Fill=—","Direction=H","UseDPDF=Y")</f>
        <v>#NAME?</v>
      </c>
      <c r="AO201" s="2" t="e">
        <f ca="1">_xll.BDH($C$178,"GEO_GROW_OPER_INC","FQ3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201" s="2" t="e">
        <f ca="1">_xll.BDH($C$178,"NET_INCOME_TO_COMMON_5_YR_GROWTH","FQ3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201" s="2" t="e">
        <f ca="1">_xll.BDH($C$178,"5Y_GEO_GROWTH_DILUTED_EPS","FQ3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201" s="2" t="e">
        <f ca="1">_xll.BDH($C$178,"GEO_GROW_DVD_PER_SH","FQ3 2018","FQ3 2018","Currency=INR","Period=FQ","BEST_FPERIOD_OVERRIDE=FQ","FILING_STATUS=OR","EQY_CONSOLIDATED=Y","Sort=A","Dates=H","DateFormat=P","Fill=—","Direction=H","UseDPDF=Y")</f>
        <v>#NAME?</v>
      </c>
      <c r="AS201" s="2" t="e">
        <f ca="1">_xll.BDH($C$178,"ACCOUNTS_RECEIVABLE_5_YR_GROWTH","FQ3 2018","FQ3 2018","Currency=INR","Period=FQ","BEST_FPERIOD_OVERRIDE=FQ","FILING_STATUS=OR","EQY_CONSOLIDATED=Y","Sort=A","Dates=H","DateFormat=P","Fill=—","Direction=H","UseDPDF=Y")</f>
        <v>#NAME?</v>
      </c>
      <c r="AT201" s="2" t="e">
        <f ca="1">_xll.BDH($C$178,"INVENTORY_5_YEAR_GROWTH","FQ3 2018","FQ3 2018","Currency=INR","Period=FQ","BEST_FPERIOD_OVERRIDE=FQ","FILING_STATUS=OR","EQY_CONSOLIDATED=Y","Sort=A","Dates=H","DateFormat=P","Fill=—","Direction=H","UseDPDF=Y")</f>
        <v>#NAME?</v>
      </c>
      <c r="AU201" s="2" t="e">
        <f ca="1">_xll.BDH($C$178,"NET_FIXED_ASSETS_5_YEAR_GROWTH","FQ3 2018","FQ3 2018","Currency=INR","Period=FQ","BEST_FPERIOD_OVERRIDE=FQ","FILING_STATUS=OR","EQY_CONSOLIDATED=Y","Sort=A","Dates=H","DateFormat=P","Fill=—","Direction=H","UseDPDF=Y")</f>
        <v>#NAME?</v>
      </c>
      <c r="AV201" s="2" t="e">
        <f ca="1">_xll.BDH($C$178,"GEO_GROW_TOT_ASSET","FQ3 2018","FQ3 2018","Currency=INR","Period=FQ","BEST_FPERIOD_OVERRIDE=FQ","FILING_STATUS=OR","EQY_CONSOLIDATED=Y","Sort=A","Dates=H","DateFormat=P","Fill=—","Direction=H","UseDPDF=Y")</f>
        <v>#NAME?</v>
      </c>
      <c r="AW201" s="2" t="e">
        <f ca="1">_xll.BDH($C$178,"MODIFIED_WORKING_CPTL_5YR_GRWTH","FQ3 2018","FQ3 2018","Currency=INR","Period=FQ","BEST_FPERIOD_OVERRIDE=FQ","FILING_STATUS=OR","EQY_CONSOLIDATED=Y","Sort=A","Dates=H","DateFormat=P","Fill=—","Direction=H","UseDPDF=Y")</f>
        <v>#NAME?</v>
      </c>
      <c r="AX201" s="2" t="e">
        <f ca="1">_xll.BDH($C$178,"WORKING_CAPITAL_5_YEAR_GROWTH","FQ3 2018","FQ3 2018","Currency=INR","Period=FQ","BEST_FPERIOD_OVERRIDE=FQ","FILING_STATUS=OR","EQY_CONSOLIDATED=Y","Sort=A","Dates=H","DateFormat=P","Fill=—","Direction=H","UseDPDF=Y")</f>
        <v>#NAME?</v>
      </c>
      <c r="AY201" s="2" t="e">
        <f ca="1">_xll.BDH($C$178,"ACCOUNTS_PAYABLE_5_YEAR_GROWTH","FQ3 2018","FQ3 2018","Currency=INR","Period=FQ","BEST_FPERIOD_OVERRIDE=FQ","FILING_STATUS=OR","EQY_CONSOLIDATED=Y","Sort=A","Dates=H","DateFormat=P","Fill=—","Direction=H","UseDPDF=Y")</f>
        <v>#NAME?</v>
      </c>
      <c r="AZ201" s="2" t="e">
        <f ca="1">_xll.BDH($C$178,"SHORT_TERM_DEBT_5_YEAR_GROWTH","FQ3 2018","FQ3 2018","Currency=INR","Period=FQ","BEST_FPERIOD_OVERRIDE=FQ","FILING_STATUS=OR","EQY_CONSOLIDATED=Y","Sort=A","Dates=H","DateFormat=P","Fill=—","Direction=H","UseDPDF=Y")</f>
        <v>#NAME?</v>
      </c>
      <c r="BA201" s="2" t="e">
        <f ca="1">_xll.BDH($C$178,"TOTAL_DEBT_5_YEAR_GROWTH","FQ3 2018","FQ3 2018","Currency=INR","Period=FQ","BEST_FPERIOD_OVERRIDE=FQ","FILING_STATUS=OR","EQY_CONSOLIDATED=Y","Sort=A","Dates=H","DateFormat=P","Fill=—","Direction=H","UseDPDF=Y")</f>
        <v>#NAME?</v>
      </c>
      <c r="BB201" s="2" t="e">
        <f ca="1">_xll.BDH($C$178,"GEO_GROW_TOT_SHRHLDR_EQY","FQ3 2018","FQ3 2018","Currency=INR","Period=FQ","BEST_FPERIOD_OVERRIDE=FQ","FILING_STATUS=OR","EQY_CONSOLIDATED=Y","Sort=A","Dates=H","DateFormat=P","Fill=—","Direction=H","UseDPDF=Y")</f>
        <v>#NAME?</v>
      </c>
      <c r="BC201" s="2" t="e">
        <f ca="1">_xll.BDH($C$178,"TOTAL_CAPITAL_5_YEAR_GROWTH","FQ3 2018","FQ3 2018","Currency=INR","Period=FQ","BEST_FPERIOD_OVERRIDE=FQ","FILING_STATUS=OR","EQY_CONSOLIDATED=Y","Sort=A","Dates=H","DateFormat=P","Fill=—","Direction=H","UseDPDF=Y")</f>
        <v>#NAME?</v>
      </c>
      <c r="BD201" s="2" t="e">
        <f ca="1">_xll.BDH($C$178,"GEO_GROW_BOOK_VAL","FQ3 2018","FQ3 2018","Currency=INR","Period=FQ","BEST_FPERIOD_OVERRIDE=FQ","FILING_STATUS=OR","EQY_CONSOLIDATED=Y","Sort=A","Dates=H","DateFormat=P","Fill=—","Direction=H","UseDPDF=Y")</f>
        <v>#NAME?</v>
      </c>
      <c r="BE201" s="2" t="e">
        <f ca="1">_xll.BDH($C$178,"GEO_GROW_CASH_OPER_ACT","FQ3 2018","FQ3 2018","Currency=INR","Period=FQ","BEST_FPERIOD_OVERRIDE=FQ","FILING_STATUS=OR","EQY_CONSOLIDATED=Y","Sort=A","Dates=H","DateFormat=P","Fill=—","Direction=H","UseDPDF=Y")</f>
        <v>#NAME?</v>
      </c>
      <c r="BF201" s="2" t="e">
        <f ca="1">_xll.BDH($C$178,"REVENUE_SEQUENTIAL_GROWTH","FQ3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201" s="2" t="e">
        <f ca="1">_xll.BDH($C$178,"EBITDA_SEQUENTIAL_GROWTH","FQ3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201" s="2" t="e">
        <f ca="1">_xll.BDH($C$178,"OPERATING_INCOME_SEQ_GROWTH","FQ3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201" s="2" t="e">
        <f ca="1">_xll.BDH($C$178,"NET_INCOME_TO_COMMON_SEQ_GROWTH","FQ3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201" s="2" t="e">
        <f ca="1">_xll.BDH($C$178,"EPS_DILUTED_SEQUENTIAL_GROWTH","FQ3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201" s="2" t="e">
        <f ca="1">_xll.BDH($C$178,"DPS_SEQUENTIAL_GROWTH","FQ3 2018","FQ3 2018","Currency=INR","Period=FQ","BEST_FPERIOD_OVERRIDE=FQ","FILING_STATUS=OR","EQY_CONSOLIDATED=Y","Sort=A","Dates=H","DateFormat=P","Fill=—","Direction=H","UseDPDF=Y")</f>
        <v>#NAME?</v>
      </c>
      <c r="BL201" s="2" t="e">
        <f ca="1">_xll.BDH($C$178,"ACCOUNTS_RECEIVABLE_SEQ_GROWTH","FQ3 2018","FQ3 2018","Currency=INR","Period=FQ","BEST_FPERIOD_OVERRIDE=FQ","FILING_STATUS=OR","EQY_CONSOLIDATED=Y","Sort=A","Dates=H","DateFormat=P","Fill=—","Direction=H","UseDPDF=Y")</f>
        <v>#NAME?</v>
      </c>
      <c r="BM201" s="2" t="e">
        <f ca="1">_xll.BDH($C$178,"INVENTORY_SEQUENTIAL_GROWTH","FQ3 2018","FQ3 2018","Currency=INR","Period=FQ","BEST_FPERIOD_OVERRIDE=FQ","FILING_STATUS=OR","EQY_CONSOLIDATED=Y","Sort=A","Dates=H","DateFormat=P","Fill=—","Direction=H","UseDPDF=Y")</f>
        <v>#NAME?</v>
      </c>
      <c r="BN201" s="2" t="e">
        <f ca="1">_xll.BDH($C$178,"FIXED_ASSETS_SEQUENTIAL_GROWTH","FQ3 2018","FQ3 2018","Currency=INR","Period=FQ","BEST_FPERIOD_OVERRIDE=FQ","FILING_STATUS=OR","EQY_CONSOLIDATED=Y","Sort=A","Dates=H","DateFormat=P","Fill=—","Direction=H","UseDPDF=Y")</f>
        <v>#NAME?</v>
      </c>
      <c r="BO201" s="2" t="e">
        <f ca="1">_xll.BDH($C$178,"TOTAL_ASSETS_SEQUENTIAL_GROWTH","FQ3 2018","FQ3 2018","Currency=INR","Period=FQ","BEST_FPERIOD_OVERRIDE=FQ","FILING_STATUS=OR","EQY_CONSOLIDATED=Y","Sort=A","Dates=H","DateFormat=P","Fill=—","Direction=H","UseDPDF=Y")</f>
        <v>#NAME?</v>
      </c>
      <c r="BP201" s="2" t="e">
        <f ca="1">_xll.BDH($C$178,"MODIFIED_WORKING_CPTL_SEQ_GRWTH","FQ3 2018","FQ3 2018","Currency=INR","Period=FQ","BEST_FPERIOD_OVERRIDE=FQ","FILING_STATUS=OR","EQY_CONSOLIDATED=Y","Sort=A","Dates=H","DateFormat=P","Fill=—","Direction=H","UseDPDF=Y")</f>
        <v>#NAME?</v>
      </c>
      <c r="BQ201" s="2" t="e">
        <f ca="1">_xll.BDH($C$178,"WORKING_CAPITAL_SEQ_GROWTH","FQ3 2018","FQ3 2018","Currency=INR","Period=FQ","BEST_FPERIOD_OVERRIDE=FQ","FILING_STATUS=OR","EQY_CONSOLIDATED=Y","Sort=A","Dates=H","DateFormat=P","Fill=—","Direction=H","UseDPDF=Y")</f>
        <v>#NAME?</v>
      </c>
      <c r="BR201" s="2" t="e">
        <f ca="1">_xll.BDH($C$178,"ACCOUNTS_PAYABLE_SEQ_GROWTH","FQ3 2018","FQ3 2018","Currency=INR","Period=FQ","BEST_FPERIOD_OVERRIDE=FQ","FILING_STATUS=OR","EQY_CONSOLIDATED=Y","Sort=A","Dates=H","DateFormat=P","Fill=—","Direction=H","UseDPDF=Y")</f>
        <v>#NAME?</v>
      </c>
      <c r="BS201" s="2" t="e">
        <f ca="1">_xll.BDH($C$178,"ST_DEBT_SEQUENTIAL_GROWTH","FQ3 2018","FQ3 2018","Currency=INR","Period=FQ","BEST_FPERIOD_OVERRIDE=FQ","FILING_STATUS=OR","EQY_CONSOLIDATED=Y","Sort=A","Dates=H","DateFormat=P","Fill=—","Direction=H","UseDPDF=Y")</f>
        <v>#NAME?</v>
      </c>
      <c r="BT201" s="2" t="e">
        <f ca="1">_xll.BDH($C$178,"TOTAL_DEBT_SEQUENTIAL_GROWTH","FQ3 2018","FQ3 2018","Currency=INR","Period=FQ","BEST_FPERIOD_OVERRIDE=FQ","FILING_STATUS=OR","EQY_CONSOLIDATED=Y","Sort=A","Dates=H","DateFormat=P","Fill=—","Direction=H","UseDPDF=Y")</f>
        <v>#NAME?</v>
      </c>
      <c r="BU201" s="2" t="e">
        <f ca="1">_xll.BDH($C$178,"TOTAL_EQUITY_SEQUENTIAL_GROWTH","FQ3 2018","FQ3 2018","Currency=INR","Period=FQ","BEST_FPERIOD_OVERRIDE=FQ","FILING_STATUS=OR","EQY_CONSOLIDATED=Y","Sort=A","Dates=H","DateFormat=P","Fill=—","Direction=H","UseDPDF=Y")</f>
        <v>#NAME?</v>
      </c>
      <c r="BV201" s="2" t="e">
        <f ca="1">_xll.BDH($C$178,"TOTAL_CAPITAL_SEQUENTIAL_GROWTH","FQ3 2018","FQ3 2018","Currency=INR","Period=FQ","BEST_FPERIOD_OVERRIDE=FQ","FILING_STATUS=OR","EQY_CONSOLIDATED=Y","Sort=A","Dates=H","DateFormat=P","Fill=—","Direction=H","UseDPDF=Y")</f>
        <v>#NAME?</v>
      </c>
      <c r="BW201" s="2" t="e">
        <f ca="1">_xll.BDH($C$178,"BPS_SEQUENTIAL_GROWTH","FQ3 2018","FQ3 2018","Currency=INR","Period=FQ","BEST_FPERIOD_OVERRIDE=FQ","FILING_STATUS=OR","EQY_CONSOLIDATED=Y","Sort=A","Dates=H","DateFormat=P","Fill=—","Direction=H","UseDPDF=Y")</f>
        <v>#NAME?</v>
      </c>
      <c r="BX201" s="2" t="e">
        <f ca="1">_xll.BDH($C$178,"CFO_SEQUENTIAL_GROWTH","FQ3 2018","FQ3 2018","Currency=INR","Period=FQ","BEST_FPERIOD_OVERRIDE=FQ","FILING_STATUS=OR","EQY_CONSOLIDATED=Y","Sort=A","Dates=H","DateFormat=P","Fill=—","Direction=H","UseDPDF=Y")</f>
        <v>#NAME?</v>
      </c>
      <c r="BY201" s="3" t="e">
        <f ca="1">_xll.BDH($C$178,"SHORT_AND_LONG_TERM_DEBT","FQ3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201" s="3" t="e">
        <f ca="1">_xll.BDH($C$178,"BS_ST_BORROW","FQ3 2018","FQ3 2018","Currency=INR","Period=FQ","BEST_FPERIOD_OVERRIDE=FQ","FILING_STATUS=OR","EQY_CONSOLIDATED=Y","SCALING_FORMAT=MLN","Sort=A","Dates=H","DateFormat=P","Fill=—","Direction=H","UseDPDF=Y")</f>
        <v>#NAME?</v>
      </c>
      <c r="CA201" s="3" t="e">
        <f ca="1">_xll.BDH($C$178,"BS_LT_BORROW","FQ3 2018","FQ3 2018","Currency=INR","Period=FQ","BEST_FPERIOD_OVERRIDE=FQ","FILING_STATUS=OR","EQY_CONSOLIDATED=Y","SCALING_FORMAT=MLN","Sort=A","Dates=H","DateFormat=P","Fill=—","Direction=H","UseDPDF=Y")</f>
        <v>#NAME?</v>
      </c>
      <c r="CB201" s="2" t="e">
        <f ca="1">_xll.BDH($C$178,"TOT_DEBT_TO_EBITDA","FQ3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201" s="2" t="e">
        <f ca="1">_xll.BDH($C$178,"NET_DEBT_TO_EBITDA","FQ3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201" s="2" t="e">
        <f ca="1">_xll.BDH($C$178,"TOTAL_DEBT_TO_EBIT","FQ3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201" s="2" t="e">
        <f ca="1">_xll.BDH($C$178,"NET_DEBT_TO_EBIT","FQ3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201" s="2" t="e">
        <f ca="1">_xll.BDH($C$178,"EBITDA_TO_INTEREST_EXPN","FQ3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201" s="2" t="e">
        <f ca="1">_xll.BDH($C$178,"COM_EQY_TO_TOT_ASSET","FQ3 2018","FQ3 2018","Currency=INR","Period=FQ","BEST_FPERIOD_OVERRIDE=FQ","FILING_STATUS=OR","EQY_CONSOLIDATED=Y","Sort=A","Dates=H","DateFormat=P","Fill=—","Direction=H","UseDPDF=Y")</f>
        <v>#NAME?</v>
      </c>
      <c r="CH201" s="2" t="e">
        <f ca="1">_xll.BDH($C$178,"LT_DEBT_TO_TOT_EQY","FQ3 2018","FQ3 2018","Currency=INR","Period=FQ","BEST_FPERIOD_OVERRIDE=FQ","FILING_STATUS=OR","EQY_CONSOLIDATED=Y","Sort=A","Dates=H","DateFormat=P","Fill=—","Direction=H","UseDPDF=Y")</f>
        <v>#NAME?</v>
      </c>
      <c r="CI201" s="2" t="e">
        <f ca="1">_xll.BDH($C$178,"LT_DEBT_TO_TOT_CAP","FQ3 2018","FQ3 2018","Currency=INR","Period=FQ","BEST_FPERIOD_OVERRIDE=FQ","FILING_STATUS=OR","EQY_CONSOLIDATED=Y","Sort=A","Dates=H","DateFormat=P","Fill=—","Direction=H","UseDPDF=Y")</f>
        <v>#NAME?</v>
      </c>
      <c r="CJ201" s="2" t="e">
        <f ca="1">_xll.BDH($C$178,"LT_DEBT_TO_TOT_ASSET","FQ3 2018","FQ3 2018","Currency=INR","Period=FQ","BEST_FPERIOD_OVERRIDE=FQ","FILING_STATUS=OR","EQY_CONSOLIDATED=Y","Sort=A","Dates=H","DateFormat=P","Fill=—","Direction=H","UseDPDF=Y")</f>
        <v>#NAME?</v>
      </c>
      <c r="CK201" s="2" t="e">
        <f ca="1">_xll.BDH($C$178,"TOT_DEBT_TO_TOT_EQY","FQ3 2018","FQ3 2018","Currency=INR","Period=FQ","BEST_FPERIOD_OVERRIDE=FQ","FILING_STATUS=OR","EQY_CONSOLIDATED=Y","Sort=A","Dates=H","DateFormat=P","Fill=—","Direction=H","UseDPDF=Y")</f>
        <v>#NAME?</v>
      </c>
      <c r="CL201" s="2" t="e">
        <f ca="1">_xll.BDH($C$178,"TOT_DEBT_TO_TOT_CAP","FQ3 2018","FQ3 2018","Currency=INR","Period=FQ","BEST_FPERIOD_OVERRIDE=FQ","FILING_STATUS=OR","EQY_CONSOLIDATED=Y","Sort=A","Dates=H","DateFormat=P","Fill=—","Direction=H","UseDPDF=Y")</f>
        <v>#NAME?</v>
      </c>
      <c r="CM201" s="2" t="e">
        <f ca="1">_xll.BDH($C$178,"TOT_DEBT_TO_TOT_ASSET","FQ3 2018","FQ3 2018","Currency=INR","Period=FQ","BEST_FPERIOD_OVERRIDE=FQ","FILING_STATUS=OR","EQY_CONSOLIDATED=Y","Sort=A","Dates=H","DateFormat=P","Fill=—","Direction=H","UseDPDF=Y")</f>
        <v>#NAME?</v>
      </c>
      <c r="CN201" s="2" t="e">
        <f ca="1">_xll.BDH($C$178,"NET_DEBT_TO_SHRHLDR_EQTY","FQ3 2018","FQ3 2018","Currency=INR","Period=FQ","BEST_FPERIOD_OVERRIDE=FQ","FILING_STATUS=OR","EQY_CONSOLIDATED=Y","Sort=A","Dates=H","DateFormat=P","Fill=—","Direction=H","UseDPDF=Y")</f>
        <v>#NAME?</v>
      </c>
      <c r="CO201" s="2" t="e">
        <f ca="1">_xll.BDH($C$178,"NET_DEBT_%_CAPITAL","FQ3 2018","FQ3 2018","Currency=INR","Period=FQ","BEST_FPERIOD_OVERRIDE=FQ","FILING_STATUS=OR","EQY_CONSOLIDATED=Y","Sort=A","Dates=H","DateFormat=P","Fill=—","Direction=H","UseDPDF=Y")</f>
        <v>#NAME?</v>
      </c>
      <c r="CP201" s="3" t="e">
        <f ca="1">_xll.BDH($C$178,"EBITDA","FQ3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201" s="3" t="e">
        <f ca="1">_xll.BDH($C$178,"EBITDA_AFTER_CAPEX","FQ3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201" s="3" t="e">
        <f ca="1">_xll.BDH($C$178,"IS_OPER_INC","FQ3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201" s="2" t="e">
        <f ca="1">_xll.BDH($C$178,"CASH_RATIO","FQ3 2018","FQ3 2018","Currency=INR","Period=FQ","BEST_FPERIOD_OVERRIDE=FQ","FILING_STATUS=OR","EQY_CONSOLIDATED=Y","Sort=A","Dates=H","DateFormat=P","Fill=—","Direction=H","UseDPDF=Y")</f>
        <v>#NAME?</v>
      </c>
      <c r="CT201" s="2" t="e">
        <f ca="1">_xll.BDH($C$178,"CUR_RATIO","FQ3 2018","FQ3 2018","Currency=INR","Period=FQ","BEST_FPERIOD_OVERRIDE=FQ","FILING_STATUS=OR","EQY_CONSOLIDATED=Y","Sort=A","Dates=H","DateFormat=P","Fill=—","Direction=H","UseDPDF=Y")</f>
        <v>#NAME?</v>
      </c>
      <c r="CU201" s="2" t="e">
        <f ca="1">_xll.BDH($C$178,"QUICK_RATIO","FQ3 2018","FQ3 2018","Currency=INR","Period=FQ","BEST_FPERIOD_OVERRIDE=FQ","FILING_STATUS=OR","EQY_CONSOLIDATED=Y","Sort=A","Dates=H","DateFormat=P","Fill=—","Direction=H","UseDPDF=Y")</f>
        <v>#NAME?</v>
      </c>
      <c r="CV201" s="2" t="e">
        <f ca="1">_xll.BDH($C$178,"ALTMAN_Z_SCORE","FQ3 2018","FQ3 2018","Currency=INR","Period=FQ","BEST_FPERIOD_OVERRIDE=FQ","FILING_STATUS=OR","EQY_CONSOLIDATED=Y","Sort=A","Dates=H","DateFormat=P","Fill=—","Direction=H","UseDPDF=Y")</f>
        <v>#NAME?</v>
      </c>
      <c r="CW201" s="4" t="e">
        <f ca="1">_xll.BDH($C$178,"ACCT_RCV_TURN","FQ3 2018","FQ3 2018","Currency=INR","Period=FQ","BEST_FPERIOD_OVERRIDE=FQ","FILING_STATUS=OR","EQY_CONSOLIDATED=Y","FA_ADJUSTED=GAAP","Sort=A","Dates=H","DateFormat=P","Fill=—","Direction=H","UseDPDF=Y")</f>
        <v>#NAME?</v>
      </c>
      <c r="CX201" s="2" t="e">
        <f ca="1">_xll.BDH($C$178,"ACCT_RCV_DAYS","FQ3 2018","FQ3 2018","Currency=INR","Period=FQ","BEST_FPERIOD_OVERRIDE=FQ","FILING_STATUS=OR","EQY_CONSOLIDATED=Y","FA_ADJUSTED=GAAP","Sort=A","Dates=H","DateFormat=P","Fill=—","Direction=H","UseDPDF=Y")</f>
        <v>#NAME?</v>
      </c>
      <c r="CY201" s="4" t="e">
        <f ca="1">_xll.BDH($C$178,"INVENT_TURN","FQ3 2018","FQ3 2018","Currency=INR","Period=FQ","BEST_FPERIOD_OVERRIDE=FQ","FILING_STATUS=OR","EQY_CONSOLIDATED=Y","FA_ADJUSTED=GAAP","Sort=A","Dates=H","DateFormat=P","Fill=—","Direction=H","UseDPDF=Y")</f>
        <v>#NAME?</v>
      </c>
      <c r="CZ201" s="2" t="e">
        <f ca="1">_xll.BDH($C$178,"INVENT_DAYS","FQ3 2018","FQ3 2018","Currency=INR","Period=FQ","BEST_FPERIOD_OVERRIDE=FQ","FILING_STATUS=OR","EQY_CONSOLIDATED=Y","FA_ADJUSTED=GAAP","Sort=A","Dates=H","DateFormat=P","Fill=—","Direction=H","UseDPDF=Y")</f>
        <v>#NAME?</v>
      </c>
      <c r="DA201" s="4" t="e">
        <f ca="1">_xll.BDH($C$178,"ACCOUNTS_PAYABLE_TURNOVER","FQ3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201" s="2" t="e">
        <f ca="1">_xll.BDH($C$178,"ACCOUNTS_PAYABLE_TURNOVER_DAYS","FQ3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201" s="4" t="e">
        <f ca="1">_xll.BDH($C$178,"CASH_CONVERSION_CYCLE","FQ3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201" s="4" t="e">
        <f ca="1">_xll.BDH($C$178,"INV_TO_CASH_DAYS","FQ3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201" s="5" t="e">
        <f ca="1">_xll.BDH($C$178,"BS_INVENTORIES","FQ3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201" s="3" t="e">
        <f ca="1">_xll.BDH($C$178,"INVTRY_RAW_MATERIALS","FQ3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201" s="3" t="e">
        <f ca="1">_xll.BDH($C$178,"INVTRY_IN_PROGRESS","FQ3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201" s="3" t="e">
        <f ca="1">_xll.BDH($C$178,"INVTRY_FINISHED_GOODS","FQ3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201" s="3" t="e">
        <f ca="1">_xll.BDH($C$178,"BS_OTHER_INV","FQ3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202" spans="1:113" x14ac:dyDescent="0.3">
      <c r="A202" s="6"/>
      <c r="B202" s="6"/>
      <c r="C202" s="6"/>
      <c r="D202" s="6"/>
      <c r="E202" t="s">
        <v>81</v>
      </c>
      <c r="F202" t="e">
        <f ca="1">_xll.BDH($C$178,"RETURN_COM_EQY","FQ4 2018","FQ4 2018","Currency=INR","Period=FQ","BEST_FPERIOD_OVERRIDE=FQ","FILING_STATUS=OR","EQY_CONSOLIDATED=Y","FA_ADJUSTED=GAAP","Sort=A","Dates=H","DateFormat=P","Fill=—","Direction=H","UseDPDF=Y")</f>
        <v>#NAME?</v>
      </c>
      <c r="G202" t="e">
        <f ca="1">_xll.BDH($C$178,"RETURN_ON_ASSET","FQ4 2018","FQ4 2018","Currency=INR","Period=FQ","BEST_FPERIOD_OVERRIDE=FQ","FILING_STATUS=OR","EQY_CONSOLIDATED=Y","FA_ADJUSTED=GAAP","Sort=A","Dates=H","DateFormat=P","Fill=—","Direction=H","UseDPDF=Y")</f>
        <v>#NAME?</v>
      </c>
      <c r="H202" t="e">
        <f ca="1">_xll.BDH($C$178,"RETURN_ON_CAP","FQ4 2018","FQ4 2018","Currency=INR","Period=FQ","BEST_FPERIOD_OVERRIDE=FQ","FILING_STATUS=OR","EQY_CONSOLIDATED=Y","FA_ADJUSTED=GAAP","Sort=A","Dates=H","DateFormat=P","Fill=—","Direction=H","UseDPDF=Y")</f>
        <v>#NAME?</v>
      </c>
      <c r="I202" t="e">
        <f ca="1">_xll.BDH($C$178,"RETURN_ON_INV_CAPITAL","FQ4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202" t="e">
        <f ca="1">_xll.BDH($C$178,"EBITDA_TO_REVENUE","FQ4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202" t="e">
        <f ca="1">_xll.BDH($C$178,"OPER_MARGIN","FQ4 2018","FQ4 2018","Currency=INR","Period=FQ","BEST_FPERIOD_OVERRIDE=FQ","FILING_STATUS=OR","EQY_CONSOLIDATED=Y","FA_ADJUSTED=GAAP","Sort=A","Dates=H","DateFormat=P","Fill=—","Direction=H","UseDPDF=Y")</f>
        <v>#NAME?</v>
      </c>
      <c r="L202" t="e">
        <f ca="1">_xll.BDH($C$178,"INCREMENTAL_OPERATING_MARGIN","FQ4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202" t="e">
        <f ca="1">_xll.BDH($C$178,"PRETAX_INC_TO_NET_SALES","FQ4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202" t="e">
        <f ca="1">_xll.BDH($C$178,"INC_BEF_XO_ITEMS_TO_NET_SALES","FQ4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202" t="e">
        <f ca="1">_xll.BDH($C$178,"PROF_MARGIN","FQ4 2018","FQ4 2018","Currency=INR","Period=FQ","BEST_FPERIOD_OVERRIDE=FQ","FILING_STATUS=OR","EQY_CONSOLIDATED=Y","FA_ADJUSTED=GAAP","Sort=A","Dates=H","DateFormat=P","Fill=—","Direction=H","UseDPDF=Y")</f>
        <v>#NAME?</v>
      </c>
      <c r="P202" t="e">
        <f ca="1">_xll.BDH($C$178,"NET_INCOME_TO_COMMON_MARGIN","FQ4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202" t="e">
        <f ca="1">_xll.BDH($C$178,"EFF_TAX_RATE","FQ4 2018","FQ4 2018","Currency=INR","Period=FQ","BEST_FPERIOD_OVERRIDE=FQ","FILING_STATUS=OR","EQY_CONSOLIDATED=Y","FA_ADJUSTED=GAAP","Sort=A","Dates=H","DateFormat=P","Fill=—","Direction=H","UseDPDF=Y")</f>
        <v>#NAME?</v>
      </c>
      <c r="R202" t="e">
        <f ca="1">_xll.BDH($C$178,"DVD_PAYOUT_RATIO","FQ4 2018","FQ4 2018","Currency=INR","Period=FQ","BEST_FPERIOD_OVERRIDE=FQ","FILING_STATUS=OR","EQY_CONSOLIDATED=Y","FA_ADJUSTED=GAAP","Sort=A","Dates=H","DateFormat=P","Fill=—","Direction=H","UseDPDF=Y")</f>
        <v>#NAME?</v>
      </c>
      <c r="S202" t="e">
        <f ca="1">_xll.BDH($C$178,"SUSTAIN_GROWTH_RT","FQ4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202" s="2" t="e">
        <f ca="1">_xll.BDH($C$178,"SALES_GROWTH","FQ4 2018","FQ4 2018","Currency=INR","Period=FQ","BEST_FPERIOD_OVERRIDE=FQ","FILING_STATUS=OR","EQY_CONSOLIDATED=Y","FA_ADJUSTED=GAAP","Sort=A","Dates=H","DateFormat=P","Fill=—","Direction=H","UseDPDF=Y")</f>
        <v>#NAME?</v>
      </c>
      <c r="U202" s="2" t="e">
        <f ca="1">_xll.BDH($C$178,"EBITDA_GROWTH","FQ4 2018","FQ4 2018","Currency=INR","Period=FQ","BEST_FPERIOD_OVERRIDE=FQ","FILING_STATUS=OR","EQY_CONSOLIDATED=Y","FA_ADJUSTED=GAAP","Sort=A","Dates=H","DateFormat=P","Fill=—","Direction=H","UseDPDF=Y")</f>
        <v>#NAME?</v>
      </c>
      <c r="V202" s="2" t="e">
        <f ca="1">_xll.BDH($C$178,"OPER_INC_GROWTH","FQ4 2018","FQ4 2018","Currency=INR","Period=FQ","BEST_FPERIOD_OVERRIDE=FQ","FILING_STATUS=OR","EQY_CONSOLIDATED=Y","FA_ADJUSTED=GAAP","Sort=A","Dates=H","DateFormat=P","Fill=—","Direction=H","UseDPDF=Y")</f>
        <v>#NAME?</v>
      </c>
      <c r="W202" s="2" t="e">
        <f ca="1">_xll.BDH($C$178,"EARN_FOR_COM_GROWTH","FQ4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202" s="2" t="e">
        <f ca="1">_xll.BDH($C$178,"DILUTED_EPS_AFT_XO_ITEMS_GROWTH","FQ4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202" s="2" t="e">
        <f ca="1">_xll.BDH($C$178,"DIVIDEND_PER_SHARE_1_YEAR_GROWTH","FQ4 2018","FQ4 2018","Currency=INR","Period=FQ","BEST_FPERIOD_OVERRIDE=FQ","FILING_STATUS=OR","EQY_CONSOLIDATED=Y","Sort=A","Dates=H","DateFormat=P","Fill=—","Direction=H","UseDPDF=Y")</f>
        <v>#NAME?</v>
      </c>
      <c r="Z202" s="2" t="e">
        <f ca="1">_xll.BDH($C$178,"ACCOUNTS_RECEIVABLE_GROWTH","FQ4 2018","FQ4 2018","Currency=INR","Period=FQ","BEST_FPERIOD_OVERRIDE=FQ","FILING_STATUS=OR","EQY_CONSOLIDATED=Y","Sort=A","Dates=H","DateFormat=P","Fill=—","Direction=H","UseDPDF=Y")</f>
        <v>#NAME?</v>
      </c>
      <c r="AA202" s="2" t="e">
        <f ca="1">_xll.BDH($C$178,"INVENTORY_GROWTH","FQ4 2018","FQ4 2018","Currency=INR","Period=FQ","BEST_FPERIOD_OVERRIDE=FQ","FILING_STATUS=OR","EQY_CONSOLIDATED=Y","Sort=A","Dates=H","DateFormat=P","Fill=—","Direction=H","UseDPDF=Y")</f>
        <v>#NAME?</v>
      </c>
      <c r="AB202" s="2" t="e">
        <f ca="1">_xll.BDH($C$178,"NET_FIXED_ASSETS_1_YEAR_GROWTH","FQ4 2018","FQ4 2018","Currency=INR","Period=FQ","BEST_FPERIOD_OVERRIDE=FQ","FILING_STATUS=OR","EQY_CONSOLIDATED=Y","Sort=A","Dates=H","DateFormat=P","Fill=—","Direction=H","UseDPDF=Y")</f>
        <v>#NAME?</v>
      </c>
      <c r="AC202" s="2" t="e">
        <f ca="1">_xll.BDH($C$178,"ASSET_GROWTH","FQ4 2018","FQ4 2018","Currency=INR","Period=FQ","BEST_FPERIOD_OVERRIDE=FQ","FILING_STATUS=OR","EQY_CONSOLIDATED=Y","Sort=A","Dates=H","DateFormat=P","Fill=—","Direction=H","UseDPDF=Y")</f>
        <v>#NAME?</v>
      </c>
      <c r="AD202" s="2" t="e">
        <f ca="1">_xll.BDH($C$178,"MODIFIED_WORK_CAP_GROWTH","FQ4 2018","FQ4 2018","Currency=INR","Period=FQ","BEST_FPERIOD_OVERRIDE=FQ","FILING_STATUS=OR","EQY_CONSOLIDATED=Y","Sort=A","Dates=H","DateFormat=P","Fill=—","Direction=H","UseDPDF=Y")</f>
        <v>#NAME?</v>
      </c>
      <c r="AE202" s="2" t="e">
        <f ca="1">_xll.BDH($C$178,"WORK_CAP_GROWTH","FQ4 2018","FQ4 2018","Currency=INR","Period=FQ","BEST_FPERIOD_OVERRIDE=FQ","FILING_STATUS=OR","EQY_CONSOLIDATED=Y","Sort=A","Dates=H","DateFormat=P","Fill=—","Direction=H","UseDPDF=Y")</f>
        <v>#NAME?</v>
      </c>
      <c r="AF202" s="2" t="e">
        <f ca="1">_xll.BDH($C$178,"ACCOUNTS_PAYABLE_GROWTH_1YR","FQ4 2018","FQ4 2018","Currency=INR","Period=FQ","BEST_FPERIOD_OVERRIDE=FQ","FILING_STATUS=OR","EQY_CONSOLIDATED=Y","Sort=A","Dates=H","DateFormat=P","Fill=—","Direction=H","UseDPDF=Y")</f>
        <v>#NAME?</v>
      </c>
      <c r="AG202" s="2" t="e">
        <f ca="1">_xll.BDH($C$178,"SHORT_TERM_DEBT_1_YEAR_GROWTH","FQ4 2018","FQ4 2018","Currency=INR","Period=FQ","BEST_FPERIOD_OVERRIDE=FQ","FILING_STATUS=OR","EQY_CONSOLIDATED=Y","Sort=A","Dates=H","DateFormat=P","Fill=—","Direction=H","UseDPDF=Y")</f>
        <v>#NAME?</v>
      </c>
      <c r="AH202" s="2" t="e">
        <f ca="1">_xll.BDH($C$178,"TOTAL_DEBT_1_YEAR_GROWTH","FQ4 2018","FQ4 2018","Currency=INR","Period=FQ","BEST_FPERIOD_OVERRIDE=FQ","FILING_STATUS=OR","EQY_CONSOLIDATED=Y","Sort=A","Dates=H","DateFormat=P","Fill=—","Direction=H","UseDPDF=Y")</f>
        <v>#NAME?</v>
      </c>
      <c r="AI202" s="2" t="e">
        <f ca="1">_xll.BDH($C$178,"TOTAL_EQUITY_1_YEAR_GROWTH","FQ4 2018","FQ4 2018","Currency=INR","Period=FQ","BEST_FPERIOD_OVERRIDE=FQ","FILING_STATUS=OR","EQY_CONSOLIDATED=Y","Sort=A","Dates=H","DateFormat=P","Fill=—","Direction=H","UseDPDF=Y")</f>
        <v>#NAME?</v>
      </c>
      <c r="AJ202" s="2" t="e">
        <f ca="1">_xll.BDH($C$178,"GROWTH_IN_CAP","FQ4 2018","FQ4 2018","Currency=INR","Period=FQ","BEST_FPERIOD_OVERRIDE=FQ","FILING_STATUS=OR","EQY_CONSOLIDATED=Y","Sort=A","Dates=H","DateFormat=P","Fill=—","Direction=H","UseDPDF=Y")</f>
        <v>#NAME?</v>
      </c>
      <c r="AK202" s="2" t="e">
        <f ca="1">_xll.BDH($C$178,"BVPS_GROWTH","FQ4 2018","FQ4 2018","Currency=INR","Period=FQ","BEST_FPERIOD_OVERRIDE=FQ","FILING_STATUS=OR","EQY_CONSOLIDATED=Y","Sort=A","Dates=H","DateFormat=P","Fill=—","Direction=H","UseDPDF=Y")</f>
        <v>#NAME?</v>
      </c>
      <c r="AL202" s="2" t="e">
        <f ca="1">_xll.BDH($C$178,"CASH_FLOW_GROWTH","FQ4 2018","FQ4 2018","Currency=INR","Period=FQ","BEST_FPERIOD_OVERRIDE=FQ","FILING_STATUS=OR","EQY_CONSOLIDATED=Y","Sort=A","Dates=H","DateFormat=P","Fill=—","Direction=H","UseDPDF=Y")</f>
        <v>#NAME?</v>
      </c>
      <c r="AM202" s="2" t="e">
        <f ca="1">_xll.BDH($C$178,"GEO_GROW_NET_SALES","FQ4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202" s="2" t="e">
        <f ca="1">_xll.BDH($C$178,"GEO_GROW_EBITDA","FQ4 2018","FQ4 2018","Currency=INR","Period=FQ","BEST_FPERIOD_OVERRIDE=FQ","FILING_STATUS=OR","EQY_CONSOLIDATED=Y","FA_ADJUSTED=GAAP","Sort=A","Dates=H","DateFormat=P","Fill=—","Direction=H","UseDPDF=Y")</f>
        <v>#NAME?</v>
      </c>
      <c r="AO202" s="2" t="e">
        <f ca="1">_xll.BDH($C$178,"GEO_GROW_OPER_INC","FQ4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202" s="2" t="e">
        <f ca="1">_xll.BDH($C$178,"NET_INCOME_TO_COMMON_5_YR_GROWTH","FQ4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202" s="2" t="e">
        <f ca="1">_xll.BDH($C$178,"5Y_GEO_GROWTH_DILUTED_EPS","FQ4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202" s="2" t="e">
        <f ca="1">_xll.BDH($C$178,"GEO_GROW_DVD_PER_SH","FQ4 2018","FQ4 2018","Currency=INR","Period=FQ","BEST_FPERIOD_OVERRIDE=FQ","FILING_STATUS=OR","EQY_CONSOLIDATED=Y","Sort=A","Dates=H","DateFormat=P","Fill=—","Direction=H","UseDPDF=Y")</f>
        <v>#NAME?</v>
      </c>
      <c r="AS202" s="2" t="e">
        <f ca="1">_xll.BDH($C$178,"ACCOUNTS_RECEIVABLE_5_YR_GROWTH","FQ4 2018","FQ4 2018","Currency=INR","Period=FQ","BEST_FPERIOD_OVERRIDE=FQ","FILING_STATUS=OR","EQY_CONSOLIDATED=Y","Sort=A","Dates=H","DateFormat=P","Fill=—","Direction=H","UseDPDF=Y")</f>
        <v>#NAME?</v>
      </c>
      <c r="AT202" s="2" t="e">
        <f ca="1">_xll.BDH($C$178,"INVENTORY_5_YEAR_GROWTH","FQ4 2018","FQ4 2018","Currency=INR","Period=FQ","BEST_FPERIOD_OVERRIDE=FQ","FILING_STATUS=OR","EQY_CONSOLIDATED=Y","Sort=A","Dates=H","DateFormat=P","Fill=—","Direction=H","UseDPDF=Y")</f>
        <v>#NAME?</v>
      </c>
      <c r="AU202" s="2" t="e">
        <f ca="1">_xll.BDH($C$178,"NET_FIXED_ASSETS_5_YEAR_GROWTH","FQ4 2018","FQ4 2018","Currency=INR","Period=FQ","BEST_FPERIOD_OVERRIDE=FQ","FILING_STATUS=OR","EQY_CONSOLIDATED=Y","Sort=A","Dates=H","DateFormat=P","Fill=—","Direction=H","UseDPDF=Y")</f>
        <v>#NAME?</v>
      </c>
      <c r="AV202" s="2" t="e">
        <f ca="1">_xll.BDH($C$178,"GEO_GROW_TOT_ASSET","FQ4 2018","FQ4 2018","Currency=INR","Period=FQ","BEST_FPERIOD_OVERRIDE=FQ","FILING_STATUS=OR","EQY_CONSOLIDATED=Y","Sort=A","Dates=H","DateFormat=P","Fill=—","Direction=H","UseDPDF=Y")</f>
        <v>#NAME?</v>
      </c>
      <c r="AW202" s="2" t="e">
        <f ca="1">_xll.BDH($C$178,"MODIFIED_WORKING_CPTL_5YR_GRWTH","FQ4 2018","FQ4 2018","Currency=INR","Period=FQ","BEST_FPERIOD_OVERRIDE=FQ","FILING_STATUS=OR","EQY_CONSOLIDATED=Y","Sort=A","Dates=H","DateFormat=P","Fill=—","Direction=H","UseDPDF=Y")</f>
        <v>#NAME?</v>
      </c>
      <c r="AX202" s="2" t="e">
        <f ca="1">_xll.BDH($C$178,"WORKING_CAPITAL_5_YEAR_GROWTH","FQ4 2018","FQ4 2018","Currency=INR","Period=FQ","BEST_FPERIOD_OVERRIDE=FQ","FILING_STATUS=OR","EQY_CONSOLIDATED=Y","Sort=A","Dates=H","DateFormat=P","Fill=—","Direction=H","UseDPDF=Y")</f>
        <v>#NAME?</v>
      </c>
      <c r="AY202" s="2" t="e">
        <f ca="1">_xll.BDH($C$178,"ACCOUNTS_PAYABLE_5_YEAR_GROWTH","FQ4 2018","FQ4 2018","Currency=INR","Period=FQ","BEST_FPERIOD_OVERRIDE=FQ","FILING_STATUS=OR","EQY_CONSOLIDATED=Y","Sort=A","Dates=H","DateFormat=P","Fill=—","Direction=H","UseDPDF=Y")</f>
        <v>#NAME?</v>
      </c>
      <c r="AZ202" s="2" t="e">
        <f ca="1">_xll.BDH($C$178,"SHORT_TERM_DEBT_5_YEAR_GROWTH","FQ4 2018","FQ4 2018","Currency=INR","Period=FQ","BEST_FPERIOD_OVERRIDE=FQ","FILING_STATUS=OR","EQY_CONSOLIDATED=Y","Sort=A","Dates=H","DateFormat=P","Fill=—","Direction=H","UseDPDF=Y")</f>
        <v>#NAME?</v>
      </c>
      <c r="BA202" s="2" t="e">
        <f ca="1">_xll.BDH($C$178,"TOTAL_DEBT_5_YEAR_GROWTH","FQ4 2018","FQ4 2018","Currency=INR","Period=FQ","BEST_FPERIOD_OVERRIDE=FQ","FILING_STATUS=OR","EQY_CONSOLIDATED=Y","Sort=A","Dates=H","DateFormat=P","Fill=—","Direction=H","UseDPDF=Y")</f>
        <v>#NAME?</v>
      </c>
      <c r="BB202" s="2" t="e">
        <f ca="1">_xll.BDH($C$178,"GEO_GROW_TOT_SHRHLDR_EQY","FQ4 2018","FQ4 2018","Currency=INR","Period=FQ","BEST_FPERIOD_OVERRIDE=FQ","FILING_STATUS=OR","EQY_CONSOLIDATED=Y","Sort=A","Dates=H","DateFormat=P","Fill=—","Direction=H","UseDPDF=Y")</f>
        <v>#NAME?</v>
      </c>
      <c r="BC202" s="2" t="e">
        <f ca="1">_xll.BDH($C$178,"TOTAL_CAPITAL_5_YEAR_GROWTH","FQ4 2018","FQ4 2018","Currency=INR","Period=FQ","BEST_FPERIOD_OVERRIDE=FQ","FILING_STATUS=OR","EQY_CONSOLIDATED=Y","Sort=A","Dates=H","DateFormat=P","Fill=—","Direction=H","UseDPDF=Y")</f>
        <v>#NAME?</v>
      </c>
      <c r="BD202" s="2" t="e">
        <f ca="1">_xll.BDH($C$178,"GEO_GROW_BOOK_VAL","FQ4 2018","FQ4 2018","Currency=INR","Period=FQ","BEST_FPERIOD_OVERRIDE=FQ","FILING_STATUS=OR","EQY_CONSOLIDATED=Y","Sort=A","Dates=H","DateFormat=P","Fill=—","Direction=H","UseDPDF=Y")</f>
        <v>#NAME?</v>
      </c>
      <c r="BE202" s="2" t="e">
        <f ca="1">_xll.BDH($C$178,"GEO_GROW_CASH_OPER_ACT","FQ4 2018","FQ4 2018","Currency=INR","Period=FQ","BEST_FPERIOD_OVERRIDE=FQ","FILING_STATUS=OR","EQY_CONSOLIDATED=Y","Sort=A","Dates=H","DateFormat=P","Fill=—","Direction=H","UseDPDF=Y")</f>
        <v>#NAME?</v>
      </c>
      <c r="BF202" s="2" t="e">
        <f ca="1">_xll.BDH($C$178,"REVENUE_SEQUENTIAL_GROWTH","FQ4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202" s="2" t="e">
        <f ca="1">_xll.BDH($C$178,"EBITDA_SEQUENTIAL_GROWTH","FQ4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202" s="2" t="e">
        <f ca="1">_xll.BDH($C$178,"OPERATING_INCOME_SEQ_GROWTH","FQ4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202" s="2" t="e">
        <f ca="1">_xll.BDH($C$178,"NET_INCOME_TO_COMMON_SEQ_GROWTH","FQ4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202" s="2" t="e">
        <f ca="1">_xll.BDH($C$178,"EPS_DILUTED_SEQUENTIAL_GROWTH","FQ4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202" s="2" t="e">
        <f ca="1">_xll.BDH($C$178,"DPS_SEQUENTIAL_GROWTH","FQ4 2018","FQ4 2018","Currency=INR","Period=FQ","BEST_FPERIOD_OVERRIDE=FQ","FILING_STATUS=OR","EQY_CONSOLIDATED=Y","Sort=A","Dates=H","DateFormat=P","Fill=—","Direction=H","UseDPDF=Y")</f>
        <v>#NAME?</v>
      </c>
      <c r="BL202" s="2" t="e">
        <f ca="1">_xll.BDH($C$178,"ACCOUNTS_RECEIVABLE_SEQ_GROWTH","FQ4 2018","FQ4 2018","Currency=INR","Period=FQ","BEST_FPERIOD_OVERRIDE=FQ","FILING_STATUS=OR","EQY_CONSOLIDATED=Y","Sort=A","Dates=H","DateFormat=P","Fill=—","Direction=H","UseDPDF=Y")</f>
        <v>#NAME?</v>
      </c>
      <c r="BM202" s="2" t="e">
        <f ca="1">_xll.BDH($C$178,"INVENTORY_SEQUENTIAL_GROWTH","FQ4 2018","FQ4 2018","Currency=INR","Period=FQ","BEST_FPERIOD_OVERRIDE=FQ","FILING_STATUS=OR","EQY_CONSOLIDATED=Y","Sort=A","Dates=H","DateFormat=P","Fill=—","Direction=H","UseDPDF=Y")</f>
        <v>#NAME?</v>
      </c>
      <c r="BN202" s="2" t="e">
        <f ca="1">_xll.BDH($C$178,"FIXED_ASSETS_SEQUENTIAL_GROWTH","FQ4 2018","FQ4 2018","Currency=INR","Period=FQ","BEST_FPERIOD_OVERRIDE=FQ","FILING_STATUS=OR","EQY_CONSOLIDATED=Y","Sort=A","Dates=H","DateFormat=P","Fill=—","Direction=H","UseDPDF=Y")</f>
        <v>#NAME?</v>
      </c>
      <c r="BO202" s="2" t="e">
        <f ca="1">_xll.BDH($C$178,"TOTAL_ASSETS_SEQUENTIAL_GROWTH","FQ4 2018","FQ4 2018","Currency=INR","Period=FQ","BEST_FPERIOD_OVERRIDE=FQ","FILING_STATUS=OR","EQY_CONSOLIDATED=Y","Sort=A","Dates=H","DateFormat=P","Fill=—","Direction=H","UseDPDF=Y")</f>
        <v>#NAME?</v>
      </c>
      <c r="BP202" s="2" t="e">
        <f ca="1">_xll.BDH($C$178,"MODIFIED_WORKING_CPTL_SEQ_GRWTH","FQ4 2018","FQ4 2018","Currency=INR","Period=FQ","BEST_FPERIOD_OVERRIDE=FQ","FILING_STATUS=OR","EQY_CONSOLIDATED=Y","Sort=A","Dates=H","DateFormat=P","Fill=—","Direction=H","UseDPDF=Y")</f>
        <v>#NAME?</v>
      </c>
      <c r="BQ202" s="2" t="e">
        <f ca="1">_xll.BDH($C$178,"WORKING_CAPITAL_SEQ_GROWTH","FQ4 2018","FQ4 2018","Currency=INR","Period=FQ","BEST_FPERIOD_OVERRIDE=FQ","FILING_STATUS=OR","EQY_CONSOLIDATED=Y","Sort=A","Dates=H","DateFormat=P","Fill=—","Direction=H","UseDPDF=Y")</f>
        <v>#NAME?</v>
      </c>
      <c r="BR202" s="2" t="e">
        <f ca="1">_xll.BDH($C$178,"ACCOUNTS_PAYABLE_SEQ_GROWTH","FQ4 2018","FQ4 2018","Currency=INR","Period=FQ","BEST_FPERIOD_OVERRIDE=FQ","FILING_STATUS=OR","EQY_CONSOLIDATED=Y","Sort=A","Dates=H","DateFormat=P","Fill=—","Direction=H","UseDPDF=Y")</f>
        <v>#NAME?</v>
      </c>
      <c r="BS202" s="2" t="e">
        <f ca="1">_xll.BDH($C$178,"ST_DEBT_SEQUENTIAL_GROWTH","FQ4 2018","FQ4 2018","Currency=INR","Period=FQ","BEST_FPERIOD_OVERRIDE=FQ","FILING_STATUS=OR","EQY_CONSOLIDATED=Y","Sort=A","Dates=H","DateFormat=P","Fill=—","Direction=H","UseDPDF=Y")</f>
        <v>#NAME?</v>
      </c>
      <c r="BT202" s="2" t="e">
        <f ca="1">_xll.BDH($C$178,"TOTAL_DEBT_SEQUENTIAL_GROWTH","FQ4 2018","FQ4 2018","Currency=INR","Period=FQ","BEST_FPERIOD_OVERRIDE=FQ","FILING_STATUS=OR","EQY_CONSOLIDATED=Y","Sort=A","Dates=H","DateFormat=P","Fill=—","Direction=H","UseDPDF=Y")</f>
        <v>#NAME?</v>
      </c>
      <c r="BU202" s="2" t="e">
        <f ca="1">_xll.BDH($C$178,"TOTAL_EQUITY_SEQUENTIAL_GROWTH","FQ4 2018","FQ4 2018","Currency=INR","Period=FQ","BEST_FPERIOD_OVERRIDE=FQ","FILING_STATUS=OR","EQY_CONSOLIDATED=Y","Sort=A","Dates=H","DateFormat=P","Fill=—","Direction=H","UseDPDF=Y")</f>
        <v>#NAME?</v>
      </c>
      <c r="BV202" s="2" t="e">
        <f ca="1">_xll.BDH($C$178,"TOTAL_CAPITAL_SEQUENTIAL_GROWTH","FQ4 2018","FQ4 2018","Currency=INR","Period=FQ","BEST_FPERIOD_OVERRIDE=FQ","FILING_STATUS=OR","EQY_CONSOLIDATED=Y","Sort=A","Dates=H","DateFormat=P","Fill=—","Direction=H","UseDPDF=Y")</f>
        <v>#NAME?</v>
      </c>
      <c r="BW202" s="2" t="e">
        <f ca="1">_xll.BDH($C$178,"BPS_SEQUENTIAL_GROWTH","FQ4 2018","FQ4 2018","Currency=INR","Period=FQ","BEST_FPERIOD_OVERRIDE=FQ","FILING_STATUS=OR","EQY_CONSOLIDATED=Y","Sort=A","Dates=H","DateFormat=P","Fill=—","Direction=H","UseDPDF=Y")</f>
        <v>#NAME?</v>
      </c>
      <c r="BX202" s="2" t="e">
        <f ca="1">_xll.BDH($C$178,"CFO_SEQUENTIAL_GROWTH","FQ4 2018","FQ4 2018","Currency=INR","Period=FQ","BEST_FPERIOD_OVERRIDE=FQ","FILING_STATUS=OR","EQY_CONSOLIDATED=Y","Sort=A","Dates=H","DateFormat=P","Fill=—","Direction=H","UseDPDF=Y")</f>
        <v>#NAME?</v>
      </c>
      <c r="BY202" s="3" t="e">
        <f ca="1">_xll.BDH($C$178,"SHORT_AND_LONG_TERM_DEBT","FQ4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202" s="3" t="e">
        <f ca="1">_xll.BDH($C$178,"BS_ST_BORROW","FQ4 2018","FQ4 2018","Currency=INR","Period=FQ","BEST_FPERIOD_OVERRIDE=FQ","FILING_STATUS=OR","EQY_CONSOLIDATED=Y","SCALING_FORMAT=MLN","Sort=A","Dates=H","DateFormat=P","Fill=—","Direction=H","UseDPDF=Y")</f>
        <v>#NAME?</v>
      </c>
      <c r="CA202" s="3" t="e">
        <f ca="1">_xll.BDH($C$178,"BS_LT_BORROW","FQ4 2018","FQ4 2018","Currency=INR","Period=FQ","BEST_FPERIOD_OVERRIDE=FQ","FILING_STATUS=OR","EQY_CONSOLIDATED=Y","SCALING_FORMAT=MLN","Sort=A","Dates=H","DateFormat=P","Fill=—","Direction=H","UseDPDF=Y")</f>
        <v>#NAME?</v>
      </c>
      <c r="CB202" s="2" t="e">
        <f ca="1">_xll.BDH($C$178,"TOT_DEBT_TO_EBITDA","FQ4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202" s="2" t="e">
        <f ca="1">_xll.BDH($C$178,"NET_DEBT_TO_EBITDA","FQ4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202" s="2" t="e">
        <f ca="1">_xll.BDH($C$178,"TOTAL_DEBT_TO_EBIT","FQ4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202" s="2" t="e">
        <f ca="1">_xll.BDH($C$178,"NET_DEBT_TO_EBIT","FQ4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202" s="2" t="e">
        <f ca="1">_xll.BDH($C$178,"EBITDA_TO_INTEREST_EXPN","FQ4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202" s="2" t="e">
        <f ca="1">_xll.BDH($C$178,"COM_EQY_TO_TOT_ASSET","FQ4 2018","FQ4 2018","Currency=INR","Period=FQ","BEST_FPERIOD_OVERRIDE=FQ","FILING_STATUS=OR","EQY_CONSOLIDATED=Y","Sort=A","Dates=H","DateFormat=P","Fill=—","Direction=H","UseDPDF=Y")</f>
        <v>#NAME?</v>
      </c>
      <c r="CH202" s="2" t="e">
        <f ca="1">_xll.BDH($C$178,"LT_DEBT_TO_TOT_EQY","FQ4 2018","FQ4 2018","Currency=INR","Period=FQ","BEST_FPERIOD_OVERRIDE=FQ","FILING_STATUS=OR","EQY_CONSOLIDATED=Y","Sort=A","Dates=H","DateFormat=P","Fill=—","Direction=H","UseDPDF=Y")</f>
        <v>#NAME?</v>
      </c>
      <c r="CI202" s="2" t="e">
        <f ca="1">_xll.BDH($C$178,"LT_DEBT_TO_TOT_CAP","FQ4 2018","FQ4 2018","Currency=INR","Period=FQ","BEST_FPERIOD_OVERRIDE=FQ","FILING_STATUS=OR","EQY_CONSOLIDATED=Y","Sort=A","Dates=H","DateFormat=P","Fill=—","Direction=H","UseDPDF=Y")</f>
        <v>#NAME?</v>
      </c>
      <c r="CJ202" s="2" t="e">
        <f ca="1">_xll.BDH($C$178,"LT_DEBT_TO_TOT_ASSET","FQ4 2018","FQ4 2018","Currency=INR","Period=FQ","BEST_FPERIOD_OVERRIDE=FQ","FILING_STATUS=OR","EQY_CONSOLIDATED=Y","Sort=A","Dates=H","DateFormat=P","Fill=—","Direction=H","UseDPDF=Y")</f>
        <v>#NAME?</v>
      </c>
      <c r="CK202" s="2" t="e">
        <f ca="1">_xll.BDH($C$178,"TOT_DEBT_TO_TOT_EQY","FQ4 2018","FQ4 2018","Currency=INR","Period=FQ","BEST_FPERIOD_OVERRIDE=FQ","FILING_STATUS=OR","EQY_CONSOLIDATED=Y","Sort=A","Dates=H","DateFormat=P","Fill=—","Direction=H","UseDPDF=Y")</f>
        <v>#NAME?</v>
      </c>
      <c r="CL202" s="2" t="e">
        <f ca="1">_xll.BDH($C$178,"TOT_DEBT_TO_TOT_CAP","FQ4 2018","FQ4 2018","Currency=INR","Period=FQ","BEST_FPERIOD_OVERRIDE=FQ","FILING_STATUS=OR","EQY_CONSOLIDATED=Y","Sort=A","Dates=H","DateFormat=P","Fill=—","Direction=H","UseDPDF=Y")</f>
        <v>#NAME?</v>
      </c>
      <c r="CM202" s="2" t="e">
        <f ca="1">_xll.BDH($C$178,"TOT_DEBT_TO_TOT_ASSET","FQ4 2018","FQ4 2018","Currency=INR","Period=FQ","BEST_FPERIOD_OVERRIDE=FQ","FILING_STATUS=OR","EQY_CONSOLIDATED=Y","Sort=A","Dates=H","DateFormat=P","Fill=—","Direction=H","UseDPDF=Y")</f>
        <v>#NAME?</v>
      </c>
      <c r="CN202" s="2" t="e">
        <f ca="1">_xll.BDH($C$178,"NET_DEBT_TO_SHRHLDR_EQTY","FQ4 2018","FQ4 2018","Currency=INR","Period=FQ","BEST_FPERIOD_OVERRIDE=FQ","FILING_STATUS=OR","EQY_CONSOLIDATED=Y","Sort=A","Dates=H","DateFormat=P","Fill=—","Direction=H","UseDPDF=Y")</f>
        <v>#NAME?</v>
      </c>
      <c r="CO202" s="2" t="e">
        <f ca="1">_xll.BDH($C$178,"NET_DEBT_%_CAPITAL","FQ4 2018","FQ4 2018","Currency=INR","Period=FQ","BEST_FPERIOD_OVERRIDE=FQ","FILING_STATUS=OR","EQY_CONSOLIDATED=Y","Sort=A","Dates=H","DateFormat=P","Fill=—","Direction=H","UseDPDF=Y")</f>
        <v>#NAME?</v>
      </c>
      <c r="CP202" s="3" t="e">
        <f ca="1">_xll.BDH($C$178,"EBITDA","FQ4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202" s="3" t="e">
        <f ca="1">_xll.BDH($C$178,"EBITDA_AFTER_CAPEX","FQ4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202" s="3" t="e">
        <f ca="1">_xll.BDH($C$178,"IS_OPER_INC","FQ4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202" s="2" t="e">
        <f ca="1">_xll.BDH($C$178,"CASH_RATIO","FQ4 2018","FQ4 2018","Currency=INR","Period=FQ","BEST_FPERIOD_OVERRIDE=FQ","FILING_STATUS=OR","EQY_CONSOLIDATED=Y","Sort=A","Dates=H","DateFormat=P","Fill=—","Direction=H","UseDPDF=Y")</f>
        <v>#NAME?</v>
      </c>
      <c r="CT202" s="2" t="e">
        <f ca="1">_xll.BDH($C$178,"CUR_RATIO","FQ4 2018","FQ4 2018","Currency=INR","Period=FQ","BEST_FPERIOD_OVERRIDE=FQ","FILING_STATUS=OR","EQY_CONSOLIDATED=Y","Sort=A","Dates=H","DateFormat=P","Fill=—","Direction=H","UseDPDF=Y")</f>
        <v>#NAME?</v>
      </c>
      <c r="CU202" s="2" t="e">
        <f ca="1">_xll.BDH($C$178,"QUICK_RATIO","FQ4 2018","FQ4 2018","Currency=INR","Period=FQ","BEST_FPERIOD_OVERRIDE=FQ","FILING_STATUS=OR","EQY_CONSOLIDATED=Y","Sort=A","Dates=H","DateFormat=P","Fill=—","Direction=H","UseDPDF=Y")</f>
        <v>#NAME?</v>
      </c>
      <c r="CV202" s="2" t="e">
        <f ca="1">_xll.BDH($C$178,"ALTMAN_Z_SCORE","FQ4 2018","FQ4 2018","Currency=INR","Period=FQ","BEST_FPERIOD_OVERRIDE=FQ","FILING_STATUS=OR","EQY_CONSOLIDATED=Y","Sort=A","Dates=H","DateFormat=P","Fill=—","Direction=H","UseDPDF=Y")</f>
        <v>#NAME?</v>
      </c>
      <c r="CW202" s="4" t="e">
        <f ca="1">_xll.BDH($C$178,"ACCT_RCV_TURN","FQ4 2018","FQ4 2018","Currency=INR","Period=FQ","BEST_FPERIOD_OVERRIDE=FQ","FILING_STATUS=OR","EQY_CONSOLIDATED=Y","FA_ADJUSTED=GAAP","Sort=A","Dates=H","DateFormat=P","Fill=—","Direction=H","UseDPDF=Y")</f>
        <v>#NAME?</v>
      </c>
      <c r="CX202" s="2" t="e">
        <f ca="1">_xll.BDH($C$178,"ACCT_RCV_DAYS","FQ4 2018","FQ4 2018","Currency=INR","Period=FQ","BEST_FPERIOD_OVERRIDE=FQ","FILING_STATUS=OR","EQY_CONSOLIDATED=Y","FA_ADJUSTED=GAAP","Sort=A","Dates=H","DateFormat=P","Fill=—","Direction=H","UseDPDF=Y")</f>
        <v>#NAME?</v>
      </c>
      <c r="CY202" s="4" t="e">
        <f ca="1">_xll.BDH($C$178,"INVENT_TURN","FQ4 2018","FQ4 2018","Currency=INR","Period=FQ","BEST_FPERIOD_OVERRIDE=FQ","FILING_STATUS=OR","EQY_CONSOLIDATED=Y","FA_ADJUSTED=GAAP","Sort=A","Dates=H","DateFormat=P","Fill=—","Direction=H","UseDPDF=Y")</f>
        <v>#NAME?</v>
      </c>
      <c r="CZ202" s="2" t="e">
        <f ca="1">_xll.BDH($C$178,"INVENT_DAYS","FQ4 2018","FQ4 2018","Currency=INR","Period=FQ","BEST_FPERIOD_OVERRIDE=FQ","FILING_STATUS=OR","EQY_CONSOLIDATED=Y","FA_ADJUSTED=GAAP","Sort=A","Dates=H","DateFormat=P","Fill=—","Direction=H","UseDPDF=Y")</f>
        <v>#NAME?</v>
      </c>
      <c r="DA202" s="4" t="e">
        <f ca="1">_xll.BDH($C$178,"ACCOUNTS_PAYABLE_TURNOVER","FQ4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202" s="2" t="e">
        <f ca="1">_xll.BDH($C$178,"ACCOUNTS_PAYABLE_TURNOVER_DAYS","FQ4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202" s="4" t="e">
        <f ca="1">_xll.BDH($C$178,"CASH_CONVERSION_CYCLE","FQ4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202" s="4" t="e">
        <f ca="1">_xll.BDH($C$178,"INV_TO_CASH_DAYS","FQ4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202" s="5" t="e">
        <f ca="1">_xll.BDH($C$178,"BS_INVENTORIES","FQ4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202" s="3" t="e">
        <f ca="1">_xll.BDH($C$178,"INVTRY_RAW_MATERIALS","FQ4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202" s="3" t="e">
        <f ca="1">_xll.BDH($C$178,"INVTRY_IN_PROGRESS","FQ4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202" s="3" t="e">
        <f ca="1">_xll.BDH($C$178,"INVTRY_FINISHED_GOODS","FQ4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202" s="3" t="e">
        <f ca="1">_xll.BDH($C$178,"BS_OTHER_INV","FQ4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203" spans="1:113" x14ac:dyDescent="0.3">
      <c r="A203" s="6">
        <v>9</v>
      </c>
      <c r="B203" s="6" t="s">
        <v>100</v>
      </c>
      <c r="C203" s="6" t="s">
        <v>101</v>
      </c>
      <c r="D203" s="6" t="s">
        <v>76</v>
      </c>
      <c r="E203" t="s">
        <v>77</v>
      </c>
      <c r="F203" t="e">
        <f ca="1">_xll.BDH($C$203,"RETURN_COM_EQY","FY 2014","FY 2014","Currency=INR","Period=FY","BEST_FPERIOD_OVERRIDE=FY","FILING_STATUS=OR","EQY_CONSOLIDATED=Y","FA_ADJUSTED=GAAP","Sort=A","Dates=H","DateFormat=P","Fill=—","Direction=H","UseDPDF=Y")</f>
        <v>#NAME?</v>
      </c>
      <c r="G203" t="e">
        <f ca="1">_xll.BDH($C$203,"RETURN_ON_ASSET","FY 2014","FY 2014","Currency=INR","Period=FY","BEST_FPERIOD_OVERRIDE=FY","FILING_STATUS=OR","EQY_CONSOLIDATED=Y","FA_ADJUSTED=GAAP","Sort=A","Dates=H","DateFormat=P","Fill=—","Direction=H","UseDPDF=Y")</f>
        <v>#NAME?</v>
      </c>
      <c r="H203" t="e">
        <f ca="1">_xll.BDH($C$203,"RETURN_ON_CAP","FY 2014","FY 2014","Currency=INR","Period=FY","BEST_FPERIOD_OVERRIDE=FY","FILING_STATUS=OR","EQY_CONSOLIDATED=Y","FA_ADJUSTED=GAAP","Sort=A","Dates=H","DateFormat=P","Fill=—","Direction=H","UseDPDF=Y")</f>
        <v>#NAME?</v>
      </c>
      <c r="I203" t="e">
        <f ca="1">_xll.BDH($C$203,"RETURN_ON_INV_CAPITAL","FY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203" t="e">
        <f ca="1">_xll.BDH($C$203,"EBITDA_TO_REVENUE","FY 2014","FY 2014","Currency=INR","Period=FY","BEST_FPERIOD_OVERRIDE=FY","FILING_STATUS=OR","EQY_CONSOLIDATED=Y","FA_ADJUSTED=GAAP","Sort=A","Dates=H","DateFormat=P","Fill=—","Direction=H","UseDPDF=Y")</f>
        <v>#NAME?</v>
      </c>
      <c r="K203" t="e">
        <f ca="1">_xll.BDH($C$203,"OPER_MARGIN","FY 2014","FY 2014","Currency=INR","Period=FY","BEST_FPERIOD_OVERRIDE=FY","FILING_STATUS=OR","EQY_CONSOLIDATED=Y","FA_ADJUSTED=GAAP","Sort=A","Dates=H","DateFormat=P","Fill=—","Direction=H","UseDPDF=Y")</f>
        <v>#NAME?</v>
      </c>
      <c r="L203" t="e">
        <f ca="1">_xll.BDH($C$203,"INCREMENTAL_OPERATING_MARGIN","FY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203" t="e">
        <f ca="1">_xll.BDH($C$203,"PRETAX_INC_TO_NET_SALES","FY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203" t="e">
        <f ca="1">_xll.BDH($C$203,"INC_BEF_XO_ITEMS_TO_NET_SALES","FY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203" t="e">
        <f ca="1">_xll.BDH($C$203,"PROF_MARGIN","FY 2014","FY 2014","Currency=INR","Period=FY","BEST_FPERIOD_OVERRIDE=FY","FILING_STATUS=OR","EQY_CONSOLIDATED=Y","FA_ADJUSTED=GAAP","Sort=A","Dates=H","DateFormat=P","Fill=—","Direction=H","UseDPDF=Y")</f>
        <v>#NAME?</v>
      </c>
      <c r="P203" t="e">
        <f ca="1">_xll.BDH($C$203,"NET_INCOME_TO_COMMON_MARGIN","FY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203" t="e">
        <f ca="1">_xll.BDH($C$203,"EFF_TAX_RATE","FY 2014","FY 2014","Currency=INR","Period=FY","BEST_FPERIOD_OVERRIDE=FY","FILING_STATUS=OR","EQY_CONSOLIDATED=Y","FA_ADJUSTED=GAAP","Sort=A","Dates=H","DateFormat=P","Fill=—","Direction=H","UseDPDF=Y")</f>
        <v>#NAME?</v>
      </c>
      <c r="R203" t="e">
        <f ca="1">_xll.BDH($C$203,"DVD_PAYOUT_RATIO","FY 2014","FY 2014","Currency=INR","Period=FY","BEST_FPERIOD_OVERRIDE=FY","FILING_STATUS=OR","EQY_CONSOLIDATED=Y","FA_ADJUSTED=GAAP","Sort=A","Dates=H","DateFormat=P","Fill=—","Direction=H","UseDPDF=Y")</f>
        <v>#NAME?</v>
      </c>
      <c r="S203" t="e">
        <f ca="1">_xll.BDH($C$203,"SUSTAIN_GROWTH_RT","FY 2014","FY 2014","Currency=INR","Period=FY","BEST_FPERIOD_OVERRIDE=FY","FILING_STATUS=OR","EQY_CONSOLIDATED=Y","FA_ADJUSTED=GAAP","Sort=A","Dates=H","DateFormat=P","Fill=—","Direction=H","UseDPDF=Y")</f>
        <v>#NAME?</v>
      </c>
      <c r="T203" s="2" t="e">
        <f ca="1">_xll.BDH($C$203,"SALES_GROWTH","FY 2014","FY 2014","Currency=INR","Period=FY","BEST_FPERIOD_OVERRIDE=FY","FILING_STATUS=OR","EQY_CONSOLIDATED=Y","FA_ADJUSTED=GAAP","Sort=A","Dates=H","DateFormat=P","Fill=—","Direction=H","UseDPDF=Y")</f>
        <v>#NAME?</v>
      </c>
      <c r="U203" s="2" t="e">
        <f ca="1">_xll.BDH($C$203,"EBITDA_GROWTH","FY 2014","FY 2014","Currency=INR","Period=FY","BEST_FPERIOD_OVERRIDE=FY","FILING_STATUS=OR","EQY_CONSOLIDATED=Y","FA_ADJUSTED=GAAP","Sort=A","Dates=H","DateFormat=P","Fill=—","Direction=H","UseDPDF=Y")</f>
        <v>#NAME?</v>
      </c>
      <c r="V203" s="2" t="e">
        <f ca="1">_xll.BDH($C$203,"OPER_INC_GROWTH","FY 2014","FY 2014","Currency=INR","Period=FY","BEST_FPERIOD_OVERRIDE=FY","FILING_STATUS=OR","EQY_CONSOLIDATED=Y","FA_ADJUSTED=GAAP","Sort=A","Dates=H","DateFormat=P","Fill=—","Direction=H","UseDPDF=Y")</f>
        <v>#NAME?</v>
      </c>
      <c r="W203" s="2" t="e">
        <f ca="1">_xll.BDH($C$203,"EARN_FOR_COM_GROWTH","FY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203" s="2" t="e">
        <f ca="1">_xll.BDH($C$203,"DILUTED_EPS_AFT_XO_ITEMS_GROWTH","FY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203" s="2" t="e">
        <f ca="1">_xll.BDH($C$203,"DIVIDEND_PER_SHARE_1_YEAR_GROWTH","FY 2014","FY 2014","Currency=INR","Period=FY","BEST_FPERIOD_OVERRIDE=FY","FILING_STATUS=OR","EQY_CONSOLIDATED=Y","Sort=A","Dates=H","DateFormat=P","Fill=—","Direction=H","UseDPDF=Y")</f>
        <v>#NAME?</v>
      </c>
      <c r="Z203" s="2" t="e">
        <f ca="1">_xll.BDH($C$203,"ACCOUNTS_RECEIVABLE_GROWTH","FY 2014","FY 2014","Currency=INR","Period=FY","BEST_FPERIOD_OVERRIDE=FY","FILING_STATUS=OR","EQY_CONSOLIDATED=Y","Sort=A","Dates=H","DateFormat=P","Fill=—","Direction=H","UseDPDF=Y")</f>
        <v>#NAME?</v>
      </c>
      <c r="AA203" s="2" t="e">
        <f ca="1">_xll.BDH($C$203,"INVENTORY_GROWTH","FY 2014","FY 2014","Currency=INR","Period=FY","BEST_FPERIOD_OVERRIDE=FY","FILING_STATUS=OR","EQY_CONSOLIDATED=Y","Sort=A","Dates=H","DateFormat=P","Fill=—","Direction=H","UseDPDF=Y")</f>
        <v>#NAME?</v>
      </c>
      <c r="AB203" s="2" t="e">
        <f ca="1">_xll.BDH($C$203,"NET_FIXED_ASSETS_1_YEAR_GROWTH","FY 2014","FY 2014","Currency=INR","Period=FY","BEST_FPERIOD_OVERRIDE=FY","FILING_STATUS=OR","EQY_CONSOLIDATED=Y","Sort=A","Dates=H","DateFormat=P","Fill=—","Direction=H","UseDPDF=Y")</f>
        <v>#NAME?</v>
      </c>
      <c r="AC203" s="2" t="e">
        <f ca="1">_xll.BDH($C$203,"ASSET_GROWTH","FY 2014","FY 2014","Currency=INR","Period=FY","BEST_FPERIOD_OVERRIDE=FY","FILING_STATUS=OR","EQY_CONSOLIDATED=Y","Sort=A","Dates=H","DateFormat=P","Fill=—","Direction=H","UseDPDF=Y")</f>
        <v>#NAME?</v>
      </c>
      <c r="AD203" s="2" t="e">
        <f ca="1">_xll.BDH($C$203,"MODIFIED_WORK_CAP_GROWTH","FY 2014","FY 2014","Currency=INR","Period=FY","BEST_FPERIOD_OVERRIDE=FY","FILING_STATUS=OR","EQY_CONSOLIDATED=Y","Sort=A","Dates=H","DateFormat=P","Fill=—","Direction=H","UseDPDF=Y")</f>
        <v>#NAME?</v>
      </c>
      <c r="AE203" s="2" t="e">
        <f ca="1">_xll.BDH($C$203,"WORK_CAP_GROWTH","FY 2014","FY 2014","Currency=INR","Period=FY","BEST_FPERIOD_OVERRIDE=FY","FILING_STATUS=OR","EQY_CONSOLIDATED=Y","Sort=A","Dates=H","DateFormat=P","Fill=—","Direction=H","UseDPDF=Y")</f>
        <v>#NAME?</v>
      </c>
      <c r="AF203" s="2" t="e">
        <f ca="1">_xll.BDH($C$203,"ACCOUNTS_PAYABLE_GROWTH_1YR","FY 2014","FY 2014","Currency=INR","Period=FY","BEST_FPERIOD_OVERRIDE=FY","FILING_STATUS=OR","EQY_CONSOLIDATED=Y","Sort=A","Dates=H","DateFormat=P","Fill=—","Direction=H","UseDPDF=Y")</f>
        <v>#NAME?</v>
      </c>
      <c r="AG203" s="2" t="e">
        <f ca="1">_xll.BDH($C$203,"SHORT_TERM_DEBT_1_YEAR_GROWTH","FY 2014","FY 2014","Currency=INR","Period=FY","BEST_FPERIOD_OVERRIDE=FY","FILING_STATUS=OR","EQY_CONSOLIDATED=Y","Sort=A","Dates=H","DateFormat=P","Fill=—","Direction=H","UseDPDF=Y")</f>
        <v>#NAME?</v>
      </c>
      <c r="AH203" s="2" t="e">
        <f ca="1">_xll.BDH($C$203,"TOTAL_DEBT_1_YEAR_GROWTH","FY 2014","FY 2014","Currency=INR","Period=FY","BEST_FPERIOD_OVERRIDE=FY","FILING_STATUS=OR","EQY_CONSOLIDATED=Y","Sort=A","Dates=H","DateFormat=P","Fill=—","Direction=H","UseDPDF=Y")</f>
        <v>#NAME?</v>
      </c>
      <c r="AI203" s="2" t="e">
        <f ca="1">_xll.BDH($C$203,"TOTAL_EQUITY_1_YEAR_GROWTH","FY 2014","FY 2014","Currency=INR","Period=FY","BEST_FPERIOD_OVERRIDE=FY","FILING_STATUS=OR","EQY_CONSOLIDATED=Y","Sort=A","Dates=H","DateFormat=P","Fill=—","Direction=H","UseDPDF=Y")</f>
        <v>#NAME?</v>
      </c>
      <c r="AJ203" s="2" t="e">
        <f ca="1">_xll.BDH($C$203,"GROWTH_IN_CAP","FY 2014","FY 2014","Currency=INR","Period=FY","BEST_FPERIOD_OVERRIDE=FY","FILING_STATUS=OR","EQY_CONSOLIDATED=Y","Sort=A","Dates=H","DateFormat=P","Fill=—","Direction=H","UseDPDF=Y")</f>
        <v>#NAME?</v>
      </c>
      <c r="AK203" s="2" t="e">
        <f ca="1">_xll.BDH($C$203,"BVPS_GROWTH","FY 2014","FY 2014","Currency=INR","Period=FY","BEST_FPERIOD_OVERRIDE=FY","FILING_STATUS=OR","EQY_CONSOLIDATED=Y","Sort=A","Dates=H","DateFormat=P","Fill=—","Direction=H","UseDPDF=Y")</f>
        <v>#NAME?</v>
      </c>
      <c r="AL203" s="2" t="e">
        <f ca="1">_xll.BDH($C$203,"CASH_FLOW_GROWTH","FY 2014","FY 2014","Currency=INR","Period=FY","BEST_FPERIOD_OVERRIDE=FY","FILING_STATUS=OR","EQY_CONSOLIDATED=Y","Sort=A","Dates=H","DateFormat=P","Fill=—","Direction=H","UseDPDF=Y")</f>
        <v>#NAME?</v>
      </c>
      <c r="AM203" s="2" t="e">
        <f ca="1">_xll.BDH($C$203,"GEO_GROW_NET_SALES","FY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203" s="2" t="e">
        <f ca="1">_xll.BDH($C$203,"GEO_GROW_EBITDA","FY 2014","FY 2014","Currency=INR","Period=FY","BEST_FPERIOD_OVERRIDE=FY","FILING_STATUS=OR","EQY_CONSOLIDATED=Y","FA_ADJUSTED=GAAP","Sort=A","Dates=H","DateFormat=P","Fill=—","Direction=H","UseDPDF=Y")</f>
        <v>#NAME?</v>
      </c>
      <c r="AO203" s="2" t="e">
        <f ca="1">_xll.BDH($C$203,"GEO_GROW_OPER_INC","FY 2014","FY 2014","Currency=INR","Period=FY","BEST_FPERIOD_OVERRIDE=FY","FILING_STATUS=OR","EQY_CONSOLIDATED=Y","FA_ADJUSTED=GAAP","Sort=A","Dates=H","DateFormat=P","Fill=—","Direction=H","UseDPDF=Y")</f>
        <v>#NAME?</v>
      </c>
      <c r="AP203" s="2" t="e">
        <f ca="1">_xll.BDH($C$203,"NET_INCOME_TO_COMMON_5_YR_GROWTH","FY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203" s="2" t="e">
        <f ca="1">_xll.BDH($C$203,"5Y_GEO_GROWTH_DILUTED_EPS","FY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203" s="2" t="e">
        <f ca="1">_xll.BDH($C$203,"GEO_GROW_DVD_PER_SH","FY 2014","FY 2014","Currency=INR","Period=FY","BEST_FPERIOD_OVERRIDE=FY","FILING_STATUS=OR","EQY_CONSOLIDATED=Y","Sort=A","Dates=H","DateFormat=P","Fill=—","Direction=H","UseDPDF=Y")</f>
        <v>#NAME?</v>
      </c>
      <c r="AS203" s="2" t="e">
        <f ca="1">_xll.BDH($C$203,"ACCOUNTS_RECEIVABLE_5_YR_GROWTH","FY 2014","FY 2014","Currency=INR","Period=FY","BEST_FPERIOD_OVERRIDE=FY","FILING_STATUS=OR","EQY_CONSOLIDATED=Y","Sort=A","Dates=H","DateFormat=P","Fill=—","Direction=H","UseDPDF=Y")</f>
        <v>#NAME?</v>
      </c>
      <c r="AT203" s="2" t="e">
        <f ca="1">_xll.BDH($C$203,"INVENTORY_5_YEAR_GROWTH","FY 2014","FY 2014","Currency=INR","Period=FY","BEST_FPERIOD_OVERRIDE=FY","FILING_STATUS=OR","EQY_CONSOLIDATED=Y","Sort=A","Dates=H","DateFormat=P","Fill=—","Direction=H","UseDPDF=Y")</f>
        <v>#NAME?</v>
      </c>
      <c r="AU203" s="2" t="e">
        <f ca="1">_xll.BDH($C$203,"NET_FIXED_ASSETS_5_YEAR_GROWTH","FY 2014","FY 2014","Currency=INR","Period=FY","BEST_FPERIOD_OVERRIDE=FY","FILING_STATUS=OR","EQY_CONSOLIDATED=Y","Sort=A","Dates=H","DateFormat=P","Fill=—","Direction=H","UseDPDF=Y")</f>
        <v>#NAME?</v>
      </c>
      <c r="AV203" s="2" t="e">
        <f ca="1">_xll.BDH($C$203,"GEO_GROW_TOT_ASSET","FY 2014","FY 2014","Currency=INR","Period=FY","BEST_FPERIOD_OVERRIDE=FY","FILING_STATUS=OR","EQY_CONSOLIDATED=Y","Sort=A","Dates=H","DateFormat=P","Fill=—","Direction=H","UseDPDF=Y")</f>
        <v>#NAME?</v>
      </c>
      <c r="AW203" s="2" t="e">
        <f ca="1">_xll.BDH($C$203,"MODIFIED_WORKING_CPTL_5YR_GRWTH","FY 2014","FY 2014","Currency=INR","Period=FY","BEST_FPERIOD_OVERRIDE=FY","FILING_STATUS=OR","EQY_CONSOLIDATED=Y","Sort=A","Dates=H","DateFormat=P","Fill=—","Direction=H","UseDPDF=Y")</f>
        <v>#NAME?</v>
      </c>
      <c r="AX203" s="2" t="e">
        <f ca="1">_xll.BDH($C$203,"WORKING_CAPITAL_5_YEAR_GROWTH","FY 2014","FY 2014","Currency=INR","Period=FY","BEST_FPERIOD_OVERRIDE=FY","FILING_STATUS=OR","EQY_CONSOLIDATED=Y","Sort=A","Dates=H","DateFormat=P","Fill=—","Direction=H","UseDPDF=Y")</f>
        <v>#NAME?</v>
      </c>
      <c r="AY203" s="2" t="e">
        <f ca="1">_xll.BDH($C$203,"ACCOUNTS_PAYABLE_5_YEAR_GROWTH","FY 2014","FY 2014","Currency=INR","Period=FY","BEST_FPERIOD_OVERRIDE=FY","FILING_STATUS=OR","EQY_CONSOLIDATED=Y","Sort=A","Dates=H","DateFormat=P","Fill=—","Direction=H","UseDPDF=Y")</f>
        <v>#NAME?</v>
      </c>
      <c r="AZ203" s="2" t="e">
        <f ca="1">_xll.BDH($C$203,"SHORT_TERM_DEBT_5_YEAR_GROWTH","FY 2014","FY 2014","Currency=INR","Period=FY","BEST_FPERIOD_OVERRIDE=FY","FILING_STATUS=OR","EQY_CONSOLIDATED=Y","Sort=A","Dates=H","DateFormat=P","Fill=—","Direction=H","UseDPDF=Y")</f>
        <v>#NAME?</v>
      </c>
      <c r="BA203" s="2" t="e">
        <f ca="1">_xll.BDH($C$203,"TOTAL_DEBT_5_YEAR_GROWTH","FY 2014","FY 2014","Currency=INR","Period=FY","BEST_FPERIOD_OVERRIDE=FY","FILING_STATUS=OR","EQY_CONSOLIDATED=Y","Sort=A","Dates=H","DateFormat=P","Fill=—","Direction=H","UseDPDF=Y")</f>
        <v>#NAME?</v>
      </c>
      <c r="BB203" s="2" t="e">
        <f ca="1">_xll.BDH($C$203,"GEO_GROW_TOT_SHRHLDR_EQY","FY 2014","FY 2014","Currency=INR","Period=FY","BEST_FPERIOD_OVERRIDE=FY","FILING_STATUS=OR","EQY_CONSOLIDATED=Y","Sort=A","Dates=H","DateFormat=P","Fill=—","Direction=H","UseDPDF=Y")</f>
        <v>#NAME?</v>
      </c>
      <c r="BC203" s="2" t="e">
        <f ca="1">_xll.BDH($C$203,"TOTAL_CAPITAL_5_YEAR_GROWTH","FY 2014","FY 2014","Currency=INR","Period=FY","BEST_FPERIOD_OVERRIDE=FY","FILING_STATUS=OR","EQY_CONSOLIDATED=Y","Sort=A","Dates=H","DateFormat=P","Fill=—","Direction=H","UseDPDF=Y")</f>
        <v>#NAME?</v>
      </c>
      <c r="BD203" s="2" t="e">
        <f ca="1">_xll.BDH($C$203,"GEO_GROW_BOOK_VAL","FY 2014","FY 2014","Currency=INR","Period=FY","BEST_FPERIOD_OVERRIDE=FY","FILING_STATUS=OR","EQY_CONSOLIDATED=Y","Sort=A","Dates=H","DateFormat=P","Fill=—","Direction=H","UseDPDF=Y")</f>
        <v>#NAME?</v>
      </c>
      <c r="BE203" s="2" t="e">
        <f ca="1">_xll.BDH($C$203,"GEO_GROW_CASH_OPER_ACT","FY 2014","FY 2014","Currency=INR","Period=FY","BEST_FPERIOD_OVERRIDE=FY","FILING_STATUS=OR","EQY_CONSOLIDATED=Y","Sort=A","Dates=H","DateFormat=P","Fill=—","Direction=H","UseDPDF=Y")</f>
        <v>#NAME?</v>
      </c>
      <c r="BF203" s="2" t="e">
        <f ca="1">_xll.BDH($C$203,"REVENUE_SEQUENTIAL_GROWTH","FY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203" s="2" t="e">
        <f ca="1">_xll.BDH($C$203,"EBITDA_SEQUENTIAL_GROWTH","FY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203" s="2" t="e">
        <f ca="1">_xll.BDH($C$203,"OPERATING_INCOME_SEQ_GROWTH","FY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203" s="2" t="e">
        <f ca="1">_xll.BDH($C$203,"NET_INCOME_TO_COMMON_SEQ_GROWTH","FY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203" s="2" t="e">
        <f ca="1">_xll.BDH($C$203,"EPS_DILUTED_SEQUENTIAL_GROWTH","FY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203" s="2" t="e">
        <f ca="1">_xll.BDH($C$203,"DPS_SEQUENTIAL_GROWTH","FY 2014","FY 2014","Currency=INR","Period=FY","BEST_FPERIOD_OVERRIDE=FY","FILING_STATUS=OR","EQY_CONSOLIDATED=Y","Sort=A","Dates=H","DateFormat=P","Fill=—","Direction=H","UseDPDF=Y")</f>
        <v>#NAME?</v>
      </c>
      <c r="BL203" s="2" t="e">
        <f ca="1">_xll.BDH($C$203,"ACCOUNTS_RECEIVABLE_SEQ_GROWTH","FY 2014","FY 2014","Currency=INR","Period=FY","BEST_FPERIOD_OVERRIDE=FY","FILING_STATUS=OR","EQY_CONSOLIDATED=Y","Sort=A","Dates=H","DateFormat=P","Fill=—","Direction=H","UseDPDF=Y")</f>
        <v>#NAME?</v>
      </c>
      <c r="BM203" s="2" t="e">
        <f ca="1">_xll.BDH($C$203,"INVENTORY_SEQUENTIAL_GROWTH","FY 2014","FY 2014","Currency=INR","Period=FY","BEST_FPERIOD_OVERRIDE=FY","FILING_STATUS=OR","EQY_CONSOLIDATED=Y","Sort=A","Dates=H","DateFormat=P","Fill=—","Direction=H","UseDPDF=Y")</f>
        <v>#NAME?</v>
      </c>
      <c r="BN203" s="2" t="e">
        <f ca="1">_xll.BDH($C$203,"FIXED_ASSETS_SEQUENTIAL_GROWTH","FY 2014","FY 2014","Currency=INR","Period=FY","BEST_FPERIOD_OVERRIDE=FY","FILING_STATUS=OR","EQY_CONSOLIDATED=Y","Sort=A","Dates=H","DateFormat=P","Fill=—","Direction=H","UseDPDF=Y")</f>
        <v>#NAME?</v>
      </c>
      <c r="BO203" s="2" t="e">
        <f ca="1">_xll.BDH($C$203,"TOTAL_ASSETS_SEQUENTIAL_GROWTH","FY 2014","FY 2014","Currency=INR","Period=FY","BEST_FPERIOD_OVERRIDE=FY","FILING_STATUS=OR","EQY_CONSOLIDATED=Y","Sort=A","Dates=H","DateFormat=P","Fill=—","Direction=H","UseDPDF=Y")</f>
        <v>#NAME?</v>
      </c>
      <c r="BP203" s="2" t="e">
        <f ca="1">_xll.BDH($C$203,"MODIFIED_WORKING_CPTL_SEQ_GRWTH","FY 2014","FY 2014","Currency=INR","Period=FY","BEST_FPERIOD_OVERRIDE=FY","FILING_STATUS=OR","EQY_CONSOLIDATED=Y","Sort=A","Dates=H","DateFormat=P","Fill=—","Direction=H","UseDPDF=Y")</f>
        <v>#NAME?</v>
      </c>
      <c r="BQ203" s="2" t="e">
        <f ca="1">_xll.BDH($C$203,"WORKING_CAPITAL_SEQ_GROWTH","FY 2014","FY 2014","Currency=INR","Period=FY","BEST_FPERIOD_OVERRIDE=FY","FILING_STATUS=OR","EQY_CONSOLIDATED=Y","Sort=A","Dates=H","DateFormat=P","Fill=—","Direction=H","UseDPDF=Y")</f>
        <v>#NAME?</v>
      </c>
      <c r="BR203" s="2" t="e">
        <f ca="1">_xll.BDH($C$203,"ACCOUNTS_PAYABLE_SEQ_GROWTH","FY 2014","FY 2014","Currency=INR","Period=FY","BEST_FPERIOD_OVERRIDE=FY","FILING_STATUS=OR","EQY_CONSOLIDATED=Y","Sort=A","Dates=H","DateFormat=P","Fill=—","Direction=H","UseDPDF=Y")</f>
        <v>#NAME?</v>
      </c>
      <c r="BS203" s="2" t="e">
        <f ca="1">_xll.BDH($C$203,"ST_DEBT_SEQUENTIAL_GROWTH","FY 2014","FY 2014","Currency=INR","Period=FY","BEST_FPERIOD_OVERRIDE=FY","FILING_STATUS=OR","EQY_CONSOLIDATED=Y","Sort=A","Dates=H","DateFormat=P","Fill=—","Direction=H","UseDPDF=Y")</f>
        <v>#NAME?</v>
      </c>
      <c r="BT203" s="2" t="e">
        <f ca="1">_xll.BDH($C$203,"TOTAL_DEBT_SEQUENTIAL_GROWTH","FY 2014","FY 2014","Currency=INR","Period=FY","BEST_FPERIOD_OVERRIDE=FY","FILING_STATUS=OR","EQY_CONSOLIDATED=Y","Sort=A","Dates=H","DateFormat=P","Fill=—","Direction=H","UseDPDF=Y")</f>
        <v>#NAME?</v>
      </c>
      <c r="BU203" s="2" t="e">
        <f ca="1">_xll.BDH($C$203,"TOTAL_EQUITY_SEQUENTIAL_GROWTH","FY 2014","FY 2014","Currency=INR","Period=FY","BEST_FPERIOD_OVERRIDE=FY","FILING_STATUS=OR","EQY_CONSOLIDATED=Y","Sort=A","Dates=H","DateFormat=P","Fill=—","Direction=H","UseDPDF=Y")</f>
        <v>#NAME?</v>
      </c>
      <c r="BV203" s="2" t="e">
        <f ca="1">_xll.BDH($C$203,"TOTAL_CAPITAL_SEQUENTIAL_GROWTH","FY 2014","FY 2014","Currency=INR","Period=FY","BEST_FPERIOD_OVERRIDE=FY","FILING_STATUS=OR","EQY_CONSOLIDATED=Y","Sort=A","Dates=H","DateFormat=P","Fill=—","Direction=H","UseDPDF=Y")</f>
        <v>#NAME?</v>
      </c>
      <c r="BW203" s="2" t="e">
        <f ca="1">_xll.BDH($C$203,"BPS_SEQUENTIAL_GROWTH","FY 2014","FY 2014","Currency=INR","Period=FY","BEST_FPERIOD_OVERRIDE=FY","FILING_STATUS=OR","EQY_CONSOLIDATED=Y","Sort=A","Dates=H","DateFormat=P","Fill=—","Direction=H","UseDPDF=Y")</f>
        <v>#NAME?</v>
      </c>
      <c r="BX203" s="2" t="e">
        <f ca="1">_xll.BDH($C$203,"CFO_SEQUENTIAL_GROWTH","FY 2014","FY 2014","Currency=INR","Period=FY","BEST_FPERIOD_OVERRIDE=FY","FILING_STATUS=OR","EQY_CONSOLIDATED=Y","Sort=A","Dates=H","DateFormat=P","Fill=—","Direction=H","UseDPDF=Y")</f>
        <v>#NAME?</v>
      </c>
      <c r="BY203" s="3" t="e">
        <f ca="1">_xll.BDH($C$203,"SHORT_AND_LONG_TERM_DEBT","FY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203" s="3" t="e">
        <f ca="1">_xll.BDH($C$203,"BS_ST_BORROW","FY 2014","FY 2014","Currency=INR","Period=FY","BEST_FPERIOD_OVERRIDE=FY","FILING_STATUS=OR","EQY_CONSOLIDATED=Y","SCALING_FORMAT=MLN","Sort=A","Dates=H","DateFormat=P","Fill=—","Direction=H","UseDPDF=Y")</f>
        <v>#NAME?</v>
      </c>
      <c r="CA203" s="3" t="e">
        <f ca="1">_xll.BDH($C$203,"BS_LT_BORROW","FY 2014","FY 2014","Currency=INR","Period=FY","BEST_FPERIOD_OVERRIDE=FY","FILING_STATUS=OR","EQY_CONSOLIDATED=Y","SCALING_FORMAT=MLN","Sort=A","Dates=H","DateFormat=P","Fill=—","Direction=H","UseDPDF=Y")</f>
        <v>#NAME?</v>
      </c>
      <c r="CB203" s="2" t="e">
        <f ca="1">_xll.BDH($C$203,"TOT_DEBT_TO_EBITDA","FY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203" s="2" t="e">
        <f ca="1">_xll.BDH($C$203,"NET_DEBT_TO_EBITDA","FY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203" s="2" t="e">
        <f ca="1">_xll.BDH($C$203,"TOTAL_DEBT_TO_EBIT","FY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203" s="2" t="e">
        <f ca="1">_xll.BDH($C$203,"NET_DEBT_TO_EBIT","FY 2014","FY 2014","Currency=INR","Period=FY","BEST_FPERIOD_OVERRIDE=FY","FILING_STATUS=OR","EQY_CONSOLIDATED=Y","FA_ADJUSTED=GAAP","Sort=A","Dates=H","DateFormat=P","Fill=—","Direction=H","UseDPDF=Y")</f>
        <v>#NAME?</v>
      </c>
      <c r="CF203" s="2" t="e">
        <f ca="1">_xll.BDH($C$203,"EBITDA_TO_INTEREST_EXPN","FY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203" s="2" t="e">
        <f ca="1">_xll.BDH($C$203,"COM_EQY_TO_TOT_ASSET","FY 2014","FY 2014","Currency=INR","Period=FY","BEST_FPERIOD_OVERRIDE=FY","FILING_STATUS=OR","EQY_CONSOLIDATED=Y","Sort=A","Dates=H","DateFormat=P","Fill=—","Direction=H","UseDPDF=Y")</f>
        <v>#NAME?</v>
      </c>
      <c r="CH203" s="2" t="e">
        <f ca="1">_xll.BDH($C$203,"LT_DEBT_TO_TOT_EQY","FY 2014","FY 2014","Currency=INR","Period=FY","BEST_FPERIOD_OVERRIDE=FY","FILING_STATUS=OR","EQY_CONSOLIDATED=Y","Sort=A","Dates=H","DateFormat=P","Fill=—","Direction=H","UseDPDF=Y")</f>
        <v>#NAME?</v>
      </c>
      <c r="CI203" s="2" t="e">
        <f ca="1">_xll.BDH($C$203,"LT_DEBT_TO_TOT_CAP","FY 2014","FY 2014","Currency=INR","Period=FY","BEST_FPERIOD_OVERRIDE=FY","FILING_STATUS=OR","EQY_CONSOLIDATED=Y","Sort=A","Dates=H","DateFormat=P","Fill=—","Direction=H","UseDPDF=Y")</f>
        <v>#NAME?</v>
      </c>
      <c r="CJ203" s="2" t="e">
        <f ca="1">_xll.BDH($C$203,"LT_DEBT_TO_TOT_ASSET","FY 2014","FY 2014","Currency=INR","Period=FY","BEST_FPERIOD_OVERRIDE=FY","FILING_STATUS=OR","EQY_CONSOLIDATED=Y","Sort=A","Dates=H","DateFormat=P","Fill=—","Direction=H","UseDPDF=Y")</f>
        <v>#NAME?</v>
      </c>
      <c r="CK203" s="2" t="e">
        <f ca="1">_xll.BDH($C$203,"TOT_DEBT_TO_TOT_EQY","FY 2014","FY 2014","Currency=INR","Period=FY","BEST_FPERIOD_OVERRIDE=FY","FILING_STATUS=OR","EQY_CONSOLIDATED=Y","Sort=A","Dates=H","DateFormat=P","Fill=—","Direction=H","UseDPDF=Y")</f>
        <v>#NAME?</v>
      </c>
      <c r="CL203" s="2" t="e">
        <f ca="1">_xll.BDH($C$203,"TOT_DEBT_TO_TOT_CAP","FY 2014","FY 2014","Currency=INR","Period=FY","BEST_FPERIOD_OVERRIDE=FY","FILING_STATUS=OR","EQY_CONSOLIDATED=Y","Sort=A","Dates=H","DateFormat=P","Fill=—","Direction=H","UseDPDF=Y")</f>
        <v>#NAME?</v>
      </c>
      <c r="CM203" s="2" t="e">
        <f ca="1">_xll.BDH($C$203,"TOT_DEBT_TO_TOT_ASSET","FY 2014","FY 2014","Currency=INR","Period=FY","BEST_FPERIOD_OVERRIDE=FY","FILING_STATUS=OR","EQY_CONSOLIDATED=Y","Sort=A","Dates=H","DateFormat=P","Fill=—","Direction=H","UseDPDF=Y")</f>
        <v>#NAME?</v>
      </c>
      <c r="CN203" s="2" t="e">
        <f ca="1">_xll.BDH($C$203,"NET_DEBT_TO_SHRHLDR_EQTY","FY 2014","FY 2014","Currency=INR","Period=FY","BEST_FPERIOD_OVERRIDE=FY","FILING_STATUS=OR","EQY_CONSOLIDATED=Y","Sort=A","Dates=H","DateFormat=P","Fill=—","Direction=H","UseDPDF=Y")</f>
        <v>#NAME?</v>
      </c>
      <c r="CO203" s="2" t="e">
        <f ca="1">_xll.BDH($C$203,"NET_DEBT_%_CAPITAL","FY 2014","FY 2014","Currency=INR","Period=FY","BEST_FPERIOD_OVERRIDE=FY","FILING_STATUS=OR","EQY_CONSOLIDATED=Y","Sort=A","Dates=H","DateFormat=P","Fill=—","Direction=H","UseDPDF=Y")</f>
        <v>#NAME?</v>
      </c>
      <c r="CP203" s="3" t="e">
        <f ca="1">_xll.BDH($C$203,"EBITDA","FY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203" s="3" t="e">
        <f ca="1">_xll.BDH($C$203,"EBITDA_AFTER_CAPEX","FY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203" s="3" t="e">
        <f ca="1">_xll.BDH($C$203,"IS_OPER_INC","FY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203" s="2" t="e">
        <f ca="1">_xll.BDH($C$203,"CASH_RATIO","FY 2014","FY 2014","Currency=INR","Period=FY","BEST_FPERIOD_OVERRIDE=FY","FILING_STATUS=OR","EQY_CONSOLIDATED=Y","Sort=A","Dates=H","DateFormat=P","Fill=—","Direction=H","UseDPDF=Y")</f>
        <v>#NAME?</v>
      </c>
      <c r="CT203" s="2" t="e">
        <f ca="1">_xll.BDH($C$203,"CUR_RATIO","FY 2014","FY 2014","Currency=INR","Period=FY","BEST_FPERIOD_OVERRIDE=FY","FILING_STATUS=OR","EQY_CONSOLIDATED=Y","Sort=A","Dates=H","DateFormat=P","Fill=—","Direction=H","UseDPDF=Y")</f>
        <v>#NAME?</v>
      </c>
      <c r="CU203" s="2" t="e">
        <f ca="1">_xll.BDH($C$203,"QUICK_RATIO","FY 2014","FY 2014","Currency=INR","Period=FY","BEST_FPERIOD_OVERRIDE=FY","FILING_STATUS=OR","EQY_CONSOLIDATED=Y","Sort=A","Dates=H","DateFormat=P","Fill=—","Direction=H","UseDPDF=Y")</f>
        <v>#NAME?</v>
      </c>
      <c r="CV203" s="2" t="e">
        <f ca="1">_xll.BDH($C$203,"ALTMAN_Z_SCORE","FY 2014","FY 2014","Currency=INR","Period=FY","BEST_FPERIOD_OVERRIDE=FY","FILING_STATUS=OR","EQY_CONSOLIDATED=Y","Sort=A","Dates=H","DateFormat=P","Fill=—","Direction=H","UseDPDF=Y")</f>
        <v>#NAME?</v>
      </c>
      <c r="CW203" s="4" t="e">
        <f ca="1">_xll.BDH($C$203,"ACCT_RCV_TURN","FY 2014","FY 2014","Currency=INR","Period=FY","BEST_FPERIOD_OVERRIDE=FY","FILING_STATUS=OR","EQY_CONSOLIDATED=Y","FA_ADJUSTED=GAAP","Sort=A","Dates=H","DateFormat=P","Fill=—","Direction=H","UseDPDF=Y")</f>
        <v>#NAME?</v>
      </c>
      <c r="CX203" s="2" t="e">
        <f ca="1">_xll.BDH($C$203,"ACCT_RCV_DAYS","FY 2014","FY 2014","Currency=INR","Period=FY","BEST_FPERIOD_OVERRIDE=FY","FILING_STATUS=OR","EQY_CONSOLIDATED=Y","FA_ADJUSTED=GAAP","Sort=A","Dates=H","DateFormat=P","Fill=—","Direction=H","UseDPDF=Y")</f>
        <v>#NAME?</v>
      </c>
      <c r="CY203" s="4" t="e">
        <f ca="1">_xll.BDH($C$203,"INVENT_TURN","FY 2014","FY 2014","Currency=INR","Period=FY","BEST_FPERIOD_OVERRIDE=FY","FILING_STATUS=OR","EQY_CONSOLIDATED=Y","FA_ADJUSTED=GAAP","Sort=A","Dates=H","DateFormat=P","Fill=—","Direction=H","UseDPDF=Y")</f>
        <v>#NAME?</v>
      </c>
      <c r="CZ203" s="2" t="e">
        <f ca="1">_xll.BDH($C$203,"INVENT_DAYS","FY 2014","FY 2014","Currency=INR","Period=FY","BEST_FPERIOD_OVERRIDE=FY","FILING_STATUS=OR","EQY_CONSOLIDATED=Y","FA_ADJUSTED=GAAP","Sort=A","Dates=H","DateFormat=P","Fill=—","Direction=H","UseDPDF=Y")</f>
        <v>#NAME?</v>
      </c>
      <c r="DA203" s="4" t="e">
        <f ca="1">_xll.BDH($C$203,"ACCOUNTS_PAYABLE_TURNOVER","FY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203" s="2" t="e">
        <f ca="1">_xll.BDH($C$203,"ACCOUNTS_PAYABLE_TURNOVER_DAYS","FY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203" s="4" t="e">
        <f ca="1">_xll.BDH($C$203,"CASH_CONVERSION_CYCLE","FY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203" s="4" t="e">
        <f ca="1">_xll.BDH($C$203,"INV_TO_CASH_DAYS","FY 2014","FY 2014","Currency=INR","Period=FY","BEST_FPERIOD_OVERRIDE=FY","FILING_STATUS=OR","EQY_CONSOLIDATED=Y","FA_ADJUSTED=GAAP","Sort=A","Dates=H","DateFormat=P","Fill=—","Direction=H","UseDPDF=Y")</f>
        <v>#NAME?</v>
      </c>
      <c r="DE203" s="5" t="e">
        <f ca="1">_xll.BDH($C$203,"BS_INVENTORIES","FY 2014","FY 2014","Currency=INR","Period=FY","BEST_FPERIOD_OVERRIDE=FY","FILING_STATUS=OR","EQY_CONSOLIDATED=Y","SCALING_FORMAT=MLN","Sort=A","Dates=H","DateFormat=P","Fill=—","Direction=H","UseDPDF=Y")</f>
        <v>#NAME?</v>
      </c>
      <c r="DF203" s="3" t="e">
        <f ca="1">_xll.BDH($C$203,"INVTRY_RAW_MATERIALS","FY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203" s="3" t="e">
        <f ca="1">_xll.BDH($C$203,"INVTRY_IN_PROGRESS","FY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203" s="3" t="e">
        <f ca="1">_xll.BDH($C$203,"INVTRY_FINISHED_GOODS","FY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203" s="3" t="e">
        <f ca="1">_xll.BDH($C$203,"BS_OTHER_INV","FY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204" spans="1:113" x14ac:dyDescent="0.3">
      <c r="A204" s="6"/>
      <c r="B204" s="6"/>
      <c r="C204" s="6"/>
      <c r="D204" s="6"/>
      <c r="E204" t="s">
        <v>78</v>
      </c>
      <c r="F204" t="e">
        <f ca="1">_xll.BDH($C$203,"RETURN_COM_EQY","FQ1 2014","FQ1 2014","Currency=INR","Period=FQ","BEST_FPERIOD_OVERRIDE=FQ","FILING_STATUS=OR","EQY_CONSOLIDATED=Y","FA_ADJUSTED=GAAP","Sort=A","Dates=H","DateFormat=P","Fill=—","Direction=H","UseDPDF=Y")</f>
        <v>#NAME?</v>
      </c>
      <c r="G204" t="e">
        <f ca="1">_xll.BDH($C$203,"RETURN_ON_ASSET","FQ1 2014","FQ1 2014","Currency=INR","Period=FQ","BEST_FPERIOD_OVERRIDE=FQ","FILING_STATUS=OR","EQY_CONSOLIDATED=Y","FA_ADJUSTED=GAAP","Sort=A","Dates=H","DateFormat=P","Fill=—","Direction=H","UseDPDF=Y")</f>
        <v>#NAME?</v>
      </c>
      <c r="H204" t="e">
        <f ca="1">_xll.BDH($C$203,"RETURN_ON_CAP","FQ1 2014","FQ1 2014","Currency=INR","Period=FQ","BEST_FPERIOD_OVERRIDE=FQ","FILING_STATUS=OR","EQY_CONSOLIDATED=Y","FA_ADJUSTED=GAAP","Sort=A","Dates=H","DateFormat=P","Fill=—","Direction=H","UseDPDF=Y")</f>
        <v>#NAME?</v>
      </c>
      <c r="I204" t="e">
        <f ca="1">_xll.BDH($C$203,"RETURN_ON_INV_CAPITAL","FQ1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204" t="e">
        <f ca="1">_xll.BDH($C$203,"EBITDA_TO_REVENUE","FQ1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204" t="e">
        <f ca="1">_xll.BDH($C$203,"OPER_MARGIN","FQ1 2014","FQ1 2014","Currency=INR","Period=FQ","BEST_FPERIOD_OVERRIDE=FQ","FILING_STATUS=OR","EQY_CONSOLIDATED=Y","FA_ADJUSTED=GAAP","Sort=A","Dates=H","DateFormat=P","Fill=—","Direction=H","UseDPDF=Y")</f>
        <v>#NAME?</v>
      </c>
      <c r="L204" t="e">
        <f ca="1">_xll.BDH($C$203,"INCREMENTAL_OPERATING_MARGIN","FQ1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204" t="e">
        <f ca="1">_xll.BDH($C$203,"PRETAX_INC_TO_NET_SALES","FQ1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204" t="e">
        <f ca="1">_xll.BDH($C$203,"INC_BEF_XO_ITEMS_TO_NET_SALES","FQ1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204" t="e">
        <f ca="1">_xll.BDH($C$203,"PROF_MARGIN","FQ1 2014","FQ1 2014","Currency=INR","Period=FQ","BEST_FPERIOD_OVERRIDE=FQ","FILING_STATUS=OR","EQY_CONSOLIDATED=Y","FA_ADJUSTED=GAAP","Sort=A","Dates=H","DateFormat=P","Fill=—","Direction=H","UseDPDF=Y")</f>
        <v>#NAME?</v>
      </c>
      <c r="P204" t="e">
        <f ca="1">_xll.BDH($C$203,"NET_INCOME_TO_COMMON_MARGIN","FQ1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204" t="e">
        <f ca="1">_xll.BDH($C$203,"EFF_TAX_RATE","FQ1 2014","FQ1 2014","Currency=INR","Period=FQ","BEST_FPERIOD_OVERRIDE=FQ","FILING_STATUS=OR","EQY_CONSOLIDATED=Y","FA_ADJUSTED=GAAP","Sort=A","Dates=H","DateFormat=P","Fill=—","Direction=H","UseDPDF=Y")</f>
        <v>#NAME?</v>
      </c>
      <c r="R204" t="e">
        <f ca="1">_xll.BDH($C$203,"DVD_PAYOUT_RATIO","FQ1 2014","FQ1 2014","Currency=INR","Period=FQ","BEST_FPERIOD_OVERRIDE=FQ","FILING_STATUS=OR","EQY_CONSOLIDATED=Y","FA_ADJUSTED=GAAP","Sort=A","Dates=H","DateFormat=P","Fill=—","Direction=H","UseDPDF=Y")</f>
        <v>#NAME?</v>
      </c>
      <c r="S204" t="e">
        <f ca="1">_xll.BDH($C$203,"SUSTAIN_GROWTH_RT","FQ1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204" s="2" t="e">
        <f ca="1">_xll.BDH($C$203,"SALES_GROWTH","FQ1 2014","FQ1 2014","Currency=INR","Period=FQ","BEST_FPERIOD_OVERRIDE=FQ","FILING_STATUS=OR","EQY_CONSOLIDATED=Y","FA_ADJUSTED=GAAP","Sort=A","Dates=H","DateFormat=P","Fill=—","Direction=H","UseDPDF=Y")</f>
        <v>#NAME?</v>
      </c>
      <c r="U204" s="2" t="e">
        <f ca="1">_xll.BDH($C$203,"EBITDA_GROWTH","FQ1 2014","FQ1 2014","Currency=INR","Period=FQ","BEST_FPERIOD_OVERRIDE=FQ","FILING_STATUS=OR","EQY_CONSOLIDATED=Y","FA_ADJUSTED=GAAP","Sort=A","Dates=H","DateFormat=P","Fill=—","Direction=H","UseDPDF=Y")</f>
        <v>#NAME?</v>
      </c>
      <c r="V204" s="2" t="e">
        <f ca="1">_xll.BDH($C$203,"OPER_INC_GROWTH","FQ1 2014","FQ1 2014","Currency=INR","Period=FQ","BEST_FPERIOD_OVERRIDE=FQ","FILING_STATUS=OR","EQY_CONSOLIDATED=Y","FA_ADJUSTED=GAAP","Sort=A","Dates=H","DateFormat=P","Fill=—","Direction=H","UseDPDF=Y")</f>
        <v>#NAME?</v>
      </c>
      <c r="W204" s="2" t="e">
        <f ca="1">_xll.BDH($C$203,"EARN_FOR_COM_GROWTH","FQ1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204" s="2" t="e">
        <f ca="1">_xll.BDH($C$203,"DILUTED_EPS_AFT_XO_ITEMS_GROWTH","FQ1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204" s="2" t="e">
        <f ca="1">_xll.BDH($C$203,"DIVIDEND_PER_SHARE_1_YEAR_GROWTH","FQ1 2014","FQ1 2014","Currency=INR","Period=FQ","BEST_FPERIOD_OVERRIDE=FQ","FILING_STATUS=OR","EQY_CONSOLIDATED=Y","Sort=A","Dates=H","DateFormat=P","Fill=—","Direction=H","UseDPDF=Y")</f>
        <v>#NAME?</v>
      </c>
      <c r="Z204" s="2" t="e">
        <f ca="1">_xll.BDH($C$203,"ACCOUNTS_RECEIVABLE_GROWTH","FQ1 2014","FQ1 2014","Currency=INR","Period=FQ","BEST_FPERIOD_OVERRIDE=FQ","FILING_STATUS=OR","EQY_CONSOLIDATED=Y","Sort=A","Dates=H","DateFormat=P","Fill=—","Direction=H","UseDPDF=Y")</f>
        <v>#NAME?</v>
      </c>
      <c r="AA204" s="2" t="e">
        <f ca="1">_xll.BDH($C$203,"INVENTORY_GROWTH","FQ1 2014","FQ1 2014","Currency=INR","Period=FQ","BEST_FPERIOD_OVERRIDE=FQ","FILING_STATUS=OR","EQY_CONSOLIDATED=Y","Sort=A","Dates=H","DateFormat=P","Fill=—","Direction=H","UseDPDF=Y")</f>
        <v>#NAME?</v>
      </c>
      <c r="AB204" s="2" t="e">
        <f ca="1">_xll.BDH($C$203,"NET_FIXED_ASSETS_1_YEAR_GROWTH","FQ1 2014","FQ1 2014","Currency=INR","Period=FQ","BEST_FPERIOD_OVERRIDE=FQ","FILING_STATUS=OR","EQY_CONSOLIDATED=Y","Sort=A","Dates=H","DateFormat=P","Fill=—","Direction=H","UseDPDF=Y")</f>
        <v>#NAME?</v>
      </c>
      <c r="AC204" s="2" t="e">
        <f ca="1">_xll.BDH($C$203,"ASSET_GROWTH","FQ1 2014","FQ1 2014","Currency=INR","Period=FQ","BEST_FPERIOD_OVERRIDE=FQ","FILING_STATUS=OR","EQY_CONSOLIDATED=Y","Sort=A","Dates=H","DateFormat=P","Fill=—","Direction=H","UseDPDF=Y")</f>
        <v>#NAME?</v>
      </c>
      <c r="AD204" s="2" t="e">
        <f ca="1">_xll.BDH($C$203,"MODIFIED_WORK_CAP_GROWTH","FQ1 2014","FQ1 2014","Currency=INR","Period=FQ","BEST_FPERIOD_OVERRIDE=FQ","FILING_STATUS=OR","EQY_CONSOLIDATED=Y","Sort=A","Dates=H","DateFormat=P","Fill=—","Direction=H","UseDPDF=Y")</f>
        <v>#NAME?</v>
      </c>
      <c r="AE204" s="2" t="e">
        <f ca="1">_xll.BDH($C$203,"WORK_CAP_GROWTH","FQ1 2014","FQ1 2014","Currency=INR","Period=FQ","BEST_FPERIOD_OVERRIDE=FQ","FILING_STATUS=OR","EQY_CONSOLIDATED=Y","Sort=A","Dates=H","DateFormat=P","Fill=—","Direction=H","UseDPDF=Y")</f>
        <v>#NAME?</v>
      </c>
      <c r="AF204" s="2" t="e">
        <f ca="1">_xll.BDH($C$203,"ACCOUNTS_PAYABLE_GROWTH_1YR","FQ1 2014","FQ1 2014","Currency=INR","Period=FQ","BEST_FPERIOD_OVERRIDE=FQ","FILING_STATUS=OR","EQY_CONSOLIDATED=Y","Sort=A","Dates=H","DateFormat=P","Fill=—","Direction=H","UseDPDF=Y")</f>
        <v>#NAME?</v>
      </c>
      <c r="AG204" s="2" t="e">
        <f ca="1">_xll.BDH($C$203,"SHORT_TERM_DEBT_1_YEAR_GROWTH","FQ1 2014","FQ1 2014","Currency=INR","Period=FQ","BEST_FPERIOD_OVERRIDE=FQ","FILING_STATUS=OR","EQY_CONSOLIDATED=Y","Sort=A","Dates=H","DateFormat=P","Fill=—","Direction=H","UseDPDF=Y")</f>
        <v>#NAME?</v>
      </c>
      <c r="AH204" s="2" t="e">
        <f ca="1">_xll.BDH($C$203,"TOTAL_DEBT_1_YEAR_GROWTH","FQ1 2014","FQ1 2014","Currency=INR","Period=FQ","BEST_FPERIOD_OVERRIDE=FQ","FILING_STATUS=OR","EQY_CONSOLIDATED=Y","Sort=A","Dates=H","DateFormat=P","Fill=—","Direction=H","UseDPDF=Y")</f>
        <v>#NAME?</v>
      </c>
      <c r="AI204" s="2" t="e">
        <f ca="1">_xll.BDH($C$203,"TOTAL_EQUITY_1_YEAR_GROWTH","FQ1 2014","FQ1 2014","Currency=INR","Period=FQ","BEST_FPERIOD_OVERRIDE=FQ","FILING_STATUS=OR","EQY_CONSOLIDATED=Y","Sort=A","Dates=H","DateFormat=P","Fill=—","Direction=H","UseDPDF=Y")</f>
        <v>#NAME?</v>
      </c>
      <c r="AJ204" s="2" t="e">
        <f ca="1">_xll.BDH($C$203,"GROWTH_IN_CAP","FQ1 2014","FQ1 2014","Currency=INR","Period=FQ","BEST_FPERIOD_OVERRIDE=FQ","FILING_STATUS=OR","EQY_CONSOLIDATED=Y","Sort=A","Dates=H","DateFormat=P","Fill=—","Direction=H","UseDPDF=Y")</f>
        <v>#NAME?</v>
      </c>
      <c r="AK204" s="2" t="e">
        <f ca="1">_xll.BDH($C$203,"BVPS_GROWTH","FQ1 2014","FQ1 2014","Currency=INR","Period=FQ","BEST_FPERIOD_OVERRIDE=FQ","FILING_STATUS=OR","EQY_CONSOLIDATED=Y","Sort=A","Dates=H","DateFormat=P","Fill=—","Direction=H","UseDPDF=Y")</f>
        <v>#NAME?</v>
      </c>
      <c r="AL204" s="2" t="e">
        <f ca="1">_xll.BDH($C$203,"CASH_FLOW_GROWTH","FQ1 2014","FQ1 2014","Currency=INR","Period=FQ","BEST_FPERIOD_OVERRIDE=FQ","FILING_STATUS=OR","EQY_CONSOLIDATED=Y","Sort=A","Dates=H","DateFormat=P","Fill=—","Direction=H","UseDPDF=Y")</f>
        <v>#NAME?</v>
      </c>
      <c r="AM204" s="2" t="e">
        <f ca="1">_xll.BDH($C$203,"GEO_GROW_NET_SALES","FQ1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204" s="2" t="e">
        <f ca="1">_xll.BDH($C$203,"GEO_GROW_EBITDA","FQ1 2014","FQ1 2014","Currency=INR","Period=FQ","BEST_FPERIOD_OVERRIDE=FQ","FILING_STATUS=OR","EQY_CONSOLIDATED=Y","FA_ADJUSTED=GAAP","Sort=A","Dates=H","DateFormat=P","Fill=—","Direction=H","UseDPDF=Y")</f>
        <v>#NAME?</v>
      </c>
      <c r="AO204" s="2" t="e">
        <f ca="1">_xll.BDH($C$203,"GEO_GROW_OPER_INC","FQ1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204" s="2" t="e">
        <f ca="1">_xll.BDH($C$203,"NET_INCOME_TO_COMMON_5_YR_GROWTH","FQ1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204" s="2" t="e">
        <f ca="1">_xll.BDH($C$203,"5Y_GEO_GROWTH_DILUTED_EPS","FQ1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204" s="2" t="e">
        <f ca="1">_xll.BDH($C$203,"GEO_GROW_DVD_PER_SH","FQ1 2014","FQ1 2014","Currency=INR","Period=FQ","BEST_FPERIOD_OVERRIDE=FQ","FILING_STATUS=OR","EQY_CONSOLIDATED=Y","Sort=A","Dates=H","DateFormat=P","Fill=—","Direction=H","UseDPDF=Y")</f>
        <v>#NAME?</v>
      </c>
      <c r="AS204" s="2" t="e">
        <f ca="1">_xll.BDH($C$203,"ACCOUNTS_RECEIVABLE_5_YR_GROWTH","FQ1 2014","FQ1 2014","Currency=INR","Period=FQ","BEST_FPERIOD_OVERRIDE=FQ","FILING_STATUS=OR","EQY_CONSOLIDATED=Y","Sort=A","Dates=H","DateFormat=P","Fill=—","Direction=H","UseDPDF=Y")</f>
        <v>#NAME?</v>
      </c>
      <c r="AT204" s="2" t="e">
        <f ca="1">_xll.BDH($C$203,"INVENTORY_5_YEAR_GROWTH","FQ1 2014","FQ1 2014","Currency=INR","Period=FQ","BEST_FPERIOD_OVERRIDE=FQ","FILING_STATUS=OR","EQY_CONSOLIDATED=Y","Sort=A","Dates=H","DateFormat=P","Fill=—","Direction=H","UseDPDF=Y")</f>
        <v>#NAME?</v>
      </c>
      <c r="AU204" s="2" t="e">
        <f ca="1">_xll.BDH($C$203,"NET_FIXED_ASSETS_5_YEAR_GROWTH","FQ1 2014","FQ1 2014","Currency=INR","Period=FQ","BEST_FPERIOD_OVERRIDE=FQ","FILING_STATUS=OR","EQY_CONSOLIDATED=Y","Sort=A","Dates=H","DateFormat=P","Fill=—","Direction=H","UseDPDF=Y")</f>
        <v>#NAME?</v>
      </c>
      <c r="AV204" s="2" t="e">
        <f ca="1">_xll.BDH($C$203,"GEO_GROW_TOT_ASSET","FQ1 2014","FQ1 2014","Currency=INR","Period=FQ","BEST_FPERIOD_OVERRIDE=FQ","FILING_STATUS=OR","EQY_CONSOLIDATED=Y","Sort=A","Dates=H","DateFormat=P","Fill=—","Direction=H","UseDPDF=Y")</f>
        <v>#NAME?</v>
      </c>
      <c r="AW204" s="2" t="e">
        <f ca="1">_xll.BDH($C$203,"MODIFIED_WORKING_CPTL_5YR_GRWTH","FQ1 2014","FQ1 2014","Currency=INR","Period=FQ","BEST_FPERIOD_OVERRIDE=FQ","FILING_STATUS=OR","EQY_CONSOLIDATED=Y","Sort=A","Dates=H","DateFormat=P","Fill=—","Direction=H","UseDPDF=Y")</f>
        <v>#NAME?</v>
      </c>
      <c r="AX204" s="2" t="e">
        <f ca="1">_xll.BDH($C$203,"WORKING_CAPITAL_5_YEAR_GROWTH","FQ1 2014","FQ1 2014","Currency=INR","Period=FQ","BEST_FPERIOD_OVERRIDE=FQ","FILING_STATUS=OR","EQY_CONSOLIDATED=Y","Sort=A","Dates=H","DateFormat=P","Fill=—","Direction=H","UseDPDF=Y")</f>
        <v>#NAME?</v>
      </c>
      <c r="AY204" s="2" t="e">
        <f ca="1">_xll.BDH($C$203,"ACCOUNTS_PAYABLE_5_YEAR_GROWTH","FQ1 2014","FQ1 2014","Currency=INR","Period=FQ","BEST_FPERIOD_OVERRIDE=FQ","FILING_STATUS=OR","EQY_CONSOLIDATED=Y","Sort=A","Dates=H","DateFormat=P","Fill=—","Direction=H","UseDPDF=Y")</f>
        <v>#NAME?</v>
      </c>
      <c r="AZ204" s="2" t="e">
        <f ca="1">_xll.BDH($C$203,"SHORT_TERM_DEBT_5_YEAR_GROWTH","FQ1 2014","FQ1 2014","Currency=INR","Period=FQ","BEST_FPERIOD_OVERRIDE=FQ","FILING_STATUS=OR","EQY_CONSOLIDATED=Y","Sort=A","Dates=H","DateFormat=P","Fill=—","Direction=H","UseDPDF=Y")</f>
        <v>#NAME?</v>
      </c>
      <c r="BA204" s="2" t="e">
        <f ca="1">_xll.BDH($C$203,"TOTAL_DEBT_5_YEAR_GROWTH","FQ1 2014","FQ1 2014","Currency=INR","Period=FQ","BEST_FPERIOD_OVERRIDE=FQ","FILING_STATUS=OR","EQY_CONSOLIDATED=Y","Sort=A","Dates=H","DateFormat=P","Fill=—","Direction=H","UseDPDF=Y")</f>
        <v>#NAME?</v>
      </c>
      <c r="BB204" s="2" t="e">
        <f ca="1">_xll.BDH($C$203,"GEO_GROW_TOT_SHRHLDR_EQY","FQ1 2014","FQ1 2014","Currency=INR","Period=FQ","BEST_FPERIOD_OVERRIDE=FQ","FILING_STATUS=OR","EQY_CONSOLIDATED=Y","Sort=A","Dates=H","DateFormat=P","Fill=—","Direction=H","UseDPDF=Y")</f>
        <v>#NAME?</v>
      </c>
      <c r="BC204" s="2" t="e">
        <f ca="1">_xll.BDH($C$203,"TOTAL_CAPITAL_5_YEAR_GROWTH","FQ1 2014","FQ1 2014","Currency=INR","Period=FQ","BEST_FPERIOD_OVERRIDE=FQ","FILING_STATUS=OR","EQY_CONSOLIDATED=Y","Sort=A","Dates=H","DateFormat=P","Fill=—","Direction=H","UseDPDF=Y")</f>
        <v>#NAME?</v>
      </c>
      <c r="BD204" s="2" t="e">
        <f ca="1">_xll.BDH($C$203,"GEO_GROW_BOOK_VAL","FQ1 2014","FQ1 2014","Currency=INR","Period=FQ","BEST_FPERIOD_OVERRIDE=FQ","FILING_STATUS=OR","EQY_CONSOLIDATED=Y","Sort=A","Dates=H","DateFormat=P","Fill=—","Direction=H","UseDPDF=Y")</f>
        <v>#NAME?</v>
      </c>
      <c r="BE204" s="2" t="e">
        <f ca="1">_xll.BDH($C$203,"GEO_GROW_CASH_OPER_ACT","FQ1 2014","FQ1 2014","Currency=INR","Period=FQ","BEST_FPERIOD_OVERRIDE=FQ","FILING_STATUS=OR","EQY_CONSOLIDATED=Y","Sort=A","Dates=H","DateFormat=P","Fill=—","Direction=H","UseDPDF=Y")</f>
        <v>#NAME?</v>
      </c>
      <c r="BF204" s="2" t="e">
        <f ca="1">_xll.BDH($C$203,"REVENUE_SEQUENTIAL_GROWTH","FQ1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204" s="2" t="e">
        <f ca="1">_xll.BDH($C$203,"EBITDA_SEQUENTIAL_GROWTH","FQ1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204" s="2" t="e">
        <f ca="1">_xll.BDH($C$203,"OPERATING_INCOME_SEQ_GROWTH","FQ1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204" s="2" t="e">
        <f ca="1">_xll.BDH($C$203,"NET_INCOME_TO_COMMON_SEQ_GROWTH","FQ1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204" s="2" t="e">
        <f ca="1">_xll.BDH($C$203,"EPS_DILUTED_SEQUENTIAL_GROWTH","FQ1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204" s="2" t="e">
        <f ca="1">_xll.BDH($C$203,"DPS_SEQUENTIAL_GROWTH","FQ1 2014","FQ1 2014","Currency=INR","Period=FQ","BEST_FPERIOD_OVERRIDE=FQ","FILING_STATUS=OR","EQY_CONSOLIDATED=Y","Sort=A","Dates=H","DateFormat=P","Fill=—","Direction=H","UseDPDF=Y")</f>
        <v>#NAME?</v>
      </c>
      <c r="BL204" s="2" t="e">
        <f ca="1">_xll.BDH($C$203,"ACCOUNTS_RECEIVABLE_SEQ_GROWTH","FQ1 2014","FQ1 2014","Currency=INR","Period=FQ","BEST_FPERIOD_OVERRIDE=FQ","FILING_STATUS=OR","EQY_CONSOLIDATED=Y","Sort=A","Dates=H","DateFormat=P","Fill=—","Direction=H","UseDPDF=Y")</f>
        <v>#NAME?</v>
      </c>
      <c r="BM204" s="2" t="e">
        <f ca="1">_xll.BDH($C$203,"INVENTORY_SEQUENTIAL_GROWTH","FQ1 2014","FQ1 2014","Currency=INR","Period=FQ","BEST_FPERIOD_OVERRIDE=FQ","FILING_STATUS=OR","EQY_CONSOLIDATED=Y","Sort=A","Dates=H","DateFormat=P","Fill=—","Direction=H","UseDPDF=Y")</f>
        <v>#NAME?</v>
      </c>
      <c r="BN204" s="2" t="e">
        <f ca="1">_xll.BDH($C$203,"FIXED_ASSETS_SEQUENTIAL_GROWTH","FQ1 2014","FQ1 2014","Currency=INR","Period=FQ","BEST_FPERIOD_OVERRIDE=FQ","FILING_STATUS=OR","EQY_CONSOLIDATED=Y","Sort=A","Dates=H","DateFormat=P","Fill=—","Direction=H","UseDPDF=Y")</f>
        <v>#NAME?</v>
      </c>
      <c r="BO204" s="2" t="e">
        <f ca="1">_xll.BDH($C$203,"TOTAL_ASSETS_SEQUENTIAL_GROWTH","FQ1 2014","FQ1 2014","Currency=INR","Period=FQ","BEST_FPERIOD_OVERRIDE=FQ","FILING_STATUS=OR","EQY_CONSOLIDATED=Y","Sort=A","Dates=H","DateFormat=P","Fill=—","Direction=H","UseDPDF=Y")</f>
        <v>#NAME?</v>
      </c>
      <c r="BP204" s="2" t="e">
        <f ca="1">_xll.BDH($C$203,"MODIFIED_WORKING_CPTL_SEQ_GRWTH","FQ1 2014","FQ1 2014","Currency=INR","Period=FQ","BEST_FPERIOD_OVERRIDE=FQ","FILING_STATUS=OR","EQY_CONSOLIDATED=Y","Sort=A","Dates=H","DateFormat=P","Fill=—","Direction=H","UseDPDF=Y")</f>
        <v>#NAME?</v>
      </c>
      <c r="BQ204" s="2" t="e">
        <f ca="1">_xll.BDH($C$203,"WORKING_CAPITAL_SEQ_GROWTH","FQ1 2014","FQ1 2014","Currency=INR","Period=FQ","BEST_FPERIOD_OVERRIDE=FQ","FILING_STATUS=OR","EQY_CONSOLIDATED=Y","Sort=A","Dates=H","DateFormat=P","Fill=—","Direction=H","UseDPDF=Y")</f>
        <v>#NAME?</v>
      </c>
      <c r="BR204" s="2" t="e">
        <f ca="1">_xll.BDH($C$203,"ACCOUNTS_PAYABLE_SEQ_GROWTH","FQ1 2014","FQ1 2014","Currency=INR","Period=FQ","BEST_FPERIOD_OVERRIDE=FQ","FILING_STATUS=OR","EQY_CONSOLIDATED=Y","Sort=A","Dates=H","DateFormat=P","Fill=—","Direction=H","UseDPDF=Y")</f>
        <v>#NAME?</v>
      </c>
      <c r="BS204" s="2" t="e">
        <f ca="1">_xll.BDH($C$203,"ST_DEBT_SEQUENTIAL_GROWTH","FQ1 2014","FQ1 2014","Currency=INR","Period=FQ","BEST_FPERIOD_OVERRIDE=FQ","FILING_STATUS=OR","EQY_CONSOLIDATED=Y","Sort=A","Dates=H","DateFormat=P","Fill=—","Direction=H","UseDPDF=Y")</f>
        <v>#NAME?</v>
      </c>
      <c r="BT204" s="2" t="e">
        <f ca="1">_xll.BDH($C$203,"TOTAL_DEBT_SEQUENTIAL_GROWTH","FQ1 2014","FQ1 2014","Currency=INR","Period=FQ","BEST_FPERIOD_OVERRIDE=FQ","FILING_STATUS=OR","EQY_CONSOLIDATED=Y","Sort=A","Dates=H","DateFormat=P","Fill=—","Direction=H","UseDPDF=Y")</f>
        <v>#NAME?</v>
      </c>
      <c r="BU204" s="2" t="e">
        <f ca="1">_xll.BDH($C$203,"TOTAL_EQUITY_SEQUENTIAL_GROWTH","FQ1 2014","FQ1 2014","Currency=INR","Period=FQ","BEST_FPERIOD_OVERRIDE=FQ","FILING_STATUS=OR","EQY_CONSOLIDATED=Y","Sort=A","Dates=H","DateFormat=P","Fill=—","Direction=H","UseDPDF=Y")</f>
        <v>#NAME?</v>
      </c>
      <c r="BV204" s="2" t="e">
        <f ca="1">_xll.BDH($C$203,"TOTAL_CAPITAL_SEQUENTIAL_GROWTH","FQ1 2014","FQ1 2014","Currency=INR","Period=FQ","BEST_FPERIOD_OVERRIDE=FQ","FILING_STATUS=OR","EQY_CONSOLIDATED=Y","Sort=A","Dates=H","DateFormat=P","Fill=—","Direction=H","UseDPDF=Y")</f>
        <v>#NAME?</v>
      </c>
      <c r="BW204" s="2" t="e">
        <f ca="1">_xll.BDH($C$203,"BPS_SEQUENTIAL_GROWTH","FQ1 2014","FQ1 2014","Currency=INR","Period=FQ","BEST_FPERIOD_OVERRIDE=FQ","FILING_STATUS=OR","EQY_CONSOLIDATED=Y","Sort=A","Dates=H","DateFormat=P","Fill=—","Direction=H","UseDPDF=Y")</f>
        <v>#NAME?</v>
      </c>
      <c r="BX204" s="2" t="e">
        <f ca="1">_xll.BDH($C$203,"CFO_SEQUENTIAL_GROWTH","FQ1 2014","FQ1 2014","Currency=INR","Period=FQ","BEST_FPERIOD_OVERRIDE=FQ","FILING_STATUS=OR","EQY_CONSOLIDATED=Y","Sort=A","Dates=H","DateFormat=P","Fill=—","Direction=H","UseDPDF=Y")</f>
        <v>#NAME?</v>
      </c>
      <c r="BY204" s="3" t="e">
        <f ca="1">_xll.BDH($C$203,"SHORT_AND_LONG_TERM_DEBT","FQ1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204" s="3" t="e">
        <f ca="1">_xll.BDH($C$203,"BS_ST_BORROW","FQ1 2014","FQ1 2014","Currency=INR","Period=FQ","BEST_FPERIOD_OVERRIDE=FQ","FILING_STATUS=OR","EQY_CONSOLIDATED=Y","SCALING_FORMAT=MLN","Sort=A","Dates=H","DateFormat=P","Fill=—","Direction=H","UseDPDF=Y")</f>
        <v>#NAME?</v>
      </c>
      <c r="CA204" s="3" t="e">
        <f ca="1">_xll.BDH($C$203,"BS_LT_BORROW","FQ1 2014","FQ1 2014","Currency=INR","Period=FQ","BEST_FPERIOD_OVERRIDE=FQ","FILING_STATUS=OR","EQY_CONSOLIDATED=Y","SCALING_FORMAT=MLN","Sort=A","Dates=H","DateFormat=P","Fill=—","Direction=H","UseDPDF=Y")</f>
        <v>#NAME?</v>
      </c>
      <c r="CB204" s="2" t="e">
        <f ca="1">_xll.BDH($C$203,"TOT_DEBT_TO_EBITDA","FQ1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204" s="2" t="e">
        <f ca="1">_xll.BDH($C$203,"NET_DEBT_TO_EBITDA","FQ1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204" s="2" t="e">
        <f ca="1">_xll.BDH($C$203,"TOTAL_DEBT_TO_EBIT","FQ1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204" s="2" t="e">
        <f ca="1">_xll.BDH($C$203,"NET_DEBT_TO_EBIT","FQ1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204" s="2" t="e">
        <f ca="1">_xll.BDH($C$203,"EBITDA_TO_INTEREST_EXPN","FQ1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204" s="2" t="e">
        <f ca="1">_xll.BDH($C$203,"COM_EQY_TO_TOT_ASSET","FQ1 2014","FQ1 2014","Currency=INR","Period=FQ","BEST_FPERIOD_OVERRIDE=FQ","FILING_STATUS=OR","EQY_CONSOLIDATED=Y","Sort=A","Dates=H","DateFormat=P","Fill=—","Direction=H","UseDPDF=Y")</f>
        <v>#NAME?</v>
      </c>
      <c r="CH204" s="2" t="e">
        <f ca="1">_xll.BDH($C$203,"LT_DEBT_TO_TOT_EQY","FQ1 2014","FQ1 2014","Currency=INR","Period=FQ","BEST_FPERIOD_OVERRIDE=FQ","FILING_STATUS=OR","EQY_CONSOLIDATED=Y","Sort=A","Dates=H","DateFormat=P","Fill=—","Direction=H","UseDPDF=Y")</f>
        <v>#NAME?</v>
      </c>
      <c r="CI204" s="2" t="e">
        <f ca="1">_xll.BDH($C$203,"LT_DEBT_TO_TOT_CAP","FQ1 2014","FQ1 2014","Currency=INR","Period=FQ","BEST_FPERIOD_OVERRIDE=FQ","FILING_STATUS=OR","EQY_CONSOLIDATED=Y","Sort=A","Dates=H","DateFormat=P","Fill=—","Direction=H","UseDPDF=Y")</f>
        <v>#NAME?</v>
      </c>
      <c r="CJ204" s="2" t="e">
        <f ca="1">_xll.BDH($C$203,"LT_DEBT_TO_TOT_ASSET","FQ1 2014","FQ1 2014","Currency=INR","Period=FQ","BEST_FPERIOD_OVERRIDE=FQ","FILING_STATUS=OR","EQY_CONSOLIDATED=Y","Sort=A","Dates=H","DateFormat=P","Fill=—","Direction=H","UseDPDF=Y")</f>
        <v>#NAME?</v>
      </c>
      <c r="CK204" s="2" t="e">
        <f ca="1">_xll.BDH($C$203,"TOT_DEBT_TO_TOT_EQY","FQ1 2014","FQ1 2014","Currency=INR","Period=FQ","BEST_FPERIOD_OVERRIDE=FQ","FILING_STATUS=OR","EQY_CONSOLIDATED=Y","Sort=A","Dates=H","DateFormat=P","Fill=—","Direction=H","UseDPDF=Y")</f>
        <v>#NAME?</v>
      </c>
      <c r="CL204" s="2" t="e">
        <f ca="1">_xll.BDH($C$203,"TOT_DEBT_TO_TOT_CAP","FQ1 2014","FQ1 2014","Currency=INR","Period=FQ","BEST_FPERIOD_OVERRIDE=FQ","FILING_STATUS=OR","EQY_CONSOLIDATED=Y","Sort=A","Dates=H","DateFormat=P","Fill=—","Direction=H","UseDPDF=Y")</f>
        <v>#NAME?</v>
      </c>
      <c r="CM204" s="2" t="e">
        <f ca="1">_xll.BDH($C$203,"TOT_DEBT_TO_TOT_ASSET","FQ1 2014","FQ1 2014","Currency=INR","Period=FQ","BEST_FPERIOD_OVERRIDE=FQ","FILING_STATUS=OR","EQY_CONSOLIDATED=Y","Sort=A","Dates=H","DateFormat=P","Fill=—","Direction=H","UseDPDF=Y")</f>
        <v>#NAME?</v>
      </c>
      <c r="CN204" s="2" t="e">
        <f ca="1">_xll.BDH($C$203,"NET_DEBT_TO_SHRHLDR_EQTY","FQ1 2014","FQ1 2014","Currency=INR","Period=FQ","BEST_FPERIOD_OVERRIDE=FQ","FILING_STATUS=OR","EQY_CONSOLIDATED=Y","Sort=A","Dates=H","DateFormat=P","Fill=—","Direction=H","UseDPDF=Y")</f>
        <v>#NAME?</v>
      </c>
      <c r="CO204" s="2" t="e">
        <f ca="1">_xll.BDH($C$203,"NET_DEBT_%_CAPITAL","FQ1 2014","FQ1 2014","Currency=INR","Period=FQ","BEST_FPERIOD_OVERRIDE=FQ","FILING_STATUS=OR","EQY_CONSOLIDATED=Y","Sort=A","Dates=H","DateFormat=P","Fill=—","Direction=H","UseDPDF=Y")</f>
        <v>#NAME?</v>
      </c>
      <c r="CP204" s="3" t="e">
        <f ca="1">_xll.BDH($C$203,"EBITDA","FQ1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204" s="3" t="e">
        <f ca="1">_xll.BDH($C$203,"EBITDA_AFTER_CAPEX","FQ1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204" s="3" t="e">
        <f ca="1">_xll.BDH($C$203,"IS_OPER_INC","FQ1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204" s="2" t="e">
        <f ca="1">_xll.BDH($C$203,"CASH_RATIO","FQ1 2014","FQ1 2014","Currency=INR","Period=FQ","BEST_FPERIOD_OVERRIDE=FQ","FILING_STATUS=OR","EQY_CONSOLIDATED=Y","Sort=A","Dates=H","DateFormat=P","Fill=—","Direction=H","UseDPDF=Y")</f>
        <v>#NAME?</v>
      </c>
      <c r="CT204" s="2" t="e">
        <f ca="1">_xll.BDH($C$203,"CUR_RATIO","FQ1 2014","FQ1 2014","Currency=INR","Period=FQ","BEST_FPERIOD_OVERRIDE=FQ","FILING_STATUS=OR","EQY_CONSOLIDATED=Y","Sort=A","Dates=H","DateFormat=P","Fill=—","Direction=H","UseDPDF=Y")</f>
        <v>#NAME?</v>
      </c>
      <c r="CU204" s="2" t="e">
        <f ca="1">_xll.BDH($C$203,"QUICK_RATIO","FQ1 2014","FQ1 2014","Currency=INR","Period=FQ","BEST_FPERIOD_OVERRIDE=FQ","FILING_STATUS=OR","EQY_CONSOLIDATED=Y","Sort=A","Dates=H","DateFormat=P","Fill=—","Direction=H","UseDPDF=Y")</f>
        <v>#NAME?</v>
      </c>
      <c r="CV204" s="2" t="e">
        <f ca="1">_xll.BDH($C$203,"ALTMAN_Z_SCORE","FQ1 2014","FQ1 2014","Currency=INR","Period=FQ","BEST_FPERIOD_OVERRIDE=FQ","FILING_STATUS=OR","EQY_CONSOLIDATED=Y","Sort=A","Dates=H","DateFormat=P","Fill=—","Direction=H","UseDPDF=Y")</f>
        <v>#NAME?</v>
      </c>
      <c r="CW204" s="4" t="e">
        <f ca="1">_xll.BDH($C$203,"ACCT_RCV_TURN","FQ1 2014","FQ1 2014","Currency=INR","Period=FQ","BEST_FPERIOD_OVERRIDE=FQ","FILING_STATUS=OR","EQY_CONSOLIDATED=Y","FA_ADJUSTED=GAAP","Sort=A","Dates=H","DateFormat=P","Fill=—","Direction=H","UseDPDF=Y")</f>
        <v>#NAME?</v>
      </c>
      <c r="CX204" s="2" t="e">
        <f ca="1">_xll.BDH($C$203,"ACCT_RCV_DAYS","FQ1 2014","FQ1 2014","Currency=INR","Period=FQ","BEST_FPERIOD_OVERRIDE=FQ","FILING_STATUS=OR","EQY_CONSOLIDATED=Y","FA_ADJUSTED=GAAP","Sort=A","Dates=H","DateFormat=P","Fill=—","Direction=H","UseDPDF=Y")</f>
        <v>#NAME?</v>
      </c>
      <c r="CY204" s="4" t="e">
        <f ca="1">_xll.BDH($C$203,"INVENT_TURN","FQ1 2014","FQ1 2014","Currency=INR","Period=FQ","BEST_FPERIOD_OVERRIDE=FQ","FILING_STATUS=OR","EQY_CONSOLIDATED=Y","FA_ADJUSTED=GAAP","Sort=A","Dates=H","DateFormat=P","Fill=—","Direction=H","UseDPDF=Y")</f>
        <v>#NAME?</v>
      </c>
      <c r="CZ204" s="2" t="e">
        <f ca="1">_xll.BDH($C$203,"INVENT_DAYS","FQ1 2014","FQ1 2014","Currency=INR","Period=FQ","BEST_FPERIOD_OVERRIDE=FQ","FILING_STATUS=OR","EQY_CONSOLIDATED=Y","FA_ADJUSTED=GAAP","Sort=A","Dates=H","DateFormat=P","Fill=—","Direction=H","UseDPDF=Y")</f>
        <v>#NAME?</v>
      </c>
      <c r="DA204" s="4" t="e">
        <f ca="1">_xll.BDH($C$203,"ACCOUNTS_PAYABLE_TURNOVER","FQ1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204" s="2" t="e">
        <f ca="1">_xll.BDH($C$203,"ACCOUNTS_PAYABLE_TURNOVER_DAYS","FQ1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204" s="4" t="e">
        <f ca="1">_xll.BDH($C$203,"CASH_CONVERSION_CYCLE","FQ1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204" s="4" t="e">
        <f ca="1">_xll.BDH($C$203,"INV_TO_CASH_DAYS","FQ1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204" s="5" t="e">
        <f ca="1">_xll.BDH($C$203,"BS_INVENTORIES","FQ1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204" s="3" t="e">
        <f ca="1">_xll.BDH($C$203,"INVTRY_RAW_MATERIALS","FQ1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204" s="3" t="e">
        <f ca="1">_xll.BDH($C$203,"INVTRY_IN_PROGRESS","FQ1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204" s="3" t="e">
        <f ca="1">_xll.BDH($C$203,"INVTRY_FINISHED_GOODS","FQ1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204" s="3" t="e">
        <f ca="1">_xll.BDH($C$203,"BS_OTHER_INV","FQ1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205" spans="1:113" x14ac:dyDescent="0.3">
      <c r="A205" s="6"/>
      <c r="B205" s="6"/>
      <c r="C205" s="6"/>
      <c r="D205" s="6"/>
      <c r="E205" t="s">
        <v>79</v>
      </c>
      <c r="F205" t="e">
        <f ca="1">_xll.BDH($C$203,"RETURN_COM_EQY","FQ2 2014","FQ2 2014","Currency=INR","Period=FQ","BEST_FPERIOD_OVERRIDE=FQ","FILING_STATUS=OR","EQY_CONSOLIDATED=Y","FA_ADJUSTED=GAAP","Sort=A","Dates=H","DateFormat=P","Fill=—","Direction=H","UseDPDF=Y")</f>
        <v>#NAME?</v>
      </c>
      <c r="G205" t="e">
        <f ca="1">_xll.BDH($C$203,"RETURN_ON_ASSET","FQ2 2014","FQ2 2014","Currency=INR","Period=FQ","BEST_FPERIOD_OVERRIDE=FQ","FILING_STATUS=OR","EQY_CONSOLIDATED=Y","FA_ADJUSTED=GAAP","Sort=A","Dates=H","DateFormat=P","Fill=—","Direction=H","UseDPDF=Y")</f>
        <v>#NAME?</v>
      </c>
      <c r="H205" t="e">
        <f ca="1">_xll.BDH($C$203,"RETURN_ON_CAP","FQ2 2014","FQ2 2014","Currency=INR","Period=FQ","BEST_FPERIOD_OVERRIDE=FQ","FILING_STATUS=OR","EQY_CONSOLIDATED=Y","FA_ADJUSTED=GAAP","Sort=A","Dates=H","DateFormat=P","Fill=—","Direction=H","UseDPDF=Y")</f>
        <v>#NAME?</v>
      </c>
      <c r="I205" t="e">
        <f ca="1">_xll.BDH($C$203,"RETURN_ON_INV_CAPITAL","FQ2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205" t="e">
        <f ca="1">_xll.BDH($C$203,"EBITDA_TO_REVENUE","FQ2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205" t="e">
        <f ca="1">_xll.BDH($C$203,"OPER_MARGIN","FQ2 2014","FQ2 2014","Currency=INR","Period=FQ","BEST_FPERIOD_OVERRIDE=FQ","FILING_STATUS=OR","EQY_CONSOLIDATED=Y","FA_ADJUSTED=GAAP","Sort=A","Dates=H","DateFormat=P","Fill=—","Direction=H","UseDPDF=Y")</f>
        <v>#NAME?</v>
      </c>
      <c r="L205" t="e">
        <f ca="1">_xll.BDH($C$203,"INCREMENTAL_OPERATING_MARGIN","FQ2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205" t="e">
        <f ca="1">_xll.BDH($C$203,"PRETAX_INC_TO_NET_SALES","FQ2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205" t="e">
        <f ca="1">_xll.BDH($C$203,"INC_BEF_XO_ITEMS_TO_NET_SALES","FQ2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205" t="e">
        <f ca="1">_xll.BDH($C$203,"PROF_MARGIN","FQ2 2014","FQ2 2014","Currency=INR","Period=FQ","BEST_FPERIOD_OVERRIDE=FQ","FILING_STATUS=OR","EQY_CONSOLIDATED=Y","FA_ADJUSTED=GAAP","Sort=A","Dates=H","DateFormat=P","Fill=—","Direction=H","UseDPDF=Y")</f>
        <v>#NAME?</v>
      </c>
      <c r="P205" t="e">
        <f ca="1">_xll.BDH($C$203,"NET_INCOME_TO_COMMON_MARGIN","FQ2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205" t="e">
        <f ca="1">_xll.BDH($C$203,"EFF_TAX_RATE","FQ2 2014","FQ2 2014","Currency=INR","Period=FQ","BEST_FPERIOD_OVERRIDE=FQ","FILING_STATUS=OR","EQY_CONSOLIDATED=Y","FA_ADJUSTED=GAAP","Sort=A","Dates=H","DateFormat=P","Fill=—","Direction=H","UseDPDF=Y")</f>
        <v>#NAME?</v>
      </c>
      <c r="R205" t="e">
        <f ca="1">_xll.BDH($C$203,"DVD_PAYOUT_RATIO","FQ2 2014","FQ2 2014","Currency=INR","Period=FQ","BEST_FPERIOD_OVERRIDE=FQ","FILING_STATUS=OR","EQY_CONSOLIDATED=Y","FA_ADJUSTED=GAAP","Sort=A","Dates=H","DateFormat=P","Fill=—","Direction=H","UseDPDF=Y")</f>
        <v>#NAME?</v>
      </c>
      <c r="S205" t="e">
        <f ca="1">_xll.BDH($C$203,"SUSTAIN_GROWTH_RT","FQ2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205" s="2" t="e">
        <f ca="1">_xll.BDH($C$203,"SALES_GROWTH","FQ2 2014","FQ2 2014","Currency=INR","Period=FQ","BEST_FPERIOD_OVERRIDE=FQ","FILING_STATUS=OR","EQY_CONSOLIDATED=Y","FA_ADJUSTED=GAAP","Sort=A","Dates=H","DateFormat=P","Fill=—","Direction=H","UseDPDF=Y")</f>
        <v>#NAME?</v>
      </c>
      <c r="U205" s="2" t="e">
        <f ca="1">_xll.BDH($C$203,"EBITDA_GROWTH","FQ2 2014","FQ2 2014","Currency=INR","Period=FQ","BEST_FPERIOD_OVERRIDE=FQ","FILING_STATUS=OR","EQY_CONSOLIDATED=Y","FA_ADJUSTED=GAAP","Sort=A","Dates=H","DateFormat=P","Fill=—","Direction=H","UseDPDF=Y")</f>
        <v>#NAME?</v>
      </c>
      <c r="V205" s="2" t="e">
        <f ca="1">_xll.BDH($C$203,"OPER_INC_GROWTH","FQ2 2014","FQ2 2014","Currency=INR","Period=FQ","BEST_FPERIOD_OVERRIDE=FQ","FILING_STATUS=OR","EQY_CONSOLIDATED=Y","FA_ADJUSTED=GAAP","Sort=A","Dates=H","DateFormat=P","Fill=—","Direction=H","UseDPDF=Y")</f>
        <v>#NAME?</v>
      </c>
      <c r="W205" s="2" t="e">
        <f ca="1">_xll.BDH($C$203,"EARN_FOR_COM_GROWTH","FQ2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205" s="2" t="e">
        <f ca="1">_xll.BDH($C$203,"DILUTED_EPS_AFT_XO_ITEMS_GROWTH","FQ2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205" s="2" t="e">
        <f ca="1">_xll.BDH($C$203,"DIVIDEND_PER_SHARE_1_YEAR_GROWTH","FQ2 2014","FQ2 2014","Currency=INR","Period=FQ","BEST_FPERIOD_OVERRIDE=FQ","FILING_STATUS=OR","EQY_CONSOLIDATED=Y","Sort=A","Dates=H","DateFormat=P","Fill=—","Direction=H","UseDPDF=Y")</f>
        <v>#NAME?</v>
      </c>
      <c r="Z205" s="2" t="e">
        <f ca="1">_xll.BDH($C$203,"ACCOUNTS_RECEIVABLE_GROWTH","FQ2 2014","FQ2 2014","Currency=INR","Period=FQ","BEST_FPERIOD_OVERRIDE=FQ","FILING_STATUS=OR","EQY_CONSOLIDATED=Y","Sort=A","Dates=H","DateFormat=P","Fill=—","Direction=H","UseDPDF=Y")</f>
        <v>#NAME?</v>
      </c>
      <c r="AA205" s="2" t="e">
        <f ca="1">_xll.BDH($C$203,"INVENTORY_GROWTH","FQ2 2014","FQ2 2014","Currency=INR","Period=FQ","BEST_FPERIOD_OVERRIDE=FQ","FILING_STATUS=OR","EQY_CONSOLIDATED=Y","Sort=A","Dates=H","DateFormat=P","Fill=—","Direction=H","UseDPDF=Y")</f>
        <v>#NAME?</v>
      </c>
      <c r="AB205" s="2" t="e">
        <f ca="1">_xll.BDH($C$203,"NET_FIXED_ASSETS_1_YEAR_GROWTH","FQ2 2014","FQ2 2014","Currency=INR","Period=FQ","BEST_FPERIOD_OVERRIDE=FQ","FILING_STATUS=OR","EQY_CONSOLIDATED=Y","Sort=A","Dates=H","DateFormat=P","Fill=—","Direction=H","UseDPDF=Y")</f>
        <v>#NAME?</v>
      </c>
      <c r="AC205" s="2" t="e">
        <f ca="1">_xll.BDH($C$203,"ASSET_GROWTH","FQ2 2014","FQ2 2014","Currency=INR","Period=FQ","BEST_FPERIOD_OVERRIDE=FQ","FILING_STATUS=OR","EQY_CONSOLIDATED=Y","Sort=A","Dates=H","DateFormat=P","Fill=—","Direction=H","UseDPDF=Y")</f>
        <v>#NAME?</v>
      </c>
      <c r="AD205" s="2" t="e">
        <f ca="1">_xll.BDH($C$203,"MODIFIED_WORK_CAP_GROWTH","FQ2 2014","FQ2 2014","Currency=INR","Period=FQ","BEST_FPERIOD_OVERRIDE=FQ","FILING_STATUS=OR","EQY_CONSOLIDATED=Y","Sort=A","Dates=H","DateFormat=P","Fill=—","Direction=H","UseDPDF=Y")</f>
        <v>#NAME?</v>
      </c>
      <c r="AE205" s="2" t="e">
        <f ca="1">_xll.BDH($C$203,"WORK_CAP_GROWTH","FQ2 2014","FQ2 2014","Currency=INR","Period=FQ","BEST_FPERIOD_OVERRIDE=FQ","FILING_STATUS=OR","EQY_CONSOLIDATED=Y","Sort=A","Dates=H","DateFormat=P","Fill=—","Direction=H","UseDPDF=Y")</f>
        <v>#NAME?</v>
      </c>
      <c r="AF205" s="2" t="e">
        <f ca="1">_xll.BDH($C$203,"ACCOUNTS_PAYABLE_GROWTH_1YR","FQ2 2014","FQ2 2014","Currency=INR","Period=FQ","BEST_FPERIOD_OVERRIDE=FQ","FILING_STATUS=OR","EQY_CONSOLIDATED=Y","Sort=A","Dates=H","DateFormat=P","Fill=—","Direction=H","UseDPDF=Y")</f>
        <v>#NAME?</v>
      </c>
      <c r="AG205" s="2" t="e">
        <f ca="1">_xll.BDH($C$203,"SHORT_TERM_DEBT_1_YEAR_GROWTH","FQ2 2014","FQ2 2014","Currency=INR","Period=FQ","BEST_FPERIOD_OVERRIDE=FQ","FILING_STATUS=OR","EQY_CONSOLIDATED=Y","Sort=A","Dates=H","DateFormat=P","Fill=—","Direction=H","UseDPDF=Y")</f>
        <v>#NAME?</v>
      </c>
      <c r="AH205" s="2" t="e">
        <f ca="1">_xll.BDH($C$203,"TOTAL_DEBT_1_YEAR_GROWTH","FQ2 2014","FQ2 2014","Currency=INR","Period=FQ","BEST_FPERIOD_OVERRIDE=FQ","FILING_STATUS=OR","EQY_CONSOLIDATED=Y","Sort=A","Dates=H","DateFormat=P","Fill=—","Direction=H","UseDPDF=Y")</f>
        <v>#NAME?</v>
      </c>
      <c r="AI205" s="2" t="e">
        <f ca="1">_xll.BDH($C$203,"TOTAL_EQUITY_1_YEAR_GROWTH","FQ2 2014","FQ2 2014","Currency=INR","Period=FQ","BEST_FPERIOD_OVERRIDE=FQ","FILING_STATUS=OR","EQY_CONSOLIDATED=Y","Sort=A","Dates=H","DateFormat=P","Fill=—","Direction=H","UseDPDF=Y")</f>
        <v>#NAME?</v>
      </c>
      <c r="AJ205" s="2" t="e">
        <f ca="1">_xll.BDH($C$203,"GROWTH_IN_CAP","FQ2 2014","FQ2 2014","Currency=INR","Period=FQ","BEST_FPERIOD_OVERRIDE=FQ","FILING_STATUS=OR","EQY_CONSOLIDATED=Y","Sort=A","Dates=H","DateFormat=P","Fill=—","Direction=H","UseDPDF=Y")</f>
        <v>#NAME?</v>
      </c>
      <c r="AK205" s="2" t="e">
        <f ca="1">_xll.BDH($C$203,"BVPS_GROWTH","FQ2 2014","FQ2 2014","Currency=INR","Period=FQ","BEST_FPERIOD_OVERRIDE=FQ","FILING_STATUS=OR","EQY_CONSOLIDATED=Y","Sort=A","Dates=H","DateFormat=P","Fill=—","Direction=H","UseDPDF=Y")</f>
        <v>#NAME?</v>
      </c>
      <c r="AL205" s="2" t="e">
        <f ca="1">_xll.BDH($C$203,"CASH_FLOW_GROWTH","FQ2 2014","FQ2 2014","Currency=INR","Period=FQ","BEST_FPERIOD_OVERRIDE=FQ","FILING_STATUS=OR","EQY_CONSOLIDATED=Y","Sort=A","Dates=H","DateFormat=P","Fill=—","Direction=H","UseDPDF=Y")</f>
        <v>#NAME?</v>
      </c>
      <c r="AM205" s="2" t="e">
        <f ca="1">_xll.BDH($C$203,"GEO_GROW_NET_SALES","FQ2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205" s="2" t="e">
        <f ca="1">_xll.BDH($C$203,"GEO_GROW_EBITDA","FQ2 2014","FQ2 2014","Currency=INR","Period=FQ","BEST_FPERIOD_OVERRIDE=FQ","FILING_STATUS=OR","EQY_CONSOLIDATED=Y","FA_ADJUSTED=GAAP","Sort=A","Dates=H","DateFormat=P","Fill=—","Direction=H","UseDPDF=Y")</f>
        <v>#NAME?</v>
      </c>
      <c r="AO205" s="2" t="e">
        <f ca="1">_xll.BDH($C$203,"GEO_GROW_OPER_INC","FQ2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205" s="2" t="e">
        <f ca="1">_xll.BDH($C$203,"NET_INCOME_TO_COMMON_5_YR_GROWTH","FQ2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205" s="2" t="e">
        <f ca="1">_xll.BDH($C$203,"5Y_GEO_GROWTH_DILUTED_EPS","FQ2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205" s="2" t="e">
        <f ca="1">_xll.BDH($C$203,"GEO_GROW_DVD_PER_SH","FQ2 2014","FQ2 2014","Currency=INR","Period=FQ","BEST_FPERIOD_OVERRIDE=FQ","FILING_STATUS=OR","EQY_CONSOLIDATED=Y","Sort=A","Dates=H","DateFormat=P","Fill=—","Direction=H","UseDPDF=Y")</f>
        <v>#NAME?</v>
      </c>
      <c r="AS205" s="2" t="e">
        <f ca="1">_xll.BDH($C$203,"ACCOUNTS_RECEIVABLE_5_YR_GROWTH","FQ2 2014","FQ2 2014","Currency=INR","Period=FQ","BEST_FPERIOD_OVERRIDE=FQ","FILING_STATUS=OR","EQY_CONSOLIDATED=Y","Sort=A","Dates=H","DateFormat=P","Fill=—","Direction=H","UseDPDF=Y")</f>
        <v>#NAME?</v>
      </c>
      <c r="AT205" s="2" t="e">
        <f ca="1">_xll.BDH($C$203,"INVENTORY_5_YEAR_GROWTH","FQ2 2014","FQ2 2014","Currency=INR","Period=FQ","BEST_FPERIOD_OVERRIDE=FQ","FILING_STATUS=OR","EQY_CONSOLIDATED=Y","Sort=A","Dates=H","DateFormat=P","Fill=—","Direction=H","UseDPDF=Y")</f>
        <v>#NAME?</v>
      </c>
      <c r="AU205" s="2" t="e">
        <f ca="1">_xll.BDH($C$203,"NET_FIXED_ASSETS_5_YEAR_GROWTH","FQ2 2014","FQ2 2014","Currency=INR","Period=FQ","BEST_FPERIOD_OVERRIDE=FQ","FILING_STATUS=OR","EQY_CONSOLIDATED=Y","Sort=A","Dates=H","DateFormat=P","Fill=—","Direction=H","UseDPDF=Y")</f>
        <v>#NAME?</v>
      </c>
      <c r="AV205" s="2" t="e">
        <f ca="1">_xll.BDH($C$203,"GEO_GROW_TOT_ASSET","FQ2 2014","FQ2 2014","Currency=INR","Period=FQ","BEST_FPERIOD_OVERRIDE=FQ","FILING_STATUS=OR","EQY_CONSOLIDATED=Y","Sort=A","Dates=H","DateFormat=P","Fill=—","Direction=H","UseDPDF=Y")</f>
        <v>#NAME?</v>
      </c>
      <c r="AW205" s="2" t="e">
        <f ca="1">_xll.BDH($C$203,"MODIFIED_WORKING_CPTL_5YR_GRWTH","FQ2 2014","FQ2 2014","Currency=INR","Period=FQ","BEST_FPERIOD_OVERRIDE=FQ","FILING_STATUS=OR","EQY_CONSOLIDATED=Y","Sort=A","Dates=H","DateFormat=P","Fill=—","Direction=H","UseDPDF=Y")</f>
        <v>#NAME?</v>
      </c>
      <c r="AX205" s="2" t="e">
        <f ca="1">_xll.BDH($C$203,"WORKING_CAPITAL_5_YEAR_GROWTH","FQ2 2014","FQ2 2014","Currency=INR","Period=FQ","BEST_FPERIOD_OVERRIDE=FQ","FILING_STATUS=OR","EQY_CONSOLIDATED=Y","Sort=A","Dates=H","DateFormat=P","Fill=—","Direction=H","UseDPDF=Y")</f>
        <v>#NAME?</v>
      </c>
      <c r="AY205" s="2" t="e">
        <f ca="1">_xll.BDH($C$203,"ACCOUNTS_PAYABLE_5_YEAR_GROWTH","FQ2 2014","FQ2 2014","Currency=INR","Period=FQ","BEST_FPERIOD_OVERRIDE=FQ","FILING_STATUS=OR","EQY_CONSOLIDATED=Y","Sort=A","Dates=H","DateFormat=P","Fill=—","Direction=H","UseDPDF=Y")</f>
        <v>#NAME?</v>
      </c>
      <c r="AZ205" s="2" t="e">
        <f ca="1">_xll.BDH($C$203,"SHORT_TERM_DEBT_5_YEAR_GROWTH","FQ2 2014","FQ2 2014","Currency=INR","Period=FQ","BEST_FPERIOD_OVERRIDE=FQ","FILING_STATUS=OR","EQY_CONSOLIDATED=Y","Sort=A","Dates=H","DateFormat=P","Fill=—","Direction=H","UseDPDF=Y")</f>
        <v>#NAME?</v>
      </c>
      <c r="BA205" s="2" t="e">
        <f ca="1">_xll.BDH($C$203,"TOTAL_DEBT_5_YEAR_GROWTH","FQ2 2014","FQ2 2014","Currency=INR","Period=FQ","BEST_FPERIOD_OVERRIDE=FQ","FILING_STATUS=OR","EQY_CONSOLIDATED=Y","Sort=A","Dates=H","DateFormat=P","Fill=—","Direction=H","UseDPDF=Y")</f>
        <v>#NAME?</v>
      </c>
      <c r="BB205" s="2" t="e">
        <f ca="1">_xll.BDH($C$203,"GEO_GROW_TOT_SHRHLDR_EQY","FQ2 2014","FQ2 2014","Currency=INR","Period=FQ","BEST_FPERIOD_OVERRIDE=FQ","FILING_STATUS=OR","EQY_CONSOLIDATED=Y","Sort=A","Dates=H","DateFormat=P","Fill=—","Direction=H","UseDPDF=Y")</f>
        <v>#NAME?</v>
      </c>
      <c r="BC205" s="2" t="e">
        <f ca="1">_xll.BDH($C$203,"TOTAL_CAPITAL_5_YEAR_GROWTH","FQ2 2014","FQ2 2014","Currency=INR","Period=FQ","BEST_FPERIOD_OVERRIDE=FQ","FILING_STATUS=OR","EQY_CONSOLIDATED=Y","Sort=A","Dates=H","DateFormat=P","Fill=—","Direction=H","UseDPDF=Y")</f>
        <v>#NAME?</v>
      </c>
      <c r="BD205" s="2" t="e">
        <f ca="1">_xll.BDH($C$203,"GEO_GROW_BOOK_VAL","FQ2 2014","FQ2 2014","Currency=INR","Period=FQ","BEST_FPERIOD_OVERRIDE=FQ","FILING_STATUS=OR","EQY_CONSOLIDATED=Y","Sort=A","Dates=H","DateFormat=P","Fill=—","Direction=H","UseDPDF=Y")</f>
        <v>#NAME?</v>
      </c>
      <c r="BE205" s="2" t="e">
        <f ca="1">_xll.BDH($C$203,"GEO_GROW_CASH_OPER_ACT","FQ2 2014","FQ2 2014","Currency=INR","Period=FQ","BEST_FPERIOD_OVERRIDE=FQ","FILING_STATUS=OR","EQY_CONSOLIDATED=Y","Sort=A","Dates=H","DateFormat=P","Fill=—","Direction=H","UseDPDF=Y")</f>
        <v>#NAME?</v>
      </c>
      <c r="BF205" s="2" t="e">
        <f ca="1">_xll.BDH($C$203,"REVENUE_SEQUENTIAL_GROWTH","FQ2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205" s="2" t="e">
        <f ca="1">_xll.BDH($C$203,"EBITDA_SEQUENTIAL_GROWTH","FQ2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205" s="2" t="e">
        <f ca="1">_xll.BDH($C$203,"OPERATING_INCOME_SEQ_GROWTH","FQ2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205" s="2" t="e">
        <f ca="1">_xll.BDH($C$203,"NET_INCOME_TO_COMMON_SEQ_GROWTH","FQ2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205" s="2" t="e">
        <f ca="1">_xll.BDH($C$203,"EPS_DILUTED_SEQUENTIAL_GROWTH","FQ2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205" s="2" t="e">
        <f ca="1">_xll.BDH($C$203,"DPS_SEQUENTIAL_GROWTH","FQ2 2014","FQ2 2014","Currency=INR","Period=FQ","BEST_FPERIOD_OVERRIDE=FQ","FILING_STATUS=OR","EQY_CONSOLIDATED=Y","Sort=A","Dates=H","DateFormat=P","Fill=—","Direction=H","UseDPDF=Y")</f>
        <v>#NAME?</v>
      </c>
      <c r="BL205" s="2" t="e">
        <f ca="1">_xll.BDH($C$203,"ACCOUNTS_RECEIVABLE_SEQ_GROWTH","FQ2 2014","FQ2 2014","Currency=INR","Period=FQ","BEST_FPERIOD_OVERRIDE=FQ","FILING_STATUS=OR","EQY_CONSOLIDATED=Y","Sort=A","Dates=H","DateFormat=P","Fill=—","Direction=H","UseDPDF=Y")</f>
        <v>#NAME?</v>
      </c>
      <c r="BM205" s="2" t="e">
        <f ca="1">_xll.BDH($C$203,"INVENTORY_SEQUENTIAL_GROWTH","FQ2 2014","FQ2 2014","Currency=INR","Period=FQ","BEST_FPERIOD_OVERRIDE=FQ","FILING_STATUS=OR","EQY_CONSOLIDATED=Y","Sort=A","Dates=H","DateFormat=P","Fill=—","Direction=H","UseDPDF=Y")</f>
        <v>#NAME?</v>
      </c>
      <c r="BN205" s="2" t="e">
        <f ca="1">_xll.BDH($C$203,"FIXED_ASSETS_SEQUENTIAL_GROWTH","FQ2 2014","FQ2 2014","Currency=INR","Period=FQ","BEST_FPERIOD_OVERRIDE=FQ","FILING_STATUS=OR","EQY_CONSOLIDATED=Y","Sort=A","Dates=H","DateFormat=P","Fill=—","Direction=H","UseDPDF=Y")</f>
        <v>#NAME?</v>
      </c>
      <c r="BO205" s="2" t="e">
        <f ca="1">_xll.BDH($C$203,"TOTAL_ASSETS_SEQUENTIAL_GROWTH","FQ2 2014","FQ2 2014","Currency=INR","Period=FQ","BEST_FPERIOD_OVERRIDE=FQ","FILING_STATUS=OR","EQY_CONSOLIDATED=Y","Sort=A","Dates=H","DateFormat=P","Fill=—","Direction=H","UseDPDF=Y")</f>
        <v>#NAME?</v>
      </c>
      <c r="BP205" s="2" t="e">
        <f ca="1">_xll.BDH($C$203,"MODIFIED_WORKING_CPTL_SEQ_GRWTH","FQ2 2014","FQ2 2014","Currency=INR","Period=FQ","BEST_FPERIOD_OVERRIDE=FQ","FILING_STATUS=OR","EQY_CONSOLIDATED=Y","Sort=A","Dates=H","DateFormat=P","Fill=—","Direction=H","UseDPDF=Y")</f>
        <v>#NAME?</v>
      </c>
      <c r="BQ205" s="2" t="e">
        <f ca="1">_xll.BDH($C$203,"WORKING_CAPITAL_SEQ_GROWTH","FQ2 2014","FQ2 2014","Currency=INR","Period=FQ","BEST_FPERIOD_OVERRIDE=FQ","FILING_STATUS=OR","EQY_CONSOLIDATED=Y","Sort=A","Dates=H","DateFormat=P","Fill=—","Direction=H","UseDPDF=Y")</f>
        <v>#NAME?</v>
      </c>
      <c r="BR205" s="2" t="e">
        <f ca="1">_xll.BDH($C$203,"ACCOUNTS_PAYABLE_SEQ_GROWTH","FQ2 2014","FQ2 2014","Currency=INR","Period=FQ","BEST_FPERIOD_OVERRIDE=FQ","FILING_STATUS=OR","EQY_CONSOLIDATED=Y","Sort=A","Dates=H","DateFormat=P","Fill=—","Direction=H","UseDPDF=Y")</f>
        <v>#NAME?</v>
      </c>
      <c r="BS205" s="2" t="e">
        <f ca="1">_xll.BDH($C$203,"ST_DEBT_SEQUENTIAL_GROWTH","FQ2 2014","FQ2 2014","Currency=INR","Period=FQ","BEST_FPERIOD_OVERRIDE=FQ","FILING_STATUS=OR","EQY_CONSOLIDATED=Y","Sort=A","Dates=H","DateFormat=P","Fill=—","Direction=H","UseDPDF=Y")</f>
        <v>#NAME?</v>
      </c>
      <c r="BT205" s="2" t="e">
        <f ca="1">_xll.BDH($C$203,"TOTAL_DEBT_SEQUENTIAL_GROWTH","FQ2 2014","FQ2 2014","Currency=INR","Period=FQ","BEST_FPERIOD_OVERRIDE=FQ","FILING_STATUS=OR","EQY_CONSOLIDATED=Y","Sort=A","Dates=H","DateFormat=P","Fill=—","Direction=H","UseDPDF=Y")</f>
        <v>#NAME?</v>
      </c>
      <c r="BU205" s="2" t="e">
        <f ca="1">_xll.BDH($C$203,"TOTAL_EQUITY_SEQUENTIAL_GROWTH","FQ2 2014","FQ2 2014","Currency=INR","Period=FQ","BEST_FPERIOD_OVERRIDE=FQ","FILING_STATUS=OR","EQY_CONSOLIDATED=Y","Sort=A","Dates=H","DateFormat=P","Fill=—","Direction=H","UseDPDF=Y")</f>
        <v>#NAME?</v>
      </c>
      <c r="BV205" s="2" t="e">
        <f ca="1">_xll.BDH($C$203,"TOTAL_CAPITAL_SEQUENTIAL_GROWTH","FQ2 2014","FQ2 2014","Currency=INR","Period=FQ","BEST_FPERIOD_OVERRIDE=FQ","FILING_STATUS=OR","EQY_CONSOLIDATED=Y","Sort=A","Dates=H","DateFormat=P","Fill=—","Direction=H","UseDPDF=Y")</f>
        <v>#NAME?</v>
      </c>
      <c r="BW205" s="2" t="e">
        <f ca="1">_xll.BDH($C$203,"BPS_SEQUENTIAL_GROWTH","FQ2 2014","FQ2 2014","Currency=INR","Period=FQ","BEST_FPERIOD_OVERRIDE=FQ","FILING_STATUS=OR","EQY_CONSOLIDATED=Y","Sort=A","Dates=H","DateFormat=P","Fill=—","Direction=H","UseDPDF=Y")</f>
        <v>#NAME?</v>
      </c>
      <c r="BX205" s="2" t="e">
        <f ca="1">_xll.BDH($C$203,"CFO_SEQUENTIAL_GROWTH","FQ2 2014","FQ2 2014","Currency=INR","Period=FQ","BEST_FPERIOD_OVERRIDE=FQ","FILING_STATUS=OR","EQY_CONSOLIDATED=Y","Sort=A","Dates=H","DateFormat=P","Fill=—","Direction=H","UseDPDF=Y")</f>
        <v>#NAME?</v>
      </c>
      <c r="BY205" s="3" t="e">
        <f ca="1">_xll.BDH($C$203,"SHORT_AND_LONG_TERM_DEBT","FQ2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205" s="3" t="e">
        <f ca="1">_xll.BDH($C$203,"BS_ST_BORROW","FQ2 2014","FQ2 2014","Currency=INR","Period=FQ","BEST_FPERIOD_OVERRIDE=FQ","FILING_STATUS=OR","EQY_CONSOLIDATED=Y","SCALING_FORMAT=MLN","Sort=A","Dates=H","DateFormat=P","Fill=—","Direction=H","UseDPDF=Y")</f>
        <v>#NAME?</v>
      </c>
      <c r="CA205" s="3" t="e">
        <f ca="1">_xll.BDH($C$203,"BS_LT_BORROW","FQ2 2014","FQ2 2014","Currency=INR","Period=FQ","BEST_FPERIOD_OVERRIDE=FQ","FILING_STATUS=OR","EQY_CONSOLIDATED=Y","SCALING_FORMAT=MLN","Sort=A","Dates=H","DateFormat=P","Fill=—","Direction=H","UseDPDF=Y")</f>
        <v>#NAME?</v>
      </c>
      <c r="CB205" s="2" t="e">
        <f ca="1">_xll.BDH($C$203,"TOT_DEBT_TO_EBITDA","FQ2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205" s="2" t="e">
        <f ca="1">_xll.BDH($C$203,"NET_DEBT_TO_EBITDA","FQ2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205" s="2" t="e">
        <f ca="1">_xll.BDH($C$203,"TOTAL_DEBT_TO_EBIT","FQ2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205" s="2" t="e">
        <f ca="1">_xll.BDH($C$203,"NET_DEBT_TO_EBIT","FQ2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205" s="2" t="e">
        <f ca="1">_xll.BDH($C$203,"EBITDA_TO_INTEREST_EXPN","FQ2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205" s="2" t="e">
        <f ca="1">_xll.BDH($C$203,"COM_EQY_TO_TOT_ASSET","FQ2 2014","FQ2 2014","Currency=INR","Period=FQ","BEST_FPERIOD_OVERRIDE=FQ","FILING_STATUS=OR","EQY_CONSOLIDATED=Y","Sort=A","Dates=H","DateFormat=P","Fill=—","Direction=H","UseDPDF=Y")</f>
        <v>#NAME?</v>
      </c>
      <c r="CH205" s="2" t="e">
        <f ca="1">_xll.BDH($C$203,"LT_DEBT_TO_TOT_EQY","FQ2 2014","FQ2 2014","Currency=INR","Period=FQ","BEST_FPERIOD_OVERRIDE=FQ","FILING_STATUS=OR","EQY_CONSOLIDATED=Y","Sort=A","Dates=H","DateFormat=P","Fill=—","Direction=H","UseDPDF=Y")</f>
        <v>#NAME?</v>
      </c>
      <c r="CI205" s="2" t="e">
        <f ca="1">_xll.BDH($C$203,"LT_DEBT_TO_TOT_CAP","FQ2 2014","FQ2 2014","Currency=INR","Period=FQ","BEST_FPERIOD_OVERRIDE=FQ","FILING_STATUS=OR","EQY_CONSOLIDATED=Y","Sort=A","Dates=H","DateFormat=P","Fill=—","Direction=H","UseDPDF=Y")</f>
        <v>#NAME?</v>
      </c>
      <c r="CJ205" s="2" t="e">
        <f ca="1">_xll.BDH($C$203,"LT_DEBT_TO_TOT_ASSET","FQ2 2014","FQ2 2014","Currency=INR","Period=FQ","BEST_FPERIOD_OVERRIDE=FQ","FILING_STATUS=OR","EQY_CONSOLIDATED=Y","Sort=A","Dates=H","DateFormat=P","Fill=—","Direction=H","UseDPDF=Y")</f>
        <v>#NAME?</v>
      </c>
      <c r="CK205" s="2" t="e">
        <f ca="1">_xll.BDH($C$203,"TOT_DEBT_TO_TOT_EQY","FQ2 2014","FQ2 2014","Currency=INR","Period=FQ","BEST_FPERIOD_OVERRIDE=FQ","FILING_STATUS=OR","EQY_CONSOLIDATED=Y","Sort=A","Dates=H","DateFormat=P","Fill=—","Direction=H","UseDPDF=Y")</f>
        <v>#NAME?</v>
      </c>
      <c r="CL205" s="2" t="e">
        <f ca="1">_xll.BDH($C$203,"TOT_DEBT_TO_TOT_CAP","FQ2 2014","FQ2 2014","Currency=INR","Period=FQ","BEST_FPERIOD_OVERRIDE=FQ","FILING_STATUS=OR","EQY_CONSOLIDATED=Y","Sort=A","Dates=H","DateFormat=P","Fill=—","Direction=H","UseDPDF=Y")</f>
        <v>#NAME?</v>
      </c>
      <c r="CM205" s="2" t="e">
        <f ca="1">_xll.BDH($C$203,"TOT_DEBT_TO_TOT_ASSET","FQ2 2014","FQ2 2014","Currency=INR","Period=FQ","BEST_FPERIOD_OVERRIDE=FQ","FILING_STATUS=OR","EQY_CONSOLIDATED=Y","Sort=A","Dates=H","DateFormat=P","Fill=—","Direction=H","UseDPDF=Y")</f>
        <v>#NAME?</v>
      </c>
      <c r="CN205" s="2" t="e">
        <f ca="1">_xll.BDH($C$203,"NET_DEBT_TO_SHRHLDR_EQTY","FQ2 2014","FQ2 2014","Currency=INR","Period=FQ","BEST_FPERIOD_OVERRIDE=FQ","FILING_STATUS=OR","EQY_CONSOLIDATED=Y","Sort=A","Dates=H","DateFormat=P","Fill=—","Direction=H","UseDPDF=Y")</f>
        <v>#NAME?</v>
      </c>
      <c r="CO205" s="2" t="e">
        <f ca="1">_xll.BDH($C$203,"NET_DEBT_%_CAPITAL","FQ2 2014","FQ2 2014","Currency=INR","Period=FQ","BEST_FPERIOD_OVERRIDE=FQ","FILING_STATUS=OR","EQY_CONSOLIDATED=Y","Sort=A","Dates=H","DateFormat=P","Fill=—","Direction=H","UseDPDF=Y")</f>
        <v>#NAME?</v>
      </c>
      <c r="CP205" s="3" t="e">
        <f ca="1">_xll.BDH($C$203,"EBITDA","FQ2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205" s="3" t="e">
        <f ca="1">_xll.BDH($C$203,"EBITDA_AFTER_CAPEX","FQ2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205" s="3" t="e">
        <f ca="1">_xll.BDH($C$203,"IS_OPER_INC","FQ2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205" s="2" t="e">
        <f ca="1">_xll.BDH($C$203,"CASH_RATIO","FQ2 2014","FQ2 2014","Currency=INR","Period=FQ","BEST_FPERIOD_OVERRIDE=FQ","FILING_STATUS=OR","EQY_CONSOLIDATED=Y","Sort=A","Dates=H","DateFormat=P","Fill=—","Direction=H","UseDPDF=Y")</f>
        <v>#NAME?</v>
      </c>
      <c r="CT205" s="2" t="e">
        <f ca="1">_xll.BDH($C$203,"CUR_RATIO","FQ2 2014","FQ2 2014","Currency=INR","Period=FQ","BEST_FPERIOD_OVERRIDE=FQ","FILING_STATUS=OR","EQY_CONSOLIDATED=Y","Sort=A","Dates=H","DateFormat=P","Fill=—","Direction=H","UseDPDF=Y")</f>
        <v>#NAME?</v>
      </c>
      <c r="CU205" s="2" t="e">
        <f ca="1">_xll.BDH($C$203,"QUICK_RATIO","FQ2 2014","FQ2 2014","Currency=INR","Period=FQ","BEST_FPERIOD_OVERRIDE=FQ","FILING_STATUS=OR","EQY_CONSOLIDATED=Y","Sort=A","Dates=H","DateFormat=P","Fill=—","Direction=H","UseDPDF=Y")</f>
        <v>#NAME?</v>
      </c>
      <c r="CV205" s="2" t="e">
        <f ca="1">_xll.BDH($C$203,"ALTMAN_Z_SCORE","FQ2 2014","FQ2 2014","Currency=INR","Period=FQ","BEST_FPERIOD_OVERRIDE=FQ","FILING_STATUS=OR","EQY_CONSOLIDATED=Y","Sort=A","Dates=H","DateFormat=P","Fill=—","Direction=H","UseDPDF=Y")</f>
        <v>#NAME?</v>
      </c>
      <c r="CW205" s="4" t="e">
        <f ca="1">_xll.BDH($C$203,"ACCT_RCV_TURN","FQ2 2014","FQ2 2014","Currency=INR","Period=FQ","BEST_FPERIOD_OVERRIDE=FQ","FILING_STATUS=OR","EQY_CONSOLIDATED=Y","FA_ADJUSTED=GAAP","Sort=A","Dates=H","DateFormat=P","Fill=—","Direction=H","UseDPDF=Y")</f>
        <v>#NAME?</v>
      </c>
      <c r="CX205" s="2" t="e">
        <f ca="1">_xll.BDH($C$203,"ACCT_RCV_DAYS","FQ2 2014","FQ2 2014","Currency=INR","Period=FQ","BEST_FPERIOD_OVERRIDE=FQ","FILING_STATUS=OR","EQY_CONSOLIDATED=Y","FA_ADJUSTED=GAAP","Sort=A","Dates=H","DateFormat=P","Fill=—","Direction=H","UseDPDF=Y")</f>
        <v>#NAME?</v>
      </c>
      <c r="CY205" s="4" t="e">
        <f ca="1">_xll.BDH($C$203,"INVENT_TURN","FQ2 2014","FQ2 2014","Currency=INR","Period=FQ","BEST_FPERIOD_OVERRIDE=FQ","FILING_STATUS=OR","EQY_CONSOLIDATED=Y","FA_ADJUSTED=GAAP","Sort=A","Dates=H","DateFormat=P","Fill=—","Direction=H","UseDPDF=Y")</f>
        <v>#NAME?</v>
      </c>
      <c r="CZ205" s="2" t="e">
        <f ca="1">_xll.BDH($C$203,"INVENT_DAYS","FQ2 2014","FQ2 2014","Currency=INR","Period=FQ","BEST_FPERIOD_OVERRIDE=FQ","FILING_STATUS=OR","EQY_CONSOLIDATED=Y","FA_ADJUSTED=GAAP","Sort=A","Dates=H","DateFormat=P","Fill=—","Direction=H","UseDPDF=Y")</f>
        <v>#NAME?</v>
      </c>
      <c r="DA205" s="4" t="e">
        <f ca="1">_xll.BDH($C$203,"ACCOUNTS_PAYABLE_TURNOVER","FQ2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205" s="2" t="e">
        <f ca="1">_xll.BDH($C$203,"ACCOUNTS_PAYABLE_TURNOVER_DAYS","FQ2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205" s="4" t="e">
        <f ca="1">_xll.BDH($C$203,"CASH_CONVERSION_CYCLE","FQ2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205" s="4" t="e">
        <f ca="1">_xll.BDH($C$203,"INV_TO_CASH_DAYS","FQ2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205" s="5" t="e">
        <f ca="1">_xll.BDH($C$203,"BS_INVENTORIES","FQ2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205" s="3" t="e">
        <f ca="1">_xll.BDH($C$203,"INVTRY_RAW_MATERIALS","FQ2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205" s="3" t="e">
        <f ca="1">_xll.BDH($C$203,"INVTRY_IN_PROGRESS","FQ2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205" s="3" t="e">
        <f ca="1">_xll.BDH($C$203,"INVTRY_FINISHED_GOODS","FQ2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205" s="3" t="e">
        <f ca="1">_xll.BDH($C$203,"BS_OTHER_INV","FQ2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206" spans="1:113" x14ac:dyDescent="0.3">
      <c r="A206" s="6"/>
      <c r="B206" s="6"/>
      <c r="C206" s="6"/>
      <c r="D206" s="6"/>
      <c r="E206" t="s">
        <v>80</v>
      </c>
      <c r="F206" t="e">
        <f ca="1">_xll.BDH($C$203,"RETURN_COM_EQY","FQ3 2014","FQ3 2014","Currency=INR","Period=FQ","BEST_FPERIOD_OVERRIDE=FQ","FILING_STATUS=OR","EQY_CONSOLIDATED=Y","FA_ADJUSTED=GAAP","Sort=A","Dates=H","DateFormat=P","Fill=—","Direction=H","UseDPDF=Y")</f>
        <v>#NAME?</v>
      </c>
      <c r="G206" t="e">
        <f ca="1">_xll.BDH($C$203,"RETURN_ON_ASSET","FQ3 2014","FQ3 2014","Currency=INR","Period=FQ","BEST_FPERIOD_OVERRIDE=FQ","FILING_STATUS=OR","EQY_CONSOLIDATED=Y","FA_ADJUSTED=GAAP","Sort=A","Dates=H","DateFormat=P","Fill=—","Direction=H","UseDPDF=Y")</f>
        <v>#NAME?</v>
      </c>
      <c r="H206" t="e">
        <f ca="1">_xll.BDH($C$203,"RETURN_ON_CAP","FQ3 2014","FQ3 2014","Currency=INR","Period=FQ","BEST_FPERIOD_OVERRIDE=FQ","FILING_STATUS=OR","EQY_CONSOLIDATED=Y","FA_ADJUSTED=GAAP","Sort=A","Dates=H","DateFormat=P","Fill=—","Direction=H","UseDPDF=Y")</f>
        <v>#NAME?</v>
      </c>
      <c r="I206" t="e">
        <f ca="1">_xll.BDH($C$203,"RETURN_ON_INV_CAPITAL","FQ3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206" t="e">
        <f ca="1">_xll.BDH($C$203,"EBITDA_TO_REVENUE","FQ3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206" t="e">
        <f ca="1">_xll.BDH($C$203,"OPER_MARGIN","FQ3 2014","FQ3 2014","Currency=INR","Period=FQ","BEST_FPERIOD_OVERRIDE=FQ","FILING_STATUS=OR","EQY_CONSOLIDATED=Y","FA_ADJUSTED=GAAP","Sort=A","Dates=H","DateFormat=P","Fill=—","Direction=H","UseDPDF=Y")</f>
        <v>#NAME?</v>
      </c>
      <c r="L206" t="e">
        <f ca="1">_xll.BDH($C$203,"INCREMENTAL_OPERATING_MARGIN","FQ3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206" t="e">
        <f ca="1">_xll.BDH($C$203,"PRETAX_INC_TO_NET_SALES","FQ3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206" t="e">
        <f ca="1">_xll.BDH($C$203,"INC_BEF_XO_ITEMS_TO_NET_SALES","FQ3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206" t="e">
        <f ca="1">_xll.BDH($C$203,"PROF_MARGIN","FQ3 2014","FQ3 2014","Currency=INR","Period=FQ","BEST_FPERIOD_OVERRIDE=FQ","FILING_STATUS=OR","EQY_CONSOLIDATED=Y","FA_ADJUSTED=GAAP","Sort=A","Dates=H","DateFormat=P","Fill=—","Direction=H","UseDPDF=Y")</f>
        <v>#NAME?</v>
      </c>
      <c r="P206" t="e">
        <f ca="1">_xll.BDH($C$203,"NET_INCOME_TO_COMMON_MARGIN","FQ3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206" t="e">
        <f ca="1">_xll.BDH($C$203,"EFF_TAX_RATE","FQ3 2014","FQ3 2014","Currency=INR","Period=FQ","BEST_FPERIOD_OVERRIDE=FQ","FILING_STATUS=OR","EQY_CONSOLIDATED=Y","FA_ADJUSTED=GAAP","Sort=A","Dates=H","DateFormat=P","Fill=—","Direction=H","UseDPDF=Y")</f>
        <v>#NAME?</v>
      </c>
      <c r="R206" t="e">
        <f ca="1">_xll.BDH($C$203,"DVD_PAYOUT_RATIO","FQ3 2014","FQ3 2014","Currency=INR","Period=FQ","BEST_FPERIOD_OVERRIDE=FQ","FILING_STATUS=OR","EQY_CONSOLIDATED=Y","FA_ADJUSTED=GAAP","Sort=A","Dates=H","DateFormat=P","Fill=—","Direction=H","UseDPDF=Y")</f>
        <v>#NAME?</v>
      </c>
      <c r="S206" t="e">
        <f ca="1">_xll.BDH($C$203,"SUSTAIN_GROWTH_RT","FQ3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206" s="2" t="e">
        <f ca="1">_xll.BDH($C$203,"SALES_GROWTH","FQ3 2014","FQ3 2014","Currency=INR","Period=FQ","BEST_FPERIOD_OVERRIDE=FQ","FILING_STATUS=OR","EQY_CONSOLIDATED=Y","FA_ADJUSTED=GAAP","Sort=A","Dates=H","DateFormat=P","Fill=—","Direction=H","UseDPDF=Y")</f>
        <v>#NAME?</v>
      </c>
      <c r="U206" s="2" t="e">
        <f ca="1">_xll.BDH($C$203,"EBITDA_GROWTH","FQ3 2014","FQ3 2014","Currency=INR","Period=FQ","BEST_FPERIOD_OVERRIDE=FQ","FILING_STATUS=OR","EQY_CONSOLIDATED=Y","FA_ADJUSTED=GAAP","Sort=A","Dates=H","DateFormat=P","Fill=—","Direction=H","UseDPDF=Y")</f>
        <v>#NAME?</v>
      </c>
      <c r="V206" s="2" t="e">
        <f ca="1">_xll.BDH($C$203,"OPER_INC_GROWTH","FQ3 2014","FQ3 2014","Currency=INR","Period=FQ","BEST_FPERIOD_OVERRIDE=FQ","FILING_STATUS=OR","EQY_CONSOLIDATED=Y","FA_ADJUSTED=GAAP","Sort=A","Dates=H","DateFormat=P","Fill=—","Direction=H","UseDPDF=Y")</f>
        <v>#NAME?</v>
      </c>
      <c r="W206" s="2" t="e">
        <f ca="1">_xll.BDH($C$203,"EARN_FOR_COM_GROWTH","FQ3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206" s="2" t="e">
        <f ca="1">_xll.BDH($C$203,"DILUTED_EPS_AFT_XO_ITEMS_GROWTH","FQ3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206" s="2" t="e">
        <f ca="1">_xll.BDH($C$203,"DIVIDEND_PER_SHARE_1_YEAR_GROWTH","FQ3 2014","FQ3 2014","Currency=INR","Period=FQ","BEST_FPERIOD_OVERRIDE=FQ","FILING_STATUS=OR","EQY_CONSOLIDATED=Y","Sort=A","Dates=H","DateFormat=P","Fill=—","Direction=H","UseDPDF=Y")</f>
        <v>#NAME?</v>
      </c>
      <c r="Z206" s="2" t="e">
        <f ca="1">_xll.BDH($C$203,"ACCOUNTS_RECEIVABLE_GROWTH","FQ3 2014","FQ3 2014","Currency=INR","Period=FQ","BEST_FPERIOD_OVERRIDE=FQ","FILING_STATUS=OR","EQY_CONSOLIDATED=Y","Sort=A","Dates=H","DateFormat=P","Fill=—","Direction=H","UseDPDF=Y")</f>
        <v>#NAME?</v>
      </c>
      <c r="AA206" s="2" t="e">
        <f ca="1">_xll.BDH($C$203,"INVENTORY_GROWTH","FQ3 2014","FQ3 2014","Currency=INR","Period=FQ","BEST_FPERIOD_OVERRIDE=FQ","FILING_STATUS=OR","EQY_CONSOLIDATED=Y","Sort=A","Dates=H","DateFormat=P","Fill=—","Direction=H","UseDPDF=Y")</f>
        <v>#NAME?</v>
      </c>
      <c r="AB206" s="2" t="e">
        <f ca="1">_xll.BDH($C$203,"NET_FIXED_ASSETS_1_YEAR_GROWTH","FQ3 2014","FQ3 2014","Currency=INR","Period=FQ","BEST_FPERIOD_OVERRIDE=FQ","FILING_STATUS=OR","EQY_CONSOLIDATED=Y","Sort=A","Dates=H","DateFormat=P","Fill=—","Direction=H","UseDPDF=Y")</f>
        <v>#NAME?</v>
      </c>
      <c r="AC206" s="2" t="e">
        <f ca="1">_xll.BDH($C$203,"ASSET_GROWTH","FQ3 2014","FQ3 2014","Currency=INR","Period=FQ","BEST_FPERIOD_OVERRIDE=FQ","FILING_STATUS=OR","EQY_CONSOLIDATED=Y","Sort=A","Dates=H","DateFormat=P","Fill=—","Direction=H","UseDPDF=Y")</f>
        <v>#NAME?</v>
      </c>
      <c r="AD206" s="2" t="e">
        <f ca="1">_xll.BDH($C$203,"MODIFIED_WORK_CAP_GROWTH","FQ3 2014","FQ3 2014","Currency=INR","Period=FQ","BEST_FPERIOD_OVERRIDE=FQ","FILING_STATUS=OR","EQY_CONSOLIDATED=Y","Sort=A","Dates=H","DateFormat=P","Fill=—","Direction=H","UseDPDF=Y")</f>
        <v>#NAME?</v>
      </c>
      <c r="AE206" s="2" t="e">
        <f ca="1">_xll.BDH($C$203,"WORK_CAP_GROWTH","FQ3 2014","FQ3 2014","Currency=INR","Period=FQ","BEST_FPERIOD_OVERRIDE=FQ","FILING_STATUS=OR","EQY_CONSOLIDATED=Y","Sort=A","Dates=H","DateFormat=P","Fill=—","Direction=H","UseDPDF=Y")</f>
        <v>#NAME?</v>
      </c>
      <c r="AF206" s="2" t="e">
        <f ca="1">_xll.BDH($C$203,"ACCOUNTS_PAYABLE_GROWTH_1YR","FQ3 2014","FQ3 2014","Currency=INR","Period=FQ","BEST_FPERIOD_OVERRIDE=FQ","FILING_STATUS=OR","EQY_CONSOLIDATED=Y","Sort=A","Dates=H","DateFormat=P","Fill=—","Direction=H","UseDPDF=Y")</f>
        <v>#NAME?</v>
      </c>
      <c r="AG206" s="2" t="e">
        <f ca="1">_xll.BDH($C$203,"SHORT_TERM_DEBT_1_YEAR_GROWTH","FQ3 2014","FQ3 2014","Currency=INR","Period=FQ","BEST_FPERIOD_OVERRIDE=FQ","FILING_STATUS=OR","EQY_CONSOLIDATED=Y","Sort=A","Dates=H","DateFormat=P","Fill=—","Direction=H","UseDPDF=Y")</f>
        <v>#NAME?</v>
      </c>
      <c r="AH206" s="2" t="e">
        <f ca="1">_xll.BDH($C$203,"TOTAL_DEBT_1_YEAR_GROWTH","FQ3 2014","FQ3 2014","Currency=INR","Period=FQ","BEST_FPERIOD_OVERRIDE=FQ","FILING_STATUS=OR","EQY_CONSOLIDATED=Y","Sort=A","Dates=H","DateFormat=P","Fill=—","Direction=H","UseDPDF=Y")</f>
        <v>#NAME?</v>
      </c>
      <c r="AI206" s="2" t="e">
        <f ca="1">_xll.BDH($C$203,"TOTAL_EQUITY_1_YEAR_GROWTH","FQ3 2014","FQ3 2014","Currency=INR","Period=FQ","BEST_FPERIOD_OVERRIDE=FQ","FILING_STATUS=OR","EQY_CONSOLIDATED=Y","Sort=A","Dates=H","DateFormat=P","Fill=—","Direction=H","UseDPDF=Y")</f>
        <v>#NAME?</v>
      </c>
      <c r="AJ206" s="2" t="e">
        <f ca="1">_xll.BDH($C$203,"GROWTH_IN_CAP","FQ3 2014","FQ3 2014","Currency=INR","Period=FQ","BEST_FPERIOD_OVERRIDE=FQ","FILING_STATUS=OR","EQY_CONSOLIDATED=Y","Sort=A","Dates=H","DateFormat=P","Fill=—","Direction=H","UseDPDF=Y")</f>
        <v>#NAME?</v>
      </c>
      <c r="AK206" s="2" t="e">
        <f ca="1">_xll.BDH($C$203,"BVPS_GROWTH","FQ3 2014","FQ3 2014","Currency=INR","Period=FQ","BEST_FPERIOD_OVERRIDE=FQ","FILING_STATUS=OR","EQY_CONSOLIDATED=Y","Sort=A","Dates=H","DateFormat=P","Fill=—","Direction=H","UseDPDF=Y")</f>
        <v>#NAME?</v>
      </c>
      <c r="AL206" s="2" t="e">
        <f ca="1">_xll.BDH($C$203,"CASH_FLOW_GROWTH","FQ3 2014","FQ3 2014","Currency=INR","Period=FQ","BEST_FPERIOD_OVERRIDE=FQ","FILING_STATUS=OR","EQY_CONSOLIDATED=Y","Sort=A","Dates=H","DateFormat=P","Fill=—","Direction=H","UseDPDF=Y")</f>
        <v>#NAME?</v>
      </c>
      <c r="AM206" s="2" t="e">
        <f ca="1">_xll.BDH($C$203,"GEO_GROW_NET_SALES","FQ3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206" s="2" t="e">
        <f ca="1">_xll.BDH($C$203,"GEO_GROW_EBITDA","FQ3 2014","FQ3 2014","Currency=INR","Period=FQ","BEST_FPERIOD_OVERRIDE=FQ","FILING_STATUS=OR","EQY_CONSOLIDATED=Y","FA_ADJUSTED=GAAP","Sort=A","Dates=H","DateFormat=P","Fill=—","Direction=H","UseDPDF=Y")</f>
        <v>#NAME?</v>
      </c>
      <c r="AO206" s="2" t="e">
        <f ca="1">_xll.BDH($C$203,"GEO_GROW_OPER_INC","FQ3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206" s="2" t="e">
        <f ca="1">_xll.BDH($C$203,"NET_INCOME_TO_COMMON_5_YR_GROWTH","FQ3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206" s="2" t="e">
        <f ca="1">_xll.BDH($C$203,"5Y_GEO_GROWTH_DILUTED_EPS","FQ3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206" s="2" t="e">
        <f ca="1">_xll.BDH($C$203,"GEO_GROW_DVD_PER_SH","FQ3 2014","FQ3 2014","Currency=INR","Period=FQ","BEST_FPERIOD_OVERRIDE=FQ","FILING_STATUS=OR","EQY_CONSOLIDATED=Y","Sort=A","Dates=H","DateFormat=P","Fill=—","Direction=H","UseDPDF=Y")</f>
        <v>#NAME?</v>
      </c>
      <c r="AS206" s="2" t="e">
        <f ca="1">_xll.BDH($C$203,"ACCOUNTS_RECEIVABLE_5_YR_GROWTH","FQ3 2014","FQ3 2014","Currency=INR","Period=FQ","BEST_FPERIOD_OVERRIDE=FQ","FILING_STATUS=OR","EQY_CONSOLIDATED=Y","Sort=A","Dates=H","DateFormat=P","Fill=—","Direction=H","UseDPDF=Y")</f>
        <v>#NAME?</v>
      </c>
      <c r="AT206" s="2" t="e">
        <f ca="1">_xll.BDH($C$203,"INVENTORY_5_YEAR_GROWTH","FQ3 2014","FQ3 2014","Currency=INR","Period=FQ","BEST_FPERIOD_OVERRIDE=FQ","FILING_STATUS=OR","EQY_CONSOLIDATED=Y","Sort=A","Dates=H","DateFormat=P","Fill=—","Direction=H","UseDPDF=Y")</f>
        <v>#NAME?</v>
      </c>
      <c r="AU206" s="2" t="e">
        <f ca="1">_xll.BDH($C$203,"NET_FIXED_ASSETS_5_YEAR_GROWTH","FQ3 2014","FQ3 2014","Currency=INR","Period=FQ","BEST_FPERIOD_OVERRIDE=FQ","FILING_STATUS=OR","EQY_CONSOLIDATED=Y","Sort=A","Dates=H","DateFormat=P","Fill=—","Direction=H","UseDPDF=Y")</f>
        <v>#NAME?</v>
      </c>
      <c r="AV206" s="2" t="e">
        <f ca="1">_xll.BDH($C$203,"GEO_GROW_TOT_ASSET","FQ3 2014","FQ3 2014","Currency=INR","Period=FQ","BEST_FPERIOD_OVERRIDE=FQ","FILING_STATUS=OR","EQY_CONSOLIDATED=Y","Sort=A","Dates=H","DateFormat=P","Fill=—","Direction=H","UseDPDF=Y")</f>
        <v>#NAME?</v>
      </c>
      <c r="AW206" s="2" t="e">
        <f ca="1">_xll.BDH($C$203,"MODIFIED_WORKING_CPTL_5YR_GRWTH","FQ3 2014","FQ3 2014","Currency=INR","Period=FQ","BEST_FPERIOD_OVERRIDE=FQ","FILING_STATUS=OR","EQY_CONSOLIDATED=Y","Sort=A","Dates=H","DateFormat=P","Fill=—","Direction=H","UseDPDF=Y")</f>
        <v>#NAME?</v>
      </c>
      <c r="AX206" s="2" t="e">
        <f ca="1">_xll.BDH($C$203,"WORKING_CAPITAL_5_YEAR_GROWTH","FQ3 2014","FQ3 2014","Currency=INR","Period=FQ","BEST_FPERIOD_OVERRIDE=FQ","FILING_STATUS=OR","EQY_CONSOLIDATED=Y","Sort=A","Dates=H","DateFormat=P","Fill=—","Direction=H","UseDPDF=Y")</f>
        <v>#NAME?</v>
      </c>
      <c r="AY206" s="2" t="e">
        <f ca="1">_xll.BDH($C$203,"ACCOUNTS_PAYABLE_5_YEAR_GROWTH","FQ3 2014","FQ3 2014","Currency=INR","Period=FQ","BEST_FPERIOD_OVERRIDE=FQ","FILING_STATUS=OR","EQY_CONSOLIDATED=Y","Sort=A","Dates=H","DateFormat=P","Fill=—","Direction=H","UseDPDF=Y")</f>
        <v>#NAME?</v>
      </c>
      <c r="AZ206" s="2" t="e">
        <f ca="1">_xll.BDH($C$203,"SHORT_TERM_DEBT_5_YEAR_GROWTH","FQ3 2014","FQ3 2014","Currency=INR","Period=FQ","BEST_FPERIOD_OVERRIDE=FQ","FILING_STATUS=OR","EQY_CONSOLIDATED=Y","Sort=A","Dates=H","DateFormat=P","Fill=—","Direction=H","UseDPDF=Y")</f>
        <v>#NAME?</v>
      </c>
      <c r="BA206" s="2" t="e">
        <f ca="1">_xll.BDH($C$203,"TOTAL_DEBT_5_YEAR_GROWTH","FQ3 2014","FQ3 2014","Currency=INR","Period=FQ","BEST_FPERIOD_OVERRIDE=FQ","FILING_STATUS=OR","EQY_CONSOLIDATED=Y","Sort=A","Dates=H","DateFormat=P","Fill=—","Direction=H","UseDPDF=Y")</f>
        <v>#NAME?</v>
      </c>
      <c r="BB206" s="2" t="e">
        <f ca="1">_xll.BDH($C$203,"GEO_GROW_TOT_SHRHLDR_EQY","FQ3 2014","FQ3 2014","Currency=INR","Period=FQ","BEST_FPERIOD_OVERRIDE=FQ","FILING_STATUS=OR","EQY_CONSOLIDATED=Y","Sort=A","Dates=H","DateFormat=P","Fill=—","Direction=H","UseDPDF=Y")</f>
        <v>#NAME?</v>
      </c>
      <c r="BC206" s="2" t="e">
        <f ca="1">_xll.BDH($C$203,"TOTAL_CAPITAL_5_YEAR_GROWTH","FQ3 2014","FQ3 2014","Currency=INR","Period=FQ","BEST_FPERIOD_OVERRIDE=FQ","FILING_STATUS=OR","EQY_CONSOLIDATED=Y","Sort=A","Dates=H","DateFormat=P","Fill=—","Direction=H","UseDPDF=Y")</f>
        <v>#NAME?</v>
      </c>
      <c r="BD206" s="2" t="e">
        <f ca="1">_xll.BDH($C$203,"GEO_GROW_BOOK_VAL","FQ3 2014","FQ3 2014","Currency=INR","Period=FQ","BEST_FPERIOD_OVERRIDE=FQ","FILING_STATUS=OR","EQY_CONSOLIDATED=Y","Sort=A","Dates=H","DateFormat=P","Fill=—","Direction=H","UseDPDF=Y")</f>
        <v>#NAME?</v>
      </c>
      <c r="BE206" s="2" t="e">
        <f ca="1">_xll.BDH($C$203,"GEO_GROW_CASH_OPER_ACT","FQ3 2014","FQ3 2014","Currency=INR","Period=FQ","BEST_FPERIOD_OVERRIDE=FQ","FILING_STATUS=OR","EQY_CONSOLIDATED=Y","Sort=A","Dates=H","DateFormat=P","Fill=—","Direction=H","UseDPDF=Y")</f>
        <v>#NAME?</v>
      </c>
      <c r="BF206" s="2" t="e">
        <f ca="1">_xll.BDH($C$203,"REVENUE_SEQUENTIAL_GROWTH","FQ3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206" s="2" t="e">
        <f ca="1">_xll.BDH($C$203,"EBITDA_SEQUENTIAL_GROWTH","FQ3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206" s="2" t="e">
        <f ca="1">_xll.BDH($C$203,"OPERATING_INCOME_SEQ_GROWTH","FQ3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206" s="2" t="e">
        <f ca="1">_xll.BDH($C$203,"NET_INCOME_TO_COMMON_SEQ_GROWTH","FQ3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206" s="2" t="e">
        <f ca="1">_xll.BDH($C$203,"EPS_DILUTED_SEQUENTIAL_GROWTH","FQ3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206" s="2" t="e">
        <f ca="1">_xll.BDH($C$203,"DPS_SEQUENTIAL_GROWTH","FQ3 2014","FQ3 2014","Currency=INR","Period=FQ","BEST_FPERIOD_OVERRIDE=FQ","FILING_STATUS=OR","EQY_CONSOLIDATED=Y","Sort=A","Dates=H","DateFormat=P","Fill=—","Direction=H","UseDPDF=Y")</f>
        <v>#NAME?</v>
      </c>
      <c r="BL206" s="2" t="e">
        <f ca="1">_xll.BDH($C$203,"ACCOUNTS_RECEIVABLE_SEQ_GROWTH","FQ3 2014","FQ3 2014","Currency=INR","Period=FQ","BEST_FPERIOD_OVERRIDE=FQ","FILING_STATUS=OR","EQY_CONSOLIDATED=Y","Sort=A","Dates=H","DateFormat=P","Fill=—","Direction=H","UseDPDF=Y")</f>
        <v>#NAME?</v>
      </c>
      <c r="BM206" s="2" t="e">
        <f ca="1">_xll.BDH($C$203,"INVENTORY_SEQUENTIAL_GROWTH","FQ3 2014","FQ3 2014","Currency=INR","Period=FQ","BEST_FPERIOD_OVERRIDE=FQ","FILING_STATUS=OR","EQY_CONSOLIDATED=Y","Sort=A","Dates=H","DateFormat=P","Fill=—","Direction=H","UseDPDF=Y")</f>
        <v>#NAME?</v>
      </c>
      <c r="BN206" s="2" t="e">
        <f ca="1">_xll.BDH($C$203,"FIXED_ASSETS_SEQUENTIAL_GROWTH","FQ3 2014","FQ3 2014","Currency=INR","Period=FQ","BEST_FPERIOD_OVERRIDE=FQ","FILING_STATUS=OR","EQY_CONSOLIDATED=Y","Sort=A","Dates=H","DateFormat=P","Fill=—","Direction=H","UseDPDF=Y")</f>
        <v>#NAME?</v>
      </c>
      <c r="BO206" s="2" t="e">
        <f ca="1">_xll.BDH($C$203,"TOTAL_ASSETS_SEQUENTIAL_GROWTH","FQ3 2014","FQ3 2014","Currency=INR","Period=FQ","BEST_FPERIOD_OVERRIDE=FQ","FILING_STATUS=OR","EQY_CONSOLIDATED=Y","Sort=A","Dates=H","DateFormat=P","Fill=—","Direction=H","UseDPDF=Y")</f>
        <v>#NAME?</v>
      </c>
      <c r="BP206" s="2" t="e">
        <f ca="1">_xll.BDH($C$203,"MODIFIED_WORKING_CPTL_SEQ_GRWTH","FQ3 2014","FQ3 2014","Currency=INR","Period=FQ","BEST_FPERIOD_OVERRIDE=FQ","FILING_STATUS=OR","EQY_CONSOLIDATED=Y","Sort=A","Dates=H","DateFormat=P","Fill=—","Direction=H","UseDPDF=Y")</f>
        <v>#NAME?</v>
      </c>
      <c r="BQ206" s="2" t="e">
        <f ca="1">_xll.BDH($C$203,"WORKING_CAPITAL_SEQ_GROWTH","FQ3 2014","FQ3 2014","Currency=INR","Period=FQ","BEST_FPERIOD_OVERRIDE=FQ","FILING_STATUS=OR","EQY_CONSOLIDATED=Y","Sort=A","Dates=H","DateFormat=P","Fill=—","Direction=H","UseDPDF=Y")</f>
        <v>#NAME?</v>
      </c>
      <c r="BR206" s="2" t="e">
        <f ca="1">_xll.BDH($C$203,"ACCOUNTS_PAYABLE_SEQ_GROWTH","FQ3 2014","FQ3 2014","Currency=INR","Period=FQ","BEST_FPERIOD_OVERRIDE=FQ","FILING_STATUS=OR","EQY_CONSOLIDATED=Y","Sort=A","Dates=H","DateFormat=P","Fill=—","Direction=H","UseDPDF=Y")</f>
        <v>#NAME?</v>
      </c>
      <c r="BS206" s="2" t="e">
        <f ca="1">_xll.BDH($C$203,"ST_DEBT_SEQUENTIAL_GROWTH","FQ3 2014","FQ3 2014","Currency=INR","Period=FQ","BEST_FPERIOD_OVERRIDE=FQ","FILING_STATUS=OR","EQY_CONSOLIDATED=Y","Sort=A","Dates=H","DateFormat=P","Fill=—","Direction=H","UseDPDF=Y")</f>
        <v>#NAME?</v>
      </c>
      <c r="BT206" s="2" t="e">
        <f ca="1">_xll.BDH($C$203,"TOTAL_DEBT_SEQUENTIAL_GROWTH","FQ3 2014","FQ3 2014","Currency=INR","Period=FQ","BEST_FPERIOD_OVERRIDE=FQ","FILING_STATUS=OR","EQY_CONSOLIDATED=Y","Sort=A","Dates=H","DateFormat=P","Fill=—","Direction=H","UseDPDF=Y")</f>
        <v>#NAME?</v>
      </c>
      <c r="BU206" s="2" t="e">
        <f ca="1">_xll.BDH($C$203,"TOTAL_EQUITY_SEQUENTIAL_GROWTH","FQ3 2014","FQ3 2014","Currency=INR","Period=FQ","BEST_FPERIOD_OVERRIDE=FQ","FILING_STATUS=OR","EQY_CONSOLIDATED=Y","Sort=A","Dates=H","DateFormat=P","Fill=—","Direction=H","UseDPDF=Y")</f>
        <v>#NAME?</v>
      </c>
      <c r="BV206" s="2" t="e">
        <f ca="1">_xll.BDH($C$203,"TOTAL_CAPITAL_SEQUENTIAL_GROWTH","FQ3 2014","FQ3 2014","Currency=INR","Period=FQ","BEST_FPERIOD_OVERRIDE=FQ","FILING_STATUS=OR","EQY_CONSOLIDATED=Y","Sort=A","Dates=H","DateFormat=P","Fill=—","Direction=H","UseDPDF=Y")</f>
        <v>#NAME?</v>
      </c>
      <c r="BW206" s="2" t="e">
        <f ca="1">_xll.BDH($C$203,"BPS_SEQUENTIAL_GROWTH","FQ3 2014","FQ3 2014","Currency=INR","Period=FQ","BEST_FPERIOD_OVERRIDE=FQ","FILING_STATUS=OR","EQY_CONSOLIDATED=Y","Sort=A","Dates=H","DateFormat=P","Fill=—","Direction=H","UseDPDF=Y")</f>
        <v>#NAME?</v>
      </c>
      <c r="BX206" s="2" t="e">
        <f ca="1">_xll.BDH($C$203,"CFO_SEQUENTIAL_GROWTH","FQ3 2014","FQ3 2014","Currency=INR","Period=FQ","BEST_FPERIOD_OVERRIDE=FQ","FILING_STATUS=OR","EQY_CONSOLIDATED=Y","Sort=A","Dates=H","DateFormat=P","Fill=—","Direction=H","UseDPDF=Y")</f>
        <v>#NAME?</v>
      </c>
      <c r="BY206" s="3" t="e">
        <f ca="1">_xll.BDH($C$203,"SHORT_AND_LONG_TERM_DEBT","FQ3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206" s="3" t="e">
        <f ca="1">_xll.BDH($C$203,"BS_ST_BORROW","FQ3 2014","FQ3 2014","Currency=INR","Period=FQ","BEST_FPERIOD_OVERRIDE=FQ","FILING_STATUS=OR","EQY_CONSOLIDATED=Y","SCALING_FORMAT=MLN","Sort=A","Dates=H","DateFormat=P","Fill=—","Direction=H","UseDPDF=Y")</f>
        <v>#NAME?</v>
      </c>
      <c r="CA206" s="3" t="e">
        <f ca="1">_xll.BDH($C$203,"BS_LT_BORROW","FQ3 2014","FQ3 2014","Currency=INR","Period=FQ","BEST_FPERIOD_OVERRIDE=FQ","FILING_STATUS=OR","EQY_CONSOLIDATED=Y","SCALING_FORMAT=MLN","Sort=A","Dates=H","DateFormat=P","Fill=—","Direction=H","UseDPDF=Y")</f>
        <v>#NAME?</v>
      </c>
      <c r="CB206" s="2" t="e">
        <f ca="1">_xll.BDH($C$203,"TOT_DEBT_TO_EBITDA","FQ3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206" s="2" t="e">
        <f ca="1">_xll.BDH($C$203,"NET_DEBT_TO_EBITDA","FQ3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206" s="2" t="e">
        <f ca="1">_xll.BDH($C$203,"TOTAL_DEBT_TO_EBIT","FQ3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206" s="2" t="e">
        <f ca="1">_xll.BDH($C$203,"NET_DEBT_TO_EBIT","FQ3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206" s="2" t="e">
        <f ca="1">_xll.BDH($C$203,"EBITDA_TO_INTEREST_EXPN","FQ3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206" s="2" t="e">
        <f ca="1">_xll.BDH($C$203,"COM_EQY_TO_TOT_ASSET","FQ3 2014","FQ3 2014","Currency=INR","Period=FQ","BEST_FPERIOD_OVERRIDE=FQ","FILING_STATUS=OR","EQY_CONSOLIDATED=Y","Sort=A","Dates=H","DateFormat=P","Fill=—","Direction=H","UseDPDF=Y")</f>
        <v>#NAME?</v>
      </c>
      <c r="CH206" s="2" t="e">
        <f ca="1">_xll.BDH($C$203,"LT_DEBT_TO_TOT_EQY","FQ3 2014","FQ3 2014","Currency=INR","Period=FQ","BEST_FPERIOD_OVERRIDE=FQ","FILING_STATUS=OR","EQY_CONSOLIDATED=Y","Sort=A","Dates=H","DateFormat=P","Fill=—","Direction=H","UseDPDF=Y")</f>
        <v>#NAME?</v>
      </c>
      <c r="CI206" s="2" t="e">
        <f ca="1">_xll.BDH($C$203,"LT_DEBT_TO_TOT_CAP","FQ3 2014","FQ3 2014","Currency=INR","Period=FQ","BEST_FPERIOD_OVERRIDE=FQ","FILING_STATUS=OR","EQY_CONSOLIDATED=Y","Sort=A","Dates=H","DateFormat=P","Fill=—","Direction=H","UseDPDF=Y")</f>
        <v>#NAME?</v>
      </c>
      <c r="CJ206" s="2" t="e">
        <f ca="1">_xll.BDH($C$203,"LT_DEBT_TO_TOT_ASSET","FQ3 2014","FQ3 2014","Currency=INR","Period=FQ","BEST_FPERIOD_OVERRIDE=FQ","FILING_STATUS=OR","EQY_CONSOLIDATED=Y","Sort=A","Dates=H","DateFormat=P","Fill=—","Direction=H","UseDPDF=Y")</f>
        <v>#NAME?</v>
      </c>
      <c r="CK206" s="2" t="e">
        <f ca="1">_xll.BDH($C$203,"TOT_DEBT_TO_TOT_EQY","FQ3 2014","FQ3 2014","Currency=INR","Period=FQ","BEST_FPERIOD_OVERRIDE=FQ","FILING_STATUS=OR","EQY_CONSOLIDATED=Y","Sort=A","Dates=H","DateFormat=P","Fill=—","Direction=H","UseDPDF=Y")</f>
        <v>#NAME?</v>
      </c>
      <c r="CL206" s="2" t="e">
        <f ca="1">_xll.BDH($C$203,"TOT_DEBT_TO_TOT_CAP","FQ3 2014","FQ3 2014","Currency=INR","Period=FQ","BEST_FPERIOD_OVERRIDE=FQ","FILING_STATUS=OR","EQY_CONSOLIDATED=Y","Sort=A","Dates=H","DateFormat=P","Fill=—","Direction=H","UseDPDF=Y")</f>
        <v>#NAME?</v>
      </c>
      <c r="CM206" s="2" t="e">
        <f ca="1">_xll.BDH($C$203,"TOT_DEBT_TO_TOT_ASSET","FQ3 2014","FQ3 2014","Currency=INR","Period=FQ","BEST_FPERIOD_OVERRIDE=FQ","FILING_STATUS=OR","EQY_CONSOLIDATED=Y","Sort=A","Dates=H","DateFormat=P","Fill=—","Direction=H","UseDPDF=Y")</f>
        <v>#NAME?</v>
      </c>
      <c r="CN206" s="2" t="e">
        <f ca="1">_xll.BDH($C$203,"NET_DEBT_TO_SHRHLDR_EQTY","FQ3 2014","FQ3 2014","Currency=INR","Period=FQ","BEST_FPERIOD_OVERRIDE=FQ","FILING_STATUS=OR","EQY_CONSOLIDATED=Y","Sort=A","Dates=H","DateFormat=P","Fill=—","Direction=H","UseDPDF=Y")</f>
        <v>#NAME?</v>
      </c>
      <c r="CO206" s="2" t="e">
        <f ca="1">_xll.BDH($C$203,"NET_DEBT_%_CAPITAL","FQ3 2014","FQ3 2014","Currency=INR","Period=FQ","BEST_FPERIOD_OVERRIDE=FQ","FILING_STATUS=OR","EQY_CONSOLIDATED=Y","Sort=A","Dates=H","DateFormat=P","Fill=—","Direction=H","UseDPDF=Y")</f>
        <v>#NAME?</v>
      </c>
      <c r="CP206" s="3" t="e">
        <f ca="1">_xll.BDH($C$203,"EBITDA","FQ3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206" s="3" t="e">
        <f ca="1">_xll.BDH($C$203,"EBITDA_AFTER_CAPEX","FQ3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206" s="3" t="e">
        <f ca="1">_xll.BDH($C$203,"IS_OPER_INC","FQ3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206" s="2" t="e">
        <f ca="1">_xll.BDH($C$203,"CASH_RATIO","FQ3 2014","FQ3 2014","Currency=INR","Period=FQ","BEST_FPERIOD_OVERRIDE=FQ","FILING_STATUS=OR","EQY_CONSOLIDATED=Y","Sort=A","Dates=H","DateFormat=P","Fill=—","Direction=H","UseDPDF=Y")</f>
        <v>#NAME?</v>
      </c>
      <c r="CT206" s="2" t="e">
        <f ca="1">_xll.BDH($C$203,"CUR_RATIO","FQ3 2014","FQ3 2014","Currency=INR","Period=FQ","BEST_FPERIOD_OVERRIDE=FQ","FILING_STATUS=OR","EQY_CONSOLIDATED=Y","Sort=A","Dates=H","DateFormat=P","Fill=—","Direction=H","UseDPDF=Y")</f>
        <v>#NAME?</v>
      </c>
      <c r="CU206" s="2" t="e">
        <f ca="1">_xll.BDH($C$203,"QUICK_RATIO","FQ3 2014","FQ3 2014","Currency=INR","Period=FQ","BEST_FPERIOD_OVERRIDE=FQ","FILING_STATUS=OR","EQY_CONSOLIDATED=Y","Sort=A","Dates=H","DateFormat=P","Fill=—","Direction=H","UseDPDF=Y")</f>
        <v>#NAME?</v>
      </c>
      <c r="CV206" s="2" t="e">
        <f ca="1">_xll.BDH($C$203,"ALTMAN_Z_SCORE","FQ3 2014","FQ3 2014","Currency=INR","Period=FQ","BEST_FPERIOD_OVERRIDE=FQ","FILING_STATUS=OR","EQY_CONSOLIDATED=Y","Sort=A","Dates=H","DateFormat=P","Fill=—","Direction=H","UseDPDF=Y")</f>
        <v>#NAME?</v>
      </c>
      <c r="CW206" s="4" t="e">
        <f ca="1">_xll.BDH($C$203,"ACCT_RCV_TURN","FQ3 2014","FQ3 2014","Currency=INR","Period=FQ","BEST_FPERIOD_OVERRIDE=FQ","FILING_STATUS=OR","EQY_CONSOLIDATED=Y","FA_ADJUSTED=GAAP","Sort=A","Dates=H","DateFormat=P","Fill=—","Direction=H","UseDPDF=Y")</f>
        <v>#NAME?</v>
      </c>
      <c r="CX206" s="2" t="e">
        <f ca="1">_xll.BDH($C$203,"ACCT_RCV_DAYS","FQ3 2014","FQ3 2014","Currency=INR","Period=FQ","BEST_FPERIOD_OVERRIDE=FQ","FILING_STATUS=OR","EQY_CONSOLIDATED=Y","FA_ADJUSTED=GAAP","Sort=A","Dates=H","DateFormat=P","Fill=—","Direction=H","UseDPDF=Y")</f>
        <v>#NAME?</v>
      </c>
      <c r="CY206" s="4" t="e">
        <f ca="1">_xll.BDH($C$203,"INVENT_TURN","FQ3 2014","FQ3 2014","Currency=INR","Period=FQ","BEST_FPERIOD_OVERRIDE=FQ","FILING_STATUS=OR","EQY_CONSOLIDATED=Y","FA_ADJUSTED=GAAP","Sort=A","Dates=H","DateFormat=P","Fill=—","Direction=H","UseDPDF=Y")</f>
        <v>#NAME?</v>
      </c>
      <c r="CZ206" s="2" t="e">
        <f ca="1">_xll.BDH($C$203,"INVENT_DAYS","FQ3 2014","FQ3 2014","Currency=INR","Period=FQ","BEST_FPERIOD_OVERRIDE=FQ","FILING_STATUS=OR","EQY_CONSOLIDATED=Y","FA_ADJUSTED=GAAP","Sort=A","Dates=H","DateFormat=P","Fill=—","Direction=H","UseDPDF=Y")</f>
        <v>#NAME?</v>
      </c>
      <c r="DA206" s="4" t="e">
        <f ca="1">_xll.BDH($C$203,"ACCOUNTS_PAYABLE_TURNOVER","FQ3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206" s="2" t="e">
        <f ca="1">_xll.BDH($C$203,"ACCOUNTS_PAYABLE_TURNOVER_DAYS","FQ3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206" s="4" t="e">
        <f ca="1">_xll.BDH($C$203,"CASH_CONVERSION_CYCLE","FQ3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206" s="4" t="e">
        <f ca="1">_xll.BDH($C$203,"INV_TO_CASH_DAYS","FQ3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206" s="5" t="e">
        <f ca="1">_xll.BDH($C$203,"BS_INVENTORIES","FQ3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206" s="3" t="e">
        <f ca="1">_xll.BDH($C$203,"INVTRY_RAW_MATERIALS","FQ3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206" s="3" t="e">
        <f ca="1">_xll.BDH($C$203,"INVTRY_IN_PROGRESS","FQ3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206" s="3" t="e">
        <f ca="1">_xll.BDH($C$203,"INVTRY_FINISHED_GOODS","FQ3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206" s="3" t="e">
        <f ca="1">_xll.BDH($C$203,"BS_OTHER_INV","FQ3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207" spans="1:113" x14ac:dyDescent="0.3">
      <c r="A207" s="6"/>
      <c r="B207" s="6"/>
      <c r="C207" s="6"/>
      <c r="D207" s="6"/>
      <c r="E207" t="s">
        <v>81</v>
      </c>
      <c r="F207" t="e">
        <f ca="1">_xll.BDH($C$203,"RETURN_COM_EQY","FQ4 2014","FQ4 2014","Currency=INR","Period=FQ","BEST_FPERIOD_OVERRIDE=FQ","FILING_STATUS=OR","EQY_CONSOLIDATED=Y","FA_ADJUSTED=GAAP","Sort=A","Dates=H","DateFormat=P","Fill=—","Direction=H","UseDPDF=Y")</f>
        <v>#NAME?</v>
      </c>
      <c r="G207" t="e">
        <f ca="1">_xll.BDH($C$203,"RETURN_ON_ASSET","FQ4 2014","FQ4 2014","Currency=INR","Period=FQ","BEST_FPERIOD_OVERRIDE=FQ","FILING_STATUS=OR","EQY_CONSOLIDATED=Y","FA_ADJUSTED=GAAP","Sort=A","Dates=H","DateFormat=P","Fill=—","Direction=H","UseDPDF=Y")</f>
        <v>#NAME?</v>
      </c>
      <c r="H207" t="e">
        <f ca="1">_xll.BDH($C$203,"RETURN_ON_CAP","FQ4 2014","FQ4 2014","Currency=INR","Period=FQ","BEST_FPERIOD_OVERRIDE=FQ","FILING_STATUS=OR","EQY_CONSOLIDATED=Y","FA_ADJUSTED=GAAP","Sort=A","Dates=H","DateFormat=P","Fill=—","Direction=H","UseDPDF=Y")</f>
        <v>#NAME?</v>
      </c>
      <c r="I207" t="e">
        <f ca="1">_xll.BDH($C$203,"RETURN_ON_INV_CAPITAL","FQ4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207" t="e">
        <f ca="1">_xll.BDH($C$203,"EBITDA_TO_REVENUE","FQ4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207" t="e">
        <f ca="1">_xll.BDH($C$203,"OPER_MARGIN","FQ4 2014","FQ4 2014","Currency=INR","Period=FQ","BEST_FPERIOD_OVERRIDE=FQ","FILING_STATUS=OR","EQY_CONSOLIDATED=Y","FA_ADJUSTED=GAAP","Sort=A","Dates=H","DateFormat=P","Fill=—","Direction=H","UseDPDF=Y")</f>
        <v>#NAME?</v>
      </c>
      <c r="L207" t="e">
        <f ca="1">_xll.BDH($C$203,"INCREMENTAL_OPERATING_MARGIN","FQ4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207" t="e">
        <f ca="1">_xll.BDH($C$203,"PRETAX_INC_TO_NET_SALES","FQ4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207" t="e">
        <f ca="1">_xll.BDH($C$203,"INC_BEF_XO_ITEMS_TO_NET_SALES","FQ4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207" t="e">
        <f ca="1">_xll.BDH($C$203,"PROF_MARGIN","FQ4 2014","FQ4 2014","Currency=INR","Period=FQ","BEST_FPERIOD_OVERRIDE=FQ","FILING_STATUS=OR","EQY_CONSOLIDATED=Y","FA_ADJUSTED=GAAP","Sort=A","Dates=H","DateFormat=P","Fill=—","Direction=H","UseDPDF=Y")</f>
        <v>#NAME?</v>
      </c>
      <c r="P207" t="e">
        <f ca="1">_xll.BDH($C$203,"NET_INCOME_TO_COMMON_MARGIN","FQ4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207" t="e">
        <f ca="1">_xll.BDH($C$203,"EFF_TAX_RATE","FQ4 2014","FQ4 2014","Currency=INR","Period=FQ","BEST_FPERIOD_OVERRIDE=FQ","FILING_STATUS=OR","EQY_CONSOLIDATED=Y","FA_ADJUSTED=GAAP","Sort=A","Dates=H","DateFormat=P","Fill=—","Direction=H","UseDPDF=Y")</f>
        <v>#NAME?</v>
      </c>
      <c r="R207" t="e">
        <f ca="1">_xll.BDH($C$203,"DVD_PAYOUT_RATIO","FQ4 2014","FQ4 2014","Currency=INR","Period=FQ","BEST_FPERIOD_OVERRIDE=FQ","FILING_STATUS=OR","EQY_CONSOLIDATED=Y","FA_ADJUSTED=GAAP","Sort=A","Dates=H","DateFormat=P","Fill=—","Direction=H","UseDPDF=Y")</f>
        <v>#NAME?</v>
      </c>
      <c r="S207" t="e">
        <f ca="1">_xll.BDH($C$203,"SUSTAIN_GROWTH_RT","FQ4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207" s="2" t="e">
        <f ca="1">_xll.BDH($C$203,"SALES_GROWTH","FQ4 2014","FQ4 2014","Currency=INR","Period=FQ","BEST_FPERIOD_OVERRIDE=FQ","FILING_STATUS=OR","EQY_CONSOLIDATED=Y","FA_ADJUSTED=GAAP","Sort=A","Dates=H","DateFormat=P","Fill=—","Direction=H","UseDPDF=Y")</f>
        <v>#NAME?</v>
      </c>
      <c r="U207" s="2" t="e">
        <f ca="1">_xll.BDH($C$203,"EBITDA_GROWTH","FQ4 2014","FQ4 2014","Currency=INR","Period=FQ","BEST_FPERIOD_OVERRIDE=FQ","FILING_STATUS=OR","EQY_CONSOLIDATED=Y","FA_ADJUSTED=GAAP","Sort=A","Dates=H","DateFormat=P","Fill=—","Direction=H","UseDPDF=Y")</f>
        <v>#NAME?</v>
      </c>
      <c r="V207" s="2" t="e">
        <f ca="1">_xll.BDH($C$203,"OPER_INC_GROWTH","FQ4 2014","FQ4 2014","Currency=INR","Period=FQ","BEST_FPERIOD_OVERRIDE=FQ","FILING_STATUS=OR","EQY_CONSOLIDATED=Y","FA_ADJUSTED=GAAP","Sort=A","Dates=H","DateFormat=P","Fill=—","Direction=H","UseDPDF=Y")</f>
        <v>#NAME?</v>
      </c>
      <c r="W207" s="2" t="e">
        <f ca="1">_xll.BDH($C$203,"EARN_FOR_COM_GROWTH","FQ4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207" s="2" t="e">
        <f ca="1">_xll.BDH($C$203,"DILUTED_EPS_AFT_XO_ITEMS_GROWTH","FQ4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207" s="2" t="e">
        <f ca="1">_xll.BDH($C$203,"DIVIDEND_PER_SHARE_1_YEAR_GROWTH","FQ4 2014","FQ4 2014","Currency=INR","Period=FQ","BEST_FPERIOD_OVERRIDE=FQ","FILING_STATUS=OR","EQY_CONSOLIDATED=Y","Sort=A","Dates=H","DateFormat=P","Fill=—","Direction=H","UseDPDF=Y")</f>
        <v>#NAME?</v>
      </c>
      <c r="Z207" s="2" t="e">
        <f ca="1">_xll.BDH($C$203,"ACCOUNTS_RECEIVABLE_GROWTH","FQ4 2014","FQ4 2014","Currency=INR","Period=FQ","BEST_FPERIOD_OVERRIDE=FQ","FILING_STATUS=OR","EQY_CONSOLIDATED=Y","Sort=A","Dates=H","DateFormat=P","Fill=—","Direction=H","UseDPDF=Y")</f>
        <v>#NAME?</v>
      </c>
      <c r="AA207" s="2" t="e">
        <f ca="1">_xll.BDH($C$203,"INVENTORY_GROWTH","FQ4 2014","FQ4 2014","Currency=INR","Period=FQ","BEST_FPERIOD_OVERRIDE=FQ","FILING_STATUS=OR","EQY_CONSOLIDATED=Y","Sort=A","Dates=H","DateFormat=P","Fill=—","Direction=H","UseDPDF=Y")</f>
        <v>#NAME?</v>
      </c>
      <c r="AB207" s="2" t="e">
        <f ca="1">_xll.BDH($C$203,"NET_FIXED_ASSETS_1_YEAR_GROWTH","FQ4 2014","FQ4 2014","Currency=INR","Period=FQ","BEST_FPERIOD_OVERRIDE=FQ","FILING_STATUS=OR","EQY_CONSOLIDATED=Y","Sort=A","Dates=H","DateFormat=P","Fill=—","Direction=H","UseDPDF=Y")</f>
        <v>#NAME?</v>
      </c>
      <c r="AC207" s="2" t="e">
        <f ca="1">_xll.BDH($C$203,"ASSET_GROWTH","FQ4 2014","FQ4 2014","Currency=INR","Period=FQ","BEST_FPERIOD_OVERRIDE=FQ","FILING_STATUS=OR","EQY_CONSOLIDATED=Y","Sort=A","Dates=H","DateFormat=P","Fill=—","Direction=H","UseDPDF=Y")</f>
        <v>#NAME?</v>
      </c>
      <c r="AD207" s="2" t="e">
        <f ca="1">_xll.BDH($C$203,"MODIFIED_WORK_CAP_GROWTH","FQ4 2014","FQ4 2014","Currency=INR","Period=FQ","BEST_FPERIOD_OVERRIDE=FQ","FILING_STATUS=OR","EQY_CONSOLIDATED=Y","Sort=A","Dates=H","DateFormat=P","Fill=—","Direction=H","UseDPDF=Y")</f>
        <v>#NAME?</v>
      </c>
      <c r="AE207" s="2" t="e">
        <f ca="1">_xll.BDH($C$203,"WORK_CAP_GROWTH","FQ4 2014","FQ4 2014","Currency=INR","Period=FQ","BEST_FPERIOD_OVERRIDE=FQ","FILING_STATUS=OR","EQY_CONSOLIDATED=Y","Sort=A","Dates=H","DateFormat=P","Fill=—","Direction=H","UseDPDF=Y")</f>
        <v>#NAME?</v>
      </c>
      <c r="AF207" s="2" t="e">
        <f ca="1">_xll.BDH($C$203,"ACCOUNTS_PAYABLE_GROWTH_1YR","FQ4 2014","FQ4 2014","Currency=INR","Period=FQ","BEST_FPERIOD_OVERRIDE=FQ","FILING_STATUS=OR","EQY_CONSOLIDATED=Y","Sort=A","Dates=H","DateFormat=P","Fill=—","Direction=H","UseDPDF=Y")</f>
        <v>#NAME?</v>
      </c>
      <c r="AG207" s="2" t="e">
        <f ca="1">_xll.BDH($C$203,"SHORT_TERM_DEBT_1_YEAR_GROWTH","FQ4 2014","FQ4 2014","Currency=INR","Period=FQ","BEST_FPERIOD_OVERRIDE=FQ","FILING_STATUS=OR","EQY_CONSOLIDATED=Y","Sort=A","Dates=H","DateFormat=P","Fill=—","Direction=H","UseDPDF=Y")</f>
        <v>#NAME?</v>
      </c>
      <c r="AH207" s="2" t="e">
        <f ca="1">_xll.BDH($C$203,"TOTAL_DEBT_1_YEAR_GROWTH","FQ4 2014","FQ4 2014","Currency=INR","Period=FQ","BEST_FPERIOD_OVERRIDE=FQ","FILING_STATUS=OR","EQY_CONSOLIDATED=Y","Sort=A","Dates=H","DateFormat=P","Fill=—","Direction=H","UseDPDF=Y")</f>
        <v>#NAME?</v>
      </c>
      <c r="AI207" s="2" t="e">
        <f ca="1">_xll.BDH($C$203,"TOTAL_EQUITY_1_YEAR_GROWTH","FQ4 2014","FQ4 2014","Currency=INR","Period=FQ","BEST_FPERIOD_OVERRIDE=FQ","FILING_STATUS=OR","EQY_CONSOLIDATED=Y","Sort=A","Dates=H","DateFormat=P","Fill=—","Direction=H","UseDPDF=Y")</f>
        <v>#NAME?</v>
      </c>
      <c r="AJ207" s="2" t="e">
        <f ca="1">_xll.BDH($C$203,"GROWTH_IN_CAP","FQ4 2014","FQ4 2014","Currency=INR","Period=FQ","BEST_FPERIOD_OVERRIDE=FQ","FILING_STATUS=OR","EQY_CONSOLIDATED=Y","Sort=A","Dates=H","DateFormat=P","Fill=—","Direction=H","UseDPDF=Y")</f>
        <v>#NAME?</v>
      </c>
      <c r="AK207" s="2" t="e">
        <f ca="1">_xll.BDH($C$203,"BVPS_GROWTH","FQ4 2014","FQ4 2014","Currency=INR","Period=FQ","BEST_FPERIOD_OVERRIDE=FQ","FILING_STATUS=OR","EQY_CONSOLIDATED=Y","Sort=A","Dates=H","DateFormat=P","Fill=—","Direction=H","UseDPDF=Y")</f>
        <v>#NAME?</v>
      </c>
      <c r="AL207" s="2" t="e">
        <f ca="1">_xll.BDH($C$203,"CASH_FLOW_GROWTH","FQ4 2014","FQ4 2014","Currency=INR","Period=FQ","BEST_FPERIOD_OVERRIDE=FQ","FILING_STATUS=OR","EQY_CONSOLIDATED=Y","Sort=A","Dates=H","DateFormat=P","Fill=—","Direction=H","UseDPDF=Y")</f>
        <v>#NAME?</v>
      </c>
      <c r="AM207" s="2" t="e">
        <f ca="1">_xll.BDH($C$203,"GEO_GROW_NET_SALES","FQ4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207" s="2" t="e">
        <f ca="1">_xll.BDH($C$203,"GEO_GROW_EBITDA","FQ4 2014","FQ4 2014","Currency=INR","Period=FQ","BEST_FPERIOD_OVERRIDE=FQ","FILING_STATUS=OR","EQY_CONSOLIDATED=Y","FA_ADJUSTED=GAAP","Sort=A","Dates=H","DateFormat=P","Fill=—","Direction=H","UseDPDF=Y")</f>
        <v>#NAME?</v>
      </c>
      <c r="AO207" s="2" t="e">
        <f ca="1">_xll.BDH($C$203,"GEO_GROW_OPER_INC","FQ4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207" s="2" t="e">
        <f ca="1">_xll.BDH($C$203,"NET_INCOME_TO_COMMON_5_YR_GROWTH","FQ4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207" s="2" t="e">
        <f ca="1">_xll.BDH($C$203,"5Y_GEO_GROWTH_DILUTED_EPS","FQ4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207" s="2" t="e">
        <f ca="1">_xll.BDH($C$203,"GEO_GROW_DVD_PER_SH","FQ4 2014","FQ4 2014","Currency=INR","Period=FQ","BEST_FPERIOD_OVERRIDE=FQ","FILING_STATUS=OR","EQY_CONSOLIDATED=Y","Sort=A","Dates=H","DateFormat=P","Fill=—","Direction=H","UseDPDF=Y")</f>
        <v>#NAME?</v>
      </c>
      <c r="AS207" s="2" t="e">
        <f ca="1">_xll.BDH($C$203,"ACCOUNTS_RECEIVABLE_5_YR_GROWTH","FQ4 2014","FQ4 2014","Currency=INR","Period=FQ","BEST_FPERIOD_OVERRIDE=FQ","FILING_STATUS=OR","EQY_CONSOLIDATED=Y","Sort=A","Dates=H","DateFormat=P","Fill=—","Direction=H","UseDPDF=Y")</f>
        <v>#NAME?</v>
      </c>
      <c r="AT207" s="2" t="e">
        <f ca="1">_xll.BDH($C$203,"INVENTORY_5_YEAR_GROWTH","FQ4 2014","FQ4 2014","Currency=INR","Period=FQ","BEST_FPERIOD_OVERRIDE=FQ","FILING_STATUS=OR","EQY_CONSOLIDATED=Y","Sort=A","Dates=H","DateFormat=P","Fill=—","Direction=H","UseDPDF=Y")</f>
        <v>#NAME?</v>
      </c>
      <c r="AU207" s="2" t="e">
        <f ca="1">_xll.BDH($C$203,"NET_FIXED_ASSETS_5_YEAR_GROWTH","FQ4 2014","FQ4 2014","Currency=INR","Period=FQ","BEST_FPERIOD_OVERRIDE=FQ","FILING_STATUS=OR","EQY_CONSOLIDATED=Y","Sort=A","Dates=H","DateFormat=P","Fill=—","Direction=H","UseDPDF=Y")</f>
        <v>#NAME?</v>
      </c>
      <c r="AV207" s="2" t="e">
        <f ca="1">_xll.BDH($C$203,"GEO_GROW_TOT_ASSET","FQ4 2014","FQ4 2014","Currency=INR","Period=FQ","BEST_FPERIOD_OVERRIDE=FQ","FILING_STATUS=OR","EQY_CONSOLIDATED=Y","Sort=A","Dates=H","DateFormat=P","Fill=—","Direction=H","UseDPDF=Y")</f>
        <v>#NAME?</v>
      </c>
      <c r="AW207" s="2" t="e">
        <f ca="1">_xll.BDH($C$203,"MODIFIED_WORKING_CPTL_5YR_GRWTH","FQ4 2014","FQ4 2014","Currency=INR","Period=FQ","BEST_FPERIOD_OVERRIDE=FQ","FILING_STATUS=OR","EQY_CONSOLIDATED=Y","Sort=A","Dates=H","DateFormat=P","Fill=—","Direction=H","UseDPDF=Y")</f>
        <v>#NAME?</v>
      </c>
      <c r="AX207" s="2" t="e">
        <f ca="1">_xll.BDH($C$203,"WORKING_CAPITAL_5_YEAR_GROWTH","FQ4 2014","FQ4 2014","Currency=INR","Period=FQ","BEST_FPERIOD_OVERRIDE=FQ","FILING_STATUS=OR","EQY_CONSOLIDATED=Y","Sort=A","Dates=H","DateFormat=P","Fill=—","Direction=H","UseDPDF=Y")</f>
        <v>#NAME?</v>
      </c>
      <c r="AY207" s="2" t="e">
        <f ca="1">_xll.BDH($C$203,"ACCOUNTS_PAYABLE_5_YEAR_GROWTH","FQ4 2014","FQ4 2014","Currency=INR","Period=FQ","BEST_FPERIOD_OVERRIDE=FQ","FILING_STATUS=OR","EQY_CONSOLIDATED=Y","Sort=A","Dates=H","DateFormat=P","Fill=—","Direction=H","UseDPDF=Y")</f>
        <v>#NAME?</v>
      </c>
      <c r="AZ207" s="2" t="e">
        <f ca="1">_xll.BDH($C$203,"SHORT_TERM_DEBT_5_YEAR_GROWTH","FQ4 2014","FQ4 2014","Currency=INR","Period=FQ","BEST_FPERIOD_OVERRIDE=FQ","FILING_STATUS=OR","EQY_CONSOLIDATED=Y","Sort=A","Dates=H","DateFormat=P","Fill=—","Direction=H","UseDPDF=Y")</f>
        <v>#NAME?</v>
      </c>
      <c r="BA207" s="2" t="e">
        <f ca="1">_xll.BDH($C$203,"TOTAL_DEBT_5_YEAR_GROWTH","FQ4 2014","FQ4 2014","Currency=INR","Period=FQ","BEST_FPERIOD_OVERRIDE=FQ","FILING_STATUS=OR","EQY_CONSOLIDATED=Y","Sort=A","Dates=H","DateFormat=P","Fill=—","Direction=H","UseDPDF=Y")</f>
        <v>#NAME?</v>
      </c>
      <c r="BB207" s="2" t="e">
        <f ca="1">_xll.BDH($C$203,"GEO_GROW_TOT_SHRHLDR_EQY","FQ4 2014","FQ4 2014","Currency=INR","Period=FQ","BEST_FPERIOD_OVERRIDE=FQ","FILING_STATUS=OR","EQY_CONSOLIDATED=Y","Sort=A","Dates=H","DateFormat=P","Fill=—","Direction=H","UseDPDF=Y")</f>
        <v>#NAME?</v>
      </c>
      <c r="BC207" s="2" t="e">
        <f ca="1">_xll.BDH($C$203,"TOTAL_CAPITAL_5_YEAR_GROWTH","FQ4 2014","FQ4 2014","Currency=INR","Period=FQ","BEST_FPERIOD_OVERRIDE=FQ","FILING_STATUS=OR","EQY_CONSOLIDATED=Y","Sort=A","Dates=H","DateFormat=P","Fill=—","Direction=H","UseDPDF=Y")</f>
        <v>#NAME?</v>
      </c>
      <c r="BD207" s="2" t="e">
        <f ca="1">_xll.BDH($C$203,"GEO_GROW_BOOK_VAL","FQ4 2014","FQ4 2014","Currency=INR","Period=FQ","BEST_FPERIOD_OVERRIDE=FQ","FILING_STATUS=OR","EQY_CONSOLIDATED=Y","Sort=A","Dates=H","DateFormat=P","Fill=—","Direction=H","UseDPDF=Y")</f>
        <v>#NAME?</v>
      </c>
      <c r="BE207" s="2" t="e">
        <f ca="1">_xll.BDH($C$203,"GEO_GROW_CASH_OPER_ACT","FQ4 2014","FQ4 2014","Currency=INR","Period=FQ","BEST_FPERIOD_OVERRIDE=FQ","FILING_STATUS=OR","EQY_CONSOLIDATED=Y","Sort=A","Dates=H","DateFormat=P","Fill=—","Direction=H","UseDPDF=Y")</f>
        <v>#NAME?</v>
      </c>
      <c r="BF207" s="2" t="e">
        <f ca="1">_xll.BDH($C$203,"REVENUE_SEQUENTIAL_GROWTH","FQ4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207" s="2" t="e">
        <f ca="1">_xll.BDH($C$203,"EBITDA_SEQUENTIAL_GROWTH","FQ4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207" s="2" t="e">
        <f ca="1">_xll.BDH($C$203,"OPERATING_INCOME_SEQ_GROWTH","FQ4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207" s="2" t="e">
        <f ca="1">_xll.BDH($C$203,"NET_INCOME_TO_COMMON_SEQ_GROWTH","FQ4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207" s="2" t="e">
        <f ca="1">_xll.BDH($C$203,"EPS_DILUTED_SEQUENTIAL_GROWTH","FQ4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207" s="2" t="e">
        <f ca="1">_xll.BDH($C$203,"DPS_SEQUENTIAL_GROWTH","FQ4 2014","FQ4 2014","Currency=INR","Period=FQ","BEST_FPERIOD_OVERRIDE=FQ","FILING_STATUS=OR","EQY_CONSOLIDATED=Y","Sort=A","Dates=H","DateFormat=P","Fill=—","Direction=H","UseDPDF=Y")</f>
        <v>#NAME?</v>
      </c>
      <c r="BL207" s="2" t="e">
        <f ca="1">_xll.BDH($C$203,"ACCOUNTS_RECEIVABLE_SEQ_GROWTH","FQ4 2014","FQ4 2014","Currency=INR","Period=FQ","BEST_FPERIOD_OVERRIDE=FQ","FILING_STATUS=OR","EQY_CONSOLIDATED=Y","Sort=A","Dates=H","DateFormat=P","Fill=—","Direction=H","UseDPDF=Y")</f>
        <v>#NAME?</v>
      </c>
      <c r="BM207" s="2" t="e">
        <f ca="1">_xll.BDH($C$203,"INVENTORY_SEQUENTIAL_GROWTH","FQ4 2014","FQ4 2014","Currency=INR","Period=FQ","BEST_FPERIOD_OVERRIDE=FQ","FILING_STATUS=OR","EQY_CONSOLIDATED=Y","Sort=A","Dates=H","DateFormat=P","Fill=—","Direction=H","UseDPDF=Y")</f>
        <v>#NAME?</v>
      </c>
      <c r="BN207" s="2" t="e">
        <f ca="1">_xll.BDH($C$203,"FIXED_ASSETS_SEQUENTIAL_GROWTH","FQ4 2014","FQ4 2014","Currency=INR","Period=FQ","BEST_FPERIOD_OVERRIDE=FQ","FILING_STATUS=OR","EQY_CONSOLIDATED=Y","Sort=A","Dates=H","DateFormat=P","Fill=—","Direction=H","UseDPDF=Y")</f>
        <v>#NAME?</v>
      </c>
      <c r="BO207" s="2" t="e">
        <f ca="1">_xll.BDH($C$203,"TOTAL_ASSETS_SEQUENTIAL_GROWTH","FQ4 2014","FQ4 2014","Currency=INR","Period=FQ","BEST_FPERIOD_OVERRIDE=FQ","FILING_STATUS=OR","EQY_CONSOLIDATED=Y","Sort=A","Dates=H","DateFormat=P","Fill=—","Direction=H","UseDPDF=Y")</f>
        <v>#NAME?</v>
      </c>
      <c r="BP207" s="2" t="e">
        <f ca="1">_xll.BDH($C$203,"MODIFIED_WORKING_CPTL_SEQ_GRWTH","FQ4 2014","FQ4 2014","Currency=INR","Period=FQ","BEST_FPERIOD_OVERRIDE=FQ","FILING_STATUS=OR","EQY_CONSOLIDATED=Y","Sort=A","Dates=H","DateFormat=P","Fill=—","Direction=H","UseDPDF=Y")</f>
        <v>#NAME?</v>
      </c>
      <c r="BQ207" s="2" t="e">
        <f ca="1">_xll.BDH($C$203,"WORKING_CAPITAL_SEQ_GROWTH","FQ4 2014","FQ4 2014","Currency=INR","Period=FQ","BEST_FPERIOD_OVERRIDE=FQ","FILING_STATUS=OR","EQY_CONSOLIDATED=Y","Sort=A","Dates=H","DateFormat=P","Fill=—","Direction=H","UseDPDF=Y")</f>
        <v>#NAME?</v>
      </c>
      <c r="BR207" s="2" t="e">
        <f ca="1">_xll.BDH($C$203,"ACCOUNTS_PAYABLE_SEQ_GROWTH","FQ4 2014","FQ4 2014","Currency=INR","Period=FQ","BEST_FPERIOD_OVERRIDE=FQ","FILING_STATUS=OR","EQY_CONSOLIDATED=Y","Sort=A","Dates=H","DateFormat=P","Fill=—","Direction=H","UseDPDF=Y")</f>
        <v>#NAME?</v>
      </c>
      <c r="BS207" s="2" t="e">
        <f ca="1">_xll.BDH($C$203,"ST_DEBT_SEQUENTIAL_GROWTH","FQ4 2014","FQ4 2014","Currency=INR","Period=FQ","BEST_FPERIOD_OVERRIDE=FQ","FILING_STATUS=OR","EQY_CONSOLIDATED=Y","Sort=A","Dates=H","DateFormat=P","Fill=—","Direction=H","UseDPDF=Y")</f>
        <v>#NAME?</v>
      </c>
      <c r="BT207" s="2" t="e">
        <f ca="1">_xll.BDH($C$203,"TOTAL_DEBT_SEQUENTIAL_GROWTH","FQ4 2014","FQ4 2014","Currency=INR","Period=FQ","BEST_FPERIOD_OVERRIDE=FQ","FILING_STATUS=OR","EQY_CONSOLIDATED=Y","Sort=A","Dates=H","DateFormat=P","Fill=—","Direction=H","UseDPDF=Y")</f>
        <v>#NAME?</v>
      </c>
      <c r="BU207" s="2" t="e">
        <f ca="1">_xll.BDH($C$203,"TOTAL_EQUITY_SEQUENTIAL_GROWTH","FQ4 2014","FQ4 2014","Currency=INR","Period=FQ","BEST_FPERIOD_OVERRIDE=FQ","FILING_STATUS=OR","EQY_CONSOLIDATED=Y","Sort=A","Dates=H","DateFormat=P","Fill=—","Direction=H","UseDPDF=Y")</f>
        <v>#NAME?</v>
      </c>
      <c r="BV207" s="2" t="e">
        <f ca="1">_xll.BDH($C$203,"TOTAL_CAPITAL_SEQUENTIAL_GROWTH","FQ4 2014","FQ4 2014","Currency=INR","Period=FQ","BEST_FPERIOD_OVERRIDE=FQ","FILING_STATUS=OR","EQY_CONSOLIDATED=Y","Sort=A","Dates=H","DateFormat=P","Fill=—","Direction=H","UseDPDF=Y")</f>
        <v>#NAME?</v>
      </c>
      <c r="BW207" s="2" t="e">
        <f ca="1">_xll.BDH($C$203,"BPS_SEQUENTIAL_GROWTH","FQ4 2014","FQ4 2014","Currency=INR","Period=FQ","BEST_FPERIOD_OVERRIDE=FQ","FILING_STATUS=OR","EQY_CONSOLIDATED=Y","Sort=A","Dates=H","DateFormat=P","Fill=—","Direction=H","UseDPDF=Y")</f>
        <v>#NAME?</v>
      </c>
      <c r="BX207" s="2" t="e">
        <f ca="1">_xll.BDH($C$203,"CFO_SEQUENTIAL_GROWTH","FQ4 2014","FQ4 2014","Currency=INR","Period=FQ","BEST_FPERIOD_OVERRIDE=FQ","FILING_STATUS=OR","EQY_CONSOLIDATED=Y","Sort=A","Dates=H","DateFormat=P","Fill=—","Direction=H","UseDPDF=Y")</f>
        <v>#NAME?</v>
      </c>
      <c r="BY207" s="3" t="e">
        <f ca="1">_xll.BDH($C$203,"SHORT_AND_LONG_TERM_DEBT","FQ4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207" s="3" t="e">
        <f ca="1">_xll.BDH($C$203,"BS_ST_BORROW","FQ4 2014","FQ4 2014","Currency=INR","Period=FQ","BEST_FPERIOD_OVERRIDE=FQ","FILING_STATUS=OR","EQY_CONSOLIDATED=Y","SCALING_FORMAT=MLN","Sort=A","Dates=H","DateFormat=P","Fill=—","Direction=H","UseDPDF=Y")</f>
        <v>#NAME?</v>
      </c>
      <c r="CA207" s="3" t="e">
        <f ca="1">_xll.BDH($C$203,"BS_LT_BORROW","FQ4 2014","FQ4 2014","Currency=INR","Period=FQ","BEST_FPERIOD_OVERRIDE=FQ","FILING_STATUS=OR","EQY_CONSOLIDATED=Y","SCALING_FORMAT=MLN","Sort=A","Dates=H","DateFormat=P","Fill=—","Direction=H","UseDPDF=Y")</f>
        <v>#NAME?</v>
      </c>
      <c r="CB207" s="2" t="e">
        <f ca="1">_xll.BDH($C$203,"TOT_DEBT_TO_EBITDA","FQ4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207" s="2" t="e">
        <f ca="1">_xll.BDH($C$203,"NET_DEBT_TO_EBITDA","FQ4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207" s="2" t="e">
        <f ca="1">_xll.BDH($C$203,"TOTAL_DEBT_TO_EBIT","FQ4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207" s="2" t="e">
        <f ca="1">_xll.BDH($C$203,"NET_DEBT_TO_EBIT","FQ4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207" s="2" t="e">
        <f ca="1">_xll.BDH($C$203,"EBITDA_TO_INTEREST_EXPN","FQ4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207" s="2" t="e">
        <f ca="1">_xll.BDH($C$203,"COM_EQY_TO_TOT_ASSET","FQ4 2014","FQ4 2014","Currency=INR","Period=FQ","BEST_FPERIOD_OVERRIDE=FQ","FILING_STATUS=OR","EQY_CONSOLIDATED=Y","Sort=A","Dates=H","DateFormat=P","Fill=—","Direction=H","UseDPDF=Y")</f>
        <v>#NAME?</v>
      </c>
      <c r="CH207" s="2" t="e">
        <f ca="1">_xll.BDH($C$203,"LT_DEBT_TO_TOT_EQY","FQ4 2014","FQ4 2014","Currency=INR","Period=FQ","BEST_FPERIOD_OVERRIDE=FQ","FILING_STATUS=OR","EQY_CONSOLIDATED=Y","Sort=A","Dates=H","DateFormat=P","Fill=—","Direction=H","UseDPDF=Y")</f>
        <v>#NAME?</v>
      </c>
      <c r="CI207" s="2" t="e">
        <f ca="1">_xll.BDH($C$203,"LT_DEBT_TO_TOT_CAP","FQ4 2014","FQ4 2014","Currency=INR","Period=FQ","BEST_FPERIOD_OVERRIDE=FQ","FILING_STATUS=OR","EQY_CONSOLIDATED=Y","Sort=A","Dates=H","DateFormat=P","Fill=—","Direction=H","UseDPDF=Y")</f>
        <v>#NAME?</v>
      </c>
      <c r="CJ207" s="2" t="e">
        <f ca="1">_xll.BDH($C$203,"LT_DEBT_TO_TOT_ASSET","FQ4 2014","FQ4 2014","Currency=INR","Period=FQ","BEST_FPERIOD_OVERRIDE=FQ","FILING_STATUS=OR","EQY_CONSOLIDATED=Y","Sort=A","Dates=H","DateFormat=P","Fill=—","Direction=H","UseDPDF=Y")</f>
        <v>#NAME?</v>
      </c>
      <c r="CK207" s="2" t="e">
        <f ca="1">_xll.BDH($C$203,"TOT_DEBT_TO_TOT_EQY","FQ4 2014","FQ4 2014","Currency=INR","Period=FQ","BEST_FPERIOD_OVERRIDE=FQ","FILING_STATUS=OR","EQY_CONSOLIDATED=Y","Sort=A","Dates=H","DateFormat=P","Fill=—","Direction=H","UseDPDF=Y")</f>
        <v>#NAME?</v>
      </c>
      <c r="CL207" s="2" t="e">
        <f ca="1">_xll.BDH($C$203,"TOT_DEBT_TO_TOT_CAP","FQ4 2014","FQ4 2014","Currency=INR","Period=FQ","BEST_FPERIOD_OVERRIDE=FQ","FILING_STATUS=OR","EQY_CONSOLIDATED=Y","Sort=A","Dates=H","DateFormat=P","Fill=—","Direction=H","UseDPDF=Y")</f>
        <v>#NAME?</v>
      </c>
      <c r="CM207" s="2" t="e">
        <f ca="1">_xll.BDH($C$203,"TOT_DEBT_TO_TOT_ASSET","FQ4 2014","FQ4 2014","Currency=INR","Period=FQ","BEST_FPERIOD_OVERRIDE=FQ","FILING_STATUS=OR","EQY_CONSOLIDATED=Y","Sort=A","Dates=H","DateFormat=P","Fill=—","Direction=H","UseDPDF=Y")</f>
        <v>#NAME?</v>
      </c>
      <c r="CN207" s="2" t="e">
        <f ca="1">_xll.BDH($C$203,"NET_DEBT_TO_SHRHLDR_EQTY","FQ4 2014","FQ4 2014","Currency=INR","Period=FQ","BEST_FPERIOD_OVERRIDE=FQ","FILING_STATUS=OR","EQY_CONSOLIDATED=Y","Sort=A","Dates=H","DateFormat=P","Fill=—","Direction=H","UseDPDF=Y")</f>
        <v>#NAME?</v>
      </c>
      <c r="CO207" s="2" t="e">
        <f ca="1">_xll.BDH($C$203,"NET_DEBT_%_CAPITAL","FQ4 2014","FQ4 2014","Currency=INR","Period=FQ","BEST_FPERIOD_OVERRIDE=FQ","FILING_STATUS=OR","EQY_CONSOLIDATED=Y","Sort=A","Dates=H","DateFormat=P","Fill=—","Direction=H","UseDPDF=Y")</f>
        <v>#NAME?</v>
      </c>
      <c r="CP207" s="3" t="e">
        <f ca="1">_xll.BDH($C$203,"EBITDA","FQ4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207" s="3" t="e">
        <f ca="1">_xll.BDH($C$203,"EBITDA_AFTER_CAPEX","FQ4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207" s="3" t="e">
        <f ca="1">_xll.BDH($C$203,"IS_OPER_INC","FQ4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207" s="2" t="e">
        <f ca="1">_xll.BDH($C$203,"CASH_RATIO","FQ4 2014","FQ4 2014","Currency=INR","Period=FQ","BEST_FPERIOD_OVERRIDE=FQ","FILING_STATUS=OR","EQY_CONSOLIDATED=Y","Sort=A","Dates=H","DateFormat=P","Fill=—","Direction=H","UseDPDF=Y")</f>
        <v>#NAME?</v>
      </c>
      <c r="CT207" s="2" t="e">
        <f ca="1">_xll.BDH($C$203,"CUR_RATIO","FQ4 2014","FQ4 2014","Currency=INR","Period=FQ","BEST_FPERIOD_OVERRIDE=FQ","FILING_STATUS=OR","EQY_CONSOLIDATED=Y","Sort=A","Dates=H","DateFormat=P","Fill=—","Direction=H","UseDPDF=Y")</f>
        <v>#NAME?</v>
      </c>
      <c r="CU207" s="2" t="e">
        <f ca="1">_xll.BDH($C$203,"QUICK_RATIO","FQ4 2014","FQ4 2014","Currency=INR","Period=FQ","BEST_FPERIOD_OVERRIDE=FQ","FILING_STATUS=OR","EQY_CONSOLIDATED=Y","Sort=A","Dates=H","DateFormat=P","Fill=—","Direction=H","UseDPDF=Y")</f>
        <v>#NAME?</v>
      </c>
      <c r="CV207" s="2" t="e">
        <f ca="1">_xll.BDH($C$203,"ALTMAN_Z_SCORE","FQ4 2014","FQ4 2014","Currency=INR","Period=FQ","BEST_FPERIOD_OVERRIDE=FQ","FILING_STATUS=OR","EQY_CONSOLIDATED=Y","Sort=A","Dates=H","DateFormat=P","Fill=—","Direction=H","UseDPDF=Y")</f>
        <v>#NAME?</v>
      </c>
      <c r="CW207" s="4" t="e">
        <f ca="1">_xll.BDH($C$203,"ACCT_RCV_TURN","FQ4 2014","FQ4 2014","Currency=INR","Period=FQ","BEST_FPERIOD_OVERRIDE=FQ","FILING_STATUS=OR","EQY_CONSOLIDATED=Y","FA_ADJUSTED=GAAP","Sort=A","Dates=H","DateFormat=P","Fill=—","Direction=H","UseDPDF=Y")</f>
        <v>#NAME?</v>
      </c>
      <c r="CX207" s="2" t="e">
        <f ca="1">_xll.BDH($C$203,"ACCT_RCV_DAYS","FQ4 2014","FQ4 2014","Currency=INR","Period=FQ","BEST_FPERIOD_OVERRIDE=FQ","FILING_STATUS=OR","EQY_CONSOLIDATED=Y","FA_ADJUSTED=GAAP","Sort=A","Dates=H","DateFormat=P","Fill=—","Direction=H","UseDPDF=Y")</f>
        <v>#NAME?</v>
      </c>
      <c r="CY207" s="4" t="e">
        <f ca="1">_xll.BDH($C$203,"INVENT_TURN","FQ4 2014","FQ4 2014","Currency=INR","Period=FQ","BEST_FPERIOD_OVERRIDE=FQ","FILING_STATUS=OR","EQY_CONSOLIDATED=Y","FA_ADJUSTED=GAAP","Sort=A","Dates=H","DateFormat=P","Fill=—","Direction=H","UseDPDF=Y")</f>
        <v>#NAME?</v>
      </c>
      <c r="CZ207" s="2" t="e">
        <f ca="1">_xll.BDH($C$203,"INVENT_DAYS","FQ4 2014","FQ4 2014","Currency=INR","Period=FQ","BEST_FPERIOD_OVERRIDE=FQ","FILING_STATUS=OR","EQY_CONSOLIDATED=Y","FA_ADJUSTED=GAAP","Sort=A","Dates=H","DateFormat=P","Fill=—","Direction=H","UseDPDF=Y")</f>
        <v>#NAME?</v>
      </c>
      <c r="DA207" s="4" t="e">
        <f ca="1">_xll.BDH($C$203,"ACCOUNTS_PAYABLE_TURNOVER","FQ4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207" s="2" t="e">
        <f ca="1">_xll.BDH($C$203,"ACCOUNTS_PAYABLE_TURNOVER_DAYS","FQ4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207" s="4" t="e">
        <f ca="1">_xll.BDH($C$203,"CASH_CONVERSION_CYCLE","FQ4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207" s="4" t="e">
        <f ca="1">_xll.BDH($C$203,"INV_TO_CASH_DAYS","FQ4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207" s="5" t="e">
        <f ca="1">_xll.BDH($C$203,"BS_INVENTORIES","FQ4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207" s="3" t="e">
        <f ca="1">_xll.BDH($C$203,"INVTRY_RAW_MATERIALS","FQ4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207" s="3" t="e">
        <f ca="1">_xll.BDH($C$203,"INVTRY_IN_PROGRESS","FQ4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207" s="3" t="e">
        <f ca="1">_xll.BDH($C$203,"INVTRY_FINISHED_GOODS","FQ4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207" s="3" t="e">
        <f ca="1">_xll.BDH($C$203,"BS_OTHER_INV","FQ4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208" spans="1:113" x14ac:dyDescent="0.3">
      <c r="A208" s="6"/>
      <c r="B208" s="6"/>
      <c r="C208" s="6"/>
      <c r="D208" s="6" t="s">
        <v>82</v>
      </c>
      <c r="E208" t="s">
        <v>77</v>
      </c>
      <c r="F208" t="e">
        <f ca="1">_xll.BDH($C$203,"RETURN_COM_EQY","FY 2015","FY 2015","Currency=INR","Period=FY","BEST_FPERIOD_OVERRIDE=FY","FILING_STATUS=OR","EQY_CONSOLIDATED=Y","FA_ADJUSTED=GAAP","Sort=A","Dates=H","DateFormat=P","Fill=—","Direction=H","UseDPDF=Y")</f>
        <v>#NAME?</v>
      </c>
      <c r="G208" t="e">
        <f ca="1">_xll.BDH($C$203,"RETURN_ON_ASSET","FY 2015","FY 2015","Currency=INR","Period=FY","BEST_FPERIOD_OVERRIDE=FY","FILING_STATUS=OR","EQY_CONSOLIDATED=Y","FA_ADJUSTED=GAAP","Sort=A","Dates=H","DateFormat=P","Fill=—","Direction=H","UseDPDF=Y")</f>
        <v>#NAME?</v>
      </c>
      <c r="H208" t="e">
        <f ca="1">_xll.BDH($C$203,"RETURN_ON_CAP","FY 2015","FY 2015","Currency=INR","Period=FY","BEST_FPERIOD_OVERRIDE=FY","FILING_STATUS=OR","EQY_CONSOLIDATED=Y","FA_ADJUSTED=GAAP","Sort=A","Dates=H","DateFormat=P","Fill=—","Direction=H","UseDPDF=Y")</f>
        <v>#NAME?</v>
      </c>
      <c r="I208" t="e">
        <f ca="1">_xll.BDH($C$203,"RETURN_ON_INV_CAPITAL","FY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208" t="e">
        <f ca="1">_xll.BDH($C$203,"EBITDA_TO_REVENUE","FY 2015","FY 2015","Currency=INR","Period=FY","BEST_FPERIOD_OVERRIDE=FY","FILING_STATUS=OR","EQY_CONSOLIDATED=Y","FA_ADJUSTED=GAAP","Sort=A","Dates=H","DateFormat=P","Fill=—","Direction=H","UseDPDF=Y")</f>
        <v>#NAME?</v>
      </c>
      <c r="K208" t="e">
        <f ca="1">_xll.BDH($C$203,"OPER_MARGIN","FY 2015","FY 2015","Currency=INR","Period=FY","BEST_FPERIOD_OVERRIDE=FY","FILING_STATUS=OR","EQY_CONSOLIDATED=Y","FA_ADJUSTED=GAAP","Sort=A","Dates=H","DateFormat=P","Fill=—","Direction=H","UseDPDF=Y")</f>
        <v>#NAME?</v>
      </c>
      <c r="L208" t="e">
        <f ca="1">_xll.BDH($C$203,"INCREMENTAL_OPERATING_MARGIN","FY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208" t="e">
        <f ca="1">_xll.BDH($C$203,"PRETAX_INC_TO_NET_SALES","FY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208" t="e">
        <f ca="1">_xll.BDH($C$203,"INC_BEF_XO_ITEMS_TO_NET_SALES","FY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208" t="e">
        <f ca="1">_xll.BDH($C$203,"PROF_MARGIN","FY 2015","FY 2015","Currency=INR","Period=FY","BEST_FPERIOD_OVERRIDE=FY","FILING_STATUS=OR","EQY_CONSOLIDATED=Y","FA_ADJUSTED=GAAP","Sort=A","Dates=H","DateFormat=P","Fill=—","Direction=H","UseDPDF=Y")</f>
        <v>#NAME?</v>
      </c>
      <c r="P208" t="e">
        <f ca="1">_xll.BDH($C$203,"NET_INCOME_TO_COMMON_MARGIN","FY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208" t="e">
        <f ca="1">_xll.BDH($C$203,"EFF_TAX_RATE","FY 2015","FY 2015","Currency=INR","Period=FY","BEST_FPERIOD_OVERRIDE=FY","FILING_STATUS=OR","EQY_CONSOLIDATED=Y","FA_ADJUSTED=GAAP","Sort=A","Dates=H","DateFormat=P","Fill=—","Direction=H","UseDPDF=Y")</f>
        <v>#NAME?</v>
      </c>
      <c r="R208" t="e">
        <f ca="1">_xll.BDH($C$203,"DVD_PAYOUT_RATIO","FY 2015","FY 2015","Currency=INR","Period=FY","BEST_FPERIOD_OVERRIDE=FY","FILING_STATUS=OR","EQY_CONSOLIDATED=Y","FA_ADJUSTED=GAAP","Sort=A","Dates=H","DateFormat=P","Fill=—","Direction=H","UseDPDF=Y")</f>
        <v>#NAME?</v>
      </c>
      <c r="S208" t="e">
        <f ca="1">_xll.BDH($C$203,"SUSTAIN_GROWTH_RT","FY 2015","FY 2015","Currency=INR","Period=FY","BEST_FPERIOD_OVERRIDE=FY","FILING_STATUS=OR","EQY_CONSOLIDATED=Y","FA_ADJUSTED=GAAP","Sort=A","Dates=H","DateFormat=P","Fill=—","Direction=H","UseDPDF=Y")</f>
        <v>#NAME?</v>
      </c>
      <c r="T208" s="2" t="e">
        <f ca="1">_xll.BDH($C$203,"SALES_GROWTH","FY 2015","FY 2015","Currency=INR","Period=FY","BEST_FPERIOD_OVERRIDE=FY","FILING_STATUS=OR","EQY_CONSOLIDATED=Y","FA_ADJUSTED=GAAP","Sort=A","Dates=H","DateFormat=P","Fill=—","Direction=H","UseDPDF=Y")</f>
        <v>#NAME?</v>
      </c>
      <c r="U208" s="2" t="e">
        <f ca="1">_xll.BDH($C$203,"EBITDA_GROWTH","FY 2015","FY 2015","Currency=INR","Period=FY","BEST_FPERIOD_OVERRIDE=FY","FILING_STATUS=OR","EQY_CONSOLIDATED=Y","FA_ADJUSTED=GAAP","Sort=A","Dates=H","DateFormat=P","Fill=—","Direction=H","UseDPDF=Y")</f>
        <v>#NAME?</v>
      </c>
      <c r="V208" s="2" t="e">
        <f ca="1">_xll.BDH($C$203,"OPER_INC_GROWTH","FY 2015","FY 2015","Currency=INR","Period=FY","BEST_FPERIOD_OVERRIDE=FY","FILING_STATUS=OR","EQY_CONSOLIDATED=Y","FA_ADJUSTED=GAAP","Sort=A","Dates=H","DateFormat=P","Fill=—","Direction=H","UseDPDF=Y")</f>
        <v>#NAME?</v>
      </c>
      <c r="W208" s="2" t="e">
        <f ca="1">_xll.BDH($C$203,"EARN_FOR_COM_GROWTH","FY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208" s="2" t="e">
        <f ca="1">_xll.BDH($C$203,"DILUTED_EPS_AFT_XO_ITEMS_GROWTH","FY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208" s="2" t="e">
        <f ca="1">_xll.BDH($C$203,"DIVIDEND_PER_SHARE_1_YEAR_GROWTH","FY 2015","FY 2015","Currency=INR","Period=FY","BEST_FPERIOD_OVERRIDE=FY","FILING_STATUS=OR","EQY_CONSOLIDATED=Y","Sort=A","Dates=H","DateFormat=P","Fill=—","Direction=H","UseDPDF=Y")</f>
        <v>#NAME?</v>
      </c>
      <c r="Z208" s="2" t="e">
        <f ca="1">_xll.BDH($C$203,"ACCOUNTS_RECEIVABLE_GROWTH","FY 2015","FY 2015","Currency=INR","Period=FY","BEST_FPERIOD_OVERRIDE=FY","FILING_STATUS=OR","EQY_CONSOLIDATED=Y","Sort=A","Dates=H","DateFormat=P","Fill=—","Direction=H","UseDPDF=Y")</f>
        <v>#NAME?</v>
      </c>
      <c r="AA208" s="2" t="e">
        <f ca="1">_xll.BDH($C$203,"INVENTORY_GROWTH","FY 2015","FY 2015","Currency=INR","Period=FY","BEST_FPERIOD_OVERRIDE=FY","FILING_STATUS=OR","EQY_CONSOLIDATED=Y","Sort=A","Dates=H","DateFormat=P","Fill=—","Direction=H","UseDPDF=Y")</f>
        <v>#NAME?</v>
      </c>
      <c r="AB208" s="2" t="e">
        <f ca="1">_xll.BDH($C$203,"NET_FIXED_ASSETS_1_YEAR_GROWTH","FY 2015","FY 2015","Currency=INR","Period=FY","BEST_FPERIOD_OVERRIDE=FY","FILING_STATUS=OR","EQY_CONSOLIDATED=Y","Sort=A","Dates=H","DateFormat=P","Fill=—","Direction=H","UseDPDF=Y")</f>
        <v>#NAME?</v>
      </c>
      <c r="AC208" s="2" t="e">
        <f ca="1">_xll.BDH($C$203,"ASSET_GROWTH","FY 2015","FY 2015","Currency=INR","Period=FY","BEST_FPERIOD_OVERRIDE=FY","FILING_STATUS=OR","EQY_CONSOLIDATED=Y","Sort=A","Dates=H","DateFormat=P","Fill=—","Direction=H","UseDPDF=Y")</f>
        <v>#NAME?</v>
      </c>
      <c r="AD208" s="2" t="e">
        <f ca="1">_xll.BDH($C$203,"MODIFIED_WORK_CAP_GROWTH","FY 2015","FY 2015","Currency=INR","Period=FY","BEST_FPERIOD_OVERRIDE=FY","FILING_STATUS=OR","EQY_CONSOLIDATED=Y","Sort=A","Dates=H","DateFormat=P","Fill=—","Direction=H","UseDPDF=Y")</f>
        <v>#NAME?</v>
      </c>
      <c r="AE208" s="2" t="e">
        <f ca="1">_xll.BDH($C$203,"WORK_CAP_GROWTH","FY 2015","FY 2015","Currency=INR","Period=FY","BEST_FPERIOD_OVERRIDE=FY","FILING_STATUS=OR","EQY_CONSOLIDATED=Y","Sort=A","Dates=H","DateFormat=P","Fill=—","Direction=H","UseDPDF=Y")</f>
        <v>#NAME?</v>
      </c>
      <c r="AF208" s="2" t="e">
        <f ca="1">_xll.BDH($C$203,"ACCOUNTS_PAYABLE_GROWTH_1YR","FY 2015","FY 2015","Currency=INR","Period=FY","BEST_FPERIOD_OVERRIDE=FY","FILING_STATUS=OR","EQY_CONSOLIDATED=Y","Sort=A","Dates=H","DateFormat=P","Fill=—","Direction=H","UseDPDF=Y")</f>
        <v>#NAME?</v>
      </c>
      <c r="AG208" s="2" t="e">
        <f ca="1">_xll.BDH($C$203,"SHORT_TERM_DEBT_1_YEAR_GROWTH","FY 2015","FY 2015","Currency=INR","Period=FY","BEST_FPERIOD_OVERRIDE=FY","FILING_STATUS=OR","EQY_CONSOLIDATED=Y","Sort=A","Dates=H","DateFormat=P","Fill=—","Direction=H","UseDPDF=Y")</f>
        <v>#NAME?</v>
      </c>
      <c r="AH208" s="2" t="e">
        <f ca="1">_xll.BDH($C$203,"TOTAL_DEBT_1_YEAR_GROWTH","FY 2015","FY 2015","Currency=INR","Period=FY","BEST_FPERIOD_OVERRIDE=FY","FILING_STATUS=OR","EQY_CONSOLIDATED=Y","Sort=A","Dates=H","DateFormat=P","Fill=—","Direction=H","UseDPDF=Y")</f>
        <v>#NAME?</v>
      </c>
      <c r="AI208" s="2" t="e">
        <f ca="1">_xll.BDH($C$203,"TOTAL_EQUITY_1_YEAR_GROWTH","FY 2015","FY 2015","Currency=INR","Period=FY","BEST_FPERIOD_OVERRIDE=FY","FILING_STATUS=OR","EQY_CONSOLIDATED=Y","Sort=A","Dates=H","DateFormat=P","Fill=—","Direction=H","UseDPDF=Y")</f>
        <v>#NAME?</v>
      </c>
      <c r="AJ208" s="2" t="e">
        <f ca="1">_xll.BDH($C$203,"GROWTH_IN_CAP","FY 2015","FY 2015","Currency=INR","Period=FY","BEST_FPERIOD_OVERRIDE=FY","FILING_STATUS=OR","EQY_CONSOLIDATED=Y","Sort=A","Dates=H","DateFormat=P","Fill=—","Direction=H","UseDPDF=Y")</f>
        <v>#NAME?</v>
      </c>
      <c r="AK208" s="2" t="e">
        <f ca="1">_xll.BDH($C$203,"BVPS_GROWTH","FY 2015","FY 2015","Currency=INR","Period=FY","BEST_FPERIOD_OVERRIDE=FY","FILING_STATUS=OR","EQY_CONSOLIDATED=Y","Sort=A","Dates=H","DateFormat=P","Fill=—","Direction=H","UseDPDF=Y")</f>
        <v>#NAME?</v>
      </c>
      <c r="AL208" s="2" t="e">
        <f ca="1">_xll.BDH($C$203,"CASH_FLOW_GROWTH","FY 2015","FY 2015","Currency=INR","Period=FY","BEST_FPERIOD_OVERRIDE=FY","FILING_STATUS=OR","EQY_CONSOLIDATED=Y","Sort=A","Dates=H","DateFormat=P","Fill=—","Direction=H","UseDPDF=Y")</f>
        <v>#NAME?</v>
      </c>
      <c r="AM208" s="2" t="e">
        <f ca="1">_xll.BDH($C$203,"GEO_GROW_NET_SALES","FY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208" s="2" t="e">
        <f ca="1">_xll.BDH($C$203,"GEO_GROW_EBITDA","FY 2015","FY 2015","Currency=INR","Period=FY","BEST_FPERIOD_OVERRIDE=FY","FILING_STATUS=OR","EQY_CONSOLIDATED=Y","FA_ADJUSTED=GAAP","Sort=A","Dates=H","DateFormat=P","Fill=—","Direction=H","UseDPDF=Y")</f>
        <v>#NAME?</v>
      </c>
      <c r="AO208" s="2" t="e">
        <f ca="1">_xll.BDH($C$203,"GEO_GROW_OPER_INC","FY 2015","FY 2015","Currency=INR","Period=FY","BEST_FPERIOD_OVERRIDE=FY","FILING_STATUS=OR","EQY_CONSOLIDATED=Y","FA_ADJUSTED=GAAP","Sort=A","Dates=H","DateFormat=P","Fill=—","Direction=H","UseDPDF=Y")</f>
        <v>#NAME?</v>
      </c>
      <c r="AP208" s="2" t="e">
        <f ca="1">_xll.BDH($C$203,"NET_INCOME_TO_COMMON_5_YR_GROWTH","FY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208" s="2" t="e">
        <f ca="1">_xll.BDH($C$203,"5Y_GEO_GROWTH_DILUTED_EPS","FY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208" s="2" t="e">
        <f ca="1">_xll.BDH($C$203,"GEO_GROW_DVD_PER_SH","FY 2015","FY 2015","Currency=INR","Period=FY","BEST_FPERIOD_OVERRIDE=FY","FILING_STATUS=OR","EQY_CONSOLIDATED=Y","Sort=A","Dates=H","DateFormat=P","Fill=—","Direction=H","UseDPDF=Y")</f>
        <v>#NAME?</v>
      </c>
      <c r="AS208" s="2" t="e">
        <f ca="1">_xll.BDH($C$203,"ACCOUNTS_RECEIVABLE_5_YR_GROWTH","FY 2015","FY 2015","Currency=INR","Period=FY","BEST_FPERIOD_OVERRIDE=FY","FILING_STATUS=OR","EQY_CONSOLIDATED=Y","Sort=A","Dates=H","DateFormat=P","Fill=—","Direction=H","UseDPDF=Y")</f>
        <v>#NAME?</v>
      </c>
      <c r="AT208" s="2" t="e">
        <f ca="1">_xll.BDH($C$203,"INVENTORY_5_YEAR_GROWTH","FY 2015","FY 2015","Currency=INR","Period=FY","BEST_FPERIOD_OVERRIDE=FY","FILING_STATUS=OR","EQY_CONSOLIDATED=Y","Sort=A","Dates=H","DateFormat=P","Fill=—","Direction=H","UseDPDF=Y")</f>
        <v>#NAME?</v>
      </c>
      <c r="AU208" s="2" t="e">
        <f ca="1">_xll.BDH($C$203,"NET_FIXED_ASSETS_5_YEAR_GROWTH","FY 2015","FY 2015","Currency=INR","Period=FY","BEST_FPERIOD_OVERRIDE=FY","FILING_STATUS=OR","EQY_CONSOLIDATED=Y","Sort=A","Dates=H","DateFormat=P","Fill=—","Direction=H","UseDPDF=Y")</f>
        <v>#NAME?</v>
      </c>
      <c r="AV208" s="2" t="e">
        <f ca="1">_xll.BDH($C$203,"GEO_GROW_TOT_ASSET","FY 2015","FY 2015","Currency=INR","Period=FY","BEST_FPERIOD_OVERRIDE=FY","FILING_STATUS=OR","EQY_CONSOLIDATED=Y","Sort=A","Dates=H","DateFormat=P","Fill=—","Direction=H","UseDPDF=Y")</f>
        <v>#NAME?</v>
      </c>
      <c r="AW208" s="2" t="e">
        <f ca="1">_xll.BDH($C$203,"MODIFIED_WORKING_CPTL_5YR_GRWTH","FY 2015","FY 2015","Currency=INR","Period=FY","BEST_FPERIOD_OVERRIDE=FY","FILING_STATUS=OR","EQY_CONSOLIDATED=Y","Sort=A","Dates=H","DateFormat=P","Fill=—","Direction=H","UseDPDF=Y")</f>
        <v>#NAME?</v>
      </c>
      <c r="AX208" s="2" t="e">
        <f ca="1">_xll.BDH($C$203,"WORKING_CAPITAL_5_YEAR_GROWTH","FY 2015","FY 2015","Currency=INR","Period=FY","BEST_FPERIOD_OVERRIDE=FY","FILING_STATUS=OR","EQY_CONSOLIDATED=Y","Sort=A","Dates=H","DateFormat=P","Fill=—","Direction=H","UseDPDF=Y")</f>
        <v>#NAME?</v>
      </c>
      <c r="AY208" s="2" t="e">
        <f ca="1">_xll.BDH($C$203,"ACCOUNTS_PAYABLE_5_YEAR_GROWTH","FY 2015","FY 2015","Currency=INR","Period=FY","BEST_FPERIOD_OVERRIDE=FY","FILING_STATUS=OR","EQY_CONSOLIDATED=Y","Sort=A","Dates=H","DateFormat=P","Fill=—","Direction=H","UseDPDF=Y")</f>
        <v>#NAME?</v>
      </c>
      <c r="AZ208" s="2" t="e">
        <f ca="1">_xll.BDH($C$203,"SHORT_TERM_DEBT_5_YEAR_GROWTH","FY 2015","FY 2015","Currency=INR","Period=FY","BEST_FPERIOD_OVERRIDE=FY","FILING_STATUS=OR","EQY_CONSOLIDATED=Y","Sort=A","Dates=H","DateFormat=P","Fill=—","Direction=H","UseDPDF=Y")</f>
        <v>#NAME?</v>
      </c>
      <c r="BA208" s="2" t="e">
        <f ca="1">_xll.BDH($C$203,"TOTAL_DEBT_5_YEAR_GROWTH","FY 2015","FY 2015","Currency=INR","Period=FY","BEST_FPERIOD_OVERRIDE=FY","FILING_STATUS=OR","EQY_CONSOLIDATED=Y","Sort=A","Dates=H","DateFormat=P","Fill=—","Direction=H","UseDPDF=Y")</f>
        <v>#NAME?</v>
      </c>
      <c r="BB208" s="2" t="e">
        <f ca="1">_xll.BDH($C$203,"GEO_GROW_TOT_SHRHLDR_EQY","FY 2015","FY 2015","Currency=INR","Period=FY","BEST_FPERIOD_OVERRIDE=FY","FILING_STATUS=OR","EQY_CONSOLIDATED=Y","Sort=A","Dates=H","DateFormat=P","Fill=—","Direction=H","UseDPDF=Y")</f>
        <v>#NAME?</v>
      </c>
      <c r="BC208" s="2" t="e">
        <f ca="1">_xll.BDH($C$203,"TOTAL_CAPITAL_5_YEAR_GROWTH","FY 2015","FY 2015","Currency=INR","Period=FY","BEST_FPERIOD_OVERRIDE=FY","FILING_STATUS=OR","EQY_CONSOLIDATED=Y","Sort=A","Dates=H","DateFormat=P","Fill=—","Direction=H","UseDPDF=Y")</f>
        <v>#NAME?</v>
      </c>
      <c r="BD208" s="2" t="e">
        <f ca="1">_xll.BDH($C$203,"GEO_GROW_BOOK_VAL","FY 2015","FY 2015","Currency=INR","Period=FY","BEST_FPERIOD_OVERRIDE=FY","FILING_STATUS=OR","EQY_CONSOLIDATED=Y","Sort=A","Dates=H","DateFormat=P","Fill=—","Direction=H","UseDPDF=Y")</f>
        <v>#NAME?</v>
      </c>
      <c r="BE208" s="2" t="e">
        <f ca="1">_xll.BDH($C$203,"GEO_GROW_CASH_OPER_ACT","FY 2015","FY 2015","Currency=INR","Period=FY","BEST_FPERIOD_OVERRIDE=FY","FILING_STATUS=OR","EQY_CONSOLIDATED=Y","Sort=A","Dates=H","DateFormat=P","Fill=—","Direction=H","UseDPDF=Y")</f>
        <v>#NAME?</v>
      </c>
      <c r="BF208" s="2" t="e">
        <f ca="1">_xll.BDH($C$203,"REVENUE_SEQUENTIAL_GROWTH","FY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208" s="2" t="e">
        <f ca="1">_xll.BDH($C$203,"EBITDA_SEQUENTIAL_GROWTH","FY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208" s="2" t="e">
        <f ca="1">_xll.BDH($C$203,"OPERATING_INCOME_SEQ_GROWTH","FY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208" s="2" t="e">
        <f ca="1">_xll.BDH($C$203,"NET_INCOME_TO_COMMON_SEQ_GROWTH","FY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208" s="2" t="e">
        <f ca="1">_xll.BDH($C$203,"EPS_DILUTED_SEQUENTIAL_GROWTH","FY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208" s="2" t="e">
        <f ca="1">_xll.BDH($C$203,"DPS_SEQUENTIAL_GROWTH","FY 2015","FY 2015","Currency=INR","Period=FY","BEST_FPERIOD_OVERRIDE=FY","FILING_STATUS=OR","EQY_CONSOLIDATED=Y","Sort=A","Dates=H","DateFormat=P","Fill=—","Direction=H","UseDPDF=Y")</f>
        <v>#NAME?</v>
      </c>
      <c r="BL208" s="2" t="e">
        <f ca="1">_xll.BDH($C$203,"ACCOUNTS_RECEIVABLE_SEQ_GROWTH","FY 2015","FY 2015","Currency=INR","Period=FY","BEST_FPERIOD_OVERRIDE=FY","FILING_STATUS=OR","EQY_CONSOLIDATED=Y","Sort=A","Dates=H","DateFormat=P","Fill=—","Direction=H","UseDPDF=Y")</f>
        <v>#NAME?</v>
      </c>
      <c r="BM208" s="2" t="e">
        <f ca="1">_xll.BDH($C$203,"INVENTORY_SEQUENTIAL_GROWTH","FY 2015","FY 2015","Currency=INR","Period=FY","BEST_FPERIOD_OVERRIDE=FY","FILING_STATUS=OR","EQY_CONSOLIDATED=Y","Sort=A","Dates=H","DateFormat=P","Fill=—","Direction=H","UseDPDF=Y")</f>
        <v>#NAME?</v>
      </c>
      <c r="BN208" s="2" t="e">
        <f ca="1">_xll.BDH($C$203,"FIXED_ASSETS_SEQUENTIAL_GROWTH","FY 2015","FY 2015","Currency=INR","Period=FY","BEST_FPERIOD_OVERRIDE=FY","FILING_STATUS=OR","EQY_CONSOLIDATED=Y","Sort=A","Dates=H","DateFormat=P","Fill=—","Direction=H","UseDPDF=Y")</f>
        <v>#NAME?</v>
      </c>
      <c r="BO208" s="2" t="e">
        <f ca="1">_xll.BDH($C$203,"TOTAL_ASSETS_SEQUENTIAL_GROWTH","FY 2015","FY 2015","Currency=INR","Period=FY","BEST_FPERIOD_OVERRIDE=FY","FILING_STATUS=OR","EQY_CONSOLIDATED=Y","Sort=A","Dates=H","DateFormat=P","Fill=—","Direction=H","UseDPDF=Y")</f>
        <v>#NAME?</v>
      </c>
      <c r="BP208" s="2" t="e">
        <f ca="1">_xll.BDH($C$203,"MODIFIED_WORKING_CPTL_SEQ_GRWTH","FY 2015","FY 2015","Currency=INR","Period=FY","BEST_FPERIOD_OVERRIDE=FY","FILING_STATUS=OR","EQY_CONSOLIDATED=Y","Sort=A","Dates=H","DateFormat=P","Fill=—","Direction=H","UseDPDF=Y")</f>
        <v>#NAME?</v>
      </c>
      <c r="BQ208" s="2" t="e">
        <f ca="1">_xll.BDH($C$203,"WORKING_CAPITAL_SEQ_GROWTH","FY 2015","FY 2015","Currency=INR","Period=FY","BEST_FPERIOD_OVERRIDE=FY","FILING_STATUS=OR","EQY_CONSOLIDATED=Y","Sort=A","Dates=H","DateFormat=P","Fill=—","Direction=H","UseDPDF=Y")</f>
        <v>#NAME?</v>
      </c>
      <c r="BR208" s="2" t="e">
        <f ca="1">_xll.BDH($C$203,"ACCOUNTS_PAYABLE_SEQ_GROWTH","FY 2015","FY 2015","Currency=INR","Period=FY","BEST_FPERIOD_OVERRIDE=FY","FILING_STATUS=OR","EQY_CONSOLIDATED=Y","Sort=A","Dates=H","DateFormat=P","Fill=—","Direction=H","UseDPDF=Y")</f>
        <v>#NAME?</v>
      </c>
      <c r="BS208" s="2" t="e">
        <f ca="1">_xll.BDH($C$203,"ST_DEBT_SEQUENTIAL_GROWTH","FY 2015","FY 2015","Currency=INR","Period=FY","BEST_FPERIOD_OVERRIDE=FY","FILING_STATUS=OR","EQY_CONSOLIDATED=Y","Sort=A","Dates=H","DateFormat=P","Fill=—","Direction=H","UseDPDF=Y")</f>
        <v>#NAME?</v>
      </c>
      <c r="BT208" s="2" t="e">
        <f ca="1">_xll.BDH($C$203,"TOTAL_DEBT_SEQUENTIAL_GROWTH","FY 2015","FY 2015","Currency=INR","Period=FY","BEST_FPERIOD_OVERRIDE=FY","FILING_STATUS=OR","EQY_CONSOLIDATED=Y","Sort=A","Dates=H","DateFormat=P","Fill=—","Direction=H","UseDPDF=Y")</f>
        <v>#NAME?</v>
      </c>
      <c r="BU208" s="2" t="e">
        <f ca="1">_xll.BDH($C$203,"TOTAL_EQUITY_SEQUENTIAL_GROWTH","FY 2015","FY 2015","Currency=INR","Period=FY","BEST_FPERIOD_OVERRIDE=FY","FILING_STATUS=OR","EQY_CONSOLIDATED=Y","Sort=A","Dates=H","DateFormat=P","Fill=—","Direction=H","UseDPDF=Y")</f>
        <v>#NAME?</v>
      </c>
      <c r="BV208" s="2" t="e">
        <f ca="1">_xll.BDH($C$203,"TOTAL_CAPITAL_SEQUENTIAL_GROWTH","FY 2015","FY 2015","Currency=INR","Period=FY","BEST_FPERIOD_OVERRIDE=FY","FILING_STATUS=OR","EQY_CONSOLIDATED=Y","Sort=A","Dates=H","DateFormat=P","Fill=—","Direction=H","UseDPDF=Y")</f>
        <v>#NAME?</v>
      </c>
      <c r="BW208" s="2" t="e">
        <f ca="1">_xll.BDH($C$203,"BPS_SEQUENTIAL_GROWTH","FY 2015","FY 2015","Currency=INR","Period=FY","BEST_FPERIOD_OVERRIDE=FY","FILING_STATUS=OR","EQY_CONSOLIDATED=Y","Sort=A","Dates=H","DateFormat=P","Fill=—","Direction=H","UseDPDF=Y")</f>
        <v>#NAME?</v>
      </c>
      <c r="BX208" s="2" t="e">
        <f ca="1">_xll.BDH($C$203,"CFO_SEQUENTIAL_GROWTH","FY 2015","FY 2015","Currency=INR","Period=FY","BEST_FPERIOD_OVERRIDE=FY","FILING_STATUS=OR","EQY_CONSOLIDATED=Y","Sort=A","Dates=H","DateFormat=P","Fill=—","Direction=H","UseDPDF=Y")</f>
        <v>#NAME?</v>
      </c>
      <c r="BY208" s="3" t="e">
        <f ca="1">_xll.BDH($C$203,"SHORT_AND_LONG_TERM_DEBT","FY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208" s="3" t="e">
        <f ca="1">_xll.BDH($C$203,"BS_ST_BORROW","FY 2015","FY 2015","Currency=INR","Period=FY","BEST_FPERIOD_OVERRIDE=FY","FILING_STATUS=OR","EQY_CONSOLIDATED=Y","SCALING_FORMAT=MLN","Sort=A","Dates=H","DateFormat=P","Fill=—","Direction=H","UseDPDF=Y")</f>
        <v>#NAME?</v>
      </c>
      <c r="CA208" s="3" t="e">
        <f ca="1">_xll.BDH($C$203,"BS_LT_BORROW","FY 2015","FY 2015","Currency=INR","Period=FY","BEST_FPERIOD_OVERRIDE=FY","FILING_STATUS=OR","EQY_CONSOLIDATED=Y","SCALING_FORMAT=MLN","Sort=A","Dates=H","DateFormat=P","Fill=—","Direction=H","UseDPDF=Y")</f>
        <v>#NAME?</v>
      </c>
      <c r="CB208" s="2" t="e">
        <f ca="1">_xll.BDH($C$203,"TOT_DEBT_TO_EBITDA","FY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208" s="2" t="e">
        <f ca="1">_xll.BDH($C$203,"NET_DEBT_TO_EBITDA","FY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208" s="2" t="e">
        <f ca="1">_xll.BDH($C$203,"TOTAL_DEBT_TO_EBIT","FY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208" s="2" t="e">
        <f ca="1">_xll.BDH($C$203,"NET_DEBT_TO_EBIT","FY 2015","FY 2015","Currency=INR","Period=FY","BEST_FPERIOD_OVERRIDE=FY","FILING_STATUS=OR","EQY_CONSOLIDATED=Y","FA_ADJUSTED=GAAP","Sort=A","Dates=H","DateFormat=P","Fill=—","Direction=H","UseDPDF=Y")</f>
        <v>#NAME?</v>
      </c>
      <c r="CF208" s="2" t="e">
        <f ca="1">_xll.BDH($C$203,"EBITDA_TO_INTEREST_EXPN","FY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208" s="2" t="e">
        <f ca="1">_xll.BDH($C$203,"COM_EQY_TO_TOT_ASSET","FY 2015","FY 2015","Currency=INR","Period=FY","BEST_FPERIOD_OVERRIDE=FY","FILING_STATUS=OR","EQY_CONSOLIDATED=Y","Sort=A","Dates=H","DateFormat=P","Fill=—","Direction=H","UseDPDF=Y")</f>
        <v>#NAME?</v>
      </c>
      <c r="CH208" s="2" t="e">
        <f ca="1">_xll.BDH($C$203,"LT_DEBT_TO_TOT_EQY","FY 2015","FY 2015","Currency=INR","Period=FY","BEST_FPERIOD_OVERRIDE=FY","FILING_STATUS=OR","EQY_CONSOLIDATED=Y","Sort=A","Dates=H","DateFormat=P","Fill=—","Direction=H","UseDPDF=Y")</f>
        <v>#NAME?</v>
      </c>
      <c r="CI208" s="2" t="e">
        <f ca="1">_xll.BDH($C$203,"LT_DEBT_TO_TOT_CAP","FY 2015","FY 2015","Currency=INR","Period=FY","BEST_FPERIOD_OVERRIDE=FY","FILING_STATUS=OR","EQY_CONSOLIDATED=Y","Sort=A","Dates=H","DateFormat=P","Fill=—","Direction=H","UseDPDF=Y")</f>
        <v>#NAME?</v>
      </c>
      <c r="CJ208" s="2" t="e">
        <f ca="1">_xll.BDH($C$203,"LT_DEBT_TO_TOT_ASSET","FY 2015","FY 2015","Currency=INR","Period=FY","BEST_FPERIOD_OVERRIDE=FY","FILING_STATUS=OR","EQY_CONSOLIDATED=Y","Sort=A","Dates=H","DateFormat=P","Fill=—","Direction=H","UseDPDF=Y")</f>
        <v>#NAME?</v>
      </c>
      <c r="CK208" s="2" t="e">
        <f ca="1">_xll.BDH($C$203,"TOT_DEBT_TO_TOT_EQY","FY 2015","FY 2015","Currency=INR","Period=FY","BEST_FPERIOD_OVERRIDE=FY","FILING_STATUS=OR","EQY_CONSOLIDATED=Y","Sort=A","Dates=H","DateFormat=P","Fill=—","Direction=H","UseDPDF=Y")</f>
        <v>#NAME?</v>
      </c>
      <c r="CL208" s="2" t="e">
        <f ca="1">_xll.BDH($C$203,"TOT_DEBT_TO_TOT_CAP","FY 2015","FY 2015","Currency=INR","Period=FY","BEST_FPERIOD_OVERRIDE=FY","FILING_STATUS=OR","EQY_CONSOLIDATED=Y","Sort=A","Dates=H","DateFormat=P","Fill=—","Direction=H","UseDPDF=Y")</f>
        <v>#NAME?</v>
      </c>
      <c r="CM208" s="2" t="e">
        <f ca="1">_xll.BDH($C$203,"TOT_DEBT_TO_TOT_ASSET","FY 2015","FY 2015","Currency=INR","Period=FY","BEST_FPERIOD_OVERRIDE=FY","FILING_STATUS=OR","EQY_CONSOLIDATED=Y","Sort=A","Dates=H","DateFormat=P","Fill=—","Direction=H","UseDPDF=Y")</f>
        <v>#NAME?</v>
      </c>
      <c r="CN208" s="2" t="e">
        <f ca="1">_xll.BDH($C$203,"NET_DEBT_TO_SHRHLDR_EQTY","FY 2015","FY 2015","Currency=INR","Period=FY","BEST_FPERIOD_OVERRIDE=FY","FILING_STATUS=OR","EQY_CONSOLIDATED=Y","Sort=A","Dates=H","DateFormat=P","Fill=—","Direction=H","UseDPDF=Y")</f>
        <v>#NAME?</v>
      </c>
      <c r="CO208" s="2" t="e">
        <f ca="1">_xll.BDH($C$203,"NET_DEBT_%_CAPITAL","FY 2015","FY 2015","Currency=INR","Period=FY","BEST_FPERIOD_OVERRIDE=FY","FILING_STATUS=OR","EQY_CONSOLIDATED=Y","Sort=A","Dates=H","DateFormat=P","Fill=—","Direction=H","UseDPDF=Y")</f>
        <v>#NAME?</v>
      </c>
      <c r="CP208" s="3" t="e">
        <f ca="1">_xll.BDH($C$203,"EBITDA","FY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208" s="3" t="e">
        <f ca="1">_xll.BDH($C$203,"EBITDA_AFTER_CAPEX","FY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208" s="3" t="e">
        <f ca="1">_xll.BDH($C$203,"IS_OPER_INC","FY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208" s="2" t="e">
        <f ca="1">_xll.BDH($C$203,"CASH_RATIO","FY 2015","FY 2015","Currency=INR","Period=FY","BEST_FPERIOD_OVERRIDE=FY","FILING_STATUS=OR","EQY_CONSOLIDATED=Y","Sort=A","Dates=H","DateFormat=P","Fill=—","Direction=H","UseDPDF=Y")</f>
        <v>#NAME?</v>
      </c>
      <c r="CT208" s="2" t="e">
        <f ca="1">_xll.BDH($C$203,"CUR_RATIO","FY 2015","FY 2015","Currency=INR","Period=FY","BEST_FPERIOD_OVERRIDE=FY","FILING_STATUS=OR","EQY_CONSOLIDATED=Y","Sort=A","Dates=H","DateFormat=P","Fill=—","Direction=H","UseDPDF=Y")</f>
        <v>#NAME?</v>
      </c>
      <c r="CU208" s="2" t="e">
        <f ca="1">_xll.BDH($C$203,"QUICK_RATIO","FY 2015","FY 2015","Currency=INR","Period=FY","BEST_FPERIOD_OVERRIDE=FY","FILING_STATUS=OR","EQY_CONSOLIDATED=Y","Sort=A","Dates=H","DateFormat=P","Fill=—","Direction=H","UseDPDF=Y")</f>
        <v>#NAME?</v>
      </c>
      <c r="CV208" s="2" t="e">
        <f ca="1">_xll.BDH($C$203,"ALTMAN_Z_SCORE","FY 2015","FY 2015","Currency=INR","Period=FY","BEST_FPERIOD_OVERRIDE=FY","FILING_STATUS=OR","EQY_CONSOLIDATED=Y","Sort=A","Dates=H","DateFormat=P","Fill=—","Direction=H","UseDPDF=Y")</f>
        <v>#NAME?</v>
      </c>
      <c r="CW208" s="4" t="e">
        <f ca="1">_xll.BDH($C$203,"ACCT_RCV_TURN","FY 2015","FY 2015","Currency=INR","Period=FY","BEST_FPERIOD_OVERRIDE=FY","FILING_STATUS=OR","EQY_CONSOLIDATED=Y","FA_ADJUSTED=GAAP","Sort=A","Dates=H","DateFormat=P","Fill=—","Direction=H","UseDPDF=Y")</f>
        <v>#NAME?</v>
      </c>
      <c r="CX208" s="2" t="e">
        <f ca="1">_xll.BDH($C$203,"ACCT_RCV_DAYS","FY 2015","FY 2015","Currency=INR","Period=FY","BEST_FPERIOD_OVERRIDE=FY","FILING_STATUS=OR","EQY_CONSOLIDATED=Y","FA_ADJUSTED=GAAP","Sort=A","Dates=H","DateFormat=P","Fill=—","Direction=H","UseDPDF=Y")</f>
        <v>#NAME?</v>
      </c>
      <c r="CY208" s="4" t="e">
        <f ca="1">_xll.BDH($C$203,"INVENT_TURN","FY 2015","FY 2015","Currency=INR","Period=FY","BEST_FPERIOD_OVERRIDE=FY","FILING_STATUS=OR","EQY_CONSOLIDATED=Y","FA_ADJUSTED=GAAP","Sort=A","Dates=H","DateFormat=P","Fill=—","Direction=H","UseDPDF=Y")</f>
        <v>#NAME?</v>
      </c>
      <c r="CZ208" s="2" t="e">
        <f ca="1">_xll.BDH($C$203,"INVENT_DAYS","FY 2015","FY 2015","Currency=INR","Period=FY","BEST_FPERIOD_OVERRIDE=FY","FILING_STATUS=OR","EQY_CONSOLIDATED=Y","FA_ADJUSTED=GAAP","Sort=A","Dates=H","DateFormat=P","Fill=—","Direction=H","UseDPDF=Y")</f>
        <v>#NAME?</v>
      </c>
      <c r="DA208" s="4" t="e">
        <f ca="1">_xll.BDH($C$203,"ACCOUNTS_PAYABLE_TURNOVER","FY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208" s="2" t="e">
        <f ca="1">_xll.BDH($C$203,"ACCOUNTS_PAYABLE_TURNOVER_DAYS","FY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208" s="4" t="e">
        <f ca="1">_xll.BDH($C$203,"CASH_CONVERSION_CYCLE","FY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208" s="4" t="e">
        <f ca="1">_xll.BDH($C$203,"INV_TO_CASH_DAYS","FY 2015","FY 2015","Currency=INR","Period=FY","BEST_FPERIOD_OVERRIDE=FY","FILING_STATUS=OR","EQY_CONSOLIDATED=Y","FA_ADJUSTED=GAAP","Sort=A","Dates=H","DateFormat=P","Fill=—","Direction=H","UseDPDF=Y")</f>
        <v>#NAME?</v>
      </c>
      <c r="DE208" s="5" t="e">
        <f ca="1">_xll.BDH($C$203,"BS_INVENTORIES","FY 2015","FY 2015","Currency=INR","Period=FY","BEST_FPERIOD_OVERRIDE=FY","FILING_STATUS=OR","EQY_CONSOLIDATED=Y","SCALING_FORMAT=MLN","Sort=A","Dates=H","DateFormat=P","Fill=—","Direction=H","UseDPDF=Y")</f>
        <v>#NAME?</v>
      </c>
      <c r="DF208" s="3" t="e">
        <f ca="1">_xll.BDH($C$203,"INVTRY_RAW_MATERIALS","FY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208" s="3" t="e">
        <f ca="1">_xll.BDH($C$203,"INVTRY_IN_PROGRESS","FY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208" s="3" t="e">
        <f ca="1">_xll.BDH($C$203,"INVTRY_FINISHED_GOODS","FY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208" s="3" t="e">
        <f ca="1">_xll.BDH($C$203,"BS_OTHER_INV","FY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209" spans="1:113" x14ac:dyDescent="0.3">
      <c r="A209" s="6"/>
      <c r="B209" s="6"/>
      <c r="C209" s="6"/>
      <c r="D209" s="6"/>
      <c r="E209" t="s">
        <v>78</v>
      </c>
      <c r="F209" t="e">
        <f ca="1">_xll.BDH($C$203,"RETURN_COM_EQY","FQ1 2015","FQ1 2015","Currency=INR","Period=FQ","BEST_FPERIOD_OVERRIDE=FQ","FILING_STATUS=OR","EQY_CONSOLIDATED=Y","FA_ADJUSTED=GAAP","Sort=A","Dates=H","DateFormat=P","Fill=—","Direction=H","UseDPDF=Y")</f>
        <v>#NAME?</v>
      </c>
      <c r="G209" t="e">
        <f ca="1">_xll.BDH($C$203,"RETURN_ON_ASSET","FQ1 2015","FQ1 2015","Currency=INR","Period=FQ","BEST_FPERIOD_OVERRIDE=FQ","FILING_STATUS=OR","EQY_CONSOLIDATED=Y","FA_ADJUSTED=GAAP","Sort=A","Dates=H","DateFormat=P","Fill=—","Direction=H","UseDPDF=Y")</f>
        <v>#NAME?</v>
      </c>
      <c r="H209" t="e">
        <f ca="1">_xll.BDH($C$203,"RETURN_ON_CAP","FQ1 2015","FQ1 2015","Currency=INR","Period=FQ","BEST_FPERIOD_OVERRIDE=FQ","FILING_STATUS=OR","EQY_CONSOLIDATED=Y","FA_ADJUSTED=GAAP","Sort=A","Dates=H","DateFormat=P","Fill=—","Direction=H","UseDPDF=Y")</f>
        <v>#NAME?</v>
      </c>
      <c r="I209" t="e">
        <f ca="1">_xll.BDH($C$203,"RETURN_ON_INV_CAPITAL","FQ1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209" t="e">
        <f ca="1">_xll.BDH($C$203,"EBITDA_TO_REVENUE","FQ1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209" t="e">
        <f ca="1">_xll.BDH($C$203,"OPER_MARGIN","FQ1 2015","FQ1 2015","Currency=INR","Period=FQ","BEST_FPERIOD_OVERRIDE=FQ","FILING_STATUS=OR","EQY_CONSOLIDATED=Y","FA_ADJUSTED=GAAP","Sort=A","Dates=H","DateFormat=P","Fill=—","Direction=H","UseDPDF=Y")</f>
        <v>#NAME?</v>
      </c>
      <c r="L209" t="e">
        <f ca="1">_xll.BDH($C$203,"INCREMENTAL_OPERATING_MARGIN","FQ1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209" t="e">
        <f ca="1">_xll.BDH($C$203,"PRETAX_INC_TO_NET_SALES","FQ1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209" t="e">
        <f ca="1">_xll.BDH($C$203,"INC_BEF_XO_ITEMS_TO_NET_SALES","FQ1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209" t="e">
        <f ca="1">_xll.BDH($C$203,"PROF_MARGIN","FQ1 2015","FQ1 2015","Currency=INR","Period=FQ","BEST_FPERIOD_OVERRIDE=FQ","FILING_STATUS=OR","EQY_CONSOLIDATED=Y","FA_ADJUSTED=GAAP","Sort=A","Dates=H","DateFormat=P","Fill=—","Direction=H","UseDPDF=Y")</f>
        <v>#NAME?</v>
      </c>
      <c r="P209" t="e">
        <f ca="1">_xll.BDH($C$203,"NET_INCOME_TO_COMMON_MARGIN","FQ1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209" t="e">
        <f ca="1">_xll.BDH($C$203,"EFF_TAX_RATE","FQ1 2015","FQ1 2015","Currency=INR","Period=FQ","BEST_FPERIOD_OVERRIDE=FQ","FILING_STATUS=OR","EQY_CONSOLIDATED=Y","FA_ADJUSTED=GAAP","Sort=A","Dates=H","DateFormat=P","Fill=—","Direction=H","UseDPDF=Y")</f>
        <v>#NAME?</v>
      </c>
      <c r="R209" t="e">
        <f ca="1">_xll.BDH($C$203,"DVD_PAYOUT_RATIO","FQ1 2015","FQ1 2015","Currency=INR","Period=FQ","BEST_FPERIOD_OVERRIDE=FQ","FILING_STATUS=OR","EQY_CONSOLIDATED=Y","FA_ADJUSTED=GAAP","Sort=A","Dates=H","DateFormat=P","Fill=—","Direction=H","UseDPDF=Y")</f>
        <v>#NAME?</v>
      </c>
      <c r="S209" t="e">
        <f ca="1">_xll.BDH($C$203,"SUSTAIN_GROWTH_RT","FQ1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209" s="2" t="e">
        <f ca="1">_xll.BDH($C$203,"SALES_GROWTH","FQ1 2015","FQ1 2015","Currency=INR","Period=FQ","BEST_FPERIOD_OVERRIDE=FQ","FILING_STATUS=OR","EQY_CONSOLIDATED=Y","FA_ADJUSTED=GAAP","Sort=A","Dates=H","DateFormat=P","Fill=—","Direction=H","UseDPDF=Y")</f>
        <v>#NAME?</v>
      </c>
      <c r="U209" s="2" t="e">
        <f ca="1">_xll.BDH($C$203,"EBITDA_GROWTH","FQ1 2015","FQ1 2015","Currency=INR","Period=FQ","BEST_FPERIOD_OVERRIDE=FQ","FILING_STATUS=OR","EQY_CONSOLIDATED=Y","FA_ADJUSTED=GAAP","Sort=A","Dates=H","DateFormat=P","Fill=—","Direction=H","UseDPDF=Y")</f>
        <v>#NAME?</v>
      </c>
      <c r="V209" s="2" t="e">
        <f ca="1">_xll.BDH($C$203,"OPER_INC_GROWTH","FQ1 2015","FQ1 2015","Currency=INR","Period=FQ","BEST_FPERIOD_OVERRIDE=FQ","FILING_STATUS=OR","EQY_CONSOLIDATED=Y","FA_ADJUSTED=GAAP","Sort=A","Dates=H","DateFormat=P","Fill=—","Direction=H","UseDPDF=Y")</f>
        <v>#NAME?</v>
      </c>
      <c r="W209" s="2" t="e">
        <f ca="1">_xll.BDH($C$203,"EARN_FOR_COM_GROWTH","FQ1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209" s="2" t="e">
        <f ca="1">_xll.BDH($C$203,"DILUTED_EPS_AFT_XO_ITEMS_GROWTH","FQ1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209" s="2" t="e">
        <f ca="1">_xll.BDH($C$203,"DIVIDEND_PER_SHARE_1_YEAR_GROWTH","FQ1 2015","FQ1 2015","Currency=INR","Period=FQ","BEST_FPERIOD_OVERRIDE=FQ","FILING_STATUS=OR","EQY_CONSOLIDATED=Y","Sort=A","Dates=H","DateFormat=P","Fill=—","Direction=H","UseDPDF=Y")</f>
        <v>#NAME?</v>
      </c>
      <c r="Z209" s="2" t="e">
        <f ca="1">_xll.BDH($C$203,"ACCOUNTS_RECEIVABLE_GROWTH","FQ1 2015","FQ1 2015","Currency=INR","Period=FQ","BEST_FPERIOD_OVERRIDE=FQ","FILING_STATUS=OR","EQY_CONSOLIDATED=Y","Sort=A","Dates=H","DateFormat=P","Fill=—","Direction=H","UseDPDF=Y")</f>
        <v>#NAME?</v>
      </c>
      <c r="AA209" s="2" t="e">
        <f ca="1">_xll.BDH($C$203,"INVENTORY_GROWTH","FQ1 2015","FQ1 2015","Currency=INR","Period=FQ","BEST_FPERIOD_OVERRIDE=FQ","FILING_STATUS=OR","EQY_CONSOLIDATED=Y","Sort=A","Dates=H","DateFormat=P","Fill=—","Direction=H","UseDPDF=Y")</f>
        <v>#NAME?</v>
      </c>
      <c r="AB209" s="2" t="e">
        <f ca="1">_xll.BDH($C$203,"NET_FIXED_ASSETS_1_YEAR_GROWTH","FQ1 2015","FQ1 2015","Currency=INR","Period=FQ","BEST_FPERIOD_OVERRIDE=FQ","FILING_STATUS=OR","EQY_CONSOLIDATED=Y","Sort=A","Dates=H","DateFormat=P","Fill=—","Direction=H","UseDPDF=Y")</f>
        <v>#NAME?</v>
      </c>
      <c r="AC209" s="2" t="e">
        <f ca="1">_xll.BDH($C$203,"ASSET_GROWTH","FQ1 2015","FQ1 2015","Currency=INR","Period=FQ","BEST_FPERIOD_OVERRIDE=FQ","FILING_STATUS=OR","EQY_CONSOLIDATED=Y","Sort=A","Dates=H","DateFormat=P","Fill=—","Direction=H","UseDPDF=Y")</f>
        <v>#NAME?</v>
      </c>
      <c r="AD209" s="2" t="e">
        <f ca="1">_xll.BDH($C$203,"MODIFIED_WORK_CAP_GROWTH","FQ1 2015","FQ1 2015","Currency=INR","Period=FQ","BEST_FPERIOD_OVERRIDE=FQ","FILING_STATUS=OR","EQY_CONSOLIDATED=Y","Sort=A","Dates=H","DateFormat=P","Fill=—","Direction=H","UseDPDF=Y")</f>
        <v>#NAME?</v>
      </c>
      <c r="AE209" s="2" t="e">
        <f ca="1">_xll.BDH($C$203,"WORK_CAP_GROWTH","FQ1 2015","FQ1 2015","Currency=INR","Period=FQ","BEST_FPERIOD_OVERRIDE=FQ","FILING_STATUS=OR","EQY_CONSOLIDATED=Y","Sort=A","Dates=H","DateFormat=P","Fill=—","Direction=H","UseDPDF=Y")</f>
        <v>#NAME?</v>
      </c>
      <c r="AF209" s="2" t="e">
        <f ca="1">_xll.BDH($C$203,"ACCOUNTS_PAYABLE_GROWTH_1YR","FQ1 2015","FQ1 2015","Currency=INR","Period=FQ","BEST_FPERIOD_OVERRIDE=FQ","FILING_STATUS=OR","EQY_CONSOLIDATED=Y","Sort=A","Dates=H","DateFormat=P","Fill=—","Direction=H","UseDPDF=Y")</f>
        <v>#NAME?</v>
      </c>
      <c r="AG209" s="2" t="e">
        <f ca="1">_xll.BDH($C$203,"SHORT_TERM_DEBT_1_YEAR_GROWTH","FQ1 2015","FQ1 2015","Currency=INR","Period=FQ","BEST_FPERIOD_OVERRIDE=FQ","FILING_STATUS=OR","EQY_CONSOLIDATED=Y","Sort=A","Dates=H","DateFormat=P","Fill=—","Direction=H","UseDPDF=Y")</f>
        <v>#NAME?</v>
      </c>
      <c r="AH209" s="2" t="e">
        <f ca="1">_xll.BDH($C$203,"TOTAL_DEBT_1_YEAR_GROWTH","FQ1 2015","FQ1 2015","Currency=INR","Period=FQ","BEST_FPERIOD_OVERRIDE=FQ","FILING_STATUS=OR","EQY_CONSOLIDATED=Y","Sort=A","Dates=H","DateFormat=P","Fill=—","Direction=H","UseDPDF=Y")</f>
        <v>#NAME?</v>
      </c>
      <c r="AI209" s="2" t="e">
        <f ca="1">_xll.BDH($C$203,"TOTAL_EQUITY_1_YEAR_GROWTH","FQ1 2015","FQ1 2015","Currency=INR","Period=FQ","BEST_FPERIOD_OVERRIDE=FQ","FILING_STATUS=OR","EQY_CONSOLIDATED=Y","Sort=A","Dates=H","DateFormat=P","Fill=—","Direction=H","UseDPDF=Y")</f>
        <v>#NAME?</v>
      </c>
      <c r="AJ209" s="2" t="e">
        <f ca="1">_xll.BDH($C$203,"GROWTH_IN_CAP","FQ1 2015","FQ1 2015","Currency=INR","Period=FQ","BEST_FPERIOD_OVERRIDE=FQ","FILING_STATUS=OR","EQY_CONSOLIDATED=Y","Sort=A","Dates=H","DateFormat=P","Fill=—","Direction=H","UseDPDF=Y")</f>
        <v>#NAME?</v>
      </c>
      <c r="AK209" s="2" t="e">
        <f ca="1">_xll.BDH($C$203,"BVPS_GROWTH","FQ1 2015","FQ1 2015","Currency=INR","Period=FQ","BEST_FPERIOD_OVERRIDE=FQ","FILING_STATUS=OR","EQY_CONSOLIDATED=Y","Sort=A","Dates=H","DateFormat=P","Fill=—","Direction=H","UseDPDF=Y")</f>
        <v>#NAME?</v>
      </c>
      <c r="AL209" s="2" t="e">
        <f ca="1">_xll.BDH($C$203,"CASH_FLOW_GROWTH","FQ1 2015","FQ1 2015","Currency=INR","Period=FQ","BEST_FPERIOD_OVERRIDE=FQ","FILING_STATUS=OR","EQY_CONSOLIDATED=Y","Sort=A","Dates=H","DateFormat=P","Fill=—","Direction=H","UseDPDF=Y")</f>
        <v>#NAME?</v>
      </c>
      <c r="AM209" s="2" t="e">
        <f ca="1">_xll.BDH($C$203,"GEO_GROW_NET_SALES","FQ1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209" s="2" t="e">
        <f ca="1">_xll.BDH($C$203,"GEO_GROW_EBITDA","FQ1 2015","FQ1 2015","Currency=INR","Period=FQ","BEST_FPERIOD_OVERRIDE=FQ","FILING_STATUS=OR","EQY_CONSOLIDATED=Y","FA_ADJUSTED=GAAP","Sort=A","Dates=H","DateFormat=P","Fill=—","Direction=H","UseDPDF=Y")</f>
        <v>#NAME?</v>
      </c>
      <c r="AO209" s="2" t="e">
        <f ca="1">_xll.BDH($C$203,"GEO_GROW_OPER_INC","FQ1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209" s="2" t="e">
        <f ca="1">_xll.BDH($C$203,"NET_INCOME_TO_COMMON_5_YR_GROWTH","FQ1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209" s="2" t="e">
        <f ca="1">_xll.BDH($C$203,"5Y_GEO_GROWTH_DILUTED_EPS","FQ1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209" s="2" t="e">
        <f ca="1">_xll.BDH($C$203,"GEO_GROW_DVD_PER_SH","FQ1 2015","FQ1 2015","Currency=INR","Period=FQ","BEST_FPERIOD_OVERRIDE=FQ","FILING_STATUS=OR","EQY_CONSOLIDATED=Y","Sort=A","Dates=H","DateFormat=P","Fill=—","Direction=H","UseDPDF=Y")</f>
        <v>#NAME?</v>
      </c>
      <c r="AS209" s="2" t="e">
        <f ca="1">_xll.BDH($C$203,"ACCOUNTS_RECEIVABLE_5_YR_GROWTH","FQ1 2015","FQ1 2015","Currency=INR","Period=FQ","BEST_FPERIOD_OVERRIDE=FQ","FILING_STATUS=OR","EQY_CONSOLIDATED=Y","Sort=A","Dates=H","DateFormat=P","Fill=—","Direction=H","UseDPDF=Y")</f>
        <v>#NAME?</v>
      </c>
      <c r="AT209" s="2" t="e">
        <f ca="1">_xll.BDH($C$203,"INVENTORY_5_YEAR_GROWTH","FQ1 2015","FQ1 2015","Currency=INR","Period=FQ","BEST_FPERIOD_OVERRIDE=FQ","FILING_STATUS=OR","EQY_CONSOLIDATED=Y","Sort=A","Dates=H","DateFormat=P","Fill=—","Direction=H","UseDPDF=Y")</f>
        <v>#NAME?</v>
      </c>
      <c r="AU209" s="2" t="e">
        <f ca="1">_xll.BDH($C$203,"NET_FIXED_ASSETS_5_YEAR_GROWTH","FQ1 2015","FQ1 2015","Currency=INR","Period=FQ","BEST_FPERIOD_OVERRIDE=FQ","FILING_STATUS=OR","EQY_CONSOLIDATED=Y","Sort=A","Dates=H","DateFormat=P","Fill=—","Direction=H","UseDPDF=Y")</f>
        <v>#NAME?</v>
      </c>
      <c r="AV209" s="2" t="e">
        <f ca="1">_xll.BDH($C$203,"GEO_GROW_TOT_ASSET","FQ1 2015","FQ1 2015","Currency=INR","Period=FQ","BEST_FPERIOD_OVERRIDE=FQ","FILING_STATUS=OR","EQY_CONSOLIDATED=Y","Sort=A","Dates=H","DateFormat=P","Fill=—","Direction=H","UseDPDF=Y")</f>
        <v>#NAME?</v>
      </c>
      <c r="AW209" s="2" t="e">
        <f ca="1">_xll.BDH($C$203,"MODIFIED_WORKING_CPTL_5YR_GRWTH","FQ1 2015","FQ1 2015","Currency=INR","Period=FQ","BEST_FPERIOD_OVERRIDE=FQ","FILING_STATUS=OR","EQY_CONSOLIDATED=Y","Sort=A","Dates=H","DateFormat=P","Fill=—","Direction=H","UseDPDF=Y")</f>
        <v>#NAME?</v>
      </c>
      <c r="AX209" s="2" t="e">
        <f ca="1">_xll.BDH($C$203,"WORKING_CAPITAL_5_YEAR_GROWTH","FQ1 2015","FQ1 2015","Currency=INR","Period=FQ","BEST_FPERIOD_OVERRIDE=FQ","FILING_STATUS=OR","EQY_CONSOLIDATED=Y","Sort=A","Dates=H","DateFormat=P","Fill=—","Direction=H","UseDPDF=Y")</f>
        <v>#NAME?</v>
      </c>
      <c r="AY209" s="2" t="e">
        <f ca="1">_xll.BDH($C$203,"ACCOUNTS_PAYABLE_5_YEAR_GROWTH","FQ1 2015","FQ1 2015","Currency=INR","Period=FQ","BEST_FPERIOD_OVERRIDE=FQ","FILING_STATUS=OR","EQY_CONSOLIDATED=Y","Sort=A","Dates=H","DateFormat=P","Fill=—","Direction=H","UseDPDF=Y")</f>
        <v>#NAME?</v>
      </c>
      <c r="AZ209" s="2" t="e">
        <f ca="1">_xll.BDH($C$203,"SHORT_TERM_DEBT_5_YEAR_GROWTH","FQ1 2015","FQ1 2015","Currency=INR","Period=FQ","BEST_FPERIOD_OVERRIDE=FQ","FILING_STATUS=OR","EQY_CONSOLIDATED=Y","Sort=A","Dates=H","DateFormat=P","Fill=—","Direction=H","UseDPDF=Y")</f>
        <v>#NAME?</v>
      </c>
      <c r="BA209" s="2" t="e">
        <f ca="1">_xll.BDH($C$203,"TOTAL_DEBT_5_YEAR_GROWTH","FQ1 2015","FQ1 2015","Currency=INR","Period=FQ","BEST_FPERIOD_OVERRIDE=FQ","FILING_STATUS=OR","EQY_CONSOLIDATED=Y","Sort=A","Dates=H","DateFormat=P","Fill=—","Direction=H","UseDPDF=Y")</f>
        <v>#NAME?</v>
      </c>
      <c r="BB209" s="2" t="e">
        <f ca="1">_xll.BDH($C$203,"GEO_GROW_TOT_SHRHLDR_EQY","FQ1 2015","FQ1 2015","Currency=INR","Period=FQ","BEST_FPERIOD_OVERRIDE=FQ","FILING_STATUS=OR","EQY_CONSOLIDATED=Y","Sort=A","Dates=H","DateFormat=P","Fill=—","Direction=H","UseDPDF=Y")</f>
        <v>#NAME?</v>
      </c>
      <c r="BC209" s="2" t="e">
        <f ca="1">_xll.BDH($C$203,"TOTAL_CAPITAL_5_YEAR_GROWTH","FQ1 2015","FQ1 2015","Currency=INR","Period=FQ","BEST_FPERIOD_OVERRIDE=FQ","FILING_STATUS=OR","EQY_CONSOLIDATED=Y","Sort=A","Dates=H","DateFormat=P","Fill=—","Direction=H","UseDPDF=Y")</f>
        <v>#NAME?</v>
      </c>
      <c r="BD209" s="2" t="e">
        <f ca="1">_xll.BDH($C$203,"GEO_GROW_BOOK_VAL","FQ1 2015","FQ1 2015","Currency=INR","Period=FQ","BEST_FPERIOD_OVERRIDE=FQ","FILING_STATUS=OR","EQY_CONSOLIDATED=Y","Sort=A","Dates=H","DateFormat=P","Fill=—","Direction=H","UseDPDF=Y")</f>
        <v>#NAME?</v>
      </c>
      <c r="BE209" s="2" t="e">
        <f ca="1">_xll.BDH($C$203,"GEO_GROW_CASH_OPER_ACT","FQ1 2015","FQ1 2015","Currency=INR","Period=FQ","BEST_FPERIOD_OVERRIDE=FQ","FILING_STATUS=OR","EQY_CONSOLIDATED=Y","Sort=A","Dates=H","DateFormat=P","Fill=—","Direction=H","UseDPDF=Y")</f>
        <v>#NAME?</v>
      </c>
      <c r="BF209" s="2" t="e">
        <f ca="1">_xll.BDH($C$203,"REVENUE_SEQUENTIAL_GROWTH","FQ1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209" s="2" t="e">
        <f ca="1">_xll.BDH($C$203,"EBITDA_SEQUENTIAL_GROWTH","FQ1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209" s="2" t="e">
        <f ca="1">_xll.BDH($C$203,"OPERATING_INCOME_SEQ_GROWTH","FQ1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209" s="2" t="e">
        <f ca="1">_xll.BDH($C$203,"NET_INCOME_TO_COMMON_SEQ_GROWTH","FQ1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209" s="2" t="e">
        <f ca="1">_xll.BDH($C$203,"EPS_DILUTED_SEQUENTIAL_GROWTH","FQ1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209" s="2" t="e">
        <f ca="1">_xll.BDH($C$203,"DPS_SEQUENTIAL_GROWTH","FQ1 2015","FQ1 2015","Currency=INR","Period=FQ","BEST_FPERIOD_OVERRIDE=FQ","FILING_STATUS=OR","EQY_CONSOLIDATED=Y","Sort=A","Dates=H","DateFormat=P","Fill=—","Direction=H","UseDPDF=Y")</f>
        <v>#NAME?</v>
      </c>
      <c r="BL209" s="2" t="e">
        <f ca="1">_xll.BDH($C$203,"ACCOUNTS_RECEIVABLE_SEQ_GROWTH","FQ1 2015","FQ1 2015","Currency=INR","Period=FQ","BEST_FPERIOD_OVERRIDE=FQ","FILING_STATUS=OR","EQY_CONSOLIDATED=Y","Sort=A","Dates=H","DateFormat=P","Fill=—","Direction=H","UseDPDF=Y")</f>
        <v>#NAME?</v>
      </c>
      <c r="BM209" s="2" t="e">
        <f ca="1">_xll.BDH($C$203,"INVENTORY_SEQUENTIAL_GROWTH","FQ1 2015","FQ1 2015","Currency=INR","Period=FQ","BEST_FPERIOD_OVERRIDE=FQ","FILING_STATUS=OR","EQY_CONSOLIDATED=Y","Sort=A","Dates=H","DateFormat=P","Fill=—","Direction=H","UseDPDF=Y")</f>
        <v>#NAME?</v>
      </c>
      <c r="BN209" s="2" t="e">
        <f ca="1">_xll.BDH($C$203,"FIXED_ASSETS_SEQUENTIAL_GROWTH","FQ1 2015","FQ1 2015","Currency=INR","Period=FQ","BEST_FPERIOD_OVERRIDE=FQ","FILING_STATUS=OR","EQY_CONSOLIDATED=Y","Sort=A","Dates=H","DateFormat=P","Fill=—","Direction=H","UseDPDF=Y")</f>
        <v>#NAME?</v>
      </c>
      <c r="BO209" s="2" t="e">
        <f ca="1">_xll.BDH($C$203,"TOTAL_ASSETS_SEQUENTIAL_GROWTH","FQ1 2015","FQ1 2015","Currency=INR","Period=FQ","BEST_FPERIOD_OVERRIDE=FQ","FILING_STATUS=OR","EQY_CONSOLIDATED=Y","Sort=A","Dates=H","DateFormat=P","Fill=—","Direction=H","UseDPDF=Y")</f>
        <v>#NAME?</v>
      </c>
      <c r="BP209" s="2" t="e">
        <f ca="1">_xll.BDH($C$203,"MODIFIED_WORKING_CPTL_SEQ_GRWTH","FQ1 2015","FQ1 2015","Currency=INR","Period=FQ","BEST_FPERIOD_OVERRIDE=FQ","FILING_STATUS=OR","EQY_CONSOLIDATED=Y","Sort=A","Dates=H","DateFormat=P","Fill=—","Direction=H","UseDPDF=Y")</f>
        <v>#NAME?</v>
      </c>
      <c r="BQ209" s="2" t="e">
        <f ca="1">_xll.BDH($C$203,"WORKING_CAPITAL_SEQ_GROWTH","FQ1 2015","FQ1 2015","Currency=INR","Period=FQ","BEST_FPERIOD_OVERRIDE=FQ","FILING_STATUS=OR","EQY_CONSOLIDATED=Y","Sort=A","Dates=H","DateFormat=P","Fill=—","Direction=H","UseDPDF=Y")</f>
        <v>#NAME?</v>
      </c>
      <c r="BR209" s="2" t="e">
        <f ca="1">_xll.BDH($C$203,"ACCOUNTS_PAYABLE_SEQ_GROWTH","FQ1 2015","FQ1 2015","Currency=INR","Period=FQ","BEST_FPERIOD_OVERRIDE=FQ","FILING_STATUS=OR","EQY_CONSOLIDATED=Y","Sort=A","Dates=H","DateFormat=P","Fill=—","Direction=H","UseDPDF=Y")</f>
        <v>#NAME?</v>
      </c>
      <c r="BS209" s="2" t="e">
        <f ca="1">_xll.BDH($C$203,"ST_DEBT_SEQUENTIAL_GROWTH","FQ1 2015","FQ1 2015","Currency=INR","Period=FQ","BEST_FPERIOD_OVERRIDE=FQ","FILING_STATUS=OR","EQY_CONSOLIDATED=Y","Sort=A","Dates=H","DateFormat=P","Fill=—","Direction=H","UseDPDF=Y")</f>
        <v>#NAME?</v>
      </c>
      <c r="BT209" s="2" t="e">
        <f ca="1">_xll.BDH($C$203,"TOTAL_DEBT_SEQUENTIAL_GROWTH","FQ1 2015","FQ1 2015","Currency=INR","Period=FQ","BEST_FPERIOD_OVERRIDE=FQ","FILING_STATUS=OR","EQY_CONSOLIDATED=Y","Sort=A","Dates=H","DateFormat=P","Fill=—","Direction=H","UseDPDF=Y")</f>
        <v>#NAME?</v>
      </c>
      <c r="BU209" s="2" t="e">
        <f ca="1">_xll.BDH($C$203,"TOTAL_EQUITY_SEQUENTIAL_GROWTH","FQ1 2015","FQ1 2015","Currency=INR","Period=FQ","BEST_FPERIOD_OVERRIDE=FQ","FILING_STATUS=OR","EQY_CONSOLIDATED=Y","Sort=A","Dates=H","DateFormat=P","Fill=—","Direction=H","UseDPDF=Y")</f>
        <v>#NAME?</v>
      </c>
      <c r="BV209" s="2" t="e">
        <f ca="1">_xll.BDH($C$203,"TOTAL_CAPITAL_SEQUENTIAL_GROWTH","FQ1 2015","FQ1 2015","Currency=INR","Period=FQ","BEST_FPERIOD_OVERRIDE=FQ","FILING_STATUS=OR","EQY_CONSOLIDATED=Y","Sort=A","Dates=H","DateFormat=P","Fill=—","Direction=H","UseDPDF=Y")</f>
        <v>#NAME?</v>
      </c>
      <c r="BW209" s="2" t="e">
        <f ca="1">_xll.BDH($C$203,"BPS_SEQUENTIAL_GROWTH","FQ1 2015","FQ1 2015","Currency=INR","Period=FQ","BEST_FPERIOD_OVERRIDE=FQ","FILING_STATUS=OR","EQY_CONSOLIDATED=Y","Sort=A","Dates=H","DateFormat=P","Fill=—","Direction=H","UseDPDF=Y")</f>
        <v>#NAME?</v>
      </c>
      <c r="BX209" s="2" t="e">
        <f ca="1">_xll.BDH($C$203,"CFO_SEQUENTIAL_GROWTH","FQ1 2015","FQ1 2015","Currency=INR","Period=FQ","BEST_FPERIOD_OVERRIDE=FQ","FILING_STATUS=OR","EQY_CONSOLIDATED=Y","Sort=A","Dates=H","DateFormat=P","Fill=—","Direction=H","UseDPDF=Y")</f>
        <v>#NAME?</v>
      </c>
      <c r="BY209" s="3" t="e">
        <f ca="1">_xll.BDH($C$203,"SHORT_AND_LONG_TERM_DEBT","FQ1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209" s="3" t="e">
        <f ca="1">_xll.BDH($C$203,"BS_ST_BORROW","FQ1 2015","FQ1 2015","Currency=INR","Period=FQ","BEST_FPERIOD_OVERRIDE=FQ","FILING_STATUS=OR","EQY_CONSOLIDATED=Y","SCALING_FORMAT=MLN","Sort=A","Dates=H","DateFormat=P","Fill=—","Direction=H","UseDPDF=Y")</f>
        <v>#NAME?</v>
      </c>
      <c r="CA209" s="3" t="e">
        <f ca="1">_xll.BDH($C$203,"BS_LT_BORROW","FQ1 2015","FQ1 2015","Currency=INR","Period=FQ","BEST_FPERIOD_OVERRIDE=FQ","FILING_STATUS=OR","EQY_CONSOLIDATED=Y","SCALING_FORMAT=MLN","Sort=A","Dates=H","DateFormat=P","Fill=—","Direction=H","UseDPDF=Y")</f>
        <v>#NAME?</v>
      </c>
      <c r="CB209" s="2" t="e">
        <f ca="1">_xll.BDH($C$203,"TOT_DEBT_TO_EBITDA","FQ1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209" s="2" t="e">
        <f ca="1">_xll.BDH($C$203,"NET_DEBT_TO_EBITDA","FQ1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209" s="2" t="e">
        <f ca="1">_xll.BDH($C$203,"TOTAL_DEBT_TO_EBIT","FQ1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209" s="2" t="e">
        <f ca="1">_xll.BDH($C$203,"NET_DEBT_TO_EBIT","FQ1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209" s="2" t="e">
        <f ca="1">_xll.BDH($C$203,"EBITDA_TO_INTEREST_EXPN","FQ1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209" s="2" t="e">
        <f ca="1">_xll.BDH($C$203,"COM_EQY_TO_TOT_ASSET","FQ1 2015","FQ1 2015","Currency=INR","Period=FQ","BEST_FPERIOD_OVERRIDE=FQ","FILING_STATUS=OR","EQY_CONSOLIDATED=Y","Sort=A","Dates=H","DateFormat=P","Fill=—","Direction=H","UseDPDF=Y")</f>
        <v>#NAME?</v>
      </c>
      <c r="CH209" s="2" t="e">
        <f ca="1">_xll.BDH($C$203,"LT_DEBT_TO_TOT_EQY","FQ1 2015","FQ1 2015","Currency=INR","Period=FQ","BEST_FPERIOD_OVERRIDE=FQ","FILING_STATUS=OR","EQY_CONSOLIDATED=Y","Sort=A","Dates=H","DateFormat=P","Fill=—","Direction=H","UseDPDF=Y")</f>
        <v>#NAME?</v>
      </c>
      <c r="CI209" s="2" t="e">
        <f ca="1">_xll.BDH($C$203,"LT_DEBT_TO_TOT_CAP","FQ1 2015","FQ1 2015","Currency=INR","Period=FQ","BEST_FPERIOD_OVERRIDE=FQ","FILING_STATUS=OR","EQY_CONSOLIDATED=Y","Sort=A","Dates=H","DateFormat=P","Fill=—","Direction=H","UseDPDF=Y")</f>
        <v>#NAME?</v>
      </c>
      <c r="CJ209" s="2" t="e">
        <f ca="1">_xll.BDH($C$203,"LT_DEBT_TO_TOT_ASSET","FQ1 2015","FQ1 2015","Currency=INR","Period=FQ","BEST_FPERIOD_OVERRIDE=FQ","FILING_STATUS=OR","EQY_CONSOLIDATED=Y","Sort=A","Dates=H","DateFormat=P","Fill=—","Direction=H","UseDPDF=Y")</f>
        <v>#NAME?</v>
      </c>
      <c r="CK209" s="2" t="e">
        <f ca="1">_xll.BDH($C$203,"TOT_DEBT_TO_TOT_EQY","FQ1 2015","FQ1 2015","Currency=INR","Period=FQ","BEST_FPERIOD_OVERRIDE=FQ","FILING_STATUS=OR","EQY_CONSOLIDATED=Y","Sort=A","Dates=H","DateFormat=P","Fill=—","Direction=H","UseDPDF=Y")</f>
        <v>#NAME?</v>
      </c>
      <c r="CL209" s="2" t="e">
        <f ca="1">_xll.BDH($C$203,"TOT_DEBT_TO_TOT_CAP","FQ1 2015","FQ1 2015","Currency=INR","Period=FQ","BEST_FPERIOD_OVERRIDE=FQ","FILING_STATUS=OR","EQY_CONSOLIDATED=Y","Sort=A","Dates=H","DateFormat=P","Fill=—","Direction=H","UseDPDF=Y")</f>
        <v>#NAME?</v>
      </c>
      <c r="CM209" s="2" t="e">
        <f ca="1">_xll.BDH($C$203,"TOT_DEBT_TO_TOT_ASSET","FQ1 2015","FQ1 2015","Currency=INR","Period=FQ","BEST_FPERIOD_OVERRIDE=FQ","FILING_STATUS=OR","EQY_CONSOLIDATED=Y","Sort=A","Dates=H","DateFormat=P","Fill=—","Direction=H","UseDPDF=Y")</f>
        <v>#NAME?</v>
      </c>
      <c r="CN209" s="2" t="e">
        <f ca="1">_xll.BDH($C$203,"NET_DEBT_TO_SHRHLDR_EQTY","FQ1 2015","FQ1 2015","Currency=INR","Period=FQ","BEST_FPERIOD_OVERRIDE=FQ","FILING_STATUS=OR","EQY_CONSOLIDATED=Y","Sort=A","Dates=H","DateFormat=P","Fill=—","Direction=H","UseDPDF=Y")</f>
        <v>#NAME?</v>
      </c>
      <c r="CO209" s="2" t="e">
        <f ca="1">_xll.BDH($C$203,"NET_DEBT_%_CAPITAL","FQ1 2015","FQ1 2015","Currency=INR","Period=FQ","BEST_FPERIOD_OVERRIDE=FQ","FILING_STATUS=OR","EQY_CONSOLIDATED=Y","Sort=A","Dates=H","DateFormat=P","Fill=—","Direction=H","UseDPDF=Y")</f>
        <v>#NAME?</v>
      </c>
      <c r="CP209" s="3" t="e">
        <f ca="1">_xll.BDH($C$203,"EBITDA","FQ1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209" s="3" t="e">
        <f ca="1">_xll.BDH($C$203,"EBITDA_AFTER_CAPEX","FQ1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209" s="3" t="e">
        <f ca="1">_xll.BDH($C$203,"IS_OPER_INC","FQ1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209" s="2" t="e">
        <f ca="1">_xll.BDH($C$203,"CASH_RATIO","FQ1 2015","FQ1 2015","Currency=INR","Period=FQ","BEST_FPERIOD_OVERRIDE=FQ","FILING_STATUS=OR","EQY_CONSOLIDATED=Y","Sort=A","Dates=H","DateFormat=P","Fill=—","Direction=H","UseDPDF=Y")</f>
        <v>#NAME?</v>
      </c>
      <c r="CT209" s="2" t="e">
        <f ca="1">_xll.BDH($C$203,"CUR_RATIO","FQ1 2015","FQ1 2015","Currency=INR","Period=FQ","BEST_FPERIOD_OVERRIDE=FQ","FILING_STATUS=OR","EQY_CONSOLIDATED=Y","Sort=A","Dates=H","DateFormat=P","Fill=—","Direction=H","UseDPDF=Y")</f>
        <v>#NAME?</v>
      </c>
      <c r="CU209" s="2" t="e">
        <f ca="1">_xll.BDH($C$203,"QUICK_RATIO","FQ1 2015","FQ1 2015","Currency=INR","Period=FQ","BEST_FPERIOD_OVERRIDE=FQ","FILING_STATUS=OR","EQY_CONSOLIDATED=Y","Sort=A","Dates=H","DateFormat=P","Fill=—","Direction=H","UseDPDF=Y")</f>
        <v>#NAME?</v>
      </c>
      <c r="CV209" s="2" t="e">
        <f ca="1">_xll.BDH($C$203,"ALTMAN_Z_SCORE","FQ1 2015","FQ1 2015","Currency=INR","Period=FQ","BEST_FPERIOD_OVERRIDE=FQ","FILING_STATUS=OR","EQY_CONSOLIDATED=Y","Sort=A","Dates=H","DateFormat=P","Fill=—","Direction=H","UseDPDF=Y")</f>
        <v>#NAME?</v>
      </c>
      <c r="CW209" s="4" t="e">
        <f ca="1">_xll.BDH($C$203,"ACCT_RCV_TURN","FQ1 2015","FQ1 2015","Currency=INR","Period=FQ","BEST_FPERIOD_OVERRIDE=FQ","FILING_STATUS=OR","EQY_CONSOLIDATED=Y","FA_ADJUSTED=GAAP","Sort=A","Dates=H","DateFormat=P","Fill=—","Direction=H","UseDPDF=Y")</f>
        <v>#NAME?</v>
      </c>
      <c r="CX209" s="2" t="e">
        <f ca="1">_xll.BDH($C$203,"ACCT_RCV_DAYS","FQ1 2015","FQ1 2015","Currency=INR","Period=FQ","BEST_FPERIOD_OVERRIDE=FQ","FILING_STATUS=OR","EQY_CONSOLIDATED=Y","FA_ADJUSTED=GAAP","Sort=A","Dates=H","DateFormat=P","Fill=—","Direction=H","UseDPDF=Y")</f>
        <v>#NAME?</v>
      </c>
      <c r="CY209" s="4" t="e">
        <f ca="1">_xll.BDH($C$203,"INVENT_TURN","FQ1 2015","FQ1 2015","Currency=INR","Period=FQ","BEST_FPERIOD_OVERRIDE=FQ","FILING_STATUS=OR","EQY_CONSOLIDATED=Y","FA_ADJUSTED=GAAP","Sort=A","Dates=H","DateFormat=P","Fill=—","Direction=H","UseDPDF=Y")</f>
        <v>#NAME?</v>
      </c>
      <c r="CZ209" s="2" t="e">
        <f ca="1">_xll.BDH($C$203,"INVENT_DAYS","FQ1 2015","FQ1 2015","Currency=INR","Period=FQ","BEST_FPERIOD_OVERRIDE=FQ","FILING_STATUS=OR","EQY_CONSOLIDATED=Y","FA_ADJUSTED=GAAP","Sort=A","Dates=H","DateFormat=P","Fill=—","Direction=H","UseDPDF=Y")</f>
        <v>#NAME?</v>
      </c>
      <c r="DA209" s="4" t="e">
        <f ca="1">_xll.BDH($C$203,"ACCOUNTS_PAYABLE_TURNOVER","FQ1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209" s="2" t="e">
        <f ca="1">_xll.BDH($C$203,"ACCOUNTS_PAYABLE_TURNOVER_DAYS","FQ1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209" s="4" t="e">
        <f ca="1">_xll.BDH($C$203,"CASH_CONVERSION_CYCLE","FQ1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209" s="4" t="e">
        <f ca="1">_xll.BDH($C$203,"INV_TO_CASH_DAYS","FQ1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209" s="5" t="e">
        <f ca="1">_xll.BDH($C$203,"BS_INVENTORIES","FQ1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209" s="3" t="e">
        <f ca="1">_xll.BDH($C$203,"INVTRY_RAW_MATERIALS","FQ1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209" s="3" t="e">
        <f ca="1">_xll.BDH($C$203,"INVTRY_IN_PROGRESS","FQ1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209" s="3" t="e">
        <f ca="1">_xll.BDH($C$203,"INVTRY_FINISHED_GOODS","FQ1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209" s="3" t="e">
        <f ca="1">_xll.BDH($C$203,"BS_OTHER_INV","FQ1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210" spans="1:113" x14ac:dyDescent="0.3">
      <c r="A210" s="6"/>
      <c r="B210" s="6"/>
      <c r="C210" s="6"/>
      <c r="D210" s="6"/>
      <c r="E210" t="s">
        <v>79</v>
      </c>
      <c r="F210" t="e">
        <f ca="1">_xll.BDH($C$203,"RETURN_COM_EQY","FQ2 2015","FQ2 2015","Currency=INR","Period=FQ","BEST_FPERIOD_OVERRIDE=FQ","FILING_STATUS=OR","EQY_CONSOLIDATED=Y","FA_ADJUSTED=GAAP","Sort=A","Dates=H","DateFormat=P","Fill=—","Direction=H","UseDPDF=Y")</f>
        <v>#NAME?</v>
      </c>
      <c r="G210" t="e">
        <f ca="1">_xll.BDH($C$203,"RETURN_ON_ASSET","FQ2 2015","FQ2 2015","Currency=INR","Period=FQ","BEST_FPERIOD_OVERRIDE=FQ","FILING_STATUS=OR","EQY_CONSOLIDATED=Y","FA_ADJUSTED=GAAP","Sort=A","Dates=H","DateFormat=P","Fill=—","Direction=H","UseDPDF=Y")</f>
        <v>#NAME?</v>
      </c>
      <c r="H210" t="e">
        <f ca="1">_xll.BDH($C$203,"RETURN_ON_CAP","FQ2 2015","FQ2 2015","Currency=INR","Period=FQ","BEST_FPERIOD_OVERRIDE=FQ","FILING_STATUS=OR","EQY_CONSOLIDATED=Y","FA_ADJUSTED=GAAP","Sort=A","Dates=H","DateFormat=P","Fill=—","Direction=H","UseDPDF=Y")</f>
        <v>#NAME?</v>
      </c>
      <c r="I210" t="e">
        <f ca="1">_xll.BDH($C$203,"RETURN_ON_INV_CAPITAL","FQ2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210" t="e">
        <f ca="1">_xll.BDH($C$203,"EBITDA_TO_REVENUE","FQ2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210" t="e">
        <f ca="1">_xll.BDH($C$203,"OPER_MARGIN","FQ2 2015","FQ2 2015","Currency=INR","Period=FQ","BEST_FPERIOD_OVERRIDE=FQ","FILING_STATUS=OR","EQY_CONSOLIDATED=Y","FA_ADJUSTED=GAAP","Sort=A","Dates=H","DateFormat=P","Fill=—","Direction=H","UseDPDF=Y")</f>
        <v>#NAME?</v>
      </c>
      <c r="L210" t="e">
        <f ca="1">_xll.BDH($C$203,"INCREMENTAL_OPERATING_MARGIN","FQ2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210" t="e">
        <f ca="1">_xll.BDH($C$203,"PRETAX_INC_TO_NET_SALES","FQ2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210" t="e">
        <f ca="1">_xll.BDH($C$203,"INC_BEF_XO_ITEMS_TO_NET_SALES","FQ2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210" t="e">
        <f ca="1">_xll.BDH($C$203,"PROF_MARGIN","FQ2 2015","FQ2 2015","Currency=INR","Period=FQ","BEST_FPERIOD_OVERRIDE=FQ","FILING_STATUS=OR","EQY_CONSOLIDATED=Y","FA_ADJUSTED=GAAP","Sort=A","Dates=H","DateFormat=P","Fill=—","Direction=H","UseDPDF=Y")</f>
        <v>#NAME?</v>
      </c>
      <c r="P210" t="e">
        <f ca="1">_xll.BDH($C$203,"NET_INCOME_TO_COMMON_MARGIN","FQ2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210" t="e">
        <f ca="1">_xll.BDH($C$203,"EFF_TAX_RATE","FQ2 2015","FQ2 2015","Currency=INR","Period=FQ","BEST_FPERIOD_OVERRIDE=FQ","FILING_STATUS=OR","EQY_CONSOLIDATED=Y","FA_ADJUSTED=GAAP","Sort=A","Dates=H","DateFormat=P","Fill=—","Direction=H","UseDPDF=Y")</f>
        <v>#NAME?</v>
      </c>
      <c r="R210" t="e">
        <f ca="1">_xll.BDH($C$203,"DVD_PAYOUT_RATIO","FQ2 2015","FQ2 2015","Currency=INR","Period=FQ","BEST_FPERIOD_OVERRIDE=FQ","FILING_STATUS=OR","EQY_CONSOLIDATED=Y","FA_ADJUSTED=GAAP","Sort=A","Dates=H","DateFormat=P","Fill=—","Direction=H","UseDPDF=Y")</f>
        <v>#NAME?</v>
      </c>
      <c r="S210" t="e">
        <f ca="1">_xll.BDH($C$203,"SUSTAIN_GROWTH_RT","FQ2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210" s="2" t="e">
        <f ca="1">_xll.BDH($C$203,"SALES_GROWTH","FQ2 2015","FQ2 2015","Currency=INR","Period=FQ","BEST_FPERIOD_OVERRIDE=FQ","FILING_STATUS=OR","EQY_CONSOLIDATED=Y","FA_ADJUSTED=GAAP","Sort=A","Dates=H","DateFormat=P","Fill=—","Direction=H","UseDPDF=Y")</f>
        <v>#NAME?</v>
      </c>
      <c r="U210" s="2" t="e">
        <f ca="1">_xll.BDH($C$203,"EBITDA_GROWTH","FQ2 2015","FQ2 2015","Currency=INR","Period=FQ","BEST_FPERIOD_OVERRIDE=FQ","FILING_STATUS=OR","EQY_CONSOLIDATED=Y","FA_ADJUSTED=GAAP","Sort=A","Dates=H","DateFormat=P","Fill=—","Direction=H","UseDPDF=Y")</f>
        <v>#NAME?</v>
      </c>
      <c r="V210" s="2" t="e">
        <f ca="1">_xll.BDH($C$203,"OPER_INC_GROWTH","FQ2 2015","FQ2 2015","Currency=INR","Period=FQ","BEST_FPERIOD_OVERRIDE=FQ","FILING_STATUS=OR","EQY_CONSOLIDATED=Y","FA_ADJUSTED=GAAP","Sort=A","Dates=H","DateFormat=P","Fill=—","Direction=H","UseDPDF=Y")</f>
        <v>#NAME?</v>
      </c>
      <c r="W210" s="2" t="e">
        <f ca="1">_xll.BDH($C$203,"EARN_FOR_COM_GROWTH","FQ2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210" s="2" t="e">
        <f ca="1">_xll.BDH($C$203,"DILUTED_EPS_AFT_XO_ITEMS_GROWTH","FQ2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210" s="2" t="e">
        <f ca="1">_xll.BDH($C$203,"DIVIDEND_PER_SHARE_1_YEAR_GROWTH","FQ2 2015","FQ2 2015","Currency=INR","Period=FQ","BEST_FPERIOD_OVERRIDE=FQ","FILING_STATUS=OR","EQY_CONSOLIDATED=Y","Sort=A","Dates=H","DateFormat=P","Fill=—","Direction=H","UseDPDF=Y")</f>
        <v>#NAME?</v>
      </c>
      <c r="Z210" s="2" t="e">
        <f ca="1">_xll.BDH($C$203,"ACCOUNTS_RECEIVABLE_GROWTH","FQ2 2015","FQ2 2015","Currency=INR","Period=FQ","BEST_FPERIOD_OVERRIDE=FQ","FILING_STATUS=OR","EQY_CONSOLIDATED=Y","Sort=A","Dates=H","DateFormat=P","Fill=—","Direction=H","UseDPDF=Y")</f>
        <v>#NAME?</v>
      </c>
      <c r="AA210" s="2" t="e">
        <f ca="1">_xll.BDH($C$203,"INVENTORY_GROWTH","FQ2 2015","FQ2 2015","Currency=INR","Period=FQ","BEST_FPERIOD_OVERRIDE=FQ","FILING_STATUS=OR","EQY_CONSOLIDATED=Y","Sort=A","Dates=H","DateFormat=P","Fill=—","Direction=H","UseDPDF=Y")</f>
        <v>#NAME?</v>
      </c>
      <c r="AB210" s="2" t="e">
        <f ca="1">_xll.BDH($C$203,"NET_FIXED_ASSETS_1_YEAR_GROWTH","FQ2 2015","FQ2 2015","Currency=INR","Period=FQ","BEST_FPERIOD_OVERRIDE=FQ","FILING_STATUS=OR","EQY_CONSOLIDATED=Y","Sort=A","Dates=H","DateFormat=P","Fill=—","Direction=H","UseDPDF=Y")</f>
        <v>#NAME?</v>
      </c>
      <c r="AC210" s="2" t="e">
        <f ca="1">_xll.BDH($C$203,"ASSET_GROWTH","FQ2 2015","FQ2 2015","Currency=INR","Period=FQ","BEST_FPERIOD_OVERRIDE=FQ","FILING_STATUS=OR","EQY_CONSOLIDATED=Y","Sort=A","Dates=H","DateFormat=P","Fill=—","Direction=H","UseDPDF=Y")</f>
        <v>#NAME?</v>
      </c>
      <c r="AD210" s="2" t="e">
        <f ca="1">_xll.BDH($C$203,"MODIFIED_WORK_CAP_GROWTH","FQ2 2015","FQ2 2015","Currency=INR","Period=FQ","BEST_FPERIOD_OVERRIDE=FQ","FILING_STATUS=OR","EQY_CONSOLIDATED=Y","Sort=A","Dates=H","DateFormat=P","Fill=—","Direction=H","UseDPDF=Y")</f>
        <v>#NAME?</v>
      </c>
      <c r="AE210" s="2" t="e">
        <f ca="1">_xll.BDH($C$203,"WORK_CAP_GROWTH","FQ2 2015","FQ2 2015","Currency=INR","Period=FQ","BEST_FPERIOD_OVERRIDE=FQ","FILING_STATUS=OR","EQY_CONSOLIDATED=Y","Sort=A","Dates=H","DateFormat=P","Fill=—","Direction=H","UseDPDF=Y")</f>
        <v>#NAME?</v>
      </c>
      <c r="AF210" s="2" t="e">
        <f ca="1">_xll.BDH($C$203,"ACCOUNTS_PAYABLE_GROWTH_1YR","FQ2 2015","FQ2 2015","Currency=INR","Period=FQ","BEST_FPERIOD_OVERRIDE=FQ","FILING_STATUS=OR","EQY_CONSOLIDATED=Y","Sort=A","Dates=H","DateFormat=P","Fill=—","Direction=H","UseDPDF=Y")</f>
        <v>#NAME?</v>
      </c>
      <c r="AG210" s="2" t="e">
        <f ca="1">_xll.BDH($C$203,"SHORT_TERM_DEBT_1_YEAR_GROWTH","FQ2 2015","FQ2 2015","Currency=INR","Period=FQ","BEST_FPERIOD_OVERRIDE=FQ","FILING_STATUS=OR","EQY_CONSOLIDATED=Y","Sort=A","Dates=H","DateFormat=P","Fill=—","Direction=H","UseDPDF=Y")</f>
        <v>#NAME?</v>
      </c>
      <c r="AH210" s="2" t="e">
        <f ca="1">_xll.BDH($C$203,"TOTAL_DEBT_1_YEAR_GROWTH","FQ2 2015","FQ2 2015","Currency=INR","Period=FQ","BEST_FPERIOD_OVERRIDE=FQ","FILING_STATUS=OR","EQY_CONSOLIDATED=Y","Sort=A","Dates=H","DateFormat=P","Fill=—","Direction=H","UseDPDF=Y")</f>
        <v>#NAME?</v>
      </c>
      <c r="AI210" s="2" t="e">
        <f ca="1">_xll.BDH($C$203,"TOTAL_EQUITY_1_YEAR_GROWTH","FQ2 2015","FQ2 2015","Currency=INR","Period=FQ","BEST_FPERIOD_OVERRIDE=FQ","FILING_STATUS=OR","EQY_CONSOLIDATED=Y","Sort=A","Dates=H","DateFormat=P","Fill=—","Direction=H","UseDPDF=Y")</f>
        <v>#NAME?</v>
      </c>
      <c r="AJ210" s="2" t="e">
        <f ca="1">_xll.BDH($C$203,"GROWTH_IN_CAP","FQ2 2015","FQ2 2015","Currency=INR","Period=FQ","BEST_FPERIOD_OVERRIDE=FQ","FILING_STATUS=OR","EQY_CONSOLIDATED=Y","Sort=A","Dates=H","DateFormat=P","Fill=—","Direction=H","UseDPDF=Y")</f>
        <v>#NAME?</v>
      </c>
      <c r="AK210" s="2" t="e">
        <f ca="1">_xll.BDH($C$203,"BVPS_GROWTH","FQ2 2015","FQ2 2015","Currency=INR","Period=FQ","BEST_FPERIOD_OVERRIDE=FQ","FILING_STATUS=OR","EQY_CONSOLIDATED=Y","Sort=A","Dates=H","DateFormat=P","Fill=—","Direction=H","UseDPDF=Y")</f>
        <v>#NAME?</v>
      </c>
      <c r="AL210" s="2" t="e">
        <f ca="1">_xll.BDH($C$203,"CASH_FLOW_GROWTH","FQ2 2015","FQ2 2015","Currency=INR","Period=FQ","BEST_FPERIOD_OVERRIDE=FQ","FILING_STATUS=OR","EQY_CONSOLIDATED=Y","Sort=A","Dates=H","DateFormat=P","Fill=—","Direction=H","UseDPDF=Y")</f>
        <v>#NAME?</v>
      </c>
      <c r="AM210" s="2" t="e">
        <f ca="1">_xll.BDH($C$203,"GEO_GROW_NET_SALES","FQ2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210" s="2" t="e">
        <f ca="1">_xll.BDH($C$203,"GEO_GROW_EBITDA","FQ2 2015","FQ2 2015","Currency=INR","Period=FQ","BEST_FPERIOD_OVERRIDE=FQ","FILING_STATUS=OR","EQY_CONSOLIDATED=Y","FA_ADJUSTED=GAAP","Sort=A","Dates=H","DateFormat=P","Fill=—","Direction=H","UseDPDF=Y")</f>
        <v>#NAME?</v>
      </c>
      <c r="AO210" s="2" t="e">
        <f ca="1">_xll.BDH($C$203,"GEO_GROW_OPER_INC","FQ2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210" s="2" t="e">
        <f ca="1">_xll.BDH($C$203,"NET_INCOME_TO_COMMON_5_YR_GROWTH","FQ2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210" s="2" t="e">
        <f ca="1">_xll.BDH($C$203,"5Y_GEO_GROWTH_DILUTED_EPS","FQ2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210" s="2" t="e">
        <f ca="1">_xll.BDH($C$203,"GEO_GROW_DVD_PER_SH","FQ2 2015","FQ2 2015","Currency=INR","Period=FQ","BEST_FPERIOD_OVERRIDE=FQ","FILING_STATUS=OR","EQY_CONSOLIDATED=Y","Sort=A","Dates=H","DateFormat=P","Fill=—","Direction=H","UseDPDF=Y")</f>
        <v>#NAME?</v>
      </c>
      <c r="AS210" s="2" t="e">
        <f ca="1">_xll.BDH($C$203,"ACCOUNTS_RECEIVABLE_5_YR_GROWTH","FQ2 2015","FQ2 2015","Currency=INR","Period=FQ","BEST_FPERIOD_OVERRIDE=FQ","FILING_STATUS=OR","EQY_CONSOLIDATED=Y","Sort=A","Dates=H","DateFormat=P","Fill=—","Direction=H","UseDPDF=Y")</f>
        <v>#NAME?</v>
      </c>
      <c r="AT210" s="2" t="e">
        <f ca="1">_xll.BDH($C$203,"INVENTORY_5_YEAR_GROWTH","FQ2 2015","FQ2 2015","Currency=INR","Period=FQ","BEST_FPERIOD_OVERRIDE=FQ","FILING_STATUS=OR","EQY_CONSOLIDATED=Y","Sort=A","Dates=H","DateFormat=P","Fill=—","Direction=H","UseDPDF=Y")</f>
        <v>#NAME?</v>
      </c>
      <c r="AU210" s="2" t="e">
        <f ca="1">_xll.BDH($C$203,"NET_FIXED_ASSETS_5_YEAR_GROWTH","FQ2 2015","FQ2 2015","Currency=INR","Period=FQ","BEST_FPERIOD_OVERRIDE=FQ","FILING_STATUS=OR","EQY_CONSOLIDATED=Y","Sort=A","Dates=H","DateFormat=P","Fill=—","Direction=H","UseDPDF=Y")</f>
        <v>#NAME?</v>
      </c>
      <c r="AV210" s="2" t="e">
        <f ca="1">_xll.BDH($C$203,"GEO_GROW_TOT_ASSET","FQ2 2015","FQ2 2015","Currency=INR","Period=FQ","BEST_FPERIOD_OVERRIDE=FQ","FILING_STATUS=OR","EQY_CONSOLIDATED=Y","Sort=A","Dates=H","DateFormat=P","Fill=—","Direction=H","UseDPDF=Y")</f>
        <v>#NAME?</v>
      </c>
      <c r="AW210" s="2" t="e">
        <f ca="1">_xll.BDH($C$203,"MODIFIED_WORKING_CPTL_5YR_GRWTH","FQ2 2015","FQ2 2015","Currency=INR","Period=FQ","BEST_FPERIOD_OVERRIDE=FQ","FILING_STATUS=OR","EQY_CONSOLIDATED=Y","Sort=A","Dates=H","DateFormat=P","Fill=—","Direction=H","UseDPDF=Y")</f>
        <v>#NAME?</v>
      </c>
      <c r="AX210" s="2" t="e">
        <f ca="1">_xll.BDH($C$203,"WORKING_CAPITAL_5_YEAR_GROWTH","FQ2 2015","FQ2 2015","Currency=INR","Period=FQ","BEST_FPERIOD_OVERRIDE=FQ","FILING_STATUS=OR","EQY_CONSOLIDATED=Y","Sort=A","Dates=H","DateFormat=P","Fill=—","Direction=H","UseDPDF=Y")</f>
        <v>#NAME?</v>
      </c>
      <c r="AY210" s="2" t="e">
        <f ca="1">_xll.BDH($C$203,"ACCOUNTS_PAYABLE_5_YEAR_GROWTH","FQ2 2015","FQ2 2015","Currency=INR","Period=FQ","BEST_FPERIOD_OVERRIDE=FQ","FILING_STATUS=OR","EQY_CONSOLIDATED=Y","Sort=A","Dates=H","DateFormat=P","Fill=—","Direction=H","UseDPDF=Y")</f>
        <v>#NAME?</v>
      </c>
      <c r="AZ210" s="2" t="e">
        <f ca="1">_xll.BDH($C$203,"SHORT_TERM_DEBT_5_YEAR_GROWTH","FQ2 2015","FQ2 2015","Currency=INR","Period=FQ","BEST_FPERIOD_OVERRIDE=FQ","FILING_STATUS=OR","EQY_CONSOLIDATED=Y","Sort=A","Dates=H","DateFormat=P","Fill=—","Direction=H","UseDPDF=Y")</f>
        <v>#NAME?</v>
      </c>
      <c r="BA210" s="2" t="e">
        <f ca="1">_xll.BDH($C$203,"TOTAL_DEBT_5_YEAR_GROWTH","FQ2 2015","FQ2 2015","Currency=INR","Period=FQ","BEST_FPERIOD_OVERRIDE=FQ","FILING_STATUS=OR","EQY_CONSOLIDATED=Y","Sort=A","Dates=H","DateFormat=P","Fill=—","Direction=H","UseDPDF=Y")</f>
        <v>#NAME?</v>
      </c>
      <c r="BB210" s="2" t="e">
        <f ca="1">_xll.BDH($C$203,"GEO_GROW_TOT_SHRHLDR_EQY","FQ2 2015","FQ2 2015","Currency=INR","Period=FQ","BEST_FPERIOD_OVERRIDE=FQ","FILING_STATUS=OR","EQY_CONSOLIDATED=Y","Sort=A","Dates=H","DateFormat=P","Fill=—","Direction=H","UseDPDF=Y")</f>
        <v>#NAME?</v>
      </c>
      <c r="BC210" s="2" t="e">
        <f ca="1">_xll.BDH($C$203,"TOTAL_CAPITAL_5_YEAR_GROWTH","FQ2 2015","FQ2 2015","Currency=INR","Period=FQ","BEST_FPERIOD_OVERRIDE=FQ","FILING_STATUS=OR","EQY_CONSOLIDATED=Y","Sort=A","Dates=H","DateFormat=P","Fill=—","Direction=H","UseDPDF=Y")</f>
        <v>#NAME?</v>
      </c>
      <c r="BD210" s="2" t="e">
        <f ca="1">_xll.BDH($C$203,"GEO_GROW_BOOK_VAL","FQ2 2015","FQ2 2015","Currency=INR","Period=FQ","BEST_FPERIOD_OVERRIDE=FQ","FILING_STATUS=OR","EQY_CONSOLIDATED=Y","Sort=A","Dates=H","DateFormat=P","Fill=—","Direction=H","UseDPDF=Y")</f>
        <v>#NAME?</v>
      </c>
      <c r="BE210" s="2" t="e">
        <f ca="1">_xll.BDH($C$203,"GEO_GROW_CASH_OPER_ACT","FQ2 2015","FQ2 2015","Currency=INR","Period=FQ","BEST_FPERIOD_OVERRIDE=FQ","FILING_STATUS=OR","EQY_CONSOLIDATED=Y","Sort=A","Dates=H","DateFormat=P","Fill=—","Direction=H","UseDPDF=Y")</f>
        <v>#NAME?</v>
      </c>
      <c r="BF210" s="2" t="e">
        <f ca="1">_xll.BDH($C$203,"REVENUE_SEQUENTIAL_GROWTH","FQ2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210" s="2" t="e">
        <f ca="1">_xll.BDH($C$203,"EBITDA_SEQUENTIAL_GROWTH","FQ2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210" s="2" t="e">
        <f ca="1">_xll.BDH($C$203,"OPERATING_INCOME_SEQ_GROWTH","FQ2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210" s="2" t="e">
        <f ca="1">_xll.BDH($C$203,"NET_INCOME_TO_COMMON_SEQ_GROWTH","FQ2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210" s="2" t="e">
        <f ca="1">_xll.BDH($C$203,"EPS_DILUTED_SEQUENTIAL_GROWTH","FQ2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210" s="2" t="e">
        <f ca="1">_xll.BDH($C$203,"DPS_SEQUENTIAL_GROWTH","FQ2 2015","FQ2 2015","Currency=INR","Period=FQ","BEST_FPERIOD_OVERRIDE=FQ","FILING_STATUS=OR","EQY_CONSOLIDATED=Y","Sort=A","Dates=H","DateFormat=P","Fill=—","Direction=H","UseDPDF=Y")</f>
        <v>#NAME?</v>
      </c>
      <c r="BL210" s="2" t="e">
        <f ca="1">_xll.BDH($C$203,"ACCOUNTS_RECEIVABLE_SEQ_GROWTH","FQ2 2015","FQ2 2015","Currency=INR","Period=FQ","BEST_FPERIOD_OVERRIDE=FQ","FILING_STATUS=OR","EQY_CONSOLIDATED=Y","Sort=A","Dates=H","DateFormat=P","Fill=—","Direction=H","UseDPDF=Y")</f>
        <v>#NAME?</v>
      </c>
      <c r="BM210" s="2" t="e">
        <f ca="1">_xll.BDH($C$203,"INVENTORY_SEQUENTIAL_GROWTH","FQ2 2015","FQ2 2015","Currency=INR","Period=FQ","BEST_FPERIOD_OVERRIDE=FQ","FILING_STATUS=OR","EQY_CONSOLIDATED=Y","Sort=A","Dates=H","DateFormat=P","Fill=—","Direction=H","UseDPDF=Y")</f>
        <v>#NAME?</v>
      </c>
      <c r="BN210" s="2" t="e">
        <f ca="1">_xll.BDH($C$203,"FIXED_ASSETS_SEQUENTIAL_GROWTH","FQ2 2015","FQ2 2015","Currency=INR","Period=FQ","BEST_FPERIOD_OVERRIDE=FQ","FILING_STATUS=OR","EQY_CONSOLIDATED=Y","Sort=A","Dates=H","DateFormat=P","Fill=—","Direction=H","UseDPDF=Y")</f>
        <v>#NAME?</v>
      </c>
      <c r="BO210" s="2" t="e">
        <f ca="1">_xll.BDH($C$203,"TOTAL_ASSETS_SEQUENTIAL_GROWTH","FQ2 2015","FQ2 2015","Currency=INR","Period=FQ","BEST_FPERIOD_OVERRIDE=FQ","FILING_STATUS=OR","EQY_CONSOLIDATED=Y","Sort=A","Dates=H","DateFormat=P","Fill=—","Direction=H","UseDPDF=Y")</f>
        <v>#NAME?</v>
      </c>
      <c r="BP210" s="2" t="e">
        <f ca="1">_xll.BDH($C$203,"MODIFIED_WORKING_CPTL_SEQ_GRWTH","FQ2 2015","FQ2 2015","Currency=INR","Period=FQ","BEST_FPERIOD_OVERRIDE=FQ","FILING_STATUS=OR","EQY_CONSOLIDATED=Y","Sort=A","Dates=H","DateFormat=P","Fill=—","Direction=H","UseDPDF=Y")</f>
        <v>#NAME?</v>
      </c>
      <c r="BQ210" s="2" t="e">
        <f ca="1">_xll.BDH($C$203,"WORKING_CAPITAL_SEQ_GROWTH","FQ2 2015","FQ2 2015","Currency=INR","Period=FQ","BEST_FPERIOD_OVERRIDE=FQ","FILING_STATUS=OR","EQY_CONSOLIDATED=Y","Sort=A","Dates=H","DateFormat=P","Fill=—","Direction=H","UseDPDF=Y")</f>
        <v>#NAME?</v>
      </c>
      <c r="BR210" s="2" t="e">
        <f ca="1">_xll.BDH($C$203,"ACCOUNTS_PAYABLE_SEQ_GROWTH","FQ2 2015","FQ2 2015","Currency=INR","Period=FQ","BEST_FPERIOD_OVERRIDE=FQ","FILING_STATUS=OR","EQY_CONSOLIDATED=Y","Sort=A","Dates=H","DateFormat=P","Fill=—","Direction=H","UseDPDF=Y")</f>
        <v>#NAME?</v>
      </c>
      <c r="BS210" s="2" t="e">
        <f ca="1">_xll.BDH($C$203,"ST_DEBT_SEQUENTIAL_GROWTH","FQ2 2015","FQ2 2015","Currency=INR","Period=FQ","BEST_FPERIOD_OVERRIDE=FQ","FILING_STATUS=OR","EQY_CONSOLIDATED=Y","Sort=A","Dates=H","DateFormat=P","Fill=—","Direction=H","UseDPDF=Y")</f>
        <v>#NAME?</v>
      </c>
      <c r="BT210" s="2" t="e">
        <f ca="1">_xll.BDH($C$203,"TOTAL_DEBT_SEQUENTIAL_GROWTH","FQ2 2015","FQ2 2015","Currency=INR","Period=FQ","BEST_FPERIOD_OVERRIDE=FQ","FILING_STATUS=OR","EQY_CONSOLIDATED=Y","Sort=A","Dates=H","DateFormat=P","Fill=—","Direction=H","UseDPDF=Y")</f>
        <v>#NAME?</v>
      </c>
      <c r="BU210" s="2" t="e">
        <f ca="1">_xll.BDH($C$203,"TOTAL_EQUITY_SEQUENTIAL_GROWTH","FQ2 2015","FQ2 2015","Currency=INR","Period=FQ","BEST_FPERIOD_OVERRIDE=FQ","FILING_STATUS=OR","EQY_CONSOLIDATED=Y","Sort=A","Dates=H","DateFormat=P","Fill=—","Direction=H","UseDPDF=Y")</f>
        <v>#NAME?</v>
      </c>
      <c r="BV210" s="2" t="e">
        <f ca="1">_xll.BDH($C$203,"TOTAL_CAPITAL_SEQUENTIAL_GROWTH","FQ2 2015","FQ2 2015","Currency=INR","Period=FQ","BEST_FPERIOD_OVERRIDE=FQ","FILING_STATUS=OR","EQY_CONSOLIDATED=Y","Sort=A","Dates=H","DateFormat=P","Fill=—","Direction=H","UseDPDF=Y")</f>
        <v>#NAME?</v>
      </c>
      <c r="BW210" s="2" t="e">
        <f ca="1">_xll.BDH($C$203,"BPS_SEQUENTIAL_GROWTH","FQ2 2015","FQ2 2015","Currency=INR","Period=FQ","BEST_FPERIOD_OVERRIDE=FQ","FILING_STATUS=OR","EQY_CONSOLIDATED=Y","Sort=A","Dates=H","DateFormat=P","Fill=—","Direction=H","UseDPDF=Y")</f>
        <v>#NAME?</v>
      </c>
      <c r="BX210" s="2" t="e">
        <f ca="1">_xll.BDH($C$203,"CFO_SEQUENTIAL_GROWTH","FQ2 2015","FQ2 2015","Currency=INR","Period=FQ","BEST_FPERIOD_OVERRIDE=FQ","FILING_STATUS=OR","EQY_CONSOLIDATED=Y","Sort=A","Dates=H","DateFormat=P","Fill=—","Direction=H","UseDPDF=Y")</f>
        <v>#NAME?</v>
      </c>
      <c r="BY210" s="3" t="e">
        <f ca="1">_xll.BDH($C$203,"SHORT_AND_LONG_TERM_DEBT","FQ2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210" s="3" t="e">
        <f ca="1">_xll.BDH($C$203,"BS_ST_BORROW","FQ2 2015","FQ2 2015","Currency=INR","Period=FQ","BEST_FPERIOD_OVERRIDE=FQ","FILING_STATUS=OR","EQY_CONSOLIDATED=Y","SCALING_FORMAT=MLN","Sort=A","Dates=H","DateFormat=P","Fill=—","Direction=H","UseDPDF=Y")</f>
        <v>#NAME?</v>
      </c>
      <c r="CA210" s="3" t="e">
        <f ca="1">_xll.BDH($C$203,"BS_LT_BORROW","FQ2 2015","FQ2 2015","Currency=INR","Period=FQ","BEST_FPERIOD_OVERRIDE=FQ","FILING_STATUS=OR","EQY_CONSOLIDATED=Y","SCALING_FORMAT=MLN","Sort=A","Dates=H","DateFormat=P","Fill=—","Direction=H","UseDPDF=Y")</f>
        <v>#NAME?</v>
      </c>
      <c r="CB210" s="2" t="e">
        <f ca="1">_xll.BDH($C$203,"TOT_DEBT_TO_EBITDA","FQ2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210" s="2" t="e">
        <f ca="1">_xll.BDH($C$203,"NET_DEBT_TO_EBITDA","FQ2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210" s="2" t="e">
        <f ca="1">_xll.BDH($C$203,"TOTAL_DEBT_TO_EBIT","FQ2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210" s="2" t="e">
        <f ca="1">_xll.BDH($C$203,"NET_DEBT_TO_EBIT","FQ2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210" s="2" t="e">
        <f ca="1">_xll.BDH($C$203,"EBITDA_TO_INTEREST_EXPN","FQ2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210" s="2" t="e">
        <f ca="1">_xll.BDH($C$203,"COM_EQY_TO_TOT_ASSET","FQ2 2015","FQ2 2015","Currency=INR","Period=FQ","BEST_FPERIOD_OVERRIDE=FQ","FILING_STATUS=OR","EQY_CONSOLIDATED=Y","Sort=A","Dates=H","DateFormat=P","Fill=—","Direction=H","UseDPDF=Y")</f>
        <v>#NAME?</v>
      </c>
      <c r="CH210" s="2" t="e">
        <f ca="1">_xll.BDH($C$203,"LT_DEBT_TO_TOT_EQY","FQ2 2015","FQ2 2015","Currency=INR","Period=FQ","BEST_FPERIOD_OVERRIDE=FQ","FILING_STATUS=OR","EQY_CONSOLIDATED=Y","Sort=A","Dates=H","DateFormat=P","Fill=—","Direction=H","UseDPDF=Y")</f>
        <v>#NAME?</v>
      </c>
      <c r="CI210" s="2" t="e">
        <f ca="1">_xll.BDH($C$203,"LT_DEBT_TO_TOT_CAP","FQ2 2015","FQ2 2015","Currency=INR","Period=FQ","BEST_FPERIOD_OVERRIDE=FQ","FILING_STATUS=OR","EQY_CONSOLIDATED=Y","Sort=A","Dates=H","DateFormat=P","Fill=—","Direction=H","UseDPDF=Y")</f>
        <v>#NAME?</v>
      </c>
      <c r="CJ210" s="2" t="e">
        <f ca="1">_xll.BDH($C$203,"LT_DEBT_TO_TOT_ASSET","FQ2 2015","FQ2 2015","Currency=INR","Period=FQ","BEST_FPERIOD_OVERRIDE=FQ","FILING_STATUS=OR","EQY_CONSOLIDATED=Y","Sort=A","Dates=H","DateFormat=P","Fill=—","Direction=H","UseDPDF=Y")</f>
        <v>#NAME?</v>
      </c>
      <c r="CK210" s="2" t="e">
        <f ca="1">_xll.BDH($C$203,"TOT_DEBT_TO_TOT_EQY","FQ2 2015","FQ2 2015","Currency=INR","Period=FQ","BEST_FPERIOD_OVERRIDE=FQ","FILING_STATUS=OR","EQY_CONSOLIDATED=Y","Sort=A","Dates=H","DateFormat=P","Fill=—","Direction=H","UseDPDF=Y")</f>
        <v>#NAME?</v>
      </c>
      <c r="CL210" s="2" t="e">
        <f ca="1">_xll.BDH($C$203,"TOT_DEBT_TO_TOT_CAP","FQ2 2015","FQ2 2015","Currency=INR","Period=FQ","BEST_FPERIOD_OVERRIDE=FQ","FILING_STATUS=OR","EQY_CONSOLIDATED=Y","Sort=A","Dates=H","DateFormat=P","Fill=—","Direction=H","UseDPDF=Y")</f>
        <v>#NAME?</v>
      </c>
      <c r="CM210" s="2" t="e">
        <f ca="1">_xll.BDH($C$203,"TOT_DEBT_TO_TOT_ASSET","FQ2 2015","FQ2 2015","Currency=INR","Period=FQ","BEST_FPERIOD_OVERRIDE=FQ","FILING_STATUS=OR","EQY_CONSOLIDATED=Y","Sort=A","Dates=H","DateFormat=P","Fill=—","Direction=H","UseDPDF=Y")</f>
        <v>#NAME?</v>
      </c>
      <c r="CN210" s="2" t="e">
        <f ca="1">_xll.BDH($C$203,"NET_DEBT_TO_SHRHLDR_EQTY","FQ2 2015","FQ2 2015","Currency=INR","Period=FQ","BEST_FPERIOD_OVERRIDE=FQ","FILING_STATUS=OR","EQY_CONSOLIDATED=Y","Sort=A","Dates=H","DateFormat=P","Fill=—","Direction=H","UseDPDF=Y")</f>
        <v>#NAME?</v>
      </c>
      <c r="CO210" s="2" t="e">
        <f ca="1">_xll.BDH($C$203,"NET_DEBT_%_CAPITAL","FQ2 2015","FQ2 2015","Currency=INR","Period=FQ","BEST_FPERIOD_OVERRIDE=FQ","FILING_STATUS=OR","EQY_CONSOLIDATED=Y","Sort=A","Dates=H","DateFormat=P","Fill=—","Direction=H","UseDPDF=Y")</f>
        <v>#NAME?</v>
      </c>
      <c r="CP210" s="3" t="e">
        <f ca="1">_xll.BDH($C$203,"EBITDA","FQ2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210" s="3" t="e">
        <f ca="1">_xll.BDH($C$203,"EBITDA_AFTER_CAPEX","FQ2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210" s="3" t="e">
        <f ca="1">_xll.BDH($C$203,"IS_OPER_INC","FQ2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210" s="2" t="e">
        <f ca="1">_xll.BDH($C$203,"CASH_RATIO","FQ2 2015","FQ2 2015","Currency=INR","Period=FQ","BEST_FPERIOD_OVERRIDE=FQ","FILING_STATUS=OR","EQY_CONSOLIDATED=Y","Sort=A","Dates=H","DateFormat=P","Fill=—","Direction=H","UseDPDF=Y")</f>
        <v>#NAME?</v>
      </c>
      <c r="CT210" s="2" t="e">
        <f ca="1">_xll.BDH($C$203,"CUR_RATIO","FQ2 2015","FQ2 2015","Currency=INR","Period=FQ","BEST_FPERIOD_OVERRIDE=FQ","FILING_STATUS=OR","EQY_CONSOLIDATED=Y","Sort=A","Dates=H","DateFormat=P","Fill=—","Direction=H","UseDPDF=Y")</f>
        <v>#NAME?</v>
      </c>
      <c r="CU210" s="2" t="e">
        <f ca="1">_xll.BDH($C$203,"QUICK_RATIO","FQ2 2015","FQ2 2015","Currency=INR","Period=FQ","BEST_FPERIOD_OVERRIDE=FQ","FILING_STATUS=OR","EQY_CONSOLIDATED=Y","Sort=A","Dates=H","DateFormat=P","Fill=—","Direction=H","UseDPDF=Y")</f>
        <v>#NAME?</v>
      </c>
      <c r="CV210" s="2" t="e">
        <f ca="1">_xll.BDH($C$203,"ALTMAN_Z_SCORE","FQ2 2015","FQ2 2015","Currency=INR","Period=FQ","BEST_FPERIOD_OVERRIDE=FQ","FILING_STATUS=OR","EQY_CONSOLIDATED=Y","Sort=A","Dates=H","DateFormat=P","Fill=—","Direction=H","UseDPDF=Y")</f>
        <v>#NAME?</v>
      </c>
      <c r="CW210" s="4" t="e">
        <f ca="1">_xll.BDH($C$203,"ACCT_RCV_TURN","FQ2 2015","FQ2 2015","Currency=INR","Period=FQ","BEST_FPERIOD_OVERRIDE=FQ","FILING_STATUS=OR","EQY_CONSOLIDATED=Y","FA_ADJUSTED=GAAP","Sort=A","Dates=H","DateFormat=P","Fill=—","Direction=H","UseDPDF=Y")</f>
        <v>#NAME?</v>
      </c>
      <c r="CX210" s="2" t="e">
        <f ca="1">_xll.BDH($C$203,"ACCT_RCV_DAYS","FQ2 2015","FQ2 2015","Currency=INR","Period=FQ","BEST_FPERIOD_OVERRIDE=FQ","FILING_STATUS=OR","EQY_CONSOLIDATED=Y","FA_ADJUSTED=GAAP","Sort=A","Dates=H","DateFormat=P","Fill=—","Direction=H","UseDPDF=Y")</f>
        <v>#NAME?</v>
      </c>
      <c r="CY210" s="4" t="e">
        <f ca="1">_xll.BDH($C$203,"INVENT_TURN","FQ2 2015","FQ2 2015","Currency=INR","Period=FQ","BEST_FPERIOD_OVERRIDE=FQ","FILING_STATUS=OR","EQY_CONSOLIDATED=Y","FA_ADJUSTED=GAAP","Sort=A","Dates=H","DateFormat=P","Fill=—","Direction=H","UseDPDF=Y")</f>
        <v>#NAME?</v>
      </c>
      <c r="CZ210" s="2" t="e">
        <f ca="1">_xll.BDH($C$203,"INVENT_DAYS","FQ2 2015","FQ2 2015","Currency=INR","Period=FQ","BEST_FPERIOD_OVERRIDE=FQ","FILING_STATUS=OR","EQY_CONSOLIDATED=Y","FA_ADJUSTED=GAAP","Sort=A","Dates=H","DateFormat=P","Fill=—","Direction=H","UseDPDF=Y")</f>
        <v>#NAME?</v>
      </c>
      <c r="DA210" s="4" t="e">
        <f ca="1">_xll.BDH($C$203,"ACCOUNTS_PAYABLE_TURNOVER","FQ2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210" s="2" t="e">
        <f ca="1">_xll.BDH($C$203,"ACCOUNTS_PAYABLE_TURNOVER_DAYS","FQ2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210" s="4" t="e">
        <f ca="1">_xll.BDH($C$203,"CASH_CONVERSION_CYCLE","FQ2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210" s="4" t="e">
        <f ca="1">_xll.BDH($C$203,"INV_TO_CASH_DAYS","FQ2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210" s="5" t="e">
        <f ca="1">_xll.BDH($C$203,"BS_INVENTORIES","FQ2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210" s="3" t="e">
        <f ca="1">_xll.BDH($C$203,"INVTRY_RAW_MATERIALS","FQ2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210" s="3" t="e">
        <f ca="1">_xll.BDH($C$203,"INVTRY_IN_PROGRESS","FQ2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210" s="3" t="e">
        <f ca="1">_xll.BDH($C$203,"INVTRY_FINISHED_GOODS","FQ2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210" s="3" t="e">
        <f ca="1">_xll.BDH($C$203,"BS_OTHER_INV","FQ2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211" spans="1:113" x14ac:dyDescent="0.3">
      <c r="A211" s="6"/>
      <c r="B211" s="6"/>
      <c r="C211" s="6"/>
      <c r="D211" s="6"/>
      <c r="E211" t="s">
        <v>80</v>
      </c>
      <c r="F211" t="e">
        <f ca="1">_xll.BDH($C$203,"RETURN_COM_EQY","FQ3 2015","FQ3 2015","Currency=INR","Period=FQ","BEST_FPERIOD_OVERRIDE=FQ","FILING_STATUS=OR","EQY_CONSOLIDATED=Y","FA_ADJUSTED=GAAP","Sort=A","Dates=H","DateFormat=P","Fill=—","Direction=H","UseDPDF=Y")</f>
        <v>#NAME?</v>
      </c>
      <c r="G211" t="e">
        <f ca="1">_xll.BDH($C$203,"RETURN_ON_ASSET","FQ3 2015","FQ3 2015","Currency=INR","Period=FQ","BEST_FPERIOD_OVERRIDE=FQ","FILING_STATUS=OR","EQY_CONSOLIDATED=Y","FA_ADJUSTED=GAAP","Sort=A","Dates=H","DateFormat=P","Fill=—","Direction=H","UseDPDF=Y")</f>
        <v>#NAME?</v>
      </c>
      <c r="H211" t="e">
        <f ca="1">_xll.BDH($C$203,"RETURN_ON_CAP","FQ3 2015","FQ3 2015","Currency=INR","Period=FQ","BEST_FPERIOD_OVERRIDE=FQ","FILING_STATUS=OR","EQY_CONSOLIDATED=Y","FA_ADJUSTED=GAAP","Sort=A","Dates=H","DateFormat=P","Fill=—","Direction=H","UseDPDF=Y")</f>
        <v>#NAME?</v>
      </c>
      <c r="I211" t="e">
        <f ca="1">_xll.BDH($C$203,"RETURN_ON_INV_CAPITAL","FQ3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211" t="e">
        <f ca="1">_xll.BDH($C$203,"EBITDA_TO_REVENUE","FQ3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211" t="e">
        <f ca="1">_xll.BDH($C$203,"OPER_MARGIN","FQ3 2015","FQ3 2015","Currency=INR","Period=FQ","BEST_FPERIOD_OVERRIDE=FQ","FILING_STATUS=OR","EQY_CONSOLIDATED=Y","FA_ADJUSTED=GAAP","Sort=A","Dates=H","DateFormat=P","Fill=—","Direction=H","UseDPDF=Y")</f>
        <v>#NAME?</v>
      </c>
      <c r="L211" t="e">
        <f ca="1">_xll.BDH($C$203,"INCREMENTAL_OPERATING_MARGIN","FQ3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211" t="e">
        <f ca="1">_xll.BDH($C$203,"PRETAX_INC_TO_NET_SALES","FQ3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211" t="e">
        <f ca="1">_xll.BDH($C$203,"INC_BEF_XO_ITEMS_TO_NET_SALES","FQ3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211" t="e">
        <f ca="1">_xll.BDH($C$203,"PROF_MARGIN","FQ3 2015","FQ3 2015","Currency=INR","Period=FQ","BEST_FPERIOD_OVERRIDE=FQ","FILING_STATUS=OR","EQY_CONSOLIDATED=Y","FA_ADJUSTED=GAAP","Sort=A","Dates=H","DateFormat=P","Fill=—","Direction=H","UseDPDF=Y")</f>
        <v>#NAME?</v>
      </c>
      <c r="P211" t="e">
        <f ca="1">_xll.BDH($C$203,"NET_INCOME_TO_COMMON_MARGIN","FQ3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211" t="e">
        <f ca="1">_xll.BDH($C$203,"EFF_TAX_RATE","FQ3 2015","FQ3 2015","Currency=INR","Period=FQ","BEST_FPERIOD_OVERRIDE=FQ","FILING_STATUS=OR","EQY_CONSOLIDATED=Y","FA_ADJUSTED=GAAP","Sort=A","Dates=H","DateFormat=P","Fill=—","Direction=H","UseDPDF=Y")</f>
        <v>#NAME?</v>
      </c>
      <c r="R211" t="e">
        <f ca="1">_xll.BDH($C$203,"DVD_PAYOUT_RATIO","FQ3 2015","FQ3 2015","Currency=INR","Period=FQ","BEST_FPERIOD_OVERRIDE=FQ","FILING_STATUS=OR","EQY_CONSOLIDATED=Y","FA_ADJUSTED=GAAP","Sort=A","Dates=H","DateFormat=P","Fill=—","Direction=H","UseDPDF=Y")</f>
        <v>#NAME?</v>
      </c>
      <c r="S211" t="e">
        <f ca="1">_xll.BDH($C$203,"SUSTAIN_GROWTH_RT","FQ3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211" s="2" t="e">
        <f ca="1">_xll.BDH($C$203,"SALES_GROWTH","FQ3 2015","FQ3 2015","Currency=INR","Period=FQ","BEST_FPERIOD_OVERRIDE=FQ","FILING_STATUS=OR","EQY_CONSOLIDATED=Y","FA_ADJUSTED=GAAP","Sort=A","Dates=H","DateFormat=P","Fill=—","Direction=H","UseDPDF=Y")</f>
        <v>#NAME?</v>
      </c>
      <c r="U211" s="2" t="e">
        <f ca="1">_xll.BDH($C$203,"EBITDA_GROWTH","FQ3 2015","FQ3 2015","Currency=INR","Period=FQ","BEST_FPERIOD_OVERRIDE=FQ","FILING_STATUS=OR","EQY_CONSOLIDATED=Y","FA_ADJUSTED=GAAP","Sort=A","Dates=H","DateFormat=P","Fill=—","Direction=H","UseDPDF=Y")</f>
        <v>#NAME?</v>
      </c>
      <c r="V211" s="2" t="e">
        <f ca="1">_xll.BDH($C$203,"OPER_INC_GROWTH","FQ3 2015","FQ3 2015","Currency=INR","Period=FQ","BEST_FPERIOD_OVERRIDE=FQ","FILING_STATUS=OR","EQY_CONSOLIDATED=Y","FA_ADJUSTED=GAAP","Sort=A","Dates=H","DateFormat=P","Fill=—","Direction=H","UseDPDF=Y")</f>
        <v>#NAME?</v>
      </c>
      <c r="W211" s="2" t="e">
        <f ca="1">_xll.BDH($C$203,"EARN_FOR_COM_GROWTH","FQ3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211" s="2" t="e">
        <f ca="1">_xll.BDH($C$203,"DILUTED_EPS_AFT_XO_ITEMS_GROWTH","FQ3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211" s="2" t="e">
        <f ca="1">_xll.BDH($C$203,"DIVIDEND_PER_SHARE_1_YEAR_GROWTH","FQ3 2015","FQ3 2015","Currency=INR","Period=FQ","BEST_FPERIOD_OVERRIDE=FQ","FILING_STATUS=OR","EQY_CONSOLIDATED=Y","Sort=A","Dates=H","DateFormat=P","Fill=—","Direction=H","UseDPDF=Y")</f>
        <v>#NAME?</v>
      </c>
      <c r="Z211" s="2" t="e">
        <f ca="1">_xll.BDH($C$203,"ACCOUNTS_RECEIVABLE_GROWTH","FQ3 2015","FQ3 2015","Currency=INR","Period=FQ","BEST_FPERIOD_OVERRIDE=FQ","FILING_STATUS=OR","EQY_CONSOLIDATED=Y","Sort=A","Dates=H","DateFormat=P","Fill=—","Direction=H","UseDPDF=Y")</f>
        <v>#NAME?</v>
      </c>
      <c r="AA211" s="2" t="e">
        <f ca="1">_xll.BDH($C$203,"INVENTORY_GROWTH","FQ3 2015","FQ3 2015","Currency=INR","Period=FQ","BEST_FPERIOD_OVERRIDE=FQ","FILING_STATUS=OR","EQY_CONSOLIDATED=Y","Sort=A","Dates=H","DateFormat=P","Fill=—","Direction=H","UseDPDF=Y")</f>
        <v>#NAME?</v>
      </c>
      <c r="AB211" s="2" t="e">
        <f ca="1">_xll.BDH($C$203,"NET_FIXED_ASSETS_1_YEAR_GROWTH","FQ3 2015","FQ3 2015","Currency=INR","Period=FQ","BEST_FPERIOD_OVERRIDE=FQ","FILING_STATUS=OR","EQY_CONSOLIDATED=Y","Sort=A","Dates=H","DateFormat=P","Fill=—","Direction=H","UseDPDF=Y")</f>
        <v>#NAME?</v>
      </c>
      <c r="AC211" s="2" t="e">
        <f ca="1">_xll.BDH($C$203,"ASSET_GROWTH","FQ3 2015","FQ3 2015","Currency=INR","Period=FQ","BEST_FPERIOD_OVERRIDE=FQ","FILING_STATUS=OR","EQY_CONSOLIDATED=Y","Sort=A","Dates=H","DateFormat=P","Fill=—","Direction=H","UseDPDF=Y")</f>
        <v>#NAME?</v>
      </c>
      <c r="AD211" s="2" t="e">
        <f ca="1">_xll.BDH($C$203,"MODIFIED_WORK_CAP_GROWTH","FQ3 2015","FQ3 2015","Currency=INR","Period=FQ","BEST_FPERIOD_OVERRIDE=FQ","FILING_STATUS=OR","EQY_CONSOLIDATED=Y","Sort=A","Dates=H","DateFormat=P","Fill=—","Direction=H","UseDPDF=Y")</f>
        <v>#NAME?</v>
      </c>
      <c r="AE211" s="2" t="e">
        <f ca="1">_xll.BDH($C$203,"WORK_CAP_GROWTH","FQ3 2015","FQ3 2015","Currency=INR","Period=FQ","BEST_FPERIOD_OVERRIDE=FQ","FILING_STATUS=OR","EQY_CONSOLIDATED=Y","Sort=A","Dates=H","DateFormat=P","Fill=—","Direction=H","UseDPDF=Y")</f>
        <v>#NAME?</v>
      </c>
      <c r="AF211" s="2" t="e">
        <f ca="1">_xll.BDH($C$203,"ACCOUNTS_PAYABLE_GROWTH_1YR","FQ3 2015","FQ3 2015","Currency=INR","Period=FQ","BEST_FPERIOD_OVERRIDE=FQ","FILING_STATUS=OR","EQY_CONSOLIDATED=Y","Sort=A","Dates=H","DateFormat=P","Fill=—","Direction=H","UseDPDF=Y")</f>
        <v>#NAME?</v>
      </c>
      <c r="AG211" s="2" t="e">
        <f ca="1">_xll.BDH($C$203,"SHORT_TERM_DEBT_1_YEAR_GROWTH","FQ3 2015","FQ3 2015","Currency=INR","Period=FQ","BEST_FPERIOD_OVERRIDE=FQ","FILING_STATUS=OR","EQY_CONSOLIDATED=Y","Sort=A","Dates=H","DateFormat=P","Fill=—","Direction=H","UseDPDF=Y")</f>
        <v>#NAME?</v>
      </c>
      <c r="AH211" s="2" t="e">
        <f ca="1">_xll.BDH($C$203,"TOTAL_DEBT_1_YEAR_GROWTH","FQ3 2015","FQ3 2015","Currency=INR","Period=FQ","BEST_FPERIOD_OVERRIDE=FQ","FILING_STATUS=OR","EQY_CONSOLIDATED=Y","Sort=A","Dates=H","DateFormat=P","Fill=—","Direction=H","UseDPDF=Y")</f>
        <v>#NAME?</v>
      </c>
      <c r="AI211" s="2" t="e">
        <f ca="1">_xll.BDH($C$203,"TOTAL_EQUITY_1_YEAR_GROWTH","FQ3 2015","FQ3 2015","Currency=INR","Period=FQ","BEST_FPERIOD_OVERRIDE=FQ","FILING_STATUS=OR","EQY_CONSOLIDATED=Y","Sort=A","Dates=H","DateFormat=P","Fill=—","Direction=H","UseDPDF=Y")</f>
        <v>#NAME?</v>
      </c>
      <c r="AJ211" s="2" t="e">
        <f ca="1">_xll.BDH($C$203,"GROWTH_IN_CAP","FQ3 2015","FQ3 2015","Currency=INR","Period=FQ","BEST_FPERIOD_OVERRIDE=FQ","FILING_STATUS=OR","EQY_CONSOLIDATED=Y","Sort=A","Dates=H","DateFormat=P","Fill=—","Direction=H","UseDPDF=Y")</f>
        <v>#NAME?</v>
      </c>
      <c r="AK211" s="2" t="e">
        <f ca="1">_xll.BDH($C$203,"BVPS_GROWTH","FQ3 2015","FQ3 2015","Currency=INR","Period=FQ","BEST_FPERIOD_OVERRIDE=FQ","FILING_STATUS=OR","EQY_CONSOLIDATED=Y","Sort=A","Dates=H","DateFormat=P","Fill=—","Direction=H","UseDPDF=Y")</f>
        <v>#NAME?</v>
      </c>
      <c r="AL211" s="2" t="e">
        <f ca="1">_xll.BDH($C$203,"CASH_FLOW_GROWTH","FQ3 2015","FQ3 2015","Currency=INR","Period=FQ","BEST_FPERIOD_OVERRIDE=FQ","FILING_STATUS=OR","EQY_CONSOLIDATED=Y","Sort=A","Dates=H","DateFormat=P","Fill=—","Direction=H","UseDPDF=Y")</f>
        <v>#NAME?</v>
      </c>
      <c r="AM211" s="2" t="e">
        <f ca="1">_xll.BDH($C$203,"GEO_GROW_NET_SALES","FQ3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211" s="2" t="e">
        <f ca="1">_xll.BDH($C$203,"GEO_GROW_EBITDA","FQ3 2015","FQ3 2015","Currency=INR","Period=FQ","BEST_FPERIOD_OVERRIDE=FQ","FILING_STATUS=OR","EQY_CONSOLIDATED=Y","FA_ADJUSTED=GAAP","Sort=A","Dates=H","DateFormat=P","Fill=—","Direction=H","UseDPDF=Y")</f>
        <v>#NAME?</v>
      </c>
      <c r="AO211" s="2" t="e">
        <f ca="1">_xll.BDH($C$203,"GEO_GROW_OPER_INC","FQ3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211" s="2" t="e">
        <f ca="1">_xll.BDH($C$203,"NET_INCOME_TO_COMMON_5_YR_GROWTH","FQ3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211" s="2" t="e">
        <f ca="1">_xll.BDH($C$203,"5Y_GEO_GROWTH_DILUTED_EPS","FQ3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211" s="2" t="e">
        <f ca="1">_xll.BDH($C$203,"GEO_GROW_DVD_PER_SH","FQ3 2015","FQ3 2015","Currency=INR","Period=FQ","BEST_FPERIOD_OVERRIDE=FQ","FILING_STATUS=OR","EQY_CONSOLIDATED=Y","Sort=A","Dates=H","DateFormat=P","Fill=—","Direction=H","UseDPDF=Y")</f>
        <v>#NAME?</v>
      </c>
      <c r="AS211" s="2" t="e">
        <f ca="1">_xll.BDH($C$203,"ACCOUNTS_RECEIVABLE_5_YR_GROWTH","FQ3 2015","FQ3 2015","Currency=INR","Period=FQ","BEST_FPERIOD_OVERRIDE=FQ","FILING_STATUS=OR","EQY_CONSOLIDATED=Y","Sort=A","Dates=H","DateFormat=P","Fill=—","Direction=H","UseDPDF=Y")</f>
        <v>#NAME?</v>
      </c>
      <c r="AT211" s="2" t="e">
        <f ca="1">_xll.BDH($C$203,"INVENTORY_5_YEAR_GROWTH","FQ3 2015","FQ3 2015","Currency=INR","Period=FQ","BEST_FPERIOD_OVERRIDE=FQ","FILING_STATUS=OR","EQY_CONSOLIDATED=Y","Sort=A","Dates=H","DateFormat=P","Fill=—","Direction=H","UseDPDF=Y")</f>
        <v>#NAME?</v>
      </c>
      <c r="AU211" s="2" t="e">
        <f ca="1">_xll.BDH($C$203,"NET_FIXED_ASSETS_5_YEAR_GROWTH","FQ3 2015","FQ3 2015","Currency=INR","Period=FQ","BEST_FPERIOD_OVERRIDE=FQ","FILING_STATUS=OR","EQY_CONSOLIDATED=Y","Sort=A","Dates=H","DateFormat=P","Fill=—","Direction=H","UseDPDF=Y")</f>
        <v>#NAME?</v>
      </c>
      <c r="AV211" s="2" t="e">
        <f ca="1">_xll.BDH($C$203,"GEO_GROW_TOT_ASSET","FQ3 2015","FQ3 2015","Currency=INR","Period=FQ","BEST_FPERIOD_OVERRIDE=FQ","FILING_STATUS=OR","EQY_CONSOLIDATED=Y","Sort=A","Dates=H","DateFormat=P","Fill=—","Direction=H","UseDPDF=Y")</f>
        <v>#NAME?</v>
      </c>
      <c r="AW211" s="2" t="e">
        <f ca="1">_xll.BDH($C$203,"MODIFIED_WORKING_CPTL_5YR_GRWTH","FQ3 2015","FQ3 2015","Currency=INR","Period=FQ","BEST_FPERIOD_OVERRIDE=FQ","FILING_STATUS=OR","EQY_CONSOLIDATED=Y","Sort=A","Dates=H","DateFormat=P","Fill=—","Direction=H","UseDPDF=Y")</f>
        <v>#NAME?</v>
      </c>
      <c r="AX211" s="2" t="e">
        <f ca="1">_xll.BDH($C$203,"WORKING_CAPITAL_5_YEAR_GROWTH","FQ3 2015","FQ3 2015","Currency=INR","Period=FQ","BEST_FPERIOD_OVERRIDE=FQ","FILING_STATUS=OR","EQY_CONSOLIDATED=Y","Sort=A","Dates=H","DateFormat=P","Fill=—","Direction=H","UseDPDF=Y")</f>
        <v>#NAME?</v>
      </c>
      <c r="AY211" s="2" t="e">
        <f ca="1">_xll.BDH($C$203,"ACCOUNTS_PAYABLE_5_YEAR_GROWTH","FQ3 2015","FQ3 2015","Currency=INR","Period=FQ","BEST_FPERIOD_OVERRIDE=FQ","FILING_STATUS=OR","EQY_CONSOLIDATED=Y","Sort=A","Dates=H","DateFormat=P","Fill=—","Direction=H","UseDPDF=Y")</f>
        <v>#NAME?</v>
      </c>
      <c r="AZ211" s="2" t="e">
        <f ca="1">_xll.BDH($C$203,"SHORT_TERM_DEBT_5_YEAR_GROWTH","FQ3 2015","FQ3 2015","Currency=INR","Period=FQ","BEST_FPERIOD_OVERRIDE=FQ","FILING_STATUS=OR","EQY_CONSOLIDATED=Y","Sort=A","Dates=H","DateFormat=P","Fill=—","Direction=H","UseDPDF=Y")</f>
        <v>#NAME?</v>
      </c>
      <c r="BA211" s="2" t="e">
        <f ca="1">_xll.BDH($C$203,"TOTAL_DEBT_5_YEAR_GROWTH","FQ3 2015","FQ3 2015","Currency=INR","Period=FQ","BEST_FPERIOD_OVERRIDE=FQ","FILING_STATUS=OR","EQY_CONSOLIDATED=Y","Sort=A","Dates=H","DateFormat=P","Fill=—","Direction=H","UseDPDF=Y")</f>
        <v>#NAME?</v>
      </c>
      <c r="BB211" s="2" t="e">
        <f ca="1">_xll.BDH($C$203,"GEO_GROW_TOT_SHRHLDR_EQY","FQ3 2015","FQ3 2015","Currency=INR","Period=FQ","BEST_FPERIOD_OVERRIDE=FQ","FILING_STATUS=OR","EQY_CONSOLIDATED=Y","Sort=A","Dates=H","DateFormat=P","Fill=—","Direction=H","UseDPDF=Y")</f>
        <v>#NAME?</v>
      </c>
      <c r="BC211" s="2" t="e">
        <f ca="1">_xll.BDH($C$203,"TOTAL_CAPITAL_5_YEAR_GROWTH","FQ3 2015","FQ3 2015","Currency=INR","Period=FQ","BEST_FPERIOD_OVERRIDE=FQ","FILING_STATUS=OR","EQY_CONSOLIDATED=Y","Sort=A","Dates=H","DateFormat=P","Fill=—","Direction=H","UseDPDF=Y")</f>
        <v>#NAME?</v>
      </c>
      <c r="BD211" s="2" t="e">
        <f ca="1">_xll.BDH($C$203,"GEO_GROW_BOOK_VAL","FQ3 2015","FQ3 2015","Currency=INR","Period=FQ","BEST_FPERIOD_OVERRIDE=FQ","FILING_STATUS=OR","EQY_CONSOLIDATED=Y","Sort=A","Dates=H","DateFormat=P","Fill=—","Direction=H","UseDPDF=Y")</f>
        <v>#NAME?</v>
      </c>
      <c r="BE211" s="2" t="e">
        <f ca="1">_xll.BDH($C$203,"GEO_GROW_CASH_OPER_ACT","FQ3 2015","FQ3 2015","Currency=INR","Period=FQ","BEST_FPERIOD_OVERRIDE=FQ","FILING_STATUS=OR","EQY_CONSOLIDATED=Y","Sort=A","Dates=H","DateFormat=P","Fill=—","Direction=H","UseDPDF=Y")</f>
        <v>#NAME?</v>
      </c>
      <c r="BF211" s="2" t="e">
        <f ca="1">_xll.BDH($C$203,"REVENUE_SEQUENTIAL_GROWTH","FQ3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211" s="2" t="e">
        <f ca="1">_xll.BDH($C$203,"EBITDA_SEQUENTIAL_GROWTH","FQ3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211" s="2" t="e">
        <f ca="1">_xll.BDH($C$203,"OPERATING_INCOME_SEQ_GROWTH","FQ3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211" s="2" t="e">
        <f ca="1">_xll.BDH($C$203,"NET_INCOME_TO_COMMON_SEQ_GROWTH","FQ3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211" s="2" t="e">
        <f ca="1">_xll.BDH($C$203,"EPS_DILUTED_SEQUENTIAL_GROWTH","FQ3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211" s="2" t="e">
        <f ca="1">_xll.BDH($C$203,"DPS_SEQUENTIAL_GROWTH","FQ3 2015","FQ3 2015","Currency=INR","Period=FQ","BEST_FPERIOD_OVERRIDE=FQ","FILING_STATUS=OR","EQY_CONSOLIDATED=Y","Sort=A","Dates=H","DateFormat=P","Fill=—","Direction=H","UseDPDF=Y")</f>
        <v>#NAME?</v>
      </c>
      <c r="BL211" s="2" t="e">
        <f ca="1">_xll.BDH($C$203,"ACCOUNTS_RECEIVABLE_SEQ_GROWTH","FQ3 2015","FQ3 2015","Currency=INR","Period=FQ","BEST_FPERIOD_OVERRIDE=FQ","FILING_STATUS=OR","EQY_CONSOLIDATED=Y","Sort=A","Dates=H","DateFormat=P","Fill=—","Direction=H","UseDPDF=Y")</f>
        <v>#NAME?</v>
      </c>
      <c r="BM211" s="2" t="e">
        <f ca="1">_xll.BDH($C$203,"INVENTORY_SEQUENTIAL_GROWTH","FQ3 2015","FQ3 2015","Currency=INR","Period=FQ","BEST_FPERIOD_OVERRIDE=FQ","FILING_STATUS=OR","EQY_CONSOLIDATED=Y","Sort=A","Dates=H","DateFormat=P","Fill=—","Direction=H","UseDPDF=Y")</f>
        <v>#NAME?</v>
      </c>
      <c r="BN211" s="2" t="e">
        <f ca="1">_xll.BDH($C$203,"FIXED_ASSETS_SEQUENTIAL_GROWTH","FQ3 2015","FQ3 2015","Currency=INR","Period=FQ","BEST_FPERIOD_OVERRIDE=FQ","FILING_STATUS=OR","EQY_CONSOLIDATED=Y","Sort=A","Dates=H","DateFormat=P","Fill=—","Direction=H","UseDPDF=Y")</f>
        <v>#NAME?</v>
      </c>
      <c r="BO211" s="2" t="e">
        <f ca="1">_xll.BDH($C$203,"TOTAL_ASSETS_SEQUENTIAL_GROWTH","FQ3 2015","FQ3 2015","Currency=INR","Period=FQ","BEST_FPERIOD_OVERRIDE=FQ","FILING_STATUS=OR","EQY_CONSOLIDATED=Y","Sort=A","Dates=H","DateFormat=P","Fill=—","Direction=H","UseDPDF=Y")</f>
        <v>#NAME?</v>
      </c>
      <c r="BP211" s="2" t="e">
        <f ca="1">_xll.BDH($C$203,"MODIFIED_WORKING_CPTL_SEQ_GRWTH","FQ3 2015","FQ3 2015","Currency=INR","Period=FQ","BEST_FPERIOD_OVERRIDE=FQ","FILING_STATUS=OR","EQY_CONSOLIDATED=Y","Sort=A","Dates=H","DateFormat=P","Fill=—","Direction=H","UseDPDF=Y")</f>
        <v>#NAME?</v>
      </c>
      <c r="BQ211" s="2" t="e">
        <f ca="1">_xll.BDH($C$203,"WORKING_CAPITAL_SEQ_GROWTH","FQ3 2015","FQ3 2015","Currency=INR","Period=FQ","BEST_FPERIOD_OVERRIDE=FQ","FILING_STATUS=OR","EQY_CONSOLIDATED=Y","Sort=A","Dates=H","DateFormat=P","Fill=—","Direction=H","UseDPDF=Y")</f>
        <v>#NAME?</v>
      </c>
      <c r="BR211" s="2" t="e">
        <f ca="1">_xll.BDH($C$203,"ACCOUNTS_PAYABLE_SEQ_GROWTH","FQ3 2015","FQ3 2015","Currency=INR","Period=FQ","BEST_FPERIOD_OVERRIDE=FQ","FILING_STATUS=OR","EQY_CONSOLIDATED=Y","Sort=A","Dates=H","DateFormat=P","Fill=—","Direction=H","UseDPDF=Y")</f>
        <v>#NAME?</v>
      </c>
      <c r="BS211" s="2" t="e">
        <f ca="1">_xll.BDH($C$203,"ST_DEBT_SEQUENTIAL_GROWTH","FQ3 2015","FQ3 2015","Currency=INR","Period=FQ","BEST_FPERIOD_OVERRIDE=FQ","FILING_STATUS=OR","EQY_CONSOLIDATED=Y","Sort=A","Dates=H","DateFormat=P","Fill=—","Direction=H","UseDPDF=Y")</f>
        <v>#NAME?</v>
      </c>
      <c r="BT211" s="2" t="e">
        <f ca="1">_xll.BDH($C$203,"TOTAL_DEBT_SEQUENTIAL_GROWTH","FQ3 2015","FQ3 2015","Currency=INR","Period=FQ","BEST_FPERIOD_OVERRIDE=FQ","FILING_STATUS=OR","EQY_CONSOLIDATED=Y","Sort=A","Dates=H","DateFormat=P","Fill=—","Direction=H","UseDPDF=Y")</f>
        <v>#NAME?</v>
      </c>
      <c r="BU211" s="2" t="e">
        <f ca="1">_xll.BDH($C$203,"TOTAL_EQUITY_SEQUENTIAL_GROWTH","FQ3 2015","FQ3 2015","Currency=INR","Period=FQ","BEST_FPERIOD_OVERRIDE=FQ","FILING_STATUS=OR","EQY_CONSOLIDATED=Y","Sort=A","Dates=H","DateFormat=P","Fill=—","Direction=H","UseDPDF=Y")</f>
        <v>#NAME?</v>
      </c>
      <c r="BV211" s="2" t="e">
        <f ca="1">_xll.BDH($C$203,"TOTAL_CAPITAL_SEQUENTIAL_GROWTH","FQ3 2015","FQ3 2015","Currency=INR","Period=FQ","BEST_FPERIOD_OVERRIDE=FQ","FILING_STATUS=OR","EQY_CONSOLIDATED=Y","Sort=A","Dates=H","DateFormat=P","Fill=—","Direction=H","UseDPDF=Y")</f>
        <v>#NAME?</v>
      </c>
      <c r="BW211" s="2" t="e">
        <f ca="1">_xll.BDH($C$203,"BPS_SEQUENTIAL_GROWTH","FQ3 2015","FQ3 2015","Currency=INR","Period=FQ","BEST_FPERIOD_OVERRIDE=FQ","FILING_STATUS=OR","EQY_CONSOLIDATED=Y","Sort=A","Dates=H","DateFormat=P","Fill=—","Direction=H","UseDPDF=Y")</f>
        <v>#NAME?</v>
      </c>
      <c r="BX211" s="2" t="e">
        <f ca="1">_xll.BDH($C$203,"CFO_SEQUENTIAL_GROWTH","FQ3 2015","FQ3 2015","Currency=INR","Period=FQ","BEST_FPERIOD_OVERRIDE=FQ","FILING_STATUS=OR","EQY_CONSOLIDATED=Y","Sort=A","Dates=H","DateFormat=P","Fill=—","Direction=H","UseDPDF=Y")</f>
        <v>#NAME?</v>
      </c>
      <c r="BY211" s="3" t="e">
        <f ca="1">_xll.BDH($C$203,"SHORT_AND_LONG_TERM_DEBT","FQ3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211" s="3" t="e">
        <f ca="1">_xll.BDH($C$203,"BS_ST_BORROW","FQ3 2015","FQ3 2015","Currency=INR","Period=FQ","BEST_FPERIOD_OVERRIDE=FQ","FILING_STATUS=OR","EQY_CONSOLIDATED=Y","SCALING_FORMAT=MLN","Sort=A","Dates=H","DateFormat=P","Fill=—","Direction=H","UseDPDF=Y")</f>
        <v>#NAME?</v>
      </c>
      <c r="CA211" s="3" t="e">
        <f ca="1">_xll.BDH($C$203,"BS_LT_BORROW","FQ3 2015","FQ3 2015","Currency=INR","Period=FQ","BEST_FPERIOD_OVERRIDE=FQ","FILING_STATUS=OR","EQY_CONSOLIDATED=Y","SCALING_FORMAT=MLN","Sort=A","Dates=H","DateFormat=P","Fill=—","Direction=H","UseDPDF=Y")</f>
        <v>#NAME?</v>
      </c>
      <c r="CB211" s="2" t="e">
        <f ca="1">_xll.BDH($C$203,"TOT_DEBT_TO_EBITDA","FQ3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211" s="2" t="e">
        <f ca="1">_xll.BDH($C$203,"NET_DEBT_TO_EBITDA","FQ3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211" s="2" t="e">
        <f ca="1">_xll.BDH($C$203,"TOTAL_DEBT_TO_EBIT","FQ3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211" s="2" t="e">
        <f ca="1">_xll.BDH($C$203,"NET_DEBT_TO_EBIT","FQ3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211" s="2" t="e">
        <f ca="1">_xll.BDH($C$203,"EBITDA_TO_INTEREST_EXPN","FQ3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211" s="2" t="e">
        <f ca="1">_xll.BDH($C$203,"COM_EQY_TO_TOT_ASSET","FQ3 2015","FQ3 2015","Currency=INR","Period=FQ","BEST_FPERIOD_OVERRIDE=FQ","FILING_STATUS=OR","EQY_CONSOLIDATED=Y","Sort=A","Dates=H","DateFormat=P","Fill=—","Direction=H","UseDPDF=Y")</f>
        <v>#NAME?</v>
      </c>
      <c r="CH211" s="2" t="e">
        <f ca="1">_xll.BDH($C$203,"LT_DEBT_TO_TOT_EQY","FQ3 2015","FQ3 2015","Currency=INR","Period=FQ","BEST_FPERIOD_OVERRIDE=FQ","FILING_STATUS=OR","EQY_CONSOLIDATED=Y","Sort=A","Dates=H","DateFormat=P","Fill=—","Direction=H","UseDPDF=Y")</f>
        <v>#NAME?</v>
      </c>
      <c r="CI211" s="2" t="e">
        <f ca="1">_xll.BDH($C$203,"LT_DEBT_TO_TOT_CAP","FQ3 2015","FQ3 2015","Currency=INR","Period=FQ","BEST_FPERIOD_OVERRIDE=FQ","FILING_STATUS=OR","EQY_CONSOLIDATED=Y","Sort=A","Dates=H","DateFormat=P","Fill=—","Direction=H","UseDPDF=Y")</f>
        <v>#NAME?</v>
      </c>
      <c r="CJ211" s="2" t="e">
        <f ca="1">_xll.BDH($C$203,"LT_DEBT_TO_TOT_ASSET","FQ3 2015","FQ3 2015","Currency=INR","Period=FQ","BEST_FPERIOD_OVERRIDE=FQ","FILING_STATUS=OR","EQY_CONSOLIDATED=Y","Sort=A","Dates=H","DateFormat=P","Fill=—","Direction=H","UseDPDF=Y")</f>
        <v>#NAME?</v>
      </c>
      <c r="CK211" s="2" t="e">
        <f ca="1">_xll.BDH($C$203,"TOT_DEBT_TO_TOT_EQY","FQ3 2015","FQ3 2015","Currency=INR","Period=FQ","BEST_FPERIOD_OVERRIDE=FQ","FILING_STATUS=OR","EQY_CONSOLIDATED=Y","Sort=A","Dates=H","DateFormat=P","Fill=—","Direction=H","UseDPDF=Y")</f>
        <v>#NAME?</v>
      </c>
      <c r="CL211" s="2" t="e">
        <f ca="1">_xll.BDH($C$203,"TOT_DEBT_TO_TOT_CAP","FQ3 2015","FQ3 2015","Currency=INR","Period=FQ","BEST_FPERIOD_OVERRIDE=FQ","FILING_STATUS=OR","EQY_CONSOLIDATED=Y","Sort=A","Dates=H","DateFormat=P","Fill=—","Direction=H","UseDPDF=Y")</f>
        <v>#NAME?</v>
      </c>
      <c r="CM211" s="2" t="e">
        <f ca="1">_xll.BDH($C$203,"TOT_DEBT_TO_TOT_ASSET","FQ3 2015","FQ3 2015","Currency=INR","Period=FQ","BEST_FPERIOD_OVERRIDE=FQ","FILING_STATUS=OR","EQY_CONSOLIDATED=Y","Sort=A","Dates=H","DateFormat=P","Fill=—","Direction=H","UseDPDF=Y")</f>
        <v>#NAME?</v>
      </c>
      <c r="CN211" s="2" t="e">
        <f ca="1">_xll.BDH($C$203,"NET_DEBT_TO_SHRHLDR_EQTY","FQ3 2015","FQ3 2015","Currency=INR","Period=FQ","BEST_FPERIOD_OVERRIDE=FQ","FILING_STATUS=OR","EQY_CONSOLIDATED=Y","Sort=A","Dates=H","DateFormat=P","Fill=—","Direction=H","UseDPDF=Y")</f>
        <v>#NAME?</v>
      </c>
      <c r="CO211" s="2" t="e">
        <f ca="1">_xll.BDH($C$203,"NET_DEBT_%_CAPITAL","FQ3 2015","FQ3 2015","Currency=INR","Period=FQ","BEST_FPERIOD_OVERRIDE=FQ","FILING_STATUS=OR","EQY_CONSOLIDATED=Y","Sort=A","Dates=H","DateFormat=P","Fill=—","Direction=H","UseDPDF=Y")</f>
        <v>#NAME?</v>
      </c>
      <c r="CP211" s="3" t="e">
        <f ca="1">_xll.BDH($C$203,"EBITDA","FQ3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211" s="3" t="e">
        <f ca="1">_xll.BDH($C$203,"EBITDA_AFTER_CAPEX","FQ3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211" s="3" t="e">
        <f ca="1">_xll.BDH($C$203,"IS_OPER_INC","FQ3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211" s="2" t="e">
        <f ca="1">_xll.BDH($C$203,"CASH_RATIO","FQ3 2015","FQ3 2015","Currency=INR","Period=FQ","BEST_FPERIOD_OVERRIDE=FQ","FILING_STATUS=OR","EQY_CONSOLIDATED=Y","Sort=A","Dates=H","DateFormat=P","Fill=—","Direction=H","UseDPDF=Y")</f>
        <v>#NAME?</v>
      </c>
      <c r="CT211" s="2" t="e">
        <f ca="1">_xll.BDH($C$203,"CUR_RATIO","FQ3 2015","FQ3 2015","Currency=INR","Period=FQ","BEST_FPERIOD_OVERRIDE=FQ","FILING_STATUS=OR","EQY_CONSOLIDATED=Y","Sort=A","Dates=H","DateFormat=P","Fill=—","Direction=H","UseDPDF=Y")</f>
        <v>#NAME?</v>
      </c>
      <c r="CU211" s="2" t="e">
        <f ca="1">_xll.BDH($C$203,"QUICK_RATIO","FQ3 2015","FQ3 2015","Currency=INR","Period=FQ","BEST_FPERIOD_OVERRIDE=FQ","FILING_STATUS=OR","EQY_CONSOLIDATED=Y","Sort=A","Dates=H","DateFormat=P","Fill=—","Direction=H","UseDPDF=Y")</f>
        <v>#NAME?</v>
      </c>
      <c r="CV211" s="2" t="e">
        <f ca="1">_xll.BDH($C$203,"ALTMAN_Z_SCORE","FQ3 2015","FQ3 2015","Currency=INR","Period=FQ","BEST_FPERIOD_OVERRIDE=FQ","FILING_STATUS=OR","EQY_CONSOLIDATED=Y","Sort=A","Dates=H","DateFormat=P","Fill=—","Direction=H","UseDPDF=Y")</f>
        <v>#NAME?</v>
      </c>
      <c r="CW211" s="4" t="e">
        <f ca="1">_xll.BDH($C$203,"ACCT_RCV_TURN","FQ3 2015","FQ3 2015","Currency=INR","Period=FQ","BEST_FPERIOD_OVERRIDE=FQ","FILING_STATUS=OR","EQY_CONSOLIDATED=Y","FA_ADJUSTED=GAAP","Sort=A","Dates=H","DateFormat=P","Fill=—","Direction=H","UseDPDF=Y")</f>
        <v>#NAME?</v>
      </c>
      <c r="CX211" s="2" t="e">
        <f ca="1">_xll.BDH($C$203,"ACCT_RCV_DAYS","FQ3 2015","FQ3 2015","Currency=INR","Period=FQ","BEST_FPERIOD_OVERRIDE=FQ","FILING_STATUS=OR","EQY_CONSOLIDATED=Y","FA_ADJUSTED=GAAP","Sort=A","Dates=H","DateFormat=P","Fill=—","Direction=H","UseDPDF=Y")</f>
        <v>#NAME?</v>
      </c>
      <c r="CY211" s="4" t="e">
        <f ca="1">_xll.BDH($C$203,"INVENT_TURN","FQ3 2015","FQ3 2015","Currency=INR","Period=FQ","BEST_FPERIOD_OVERRIDE=FQ","FILING_STATUS=OR","EQY_CONSOLIDATED=Y","FA_ADJUSTED=GAAP","Sort=A","Dates=H","DateFormat=P","Fill=—","Direction=H","UseDPDF=Y")</f>
        <v>#NAME?</v>
      </c>
      <c r="CZ211" s="2" t="e">
        <f ca="1">_xll.BDH($C$203,"INVENT_DAYS","FQ3 2015","FQ3 2015","Currency=INR","Period=FQ","BEST_FPERIOD_OVERRIDE=FQ","FILING_STATUS=OR","EQY_CONSOLIDATED=Y","FA_ADJUSTED=GAAP","Sort=A","Dates=H","DateFormat=P","Fill=—","Direction=H","UseDPDF=Y")</f>
        <v>#NAME?</v>
      </c>
      <c r="DA211" s="4" t="e">
        <f ca="1">_xll.BDH($C$203,"ACCOUNTS_PAYABLE_TURNOVER","FQ3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211" s="2" t="e">
        <f ca="1">_xll.BDH($C$203,"ACCOUNTS_PAYABLE_TURNOVER_DAYS","FQ3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211" s="4" t="e">
        <f ca="1">_xll.BDH($C$203,"CASH_CONVERSION_CYCLE","FQ3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211" s="4" t="e">
        <f ca="1">_xll.BDH($C$203,"INV_TO_CASH_DAYS","FQ3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211" s="5" t="e">
        <f ca="1">_xll.BDH($C$203,"BS_INVENTORIES","FQ3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211" s="3" t="e">
        <f ca="1">_xll.BDH($C$203,"INVTRY_RAW_MATERIALS","FQ3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211" s="3" t="e">
        <f ca="1">_xll.BDH($C$203,"INVTRY_IN_PROGRESS","FQ3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211" s="3" t="e">
        <f ca="1">_xll.BDH($C$203,"INVTRY_FINISHED_GOODS","FQ3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211" s="3" t="e">
        <f ca="1">_xll.BDH($C$203,"BS_OTHER_INV","FQ3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212" spans="1:113" x14ac:dyDescent="0.3">
      <c r="A212" s="6"/>
      <c r="B212" s="6"/>
      <c r="C212" s="6"/>
      <c r="D212" s="6"/>
      <c r="E212" t="s">
        <v>81</v>
      </c>
      <c r="F212" t="e">
        <f ca="1">_xll.BDH($C$203,"RETURN_COM_EQY","FQ4 2015","FQ4 2015","Currency=INR","Period=FQ","BEST_FPERIOD_OVERRIDE=FQ","FILING_STATUS=OR","EQY_CONSOLIDATED=Y","FA_ADJUSTED=GAAP","Sort=A","Dates=H","DateFormat=P","Fill=—","Direction=H","UseDPDF=Y")</f>
        <v>#NAME?</v>
      </c>
      <c r="G212" t="e">
        <f ca="1">_xll.BDH($C$203,"RETURN_ON_ASSET","FQ4 2015","FQ4 2015","Currency=INR","Period=FQ","BEST_FPERIOD_OVERRIDE=FQ","FILING_STATUS=OR","EQY_CONSOLIDATED=Y","FA_ADJUSTED=GAAP","Sort=A","Dates=H","DateFormat=P","Fill=—","Direction=H","UseDPDF=Y")</f>
        <v>#NAME?</v>
      </c>
      <c r="H212" t="e">
        <f ca="1">_xll.BDH($C$203,"RETURN_ON_CAP","FQ4 2015","FQ4 2015","Currency=INR","Period=FQ","BEST_FPERIOD_OVERRIDE=FQ","FILING_STATUS=OR","EQY_CONSOLIDATED=Y","FA_ADJUSTED=GAAP","Sort=A","Dates=H","DateFormat=P","Fill=—","Direction=H","UseDPDF=Y")</f>
        <v>#NAME?</v>
      </c>
      <c r="I212" t="e">
        <f ca="1">_xll.BDH($C$203,"RETURN_ON_INV_CAPITAL","FQ4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212" t="e">
        <f ca="1">_xll.BDH($C$203,"EBITDA_TO_REVENUE","FQ4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212" t="e">
        <f ca="1">_xll.BDH($C$203,"OPER_MARGIN","FQ4 2015","FQ4 2015","Currency=INR","Period=FQ","BEST_FPERIOD_OVERRIDE=FQ","FILING_STATUS=OR","EQY_CONSOLIDATED=Y","FA_ADJUSTED=GAAP","Sort=A","Dates=H","DateFormat=P","Fill=—","Direction=H","UseDPDF=Y")</f>
        <v>#NAME?</v>
      </c>
      <c r="L212" t="e">
        <f ca="1">_xll.BDH($C$203,"INCREMENTAL_OPERATING_MARGIN","FQ4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212" t="e">
        <f ca="1">_xll.BDH($C$203,"PRETAX_INC_TO_NET_SALES","FQ4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212" t="e">
        <f ca="1">_xll.BDH($C$203,"INC_BEF_XO_ITEMS_TO_NET_SALES","FQ4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212" t="e">
        <f ca="1">_xll.BDH($C$203,"PROF_MARGIN","FQ4 2015","FQ4 2015","Currency=INR","Period=FQ","BEST_FPERIOD_OVERRIDE=FQ","FILING_STATUS=OR","EQY_CONSOLIDATED=Y","FA_ADJUSTED=GAAP","Sort=A","Dates=H","DateFormat=P","Fill=—","Direction=H","UseDPDF=Y")</f>
        <v>#NAME?</v>
      </c>
      <c r="P212" t="e">
        <f ca="1">_xll.BDH($C$203,"NET_INCOME_TO_COMMON_MARGIN","FQ4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212" t="e">
        <f ca="1">_xll.BDH($C$203,"EFF_TAX_RATE","FQ4 2015","FQ4 2015","Currency=INR","Period=FQ","BEST_FPERIOD_OVERRIDE=FQ","FILING_STATUS=OR","EQY_CONSOLIDATED=Y","FA_ADJUSTED=GAAP","Sort=A","Dates=H","DateFormat=P","Fill=—","Direction=H","UseDPDF=Y")</f>
        <v>#NAME?</v>
      </c>
      <c r="R212" t="e">
        <f ca="1">_xll.BDH($C$203,"DVD_PAYOUT_RATIO","FQ4 2015","FQ4 2015","Currency=INR","Period=FQ","BEST_FPERIOD_OVERRIDE=FQ","FILING_STATUS=OR","EQY_CONSOLIDATED=Y","FA_ADJUSTED=GAAP","Sort=A","Dates=H","DateFormat=P","Fill=—","Direction=H","UseDPDF=Y")</f>
        <v>#NAME?</v>
      </c>
      <c r="S212" t="e">
        <f ca="1">_xll.BDH($C$203,"SUSTAIN_GROWTH_RT","FQ4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212" s="2" t="e">
        <f ca="1">_xll.BDH($C$203,"SALES_GROWTH","FQ4 2015","FQ4 2015","Currency=INR","Period=FQ","BEST_FPERIOD_OVERRIDE=FQ","FILING_STATUS=OR","EQY_CONSOLIDATED=Y","FA_ADJUSTED=GAAP","Sort=A","Dates=H","DateFormat=P","Fill=—","Direction=H","UseDPDF=Y")</f>
        <v>#NAME?</v>
      </c>
      <c r="U212" s="2" t="e">
        <f ca="1">_xll.BDH($C$203,"EBITDA_GROWTH","FQ4 2015","FQ4 2015","Currency=INR","Period=FQ","BEST_FPERIOD_OVERRIDE=FQ","FILING_STATUS=OR","EQY_CONSOLIDATED=Y","FA_ADJUSTED=GAAP","Sort=A","Dates=H","DateFormat=P","Fill=—","Direction=H","UseDPDF=Y")</f>
        <v>#NAME?</v>
      </c>
      <c r="V212" s="2" t="e">
        <f ca="1">_xll.BDH($C$203,"OPER_INC_GROWTH","FQ4 2015","FQ4 2015","Currency=INR","Period=FQ","BEST_FPERIOD_OVERRIDE=FQ","FILING_STATUS=OR","EQY_CONSOLIDATED=Y","FA_ADJUSTED=GAAP","Sort=A","Dates=H","DateFormat=P","Fill=—","Direction=H","UseDPDF=Y")</f>
        <v>#NAME?</v>
      </c>
      <c r="W212" s="2" t="e">
        <f ca="1">_xll.BDH($C$203,"EARN_FOR_COM_GROWTH","FQ4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212" s="2" t="e">
        <f ca="1">_xll.BDH($C$203,"DILUTED_EPS_AFT_XO_ITEMS_GROWTH","FQ4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212" s="2" t="e">
        <f ca="1">_xll.BDH($C$203,"DIVIDEND_PER_SHARE_1_YEAR_GROWTH","FQ4 2015","FQ4 2015","Currency=INR","Period=FQ","BEST_FPERIOD_OVERRIDE=FQ","FILING_STATUS=OR","EQY_CONSOLIDATED=Y","Sort=A","Dates=H","DateFormat=P","Fill=—","Direction=H","UseDPDF=Y")</f>
        <v>#NAME?</v>
      </c>
      <c r="Z212" s="2" t="e">
        <f ca="1">_xll.BDH($C$203,"ACCOUNTS_RECEIVABLE_GROWTH","FQ4 2015","FQ4 2015","Currency=INR","Period=FQ","BEST_FPERIOD_OVERRIDE=FQ","FILING_STATUS=OR","EQY_CONSOLIDATED=Y","Sort=A","Dates=H","DateFormat=P","Fill=—","Direction=H","UseDPDF=Y")</f>
        <v>#NAME?</v>
      </c>
      <c r="AA212" s="2" t="e">
        <f ca="1">_xll.BDH($C$203,"INVENTORY_GROWTH","FQ4 2015","FQ4 2015","Currency=INR","Period=FQ","BEST_FPERIOD_OVERRIDE=FQ","FILING_STATUS=OR","EQY_CONSOLIDATED=Y","Sort=A","Dates=H","DateFormat=P","Fill=—","Direction=H","UseDPDF=Y")</f>
        <v>#NAME?</v>
      </c>
      <c r="AB212" s="2" t="e">
        <f ca="1">_xll.BDH($C$203,"NET_FIXED_ASSETS_1_YEAR_GROWTH","FQ4 2015","FQ4 2015","Currency=INR","Period=FQ","BEST_FPERIOD_OVERRIDE=FQ","FILING_STATUS=OR","EQY_CONSOLIDATED=Y","Sort=A","Dates=H","DateFormat=P","Fill=—","Direction=H","UseDPDF=Y")</f>
        <v>#NAME?</v>
      </c>
      <c r="AC212" s="2" t="e">
        <f ca="1">_xll.BDH($C$203,"ASSET_GROWTH","FQ4 2015","FQ4 2015","Currency=INR","Period=FQ","BEST_FPERIOD_OVERRIDE=FQ","FILING_STATUS=OR","EQY_CONSOLIDATED=Y","Sort=A","Dates=H","DateFormat=P","Fill=—","Direction=H","UseDPDF=Y")</f>
        <v>#NAME?</v>
      </c>
      <c r="AD212" s="2" t="e">
        <f ca="1">_xll.BDH($C$203,"MODIFIED_WORK_CAP_GROWTH","FQ4 2015","FQ4 2015","Currency=INR","Period=FQ","BEST_FPERIOD_OVERRIDE=FQ","FILING_STATUS=OR","EQY_CONSOLIDATED=Y","Sort=A","Dates=H","DateFormat=P","Fill=—","Direction=H","UseDPDF=Y")</f>
        <v>#NAME?</v>
      </c>
      <c r="AE212" s="2" t="e">
        <f ca="1">_xll.BDH($C$203,"WORK_CAP_GROWTH","FQ4 2015","FQ4 2015","Currency=INR","Period=FQ","BEST_FPERIOD_OVERRIDE=FQ","FILING_STATUS=OR","EQY_CONSOLIDATED=Y","Sort=A","Dates=H","DateFormat=P","Fill=—","Direction=H","UseDPDF=Y")</f>
        <v>#NAME?</v>
      </c>
      <c r="AF212" s="2" t="e">
        <f ca="1">_xll.BDH($C$203,"ACCOUNTS_PAYABLE_GROWTH_1YR","FQ4 2015","FQ4 2015","Currency=INR","Period=FQ","BEST_FPERIOD_OVERRIDE=FQ","FILING_STATUS=OR","EQY_CONSOLIDATED=Y","Sort=A","Dates=H","DateFormat=P","Fill=—","Direction=H","UseDPDF=Y")</f>
        <v>#NAME?</v>
      </c>
      <c r="AG212" s="2" t="e">
        <f ca="1">_xll.BDH($C$203,"SHORT_TERM_DEBT_1_YEAR_GROWTH","FQ4 2015","FQ4 2015","Currency=INR","Period=FQ","BEST_FPERIOD_OVERRIDE=FQ","FILING_STATUS=OR","EQY_CONSOLIDATED=Y","Sort=A","Dates=H","DateFormat=P","Fill=—","Direction=H","UseDPDF=Y")</f>
        <v>#NAME?</v>
      </c>
      <c r="AH212" s="2" t="e">
        <f ca="1">_xll.BDH($C$203,"TOTAL_DEBT_1_YEAR_GROWTH","FQ4 2015","FQ4 2015","Currency=INR","Period=FQ","BEST_FPERIOD_OVERRIDE=FQ","FILING_STATUS=OR","EQY_CONSOLIDATED=Y","Sort=A","Dates=H","DateFormat=P","Fill=—","Direction=H","UseDPDF=Y")</f>
        <v>#NAME?</v>
      </c>
      <c r="AI212" s="2" t="e">
        <f ca="1">_xll.BDH($C$203,"TOTAL_EQUITY_1_YEAR_GROWTH","FQ4 2015","FQ4 2015","Currency=INR","Period=FQ","BEST_FPERIOD_OVERRIDE=FQ","FILING_STATUS=OR","EQY_CONSOLIDATED=Y","Sort=A","Dates=H","DateFormat=P","Fill=—","Direction=H","UseDPDF=Y")</f>
        <v>#NAME?</v>
      </c>
      <c r="AJ212" s="2" t="e">
        <f ca="1">_xll.BDH($C$203,"GROWTH_IN_CAP","FQ4 2015","FQ4 2015","Currency=INR","Period=FQ","BEST_FPERIOD_OVERRIDE=FQ","FILING_STATUS=OR","EQY_CONSOLIDATED=Y","Sort=A","Dates=H","DateFormat=P","Fill=—","Direction=H","UseDPDF=Y")</f>
        <v>#NAME?</v>
      </c>
      <c r="AK212" s="2" t="e">
        <f ca="1">_xll.BDH($C$203,"BVPS_GROWTH","FQ4 2015","FQ4 2015","Currency=INR","Period=FQ","BEST_FPERIOD_OVERRIDE=FQ","FILING_STATUS=OR","EQY_CONSOLIDATED=Y","Sort=A","Dates=H","DateFormat=P","Fill=—","Direction=H","UseDPDF=Y")</f>
        <v>#NAME?</v>
      </c>
      <c r="AL212" s="2" t="e">
        <f ca="1">_xll.BDH($C$203,"CASH_FLOW_GROWTH","FQ4 2015","FQ4 2015","Currency=INR","Period=FQ","BEST_FPERIOD_OVERRIDE=FQ","FILING_STATUS=OR","EQY_CONSOLIDATED=Y","Sort=A","Dates=H","DateFormat=P","Fill=—","Direction=H","UseDPDF=Y")</f>
        <v>#NAME?</v>
      </c>
      <c r="AM212" s="2" t="e">
        <f ca="1">_xll.BDH($C$203,"GEO_GROW_NET_SALES","FQ4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212" s="2" t="e">
        <f ca="1">_xll.BDH($C$203,"GEO_GROW_EBITDA","FQ4 2015","FQ4 2015","Currency=INR","Period=FQ","BEST_FPERIOD_OVERRIDE=FQ","FILING_STATUS=OR","EQY_CONSOLIDATED=Y","FA_ADJUSTED=GAAP","Sort=A","Dates=H","DateFormat=P","Fill=—","Direction=H","UseDPDF=Y")</f>
        <v>#NAME?</v>
      </c>
      <c r="AO212" s="2" t="e">
        <f ca="1">_xll.BDH($C$203,"GEO_GROW_OPER_INC","FQ4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212" s="2" t="e">
        <f ca="1">_xll.BDH($C$203,"NET_INCOME_TO_COMMON_5_YR_GROWTH","FQ4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212" s="2" t="e">
        <f ca="1">_xll.BDH($C$203,"5Y_GEO_GROWTH_DILUTED_EPS","FQ4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212" s="2" t="e">
        <f ca="1">_xll.BDH($C$203,"GEO_GROW_DVD_PER_SH","FQ4 2015","FQ4 2015","Currency=INR","Period=FQ","BEST_FPERIOD_OVERRIDE=FQ","FILING_STATUS=OR","EQY_CONSOLIDATED=Y","Sort=A","Dates=H","DateFormat=P","Fill=—","Direction=H","UseDPDF=Y")</f>
        <v>#NAME?</v>
      </c>
      <c r="AS212" s="2" t="e">
        <f ca="1">_xll.BDH($C$203,"ACCOUNTS_RECEIVABLE_5_YR_GROWTH","FQ4 2015","FQ4 2015","Currency=INR","Period=FQ","BEST_FPERIOD_OVERRIDE=FQ","FILING_STATUS=OR","EQY_CONSOLIDATED=Y","Sort=A","Dates=H","DateFormat=P","Fill=—","Direction=H","UseDPDF=Y")</f>
        <v>#NAME?</v>
      </c>
      <c r="AT212" s="2" t="e">
        <f ca="1">_xll.BDH($C$203,"INVENTORY_5_YEAR_GROWTH","FQ4 2015","FQ4 2015","Currency=INR","Period=FQ","BEST_FPERIOD_OVERRIDE=FQ","FILING_STATUS=OR","EQY_CONSOLIDATED=Y","Sort=A","Dates=H","DateFormat=P","Fill=—","Direction=H","UseDPDF=Y")</f>
        <v>#NAME?</v>
      </c>
      <c r="AU212" s="2" t="e">
        <f ca="1">_xll.BDH($C$203,"NET_FIXED_ASSETS_5_YEAR_GROWTH","FQ4 2015","FQ4 2015","Currency=INR","Period=FQ","BEST_FPERIOD_OVERRIDE=FQ","FILING_STATUS=OR","EQY_CONSOLIDATED=Y","Sort=A","Dates=H","DateFormat=P","Fill=—","Direction=H","UseDPDF=Y")</f>
        <v>#NAME?</v>
      </c>
      <c r="AV212" s="2" t="e">
        <f ca="1">_xll.BDH($C$203,"GEO_GROW_TOT_ASSET","FQ4 2015","FQ4 2015","Currency=INR","Period=FQ","BEST_FPERIOD_OVERRIDE=FQ","FILING_STATUS=OR","EQY_CONSOLIDATED=Y","Sort=A","Dates=H","DateFormat=P","Fill=—","Direction=H","UseDPDF=Y")</f>
        <v>#NAME?</v>
      </c>
      <c r="AW212" s="2" t="e">
        <f ca="1">_xll.BDH($C$203,"MODIFIED_WORKING_CPTL_5YR_GRWTH","FQ4 2015","FQ4 2015","Currency=INR","Period=FQ","BEST_FPERIOD_OVERRIDE=FQ","FILING_STATUS=OR","EQY_CONSOLIDATED=Y","Sort=A","Dates=H","DateFormat=P","Fill=—","Direction=H","UseDPDF=Y")</f>
        <v>#NAME?</v>
      </c>
      <c r="AX212" s="2" t="e">
        <f ca="1">_xll.BDH($C$203,"WORKING_CAPITAL_5_YEAR_GROWTH","FQ4 2015","FQ4 2015","Currency=INR","Period=FQ","BEST_FPERIOD_OVERRIDE=FQ","FILING_STATUS=OR","EQY_CONSOLIDATED=Y","Sort=A","Dates=H","DateFormat=P","Fill=—","Direction=H","UseDPDF=Y")</f>
        <v>#NAME?</v>
      </c>
      <c r="AY212" s="2" t="e">
        <f ca="1">_xll.BDH($C$203,"ACCOUNTS_PAYABLE_5_YEAR_GROWTH","FQ4 2015","FQ4 2015","Currency=INR","Period=FQ","BEST_FPERIOD_OVERRIDE=FQ","FILING_STATUS=OR","EQY_CONSOLIDATED=Y","Sort=A","Dates=H","DateFormat=P","Fill=—","Direction=H","UseDPDF=Y")</f>
        <v>#NAME?</v>
      </c>
      <c r="AZ212" s="2" t="e">
        <f ca="1">_xll.BDH($C$203,"SHORT_TERM_DEBT_5_YEAR_GROWTH","FQ4 2015","FQ4 2015","Currency=INR","Period=FQ","BEST_FPERIOD_OVERRIDE=FQ","FILING_STATUS=OR","EQY_CONSOLIDATED=Y","Sort=A","Dates=H","DateFormat=P","Fill=—","Direction=H","UseDPDF=Y")</f>
        <v>#NAME?</v>
      </c>
      <c r="BA212" s="2" t="e">
        <f ca="1">_xll.BDH($C$203,"TOTAL_DEBT_5_YEAR_GROWTH","FQ4 2015","FQ4 2015","Currency=INR","Period=FQ","BEST_FPERIOD_OVERRIDE=FQ","FILING_STATUS=OR","EQY_CONSOLIDATED=Y","Sort=A","Dates=H","DateFormat=P","Fill=—","Direction=H","UseDPDF=Y")</f>
        <v>#NAME?</v>
      </c>
      <c r="BB212" s="2" t="e">
        <f ca="1">_xll.BDH($C$203,"GEO_GROW_TOT_SHRHLDR_EQY","FQ4 2015","FQ4 2015","Currency=INR","Period=FQ","BEST_FPERIOD_OVERRIDE=FQ","FILING_STATUS=OR","EQY_CONSOLIDATED=Y","Sort=A","Dates=H","DateFormat=P","Fill=—","Direction=H","UseDPDF=Y")</f>
        <v>#NAME?</v>
      </c>
      <c r="BC212" s="2" t="e">
        <f ca="1">_xll.BDH($C$203,"TOTAL_CAPITAL_5_YEAR_GROWTH","FQ4 2015","FQ4 2015","Currency=INR","Period=FQ","BEST_FPERIOD_OVERRIDE=FQ","FILING_STATUS=OR","EQY_CONSOLIDATED=Y","Sort=A","Dates=H","DateFormat=P","Fill=—","Direction=H","UseDPDF=Y")</f>
        <v>#NAME?</v>
      </c>
      <c r="BD212" s="2" t="e">
        <f ca="1">_xll.BDH($C$203,"GEO_GROW_BOOK_VAL","FQ4 2015","FQ4 2015","Currency=INR","Period=FQ","BEST_FPERIOD_OVERRIDE=FQ","FILING_STATUS=OR","EQY_CONSOLIDATED=Y","Sort=A","Dates=H","DateFormat=P","Fill=—","Direction=H","UseDPDF=Y")</f>
        <v>#NAME?</v>
      </c>
      <c r="BE212" s="2" t="e">
        <f ca="1">_xll.BDH($C$203,"GEO_GROW_CASH_OPER_ACT","FQ4 2015","FQ4 2015","Currency=INR","Period=FQ","BEST_FPERIOD_OVERRIDE=FQ","FILING_STATUS=OR","EQY_CONSOLIDATED=Y","Sort=A","Dates=H","DateFormat=P","Fill=—","Direction=H","UseDPDF=Y")</f>
        <v>#NAME?</v>
      </c>
      <c r="BF212" s="2" t="e">
        <f ca="1">_xll.BDH($C$203,"REVENUE_SEQUENTIAL_GROWTH","FQ4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212" s="2" t="e">
        <f ca="1">_xll.BDH($C$203,"EBITDA_SEQUENTIAL_GROWTH","FQ4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212" s="2" t="e">
        <f ca="1">_xll.BDH($C$203,"OPERATING_INCOME_SEQ_GROWTH","FQ4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212" s="2" t="e">
        <f ca="1">_xll.BDH($C$203,"NET_INCOME_TO_COMMON_SEQ_GROWTH","FQ4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212" s="2" t="e">
        <f ca="1">_xll.BDH($C$203,"EPS_DILUTED_SEQUENTIAL_GROWTH","FQ4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212" s="2" t="e">
        <f ca="1">_xll.BDH($C$203,"DPS_SEQUENTIAL_GROWTH","FQ4 2015","FQ4 2015","Currency=INR","Period=FQ","BEST_FPERIOD_OVERRIDE=FQ","FILING_STATUS=OR","EQY_CONSOLIDATED=Y","Sort=A","Dates=H","DateFormat=P","Fill=—","Direction=H","UseDPDF=Y")</f>
        <v>#NAME?</v>
      </c>
      <c r="BL212" s="2" t="e">
        <f ca="1">_xll.BDH($C$203,"ACCOUNTS_RECEIVABLE_SEQ_GROWTH","FQ4 2015","FQ4 2015","Currency=INR","Period=FQ","BEST_FPERIOD_OVERRIDE=FQ","FILING_STATUS=OR","EQY_CONSOLIDATED=Y","Sort=A","Dates=H","DateFormat=P","Fill=—","Direction=H","UseDPDF=Y")</f>
        <v>#NAME?</v>
      </c>
      <c r="BM212" s="2" t="e">
        <f ca="1">_xll.BDH($C$203,"INVENTORY_SEQUENTIAL_GROWTH","FQ4 2015","FQ4 2015","Currency=INR","Period=FQ","BEST_FPERIOD_OVERRIDE=FQ","FILING_STATUS=OR","EQY_CONSOLIDATED=Y","Sort=A","Dates=H","DateFormat=P","Fill=—","Direction=H","UseDPDF=Y")</f>
        <v>#NAME?</v>
      </c>
      <c r="BN212" s="2" t="e">
        <f ca="1">_xll.BDH($C$203,"FIXED_ASSETS_SEQUENTIAL_GROWTH","FQ4 2015","FQ4 2015","Currency=INR","Period=FQ","BEST_FPERIOD_OVERRIDE=FQ","FILING_STATUS=OR","EQY_CONSOLIDATED=Y","Sort=A","Dates=H","DateFormat=P","Fill=—","Direction=H","UseDPDF=Y")</f>
        <v>#NAME?</v>
      </c>
      <c r="BO212" s="2" t="e">
        <f ca="1">_xll.BDH($C$203,"TOTAL_ASSETS_SEQUENTIAL_GROWTH","FQ4 2015","FQ4 2015","Currency=INR","Period=FQ","BEST_FPERIOD_OVERRIDE=FQ","FILING_STATUS=OR","EQY_CONSOLIDATED=Y","Sort=A","Dates=H","DateFormat=P","Fill=—","Direction=H","UseDPDF=Y")</f>
        <v>#NAME?</v>
      </c>
      <c r="BP212" s="2" t="e">
        <f ca="1">_xll.BDH($C$203,"MODIFIED_WORKING_CPTL_SEQ_GRWTH","FQ4 2015","FQ4 2015","Currency=INR","Period=FQ","BEST_FPERIOD_OVERRIDE=FQ","FILING_STATUS=OR","EQY_CONSOLIDATED=Y","Sort=A","Dates=H","DateFormat=P","Fill=—","Direction=H","UseDPDF=Y")</f>
        <v>#NAME?</v>
      </c>
      <c r="BQ212" s="2" t="e">
        <f ca="1">_xll.BDH($C$203,"WORKING_CAPITAL_SEQ_GROWTH","FQ4 2015","FQ4 2015","Currency=INR","Period=FQ","BEST_FPERIOD_OVERRIDE=FQ","FILING_STATUS=OR","EQY_CONSOLIDATED=Y","Sort=A","Dates=H","DateFormat=P","Fill=—","Direction=H","UseDPDF=Y")</f>
        <v>#NAME?</v>
      </c>
      <c r="BR212" s="2" t="e">
        <f ca="1">_xll.BDH($C$203,"ACCOUNTS_PAYABLE_SEQ_GROWTH","FQ4 2015","FQ4 2015","Currency=INR","Period=FQ","BEST_FPERIOD_OVERRIDE=FQ","FILING_STATUS=OR","EQY_CONSOLIDATED=Y","Sort=A","Dates=H","DateFormat=P","Fill=—","Direction=H","UseDPDF=Y")</f>
        <v>#NAME?</v>
      </c>
      <c r="BS212" s="2" t="e">
        <f ca="1">_xll.BDH($C$203,"ST_DEBT_SEQUENTIAL_GROWTH","FQ4 2015","FQ4 2015","Currency=INR","Period=FQ","BEST_FPERIOD_OVERRIDE=FQ","FILING_STATUS=OR","EQY_CONSOLIDATED=Y","Sort=A","Dates=H","DateFormat=P","Fill=—","Direction=H","UseDPDF=Y")</f>
        <v>#NAME?</v>
      </c>
      <c r="BT212" s="2" t="e">
        <f ca="1">_xll.BDH($C$203,"TOTAL_DEBT_SEQUENTIAL_GROWTH","FQ4 2015","FQ4 2015","Currency=INR","Period=FQ","BEST_FPERIOD_OVERRIDE=FQ","FILING_STATUS=OR","EQY_CONSOLIDATED=Y","Sort=A","Dates=H","DateFormat=P","Fill=—","Direction=H","UseDPDF=Y")</f>
        <v>#NAME?</v>
      </c>
      <c r="BU212" s="2" t="e">
        <f ca="1">_xll.BDH($C$203,"TOTAL_EQUITY_SEQUENTIAL_GROWTH","FQ4 2015","FQ4 2015","Currency=INR","Period=FQ","BEST_FPERIOD_OVERRIDE=FQ","FILING_STATUS=OR","EQY_CONSOLIDATED=Y","Sort=A","Dates=H","DateFormat=P","Fill=—","Direction=H","UseDPDF=Y")</f>
        <v>#NAME?</v>
      </c>
      <c r="BV212" s="2" t="e">
        <f ca="1">_xll.BDH($C$203,"TOTAL_CAPITAL_SEQUENTIAL_GROWTH","FQ4 2015","FQ4 2015","Currency=INR","Period=FQ","BEST_FPERIOD_OVERRIDE=FQ","FILING_STATUS=OR","EQY_CONSOLIDATED=Y","Sort=A","Dates=H","DateFormat=P","Fill=—","Direction=H","UseDPDF=Y")</f>
        <v>#NAME?</v>
      </c>
      <c r="BW212" s="2" t="e">
        <f ca="1">_xll.BDH($C$203,"BPS_SEQUENTIAL_GROWTH","FQ4 2015","FQ4 2015","Currency=INR","Period=FQ","BEST_FPERIOD_OVERRIDE=FQ","FILING_STATUS=OR","EQY_CONSOLIDATED=Y","Sort=A","Dates=H","DateFormat=P","Fill=—","Direction=H","UseDPDF=Y")</f>
        <v>#NAME?</v>
      </c>
      <c r="BX212" s="2" t="e">
        <f ca="1">_xll.BDH($C$203,"CFO_SEQUENTIAL_GROWTH","FQ4 2015","FQ4 2015","Currency=INR","Period=FQ","BEST_FPERIOD_OVERRIDE=FQ","FILING_STATUS=OR","EQY_CONSOLIDATED=Y","Sort=A","Dates=H","DateFormat=P","Fill=—","Direction=H","UseDPDF=Y")</f>
        <v>#NAME?</v>
      </c>
      <c r="BY212" s="3" t="e">
        <f ca="1">_xll.BDH($C$203,"SHORT_AND_LONG_TERM_DEBT","FQ4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212" s="3" t="e">
        <f ca="1">_xll.BDH($C$203,"BS_ST_BORROW","FQ4 2015","FQ4 2015","Currency=INR","Period=FQ","BEST_FPERIOD_OVERRIDE=FQ","FILING_STATUS=OR","EQY_CONSOLIDATED=Y","SCALING_FORMAT=MLN","Sort=A","Dates=H","DateFormat=P","Fill=—","Direction=H","UseDPDF=Y")</f>
        <v>#NAME?</v>
      </c>
      <c r="CA212" s="3" t="e">
        <f ca="1">_xll.BDH($C$203,"BS_LT_BORROW","FQ4 2015","FQ4 2015","Currency=INR","Period=FQ","BEST_FPERIOD_OVERRIDE=FQ","FILING_STATUS=OR","EQY_CONSOLIDATED=Y","SCALING_FORMAT=MLN","Sort=A","Dates=H","DateFormat=P","Fill=—","Direction=H","UseDPDF=Y")</f>
        <v>#NAME?</v>
      </c>
      <c r="CB212" s="2" t="e">
        <f ca="1">_xll.BDH($C$203,"TOT_DEBT_TO_EBITDA","FQ4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212" s="2" t="e">
        <f ca="1">_xll.BDH($C$203,"NET_DEBT_TO_EBITDA","FQ4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212" s="2" t="e">
        <f ca="1">_xll.BDH($C$203,"TOTAL_DEBT_TO_EBIT","FQ4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212" s="2" t="e">
        <f ca="1">_xll.BDH($C$203,"NET_DEBT_TO_EBIT","FQ4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212" s="2" t="e">
        <f ca="1">_xll.BDH($C$203,"EBITDA_TO_INTEREST_EXPN","FQ4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212" s="2" t="e">
        <f ca="1">_xll.BDH($C$203,"COM_EQY_TO_TOT_ASSET","FQ4 2015","FQ4 2015","Currency=INR","Period=FQ","BEST_FPERIOD_OVERRIDE=FQ","FILING_STATUS=OR","EQY_CONSOLIDATED=Y","Sort=A","Dates=H","DateFormat=P","Fill=—","Direction=H","UseDPDF=Y")</f>
        <v>#NAME?</v>
      </c>
      <c r="CH212" s="2" t="e">
        <f ca="1">_xll.BDH($C$203,"LT_DEBT_TO_TOT_EQY","FQ4 2015","FQ4 2015","Currency=INR","Period=FQ","BEST_FPERIOD_OVERRIDE=FQ","FILING_STATUS=OR","EQY_CONSOLIDATED=Y","Sort=A","Dates=H","DateFormat=P","Fill=—","Direction=H","UseDPDF=Y")</f>
        <v>#NAME?</v>
      </c>
      <c r="CI212" s="2" t="e">
        <f ca="1">_xll.BDH($C$203,"LT_DEBT_TO_TOT_CAP","FQ4 2015","FQ4 2015","Currency=INR","Period=FQ","BEST_FPERIOD_OVERRIDE=FQ","FILING_STATUS=OR","EQY_CONSOLIDATED=Y","Sort=A","Dates=H","DateFormat=P","Fill=—","Direction=H","UseDPDF=Y")</f>
        <v>#NAME?</v>
      </c>
      <c r="CJ212" s="2" t="e">
        <f ca="1">_xll.BDH($C$203,"LT_DEBT_TO_TOT_ASSET","FQ4 2015","FQ4 2015","Currency=INR","Period=FQ","BEST_FPERIOD_OVERRIDE=FQ","FILING_STATUS=OR","EQY_CONSOLIDATED=Y","Sort=A","Dates=H","DateFormat=P","Fill=—","Direction=H","UseDPDF=Y")</f>
        <v>#NAME?</v>
      </c>
      <c r="CK212" s="2" t="e">
        <f ca="1">_xll.BDH($C$203,"TOT_DEBT_TO_TOT_EQY","FQ4 2015","FQ4 2015","Currency=INR","Period=FQ","BEST_FPERIOD_OVERRIDE=FQ","FILING_STATUS=OR","EQY_CONSOLIDATED=Y","Sort=A","Dates=H","DateFormat=P","Fill=—","Direction=H","UseDPDF=Y")</f>
        <v>#NAME?</v>
      </c>
      <c r="CL212" s="2" t="e">
        <f ca="1">_xll.BDH($C$203,"TOT_DEBT_TO_TOT_CAP","FQ4 2015","FQ4 2015","Currency=INR","Period=FQ","BEST_FPERIOD_OVERRIDE=FQ","FILING_STATUS=OR","EQY_CONSOLIDATED=Y","Sort=A","Dates=H","DateFormat=P","Fill=—","Direction=H","UseDPDF=Y")</f>
        <v>#NAME?</v>
      </c>
      <c r="CM212" s="2" t="e">
        <f ca="1">_xll.BDH($C$203,"TOT_DEBT_TO_TOT_ASSET","FQ4 2015","FQ4 2015","Currency=INR","Period=FQ","BEST_FPERIOD_OVERRIDE=FQ","FILING_STATUS=OR","EQY_CONSOLIDATED=Y","Sort=A","Dates=H","DateFormat=P","Fill=—","Direction=H","UseDPDF=Y")</f>
        <v>#NAME?</v>
      </c>
      <c r="CN212" s="2" t="e">
        <f ca="1">_xll.BDH($C$203,"NET_DEBT_TO_SHRHLDR_EQTY","FQ4 2015","FQ4 2015","Currency=INR","Period=FQ","BEST_FPERIOD_OVERRIDE=FQ","FILING_STATUS=OR","EQY_CONSOLIDATED=Y","Sort=A","Dates=H","DateFormat=P","Fill=—","Direction=H","UseDPDF=Y")</f>
        <v>#NAME?</v>
      </c>
      <c r="CO212" s="2" t="e">
        <f ca="1">_xll.BDH($C$203,"NET_DEBT_%_CAPITAL","FQ4 2015","FQ4 2015","Currency=INR","Period=FQ","BEST_FPERIOD_OVERRIDE=FQ","FILING_STATUS=OR","EQY_CONSOLIDATED=Y","Sort=A","Dates=H","DateFormat=P","Fill=—","Direction=H","UseDPDF=Y")</f>
        <v>#NAME?</v>
      </c>
      <c r="CP212" s="3" t="e">
        <f ca="1">_xll.BDH($C$203,"EBITDA","FQ4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212" s="3" t="e">
        <f ca="1">_xll.BDH($C$203,"EBITDA_AFTER_CAPEX","FQ4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212" s="3" t="e">
        <f ca="1">_xll.BDH($C$203,"IS_OPER_INC","FQ4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212" s="2" t="e">
        <f ca="1">_xll.BDH($C$203,"CASH_RATIO","FQ4 2015","FQ4 2015","Currency=INR","Period=FQ","BEST_FPERIOD_OVERRIDE=FQ","FILING_STATUS=OR","EQY_CONSOLIDATED=Y","Sort=A","Dates=H","DateFormat=P","Fill=—","Direction=H","UseDPDF=Y")</f>
        <v>#NAME?</v>
      </c>
      <c r="CT212" s="2" t="e">
        <f ca="1">_xll.BDH($C$203,"CUR_RATIO","FQ4 2015","FQ4 2015","Currency=INR","Period=FQ","BEST_FPERIOD_OVERRIDE=FQ","FILING_STATUS=OR","EQY_CONSOLIDATED=Y","Sort=A","Dates=H","DateFormat=P","Fill=—","Direction=H","UseDPDF=Y")</f>
        <v>#NAME?</v>
      </c>
      <c r="CU212" s="2" t="e">
        <f ca="1">_xll.BDH($C$203,"QUICK_RATIO","FQ4 2015","FQ4 2015","Currency=INR","Period=FQ","BEST_FPERIOD_OVERRIDE=FQ","FILING_STATUS=OR","EQY_CONSOLIDATED=Y","Sort=A","Dates=H","DateFormat=P","Fill=—","Direction=H","UseDPDF=Y")</f>
        <v>#NAME?</v>
      </c>
      <c r="CV212" s="2" t="e">
        <f ca="1">_xll.BDH($C$203,"ALTMAN_Z_SCORE","FQ4 2015","FQ4 2015","Currency=INR","Period=FQ","BEST_FPERIOD_OVERRIDE=FQ","FILING_STATUS=OR","EQY_CONSOLIDATED=Y","Sort=A","Dates=H","DateFormat=P","Fill=—","Direction=H","UseDPDF=Y")</f>
        <v>#NAME?</v>
      </c>
      <c r="CW212" s="4" t="e">
        <f ca="1">_xll.BDH($C$203,"ACCT_RCV_TURN","FQ4 2015","FQ4 2015","Currency=INR","Period=FQ","BEST_FPERIOD_OVERRIDE=FQ","FILING_STATUS=OR","EQY_CONSOLIDATED=Y","FA_ADJUSTED=GAAP","Sort=A","Dates=H","DateFormat=P","Fill=—","Direction=H","UseDPDF=Y")</f>
        <v>#NAME?</v>
      </c>
      <c r="CX212" s="2" t="e">
        <f ca="1">_xll.BDH($C$203,"ACCT_RCV_DAYS","FQ4 2015","FQ4 2015","Currency=INR","Period=FQ","BEST_FPERIOD_OVERRIDE=FQ","FILING_STATUS=OR","EQY_CONSOLIDATED=Y","FA_ADJUSTED=GAAP","Sort=A","Dates=H","DateFormat=P","Fill=—","Direction=H","UseDPDF=Y")</f>
        <v>#NAME?</v>
      </c>
      <c r="CY212" s="4" t="e">
        <f ca="1">_xll.BDH($C$203,"INVENT_TURN","FQ4 2015","FQ4 2015","Currency=INR","Period=FQ","BEST_FPERIOD_OVERRIDE=FQ","FILING_STATUS=OR","EQY_CONSOLIDATED=Y","FA_ADJUSTED=GAAP","Sort=A","Dates=H","DateFormat=P","Fill=—","Direction=H","UseDPDF=Y")</f>
        <v>#NAME?</v>
      </c>
      <c r="CZ212" s="2" t="e">
        <f ca="1">_xll.BDH($C$203,"INVENT_DAYS","FQ4 2015","FQ4 2015","Currency=INR","Period=FQ","BEST_FPERIOD_OVERRIDE=FQ","FILING_STATUS=OR","EQY_CONSOLIDATED=Y","FA_ADJUSTED=GAAP","Sort=A","Dates=H","DateFormat=P","Fill=—","Direction=H","UseDPDF=Y")</f>
        <v>#NAME?</v>
      </c>
      <c r="DA212" s="4" t="e">
        <f ca="1">_xll.BDH($C$203,"ACCOUNTS_PAYABLE_TURNOVER","FQ4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212" s="2" t="e">
        <f ca="1">_xll.BDH($C$203,"ACCOUNTS_PAYABLE_TURNOVER_DAYS","FQ4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212" s="4" t="e">
        <f ca="1">_xll.BDH($C$203,"CASH_CONVERSION_CYCLE","FQ4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212" s="4" t="e">
        <f ca="1">_xll.BDH($C$203,"INV_TO_CASH_DAYS","FQ4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212" s="5" t="e">
        <f ca="1">_xll.BDH($C$203,"BS_INVENTORIES","FQ4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212" s="3" t="e">
        <f ca="1">_xll.BDH($C$203,"INVTRY_RAW_MATERIALS","FQ4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212" s="3" t="e">
        <f ca="1">_xll.BDH($C$203,"INVTRY_IN_PROGRESS","FQ4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212" s="3" t="e">
        <f ca="1">_xll.BDH($C$203,"INVTRY_FINISHED_GOODS","FQ4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212" s="3" t="e">
        <f ca="1">_xll.BDH($C$203,"BS_OTHER_INV","FQ4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213" spans="1:113" x14ac:dyDescent="0.3">
      <c r="A213" s="6"/>
      <c r="B213" s="6"/>
      <c r="C213" s="6"/>
      <c r="D213" s="6" t="s">
        <v>83</v>
      </c>
      <c r="E213" t="s">
        <v>77</v>
      </c>
      <c r="F213" t="e">
        <f ca="1">_xll.BDH($C$203,"RETURN_COM_EQY","FY 2016","FY 2016","Currency=INR","Period=FY","BEST_FPERIOD_OVERRIDE=FY","FILING_STATUS=OR","EQY_CONSOLIDATED=Y","FA_ADJUSTED=GAAP","Sort=A","Dates=H","DateFormat=P","Fill=—","Direction=H","UseDPDF=Y")</f>
        <v>#NAME?</v>
      </c>
      <c r="G213" t="e">
        <f ca="1">_xll.BDH($C$203,"RETURN_ON_ASSET","FY 2016","FY 2016","Currency=INR","Period=FY","BEST_FPERIOD_OVERRIDE=FY","FILING_STATUS=OR","EQY_CONSOLIDATED=Y","FA_ADJUSTED=GAAP","Sort=A","Dates=H","DateFormat=P","Fill=—","Direction=H","UseDPDF=Y")</f>
        <v>#NAME?</v>
      </c>
      <c r="H213" t="e">
        <f ca="1">_xll.BDH($C$203,"RETURN_ON_CAP","FY 2016","FY 2016","Currency=INR","Period=FY","BEST_FPERIOD_OVERRIDE=FY","FILING_STATUS=OR","EQY_CONSOLIDATED=Y","FA_ADJUSTED=GAAP","Sort=A","Dates=H","DateFormat=P","Fill=—","Direction=H","UseDPDF=Y")</f>
        <v>#NAME?</v>
      </c>
      <c r="I213" t="e">
        <f ca="1">_xll.BDH($C$203,"RETURN_ON_INV_CAPITAL","FY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213" t="e">
        <f ca="1">_xll.BDH($C$203,"EBITDA_TO_REVENUE","FY 2016","FY 2016","Currency=INR","Period=FY","BEST_FPERIOD_OVERRIDE=FY","FILING_STATUS=OR","EQY_CONSOLIDATED=Y","FA_ADJUSTED=GAAP","Sort=A","Dates=H","DateFormat=P","Fill=—","Direction=H","UseDPDF=Y")</f>
        <v>#NAME?</v>
      </c>
      <c r="K213" t="e">
        <f ca="1">_xll.BDH($C$203,"OPER_MARGIN","FY 2016","FY 2016","Currency=INR","Period=FY","BEST_FPERIOD_OVERRIDE=FY","FILING_STATUS=OR","EQY_CONSOLIDATED=Y","FA_ADJUSTED=GAAP","Sort=A","Dates=H","DateFormat=P","Fill=—","Direction=H","UseDPDF=Y")</f>
        <v>#NAME?</v>
      </c>
      <c r="L213" t="e">
        <f ca="1">_xll.BDH($C$203,"INCREMENTAL_OPERATING_MARGIN","FY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213" t="e">
        <f ca="1">_xll.BDH($C$203,"PRETAX_INC_TO_NET_SALES","FY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213" t="e">
        <f ca="1">_xll.BDH($C$203,"INC_BEF_XO_ITEMS_TO_NET_SALES","FY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213" t="e">
        <f ca="1">_xll.BDH($C$203,"PROF_MARGIN","FY 2016","FY 2016","Currency=INR","Period=FY","BEST_FPERIOD_OVERRIDE=FY","FILING_STATUS=OR","EQY_CONSOLIDATED=Y","FA_ADJUSTED=GAAP","Sort=A","Dates=H","DateFormat=P","Fill=—","Direction=H","UseDPDF=Y")</f>
        <v>#NAME?</v>
      </c>
      <c r="P213" t="e">
        <f ca="1">_xll.BDH($C$203,"NET_INCOME_TO_COMMON_MARGIN","FY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213" t="e">
        <f ca="1">_xll.BDH($C$203,"EFF_TAX_RATE","FY 2016","FY 2016","Currency=INR","Period=FY","BEST_FPERIOD_OVERRIDE=FY","FILING_STATUS=OR","EQY_CONSOLIDATED=Y","FA_ADJUSTED=GAAP","Sort=A","Dates=H","DateFormat=P","Fill=—","Direction=H","UseDPDF=Y")</f>
        <v>#NAME?</v>
      </c>
      <c r="R213" t="e">
        <f ca="1">_xll.BDH($C$203,"DVD_PAYOUT_RATIO","FY 2016","FY 2016","Currency=INR","Period=FY","BEST_FPERIOD_OVERRIDE=FY","FILING_STATUS=OR","EQY_CONSOLIDATED=Y","FA_ADJUSTED=GAAP","Sort=A","Dates=H","DateFormat=P","Fill=—","Direction=H","UseDPDF=Y")</f>
        <v>#NAME?</v>
      </c>
      <c r="S213" t="e">
        <f ca="1">_xll.BDH($C$203,"SUSTAIN_GROWTH_RT","FY 2016","FY 2016","Currency=INR","Period=FY","BEST_FPERIOD_OVERRIDE=FY","FILING_STATUS=OR","EQY_CONSOLIDATED=Y","FA_ADJUSTED=GAAP","Sort=A","Dates=H","DateFormat=P","Fill=—","Direction=H","UseDPDF=Y")</f>
        <v>#NAME?</v>
      </c>
      <c r="T213" s="2" t="e">
        <f ca="1">_xll.BDH($C$203,"SALES_GROWTH","FY 2016","FY 2016","Currency=INR","Period=FY","BEST_FPERIOD_OVERRIDE=FY","FILING_STATUS=OR","EQY_CONSOLIDATED=Y","FA_ADJUSTED=GAAP","Sort=A","Dates=H","DateFormat=P","Fill=—","Direction=H","UseDPDF=Y")</f>
        <v>#NAME?</v>
      </c>
      <c r="U213" s="2" t="e">
        <f ca="1">_xll.BDH($C$203,"EBITDA_GROWTH","FY 2016","FY 2016","Currency=INR","Period=FY","BEST_FPERIOD_OVERRIDE=FY","FILING_STATUS=OR","EQY_CONSOLIDATED=Y","FA_ADJUSTED=GAAP","Sort=A","Dates=H","DateFormat=P","Fill=—","Direction=H","UseDPDF=Y")</f>
        <v>#NAME?</v>
      </c>
      <c r="V213" s="2" t="e">
        <f ca="1">_xll.BDH($C$203,"OPER_INC_GROWTH","FY 2016","FY 2016","Currency=INR","Period=FY","BEST_FPERIOD_OVERRIDE=FY","FILING_STATUS=OR","EQY_CONSOLIDATED=Y","FA_ADJUSTED=GAAP","Sort=A","Dates=H","DateFormat=P","Fill=—","Direction=H","UseDPDF=Y")</f>
        <v>#NAME?</v>
      </c>
      <c r="W213" s="2" t="e">
        <f ca="1">_xll.BDH($C$203,"EARN_FOR_COM_GROWTH","FY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213" s="2" t="e">
        <f ca="1">_xll.BDH($C$203,"DILUTED_EPS_AFT_XO_ITEMS_GROWTH","FY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213" s="2" t="e">
        <f ca="1">_xll.BDH($C$203,"DIVIDEND_PER_SHARE_1_YEAR_GROWTH","FY 2016","FY 2016","Currency=INR","Period=FY","BEST_FPERIOD_OVERRIDE=FY","FILING_STATUS=OR","EQY_CONSOLIDATED=Y","Sort=A","Dates=H","DateFormat=P","Fill=—","Direction=H","UseDPDF=Y")</f>
        <v>#NAME?</v>
      </c>
      <c r="Z213" s="2" t="e">
        <f ca="1">_xll.BDH($C$203,"ACCOUNTS_RECEIVABLE_GROWTH","FY 2016","FY 2016","Currency=INR","Period=FY","BEST_FPERIOD_OVERRIDE=FY","FILING_STATUS=OR","EQY_CONSOLIDATED=Y","Sort=A","Dates=H","DateFormat=P","Fill=—","Direction=H","UseDPDF=Y")</f>
        <v>#NAME?</v>
      </c>
      <c r="AA213" s="2" t="e">
        <f ca="1">_xll.BDH($C$203,"INVENTORY_GROWTH","FY 2016","FY 2016","Currency=INR","Period=FY","BEST_FPERIOD_OVERRIDE=FY","FILING_STATUS=OR","EQY_CONSOLIDATED=Y","Sort=A","Dates=H","DateFormat=P","Fill=—","Direction=H","UseDPDF=Y")</f>
        <v>#NAME?</v>
      </c>
      <c r="AB213" s="2" t="e">
        <f ca="1">_xll.BDH($C$203,"NET_FIXED_ASSETS_1_YEAR_GROWTH","FY 2016","FY 2016","Currency=INR","Period=FY","BEST_FPERIOD_OVERRIDE=FY","FILING_STATUS=OR","EQY_CONSOLIDATED=Y","Sort=A","Dates=H","DateFormat=P","Fill=—","Direction=H","UseDPDF=Y")</f>
        <v>#NAME?</v>
      </c>
      <c r="AC213" s="2" t="e">
        <f ca="1">_xll.BDH($C$203,"ASSET_GROWTH","FY 2016","FY 2016","Currency=INR","Period=FY","BEST_FPERIOD_OVERRIDE=FY","FILING_STATUS=OR","EQY_CONSOLIDATED=Y","Sort=A","Dates=H","DateFormat=P","Fill=—","Direction=H","UseDPDF=Y")</f>
        <v>#NAME?</v>
      </c>
      <c r="AD213" s="2" t="e">
        <f ca="1">_xll.BDH($C$203,"MODIFIED_WORK_CAP_GROWTH","FY 2016","FY 2016","Currency=INR","Period=FY","BEST_FPERIOD_OVERRIDE=FY","FILING_STATUS=OR","EQY_CONSOLIDATED=Y","Sort=A","Dates=H","DateFormat=P","Fill=—","Direction=H","UseDPDF=Y")</f>
        <v>#NAME?</v>
      </c>
      <c r="AE213" s="2" t="e">
        <f ca="1">_xll.BDH($C$203,"WORK_CAP_GROWTH","FY 2016","FY 2016","Currency=INR","Period=FY","BEST_FPERIOD_OVERRIDE=FY","FILING_STATUS=OR","EQY_CONSOLIDATED=Y","Sort=A","Dates=H","DateFormat=P","Fill=—","Direction=H","UseDPDF=Y")</f>
        <v>#NAME?</v>
      </c>
      <c r="AF213" s="2" t="e">
        <f ca="1">_xll.BDH($C$203,"ACCOUNTS_PAYABLE_GROWTH_1YR","FY 2016","FY 2016","Currency=INR","Period=FY","BEST_FPERIOD_OVERRIDE=FY","FILING_STATUS=OR","EQY_CONSOLIDATED=Y","Sort=A","Dates=H","DateFormat=P","Fill=—","Direction=H","UseDPDF=Y")</f>
        <v>#NAME?</v>
      </c>
      <c r="AG213" s="2" t="e">
        <f ca="1">_xll.BDH($C$203,"SHORT_TERM_DEBT_1_YEAR_GROWTH","FY 2016","FY 2016","Currency=INR","Period=FY","BEST_FPERIOD_OVERRIDE=FY","FILING_STATUS=OR","EQY_CONSOLIDATED=Y","Sort=A","Dates=H","DateFormat=P","Fill=—","Direction=H","UseDPDF=Y")</f>
        <v>#NAME?</v>
      </c>
      <c r="AH213" s="2" t="e">
        <f ca="1">_xll.BDH($C$203,"TOTAL_DEBT_1_YEAR_GROWTH","FY 2016","FY 2016","Currency=INR","Period=FY","BEST_FPERIOD_OVERRIDE=FY","FILING_STATUS=OR","EQY_CONSOLIDATED=Y","Sort=A","Dates=H","DateFormat=P","Fill=—","Direction=H","UseDPDF=Y")</f>
        <v>#NAME?</v>
      </c>
      <c r="AI213" s="2" t="e">
        <f ca="1">_xll.BDH($C$203,"TOTAL_EQUITY_1_YEAR_GROWTH","FY 2016","FY 2016","Currency=INR","Period=FY","BEST_FPERIOD_OVERRIDE=FY","FILING_STATUS=OR","EQY_CONSOLIDATED=Y","Sort=A","Dates=H","DateFormat=P","Fill=—","Direction=H","UseDPDF=Y")</f>
        <v>#NAME?</v>
      </c>
      <c r="AJ213" s="2" t="e">
        <f ca="1">_xll.BDH($C$203,"GROWTH_IN_CAP","FY 2016","FY 2016","Currency=INR","Period=FY","BEST_FPERIOD_OVERRIDE=FY","FILING_STATUS=OR","EQY_CONSOLIDATED=Y","Sort=A","Dates=H","DateFormat=P","Fill=—","Direction=H","UseDPDF=Y")</f>
        <v>#NAME?</v>
      </c>
      <c r="AK213" s="2" t="e">
        <f ca="1">_xll.BDH($C$203,"BVPS_GROWTH","FY 2016","FY 2016","Currency=INR","Period=FY","BEST_FPERIOD_OVERRIDE=FY","FILING_STATUS=OR","EQY_CONSOLIDATED=Y","Sort=A","Dates=H","DateFormat=P","Fill=—","Direction=H","UseDPDF=Y")</f>
        <v>#NAME?</v>
      </c>
      <c r="AL213" s="2" t="e">
        <f ca="1">_xll.BDH($C$203,"CASH_FLOW_GROWTH","FY 2016","FY 2016","Currency=INR","Period=FY","BEST_FPERIOD_OVERRIDE=FY","FILING_STATUS=OR","EQY_CONSOLIDATED=Y","Sort=A","Dates=H","DateFormat=P","Fill=—","Direction=H","UseDPDF=Y")</f>
        <v>#NAME?</v>
      </c>
      <c r="AM213" s="2" t="e">
        <f ca="1">_xll.BDH($C$203,"GEO_GROW_NET_SALES","FY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213" s="2" t="e">
        <f ca="1">_xll.BDH($C$203,"GEO_GROW_EBITDA","FY 2016","FY 2016","Currency=INR","Period=FY","BEST_FPERIOD_OVERRIDE=FY","FILING_STATUS=OR","EQY_CONSOLIDATED=Y","FA_ADJUSTED=GAAP","Sort=A","Dates=H","DateFormat=P","Fill=—","Direction=H","UseDPDF=Y")</f>
        <v>#NAME?</v>
      </c>
      <c r="AO213" s="2" t="e">
        <f ca="1">_xll.BDH($C$203,"GEO_GROW_OPER_INC","FY 2016","FY 2016","Currency=INR","Period=FY","BEST_FPERIOD_OVERRIDE=FY","FILING_STATUS=OR","EQY_CONSOLIDATED=Y","FA_ADJUSTED=GAAP","Sort=A","Dates=H","DateFormat=P","Fill=—","Direction=H","UseDPDF=Y")</f>
        <v>#NAME?</v>
      </c>
      <c r="AP213" s="2" t="e">
        <f ca="1">_xll.BDH($C$203,"NET_INCOME_TO_COMMON_5_YR_GROWTH","FY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213" s="2" t="e">
        <f ca="1">_xll.BDH($C$203,"5Y_GEO_GROWTH_DILUTED_EPS","FY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213" s="2" t="e">
        <f ca="1">_xll.BDH($C$203,"GEO_GROW_DVD_PER_SH","FY 2016","FY 2016","Currency=INR","Period=FY","BEST_FPERIOD_OVERRIDE=FY","FILING_STATUS=OR","EQY_CONSOLIDATED=Y","Sort=A","Dates=H","DateFormat=P","Fill=—","Direction=H","UseDPDF=Y")</f>
        <v>#NAME?</v>
      </c>
      <c r="AS213" s="2" t="e">
        <f ca="1">_xll.BDH($C$203,"ACCOUNTS_RECEIVABLE_5_YR_GROWTH","FY 2016","FY 2016","Currency=INR","Period=FY","BEST_FPERIOD_OVERRIDE=FY","FILING_STATUS=OR","EQY_CONSOLIDATED=Y","Sort=A","Dates=H","DateFormat=P","Fill=—","Direction=H","UseDPDF=Y")</f>
        <v>#NAME?</v>
      </c>
      <c r="AT213" s="2" t="e">
        <f ca="1">_xll.BDH($C$203,"INVENTORY_5_YEAR_GROWTH","FY 2016","FY 2016","Currency=INR","Period=FY","BEST_FPERIOD_OVERRIDE=FY","FILING_STATUS=OR","EQY_CONSOLIDATED=Y","Sort=A","Dates=H","DateFormat=P","Fill=—","Direction=H","UseDPDF=Y")</f>
        <v>#NAME?</v>
      </c>
      <c r="AU213" s="2" t="e">
        <f ca="1">_xll.BDH($C$203,"NET_FIXED_ASSETS_5_YEAR_GROWTH","FY 2016","FY 2016","Currency=INR","Period=FY","BEST_FPERIOD_OVERRIDE=FY","FILING_STATUS=OR","EQY_CONSOLIDATED=Y","Sort=A","Dates=H","DateFormat=P","Fill=—","Direction=H","UseDPDF=Y")</f>
        <v>#NAME?</v>
      </c>
      <c r="AV213" s="2" t="e">
        <f ca="1">_xll.BDH($C$203,"GEO_GROW_TOT_ASSET","FY 2016","FY 2016","Currency=INR","Period=FY","BEST_FPERIOD_OVERRIDE=FY","FILING_STATUS=OR","EQY_CONSOLIDATED=Y","Sort=A","Dates=H","DateFormat=P","Fill=—","Direction=H","UseDPDF=Y")</f>
        <v>#NAME?</v>
      </c>
      <c r="AW213" s="2" t="e">
        <f ca="1">_xll.BDH($C$203,"MODIFIED_WORKING_CPTL_5YR_GRWTH","FY 2016","FY 2016","Currency=INR","Period=FY","BEST_FPERIOD_OVERRIDE=FY","FILING_STATUS=OR","EQY_CONSOLIDATED=Y","Sort=A","Dates=H","DateFormat=P","Fill=—","Direction=H","UseDPDF=Y")</f>
        <v>#NAME?</v>
      </c>
      <c r="AX213" s="2" t="e">
        <f ca="1">_xll.BDH($C$203,"WORKING_CAPITAL_5_YEAR_GROWTH","FY 2016","FY 2016","Currency=INR","Period=FY","BEST_FPERIOD_OVERRIDE=FY","FILING_STATUS=OR","EQY_CONSOLIDATED=Y","Sort=A","Dates=H","DateFormat=P","Fill=—","Direction=H","UseDPDF=Y")</f>
        <v>#NAME?</v>
      </c>
      <c r="AY213" s="2" t="e">
        <f ca="1">_xll.BDH($C$203,"ACCOUNTS_PAYABLE_5_YEAR_GROWTH","FY 2016","FY 2016","Currency=INR","Period=FY","BEST_FPERIOD_OVERRIDE=FY","FILING_STATUS=OR","EQY_CONSOLIDATED=Y","Sort=A","Dates=H","DateFormat=P","Fill=—","Direction=H","UseDPDF=Y")</f>
        <v>#NAME?</v>
      </c>
      <c r="AZ213" s="2" t="e">
        <f ca="1">_xll.BDH($C$203,"SHORT_TERM_DEBT_5_YEAR_GROWTH","FY 2016","FY 2016","Currency=INR","Period=FY","BEST_FPERIOD_OVERRIDE=FY","FILING_STATUS=OR","EQY_CONSOLIDATED=Y","Sort=A","Dates=H","DateFormat=P","Fill=—","Direction=H","UseDPDF=Y")</f>
        <v>#NAME?</v>
      </c>
      <c r="BA213" s="2" t="e">
        <f ca="1">_xll.BDH($C$203,"TOTAL_DEBT_5_YEAR_GROWTH","FY 2016","FY 2016","Currency=INR","Period=FY","BEST_FPERIOD_OVERRIDE=FY","FILING_STATUS=OR","EQY_CONSOLIDATED=Y","Sort=A","Dates=H","DateFormat=P","Fill=—","Direction=H","UseDPDF=Y")</f>
        <v>#NAME?</v>
      </c>
      <c r="BB213" s="2" t="e">
        <f ca="1">_xll.BDH($C$203,"GEO_GROW_TOT_SHRHLDR_EQY","FY 2016","FY 2016","Currency=INR","Period=FY","BEST_FPERIOD_OVERRIDE=FY","FILING_STATUS=OR","EQY_CONSOLIDATED=Y","Sort=A","Dates=H","DateFormat=P","Fill=—","Direction=H","UseDPDF=Y")</f>
        <v>#NAME?</v>
      </c>
      <c r="BC213" s="2" t="e">
        <f ca="1">_xll.BDH($C$203,"TOTAL_CAPITAL_5_YEAR_GROWTH","FY 2016","FY 2016","Currency=INR","Period=FY","BEST_FPERIOD_OVERRIDE=FY","FILING_STATUS=OR","EQY_CONSOLIDATED=Y","Sort=A","Dates=H","DateFormat=P","Fill=—","Direction=H","UseDPDF=Y")</f>
        <v>#NAME?</v>
      </c>
      <c r="BD213" s="2" t="e">
        <f ca="1">_xll.BDH($C$203,"GEO_GROW_BOOK_VAL","FY 2016","FY 2016","Currency=INR","Period=FY","BEST_FPERIOD_OVERRIDE=FY","FILING_STATUS=OR","EQY_CONSOLIDATED=Y","Sort=A","Dates=H","DateFormat=P","Fill=—","Direction=H","UseDPDF=Y")</f>
        <v>#NAME?</v>
      </c>
      <c r="BE213" s="2" t="e">
        <f ca="1">_xll.BDH($C$203,"GEO_GROW_CASH_OPER_ACT","FY 2016","FY 2016","Currency=INR","Period=FY","BEST_FPERIOD_OVERRIDE=FY","FILING_STATUS=OR","EQY_CONSOLIDATED=Y","Sort=A","Dates=H","DateFormat=P","Fill=—","Direction=H","UseDPDF=Y")</f>
        <v>#NAME?</v>
      </c>
      <c r="BF213" s="2" t="e">
        <f ca="1">_xll.BDH($C$203,"REVENUE_SEQUENTIAL_GROWTH","FY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213" s="2" t="e">
        <f ca="1">_xll.BDH($C$203,"EBITDA_SEQUENTIAL_GROWTH","FY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213" s="2" t="e">
        <f ca="1">_xll.BDH($C$203,"OPERATING_INCOME_SEQ_GROWTH","FY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213" s="2" t="e">
        <f ca="1">_xll.BDH($C$203,"NET_INCOME_TO_COMMON_SEQ_GROWTH","FY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213" s="2" t="e">
        <f ca="1">_xll.BDH($C$203,"EPS_DILUTED_SEQUENTIAL_GROWTH","FY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213" s="2" t="e">
        <f ca="1">_xll.BDH($C$203,"DPS_SEQUENTIAL_GROWTH","FY 2016","FY 2016","Currency=INR","Period=FY","BEST_FPERIOD_OVERRIDE=FY","FILING_STATUS=OR","EQY_CONSOLIDATED=Y","Sort=A","Dates=H","DateFormat=P","Fill=—","Direction=H","UseDPDF=Y")</f>
        <v>#NAME?</v>
      </c>
      <c r="BL213" s="2" t="e">
        <f ca="1">_xll.BDH($C$203,"ACCOUNTS_RECEIVABLE_SEQ_GROWTH","FY 2016","FY 2016","Currency=INR","Period=FY","BEST_FPERIOD_OVERRIDE=FY","FILING_STATUS=OR","EQY_CONSOLIDATED=Y","Sort=A","Dates=H","DateFormat=P","Fill=—","Direction=H","UseDPDF=Y")</f>
        <v>#NAME?</v>
      </c>
      <c r="BM213" s="2" t="e">
        <f ca="1">_xll.BDH($C$203,"INVENTORY_SEQUENTIAL_GROWTH","FY 2016","FY 2016","Currency=INR","Period=FY","BEST_FPERIOD_OVERRIDE=FY","FILING_STATUS=OR","EQY_CONSOLIDATED=Y","Sort=A","Dates=H","DateFormat=P","Fill=—","Direction=H","UseDPDF=Y")</f>
        <v>#NAME?</v>
      </c>
      <c r="BN213" s="2" t="e">
        <f ca="1">_xll.BDH($C$203,"FIXED_ASSETS_SEQUENTIAL_GROWTH","FY 2016","FY 2016","Currency=INR","Period=FY","BEST_FPERIOD_OVERRIDE=FY","FILING_STATUS=OR","EQY_CONSOLIDATED=Y","Sort=A","Dates=H","DateFormat=P","Fill=—","Direction=H","UseDPDF=Y")</f>
        <v>#NAME?</v>
      </c>
      <c r="BO213" s="2" t="e">
        <f ca="1">_xll.BDH($C$203,"TOTAL_ASSETS_SEQUENTIAL_GROWTH","FY 2016","FY 2016","Currency=INR","Period=FY","BEST_FPERIOD_OVERRIDE=FY","FILING_STATUS=OR","EQY_CONSOLIDATED=Y","Sort=A","Dates=H","DateFormat=P","Fill=—","Direction=H","UseDPDF=Y")</f>
        <v>#NAME?</v>
      </c>
      <c r="BP213" s="2" t="e">
        <f ca="1">_xll.BDH($C$203,"MODIFIED_WORKING_CPTL_SEQ_GRWTH","FY 2016","FY 2016","Currency=INR","Period=FY","BEST_FPERIOD_OVERRIDE=FY","FILING_STATUS=OR","EQY_CONSOLIDATED=Y","Sort=A","Dates=H","DateFormat=P","Fill=—","Direction=H","UseDPDF=Y")</f>
        <v>#NAME?</v>
      </c>
      <c r="BQ213" s="2" t="e">
        <f ca="1">_xll.BDH($C$203,"WORKING_CAPITAL_SEQ_GROWTH","FY 2016","FY 2016","Currency=INR","Period=FY","BEST_FPERIOD_OVERRIDE=FY","FILING_STATUS=OR","EQY_CONSOLIDATED=Y","Sort=A","Dates=H","DateFormat=P","Fill=—","Direction=H","UseDPDF=Y")</f>
        <v>#NAME?</v>
      </c>
      <c r="BR213" s="2" t="e">
        <f ca="1">_xll.BDH($C$203,"ACCOUNTS_PAYABLE_SEQ_GROWTH","FY 2016","FY 2016","Currency=INR","Period=FY","BEST_FPERIOD_OVERRIDE=FY","FILING_STATUS=OR","EQY_CONSOLIDATED=Y","Sort=A","Dates=H","DateFormat=P","Fill=—","Direction=H","UseDPDF=Y")</f>
        <v>#NAME?</v>
      </c>
      <c r="BS213" s="2" t="e">
        <f ca="1">_xll.BDH($C$203,"ST_DEBT_SEQUENTIAL_GROWTH","FY 2016","FY 2016","Currency=INR","Period=FY","BEST_FPERIOD_OVERRIDE=FY","FILING_STATUS=OR","EQY_CONSOLIDATED=Y","Sort=A","Dates=H","DateFormat=P","Fill=—","Direction=H","UseDPDF=Y")</f>
        <v>#NAME?</v>
      </c>
      <c r="BT213" s="2" t="e">
        <f ca="1">_xll.BDH($C$203,"TOTAL_DEBT_SEQUENTIAL_GROWTH","FY 2016","FY 2016","Currency=INR","Period=FY","BEST_FPERIOD_OVERRIDE=FY","FILING_STATUS=OR","EQY_CONSOLIDATED=Y","Sort=A","Dates=H","DateFormat=P","Fill=—","Direction=H","UseDPDF=Y")</f>
        <v>#NAME?</v>
      </c>
      <c r="BU213" s="2" t="e">
        <f ca="1">_xll.BDH($C$203,"TOTAL_EQUITY_SEQUENTIAL_GROWTH","FY 2016","FY 2016","Currency=INR","Period=FY","BEST_FPERIOD_OVERRIDE=FY","FILING_STATUS=OR","EQY_CONSOLIDATED=Y","Sort=A","Dates=H","DateFormat=P","Fill=—","Direction=H","UseDPDF=Y")</f>
        <v>#NAME?</v>
      </c>
      <c r="BV213" s="2" t="e">
        <f ca="1">_xll.BDH($C$203,"TOTAL_CAPITAL_SEQUENTIAL_GROWTH","FY 2016","FY 2016","Currency=INR","Period=FY","BEST_FPERIOD_OVERRIDE=FY","FILING_STATUS=OR","EQY_CONSOLIDATED=Y","Sort=A","Dates=H","DateFormat=P","Fill=—","Direction=H","UseDPDF=Y")</f>
        <v>#NAME?</v>
      </c>
      <c r="BW213" s="2" t="e">
        <f ca="1">_xll.BDH($C$203,"BPS_SEQUENTIAL_GROWTH","FY 2016","FY 2016","Currency=INR","Period=FY","BEST_FPERIOD_OVERRIDE=FY","FILING_STATUS=OR","EQY_CONSOLIDATED=Y","Sort=A","Dates=H","DateFormat=P","Fill=—","Direction=H","UseDPDF=Y")</f>
        <v>#NAME?</v>
      </c>
      <c r="BX213" s="2" t="e">
        <f ca="1">_xll.BDH($C$203,"CFO_SEQUENTIAL_GROWTH","FY 2016","FY 2016","Currency=INR","Period=FY","BEST_FPERIOD_OVERRIDE=FY","FILING_STATUS=OR","EQY_CONSOLIDATED=Y","Sort=A","Dates=H","DateFormat=P","Fill=—","Direction=H","UseDPDF=Y")</f>
        <v>#NAME?</v>
      </c>
      <c r="BY213" s="3" t="e">
        <f ca="1">_xll.BDH($C$203,"SHORT_AND_LONG_TERM_DEBT","FY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213" s="3" t="e">
        <f ca="1">_xll.BDH($C$203,"BS_ST_BORROW","FY 2016","FY 2016","Currency=INR","Period=FY","BEST_FPERIOD_OVERRIDE=FY","FILING_STATUS=OR","EQY_CONSOLIDATED=Y","SCALING_FORMAT=MLN","Sort=A","Dates=H","DateFormat=P","Fill=—","Direction=H","UseDPDF=Y")</f>
        <v>#NAME?</v>
      </c>
      <c r="CA213" s="3" t="e">
        <f ca="1">_xll.BDH($C$203,"BS_LT_BORROW","FY 2016","FY 2016","Currency=INR","Period=FY","BEST_FPERIOD_OVERRIDE=FY","FILING_STATUS=OR","EQY_CONSOLIDATED=Y","SCALING_FORMAT=MLN","Sort=A","Dates=H","DateFormat=P","Fill=—","Direction=H","UseDPDF=Y")</f>
        <v>#NAME?</v>
      </c>
      <c r="CB213" s="2" t="e">
        <f ca="1">_xll.BDH($C$203,"TOT_DEBT_TO_EBITDA","FY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213" s="2" t="e">
        <f ca="1">_xll.BDH($C$203,"NET_DEBT_TO_EBITDA","FY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213" s="2" t="e">
        <f ca="1">_xll.BDH($C$203,"TOTAL_DEBT_TO_EBIT","FY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213" s="2" t="e">
        <f ca="1">_xll.BDH($C$203,"NET_DEBT_TO_EBIT","FY 2016","FY 2016","Currency=INR","Period=FY","BEST_FPERIOD_OVERRIDE=FY","FILING_STATUS=OR","EQY_CONSOLIDATED=Y","FA_ADJUSTED=GAAP","Sort=A","Dates=H","DateFormat=P","Fill=—","Direction=H","UseDPDF=Y")</f>
        <v>#NAME?</v>
      </c>
      <c r="CF213" s="2" t="e">
        <f ca="1">_xll.BDH($C$203,"EBITDA_TO_INTEREST_EXPN","FY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213" s="2" t="e">
        <f ca="1">_xll.BDH($C$203,"COM_EQY_TO_TOT_ASSET","FY 2016","FY 2016","Currency=INR","Period=FY","BEST_FPERIOD_OVERRIDE=FY","FILING_STATUS=OR","EQY_CONSOLIDATED=Y","Sort=A","Dates=H","DateFormat=P","Fill=—","Direction=H","UseDPDF=Y")</f>
        <v>#NAME?</v>
      </c>
      <c r="CH213" s="2" t="e">
        <f ca="1">_xll.BDH($C$203,"LT_DEBT_TO_TOT_EQY","FY 2016","FY 2016","Currency=INR","Period=FY","BEST_FPERIOD_OVERRIDE=FY","FILING_STATUS=OR","EQY_CONSOLIDATED=Y","Sort=A","Dates=H","DateFormat=P","Fill=—","Direction=H","UseDPDF=Y")</f>
        <v>#NAME?</v>
      </c>
      <c r="CI213" s="2" t="e">
        <f ca="1">_xll.BDH($C$203,"LT_DEBT_TO_TOT_CAP","FY 2016","FY 2016","Currency=INR","Period=FY","BEST_FPERIOD_OVERRIDE=FY","FILING_STATUS=OR","EQY_CONSOLIDATED=Y","Sort=A","Dates=H","DateFormat=P","Fill=—","Direction=H","UseDPDF=Y")</f>
        <v>#NAME?</v>
      </c>
      <c r="CJ213" s="2" t="e">
        <f ca="1">_xll.BDH($C$203,"LT_DEBT_TO_TOT_ASSET","FY 2016","FY 2016","Currency=INR","Period=FY","BEST_FPERIOD_OVERRIDE=FY","FILING_STATUS=OR","EQY_CONSOLIDATED=Y","Sort=A","Dates=H","DateFormat=P","Fill=—","Direction=H","UseDPDF=Y")</f>
        <v>#NAME?</v>
      </c>
      <c r="CK213" s="2" t="e">
        <f ca="1">_xll.BDH($C$203,"TOT_DEBT_TO_TOT_EQY","FY 2016","FY 2016","Currency=INR","Period=FY","BEST_FPERIOD_OVERRIDE=FY","FILING_STATUS=OR","EQY_CONSOLIDATED=Y","Sort=A","Dates=H","DateFormat=P","Fill=—","Direction=H","UseDPDF=Y")</f>
        <v>#NAME?</v>
      </c>
      <c r="CL213" s="2" t="e">
        <f ca="1">_xll.BDH($C$203,"TOT_DEBT_TO_TOT_CAP","FY 2016","FY 2016","Currency=INR","Period=FY","BEST_FPERIOD_OVERRIDE=FY","FILING_STATUS=OR","EQY_CONSOLIDATED=Y","Sort=A","Dates=H","DateFormat=P","Fill=—","Direction=H","UseDPDF=Y")</f>
        <v>#NAME?</v>
      </c>
      <c r="CM213" s="2" t="e">
        <f ca="1">_xll.BDH($C$203,"TOT_DEBT_TO_TOT_ASSET","FY 2016","FY 2016","Currency=INR","Period=FY","BEST_FPERIOD_OVERRIDE=FY","FILING_STATUS=OR","EQY_CONSOLIDATED=Y","Sort=A","Dates=H","DateFormat=P","Fill=—","Direction=H","UseDPDF=Y")</f>
        <v>#NAME?</v>
      </c>
      <c r="CN213" s="2" t="e">
        <f ca="1">_xll.BDH($C$203,"NET_DEBT_TO_SHRHLDR_EQTY","FY 2016","FY 2016","Currency=INR","Period=FY","BEST_FPERIOD_OVERRIDE=FY","FILING_STATUS=OR","EQY_CONSOLIDATED=Y","Sort=A","Dates=H","DateFormat=P","Fill=—","Direction=H","UseDPDF=Y")</f>
        <v>#NAME?</v>
      </c>
      <c r="CO213" s="2" t="e">
        <f ca="1">_xll.BDH($C$203,"NET_DEBT_%_CAPITAL","FY 2016","FY 2016","Currency=INR","Period=FY","BEST_FPERIOD_OVERRIDE=FY","FILING_STATUS=OR","EQY_CONSOLIDATED=Y","Sort=A","Dates=H","DateFormat=P","Fill=—","Direction=H","UseDPDF=Y")</f>
        <v>#NAME?</v>
      </c>
      <c r="CP213" s="3" t="e">
        <f ca="1">_xll.BDH($C$203,"EBITDA","FY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213" s="3" t="e">
        <f ca="1">_xll.BDH($C$203,"EBITDA_AFTER_CAPEX","FY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213" s="3" t="e">
        <f ca="1">_xll.BDH($C$203,"IS_OPER_INC","FY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213" s="2" t="e">
        <f ca="1">_xll.BDH($C$203,"CASH_RATIO","FY 2016","FY 2016","Currency=INR","Period=FY","BEST_FPERIOD_OVERRIDE=FY","FILING_STATUS=OR","EQY_CONSOLIDATED=Y","Sort=A","Dates=H","DateFormat=P","Fill=—","Direction=H","UseDPDF=Y")</f>
        <v>#NAME?</v>
      </c>
      <c r="CT213" s="2" t="e">
        <f ca="1">_xll.BDH($C$203,"CUR_RATIO","FY 2016","FY 2016","Currency=INR","Period=FY","BEST_FPERIOD_OVERRIDE=FY","FILING_STATUS=OR","EQY_CONSOLIDATED=Y","Sort=A","Dates=H","DateFormat=P","Fill=—","Direction=H","UseDPDF=Y")</f>
        <v>#NAME?</v>
      </c>
      <c r="CU213" s="2" t="e">
        <f ca="1">_xll.BDH($C$203,"QUICK_RATIO","FY 2016","FY 2016","Currency=INR","Period=FY","BEST_FPERIOD_OVERRIDE=FY","FILING_STATUS=OR","EQY_CONSOLIDATED=Y","Sort=A","Dates=H","DateFormat=P","Fill=—","Direction=H","UseDPDF=Y")</f>
        <v>#NAME?</v>
      </c>
      <c r="CV213" s="2" t="e">
        <f ca="1">_xll.BDH($C$203,"ALTMAN_Z_SCORE","FY 2016","FY 2016","Currency=INR","Period=FY","BEST_FPERIOD_OVERRIDE=FY","FILING_STATUS=OR","EQY_CONSOLIDATED=Y","Sort=A","Dates=H","DateFormat=P","Fill=—","Direction=H","UseDPDF=Y")</f>
        <v>#NAME?</v>
      </c>
      <c r="CW213" s="4" t="e">
        <f ca="1">_xll.BDH($C$203,"ACCT_RCV_TURN","FY 2016","FY 2016","Currency=INR","Period=FY","BEST_FPERIOD_OVERRIDE=FY","FILING_STATUS=OR","EQY_CONSOLIDATED=Y","FA_ADJUSTED=GAAP","Sort=A","Dates=H","DateFormat=P","Fill=—","Direction=H","UseDPDF=Y")</f>
        <v>#NAME?</v>
      </c>
      <c r="CX213" s="2" t="e">
        <f ca="1">_xll.BDH($C$203,"ACCT_RCV_DAYS","FY 2016","FY 2016","Currency=INR","Period=FY","BEST_FPERIOD_OVERRIDE=FY","FILING_STATUS=OR","EQY_CONSOLIDATED=Y","FA_ADJUSTED=GAAP","Sort=A","Dates=H","DateFormat=P","Fill=—","Direction=H","UseDPDF=Y")</f>
        <v>#NAME?</v>
      </c>
      <c r="CY213" s="4" t="e">
        <f ca="1">_xll.BDH($C$203,"INVENT_TURN","FY 2016","FY 2016","Currency=INR","Period=FY","BEST_FPERIOD_OVERRIDE=FY","FILING_STATUS=OR","EQY_CONSOLIDATED=Y","FA_ADJUSTED=GAAP","Sort=A","Dates=H","DateFormat=P","Fill=—","Direction=H","UseDPDF=Y")</f>
        <v>#NAME?</v>
      </c>
      <c r="CZ213" s="2" t="e">
        <f ca="1">_xll.BDH($C$203,"INVENT_DAYS","FY 2016","FY 2016","Currency=INR","Period=FY","BEST_FPERIOD_OVERRIDE=FY","FILING_STATUS=OR","EQY_CONSOLIDATED=Y","FA_ADJUSTED=GAAP","Sort=A","Dates=H","DateFormat=P","Fill=—","Direction=H","UseDPDF=Y")</f>
        <v>#NAME?</v>
      </c>
      <c r="DA213" s="4" t="e">
        <f ca="1">_xll.BDH($C$203,"ACCOUNTS_PAYABLE_TURNOVER","FY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213" s="2" t="e">
        <f ca="1">_xll.BDH($C$203,"ACCOUNTS_PAYABLE_TURNOVER_DAYS","FY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213" s="4" t="e">
        <f ca="1">_xll.BDH($C$203,"CASH_CONVERSION_CYCLE","FY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213" s="4" t="e">
        <f ca="1">_xll.BDH($C$203,"INV_TO_CASH_DAYS","FY 2016","FY 2016","Currency=INR","Period=FY","BEST_FPERIOD_OVERRIDE=FY","FILING_STATUS=OR","EQY_CONSOLIDATED=Y","FA_ADJUSTED=GAAP","Sort=A","Dates=H","DateFormat=P","Fill=—","Direction=H","UseDPDF=Y")</f>
        <v>#NAME?</v>
      </c>
      <c r="DE213" s="5" t="e">
        <f ca="1">_xll.BDH($C$203,"BS_INVENTORIES","FY 2016","FY 2016","Currency=INR","Period=FY","BEST_FPERIOD_OVERRIDE=FY","FILING_STATUS=OR","EQY_CONSOLIDATED=Y","SCALING_FORMAT=MLN","Sort=A","Dates=H","DateFormat=P","Fill=—","Direction=H","UseDPDF=Y")</f>
        <v>#NAME?</v>
      </c>
      <c r="DF213" s="3" t="e">
        <f ca="1">_xll.BDH($C$203,"INVTRY_RAW_MATERIALS","FY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213" s="3" t="e">
        <f ca="1">_xll.BDH($C$203,"INVTRY_IN_PROGRESS","FY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213" s="3" t="e">
        <f ca="1">_xll.BDH($C$203,"INVTRY_FINISHED_GOODS","FY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213" s="3" t="e">
        <f ca="1">_xll.BDH($C$203,"BS_OTHER_INV","FY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214" spans="1:113" x14ac:dyDescent="0.3">
      <c r="A214" s="6"/>
      <c r="B214" s="6"/>
      <c r="C214" s="6"/>
      <c r="D214" s="6"/>
      <c r="E214" t="s">
        <v>78</v>
      </c>
      <c r="F214" t="e">
        <f ca="1">_xll.BDH($C$203,"RETURN_COM_EQY","FQ1 2016","FQ1 2016","Currency=INR","Period=FQ","BEST_FPERIOD_OVERRIDE=FQ","FILING_STATUS=OR","EQY_CONSOLIDATED=Y","FA_ADJUSTED=GAAP","Sort=A","Dates=H","DateFormat=P","Fill=—","Direction=H","UseDPDF=Y")</f>
        <v>#NAME?</v>
      </c>
      <c r="G214" t="e">
        <f ca="1">_xll.BDH($C$203,"RETURN_ON_ASSET","FQ1 2016","FQ1 2016","Currency=INR","Period=FQ","BEST_FPERIOD_OVERRIDE=FQ","FILING_STATUS=OR","EQY_CONSOLIDATED=Y","FA_ADJUSTED=GAAP","Sort=A","Dates=H","DateFormat=P","Fill=—","Direction=H","UseDPDF=Y")</f>
        <v>#NAME?</v>
      </c>
      <c r="H214" t="e">
        <f ca="1">_xll.BDH($C$203,"RETURN_ON_CAP","FQ1 2016","FQ1 2016","Currency=INR","Period=FQ","BEST_FPERIOD_OVERRIDE=FQ","FILING_STATUS=OR","EQY_CONSOLIDATED=Y","FA_ADJUSTED=GAAP","Sort=A","Dates=H","DateFormat=P","Fill=—","Direction=H","UseDPDF=Y")</f>
        <v>#NAME?</v>
      </c>
      <c r="I214" t="e">
        <f ca="1">_xll.BDH($C$203,"RETURN_ON_INV_CAPITAL","FQ1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214" t="e">
        <f ca="1">_xll.BDH($C$203,"EBITDA_TO_REVENUE","FQ1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214" t="e">
        <f ca="1">_xll.BDH($C$203,"OPER_MARGIN","FQ1 2016","FQ1 2016","Currency=INR","Period=FQ","BEST_FPERIOD_OVERRIDE=FQ","FILING_STATUS=OR","EQY_CONSOLIDATED=Y","FA_ADJUSTED=GAAP","Sort=A","Dates=H","DateFormat=P","Fill=—","Direction=H","UseDPDF=Y")</f>
        <v>#NAME?</v>
      </c>
      <c r="L214" t="e">
        <f ca="1">_xll.BDH($C$203,"INCREMENTAL_OPERATING_MARGIN","FQ1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214" t="e">
        <f ca="1">_xll.BDH($C$203,"PRETAX_INC_TO_NET_SALES","FQ1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214" t="e">
        <f ca="1">_xll.BDH($C$203,"INC_BEF_XO_ITEMS_TO_NET_SALES","FQ1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214" t="e">
        <f ca="1">_xll.BDH($C$203,"PROF_MARGIN","FQ1 2016","FQ1 2016","Currency=INR","Period=FQ","BEST_FPERIOD_OVERRIDE=FQ","FILING_STATUS=OR","EQY_CONSOLIDATED=Y","FA_ADJUSTED=GAAP","Sort=A","Dates=H","DateFormat=P","Fill=—","Direction=H","UseDPDF=Y")</f>
        <v>#NAME?</v>
      </c>
      <c r="P214" t="e">
        <f ca="1">_xll.BDH($C$203,"NET_INCOME_TO_COMMON_MARGIN","FQ1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214" t="e">
        <f ca="1">_xll.BDH($C$203,"EFF_TAX_RATE","FQ1 2016","FQ1 2016","Currency=INR","Period=FQ","BEST_FPERIOD_OVERRIDE=FQ","FILING_STATUS=OR","EQY_CONSOLIDATED=Y","FA_ADJUSTED=GAAP","Sort=A","Dates=H","DateFormat=P","Fill=—","Direction=H","UseDPDF=Y")</f>
        <v>#NAME?</v>
      </c>
      <c r="R214" t="e">
        <f ca="1">_xll.BDH($C$203,"DVD_PAYOUT_RATIO","FQ1 2016","FQ1 2016","Currency=INR","Period=FQ","BEST_FPERIOD_OVERRIDE=FQ","FILING_STATUS=OR","EQY_CONSOLIDATED=Y","FA_ADJUSTED=GAAP","Sort=A","Dates=H","DateFormat=P","Fill=—","Direction=H","UseDPDF=Y")</f>
        <v>#NAME?</v>
      </c>
      <c r="S214" t="e">
        <f ca="1">_xll.BDH($C$203,"SUSTAIN_GROWTH_RT","FQ1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214" s="2" t="e">
        <f ca="1">_xll.BDH($C$203,"SALES_GROWTH","FQ1 2016","FQ1 2016","Currency=INR","Period=FQ","BEST_FPERIOD_OVERRIDE=FQ","FILING_STATUS=OR","EQY_CONSOLIDATED=Y","FA_ADJUSTED=GAAP","Sort=A","Dates=H","DateFormat=P","Fill=—","Direction=H","UseDPDF=Y")</f>
        <v>#NAME?</v>
      </c>
      <c r="U214" s="2" t="e">
        <f ca="1">_xll.BDH($C$203,"EBITDA_GROWTH","FQ1 2016","FQ1 2016","Currency=INR","Period=FQ","BEST_FPERIOD_OVERRIDE=FQ","FILING_STATUS=OR","EQY_CONSOLIDATED=Y","FA_ADJUSTED=GAAP","Sort=A","Dates=H","DateFormat=P","Fill=—","Direction=H","UseDPDF=Y")</f>
        <v>#NAME?</v>
      </c>
      <c r="V214" s="2" t="e">
        <f ca="1">_xll.BDH($C$203,"OPER_INC_GROWTH","FQ1 2016","FQ1 2016","Currency=INR","Period=FQ","BEST_FPERIOD_OVERRIDE=FQ","FILING_STATUS=OR","EQY_CONSOLIDATED=Y","FA_ADJUSTED=GAAP","Sort=A","Dates=H","DateFormat=P","Fill=—","Direction=H","UseDPDF=Y")</f>
        <v>#NAME?</v>
      </c>
      <c r="W214" s="2" t="e">
        <f ca="1">_xll.BDH($C$203,"EARN_FOR_COM_GROWTH","FQ1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214" s="2" t="e">
        <f ca="1">_xll.BDH($C$203,"DILUTED_EPS_AFT_XO_ITEMS_GROWTH","FQ1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214" s="2" t="e">
        <f ca="1">_xll.BDH($C$203,"DIVIDEND_PER_SHARE_1_YEAR_GROWTH","FQ1 2016","FQ1 2016","Currency=INR","Period=FQ","BEST_FPERIOD_OVERRIDE=FQ","FILING_STATUS=OR","EQY_CONSOLIDATED=Y","Sort=A","Dates=H","DateFormat=P","Fill=—","Direction=H","UseDPDF=Y")</f>
        <v>#NAME?</v>
      </c>
      <c r="Z214" s="2" t="e">
        <f ca="1">_xll.BDH($C$203,"ACCOUNTS_RECEIVABLE_GROWTH","FQ1 2016","FQ1 2016","Currency=INR","Period=FQ","BEST_FPERIOD_OVERRIDE=FQ","FILING_STATUS=OR","EQY_CONSOLIDATED=Y","Sort=A","Dates=H","DateFormat=P","Fill=—","Direction=H","UseDPDF=Y")</f>
        <v>#NAME?</v>
      </c>
      <c r="AA214" s="2" t="e">
        <f ca="1">_xll.BDH($C$203,"INVENTORY_GROWTH","FQ1 2016","FQ1 2016","Currency=INR","Period=FQ","BEST_FPERIOD_OVERRIDE=FQ","FILING_STATUS=OR","EQY_CONSOLIDATED=Y","Sort=A","Dates=H","DateFormat=P","Fill=—","Direction=H","UseDPDF=Y")</f>
        <v>#NAME?</v>
      </c>
      <c r="AB214" s="2" t="e">
        <f ca="1">_xll.BDH($C$203,"NET_FIXED_ASSETS_1_YEAR_GROWTH","FQ1 2016","FQ1 2016","Currency=INR","Period=FQ","BEST_FPERIOD_OVERRIDE=FQ","FILING_STATUS=OR","EQY_CONSOLIDATED=Y","Sort=A","Dates=H","DateFormat=P","Fill=—","Direction=H","UseDPDF=Y")</f>
        <v>#NAME?</v>
      </c>
      <c r="AC214" s="2" t="e">
        <f ca="1">_xll.BDH($C$203,"ASSET_GROWTH","FQ1 2016","FQ1 2016","Currency=INR","Period=FQ","BEST_FPERIOD_OVERRIDE=FQ","FILING_STATUS=OR","EQY_CONSOLIDATED=Y","Sort=A","Dates=H","DateFormat=P","Fill=—","Direction=H","UseDPDF=Y")</f>
        <v>#NAME?</v>
      </c>
      <c r="AD214" s="2" t="e">
        <f ca="1">_xll.BDH($C$203,"MODIFIED_WORK_CAP_GROWTH","FQ1 2016","FQ1 2016","Currency=INR","Period=FQ","BEST_FPERIOD_OVERRIDE=FQ","FILING_STATUS=OR","EQY_CONSOLIDATED=Y","Sort=A","Dates=H","DateFormat=P","Fill=—","Direction=H","UseDPDF=Y")</f>
        <v>#NAME?</v>
      </c>
      <c r="AE214" s="2" t="e">
        <f ca="1">_xll.BDH($C$203,"WORK_CAP_GROWTH","FQ1 2016","FQ1 2016","Currency=INR","Period=FQ","BEST_FPERIOD_OVERRIDE=FQ","FILING_STATUS=OR","EQY_CONSOLIDATED=Y","Sort=A","Dates=H","DateFormat=P","Fill=—","Direction=H","UseDPDF=Y")</f>
        <v>#NAME?</v>
      </c>
      <c r="AF214" s="2" t="e">
        <f ca="1">_xll.BDH($C$203,"ACCOUNTS_PAYABLE_GROWTH_1YR","FQ1 2016","FQ1 2016","Currency=INR","Period=FQ","BEST_FPERIOD_OVERRIDE=FQ","FILING_STATUS=OR","EQY_CONSOLIDATED=Y","Sort=A","Dates=H","DateFormat=P","Fill=—","Direction=H","UseDPDF=Y")</f>
        <v>#NAME?</v>
      </c>
      <c r="AG214" s="2" t="e">
        <f ca="1">_xll.BDH($C$203,"SHORT_TERM_DEBT_1_YEAR_GROWTH","FQ1 2016","FQ1 2016","Currency=INR","Period=FQ","BEST_FPERIOD_OVERRIDE=FQ","FILING_STATUS=OR","EQY_CONSOLIDATED=Y","Sort=A","Dates=H","DateFormat=P","Fill=—","Direction=H","UseDPDF=Y")</f>
        <v>#NAME?</v>
      </c>
      <c r="AH214" s="2" t="e">
        <f ca="1">_xll.BDH($C$203,"TOTAL_DEBT_1_YEAR_GROWTH","FQ1 2016","FQ1 2016","Currency=INR","Period=FQ","BEST_FPERIOD_OVERRIDE=FQ","FILING_STATUS=OR","EQY_CONSOLIDATED=Y","Sort=A","Dates=H","DateFormat=P","Fill=—","Direction=H","UseDPDF=Y")</f>
        <v>#NAME?</v>
      </c>
      <c r="AI214" s="2" t="e">
        <f ca="1">_xll.BDH($C$203,"TOTAL_EQUITY_1_YEAR_GROWTH","FQ1 2016","FQ1 2016","Currency=INR","Period=FQ","BEST_FPERIOD_OVERRIDE=FQ","FILING_STATUS=OR","EQY_CONSOLIDATED=Y","Sort=A","Dates=H","DateFormat=P","Fill=—","Direction=H","UseDPDF=Y")</f>
        <v>#NAME?</v>
      </c>
      <c r="AJ214" s="2" t="e">
        <f ca="1">_xll.BDH($C$203,"GROWTH_IN_CAP","FQ1 2016","FQ1 2016","Currency=INR","Period=FQ","BEST_FPERIOD_OVERRIDE=FQ","FILING_STATUS=OR","EQY_CONSOLIDATED=Y","Sort=A","Dates=H","DateFormat=P","Fill=—","Direction=H","UseDPDF=Y")</f>
        <v>#NAME?</v>
      </c>
      <c r="AK214" s="2" t="e">
        <f ca="1">_xll.BDH($C$203,"BVPS_GROWTH","FQ1 2016","FQ1 2016","Currency=INR","Period=FQ","BEST_FPERIOD_OVERRIDE=FQ","FILING_STATUS=OR","EQY_CONSOLIDATED=Y","Sort=A","Dates=H","DateFormat=P","Fill=—","Direction=H","UseDPDF=Y")</f>
        <v>#NAME?</v>
      </c>
      <c r="AL214" s="2" t="e">
        <f ca="1">_xll.BDH($C$203,"CASH_FLOW_GROWTH","FQ1 2016","FQ1 2016","Currency=INR","Period=FQ","BEST_FPERIOD_OVERRIDE=FQ","FILING_STATUS=OR","EQY_CONSOLIDATED=Y","Sort=A","Dates=H","DateFormat=P","Fill=—","Direction=H","UseDPDF=Y")</f>
        <v>#NAME?</v>
      </c>
      <c r="AM214" s="2" t="e">
        <f ca="1">_xll.BDH($C$203,"GEO_GROW_NET_SALES","FQ1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214" s="2" t="e">
        <f ca="1">_xll.BDH($C$203,"GEO_GROW_EBITDA","FQ1 2016","FQ1 2016","Currency=INR","Period=FQ","BEST_FPERIOD_OVERRIDE=FQ","FILING_STATUS=OR","EQY_CONSOLIDATED=Y","FA_ADJUSTED=GAAP","Sort=A","Dates=H","DateFormat=P","Fill=—","Direction=H","UseDPDF=Y")</f>
        <v>#NAME?</v>
      </c>
      <c r="AO214" s="2" t="e">
        <f ca="1">_xll.BDH($C$203,"GEO_GROW_OPER_INC","FQ1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214" s="2" t="e">
        <f ca="1">_xll.BDH($C$203,"NET_INCOME_TO_COMMON_5_YR_GROWTH","FQ1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214" s="2" t="e">
        <f ca="1">_xll.BDH($C$203,"5Y_GEO_GROWTH_DILUTED_EPS","FQ1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214" s="2" t="e">
        <f ca="1">_xll.BDH($C$203,"GEO_GROW_DVD_PER_SH","FQ1 2016","FQ1 2016","Currency=INR","Period=FQ","BEST_FPERIOD_OVERRIDE=FQ","FILING_STATUS=OR","EQY_CONSOLIDATED=Y","Sort=A","Dates=H","DateFormat=P","Fill=—","Direction=H","UseDPDF=Y")</f>
        <v>#NAME?</v>
      </c>
      <c r="AS214" s="2" t="e">
        <f ca="1">_xll.BDH($C$203,"ACCOUNTS_RECEIVABLE_5_YR_GROWTH","FQ1 2016","FQ1 2016","Currency=INR","Period=FQ","BEST_FPERIOD_OVERRIDE=FQ","FILING_STATUS=OR","EQY_CONSOLIDATED=Y","Sort=A","Dates=H","DateFormat=P","Fill=—","Direction=H","UseDPDF=Y")</f>
        <v>#NAME?</v>
      </c>
      <c r="AT214" s="2" t="e">
        <f ca="1">_xll.BDH($C$203,"INVENTORY_5_YEAR_GROWTH","FQ1 2016","FQ1 2016","Currency=INR","Period=FQ","BEST_FPERIOD_OVERRIDE=FQ","FILING_STATUS=OR","EQY_CONSOLIDATED=Y","Sort=A","Dates=H","DateFormat=P","Fill=—","Direction=H","UseDPDF=Y")</f>
        <v>#NAME?</v>
      </c>
      <c r="AU214" s="2" t="e">
        <f ca="1">_xll.BDH($C$203,"NET_FIXED_ASSETS_5_YEAR_GROWTH","FQ1 2016","FQ1 2016","Currency=INR","Period=FQ","BEST_FPERIOD_OVERRIDE=FQ","FILING_STATUS=OR","EQY_CONSOLIDATED=Y","Sort=A","Dates=H","DateFormat=P","Fill=—","Direction=H","UseDPDF=Y")</f>
        <v>#NAME?</v>
      </c>
      <c r="AV214" s="2" t="e">
        <f ca="1">_xll.BDH($C$203,"GEO_GROW_TOT_ASSET","FQ1 2016","FQ1 2016","Currency=INR","Period=FQ","BEST_FPERIOD_OVERRIDE=FQ","FILING_STATUS=OR","EQY_CONSOLIDATED=Y","Sort=A","Dates=H","DateFormat=P","Fill=—","Direction=H","UseDPDF=Y")</f>
        <v>#NAME?</v>
      </c>
      <c r="AW214" s="2" t="e">
        <f ca="1">_xll.BDH($C$203,"MODIFIED_WORKING_CPTL_5YR_GRWTH","FQ1 2016","FQ1 2016","Currency=INR","Period=FQ","BEST_FPERIOD_OVERRIDE=FQ","FILING_STATUS=OR","EQY_CONSOLIDATED=Y","Sort=A","Dates=H","DateFormat=P","Fill=—","Direction=H","UseDPDF=Y")</f>
        <v>#NAME?</v>
      </c>
      <c r="AX214" s="2" t="e">
        <f ca="1">_xll.BDH($C$203,"WORKING_CAPITAL_5_YEAR_GROWTH","FQ1 2016","FQ1 2016","Currency=INR","Period=FQ","BEST_FPERIOD_OVERRIDE=FQ","FILING_STATUS=OR","EQY_CONSOLIDATED=Y","Sort=A","Dates=H","DateFormat=P","Fill=—","Direction=H","UseDPDF=Y")</f>
        <v>#NAME?</v>
      </c>
      <c r="AY214" s="2" t="e">
        <f ca="1">_xll.BDH($C$203,"ACCOUNTS_PAYABLE_5_YEAR_GROWTH","FQ1 2016","FQ1 2016","Currency=INR","Period=FQ","BEST_FPERIOD_OVERRIDE=FQ","FILING_STATUS=OR","EQY_CONSOLIDATED=Y","Sort=A","Dates=H","DateFormat=P","Fill=—","Direction=H","UseDPDF=Y")</f>
        <v>#NAME?</v>
      </c>
      <c r="AZ214" s="2" t="e">
        <f ca="1">_xll.BDH($C$203,"SHORT_TERM_DEBT_5_YEAR_GROWTH","FQ1 2016","FQ1 2016","Currency=INR","Period=FQ","BEST_FPERIOD_OVERRIDE=FQ","FILING_STATUS=OR","EQY_CONSOLIDATED=Y","Sort=A","Dates=H","DateFormat=P","Fill=—","Direction=H","UseDPDF=Y")</f>
        <v>#NAME?</v>
      </c>
      <c r="BA214" s="2" t="e">
        <f ca="1">_xll.BDH($C$203,"TOTAL_DEBT_5_YEAR_GROWTH","FQ1 2016","FQ1 2016","Currency=INR","Period=FQ","BEST_FPERIOD_OVERRIDE=FQ","FILING_STATUS=OR","EQY_CONSOLIDATED=Y","Sort=A","Dates=H","DateFormat=P","Fill=—","Direction=H","UseDPDF=Y")</f>
        <v>#NAME?</v>
      </c>
      <c r="BB214" s="2" t="e">
        <f ca="1">_xll.BDH($C$203,"GEO_GROW_TOT_SHRHLDR_EQY","FQ1 2016","FQ1 2016","Currency=INR","Period=FQ","BEST_FPERIOD_OVERRIDE=FQ","FILING_STATUS=OR","EQY_CONSOLIDATED=Y","Sort=A","Dates=H","DateFormat=P","Fill=—","Direction=H","UseDPDF=Y")</f>
        <v>#NAME?</v>
      </c>
      <c r="BC214" s="2" t="e">
        <f ca="1">_xll.BDH($C$203,"TOTAL_CAPITAL_5_YEAR_GROWTH","FQ1 2016","FQ1 2016","Currency=INR","Period=FQ","BEST_FPERIOD_OVERRIDE=FQ","FILING_STATUS=OR","EQY_CONSOLIDATED=Y","Sort=A","Dates=H","DateFormat=P","Fill=—","Direction=H","UseDPDF=Y")</f>
        <v>#NAME?</v>
      </c>
      <c r="BD214" s="2" t="e">
        <f ca="1">_xll.BDH($C$203,"GEO_GROW_BOOK_VAL","FQ1 2016","FQ1 2016","Currency=INR","Period=FQ","BEST_FPERIOD_OVERRIDE=FQ","FILING_STATUS=OR","EQY_CONSOLIDATED=Y","Sort=A","Dates=H","DateFormat=P","Fill=—","Direction=H","UseDPDF=Y")</f>
        <v>#NAME?</v>
      </c>
      <c r="BE214" s="2" t="e">
        <f ca="1">_xll.BDH($C$203,"GEO_GROW_CASH_OPER_ACT","FQ1 2016","FQ1 2016","Currency=INR","Period=FQ","BEST_FPERIOD_OVERRIDE=FQ","FILING_STATUS=OR","EQY_CONSOLIDATED=Y","Sort=A","Dates=H","DateFormat=P","Fill=—","Direction=H","UseDPDF=Y")</f>
        <v>#NAME?</v>
      </c>
      <c r="BF214" s="2" t="e">
        <f ca="1">_xll.BDH($C$203,"REVENUE_SEQUENTIAL_GROWTH","FQ1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214" s="2" t="e">
        <f ca="1">_xll.BDH($C$203,"EBITDA_SEQUENTIAL_GROWTH","FQ1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214" s="2" t="e">
        <f ca="1">_xll.BDH($C$203,"OPERATING_INCOME_SEQ_GROWTH","FQ1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214" s="2" t="e">
        <f ca="1">_xll.BDH($C$203,"NET_INCOME_TO_COMMON_SEQ_GROWTH","FQ1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214" s="2" t="e">
        <f ca="1">_xll.BDH($C$203,"EPS_DILUTED_SEQUENTIAL_GROWTH","FQ1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214" s="2" t="e">
        <f ca="1">_xll.BDH($C$203,"DPS_SEQUENTIAL_GROWTH","FQ1 2016","FQ1 2016","Currency=INR","Period=FQ","BEST_FPERIOD_OVERRIDE=FQ","FILING_STATUS=OR","EQY_CONSOLIDATED=Y","Sort=A","Dates=H","DateFormat=P","Fill=—","Direction=H","UseDPDF=Y")</f>
        <v>#NAME?</v>
      </c>
      <c r="BL214" s="2" t="e">
        <f ca="1">_xll.BDH($C$203,"ACCOUNTS_RECEIVABLE_SEQ_GROWTH","FQ1 2016","FQ1 2016","Currency=INR","Period=FQ","BEST_FPERIOD_OVERRIDE=FQ","FILING_STATUS=OR","EQY_CONSOLIDATED=Y","Sort=A","Dates=H","DateFormat=P","Fill=—","Direction=H","UseDPDF=Y")</f>
        <v>#NAME?</v>
      </c>
      <c r="BM214" s="2" t="e">
        <f ca="1">_xll.BDH($C$203,"INVENTORY_SEQUENTIAL_GROWTH","FQ1 2016","FQ1 2016","Currency=INR","Period=FQ","BEST_FPERIOD_OVERRIDE=FQ","FILING_STATUS=OR","EQY_CONSOLIDATED=Y","Sort=A","Dates=H","DateFormat=P","Fill=—","Direction=H","UseDPDF=Y")</f>
        <v>#NAME?</v>
      </c>
      <c r="BN214" s="2" t="e">
        <f ca="1">_xll.BDH($C$203,"FIXED_ASSETS_SEQUENTIAL_GROWTH","FQ1 2016","FQ1 2016","Currency=INR","Period=FQ","BEST_FPERIOD_OVERRIDE=FQ","FILING_STATUS=OR","EQY_CONSOLIDATED=Y","Sort=A","Dates=H","DateFormat=P","Fill=—","Direction=H","UseDPDF=Y")</f>
        <v>#NAME?</v>
      </c>
      <c r="BO214" s="2" t="e">
        <f ca="1">_xll.BDH($C$203,"TOTAL_ASSETS_SEQUENTIAL_GROWTH","FQ1 2016","FQ1 2016","Currency=INR","Period=FQ","BEST_FPERIOD_OVERRIDE=FQ","FILING_STATUS=OR","EQY_CONSOLIDATED=Y","Sort=A","Dates=H","DateFormat=P","Fill=—","Direction=H","UseDPDF=Y")</f>
        <v>#NAME?</v>
      </c>
      <c r="BP214" s="2" t="e">
        <f ca="1">_xll.BDH($C$203,"MODIFIED_WORKING_CPTL_SEQ_GRWTH","FQ1 2016","FQ1 2016","Currency=INR","Period=FQ","BEST_FPERIOD_OVERRIDE=FQ","FILING_STATUS=OR","EQY_CONSOLIDATED=Y","Sort=A","Dates=H","DateFormat=P","Fill=—","Direction=H","UseDPDF=Y")</f>
        <v>#NAME?</v>
      </c>
      <c r="BQ214" s="2" t="e">
        <f ca="1">_xll.BDH($C$203,"WORKING_CAPITAL_SEQ_GROWTH","FQ1 2016","FQ1 2016","Currency=INR","Period=FQ","BEST_FPERIOD_OVERRIDE=FQ","FILING_STATUS=OR","EQY_CONSOLIDATED=Y","Sort=A","Dates=H","DateFormat=P","Fill=—","Direction=H","UseDPDF=Y")</f>
        <v>#NAME?</v>
      </c>
      <c r="BR214" s="2" t="e">
        <f ca="1">_xll.BDH($C$203,"ACCOUNTS_PAYABLE_SEQ_GROWTH","FQ1 2016","FQ1 2016","Currency=INR","Period=FQ","BEST_FPERIOD_OVERRIDE=FQ","FILING_STATUS=OR","EQY_CONSOLIDATED=Y","Sort=A","Dates=H","DateFormat=P","Fill=—","Direction=H","UseDPDF=Y")</f>
        <v>#NAME?</v>
      </c>
      <c r="BS214" s="2" t="e">
        <f ca="1">_xll.BDH($C$203,"ST_DEBT_SEQUENTIAL_GROWTH","FQ1 2016","FQ1 2016","Currency=INR","Period=FQ","BEST_FPERIOD_OVERRIDE=FQ","FILING_STATUS=OR","EQY_CONSOLIDATED=Y","Sort=A","Dates=H","DateFormat=P","Fill=—","Direction=H","UseDPDF=Y")</f>
        <v>#NAME?</v>
      </c>
      <c r="BT214" s="2" t="e">
        <f ca="1">_xll.BDH($C$203,"TOTAL_DEBT_SEQUENTIAL_GROWTH","FQ1 2016","FQ1 2016","Currency=INR","Period=FQ","BEST_FPERIOD_OVERRIDE=FQ","FILING_STATUS=OR","EQY_CONSOLIDATED=Y","Sort=A","Dates=H","DateFormat=P","Fill=—","Direction=H","UseDPDF=Y")</f>
        <v>#NAME?</v>
      </c>
      <c r="BU214" s="2" t="e">
        <f ca="1">_xll.BDH($C$203,"TOTAL_EQUITY_SEQUENTIAL_GROWTH","FQ1 2016","FQ1 2016","Currency=INR","Period=FQ","BEST_FPERIOD_OVERRIDE=FQ","FILING_STATUS=OR","EQY_CONSOLIDATED=Y","Sort=A","Dates=H","DateFormat=P","Fill=—","Direction=H","UseDPDF=Y")</f>
        <v>#NAME?</v>
      </c>
      <c r="BV214" s="2" t="e">
        <f ca="1">_xll.BDH($C$203,"TOTAL_CAPITAL_SEQUENTIAL_GROWTH","FQ1 2016","FQ1 2016","Currency=INR","Period=FQ","BEST_FPERIOD_OVERRIDE=FQ","FILING_STATUS=OR","EQY_CONSOLIDATED=Y","Sort=A","Dates=H","DateFormat=P","Fill=—","Direction=H","UseDPDF=Y")</f>
        <v>#NAME?</v>
      </c>
      <c r="BW214" s="2" t="e">
        <f ca="1">_xll.BDH($C$203,"BPS_SEQUENTIAL_GROWTH","FQ1 2016","FQ1 2016","Currency=INR","Period=FQ","BEST_FPERIOD_OVERRIDE=FQ","FILING_STATUS=OR","EQY_CONSOLIDATED=Y","Sort=A","Dates=H","DateFormat=P","Fill=—","Direction=H","UseDPDF=Y")</f>
        <v>#NAME?</v>
      </c>
      <c r="BX214" s="2" t="e">
        <f ca="1">_xll.BDH($C$203,"CFO_SEQUENTIAL_GROWTH","FQ1 2016","FQ1 2016","Currency=INR","Period=FQ","BEST_FPERIOD_OVERRIDE=FQ","FILING_STATUS=OR","EQY_CONSOLIDATED=Y","Sort=A","Dates=H","DateFormat=P","Fill=—","Direction=H","UseDPDF=Y")</f>
        <v>#NAME?</v>
      </c>
      <c r="BY214" s="3" t="e">
        <f ca="1">_xll.BDH($C$203,"SHORT_AND_LONG_TERM_DEBT","FQ1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214" s="3" t="e">
        <f ca="1">_xll.BDH($C$203,"BS_ST_BORROW","FQ1 2016","FQ1 2016","Currency=INR","Period=FQ","BEST_FPERIOD_OVERRIDE=FQ","FILING_STATUS=OR","EQY_CONSOLIDATED=Y","SCALING_FORMAT=MLN","Sort=A","Dates=H","DateFormat=P","Fill=—","Direction=H","UseDPDF=Y")</f>
        <v>#NAME?</v>
      </c>
      <c r="CA214" s="3" t="e">
        <f ca="1">_xll.BDH($C$203,"BS_LT_BORROW","FQ1 2016","FQ1 2016","Currency=INR","Period=FQ","BEST_FPERIOD_OVERRIDE=FQ","FILING_STATUS=OR","EQY_CONSOLIDATED=Y","SCALING_FORMAT=MLN","Sort=A","Dates=H","DateFormat=P","Fill=—","Direction=H","UseDPDF=Y")</f>
        <v>#NAME?</v>
      </c>
      <c r="CB214" s="2" t="e">
        <f ca="1">_xll.BDH($C$203,"TOT_DEBT_TO_EBITDA","FQ1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214" s="2" t="e">
        <f ca="1">_xll.BDH($C$203,"NET_DEBT_TO_EBITDA","FQ1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214" s="2" t="e">
        <f ca="1">_xll.BDH($C$203,"TOTAL_DEBT_TO_EBIT","FQ1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214" s="2" t="e">
        <f ca="1">_xll.BDH($C$203,"NET_DEBT_TO_EBIT","FQ1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214" s="2" t="e">
        <f ca="1">_xll.BDH($C$203,"EBITDA_TO_INTEREST_EXPN","FQ1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214" s="2" t="e">
        <f ca="1">_xll.BDH($C$203,"COM_EQY_TO_TOT_ASSET","FQ1 2016","FQ1 2016","Currency=INR","Period=FQ","BEST_FPERIOD_OVERRIDE=FQ","FILING_STATUS=OR","EQY_CONSOLIDATED=Y","Sort=A","Dates=H","DateFormat=P","Fill=—","Direction=H","UseDPDF=Y")</f>
        <v>#NAME?</v>
      </c>
      <c r="CH214" s="2" t="e">
        <f ca="1">_xll.BDH($C$203,"LT_DEBT_TO_TOT_EQY","FQ1 2016","FQ1 2016","Currency=INR","Period=FQ","BEST_FPERIOD_OVERRIDE=FQ","FILING_STATUS=OR","EQY_CONSOLIDATED=Y","Sort=A","Dates=H","DateFormat=P","Fill=—","Direction=H","UseDPDF=Y")</f>
        <v>#NAME?</v>
      </c>
      <c r="CI214" s="2" t="e">
        <f ca="1">_xll.BDH($C$203,"LT_DEBT_TO_TOT_CAP","FQ1 2016","FQ1 2016","Currency=INR","Period=FQ","BEST_FPERIOD_OVERRIDE=FQ","FILING_STATUS=OR","EQY_CONSOLIDATED=Y","Sort=A","Dates=H","DateFormat=P","Fill=—","Direction=H","UseDPDF=Y")</f>
        <v>#NAME?</v>
      </c>
      <c r="CJ214" s="2" t="e">
        <f ca="1">_xll.BDH($C$203,"LT_DEBT_TO_TOT_ASSET","FQ1 2016","FQ1 2016","Currency=INR","Period=FQ","BEST_FPERIOD_OVERRIDE=FQ","FILING_STATUS=OR","EQY_CONSOLIDATED=Y","Sort=A","Dates=H","DateFormat=P","Fill=—","Direction=H","UseDPDF=Y")</f>
        <v>#NAME?</v>
      </c>
      <c r="CK214" s="2" t="e">
        <f ca="1">_xll.BDH($C$203,"TOT_DEBT_TO_TOT_EQY","FQ1 2016","FQ1 2016","Currency=INR","Period=FQ","BEST_FPERIOD_OVERRIDE=FQ","FILING_STATUS=OR","EQY_CONSOLIDATED=Y","Sort=A","Dates=H","DateFormat=P","Fill=—","Direction=H","UseDPDF=Y")</f>
        <v>#NAME?</v>
      </c>
      <c r="CL214" s="2" t="e">
        <f ca="1">_xll.BDH($C$203,"TOT_DEBT_TO_TOT_CAP","FQ1 2016","FQ1 2016","Currency=INR","Period=FQ","BEST_FPERIOD_OVERRIDE=FQ","FILING_STATUS=OR","EQY_CONSOLIDATED=Y","Sort=A","Dates=H","DateFormat=P","Fill=—","Direction=H","UseDPDF=Y")</f>
        <v>#NAME?</v>
      </c>
      <c r="CM214" s="2" t="e">
        <f ca="1">_xll.BDH($C$203,"TOT_DEBT_TO_TOT_ASSET","FQ1 2016","FQ1 2016","Currency=INR","Period=FQ","BEST_FPERIOD_OVERRIDE=FQ","FILING_STATUS=OR","EQY_CONSOLIDATED=Y","Sort=A","Dates=H","DateFormat=P","Fill=—","Direction=H","UseDPDF=Y")</f>
        <v>#NAME?</v>
      </c>
      <c r="CN214" s="2" t="e">
        <f ca="1">_xll.BDH($C$203,"NET_DEBT_TO_SHRHLDR_EQTY","FQ1 2016","FQ1 2016","Currency=INR","Period=FQ","BEST_FPERIOD_OVERRIDE=FQ","FILING_STATUS=OR","EQY_CONSOLIDATED=Y","Sort=A","Dates=H","DateFormat=P","Fill=—","Direction=H","UseDPDF=Y")</f>
        <v>#NAME?</v>
      </c>
      <c r="CO214" s="2" t="e">
        <f ca="1">_xll.BDH($C$203,"NET_DEBT_%_CAPITAL","FQ1 2016","FQ1 2016","Currency=INR","Period=FQ","BEST_FPERIOD_OVERRIDE=FQ","FILING_STATUS=OR","EQY_CONSOLIDATED=Y","Sort=A","Dates=H","DateFormat=P","Fill=—","Direction=H","UseDPDF=Y")</f>
        <v>#NAME?</v>
      </c>
      <c r="CP214" s="3" t="e">
        <f ca="1">_xll.BDH($C$203,"EBITDA","FQ1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214" s="3" t="e">
        <f ca="1">_xll.BDH($C$203,"EBITDA_AFTER_CAPEX","FQ1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214" s="3" t="e">
        <f ca="1">_xll.BDH($C$203,"IS_OPER_INC","FQ1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214" s="2" t="e">
        <f ca="1">_xll.BDH($C$203,"CASH_RATIO","FQ1 2016","FQ1 2016","Currency=INR","Period=FQ","BEST_FPERIOD_OVERRIDE=FQ","FILING_STATUS=OR","EQY_CONSOLIDATED=Y","Sort=A","Dates=H","DateFormat=P","Fill=—","Direction=H","UseDPDF=Y")</f>
        <v>#NAME?</v>
      </c>
      <c r="CT214" s="2" t="e">
        <f ca="1">_xll.BDH($C$203,"CUR_RATIO","FQ1 2016","FQ1 2016","Currency=INR","Period=FQ","BEST_FPERIOD_OVERRIDE=FQ","FILING_STATUS=OR","EQY_CONSOLIDATED=Y","Sort=A","Dates=H","DateFormat=P","Fill=—","Direction=H","UseDPDF=Y")</f>
        <v>#NAME?</v>
      </c>
      <c r="CU214" s="2" t="e">
        <f ca="1">_xll.BDH($C$203,"QUICK_RATIO","FQ1 2016","FQ1 2016","Currency=INR","Period=FQ","BEST_FPERIOD_OVERRIDE=FQ","FILING_STATUS=OR","EQY_CONSOLIDATED=Y","Sort=A","Dates=H","DateFormat=P","Fill=—","Direction=H","UseDPDF=Y")</f>
        <v>#NAME?</v>
      </c>
      <c r="CV214" s="2" t="e">
        <f ca="1">_xll.BDH($C$203,"ALTMAN_Z_SCORE","FQ1 2016","FQ1 2016","Currency=INR","Period=FQ","BEST_FPERIOD_OVERRIDE=FQ","FILING_STATUS=OR","EQY_CONSOLIDATED=Y","Sort=A","Dates=H","DateFormat=P","Fill=—","Direction=H","UseDPDF=Y")</f>
        <v>#NAME?</v>
      </c>
      <c r="CW214" s="4" t="e">
        <f ca="1">_xll.BDH($C$203,"ACCT_RCV_TURN","FQ1 2016","FQ1 2016","Currency=INR","Period=FQ","BEST_FPERIOD_OVERRIDE=FQ","FILING_STATUS=OR","EQY_CONSOLIDATED=Y","FA_ADJUSTED=GAAP","Sort=A","Dates=H","DateFormat=P","Fill=—","Direction=H","UseDPDF=Y")</f>
        <v>#NAME?</v>
      </c>
      <c r="CX214" s="2" t="e">
        <f ca="1">_xll.BDH($C$203,"ACCT_RCV_DAYS","FQ1 2016","FQ1 2016","Currency=INR","Period=FQ","BEST_FPERIOD_OVERRIDE=FQ","FILING_STATUS=OR","EQY_CONSOLIDATED=Y","FA_ADJUSTED=GAAP","Sort=A","Dates=H","DateFormat=P","Fill=—","Direction=H","UseDPDF=Y")</f>
        <v>#NAME?</v>
      </c>
      <c r="CY214" s="4" t="e">
        <f ca="1">_xll.BDH($C$203,"INVENT_TURN","FQ1 2016","FQ1 2016","Currency=INR","Period=FQ","BEST_FPERIOD_OVERRIDE=FQ","FILING_STATUS=OR","EQY_CONSOLIDATED=Y","FA_ADJUSTED=GAAP","Sort=A","Dates=H","DateFormat=P","Fill=—","Direction=H","UseDPDF=Y")</f>
        <v>#NAME?</v>
      </c>
      <c r="CZ214" s="2" t="e">
        <f ca="1">_xll.BDH($C$203,"INVENT_DAYS","FQ1 2016","FQ1 2016","Currency=INR","Period=FQ","BEST_FPERIOD_OVERRIDE=FQ","FILING_STATUS=OR","EQY_CONSOLIDATED=Y","FA_ADJUSTED=GAAP","Sort=A","Dates=H","DateFormat=P","Fill=—","Direction=H","UseDPDF=Y")</f>
        <v>#NAME?</v>
      </c>
      <c r="DA214" s="4" t="e">
        <f ca="1">_xll.BDH($C$203,"ACCOUNTS_PAYABLE_TURNOVER","FQ1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214" s="2" t="e">
        <f ca="1">_xll.BDH($C$203,"ACCOUNTS_PAYABLE_TURNOVER_DAYS","FQ1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214" s="4" t="e">
        <f ca="1">_xll.BDH($C$203,"CASH_CONVERSION_CYCLE","FQ1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214" s="4" t="e">
        <f ca="1">_xll.BDH($C$203,"INV_TO_CASH_DAYS","FQ1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214" s="5" t="e">
        <f ca="1">_xll.BDH($C$203,"BS_INVENTORIES","FQ1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214" s="3" t="e">
        <f ca="1">_xll.BDH($C$203,"INVTRY_RAW_MATERIALS","FQ1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214" s="3" t="e">
        <f ca="1">_xll.BDH($C$203,"INVTRY_IN_PROGRESS","FQ1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214" s="3" t="e">
        <f ca="1">_xll.BDH($C$203,"INVTRY_FINISHED_GOODS","FQ1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214" s="3" t="e">
        <f ca="1">_xll.BDH($C$203,"BS_OTHER_INV","FQ1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215" spans="1:113" x14ac:dyDescent="0.3">
      <c r="A215" s="6"/>
      <c r="B215" s="6"/>
      <c r="C215" s="6"/>
      <c r="D215" s="6"/>
      <c r="E215" t="s">
        <v>79</v>
      </c>
      <c r="F215" t="e">
        <f ca="1">_xll.BDH($C$203,"RETURN_COM_EQY","FQ2 2016","FQ2 2016","Currency=INR","Period=FQ","BEST_FPERIOD_OVERRIDE=FQ","FILING_STATUS=OR","EQY_CONSOLIDATED=Y","FA_ADJUSTED=GAAP","Sort=A","Dates=H","DateFormat=P","Fill=—","Direction=H","UseDPDF=Y")</f>
        <v>#NAME?</v>
      </c>
      <c r="G215" t="e">
        <f ca="1">_xll.BDH($C$203,"RETURN_ON_ASSET","FQ2 2016","FQ2 2016","Currency=INR","Period=FQ","BEST_FPERIOD_OVERRIDE=FQ","FILING_STATUS=OR","EQY_CONSOLIDATED=Y","FA_ADJUSTED=GAAP","Sort=A","Dates=H","DateFormat=P","Fill=—","Direction=H","UseDPDF=Y")</f>
        <v>#NAME?</v>
      </c>
      <c r="H215" t="e">
        <f ca="1">_xll.BDH($C$203,"RETURN_ON_CAP","FQ2 2016","FQ2 2016","Currency=INR","Period=FQ","BEST_FPERIOD_OVERRIDE=FQ","FILING_STATUS=OR","EQY_CONSOLIDATED=Y","FA_ADJUSTED=GAAP","Sort=A","Dates=H","DateFormat=P","Fill=—","Direction=H","UseDPDF=Y")</f>
        <v>#NAME?</v>
      </c>
      <c r="I215" t="e">
        <f ca="1">_xll.BDH($C$203,"RETURN_ON_INV_CAPITAL","FQ2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215" t="e">
        <f ca="1">_xll.BDH($C$203,"EBITDA_TO_REVENUE","FQ2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215" t="e">
        <f ca="1">_xll.BDH($C$203,"OPER_MARGIN","FQ2 2016","FQ2 2016","Currency=INR","Period=FQ","BEST_FPERIOD_OVERRIDE=FQ","FILING_STATUS=OR","EQY_CONSOLIDATED=Y","FA_ADJUSTED=GAAP","Sort=A","Dates=H","DateFormat=P","Fill=—","Direction=H","UseDPDF=Y")</f>
        <v>#NAME?</v>
      </c>
      <c r="L215" t="e">
        <f ca="1">_xll.BDH($C$203,"INCREMENTAL_OPERATING_MARGIN","FQ2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215" t="e">
        <f ca="1">_xll.BDH($C$203,"PRETAX_INC_TO_NET_SALES","FQ2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215" t="e">
        <f ca="1">_xll.BDH($C$203,"INC_BEF_XO_ITEMS_TO_NET_SALES","FQ2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215" t="e">
        <f ca="1">_xll.BDH($C$203,"PROF_MARGIN","FQ2 2016","FQ2 2016","Currency=INR","Period=FQ","BEST_FPERIOD_OVERRIDE=FQ","FILING_STATUS=OR","EQY_CONSOLIDATED=Y","FA_ADJUSTED=GAAP","Sort=A","Dates=H","DateFormat=P","Fill=—","Direction=H","UseDPDF=Y")</f>
        <v>#NAME?</v>
      </c>
      <c r="P215" t="e">
        <f ca="1">_xll.BDH($C$203,"NET_INCOME_TO_COMMON_MARGIN","FQ2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215" t="e">
        <f ca="1">_xll.BDH($C$203,"EFF_TAX_RATE","FQ2 2016","FQ2 2016","Currency=INR","Period=FQ","BEST_FPERIOD_OVERRIDE=FQ","FILING_STATUS=OR","EQY_CONSOLIDATED=Y","FA_ADJUSTED=GAAP","Sort=A","Dates=H","DateFormat=P","Fill=—","Direction=H","UseDPDF=Y")</f>
        <v>#NAME?</v>
      </c>
      <c r="R215" t="e">
        <f ca="1">_xll.BDH($C$203,"DVD_PAYOUT_RATIO","FQ2 2016","FQ2 2016","Currency=INR","Period=FQ","BEST_FPERIOD_OVERRIDE=FQ","FILING_STATUS=OR","EQY_CONSOLIDATED=Y","FA_ADJUSTED=GAAP","Sort=A","Dates=H","DateFormat=P","Fill=—","Direction=H","UseDPDF=Y")</f>
        <v>#NAME?</v>
      </c>
      <c r="S215" t="e">
        <f ca="1">_xll.BDH($C$203,"SUSTAIN_GROWTH_RT","FQ2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215" s="2" t="e">
        <f ca="1">_xll.BDH($C$203,"SALES_GROWTH","FQ2 2016","FQ2 2016","Currency=INR","Period=FQ","BEST_FPERIOD_OVERRIDE=FQ","FILING_STATUS=OR","EQY_CONSOLIDATED=Y","FA_ADJUSTED=GAAP","Sort=A","Dates=H","DateFormat=P","Fill=—","Direction=H","UseDPDF=Y")</f>
        <v>#NAME?</v>
      </c>
      <c r="U215" s="2" t="e">
        <f ca="1">_xll.BDH($C$203,"EBITDA_GROWTH","FQ2 2016","FQ2 2016","Currency=INR","Period=FQ","BEST_FPERIOD_OVERRIDE=FQ","FILING_STATUS=OR","EQY_CONSOLIDATED=Y","FA_ADJUSTED=GAAP","Sort=A","Dates=H","DateFormat=P","Fill=—","Direction=H","UseDPDF=Y")</f>
        <v>#NAME?</v>
      </c>
      <c r="V215" s="2" t="e">
        <f ca="1">_xll.BDH($C$203,"OPER_INC_GROWTH","FQ2 2016","FQ2 2016","Currency=INR","Period=FQ","BEST_FPERIOD_OVERRIDE=FQ","FILING_STATUS=OR","EQY_CONSOLIDATED=Y","FA_ADJUSTED=GAAP","Sort=A","Dates=H","DateFormat=P","Fill=—","Direction=H","UseDPDF=Y")</f>
        <v>#NAME?</v>
      </c>
      <c r="W215" s="2" t="e">
        <f ca="1">_xll.BDH($C$203,"EARN_FOR_COM_GROWTH","FQ2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215" s="2" t="e">
        <f ca="1">_xll.BDH($C$203,"DILUTED_EPS_AFT_XO_ITEMS_GROWTH","FQ2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215" s="2" t="e">
        <f ca="1">_xll.BDH($C$203,"DIVIDEND_PER_SHARE_1_YEAR_GROWTH","FQ2 2016","FQ2 2016","Currency=INR","Period=FQ","BEST_FPERIOD_OVERRIDE=FQ","FILING_STATUS=OR","EQY_CONSOLIDATED=Y","Sort=A","Dates=H","DateFormat=P","Fill=—","Direction=H","UseDPDF=Y")</f>
        <v>#NAME?</v>
      </c>
      <c r="Z215" s="2" t="e">
        <f ca="1">_xll.BDH($C$203,"ACCOUNTS_RECEIVABLE_GROWTH","FQ2 2016","FQ2 2016","Currency=INR","Period=FQ","BEST_FPERIOD_OVERRIDE=FQ","FILING_STATUS=OR","EQY_CONSOLIDATED=Y","Sort=A","Dates=H","DateFormat=P","Fill=—","Direction=H","UseDPDF=Y")</f>
        <v>#NAME?</v>
      </c>
      <c r="AA215" s="2" t="e">
        <f ca="1">_xll.BDH($C$203,"INVENTORY_GROWTH","FQ2 2016","FQ2 2016","Currency=INR","Period=FQ","BEST_FPERIOD_OVERRIDE=FQ","FILING_STATUS=OR","EQY_CONSOLIDATED=Y","Sort=A","Dates=H","DateFormat=P","Fill=—","Direction=H","UseDPDF=Y")</f>
        <v>#NAME?</v>
      </c>
      <c r="AB215" s="2" t="e">
        <f ca="1">_xll.BDH($C$203,"NET_FIXED_ASSETS_1_YEAR_GROWTH","FQ2 2016","FQ2 2016","Currency=INR","Period=FQ","BEST_FPERIOD_OVERRIDE=FQ","FILING_STATUS=OR","EQY_CONSOLIDATED=Y","Sort=A","Dates=H","DateFormat=P","Fill=—","Direction=H","UseDPDF=Y")</f>
        <v>#NAME?</v>
      </c>
      <c r="AC215" s="2" t="e">
        <f ca="1">_xll.BDH($C$203,"ASSET_GROWTH","FQ2 2016","FQ2 2016","Currency=INR","Period=FQ","BEST_FPERIOD_OVERRIDE=FQ","FILING_STATUS=OR","EQY_CONSOLIDATED=Y","Sort=A","Dates=H","DateFormat=P","Fill=—","Direction=H","UseDPDF=Y")</f>
        <v>#NAME?</v>
      </c>
      <c r="AD215" s="2" t="e">
        <f ca="1">_xll.BDH($C$203,"MODIFIED_WORK_CAP_GROWTH","FQ2 2016","FQ2 2016","Currency=INR","Period=FQ","BEST_FPERIOD_OVERRIDE=FQ","FILING_STATUS=OR","EQY_CONSOLIDATED=Y","Sort=A","Dates=H","DateFormat=P","Fill=—","Direction=H","UseDPDF=Y")</f>
        <v>#NAME?</v>
      </c>
      <c r="AE215" s="2" t="e">
        <f ca="1">_xll.BDH($C$203,"WORK_CAP_GROWTH","FQ2 2016","FQ2 2016","Currency=INR","Period=FQ","BEST_FPERIOD_OVERRIDE=FQ","FILING_STATUS=OR","EQY_CONSOLIDATED=Y","Sort=A","Dates=H","DateFormat=P","Fill=—","Direction=H","UseDPDF=Y")</f>
        <v>#NAME?</v>
      </c>
      <c r="AF215" s="2" t="e">
        <f ca="1">_xll.BDH($C$203,"ACCOUNTS_PAYABLE_GROWTH_1YR","FQ2 2016","FQ2 2016","Currency=INR","Period=FQ","BEST_FPERIOD_OVERRIDE=FQ","FILING_STATUS=OR","EQY_CONSOLIDATED=Y","Sort=A","Dates=H","DateFormat=P","Fill=—","Direction=H","UseDPDF=Y")</f>
        <v>#NAME?</v>
      </c>
      <c r="AG215" s="2" t="e">
        <f ca="1">_xll.BDH($C$203,"SHORT_TERM_DEBT_1_YEAR_GROWTH","FQ2 2016","FQ2 2016","Currency=INR","Period=FQ","BEST_FPERIOD_OVERRIDE=FQ","FILING_STATUS=OR","EQY_CONSOLIDATED=Y","Sort=A","Dates=H","DateFormat=P","Fill=—","Direction=H","UseDPDF=Y")</f>
        <v>#NAME?</v>
      </c>
      <c r="AH215" s="2" t="e">
        <f ca="1">_xll.BDH($C$203,"TOTAL_DEBT_1_YEAR_GROWTH","FQ2 2016","FQ2 2016","Currency=INR","Period=FQ","BEST_FPERIOD_OVERRIDE=FQ","FILING_STATUS=OR","EQY_CONSOLIDATED=Y","Sort=A","Dates=H","DateFormat=P","Fill=—","Direction=H","UseDPDF=Y")</f>
        <v>#NAME?</v>
      </c>
      <c r="AI215" s="2" t="e">
        <f ca="1">_xll.BDH($C$203,"TOTAL_EQUITY_1_YEAR_GROWTH","FQ2 2016","FQ2 2016","Currency=INR","Period=FQ","BEST_FPERIOD_OVERRIDE=FQ","FILING_STATUS=OR","EQY_CONSOLIDATED=Y","Sort=A","Dates=H","DateFormat=P","Fill=—","Direction=H","UseDPDF=Y")</f>
        <v>#NAME?</v>
      </c>
      <c r="AJ215" s="2" t="e">
        <f ca="1">_xll.BDH($C$203,"GROWTH_IN_CAP","FQ2 2016","FQ2 2016","Currency=INR","Period=FQ","BEST_FPERIOD_OVERRIDE=FQ","FILING_STATUS=OR","EQY_CONSOLIDATED=Y","Sort=A","Dates=H","DateFormat=P","Fill=—","Direction=H","UseDPDF=Y")</f>
        <v>#NAME?</v>
      </c>
      <c r="AK215" s="2" t="e">
        <f ca="1">_xll.BDH($C$203,"BVPS_GROWTH","FQ2 2016","FQ2 2016","Currency=INR","Period=FQ","BEST_FPERIOD_OVERRIDE=FQ","FILING_STATUS=OR","EQY_CONSOLIDATED=Y","Sort=A","Dates=H","DateFormat=P","Fill=—","Direction=H","UseDPDF=Y")</f>
        <v>#NAME?</v>
      </c>
      <c r="AL215" s="2" t="e">
        <f ca="1">_xll.BDH($C$203,"CASH_FLOW_GROWTH","FQ2 2016","FQ2 2016","Currency=INR","Period=FQ","BEST_FPERIOD_OVERRIDE=FQ","FILING_STATUS=OR","EQY_CONSOLIDATED=Y","Sort=A","Dates=H","DateFormat=P","Fill=—","Direction=H","UseDPDF=Y")</f>
        <v>#NAME?</v>
      </c>
      <c r="AM215" s="2" t="e">
        <f ca="1">_xll.BDH($C$203,"GEO_GROW_NET_SALES","FQ2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215" s="2" t="e">
        <f ca="1">_xll.BDH($C$203,"GEO_GROW_EBITDA","FQ2 2016","FQ2 2016","Currency=INR","Period=FQ","BEST_FPERIOD_OVERRIDE=FQ","FILING_STATUS=OR","EQY_CONSOLIDATED=Y","FA_ADJUSTED=GAAP","Sort=A","Dates=H","DateFormat=P","Fill=—","Direction=H","UseDPDF=Y")</f>
        <v>#NAME?</v>
      </c>
      <c r="AO215" s="2" t="e">
        <f ca="1">_xll.BDH($C$203,"GEO_GROW_OPER_INC","FQ2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215" s="2" t="e">
        <f ca="1">_xll.BDH($C$203,"NET_INCOME_TO_COMMON_5_YR_GROWTH","FQ2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215" s="2" t="e">
        <f ca="1">_xll.BDH($C$203,"5Y_GEO_GROWTH_DILUTED_EPS","FQ2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215" s="2" t="e">
        <f ca="1">_xll.BDH($C$203,"GEO_GROW_DVD_PER_SH","FQ2 2016","FQ2 2016","Currency=INR","Period=FQ","BEST_FPERIOD_OVERRIDE=FQ","FILING_STATUS=OR","EQY_CONSOLIDATED=Y","Sort=A","Dates=H","DateFormat=P","Fill=—","Direction=H","UseDPDF=Y")</f>
        <v>#NAME?</v>
      </c>
      <c r="AS215" s="2" t="e">
        <f ca="1">_xll.BDH($C$203,"ACCOUNTS_RECEIVABLE_5_YR_GROWTH","FQ2 2016","FQ2 2016","Currency=INR","Period=FQ","BEST_FPERIOD_OVERRIDE=FQ","FILING_STATUS=OR","EQY_CONSOLIDATED=Y","Sort=A","Dates=H","DateFormat=P","Fill=—","Direction=H","UseDPDF=Y")</f>
        <v>#NAME?</v>
      </c>
      <c r="AT215" s="2" t="e">
        <f ca="1">_xll.BDH($C$203,"INVENTORY_5_YEAR_GROWTH","FQ2 2016","FQ2 2016","Currency=INR","Period=FQ","BEST_FPERIOD_OVERRIDE=FQ","FILING_STATUS=OR","EQY_CONSOLIDATED=Y","Sort=A","Dates=H","DateFormat=P","Fill=—","Direction=H","UseDPDF=Y")</f>
        <v>#NAME?</v>
      </c>
      <c r="AU215" s="2" t="e">
        <f ca="1">_xll.BDH($C$203,"NET_FIXED_ASSETS_5_YEAR_GROWTH","FQ2 2016","FQ2 2016","Currency=INR","Period=FQ","BEST_FPERIOD_OVERRIDE=FQ","FILING_STATUS=OR","EQY_CONSOLIDATED=Y","Sort=A","Dates=H","DateFormat=P","Fill=—","Direction=H","UseDPDF=Y")</f>
        <v>#NAME?</v>
      </c>
      <c r="AV215" s="2" t="e">
        <f ca="1">_xll.BDH($C$203,"GEO_GROW_TOT_ASSET","FQ2 2016","FQ2 2016","Currency=INR","Period=FQ","BEST_FPERIOD_OVERRIDE=FQ","FILING_STATUS=OR","EQY_CONSOLIDATED=Y","Sort=A","Dates=H","DateFormat=P","Fill=—","Direction=H","UseDPDF=Y")</f>
        <v>#NAME?</v>
      </c>
      <c r="AW215" s="2" t="e">
        <f ca="1">_xll.BDH($C$203,"MODIFIED_WORKING_CPTL_5YR_GRWTH","FQ2 2016","FQ2 2016","Currency=INR","Period=FQ","BEST_FPERIOD_OVERRIDE=FQ","FILING_STATUS=OR","EQY_CONSOLIDATED=Y","Sort=A","Dates=H","DateFormat=P","Fill=—","Direction=H","UseDPDF=Y")</f>
        <v>#NAME?</v>
      </c>
      <c r="AX215" s="2" t="e">
        <f ca="1">_xll.BDH($C$203,"WORKING_CAPITAL_5_YEAR_GROWTH","FQ2 2016","FQ2 2016","Currency=INR","Period=FQ","BEST_FPERIOD_OVERRIDE=FQ","FILING_STATUS=OR","EQY_CONSOLIDATED=Y","Sort=A","Dates=H","DateFormat=P","Fill=—","Direction=H","UseDPDF=Y")</f>
        <v>#NAME?</v>
      </c>
      <c r="AY215" s="2" t="e">
        <f ca="1">_xll.BDH($C$203,"ACCOUNTS_PAYABLE_5_YEAR_GROWTH","FQ2 2016","FQ2 2016","Currency=INR","Period=FQ","BEST_FPERIOD_OVERRIDE=FQ","FILING_STATUS=OR","EQY_CONSOLIDATED=Y","Sort=A","Dates=H","DateFormat=P","Fill=—","Direction=H","UseDPDF=Y")</f>
        <v>#NAME?</v>
      </c>
      <c r="AZ215" s="2" t="e">
        <f ca="1">_xll.BDH($C$203,"SHORT_TERM_DEBT_5_YEAR_GROWTH","FQ2 2016","FQ2 2016","Currency=INR","Period=FQ","BEST_FPERIOD_OVERRIDE=FQ","FILING_STATUS=OR","EQY_CONSOLIDATED=Y","Sort=A","Dates=H","DateFormat=P","Fill=—","Direction=H","UseDPDF=Y")</f>
        <v>#NAME?</v>
      </c>
      <c r="BA215" s="2" t="e">
        <f ca="1">_xll.BDH($C$203,"TOTAL_DEBT_5_YEAR_GROWTH","FQ2 2016","FQ2 2016","Currency=INR","Period=FQ","BEST_FPERIOD_OVERRIDE=FQ","FILING_STATUS=OR","EQY_CONSOLIDATED=Y","Sort=A","Dates=H","DateFormat=P","Fill=—","Direction=H","UseDPDF=Y")</f>
        <v>#NAME?</v>
      </c>
      <c r="BB215" s="2" t="e">
        <f ca="1">_xll.BDH($C$203,"GEO_GROW_TOT_SHRHLDR_EQY","FQ2 2016","FQ2 2016","Currency=INR","Period=FQ","BEST_FPERIOD_OVERRIDE=FQ","FILING_STATUS=OR","EQY_CONSOLIDATED=Y","Sort=A","Dates=H","DateFormat=P","Fill=—","Direction=H","UseDPDF=Y")</f>
        <v>#NAME?</v>
      </c>
      <c r="BC215" s="2" t="e">
        <f ca="1">_xll.BDH($C$203,"TOTAL_CAPITAL_5_YEAR_GROWTH","FQ2 2016","FQ2 2016","Currency=INR","Period=FQ","BEST_FPERIOD_OVERRIDE=FQ","FILING_STATUS=OR","EQY_CONSOLIDATED=Y","Sort=A","Dates=H","DateFormat=P","Fill=—","Direction=H","UseDPDF=Y")</f>
        <v>#NAME?</v>
      </c>
      <c r="BD215" s="2" t="e">
        <f ca="1">_xll.BDH($C$203,"GEO_GROW_BOOK_VAL","FQ2 2016","FQ2 2016","Currency=INR","Period=FQ","BEST_FPERIOD_OVERRIDE=FQ","FILING_STATUS=OR","EQY_CONSOLIDATED=Y","Sort=A","Dates=H","DateFormat=P","Fill=—","Direction=H","UseDPDF=Y")</f>
        <v>#NAME?</v>
      </c>
      <c r="BE215" s="2" t="e">
        <f ca="1">_xll.BDH($C$203,"GEO_GROW_CASH_OPER_ACT","FQ2 2016","FQ2 2016","Currency=INR","Period=FQ","BEST_FPERIOD_OVERRIDE=FQ","FILING_STATUS=OR","EQY_CONSOLIDATED=Y","Sort=A","Dates=H","DateFormat=P","Fill=—","Direction=H","UseDPDF=Y")</f>
        <v>#NAME?</v>
      </c>
      <c r="BF215" s="2" t="e">
        <f ca="1">_xll.BDH($C$203,"REVENUE_SEQUENTIAL_GROWTH","FQ2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215" s="2" t="e">
        <f ca="1">_xll.BDH($C$203,"EBITDA_SEQUENTIAL_GROWTH","FQ2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215" s="2" t="e">
        <f ca="1">_xll.BDH($C$203,"OPERATING_INCOME_SEQ_GROWTH","FQ2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215" s="2" t="e">
        <f ca="1">_xll.BDH($C$203,"NET_INCOME_TO_COMMON_SEQ_GROWTH","FQ2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215" s="2" t="e">
        <f ca="1">_xll.BDH($C$203,"EPS_DILUTED_SEQUENTIAL_GROWTH","FQ2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215" s="2" t="e">
        <f ca="1">_xll.BDH($C$203,"DPS_SEQUENTIAL_GROWTH","FQ2 2016","FQ2 2016","Currency=INR","Period=FQ","BEST_FPERIOD_OVERRIDE=FQ","FILING_STATUS=OR","EQY_CONSOLIDATED=Y","Sort=A","Dates=H","DateFormat=P","Fill=—","Direction=H","UseDPDF=Y")</f>
        <v>#NAME?</v>
      </c>
      <c r="BL215" s="2" t="e">
        <f ca="1">_xll.BDH($C$203,"ACCOUNTS_RECEIVABLE_SEQ_GROWTH","FQ2 2016","FQ2 2016","Currency=INR","Period=FQ","BEST_FPERIOD_OVERRIDE=FQ","FILING_STATUS=OR","EQY_CONSOLIDATED=Y","Sort=A","Dates=H","DateFormat=P","Fill=—","Direction=H","UseDPDF=Y")</f>
        <v>#NAME?</v>
      </c>
      <c r="BM215" s="2" t="e">
        <f ca="1">_xll.BDH($C$203,"INVENTORY_SEQUENTIAL_GROWTH","FQ2 2016","FQ2 2016","Currency=INR","Period=FQ","BEST_FPERIOD_OVERRIDE=FQ","FILING_STATUS=OR","EQY_CONSOLIDATED=Y","Sort=A","Dates=H","DateFormat=P","Fill=—","Direction=H","UseDPDF=Y")</f>
        <v>#NAME?</v>
      </c>
      <c r="BN215" s="2" t="e">
        <f ca="1">_xll.BDH($C$203,"FIXED_ASSETS_SEQUENTIAL_GROWTH","FQ2 2016","FQ2 2016","Currency=INR","Period=FQ","BEST_FPERIOD_OVERRIDE=FQ","FILING_STATUS=OR","EQY_CONSOLIDATED=Y","Sort=A","Dates=H","DateFormat=P","Fill=—","Direction=H","UseDPDF=Y")</f>
        <v>#NAME?</v>
      </c>
      <c r="BO215" s="2" t="e">
        <f ca="1">_xll.BDH($C$203,"TOTAL_ASSETS_SEQUENTIAL_GROWTH","FQ2 2016","FQ2 2016","Currency=INR","Period=FQ","BEST_FPERIOD_OVERRIDE=FQ","FILING_STATUS=OR","EQY_CONSOLIDATED=Y","Sort=A","Dates=H","DateFormat=P","Fill=—","Direction=H","UseDPDF=Y")</f>
        <v>#NAME?</v>
      </c>
      <c r="BP215" s="2" t="e">
        <f ca="1">_xll.BDH($C$203,"MODIFIED_WORKING_CPTL_SEQ_GRWTH","FQ2 2016","FQ2 2016","Currency=INR","Period=FQ","BEST_FPERIOD_OVERRIDE=FQ","FILING_STATUS=OR","EQY_CONSOLIDATED=Y","Sort=A","Dates=H","DateFormat=P","Fill=—","Direction=H","UseDPDF=Y")</f>
        <v>#NAME?</v>
      </c>
      <c r="BQ215" s="2" t="e">
        <f ca="1">_xll.BDH($C$203,"WORKING_CAPITAL_SEQ_GROWTH","FQ2 2016","FQ2 2016","Currency=INR","Period=FQ","BEST_FPERIOD_OVERRIDE=FQ","FILING_STATUS=OR","EQY_CONSOLIDATED=Y","Sort=A","Dates=H","DateFormat=P","Fill=—","Direction=H","UseDPDF=Y")</f>
        <v>#NAME?</v>
      </c>
      <c r="BR215" s="2" t="e">
        <f ca="1">_xll.BDH($C$203,"ACCOUNTS_PAYABLE_SEQ_GROWTH","FQ2 2016","FQ2 2016","Currency=INR","Period=FQ","BEST_FPERIOD_OVERRIDE=FQ","FILING_STATUS=OR","EQY_CONSOLIDATED=Y","Sort=A","Dates=H","DateFormat=P","Fill=—","Direction=H","UseDPDF=Y")</f>
        <v>#NAME?</v>
      </c>
      <c r="BS215" s="2" t="e">
        <f ca="1">_xll.BDH($C$203,"ST_DEBT_SEQUENTIAL_GROWTH","FQ2 2016","FQ2 2016","Currency=INR","Period=FQ","BEST_FPERIOD_OVERRIDE=FQ","FILING_STATUS=OR","EQY_CONSOLIDATED=Y","Sort=A","Dates=H","DateFormat=P","Fill=—","Direction=H","UseDPDF=Y")</f>
        <v>#NAME?</v>
      </c>
      <c r="BT215" s="2" t="e">
        <f ca="1">_xll.BDH($C$203,"TOTAL_DEBT_SEQUENTIAL_GROWTH","FQ2 2016","FQ2 2016","Currency=INR","Period=FQ","BEST_FPERIOD_OVERRIDE=FQ","FILING_STATUS=OR","EQY_CONSOLIDATED=Y","Sort=A","Dates=H","DateFormat=P","Fill=—","Direction=H","UseDPDF=Y")</f>
        <v>#NAME?</v>
      </c>
      <c r="BU215" s="2" t="e">
        <f ca="1">_xll.BDH($C$203,"TOTAL_EQUITY_SEQUENTIAL_GROWTH","FQ2 2016","FQ2 2016","Currency=INR","Period=FQ","BEST_FPERIOD_OVERRIDE=FQ","FILING_STATUS=OR","EQY_CONSOLIDATED=Y","Sort=A","Dates=H","DateFormat=P","Fill=—","Direction=H","UseDPDF=Y")</f>
        <v>#NAME?</v>
      </c>
      <c r="BV215" s="2" t="e">
        <f ca="1">_xll.BDH($C$203,"TOTAL_CAPITAL_SEQUENTIAL_GROWTH","FQ2 2016","FQ2 2016","Currency=INR","Period=FQ","BEST_FPERIOD_OVERRIDE=FQ","FILING_STATUS=OR","EQY_CONSOLIDATED=Y","Sort=A","Dates=H","DateFormat=P","Fill=—","Direction=H","UseDPDF=Y")</f>
        <v>#NAME?</v>
      </c>
      <c r="BW215" s="2" t="e">
        <f ca="1">_xll.BDH($C$203,"BPS_SEQUENTIAL_GROWTH","FQ2 2016","FQ2 2016","Currency=INR","Period=FQ","BEST_FPERIOD_OVERRIDE=FQ","FILING_STATUS=OR","EQY_CONSOLIDATED=Y","Sort=A","Dates=H","DateFormat=P","Fill=—","Direction=H","UseDPDF=Y")</f>
        <v>#NAME?</v>
      </c>
      <c r="BX215" s="2" t="e">
        <f ca="1">_xll.BDH($C$203,"CFO_SEQUENTIAL_GROWTH","FQ2 2016","FQ2 2016","Currency=INR","Period=FQ","BEST_FPERIOD_OVERRIDE=FQ","FILING_STATUS=OR","EQY_CONSOLIDATED=Y","Sort=A","Dates=H","DateFormat=P","Fill=—","Direction=H","UseDPDF=Y")</f>
        <v>#NAME?</v>
      </c>
      <c r="BY215" s="3" t="e">
        <f ca="1">_xll.BDH($C$203,"SHORT_AND_LONG_TERM_DEBT","FQ2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215" s="3" t="e">
        <f ca="1">_xll.BDH($C$203,"BS_ST_BORROW","FQ2 2016","FQ2 2016","Currency=INR","Period=FQ","BEST_FPERIOD_OVERRIDE=FQ","FILING_STATUS=OR","EQY_CONSOLIDATED=Y","SCALING_FORMAT=MLN","Sort=A","Dates=H","DateFormat=P","Fill=—","Direction=H","UseDPDF=Y")</f>
        <v>#NAME?</v>
      </c>
      <c r="CA215" s="3" t="e">
        <f ca="1">_xll.BDH($C$203,"BS_LT_BORROW","FQ2 2016","FQ2 2016","Currency=INR","Period=FQ","BEST_FPERIOD_OVERRIDE=FQ","FILING_STATUS=OR","EQY_CONSOLIDATED=Y","SCALING_FORMAT=MLN","Sort=A","Dates=H","DateFormat=P","Fill=—","Direction=H","UseDPDF=Y")</f>
        <v>#NAME?</v>
      </c>
      <c r="CB215" s="2" t="e">
        <f ca="1">_xll.BDH($C$203,"TOT_DEBT_TO_EBITDA","FQ2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215" s="2" t="e">
        <f ca="1">_xll.BDH($C$203,"NET_DEBT_TO_EBITDA","FQ2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215" s="2" t="e">
        <f ca="1">_xll.BDH($C$203,"TOTAL_DEBT_TO_EBIT","FQ2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215" s="2" t="e">
        <f ca="1">_xll.BDH($C$203,"NET_DEBT_TO_EBIT","FQ2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215" s="2" t="e">
        <f ca="1">_xll.BDH($C$203,"EBITDA_TO_INTEREST_EXPN","FQ2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215" s="2" t="e">
        <f ca="1">_xll.BDH($C$203,"COM_EQY_TO_TOT_ASSET","FQ2 2016","FQ2 2016","Currency=INR","Period=FQ","BEST_FPERIOD_OVERRIDE=FQ","FILING_STATUS=OR","EQY_CONSOLIDATED=Y","Sort=A","Dates=H","DateFormat=P","Fill=—","Direction=H","UseDPDF=Y")</f>
        <v>#NAME?</v>
      </c>
      <c r="CH215" s="2" t="e">
        <f ca="1">_xll.BDH($C$203,"LT_DEBT_TO_TOT_EQY","FQ2 2016","FQ2 2016","Currency=INR","Period=FQ","BEST_FPERIOD_OVERRIDE=FQ","FILING_STATUS=OR","EQY_CONSOLIDATED=Y","Sort=A","Dates=H","DateFormat=P","Fill=—","Direction=H","UseDPDF=Y")</f>
        <v>#NAME?</v>
      </c>
      <c r="CI215" s="2" t="e">
        <f ca="1">_xll.BDH($C$203,"LT_DEBT_TO_TOT_CAP","FQ2 2016","FQ2 2016","Currency=INR","Period=FQ","BEST_FPERIOD_OVERRIDE=FQ","FILING_STATUS=OR","EQY_CONSOLIDATED=Y","Sort=A","Dates=H","DateFormat=P","Fill=—","Direction=H","UseDPDF=Y")</f>
        <v>#NAME?</v>
      </c>
      <c r="CJ215" s="2" t="e">
        <f ca="1">_xll.BDH($C$203,"LT_DEBT_TO_TOT_ASSET","FQ2 2016","FQ2 2016","Currency=INR","Period=FQ","BEST_FPERIOD_OVERRIDE=FQ","FILING_STATUS=OR","EQY_CONSOLIDATED=Y","Sort=A","Dates=H","DateFormat=P","Fill=—","Direction=H","UseDPDF=Y")</f>
        <v>#NAME?</v>
      </c>
      <c r="CK215" s="2" t="e">
        <f ca="1">_xll.BDH($C$203,"TOT_DEBT_TO_TOT_EQY","FQ2 2016","FQ2 2016","Currency=INR","Period=FQ","BEST_FPERIOD_OVERRIDE=FQ","FILING_STATUS=OR","EQY_CONSOLIDATED=Y","Sort=A","Dates=H","DateFormat=P","Fill=—","Direction=H","UseDPDF=Y")</f>
        <v>#NAME?</v>
      </c>
      <c r="CL215" s="2" t="e">
        <f ca="1">_xll.BDH($C$203,"TOT_DEBT_TO_TOT_CAP","FQ2 2016","FQ2 2016","Currency=INR","Period=FQ","BEST_FPERIOD_OVERRIDE=FQ","FILING_STATUS=OR","EQY_CONSOLIDATED=Y","Sort=A","Dates=H","DateFormat=P","Fill=—","Direction=H","UseDPDF=Y")</f>
        <v>#NAME?</v>
      </c>
      <c r="CM215" s="2" t="e">
        <f ca="1">_xll.BDH($C$203,"TOT_DEBT_TO_TOT_ASSET","FQ2 2016","FQ2 2016","Currency=INR","Period=FQ","BEST_FPERIOD_OVERRIDE=FQ","FILING_STATUS=OR","EQY_CONSOLIDATED=Y","Sort=A","Dates=H","DateFormat=P","Fill=—","Direction=H","UseDPDF=Y")</f>
        <v>#NAME?</v>
      </c>
      <c r="CN215" s="2" t="e">
        <f ca="1">_xll.BDH($C$203,"NET_DEBT_TO_SHRHLDR_EQTY","FQ2 2016","FQ2 2016","Currency=INR","Period=FQ","BEST_FPERIOD_OVERRIDE=FQ","FILING_STATUS=OR","EQY_CONSOLIDATED=Y","Sort=A","Dates=H","DateFormat=P","Fill=—","Direction=H","UseDPDF=Y")</f>
        <v>#NAME?</v>
      </c>
      <c r="CO215" s="2" t="e">
        <f ca="1">_xll.BDH($C$203,"NET_DEBT_%_CAPITAL","FQ2 2016","FQ2 2016","Currency=INR","Period=FQ","BEST_FPERIOD_OVERRIDE=FQ","FILING_STATUS=OR","EQY_CONSOLIDATED=Y","Sort=A","Dates=H","DateFormat=P","Fill=—","Direction=H","UseDPDF=Y")</f>
        <v>#NAME?</v>
      </c>
      <c r="CP215" s="3" t="e">
        <f ca="1">_xll.BDH($C$203,"EBITDA","FQ2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215" s="3" t="e">
        <f ca="1">_xll.BDH($C$203,"EBITDA_AFTER_CAPEX","FQ2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215" s="3" t="e">
        <f ca="1">_xll.BDH($C$203,"IS_OPER_INC","FQ2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215" s="2" t="e">
        <f ca="1">_xll.BDH($C$203,"CASH_RATIO","FQ2 2016","FQ2 2016","Currency=INR","Period=FQ","BEST_FPERIOD_OVERRIDE=FQ","FILING_STATUS=OR","EQY_CONSOLIDATED=Y","Sort=A","Dates=H","DateFormat=P","Fill=—","Direction=H","UseDPDF=Y")</f>
        <v>#NAME?</v>
      </c>
      <c r="CT215" s="2" t="e">
        <f ca="1">_xll.BDH($C$203,"CUR_RATIO","FQ2 2016","FQ2 2016","Currency=INR","Period=FQ","BEST_FPERIOD_OVERRIDE=FQ","FILING_STATUS=OR","EQY_CONSOLIDATED=Y","Sort=A","Dates=H","DateFormat=P","Fill=—","Direction=H","UseDPDF=Y")</f>
        <v>#NAME?</v>
      </c>
      <c r="CU215" s="2" t="e">
        <f ca="1">_xll.BDH($C$203,"QUICK_RATIO","FQ2 2016","FQ2 2016","Currency=INR","Period=FQ","BEST_FPERIOD_OVERRIDE=FQ","FILING_STATUS=OR","EQY_CONSOLIDATED=Y","Sort=A","Dates=H","DateFormat=P","Fill=—","Direction=H","UseDPDF=Y")</f>
        <v>#NAME?</v>
      </c>
      <c r="CV215" s="2" t="e">
        <f ca="1">_xll.BDH($C$203,"ALTMAN_Z_SCORE","FQ2 2016","FQ2 2016","Currency=INR","Period=FQ","BEST_FPERIOD_OVERRIDE=FQ","FILING_STATUS=OR","EQY_CONSOLIDATED=Y","Sort=A","Dates=H","DateFormat=P","Fill=—","Direction=H","UseDPDF=Y")</f>
        <v>#NAME?</v>
      </c>
      <c r="CW215" s="4" t="e">
        <f ca="1">_xll.BDH($C$203,"ACCT_RCV_TURN","FQ2 2016","FQ2 2016","Currency=INR","Period=FQ","BEST_FPERIOD_OVERRIDE=FQ","FILING_STATUS=OR","EQY_CONSOLIDATED=Y","FA_ADJUSTED=GAAP","Sort=A","Dates=H","DateFormat=P","Fill=—","Direction=H","UseDPDF=Y")</f>
        <v>#NAME?</v>
      </c>
      <c r="CX215" s="2" t="e">
        <f ca="1">_xll.BDH($C$203,"ACCT_RCV_DAYS","FQ2 2016","FQ2 2016","Currency=INR","Period=FQ","BEST_FPERIOD_OVERRIDE=FQ","FILING_STATUS=OR","EQY_CONSOLIDATED=Y","FA_ADJUSTED=GAAP","Sort=A","Dates=H","DateFormat=P","Fill=—","Direction=H","UseDPDF=Y")</f>
        <v>#NAME?</v>
      </c>
      <c r="CY215" s="4" t="e">
        <f ca="1">_xll.BDH($C$203,"INVENT_TURN","FQ2 2016","FQ2 2016","Currency=INR","Period=FQ","BEST_FPERIOD_OVERRIDE=FQ","FILING_STATUS=OR","EQY_CONSOLIDATED=Y","FA_ADJUSTED=GAAP","Sort=A","Dates=H","DateFormat=P","Fill=—","Direction=H","UseDPDF=Y")</f>
        <v>#NAME?</v>
      </c>
      <c r="CZ215" s="2" t="e">
        <f ca="1">_xll.BDH($C$203,"INVENT_DAYS","FQ2 2016","FQ2 2016","Currency=INR","Period=FQ","BEST_FPERIOD_OVERRIDE=FQ","FILING_STATUS=OR","EQY_CONSOLIDATED=Y","FA_ADJUSTED=GAAP","Sort=A","Dates=H","DateFormat=P","Fill=—","Direction=H","UseDPDF=Y")</f>
        <v>#NAME?</v>
      </c>
      <c r="DA215" s="4" t="e">
        <f ca="1">_xll.BDH($C$203,"ACCOUNTS_PAYABLE_TURNOVER","FQ2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215" s="2" t="e">
        <f ca="1">_xll.BDH($C$203,"ACCOUNTS_PAYABLE_TURNOVER_DAYS","FQ2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215" s="4" t="e">
        <f ca="1">_xll.BDH($C$203,"CASH_CONVERSION_CYCLE","FQ2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215" s="4" t="e">
        <f ca="1">_xll.BDH($C$203,"INV_TO_CASH_DAYS","FQ2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215" s="5" t="e">
        <f ca="1">_xll.BDH($C$203,"BS_INVENTORIES","FQ2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215" s="3" t="e">
        <f ca="1">_xll.BDH($C$203,"INVTRY_RAW_MATERIALS","FQ2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215" s="3" t="e">
        <f ca="1">_xll.BDH($C$203,"INVTRY_IN_PROGRESS","FQ2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215" s="3" t="e">
        <f ca="1">_xll.BDH($C$203,"INVTRY_FINISHED_GOODS","FQ2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215" s="3" t="e">
        <f ca="1">_xll.BDH($C$203,"BS_OTHER_INV","FQ2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216" spans="1:113" x14ac:dyDescent="0.3">
      <c r="A216" s="6"/>
      <c r="B216" s="6"/>
      <c r="C216" s="6"/>
      <c r="D216" s="6"/>
      <c r="E216" t="s">
        <v>80</v>
      </c>
      <c r="F216" t="e">
        <f ca="1">_xll.BDH($C$203,"RETURN_COM_EQY","FQ3 2016","FQ3 2016","Currency=INR","Period=FQ","BEST_FPERIOD_OVERRIDE=FQ","FILING_STATUS=OR","EQY_CONSOLIDATED=Y","FA_ADJUSTED=GAAP","Sort=A","Dates=H","DateFormat=P","Fill=—","Direction=H","UseDPDF=Y")</f>
        <v>#NAME?</v>
      </c>
      <c r="G216" t="e">
        <f ca="1">_xll.BDH($C$203,"RETURN_ON_ASSET","FQ3 2016","FQ3 2016","Currency=INR","Period=FQ","BEST_FPERIOD_OVERRIDE=FQ","FILING_STATUS=OR","EQY_CONSOLIDATED=Y","FA_ADJUSTED=GAAP","Sort=A","Dates=H","DateFormat=P","Fill=—","Direction=H","UseDPDF=Y")</f>
        <v>#NAME?</v>
      </c>
      <c r="H216" t="e">
        <f ca="1">_xll.BDH($C$203,"RETURN_ON_CAP","FQ3 2016","FQ3 2016","Currency=INR","Period=FQ","BEST_FPERIOD_OVERRIDE=FQ","FILING_STATUS=OR","EQY_CONSOLIDATED=Y","FA_ADJUSTED=GAAP","Sort=A","Dates=H","DateFormat=P","Fill=—","Direction=H","UseDPDF=Y")</f>
        <v>#NAME?</v>
      </c>
      <c r="I216" t="e">
        <f ca="1">_xll.BDH($C$203,"RETURN_ON_INV_CAPITAL","FQ3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216" t="e">
        <f ca="1">_xll.BDH($C$203,"EBITDA_TO_REVENUE","FQ3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216" t="e">
        <f ca="1">_xll.BDH($C$203,"OPER_MARGIN","FQ3 2016","FQ3 2016","Currency=INR","Period=FQ","BEST_FPERIOD_OVERRIDE=FQ","FILING_STATUS=OR","EQY_CONSOLIDATED=Y","FA_ADJUSTED=GAAP","Sort=A","Dates=H","DateFormat=P","Fill=—","Direction=H","UseDPDF=Y")</f>
        <v>#NAME?</v>
      </c>
      <c r="L216" t="e">
        <f ca="1">_xll.BDH($C$203,"INCREMENTAL_OPERATING_MARGIN","FQ3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216" t="e">
        <f ca="1">_xll.BDH($C$203,"PRETAX_INC_TO_NET_SALES","FQ3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216" t="e">
        <f ca="1">_xll.BDH($C$203,"INC_BEF_XO_ITEMS_TO_NET_SALES","FQ3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216" t="e">
        <f ca="1">_xll.BDH($C$203,"PROF_MARGIN","FQ3 2016","FQ3 2016","Currency=INR","Period=FQ","BEST_FPERIOD_OVERRIDE=FQ","FILING_STATUS=OR","EQY_CONSOLIDATED=Y","FA_ADJUSTED=GAAP","Sort=A","Dates=H","DateFormat=P","Fill=—","Direction=H","UseDPDF=Y")</f>
        <v>#NAME?</v>
      </c>
      <c r="P216" t="e">
        <f ca="1">_xll.BDH($C$203,"NET_INCOME_TO_COMMON_MARGIN","FQ3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216" t="e">
        <f ca="1">_xll.BDH($C$203,"EFF_TAX_RATE","FQ3 2016","FQ3 2016","Currency=INR","Period=FQ","BEST_FPERIOD_OVERRIDE=FQ","FILING_STATUS=OR","EQY_CONSOLIDATED=Y","FA_ADJUSTED=GAAP","Sort=A","Dates=H","DateFormat=P","Fill=—","Direction=H","UseDPDF=Y")</f>
        <v>#NAME?</v>
      </c>
      <c r="R216" t="e">
        <f ca="1">_xll.BDH($C$203,"DVD_PAYOUT_RATIO","FQ3 2016","FQ3 2016","Currency=INR","Period=FQ","BEST_FPERIOD_OVERRIDE=FQ","FILING_STATUS=OR","EQY_CONSOLIDATED=Y","FA_ADJUSTED=GAAP","Sort=A","Dates=H","DateFormat=P","Fill=—","Direction=H","UseDPDF=Y")</f>
        <v>#NAME?</v>
      </c>
      <c r="S216" t="e">
        <f ca="1">_xll.BDH($C$203,"SUSTAIN_GROWTH_RT","FQ3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216" s="2" t="e">
        <f ca="1">_xll.BDH($C$203,"SALES_GROWTH","FQ3 2016","FQ3 2016","Currency=INR","Period=FQ","BEST_FPERIOD_OVERRIDE=FQ","FILING_STATUS=OR","EQY_CONSOLIDATED=Y","FA_ADJUSTED=GAAP","Sort=A","Dates=H","DateFormat=P","Fill=—","Direction=H","UseDPDF=Y")</f>
        <v>#NAME?</v>
      </c>
      <c r="U216" s="2" t="e">
        <f ca="1">_xll.BDH($C$203,"EBITDA_GROWTH","FQ3 2016","FQ3 2016","Currency=INR","Period=FQ","BEST_FPERIOD_OVERRIDE=FQ","FILING_STATUS=OR","EQY_CONSOLIDATED=Y","FA_ADJUSTED=GAAP","Sort=A","Dates=H","DateFormat=P","Fill=—","Direction=H","UseDPDF=Y")</f>
        <v>#NAME?</v>
      </c>
      <c r="V216" s="2" t="e">
        <f ca="1">_xll.BDH($C$203,"OPER_INC_GROWTH","FQ3 2016","FQ3 2016","Currency=INR","Period=FQ","BEST_FPERIOD_OVERRIDE=FQ","FILING_STATUS=OR","EQY_CONSOLIDATED=Y","FA_ADJUSTED=GAAP","Sort=A","Dates=H","DateFormat=P","Fill=—","Direction=H","UseDPDF=Y")</f>
        <v>#NAME?</v>
      </c>
      <c r="W216" s="2" t="e">
        <f ca="1">_xll.BDH($C$203,"EARN_FOR_COM_GROWTH","FQ3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216" s="2" t="e">
        <f ca="1">_xll.BDH($C$203,"DILUTED_EPS_AFT_XO_ITEMS_GROWTH","FQ3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216" s="2" t="e">
        <f ca="1">_xll.BDH($C$203,"DIVIDEND_PER_SHARE_1_YEAR_GROWTH","FQ3 2016","FQ3 2016","Currency=INR","Period=FQ","BEST_FPERIOD_OVERRIDE=FQ","FILING_STATUS=OR","EQY_CONSOLIDATED=Y","Sort=A","Dates=H","DateFormat=P","Fill=—","Direction=H","UseDPDF=Y")</f>
        <v>#NAME?</v>
      </c>
      <c r="Z216" s="2" t="e">
        <f ca="1">_xll.BDH($C$203,"ACCOUNTS_RECEIVABLE_GROWTH","FQ3 2016","FQ3 2016","Currency=INR","Period=FQ","BEST_FPERIOD_OVERRIDE=FQ","FILING_STATUS=OR","EQY_CONSOLIDATED=Y","Sort=A","Dates=H","DateFormat=P","Fill=—","Direction=H","UseDPDF=Y")</f>
        <v>#NAME?</v>
      </c>
      <c r="AA216" s="2" t="e">
        <f ca="1">_xll.BDH($C$203,"INVENTORY_GROWTH","FQ3 2016","FQ3 2016","Currency=INR","Period=FQ","BEST_FPERIOD_OVERRIDE=FQ","FILING_STATUS=OR","EQY_CONSOLIDATED=Y","Sort=A","Dates=H","DateFormat=P","Fill=—","Direction=H","UseDPDF=Y")</f>
        <v>#NAME?</v>
      </c>
      <c r="AB216" s="2" t="e">
        <f ca="1">_xll.BDH($C$203,"NET_FIXED_ASSETS_1_YEAR_GROWTH","FQ3 2016","FQ3 2016","Currency=INR","Period=FQ","BEST_FPERIOD_OVERRIDE=FQ","FILING_STATUS=OR","EQY_CONSOLIDATED=Y","Sort=A","Dates=H","DateFormat=P","Fill=—","Direction=H","UseDPDF=Y")</f>
        <v>#NAME?</v>
      </c>
      <c r="AC216" s="2" t="e">
        <f ca="1">_xll.BDH($C$203,"ASSET_GROWTH","FQ3 2016","FQ3 2016","Currency=INR","Period=FQ","BEST_FPERIOD_OVERRIDE=FQ","FILING_STATUS=OR","EQY_CONSOLIDATED=Y","Sort=A","Dates=H","DateFormat=P","Fill=—","Direction=H","UseDPDF=Y")</f>
        <v>#NAME?</v>
      </c>
      <c r="AD216" s="2" t="e">
        <f ca="1">_xll.BDH($C$203,"MODIFIED_WORK_CAP_GROWTH","FQ3 2016","FQ3 2016","Currency=INR","Period=FQ","BEST_FPERIOD_OVERRIDE=FQ","FILING_STATUS=OR","EQY_CONSOLIDATED=Y","Sort=A","Dates=H","DateFormat=P","Fill=—","Direction=H","UseDPDF=Y")</f>
        <v>#NAME?</v>
      </c>
      <c r="AE216" s="2" t="e">
        <f ca="1">_xll.BDH($C$203,"WORK_CAP_GROWTH","FQ3 2016","FQ3 2016","Currency=INR","Period=FQ","BEST_FPERIOD_OVERRIDE=FQ","FILING_STATUS=OR","EQY_CONSOLIDATED=Y","Sort=A","Dates=H","DateFormat=P","Fill=—","Direction=H","UseDPDF=Y")</f>
        <v>#NAME?</v>
      </c>
      <c r="AF216" s="2" t="e">
        <f ca="1">_xll.BDH($C$203,"ACCOUNTS_PAYABLE_GROWTH_1YR","FQ3 2016","FQ3 2016","Currency=INR","Period=FQ","BEST_FPERIOD_OVERRIDE=FQ","FILING_STATUS=OR","EQY_CONSOLIDATED=Y","Sort=A","Dates=H","DateFormat=P","Fill=—","Direction=H","UseDPDF=Y")</f>
        <v>#NAME?</v>
      </c>
      <c r="AG216" s="2" t="e">
        <f ca="1">_xll.BDH($C$203,"SHORT_TERM_DEBT_1_YEAR_GROWTH","FQ3 2016","FQ3 2016","Currency=INR","Period=FQ","BEST_FPERIOD_OVERRIDE=FQ","FILING_STATUS=OR","EQY_CONSOLIDATED=Y","Sort=A","Dates=H","DateFormat=P","Fill=—","Direction=H","UseDPDF=Y")</f>
        <v>#NAME?</v>
      </c>
      <c r="AH216" s="2" t="e">
        <f ca="1">_xll.BDH($C$203,"TOTAL_DEBT_1_YEAR_GROWTH","FQ3 2016","FQ3 2016","Currency=INR","Period=FQ","BEST_FPERIOD_OVERRIDE=FQ","FILING_STATUS=OR","EQY_CONSOLIDATED=Y","Sort=A","Dates=H","DateFormat=P","Fill=—","Direction=H","UseDPDF=Y")</f>
        <v>#NAME?</v>
      </c>
      <c r="AI216" s="2" t="e">
        <f ca="1">_xll.BDH($C$203,"TOTAL_EQUITY_1_YEAR_GROWTH","FQ3 2016","FQ3 2016","Currency=INR","Period=FQ","BEST_FPERIOD_OVERRIDE=FQ","FILING_STATUS=OR","EQY_CONSOLIDATED=Y","Sort=A","Dates=H","DateFormat=P","Fill=—","Direction=H","UseDPDF=Y")</f>
        <v>#NAME?</v>
      </c>
      <c r="AJ216" s="2" t="e">
        <f ca="1">_xll.BDH($C$203,"GROWTH_IN_CAP","FQ3 2016","FQ3 2016","Currency=INR","Period=FQ","BEST_FPERIOD_OVERRIDE=FQ","FILING_STATUS=OR","EQY_CONSOLIDATED=Y","Sort=A","Dates=H","DateFormat=P","Fill=—","Direction=H","UseDPDF=Y")</f>
        <v>#NAME?</v>
      </c>
      <c r="AK216" s="2" t="e">
        <f ca="1">_xll.BDH($C$203,"BVPS_GROWTH","FQ3 2016","FQ3 2016","Currency=INR","Period=FQ","BEST_FPERIOD_OVERRIDE=FQ","FILING_STATUS=OR","EQY_CONSOLIDATED=Y","Sort=A","Dates=H","DateFormat=P","Fill=—","Direction=H","UseDPDF=Y")</f>
        <v>#NAME?</v>
      </c>
      <c r="AL216" s="2" t="e">
        <f ca="1">_xll.BDH($C$203,"CASH_FLOW_GROWTH","FQ3 2016","FQ3 2016","Currency=INR","Period=FQ","BEST_FPERIOD_OVERRIDE=FQ","FILING_STATUS=OR","EQY_CONSOLIDATED=Y","Sort=A","Dates=H","DateFormat=P","Fill=—","Direction=H","UseDPDF=Y")</f>
        <v>#NAME?</v>
      </c>
      <c r="AM216" s="2" t="e">
        <f ca="1">_xll.BDH($C$203,"GEO_GROW_NET_SALES","FQ3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216" s="2" t="e">
        <f ca="1">_xll.BDH($C$203,"GEO_GROW_EBITDA","FQ3 2016","FQ3 2016","Currency=INR","Period=FQ","BEST_FPERIOD_OVERRIDE=FQ","FILING_STATUS=OR","EQY_CONSOLIDATED=Y","FA_ADJUSTED=GAAP","Sort=A","Dates=H","DateFormat=P","Fill=—","Direction=H","UseDPDF=Y")</f>
        <v>#NAME?</v>
      </c>
      <c r="AO216" s="2" t="e">
        <f ca="1">_xll.BDH($C$203,"GEO_GROW_OPER_INC","FQ3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216" s="2" t="e">
        <f ca="1">_xll.BDH($C$203,"NET_INCOME_TO_COMMON_5_YR_GROWTH","FQ3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216" s="2" t="e">
        <f ca="1">_xll.BDH($C$203,"5Y_GEO_GROWTH_DILUTED_EPS","FQ3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216" s="2" t="e">
        <f ca="1">_xll.BDH($C$203,"GEO_GROW_DVD_PER_SH","FQ3 2016","FQ3 2016","Currency=INR","Period=FQ","BEST_FPERIOD_OVERRIDE=FQ","FILING_STATUS=OR","EQY_CONSOLIDATED=Y","Sort=A","Dates=H","DateFormat=P","Fill=—","Direction=H","UseDPDF=Y")</f>
        <v>#NAME?</v>
      </c>
      <c r="AS216" s="2" t="e">
        <f ca="1">_xll.BDH($C$203,"ACCOUNTS_RECEIVABLE_5_YR_GROWTH","FQ3 2016","FQ3 2016","Currency=INR","Period=FQ","BEST_FPERIOD_OVERRIDE=FQ","FILING_STATUS=OR","EQY_CONSOLIDATED=Y","Sort=A","Dates=H","DateFormat=P","Fill=—","Direction=H","UseDPDF=Y")</f>
        <v>#NAME?</v>
      </c>
      <c r="AT216" s="2" t="e">
        <f ca="1">_xll.BDH($C$203,"INVENTORY_5_YEAR_GROWTH","FQ3 2016","FQ3 2016","Currency=INR","Period=FQ","BEST_FPERIOD_OVERRIDE=FQ","FILING_STATUS=OR","EQY_CONSOLIDATED=Y","Sort=A","Dates=H","DateFormat=P","Fill=—","Direction=H","UseDPDF=Y")</f>
        <v>#NAME?</v>
      </c>
      <c r="AU216" s="2" t="e">
        <f ca="1">_xll.BDH($C$203,"NET_FIXED_ASSETS_5_YEAR_GROWTH","FQ3 2016","FQ3 2016","Currency=INR","Period=FQ","BEST_FPERIOD_OVERRIDE=FQ","FILING_STATUS=OR","EQY_CONSOLIDATED=Y","Sort=A","Dates=H","DateFormat=P","Fill=—","Direction=H","UseDPDF=Y")</f>
        <v>#NAME?</v>
      </c>
      <c r="AV216" s="2" t="e">
        <f ca="1">_xll.BDH($C$203,"GEO_GROW_TOT_ASSET","FQ3 2016","FQ3 2016","Currency=INR","Period=FQ","BEST_FPERIOD_OVERRIDE=FQ","FILING_STATUS=OR","EQY_CONSOLIDATED=Y","Sort=A","Dates=H","DateFormat=P","Fill=—","Direction=H","UseDPDF=Y")</f>
        <v>#NAME?</v>
      </c>
      <c r="AW216" s="2" t="e">
        <f ca="1">_xll.BDH($C$203,"MODIFIED_WORKING_CPTL_5YR_GRWTH","FQ3 2016","FQ3 2016","Currency=INR","Period=FQ","BEST_FPERIOD_OVERRIDE=FQ","FILING_STATUS=OR","EQY_CONSOLIDATED=Y","Sort=A","Dates=H","DateFormat=P","Fill=—","Direction=H","UseDPDF=Y")</f>
        <v>#NAME?</v>
      </c>
      <c r="AX216" s="2" t="e">
        <f ca="1">_xll.BDH($C$203,"WORKING_CAPITAL_5_YEAR_GROWTH","FQ3 2016","FQ3 2016","Currency=INR","Period=FQ","BEST_FPERIOD_OVERRIDE=FQ","FILING_STATUS=OR","EQY_CONSOLIDATED=Y","Sort=A","Dates=H","DateFormat=P","Fill=—","Direction=H","UseDPDF=Y")</f>
        <v>#NAME?</v>
      </c>
      <c r="AY216" s="2" t="e">
        <f ca="1">_xll.BDH($C$203,"ACCOUNTS_PAYABLE_5_YEAR_GROWTH","FQ3 2016","FQ3 2016","Currency=INR","Period=FQ","BEST_FPERIOD_OVERRIDE=FQ","FILING_STATUS=OR","EQY_CONSOLIDATED=Y","Sort=A","Dates=H","DateFormat=P","Fill=—","Direction=H","UseDPDF=Y")</f>
        <v>#NAME?</v>
      </c>
      <c r="AZ216" s="2" t="e">
        <f ca="1">_xll.BDH($C$203,"SHORT_TERM_DEBT_5_YEAR_GROWTH","FQ3 2016","FQ3 2016","Currency=INR","Period=FQ","BEST_FPERIOD_OVERRIDE=FQ","FILING_STATUS=OR","EQY_CONSOLIDATED=Y","Sort=A","Dates=H","DateFormat=P","Fill=—","Direction=H","UseDPDF=Y")</f>
        <v>#NAME?</v>
      </c>
      <c r="BA216" s="2" t="e">
        <f ca="1">_xll.BDH($C$203,"TOTAL_DEBT_5_YEAR_GROWTH","FQ3 2016","FQ3 2016","Currency=INR","Period=FQ","BEST_FPERIOD_OVERRIDE=FQ","FILING_STATUS=OR","EQY_CONSOLIDATED=Y","Sort=A","Dates=H","DateFormat=P","Fill=—","Direction=H","UseDPDF=Y")</f>
        <v>#NAME?</v>
      </c>
      <c r="BB216" s="2" t="e">
        <f ca="1">_xll.BDH($C$203,"GEO_GROW_TOT_SHRHLDR_EQY","FQ3 2016","FQ3 2016","Currency=INR","Period=FQ","BEST_FPERIOD_OVERRIDE=FQ","FILING_STATUS=OR","EQY_CONSOLIDATED=Y","Sort=A","Dates=H","DateFormat=P","Fill=—","Direction=H","UseDPDF=Y")</f>
        <v>#NAME?</v>
      </c>
      <c r="BC216" s="2" t="e">
        <f ca="1">_xll.BDH($C$203,"TOTAL_CAPITAL_5_YEAR_GROWTH","FQ3 2016","FQ3 2016","Currency=INR","Period=FQ","BEST_FPERIOD_OVERRIDE=FQ","FILING_STATUS=OR","EQY_CONSOLIDATED=Y","Sort=A","Dates=H","DateFormat=P","Fill=—","Direction=H","UseDPDF=Y")</f>
        <v>#NAME?</v>
      </c>
      <c r="BD216" s="2" t="e">
        <f ca="1">_xll.BDH($C$203,"GEO_GROW_BOOK_VAL","FQ3 2016","FQ3 2016","Currency=INR","Period=FQ","BEST_FPERIOD_OVERRIDE=FQ","FILING_STATUS=OR","EQY_CONSOLIDATED=Y","Sort=A","Dates=H","DateFormat=P","Fill=—","Direction=H","UseDPDF=Y")</f>
        <v>#NAME?</v>
      </c>
      <c r="BE216" s="2" t="e">
        <f ca="1">_xll.BDH($C$203,"GEO_GROW_CASH_OPER_ACT","FQ3 2016","FQ3 2016","Currency=INR","Period=FQ","BEST_FPERIOD_OVERRIDE=FQ","FILING_STATUS=OR","EQY_CONSOLIDATED=Y","Sort=A","Dates=H","DateFormat=P","Fill=—","Direction=H","UseDPDF=Y")</f>
        <v>#NAME?</v>
      </c>
      <c r="BF216" s="2" t="e">
        <f ca="1">_xll.BDH($C$203,"REVENUE_SEQUENTIAL_GROWTH","FQ3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216" s="2" t="e">
        <f ca="1">_xll.BDH($C$203,"EBITDA_SEQUENTIAL_GROWTH","FQ3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216" s="2" t="e">
        <f ca="1">_xll.BDH($C$203,"OPERATING_INCOME_SEQ_GROWTH","FQ3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216" s="2" t="e">
        <f ca="1">_xll.BDH($C$203,"NET_INCOME_TO_COMMON_SEQ_GROWTH","FQ3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216" s="2" t="e">
        <f ca="1">_xll.BDH($C$203,"EPS_DILUTED_SEQUENTIAL_GROWTH","FQ3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216" s="2" t="e">
        <f ca="1">_xll.BDH($C$203,"DPS_SEQUENTIAL_GROWTH","FQ3 2016","FQ3 2016","Currency=INR","Period=FQ","BEST_FPERIOD_OVERRIDE=FQ","FILING_STATUS=OR","EQY_CONSOLIDATED=Y","Sort=A","Dates=H","DateFormat=P","Fill=—","Direction=H","UseDPDF=Y")</f>
        <v>#NAME?</v>
      </c>
      <c r="BL216" s="2" t="e">
        <f ca="1">_xll.BDH($C$203,"ACCOUNTS_RECEIVABLE_SEQ_GROWTH","FQ3 2016","FQ3 2016","Currency=INR","Period=FQ","BEST_FPERIOD_OVERRIDE=FQ","FILING_STATUS=OR","EQY_CONSOLIDATED=Y","Sort=A","Dates=H","DateFormat=P","Fill=—","Direction=H","UseDPDF=Y")</f>
        <v>#NAME?</v>
      </c>
      <c r="BM216" s="2" t="e">
        <f ca="1">_xll.BDH($C$203,"INVENTORY_SEQUENTIAL_GROWTH","FQ3 2016","FQ3 2016","Currency=INR","Period=FQ","BEST_FPERIOD_OVERRIDE=FQ","FILING_STATUS=OR","EQY_CONSOLIDATED=Y","Sort=A","Dates=H","DateFormat=P","Fill=—","Direction=H","UseDPDF=Y")</f>
        <v>#NAME?</v>
      </c>
      <c r="BN216" s="2" t="e">
        <f ca="1">_xll.BDH($C$203,"FIXED_ASSETS_SEQUENTIAL_GROWTH","FQ3 2016","FQ3 2016","Currency=INR","Period=FQ","BEST_FPERIOD_OVERRIDE=FQ","FILING_STATUS=OR","EQY_CONSOLIDATED=Y","Sort=A","Dates=H","DateFormat=P","Fill=—","Direction=H","UseDPDF=Y")</f>
        <v>#NAME?</v>
      </c>
      <c r="BO216" s="2" t="e">
        <f ca="1">_xll.BDH($C$203,"TOTAL_ASSETS_SEQUENTIAL_GROWTH","FQ3 2016","FQ3 2016","Currency=INR","Period=FQ","BEST_FPERIOD_OVERRIDE=FQ","FILING_STATUS=OR","EQY_CONSOLIDATED=Y","Sort=A","Dates=H","DateFormat=P","Fill=—","Direction=H","UseDPDF=Y")</f>
        <v>#NAME?</v>
      </c>
      <c r="BP216" s="2" t="e">
        <f ca="1">_xll.BDH($C$203,"MODIFIED_WORKING_CPTL_SEQ_GRWTH","FQ3 2016","FQ3 2016","Currency=INR","Period=FQ","BEST_FPERIOD_OVERRIDE=FQ","FILING_STATUS=OR","EQY_CONSOLIDATED=Y","Sort=A","Dates=H","DateFormat=P","Fill=—","Direction=H","UseDPDF=Y")</f>
        <v>#NAME?</v>
      </c>
      <c r="BQ216" s="2" t="e">
        <f ca="1">_xll.BDH($C$203,"WORKING_CAPITAL_SEQ_GROWTH","FQ3 2016","FQ3 2016","Currency=INR","Period=FQ","BEST_FPERIOD_OVERRIDE=FQ","FILING_STATUS=OR","EQY_CONSOLIDATED=Y","Sort=A","Dates=H","DateFormat=P","Fill=—","Direction=H","UseDPDF=Y")</f>
        <v>#NAME?</v>
      </c>
      <c r="BR216" s="2" t="e">
        <f ca="1">_xll.BDH($C$203,"ACCOUNTS_PAYABLE_SEQ_GROWTH","FQ3 2016","FQ3 2016","Currency=INR","Period=FQ","BEST_FPERIOD_OVERRIDE=FQ","FILING_STATUS=OR","EQY_CONSOLIDATED=Y","Sort=A","Dates=H","DateFormat=P","Fill=—","Direction=H","UseDPDF=Y")</f>
        <v>#NAME?</v>
      </c>
      <c r="BS216" s="2" t="e">
        <f ca="1">_xll.BDH($C$203,"ST_DEBT_SEQUENTIAL_GROWTH","FQ3 2016","FQ3 2016","Currency=INR","Period=FQ","BEST_FPERIOD_OVERRIDE=FQ","FILING_STATUS=OR","EQY_CONSOLIDATED=Y","Sort=A","Dates=H","DateFormat=P","Fill=—","Direction=H","UseDPDF=Y")</f>
        <v>#NAME?</v>
      </c>
      <c r="BT216" s="2" t="e">
        <f ca="1">_xll.BDH($C$203,"TOTAL_DEBT_SEQUENTIAL_GROWTH","FQ3 2016","FQ3 2016","Currency=INR","Period=FQ","BEST_FPERIOD_OVERRIDE=FQ","FILING_STATUS=OR","EQY_CONSOLIDATED=Y","Sort=A","Dates=H","DateFormat=P","Fill=—","Direction=H","UseDPDF=Y")</f>
        <v>#NAME?</v>
      </c>
      <c r="BU216" s="2" t="e">
        <f ca="1">_xll.BDH($C$203,"TOTAL_EQUITY_SEQUENTIAL_GROWTH","FQ3 2016","FQ3 2016","Currency=INR","Period=FQ","BEST_FPERIOD_OVERRIDE=FQ","FILING_STATUS=OR","EQY_CONSOLIDATED=Y","Sort=A","Dates=H","DateFormat=P","Fill=—","Direction=H","UseDPDF=Y")</f>
        <v>#NAME?</v>
      </c>
      <c r="BV216" s="2" t="e">
        <f ca="1">_xll.BDH($C$203,"TOTAL_CAPITAL_SEQUENTIAL_GROWTH","FQ3 2016","FQ3 2016","Currency=INR","Period=FQ","BEST_FPERIOD_OVERRIDE=FQ","FILING_STATUS=OR","EQY_CONSOLIDATED=Y","Sort=A","Dates=H","DateFormat=P","Fill=—","Direction=H","UseDPDF=Y")</f>
        <v>#NAME?</v>
      </c>
      <c r="BW216" s="2" t="e">
        <f ca="1">_xll.BDH($C$203,"BPS_SEQUENTIAL_GROWTH","FQ3 2016","FQ3 2016","Currency=INR","Period=FQ","BEST_FPERIOD_OVERRIDE=FQ","FILING_STATUS=OR","EQY_CONSOLIDATED=Y","Sort=A","Dates=H","DateFormat=P","Fill=—","Direction=H","UseDPDF=Y")</f>
        <v>#NAME?</v>
      </c>
      <c r="BX216" s="2" t="e">
        <f ca="1">_xll.BDH($C$203,"CFO_SEQUENTIAL_GROWTH","FQ3 2016","FQ3 2016","Currency=INR","Period=FQ","BEST_FPERIOD_OVERRIDE=FQ","FILING_STATUS=OR","EQY_CONSOLIDATED=Y","Sort=A","Dates=H","DateFormat=P","Fill=—","Direction=H","UseDPDF=Y")</f>
        <v>#NAME?</v>
      </c>
      <c r="BY216" s="3" t="e">
        <f ca="1">_xll.BDH($C$203,"SHORT_AND_LONG_TERM_DEBT","FQ3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216" s="3" t="e">
        <f ca="1">_xll.BDH($C$203,"BS_ST_BORROW","FQ3 2016","FQ3 2016","Currency=INR","Period=FQ","BEST_FPERIOD_OVERRIDE=FQ","FILING_STATUS=OR","EQY_CONSOLIDATED=Y","SCALING_FORMAT=MLN","Sort=A","Dates=H","DateFormat=P","Fill=—","Direction=H","UseDPDF=Y")</f>
        <v>#NAME?</v>
      </c>
      <c r="CA216" s="3" t="e">
        <f ca="1">_xll.BDH($C$203,"BS_LT_BORROW","FQ3 2016","FQ3 2016","Currency=INR","Period=FQ","BEST_FPERIOD_OVERRIDE=FQ","FILING_STATUS=OR","EQY_CONSOLIDATED=Y","SCALING_FORMAT=MLN","Sort=A","Dates=H","DateFormat=P","Fill=—","Direction=H","UseDPDF=Y")</f>
        <v>#NAME?</v>
      </c>
      <c r="CB216" s="2" t="e">
        <f ca="1">_xll.BDH($C$203,"TOT_DEBT_TO_EBITDA","FQ3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216" s="2" t="e">
        <f ca="1">_xll.BDH($C$203,"NET_DEBT_TO_EBITDA","FQ3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216" s="2" t="e">
        <f ca="1">_xll.BDH($C$203,"TOTAL_DEBT_TO_EBIT","FQ3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216" s="2" t="e">
        <f ca="1">_xll.BDH($C$203,"NET_DEBT_TO_EBIT","FQ3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216" s="2" t="e">
        <f ca="1">_xll.BDH($C$203,"EBITDA_TO_INTEREST_EXPN","FQ3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216" s="2" t="e">
        <f ca="1">_xll.BDH($C$203,"COM_EQY_TO_TOT_ASSET","FQ3 2016","FQ3 2016","Currency=INR","Period=FQ","BEST_FPERIOD_OVERRIDE=FQ","FILING_STATUS=OR","EQY_CONSOLIDATED=Y","Sort=A","Dates=H","DateFormat=P","Fill=—","Direction=H","UseDPDF=Y")</f>
        <v>#NAME?</v>
      </c>
      <c r="CH216" s="2" t="e">
        <f ca="1">_xll.BDH($C$203,"LT_DEBT_TO_TOT_EQY","FQ3 2016","FQ3 2016","Currency=INR","Period=FQ","BEST_FPERIOD_OVERRIDE=FQ","FILING_STATUS=OR","EQY_CONSOLIDATED=Y","Sort=A","Dates=H","DateFormat=P","Fill=—","Direction=H","UseDPDF=Y")</f>
        <v>#NAME?</v>
      </c>
      <c r="CI216" s="2" t="e">
        <f ca="1">_xll.BDH($C$203,"LT_DEBT_TO_TOT_CAP","FQ3 2016","FQ3 2016","Currency=INR","Period=FQ","BEST_FPERIOD_OVERRIDE=FQ","FILING_STATUS=OR","EQY_CONSOLIDATED=Y","Sort=A","Dates=H","DateFormat=P","Fill=—","Direction=H","UseDPDF=Y")</f>
        <v>#NAME?</v>
      </c>
      <c r="CJ216" s="2" t="e">
        <f ca="1">_xll.BDH($C$203,"LT_DEBT_TO_TOT_ASSET","FQ3 2016","FQ3 2016","Currency=INR","Period=FQ","BEST_FPERIOD_OVERRIDE=FQ","FILING_STATUS=OR","EQY_CONSOLIDATED=Y","Sort=A","Dates=H","DateFormat=P","Fill=—","Direction=H","UseDPDF=Y")</f>
        <v>#NAME?</v>
      </c>
      <c r="CK216" s="2" t="e">
        <f ca="1">_xll.BDH($C$203,"TOT_DEBT_TO_TOT_EQY","FQ3 2016","FQ3 2016","Currency=INR","Period=FQ","BEST_FPERIOD_OVERRIDE=FQ","FILING_STATUS=OR","EQY_CONSOLIDATED=Y","Sort=A","Dates=H","DateFormat=P","Fill=—","Direction=H","UseDPDF=Y")</f>
        <v>#NAME?</v>
      </c>
      <c r="CL216" s="2" t="e">
        <f ca="1">_xll.BDH($C$203,"TOT_DEBT_TO_TOT_CAP","FQ3 2016","FQ3 2016","Currency=INR","Period=FQ","BEST_FPERIOD_OVERRIDE=FQ","FILING_STATUS=OR","EQY_CONSOLIDATED=Y","Sort=A","Dates=H","DateFormat=P","Fill=—","Direction=H","UseDPDF=Y")</f>
        <v>#NAME?</v>
      </c>
      <c r="CM216" s="2" t="e">
        <f ca="1">_xll.BDH($C$203,"TOT_DEBT_TO_TOT_ASSET","FQ3 2016","FQ3 2016","Currency=INR","Period=FQ","BEST_FPERIOD_OVERRIDE=FQ","FILING_STATUS=OR","EQY_CONSOLIDATED=Y","Sort=A","Dates=H","DateFormat=P","Fill=—","Direction=H","UseDPDF=Y")</f>
        <v>#NAME?</v>
      </c>
      <c r="CN216" s="2" t="e">
        <f ca="1">_xll.BDH($C$203,"NET_DEBT_TO_SHRHLDR_EQTY","FQ3 2016","FQ3 2016","Currency=INR","Period=FQ","BEST_FPERIOD_OVERRIDE=FQ","FILING_STATUS=OR","EQY_CONSOLIDATED=Y","Sort=A","Dates=H","DateFormat=P","Fill=—","Direction=H","UseDPDF=Y")</f>
        <v>#NAME?</v>
      </c>
      <c r="CO216" s="2" t="e">
        <f ca="1">_xll.BDH($C$203,"NET_DEBT_%_CAPITAL","FQ3 2016","FQ3 2016","Currency=INR","Period=FQ","BEST_FPERIOD_OVERRIDE=FQ","FILING_STATUS=OR","EQY_CONSOLIDATED=Y","Sort=A","Dates=H","DateFormat=P","Fill=—","Direction=H","UseDPDF=Y")</f>
        <v>#NAME?</v>
      </c>
      <c r="CP216" s="3" t="e">
        <f ca="1">_xll.BDH($C$203,"EBITDA","FQ3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216" s="3" t="e">
        <f ca="1">_xll.BDH($C$203,"EBITDA_AFTER_CAPEX","FQ3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216" s="3" t="e">
        <f ca="1">_xll.BDH($C$203,"IS_OPER_INC","FQ3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216" s="2" t="e">
        <f ca="1">_xll.BDH($C$203,"CASH_RATIO","FQ3 2016","FQ3 2016","Currency=INR","Period=FQ","BEST_FPERIOD_OVERRIDE=FQ","FILING_STATUS=OR","EQY_CONSOLIDATED=Y","Sort=A","Dates=H","DateFormat=P","Fill=—","Direction=H","UseDPDF=Y")</f>
        <v>#NAME?</v>
      </c>
      <c r="CT216" s="2" t="e">
        <f ca="1">_xll.BDH($C$203,"CUR_RATIO","FQ3 2016","FQ3 2016","Currency=INR","Period=FQ","BEST_FPERIOD_OVERRIDE=FQ","FILING_STATUS=OR","EQY_CONSOLIDATED=Y","Sort=A","Dates=H","DateFormat=P","Fill=—","Direction=H","UseDPDF=Y")</f>
        <v>#NAME?</v>
      </c>
      <c r="CU216" s="2" t="e">
        <f ca="1">_xll.BDH($C$203,"QUICK_RATIO","FQ3 2016","FQ3 2016","Currency=INR","Period=FQ","BEST_FPERIOD_OVERRIDE=FQ","FILING_STATUS=OR","EQY_CONSOLIDATED=Y","Sort=A","Dates=H","DateFormat=P","Fill=—","Direction=H","UseDPDF=Y")</f>
        <v>#NAME?</v>
      </c>
      <c r="CV216" s="2" t="e">
        <f ca="1">_xll.BDH($C$203,"ALTMAN_Z_SCORE","FQ3 2016","FQ3 2016","Currency=INR","Period=FQ","BEST_FPERIOD_OVERRIDE=FQ","FILING_STATUS=OR","EQY_CONSOLIDATED=Y","Sort=A","Dates=H","DateFormat=P","Fill=—","Direction=H","UseDPDF=Y")</f>
        <v>#NAME?</v>
      </c>
      <c r="CW216" s="4" t="e">
        <f ca="1">_xll.BDH($C$203,"ACCT_RCV_TURN","FQ3 2016","FQ3 2016","Currency=INR","Period=FQ","BEST_FPERIOD_OVERRIDE=FQ","FILING_STATUS=OR","EQY_CONSOLIDATED=Y","FA_ADJUSTED=GAAP","Sort=A","Dates=H","DateFormat=P","Fill=—","Direction=H","UseDPDF=Y")</f>
        <v>#NAME?</v>
      </c>
      <c r="CX216" s="2" t="e">
        <f ca="1">_xll.BDH($C$203,"ACCT_RCV_DAYS","FQ3 2016","FQ3 2016","Currency=INR","Period=FQ","BEST_FPERIOD_OVERRIDE=FQ","FILING_STATUS=OR","EQY_CONSOLIDATED=Y","FA_ADJUSTED=GAAP","Sort=A","Dates=H","DateFormat=P","Fill=—","Direction=H","UseDPDF=Y")</f>
        <v>#NAME?</v>
      </c>
      <c r="CY216" s="4" t="e">
        <f ca="1">_xll.BDH($C$203,"INVENT_TURN","FQ3 2016","FQ3 2016","Currency=INR","Period=FQ","BEST_FPERIOD_OVERRIDE=FQ","FILING_STATUS=OR","EQY_CONSOLIDATED=Y","FA_ADJUSTED=GAAP","Sort=A","Dates=H","DateFormat=P","Fill=—","Direction=H","UseDPDF=Y")</f>
        <v>#NAME?</v>
      </c>
      <c r="CZ216" s="2" t="e">
        <f ca="1">_xll.BDH($C$203,"INVENT_DAYS","FQ3 2016","FQ3 2016","Currency=INR","Period=FQ","BEST_FPERIOD_OVERRIDE=FQ","FILING_STATUS=OR","EQY_CONSOLIDATED=Y","FA_ADJUSTED=GAAP","Sort=A","Dates=H","DateFormat=P","Fill=—","Direction=H","UseDPDF=Y")</f>
        <v>#NAME?</v>
      </c>
      <c r="DA216" s="4" t="e">
        <f ca="1">_xll.BDH($C$203,"ACCOUNTS_PAYABLE_TURNOVER","FQ3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216" s="2" t="e">
        <f ca="1">_xll.BDH($C$203,"ACCOUNTS_PAYABLE_TURNOVER_DAYS","FQ3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216" s="4" t="e">
        <f ca="1">_xll.BDH($C$203,"CASH_CONVERSION_CYCLE","FQ3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216" s="4" t="e">
        <f ca="1">_xll.BDH($C$203,"INV_TO_CASH_DAYS","FQ3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216" s="5" t="e">
        <f ca="1">_xll.BDH($C$203,"BS_INVENTORIES","FQ3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216" s="3" t="e">
        <f ca="1">_xll.BDH($C$203,"INVTRY_RAW_MATERIALS","FQ3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216" s="3" t="e">
        <f ca="1">_xll.BDH($C$203,"INVTRY_IN_PROGRESS","FQ3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216" s="3" t="e">
        <f ca="1">_xll.BDH($C$203,"INVTRY_FINISHED_GOODS","FQ3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216" s="3" t="e">
        <f ca="1">_xll.BDH($C$203,"BS_OTHER_INV","FQ3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217" spans="1:113" x14ac:dyDescent="0.3">
      <c r="A217" s="6"/>
      <c r="B217" s="6"/>
      <c r="C217" s="6"/>
      <c r="D217" s="6"/>
      <c r="E217" t="s">
        <v>81</v>
      </c>
      <c r="F217" t="e">
        <f ca="1">_xll.BDH($C$203,"RETURN_COM_EQY","FQ4 2016","FQ4 2016","Currency=INR","Period=FQ","BEST_FPERIOD_OVERRIDE=FQ","FILING_STATUS=OR","EQY_CONSOLIDATED=Y","FA_ADJUSTED=GAAP","Sort=A","Dates=H","DateFormat=P","Fill=—","Direction=H","UseDPDF=Y")</f>
        <v>#NAME?</v>
      </c>
      <c r="G217" t="e">
        <f ca="1">_xll.BDH($C$203,"RETURN_ON_ASSET","FQ4 2016","FQ4 2016","Currency=INR","Period=FQ","BEST_FPERIOD_OVERRIDE=FQ","FILING_STATUS=OR","EQY_CONSOLIDATED=Y","FA_ADJUSTED=GAAP","Sort=A","Dates=H","DateFormat=P","Fill=—","Direction=H","UseDPDF=Y")</f>
        <v>#NAME?</v>
      </c>
      <c r="H217" t="e">
        <f ca="1">_xll.BDH($C$203,"RETURN_ON_CAP","FQ4 2016","FQ4 2016","Currency=INR","Period=FQ","BEST_FPERIOD_OVERRIDE=FQ","FILING_STATUS=OR","EQY_CONSOLIDATED=Y","FA_ADJUSTED=GAAP","Sort=A","Dates=H","DateFormat=P","Fill=—","Direction=H","UseDPDF=Y")</f>
        <v>#NAME?</v>
      </c>
      <c r="I217" t="e">
        <f ca="1">_xll.BDH($C$203,"RETURN_ON_INV_CAPITAL","FQ4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217" t="e">
        <f ca="1">_xll.BDH($C$203,"EBITDA_TO_REVENUE","FQ4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217" t="e">
        <f ca="1">_xll.BDH($C$203,"OPER_MARGIN","FQ4 2016","FQ4 2016","Currency=INR","Period=FQ","BEST_FPERIOD_OVERRIDE=FQ","FILING_STATUS=OR","EQY_CONSOLIDATED=Y","FA_ADJUSTED=GAAP","Sort=A","Dates=H","DateFormat=P","Fill=—","Direction=H","UseDPDF=Y")</f>
        <v>#NAME?</v>
      </c>
      <c r="L217" t="e">
        <f ca="1">_xll.BDH($C$203,"INCREMENTAL_OPERATING_MARGIN","FQ4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217" t="e">
        <f ca="1">_xll.BDH($C$203,"PRETAX_INC_TO_NET_SALES","FQ4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217" t="e">
        <f ca="1">_xll.BDH($C$203,"INC_BEF_XO_ITEMS_TO_NET_SALES","FQ4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217" t="e">
        <f ca="1">_xll.BDH($C$203,"PROF_MARGIN","FQ4 2016","FQ4 2016","Currency=INR","Period=FQ","BEST_FPERIOD_OVERRIDE=FQ","FILING_STATUS=OR","EQY_CONSOLIDATED=Y","FA_ADJUSTED=GAAP","Sort=A","Dates=H","DateFormat=P","Fill=—","Direction=H","UseDPDF=Y")</f>
        <v>#NAME?</v>
      </c>
      <c r="P217" t="e">
        <f ca="1">_xll.BDH($C$203,"NET_INCOME_TO_COMMON_MARGIN","FQ4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217" t="e">
        <f ca="1">_xll.BDH($C$203,"EFF_TAX_RATE","FQ4 2016","FQ4 2016","Currency=INR","Period=FQ","BEST_FPERIOD_OVERRIDE=FQ","FILING_STATUS=OR","EQY_CONSOLIDATED=Y","FA_ADJUSTED=GAAP","Sort=A","Dates=H","DateFormat=P","Fill=—","Direction=H","UseDPDF=Y")</f>
        <v>#NAME?</v>
      </c>
      <c r="R217" t="e">
        <f ca="1">_xll.BDH($C$203,"DVD_PAYOUT_RATIO","FQ4 2016","FQ4 2016","Currency=INR","Period=FQ","BEST_FPERIOD_OVERRIDE=FQ","FILING_STATUS=OR","EQY_CONSOLIDATED=Y","FA_ADJUSTED=GAAP","Sort=A","Dates=H","DateFormat=P","Fill=—","Direction=H","UseDPDF=Y")</f>
        <v>#NAME?</v>
      </c>
      <c r="S217" t="e">
        <f ca="1">_xll.BDH($C$203,"SUSTAIN_GROWTH_RT","FQ4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217" s="2" t="e">
        <f ca="1">_xll.BDH($C$203,"SALES_GROWTH","FQ4 2016","FQ4 2016","Currency=INR","Period=FQ","BEST_FPERIOD_OVERRIDE=FQ","FILING_STATUS=OR","EQY_CONSOLIDATED=Y","FA_ADJUSTED=GAAP","Sort=A","Dates=H","DateFormat=P","Fill=—","Direction=H","UseDPDF=Y")</f>
        <v>#NAME?</v>
      </c>
      <c r="U217" s="2" t="e">
        <f ca="1">_xll.BDH($C$203,"EBITDA_GROWTH","FQ4 2016","FQ4 2016","Currency=INR","Period=FQ","BEST_FPERIOD_OVERRIDE=FQ","FILING_STATUS=OR","EQY_CONSOLIDATED=Y","FA_ADJUSTED=GAAP","Sort=A","Dates=H","DateFormat=P","Fill=—","Direction=H","UseDPDF=Y")</f>
        <v>#NAME?</v>
      </c>
      <c r="V217" s="2" t="e">
        <f ca="1">_xll.BDH($C$203,"OPER_INC_GROWTH","FQ4 2016","FQ4 2016","Currency=INR","Period=FQ","BEST_FPERIOD_OVERRIDE=FQ","FILING_STATUS=OR","EQY_CONSOLIDATED=Y","FA_ADJUSTED=GAAP","Sort=A","Dates=H","DateFormat=P","Fill=—","Direction=H","UseDPDF=Y")</f>
        <v>#NAME?</v>
      </c>
      <c r="W217" s="2" t="e">
        <f ca="1">_xll.BDH($C$203,"EARN_FOR_COM_GROWTH","FQ4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217" s="2" t="e">
        <f ca="1">_xll.BDH($C$203,"DILUTED_EPS_AFT_XO_ITEMS_GROWTH","FQ4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217" s="2" t="e">
        <f ca="1">_xll.BDH($C$203,"DIVIDEND_PER_SHARE_1_YEAR_GROWTH","FQ4 2016","FQ4 2016","Currency=INR","Period=FQ","BEST_FPERIOD_OVERRIDE=FQ","FILING_STATUS=OR","EQY_CONSOLIDATED=Y","Sort=A","Dates=H","DateFormat=P","Fill=—","Direction=H","UseDPDF=Y")</f>
        <v>#NAME?</v>
      </c>
      <c r="Z217" s="2" t="e">
        <f ca="1">_xll.BDH($C$203,"ACCOUNTS_RECEIVABLE_GROWTH","FQ4 2016","FQ4 2016","Currency=INR","Period=FQ","BEST_FPERIOD_OVERRIDE=FQ","FILING_STATUS=OR","EQY_CONSOLIDATED=Y","Sort=A","Dates=H","DateFormat=P","Fill=—","Direction=H","UseDPDF=Y")</f>
        <v>#NAME?</v>
      </c>
      <c r="AA217" s="2" t="e">
        <f ca="1">_xll.BDH($C$203,"INVENTORY_GROWTH","FQ4 2016","FQ4 2016","Currency=INR","Period=FQ","BEST_FPERIOD_OVERRIDE=FQ","FILING_STATUS=OR","EQY_CONSOLIDATED=Y","Sort=A","Dates=H","DateFormat=P","Fill=—","Direction=H","UseDPDF=Y")</f>
        <v>#NAME?</v>
      </c>
      <c r="AB217" s="2" t="e">
        <f ca="1">_xll.BDH($C$203,"NET_FIXED_ASSETS_1_YEAR_GROWTH","FQ4 2016","FQ4 2016","Currency=INR","Period=FQ","BEST_FPERIOD_OVERRIDE=FQ","FILING_STATUS=OR","EQY_CONSOLIDATED=Y","Sort=A","Dates=H","DateFormat=P","Fill=—","Direction=H","UseDPDF=Y")</f>
        <v>#NAME?</v>
      </c>
      <c r="AC217" s="2" t="e">
        <f ca="1">_xll.BDH($C$203,"ASSET_GROWTH","FQ4 2016","FQ4 2016","Currency=INR","Period=FQ","BEST_FPERIOD_OVERRIDE=FQ","FILING_STATUS=OR","EQY_CONSOLIDATED=Y","Sort=A","Dates=H","DateFormat=P","Fill=—","Direction=H","UseDPDF=Y")</f>
        <v>#NAME?</v>
      </c>
      <c r="AD217" s="2" t="e">
        <f ca="1">_xll.BDH($C$203,"MODIFIED_WORK_CAP_GROWTH","FQ4 2016","FQ4 2016","Currency=INR","Period=FQ","BEST_FPERIOD_OVERRIDE=FQ","FILING_STATUS=OR","EQY_CONSOLIDATED=Y","Sort=A","Dates=H","DateFormat=P","Fill=—","Direction=H","UseDPDF=Y")</f>
        <v>#NAME?</v>
      </c>
      <c r="AE217" s="2" t="e">
        <f ca="1">_xll.BDH($C$203,"WORK_CAP_GROWTH","FQ4 2016","FQ4 2016","Currency=INR","Period=FQ","BEST_FPERIOD_OVERRIDE=FQ","FILING_STATUS=OR","EQY_CONSOLIDATED=Y","Sort=A","Dates=H","DateFormat=P","Fill=—","Direction=H","UseDPDF=Y")</f>
        <v>#NAME?</v>
      </c>
      <c r="AF217" s="2" t="e">
        <f ca="1">_xll.BDH($C$203,"ACCOUNTS_PAYABLE_GROWTH_1YR","FQ4 2016","FQ4 2016","Currency=INR","Period=FQ","BEST_FPERIOD_OVERRIDE=FQ","FILING_STATUS=OR","EQY_CONSOLIDATED=Y","Sort=A","Dates=H","DateFormat=P","Fill=—","Direction=H","UseDPDF=Y")</f>
        <v>#NAME?</v>
      </c>
      <c r="AG217" s="2" t="e">
        <f ca="1">_xll.BDH($C$203,"SHORT_TERM_DEBT_1_YEAR_GROWTH","FQ4 2016","FQ4 2016","Currency=INR","Period=FQ","BEST_FPERIOD_OVERRIDE=FQ","FILING_STATUS=OR","EQY_CONSOLIDATED=Y","Sort=A","Dates=H","DateFormat=P","Fill=—","Direction=H","UseDPDF=Y")</f>
        <v>#NAME?</v>
      </c>
      <c r="AH217" s="2" t="e">
        <f ca="1">_xll.BDH($C$203,"TOTAL_DEBT_1_YEAR_GROWTH","FQ4 2016","FQ4 2016","Currency=INR","Period=FQ","BEST_FPERIOD_OVERRIDE=FQ","FILING_STATUS=OR","EQY_CONSOLIDATED=Y","Sort=A","Dates=H","DateFormat=P","Fill=—","Direction=H","UseDPDF=Y")</f>
        <v>#NAME?</v>
      </c>
      <c r="AI217" s="2" t="e">
        <f ca="1">_xll.BDH($C$203,"TOTAL_EQUITY_1_YEAR_GROWTH","FQ4 2016","FQ4 2016","Currency=INR","Period=FQ","BEST_FPERIOD_OVERRIDE=FQ","FILING_STATUS=OR","EQY_CONSOLIDATED=Y","Sort=A","Dates=H","DateFormat=P","Fill=—","Direction=H","UseDPDF=Y")</f>
        <v>#NAME?</v>
      </c>
      <c r="AJ217" s="2" t="e">
        <f ca="1">_xll.BDH($C$203,"GROWTH_IN_CAP","FQ4 2016","FQ4 2016","Currency=INR","Period=FQ","BEST_FPERIOD_OVERRIDE=FQ","FILING_STATUS=OR","EQY_CONSOLIDATED=Y","Sort=A","Dates=H","DateFormat=P","Fill=—","Direction=H","UseDPDF=Y")</f>
        <v>#NAME?</v>
      </c>
      <c r="AK217" s="2" t="e">
        <f ca="1">_xll.BDH($C$203,"BVPS_GROWTH","FQ4 2016","FQ4 2016","Currency=INR","Period=FQ","BEST_FPERIOD_OVERRIDE=FQ","FILING_STATUS=OR","EQY_CONSOLIDATED=Y","Sort=A","Dates=H","DateFormat=P","Fill=—","Direction=H","UseDPDF=Y")</f>
        <v>#NAME?</v>
      </c>
      <c r="AL217" s="2" t="e">
        <f ca="1">_xll.BDH($C$203,"CASH_FLOW_GROWTH","FQ4 2016","FQ4 2016","Currency=INR","Period=FQ","BEST_FPERIOD_OVERRIDE=FQ","FILING_STATUS=OR","EQY_CONSOLIDATED=Y","Sort=A","Dates=H","DateFormat=P","Fill=—","Direction=H","UseDPDF=Y")</f>
        <v>#NAME?</v>
      </c>
      <c r="AM217" s="2" t="e">
        <f ca="1">_xll.BDH($C$203,"GEO_GROW_NET_SALES","FQ4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217" s="2" t="e">
        <f ca="1">_xll.BDH($C$203,"GEO_GROW_EBITDA","FQ4 2016","FQ4 2016","Currency=INR","Period=FQ","BEST_FPERIOD_OVERRIDE=FQ","FILING_STATUS=OR","EQY_CONSOLIDATED=Y","FA_ADJUSTED=GAAP","Sort=A","Dates=H","DateFormat=P","Fill=—","Direction=H","UseDPDF=Y")</f>
        <v>#NAME?</v>
      </c>
      <c r="AO217" s="2" t="e">
        <f ca="1">_xll.BDH($C$203,"GEO_GROW_OPER_INC","FQ4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217" s="2" t="e">
        <f ca="1">_xll.BDH($C$203,"NET_INCOME_TO_COMMON_5_YR_GROWTH","FQ4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217" s="2" t="e">
        <f ca="1">_xll.BDH($C$203,"5Y_GEO_GROWTH_DILUTED_EPS","FQ4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217" s="2" t="e">
        <f ca="1">_xll.BDH($C$203,"GEO_GROW_DVD_PER_SH","FQ4 2016","FQ4 2016","Currency=INR","Period=FQ","BEST_FPERIOD_OVERRIDE=FQ","FILING_STATUS=OR","EQY_CONSOLIDATED=Y","Sort=A","Dates=H","DateFormat=P","Fill=—","Direction=H","UseDPDF=Y")</f>
        <v>#NAME?</v>
      </c>
      <c r="AS217" s="2" t="e">
        <f ca="1">_xll.BDH($C$203,"ACCOUNTS_RECEIVABLE_5_YR_GROWTH","FQ4 2016","FQ4 2016","Currency=INR","Period=FQ","BEST_FPERIOD_OVERRIDE=FQ","FILING_STATUS=OR","EQY_CONSOLIDATED=Y","Sort=A","Dates=H","DateFormat=P","Fill=—","Direction=H","UseDPDF=Y")</f>
        <v>#NAME?</v>
      </c>
      <c r="AT217" s="2" t="e">
        <f ca="1">_xll.BDH($C$203,"INVENTORY_5_YEAR_GROWTH","FQ4 2016","FQ4 2016","Currency=INR","Period=FQ","BEST_FPERIOD_OVERRIDE=FQ","FILING_STATUS=OR","EQY_CONSOLIDATED=Y","Sort=A","Dates=H","DateFormat=P","Fill=—","Direction=H","UseDPDF=Y")</f>
        <v>#NAME?</v>
      </c>
      <c r="AU217" s="2" t="e">
        <f ca="1">_xll.BDH($C$203,"NET_FIXED_ASSETS_5_YEAR_GROWTH","FQ4 2016","FQ4 2016","Currency=INR","Period=FQ","BEST_FPERIOD_OVERRIDE=FQ","FILING_STATUS=OR","EQY_CONSOLIDATED=Y","Sort=A","Dates=H","DateFormat=P","Fill=—","Direction=H","UseDPDF=Y")</f>
        <v>#NAME?</v>
      </c>
      <c r="AV217" s="2" t="e">
        <f ca="1">_xll.BDH($C$203,"GEO_GROW_TOT_ASSET","FQ4 2016","FQ4 2016","Currency=INR","Period=FQ","BEST_FPERIOD_OVERRIDE=FQ","FILING_STATUS=OR","EQY_CONSOLIDATED=Y","Sort=A","Dates=H","DateFormat=P","Fill=—","Direction=H","UseDPDF=Y")</f>
        <v>#NAME?</v>
      </c>
      <c r="AW217" s="2" t="e">
        <f ca="1">_xll.BDH($C$203,"MODIFIED_WORKING_CPTL_5YR_GRWTH","FQ4 2016","FQ4 2016","Currency=INR","Period=FQ","BEST_FPERIOD_OVERRIDE=FQ","FILING_STATUS=OR","EQY_CONSOLIDATED=Y","Sort=A","Dates=H","DateFormat=P","Fill=—","Direction=H","UseDPDF=Y")</f>
        <v>#NAME?</v>
      </c>
      <c r="AX217" s="2" t="e">
        <f ca="1">_xll.BDH($C$203,"WORKING_CAPITAL_5_YEAR_GROWTH","FQ4 2016","FQ4 2016","Currency=INR","Period=FQ","BEST_FPERIOD_OVERRIDE=FQ","FILING_STATUS=OR","EQY_CONSOLIDATED=Y","Sort=A","Dates=H","DateFormat=P","Fill=—","Direction=H","UseDPDF=Y")</f>
        <v>#NAME?</v>
      </c>
      <c r="AY217" s="2" t="e">
        <f ca="1">_xll.BDH($C$203,"ACCOUNTS_PAYABLE_5_YEAR_GROWTH","FQ4 2016","FQ4 2016","Currency=INR","Period=FQ","BEST_FPERIOD_OVERRIDE=FQ","FILING_STATUS=OR","EQY_CONSOLIDATED=Y","Sort=A","Dates=H","DateFormat=P","Fill=—","Direction=H","UseDPDF=Y")</f>
        <v>#NAME?</v>
      </c>
      <c r="AZ217" s="2" t="e">
        <f ca="1">_xll.BDH($C$203,"SHORT_TERM_DEBT_5_YEAR_GROWTH","FQ4 2016","FQ4 2016","Currency=INR","Period=FQ","BEST_FPERIOD_OVERRIDE=FQ","FILING_STATUS=OR","EQY_CONSOLIDATED=Y","Sort=A","Dates=H","DateFormat=P","Fill=—","Direction=H","UseDPDF=Y")</f>
        <v>#NAME?</v>
      </c>
      <c r="BA217" s="2" t="e">
        <f ca="1">_xll.BDH($C$203,"TOTAL_DEBT_5_YEAR_GROWTH","FQ4 2016","FQ4 2016","Currency=INR","Period=FQ","BEST_FPERIOD_OVERRIDE=FQ","FILING_STATUS=OR","EQY_CONSOLIDATED=Y","Sort=A","Dates=H","DateFormat=P","Fill=—","Direction=H","UseDPDF=Y")</f>
        <v>#NAME?</v>
      </c>
      <c r="BB217" s="2" t="e">
        <f ca="1">_xll.BDH($C$203,"GEO_GROW_TOT_SHRHLDR_EQY","FQ4 2016","FQ4 2016","Currency=INR","Period=FQ","BEST_FPERIOD_OVERRIDE=FQ","FILING_STATUS=OR","EQY_CONSOLIDATED=Y","Sort=A","Dates=H","DateFormat=P","Fill=—","Direction=H","UseDPDF=Y")</f>
        <v>#NAME?</v>
      </c>
      <c r="BC217" s="2" t="e">
        <f ca="1">_xll.BDH($C$203,"TOTAL_CAPITAL_5_YEAR_GROWTH","FQ4 2016","FQ4 2016","Currency=INR","Period=FQ","BEST_FPERIOD_OVERRIDE=FQ","FILING_STATUS=OR","EQY_CONSOLIDATED=Y","Sort=A","Dates=H","DateFormat=P","Fill=—","Direction=H","UseDPDF=Y")</f>
        <v>#NAME?</v>
      </c>
      <c r="BD217" s="2" t="e">
        <f ca="1">_xll.BDH($C$203,"GEO_GROW_BOOK_VAL","FQ4 2016","FQ4 2016","Currency=INR","Period=FQ","BEST_FPERIOD_OVERRIDE=FQ","FILING_STATUS=OR","EQY_CONSOLIDATED=Y","Sort=A","Dates=H","DateFormat=P","Fill=—","Direction=H","UseDPDF=Y")</f>
        <v>#NAME?</v>
      </c>
      <c r="BE217" s="2" t="e">
        <f ca="1">_xll.BDH($C$203,"GEO_GROW_CASH_OPER_ACT","FQ4 2016","FQ4 2016","Currency=INR","Period=FQ","BEST_FPERIOD_OVERRIDE=FQ","FILING_STATUS=OR","EQY_CONSOLIDATED=Y","Sort=A","Dates=H","DateFormat=P","Fill=—","Direction=H","UseDPDF=Y")</f>
        <v>#NAME?</v>
      </c>
      <c r="BF217" s="2" t="e">
        <f ca="1">_xll.BDH($C$203,"REVENUE_SEQUENTIAL_GROWTH","FQ4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217" s="2" t="e">
        <f ca="1">_xll.BDH($C$203,"EBITDA_SEQUENTIAL_GROWTH","FQ4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217" s="2" t="e">
        <f ca="1">_xll.BDH($C$203,"OPERATING_INCOME_SEQ_GROWTH","FQ4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217" s="2" t="e">
        <f ca="1">_xll.BDH($C$203,"NET_INCOME_TO_COMMON_SEQ_GROWTH","FQ4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217" s="2" t="e">
        <f ca="1">_xll.BDH($C$203,"EPS_DILUTED_SEQUENTIAL_GROWTH","FQ4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217" s="2" t="e">
        <f ca="1">_xll.BDH($C$203,"DPS_SEQUENTIAL_GROWTH","FQ4 2016","FQ4 2016","Currency=INR","Period=FQ","BEST_FPERIOD_OVERRIDE=FQ","FILING_STATUS=OR","EQY_CONSOLIDATED=Y","Sort=A","Dates=H","DateFormat=P","Fill=—","Direction=H","UseDPDF=Y")</f>
        <v>#NAME?</v>
      </c>
      <c r="BL217" s="2" t="e">
        <f ca="1">_xll.BDH($C$203,"ACCOUNTS_RECEIVABLE_SEQ_GROWTH","FQ4 2016","FQ4 2016","Currency=INR","Period=FQ","BEST_FPERIOD_OVERRIDE=FQ","FILING_STATUS=OR","EQY_CONSOLIDATED=Y","Sort=A","Dates=H","DateFormat=P","Fill=—","Direction=H","UseDPDF=Y")</f>
        <v>#NAME?</v>
      </c>
      <c r="BM217" s="2" t="e">
        <f ca="1">_xll.BDH($C$203,"INVENTORY_SEQUENTIAL_GROWTH","FQ4 2016","FQ4 2016","Currency=INR","Period=FQ","BEST_FPERIOD_OVERRIDE=FQ","FILING_STATUS=OR","EQY_CONSOLIDATED=Y","Sort=A","Dates=H","DateFormat=P","Fill=—","Direction=H","UseDPDF=Y")</f>
        <v>#NAME?</v>
      </c>
      <c r="BN217" s="2" t="e">
        <f ca="1">_xll.BDH($C$203,"FIXED_ASSETS_SEQUENTIAL_GROWTH","FQ4 2016","FQ4 2016","Currency=INR","Period=FQ","BEST_FPERIOD_OVERRIDE=FQ","FILING_STATUS=OR","EQY_CONSOLIDATED=Y","Sort=A","Dates=H","DateFormat=P","Fill=—","Direction=H","UseDPDF=Y")</f>
        <v>#NAME?</v>
      </c>
      <c r="BO217" s="2" t="e">
        <f ca="1">_xll.BDH($C$203,"TOTAL_ASSETS_SEQUENTIAL_GROWTH","FQ4 2016","FQ4 2016","Currency=INR","Period=FQ","BEST_FPERIOD_OVERRIDE=FQ","FILING_STATUS=OR","EQY_CONSOLIDATED=Y","Sort=A","Dates=H","DateFormat=P","Fill=—","Direction=H","UseDPDF=Y")</f>
        <v>#NAME?</v>
      </c>
      <c r="BP217" s="2" t="e">
        <f ca="1">_xll.BDH($C$203,"MODIFIED_WORKING_CPTL_SEQ_GRWTH","FQ4 2016","FQ4 2016","Currency=INR","Period=FQ","BEST_FPERIOD_OVERRIDE=FQ","FILING_STATUS=OR","EQY_CONSOLIDATED=Y","Sort=A","Dates=H","DateFormat=P","Fill=—","Direction=H","UseDPDF=Y")</f>
        <v>#NAME?</v>
      </c>
      <c r="BQ217" s="2" t="e">
        <f ca="1">_xll.BDH($C$203,"WORKING_CAPITAL_SEQ_GROWTH","FQ4 2016","FQ4 2016","Currency=INR","Period=FQ","BEST_FPERIOD_OVERRIDE=FQ","FILING_STATUS=OR","EQY_CONSOLIDATED=Y","Sort=A","Dates=H","DateFormat=P","Fill=—","Direction=H","UseDPDF=Y")</f>
        <v>#NAME?</v>
      </c>
      <c r="BR217" s="2" t="e">
        <f ca="1">_xll.BDH($C$203,"ACCOUNTS_PAYABLE_SEQ_GROWTH","FQ4 2016","FQ4 2016","Currency=INR","Period=FQ","BEST_FPERIOD_OVERRIDE=FQ","FILING_STATUS=OR","EQY_CONSOLIDATED=Y","Sort=A","Dates=H","DateFormat=P","Fill=—","Direction=H","UseDPDF=Y")</f>
        <v>#NAME?</v>
      </c>
      <c r="BS217" s="2" t="e">
        <f ca="1">_xll.BDH($C$203,"ST_DEBT_SEQUENTIAL_GROWTH","FQ4 2016","FQ4 2016","Currency=INR","Period=FQ","BEST_FPERIOD_OVERRIDE=FQ","FILING_STATUS=OR","EQY_CONSOLIDATED=Y","Sort=A","Dates=H","DateFormat=P","Fill=—","Direction=H","UseDPDF=Y")</f>
        <v>#NAME?</v>
      </c>
      <c r="BT217" s="2" t="e">
        <f ca="1">_xll.BDH($C$203,"TOTAL_DEBT_SEQUENTIAL_GROWTH","FQ4 2016","FQ4 2016","Currency=INR","Period=FQ","BEST_FPERIOD_OVERRIDE=FQ","FILING_STATUS=OR","EQY_CONSOLIDATED=Y","Sort=A","Dates=H","DateFormat=P","Fill=—","Direction=H","UseDPDF=Y")</f>
        <v>#NAME?</v>
      </c>
      <c r="BU217" s="2" t="e">
        <f ca="1">_xll.BDH($C$203,"TOTAL_EQUITY_SEQUENTIAL_GROWTH","FQ4 2016","FQ4 2016","Currency=INR","Period=FQ","BEST_FPERIOD_OVERRIDE=FQ","FILING_STATUS=OR","EQY_CONSOLIDATED=Y","Sort=A","Dates=H","DateFormat=P","Fill=—","Direction=H","UseDPDF=Y")</f>
        <v>#NAME?</v>
      </c>
      <c r="BV217" s="2" t="e">
        <f ca="1">_xll.BDH($C$203,"TOTAL_CAPITAL_SEQUENTIAL_GROWTH","FQ4 2016","FQ4 2016","Currency=INR","Period=FQ","BEST_FPERIOD_OVERRIDE=FQ","FILING_STATUS=OR","EQY_CONSOLIDATED=Y","Sort=A","Dates=H","DateFormat=P","Fill=—","Direction=H","UseDPDF=Y")</f>
        <v>#NAME?</v>
      </c>
      <c r="BW217" s="2" t="e">
        <f ca="1">_xll.BDH($C$203,"BPS_SEQUENTIAL_GROWTH","FQ4 2016","FQ4 2016","Currency=INR","Period=FQ","BEST_FPERIOD_OVERRIDE=FQ","FILING_STATUS=OR","EQY_CONSOLIDATED=Y","Sort=A","Dates=H","DateFormat=P","Fill=—","Direction=H","UseDPDF=Y")</f>
        <v>#NAME?</v>
      </c>
      <c r="BX217" s="2" t="e">
        <f ca="1">_xll.BDH($C$203,"CFO_SEQUENTIAL_GROWTH","FQ4 2016","FQ4 2016","Currency=INR","Period=FQ","BEST_FPERIOD_OVERRIDE=FQ","FILING_STATUS=OR","EQY_CONSOLIDATED=Y","Sort=A","Dates=H","DateFormat=P","Fill=—","Direction=H","UseDPDF=Y")</f>
        <v>#NAME?</v>
      </c>
      <c r="BY217" s="3" t="e">
        <f ca="1">_xll.BDH($C$203,"SHORT_AND_LONG_TERM_DEBT","FQ4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217" s="3" t="e">
        <f ca="1">_xll.BDH($C$203,"BS_ST_BORROW","FQ4 2016","FQ4 2016","Currency=INR","Period=FQ","BEST_FPERIOD_OVERRIDE=FQ","FILING_STATUS=OR","EQY_CONSOLIDATED=Y","SCALING_FORMAT=MLN","Sort=A","Dates=H","DateFormat=P","Fill=—","Direction=H","UseDPDF=Y")</f>
        <v>#NAME?</v>
      </c>
      <c r="CA217" s="3" t="e">
        <f ca="1">_xll.BDH($C$203,"BS_LT_BORROW","FQ4 2016","FQ4 2016","Currency=INR","Period=FQ","BEST_FPERIOD_OVERRIDE=FQ","FILING_STATUS=OR","EQY_CONSOLIDATED=Y","SCALING_FORMAT=MLN","Sort=A","Dates=H","DateFormat=P","Fill=—","Direction=H","UseDPDF=Y")</f>
        <v>#NAME?</v>
      </c>
      <c r="CB217" s="2" t="e">
        <f ca="1">_xll.BDH($C$203,"TOT_DEBT_TO_EBITDA","FQ4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217" s="2" t="e">
        <f ca="1">_xll.BDH($C$203,"NET_DEBT_TO_EBITDA","FQ4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217" s="2" t="e">
        <f ca="1">_xll.BDH($C$203,"TOTAL_DEBT_TO_EBIT","FQ4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217" s="2" t="e">
        <f ca="1">_xll.BDH($C$203,"NET_DEBT_TO_EBIT","FQ4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217" s="2" t="e">
        <f ca="1">_xll.BDH($C$203,"EBITDA_TO_INTEREST_EXPN","FQ4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217" s="2" t="e">
        <f ca="1">_xll.BDH($C$203,"COM_EQY_TO_TOT_ASSET","FQ4 2016","FQ4 2016","Currency=INR","Period=FQ","BEST_FPERIOD_OVERRIDE=FQ","FILING_STATUS=OR","EQY_CONSOLIDATED=Y","Sort=A","Dates=H","DateFormat=P","Fill=—","Direction=H","UseDPDF=Y")</f>
        <v>#NAME?</v>
      </c>
      <c r="CH217" s="2" t="e">
        <f ca="1">_xll.BDH($C$203,"LT_DEBT_TO_TOT_EQY","FQ4 2016","FQ4 2016","Currency=INR","Period=FQ","BEST_FPERIOD_OVERRIDE=FQ","FILING_STATUS=OR","EQY_CONSOLIDATED=Y","Sort=A","Dates=H","DateFormat=P","Fill=—","Direction=H","UseDPDF=Y")</f>
        <v>#NAME?</v>
      </c>
      <c r="CI217" s="2" t="e">
        <f ca="1">_xll.BDH($C$203,"LT_DEBT_TO_TOT_CAP","FQ4 2016","FQ4 2016","Currency=INR","Period=FQ","BEST_FPERIOD_OVERRIDE=FQ","FILING_STATUS=OR","EQY_CONSOLIDATED=Y","Sort=A","Dates=H","DateFormat=P","Fill=—","Direction=H","UseDPDF=Y")</f>
        <v>#NAME?</v>
      </c>
      <c r="CJ217" s="2" t="e">
        <f ca="1">_xll.BDH($C$203,"LT_DEBT_TO_TOT_ASSET","FQ4 2016","FQ4 2016","Currency=INR","Period=FQ","BEST_FPERIOD_OVERRIDE=FQ","FILING_STATUS=OR","EQY_CONSOLIDATED=Y","Sort=A","Dates=H","DateFormat=P","Fill=—","Direction=H","UseDPDF=Y")</f>
        <v>#NAME?</v>
      </c>
      <c r="CK217" s="2" t="e">
        <f ca="1">_xll.BDH($C$203,"TOT_DEBT_TO_TOT_EQY","FQ4 2016","FQ4 2016","Currency=INR","Period=FQ","BEST_FPERIOD_OVERRIDE=FQ","FILING_STATUS=OR","EQY_CONSOLIDATED=Y","Sort=A","Dates=H","DateFormat=P","Fill=—","Direction=H","UseDPDF=Y")</f>
        <v>#NAME?</v>
      </c>
      <c r="CL217" s="2" t="e">
        <f ca="1">_xll.BDH($C$203,"TOT_DEBT_TO_TOT_CAP","FQ4 2016","FQ4 2016","Currency=INR","Period=FQ","BEST_FPERIOD_OVERRIDE=FQ","FILING_STATUS=OR","EQY_CONSOLIDATED=Y","Sort=A","Dates=H","DateFormat=P","Fill=—","Direction=H","UseDPDF=Y")</f>
        <v>#NAME?</v>
      </c>
      <c r="CM217" s="2" t="e">
        <f ca="1">_xll.BDH($C$203,"TOT_DEBT_TO_TOT_ASSET","FQ4 2016","FQ4 2016","Currency=INR","Period=FQ","BEST_FPERIOD_OVERRIDE=FQ","FILING_STATUS=OR","EQY_CONSOLIDATED=Y","Sort=A","Dates=H","DateFormat=P","Fill=—","Direction=H","UseDPDF=Y")</f>
        <v>#NAME?</v>
      </c>
      <c r="CN217" s="2" t="e">
        <f ca="1">_xll.BDH($C$203,"NET_DEBT_TO_SHRHLDR_EQTY","FQ4 2016","FQ4 2016","Currency=INR","Period=FQ","BEST_FPERIOD_OVERRIDE=FQ","FILING_STATUS=OR","EQY_CONSOLIDATED=Y","Sort=A","Dates=H","DateFormat=P","Fill=—","Direction=H","UseDPDF=Y")</f>
        <v>#NAME?</v>
      </c>
      <c r="CO217" s="2" t="e">
        <f ca="1">_xll.BDH($C$203,"NET_DEBT_%_CAPITAL","FQ4 2016","FQ4 2016","Currency=INR","Period=FQ","BEST_FPERIOD_OVERRIDE=FQ","FILING_STATUS=OR","EQY_CONSOLIDATED=Y","Sort=A","Dates=H","DateFormat=P","Fill=—","Direction=H","UseDPDF=Y")</f>
        <v>#NAME?</v>
      </c>
      <c r="CP217" s="3" t="e">
        <f ca="1">_xll.BDH($C$203,"EBITDA","FQ4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217" s="3" t="e">
        <f ca="1">_xll.BDH($C$203,"EBITDA_AFTER_CAPEX","FQ4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217" s="3" t="e">
        <f ca="1">_xll.BDH($C$203,"IS_OPER_INC","FQ4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217" s="2" t="e">
        <f ca="1">_xll.BDH($C$203,"CASH_RATIO","FQ4 2016","FQ4 2016","Currency=INR","Period=FQ","BEST_FPERIOD_OVERRIDE=FQ","FILING_STATUS=OR","EQY_CONSOLIDATED=Y","Sort=A","Dates=H","DateFormat=P","Fill=—","Direction=H","UseDPDF=Y")</f>
        <v>#NAME?</v>
      </c>
      <c r="CT217" s="2" t="e">
        <f ca="1">_xll.BDH($C$203,"CUR_RATIO","FQ4 2016","FQ4 2016","Currency=INR","Period=FQ","BEST_FPERIOD_OVERRIDE=FQ","FILING_STATUS=OR","EQY_CONSOLIDATED=Y","Sort=A","Dates=H","DateFormat=P","Fill=—","Direction=H","UseDPDF=Y")</f>
        <v>#NAME?</v>
      </c>
      <c r="CU217" s="2" t="e">
        <f ca="1">_xll.BDH($C$203,"QUICK_RATIO","FQ4 2016","FQ4 2016","Currency=INR","Period=FQ","BEST_FPERIOD_OVERRIDE=FQ","FILING_STATUS=OR","EQY_CONSOLIDATED=Y","Sort=A","Dates=H","DateFormat=P","Fill=—","Direction=H","UseDPDF=Y")</f>
        <v>#NAME?</v>
      </c>
      <c r="CV217" s="2" t="e">
        <f ca="1">_xll.BDH($C$203,"ALTMAN_Z_SCORE","FQ4 2016","FQ4 2016","Currency=INR","Period=FQ","BEST_FPERIOD_OVERRIDE=FQ","FILING_STATUS=OR","EQY_CONSOLIDATED=Y","Sort=A","Dates=H","DateFormat=P","Fill=—","Direction=H","UseDPDF=Y")</f>
        <v>#NAME?</v>
      </c>
      <c r="CW217" s="4" t="e">
        <f ca="1">_xll.BDH($C$203,"ACCT_RCV_TURN","FQ4 2016","FQ4 2016","Currency=INR","Period=FQ","BEST_FPERIOD_OVERRIDE=FQ","FILING_STATUS=OR","EQY_CONSOLIDATED=Y","FA_ADJUSTED=GAAP","Sort=A","Dates=H","DateFormat=P","Fill=—","Direction=H","UseDPDF=Y")</f>
        <v>#NAME?</v>
      </c>
      <c r="CX217" s="2" t="e">
        <f ca="1">_xll.BDH($C$203,"ACCT_RCV_DAYS","FQ4 2016","FQ4 2016","Currency=INR","Period=FQ","BEST_FPERIOD_OVERRIDE=FQ","FILING_STATUS=OR","EQY_CONSOLIDATED=Y","FA_ADJUSTED=GAAP","Sort=A","Dates=H","DateFormat=P","Fill=—","Direction=H","UseDPDF=Y")</f>
        <v>#NAME?</v>
      </c>
      <c r="CY217" s="4" t="e">
        <f ca="1">_xll.BDH($C$203,"INVENT_TURN","FQ4 2016","FQ4 2016","Currency=INR","Period=FQ","BEST_FPERIOD_OVERRIDE=FQ","FILING_STATUS=OR","EQY_CONSOLIDATED=Y","FA_ADJUSTED=GAAP","Sort=A","Dates=H","DateFormat=P","Fill=—","Direction=H","UseDPDF=Y")</f>
        <v>#NAME?</v>
      </c>
      <c r="CZ217" s="2" t="e">
        <f ca="1">_xll.BDH($C$203,"INVENT_DAYS","FQ4 2016","FQ4 2016","Currency=INR","Period=FQ","BEST_FPERIOD_OVERRIDE=FQ","FILING_STATUS=OR","EQY_CONSOLIDATED=Y","FA_ADJUSTED=GAAP","Sort=A","Dates=H","DateFormat=P","Fill=—","Direction=H","UseDPDF=Y")</f>
        <v>#NAME?</v>
      </c>
      <c r="DA217" s="4" t="e">
        <f ca="1">_xll.BDH($C$203,"ACCOUNTS_PAYABLE_TURNOVER","FQ4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217" s="2" t="e">
        <f ca="1">_xll.BDH($C$203,"ACCOUNTS_PAYABLE_TURNOVER_DAYS","FQ4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217" s="4" t="e">
        <f ca="1">_xll.BDH($C$203,"CASH_CONVERSION_CYCLE","FQ4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217" s="4" t="e">
        <f ca="1">_xll.BDH($C$203,"INV_TO_CASH_DAYS","FQ4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217" s="5" t="e">
        <f ca="1">_xll.BDH($C$203,"BS_INVENTORIES","FQ4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217" s="3" t="e">
        <f ca="1">_xll.BDH($C$203,"INVTRY_RAW_MATERIALS","FQ4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217" s="3" t="e">
        <f ca="1">_xll.BDH($C$203,"INVTRY_IN_PROGRESS","FQ4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217" s="3" t="e">
        <f ca="1">_xll.BDH($C$203,"INVTRY_FINISHED_GOODS","FQ4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217" s="3" t="e">
        <f ca="1">_xll.BDH($C$203,"BS_OTHER_INV","FQ4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218" spans="1:113" x14ac:dyDescent="0.3">
      <c r="A218" s="6"/>
      <c r="B218" s="6"/>
      <c r="C218" s="6"/>
      <c r="D218" s="6" t="s">
        <v>84</v>
      </c>
      <c r="E218" t="s">
        <v>77</v>
      </c>
      <c r="F218" t="e">
        <f ca="1">_xll.BDH($C$203,"RETURN_COM_EQY","FY 2017","FY 2017","Currency=INR","Period=FY","BEST_FPERIOD_OVERRIDE=FY","FILING_STATUS=OR","EQY_CONSOLIDATED=Y","FA_ADJUSTED=GAAP","Sort=A","Dates=H","DateFormat=P","Fill=—","Direction=H","UseDPDF=Y")</f>
        <v>#NAME?</v>
      </c>
      <c r="G218" t="e">
        <f ca="1">_xll.BDH($C$203,"RETURN_ON_ASSET","FY 2017","FY 2017","Currency=INR","Period=FY","BEST_FPERIOD_OVERRIDE=FY","FILING_STATUS=OR","EQY_CONSOLIDATED=Y","FA_ADJUSTED=GAAP","Sort=A","Dates=H","DateFormat=P","Fill=—","Direction=H","UseDPDF=Y")</f>
        <v>#NAME?</v>
      </c>
      <c r="H218" t="e">
        <f ca="1">_xll.BDH($C$203,"RETURN_ON_CAP","FY 2017","FY 2017","Currency=INR","Period=FY","BEST_FPERIOD_OVERRIDE=FY","FILING_STATUS=OR","EQY_CONSOLIDATED=Y","FA_ADJUSTED=GAAP","Sort=A","Dates=H","DateFormat=P","Fill=—","Direction=H","UseDPDF=Y")</f>
        <v>#NAME?</v>
      </c>
      <c r="I218" t="e">
        <f ca="1">_xll.BDH($C$203,"RETURN_ON_INV_CAPITAL","FY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218" t="e">
        <f ca="1">_xll.BDH($C$203,"EBITDA_TO_REVENUE","FY 2017","FY 2017","Currency=INR","Period=FY","BEST_FPERIOD_OVERRIDE=FY","FILING_STATUS=OR","EQY_CONSOLIDATED=Y","FA_ADJUSTED=GAAP","Sort=A","Dates=H","DateFormat=P","Fill=—","Direction=H","UseDPDF=Y")</f>
        <v>#NAME?</v>
      </c>
      <c r="K218" t="e">
        <f ca="1">_xll.BDH($C$203,"OPER_MARGIN","FY 2017","FY 2017","Currency=INR","Period=FY","BEST_FPERIOD_OVERRIDE=FY","FILING_STATUS=OR","EQY_CONSOLIDATED=Y","FA_ADJUSTED=GAAP","Sort=A","Dates=H","DateFormat=P","Fill=—","Direction=H","UseDPDF=Y")</f>
        <v>#NAME?</v>
      </c>
      <c r="L218" t="e">
        <f ca="1">_xll.BDH($C$203,"INCREMENTAL_OPERATING_MARGIN","FY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218" t="e">
        <f ca="1">_xll.BDH($C$203,"PRETAX_INC_TO_NET_SALES","FY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218" t="e">
        <f ca="1">_xll.BDH($C$203,"INC_BEF_XO_ITEMS_TO_NET_SALES","FY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218" t="e">
        <f ca="1">_xll.BDH($C$203,"PROF_MARGIN","FY 2017","FY 2017","Currency=INR","Period=FY","BEST_FPERIOD_OVERRIDE=FY","FILING_STATUS=OR","EQY_CONSOLIDATED=Y","FA_ADJUSTED=GAAP","Sort=A","Dates=H","DateFormat=P","Fill=—","Direction=H","UseDPDF=Y")</f>
        <v>#NAME?</v>
      </c>
      <c r="P218" t="e">
        <f ca="1">_xll.BDH($C$203,"NET_INCOME_TO_COMMON_MARGIN","FY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218" t="e">
        <f ca="1">_xll.BDH($C$203,"EFF_TAX_RATE","FY 2017","FY 2017","Currency=INR","Period=FY","BEST_FPERIOD_OVERRIDE=FY","FILING_STATUS=OR","EQY_CONSOLIDATED=Y","FA_ADJUSTED=GAAP","Sort=A","Dates=H","DateFormat=P","Fill=—","Direction=H","UseDPDF=Y")</f>
        <v>#NAME?</v>
      </c>
      <c r="R218" t="e">
        <f ca="1">_xll.BDH($C$203,"DVD_PAYOUT_RATIO","FY 2017","FY 2017","Currency=INR","Period=FY","BEST_FPERIOD_OVERRIDE=FY","FILING_STATUS=OR","EQY_CONSOLIDATED=Y","FA_ADJUSTED=GAAP","Sort=A","Dates=H","DateFormat=P","Fill=—","Direction=H","UseDPDF=Y")</f>
        <v>#NAME?</v>
      </c>
      <c r="S218" t="e">
        <f ca="1">_xll.BDH($C$203,"SUSTAIN_GROWTH_RT","FY 2017","FY 2017","Currency=INR","Period=FY","BEST_FPERIOD_OVERRIDE=FY","FILING_STATUS=OR","EQY_CONSOLIDATED=Y","FA_ADJUSTED=GAAP","Sort=A","Dates=H","DateFormat=P","Fill=—","Direction=H","UseDPDF=Y")</f>
        <v>#NAME?</v>
      </c>
      <c r="T218" s="2" t="e">
        <f ca="1">_xll.BDH($C$203,"SALES_GROWTH","FY 2017","FY 2017","Currency=INR","Period=FY","BEST_FPERIOD_OVERRIDE=FY","FILING_STATUS=OR","EQY_CONSOLIDATED=Y","FA_ADJUSTED=GAAP","Sort=A","Dates=H","DateFormat=P","Fill=—","Direction=H","UseDPDF=Y")</f>
        <v>#NAME?</v>
      </c>
      <c r="U218" s="2" t="e">
        <f ca="1">_xll.BDH($C$203,"EBITDA_GROWTH","FY 2017","FY 2017","Currency=INR","Period=FY","BEST_FPERIOD_OVERRIDE=FY","FILING_STATUS=OR","EQY_CONSOLIDATED=Y","FA_ADJUSTED=GAAP","Sort=A","Dates=H","DateFormat=P","Fill=—","Direction=H","UseDPDF=Y")</f>
        <v>#NAME?</v>
      </c>
      <c r="V218" s="2" t="e">
        <f ca="1">_xll.BDH($C$203,"OPER_INC_GROWTH","FY 2017","FY 2017","Currency=INR","Period=FY","BEST_FPERIOD_OVERRIDE=FY","FILING_STATUS=OR","EQY_CONSOLIDATED=Y","FA_ADJUSTED=GAAP","Sort=A","Dates=H","DateFormat=P","Fill=—","Direction=H","UseDPDF=Y")</f>
        <v>#NAME?</v>
      </c>
      <c r="W218" s="2" t="e">
        <f ca="1">_xll.BDH($C$203,"EARN_FOR_COM_GROWTH","FY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218" s="2" t="e">
        <f ca="1">_xll.BDH($C$203,"DILUTED_EPS_AFT_XO_ITEMS_GROWTH","FY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218" s="2" t="e">
        <f ca="1">_xll.BDH($C$203,"DIVIDEND_PER_SHARE_1_YEAR_GROWTH","FY 2017","FY 2017","Currency=INR","Period=FY","BEST_FPERIOD_OVERRIDE=FY","FILING_STATUS=OR","EQY_CONSOLIDATED=Y","Sort=A","Dates=H","DateFormat=P","Fill=—","Direction=H","UseDPDF=Y")</f>
        <v>#NAME?</v>
      </c>
      <c r="Z218" s="2" t="e">
        <f ca="1">_xll.BDH($C$203,"ACCOUNTS_RECEIVABLE_GROWTH","FY 2017","FY 2017","Currency=INR","Period=FY","BEST_FPERIOD_OVERRIDE=FY","FILING_STATUS=OR","EQY_CONSOLIDATED=Y","Sort=A","Dates=H","DateFormat=P","Fill=—","Direction=H","UseDPDF=Y")</f>
        <v>#NAME?</v>
      </c>
      <c r="AA218" s="2" t="e">
        <f ca="1">_xll.BDH($C$203,"INVENTORY_GROWTH","FY 2017","FY 2017","Currency=INR","Period=FY","BEST_FPERIOD_OVERRIDE=FY","FILING_STATUS=OR","EQY_CONSOLIDATED=Y","Sort=A","Dates=H","DateFormat=P","Fill=—","Direction=H","UseDPDF=Y")</f>
        <v>#NAME?</v>
      </c>
      <c r="AB218" s="2" t="e">
        <f ca="1">_xll.BDH($C$203,"NET_FIXED_ASSETS_1_YEAR_GROWTH","FY 2017","FY 2017","Currency=INR","Period=FY","BEST_FPERIOD_OVERRIDE=FY","FILING_STATUS=OR","EQY_CONSOLIDATED=Y","Sort=A","Dates=H","DateFormat=P","Fill=—","Direction=H","UseDPDF=Y")</f>
        <v>#NAME?</v>
      </c>
      <c r="AC218" s="2" t="e">
        <f ca="1">_xll.BDH($C$203,"ASSET_GROWTH","FY 2017","FY 2017","Currency=INR","Period=FY","BEST_FPERIOD_OVERRIDE=FY","FILING_STATUS=OR","EQY_CONSOLIDATED=Y","Sort=A","Dates=H","DateFormat=P","Fill=—","Direction=H","UseDPDF=Y")</f>
        <v>#NAME?</v>
      </c>
      <c r="AD218" s="2" t="e">
        <f ca="1">_xll.BDH($C$203,"MODIFIED_WORK_CAP_GROWTH","FY 2017","FY 2017","Currency=INR","Period=FY","BEST_FPERIOD_OVERRIDE=FY","FILING_STATUS=OR","EQY_CONSOLIDATED=Y","Sort=A","Dates=H","DateFormat=P","Fill=—","Direction=H","UseDPDF=Y")</f>
        <v>#NAME?</v>
      </c>
      <c r="AE218" s="2" t="e">
        <f ca="1">_xll.BDH($C$203,"WORK_CAP_GROWTH","FY 2017","FY 2017","Currency=INR","Period=FY","BEST_FPERIOD_OVERRIDE=FY","FILING_STATUS=OR","EQY_CONSOLIDATED=Y","Sort=A","Dates=H","DateFormat=P","Fill=—","Direction=H","UseDPDF=Y")</f>
        <v>#NAME?</v>
      </c>
      <c r="AF218" s="2" t="e">
        <f ca="1">_xll.BDH($C$203,"ACCOUNTS_PAYABLE_GROWTH_1YR","FY 2017","FY 2017","Currency=INR","Period=FY","BEST_FPERIOD_OVERRIDE=FY","FILING_STATUS=OR","EQY_CONSOLIDATED=Y","Sort=A","Dates=H","DateFormat=P","Fill=—","Direction=H","UseDPDF=Y")</f>
        <v>#NAME?</v>
      </c>
      <c r="AG218" s="2" t="e">
        <f ca="1">_xll.BDH($C$203,"SHORT_TERM_DEBT_1_YEAR_GROWTH","FY 2017","FY 2017","Currency=INR","Period=FY","BEST_FPERIOD_OVERRIDE=FY","FILING_STATUS=OR","EQY_CONSOLIDATED=Y","Sort=A","Dates=H","DateFormat=P","Fill=—","Direction=H","UseDPDF=Y")</f>
        <v>#NAME?</v>
      </c>
      <c r="AH218" s="2" t="e">
        <f ca="1">_xll.BDH($C$203,"TOTAL_DEBT_1_YEAR_GROWTH","FY 2017","FY 2017","Currency=INR","Period=FY","BEST_FPERIOD_OVERRIDE=FY","FILING_STATUS=OR","EQY_CONSOLIDATED=Y","Sort=A","Dates=H","DateFormat=P","Fill=—","Direction=H","UseDPDF=Y")</f>
        <v>#NAME?</v>
      </c>
      <c r="AI218" s="2" t="e">
        <f ca="1">_xll.BDH($C$203,"TOTAL_EQUITY_1_YEAR_GROWTH","FY 2017","FY 2017","Currency=INR","Period=FY","BEST_FPERIOD_OVERRIDE=FY","FILING_STATUS=OR","EQY_CONSOLIDATED=Y","Sort=A","Dates=H","DateFormat=P","Fill=—","Direction=H","UseDPDF=Y")</f>
        <v>#NAME?</v>
      </c>
      <c r="AJ218" s="2" t="e">
        <f ca="1">_xll.BDH($C$203,"GROWTH_IN_CAP","FY 2017","FY 2017","Currency=INR","Period=FY","BEST_FPERIOD_OVERRIDE=FY","FILING_STATUS=OR","EQY_CONSOLIDATED=Y","Sort=A","Dates=H","DateFormat=P","Fill=—","Direction=H","UseDPDF=Y")</f>
        <v>#NAME?</v>
      </c>
      <c r="AK218" s="2" t="e">
        <f ca="1">_xll.BDH($C$203,"BVPS_GROWTH","FY 2017","FY 2017","Currency=INR","Period=FY","BEST_FPERIOD_OVERRIDE=FY","FILING_STATUS=OR","EQY_CONSOLIDATED=Y","Sort=A","Dates=H","DateFormat=P","Fill=—","Direction=H","UseDPDF=Y")</f>
        <v>#NAME?</v>
      </c>
      <c r="AL218" s="2" t="e">
        <f ca="1">_xll.BDH($C$203,"CASH_FLOW_GROWTH","FY 2017","FY 2017","Currency=INR","Period=FY","BEST_FPERIOD_OVERRIDE=FY","FILING_STATUS=OR","EQY_CONSOLIDATED=Y","Sort=A","Dates=H","DateFormat=P","Fill=—","Direction=H","UseDPDF=Y")</f>
        <v>#NAME?</v>
      </c>
      <c r="AM218" s="2" t="e">
        <f ca="1">_xll.BDH($C$203,"GEO_GROW_NET_SALES","FY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218" s="2" t="e">
        <f ca="1">_xll.BDH($C$203,"GEO_GROW_EBITDA","FY 2017","FY 2017","Currency=INR","Period=FY","BEST_FPERIOD_OVERRIDE=FY","FILING_STATUS=OR","EQY_CONSOLIDATED=Y","FA_ADJUSTED=GAAP","Sort=A","Dates=H","DateFormat=P","Fill=—","Direction=H","UseDPDF=Y")</f>
        <v>#NAME?</v>
      </c>
      <c r="AO218" s="2" t="e">
        <f ca="1">_xll.BDH($C$203,"GEO_GROW_OPER_INC","FY 2017","FY 2017","Currency=INR","Period=FY","BEST_FPERIOD_OVERRIDE=FY","FILING_STATUS=OR","EQY_CONSOLIDATED=Y","FA_ADJUSTED=GAAP","Sort=A","Dates=H","DateFormat=P","Fill=—","Direction=H","UseDPDF=Y")</f>
        <v>#NAME?</v>
      </c>
      <c r="AP218" s="2" t="e">
        <f ca="1">_xll.BDH($C$203,"NET_INCOME_TO_COMMON_5_YR_GROWTH","FY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218" s="2" t="e">
        <f ca="1">_xll.BDH($C$203,"5Y_GEO_GROWTH_DILUTED_EPS","FY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218" s="2" t="e">
        <f ca="1">_xll.BDH($C$203,"GEO_GROW_DVD_PER_SH","FY 2017","FY 2017","Currency=INR","Period=FY","BEST_FPERIOD_OVERRIDE=FY","FILING_STATUS=OR","EQY_CONSOLIDATED=Y","Sort=A","Dates=H","DateFormat=P","Fill=—","Direction=H","UseDPDF=Y")</f>
        <v>#NAME?</v>
      </c>
      <c r="AS218" s="2" t="e">
        <f ca="1">_xll.BDH($C$203,"ACCOUNTS_RECEIVABLE_5_YR_GROWTH","FY 2017","FY 2017","Currency=INR","Period=FY","BEST_FPERIOD_OVERRIDE=FY","FILING_STATUS=OR","EQY_CONSOLIDATED=Y","Sort=A","Dates=H","DateFormat=P","Fill=—","Direction=H","UseDPDF=Y")</f>
        <v>#NAME?</v>
      </c>
      <c r="AT218" s="2" t="e">
        <f ca="1">_xll.BDH($C$203,"INVENTORY_5_YEAR_GROWTH","FY 2017","FY 2017","Currency=INR","Period=FY","BEST_FPERIOD_OVERRIDE=FY","FILING_STATUS=OR","EQY_CONSOLIDATED=Y","Sort=A","Dates=H","DateFormat=P","Fill=—","Direction=H","UseDPDF=Y")</f>
        <v>#NAME?</v>
      </c>
      <c r="AU218" s="2" t="e">
        <f ca="1">_xll.BDH($C$203,"NET_FIXED_ASSETS_5_YEAR_GROWTH","FY 2017","FY 2017","Currency=INR","Period=FY","BEST_FPERIOD_OVERRIDE=FY","FILING_STATUS=OR","EQY_CONSOLIDATED=Y","Sort=A","Dates=H","DateFormat=P","Fill=—","Direction=H","UseDPDF=Y")</f>
        <v>#NAME?</v>
      </c>
      <c r="AV218" s="2" t="e">
        <f ca="1">_xll.BDH($C$203,"GEO_GROW_TOT_ASSET","FY 2017","FY 2017","Currency=INR","Period=FY","BEST_FPERIOD_OVERRIDE=FY","FILING_STATUS=OR","EQY_CONSOLIDATED=Y","Sort=A","Dates=H","DateFormat=P","Fill=—","Direction=H","UseDPDF=Y")</f>
        <v>#NAME?</v>
      </c>
      <c r="AW218" s="2" t="e">
        <f ca="1">_xll.BDH($C$203,"MODIFIED_WORKING_CPTL_5YR_GRWTH","FY 2017","FY 2017","Currency=INR","Period=FY","BEST_FPERIOD_OVERRIDE=FY","FILING_STATUS=OR","EQY_CONSOLIDATED=Y","Sort=A","Dates=H","DateFormat=P","Fill=—","Direction=H","UseDPDF=Y")</f>
        <v>#NAME?</v>
      </c>
      <c r="AX218" s="2" t="e">
        <f ca="1">_xll.BDH($C$203,"WORKING_CAPITAL_5_YEAR_GROWTH","FY 2017","FY 2017","Currency=INR","Period=FY","BEST_FPERIOD_OVERRIDE=FY","FILING_STATUS=OR","EQY_CONSOLIDATED=Y","Sort=A","Dates=H","DateFormat=P","Fill=—","Direction=H","UseDPDF=Y")</f>
        <v>#NAME?</v>
      </c>
      <c r="AY218" s="2" t="e">
        <f ca="1">_xll.BDH($C$203,"ACCOUNTS_PAYABLE_5_YEAR_GROWTH","FY 2017","FY 2017","Currency=INR","Period=FY","BEST_FPERIOD_OVERRIDE=FY","FILING_STATUS=OR","EQY_CONSOLIDATED=Y","Sort=A","Dates=H","DateFormat=P","Fill=—","Direction=H","UseDPDF=Y")</f>
        <v>#NAME?</v>
      </c>
      <c r="AZ218" s="2" t="e">
        <f ca="1">_xll.BDH($C$203,"SHORT_TERM_DEBT_5_YEAR_GROWTH","FY 2017","FY 2017","Currency=INR","Period=FY","BEST_FPERIOD_OVERRIDE=FY","FILING_STATUS=OR","EQY_CONSOLIDATED=Y","Sort=A","Dates=H","DateFormat=P","Fill=—","Direction=H","UseDPDF=Y")</f>
        <v>#NAME?</v>
      </c>
      <c r="BA218" s="2" t="e">
        <f ca="1">_xll.BDH($C$203,"TOTAL_DEBT_5_YEAR_GROWTH","FY 2017","FY 2017","Currency=INR","Period=FY","BEST_FPERIOD_OVERRIDE=FY","FILING_STATUS=OR","EQY_CONSOLIDATED=Y","Sort=A","Dates=H","DateFormat=P","Fill=—","Direction=H","UseDPDF=Y")</f>
        <v>#NAME?</v>
      </c>
      <c r="BB218" s="2" t="e">
        <f ca="1">_xll.BDH($C$203,"GEO_GROW_TOT_SHRHLDR_EQY","FY 2017","FY 2017","Currency=INR","Period=FY","BEST_FPERIOD_OVERRIDE=FY","FILING_STATUS=OR","EQY_CONSOLIDATED=Y","Sort=A","Dates=H","DateFormat=P","Fill=—","Direction=H","UseDPDF=Y")</f>
        <v>#NAME?</v>
      </c>
      <c r="BC218" s="2" t="e">
        <f ca="1">_xll.BDH($C$203,"TOTAL_CAPITAL_5_YEAR_GROWTH","FY 2017","FY 2017","Currency=INR","Period=FY","BEST_FPERIOD_OVERRIDE=FY","FILING_STATUS=OR","EQY_CONSOLIDATED=Y","Sort=A","Dates=H","DateFormat=P","Fill=—","Direction=H","UseDPDF=Y")</f>
        <v>#NAME?</v>
      </c>
      <c r="BD218" s="2" t="e">
        <f ca="1">_xll.BDH($C$203,"GEO_GROW_BOOK_VAL","FY 2017","FY 2017","Currency=INR","Period=FY","BEST_FPERIOD_OVERRIDE=FY","FILING_STATUS=OR","EQY_CONSOLIDATED=Y","Sort=A","Dates=H","DateFormat=P","Fill=—","Direction=H","UseDPDF=Y")</f>
        <v>#NAME?</v>
      </c>
      <c r="BE218" s="2" t="e">
        <f ca="1">_xll.BDH($C$203,"GEO_GROW_CASH_OPER_ACT","FY 2017","FY 2017","Currency=INR","Period=FY","BEST_FPERIOD_OVERRIDE=FY","FILING_STATUS=OR","EQY_CONSOLIDATED=Y","Sort=A","Dates=H","DateFormat=P","Fill=—","Direction=H","UseDPDF=Y")</f>
        <v>#NAME?</v>
      </c>
      <c r="BF218" s="2" t="e">
        <f ca="1">_xll.BDH($C$203,"REVENUE_SEQUENTIAL_GROWTH","FY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218" s="2" t="e">
        <f ca="1">_xll.BDH($C$203,"EBITDA_SEQUENTIAL_GROWTH","FY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218" s="2" t="e">
        <f ca="1">_xll.BDH($C$203,"OPERATING_INCOME_SEQ_GROWTH","FY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218" s="2" t="e">
        <f ca="1">_xll.BDH($C$203,"NET_INCOME_TO_COMMON_SEQ_GROWTH","FY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218" s="2" t="e">
        <f ca="1">_xll.BDH($C$203,"EPS_DILUTED_SEQUENTIAL_GROWTH","FY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218" s="2" t="e">
        <f ca="1">_xll.BDH($C$203,"DPS_SEQUENTIAL_GROWTH","FY 2017","FY 2017","Currency=INR","Period=FY","BEST_FPERIOD_OVERRIDE=FY","FILING_STATUS=OR","EQY_CONSOLIDATED=Y","Sort=A","Dates=H","DateFormat=P","Fill=—","Direction=H","UseDPDF=Y")</f>
        <v>#NAME?</v>
      </c>
      <c r="BL218" s="2" t="e">
        <f ca="1">_xll.BDH($C$203,"ACCOUNTS_RECEIVABLE_SEQ_GROWTH","FY 2017","FY 2017","Currency=INR","Period=FY","BEST_FPERIOD_OVERRIDE=FY","FILING_STATUS=OR","EQY_CONSOLIDATED=Y","Sort=A","Dates=H","DateFormat=P","Fill=—","Direction=H","UseDPDF=Y")</f>
        <v>#NAME?</v>
      </c>
      <c r="BM218" s="2" t="e">
        <f ca="1">_xll.BDH($C$203,"INVENTORY_SEQUENTIAL_GROWTH","FY 2017","FY 2017","Currency=INR","Period=FY","BEST_FPERIOD_OVERRIDE=FY","FILING_STATUS=OR","EQY_CONSOLIDATED=Y","Sort=A","Dates=H","DateFormat=P","Fill=—","Direction=H","UseDPDF=Y")</f>
        <v>#NAME?</v>
      </c>
      <c r="BN218" s="2" t="e">
        <f ca="1">_xll.BDH($C$203,"FIXED_ASSETS_SEQUENTIAL_GROWTH","FY 2017","FY 2017","Currency=INR","Period=FY","BEST_FPERIOD_OVERRIDE=FY","FILING_STATUS=OR","EQY_CONSOLIDATED=Y","Sort=A","Dates=H","DateFormat=P","Fill=—","Direction=H","UseDPDF=Y")</f>
        <v>#NAME?</v>
      </c>
      <c r="BO218" s="2" t="e">
        <f ca="1">_xll.BDH($C$203,"TOTAL_ASSETS_SEQUENTIAL_GROWTH","FY 2017","FY 2017","Currency=INR","Period=FY","BEST_FPERIOD_OVERRIDE=FY","FILING_STATUS=OR","EQY_CONSOLIDATED=Y","Sort=A","Dates=H","DateFormat=P","Fill=—","Direction=H","UseDPDF=Y")</f>
        <v>#NAME?</v>
      </c>
      <c r="BP218" s="2" t="e">
        <f ca="1">_xll.BDH($C$203,"MODIFIED_WORKING_CPTL_SEQ_GRWTH","FY 2017","FY 2017","Currency=INR","Period=FY","BEST_FPERIOD_OVERRIDE=FY","FILING_STATUS=OR","EQY_CONSOLIDATED=Y","Sort=A","Dates=H","DateFormat=P","Fill=—","Direction=H","UseDPDF=Y")</f>
        <v>#NAME?</v>
      </c>
      <c r="BQ218" s="2" t="e">
        <f ca="1">_xll.BDH($C$203,"WORKING_CAPITAL_SEQ_GROWTH","FY 2017","FY 2017","Currency=INR","Period=FY","BEST_FPERIOD_OVERRIDE=FY","FILING_STATUS=OR","EQY_CONSOLIDATED=Y","Sort=A","Dates=H","DateFormat=P","Fill=—","Direction=H","UseDPDF=Y")</f>
        <v>#NAME?</v>
      </c>
      <c r="BR218" s="2" t="e">
        <f ca="1">_xll.BDH($C$203,"ACCOUNTS_PAYABLE_SEQ_GROWTH","FY 2017","FY 2017","Currency=INR","Period=FY","BEST_FPERIOD_OVERRIDE=FY","FILING_STATUS=OR","EQY_CONSOLIDATED=Y","Sort=A","Dates=H","DateFormat=P","Fill=—","Direction=H","UseDPDF=Y")</f>
        <v>#NAME?</v>
      </c>
      <c r="BS218" s="2" t="e">
        <f ca="1">_xll.BDH($C$203,"ST_DEBT_SEQUENTIAL_GROWTH","FY 2017","FY 2017","Currency=INR","Period=FY","BEST_FPERIOD_OVERRIDE=FY","FILING_STATUS=OR","EQY_CONSOLIDATED=Y","Sort=A","Dates=H","DateFormat=P","Fill=—","Direction=H","UseDPDF=Y")</f>
        <v>#NAME?</v>
      </c>
      <c r="BT218" s="2" t="e">
        <f ca="1">_xll.BDH($C$203,"TOTAL_DEBT_SEQUENTIAL_GROWTH","FY 2017","FY 2017","Currency=INR","Period=FY","BEST_FPERIOD_OVERRIDE=FY","FILING_STATUS=OR","EQY_CONSOLIDATED=Y","Sort=A","Dates=H","DateFormat=P","Fill=—","Direction=H","UseDPDF=Y")</f>
        <v>#NAME?</v>
      </c>
      <c r="BU218" s="2" t="e">
        <f ca="1">_xll.BDH($C$203,"TOTAL_EQUITY_SEQUENTIAL_GROWTH","FY 2017","FY 2017","Currency=INR","Period=FY","BEST_FPERIOD_OVERRIDE=FY","FILING_STATUS=OR","EQY_CONSOLIDATED=Y","Sort=A","Dates=H","DateFormat=P","Fill=—","Direction=H","UseDPDF=Y")</f>
        <v>#NAME?</v>
      </c>
      <c r="BV218" s="2" t="e">
        <f ca="1">_xll.BDH($C$203,"TOTAL_CAPITAL_SEQUENTIAL_GROWTH","FY 2017","FY 2017","Currency=INR","Period=FY","BEST_FPERIOD_OVERRIDE=FY","FILING_STATUS=OR","EQY_CONSOLIDATED=Y","Sort=A","Dates=H","DateFormat=P","Fill=—","Direction=H","UseDPDF=Y")</f>
        <v>#NAME?</v>
      </c>
      <c r="BW218" s="2" t="e">
        <f ca="1">_xll.BDH($C$203,"BPS_SEQUENTIAL_GROWTH","FY 2017","FY 2017","Currency=INR","Period=FY","BEST_FPERIOD_OVERRIDE=FY","FILING_STATUS=OR","EQY_CONSOLIDATED=Y","Sort=A","Dates=H","DateFormat=P","Fill=—","Direction=H","UseDPDF=Y")</f>
        <v>#NAME?</v>
      </c>
      <c r="BX218" s="2" t="e">
        <f ca="1">_xll.BDH($C$203,"CFO_SEQUENTIAL_GROWTH","FY 2017","FY 2017","Currency=INR","Period=FY","BEST_FPERIOD_OVERRIDE=FY","FILING_STATUS=OR","EQY_CONSOLIDATED=Y","Sort=A","Dates=H","DateFormat=P","Fill=—","Direction=H","UseDPDF=Y")</f>
        <v>#NAME?</v>
      </c>
      <c r="BY218" s="3" t="e">
        <f ca="1">_xll.BDH($C$203,"SHORT_AND_LONG_TERM_DEBT","FY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218" s="3" t="e">
        <f ca="1">_xll.BDH($C$203,"BS_ST_BORROW","FY 2017","FY 2017","Currency=INR","Period=FY","BEST_FPERIOD_OVERRIDE=FY","FILING_STATUS=OR","EQY_CONSOLIDATED=Y","SCALING_FORMAT=MLN","Sort=A","Dates=H","DateFormat=P","Fill=—","Direction=H","UseDPDF=Y")</f>
        <v>#NAME?</v>
      </c>
      <c r="CA218" s="3" t="e">
        <f ca="1">_xll.BDH($C$203,"BS_LT_BORROW","FY 2017","FY 2017","Currency=INR","Period=FY","BEST_FPERIOD_OVERRIDE=FY","FILING_STATUS=OR","EQY_CONSOLIDATED=Y","SCALING_FORMAT=MLN","Sort=A","Dates=H","DateFormat=P","Fill=—","Direction=H","UseDPDF=Y")</f>
        <v>#NAME?</v>
      </c>
      <c r="CB218" s="2" t="e">
        <f ca="1">_xll.BDH($C$203,"TOT_DEBT_TO_EBITDA","FY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218" s="2" t="e">
        <f ca="1">_xll.BDH($C$203,"NET_DEBT_TO_EBITDA","FY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218" s="2" t="e">
        <f ca="1">_xll.BDH($C$203,"TOTAL_DEBT_TO_EBIT","FY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218" s="2" t="e">
        <f ca="1">_xll.BDH($C$203,"NET_DEBT_TO_EBIT","FY 2017","FY 2017","Currency=INR","Period=FY","BEST_FPERIOD_OVERRIDE=FY","FILING_STATUS=OR","EQY_CONSOLIDATED=Y","FA_ADJUSTED=GAAP","Sort=A","Dates=H","DateFormat=P","Fill=—","Direction=H","UseDPDF=Y")</f>
        <v>#NAME?</v>
      </c>
      <c r="CF218" s="2" t="e">
        <f ca="1">_xll.BDH($C$203,"EBITDA_TO_INTEREST_EXPN","FY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218" s="2" t="e">
        <f ca="1">_xll.BDH($C$203,"COM_EQY_TO_TOT_ASSET","FY 2017","FY 2017","Currency=INR","Period=FY","BEST_FPERIOD_OVERRIDE=FY","FILING_STATUS=OR","EQY_CONSOLIDATED=Y","Sort=A","Dates=H","DateFormat=P","Fill=—","Direction=H","UseDPDF=Y")</f>
        <v>#NAME?</v>
      </c>
      <c r="CH218" s="2" t="e">
        <f ca="1">_xll.BDH($C$203,"LT_DEBT_TO_TOT_EQY","FY 2017","FY 2017","Currency=INR","Period=FY","BEST_FPERIOD_OVERRIDE=FY","FILING_STATUS=OR","EQY_CONSOLIDATED=Y","Sort=A","Dates=H","DateFormat=P","Fill=—","Direction=H","UseDPDF=Y")</f>
        <v>#NAME?</v>
      </c>
      <c r="CI218" s="2" t="e">
        <f ca="1">_xll.BDH($C$203,"LT_DEBT_TO_TOT_CAP","FY 2017","FY 2017","Currency=INR","Period=FY","BEST_FPERIOD_OVERRIDE=FY","FILING_STATUS=OR","EQY_CONSOLIDATED=Y","Sort=A","Dates=H","DateFormat=P","Fill=—","Direction=H","UseDPDF=Y")</f>
        <v>#NAME?</v>
      </c>
      <c r="CJ218" s="2" t="e">
        <f ca="1">_xll.BDH($C$203,"LT_DEBT_TO_TOT_ASSET","FY 2017","FY 2017","Currency=INR","Period=FY","BEST_FPERIOD_OVERRIDE=FY","FILING_STATUS=OR","EQY_CONSOLIDATED=Y","Sort=A","Dates=H","DateFormat=P","Fill=—","Direction=H","UseDPDF=Y")</f>
        <v>#NAME?</v>
      </c>
      <c r="CK218" s="2" t="e">
        <f ca="1">_xll.BDH($C$203,"TOT_DEBT_TO_TOT_EQY","FY 2017","FY 2017","Currency=INR","Period=FY","BEST_FPERIOD_OVERRIDE=FY","FILING_STATUS=OR","EQY_CONSOLIDATED=Y","Sort=A","Dates=H","DateFormat=P","Fill=—","Direction=H","UseDPDF=Y")</f>
        <v>#NAME?</v>
      </c>
      <c r="CL218" s="2" t="e">
        <f ca="1">_xll.BDH($C$203,"TOT_DEBT_TO_TOT_CAP","FY 2017","FY 2017","Currency=INR","Period=FY","BEST_FPERIOD_OVERRIDE=FY","FILING_STATUS=OR","EQY_CONSOLIDATED=Y","Sort=A","Dates=H","DateFormat=P","Fill=—","Direction=H","UseDPDF=Y")</f>
        <v>#NAME?</v>
      </c>
      <c r="CM218" s="2" t="e">
        <f ca="1">_xll.BDH($C$203,"TOT_DEBT_TO_TOT_ASSET","FY 2017","FY 2017","Currency=INR","Period=FY","BEST_FPERIOD_OVERRIDE=FY","FILING_STATUS=OR","EQY_CONSOLIDATED=Y","Sort=A","Dates=H","DateFormat=P","Fill=—","Direction=H","UseDPDF=Y")</f>
        <v>#NAME?</v>
      </c>
      <c r="CN218" s="2" t="e">
        <f ca="1">_xll.BDH($C$203,"NET_DEBT_TO_SHRHLDR_EQTY","FY 2017","FY 2017","Currency=INR","Period=FY","BEST_FPERIOD_OVERRIDE=FY","FILING_STATUS=OR","EQY_CONSOLIDATED=Y","Sort=A","Dates=H","DateFormat=P","Fill=—","Direction=H","UseDPDF=Y")</f>
        <v>#NAME?</v>
      </c>
      <c r="CO218" s="2" t="e">
        <f ca="1">_xll.BDH($C$203,"NET_DEBT_%_CAPITAL","FY 2017","FY 2017","Currency=INR","Period=FY","BEST_FPERIOD_OVERRIDE=FY","FILING_STATUS=OR","EQY_CONSOLIDATED=Y","Sort=A","Dates=H","DateFormat=P","Fill=—","Direction=H","UseDPDF=Y")</f>
        <v>#NAME?</v>
      </c>
      <c r="CP218" s="3" t="e">
        <f ca="1">_xll.BDH($C$203,"EBITDA","FY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218" s="3" t="e">
        <f ca="1">_xll.BDH($C$203,"EBITDA_AFTER_CAPEX","FY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218" s="3" t="e">
        <f ca="1">_xll.BDH($C$203,"IS_OPER_INC","FY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218" s="2" t="e">
        <f ca="1">_xll.BDH($C$203,"CASH_RATIO","FY 2017","FY 2017","Currency=INR","Period=FY","BEST_FPERIOD_OVERRIDE=FY","FILING_STATUS=OR","EQY_CONSOLIDATED=Y","Sort=A","Dates=H","DateFormat=P","Fill=—","Direction=H","UseDPDF=Y")</f>
        <v>#NAME?</v>
      </c>
      <c r="CT218" s="2" t="e">
        <f ca="1">_xll.BDH($C$203,"CUR_RATIO","FY 2017","FY 2017","Currency=INR","Period=FY","BEST_FPERIOD_OVERRIDE=FY","FILING_STATUS=OR","EQY_CONSOLIDATED=Y","Sort=A","Dates=H","DateFormat=P","Fill=—","Direction=H","UseDPDF=Y")</f>
        <v>#NAME?</v>
      </c>
      <c r="CU218" s="2" t="e">
        <f ca="1">_xll.BDH($C$203,"QUICK_RATIO","FY 2017","FY 2017","Currency=INR","Period=FY","BEST_FPERIOD_OVERRIDE=FY","FILING_STATUS=OR","EQY_CONSOLIDATED=Y","Sort=A","Dates=H","DateFormat=P","Fill=—","Direction=H","UseDPDF=Y")</f>
        <v>#NAME?</v>
      </c>
      <c r="CV218" s="2" t="e">
        <f ca="1">_xll.BDH($C$203,"ALTMAN_Z_SCORE","FY 2017","FY 2017","Currency=INR","Period=FY","BEST_FPERIOD_OVERRIDE=FY","FILING_STATUS=OR","EQY_CONSOLIDATED=Y","Sort=A","Dates=H","DateFormat=P","Fill=—","Direction=H","UseDPDF=Y")</f>
        <v>#NAME?</v>
      </c>
      <c r="CW218" s="4" t="e">
        <f ca="1">_xll.BDH($C$203,"ACCT_RCV_TURN","FY 2017","FY 2017","Currency=INR","Period=FY","BEST_FPERIOD_OVERRIDE=FY","FILING_STATUS=OR","EQY_CONSOLIDATED=Y","FA_ADJUSTED=GAAP","Sort=A","Dates=H","DateFormat=P","Fill=—","Direction=H","UseDPDF=Y")</f>
        <v>#NAME?</v>
      </c>
      <c r="CX218" s="2" t="e">
        <f ca="1">_xll.BDH($C$203,"ACCT_RCV_DAYS","FY 2017","FY 2017","Currency=INR","Period=FY","BEST_FPERIOD_OVERRIDE=FY","FILING_STATUS=OR","EQY_CONSOLIDATED=Y","FA_ADJUSTED=GAAP","Sort=A","Dates=H","DateFormat=P","Fill=—","Direction=H","UseDPDF=Y")</f>
        <v>#NAME?</v>
      </c>
      <c r="CY218" s="4" t="e">
        <f ca="1">_xll.BDH($C$203,"INVENT_TURN","FY 2017","FY 2017","Currency=INR","Period=FY","BEST_FPERIOD_OVERRIDE=FY","FILING_STATUS=OR","EQY_CONSOLIDATED=Y","FA_ADJUSTED=GAAP","Sort=A","Dates=H","DateFormat=P","Fill=—","Direction=H","UseDPDF=Y")</f>
        <v>#NAME?</v>
      </c>
      <c r="CZ218" s="2" t="e">
        <f ca="1">_xll.BDH($C$203,"INVENT_DAYS","FY 2017","FY 2017","Currency=INR","Period=FY","BEST_FPERIOD_OVERRIDE=FY","FILING_STATUS=OR","EQY_CONSOLIDATED=Y","FA_ADJUSTED=GAAP","Sort=A","Dates=H","DateFormat=P","Fill=—","Direction=H","UseDPDF=Y")</f>
        <v>#NAME?</v>
      </c>
      <c r="DA218" s="4" t="e">
        <f ca="1">_xll.BDH($C$203,"ACCOUNTS_PAYABLE_TURNOVER","FY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218" s="2" t="e">
        <f ca="1">_xll.BDH($C$203,"ACCOUNTS_PAYABLE_TURNOVER_DAYS","FY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218" s="4" t="e">
        <f ca="1">_xll.BDH($C$203,"CASH_CONVERSION_CYCLE","FY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218" s="4" t="e">
        <f ca="1">_xll.BDH($C$203,"INV_TO_CASH_DAYS","FY 2017","FY 2017","Currency=INR","Period=FY","BEST_FPERIOD_OVERRIDE=FY","FILING_STATUS=OR","EQY_CONSOLIDATED=Y","FA_ADJUSTED=GAAP","Sort=A","Dates=H","DateFormat=P","Fill=—","Direction=H","UseDPDF=Y")</f>
        <v>#NAME?</v>
      </c>
      <c r="DE218" s="5" t="e">
        <f ca="1">_xll.BDH($C$203,"BS_INVENTORIES","FY 2017","FY 2017","Currency=INR","Period=FY","BEST_FPERIOD_OVERRIDE=FY","FILING_STATUS=OR","EQY_CONSOLIDATED=Y","SCALING_FORMAT=MLN","Sort=A","Dates=H","DateFormat=P","Fill=—","Direction=H","UseDPDF=Y")</f>
        <v>#NAME?</v>
      </c>
      <c r="DF218" s="3" t="e">
        <f ca="1">_xll.BDH($C$203,"INVTRY_RAW_MATERIALS","FY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218" s="3" t="e">
        <f ca="1">_xll.BDH($C$203,"INVTRY_IN_PROGRESS","FY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218" s="3" t="e">
        <f ca="1">_xll.BDH($C$203,"INVTRY_FINISHED_GOODS","FY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218" s="3" t="e">
        <f ca="1">_xll.BDH($C$203,"BS_OTHER_INV","FY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219" spans="1:113" x14ac:dyDescent="0.3">
      <c r="A219" s="6"/>
      <c r="B219" s="6"/>
      <c r="C219" s="6"/>
      <c r="D219" s="6"/>
      <c r="E219" t="s">
        <v>78</v>
      </c>
      <c r="F219" t="e">
        <f ca="1">_xll.BDH($C$203,"RETURN_COM_EQY","FQ1 2017","FQ1 2017","Currency=INR","Period=FQ","BEST_FPERIOD_OVERRIDE=FQ","FILING_STATUS=OR","EQY_CONSOLIDATED=Y","FA_ADJUSTED=GAAP","Sort=A","Dates=H","DateFormat=P","Fill=—","Direction=H","UseDPDF=Y")</f>
        <v>#NAME?</v>
      </c>
      <c r="G219" t="e">
        <f ca="1">_xll.BDH($C$203,"RETURN_ON_ASSET","FQ1 2017","FQ1 2017","Currency=INR","Period=FQ","BEST_FPERIOD_OVERRIDE=FQ","FILING_STATUS=OR","EQY_CONSOLIDATED=Y","FA_ADJUSTED=GAAP","Sort=A","Dates=H","DateFormat=P","Fill=—","Direction=H","UseDPDF=Y")</f>
        <v>#NAME?</v>
      </c>
      <c r="H219" t="e">
        <f ca="1">_xll.BDH($C$203,"RETURN_ON_CAP","FQ1 2017","FQ1 2017","Currency=INR","Period=FQ","BEST_FPERIOD_OVERRIDE=FQ","FILING_STATUS=OR","EQY_CONSOLIDATED=Y","FA_ADJUSTED=GAAP","Sort=A","Dates=H","DateFormat=P","Fill=—","Direction=H","UseDPDF=Y")</f>
        <v>#NAME?</v>
      </c>
      <c r="I219" t="e">
        <f ca="1">_xll.BDH($C$203,"RETURN_ON_INV_CAPITAL","FQ1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219" t="e">
        <f ca="1">_xll.BDH($C$203,"EBITDA_TO_REVENUE","FQ1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219" t="e">
        <f ca="1">_xll.BDH($C$203,"OPER_MARGIN","FQ1 2017","FQ1 2017","Currency=INR","Period=FQ","BEST_FPERIOD_OVERRIDE=FQ","FILING_STATUS=OR","EQY_CONSOLIDATED=Y","FA_ADJUSTED=GAAP","Sort=A","Dates=H","DateFormat=P","Fill=—","Direction=H","UseDPDF=Y")</f>
        <v>#NAME?</v>
      </c>
      <c r="L219" t="e">
        <f ca="1">_xll.BDH($C$203,"INCREMENTAL_OPERATING_MARGIN","FQ1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219" t="e">
        <f ca="1">_xll.BDH($C$203,"PRETAX_INC_TO_NET_SALES","FQ1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219" t="e">
        <f ca="1">_xll.BDH($C$203,"INC_BEF_XO_ITEMS_TO_NET_SALES","FQ1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219" t="e">
        <f ca="1">_xll.BDH($C$203,"PROF_MARGIN","FQ1 2017","FQ1 2017","Currency=INR","Period=FQ","BEST_FPERIOD_OVERRIDE=FQ","FILING_STATUS=OR","EQY_CONSOLIDATED=Y","FA_ADJUSTED=GAAP","Sort=A","Dates=H","DateFormat=P","Fill=—","Direction=H","UseDPDF=Y")</f>
        <v>#NAME?</v>
      </c>
      <c r="P219" t="e">
        <f ca="1">_xll.BDH($C$203,"NET_INCOME_TO_COMMON_MARGIN","FQ1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219" t="e">
        <f ca="1">_xll.BDH($C$203,"EFF_TAX_RATE","FQ1 2017","FQ1 2017","Currency=INR","Period=FQ","BEST_FPERIOD_OVERRIDE=FQ","FILING_STATUS=OR","EQY_CONSOLIDATED=Y","FA_ADJUSTED=GAAP","Sort=A","Dates=H","DateFormat=P","Fill=—","Direction=H","UseDPDF=Y")</f>
        <v>#NAME?</v>
      </c>
      <c r="R219" t="e">
        <f ca="1">_xll.BDH($C$203,"DVD_PAYOUT_RATIO","FQ1 2017","FQ1 2017","Currency=INR","Period=FQ","BEST_FPERIOD_OVERRIDE=FQ","FILING_STATUS=OR","EQY_CONSOLIDATED=Y","FA_ADJUSTED=GAAP","Sort=A","Dates=H","DateFormat=P","Fill=—","Direction=H","UseDPDF=Y")</f>
        <v>#NAME?</v>
      </c>
      <c r="S219" t="e">
        <f ca="1">_xll.BDH($C$203,"SUSTAIN_GROWTH_RT","FQ1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219" s="2" t="e">
        <f ca="1">_xll.BDH($C$203,"SALES_GROWTH","FQ1 2017","FQ1 2017","Currency=INR","Period=FQ","BEST_FPERIOD_OVERRIDE=FQ","FILING_STATUS=OR","EQY_CONSOLIDATED=Y","FA_ADJUSTED=GAAP","Sort=A","Dates=H","DateFormat=P","Fill=—","Direction=H","UseDPDF=Y")</f>
        <v>#NAME?</v>
      </c>
      <c r="U219" s="2" t="e">
        <f ca="1">_xll.BDH($C$203,"EBITDA_GROWTH","FQ1 2017","FQ1 2017","Currency=INR","Period=FQ","BEST_FPERIOD_OVERRIDE=FQ","FILING_STATUS=OR","EQY_CONSOLIDATED=Y","FA_ADJUSTED=GAAP","Sort=A","Dates=H","DateFormat=P","Fill=—","Direction=H","UseDPDF=Y")</f>
        <v>#NAME?</v>
      </c>
      <c r="V219" s="2" t="e">
        <f ca="1">_xll.BDH($C$203,"OPER_INC_GROWTH","FQ1 2017","FQ1 2017","Currency=INR","Period=FQ","BEST_FPERIOD_OVERRIDE=FQ","FILING_STATUS=OR","EQY_CONSOLIDATED=Y","FA_ADJUSTED=GAAP","Sort=A","Dates=H","DateFormat=P","Fill=—","Direction=H","UseDPDF=Y")</f>
        <v>#NAME?</v>
      </c>
      <c r="W219" s="2" t="e">
        <f ca="1">_xll.BDH($C$203,"EARN_FOR_COM_GROWTH","FQ1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219" s="2" t="e">
        <f ca="1">_xll.BDH($C$203,"DILUTED_EPS_AFT_XO_ITEMS_GROWTH","FQ1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219" s="2" t="e">
        <f ca="1">_xll.BDH($C$203,"DIVIDEND_PER_SHARE_1_YEAR_GROWTH","FQ1 2017","FQ1 2017","Currency=INR","Period=FQ","BEST_FPERIOD_OVERRIDE=FQ","FILING_STATUS=OR","EQY_CONSOLIDATED=Y","Sort=A","Dates=H","DateFormat=P","Fill=—","Direction=H","UseDPDF=Y")</f>
        <v>#NAME?</v>
      </c>
      <c r="Z219" s="2" t="e">
        <f ca="1">_xll.BDH($C$203,"ACCOUNTS_RECEIVABLE_GROWTH","FQ1 2017","FQ1 2017","Currency=INR","Period=FQ","BEST_FPERIOD_OVERRIDE=FQ","FILING_STATUS=OR","EQY_CONSOLIDATED=Y","Sort=A","Dates=H","DateFormat=P","Fill=—","Direction=H","UseDPDF=Y")</f>
        <v>#NAME?</v>
      </c>
      <c r="AA219" s="2" t="e">
        <f ca="1">_xll.BDH($C$203,"INVENTORY_GROWTH","FQ1 2017","FQ1 2017","Currency=INR","Period=FQ","BEST_FPERIOD_OVERRIDE=FQ","FILING_STATUS=OR","EQY_CONSOLIDATED=Y","Sort=A","Dates=H","DateFormat=P","Fill=—","Direction=H","UseDPDF=Y")</f>
        <v>#NAME?</v>
      </c>
      <c r="AB219" s="2" t="e">
        <f ca="1">_xll.BDH($C$203,"NET_FIXED_ASSETS_1_YEAR_GROWTH","FQ1 2017","FQ1 2017","Currency=INR","Period=FQ","BEST_FPERIOD_OVERRIDE=FQ","FILING_STATUS=OR","EQY_CONSOLIDATED=Y","Sort=A","Dates=H","DateFormat=P","Fill=—","Direction=H","UseDPDF=Y")</f>
        <v>#NAME?</v>
      </c>
      <c r="AC219" s="2" t="e">
        <f ca="1">_xll.BDH($C$203,"ASSET_GROWTH","FQ1 2017","FQ1 2017","Currency=INR","Period=FQ","BEST_FPERIOD_OVERRIDE=FQ","FILING_STATUS=OR","EQY_CONSOLIDATED=Y","Sort=A","Dates=H","DateFormat=P","Fill=—","Direction=H","UseDPDF=Y")</f>
        <v>#NAME?</v>
      </c>
      <c r="AD219" s="2" t="e">
        <f ca="1">_xll.BDH($C$203,"MODIFIED_WORK_CAP_GROWTH","FQ1 2017","FQ1 2017","Currency=INR","Period=FQ","BEST_FPERIOD_OVERRIDE=FQ","FILING_STATUS=OR","EQY_CONSOLIDATED=Y","Sort=A","Dates=H","DateFormat=P","Fill=—","Direction=H","UseDPDF=Y")</f>
        <v>#NAME?</v>
      </c>
      <c r="AE219" s="2" t="e">
        <f ca="1">_xll.BDH($C$203,"WORK_CAP_GROWTH","FQ1 2017","FQ1 2017","Currency=INR","Period=FQ","BEST_FPERIOD_OVERRIDE=FQ","FILING_STATUS=OR","EQY_CONSOLIDATED=Y","Sort=A","Dates=H","DateFormat=P","Fill=—","Direction=H","UseDPDF=Y")</f>
        <v>#NAME?</v>
      </c>
      <c r="AF219" s="2" t="e">
        <f ca="1">_xll.BDH($C$203,"ACCOUNTS_PAYABLE_GROWTH_1YR","FQ1 2017","FQ1 2017","Currency=INR","Period=FQ","BEST_FPERIOD_OVERRIDE=FQ","FILING_STATUS=OR","EQY_CONSOLIDATED=Y","Sort=A","Dates=H","DateFormat=P","Fill=—","Direction=H","UseDPDF=Y")</f>
        <v>#NAME?</v>
      </c>
      <c r="AG219" s="2" t="e">
        <f ca="1">_xll.BDH($C$203,"SHORT_TERM_DEBT_1_YEAR_GROWTH","FQ1 2017","FQ1 2017","Currency=INR","Period=FQ","BEST_FPERIOD_OVERRIDE=FQ","FILING_STATUS=OR","EQY_CONSOLIDATED=Y","Sort=A","Dates=H","DateFormat=P","Fill=—","Direction=H","UseDPDF=Y")</f>
        <v>#NAME?</v>
      </c>
      <c r="AH219" s="2" t="e">
        <f ca="1">_xll.BDH($C$203,"TOTAL_DEBT_1_YEAR_GROWTH","FQ1 2017","FQ1 2017","Currency=INR","Period=FQ","BEST_FPERIOD_OVERRIDE=FQ","FILING_STATUS=OR","EQY_CONSOLIDATED=Y","Sort=A","Dates=H","DateFormat=P","Fill=—","Direction=H","UseDPDF=Y")</f>
        <v>#NAME?</v>
      </c>
      <c r="AI219" s="2" t="e">
        <f ca="1">_xll.BDH($C$203,"TOTAL_EQUITY_1_YEAR_GROWTH","FQ1 2017","FQ1 2017","Currency=INR","Period=FQ","BEST_FPERIOD_OVERRIDE=FQ","FILING_STATUS=OR","EQY_CONSOLIDATED=Y","Sort=A","Dates=H","DateFormat=P","Fill=—","Direction=H","UseDPDF=Y")</f>
        <v>#NAME?</v>
      </c>
      <c r="AJ219" s="2" t="e">
        <f ca="1">_xll.BDH($C$203,"GROWTH_IN_CAP","FQ1 2017","FQ1 2017","Currency=INR","Period=FQ","BEST_FPERIOD_OVERRIDE=FQ","FILING_STATUS=OR","EQY_CONSOLIDATED=Y","Sort=A","Dates=H","DateFormat=P","Fill=—","Direction=H","UseDPDF=Y")</f>
        <v>#NAME?</v>
      </c>
      <c r="AK219" s="2" t="e">
        <f ca="1">_xll.BDH($C$203,"BVPS_GROWTH","FQ1 2017","FQ1 2017","Currency=INR","Period=FQ","BEST_FPERIOD_OVERRIDE=FQ","FILING_STATUS=OR","EQY_CONSOLIDATED=Y","Sort=A","Dates=H","DateFormat=P","Fill=—","Direction=H","UseDPDF=Y")</f>
        <v>#NAME?</v>
      </c>
      <c r="AL219" s="2" t="e">
        <f ca="1">_xll.BDH($C$203,"CASH_FLOW_GROWTH","FQ1 2017","FQ1 2017","Currency=INR","Period=FQ","BEST_FPERIOD_OVERRIDE=FQ","FILING_STATUS=OR","EQY_CONSOLIDATED=Y","Sort=A","Dates=H","DateFormat=P","Fill=—","Direction=H","UseDPDF=Y")</f>
        <v>#NAME?</v>
      </c>
      <c r="AM219" s="2" t="e">
        <f ca="1">_xll.BDH($C$203,"GEO_GROW_NET_SALES","FQ1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219" s="2" t="e">
        <f ca="1">_xll.BDH($C$203,"GEO_GROW_EBITDA","FQ1 2017","FQ1 2017","Currency=INR","Period=FQ","BEST_FPERIOD_OVERRIDE=FQ","FILING_STATUS=OR","EQY_CONSOLIDATED=Y","FA_ADJUSTED=GAAP","Sort=A","Dates=H","DateFormat=P","Fill=—","Direction=H","UseDPDF=Y")</f>
        <v>#NAME?</v>
      </c>
      <c r="AO219" s="2" t="e">
        <f ca="1">_xll.BDH($C$203,"GEO_GROW_OPER_INC","FQ1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219" s="2" t="e">
        <f ca="1">_xll.BDH($C$203,"NET_INCOME_TO_COMMON_5_YR_GROWTH","FQ1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219" s="2" t="e">
        <f ca="1">_xll.BDH($C$203,"5Y_GEO_GROWTH_DILUTED_EPS","FQ1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219" s="2" t="e">
        <f ca="1">_xll.BDH($C$203,"GEO_GROW_DVD_PER_SH","FQ1 2017","FQ1 2017","Currency=INR","Period=FQ","BEST_FPERIOD_OVERRIDE=FQ","FILING_STATUS=OR","EQY_CONSOLIDATED=Y","Sort=A","Dates=H","DateFormat=P","Fill=—","Direction=H","UseDPDF=Y")</f>
        <v>#NAME?</v>
      </c>
      <c r="AS219" s="2" t="e">
        <f ca="1">_xll.BDH($C$203,"ACCOUNTS_RECEIVABLE_5_YR_GROWTH","FQ1 2017","FQ1 2017","Currency=INR","Period=FQ","BEST_FPERIOD_OVERRIDE=FQ","FILING_STATUS=OR","EQY_CONSOLIDATED=Y","Sort=A","Dates=H","DateFormat=P","Fill=—","Direction=H","UseDPDF=Y")</f>
        <v>#NAME?</v>
      </c>
      <c r="AT219" s="2" t="e">
        <f ca="1">_xll.BDH($C$203,"INVENTORY_5_YEAR_GROWTH","FQ1 2017","FQ1 2017","Currency=INR","Period=FQ","BEST_FPERIOD_OVERRIDE=FQ","FILING_STATUS=OR","EQY_CONSOLIDATED=Y","Sort=A","Dates=H","DateFormat=P","Fill=—","Direction=H","UseDPDF=Y")</f>
        <v>#NAME?</v>
      </c>
      <c r="AU219" s="2" t="e">
        <f ca="1">_xll.BDH($C$203,"NET_FIXED_ASSETS_5_YEAR_GROWTH","FQ1 2017","FQ1 2017","Currency=INR","Period=FQ","BEST_FPERIOD_OVERRIDE=FQ","FILING_STATUS=OR","EQY_CONSOLIDATED=Y","Sort=A","Dates=H","DateFormat=P","Fill=—","Direction=H","UseDPDF=Y")</f>
        <v>#NAME?</v>
      </c>
      <c r="AV219" s="2" t="e">
        <f ca="1">_xll.BDH($C$203,"GEO_GROW_TOT_ASSET","FQ1 2017","FQ1 2017","Currency=INR","Period=FQ","BEST_FPERIOD_OVERRIDE=FQ","FILING_STATUS=OR","EQY_CONSOLIDATED=Y","Sort=A","Dates=H","DateFormat=P","Fill=—","Direction=H","UseDPDF=Y")</f>
        <v>#NAME?</v>
      </c>
      <c r="AW219" s="2" t="e">
        <f ca="1">_xll.BDH($C$203,"MODIFIED_WORKING_CPTL_5YR_GRWTH","FQ1 2017","FQ1 2017","Currency=INR","Period=FQ","BEST_FPERIOD_OVERRIDE=FQ","FILING_STATUS=OR","EQY_CONSOLIDATED=Y","Sort=A","Dates=H","DateFormat=P","Fill=—","Direction=H","UseDPDF=Y")</f>
        <v>#NAME?</v>
      </c>
      <c r="AX219" s="2" t="e">
        <f ca="1">_xll.BDH($C$203,"WORKING_CAPITAL_5_YEAR_GROWTH","FQ1 2017","FQ1 2017","Currency=INR","Period=FQ","BEST_FPERIOD_OVERRIDE=FQ","FILING_STATUS=OR","EQY_CONSOLIDATED=Y","Sort=A","Dates=H","DateFormat=P","Fill=—","Direction=H","UseDPDF=Y")</f>
        <v>#NAME?</v>
      </c>
      <c r="AY219" s="2" t="e">
        <f ca="1">_xll.BDH($C$203,"ACCOUNTS_PAYABLE_5_YEAR_GROWTH","FQ1 2017","FQ1 2017","Currency=INR","Period=FQ","BEST_FPERIOD_OVERRIDE=FQ","FILING_STATUS=OR","EQY_CONSOLIDATED=Y","Sort=A","Dates=H","DateFormat=P","Fill=—","Direction=H","UseDPDF=Y")</f>
        <v>#NAME?</v>
      </c>
      <c r="AZ219" s="2" t="e">
        <f ca="1">_xll.BDH($C$203,"SHORT_TERM_DEBT_5_YEAR_GROWTH","FQ1 2017","FQ1 2017","Currency=INR","Period=FQ","BEST_FPERIOD_OVERRIDE=FQ","FILING_STATUS=OR","EQY_CONSOLIDATED=Y","Sort=A","Dates=H","DateFormat=P","Fill=—","Direction=H","UseDPDF=Y")</f>
        <v>#NAME?</v>
      </c>
      <c r="BA219" s="2" t="e">
        <f ca="1">_xll.BDH($C$203,"TOTAL_DEBT_5_YEAR_GROWTH","FQ1 2017","FQ1 2017","Currency=INR","Period=FQ","BEST_FPERIOD_OVERRIDE=FQ","FILING_STATUS=OR","EQY_CONSOLIDATED=Y","Sort=A","Dates=H","DateFormat=P","Fill=—","Direction=H","UseDPDF=Y")</f>
        <v>#NAME?</v>
      </c>
      <c r="BB219" s="2" t="e">
        <f ca="1">_xll.BDH($C$203,"GEO_GROW_TOT_SHRHLDR_EQY","FQ1 2017","FQ1 2017","Currency=INR","Period=FQ","BEST_FPERIOD_OVERRIDE=FQ","FILING_STATUS=OR","EQY_CONSOLIDATED=Y","Sort=A","Dates=H","DateFormat=P","Fill=—","Direction=H","UseDPDF=Y")</f>
        <v>#NAME?</v>
      </c>
      <c r="BC219" s="2" t="e">
        <f ca="1">_xll.BDH($C$203,"TOTAL_CAPITAL_5_YEAR_GROWTH","FQ1 2017","FQ1 2017","Currency=INR","Period=FQ","BEST_FPERIOD_OVERRIDE=FQ","FILING_STATUS=OR","EQY_CONSOLIDATED=Y","Sort=A","Dates=H","DateFormat=P","Fill=—","Direction=H","UseDPDF=Y")</f>
        <v>#NAME?</v>
      </c>
      <c r="BD219" s="2" t="e">
        <f ca="1">_xll.BDH($C$203,"GEO_GROW_BOOK_VAL","FQ1 2017","FQ1 2017","Currency=INR","Period=FQ","BEST_FPERIOD_OVERRIDE=FQ","FILING_STATUS=OR","EQY_CONSOLIDATED=Y","Sort=A","Dates=H","DateFormat=P","Fill=—","Direction=H","UseDPDF=Y")</f>
        <v>#NAME?</v>
      </c>
      <c r="BE219" s="2" t="e">
        <f ca="1">_xll.BDH($C$203,"GEO_GROW_CASH_OPER_ACT","FQ1 2017","FQ1 2017","Currency=INR","Period=FQ","BEST_FPERIOD_OVERRIDE=FQ","FILING_STATUS=OR","EQY_CONSOLIDATED=Y","Sort=A","Dates=H","DateFormat=P","Fill=—","Direction=H","UseDPDF=Y")</f>
        <v>#NAME?</v>
      </c>
      <c r="BF219" s="2" t="e">
        <f ca="1">_xll.BDH($C$203,"REVENUE_SEQUENTIAL_GROWTH","FQ1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219" s="2" t="e">
        <f ca="1">_xll.BDH($C$203,"EBITDA_SEQUENTIAL_GROWTH","FQ1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219" s="2" t="e">
        <f ca="1">_xll.BDH($C$203,"OPERATING_INCOME_SEQ_GROWTH","FQ1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219" s="2" t="e">
        <f ca="1">_xll.BDH($C$203,"NET_INCOME_TO_COMMON_SEQ_GROWTH","FQ1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219" s="2" t="e">
        <f ca="1">_xll.BDH($C$203,"EPS_DILUTED_SEQUENTIAL_GROWTH","FQ1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219" s="2" t="e">
        <f ca="1">_xll.BDH($C$203,"DPS_SEQUENTIAL_GROWTH","FQ1 2017","FQ1 2017","Currency=INR","Period=FQ","BEST_FPERIOD_OVERRIDE=FQ","FILING_STATUS=OR","EQY_CONSOLIDATED=Y","Sort=A","Dates=H","DateFormat=P","Fill=—","Direction=H","UseDPDF=Y")</f>
        <v>#NAME?</v>
      </c>
      <c r="BL219" s="2" t="e">
        <f ca="1">_xll.BDH($C$203,"ACCOUNTS_RECEIVABLE_SEQ_GROWTH","FQ1 2017","FQ1 2017","Currency=INR","Period=FQ","BEST_FPERIOD_OVERRIDE=FQ","FILING_STATUS=OR","EQY_CONSOLIDATED=Y","Sort=A","Dates=H","DateFormat=P","Fill=—","Direction=H","UseDPDF=Y")</f>
        <v>#NAME?</v>
      </c>
      <c r="BM219" s="2" t="e">
        <f ca="1">_xll.BDH($C$203,"INVENTORY_SEQUENTIAL_GROWTH","FQ1 2017","FQ1 2017","Currency=INR","Period=FQ","BEST_FPERIOD_OVERRIDE=FQ","FILING_STATUS=OR","EQY_CONSOLIDATED=Y","Sort=A","Dates=H","DateFormat=P","Fill=—","Direction=H","UseDPDF=Y")</f>
        <v>#NAME?</v>
      </c>
      <c r="BN219" s="2" t="e">
        <f ca="1">_xll.BDH($C$203,"FIXED_ASSETS_SEQUENTIAL_GROWTH","FQ1 2017","FQ1 2017","Currency=INR","Period=FQ","BEST_FPERIOD_OVERRIDE=FQ","FILING_STATUS=OR","EQY_CONSOLIDATED=Y","Sort=A","Dates=H","DateFormat=P","Fill=—","Direction=H","UseDPDF=Y")</f>
        <v>#NAME?</v>
      </c>
      <c r="BO219" s="2" t="e">
        <f ca="1">_xll.BDH($C$203,"TOTAL_ASSETS_SEQUENTIAL_GROWTH","FQ1 2017","FQ1 2017","Currency=INR","Period=FQ","BEST_FPERIOD_OVERRIDE=FQ","FILING_STATUS=OR","EQY_CONSOLIDATED=Y","Sort=A","Dates=H","DateFormat=P","Fill=—","Direction=H","UseDPDF=Y")</f>
        <v>#NAME?</v>
      </c>
      <c r="BP219" s="2" t="e">
        <f ca="1">_xll.BDH($C$203,"MODIFIED_WORKING_CPTL_SEQ_GRWTH","FQ1 2017","FQ1 2017","Currency=INR","Period=FQ","BEST_FPERIOD_OVERRIDE=FQ","FILING_STATUS=OR","EQY_CONSOLIDATED=Y","Sort=A","Dates=H","DateFormat=P","Fill=—","Direction=H","UseDPDF=Y")</f>
        <v>#NAME?</v>
      </c>
      <c r="BQ219" s="2" t="e">
        <f ca="1">_xll.BDH($C$203,"WORKING_CAPITAL_SEQ_GROWTH","FQ1 2017","FQ1 2017","Currency=INR","Period=FQ","BEST_FPERIOD_OVERRIDE=FQ","FILING_STATUS=OR","EQY_CONSOLIDATED=Y","Sort=A","Dates=H","DateFormat=P","Fill=—","Direction=H","UseDPDF=Y")</f>
        <v>#NAME?</v>
      </c>
      <c r="BR219" s="2" t="e">
        <f ca="1">_xll.BDH($C$203,"ACCOUNTS_PAYABLE_SEQ_GROWTH","FQ1 2017","FQ1 2017","Currency=INR","Period=FQ","BEST_FPERIOD_OVERRIDE=FQ","FILING_STATUS=OR","EQY_CONSOLIDATED=Y","Sort=A","Dates=H","DateFormat=P","Fill=—","Direction=H","UseDPDF=Y")</f>
        <v>#NAME?</v>
      </c>
      <c r="BS219" s="2" t="e">
        <f ca="1">_xll.BDH($C$203,"ST_DEBT_SEQUENTIAL_GROWTH","FQ1 2017","FQ1 2017","Currency=INR","Period=FQ","BEST_FPERIOD_OVERRIDE=FQ","FILING_STATUS=OR","EQY_CONSOLIDATED=Y","Sort=A","Dates=H","DateFormat=P","Fill=—","Direction=H","UseDPDF=Y")</f>
        <v>#NAME?</v>
      </c>
      <c r="BT219" s="2" t="e">
        <f ca="1">_xll.BDH($C$203,"TOTAL_DEBT_SEQUENTIAL_GROWTH","FQ1 2017","FQ1 2017","Currency=INR","Period=FQ","BEST_FPERIOD_OVERRIDE=FQ","FILING_STATUS=OR","EQY_CONSOLIDATED=Y","Sort=A","Dates=H","DateFormat=P","Fill=—","Direction=H","UseDPDF=Y")</f>
        <v>#NAME?</v>
      </c>
      <c r="BU219" s="2" t="e">
        <f ca="1">_xll.BDH($C$203,"TOTAL_EQUITY_SEQUENTIAL_GROWTH","FQ1 2017","FQ1 2017","Currency=INR","Period=FQ","BEST_FPERIOD_OVERRIDE=FQ","FILING_STATUS=OR","EQY_CONSOLIDATED=Y","Sort=A","Dates=H","DateFormat=P","Fill=—","Direction=H","UseDPDF=Y")</f>
        <v>#NAME?</v>
      </c>
      <c r="BV219" s="2" t="e">
        <f ca="1">_xll.BDH($C$203,"TOTAL_CAPITAL_SEQUENTIAL_GROWTH","FQ1 2017","FQ1 2017","Currency=INR","Period=FQ","BEST_FPERIOD_OVERRIDE=FQ","FILING_STATUS=OR","EQY_CONSOLIDATED=Y","Sort=A","Dates=H","DateFormat=P","Fill=—","Direction=H","UseDPDF=Y")</f>
        <v>#NAME?</v>
      </c>
      <c r="BW219" s="2" t="e">
        <f ca="1">_xll.BDH($C$203,"BPS_SEQUENTIAL_GROWTH","FQ1 2017","FQ1 2017","Currency=INR","Period=FQ","BEST_FPERIOD_OVERRIDE=FQ","FILING_STATUS=OR","EQY_CONSOLIDATED=Y","Sort=A","Dates=H","DateFormat=P","Fill=—","Direction=H","UseDPDF=Y")</f>
        <v>#NAME?</v>
      </c>
      <c r="BX219" s="2" t="e">
        <f ca="1">_xll.BDH($C$203,"CFO_SEQUENTIAL_GROWTH","FQ1 2017","FQ1 2017","Currency=INR","Period=FQ","BEST_FPERIOD_OVERRIDE=FQ","FILING_STATUS=OR","EQY_CONSOLIDATED=Y","Sort=A","Dates=H","DateFormat=P","Fill=—","Direction=H","UseDPDF=Y")</f>
        <v>#NAME?</v>
      </c>
      <c r="BY219" s="3" t="e">
        <f ca="1">_xll.BDH($C$203,"SHORT_AND_LONG_TERM_DEBT","FQ1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219" s="3" t="e">
        <f ca="1">_xll.BDH($C$203,"BS_ST_BORROW","FQ1 2017","FQ1 2017","Currency=INR","Period=FQ","BEST_FPERIOD_OVERRIDE=FQ","FILING_STATUS=OR","EQY_CONSOLIDATED=Y","SCALING_FORMAT=MLN","Sort=A","Dates=H","DateFormat=P","Fill=—","Direction=H","UseDPDF=Y")</f>
        <v>#NAME?</v>
      </c>
      <c r="CA219" s="3" t="e">
        <f ca="1">_xll.BDH($C$203,"BS_LT_BORROW","FQ1 2017","FQ1 2017","Currency=INR","Period=FQ","BEST_FPERIOD_OVERRIDE=FQ","FILING_STATUS=OR","EQY_CONSOLIDATED=Y","SCALING_FORMAT=MLN","Sort=A","Dates=H","DateFormat=P","Fill=—","Direction=H","UseDPDF=Y")</f>
        <v>#NAME?</v>
      </c>
      <c r="CB219" s="2" t="e">
        <f ca="1">_xll.BDH($C$203,"TOT_DEBT_TO_EBITDA","FQ1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219" s="2" t="e">
        <f ca="1">_xll.BDH($C$203,"NET_DEBT_TO_EBITDA","FQ1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219" s="2" t="e">
        <f ca="1">_xll.BDH($C$203,"TOTAL_DEBT_TO_EBIT","FQ1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219" s="2" t="e">
        <f ca="1">_xll.BDH($C$203,"NET_DEBT_TO_EBIT","FQ1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219" s="2" t="e">
        <f ca="1">_xll.BDH($C$203,"EBITDA_TO_INTEREST_EXPN","FQ1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219" s="2" t="e">
        <f ca="1">_xll.BDH($C$203,"COM_EQY_TO_TOT_ASSET","FQ1 2017","FQ1 2017","Currency=INR","Period=FQ","BEST_FPERIOD_OVERRIDE=FQ","FILING_STATUS=OR","EQY_CONSOLIDATED=Y","Sort=A","Dates=H","DateFormat=P","Fill=—","Direction=H","UseDPDF=Y")</f>
        <v>#NAME?</v>
      </c>
      <c r="CH219" s="2" t="e">
        <f ca="1">_xll.BDH($C$203,"LT_DEBT_TO_TOT_EQY","FQ1 2017","FQ1 2017","Currency=INR","Period=FQ","BEST_FPERIOD_OVERRIDE=FQ","FILING_STATUS=OR","EQY_CONSOLIDATED=Y","Sort=A","Dates=H","DateFormat=P","Fill=—","Direction=H","UseDPDF=Y")</f>
        <v>#NAME?</v>
      </c>
      <c r="CI219" s="2" t="e">
        <f ca="1">_xll.BDH($C$203,"LT_DEBT_TO_TOT_CAP","FQ1 2017","FQ1 2017","Currency=INR","Period=FQ","BEST_FPERIOD_OVERRIDE=FQ","FILING_STATUS=OR","EQY_CONSOLIDATED=Y","Sort=A","Dates=H","DateFormat=P","Fill=—","Direction=H","UseDPDF=Y")</f>
        <v>#NAME?</v>
      </c>
      <c r="CJ219" s="2" t="e">
        <f ca="1">_xll.BDH($C$203,"LT_DEBT_TO_TOT_ASSET","FQ1 2017","FQ1 2017","Currency=INR","Period=FQ","BEST_FPERIOD_OVERRIDE=FQ","FILING_STATUS=OR","EQY_CONSOLIDATED=Y","Sort=A","Dates=H","DateFormat=P","Fill=—","Direction=H","UseDPDF=Y")</f>
        <v>#NAME?</v>
      </c>
      <c r="CK219" s="2" t="e">
        <f ca="1">_xll.BDH($C$203,"TOT_DEBT_TO_TOT_EQY","FQ1 2017","FQ1 2017","Currency=INR","Period=FQ","BEST_FPERIOD_OVERRIDE=FQ","FILING_STATUS=OR","EQY_CONSOLIDATED=Y","Sort=A","Dates=H","DateFormat=P","Fill=—","Direction=H","UseDPDF=Y")</f>
        <v>#NAME?</v>
      </c>
      <c r="CL219" s="2" t="e">
        <f ca="1">_xll.BDH($C$203,"TOT_DEBT_TO_TOT_CAP","FQ1 2017","FQ1 2017","Currency=INR","Period=FQ","BEST_FPERIOD_OVERRIDE=FQ","FILING_STATUS=OR","EQY_CONSOLIDATED=Y","Sort=A","Dates=H","DateFormat=P","Fill=—","Direction=H","UseDPDF=Y")</f>
        <v>#NAME?</v>
      </c>
      <c r="CM219" s="2" t="e">
        <f ca="1">_xll.BDH($C$203,"TOT_DEBT_TO_TOT_ASSET","FQ1 2017","FQ1 2017","Currency=INR","Period=FQ","BEST_FPERIOD_OVERRIDE=FQ","FILING_STATUS=OR","EQY_CONSOLIDATED=Y","Sort=A","Dates=H","DateFormat=P","Fill=—","Direction=H","UseDPDF=Y")</f>
        <v>#NAME?</v>
      </c>
      <c r="CN219" s="2" t="e">
        <f ca="1">_xll.BDH($C$203,"NET_DEBT_TO_SHRHLDR_EQTY","FQ1 2017","FQ1 2017","Currency=INR","Period=FQ","BEST_FPERIOD_OVERRIDE=FQ","FILING_STATUS=OR","EQY_CONSOLIDATED=Y","Sort=A","Dates=H","DateFormat=P","Fill=—","Direction=H","UseDPDF=Y")</f>
        <v>#NAME?</v>
      </c>
      <c r="CO219" s="2" t="e">
        <f ca="1">_xll.BDH($C$203,"NET_DEBT_%_CAPITAL","FQ1 2017","FQ1 2017","Currency=INR","Period=FQ","BEST_FPERIOD_OVERRIDE=FQ","FILING_STATUS=OR","EQY_CONSOLIDATED=Y","Sort=A","Dates=H","DateFormat=P","Fill=—","Direction=H","UseDPDF=Y")</f>
        <v>#NAME?</v>
      </c>
      <c r="CP219" s="3" t="e">
        <f ca="1">_xll.BDH($C$203,"EBITDA","FQ1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219" s="3" t="e">
        <f ca="1">_xll.BDH($C$203,"EBITDA_AFTER_CAPEX","FQ1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219" s="3" t="e">
        <f ca="1">_xll.BDH($C$203,"IS_OPER_INC","FQ1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219" s="2" t="e">
        <f ca="1">_xll.BDH($C$203,"CASH_RATIO","FQ1 2017","FQ1 2017","Currency=INR","Period=FQ","BEST_FPERIOD_OVERRIDE=FQ","FILING_STATUS=OR","EQY_CONSOLIDATED=Y","Sort=A","Dates=H","DateFormat=P","Fill=—","Direction=H","UseDPDF=Y")</f>
        <v>#NAME?</v>
      </c>
      <c r="CT219" s="2" t="e">
        <f ca="1">_xll.BDH($C$203,"CUR_RATIO","FQ1 2017","FQ1 2017","Currency=INR","Period=FQ","BEST_FPERIOD_OVERRIDE=FQ","FILING_STATUS=OR","EQY_CONSOLIDATED=Y","Sort=A","Dates=H","DateFormat=P","Fill=—","Direction=H","UseDPDF=Y")</f>
        <v>#NAME?</v>
      </c>
      <c r="CU219" s="2" t="e">
        <f ca="1">_xll.BDH($C$203,"QUICK_RATIO","FQ1 2017","FQ1 2017","Currency=INR","Period=FQ","BEST_FPERIOD_OVERRIDE=FQ","FILING_STATUS=OR","EQY_CONSOLIDATED=Y","Sort=A","Dates=H","DateFormat=P","Fill=—","Direction=H","UseDPDF=Y")</f>
        <v>#NAME?</v>
      </c>
      <c r="CV219" s="2" t="e">
        <f ca="1">_xll.BDH($C$203,"ALTMAN_Z_SCORE","FQ1 2017","FQ1 2017","Currency=INR","Period=FQ","BEST_FPERIOD_OVERRIDE=FQ","FILING_STATUS=OR","EQY_CONSOLIDATED=Y","Sort=A","Dates=H","DateFormat=P","Fill=—","Direction=H","UseDPDF=Y")</f>
        <v>#NAME?</v>
      </c>
      <c r="CW219" s="4" t="e">
        <f ca="1">_xll.BDH($C$203,"ACCT_RCV_TURN","FQ1 2017","FQ1 2017","Currency=INR","Period=FQ","BEST_FPERIOD_OVERRIDE=FQ","FILING_STATUS=OR","EQY_CONSOLIDATED=Y","FA_ADJUSTED=GAAP","Sort=A","Dates=H","DateFormat=P","Fill=—","Direction=H","UseDPDF=Y")</f>
        <v>#NAME?</v>
      </c>
      <c r="CX219" s="2" t="e">
        <f ca="1">_xll.BDH($C$203,"ACCT_RCV_DAYS","FQ1 2017","FQ1 2017","Currency=INR","Period=FQ","BEST_FPERIOD_OVERRIDE=FQ","FILING_STATUS=OR","EQY_CONSOLIDATED=Y","FA_ADJUSTED=GAAP","Sort=A","Dates=H","DateFormat=P","Fill=—","Direction=H","UseDPDF=Y")</f>
        <v>#NAME?</v>
      </c>
      <c r="CY219" s="4" t="e">
        <f ca="1">_xll.BDH($C$203,"INVENT_TURN","FQ1 2017","FQ1 2017","Currency=INR","Period=FQ","BEST_FPERIOD_OVERRIDE=FQ","FILING_STATUS=OR","EQY_CONSOLIDATED=Y","FA_ADJUSTED=GAAP","Sort=A","Dates=H","DateFormat=P","Fill=—","Direction=H","UseDPDF=Y")</f>
        <v>#NAME?</v>
      </c>
      <c r="CZ219" s="2" t="e">
        <f ca="1">_xll.BDH($C$203,"INVENT_DAYS","FQ1 2017","FQ1 2017","Currency=INR","Period=FQ","BEST_FPERIOD_OVERRIDE=FQ","FILING_STATUS=OR","EQY_CONSOLIDATED=Y","FA_ADJUSTED=GAAP","Sort=A","Dates=H","DateFormat=P","Fill=—","Direction=H","UseDPDF=Y")</f>
        <v>#NAME?</v>
      </c>
      <c r="DA219" s="4" t="e">
        <f ca="1">_xll.BDH($C$203,"ACCOUNTS_PAYABLE_TURNOVER","FQ1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219" s="2" t="e">
        <f ca="1">_xll.BDH($C$203,"ACCOUNTS_PAYABLE_TURNOVER_DAYS","FQ1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219" s="4" t="e">
        <f ca="1">_xll.BDH($C$203,"CASH_CONVERSION_CYCLE","FQ1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219" s="4" t="e">
        <f ca="1">_xll.BDH($C$203,"INV_TO_CASH_DAYS","FQ1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219" s="5" t="e">
        <f ca="1">_xll.BDH($C$203,"BS_INVENTORIES","FQ1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219" s="3" t="e">
        <f ca="1">_xll.BDH($C$203,"INVTRY_RAW_MATERIALS","FQ1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219" s="3" t="e">
        <f ca="1">_xll.BDH($C$203,"INVTRY_IN_PROGRESS","FQ1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219" s="3" t="e">
        <f ca="1">_xll.BDH($C$203,"INVTRY_FINISHED_GOODS","FQ1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219" s="3" t="e">
        <f ca="1">_xll.BDH($C$203,"BS_OTHER_INV","FQ1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220" spans="1:113" x14ac:dyDescent="0.3">
      <c r="A220" s="6"/>
      <c r="B220" s="6"/>
      <c r="C220" s="6"/>
      <c r="D220" s="6"/>
      <c r="E220" t="s">
        <v>79</v>
      </c>
      <c r="F220" t="e">
        <f ca="1">_xll.BDH($C$203,"RETURN_COM_EQY","FQ2 2017","FQ2 2017","Currency=INR","Period=FQ","BEST_FPERIOD_OVERRIDE=FQ","FILING_STATUS=OR","EQY_CONSOLIDATED=Y","FA_ADJUSTED=GAAP","Sort=A","Dates=H","DateFormat=P","Fill=—","Direction=H","UseDPDF=Y")</f>
        <v>#NAME?</v>
      </c>
      <c r="G220" t="e">
        <f ca="1">_xll.BDH($C$203,"RETURN_ON_ASSET","FQ2 2017","FQ2 2017","Currency=INR","Period=FQ","BEST_FPERIOD_OVERRIDE=FQ","FILING_STATUS=OR","EQY_CONSOLIDATED=Y","FA_ADJUSTED=GAAP","Sort=A","Dates=H","DateFormat=P","Fill=—","Direction=H","UseDPDF=Y")</f>
        <v>#NAME?</v>
      </c>
      <c r="H220" t="e">
        <f ca="1">_xll.BDH($C$203,"RETURN_ON_CAP","FQ2 2017","FQ2 2017","Currency=INR","Period=FQ","BEST_FPERIOD_OVERRIDE=FQ","FILING_STATUS=OR","EQY_CONSOLIDATED=Y","FA_ADJUSTED=GAAP","Sort=A","Dates=H","DateFormat=P","Fill=—","Direction=H","UseDPDF=Y")</f>
        <v>#NAME?</v>
      </c>
      <c r="I220" t="e">
        <f ca="1">_xll.BDH($C$203,"RETURN_ON_INV_CAPITAL","FQ2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220" t="e">
        <f ca="1">_xll.BDH($C$203,"EBITDA_TO_REVENUE","FQ2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220" t="e">
        <f ca="1">_xll.BDH($C$203,"OPER_MARGIN","FQ2 2017","FQ2 2017","Currency=INR","Period=FQ","BEST_FPERIOD_OVERRIDE=FQ","FILING_STATUS=OR","EQY_CONSOLIDATED=Y","FA_ADJUSTED=GAAP","Sort=A","Dates=H","DateFormat=P","Fill=—","Direction=H","UseDPDF=Y")</f>
        <v>#NAME?</v>
      </c>
      <c r="L220" t="e">
        <f ca="1">_xll.BDH($C$203,"INCREMENTAL_OPERATING_MARGIN","FQ2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220" t="e">
        <f ca="1">_xll.BDH($C$203,"PRETAX_INC_TO_NET_SALES","FQ2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220" t="e">
        <f ca="1">_xll.BDH($C$203,"INC_BEF_XO_ITEMS_TO_NET_SALES","FQ2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220" t="e">
        <f ca="1">_xll.BDH($C$203,"PROF_MARGIN","FQ2 2017","FQ2 2017","Currency=INR","Period=FQ","BEST_FPERIOD_OVERRIDE=FQ","FILING_STATUS=OR","EQY_CONSOLIDATED=Y","FA_ADJUSTED=GAAP","Sort=A","Dates=H","DateFormat=P","Fill=—","Direction=H","UseDPDF=Y")</f>
        <v>#NAME?</v>
      </c>
      <c r="P220" t="e">
        <f ca="1">_xll.BDH($C$203,"NET_INCOME_TO_COMMON_MARGIN","FQ2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220" t="e">
        <f ca="1">_xll.BDH($C$203,"EFF_TAX_RATE","FQ2 2017","FQ2 2017","Currency=INR","Period=FQ","BEST_FPERIOD_OVERRIDE=FQ","FILING_STATUS=OR","EQY_CONSOLIDATED=Y","FA_ADJUSTED=GAAP","Sort=A","Dates=H","DateFormat=P","Fill=—","Direction=H","UseDPDF=Y")</f>
        <v>#NAME?</v>
      </c>
      <c r="R220" t="e">
        <f ca="1">_xll.BDH($C$203,"DVD_PAYOUT_RATIO","FQ2 2017","FQ2 2017","Currency=INR","Period=FQ","BEST_FPERIOD_OVERRIDE=FQ","FILING_STATUS=OR","EQY_CONSOLIDATED=Y","FA_ADJUSTED=GAAP","Sort=A","Dates=H","DateFormat=P","Fill=—","Direction=H","UseDPDF=Y")</f>
        <v>#NAME?</v>
      </c>
      <c r="S220" t="e">
        <f ca="1">_xll.BDH($C$203,"SUSTAIN_GROWTH_RT","FQ2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220" s="2" t="e">
        <f ca="1">_xll.BDH($C$203,"SALES_GROWTH","FQ2 2017","FQ2 2017","Currency=INR","Period=FQ","BEST_FPERIOD_OVERRIDE=FQ","FILING_STATUS=OR","EQY_CONSOLIDATED=Y","FA_ADJUSTED=GAAP","Sort=A","Dates=H","DateFormat=P","Fill=—","Direction=H","UseDPDF=Y")</f>
        <v>#NAME?</v>
      </c>
      <c r="U220" s="2" t="e">
        <f ca="1">_xll.BDH($C$203,"EBITDA_GROWTH","FQ2 2017","FQ2 2017","Currency=INR","Period=FQ","BEST_FPERIOD_OVERRIDE=FQ","FILING_STATUS=OR","EQY_CONSOLIDATED=Y","FA_ADJUSTED=GAAP","Sort=A","Dates=H","DateFormat=P","Fill=—","Direction=H","UseDPDF=Y")</f>
        <v>#NAME?</v>
      </c>
      <c r="V220" s="2" t="e">
        <f ca="1">_xll.BDH($C$203,"OPER_INC_GROWTH","FQ2 2017","FQ2 2017","Currency=INR","Period=FQ","BEST_FPERIOD_OVERRIDE=FQ","FILING_STATUS=OR","EQY_CONSOLIDATED=Y","FA_ADJUSTED=GAAP","Sort=A","Dates=H","DateFormat=P","Fill=—","Direction=H","UseDPDF=Y")</f>
        <v>#NAME?</v>
      </c>
      <c r="W220" s="2" t="e">
        <f ca="1">_xll.BDH($C$203,"EARN_FOR_COM_GROWTH","FQ2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220" s="2" t="e">
        <f ca="1">_xll.BDH($C$203,"DILUTED_EPS_AFT_XO_ITEMS_GROWTH","FQ2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220" s="2" t="e">
        <f ca="1">_xll.BDH($C$203,"DIVIDEND_PER_SHARE_1_YEAR_GROWTH","FQ2 2017","FQ2 2017","Currency=INR","Period=FQ","BEST_FPERIOD_OVERRIDE=FQ","FILING_STATUS=OR","EQY_CONSOLIDATED=Y","Sort=A","Dates=H","DateFormat=P","Fill=—","Direction=H","UseDPDF=Y")</f>
        <v>#NAME?</v>
      </c>
      <c r="Z220" s="2" t="e">
        <f ca="1">_xll.BDH($C$203,"ACCOUNTS_RECEIVABLE_GROWTH","FQ2 2017","FQ2 2017","Currency=INR","Period=FQ","BEST_FPERIOD_OVERRIDE=FQ","FILING_STATUS=OR","EQY_CONSOLIDATED=Y","Sort=A","Dates=H","DateFormat=P","Fill=—","Direction=H","UseDPDF=Y")</f>
        <v>#NAME?</v>
      </c>
      <c r="AA220" s="2" t="e">
        <f ca="1">_xll.BDH($C$203,"INVENTORY_GROWTH","FQ2 2017","FQ2 2017","Currency=INR","Period=FQ","BEST_FPERIOD_OVERRIDE=FQ","FILING_STATUS=OR","EQY_CONSOLIDATED=Y","Sort=A","Dates=H","DateFormat=P","Fill=—","Direction=H","UseDPDF=Y")</f>
        <v>#NAME?</v>
      </c>
      <c r="AB220" s="2" t="e">
        <f ca="1">_xll.BDH($C$203,"NET_FIXED_ASSETS_1_YEAR_GROWTH","FQ2 2017","FQ2 2017","Currency=INR","Period=FQ","BEST_FPERIOD_OVERRIDE=FQ","FILING_STATUS=OR","EQY_CONSOLIDATED=Y","Sort=A","Dates=H","DateFormat=P","Fill=—","Direction=H","UseDPDF=Y")</f>
        <v>#NAME?</v>
      </c>
      <c r="AC220" s="2" t="e">
        <f ca="1">_xll.BDH($C$203,"ASSET_GROWTH","FQ2 2017","FQ2 2017","Currency=INR","Period=FQ","BEST_FPERIOD_OVERRIDE=FQ","FILING_STATUS=OR","EQY_CONSOLIDATED=Y","Sort=A","Dates=H","DateFormat=P","Fill=—","Direction=H","UseDPDF=Y")</f>
        <v>#NAME?</v>
      </c>
      <c r="AD220" s="2" t="e">
        <f ca="1">_xll.BDH($C$203,"MODIFIED_WORK_CAP_GROWTH","FQ2 2017","FQ2 2017","Currency=INR","Period=FQ","BEST_FPERIOD_OVERRIDE=FQ","FILING_STATUS=OR","EQY_CONSOLIDATED=Y","Sort=A","Dates=H","DateFormat=P","Fill=—","Direction=H","UseDPDF=Y")</f>
        <v>#NAME?</v>
      </c>
      <c r="AE220" s="2" t="e">
        <f ca="1">_xll.BDH($C$203,"WORK_CAP_GROWTH","FQ2 2017","FQ2 2017","Currency=INR","Period=FQ","BEST_FPERIOD_OVERRIDE=FQ","FILING_STATUS=OR","EQY_CONSOLIDATED=Y","Sort=A","Dates=H","DateFormat=P","Fill=—","Direction=H","UseDPDF=Y")</f>
        <v>#NAME?</v>
      </c>
      <c r="AF220" s="2" t="e">
        <f ca="1">_xll.BDH($C$203,"ACCOUNTS_PAYABLE_GROWTH_1YR","FQ2 2017","FQ2 2017","Currency=INR","Period=FQ","BEST_FPERIOD_OVERRIDE=FQ","FILING_STATUS=OR","EQY_CONSOLIDATED=Y","Sort=A","Dates=H","DateFormat=P","Fill=—","Direction=H","UseDPDF=Y")</f>
        <v>#NAME?</v>
      </c>
      <c r="AG220" s="2" t="e">
        <f ca="1">_xll.BDH($C$203,"SHORT_TERM_DEBT_1_YEAR_GROWTH","FQ2 2017","FQ2 2017","Currency=INR","Period=FQ","BEST_FPERIOD_OVERRIDE=FQ","FILING_STATUS=OR","EQY_CONSOLIDATED=Y","Sort=A","Dates=H","DateFormat=P","Fill=—","Direction=H","UseDPDF=Y")</f>
        <v>#NAME?</v>
      </c>
      <c r="AH220" s="2" t="e">
        <f ca="1">_xll.BDH($C$203,"TOTAL_DEBT_1_YEAR_GROWTH","FQ2 2017","FQ2 2017","Currency=INR","Period=FQ","BEST_FPERIOD_OVERRIDE=FQ","FILING_STATUS=OR","EQY_CONSOLIDATED=Y","Sort=A","Dates=H","DateFormat=P","Fill=—","Direction=H","UseDPDF=Y")</f>
        <v>#NAME?</v>
      </c>
      <c r="AI220" s="2" t="e">
        <f ca="1">_xll.BDH($C$203,"TOTAL_EQUITY_1_YEAR_GROWTH","FQ2 2017","FQ2 2017","Currency=INR","Period=FQ","BEST_FPERIOD_OVERRIDE=FQ","FILING_STATUS=OR","EQY_CONSOLIDATED=Y","Sort=A","Dates=H","DateFormat=P","Fill=—","Direction=H","UseDPDF=Y")</f>
        <v>#NAME?</v>
      </c>
      <c r="AJ220" s="2" t="e">
        <f ca="1">_xll.BDH($C$203,"GROWTH_IN_CAP","FQ2 2017","FQ2 2017","Currency=INR","Period=FQ","BEST_FPERIOD_OVERRIDE=FQ","FILING_STATUS=OR","EQY_CONSOLIDATED=Y","Sort=A","Dates=H","DateFormat=P","Fill=—","Direction=H","UseDPDF=Y")</f>
        <v>#NAME?</v>
      </c>
      <c r="AK220" s="2" t="e">
        <f ca="1">_xll.BDH($C$203,"BVPS_GROWTH","FQ2 2017","FQ2 2017","Currency=INR","Period=FQ","BEST_FPERIOD_OVERRIDE=FQ","FILING_STATUS=OR","EQY_CONSOLIDATED=Y","Sort=A","Dates=H","DateFormat=P","Fill=—","Direction=H","UseDPDF=Y")</f>
        <v>#NAME?</v>
      </c>
      <c r="AL220" s="2" t="e">
        <f ca="1">_xll.BDH($C$203,"CASH_FLOW_GROWTH","FQ2 2017","FQ2 2017","Currency=INR","Period=FQ","BEST_FPERIOD_OVERRIDE=FQ","FILING_STATUS=OR","EQY_CONSOLIDATED=Y","Sort=A","Dates=H","DateFormat=P","Fill=—","Direction=H","UseDPDF=Y")</f>
        <v>#NAME?</v>
      </c>
      <c r="AM220" s="2" t="e">
        <f ca="1">_xll.BDH($C$203,"GEO_GROW_NET_SALES","FQ2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220" s="2" t="e">
        <f ca="1">_xll.BDH($C$203,"GEO_GROW_EBITDA","FQ2 2017","FQ2 2017","Currency=INR","Period=FQ","BEST_FPERIOD_OVERRIDE=FQ","FILING_STATUS=OR","EQY_CONSOLIDATED=Y","FA_ADJUSTED=GAAP","Sort=A","Dates=H","DateFormat=P","Fill=—","Direction=H","UseDPDF=Y")</f>
        <v>#NAME?</v>
      </c>
      <c r="AO220" s="2" t="e">
        <f ca="1">_xll.BDH($C$203,"GEO_GROW_OPER_INC","FQ2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220" s="2" t="e">
        <f ca="1">_xll.BDH($C$203,"NET_INCOME_TO_COMMON_5_YR_GROWTH","FQ2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220" s="2" t="e">
        <f ca="1">_xll.BDH($C$203,"5Y_GEO_GROWTH_DILUTED_EPS","FQ2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220" s="2" t="e">
        <f ca="1">_xll.BDH($C$203,"GEO_GROW_DVD_PER_SH","FQ2 2017","FQ2 2017","Currency=INR","Period=FQ","BEST_FPERIOD_OVERRIDE=FQ","FILING_STATUS=OR","EQY_CONSOLIDATED=Y","Sort=A","Dates=H","DateFormat=P","Fill=—","Direction=H","UseDPDF=Y")</f>
        <v>#NAME?</v>
      </c>
      <c r="AS220" s="2" t="e">
        <f ca="1">_xll.BDH($C$203,"ACCOUNTS_RECEIVABLE_5_YR_GROWTH","FQ2 2017","FQ2 2017","Currency=INR","Period=FQ","BEST_FPERIOD_OVERRIDE=FQ","FILING_STATUS=OR","EQY_CONSOLIDATED=Y","Sort=A","Dates=H","DateFormat=P","Fill=—","Direction=H","UseDPDF=Y")</f>
        <v>#NAME?</v>
      </c>
      <c r="AT220" s="2" t="e">
        <f ca="1">_xll.BDH($C$203,"INVENTORY_5_YEAR_GROWTH","FQ2 2017","FQ2 2017","Currency=INR","Period=FQ","BEST_FPERIOD_OVERRIDE=FQ","FILING_STATUS=OR","EQY_CONSOLIDATED=Y","Sort=A","Dates=H","DateFormat=P","Fill=—","Direction=H","UseDPDF=Y")</f>
        <v>#NAME?</v>
      </c>
      <c r="AU220" s="2" t="e">
        <f ca="1">_xll.BDH($C$203,"NET_FIXED_ASSETS_5_YEAR_GROWTH","FQ2 2017","FQ2 2017","Currency=INR","Period=FQ","BEST_FPERIOD_OVERRIDE=FQ","FILING_STATUS=OR","EQY_CONSOLIDATED=Y","Sort=A","Dates=H","DateFormat=P","Fill=—","Direction=H","UseDPDF=Y")</f>
        <v>#NAME?</v>
      </c>
      <c r="AV220" s="2" t="e">
        <f ca="1">_xll.BDH($C$203,"GEO_GROW_TOT_ASSET","FQ2 2017","FQ2 2017","Currency=INR","Period=FQ","BEST_FPERIOD_OVERRIDE=FQ","FILING_STATUS=OR","EQY_CONSOLIDATED=Y","Sort=A","Dates=H","DateFormat=P","Fill=—","Direction=H","UseDPDF=Y")</f>
        <v>#NAME?</v>
      </c>
      <c r="AW220" s="2" t="e">
        <f ca="1">_xll.BDH($C$203,"MODIFIED_WORKING_CPTL_5YR_GRWTH","FQ2 2017","FQ2 2017","Currency=INR","Period=FQ","BEST_FPERIOD_OVERRIDE=FQ","FILING_STATUS=OR","EQY_CONSOLIDATED=Y","Sort=A","Dates=H","DateFormat=P","Fill=—","Direction=H","UseDPDF=Y")</f>
        <v>#NAME?</v>
      </c>
      <c r="AX220" s="2" t="e">
        <f ca="1">_xll.BDH($C$203,"WORKING_CAPITAL_5_YEAR_GROWTH","FQ2 2017","FQ2 2017","Currency=INR","Period=FQ","BEST_FPERIOD_OVERRIDE=FQ","FILING_STATUS=OR","EQY_CONSOLIDATED=Y","Sort=A","Dates=H","DateFormat=P","Fill=—","Direction=H","UseDPDF=Y")</f>
        <v>#NAME?</v>
      </c>
      <c r="AY220" s="2" t="e">
        <f ca="1">_xll.BDH($C$203,"ACCOUNTS_PAYABLE_5_YEAR_GROWTH","FQ2 2017","FQ2 2017","Currency=INR","Period=FQ","BEST_FPERIOD_OVERRIDE=FQ","FILING_STATUS=OR","EQY_CONSOLIDATED=Y","Sort=A","Dates=H","DateFormat=P","Fill=—","Direction=H","UseDPDF=Y")</f>
        <v>#NAME?</v>
      </c>
      <c r="AZ220" s="2" t="e">
        <f ca="1">_xll.BDH($C$203,"SHORT_TERM_DEBT_5_YEAR_GROWTH","FQ2 2017","FQ2 2017","Currency=INR","Period=FQ","BEST_FPERIOD_OVERRIDE=FQ","FILING_STATUS=OR","EQY_CONSOLIDATED=Y","Sort=A","Dates=H","DateFormat=P","Fill=—","Direction=H","UseDPDF=Y")</f>
        <v>#NAME?</v>
      </c>
      <c r="BA220" s="2" t="e">
        <f ca="1">_xll.BDH($C$203,"TOTAL_DEBT_5_YEAR_GROWTH","FQ2 2017","FQ2 2017","Currency=INR","Period=FQ","BEST_FPERIOD_OVERRIDE=FQ","FILING_STATUS=OR","EQY_CONSOLIDATED=Y","Sort=A","Dates=H","DateFormat=P","Fill=—","Direction=H","UseDPDF=Y")</f>
        <v>#NAME?</v>
      </c>
      <c r="BB220" s="2" t="e">
        <f ca="1">_xll.BDH($C$203,"GEO_GROW_TOT_SHRHLDR_EQY","FQ2 2017","FQ2 2017","Currency=INR","Period=FQ","BEST_FPERIOD_OVERRIDE=FQ","FILING_STATUS=OR","EQY_CONSOLIDATED=Y","Sort=A","Dates=H","DateFormat=P","Fill=—","Direction=H","UseDPDF=Y")</f>
        <v>#NAME?</v>
      </c>
      <c r="BC220" s="2" t="e">
        <f ca="1">_xll.BDH($C$203,"TOTAL_CAPITAL_5_YEAR_GROWTH","FQ2 2017","FQ2 2017","Currency=INR","Period=FQ","BEST_FPERIOD_OVERRIDE=FQ","FILING_STATUS=OR","EQY_CONSOLIDATED=Y","Sort=A","Dates=H","DateFormat=P","Fill=—","Direction=H","UseDPDF=Y")</f>
        <v>#NAME?</v>
      </c>
      <c r="BD220" s="2" t="e">
        <f ca="1">_xll.BDH($C$203,"GEO_GROW_BOOK_VAL","FQ2 2017","FQ2 2017","Currency=INR","Period=FQ","BEST_FPERIOD_OVERRIDE=FQ","FILING_STATUS=OR","EQY_CONSOLIDATED=Y","Sort=A","Dates=H","DateFormat=P","Fill=—","Direction=H","UseDPDF=Y")</f>
        <v>#NAME?</v>
      </c>
      <c r="BE220" s="2" t="e">
        <f ca="1">_xll.BDH($C$203,"GEO_GROW_CASH_OPER_ACT","FQ2 2017","FQ2 2017","Currency=INR","Period=FQ","BEST_FPERIOD_OVERRIDE=FQ","FILING_STATUS=OR","EQY_CONSOLIDATED=Y","Sort=A","Dates=H","DateFormat=P","Fill=—","Direction=H","UseDPDF=Y")</f>
        <v>#NAME?</v>
      </c>
      <c r="BF220" s="2" t="e">
        <f ca="1">_xll.BDH($C$203,"REVENUE_SEQUENTIAL_GROWTH","FQ2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220" s="2" t="e">
        <f ca="1">_xll.BDH($C$203,"EBITDA_SEQUENTIAL_GROWTH","FQ2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220" s="2" t="e">
        <f ca="1">_xll.BDH($C$203,"OPERATING_INCOME_SEQ_GROWTH","FQ2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220" s="2" t="e">
        <f ca="1">_xll.BDH($C$203,"NET_INCOME_TO_COMMON_SEQ_GROWTH","FQ2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220" s="2" t="e">
        <f ca="1">_xll.BDH($C$203,"EPS_DILUTED_SEQUENTIAL_GROWTH","FQ2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220" s="2" t="e">
        <f ca="1">_xll.BDH($C$203,"DPS_SEQUENTIAL_GROWTH","FQ2 2017","FQ2 2017","Currency=INR","Period=FQ","BEST_FPERIOD_OVERRIDE=FQ","FILING_STATUS=OR","EQY_CONSOLIDATED=Y","Sort=A","Dates=H","DateFormat=P","Fill=—","Direction=H","UseDPDF=Y")</f>
        <v>#NAME?</v>
      </c>
      <c r="BL220" s="2" t="e">
        <f ca="1">_xll.BDH($C$203,"ACCOUNTS_RECEIVABLE_SEQ_GROWTH","FQ2 2017","FQ2 2017","Currency=INR","Period=FQ","BEST_FPERIOD_OVERRIDE=FQ","FILING_STATUS=OR","EQY_CONSOLIDATED=Y","Sort=A","Dates=H","DateFormat=P","Fill=—","Direction=H","UseDPDF=Y")</f>
        <v>#NAME?</v>
      </c>
      <c r="BM220" s="2" t="e">
        <f ca="1">_xll.BDH($C$203,"INVENTORY_SEQUENTIAL_GROWTH","FQ2 2017","FQ2 2017","Currency=INR","Period=FQ","BEST_FPERIOD_OVERRIDE=FQ","FILING_STATUS=OR","EQY_CONSOLIDATED=Y","Sort=A","Dates=H","DateFormat=P","Fill=—","Direction=H","UseDPDF=Y")</f>
        <v>#NAME?</v>
      </c>
      <c r="BN220" s="2" t="e">
        <f ca="1">_xll.BDH($C$203,"FIXED_ASSETS_SEQUENTIAL_GROWTH","FQ2 2017","FQ2 2017","Currency=INR","Period=FQ","BEST_FPERIOD_OVERRIDE=FQ","FILING_STATUS=OR","EQY_CONSOLIDATED=Y","Sort=A","Dates=H","DateFormat=P","Fill=—","Direction=H","UseDPDF=Y")</f>
        <v>#NAME?</v>
      </c>
      <c r="BO220" s="2" t="e">
        <f ca="1">_xll.BDH($C$203,"TOTAL_ASSETS_SEQUENTIAL_GROWTH","FQ2 2017","FQ2 2017","Currency=INR","Period=FQ","BEST_FPERIOD_OVERRIDE=FQ","FILING_STATUS=OR","EQY_CONSOLIDATED=Y","Sort=A","Dates=H","DateFormat=P","Fill=—","Direction=H","UseDPDF=Y")</f>
        <v>#NAME?</v>
      </c>
      <c r="BP220" s="2" t="e">
        <f ca="1">_xll.BDH($C$203,"MODIFIED_WORKING_CPTL_SEQ_GRWTH","FQ2 2017","FQ2 2017","Currency=INR","Period=FQ","BEST_FPERIOD_OVERRIDE=FQ","FILING_STATUS=OR","EQY_CONSOLIDATED=Y","Sort=A","Dates=H","DateFormat=P","Fill=—","Direction=H","UseDPDF=Y")</f>
        <v>#NAME?</v>
      </c>
      <c r="BQ220" s="2" t="e">
        <f ca="1">_xll.BDH($C$203,"WORKING_CAPITAL_SEQ_GROWTH","FQ2 2017","FQ2 2017","Currency=INR","Period=FQ","BEST_FPERIOD_OVERRIDE=FQ","FILING_STATUS=OR","EQY_CONSOLIDATED=Y","Sort=A","Dates=H","DateFormat=P","Fill=—","Direction=H","UseDPDF=Y")</f>
        <v>#NAME?</v>
      </c>
      <c r="BR220" s="2" t="e">
        <f ca="1">_xll.BDH($C$203,"ACCOUNTS_PAYABLE_SEQ_GROWTH","FQ2 2017","FQ2 2017","Currency=INR","Period=FQ","BEST_FPERIOD_OVERRIDE=FQ","FILING_STATUS=OR","EQY_CONSOLIDATED=Y","Sort=A","Dates=H","DateFormat=P","Fill=—","Direction=H","UseDPDF=Y")</f>
        <v>#NAME?</v>
      </c>
      <c r="BS220" s="2" t="e">
        <f ca="1">_xll.BDH($C$203,"ST_DEBT_SEQUENTIAL_GROWTH","FQ2 2017","FQ2 2017","Currency=INR","Period=FQ","BEST_FPERIOD_OVERRIDE=FQ","FILING_STATUS=OR","EQY_CONSOLIDATED=Y","Sort=A","Dates=H","DateFormat=P","Fill=—","Direction=H","UseDPDF=Y")</f>
        <v>#NAME?</v>
      </c>
      <c r="BT220" s="2" t="e">
        <f ca="1">_xll.BDH($C$203,"TOTAL_DEBT_SEQUENTIAL_GROWTH","FQ2 2017","FQ2 2017","Currency=INR","Period=FQ","BEST_FPERIOD_OVERRIDE=FQ","FILING_STATUS=OR","EQY_CONSOLIDATED=Y","Sort=A","Dates=H","DateFormat=P","Fill=—","Direction=H","UseDPDF=Y")</f>
        <v>#NAME?</v>
      </c>
      <c r="BU220" s="2" t="e">
        <f ca="1">_xll.BDH($C$203,"TOTAL_EQUITY_SEQUENTIAL_GROWTH","FQ2 2017","FQ2 2017","Currency=INR","Period=FQ","BEST_FPERIOD_OVERRIDE=FQ","FILING_STATUS=OR","EQY_CONSOLIDATED=Y","Sort=A","Dates=H","DateFormat=P","Fill=—","Direction=H","UseDPDF=Y")</f>
        <v>#NAME?</v>
      </c>
      <c r="BV220" s="2" t="e">
        <f ca="1">_xll.BDH($C$203,"TOTAL_CAPITAL_SEQUENTIAL_GROWTH","FQ2 2017","FQ2 2017","Currency=INR","Period=FQ","BEST_FPERIOD_OVERRIDE=FQ","FILING_STATUS=OR","EQY_CONSOLIDATED=Y","Sort=A","Dates=H","DateFormat=P","Fill=—","Direction=H","UseDPDF=Y")</f>
        <v>#NAME?</v>
      </c>
      <c r="BW220" s="2" t="e">
        <f ca="1">_xll.BDH($C$203,"BPS_SEQUENTIAL_GROWTH","FQ2 2017","FQ2 2017","Currency=INR","Period=FQ","BEST_FPERIOD_OVERRIDE=FQ","FILING_STATUS=OR","EQY_CONSOLIDATED=Y","Sort=A","Dates=H","DateFormat=P","Fill=—","Direction=H","UseDPDF=Y")</f>
        <v>#NAME?</v>
      </c>
      <c r="BX220" s="2" t="e">
        <f ca="1">_xll.BDH($C$203,"CFO_SEQUENTIAL_GROWTH","FQ2 2017","FQ2 2017","Currency=INR","Period=FQ","BEST_FPERIOD_OVERRIDE=FQ","FILING_STATUS=OR","EQY_CONSOLIDATED=Y","Sort=A","Dates=H","DateFormat=P","Fill=—","Direction=H","UseDPDF=Y")</f>
        <v>#NAME?</v>
      </c>
      <c r="BY220" s="3" t="e">
        <f ca="1">_xll.BDH($C$203,"SHORT_AND_LONG_TERM_DEBT","FQ2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220" s="3" t="e">
        <f ca="1">_xll.BDH($C$203,"BS_ST_BORROW","FQ2 2017","FQ2 2017","Currency=INR","Period=FQ","BEST_FPERIOD_OVERRIDE=FQ","FILING_STATUS=OR","EQY_CONSOLIDATED=Y","SCALING_FORMAT=MLN","Sort=A","Dates=H","DateFormat=P","Fill=—","Direction=H","UseDPDF=Y")</f>
        <v>#NAME?</v>
      </c>
      <c r="CA220" s="3" t="e">
        <f ca="1">_xll.BDH($C$203,"BS_LT_BORROW","FQ2 2017","FQ2 2017","Currency=INR","Period=FQ","BEST_FPERIOD_OVERRIDE=FQ","FILING_STATUS=OR","EQY_CONSOLIDATED=Y","SCALING_FORMAT=MLN","Sort=A","Dates=H","DateFormat=P","Fill=—","Direction=H","UseDPDF=Y")</f>
        <v>#NAME?</v>
      </c>
      <c r="CB220" s="2" t="e">
        <f ca="1">_xll.BDH($C$203,"TOT_DEBT_TO_EBITDA","FQ2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220" s="2" t="e">
        <f ca="1">_xll.BDH($C$203,"NET_DEBT_TO_EBITDA","FQ2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220" s="2" t="e">
        <f ca="1">_xll.BDH($C$203,"TOTAL_DEBT_TO_EBIT","FQ2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220" s="2" t="e">
        <f ca="1">_xll.BDH($C$203,"NET_DEBT_TO_EBIT","FQ2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220" s="2" t="e">
        <f ca="1">_xll.BDH($C$203,"EBITDA_TO_INTEREST_EXPN","FQ2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220" s="2" t="e">
        <f ca="1">_xll.BDH($C$203,"COM_EQY_TO_TOT_ASSET","FQ2 2017","FQ2 2017","Currency=INR","Period=FQ","BEST_FPERIOD_OVERRIDE=FQ","FILING_STATUS=OR","EQY_CONSOLIDATED=Y","Sort=A","Dates=H","DateFormat=P","Fill=—","Direction=H","UseDPDF=Y")</f>
        <v>#NAME?</v>
      </c>
      <c r="CH220" s="2" t="e">
        <f ca="1">_xll.BDH($C$203,"LT_DEBT_TO_TOT_EQY","FQ2 2017","FQ2 2017","Currency=INR","Period=FQ","BEST_FPERIOD_OVERRIDE=FQ","FILING_STATUS=OR","EQY_CONSOLIDATED=Y","Sort=A","Dates=H","DateFormat=P","Fill=—","Direction=H","UseDPDF=Y")</f>
        <v>#NAME?</v>
      </c>
      <c r="CI220" s="2" t="e">
        <f ca="1">_xll.BDH($C$203,"LT_DEBT_TO_TOT_CAP","FQ2 2017","FQ2 2017","Currency=INR","Period=FQ","BEST_FPERIOD_OVERRIDE=FQ","FILING_STATUS=OR","EQY_CONSOLIDATED=Y","Sort=A","Dates=H","DateFormat=P","Fill=—","Direction=H","UseDPDF=Y")</f>
        <v>#NAME?</v>
      </c>
      <c r="CJ220" s="2" t="e">
        <f ca="1">_xll.BDH($C$203,"LT_DEBT_TO_TOT_ASSET","FQ2 2017","FQ2 2017","Currency=INR","Period=FQ","BEST_FPERIOD_OVERRIDE=FQ","FILING_STATUS=OR","EQY_CONSOLIDATED=Y","Sort=A","Dates=H","DateFormat=P","Fill=—","Direction=H","UseDPDF=Y")</f>
        <v>#NAME?</v>
      </c>
      <c r="CK220" s="2" t="e">
        <f ca="1">_xll.BDH($C$203,"TOT_DEBT_TO_TOT_EQY","FQ2 2017","FQ2 2017","Currency=INR","Period=FQ","BEST_FPERIOD_OVERRIDE=FQ","FILING_STATUS=OR","EQY_CONSOLIDATED=Y","Sort=A","Dates=H","DateFormat=P","Fill=—","Direction=H","UseDPDF=Y")</f>
        <v>#NAME?</v>
      </c>
      <c r="CL220" s="2" t="e">
        <f ca="1">_xll.BDH($C$203,"TOT_DEBT_TO_TOT_CAP","FQ2 2017","FQ2 2017","Currency=INR","Period=FQ","BEST_FPERIOD_OVERRIDE=FQ","FILING_STATUS=OR","EQY_CONSOLIDATED=Y","Sort=A","Dates=H","DateFormat=P","Fill=—","Direction=H","UseDPDF=Y")</f>
        <v>#NAME?</v>
      </c>
      <c r="CM220" s="2" t="e">
        <f ca="1">_xll.BDH($C$203,"TOT_DEBT_TO_TOT_ASSET","FQ2 2017","FQ2 2017","Currency=INR","Period=FQ","BEST_FPERIOD_OVERRIDE=FQ","FILING_STATUS=OR","EQY_CONSOLIDATED=Y","Sort=A","Dates=H","DateFormat=P","Fill=—","Direction=H","UseDPDF=Y")</f>
        <v>#NAME?</v>
      </c>
      <c r="CN220" s="2" t="e">
        <f ca="1">_xll.BDH($C$203,"NET_DEBT_TO_SHRHLDR_EQTY","FQ2 2017","FQ2 2017","Currency=INR","Period=FQ","BEST_FPERIOD_OVERRIDE=FQ","FILING_STATUS=OR","EQY_CONSOLIDATED=Y","Sort=A","Dates=H","DateFormat=P","Fill=—","Direction=H","UseDPDF=Y")</f>
        <v>#NAME?</v>
      </c>
      <c r="CO220" s="2" t="e">
        <f ca="1">_xll.BDH($C$203,"NET_DEBT_%_CAPITAL","FQ2 2017","FQ2 2017","Currency=INR","Period=FQ","BEST_FPERIOD_OVERRIDE=FQ","FILING_STATUS=OR","EQY_CONSOLIDATED=Y","Sort=A","Dates=H","DateFormat=P","Fill=—","Direction=H","UseDPDF=Y")</f>
        <v>#NAME?</v>
      </c>
      <c r="CP220" s="3" t="e">
        <f ca="1">_xll.BDH($C$203,"EBITDA","FQ2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220" s="3" t="e">
        <f ca="1">_xll.BDH($C$203,"EBITDA_AFTER_CAPEX","FQ2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220" s="3" t="e">
        <f ca="1">_xll.BDH($C$203,"IS_OPER_INC","FQ2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220" s="2" t="e">
        <f ca="1">_xll.BDH($C$203,"CASH_RATIO","FQ2 2017","FQ2 2017","Currency=INR","Period=FQ","BEST_FPERIOD_OVERRIDE=FQ","FILING_STATUS=OR","EQY_CONSOLIDATED=Y","Sort=A","Dates=H","DateFormat=P","Fill=—","Direction=H","UseDPDF=Y")</f>
        <v>#NAME?</v>
      </c>
      <c r="CT220" s="2" t="e">
        <f ca="1">_xll.BDH($C$203,"CUR_RATIO","FQ2 2017","FQ2 2017","Currency=INR","Period=FQ","BEST_FPERIOD_OVERRIDE=FQ","FILING_STATUS=OR","EQY_CONSOLIDATED=Y","Sort=A","Dates=H","DateFormat=P","Fill=—","Direction=H","UseDPDF=Y")</f>
        <v>#NAME?</v>
      </c>
      <c r="CU220" s="2" t="e">
        <f ca="1">_xll.BDH($C$203,"QUICK_RATIO","FQ2 2017","FQ2 2017","Currency=INR","Period=FQ","BEST_FPERIOD_OVERRIDE=FQ","FILING_STATUS=OR","EQY_CONSOLIDATED=Y","Sort=A","Dates=H","DateFormat=P","Fill=—","Direction=H","UseDPDF=Y")</f>
        <v>#NAME?</v>
      </c>
      <c r="CV220" s="2" t="e">
        <f ca="1">_xll.BDH($C$203,"ALTMAN_Z_SCORE","FQ2 2017","FQ2 2017","Currency=INR","Period=FQ","BEST_FPERIOD_OVERRIDE=FQ","FILING_STATUS=OR","EQY_CONSOLIDATED=Y","Sort=A","Dates=H","DateFormat=P","Fill=—","Direction=H","UseDPDF=Y")</f>
        <v>#NAME?</v>
      </c>
      <c r="CW220" s="4" t="e">
        <f ca="1">_xll.BDH($C$203,"ACCT_RCV_TURN","FQ2 2017","FQ2 2017","Currency=INR","Period=FQ","BEST_FPERIOD_OVERRIDE=FQ","FILING_STATUS=OR","EQY_CONSOLIDATED=Y","FA_ADJUSTED=GAAP","Sort=A","Dates=H","DateFormat=P","Fill=—","Direction=H","UseDPDF=Y")</f>
        <v>#NAME?</v>
      </c>
      <c r="CX220" s="2" t="e">
        <f ca="1">_xll.BDH($C$203,"ACCT_RCV_DAYS","FQ2 2017","FQ2 2017","Currency=INR","Period=FQ","BEST_FPERIOD_OVERRIDE=FQ","FILING_STATUS=OR","EQY_CONSOLIDATED=Y","FA_ADJUSTED=GAAP","Sort=A","Dates=H","DateFormat=P","Fill=—","Direction=H","UseDPDF=Y")</f>
        <v>#NAME?</v>
      </c>
      <c r="CY220" s="4" t="e">
        <f ca="1">_xll.BDH($C$203,"INVENT_TURN","FQ2 2017","FQ2 2017","Currency=INR","Period=FQ","BEST_FPERIOD_OVERRIDE=FQ","FILING_STATUS=OR","EQY_CONSOLIDATED=Y","FA_ADJUSTED=GAAP","Sort=A","Dates=H","DateFormat=P","Fill=—","Direction=H","UseDPDF=Y")</f>
        <v>#NAME?</v>
      </c>
      <c r="CZ220" s="2" t="e">
        <f ca="1">_xll.BDH($C$203,"INVENT_DAYS","FQ2 2017","FQ2 2017","Currency=INR","Period=FQ","BEST_FPERIOD_OVERRIDE=FQ","FILING_STATUS=OR","EQY_CONSOLIDATED=Y","FA_ADJUSTED=GAAP","Sort=A","Dates=H","DateFormat=P","Fill=—","Direction=H","UseDPDF=Y")</f>
        <v>#NAME?</v>
      </c>
      <c r="DA220" s="4" t="e">
        <f ca="1">_xll.BDH($C$203,"ACCOUNTS_PAYABLE_TURNOVER","FQ2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220" s="2" t="e">
        <f ca="1">_xll.BDH($C$203,"ACCOUNTS_PAYABLE_TURNOVER_DAYS","FQ2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220" s="4" t="e">
        <f ca="1">_xll.BDH($C$203,"CASH_CONVERSION_CYCLE","FQ2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220" s="4" t="e">
        <f ca="1">_xll.BDH($C$203,"INV_TO_CASH_DAYS","FQ2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220" s="5" t="e">
        <f ca="1">_xll.BDH($C$203,"BS_INVENTORIES","FQ2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220" s="3" t="e">
        <f ca="1">_xll.BDH($C$203,"INVTRY_RAW_MATERIALS","FQ2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220" s="3" t="e">
        <f ca="1">_xll.BDH($C$203,"INVTRY_IN_PROGRESS","FQ2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220" s="3" t="e">
        <f ca="1">_xll.BDH($C$203,"INVTRY_FINISHED_GOODS","FQ2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220" s="3" t="e">
        <f ca="1">_xll.BDH($C$203,"BS_OTHER_INV","FQ2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221" spans="1:113" x14ac:dyDescent="0.3">
      <c r="A221" s="6"/>
      <c r="B221" s="6"/>
      <c r="C221" s="6"/>
      <c r="D221" s="6"/>
      <c r="E221" t="s">
        <v>80</v>
      </c>
      <c r="F221" t="e">
        <f ca="1">_xll.BDH($C$203,"RETURN_COM_EQY","FQ3 2017","FQ3 2017","Currency=INR","Period=FQ","BEST_FPERIOD_OVERRIDE=FQ","FILING_STATUS=OR","EQY_CONSOLIDATED=Y","FA_ADJUSTED=GAAP","Sort=A","Dates=H","DateFormat=P","Fill=—","Direction=H","UseDPDF=Y")</f>
        <v>#NAME?</v>
      </c>
      <c r="G221" t="e">
        <f ca="1">_xll.BDH($C$203,"RETURN_ON_ASSET","FQ3 2017","FQ3 2017","Currency=INR","Period=FQ","BEST_FPERIOD_OVERRIDE=FQ","FILING_STATUS=OR","EQY_CONSOLIDATED=Y","FA_ADJUSTED=GAAP","Sort=A","Dates=H","DateFormat=P","Fill=—","Direction=H","UseDPDF=Y")</f>
        <v>#NAME?</v>
      </c>
      <c r="H221" t="e">
        <f ca="1">_xll.BDH($C$203,"RETURN_ON_CAP","FQ3 2017","FQ3 2017","Currency=INR","Period=FQ","BEST_FPERIOD_OVERRIDE=FQ","FILING_STATUS=OR","EQY_CONSOLIDATED=Y","FA_ADJUSTED=GAAP","Sort=A","Dates=H","DateFormat=P","Fill=—","Direction=H","UseDPDF=Y")</f>
        <v>#NAME?</v>
      </c>
      <c r="I221" t="e">
        <f ca="1">_xll.BDH($C$203,"RETURN_ON_INV_CAPITAL","FQ3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221" t="e">
        <f ca="1">_xll.BDH($C$203,"EBITDA_TO_REVENUE","FQ3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221" t="e">
        <f ca="1">_xll.BDH($C$203,"OPER_MARGIN","FQ3 2017","FQ3 2017","Currency=INR","Period=FQ","BEST_FPERIOD_OVERRIDE=FQ","FILING_STATUS=OR","EQY_CONSOLIDATED=Y","FA_ADJUSTED=GAAP","Sort=A","Dates=H","DateFormat=P","Fill=—","Direction=H","UseDPDF=Y")</f>
        <v>#NAME?</v>
      </c>
      <c r="L221" t="e">
        <f ca="1">_xll.BDH($C$203,"INCREMENTAL_OPERATING_MARGIN","FQ3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221" t="e">
        <f ca="1">_xll.BDH($C$203,"PRETAX_INC_TO_NET_SALES","FQ3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221" t="e">
        <f ca="1">_xll.BDH($C$203,"INC_BEF_XO_ITEMS_TO_NET_SALES","FQ3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221" t="e">
        <f ca="1">_xll.BDH($C$203,"PROF_MARGIN","FQ3 2017","FQ3 2017","Currency=INR","Period=FQ","BEST_FPERIOD_OVERRIDE=FQ","FILING_STATUS=OR","EQY_CONSOLIDATED=Y","FA_ADJUSTED=GAAP","Sort=A","Dates=H","DateFormat=P","Fill=—","Direction=H","UseDPDF=Y")</f>
        <v>#NAME?</v>
      </c>
      <c r="P221" t="e">
        <f ca="1">_xll.BDH($C$203,"NET_INCOME_TO_COMMON_MARGIN","FQ3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221" t="e">
        <f ca="1">_xll.BDH($C$203,"EFF_TAX_RATE","FQ3 2017","FQ3 2017","Currency=INR","Period=FQ","BEST_FPERIOD_OVERRIDE=FQ","FILING_STATUS=OR","EQY_CONSOLIDATED=Y","FA_ADJUSTED=GAAP","Sort=A","Dates=H","DateFormat=P","Fill=—","Direction=H","UseDPDF=Y")</f>
        <v>#NAME?</v>
      </c>
      <c r="R221" t="e">
        <f ca="1">_xll.BDH($C$203,"DVD_PAYOUT_RATIO","FQ3 2017","FQ3 2017","Currency=INR","Period=FQ","BEST_FPERIOD_OVERRIDE=FQ","FILING_STATUS=OR","EQY_CONSOLIDATED=Y","FA_ADJUSTED=GAAP","Sort=A","Dates=H","DateFormat=P","Fill=—","Direction=H","UseDPDF=Y")</f>
        <v>#NAME?</v>
      </c>
      <c r="S221" t="e">
        <f ca="1">_xll.BDH($C$203,"SUSTAIN_GROWTH_RT","FQ3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221" s="2" t="e">
        <f ca="1">_xll.BDH($C$203,"SALES_GROWTH","FQ3 2017","FQ3 2017","Currency=INR","Period=FQ","BEST_FPERIOD_OVERRIDE=FQ","FILING_STATUS=OR","EQY_CONSOLIDATED=Y","FA_ADJUSTED=GAAP","Sort=A","Dates=H","DateFormat=P","Fill=—","Direction=H","UseDPDF=Y")</f>
        <v>#NAME?</v>
      </c>
      <c r="U221" s="2" t="e">
        <f ca="1">_xll.BDH($C$203,"EBITDA_GROWTH","FQ3 2017","FQ3 2017","Currency=INR","Period=FQ","BEST_FPERIOD_OVERRIDE=FQ","FILING_STATUS=OR","EQY_CONSOLIDATED=Y","FA_ADJUSTED=GAAP","Sort=A","Dates=H","DateFormat=P","Fill=—","Direction=H","UseDPDF=Y")</f>
        <v>#NAME?</v>
      </c>
      <c r="V221" s="2" t="e">
        <f ca="1">_xll.BDH($C$203,"OPER_INC_GROWTH","FQ3 2017","FQ3 2017","Currency=INR","Period=FQ","BEST_FPERIOD_OVERRIDE=FQ","FILING_STATUS=OR","EQY_CONSOLIDATED=Y","FA_ADJUSTED=GAAP","Sort=A","Dates=H","DateFormat=P","Fill=—","Direction=H","UseDPDF=Y")</f>
        <v>#NAME?</v>
      </c>
      <c r="W221" s="2" t="e">
        <f ca="1">_xll.BDH($C$203,"EARN_FOR_COM_GROWTH","FQ3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221" s="2" t="e">
        <f ca="1">_xll.BDH($C$203,"DILUTED_EPS_AFT_XO_ITEMS_GROWTH","FQ3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221" s="2" t="e">
        <f ca="1">_xll.BDH($C$203,"DIVIDEND_PER_SHARE_1_YEAR_GROWTH","FQ3 2017","FQ3 2017","Currency=INR","Period=FQ","BEST_FPERIOD_OVERRIDE=FQ","FILING_STATUS=OR","EQY_CONSOLIDATED=Y","Sort=A","Dates=H","DateFormat=P","Fill=—","Direction=H","UseDPDF=Y")</f>
        <v>#NAME?</v>
      </c>
      <c r="Z221" s="2" t="e">
        <f ca="1">_xll.BDH($C$203,"ACCOUNTS_RECEIVABLE_GROWTH","FQ3 2017","FQ3 2017","Currency=INR","Period=FQ","BEST_FPERIOD_OVERRIDE=FQ","FILING_STATUS=OR","EQY_CONSOLIDATED=Y","Sort=A","Dates=H","DateFormat=P","Fill=—","Direction=H","UseDPDF=Y")</f>
        <v>#NAME?</v>
      </c>
      <c r="AA221" s="2" t="e">
        <f ca="1">_xll.BDH($C$203,"INVENTORY_GROWTH","FQ3 2017","FQ3 2017","Currency=INR","Period=FQ","BEST_FPERIOD_OVERRIDE=FQ","FILING_STATUS=OR","EQY_CONSOLIDATED=Y","Sort=A","Dates=H","DateFormat=P","Fill=—","Direction=H","UseDPDF=Y")</f>
        <v>#NAME?</v>
      </c>
      <c r="AB221" s="2" t="e">
        <f ca="1">_xll.BDH($C$203,"NET_FIXED_ASSETS_1_YEAR_GROWTH","FQ3 2017","FQ3 2017","Currency=INR","Period=FQ","BEST_FPERIOD_OVERRIDE=FQ","FILING_STATUS=OR","EQY_CONSOLIDATED=Y","Sort=A","Dates=H","DateFormat=P","Fill=—","Direction=H","UseDPDF=Y")</f>
        <v>#NAME?</v>
      </c>
      <c r="AC221" s="2" t="e">
        <f ca="1">_xll.BDH($C$203,"ASSET_GROWTH","FQ3 2017","FQ3 2017","Currency=INR","Period=FQ","BEST_FPERIOD_OVERRIDE=FQ","FILING_STATUS=OR","EQY_CONSOLIDATED=Y","Sort=A","Dates=H","DateFormat=P","Fill=—","Direction=H","UseDPDF=Y")</f>
        <v>#NAME?</v>
      </c>
      <c r="AD221" s="2" t="e">
        <f ca="1">_xll.BDH($C$203,"MODIFIED_WORK_CAP_GROWTH","FQ3 2017","FQ3 2017","Currency=INR","Period=FQ","BEST_FPERIOD_OVERRIDE=FQ","FILING_STATUS=OR","EQY_CONSOLIDATED=Y","Sort=A","Dates=H","DateFormat=P","Fill=—","Direction=H","UseDPDF=Y")</f>
        <v>#NAME?</v>
      </c>
      <c r="AE221" s="2" t="e">
        <f ca="1">_xll.BDH($C$203,"WORK_CAP_GROWTH","FQ3 2017","FQ3 2017","Currency=INR","Period=FQ","BEST_FPERIOD_OVERRIDE=FQ","FILING_STATUS=OR","EQY_CONSOLIDATED=Y","Sort=A","Dates=H","DateFormat=P","Fill=—","Direction=H","UseDPDF=Y")</f>
        <v>#NAME?</v>
      </c>
      <c r="AF221" s="2" t="e">
        <f ca="1">_xll.BDH($C$203,"ACCOUNTS_PAYABLE_GROWTH_1YR","FQ3 2017","FQ3 2017","Currency=INR","Period=FQ","BEST_FPERIOD_OVERRIDE=FQ","FILING_STATUS=OR","EQY_CONSOLIDATED=Y","Sort=A","Dates=H","DateFormat=P","Fill=—","Direction=H","UseDPDF=Y")</f>
        <v>#NAME?</v>
      </c>
      <c r="AG221" s="2" t="e">
        <f ca="1">_xll.BDH($C$203,"SHORT_TERM_DEBT_1_YEAR_GROWTH","FQ3 2017","FQ3 2017","Currency=INR","Period=FQ","BEST_FPERIOD_OVERRIDE=FQ","FILING_STATUS=OR","EQY_CONSOLIDATED=Y","Sort=A","Dates=H","DateFormat=P","Fill=—","Direction=H","UseDPDF=Y")</f>
        <v>#NAME?</v>
      </c>
      <c r="AH221" s="2" t="e">
        <f ca="1">_xll.BDH($C$203,"TOTAL_DEBT_1_YEAR_GROWTH","FQ3 2017","FQ3 2017","Currency=INR","Period=FQ","BEST_FPERIOD_OVERRIDE=FQ","FILING_STATUS=OR","EQY_CONSOLIDATED=Y","Sort=A","Dates=H","DateFormat=P","Fill=—","Direction=H","UseDPDF=Y")</f>
        <v>#NAME?</v>
      </c>
      <c r="AI221" s="2" t="e">
        <f ca="1">_xll.BDH($C$203,"TOTAL_EQUITY_1_YEAR_GROWTH","FQ3 2017","FQ3 2017","Currency=INR","Period=FQ","BEST_FPERIOD_OVERRIDE=FQ","FILING_STATUS=OR","EQY_CONSOLIDATED=Y","Sort=A","Dates=H","DateFormat=P","Fill=—","Direction=H","UseDPDF=Y")</f>
        <v>#NAME?</v>
      </c>
      <c r="AJ221" s="2" t="e">
        <f ca="1">_xll.BDH($C$203,"GROWTH_IN_CAP","FQ3 2017","FQ3 2017","Currency=INR","Period=FQ","BEST_FPERIOD_OVERRIDE=FQ","FILING_STATUS=OR","EQY_CONSOLIDATED=Y","Sort=A","Dates=H","DateFormat=P","Fill=—","Direction=H","UseDPDF=Y")</f>
        <v>#NAME?</v>
      </c>
      <c r="AK221" s="2" t="e">
        <f ca="1">_xll.BDH($C$203,"BVPS_GROWTH","FQ3 2017","FQ3 2017","Currency=INR","Period=FQ","BEST_FPERIOD_OVERRIDE=FQ","FILING_STATUS=OR","EQY_CONSOLIDATED=Y","Sort=A","Dates=H","DateFormat=P","Fill=—","Direction=H","UseDPDF=Y")</f>
        <v>#NAME?</v>
      </c>
      <c r="AL221" s="2" t="e">
        <f ca="1">_xll.BDH($C$203,"CASH_FLOW_GROWTH","FQ3 2017","FQ3 2017","Currency=INR","Period=FQ","BEST_FPERIOD_OVERRIDE=FQ","FILING_STATUS=OR","EQY_CONSOLIDATED=Y","Sort=A","Dates=H","DateFormat=P","Fill=—","Direction=H","UseDPDF=Y")</f>
        <v>#NAME?</v>
      </c>
      <c r="AM221" s="2" t="e">
        <f ca="1">_xll.BDH($C$203,"GEO_GROW_NET_SALES","FQ3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221" s="2" t="e">
        <f ca="1">_xll.BDH($C$203,"GEO_GROW_EBITDA","FQ3 2017","FQ3 2017","Currency=INR","Period=FQ","BEST_FPERIOD_OVERRIDE=FQ","FILING_STATUS=OR","EQY_CONSOLIDATED=Y","FA_ADJUSTED=GAAP","Sort=A","Dates=H","DateFormat=P","Fill=—","Direction=H","UseDPDF=Y")</f>
        <v>#NAME?</v>
      </c>
      <c r="AO221" s="2" t="e">
        <f ca="1">_xll.BDH($C$203,"GEO_GROW_OPER_INC","FQ3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221" s="2" t="e">
        <f ca="1">_xll.BDH($C$203,"NET_INCOME_TO_COMMON_5_YR_GROWTH","FQ3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221" s="2" t="e">
        <f ca="1">_xll.BDH($C$203,"5Y_GEO_GROWTH_DILUTED_EPS","FQ3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221" s="2" t="e">
        <f ca="1">_xll.BDH($C$203,"GEO_GROW_DVD_PER_SH","FQ3 2017","FQ3 2017","Currency=INR","Period=FQ","BEST_FPERIOD_OVERRIDE=FQ","FILING_STATUS=OR","EQY_CONSOLIDATED=Y","Sort=A","Dates=H","DateFormat=P","Fill=—","Direction=H","UseDPDF=Y")</f>
        <v>#NAME?</v>
      </c>
      <c r="AS221" s="2" t="e">
        <f ca="1">_xll.BDH($C$203,"ACCOUNTS_RECEIVABLE_5_YR_GROWTH","FQ3 2017","FQ3 2017","Currency=INR","Period=FQ","BEST_FPERIOD_OVERRIDE=FQ","FILING_STATUS=OR","EQY_CONSOLIDATED=Y","Sort=A","Dates=H","DateFormat=P","Fill=—","Direction=H","UseDPDF=Y")</f>
        <v>#NAME?</v>
      </c>
      <c r="AT221" s="2" t="e">
        <f ca="1">_xll.BDH($C$203,"INVENTORY_5_YEAR_GROWTH","FQ3 2017","FQ3 2017","Currency=INR","Period=FQ","BEST_FPERIOD_OVERRIDE=FQ","FILING_STATUS=OR","EQY_CONSOLIDATED=Y","Sort=A","Dates=H","DateFormat=P","Fill=—","Direction=H","UseDPDF=Y")</f>
        <v>#NAME?</v>
      </c>
      <c r="AU221" s="2" t="e">
        <f ca="1">_xll.BDH($C$203,"NET_FIXED_ASSETS_5_YEAR_GROWTH","FQ3 2017","FQ3 2017","Currency=INR","Period=FQ","BEST_FPERIOD_OVERRIDE=FQ","FILING_STATUS=OR","EQY_CONSOLIDATED=Y","Sort=A","Dates=H","DateFormat=P","Fill=—","Direction=H","UseDPDF=Y")</f>
        <v>#NAME?</v>
      </c>
      <c r="AV221" s="2" t="e">
        <f ca="1">_xll.BDH($C$203,"GEO_GROW_TOT_ASSET","FQ3 2017","FQ3 2017","Currency=INR","Period=FQ","BEST_FPERIOD_OVERRIDE=FQ","FILING_STATUS=OR","EQY_CONSOLIDATED=Y","Sort=A","Dates=H","DateFormat=P","Fill=—","Direction=H","UseDPDF=Y")</f>
        <v>#NAME?</v>
      </c>
      <c r="AW221" s="2" t="e">
        <f ca="1">_xll.BDH($C$203,"MODIFIED_WORKING_CPTL_5YR_GRWTH","FQ3 2017","FQ3 2017","Currency=INR","Period=FQ","BEST_FPERIOD_OVERRIDE=FQ","FILING_STATUS=OR","EQY_CONSOLIDATED=Y","Sort=A","Dates=H","DateFormat=P","Fill=—","Direction=H","UseDPDF=Y")</f>
        <v>#NAME?</v>
      </c>
      <c r="AX221" s="2" t="e">
        <f ca="1">_xll.BDH($C$203,"WORKING_CAPITAL_5_YEAR_GROWTH","FQ3 2017","FQ3 2017","Currency=INR","Period=FQ","BEST_FPERIOD_OVERRIDE=FQ","FILING_STATUS=OR","EQY_CONSOLIDATED=Y","Sort=A","Dates=H","DateFormat=P","Fill=—","Direction=H","UseDPDF=Y")</f>
        <v>#NAME?</v>
      </c>
      <c r="AY221" s="2" t="e">
        <f ca="1">_xll.BDH($C$203,"ACCOUNTS_PAYABLE_5_YEAR_GROWTH","FQ3 2017","FQ3 2017","Currency=INR","Period=FQ","BEST_FPERIOD_OVERRIDE=FQ","FILING_STATUS=OR","EQY_CONSOLIDATED=Y","Sort=A","Dates=H","DateFormat=P","Fill=—","Direction=H","UseDPDF=Y")</f>
        <v>#NAME?</v>
      </c>
      <c r="AZ221" s="2" t="e">
        <f ca="1">_xll.BDH($C$203,"SHORT_TERM_DEBT_5_YEAR_GROWTH","FQ3 2017","FQ3 2017","Currency=INR","Period=FQ","BEST_FPERIOD_OVERRIDE=FQ","FILING_STATUS=OR","EQY_CONSOLIDATED=Y","Sort=A","Dates=H","DateFormat=P","Fill=—","Direction=H","UseDPDF=Y")</f>
        <v>#NAME?</v>
      </c>
      <c r="BA221" s="2" t="e">
        <f ca="1">_xll.BDH($C$203,"TOTAL_DEBT_5_YEAR_GROWTH","FQ3 2017","FQ3 2017","Currency=INR","Period=FQ","BEST_FPERIOD_OVERRIDE=FQ","FILING_STATUS=OR","EQY_CONSOLIDATED=Y","Sort=A","Dates=H","DateFormat=P","Fill=—","Direction=H","UseDPDF=Y")</f>
        <v>#NAME?</v>
      </c>
      <c r="BB221" s="2" t="e">
        <f ca="1">_xll.BDH($C$203,"GEO_GROW_TOT_SHRHLDR_EQY","FQ3 2017","FQ3 2017","Currency=INR","Period=FQ","BEST_FPERIOD_OVERRIDE=FQ","FILING_STATUS=OR","EQY_CONSOLIDATED=Y","Sort=A","Dates=H","DateFormat=P","Fill=—","Direction=H","UseDPDF=Y")</f>
        <v>#NAME?</v>
      </c>
      <c r="BC221" s="2" t="e">
        <f ca="1">_xll.BDH($C$203,"TOTAL_CAPITAL_5_YEAR_GROWTH","FQ3 2017","FQ3 2017","Currency=INR","Period=FQ","BEST_FPERIOD_OVERRIDE=FQ","FILING_STATUS=OR","EQY_CONSOLIDATED=Y","Sort=A","Dates=H","DateFormat=P","Fill=—","Direction=H","UseDPDF=Y")</f>
        <v>#NAME?</v>
      </c>
      <c r="BD221" s="2" t="e">
        <f ca="1">_xll.BDH($C$203,"GEO_GROW_BOOK_VAL","FQ3 2017","FQ3 2017","Currency=INR","Period=FQ","BEST_FPERIOD_OVERRIDE=FQ","FILING_STATUS=OR","EQY_CONSOLIDATED=Y","Sort=A","Dates=H","DateFormat=P","Fill=—","Direction=H","UseDPDF=Y")</f>
        <v>#NAME?</v>
      </c>
      <c r="BE221" s="2" t="e">
        <f ca="1">_xll.BDH($C$203,"GEO_GROW_CASH_OPER_ACT","FQ3 2017","FQ3 2017","Currency=INR","Period=FQ","BEST_FPERIOD_OVERRIDE=FQ","FILING_STATUS=OR","EQY_CONSOLIDATED=Y","Sort=A","Dates=H","DateFormat=P","Fill=—","Direction=H","UseDPDF=Y")</f>
        <v>#NAME?</v>
      </c>
      <c r="BF221" s="2" t="e">
        <f ca="1">_xll.BDH($C$203,"REVENUE_SEQUENTIAL_GROWTH","FQ3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221" s="2" t="e">
        <f ca="1">_xll.BDH($C$203,"EBITDA_SEQUENTIAL_GROWTH","FQ3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221" s="2" t="e">
        <f ca="1">_xll.BDH($C$203,"OPERATING_INCOME_SEQ_GROWTH","FQ3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221" s="2" t="e">
        <f ca="1">_xll.BDH($C$203,"NET_INCOME_TO_COMMON_SEQ_GROWTH","FQ3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221" s="2" t="e">
        <f ca="1">_xll.BDH($C$203,"EPS_DILUTED_SEQUENTIAL_GROWTH","FQ3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221" s="2" t="e">
        <f ca="1">_xll.BDH($C$203,"DPS_SEQUENTIAL_GROWTH","FQ3 2017","FQ3 2017","Currency=INR","Period=FQ","BEST_FPERIOD_OVERRIDE=FQ","FILING_STATUS=OR","EQY_CONSOLIDATED=Y","Sort=A","Dates=H","DateFormat=P","Fill=—","Direction=H","UseDPDF=Y")</f>
        <v>#NAME?</v>
      </c>
      <c r="BL221" s="2" t="e">
        <f ca="1">_xll.BDH($C$203,"ACCOUNTS_RECEIVABLE_SEQ_GROWTH","FQ3 2017","FQ3 2017","Currency=INR","Period=FQ","BEST_FPERIOD_OVERRIDE=FQ","FILING_STATUS=OR","EQY_CONSOLIDATED=Y","Sort=A","Dates=H","DateFormat=P","Fill=—","Direction=H","UseDPDF=Y")</f>
        <v>#NAME?</v>
      </c>
      <c r="BM221" s="2" t="e">
        <f ca="1">_xll.BDH($C$203,"INVENTORY_SEQUENTIAL_GROWTH","FQ3 2017","FQ3 2017","Currency=INR","Period=FQ","BEST_FPERIOD_OVERRIDE=FQ","FILING_STATUS=OR","EQY_CONSOLIDATED=Y","Sort=A","Dates=H","DateFormat=P","Fill=—","Direction=H","UseDPDF=Y")</f>
        <v>#NAME?</v>
      </c>
      <c r="BN221" s="2" t="e">
        <f ca="1">_xll.BDH($C$203,"FIXED_ASSETS_SEQUENTIAL_GROWTH","FQ3 2017","FQ3 2017","Currency=INR","Period=FQ","BEST_FPERIOD_OVERRIDE=FQ","FILING_STATUS=OR","EQY_CONSOLIDATED=Y","Sort=A","Dates=H","DateFormat=P","Fill=—","Direction=H","UseDPDF=Y")</f>
        <v>#NAME?</v>
      </c>
      <c r="BO221" s="2" t="e">
        <f ca="1">_xll.BDH($C$203,"TOTAL_ASSETS_SEQUENTIAL_GROWTH","FQ3 2017","FQ3 2017","Currency=INR","Period=FQ","BEST_FPERIOD_OVERRIDE=FQ","FILING_STATUS=OR","EQY_CONSOLIDATED=Y","Sort=A","Dates=H","DateFormat=P","Fill=—","Direction=H","UseDPDF=Y")</f>
        <v>#NAME?</v>
      </c>
      <c r="BP221" s="2" t="e">
        <f ca="1">_xll.BDH($C$203,"MODIFIED_WORKING_CPTL_SEQ_GRWTH","FQ3 2017","FQ3 2017","Currency=INR","Period=FQ","BEST_FPERIOD_OVERRIDE=FQ","FILING_STATUS=OR","EQY_CONSOLIDATED=Y","Sort=A","Dates=H","DateFormat=P","Fill=—","Direction=H","UseDPDF=Y")</f>
        <v>#NAME?</v>
      </c>
      <c r="BQ221" s="2" t="e">
        <f ca="1">_xll.BDH($C$203,"WORKING_CAPITAL_SEQ_GROWTH","FQ3 2017","FQ3 2017","Currency=INR","Period=FQ","BEST_FPERIOD_OVERRIDE=FQ","FILING_STATUS=OR","EQY_CONSOLIDATED=Y","Sort=A","Dates=H","DateFormat=P","Fill=—","Direction=H","UseDPDF=Y")</f>
        <v>#NAME?</v>
      </c>
      <c r="BR221" s="2" t="e">
        <f ca="1">_xll.BDH($C$203,"ACCOUNTS_PAYABLE_SEQ_GROWTH","FQ3 2017","FQ3 2017","Currency=INR","Period=FQ","BEST_FPERIOD_OVERRIDE=FQ","FILING_STATUS=OR","EQY_CONSOLIDATED=Y","Sort=A","Dates=H","DateFormat=P","Fill=—","Direction=H","UseDPDF=Y")</f>
        <v>#NAME?</v>
      </c>
      <c r="BS221" s="2" t="e">
        <f ca="1">_xll.BDH($C$203,"ST_DEBT_SEQUENTIAL_GROWTH","FQ3 2017","FQ3 2017","Currency=INR","Period=FQ","BEST_FPERIOD_OVERRIDE=FQ","FILING_STATUS=OR","EQY_CONSOLIDATED=Y","Sort=A","Dates=H","DateFormat=P","Fill=—","Direction=H","UseDPDF=Y")</f>
        <v>#NAME?</v>
      </c>
      <c r="BT221" s="2" t="e">
        <f ca="1">_xll.BDH($C$203,"TOTAL_DEBT_SEQUENTIAL_GROWTH","FQ3 2017","FQ3 2017","Currency=INR","Period=FQ","BEST_FPERIOD_OVERRIDE=FQ","FILING_STATUS=OR","EQY_CONSOLIDATED=Y","Sort=A","Dates=H","DateFormat=P","Fill=—","Direction=H","UseDPDF=Y")</f>
        <v>#NAME?</v>
      </c>
      <c r="BU221" s="2" t="e">
        <f ca="1">_xll.BDH($C$203,"TOTAL_EQUITY_SEQUENTIAL_GROWTH","FQ3 2017","FQ3 2017","Currency=INR","Period=FQ","BEST_FPERIOD_OVERRIDE=FQ","FILING_STATUS=OR","EQY_CONSOLIDATED=Y","Sort=A","Dates=H","DateFormat=P","Fill=—","Direction=H","UseDPDF=Y")</f>
        <v>#NAME?</v>
      </c>
      <c r="BV221" s="2" t="e">
        <f ca="1">_xll.BDH($C$203,"TOTAL_CAPITAL_SEQUENTIAL_GROWTH","FQ3 2017","FQ3 2017","Currency=INR","Period=FQ","BEST_FPERIOD_OVERRIDE=FQ","FILING_STATUS=OR","EQY_CONSOLIDATED=Y","Sort=A","Dates=H","DateFormat=P","Fill=—","Direction=H","UseDPDF=Y")</f>
        <v>#NAME?</v>
      </c>
      <c r="BW221" s="2" t="e">
        <f ca="1">_xll.BDH($C$203,"BPS_SEQUENTIAL_GROWTH","FQ3 2017","FQ3 2017","Currency=INR","Period=FQ","BEST_FPERIOD_OVERRIDE=FQ","FILING_STATUS=OR","EQY_CONSOLIDATED=Y","Sort=A","Dates=H","DateFormat=P","Fill=—","Direction=H","UseDPDF=Y")</f>
        <v>#NAME?</v>
      </c>
      <c r="BX221" s="2" t="e">
        <f ca="1">_xll.BDH($C$203,"CFO_SEQUENTIAL_GROWTH","FQ3 2017","FQ3 2017","Currency=INR","Period=FQ","BEST_FPERIOD_OVERRIDE=FQ","FILING_STATUS=OR","EQY_CONSOLIDATED=Y","Sort=A","Dates=H","DateFormat=P","Fill=—","Direction=H","UseDPDF=Y")</f>
        <v>#NAME?</v>
      </c>
      <c r="BY221" s="3" t="e">
        <f ca="1">_xll.BDH($C$203,"SHORT_AND_LONG_TERM_DEBT","FQ3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221" s="3" t="e">
        <f ca="1">_xll.BDH($C$203,"BS_ST_BORROW","FQ3 2017","FQ3 2017","Currency=INR","Period=FQ","BEST_FPERIOD_OVERRIDE=FQ","FILING_STATUS=OR","EQY_CONSOLIDATED=Y","SCALING_FORMAT=MLN","Sort=A","Dates=H","DateFormat=P","Fill=—","Direction=H","UseDPDF=Y")</f>
        <v>#NAME?</v>
      </c>
      <c r="CA221" s="3" t="e">
        <f ca="1">_xll.BDH($C$203,"BS_LT_BORROW","FQ3 2017","FQ3 2017","Currency=INR","Period=FQ","BEST_FPERIOD_OVERRIDE=FQ","FILING_STATUS=OR","EQY_CONSOLIDATED=Y","SCALING_FORMAT=MLN","Sort=A","Dates=H","DateFormat=P","Fill=—","Direction=H","UseDPDF=Y")</f>
        <v>#NAME?</v>
      </c>
      <c r="CB221" s="2" t="e">
        <f ca="1">_xll.BDH($C$203,"TOT_DEBT_TO_EBITDA","FQ3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221" s="2" t="e">
        <f ca="1">_xll.BDH($C$203,"NET_DEBT_TO_EBITDA","FQ3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221" s="2" t="e">
        <f ca="1">_xll.BDH($C$203,"TOTAL_DEBT_TO_EBIT","FQ3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221" s="2" t="e">
        <f ca="1">_xll.BDH($C$203,"NET_DEBT_TO_EBIT","FQ3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221" s="2" t="e">
        <f ca="1">_xll.BDH($C$203,"EBITDA_TO_INTEREST_EXPN","FQ3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221" s="2" t="e">
        <f ca="1">_xll.BDH($C$203,"COM_EQY_TO_TOT_ASSET","FQ3 2017","FQ3 2017","Currency=INR","Period=FQ","BEST_FPERIOD_OVERRIDE=FQ","FILING_STATUS=OR","EQY_CONSOLIDATED=Y","Sort=A","Dates=H","DateFormat=P","Fill=—","Direction=H","UseDPDF=Y")</f>
        <v>#NAME?</v>
      </c>
      <c r="CH221" s="2" t="e">
        <f ca="1">_xll.BDH($C$203,"LT_DEBT_TO_TOT_EQY","FQ3 2017","FQ3 2017","Currency=INR","Period=FQ","BEST_FPERIOD_OVERRIDE=FQ","FILING_STATUS=OR","EQY_CONSOLIDATED=Y","Sort=A","Dates=H","DateFormat=P","Fill=—","Direction=H","UseDPDF=Y")</f>
        <v>#NAME?</v>
      </c>
      <c r="CI221" s="2" t="e">
        <f ca="1">_xll.BDH($C$203,"LT_DEBT_TO_TOT_CAP","FQ3 2017","FQ3 2017","Currency=INR","Period=FQ","BEST_FPERIOD_OVERRIDE=FQ","FILING_STATUS=OR","EQY_CONSOLIDATED=Y","Sort=A","Dates=H","DateFormat=P","Fill=—","Direction=H","UseDPDF=Y")</f>
        <v>#NAME?</v>
      </c>
      <c r="CJ221" s="2" t="e">
        <f ca="1">_xll.BDH($C$203,"LT_DEBT_TO_TOT_ASSET","FQ3 2017","FQ3 2017","Currency=INR","Period=FQ","BEST_FPERIOD_OVERRIDE=FQ","FILING_STATUS=OR","EQY_CONSOLIDATED=Y","Sort=A","Dates=H","DateFormat=P","Fill=—","Direction=H","UseDPDF=Y")</f>
        <v>#NAME?</v>
      </c>
      <c r="CK221" s="2" t="e">
        <f ca="1">_xll.BDH($C$203,"TOT_DEBT_TO_TOT_EQY","FQ3 2017","FQ3 2017","Currency=INR","Period=FQ","BEST_FPERIOD_OVERRIDE=FQ","FILING_STATUS=OR","EQY_CONSOLIDATED=Y","Sort=A","Dates=H","DateFormat=P","Fill=—","Direction=H","UseDPDF=Y")</f>
        <v>#NAME?</v>
      </c>
      <c r="CL221" s="2" t="e">
        <f ca="1">_xll.BDH($C$203,"TOT_DEBT_TO_TOT_CAP","FQ3 2017","FQ3 2017","Currency=INR","Period=FQ","BEST_FPERIOD_OVERRIDE=FQ","FILING_STATUS=OR","EQY_CONSOLIDATED=Y","Sort=A","Dates=H","DateFormat=P","Fill=—","Direction=H","UseDPDF=Y")</f>
        <v>#NAME?</v>
      </c>
      <c r="CM221" s="2" t="e">
        <f ca="1">_xll.BDH($C$203,"TOT_DEBT_TO_TOT_ASSET","FQ3 2017","FQ3 2017","Currency=INR","Period=FQ","BEST_FPERIOD_OVERRIDE=FQ","FILING_STATUS=OR","EQY_CONSOLIDATED=Y","Sort=A","Dates=H","DateFormat=P","Fill=—","Direction=H","UseDPDF=Y")</f>
        <v>#NAME?</v>
      </c>
      <c r="CN221" s="2" t="e">
        <f ca="1">_xll.BDH($C$203,"NET_DEBT_TO_SHRHLDR_EQTY","FQ3 2017","FQ3 2017","Currency=INR","Period=FQ","BEST_FPERIOD_OVERRIDE=FQ","FILING_STATUS=OR","EQY_CONSOLIDATED=Y","Sort=A","Dates=H","DateFormat=P","Fill=—","Direction=H","UseDPDF=Y")</f>
        <v>#NAME?</v>
      </c>
      <c r="CO221" s="2" t="e">
        <f ca="1">_xll.BDH($C$203,"NET_DEBT_%_CAPITAL","FQ3 2017","FQ3 2017","Currency=INR","Period=FQ","BEST_FPERIOD_OVERRIDE=FQ","FILING_STATUS=OR","EQY_CONSOLIDATED=Y","Sort=A","Dates=H","DateFormat=P","Fill=—","Direction=H","UseDPDF=Y")</f>
        <v>#NAME?</v>
      </c>
      <c r="CP221" s="3" t="e">
        <f ca="1">_xll.BDH($C$203,"EBITDA","FQ3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221" s="3" t="e">
        <f ca="1">_xll.BDH($C$203,"EBITDA_AFTER_CAPEX","FQ3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221" s="3" t="e">
        <f ca="1">_xll.BDH($C$203,"IS_OPER_INC","FQ3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221" s="2" t="e">
        <f ca="1">_xll.BDH($C$203,"CASH_RATIO","FQ3 2017","FQ3 2017","Currency=INR","Period=FQ","BEST_FPERIOD_OVERRIDE=FQ","FILING_STATUS=OR","EQY_CONSOLIDATED=Y","Sort=A","Dates=H","DateFormat=P","Fill=—","Direction=H","UseDPDF=Y")</f>
        <v>#NAME?</v>
      </c>
      <c r="CT221" s="2" t="e">
        <f ca="1">_xll.BDH($C$203,"CUR_RATIO","FQ3 2017","FQ3 2017","Currency=INR","Period=FQ","BEST_FPERIOD_OVERRIDE=FQ","FILING_STATUS=OR","EQY_CONSOLIDATED=Y","Sort=A","Dates=H","DateFormat=P","Fill=—","Direction=H","UseDPDF=Y")</f>
        <v>#NAME?</v>
      </c>
      <c r="CU221" s="2" t="e">
        <f ca="1">_xll.BDH($C$203,"QUICK_RATIO","FQ3 2017","FQ3 2017","Currency=INR","Period=FQ","BEST_FPERIOD_OVERRIDE=FQ","FILING_STATUS=OR","EQY_CONSOLIDATED=Y","Sort=A","Dates=H","DateFormat=P","Fill=—","Direction=H","UseDPDF=Y")</f>
        <v>#NAME?</v>
      </c>
      <c r="CV221" s="2" t="e">
        <f ca="1">_xll.BDH($C$203,"ALTMAN_Z_SCORE","FQ3 2017","FQ3 2017","Currency=INR","Period=FQ","BEST_FPERIOD_OVERRIDE=FQ","FILING_STATUS=OR","EQY_CONSOLIDATED=Y","Sort=A","Dates=H","DateFormat=P","Fill=—","Direction=H","UseDPDF=Y")</f>
        <v>#NAME?</v>
      </c>
      <c r="CW221" s="4" t="e">
        <f ca="1">_xll.BDH($C$203,"ACCT_RCV_TURN","FQ3 2017","FQ3 2017","Currency=INR","Period=FQ","BEST_FPERIOD_OVERRIDE=FQ","FILING_STATUS=OR","EQY_CONSOLIDATED=Y","FA_ADJUSTED=GAAP","Sort=A","Dates=H","DateFormat=P","Fill=—","Direction=H","UseDPDF=Y")</f>
        <v>#NAME?</v>
      </c>
      <c r="CX221" s="2" t="e">
        <f ca="1">_xll.BDH($C$203,"ACCT_RCV_DAYS","FQ3 2017","FQ3 2017","Currency=INR","Period=FQ","BEST_FPERIOD_OVERRIDE=FQ","FILING_STATUS=OR","EQY_CONSOLIDATED=Y","FA_ADJUSTED=GAAP","Sort=A","Dates=H","DateFormat=P","Fill=—","Direction=H","UseDPDF=Y")</f>
        <v>#NAME?</v>
      </c>
      <c r="CY221" s="4" t="e">
        <f ca="1">_xll.BDH($C$203,"INVENT_TURN","FQ3 2017","FQ3 2017","Currency=INR","Period=FQ","BEST_FPERIOD_OVERRIDE=FQ","FILING_STATUS=OR","EQY_CONSOLIDATED=Y","FA_ADJUSTED=GAAP","Sort=A","Dates=H","DateFormat=P","Fill=—","Direction=H","UseDPDF=Y")</f>
        <v>#NAME?</v>
      </c>
      <c r="CZ221" s="2" t="e">
        <f ca="1">_xll.BDH($C$203,"INVENT_DAYS","FQ3 2017","FQ3 2017","Currency=INR","Period=FQ","BEST_FPERIOD_OVERRIDE=FQ","FILING_STATUS=OR","EQY_CONSOLIDATED=Y","FA_ADJUSTED=GAAP","Sort=A","Dates=H","DateFormat=P","Fill=—","Direction=H","UseDPDF=Y")</f>
        <v>#NAME?</v>
      </c>
      <c r="DA221" s="4" t="e">
        <f ca="1">_xll.BDH($C$203,"ACCOUNTS_PAYABLE_TURNOVER","FQ3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221" s="2" t="e">
        <f ca="1">_xll.BDH($C$203,"ACCOUNTS_PAYABLE_TURNOVER_DAYS","FQ3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221" s="4" t="e">
        <f ca="1">_xll.BDH($C$203,"CASH_CONVERSION_CYCLE","FQ3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221" s="4" t="e">
        <f ca="1">_xll.BDH($C$203,"INV_TO_CASH_DAYS","FQ3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221" s="5" t="e">
        <f ca="1">_xll.BDH($C$203,"BS_INVENTORIES","FQ3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221" s="3" t="e">
        <f ca="1">_xll.BDH($C$203,"INVTRY_RAW_MATERIALS","FQ3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221" s="3" t="e">
        <f ca="1">_xll.BDH($C$203,"INVTRY_IN_PROGRESS","FQ3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221" s="3" t="e">
        <f ca="1">_xll.BDH($C$203,"INVTRY_FINISHED_GOODS","FQ3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221" s="3" t="e">
        <f ca="1">_xll.BDH($C$203,"BS_OTHER_INV","FQ3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222" spans="1:113" x14ac:dyDescent="0.3">
      <c r="A222" s="6"/>
      <c r="B222" s="6"/>
      <c r="C222" s="6"/>
      <c r="D222" s="6"/>
      <c r="E222" t="s">
        <v>81</v>
      </c>
      <c r="F222" t="e">
        <f ca="1">_xll.BDH($C$203,"RETURN_COM_EQY","FQ4 2017","FQ4 2017","Currency=INR","Period=FQ","BEST_FPERIOD_OVERRIDE=FQ","FILING_STATUS=OR","EQY_CONSOLIDATED=Y","FA_ADJUSTED=GAAP","Sort=A","Dates=H","DateFormat=P","Fill=—","Direction=H","UseDPDF=Y")</f>
        <v>#NAME?</v>
      </c>
      <c r="G222" t="e">
        <f ca="1">_xll.BDH($C$203,"RETURN_ON_ASSET","FQ4 2017","FQ4 2017","Currency=INR","Period=FQ","BEST_FPERIOD_OVERRIDE=FQ","FILING_STATUS=OR","EQY_CONSOLIDATED=Y","FA_ADJUSTED=GAAP","Sort=A","Dates=H","DateFormat=P","Fill=—","Direction=H","UseDPDF=Y")</f>
        <v>#NAME?</v>
      </c>
      <c r="H222" t="e">
        <f ca="1">_xll.BDH($C$203,"RETURN_ON_CAP","FQ4 2017","FQ4 2017","Currency=INR","Period=FQ","BEST_FPERIOD_OVERRIDE=FQ","FILING_STATUS=OR","EQY_CONSOLIDATED=Y","FA_ADJUSTED=GAAP","Sort=A","Dates=H","DateFormat=P","Fill=—","Direction=H","UseDPDF=Y")</f>
        <v>#NAME?</v>
      </c>
      <c r="I222" t="e">
        <f ca="1">_xll.BDH($C$203,"RETURN_ON_INV_CAPITAL","FQ4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222" t="e">
        <f ca="1">_xll.BDH($C$203,"EBITDA_TO_REVENUE","FQ4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222" t="e">
        <f ca="1">_xll.BDH($C$203,"OPER_MARGIN","FQ4 2017","FQ4 2017","Currency=INR","Period=FQ","BEST_FPERIOD_OVERRIDE=FQ","FILING_STATUS=OR","EQY_CONSOLIDATED=Y","FA_ADJUSTED=GAAP","Sort=A","Dates=H","DateFormat=P","Fill=—","Direction=H","UseDPDF=Y")</f>
        <v>#NAME?</v>
      </c>
      <c r="L222" t="e">
        <f ca="1">_xll.BDH($C$203,"INCREMENTAL_OPERATING_MARGIN","FQ4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222" t="e">
        <f ca="1">_xll.BDH($C$203,"PRETAX_INC_TO_NET_SALES","FQ4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222" t="e">
        <f ca="1">_xll.BDH($C$203,"INC_BEF_XO_ITEMS_TO_NET_SALES","FQ4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222" t="e">
        <f ca="1">_xll.BDH($C$203,"PROF_MARGIN","FQ4 2017","FQ4 2017","Currency=INR","Period=FQ","BEST_FPERIOD_OVERRIDE=FQ","FILING_STATUS=OR","EQY_CONSOLIDATED=Y","FA_ADJUSTED=GAAP","Sort=A","Dates=H","DateFormat=P","Fill=—","Direction=H","UseDPDF=Y")</f>
        <v>#NAME?</v>
      </c>
      <c r="P222" t="e">
        <f ca="1">_xll.BDH($C$203,"NET_INCOME_TO_COMMON_MARGIN","FQ4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222" t="e">
        <f ca="1">_xll.BDH($C$203,"EFF_TAX_RATE","FQ4 2017","FQ4 2017","Currency=INR","Period=FQ","BEST_FPERIOD_OVERRIDE=FQ","FILING_STATUS=OR","EQY_CONSOLIDATED=Y","FA_ADJUSTED=GAAP","Sort=A","Dates=H","DateFormat=P","Fill=—","Direction=H","UseDPDF=Y")</f>
        <v>#NAME?</v>
      </c>
      <c r="R222" t="e">
        <f ca="1">_xll.BDH($C$203,"DVD_PAYOUT_RATIO","FQ4 2017","FQ4 2017","Currency=INR","Period=FQ","BEST_FPERIOD_OVERRIDE=FQ","FILING_STATUS=OR","EQY_CONSOLIDATED=Y","FA_ADJUSTED=GAAP","Sort=A","Dates=H","DateFormat=P","Fill=—","Direction=H","UseDPDF=Y")</f>
        <v>#NAME?</v>
      </c>
      <c r="S222" t="e">
        <f ca="1">_xll.BDH($C$203,"SUSTAIN_GROWTH_RT","FQ4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222" s="2" t="e">
        <f ca="1">_xll.BDH($C$203,"SALES_GROWTH","FQ4 2017","FQ4 2017","Currency=INR","Period=FQ","BEST_FPERIOD_OVERRIDE=FQ","FILING_STATUS=OR","EQY_CONSOLIDATED=Y","FA_ADJUSTED=GAAP","Sort=A","Dates=H","DateFormat=P","Fill=—","Direction=H","UseDPDF=Y")</f>
        <v>#NAME?</v>
      </c>
      <c r="U222" s="2" t="e">
        <f ca="1">_xll.BDH($C$203,"EBITDA_GROWTH","FQ4 2017","FQ4 2017","Currency=INR","Period=FQ","BEST_FPERIOD_OVERRIDE=FQ","FILING_STATUS=OR","EQY_CONSOLIDATED=Y","FA_ADJUSTED=GAAP","Sort=A","Dates=H","DateFormat=P","Fill=—","Direction=H","UseDPDF=Y")</f>
        <v>#NAME?</v>
      </c>
      <c r="V222" s="2" t="e">
        <f ca="1">_xll.BDH($C$203,"OPER_INC_GROWTH","FQ4 2017","FQ4 2017","Currency=INR","Period=FQ","BEST_FPERIOD_OVERRIDE=FQ","FILING_STATUS=OR","EQY_CONSOLIDATED=Y","FA_ADJUSTED=GAAP","Sort=A","Dates=H","DateFormat=P","Fill=—","Direction=H","UseDPDF=Y")</f>
        <v>#NAME?</v>
      </c>
      <c r="W222" s="2" t="e">
        <f ca="1">_xll.BDH($C$203,"EARN_FOR_COM_GROWTH","FQ4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222" s="2" t="e">
        <f ca="1">_xll.BDH($C$203,"DILUTED_EPS_AFT_XO_ITEMS_GROWTH","FQ4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222" s="2" t="e">
        <f ca="1">_xll.BDH($C$203,"DIVIDEND_PER_SHARE_1_YEAR_GROWTH","FQ4 2017","FQ4 2017","Currency=INR","Period=FQ","BEST_FPERIOD_OVERRIDE=FQ","FILING_STATUS=OR","EQY_CONSOLIDATED=Y","Sort=A","Dates=H","DateFormat=P","Fill=—","Direction=H","UseDPDF=Y")</f>
        <v>#NAME?</v>
      </c>
      <c r="Z222" s="2" t="e">
        <f ca="1">_xll.BDH($C$203,"ACCOUNTS_RECEIVABLE_GROWTH","FQ4 2017","FQ4 2017","Currency=INR","Period=FQ","BEST_FPERIOD_OVERRIDE=FQ","FILING_STATUS=OR","EQY_CONSOLIDATED=Y","Sort=A","Dates=H","DateFormat=P","Fill=—","Direction=H","UseDPDF=Y")</f>
        <v>#NAME?</v>
      </c>
      <c r="AA222" s="2" t="e">
        <f ca="1">_xll.BDH($C$203,"INVENTORY_GROWTH","FQ4 2017","FQ4 2017","Currency=INR","Period=FQ","BEST_FPERIOD_OVERRIDE=FQ","FILING_STATUS=OR","EQY_CONSOLIDATED=Y","Sort=A","Dates=H","DateFormat=P","Fill=—","Direction=H","UseDPDF=Y")</f>
        <v>#NAME?</v>
      </c>
      <c r="AB222" s="2" t="e">
        <f ca="1">_xll.BDH($C$203,"NET_FIXED_ASSETS_1_YEAR_GROWTH","FQ4 2017","FQ4 2017","Currency=INR","Period=FQ","BEST_FPERIOD_OVERRIDE=FQ","FILING_STATUS=OR","EQY_CONSOLIDATED=Y","Sort=A","Dates=H","DateFormat=P","Fill=—","Direction=H","UseDPDF=Y")</f>
        <v>#NAME?</v>
      </c>
      <c r="AC222" s="2" t="e">
        <f ca="1">_xll.BDH($C$203,"ASSET_GROWTH","FQ4 2017","FQ4 2017","Currency=INR","Period=FQ","BEST_FPERIOD_OVERRIDE=FQ","FILING_STATUS=OR","EQY_CONSOLIDATED=Y","Sort=A","Dates=H","DateFormat=P","Fill=—","Direction=H","UseDPDF=Y")</f>
        <v>#NAME?</v>
      </c>
      <c r="AD222" s="2" t="e">
        <f ca="1">_xll.BDH($C$203,"MODIFIED_WORK_CAP_GROWTH","FQ4 2017","FQ4 2017","Currency=INR","Period=FQ","BEST_FPERIOD_OVERRIDE=FQ","FILING_STATUS=OR","EQY_CONSOLIDATED=Y","Sort=A","Dates=H","DateFormat=P","Fill=—","Direction=H","UseDPDF=Y")</f>
        <v>#NAME?</v>
      </c>
      <c r="AE222" s="2" t="e">
        <f ca="1">_xll.BDH($C$203,"WORK_CAP_GROWTH","FQ4 2017","FQ4 2017","Currency=INR","Period=FQ","BEST_FPERIOD_OVERRIDE=FQ","FILING_STATUS=OR","EQY_CONSOLIDATED=Y","Sort=A","Dates=H","DateFormat=P","Fill=—","Direction=H","UseDPDF=Y")</f>
        <v>#NAME?</v>
      </c>
      <c r="AF222" s="2" t="e">
        <f ca="1">_xll.BDH($C$203,"ACCOUNTS_PAYABLE_GROWTH_1YR","FQ4 2017","FQ4 2017","Currency=INR","Period=FQ","BEST_FPERIOD_OVERRIDE=FQ","FILING_STATUS=OR","EQY_CONSOLIDATED=Y","Sort=A","Dates=H","DateFormat=P","Fill=—","Direction=H","UseDPDF=Y")</f>
        <v>#NAME?</v>
      </c>
      <c r="AG222" s="2" t="e">
        <f ca="1">_xll.BDH($C$203,"SHORT_TERM_DEBT_1_YEAR_GROWTH","FQ4 2017","FQ4 2017","Currency=INR","Period=FQ","BEST_FPERIOD_OVERRIDE=FQ","FILING_STATUS=OR","EQY_CONSOLIDATED=Y","Sort=A","Dates=H","DateFormat=P","Fill=—","Direction=H","UseDPDF=Y")</f>
        <v>#NAME?</v>
      </c>
      <c r="AH222" s="2" t="e">
        <f ca="1">_xll.BDH($C$203,"TOTAL_DEBT_1_YEAR_GROWTH","FQ4 2017","FQ4 2017","Currency=INR","Period=FQ","BEST_FPERIOD_OVERRIDE=FQ","FILING_STATUS=OR","EQY_CONSOLIDATED=Y","Sort=A","Dates=H","DateFormat=P","Fill=—","Direction=H","UseDPDF=Y")</f>
        <v>#NAME?</v>
      </c>
      <c r="AI222" s="2" t="e">
        <f ca="1">_xll.BDH($C$203,"TOTAL_EQUITY_1_YEAR_GROWTH","FQ4 2017","FQ4 2017","Currency=INR","Period=FQ","BEST_FPERIOD_OVERRIDE=FQ","FILING_STATUS=OR","EQY_CONSOLIDATED=Y","Sort=A","Dates=H","DateFormat=P","Fill=—","Direction=H","UseDPDF=Y")</f>
        <v>#NAME?</v>
      </c>
      <c r="AJ222" s="2" t="e">
        <f ca="1">_xll.BDH($C$203,"GROWTH_IN_CAP","FQ4 2017","FQ4 2017","Currency=INR","Period=FQ","BEST_FPERIOD_OVERRIDE=FQ","FILING_STATUS=OR","EQY_CONSOLIDATED=Y","Sort=A","Dates=H","DateFormat=P","Fill=—","Direction=H","UseDPDF=Y")</f>
        <v>#NAME?</v>
      </c>
      <c r="AK222" s="2" t="e">
        <f ca="1">_xll.BDH($C$203,"BVPS_GROWTH","FQ4 2017","FQ4 2017","Currency=INR","Period=FQ","BEST_FPERIOD_OVERRIDE=FQ","FILING_STATUS=OR","EQY_CONSOLIDATED=Y","Sort=A","Dates=H","DateFormat=P","Fill=—","Direction=H","UseDPDF=Y")</f>
        <v>#NAME?</v>
      </c>
      <c r="AL222" s="2" t="e">
        <f ca="1">_xll.BDH($C$203,"CASH_FLOW_GROWTH","FQ4 2017","FQ4 2017","Currency=INR","Period=FQ","BEST_FPERIOD_OVERRIDE=FQ","FILING_STATUS=OR","EQY_CONSOLIDATED=Y","Sort=A","Dates=H","DateFormat=P","Fill=—","Direction=H","UseDPDF=Y")</f>
        <v>#NAME?</v>
      </c>
      <c r="AM222" s="2" t="e">
        <f ca="1">_xll.BDH($C$203,"GEO_GROW_NET_SALES","FQ4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222" s="2" t="e">
        <f ca="1">_xll.BDH($C$203,"GEO_GROW_EBITDA","FQ4 2017","FQ4 2017","Currency=INR","Period=FQ","BEST_FPERIOD_OVERRIDE=FQ","FILING_STATUS=OR","EQY_CONSOLIDATED=Y","FA_ADJUSTED=GAAP","Sort=A","Dates=H","DateFormat=P","Fill=—","Direction=H","UseDPDF=Y")</f>
        <v>#NAME?</v>
      </c>
      <c r="AO222" s="2" t="e">
        <f ca="1">_xll.BDH($C$203,"GEO_GROW_OPER_INC","FQ4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222" s="2" t="e">
        <f ca="1">_xll.BDH($C$203,"NET_INCOME_TO_COMMON_5_YR_GROWTH","FQ4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222" s="2" t="e">
        <f ca="1">_xll.BDH($C$203,"5Y_GEO_GROWTH_DILUTED_EPS","FQ4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222" s="2" t="e">
        <f ca="1">_xll.BDH($C$203,"GEO_GROW_DVD_PER_SH","FQ4 2017","FQ4 2017","Currency=INR","Period=FQ","BEST_FPERIOD_OVERRIDE=FQ","FILING_STATUS=OR","EQY_CONSOLIDATED=Y","Sort=A","Dates=H","DateFormat=P","Fill=—","Direction=H","UseDPDF=Y")</f>
        <v>#NAME?</v>
      </c>
      <c r="AS222" s="2" t="e">
        <f ca="1">_xll.BDH($C$203,"ACCOUNTS_RECEIVABLE_5_YR_GROWTH","FQ4 2017","FQ4 2017","Currency=INR","Period=FQ","BEST_FPERIOD_OVERRIDE=FQ","FILING_STATUS=OR","EQY_CONSOLIDATED=Y","Sort=A","Dates=H","DateFormat=P","Fill=—","Direction=H","UseDPDF=Y")</f>
        <v>#NAME?</v>
      </c>
      <c r="AT222" s="2" t="e">
        <f ca="1">_xll.BDH($C$203,"INVENTORY_5_YEAR_GROWTH","FQ4 2017","FQ4 2017","Currency=INR","Period=FQ","BEST_FPERIOD_OVERRIDE=FQ","FILING_STATUS=OR","EQY_CONSOLIDATED=Y","Sort=A","Dates=H","DateFormat=P","Fill=—","Direction=H","UseDPDF=Y")</f>
        <v>#NAME?</v>
      </c>
      <c r="AU222" s="2" t="e">
        <f ca="1">_xll.BDH($C$203,"NET_FIXED_ASSETS_5_YEAR_GROWTH","FQ4 2017","FQ4 2017","Currency=INR","Period=FQ","BEST_FPERIOD_OVERRIDE=FQ","FILING_STATUS=OR","EQY_CONSOLIDATED=Y","Sort=A","Dates=H","DateFormat=P","Fill=—","Direction=H","UseDPDF=Y")</f>
        <v>#NAME?</v>
      </c>
      <c r="AV222" s="2" t="e">
        <f ca="1">_xll.BDH($C$203,"GEO_GROW_TOT_ASSET","FQ4 2017","FQ4 2017","Currency=INR","Period=FQ","BEST_FPERIOD_OVERRIDE=FQ","FILING_STATUS=OR","EQY_CONSOLIDATED=Y","Sort=A","Dates=H","DateFormat=P","Fill=—","Direction=H","UseDPDF=Y")</f>
        <v>#NAME?</v>
      </c>
      <c r="AW222" s="2" t="e">
        <f ca="1">_xll.BDH($C$203,"MODIFIED_WORKING_CPTL_5YR_GRWTH","FQ4 2017","FQ4 2017","Currency=INR","Period=FQ","BEST_FPERIOD_OVERRIDE=FQ","FILING_STATUS=OR","EQY_CONSOLIDATED=Y","Sort=A","Dates=H","DateFormat=P","Fill=—","Direction=H","UseDPDF=Y")</f>
        <v>#NAME?</v>
      </c>
      <c r="AX222" s="2" t="e">
        <f ca="1">_xll.BDH($C$203,"WORKING_CAPITAL_5_YEAR_GROWTH","FQ4 2017","FQ4 2017","Currency=INR","Period=FQ","BEST_FPERIOD_OVERRIDE=FQ","FILING_STATUS=OR","EQY_CONSOLIDATED=Y","Sort=A","Dates=H","DateFormat=P","Fill=—","Direction=H","UseDPDF=Y")</f>
        <v>#NAME?</v>
      </c>
      <c r="AY222" s="2" t="e">
        <f ca="1">_xll.BDH($C$203,"ACCOUNTS_PAYABLE_5_YEAR_GROWTH","FQ4 2017","FQ4 2017","Currency=INR","Period=FQ","BEST_FPERIOD_OVERRIDE=FQ","FILING_STATUS=OR","EQY_CONSOLIDATED=Y","Sort=A","Dates=H","DateFormat=P","Fill=—","Direction=H","UseDPDF=Y")</f>
        <v>#NAME?</v>
      </c>
      <c r="AZ222" s="2" t="e">
        <f ca="1">_xll.BDH($C$203,"SHORT_TERM_DEBT_5_YEAR_GROWTH","FQ4 2017","FQ4 2017","Currency=INR","Period=FQ","BEST_FPERIOD_OVERRIDE=FQ","FILING_STATUS=OR","EQY_CONSOLIDATED=Y","Sort=A","Dates=H","DateFormat=P","Fill=—","Direction=H","UseDPDF=Y")</f>
        <v>#NAME?</v>
      </c>
      <c r="BA222" s="2" t="e">
        <f ca="1">_xll.BDH($C$203,"TOTAL_DEBT_5_YEAR_GROWTH","FQ4 2017","FQ4 2017","Currency=INR","Period=FQ","BEST_FPERIOD_OVERRIDE=FQ","FILING_STATUS=OR","EQY_CONSOLIDATED=Y","Sort=A","Dates=H","DateFormat=P","Fill=—","Direction=H","UseDPDF=Y")</f>
        <v>#NAME?</v>
      </c>
      <c r="BB222" s="2" t="e">
        <f ca="1">_xll.BDH($C$203,"GEO_GROW_TOT_SHRHLDR_EQY","FQ4 2017","FQ4 2017","Currency=INR","Period=FQ","BEST_FPERIOD_OVERRIDE=FQ","FILING_STATUS=OR","EQY_CONSOLIDATED=Y","Sort=A","Dates=H","DateFormat=P","Fill=—","Direction=H","UseDPDF=Y")</f>
        <v>#NAME?</v>
      </c>
      <c r="BC222" s="2" t="e">
        <f ca="1">_xll.BDH($C$203,"TOTAL_CAPITAL_5_YEAR_GROWTH","FQ4 2017","FQ4 2017","Currency=INR","Period=FQ","BEST_FPERIOD_OVERRIDE=FQ","FILING_STATUS=OR","EQY_CONSOLIDATED=Y","Sort=A","Dates=H","DateFormat=P","Fill=—","Direction=H","UseDPDF=Y")</f>
        <v>#NAME?</v>
      </c>
      <c r="BD222" s="2" t="e">
        <f ca="1">_xll.BDH($C$203,"GEO_GROW_BOOK_VAL","FQ4 2017","FQ4 2017","Currency=INR","Period=FQ","BEST_FPERIOD_OVERRIDE=FQ","FILING_STATUS=OR","EQY_CONSOLIDATED=Y","Sort=A","Dates=H","DateFormat=P","Fill=—","Direction=H","UseDPDF=Y")</f>
        <v>#NAME?</v>
      </c>
      <c r="BE222" s="2" t="e">
        <f ca="1">_xll.BDH($C$203,"GEO_GROW_CASH_OPER_ACT","FQ4 2017","FQ4 2017","Currency=INR","Period=FQ","BEST_FPERIOD_OVERRIDE=FQ","FILING_STATUS=OR","EQY_CONSOLIDATED=Y","Sort=A","Dates=H","DateFormat=P","Fill=—","Direction=H","UseDPDF=Y")</f>
        <v>#NAME?</v>
      </c>
      <c r="BF222" s="2" t="e">
        <f ca="1">_xll.BDH($C$203,"REVENUE_SEQUENTIAL_GROWTH","FQ4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222" s="2" t="e">
        <f ca="1">_xll.BDH($C$203,"EBITDA_SEQUENTIAL_GROWTH","FQ4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222" s="2" t="e">
        <f ca="1">_xll.BDH($C$203,"OPERATING_INCOME_SEQ_GROWTH","FQ4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222" s="2" t="e">
        <f ca="1">_xll.BDH($C$203,"NET_INCOME_TO_COMMON_SEQ_GROWTH","FQ4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222" s="2" t="e">
        <f ca="1">_xll.BDH($C$203,"EPS_DILUTED_SEQUENTIAL_GROWTH","FQ4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222" s="2" t="e">
        <f ca="1">_xll.BDH($C$203,"DPS_SEQUENTIAL_GROWTH","FQ4 2017","FQ4 2017","Currency=INR","Period=FQ","BEST_FPERIOD_OVERRIDE=FQ","FILING_STATUS=OR","EQY_CONSOLIDATED=Y","Sort=A","Dates=H","DateFormat=P","Fill=—","Direction=H","UseDPDF=Y")</f>
        <v>#NAME?</v>
      </c>
      <c r="BL222" s="2" t="e">
        <f ca="1">_xll.BDH($C$203,"ACCOUNTS_RECEIVABLE_SEQ_GROWTH","FQ4 2017","FQ4 2017","Currency=INR","Period=FQ","BEST_FPERIOD_OVERRIDE=FQ","FILING_STATUS=OR","EQY_CONSOLIDATED=Y","Sort=A","Dates=H","DateFormat=P","Fill=—","Direction=H","UseDPDF=Y")</f>
        <v>#NAME?</v>
      </c>
      <c r="BM222" s="2" t="e">
        <f ca="1">_xll.BDH($C$203,"INVENTORY_SEQUENTIAL_GROWTH","FQ4 2017","FQ4 2017","Currency=INR","Period=FQ","BEST_FPERIOD_OVERRIDE=FQ","FILING_STATUS=OR","EQY_CONSOLIDATED=Y","Sort=A","Dates=H","DateFormat=P","Fill=—","Direction=H","UseDPDF=Y")</f>
        <v>#NAME?</v>
      </c>
      <c r="BN222" s="2" t="e">
        <f ca="1">_xll.BDH($C$203,"FIXED_ASSETS_SEQUENTIAL_GROWTH","FQ4 2017","FQ4 2017","Currency=INR","Period=FQ","BEST_FPERIOD_OVERRIDE=FQ","FILING_STATUS=OR","EQY_CONSOLIDATED=Y","Sort=A","Dates=H","DateFormat=P","Fill=—","Direction=H","UseDPDF=Y")</f>
        <v>#NAME?</v>
      </c>
      <c r="BO222" s="2" t="e">
        <f ca="1">_xll.BDH($C$203,"TOTAL_ASSETS_SEQUENTIAL_GROWTH","FQ4 2017","FQ4 2017","Currency=INR","Period=FQ","BEST_FPERIOD_OVERRIDE=FQ","FILING_STATUS=OR","EQY_CONSOLIDATED=Y","Sort=A","Dates=H","DateFormat=P","Fill=—","Direction=H","UseDPDF=Y")</f>
        <v>#NAME?</v>
      </c>
      <c r="BP222" s="2" t="e">
        <f ca="1">_xll.BDH($C$203,"MODIFIED_WORKING_CPTL_SEQ_GRWTH","FQ4 2017","FQ4 2017","Currency=INR","Period=FQ","BEST_FPERIOD_OVERRIDE=FQ","FILING_STATUS=OR","EQY_CONSOLIDATED=Y","Sort=A","Dates=H","DateFormat=P","Fill=—","Direction=H","UseDPDF=Y")</f>
        <v>#NAME?</v>
      </c>
      <c r="BQ222" s="2" t="e">
        <f ca="1">_xll.BDH($C$203,"WORKING_CAPITAL_SEQ_GROWTH","FQ4 2017","FQ4 2017","Currency=INR","Period=FQ","BEST_FPERIOD_OVERRIDE=FQ","FILING_STATUS=OR","EQY_CONSOLIDATED=Y","Sort=A","Dates=H","DateFormat=P","Fill=—","Direction=H","UseDPDF=Y")</f>
        <v>#NAME?</v>
      </c>
      <c r="BR222" s="2" t="e">
        <f ca="1">_xll.BDH($C$203,"ACCOUNTS_PAYABLE_SEQ_GROWTH","FQ4 2017","FQ4 2017","Currency=INR","Period=FQ","BEST_FPERIOD_OVERRIDE=FQ","FILING_STATUS=OR","EQY_CONSOLIDATED=Y","Sort=A","Dates=H","DateFormat=P","Fill=—","Direction=H","UseDPDF=Y")</f>
        <v>#NAME?</v>
      </c>
      <c r="BS222" s="2" t="e">
        <f ca="1">_xll.BDH($C$203,"ST_DEBT_SEQUENTIAL_GROWTH","FQ4 2017","FQ4 2017","Currency=INR","Period=FQ","BEST_FPERIOD_OVERRIDE=FQ","FILING_STATUS=OR","EQY_CONSOLIDATED=Y","Sort=A","Dates=H","DateFormat=P","Fill=—","Direction=H","UseDPDF=Y")</f>
        <v>#NAME?</v>
      </c>
      <c r="BT222" s="2" t="e">
        <f ca="1">_xll.BDH($C$203,"TOTAL_DEBT_SEQUENTIAL_GROWTH","FQ4 2017","FQ4 2017","Currency=INR","Period=FQ","BEST_FPERIOD_OVERRIDE=FQ","FILING_STATUS=OR","EQY_CONSOLIDATED=Y","Sort=A","Dates=H","DateFormat=P","Fill=—","Direction=H","UseDPDF=Y")</f>
        <v>#NAME?</v>
      </c>
      <c r="BU222" s="2" t="e">
        <f ca="1">_xll.BDH($C$203,"TOTAL_EQUITY_SEQUENTIAL_GROWTH","FQ4 2017","FQ4 2017","Currency=INR","Period=FQ","BEST_FPERIOD_OVERRIDE=FQ","FILING_STATUS=OR","EQY_CONSOLIDATED=Y","Sort=A","Dates=H","DateFormat=P","Fill=—","Direction=H","UseDPDF=Y")</f>
        <v>#NAME?</v>
      </c>
      <c r="BV222" s="2" t="e">
        <f ca="1">_xll.BDH($C$203,"TOTAL_CAPITAL_SEQUENTIAL_GROWTH","FQ4 2017","FQ4 2017","Currency=INR","Period=FQ","BEST_FPERIOD_OVERRIDE=FQ","FILING_STATUS=OR","EQY_CONSOLIDATED=Y","Sort=A","Dates=H","DateFormat=P","Fill=—","Direction=H","UseDPDF=Y")</f>
        <v>#NAME?</v>
      </c>
      <c r="BW222" s="2" t="e">
        <f ca="1">_xll.BDH($C$203,"BPS_SEQUENTIAL_GROWTH","FQ4 2017","FQ4 2017","Currency=INR","Period=FQ","BEST_FPERIOD_OVERRIDE=FQ","FILING_STATUS=OR","EQY_CONSOLIDATED=Y","Sort=A","Dates=H","DateFormat=P","Fill=—","Direction=H","UseDPDF=Y")</f>
        <v>#NAME?</v>
      </c>
      <c r="BX222" s="2" t="e">
        <f ca="1">_xll.BDH($C$203,"CFO_SEQUENTIAL_GROWTH","FQ4 2017","FQ4 2017","Currency=INR","Period=FQ","BEST_FPERIOD_OVERRIDE=FQ","FILING_STATUS=OR","EQY_CONSOLIDATED=Y","Sort=A","Dates=H","DateFormat=P","Fill=—","Direction=H","UseDPDF=Y")</f>
        <v>#NAME?</v>
      </c>
      <c r="BY222" s="3" t="e">
        <f ca="1">_xll.BDH($C$203,"SHORT_AND_LONG_TERM_DEBT","FQ4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222" s="3" t="e">
        <f ca="1">_xll.BDH($C$203,"BS_ST_BORROW","FQ4 2017","FQ4 2017","Currency=INR","Period=FQ","BEST_FPERIOD_OVERRIDE=FQ","FILING_STATUS=OR","EQY_CONSOLIDATED=Y","SCALING_FORMAT=MLN","Sort=A","Dates=H","DateFormat=P","Fill=—","Direction=H","UseDPDF=Y")</f>
        <v>#NAME?</v>
      </c>
      <c r="CA222" s="3" t="e">
        <f ca="1">_xll.BDH($C$203,"BS_LT_BORROW","FQ4 2017","FQ4 2017","Currency=INR","Period=FQ","BEST_FPERIOD_OVERRIDE=FQ","FILING_STATUS=OR","EQY_CONSOLIDATED=Y","SCALING_FORMAT=MLN","Sort=A","Dates=H","DateFormat=P","Fill=—","Direction=H","UseDPDF=Y")</f>
        <v>#NAME?</v>
      </c>
      <c r="CB222" s="2" t="e">
        <f ca="1">_xll.BDH($C$203,"TOT_DEBT_TO_EBITDA","FQ4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222" s="2" t="e">
        <f ca="1">_xll.BDH($C$203,"NET_DEBT_TO_EBITDA","FQ4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222" s="2" t="e">
        <f ca="1">_xll.BDH($C$203,"TOTAL_DEBT_TO_EBIT","FQ4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222" s="2" t="e">
        <f ca="1">_xll.BDH($C$203,"NET_DEBT_TO_EBIT","FQ4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222" s="2" t="e">
        <f ca="1">_xll.BDH($C$203,"EBITDA_TO_INTEREST_EXPN","FQ4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222" s="2" t="e">
        <f ca="1">_xll.BDH($C$203,"COM_EQY_TO_TOT_ASSET","FQ4 2017","FQ4 2017","Currency=INR","Period=FQ","BEST_FPERIOD_OVERRIDE=FQ","FILING_STATUS=OR","EQY_CONSOLIDATED=Y","Sort=A","Dates=H","DateFormat=P","Fill=—","Direction=H","UseDPDF=Y")</f>
        <v>#NAME?</v>
      </c>
      <c r="CH222" s="2" t="e">
        <f ca="1">_xll.BDH($C$203,"LT_DEBT_TO_TOT_EQY","FQ4 2017","FQ4 2017","Currency=INR","Period=FQ","BEST_FPERIOD_OVERRIDE=FQ","FILING_STATUS=OR","EQY_CONSOLIDATED=Y","Sort=A","Dates=H","DateFormat=P","Fill=—","Direction=H","UseDPDF=Y")</f>
        <v>#NAME?</v>
      </c>
      <c r="CI222" s="2" t="e">
        <f ca="1">_xll.BDH($C$203,"LT_DEBT_TO_TOT_CAP","FQ4 2017","FQ4 2017","Currency=INR","Period=FQ","BEST_FPERIOD_OVERRIDE=FQ","FILING_STATUS=OR","EQY_CONSOLIDATED=Y","Sort=A","Dates=H","DateFormat=P","Fill=—","Direction=H","UseDPDF=Y")</f>
        <v>#NAME?</v>
      </c>
      <c r="CJ222" s="2" t="e">
        <f ca="1">_xll.BDH($C$203,"LT_DEBT_TO_TOT_ASSET","FQ4 2017","FQ4 2017","Currency=INR","Period=FQ","BEST_FPERIOD_OVERRIDE=FQ","FILING_STATUS=OR","EQY_CONSOLIDATED=Y","Sort=A","Dates=H","DateFormat=P","Fill=—","Direction=H","UseDPDF=Y")</f>
        <v>#NAME?</v>
      </c>
      <c r="CK222" s="2" t="e">
        <f ca="1">_xll.BDH($C$203,"TOT_DEBT_TO_TOT_EQY","FQ4 2017","FQ4 2017","Currency=INR","Period=FQ","BEST_FPERIOD_OVERRIDE=FQ","FILING_STATUS=OR","EQY_CONSOLIDATED=Y","Sort=A","Dates=H","DateFormat=P","Fill=—","Direction=H","UseDPDF=Y")</f>
        <v>#NAME?</v>
      </c>
      <c r="CL222" s="2" t="e">
        <f ca="1">_xll.BDH($C$203,"TOT_DEBT_TO_TOT_CAP","FQ4 2017","FQ4 2017","Currency=INR","Period=FQ","BEST_FPERIOD_OVERRIDE=FQ","FILING_STATUS=OR","EQY_CONSOLIDATED=Y","Sort=A","Dates=H","DateFormat=P","Fill=—","Direction=H","UseDPDF=Y")</f>
        <v>#NAME?</v>
      </c>
      <c r="CM222" s="2" t="e">
        <f ca="1">_xll.BDH($C$203,"TOT_DEBT_TO_TOT_ASSET","FQ4 2017","FQ4 2017","Currency=INR","Period=FQ","BEST_FPERIOD_OVERRIDE=FQ","FILING_STATUS=OR","EQY_CONSOLIDATED=Y","Sort=A","Dates=H","DateFormat=P","Fill=—","Direction=H","UseDPDF=Y")</f>
        <v>#NAME?</v>
      </c>
      <c r="CN222" s="2" t="e">
        <f ca="1">_xll.BDH($C$203,"NET_DEBT_TO_SHRHLDR_EQTY","FQ4 2017","FQ4 2017","Currency=INR","Period=FQ","BEST_FPERIOD_OVERRIDE=FQ","FILING_STATUS=OR","EQY_CONSOLIDATED=Y","Sort=A","Dates=H","DateFormat=P","Fill=—","Direction=H","UseDPDF=Y")</f>
        <v>#NAME?</v>
      </c>
      <c r="CO222" s="2" t="e">
        <f ca="1">_xll.BDH($C$203,"NET_DEBT_%_CAPITAL","FQ4 2017","FQ4 2017","Currency=INR","Period=FQ","BEST_FPERIOD_OVERRIDE=FQ","FILING_STATUS=OR","EQY_CONSOLIDATED=Y","Sort=A","Dates=H","DateFormat=P","Fill=—","Direction=H","UseDPDF=Y")</f>
        <v>#NAME?</v>
      </c>
      <c r="CP222" s="3" t="e">
        <f ca="1">_xll.BDH($C$203,"EBITDA","FQ4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222" s="3" t="e">
        <f ca="1">_xll.BDH($C$203,"EBITDA_AFTER_CAPEX","FQ4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222" s="3" t="e">
        <f ca="1">_xll.BDH($C$203,"IS_OPER_INC","FQ4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222" s="2" t="e">
        <f ca="1">_xll.BDH($C$203,"CASH_RATIO","FQ4 2017","FQ4 2017","Currency=INR","Period=FQ","BEST_FPERIOD_OVERRIDE=FQ","FILING_STATUS=OR","EQY_CONSOLIDATED=Y","Sort=A","Dates=H","DateFormat=P","Fill=—","Direction=H","UseDPDF=Y")</f>
        <v>#NAME?</v>
      </c>
      <c r="CT222" s="2" t="e">
        <f ca="1">_xll.BDH($C$203,"CUR_RATIO","FQ4 2017","FQ4 2017","Currency=INR","Period=FQ","BEST_FPERIOD_OVERRIDE=FQ","FILING_STATUS=OR","EQY_CONSOLIDATED=Y","Sort=A","Dates=H","DateFormat=P","Fill=—","Direction=H","UseDPDF=Y")</f>
        <v>#NAME?</v>
      </c>
      <c r="CU222" s="2" t="e">
        <f ca="1">_xll.BDH($C$203,"QUICK_RATIO","FQ4 2017","FQ4 2017","Currency=INR","Period=FQ","BEST_FPERIOD_OVERRIDE=FQ","FILING_STATUS=OR","EQY_CONSOLIDATED=Y","Sort=A","Dates=H","DateFormat=P","Fill=—","Direction=H","UseDPDF=Y")</f>
        <v>#NAME?</v>
      </c>
      <c r="CV222" s="2" t="e">
        <f ca="1">_xll.BDH($C$203,"ALTMAN_Z_SCORE","FQ4 2017","FQ4 2017","Currency=INR","Period=FQ","BEST_FPERIOD_OVERRIDE=FQ","FILING_STATUS=OR","EQY_CONSOLIDATED=Y","Sort=A","Dates=H","DateFormat=P","Fill=—","Direction=H","UseDPDF=Y")</f>
        <v>#NAME?</v>
      </c>
      <c r="CW222" s="4" t="e">
        <f ca="1">_xll.BDH($C$203,"ACCT_RCV_TURN","FQ4 2017","FQ4 2017","Currency=INR","Period=FQ","BEST_FPERIOD_OVERRIDE=FQ","FILING_STATUS=OR","EQY_CONSOLIDATED=Y","FA_ADJUSTED=GAAP","Sort=A","Dates=H","DateFormat=P","Fill=—","Direction=H","UseDPDF=Y")</f>
        <v>#NAME?</v>
      </c>
      <c r="CX222" s="2" t="e">
        <f ca="1">_xll.BDH($C$203,"ACCT_RCV_DAYS","FQ4 2017","FQ4 2017","Currency=INR","Period=FQ","BEST_FPERIOD_OVERRIDE=FQ","FILING_STATUS=OR","EQY_CONSOLIDATED=Y","FA_ADJUSTED=GAAP","Sort=A","Dates=H","DateFormat=P","Fill=—","Direction=H","UseDPDF=Y")</f>
        <v>#NAME?</v>
      </c>
      <c r="CY222" s="4" t="e">
        <f ca="1">_xll.BDH($C$203,"INVENT_TURN","FQ4 2017","FQ4 2017","Currency=INR","Period=FQ","BEST_FPERIOD_OVERRIDE=FQ","FILING_STATUS=OR","EQY_CONSOLIDATED=Y","FA_ADJUSTED=GAAP","Sort=A","Dates=H","DateFormat=P","Fill=—","Direction=H","UseDPDF=Y")</f>
        <v>#NAME?</v>
      </c>
      <c r="CZ222" s="2" t="e">
        <f ca="1">_xll.BDH($C$203,"INVENT_DAYS","FQ4 2017","FQ4 2017","Currency=INR","Period=FQ","BEST_FPERIOD_OVERRIDE=FQ","FILING_STATUS=OR","EQY_CONSOLIDATED=Y","FA_ADJUSTED=GAAP","Sort=A","Dates=H","DateFormat=P","Fill=—","Direction=H","UseDPDF=Y")</f>
        <v>#NAME?</v>
      </c>
      <c r="DA222" s="4" t="e">
        <f ca="1">_xll.BDH($C$203,"ACCOUNTS_PAYABLE_TURNOVER","FQ4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222" s="2" t="e">
        <f ca="1">_xll.BDH($C$203,"ACCOUNTS_PAYABLE_TURNOVER_DAYS","FQ4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222" s="4" t="e">
        <f ca="1">_xll.BDH($C$203,"CASH_CONVERSION_CYCLE","FQ4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222" s="4" t="e">
        <f ca="1">_xll.BDH($C$203,"INV_TO_CASH_DAYS","FQ4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222" s="5" t="e">
        <f ca="1">_xll.BDH($C$203,"BS_INVENTORIES","FQ4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222" s="3" t="e">
        <f ca="1">_xll.BDH($C$203,"INVTRY_RAW_MATERIALS","FQ4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222" s="3" t="e">
        <f ca="1">_xll.BDH($C$203,"INVTRY_IN_PROGRESS","FQ4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222" s="3" t="e">
        <f ca="1">_xll.BDH($C$203,"INVTRY_FINISHED_GOODS","FQ4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222" s="3" t="e">
        <f ca="1">_xll.BDH($C$203,"BS_OTHER_INV","FQ4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223" spans="1:113" x14ac:dyDescent="0.3">
      <c r="A223" s="6"/>
      <c r="B223" s="6"/>
      <c r="C223" s="6"/>
      <c r="D223" s="6" t="s">
        <v>85</v>
      </c>
      <c r="E223" t="s">
        <v>77</v>
      </c>
      <c r="F223" t="e">
        <f ca="1">_xll.BDH($C$203,"RETURN_COM_EQY","FY 2018","FY 2018","Currency=INR","Period=FY","BEST_FPERIOD_OVERRIDE=FY","FILING_STATUS=OR","EQY_CONSOLIDATED=Y","FA_ADJUSTED=GAAP","Sort=A","Dates=H","DateFormat=P","Fill=—","Direction=H","UseDPDF=Y")</f>
        <v>#NAME?</v>
      </c>
      <c r="G223" t="e">
        <f ca="1">_xll.BDH($C$203,"RETURN_ON_ASSET","FY 2018","FY 2018","Currency=INR","Period=FY","BEST_FPERIOD_OVERRIDE=FY","FILING_STATUS=OR","EQY_CONSOLIDATED=Y","FA_ADJUSTED=GAAP","Sort=A","Dates=H","DateFormat=P","Fill=—","Direction=H","UseDPDF=Y")</f>
        <v>#NAME?</v>
      </c>
      <c r="H223" t="e">
        <f ca="1">_xll.BDH($C$203,"RETURN_ON_CAP","FY 2018","FY 2018","Currency=INR","Period=FY","BEST_FPERIOD_OVERRIDE=FY","FILING_STATUS=OR","EQY_CONSOLIDATED=Y","FA_ADJUSTED=GAAP","Sort=A","Dates=H","DateFormat=P","Fill=—","Direction=H","UseDPDF=Y")</f>
        <v>#NAME?</v>
      </c>
      <c r="I223" t="e">
        <f ca="1">_xll.BDH($C$203,"RETURN_ON_INV_CAPITAL","FY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223" t="e">
        <f ca="1">_xll.BDH($C$203,"EBITDA_TO_REVENUE","FY 2018","FY 2018","Currency=INR","Period=FY","BEST_FPERIOD_OVERRIDE=FY","FILING_STATUS=OR","EQY_CONSOLIDATED=Y","FA_ADJUSTED=GAAP","Sort=A","Dates=H","DateFormat=P","Fill=—","Direction=H","UseDPDF=Y")</f>
        <v>#NAME?</v>
      </c>
      <c r="K223" t="e">
        <f ca="1">_xll.BDH($C$203,"OPER_MARGIN","FY 2018","FY 2018","Currency=INR","Period=FY","BEST_FPERIOD_OVERRIDE=FY","FILING_STATUS=OR","EQY_CONSOLIDATED=Y","FA_ADJUSTED=GAAP","Sort=A","Dates=H","DateFormat=P","Fill=—","Direction=H","UseDPDF=Y")</f>
        <v>#NAME?</v>
      </c>
      <c r="L223" t="e">
        <f ca="1">_xll.BDH($C$203,"INCREMENTAL_OPERATING_MARGIN","FY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223" t="e">
        <f ca="1">_xll.BDH($C$203,"PRETAX_INC_TO_NET_SALES","FY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223" t="e">
        <f ca="1">_xll.BDH($C$203,"INC_BEF_XO_ITEMS_TO_NET_SALES","FY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223" t="e">
        <f ca="1">_xll.BDH($C$203,"PROF_MARGIN","FY 2018","FY 2018","Currency=INR","Period=FY","BEST_FPERIOD_OVERRIDE=FY","FILING_STATUS=OR","EQY_CONSOLIDATED=Y","FA_ADJUSTED=GAAP","Sort=A","Dates=H","DateFormat=P","Fill=—","Direction=H","UseDPDF=Y")</f>
        <v>#NAME?</v>
      </c>
      <c r="P223" t="e">
        <f ca="1">_xll.BDH($C$203,"NET_INCOME_TO_COMMON_MARGIN","FY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223" t="e">
        <f ca="1">_xll.BDH($C$203,"EFF_TAX_RATE","FY 2018","FY 2018","Currency=INR","Period=FY","BEST_FPERIOD_OVERRIDE=FY","FILING_STATUS=OR","EQY_CONSOLIDATED=Y","FA_ADJUSTED=GAAP","Sort=A","Dates=H","DateFormat=P","Fill=—","Direction=H","UseDPDF=Y")</f>
        <v>#NAME?</v>
      </c>
      <c r="R223" t="e">
        <f ca="1">_xll.BDH($C$203,"DVD_PAYOUT_RATIO","FY 2018","FY 2018","Currency=INR","Period=FY","BEST_FPERIOD_OVERRIDE=FY","FILING_STATUS=OR","EQY_CONSOLIDATED=Y","FA_ADJUSTED=GAAP","Sort=A","Dates=H","DateFormat=P","Fill=—","Direction=H","UseDPDF=Y")</f>
        <v>#NAME?</v>
      </c>
      <c r="S223" t="e">
        <f ca="1">_xll.BDH($C$203,"SUSTAIN_GROWTH_RT","FY 2018","FY 2018","Currency=INR","Period=FY","BEST_FPERIOD_OVERRIDE=FY","FILING_STATUS=OR","EQY_CONSOLIDATED=Y","FA_ADJUSTED=GAAP","Sort=A","Dates=H","DateFormat=P","Fill=—","Direction=H","UseDPDF=Y")</f>
        <v>#NAME?</v>
      </c>
      <c r="T223" s="2" t="e">
        <f ca="1">_xll.BDH($C$203,"SALES_GROWTH","FY 2018","FY 2018","Currency=INR","Period=FY","BEST_FPERIOD_OVERRIDE=FY","FILING_STATUS=OR","EQY_CONSOLIDATED=Y","FA_ADJUSTED=GAAP","Sort=A","Dates=H","DateFormat=P","Fill=—","Direction=H","UseDPDF=Y")</f>
        <v>#NAME?</v>
      </c>
      <c r="U223" s="2" t="e">
        <f ca="1">_xll.BDH($C$203,"EBITDA_GROWTH","FY 2018","FY 2018","Currency=INR","Period=FY","BEST_FPERIOD_OVERRIDE=FY","FILING_STATUS=OR","EQY_CONSOLIDATED=Y","FA_ADJUSTED=GAAP","Sort=A","Dates=H","DateFormat=P","Fill=—","Direction=H","UseDPDF=Y")</f>
        <v>#NAME?</v>
      </c>
      <c r="V223" s="2" t="e">
        <f ca="1">_xll.BDH($C$203,"OPER_INC_GROWTH","FY 2018","FY 2018","Currency=INR","Period=FY","BEST_FPERIOD_OVERRIDE=FY","FILING_STATUS=OR","EQY_CONSOLIDATED=Y","FA_ADJUSTED=GAAP","Sort=A","Dates=H","DateFormat=P","Fill=—","Direction=H","UseDPDF=Y")</f>
        <v>#NAME?</v>
      </c>
      <c r="W223" s="2" t="e">
        <f ca="1">_xll.BDH($C$203,"EARN_FOR_COM_GROWTH","FY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223" s="2" t="e">
        <f ca="1">_xll.BDH($C$203,"DILUTED_EPS_AFT_XO_ITEMS_GROWTH","FY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223" s="2" t="e">
        <f ca="1">_xll.BDH($C$203,"DIVIDEND_PER_SHARE_1_YEAR_GROWTH","FY 2018","FY 2018","Currency=INR","Period=FY","BEST_FPERIOD_OVERRIDE=FY","FILING_STATUS=OR","EQY_CONSOLIDATED=Y","Sort=A","Dates=H","DateFormat=P","Fill=—","Direction=H","UseDPDF=Y")</f>
        <v>#NAME?</v>
      </c>
      <c r="Z223" s="2" t="e">
        <f ca="1">_xll.BDH($C$203,"ACCOUNTS_RECEIVABLE_GROWTH","FY 2018","FY 2018","Currency=INR","Period=FY","BEST_FPERIOD_OVERRIDE=FY","FILING_STATUS=OR","EQY_CONSOLIDATED=Y","Sort=A","Dates=H","DateFormat=P","Fill=—","Direction=H","UseDPDF=Y")</f>
        <v>#NAME?</v>
      </c>
      <c r="AA223" s="2" t="e">
        <f ca="1">_xll.BDH($C$203,"INVENTORY_GROWTH","FY 2018","FY 2018","Currency=INR","Period=FY","BEST_FPERIOD_OVERRIDE=FY","FILING_STATUS=OR","EQY_CONSOLIDATED=Y","Sort=A","Dates=H","DateFormat=P","Fill=—","Direction=H","UseDPDF=Y")</f>
        <v>#NAME?</v>
      </c>
      <c r="AB223" s="2" t="e">
        <f ca="1">_xll.BDH($C$203,"NET_FIXED_ASSETS_1_YEAR_GROWTH","FY 2018","FY 2018","Currency=INR","Period=FY","BEST_FPERIOD_OVERRIDE=FY","FILING_STATUS=OR","EQY_CONSOLIDATED=Y","Sort=A","Dates=H","DateFormat=P","Fill=—","Direction=H","UseDPDF=Y")</f>
        <v>#NAME?</v>
      </c>
      <c r="AC223" s="2" t="e">
        <f ca="1">_xll.BDH($C$203,"ASSET_GROWTH","FY 2018","FY 2018","Currency=INR","Period=FY","BEST_FPERIOD_OVERRIDE=FY","FILING_STATUS=OR","EQY_CONSOLIDATED=Y","Sort=A","Dates=H","DateFormat=P","Fill=—","Direction=H","UseDPDF=Y")</f>
        <v>#NAME?</v>
      </c>
      <c r="AD223" s="2" t="e">
        <f ca="1">_xll.BDH($C$203,"MODIFIED_WORK_CAP_GROWTH","FY 2018","FY 2018","Currency=INR","Period=FY","BEST_FPERIOD_OVERRIDE=FY","FILING_STATUS=OR","EQY_CONSOLIDATED=Y","Sort=A","Dates=H","DateFormat=P","Fill=—","Direction=H","UseDPDF=Y")</f>
        <v>#NAME?</v>
      </c>
      <c r="AE223" s="2" t="e">
        <f ca="1">_xll.BDH($C$203,"WORK_CAP_GROWTH","FY 2018","FY 2018","Currency=INR","Period=FY","BEST_FPERIOD_OVERRIDE=FY","FILING_STATUS=OR","EQY_CONSOLIDATED=Y","Sort=A","Dates=H","DateFormat=P","Fill=—","Direction=H","UseDPDF=Y")</f>
        <v>#NAME?</v>
      </c>
      <c r="AF223" s="2" t="e">
        <f ca="1">_xll.BDH($C$203,"ACCOUNTS_PAYABLE_GROWTH_1YR","FY 2018","FY 2018","Currency=INR","Period=FY","BEST_FPERIOD_OVERRIDE=FY","FILING_STATUS=OR","EQY_CONSOLIDATED=Y","Sort=A","Dates=H","DateFormat=P","Fill=—","Direction=H","UseDPDF=Y")</f>
        <v>#NAME?</v>
      </c>
      <c r="AG223" s="2" t="e">
        <f ca="1">_xll.BDH($C$203,"SHORT_TERM_DEBT_1_YEAR_GROWTH","FY 2018","FY 2018","Currency=INR","Period=FY","BEST_FPERIOD_OVERRIDE=FY","FILING_STATUS=OR","EQY_CONSOLIDATED=Y","Sort=A","Dates=H","DateFormat=P","Fill=—","Direction=H","UseDPDF=Y")</f>
        <v>#NAME?</v>
      </c>
      <c r="AH223" s="2" t="e">
        <f ca="1">_xll.BDH($C$203,"TOTAL_DEBT_1_YEAR_GROWTH","FY 2018","FY 2018","Currency=INR","Period=FY","BEST_FPERIOD_OVERRIDE=FY","FILING_STATUS=OR","EQY_CONSOLIDATED=Y","Sort=A","Dates=H","DateFormat=P","Fill=—","Direction=H","UseDPDF=Y")</f>
        <v>#NAME?</v>
      </c>
      <c r="AI223" s="2" t="e">
        <f ca="1">_xll.BDH($C$203,"TOTAL_EQUITY_1_YEAR_GROWTH","FY 2018","FY 2018","Currency=INR","Period=FY","BEST_FPERIOD_OVERRIDE=FY","FILING_STATUS=OR","EQY_CONSOLIDATED=Y","Sort=A","Dates=H","DateFormat=P","Fill=—","Direction=H","UseDPDF=Y")</f>
        <v>#NAME?</v>
      </c>
      <c r="AJ223" s="2" t="e">
        <f ca="1">_xll.BDH($C$203,"GROWTH_IN_CAP","FY 2018","FY 2018","Currency=INR","Period=FY","BEST_FPERIOD_OVERRIDE=FY","FILING_STATUS=OR","EQY_CONSOLIDATED=Y","Sort=A","Dates=H","DateFormat=P","Fill=—","Direction=H","UseDPDF=Y")</f>
        <v>#NAME?</v>
      </c>
      <c r="AK223" s="2" t="e">
        <f ca="1">_xll.BDH($C$203,"BVPS_GROWTH","FY 2018","FY 2018","Currency=INR","Period=FY","BEST_FPERIOD_OVERRIDE=FY","FILING_STATUS=OR","EQY_CONSOLIDATED=Y","Sort=A","Dates=H","DateFormat=P","Fill=—","Direction=H","UseDPDF=Y")</f>
        <v>#NAME?</v>
      </c>
      <c r="AL223" s="2" t="e">
        <f ca="1">_xll.BDH($C$203,"CASH_FLOW_GROWTH","FY 2018","FY 2018","Currency=INR","Period=FY","BEST_FPERIOD_OVERRIDE=FY","FILING_STATUS=OR","EQY_CONSOLIDATED=Y","Sort=A","Dates=H","DateFormat=P","Fill=—","Direction=H","UseDPDF=Y")</f>
        <v>#NAME?</v>
      </c>
      <c r="AM223" s="2" t="e">
        <f ca="1">_xll.BDH($C$203,"GEO_GROW_NET_SALES","FY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223" s="2" t="e">
        <f ca="1">_xll.BDH($C$203,"GEO_GROW_EBITDA","FY 2018","FY 2018","Currency=INR","Period=FY","BEST_FPERIOD_OVERRIDE=FY","FILING_STATUS=OR","EQY_CONSOLIDATED=Y","FA_ADJUSTED=GAAP","Sort=A","Dates=H","DateFormat=P","Fill=—","Direction=H","UseDPDF=Y")</f>
        <v>#NAME?</v>
      </c>
      <c r="AO223" s="2" t="e">
        <f ca="1">_xll.BDH($C$203,"GEO_GROW_OPER_INC","FY 2018","FY 2018","Currency=INR","Period=FY","BEST_FPERIOD_OVERRIDE=FY","FILING_STATUS=OR","EQY_CONSOLIDATED=Y","FA_ADJUSTED=GAAP","Sort=A","Dates=H","DateFormat=P","Fill=—","Direction=H","UseDPDF=Y")</f>
        <v>#NAME?</v>
      </c>
      <c r="AP223" s="2" t="e">
        <f ca="1">_xll.BDH($C$203,"NET_INCOME_TO_COMMON_5_YR_GROWTH","FY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223" s="2" t="e">
        <f ca="1">_xll.BDH($C$203,"5Y_GEO_GROWTH_DILUTED_EPS","FY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223" s="2" t="e">
        <f ca="1">_xll.BDH($C$203,"GEO_GROW_DVD_PER_SH","FY 2018","FY 2018","Currency=INR","Period=FY","BEST_FPERIOD_OVERRIDE=FY","FILING_STATUS=OR","EQY_CONSOLIDATED=Y","Sort=A","Dates=H","DateFormat=P","Fill=—","Direction=H","UseDPDF=Y")</f>
        <v>#NAME?</v>
      </c>
      <c r="AS223" s="2" t="e">
        <f ca="1">_xll.BDH($C$203,"ACCOUNTS_RECEIVABLE_5_YR_GROWTH","FY 2018","FY 2018","Currency=INR","Period=FY","BEST_FPERIOD_OVERRIDE=FY","FILING_STATUS=OR","EQY_CONSOLIDATED=Y","Sort=A","Dates=H","DateFormat=P","Fill=—","Direction=H","UseDPDF=Y")</f>
        <v>#NAME?</v>
      </c>
      <c r="AT223" s="2" t="e">
        <f ca="1">_xll.BDH($C$203,"INVENTORY_5_YEAR_GROWTH","FY 2018","FY 2018","Currency=INR","Period=FY","BEST_FPERIOD_OVERRIDE=FY","FILING_STATUS=OR","EQY_CONSOLIDATED=Y","Sort=A","Dates=H","DateFormat=P","Fill=—","Direction=H","UseDPDF=Y")</f>
        <v>#NAME?</v>
      </c>
      <c r="AU223" s="2" t="e">
        <f ca="1">_xll.BDH($C$203,"NET_FIXED_ASSETS_5_YEAR_GROWTH","FY 2018","FY 2018","Currency=INR","Period=FY","BEST_FPERIOD_OVERRIDE=FY","FILING_STATUS=OR","EQY_CONSOLIDATED=Y","Sort=A","Dates=H","DateFormat=P","Fill=—","Direction=H","UseDPDF=Y")</f>
        <v>#NAME?</v>
      </c>
      <c r="AV223" s="2" t="e">
        <f ca="1">_xll.BDH($C$203,"GEO_GROW_TOT_ASSET","FY 2018","FY 2018","Currency=INR","Period=FY","BEST_FPERIOD_OVERRIDE=FY","FILING_STATUS=OR","EQY_CONSOLIDATED=Y","Sort=A","Dates=H","DateFormat=P","Fill=—","Direction=H","UseDPDF=Y")</f>
        <v>#NAME?</v>
      </c>
      <c r="AW223" s="2" t="e">
        <f ca="1">_xll.BDH($C$203,"MODIFIED_WORKING_CPTL_5YR_GRWTH","FY 2018","FY 2018","Currency=INR","Period=FY","BEST_FPERIOD_OVERRIDE=FY","FILING_STATUS=OR","EQY_CONSOLIDATED=Y","Sort=A","Dates=H","DateFormat=P","Fill=—","Direction=H","UseDPDF=Y")</f>
        <v>#NAME?</v>
      </c>
      <c r="AX223" s="2" t="e">
        <f ca="1">_xll.BDH($C$203,"WORKING_CAPITAL_5_YEAR_GROWTH","FY 2018","FY 2018","Currency=INR","Period=FY","BEST_FPERIOD_OVERRIDE=FY","FILING_STATUS=OR","EQY_CONSOLIDATED=Y","Sort=A","Dates=H","DateFormat=P","Fill=—","Direction=H","UseDPDF=Y")</f>
        <v>#NAME?</v>
      </c>
      <c r="AY223" s="2" t="e">
        <f ca="1">_xll.BDH($C$203,"ACCOUNTS_PAYABLE_5_YEAR_GROWTH","FY 2018","FY 2018","Currency=INR","Period=FY","BEST_FPERIOD_OVERRIDE=FY","FILING_STATUS=OR","EQY_CONSOLIDATED=Y","Sort=A","Dates=H","DateFormat=P","Fill=—","Direction=H","UseDPDF=Y")</f>
        <v>#NAME?</v>
      </c>
      <c r="AZ223" s="2" t="e">
        <f ca="1">_xll.BDH($C$203,"SHORT_TERM_DEBT_5_YEAR_GROWTH","FY 2018","FY 2018","Currency=INR","Period=FY","BEST_FPERIOD_OVERRIDE=FY","FILING_STATUS=OR","EQY_CONSOLIDATED=Y","Sort=A","Dates=H","DateFormat=P","Fill=—","Direction=H","UseDPDF=Y")</f>
        <v>#NAME?</v>
      </c>
      <c r="BA223" s="2" t="e">
        <f ca="1">_xll.BDH($C$203,"TOTAL_DEBT_5_YEAR_GROWTH","FY 2018","FY 2018","Currency=INR","Period=FY","BEST_FPERIOD_OVERRIDE=FY","FILING_STATUS=OR","EQY_CONSOLIDATED=Y","Sort=A","Dates=H","DateFormat=P","Fill=—","Direction=H","UseDPDF=Y")</f>
        <v>#NAME?</v>
      </c>
      <c r="BB223" s="2" t="e">
        <f ca="1">_xll.BDH($C$203,"GEO_GROW_TOT_SHRHLDR_EQY","FY 2018","FY 2018","Currency=INR","Period=FY","BEST_FPERIOD_OVERRIDE=FY","FILING_STATUS=OR","EQY_CONSOLIDATED=Y","Sort=A","Dates=H","DateFormat=P","Fill=—","Direction=H","UseDPDF=Y")</f>
        <v>#NAME?</v>
      </c>
      <c r="BC223" s="2" t="e">
        <f ca="1">_xll.BDH($C$203,"TOTAL_CAPITAL_5_YEAR_GROWTH","FY 2018","FY 2018","Currency=INR","Period=FY","BEST_FPERIOD_OVERRIDE=FY","FILING_STATUS=OR","EQY_CONSOLIDATED=Y","Sort=A","Dates=H","DateFormat=P","Fill=—","Direction=H","UseDPDF=Y")</f>
        <v>#NAME?</v>
      </c>
      <c r="BD223" s="2" t="e">
        <f ca="1">_xll.BDH($C$203,"GEO_GROW_BOOK_VAL","FY 2018","FY 2018","Currency=INR","Period=FY","BEST_FPERIOD_OVERRIDE=FY","FILING_STATUS=OR","EQY_CONSOLIDATED=Y","Sort=A","Dates=H","DateFormat=P","Fill=—","Direction=H","UseDPDF=Y")</f>
        <v>#NAME?</v>
      </c>
      <c r="BE223" s="2" t="e">
        <f ca="1">_xll.BDH($C$203,"GEO_GROW_CASH_OPER_ACT","FY 2018","FY 2018","Currency=INR","Period=FY","BEST_FPERIOD_OVERRIDE=FY","FILING_STATUS=OR","EQY_CONSOLIDATED=Y","Sort=A","Dates=H","DateFormat=P","Fill=—","Direction=H","UseDPDF=Y")</f>
        <v>#NAME?</v>
      </c>
      <c r="BF223" s="2" t="e">
        <f ca="1">_xll.BDH($C$203,"REVENUE_SEQUENTIAL_GROWTH","FY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223" s="2" t="e">
        <f ca="1">_xll.BDH($C$203,"EBITDA_SEQUENTIAL_GROWTH","FY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223" s="2" t="e">
        <f ca="1">_xll.BDH($C$203,"OPERATING_INCOME_SEQ_GROWTH","FY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223" s="2" t="e">
        <f ca="1">_xll.BDH($C$203,"NET_INCOME_TO_COMMON_SEQ_GROWTH","FY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223" s="2" t="e">
        <f ca="1">_xll.BDH($C$203,"EPS_DILUTED_SEQUENTIAL_GROWTH","FY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223" s="2" t="e">
        <f ca="1">_xll.BDH($C$203,"DPS_SEQUENTIAL_GROWTH","FY 2018","FY 2018","Currency=INR","Period=FY","BEST_FPERIOD_OVERRIDE=FY","FILING_STATUS=OR","EQY_CONSOLIDATED=Y","Sort=A","Dates=H","DateFormat=P","Fill=—","Direction=H","UseDPDF=Y")</f>
        <v>#NAME?</v>
      </c>
      <c r="BL223" s="2" t="e">
        <f ca="1">_xll.BDH($C$203,"ACCOUNTS_RECEIVABLE_SEQ_GROWTH","FY 2018","FY 2018","Currency=INR","Period=FY","BEST_FPERIOD_OVERRIDE=FY","FILING_STATUS=OR","EQY_CONSOLIDATED=Y","Sort=A","Dates=H","DateFormat=P","Fill=—","Direction=H","UseDPDF=Y")</f>
        <v>#NAME?</v>
      </c>
      <c r="BM223" s="2" t="e">
        <f ca="1">_xll.BDH($C$203,"INVENTORY_SEQUENTIAL_GROWTH","FY 2018","FY 2018","Currency=INR","Period=FY","BEST_FPERIOD_OVERRIDE=FY","FILING_STATUS=OR","EQY_CONSOLIDATED=Y","Sort=A","Dates=H","DateFormat=P","Fill=—","Direction=H","UseDPDF=Y")</f>
        <v>#NAME?</v>
      </c>
      <c r="BN223" s="2" t="e">
        <f ca="1">_xll.BDH($C$203,"FIXED_ASSETS_SEQUENTIAL_GROWTH","FY 2018","FY 2018","Currency=INR","Period=FY","BEST_FPERIOD_OVERRIDE=FY","FILING_STATUS=OR","EQY_CONSOLIDATED=Y","Sort=A","Dates=H","DateFormat=P","Fill=—","Direction=H","UseDPDF=Y")</f>
        <v>#NAME?</v>
      </c>
      <c r="BO223" s="2" t="e">
        <f ca="1">_xll.BDH($C$203,"TOTAL_ASSETS_SEQUENTIAL_GROWTH","FY 2018","FY 2018","Currency=INR","Period=FY","BEST_FPERIOD_OVERRIDE=FY","FILING_STATUS=OR","EQY_CONSOLIDATED=Y","Sort=A","Dates=H","DateFormat=P","Fill=—","Direction=H","UseDPDF=Y")</f>
        <v>#NAME?</v>
      </c>
      <c r="BP223" s="2" t="e">
        <f ca="1">_xll.BDH($C$203,"MODIFIED_WORKING_CPTL_SEQ_GRWTH","FY 2018","FY 2018","Currency=INR","Period=FY","BEST_FPERIOD_OVERRIDE=FY","FILING_STATUS=OR","EQY_CONSOLIDATED=Y","Sort=A","Dates=H","DateFormat=P","Fill=—","Direction=H","UseDPDF=Y")</f>
        <v>#NAME?</v>
      </c>
      <c r="BQ223" s="2" t="e">
        <f ca="1">_xll.BDH($C$203,"WORKING_CAPITAL_SEQ_GROWTH","FY 2018","FY 2018","Currency=INR","Period=FY","BEST_FPERIOD_OVERRIDE=FY","FILING_STATUS=OR","EQY_CONSOLIDATED=Y","Sort=A","Dates=H","DateFormat=P","Fill=—","Direction=H","UseDPDF=Y")</f>
        <v>#NAME?</v>
      </c>
      <c r="BR223" s="2" t="e">
        <f ca="1">_xll.BDH($C$203,"ACCOUNTS_PAYABLE_SEQ_GROWTH","FY 2018","FY 2018","Currency=INR","Period=FY","BEST_FPERIOD_OVERRIDE=FY","FILING_STATUS=OR","EQY_CONSOLIDATED=Y","Sort=A","Dates=H","DateFormat=P","Fill=—","Direction=H","UseDPDF=Y")</f>
        <v>#NAME?</v>
      </c>
      <c r="BS223" s="2" t="e">
        <f ca="1">_xll.BDH($C$203,"ST_DEBT_SEQUENTIAL_GROWTH","FY 2018","FY 2018","Currency=INR","Period=FY","BEST_FPERIOD_OVERRIDE=FY","FILING_STATUS=OR","EQY_CONSOLIDATED=Y","Sort=A","Dates=H","DateFormat=P","Fill=—","Direction=H","UseDPDF=Y")</f>
        <v>#NAME?</v>
      </c>
      <c r="BT223" s="2" t="e">
        <f ca="1">_xll.BDH($C$203,"TOTAL_DEBT_SEQUENTIAL_GROWTH","FY 2018","FY 2018","Currency=INR","Period=FY","BEST_FPERIOD_OVERRIDE=FY","FILING_STATUS=OR","EQY_CONSOLIDATED=Y","Sort=A","Dates=H","DateFormat=P","Fill=—","Direction=H","UseDPDF=Y")</f>
        <v>#NAME?</v>
      </c>
      <c r="BU223" s="2" t="e">
        <f ca="1">_xll.BDH($C$203,"TOTAL_EQUITY_SEQUENTIAL_GROWTH","FY 2018","FY 2018","Currency=INR","Period=FY","BEST_FPERIOD_OVERRIDE=FY","FILING_STATUS=OR","EQY_CONSOLIDATED=Y","Sort=A","Dates=H","DateFormat=P","Fill=—","Direction=H","UseDPDF=Y")</f>
        <v>#NAME?</v>
      </c>
      <c r="BV223" s="2" t="e">
        <f ca="1">_xll.BDH($C$203,"TOTAL_CAPITAL_SEQUENTIAL_GROWTH","FY 2018","FY 2018","Currency=INR","Period=FY","BEST_FPERIOD_OVERRIDE=FY","FILING_STATUS=OR","EQY_CONSOLIDATED=Y","Sort=A","Dates=H","DateFormat=P","Fill=—","Direction=H","UseDPDF=Y")</f>
        <v>#NAME?</v>
      </c>
      <c r="BW223" s="2" t="e">
        <f ca="1">_xll.BDH($C$203,"BPS_SEQUENTIAL_GROWTH","FY 2018","FY 2018","Currency=INR","Period=FY","BEST_FPERIOD_OVERRIDE=FY","FILING_STATUS=OR","EQY_CONSOLIDATED=Y","Sort=A","Dates=H","DateFormat=P","Fill=—","Direction=H","UseDPDF=Y")</f>
        <v>#NAME?</v>
      </c>
      <c r="BX223" s="2" t="e">
        <f ca="1">_xll.BDH($C$203,"CFO_SEQUENTIAL_GROWTH","FY 2018","FY 2018","Currency=INR","Period=FY","BEST_FPERIOD_OVERRIDE=FY","FILING_STATUS=OR","EQY_CONSOLIDATED=Y","Sort=A","Dates=H","DateFormat=P","Fill=—","Direction=H","UseDPDF=Y")</f>
        <v>#NAME?</v>
      </c>
      <c r="BY223" s="3" t="e">
        <f ca="1">_xll.BDH($C$203,"SHORT_AND_LONG_TERM_DEBT","FY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223" s="3" t="e">
        <f ca="1">_xll.BDH($C$203,"BS_ST_BORROW","FY 2018","FY 2018","Currency=INR","Period=FY","BEST_FPERIOD_OVERRIDE=FY","FILING_STATUS=OR","EQY_CONSOLIDATED=Y","SCALING_FORMAT=MLN","Sort=A","Dates=H","DateFormat=P","Fill=—","Direction=H","UseDPDF=Y")</f>
        <v>#NAME?</v>
      </c>
      <c r="CA223" s="3" t="e">
        <f ca="1">_xll.BDH($C$203,"BS_LT_BORROW","FY 2018","FY 2018","Currency=INR","Period=FY","BEST_FPERIOD_OVERRIDE=FY","FILING_STATUS=OR","EQY_CONSOLIDATED=Y","SCALING_FORMAT=MLN","Sort=A","Dates=H","DateFormat=P","Fill=—","Direction=H","UseDPDF=Y")</f>
        <v>#NAME?</v>
      </c>
      <c r="CB223" s="2" t="e">
        <f ca="1">_xll.BDH($C$203,"TOT_DEBT_TO_EBITDA","FY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223" s="2" t="e">
        <f ca="1">_xll.BDH($C$203,"NET_DEBT_TO_EBITDA","FY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223" s="2" t="e">
        <f ca="1">_xll.BDH($C$203,"TOTAL_DEBT_TO_EBIT","FY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223" s="2" t="e">
        <f ca="1">_xll.BDH($C$203,"NET_DEBT_TO_EBIT","FY 2018","FY 2018","Currency=INR","Period=FY","BEST_FPERIOD_OVERRIDE=FY","FILING_STATUS=OR","EQY_CONSOLIDATED=Y","FA_ADJUSTED=GAAP","Sort=A","Dates=H","DateFormat=P","Fill=—","Direction=H","UseDPDF=Y")</f>
        <v>#NAME?</v>
      </c>
      <c r="CF223" s="2" t="e">
        <f ca="1">_xll.BDH($C$203,"EBITDA_TO_INTEREST_EXPN","FY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223" s="2" t="e">
        <f ca="1">_xll.BDH($C$203,"COM_EQY_TO_TOT_ASSET","FY 2018","FY 2018","Currency=INR","Period=FY","BEST_FPERIOD_OVERRIDE=FY","FILING_STATUS=OR","EQY_CONSOLIDATED=Y","Sort=A","Dates=H","DateFormat=P","Fill=—","Direction=H","UseDPDF=Y")</f>
        <v>#NAME?</v>
      </c>
      <c r="CH223" s="2" t="e">
        <f ca="1">_xll.BDH($C$203,"LT_DEBT_TO_TOT_EQY","FY 2018","FY 2018","Currency=INR","Period=FY","BEST_FPERIOD_OVERRIDE=FY","FILING_STATUS=OR","EQY_CONSOLIDATED=Y","Sort=A","Dates=H","DateFormat=P","Fill=—","Direction=H","UseDPDF=Y")</f>
        <v>#NAME?</v>
      </c>
      <c r="CI223" s="2" t="e">
        <f ca="1">_xll.BDH($C$203,"LT_DEBT_TO_TOT_CAP","FY 2018","FY 2018","Currency=INR","Period=FY","BEST_FPERIOD_OVERRIDE=FY","FILING_STATUS=OR","EQY_CONSOLIDATED=Y","Sort=A","Dates=H","DateFormat=P","Fill=—","Direction=H","UseDPDF=Y")</f>
        <v>#NAME?</v>
      </c>
      <c r="CJ223" s="2" t="e">
        <f ca="1">_xll.BDH($C$203,"LT_DEBT_TO_TOT_ASSET","FY 2018","FY 2018","Currency=INR","Period=FY","BEST_FPERIOD_OVERRIDE=FY","FILING_STATUS=OR","EQY_CONSOLIDATED=Y","Sort=A","Dates=H","DateFormat=P","Fill=—","Direction=H","UseDPDF=Y")</f>
        <v>#NAME?</v>
      </c>
      <c r="CK223" s="2" t="e">
        <f ca="1">_xll.BDH($C$203,"TOT_DEBT_TO_TOT_EQY","FY 2018","FY 2018","Currency=INR","Period=FY","BEST_FPERIOD_OVERRIDE=FY","FILING_STATUS=OR","EQY_CONSOLIDATED=Y","Sort=A","Dates=H","DateFormat=P","Fill=—","Direction=H","UseDPDF=Y")</f>
        <v>#NAME?</v>
      </c>
      <c r="CL223" s="2" t="e">
        <f ca="1">_xll.BDH($C$203,"TOT_DEBT_TO_TOT_CAP","FY 2018","FY 2018","Currency=INR","Period=FY","BEST_FPERIOD_OVERRIDE=FY","FILING_STATUS=OR","EQY_CONSOLIDATED=Y","Sort=A","Dates=H","DateFormat=P","Fill=—","Direction=H","UseDPDF=Y")</f>
        <v>#NAME?</v>
      </c>
      <c r="CM223" s="2" t="e">
        <f ca="1">_xll.BDH($C$203,"TOT_DEBT_TO_TOT_ASSET","FY 2018","FY 2018","Currency=INR","Period=FY","BEST_FPERIOD_OVERRIDE=FY","FILING_STATUS=OR","EQY_CONSOLIDATED=Y","Sort=A","Dates=H","DateFormat=P","Fill=—","Direction=H","UseDPDF=Y")</f>
        <v>#NAME?</v>
      </c>
      <c r="CN223" s="2" t="e">
        <f ca="1">_xll.BDH($C$203,"NET_DEBT_TO_SHRHLDR_EQTY","FY 2018","FY 2018","Currency=INR","Period=FY","BEST_FPERIOD_OVERRIDE=FY","FILING_STATUS=OR","EQY_CONSOLIDATED=Y","Sort=A","Dates=H","DateFormat=P","Fill=—","Direction=H","UseDPDF=Y")</f>
        <v>#NAME?</v>
      </c>
      <c r="CO223" s="2" t="e">
        <f ca="1">_xll.BDH($C$203,"NET_DEBT_%_CAPITAL","FY 2018","FY 2018","Currency=INR","Period=FY","BEST_FPERIOD_OVERRIDE=FY","FILING_STATUS=OR","EQY_CONSOLIDATED=Y","Sort=A","Dates=H","DateFormat=P","Fill=—","Direction=H","UseDPDF=Y")</f>
        <v>#NAME?</v>
      </c>
      <c r="CP223" s="3" t="e">
        <f ca="1">_xll.BDH($C$203,"EBITDA","FY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223" s="3" t="e">
        <f ca="1">_xll.BDH($C$203,"EBITDA_AFTER_CAPEX","FY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223" s="3" t="e">
        <f ca="1">_xll.BDH($C$203,"IS_OPER_INC","FY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223" s="2" t="e">
        <f ca="1">_xll.BDH($C$203,"CASH_RATIO","FY 2018","FY 2018","Currency=INR","Period=FY","BEST_FPERIOD_OVERRIDE=FY","FILING_STATUS=OR","EQY_CONSOLIDATED=Y","Sort=A","Dates=H","DateFormat=P","Fill=—","Direction=H","UseDPDF=Y")</f>
        <v>#NAME?</v>
      </c>
      <c r="CT223" s="2" t="e">
        <f ca="1">_xll.BDH($C$203,"CUR_RATIO","FY 2018","FY 2018","Currency=INR","Period=FY","BEST_FPERIOD_OVERRIDE=FY","FILING_STATUS=OR","EQY_CONSOLIDATED=Y","Sort=A","Dates=H","DateFormat=P","Fill=—","Direction=H","UseDPDF=Y")</f>
        <v>#NAME?</v>
      </c>
      <c r="CU223" s="2" t="e">
        <f ca="1">_xll.BDH($C$203,"QUICK_RATIO","FY 2018","FY 2018","Currency=INR","Period=FY","BEST_FPERIOD_OVERRIDE=FY","FILING_STATUS=OR","EQY_CONSOLIDATED=Y","Sort=A","Dates=H","DateFormat=P","Fill=—","Direction=H","UseDPDF=Y")</f>
        <v>#NAME?</v>
      </c>
      <c r="CV223" s="2" t="e">
        <f ca="1">_xll.BDH($C$203,"ALTMAN_Z_SCORE","FY 2018","FY 2018","Currency=INR","Period=FY","BEST_FPERIOD_OVERRIDE=FY","FILING_STATUS=OR","EQY_CONSOLIDATED=Y","Sort=A","Dates=H","DateFormat=P","Fill=—","Direction=H","UseDPDF=Y")</f>
        <v>#NAME?</v>
      </c>
      <c r="CW223" s="4" t="e">
        <f ca="1">_xll.BDH($C$203,"ACCT_RCV_TURN","FY 2018","FY 2018","Currency=INR","Period=FY","BEST_FPERIOD_OVERRIDE=FY","FILING_STATUS=OR","EQY_CONSOLIDATED=Y","FA_ADJUSTED=GAAP","Sort=A","Dates=H","DateFormat=P","Fill=—","Direction=H","UseDPDF=Y")</f>
        <v>#NAME?</v>
      </c>
      <c r="CX223" s="2" t="e">
        <f ca="1">_xll.BDH($C$203,"ACCT_RCV_DAYS","FY 2018","FY 2018","Currency=INR","Period=FY","BEST_FPERIOD_OVERRIDE=FY","FILING_STATUS=OR","EQY_CONSOLIDATED=Y","FA_ADJUSTED=GAAP","Sort=A","Dates=H","DateFormat=P","Fill=—","Direction=H","UseDPDF=Y")</f>
        <v>#NAME?</v>
      </c>
      <c r="CY223" s="4" t="e">
        <f ca="1">_xll.BDH($C$203,"INVENT_TURN","FY 2018","FY 2018","Currency=INR","Period=FY","BEST_FPERIOD_OVERRIDE=FY","FILING_STATUS=OR","EQY_CONSOLIDATED=Y","FA_ADJUSTED=GAAP","Sort=A","Dates=H","DateFormat=P","Fill=—","Direction=H","UseDPDF=Y")</f>
        <v>#NAME?</v>
      </c>
      <c r="CZ223" s="2" t="e">
        <f ca="1">_xll.BDH($C$203,"INVENT_DAYS","FY 2018","FY 2018","Currency=INR","Period=FY","BEST_FPERIOD_OVERRIDE=FY","FILING_STATUS=OR","EQY_CONSOLIDATED=Y","FA_ADJUSTED=GAAP","Sort=A","Dates=H","DateFormat=P","Fill=—","Direction=H","UseDPDF=Y")</f>
        <v>#NAME?</v>
      </c>
      <c r="DA223" s="4" t="e">
        <f ca="1">_xll.BDH($C$203,"ACCOUNTS_PAYABLE_TURNOVER","FY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223" s="2" t="e">
        <f ca="1">_xll.BDH($C$203,"ACCOUNTS_PAYABLE_TURNOVER_DAYS","FY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223" s="4" t="e">
        <f ca="1">_xll.BDH($C$203,"CASH_CONVERSION_CYCLE","FY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223" s="4" t="e">
        <f ca="1">_xll.BDH($C$203,"INV_TO_CASH_DAYS","FY 2018","FY 2018","Currency=INR","Period=FY","BEST_FPERIOD_OVERRIDE=FY","FILING_STATUS=OR","EQY_CONSOLIDATED=Y","FA_ADJUSTED=GAAP","Sort=A","Dates=H","DateFormat=P","Fill=—","Direction=H","UseDPDF=Y")</f>
        <v>#NAME?</v>
      </c>
      <c r="DE223" s="5" t="e">
        <f ca="1">_xll.BDH($C$203,"BS_INVENTORIES","FY 2018","FY 2018","Currency=INR","Period=FY","BEST_FPERIOD_OVERRIDE=FY","FILING_STATUS=OR","EQY_CONSOLIDATED=Y","SCALING_FORMAT=MLN","Sort=A","Dates=H","DateFormat=P","Fill=—","Direction=H","UseDPDF=Y")</f>
        <v>#NAME?</v>
      </c>
      <c r="DF223" s="3" t="e">
        <f ca="1">_xll.BDH($C$203,"INVTRY_RAW_MATERIALS","FY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223" s="3" t="e">
        <f ca="1">_xll.BDH($C$203,"INVTRY_IN_PROGRESS","FY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223" s="3" t="e">
        <f ca="1">_xll.BDH($C$203,"INVTRY_FINISHED_GOODS","FY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223" s="3" t="e">
        <f ca="1">_xll.BDH($C$203,"BS_OTHER_INV","FY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224" spans="1:113" x14ac:dyDescent="0.3">
      <c r="A224" s="6"/>
      <c r="B224" s="6"/>
      <c r="C224" s="6"/>
      <c r="D224" s="6"/>
      <c r="E224" t="s">
        <v>78</v>
      </c>
      <c r="F224" t="e">
        <f ca="1">_xll.BDH($C$203,"RETURN_COM_EQY","FQ1 2018","FQ1 2018","Currency=INR","Period=FQ","BEST_FPERIOD_OVERRIDE=FQ","FILING_STATUS=OR","EQY_CONSOLIDATED=Y","FA_ADJUSTED=GAAP","Sort=A","Dates=H","DateFormat=P","Fill=—","Direction=H","UseDPDF=Y")</f>
        <v>#NAME?</v>
      </c>
      <c r="G224" t="e">
        <f ca="1">_xll.BDH($C$203,"RETURN_ON_ASSET","FQ1 2018","FQ1 2018","Currency=INR","Period=FQ","BEST_FPERIOD_OVERRIDE=FQ","FILING_STATUS=OR","EQY_CONSOLIDATED=Y","FA_ADJUSTED=GAAP","Sort=A","Dates=H","DateFormat=P","Fill=—","Direction=H","UseDPDF=Y")</f>
        <v>#NAME?</v>
      </c>
      <c r="H224" t="e">
        <f ca="1">_xll.BDH($C$203,"RETURN_ON_CAP","FQ1 2018","FQ1 2018","Currency=INR","Period=FQ","BEST_FPERIOD_OVERRIDE=FQ","FILING_STATUS=OR","EQY_CONSOLIDATED=Y","FA_ADJUSTED=GAAP","Sort=A","Dates=H","DateFormat=P","Fill=—","Direction=H","UseDPDF=Y")</f>
        <v>#NAME?</v>
      </c>
      <c r="I224" t="e">
        <f ca="1">_xll.BDH($C$203,"RETURN_ON_INV_CAPITAL","FQ1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224" t="e">
        <f ca="1">_xll.BDH($C$203,"EBITDA_TO_REVENUE","FQ1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224" t="e">
        <f ca="1">_xll.BDH($C$203,"OPER_MARGIN","FQ1 2018","FQ1 2018","Currency=INR","Period=FQ","BEST_FPERIOD_OVERRIDE=FQ","FILING_STATUS=OR","EQY_CONSOLIDATED=Y","FA_ADJUSTED=GAAP","Sort=A","Dates=H","DateFormat=P","Fill=—","Direction=H","UseDPDF=Y")</f>
        <v>#NAME?</v>
      </c>
      <c r="L224" t="e">
        <f ca="1">_xll.BDH($C$203,"INCREMENTAL_OPERATING_MARGIN","FQ1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224" t="e">
        <f ca="1">_xll.BDH($C$203,"PRETAX_INC_TO_NET_SALES","FQ1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224" t="e">
        <f ca="1">_xll.BDH($C$203,"INC_BEF_XO_ITEMS_TO_NET_SALES","FQ1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224" t="e">
        <f ca="1">_xll.BDH($C$203,"PROF_MARGIN","FQ1 2018","FQ1 2018","Currency=INR","Period=FQ","BEST_FPERIOD_OVERRIDE=FQ","FILING_STATUS=OR","EQY_CONSOLIDATED=Y","FA_ADJUSTED=GAAP","Sort=A","Dates=H","DateFormat=P","Fill=—","Direction=H","UseDPDF=Y")</f>
        <v>#NAME?</v>
      </c>
      <c r="P224" t="e">
        <f ca="1">_xll.BDH($C$203,"NET_INCOME_TO_COMMON_MARGIN","FQ1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224" t="e">
        <f ca="1">_xll.BDH($C$203,"EFF_TAX_RATE","FQ1 2018","FQ1 2018","Currency=INR","Period=FQ","BEST_FPERIOD_OVERRIDE=FQ","FILING_STATUS=OR","EQY_CONSOLIDATED=Y","FA_ADJUSTED=GAAP","Sort=A","Dates=H","DateFormat=P","Fill=—","Direction=H","UseDPDF=Y")</f>
        <v>#NAME?</v>
      </c>
      <c r="R224" t="e">
        <f ca="1">_xll.BDH($C$203,"DVD_PAYOUT_RATIO","FQ1 2018","FQ1 2018","Currency=INR","Period=FQ","BEST_FPERIOD_OVERRIDE=FQ","FILING_STATUS=OR","EQY_CONSOLIDATED=Y","FA_ADJUSTED=GAAP","Sort=A","Dates=H","DateFormat=P","Fill=—","Direction=H","UseDPDF=Y")</f>
        <v>#NAME?</v>
      </c>
      <c r="S224" t="e">
        <f ca="1">_xll.BDH($C$203,"SUSTAIN_GROWTH_RT","FQ1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224" s="2" t="e">
        <f ca="1">_xll.BDH($C$203,"SALES_GROWTH","FQ1 2018","FQ1 2018","Currency=INR","Period=FQ","BEST_FPERIOD_OVERRIDE=FQ","FILING_STATUS=OR","EQY_CONSOLIDATED=Y","FA_ADJUSTED=GAAP","Sort=A","Dates=H","DateFormat=P","Fill=—","Direction=H","UseDPDF=Y")</f>
        <v>#NAME?</v>
      </c>
      <c r="U224" s="2" t="e">
        <f ca="1">_xll.BDH($C$203,"EBITDA_GROWTH","FQ1 2018","FQ1 2018","Currency=INR","Period=FQ","BEST_FPERIOD_OVERRIDE=FQ","FILING_STATUS=OR","EQY_CONSOLIDATED=Y","FA_ADJUSTED=GAAP","Sort=A","Dates=H","DateFormat=P","Fill=—","Direction=H","UseDPDF=Y")</f>
        <v>#NAME?</v>
      </c>
      <c r="V224" s="2" t="e">
        <f ca="1">_xll.BDH($C$203,"OPER_INC_GROWTH","FQ1 2018","FQ1 2018","Currency=INR","Period=FQ","BEST_FPERIOD_OVERRIDE=FQ","FILING_STATUS=OR","EQY_CONSOLIDATED=Y","FA_ADJUSTED=GAAP","Sort=A","Dates=H","DateFormat=P","Fill=—","Direction=H","UseDPDF=Y")</f>
        <v>#NAME?</v>
      </c>
      <c r="W224" s="2" t="e">
        <f ca="1">_xll.BDH($C$203,"EARN_FOR_COM_GROWTH","FQ1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224" s="2" t="e">
        <f ca="1">_xll.BDH($C$203,"DILUTED_EPS_AFT_XO_ITEMS_GROWTH","FQ1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224" s="2" t="e">
        <f ca="1">_xll.BDH($C$203,"DIVIDEND_PER_SHARE_1_YEAR_GROWTH","FQ1 2018","FQ1 2018","Currency=INR","Period=FQ","BEST_FPERIOD_OVERRIDE=FQ","FILING_STATUS=OR","EQY_CONSOLIDATED=Y","Sort=A","Dates=H","DateFormat=P","Fill=—","Direction=H","UseDPDF=Y")</f>
        <v>#NAME?</v>
      </c>
      <c r="Z224" s="2" t="e">
        <f ca="1">_xll.BDH($C$203,"ACCOUNTS_RECEIVABLE_GROWTH","FQ1 2018","FQ1 2018","Currency=INR","Period=FQ","BEST_FPERIOD_OVERRIDE=FQ","FILING_STATUS=OR","EQY_CONSOLIDATED=Y","Sort=A","Dates=H","DateFormat=P","Fill=—","Direction=H","UseDPDF=Y")</f>
        <v>#NAME?</v>
      </c>
      <c r="AA224" s="2" t="e">
        <f ca="1">_xll.BDH($C$203,"INVENTORY_GROWTH","FQ1 2018","FQ1 2018","Currency=INR","Period=FQ","BEST_FPERIOD_OVERRIDE=FQ","FILING_STATUS=OR","EQY_CONSOLIDATED=Y","Sort=A","Dates=H","DateFormat=P","Fill=—","Direction=H","UseDPDF=Y")</f>
        <v>#NAME?</v>
      </c>
      <c r="AB224" s="2" t="e">
        <f ca="1">_xll.BDH($C$203,"NET_FIXED_ASSETS_1_YEAR_GROWTH","FQ1 2018","FQ1 2018","Currency=INR","Period=FQ","BEST_FPERIOD_OVERRIDE=FQ","FILING_STATUS=OR","EQY_CONSOLIDATED=Y","Sort=A","Dates=H","DateFormat=P","Fill=—","Direction=H","UseDPDF=Y")</f>
        <v>#NAME?</v>
      </c>
      <c r="AC224" s="2" t="e">
        <f ca="1">_xll.BDH($C$203,"ASSET_GROWTH","FQ1 2018","FQ1 2018","Currency=INR","Period=FQ","BEST_FPERIOD_OVERRIDE=FQ","FILING_STATUS=OR","EQY_CONSOLIDATED=Y","Sort=A","Dates=H","DateFormat=P","Fill=—","Direction=H","UseDPDF=Y")</f>
        <v>#NAME?</v>
      </c>
      <c r="AD224" s="2" t="e">
        <f ca="1">_xll.BDH($C$203,"MODIFIED_WORK_CAP_GROWTH","FQ1 2018","FQ1 2018","Currency=INR","Period=FQ","BEST_FPERIOD_OVERRIDE=FQ","FILING_STATUS=OR","EQY_CONSOLIDATED=Y","Sort=A","Dates=H","DateFormat=P","Fill=—","Direction=H","UseDPDF=Y")</f>
        <v>#NAME?</v>
      </c>
      <c r="AE224" s="2" t="e">
        <f ca="1">_xll.BDH($C$203,"WORK_CAP_GROWTH","FQ1 2018","FQ1 2018","Currency=INR","Period=FQ","BEST_FPERIOD_OVERRIDE=FQ","FILING_STATUS=OR","EQY_CONSOLIDATED=Y","Sort=A","Dates=H","DateFormat=P","Fill=—","Direction=H","UseDPDF=Y")</f>
        <v>#NAME?</v>
      </c>
      <c r="AF224" s="2" t="e">
        <f ca="1">_xll.BDH($C$203,"ACCOUNTS_PAYABLE_GROWTH_1YR","FQ1 2018","FQ1 2018","Currency=INR","Period=FQ","BEST_FPERIOD_OVERRIDE=FQ","FILING_STATUS=OR","EQY_CONSOLIDATED=Y","Sort=A","Dates=H","DateFormat=P","Fill=—","Direction=H","UseDPDF=Y")</f>
        <v>#NAME?</v>
      </c>
      <c r="AG224" s="2" t="e">
        <f ca="1">_xll.BDH($C$203,"SHORT_TERM_DEBT_1_YEAR_GROWTH","FQ1 2018","FQ1 2018","Currency=INR","Period=FQ","BEST_FPERIOD_OVERRIDE=FQ","FILING_STATUS=OR","EQY_CONSOLIDATED=Y","Sort=A","Dates=H","DateFormat=P","Fill=—","Direction=H","UseDPDF=Y")</f>
        <v>#NAME?</v>
      </c>
      <c r="AH224" s="2" t="e">
        <f ca="1">_xll.BDH($C$203,"TOTAL_DEBT_1_YEAR_GROWTH","FQ1 2018","FQ1 2018","Currency=INR","Period=FQ","BEST_FPERIOD_OVERRIDE=FQ","FILING_STATUS=OR","EQY_CONSOLIDATED=Y","Sort=A","Dates=H","DateFormat=P","Fill=—","Direction=H","UseDPDF=Y")</f>
        <v>#NAME?</v>
      </c>
      <c r="AI224" s="2" t="e">
        <f ca="1">_xll.BDH($C$203,"TOTAL_EQUITY_1_YEAR_GROWTH","FQ1 2018","FQ1 2018","Currency=INR","Period=FQ","BEST_FPERIOD_OVERRIDE=FQ","FILING_STATUS=OR","EQY_CONSOLIDATED=Y","Sort=A","Dates=H","DateFormat=P","Fill=—","Direction=H","UseDPDF=Y")</f>
        <v>#NAME?</v>
      </c>
      <c r="AJ224" s="2" t="e">
        <f ca="1">_xll.BDH($C$203,"GROWTH_IN_CAP","FQ1 2018","FQ1 2018","Currency=INR","Period=FQ","BEST_FPERIOD_OVERRIDE=FQ","FILING_STATUS=OR","EQY_CONSOLIDATED=Y","Sort=A","Dates=H","DateFormat=P","Fill=—","Direction=H","UseDPDF=Y")</f>
        <v>#NAME?</v>
      </c>
      <c r="AK224" s="2" t="e">
        <f ca="1">_xll.BDH($C$203,"BVPS_GROWTH","FQ1 2018","FQ1 2018","Currency=INR","Period=FQ","BEST_FPERIOD_OVERRIDE=FQ","FILING_STATUS=OR","EQY_CONSOLIDATED=Y","Sort=A","Dates=H","DateFormat=P","Fill=—","Direction=H","UseDPDF=Y")</f>
        <v>#NAME?</v>
      </c>
      <c r="AL224" s="2" t="e">
        <f ca="1">_xll.BDH($C$203,"CASH_FLOW_GROWTH","FQ1 2018","FQ1 2018","Currency=INR","Period=FQ","BEST_FPERIOD_OVERRIDE=FQ","FILING_STATUS=OR","EQY_CONSOLIDATED=Y","Sort=A","Dates=H","DateFormat=P","Fill=—","Direction=H","UseDPDF=Y")</f>
        <v>#NAME?</v>
      </c>
      <c r="AM224" s="2" t="e">
        <f ca="1">_xll.BDH($C$203,"GEO_GROW_NET_SALES","FQ1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224" s="2" t="e">
        <f ca="1">_xll.BDH($C$203,"GEO_GROW_EBITDA","FQ1 2018","FQ1 2018","Currency=INR","Period=FQ","BEST_FPERIOD_OVERRIDE=FQ","FILING_STATUS=OR","EQY_CONSOLIDATED=Y","FA_ADJUSTED=GAAP","Sort=A","Dates=H","DateFormat=P","Fill=—","Direction=H","UseDPDF=Y")</f>
        <v>#NAME?</v>
      </c>
      <c r="AO224" s="2" t="e">
        <f ca="1">_xll.BDH($C$203,"GEO_GROW_OPER_INC","FQ1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224" s="2" t="e">
        <f ca="1">_xll.BDH($C$203,"NET_INCOME_TO_COMMON_5_YR_GROWTH","FQ1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224" s="2" t="e">
        <f ca="1">_xll.BDH($C$203,"5Y_GEO_GROWTH_DILUTED_EPS","FQ1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224" s="2" t="e">
        <f ca="1">_xll.BDH($C$203,"GEO_GROW_DVD_PER_SH","FQ1 2018","FQ1 2018","Currency=INR","Period=FQ","BEST_FPERIOD_OVERRIDE=FQ","FILING_STATUS=OR","EQY_CONSOLIDATED=Y","Sort=A","Dates=H","DateFormat=P","Fill=—","Direction=H","UseDPDF=Y")</f>
        <v>#NAME?</v>
      </c>
      <c r="AS224" s="2" t="e">
        <f ca="1">_xll.BDH($C$203,"ACCOUNTS_RECEIVABLE_5_YR_GROWTH","FQ1 2018","FQ1 2018","Currency=INR","Period=FQ","BEST_FPERIOD_OVERRIDE=FQ","FILING_STATUS=OR","EQY_CONSOLIDATED=Y","Sort=A","Dates=H","DateFormat=P","Fill=—","Direction=H","UseDPDF=Y")</f>
        <v>#NAME?</v>
      </c>
      <c r="AT224" s="2" t="e">
        <f ca="1">_xll.BDH($C$203,"INVENTORY_5_YEAR_GROWTH","FQ1 2018","FQ1 2018","Currency=INR","Period=FQ","BEST_FPERIOD_OVERRIDE=FQ","FILING_STATUS=OR","EQY_CONSOLIDATED=Y","Sort=A","Dates=H","DateFormat=P","Fill=—","Direction=H","UseDPDF=Y")</f>
        <v>#NAME?</v>
      </c>
      <c r="AU224" s="2" t="e">
        <f ca="1">_xll.BDH($C$203,"NET_FIXED_ASSETS_5_YEAR_GROWTH","FQ1 2018","FQ1 2018","Currency=INR","Period=FQ","BEST_FPERIOD_OVERRIDE=FQ","FILING_STATUS=OR","EQY_CONSOLIDATED=Y","Sort=A","Dates=H","DateFormat=P","Fill=—","Direction=H","UseDPDF=Y")</f>
        <v>#NAME?</v>
      </c>
      <c r="AV224" s="2" t="e">
        <f ca="1">_xll.BDH($C$203,"GEO_GROW_TOT_ASSET","FQ1 2018","FQ1 2018","Currency=INR","Period=FQ","BEST_FPERIOD_OVERRIDE=FQ","FILING_STATUS=OR","EQY_CONSOLIDATED=Y","Sort=A","Dates=H","DateFormat=P","Fill=—","Direction=H","UseDPDF=Y")</f>
        <v>#NAME?</v>
      </c>
      <c r="AW224" s="2" t="e">
        <f ca="1">_xll.BDH($C$203,"MODIFIED_WORKING_CPTL_5YR_GRWTH","FQ1 2018","FQ1 2018","Currency=INR","Period=FQ","BEST_FPERIOD_OVERRIDE=FQ","FILING_STATUS=OR","EQY_CONSOLIDATED=Y","Sort=A","Dates=H","DateFormat=P","Fill=—","Direction=H","UseDPDF=Y")</f>
        <v>#NAME?</v>
      </c>
      <c r="AX224" s="2" t="e">
        <f ca="1">_xll.BDH($C$203,"WORKING_CAPITAL_5_YEAR_GROWTH","FQ1 2018","FQ1 2018","Currency=INR","Period=FQ","BEST_FPERIOD_OVERRIDE=FQ","FILING_STATUS=OR","EQY_CONSOLIDATED=Y","Sort=A","Dates=H","DateFormat=P","Fill=—","Direction=H","UseDPDF=Y")</f>
        <v>#NAME?</v>
      </c>
      <c r="AY224" s="2" t="e">
        <f ca="1">_xll.BDH($C$203,"ACCOUNTS_PAYABLE_5_YEAR_GROWTH","FQ1 2018","FQ1 2018","Currency=INR","Period=FQ","BEST_FPERIOD_OVERRIDE=FQ","FILING_STATUS=OR","EQY_CONSOLIDATED=Y","Sort=A","Dates=H","DateFormat=P","Fill=—","Direction=H","UseDPDF=Y")</f>
        <v>#NAME?</v>
      </c>
      <c r="AZ224" s="2" t="e">
        <f ca="1">_xll.BDH($C$203,"SHORT_TERM_DEBT_5_YEAR_GROWTH","FQ1 2018","FQ1 2018","Currency=INR","Period=FQ","BEST_FPERIOD_OVERRIDE=FQ","FILING_STATUS=OR","EQY_CONSOLIDATED=Y","Sort=A","Dates=H","DateFormat=P","Fill=—","Direction=H","UseDPDF=Y")</f>
        <v>#NAME?</v>
      </c>
      <c r="BA224" s="2" t="e">
        <f ca="1">_xll.BDH($C$203,"TOTAL_DEBT_5_YEAR_GROWTH","FQ1 2018","FQ1 2018","Currency=INR","Period=FQ","BEST_FPERIOD_OVERRIDE=FQ","FILING_STATUS=OR","EQY_CONSOLIDATED=Y","Sort=A","Dates=H","DateFormat=P","Fill=—","Direction=H","UseDPDF=Y")</f>
        <v>#NAME?</v>
      </c>
      <c r="BB224" s="2" t="e">
        <f ca="1">_xll.BDH($C$203,"GEO_GROW_TOT_SHRHLDR_EQY","FQ1 2018","FQ1 2018","Currency=INR","Period=FQ","BEST_FPERIOD_OVERRIDE=FQ","FILING_STATUS=OR","EQY_CONSOLIDATED=Y","Sort=A","Dates=H","DateFormat=P","Fill=—","Direction=H","UseDPDF=Y")</f>
        <v>#NAME?</v>
      </c>
      <c r="BC224" s="2" t="e">
        <f ca="1">_xll.BDH($C$203,"TOTAL_CAPITAL_5_YEAR_GROWTH","FQ1 2018","FQ1 2018","Currency=INR","Period=FQ","BEST_FPERIOD_OVERRIDE=FQ","FILING_STATUS=OR","EQY_CONSOLIDATED=Y","Sort=A","Dates=H","DateFormat=P","Fill=—","Direction=H","UseDPDF=Y")</f>
        <v>#NAME?</v>
      </c>
      <c r="BD224" s="2" t="e">
        <f ca="1">_xll.BDH($C$203,"GEO_GROW_BOOK_VAL","FQ1 2018","FQ1 2018","Currency=INR","Period=FQ","BEST_FPERIOD_OVERRIDE=FQ","FILING_STATUS=OR","EQY_CONSOLIDATED=Y","Sort=A","Dates=H","DateFormat=P","Fill=—","Direction=H","UseDPDF=Y")</f>
        <v>#NAME?</v>
      </c>
      <c r="BE224" s="2" t="e">
        <f ca="1">_xll.BDH($C$203,"GEO_GROW_CASH_OPER_ACT","FQ1 2018","FQ1 2018","Currency=INR","Period=FQ","BEST_FPERIOD_OVERRIDE=FQ","FILING_STATUS=OR","EQY_CONSOLIDATED=Y","Sort=A","Dates=H","DateFormat=P","Fill=—","Direction=H","UseDPDF=Y")</f>
        <v>#NAME?</v>
      </c>
      <c r="BF224" s="2" t="e">
        <f ca="1">_xll.BDH($C$203,"REVENUE_SEQUENTIAL_GROWTH","FQ1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224" s="2" t="e">
        <f ca="1">_xll.BDH($C$203,"EBITDA_SEQUENTIAL_GROWTH","FQ1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224" s="2" t="e">
        <f ca="1">_xll.BDH($C$203,"OPERATING_INCOME_SEQ_GROWTH","FQ1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224" s="2" t="e">
        <f ca="1">_xll.BDH($C$203,"NET_INCOME_TO_COMMON_SEQ_GROWTH","FQ1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224" s="2" t="e">
        <f ca="1">_xll.BDH($C$203,"EPS_DILUTED_SEQUENTIAL_GROWTH","FQ1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224" s="2" t="e">
        <f ca="1">_xll.BDH($C$203,"DPS_SEQUENTIAL_GROWTH","FQ1 2018","FQ1 2018","Currency=INR","Period=FQ","BEST_FPERIOD_OVERRIDE=FQ","FILING_STATUS=OR","EQY_CONSOLIDATED=Y","Sort=A","Dates=H","DateFormat=P","Fill=—","Direction=H","UseDPDF=Y")</f>
        <v>#NAME?</v>
      </c>
      <c r="BL224" s="2" t="e">
        <f ca="1">_xll.BDH($C$203,"ACCOUNTS_RECEIVABLE_SEQ_GROWTH","FQ1 2018","FQ1 2018","Currency=INR","Period=FQ","BEST_FPERIOD_OVERRIDE=FQ","FILING_STATUS=OR","EQY_CONSOLIDATED=Y","Sort=A","Dates=H","DateFormat=P","Fill=—","Direction=H","UseDPDF=Y")</f>
        <v>#NAME?</v>
      </c>
      <c r="BM224" s="2" t="e">
        <f ca="1">_xll.BDH($C$203,"INVENTORY_SEQUENTIAL_GROWTH","FQ1 2018","FQ1 2018","Currency=INR","Period=FQ","BEST_FPERIOD_OVERRIDE=FQ","FILING_STATUS=OR","EQY_CONSOLIDATED=Y","Sort=A","Dates=H","DateFormat=P","Fill=—","Direction=H","UseDPDF=Y")</f>
        <v>#NAME?</v>
      </c>
      <c r="BN224" s="2" t="e">
        <f ca="1">_xll.BDH($C$203,"FIXED_ASSETS_SEQUENTIAL_GROWTH","FQ1 2018","FQ1 2018","Currency=INR","Period=FQ","BEST_FPERIOD_OVERRIDE=FQ","FILING_STATUS=OR","EQY_CONSOLIDATED=Y","Sort=A","Dates=H","DateFormat=P","Fill=—","Direction=H","UseDPDF=Y")</f>
        <v>#NAME?</v>
      </c>
      <c r="BO224" s="2" t="e">
        <f ca="1">_xll.BDH($C$203,"TOTAL_ASSETS_SEQUENTIAL_GROWTH","FQ1 2018","FQ1 2018","Currency=INR","Period=FQ","BEST_FPERIOD_OVERRIDE=FQ","FILING_STATUS=OR","EQY_CONSOLIDATED=Y","Sort=A","Dates=H","DateFormat=P","Fill=—","Direction=H","UseDPDF=Y")</f>
        <v>#NAME?</v>
      </c>
      <c r="BP224" s="2" t="e">
        <f ca="1">_xll.BDH($C$203,"MODIFIED_WORKING_CPTL_SEQ_GRWTH","FQ1 2018","FQ1 2018","Currency=INR","Period=FQ","BEST_FPERIOD_OVERRIDE=FQ","FILING_STATUS=OR","EQY_CONSOLIDATED=Y","Sort=A","Dates=H","DateFormat=P","Fill=—","Direction=H","UseDPDF=Y")</f>
        <v>#NAME?</v>
      </c>
      <c r="BQ224" s="2" t="e">
        <f ca="1">_xll.BDH($C$203,"WORKING_CAPITAL_SEQ_GROWTH","FQ1 2018","FQ1 2018","Currency=INR","Period=FQ","BEST_FPERIOD_OVERRIDE=FQ","FILING_STATUS=OR","EQY_CONSOLIDATED=Y","Sort=A","Dates=H","DateFormat=P","Fill=—","Direction=H","UseDPDF=Y")</f>
        <v>#NAME?</v>
      </c>
      <c r="BR224" s="2" t="e">
        <f ca="1">_xll.BDH($C$203,"ACCOUNTS_PAYABLE_SEQ_GROWTH","FQ1 2018","FQ1 2018","Currency=INR","Period=FQ","BEST_FPERIOD_OVERRIDE=FQ","FILING_STATUS=OR","EQY_CONSOLIDATED=Y","Sort=A","Dates=H","DateFormat=P","Fill=—","Direction=H","UseDPDF=Y")</f>
        <v>#NAME?</v>
      </c>
      <c r="BS224" s="2" t="e">
        <f ca="1">_xll.BDH($C$203,"ST_DEBT_SEQUENTIAL_GROWTH","FQ1 2018","FQ1 2018","Currency=INR","Period=FQ","BEST_FPERIOD_OVERRIDE=FQ","FILING_STATUS=OR","EQY_CONSOLIDATED=Y","Sort=A","Dates=H","DateFormat=P","Fill=—","Direction=H","UseDPDF=Y")</f>
        <v>#NAME?</v>
      </c>
      <c r="BT224" s="2" t="e">
        <f ca="1">_xll.BDH($C$203,"TOTAL_DEBT_SEQUENTIAL_GROWTH","FQ1 2018","FQ1 2018","Currency=INR","Period=FQ","BEST_FPERIOD_OVERRIDE=FQ","FILING_STATUS=OR","EQY_CONSOLIDATED=Y","Sort=A","Dates=H","DateFormat=P","Fill=—","Direction=H","UseDPDF=Y")</f>
        <v>#NAME?</v>
      </c>
      <c r="BU224" s="2" t="e">
        <f ca="1">_xll.BDH($C$203,"TOTAL_EQUITY_SEQUENTIAL_GROWTH","FQ1 2018","FQ1 2018","Currency=INR","Period=FQ","BEST_FPERIOD_OVERRIDE=FQ","FILING_STATUS=OR","EQY_CONSOLIDATED=Y","Sort=A","Dates=H","DateFormat=P","Fill=—","Direction=H","UseDPDF=Y")</f>
        <v>#NAME?</v>
      </c>
      <c r="BV224" s="2" t="e">
        <f ca="1">_xll.BDH($C$203,"TOTAL_CAPITAL_SEQUENTIAL_GROWTH","FQ1 2018","FQ1 2018","Currency=INR","Period=FQ","BEST_FPERIOD_OVERRIDE=FQ","FILING_STATUS=OR","EQY_CONSOLIDATED=Y","Sort=A","Dates=H","DateFormat=P","Fill=—","Direction=H","UseDPDF=Y")</f>
        <v>#NAME?</v>
      </c>
      <c r="BW224" s="2" t="e">
        <f ca="1">_xll.BDH($C$203,"BPS_SEQUENTIAL_GROWTH","FQ1 2018","FQ1 2018","Currency=INR","Period=FQ","BEST_FPERIOD_OVERRIDE=FQ","FILING_STATUS=OR","EQY_CONSOLIDATED=Y","Sort=A","Dates=H","DateFormat=P","Fill=—","Direction=H","UseDPDF=Y")</f>
        <v>#NAME?</v>
      </c>
      <c r="BX224" s="2" t="e">
        <f ca="1">_xll.BDH($C$203,"CFO_SEQUENTIAL_GROWTH","FQ1 2018","FQ1 2018","Currency=INR","Period=FQ","BEST_FPERIOD_OVERRIDE=FQ","FILING_STATUS=OR","EQY_CONSOLIDATED=Y","Sort=A","Dates=H","DateFormat=P","Fill=—","Direction=H","UseDPDF=Y")</f>
        <v>#NAME?</v>
      </c>
      <c r="BY224" s="3" t="e">
        <f ca="1">_xll.BDH($C$203,"SHORT_AND_LONG_TERM_DEBT","FQ1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224" s="3" t="e">
        <f ca="1">_xll.BDH($C$203,"BS_ST_BORROW","FQ1 2018","FQ1 2018","Currency=INR","Period=FQ","BEST_FPERIOD_OVERRIDE=FQ","FILING_STATUS=OR","EQY_CONSOLIDATED=Y","SCALING_FORMAT=MLN","Sort=A","Dates=H","DateFormat=P","Fill=—","Direction=H","UseDPDF=Y")</f>
        <v>#NAME?</v>
      </c>
      <c r="CA224" s="3" t="e">
        <f ca="1">_xll.BDH($C$203,"BS_LT_BORROW","FQ1 2018","FQ1 2018","Currency=INR","Period=FQ","BEST_FPERIOD_OVERRIDE=FQ","FILING_STATUS=OR","EQY_CONSOLIDATED=Y","SCALING_FORMAT=MLN","Sort=A","Dates=H","DateFormat=P","Fill=—","Direction=H","UseDPDF=Y")</f>
        <v>#NAME?</v>
      </c>
      <c r="CB224" s="2" t="e">
        <f ca="1">_xll.BDH($C$203,"TOT_DEBT_TO_EBITDA","FQ1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224" s="2" t="e">
        <f ca="1">_xll.BDH($C$203,"NET_DEBT_TO_EBITDA","FQ1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224" s="2" t="e">
        <f ca="1">_xll.BDH($C$203,"TOTAL_DEBT_TO_EBIT","FQ1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224" s="2" t="e">
        <f ca="1">_xll.BDH($C$203,"NET_DEBT_TO_EBIT","FQ1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224" s="2" t="e">
        <f ca="1">_xll.BDH($C$203,"EBITDA_TO_INTEREST_EXPN","FQ1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224" s="2" t="e">
        <f ca="1">_xll.BDH($C$203,"COM_EQY_TO_TOT_ASSET","FQ1 2018","FQ1 2018","Currency=INR","Period=FQ","BEST_FPERIOD_OVERRIDE=FQ","FILING_STATUS=OR","EQY_CONSOLIDATED=Y","Sort=A","Dates=H","DateFormat=P","Fill=—","Direction=H","UseDPDF=Y")</f>
        <v>#NAME?</v>
      </c>
      <c r="CH224" s="2" t="e">
        <f ca="1">_xll.BDH($C$203,"LT_DEBT_TO_TOT_EQY","FQ1 2018","FQ1 2018","Currency=INR","Period=FQ","BEST_FPERIOD_OVERRIDE=FQ","FILING_STATUS=OR","EQY_CONSOLIDATED=Y","Sort=A","Dates=H","DateFormat=P","Fill=—","Direction=H","UseDPDF=Y")</f>
        <v>#NAME?</v>
      </c>
      <c r="CI224" s="2" t="e">
        <f ca="1">_xll.BDH($C$203,"LT_DEBT_TO_TOT_CAP","FQ1 2018","FQ1 2018","Currency=INR","Period=FQ","BEST_FPERIOD_OVERRIDE=FQ","FILING_STATUS=OR","EQY_CONSOLIDATED=Y","Sort=A","Dates=H","DateFormat=P","Fill=—","Direction=H","UseDPDF=Y")</f>
        <v>#NAME?</v>
      </c>
      <c r="CJ224" s="2" t="e">
        <f ca="1">_xll.BDH($C$203,"LT_DEBT_TO_TOT_ASSET","FQ1 2018","FQ1 2018","Currency=INR","Period=FQ","BEST_FPERIOD_OVERRIDE=FQ","FILING_STATUS=OR","EQY_CONSOLIDATED=Y","Sort=A","Dates=H","DateFormat=P","Fill=—","Direction=H","UseDPDF=Y")</f>
        <v>#NAME?</v>
      </c>
      <c r="CK224" s="2" t="e">
        <f ca="1">_xll.BDH($C$203,"TOT_DEBT_TO_TOT_EQY","FQ1 2018","FQ1 2018","Currency=INR","Period=FQ","BEST_FPERIOD_OVERRIDE=FQ","FILING_STATUS=OR","EQY_CONSOLIDATED=Y","Sort=A","Dates=H","DateFormat=P","Fill=—","Direction=H","UseDPDF=Y")</f>
        <v>#NAME?</v>
      </c>
      <c r="CL224" s="2" t="e">
        <f ca="1">_xll.BDH($C$203,"TOT_DEBT_TO_TOT_CAP","FQ1 2018","FQ1 2018","Currency=INR","Period=FQ","BEST_FPERIOD_OVERRIDE=FQ","FILING_STATUS=OR","EQY_CONSOLIDATED=Y","Sort=A","Dates=H","DateFormat=P","Fill=—","Direction=H","UseDPDF=Y")</f>
        <v>#NAME?</v>
      </c>
      <c r="CM224" s="2" t="e">
        <f ca="1">_xll.BDH($C$203,"TOT_DEBT_TO_TOT_ASSET","FQ1 2018","FQ1 2018","Currency=INR","Period=FQ","BEST_FPERIOD_OVERRIDE=FQ","FILING_STATUS=OR","EQY_CONSOLIDATED=Y","Sort=A","Dates=H","DateFormat=P","Fill=—","Direction=H","UseDPDF=Y")</f>
        <v>#NAME?</v>
      </c>
      <c r="CN224" s="2" t="e">
        <f ca="1">_xll.BDH($C$203,"NET_DEBT_TO_SHRHLDR_EQTY","FQ1 2018","FQ1 2018","Currency=INR","Period=FQ","BEST_FPERIOD_OVERRIDE=FQ","FILING_STATUS=OR","EQY_CONSOLIDATED=Y","Sort=A","Dates=H","DateFormat=P","Fill=—","Direction=H","UseDPDF=Y")</f>
        <v>#NAME?</v>
      </c>
      <c r="CO224" s="2" t="e">
        <f ca="1">_xll.BDH($C$203,"NET_DEBT_%_CAPITAL","FQ1 2018","FQ1 2018","Currency=INR","Period=FQ","BEST_FPERIOD_OVERRIDE=FQ","FILING_STATUS=OR","EQY_CONSOLIDATED=Y","Sort=A","Dates=H","DateFormat=P","Fill=—","Direction=H","UseDPDF=Y")</f>
        <v>#NAME?</v>
      </c>
      <c r="CP224" s="3" t="e">
        <f ca="1">_xll.BDH($C$203,"EBITDA","FQ1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224" s="3" t="e">
        <f ca="1">_xll.BDH($C$203,"EBITDA_AFTER_CAPEX","FQ1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224" s="3" t="e">
        <f ca="1">_xll.BDH($C$203,"IS_OPER_INC","FQ1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224" s="2" t="e">
        <f ca="1">_xll.BDH($C$203,"CASH_RATIO","FQ1 2018","FQ1 2018","Currency=INR","Period=FQ","BEST_FPERIOD_OVERRIDE=FQ","FILING_STATUS=OR","EQY_CONSOLIDATED=Y","Sort=A","Dates=H","DateFormat=P","Fill=—","Direction=H","UseDPDF=Y")</f>
        <v>#NAME?</v>
      </c>
      <c r="CT224" s="2" t="e">
        <f ca="1">_xll.BDH($C$203,"CUR_RATIO","FQ1 2018","FQ1 2018","Currency=INR","Period=FQ","BEST_FPERIOD_OVERRIDE=FQ","FILING_STATUS=OR","EQY_CONSOLIDATED=Y","Sort=A","Dates=H","DateFormat=P","Fill=—","Direction=H","UseDPDF=Y")</f>
        <v>#NAME?</v>
      </c>
      <c r="CU224" s="2" t="e">
        <f ca="1">_xll.BDH($C$203,"QUICK_RATIO","FQ1 2018","FQ1 2018","Currency=INR","Period=FQ","BEST_FPERIOD_OVERRIDE=FQ","FILING_STATUS=OR","EQY_CONSOLIDATED=Y","Sort=A","Dates=H","DateFormat=P","Fill=—","Direction=H","UseDPDF=Y")</f>
        <v>#NAME?</v>
      </c>
      <c r="CV224" s="2" t="e">
        <f ca="1">_xll.BDH($C$203,"ALTMAN_Z_SCORE","FQ1 2018","FQ1 2018","Currency=INR","Period=FQ","BEST_FPERIOD_OVERRIDE=FQ","FILING_STATUS=OR","EQY_CONSOLIDATED=Y","Sort=A","Dates=H","DateFormat=P","Fill=—","Direction=H","UseDPDF=Y")</f>
        <v>#NAME?</v>
      </c>
      <c r="CW224" s="4" t="e">
        <f ca="1">_xll.BDH($C$203,"ACCT_RCV_TURN","FQ1 2018","FQ1 2018","Currency=INR","Period=FQ","BEST_FPERIOD_OVERRIDE=FQ","FILING_STATUS=OR","EQY_CONSOLIDATED=Y","FA_ADJUSTED=GAAP","Sort=A","Dates=H","DateFormat=P","Fill=—","Direction=H","UseDPDF=Y")</f>
        <v>#NAME?</v>
      </c>
      <c r="CX224" s="2" t="e">
        <f ca="1">_xll.BDH($C$203,"ACCT_RCV_DAYS","FQ1 2018","FQ1 2018","Currency=INR","Period=FQ","BEST_FPERIOD_OVERRIDE=FQ","FILING_STATUS=OR","EQY_CONSOLIDATED=Y","FA_ADJUSTED=GAAP","Sort=A","Dates=H","DateFormat=P","Fill=—","Direction=H","UseDPDF=Y")</f>
        <v>#NAME?</v>
      </c>
      <c r="CY224" s="4" t="e">
        <f ca="1">_xll.BDH($C$203,"INVENT_TURN","FQ1 2018","FQ1 2018","Currency=INR","Period=FQ","BEST_FPERIOD_OVERRIDE=FQ","FILING_STATUS=OR","EQY_CONSOLIDATED=Y","FA_ADJUSTED=GAAP","Sort=A","Dates=H","DateFormat=P","Fill=—","Direction=H","UseDPDF=Y")</f>
        <v>#NAME?</v>
      </c>
      <c r="CZ224" s="2" t="e">
        <f ca="1">_xll.BDH($C$203,"INVENT_DAYS","FQ1 2018","FQ1 2018","Currency=INR","Period=FQ","BEST_FPERIOD_OVERRIDE=FQ","FILING_STATUS=OR","EQY_CONSOLIDATED=Y","FA_ADJUSTED=GAAP","Sort=A","Dates=H","DateFormat=P","Fill=—","Direction=H","UseDPDF=Y")</f>
        <v>#NAME?</v>
      </c>
      <c r="DA224" s="4" t="e">
        <f ca="1">_xll.BDH($C$203,"ACCOUNTS_PAYABLE_TURNOVER","FQ1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224" s="2" t="e">
        <f ca="1">_xll.BDH($C$203,"ACCOUNTS_PAYABLE_TURNOVER_DAYS","FQ1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224" s="4" t="e">
        <f ca="1">_xll.BDH($C$203,"CASH_CONVERSION_CYCLE","FQ1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224" s="4" t="e">
        <f ca="1">_xll.BDH($C$203,"INV_TO_CASH_DAYS","FQ1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224" s="5" t="e">
        <f ca="1">_xll.BDH($C$203,"BS_INVENTORIES","FQ1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224" s="3" t="e">
        <f ca="1">_xll.BDH($C$203,"INVTRY_RAW_MATERIALS","FQ1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224" s="3" t="e">
        <f ca="1">_xll.BDH($C$203,"INVTRY_IN_PROGRESS","FQ1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224" s="3" t="e">
        <f ca="1">_xll.BDH($C$203,"INVTRY_FINISHED_GOODS","FQ1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224" s="3" t="e">
        <f ca="1">_xll.BDH($C$203,"BS_OTHER_INV","FQ1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225" spans="1:113" x14ac:dyDescent="0.3">
      <c r="A225" s="6"/>
      <c r="B225" s="6"/>
      <c r="C225" s="6"/>
      <c r="D225" s="6"/>
      <c r="E225" t="s">
        <v>79</v>
      </c>
      <c r="F225" t="e">
        <f ca="1">_xll.BDH($C$203,"RETURN_COM_EQY","FQ2 2018","FQ2 2018","Currency=INR","Period=FQ","BEST_FPERIOD_OVERRIDE=FQ","FILING_STATUS=OR","EQY_CONSOLIDATED=Y","FA_ADJUSTED=GAAP","Sort=A","Dates=H","DateFormat=P","Fill=—","Direction=H","UseDPDF=Y")</f>
        <v>#NAME?</v>
      </c>
      <c r="G225" t="e">
        <f ca="1">_xll.BDH($C$203,"RETURN_ON_ASSET","FQ2 2018","FQ2 2018","Currency=INR","Period=FQ","BEST_FPERIOD_OVERRIDE=FQ","FILING_STATUS=OR","EQY_CONSOLIDATED=Y","FA_ADJUSTED=GAAP","Sort=A","Dates=H","DateFormat=P","Fill=—","Direction=H","UseDPDF=Y")</f>
        <v>#NAME?</v>
      </c>
      <c r="H225" t="e">
        <f ca="1">_xll.BDH($C$203,"RETURN_ON_CAP","FQ2 2018","FQ2 2018","Currency=INR","Period=FQ","BEST_FPERIOD_OVERRIDE=FQ","FILING_STATUS=OR","EQY_CONSOLIDATED=Y","FA_ADJUSTED=GAAP","Sort=A","Dates=H","DateFormat=P","Fill=—","Direction=H","UseDPDF=Y")</f>
        <v>#NAME?</v>
      </c>
      <c r="I225" t="e">
        <f ca="1">_xll.BDH($C$203,"RETURN_ON_INV_CAPITAL","FQ2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225" t="e">
        <f ca="1">_xll.BDH($C$203,"EBITDA_TO_REVENUE","FQ2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225" t="e">
        <f ca="1">_xll.BDH($C$203,"OPER_MARGIN","FQ2 2018","FQ2 2018","Currency=INR","Period=FQ","BEST_FPERIOD_OVERRIDE=FQ","FILING_STATUS=OR","EQY_CONSOLIDATED=Y","FA_ADJUSTED=GAAP","Sort=A","Dates=H","DateFormat=P","Fill=—","Direction=H","UseDPDF=Y")</f>
        <v>#NAME?</v>
      </c>
      <c r="L225" t="e">
        <f ca="1">_xll.BDH($C$203,"INCREMENTAL_OPERATING_MARGIN","FQ2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225" t="e">
        <f ca="1">_xll.BDH($C$203,"PRETAX_INC_TO_NET_SALES","FQ2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225" t="e">
        <f ca="1">_xll.BDH($C$203,"INC_BEF_XO_ITEMS_TO_NET_SALES","FQ2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225" t="e">
        <f ca="1">_xll.BDH($C$203,"PROF_MARGIN","FQ2 2018","FQ2 2018","Currency=INR","Period=FQ","BEST_FPERIOD_OVERRIDE=FQ","FILING_STATUS=OR","EQY_CONSOLIDATED=Y","FA_ADJUSTED=GAAP","Sort=A","Dates=H","DateFormat=P","Fill=—","Direction=H","UseDPDF=Y")</f>
        <v>#NAME?</v>
      </c>
      <c r="P225" t="e">
        <f ca="1">_xll.BDH($C$203,"NET_INCOME_TO_COMMON_MARGIN","FQ2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225" t="e">
        <f ca="1">_xll.BDH($C$203,"EFF_TAX_RATE","FQ2 2018","FQ2 2018","Currency=INR","Period=FQ","BEST_FPERIOD_OVERRIDE=FQ","FILING_STATUS=OR","EQY_CONSOLIDATED=Y","FA_ADJUSTED=GAAP","Sort=A","Dates=H","DateFormat=P","Fill=—","Direction=H","UseDPDF=Y")</f>
        <v>#NAME?</v>
      </c>
      <c r="R225" t="e">
        <f ca="1">_xll.BDH($C$203,"DVD_PAYOUT_RATIO","FQ2 2018","FQ2 2018","Currency=INR","Period=FQ","BEST_FPERIOD_OVERRIDE=FQ","FILING_STATUS=OR","EQY_CONSOLIDATED=Y","FA_ADJUSTED=GAAP","Sort=A","Dates=H","DateFormat=P","Fill=—","Direction=H","UseDPDF=Y")</f>
        <v>#NAME?</v>
      </c>
      <c r="S225" t="e">
        <f ca="1">_xll.BDH($C$203,"SUSTAIN_GROWTH_RT","FQ2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225" s="2" t="e">
        <f ca="1">_xll.BDH($C$203,"SALES_GROWTH","FQ2 2018","FQ2 2018","Currency=INR","Period=FQ","BEST_FPERIOD_OVERRIDE=FQ","FILING_STATUS=OR","EQY_CONSOLIDATED=Y","FA_ADJUSTED=GAAP","Sort=A","Dates=H","DateFormat=P","Fill=—","Direction=H","UseDPDF=Y")</f>
        <v>#NAME?</v>
      </c>
      <c r="U225" s="2" t="e">
        <f ca="1">_xll.BDH($C$203,"EBITDA_GROWTH","FQ2 2018","FQ2 2018","Currency=INR","Period=FQ","BEST_FPERIOD_OVERRIDE=FQ","FILING_STATUS=OR","EQY_CONSOLIDATED=Y","FA_ADJUSTED=GAAP","Sort=A","Dates=H","DateFormat=P","Fill=—","Direction=H","UseDPDF=Y")</f>
        <v>#NAME?</v>
      </c>
      <c r="V225" s="2" t="e">
        <f ca="1">_xll.BDH($C$203,"OPER_INC_GROWTH","FQ2 2018","FQ2 2018","Currency=INR","Period=FQ","BEST_FPERIOD_OVERRIDE=FQ","FILING_STATUS=OR","EQY_CONSOLIDATED=Y","FA_ADJUSTED=GAAP","Sort=A","Dates=H","DateFormat=P","Fill=—","Direction=H","UseDPDF=Y")</f>
        <v>#NAME?</v>
      </c>
      <c r="W225" s="2" t="e">
        <f ca="1">_xll.BDH($C$203,"EARN_FOR_COM_GROWTH","FQ2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225" s="2" t="e">
        <f ca="1">_xll.BDH($C$203,"DILUTED_EPS_AFT_XO_ITEMS_GROWTH","FQ2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225" s="2" t="e">
        <f ca="1">_xll.BDH($C$203,"DIVIDEND_PER_SHARE_1_YEAR_GROWTH","FQ2 2018","FQ2 2018","Currency=INR","Period=FQ","BEST_FPERIOD_OVERRIDE=FQ","FILING_STATUS=OR","EQY_CONSOLIDATED=Y","Sort=A","Dates=H","DateFormat=P","Fill=—","Direction=H","UseDPDF=Y")</f>
        <v>#NAME?</v>
      </c>
      <c r="Z225" s="2" t="e">
        <f ca="1">_xll.BDH($C$203,"ACCOUNTS_RECEIVABLE_GROWTH","FQ2 2018","FQ2 2018","Currency=INR","Period=FQ","BEST_FPERIOD_OVERRIDE=FQ","FILING_STATUS=OR","EQY_CONSOLIDATED=Y","Sort=A","Dates=H","DateFormat=P","Fill=—","Direction=H","UseDPDF=Y")</f>
        <v>#NAME?</v>
      </c>
      <c r="AA225" s="2" t="e">
        <f ca="1">_xll.BDH($C$203,"INVENTORY_GROWTH","FQ2 2018","FQ2 2018","Currency=INR","Period=FQ","BEST_FPERIOD_OVERRIDE=FQ","FILING_STATUS=OR","EQY_CONSOLIDATED=Y","Sort=A","Dates=H","DateFormat=P","Fill=—","Direction=H","UseDPDF=Y")</f>
        <v>#NAME?</v>
      </c>
      <c r="AB225" s="2" t="e">
        <f ca="1">_xll.BDH($C$203,"NET_FIXED_ASSETS_1_YEAR_GROWTH","FQ2 2018","FQ2 2018","Currency=INR","Period=FQ","BEST_FPERIOD_OVERRIDE=FQ","FILING_STATUS=OR","EQY_CONSOLIDATED=Y","Sort=A","Dates=H","DateFormat=P","Fill=—","Direction=H","UseDPDF=Y")</f>
        <v>#NAME?</v>
      </c>
      <c r="AC225" s="2" t="e">
        <f ca="1">_xll.BDH($C$203,"ASSET_GROWTH","FQ2 2018","FQ2 2018","Currency=INR","Period=FQ","BEST_FPERIOD_OVERRIDE=FQ","FILING_STATUS=OR","EQY_CONSOLIDATED=Y","Sort=A","Dates=H","DateFormat=P","Fill=—","Direction=H","UseDPDF=Y")</f>
        <v>#NAME?</v>
      </c>
      <c r="AD225" s="2" t="e">
        <f ca="1">_xll.BDH($C$203,"MODIFIED_WORK_CAP_GROWTH","FQ2 2018","FQ2 2018","Currency=INR","Period=FQ","BEST_FPERIOD_OVERRIDE=FQ","FILING_STATUS=OR","EQY_CONSOLIDATED=Y","Sort=A","Dates=H","DateFormat=P","Fill=—","Direction=H","UseDPDF=Y")</f>
        <v>#NAME?</v>
      </c>
      <c r="AE225" s="2" t="e">
        <f ca="1">_xll.BDH($C$203,"WORK_CAP_GROWTH","FQ2 2018","FQ2 2018","Currency=INR","Period=FQ","BEST_FPERIOD_OVERRIDE=FQ","FILING_STATUS=OR","EQY_CONSOLIDATED=Y","Sort=A","Dates=H","DateFormat=P","Fill=—","Direction=H","UseDPDF=Y")</f>
        <v>#NAME?</v>
      </c>
      <c r="AF225" s="2" t="e">
        <f ca="1">_xll.BDH($C$203,"ACCOUNTS_PAYABLE_GROWTH_1YR","FQ2 2018","FQ2 2018","Currency=INR","Period=FQ","BEST_FPERIOD_OVERRIDE=FQ","FILING_STATUS=OR","EQY_CONSOLIDATED=Y","Sort=A","Dates=H","DateFormat=P","Fill=—","Direction=H","UseDPDF=Y")</f>
        <v>#NAME?</v>
      </c>
      <c r="AG225" s="2" t="e">
        <f ca="1">_xll.BDH($C$203,"SHORT_TERM_DEBT_1_YEAR_GROWTH","FQ2 2018","FQ2 2018","Currency=INR","Period=FQ","BEST_FPERIOD_OVERRIDE=FQ","FILING_STATUS=OR","EQY_CONSOLIDATED=Y","Sort=A","Dates=H","DateFormat=P","Fill=—","Direction=H","UseDPDF=Y")</f>
        <v>#NAME?</v>
      </c>
      <c r="AH225" s="2" t="e">
        <f ca="1">_xll.BDH($C$203,"TOTAL_DEBT_1_YEAR_GROWTH","FQ2 2018","FQ2 2018","Currency=INR","Period=FQ","BEST_FPERIOD_OVERRIDE=FQ","FILING_STATUS=OR","EQY_CONSOLIDATED=Y","Sort=A","Dates=H","DateFormat=P","Fill=—","Direction=H","UseDPDF=Y")</f>
        <v>#NAME?</v>
      </c>
      <c r="AI225" s="2" t="e">
        <f ca="1">_xll.BDH($C$203,"TOTAL_EQUITY_1_YEAR_GROWTH","FQ2 2018","FQ2 2018","Currency=INR","Period=FQ","BEST_FPERIOD_OVERRIDE=FQ","FILING_STATUS=OR","EQY_CONSOLIDATED=Y","Sort=A","Dates=H","DateFormat=P","Fill=—","Direction=H","UseDPDF=Y")</f>
        <v>#NAME?</v>
      </c>
      <c r="AJ225" s="2" t="e">
        <f ca="1">_xll.BDH($C$203,"GROWTH_IN_CAP","FQ2 2018","FQ2 2018","Currency=INR","Period=FQ","BEST_FPERIOD_OVERRIDE=FQ","FILING_STATUS=OR","EQY_CONSOLIDATED=Y","Sort=A","Dates=H","DateFormat=P","Fill=—","Direction=H","UseDPDF=Y")</f>
        <v>#NAME?</v>
      </c>
      <c r="AK225" s="2" t="e">
        <f ca="1">_xll.BDH($C$203,"BVPS_GROWTH","FQ2 2018","FQ2 2018","Currency=INR","Period=FQ","BEST_FPERIOD_OVERRIDE=FQ","FILING_STATUS=OR","EQY_CONSOLIDATED=Y","Sort=A","Dates=H","DateFormat=P","Fill=—","Direction=H","UseDPDF=Y")</f>
        <v>#NAME?</v>
      </c>
      <c r="AL225" s="2" t="e">
        <f ca="1">_xll.BDH($C$203,"CASH_FLOW_GROWTH","FQ2 2018","FQ2 2018","Currency=INR","Period=FQ","BEST_FPERIOD_OVERRIDE=FQ","FILING_STATUS=OR","EQY_CONSOLIDATED=Y","Sort=A","Dates=H","DateFormat=P","Fill=—","Direction=H","UseDPDF=Y")</f>
        <v>#NAME?</v>
      </c>
      <c r="AM225" s="2" t="e">
        <f ca="1">_xll.BDH($C$203,"GEO_GROW_NET_SALES","FQ2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225" s="2" t="e">
        <f ca="1">_xll.BDH($C$203,"GEO_GROW_EBITDA","FQ2 2018","FQ2 2018","Currency=INR","Period=FQ","BEST_FPERIOD_OVERRIDE=FQ","FILING_STATUS=OR","EQY_CONSOLIDATED=Y","FA_ADJUSTED=GAAP","Sort=A","Dates=H","DateFormat=P","Fill=—","Direction=H","UseDPDF=Y")</f>
        <v>#NAME?</v>
      </c>
      <c r="AO225" s="2" t="e">
        <f ca="1">_xll.BDH($C$203,"GEO_GROW_OPER_INC","FQ2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225" s="2" t="e">
        <f ca="1">_xll.BDH($C$203,"NET_INCOME_TO_COMMON_5_YR_GROWTH","FQ2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225" s="2" t="e">
        <f ca="1">_xll.BDH($C$203,"5Y_GEO_GROWTH_DILUTED_EPS","FQ2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225" s="2" t="e">
        <f ca="1">_xll.BDH($C$203,"GEO_GROW_DVD_PER_SH","FQ2 2018","FQ2 2018","Currency=INR","Period=FQ","BEST_FPERIOD_OVERRIDE=FQ","FILING_STATUS=OR","EQY_CONSOLIDATED=Y","Sort=A","Dates=H","DateFormat=P","Fill=—","Direction=H","UseDPDF=Y")</f>
        <v>#NAME?</v>
      </c>
      <c r="AS225" s="2" t="e">
        <f ca="1">_xll.BDH($C$203,"ACCOUNTS_RECEIVABLE_5_YR_GROWTH","FQ2 2018","FQ2 2018","Currency=INR","Period=FQ","BEST_FPERIOD_OVERRIDE=FQ","FILING_STATUS=OR","EQY_CONSOLIDATED=Y","Sort=A","Dates=H","DateFormat=P","Fill=—","Direction=H","UseDPDF=Y")</f>
        <v>#NAME?</v>
      </c>
      <c r="AT225" s="2" t="e">
        <f ca="1">_xll.BDH($C$203,"INVENTORY_5_YEAR_GROWTH","FQ2 2018","FQ2 2018","Currency=INR","Period=FQ","BEST_FPERIOD_OVERRIDE=FQ","FILING_STATUS=OR","EQY_CONSOLIDATED=Y","Sort=A","Dates=H","DateFormat=P","Fill=—","Direction=H","UseDPDF=Y")</f>
        <v>#NAME?</v>
      </c>
      <c r="AU225" s="2" t="e">
        <f ca="1">_xll.BDH($C$203,"NET_FIXED_ASSETS_5_YEAR_GROWTH","FQ2 2018","FQ2 2018","Currency=INR","Period=FQ","BEST_FPERIOD_OVERRIDE=FQ","FILING_STATUS=OR","EQY_CONSOLIDATED=Y","Sort=A","Dates=H","DateFormat=P","Fill=—","Direction=H","UseDPDF=Y")</f>
        <v>#NAME?</v>
      </c>
      <c r="AV225" s="2" t="e">
        <f ca="1">_xll.BDH($C$203,"GEO_GROW_TOT_ASSET","FQ2 2018","FQ2 2018","Currency=INR","Period=FQ","BEST_FPERIOD_OVERRIDE=FQ","FILING_STATUS=OR","EQY_CONSOLIDATED=Y","Sort=A","Dates=H","DateFormat=P","Fill=—","Direction=H","UseDPDF=Y")</f>
        <v>#NAME?</v>
      </c>
      <c r="AW225" s="2" t="e">
        <f ca="1">_xll.BDH($C$203,"MODIFIED_WORKING_CPTL_5YR_GRWTH","FQ2 2018","FQ2 2018","Currency=INR","Period=FQ","BEST_FPERIOD_OVERRIDE=FQ","FILING_STATUS=OR","EQY_CONSOLIDATED=Y","Sort=A","Dates=H","DateFormat=P","Fill=—","Direction=H","UseDPDF=Y")</f>
        <v>#NAME?</v>
      </c>
      <c r="AX225" s="2" t="e">
        <f ca="1">_xll.BDH($C$203,"WORKING_CAPITAL_5_YEAR_GROWTH","FQ2 2018","FQ2 2018","Currency=INR","Period=FQ","BEST_FPERIOD_OVERRIDE=FQ","FILING_STATUS=OR","EQY_CONSOLIDATED=Y","Sort=A","Dates=H","DateFormat=P","Fill=—","Direction=H","UseDPDF=Y")</f>
        <v>#NAME?</v>
      </c>
      <c r="AY225" s="2" t="e">
        <f ca="1">_xll.BDH($C$203,"ACCOUNTS_PAYABLE_5_YEAR_GROWTH","FQ2 2018","FQ2 2018","Currency=INR","Period=FQ","BEST_FPERIOD_OVERRIDE=FQ","FILING_STATUS=OR","EQY_CONSOLIDATED=Y","Sort=A","Dates=H","DateFormat=P","Fill=—","Direction=H","UseDPDF=Y")</f>
        <v>#NAME?</v>
      </c>
      <c r="AZ225" s="2" t="e">
        <f ca="1">_xll.BDH($C$203,"SHORT_TERM_DEBT_5_YEAR_GROWTH","FQ2 2018","FQ2 2018","Currency=INR","Period=FQ","BEST_FPERIOD_OVERRIDE=FQ","FILING_STATUS=OR","EQY_CONSOLIDATED=Y","Sort=A","Dates=H","DateFormat=P","Fill=—","Direction=H","UseDPDF=Y")</f>
        <v>#NAME?</v>
      </c>
      <c r="BA225" s="2" t="e">
        <f ca="1">_xll.BDH($C$203,"TOTAL_DEBT_5_YEAR_GROWTH","FQ2 2018","FQ2 2018","Currency=INR","Period=FQ","BEST_FPERIOD_OVERRIDE=FQ","FILING_STATUS=OR","EQY_CONSOLIDATED=Y","Sort=A","Dates=H","DateFormat=P","Fill=—","Direction=H","UseDPDF=Y")</f>
        <v>#NAME?</v>
      </c>
      <c r="BB225" s="2" t="e">
        <f ca="1">_xll.BDH($C$203,"GEO_GROW_TOT_SHRHLDR_EQY","FQ2 2018","FQ2 2018","Currency=INR","Period=FQ","BEST_FPERIOD_OVERRIDE=FQ","FILING_STATUS=OR","EQY_CONSOLIDATED=Y","Sort=A","Dates=H","DateFormat=P","Fill=—","Direction=H","UseDPDF=Y")</f>
        <v>#NAME?</v>
      </c>
      <c r="BC225" s="2" t="e">
        <f ca="1">_xll.BDH($C$203,"TOTAL_CAPITAL_5_YEAR_GROWTH","FQ2 2018","FQ2 2018","Currency=INR","Period=FQ","BEST_FPERIOD_OVERRIDE=FQ","FILING_STATUS=OR","EQY_CONSOLIDATED=Y","Sort=A","Dates=H","DateFormat=P","Fill=—","Direction=H","UseDPDF=Y")</f>
        <v>#NAME?</v>
      </c>
      <c r="BD225" s="2" t="e">
        <f ca="1">_xll.BDH($C$203,"GEO_GROW_BOOK_VAL","FQ2 2018","FQ2 2018","Currency=INR","Period=FQ","BEST_FPERIOD_OVERRIDE=FQ","FILING_STATUS=OR","EQY_CONSOLIDATED=Y","Sort=A","Dates=H","DateFormat=P","Fill=—","Direction=H","UseDPDF=Y")</f>
        <v>#NAME?</v>
      </c>
      <c r="BE225" s="2" t="e">
        <f ca="1">_xll.BDH($C$203,"GEO_GROW_CASH_OPER_ACT","FQ2 2018","FQ2 2018","Currency=INR","Period=FQ","BEST_FPERIOD_OVERRIDE=FQ","FILING_STATUS=OR","EQY_CONSOLIDATED=Y","Sort=A","Dates=H","DateFormat=P","Fill=—","Direction=H","UseDPDF=Y")</f>
        <v>#NAME?</v>
      </c>
      <c r="BF225" s="2" t="e">
        <f ca="1">_xll.BDH($C$203,"REVENUE_SEQUENTIAL_GROWTH","FQ2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225" s="2" t="e">
        <f ca="1">_xll.BDH($C$203,"EBITDA_SEQUENTIAL_GROWTH","FQ2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225" s="2" t="e">
        <f ca="1">_xll.BDH($C$203,"OPERATING_INCOME_SEQ_GROWTH","FQ2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225" s="2" t="e">
        <f ca="1">_xll.BDH($C$203,"NET_INCOME_TO_COMMON_SEQ_GROWTH","FQ2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225" s="2" t="e">
        <f ca="1">_xll.BDH($C$203,"EPS_DILUTED_SEQUENTIAL_GROWTH","FQ2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225" s="2" t="e">
        <f ca="1">_xll.BDH($C$203,"DPS_SEQUENTIAL_GROWTH","FQ2 2018","FQ2 2018","Currency=INR","Period=FQ","BEST_FPERIOD_OVERRIDE=FQ","FILING_STATUS=OR","EQY_CONSOLIDATED=Y","Sort=A","Dates=H","DateFormat=P","Fill=—","Direction=H","UseDPDF=Y")</f>
        <v>#NAME?</v>
      </c>
      <c r="BL225" s="2" t="e">
        <f ca="1">_xll.BDH($C$203,"ACCOUNTS_RECEIVABLE_SEQ_GROWTH","FQ2 2018","FQ2 2018","Currency=INR","Period=FQ","BEST_FPERIOD_OVERRIDE=FQ","FILING_STATUS=OR","EQY_CONSOLIDATED=Y","Sort=A","Dates=H","DateFormat=P","Fill=—","Direction=H","UseDPDF=Y")</f>
        <v>#NAME?</v>
      </c>
      <c r="BM225" s="2" t="e">
        <f ca="1">_xll.BDH($C$203,"INVENTORY_SEQUENTIAL_GROWTH","FQ2 2018","FQ2 2018","Currency=INR","Period=FQ","BEST_FPERIOD_OVERRIDE=FQ","FILING_STATUS=OR","EQY_CONSOLIDATED=Y","Sort=A","Dates=H","DateFormat=P","Fill=—","Direction=H","UseDPDF=Y")</f>
        <v>#NAME?</v>
      </c>
      <c r="BN225" s="2" t="e">
        <f ca="1">_xll.BDH($C$203,"FIXED_ASSETS_SEQUENTIAL_GROWTH","FQ2 2018","FQ2 2018","Currency=INR","Period=FQ","BEST_FPERIOD_OVERRIDE=FQ","FILING_STATUS=OR","EQY_CONSOLIDATED=Y","Sort=A","Dates=H","DateFormat=P","Fill=—","Direction=H","UseDPDF=Y")</f>
        <v>#NAME?</v>
      </c>
      <c r="BO225" s="2" t="e">
        <f ca="1">_xll.BDH($C$203,"TOTAL_ASSETS_SEQUENTIAL_GROWTH","FQ2 2018","FQ2 2018","Currency=INR","Period=FQ","BEST_FPERIOD_OVERRIDE=FQ","FILING_STATUS=OR","EQY_CONSOLIDATED=Y","Sort=A","Dates=H","DateFormat=P","Fill=—","Direction=H","UseDPDF=Y")</f>
        <v>#NAME?</v>
      </c>
      <c r="BP225" s="2" t="e">
        <f ca="1">_xll.BDH($C$203,"MODIFIED_WORKING_CPTL_SEQ_GRWTH","FQ2 2018","FQ2 2018","Currency=INR","Period=FQ","BEST_FPERIOD_OVERRIDE=FQ","FILING_STATUS=OR","EQY_CONSOLIDATED=Y","Sort=A","Dates=H","DateFormat=P","Fill=—","Direction=H","UseDPDF=Y")</f>
        <v>#NAME?</v>
      </c>
      <c r="BQ225" s="2" t="e">
        <f ca="1">_xll.BDH($C$203,"WORKING_CAPITAL_SEQ_GROWTH","FQ2 2018","FQ2 2018","Currency=INR","Period=FQ","BEST_FPERIOD_OVERRIDE=FQ","FILING_STATUS=OR","EQY_CONSOLIDATED=Y","Sort=A","Dates=H","DateFormat=P","Fill=—","Direction=H","UseDPDF=Y")</f>
        <v>#NAME?</v>
      </c>
      <c r="BR225" s="2" t="e">
        <f ca="1">_xll.BDH($C$203,"ACCOUNTS_PAYABLE_SEQ_GROWTH","FQ2 2018","FQ2 2018","Currency=INR","Period=FQ","BEST_FPERIOD_OVERRIDE=FQ","FILING_STATUS=OR","EQY_CONSOLIDATED=Y","Sort=A","Dates=H","DateFormat=P","Fill=—","Direction=H","UseDPDF=Y")</f>
        <v>#NAME?</v>
      </c>
      <c r="BS225" s="2" t="e">
        <f ca="1">_xll.BDH($C$203,"ST_DEBT_SEQUENTIAL_GROWTH","FQ2 2018","FQ2 2018","Currency=INR","Period=FQ","BEST_FPERIOD_OVERRIDE=FQ","FILING_STATUS=OR","EQY_CONSOLIDATED=Y","Sort=A","Dates=H","DateFormat=P","Fill=—","Direction=H","UseDPDF=Y")</f>
        <v>#NAME?</v>
      </c>
      <c r="BT225" s="2" t="e">
        <f ca="1">_xll.BDH($C$203,"TOTAL_DEBT_SEQUENTIAL_GROWTH","FQ2 2018","FQ2 2018","Currency=INR","Period=FQ","BEST_FPERIOD_OVERRIDE=FQ","FILING_STATUS=OR","EQY_CONSOLIDATED=Y","Sort=A","Dates=H","DateFormat=P","Fill=—","Direction=H","UseDPDF=Y")</f>
        <v>#NAME?</v>
      </c>
      <c r="BU225" s="2" t="e">
        <f ca="1">_xll.BDH($C$203,"TOTAL_EQUITY_SEQUENTIAL_GROWTH","FQ2 2018","FQ2 2018","Currency=INR","Period=FQ","BEST_FPERIOD_OVERRIDE=FQ","FILING_STATUS=OR","EQY_CONSOLIDATED=Y","Sort=A","Dates=H","DateFormat=P","Fill=—","Direction=H","UseDPDF=Y")</f>
        <v>#NAME?</v>
      </c>
      <c r="BV225" s="2" t="e">
        <f ca="1">_xll.BDH($C$203,"TOTAL_CAPITAL_SEQUENTIAL_GROWTH","FQ2 2018","FQ2 2018","Currency=INR","Period=FQ","BEST_FPERIOD_OVERRIDE=FQ","FILING_STATUS=OR","EQY_CONSOLIDATED=Y","Sort=A","Dates=H","DateFormat=P","Fill=—","Direction=H","UseDPDF=Y")</f>
        <v>#NAME?</v>
      </c>
      <c r="BW225" s="2" t="e">
        <f ca="1">_xll.BDH($C$203,"BPS_SEQUENTIAL_GROWTH","FQ2 2018","FQ2 2018","Currency=INR","Period=FQ","BEST_FPERIOD_OVERRIDE=FQ","FILING_STATUS=OR","EQY_CONSOLIDATED=Y","Sort=A","Dates=H","DateFormat=P","Fill=—","Direction=H","UseDPDF=Y")</f>
        <v>#NAME?</v>
      </c>
      <c r="BX225" s="2" t="e">
        <f ca="1">_xll.BDH($C$203,"CFO_SEQUENTIAL_GROWTH","FQ2 2018","FQ2 2018","Currency=INR","Period=FQ","BEST_FPERIOD_OVERRIDE=FQ","FILING_STATUS=OR","EQY_CONSOLIDATED=Y","Sort=A","Dates=H","DateFormat=P","Fill=—","Direction=H","UseDPDF=Y")</f>
        <v>#NAME?</v>
      </c>
      <c r="BY225" s="3" t="e">
        <f ca="1">_xll.BDH($C$203,"SHORT_AND_LONG_TERM_DEBT","FQ2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225" s="3" t="e">
        <f ca="1">_xll.BDH($C$203,"BS_ST_BORROW","FQ2 2018","FQ2 2018","Currency=INR","Period=FQ","BEST_FPERIOD_OVERRIDE=FQ","FILING_STATUS=OR","EQY_CONSOLIDATED=Y","SCALING_FORMAT=MLN","Sort=A","Dates=H","DateFormat=P","Fill=—","Direction=H","UseDPDF=Y")</f>
        <v>#NAME?</v>
      </c>
      <c r="CA225" s="3" t="e">
        <f ca="1">_xll.BDH($C$203,"BS_LT_BORROW","FQ2 2018","FQ2 2018","Currency=INR","Period=FQ","BEST_FPERIOD_OVERRIDE=FQ","FILING_STATUS=OR","EQY_CONSOLIDATED=Y","SCALING_FORMAT=MLN","Sort=A","Dates=H","DateFormat=P","Fill=—","Direction=H","UseDPDF=Y")</f>
        <v>#NAME?</v>
      </c>
      <c r="CB225" s="2" t="e">
        <f ca="1">_xll.BDH($C$203,"TOT_DEBT_TO_EBITDA","FQ2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225" s="2" t="e">
        <f ca="1">_xll.BDH($C$203,"NET_DEBT_TO_EBITDA","FQ2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225" s="2" t="e">
        <f ca="1">_xll.BDH($C$203,"TOTAL_DEBT_TO_EBIT","FQ2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225" s="2" t="e">
        <f ca="1">_xll.BDH($C$203,"NET_DEBT_TO_EBIT","FQ2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225" s="2" t="e">
        <f ca="1">_xll.BDH($C$203,"EBITDA_TO_INTEREST_EXPN","FQ2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225" s="2" t="e">
        <f ca="1">_xll.BDH($C$203,"COM_EQY_TO_TOT_ASSET","FQ2 2018","FQ2 2018","Currency=INR","Period=FQ","BEST_FPERIOD_OVERRIDE=FQ","FILING_STATUS=OR","EQY_CONSOLIDATED=Y","Sort=A","Dates=H","DateFormat=P","Fill=—","Direction=H","UseDPDF=Y")</f>
        <v>#NAME?</v>
      </c>
      <c r="CH225" s="2" t="e">
        <f ca="1">_xll.BDH($C$203,"LT_DEBT_TO_TOT_EQY","FQ2 2018","FQ2 2018","Currency=INR","Period=FQ","BEST_FPERIOD_OVERRIDE=FQ","FILING_STATUS=OR","EQY_CONSOLIDATED=Y","Sort=A","Dates=H","DateFormat=P","Fill=—","Direction=H","UseDPDF=Y")</f>
        <v>#NAME?</v>
      </c>
      <c r="CI225" s="2" t="e">
        <f ca="1">_xll.BDH($C$203,"LT_DEBT_TO_TOT_CAP","FQ2 2018","FQ2 2018","Currency=INR","Period=FQ","BEST_FPERIOD_OVERRIDE=FQ","FILING_STATUS=OR","EQY_CONSOLIDATED=Y","Sort=A","Dates=H","DateFormat=P","Fill=—","Direction=H","UseDPDF=Y")</f>
        <v>#NAME?</v>
      </c>
      <c r="CJ225" s="2" t="e">
        <f ca="1">_xll.BDH($C$203,"LT_DEBT_TO_TOT_ASSET","FQ2 2018","FQ2 2018","Currency=INR","Period=FQ","BEST_FPERIOD_OVERRIDE=FQ","FILING_STATUS=OR","EQY_CONSOLIDATED=Y","Sort=A","Dates=H","DateFormat=P","Fill=—","Direction=H","UseDPDF=Y")</f>
        <v>#NAME?</v>
      </c>
      <c r="CK225" s="2" t="e">
        <f ca="1">_xll.BDH($C$203,"TOT_DEBT_TO_TOT_EQY","FQ2 2018","FQ2 2018","Currency=INR","Period=FQ","BEST_FPERIOD_OVERRIDE=FQ","FILING_STATUS=OR","EQY_CONSOLIDATED=Y","Sort=A","Dates=H","DateFormat=P","Fill=—","Direction=H","UseDPDF=Y")</f>
        <v>#NAME?</v>
      </c>
      <c r="CL225" s="2" t="e">
        <f ca="1">_xll.BDH($C$203,"TOT_DEBT_TO_TOT_CAP","FQ2 2018","FQ2 2018","Currency=INR","Period=FQ","BEST_FPERIOD_OVERRIDE=FQ","FILING_STATUS=OR","EQY_CONSOLIDATED=Y","Sort=A","Dates=H","DateFormat=P","Fill=—","Direction=H","UseDPDF=Y")</f>
        <v>#NAME?</v>
      </c>
      <c r="CM225" s="2" t="e">
        <f ca="1">_xll.BDH($C$203,"TOT_DEBT_TO_TOT_ASSET","FQ2 2018","FQ2 2018","Currency=INR","Period=FQ","BEST_FPERIOD_OVERRIDE=FQ","FILING_STATUS=OR","EQY_CONSOLIDATED=Y","Sort=A","Dates=H","DateFormat=P","Fill=—","Direction=H","UseDPDF=Y")</f>
        <v>#NAME?</v>
      </c>
      <c r="CN225" s="2" t="e">
        <f ca="1">_xll.BDH($C$203,"NET_DEBT_TO_SHRHLDR_EQTY","FQ2 2018","FQ2 2018","Currency=INR","Period=FQ","BEST_FPERIOD_OVERRIDE=FQ","FILING_STATUS=OR","EQY_CONSOLIDATED=Y","Sort=A","Dates=H","DateFormat=P","Fill=—","Direction=H","UseDPDF=Y")</f>
        <v>#NAME?</v>
      </c>
      <c r="CO225" s="2" t="e">
        <f ca="1">_xll.BDH($C$203,"NET_DEBT_%_CAPITAL","FQ2 2018","FQ2 2018","Currency=INR","Period=FQ","BEST_FPERIOD_OVERRIDE=FQ","FILING_STATUS=OR","EQY_CONSOLIDATED=Y","Sort=A","Dates=H","DateFormat=P","Fill=—","Direction=H","UseDPDF=Y")</f>
        <v>#NAME?</v>
      </c>
      <c r="CP225" s="3" t="e">
        <f ca="1">_xll.BDH($C$203,"EBITDA","FQ2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225" s="3" t="e">
        <f ca="1">_xll.BDH($C$203,"EBITDA_AFTER_CAPEX","FQ2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225" s="3" t="e">
        <f ca="1">_xll.BDH($C$203,"IS_OPER_INC","FQ2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225" s="2" t="e">
        <f ca="1">_xll.BDH($C$203,"CASH_RATIO","FQ2 2018","FQ2 2018","Currency=INR","Period=FQ","BEST_FPERIOD_OVERRIDE=FQ","FILING_STATUS=OR","EQY_CONSOLIDATED=Y","Sort=A","Dates=H","DateFormat=P","Fill=—","Direction=H","UseDPDF=Y")</f>
        <v>#NAME?</v>
      </c>
      <c r="CT225" s="2" t="e">
        <f ca="1">_xll.BDH($C$203,"CUR_RATIO","FQ2 2018","FQ2 2018","Currency=INR","Period=FQ","BEST_FPERIOD_OVERRIDE=FQ","FILING_STATUS=OR","EQY_CONSOLIDATED=Y","Sort=A","Dates=H","DateFormat=P","Fill=—","Direction=H","UseDPDF=Y")</f>
        <v>#NAME?</v>
      </c>
      <c r="CU225" s="2" t="e">
        <f ca="1">_xll.BDH($C$203,"QUICK_RATIO","FQ2 2018","FQ2 2018","Currency=INR","Period=FQ","BEST_FPERIOD_OVERRIDE=FQ","FILING_STATUS=OR","EQY_CONSOLIDATED=Y","Sort=A","Dates=H","DateFormat=P","Fill=—","Direction=H","UseDPDF=Y")</f>
        <v>#NAME?</v>
      </c>
      <c r="CV225" s="2" t="e">
        <f ca="1">_xll.BDH($C$203,"ALTMAN_Z_SCORE","FQ2 2018","FQ2 2018","Currency=INR","Period=FQ","BEST_FPERIOD_OVERRIDE=FQ","FILING_STATUS=OR","EQY_CONSOLIDATED=Y","Sort=A","Dates=H","DateFormat=P","Fill=—","Direction=H","UseDPDF=Y")</f>
        <v>#NAME?</v>
      </c>
      <c r="CW225" s="4" t="e">
        <f ca="1">_xll.BDH($C$203,"ACCT_RCV_TURN","FQ2 2018","FQ2 2018","Currency=INR","Period=FQ","BEST_FPERIOD_OVERRIDE=FQ","FILING_STATUS=OR","EQY_CONSOLIDATED=Y","FA_ADJUSTED=GAAP","Sort=A","Dates=H","DateFormat=P","Fill=—","Direction=H","UseDPDF=Y")</f>
        <v>#NAME?</v>
      </c>
      <c r="CX225" s="2" t="e">
        <f ca="1">_xll.BDH($C$203,"ACCT_RCV_DAYS","FQ2 2018","FQ2 2018","Currency=INR","Period=FQ","BEST_FPERIOD_OVERRIDE=FQ","FILING_STATUS=OR","EQY_CONSOLIDATED=Y","FA_ADJUSTED=GAAP","Sort=A","Dates=H","DateFormat=P","Fill=—","Direction=H","UseDPDF=Y")</f>
        <v>#NAME?</v>
      </c>
      <c r="CY225" s="4" t="e">
        <f ca="1">_xll.BDH($C$203,"INVENT_TURN","FQ2 2018","FQ2 2018","Currency=INR","Period=FQ","BEST_FPERIOD_OVERRIDE=FQ","FILING_STATUS=OR","EQY_CONSOLIDATED=Y","FA_ADJUSTED=GAAP","Sort=A","Dates=H","DateFormat=P","Fill=—","Direction=H","UseDPDF=Y")</f>
        <v>#NAME?</v>
      </c>
      <c r="CZ225" s="2" t="e">
        <f ca="1">_xll.BDH($C$203,"INVENT_DAYS","FQ2 2018","FQ2 2018","Currency=INR","Period=FQ","BEST_FPERIOD_OVERRIDE=FQ","FILING_STATUS=OR","EQY_CONSOLIDATED=Y","FA_ADJUSTED=GAAP","Sort=A","Dates=H","DateFormat=P","Fill=—","Direction=H","UseDPDF=Y")</f>
        <v>#NAME?</v>
      </c>
      <c r="DA225" s="4" t="e">
        <f ca="1">_xll.BDH($C$203,"ACCOUNTS_PAYABLE_TURNOVER","FQ2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225" s="2" t="e">
        <f ca="1">_xll.BDH($C$203,"ACCOUNTS_PAYABLE_TURNOVER_DAYS","FQ2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225" s="4" t="e">
        <f ca="1">_xll.BDH($C$203,"CASH_CONVERSION_CYCLE","FQ2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225" s="4" t="e">
        <f ca="1">_xll.BDH($C$203,"INV_TO_CASH_DAYS","FQ2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225" s="5" t="e">
        <f ca="1">_xll.BDH($C$203,"BS_INVENTORIES","FQ2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225" s="3" t="e">
        <f ca="1">_xll.BDH($C$203,"INVTRY_RAW_MATERIALS","FQ2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225" s="3" t="e">
        <f ca="1">_xll.BDH($C$203,"INVTRY_IN_PROGRESS","FQ2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225" s="3" t="e">
        <f ca="1">_xll.BDH($C$203,"INVTRY_FINISHED_GOODS","FQ2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225" s="3" t="e">
        <f ca="1">_xll.BDH($C$203,"BS_OTHER_INV","FQ2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226" spans="1:113" x14ac:dyDescent="0.3">
      <c r="A226" s="6"/>
      <c r="B226" s="6"/>
      <c r="C226" s="6"/>
      <c r="D226" s="6"/>
      <c r="E226" t="s">
        <v>80</v>
      </c>
      <c r="F226" t="e">
        <f ca="1">_xll.BDH($C$203,"RETURN_COM_EQY","FQ3 2018","FQ3 2018","Currency=INR","Period=FQ","BEST_FPERIOD_OVERRIDE=FQ","FILING_STATUS=OR","EQY_CONSOLIDATED=Y","FA_ADJUSTED=GAAP","Sort=A","Dates=H","DateFormat=P","Fill=—","Direction=H","UseDPDF=Y")</f>
        <v>#NAME?</v>
      </c>
      <c r="G226" t="e">
        <f ca="1">_xll.BDH($C$203,"RETURN_ON_ASSET","FQ3 2018","FQ3 2018","Currency=INR","Period=FQ","BEST_FPERIOD_OVERRIDE=FQ","FILING_STATUS=OR","EQY_CONSOLIDATED=Y","FA_ADJUSTED=GAAP","Sort=A","Dates=H","DateFormat=P","Fill=—","Direction=H","UseDPDF=Y")</f>
        <v>#NAME?</v>
      </c>
      <c r="H226" t="e">
        <f ca="1">_xll.BDH($C$203,"RETURN_ON_CAP","FQ3 2018","FQ3 2018","Currency=INR","Period=FQ","BEST_FPERIOD_OVERRIDE=FQ","FILING_STATUS=OR","EQY_CONSOLIDATED=Y","FA_ADJUSTED=GAAP","Sort=A","Dates=H","DateFormat=P","Fill=—","Direction=H","UseDPDF=Y")</f>
        <v>#NAME?</v>
      </c>
      <c r="I226" t="e">
        <f ca="1">_xll.BDH($C$203,"RETURN_ON_INV_CAPITAL","FQ3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226" t="e">
        <f ca="1">_xll.BDH($C$203,"EBITDA_TO_REVENUE","FQ3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226" t="e">
        <f ca="1">_xll.BDH($C$203,"OPER_MARGIN","FQ3 2018","FQ3 2018","Currency=INR","Period=FQ","BEST_FPERIOD_OVERRIDE=FQ","FILING_STATUS=OR","EQY_CONSOLIDATED=Y","FA_ADJUSTED=GAAP","Sort=A","Dates=H","DateFormat=P","Fill=—","Direction=H","UseDPDF=Y")</f>
        <v>#NAME?</v>
      </c>
      <c r="L226" t="e">
        <f ca="1">_xll.BDH($C$203,"INCREMENTAL_OPERATING_MARGIN","FQ3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226" t="e">
        <f ca="1">_xll.BDH($C$203,"PRETAX_INC_TO_NET_SALES","FQ3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226" t="e">
        <f ca="1">_xll.BDH($C$203,"INC_BEF_XO_ITEMS_TO_NET_SALES","FQ3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226" t="e">
        <f ca="1">_xll.BDH($C$203,"PROF_MARGIN","FQ3 2018","FQ3 2018","Currency=INR","Period=FQ","BEST_FPERIOD_OVERRIDE=FQ","FILING_STATUS=OR","EQY_CONSOLIDATED=Y","FA_ADJUSTED=GAAP","Sort=A","Dates=H","DateFormat=P","Fill=—","Direction=H","UseDPDF=Y")</f>
        <v>#NAME?</v>
      </c>
      <c r="P226" t="e">
        <f ca="1">_xll.BDH($C$203,"NET_INCOME_TO_COMMON_MARGIN","FQ3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226" t="e">
        <f ca="1">_xll.BDH($C$203,"EFF_TAX_RATE","FQ3 2018","FQ3 2018","Currency=INR","Period=FQ","BEST_FPERIOD_OVERRIDE=FQ","FILING_STATUS=OR","EQY_CONSOLIDATED=Y","FA_ADJUSTED=GAAP","Sort=A","Dates=H","DateFormat=P","Fill=—","Direction=H","UseDPDF=Y")</f>
        <v>#NAME?</v>
      </c>
      <c r="R226" t="e">
        <f ca="1">_xll.BDH($C$203,"DVD_PAYOUT_RATIO","FQ3 2018","FQ3 2018","Currency=INR","Period=FQ","BEST_FPERIOD_OVERRIDE=FQ","FILING_STATUS=OR","EQY_CONSOLIDATED=Y","FA_ADJUSTED=GAAP","Sort=A","Dates=H","DateFormat=P","Fill=—","Direction=H","UseDPDF=Y")</f>
        <v>#NAME?</v>
      </c>
      <c r="S226" t="e">
        <f ca="1">_xll.BDH($C$203,"SUSTAIN_GROWTH_RT","FQ3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226" s="2" t="e">
        <f ca="1">_xll.BDH($C$203,"SALES_GROWTH","FQ3 2018","FQ3 2018","Currency=INR","Period=FQ","BEST_FPERIOD_OVERRIDE=FQ","FILING_STATUS=OR","EQY_CONSOLIDATED=Y","FA_ADJUSTED=GAAP","Sort=A","Dates=H","DateFormat=P","Fill=—","Direction=H","UseDPDF=Y")</f>
        <v>#NAME?</v>
      </c>
      <c r="U226" s="2" t="e">
        <f ca="1">_xll.BDH($C$203,"EBITDA_GROWTH","FQ3 2018","FQ3 2018","Currency=INR","Period=FQ","BEST_FPERIOD_OVERRIDE=FQ","FILING_STATUS=OR","EQY_CONSOLIDATED=Y","FA_ADJUSTED=GAAP","Sort=A","Dates=H","DateFormat=P","Fill=—","Direction=H","UseDPDF=Y")</f>
        <v>#NAME?</v>
      </c>
      <c r="V226" s="2" t="e">
        <f ca="1">_xll.BDH($C$203,"OPER_INC_GROWTH","FQ3 2018","FQ3 2018","Currency=INR","Period=FQ","BEST_FPERIOD_OVERRIDE=FQ","FILING_STATUS=OR","EQY_CONSOLIDATED=Y","FA_ADJUSTED=GAAP","Sort=A","Dates=H","DateFormat=P","Fill=—","Direction=H","UseDPDF=Y")</f>
        <v>#NAME?</v>
      </c>
      <c r="W226" s="2" t="e">
        <f ca="1">_xll.BDH($C$203,"EARN_FOR_COM_GROWTH","FQ3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226" s="2" t="e">
        <f ca="1">_xll.BDH($C$203,"DILUTED_EPS_AFT_XO_ITEMS_GROWTH","FQ3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226" s="2" t="e">
        <f ca="1">_xll.BDH($C$203,"DIVIDEND_PER_SHARE_1_YEAR_GROWTH","FQ3 2018","FQ3 2018","Currency=INR","Period=FQ","BEST_FPERIOD_OVERRIDE=FQ","FILING_STATUS=OR","EQY_CONSOLIDATED=Y","Sort=A","Dates=H","DateFormat=P","Fill=—","Direction=H","UseDPDF=Y")</f>
        <v>#NAME?</v>
      </c>
      <c r="Z226" s="2" t="e">
        <f ca="1">_xll.BDH($C$203,"ACCOUNTS_RECEIVABLE_GROWTH","FQ3 2018","FQ3 2018","Currency=INR","Period=FQ","BEST_FPERIOD_OVERRIDE=FQ","FILING_STATUS=OR","EQY_CONSOLIDATED=Y","Sort=A","Dates=H","DateFormat=P","Fill=—","Direction=H","UseDPDF=Y")</f>
        <v>#NAME?</v>
      </c>
      <c r="AA226" s="2" t="e">
        <f ca="1">_xll.BDH($C$203,"INVENTORY_GROWTH","FQ3 2018","FQ3 2018","Currency=INR","Period=FQ","BEST_FPERIOD_OVERRIDE=FQ","FILING_STATUS=OR","EQY_CONSOLIDATED=Y","Sort=A","Dates=H","DateFormat=P","Fill=—","Direction=H","UseDPDF=Y")</f>
        <v>#NAME?</v>
      </c>
      <c r="AB226" s="2" t="e">
        <f ca="1">_xll.BDH($C$203,"NET_FIXED_ASSETS_1_YEAR_GROWTH","FQ3 2018","FQ3 2018","Currency=INR","Period=FQ","BEST_FPERIOD_OVERRIDE=FQ","FILING_STATUS=OR","EQY_CONSOLIDATED=Y","Sort=A","Dates=H","DateFormat=P","Fill=—","Direction=H","UseDPDF=Y")</f>
        <v>#NAME?</v>
      </c>
      <c r="AC226" s="2" t="e">
        <f ca="1">_xll.BDH($C$203,"ASSET_GROWTH","FQ3 2018","FQ3 2018","Currency=INR","Period=FQ","BEST_FPERIOD_OVERRIDE=FQ","FILING_STATUS=OR","EQY_CONSOLIDATED=Y","Sort=A","Dates=H","DateFormat=P","Fill=—","Direction=H","UseDPDF=Y")</f>
        <v>#NAME?</v>
      </c>
      <c r="AD226" s="2" t="e">
        <f ca="1">_xll.BDH($C$203,"MODIFIED_WORK_CAP_GROWTH","FQ3 2018","FQ3 2018","Currency=INR","Period=FQ","BEST_FPERIOD_OVERRIDE=FQ","FILING_STATUS=OR","EQY_CONSOLIDATED=Y","Sort=A","Dates=H","DateFormat=P","Fill=—","Direction=H","UseDPDF=Y")</f>
        <v>#NAME?</v>
      </c>
      <c r="AE226" s="2" t="e">
        <f ca="1">_xll.BDH($C$203,"WORK_CAP_GROWTH","FQ3 2018","FQ3 2018","Currency=INR","Period=FQ","BEST_FPERIOD_OVERRIDE=FQ","FILING_STATUS=OR","EQY_CONSOLIDATED=Y","Sort=A","Dates=H","DateFormat=P","Fill=—","Direction=H","UseDPDF=Y")</f>
        <v>#NAME?</v>
      </c>
      <c r="AF226" s="2" t="e">
        <f ca="1">_xll.BDH($C$203,"ACCOUNTS_PAYABLE_GROWTH_1YR","FQ3 2018","FQ3 2018","Currency=INR","Period=FQ","BEST_FPERIOD_OVERRIDE=FQ","FILING_STATUS=OR","EQY_CONSOLIDATED=Y","Sort=A","Dates=H","DateFormat=P","Fill=—","Direction=H","UseDPDF=Y")</f>
        <v>#NAME?</v>
      </c>
      <c r="AG226" s="2" t="e">
        <f ca="1">_xll.BDH($C$203,"SHORT_TERM_DEBT_1_YEAR_GROWTH","FQ3 2018","FQ3 2018","Currency=INR","Period=FQ","BEST_FPERIOD_OVERRIDE=FQ","FILING_STATUS=OR","EQY_CONSOLIDATED=Y","Sort=A","Dates=H","DateFormat=P","Fill=—","Direction=H","UseDPDF=Y")</f>
        <v>#NAME?</v>
      </c>
      <c r="AH226" s="2" t="e">
        <f ca="1">_xll.BDH($C$203,"TOTAL_DEBT_1_YEAR_GROWTH","FQ3 2018","FQ3 2018","Currency=INR","Period=FQ","BEST_FPERIOD_OVERRIDE=FQ","FILING_STATUS=OR","EQY_CONSOLIDATED=Y","Sort=A","Dates=H","DateFormat=P","Fill=—","Direction=H","UseDPDF=Y")</f>
        <v>#NAME?</v>
      </c>
      <c r="AI226" s="2" t="e">
        <f ca="1">_xll.BDH($C$203,"TOTAL_EQUITY_1_YEAR_GROWTH","FQ3 2018","FQ3 2018","Currency=INR","Period=FQ","BEST_FPERIOD_OVERRIDE=FQ","FILING_STATUS=OR","EQY_CONSOLIDATED=Y","Sort=A","Dates=H","DateFormat=P","Fill=—","Direction=H","UseDPDF=Y")</f>
        <v>#NAME?</v>
      </c>
      <c r="AJ226" s="2" t="e">
        <f ca="1">_xll.BDH($C$203,"GROWTH_IN_CAP","FQ3 2018","FQ3 2018","Currency=INR","Period=FQ","BEST_FPERIOD_OVERRIDE=FQ","FILING_STATUS=OR","EQY_CONSOLIDATED=Y","Sort=A","Dates=H","DateFormat=P","Fill=—","Direction=H","UseDPDF=Y")</f>
        <v>#NAME?</v>
      </c>
      <c r="AK226" s="2" t="e">
        <f ca="1">_xll.BDH($C$203,"BVPS_GROWTH","FQ3 2018","FQ3 2018","Currency=INR","Period=FQ","BEST_FPERIOD_OVERRIDE=FQ","FILING_STATUS=OR","EQY_CONSOLIDATED=Y","Sort=A","Dates=H","DateFormat=P","Fill=—","Direction=H","UseDPDF=Y")</f>
        <v>#NAME?</v>
      </c>
      <c r="AL226" s="2" t="e">
        <f ca="1">_xll.BDH($C$203,"CASH_FLOW_GROWTH","FQ3 2018","FQ3 2018","Currency=INR","Period=FQ","BEST_FPERIOD_OVERRIDE=FQ","FILING_STATUS=OR","EQY_CONSOLIDATED=Y","Sort=A","Dates=H","DateFormat=P","Fill=—","Direction=H","UseDPDF=Y")</f>
        <v>#NAME?</v>
      </c>
      <c r="AM226" s="2" t="e">
        <f ca="1">_xll.BDH($C$203,"GEO_GROW_NET_SALES","FQ3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226" s="2" t="e">
        <f ca="1">_xll.BDH($C$203,"GEO_GROW_EBITDA","FQ3 2018","FQ3 2018","Currency=INR","Period=FQ","BEST_FPERIOD_OVERRIDE=FQ","FILING_STATUS=OR","EQY_CONSOLIDATED=Y","FA_ADJUSTED=GAAP","Sort=A","Dates=H","DateFormat=P","Fill=—","Direction=H","UseDPDF=Y")</f>
        <v>#NAME?</v>
      </c>
      <c r="AO226" s="2" t="e">
        <f ca="1">_xll.BDH($C$203,"GEO_GROW_OPER_INC","FQ3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226" s="2" t="e">
        <f ca="1">_xll.BDH($C$203,"NET_INCOME_TO_COMMON_5_YR_GROWTH","FQ3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226" s="2" t="e">
        <f ca="1">_xll.BDH($C$203,"5Y_GEO_GROWTH_DILUTED_EPS","FQ3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226" s="2" t="e">
        <f ca="1">_xll.BDH($C$203,"GEO_GROW_DVD_PER_SH","FQ3 2018","FQ3 2018","Currency=INR","Period=FQ","BEST_FPERIOD_OVERRIDE=FQ","FILING_STATUS=OR","EQY_CONSOLIDATED=Y","Sort=A","Dates=H","DateFormat=P","Fill=—","Direction=H","UseDPDF=Y")</f>
        <v>#NAME?</v>
      </c>
      <c r="AS226" s="2" t="e">
        <f ca="1">_xll.BDH($C$203,"ACCOUNTS_RECEIVABLE_5_YR_GROWTH","FQ3 2018","FQ3 2018","Currency=INR","Period=FQ","BEST_FPERIOD_OVERRIDE=FQ","FILING_STATUS=OR","EQY_CONSOLIDATED=Y","Sort=A","Dates=H","DateFormat=P","Fill=—","Direction=H","UseDPDF=Y")</f>
        <v>#NAME?</v>
      </c>
      <c r="AT226" s="2" t="e">
        <f ca="1">_xll.BDH($C$203,"INVENTORY_5_YEAR_GROWTH","FQ3 2018","FQ3 2018","Currency=INR","Period=FQ","BEST_FPERIOD_OVERRIDE=FQ","FILING_STATUS=OR","EQY_CONSOLIDATED=Y","Sort=A","Dates=H","DateFormat=P","Fill=—","Direction=H","UseDPDF=Y")</f>
        <v>#NAME?</v>
      </c>
      <c r="AU226" s="2" t="e">
        <f ca="1">_xll.BDH($C$203,"NET_FIXED_ASSETS_5_YEAR_GROWTH","FQ3 2018","FQ3 2018","Currency=INR","Period=FQ","BEST_FPERIOD_OVERRIDE=FQ","FILING_STATUS=OR","EQY_CONSOLIDATED=Y","Sort=A","Dates=H","DateFormat=P","Fill=—","Direction=H","UseDPDF=Y")</f>
        <v>#NAME?</v>
      </c>
      <c r="AV226" s="2" t="e">
        <f ca="1">_xll.BDH($C$203,"GEO_GROW_TOT_ASSET","FQ3 2018","FQ3 2018","Currency=INR","Period=FQ","BEST_FPERIOD_OVERRIDE=FQ","FILING_STATUS=OR","EQY_CONSOLIDATED=Y","Sort=A","Dates=H","DateFormat=P","Fill=—","Direction=H","UseDPDF=Y")</f>
        <v>#NAME?</v>
      </c>
      <c r="AW226" s="2" t="e">
        <f ca="1">_xll.BDH($C$203,"MODIFIED_WORKING_CPTL_5YR_GRWTH","FQ3 2018","FQ3 2018","Currency=INR","Period=FQ","BEST_FPERIOD_OVERRIDE=FQ","FILING_STATUS=OR","EQY_CONSOLIDATED=Y","Sort=A","Dates=H","DateFormat=P","Fill=—","Direction=H","UseDPDF=Y")</f>
        <v>#NAME?</v>
      </c>
      <c r="AX226" s="2" t="e">
        <f ca="1">_xll.BDH($C$203,"WORKING_CAPITAL_5_YEAR_GROWTH","FQ3 2018","FQ3 2018","Currency=INR","Period=FQ","BEST_FPERIOD_OVERRIDE=FQ","FILING_STATUS=OR","EQY_CONSOLIDATED=Y","Sort=A","Dates=H","DateFormat=P","Fill=—","Direction=H","UseDPDF=Y")</f>
        <v>#NAME?</v>
      </c>
      <c r="AY226" s="2" t="e">
        <f ca="1">_xll.BDH($C$203,"ACCOUNTS_PAYABLE_5_YEAR_GROWTH","FQ3 2018","FQ3 2018","Currency=INR","Period=FQ","BEST_FPERIOD_OVERRIDE=FQ","FILING_STATUS=OR","EQY_CONSOLIDATED=Y","Sort=A","Dates=H","DateFormat=P","Fill=—","Direction=H","UseDPDF=Y")</f>
        <v>#NAME?</v>
      </c>
      <c r="AZ226" s="2" t="e">
        <f ca="1">_xll.BDH($C$203,"SHORT_TERM_DEBT_5_YEAR_GROWTH","FQ3 2018","FQ3 2018","Currency=INR","Period=FQ","BEST_FPERIOD_OVERRIDE=FQ","FILING_STATUS=OR","EQY_CONSOLIDATED=Y","Sort=A","Dates=H","DateFormat=P","Fill=—","Direction=H","UseDPDF=Y")</f>
        <v>#NAME?</v>
      </c>
      <c r="BA226" s="2" t="e">
        <f ca="1">_xll.BDH($C$203,"TOTAL_DEBT_5_YEAR_GROWTH","FQ3 2018","FQ3 2018","Currency=INR","Period=FQ","BEST_FPERIOD_OVERRIDE=FQ","FILING_STATUS=OR","EQY_CONSOLIDATED=Y","Sort=A","Dates=H","DateFormat=P","Fill=—","Direction=H","UseDPDF=Y")</f>
        <v>#NAME?</v>
      </c>
      <c r="BB226" s="2" t="e">
        <f ca="1">_xll.BDH($C$203,"GEO_GROW_TOT_SHRHLDR_EQY","FQ3 2018","FQ3 2018","Currency=INR","Period=FQ","BEST_FPERIOD_OVERRIDE=FQ","FILING_STATUS=OR","EQY_CONSOLIDATED=Y","Sort=A","Dates=H","DateFormat=P","Fill=—","Direction=H","UseDPDF=Y")</f>
        <v>#NAME?</v>
      </c>
      <c r="BC226" s="2" t="e">
        <f ca="1">_xll.BDH($C$203,"TOTAL_CAPITAL_5_YEAR_GROWTH","FQ3 2018","FQ3 2018","Currency=INR","Period=FQ","BEST_FPERIOD_OVERRIDE=FQ","FILING_STATUS=OR","EQY_CONSOLIDATED=Y","Sort=A","Dates=H","DateFormat=P","Fill=—","Direction=H","UseDPDF=Y")</f>
        <v>#NAME?</v>
      </c>
      <c r="BD226" s="2" t="e">
        <f ca="1">_xll.BDH($C$203,"GEO_GROW_BOOK_VAL","FQ3 2018","FQ3 2018","Currency=INR","Period=FQ","BEST_FPERIOD_OVERRIDE=FQ","FILING_STATUS=OR","EQY_CONSOLIDATED=Y","Sort=A","Dates=H","DateFormat=P","Fill=—","Direction=H","UseDPDF=Y")</f>
        <v>#NAME?</v>
      </c>
      <c r="BE226" s="2" t="e">
        <f ca="1">_xll.BDH($C$203,"GEO_GROW_CASH_OPER_ACT","FQ3 2018","FQ3 2018","Currency=INR","Period=FQ","BEST_FPERIOD_OVERRIDE=FQ","FILING_STATUS=OR","EQY_CONSOLIDATED=Y","Sort=A","Dates=H","DateFormat=P","Fill=—","Direction=H","UseDPDF=Y")</f>
        <v>#NAME?</v>
      </c>
      <c r="BF226" s="2" t="e">
        <f ca="1">_xll.BDH($C$203,"REVENUE_SEQUENTIAL_GROWTH","FQ3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226" s="2" t="e">
        <f ca="1">_xll.BDH($C$203,"EBITDA_SEQUENTIAL_GROWTH","FQ3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226" s="2" t="e">
        <f ca="1">_xll.BDH($C$203,"OPERATING_INCOME_SEQ_GROWTH","FQ3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226" s="2" t="e">
        <f ca="1">_xll.BDH($C$203,"NET_INCOME_TO_COMMON_SEQ_GROWTH","FQ3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226" s="2" t="e">
        <f ca="1">_xll.BDH($C$203,"EPS_DILUTED_SEQUENTIAL_GROWTH","FQ3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226" s="2" t="e">
        <f ca="1">_xll.BDH($C$203,"DPS_SEQUENTIAL_GROWTH","FQ3 2018","FQ3 2018","Currency=INR","Period=FQ","BEST_FPERIOD_OVERRIDE=FQ","FILING_STATUS=OR","EQY_CONSOLIDATED=Y","Sort=A","Dates=H","DateFormat=P","Fill=—","Direction=H","UseDPDF=Y")</f>
        <v>#NAME?</v>
      </c>
      <c r="BL226" s="2" t="e">
        <f ca="1">_xll.BDH($C$203,"ACCOUNTS_RECEIVABLE_SEQ_GROWTH","FQ3 2018","FQ3 2018","Currency=INR","Period=FQ","BEST_FPERIOD_OVERRIDE=FQ","FILING_STATUS=OR","EQY_CONSOLIDATED=Y","Sort=A","Dates=H","DateFormat=P","Fill=—","Direction=H","UseDPDF=Y")</f>
        <v>#NAME?</v>
      </c>
      <c r="BM226" s="2" t="e">
        <f ca="1">_xll.BDH($C$203,"INVENTORY_SEQUENTIAL_GROWTH","FQ3 2018","FQ3 2018","Currency=INR","Period=FQ","BEST_FPERIOD_OVERRIDE=FQ","FILING_STATUS=OR","EQY_CONSOLIDATED=Y","Sort=A","Dates=H","DateFormat=P","Fill=—","Direction=H","UseDPDF=Y")</f>
        <v>#NAME?</v>
      </c>
      <c r="BN226" s="2" t="e">
        <f ca="1">_xll.BDH($C$203,"FIXED_ASSETS_SEQUENTIAL_GROWTH","FQ3 2018","FQ3 2018","Currency=INR","Period=FQ","BEST_FPERIOD_OVERRIDE=FQ","FILING_STATUS=OR","EQY_CONSOLIDATED=Y","Sort=A","Dates=H","DateFormat=P","Fill=—","Direction=H","UseDPDF=Y")</f>
        <v>#NAME?</v>
      </c>
      <c r="BO226" s="2" t="e">
        <f ca="1">_xll.BDH($C$203,"TOTAL_ASSETS_SEQUENTIAL_GROWTH","FQ3 2018","FQ3 2018","Currency=INR","Period=FQ","BEST_FPERIOD_OVERRIDE=FQ","FILING_STATUS=OR","EQY_CONSOLIDATED=Y","Sort=A","Dates=H","DateFormat=P","Fill=—","Direction=H","UseDPDF=Y")</f>
        <v>#NAME?</v>
      </c>
      <c r="BP226" s="2" t="e">
        <f ca="1">_xll.BDH($C$203,"MODIFIED_WORKING_CPTL_SEQ_GRWTH","FQ3 2018","FQ3 2018","Currency=INR","Period=FQ","BEST_FPERIOD_OVERRIDE=FQ","FILING_STATUS=OR","EQY_CONSOLIDATED=Y","Sort=A","Dates=H","DateFormat=P","Fill=—","Direction=H","UseDPDF=Y")</f>
        <v>#NAME?</v>
      </c>
      <c r="BQ226" s="2" t="e">
        <f ca="1">_xll.BDH($C$203,"WORKING_CAPITAL_SEQ_GROWTH","FQ3 2018","FQ3 2018","Currency=INR","Period=FQ","BEST_FPERIOD_OVERRIDE=FQ","FILING_STATUS=OR","EQY_CONSOLIDATED=Y","Sort=A","Dates=H","DateFormat=P","Fill=—","Direction=H","UseDPDF=Y")</f>
        <v>#NAME?</v>
      </c>
      <c r="BR226" s="2" t="e">
        <f ca="1">_xll.BDH($C$203,"ACCOUNTS_PAYABLE_SEQ_GROWTH","FQ3 2018","FQ3 2018","Currency=INR","Period=FQ","BEST_FPERIOD_OVERRIDE=FQ","FILING_STATUS=OR","EQY_CONSOLIDATED=Y","Sort=A","Dates=H","DateFormat=P","Fill=—","Direction=H","UseDPDF=Y")</f>
        <v>#NAME?</v>
      </c>
      <c r="BS226" s="2" t="e">
        <f ca="1">_xll.BDH($C$203,"ST_DEBT_SEQUENTIAL_GROWTH","FQ3 2018","FQ3 2018","Currency=INR","Period=FQ","BEST_FPERIOD_OVERRIDE=FQ","FILING_STATUS=OR","EQY_CONSOLIDATED=Y","Sort=A","Dates=H","DateFormat=P","Fill=—","Direction=H","UseDPDF=Y")</f>
        <v>#NAME?</v>
      </c>
      <c r="BT226" s="2" t="e">
        <f ca="1">_xll.BDH($C$203,"TOTAL_DEBT_SEQUENTIAL_GROWTH","FQ3 2018","FQ3 2018","Currency=INR","Period=FQ","BEST_FPERIOD_OVERRIDE=FQ","FILING_STATUS=OR","EQY_CONSOLIDATED=Y","Sort=A","Dates=H","DateFormat=P","Fill=—","Direction=H","UseDPDF=Y")</f>
        <v>#NAME?</v>
      </c>
      <c r="BU226" s="2" t="e">
        <f ca="1">_xll.BDH($C$203,"TOTAL_EQUITY_SEQUENTIAL_GROWTH","FQ3 2018","FQ3 2018","Currency=INR","Period=FQ","BEST_FPERIOD_OVERRIDE=FQ","FILING_STATUS=OR","EQY_CONSOLIDATED=Y","Sort=A","Dates=H","DateFormat=P","Fill=—","Direction=H","UseDPDF=Y")</f>
        <v>#NAME?</v>
      </c>
      <c r="BV226" s="2" t="e">
        <f ca="1">_xll.BDH($C$203,"TOTAL_CAPITAL_SEQUENTIAL_GROWTH","FQ3 2018","FQ3 2018","Currency=INR","Period=FQ","BEST_FPERIOD_OVERRIDE=FQ","FILING_STATUS=OR","EQY_CONSOLIDATED=Y","Sort=A","Dates=H","DateFormat=P","Fill=—","Direction=H","UseDPDF=Y")</f>
        <v>#NAME?</v>
      </c>
      <c r="BW226" s="2" t="e">
        <f ca="1">_xll.BDH($C$203,"BPS_SEQUENTIAL_GROWTH","FQ3 2018","FQ3 2018","Currency=INR","Period=FQ","BEST_FPERIOD_OVERRIDE=FQ","FILING_STATUS=OR","EQY_CONSOLIDATED=Y","Sort=A","Dates=H","DateFormat=P","Fill=—","Direction=H","UseDPDF=Y")</f>
        <v>#NAME?</v>
      </c>
      <c r="BX226" s="2" t="e">
        <f ca="1">_xll.BDH($C$203,"CFO_SEQUENTIAL_GROWTH","FQ3 2018","FQ3 2018","Currency=INR","Period=FQ","BEST_FPERIOD_OVERRIDE=FQ","FILING_STATUS=OR","EQY_CONSOLIDATED=Y","Sort=A","Dates=H","DateFormat=P","Fill=—","Direction=H","UseDPDF=Y")</f>
        <v>#NAME?</v>
      </c>
      <c r="BY226" s="3" t="e">
        <f ca="1">_xll.BDH($C$203,"SHORT_AND_LONG_TERM_DEBT","FQ3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226" s="3" t="e">
        <f ca="1">_xll.BDH($C$203,"BS_ST_BORROW","FQ3 2018","FQ3 2018","Currency=INR","Period=FQ","BEST_FPERIOD_OVERRIDE=FQ","FILING_STATUS=OR","EQY_CONSOLIDATED=Y","SCALING_FORMAT=MLN","Sort=A","Dates=H","DateFormat=P","Fill=—","Direction=H","UseDPDF=Y")</f>
        <v>#NAME?</v>
      </c>
      <c r="CA226" s="3" t="e">
        <f ca="1">_xll.BDH($C$203,"BS_LT_BORROW","FQ3 2018","FQ3 2018","Currency=INR","Period=FQ","BEST_FPERIOD_OVERRIDE=FQ","FILING_STATUS=OR","EQY_CONSOLIDATED=Y","SCALING_FORMAT=MLN","Sort=A","Dates=H","DateFormat=P","Fill=—","Direction=H","UseDPDF=Y")</f>
        <v>#NAME?</v>
      </c>
      <c r="CB226" s="2" t="e">
        <f ca="1">_xll.BDH($C$203,"TOT_DEBT_TO_EBITDA","FQ3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226" s="2" t="e">
        <f ca="1">_xll.BDH($C$203,"NET_DEBT_TO_EBITDA","FQ3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226" s="2" t="e">
        <f ca="1">_xll.BDH($C$203,"TOTAL_DEBT_TO_EBIT","FQ3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226" s="2" t="e">
        <f ca="1">_xll.BDH($C$203,"NET_DEBT_TO_EBIT","FQ3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226" s="2" t="e">
        <f ca="1">_xll.BDH($C$203,"EBITDA_TO_INTEREST_EXPN","FQ3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226" s="2" t="e">
        <f ca="1">_xll.BDH($C$203,"COM_EQY_TO_TOT_ASSET","FQ3 2018","FQ3 2018","Currency=INR","Period=FQ","BEST_FPERIOD_OVERRIDE=FQ","FILING_STATUS=OR","EQY_CONSOLIDATED=Y","Sort=A","Dates=H","DateFormat=P","Fill=—","Direction=H","UseDPDF=Y")</f>
        <v>#NAME?</v>
      </c>
      <c r="CH226" s="2" t="e">
        <f ca="1">_xll.BDH($C$203,"LT_DEBT_TO_TOT_EQY","FQ3 2018","FQ3 2018","Currency=INR","Period=FQ","BEST_FPERIOD_OVERRIDE=FQ","FILING_STATUS=OR","EQY_CONSOLIDATED=Y","Sort=A","Dates=H","DateFormat=P","Fill=—","Direction=H","UseDPDF=Y")</f>
        <v>#NAME?</v>
      </c>
      <c r="CI226" s="2" t="e">
        <f ca="1">_xll.BDH($C$203,"LT_DEBT_TO_TOT_CAP","FQ3 2018","FQ3 2018","Currency=INR","Period=FQ","BEST_FPERIOD_OVERRIDE=FQ","FILING_STATUS=OR","EQY_CONSOLIDATED=Y","Sort=A","Dates=H","DateFormat=P","Fill=—","Direction=H","UseDPDF=Y")</f>
        <v>#NAME?</v>
      </c>
      <c r="CJ226" s="2" t="e">
        <f ca="1">_xll.BDH($C$203,"LT_DEBT_TO_TOT_ASSET","FQ3 2018","FQ3 2018","Currency=INR","Period=FQ","BEST_FPERIOD_OVERRIDE=FQ","FILING_STATUS=OR","EQY_CONSOLIDATED=Y","Sort=A","Dates=H","DateFormat=P","Fill=—","Direction=H","UseDPDF=Y")</f>
        <v>#NAME?</v>
      </c>
      <c r="CK226" s="2" t="e">
        <f ca="1">_xll.BDH($C$203,"TOT_DEBT_TO_TOT_EQY","FQ3 2018","FQ3 2018","Currency=INR","Period=FQ","BEST_FPERIOD_OVERRIDE=FQ","FILING_STATUS=OR","EQY_CONSOLIDATED=Y","Sort=A","Dates=H","DateFormat=P","Fill=—","Direction=H","UseDPDF=Y")</f>
        <v>#NAME?</v>
      </c>
      <c r="CL226" s="2" t="e">
        <f ca="1">_xll.BDH($C$203,"TOT_DEBT_TO_TOT_CAP","FQ3 2018","FQ3 2018","Currency=INR","Period=FQ","BEST_FPERIOD_OVERRIDE=FQ","FILING_STATUS=OR","EQY_CONSOLIDATED=Y","Sort=A","Dates=H","DateFormat=P","Fill=—","Direction=H","UseDPDF=Y")</f>
        <v>#NAME?</v>
      </c>
      <c r="CM226" s="2" t="e">
        <f ca="1">_xll.BDH($C$203,"TOT_DEBT_TO_TOT_ASSET","FQ3 2018","FQ3 2018","Currency=INR","Period=FQ","BEST_FPERIOD_OVERRIDE=FQ","FILING_STATUS=OR","EQY_CONSOLIDATED=Y","Sort=A","Dates=H","DateFormat=P","Fill=—","Direction=H","UseDPDF=Y")</f>
        <v>#NAME?</v>
      </c>
      <c r="CN226" s="2" t="e">
        <f ca="1">_xll.BDH($C$203,"NET_DEBT_TO_SHRHLDR_EQTY","FQ3 2018","FQ3 2018","Currency=INR","Period=FQ","BEST_FPERIOD_OVERRIDE=FQ","FILING_STATUS=OR","EQY_CONSOLIDATED=Y","Sort=A","Dates=H","DateFormat=P","Fill=—","Direction=H","UseDPDF=Y")</f>
        <v>#NAME?</v>
      </c>
      <c r="CO226" s="2" t="e">
        <f ca="1">_xll.BDH($C$203,"NET_DEBT_%_CAPITAL","FQ3 2018","FQ3 2018","Currency=INR","Period=FQ","BEST_FPERIOD_OVERRIDE=FQ","FILING_STATUS=OR","EQY_CONSOLIDATED=Y","Sort=A","Dates=H","DateFormat=P","Fill=—","Direction=H","UseDPDF=Y")</f>
        <v>#NAME?</v>
      </c>
      <c r="CP226" s="3" t="e">
        <f ca="1">_xll.BDH($C$203,"EBITDA","FQ3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226" s="3" t="e">
        <f ca="1">_xll.BDH($C$203,"EBITDA_AFTER_CAPEX","FQ3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226" s="3" t="e">
        <f ca="1">_xll.BDH($C$203,"IS_OPER_INC","FQ3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226" s="2" t="e">
        <f ca="1">_xll.BDH($C$203,"CASH_RATIO","FQ3 2018","FQ3 2018","Currency=INR","Period=FQ","BEST_FPERIOD_OVERRIDE=FQ","FILING_STATUS=OR","EQY_CONSOLIDATED=Y","Sort=A","Dates=H","DateFormat=P","Fill=—","Direction=H","UseDPDF=Y")</f>
        <v>#NAME?</v>
      </c>
      <c r="CT226" s="2" t="e">
        <f ca="1">_xll.BDH($C$203,"CUR_RATIO","FQ3 2018","FQ3 2018","Currency=INR","Period=FQ","BEST_FPERIOD_OVERRIDE=FQ","FILING_STATUS=OR","EQY_CONSOLIDATED=Y","Sort=A","Dates=H","DateFormat=P","Fill=—","Direction=H","UseDPDF=Y")</f>
        <v>#NAME?</v>
      </c>
      <c r="CU226" s="2" t="e">
        <f ca="1">_xll.BDH($C$203,"QUICK_RATIO","FQ3 2018","FQ3 2018","Currency=INR","Period=FQ","BEST_FPERIOD_OVERRIDE=FQ","FILING_STATUS=OR","EQY_CONSOLIDATED=Y","Sort=A","Dates=H","DateFormat=P","Fill=—","Direction=H","UseDPDF=Y")</f>
        <v>#NAME?</v>
      </c>
      <c r="CV226" s="2" t="e">
        <f ca="1">_xll.BDH($C$203,"ALTMAN_Z_SCORE","FQ3 2018","FQ3 2018","Currency=INR","Period=FQ","BEST_FPERIOD_OVERRIDE=FQ","FILING_STATUS=OR","EQY_CONSOLIDATED=Y","Sort=A","Dates=H","DateFormat=P","Fill=—","Direction=H","UseDPDF=Y")</f>
        <v>#NAME?</v>
      </c>
      <c r="CW226" s="4" t="e">
        <f ca="1">_xll.BDH($C$203,"ACCT_RCV_TURN","FQ3 2018","FQ3 2018","Currency=INR","Period=FQ","BEST_FPERIOD_OVERRIDE=FQ","FILING_STATUS=OR","EQY_CONSOLIDATED=Y","FA_ADJUSTED=GAAP","Sort=A","Dates=H","DateFormat=P","Fill=—","Direction=H","UseDPDF=Y")</f>
        <v>#NAME?</v>
      </c>
      <c r="CX226" s="2" t="e">
        <f ca="1">_xll.BDH($C$203,"ACCT_RCV_DAYS","FQ3 2018","FQ3 2018","Currency=INR","Period=FQ","BEST_FPERIOD_OVERRIDE=FQ","FILING_STATUS=OR","EQY_CONSOLIDATED=Y","FA_ADJUSTED=GAAP","Sort=A","Dates=H","DateFormat=P","Fill=—","Direction=H","UseDPDF=Y")</f>
        <v>#NAME?</v>
      </c>
      <c r="CY226" s="4" t="e">
        <f ca="1">_xll.BDH($C$203,"INVENT_TURN","FQ3 2018","FQ3 2018","Currency=INR","Period=FQ","BEST_FPERIOD_OVERRIDE=FQ","FILING_STATUS=OR","EQY_CONSOLIDATED=Y","FA_ADJUSTED=GAAP","Sort=A","Dates=H","DateFormat=P","Fill=—","Direction=H","UseDPDF=Y")</f>
        <v>#NAME?</v>
      </c>
      <c r="CZ226" s="2" t="e">
        <f ca="1">_xll.BDH($C$203,"INVENT_DAYS","FQ3 2018","FQ3 2018","Currency=INR","Period=FQ","BEST_FPERIOD_OVERRIDE=FQ","FILING_STATUS=OR","EQY_CONSOLIDATED=Y","FA_ADJUSTED=GAAP","Sort=A","Dates=H","DateFormat=P","Fill=—","Direction=H","UseDPDF=Y")</f>
        <v>#NAME?</v>
      </c>
      <c r="DA226" s="4" t="e">
        <f ca="1">_xll.BDH($C$203,"ACCOUNTS_PAYABLE_TURNOVER","FQ3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226" s="2" t="e">
        <f ca="1">_xll.BDH($C$203,"ACCOUNTS_PAYABLE_TURNOVER_DAYS","FQ3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226" s="4" t="e">
        <f ca="1">_xll.BDH($C$203,"CASH_CONVERSION_CYCLE","FQ3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226" s="4" t="e">
        <f ca="1">_xll.BDH($C$203,"INV_TO_CASH_DAYS","FQ3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226" s="5" t="e">
        <f ca="1">_xll.BDH($C$203,"BS_INVENTORIES","FQ3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226" s="3" t="e">
        <f ca="1">_xll.BDH($C$203,"INVTRY_RAW_MATERIALS","FQ3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226" s="3" t="e">
        <f ca="1">_xll.BDH($C$203,"INVTRY_IN_PROGRESS","FQ3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226" s="3" t="e">
        <f ca="1">_xll.BDH($C$203,"INVTRY_FINISHED_GOODS","FQ3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226" s="3" t="e">
        <f ca="1">_xll.BDH($C$203,"BS_OTHER_INV","FQ3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227" spans="1:113" x14ac:dyDescent="0.3">
      <c r="A227" s="6"/>
      <c r="B227" s="6"/>
      <c r="C227" s="6"/>
      <c r="D227" s="6"/>
      <c r="E227" t="s">
        <v>81</v>
      </c>
      <c r="F227" t="e">
        <f ca="1">_xll.BDH($C$203,"RETURN_COM_EQY","FQ4 2018","FQ4 2018","Currency=INR","Period=FQ","BEST_FPERIOD_OVERRIDE=FQ","FILING_STATUS=OR","EQY_CONSOLIDATED=Y","FA_ADJUSTED=GAAP","Sort=A","Dates=H","DateFormat=P","Fill=—","Direction=H","UseDPDF=Y")</f>
        <v>#NAME?</v>
      </c>
      <c r="G227" t="e">
        <f ca="1">_xll.BDH($C$203,"RETURN_ON_ASSET","FQ4 2018","FQ4 2018","Currency=INR","Period=FQ","BEST_FPERIOD_OVERRIDE=FQ","FILING_STATUS=OR","EQY_CONSOLIDATED=Y","FA_ADJUSTED=GAAP","Sort=A","Dates=H","DateFormat=P","Fill=—","Direction=H","UseDPDF=Y")</f>
        <v>#NAME?</v>
      </c>
      <c r="H227" t="e">
        <f ca="1">_xll.BDH($C$203,"RETURN_ON_CAP","FQ4 2018","FQ4 2018","Currency=INR","Period=FQ","BEST_FPERIOD_OVERRIDE=FQ","FILING_STATUS=OR","EQY_CONSOLIDATED=Y","FA_ADJUSTED=GAAP","Sort=A","Dates=H","DateFormat=P","Fill=—","Direction=H","UseDPDF=Y")</f>
        <v>#NAME?</v>
      </c>
      <c r="I227" t="e">
        <f ca="1">_xll.BDH($C$203,"RETURN_ON_INV_CAPITAL","FQ4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227" t="e">
        <f ca="1">_xll.BDH($C$203,"EBITDA_TO_REVENUE","FQ4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227" t="e">
        <f ca="1">_xll.BDH($C$203,"OPER_MARGIN","FQ4 2018","FQ4 2018","Currency=INR","Period=FQ","BEST_FPERIOD_OVERRIDE=FQ","FILING_STATUS=OR","EQY_CONSOLIDATED=Y","FA_ADJUSTED=GAAP","Sort=A","Dates=H","DateFormat=P","Fill=—","Direction=H","UseDPDF=Y")</f>
        <v>#NAME?</v>
      </c>
      <c r="L227" t="e">
        <f ca="1">_xll.BDH($C$203,"INCREMENTAL_OPERATING_MARGIN","FQ4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227" t="e">
        <f ca="1">_xll.BDH($C$203,"PRETAX_INC_TO_NET_SALES","FQ4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227" t="e">
        <f ca="1">_xll.BDH($C$203,"INC_BEF_XO_ITEMS_TO_NET_SALES","FQ4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227" t="e">
        <f ca="1">_xll.BDH($C$203,"PROF_MARGIN","FQ4 2018","FQ4 2018","Currency=INR","Period=FQ","BEST_FPERIOD_OVERRIDE=FQ","FILING_STATUS=OR","EQY_CONSOLIDATED=Y","FA_ADJUSTED=GAAP","Sort=A","Dates=H","DateFormat=P","Fill=—","Direction=H","UseDPDF=Y")</f>
        <v>#NAME?</v>
      </c>
      <c r="P227" t="e">
        <f ca="1">_xll.BDH($C$203,"NET_INCOME_TO_COMMON_MARGIN","FQ4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227" t="e">
        <f ca="1">_xll.BDH($C$203,"EFF_TAX_RATE","FQ4 2018","FQ4 2018","Currency=INR","Period=FQ","BEST_FPERIOD_OVERRIDE=FQ","FILING_STATUS=OR","EQY_CONSOLIDATED=Y","FA_ADJUSTED=GAAP","Sort=A","Dates=H","DateFormat=P","Fill=—","Direction=H","UseDPDF=Y")</f>
        <v>#NAME?</v>
      </c>
      <c r="R227" t="e">
        <f ca="1">_xll.BDH($C$203,"DVD_PAYOUT_RATIO","FQ4 2018","FQ4 2018","Currency=INR","Period=FQ","BEST_FPERIOD_OVERRIDE=FQ","FILING_STATUS=OR","EQY_CONSOLIDATED=Y","FA_ADJUSTED=GAAP","Sort=A","Dates=H","DateFormat=P","Fill=—","Direction=H","UseDPDF=Y")</f>
        <v>#NAME?</v>
      </c>
      <c r="S227" t="e">
        <f ca="1">_xll.BDH($C$203,"SUSTAIN_GROWTH_RT","FQ4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227" s="2" t="e">
        <f ca="1">_xll.BDH($C$203,"SALES_GROWTH","FQ4 2018","FQ4 2018","Currency=INR","Period=FQ","BEST_FPERIOD_OVERRIDE=FQ","FILING_STATUS=OR","EQY_CONSOLIDATED=Y","FA_ADJUSTED=GAAP","Sort=A","Dates=H","DateFormat=P","Fill=—","Direction=H","UseDPDF=Y")</f>
        <v>#NAME?</v>
      </c>
      <c r="U227" s="2" t="e">
        <f ca="1">_xll.BDH($C$203,"EBITDA_GROWTH","FQ4 2018","FQ4 2018","Currency=INR","Period=FQ","BEST_FPERIOD_OVERRIDE=FQ","FILING_STATUS=OR","EQY_CONSOLIDATED=Y","FA_ADJUSTED=GAAP","Sort=A","Dates=H","DateFormat=P","Fill=—","Direction=H","UseDPDF=Y")</f>
        <v>#NAME?</v>
      </c>
      <c r="V227" s="2" t="e">
        <f ca="1">_xll.BDH($C$203,"OPER_INC_GROWTH","FQ4 2018","FQ4 2018","Currency=INR","Period=FQ","BEST_FPERIOD_OVERRIDE=FQ","FILING_STATUS=OR","EQY_CONSOLIDATED=Y","FA_ADJUSTED=GAAP","Sort=A","Dates=H","DateFormat=P","Fill=—","Direction=H","UseDPDF=Y")</f>
        <v>#NAME?</v>
      </c>
      <c r="W227" s="2" t="e">
        <f ca="1">_xll.BDH($C$203,"EARN_FOR_COM_GROWTH","FQ4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227" s="2" t="e">
        <f ca="1">_xll.BDH($C$203,"DILUTED_EPS_AFT_XO_ITEMS_GROWTH","FQ4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227" s="2" t="e">
        <f ca="1">_xll.BDH($C$203,"DIVIDEND_PER_SHARE_1_YEAR_GROWTH","FQ4 2018","FQ4 2018","Currency=INR","Period=FQ","BEST_FPERIOD_OVERRIDE=FQ","FILING_STATUS=OR","EQY_CONSOLIDATED=Y","Sort=A","Dates=H","DateFormat=P","Fill=—","Direction=H","UseDPDF=Y")</f>
        <v>#NAME?</v>
      </c>
      <c r="Z227" s="2" t="e">
        <f ca="1">_xll.BDH($C$203,"ACCOUNTS_RECEIVABLE_GROWTH","FQ4 2018","FQ4 2018","Currency=INR","Period=FQ","BEST_FPERIOD_OVERRIDE=FQ","FILING_STATUS=OR","EQY_CONSOLIDATED=Y","Sort=A","Dates=H","DateFormat=P","Fill=—","Direction=H","UseDPDF=Y")</f>
        <v>#NAME?</v>
      </c>
      <c r="AA227" s="2" t="e">
        <f ca="1">_xll.BDH($C$203,"INVENTORY_GROWTH","FQ4 2018","FQ4 2018","Currency=INR","Period=FQ","BEST_FPERIOD_OVERRIDE=FQ","FILING_STATUS=OR","EQY_CONSOLIDATED=Y","Sort=A","Dates=H","DateFormat=P","Fill=—","Direction=H","UseDPDF=Y")</f>
        <v>#NAME?</v>
      </c>
      <c r="AB227" s="2" t="e">
        <f ca="1">_xll.BDH($C$203,"NET_FIXED_ASSETS_1_YEAR_GROWTH","FQ4 2018","FQ4 2018","Currency=INR","Period=FQ","BEST_FPERIOD_OVERRIDE=FQ","FILING_STATUS=OR","EQY_CONSOLIDATED=Y","Sort=A","Dates=H","DateFormat=P","Fill=—","Direction=H","UseDPDF=Y")</f>
        <v>#NAME?</v>
      </c>
      <c r="AC227" s="2" t="e">
        <f ca="1">_xll.BDH($C$203,"ASSET_GROWTH","FQ4 2018","FQ4 2018","Currency=INR","Period=FQ","BEST_FPERIOD_OVERRIDE=FQ","FILING_STATUS=OR","EQY_CONSOLIDATED=Y","Sort=A","Dates=H","DateFormat=P","Fill=—","Direction=H","UseDPDF=Y")</f>
        <v>#NAME?</v>
      </c>
      <c r="AD227" s="2" t="e">
        <f ca="1">_xll.BDH($C$203,"MODIFIED_WORK_CAP_GROWTH","FQ4 2018","FQ4 2018","Currency=INR","Period=FQ","BEST_FPERIOD_OVERRIDE=FQ","FILING_STATUS=OR","EQY_CONSOLIDATED=Y","Sort=A","Dates=H","DateFormat=P","Fill=—","Direction=H","UseDPDF=Y")</f>
        <v>#NAME?</v>
      </c>
      <c r="AE227" s="2" t="e">
        <f ca="1">_xll.BDH($C$203,"WORK_CAP_GROWTH","FQ4 2018","FQ4 2018","Currency=INR","Period=FQ","BEST_FPERIOD_OVERRIDE=FQ","FILING_STATUS=OR","EQY_CONSOLIDATED=Y","Sort=A","Dates=H","DateFormat=P","Fill=—","Direction=H","UseDPDF=Y")</f>
        <v>#NAME?</v>
      </c>
      <c r="AF227" s="2" t="e">
        <f ca="1">_xll.BDH($C$203,"ACCOUNTS_PAYABLE_GROWTH_1YR","FQ4 2018","FQ4 2018","Currency=INR","Period=FQ","BEST_FPERIOD_OVERRIDE=FQ","FILING_STATUS=OR","EQY_CONSOLIDATED=Y","Sort=A","Dates=H","DateFormat=P","Fill=—","Direction=H","UseDPDF=Y")</f>
        <v>#NAME?</v>
      </c>
      <c r="AG227" s="2" t="e">
        <f ca="1">_xll.BDH($C$203,"SHORT_TERM_DEBT_1_YEAR_GROWTH","FQ4 2018","FQ4 2018","Currency=INR","Period=FQ","BEST_FPERIOD_OVERRIDE=FQ","FILING_STATUS=OR","EQY_CONSOLIDATED=Y","Sort=A","Dates=H","DateFormat=P","Fill=—","Direction=H","UseDPDF=Y")</f>
        <v>#NAME?</v>
      </c>
      <c r="AH227" s="2" t="e">
        <f ca="1">_xll.BDH($C$203,"TOTAL_DEBT_1_YEAR_GROWTH","FQ4 2018","FQ4 2018","Currency=INR","Period=FQ","BEST_FPERIOD_OVERRIDE=FQ","FILING_STATUS=OR","EQY_CONSOLIDATED=Y","Sort=A","Dates=H","DateFormat=P","Fill=—","Direction=H","UseDPDF=Y")</f>
        <v>#NAME?</v>
      </c>
      <c r="AI227" s="2" t="e">
        <f ca="1">_xll.BDH($C$203,"TOTAL_EQUITY_1_YEAR_GROWTH","FQ4 2018","FQ4 2018","Currency=INR","Period=FQ","BEST_FPERIOD_OVERRIDE=FQ","FILING_STATUS=OR","EQY_CONSOLIDATED=Y","Sort=A","Dates=H","DateFormat=P","Fill=—","Direction=H","UseDPDF=Y")</f>
        <v>#NAME?</v>
      </c>
      <c r="AJ227" s="2" t="e">
        <f ca="1">_xll.BDH($C$203,"GROWTH_IN_CAP","FQ4 2018","FQ4 2018","Currency=INR","Period=FQ","BEST_FPERIOD_OVERRIDE=FQ","FILING_STATUS=OR","EQY_CONSOLIDATED=Y","Sort=A","Dates=H","DateFormat=P","Fill=—","Direction=H","UseDPDF=Y")</f>
        <v>#NAME?</v>
      </c>
      <c r="AK227" s="2" t="e">
        <f ca="1">_xll.BDH($C$203,"BVPS_GROWTH","FQ4 2018","FQ4 2018","Currency=INR","Period=FQ","BEST_FPERIOD_OVERRIDE=FQ","FILING_STATUS=OR","EQY_CONSOLIDATED=Y","Sort=A","Dates=H","DateFormat=P","Fill=—","Direction=H","UseDPDF=Y")</f>
        <v>#NAME?</v>
      </c>
      <c r="AL227" s="2" t="e">
        <f ca="1">_xll.BDH($C$203,"CASH_FLOW_GROWTH","FQ4 2018","FQ4 2018","Currency=INR","Period=FQ","BEST_FPERIOD_OVERRIDE=FQ","FILING_STATUS=OR","EQY_CONSOLIDATED=Y","Sort=A","Dates=H","DateFormat=P","Fill=—","Direction=H","UseDPDF=Y")</f>
        <v>#NAME?</v>
      </c>
      <c r="AM227" s="2" t="e">
        <f ca="1">_xll.BDH($C$203,"GEO_GROW_NET_SALES","FQ4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227" s="2" t="e">
        <f ca="1">_xll.BDH($C$203,"GEO_GROW_EBITDA","FQ4 2018","FQ4 2018","Currency=INR","Period=FQ","BEST_FPERIOD_OVERRIDE=FQ","FILING_STATUS=OR","EQY_CONSOLIDATED=Y","FA_ADJUSTED=GAAP","Sort=A","Dates=H","DateFormat=P","Fill=—","Direction=H","UseDPDF=Y")</f>
        <v>#NAME?</v>
      </c>
      <c r="AO227" s="2" t="e">
        <f ca="1">_xll.BDH($C$203,"GEO_GROW_OPER_INC","FQ4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227" s="2" t="e">
        <f ca="1">_xll.BDH($C$203,"NET_INCOME_TO_COMMON_5_YR_GROWTH","FQ4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227" s="2" t="e">
        <f ca="1">_xll.BDH($C$203,"5Y_GEO_GROWTH_DILUTED_EPS","FQ4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227" s="2" t="e">
        <f ca="1">_xll.BDH($C$203,"GEO_GROW_DVD_PER_SH","FQ4 2018","FQ4 2018","Currency=INR","Period=FQ","BEST_FPERIOD_OVERRIDE=FQ","FILING_STATUS=OR","EQY_CONSOLIDATED=Y","Sort=A","Dates=H","DateFormat=P","Fill=—","Direction=H","UseDPDF=Y")</f>
        <v>#NAME?</v>
      </c>
      <c r="AS227" s="2" t="e">
        <f ca="1">_xll.BDH($C$203,"ACCOUNTS_RECEIVABLE_5_YR_GROWTH","FQ4 2018","FQ4 2018","Currency=INR","Period=FQ","BEST_FPERIOD_OVERRIDE=FQ","FILING_STATUS=OR","EQY_CONSOLIDATED=Y","Sort=A","Dates=H","DateFormat=P","Fill=—","Direction=H","UseDPDF=Y")</f>
        <v>#NAME?</v>
      </c>
      <c r="AT227" s="2" t="e">
        <f ca="1">_xll.BDH($C$203,"INVENTORY_5_YEAR_GROWTH","FQ4 2018","FQ4 2018","Currency=INR","Period=FQ","BEST_FPERIOD_OVERRIDE=FQ","FILING_STATUS=OR","EQY_CONSOLIDATED=Y","Sort=A","Dates=H","DateFormat=P","Fill=—","Direction=H","UseDPDF=Y")</f>
        <v>#NAME?</v>
      </c>
      <c r="AU227" s="2" t="e">
        <f ca="1">_xll.BDH($C$203,"NET_FIXED_ASSETS_5_YEAR_GROWTH","FQ4 2018","FQ4 2018","Currency=INR","Period=FQ","BEST_FPERIOD_OVERRIDE=FQ","FILING_STATUS=OR","EQY_CONSOLIDATED=Y","Sort=A","Dates=H","DateFormat=P","Fill=—","Direction=H","UseDPDF=Y")</f>
        <v>#NAME?</v>
      </c>
      <c r="AV227" s="2" t="e">
        <f ca="1">_xll.BDH($C$203,"GEO_GROW_TOT_ASSET","FQ4 2018","FQ4 2018","Currency=INR","Period=FQ","BEST_FPERIOD_OVERRIDE=FQ","FILING_STATUS=OR","EQY_CONSOLIDATED=Y","Sort=A","Dates=H","DateFormat=P","Fill=—","Direction=H","UseDPDF=Y")</f>
        <v>#NAME?</v>
      </c>
      <c r="AW227" s="2" t="e">
        <f ca="1">_xll.BDH($C$203,"MODIFIED_WORKING_CPTL_5YR_GRWTH","FQ4 2018","FQ4 2018","Currency=INR","Period=FQ","BEST_FPERIOD_OVERRIDE=FQ","FILING_STATUS=OR","EQY_CONSOLIDATED=Y","Sort=A","Dates=H","DateFormat=P","Fill=—","Direction=H","UseDPDF=Y")</f>
        <v>#NAME?</v>
      </c>
      <c r="AX227" s="2" t="e">
        <f ca="1">_xll.BDH($C$203,"WORKING_CAPITAL_5_YEAR_GROWTH","FQ4 2018","FQ4 2018","Currency=INR","Period=FQ","BEST_FPERIOD_OVERRIDE=FQ","FILING_STATUS=OR","EQY_CONSOLIDATED=Y","Sort=A","Dates=H","DateFormat=P","Fill=—","Direction=H","UseDPDF=Y")</f>
        <v>#NAME?</v>
      </c>
      <c r="AY227" s="2" t="e">
        <f ca="1">_xll.BDH($C$203,"ACCOUNTS_PAYABLE_5_YEAR_GROWTH","FQ4 2018","FQ4 2018","Currency=INR","Period=FQ","BEST_FPERIOD_OVERRIDE=FQ","FILING_STATUS=OR","EQY_CONSOLIDATED=Y","Sort=A","Dates=H","DateFormat=P","Fill=—","Direction=H","UseDPDF=Y")</f>
        <v>#NAME?</v>
      </c>
      <c r="AZ227" s="2" t="e">
        <f ca="1">_xll.BDH($C$203,"SHORT_TERM_DEBT_5_YEAR_GROWTH","FQ4 2018","FQ4 2018","Currency=INR","Period=FQ","BEST_FPERIOD_OVERRIDE=FQ","FILING_STATUS=OR","EQY_CONSOLIDATED=Y","Sort=A","Dates=H","DateFormat=P","Fill=—","Direction=H","UseDPDF=Y")</f>
        <v>#NAME?</v>
      </c>
      <c r="BA227" s="2" t="e">
        <f ca="1">_xll.BDH($C$203,"TOTAL_DEBT_5_YEAR_GROWTH","FQ4 2018","FQ4 2018","Currency=INR","Period=FQ","BEST_FPERIOD_OVERRIDE=FQ","FILING_STATUS=OR","EQY_CONSOLIDATED=Y","Sort=A","Dates=H","DateFormat=P","Fill=—","Direction=H","UseDPDF=Y")</f>
        <v>#NAME?</v>
      </c>
      <c r="BB227" s="2" t="e">
        <f ca="1">_xll.BDH($C$203,"GEO_GROW_TOT_SHRHLDR_EQY","FQ4 2018","FQ4 2018","Currency=INR","Period=FQ","BEST_FPERIOD_OVERRIDE=FQ","FILING_STATUS=OR","EQY_CONSOLIDATED=Y","Sort=A","Dates=H","DateFormat=P","Fill=—","Direction=H","UseDPDF=Y")</f>
        <v>#NAME?</v>
      </c>
      <c r="BC227" s="2" t="e">
        <f ca="1">_xll.BDH($C$203,"TOTAL_CAPITAL_5_YEAR_GROWTH","FQ4 2018","FQ4 2018","Currency=INR","Period=FQ","BEST_FPERIOD_OVERRIDE=FQ","FILING_STATUS=OR","EQY_CONSOLIDATED=Y","Sort=A","Dates=H","DateFormat=P","Fill=—","Direction=H","UseDPDF=Y")</f>
        <v>#NAME?</v>
      </c>
      <c r="BD227" s="2" t="e">
        <f ca="1">_xll.BDH($C$203,"GEO_GROW_BOOK_VAL","FQ4 2018","FQ4 2018","Currency=INR","Period=FQ","BEST_FPERIOD_OVERRIDE=FQ","FILING_STATUS=OR","EQY_CONSOLIDATED=Y","Sort=A","Dates=H","DateFormat=P","Fill=—","Direction=H","UseDPDF=Y")</f>
        <v>#NAME?</v>
      </c>
      <c r="BE227" s="2" t="e">
        <f ca="1">_xll.BDH($C$203,"GEO_GROW_CASH_OPER_ACT","FQ4 2018","FQ4 2018","Currency=INR","Period=FQ","BEST_FPERIOD_OVERRIDE=FQ","FILING_STATUS=OR","EQY_CONSOLIDATED=Y","Sort=A","Dates=H","DateFormat=P","Fill=—","Direction=H","UseDPDF=Y")</f>
        <v>#NAME?</v>
      </c>
      <c r="BF227" s="2" t="e">
        <f ca="1">_xll.BDH($C$203,"REVENUE_SEQUENTIAL_GROWTH","FQ4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227" s="2" t="e">
        <f ca="1">_xll.BDH($C$203,"EBITDA_SEQUENTIAL_GROWTH","FQ4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227" s="2" t="e">
        <f ca="1">_xll.BDH($C$203,"OPERATING_INCOME_SEQ_GROWTH","FQ4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227" s="2" t="e">
        <f ca="1">_xll.BDH($C$203,"NET_INCOME_TO_COMMON_SEQ_GROWTH","FQ4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227" s="2" t="e">
        <f ca="1">_xll.BDH($C$203,"EPS_DILUTED_SEQUENTIAL_GROWTH","FQ4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227" s="2" t="e">
        <f ca="1">_xll.BDH($C$203,"DPS_SEQUENTIAL_GROWTH","FQ4 2018","FQ4 2018","Currency=INR","Period=FQ","BEST_FPERIOD_OVERRIDE=FQ","FILING_STATUS=OR","EQY_CONSOLIDATED=Y","Sort=A","Dates=H","DateFormat=P","Fill=—","Direction=H","UseDPDF=Y")</f>
        <v>#NAME?</v>
      </c>
      <c r="BL227" s="2" t="e">
        <f ca="1">_xll.BDH($C$203,"ACCOUNTS_RECEIVABLE_SEQ_GROWTH","FQ4 2018","FQ4 2018","Currency=INR","Period=FQ","BEST_FPERIOD_OVERRIDE=FQ","FILING_STATUS=OR","EQY_CONSOLIDATED=Y","Sort=A","Dates=H","DateFormat=P","Fill=—","Direction=H","UseDPDF=Y")</f>
        <v>#NAME?</v>
      </c>
      <c r="BM227" s="2" t="e">
        <f ca="1">_xll.BDH($C$203,"INVENTORY_SEQUENTIAL_GROWTH","FQ4 2018","FQ4 2018","Currency=INR","Period=FQ","BEST_FPERIOD_OVERRIDE=FQ","FILING_STATUS=OR","EQY_CONSOLIDATED=Y","Sort=A","Dates=H","DateFormat=P","Fill=—","Direction=H","UseDPDF=Y")</f>
        <v>#NAME?</v>
      </c>
      <c r="BN227" s="2" t="e">
        <f ca="1">_xll.BDH($C$203,"FIXED_ASSETS_SEQUENTIAL_GROWTH","FQ4 2018","FQ4 2018","Currency=INR","Period=FQ","BEST_FPERIOD_OVERRIDE=FQ","FILING_STATUS=OR","EQY_CONSOLIDATED=Y","Sort=A","Dates=H","DateFormat=P","Fill=—","Direction=H","UseDPDF=Y")</f>
        <v>#NAME?</v>
      </c>
      <c r="BO227" s="2" t="e">
        <f ca="1">_xll.BDH($C$203,"TOTAL_ASSETS_SEQUENTIAL_GROWTH","FQ4 2018","FQ4 2018","Currency=INR","Period=FQ","BEST_FPERIOD_OVERRIDE=FQ","FILING_STATUS=OR","EQY_CONSOLIDATED=Y","Sort=A","Dates=H","DateFormat=P","Fill=—","Direction=H","UseDPDF=Y")</f>
        <v>#NAME?</v>
      </c>
      <c r="BP227" s="2" t="e">
        <f ca="1">_xll.BDH($C$203,"MODIFIED_WORKING_CPTL_SEQ_GRWTH","FQ4 2018","FQ4 2018","Currency=INR","Period=FQ","BEST_FPERIOD_OVERRIDE=FQ","FILING_STATUS=OR","EQY_CONSOLIDATED=Y","Sort=A","Dates=H","DateFormat=P","Fill=—","Direction=H","UseDPDF=Y")</f>
        <v>#NAME?</v>
      </c>
      <c r="BQ227" s="2" t="e">
        <f ca="1">_xll.BDH($C$203,"WORKING_CAPITAL_SEQ_GROWTH","FQ4 2018","FQ4 2018","Currency=INR","Period=FQ","BEST_FPERIOD_OVERRIDE=FQ","FILING_STATUS=OR","EQY_CONSOLIDATED=Y","Sort=A","Dates=H","DateFormat=P","Fill=—","Direction=H","UseDPDF=Y")</f>
        <v>#NAME?</v>
      </c>
      <c r="BR227" s="2" t="e">
        <f ca="1">_xll.BDH($C$203,"ACCOUNTS_PAYABLE_SEQ_GROWTH","FQ4 2018","FQ4 2018","Currency=INR","Period=FQ","BEST_FPERIOD_OVERRIDE=FQ","FILING_STATUS=OR","EQY_CONSOLIDATED=Y","Sort=A","Dates=H","DateFormat=P","Fill=—","Direction=H","UseDPDF=Y")</f>
        <v>#NAME?</v>
      </c>
      <c r="BS227" s="2" t="e">
        <f ca="1">_xll.BDH($C$203,"ST_DEBT_SEQUENTIAL_GROWTH","FQ4 2018","FQ4 2018","Currency=INR","Period=FQ","BEST_FPERIOD_OVERRIDE=FQ","FILING_STATUS=OR","EQY_CONSOLIDATED=Y","Sort=A","Dates=H","DateFormat=P","Fill=—","Direction=H","UseDPDF=Y")</f>
        <v>#NAME?</v>
      </c>
      <c r="BT227" s="2" t="e">
        <f ca="1">_xll.BDH($C$203,"TOTAL_DEBT_SEQUENTIAL_GROWTH","FQ4 2018","FQ4 2018","Currency=INR","Period=FQ","BEST_FPERIOD_OVERRIDE=FQ","FILING_STATUS=OR","EQY_CONSOLIDATED=Y","Sort=A","Dates=H","DateFormat=P","Fill=—","Direction=H","UseDPDF=Y")</f>
        <v>#NAME?</v>
      </c>
      <c r="BU227" s="2" t="e">
        <f ca="1">_xll.BDH($C$203,"TOTAL_EQUITY_SEQUENTIAL_GROWTH","FQ4 2018","FQ4 2018","Currency=INR","Period=FQ","BEST_FPERIOD_OVERRIDE=FQ","FILING_STATUS=OR","EQY_CONSOLIDATED=Y","Sort=A","Dates=H","DateFormat=P","Fill=—","Direction=H","UseDPDF=Y")</f>
        <v>#NAME?</v>
      </c>
      <c r="BV227" s="2" t="e">
        <f ca="1">_xll.BDH($C$203,"TOTAL_CAPITAL_SEQUENTIAL_GROWTH","FQ4 2018","FQ4 2018","Currency=INR","Period=FQ","BEST_FPERIOD_OVERRIDE=FQ","FILING_STATUS=OR","EQY_CONSOLIDATED=Y","Sort=A","Dates=H","DateFormat=P","Fill=—","Direction=H","UseDPDF=Y")</f>
        <v>#NAME?</v>
      </c>
      <c r="BW227" s="2" t="e">
        <f ca="1">_xll.BDH($C$203,"BPS_SEQUENTIAL_GROWTH","FQ4 2018","FQ4 2018","Currency=INR","Period=FQ","BEST_FPERIOD_OVERRIDE=FQ","FILING_STATUS=OR","EQY_CONSOLIDATED=Y","Sort=A","Dates=H","DateFormat=P","Fill=—","Direction=H","UseDPDF=Y")</f>
        <v>#NAME?</v>
      </c>
      <c r="BX227" s="2" t="e">
        <f ca="1">_xll.BDH($C$203,"CFO_SEQUENTIAL_GROWTH","FQ4 2018","FQ4 2018","Currency=INR","Period=FQ","BEST_FPERIOD_OVERRIDE=FQ","FILING_STATUS=OR","EQY_CONSOLIDATED=Y","Sort=A","Dates=H","DateFormat=P","Fill=—","Direction=H","UseDPDF=Y")</f>
        <v>#NAME?</v>
      </c>
      <c r="BY227" s="3" t="e">
        <f ca="1">_xll.BDH($C$203,"SHORT_AND_LONG_TERM_DEBT","FQ4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227" s="3" t="e">
        <f ca="1">_xll.BDH($C$203,"BS_ST_BORROW","FQ4 2018","FQ4 2018","Currency=INR","Period=FQ","BEST_FPERIOD_OVERRIDE=FQ","FILING_STATUS=OR","EQY_CONSOLIDATED=Y","SCALING_FORMAT=MLN","Sort=A","Dates=H","DateFormat=P","Fill=—","Direction=H","UseDPDF=Y")</f>
        <v>#NAME?</v>
      </c>
      <c r="CA227" s="3" t="e">
        <f ca="1">_xll.BDH($C$203,"BS_LT_BORROW","FQ4 2018","FQ4 2018","Currency=INR","Period=FQ","BEST_FPERIOD_OVERRIDE=FQ","FILING_STATUS=OR","EQY_CONSOLIDATED=Y","SCALING_FORMAT=MLN","Sort=A","Dates=H","DateFormat=P","Fill=—","Direction=H","UseDPDF=Y")</f>
        <v>#NAME?</v>
      </c>
      <c r="CB227" s="2" t="e">
        <f ca="1">_xll.BDH($C$203,"TOT_DEBT_TO_EBITDA","FQ4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227" s="2" t="e">
        <f ca="1">_xll.BDH($C$203,"NET_DEBT_TO_EBITDA","FQ4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227" s="2" t="e">
        <f ca="1">_xll.BDH($C$203,"TOTAL_DEBT_TO_EBIT","FQ4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227" s="2" t="e">
        <f ca="1">_xll.BDH($C$203,"NET_DEBT_TO_EBIT","FQ4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227" s="2" t="e">
        <f ca="1">_xll.BDH($C$203,"EBITDA_TO_INTEREST_EXPN","FQ4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227" s="2" t="e">
        <f ca="1">_xll.BDH($C$203,"COM_EQY_TO_TOT_ASSET","FQ4 2018","FQ4 2018","Currency=INR","Period=FQ","BEST_FPERIOD_OVERRIDE=FQ","FILING_STATUS=OR","EQY_CONSOLIDATED=Y","Sort=A","Dates=H","DateFormat=P","Fill=—","Direction=H","UseDPDF=Y")</f>
        <v>#NAME?</v>
      </c>
      <c r="CH227" s="2" t="e">
        <f ca="1">_xll.BDH($C$203,"LT_DEBT_TO_TOT_EQY","FQ4 2018","FQ4 2018","Currency=INR","Period=FQ","BEST_FPERIOD_OVERRIDE=FQ","FILING_STATUS=OR","EQY_CONSOLIDATED=Y","Sort=A","Dates=H","DateFormat=P","Fill=—","Direction=H","UseDPDF=Y")</f>
        <v>#NAME?</v>
      </c>
      <c r="CI227" s="2" t="e">
        <f ca="1">_xll.BDH($C$203,"LT_DEBT_TO_TOT_CAP","FQ4 2018","FQ4 2018","Currency=INR","Period=FQ","BEST_FPERIOD_OVERRIDE=FQ","FILING_STATUS=OR","EQY_CONSOLIDATED=Y","Sort=A","Dates=H","DateFormat=P","Fill=—","Direction=H","UseDPDF=Y")</f>
        <v>#NAME?</v>
      </c>
      <c r="CJ227" s="2" t="e">
        <f ca="1">_xll.BDH($C$203,"LT_DEBT_TO_TOT_ASSET","FQ4 2018","FQ4 2018","Currency=INR","Period=FQ","BEST_FPERIOD_OVERRIDE=FQ","FILING_STATUS=OR","EQY_CONSOLIDATED=Y","Sort=A","Dates=H","DateFormat=P","Fill=—","Direction=H","UseDPDF=Y")</f>
        <v>#NAME?</v>
      </c>
      <c r="CK227" s="2" t="e">
        <f ca="1">_xll.BDH($C$203,"TOT_DEBT_TO_TOT_EQY","FQ4 2018","FQ4 2018","Currency=INR","Period=FQ","BEST_FPERIOD_OVERRIDE=FQ","FILING_STATUS=OR","EQY_CONSOLIDATED=Y","Sort=A","Dates=H","DateFormat=P","Fill=—","Direction=H","UseDPDF=Y")</f>
        <v>#NAME?</v>
      </c>
      <c r="CL227" s="2" t="e">
        <f ca="1">_xll.BDH($C$203,"TOT_DEBT_TO_TOT_CAP","FQ4 2018","FQ4 2018","Currency=INR","Period=FQ","BEST_FPERIOD_OVERRIDE=FQ","FILING_STATUS=OR","EQY_CONSOLIDATED=Y","Sort=A","Dates=H","DateFormat=P","Fill=—","Direction=H","UseDPDF=Y")</f>
        <v>#NAME?</v>
      </c>
      <c r="CM227" s="2" t="e">
        <f ca="1">_xll.BDH($C$203,"TOT_DEBT_TO_TOT_ASSET","FQ4 2018","FQ4 2018","Currency=INR","Period=FQ","BEST_FPERIOD_OVERRIDE=FQ","FILING_STATUS=OR","EQY_CONSOLIDATED=Y","Sort=A","Dates=H","DateFormat=P","Fill=—","Direction=H","UseDPDF=Y")</f>
        <v>#NAME?</v>
      </c>
      <c r="CN227" s="2" t="e">
        <f ca="1">_xll.BDH($C$203,"NET_DEBT_TO_SHRHLDR_EQTY","FQ4 2018","FQ4 2018","Currency=INR","Period=FQ","BEST_FPERIOD_OVERRIDE=FQ","FILING_STATUS=OR","EQY_CONSOLIDATED=Y","Sort=A","Dates=H","DateFormat=P","Fill=—","Direction=H","UseDPDF=Y")</f>
        <v>#NAME?</v>
      </c>
      <c r="CO227" s="2" t="e">
        <f ca="1">_xll.BDH($C$203,"NET_DEBT_%_CAPITAL","FQ4 2018","FQ4 2018","Currency=INR","Period=FQ","BEST_FPERIOD_OVERRIDE=FQ","FILING_STATUS=OR","EQY_CONSOLIDATED=Y","Sort=A","Dates=H","DateFormat=P","Fill=—","Direction=H","UseDPDF=Y")</f>
        <v>#NAME?</v>
      </c>
      <c r="CP227" s="3" t="e">
        <f ca="1">_xll.BDH($C$203,"EBITDA","FQ4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227" s="3" t="e">
        <f ca="1">_xll.BDH($C$203,"EBITDA_AFTER_CAPEX","FQ4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227" s="3" t="e">
        <f ca="1">_xll.BDH($C$203,"IS_OPER_INC","FQ4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227" s="2" t="e">
        <f ca="1">_xll.BDH($C$203,"CASH_RATIO","FQ4 2018","FQ4 2018","Currency=INR","Period=FQ","BEST_FPERIOD_OVERRIDE=FQ","FILING_STATUS=OR","EQY_CONSOLIDATED=Y","Sort=A","Dates=H","DateFormat=P","Fill=—","Direction=H","UseDPDF=Y")</f>
        <v>#NAME?</v>
      </c>
      <c r="CT227" s="2" t="e">
        <f ca="1">_xll.BDH($C$203,"CUR_RATIO","FQ4 2018","FQ4 2018","Currency=INR","Period=FQ","BEST_FPERIOD_OVERRIDE=FQ","FILING_STATUS=OR","EQY_CONSOLIDATED=Y","Sort=A","Dates=H","DateFormat=P","Fill=—","Direction=H","UseDPDF=Y")</f>
        <v>#NAME?</v>
      </c>
      <c r="CU227" s="2" t="e">
        <f ca="1">_xll.BDH($C$203,"QUICK_RATIO","FQ4 2018","FQ4 2018","Currency=INR","Period=FQ","BEST_FPERIOD_OVERRIDE=FQ","FILING_STATUS=OR","EQY_CONSOLIDATED=Y","Sort=A","Dates=H","DateFormat=P","Fill=—","Direction=H","UseDPDF=Y")</f>
        <v>#NAME?</v>
      </c>
      <c r="CV227" s="2" t="e">
        <f ca="1">_xll.BDH($C$203,"ALTMAN_Z_SCORE","FQ4 2018","FQ4 2018","Currency=INR","Period=FQ","BEST_FPERIOD_OVERRIDE=FQ","FILING_STATUS=OR","EQY_CONSOLIDATED=Y","Sort=A","Dates=H","DateFormat=P","Fill=—","Direction=H","UseDPDF=Y")</f>
        <v>#NAME?</v>
      </c>
      <c r="CW227" s="4" t="e">
        <f ca="1">_xll.BDH($C$203,"ACCT_RCV_TURN","FQ4 2018","FQ4 2018","Currency=INR","Period=FQ","BEST_FPERIOD_OVERRIDE=FQ","FILING_STATUS=OR","EQY_CONSOLIDATED=Y","FA_ADJUSTED=GAAP","Sort=A","Dates=H","DateFormat=P","Fill=—","Direction=H","UseDPDF=Y")</f>
        <v>#NAME?</v>
      </c>
      <c r="CX227" s="2" t="e">
        <f ca="1">_xll.BDH($C$203,"ACCT_RCV_DAYS","FQ4 2018","FQ4 2018","Currency=INR","Period=FQ","BEST_FPERIOD_OVERRIDE=FQ","FILING_STATUS=OR","EQY_CONSOLIDATED=Y","FA_ADJUSTED=GAAP","Sort=A","Dates=H","DateFormat=P","Fill=—","Direction=H","UseDPDF=Y")</f>
        <v>#NAME?</v>
      </c>
      <c r="CY227" s="4" t="e">
        <f ca="1">_xll.BDH($C$203,"INVENT_TURN","FQ4 2018","FQ4 2018","Currency=INR","Period=FQ","BEST_FPERIOD_OVERRIDE=FQ","FILING_STATUS=OR","EQY_CONSOLIDATED=Y","FA_ADJUSTED=GAAP","Sort=A","Dates=H","DateFormat=P","Fill=—","Direction=H","UseDPDF=Y")</f>
        <v>#NAME?</v>
      </c>
      <c r="CZ227" s="2" t="e">
        <f ca="1">_xll.BDH($C$203,"INVENT_DAYS","FQ4 2018","FQ4 2018","Currency=INR","Period=FQ","BEST_FPERIOD_OVERRIDE=FQ","FILING_STATUS=OR","EQY_CONSOLIDATED=Y","FA_ADJUSTED=GAAP","Sort=A","Dates=H","DateFormat=P","Fill=—","Direction=H","UseDPDF=Y")</f>
        <v>#NAME?</v>
      </c>
      <c r="DA227" s="4" t="e">
        <f ca="1">_xll.BDH($C$203,"ACCOUNTS_PAYABLE_TURNOVER","FQ4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227" s="2" t="e">
        <f ca="1">_xll.BDH($C$203,"ACCOUNTS_PAYABLE_TURNOVER_DAYS","FQ4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227" s="4" t="e">
        <f ca="1">_xll.BDH($C$203,"CASH_CONVERSION_CYCLE","FQ4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227" s="4" t="e">
        <f ca="1">_xll.BDH($C$203,"INV_TO_CASH_DAYS","FQ4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227" s="5" t="e">
        <f ca="1">_xll.BDH($C$203,"BS_INVENTORIES","FQ4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227" s="3" t="e">
        <f ca="1">_xll.BDH($C$203,"INVTRY_RAW_MATERIALS","FQ4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227" s="3" t="e">
        <f ca="1">_xll.BDH($C$203,"INVTRY_IN_PROGRESS","FQ4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227" s="3" t="e">
        <f ca="1">_xll.BDH($C$203,"INVTRY_FINISHED_GOODS","FQ4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227" s="3" t="e">
        <f ca="1">_xll.BDH($C$203,"BS_OTHER_INV","FQ4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228" spans="1:113" x14ac:dyDescent="0.3">
      <c r="A228" s="6">
        <v>10</v>
      </c>
      <c r="B228" s="6" t="s">
        <v>102</v>
      </c>
      <c r="C228" s="6" t="s">
        <v>103</v>
      </c>
      <c r="D228" s="6" t="s">
        <v>76</v>
      </c>
      <c r="E228" t="s">
        <v>77</v>
      </c>
      <c r="F228" t="e">
        <f ca="1">_xll.BDH($C$228,"RETURN_COM_EQY","FY 2014","FY 2014","Currency=INR","Period=FY","BEST_FPERIOD_OVERRIDE=FY","FILING_STATUS=OR","EQY_CONSOLIDATED=Y","FA_ADJUSTED=GAAP","Sort=A","Dates=H","DateFormat=P","Fill=—","Direction=H","UseDPDF=Y")</f>
        <v>#NAME?</v>
      </c>
      <c r="G228" t="e">
        <f ca="1">_xll.BDH($C$228,"RETURN_ON_ASSET","FY 2014","FY 2014","Currency=INR","Period=FY","BEST_FPERIOD_OVERRIDE=FY","FILING_STATUS=OR","EQY_CONSOLIDATED=Y","FA_ADJUSTED=GAAP","Sort=A","Dates=H","DateFormat=P","Fill=—","Direction=H","UseDPDF=Y")</f>
        <v>#NAME?</v>
      </c>
      <c r="H228" t="e">
        <f ca="1">_xll.BDH($C$228,"RETURN_ON_CAP","FY 2014","FY 2014","Currency=INR","Period=FY","BEST_FPERIOD_OVERRIDE=FY","FILING_STATUS=OR","EQY_CONSOLIDATED=Y","FA_ADJUSTED=GAAP","Sort=A","Dates=H","DateFormat=P","Fill=—","Direction=H","UseDPDF=Y")</f>
        <v>#NAME?</v>
      </c>
      <c r="I228" t="e">
        <f ca="1">_xll.BDH($C$228,"RETURN_ON_INV_CAPITAL","FY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228" t="e">
        <f ca="1">_xll.BDH($C$228,"EBITDA_TO_REVENUE","FY 2014","FY 2014","Currency=INR","Period=FY","BEST_FPERIOD_OVERRIDE=FY","FILING_STATUS=OR","EQY_CONSOLIDATED=Y","FA_ADJUSTED=GAAP","Sort=A","Dates=H","DateFormat=P","Fill=—","Direction=H","UseDPDF=Y")</f>
        <v>#NAME?</v>
      </c>
      <c r="K228" t="e">
        <f ca="1">_xll.BDH($C$228,"OPER_MARGIN","FY 2014","FY 2014","Currency=INR","Period=FY","BEST_FPERIOD_OVERRIDE=FY","FILING_STATUS=OR","EQY_CONSOLIDATED=Y","FA_ADJUSTED=GAAP","Sort=A","Dates=H","DateFormat=P","Fill=—","Direction=H","UseDPDF=Y")</f>
        <v>#NAME?</v>
      </c>
      <c r="L228" t="e">
        <f ca="1">_xll.BDH($C$228,"INCREMENTAL_OPERATING_MARGIN","FY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228" t="e">
        <f ca="1">_xll.BDH($C$228,"PRETAX_INC_TO_NET_SALES","FY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228" t="e">
        <f ca="1">_xll.BDH($C$228,"INC_BEF_XO_ITEMS_TO_NET_SALES","FY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228" t="e">
        <f ca="1">_xll.BDH($C$228,"PROF_MARGIN","FY 2014","FY 2014","Currency=INR","Period=FY","BEST_FPERIOD_OVERRIDE=FY","FILING_STATUS=OR","EQY_CONSOLIDATED=Y","FA_ADJUSTED=GAAP","Sort=A","Dates=H","DateFormat=P","Fill=—","Direction=H","UseDPDF=Y")</f>
        <v>#NAME?</v>
      </c>
      <c r="P228" t="e">
        <f ca="1">_xll.BDH($C$228,"NET_INCOME_TO_COMMON_MARGIN","FY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228" t="e">
        <f ca="1">_xll.BDH($C$228,"EFF_TAX_RATE","FY 2014","FY 2014","Currency=INR","Period=FY","BEST_FPERIOD_OVERRIDE=FY","FILING_STATUS=OR","EQY_CONSOLIDATED=Y","FA_ADJUSTED=GAAP","Sort=A","Dates=H","DateFormat=P","Fill=—","Direction=H","UseDPDF=Y")</f>
        <v>#NAME?</v>
      </c>
      <c r="R228" t="e">
        <f ca="1">_xll.BDH($C$228,"DVD_PAYOUT_RATIO","FY 2014","FY 2014","Currency=INR","Period=FY","BEST_FPERIOD_OVERRIDE=FY","FILING_STATUS=OR","EQY_CONSOLIDATED=Y","FA_ADJUSTED=GAAP","Sort=A","Dates=H","DateFormat=P","Fill=—","Direction=H","UseDPDF=Y")</f>
        <v>#NAME?</v>
      </c>
      <c r="S228" t="e">
        <f ca="1">_xll.BDH($C$228,"SUSTAIN_GROWTH_RT","FY 2014","FY 2014","Currency=INR","Period=FY","BEST_FPERIOD_OVERRIDE=FY","FILING_STATUS=OR","EQY_CONSOLIDATED=Y","FA_ADJUSTED=GAAP","Sort=A","Dates=H","DateFormat=P","Fill=—","Direction=H","UseDPDF=Y")</f>
        <v>#NAME?</v>
      </c>
      <c r="T228" s="2" t="e">
        <f ca="1">_xll.BDH($C$228,"SALES_GROWTH","FY 2014","FY 2014","Currency=INR","Period=FY","BEST_FPERIOD_OVERRIDE=FY","FILING_STATUS=OR","EQY_CONSOLIDATED=Y","FA_ADJUSTED=GAAP","Sort=A","Dates=H","DateFormat=P","Fill=—","Direction=H","UseDPDF=Y")</f>
        <v>#NAME?</v>
      </c>
      <c r="U228" s="2" t="e">
        <f ca="1">_xll.BDH($C$228,"EBITDA_GROWTH","FY 2014","FY 2014","Currency=INR","Period=FY","BEST_FPERIOD_OVERRIDE=FY","FILING_STATUS=OR","EQY_CONSOLIDATED=Y","FA_ADJUSTED=GAAP","Sort=A","Dates=H","DateFormat=P","Fill=—","Direction=H","UseDPDF=Y")</f>
        <v>#NAME?</v>
      </c>
      <c r="V228" s="2" t="e">
        <f ca="1">_xll.BDH($C$228,"OPER_INC_GROWTH","FY 2014","FY 2014","Currency=INR","Period=FY","BEST_FPERIOD_OVERRIDE=FY","FILING_STATUS=OR","EQY_CONSOLIDATED=Y","FA_ADJUSTED=GAAP","Sort=A","Dates=H","DateFormat=P","Fill=—","Direction=H","UseDPDF=Y")</f>
        <v>#NAME?</v>
      </c>
      <c r="W228" s="2" t="e">
        <f ca="1">_xll.BDH($C$228,"EARN_FOR_COM_GROWTH","FY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228" s="2" t="e">
        <f ca="1">_xll.BDH($C$228,"DILUTED_EPS_AFT_XO_ITEMS_GROWTH","FY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228" s="2" t="e">
        <f ca="1">_xll.BDH($C$228,"DIVIDEND_PER_SHARE_1_YEAR_GROWTH","FY 2014","FY 2014","Currency=INR","Period=FY","BEST_FPERIOD_OVERRIDE=FY","FILING_STATUS=OR","EQY_CONSOLIDATED=Y","Sort=A","Dates=H","DateFormat=P","Fill=—","Direction=H","UseDPDF=Y")</f>
        <v>#NAME?</v>
      </c>
      <c r="Z228" s="2" t="e">
        <f ca="1">_xll.BDH($C$228,"ACCOUNTS_RECEIVABLE_GROWTH","FY 2014","FY 2014","Currency=INR","Period=FY","BEST_FPERIOD_OVERRIDE=FY","FILING_STATUS=OR","EQY_CONSOLIDATED=Y","Sort=A","Dates=H","DateFormat=P","Fill=—","Direction=H","UseDPDF=Y")</f>
        <v>#NAME?</v>
      </c>
      <c r="AA228" s="2" t="e">
        <f ca="1">_xll.BDH($C$228,"INVENTORY_GROWTH","FY 2014","FY 2014","Currency=INR","Period=FY","BEST_FPERIOD_OVERRIDE=FY","FILING_STATUS=OR","EQY_CONSOLIDATED=Y","Sort=A","Dates=H","DateFormat=P","Fill=—","Direction=H","UseDPDF=Y")</f>
        <v>#NAME?</v>
      </c>
      <c r="AB228" s="2" t="e">
        <f ca="1">_xll.BDH($C$228,"NET_FIXED_ASSETS_1_YEAR_GROWTH","FY 2014","FY 2014","Currency=INR","Period=FY","BEST_FPERIOD_OVERRIDE=FY","FILING_STATUS=OR","EQY_CONSOLIDATED=Y","Sort=A","Dates=H","DateFormat=P","Fill=—","Direction=H","UseDPDF=Y")</f>
        <v>#NAME?</v>
      </c>
      <c r="AC228" s="2" t="e">
        <f ca="1">_xll.BDH($C$228,"ASSET_GROWTH","FY 2014","FY 2014","Currency=INR","Period=FY","BEST_FPERIOD_OVERRIDE=FY","FILING_STATUS=OR","EQY_CONSOLIDATED=Y","Sort=A","Dates=H","DateFormat=P","Fill=—","Direction=H","UseDPDF=Y")</f>
        <v>#NAME?</v>
      </c>
      <c r="AD228" s="2" t="e">
        <f ca="1">_xll.BDH($C$228,"MODIFIED_WORK_CAP_GROWTH","FY 2014","FY 2014","Currency=INR","Period=FY","BEST_FPERIOD_OVERRIDE=FY","FILING_STATUS=OR","EQY_CONSOLIDATED=Y","Sort=A","Dates=H","DateFormat=P","Fill=—","Direction=H","UseDPDF=Y")</f>
        <v>#NAME?</v>
      </c>
      <c r="AE228" s="2" t="e">
        <f ca="1">_xll.BDH($C$228,"WORK_CAP_GROWTH","FY 2014","FY 2014","Currency=INR","Period=FY","BEST_FPERIOD_OVERRIDE=FY","FILING_STATUS=OR","EQY_CONSOLIDATED=Y","Sort=A","Dates=H","DateFormat=P","Fill=—","Direction=H","UseDPDF=Y")</f>
        <v>#NAME?</v>
      </c>
      <c r="AF228" s="2" t="e">
        <f ca="1">_xll.BDH($C$228,"ACCOUNTS_PAYABLE_GROWTH_1YR","FY 2014","FY 2014","Currency=INR","Period=FY","BEST_FPERIOD_OVERRIDE=FY","FILING_STATUS=OR","EQY_CONSOLIDATED=Y","Sort=A","Dates=H","DateFormat=P","Fill=—","Direction=H","UseDPDF=Y")</f>
        <v>#NAME?</v>
      </c>
      <c r="AG228" s="2" t="e">
        <f ca="1">_xll.BDH($C$228,"SHORT_TERM_DEBT_1_YEAR_GROWTH","FY 2014","FY 2014","Currency=INR","Period=FY","BEST_FPERIOD_OVERRIDE=FY","FILING_STATUS=OR","EQY_CONSOLIDATED=Y","Sort=A","Dates=H","DateFormat=P","Fill=—","Direction=H","UseDPDF=Y")</f>
        <v>#NAME?</v>
      </c>
      <c r="AH228" s="2" t="e">
        <f ca="1">_xll.BDH($C$228,"TOTAL_DEBT_1_YEAR_GROWTH","FY 2014","FY 2014","Currency=INR","Period=FY","BEST_FPERIOD_OVERRIDE=FY","FILING_STATUS=OR","EQY_CONSOLIDATED=Y","Sort=A","Dates=H","DateFormat=P","Fill=—","Direction=H","UseDPDF=Y")</f>
        <v>#NAME?</v>
      </c>
      <c r="AI228" s="2" t="e">
        <f ca="1">_xll.BDH($C$228,"TOTAL_EQUITY_1_YEAR_GROWTH","FY 2014","FY 2014","Currency=INR","Period=FY","BEST_FPERIOD_OVERRIDE=FY","FILING_STATUS=OR","EQY_CONSOLIDATED=Y","Sort=A","Dates=H","DateFormat=P","Fill=—","Direction=H","UseDPDF=Y")</f>
        <v>#NAME?</v>
      </c>
      <c r="AJ228" s="2" t="e">
        <f ca="1">_xll.BDH($C$228,"GROWTH_IN_CAP","FY 2014","FY 2014","Currency=INR","Period=FY","BEST_FPERIOD_OVERRIDE=FY","FILING_STATUS=OR","EQY_CONSOLIDATED=Y","Sort=A","Dates=H","DateFormat=P","Fill=—","Direction=H","UseDPDF=Y")</f>
        <v>#NAME?</v>
      </c>
      <c r="AK228" s="2" t="e">
        <f ca="1">_xll.BDH($C$228,"BVPS_GROWTH","FY 2014","FY 2014","Currency=INR","Period=FY","BEST_FPERIOD_OVERRIDE=FY","FILING_STATUS=OR","EQY_CONSOLIDATED=Y","Sort=A","Dates=H","DateFormat=P","Fill=—","Direction=H","UseDPDF=Y")</f>
        <v>#NAME?</v>
      </c>
      <c r="AL228" s="2" t="e">
        <f ca="1">_xll.BDH($C$228,"CASH_FLOW_GROWTH","FY 2014","FY 2014","Currency=INR","Period=FY","BEST_FPERIOD_OVERRIDE=FY","FILING_STATUS=OR","EQY_CONSOLIDATED=Y","Sort=A","Dates=H","DateFormat=P","Fill=—","Direction=H","UseDPDF=Y")</f>
        <v>#NAME?</v>
      </c>
      <c r="AM228" s="2" t="e">
        <f ca="1">_xll.BDH($C$228,"GEO_GROW_NET_SALES","FY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228" s="2" t="e">
        <f ca="1">_xll.BDH($C$228,"GEO_GROW_EBITDA","FY 2014","FY 2014","Currency=INR","Period=FY","BEST_FPERIOD_OVERRIDE=FY","FILING_STATUS=OR","EQY_CONSOLIDATED=Y","FA_ADJUSTED=GAAP","Sort=A","Dates=H","DateFormat=P","Fill=—","Direction=H","UseDPDF=Y")</f>
        <v>#NAME?</v>
      </c>
      <c r="AO228" s="2" t="e">
        <f ca="1">_xll.BDH($C$228,"GEO_GROW_OPER_INC","FY 2014","FY 2014","Currency=INR","Period=FY","BEST_FPERIOD_OVERRIDE=FY","FILING_STATUS=OR","EQY_CONSOLIDATED=Y","FA_ADJUSTED=GAAP","Sort=A","Dates=H","DateFormat=P","Fill=—","Direction=H","UseDPDF=Y")</f>
        <v>#NAME?</v>
      </c>
      <c r="AP228" s="2" t="e">
        <f ca="1">_xll.BDH($C$228,"NET_INCOME_TO_COMMON_5_YR_GROWTH","FY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228" s="2" t="e">
        <f ca="1">_xll.BDH($C$228,"5Y_GEO_GROWTH_DILUTED_EPS","FY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228" s="2" t="e">
        <f ca="1">_xll.BDH($C$228,"GEO_GROW_DVD_PER_SH","FY 2014","FY 2014","Currency=INR","Period=FY","BEST_FPERIOD_OVERRIDE=FY","FILING_STATUS=OR","EQY_CONSOLIDATED=Y","Sort=A","Dates=H","DateFormat=P","Fill=—","Direction=H","UseDPDF=Y")</f>
        <v>#NAME?</v>
      </c>
      <c r="AS228" s="2" t="e">
        <f ca="1">_xll.BDH($C$228,"ACCOUNTS_RECEIVABLE_5_YR_GROWTH","FY 2014","FY 2014","Currency=INR","Period=FY","BEST_FPERIOD_OVERRIDE=FY","FILING_STATUS=OR","EQY_CONSOLIDATED=Y","Sort=A","Dates=H","DateFormat=P","Fill=—","Direction=H","UseDPDF=Y")</f>
        <v>#NAME?</v>
      </c>
      <c r="AT228" s="2" t="e">
        <f ca="1">_xll.BDH($C$228,"INVENTORY_5_YEAR_GROWTH","FY 2014","FY 2014","Currency=INR","Period=FY","BEST_FPERIOD_OVERRIDE=FY","FILING_STATUS=OR","EQY_CONSOLIDATED=Y","Sort=A","Dates=H","DateFormat=P","Fill=—","Direction=H","UseDPDF=Y")</f>
        <v>#NAME?</v>
      </c>
      <c r="AU228" s="2" t="e">
        <f ca="1">_xll.BDH($C$228,"NET_FIXED_ASSETS_5_YEAR_GROWTH","FY 2014","FY 2014","Currency=INR","Period=FY","BEST_FPERIOD_OVERRIDE=FY","FILING_STATUS=OR","EQY_CONSOLIDATED=Y","Sort=A","Dates=H","DateFormat=P","Fill=—","Direction=H","UseDPDF=Y")</f>
        <v>#NAME?</v>
      </c>
      <c r="AV228" s="2" t="e">
        <f ca="1">_xll.BDH($C$228,"GEO_GROW_TOT_ASSET","FY 2014","FY 2014","Currency=INR","Period=FY","BEST_FPERIOD_OVERRIDE=FY","FILING_STATUS=OR","EQY_CONSOLIDATED=Y","Sort=A","Dates=H","DateFormat=P","Fill=—","Direction=H","UseDPDF=Y")</f>
        <v>#NAME?</v>
      </c>
      <c r="AW228" s="2" t="e">
        <f ca="1">_xll.BDH($C$228,"MODIFIED_WORKING_CPTL_5YR_GRWTH","FY 2014","FY 2014","Currency=INR","Period=FY","BEST_FPERIOD_OVERRIDE=FY","FILING_STATUS=OR","EQY_CONSOLIDATED=Y","Sort=A","Dates=H","DateFormat=P","Fill=—","Direction=H","UseDPDF=Y")</f>
        <v>#NAME?</v>
      </c>
      <c r="AX228" s="2" t="e">
        <f ca="1">_xll.BDH($C$228,"WORKING_CAPITAL_5_YEAR_GROWTH","FY 2014","FY 2014","Currency=INR","Period=FY","BEST_FPERIOD_OVERRIDE=FY","FILING_STATUS=OR","EQY_CONSOLIDATED=Y","Sort=A","Dates=H","DateFormat=P","Fill=—","Direction=H","UseDPDF=Y")</f>
        <v>#NAME?</v>
      </c>
      <c r="AY228" s="2" t="e">
        <f ca="1">_xll.BDH($C$228,"ACCOUNTS_PAYABLE_5_YEAR_GROWTH","FY 2014","FY 2014","Currency=INR","Period=FY","BEST_FPERIOD_OVERRIDE=FY","FILING_STATUS=OR","EQY_CONSOLIDATED=Y","Sort=A","Dates=H","DateFormat=P","Fill=—","Direction=H","UseDPDF=Y")</f>
        <v>#NAME?</v>
      </c>
      <c r="AZ228" s="2" t="e">
        <f ca="1">_xll.BDH($C$228,"SHORT_TERM_DEBT_5_YEAR_GROWTH","FY 2014","FY 2014","Currency=INR","Period=FY","BEST_FPERIOD_OVERRIDE=FY","FILING_STATUS=OR","EQY_CONSOLIDATED=Y","Sort=A","Dates=H","DateFormat=P","Fill=—","Direction=H","UseDPDF=Y")</f>
        <v>#NAME?</v>
      </c>
      <c r="BA228" s="2" t="e">
        <f ca="1">_xll.BDH($C$228,"TOTAL_DEBT_5_YEAR_GROWTH","FY 2014","FY 2014","Currency=INR","Period=FY","BEST_FPERIOD_OVERRIDE=FY","FILING_STATUS=OR","EQY_CONSOLIDATED=Y","Sort=A","Dates=H","DateFormat=P","Fill=—","Direction=H","UseDPDF=Y")</f>
        <v>#NAME?</v>
      </c>
      <c r="BB228" s="2" t="e">
        <f ca="1">_xll.BDH($C$228,"GEO_GROW_TOT_SHRHLDR_EQY","FY 2014","FY 2014","Currency=INR","Period=FY","BEST_FPERIOD_OVERRIDE=FY","FILING_STATUS=OR","EQY_CONSOLIDATED=Y","Sort=A","Dates=H","DateFormat=P","Fill=—","Direction=H","UseDPDF=Y")</f>
        <v>#NAME?</v>
      </c>
      <c r="BC228" s="2" t="e">
        <f ca="1">_xll.BDH($C$228,"TOTAL_CAPITAL_5_YEAR_GROWTH","FY 2014","FY 2014","Currency=INR","Period=FY","BEST_FPERIOD_OVERRIDE=FY","FILING_STATUS=OR","EQY_CONSOLIDATED=Y","Sort=A","Dates=H","DateFormat=P","Fill=—","Direction=H","UseDPDF=Y")</f>
        <v>#NAME?</v>
      </c>
      <c r="BD228" s="2" t="e">
        <f ca="1">_xll.BDH($C$228,"GEO_GROW_BOOK_VAL","FY 2014","FY 2014","Currency=INR","Period=FY","BEST_FPERIOD_OVERRIDE=FY","FILING_STATUS=OR","EQY_CONSOLIDATED=Y","Sort=A","Dates=H","DateFormat=P","Fill=—","Direction=H","UseDPDF=Y")</f>
        <v>#NAME?</v>
      </c>
      <c r="BE228" s="2" t="e">
        <f ca="1">_xll.BDH($C$228,"GEO_GROW_CASH_OPER_ACT","FY 2014","FY 2014","Currency=INR","Period=FY","BEST_FPERIOD_OVERRIDE=FY","FILING_STATUS=OR","EQY_CONSOLIDATED=Y","Sort=A","Dates=H","DateFormat=P","Fill=—","Direction=H","UseDPDF=Y")</f>
        <v>#NAME?</v>
      </c>
      <c r="BF228" s="2" t="e">
        <f ca="1">_xll.BDH($C$228,"REVENUE_SEQUENTIAL_GROWTH","FY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228" s="2" t="e">
        <f ca="1">_xll.BDH($C$228,"EBITDA_SEQUENTIAL_GROWTH","FY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228" s="2" t="e">
        <f ca="1">_xll.BDH($C$228,"OPERATING_INCOME_SEQ_GROWTH","FY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228" s="2" t="e">
        <f ca="1">_xll.BDH($C$228,"NET_INCOME_TO_COMMON_SEQ_GROWTH","FY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228" s="2" t="e">
        <f ca="1">_xll.BDH($C$228,"EPS_DILUTED_SEQUENTIAL_GROWTH","FY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228" s="2" t="e">
        <f ca="1">_xll.BDH($C$228,"DPS_SEQUENTIAL_GROWTH","FY 2014","FY 2014","Currency=INR","Period=FY","BEST_FPERIOD_OVERRIDE=FY","FILING_STATUS=OR","EQY_CONSOLIDATED=Y","Sort=A","Dates=H","DateFormat=P","Fill=—","Direction=H","UseDPDF=Y")</f>
        <v>#NAME?</v>
      </c>
      <c r="BL228" s="2" t="e">
        <f ca="1">_xll.BDH($C$228,"ACCOUNTS_RECEIVABLE_SEQ_GROWTH","FY 2014","FY 2014","Currency=INR","Period=FY","BEST_FPERIOD_OVERRIDE=FY","FILING_STATUS=OR","EQY_CONSOLIDATED=Y","Sort=A","Dates=H","DateFormat=P","Fill=—","Direction=H","UseDPDF=Y")</f>
        <v>#NAME?</v>
      </c>
      <c r="BM228" s="2" t="e">
        <f ca="1">_xll.BDH($C$228,"INVENTORY_SEQUENTIAL_GROWTH","FY 2014","FY 2014","Currency=INR","Period=FY","BEST_FPERIOD_OVERRIDE=FY","FILING_STATUS=OR","EQY_CONSOLIDATED=Y","Sort=A","Dates=H","DateFormat=P","Fill=—","Direction=H","UseDPDF=Y")</f>
        <v>#NAME?</v>
      </c>
      <c r="BN228" s="2" t="e">
        <f ca="1">_xll.BDH($C$228,"FIXED_ASSETS_SEQUENTIAL_GROWTH","FY 2014","FY 2014","Currency=INR","Period=FY","BEST_FPERIOD_OVERRIDE=FY","FILING_STATUS=OR","EQY_CONSOLIDATED=Y","Sort=A","Dates=H","DateFormat=P","Fill=—","Direction=H","UseDPDF=Y")</f>
        <v>#NAME?</v>
      </c>
      <c r="BO228" s="2" t="e">
        <f ca="1">_xll.BDH($C$228,"TOTAL_ASSETS_SEQUENTIAL_GROWTH","FY 2014","FY 2014","Currency=INR","Period=FY","BEST_FPERIOD_OVERRIDE=FY","FILING_STATUS=OR","EQY_CONSOLIDATED=Y","Sort=A","Dates=H","DateFormat=P","Fill=—","Direction=H","UseDPDF=Y")</f>
        <v>#NAME?</v>
      </c>
      <c r="BP228" s="2" t="e">
        <f ca="1">_xll.BDH($C$228,"MODIFIED_WORKING_CPTL_SEQ_GRWTH","FY 2014","FY 2014","Currency=INR","Period=FY","BEST_FPERIOD_OVERRIDE=FY","FILING_STATUS=OR","EQY_CONSOLIDATED=Y","Sort=A","Dates=H","DateFormat=P","Fill=—","Direction=H","UseDPDF=Y")</f>
        <v>#NAME?</v>
      </c>
      <c r="BQ228" s="2" t="e">
        <f ca="1">_xll.BDH($C$228,"WORKING_CAPITAL_SEQ_GROWTH","FY 2014","FY 2014","Currency=INR","Period=FY","BEST_FPERIOD_OVERRIDE=FY","FILING_STATUS=OR","EQY_CONSOLIDATED=Y","Sort=A","Dates=H","DateFormat=P","Fill=—","Direction=H","UseDPDF=Y")</f>
        <v>#NAME?</v>
      </c>
      <c r="BR228" s="2" t="e">
        <f ca="1">_xll.BDH($C$228,"ACCOUNTS_PAYABLE_SEQ_GROWTH","FY 2014","FY 2014","Currency=INR","Period=FY","BEST_FPERIOD_OVERRIDE=FY","FILING_STATUS=OR","EQY_CONSOLIDATED=Y","Sort=A","Dates=H","DateFormat=P","Fill=—","Direction=H","UseDPDF=Y")</f>
        <v>#NAME?</v>
      </c>
      <c r="BS228" s="2" t="e">
        <f ca="1">_xll.BDH($C$228,"ST_DEBT_SEQUENTIAL_GROWTH","FY 2014","FY 2014","Currency=INR","Period=FY","BEST_FPERIOD_OVERRIDE=FY","FILING_STATUS=OR","EQY_CONSOLIDATED=Y","Sort=A","Dates=H","DateFormat=P","Fill=—","Direction=H","UseDPDF=Y")</f>
        <v>#NAME?</v>
      </c>
      <c r="BT228" s="2" t="e">
        <f ca="1">_xll.BDH($C$228,"TOTAL_DEBT_SEQUENTIAL_GROWTH","FY 2014","FY 2014","Currency=INR","Period=FY","BEST_FPERIOD_OVERRIDE=FY","FILING_STATUS=OR","EQY_CONSOLIDATED=Y","Sort=A","Dates=H","DateFormat=P","Fill=—","Direction=H","UseDPDF=Y")</f>
        <v>#NAME?</v>
      </c>
      <c r="BU228" s="2" t="e">
        <f ca="1">_xll.BDH($C$228,"TOTAL_EQUITY_SEQUENTIAL_GROWTH","FY 2014","FY 2014","Currency=INR","Period=FY","BEST_FPERIOD_OVERRIDE=FY","FILING_STATUS=OR","EQY_CONSOLIDATED=Y","Sort=A","Dates=H","DateFormat=P","Fill=—","Direction=H","UseDPDF=Y")</f>
        <v>#NAME?</v>
      </c>
      <c r="BV228" s="2" t="e">
        <f ca="1">_xll.BDH($C$228,"TOTAL_CAPITAL_SEQUENTIAL_GROWTH","FY 2014","FY 2014","Currency=INR","Period=FY","BEST_FPERIOD_OVERRIDE=FY","FILING_STATUS=OR","EQY_CONSOLIDATED=Y","Sort=A","Dates=H","DateFormat=P","Fill=—","Direction=H","UseDPDF=Y")</f>
        <v>#NAME?</v>
      </c>
      <c r="BW228" s="2" t="e">
        <f ca="1">_xll.BDH($C$228,"BPS_SEQUENTIAL_GROWTH","FY 2014","FY 2014","Currency=INR","Period=FY","BEST_FPERIOD_OVERRIDE=FY","FILING_STATUS=OR","EQY_CONSOLIDATED=Y","Sort=A","Dates=H","DateFormat=P","Fill=—","Direction=H","UseDPDF=Y")</f>
        <v>#NAME?</v>
      </c>
      <c r="BX228" s="2" t="e">
        <f ca="1">_xll.BDH($C$228,"CFO_SEQUENTIAL_GROWTH","FY 2014","FY 2014","Currency=INR","Period=FY","BEST_FPERIOD_OVERRIDE=FY","FILING_STATUS=OR","EQY_CONSOLIDATED=Y","Sort=A","Dates=H","DateFormat=P","Fill=—","Direction=H","UseDPDF=Y")</f>
        <v>#NAME?</v>
      </c>
      <c r="BY228" s="3" t="e">
        <f ca="1">_xll.BDH($C$228,"SHORT_AND_LONG_TERM_DEBT","FY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228" s="3" t="e">
        <f ca="1">_xll.BDH($C$228,"BS_ST_BORROW","FY 2014","FY 2014","Currency=INR","Period=FY","BEST_FPERIOD_OVERRIDE=FY","FILING_STATUS=OR","EQY_CONSOLIDATED=Y","SCALING_FORMAT=MLN","Sort=A","Dates=H","DateFormat=P","Fill=—","Direction=H","UseDPDF=Y")</f>
        <v>#NAME?</v>
      </c>
      <c r="CA228" s="3" t="e">
        <f ca="1">_xll.BDH($C$228,"BS_LT_BORROW","FY 2014","FY 2014","Currency=INR","Period=FY","BEST_FPERIOD_OVERRIDE=FY","FILING_STATUS=OR","EQY_CONSOLIDATED=Y","SCALING_FORMAT=MLN","Sort=A","Dates=H","DateFormat=P","Fill=—","Direction=H","UseDPDF=Y")</f>
        <v>#NAME?</v>
      </c>
      <c r="CB228" s="2" t="e">
        <f ca="1">_xll.BDH($C$228,"TOT_DEBT_TO_EBITDA","FY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228" s="2" t="e">
        <f ca="1">_xll.BDH($C$228,"NET_DEBT_TO_EBITDA","FY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228" s="2" t="e">
        <f ca="1">_xll.BDH($C$228,"TOTAL_DEBT_TO_EBIT","FY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228" s="2" t="e">
        <f ca="1">_xll.BDH($C$228,"NET_DEBT_TO_EBIT","FY 2014","FY 2014","Currency=INR","Period=FY","BEST_FPERIOD_OVERRIDE=FY","FILING_STATUS=OR","EQY_CONSOLIDATED=Y","FA_ADJUSTED=GAAP","Sort=A","Dates=H","DateFormat=P","Fill=—","Direction=H","UseDPDF=Y")</f>
        <v>#NAME?</v>
      </c>
      <c r="CF228" s="2" t="e">
        <f ca="1">_xll.BDH($C$228,"EBITDA_TO_INTEREST_EXPN","FY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228" s="2" t="e">
        <f ca="1">_xll.BDH($C$228,"COM_EQY_TO_TOT_ASSET","FY 2014","FY 2014","Currency=INR","Period=FY","BEST_FPERIOD_OVERRIDE=FY","FILING_STATUS=OR","EQY_CONSOLIDATED=Y","Sort=A","Dates=H","DateFormat=P","Fill=—","Direction=H","UseDPDF=Y")</f>
        <v>#NAME?</v>
      </c>
      <c r="CH228" s="2" t="e">
        <f ca="1">_xll.BDH($C$228,"LT_DEBT_TO_TOT_EQY","FY 2014","FY 2014","Currency=INR","Period=FY","BEST_FPERIOD_OVERRIDE=FY","FILING_STATUS=OR","EQY_CONSOLIDATED=Y","Sort=A","Dates=H","DateFormat=P","Fill=—","Direction=H","UseDPDF=Y")</f>
        <v>#NAME?</v>
      </c>
      <c r="CI228" s="2" t="e">
        <f ca="1">_xll.BDH($C$228,"LT_DEBT_TO_TOT_CAP","FY 2014","FY 2014","Currency=INR","Period=FY","BEST_FPERIOD_OVERRIDE=FY","FILING_STATUS=OR","EQY_CONSOLIDATED=Y","Sort=A","Dates=H","DateFormat=P","Fill=—","Direction=H","UseDPDF=Y")</f>
        <v>#NAME?</v>
      </c>
      <c r="CJ228" s="2" t="e">
        <f ca="1">_xll.BDH($C$228,"LT_DEBT_TO_TOT_ASSET","FY 2014","FY 2014","Currency=INR","Period=FY","BEST_FPERIOD_OVERRIDE=FY","FILING_STATUS=OR","EQY_CONSOLIDATED=Y","Sort=A","Dates=H","DateFormat=P","Fill=—","Direction=H","UseDPDF=Y")</f>
        <v>#NAME?</v>
      </c>
      <c r="CK228" s="2" t="e">
        <f ca="1">_xll.BDH($C$228,"TOT_DEBT_TO_TOT_EQY","FY 2014","FY 2014","Currency=INR","Period=FY","BEST_FPERIOD_OVERRIDE=FY","FILING_STATUS=OR","EQY_CONSOLIDATED=Y","Sort=A","Dates=H","DateFormat=P","Fill=—","Direction=H","UseDPDF=Y")</f>
        <v>#NAME?</v>
      </c>
      <c r="CL228" s="2" t="e">
        <f ca="1">_xll.BDH($C$228,"TOT_DEBT_TO_TOT_CAP","FY 2014","FY 2014","Currency=INR","Period=FY","BEST_FPERIOD_OVERRIDE=FY","FILING_STATUS=OR","EQY_CONSOLIDATED=Y","Sort=A","Dates=H","DateFormat=P","Fill=—","Direction=H","UseDPDF=Y")</f>
        <v>#NAME?</v>
      </c>
      <c r="CM228" s="2" t="e">
        <f ca="1">_xll.BDH($C$228,"TOT_DEBT_TO_TOT_ASSET","FY 2014","FY 2014","Currency=INR","Period=FY","BEST_FPERIOD_OVERRIDE=FY","FILING_STATUS=OR","EQY_CONSOLIDATED=Y","Sort=A","Dates=H","DateFormat=P","Fill=—","Direction=H","UseDPDF=Y")</f>
        <v>#NAME?</v>
      </c>
      <c r="CN228" s="2" t="e">
        <f ca="1">_xll.BDH($C$228,"NET_DEBT_TO_SHRHLDR_EQTY","FY 2014","FY 2014","Currency=INR","Period=FY","BEST_FPERIOD_OVERRIDE=FY","FILING_STATUS=OR","EQY_CONSOLIDATED=Y","Sort=A","Dates=H","DateFormat=P","Fill=—","Direction=H","UseDPDF=Y")</f>
        <v>#NAME?</v>
      </c>
      <c r="CO228" s="2" t="e">
        <f ca="1">_xll.BDH($C$228,"NET_DEBT_%_CAPITAL","FY 2014","FY 2014","Currency=INR","Period=FY","BEST_FPERIOD_OVERRIDE=FY","FILING_STATUS=OR","EQY_CONSOLIDATED=Y","Sort=A","Dates=H","DateFormat=P","Fill=—","Direction=H","UseDPDF=Y")</f>
        <v>#NAME?</v>
      </c>
      <c r="CP228" s="3" t="e">
        <f ca="1">_xll.BDH($C$228,"EBITDA","FY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228" s="3" t="e">
        <f ca="1">_xll.BDH($C$228,"EBITDA_AFTER_CAPEX","FY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228" s="3" t="e">
        <f ca="1">_xll.BDH($C$228,"IS_OPER_INC","FY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228" s="2" t="e">
        <f ca="1">_xll.BDH($C$228,"CASH_RATIO","FY 2014","FY 2014","Currency=INR","Period=FY","BEST_FPERIOD_OVERRIDE=FY","FILING_STATUS=OR","EQY_CONSOLIDATED=Y","Sort=A","Dates=H","DateFormat=P","Fill=—","Direction=H","UseDPDF=Y")</f>
        <v>#NAME?</v>
      </c>
      <c r="CT228" s="2" t="e">
        <f ca="1">_xll.BDH($C$228,"CUR_RATIO","FY 2014","FY 2014","Currency=INR","Period=FY","BEST_FPERIOD_OVERRIDE=FY","FILING_STATUS=OR","EQY_CONSOLIDATED=Y","Sort=A","Dates=H","DateFormat=P","Fill=—","Direction=H","UseDPDF=Y")</f>
        <v>#NAME?</v>
      </c>
      <c r="CU228" s="2" t="e">
        <f ca="1">_xll.BDH($C$228,"QUICK_RATIO","FY 2014","FY 2014","Currency=INR","Period=FY","BEST_FPERIOD_OVERRIDE=FY","FILING_STATUS=OR","EQY_CONSOLIDATED=Y","Sort=A","Dates=H","DateFormat=P","Fill=—","Direction=H","UseDPDF=Y")</f>
        <v>#NAME?</v>
      </c>
      <c r="CV228" s="2" t="e">
        <f ca="1">_xll.BDH($C$228,"ALTMAN_Z_SCORE","FY 2014","FY 2014","Currency=INR","Period=FY","BEST_FPERIOD_OVERRIDE=FY","FILING_STATUS=OR","EQY_CONSOLIDATED=Y","Sort=A","Dates=H","DateFormat=P","Fill=—","Direction=H","UseDPDF=Y")</f>
        <v>#NAME?</v>
      </c>
      <c r="CW228" s="4" t="e">
        <f ca="1">_xll.BDH($C$228,"ACCT_RCV_TURN","FY 2014","FY 2014","Currency=INR","Period=FY","BEST_FPERIOD_OVERRIDE=FY","FILING_STATUS=OR","EQY_CONSOLIDATED=Y","FA_ADJUSTED=GAAP","Sort=A","Dates=H","DateFormat=P","Fill=—","Direction=H","UseDPDF=Y")</f>
        <v>#NAME?</v>
      </c>
      <c r="CX228" s="2" t="e">
        <f ca="1">_xll.BDH($C$228,"ACCT_RCV_DAYS","FY 2014","FY 2014","Currency=INR","Period=FY","BEST_FPERIOD_OVERRIDE=FY","FILING_STATUS=OR","EQY_CONSOLIDATED=Y","FA_ADJUSTED=GAAP","Sort=A","Dates=H","DateFormat=P","Fill=—","Direction=H","UseDPDF=Y")</f>
        <v>#NAME?</v>
      </c>
      <c r="CY228" s="4" t="e">
        <f ca="1">_xll.BDH($C$228,"INVENT_TURN","FY 2014","FY 2014","Currency=INR","Period=FY","BEST_FPERIOD_OVERRIDE=FY","FILING_STATUS=OR","EQY_CONSOLIDATED=Y","FA_ADJUSTED=GAAP","Sort=A","Dates=H","DateFormat=P","Fill=—","Direction=H","UseDPDF=Y")</f>
        <v>#NAME?</v>
      </c>
      <c r="CZ228" s="2" t="e">
        <f ca="1">_xll.BDH($C$228,"INVENT_DAYS","FY 2014","FY 2014","Currency=INR","Period=FY","BEST_FPERIOD_OVERRIDE=FY","FILING_STATUS=OR","EQY_CONSOLIDATED=Y","FA_ADJUSTED=GAAP","Sort=A","Dates=H","DateFormat=P","Fill=—","Direction=H","UseDPDF=Y")</f>
        <v>#NAME?</v>
      </c>
      <c r="DA228" s="4" t="e">
        <f ca="1">_xll.BDH($C$228,"ACCOUNTS_PAYABLE_TURNOVER","FY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228" s="2" t="e">
        <f ca="1">_xll.BDH($C$228,"ACCOUNTS_PAYABLE_TURNOVER_DAYS","FY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228" s="4" t="e">
        <f ca="1">_xll.BDH($C$228,"CASH_CONVERSION_CYCLE","FY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228" s="4" t="e">
        <f ca="1">_xll.BDH($C$228,"INV_TO_CASH_DAYS","FY 2014","FY 2014","Currency=INR","Period=FY","BEST_FPERIOD_OVERRIDE=FY","FILING_STATUS=OR","EQY_CONSOLIDATED=Y","FA_ADJUSTED=GAAP","Sort=A","Dates=H","DateFormat=P","Fill=—","Direction=H","UseDPDF=Y")</f>
        <v>#NAME?</v>
      </c>
      <c r="DE228" s="5" t="e">
        <f ca="1">_xll.BDH($C$228,"BS_INVENTORIES","FY 2014","FY 2014","Currency=INR","Period=FY","BEST_FPERIOD_OVERRIDE=FY","FILING_STATUS=OR","EQY_CONSOLIDATED=Y","SCALING_FORMAT=MLN","Sort=A","Dates=H","DateFormat=P","Fill=—","Direction=H","UseDPDF=Y")</f>
        <v>#NAME?</v>
      </c>
      <c r="DF228" s="3" t="e">
        <f ca="1">_xll.BDH($C$228,"INVTRY_RAW_MATERIALS","FY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228" s="3" t="e">
        <f ca="1">_xll.BDH($C$228,"INVTRY_IN_PROGRESS","FY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228" s="3" t="e">
        <f ca="1">_xll.BDH($C$228,"INVTRY_FINISHED_GOODS","FY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228" s="3" t="e">
        <f ca="1">_xll.BDH($C$228,"BS_OTHER_INV","FY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229" spans="1:113" x14ac:dyDescent="0.3">
      <c r="A229" s="6"/>
      <c r="B229" s="6"/>
      <c r="C229" s="6"/>
      <c r="D229" s="6"/>
      <c r="E229" t="s">
        <v>78</v>
      </c>
      <c r="F229" t="e">
        <f ca="1">_xll.BDH($C$228,"RETURN_COM_EQY","FQ1 2014","FQ1 2014","Currency=INR","Period=FQ","BEST_FPERIOD_OVERRIDE=FQ","FILING_STATUS=OR","EQY_CONSOLIDATED=Y","FA_ADJUSTED=GAAP","Sort=A","Dates=H","DateFormat=P","Fill=—","Direction=H","UseDPDF=Y")</f>
        <v>#NAME?</v>
      </c>
      <c r="G229" t="e">
        <f ca="1">_xll.BDH($C$228,"RETURN_ON_ASSET","FQ1 2014","FQ1 2014","Currency=INR","Period=FQ","BEST_FPERIOD_OVERRIDE=FQ","FILING_STATUS=OR","EQY_CONSOLIDATED=Y","FA_ADJUSTED=GAAP","Sort=A","Dates=H","DateFormat=P","Fill=—","Direction=H","UseDPDF=Y")</f>
        <v>#NAME?</v>
      </c>
      <c r="H229" t="e">
        <f ca="1">_xll.BDH($C$228,"RETURN_ON_CAP","FQ1 2014","FQ1 2014","Currency=INR","Period=FQ","BEST_FPERIOD_OVERRIDE=FQ","FILING_STATUS=OR","EQY_CONSOLIDATED=Y","FA_ADJUSTED=GAAP","Sort=A","Dates=H","DateFormat=P","Fill=—","Direction=H","UseDPDF=Y")</f>
        <v>#NAME?</v>
      </c>
      <c r="I229" t="e">
        <f ca="1">_xll.BDH($C$228,"RETURN_ON_INV_CAPITAL","FQ1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229" t="e">
        <f ca="1">_xll.BDH($C$228,"EBITDA_TO_REVENUE","FQ1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229" t="e">
        <f ca="1">_xll.BDH($C$228,"OPER_MARGIN","FQ1 2014","FQ1 2014","Currency=INR","Period=FQ","BEST_FPERIOD_OVERRIDE=FQ","FILING_STATUS=OR","EQY_CONSOLIDATED=Y","FA_ADJUSTED=GAAP","Sort=A","Dates=H","DateFormat=P","Fill=—","Direction=H","UseDPDF=Y")</f>
        <v>#NAME?</v>
      </c>
      <c r="L229" t="e">
        <f ca="1">_xll.BDH($C$228,"INCREMENTAL_OPERATING_MARGIN","FQ1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229" t="e">
        <f ca="1">_xll.BDH($C$228,"PRETAX_INC_TO_NET_SALES","FQ1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229" t="e">
        <f ca="1">_xll.BDH($C$228,"INC_BEF_XO_ITEMS_TO_NET_SALES","FQ1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229" t="e">
        <f ca="1">_xll.BDH($C$228,"PROF_MARGIN","FQ1 2014","FQ1 2014","Currency=INR","Period=FQ","BEST_FPERIOD_OVERRIDE=FQ","FILING_STATUS=OR","EQY_CONSOLIDATED=Y","FA_ADJUSTED=GAAP","Sort=A","Dates=H","DateFormat=P","Fill=—","Direction=H","UseDPDF=Y")</f>
        <v>#NAME?</v>
      </c>
      <c r="P229" t="e">
        <f ca="1">_xll.BDH($C$228,"NET_INCOME_TO_COMMON_MARGIN","FQ1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229" t="e">
        <f ca="1">_xll.BDH($C$228,"EFF_TAX_RATE","FQ1 2014","FQ1 2014","Currency=INR","Period=FQ","BEST_FPERIOD_OVERRIDE=FQ","FILING_STATUS=OR","EQY_CONSOLIDATED=Y","FA_ADJUSTED=GAAP","Sort=A","Dates=H","DateFormat=P","Fill=—","Direction=H","UseDPDF=Y")</f>
        <v>#NAME?</v>
      </c>
      <c r="R229" t="e">
        <f ca="1">_xll.BDH($C$228,"DVD_PAYOUT_RATIO","FQ1 2014","FQ1 2014","Currency=INR","Period=FQ","BEST_FPERIOD_OVERRIDE=FQ","FILING_STATUS=OR","EQY_CONSOLIDATED=Y","FA_ADJUSTED=GAAP","Sort=A","Dates=H","DateFormat=P","Fill=—","Direction=H","UseDPDF=Y")</f>
        <v>#NAME?</v>
      </c>
      <c r="S229" t="e">
        <f ca="1">_xll.BDH($C$228,"SUSTAIN_GROWTH_RT","FQ1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229" s="2" t="e">
        <f ca="1">_xll.BDH($C$228,"SALES_GROWTH","FQ1 2014","FQ1 2014","Currency=INR","Period=FQ","BEST_FPERIOD_OVERRIDE=FQ","FILING_STATUS=OR","EQY_CONSOLIDATED=Y","FA_ADJUSTED=GAAP","Sort=A","Dates=H","DateFormat=P","Fill=—","Direction=H","UseDPDF=Y")</f>
        <v>#NAME?</v>
      </c>
      <c r="U229" s="2" t="e">
        <f ca="1">_xll.BDH($C$228,"EBITDA_GROWTH","FQ1 2014","FQ1 2014","Currency=INR","Period=FQ","BEST_FPERIOD_OVERRIDE=FQ","FILING_STATUS=OR","EQY_CONSOLIDATED=Y","FA_ADJUSTED=GAAP","Sort=A","Dates=H","DateFormat=P","Fill=—","Direction=H","UseDPDF=Y")</f>
        <v>#NAME?</v>
      </c>
      <c r="V229" s="2" t="e">
        <f ca="1">_xll.BDH($C$228,"OPER_INC_GROWTH","FQ1 2014","FQ1 2014","Currency=INR","Period=FQ","BEST_FPERIOD_OVERRIDE=FQ","FILING_STATUS=OR","EQY_CONSOLIDATED=Y","FA_ADJUSTED=GAAP","Sort=A","Dates=H","DateFormat=P","Fill=—","Direction=H","UseDPDF=Y")</f>
        <v>#NAME?</v>
      </c>
      <c r="W229" s="2" t="e">
        <f ca="1">_xll.BDH($C$228,"EARN_FOR_COM_GROWTH","FQ1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229" s="2" t="e">
        <f ca="1">_xll.BDH($C$228,"DILUTED_EPS_AFT_XO_ITEMS_GROWTH","FQ1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229" s="2" t="e">
        <f ca="1">_xll.BDH($C$228,"DIVIDEND_PER_SHARE_1_YEAR_GROWTH","FQ1 2014","FQ1 2014","Currency=INR","Period=FQ","BEST_FPERIOD_OVERRIDE=FQ","FILING_STATUS=OR","EQY_CONSOLIDATED=Y","Sort=A","Dates=H","DateFormat=P","Fill=—","Direction=H","UseDPDF=Y")</f>
        <v>#NAME?</v>
      </c>
      <c r="Z229" s="2" t="e">
        <f ca="1">_xll.BDH($C$228,"ACCOUNTS_RECEIVABLE_GROWTH","FQ1 2014","FQ1 2014","Currency=INR","Period=FQ","BEST_FPERIOD_OVERRIDE=FQ","FILING_STATUS=OR","EQY_CONSOLIDATED=Y","Sort=A","Dates=H","DateFormat=P","Fill=—","Direction=H","UseDPDF=Y")</f>
        <v>#NAME?</v>
      </c>
      <c r="AA229" s="2" t="e">
        <f ca="1">_xll.BDH($C$228,"INVENTORY_GROWTH","FQ1 2014","FQ1 2014","Currency=INR","Period=FQ","BEST_FPERIOD_OVERRIDE=FQ","FILING_STATUS=OR","EQY_CONSOLIDATED=Y","Sort=A","Dates=H","DateFormat=P","Fill=—","Direction=H","UseDPDF=Y")</f>
        <v>#NAME?</v>
      </c>
      <c r="AB229" s="2" t="e">
        <f ca="1">_xll.BDH($C$228,"NET_FIXED_ASSETS_1_YEAR_GROWTH","FQ1 2014","FQ1 2014","Currency=INR","Period=FQ","BEST_FPERIOD_OVERRIDE=FQ","FILING_STATUS=OR","EQY_CONSOLIDATED=Y","Sort=A","Dates=H","DateFormat=P","Fill=—","Direction=H","UseDPDF=Y")</f>
        <v>#NAME?</v>
      </c>
      <c r="AC229" s="2" t="e">
        <f ca="1">_xll.BDH($C$228,"ASSET_GROWTH","FQ1 2014","FQ1 2014","Currency=INR","Period=FQ","BEST_FPERIOD_OVERRIDE=FQ","FILING_STATUS=OR","EQY_CONSOLIDATED=Y","Sort=A","Dates=H","DateFormat=P","Fill=—","Direction=H","UseDPDF=Y")</f>
        <v>#NAME?</v>
      </c>
      <c r="AD229" s="2" t="e">
        <f ca="1">_xll.BDH($C$228,"MODIFIED_WORK_CAP_GROWTH","FQ1 2014","FQ1 2014","Currency=INR","Period=FQ","BEST_FPERIOD_OVERRIDE=FQ","FILING_STATUS=OR","EQY_CONSOLIDATED=Y","Sort=A","Dates=H","DateFormat=P","Fill=—","Direction=H","UseDPDF=Y")</f>
        <v>#NAME?</v>
      </c>
      <c r="AE229" s="2" t="e">
        <f ca="1">_xll.BDH($C$228,"WORK_CAP_GROWTH","FQ1 2014","FQ1 2014","Currency=INR","Period=FQ","BEST_FPERIOD_OVERRIDE=FQ","FILING_STATUS=OR","EQY_CONSOLIDATED=Y","Sort=A","Dates=H","DateFormat=P","Fill=—","Direction=H","UseDPDF=Y")</f>
        <v>#NAME?</v>
      </c>
      <c r="AF229" s="2" t="e">
        <f ca="1">_xll.BDH($C$228,"ACCOUNTS_PAYABLE_GROWTH_1YR","FQ1 2014","FQ1 2014","Currency=INR","Period=FQ","BEST_FPERIOD_OVERRIDE=FQ","FILING_STATUS=OR","EQY_CONSOLIDATED=Y","Sort=A","Dates=H","DateFormat=P","Fill=—","Direction=H","UseDPDF=Y")</f>
        <v>#NAME?</v>
      </c>
      <c r="AG229" s="2" t="e">
        <f ca="1">_xll.BDH($C$228,"SHORT_TERM_DEBT_1_YEAR_GROWTH","FQ1 2014","FQ1 2014","Currency=INR","Period=FQ","BEST_FPERIOD_OVERRIDE=FQ","FILING_STATUS=OR","EQY_CONSOLIDATED=Y","Sort=A","Dates=H","DateFormat=P","Fill=—","Direction=H","UseDPDF=Y")</f>
        <v>#NAME?</v>
      </c>
      <c r="AH229" s="2" t="e">
        <f ca="1">_xll.BDH($C$228,"TOTAL_DEBT_1_YEAR_GROWTH","FQ1 2014","FQ1 2014","Currency=INR","Period=FQ","BEST_FPERIOD_OVERRIDE=FQ","FILING_STATUS=OR","EQY_CONSOLIDATED=Y","Sort=A","Dates=H","DateFormat=P","Fill=—","Direction=H","UseDPDF=Y")</f>
        <v>#NAME?</v>
      </c>
      <c r="AI229" s="2" t="e">
        <f ca="1">_xll.BDH($C$228,"TOTAL_EQUITY_1_YEAR_GROWTH","FQ1 2014","FQ1 2014","Currency=INR","Period=FQ","BEST_FPERIOD_OVERRIDE=FQ","FILING_STATUS=OR","EQY_CONSOLIDATED=Y","Sort=A","Dates=H","DateFormat=P","Fill=—","Direction=H","UseDPDF=Y")</f>
        <v>#NAME?</v>
      </c>
      <c r="AJ229" s="2" t="e">
        <f ca="1">_xll.BDH($C$228,"GROWTH_IN_CAP","FQ1 2014","FQ1 2014","Currency=INR","Period=FQ","BEST_FPERIOD_OVERRIDE=FQ","FILING_STATUS=OR","EQY_CONSOLIDATED=Y","Sort=A","Dates=H","DateFormat=P","Fill=—","Direction=H","UseDPDF=Y")</f>
        <v>#NAME?</v>
      </c>
      <c r="AK229" s="2" t="e">
        <f ca="1">_xll.BDH($C$228,"BVPS_GROWTH","FQ1 2014","FQ1 2014","Currency=INR","Period=FQ","BEST_FPERIOD_OVERRIDE=FQ","FILING_STATUS=OR","EQY_CONSOLIDATED=Y","Sort=A","Dates=H","DateFormat=P","Fill=—","Direction=H","UseDPDF=Y")</f>
        <v>#NAME?</v>
      </c>
      <c r="AL229" s="2" t="e">
        <f ca="1">_xll.BDH($C$228,"CASH_FLOW_GROWTH","FQ1 2014","FQ1 2014","Currency=INR","Period=FQ","BEST_FPERIOD_OVERRIDE=FQ","FILING_STATUS=OR","EQY_CONSOLIDATED=Y","Sort=A","Dates=H","DateFormat=P","Fill=—","Direction=H","UseDPDF=Y")</f>
        <v>#NAME?</v>
      </c>
      <c r="AM229" s="2" t="e">
        <f ca="1">_xll.BDH($C$228,"GEO_GROW_NET_SALES","FQ1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229" s="2" t="e">
        <f ca="1">_xll.BDH($C$228,"GEO_GROW_EBITDA","FQ1 2014","FQ1 2014","Currency=INR","Period=FQ","BEST_FPERIOD_OVERRIDE=FQ","FILING_STATUS=OR","EQY_CONSOLIDATED=Y","FA_ADJUSTED=GAAP","Sort=A","Dates=H","DateFormat=P","Fill=—","Direction=H","UseDPDF=Y")</f>
        <v>#NAME?</v>
      </c>
      <c r="AO229" s="2" t="e">
        <f ca="1">_xll.BDH($C$228,"GEO_GROW_OPER_INC","FQ1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229" s="2" t="e">
        <f ca="1">_xll.BDH($C$228,"NET_INCOME_TO_COMMON_5_YR_GROWTH","FQ1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229" s="2" t="e">
        <f ca="1">_xll.BDH($C$228,"5Y_GEO_GROWTH_DILUTED_EPS","FQ1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229" s="2" t="e">
        <f ca="1">_xll.BDH($C$228,"GEO_GROW_DVD_PER_SH","FQ1 2014","FQ1 2014","Currency=INR","Period=FQ","BEST_FPERIOD_OVERRIDE=FQ","FILING_STATUS=OR","EQY_CONSOLIDATED=Y","Sort=A","Dates=H","DateFormat=P","Fill=—","Direction=H","UseDPDF=Y")</f>
        <v>#NAME?</v>
      </c>
      <c r="AS229" s="2" t="e">
        <f ca="1">_xll.BDH($C$228,"ACCOUNTS_RECEIVABLE_5_YR_GROWTH","FQ1 2014","FQ1 2014","Currency=INR","Period=FQ","BEST_FPERIOD_OVERRIDE=FQ","FILING_STATUS=OR","EQY_CONSOLIDATED=Y","Sort=A","Dates=H","DateFormat=P","Fill=—","Direction=H","UseDPDF=Y")</f>
        <v>#NAME?</v>
      </c>
      <c r="AT229" s="2" t="e">
        <f ca="1">_xll.BDH($C$228,"INVENTORY_5_YEAR_GROWTH","FQ1 2014","FQ1 2014","Currency=INR","Period=FQ","BEST_FPERIOD_OVERRIDE=FQ","FILING_STATUS=OR","EQY_CONSOLIDATED=Y","Sort=A","Dates=H","DateFormat=P","Fill=—","Direction=H","UseDPDF=Y")</f>
        <v>#NAME?</v>
      </c>
      <c r="AU229" s="2" t="e">
        <f ca="1">_xll.BDH($C$228,"NET_FIXED_ASSETS_5_YEAR_GROWTH","FQ1 2014","FQ1 2014","Currency=INR","Period=FQ","BEST_FPERIOD_OVERRIDE=FQ","FILING_STATUS=OR","EQY_CONSOLIDATED=Y","Sort=A","Dates=H","DateFormat=P","Fill=—","Direction=H","UseDPDF=Y")</f>
        <v>#NAME?</v>
      </c>
      <c r="AV229" s="2" t="e">
        <f ca="1">_xll.BDH($C$228,"GEO_GROW_TOT_ASSET","FQ1 2014","FQ1 2014","Currency=INR","Period=FQ","BEST_FPERIOD_OVERRIDE=FQ","FILING_STATUS=OR","EQY_CONSOLIDATED=Y","Sort=A","Dates=H","DateFormat=P","Fill=—","Direction=H","UseDPDF=Y")</f>
        <v>#NAME?</v>
      </c>
      <c r="AW229" s="2" t="e">
        <f ca="1">_xll.BDH($C$228,"MODIFIED_WORKING_CPTL_5YR_GRWTH","FQ1 2014","FQ1 2014","Currency=INR","Period=FQ","BEST_FPERIOD_OVERRIDE=FQ","FILING_STATUS=OR","EQY_CONSOLIDATED=Y","Sort=A","Dates=H","DateFormat=P","Fill=—","Direction=H","UseDPDF=Y")</f>
        <v>#NAME?</v>
      </c>
      <c r="AX229" s="2" t="e">
        <f ca="1">_xll.BDH($C$228,"WORKING_CAPITAL_5_YEAR_GROWTH","FQ1 2014","FQ1 2014","Currency=INR","Period=FQ","BEST_FPERIOD_OVERRIDE=FQ","FILING_STATUS=OR","EQY_CONSOLIDATED=Y","Sort=A","Dates=H","DateFormat=P","Fill=—","Direction=H","UseDPDF=Y")</f>
        <v>#NAME?</v>
      </c>
      <c r="AY229" s="2" t="e">
        <f ca="1">_xll.BDH($C$228,"ACCOUNTS_PAYABLE_5_YEAR_GROWTH","FQ1 2014","FQ1 2014","Currency=INR","Period=FQ","BEST_FPERIOD_OVERRIDE=FQ","FILING_STATUS=OR","EQY_CONSOLIDATED=Y","Sort=A","Dates=H","DateFormat=P","Fill=—","Direction=H","UseDPDF=Y")</f>
        <v>#NAME?</v>
      </c>
      <c r="AZ229" s="2" t="e">
        <f ca="1">_xll.BDH($C$228,"SHORT_TERM_DEBT_5_YEAR_GROWTH","FQ1 2014","FQ1 2014","Currency=INR","Period=FQ","BEST_FPERIOD_OVERRIDE=FQ","FILING_STATUS=OR","EQY_CONSOLIDATED=Y","Sort=A","Dates=H","DateFormat=P","Fill=—","Direction=H","UseDPDF=Y")</f>
        <v>#NAME?</v>
      </c>
      <c r="BA229" s="2" t="e">
        <f ca="1">_xll.BDH($C$228,"TOTAL_DEBT_5_YEAR_GROWTH","FQ1 2014","FQ1 2014","Currency=INR","Period=FQ","BEST_FPERIOD_OVERRIDE=FQ","FILING_STATUS=OR","EQY_CONSOLIDATED=Y","Sort=A","Dates=H","DateFormat=P","Fill=—","Direction=H","UseDPDF=Y")</f>
        <v>#NAME?</v>
      </c>
      <c r="BB229" s="2" t="e">
        <f ca="1">_xll.BDH($C$228,"GEO_GROW_TOT_SHRHLDR_EQY","FQ1 2014","FQ1 2014","Currency=INR","Period=FQ","BEST_FPERIOD_OVERRIDE=FQ","FILING_STATUS=OR","EQY_CONSOLIDATED=Y","Sort=A","Dates=H","DateFormat=P","Fill=—","Direction=H","UseDPDF=Y")</f>
        <v>#NAME?</v>
      </c>
      <c r="BC229" s="2" t="e">
        <f ca="1">_xll.BDH($C$228,"TOTAL_CAPITAL_5_YEAR_GROWTH","FQ1 2014","FQ1 2014","Currency=INR","Period=FQ","BEST_FPERIOD_OVERRIDE=FQ","FILING_STATUS=OR","EQY_CONSOLIDATED=Y","Sort=A","Dates=H","DateFormat=P","Fill=—","Direction=H","UseDPDF=Y")</f>
        <v>#NAME?</v>
      </c>
      <c r="BD229" s="2" t="e">
        <f ca="1">_xll.BDH($C$228,"GEO_GROW_BOOK_VAL","FQ1 2014","FQ1 2014","Currency=INR","Period=FQ","BEST_FPERIOD_OVERRIDE=FQ","FILING_STATUS=OR","EQY_CONSOLIDATED=Y","Sort=A","Dates=H","DateFormat=P","Fill=—","Direction=H","UseDPDF=Y")</f>
        <v>#NAME?</v>
      </c>
      <c r="BE229" s="2" t="e">
        <f ca="1">_xll.BDH($C$228,"GEO_GROW_CASH_OPER_ACT","FQ1 2014","FQ1 2014","Currency=INR","Period=FQ","BEST_FPERIOD_OVERRIDE=FQ","FILING_STATUS=OR","EQY_CONSOLIDATED=Y","Sort=A","Dates=H","DateFormat=P","Fill=—","Direction=H","UseDPDF=Y")</f>
        <v>#NAME?</v>
      </c>
      <c r="BF229" s="2" t="e">
        <f ca="1">_xll.BDH($C$228,"REVENUE_SEQUENTIAL_GROWTH","FQ1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229" s="2" t="e">
        <f ca="1">_xll.BDH($C$228,"EBITDA_SEQUENTIAL_GROWTH","FQ1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229" s="2" t="e">
        <f ca="1">_xll.BDH($C$228,"OPERATING_INCOME_SEQ_GROWTH","FQ1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229" s="2" t="e">
        <f ca="1">_xll.BDH($C$228,"NET_INCOME_TO_COMMON_SEQ_GROWTH","FQ1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229" s="2" t="e">
        <f ca="1">_xll.BDH($C$228,"EPS_DILUTED_SEQUENTIAL_GROWTH","FQ1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229" s="2" t="e">
        <f ca="1">_xll.BDH($C$228,"DPS_SEQUENTIAL_GROWTH","FQ1 2014","FQ1 2014","Currency=INR","Period=FQ","BEST_FPERIOD_OVERRIDE=FQ","FILING_STATUS=OR","EQY_CONSOLIDATED=Y","Sort=A","Dates=H","DateFormat=P","Fill=—","Direction=H","UseDPDF=Y")</f>
        <v>#NAME?</v>
      </c>
      <c r="BL229" s="2" t="e">
        <f ca="1">_xll.BDH($C$228,"ACCOUNTS_RECEIVABLE_SEQ_GROWTH","FQ1 2014","FQ1 2014","Currency=INR","Period=FQ","BEST_FPERIOD_OVERRIDE=FQ","FILING_STATUS=OR","EQY_CONSOLIDATED=Y","Sort=A","Dates=H","DateFormat=P","Fill=—","Direction=H","UseDPDF=Y")</f>
        <v>#NAME?</v>
      </c>
      <c r="BM229" s="2" t="e">
        <f ca="1">_xll.BDH($C$228,"INVENTORY_SEQUENTIAL_GROWTH","FQ1 2014","FQ1 2014","Currency=INR","Period=FQ","BEST_FPERIOD_OVERRIDE=FQ","FILING_STATUS=OR","EQY_CONSOLIDATED=Y","Sort=A","Dates=H","DateFormat=P","Fill=—","Direction=H","UseDPDF=Y")</f>
        <v>#NAME?</v>
      </c>
      <c r="BN229" s="2" t="e">
        <f ca="1">_xll.BDH($C$228,"FIXED_ASSETS_SEQUENTIAL_GROWTH","FQ1 2014","FQ1 2014","Currency=INR","Period=FQ","BEST_FPERIOD_OVERRIDE=FQ","FILING_STATUS=OR","EQY_CONSOLIDATED=Y","Sort=A","Dates=H","DateFormat=P","Fill=—","Direction=H","UseDPDF=Y")</f>
        <v>#NAME?</v>
      </c>
      <c r="BO229" s="2" t="e">
        <f ca="1">_xll.BDH($C$228,"TOTAL_ASSETS_SEQUENTIAL_GROWTH","FQ1 2014","FQ1 2014","Currency=INR","Period=FQ","BEST_FPERIOD_OVERRIDE=FQ","FILING_STATUS=OR","EQY_CONSOLIDATED=Y","Sort=A","Dates=H","DateFormat=P","Fill=—","Direction=H","UseDPDF=Y")</f>
        <v>#NAME?</v>
      </c>
      <c r="BP229" s="2" t="e">
        <f ca="1">_xll.BDH($C$228,"MODIFIED_WORKING_CPTL_SEQ_GRWTH","FQ1 2014","FQ1 2014","Currency=INR","Period=FQ","BEST_FPERIOD_OVERRIDE=FQ","FILING_STATUS=OR","EQY_CONSOLIDATED=Y","Sort=A","Dates=H","DateFormat=P","Fill=—","Direction=H","UseDPDF=Y")</f>
        <v>#NAME?</v>
      </c>
      <c r="BQ229" s="2" t="e">
        <f ca="1">_xll.BDH($C$228,"WORKING_CAPITAL_SEQ_GROWTH","FQ1 2014","FQ1 2014","Currency=INR","Period=FQ","BEST_FPERIOD_OVERRIDE=FQ","FILING_STATUS=OR","EQY_CONSOLIDATED=Y","Sort=A","Dates=H","DateFormat=P","Fill=—","Direction=H","UseDPDF=Y")</f>
        <v>#NAME?</v>
      </c>
      <c r="BR229" s="2" t="e">
        <f ca="1">_xll.BDH($C$228,"ACCOUNTS_PAYABLE_SEQ_GROWTH","FQ1 2014","FQ1 2014","Currency=INR","Period=FQ","BEST_FPERIOD_OVERRIDE=FQ","FILING_STATUS=OR","EQY_CONSOLIDATED=Y","Sort=A","Dates=H","DateFormat=P","Fill=—","Direction=H","UseDPDF=Y")</f>
        <v>#NAME?</v>
      </c>
      <c r="BS229" s="2" t="e">
        <f ca="1">_xll.BDH($C$228,"ST_DEBT_SEQUENTIAL_GROWTH","FQ1 2014","FQ1 2014","Currency=INR","Period=FQ","BEST_FPERIOD_OVERRIDE=FQ","FILING_STATUS=OR","EQY_CONSOLIDATED=Y","Sort=A","Dates=H","DateFormat=P","Fill=—","Direction=H","UseDPDF=Y")</f>
        <v>#NAME?</v>
      </c>
      <c r="BT229" s="2" t="e">
        <f ca="1">_xll.BDH($C$228,"TOTAL_DEBT_SEQUENTIAL_GROWTH","FQ1 2014","FQ1 2014","Currency=INR","Period=FQ","BEST_FPERIOD_OVERRIDE=FQ","FILING_STATUS=OR","EQY_CONSOLIDATED=Y","Sort=A","Dates=H","DateFormat=P","Fill=—","Direction=H","UseDPDF=Y")</f>
        <v>#NAME?</v>
      </c>
      <c r="BU229" s="2" t="e">
        <f ca="1">_xll.BDH($C$228,"TOTAL_EQUITY_SEQUENTIAL_GROWTH","FQ1 2014","FQ1 2014","Currency=INR","Period=FQ","BEST_FPERIOD_OVERRIDE=FQ","FILING_STATUS=OR","EQY_CONSOLIDATED=Y","Sort=A","Dates=H","DateFormat=P","Fill=—","Direction=H","UseDPDF=Y")</f>
        <v>#NAME?</v>
      </c>
      <c r="BV229" s="2" t="e">
        <f ca="1">_xll.BDH($C$228,"TOTAL_CAPITAL_SEQUENTIAL_GROWTH","FQ1 2014","FQ1 2014","Currency=INR","Period=FQ","BEST_FPERIOD_OVERRIDE=FQ","FILING_STATUS=OR","EQY_CONSOLIDATED=Y","Sort=A","Dates=H","DateFormat=P","Fill=—","Direction=H","UseDPDF=Y")</f>
        <v>#NAME?</v>
      </c>
      <c r="BW229" s="2" t="e">
        <f ca="1">_xll.BDH($C$228,"BPS_SEQUENTIAL_GROWTH","FQ1 2014","FQ1 2014","Currency=INR","Period=FQ","BEST_FPERIOD_OVERRIDE=FQ","FILING_STATUS=OR","EQY_CONSOLIDATED=Y","Sort=A","Dates=H","DateFormat=P","Fill=—","Direction=H","UseDPDF=Y")</f>
        <v>#NAME?</v>
      </c>
      <c r="BX229" s="2" t="e">
        <f ca="1">_xll.BDH($C$228,"CFO_SEQUENTIAL_GROWTH","FQ1 2014","FQ1 2014","Currency=INR","Period=FQ","BEST_FPERIOD_OVERRIDE=FQ","FILING_STATUS=OR","EQY_CONSOLIDATED=Y","Sort=A","Dates=H","DateFormat=P","Fill=—","Direction=H","UseDPDF=Y")</f>
        <v>#NAME?</v>
      </c>
      <c r="BY229" s="3" t="e">
        <f ca="1">_xll.BDH($C$228,"SHORT_AND_LONG_TERM_DEBT","FQ1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229" s="3" t="e">
        <f ca="1">_xll.BDH($C$228,"BS_ST_BORROW","FQ1 2014","FQ1 2014","Currency=INR","Period=FQ","BEST_FPERIOD_OVERRIDE=FQ","FILING_STATUS=OR","EQY_CONSOLIDATED=Y","SCALING_FORMAT=MLN","Sort=A","Dates=H","DateFormat=P","Fill=—","Direction=H","UseDPDF=Y")</f>
        <v>#NAME?</v>
      </c>
      <c r="CA229" s="3" t="e">
        <f ca="1">_xll.BDH($C$228,"BS_LT_BORROW","FQ1 2014","FQ1 2014","Currency=INR","Period=FQ","BEST_FPERIOD_OVERRIDE=FQ","FILING_STATUS=OR","EQY_CONSOLIDATED=Y","SCALING_FORMAT=MLN","Sort=A","Dates=H","DateFormat=P","Fill=—","Direction=H","UseDPDF=Y")</f>
        <v>#NAME?</v>
      </c>
      <c r="CB229" s="2" t="e">
        <f ca="1">_xll.BDH($C$228,"TOT_DEBT_TO_EBITDA","FQ1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229" s="2" t="e">
        <f ca="1">_xll.BDH($C$228,"NET_DEBT_TO_EBITDA","FQ1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229" s="2" t="e">
        <f ca="1">_xll.BDH($C$228,"TOTAL_DEBT_TO_EBIT","FQ1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229" s="2" t="e">
        <f ca="1">_xll.BDH($C$228,"NET_DEBT_TO_EBIT","FQ1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229" s="2" t="e">
        <f ca="1">_xll.BDH($C$228,"EBITDA_TO_INTEREST_EXPN","FQ1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229" s="2" t="e">
        <f ca="1">_xll.BDH($C$228,"COM_EQY_TO_TOT_ASSET","FQ1 2014","FQ1 2014","Currency=INR","Period=FQ","BEST_FPERIOD_OVERRIDE=FQ","FILING_STATUS=OR","EQY_CONSOLIDATED=Y","Sort=A","Dates=H","DateFormat=P","Fill=—","Direction=H","UseDPDF=Y")</f>
        <v>#NAME?</v>
      </c>
      <c r="CH229" s="2" t="e">
        <f ca="1">_xll.BDH($C$228,"LT_DEBT_TO_TOT_EQY","FQ1 2014","FQ1 2014","Currency=INR","Period=FQ","BEST_FPERIOD_OVERRIDE=FQ","FILING_STATUS=OR","EQY_CONSOLIDATED=Y","Sort=A","Dates=H","DateFormat=P","Fill=—","Direction=H","UseDPDF=Y")</f>
        <v>#NAME?</v>
      </c>
      <c r="CI229" s="2" t="e">
        <f ca="1">_xll.BDH($C$228,"LT_DEBT_TO_TOT_CAP","FQ1 2014","FQ1 2014","Currency=INR","Period=FQ","BEST_FPERIOD_OVERRIDE=FQ","FILING_STATUS=OR","EQY_CONSOLIDATED=Y","Sort=A","Dates=H","DateFormat=P","Fill=—","Direction=H","UseDPDF=Y")</f>
        <v>#NAME?</v>
      </c>
      <c r="CJ229" s="2" t="e">
        <f ca="1">_xll.BDH($C$228,"LT_DEBT_TO_TOT_ASSET","FQ1 2014","FQ1 2014","Currency=INR","Period=FQ","BEST_FPERIOD_OVERRIDE=FQ","FILING_STATUS=OR","EQY_CONSOLIDATED=Y","Sort=A","Dates=H","DateFormat=P","Fill=—","Direction=H","UseDPDF=Y")</f>
        <v>#NAME?</v>
      </c>
      <c r="CK229" s="2" t="e">
        <f ca="1">_xll.BDH($C$228,"TOT_DEBT_TO_TOT_EQY","FQ1 2014","FQ1 2014","Currency=INR","Period=FQ","BEST_FPERIOD_OVERRIDE=FQ","FILING_STATUS=OR","EQY_CONSOLIDATED=Y","Sort=A","Dates=H","DateFormat=P","Fill=—","Direction=H","UseDPDF=Y")</f>
        <v>#NAME?</v>
      </c>
      <c r="CL229" s="2" t="e">
        <f ca="1">_xll.BDH($C$228,"TOT_DEBT_TO_TOT_CAP","FQ1 2014","FQ1 2014","Currency=INR","Period=FQ","BEST_FPERIOD_OVERRIDE=FQ","FILING_STATUS=OR","EQY_CONSOLIDATED=Y","Sort=A","Dates=H","DateFormat=P","Fill=—","Direction=H","UseDPDF=Y")</f>
        <v>#NAME?</v>
      </c>
      <c r="CM229" s="2" t="e">
        <f ca="1">_xll.BDH($C$228,"TOT_DEBT_TO_TOT_ASSET","FQ1 2014","FQ1 2014","Currency=INR","Period=FQ","BEST_FPERIOD_OVERRIDE=FQ","FILING_STATUS=OR","EQY_CONSOLIDATED=Y","Sort=A","Dates=H","DateFormat=P","Fill=—","Direction=H","UseDPDF=Y")</f>
        <v>#NAME?</v>
      </c>
      <c r="CN229" s="2" t="e">
        <f ca="1">_xll.BDH($C$228,"NET_DEBT_TO_SHRHLDR_EQTY","FQ1 2014","FQ1 2014","Currency=INR","Period=FQ","BEST_FPERIOD_OVERRIDE=FQ","FILING_STATUS=OR","EQY_CONSOLIDATED=Y","Sort=A","Dates=H","DateFormat=P","Fill=—","Direction=H","UseDPDF=Y")</f>
        <v>#NAME?</v>
      </c>
      <c r="CO229" s="2" t="e">
        <f ca="1">_xll.BDH($C$228,"NET_DEBT_%_CAPITAL","FQ1 2014","FQ1 2014","Currency=INR","Period=FQ","BEST_FPERIOD_OVERRIDE=FQ","FILING_STATUS=OR","EQY_CONSOLIDATED=Y","Sort=A","Dates=H","DateFormat=P","Fill=—","Direction=H","UseDPDF=Y")</f>
        <v>#NAME?</v>
      </c>
      <c r="CP229" s="3" t="e">
        <f ca="1">_xll.BDH($C$228,"EBITDA","FQ1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229" s="3" t="e">
        <f ca="1">_xll.BDH($C$228,"EBITDA_AFTER_CAPEX","FQ1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229" s="3" t="e">
        <f ca="1">_xll.BDH($C$228,"IS_OPER_INC","FQ1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229" s="2" t="e">
        <f ca="1">_xll.BDH($C$228,"CASH_RATIO","FQ1 2014","FQ1 2014","Currency=INR","Period=FQ","BEST_FPERIOD_OVERRIDE=FQ","FILING_STATUS=OR","EQY_CONSOLIDATED=Y","Sort=A","Dates=H","DateFormat=P","Fill=—","Direction=H","UseDPDF=Y")</f>
        <v>#NAME?</v>
      </c>
      <c r="CT229" s="2" t="e">
        <f ca="1">_xll.BDH($C$228,"CUR_RATIO","FQ1 2014","FQ1 2014","Currency=INR","Period=FQ","BEST_FPERIOD_OVERRIDE=FQ","FILING_STATUS=OR","EQY_CONSOLIDATED=Y","Sort=A","Dates=H","DateFormat=P","Fill=—","Direction=H","UseDPDF=Y")</f>
        <v>#NAME?</v>
      </c>
      <c r="CU229" s="2" t="e">
        <f ca="1">_xll.BDH($C$228,"QUICK_RATIO","FQ1 2014","FQ1 2014","Currency=INR","Period=FQ","BEST_FPERIOD_OVERRIDE=FQ","FILING_STATUS=OR","EQY_CONSOLIDATED=Y","Sort=A","Dates=H","DateFormat=P","Fill=—","Direction=H","UseDPDF=Y")</f>
        <v>#NAME?</v>
      </c>
      <c r="CV229" s="2" t="e">
        <f ca="1">_xll.BDH($C$228,"ALTMAN_Z_SCORE","FQ1 2014","FQ1 2014","Currency=INR","Period=FQ","BEST_FPERIOD_OVERRIDE=FQ","FILING_STATUS=OR","EQY_CONSOLIDATED=Y","Sort=A","Dates=H","DateFormat=P","Fill=—","Direction=H","UseDPDF=Y")</f>
        <v>#NAME?</v>
      </c>
      <c r="CW229" s="4" t="e">
        <f ca="1">_xll.BDH($C$228,"ACCT_RCV_TURN","FQ1 2014","FQ1 2014","Currency=INR","Period=FQ","BEST_FPERIOD_OVERRIDE=FQ","FILING_STATUS=OR","EQY_CONSOLIDATED=Y","FA_ADJUSTED=GAAP","Sort=A","Dates=H","DateFormat=P","Fill=—","Direction=H","UseDPDF=Y")</f>
        <v>#NAME?</v>
      </c>
      <c r="CX229" s="2" t="e">
        <f ca="1">_xll.BDH($C$228,"ACCT_RCV_DAYS","FQ1 2014","FQ1 2014","Currency=INR","Period=FQ","BEST_FPERIOD_OVERRIDE=FQ","FILING_STATUS=OR","EQY_CONSOLIDATED=Y","FA_ADJUSTED=GAAP","Sort=A","Dates=H","DateFormat=P","Fill=—","Direction=H","UseDPDF=Y")</f>
        <v>#NAME?</v>
      </c>
      <c r="CY229" s="4" t="e">
        <f ca="1">_xll.BDH($C$228,"INVENT_TURN","FQ1 2014","FQ1 2014","Currency=INR","Period=FQ","BEST_FPERIOD_OVERRIDE=FQ","FILING_STATUS=OR","EQY_CONSOLIDATED=Y","FA_ADJUSTED=GAAP","Sort=A","Dates=H","DateFormat=P","Fill=—","Direction=H","UseDPDF=Y")</f>
        <v>#NAME?</v>
      </c>
      <c r="CZ229" s="2" t="e">
        <f ca="1">_xll.BDH($C$228,"INVENT_DAYS","FQ1 2014","FQ1 2014","Currency=INR","Period=FQ","BEST_FPERIOD_OVERRIDE=FQ","FILING_STATUS=OR","EQY_CONSOLIDATED=Y","FA_ADJUSTED=GAAP","Sort=A","Dates=H","DateFormat=P","Fill=—","Direction=H","UseDPDF=Y")</f>
        <v>#NAME?</v>
      </c>
      <c r="DA229" s="4" t="e">
        <f ca="1">_xll.BDH($C$228,"ACCOUNTS_PAYABLE_TURNOVER","FQ1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229" s="2" t="e">
        <f ca="1">_xll.BDH($C$228,"ACCOUNTS_PAYABLE_TURNOVER_DAYS","FQ1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229" s="4" t="e">
        <f ca="1">_xll.BDH($C$228,"CASH_CONVERSION_CYCLE","FQ1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229" s="4" t="e">
        <f ca="1">_xll.BDH($C$228,"INV_TO_CASH_DAYS","FQ1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229" s="5" t="e">
        <f ca="1">_xll.BDH($C$228,"BS_INVENTORIES","FQ1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229" s="3" t="e">
        <f ca="1">_xll.BDH($C$228,"INVTRY_RAW_MATERIALS","FQ1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229" s="3" t="e">
        <f ca="1">_xll.BDH($C$228,"INVTRY_IN_PROGRESS","FQ1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229" s="3" t="e">
        <f ca="1">_xll.BDH($C$228,"INVTRY_FINISHED_GOODS","FQ1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229" s="3" t="e">
        <f ca="1">_xll.BDH($C$228,"BS_OTHER_INV","FQ1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230" spans="1:113" x14ac:dyDescent="0.3">
      <c r="A230" s="6"/>
      <c r="B230" s="6"/>
      <c r="C230" s="6"/>
      <c r="D230" s="6"/>
      <c r="E230" t="s">
        <v>79</v>
      </c>
      <c r="F230" t="e">
        <f ca="1">_xll.BDH($C$228,"RETURN_COM_EQY","FQ2 2014","FQ2 2014","Currency=INR","Period=FQ","BEST_FPERIOD_OVERRIDE=FQ","FILING_STATUS=OR","EQY_CONSOLIDATED=Y","FA_ADJUSTED=GAAP","Sort=A","Dates=H","DateFormat=P","Fill=—","Direction=H","UseDPDF=Y")</f>
        <v>#NAME?</v>
      </c>
      <c r="G230" t="e">
        <f ca="1">_xll.BDH($C$228,"RETURN_ON_ASSET","FQ2 2014","FQ2 2014","Currency=INR","Period=FQ","BEST_FPERIOD_OVERRIDE=FQ","FILING_STATUS=OR","EQY_CONSOLIDATED=Y","FA_ADJUSTED=GAAP","Sort=A","Dates=H","DateFormat=P","Fill=—","Direction=H","UseDPDF=Y")</f>
        <v>#NAME?</v>
      </c>
      <c r="H230" t="e">
        <f ca="1">_xll.BDH($C$228,"RETURN_ON_CAP","FQ2 2014","FQ2 2014","Currency=INR","Period=FQ","BEST_FPERIOD_OVERRIDE=FQ","FILING_STATUS=OR","EQY_CONSOLIDATED=Y","FA_ADJUSTED=GAAP","Sort=A","Dates=H","DateFormat=P","Fill=—","Direction=H","UseDPDF=Y")</f>
        <v>#NAME?</v>
      </c>
      <c r="I230" t="e">
        <f ca="1">_xll.BDH($C$228,"RETURN_ON_INV_CAPITAL","FQ2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230" t="e">
        <f ca="1">_xll.BDH($C$228,"EBITDA_TO_REVENUE","FQ2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230" t="e">
        <f ca="1">_xll.BDH($C$228,"OPER_MARGIN","FQ2 2014","FQ2 2014","Currency=INR","Period=FQ","BEST_FPERIOD_OVERRIDE=FQ","FILING_STATUS=OR","EQY_CONSOLIDATED=Y","FA_ADJUSTED=GAAP","Sort=A","Dates=H","DateFormat=P","Fill=—","Direction=H","UseDPDF=Y")</f>
        <v>#NAME?</v>
      </c>
      <c r="L230" t="e">
        <f ca="1">_xll.BDH($C$228,"INCREMENTAL_OPERATING_MARGIN","FQ2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230" t="e">
        <f ca="1">_xll.BDH($C$228,"PRETAX_INC_TO_NET_SALES","FQ2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230" t="e">
        <f ca="1">_xll.BDH($C$228,"INC_BEF_XO_ITEMS_TO_NET_SALES","FQ2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230" t="e">
        <f ca="1">_xll.BDH($C$228,"PROF_MARGIN","FQ2 2014","FQ2 2014","Currency=INR","Period=FQ","BEST_FPERIOD_OVERRIDE=FQ","FILING_STATUS=OR","EQY_CONSOLIDATED=Y","FA_ADJUSTED=GAAP","Sort=A","Dates=H","DateFormat=P","Fill=—","Direction=H","UseDPDF=Y")</f>
        <v>#NAME?</v>
      </c>
      <c r="P230" t="e">
        <f ca="1">_xll.BDH($C$228,"NET_INCOME_TO_COMMON_MARGIN","FQ2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230" t="e">
        <f ca="1">_xll.BDH($C$228,"EFF_TAX_RATE","FQ2 2014","FQ2 2014","Currency=INR","Period=FQ","BEST_FPERIOD_OVERRIDE=FQ","FILING_STATUS=OR","EQY_CONSOLIDATED=Y","FA_ADJUSTED=GAAP","Sort=A","Dates=H","DateFormat=P","Fill=—","Direction=H","UseDPDF=Y")</f>
        <v>#NAME?</v>
      </c>
      <c r="R230" t="e">
        <f ca="1">_xll.BDH($C$228,"DVD_PAYOUT_RATIO","FQ2 2014","FQ2 2014","Currency=INR","Period=FQ","BEST_FPERIOD_OVERRIDE=FQ","FILING_STATUS=OR","EQY_CONSOLIDATED=Y","FA_ADJUSTED=GAAP","Sort=A","Dates=H","DateFormat=P","Fill=—","Direction=H","UseDPDF=Y")</f>
        <v>#NAME?</v>
      </c>
      <c r="S230" t="e">
        <f ca="1">_xll.BDH($C$228,"SUSTAIN_GROWTH_RT","FQ2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230" s="2" t="e">
        <f ca="1">_xll.BDH($C$228,"SALES_GROWTH","FQ2 2014","FQ2 2014","Currency=INR","Period=FQ","BEST_FPERIOD_OVERRIDE=FQ","FILING_STATUS=OR","EQY_CONSOLIDATED=Y","FA_ADJUSTED=GAAP","Sort=A","Dates=H","DateFormat=P","Fill=—","Direction=H","UseDPDF=Y")</f>
        <v>#NAME?</v>
      </c>
      <c r="U230" s="2" t="e">
        <f ca="1">_xll.BDH($C$228,"EBITDA_GROWTH","FQ2 2014","FQ2 2014","Currency=INR","Period=FQ","BEST_FPERIOD_OVERRIDE=FQ","FILING_STATUS=OR","EQY_CONSOLIDATED=Y","FA_ADJUSTED=GAAP","Sort=A","Dates=H","DateFormat=P","Fill=—","Direction=H","UseDPDF=Y")</f>
        <v>#NAME?</v>
      </c>
      <c r="V230" s="2" t="e">
        <f ca="1">_xll.BDH($C$228,"OPER_INC_GROWTH","FQ2 2014","FQ2 2014","Currency=INR","Period=FQ","BEST_FPERIOD_OVERRIDE=FQ","FILING_STATUS=OR","EQY_CONSOLIDATED=Y","FA_ADJUSTED=GAAP","Sort=A","Dates=H","DateFormat=P","Fill=—","Direction=H","UseDPDF=Y")</f>
        <v>#NAME?</v>
      </c>
      <c r="W230" s="2" t="e">
        <f ca="1">_xll.BDH($C$228,"EARN_FOR_COM_GROWTH","FQ2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230" s="2" t="e">
        <f ca="1">_xll.BDH($C$228,"DILUTED_EPS_AFT_XO_ITEMS_GROWTH","FQ2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230" s="2" t="e">
        <f ca="1">_xll.BDH($C$228,"DIVIDEND_PER_SHARE_1_YEAR_GROWTH","FQ2 2014","FQ2 2014","Currency=INR","Period=FQ","BEST_FPERIOD_OVERRIDE=FQ","FILING_STATUS=OR","EQY_CONSOLIDATED=Y","Sort=A","Dates=H","DateFormat=P","Fill=—","Direction=H","UseDPDF=Y")</f>
        <v>#NAME?</v>
      </c>
      <c r="Z230" s="2" t="e">
        <f ca="1">_xll.BDH($C$228,"ACCOUNTS_RECEIVABLE_GROWTH","FQ2 2014","FQ2 2014","Currency=INR","Period=FQ","BEST_FPERIOD_OVERRIDE=FQ","FILING_STATUS=OR","EQY_CONSOLIDATED=Y","Sort=A","Dates=H","DateFormat=P","Fill=—","Direction=H","UseDPDF=Y")</f>
        <v>#NAME?</v>
      </c>
      <c r="AA230" s="2" t="e">
        <f ca="1">_xll.BDH($C$228,"INVENTORY_GROWTH","FQ2 2014","FQ2 2014","Currency=INR","Period=FQ","BEST_FPERIOD_OVERRIDE=FQ","FILING_STATUS=OR","EQY_CONSOLIDATED=Y","Sort=A","Dates=H","DateFormat=P","Fill=—","Direction=H","UseDPDF=Y")</f>
        <v>#NAME?</v>
      </c>
      <c r="AB230" s="2" t="e">
        <f ca="1">_xll.BDH($C$228,"NET_FIXED_ASSETS_1_YEAR_GROWTH","FQ2 2014","FQ2 2014","Currency=INR","Period=FQ","BEST_FPERIOD_OVERRIDE=FQ","FILING_STATUS=OR","EQY_CONSOLIDATED=Y","Sort=A","Dates=H","DateFormat=P","Fill=—","Direction=H","UseDPDF=Y")</f>
        <v>#NAME?</v>
      </c>
      <c r="AC230" s="2" t="e">
        <f ca="1">_xll.BDH($C$228,"ASSET_GROWTH","FQ2 2014","FQ2 2014","Currency=INR","Period=FQ","BEST_FPERIOD_OVERRIDE=FQ","FILING_STATUS=OR","EQY_CONSOLIDATED=Y","Sort=A","Dates=H","DateFormat=P","Fill=—","Direction=H","UseDPDF=Y")</f>
        <v>#NAME?</v>
      </c>
      <c r="AD230" s="2" t="e">
        <f ca="1">_xll.BDH($C$228,"MODIFIED_WORK_CAP_GROWTH","FQ2 2014","FQ2 2014","Currency=INR","Period=FQ","BEST_FPERIOD_OVERRIDE=FQ","FILING_STATUS=OR","EQY_CONSOLIDATED=Y","Sort=A","Dates=H","DateFormat=P","Fill=—","Direction=H","UseDPDF=Y")</f>
        <v>#NAME?</v>
      </c>
      <c r="AE230" s="2" t="e">
        <f ca="1">_xll.BDH($C$228,"WORK_CAP_GROWTH","FQ2 2014","FQ2 2014","Currency=INR","Period=FQ","BEST_FPERIOD_OVERRIDE=FQ","FILING_STATUS=OR","EQY_CONSOLIDATED=Y","Sort=A","Dates=H","DateFormat=P","Fill=—","Direction=H","UseDPDF=Y")</f>
        <v>#NAME?</v>
      </c>
      <c r="AF230" s="2" t="e">
        <f ca="1">_xll.BDH($C$228,"ACCOUNTS_PAYABLE_GROWTH_1YR","FQ2 2014","FQ2 2014","Currency=INR","Period=FQ","BEST_FPERIOD_OVERRIDE=FQ","FILING_STATUS=OR","EQY_CONSOLIDATED=Y","Sort=A","Dates=H","DateFormat=P","Fill=—","Direction=H","UseDPDF=Y")</f>
        <v>#NAME?</v>
      </c>
      <c r="AG230" s="2" t="e">
        <f ca="1">_xll.BDH($C$228,"SHORT_TERM_DEBT_1_YEAR_GROWTH","FQ2 2014","FQ2 2014","Currency=INR","Period=FQ","BEST_FPERIOD_OVERRIDE=FQ","FILING_STATUS=OR","EQY_CONSOLIDATED=Y","Sort=A","Dates=H","DateFormat=P","Fill=—","Direction=H","UseDPDF=Y")</f>
        <v>#NAME?</v>
      </c>
      <c r="AH230" s="2" t="e">
        <f ca="1">_xll.BDH($C$228,"TOTAL_DEBT_1_YEAR_GROWTH","FQ2 2014","FQ2 2014","Currency=INR","Period=FQ","BEST_FPERIOD_OVERRIDE=FQ","FILING_STATUS=OR","EQY_CONSOLIDATED=Y","Sort=A","Dates=H","DateFormat=P","Fill=—","Direction=H","UseDPDF=Y")</f>
        <v>#NAME?</v>
      </c>
      <c r="AI230" s="2" t="e">
        <f ca="1">_xll.BDH($C$228,"TOTAL_EQUITY_1_YEAR_GROWTH","FQ2 2014","FQ2 2014","Currency=INR","Period=FQ","BEST_FPERIOD_OVERRIDE=FQ","FILING_STATUS=OR","EQY_CONSOLIDATED=Y","Sort=A","Dates=H","DateFormat=P","Fill=—","Direction=H","UseDPDF=Y")</f>
        <v>#NAME?</v>
      </c>
      <c r="AJ230" s="2" t="e">
        <f ca="1">_xll.BDH($C$228,"GROWTH_IN_CAP","FQ2 2014","FQ2 2014","Currency=INR","Period=FQ","BEST_FPERIOD_OVERRIDE=FQ","FILING_STATUS=OR","EQY_CONSOLIDATED=Y","Sort=A","Dates=H","DateFormat=P","Fill=—","Direction=H","UseDPDF=Y")</f>
        <v>#NAME?</v>
      </c>
      <c r="AK230" s="2" t="e">
        <f ca="1">_xll.BDH($C$228,"BVPS_GROWTH","FQ2 2014","FQ2 2014","Currency=INR","Period=FQ","BEST_FPERIOD_OVERRIDE=FQ","FILING_STATUS=OR","EQY_CONSOLIDATED=Y","Sort=A","Dates=H","DateFormat=P","Fill=—","Direction=H","UseDPDF=Y")</f>
        <v>#NAME?</v>
      </c>
      <c r="AL230" s="2" t="e">
        <f ca="1">_xll.BDH($C$228,"CASH_FLOW_GROWTH","FQ2 2014","FQ2 2014","Currency=INR","Period=FQ","BEST_FPERIOD_OVERRIDE=FQ","FILING_STATUS=OR","EQY_CONSOLIDATED=Y","Sort=A","Dates=H","DateFormat=P","Fill=—","Direction=H","UseDPDF=Y")</f>
        <v>#NAME?</v>
      </c>
      <c r="AM230" s="2" t="e">
        <f ca="1">_xll.BDH($C$228,"GEO_GROW_NET_SALES","FQ2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230" s="2" t="e">
        <f ca="1">_xll.BDH($C$228,"GEO_GROW_EBITDA","FQ2 2014","FQ2 2014","Currency=INR","Period=FQ","BEST_FPERIOD_OVERRIDE=FQ","FILING_STATUS=OR","EQY_CONSOLIDATED=Y","FA_ADJUSTED=GAAP","Sort=A","Dates=H","DateFormat=P","Fill=—","Direction=H","UseDPDF=Y")</f>
        <v>#NAME?</v>
      </c>
      <c r="AO230" s="2" t="e">
        <f ca="1">_xll.BDH($C$228,"GEO_GROW_OPER_INC","FQ2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230" s="2" t="e">
        <f ca="1">_xll.BDH($C$228,"NET_INCOME_TO_COMMON_5_YR_GROWTH","FQ2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230" s="2" t="e">
        <f ca="1">_xll.BDH($C$228,"5Y_GEO_GROWTH_DILUTED_EPS","FQ2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230" s="2" t="e">
        <f ca="1">_xll.BDH($C$228,"GEO_GROW_DVD_PER_SH","FQ2 2014","FQ2 2014","Currency=INR","Period=FQ","BEST_FPERIOD_OVERRIDE=FQ","FILING_STATUS=OR","EQY_CONSOLIDATED=Y","Sort=A","Dates=H","DateFormat=P","Fill=—","Direction=H","UseDPDF=Y")</f>
        <v>#NAME?</v>
      </c>
      <c r="AS230" s="2" t="e">
        <f ca="1">_xll.BDH($C$228,"ACCOUNTS_RECEIVABLE_5_YR_GROWTH","FQ2 2014","FQ2 2014","Currency=INR","Period=FQ","BEST_FPERIOD_OVERRIDE=FQ","FILING_STATUS=OR","EQY_CONSOLIDATED=Y","Sort=A","Dates=H","DateFormat=P","Fill=—","Direction=H","UseDPDF=Y")</f>
        <v>#NAME?</v>
      </c>
      <c r="AT230" s="2" t="e">
        <f ca="1">_xll.BDH($C$228,"INVENTORY_5_YEAR_GROWTH","FQ2 2014","FQ2 2014","Currency=INR","Period=FQ","BEST_FPERIOD_OVERRIDE=FQ","FILING_STATUS=OR","EQY_CONSOLIDATED=Y","Sort=A","Dates=H","DateFormat=P","Fill=—","Direction=H","UseDPDF=Y")</f>
        <v>#NAME?</v>
      </c>
      <c r="AU230" s="2" t="e">
        <f ca="1">_xll.BDH($C$228,"NET_FIXED_ASSETS_5_YEAR_GROWTH","FQ2 2014","FQ2 2014","Currency=INR","Period=FQ","BEST_FPERIOD_OVERRIDE=FQ","FILING_STATUS=OR","EQY_CONSOLIDATED=Y","Sort=A","Dates=H","DateFormat=P","Fill=—","Direction=H","UseDPDF=Y")</f>
        <v>#NAME?</v>
      </c>
      <c r="AV230" s="2" t="e">
        <f ca="1">_xll.BDH($C$228,"GEO_GROW_TOT_ASSET","FQ2 2014","FQ2 2014","Currency=INR","Period=FQ","BEST_FPERIOD_OVERRIDE=FQ","FILING_STATUS=OR","EQY_CONSOLIDATED=Y","Sort=A","Dates=H","DateFormat=P","Fill=—","Direction=H","UseDPDF=Y")</f>
        <v>#NAME?</v>
      </c>
      <c r="AW230" s="2" t="e">
        <f ca="1">_xll.BDH($C$228,"MODIFIED_WORKING_CPTL_5YR_GRWTH","FQ2 2014","FQ2 2014","Currency=INR","Period=FQ","BEST_FPERIOD_OVERRIDE=FQ","FILING_STATUS=OR","EQY_CONSOLIDATED=Y","Sort=A","Dates=H","DateFormat=P","Fill=—","Direction=H","UseDPDF=Y")</f>
        <v>#NAME?</v>
      </c>
      <c r="AX230" s="2" t="e">
        <f ca="1">_xll.BDH($C$228,"WORKING_CAPITAL_5_YEAR_GROWTH","FQ2 2014","FQ2 2014","Currency=INR","Period=FQ","BEST_FPERIOD_OVERRIDE=FQ","FILING_STATUS=OR","EQY_CONSOLIDATED=Y","Sort=A","Dates=H","DateFormat=P","Fill=—","Direction=H","UseDPDF=Y")</f>
        <v>#NAME?</v>
      </c>
      <c r="AY230" s="2" t="e">
        <f ca="1">_xll.BDH($C$228,"ACCOUNTS_PAYABLE_5_YEAR_GROWTH","FQ2 2014","FQ2 2014","Currency=INR","Period=FQ","BEST_FPERIOD_OVERRIDE=FQ","FILING_STATUS=OR","EQY_CONSOLIDATED=Y","Sort=A","Dates=H","DateFormat=P","Fill=—","Direction=H","UseDPDF=Y")</f>
        <v>#NAME?</v>
      </c>
      <c r="AZ230" s="2" t="e">
        <f ca="1">_xll.BDH($C$228,"SHORT_TERM_DEBT_5_YEAR_GROWTH","FQ2 2014","FQ2 2014","Currency=INR","Period=FQ","BEST_FPERIOD_OVERRIDE=FQ","FILING_STATUS=OR","EQY_CONSOLIDATED=Y","Sort=A","Dates=H","DateFormat=P","Fill=—","Direction=H","UseDPDF=Y")</f>
        <v>#NAME?</v>
      </c>
      <c r="BA230" s="2" t="e">
        <f ca="1">_xll.BDH($C$228,"TOTAL_DEBT_5_YEAR_GROWTH","FQ2 2014","FQ2 2014","Currency=INR","Period=FQ","BEST_FPERIOD_OVERRIDE=FQ","FILING_STATUS=OR","EQY_CONSOLIDATED=Y","Sort=A","Dates=H","DateFormat=P","Fill=—","Direction=H","UseDPDF=Y")</f>
        <v>#NAME?</v>
      </c>
      <c r="BB230" s="2" t="e">
        <f ca="1">_xll.BDH($C$228,"GEO_GROW_TOT_SHRHLDR_EQY","FQ2 2014","FQ2 2014","Currency=INR","Period=FQ","BEST_FPERIOD_OVERRIDE=FQ","FILING_STATUS=OR","EQY_CONSOLIDATED=Y","Sort=A","Dates=H","DateFormat=P","Fill=—","Direction=H","UseDPDF=Y")</f>
        <v>#NAME?</v>
      </c>
      <c r="BC230" s="2" t="e">
        <f ca="1">_xll.BDH($C$228,"TOTAL_CAPITAL_5_YEAR_GROWTH","FQ2 2014","FQ2 2014","Currency=INR","Period=FQ","BEST_FPERIOD_OVERRIDE=FQ","FILING_STATUS=OR","EQY_CONSOLIDATED=Y","Sort=A","Dates=H","DateFormat=P","Fill=—","Direction=H","UseDPDF=Y")</f>
        <v>#NAME?</v>
      </c>
      <c r="BD230" s="2" t="e">
        <f ca="1">_xll.BDH($C$228,"GEO_GROW_BOOK_VAL","FQ2 2014","FQ2 2014","Currency=INR","Period=FQ","BEST_FPERIOD_OVERRIDE=FQ","FILING_STATUS=OR","EQY_CONSOLIDATED=Y","Sort=A","Dates=H","DateFormat=P","Fill=—","Direction=H","UseDPDF=Y")</f>
        <v>#NAME?</v>
      </c>
      <c r="BE230" s="2" t="e">
        <f ca="1">_xll.BDH($C$228,"GEO_GROW_CASH_OPER_ACT","FQ2 2014","FQ2 2014","Currency=INR","Period=FQ","BEST_FPERIOD_OVERRIDE=FQ","FILING_STATUS=OR","EQY_CONSOLIDATED=Y","Sort=A","Dates=H","DateFormat=P","Fill=—","Direction=H","UseDPDF=Y")</f>
        <v>#NAME?</v>
      </c>
      <c r="BF230" s="2" t="e">
        <f ca="1">_xll.BDH($C$228,"REVENUE_SEQUENTIAL_GROWTH","FQ2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230" s="2" t="e">
        <f ca="1">_xll.BDH($C$228,"EBITDA_SEQUENTIAL_GROWTH","FQ2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230" s="2" t="e">
        <f ca="1">_xll.BDH($C$228,"OPERATING_INCOME_SEQ_GROWTH","FQ2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230" s="2" t="e">
        <f ca="1">_xll.BDH($C$228,"NET_INCOME_TO_COMMON_SEQ_GROWTH","FQ2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230" s="2" t="e">
        <f ca="1">_xll.BDH($C$228,"EPS_DILUTED_SEQUENTIAL_GROWTH","FQ2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230" s="2" t="e">
        <f ca="1">_xll.BDH($C$228,"DPS_SEQUENTIAL_GROWTH","FQ2 2014","FQ2 2014","Currency=INR","Period=FQ","BEST_FPERIOD_OVERRIDE=FQ","FILING_STATUS=OR","EQY_CONSOLIDATED=Y","Sort=A","Dates=H","DateFormat=P","Fill=—","Direction=H","UseDPDF=Y")</f>
        <v>#NAME?</v>
      </c>
      <c r="BL230" s="2" t="e">
        <f ca="1">_xll.BDH($C$228,"ACCOUNTS_RECEIVABLE_SEQ_GROWTH","FQ2 2014","FQ2 2014","Currency=INR","Period=FQ","BEST_FPERIOD_OVERRIDE=FQ","FILING_STATUS=OR","EQY_CONSOLIDATED=Y","Sort=A","Dates=H","DateFormat=P","Fill=—","Direction=H","UseDPDF=Y")</f>
        <v>#NAME?</v>
      </c>
      <c r="BM230" s="2" t="e">
        <f ca="1">_xll.BDH($C$228,"INVENTORY_SEQUENTIAL_GROWTH","FQ2 2014","FQ2 2014","Currency=INR","Period=FQ","BEST_FPERIOD_OVERRIDE=FQ","FILING_STATUS=OR","EQY_CONSOLIDATED=Y","Sort=A","Dates=H","DateFormat=P","Fill=—","Direction=H","UseDPDF=Y")</f>
        <v>#NAME?</v>
      </c>
      <c r="BN230" s="2" t="e">
        <f ca="1">_xll.BDH($C$228,"FIXED_ASSETS_SEQUENTIAL_GROWTH","FQ2 2014","FQ2 2014","Currency=INR","Period=FQ","BEST_FPERIOD_OVERRIDE=FQ","FILING_STATUS=OR","EQY_CONSOLIDATED=Y","Sort=A","Dates=H","DateFormat=P","Fill=—","Direction=H","UseDPDF=Y")</f>
        <v>#NAME?</v>
      </c>
      <c r="BO230" s="2" t="e">
        <f ca="1">_xll.BDH($C$228,"TOTAL_ASSETS_SEQUENTIAL_GROWTH","FQ2 2014","FQ2 2014","Currency=INR","Period=FQ","BEST_FPERIOD_OVERRIDE=FQ","FILING_STATUS=OR","EQY_CONSOLIDATED=Y","Sort=A","Dates=H","DateFormat=P","Fill=—","Direction=H","UseDPDF=Y")</f>
        <v>#NAME?</v>
      </c>
      <c r="BP230" s="2" t="e">
        <f ca="1">_xll.BDH($C$228,"MODIFIED_WORKING_CPTL_SEQ_GRWTH","FQ2 2014","FQ2 2014","Currency=INR","Period=FQ","BEST_FPERIOD_OVERRIDE=FQ","FILING_STATUS=OR","EQY_CONSOLIDATED=Y","Sort=A","Dates=H","DateFormat=P","Fill=—","Direction=H","UseDPDF=Y")</f>
        <v>#NAME?</v>
      </c>
      <c r="BQ230" s="2" t="e">
        <f ca="1">_xll.BDH($C$228,"WORKING_CAPITAL_SEQ_GROWTH","FQ2 2014","FQ2 2014","Currency=INR","Period=FQ","BEST_FPERIOD_OVERRIDE=FQ","FILING_STATUS=OR","EQY_CONSOLIDATED=Y","Sort=A","Dates=H","DateFormat=P","Fill=—","Direction=H","UseDPDF=Y")</f>
        <v>#NAME?</v>
      </c>
      <c r="BR230" s="2" t="e">
        <f ca="1">_xll.BDH($C$228,"ACCOUNTS_PAYABLE_SEQ_GROWTH","FQ2 2014","FQ2 2014","Currency=INR","Period=FQ","BEST_FPERIOD_OVERRIDE=FQ","FILING_STATUS=OR","EQY_CONSOLIDATED=Y","Sort=A","Dates=H","DateFormat=P","Fill=—","Direction=H","UseDPDF=Y")</f>
        <v>#NAME?</v>
      </c>
      <c r="BS230" s="2" t="e">
        <f ca="1">_xll.BDH($C$228,"ST_DEBT_SEQUENTIAL_GROWTH","FQ2 2014","FQ2 2014","Currency=INR","Period=FQ","BEST_FPERIOD_OVERRIDE=FQ","FILING_STATUS=OR","EQY_CONSOLIDATED=Y","Sort=A","Dates=H","DateFormat=P","Fill=—","Direction=H","UseDPDF=Y")</f>
        <v>#NAME?</v>
      </c>
      <c r="BT230" s="2" t="e">
        <f ca="1">_xll.BDH($C$228,"TOTAL_DEBT_SEQUENTIAL_GROWTH","FQ2 2014","FQ2 2014","Currency=INR","Period=FQ","BEST_FPERIOD_OVERRIDE=FQ","FILING_STATUS=OR","EQY_CONSOLIDATED=Y","Sort=A","Dates=H","DateFormat=P","Fill=—","Direction=H","UseDPDF=Y")</f>
        <v>#NAME?</v>
      </c>
      <c r="BU230" s="2" t="e">
        <f ca="1">_xll.BDH($C$228,"TOTAL_EQUITY_SEQUENTIAL_GROWTH","FQ2 2014","FQ2 2014","Currency=INR","Period=FQ","BEST_FPERIOD_OVERRIDE=FQ","FILING_STATUS=OR","EQY_CONSOLIDATED=Y","Sort=A","Dates=H","DateFormat=P","Fill=—","Direction=H","UseDPDF=Y")</f>
        <v>#NAME?</v>
      </c>
      <c r="BV230" s="2" t="e">
        <f ca="1">_xll.BDH($C$228,"TOTAL_CAPITAL_SEQUENTIAL_GROWTH","FQ2 2014","FQ2 2014","Currency=INR","Period=FQ","BEST_FPERIOD_OVERRIDE=FQ","FILING_STATUS=OR","EQY_CONSOLIDATED=Y","Sort=A","Dates=H","DateFormat=P","Fill=—","Direction=H","UseDPDF=Y")</f>
        <v>#NAME?</v>
      </c>
      <c r="BW230" s="2" t="e">
        <f ca="1">_xll.BDH($C$228,"BPS_SEQUENTIAL_GROWTH","FQ2 2014","FQ2 2014","Currency=INR","Period=FQ","BEST_FPERIOD_OVERRIDE=FQ","FILING_STATUS=OR","EQY_CONSOLIDATED=Y","Sort=A","Dates=H","DateFormat=P","Fill=—","Direction=H","UseDPDF=Y")</f>
        <v>#NAME?</v>
      </c>
      <c r="BX230" s="2" t="e">
        <f ca="1">_xll.BDH($C$228,"CFO_SEQUENTIAL_GROWTH","FQ2 2014","FQ2 2014","Currency=INR","Period=FQ","BEST_FPERIOD_OVERRIDE=FQ","FILING_STATUS=OR","EQY_CONSOLIDATED=Y","Sort=A","Dates=H","DateFormat=P","Fill=—","Direction=H","UseDPDF=Y")</f>
        <v>#NAME?</v>
      </c>
      <c r="BY230" s="3" t="e">
        <f ca="1">_xll.BDH($C$228,"SHORT_AND_LONG_TERM_DEBT","FQ2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230" s="3" t="e">
        <f ca="1">_xll.BDH($C$228,"BS_ST_BORROW","FQ2 2014","FQ2 2014","Currency=INR","Period=FQ","BEST_FPERIOD_OVERRIDE=FQ","FILING_STATUS=OR","EQY_CONSOLIDATED=Y","SCALING_FORMAT=MLN","Sort=A","Dates=H","DateFormat=P","Fill=—","Direction=H","UseDPDF=Y")</f>
        <v>#NAME?</v>
      </c>
      <c r="CA230" s="3" t="e">
        <f ca="1">_xll.BDH($C$228,"BS_LT_BORROW","FQ2 2014","FQ2 2014","Currency=INR","Period=FQ","BEST_FPERIOD_OVERRIDE=FQ","FILING_STATUS=OR","EQY_CONSOLIDATED=Y","SCALING_FORMAT=MLN","Sort=A","Dates=H","DateFormat=P","Fill=—","Direction=H","UseDPDF=Y")</f>
        <v>#NAME?</v>
      </c>
      <c r="CB230" s="2" t="e">
        <f ca="1">_xll.BDH($C$228,"TOT_DEBT_TO_EBITDA","FQ2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230" s="2" t="e">
        <f ca="1">_xll.BDH($C$228,"NET_DEBT_TO_EBITDA","FQ2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230" s="2" t="e">
        <f ca="1">_xll.BDH($C$228,"TOTAL_DEBT_TO_EBIT","FQ2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230" s="2" t="e">
        <f ca="1">_xll.BDH($C$228,"NET_DEBT_TO_EBIT","FQ2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230" s="2" t="e">
        <f ca="1">_xll.BDH($C$228,"EBITDA_TO_INTEREST_EXPN","FQ2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230" s="2" t="e">
        <f ca="1">_xll.BDH($C$228,"COM_EQY_TO_TOT_ASSET","FQ2 2014","FQ2 2014","Currency=INR","Period=FQ","BEST_FPERIOD_OVERRIDE=FQ","FILING_STATUS=OR","EQY_CONSOLIDATED=Y","Sort=A","Dates=H","DateFormat=P","Fill=—","Direction=H","UseDPDF=Y")</f>
        <v>#NAME?</v>
      </c>
      <c r="CH230" s="2" t="e">
        <f ca="1">_xll.BDH($C$228,"LT_DEBT_TO_TOT_EQY","FQ2 2014","FQ2 2014","Currency=INR","Period=FQ","BEST_FPERIOD_OVERRIDE=FQ","FILING_STATUS=OR","EQY_CONSOLIDATED=Y","Sort=A","Dates=H","DateFormat=P","Fill=—","Direction=H","UseDPDF=Y")</f>
        <v>#NAME?</v>
      </c>
      <c r="CI230" s="2" t="e">
        <f ca="1">_xll.BDH($C$228,"LT_DEBT_TO_TOT_CAP","FQ2 2014","FQ2 2014","Currency=INR","Period=FQ","BEST_FPERIOD_OVERRIDE=FQ","FILING_STATUS=OR","EQY_CONSOLIDATED=Y","Sort=A","Dates=H","DateFormat=P","Fill=—","Direction=H","UseDPDF=Y")</f>
        <v>#NAME?</v>
      </c>
      <c r="CJ230" s="2" t="e">
        <f ca="1">_xll.BDH($C$228,"LT_DEBT_TO_TOT_ASSET","FQ2 2014","FQ2 2014","Currency=INR","Period=FQ","BEST_FPERIOD_OVERRIDE=FQ","FILING_STATUS=OR","EQY_CONSOLIDATED=Y","Sort=A","Dates=H","DateFormat=P","Fill=—","Direction=H","UseDPDF=Y")</f>
        <v>#NAME?</v>
      </c>
      <c r="CK230" s="2" t="e">
        <f ca="1">_xll.BDH($C$228,"TOT_DEBT_TO_TOT_EQY","FQ2 2014","FQ2 2014","Currency=INR","Period=FQ","BEST_FPERIOD_OVERRIDE=FQ","FILING_STATUS=OR","EQY_CONSOLIDATED=Y","Sort=A","Dates=H","DateFormat=P","Fill=—","Direction=H","UseDPDF=Y")</f>
        <v>#NAME?</v>
      </c>
      <c r="CL230" s="2" t="e">
        <f ca="1">_xll.BDH($C$228,"TOT_DEBT_TO_TOT_CAP","FQ2 2014","FQ2 2014","Currency=INR","Period=FQ","BEST_FPERIOD_OVERRIDE=FQ","FILING_STATUS=OR","EQY_CONSOLIDATED=Y","Sort=A","Dates=H","DateFormat=P","Fill=—","Direction=H","UseDPDF=Y")</f>
        <v>#NAME?</v>
      </c>
      <c r="CM230" s="2" t="e">
        <f ca="1">_xll.BDH($C$228,"TOT_DEBT_TO_TOT_ASSET","FQ2 2014","FQ2 2014","Currency=INR","Period=FQ","BEST_FPERIOD_OVERRIDE=FQ","FILING_STATUS=OR","EQY_CONSOLIDATED=Y","Sort=A","Dates=H","DateFormat=P","Fill=—","Direction=H","UseDPDF=Y")</f>
        <v>#NAME?</v>
      </c>
      <c r="CN230" s="2" t="e">
        <f ca="1">_xll.BDH($C$228,"NET_DEBT_TO_SHRHLDR_EQTY","FQ2 2014","FQ2 2014","Currency=INR","Period=FQ","BEST_FPERIOD_OVERRIDE=FQ","FILING_STATUS=OR","EQY_CONSOLIDATED=Y","Sort=A","Dates=H","DateFormat=P","Fill=—","Direction=H","UseDPDF=Y")</f>
        <v>#NAME?</v>
      </c>
      <c r="CO230" s="2" t="e">
        <f ca="1">_xll.BDH($C$228,"NET_DEBT_%_CAPITAL","FQ2 2014","FQ2 2014","Currency=INR","Period=FQ","BEST_FPERIOD_OVERRIDE=FQ","FILING_STATUS=OR","EQY_CONSOLIDATED=Y","Sort=A","Dates=H","DateFormat=P","Fill=—","Direction=H","UseDPDF=Y")</f>
        <v>#NAME?</v>
      </c>
      <c r="CP230" s="3" t="e">
        <f ca="1">_xll.BDH($C$228,"EBITDA","FQ2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230" s="3" t="e">
        <f ca="1">_xll.BDH($C$228,"EBITDA_AFTER_CAPEX","FQ2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230" s="3" t="e">
        <f ca="1">_xll.BDH($C$228,"IS_OPER_INC","FQ2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230" s="2" t="e">
        <f ca="1">_xll.BDH($C$228,"CASH_RATIO","FQ2 2014","FQ2 2014","Currency=INR","Period=FQ","BEST_FPERIOD_OVERRIDE=FQ","FILING_STATUS=OR","EQY_CONSOLIDATED=Y","Sort=A","Dates=H","DateFormat=P","Fill=—","Direction=H","UseDPDF=Y")</f>
        <v>#NAME?</v>
      </c>
      <c r="CT230" s="2" t="e">
        <f ca="1">_xll.BDH($C$228,"CUR_RATIO","FQ2 2014","FQ2 2014","Currency=INR","Period=FQ","BEST_FPERIOD_OVERRIDE=FQ","FILING_STATUS=OR","EQY_CONSOLIDATED=Y","Sort=A","Dates=H","DateFormat=P","Fill=—","Direction=H","UseDPDF=Y")</f>
        <v>#NAME?</v>
      </c>
      <c r="CU230" s="2" t="e">
        <f ca="1">_xll.BDH($C$228,"QUICK_RATIO","FQ2 2014","FQ2 2014","Currency=INR","Period=FQ","BEST_FPERIOD_OVERRIDE=FQ","FILING_STATUS=OR","EQY_CONSOLIDATED=Y","Sort=A","Dates=H","DateFormat=P","Fill=—","Direction=H","UseDPDF=Y")</f>
        <v>#NAME?</v>
      </c>
      <c r="CV230" s="2" t="e">
        <f ca="1">_xll.BDH($C$228,"ALTMAN_Z_SCORE","FQ2 2014","FQ2 2014","Currency=INR","Period=FQ","BEST_FPERIOD_OVERRIDE=FQ","FILING_STATUS=OR","EQY_CONSOLIDATED=Y","Sort=A","Dates=H","DateFormat=P","Fill=—","Direction=H","UseDPDF=Y")</f>
        <v>#NAME?</v>
      </c>
      <c r="CW230" s="4" t="e">
        <f ca="1">_xll.BDH($C$228,"ACCT_RCV_TURN","FQ2 2014","FQ2 2014","Currency=INR","Period=FQ","BEST_FPERIOD_OVERRIDE=FQ","FILING_STATUS=OR","EQY_CONSOLIDATED=Y","FA_ADJUSTED=GAAP","Sort=A","Dates=H","DateFormat=P","Fill=—","Direction=H","UseDPDF=Y")</f>
        <v>#NAME?</v>
      </c>
      <c r="CX230" s="2" t="e">
        <f ca="1">_xll.BDH($C$228,"ACCT_RCV_DAYS","FQ2 2014","FQ2 2014","Currency=INR","Period=FQ","BEST_FPERIOD_OVERRIDE=FQ","FILING_STATUS=OR","EQY_CONSOLIDATED=Y","FA_ADJUSTED=GAAP","Sort=A","Dates=H","DateFormat=P","Fill=—","Direction=H","UseDPDF=Y")</f>
        <v>#NAME?</v>
      </c>
      <c r="CY230" s="4" t="e">
        <f ca="1">_xll.BDH($C$228,"INVENT_TURN","FQ2 2014","FQ2 2014","Currency=INR","Period=FQ","BEST_FPERIOD_OVERRIDE=FQ","FILING_STATUS=OR","EQY_CONSOLIDATED=Y","FA_ADJUSTED=GAAP","Sort=A","Dates=H","DateFormat=P","Fill=—","Direction=H","UseDPDF=Y")</f>
        <v>#NAME?</v>
      </c>
      <c r="CZ230" s="2" t="e">
        <f ca="1">_xll.BDH($C$228,"INVENT_DAYS","FQ2 2014","FQ2 2014","Currency=INR","Period=FQ","BEST_FPERIOD_OVERRIDE=FQ","FILING_STATUS=OR","EQY_CONSOLIDATED=Y","FA_ADJUSTED=GAAP","Sort=A","Dates=H","DateFormat=P","Fill=—","Direction=H","UseDPDF=Y")</f>
        <v>#NAME?</v>
      </c>
      <c r="DA230" s="4" t="e">
        <f ca="1">_xll.BDH($C$228,"ACCOUNTS_PAYABLE_TURNOVER","FQ2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230" s="2" t="e">
        <f ca="1">_xll.BDH($C$228,"ACCOUNTS_PAYABLE_TURNOVER_DAYS","FQ2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230" s="4" t="e">
        <f ca="1">_xll.BDH($C$228,"CASH_CONVERSION_CYCLE","FQ2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230" s="4" t="e">
        <f ca="1">_xll.BDH($C$228,"INV_TO_CASH_DAYS","FQ2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230" s="5" t="e">
        <f ca="1">_xll.BDH($C$228,"BS_INVENTORIES","FQ2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230" s="3" t="e">
        <f ca="1">_xll.BDH($C$228,"INVTRY_RAW_MATERIALS","FQ2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230" s="3" t="e">
        <f ca="1">_xll.BDH($C$228,"INVTRY_IN_PROGRESS","FQ2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230" s="3" t="e">
        <f ca="1">_xll.BDH($C$228,"INVTRY_FINISHED_GOODS","FQ2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230" s="3" t="e">
        <f ca="1">_xll.BDH($C$228,"BS_OTHER_INV","FQ2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231" spans="1:113" x14ac:dyDescent="0.3">
      <c r="A231" s="6"/>
      <c r="B231" s="6"/>
      <c r="C231" s="6"/>
      <c r="D231" s="6"/>
      <c r="E231" t="s">
        <v>80</v>
      </c>
      <c r="F231" t="e">
        <f ca="1">_xll.BDH($C$228,"RETURN_COM_EQY","FQ3 2014","FQ3 2014","Currency=INR","Period=FQ","BEST_FPERIOD_OVERRIDE=FQ","FILING_STATUS=OR","EQY_CONSOLIDATED=Y","FA_ADJUSTED=GAAP","Sort=A","Dates=H","DateFormat=P","Fill=—","Direction=H","UseDPDF=Y")</f>
        <v>#NAME?</v>
      </c>
      <c r="G231" t="e">
        <f ca="1">_xll.BDH($C$228,"RETURN_ON_ASSET","FQ3 2014","FQ3 2014","Currency=INR","Period=FQ","BEST_FPERIOD_OVERRIDE=FQ","FILING_STATUS=OR","EQY_CONSOLIDATED=Y","FA_ADJUSTED=GAAP","Sort=A","Dates=H","DateFormat=P","Fill=—","Direction=H","UseDPDF=Y")</f>
        <v>#NAME?</v>
      </c>
      <c r="H231" t="e">
        <f ca="1">_xll.BDH($C$228,"RETURN_ON_CAP","FQ3 2014","FQ3 2014","Currency=INR","Period=FQ","BEST_FPERIOD_OVERRIDE=FQ","FILING_STATUS=OR","EQY_CONSOLIDATED=Y","FA_ADJUSTED=GAAP","Sort=A","Dates=H","DateFormat=P","Fill=—","Direction=H","UseDPDF=Y")</f>
        <v>#NAME?</v>
      </c>
      <c r="I231" t="e">
        <f ca="1">_xll.BDH($C$228,"RETURN_ON_INV_CAPITAL","FQ3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231" t="e">
        <f ca="1">_xll.BDH($C$228,"EBITDA_TO_REVENUE","FQ3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231" t="e">
        <f ca="1">_xll.BDH($C$228,"OPER_MARGIN","FQ3 2014","FQ3 2014","Currency=INR","Period=FQ","BEST_FPERIOD_OVERRIDE=FQ","FILING_STATUS=OR","EQY_CONSOLIDATED=Y","FA_ADJUSTED=GAAP","Sort=A","Dates=H","DateFormat=P","Fill=—","Direction=H","UseDPDF=Y")</f>
        <v>#NAME?</v>
      </c>
      <c r="L231" t="e">
        <f ca="1">_xll.BDH($C$228,"INCREMENTAL_OPERATING_MARGIN","FQ3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231" t="e">
        <f ca="1">_xll.BDH($C$228,"PRETAX_INC_TO_NET_SALES","FQ3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231" t="e">
        <f ca="1">_xll.BDH($C$228,"INC_BEF_XO_ITEMS_TO_NET_SALES","FQ3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231" t="e">
        <f ca="1">_xll.BDH($C$228,"PROF_MARGIN","FQ3 2014","FQ3 2014","Currency=INR","Period=FQ","BEST_FPERIOD_OVERRIDE=FQ","FILING_STATUS=OR","EQY_CONSOLIDATED=Y","FA_ADJUSTED=GAAP","Sort=A","Dates=H","DateFormat=P","Fill=—","Direction=H","UseDPDF=Y")</f>
        <v>#NAME?</v>
      </c>
      <c r="P231" t="e">
        <f ca="1">_xll.BDH($C$228,"NET_INCOME_TO_COMMON_MARGIN","FQ3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231" t="e">
        <f ca="1">_xll.BDH($C$228,"EFF_TAX_RATE","FQ3 2014","FQ3 2014","Currency=INR","Period=FQ","BEST_FPERIOD_OVERRIDE=FQ","FILING_STATUS=OR","EQY_CONSOLIDATED=Y","FA_ADJUSTED=GAAP","Sort=A","Dates=H","DateFormat=P","Fill=—","Direction=H","UseDPDF=Y")</f>
        <v>#NAME?</v>
      </c>
      <c r="R231" t="e">
        <f ca="1">_xll.BDH($C$228,"DVD_PAYOUT_RATIO","FQ3 2014","FQ3 2014","Currency=INR","Period=FQ","BEST_FPERIOD_OVERRIDE=FQ","FILING_STATUS=OR","EQY_CONSOLIDATED=Y","FA_ADJUSTED=GAAP","Sort=A","Dates=H","DateFormat=P","Fill=—","Direction=H","UseDPDF=Y")</f>
        <v>#NAME?</v>
      </c>
      <c r="S231" t="e">
        <f ca="1">_xll.BDH($C$228,"SUSTAIN_GROWTH_RT","FQ3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231" s="2" t="e">
        <f ca="1">_xll.BDH($C$228,"SALES_GROWTH","FQ3 2014","FQ3 2014","Currency=INR","Period=FQ","BEST_FPERIOD_OVERRIDE=FQ","FILING_STATUS=OR","EQY_CONSOLIDATED=Y","FA_ADJUSTED=GAAP","Sort=A","Dates=H","DateFormat=P","Fill=—","Direction=H","UseDPDF=Y")</f>
        <v>#NAME?</v>
      </c>
      <c r="U231" s="2" t="e">
        <f ca="1">_xll.BDH($C$228,"EBITDA_GROWTH","FQ3 2014","FQ3 2014","Currency=INR","Period=FQ","BEST_FPERIOD_OVERRIDE=FQ","FILING_STATUS=OR","EQY_CONSOLIDATED=Y","FA_ADJUSTED=GAAP","Sort=A","Dates=H","DateFormat=P","Fill=—","Direction=H","UseDPDF=Y")</f>
        <v>#NAME?</v>
      </c>
      <c r="V231" s="2" t="e">
        <f ca="1">_xll.BDH($C$228,"OPER_INC_GROWTH","FQ3 2014","FQ3 2014","Currency=INR","Period=FQ","BEST_FPERIOD_OVERRIDE=FQ","FILING_STATUS=OR","EQY_CONSOLIDATED=Y","FA_ADJUSTED=GAAP","Sort=A","Dates=H","DateFormat=P","Fill=—","Direction=H","UseDPDF=Y")</f>
        <v>#NAME?</v>
      </c>
      <c r="W231" s="2" t="e">
        <f ca="1">_xll.BDH($C$228,"EARN_FOR_COM_GROWTH","FQ3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231" s="2" t="e">
        <f ca="1">_xll.BDH($C$228,"DILUTED_EPS_AFT_XO_ITEMS_GROWTH","FQ3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231" s="2" t="e">
        <f ca="1">_xll.BDH($C$228,"DIVIDEND_PER_SHARE_1_YEAR_GROWTH","FQ3 2014","FQ3 2014","Currency=INR","Period=FQ","BEST_FPERIOD_OVERRIDE=FQ","FILING_STATUS=OR","EQY_CONSOLIDATED=Y","Sort=A","Dates=H","DateFormat=P","Fill=—","Direction=H","UseDPDF=Y")</f>
        <v>#NAME?</v>
      </c>
      <c r="Z231" s="2" t="e">
        <f ca="1">_xll.BDH($C$228,"ACCOUNTS_RECEIVABLE_GROWTH","FQ3 2014","FQ3 2014","Currency=INR","Period=FQ","BEST_FPERIOD_OVERRIDE=FQ","FILING_STATUS=OR","EQY_CONSOLIDATED=Y","Sort=A","Dates=H","DateFormat=P","Fill=—","Direction=H","UseDPDF=Y")</f>
        <v>#NAME?</v>
      </c>
      <c r="AA231" s="2" t="e">
        <f ca="1">_xll.BDH($C$228,"INVENTORY_GROWTH","FQ3 2014","FQ3 2014","Currency=INR","Period=FQ","BEST_FPERIOD_OVERRIDE=FQ","FILING_STATUS=OR","EQY_CONSOLIDATED=Y","Sort=A","Dates=H","DateFormat=P","Fill=—","Direction=H","UseDPDF=Y")</f>
        <v>#NAME?</v>
      </c>
      <c r="AB231" s="2" t="e">
        <f ca="1">_xll.BDH($C$228,"NET_FIXED_ASSETS_1_YEAR_GROWTH","FQ3 2014","FQ3 2014","Currency=INR","Period=FQ","BEST_FPERIOD_OVERRIDE=FQ","FILING_STATUS=OR","EQY_CONSOLIDATED=Y","Sort=A","Dates=H","DateFormat=P","Fill=—","Direction=H","UseDPDF=Y")</f>
        <v>#NAME?</v>
      </c>
      <c r="AC231" s="2" t="e">
        <f ca="1">_xll.BDH($C$228,"ASSET_GROWTH","FQ3 2014","FQ3 2014","Currency=INR","Period=FQ","BEST_FPERIOD_OVERRIDE=FQ","FILING_STATUS=OR","EQY_CONSOLIDATED=Y","Sort=A","Dates=H","DateFormat=P","Fill=—","Direction=H","UseDPDF=Y")</f>
        <v>#NAME?</v>
      </c>
      <c r="AD231" s="2" t="e">
        <f ca="1">_xll.BDH($C$228,"MODIFIED_WORK_CAP_GROWTH","FQ3 2014","FQ3 2014","Currency=INR","Period=FQ","BEST_FPERIOD_OVERRIDE=FQ","FILING_STATUS=OR","EQY_CONSOLIDATED=Y","Sort=A","Dates=H","DateFormat=P","Fill=—","Direction=H","UseDPDF=Y")</f>
        <v>#NAME?</v>
      </c>
      <c r="AE231" s="2" t="e">
        <f ca="1">_xll.BDH($C$228,"WORK_CAP_GROWTH","FQ3 2014","FQ3 2014","Currency=INR","Period=FQ","BEST_FPERIOD_OVERRIDE=FQ","FILING_STATUS=OR","EQY_CONSOLIDATED=Y","Sort=A","Dates=H","DateFormat=P","Fill=—","Direction=H","UseDPDF=Y")</f>
        <v>#NAME?</v>
      </c>
      <c r="AF231" s="2" t="e">
        <f ca="1">_xll.BDH($C$228,"ACCOUNTS_PAYABLE_GROWTH_1YR","FQ3 2014","FQ3 2014","Currency=INR","Period=FQ","BEST_FPERIOD_OVERRIDE=FQ","FILING_STATUS=OR","EQY_CONSOLIDATED=Y","Sort=A","Dates=H","DateFormat=P","Fill=—","Direction=H","UseDPDF=Y")</f>
        <v>#NAME?</v>
      </c>
      <c r="AG231" s="2" t="e">
        <f ca="1">_xll.BDH($C$228,"SHORT_TERM_DEBT_1_YEAR_GROWTH","FQ3 2014","FQ3 2014","Currency=INR","Period=FQ","BEST_FPERIOD_OVERRIDE=FQ","FILING_STATUS=OR","EQY_CONSOLIDATED=Y","Sort=A","Dates=H","DateFormat=P","Fill=—","Direction=H","UseDPDF=Y")</f>
        <v>#NAME?</v>
      </c>
      <c r="AH231" s="2" t="e">
        <f ca="1">_xll.BDH($C$228,"TOTAL_DEBT_1_YEAR_GROWTH","FQ3 2014","FQ3 2014","Currency=INR","Period=FQ","BEST_FPERIOD_OVERRIDE=FQ","FILING_STATUS=OR","EQY_CONSOLIDATED=Y","Sort=A","Dates=H","DateFormat=P","Fill=—","Direction=H","UseDPDF=Y")</f>
        <v>#NAME?</v>
      </c>
      <c r="AI231" s="2" t="e">
        <f ca="1">_xll.BDH($C$228,"TOTAL_EQUITY_1_YEAR_GROWTH","FQ3 2014","FQ3 2014","Currency=INR","Period=FQ","BEST_FPERIOD_OVERRIDE=FQ","FILING_STATUS=OR","EQY_CONSOLIDATED=Y","Sort=A","Dates=H","DateFormat=P","Fill=—","Direction=H","UseDPDF=Y")</f>
        <v>#NAME?</v>
      </c>
      <c r="AJ231" s="2" t="e">
        <f ca="1">_xll.BDH($C$228,"GROWTH_IN_CAP","FQ3 2014","FQ3 2014","Currency=INR","Period=FQ","BEST_FPERIOD_OVERRIDE=FQ","FILING_STATUS=OR","EQY_CONSOLIDATED=Y","Sort=A","Dates=H","DateFormat=P","Fill=—","Direction=H","UseDPDF=Y")</f>
        <v>#NAME?</v>
      </c>
      <c r="AK231" s="2" t="e">
        <f ca="1">_xll.BDH($C$228,"BVPS_GROWTH","FQ3 2014","FQ3 2014","Currency=INR","Period=FQ","BEST_FPERIOD_OVERRIDE=FQ","FILING_STATUS=OR","EQY_CONSOLIDATED=Y","Sort=A","Dates=H","DateFormat=P","Fill=—","Direction=H","UseDPDF=Y")</f>
        <v>#NAME?</v>
      </c>
      <c r="AL231" s="2" t="e">
        <f ca="1">_xll.BDH($C$228,"CASH_FLOW_GROWTH","FQ3 2014","FQ3 2014","Currency=INR","Period=FQ","BEST_FPERIOD_OVERRIDE=FQ","FILING_STATUS=OR","EQY_CONSOLIDATED=Y","Sort=A","Dates=H","DateFormat=P","Fill=—","Direction=H","UseDPDF=Y")</f>
        <v>#NAME?</v>
      </c>
      <c r="AM231" s="2" t="e">
        <f ca="1">_xll.BDH($C$228,"GEO_GROW_NET_SALES","FQ3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231" s="2" t="e">
        <f ca="1">_xll.BDH($C$228,"GEO_GROW_EBITDA","FQ3 2014","FQ3 2014","Currency=INR","Period=FQ","BEST_FPERIOD_OVERRIDE=FQ","FILING_STATUS=OR","EQY_CONSOLIDATED=Y","FA_ADJUSTED=GAAP","Sort=A","Dates=H","DateFormat=P","Fill=—","Direction=H","UseDPDF=Y")</f>
        <v>#NAME?</v>
      </c>
      <c r="AO231" s="2" t="e">
        <f ca="1">_xll.BDH($C$228,"GEO_GROW_OPER_INC","FQ3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231" s="2" t="e">
        <f ca="1">_xll.BDH($C$228,"NET_INCOME_TO_COMMON_5_YR_GROWTH","FQ3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231" s="2" t="e">
        <f ca="1">_xll.BDH($C$228,"5Y_GEO_GROWTH_DILUTED_EPS","FQ3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231" s="2" t="e">
        <f ca="1">_xll.BDH($C$228,"GEO_GROW_DVD_PER_SH","FQ3 2014","FQ3 2014","Currency=INR","Period=FQ","BEST_FPERIOD_OVERRIDE=FQ","FILING_STATUS=OR","EQY_CONSOLIDATED=Y","Sort=A","Dates=H","DateFormat=P","Fill=—","Direction=H","UseDPDF=Y")</f>
        <v>#NAME?</v>
      </c>
      <c r="AS231" s="2" t="e">
        <f ca="1">_xll.BDH($C$228,"ACCOUNTS_RECEIVABLE_5_YR_GROWTH","FQ3 2014","FQ3 2014","Currency=INR","Period=FQ","BEST_FPERIOD_OVERRIDE=FQ","FILING_STATUS=OR","EQY_CONSOLIDATED=Y","Sort=A","Dates=H","DateFormat=P","Fill=—","Direction=H","UseDPDF=Y")</f>
        <v>#NAME?</v>
      </c>
      <c r="AT231" s="2" t="e">
        <f ca="1">_xll.BDH($C$228,"INVENTORY_5_YEAR_GROWTH","FQ3 2014","FQ3 2014","Currency=INR","Period=FQ","BEST_FPERIOD_OVERRIDE=FQ","FILING_STATUS=OR","EQY_CONSOLIDATED=Y","Sort=A","Dates=H","DateFormat=P","Fill=—","Direction=H","UseDPDF=Y")</f>
        <v>#NAME?</v>
      </c>
      <c r="AU231" s="2" t="e">
        <f ca="1">_xll.BDH($C$228,"NET_FIXED_ASSETS_5_YEAR_GROWTH","FQ3 2014","FQ3 2014","Currency=INR","Period=FQ","BEST_FPERIOD_OVERRIDE=FQ","FILING_STATUS=OR","EQY_CONSOLIDATED=Y","Sort=A","Dates=H","DateFormat=P","Fill=—","Direction=H","UseDPDF=Y")</f>
        <v>#NAME?</v>
      </c>
      <c r="AV231" s="2" t="e">
        <f ca="1">_xll.BDH($C$228,"GEO_GROW_TOT_ASSET","FQ3 2014","FQ3 2014","Currency=INR","Period=FQ","BEST_FPERIOD_OVERRIDE=FQ","FILING_STATUS=OR","EQY_CONSOLIDATED=Y","Sort=A","Dates=H","DateFormat=P","Fill=—","Direction=H","UseDPDF=Y")</f>
        <v>#NAME?</v>
      </c>
      <c r="AW231" s="2" t="e">
        <f ca="1">_xll.BDH($C$228,"MODIFIED_WORKING_CPTL_5YR_GRWTH","FQ3 2014","FQ3 2014","Currency=INR","Period=FQ","BEST_FPERIOD_OVERRIDE=FQ","FILING_STATUS=OR","EQY_CONSOLIDATED=Y","Sort=A","Dates=H","DateFormat=P","Fill=—","Direction=H","UseDPDF=Y")</f>
        <v>#NAME?</v>
      </c>
      <c r="AX231" s="2" t="e">
        <f ca="1">_xll.BDH($C$228,"WORKING_CAPITAL_5_YEAR_GROWTH","FQ3 2014","FQ3 2014","Currency=INR","Period=FQ","BEST_FPERIOD_OVERRIDE=FQ","FILING_STATUS=OR","EQY_CONSOLIDATED=Y","Sort=A","Dates=H","DateFormat=P","Fill=—","Direction=H","UseDPDF=Y")</f>
        <v>#NAME?</v>
      </c>
      <c r="AY231" s="2" t="e">
        <f ca="1">_xll.BDH($C$228,"ACCOUNTS_PAYABLE_5_YEAR_GROWTH","FQ3 2014","FQ3 2014","Currency=INR","Period=FQ","BEST_FPERIOD_OVERRIDE=FQ","FILING_STATUS=OR","EQY_CONSOLIDATED=Y","Sort=A","Dates=H","DateFormat=P","Fill=—","Direction=H","UseDPDF=Y")</f>
        <v>#NAME?</v>
      </c>
      <c r="AZ231" s="2" t="e">
        <f ca="1">_xll.BDH($C$228,"SHORT_TERM_DEBT_5_YEAR_GROWTH","FQ3 2014","FQ3 2014","Currency=INR","Period=FQ","BEST_FPERIOD_OVERRIDE=FQ","FILING_STATUS=OR","EQY_CONSOLIDATED=Y","Sort=A","Dates=H","DateFormat=P","Fill=—","Direction=H","UseDPDF=Y")</f>
        <v>#NAME?</v>
      </c>
      <c r="BA231" s="2" t="e">
        <f ca="1">_xll.BDH($C$228,"TOTAL_DEBT_5_YEAR_GROWTH","FQ3 2014","FQ3 2014","Currency=INR","Period=FQ","BEST_FPERIOD_OVERRIDE=FQ","FILING_STATUS=OR","EQY_CONSOLIDATED=Y","Sort=A","Dates=H","DateFormat=P","Fill=—","Direction=H","UseDPDF=Y")</f>
        <v>#NAME?</v>
      </c>
      <c r="BB231" s="2" t="e">
        <f ca="1">_xll.BDH($C$228,"GEO_GROW_TOT_SHRHLDR_EQY","FQ3 2014","FQ3 2014","Currency=INR","Period=FQ","BEST_FPERIOD_OVERRIDE=FQ","FILING_STATUS=OR","EQY_CONSOLIDATED=Y","Sort=A","Dates=H","DateFormat=P","Fill=—","Direction=H","UseDPDF=Y")</f>
        <v>#NAME?</v>
      </c>
      <c r="BC231" s="2" t="e">
        <f ca="1">_xll.BDH($C$228,"TOTAL_CAPITAL_5_YEAR_GROWTH","FQ3 2014","FQ3 2014","Currency=INR","Period=FQ","BEST_FPERIOD_OVERRIDE=FQ","FILING_STATUS=OR","EQY_CONSOLIDATED=Y","Sort=A","Dates=H","DateFormat=P","Fill=—","Direction=H","UseDPDF=Y")</f>
        <v>#NAME?</v>
      </c>
      <c r="BD231" s="2" t="e">
        <f ca="1">_xll.BDH($C$228,"GEO_GROW_BOOK_VAL","FQ3 2014","FQ3 2014","Currency=INR","Period=FQ","BEST_FPERIOD_OVERRIDE=FQ","FILING_STATUS=OR","EQY_CONSOLIDATED=Y","Sort=A","Dates=H","DateFormat=P","Fill=—","Direction=H","UseDPDF=Y")</f>
        <v>#NAME?</v>
      </c>
      <c r="BE231" s="2" t="e">
        <f ca="1">_xll.BDH($C$228,"GEO_GROW_CASH_OPER_ACT","FQ3 2014","FQ3 2014","Currency=INR","Period=FQ","BEST_FPERIOD_OVERRIDE=FQ","FILING_STATUS=OR","EQY_CONSOLIDATED=Y","Sort=A","Dates=H","DateFormat=P","Fill=—","Direction=H","UseDPDF=Y")</f>
        <v>#NAME?</v>
      </c>
      <c r="BF231" s="2" t="e">
        <f ca="1">_xll.BDH($C$228,"REVENUE_SEQUENTIAL_GROWTH","FQ3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231" s="2" t="e">
        <f ca="1">_xll.BDH($C$228,"EBITDA_SEQUENTIAL_GROWTH","FQ3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231" s="2" t="e">
        <f ca="1">_xll.BDH($C$228,"OPERATING_INCOME_SEQ_GROWTH","FQ3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231" s="2" t="e">
        <f ca="1">_xll.BDH($C$228,"NET_INCOME_TO_COMMON_SEQ_GROWTH","FQ3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231" s="2" t="e">
        <f ca="1">_xll.BDH($C$228,"EPS_DILUTED_SEQUENTIAL_GROWTH","FQ3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231" s="2" t="e">
        <f ca="1">_xll.BDH($C$228,"DPS_SEQUENTIAL_GROWTH","FQ3 2014","FQ3 2014","Currency=INR","Period=FQ","BEST_FPERIOD_OVERRIDE=FQ","FILING_STATUS=OR","EQY_CONSOLIDATED=Y","Sort=A","Dates=H","DateFormat=P","Fill=—","Direction=H","UseDPDF=Y")</f>
        <v>#NAME?</v>
      </c>
      <c r="BL231" s="2" t="e">
        <f ca="1">_xll.BDH($C$228,"ACCOUNTS_RECEIVABLE_SEQ_GROWTH","FQ3 2014","FQ3 2014","Currency=INR","Period=FQ","BEST_FPERIOD_OVERRIDE=FQ","FILING_STATUS=OR","EQY_CONSOLIDATED=Y","Sort=A","Dates=H","DateFormat=P","Fill=—","Direction=H","UseDPDF=Y")</f>
        <v>#NAME?</v>
      </c>
      <c r="BM231" s="2" t="e">
        <f ca="1">_xll.BDH($C$228,"INVENTORY_SEQUENTIAL_GROWTH","FQ3 2014","FQ3 2014","Currency=INR","Period=FQ","BEST_FPERIOD_OVERRIDE=FQ","FILING_STATUS=OR","EQY_CONSOLIDATED=Y","Sort=A","Dates=H","DateFormat=P","Fill=—","Direction=H","UseDPDF=Y")</f>
        <v>#NAME?</v>
      </c>
      <c r="BN231" s="2" t="e">
        <f ca="1">_xll.BDH($C$228,"FIXED_ASSETS_SEQUENTIAL_GROWTH","FQ3 2014","FQ3 2014","Currency=INR","Period=FQ","BEST_FPERIOD_OVERRIDE=FQ","FILING_STATUS=OR","EQY_CONSOLIDATED=Y","Sort=A","Dates=H","DateFormat=P","Fill=—","Direction=H","UseDPDF=Y")</f>
        <v>#NAME?</v>
      </c>
      <c r="BO231" s="2" t="e">
        <f ca="1">_xll.BDH($C$228,"TOTAL_ASSETS_SEQUENTIAL_GROWTH","FQ3 2014","FQ3 2014","Currency=INR","Period=FQ","BEST_FPERIOD_OVERRIDE=FQ","FILING_STATUS=OR","EQY_CONSOLIDATED=Y","Sort=A","Dates=H","DateFormat=P","Fill=—","Direction=H","UseDPDF=Y")</f>
        <v>#NAME?</v>
      </c>
      <c r="BP231" s="2" t="e">
        <f ca="1">_xll.BDH($C$228,"MODIFIED_WORKING_CPTL_SEQ_GRWTH","FQ3 2014","FQ3 2014","Currency=INR","Period=FQ","BEST_FPERIOD_OVERRIDE=FQ","FILING_STATUS=OR","EQY_CONSOLIDATED=Y","Sort=A","Dates=H","DateFormat=P","Fill=—","Direction=H","UseDPDF=Y")</f>
        <v>#NAME?</v>
      </c>
      <c r="BQ231" s="2" t="e">
        <f ca="1">_xll.BDH($C$228,"WORKING_CAPITAL_SEQ_GROWTH","FQ3 2014","FQ3 2014","Currency=INR","Period=FQ","BEST_FPERIOD_OVERRIDE=FQ","FILING_STATUS=OR","EQY_CONSOLIDATED=Y","Sort=A","Dates=H","DateFormat=P","Fill=—","Direction=H","UseDPDF=Y")</f>
        <v>#NAME?</v>
      </c>
      <c r="BR231" s="2" t="e">
        <f ca="1">_xll.BDH($C$228,"ACCOUNTS_PAYABLE_SEQ_GROWTH","FQ3 2014","FQ3 2014","Currency=INR","Period=FQ","BEST_FPERIOD_OVERRIDE=FQ","FILING_STATUS=OR","EQY_CONSOLIDATED=Y","Sort=A","Dates=H","DateFormat=P","Fill=—","Direction=H","UseDPDF=Y")</f>
        <v>#NAME?</v>
      </c>
      <c r="BS231" s="2" t="e">
        <f ca="1">_xll.BDH($C$228,"ST_DEBT_SEQUENTIAL_GROWTH","FQ3 2014","FQ3 2014","Currency=INR","Period=FQ","BEST_FPERIOD_OVERRIDE=FQ","FILING_STATUS=OR","EQY_CONSOLIDATED=Y","Sort=A","Dates=H","DateFormat=P","Fill=—","Direction=H","UseDPDF=Y")</f>
        <v>#NAME?</v>
      </c>
      <c r="BT231" s="2" t="e">
        <f ca="1">_xll.BDH($C$228,"TOTAL_DEBT_SEQUENTIAL_GROWTH","FQ3 2014","FQ3 2014","Currency=INR","Period=FQ","BEST_FPERIOD_OVERRIDE=FQ","FILING_STATUS=OR","EQY_CONSOLIDATED=Y","Sort=A","Dates=H","DateFormat=P","Fill=—","Direction=H","UseDPDF=Y")</f>
        <v>#NAME?</v>
      </c>
      <c r="BU231" s="2" t="e">
        <f ca="1">_xll.BDH($C$228,"TOTAL_EQUITY_SEQUENTIAL_GROWTH","FQ3 2014","FQ3 2014","Currency=INR","Period=FQ","BEST_FPERIOD_OVERRIDE=FQ","FILING_STATUS=OR","EQY_CONSOLIDATED=Y","Sort=A","Dates=H","DateFormat=P","Fill=—","Direction=H","UseDPDF=Y")</f>
        <v>#NAME?</v>
      </c>
      <c r="BV231" s="2" t="e">
        <f ca="1">_xll.BDH($C$228,"TOTAL_CAPITAL_SEQUENTIAL_GROWTH","FQ3 2014","FQ3 2014","Currency=INR","Period=FQ","BEST_FPERIOD_OVERRIDE=FQ","FILING_STATUS=OR","EQY_CONSOLIDATED=Y","Sort=A","Dates=H","DateFormat=P","Fill=—","Direction=H","UseDPDF=Y")</f>
        <v>#NAME?</v>
      </c>
      <c r="BW231" s="2" t="e">
        <f ca="1">_xll.BDH($C$228,"BPS_SEQUENTIAL_GROWTH","FQ3 2014","FQ3 2014","Currency=INR","Period=FQ","BEST_FPERIOD_OVERRIDE=FQ","FILING_STATUS=OR","EQY_CONSOLIDATED=Y","Sort=A","Dates=H","DateFormat=P","Fill=—","Direction=H","UseDPDF=Y")</f>
        <v>#NAME?</v>
      </c>
      <c r="BX231" s="2" t="e">
        <f ca="1">_xll.BDH($C$228,"CFO_SEQUENTIAL_GROWTH","FQ3 2014","FQ3 2014","Currency=INR","Period=FQ","BEST_FPERIOD_OVERRIDE=FQ","FILING_STATUS=OR","EQY_CONSOLIDATED=Y","Sort=A","Dates=H","DateFormat=P","Fill=—","Direction=H","UseDPDF=Y")</f>
        <v>#NAME?</v>
      </c>
      <c r="BY231" s="3" t="e">
        <f ca="1">_xll.BDH($C$228,"SHORT_AND_LONG_TERM_DEBT","FQ3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231" s="3" t="e">
        <f ca="1">_xll.BDH($C$228,"BS_ST_BORROW","FQ3 2014","FQ3 2014","Currency=INR","Period=FQ","BEST_FPERIOD_OVERRIDE=FQ","FILING_STATUS=OR","EQY_CONSOLIDATED=Y","SCALING_FORMAT=MLN","Sort=A","Dates=H","DateFormat=P","Fill=—","Direction=H","UseDPDF=Y")</f>
        <v>#NAME?</v>
      </c>
      <c r="CA231" s="3" t="e">
        <f ca="1">_xll.BDH($C$228,"BS_LT_BORROW","FQ3 2014","FQ3 2014","Currency=INR","Period=FQ","BEST_FPERIOD_OVERRIDE=FQ","FILING_STATUS=OR","EQY_CONSOLIDATED=Y","SCALING_FORMAT=MLN","Sort=A","Dates=H","DateFormat=P","Fill=—","Direction=H","UseDPDF=Y")</f>
        <v>#NAME?</v>
      </c>
      <c r="CB231" s="2" t="e">
        <f ca="1">_xll.BDH($C$228,"TOT_DEBT_TO_EBITDA","FQ3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231" s="2" t="e">
        <f ca="1">_xll.BDH($C$228,"NET_DEBT_TO_EBITDA","FQ3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231" s="2" t="e">
        <f ca="1">_xll.BDH($C$228,"TOTAL_DEBT_TO_EBIT","FQ3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231" s="2" t="e">
        <f ca="1">_xll.BDH($C$228,"NET_DEBT_TO_EBIT","FQ3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231" s="2" t="e">
        <f ca="1">_xll.BDH($C$228,"EBITDA_TO_INTEREST_EXPN","FQ3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231" s="2" t="e">
        <f ca="1">_xll.BDH($C$228,"COM_EQY_TO_TOT_ASSET","FQ3 2014","FQ3 2014","Currency=INR","Period=FQ","BEST_FPERIOD_OVERRIDE=FQ","FILING_STATUS=OR","EQY_CONSOLIDATED=Y","Sort=A","Dates=H","DateFormat=P","Fill=—","Direction=H","UseDPDF=Y")</f>
        <v>#NAME?</v>
      </c>
      <c r="CH231" s="2" t="e">
        <f ca="1">_xll.BDH($C$228,"LT_DEBT_TO_TOT_EQY","FQ3 2014","FQ3 2014","Currency=INR","Period=FQ","BEST_FPERIOD_OVERRIDE=FQ","FILING_STATUS=OR","EQY_CONSOLIDATED=Y","Sort=A","Dates=H","DateFormat=P","Fill=—","Direction=H","UseDPDF=Y")</f>
        <v>#NAME?</v>
      </c>
      <c r="CI231" s="2" t="e">
        <f ca="1">_xll.BDH($C$228,"LT_DEBT_TO_TOT_CAP","FQ3 2014","FQ3 2014","Currency=INR","Period=FQ","BEST_FPERIOD_OVERRIDE=FQ","FILING_STATUS=OR","EQY_CONSOLIDATED=Y","Sort=A","Dates=H","DateFormat=P","Fill=—","Direction=H","UseDPDF=Y")</f>
        <v>#NAME?</v>
      </c>
      <c r="CJ231" s="2" t="e">
        <f ca="1">_xll.BDH($C$228,"LT_DEBT_TO_TOT_ASSET","FQ3 2014","FQ3 2014","Currency=INR","Period=FQ","BEST_FPERIOD_OVERRIDE=FQ","FILING_STATUS=OR","EQY_CONSOLIDATED=Y","Sort=A","Dates=H","DateFormat=P","Fill=—","Direction=H","UseDPDF=Y")</f>
        <v>#NAME?</v>
      </c>
      <c r="CK231" s="2" t="e">
        <f ca="1">_xll.BDH($C$228,"TOT_DEBT_TO_TOT_EQY","FQ3 2014","FQ3 2014","Currency=INR","Period=FQ","BEST_FPERIOD_OVERRIDE=FQ","FILING_STATUS=OR","EQY_CONSOLIDATED=Y","Sort=A","Dates=H","DateFormat=P","Fill=—","Direction=H","UseDPDF=Y")</f>
        <v>#NAME?</v>
      </c>
      <c r="CL231" s="2" t="e">
        <f ca="1">_xll.BDH($C$228,"TOT_DEBT_TO_TOT_CAP","FQ3 2014","FQ3 2014","Currency=INR","Period=FQ","BEST_FPERIOD_OVERRIDE=FQ","FILING_STATUS=OR","EQY_CONSOLIDATED=Y","Sort=A","Dates=H","DateFormat=P","Fill=—","Direction=H","UseDPDF=Y")</f>
        <v>#NAME?</v>
      </c>
      <c r="CM231" s="2" t="e">
        <f ca="1">_xll.BDH($C$228,"TOT_DEBT_TO_TOT_ASSET","FQ3 2014","FQ3 2014","Currency=INR","Period=FQ","BEST_FPERIOD_OVERRIDE=FQ","FILING_STATUS=OR","EQY_CONSOLIDATED=Y","Sort=A","Dates=H","DateFormat=P","Fill=—","Direction=H","UseDPDF=Y")</f>
        <v>#NAME?</v>
      </c>
      <c r="CN231" s="2" t="e">
        <f ca="1">_xll.BDH($C$228,"NET_DEBT_TO_SHRHLDR_EQTY","FQ3 2014","FQ3 2014","Currency=INR","Period=FQ","BEST_FPERIOD_OVERRIDE=FQ","FILING_STATUS=OR","EQY_CONSOLIDATED=Y","Sort=A","Dates=H","DateFormat=P","Fill=—","Direction=H","UseDPDF=Y")</f>
        <v>#NAME?</v>
      </c>
      <c r="CO231" s="2" t="e">
        <f ca="1">_xll.BDH($C$228,"NET_DEBT_%_CAPITAL","FQ3 2014","FQ3 2014","Currency=INR","Period=FQ","BEST_FPERIOD_OVERRIDE=FQ","FILING_STATUS=OR","EQY_CONSOLIDATED=Y","Sort=A","Dates=H","DateFormat=P","Fill=—","Direction=H","UseDPDF=Y")</f>
        <v>#NAME?</v>
      </c>
      <c r="CP231" s="3" t="e">
        <f ca="1">_xll.BDH($C$228,"EBITDA","FQ3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231" s="3" t="e">
        <f ca="1">_xll.BDH($C$228,"EBITDA_AFTER_CAPEX","FQ3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231" s="3" t="e">
        <f ca="1">_xll.BDH($C$228,"IS_OPER_INC","FQ3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231" s="2" t="e">
        <f ca="1">_xll.BDH($C$228,"CASH_RATIO","FQ3 2014","FQ3 2014","Currency=INR","Period=FQ","BEST_FPERIOD_OVERRIDE=FQ","FILING_STATUS=OR","EQY_CONSOLIDATED=Y","Sort=A","Dates=H","DateFormat=P","Fill=—","Direction=H","UseDPDF=Y")</f>
        <v>#NAME?</v>
      </c>
      <c r="CT231" s="2" t="e">
        <f ca="1">_xll.BDH($C$228,"CUR_RATIO","FQ3 2014","FQ3 2014","Currency=INR","Period=FQ","BEST_FPERIOD_OVERRIDE=FQ","FILING_STATUS=OR","EQY_CONSOLIDATED=Y","Sort=A","Dates=H","DateFormat=P","Fill=—","Direction=H","UseDPDF=Y")</f>
        <v>#NAME?</v>
      </c>
      <c r="CU231" s="2" t="e">
        <f ca="1">_xll.BDH($C$228,"QUICK_RATIO","FQ3 2014","FQ3 2014","Currency=INR","Period=FQ","BEST_FPERIOD_OVERRIDE=FQ","FILING_STATUS=OR","EQY_CONSOLIDATED=Y","Sort=A","Dates=H","DateFormat=P","Fill=—","Direction=H","UseDPDF=Y")</f>
        <v>#NAME?</v>
      </c>
      <c r="CV231" s="2" t="e">
        <f ca="1">_xll.BDH($C$228,"ALTMAN_Z_SCORE","FQ3 2014","FQ3 2014","Currency=INR","Period=FQ","BEST_FPERIOD_OVERRIDE=FQ","FILING_STATUS=OR","EQY_CONSOLIDATED=Y","Sort=A","Dates=H","DateFormat=P","Fill=—","Direction=H","UseDPDF=Y")</f>
        <v>#NAME?</v>
      </c>
      <c r="CW231" s="4" t="e">
        <f ca="1">_xll.BDH($C$228,"ACCT_RCV_TURN","FQ3 2014","FQ3 2014","Currency=INR","Period=FQ","BEST_FPERIOD_OVERRIDE=FQ","FILING_STATUS=OR","EQY_CONSOLIDATED=Y","FA_ADJUSTED=GAAP","Sort=A","Dates=H","DateFormat=P","Fill=—","Direction=H","UseDPDF=Y")</f>
        <v>#NAME?</v>
      </c>
      <c r="CX231" s="2" t="e">
        <f ca="1">_xll.BDH($C$228,"ACCT_RCV_DAYS","FQ3 2014","FQ3 2014","Currency=INR","Period=FQ","BEST_FPERIOD_OVERRIDE=FQ","FILING_STATUS=OR","EQY_CONSOLIDATED=Y","FA_ADJUSTED=GAAP","Sort=A","Dates=H","DateFormat=P","Fill=—","Direction=H","UseDPDF=Y")</f>
        <v>#NAME?</v>
      </c>
      <c r="CY231" s="4" t="e">
        <f ca="1">_xll.BDH($C$228,"INVENT_TURN","FQ3 2014","FQ3 2014","Currency=INR","Period=FQ","BEST_FPERIOD_OVERRIDE=FQ","FILING_STATUS=OR","EQY_CONSOLIDATED=Y","FA_ADJUSTED=GAAP","Sort=A","Dates=H","DateFormat=P","Fill=—","Direction=H","UseDPDF=Y")</f>
        <v>#NAME?</v>
      </c>
      <c r="CZ231" s="2" t="e">
        <f ca="1">_xll.BDH($C$228,"INVENT_DAYS","FQ3 2014","FQ3 2014","Currency=INR","Period=FQ","BEST_FPERIOD_OVERRIDE=FQ","FILING_STATUS=OR","EQY_CONSOLIDATED=Y","FA_ADJUSTED=GAAP","Sort=A","Dates=H","DateFormat=P","Fill=—","Direction=H","UseDPDF=Y")</f>
        <v>#NAME?</v>
      </c>
      <c r="DA231" s="4" t="e">
        <f ca="1">_xll.BDH($C$228,"ACCOUNTS_PAYABLE_TURNOVER","FQ3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231" s="2" t="e">
        <f ca="1">_xll.BDH($C$228,"ACCOUNTS_PAYABLE_TURNOVER_DAYS","FQ3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231" s="4" t="e">
        <f ca="1">_xll.BDH($C$228,"CASH_CONVERSION_CYCLE","FQ3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231" s="4" t="e">
        <f ca="1">_xll.BDH($C$228,"INV_TO_CASH_DAYS","FQ3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231" s="5" t="e">
        <f ca="1">_xll.BDH($C$228,"BS_INVENTORIES","FQ3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231" s="3" t="e">
        <f ca="1">_xll.BDH($C$228,"INVTRY_RAW_MATERIALS","FQ3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231" s="3" t="e">
        <f ca="1">_xll.BDH($C$228,"INVTRY_IN_PROGRESS","FQ3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231" s="3" t="e">
        <f ca="1">_xll.BDH($C$228,"INVTRY_FINISHED_GOODS","FQ3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231" s="3" t="e">
        <f ca="1">_xll.BDH($C$228,"BS_OTHER_INV","FQ3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232" spans="1:113" x14ac:dyDescent="0.3">
      <c r="A232" s="6"/>
      <c r="B232" s="6"/>
      <c r="C232" s="6"/>
      <c r="D232" s="6"/>
      <c r="E232" t="s">
        <v>81</v>
      </c>
      <c r="F232" t="e">
        <f ca="1">_xll.BDH($C$228,"RETURN_COM_EQY","FQ4 2014","FQ4 2014","Currency=INR","Period=FQ","BEST_FPERIOD_OVERRIDE=FQ","FILING_STATUS=OR","EQY_CONSOLIDATED=Y","FA_ADJUSTED=GAAP","Sort=A","Dates=H","DateFormat=P","Fill=—","Direction=H","UseDPDF=Y")</f>
        <v>#NAME?</v>
      </c>
      <c r="G232" t="e">
        <f ca="1">_xll.BDH($C$228,"RETURN_ON_ASSET","FQ4 2014","FQ4 2014","Currency=INR","Period=FQ","BEST_FPERIOD_OVERRIDE=FQ","FILING_STATUS=OR","EQY_CONSOLIDATED=Y","FA_ADJUSTED=GAAP","Sort=A","Dates=H","DateFormat=P","Fill=—","Direction=H","UseDPDF=Y")</f>
        <v>#NAME?</v>
      </c>
      <c r="H232" t="e">
        <f ca="1">_xll.BDH($C$228,"RETURN_ON_CAP","FQ4 2014","FQ4 2014","Currency=INR","Period=FQ","BEST_FPERIOD_OVERRIDE=FQ","FILING_STATUS=OR","EQY_CONSOLIDATED=Y","FA_ADJUSTED=GAAP","Sort=A","Dates=H","DateFormat=P","Fill=—","Direction=H","UseDPDF=Y")</f>
        <v>#NAME?</v>
      </c>
      <c r="I232" t="e">
        <f ca="1">_xll.BDH($C$228,"RETURN_ON_INV_CAPITAL","FQ4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232" t="e">
        <f ca="1">_xll.BDH($C$228,"EBITDA_TO_REVENUE","FQ4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232" t="e">
        <f ca="1">_xll.BDH($C$228,"OPER_MARGIN","FQ4 2014","FQ4 2014","Currency=INR","Period=FQ","BEST_FPERIOD_OVERRIDE=FQ","FILING_STATUS=OR","EQY_CONSOLIDATED=Y","FA_ADJUSTED=GAAP","Sort=A","Dates=H","DateFormat=P","Fill=—","Direction=H","UseDPDF=Y")</f>
        <v>#NAME?</v>
      </c>
      <c r="L232" t="e">
        <f ca="1">_xll.BDH($C$228,"INCREMENTAL_OPERATING_MARGIN","FQ4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232" t="e">
        <f ca="1">_xll.BDH($C$228,"PRETAX_INC_TO_NET_SALES","FQ4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232" t="e">
        <f ca="1">_xll.BDH($C$228,"INC_BEF_XO_ITEMS_TO_NET_SALES","FQ4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232" t="e">
        <f ca="1">_xll.BDH($C$228,"PROF_MARGIN","FQ4 2014","FQ4 2014","Currency=INR","Period=FQ","BEST_FPERIOD_OVERRIDE=FQ","FILING_STATUS=OR","EQY_CONSOLIDATED=Y","FA_ADJUSTED=GAAP","Sort=A","Dates=H","DateFormat=P","Fill=—","Direction=H","UseDPDF=Y")</f>
        <v>#NAME?</v>
      </c>
      <c r="P232" t="e">
        <f ca="1">_xll.BDH($C$228,"NET_INCOME_TO_COMMON_MARGIN","FQ4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232" t="e">
        <f ca="1">_xll.BDH($C$228,"EFF_TAX_RATE","FQ4 2014","FQ4 2014","Currency=INR","Period=FQ","BEST_FPERIOD_OVERRIDE=FQ","FILING_STATUS=OR","EQY_CONSOLIDATED=Y","FA_ADJUSTED=GAAP","Sort=A","Dates=H","DateFormat=P","Fill=—","Direction=H","UseDPDF=Y")</f>
        <v>#NAME?</v>
      </c>
      <c r="R232" t="e">
        <f ca="1">_xll.BDH($C$228,"DVD_PAYOUT_RATIO","FQ4 2014","FQ4 2014","Currency=INR","Period=FQ","BEST_FPERIOD_OVERRIDE=FQ","FILING_STATUS=OR","EQY_CONSOLIDATED=Y","FA_ADJUSTED=GAAP","Sort=A","Dates=H","DateFormat=P","Fill=—","Direction=H","UseDPDF=Y")</f>
        <v>#NAME?</v>
      </c>
      <c r="S232" t="e">
        <f ca="1">_xll.BDH($C$228,"SUSTAIN_GROWTH_RT","FQ4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232" s="2" t="e">
        <f ca="1">_xll.BDH($C$228,"SALES_GROWTH","FQ4 2014","FQ4 2014","Currency=INR","Period=FQ","BEST_FPERIOD_OVERRIDE=FQ","FILING_STATUS=OR","EQY_CONSOLIDATED=Y","FA_ADJUSTED=GAAP","Sort=A","Dates=H","DateFormat=P","Fill=—","Direction=H","UseDPDF=Y")</f>
        <v>#NAME?</v>
      </c>
      <c r="U232" s="2" t="e">
        <f ca="1">_xll.BDH($C$228,"EBITDA_GROWTH","FQ4 2014","FQ4 2014","Currency=INR","Period=FQ","BEST_FPERIOD_OVERRIDE=FQ","FILING_STATUS=OR","EQY_CONSOLIDATED=Y","FA_ADJUSTED=GAAP","Sort=A","Dates=H","DateFormat=P","Fill=—","Direction=H","UseDPDF=Y")</f>
        <v>#NAME?</v>
      </c>
      <c r="V232" s="2" t="e">
        <f ca="1">_xll.BDH($C$228,"OPER_INC_GROWTH","FQ4 2014","FQ4 2014","Currency=INR","Period=FQ","BEST_FPERIOD_OVERRIDE=FQ","FILING_STATUS=OR","EQY_CONSOLIDATED=Y","FA_ADJUSTED=GAAP","Sort=A","Dates=H","DateFormat=P","Fill=—","Direction=H","UseDPDF=Y")</f>
        <v>#NAME?</v>
      </c>
      <c r="W232" s="2" t="e">
        <f ca="1">_xll.BDH($C$228,"EARN_FOR_COM_GROWTH","FQ4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232" s="2" t="e">
        <f ca="1">_xll.BDH($C$228,"DILUTED_EPS_AFT_XO_ITEMS_GROWTH","FQ4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232" s="2" t="e">
        <f ca="1">_xll.BDH($C$228,"DIVIDEND_PER_SHARE_1_YEAR_GROWTH","FQ4 2014","FQ4 2014","Currency=INR","Period=FQ","BEST_FPERIOD_OVERRIDE=FQ","FILING_STATUS=OR","EQY_CONSOLIDATED=Y","Sort=A","Dates=H","DateFormat=P","Fill=—","Direction=H","UseDPDF=Y")</f>
        <v>#NAME?</v>
      </c>
      <c r="Z232" s="2" t="e">
        <f ca="1">_xll.BDH($C$228,"ACCOUNTS_RECEIVABLE_GROWTH","FQ4 2014","FQ4 2014","Currency=INR","Period=FQ","BEST_FPERIOD_OVERRIDE=FQ","FILING_STATUS=OR","EQY_CONSOLIDATED=Y","Sort=A","Dates=H","DateFormat=P","Fill=—","Direction=H","UseDPDF=Y")</f>
        <v>#NAME?</v>
      </c>
      <c r="AA232" s="2" t="e">
        <f ca="1">_xll.BDH($C$228,"INVENTORY_GROWTH","FQ4 2014","FQ4 2014","Currency=INR","Period=FQ","BEST_FPERIOD_OVERRIDE=FQ","FILING_STATUS=OR","EQY_CONSOLIDATED=Y","Sort=A","Dates=H","DateFormat=P","Fill=—","Direction=H","UseDPDF=Y")</f>
        <v>#NAME?</v>
      </c>
      <c r="AB232" s="2" t="e">
        <f ca="1">_xll.BDH($C$228,"NET_FIXED_ASSETS_1_YEAR_GROWTH","FQ4 2014","FQ4 2014","Currency=INR","Period=FQ","BEST_FPERIOD_OVERRIDE=FQ","FILING_STATUS=OR","EQY_CONSOLIDATED=Y","Sort=A","Dates=H","DateFormat=P","Fill=—","Direction=H","UseDPDF=Y")</f>
        <v>#NAME?</v>
      </c>
      <c r="AC232" s="2" t="e">
        <f ca="1">_xll.BDH($C$228,"ASSET_GROWTH","FQ4 2014","FQ4 2014","Currency=INR","Period=FQ","BEST_FPERIOD_OVERRIDE=FQ","FILING_STATUS=OR","EQY_CONSOLIDATED=Y","Sort=A","Dates=H","DateFormat=P","Fill=—","Direction=H","UseDPDF=Y")</f>
        <v>#NAME?</v>
      </c>
      <c r="AD232" s="2" t="e">
        <f ca="1">_xll.BDH($C$228,"MODIFIED_WORK_CAP_GROWTH","FQ4 2014","FQ4 2014","Currency=INR","Period=FQ","BEST_FPERIOD_OVERRIDE=FQ","FILING_STATUS=OR","EQY_CONSOLIDATED=Y","Sort=A","Dates=H","DateFormat=P","Fill=—","Direction=H","UseDPDF=Y")</f>
        <v>#NAME?</v>
      </c>
      <c r="AE232" s="2" t="e">
        <f ca="1">_xll.BDH($C$228,"WORK_CAP_GROWTH","FQ4 2014","FQ4 2014","Currency=INR","Period=FQ","BEST_FPERIOD_OVERRIDE=FQ","FILING_STATUS=OR","EQY_CONSOLIDATED=Y","Sort=A","Dates=H","DateFormat=P","Fill=—","Direction=H","UseDPDF=Y")</f>
        <v>#NAME?</v>
      </c>
      <c r="AF232" s="2" t="e">
        <f ca="1">_xll.BDH($C$228,"ACCOUNTS_PAYABLE_GROWTH_1YR","FQ4 2014","FQ4 2014","Currency=INR","Period=FQ","BEST_FPERIOD_OVERRIDE=FQ","FILING_STATUS=OR","EQY_CONSOLIDATED=Y","Sort=A","Dates=H","DateFormat=P","Fill=—","Direction=H","UseDPDF=Y")</f>
        <v>#NAME?</v>
      </c>
      <c r="AG232" s="2" t="e">
        <f ca="1">_xll.BDH($C$228,"SHORT_TERM_DEBT_1_YEAR_GROWTH","FQ4 2014","FQ4 2014","Currency=INR","Period=FQ","BEST_FPERIOD_OVERRIDE=FQ","FILING_STATUS=OR","EQY_CONSOLIDATED=Y","Sort=A","Dates=H","DateFormat=P","Fill=—","Direction=H","UseDPDF=Y")</f>
        <v>#NAME?</v>
      </c>
      <c r="AH232" s="2" t="e">
        <f ca="1">_xll.BDH($C$228,"TOTAL_DEBT_1_YEAR_GROWTH","FQ4 2014","FQ4 2014","Currency=INR","Period=FQ","BEST_FPERIOD_OVERRIDE=FQ","FILING_STATUS=OR","EQY_CONSOLIDATED=Y","Sort=A","Dates=H","DateFormat=P","Fill=—","Direction=H","UseDPDF=Y")</f>
        <v>#NAME?</v>
      </c>
      <c r="AI232" s="2" t="e">
        <f ca="1">_xll.BDH($C$228,"TOTAL_EQUITY_1_YEAR_GROWTH","FQ4 2014","FQ4 2014","Currency=INR","Period=FQ","BEST_FPERIOD_OVERRIDE=FQ","FILING_STATUS=OR","EQY_CONSOLIDATED=Y","Sort=A","Dates=H","DateFormat=P","Fill=—","Direction=H","UseDPDF=Y")</f>
        <v>#NAME?</v>
      </c>
      <c r="AJ232" s="2" t="e">
        <f ca="1">_xll.BDH($C$228,"GROWTH_IN_CAP","FQ4 2014","FQ4 2014","Currency=INR","Period=FQ","BEST_FPERIOD_OVERRIDE=FQ","FILING_STATUS=OR","EQY_CONSOLIDATED=Y","Sort=A","Dates=H","DateFormat=P","Fill=—","Direction=H","UseDPDF=Y")</f>
        <v>#NAME?</v>
      </c>
      <c r="AK232" s="2" t="e">
        <f ca="1">_xll.BDH($C$228,"BVPS_GROWTH","FQ4 2014","FQ4 2014","Currency=INR","Period=FQ","BEST_FPERIOD_OVERRIDE=FQ","FILING_STATUS=OR","EQY_CONSOLIDATED=Y","Sort=A","Dates=H","DateFormat=P","Fill=—","Direction=H","UseDPDF=Y")</f>
        <v>#NAME?</v>
      </c>
      <c r="AL232" s="2" t="e">
        <f ca="1">_xll.BDH($C$228,"CASH_FLOW_GROWTH","FQ4 2014","FQ4 2014","Currency=INR","Period=FQ","BEST_FPERIOD_OVERRIDE=FQ","FILING_STATUS=OR","EQY_CONSOLIDATED=Y","Sort=A","Dates=H","DateFormat=P","Fill=—","Direction=H","UseDPDF=Y")</f>
        <v>#NAME?</v>
      </c>
      <c r="AM232" s="2" t="e">
        <f ca="1">_xll.BDH($C$228,"GEO_GROW_NET_SALES","FQ4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232" s="2" t="e">
        <f ca="1">_xll.BDH($C$228,"GEO_GROW_EBITDA","FQ4 2014","FQ4 2014","Currency=INR","Period=FQ","BEST_FPERIOD_OVERRIDE=FQ","FILING_STATUS=OR","EQY_CONSOLIDATED=Y","FA_ADJUSTED=GAAP","Sort=A","Dates=H","DateFormat=P","Fill=—","Direction=H","UseDPDF=Y")</f>
        <v>#NAME?</v>
      </c>
      <c r="AO232" s="2" t="e">
        <f ca="1">_xll.BDH($C$228,"GEO_GROW_OPER_INC","FQ4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232" s="2" t="e">
        <f ca="1">_xll.BDH($C$228,"NET_INCOME_TO_COMMON_5_YR_GROWTH","FQ4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232" s="2" t="e">
        <f ca="1">_xll.BDH($C$228,"5Y_GEO_GROWTH_DILUTED_EPS","FQ4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232" s="2" t="e">
        <f ca="1">_xll.BDH($C$228,"GEO_GROW_DVD_PER_SH","FQ4 2014","FQ4 2014","Currency=INR","Period=FQ","BEST_FPERIOD_OVERRIDE=FQ","FILING_STATUS=OR","EQY_CONSOLIDATED=Y","Sort=A","Dates=H","DateFormat=P","Fill=—","Direction=H","UseDPDF=Y")</f>
        <v>#NAME?</v>
      </c>
      <c r="AS232" s="2" t="e">
        <f ca="1">_xll.BDH($C$228,"ACCOUNTS_RECEIVABLE_5_YR_GROWTH","FQ4 2014","FQ4 2014","Currency=INR","Period=FQ","BEST_FPERIOD_OVERRIDE=FQ","FILING_STATUS=OR","EQY_CONSOLIDATED=Y","Sort=A","Dates=H","DateFormat=P","Fill=—","Direction=H","UseDPDF=Y")</f>
        <v>#NAME?</v>
      </c>
      <c r="AT232" s="2" t="e">
        <f ca="1">_xll.BDH($C$228,"INVENTORY_5_YEAR_GROWTH","FQ4 2014","FQ4 2014","Currency=INR","Period=FQ","BEST_FPERIOD_OVERRIDE=FQ","FILING_STATUS=OR","EQY_CONSOLIDATED=Y","Sort=A","Dates=H","DateFormat=P","Fill=—","Direction=H","UseDPDF=Y")</f>
        <v>#NAME?</v>
      </c>
      <c r="AU232" s="2" t="e">
        <f ca="1">_xll.BDH($C$228,"NET_FIXED_ASSETS_5_YEAR_GROWTH","FQ4 2014","FQ4 2014","Currency=INR","Period=FQ","BEST_FPERIOD_OVERRIDE=FQ","FILING_STATUS=OR","EQY_CONSOLIDATED=Y","Sort=A","Dates=H","DateFormat=P","Fill=—","Direction=H","UseDPDF=Y")</f>
        <v>#NAME?</v>
      </c>
      <c r="AV232" s="2" t="e">
        <f ca="1">_xll.BDH($C$228,"GEO_GROW_TOT_ASSET","FQ4 2014","FQ4 2014","Currency=INR","Period=FQ","BEST_FPERIOD_OVERRIDE=FQ","FILING_STATUS=OR","EQY_CONSOLIDATED=Y","Sort=A","Dates=H","DateFormat=P","Fill=—","Direction=H","UseDPDF=Y")</f>
        <v>#NAME?</v>
      </c>
      <c r="AW232" s="2" t="e">
        <f ca="1">_xll.BDH($C$228,"MODIFIED_WORKING_CPTL_5YR_GRWTH","FQ4 2014","FQ4 2014","Currency=INR","Period=FQ","BEST_FPERIOD_OVERRIDE=FQ","FILING_STATUS=OR","EQY_CONSOLIDATED=Y","Sort=A","Dates=H","DateFormat=P","Fill=—","Direction=H","UseDPDF=Y")</f>
        <v>#NAME?</v>
      </c>
      <c r="AX232" s="2" t="e">
        <f ca="1">_xll.BDH($C$228,"WORKING_CAPITAL_5_YEAR_GROWTH","FQ4 2014","FQ4 2014","Currency=INR","Period=FQ","BEST_FPERIOD_OVERRIDE=FQ","FILING_STATUS=OR","EQY_CONSOLIDATED=Y","Sort=A","Dates=H","DateFormat=P","Fill=—","Direction=H","UseDPDF=Y")</f>
        <v>#NAME?</v>
      </c>
      <c r="AY232" s="2" t="e">
        <f ca="1">_xll.BDH($C$228,"ACCOUNTS_PAYABLE_5_YEAR_GROWTH","FQ4 2014","FQ4 2014","Currency=INR","Period=FQ","BEST_FPERIOD_OVERRIDE=FQ","FILING_STATUS=OR","EQY_CONSOLIDATED=Y","Sort=A","Dates=H","DateFormat=P","Fill=—","Direction=H","UseDPDF=Y")</f>
        <v>#NAME?</v>
      </c>
      <c r="AZ232" s="2" t="e">
        <f ca="1">_xll.BDH($C$228,"SHORT_TERM_DEBT_5_YEAR_GROWTH","FQ4 2014","FQ4 2014","Currency=INR","Period=FQ","BEST_FPERIOD_OVERRIDE=FQ","FILING_STATUS=OR","EQY_CONSOLIDATED=Y","Sort=A","Dates=H","DateFormat=P","Fill=—","Direction=H","UseDPDF=Y")</f>
        <v>#NAME?</v>
      </c>
      <c r="BA232" s="2" t="e">
        <f ca="1">_xll.BDH($C$228,"TOTAL_DEBT_5_YEAR_GROWTH","FQ4 2014","FQ4 2014","Currency=INR","Period=FQ","BEST_FPERIOD_OVERRIDE=FQ","FILING_STATUS=OR","EQY_CONSOLIDATED=Y","Sort=A","Dates=H","DateFormat=P","Fill=—","Direction=H","UseDPDF=Y")</f>
        <v>#NAME?</v>
      </c>
      <c r="BB232" s="2" t="e">
        <f ca="1">_xll.BDH($C$228,"GEO_GROW_TOT_SHRHLDR_EQY","FQ4 2014","FQ4 2014","Currency=INR","Period=FQ","BEST_FPERIOD_OVERRIDE=FQ","FILING_STATUS=OR","EQY_CONSOLIDATED=Y","Sort=A","Dates=H","DateFormat=P","Fill=—","Direction=H","UseDPDF=Y")</f>
        <v>#NAME?</v>
      </c>
      <c r="BC232" s="2" t="e">
        <f ca="1">_xll.BDH($C$228,"TOTAL_CAPITAL_5_YEAR_GROWTH","FQ4 2014","FQ4 2014","Currency=INR","Period=FQ","BEST_FPERIOD_OVERRIDE=FQ","FILING_STATUS=OR","EQY_CONSOLIDATED=Y","Sort=A","Dates=H","DateFormat=P","Fill=—","Direction=H","UseDPDF=Y")</f>
        <v>#NAME?</v>
      </c>
      <c r="BD232" s="2" t="e">
        <f ca="1">_xll.BDH($C$228,"GEO_GROW_BOOK_VAL","FQ4 2014","FQ4 2014","Currency=INR","Period=FQ","BEST_FPERIOD_OVERRIDE=FQ","FILING_STATUS=OR","EQY_CONSOLIDATED=Y","Sort=A","Dates=H","DateFormat=P","Fill=—","Direction=H","UseDPDF=Y")</f>
        <v>#NAME?</v>
      </c>
      <c r="BE232" s="2" t="e">
        <f ca="1">_xll.BDH($C$228,"GEO_GROW_CASH_OPER_ACT","FQ4 2014","FQ4 2014","Currency=INR","Period=FQ","BEST_FPERIOD_OVERRIDE=FQ","FILING_STATUS=OR","EQY_CONSOLIDATED=Y","Sort=A","Dates=H","DateFormat=P","Fill=—","Direction=H","UseDPDF=Y")</f>
        <v>#NAME?</v>
      </c>
      <c r="BF232" s="2" t="e">
        <f ca="1">_xll.BDH($C$228,"REVENUE_SEQUENTIAL_GROWTH","FQ4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232" s="2" t="e">
        <f ca="1">_xll.BDH($C$228,"EBITDA_SEQUENTIAL_GROWTH","FQ4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232" s="2" t="e">
        <f ca="1">_xll.BDH($C$228,"OPERATING_INCOME_SEQ_GROWTH","FQ4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232" s="2" t="e">
        <f ca="1">_xll.BDH($C$228,"NET_INCOME_TO_COMMON_SEQ_GROWTH","FQ4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232" s="2" t="e">
        <f ca="1">_xll.BDH($C$228,"EPS_DILUTED_SEQUENTIAL_GROWTH","FQ4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232" s="2" t="e">
        <f ca="1">_xll.BDH($C$228,"DPS_SEQUENTIAL_GROWTH","FQ4 2014","FQ4 2014","Currency=INR","Period=FQ","BEST_FPERIOD_OVERRIDE=FQ","FILING_STATUS=OR","EQY_CONSOLIDATED=Y","Sort=A","Dates=H","DateFormat=P","Fill=—","Direction=H","UseDPDF=Y")</f>
        <v>#NAME?</v>
      </c>
      <c r="BL232" s="2" t="e">
        <f ca="1">_xll.BDH($C$228,"ACCOUNTS_RECEIVABLE_SEQ_GROWTH","FQ4 2014","FQ4 2014","Currency=INR","Period=FQ","BEST_FPERIOD_OVERRIDE=FQ","FILING_STATUS=OR","EQY_CONSOLIDATED=Y","Sort=A","Dates=H","DateFormat=P","Fill=—","Direction=H","UseDPDF=Y")</f>
        <v>#NAME?</v>
      </c>
      <c r="BM232" s="2" t="e">
        <f ca="1">_xll.BDH($C$228,"INVENTORY_SEQUENTIAL_GROWTH","FQ4 2014","FQ4 2014","Currency=INR","Period=FQ","BEST_FPERIOD_OVERRIDE=FQ","FILING_STATUS=OR","EQY_CONSOLIDATED=Y","Sort=A","Dates=H","DateFormat=P","Fill=—","Direction=H","UseDPDF=Y")</f>
        <v>#NAME?</v>
      </c>
      <c r="BN232" s="2" t="e">
        <f ca="1">_xll.BDH($C$228,"FIXED_ASSETS_SEQUENTIAL_GROWTH","FQ4 2014","FQ4 2014","Currency=INR","Period=FQ","BEST_FPERIOD_OVERRIDE=FQ","FILING_STATUS=OR","EQY_CONSOLIDATED=Y","Sort=A","Dates=H","DateFormat=P","Fill=—","Direction=H","UseDPDF=Y")</f>
        <v>#NAME?</v>
      </c>
      <c r="BO232" s="2" t="e">
        <f ca="1">_xll.BDH($C$228,"TOTAL_ASSETS_SEQUENTIAL_GROWTH","FQ4 2014","FQ4 2014","Currency=INR","Period=FQ","BEST_FPERIOD_OVERRIDE=FQ","FILING_STATUS=OR","EQY_CONSOLIDATED=Y","Sort=A","Dates=H","DateFormat=P","Fill=—","Direction=H","UseDPDF=Y")</f>
        <v>#NAME?</v>
      </c>
      <c r="BP232" s="2" t="e">
        <f ca="1">_xll.BDH($C$228,"MODIFIED_WORKING_CPTL_SEQ_GRWTH","FQ4 2014","FQ4 2014","Currency=INR","Period=FQ","BEST_FPERIOD_OVERRIDE=FQ","FILING_STATUS=OR","EQY_CONSOLIDATED=Y","Sort=A","Dates=H","DateFormat=P","Fill=—","Direction=H","UseDPDF=Y")</f>
        <v>#NAME?</v>
      </c>
      <c r="BQ232" s="2" t="e">
        <f ca="1">_xll.BDH($C$228,"WORKING_CAPITAL_SEQ_GROWTH","FQ4 2014","FQ4 2014","Currency=INR","Period=FQ","BEST_FPERIOD_OVERRIDE=FQ","FILING_STATUS=OR","EQY_CONSOLIDATED=Y","Sort=A","Dates=H","DateFormat=P","Fill=—","Direction=H","UseDPDF=Y")</f>
        <v>#NAME?</v>
      </c>
      <c r="BR232" s="2" t="e">
        <f ca="1">_xll.BDH($C$228,"ACCOUNTS_PAYABLE_SEQ_GROWTH","FQ4 2014","FQ4 2014","Currency=INR","Period=FQ","BEST_FPERIOD_OVERRIDE=FQ","FILING_STATUS=OR","EQY_CONSOLIDATED=Y","Sort=A","Dates=H","DateFormat=P","Fill=—","Direction=H","UseDPDF=Y")</f>
        <v>#NAME?</v>
      </c>
      <c r="BS232" s="2" t="e">
        <f ca="1">_xll.BDH($C$228,"ST_DEBT_SEQUENTIAL_GROWTH","FQ4 2014","FQ4 2014","Currency=INR","Period=FQ","BEST_FPERIOD_OVERRIDE=FQ","FILING_STATUS=OR","EQY_CONSOLIDATED=Y","Sort=A","Dates=H","DateFormat=P","Fill=—","Direction=H","UseDPDF=Y")</f>
        <v>#NAME?</v>
      </c>
      <c r="BT232" s="2" t="e">
        <f ca="1">_xll.BDH($C$228,"TOTAL_DEBT_SEQUENTIAL_GROWTH","FQ4 2014","FQ4 2014","Currency=INR","Period=FQ","BEST_FPERIOD_OVERRIDE=FQ","FILING_STATUS=OR","EQY_CONSOLIDATED=Y","Sort=A","Dates=H","DateFormat=P","Fill=—","Direction=H","UseDPDF=Y")</f>
        <v>#NAME?</v>
      </c>
      <c r="BU232" s="2" t="e">
        <f ca="1">_xll.BDH($C$228,"TOTAL_EQUITY_SEQUENTIAL_GROWTH","FQ4 2014","FQ4 2014","Currency=INR","Period=FQ","BEST_FPERIOD_OVERRIDE=FQ","FILING_STATUS=OR","EQY_CONSOLIDATED=Y","Sort=A","Dates=H","DateFormat=P","Fill=—","Direction=H","UseDPDF=Y")</f>
        <v>#NAME?</v>
      </c>
      <c r="BV232" s="2" t="e">
        <f ca="1">_xll.BDH($C$228,"TOTAL_CAPITAL_SEQUENTIAL_GROWTH","FQ4 2014","FQ4 2014","Currency=INR","Period=FQ","BEST_FPERIOD_OVERRIDE=FQ","FILING_STATUS=OR","EQY_CONSOLIDATED=Y","Sort=A","Dates=H","DateFormat=P","Fill=—","Direction=H","UseDPDF=Y")</f>
        <v>#NAME?</v>
      </c>
      <c r="BW232" s="2" t="e">
        <f ca="1">_xll.BDH($C$228,"BPS_SEQUENTIAL_GROWTH","FQ4 2014","FQ4 2014","Currency=INR","Period=FQ","BEST_FPERIOD_OVERRIDE=FQ","FILING_STATUS=OR","EQY_CONSOLIDATED=Y","Sort=A","Dates=H","DateFormat=P","Fill=—","Direction=H","UseDPDF=Y")</f>
        <v>#NAME?</v>
      </c>
      <c r="BX232" s="2" t="e">
        <f ca="1">_xll.BDH($C$228,"CFO_SEQUENTIAL_GROWTH","FQ4 2014","FQ4 2014","Currency=INR","Period=FQ","BEST_FPERIOD_OVERRIDE=FQ","FILING_STATUS=OR","EQY_CONSOLIDATED=Y","Sort=A","Dates=H","DateFormat=P","Fill=—","Direction=H","UseDPDF=Y")</f>
        <v>#NAME?</v>
      </c>
      <c r="BY232" s="3" t="e">
        <f ca="1">_xll.BDH($C$228,"SHORT_AND_LONG_TERM_DEBT","FQ4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232" s="3" t="e">
        <f ca="1">_xll.BDH($C$228,"BS_ST_BORROW","FQ4 2014","FQ4 2014","Currency=INR","Period=FQ","BEST_FPERIOD_OVERRIDE=FQ","FILING_STATUS=OR","EQY_CONSOLIDATED=Y","SCALING_FORMAT=MLN","Sort=A","Dates=H","DateFormat=P","Fill=—","Direction=H","UseDPDF=Y")</f>
        <v>#NAME?</v>
      </c>
      <c r="CA232" s="3" t="e">
        <f ca="1">_xll.BDH($C$228,"BS_LT_BORROW","FQ4 2014","FQ4 2014","Currency=INR","Period=FQ","BEST_FPERIOD_OVERRIDE=FQ","FILING_STATUS=OR","EQY_CONSOLIDATED=Y","SCALING_FORMAT=MLN","Sort=A","Dates=H","DateFormat=P","Fill=—","Direction=H","UseDPDF=Y")</f>
        <v>#NAME?</v>
      </c>
      <c r="CB232" s="2" t="e">
        <f ca="1">_xll.BDH($C$228,"TOT_DEBT_TO_EBITDA","FQ4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232" s="2" t="e">
        <f ca="1">_xll.BDH($C$228,"NET_DEBT_TO_EBITDA","FQ4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232" s="2" t="e">
        <f ca="1">_xll.BDH($C$228,"TOTAL_DEBT_TO_EBIT","FQ4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232" s="2" t="e">
        <f ca="1">_xll.BDH($C$228,"NET_DEBT_TO_EBIT","FQ4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232" s="2" t="e">
        <f ca="1">_xll.BDH($C$228,"EBITDA_TO_INTEREST_EXPN","FQ4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232" s="2" t="e">
        <f ca="1">_xll.BDH($C$228,"COM_EQY_TO_TOT_ASSET","FQ4 2014","FQ4 2014","Currency=INR","Period=FQ","BEST_FPERIOD_OVERRIDE=FQ","FILING_STATUS=OR","EQY_CONSOLIDATED=Y","Sort=A","Dates=H","DateFormat=P","Fill=—","Direction=H","UseDPDF=Y")</f>
        <v>#NAME?</v>
      </c>
      <c r="CH232" s="2" t="e">
        <f ca="1">_xll.BDH($C$228,"LT_DEBT_TO_TOT_EQY","FQ4 2014","FQ4 2014","Currency=INR","Period=FQ","BEST_FPERIOD_OVERRIDE=FQ","FILING_STATUS=OR","EQY_CONSOLIDATED=Y","Sort=A","Dates=H","DateFormat=P","Fill=—","Direction=H","UseDPDF=Y")</f>
        <v>#NAME?</v>
      </c>
      <c r="CI232" s="2" t="e">
        <f ca="1">_xll.BDH($C$228,"LT_DEBT_TO_TOT_CAP","FQ4 2014","FQ4 2014","Currency=INR","Period=FQ","BEST_FPERIOD_OVERRIDE=FQ","FILING_STATUS=OR","EQY_CONSOLIDATED=Y","Sort=A","Dates=H","DateFormat=P","Fill=—","Direction=H","UseDPDF=Y")</f>
        <v>#NAME?</v>
      </c>
      <c r="CJ232" s="2" t="e">
        <f ca="1">_xll.BDH($C$228,"LT_DEBT_TO_TOT_ASSET","FQ4 2014","FQ4 2014","Currency=INR","Period=FQ","BEST_FPERIOD_OVERRIDE=FQ","FILING_STATUS=OR","EQY_CONSOLIDATED=Y","Sort=A","Dates=H","DateFormat=P","Fill=—","Direction=H","UseDPDF=Y")</f>
        <v>#NAME?</v>
      </c>
      <c r="CK232" s="2" t="e">
        <f ca="1">_xll.BDH($C$228,"TOT_DEBT_TO_TOT_EQY","FQ4 2014","FQ4 2014","Currency=INR","Period=FQ","BEST_FPERIOD_OVERRIDE=FQ","FILING_STATUS=OR","EQY_CONSOLIDATED=Y","Sort=A","Dates=H","DateFormat=P","Fill=—","Direction=H","UseDPDF=Y")</f>
        <v>#NAME?</v>
      </c>
      <c r="CL232" s="2" t="e">
        <f ca="1">_xll.BDH($C$228,"TOT_DEBT_TO_TOT_CAP","FQ4 2014","FQ4 2014","Currency=INR","Period=FQ","BEST_FPERIOD_OVERRIDE=FQ","FILING_STATUS=OR","EQY_CONSOLIDATED=Y","Sort=A","Dates=H","DateFormat=P","Fill=—","Direction=H","UseDPDF=Y")</f>
        <v>#NAME?</v>
      </c>
      <c r="CM232" s="2" t="e">
        <f ca="1">_xll.BDH($C$228,"TOT_DEBT_TO_TOT_ASSET","FQ4 2014","FQ4 2014","Currency=INR","Period=FQ","BEST_FPERIOD_OVERRIDE=FQ","FILING_STATUS=OR","EQY_CONSOLIDATED=Y","Sort=A","Dates=H","DateFormat=P","Fill=—","Direction=H","UseDPDF=Y")</f>
        <v>#NAME?</v>
      </c>
      <c r="CN232" s="2" t="e">
        <f ca="1">_xll.BDH($C$228,"NET_DEBT_TO_SHRHLDR_EQTY","FQ4 2014","FQ4 2014","Currency=INR","Period=FQ","BEST_FPERIOD_OVERRIDE=FQ","FILING_STATUS=OR","EQY_CONSOLIDATED=Y","Sort=A","Dates=H","DateFormat=P","Fill=—","Direction=H","UseDPDF=Y")</f>
        <v>#NAME?</v>
      </c>
      <c r="CO232" s="2" t="e">
        <f ca="1">_xll.BDH($C$228,"NET_DEBT_%_CAPITAL","FQ4 2014","FQ4 2014","Currency=INR","Period=FQ","BEST_FPERIOD_OVERRIDE=FQ","FILING_STATUS=OR","EQY_CONSOLIDATED=Y","Sort=A","Dates=H","DateFormat=P","Fill=—","Direction=H","UseDPDF=Y")</f>
        <v>#NAME?</v>
      </c>
      <c r="CP232" s="3" t="e">
        <f ca="1">_xll.BDH($C$228,"EBITDA","FQ4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232" s="3" t="e">
        <f ca="1">_xll.BDH($C$228,"EBITDA_AFTER_CAPEX","FQ4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232" s="3" t="e">
        <f ca="1">_xll.BDH($C$228,"IS_OPER_INC","FQ4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232" s="2" t="e">
        <f ca="1">_xll.BDH($C$228,"CASH_RATIO","FQ4 2014","FQ4 2014","Currency=INR","Period=FQ","BEST_FPERIOD_OVERRIDE=FQ","FILING_STATUS=OR","EQY_CONSOLIDATED=Y","Sort=A","Dates=H","DateFormat=P","Fill=—","Direction=H","UseDPDF=Y")</f>
        <v>#NAME?</v>
      </c>
      <c r="CT232" s="2" t="e">
        <f ca="1">_xll.BDH($C$228,"CUR_RATIO","FQ4 2014","FQ4 2014","Currency=INR","Period=FQ","BEST_FPERIOD_OVERRIDE=FQ","FILING_STATUS=OR","EQY_CONSOLIDATED=Y","Sort=A","Dates=H","DateFormat=P","Fill=—","Direction=H","UseDPDF=Y")</f>
        <v>#NAME?</v>
      </c>
      <c r="CU232" s="2" t="e">
        <f ca="1">_xll.BDH($C$228,"QUICK_RATIO","FQ4 2014","FQ4 2014","Currency=INR","Period=FQ","BEST_FPERIOD_OVERRIDE=FQ","FILING_STATUS=OR","EQY_CONSOLIDATED=Y","Sort=A","Dates=H","DateFormat=P","Fill=—","Direction=H","UseDPDF=Y")</f>
        <v>#NAME?</v>
      </c>
      <c r="CV232" s="2" t="e">
        <f ca="1">_xll.BDH($C$228,"ALTMAN_Z_SCORE","FQ4 2014","FQ4 2014","Currency=INR","Period=FQ","BEST_FPERIOD_OVERRIDE=FQ","FILING_STATUS=OR","EQY_CONSOLIDATED=Y","Sort=A","Dates=H","DateFormat=P","Fill=—","Direction=H","UseDPDF=Y")</f>
        <v>#NAME?</v>
      </c>
      <c r="CW232" s="4" t="e">
        <f ca="1">_xll.BDH($C$228,"ACCT_RCV_TURN","FQ4 2014","FQ4 2014","Currency=INR","Period=FQ","BEST_FPERIOD_OVERRIDE=FQ","FILING_STATUS=OR","EQY_CONSOLIDATED=Y","FA_ADJUSTED=GAAP","Sort=A","Dates=H","DateFormat=P","Fill=—","Direction=H","UseDPDF=Y")</f>
        <v>#NAME?</v>
      </c>
      <c r="CX232" s="2" t="e">
        <f ca="1">_xll.BDH($C$228,"ACCT_RCV_DAYS","FQ4 2014","FQ4 2014","Currency=INR","Period=FQ","BEST_FPERIOD_OVERRIDE=FQ","FILING_STATUS=OR","EQY_CONSOLIDATED=Y","FA_ADJUSTED=GAAP","Sort=A","Dates=H","DateFormat=P","Fill=—","Direction=H","UseDPDF=Y")</f>
        <v>#NAME?</v>
      </c>
      <c r="CY232" s="4" t="e">
        <f ca="1">_xll.BDH($C$228,"INVENT_TURN","FQ4 2014","FQ4 2014","Currency=INR","Period=FQ","BEST_FPERIOD_OVERRIDE=FQ","FILING_STATUS=OR","EQY_CONSOLIDATED=Y","FA_ADJUSTED=GAAP","Sort=A","Dates=H","DateFormat=P","Fill=—","Direction=H","UseDPDF=Y")</f>
        <v>#NAME?</v>
      </c>
      <c r="CZ232" s="2" t="e">
        <f ca="1">_xll.BDH($C$228,"INVENT_DAYS","FQ4 2014","FQ4 2014","Currency=INR","Period=FQ","BEST_FPERIOD_OVERRIDE=FQ","FILING_STATUS=OR","EQY_CONSOLIDATED=Y","FA_ADJUSTED=GAAP","Sort=A","Dates=H","DateFormat=P","Fill=—","Direction=H","UseDPDF=Y")</f>
        <v>#NAME?</v>
      </c>
      <c r="DA232" s="4" t="e">
        <f ca="1">_xll.BDH($C$228,"ACCOUNTS_PAYABLE_TURNOVER","FQ4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232" s="2" t="e">
        <f ca="1">_xll.BDH($C$228,"ACCOUNTS_PAYABLE_TURNOVER_DAYS","FQ4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232" s="4" t="e">
        <f ca="1">_xll.BDH($C$228,"CASH_CONVERSION_CYCLE","FQ4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232" s="4" t="e">
        <f ca="1">_xll.BDH($C$228,"INV_TO_CASH_DAYS","FQ4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232" s="5" t="e">
        <f ca="1">_xll.BDH($C$228,"BS_INVENTORIES","FQ4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232" s="3" t="e">
        <f ca="1">_xll.BDH($C$228,"INVTRY_RAW_MATERIALS","FQ4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232" s="3" t="e">
        <f ca="1">_xll.BDH($C$228,"INVTRY_IN_PROGRESS","FQ4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232" s="3" t="e">
        <f ca="1">_xll.BDH($C$228,"INVTRY_FINISHED_GOODS","FQ4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232" s="3" t="e">
        <f ca="1">_xll.BDH($C$228,"BS_OTHER_INV","FQ4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233" spans="1:113" x14ac:dyDescent="0.3">
      <c r="A233" s="6"/>
      <c r="B233" s="6"/>
      <c r="C233" s="6"/>
      <c r="D233" s="6" t="s">
        <v>82</v>
      </c>
      <c r="E233" t="s">
        <v>77</v>
      </c>
      <c r="F233" t="e">
        <f ca="1">_xll.BDH($C$228,"RETURN_COM_EQY","FY 2015","FY 2015","Currency=INR","Period=FY","BEST_FPERIOD_OVERRIDE=FY","FILING_STATUS=OR","EQY_CONSOLIDATED=Y","FA_ADJUSTED=GAAP","Sort=A","Dates=H","DateFormat=P","Fill=—","Direction=H","UseDPDF=Y")</f>
        <v>#NAME?</v>
      </c>
      <c r="G233" t="e">
        <f ca="1">_xll.BDH($C$228,"RETURN_ON_ASSET","FY 2015","FY 2015","Currency=INR","Period=FY","BEST_FPERIOD_OVERRIDE=FY","FILING_STATUS=OR","EQY_CONSOLIDATED=Y","FA_ADJUSTED=GAAP","Sort=A","Dates=H","DateFormat=P","Fill=—","Direction=H","UseDPDF=Y")</f>
        <v>#NAME?</v>
      </c>
      <c r="H233" t="e">
        <f ca="1">_xll.BDH($C$228,"RETURN_ON_CAP","FY 2015","FY 2015","Currency=INR","Period=FY","BEST_FPERIOD_OVERRIDE=FY","FILING_STATUS=OR","EQY_CONSOLIDATED=Y","FA_ADJUSTED=GAAP","Sort=A","Dates=H","DateFormat=P","Fill=—","Direction=H","UseDPDF=Y")</f>
        <v>#NAME?</v>
      </c>
      <c r="I233" t="e">
        <f ca="1">_xll.BDH($C$228,"RETURN_ON_INV_CAPITAL","FY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233" t="e">
        <f ca="1">_xll.BDH($C$228,"EBITDA_TO_REVENUE","FY 2015","FY 2015","Currency=INR","Period=FY","BEST_FPERIOD_OVERRIDE=FY","FILING_STATUS=OR","EQY_CONSOLIDATED=Y","FA_ADJUSTED=GAAP","Sort=A","Dates=H","DateFormat=P","Fill=—","Direction=H","UseDPDF=Y")</f>
        <v>#NAME?</v>
      </c>
      <c r="K233" t="e">
        <f ca="1">_xll.BDH($C$228,"OPER_MARGIN","FY 2015","FY 2015","Currency=INR","Period=FY","BEST_FPERIOD_OVERRIDE=FY","FILING_STATUS=OR","EQY_CONSOLIDATED=Y","FA_ADJUSTED=GAAP","Sort=A","Dates=H","DateFormat=P","Fill=—","Direction=H","UseDPDF=Y")</f>
        <v>#NAME?</v>
      </c>
      <c r="L233" t="e">
        <f ca="1">_xll.BDH($C$228,"INCREMENTAL_OPERATING_MARGIN","FY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233" t="e">
        <f ca="1">_xll.BDH($C$228,"PRETAX_INC_TO_NET_SALES","FY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233" t="e">
        <f ca="1">_xll.BDH($C$228,"INC_BEF_XO_ITEMS_TO_NET_SALES","FY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233" t="e">
        <f ca="1">_xll.BDH($C$228,"PROF_MARGIN","FY 2015","FY 2015","Currency=INR","Period=FY","BEST_FPERIOD_OVERRIDE=FY","FILING_STATUS=OR","EQY_CONSOLIDATED=Y","FA_ADJUSTED=GAAP","Sort=A","Dates=H","DateFormat=P","Fill=—","Direction=H","UseDPDF=Y")</f>
        <v>#NAME?</v>
      </c>
      <c r="P233" t="e">
        <f ca="1">_xll.BDH($C$228,"NET_INCOME_TO_COMMON_MARGIN","FY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233" t="e">
        <f ca="1">_xll.BDH($C$228,"EFF_TAX_RATE","FY 2015","FY 2015","Currency=INR","Period=FY","BEST_FPERIOD_OVERRIDE=FY","FILING_STATUS=OR","EQY_CONSOLIDATED=Y","FA_ADJUSTED=GAAP","Sort=A","Dates=H","DateFormat=P","Fill=—","Direction=H","UseDPDF=Y")</f>
        <v>#NAME?</v>
      </c>
      <c r="R233" t="e">
        <f ca="1">_xll.BDH($C$228,"DVD_PAYOUT_RATIO","FY 2015","FY 2015","Currency=INR","Period=FY","BEST_FPERIOD_OVERRIDE=FY","FILING_STATUS=OR","EQY_CONSOLIDATED=Y","FA_ADJUSTED=GAAP","Sort=A","Dates=H","DateFormat=P","Fill=—","Direction=H","UseDPDF=Y")</f>
        <v>#NAME?</v>
      </c>
      <c r="S233" t="e">
        <f ca="1">_xll.BDH($C$228,"SUSTAIN_GROWTH_RT","FY 2015","FY 2015","Currency=INR","Period=FY","BEST_FPERIOD_OVERRIDE=FY","FILING_STATUS=OR","EQY_CONSOLIDATED=Y","FA_ADJUSTED=GAAP","Sort=A","Dates=H","DateFormat=P","Fill=—","Direction=H","UseDPDF=Y")</f>
        <v>#NAME?</v>
      </c>
      <c r="T233" s="2" t="e">
        <f ca="1">_xll.BDH($C$228,"SALES_GROWTH","FY 2015","FY 2015","Currency=INR","Period=FY","BEST_FPERIOD_OVERRIDE=FY","FILING_STATUS=OR","EQY_CONSOLIDATED=Y","FA_ADJUSTED=GAAP","Sort=A","Dates=H","DateFormat=P","Fill=—","Direction=H","UseDPDF=Y")</f>
        <v>#NAME?</v>
      </c>
      <c r="U233" s="2" t="e">
        <f ca="1">_xll.BDH($C$228,"EBITDA_GROWTH","FY 2015","FY 2015","Currency=INR","Period=FY","BEST_FPERIOD_OVERRIDE=FY","FILING_STATUS=OR","EQY_CONSOLIDATED=Y","FA_ADJUSTED=GAAP","Sort=A","Dates=H","DateFormat=P","Fill=—","Direction=H","UseDPDF=Y")</f>
        <v>#NAME?</v>
      </c>
      <c r="V233" s="2" t="e">
        <f ca="1">_xll.BDH($C$228,"OPER_INC_GROWTH","FY 2015","FY 2015","Currency=INR","Period=FY","BEST_FPERIOD_OVERRIDE=FY","FILING_STATUS=OR","EQY_CONSOLIDATED=Y","FA_ADJUSTED=GAAP","Sort=A","Dates=H","DateFormat=P","Fill=—","Direction=H","UseDPDF=Y")</f>
        <v>#NAME?</v>
      </c>
      <c r="W233" s="2" t="e">
        <f ca="1">_xll.BDH($C$228,"EARN_FOR_COM_GROWTH","FY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233" s="2" t="e">
        <f ca="1">_xll.BDH($C$228,"DILUTED_EPS_AFT_XO_ITEMS_GROWTH","FY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233" s="2" t="e">
        <f ca="1">_xll.BDH($C$228,"DIVIDEND_PER_SHARE_1_YEAR_GROWTH","FY 2015","FY 2015","Currency=INR","Period=FY","BEST_FPERIOD_OVERRIDE=FY","FILING_STATUS=OR","EQY_CONSOLIDATED=Y","Sort=A","Dates=H","DateFormat=P","Fill=—","Direction=H","UseDPDF=Y")</f>
        <v>#NAME?</v>
      </c>
      <c r="Z233" s="2" t="e">
        <f ca="1">_xll.BDH($C$228,"ACCOUNTS_RECEIVABLE_GROWTH","FY 2015","FY 2015","Currency=INR","Period=FY","BEST_FPERIOD_OVERRIDE=FY","FILING_STATUS=OR","EQY_CONSOLIDATED=Y","Sort=A","Dates=H","DateFormat=P","Fill=—","Direction=H","UseDPDF=Y")</f>
        <v>#NAME?</v>
      </c>
      <c r="AA233" s="2" t="e">
        <f ca="1">_xll.BDH($C$228,"INVENTORY_GROWTH","FY 2015","FY 2015","Currency=INR","Period=FY","BEST_FPERIOD_OVERRIDE=FY","FILING_STATUS=OR","EQY_CONSOLIDATED=Y","Sort=A","Dates=H","DateFormat=P","Fill=—","Direction=H","UseDPDF=Y")</f>
        <v>#NAME?</v>
      </c>
      <c r="AB233" s="2" t="e">
        <f ca="1">_xll.BDH($C$228,"NET_FIXED_ASSETS_1_YEAR_GROWTH","FY 2015","FY 2015","Currency=INR","Period=FY","BEST_FPERIOD_OVERRIDE=FY","FILING_STATUS=OR","EQY_CONSOLIDATED=Y","Sort=A","Dates=H","DateFormat=P","Fill=—","Direction=H","UseDPDF=Y")</f>
        <v>#NAME?</v>
      </c>
      <c r="AC233" s="2" t="e">
        <f ca="1">_xll.BDH($C$228,"ASSET_GROWTH","FY 2015","FY 2015","Currency=INR","Period=FY","BEST_FPERIOD_OVERRIDE=FY","FILING_STATUS=OR","EQY_CONSOLIDATED=Y","Sort=A","Dates=H","DateFormat=P","Fill=—","Direction=H","UseDPDF=Y")</f>
        <v>#NAME?</v>
      </c>
      <c r="AD233" s="2" t="e">
        <f ca="1">_xll.BDH($C$228,"MODIFIED_WORK_CAP_GROWTH","FY 2015","FY 2015","Currency=INR","Period=FY","BEST_FPERIOD_OVERRIDE=FY","FILING_STATUS=OR","EQY_CONSOLIDATED=Y","Sort=A","Dates=H","DateFormat=P","Fill=—","Direction=H","UseDPDF=Y")</f>
        <v>#NAME?</v>
      </c>
      <c r="AE233" s="2" t="e">
        <f ca="1">_xll.BDH($C$228,"WORK_CAP_GROWTH","FY 2015","FY 2015","Currency=INR","Period=FY","BEST_FPERIOD_OVERRIDE=FY","FILING_STATUS=OR","EQY_CONSOLIDATED=Y","Sort=A","Dates=H","DateFormat=P","Fill=—","Direction=H","UseDPDF=Y")</f>
        <v>#NAME?</v>
      </c>
      <c r="AF233" s="2" t="e">
        <f ca="1">_xll.BDH($C$228,"ACCOUNTS_PAYABLE_GROWTH_1YR","FY 2015","FY 2015","Currency=INR","Period=FY","BEST_FPERIOD_OVERRIDE=FY","FILING_STATUS=OR","EQY_CONSOLIDATED=Y","Sort=A","Dates=H","DateFormat=P","Fill=—","Direction=H","UseDPDF=Y")</f>
        <v>#NAME?</v>
      </c>
      <c r="AG233" s="2" t="e">
        <f ca="1">_xll.BDH($C$228,"SHORT_TERM_DEBT_1_YEAR_GROWTH","FY 2015","FY 2015","Currency=INR","Period=FY","BEST_FPERIOD_OVERRIDE=FY","FILING_STATUS=OR","EQY_CONSOLIDATED=Y","Sort=A","Dates=H","DateFormat=P","Fill=—","Direction=H","UseDPDF=Y")</f>
        <v>#NAME?</v>
      </c>
      <c r="AH233" s="2" t="e">
        <f ca="1">_xll.BDH($C$228,"TOTAL_DEBT_1_YEAR_GROWTH","FY 2015","FY 2015","Currency=INR","Period=FY","BEST_FPERIOD_OVERRIDE=FY","FILING_STATUS=OR","EQY_CONSOLIDATED=Y","Sort=A","Dates=H","DateFormat=P","Fill=—","Direction=H","UseDPDF=Y")</f>
        <v>#NAME?</v>
      </c>
      <c r="AI233" s="2" t="e">
        <f ca="1">_xll.BDH($C$228,"TOTAL_EQUITY_1_YEAR_GROWTH","FY 2015","FY 2015","Currency=INR","Period=FY","BEST_FPERIOD_OVERRIDE=FY","FILING_STATUS=OR","EQY_CONSOLIDATED=Y","Sort=A","Dates=H","DateFormat=P","Fill=—","Direction=H","UseDPDF=Y")</f>
        <v>#NAME?</v>
      </c>
      <c r="AJ233" s="2" t="e">
        <f ca="1">_xll.BDH($C$228,"GROWTH_IN_CAP","FY 2015","FY 2015","Currency=INR","Period=FY","BEST_FPERIOD_OVERRIDE=FY","FILING_STATUS=OR","EQY_CONSOLIDATED=Y","Sort=A","Dates=H","DateFormat=P","Fill=—","Direction=H","UseDPDF=Y")</f>
        <v>#NAME?</v>
      </c>
      <c r="AK233" s="2" t="e">
        <f ca="1">_xll.BDH($C$228,"BVPS_GROWTH","FY 2015","FY 2015","Currency=INR","Period=FY","BEST_FPERIOD_OVERRIDE=FY","FILING_STATUS=OR","EQY_CONSOLIDATED=Y","Sort=A","Dates=H","DateFormat=P","Fill=—","Direction=H","UseDPDF=Y")</f>
        <v>#NAME?</v>
      </c>
      <c r="AL233" s="2" t="e">
        <f ca="1">_xll.BDH($C$228,"CASH_FLOW_GROWTH","FY 2015","FY 2015","Currency=INR","Period=FY","BEST_FPERIOD_OVERRIDE=FY","FILING_STATUS=OR","EQY_CONSOLIDATED=Y","Sort=A","Dates=H","DateFormat=P","Fill=—","Direction=H","UseDPDF=Y")</f>
        <v>#NAME?</v>
      </c>
      <c r="AM233" s="2" t="e">
        <f ca="1">_xll.BDH($C$228,"GEO_GROW_NET_SALES","FY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233" s="2" t="e">
        <f ca="1">_xll.BDH($C$228,"GEO_GROW_EBITDA","FY 2015","FY 2015","Currency=INR","Period=FY","BEST_FPERIOD_OVERRIDE=FY","FILING_STATUS=OR","EQY_CONSOLIDATED=Y","FA_ADJUSTED=GAAP","Sort=A","Dates=H","DateFormat=P","Fill=—","Direction=H","UseDPDF=Y")</f>
        <v>#NAME?</v>
      </c>
      <c r="AO233" s="2" t="e">
        <f ca="1">_xll.BDH($C$228,"GEO_GROW_OPER_INC","FY 2015","FY 2015","Currency=INR","Period=FY","BEST_FPERIOD_OVERRIDE=FY","FILING_STATUS=OR","EQY_CONSOLIDATED=Y","FA_ADJUSTED=GAAP","Sort=A","Dates=H","DateFormat=P","Fill=—","Direction=H","UseDPDF=Y")</f>
        <v>#NAME?</v>
      </c>
      <c r="AP233" s="2" t="e">
        <f ca="1">_xll.BDH($C$228,"NET_INCOME_TO_COMMON_5_YR_GROWTH","FY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233" s="2" t="e">
        <f ca="1">_xll.BDH($C$228,"5Y_GEO_GROWTH_DILUTED_EPS","FY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233" s="2" t="e">
        <f ca="1">_xll.BDH($C$228,"GEO_GROW_DVD_PER_SH","FY 2015","FY 2015","Currency=INR","Period=FY","BEST_FPERIOD_OVERRIDE=FY","FILING_STATUS=OR","EQY_CONSOLIDATED=Y","Sort=A","Dates=H","DateFormat=P","Fill=—","Direction=H","UseDPDF=Y")</f>
        <v>#NAME?</v>
      </c>
      <c r="AS233" s="2" t="e">
        <f ca="1">_xll.BDH($C$228,"ACCOUNTS_RECEIVABLE_5_YR_GROWTH","FY 2015","FY 2015","Currency=INR","Period=FY","BEST_FPERIOD_OVERRIDE=FY","FILING_STATUS=OR","EQY_CONSOLIDATED=Y","Sort=A","Dates=H","DateFormat=P","Fill=—","Direction=H","UseDPDF=Y")</f>
        <v>#NAME?</v>
      </c>
      <c r="AT233" s="2" t="e">
        <f ca="1">_xll.BDH($C$228,"INVENTORY_5_YEAR_GROWTH","FY 2015","FY 2015","Currency=INR","Period=FY","BEST_FPERIOD_OVERRIDE=FY","FILING_STATUS=OR","EQY_CONSOLIDATED=Y","Sort=A","Dates=H","DateFormat=P","Fill=—","Direction=H","UseDPDF=Y")</f>
        <v>#NAME?</v>
      </c>
      <c r="AU233" s="2" t="e">
        <f ca="1">_xll.BDH($C$228,"NET_FIXED_ASSETS_5_YEAR_GROWTH","FY 2015","FY 2015","Currency=INR","Period=FY","BEST_FPERIOD_OVERRIDE=FY","FILING_STATUS=OR","EQY_CONSOLIDATED=Y","Sort=A","Dates=H","DateFormat=P","Fill=—","Direction=H","UseDPDF=Y")</f>
        <v>#NAME?</v>
      </c>
      <c r="AV233" s="2" t="e">
        <f ca="1">_xll.BDH($C$228,"GEO_GROW_TOT_ASSET","FY 2015","FY 2015","Currency=INR","Period=FY","BEST_FPERIOD_OVERRIDE=FY","FILING_STATUS=OR","EQY_CONSOLIDATED=Y","Sort=A","Dates=H","DateFormat=P","Fill=—","Direction=H","UseDPDF=Y")</f>
        <v>#NAME?</v>
      </c>
      <c r="AW233" s="2" t="e">
        <f ca="1">_xll.BDH($C$228,"MODIFIED_WORKING_CPTL_5YR_GRWTH","FY 2015","FY 2015","Currency=INR","Period=FY","BEST_FPERIOD_OVERRIDE=FY","FILING_STATUS=OR","EQY_CONSOLIDATED=Y","Sort=A","Dates=H","DateFormat=P","Fill=—","Direction=H","UseDPDF=Y")</f>
        <v>#NAME?</v>
      </c>
      <c r="AX233" s="2" t="e">
        <f ca="1">_xll.BDH($C$228,"WORKING_CAPITAL_5_YEAR_GROWTH","FY 2015","FY 2015","Currency=INR","Period=FY","BEST_FPERIOD_OVERRIDE=FY","FILING_STATUS=OR","EQY_CONSOLIDATED=Y","Sort=A","Dates=H","DateFormat=P","Fill=—","Direction=H","UseDPDF=Y")</f>
        <v>#NAME?</v>
      </c>
      <c r="AY233" s="2" t="e">
        <f ca="1">_xll.BDH($C$228,"ACCOUNTS_PAYABLE_5_YEAR_GROWTH","FY 2015","FY 2015","Currency=INR","Period=FY","BEST_FPERIOD_OVERRIDE=FY","FILING_STATUS=OR","EQY_CONSOLIDATED=Y","Sort=A","Dates=H","DateFormat=P","Fill=—","Direction=H","UseDPDF=Y")</f>
        <v>#NAME?</v>
      </c>
      <c r="AZ233" s="2" t="e">
        <f ca="1">_xll.BDH($C$228,"SHORT_TERM_DEBT_5_YEAR_GROWTH","FY 2015","FY 2015","Currency=INR","Period=FY","BEST_FPERIOD_OVERRIDE=FY","FILING_STATUS=OR","EQY_CONSOLIDATED=Y","Sort=A","Dates=H","DateFormat=P","Fill=—","Direction=H","UseDPDF=Y")</f>
        <v>#NAME?</v>
      </c>
      <c r="BA233" s="2" t="e">
        <f ca="1">_xll.BDH($C$228,"TOTAL_DEBT_5_YEAR_GROWTH","FY 2015","FY 2015","Currency=INR","Period=FY","BEST_FPERIOD_OVERRIDE=FY","FILING_STATUS=OR","EQY_CONSOLIDATED=Y","Sort=A","Dates=H","DateFormat=P","Fill=—","Direction=H","UseDPDF=Y")</f>
        <v>#NAME?</v>
      </c>
      <c r="BB233" s="2" t="e">
        <f ca="1">_xll.BDH($C$228,"GEO_GROW_TOT_SHRHLDR_EQY","FY 2015","FY 2015","Currency=INR","Period=FY","BEST_FPERIOD_OVERRIDE=FY","FILING_STATUS=OR","EQY_CONSOLIDATED=Y","Sort=A","Dates=H","DateFormat=P","Fill=—","Direction=H","UseDPDF=Y")</f>
        <v>#NAME?</v>
      </c>
      <c r="BC233" s="2" t="e">
        <f ca="1">_xll.BDH($C$228,"TOTAL_CAPITAL_5_YEAR_GROWTH","FY 2015","FY 2015","Currency=INR","Period=FY","BEST_FPERIOD_OVERRIDE=FY","FILING_STATUS=OR","EQY_CONSOLIDATED=Y","Sort=A","Dates=H","DateFormat=P","Fill=—","Direction=H","UseDPDF=Y")</f>
        <v>#NAME?</v>
      </c>
      <c r="BD233" s="2" t="e">
        <f ca="1">_xll.BDH($C$228,"GEO_GROW_BOOK_VAL","FY 2015","FY 2015","Currency=INR","Period=FY","BEST_FPERIOD_OVERRIDE=FY","FILING_STATUS=OR","EQY_CONSOLIDATED=Y","Sort=A","Dates=H","DateFormat=P","Fill=—","Direction=H","UseDPDF=Y")</f>
        <v>#NAME?</v>
      </c>
      <c r="BE233" s="2" t="e">
        <f ca="1">_xll.BDH($C$228,"GEO_GROW_CASH_OPER_ACT","FY 2015","FY 2015","Currency=INR","Period=FY","BEST_FPERIOD_OVERRIDE=FY","FILING_STATUS=OR","EQY_CONSOLIDATED=Y","Sort=A","Dates=H","DateFormat=P","Fill=—","Direction=H","UseDPDF=Y")</f>
        <v>#NAME?</v>
      </c>
      <c r="BF233" s="2" t="e">
        <f ca="1">_xll.BDH($C$228,"REVENUE_SEQUENTIAL_GROWTH","FY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233" s="2" t="e">
        <f ca="1">_xll.BDH($C$228,"EBITDA_SEQUENTIAL_GROWTH","FY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233" s="2" t="e">
        <f ca="1">_xll.BDH($C$228,"OPERATING_INCOME_SEQ_GROWTH","FY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233" s="2" t="e">
        <f ca="1">_xll.BDH($C$228,"NET_INCOME_TO_COMMON_SEQ_GROWTH","FY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233" s="2" t="e">
        <f ca="1">_xll.BDH($C$228,"EPS_DILUTED_SEQUENTIAL_GROWTH","FY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233" s="2" t="e">
        <f ca="1">_xll.BDH($C$228,"DPS_SEQUENTIAL_GROWTH","FY 2015","FY 2015","Currency=INR","Period=FY","BEST_FPERIOD_OVERRIDE=FY","FILING_STATUS=OR","EQY_CONSOLIDATED=Y","Sort=A","Dates=H","DateFormat=P","Fill=—","Direction=H","UseDPDF=Y")</f>
        <v>#NAME?</v>
      </c>
      <c r="BL233" s="2" t="e">
        <f ca="1">_xll.BDH($C$228,"ACCOUNTS_RECEIVABLE_SEQ_GROWTH","FY 2015","FY 2015","Currency=INR","Period=FY","BEST_FPERIOD_OVERRIDE=FY","FILING_STATUS=OR","EQY_CONSOLIDATED=Y","Sort=A","Dates=H","DateFormat=P","Fill=—","Direction=H","UseDPDF=Y")</f>
        <v>#NAME?</v>
      </c>
      <c r="BM233" s="2" t="e">
        <f ca="1">_xll.BDH($C$228,"INVENTORY_SEQUENTIAL_GROWTH","FY 2015","FY 2015","Currency=INR","Period=FY","BEST_FPERIOD_OVERRIDE=FY","FILING_STATUS=OR","EQY_CONSOLIDATED=Y","Sort=A","Dates=H","DateFormat=P","Fill=—","Direction=H","UseDPDF=Y")</f>
        <v>#NAME?</v>
      </c>
      <c r="BN233" s="2" t="e">
        <f ca="1">_xll.BDH($C$228,"FIXED_ASSETS_SEQUENTIAL_GROWTH","FY 2015","FY 2015","Currency=INR","Period=FY","BEST_FPERIOD_OVERRIDE=FY","FILING_STATUS=OR","EQY_CONSOLIDATED=Y","Sort=A","Dates=H","DateFormat=P","Fill=—","Direction=H","UseDPDF=Y")</f>
        <v>#NAME?</v>
      </c>
      <c r="BO233" s="2" t="e">
        <f ca="1">_xll.BDH($C$228,"TOTAL_ASSETS_SEQUENTIAL_GROWTH","FY 2015","FY 2015","Currency=INR","Period=FY","BEST_FPERIOD_OVERRIDE=FY","FILING_STATUS=OR","EQY_CONSOLIDATED=Y","Sort=A","Dates=H","DateFormat=P","Fill=—","Direction=H","UseDPDF=Y")</f>
        <v>#NAME?</v>
      </c>
      <c r="BP233" s="2" t="e">
        <f ca="1">_xll.BDH($C$228,"MODIFIED_WORKING_CPTL_SEQ_GRWTH","FY 2015","FY 2015","Currency=INR","Period=FY","BEST_FPERIOD_OVERRIDE=FY","FILING_STATUS=OR","EQY_CONSOLIDATED=Y","Sort=A","Dates=H","DateFormat=P","Fill=—","Direction=H","UseDPDF=Y")</f>
        <v>#NAME?</v>
      </c>
      <c r="BQ233" s="2" t="e">
        <f ca="1">_xll.BDH($C$228,"WORKING_CAPITAL_SEQ_GROWTH","FY 2015","FY 2015","Currency=INR","Period=FY","BEST_FPERIOD_OVERRIDE=FY","FILING_STATUS=OR","EQY_CONSOLIDATED=Y","Sort=A","Dates=H","DateFormat=P","Fill=—","Direction=H","UseDPDF=Y")</f>
        <v>#NAME?</v>
      </c>
      <c r="BR233" s="2" t="e">
        <f ca="1">_xll.BDH($C$228,"ACCOUNTS_PAYABLE_SEQ_GROWTH","FY 2015","FY 2015","Currency=INR","Period=FY","BEST_FPERIOD_OVERRIDE=FY","FILING_STATUS=OR","EQY_CONSOLIDATED=Y","Sort=A","Dates=H","DateFormat=P","Fill=—","Direction=H","UseDPDF=Y")</f>
        <v>#NAME?</v>
      </c>
      <c r="BS233" s="2" t="e">
        <f ca="1">_xll.BDH($C$228,"ST_DEBT_SEQUENTIAL_GROWTH","FY 2015","FY 2015","Currency=INR","Period=FY","BEST_FPERIOD_OVERRIDE=FY","FILING_STATUS=OR","EQY_CONSOLIDATED=Y","Sort=A","Dates=H","DateFormat=P","Fill=—","Direction=H","UseDPDF=Y")</f>
        <v>#NAME?</v>
      </c>
      <c r="BT233" s="2" t="e">
        <f ca="1">_xll.BDH($C$228,"TOTAL_DEBT_SEQUENTIAL_GROWTH","FY 2015","FY 2015","Currency=INR","Period=FY","BEST_FPERIOD_OVERRIDE=FY","FILING_STATUS=OR","EQY_CONSOLIDATED=Y","Sort=A","Dates=H","DateFormat=P","Fill=—","Direction=H","UseDPDF=Y")</f>
        <v>#NAME?</v>
      </c>
      <c r="BU233" s="2" t="e">
        <f ca="1">_xll.BDH($C$228,"TOTAL_EQUITY_SEQUENTIAL_GROWTH","FY 2015","FY 2015","Currency=INR","Period=FY","BEST_FPERIOD_OVERRIDE=FY","FILING_STATUS=OR","EQY_CONSOLIDATED=Y","Sort=A","Dates=H","DateFormat=P","Fill=—","Direction=H","UseDPDF=Y")</f>
        <v>#NAME?</v>
      </c>
      <c r="BV233" s="2" t="e">
        <f ca="1">_xll.BDH($C$228,"TOTAL_CAPITAL_SEQUENTIAL_GROWTH","FY 2015","FY 2015","Currency=INR","Period=FY","BEST_FPERIOD_OVERRIDE=FY","FILING_STATUS=OR","EQY_CONSOLIDATED=Y","Sort=A","Dates=H","DateFormat=P","Fill=—","Direction=H","UseDPDF=Y")</f>
        <v>#NAME?</v>
      </c>
      <c r="BW233" s="2" t="e">
        <f ca="1">_xll.BDH($C$228,"BPS_SEQUENTIAL_GROWTH","FY 2015","FY 2015","Currency=INR","Period=FY","BEST_FPERIOD_OVERRIDE=FY","FILING_STATUS=OR","EQY_CONSOLIDATED=Y","Sort=A","Dates=H","DateFormat=P","Fill=—","Direction=H","UseDPDF=Y")</f>
        <v>#NAME?</v>
      </c>
      <c r="BX233" s="2" t="e">
        <f ca="1">_xll.BDH($C$228,"CFO_SEQUENTIAL_GROWTH","FY 2015","FY 2015","Currency=INR","Period=FY","BEST_FPERIOD_OVERRIDE=FY","FILING_STATUS=OR","EQY_CONSOLIDATED=Y","Sort=A","Dates=H","DateFormat=P","Fill=—","Direction=H","UseDPDF=Y")</f>
        <v>#NAME?</v>
      </c>
      <c r="BY233" s="3" t="e">
        <f ca="1">_xll.BDH($C$228,"SHORT_AND_LONG_TERM_DEBT","FY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233" s="3" t="e">
        <f ca="1">_xll.BDH($C$228,"BS_ST_BORROW","FY 2015","FY 2015","Currency=INR","Period=FY","BEST_FPERIOD_OVERRIDE=FY","FILING_STATUS=OR","EQY_CONSOLIDATED=Y","SCALING_FORMAT=MLN","Sort=A","Dates=H","DateFormat=P","Fill=—","Direction=H","UseDPDF=Y")</f>
        <v>#NAME?</v>
      </c>
      <c r="CA233" s="3" t="e">
        <f ca="1">_xll.BDH($C$228,"BS_LT_BORROW","FY 2015","FY 2015","Currency=INR","Period=FY","BEST_FPERIOD_OVERRIDE=FY","FILING_STATUS=OR","EQY_CONSOLIDATED=Y","SCALING_FORMAT=MLN","Sort=A","Dates=H","DateFormat=P","Fill=—","Direction=H","UseDPDF=Y")</f>
        <v>#NAME?</v>
      </c>
      <c r="CB233" s="2" t="e">
        <f ca="1">_xll.BDH($C$228,"TOT_DEBT_TO_EBITDA","FY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233" s="2" t="e">
        <f ca="1">_xll.BDH($C$228,"NET_DEBT_TO_EBITDA","FY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233" s="2" t="e">
        <f ca="1">_xll.BDH($C$228,"TOTAL_DEBT_TO_EBIT","FY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233" s="2" t="e">
        <f ca="1">_xll.BDH($C$228,"NET_DEBT_TO_EBIT","FY 2015","FY 2015","Currency=INR","Period=FY","BEST_FPERIOD_OVERRIDE=FY","FILING_STATUS=OR","EQY_CONSOLIDATED=Y","FA_ADJUSTED=GAAP","Sort=A","Dates=H","DateFormat=P","Fill=—","Direction=H","UseDPDF=Y")</f>
        <v>#NAME?</v>
      </c>
      <c r="CF233" s="2" t="e">
        <f ca="1">_xll.BDH($C$228,"EBITDA_TO_INTEREST_EXPN","FY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233" s="2" t="e">
        <f ca="1">_xll.BDH($C$228,"COM_EQY_TO_TOT_ASSET","FY 2015","FY 2015","Currency=INR","Period=FY","BEST_FPERIOD_OVERRIDE=FY","FILING_STATUS=OR","EQY_CONSOLIDATED=Y","Sort=A","Dates=H","DateFormat=P","Fill=—","Direction=H","UseDPDF=Y")</f>
        <v>#NAME?</v>
      </c>
      <c r="CH233" s="2" t="e">
        <f ca="1">_xll.BDH($C$228,"LT_DEBT_TO_TOT_EQY","FY 2015","FY 2015","Currency=INR","Period=FY","BEST_FPERIOD_OVERRIDE=FY","FILING_STATUS=OR","EQY_CONSOLIDATED=Y","Sort=A","Dates=H","DateFormat=P","Fill=—","Direction=H","UseDPDF=Y")</f>
        <v>#NAME?</v>
      </c>
      <c r="CI233" s="2" t="e">
        <f ca="1">_xll.BDH($C$228,"LT_DEBT_TO_TOT_CAP","FY 2015","FY 2015","Currency=INR","Period=FY","BEST_FPERIOD_OVERRIDE=FY","FILING_STATUS=OR","EQY_CONSOLIDATED=Y","Sort=A","Dates=H","DateFormat=P","Fill=—","Direction=H","UseDPDF=Y")</f>
        <v>#NAME?</v>
      </c>
      <c r="CJ233" s="2" t="e">
        <f ca="1">_xll.BDH($C$228,"LT_DEBT_TO_TOT_ASSET","FY 2015","FY 2015","Currency=INR","Period=FY","BEST_FPERIOD_OVERRIDE=FY","FILING_STATUS=OR","EQY_CONSOLIDATED=Y","Sort=A","Dates=H","DateFormat=P","Fill=—","Direction=H","UseDPDF=Y")</f>
        <v>#NAME?</v>
      </c>
      <c r="CK233" s="2" t="e">
        <f ca="1">_xll.BDH($C$228,"TOT_DEBT_TO_TOT_EQY","FY 2015","FY 2015","Currency=INR","Period=FY","BEST_FPERIOD_OVERRIDE=FY","FILING_STATUS=OR","EQY_CONSOLIDATED=Y","Sort=A","Dates=H","DateFormat=P","Fill=—","Direction=H","UseDPDF=Y")</f>
        <v>#NAME?</v>
      </c>
      <c r="CL233" s="2" t="e">
        <f ca="1">_xll.BDH($C$228,"TOT_DEBT_TO_TOT_CAP","FY 2015","FY 2015","Currency=INR","Period=FY","BEST_FPERIOD_OVERRIDE=FY","FILING_STATUS=OR","EQY_CONSOLIDATED=Y","Sort=A","Dates=H","DateFormat=P","Fill=—","Direction=H","UseDPDF=Y")</f>
        <v>#NAME?</v>
      </c>
      <c r="CM233" s="2" t="e">
        <f ca="1">_xll.BDH($C$228,"TOT_DEBT_TO_TOT_ASSET","FY 2015","FY 2015","Currency=INR","Period=FY","BEST_FPERIOD_OVERRIDE=FY","FILING_STATUS=OR","EQY_CONSOLIDATED=Y","Sort=A","Dates=H","DateFormat=P","Fill=—","Direction=H","UseDPDF=Y")</f>
        <v>#NAME?</v>
      </c>
      <c r="CN233" s="2" t="e">
        <f ca="1">_xll.BDH($C$228,"NET_DEBT_TO_SHRHLDR_EQTY","FY 2015","FY 2015","Currency=INR","Period=FY","BEST_FPERIOD_OVERRIDE=FY","FILING_STATUS=OR","EQY_CONSOLIDATED=Y","Sort=A","Dates=H","DateFormat=P","Fill=—","Direction=H","UseDPDF=Y")</f>
        <v>#NAME?</v>
      </c>
      <c r="CO233" s="2" t="e">
        <f ca="1">_xll.BDH($C$228,"NET_DEBT_%_CAPITAL","FY 2015","FY 2015","Currency=INR","Period=FY","BEST_FPERIOD_OVERRIDE=FY","FILING_STATUS=OR","EQY_CONSOLIDATED=Y","Sort=A","Dates=H","DateFormat=P","Fill=—","Direction=H","UseDPDF=Y")</f>
        <v>#NAME?</v>
      </c>
      <c r="CP233" s="3" t="e">
        <f ca="1">_xll.BDH($C$228,"EBITDA","FY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233" s="3" t="e">
        <f ca="1">_xll.BDH($C$228,"EBITDA_AFTER_CAPEX","FY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233" s="3" t="e">
        <f ca="1">_xll.BDH($C$228,"IS_OPER_INC","FY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233" s="2" t="e">
        <f ca="1">_xll.BDH($C$228,"CASH_RATIO","FY 2015","FY 2015","Currency=INR","Period=FY","BEST_FPERIOD_OVERRIDE=FY","FILING_STATUS=OR","EQY_CONSOLIDATED=Y","Sort=A","Dates=H","DateFormat=P","Fill=—","Direction=H","UseDPDF=Y")</f>
        <v>#NAME?</v>
      </c>
      <c r="CT233" s="2" t="e">
        <f ca="1">_xll.BDH($C$228,"CUR_RATIO","FY 2015","FY 2015","Currency=INR","Period=FY","BEST_FPERIOD_OVERRIDE=FY","FILING_STATUS=OR","EQY_CONSOLIDATED=Y","Sort=A","Dates=H","DateFormat=P","Fill=—","Direction=H","UseDPDF=Y")</f>
        <v>#NAME?</v>
      </c>
      <c r="CU233" s="2" t="e">
        <f ca="1">_xll.BDH($C$228,"QUICK_RATIO","FY 2015","FY 2015","Currency=INR","Period=FY","BEST_FPERIOD_OVERRIDE=FY","FILING_STATUS=OR","EQY_CONSOLIDATED=Y","Sort=A","Dates=H","DateFormat=P","Fill=—","Direction=H","UseDPDF=Y")</f>
        <v>#NAME?</v>
      </c>
      <c r="CV233" s="2" t="e">
        <f ca="1">_xll.BDH($C$228,"ALTMAN_Z_SCORE","FY 2015","FY 2015","Currency=INR","Period=FY","BEST_FPERIOD_OVERRIDE=FY","FILING_STATUS=OR","EQY_CONSOLIDATED=Y","Sort=A","Dates=H","DateFormat=P","Fill=—","Direction=H","UseDPDF=Y")</f>
        <v>#NAME?</v>
      </c>
      <c r="CW233" s="4" t="e">
        <f ca="1">_xll.BDH($C$228,"ACCT_RCV_TURN","FY 2015","FY 2015","Currency=INR","Period=FY","BEST_FPERIOD_OVERRIDE=FY","FILING_STATUS=OR","EQY_CONSOLIDATED=Y","FA_ADJUSTED=GAAP","Sort=A","Dates=H","DateFormat=P","Fill=—","Direction=H","UseDPDF=Y")</f>
        <v>#NAME?</v>
      </c>
      <c r="CX233" s="2" t="e">
        <f ca="1">_xll.BDH($C$228,"ACCT_RCV_DAYS","FY 2015","FY 2015","Currency=INR","Period=FY","BEST_FPERIOD_OVERRIDE=FY","FILING_STATUS=OR","EQY_CONSOLIDATED=Y","FA_ADJUSTED=GAAP","Sort=A","Dates=H","DateFormat=P","Fill=—","Direction=H","UseDPDF=Y")</f>
        <v>#NAME?</v>
      </c>
      <c r="CY233" s="4" t="e">
        <f ca="1">_xll.BDH($C$228,"INVENT_TURN","FY 2015","FY 2015","Currency=INR","Period=FY","BEST_FPERIOD_OVERRIDE=FY","FILING_STATUS=OR","EQY_CONSOLIDATED=Y","FA_ADJUSTED=GAAP","Sort=A","Dates=H","DateFormat=P","Fill=—","Direction=H","UseDPDF=Y")</f>
        <v>#NAME?</v>
      </c>
      <c r="CZ233" s="2" t="e">
        <f ca="1">_xll.BDH($C$228,"INVENT_DAYS","FY 2015","FY 2015","Currency=INR","Period=FY","BEST_FPERIOD_OVERRIDE=FY","FILING_STATUS=OR","EQY_CONSOLIDATED=Y","FA_ADJUSTED=GAAP","Sort=A","Dates=H","DateFormat=P","Fill=—","Direction=H","UseDPDF=Y")</f>
        <v>#NAME?</v>
      </c>
      <c r="DA233" s="4" t="e">
        <f ca="1">_xll.BDH($C$228,"ACCOUNTS_PAYABLE_TURNOVER","FY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233" s="2" t="e">
        <f ca="1">_xll.BDH($C$228,"ACCOUNTS_PAYABLE_TURNOVER_DAYS","FY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233" s="4" t="e">
        <f ca="1">_xll.BDH($C$228,"CASH_CONVERSION_CYCLE","FY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233" s="4" t="e">
        <f ca="1">_xll.BDH($C$228,"INV_TO_CASH_DAYS","FY 2015","FY 2015","Currency=INR","Period=FY","BEST_FPERIOD_OVERRIDE=FY","FILING_STATUS=OR","EQY_CONSOLIDATED=Y","FA_ADJUSTED=GAAP","Sort=A","Dates=H","DateFormat=P","Fill=—","Direction=H","UseDPDF=Y")</f>
        <v>#NAME?</v>
      </c>
      <c r="DE233" s="5" t="e">
        <f ca="1">_xll.BDH($C$228,"BS_INVENTORIES","FY 2015","FY 2015","Currency=INR","Period=FY","BEST_FPERIOD_OVERRIDE=FY","FILING_STATUS=OR","EQY_CONSOLIDATED=Y","SCALING_FORMAT=MLN","Sort=A","Dates=H","DateFormat=P","Fill=—","Direction=H","UseDPDF=Y")</f>
        <v>#NAME?</v>
      </c>
      <c r="DF233" s="3" t="e">
        <f ca="1">_xll.BDH($C$228,"INVTRY_RAW_MATERIALS","FY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233" s="3" t="e">
        <f ca="1">_xll.BDH($C$228,"INVTRY_IN_PROGRESS","FY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233" s="3" t="e">
        <f ca="1">_xll.BDH($C$228,"INVTRY_FINISHED_GOODS","FY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233" s="3" t="e">
        <f ca="1">_xll.BDH($C$228,"BS_OTHER_INV","FY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234" spans="1:113" x14ac:dyDescent="0.3">
      <c r="A234" s="6"/>
      <c r="B234" s="6"/>
      <c r="C234" s="6"/>
      <c r="D234" s="6"/>
      <c r="E234" t="s">
        <v>78</v>
      </c>
      <c r="F234" t="e">
        <f ca="1">_xll.BDH($C$228,"RETURN_COM_EQY","FQ1 2015","FQ1 2015","Currency=INR","Period=FQ","BEST_FPERIOD_OVERRIDE=FQ","FILING_STATUS=OR","EQY_CONSOLIDATED=Y","FA_ADJUSTED=GAAP","Sort=A","Dates=H","DateFormat=P","Fill=—","Direction=H","UseDPDF=Y")</f>
        <v>#NAME?</v>
      </c>
      <c r="G234" t="e">
        <f ca="1">_xll.BDH($C$228,"RETURN_ON_ASSET","FQ1 2015","FQ1 2015","Currency=INR","Period=FQ","BEST_FPERIOD_OVERRIDE=FQ","FILING_STATUS=OR","EQY_CONSOLIDATED=Y","FA_ADJUSTED=GAAP","Sort=A","Dates=H","DateFormat=P","Fill=—","Direction=H","UseDPDF=Y")</f>
        <v>#NAME?</v>
      </c>
      <c r="H234" t="e">
        <f ca="1">_xll.BDH($C$228,"RETURN_ON_CAP","FQ1 2015","FQ1 2015","Currency=INR","Period=FQ","BEST_FPERIOD_OVERRIDE=FQ","FILING_STATUS=OR","EQY_CONSOLIDATED=Y","FA_ADJUSTED=GAAP","Sort=A","Dates=H","DateFormat=P","Fill=—","Direction=H","UseDPDF=Y")</f>
        <v>#NAME?</v>
      </c>
      <c r="I234" t="e">
        <f ca="1">_xll.BDH($C$228,"RETURN_ON_INV_CAPITAL","FQ1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234" t="e">
        <f ca="1">_xll.BDH($C$228,"EBITDA_TO_REVENUE","FQ1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234" t="e">
        <f ca="1">_xll.BDH($C$228,"OPER_MARGIN","FQ1 2015","FQ1 2015","Currency=INR","Period=FQ","BEST_FPERIOD_OVERRIDE=FQ","FILING_STATUS=OR","EQY_CONSOLIDATED=Y","FA_ADJUSTED=GAAP","Sort=A","Dates=H","DateFormat=P","Fill=—","Direction=H","UseDPDF=Y")</f>
        <v>#NAME?</v>
      </c>
      <c r="L234" t="e">
        <f ca="1">_xll.BDH($C$228,"INCREMENTAL_OPERATING_MARGIN","FQ1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234" t="e">
        <f ca="1">_xll.BDH($C$228,"PRETAX_INC_TO_NET_SALES","FQ1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234" t="e">
        <f ca="1">_xll.BDH($C$228,"INC_BEF_XO_ITEMS_TO_NET_SALES","FQ1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234" t="e">
        <f ca="1">_xll.BDH($C$228,"PROF_MARGIN","FQ1 2015","FQ1 2015","Currency=INR","Period=FQ","BEST_FPERIOD_OVERRIDE=FQ","FILING_STATUS=OR","EQY_CONSOLIDATED=Y","FA_ADJUSTED=GAAP","Sort=A","Dates=H","DateFormat=P","Fill=—","Direction=H","UseDPDF=Y")</f>
        <v>#NAME?</v>
      </c>
      <c r="P234" t="e">
        <f ca="1">_xll.BDH($C$228,"NET_INCOME_TO_COMMON_MARGIN","FQ1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234" t="e">
        <f ca="1">_xll.BDH($C$228,"EFF_TAX_RATE","FQ1 2015","FQ1 2015","Currency=INR","Period=FQ","BEST_FPERIOD_OVERRIDE=FQ","FILING_STATUS=OR","EQY_CONSOLIDATED=Y","FA_ADJUSTED=GAAP","Sort=A","Dates=H","DateFormat=P","Fill=—","Direction=H","UseDPDF=Y")</f>
        <v>#NAME?</v>
      </c>
      <c r="R234" t="e">
        <f ca="1">_xll.BDH($C$228,"DVD_PAYOUT_RATIO","FQ1 2015","FQ1 2015","Currency=INR","Period=FQ","BEST_FPERIOD_OVERRIDE=FQ","FILING_STATUS=OR","EQY_CONSOLIDATED=Y","FA_ADJUSTED=GAAP","Sort=A","Dates=H","DateFormat=P","Fill=—","Direction=H","UseDPDF=Y")</f>
        <v>#NAME?</v>
      </c>
      <c r="S234" t="e">
        <f ca="1">_xll.BDH($C$228,"SUSTAIN_GROWTH_RT","FQ1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234" s="2" t="e">
        <f ca="1">_xll.BDH($C$228,"SALES_GROWTH","FQ1 2015","FQ1 2015","Currency=INR","Period=FQ","BEST_FPERIOD_OVERRIDE=FQ","FILING_STATUS=OR","EQY_CONSOLIDATED=Y","FA_ADJUSTED=GAAP","Sort=A","Dates=H","DateFormat=P","Fill=—","Direction=H","UseDPDF=Y")</f>
        <v>#NAME?</v>
      </c>
      <c r="U234" s="2" t="e">
        <f ca="1">_xll.BDH($C$228,"EBITDA_GROWTH","FQ1 2015","FQ1 2015","Currency=INR","Period=FQ","BEST_FPERIOD_OVERRIDE=FQ","FILING_STATUS=OR","EQY_CONSOLIDATED=Y","FA_ADJUSTED=GAAP","Sort=A","Dates=H","DateFormat=P","Fill=—","Direction=H","UseDPDF=Y")</f>
        <v>#NAME?</v>
      </c>
      <c r="V234" s="2" t="e">
        <f ca="1">_xll.BDH($C$228,"OPER_INC_GROWTH","FQ1 2015","FQ1 2015","Currency=INR","Period=FQ","BEST_FPERIOD_OVERRIDE=FQ","FILING_STATUS=OR","EQY_CONSOLIDATED=Y","FA_ADJUSTED=GAAP","Sort=A","Dates=H","DateFormat=P","Fill=—","Direction=H","UseDPDF=Y")</f>
        <v>#NAME?</v>
      </c>
      <c r="W234" s="2" t="e">
        <f ca="1">_xll.BDH($C$228,"EARN_FOR_COM_GROWTH","FQ1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234" s="2" t="e">
        <f ca="1">_xll.BDH($C$228,"DILUTED_EPS_AFT_XO_ITEMS_GROWTH","FQ1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234" s="2" t="e">
        <f ca="1">_xll.BDH($C$228,"DIVIDEND_PER_SHARE_1_YEAR_GROWTH","FQ1 2015","FQ1 2015","Currency=INR","Period=FQ","BEST_FPERIOD_OVERRIDE=FQ","FILING_STATUS=OR","EQY_CONSOLIDATED=Y","Sort=A","Dates=H","DateFormat=P","Fill=—","Direction=H","UseDPDF=Y")</f>
        <v>#NAME?</v>
      </c>
      <c r="Z234" s="2" t="e">
        <f ca="1">_xll.BDH($C$228,"ACCOUNTS_RECEIVABLE_GROWTH","FQ1 2015","FQ1 2015","Currency=INR","Period=FQ","BEST_FPERIOD_OVERRIDE=FQ","FILING_STATUS=OR","EQY_CONSOLIDATED=Y","Sort=A","Dates=H","DateFormat=P","Fill=—","Direction=H","UseDPDF=Y")</f>
        <v>#NAME?</v>
      </c>
      <c r="AA234" s="2" t="e">
        <f ca="1">_xll.BDH($C$228,"INVENTORY_GROWTH","FQ1 2015","FQ1 2015","Currency=INR","Period=FQ","BEST_FPERIOD_OVERRIDE=FQ","FILING_STATUS=OR","EQY_CONSOLIDATED=Y","Sort=A","Dates=H","DateFormat=P","Fill=—","Direction=H","UseDPDF=Y")</f>
        <v>#NAME?</v>
      </c>
      <c r="AB234" s="2" t="e">
        <f ca="1">_xll.BDH($C$228,"NET_FIXED_ASSETS_1_YEAR_GROWTH","FQ1 2015","FQ1 2015","Currency=INR","Period=FQ","BEST_FPERIOD_OVERRIDE=FQ","FILING_STATUS=OR","EQY_CONSOLIDATED=Y","Sort=A","Dates=H","DateFormat=P","Fill=—","Direction=H","UseDPDF=Y")</f>
        <v>#NAME?</v>
      </c>
      <c r="AC234" s="2" t="e">
        <f ca="1">_xll.BDH($C$228,"ASSET_GROWTH","FQ1 2015","FQ1 2015","Currency=INR","Period=FQ","BEST_FPERIOD_OVERRIDE=FQ","FILING_STATUS=OR","EQY_CONSOLIDATED=Y","Sort=A","Dates=H","DateFormat=P","Fill=—","Direction=H","UseDPDF=Y")</f>
        <v>#NAME?</v>
      </c>
      <c r="AD234" s="2" t="e">
        <f ca="1">_xll.BDH($C$228,"MODIFIED_WORK_CAP_GROWTH","FQ1 2015","FQ1 2015","Currency=INR","Period=FQ","BEST_FPERIOD_OVERRIDE=FQ","FILING_STATUS=OR","EQY_CONSOLIDATED=Y","Sort=A","Dates=H","DateFormat=P","Fill=—","Direction=H","UseDPDF=Y")</f>
        <v>#NAME?</v>
      </c>
      <c r="AE234" s="2" t="e">
        <f ca="1">_xll.BDH($C$228,"WORK_CAP_GROWTH","FQ1 2015","FQ1 2015","Currency=INR","Period=FQ","BEST_FPERIOD_OVERRIDE=FQ","FILING_STATUS=OR","EQY_CONSOLIDATED=Y","Sort=A","Dates=H","DateFormat=P","Fill=—","Direction=H","UseDPDF=Y")</f>
        <v>#NAME?</v>
      </c>
      <c r="AF234" s="2" t="e">
        <f ca="1">_xll.BDH($C$228,"ACCOUNTS_PAYABLE_GROWTH_1YR","FQ1 2015","FQ1 2015","Currency=INR","Period=FQ","BEST_FPERIOD_OVERRIDE=FQ","FILING_STATUS=OR","EQY_CONSOLIDATED=Y","Sort=A","Dates=H","DateFormat=P","Fill=—","Direction=H","UseDPDF=Y")</f>
        <v>#NAME?</v>
      </c>
      <c r="AG234" s="2" t="e">
        <f ca="1">_xll.BDH($C$228,"SHORT_TERM_DEBT_1_YEAR_GROWTH","FQ1 2015","FQ1 2015","Currency=INR","Period=FQ","BEST_FPERIOD_OVERRIDE=FQ","FILING_STATUS=OR","EQY_CONSOLIDATED=Y","Sort=A","Dates=H","DateFormat=P","Fill=—","Direction=H","UseDPDF=Y")</f>
        <v>#NAME?</v>
      </c>
      <c r="AH234" s="2" t="e">
        <f ca="1">_xll.BDH($C$228,"TOTAL_DEBT_1_YEAR_GROWTH","FQ1 2015","FQ1 2015","Currency=INR","Period=FQ","BEST_FPERIOD_OVERRIDE=FQ","FILING_STATUS=OR","EQY_CONSOLIDATED=Y","Sort=A","Dates=H","DateFormat=P","Fill=—","Direction=H","UseDPDF=Y")</f>
        <v>#NAME?</v>
      </c>
      <c r="AI234" s="2" t="e">
        <f ca="1">_xll.BDH($C$228,"TOTAL_EQUITY_1_YEAR_GROWTH","FQ1 2015","FQ1 2015","Currency=INR","Period=FQ","BEST_FPERIOD_OVERRIDE=FQ","FILING_STATUS=OR","EQY_CONSOLIDATED=Y","Sort=A","Dates=H","DateFormat=P","Fill=—","Direction=H","UseDPDF=Y")</f>
        <v>#NAME?</v>
      </c>
      <c r="AJ234" s="2" t="e">
        <f ca="1">_xll.BDH($C$228,"GROWTH_IN_CAP","FQ1 2015","FQ1 2015","Currency=INR","Period=FQ","BEST_FPERIOD_OVERRIDE=FQ","FILING_STATUS=OR","EQY_CONSOLIDATED=Y","Sort=A","Dates=H","DateFormat=P","Fill=—","Direction=H","UseDPDF=Y")</f>
        <v>#NAME?</v>
      </c>
      <c r="AK234" s="2" t="e">
        <f ca="1">_xll.BDH($C$228,"BVPS_GROWTH","FQ1 2015","FQ1 2015","Currency=INR","Period=FQ","BEST_FPERIOD_OVERRIDE=FQ","FILING_STATUS=OR","EQY_CONSOLIDATED=Y","Sort=A","Dates=H","DateFormat=P","Fill=—","Direction=H","UseDPDF=Y")</f>
        <v>#NAME?</v>
      </c>
      <c r="AL234" s="2" t="e">
        <f ca="1">_xll.BDH($C$228,"CASH_FLOW_GROWTH","FQ1 2015","FQ1 2015","Currency=INR","Period=FQ","BEST_FPERIOD_OVERRIDE=FQ","FILING_STATUS=OR","EQY_CONSOLIDATED=Y","Sort=A","Dates=H","DateFormat=P","Fill=—","Direction=H","UseDPDF=Y")</f>
        <v>#NAME?</v>
      </c>
      <c r="AM234" s="2" t="e">
        <f ca="1">_xll.BDH($C$228,"GEO_GROW_NET_SALES","FQ1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234" s="2" t="e">
        <f ca="1">_xll.BDH($C$228,"GEO_GROW_EBITDA","FQ1 2015","FQ1 2015","Currency=INR","Period=FQ","BEST_FPERIOD_OVERRIDE=FQ","FILING_STATUS=OR","EQY_CONSOLIDATED=Y","FA_ADJUSTED=GAAP","Sort=A","Dates=H","DateFormat=P","Fill=—","Direction=H","UseDPDF=Y")</f>
        <v>#NAME?</v>
      </c>
      <c r="AO234" s="2" t="e">
        <f ca="1">_xll.BDH($C$228,"GEO_GROW_OPER_INC","FQ1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234" s="2" t="e">
        <f ca="1">_xll.BDH($C$228,"NET_INCOME_TO_COMMON_5_YR_GROWTH","FQ1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234" s="2" t="e">
        <f ca="1">_xll.BDH($C$228,"5Y_GEO_GROWTH_DILUTED_EPS","FQ1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234" s="2" t="e">
        <f ca="1">_xll.BDH($C$228,"GEO_GROW_DVD_PER_SH","FQ1 2015","FQ1 2015","Currency=INR","Period=FQ","BEST_FPERIOD_OVERRIDE=FQ","FILING_STATUS=OR","EQY_CONSOLIDATED=Y","Sort=A","Dates=H","DateFormat=P","Fill=—","Direction=H","UseDPDF=Y")</f>
        <v>#NAME?</v>
      </c>
      <c r="AS234" s="2" t="e">
        <f ca="1">_xll.BDH($C$228,"ACCOUNTS_RECEIVABLE_5_YR_GROWTH","FQ1 2015","FQ1 2015","Currency=INR","Period=FQ","BEST_FPERIOD_OVERRIDE=FQ","FILING_STATUS=OR","EQY_CONSOLIDATED=Y","Sort=A","Dates=H","DateFormat=P","Fill=—","Direction=H","UseDPDF=Y")</f>
        <v>#NAME?</v>
      </c>
      <c r="AT234" s="2" t="e">
        <f ca="1">_xll.BDH($C$228,"INVENTORY_5_YEAR_GROWTH","FQ1 2015","FQ1 2015","Currency=INR","Period=FQ","BEST_FPERIOD_OVERRIDE=FQ","FILING_STATUS=OR","EQY_CONSOLIDATED=Y","Sort=A","Dates=H","DateFormat=P","Fill=—","Direction=H","UseDPDF=Y")</f>
        <v>#NAME?</v>
      </c>
      <c r="AU234" s="2" t="e">
        <f ca="1">_xll.BDH($C$228,"NET_FIXED_ASSETS_5_YEAR_GROWTH","FQ1 2015","FQ1 2015","Currency=INR","Period=FQ","BEST_FPERIOD_OVERRIDE=FQ","FILING_STATUS=OR","EQY_CONSOLIDATED=Y","Sort=A","Dates=H","DateFormat=P","Fill=—","Direction=H","UseDPDF=Y")</f>
        <v>#NAME?</v>
      </c>
      <c r="AV234" s="2" t="e">
        <f ca="1">_xll.BDH($C$228,"GEO_GROW_TOT_ASSET","FQ1 2015","FQ1 2015","Currency=INR","Period=FQ","BEST_FPERIOD_OVERRIDE=FQ","FILING_STATUS=OR","EQY_CONSOLIDATED=Y","Sort=A","Dates=H","DateFormat=P","Fill=—","Direction=H","UseDPDF=Y")</f>
        <v>#NAME?</v>
      </c>
      <c r="AW234" s="2" t="e">
        <f ca="1">_xll.BDH($C$228,"MODIFIED_WORKING_CPTL_5YR_GRWTH","FQ1 2015","FQ1 2015","Currency=INR","Period=FQ","BEST_FPERIOD_OVERRIDE=FQ","FILING_STATUS=OR","EQY_CONSOLIDATED=Y","Sort=A","Dates=H","DateFormat=P","Fill=—","Direction=H","UseDPDF=Y")</f>
        <v>#NAME?</v>
      </c>
      <c r="AX234" s="2" t="e">
        <f ca="1">_xll.BDH($C$228,"WORKING_CAPITAL_5_YEAR_GROWTH","FQ1 2015","FQ1 2015","Currency=INR","Period=FQ","BEST_FPERIOD_OVERRIDE=FQ","FILING_STATUS=OR","EQY_CONSOLIDATED=Y","Sort=A","Dates=H","DateFormat=P","Fill=—","Direction=H","UseDPDF=Y")</f>
        <v>#NAME?</v>
      </c>
      <c r="AY234" s="2" t="e">
        <f ca="1">_xll.BDH($C$228,"ACCOUNTS_PAYABLE_5_YEAR_GROWTH","FQ1 2015","FQ1 2015","Currency=INR","Period=FQ","BEST_FPERIOD_OVERRIDE=FQ","FILING_STATUS=OR","EQY_CONSOLIDATED=Y","Sort=A","Dates=H","DateFormat=P","Fill=—","Direction=H","UseDPDF=Y")</f>
        <v>#NAME?</v>
      </c>
      <c r="AZ234" s="2" t="e">
        <f ca="1">_xll.BDH($C$228,"SHORT_TERM_DEBT_5_YEAR_GROWTH","FQ1 2015","FQ1 2015","Currency=INR","Period=FQ","BEST_FPERIOD_OVERRIDE=FQ","FILING_STATUS=OR","EQY_CONSOLIDATED=Y","Sort=A","Dates=H","DateFormat=P","Fill=—","Direction=H","UseDPDF=Y")</f>
        <v>#NAME?</v>
      </c>
      <c r="BA234" s="2" t="e">
        <f ca="1">_xll.BDH($C$228,"TOTAL_DEBT_5_YEAR_GROWTH","FQ1 2015","FQ1 2015","Currency=INR","Period=FQ","BEST_FPERIOD_OVERRIDE=FQ","FILING_STATUS=OR","EQY_CONSOLIDATED=Y","Sort=A","Dates=H","DateFormat=P","Fill=—","Direction=H","UseDPDF=Y")</f>
        <v>#NAME?</v>
      </c>
      <c r="BB234" s="2" t="e">
        <f ca="1">_xll.BDH($C$228,"GEO_GROW_TOT_SHRHLDR_EQY","FQ1 2015","FQ1 2015","Currency=INR","Period=FQ","BEST_FPERIOD_OVERRIDE=FQ","FILING_STATUS=OR","EQY_CONSOLIDATED=Y","Sort=A","Dates=H","DateFormat=P","Fill=—","Direction=H","UseDPDF=Y")</f>
        <v>#NAME?</v>
      </c>
      <c r="BC234" s="2" t="e">
        <f ca="1">_xll.BDH($C$228,"TOTAL_CAPITAL_5_YEAR_GROWTH","FQ1 2015","FQ1 2015","Currency=INR","Period=FQ","BEST_FPERIOD_OVERRIDE=FQ","FILING_STATUS=OR","EQY_CONSOLIDATED=Y","Sort=A","Dates=H","DateFormat=P","Fill=—","Direction=H","UseDPDF=Y")</f>
        <v>#NAME?</v>
      </c>
      <c r="BD234" s="2" t="e">
        <f ca="1">_xll.BDH($C$228,"GEO_GROW_BOOK_VAL","FQ1 2015","FQ1 2015","Currency=INR","Period=FQ","BEST_FPERIOD_OVERRIDE=FQ","FILING_STATUS=OR","EQY_CONSOLIDATED=Y","Sort=A","Dates=H","DateFormat=P","Fill=—","Direction=H","UseDPDF=Y")</f>
        <v>#NAME?</v>
      </c>
      <c r="BE234" s="2" t="e">
        <f ca="1">_xll.BDH($C$228,"GEO_GROW_CASH_OPER_ACT","FQ1 2015","FQ1 2015","Currency=INR","Period=FQ","BEST_FPERIOD_OVERRIDE=FQ","FILING_STATUS=OR","EQY_CONSOLIDATED=Y","Sort=A","Dates=H","DateFormat=P","Fill=—","Direction=H","UseDPDF=Y")</f>
        <v>#NAME?</v>
      </c>
      <c r="BF234" s="2" t="e">
        <f ca="1">_xll.BDH($C$228,"REVENUE_SEQUENTIAL_GROWTH","FQ1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234" s="2" t="e">
        <f ca="1">_xll.BDH($C$228,"EBITDA_SEQUENTIAL_GROWTH","FQ1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234" s="2" t="e">
        <f ca="1">_xll.BDH($C$228,"OPERATING_INCOME_SEQ_GROWTH","FQ1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234" s="2" t="e">
        <f ca="1">_xll.BDH($C$228,"NET_INCOME_TO_COMMON_SEQ_GROWTH","FQ1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234" s="2" t="e">
        <f ca="1">_xll.BDH($C$228,"EPS_DILUTED_SEQUENTIAL_GROWTH","FQ1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234" s="2" t="e">
        <f ca="1">_xll.BDH($C$228,"DPS_SEQUENTIAL_GROWTH","FQ1 2015","FQ1 2015","Currency=INR","Period=FQ","BEST_FPERIOD_OVERRIDE=FQ","FILING_STATUS=OR","EQY_CONSOLIDATED=Y","Sort=A","Dates=H","DateFormat=P","Fill=—","Direction=H","UseDPDF=Y")</f>
        <v>#NAME?</v>
      </c>
      <c r="BL234" s="2" t="e">
        <f ca="1">_xll.BDH($C$228,"ACCOUNTS_RECEIVABLE_SEQ_GROWTH","FQ1 2015","FQ1 2015","Currency=INR","Period=FQ","BEST_FPERIOD_OVERRIDE=FQ","FILING_STATUS=OR","EQY_CONSOLIDATED=Y","Sort=A","Dates=H","DateFormat=P","Fill=—","Direction=H","UseDPDF=Y")</f>
        <v>#NAME?</v>
      </c>
      <c r="BM234" s="2" t="e">
        <f ca="1">_xll.BDH($C$228,"INVENTORY_SEQUENTIAL_GROWTH","FQ1 2015","FQ1 2015","Currency=INR","Period=FQ","BEST_FPERIOD_OVERRIDE=FQ","FILING_STATUS=OR","EQY_CONSOLIDATED=Y","Sort=A","Dates=H","DateFormat=P","Fill=—","Direction=H","UseDPDF=Y")</f>
        <v>#NAME?</v>
      </c>
      <c r="BN234" s="2" t="e">
        <f ca="1">_xll.BDH($C$228,"FIXED_ASSETS_SEQUENTIAL_GROWTH","FQ1 2015","FQ1 2015","Currency=INR","Period=FQ","BEST_FPERIOD_OVERRIDE=FQ","FILING_STATUS=OR","EQY_CONSOLIDATED=Y","Sort=A","Dates=H","DateFormat=P","Fill=—","Direction=H","UseDPDF=Y")</f>
        <v>#NAME?</v>
      </c>
      <c r="BO234" s="2" t="e">
        <f ca="1">_xll.BDH($C$228,"TOTAL_ASSETS_SEQUENTIAL_GROWTH","FQ1 2015","FQ1 2015","Currency=INR","Period=FQ","BEST_FPERIOD_OVERRIDE=FQ","FILING_STATUS=OR","EQY_CONSOLIDATED=Y","Sort=A","Dates=H","DateFormat=P","Fill=—","Direction=H","UseDPDF=Y")</f>
        <v>#NAME?</v>
      </c>
      <c r="BP234" s="2" t="e">
        <f ca="1">_xll.BDH($C$228,"MODIFIED_WORKING_CPTL_SEQ_GRWTH","FQ1 2015","FQ1 2015","Currency=INR","Period=FQ","BEST_FPERIOD_OVERRIDE=FQ","FILING_STATUS=OR","EQY_CONSOLIDATED=Y","Sort=A","Dates=H","DateFormat=P","Fill=—","Direction=H","UseDPDF=Y")</f>
        <v>#NAME?</v>
      </c>
      <c r="BQ234" s="2" t="e">
        <f ca="1">_xll.BDH($C$228,"WORKING_CAPITAL_SEQ_GROWTH","FQ1 2015","FQ1 2015","Currency=INR","Period=FQ","BEST_FPERIOD_OVERRIDE=FQ","FILING_STATUS=OR","EQY_CONSOLIDATED=Y","Sort=A","Dates=H","DateFormat=P","Fill=—","Direction=H","UseDPDF=Y")</f>
        <v>#NAME?</v>
      </c>
      <c r="BR234" s="2" t="e">
        <f ca="1">_xll.BDH($C$228,"ACCOUNTS_PAYABLE_SEQ_GROWTH","FQ1 2015","FQ1 2015","Currency=INR","Period=FQ","BEST_FPERIOD_OVERRIDE=FQ","FILING_STATUS=OR","EQY_CONSOLIDATED=Y","Sort=A","Dates=H","DateFormat=P","Fill=—","Direction=H","UseDPDF=Y")</f>
        <v>#NAME?</v>
      </c>
      <c r="BS234" s="2" t="e">
        <f ca="1">_xll.BDH($C$228,"ST_DEBT_SEQUENTIAL_GROWTH","FQ1 2015","FQ1 2015","Currency=INR","Period=FQ","BEST_FPERIOD_OVERRIDE=FQ","FILING_STATUS=OR","EQY_CONSOLIDATED=Y","Sort=A","Dates=H","DateFormat=P","Fill=—","Direction=H","UseDPDF=Y")</f>
        <v>#NAME?</v>
      </c>
      <c r="BT234" s="2" t="e">
        <f ca="1">_xll.BDH($C$228,"TOTAL_DEBT_SEQUENTIAL_GROWTH","FQ1 2015","FQ1 2015","Currency=INR","Period=FQ","BEST_FPERIOD_OVERRIDE=FQ","FILING_STATUS=OR","EQY_CONSOLIDATED=Y","Sort=A","Dates=H","DateFormat=P","Fill=—","Direction=H","UseDPDF=Y")</f>
        <v>#NAME?</v>
      </c>
      <c r="BU234" s="2" t="e">
        <f ca="1">_xll.BDH($C$228,"TOTAL_EQUITY_SEQUENTIAL_GROWTH","FQ1 2015","FQ1 2015","Currency=INR","Period=FQ","BEST_FPERIOD_OVERRIDE=FQ","FILING_STATUS=OR","EQY_CONSOLIDATED=Y","Sort=A","Dates=H","DateFormat=P","Fill=—","Direction=H","UseDPDF=Y")</f>
        <v>#NAME?</v>
      </c>
      <c r="BV234" s="2" t="e">
        <f ca="1">_xll.BDH($C$228,"TOTAL_CAPITAL_SEQUENTIAL_GROWTH","FQ1 2015","FQ1 2015","Currency=INR","Period=FQ","BEST_FPERIOD_OVERRIDE=FQ","FILING_STATUS=OR","EQY_CONSOLIDATED=Y","Sort=A","Dates=H","DateFormat=P","Fill=—","Direction=H","UseDPDF=Y")</f>
        <v>#NAME?</v>
      </c>
      <c r="BW234" s="2" t="e">
        <f ca="1">_xll.BDH($C$228,"BPS_SEQUENTIAL_GROWTH","FQ1 2015","FQ1 2015","Currency=INR","Period=FQ","BEST_FPERIOD_OVERRIDE=FQ","FILING_STATUS=OR","EQY_CONSOLIDATED=Y","Sort=A","Dates=H","DateFormat=P","Fill=—","Direction=H","UseDPDF=Y")</f>
        <v>#NAME?</v>
      </c>
      <c r="BX234" s="2" t="e">
        <f ca="1">_xll.BDH($C$228,"CFO_SEQUENTIAL_GROWTH","FQ1 2015","FQ1 2015","Currency=INR","Period=FQ","BEST_FPERIOD_OVERRIDE=FQ","FILING_STATUS=OR","EQY_CONSOLIDATED=Y","Sort=A","Dates=H","DateFormat=P","Fill=—","Direction=H","UseDPDF=Y")</f>
        <v>#NAME?</v>
      </c>
      <c r="BY234" s="3" t="e">
        <f ca="1">_xll.BDH($C$228,"SHORT_AND_LONG_TERM_DEBT","FQ1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234" s="3" t="e">
        <f ca="1">_xll.BDH($C$228,"BS_ST_BORROW","FQ1 2015","FQ1 2015","Currency=INR","Period=FQ","BEST_FPERIOD_OVERRIDE=FQ","FILING_STATUS=OR","EQY_CONSOLIDATED=Y","SCALING_FORMAT=MLN","Sort=A","Dates=H","DateFormat=P","Fill=—","Direction=H","UseDPDF=Y")</f>
        <v>#NAME?</v>
      </c>
      <c r="CA234" s="3" t="e">
        <f ca="1">_xll.BDH($C$228,"BS_LT_BORROW","FQ1 2015","FQ1 2015","Currency=INR","Period=FQ","BEST_FPERIOD_OVERRIDE=FQ","FILING_STATUS=OR","EQY_CONSOLIDATED=Y","SCALING_FORMAT=MLN","Sort=A","Dates=H","DateFormat=P","Fill=—","Direction=H","UseDPDF=Y")</f>
        <v>#NAME?</v>
      </c>
      <c r="CB234" s="2" t="e">
        <f ca="1">_xll.BDH($C$228,"TOT_DEBT_TO_EBITDA","FQ1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234" s="2" t="e">
        <f ca="1">_xll.BDH($C$228,"NET_DEBT_TO_EBITDA","FQ1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234" s="2" t="e">
        <f ca="1">_xll.BDH($C$228,"TOTAL_DEBT_TO_EBIT","FQ1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234" s="2" t="e">
        <f ca="1">_xll.BDH($C$228,"NET_DEBT_TO_EBIT","FQ1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234" s="2" t="e">
        <f ca="1">_xll.BDH($C$228,"EBITDA_TO_INTEREST_EXPN","FQ1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234" s="2" t="e">
        <f ca="1">_xll.BDH($C$228,"COM_EQY_TO_TOT_ASSET","FQ1 2015","FQ1 2015","Currency=INR","Period=FQ","BEST_FPERIOD_OVERRIDE=FQ","FILING_STATUS=OR","EQY_CONSOLIDATED=Y","Sort=A","Dates=H","DateFormat=P","Fill=—","Direction=H","UseDPDF=Y")</f>
        <v>#NAME?</v>
      </c>
      <c r="CH234" s="2" t="e">
        <f ca="1">_xll.BDH($C$228,"LT_DEBT_TO_TOT_EQY","FQ1 2015","FQ1 2015","Currency=INR","Period=FQ","BEST_FPERIOD_OVERRIDE=FQ","FILING_STATUS=OR","EQY_CONSOLIDATED=Y","Sort=A","Dates=H","DateFormat=P","Fill=—","Direction=H","UseDPDF=Y")</f>
        <v>#NAME?</v>
      </c>
      <c r="CI234" s="2" t="e">
        <f ca="1">_xll.BDH($C$228,"LT_DEBT_TO_TOT_CAP","FQ1 2015","FQ1 2015","Currency=INR","Period=FQ","BEST_FPERIOD_OVERRIDE=FQ","FILING_STATUS=OR","EQY_CONSOLIDATED=Y","Sort=A","Dates=H","DateFormat=P","Fill=—","Direction=H","UseDPDF=Y")</f>
        <v>#NAME?</v>
      </c>
      <c r="CJ234" s="2" t="e">
        <f ca="1">_xll.BDH($C$228,"LT_DEBT_TO_TOT_ASSET","FQ1 2015","FQ1 2015","Currency=INR","Period=FQ","BEST_FPERIOD_OVERRIDE=FQ","FILING_STATUS=OR","EQY_CONSOLIDATED=Y","Sort=A","Dates=H","DateFormat=P","Fill=—","Direction=H","UseDPDF=Y")</f>
        <v>#NAME?</v>
      </c>
      <c r="CK234" s="2" t="e">
        <f ca="1">_xll.BDH($C$228,"TOT_DEBT_TO_TOT_EQY","FQ1 2015","FQ1 2015","Currency=INR","Period=FQ","BEST_FPERIOD_OVERRIDE=FQ","FILING_STATUS=OR","EQY_CONSOLIDATED=Y","Sort=A","Dates=H","DateFormat=P","Fill=—","Direction=H","UseDPDF=Y")</f>
        <v>#NAME?</v>
      </c>
      <c r="CL234" s="2" t="e">
        <f ca="1">_xll.BDH($C$228,"TOT_DEBT_TO_TOT_CAP","FQ1 2015","FQ1 2015","Currency=INR","Period=FQ","BEST_FPERIOD_OVERRIDE=FQ","FILING_STATUS=OR","EQY_CONSOLIDATED=Y","Sort=A","Dates=H","DateFormat=P","Fill=—","Direction=H","UseDPDF=Y")</f>
        <v>#NAME?</v>
      </c>
      <c r="CM234" s="2" t="e">
        <f ca="1">_xll.BDH($C$228,"TOT_DEBT_TO_TOT_ASSET","FQ1 2015","FQ1 2015","Currency=INR","Period=FQ","BEST_FPERIOD_OVERRIDE=FQ","FILING_STATUS=OR","EQY_CONSOLIDATED=Y","Sort=A","Dates=H","DateFormat=P","Fill=—","Direction=H","UseDPDF=Y")</f>
        <v>#NAME?</v>
      </c>
      <c r="CN234" s="2" t="e">
        <f ca="1">_xll.BDH($C$228,"NET_DEBT_TO_SHRHLDR_EQTY","FQ1 2015","FQ1 2015","Currency=INR","Period=FQ","BEST_FPERIOD_OVERRIDE=FQ","FILING_STATUS=OR","EQY_CONSOLIDATED=Y","Sort=A","Dates=H","DateFormat=P","Fill=—","Direction=H","UseDPDF=Y")</f>
        <v>#NAME?</v>
      </c>
      <c r="CO234" s="2" t="e">
        <f ca="1">_xll.BDH($C$228,"NET_DEBT_%_CAPITAL","FQ1 2015","FQ1 2015","Currency=INR","Period=FQ","BEST_FPERIOD_OVERRIDE=FQ","FILING_STATUS=OR","EQY_CONSOLIDATED=Y","Sort=A","Dates=H","DateFormat=P","Fill=—","Direction=H","UseDPDF=Y")</f>
        <v>#NAME?</v>
      </c>
      <c r="CP234" s="3" t="e">
        <f ca="1">_xll.BDH($C$228,"EBITDA","FQ1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234" s="3" t="e">
        <f ca="1">_xll.BDH($C$228,"EBITDA_AFTER_CAPEX","FQ1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234" s="3" t="e">
        <f ca="1">_xll.BDH($C$228,"IS_OPER_INC","FQ1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234" s="2" t="e">
        <f ca="1">_xll.BDH($C$228,"CASH_RATIO","FQ1 2015","FQ1 2015","Currency=INR","Period=FQ","BEST_FPERIOD_OVERRIDE=FQ","FILING_STATUS=OR","EQY_CONSOLIDATED=Y","Sort=A","Dates=H","DateFormat=P","Fill=—","Direction=H","UseDPDF=Y")</f>
        <v>#NAME?</v>
      </c>
      <c r="CT234" s="2" t="e">
        <f ca="1">_xll.BDH($C$228,"CUR_RATIO","FQ1 2015","FQ1 2015","Currency=INR","Period=FQ","BEST_FPERIOD_OVERRIDE=FQ","FILING_STATUS=OR","EQY_CONSOLIDATED=Y","Sort=A","Dates=H","DateFormat=P","Fill=—","Direction=H","UseDPDF=Y")</f>
        <v>#NAME?</v>
      </c>
      <c r="CU234" s="2" t="e">
        <f ca="1">_xll.BDH($C$228,"QUICK_RATIO","FQ1 2015","FQ1 2015","Currency=INR","Period=FQ","BEST_FPERIOD_OVERRIDE=FQ","FILING_STATUS=OR","EQY_CONSOLIDATED=Y","Sort=A","Dates=H","DateFormat=P","Fill=—","Direction=H","UseDPDF=Y")</f>
        <v>#NAME?</v>
      </c>
      <c r="CV234" s="2" t="e">
        <f ca="1">_xll.BDH($C$228,"ALTMAN_Z_SCORE","FQ1 2015","FQ1 2015","Currency=INR","Period=FQ","BEST_FPERIOD_OVERRIDE=FQ","FILING_STATUS=OR","EQY_CONSOLIDATED=Y","Sort=A","Dates=H","DateFormat=P","Fill=—","Direction=H","UseDPDF=Y")</f>
        <v>#NAME?</v>
      </c>
      <c r="CW234" s="4" t="e">
        <f ca="1">_xll.BDH($C$228,"ACCT_RCV_TURN","FQ1 2015","FQ1 2015","Currency=INR","Period=FQ","BEST_FPERIOD_OVERRIDE=FQ","FILING_STATUS=OR","EQY_CONSOLIDATED=Y","FA_ADJUSTED=GAAP","Sort=A","Dates=H","DateFormat=P","Fill=—","Direction=H","UseDPDF=Y")</f>
        <v>#NAME?</v>
      </c>
      <c r="CX234" s="2" t="e">
        <f ca="1">_xll.BDH($C$228,"ACCT_RCV_DAYS","FQ1 2015","FQ1 2015","Currency=INR","Period=FQ","BEST_FPERIOD_OVERRIDE=FQ","FILING_STATUS=OR","EQY_CONSOLIDATED=Y","FA_ADJUSTED=GAAP","Sort=A","Dates=H","DateFormat=P","Fill=—","Direction=H","UseDPDF=Y")</f>
        <v>#NAME?</v>
      </c>
      <c r="CY234" s="4" t="e">
        <f ca="1">_xll.BDH($C$228,"INVENT_TURN","FQ1 2015","FQ1 2015","Currency=INR","Period=FQ","BEST_FPERIOD_OVERRIDE=FQ","FILING_STATUS=OR","EQY_CONSOLIDATED=Y","FA_ADJUSTED=GAAP","Sort=A","Dates=H","DateFormat=P","Fill=—","Direction=H","UseDPDF=Y")</f>
        <v>#NAME?</v>
      </c>
      <c r="CZ234" s="2" t="e">
        <f ca="1">_xll.BDH($C$228,"INVENT_DAYS","FQ1 2015","FQ1 2015","Currency=INR","Period=FQ","BEST_FPERIOD_OVERRIDE=FQ","FILING_STATUS=OR","EQY_CONSOLIDATED=Y","FA_ADJUSTED=GAAP","Sort=A","Dates=H","DateFormat=P","Fill=—","Direction=H","UseDPDF=Y")</f>
        <v>#NAME?</v>
      </c>
      <c r="DA234" s="4" t="e">
        <f ca="1">_xll.BDH($C$228,"ACCOUNTS_PAYABLE_TURNOVER","FQ1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234" s="2" t="e">
        <f ca="1">_xll.BDH($C$228,"ACCOUNTS_PAYABLE_TURNOVER_DAYS","FQ1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234" s="4" t="e">
        <f ca="1">_xll.BDH($C$228,"CASH_CONVERSION_CYCLE","FQ1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234" s="4" t="e">
        <f ca="1">_xll.BDH($C$228,"INV_TO_CASH_DAYS","FQ1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234" s="5" t="e">
        <f ca="1">_xll.BDH($C$228,"BS_INVENTORIES","FQ1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234" s="3" t="e">
        <f ca="1">_xll.BDH($C$228,"INVTRY_RAW_MATERIALS","FQ1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234" s="3" t="e">
        <f ca="1">_xll.BDH($C$228,"INVTRY_IN_PROGRESS","FQ1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234" s="3" t="e">
        <f ca="1">_xll.BDH($C$228,"INVTRY_FINISHED_GOODS","FQ1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234" s="3" t="e">
        <f ca="1">_xll.BDH($C$228,"BS_OTHER_INV","FQ1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235" spans="1:113" x14ac:dyDescent="0.3">
      <c r="A235" s="6"/>
      <c r="B235" s="6"/>
      <c r="C235" s="6"/>
      <c r="D235" s="6"/>
      <c r="E235" t="s">
        <v>79</v>
      </c>
      <c r="F235" t="e">
        <f ca="1">_xll.BDH($C$228,"RETURN_COM_EQY","FQ2 2015","FQ2 2015","Currency=INR","Period=FQ","BEST_FPERIOD_OVERRIDE=FQ","FILING_STATUS=OR","EQY_CONSOLIDATED=Y","FA_ADJUSTED=GAAP","Sort=A","Dates=H","DateFormat=P","Fill=—","Direction=H","UseDPDF=Y")</f>
        <v>#NAME?</v>
      </c>
      <c r="G235" t="e">
        <f ca="1">_xll.BDH($C$228,"RETURN_ON_ASSET","FQ2 2015","FQ2 2015","Currency=INR","Period=FQ","BEST_FPERIOD_OVERRIDE=FQ","FILING_STATUS=OR","EQY_CONSOLIDATED=Y","FA_ADJUSTED=GAAP","Sort=A","Dates=H","DateFormat=P","Fill=—","Direction=H","UseDPDF=Y")</f>
        <v>#NAME?</v>
      </c>
      <c r="H235" t="e">
        <f ca="1">_xll.BDH($C$228,"RETURN_ON_CAP","FQ2 2015","FQ2 2015","Currency=INR","Period=FQ","BEST_FPERIOD_OVERRIDE=FQ","FILING_STATUS=OR","EQY_CONSOLIDATED=Y","FA_ADJUSTED=GAAP","Sort=A","Dates=H","DateFormat=P","Fill=—","Direction=H","UseDPDF=Y")</f>
        <v>#NAME?</v>
      </c>
      <c r="I235" t="e">
        <f ca="1">_xll.BDH($C$228,"RETURN_ON_INV_CAPITAL","FQ2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235" t="e">
        <f ca="1">_xll.BDH($C$228,"EBITDA_TO_REVENUE","FQ2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235" t="e">
        <f ca="1">_xll.BDH($C$228,"OPER_MARGIN","FQ2 2015","FQ2 2015","Currency=INR","Period=FQ","BEST_FPERIOD_OVERRIDE=FQ","FILING_STATUS=OR","EQY_CONSOLIDATED=Y","FA_ADJUSTED=GAAP","Sort=A","Dates=H","DateFormat=P","Fill=—","Direction=H","UseDPDF=Y")</f>
        <v>#NAME?</v>
      </c>
      <c r="L235" t="e">
        <f ca="1">_xll.BDH($C$228,"INCREMENTAL_OPERATING_MARGIN","FQ2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235" t="e">
        <f ca="1">_xll.BDH($C$228,"PRETAX_INC_TO_NET_SALES","FQ2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235" t="e">
        <f ca="1">_xll.BDH($C$228,"INC_BEF_XO_ITEMS_TO_NET_SALES","FQ2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235" t="e">
        <f ca="1">_xll.BDH($C$228,"PROF_MARGIN","FQ2 2015","FQ2 2015","Currency=INR","Period=FQ","BEST_FPERIOD_OVERRIDE=FQ","FILING_STATUS=OR","EQY_CONSOLIDATED=Y","FA_ADJUSTED=GAAP","Sort=A","Dates=H","DateFormat=P","Fill=—","Direction=H","UseDPDF=Y")</f>
        <v>#NAME?</v>
      </c>
      <c r="P235" t="e">
        <f ca="1">_xll.BDH($C$228,"NET_INCOME_TO_COMMON_MARGIN","FQ2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235" t="e">
        <f ca="1">_xll.BDH($C$228,"EFF_TAX_RATE","FQ2 2015","FQ2 2015","Currency=INR","Period=FQ","BEST_FPERIOD_OVERRIDE=FQ","FILING_STATUS=OR","EQY_CONSOLIDATED=Y","FA_ADJUSTED=GAAP","Sort=A","Dates=H","DateFormat=P","Fill=—","Direction=H","UseDPDF=Y")</f>
        <v>#NAME?</v>
      </c>
      <c r="R235" t="e">
        <f ca="1">_xll.BDH($C$228,"DVD_PAYOUT_RATIO","FQ2 2015","FQ2 2015","Currency=INR","Period=FQ","BEST_FPERIOD_OVERRIDE=FQ","FILING_STATUS=OR","EQY_CONSOLIDATED=Y","FA_ADJUSTED=GAAP","Sort=A","Dates=H","DateFormat=P","Fill=—","Direction=H","UseDPDF=Y")</f>
        <v>#NAME?</v>
      </c>
      <c r="S235" t="e">
        <f ca="1">_xll.BDH($C$228,"SUSTAIN_GROWTH_RT","FQ2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235" s="2" t="e">
        <f ca="1">_xll.BDH($C$228,"SALES_GROWTH","FQ2 2015","FQ2 2015","Currency=INR","Period=FQ","BEST_FPERIOD_OVERRIDE=FQ","FILING_STATUS=OR","EQY_CONSOLIDATED=Y","FA_ADJUSTED=GAAP","Sort=A","Dates=H","DateFormat=P","Fill=—","Direction=H","UseDPDF=Y")</f>
        <v>#NAME?</v>
      </c>
      <c r="U235" s="2" t="e">
        <f ca="1">_xll.BDH($C$228,"EBITDA_GROWTH","FQ2 2015","FQ2 2015","Currency=INR","Period=FQ","BEST_FPERIOD_OVERRIDE=FQ","FILING_STATUS=OR","EQY_CONSOLIDATED=Y","FA_ADJUSTED=GAAP","Sort=A","Dates=H","DateFormat=P","Fill=—","Direction=H","UseDPDF=Y")</f>
        <v>#NAME?</v>
      </c>
      <c r="V235" s="2" t="e">
        <f ca="1">_xll.BDH($C$228,"OPER_INC_GROWTH","FQ2 2015","FQ2 2015","Currency=INR","Period=FQ","BEST_FPERIOD_OVERRIDE=FQ","FILING_STATUS=OR","EQY_CONSOLIDATED=Y","FA_ADJUSTED=GAAP","Sort=A","Dates=H","DateFormat=P","Fill=—","Direction=H","UseDPDF=Y")</f>
        <v>#NAME?</v>
      </c>
      <c r="W235" s="2" t="e">
        <f ca="1">_xll.BDH($C$228,"EARN_FOR_COM_GROWTH","FQ2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235" s="2" t="e">
        <f ca="1">_xll.BDH($C$228,"DILUTED_EPS_AFT_XO_ITEMS_GROWTH","FQ2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235" s="2" t="e">
        <f ca="1">_xll.BDH($C$228,"DIVIDEND_PER_SHARE_1_YEAR_GROWTH","FQ2 2015","FQ2 2015","Currency=INR","Period=FQ","BEST_FPERIOD_OVERRIDE=FQ","FILING_STATUS=OR","EQY_CONSOLIDATED=Y","Sort=A","Dates=H","DateFormat=P","Fill=—","Direction=H","UseDPDF=Y")</f>
        <v>#NAME?</v>
      </c>
      <c r="Z235" s="2" t="e">
        <f ca="1">_xll.BDH($C$228,"ACCOUNTS_RECEIVABLE_GROWTH","FQ2 2015","FQ2 2015","Currency=INR","Period=FQ","BEST_FPERIOD_OVERRIDE=FQ","FILING_STATUS=OR","EQY_CONSOLIDATED=Y","Sort=A","Dates=H","DateFormat=P","Fill=—","Direction=H","UseDPDF=Y")</f>
        <v>#NAME?</v>
      </c>
      <c r="AA235" s="2" t="e">
        <f ca="1">_xll.BDH($C$228,"INVENTORY_GROWTH","FQ2 2015","FQ2 2015","Currency=INR","Period=FQ","BEST_FPERIOD_OVERRIDE=FQ","FILING_STATUS=OR","EQY_CONSOLIDATED=Y","Sort=A","Dates=H","DateFormat=P","Fill=—","Direction=H","UseDPDF=Y")</f>
        <v>#NAME?</v>
      </c>
      <c r="AB235" s="2" t="e">
        <f ca="1">_xll.BDH($C$228,"NET_FIXED_ASSETS_1_YEAR_GROWTH","FQ2 2015","FQ2 2015","Currency=INR","Period=FQ","BEST_FPERIOD_OVERRIDE=FQ","FILING_STATUS=OR","EQY_CONSOLIDATED=Y","Sort=A","Dates=H","DateFormat=P","Fill=—","Direction=H","UseDPDF=Y")</f>
        <v>#NAME?</v>
      </c>
      <c r="AC235" s="2" t="e">
        <f ca="1">_xll.BDH($C$228,"ASSET_GROWTH","FQ2 2015","FQ2 2015","Currency=INR","Period=FQ","BEST_FPERIOD_OVERRIDE=FQ","FILING_STATUS=OR","EQY_CONSOLIDATED=Y","Sort=A","Dates=H","DateFormat=P","Fill=—","Direction=H","UseDPDF=Y")</f>
        <v>#NAME?</v>
      </c>
      <c r="AD235" s="2" t="e">
        <f ca="1">_xll.BDH($C$228,"MODIFIED_WORK_CAP_GROWTH","FQ2 2015","FQ2 2015","Currency=INR","Period=FQ","BEST_FPERIOD_OVERRIDE=FQ","FILING_STATUS=OR","EQY_CONSOLIDATED=Y","Sort=A","Dates=H","DateFormat=P","Fill=—","Direction=H","UseDPDF=Y")</f>
        <v>#NAME?</v>
      </c>
      <c r="AE235" s="2" t="e">
        <f ca="1">_xll.BDH($C$228,"WORK_CAP_GROWTH","FQ2 2015","FQ2 2015","Currency=INR","Period=FQ","BEST_FPERIOD_OVERRIDE=FQ","FILING_STATUS=OR","EQY_CONSOLIDATED=Y","Sort=A","Dates=H","DateFormat=P","Fill=—","Direction=H","UseDPDF=Y")</f>
        <v>#NAME?</v>
      </c>
      <c r="AF235" s="2" t="e">
        <f ca="1">_xll.BDH($C$228,"ACCOUNTS_PAYABLE_GROWTH_1YR","FQ2 2015","FQ2 2015","Currency=INR","Period=FQ","BEST_FPERIOD_OVERRIDE=FQ","FILING_STATUS=OR","EQY_CONSOLIDATED=Y","Sort=A","Dates=H","DateFormat=P","Fill=—","Direction=H","UseDPDF=Y")</f>
        <v>#NAME?</v>
      </c>
      <c r="AG235" s="2" t="e">
        <f ca="1">_xll.BDH($C$228,"SHORT_TERM_DEBT_1_YEAR_GROWTH","FQ2 2015","FQ2 2015","Currency=INR","Period=FQ","BEST_FPERIOD_OVERRIDE=FQ","FILING_STATUS=OR","EQY_CONSOLIDATED=Y","Sort=A","Dates=H","DateFormat=P","Fill=—","Direction=H","UseDPDF=Y")</f>
        <v>#NAME?</v>
      </c>
      <c r="AH235" s="2" t="e">
        <f ca="1">_xll.BDH($C$228,"TOTAL_DEBT_1_YEAR_GROWTH","FQ2 2015","FQ2 2015","Currency=INR","Period=FQ","BEST_FPERIOD_OVERRIDE=FQ","FILING_STATUS=OR","EQY_CONSOLIDATED=Y","Sort=A","Dates=H","DateFormat=P","Fill=—","Direction=H","UseDPDF=Y")</f>
        <v>#NAME?</v>
      </c>
      <c r="AI235" s="2" t="e">
        <f ca="1">_xll.BDH($C$228,"TOTAL_EQUITY_1_YEAR_GROWTH","FQ2 2015","FQ2 2015","Currency=INR","Period=FQ","BEST_FPERIOD_OVERRIDE=FQ","FILING_STATUS=OR","EQY_CONSOLIDATED=Y","Sort=A","Dates=H","DateFormat=P","Fill=—","Direction=H","UseDPDF=Y")</f>
        <v>#NAME?</v>
      </c>
      <c r="AJ235" s="2" t="e">
        <f ca="1">_xll.BDH($C$228,"GROWTH_IN_CAP","FQ2 2015","FQ2 2015","Currency=INR","Period=FQ","BEST_FPERIOD_OVERRIDE=FQ","FILING_STATUS=OR","EQY_CONSOLIDATED=Y","Sort=A","Dates=H","DateFormat=P","Fill=—","Direction=H","UseDPDF=Y")</f>
        <v>#NAME?</v>
      </c>
      <c r="AK235" s="2" t="e">
        <f ca="1">_xll.BDH($C$228,"BVPS_GROWTH","FQ2 2015","FQ2 2015","Currency=INR","Period=FQ","BEST_FPERIOD_OVERRIDE=FQ","FILING_STATUS=OR","EQY_CONSOLIDATED=Y","Sort=A","Dates=H","DateFormat=P","Fill=—","Direction=H","UseDPDF=Y")</f>
        <v>#NAME?</v>
      </c>
      <c r="AL235" s="2" t="e">
        <f ca="1">_xll.BDH($C$228,"CASH_FLOW_GROWTH","FQ2 2015","FQ2 2015","Currency=INR","Period=FQ","BEST_FPERIOD_OVERRIDE=FQ","FILING_STATUS=OR","EQY_CONSOLIDATED=Y","Sort=A","Dates=H","DateFormat=P","Fill=—","Direction=H","UseDPDF=Y")</f>
        <v>#NAME?</v>
      </c>
      <c r="AM235" s="2" t="e">
        <f ca="1">_xll.BDH($C$228,"GEO_GROW_NET_SALES","FQ2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235" s="2" t="e">
        <f ca="1">_xll.BDH($C$228,"GEO_GROW_EBITDA","FQ2 2015","FQ2 2015","Currency=INR","Period=FQ","BEST_FPERIOD_OVERRIDE=FQ","FILING_STATUS=OR","EQY_CONSOLIDATED=Y","FA_ADJUSTED=GAAP","Sort=A","Dates=H","DateFormat=P","Fill=—","Direction=H","UseDPDF=Y")</f>
        <v>#NAME?</v>
      </c>
      <c r="AO235" s="2" t="e">
        <f ca="1">_xll.BDH($C$228,"GEO_GROW_OPER_INC","FQ2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235" s="2" t="e">
        <f ca="1">_xll.BDH($C$228,"NET_INCOME_TO_COMMON_5_YR_GROWTH","FQ2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235" s="2" t="e">
        <f ca="1">_xll.BDH($C$228,"5Y_GEO_GROWTH_DILUTED_EPS","FQ2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235" s="2" t="e">
        <f ca="1">_xll.BDH($C$228,"GEO_GROW_DVD_PER_SH","FQ2 2015","FQ2 2015","Currency=INR","Period=FQ","BEST_FPERIOD_OVERRIDE=FQ","FILING_STATUS=OR","EQY_CONSOLIDATED=Y","Sort=A","Dates=H","DateFormat=P","Fill=—","Direction=H","UseDPDF=Y")</f>
        <v>#NAME?</v>
      </c>
      <c r="AS235" s="2" t="e">
        <f ca="1">_xll.BDH($C$228,"ACCOUNTS_RECEIVABLE_5_YR_GROWTH","FQ2 2015","FQ2 2015","Currency=INR","Period=FQ","BEST_FPERIOD_OVERRIDE=FQ","FILING_STATUS=OR","EQY_CONSOLIDATED=Y","Sort=A","Dates=H","DateFormat=P","Fill=—","Direction=H","UseDPDF=Y")</f>
        <v>#NAME?</v>
      </c>
      <c r="AT235" s="2" t="e">
        <f ca="1">_xll.BDH($C$228,"INVENTORY_5_YEAR_GROWTH","FQ2 2015","FQ2 2015","Currency=INR","Period=FQ","BEST_FPERIOD_OVERRIDE=FQ","FILING_STATUS=OR","EQY_CONSOLIDATED=Y","Sort=A","Dates=H","DateFormat=P","Fill=—","Direction=H","UseDPDF=Y")</f>
        <v>#NAME?</v>
      </c>
      <c r="AU235" s="2" t="e">
        <f ca="1">_xll.BDH($C$228,"NET_FIXED_ASSETS_5_YEAR_GROWTH","FQ2 2015","FQ2 2015","Currency=INR","Period=FQ","BEST_FPERIOD_OVERRIDE=FQ","FILING_STATUS=OR","EQY_CONSOLIDATED=Y","Sort=A","Dates=H","DateFormat=P","Fill=—","Direction=H","UseDPDF=Y")</f>
        <v>#NAME?</v>
      </c>
      <c r="AV235" s="2" t="e">
        <f ca="1">_xll.BDH($C$228,"GEO_GROW_TOT_ASSET","FQ2 2015","FQ2 2015","Currency=INR","Period=FQ","BEST_FPERIOD_OVERRIDE=FQ","FILING_STATUS=OR","EQY_CONSOLIDATED=Y","Sort=A","Dates=H","DateFormat=P","Fill=—","Direction=H","UseDPDF=Y")</f>
        <v>#NAME?</v>
      </c>
      <c r="AW235" s="2" t="e">
        <f ca="1">_xll.BDH($C$228,"MODIFIED_WORKING_CPTL_5YR_GRWTH","FQ2 2015","FQ2 2015","Currency=INR","Period=FQ","BEST_FPERIOD_OVERRIDE=FQ","FILING_STATUS=OR","EQY_CONSOLIDATED=Y","Sort=A","Dates=H","DateFormat=P","Fill=—","Direction=H","UseDPDF=Y")</f>
        <v>#NAME?</v>
      </c>
      <c r="AX235" s="2" t="e">
        <f ca="1">_xll.BDH($C$228,"WORKING_CAPITAL_5_YEAR_GROWTH","FQ2 2015","FQ2 2015","Currency=INR","Period=FQ","BEST_FPERIOD_OVERRIDE=FQ","FILING_STATUS=OR","EQY_CONSOLIDATED=Y","Sort=A","Dates=H","DateFormat=P","Fill=—","Direction=H","UseDPDF=Y")</f>
        <v>#NAME?</v>
      </c>
      <c r="AY235" s="2" t="e">
        <f ca="1">_xll.BDH($C$228,"ACCOUNTS_PAYABLE_5_YEAR_GROWTH","FQ2 2015","FQ2 2015","Currency=INR","Period=FQ","BEST_FPERIOD_OVERRIDE=FQ","FILING_STATUS=OR","EQY_CONSOLIDATED=Y","Sort=A","Dates=H","DateFormat=P","Fill=—","Direction=H","UseDPDF=Y")</f>
        <v>#NAME?</v>
      </c>
      <c r="AZ235" s="2" t="e">
        <f ca="1">_xll.BDH($C$228,"SHORT_TERM_DEBT_5_YEAR_GROWTH","FQ2 2015","FQ2 2015","Currency=INR","Period=FQ","BEST_FPERIOD_OVERRIDE=FQ","FILING_STATUS=OR","EQY_CONSOLIDATED=Y","Sort=A","Dates=H","DateFormat=P","Fill=—","Direction=H","UseDPDF=Y")</f>
        <v>#NAME?</v>
      </c>
      <c r="BA235" s="2" t="e">
        <f ca="1">_xll.BDH($C$228,"TOTAL_DEBT_5_YEAR_GROWTH","FQ2 2015","FQ2 2015","Currency=INR","Period=FQ","BEST_FPERIOD_OVERRIDE=FQ","FILING_STATUS=OR","EQY_CONSOLIDATED=Y","Sort=A","Dates=H","DateFormat=P","Fill=—","Direction=H","UseDPDF=Y")</f>
        <v>#NAME?</v>
      </c>
      <c r="BB235" s="2" t="e">
        <f ca="1">_xll.BDH($C$228,"GEO_GROW_TOT_SHRHLDR_EQY","FQ2 2015","FQ2 2015","Currency=INR","Period=FQ","BEST_FPERIOD_OVERRIDE=FQ","FILING_STATUS=OR","EQY_CONSOLIDATED=Y","Sort=A","Dates=H","DateFormat=P","Fill=—","Direction=H","UseDPDF=Y")</f>
        <v>#NAME?</v>
      </c>
      <c r="BC235" s="2" t="e">
        <f ca="1">_xll.BDH($C$228,"TOTAL_CAPITAL_5_YEAR_GROWTH","FQ2 2015","FQ2 2015","Currency=INR","Period=FQ","BEST_FPERIOD_OVERRIDE=FQ","FILING_STATUS=OR","EQY_CONSOLIDATED=Y","Sort=A","Dates=H","DateFormat=P","Fill=—","Direction=H","UseDPDF=Y")</f>
        <v>#NAME?</v>
      </c>
      <c r="BD235" s="2" t="e">
        <f ca="1">_xll.BDH($C$228,"GEO_GROW_BOOK_VAL","FQ2 2015","FQ2 2015","Currency=INR","Period=FQ","BEST_FPERIOD_OVERRIDE=FQ","FILING_STATUS=OR","EQY_CONSOLIDATED=Y","Sort=A","Dates=H","DateFormat=P","Fill=—","Direction=H","UseDPDF=Y")</f>
        <v>#NAME?</v>
      </c>
      <c r="BE235" s="2" t="e">
        <f ca="1">_xll.BDH($C$228,"GEO_GROW_CASH_OPER_ACT","FQ2 2015","FQ2 2015","Currency=INR","Period=FQ","BEST_FPERIOD_OVERRIDE=FQ","FILING_STATUS=OR","EQY_CONSOLIDATED=Y","Sort=A","Dates=H","DateFormat=P","Fill=—","Direction=H","UseDPDF=Y")</f>
        <v>#NAME?</v>
      </c>
      <c r="BF235" s="2" t="e">
        <f ca="1">_xll.BDH($C$228,"REVENUE_SEQUENTIAL_GROWTH","FQ2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235" s="2" t="e">
        <f ca="1">_xll.BDH($C$228,"EBITDA_SEQUENTIAL_GROWTH","FQ2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235" s="2" t="e">
        <f ca="1">_xll.BDH($C$228,"OPERATING_INCOME_SEQ_GROWTH","FQ2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235" s="2" t="e">
        <f ca="1">_xll.BDH($C$228,"NET_INCOME_TO_COMMON_SEQ_GROWTH","FQ2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235" s="2" t="e">
        <f ca="1">_xll.BDH($C$228,"EPS_DILUTED_SEQUENTIAL_GROWTH","FQ2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235" s="2" t="e">
        <f ca="1">_xll.BDH($C$228,"DPS_SEQUENTIAL_GROWTH","FQ2 2015","FQ2 2015","Currency=INR","Period=FQ","BEST_FPERIOD_OVERRIDE=FQ","FILING_STATUS=OR","EQY_CONSOLIDATED=Y","Sort=A","Dates=H","DateFormat=P","Fill=—","Direction=H","UseDPDF=Y")</f>
        <v>#NAME?</v>
      </c>
      <c r="BL235" s="2" t="e">
        <f ca="1">_xll.BDH($C$228,"ACCOUNTS_RECEIVABLE_SEQ_GROWTH","FQ2 2015","FQ2 2015","Currency=INR","Period=FQ","BEST_FPERIOD_OVERRIDE=FQ","FILING_STATUS=OR","EQY_CONSOLIDATED=Y","Sort=A","Dates=H","DateFormat=P","Fill=—","Direction=H","UseDPDF=Y")</f>
        <v>#NAME?</v>
      </c>
      <c r="BM235" s="2" t="e">
        <f ca="1">_xll.BDH($C$228,"INVENTORY_SEQUENTIAL_GROWTH","FQ2 2015","FQ2 2015","Currency=INR","Period=FQ","BEST_FPERIOD_OVERRIDE=FQ","FILING_STATUS=OR","EQY_CONSOLIDATED=Y","Sort=A","Dates=H","DateFormat=P","Fill=—","Direction=H","UseDPDF=Y")</f>
        <v>#NAME?</v>
      </c>
      <c r="BN235" s="2" t="e">
        <f ca="1">_xll.BDH($C$228,"FIXED_ASSETS_SEQUENTIAL_GROWTH","FQ2 2015","FQ2 2015","Currency=INR","Period=FQ","BEST_FPERIOD_OVERRIDE=FQ","FILING_STATUS=OR","EQY_CONSOLIDATED=Y","Sort=A","Dates=H","DateFormat=P","Fill=—","Direction=H","UseDPDF=Y")</f>
        <v>#NAME?</v>
      </c>
      <c r="BO235" s="2" t="e">
        <f ca="1">_xll.BDH($C$228,"TOTAL_ASSETS_SEQUENTIAL_GROWTH","FQ2 2015","FQ2 2015","Currency=INR","Period=FQ","BEST_FPERIOD_OVERRIDE=FQ","FILING_STATUS=OR","EQY_CONSOLIDATED=Y","Sort=A","Dates=H","DateFormat=P","Fill=—","Direction=H","UseDPDF=Y")</f>
        <v>#NAME?</v>
      </c>
      <c r="BP235" s="2" t="e">
        <f ca="1">_xll.BDH($C$228,"MODIFIED_WORKING_CPTL_SEQ_GRWTH","FQ2 2015","FQ2 2015","Currency=INR","Period=FQ","BEST_FPERIOD_OVERRIDE=FQ","FILING_STATUS=OR","EQY_CONSOLIDATED=Y","Sort=A","Dates=H","DateFormat=P","Fill=—","Direction=H","UseDPDF=Y")</f>
        <v>#NAME?</v>
      </c>
      <c r="BQ235" s="2" t="e">
        <f ca="1">_xll.BDH($C$228,"WORKING_CAPITAL_SEQ_GROWTH","FQ2 2015","FQ2 2015","Currency=INR","Period=FQ","BEST_FPERIOD_OVERRIDE=FQ","FILING_STATUS=OR","EQY_CONSOLIDATED=Y","Sort=A","Dates=H","DateFormat=P","Fill=—","Direction=H","UseDPDF=Y")</f>
        <v>#NAME?</v>
      </c>
      <c r="BR235" s="2" t="e">
        <f ca="1">_xll.BDH($C$228,"ACCOUNTS_PAYABLE_SEQ_GROWTH","FQ2 2015","FQ2 2015","Currency=INR","Period=FQ","BEST_FPERIOD_OVERRIDE=FQ","FILING_STATUS=OR","EQY_CONSOLIDATED=Y","Sort=A","Dates=H","DateFormat=P","Fill=—","Direction=H","UseDPDF=Y")</f>
        <v>#NAME?</v>
      </c>
      <c r="BS235" s="2" t="e">
        <f ca="1">_xll.BDH($C$228,"ST_DEBT_SEQUENTIAL_GROWTH","FQ2 2015","FQ2 2015","Currency=INR","Period=FQ","BEST_FPERIOD_OVERRIDE=FQ","FILING_STATUS=OR","EQY_CONSOLIDATED=Y","Sort=A","Dates=H","DateFormat=P","Fill=—","Direction=H","UseDPDF=Y")</f>
        <v>#NAME?</v>
      </c>
      <c r="BT235" s="2" t="e">
        <f ca="1">_xll.BDH($C$228,"TOTAL_DEBT_SEQUENTIAL_GROWTH","FQ2 2015","FQ2 2015","Currency=INR","Period=FQ","BEST_FPERIOD_OVERRIDE=FQ","FILING_STATUS=OR","EQY_CONSOLIDATED=Y","Sort=A","Dates=H","DateFormat=P","Fill=—","Direction=H","UseDPDF=Y")</f>
        <v>#NAME?</v>
      </c>
      <c r="BU235" s="2" t="e">
        <f ca="1">_xll.BDH($C$228,"TOTAL_EQUITY_SEQUENTIAL_GROWTH","FQ2 2015","FQ2 2015","Currency=INR","Period=FQ","BEST_FPERIOD_OVERRIDE=FQ","FILING_STATUS=OR","EQY_CONSOLIDATED=Y","Sort=A","Dates=H","DateFormat=P","Fill=—","Direction=H","UseDPDF=Y")</f>
        <v>#NAME?</v>
      </c>
      <c r="BV235" s="2" t="e">
        <f ca="1">_xll.BDH($C$228,"TOTAL_CAPITAL_SEQUENTIAL_GROWTH","FQ2 2015","FQ2 2015","Currency=INR","Period=FQ","BEST_FPERIOD_OVERRIDE=FQ","FILING_STATUS=OR","EQY_CONSOLIDATED=Y","Sort=A","Dates=H","DateFormat=P","Fill=—","Direction=H","UseDPDF=Y")</f>
        <v>#NAME?</v>
      </c>
      <c r="BW235" s="2" t="e">
        <f ca="1">_xll.BDH($C$228,"BPS_SEQUENTIAL_GROWTH","FQ2 2015","FQ2 2015","Currency=INR","Period=FQ","BEST_FPERIOD_OVERRIDE=FQ","FILING_STATUS=OR","EQY_CONSOLIDATED=Y","Sort=A","Dates=H","DateFormat=P","Fill=—","Direction=H","UseDPDF=Y")</f>
        <v>#NAME?</v>
      </c>
      <c r="BX235" s="2" t="e">
        <f ca="1">_xll.BDH($C$228,"CFO_SEQUENTIAL_GROWTH","FQ2 2015","FQ2 2015","Currency=INR","Period=FQ","BEST_FPERIOD_OVERRIDE=FQ","FILING_STATUS=OR","EQY_CONSOLIDATED=Y","Sort=A","Dates=H","DateFormat=P","Fill=—","Direction=H","UseDPDF=Y")</f>
        <v>#NAME?</v>
      </c>
      <c r="BY235" s="3" t="e">
        <f ca="1">_xll.BDH($C$228,"SHORT_AND_LONG_TERM_DEBT","FQ2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235" s="3" t="e">
        <f ca="1">_xll.BDH($C$228,"BS_ST_BORROW","FQ2 2015","FQ2 2015","Currency=INR","Period=FQ","BEST_FPERIOD_OVERRIDE=FQ","FILING_STATUS=OR","EQY_CONSOLIDATED=Y","SCALING_FORMAT=MLN","Sort=A","Dates=H","DateFormat=P","Fill=—","Direction=H","UseDPDF=Y")</f>
        <v>#NAME?</v>
      </c>
      <c r="CA235" s="3" t="e">
        <f ca="1">_xll.BDH($C$228,"BS_LT_BORROW","FQ2 2015","FQ2 2015","Currency=INR","Period=FQ","BEST_FPERIOD_OVERRIDE=FQ","FILING_STATUS=OR","EQY_CONSOLIDATED=Y","SCALING_FORMAT=MLN","Sort=A","Dates=H","DateFormat=P","Fill=—","Direction=H","UseDPDF=Y")</f>
        <v>#NAME?</v>
      </c>
      <c r="CB235" s="2" t="e">
        <f ca="1">_xll.BDH($C$228,"TOT_DEBT_TO_EBITDA","FQ2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235" s="2" t="e">
        <f ca="1">_xll.BDH($C$228,"NET_DEBT_TO_EBITDA","FQ2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235" s="2" t="e">
        <f ca="1">_xll.BDH($C$228,"TOTAL_DEBT_TO_EBIT","FQ2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235" s="2" t="e">
        <f ca="1">_xll.BDH($C$228,"NET_DEBT_TO_EBIT","FQ2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235" s="2" t="e">
        <f ca="1">_xll.BDH($C$228,"EBITDA_TO_INTEREST_EXPN","FQ2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235" s="2" t="e">
        <f ca="1">_xll.BDH($C$228,"COM_EQY_TO_TOT_ASSET","FQ2 2015","FQ2 2015","Currency=INR","Period=FQ","BEST_FPERIOD_OVERRIDE=FQ","FILING_STATUS=OR","EQY_CONSOLIDATED=Y","Sort=A","Dates=H","DateFormat=P","Fill=—","Direction=H","UseDPDF=Y")</f>
        <v>#NAME?</v>
      </c>
      <c r="CH235" s="2" t="e">
        <f ca="1">_xll.BDH($C$228,"LT_DEBT_TO_TOT_EQY","FQ2 2015","FQ2 2015","Currency=INR","Period=FQ","BEST_FPERIOD_OVERRIDE=FQ","FILING_STATUS=OR","EQY_CONSOLIDATED=Y","Sort=A","Dates=H","DateFormat=P","Fill=—","Direction=H","UseDPDF=Y")</f>
        <v>#NAME?</v>
      </c>
      <c r="CI235" s="2" t="e">
        <f ca="1">_xll.BDH($C$228,"LT_DEBT_TO_TOT_CAP","FQ2 2015","FQ2 2015","Currency=INR","Period=FQ","BEST_FPERIOD_OVERRIDE=FQ","FILING_STATUS=OR","EQY_CONSOLIDATED=Y","Sort=A","Dates=H","DateFormat=P","Fill=—","Direction=H","UseDPDF=Y")</f>
        <v>#NAME?</v>
      </c>
      <c r="CJ235" s="2" t="e">
        <f ca="1">_xll.BDH($C$228,"LT_DEBT_TO_TOT_ASSET","FQ2 2015","FQ2 2015","Currency=INR","Period=FQ","BEST_FPERIOD_OVERRIDE=FQ","FILING_STATUS=OR","EQY_CONSOLIDATED=Y","Sort=A","Dates=H","DateFormat=P","Fill=—","Direction=H","UseDPDF=Y")</f>
        <v>#NAME?</v>
      </c>
      <c r="CK235" s="2" t="e">
        <f ca="1">_xll.BDH($C$228,"TOT_DEBT_TO_TOT_EQY","FQ2 2015","FQ2 2015","Currency=INR","Period=FQ","BEST_FPERIOD_OVERRIDE=FQ","FILING_STATUS=OR","EQY_CONSOLIDATED=Y","Sort=A","Dates=H","DateFormat=P","Fill=—","Direction=H","UseDPDF=Y")</f>
        <v>#NAME?</v>
      </c>
      <c r="CL235" s="2" t="e">
        <f ca="1">_xll.BDH($C$228,"TOT_DEBT_TO_TOT_CAP","FQ2 2015","FQ2 2015","Currency=INR","Period=FQ","BEST_FPERIOD_OVERRIDE=FQ","FILING_STATUS=OR","EQY_CONSOLIDATED=Y","Sort=A","Dates=H","DateFormat=P","Fill=—","Direction=H","UseDPDF=Y")</f>
        <v>#NAME?</v>
      </c>
      <c r="CM235" s="2" t="e">
        <f ca="1">_xll.BDH($C$228,"TOT_DEBT_TO_TOT_ASSET","FQ2 2015","FQ2 2015","Currency=INR","Period=FQ","BEST_FPERIOD_OVERRIDE=FQ","FILING_STATUS=OR","EQY_CONSOLIDATED=Y","Sort=A","Dates=H","DateFormat=P","Fill=—","Direction=H","UseDPDF=Y")</f>
        <v>#NAME?</v>
      </c>
      <c r="CN235" s="2" t="e">
        <f ca="1">_xll.BDH($C$228,"NET_DEBT_TO_SHRHLDR_EQTY","FQ2 2015","FQ2 2015","Currency=INR","Period=FQ","BEST_FPERIOD_OVERRIDE=FQ","FILING_STATUS=OR","EQY_CONSOLIDATED=Y","Sort=A","Dates=H","DateFormat=P","Fill=—","Direction=H","UseDPDF=Y")</f>
        <v>#NAME?</v>
      </c>
      <c r="CO235" s="2" t="e">
        <f ca="1">_xll.BDH($C$228,"NET_DEBT_%_CAPITAL","FQ2 2015","FQ2 2015","Currency=INR","Period=FQ","BEST_FPERIOD_OVERRIDE=FQ","FILING_STATUS=OR","EQY_CONSOLIDATED=Y","Sort=A","Dates=H","DateFormat=P","Fill=—","Direction=H","UseDPDF=Y")</f>
        <v>#NAME?</v>
      </c>
      <c r="CP235" s="3" t="e">
        <f ca="1">_xll.BDH($C$228,"EBITDA","FQ2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235" s="3" t="e">
        <f ca="1">_xll.BDH($C$228,"EBITDA_AFTER_CAPEX","FQ2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235" s="3" t="e">
        <f ca="1">_xll.BDH($C$228,"IS_OPER_INC","FQ2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235" s="2" t="e">
        <f ca="1">_xll.BDH($C$228,"CASH_RATIO","FQ2 2015","FQ2 2015","Currency=INR","Period=FQ","BEST_FPERIOD_OVERRIDE=FQ","FILING_STATUS=OR","EQY_CONSOLIDATED=Y","Sort=A","Dates=H","DateFormat=P","Fill=—","Direction=H","UseDPDF=Y")</f>
        <v>#NAME?</v>
      </c>
      <c r="CT235" s="2" t="e">
        <f ca="1">_xll.BDH($C$228,"CUR_RATIO","FQ2 2015","FQ2 2015","Currency=INR","Period=FQ","BEST_FPERIOD_OVERRIDE=FQ","FILING_STATUS=OR","EQY_CONSOLIDATED=Y","Sort=A","Dates=H","DateFormat=P","Fill=—","Direction=H","UseDPDF=Y")</f>
        <v>#NAME?</v>
      </c>
      <c r="CU235" s="2" t="e">
        <f ca="1">_xll.BDH($C$228,"QUICK_RATIO","FQ2 2015","FQ2 2015","Currency=INR","Period=FQ","BEST_FPERIOD_OVERRIDE=FQ","FILING_STATUS=OR","EQY_CONSOLIDATED=Y","Sort=A","Dates=H","DateFormat=P","Fill=—","Direction=H","UseDPDF=Y")</f>
        <v>#NAME?</v>
      </c>
      <c r="CV235" s="2" t="e">
        <f ca="1">_xll.BDH($C$228,"ALTMAN_Z_SCORE","FQ2 2015","FQ2 2015","Currency=INR","Period=FQ","BEST_FPERIOD_OVERRIDE=FQ","FILING_STATUS=OR","EQY_CONSOLIDATED=Y","Sort=A","Dates=H","DateFormat=P","Fill=—","Direction=H","UseDPDF=Y")</f>
        <v>#NAME?</v>
      </c>
      <c r="CW235" s="4" t="e">
        <f ca="1">_xll.BDH($C$228,"ACCT_RCV_TURN","FQ2 2015","FQ2 2015","Currency=INR","Period=FQ","BEST_FPERIOD_OVERRIDE=FQ","FILING_STATUS=OR","EQY_CONSOLIDATED=Y","FA_ADJUSTED=GAAP","Sort=A","Dates=H","DateFormat=P","Fill=—","Direction=H","UseDPDF=Y")</f>
        <v>#NAME?</v>
      </c>
      <c r="CX235" s="2" t="e">
        <f ca="1">_xll.BDH($C$228,"ACCT_RCV_DAYS","FQ2 2015","FQ2 2015","Currency=INR","Period=FQ","BEST_FPERIOD_OVERRIDE=FQ","FILING_STATUS=OR","EQY_CONSOLIDATED=Y","FA_ADJUSTED=GAAP","Sort=A","Dates=H","DateFormat=P","Fill=—","Direction=H","UseDPDF=Y")</f>
        <v>#NAME?</v>
      </c>
      <c r="CY235" s="4" t="e">
        <f ca="1">_xll.BDH($C$228,"INVENT_TURN","FQ2 2015","FQ2 2015","Currency=INR","Period=FQ","BEST_FPERIOD_OVERRIDE=FQ","FILING_STATUS=OR","EQY_CONSOLIDATED=Y","FA_ADJUSTED=GAAP","Sort=A","Dates=H","DateFormat=P","Fill=—","Direction=H","UseDPDF=Y")</f>
        <v>#NAME?</v>
      </c>
      <c r="CZ235" s="2" t="e">
        <f ca="1">_xll.BDH($C$228,"INVENT_DAYS","FQ2 2015","FQ2 2015","Currency=INR","Period=FQ","BEST_FPERIOD_OVERRIDE=FQ","FILING_STATUS=OR","EQY_CONSOLIDATED=Y","FA_ADJUSTED=GAAP","Sort=A","Dates=H","DateFormat=P","Fill=—","Direction=H","UseDPDF=Y")</f>
        <v>#NAME?</v>
      </c>
      <c r="DA235" s="4" t="e">
        <f ca="1">_xll.BDH($C$228,"ACCOUNTS_PAYABLE_TURNOVER","FQ2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235" s="2" t="e">
        <f ca="1">_xll.BDH($C$228,"ACCOUNTS_PAYABLE_TURNOVER_DAYS","FQ2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235" s="4" t="e">
        <f ca="1">_xll.BDH($C$228,"CASH_CONVERSION_CYCLE","FQ2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235" s="4" t="e">
        <f ca="1">_xll.BDH($C$228,"INV_TO_CASH_DAYS","FQ2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235" s="5" t="e">
        <f ca="1">_xll.BDH($C$228,"BS_INVENTORIES","FQ2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235" s="3" t="e">
        <f ca="1">_xll.BDH($C$228,"INVTRY_RAW_MATERIALS","FQ2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235" s="3" t="e">
        <f ca="1">_xll.BDH($C$228,"INVTRY_IN_PROGRESS","FQ2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235" s="3" t="e">
        <f ca="1">_xll.BDH($C$228,"INVTRY_FINISHED_GOODS","FQ2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235" s="3" t="e">
        <f ca="1">_xll.BDH($C$228,"BS_OTHER_INV","FQ2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236" spans="1:113" x14ac:dyDescent="0.3">
      <c r="A236" s="6"/>
      <c r="B236" s="6"/>
      <c r="C236" s="6"/>
      <c r="D236" s="6"/>
      <c r="E236" t="s">
        <v>80</v>
      </c>
      <c r="F236" t="e">
        <f ca="1">_xll.BDH($C$228,"RETURN_COM_EQY","FQ3 2015","FQ3 2015","Currency=INR","Period=FQ","BEST_FPERIOD_OVERRIDE=FQ","FILING_STATUS=OR","EQY_CONSOLIDATED=Y","FA_ADJUSTED=GAAP","Sort=A","Dates=H","DateFormat=P","Fill=—","Direction=H","UseDPDF=Y")</f>
        <v>#NAME?</v>
      </c>
      <c r="G236" t="e">
        <f ca="1">_xll.BDH($C$228,"RETURN_ON_ASSET","FQ3 2015","FQ3 2015","Currency=INR","Period=FQ","BEST_FPERIOD_OVERRIDE=FQ","FILING_STATUS=OR","EQY_CONSOLIDATED=Y","FA_ADJUSTED=GAAP","Sort=A","Dates=H","DateFormat=P","Fill=—","Direction=H","UseDPDF=Y")</f>
        <v>#NAME?</v>
      </c>
      <c r="H236" t="e">
        <f ca="1">_xll.BDH($C$228,"RETURN_ON_CAP","FQ3 2015","FQ3 2015","Currency=INR","Period=FQ","BEST_FPERIOD_OVERRIDE=FQ","FILING_STATUS=OR","EQY_CONSOLIDATED=Y","FA_ADJUSTED=GAAP","Sort=A","Dates=H","DateFormat=P","Fill=—","Direction=H","UseDPDF=Y")</f>
        <v>#NAME?</v>
      </c>
      <c r="I236" t="e">
        <f ca="1">_xll.BDH($C$228,"RETURN_ON_INV_CAPITAL","FQ3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236" t="e">
        <f ca="1">_xll.BDH($C$228,"EBITDA_TO_REVENUE","FQ3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236" t="e">
        <f ca="1">_xll.BDH($C$228,"OPER_MARGIN","FQ3 2015","FQ3 2015","Currency=INR","Period=FQ","BEST_FPERIOD_OVERRIDE=FQ","FILING_STATUS=OR","EQY_CONSOLIDATED=Y","FA_ADJUSTED=GAAP","Sort=A","Dates=H","DateFormat=P","Fill=—","Direction=H","UseDPDF=Y")</f>
        <v>#NAME?</v>
      </c>
      <c r="L236" t="e">
        <f ca="1">_xll.BDH($C$228,"INCREMENTAL_OPERATING_MARGIN","FQ3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236" t="e">
        <f ca="1">_xll.BDH($C$228,"PRETAX_INC_TO_NET_SALES","FQ3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236" t="e">
        <f ca="1">_xll.BDH($C$228,"INC_BEF_XO_ITEMS_TO_NET_SALES","FQ3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236" t="e">
        <f ca="1">_xll.BDH($C$228,"PROF_MARGIN","FQ3 2015","FQ3 2015","Currency=INR","Period=FQ","BEST_FPERIOD_OVERRIDE=FQ","FILING_STATUS=OR","EQY_CONSOLIDATED=Y","FA_ADJUSTED=GAAP","Sort=A","Dates=H","DateFormat=P","Fill=—","Direction=H","UseDPDF=Y")</f>
        <v>#NAME?</v>
      </c>
      <c r="P236" t="e">
        <f ca="1">_xll.BDH($C$228,"NET_INCOME_TO_COMMON_MARGIN","FQ3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236" t="e">
        <f ca="1">_xll.BDH($C$228,"EFF_TAX_RATE","FQ3 2015","FQ3 2015","Currency=INR","Period=FQ","BEST_FPERIOD_OVERRIDE=FQ","FILING_STATUS=OR","EQY_CONSOLIDATED=Y","FA_ADJUSTED=GAAP","Sort=A","Dates=H","DateFormat=P","Fill=—","Direction=H","UseDPDF=Y")</f>
        <v>#NAME?</v>
      </c>
      <c r="R236" t="e">
        <f ca="1">_xll.BDH($C$228,"DVD_PAYOUT_RATIO","FQ3 2015","FQ3 2015","Currency=INR","Period=FQ","BEST_FPERIOD_OVERRIDE=FQ","FILING_STATUS=OR","EQY_CONSOLIDATED=Y","FA_ADJUSTED=GAAP","Sort=A","Dates=H","DateFormat=P","Fill=—","Direction=H","UseDPDF=Y")</f>
        <v>#NAME?</v>
      </c>
      <c r="S236" t="e">
        <f ca="1">_xll.BDH($C$228,"SUSTAIN_GROWTH_RT","FQ3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236" s="2" t="e">
        <f ca="1">_xll.BDH($C$228,"SALES_GROWTH","FQ3 2015","FQ3 2015","Currency=INR","Period=FQ","BEST_FPERIOD_OVERRIDE=FQ","FILING_STATUS=OR","EQY_CONSOLIDATED=Y","FA_ADJUSTED=GAAP","Sort=A","Dates=H","DateFormat=P","Fill=—","Direction=H","UseDPDF=Y")</f>
        <v>#NAME?</v>
      </c>
      <c r="U236" s="2" t="e">
        <f ca="1">_xll.BDH($C$228,"EBITDA_GROWTH","FQ3 2015","FQ3 2015","Currency=INR","Period=FQ","BEST_FPERIOD_OVERRIDE=FQ","FILING_STATUS=OR","EQY_CONSOLIDATED=Y","FA_ADJUSTED=GAAP","Sort=A","Dates=H","DateFormat=P","Fill=—","Direction=H","UseDPDF=Y")</f>
        <v>#NAME?</v>
      </c>
      <c r="V236" s="2" t="e">
        <f ca="1">_xll.BDH($C$228,"OPER_INC_GROWTH","FQ3 2015","FQ3 2015","Currency=INR","Period=FQ","BEST_FPERIOD_OVERRIDE=FQ","FILING_STATUS=OR","EQY_CONSOLIDATED=Y","FA_ADJUSTED=GAAP","Sort=A","Dates=H","DateFormat=P","Fill=—","Direction=H","UseDPDF=Y")</f>
        <v>#NAME?</v>
      </c>
      <c r="W236" s="2" t="e">
        <f ca="1">_xll.BDH($C$228,"EARN_FOR_COM_GROWTH","FQ3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236" s="2" t="e">
        <f ca="1">_xll.BDH($C$228,"DILUTED_EPS_AFT_XO_ITEMS_GROWTH","FQ3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236" s="2" t="e">
        <f ca="1">_xll.BDH($C$228,"DIVIDEND_PER_SHARE_1_YEAR_GROWTH","FQ3 2015","FQ3 2015","Currency=INR","Period=FQ","BEST_FPERIOD_OVERRIDE=FQ","FILING_STATUS=OR","EQY_CONSOLIDATED=Y","Sort=A","Dates=H","DateFormat=P","Fill=—","Direction=H","UseDPDF=Y")</f>
        <v>#NAME?</v>
      </c>
      <c r="Z236" s="2" t="e">
        <f ca="1">_xll.BDH($C$228,"ACCOUNTS_RECEIVABLE_GROWTH","FQ3 2015","FQ3 2015","Currency=INR","Period=FQ","BEST_FPERIOD_OVERRIDE=FQ","FILING_STATUS=OR","EQY_CONSOLIDATED=Y","Sort=A","Dates=H","DateFormat=P","Fill=—","Direction=H","UseDPDF=Y")</f>
        <v>#NAME?</v>
      </c>
      <c r="AA236" s="2" t="e">
        <f ca="1">_xll.BDH($C$228,"INVENTORY_GROWTH","FQ3 2015","FQ3 2015","Currency=INR","Period=FQ","BEST_FPERIOD_OVERRIDE=FQ","FILING_STATUS=OR","EQY_CONSOLIDATED=Y","Sort=A","Dates=H","DateFormat=P","Fill=—","Direction=H","UseDPDF=Y")</f>
        <v>#NAME?</v>
      </c>
      <c r="AB236" s="2" t="e">
        <f ca="1">_xll.BDH($C$228,"NET_FIXED_ASSETS_1_YEAR_GROWTH","FQ3 2015","FQ3 2015","Currency=INR","Period=FQ","BEST_FPERIOD_OVERRIDE=FQ","FILING_STATUS=OR","EQY_CONSOLIDATED=Y","Sort=A","Dates=H","DateFormat=P","Fill=—","Direction=H","UseDPDF=Y")</f>
        <v>#NAME?</v>
      </c>
      <c r="AC236" s="2" t="e">
        <f ca="1">_xll.BDH($C$228,"ASSET_GROWTH","FQ3 2015","FQ3 2015","Currency=INR","Period=FQ","BEST_FPERIOD_OVERRIDE=FQ","FILING_STATUS=OR","EQY_CONSOLIDATED=Y","Sort=A","Dates=H","DateFormat=P","Fill=—","Direction=H","UseDPDF=Y")</f>
        <v>#NAME?</v>
      </c>
      <c r="AD236" s="2" t="e">
        <f ca="1">_xll.BDH($C$228,"MODIFIED_WORK_CAP_GROWTH","FQ3 2015","FQ3 2015","Currency=INR","Period=FQ","BEST_FPERIOD_OVERRIDE=FQ","FILING_STATUS=OR","EQY_CONSOLIDATED=Y","Sort=A","Dates=H","DateFormat=P","Fill=—","Direction=H","UseDPDF=Y")</f>
        <v>#NAME?</v>
      </c>
      <c r="AE236" s="2" t="e">
        <f ca="1">_xll.BDH($C$228,"WORK_CAP_GROWTH","FQ3 2015","FQ3 2015","Currency=INR","Period=FQ","BEST_FPERIOD_OVERRIDE=FQ","FILING_STATUS=OR","EQY_CONSOLIDATED=Y","Sort=A","Dates=H","DateFormat=P","Fill=—","Direction=H","UseDPDF=Y")</f>
        <v>#NAME?</v>
      </c>
      <c r="AF236" s="2" t="e">
        <f ca="1">_xll.BDH($C$228,"ACCOUNTS_PAYABLE_GROWTH_1YR","FQ3 2015","FQ3 2015","Currency=INR","Period=FQ","BEST_FPERIOD_OVERRIDE=FQ","FILING_STATUS=OR","EQY_CONSOLIDATED=Y","Sort=A","Dates=H","DateFormat=P","Fill=—","Direction=H","UseDPDF=Y")</f>
        <v>#NAME?</v>
      </c>
      <c r="AG236" s="2" t="e">
        <f ca="1">_xll.BDH($C$228,"SHORT_TERM_DEBT_1_YEAR_GROWTH","FQ3 2015","FQ3 2015","Currency=INR","Period=FQ","BEST_FPERIOD_OVERRIDE=FQ","FILING_STATUS=OR","EQY_CONSOLIDATED=Y","Sort=A","Dates=H","DateFormat=P","Fill=—","Direction=H","UseDPDF=Y")</f>
        <v>#NAME?</v>
      </c>
      <c r="AH236" s="2" t="e">
        <f ca="1">_xll.BDH($C$228,"TOTAL_DEBT_1_YEAR_GROWTH","FQ3 2015","FQ3 2015","Currency=INR","Period=FQ","BEST_FPERIOD_OVERRIDE=FQ","FILING_STATUS=OR","EQY_CONSOLIDATED=Y","Sort=A","Dates=H","DateFormat=P","Fill=—","Direction=H","UseDPDF=Y")</f>
        <v>#NAME?</v>
      </c>
      <c r="AI236" s="2" t="e">
        <f ca="1">_xll.BDH($C$228,"TOTAL_EQUITY_1_YEAR_GROWTH","FQ3 2015","FQ3 2015","Currency=INR","Period=FQ","BEST_FPERIOD_OVERRIDE=FQ","FILING_STATUS=OR","EQY_CONSOLIDATED=Y","Sort=A","Dates=H","DateFormat=P","Fill=—","Direction=H","UseDPDF=Y")</f>
        <v>#NAME?</v>
      </c>
      <c r="AJ236" s="2" t="e">
        <f ca="1">_xll.BDH($C$228,"GROWTH_IN_CAP","FQ3 2015","FQ3 2015","Currency=INR","Period=FQ","BEST_FPERIOD_OVERRIDE=FQ","FILING_STATUS=OR","EQY_CONSOLIDATED=Y","Sort=A","Dates=H","DateFormat=P","Fill=—","Direction=H","UseDPDF=Y")</f>
        <v>#NAME?</v>
      </c>
      <c r="AK236" s="2" t="e">
        <f ca="1">_xll.BDH($C$228,"BVPS_GROWTH","FQ3 2015","FQ3 2015","Currency=INR","Period=FQ","BEST_FPERIOD_OVERRIDE=FQ","FILING_STATUS=OR","EQY_CONSOLIDATED=Y","Sort=A","Dates=H","DateFormat=P","Fill=—","Direction=H","UseDPDF=Y")</f>
        <v>#NAME?</v>
      </c>
      <c r="AL236" s="2" t="e">
        <f ca="1">_xll.BDH($C$228,"CASH_FLOW_GROWTH","FQ3 2015","FQ3 2015","Currency=INR","Period=FQ","BEST_FPERIOD_OVERRIDE=FQ","FILING_STATUS=OR","EQY_CONSOLIDATED=Y","Sort=A","Dates=H","DateFormat=P","Fill=—","Direction=H","UseDPDF=Y")</f>
        <v>#NAME?</v>
      </c>
      <c r="AM236" s="2" t="e">
        <f ca="1">_xll.BDH($C$228,"GEO_GROW_NET_SALES","FQ3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236" s="2" t="e">
        <f ca="1">_xll.BDH($C$228,"GEO_GROW_EBITDA","FQ3 2015","FQ3 2015","Currency=INR","Period=FQ","BEST_FPERIOD_OVERRIDE=FQ","FILING_STATUS=OR","EQY_CONSOLIDATED=Y","FA_ADJUSTED=GAAP","Sort=A","Dates=H","DateFormat=P","Fill=—","Direction=H","UseDPDF=Y")</f>
        <v>#NAME?</v>
      </c>
      <c r="AO236" s="2" t="e">
        <f ca="1">_xll.BDH($C$228,"GEO_GROW_OPER_INC","FQ3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236" s="2" t="e">
        <f ca="1">_xll.BDH($C$228,"NET_INCOME_TO_COMMON_5_YR_GROWTH","FQ3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236" s="2" t="e">
        <f ca="1">_xll.BDH($C$228,"5Y_GEO_GROWTH_DILUTED_EPS","FQ3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236" s="2" t="e">
        <f ca="1">_xll.BDH($C$228,"GEO_GROW_DVD_PER_SH","FQ3 2015","FQ3 2015","Currency=INR","Period=FQ","BEST_FPERIOD_OVERRIDE=FQ","FILING_STATUS=OR","EQY_CONSOLIDATED=Y","Sort=A","Dates=H","DateFormat=P","Fill=—","Direction=H","UseDPDF=Y")</f>
        <v>#NAME?</v>
      </c>
      <c r="AS236" s="2" t="e">
        <f ca="1">_xll.BDH($C$228,"ACCOUNTS_RECEIVABLE_5_YR_GROWTH","FQ3 2015","FQ3 2015","Currency=INR","Period=FQ","BEST_FPERIOD_OVERRIDE=FQ","FILING_STATUS=OR","EQY_CONSOLIDATED=Y","Sort=A","Dates=H","DateFormat=P","Fill=—","Direction=H","UseDPDF=Y")</f>
        <v>#NAME?</v>
      </c>
      <c r="AT236" s="2" t="e">
        <f ca="1">_xll.BDH($C$228,"INVENTORY_5_YEAR_GROWTH","FQ3 2015","FQ3 2015","Currency=INR","Period=FQ","BEST_FPERIOD_OVERRIDE=FQ","FILING_STATUS=OR","EQY_CONSOLIDATED=Y","Sort=A","Dates=H","DateFormat=P","Fill=—","Direction=H","UseDPDF=Y")</f>
        <v>#NAME?</v>
      </c>
      <c r="AU236" s="2" t="e">
        <f ca="1">_xll.BDH($C$228,"NET_FIXED_ASSETS_5_YEAR_GROWTH","FQ3 2015","FQ3 2015","Currency=INR","Period=FQ","BEST_FPERIOD_OVERRIDE=FQ","FILING_STATUS=OR","EQY_CONSOLIDATED=Y","Sort=A","Dates=H","DateFormat=P","Fill=—","Direction=H","UseDPDF=Y")</f>
        <v>#NAME?</v>
      </c>
      <c r="AV236" s="2" t="e">
        <f ca="1">_xll.BDH($C$228,"GEO_GROW_TOT_ASSET","FQ3 2015","FQ3 2015","Currency=INR","Period=FQ","BEST_FPERIOD_OVERRIDE=FQ","FILING_STATUS=OR","EQY_CONSOLIDATED=Y","Sort=A","Dates=H","DateFormat=P","Fill=—","Direction=H","UseDPDF=Y")</f>
        <v>#NAME?</v>
      </c>
      <c r="AW236" s="2" t="e">
        <f ca="1">_xll.BDH($C$228,"MODIFIED_WORKING_CPTL_5YR_GRWTH","FQ3 2015","FQ3 2015","Currency=INR","Period=FQ","BEST_FPERIOD_OVERRIDE=FQ","FILING_STATUS=OR","EQY_CONSOLIDATED=Y","Sort=A","Dates=H","DateFormat=P","Fill=—","Direction=H","UseDPDF=Y")</f>
        <v>#NAME?</v>
      </c>
      <c r="AX236" s="2" t="e">
        <f ca="1">_xll.BDH($C$228,"WORKING_CAPITAL_5_YEAR_GROWTH","FQ3 2015","FQ3 2015","Currency=INR","Period=FQ","BEST_FPERIOD_OVERRIDE=FQ","FILING_STATUS=OR","EQY_CONSOLIDATED=Y","Sort=A","Dates=H","DateFormat=P","Fill=—","Direction=H","UseDPDF=Y")</f>
        <v>#NAME?</v>
      </c>
      <c r="AY236" s="2" t="e">
        <f ca="1">_xll.BDH($C$228,"ACCOUNTS_PAYABLE_5_YEAR_GROWTH","FQ3 2015","FQ3 2015","Currency=INR","Period=FQ","BEST_FPERIOD_OVERRIDE=FQ","FILING_STATUS=OR","EQY_CONSOLIDATED=Y","Sort=A","Dates=H","DateFormat=P","Fill=—","Direction=H","UseDPDF=Y")</f>
        <v>#NAME?</v>
      </c>
      <c r="AZ236" s="2" t="e">
        <f ca="1">_xll.BDH($C$228,"SHORT_TERM_DEBT_5_YEAR_GROWTH","FQ3 2015","FQ3 2015","Currency=INR","Period=FQ","BEST_FPERIOD_OVERRIDE=FQ","FILING_STATUS=OR","EQY_CONSOLIDATED=Y","Sort=A","Dates=H","DateFormat=P","Fill=—","Direction=H","UseDPDF=Y")</f>
        <v>#NAME?</v>
      </c>
      <c r="BA236" s="2" t="e">
        <f ca="1">_xll.BDH($C$228,"TOTAL_DEBT_5_YEAR_GROWTH","FQ3 2015","FQ3 2015","Currency=INR","Period=FQ","BEST_FPERIOD_OVERRIDE=FQ","FILING_STATUS=OR","EQY_CONSOLIDATED=Y","Sort=A","Dates=H","DateFormat=P","Fill=—","Direction=H","UseDPDF=Y")</f>
        <v>#NAME?</v>
      </c>
      <c r="BB236" s="2" t="e">
        <f ca="1">_xll.BDH($C$228,"GEO_GROW_TOT_SHRHLDR_EQY","FQ3 2015","FQ3 2015","Currency=INR","Period=FQ","BEST_FPERIOD_OVERRIDE=FQ","FILING_STATUS=OR","EQY_CONSOLIDATED=Y","Sort=A","Dates=H","DateFormat=P","Fill=—","Direction=H","UseDPDF=Y")</f>
        <v>#NAME?</v>
      </c>
      <c r="BC236" s="2" t="e">
        <f ca="1">_xll.BDH($C$228,"TOTAL_CAPITAL_5_YEAR_GROWTH","FQ3 2015","FQ3 2015","Currency=INR","Period=FQ","BEST_FPERIOD_OVERRIDE=FQ","FILING_STATUS=OR","EQY_CONSOLIDATED=Y","Sort=A","Dates=H","DateFormat=P","Fill=—","Direction=H","UseDPDF=Y")</f>
        <v>#NAME?</v>
      </c>
      <c r="BD236" s="2" t="e">
        <f ca="1">_xll.BDH($C$228,"GEO_GROW_BOOK_VAL","FQ3 2015","FQ3 2015","Currency=INR","Period=FQ","BEST_FPERIOD_OVERRIDE=FQ","FILING_STATUS=OR","EQY_CONSOLIDATED=Y","Sort=A","Dates=H","DateFormat=P","Fill=—","Direction=H","UseDPDF=Y")</f>
        <v>#NAME?</v>
      </c>
      <c r="BE236" s="2" t="e">
        <f ca="1">_xll.BDH($C$228,"GEO_GROW_CASH_OPER_ACT","FQ3 2015","FQ3 2015","Currency=INR","Period=FQ","BEST_FPERIOD_OVERRIDE=FQ","FILING_STATUS=OR","EQY_CONSOLIDATED=Y","Sort=A","Dates=H","DateFormat=P","Fill=—","Direction=H","UseDPDF=Y")</f>
        <v>#NAME?</v>
      </c>
      <c r="BF236" s="2" t="e">
        <f ca="1">_xll.BDH($C$228,"REVENUE_SEQUENTIAL_GROWTH","FQ3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236" s="2" t="e">
        <f ca="1">_xll.BDH($C$228,"EBITDA_SEQUENTIAL_GROWTH","FQ3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236" s="2" t="e">
        <f ca="1">_xll.BDH($C$228,"OPERATING_INCOME_SEQ_GROWTH","FQ3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236" s="2" t="e">
        <f ca="1">_xll.BDH($C$228,"NET_INCOME_TO_COMMON_SEQ_GROWTH","FQ3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236" s="2" t="e">
        <f ca="1">_xll.BDH($C$228,"EPS_DILUTED_SEQUENTIAL_GROWTH","FQ3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236" s="2" t="e">
        <f ca="1">_xll.BDH($C$228,"DPS_SEQUENTIAL_GROWTH","FQ3 2015","FQ3 2015","Currency=INR","Period=FQ","BEST_FPERIOD_OVERRIDE=FQ","FILING_STATUS=OR","EQY_CONSOLIDATED=Y","Sort=A","Dates=H","DateFormat=P","Fill=—","Direction=H","UseDPDF=Y")</f>
        <v>#NAME?</v>
      </c>
      <c r="BL236" s="2" t="e">
        <f ca="1">_xll.BDH($C$228,"ACCOUNTS_RECEIVABLE_SEQ_GROWTH","FQ3 2015","FQ3 2015","Currency=INR","Period=FQ","BEST_FPERIOD_OVERRIDE=FQ","FILING_STATUS=OR","EQY_CONSOLIDATED=Y","Sort=A","Dates=H","DateFormat=P","Fill=—","Direction=H","UseDPDF=Y")</f>
        <v>#NAME?</v>
      </c>
      <c r="BM236" s="2" t="e">
        <f ca="1">_xll.BDH($C$228,"INVENTORY_SEQUENTIAL_GROWTH","FQ3 2015","FQ3 2015","Currency=INR","Period=FQ","BEST_FPERIOD_OVERRIDE=FQ","FILING_STATUS=OR","EQY_CONSOLIDATED=Y","Sort=A","Dates=H","DateFormat=P","Fill=—","Direction=H","UseDPDF=Y")</f>
        <v>#NAME?</v>
      </c>
      <c r="BN236" s="2" t="e">
        <f ca="1">_xll.BDH($C$228,"FIXED_ASSETS_SEQUENTIAL_GROWTH","FQ3 2015","FQ3 2015","Currency=INR","Period=FQ","BEST_FPERIOD_OVERRIDE=FQ","FILING_STATUS=OR","EQY_CONSOLIDATED=Y","Sort=A","Dates=H","DateFormat=P","Fill=—","Direction=H","UseDPDF=Y")</f>
        <v>#NAME?</v>
      </c>
      <c r="BO236" s="2" t="e">
        <f ca="1">_xll.BDH($C$228,"TOTAL_ASSETS_SEQUENTIAL_GROWTH","FQ3 2015","FQ3 2015","Currency=INR","Period=FQ","BEST_FPERIOD_OVERRIDE=FQ","FILING_STATUS=OR","EQY_CONSOLIDATED=Y","Sort=A","Dates=H","DateFormat=P","Fill=—","Direction=H","UseDPDF=Y")</f>
        <v>#NAME?</v>
      </c>
      <c r="BP236" s="2" t="e">
        <f ca="1">_xll.BDH($C$228,"MODIFIED_WORKING_CPTL_SEQ_GRWTH","FQ3 2015","FQ3 2015","Currency=INR","Period=FQ","BEST_FPERIOD_OVERRIDE=FQ","FILING_STATUS=OR","EQY_CONSOLIDATED=Y","Sort=A","Dates=H","DateFormat=P","Fill=—","Direction=H","UseDPDF=Y")</f>
        <v>#NAME?</v>
      </c>
      <c r="BQ236" s="2" t="e">
        <f ca="1">_xll.BDH($C$228,"WORKING_CAPITAL_SEQ_GROWTH","FQ3 2015","FQ3 2015","Currency=INR","Period=FQ","BEST_FPERIOD_OVERRIDE=FQ","FILING_STATUS=OR","EQY_CONSOLIDATED=Y","Sort=A","Dates=H","DateFormat=P","Fill=—","Direction=H","UseDPDF=Y")</f>
        <v>#NAME?</v>
      </c>
      <c r="BR236" s="2" t="e">
        <f ca="1">_xll.BDH($C$228,"ACCOUNTS_PAYABLE_SEQ_GROWTH","FQ3 2015","FQ3 2015","Currency=INR","Period=FQ","BEST_FPERIOD_OVERRIDE=FQ","FILING_STATUS=OR","EQY_CONSOLIDATED=Y","Sort=A","Dates=H","DateFormat=P","Fill=—","Direction=H","UseDPDF=Y")</f>
        <v>#NAME?</v>
      </c>
      <c r="BS236" s="2" t="e">
        <f ca="1">_xll.BDH($C$228,"ST_DEBT_SEQUENTIAL_GROWTH","FQ3 2015","FQ3 2015","Currency=INR","Period=FQ","BEST_FPERIOD_OVERRIDE=FQ","FILING_STATUS=OR","EQY_CONSOLIDATED=Y","Sort=A","Dates=H","DateFormat=P","Fill=—","Direction=H","UseDPDF=Y")</f>
        <v>#NAME?</v>
      </c>
      <c r="BT236" s="2" t="e">
        <f ca="1">_xll.BDH($C$228,"TOTAL_DEBT_SEQUENTIAL_GROWTH","FQ3 2015","FQ3 2015","Currency=INR","Period=FQ","BEST_FPERIOD_OVERRIDE=FQ","FILING_STATUS=OR","EQY_CONSOLIDATED=Y","Sort=A","Dates=H","DateFormat=P","Fill=—","Direction=H","UseDPDF=Y")</f>
        <v>#NAME?</v>
      </c>
      <c r="BU236" s="2" t="e">
        <f ca="1">_xll.BDH($C$228,"TOTAL_EQUITY_SEQUENTIAL_GROWTH","FQ3 2015","FQ3 2015","Currency=INR","Period=FQ","BEST_FPERIOD_OVERRIDE=FQ","FILING_STATUS=OR","EQY_CONSOLIDATED=Y","Sort=A","Dates=H","DateFormat=P","Fill=—","Direction=H","UseDPDF=Y")</f>
        <v>#NAME?</v>
      </c>
      <c r="BV236" s="2" t="e">
        <f ca="1">_xll.BDH($C$228,"TOTAL_CAPITAL_SEQUENTIAL_GROWTH","FQ3 2015","FQ3 2015","Currency=INR","Period=FQ","BEST_FPERIOD_OVERRIDE=FQ","FILING_STATUS=OR","EQY_CONSOLIDATED=Y","Sort=A","Dates=H","DateFormat=P","Fill=—","Direction=H","UseDPDF=Y")</f>
        <v>#NAME?</v>
      </c>
      <c r="BW236" s="2" t="e">
        <f ca="1">_xll.BDH($C$228,"BPS_SEQUENTIAL_GROWTH","FQ3 2015","FQ3 2015","Currency=INR","Period=FQ","BEST_FPERIOD_OVERRIDE=FQ","FILING_STATUS=OR","EQY_CONSOLIDATED=Y","Sort=A","Dates=H","DateFormat=P","Fill=—","Direction=H","UseDPDF=Y")</f>
        <v>#NAME?</v>
      </c>
      <c r="BX236" s="2" t="e">
        <f ca="1">_xll.BDH($C$228,"CFO_SEQUENTIAL_GROWTH","FQ3 2015","FQ3 2015","Currency=INR","Period=FQ","BEST_FPERIOD_OVERRIDE=FQ","FILING_STATUS=OR","EQY_CONSOLIDATED=Y","Sort=A","Dates=H","DateFormat=P","Fill=—","Direction=H","UseDPDF=Y")</f>
        <v>#NAME?</v>
      </c>
      <c r="BY236" s="3" t="e">
        <f ca="1">_xll.BDH($C$228,"SHORT_AND_LONG_TERM_DEBT","FQ3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236" s="3" t="e">
        <f ca="1">_xll.BDH($C$228,"BS_ST_BORROW","FQ3 2015","FQ3 2015","Currency=INR","Period=FQ","BEST_FPERIOD_OVERRIDE=FQ","FILING_STATUS=OR","EQY_CONSOLIDATED=Y","SCALING_FORMAT=MLN","Sort=A","Dates=H","DateFormat=P","Fill=—","Direction=H","UseDPDF=Y")</f>
        <v>#NAME?</v>
      </c>
      <c r="CA236" s="3" t="e">
        <f ca="1">_xll.BDH($C$228,"BS_LT_BORROW","FQ3 2015","FQ3 2015","Currency=INR","Period=FQ","BEST_FPERIOD_OVERRIDE=FQ","FILING_STATUS=OR","EQY_CONSOLIDATED=Y","SCALING_FORMAT=MLN","Sort=A","Dates=H","DateFormat=P","Fill=—","Direction=H","UseDPDF=Y")</f>
        <v>#NAME?</v>
      </c>
      <c r="CB236" s="2" t="e">
        <f ca="1">_xll.BDH($C$228,"TOT_DEBT_TO_EBITDA","FQ3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236" s="2" t="e">
        <f ca="1">_xll.BDH($C$228,"NET_DEBT_TO_EBITDA","FQ3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236" s="2" t="e">
        <f ca="1">_xll.BDH($C$228,"TOTAL_DEBT_TO_EBIT","FQ3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236" s="2" t="e">
        <f ca="1">_xll.BDH($C$228,"NET_DEBT_TO_EBIT","FQ3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236" s="2" t="e">
        <f ca="1">_xll.BDH($C$228,"EBITDA_TO_INTEREST_EXPN","FQ3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236" s="2" t="e">
        <f ca="1">_xll.BDH($C$228,"COM_EQY_TO_TOT_ASSET","FQ3 2015","FQ3 2015","Currency=INR","Period=FQ","BEST_FPERIOD_OVERRIDE=FQ","FILING_STATUS=OR","EQY_CONSOLIDATED=Y","Sort=A","Dates=H","DateFormat=P","Fill=—","Direction=H","UseDPDF=Y")</f>
        <v>#NAME?</v>
      </c>
      <c r="CH236" s="2" t="e">
        <f ca="1">_xll.BDH($C$228,"LT_DEBT_TO_TOT_EQY","FQ3 2015","FQ3 2015","Currency=INR","Period=FQ","BEST_FPERIOD_OVERRIDE=FQ","FILING_STATUS=OR","EQY_CONSOLIDATED=Y","Sort=A","Dates=H","DateFormat=P","Fill=—","Direction=H","UseDPDF=Y")</f>
        <v>#NAME?</v>
      </c>
      <c r="CI236" s="2" t="e">
        <f ca="1">_xll.BDH($C$228,"LT_DEBT_TO_TOT_CAP","FQ3 2015","FQ3 2015","Currency=INR","Period=FQ","BEST_FPERIOD_OVERRIDE=FQ","FILING_STATUS=OR","EQY_CONSOLIDATED=Y","Sort=A","Dates=H","DateFormat=P","Fill=—","Direction=H","UseDPDF=Y")</f>
        <v>#NAME?</v>
      </c>
      <c r="CJ236" s="2" t="e">
        <f ca="1">_xll.BDH($C$228,"LT_DEBT_TO_TOT_ASSET","FQ3 2015","FQ3 2015","Currency=INR","Period=FQ","BEST_FPERIOD_OVERRIDE=FQ","FILING_STATUS=OR","EQY_CONSOLIDATED=Y","Sort=A","Dates=H","DateFormat=P","Fill=—","Direction=H","UseDPDF=Y")</f>
        <v>#NAME?</v>
      </c>
      <c r="CK236" s="2" t="e">
        <f ca="1">_xll.BDH($C$228,"TOT_DEBT_TO_TOT_EQY","FQ3 2015","FQ3 2015","Currency=INR","Period=FQ","BEST_FPERIOD_OVERRIDE=FQ","FILING_STATUS=OR","EQY_CONSOLIDATED=Y","Sort=A","Dates=H","DateFormat=P","Fill=—","Direction=H","UseDPDF=Y")</f>
        <v>#NAME?</v>
      </c>
      <c r="CL236" s="2" t="e">
        <f ca="1">_xll.BDH($C$228,"TOT_DEBT_TO_TOT_CAP","FQ3 2015","FQ3 2015","Currency=INR","Period=FQ","BEST_FPERIOD_OVERRIDE=FQ","FILING_STATUS=OR","EQY_CONSOLIDATED=Y","Sort=A","Dates=H","DateFormat=P","Fill=—","Direction=H","UseDPDF=Y")</f>
        <v>#NAME?</v>
      </c>
      <c r="CM236" s="2" t="e">
        <f ca="1">_xll.BDH($C$228,"TOT_DEBT_TO_TOT_ASSET","FQ3 2015","FQ3 2015","Currency=INR","Period=FQ","BEST_FPERIOD_OVERRIDE=FQ","FILING_STATUS=OR","EQY_CONSOLIDATED=Y","Sort=A","Dates=H","DateFormat=P","Fill=—","Direction=H","UseDPDF=Y")</f>
        <v>#NAME?</v>
      </c>
      <c r="CN236" s="2" t="e">
        <f ca="1">_xll.BDH($C$228,"NET_DEBT_TO_SHRHLDR_EQTY","FQ3 2015","FQ3 2015","Currency=INR","Period=FQ","BEST_FPERIOD_OVERRIDE=FQ","FILING_STATUS=OR","EQY_CONSOLIDATED=Y","Sort=A","Dates=H","DateFormat=P","Fill=—","Direction=H","UseDPDF=Y")</f>
        <v>#NAME?</v>
      </c>
      <c r="CO236" s="2" t="e">
        <f ca="1">_xll.BDH($C$228,"NET_DEBT_%_CAPITAL","FQ3 2015","FQ3 2015","Currency=INR","Period=FQ","BEST_FPERIOD_OVERRIDE=FQ","FILING_STATUS=OR","EQY_CONSOLIDATED=Y","Sort=A","Dates=H","DateFormat=P","Fill=—","Direction=H","UseDPDF=Y")</f>
        <v>#NAME?</v>
      </c>
      <c r="CP236" s="3" t="e">
        <f ca="1">_xll.BDH($C$228,"EBITDA","FQ3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236" s="3" t="e">
        <f ca="1">_xll.BDH($C$228,"EBITDA_AFTER_CAPEX","FQ3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236" s="3" t="e">
        <f ca="1">_xll.BDH($C$228,"IS_OPER_INC","FQ3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236" s="2" t="e">
        <f ca="1">_xll.BDH($C$228,"CASH_RATIO","FQ3 2015","FQ3 2015","Currency=INR","Period=FQ","BEST_FPERIOD_OVERRIDE=FQ","FILING_STATUS=OR","EQY_CONSOLIDATED=Y","Sort=A","Dates=H","DateFormat=P","Fill=—","Direction=H","UseDPDF=Y")</f>
        <v>#NAME?</v>
      </c>
      <c r="CT236" s="2" t="e">
        <f ca="1">_xll.BDH($C$228,"CUR_RATIO","FQ3 2015","FQ3 2015","Currency=INR","Period=FQ","BEST_FPERIOD_OVERRIDE=FQ","FILING_STATUS=OR","EQY_CONSOLIDATED=Y","Sort=A","Dates=H","DateFormat=P","Fill=—","Direction=H","UseDPDF=Y")</f>
        <v>#NAME?</v>
      </c>
      <c r="CU236" s="2" t="e">
        <f ca="1">_xll.BDH($C$228,"QUICK_RATIO","FQ3 2015","FQ3 2015","Currency=INR","Period=FQ","BEST_FPERIOD_OVERRIDE=FQ","FILING_STATUS=OR","EQY_CONSOLIDATED=Y","Sort=A","Dates=H","DateFormat=P","Fill=—","Direction=H","UseDPDF=Y")</f>
        <v>#NAME?</v>
      </c>
      <c r="CV236" s="2" t="e">
        <f ca="1">_xll.BDH($C$228,"ALTMAN_Z_SCORE","FQ3 2015","FQ3 2015","Currency=INR","Period=FQ","BEST_FPERIOD_OVERRIDE=FQ","FILING_STATUS=OR","EQY_CONSOLIDATED=Y","Sort=A","Dates=H","DateFormat=P","Fill=—","Direction=H","UseDPDF=Y")</f>
        <v>#NAME?</v>
      </c>
      <c r="CW236" s="4" t="e">
        <f ca="1">_xll.BDH($C$228,"ACCT_RCV_TURN","FQ3 2015","FQ3 2015","Currency=INR","Period=FQ","BEST_FPERIOD_OVERRIDE=FQ","FILING_STATUS=OR","EQY_CONSOLIDATED=Y","FA_ADJUSTED=GAAP","Sort=A","Dates=H","DateFormat=P","Fill=—","Direction=H","UseDPDF=Y")</f>
        <v>#NAME?</v>
      </c>
      <c r="CX236" s="2" t="e">
        <f ca="1">_xll.BDH($C$228,"ACCT_RCV_DAYS","FQ3 2015","FQ3 2015","Currency=INR","Period=FQ","BEST_FPERIOD_OVERRIDE=FQ","FILING_STATUS=OR","EQY_CONSOLIDATED=Y","FA_ADJUSTED=GAAP","Sort=A","Dates=H","DateFormat=P","Fill=—","Direction=H","UseDPDF=Y")</f>
        <v>#NAME?</v>
      </c>
      <c r="CY236" s="4" t="e">
        <f ca="1">_xll.BDH($C$228,"INVENT_TURN","FQ3 2015","FQ3 2015","Currency=INR","Period=FQ","BEST_FPERIOD_OVERRIDE=FQ","FILING_STATUS=OR","EQY_CONSOLIDATED=Y","FA_ADJUSTED=GAAP","Sort=A","Dates=H","DateFormat=P","Fill=—","Direction=H","UseDPDF=Y")</f>
        <v>#NAME?</v>
      </c>
      <c r="CZ236" s="2" t="e">
        <f ca="1">_xll.BDH($C$228,"INVENT_DAYS","FQ3 2015","FQ3 2015","Currency=INR","Period=FQ","BEST_FPERIOD_OVERRIDE=FQ","FILING_STATUS=OR","EQY_CONSOLIDATED=Y","FA_ADJUSTED=GAAP","Sort=A","Dates=H","DateFormat=P","Fill=—","Direction=H","UseDPDF=Y")</f>
        <v>#NAME?</v>
      </c>
      <c r="DA236" s="4" t="e">
        <f ca="1">_xll.BDH($C$228,"ACCOUNTS_PAYABLE_TURNOVER","FQ3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236" s="2" t="e">
        <f ca="1">_xll.BDH($C$228,"ACCOUNTS_PAYABLE_TURNOVER_DAYS","FQ3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236" s="4" t="e">
        <f ca="1">_xll.BDH($C$228,"CASH_CONVERSION_CYCLE","FQ3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236" s="4" t="e">
        <f ca="1">_xll.BDH($C$228,"INV_TO_CASH_DAYS","FQ3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236" s="5" t="e">
        <f ca="1">_xll.BDH($C$228,"BS_INVENTORIES","FQ3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236" s="3" t="e">
        <f ca="1">_xll.BDH($C$228,"INVTRY_RAW_MATERIALS","FQ3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236" s="3" t="e">
        <f ca="1">_xll.BDH($C$228,"INVTRY_IN_PROGRESS","FQ3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236" s="3" t="e">
        <f ca="1">_xll.BDH($C$228,"INVTRY_FINISHED_GOODS","FQ3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236" s="3" t="e">
        <f ca="1">_xll.BDH($C$228,"BS_OTHER_INV","FQ3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237" spans="1:113" x14ac:dyDescent="0.3">
      <c r="A237" s="6"/>
      <c r="B237" s="6"/>
      <c r="C237" s="6"/>
      <c r="D237" s="6"/>
      <c r="E237" t="s">
        <v>81</v>
      </c>
      <c r="F237" t="e">
        <f ca="1">_xll.BDH($C$228,"RETURN_COM_EQY","FQ4 2015","FQ4 2015","Currency=INR","Period=FQ","BEST_FPERIOD_OVERRIDE=FQ","FILING_STATUS=OR","EQY_CONSOLIDATED=Y","FA_ADJUSTED=GAAP","Sort=A","Dates=H","DateFormat=P","Fill=—","Direction=H","UseDPDF=Y")</f>
        <v>#NAME?</v>
      </c>
      <c r="G237" t="e">
        <f ca="1">_xll.BDH($C$228,"RETURN_ON_ASSET","FQ4 2015","FQ4 2015","Currency=INR","Period=FQ","BEST_FPERIOD_OVERRIDE=FQ","FILING_STATUS=OR","EQY_CONSOLIDATED=Y","FA_ADJUSTED=GAAP","Sort=A","Dates=H","DateFormat=P","Fill=—","Direction=H","UseDPDF=Y")</f>
        <v>#NAME?</v>
      </c>
      <c r="H237" t="e">
        <f ca="1">_xll.BDH($C$228,"RETURN_ON_CAP","FQ4 2015","FQ4 2015","Currency=INR","Period=FQ","BEST_FPERIOD_OVERRIDE=FQ","FILING_STATUS=OR","EQY_CONSOLIDATED=Y","FA_ADJUSTED=GAAP","Sort=A","Dates=H","DateFormat=P","Fill=—","Direction=H","UseDPDF=Y")</f>
        <v>#NAME?</v>
      </c>
      <c r="I237" t="e">
        <f ca="1">_xll.BDH($C$228,"RETURN_ON_INV_CAPITAL","FQ4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237" t="e">
        <f ca="1">_xll.BDH($C$228,"EBITDA_TO_REVENUE","FQ4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237" t="e">
        <f ca="1">_xll.BDH($C$228,"OPER_MARGIN","FQ4 2015","FQ4 2015","Currency=INR","Period=FQ","BEST_FPERIOD_OVERRIDE=FQ","FILING_STATUS=OR","EQY_CONSOLIDATED=Y","FA_ADJUSTED=GAAP","Sort=A","Dates=H","DateFormat=P","Fill=—","Direction=H","UseDPDF=Y")</f>
        <v>#NAME?</v>
      </c>
      <c r="L237" t="e">
        <f ca="1">_xll.BDH($C$228,"INCREMENTAL_OPERATING_MARGIN","FQ4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237" t="e">
        <f ca="1">_xll.BDH($C$228,"PRETAX_INC_TO_NET_SALES","FQ4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237" t="e">
        <f ca="1">_xll.BDH($C$228,"INC_BEF_XO_ITEMS_TO_NET_SALES","FQ4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237" t="e">
        <f ca="1">_xll.BDH($C$228,"PROF_MARGIN","FQ4 2015","FQ4 2015","Currency=INR","Period=FQ","BEST_FPERIOD_OVERRIDE=FQ","FILING_STATUS=OR","EQY_CONSOLIDATED=Y","FA_ADJUSTED=GAAP","Sort=A","Dates=H","DateFormat=P","Fill=—","Direction=H","UseDPDF=Y")</f>
        <v>#NAME?</v>
      </c>
      <c r="P237" t="e">
        <f ca="1">_xll.BDH($C$228,"NET_INCOME_TO_COMMON_MARGIN","FQ4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237" t="e">
        <f ca="1">_xll.BDH($C$228,"EFF_TAX_RATE","FQ4 2015","FQ4 2015","Currency=INR","Period=FQ","BEST_FPERIOD_OVERRIDE=FQ","FILING_STATUS=OR","EQY_CONSOLIDATED=Y","FA_ADJUSTED=GAAP","Sort=A","Dates=H","DateFormat=P","Fill=—","Direction=H","UseDPDF=Y")</f>
        <v>#NAME?</v>
      </c>
      <c r="R237" t="e">
        <f ca="1">_xll.BDH($C$228,"DVD_PAYOUT_RATIO","FQ4 2015","FQ4 2015","Currency=INR","Period=FQ","BEST_FPERIOD_OVERRIDE=FQ","FILING_STATUS=OR","EQY_CONSOLIDATED=Y","FA_ADJUSTED=GAAP","Sort=A","Dates=H","DateFormat=P","Fill=—","Direction=H","UseDPDF=Y")</f>
        <v>#NAME?</v>
      </c>
      <c r="S237" t="e">
        <f ca="1">_xll.BDH($C$228,"SUSTAIN_GROWTH_RT","FQ4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237" s="2" t="e">
        <f ca="1">_xll.BDH($C$228,"SALES_GROWTH","FQ4 2015","FQ4 2015","Currency=INR","Period=FQ","BEST_FPERIOD_OVERRIDE=FQ","FILING_STATUS=OR","EQY_CONSOLIDATED=Y","FA_ADJUSTED=GAAP","Sort=A","Dates=H","DateFormat=P","Fill=—","Direction=H","UseDPDF=Y")</f>
        <v>#NAME?</v>
      </c>
      <c r="U237" s="2" t="e">
        <f ca="1">_xll.BDH($C$228,"EBITDA_GROWTH","FQ4 2015","FQ4 2015","Currency=INR","Period=FQ","BEST_FPERIOD_OVERRIDE=FQ","FILING_STATUS=OR","EQY_CONSOLIDATED=Y","FA_ADJUSTED=GAAP","Sort=A","Dates=H","DateFormat=P","Fill=—","Direction=H","UseDPDF=Y")</f>
        <v>#NAME?</v>
      </c>
      <c r="V237" s="2" t="e">
        <f ca="1">_xll.BDH($C$228,"OPER_INC_GROWTH","FQ4 2015","FQ4 2015","Currency=INR","Period=FQ","BEST_FPERIOD_OVERRIDE=FQ","FILING_STATUS=OR","EQY_CONSOLIDATED=Y","FA_ADJUSTED=GAAP","Sort=A","Dates=H","DateFormat=P","Fill=—","Direction=H","UseDPDF=Y")</f>
        <v>#NAME?</v>
      </c>
      <c r="W237" s="2" t="e">
        <f ca="1">_xll.BDH($C$228,"EARN_FOR_COM_GROWTH","FQ4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237" s="2" t="e">
        <f ca="1">_xll.BDH($C$228,"DILUTED_EPS_AFT_XO_ITEMS_GROWTH","FQ4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237" s="2" t="e">
        <f ca="1">_xll.BDH($C$228,"DIVIDEND_PER_SHARE_1_YEAR_GROWTH","FQ4 2015","FQ4 2015","Currency=INR","Period=FQ","BEST_FPERIOD_OVERRIDE=FQ","FILING_STATUS=OR","EQY_CONSOLIDATED=Y","Sort=A","Dates=H","DateFormat=P","Fill=—","Direction=H","UseDPDF=Y")</f>
        <v>#NAME?</v>
      </c>
      <c r="Z237" s="2" t="e">
        <f ca="1">_xll.BDH($C$228,"ACCOUNTS_RECEIVABLE_GROWTH","FQ4 2015","FQ4 2015","Currency=INR","Period=FQ","BEST_FPERIOD_OVERRIDE=FQ","FILING_STATUS=OR","EQY_CONSOLIDATED=Y","Sort=A","Dates=H","DateFormat=P","Fill=—","Direction=H","UseDPDF=Y")</f>
        <v>#NAME?</v>
      </c>
      <c r="AA237" s="2" t="e">
        <f ca="1">_xll.BDH($C$228,"INVENTORY_GROWTH","FQ4 2015","FQ4 2015","Currency=INR","Period=FQ","BEST_FPERIOD_OVERRIDE=FQ","FILING_STATUS=OR","EQY_CONSOLIDATED=Y","Sort=A","Dates=H","DateFormat=P","Fill=—","Direction=H","UseDPDF=Y")</f>
        <v>#NAME?</v>
      </c>
      <c r="AB237" s="2" t="e">
        <f ca="1">_xll.BDH($C$228,"NET_FIXED_ASSETS_1_YEAR_GROWTH","FQ4 2015","FQ4 2015","Currency=INR","Period=FQ","BEST_FPERIOD_OVERRIDE=FQ","FILING_STATUS=OR","EQY_CONSOLIDATED=Y","Sort=A","Dates=H","DateFormat=P","Fill=—","Direction=H","UseDPDF=Y")</f>
        <v>#NAME?</v>
      </c>
      <c r="AC237" s="2" t="e">
        <f ca="1">_xll.BDH($C$228,"ASSET_GROWTH","FQ4 2015","FQ4 2015","Currency=INR","Period=FQ","BEST_FPERIOD_OVERRIDE=FQ","FILING_STATUS=OR","EQY_CONSOLIDATED=Y","Sort=A","Dates=H","DateFormat=P","Fill=—","Direction=H","UseDPDF=Y")</f>
        <v>#NAME?</v>
      </c>
      <c r="AD237" s="2" t="e">
        <f ca="1">_xll.BDH($C$228,"MODIFIED_WORK_CAP_GROWTH","FQ4 2015","FQ4 2015","Currency=INR","Period=FQ","BEST_FPERIOD_OVERRIDE=FQ","FILING_STATUS=OR","EQY_CONSOLIDATED=Y","Sort=A","Dates=H","DateFormat=P","Fill=—","Direction=H","UseDPDF=Y")</f>
        <v>#NAME?</v>
      </c>
      <c r="AE237" s="2" t="e">
        <f ca="1">_xll.BDH($C$228,"WORK_CAP_GROWTH","FQ4 2015","FQ4 2015","Currency=INR","Period=FQ","BEST_FPERIOD_OVERRIDE=FQ","FILING_STATUS=OR","EQY_CONSOLIDATED=Y","Sort=A","Dates=H","DateFormat=P","Fill=—","Direction=H","UseDPDF=Y")</f>
        <v>#NAME?</v>
      </c>
      <c r="AF237" s="2" t="e">
        <f ca="1">_xll.BDH($C$228,"ACCOUNTS_PAYABLE_GROWTH_1YR","FQ4 2015","FQ4 2015","Currency=INR","Period=FQ","BEST_FPERIOD_OVERRIDE=FQ","FILING_STATUS=OR","EQY_CONSOLIDATED=Y","Sort=A","Dates=H","DateFormat=P","Fill=—","Direction=H","UseDPDF=Y")</f>
        <v>#NAME?</v>
      </c>
      <c r="AG237" s="2" t="e">
        <f ca="1">_xll.BDH($C$228,"SHORT_TERM_DEBT_1_YEAR_GROWTH","FQ4 2015","FQ4 2015","Currency=INR","Period=FQ","BEST_FPERIOD_OVERRIDE=FQ","FILING_STATUS=OR","EQY_CONSOLIDATED=Y","Sort=A","Dates=H","DateFormat=P","Fill=—","Direction=H","UseDPDF=Y")</f>
        <v>#NAME?</v>
      </c>
      <c r="AH237" s="2" t="e">
        <f ca="1">_xll.BDH($C$228,"TOTAL_DEBT_1_YEAR_GROWTH","FQ4 2015","FQ4 2015","Currency=INR","Period=FQ","BEST_FPERIOD_OVERRIDE=FQ","FILING_STATUS=OR","EQY_CONSOLIDATED=Y","Sort=A","Dates=H","DateFormat=P","Fill=—","Direction=H","UseDPDF=Y")</f>
        <v>#NAME?</v>
      </c>
      <c r="AI237" s="2" t="e">
        <f ca="1">_xll.BDH($C$228,"TOTAL_EQUITY_1_YEAR_GROWTH","FQ4 2015","FQ4 2015","Currency=INR","Period=FQ","BEST_FPERIOD_OVERRIDE=FQ","FILING_STATUS=OR","EQY_CONSOLIDATED=Y","Sort=A","Dates=H","DateFormat=P","Fill=—","Direction=H","UseDPDF=Y")</f>
        <v>#NAME?</v>
      </c>
      <c r="AJ237" s="2" t="e">
        <f ca="1">_xll.BDH($C$228,"GROWTH_IN_CAP","FQ4 2015","FQ4 2015","Currency=INR","Period=FQ","BEST_FPERIOD_OVERRIDE=FQ","FILING_STATUS=OR","EQY_CONSOLIDATED=Y","Sort=A","Dates=H","DateFormat=P","Fill=—","Direction=H","UseDPDF=Y")</f>
        <v>#NAME?</v>
      </c>
      <c r="AK237" s="2" t="e">
        <f ca="1">_xll.BDH($C$228,"BVPS_GROWTH","FQ4 2015","FQ4 2015","Currency=INR","Period=FQ","BEST_FPERIOD_OVERRIDE=FQ","FILING_STATUS=OR","EQY_CONSOLIDATED=Y","Sort=A","Dates=H","DateFormat=P","Fill=—","Direction=H","UseDPDF=Y")</f>
        <v>#NAME?</v>
      </c>
      <c r="AL237" s="2" t="e">
        <f ca="1">_xll.BDH($C$228,"CASH_FLOW_GROWTH","FQ4 2015","FQ4 2015","Currency=INR","Period=FQ","BEST_FPERIOD_OVERRIDE=FQ","FILING_STATUS=OR","EQY_CONSOLIDATED=Y","Sort=A","Dates=H","DateFormat=P","Fill=—","Direction=H","UseDPDF=Y")</f>
        <v>#NAME?</v>
      </c>
      <c r="AM237" s="2" t="e">
        <f ca="1">_xll.BDH($C$228,"GEO_GROW_NET_SALES","FQ4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237" s="2" t="e">
        <f ca="1">_xll.BDH($C$228,"GEO_GROW_EBITDA","FQ4 2015","FQ4 2015","Currency=INR","Period=FQ","BEST_FPERIOD_OVERRIDE=FQ","FILING_STATUS=OR","EQY_CONSOLIDATED=Y","FA_ADJUSTED=GAAP","Sort=A","Dates=H","DateFormat=P","Fill=—","Direction=H","UseDPDF=Y")</f>
        <v>#NAME?</v>
      </c>
      <c r="AO237" s="2" t="e">
        <f ca="1">_xll.BDH($C$228,"GEO_GROW_OPER_INC","FQ4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237" s="2" t="e">
        <f ca="1">_xll.BDH($C$228,"NET_INCOME_TO_COMMON_5_YR_GROWTH","FQ4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237" s="2" t="e">
        <f ca="1">_xll.BDH($C$228,"5Y_GEO_GROWTH_DILUTED_EPS","FQ4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237" s="2" t="e">
        <f ca="1">_xll.BDH($C$228,"GEO_GROW_DVD_PER_SH","FQ4 2015","FQ4 2015","Currency=INR","Period=FQ","BEST_FPERIOD_OVERRIDE=FQ","FILING_STATUS=OR","EQY_CONSOLIDATED=Y","Sort=A","Dates=H","DateFormat=P","Fill=—","Direction=H","UseDPDF=Y")</f>
        <v>#NAME?</v>
      </c>
      <c r="AS237" s="2" t="e">
        <f ca="1">_xll.BDH($C$228,"ACCOUNTS_RECEIVABLE_5_YR_GROWTH","FQ4 2015","FQ4 2015","Currency=INR","Period=FQ","BEST_FPERIOD_OVERRIDE=FQ","FILING_STATUS=OR","EQY_CONSOLIDATED=Y","Sort=A","Dates=H","DateFormat=P","Fill=—","Direction=H","UseDPDF=Y")</f>
        <v>#NAME?</v>
      </c>
      <c r="AT237" s="2" t="e">
        <f ca="1">_xll.BDH($C$228,"INVENTORY_5_YEAR_GROWTH","FQ4 2015","FQ4 2015","Currency=INR","Period=FQ","BEST_FPERIOD_OVERRIDE=FQ","FILING_STATUS=OR","EQY_CONSOLIDATED=Y","Sort=A","Dates=H","DateFormat=P","Fill=—","Direction=H","UseDPDF=Y")</f>
        <v>#NAME?</v>
      </c>
      <c r="AU237" s="2" t="e">
        <f ca="1">_xll.BDH($C$228,"NET_FIXED_ASSETS_5_YEAR_GROWTH","FQ4 2015","FQ4 2015","Currency=INR","Period=FQ","BEST_FPERIOD_OVERRIDE=FQ","FILING_STATUS=OR","EQY_CONSOLIDATED=Y","Sort=A","Dates=H","DateFormat=P","Fill=—","Direction=H","UseDPDF=Y")</f>
        <v>#NAME?</v>
      </c>
      <c r="AV237" s="2" t="e">
        <f ca="1">_xll.BDH($C$228,"GEO_GROW_TOT_ASSET","FQ4 2015","FQ4 2015","Currency=INR","Period=FQ","BEST_FPERIOD_OVERRIDE=FQ","FILING_STATUS=OR","EQY_CONSOLIDATED=Y","Sort=A","Dates=H","DateFormat=P","Fill=—","Direction=H","UseDPDF=Y")</f>
        <v>#NAME?</v>
      </c>
      <c r="AW237" s="2" t="e">
        <f ca="1">_xll.BDH($C$228,"MODIFIED_WORKING_CPTL_5YR_GRWTH","FQ4 2015","FQ4 2015","Currency=INR","Period=FQ","BEST_FPERIOD_OVERRIDE=FQ","FILING_STATUS=OR","EQY_CONSOLIDATED=Y","Sort=A","Dates=H","DateFormat=P","Fill=—","Direction=H","UseDPDF=Y")</f>
        <v>#NAME?</v>
      </c>
      <c r="AX237" s="2" t="e">
        <f ca="1">_xll.BDH($C$228,"WORKING_CAPITAL_5_YEAR_GROWTH","FQ4 2015","FQ4 2015","Currency=INR","Period=FQ","BEST_FPERIOD_OVERRIDE=FQ","FILING_STATUS=OR","EQY_CONSOLIDATED=Y","Sort=A","Dates=H","DateFormat=P","Fill=—","Direction=H","UseDPDF=Y")</f>
        <v>#NAME?</v>
      </c>
      <c r="AY237" s="2" t="e">
        <f ca="1">_xll.BDH($C$228,"ACCOUNTS_PAYABLE_5_YEAR_GROWTH","FQ4 2015","FQ4 2015","Currency=INR","Period=FQ","BEST_FPERIOD_OVERRIDE=FQ","FILING_STATUS=OR","EQY_CONSOLIDATED=Y","Sort=A","Dates=H","DateFormat=P","Fill=—","Direction=H","UseDPDF=Y")</f>
        <v>#NAME?</v>
      </c>
      <c r="AZ237" s="2" t="e">
        <f ca="1">_xll.BDH($C$228,"SHORT_TERM_DEBT_5_YEAR_GROWTH","FQ4 2015","FQ4 2015","Currency=INR","Period=FQ","BEST_FPERIOD_OVERRIDE=FQ","FILING_STATUS=OR","EQY_CONSOLIDATED=Y","Sort=A","Dates=H","DateFormat=P","Fill=—","Direction=H","UseDPDF=Y")</f>
        <v>#NAME?</v>
      </c>
      <c r="BA237" s="2" t="e">
        <f ca="1">_xll.BDH($C$228,"TOTAL_DEBT_5_YEAR_GROWTH","FQ4 2015","FQ4 2015","Currency=INR","Period=FQ","BEST_FPERIOD_OVERRIDE=FQ","FILING_STATUS=OR","EQY_CONSOLIDATED=Y","Sort=A","Dates=H","DateFormat=P","Fill=—","Direction=H","UseDPDF=Y")</f>
        <v>#NAME?</v>
      </c>
      <c r="BB237" s="2" t="e">
        <f ca="1">_xll.BDH($C$228,"GEO_GROW_TOT_SHRHLDR_EQY","FQ4 2015","FQ4 2015","Currency=INR","Period=FQ","BEST_FPERIOD_OVERRIDE=FQ","FILING_STATUS=OR","EQY_CONSOLIDATED=Y","Sort=A","Dates=H","DateFormat=P","Fill=—","Direction=H","UseDPDF=Y")</f>
        <v>#NAME?</v>
      </c>
      <c r="BC237" s="2" t="e">
        <f ca="1">_xll.BDH($C$228,"TOTAL_CAPITAL_5_YEAR_GROWTH","FQ4 2015","FQ4 2015","Currency=INR","Period=FQ","BEST_FPERIOD_OVERRIDE=FQ","FILING_STATUS=OR","EQY_CONSOLIDATED=Y","Sort=A","Dates=H","DateFormat=P","Fill=—","Direction=H","UseDPDF=Y")</f>
        <v>#NAME?</v>
      </c>
      <c r="BD237" s="2" t="e">
        <f ca="1">_xll.BDH($C$228,"GEO_GROW_BOOK_VAL","FQ4 2015","FQ4 2015","Currency=INR","Period=FQ","BEST_FPERIOD_OVERRIDE=FQ","FILING_STATUS=OR","EQY_CONSOLIDATED=Y","Sort=A","Dates=H","DateFormat=P","Fill=—","Direction=H","UseDPDF=Y")</f>
        <v>#NAME?</v>
      </c>
      <c r="BE237" s="2" t="e">
        <f ca="1">_xll.BDH($C$228,"GEO_GROW_CASH_OPER_ACT","FQ4 2015","FQ4 2015","Currency=INR","Period=FQ","BEST_FPERIOD_OVERRIDE=FQ","FILING_STATUS=OR","EQY_CONSOLIDATED=Y","Sort=A","Dates=H","DateFormat=P","Fill=—","Direction=H","UseDPDF=Y")</f>
        <v>#NAME?</v>
      </c>
      <c r="BF237" s="2" t="e">
        <f ca="1">_xll.BDH($C$228,"REVENUE_SEQUENTIAL_GROWTH","FQ4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237" s="2" t="e">
        <f ca="1">_xll.BDH($C$228,"EBITDA_SEQUENTIAL_GROWTH","FQ4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237" s="2" t="e">
        <f ca="1">_xll.BDH($C$228,"OPERATING_INCOME_SEQ_GROWTH","FQ4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237" s="2" t="e">
        <f ca="1">_xll.BDH($C$228,"NET_INCOME_TO_COMMON_SEQ_GROWTH","FQ4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237" s="2" t="e">
        <f ca="1">_xll.BDH($C$228,"EPS_DILUTED_SEQUENTIAL_GROWTH","FQ4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237" s="2" t="e">
        <f ca="1">_xll.BDH($C$228,"DPS_SEQUENTIAL_GROWTH","FQ4 2015","FQ4 2015","Currency=INR","Period=FQ","BEST_FPERIOD_OVERRIDE=FQ","FILING_STATUS=OR","EQY_CONSOLIDATED=Y","Sort=A","Dates=H","DateFormat=P","Fill=—","Direction=H","UseDPDF=Y")</f>
        <v>#NAME?</v>
      </c>
      <c r="BL237" s="2" t="e">
        <f ca="1">_xll.BDH($C$228,"ACCOUNTS_RECEIVABLE_SEQ_GROWTH","FQ4 2015","FQ4 2015","Currency=INR","Period=FQ","BEST_FPERIOD_OVERRIDE=FQ","FILING_STATUS=OR","EQY_CONSOLIDATED=Y","Sort=A","Dates=H","DateFormat=P","Fill=—","Direction=H","UseDPDF=Y")</f>
        <v>#NAME?</v>
      </c>
      <c r="BM237" s="2" t="e">
        <f ca="1">_xll.BDH($C$228,"INVENTORY_SEQUENTIAL_GROWTH","FQ4 2015","FQ4 2015","Currency=INR","Period=FQ","BEST_FPERIOD_OVERRIDE=FQ","FILING_STATUS=OR","EQY_CONSOLIDATED=Y","Sort=A","Dates=H","DateFormat=P","Fill=—","Direction=H","UseDPDF=Y")</f>
        <v>#NAME?</v>
      </c>
      <c r="BN237" s="2" t="e">
        <f ca="1">_xll.BDH($C$228,"FIXED_ASSETS_SEQUENTIAL_GROWTH","FQ4 2015","FQ4 2015","Currency=INR","Period=FQ","BEST_FPERIOD_OVERRIDE=FQ","FILING_STATUS=OR","EQY_CONSOLIDATED=Y","Sort=A","Dates=H","DateFormat=P","Fill=—","Direction=H","UseDPDF=Y")</f>
        <v>#NAME?</v>
      </c>
      <c r="BO237" s="2" t="e">
        <f ca="1">_xll.BDH($C$228,"TOTAL_ASSETS_SEQUENTIAL_GROWTH","FQ4 2015","FQ4 2015","Currency=INR","Period=FQ","BEST_FPERIOD_OVERRIDE=FQ","FILING_STATUS=OR","EQY_CONSOLIDATED=Y","Sort=A","Dates=H","DateFormat=P","Fill=—","Direction=H","UseDPDF=Y")</f>
        <v>#NAME?</v>
      </c>
      <c r="BP237" s="2" t="e">
        <f ca="1">_xll.BDH($C$228,"MODIFIED_WORKING_CPTL_SEQ_GRWTH","FQ4 2015","FQ4 2015","Currency=INR","Period=FQ","BEST_FPERIOD_OVERRIDE=FQ","FILING_STATUS=OR","EQY_CONSOLIDATED=Y","Sort=A","Dates=H","DateFormat=P","Fill=—","Direction=H","UseDPDF=Y")</f>
        <v>#NAME?</v>
      </c>
      <c r="BQ237" s="2" t="e">
        <f ca="1">_xll.BDH($C$228,"WORKING_CAPITAL_SEQ_GROWTH","FQ4 2015","FQ4 2015","Currency=INR","Period=FQ","BEST_FPERIOD_OVERRIDE=FQ","FILING_STATUS=OR","EQY_CONSOLIDATED=Y","Sort=A","Dates=H","DateFormat=P","Fill=—","Direction=H","UseDPDF=Y")</f>
        <v>#NAME?</v>
      </c>
      <c r="BR237" s="2" t="e">
        <f ca="1">_xll.BDH($C$228,"ACCOUNTS_PAYABLE_SEQ_GROWTH","FQ4 2015","FQ4 2015","Currency=INR","Period=FQ","BEST_FPERIOD_OVERRIDE=FQ","FILING_STATUS=OR","EQY_CONSOLIDATED=Y","Sort=A","Dates=H","DateFormat=P","Fill=—","Direction=H","UseDPDF=Y")</f>
        <v>#NAME?</v>
      </c>
      <c r="BS237" s="2" t="e">
        <f ca="1">_xll.BDH($C$228,"ST_DEBT_SEQUENTIAL_GROWTH","FQ4 2015","FQ4 2015","Currency=INR","Period=FQ","BEST_FPERIOD_OVERRIDE=FQ","FILING_STATUS=OR","EQY_CONSOLIDATED=Y","Sort=A","Dates=H","DateFormat=P","Fill=—","Direction=H","UseDPDF=Y")</f>
        <v>#NAME?</v>
      </c>
      <c r="BT237" s="2" t="e">
        <f ca="1">_xll.BDH($C$228,"TOTAL_DEBT_SEQUENTIAL_GROWTH","FQ4 2015","FQ4 2015","Currency=INR","Period=FQ","BEST_FPERIOD_OVERRIDE=FQ","FILING_STATUS=OR","EQY_CONSOLIDATED=Y","Sort=A","Dates=H","DateFormat=P","Fill=—","Direction=H","UseDPDF=Y")</f>
        <v>#NAME?</v>
      </c>
      <c r="BU237" s="2" t="e">
        <f ca="1">_xll.BDH($C$228,"TOTAL_EQUITY_SEQUENTIAL_GROWTH","FQ4 2015","FQ4 2015","Currency=INR","Period=FQ","BEST_FPERIOD_OVERRIDE=FQ","FILING_STATUS=OR","EQY_CONSOLIDATED=Y","Sort=A","Dates=H","DateFormat=P","Fill=—","Direction=H","UseDPDF=Y")</f>
        <v>#NAME?</v>
      </c>
      <c r="BV237" s="2" t="e">
        <f ca="1">_xll.BDH($C$228,"TOTAL_CAPITAL_SEQUENTIAL_GROWTH","FQ4 2015","FQ4 2015","Currency=INR","Period=FQ","BEST_FPERIOD_OVERRIDE=FQ","FILING_STATUS=OR","EQY_CONSOLIDATED=Y","Sort=A","Dates=H","DateFormat=P","Fill=—","Direction=H","UseDPDF=Y")</f>
        <v>#NAME?</v>
      </c>
      <c r="BW237" s="2" t="e">
        <f ca="1">_xll.BDH($C$228,"BPS_SEQUENTIAL_GROWTH","FQ4 2015","FQ4 2015","Currency=INR","Period=FQ","BEST_FPERIOD_OVERRIDE=FQ","FILING_STATUS=OR","EQY_CONSOLIDATED=Y","Sort=A","Dates=H","DateFormat=P","Fill=—","Direction=H","UseDPDF=Y")</f>
        <v>#NAME?</v>
      </c>
      <c r="BX237" s="2" t="e">
        <f ca="1">_xll.BDH($C$228,"CFO_SEQUENTIAL_GROWTH","FQ4 2015","FQ4 2015","Currency=INR","Period=FQ","BEST_FPERIOD_OVERRIDE=FQ","FILING_STATUS=OR","EQY_CONSOLIDATED=Y","Sort=A","Dates=H","DateFormat=P","Fill=—","Direction=H","UseDPDF=Y")</f>
        <v>#NAME?</v>
      </c>
      <c r="BY237" s="3" t="e">
        <f ca="1">_xll.BDH($C$228,"SHORT_AND_LONG_TERM_DEBT","FQ4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237" s="3" t="e">
        <f ca="1">_xll.BDH($C$228,"BS_ST_BORROW","FQ4 2015","FQ4 2015","Currency=INR","Period=FQ","BEST_FPERIOD_OVERRIDE=FQ","FILING_STATUS=OR","EQY_CONSOLIDATED=Y","SCALING_FORMAT=MLN","Sort=A","Dates=H","DateFormat=P","Fill=—","Direction=H","UseDPDF=Y")</f>
        <v>#NAME?</v>
      </c>
      <c r="CA237" s="3" t="e">
        <f ca="1">_xll.BDH($C$228,"BS_LT_BORROW","FQ4 2015","FQ4 2015","Currency=INR","Period=FQ","BEST_FPERIOD_OVERRIDE=FQ","FILING_STATUS=OR","EQY_CONSOLIDATED=Y","SCALING_FORMAT=MLN","Sort=A","Dates=H","DateFormat=P","Fill=—","Direction=H","UseDPDF=Y")</f>
        <v>#NAME?</v>
      </c>
      <c r="CB237" s="2" t="e">
        <f ca="1">_xll.BDH($C$228,"TOT_DEBT_TO_EBITDA","FQ4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237" s="2" t="e">
        <f ca="1">_xll.BDH($C$228,"NET_DEBT_TO_EBITDA","FQ4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237" s="2" t="e">
        <f ca="1">_xll.BDH($C$228,"TOTAL_DEBT_TO_EBIT","FQ4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237" s="2" t="e">
        <f ca="1">_xll.BDH($C$228,"NET_DEBT_TO_EBIT","FQ4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237" s="2" t="e">
        <f ca="1">_xll.BDH($C$228,"EBITDA_TO_INTEREST_EXPN","FQ4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237" s="2" t="e">
        <f ca="1">_xll.BDH($C$228,"COM_EQY_TO_TOT_ASSET","FQ4 2015","FQ4 2015","Currency=INR","Period=FQ","BEST_FPERIOD_OVERRIDE=FQ","FILING_STATUS=OR","EQY_CONSOLIDATED=Y","Sort=A","Dates=H","DateFormat=P","Fill=—","Direction=H","UseDPDF=Y")</f>
        <v>#NAME?</v>
      </c>
      <c r="CH237" s="2" t="e">
        <f ca="1">_xll.BDH($C$228,"LT_DEBT_TO_TOT_EQY","FQ4 2015","FQ4 2015","Currency=INR","Period=FQ","BEST_FPERIOD_OVERRIDE=FQ","FILING_STATUS=OR","EQY_CONSOLIDATED=Y","Sort=A","Dates=H","DateFormat=P","Fill=—","Direction=H","UseDPDF=Y")</f>
        <v>#NAME?</v>
      </c>
      <c r="CI237" s="2" t="e">
        <f ca="1">_xll.BDH($C$228,"LT_DEBT_TO_TOT_CAP","FQ4 2015","FQ4 2015","Currency=INR","Period=FQ","BEST_FPERIOD_OVERRIDE=FQ","FILING_STATUS=OR","EQY_CONSOLIDATED=Y","Sort=A","Dates=H","DateFormat=P","Fill=—","Direction=H","UseDPDF=Y")</f>
        <v>#NAME?</v>
      </c>
      <c r="CJ237" s="2" t="e">
        <f ca="1">_xll.BDH($C$228,"LT_DEBT_TO_TOT_ASSET","FQ4 2015","FQ4 2015","Currency=INR","Period=FQ","BEST_FPERIOD_OVERRIDE=FQ","FILING_STATUS=OR","EQY_CONSOLIDATED=Y","Sort=A","Dates=H","DateFormat=P","Fill=—","Direction=H","UseDPDF=Y")</f>
        <v>#NAME?</v>
      </c>
      <c r="CK237" s="2" t="e">
        <f ca="1">_xll.BDH($C$228,"TOT_DEBT_TO_TOT_EQY","FQ4 2015","FQ4 2015","Currency=INR","Period=FQ","BEST_FPERIOD_OVERRIDE=FQ","FILING_STATUS=OR","EQY_CONSOLIDATED=Y","Sort=A","Dates=H","DateFormat=P","Fill=—","Direction=H","UseDPDF=Y")</f>
        <v>#NAME?</v>
      </c>
      <c r="CL237" s="2" t="e">
        <f ca="1">_xll.BDH($C$228,"TOT_DEBT_TO_TOT_CAP","FQ4 2015","FQ4 2015","Currency=INR","Period=FQ","BEST_FPERIOD_OVERRIDE=FQ","FILING_STATUS=OR","EQY_CONSOLIDATED=Y","Sort=A","Dates=H","DateFormat=P","Fill=—","Direction=H","UseDPDF=Y")</f>
        <v>#NAME?</v>
      </c>
      <c r="CM237" s="2" t="e">
        <f ca="1">_xll.BDH($C$228,"TOT_DEBT_TO_TOT_ASSET","FQ4 2015","FQ4 2015","Currency=INR","Period=FQ","BEST_FPERIOD_OVERRIDE=FQ","FILING_STATUS=OR","EQY_CONSOLIDATED=Y","Sort=A","Dates=H","DateFormat=P","Fill=—","Direction=H","UseDPDF=Y")</f>
        <v>#NAME?</v>
      </c>
      <c r="CN237" s="2" t="e">
        <f ca="1">_xll.BDH($C$228,"NET_DEBT_TO_SHRHLDR_EQTY","FQ4 2015","FQ4 2015","Currency=INR","Period=FQ","BEST_FPERIOD_OVERRIDE=FQ","FILING_STATUS=OR","EQY_CONSOLIDATED=Y","Sort=A","Dates=H","DateFormat=P","Fill=—","Direction=H","UseDPDF=Y")</f>
        <v>#NAME?</v>
      </c>
      <c r="CO237" s="2" t="e">
        <f ca="1">_xll.BDH($C$228,"NET_DEBT_%_CAPITAL","FQ4 2015","FQ4 2015","Currency=INR","Period=FQ","BEST_FPERIOD_OVERRIDE=FQ","FILING_STATUS=OR","EQY_CONSOLIDATED=Y","Sort=A","Dates=H","DateFormat=P","Fill=—","Direction=H","UseDPDF=Y")</f>
        <v>#NAME?</v>
      </c>
      <c r="CP237" s="3" t="e">
        <f ca="1">_xll.BDH($C$228,"EBITDA","FQ4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237" s="3" t="e">
        <f ca="1">_xll.BDH($C$228,"EBITDA_AFTER_CAPEX","FQ4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237" s="3" t="e">
        <f ca="1">_xll.BDH($C$228,"IS_OPER_INC","FQ4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237" s="2" t="e">
        <f ca="1">_xll.BDH($C$228,"CASH_RATIO","FQ4 2015","FQ4 2015","Currency=INR","Period=FQ","BEST_FPERIOD_OVERRIDE=FQ","FILING_STATUS=OR","EQY_CONSOLIDATED=Y","Sort=A","Dates=H","DateFormat=P","Fill=—","Direction=H","UseDPDF=Y")</f>
        <v>#NAME?</v>
      </c>
      <c r="CT237" s="2" t="e">
        <f ca="1">_xll.BDH($C$228,"CUR_RATIO","FQ4 2015","FQ4 2015","Currency=INR","Period=FQ","BEST_FPERIOD_OVERRIDE=FQ","FILING_STATUS=OR","EQY_CONSOLIDATED=Y","Sort=A","Dates=H","DateFormat=P","Fill=—","Direction=H","UseDPDF=Y")</f>
        <v>#NAME?</v>
      </c>
      <c r="CU237" s="2" t="e">
        <f ca="1">_xll.BDH($C$228,"QUICK_RATIO","FQ4 2015","FQ4 2015","Currency=INR","Period=FQ","BEST_FPERIOD_OVERRIDE=FQ","FILING_STATUS=OR","EQY_CONSOLIDATED=Y","Sort=A","Dates=H","DateFormat=P","Fill=—","Direction=H","UseDPDF=Y")</f>
        <v>#NAME?</v>
      </c>
      <c r="CV237" s="2" t="e">
        <f ca="1">_xll.BDH($C$228,"ALTMAN_Z_SCORE","FQ4 2015","FQ4 2015","Currency=INR","Period=FQ","BEST_FPERIOD_OVERRIDE=FQ","FILING_STATUS=OR","EQY_CONSOLIDATED=Y","Sort=A","Dates=H","DateFormat=P","Fill=—","Direction=H","UseDPDF=Y")</f>
        <v>#NAME?</v>
      </c>
      <c r="CW237" s="4" t="e">
        <f ca="1">_xll.BDH($C$228,"ACCT_RCV_TURN","FQ4 2015","FQ4 2015","Currency=INR","Period=FQ","BEST_FPERIOD_OVERRIDE=FQ","FILING_STATUS=OR","EQY_CONSOLIDATED=Y","FA_ADJUSTED=GAAP","Sort=A","Dates=H","DateFormat=P","Fill=—","Direction=H","UseDPDF=Y")</f>
        <v>#NAME?</v>
      </c>
      <c r="CX237" s="2" t="e">
        <f ca="1">_xll.BDH($C$228,"ACCT_RCV_DAYS","FQ4 2015","FQ4 2015","Currency=INR","Period=FQ","BEST_FPERIOD_OVERRIDE=FQ","FILING_STATUS=OR","EQY_CONSOLIDATED=Y","FA_ADJUSTED=GAAP","Sort=A","Dates=H","DateFormat=P","Fill=—","Direction=H","UseDPDF=Y")</f>
        <v>#NAME?</v>
      </c>
      <c r="CY237" s="4" t="e">
        <f ca="1">_xll.BDH($C$228,"INVENT_TURN","FQ4 2015","FQ4 2015","Currency=INR","Period=FQ","BEST_FPERIOD_OVERRIDE=FQ","FILING_STATUS=OR","EQY_CONSOLIDATED=Y","FA_ADJUSTED=GAAP","Sort=A","Dates=H","DateFormat=P","Fill=—","Direction=H","UseDPDF=Y")</f>
        <v>#NAME?</v>
      </c>
      <c r="CZ237" s="2" t="e">
        <f ca="1">_xll.BDH($C$228,"INVENT_DAYS","FQ4 2015","FQ4 2015","Currency=INR","Period=FQ","BEST_FPERIOD_OVERRIDE=FQ","FILING_STATUS=OR","EQY_CONSOLIDATED=Y","FA_ADJUSTED=GAAP","Sort=A","Dates=H","DateFormat=P","Fill=—","Direction=H","UseDPDF=Y")</f>
        <v>#NAME?</v>
      </c>
      <c r="DA237" s="4" t="e">
        <f ca="1">_xll.BDH($C$228,"ACCOUNTS_PAYABLE_TURNOVER","FQ4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237" s="2" t="e">
        <f ca="1">_xll.BDH($C$228,"ACCOUNTS_PAYABLE_TURNOVER_DAYS","FQ4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237" s="4" t="e">
        <f ca="1">_xll.BDH($C$228,"CASH_CONVERSION_CYCLE","FQ4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237" s="4" t="e">
        <f ca="1">_xll.BDH($C$228,"INV_TO_CASH_DAYS","FQ4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237" s="5" t="e">
        <f ca="1">_xll.BDH($C$228,"BS_INVENTORIES","FQ4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237" s="3" t="e">
        <f ca="1">_xll.BDH($C$228,"INVTRY_RAW_MATERIALS","FQ4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237" s="3" t="e">
        <f ca="1">_xll.BDH($C$228,"INVTRY_IN_PROGRESS","FQ4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237" s="3" t="e">
        <f ca="1">_xll.BDH($C$228,"INVTRY_FINISHED_GOODS","FQ4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237" s="3" t="e">
        <f ca="1">_xll.BDH($C$228,"BS_OTHER_INV","FQ4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238" spans="1:113" x14ac:dyDescent="0.3">
      <c r="A238" s="6"/>
      <c r="B238" s="6"/>
      <c r="C238" s="6"/>
      <c r="D238" s="6" t="s">
        <v>83</v>
      </c>
      <c r="E238" t="s">
        <v>77</v>
      </c>
      <c r="F238" t="e">
        <f ca="1">_xll.BDH($C$228,"RETURN_COM_EQY","FY 2016","FY 2016","Currency=INR","Period=FY","BEST_FPERIOD_OVERRIDE=FY","FILING_STATUS=OR","EQY_CONSOLIDATED=Y","FA_ADJUSTED=GAAP","Sort=A","Dates=H","DateFormat=P","Fill=—","Direction=H","UseDPDF=Y")</f>
        <v>#NAME?</v>
      </c>
      <c r="G238" t="e">
        <f ca="1">_xll.BDH($C$228,"RETURN_ON_ASSET","FY 2016","FY 2016","Currency=INR","Period=FY","BEST_FPERIOD_OVERRIDE=FY","FILING_STATUS=OR","EQY_CONSOLIDATED=Y","FA_ADJUSTED=GAAP","Sort=A","Dates=H","DateFormat=P","Fill=—","Direction=H","UseDPDF=Y")</f>
        <v>#NAME?</v>
      </c>
      <c r="H238" t="e">
        <f ca="1">_xll.BDH($C$228,"RETURN_ON_CAP","FY 2016","FY 2016","Currency=INR","Period=FY","BEST_FPERIOD_OVERRIDE=FY","FILING_STATUS=OR","EQY_CONSOLIDATED=Y","FA_ADJUSTED=GAAP","Sort=A","Dates=H","DateFormat=P","Fill=—","Direction=H","UseDPDF=Y")</f>
        <v>#NAME?</v>
      </c>
      <c r="I238" t="e">
        <f ca="1">_xll.BDH($C$228,"RETURN_ON_INV_CAPITAL","FY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238" t="e">
        <f ca="1">_xll.BDH($C$228,"EBITDA_TO_REVENUE","FY 2016","FY 2016","Currency=INR","Period=FY","BEST_FPERIOD_OVERRIDE=FY","FILING_STATUS=OR","EQY_CONSOLIDATED=Y","FA_ADJUSTED=GAAP","Sort=A","Dates=H","DateFormat=P","Fill=—","Direction=H","UseDPDF=Y")</f>
        <v>#NAME?</v>
      </c>
      <c r="K238" t="e">
        <f ca="1">_xll.BDH($C$228,"OPER_MARGIN","FY 2016","FY 2016","Currency=INR","Period=FY","BEST_FPERIOD_OVERRIDE=FY","FILING_STATUS=OR","EQY_CONSOLIDATED=Y","FA_ADJUSTED=GAAP","Sort=A","Dates=H","DateFormat=P","Fill=—","Direction=H","UseDPDF=Y")</f>
        <v>#NAME?</v>
      </c>
      <c r="L238" t="e">
        <f ca="1">_xll.BDH($C$228,"INCREMENTAL_OPERATING_MARGIN","FY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238" t="e">
        <f ca="1">_xll.BDH($C$228,"PRETAX_INC_TO_NET_SALES","FY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238" t="e">
        <f ca="1">_xll.BDH($C$228,"INC_BEF_XO_ITEMS_TO_NET_SALES","FY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238" t="e">
        <f ca="1">_xll.BDH($C$228,"PROF_MARGIN","FY 2016","FY 2016","Currency=INR","Period=FY","BEST_FPERIOD_OVERRIDE=FY","FILING_STATUS=OR","EQY_CONSOLIDATED=Y","FA_ADJUSTED=GAAP","Sort=A","Dates=H","DateFormat=P","Fill=—","Direction=H","UseDPDF=Y")</f>
        <v>#NAME?</v>
      </c>
      <c r="P238" t="e">
        <f ca="1">_xll.BDH($C$228,"NET_INCOME_TO_COMMON_MARGIN","FY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238" t="e">
        <f ca="1">_xll.BDH($C$228,"EFF_TAX_RATE","FY 2016","FY 2016","Currency=INR","Period=FY","BEST_FPERIOD_OVERRIDE=FY","FILING_STATUS=OR","EQY_CONSOLIDATED=Y","FA_ADJUSTED=GAAP","Sort=A","Dates=H","DateFormat=P","Fill=—","Direction=H","UseDPDF=Y")</f>
        <v>#NAME?</v>
      </c>
      <c r="R238" t="e">
        <f ca="1">_xll.BDH($C$228,"DVD_PAYOUT_RATIO","FY 2016","FY 2016","Currency=INR","Period=FY","BEST_FPERIOD_OVERRIDE=FY","FILING_STATUS=OR","EQY_CONSOLIDATED=Y","FA_ADJUSTED=GAAP","Sort=A","Dates=H","DateFormat=P","Fill=—","Direction=H","UseDPDF=Y")</f>
        <v>#NAME?</v>
      </c>
      <c r="S238" t="e">
        <f ca="1">_xll.BDH($C$228,"SUSTAIN_GROWTH_RT","FY 2016","FY 2016","Currency=INR","Period=FY","BEST_FPERIOD_OVERRIDE=FY","FILING_STATUS=OR","EQY_CONSOLIDATED=Y","FA_ADJUSTED=GAAP","Sort=A","Dates=H","DateFormat=P","Fill=—","Direction=H","UseDPDF=Y")</f>
        <v>#NAME?</v>
      </c>
      <c r="T238" s="2" t="e">
        <f ca="1">_xll.BDH($C$228,"SALES_GROWTH","FY 2016","FY 2016","Currency=INR","Period=FY","BEST_FPERIOD_OVERRIDE=FY","FILING_STATUS=OR","EQY_CONSOLIDATED=Y","FA_ADJUSTED=GAAP","Sort=A","Dates=H","DateFormat=P","Fill=—","Direction=H","UseDPDF=Y")</f>
        <v>#NAME?</v>
      </c>
      <c r="U238" s="2" t="e">
        <f ca="1">_xll.BDH($C$228,"EBITDA_GROWTH","FY 2016","FY 2016","Currency=INR","Period=FY","BEST_FPERIOD_OVERRIDE=FY","FILING_STATUS=OR","EQY_CONSOLIDATED=Y","FA_ADJUSTED=GAAP","Sort=A","Dates=H","DateFormat=P","Fill=—","Direction=H","UseDPDF=Y")</f>
        <v>#NAME?</v>
      </c>
      <c r="V238" s="2" t="e">
        <f ca="1">_xll.BDH($C$228,"OPER_INC_GROWTH","FY 2016","FY 2016","Currency=INR","Period=FY","BEST_FPERIOD_OVERRIDE=FY","FILING_STATUS=OR","EQY_CONSOLIDATED=Y","FA_ADJUSTED=GAAP","Sort=A","Dates=H","DateFormat=P","Fill=—","Direction=H","UseDPDF=Y")</f>
        <v>#NAME?</v>
      </c>
      <c r="W238" s="2" t="e">
        <f ca="1">_xll.BDH($C$228,"EARN_FOR_COM_GROWTH","FY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238" s="2" t="e">
        <f ca="1">_xll.BDH($C$228,"DILUTED_EPS_AFT_XO_ITEMS_GROWTH","FY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238" s="2" t="e">
        <f ca="1">_xll.BDH($C$228,"DIVIDEND_PER_SHARE_1_YEAR_GROWTH","FY 2016","FY 2016","Currency=INR","Period=FY","BEST_FPERIOD_OVERRIDE=FY","FILING_STATUS=OR","EQY_CONSOLIDATED=Y","Sort=A","Dates=H","DateFormat=P","Fill=—","Direction=H","UseDPDF=Y")</f>
        <v>#NAME?</v>
      </c>
      <c r="Z238" s="2" t="e">
        <f ca="1">_xll.BDH($C$228,"ACCOUNTS_RECEIVABLE_GROWTH","FY 2016","FY 2016","Currency=INR","Period=FY","BEST_FPERIOD_OVERRIDE=FY","FILING_STATUS=OR","EQY_CONSOLIDATED=Y","Sort=A","Dates=H","DateFormat=P","Fill=—","Direction=H","UseDPDF=Y")</f>
        <v>#NAME?</v>
      </c>
      <c r="AA238" s="2" t="e">
        <f ca="1">_xll.BDH($C$228,"INVENTORY_GROWTH","FY 2016","FY 2016","Currency=INR","Period=FY","BEST_FPERIOD_OVERRIDE=FY","FILING_STATUS=OR","EQY_CONSOLIDATED=Y","Sort=A","Dates=H","DateFormat=P","Fill=—","Direction=H","UseDPDF=Y")</f>
        <v>#NAME?</v>
      </c>
      <c r="AB238" s="2" t="e">
        <f ca="1">_xll.BDH($C$228,"NET_FIXED_ASSETS_1_YEAR_GROWTH","FY 2016","FY 2016","Currency=INR","Period=FY","BEST_FPERIOD_OVERRIDE=FY","FILING_STATUS=OR","EQY_CONSOLIDATED=Y","Sort=A","Dates=H","DateFormat=P","Fill=—","Direction=H","UseDPDF=Y")</f>
        <v>#NAME?</v>
      </c>
      <c r="AC238" s="2" t="e">
        <f ca="1">_xll.BDH($C$228,"ASSET_GROWTH","FY 2016","FY 2016","Currency=INR","Period=FY","BEST_FPERIOD_OVERRIDE=FY","FILING_STATUS=OR","EQY_CONSOLIDATED=Y","Sort=A","Dates=H","DateFormat=P","Fill=—","Direction=H","UseDPDF=Y")</f>
        <v>#NAME?</v>
      </c>
      <c r="AD238" s="2" t="e">
        <f ca="1">_xll.BDH($C$228,"MODIFIED_WORK_CAP_GROWTH","FY 2016","FY 2016","Currency=INR","Period=FY","BEST_FPERIOD_OVERRIDE=FY","FILING_STATUS=OR","EQY_CONSOLIDATED=Y","Sort=A","Dates=H","DateFormat=P","Fill=—","Direction=H","UseDPDF=Y")</f>
        <v>#NAME?</v>
      </c>
      <c r="AE238" s="2" t="e">
        <f ca="1">_xll.BDH($C$228,"WORK_CAP_GROWTH","FY 2016","FY 2016","Currency=INR","Period=FY","BEST_FPERIOD_OVERRIDE=FY","FILING_STATUS=OR","EQY_CONSOLIDATED=Y","Sort=A","Dates=H","DateFormat=P","Fill=—","Direction=H","UseDPDF=Y")</f>
        <v>#NAME?</v>
      </c>
      <c r="AF238" s="2" t="e">
        <f ca="1">_xll.BDH($C$228,"ACCOUNTS_PAYABLE_GROWTH_1YR","FY 2016","FY 2016","Currency=INR","Period=FY","BEST_FPERIOD_OVERRIDE=FY","FILING_STATUS=OR","EQY_CONSOLIDATED=Y","Sort=A","Dates=H","DateFormat=P","Fill=—","Direction=H","UseDPDF=Y")</f>
        <v>#NAME?</v>
      </c>
      <c r="AG238" s="2" t="e">
        <f ca="1">_xll.BDH($C$228,"SHORT_TERM_DEBT_1_YEAR_GROWTH","FY 2016","FY 2016","Currency=INR","Period=FY","BEST_FPERIOD_OVERRIDE=FY","FILING_STATUS=OR","EQY_CONSOLIDATED=Y","Sort=A","Dates=H","DateFormat=P","Fill=—","Direction=H","UseDPDF=Y")</f>
        <v>#NAME?</v>
      </c>
      <c r="AH238" s="2" t="e">
        <f ca="1">_xll.BDH($C$228,"TOTAL_DEBT_1_YEAR_GROWTH","FY 2016","FY 2016","Currency=INR","Period=FY","BEST_FPERIOD_OVERRIDE=FY","FILING_STATUS=OR","EQY_CONSOLIDATED=Y","Sort=A","Dates=H","DateFormat=P","Fill=—","Direction=H","UseDPDF=Y")</f>
        <v>#NAME?</v>
      </c>
      <c r="AI238" s="2" t="e">
        <f ca="1">_xll.BDH($C$228,"TOTAL_EQUITY_1_YEAR_GROWTH","FY 2016","FY 2016","Currency=INR","Period=FY","BEST_FPERIOD_OVERRIDE=FY","FILING_STATUS=OR","EQY_CONSOLIDATED=Y","Sort=A","Dates=H","DateFormat=P","Fill=—","Direction=H","UseDPDF=Y")</f>
        <v>#NAME?</v>
      </c>
      <c r="AJ238" s="2" t="e">
        <f ca="1">_xll.BDH($C$228,"GROWTH_IN_CAP","FY 2016","FY 2016","Currency=INR","Period=FY","BEST_FPERIOD_OVERRIDE=FY","FILING_STATUS=OR","EQY_CONSOLIDATED=Y","Sort=A","Dates=H","DateFormat=P","Fill=—","Direction=H","UseDPDF=Y")</f>
        <v>#NAME?</v>
      </c>
      <c r="AK238" s="2" t="e">
        <f ca="1">_xll.BDH($C$228,"BVPS_GROWTH","FY 2016","FY 2016","Currency=INR","Period=FY","BEST_FPERIOD_OVERRIDE=FY","FILING_STATUS=OR","EQY_CONSOLIDATED=Y","Sort=A","Dates=H","DateFormat=P","Fill=—","Direction=H","UseDPDF=Y")</f>
        <v>#NAME?</v>
      </c>
      <c r="AL238" s="2" t="e">
        <f ca="1">_xll.BDH($C$228,"CASH_FLOW_GROWTH","FY 2016","FY 2016","Currency=INR","Period=FY","BEST_FPERIOD_OVERRIDE=FY","FILING_STATUS=OR","EQY_CONSOLIDATED=Y","Sort=A","Dates=H","DateFormat=P","Fill=—","Direction=H","UseDPDF=Y")</f>
        <v>#NAME?</v>
      </c>
      <c r="AM238" s="2" t="e">
        <f ca="1">_xll.BDH($C$228,"GEO_GROW_NET_SALES","FY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238" s="2" t="e">
        <f ca="1">_xll.BDH($C$228,"GEO_GROW_EBITDA","FY 2016","FY 2016","Currency=INR","Period=FY","BEST_FPERIOD_OVERRIDE=FY","FILING_STATUS=OR","EQY_CONSOLIDATED=Y","FA_ADJUSTED=GAAP","Sort=A","Dates=H","DateFormat=P","Fill=—","Direction=H","UseDPDF=Y")</f>
        <v>#NAME?</v>
      </c>
      <c r="AO238" s="2" t="e">
        <f ca="1">_xll.BDH($C$228,"GEO_GROW_OPER_INC","FY 2016","FY 2016","Currency=INR","Period=FY","BEST_FPERIOD_OVERRIDE=FY","FILING_STATUS=OR","EQY_CONSOLIDATED=Y","FA_ADJUSTED=GAAP","Sort=A","Dates=H","DateFormat=P","Fill=—","Direction=H","UseDPDF=Y")</f>
        <v>#NAME?</v>
      </c>
      <c r="AP238" s="2" t="e">
        <f ca="1">_xll.BDH($C$228,"NET_INCOME_TO_COMMON_5_YR_GROWTH","FY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238" s="2" t="e">
        <f ca="1">_xll.BDH($C$228,"5Y_GEO_GROWTH_DILUTED_EPS","FY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238" s="2" t="e">
        <f ca="1">_xll.BDH($C$228,"GEO_GROW_DVD_PER_SH","FY 2016","FY 2016","Currency=INR","Period=FY","BEST_FPERIOD_OVERRIDE=FY","FILING_STATUS=OR","EQY_CONSOLIDATED=Y","Sort=A","Dates=H","DateFormat=P","Fill=—","Direction=H","UseDPDF=Y")</f>
        <v>#NAME?</v>
      </c>
      <c r="AS238" s="2" t="e">
        <f ca="1">_xll.BDH($C$228,"ACCOUNTS_RECEIVABLE_5_YR_GROWTH","FY 2016","FY 2016","Currency=INR","Period=FY","BEST_FPERIOD_OVERRIDE=FY","FILING_STATUS=OR","EQY_CONSOLIDATED=Y","Sort=A","Dates=H","DateFormat=P","Fill=—","Direction=H","UseDPDF=Y")</f>
        <v>#NAME?</v>
      </c>
      <c r="AT238" s="2" t="e">
        <f ca="1">_xll.BDH($C$228,"INVENTORY_5_YEAR_GROWTH","FY 2016","FY 2016","Currency=INR","Period=FY","BEST_FPERIOD_OVERRIDE=FY","FILING_STATUS=OR","EQY_CONSOLIDATED=Y","Sort=A","Dates=H","DateFormat=P","Fill=—","Direction=H","UseDPDF=Y")</f>
        <v>#NAME?</v>
      </c>
      <c r="AU238" s="2" t="e">
        <f ca="1">_xll.BDH($C$228,"NET_FIXED_ASSETS_5_YEAR_GROWTH","FY 2016","FY 2016","Currency=INR","Period=FY","BEST_FPERIOD_OVERRIDE=FY","FILING_STATUS=OR","EQY_CONSOLIDATED=Y","Sort=A","Dates=H","DateFormat=P","Fill=—","Direction=H","UseDPDF=Y")</f>
        <v>#NAME?</v>
      </c>
      <c r="AV238" s="2" t="e">
        <f ca="1">_xll.BDH($C$228,"GEO_GROW_TOT_ASSET","FY 2016","FY 2016","Currency=INR","Period=FY","BEST_FPERIOD_OVERRIDE=FY","FILING_STATUS=OR","EQY_CONSOLIDATED=Y","Sort=A","Dates=H","DateFormat=P","Fill=—","Direction=H","UseDPDF=Y")</f>
        <v>#NAME?</v>
      </c>
      <c r="AW238" s="2" t="e">
        <f ca="1">_xll.BDH($C$228,"MODIFIED_WORKING_CPTL_5YR_GRWTH","FY 2016","FY 2016","Currency=INR","Period=FY","BEST_FPERIOD_OVERRIDE=FY","FILING_STATUS=OR","EQY_CONSOLIDATED=Y","Sort=A","Dates=H","DateFormat=P","Fill=—","Direction=H","UseDPDF=Y")</f>
        <v>#NAME?</v>
      </c>
      <c r="AX238" s="2" t="e">
        <f ca="1">_xll.BDH($C$228,"WORKING_CAPITAL_5_YEAR_GROWTH","FY 2016","FY 2016","Currency=INR","Period=FY","BEST_FPERIOD_OVERRIDE=FY","FILING_STATUS=OR","EQY_CONSOLIDATED=Y","Sort=A","Dates=H","DateFormat=P","Fill=—","Direction=H","UseDPDF=Y")</f>
        <v>#NAME?</v>
      </c>
      <c r="AY238" s="2" t="e">
        <f ca="1">_xll.BDH($C$228,"ACCOUNTS_PAYABLE_5_YEAR_GROWTH","FY 2016","FY 2016","Currency=INR","Period=FY","BEST_FPERIOD_OVERRIDE=FY","FILING_STATUS=OR","EQY_CONSOLIDATED=Y","Sort=A","Dates=H","DateFormat=P","Fill=—","Direction=H","UseDPDF=Y")</f>
        <v>#NAME?</v>
      </c>
      <c r="AZ238" s="2" t="e">
        <f ca="1">_xll.BDH($C$228,"SHORT_TERM_DEBT_5_YEAR_GROWTH","FY 2016","FY 2016","Currency=INR","Period=FY","BEST_FPERIOD_OVERRIDE=FY","FILING_STATUS=OR","EQY_CONSOLIDATED=Y","Sort=A","Dates=H","DateFormat=P","Fill=—","Direction=H","UseDPDF=Y")</f>
        <v>#NAME?</v>
      </c>
      <c r="BA238" s="2" t="e">
        <f ca="1">_xll.BDH($C$228,"TOTAL_DEBT_5_YEAR_GROWTH","FY 2016","FY 2016","Currency=INR","Period=FY","BEST_FPERIOD_OVERRIDE=FY","FILING_STATUS=OR","EQY_CONSOLIDATED=Y","Sort=A","Dates=H","DateFormat=P","Fill=—","Direction=H","UseDPDF=Y")</f>
        <v>#NAME?</v>
      </c>
      <c r="BB238" s="2" t="e">
        <f ca="1">_xll.BDH($C$228,"GEO_GROW_TOT_SHRHLDR_EQY","FY 2016","FY 2016","Currency=INR","Period=FY","BEST_FPERIOD_OVERRIDE=FY","FILING_STATUS=OR","EQY_CONSOLIDATED=Y","Sort=A","Dates=H","DateFormat=P","Fill=—","Direction=H","UseDPDF=Y")</f>
        <v>#NAME?</v>
      </c>
      <c r="BC238" s="2" t="e">
        <f ca="1">_xll.BDH($C$228,"TOTAL_CAPITAL_5_YEAR_GROWTH","FY 2016","FY 2016","Currency=INR","Period=FY","BEST_FPERIOD_OVERRIDE=FY","FILING_STATUS=OR","EQY_CONSOLIDATED=Y","Sort=A","Dates=H","DateFormat=P","Fill=—","Direction=H","UseDPDF=Y")</f>
        <v>#NAME?</v>
      </c>
      <c r="BD238" s="2" t="e">
        <f ca="1">_xll.BDH($C$228,"GEO_GROW_BOOK_VAL","FY 2016","FY 2016","Currency=INR","Period=FY","BEST_FPERIOD_OVERRIDE=FY","FILING_STATUS=OR","EQY_CONSOLIDATED=Y","Sort=A","Dates=H","DateFormat=P","Fill=—","Direction=H","UseDPDF=Y")</f>
        <v>#NAME?</v>
      </c>
      <c r="BE238" s="2" t="e">
        <f ca="1">_xll.BDH($C$228,"GEO_GROW_CASH_OPER_ACT","FY 2016","FY 2016","Currency=INR","Period=FY","BEST_FPERIOD_OVERRIDE=FY","FILING_STATUS=OR","EQY_CONSOLIDATED=Y","Sort=A","Dates=H","DateFormat=P","Fill=—","Direction=H","UseDPDF=Y")</f>
        <v>#NAME?</v>
      </c>
      <c r="BF238" s="2" t="e">
        <f ca="1">_xll.BDH($C$228,"REVENUE_SEQUENTIAL_GROWTH","FY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238" s="2" t="e">
        <f ca="1">_xll.BDH($C$228,"EBITDA_SEQUENTIAL_GROWTH","FY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238" s="2" t="e">
        <f ca="1">_xll.BDH($C$228,"OPERATING_INCOME_SEQ_GROWTH","FY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238" s="2" t="e">
        <f ca="1">_xll.BDH($C$228,"NET_INCOME_TO_COMMON_SEQ_GROWTH","FY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238" s="2" t="e">
        <f ca="1">_xll.BDH($C$228,"EPS_DILUTED_SEQUENTIAL_GROWTH","FY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238" s="2" t="e">
        <f ca="1">_xll.BDH($C$228,"DPS_SEQUENTIAL_GROWTH","FY 2016","FY 2016","Currency=INR","Period=FY","BEST_FPERIOD_OVERRIDE=FY","FILING_STATUS=OR","EQY_CONSOLIDATED=Y","Sort=A","Dates=H","DateFormat=P","Fill=—","Direction=H","UseDPDF=Y")</f>
        <v>#NAME?</v>
      </c>
      <c r="BL238" s="2" t="e">
        <f ca="1">_xll.BDH($C$228,"ACCOUNTS_RECEIVABLE_SEQ_GROWTH","FY 2016","FY 2016","Currency=INR","Period=FY","BEST_FPERIOD_OVERRIDE=FY","FILING_STATUS=OR","EQY_CONSOLIDATED=Y","Sort=A","Dates=H","DateFormat=P","Fill=—","Direction=H","UseDPDF=Y")</f>
        <v>#NAME?</v>
      </c>
      <c r="BM238" s="2" t="e">
        <f ca="1">_xll.BDH($C$228,"INVENTORY_SEQUENTIAL_GROWTH","FY 2016","FY 2016","Currency=INR","Period=FY","BEST_FPERIOD_OVERRIDE=FY","FILING_STATUS=OR","EQY_CONSOLIDATED=Y","Sort=A","Dates=H","DateFormat=P","Fill=—","Direction=H","UseDPDF=Y")</f>
        <v>#NAME?</v>
      </c>
      <c r="BN238" s="2" t="e">
        <f ca="1">_xll.BDH($C$228,"FIXED_ASSETS_SEQUENTIAL_GROWTH","FY 2016","FY 2016","Currency=INR","Period=FY","BEST_FPERIOD_OVERRIDE=FY","FILING_STATUS=OR","EQY_CONSOLIDATED=Y","Sort=A","Dates=H","DateFormat=P","Fill=—","Direction=H","UseDPDF=Y")</f>
        <v>#NAME?</v>
      </c>
      <c r="BO238" s="2" t="e">
        <f ca="1">_xll.BDH($C$228,"TOTAL_ASSETS_SEQUENTIAL_GROWTH","FY 2016","FY 2016","Currency=INR","Period=FY","BEST_FPERIOD_OVERRIDE=FY","FILING_STATUS=OR","EQY_CONSOLIDATED=Y","Sort=A","Dates=H","DateFormat=P","Fill=—","Direction=H","UseDPDF=Y")</f>
        <v>#NAME?</v>
      </c>
      <c r="BP238" s="2" t="e">
        <f ca="1">_xll.BDH($C$228,"MODIFIED_WORKING_CPTL_SEQ_GRWTH","FY 2016","FY 2016","Currency=INR","Period=FY","BEST_FPERIOD_OVERRIDE=FY","FILING_STATUS=OR","EQY_CONSOLIDATED=Y","Sort=A","Dates=H","DateFormat=P","Fill=—","Direction=H","UseDPDF=Y")</f>
        <v>#NAME?</v>
      </c>
      <c r="BQ238" s="2" t="e">
        <f ca="1">_xll.BDH($C$228,"WORKING_CAPITAL_SEQ_GROWTH","FY 2016","FY 2016","Currency=INR","Period=FY","BEST_FPERIOD_OVERRIDE=FY","FILING_STATUS=OR","EQY_CONSOLIDATED=Y","Sort=A","Dates=H","DateFormat=P","Fill=—","Direction=H","UseDPDF=Y")</f>
        <v>#NAME?</v>
      </c>
      <c r="BR238" s="2" t="e">
        <f ca="1">_xll.BDH($C$228,"ACCOUNTS_PAYABLE_SEQ_GROWTH","FY 2016","FY 2016","Currency=INR","Period=FY","BEST_FPERIOD_OVERRIDE=FY","FILING_STATUS=OR","EQY_CONSOLIDATED=Y","Sort=A","Dates=H","DateFormat=P","Fill=—","Direction=H","UseDPDF=Y")</f>
        <v>#NAME?</v>
      </c>
      <c r="BS238" s="2" t="e">
        <f ca="1">_xll.BDH($C$228,"ST_DEBT_SEQUENTIAL_GROWTH","FY 2016","FY 2016","Currency=INR","Period=FY","BEST_FPERIOD_OVERRIDE=FY","FILING_STATUS=OR","EQY_CONSOLIDATED=Y","Sort=A","Dates=H","DateFormat=P","Fill=—","Direction=H","UseDPDF=Y")</f>
        <v>#NAME?</v>
      </c>
      <c r="BT238" s="2" t="e">
        <f ca="1">_xll.BDH($C$228,"TOTAL_DEBT_SEQUENTIAL_GROWTH","FY 2016","FY 2016","Currency=INR","Period=FY","BEST_FPERIOD_OVERRIDE=FY","FILING_STATUS=OR","EQY_CONSOLIDATED=Y","Sort=A","Dates=H","DateFormat=P","Fill=—","Direction=H","UseDPDF=Y")</f>
        <v>#NAME?</v>
      </c>
      <c r="BU238" s="2" t="e">
        <f ca="1">_xll.BDH($C$228,"TOTAL_EQUITY_SEQUENTIAL_GROWTH","FY 2016","FY 2016","Currency=INR","Period=FY","BEST_FPERIOD_OVERRIDE=FY","FILING_STATUS=OR","EQY_CONSOLIDATED=Y","Sort=A","Dates=H","DateFormat=P","Fill=—","Direction=H","UseDPDF=Y")</f>
        <v>#NAME?</v>
      </c>
      <c r="BV238" s="2" t="e">
        <f ca="1">_xll.BDH($C$228,"TOTAL_CAPITAL_SEQUENTIAL_GROWTH","FY 2016","FY 2016","Currency=INR","Period=FY","BEST_FPERIOD_OVERRIDE=FY","FILING_STATUS=OR","EQY_CONSOLIDATED=Y","Sort=A","Dates=H","DateFormat=P","Fill=—","Direction=H","UseDPDF=Y")</f>
        <v>#NAME?</v>
      </c>
      <c r="BW238" s="2" t="e">
        <f ca="1">_xll.BDH($C$228,"BPS_SEQUENTIAL_GROWTH","FY 2016","FY 2016","Currency=INR","Period=FY","BEST_FPERIOD_OVERRIDE=FY","FILING_STATUS=OR","EQY_CONSOLIDATED=Y","Sort=A","Dates=H","DateFormat=P","Fill=—","Direction=H","UseDPDF=Y")</f>
        <v>#NAME?</v>
      </c>
      <c r="BX238" s="2" t="e">
        <f ca="1">_xll.BDH($C$228,"CFO_SEQUENTIAL_GROWTH","FY 2016","FY 2016","Currency=INR","Period=FY","BEST_FPERIOD_OVERRIDE=FY","FILING_STATUS=OR","EQY_CONSOLIDATED=Y","Sort=A","Dates=H","DateFormat=P","Fill=—","Direction=H","UseDPDF=Y")</f>
        <v>#NAME?</v>
      </c>
      <c r="BY238" s="3" t="e">
        <f ca="1">_xll.BDH($C$228,"SHORT_AND_LONG_TERM_DEBT","FY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238" s="3" t="e">
        <f ca="1">_xll.BDH($C$228,"BS_ST_BORROW","FY 2016","FY 2016","Currency=INR","Period=FY","BEST_FPERIOD_OVERRIDE=FY","FILING_STATUS=OR","EQY_CONSOLIDATED=Y","SCALING_FORMAT=MLN","Sort=A","Dates=H","DateFormat=P","Fill=—","Direction=H","UseDPDF=Y")</f>
        <v>#NAME?</v>
      </c>
      <c r="CA238" s="3" t="e">
        <f ca="1">_xll.BDH($C$228,"BS_LT_BORROW","FY 2016","FY 2016","Currency=INR","Period=FY","BEST_FPERIOD_OVERRIDE=FY","FILING_STATUS=OR","EQY_CONSOLIDATED=Y","SCALING_FORMAT=MLN","Sort=A","Dates=H","DateFormat=P","Fill=—","Direction=H","UseDPDF=Y")</f>
        <v>#NAME?</v>
      </c>
      <c r="CB238" s="2" t="e">
        <f ca="1">_xll.BDH($C$228,"TOT_DEBT_TO_EBITDA","FY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238" s="2" t="e">
        <f ca="1">_xll.BDH($C$228,"NET_DEBT_TO_EBITDA","FY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238" s="2" t="e">
        <f ca="1">_xll.BDH($C$228,"TOTAL_DEBT_TO_EBIT","FY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238" s="2" t="e">
        <f ca="1">_xll.BDH($C$228,"NET_DEBT_TO_EBIT","FY 2016","FY 2016","Currency=INR","Period=FY","BEST_FPERIOD_OVERRIDE=FY","FILING_STATUS=OR","EQY_CONSOLIDATED=Y","FA_ADJUSTED=GAAP","Sort=A","Dates=H","DateFormat=P","Fill=—","Direction=H","UseDPDF=Y")</f>
        <v>#NAME?</v>
      </c>
      <c r="CF238" s="2" t="e">
        <f ca="1">_xll.BDH($C$228,"EBITDA_TO_INTEREST_EXPN","FY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238" s="2" t="e">
        <f ca="1">_xll.BDH($C$228,"COM_EQY_TO_TOT_ASSET","FY 2016","FY 2016","Currency=INR","Period=FY","BEST_FPERIOD_OVERRIDE=FY","FILING_STATUS=OR","EQY_CONSOLIDATED=Y","Sort=A","Dates=H","DateFormat=P","Fill=—","Direction=H","UseDPDF=Y")</f>
        <v>#NAME?</v>
      </c>
      <c r="CH238" s="2" t="e">
        <f ca="1">_xll.BDH($C$228,"LT_DEBT_TO_TOT_EQY","FY 2016","FY 2016","Currency=INR","Period=FY","BEST_FPERIOD_OVERRIDE=FY","FILING_STATUS=OR","EQY_CONSOLIDATED=Y","Sort=A","Dates=H","DateFormat=P","Fill=—","Direction=H","UseDPDF=Y")</f>
        <v>#NAME?</v>
      </c>
      <c r="CI238" s="2" t="e">
        <f ca="1">_xll.BDH($C$228,"LT_DEBT_TO_TOT_CAP","FY 2016","FY 2016","Currency=INR","Period=FY","BEST_FPERIOD_OVERRIDE=FY","FILING_STATUS=OR","EQY_CONSOLIDATED=Y","Sort=A","Dates=H","DateFormat=P","Fill=—","Direction=H","UseDPDF=Y")</f>
        <v>#NAME?</v>
      </c>
      <c r="CJ238" s="2" t="e">
        <f ca="1">_xll.BDH($C$228,"LT_DEBT_TO_TOT_ASSET","FY 2016","FY 2016","Currency=INR","Period=FY","BEST_FPERIOD_OVERRIDE=FY","FILING_STATUS=OR","EQY_CONSOLIDATED=Y","Sort=A","Dates=H","DateFormat=P","Fill=—","Direction=H","UseDPDF=Y")</f>
        <v>#NAME?</v>
      </c>
      <c r="CK238" s="2" t="e">
        <f ca="1">_xll.BDH($C$228,"TOT_DEBT_TO_TOT_EQY","FY 2016","FY 2016","Currency=INR","Period=FY","BEST_FPERIOD_OVERRIDE=FY","FILING_STATUS=OR","EQY_CONSOLIDATED=Y","Sort=A","Dates=H","DateFormat=P","Fill=—","Direction=H","UseDPDF=Y")</f>
        <v>#NAME?</v>
      </c>
      <c r="CL238" s="2" t="e">
        <f ca="1">_xll.BDH($C$228,"TOT_DEBT_TO_TOT_CAP","FY 2016","FY 2016","Currency=INR","Period=FY","BEST_FPERIOD_OVERRIDE=FY","FILING_STATUS=OR","EQY_CONSOLIDATED=Y","Sort=A","Dates=H","DateFormat=P","Fill=—","Direction=H","UseDPDF=Y")</f>
        <v>#NAME?</v>
      </c>
      <c r="CM238" s="2" t="e">
        <f ca="1">_xll.BDH($C$228,"TOT_DEBT_TO_TOT_ASSET","FY 2016","FY 2016","Currency=INR","Period=FY","BEST_FPERIOD_OVERRIDE=FY","FILING_STATUS=OR","EQY_CONSOLIDATED=Y","Sort=A","Dates=H","DateFormat=P","Fill=—","Direction=H","UseDPDF=Y")</f>
        <v>#NAME?</v>
      </c>
      <c r="CN238" s="2" t="e">
        <f ca="1">_xll.BDH($C$228,"NET_DEBT_TO_SHRHLDR_EQTY","FY 2016","FY 2016","Currency=INR","Period=FY","BEST_FPERIOD_OVERRIDE=FY","FILING_STATUS=OR","EQY_CONSOLIDATED=Y","Sort=A","Dates=H","DateFormat=P","Fill=—","Direction=H","UseDPDF=Y")</f>
        <v>#NAME?</v>
      </c>
      <c r="CO238" s="2" t="e">
        <f ca="1">_xll.BDH($C$228,"NET_DEBT_%_CAPITAL","FY 2016","FY 2016","Currency=INR","Period=FY","BEST_FPERIOD_OVERRIDE=FY","FILING_STATUS=OR","EQY_CONSOLIDATED=Y","Sort=A","Dates=H","DateFormat=P","Fill=—","Direction=H","UseDPDF=Y")</f>
        <v>#NAME?</v>
      </c>
      <c r="CP238" s="3" t="e">
        <f ca="1">_xll.BDH($C$228,"EBITDA","FY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238" s="3" t="e">
        <f ca="1">_xll.BDH($C$228,"EBITDA_AFTER_CAPEX","FY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238" s="3" t="e">
        <f ca="1">_xll.BDH($C$228,"IS_OPER_INC","FY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238" s="2" t="e">
        <f ca="1">_xll.BDH($C$228,"CASH_RATIO","FY 2016","FY 2016","Currency=INR","Period=FY","BEST_FPERIOD_OVERRIDE=FY","FILING_STATUS=OR","EQY_CONSOLIDATED=Y","Sort=A","Dates=H","DateFormat=P","Fill=—","Direction=H","UseDPDF=Y")</f>
        <v>#NAME?</v>
      </c>
      <c r="CT238" s="2" t="e">
        <f ca="1">_xll.BDH($C$228,"CUR_RATIO","FY 2016","FY 2016","Currency=INR","Period=FY","BEST_FPERIOD_OVERRIDE=FY","FILING_STATUS=OR","EQY_CONSOLIDATED=Y","Sort=A","Dates=H","DateFormat=P","Fill=—","Direction=H","UseDPDF=Y")</f>
        <v>#NAME?</v>
      </c>
      <c r="CU238" s="2" t="e">
        <f ca="1">_xll.BDH($C$228,"QUICK_RATIO","FY 2016","FY 2016","Currency=INR","Period=FY","BEST_FPERIOD_OVERRIDE=FY","FILING_STATUS=OR","EQY_CONSOLIDATED=Y","Sort=A","Dates=H","DateFormat=P","Fill=—","Direction=H","UseDPDF=Y")</f>
        <v>#NAME?</v>
      </c>
      <c r="CV238" s="2" t="e">
        <f ca="1">_xll.BDH($C$228,"ALTMAN_Z_SCORE","FY 2016","FY 2016","Currency=INR","Period=FY","BEST_FPERIOD_OVERRIDE=FY","FILING_STATUS=OR","EQY_CONSOLIDATED=Y","Sort=A","Dates=H","DateFormat=P","Fill=—","Direction=H","UseDPDF=Y")</f>
        <v>#NAME?</v>
      </c>
      <c r="CW238" s="4" t="e">
        <f ca="1">_xll.BDH($C$228,"ACCT_RCV_TURN","FY 2016","FY 2016","Currency=INR","Period=FY","BEST_FPERIOD_OVERRIDE=FY","FILING_STATUS=OR","EQY_CONSOLIDATED=Y","FA_ADJUSTED=GAAP","Sort=A","Dates=H","DateFormat=P","Fill=—","Direction=H","UseDPDF=Y")</f>
        <v>#NAME?</v>
      </c>
      <c r="CX238" s="2" t="e">
        <f ca="1">_xll.BDH($C$228,"ACCT_RCV_DAYS","FY 2016","FY 2016","Currency=INR","Period=FY","BEST_FPERIOD_OVERRIDE=FY","FILING_STATUS=OR","EQY_CONSOLIDATED=Y","FA_ADJUSTED=GAAP","Sort=A","Dates=H","DateFormat=P","Fill=—","Direction=H","UseDPDF=Y")</f>
        <v>#NAME?</v>
      </c>
      <c r="CY238" s="4" t="e">
        <f ca="1">_xll.BDH($C$228,"INVENT_TURN","FY 2016","FY 2016","Currency=INR","Period=FY","BEST_FPERIOD_OVERRIDE=FY","FILING_STATUS=OR","EQY_CONSOLIDATED=Y","FA_ADJUSTED=GAAP","Sort=A","Dates=H","DateFormat=P","Fill=—","Direction=H","UseDPDF=Y")</f>
        <v>#NAME?</v>
      </c>
      <c r="CZ238" s="2" t="e">
        <f ca="1">_xll.BDH($C$228,"INVENT_DAYS","FY 2016","FY 2016","Currency=INR","Period=FY","BEST_FPERIOD_OVERRIDE=FY","FILING_STATUS=OR","EQY_CONSOLIDATED=Y","FA_ADJUSTED=GAAP","Sort=A","Dates=H","DateFormat=P","Fill=—","Direction=H","UseDPDF=Y")</f>
        <v>#NAME?</v>
      </c>
      <c r="DA238" s="4" t="e">
        <f ca="1">_xll.BDH($C$228,"ACCOUNTS_PAYABLE_TURNOVER","FY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238" s="2" t="e">
        <f ca="1">_xll.BDH($C$228,"ACCOUNTS_PAYABLE_TURNOVER_DAYS","FY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238" s="4" t="e">
        <f ca="1">_xll.BDH($C$228,"CASH_CONVERSION_CYCLE","FY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238" s="4" t="e">
        <f ca="1">_xll.BDH($C$228,"INV_TO_CASH_DAYS","FY 2016","FY 2016","Currency=INR","Period=FY","BEST_FPERIOD_OVERRIDE=FY","FILING_STATUS=OR","EQY_CONSOLIDATED=Y","FA_ADJUSTED=GAAP","Sort=A","Dates=H","DateFormat=P","Fill=—","Direction=H","UseDPDF=Y")</f>
        <v>#NAME?</v>
      </c>
      <c r="DE238" s="5" t="e">
        <f ca="1">_xll.BDH($C$228,"BS_INVENTORIES","FY 2016","FY 2016","Currency=INR","Period=FY","BEST_FPERIOD_OVERRIDE=FY","FILING_STATUS=OR","EQY_CONSOLIDATED=Y","SCALING_FORMAT=MLN","Sort=A","Dates=H","DateFormat=P","Fill=—","Direction=H","UseDPDF=Y")</f>
        <v>#NAME?</v>
      </c>
      <c r="DF238" s="3" t="e">
        <f ca="1">_xll.BDH($C$228,"INVTRY_RAW_MATERIALS","FY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238" s="3" t="e">
        <f ca="1">_xll.BDH($C$228,"INVTRY_IN_PROGRESS","FY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238" s="3" t="e">
        <f ca="1">_xll.BDH($C$228,"INVTRY_FINISHED_GOODS","FY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238" s="3" t="e">
        <f ca="1">_xll.BDH($C$228,"BS_OTHER_INV","FY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239" spans="1:113" x14ac:dyDescent="0.3">
      <c r="A239" s="6"/>
      <c r="B239" s="6"/>
      <c r="C239" s="6"/>
      <c r="D239" s="6"/>
      <c r="E239" t="s">
        <v>78</v>
      </c>
      <c r="F239" t="e">
        <f ca="1">_xll.BDH($C$228,"RETURN_COM_EQY","FQ1 2016","FQ1 2016","Currency=INR","Period=FQ","BEST_FPERIOD_OVERRIDE=FQ","FILING_STATUS=OR","EQY_CONSOLIDATED=Y","FA_ADJUSTED=GAAP","Sort=A","Dates=H","DateFormat=P","Fill=—","Direction=H","UseDPDF=Y")</f>
        <v>#NAME?</v>
      </c>
      <c r="G239" t="e">
        <f ca="1">_xll.BDH($C$228,"RETURN_ON_ASSET","FQ1 2016","FQ1 2016","Currency=INR","Period=FQ","BEST_FPERIOD_OVERRIDE=FQ","FILING_STATUS=OR","EQY_CONSOLIDATED=Y","FA_ADJUSTED=GAAP","Sort=A","Dates=H","DateFormat=P","Fill=—","Direction=H","UseDPDF=Y")</f>
        <v>#NAME?</v>
      </c>
      <c r="H239" t="e">
        <f ca="1">_xll.BDH($C$228,"RETURN_ON_CAP","FQ1 2016","FQ1 2016","Currency=INR","Period=FQ","BEST_FPERIOD_OVERRIDE=FQ","FILING_STATUS=OR","EQY_CONSOLIDATED=Y","FA_ADJUSTED=GAAP","Sort=A","Dates=H","DateFormat=P","Fill=—","Direction=H","UseDPDF=Y")</f>
        <v>#NAME?</v>
      </c>
      <c r="I239" t="e">
        <f ca="1">_xll.BDH($C$228,"RETURN_ON_INV_CAPITAL","FQ1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239" t="e">
        <f ca="1">_xll.BDH($C$228,"EBITDA_TO_REVENUE","FQ1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239" t="e">
        <f ca="1">_xll.BDH($C$228,"OPER_MARGIN","FQ1 2016","FQ1 2016","Currency=INR","Period=FQ","BEST_FPERIOD_OVERRIDE=FQ","FILING_STATUS=OR","EQY_CONSOLIDATED=Y","FA_ADJUSTED=GAAP","Sort=A","Dates=H","DateFormat=P","Fill=—","Direction=H","UseDPDF=Y")</f>
        <v>#NAME?</v>
      </c>
      <c r="L239" t="e">
        <f ca="1">_xll.BDH($C$228,"INCREMENTAL_OPERATING_MARGIN","FQ1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239" t="e">
        <f ca="1">_xll.BDH($C$228,"PRETAX_INC_TO_NET_SALES","FQ1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239" t="e">
        <f ca="1">_xll.BDH($C$228,"INC_BEF_XO_ITEMS_TO_NET_SALES","FQ1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239" t="e">
        <f ca="1">_xll.BDH($C$228,"PROF_MARGIN","FQ1 2016","FQ1 2016","Currency=INR","Period=FQ","BEST_FPERIOD_OVERRIDE=FQ","FILING_STATUS=OR","EQY_CONSOLIDATED=Y","FA_ADJUSTED=GAAP","Sort=A","Dates=H","DateFormat=P","Fill=—","Direction=H","UseDPDF=Y")</f>
        <v>#NAME?</v>
      </c>
      <c r="P239" t="e">
        <f ca="1">_xll.BDH($C$228,"NET_INCOME_TO_COMMON_MARGIN","FQ1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239" t="e">
        <f ca="1">_xll.BDH($C$228,"EFF_TAX_RATE","FQ1 2016","FQ1 2016","Currency=INR","Period=FQ","BEST_FPERIOD_OVERRIDE=FQ","FILING_STATUS=OR","EQY_CONSOLIDATED=Y","FA_ADJUSTED=GAAP","Sort=A","Dates=H","DateFormat=P","Fill=—","Direction=H","UseDPDF=Y")</f>
        <v>#NAME?</v>
      </c>
      <c r="R239" t="e">
        <f ca="1">_xll.BDH($C$228,"DVD_PAYOUT_RATIO","FQ1 2016","FQ1 2016","Currency=INR","Period=FQ","BEST_FPERIOD_OVERRIDE=FQ","FILING_STATUS=OR","EQY_CONSOLIDATED=Y","FA_ADJUSTED=GAAP","Sort=A","Dates=H","DateFormat=P","Fill=—","Direction=H","UseDPDF=Y")</f>
        <v>#NAME?</v>
      </c>
      <c r="S239" t="e">
        <f ca="1">_xll.BDH($C$228,"SUSTAIN_GROWTH_RT","FQ1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239" s="2" t="e">
        <f ca="1">_xll.BDH($C$228,"SALES_GROWTH","FQ1 2016","FQ1 2016","Currency=INR","Period=FQ","BEST_FPERIOD_OVERRIDE=FQ","FILING_STATUS=OR","EQY_CONSOLIDATED=Y","FA_ADJUSTED=GAAP","Sort=A","Dates=H","DateFormat=P","Fill=—","Direction=H","UseDPDF=Y")</f>
        <v>#NAME?</v>
      </c>
      <c r="U239" s="2" t="e">
        <f ca="1">_xll.BDH($C$228,"EBITDA_GROWTH","FQ1 2016","FQ1 2016","Currency=INR","Period=FQ","BEST_FPERIOD_OVERRIDE=FQ","FILING_STATUS=OR","EQY_CONSOLIDATED=Y","FA_ADJUSTED=GAAP","Sort=A","Dates=H","DateFormat=P","Fill=—","Direction=H","UseDPDF=Y")</f>
        <v>#NAME?</v>
      </c>
      <c r="V239" s="2" t="e">
        <f ca="1">_xll.BDH($C$228,"OPER_INC_GROWTH","FQ1 2016","FQ1 2016","Currency=INR","Period=FQ","BEST_FPERIOD_OVERRIDE=FQ","FILING_STATUS=OR","EQY_CONSOLIDATED=Y","FA_ADJUSTED=GAAP","Sort=A","Dates=H","DateFormat=P","Fill=—","Direction=H","UseDPDF=Y")</f>
        <v>#NAME?</v>
      </c>
      <c r="W239" s="2" t="e">
        <f ca="1">_xll.BDH($C$228,"EARN_FOR_COM_GROWTH","FQ1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239" s="2" t="e">
        <f ca="1">_xll.BDH($C$228,"DILUTED_EPS_AFT_XO_ITEMS_GROWTH","FQ1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239" s="2" t="e">
        <f ca="1">_xll.BDH($C$228,"DIVIDEND_PER_SHARE_1_YEAR_GROWTH","FQ1 2016","FQ1 2016","Currency=INR","Period=FQ","BEST_FPERIOD_OVERRIDE=FQ","FILING_STATUS=OR","EQY_CONSOLIDATED=Y","Sort=A","Dates=H","DateFormat=P","Fill=—","Direction=H","UseDPDF=Y")</f>
        <v>#NAME?</v>
      </c>
      <c r="Z239" s="2" t="e">
        <f ca="1">_xll.BDH($C$228,"ACCOUNTS_RECEIVABLE_GROWTH","FQ1 2016","FQ1 2016","Currency=INR","Period=FQ","BEST_FPERIOD_OVERRIDE=FQ","FILING_STATUS=OR","EQY_CONSOLIDATED=Y","Sort=A","Dates=H","DateFormat=P","Fill=—","Direction=H","UseDPDF=Y")</f>
        <v>#NAME?</v>
      </c>
      <c r="AA239" s="2" t="e">
        <f ca="1">_xll.BDH($C$228,"INVENTORY_GROWTH","FQ1 2016","FQ1 2016","Currency=INR","Period=FQ","BEST_FPERIOD_OVERRIDE=FQ","FILING_STATUS=OR","EQY_CONSOLIDATED=Y","Sort=A","Dates=H","DateFormat=P","Fill=—","Direction=H","UseDPDF=Y")</f>
        <v>#NAME?</v>
      </c>
      <c r="AB239" s="2" t="e">
        <f ca="1">_xll.BDH($C$228,"NET_FIXED_ASSETS_1_YEAR_GROWTH","FQ1 2016","FQ1 2016","Currency=INR","Period=FQ","BEST_FPERIOD_OVERRIDE=FQ","FILING_STATUS=OR","EQY_CONSOLIDATED=Y","Sort=A","Dates=H","DateFormat=P","Fill=—","Direction=H","UseDPDF=Y")</f>
        <v>#NAME?</v>
      </c>
      <c r="AC239" s="2" t="e">
        <f ca="1">_xll.BDH($C$228,"ASSET_GROWTH","FQ1 2016","FQ1 2016","Currency=INR","Period=FQ","BEST_FPERIOD_OVERRIDE=FQ","FILING_STATUS=OR","EQY_CONSOLIDATED=Y","Sort=A","Dates=H","DateFormat=P","Fill=—","Direction=H","UseDPDF=Y")</f>
        <v>#NAME?</v>
      </c>
      <c r="AD239" s="2" t="e">
        <f ca="1">_xll.BDH($C$228,"MODIFIED_WORK_CAP_GROWTH","FQ1 2016","FQ1 2016","Currency=INR","Period=FQ","BEST_FPERIOD_OVERRIDE=FQ","FILING_STATUS=OR","EQY_CONSOLIDATED=Y","Sort=A","Dates=H","DateFormat=P","Fill=—","Direction=H","UseDPDF=Y")</f>
        <v>#NAME?</v>
      </c>
      <c r="AE239" s="2" t="e">
        <f ca="1">_xll.BDH($C$228,"WORK_CAP_GROWTH","FQ1 2016","FQ1 2016","Currency=INR","Period=FQ","BEST_FPERIOD_OVERRIDE=FQ","FILING_STATUS=OR","EQY_CONSOLIDATED=Y","Sort=A","Dates=H","DateFormat=P","Fill=—","Direction=H","UseDPDF=Y")</f>
        <v>#NAME?</v>
      </c>
      <c r="AF239" s="2" t="e">
        <f ca="1">_xll.BDH($C$228,"ACCOUNTS_PAYABLE_GROWTH_1YR","FQ1 2016","FQ1 2016","Currency=INR","Period=FQ","BEST_FPERIOD_OVERRIDE=FQ","FILING_STATUS=OR","EQY_CONSOLIDATED=Y","Sort=A","Dates=H","DateFormat=P","Fill=—","Direction=H","UseDPDF=Y")</f>
        <v>#NAME?</v>
      </c>
      <c r="AG239" s="2" t="e">
        <f ca="1">_xll.BDH($C$228,"SHORT_TERM_DEBT_1_YEAR_GROWTH","FQ1 2016","FQ1 2016","Currency=INR","Period=FQ","BEST_FPERIOD_OVERRIDE=FQ","FILING_STATUS=OR","EQY_CONSOLIDATED=Y","Sort=A","Dates=H","DateFormat=P","Fill=—","Direction=H","UseDPDF=Y")</f>
        <v>#NAME?</v>
      </c>
      <c r="AH239" s="2" t="e">
        <f ca="1">_xll.BDH($C$228,"TOTAL_DEBT_1_YEAR_GROWTH","FQ1 2016","FQ1 2016","Currency=INR","Period=FQ","BEST_FPERIOD_OVERRIDE=FQ","FILING_STATUS=OR","EQY_CONSOLIDATED=Y","Sort=A","Dates=H","DateFormat=P","Fill=—","Direction=H","UseDPDF=Y")</f>
        <v>#NAME?</v>
      </c>
      <c r="AI239" s="2" t="e">
        <f ca="1">_xll.BDH($C$228,"TOTAL_EQUITY_1_YEAR_GROWTH","FQ1 2016","FQ1 2016","Currency=INR","Period=FQ","BEST_FPERIOD_OVERRIDE=FQ","FILING_STATUS=OR","EQY_CONSOLIDATED=Y","Sort=A","Dates=H","DateFormat=P","Fill=—","Direction=H","UseDPDF=Y")</f>
        <v>#NAME?</v>
      </c>
      <c r="AJ239" s="2" t="e">
        <f ca="1">_xll.BDH($C$228,"GROWTH_IN_CAP","FQ1 2016","FQ1 2016","Currency=INR","Period=FQ","BEST_FPERIOD_OVERRIDE=FQ","FILING_STATUS=OR","EQY_CONSOLIDATED=Y","Sort=A","Dates=H","DateFormat=P","Fill=—","Direction=H","UseDPDF=Y")</f>
        <v>#NAME?</v>
      </c>
      <c r="AK239" s="2" t="e">
        <f ca="1">_xll.BDH($C$228,"BVPS_GROWTH","FQ1 2016","FQ1 2016","Currency=INR","Period=FQ","BEST_FPERIOD_OVERRIDE=FQ","FILING_STATUS=OR","EQY_CONSOLIDATED=Y","Sort=A","Dates=H","DateFormat=P","Fill=—","Direction=H","UseDPDF=Y")</f>
        <v>#NAME?</v>
      </c>
      <c r="AL239" s="2" t="e">
        <f ca="1">_xll.BDH($C$228,"CASH_FLOW_GROWTH","FQ1 2016","FQ1 2016","Currency=INR","Period=FQ","BEST_FPERIOD_OVERRIDE=FQ","FILING_STATUS=OR","EQY_CONSOLIDATED=Y","Sort=A","Dates=H","DateFormat=P","Fill=—","Direction=H","UseDPDF=Y")</f>
        <v>#NAME?</v>
      </c>
      <c r="AM239" s="2" t="e">
        <f ca="1">_xll.BDH($C$228,"GEO_GROW_NET_SALES","FQ1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239" s="2" t="e">
        <f ca="1">_xll.BDH($C$228,"GEO_GROW_EBITDA","FQ1 2016","FQ1 2016","Currency=INR","Period=FQ","BEST_FPERIOD_OVERRIDE=FQ","FILING_STATUS=OR","EQY_CONSOLIDATED=Y","FA_ADJUSTED=GAAP","Sort=A","Dates=H","DateFormat=P","Fill=—","Direction=H","UseDPDF=Y")</f>
        <v>#NAME?</v>
      </c>
      <c r="AO239" s="2" t="e">
        <f ca="1">_xll.BDH($C$228,"GEO_GROW_OPER_INC","FQ1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239" s="2" t="e">
        <f ca="1">_xll.BDH($C$228,"NET_INCOME_TO_COMMON_5_YR_GROWTH","FQ1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239" s="2" t="e">
        <f ca="1">_xll.BDH($C$228,"5Y_GEO_GROWTH_DILUTED_EPS","FQ1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239" s="2" t="e">
        <f ca="1">_xll.BDH($C$228,"GEO_GROW_DVD_PER_SH","FQ1 2016","FQ1 2016","Currency=INR","Period=FQ","BEST_FPERIOD_OVERRIDE=FQ","FILING_STATUS=OR","EQY_CONSOLIDATED=Y","Sort=A","Dates=H","DateFormat=P","Fill=—","Direction=H","UseDPDF=Y")</f>
        <v>#NAME?</v>
      </c>
      <c r="AS239" s="2" t="e">
        <f ca="1">_xll.BDH($C$228,"ACCOUNTS_RECEIVABLE_5_YR_GROWTH","FQ1 2016","FQ1 2016","Currency=INR","Period=FQ","BEST_FPERIOD_OVERRIDE=FQ","FILING_STATUS=OR","EQY_CONSOLIDATED=Y","Sort=A","Dates=H","DateFormat=P","Fill=—","Direction=H","UseDPDF=Y")</f>
        <v>#NAME?</v>
      </c>
      <c r="AT239" s="2" t="e">
        <f ca="1">_xll.BDH($C$228,"INVENTORY_5_YEAR_GROWTH","FQ1 2016","FQ1 2016","Currency=INR","Period=FQ","BEST_FPERIOD_OVERRIDE=FQ","FILING_STATUS=OR","EQY_CONSOLIDATED=Y","Sort=A","Dates=H","DateFormat=P","Fill=—","Direction=H","UseDPDF=Y")</f>
        <v>#NAME?</v>
      </c>
      <c r="AU239" s="2" t="e">
        <f ca="1">_xll.BDH($C$228,"NET_FIXED_ASSETS_5_YEAR_GROWTH","FQ1 2016","FQ1 2016","Currency=INR","Period=FQ","BEST_FPERIOD_OVERRIDE=FQ","FILING_STATUS=OR","EQY_CONSOLIDATED=Y","Sort=A","Dates=H","DateFormat=P","Fill=—","Direction=H","UseDPDF=Y")</f>
        <v>#NAME?</v>
      </c>
      <c r="AV239" s="2" t="e">
        <f ca="1">_xll.BDH($C$228,"GEO_GROW_TOT_ASSET","FQ1 2016","FQ1 2016","Currency=INR","Period=FQ","BEST_FPERIOD_OVERRIDE=FQ","FILING_STATUS=OR","EQY_CONSOLIDATED=Y","Sort=A","Dates=H","DateFormat=P","Fill=—","Direction=H","UseDPDF=Y")</f>
        <v>#NAME?</v>
      </c>
      <c r="AW239" s="2" t="e">
        <f ca="1">_xll.BDH($C$228,"MODIFIED_WORKING_CPTL_5YR_GRWTH","FQ1 2016","FQ1 2016","Currency=INR","Period=FQ","BEST_FPERIOD_OVERRIDE=FQ","FILING_STATUS=OR","EQY_CONSOLIDATED=Y","Sort=A","Dates=H","DateFormat=P","Fill=—","Direction=H","UseDPDF=Y")</f>
        <v>#NAME?</v>
      </c>
      <c r="AX239" s="2" t="e">
        <f ca="1">_xll.BDH($C$228,"WORKING_CAPITAL_5_YEAR_GROWTH","FQ1 2016","FQ1 2016","Currency=INR","Period=FQ","BEST_FPERIOD_OVERRIDE=FQ","FILING_STATUS=OR","EQY_CONSOLIDATED=Y","Sort=A","Dates=H","DateFormat=P","Fill=—","Direction=H","UseDPDF=Y")</f>
        <v>#NAME?</v>
      </c>
      <c r="AY239" s="2" t="e">
        <f ca="1">_xll.BDH($C$228,"ACCOUNTS_PAYABLE_5_YEAR_GROWTH","FQ1 2016","FQ1 2016","Currency=INR","Period=FQ","BEST_FPERIOD_OVERRIDE=FQ","FILING_STATUS=OR","EQY_CONSOLIDATED=Y","Sort=A","Dates=H","DateFormat=P","Fill=—","Direction=H","UseDPDF=Y")</f>
        <v>#NAME?</v>
      </c>
      <c r="AZ239" s="2" t="e">
        <f ca="1">_xll.BDH($C$228,"SHORT_TERM_DEBT_5_YEAR_GROWTH","FQ1 2016","FQ1 2016","Currency=INR","Period=FQ","BEST_FPERIOD_OVERRIDE=FQ","FILING_STATUS=OR","EQY_CONSOLIDATED=Y","Sort=A","Dates=H","DateFormat=P","Fill=—","Direction=H","UseDPDF=Y")</f>
        <v>#NAME?</v>
      </c>
      <c r="BA239" s="2" t="e">
        <f ca="1">_xll.BDH($C$228,"TOTAL_DEBT_5_YEAR_GROWTH","FQ1 2016","FQ1 2016","Currency=INR","Period=FQ","BEST_FPERIOD_OVERRIDE=FQ","FILING_STATUS=OR","EQY_CONSOLIDATED=Y","Sort=A","Dates=H","DateFormat=P","Fill=—","Direction=H","UseDPDF=Y")</f>
        <v>#NAME?</v>
      </c>
      <c r="BB239" s="2" t="e">
        <f ca="1">_xll.BDH($C$228,"GEO_GROW_TOT_SHRHLDR_EQY","FQ1 2016","FQ1 2016","Currency=INR","Period=FQ","BEST_FPERIOD_OVERRIDE=FQ","FILING_STATUS=OR","EQY_CONSOLIDATED=Y","Sort=A","Dates=H","DateFormat=P","Fill=—","Direction=H","UseDPDF=Y")</f>
        <v>#NAME?</v>
      </c>
      <c r="BC239" s="2" t="e">
        <f ca="1">_xll.BDH($C$228,"TOTAL_CAPITAL_5_YEAR_GROWTH","FQ1 2016","FQ1 2016","Currency=INR","Period=FQ","BEST_FPERIOD_OVERRIDE=FQ","FILING_STATUS=OR","EQY_CONSOLIDATED=Y","Sort=A","Dates=H","DateFormat=P","Fill=—","Direction=H","UseDPDF=Y")</f>
        <v>#NAME?</v>
      </c>
      <c r="BD239" s="2" t="e">
        <f ca="1">_xll.BDH($C$228,"GEO_GROW_BOOK_VAL","FQ1 2016","FQ1 2016","Currency=INR","Period=FQ","BEST_FPERIOD_OVERRIDE=FQ","FILING_STATUS=OR","EQY_CONSOLIDATED=Y","Sort=A","Dates=H","DateFormat=P","Fill=—","Direction=H","UseDPDF=Y")</f>
        <v>#NAME?</v>
      </c>
      <c r="BE239" s="2" t="e">
        <f ca="1">_xll.BDH($C$228,"GEO_GROW_CASH_OPER_ACT","FQ1 2016","FQ1 2016","Currency=INR","Period=FQ","BEST_FPERIOD_OVERRIDE=FQ","FILING_STATUS=OR","EQY_CONSOLIDATED=Y","Sort=A","Dates=H","DateFormat=P","Fill=—","Direction=H","UseDPDF=Y")</f>
        <v>#NAME?</v>
      </c>
      <c r="BF239" s="2" t="e">
        <f ca="1">_xll.BDH($C$228,"REVENUE_SEQUENTIAL_GROWTH","FQ1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239" s="2" t="e">
        <f ca="1">_xll.BDH($C$228,"EBITDA_SEQUENTIAL_GROWTH","FQ1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239" s="2" t="e">
        <f ca="1">_xll.BDH($C$228,"OPERATING_INCOME_SEQ_GROWTH","FQ1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239" s="2" t="e">
        <f ca="1">_xll.BDH($C$228,"NET_INCOME_TO_COMMON_SEQ_GROWTH","FQ1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239" s="2" t="e">
        <f ca="1">_xll.BDH($C$228,"EPS_DILUTED_SEQUENTIAL_GROWTH","FQ1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239" s="2" t="e">
        <f ca="1">_xll.BDH($C$228,"DPS_SEQUENTIAL_GROWTH","FQ1 2016","FQ1 2016","Currency=INR","Period=FQ","BEST_FPERIOD_OVERRIDE=FQ","FILING_STATUS=OR","EQY_CONSOLIDATED=Y","Sort=A","Dates=H","DateFormat=P","Fill=—","Direction=H","UseDPDF=Y")</f>
        <v>#NAME?</v>
      </c>
      <c r="BL239" s="2" t="e">
        <f ca="1">_xll.BDH($C$228,"ACCOUNTS_RECEIVABLE_SEQ_GROWTH","FQ1 2016","FQ1 2016","Currency=INR","Period=FQ","BEST_FPERIOD_OVERRIDE=FQ","FILING_STATUS=OR","EQY_CONSOLIDATED=Y","Sort=A","Dates=H","DateFormat=P","Fill=—","Direction=H","UseDPDF=Y")</f>
        <v>#NAME?</v>
      </c>
      <c r="BM239" s="2" t="e">
        <f ca="1">_xll.BDH($C$228,"INVENTORY_SEQUENTIAL_GROWTH","FQ1 2016","FQ1 2016","Currency=INR","Period=FQ","BEST_FPERIOD_OVERRIDE=FQ","FILING_STATUS=OR","EQY_CONSOLIDATED=Y","Sort=A","Dates=H","DateFormat=P","Fill=—","Direction=H","UseDPDF=Y")</f>
        <v>#NAME?</v>
      </c>
      <c r="BN239" s="2" t="e">
        <f ca="1">_xll.BDH($C$228,"FIXED_ASSETS_SEQUENTIAL_GROWTH","FQ1 2016","FQ1 2016","Currency=INR","Period=FQ","BEST_FPERIOD_OVERRIDE=FQ","FILING_STATUS=OR","EQY_CONSOLIDATED=Y","Sort=A","Dates=H","DateFormat=P","Fill=—","Direction=H","UseDPDF=Y")</f>
        <v>#NAME?</v>
      </c>
      <c r="BO239" s="2" t="e">
        <f ca="1">_xll.BDH($C$228,"TOTAL_ASSETS_SEQUENTIAL_GROWTH","FQ1 2016","FQ1 2016","Currency=INR","Period=FQ","BEST_FPERIOD_OVERRIDE=FQ","FILING_STATUS=OR","EQY_CONSOLIDATED=Y","Sort=A","Dates=H","DateFormat=P","Fill=—","Direction=H","UseDPDF=Y")</f>
        <v>#NAME?</v>
      </c>
      <c r="BP239" s="2" t="e">
        <f ca="1">_xll.BDH($C$228,"MODIFIED_WORKING_CPTL_SEQ_GRWTH","FQ1 2016","FQ1 2016","Currency=INR","Period=FQ","BEST_FPERIOD_OVERRIDE=FQ","FILING_STATUS=OR","EQY_CONSOLIDATED=Y","Sort=A","Dates=H","DateFormat=P","Fill=—","Direction=H","UseDPDF=Y")</f>
        <v>#NAME?</v>
      </c>
      <c r="BQ239" s="2" t="e">
        <f ca="1">_xll.BDH($C$228,"WORKING_CAPITAL_SEQ_GROWTH","FQ1 2016","FQ1 2016","Currency=INR","Period=FQ","BEST_FPERIOD_OVERRIDE=FQ","FILING_STATUS=OR","EQY_CONSOLIDATED=Y","Sort=A","Dates=H","DateFormat=P","Fill=—","Direction=H","UseDPDF=Y")</f>
        <v>#NAME?</v>
      </c>
      <c r="BR239" s="2" t="e">
        <f ca="1">_xll.BDH($C$228,"ACCOUNTS_PAYABLE_SEQ_GROWTH","FQ1 2016","FQ1 2016","Currency=INR","Period=FQ","BEST_FPERIOD_OVERRIDE=FQ","FILING_STATUS=OR","EQY_CONSOLIDATED=Y","Sort=A","Dates=H","DateFormat=P","Fill=—","Direction=H","UseDPDF=Y")</f>
        <v>#NAME?</v>
      </c>
      <c r="BS239" s="2" t="e">
        <f ca="1">_xll.BDH($C$228,"ST_DEBT_SEQUENTIAL_GROWTH","FQ1 2016","FQ1 2016","Currency=INR","Period=FQ","BEST_FPERIOD_OVERRIDE=FQ","FILING_STATUS=OR","EQY_CONSOLIDATED=Y","Sort=A","Dates=H","DateFormat=P","Fill=—","Direction=H","UseDPDF=Y")</f>
        <v>#NAME?</v>
      </c>
      <c r="BT239" s="2" t="e">
        <f ca="1">_xll.BDH($C$228,"TOTAL_DEBT_SEQUENTIAL_GROWTH","FQ1 2016","FQ1 2016","Currency=INR","Period=FQ","BEST_FPERIOD_OVERRIDE=FQ","FILING_STATUS=OR","EQY_CONSOLIDATED=Y","Sort=A","Dates=H","DateFormat=P","Fill=—","Direction=H","UseDPDF=Y")</f>
        <v>#NAME?</v>
      </c>
      <c r="BU239" s="2" t="e">
        <f ca="1">_xll.BDH($C$228,"TOTAL_EQUITY_SEQUENTIAL_GROWTH","FQ1 2016","FQ1 2016","Currency=INR","Period=FQ","BEST_FPERIOD_OVERRIDE=FQ","FILING_STATUS=OR","EQY_CONSOLIDATED=Y","Sort=A","Dates=H","DateFormat=P","Fill=—","Direction=H","UseDPDF=Y")</f>
        <v>#NAME?</v>
      </c>
      <c r="BV239" s="2" t="e">
        <f ca="1">_xll.BDH($C$228,"TOTAL_CAPITAL_SEQUENTIAL_GROWTH","FQ1 2016","FQ1 2016","Currency=INR","Period=FQ","BEST_FPERIOD_OVERRIDE=FQ","FILING_STATUS=OR","EQY_CONSOLIDATED=Y","Sort=A","Dates=H","DateFormat=P","Fill=—","Direction=H","UseDPDF=Y")</f>
        <v>#NAME?</v>
      </c>
      <c r="BW239" s="2" t="e">
        <f ca="1">_xll.BDH($C$228,"BPS_SEQUENTIAL_GROWTH","FQ1 2016","FQ1 2016","Currency=INR","Period=FQ","BEST_FPERIOD_OVERRIDE=FQ","FILING_STATUS=OR","EQY_CONSOLIDATED=Y","Sort=A","Dates=H","DateFormat=P","Fill=—","Direction=H","UseDPDF=Y")</f>
        <v>#NAME?</v>
      </c>
      <c r="BX239" s="2" t="e">
        <f ca="1">_xll.BDH($C$228,"CFO_SEQUENTIAL_GROWTH","FQ1 2016","FQ1 2016","Currency=INR","Period=FQ","BEST_FPERIOD_OVERRIDE=FQ","FILING_STATUS=OR","EQY_CONSOLIDATED=Y","Sort=A","Dates=H","DateFormat=P","Fill=—","Direction=H","UseDPDF=Y")</f>
        <v>#NAME?</v>
      </c>
      <c r="BY239" s="3" t="e">
        <f ca="1">_xll.BDH($C$228,"SHORT_AND_LONG_TERM_DEBT","FQ1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239" s="3" t="e">
        <f ca="1">_xll.BDH($C$228,"BS_ST_BORROW","FQ1 2016","FQ1 2016","Currency=INR","Period=FQ","BEST_FPERIOD_OVERRIDE=FQ","FILING_STATUS=OR","EQY_CONSOLIDATED=Y","SCALING_FORMAT=MLN","Sort=A","Dates=H","DateFormat=P","Fill=—","Direction=H","UseDPDF=Y")</f>
        <v>#NAME?</v>
      </c>
      <c r="CA239" s="3" t="e">
        <f ca="1">_xll.BDH($C$228,"BS_LT_BORROW","FQ1 2016","FQ1 2016","Currency=INR","Period=FQ","BEST_FPERIOD_OVERRIDE=FQ","FILING_STATUS=OR","EQY_CONSOLIDATED=Y","SCALING_FORMAT=MLN","Sort=A","Dates=H","DateFormat=P","Fill=—","Direction=H","UseDPDF=Y")</f>
        <v>#NAME?</v>
      </c>
      <c r="CB239" s="2" t="e">
        <f ca="1">_xll.BDH($C$228,"TOT_DEBT_TO_EBITDA","FQ1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239" s="2" t="e">
        <f ca="1">_xll.BDH($C$228,"NET_DEBT_TO_EBITDA","FQ1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239" s="2" t="e">
        <f ca="1">_xll.BDH($C$228,"TOTAL_DEBT_TO_EBIT","FQ1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239" s="2" t="e">
        <f ca="1">_xll.BDH($C$228,"NET_DEBT_TO_EBIT","FQ1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239" s="2" t="e">
        <f ca="1">_xll.BDH($C$228,"EBITDA_TO_INTEREST_EXPN","FQ1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239" s="2" t="e">
        <f ca="1">_xll.BDH($C$228,"COM_EQY_TO_TOT_ASSET","FQ1 2016","FQ1 2016","Currency=INR","Period=FQ","BEST_FPERIOD_OVERRIDE=FQ","FILING_STATUS=OR","EQY_CONSOLIDATED=Y","Sort=A","Dates=H","DateFormat=P","Fill=—","Direction=H","UseDPDF=Y")</f>
        <v>#NAME?</v>
      </c>
      <c r="CH239" s="2" t="e">
        <f ca="1">_xll.BDH($C$228,"LT_DEBT_TO_TOT_EQY","FQ1 2016","FQ1 2016","Currency=INR","Period=FQ","BEST_FPERIOD_OVERRIDE=FQ","FILING_STATUS=OR","EQY_CONSOLIDATED=Y","Sort=A","Dates=H","DateFormat=P","Fill=—","Direction=H","UseDPDF=Y")</f>
        <v>#NAME?</v>
      </c>
      <c r="CI239" s="2" t="e">
        <f ca="1">_xll.BDH($C$228,"LT_DEBT_TO_TOT_CAP","FQ1 2016","FQ1 2016","Currency=INR","Period=FQ","BEST_FPERIOD_OVERRIDE=FQ","FILING_STATUS=OR","EQY_CONSOLIDATED=Y","Sort=A","Dates=H","DateFormat=P","Fill=—","Direction=H","UseDPDF=Y")</f>
        <v>#NAME?</v>
      </c>
      <c r="CJ239" s="2" t="e">
        <f ca="1">_xll.BDH($C$228,"LT_DEBT_TO_TOT_ASSET","FQ1 2016","FQ1 2016","Currency=INR","Period=FQ","BEST_FPERIOD_OVERRIDE=FQ","FILING_STATUS=OR","EQY_CONSOLIDATED=Y","Sort=A","Dates=H","DateFormat=P","Fill=—","Direction=H","UseDPDF=Y")</f>
        <v>#NAME?</v>
      </c>
      <c r="CK239" s="2" t="e">
        <f ca="1">_xll.BDH($C$228,"TOT_DEBT_TO_TOT_EQY","FQ1 2016","FQ1 2016","Currency=INR","Period=FQ","BEST_FPERIOD_OVERRIDE=FQ","FILING_STATUS=OR","EQY_CONSOLIDATED=Y","Sort=A","Dates=H","DateFormat=P","Fill=—","Direction=H","UseDPDF=Y")</f>
        <v>#NAME?</v>
      </c>
      <c r="CL239" s="2" t="e">
        <f ca="1">_xll.BDH($C$228,"TOT_DEBT_TO_TOT_CAP","FQ1 2016","FQ1 2016","Currency=INR","Period=FQ","BEST_FPERIOD_OVERRIDE=FQ","FILING_STATUS=OR","EQY_CONSOLIDATED=Y","Sort=A","Dates=H","DateFormat=P","Fill=—","Direction=H","UseDPDF=Y")</f>
        <v>#NAME?</v>
      </c>
      <c r="CM239" s="2" t="e">
        <f ca="1">_xll.BDH($C$228,"TOT_DEBT_TO_TOT_ASSET","FQ1 2016","FQ1 2016","Currency=INR","Period=FQ","BEST_FPERIOD_OVERRIDE=FQ","FILING_STATUS=OR","EQY_CONSOLIDATED=Y","Sort=A","Dates=H","DateFormat=P","Fill=—","Direction=H","UseDPDF=Y")</f>
        <v>#NAME?</v>
      </c>
      <c r="CN239" s="2" t="e">
        <f ca="1">_xll.BDH($C$228,"NET_DEBT_TO_SHRHLDR_EQTY","FQ1 2016","FQ1 2016","Currency=INR","Period=FQ","BEST_FPERIOD_OVERRIDE=FQ","FILING_STATUS=OR","EQY_CONSOLIDATED=Y","Sort=A","Dates=H","DateFormat=P","Fill=—","Direction=H","UseDPDF=Y")</f>
        <v>#NAME?</v>
      </c>
      <c r="CO239" s="2" t="e">
        <f ca="1">_xll.BDH($C$228,"NET_DEBT_%_CAPITAL","FQ1 2016","FQ1 2016","Currency=INR","Period=FQ","BEST_FPERIOD_OVERRIDE=FQ","FILING_STATUS=OR","EQY_CONSOLIDATED=Y","Sort=A","Dates=H","DateFormat=P","Fill=—","Direction=H","UseDPDF=Y")</f>
        <v>#NAME?</v>
      </c>
      <c r="CP239" s="3" t="e">
        <f ca="1">_xll.BDH($C$228,"EBITDA","FQ1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239" s="3" t="e">
        <f ca="1">_xll.BDH($C$228,"EBITDA_AFTER_CAPEX","FQ1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239" s="3" t="e">
        <f ca="1">_xll.BDH($C$228,"IS_OPER_INC","FQ1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239" s="2" t="e">
        <f ca="1">_xll.BDH($C$228,"CASH_RATIO","FQ1 2016","FQ1 2016","Currency=INR","Period=FQ","BEST_FPERIOD_OVERRIDE=FQ","FILING_STATUS=OR","EQY_CONSOLIDATED=Y","Sort=A","Dates=H","DateFormat=P","Fill=—","Direction=H","UseDPDF=Y")</f>
        <v>#NAME?</v>
      </c>
      <c r="CT239" s="2" t="e">
        <f ca="1">_xll.BDH($C$228,"CUR_RATIO","FQ1 2016","FQ1 2016","Currency=INR","Period=FQ","BEST_FPERIOD_OVERRIDE=FQ","FILING_STATUS=OR","EQY_CONSOLIDATED=Y","Sort=A","Dates=H","DateFormat=P","Fill=—","Direction=H","UseDPDF=Y")</f>
        <v>#NAME?</v>
      </c>
      <c r="CU239" s="2" t="e">
        <f ca="1">_xll.BDH($C$228,"QUICK_RATIO","FQ1 2016","FQ1 2016","Currency=INR","Period=FQ","BEST_FPERIOD_OVERRIDE=FQ","FILING_STATUS=OR","EQY_CONSOLIDATED=Y","Sort=A","Dates=H","DateFormat=P","Fill=—","Direction=H","UseDPDF=Y")</f>
        <v>#NAME?</v>
      </c>
      <c r="CV239" s="2" t="e">
        <f ca="1">_xll.BDH($C$228,"ALTMAN_Z_SCORE","FQ1 2016","FQ1 2016","Currency=INR","Period=FQ","BEST_FPERIOD_OVERRIDE=FQ","FILING_STATUS=OR","EQY_CONSOLIDATED=Y","Sort=A","Dates=H","DateFormat=P","Fill=—","Direction=H","UseDPDF=Y")</f>
        <v>#NAME?</v>
      </c>
      <c r="CW239" s="4" t="e">
        <f ca="1">_xll.BDH($C$228,"ACCT_RCV_TURN","FQ1 2016","FQ1 2016","Currency=INR","Period=FQ","BEST_FPERIOD_OVERRIDE=FQ","FILING_STATUS=OR","EQY_CONSOLIDATED=Y","FA_ADJUSTED=GAAP","Sort=A","Dates=H","DateFormat=P","Fill=—","Direction=H","UseDPDF=Y")</f>
        <v>#NAME?</v>
      </c>
      <c r="CX239" s="2" t="e">
        <f ca="1">_xll.BDH($C$228,"ACCT_RCV_DAYS","FQ1 2016","FQ1 2016","Currency=INR","Period=FQ","BEST_FPERIOD_OVERRIDE=FQ","FILING_STATUS=OR","EQY_CONSOLIDATED=Y","FA_ADJUSTED=GAAP","Sort=A","Dates=H","DateFormat=P","Fill=—","Direction=H","UseDPDF=Y")</f>
        <v>#NAME?</v>
      </c>
      <c r="CY239" s="4" t="e">
        <f ca="1">_xll.BDH($C$228,"INVENT_TURN","FQ1 2016","FQ1 2016","Currency=INR","Period=FQ","BEST_FPERIOD_OVERRIDE=FQ","FILING_STATUS=OR","EQY_CONSOLIDATED=Y","FA_ADJUSTED=GAAP","Sort=A","Dates=H","DateFormat=P","Fill=—","Direction=H","UseDPDF=Y")</f>
        <v>#NAME?</v>
      </c>
      <c r="CZ239" s="2" t="e">
        <f ca="1">_xll.BDH($C$228,"INVENT_DAYS","FQ1 2016","FQ1 2016","Currency=INR","Period=FQ","BEST_FPERIOD_OVERRIDE=FQ","FILING_STATUS=OR","EQY_CONSOLIDATED=Y","FA_ADJUSTED=GAAP","Sort=A","Dates=H","DateFormat=P","Fill=—","Direction=H","UseDPDF=Y")</f>
        <v>#NAME?</v>
      </c>
      <c r="DA239" s="4" t="e">
        <f ca="1">_xll.BDH($C$228,"ACCOUNTS_PAYABLE_TURNOVER","FQ1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239" s="2" t="e">
        <f ca="1">_xll.BDH($C$228,"ACCOUNTS_PAYABLE_TURNOVER_DAYS","FQ1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239" s="4" t="e">
        <f ca="1">_xll.BDH($C$228,"CASH_CONVERSION_CYCLE","FQ1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239" s="4" t="e">
        <f ca="1">_xll.BDH($C$228,"INV_TO_CASH_DAYS","FQ1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239" s="5" t="e">
        <f ca="1">_xll.BDH($C$228,"BS_INVENTORIES","FQ1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239" s="3" t="e">
        <f ca="1">_xll.BDH($C$228,"INVTRY_RAW_MATERIALS","FQ1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239" s="3" t="e">
        <f ca="1">_xll.BDH($C$228,"INVTRY_IN_PROGRESS","FQ1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239" s="3" t="e">
        <f ca="1">_xll.BDH($C$228,"INVTRY_FINISHED_GOODS","FQ1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239" s="3" t="e">
        <f ca="1">_xll.BDH($C$228,"BS_OTHER_INV","FQ1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240" spans="1:113" x14ac:dyDescent="0.3">
      <c r="A240" s="6"/>
      <c r="B240" s="6"/>
      <c r="C240" s="6"/>
      <c r="D240" s="6"/>
      <c r="E240" t="s">
        <v>79</v>
      </c>
      <c r="F240" t="e">
        <f ca="1">_xll.BDH($C$228,"RETURN_COM_EQY","FQ2 2016","FQ2 2016","Currency=INR","Period=FQ","BEST_FPERIOD_OVERRIDE=FQ","FILING_STATUS=OR","EQY_CONSOLIDATED=Y","FA_ADJUSTED=GAAP","Sort=A","Dates=H","DateFormat=P","Fill=—","Direction=H","UseDPDF=Y")</f>
        <v>#NAME?</v>
      </c>
      <c r="G240" t="e">
        <f ca="1">_xll.BDH($C$228,"RETURN_ON_ASSET","FQ2 2016","FQ2 2016","Currency=INR","Period=FQ","BEST_FPERIOD_OVERRIDE=FQ","FILING_STATUS=OR","EQY_CONSOLIDATED=Y","FA_ADJUSTED=GAAP","Sort=A","Dates=H","DateFormat=P","Fill=—","Direction=H","UseDPDF=Y")</f>
        <v>#NAME?</v>
      </c>
      <c r="H240" t="e">
        <f ca="1">_xll.BDH($C$228,"RETURN_ON_CAP","FQ2 2016","FQ2 2016","Currency=INR","Period=FQ","BEST_FPERIOD_OVERRIDE=FQ","FILING_STATUS=OR","EQY_CONSOLIDATED=Y","FA_ADJUSTED=GAAP","Sort=A","Dates=H","DateFormat=P","Fill=—","Direction=H","UseDPDF=Y")</f>
        <v>#NAME?</v>
      </c>
      <c r="I240" t="e">
        <f ca="1">_xll.BDH($C$228,"RETURN_ON_INV_CAPITAL","FQ2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240" t="e">
        <f ca="1">_xll.BDH($C$228,"EBITDA_TO_REVENUE","FQ2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240" t="e">
        <f ca="1">_xll.BDH($C$228,"OPER_MARGIN","FQ2 2016","FQ2 2016","Currency=INR","Period=FQ","BEST_FPERIOD_OVERRIDE=FQ","FILING_STATUS=OR","EQY_CONSOLIDATED=Y","FA_ADJUSTED=GAAP","Sort=A","Dates=H","DateFormat=P","Fill=—","Direction=H","UseDPDF=Y")</f>
        <v>#NAME?</v>
      </c>
      <c r="L240" t="e">
        <f ca="1">_xll.BDH($C$228,"INCREMENTAL_OPERATING_MARGIN","FQ2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240" t="e">
        <f ca="1">_xll.BDH($C$228,"PRETAX_INC_TO_NET_SALES","FQ2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240" t="e">
        <f ca="1">_xll.BDH($C$228,"INC_BEF_XO_ITEMS_TO_NET_SALES","FQ2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240" t="e">
        <f ca="1">_xll.BDH($C$228,"PROF_MARGIN","FQ2 2016","FQ2 2016","Currency=INR","Period=FQ","BEST_FPERIOD_OVERRIDE=FQ","FILING_STATUS=OR","EQY_CONSOLIDATED=Y","FA_ADJUSTED=GAAP","Sort=A","Dates=H","DateFormat=P","Fill=—","Direction=H","UseDPDF=Y")</f>
        <v>#NAME?</v>
      </c>
      <c r="P240" t="e">
        <f ca="1">_xll.BDH($C$228,"NET_INCOME_TO_COMMON_MARGIN","FQ2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240" t="e">
        <f ca="1">_xll.BDH($C$228,"EFF_TAX_RATE","FQ2 2016","FQ2 2016","Currency=INR","Period=FQ","BEST_FPERIOD_OVERRIDE=FQ","FILING_STATUS=OR","EQY_CONSOLIDATED=Y","FA_ADJUSTED=GAAP","Sort=A","Dates=H","DateFormat=P","Fill=—","Direction=H","UseDPDF=Y")</f>
        <v>#NAME?</v>
      </c>
      <c r="R240" t="e">
        <f ca="1">_xll.BDH($C$228,"DVD_PAYOUT_RATIO","FQ2 2016","FQ2 2016","Currency=INR","Period=FQ","BEST_FPERIOD_OVERRIDE=FQ","FILING_STATUS=OR","EQY_CONSOLIDATED=Y","FA_ADJUSTED=GAAP","Sort=A","Dates=H","DateFormat=P","Fill=—","Direction=H","UseDPDF=Y")</f>
        <v>#NAME?</v>
      </c>
      <c r="S240" t="e">
        <f ca="1">_xll.BDH($C$228,"SUSTAIN_GROWTH_RT","FQ2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240" s="2" t="e">
        <f ca="1">_xll.BDH($C$228,"SALES_GROWTH","FQ2 2016","FQ2 2016","Currency=INR","Period=FQ","BEST_FPERIOD_OVERRIDE=FQ","FILING_STATUS=OR","EQY_CONSOLIDATED=Y","FA_ADJUSTED=GAAP","Sort=A","Dates=H","DateFormat=P","Fill=—","Direction=H","UseDPDF=Y")</f>
        <v>#NAME?</v>
      </c>
      <c r="U240" s="2" t="e">
        <f ca="1">_xll.BDH($C$228,"EBITDA_GROWTH","FQ2 2016","FQ2 2016","Currency=INR","Period=FQ","BEST_FPERIOD_OVERRIDE=FQ","FILING_STATUS=OR","EQY_CONSOLIDATED=Y","FA_ADJUSTED=GAAP","Sort=A","Dates=H","DateFormat=P","Fill=—","Direction=H","UseDPDF=Y")</f>
        <v>#NAME?</v>
      </c>
      <c r="V240" s="2" t="e">
        <f ca="1">_xll.BDH($C$228,"OPER_INC_GROWTH","FQ2 2016","FQ2 2016","Currency=INR","Period=FQ","BEST_FPERIOD_OVERRIDE=FQ","FILING_STATUS=OR","EQY_CONSOLIDATED=Y","FA_ADJUSTED=GAAP","Sort=A","Dates=H","DateFormat=P","Fill=—","Direction=H","UseDPDF=Y")</f>
        <v>#NAME?</v>
      </c>
      <c r="W240" s="2" t="e">
        <f ca="1">_xll.BDH($C$228,"EARN_FOR_COM_GROWTH","FQ2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240" s="2" t="e">
        <f ca="1">_xll.BDH($C$228,"DILUTED_EPS_AFT_XO_ITEMS_GROWTH","FQ2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240" s="2" t="e">
        <f ca="1">_xll.BDH($C$228,"DIVIDEND_PER_SHARE_1_YEAR_GROWTH","FQ2 2016","FQ2 2016","Currency=INR","Period=FQ","BEST_FPERIOD_OVERRIDE=FQ","FILING_STATUS=OR","EQY_CONSOLIDATED=Y","Sort=A","Dates=H","DateFormat=P","Fill=—","Direction=H","UseDPDF=Y")</f>
        <v>#NAME?</v>
      </c>
      <c r="Z240" s="2" t="e">
        <f ca="1">_xll.BDH($C$228,"ACCOUNTS_RECEIVABLE_GROWTH","FQ2 2016","FQ2 2016","Currency=INR","Period=FQ","BEST_FPERIOD_OVERRIDE=FQ","FILING_STATUS=OR","EQY_CONSOLIDATED=Y","Sort=A","Dates=H","DateFormat=P","Fill=—","Direction=H","UseDPDF=Y")</f>
        <v>#NAME?</v>
      </c>
      <c r="AA240" s="2" t="e">
        <f ca="1">_xll.BDH($C$228,"INVENTORY_GROWTH","FQ2 2016","FQ2 2016","Currency=INR","Period=FQ","BEST_FPERIOD_OVERRIDE=FQ","FILING_STATUS=OR","EQY_CONSOLIDATED=Y","Sort=A","Dates=H","DateFormat=P","Fill=—","Direction=H","UseDPDF=Y")</f>
        <v>#NAME?</v>
      </c>
      <c r="AB240" s="2" t="e">
        <f ca="1">_xll.BDH($C$228,"NET_FIXED_ASSETS_1_YEAR_GROWTH","FQ2 2016","FQ2 2016","Currency=INR","Period=FQ","BEST_FPERIOD_OVERRIDE=FQ","FILING_STATUS=OR","EQY_CONSOLIDATED=Y","Sort=A","Dates=H","DateFormat=P","Fill=—","Direction=H","UseDPDF=Y")</f>
        <v>#NAME?</v>
      </c>
      <c r="AC240" s="2" t="e">
        <f ca="1">_xll.BDH($C$228,"ASSET_GROWTH","FQ2 2016","FQ2 2016","Currency=INR","Period=FQ","BEST_FPERIOD_OVERRIDE=FQ","FILING_STATUS=OR","EQY_CONSOLIDATED=Y","Sort=A","Dates=H","DateFormat=P","Fill=—","Direction=H","UseDPDF=Y")</f>
        <v>#NAME?</v>
      </c>
      <c r="AD240" s="2" t="e">
        <f ca="1">_xll.BDH($C$228,"MODIFIED_WORK_CAP_GROWTH","FQ2 2016","FQ2 2016","Currency=INR","Period=FQ","BEST_FPERIOD_OVERRIDE=FQ","FILING_STATUS=OR","EQY_CONSOLIDATED=Y","Sort=A","Dates=H","DateFormat=P","Fill=—","Direction=H","UseDPDF=Y")</f>
        <v>#NAME?</v>
      </c>
      <c r="AE240" s="2" t="e">
        <f ca="1">_xll.BDH($C$228,"WORK_CAP_GROWTH","FQ2 2016","FQ2 2016","Currency=INR","Period=FQ","BEST_FPERIOD_OVERRIDE=FQ","FILING_STATUS=OR","EQY_CONSOLIDATED=Y","Sort=A","Dates=H","DateFormat=P","Fill=—","Direction=H","UseDPDF=Y")</f>
        <v>#NAME?</v>
      </c>
      <c r="AF240" s="2" t="e">
        <f ca="1">_xll.BDH($C$228,"ACCOUNTS_PAYABLE_GROWTH_1YR","FQ2 2016","FQ2 2016","Currency=INR","Period=FQ","BEST_FPERIOD_OVERRIDE=FQ","FILING_STATUS=OR","EQY_CONSOLIDATED=Y","Sort=A","Dates=H","DateFormat=P","Fill=—","Direction=H","UseDPDF=Y")</f>
        <v>#NAME?</v>
      </c>
      <c r="AG240" s="2" t="e">
        <f ca="1">_xll.BDH($C$228,"SHORT_TERM_DEBT_1_YEAR_GROWTH","FQ2 2016","FQ2 2016","Currency=INR","Period=FQ","BEST_FPERIOD_OVERRIDE=FQ","FILING_STATUS=OR","EQY_CONSOLIDATED=Y","Sort=A","Dates=H","DateFormat=P","Fill=—","Direction=H","UseDPDF=Y")</f>
        <v>#NAME?</v>
      </c>
      <c r="AH240" s="2" t="e">
        <f ca="1">_xll.BDH($C$228,"TOTAL_DEBT_1_YEAR_GROWTH","FQ2 2016","FQ2 2016","Currency=INR","Period=FQ","BEST_FPERIOD_OVERRIDE=FQ","FILING_STATUS=OR","EQY_CONSOLIDATED=Y","Sort=A","Dates=H","DateFormat=P","Fill=—","Direction=H","UseDPDF=Y")</f>
        <v>#NAME?</v>
      </c>
      <c r="AI240" s="2" t="e">
        <f ca="1">_xll.BDH($C$228,"TOTAL_EQUITY_1_YEAR_GROWTH","FQ2 2016","FQ2 2016","Currency=INR","Period=FQ","BEST_FPERIOD_OVERRIDE=FQ","FILING_STATUS=OR","EQY_CONSOLIDATED=Y","Sort=A","Dates=H","DateFormat=P","Fill=—","Direction=H","UseDPDF=Y")</f>
        <v>#NAME?</v>
      </c>
      <c r="AJ240" s="2" t="e">
        <f ca="1">_xll.BDH($C$228,"GROWTH_IN_CAP","FQ2 2016","FQ2 2016","Currency=INR","Period=FQ","BEST_FPERIOD_OVERRIDE=FQ","FILING_STATUS=OR","EQY_CONSOLIDATED=Y","Sort=A","Dates=H","DateFormat=P","Fill=—","Direction=H","UseDPDF=Y")</f>
        <v>#NAME?</v>
      </c>
      <c r="AK240" s="2" t="e">
        <f ca="1">_xll.BDH($C$228,"BVPS_GROWTH","FQ2 2016","FQ2 2016","Currency=INR","Period=FQ","BEST_FPERIOD_OVERRIDE=FQ","FILING_STATUS=OR","EQY_CONSOLIDATED=Y","Sort=A","Dates=H","DateFormat=P","Fill=—","Direction=H","UseDPDF=Y")</f>
        <v>#NAME?</v>
      </c>
      <c r="AL240" s="2" t="e">
        <f ca="1">_xll.BDH($C$228,"CASH_FLOW_GROWTH","FQ2 2016","FQ2 2016","Currency=INR","Period=FQ","BEST_FPERIOD_OVERRIDE=FQ","FILING_STATUS=OR","EQY_CONSOLIDATED=Y","Sort=A","Dates=H","DateFormat=P","Fill=—","Direction=H","UseDPDF=Y")</f>
        <v>#NAME?</v>
      </c>
      <c r="AM240" s="2" t="e">
        <f ca="1">_xll.BDH($C$228,"GEO_GROW_NET_SALES","FQ2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240" s="2" t="e">
        <f ca="1">_xll.BDH($C$228,"GEO_GROW_EBITDA","FQ2 2016","FQ2 2016","Currency=INR","Period=FQ","BEST_FPERIOD_OVERRIDE=FQ","FILING_STATUS=OR","EQY_CONSOLIDATED=Y","FA_ADJUSTED=GAAP","Sort=A","Dates=H","DateFormat=P","Fill=—","Direction=H","UseDPDF=Y")</f>
        <v>#NAME?</v>
      </c>
      <c r="AO240" s="2" t="e">
        <f ca="1">_xll.BDH($C$228,"GEO_GROW_OPER_INC","FQ2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240" s="2" t="e">
        <f ca="1">_xll.BDH($C$228,"NET_INCOME_TO_COMMON_5_YR_GROWTH","FQ2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240" s="2" t="e">
        <f ca="1">_xll.BDH($C$228,"5Y_GEO_GROWTH_DILUTED_EPS","FQ2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240" s="2" t="e">
        <f ca="1">_xll.BDH($C$228,"GEO_GROW_DVD_PER_SH","FQ2 2016","FQ2 2016","Currency=INR","Period=FQ","BEST_FPERIOD_OVERRIDE=FQ","FILING_STATUS=OR","EQY_CONSOLIDATED=Y","Sort=A","Dates=H","DateFormat=P","Fill=—","Direction=H","UseDPDF=Y")</f>
        <v>#NAME?</v>
      </c>
      <c r="AS240" s="2" t="e">
        <f ca="1">_xll.BDH($C$228,"ACCOUNTS_RECEIVABLE_5_YR_GROWTH","FQ2 2016","FQ2 2016","Currency=INR","Period=FQ","BEST_FPERIOD_OVERRIDE=FQ","FILING_STATUS=OR","EQY_CONSOLIDATED=Y","Sort=A","Dates=H","DateFormat=P","Fill=—","Direction=H","UseDPDF=Y")</f>
        <v>#NAME?</v>
      </c>
      <c r="AT240" s="2" t="e">
        <f ca="1">_xll.BDH($C$228,"INVENTORY_5_YEAR_GROWTH","FQ2 2016","FQ2 2016","Currency=INR","Period=FQ","BEST_FPERIOD_OVERRIDE=FQ","FILING_STATUS=OR","EQY_CONSOLIDATED=Y","Sort=A","Dates=H","DateFormat=P","Fill=—","Direction=H","UseDPDF=Y")</f>
        <v>#NAME?</v>
      </c>
      <c r="AU240" s="2" t="e">
        <f ca="1">_xll.BDH($C$228,"NET_FIXED_ASSETS_5_YEAR_GROWTH","FQ2 2016","FQ2 2016","Currency=INR","Period=FQ","BEST_FPERIOD_OVERRIDE=FQ","FILING_STATUS=OR","EQY_CONSOLIDATED=Y","Sort=A","Dates=H","DateFormat=P","Fill=—","Direction=H","UseDPDF=Y")</f>
        <v>#NAME?</v>
      </c>
      <c r="AV240" s="2" t="e">
        <f ca="1">_xll.BDH($C$228,"GEO_GROW_TOT_ASSET","FQ2 2016","FQ2 2016","Currency=INR","Period=FQ","BEST_FPERIOD_OVERRIDE=FQ","FILING_STATUS=OR","EQY_CONSOLIDATED=Y","Sort=A","Dates=H","DateFormat=P","Fill=—","Direction=H","UseDPDF=Y")</f>
        <v>#NAME?</v>
      </c>
      <c r="AW240" s="2" t="e">
        <f ca="1">_xll.BDH($C$228,"MODIFIED_WORKING_CPTL_5YR_GRWTH","FQ2 2016","FQ2 2016","Currency=INR","Period=FQ","BEST_FPERIOD_OVERRIDE=FQ","FILING_STATUS=OR","EQY_CONSOLIDATED=Y","Sort=A","Dates=H","DateFormat=P","Fill=—","Direction=H","UseDPDF=Y")</f>
        <v>#NAME?</v>
      </c>
      <c r="AX240" s="2" t="e">
        <f ca="1">_xll.BDH($C$228,"WORKING_CAPITAL_5_YEAR_GROWTH","FQ2 2016","FQ2 2016","Currency=INR","Period=FQ","BEST_FPERIOD_OVERRIDE=FQ","FILING_STATUS=OR","EQY_CONSOLIDATED=Y","Sort=A","Dates=H","DateFormat=P","Fill=—","Direction=H","UseDPDF=Y")</f>
        <v>#NAME?</v>
      </c>
      <c r="AY240" s="2" t="e">
        <f ca="1">_xll.BDH($C$228,"ACCOUNTS_PAYABLE_5_YEAR_GROWTH","FQ2 2016","FQ2 2016","Currency=INR","Period=FQ","BEST_FPERIOD_OVERRIDE=FQ","FILING_STATUS=OR","EQY_CONSOLIDATED=Y","Sort=A","Dates=H","DateFormat=P","Fill=—","Direction=H","UseDPDF=Y")</f>
        <v>#NAME?</v>
      </c>
      <c r="AZ240" s="2" t="e">
        <f ca="1">_xll.BDH($C$228,"SHORT_TERM_DEBT_5_YEAR_GROWTH","FQ2 2016","FQ2 2016","Currency=INR","Period=FQ","BEST_FPERIOD_OVERRIDE=FQ","FILING_STATUS=OR","EQY_CONSOLIDATED=Y","Sort=A","Dates=H","DateFormat=P","Fill=—","Direction=H","UseDPDF=Y")</f>
        <v>#NAME?</v>
      </c>
      <c r="BA240" s="2" t="e">
        <f ca="1">_xll.BDH($C$228,"TOTAL_DEBT_5_YEAR_GROWTH","FQ2 2016","FQ2 2016","Currency=INR","Period=FQ","BEST_FPERIOD_OVERRIDE=FQ","FILING_STATUS=OR","EQY_CONSOLIDATED=Y","Sort=A","Dates=H","DateFormat=P","Fill=—","Direction=H","UseDPDF=Y")</f>
        <v>#NAME?</v>
      </c>
      <c r="BB240" s="2" t="e">
        <f ca="1">_xll.BDH($C$228,"GEO_GROW_TOT_SHRHLDR_EQY","FQ2 2016","FQ2 2016","Currency=INR","Period=FQ","BEST_FPERIOD_OVERRIDE=FQ","FILING_STATUS=OR","EQY_CONSOLIDATED=Y","Sort=A","Dates=H","DateFormat=P","Fill=—","Direction=H","UseDPDF=Y")</f>
        <v>#NAME?</v>
      </c>
      <c r="BC240" s="2" t="e">
        <f ca="1">_xll.BDH($C$228,"TOTAL_CAPITAL_5_YEAR_GROWTH","FQ2 2016","FQ2 2016","Currency=INR","Period=FQ","BEST_FPERIOD_OVERRIDE=FQ","FILING_STATUS=OR","EQY_CONSOLIDATED=Y","Sort=A","Dates=H","DateFormat=P","Fill=—","Direction=H","UseDPDF=Y")</f>
        <v>#NAME?</v>
      </c>
      <c r="BD240" s="2" t="e">
        <f ca="1">_xll.BDH($C$228,"GEO_GROW_BOOK_VAL","FQ2 2016","FQ2 2016","Currency=INR","Period=FQ","BEST_FPERIOD_OVERRIDE=FQ","FILING_STATUS=OR","EQY_CONSOLIDATED=Y","Sort=A","Dates=H","DateFormat=P","Fill=—","Direction=H","UseDPDF=Y")</f>
        <v>#NAME?</v>
      </c>
      <c r="BE240" s="2" t="e">
        <f ca="1">_xll.BDH($C$228,"GEO_GROW_CASH_OPER_ACT","FQ2 2016","FQ2 2016","Currency=INR","Period=FQ","BEST_FPERIOD_OVERRIDE=FQ","FILING_STATUS=OR","EQY_CONSOLIDATED=Y","Sort=A","Dates=H","DateFormat=P","Fill=—","Direction=H","UseDPDF=Y")</f>
        <v>#NAME?</v>
      </c>
      <c r="BF240" s="2" t="e">
        <f ca="1">_xll.BDH($C$228,"REVENUE_SEQUENTIAL_GROWTH","FQ2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240" s="2" t="e">
        <f ca="1">_xll.BDH($C$228,"EBITDA_SEQUENTIAL_GROWTH","FQ2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240" s="2" t="e">
        <f ca="1">_xll.BDH($C$228,"OPERATING_INCOME_SEQ_GROWTH","FQ2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240" s="2" t="e">
        <f ca="1">_xll.BDH($C$228,"NET_INCOME_TO_COMMON_SEQ_GROWTH","FQ2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240" s="2" t="e">
        <f ca="1">_xll.BDH($C$228,"EPS_DILUTED_SEQUENTIAL_GROWTH","FQ2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240" s="2" t="e">
        <f ca="1">_xll.BDH($C$228,"DPS_SEQUENTIAL_GROWTH","FQ2 2016","FQ2 2016","Currency=INR","Period=FQ","BEST_FPERIOD_OVERRIDE=FQ","FILING_STATUS=OR","EQY_CONSOLIDATED=Y","Sort=A","Dates=H","DateFormat=P","Fill=—","Direction=H","UseDPDF=Y")</f>
        <v>#NAME?</v>
      </c>
      <c r="BL240" s="2" t="e">
        <f ca="1">_xll.BDH($C$228,"ACCOUNTS_RECEIVABLE_SEQ_GROWTH","FQ2 2016","FQ2 2016","Currency=INR","Period=FQ","BEST_FPERIOD_OVERRIDE=FQ","FILING_STATUS=OR","EQY_CONSOLIDATED=Y","Sort=A","Dates=H","DateFormat=P","Fill=—","Direction=H","UseDPDF=Y")</f>
        <v>#NAME?</v>
      </c>
      <c r="BM240" s="2" t="e">
        <f ca="1">_xll.BDH($C$228,"INVENTORY_SEQUENTIAL_GROWTH","FQ2 2016","FQ2 2016","Currency=INR","Period=FQ","BEST_FPERIOD_OVERRIDE=FQ","FILING_STATUS=OR","EQY_CONSOLIDATED=Y","Sort=A","Dates=H","DateFormat=P","Fill=—","Direction=H","UseDPDF=Y")</f>
        <v>#NAME?</v>
      </c>
      <c r="BN240" s="2" t="e">
        <f ca="1">_xll.BDH($C$228,"FIXED_ASSETS_SEQUENTIAL_GROWTH","FQ2 2016","FQ2 2016","Currency=INR","Period=FQ","BEST_FPERIOD_OVERRIDE=FQ","FILING_STATUS=OR","EQY_CONSOLIDATED=Y","Sort=A","Dates=H","DateFormat=P","Fill=—","Direction=H","UseDPDF=Y")</f>
        <v>#NAME?</v>
      </c>
      <c r="BO240" s="2" t="e">
        <f ca="1">_xll.BDH($C$228,"TOTAL_ASSETS_SEQUENTIAL_GROWTH","FQ2 2016","FQ2 2016","Currency=INR","Period=FQ","BEST_FPERIOD_OVERRIDE=FQ","FILING_STATUS=OR","EQY_CONSOLIDATED=Y","Sort=A","Dates=H","DateFormat=P","Fill=—","Direction=H","UseDPDF=Y")</f>
        <v>#NAME?</v>
      </c>
      <c r="BP240" s="2" t="e">
        <f ca="1">_xll.BDH($C$228,"MODIFIED_WORKING_CPTL_SEQ_GRWTH","FQ2 2016","FQ2 2016","Currency=INR","Period=FQ","BEST_FPERIOD_OVERRIDE=FQ","FILING_STATUS=OR","EQY_CONSOLIDATED=Y","Sort=A","Dates=H","DateFormat=P","Fill=—","Direction=H","UseDPDF=Y")</f>
        <v>#NAME?</v>
      </c>
      <c r="BQ240" s="2" t="e">
        <f ca="1">_xll.BDH($C$228,"WORKING_CAPITAL_SEQ_GROWTH","FQ2 2016","FQ2 2016","Currency=INR","Period=FQ","BEST_FPERIOD_OVERRIDE=FQ","FILING_STATUS=OR","EQY_CONSOLIDATED=Y","Sort=A","Dates=H","DateFormat=P","Fill=—","Direction=H","UseDPDF=Y")</f>
        <v>#NAME?</v>
      </c>
      <c r="BR240" s="2" t="e">
        <f ca="1">_xll.BDH($C$228,"ACCOUNTS_PAYABLE_SEQ_GROWTH","FQ2 2016","FQ2 2016","Currency=INR","Period=FQ","BEST_FPERIOD_OVERRIDE=FQ","FILING_STATUS=OR","EQY_CONSOLIDATED=Y","Sort=A","Dates=H","DateFormat=P","Fill=—","Direction=H","UseDPDF=Y")</f>
        <v>#NAME?</v>
      </c>
      <c r="BS240" s="2" t="e">
        <f ca="1">_xll.BDH($C$228,"ST_DEBT_SEQUENTIAL_GROWTH","FQ2 2016","FQ2 2016","Currency=INR","Period=FQ","BEST_FPERIOD_OVERRIDE=FQ","FILING_STATUS=OR","EQY_CONSOLIDATED=Y","Sort=A","Dates=H","DateFormat=P","Fill=—","Direction=H","UseDPDF=Y")</f>
        <v>#NAME?</v>
      </c>
      <c r="BT240" s="2" t="e">
        <f ca="1">_xll.BDH($C$228,"TOTAL_DEBT_SEQUENTIAL_GROWTH","FQ2 2016","FQ2 2016","Currency=INR","Period=FQ","BEST_FPERIOD_OVERRIDE=FQ","FILING_STATUS=OR","EQY_CONSOLIDATED=Y","Sort=A","Dates=H","DateFormat=P","Fill=—","Direction=H","UseDPDF=Y")</f>
        <v>#NAME?</v>
      </c>
      <c r="BU240" s="2" t="e">
        <f ca="1">_xll.BDH($C$228,"TOTAL_EQUITY_SEQUENTIAL_GROWTH","FQ2 2016","FQ2 2016","Currency=INR","Period=FQ","BEST_FPERIOD_OVERRIDE=FQ","FILING_STATUS=OR","EQY_CONSOLIDATED=Y","Sort=A","Dates=H","DateFormat=P","Fill=—","Direction=H","UseDPDF=Y")</f>
        <v>#NAME?</v>
      </c>
      <c r="BV240" s="2" t="e">
        <f ca="1">_xll.BDH($C$228,"TOTAL_CAPITAL_SEQUENTIAL_GROWTH","FQ2 2016","FQ2 2016","Currency=INR","Period=FQ","BEST_FPERIOD_OVERRIDE=FQ","FILING_STATUS=OR","EQY_CONSOLIDATED=Y","Sort=A","Dates=H","DateFormat=P","Fill=—","Direction=H","UseDPDF=Y")</f>
        <v>#NAME?</v>
      </c>
      <c r="BW240" s="2" t="e">
        <f ca="1">_xll.BDH($C$228,"BPS_SEQUENTIAL_GROWTH","FQ2 2016","FQ2 2016","Currency=INR","Period=FQ","BEST_FPERIOD_OVERRIDE=FQ","FILING_STATUS=OR","EQY_CONSOLIDATED=Y","Sort=A","Dates=H","DateFormat=P","Fill=—","Direction=H","UseDPDF=Y")</f>
        <v>#NAME?</v>
      </c>
      <c r="BX240" s="2" t="e">
        <f ca="1">_xll.BDH($C$228,"CFO_SEQUENTIAL_GROWTH","FQ2 2016","FQ2 2016","Currency=INR","Period=FQ","BEST_FPERIOD_OVERRIDE=FQ","FILING_STATUS=OR","EQY_CONSOLIDATED=Y","Sort=A","Dates=H","DateFormat=P","Fill=—","Direction=H","UseDPDF=Y")</f>
        <v>#NAME?</v>
      </c>
      <c r="BY240" s="3" t="e">
        <f ca="1">_xll.BDH($C$228,"SHORT_AND_LONG_TERM_DEBT","FQ2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240" s="3" t="e">
        <f ca="1">_xll.BDH($C$228,"BS_ST_BORROW","FQ2 2016","FQ2 2016","Currency=INR","Period=FQ","BEST_FPERIOD_OVERRIDE=FQ","FILING_STATUS=OR","EQY_CONSOLIDATED=Y","SCALING_FORMAT=MLN","Sort=A","Dates=H","DateFormat=P","Fill=—","Direction=H","UseDPDF=Y")</f>
        <v>#NAME?</v>
      </c>
      <c r="CA240" s="3" t="e">
        <f ca="1">_xll.BDH($C$228,"BS_LT_BORROW","FQ2 2016","FQ2 2016","Currency=INR","Period=FQ","BEST_FPERIOD_OVERRIDE=FQ","FILING_STATUS=OR","EQY_CONSOLIDATED=Y","SCALING_FORMAT=MLN","Sort=A","Dates=H","DateFormat=P","Fill=—","Direction=H","UseDPDF=Y")</f>
        <v>#NAME?</v>
      </c>
      <c r="CB240" s="2" t="e">
        <f ca="1">_xll.BDH($C$228,"TOT_DEBT_TO_EBITDA","FQ2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240" s="2" t="e">
        <f ca="1">_xll.BDH($C$228,"NET_DEBT_TO_EBITDA","FQ2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240" s="2" t="e">
        <f ca="1">_xll.BDH($C$228,"TOTAL_DEBT_TO_EBIT","FQ2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240" s="2" t="e">
        <f ca="1">_xll.BDH($C$228,"NET_DEBT_TO_EBIT","FQ2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240" s="2" t="e">
        <f ca="1">_xll.BDH($C$228,"EBITDA_TO_INTEREST_EXPN","FQ2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240" s="2" t="e">
        <f ca="1">_xll.BDH($C$228,"COM_EQY_TO_TOT_ASSET","FQ2 2016","FQ2 2016","Currency=INR","Period=FQ","BEST_FPERIOD_OVERRIDE=FQ","FILING_STATUS=OR","EQY_CONSOLIDATED=Y","Sort=A","Dates=H","DateFormat=P","Fill=—","Direction=H","UseDPDF=Y")</f>
        <v>#NAME?</v>
      </c>
      <c r="CH240" s="2" t="e">
        <f ca="1">_xll.BDH($C$228,"LT_DEBT_TO_TOT_EQY","FQ2 2016","FQ2 2016","Currency=INR","Period=FQ","BEST_FPERIOD_OVERRIDE=FQ","FILING_STATUS=OR","EQY_CONSOLIDATED=Y","Sort=A","Dates=H","DateFormat=P","Fill=—","Direction=H","UseDPDF=Y")</f>
        <v>#NAME?</v>
      </c>
      <c r="CI240" s="2" t="e">
        <f ca="1">_xll.BDH($C$228,"LT_DEBT_TO_TOT_CAP","FQ2 2016","FQ2 2016","Currency=INR","Period=FQ","BEST_FPERIOD_OVERRIDE=FQ","FILING_STATUS=OR","EQY_CONSOLIDATED=Y","Sort=A","Dates=H","DateFormat=P","Fill=—","Direction=H","UseDPDF=Y")</f>
        <v>#NAME?</v>
      </c>
      <c r="CJ240" s="2" t="e">
        <f ca="1">_xll.BDH($C$228,"LT_DEBT_TO_TOT_ASSET","FQ2 2016","FQ2 2016","Currency=INR","Period=FQ","BEST_FPERIOD_OVERRIDE=FQ","FILING_STATUS=OR","EQY_CONSOLIDATED=Y","Sort=A","Dates=H","DateFormat=P","Fill=—","Direction=H","UseDPDF=Y")</f>
        <v>#NAME?</v>
      </c>
      <c r="CK240" s="2" t="e">
        <f ca="1">_xll.BDH($C$228,"TOT_DEBT_TO_TOT_EQY","FQ2 2016","FQ2 2016","Currency=INR","Period=FQ","BEST_FPERIOD_OVERRIDE=FQ","FILING_STATUS=OR","EQY_CONSOLIDATED=Y","Sort=A","Dates=H","DateFormat=P","Fill=—","Direction=H","UseDPDF=Y")</f>
        <v>#NAME?</v>
      </c>
      <c r="CL240" s="2" t="e">
        <f ca="1">_xll.BDH($C$228,"TOT_DEBT_TO_TOT_CAP","FQ2 2016","FQ2 2016","Currency=INR","Period=FQ","BEST_FPERIOD_OVERRIDE=FQ","FILING_STATUS=OR","EQY_CONSOLIDATED=Y","Sort=A","Dates=H","DateFormat=P","Fill=—","Direction=H","UseDPDF=Y")</f>
        <v>#NAME?</v>
      </c>
      <c r="CM240" s="2" t="e">
        <f ca="1">_xll.BDH($C$228,"TOT_DEBT_TO_TOT_ASSET","FQ2 2016","FQ2 2016","Currency=INR","Period=FQ","BEST_FPERIOD_OVERRIDE=FQ","FILING_STATUS=OR","EQY_CONSOLIDATED=Y","Sort=A","Dates=H","DateFormat=P","Fill=—","Direction=H","UseDPDF=Y")</f>
        <v>#NAME?</v>
      </c>
      <c r="CN240" s="2" t="e">
        <f ca="1">_xll.BDH($C$228,"NET_DEBT_TO_SHRHLDR_EQTY","FQ2 2016","FQ2 2016","Currency=INR","Period=FQ","BEST_FPERIOD_OVERRIDE=FQ","FILING_STATUS=OR","EQY_CONSOLIDATED=Y","Sort=A","Dates=H","DateFormat=P","Fill=—","Direction=H","UseDPDF=Y")</f>
        <v>#NAME?</v>
      </c>
      <c r="CO240" s="2" t="e">
        <f ca="1">_xll.BDH($C$228,"NET_DEBT_%_CAPITAL","FQ2 2016","FQ2 2016","Currency=INR","Period=FQ","BEST_FPERIOD_OVERRIDE=FQ","FILING_STATUS=OR","EQY_CONSOLIDATED=Y","Sort=A","Dates=H","DateFormat=P","Fill=—","Direction=H","UseDPDF=Y")</f>
        <v>#NAME?</v>
      </c>
      <c r="CP240" s="3" t="e">
        <f ca="1">_xll.BDH($C$228,"EBITDA","FQ2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240" s="3" t="e">
        <f ca="1">_xll.BDH($C$228,"EBITDA_AFTER_CAPEX","FQ2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240" s="3" t="e">
        <f ca="1">_xll.BDH($C$228,"IS_OPER_INC","FQ2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240" s="2" t="e">
        <f ca="1">_xll.BDH($C$228,"CASH_RATIO","FQ2 2016","FQ2 2016","Currency=INR","Period=FQ","BEST_FPERIOD_OVERRIDE=FQ","FILING_STATUS=OR","EQY_CONSOLIDATED=Y","Sort=A","Dates=H","DateFormat=P","Fill=—","Direction=H","UseDPDF=Y")</f>
        <v>#NAME?</v>
      </c>
      <c r="CT240" s="2" t="e">
        <f ca="1">_xll.BDH($C$228,"CUR_RATIO","FQ2 2016","FQ2 2016","Currency=INR","Period=FQ","BEST_FPERIOD_OVERRIDE=FQ","FILING_STATUS=OR","EQY_CONSOLIDATED=Y","Sort=A","Dates=H","DateFormat=P","Fill=—","Direction=H","UseDPDF=Y")</f>
        <v>#NAME?</v>
      </c>
      <c r="CU240" s="2" t="e">
        <f ca="1">_xll.BDH($C$228,"QUICK_RATIO","FQ2 2016","FQ2 2016","Currency=INR","Period=FQ","BEST_FPERIOD_OVERRIDE=FQ","FILING_STATUS=OR","EQY_CONSOLIDATED=Y","Sort=A","Dates=H","DateFormat=P","Fill=—","Direction=H","UseDPDF=Y")</f>
        <v>#NAME?</v>
      </c>
      <c r="CV240" s="2" t="e">
        <f ca="1">_xll.BDH($C$228,"ALTMAN_Z_SCORE","FQ2 2016","FQ2 2016","Currency=INR","Period=FQ","BEST_FPERIOD_OVERRIDE=FQ","FILING_STATUS=OR","EQY_CONSOLIDATED=Y","Sort=A","Dates=H","DateFormat=P","Fill=—","Direction=H","UseDPDF=Y")</f>
        <v>#NAME?</v>
      </c>
      <c r="CW240" s="4" t="e">
        <f ca="1">_xll.BDH($C$228,"ACCT_RCV_TURN","FQ2 2016","FQ2 2016","Currency=INR","Period=FQ","BEST_FPERIOD_OVERRIDE=FQ","FILING_STATUS=OR","EQY_CONSOLIDATED=Y","FA_ADJUSTED=GAAP","Sort=A","Dates=H","DateFormat=P","Fill=—","Direction=H","UseDPDF=Y")</f>
        <v>#NAME?</v>
      </c>
      <c r="CX240" s="2" t="e">
        <f ca="1">_xll.BDH($C$228,"ACCT_RCV_DAYS","FQ2 2016","FQ2 2016","Currency=INR","Period=FQ","BEST_FPERIOD_OVERRIDE=FQ","FILING_STATUS=OR","EQY_CONSOLIDATED=Y","FA_ADJUSTED=GAAP","Sort=A","Dates=H","DateFormat=P","Fill=—","Direction=H","UseDPDF=Y")</f>
        <v>#NAME?</v>
      </c>
      <c r="CY240" s="4" t="e">
        <f ca="1">_xll.BDH($C$228,"INVENT_TURN","FQ2 2016","FQ2 2016","Currency=INR","Period=FQ","BEST_FPERIOD_OVERRIDE=FQ","FILING_STATUS=OR","EQY_CONSOLIDATED=Y","FA_ADJUSTED=GAAP","Sort=A","Dates=H","DateFormat=P","Fill=—","Direction=H","UseDPDF=Y")</f>
        <v>#NAME?</v>
      </c>
      <c r="CZ240" s="2" t="e">
        <f ca="1">_xll.BDH($C$228,"INVENT_DAYS","FQ2 2016","FQ2 2016","Currency=INR","Period=FQ","BEST_FPERIOD_OVERRIDE=FQ","FILING_STATUS=OR","EQY_CONSOLIDATED=Y","FA_ADJUSTED=GAAP","Sort=A","Dates=H","DateFormat=P","Fill=—","Direction=H","UseDPDF=Y")</f>
        <v>#NAME?</v>
      </c>
      <c r="DA240" s="4" t="e">
        <f ca="1">_xll.BDH($C$228,"ACCOUNTS_PAYABLE_TURNOVER","FQ2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240" s="2" t="e">
        <f ca="1">_xll.BDH($C$228,"ACCOUNTS_PAYABLE_TURNOVER_DAYS","FQ2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240" s="4" t="e">
        <f ca="1">_xll.BDH($C$228,"CASH_CONVERSION_CYCLE","FQ2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240" s="4" t="e">
        <f ca="1">_xll.BDH($C$228,"INV_TO_CASH_DAYS","FQ2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240" s="5" t="e">
        <f ca="1">_xll.BDH($C$228,"BS_INVENTORIES","FQ2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240" s="3" t="e">
        <f ca="1">_xll.BDH($C$228,"INVTRY_RAW_MATERIALS","FQ2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240" s="3" t="e">
        <f ca="1">_xll.BDH($C$228,"INVTRY_IN_PROGRESS","FQ2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240" s="3" t="e">
        <f ca="1">_xll.BDH($C$228,"INVTRY_FINISHED_GOODS","FQ2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240" s="3" t="e">
        <f ca="1">_xll.BDH($C$228,"BS_OTHER_INV","FQ2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241" spans="1:113" x14ac:dyDescent="0.3">
      <c r="A241" s="6"/>
      <c r="B241" s="6"/>
      <c r="C241" s="6"/>
      <c r="D241" s="6"/>
      <c r="E241" t="s">
        <v>80</v>
      </c>
      <c r="F241" t="e">
        <f ca="1">_xll.BDH($C$228,"RETURN_COM_EQY","FQ3 2016","FQ3 2016","Currency=INR","Period=FQ","BEST_FPERIOD_OVERRIDE=FQ","FILING_STATUS=OR","EQY_CONSOLIDATED=Y","FA_ADJUSTED=GAAP","Sort=A","Dates=H","DateFormat=P","Fill=—","Direction=H","UseDPDF=Y")</f>
        <v>#NAME?</v>
      </c>
      <c r="G241" t="e">
        <f ca="1">_xll.BDH($C$228,"RETURN_ON_ASSET","FQ3 2016","FQ3 2016","Currency=INR","Period=FQ","BEST_FPERIOD_OVERRIDE=FQ","FILING_STATUS=OR","EQY_CONSOLIDATED=Y","FA_ADJUSTED=GAAP","Sort=A","Dates=H","DateFormat=P","Fill=—","Direction=H","UseDPDF=Y")</f>
        <v>#NAME?</v>
      </c>
      <c r="H241" t="e">
        <f ca="1">_xll.BDH($C$228,"RETURN_ON_CAP","FQ3 2016","FQ3 2016","Currency=INR","Period=FQ","BEST_FPERIOD_OVERRIDE=FQ","FILING_STATUS=OR","EQY_CONSOLIDATED=Y","FA_ADJUSTED=GAAP","Sort=A","Dates=H","DateFormat=P","Fill=—","Direction=H","UseDPDF=Y")</f>
        <v>#NAME?</v>
      </c>
      <c r="I241" t="e">
        <f ca="1">_xll.BDH($C$228,"RETURN_ON_INV_CAPITAL","FQ3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241" t="e">
        <f ca="1">_xll.BDH($C$228,"EBITDA_TO_REVENUE","FQ3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241" t="e">
        <f ca="1">_xll.BDH($C$228,"OPER_MARGIN","FQ3 2016","FQ3 2016","Currency=INR","Period=FQ","BEST_FPERIOD_OVERRIDE=FQ","FILING_STATUS=OR","EQY_CONSOLIDATED=Y","FA_ADJUSTED=GAAP","Sort=A","Dates=H","DateFormat=P","Fill=—","Direction=H","UseDPDF=Y")</f>
        <v>#NAME?</v>
      </c>
      <c r="L241" t="e">
        <f ca="1">_xll.BDH($C$228,"INCREMENTAL_OPERATING_MARGIN","FQ3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241" t="e">
        <f ca="1">_xll.BDH($C$228,"PRETAX_INC_TO_NET_SALES","FQ3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241" t="e">
        <f ca="1">_xll.BDH($C$228,"INC_BEF_XO_ITEMS_TO_NET_SALES","FQ3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241" t="e">
        <f ca="1">_xll.BDH($C$228,"PROF_MARGIN","FQ3 2016","FQ3 2016","Currency=INR","Period=FQ","BEST_FPERIOD_OVERRIDE=FQ","FILING_STATUS=OR","EQY_CONSOLIDATED=Y","FA_ADJUSTED=GAAP","Sort=A","Dates=H","DateFormat=P","Fill=—","Direction=H","UseDPDF=Y")</f>
        <v>#NAME?</v>
      </c>
      <c r="P241" t="e">
        <f ca="1">_xll.BDH($C$228,"NET_INCOME_TO_COMMON_MARGIN","FQ3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241" t="e">
        <f ca="1">_xll.BDH($C$228,"EFF_TAX_RATE","FQ3 2016","FQ3 2016","Currency=INR","Period=FQ","BEST_FPERIOD_OVERRIDE=FQ","FILING_STATUS=OR","EQY_CONSOLIDATED=Y","FA_ADJUSTED=GAAP","Sort=A","Dates=H","DateFormat=P","Fill=—","Direction=H","UseDPDF=Y")</f>
        <v>#NAME?</v>
      </c>
      <c r="R241" t="e">
        <f ca="1">_xll.BDH($C$228,"DVD_PAYOUT_RATIO","FQ3 2016","FQ3 2016","Currency=INR","Period=FQ","BEST_FPERIOD_OVERRIDE=FQ","FILING_STATUS=OR","EQY_CONSOLIDATED=Y","FA_ADJUSTED=GAAP","Sort=A","Dates=H","DateFormat=P","Fill=—","Direction=H","UseDPDF=Y")</f>
        <v>#NAME?</v>
      </c>
      <c r="S241" t="e">
        <f ca="1">_xll.BDH($C$228,"SUSTAIN_GROWTH_RT","FQ3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241" s="2" t="e">
        <f ca="1">_xll.BDH($C$228,"SALES_GROWTH","FQ3 2016","FQ3 2016","Currency=INR","Period=FQ","BEST_FPERIOD_OVERRIDE=FQ","FILING_STATUS=OR","EQY_CONSOLIDATED=Y","FA_ADJUSTED=GAAP","Sort=A","Dates=H","DateFormat=P","Fill=—","Direction=H","UseDPDF=Y")</f>
        <v>#NAME?</v>
      </c>
      <c r="U241" s="2" t="e">
        <f ca="1">_xll.BDH($C$228,"EBITDA_GROWTH","FQ3 2016","FQ3 2016","Currency=INR","Period=FQ","BEST_FPERIOD_OVERRIDE=FQ","FILING_STATUS=OR","EQY_CONSOLIDATED=Y","FA_ADJUSTED=GAAP","Sort=A","Dates=H","DateFormat=P","Fill=—","Direction=H","UseDPDF=Y")</f>
        <v>#NAME?</v>
      </c>
      <c r="V241" s="2" t="e">
        <f ca="1">_xll.BDH($C$228,"OPER_INC_GROWTH","FQ3 2016","FQ3 2016","Currency=INR","Period=FQ","BEST_FPERIOD_OVERRIDE=FQ","FILING_STATUS=OR","EQY_CONSOLIDATED=Y","FA_ADJUSTED=GAAP","Sort=A","Dates=H","DateFormat=P","Fill=—","Direction=H","UseDPDF=Y")</f>
        <v>#NAME?</v>
      </c>
      <c r="W241" s="2" t="e">
        <f ca="1">_xll.BDH($C$228,"EARN_FOR_COM_GROWTH","FQ3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241" s="2" t="e">
        <f ca="1">_xll.BDH($C$228,"DILUTED_EPS_AFT_XO_ITEMS_GROWTH","FQ3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241" s="2" t="e">
        <f ca="1">_xll.BDH($C$228,"DIVIDEND_PER_SHARE_1_YEAR_GROWTH","FQ3 2016","FQ3 2016","Currency=INR","Period=FQ","BEST_FPERIOD_OVERRIDE=FQ","FILING_STATUS=OR","EQY_CONSOLIDATED=Y","Sort=A","Dates=H","DateFormat=P","Fill=—","Direction=H","UseDPDF=Y")</f>
        <v>#NAME?</v>
      </c>
      <c r="Z241" s="2" t="e">
        <f ca="1">_xll.BDH($C$228,"ACCOUNTS_RECEIVABLE_GROWTH","FQ3 2016","FQ3 2016","Currency=INR","Period=FQ","BEST_FPERIOD_OVERRIDE=FQ","FILING_STATUS=OR","EQY_CONSOLIDATED=Y","Sort=A","Dates=H","DateFormat=P","Fill=—","Direction=H","UseDPDF=Y")</f>
        <v>#NAME?</v>
      </c>
      <c r="AA241" s="2" t="e">
        <f ca="1">_xll.BDH($C$228,"INVENTORY_GROWTH","FQ3 2016","FQ3 2016","Currency=INR","Period=FQ","BEST_FPERIOD_OVERRIDE=FQ","FILING_STATUS=OR","EQY_CONSOLIDATED=Y","Sort=A","Dates=H","DateFormat=P","Fill=—","Direction=H","UseDPDF=Y")</f>
        <v>#NAME?</v>
      </c>
      <c r="AB241" s="2" t="e">
        <f ca="1">_xll.BDH($C$228,"NET_FIXED_ASSETS_1_YEAR_GROWTH","FQ3 2016","FQ3 2016","Currency=INR","Period=FQ","BEST_FPERIOD_OVERRIDE=FQ","FILING_STATUS=OR","EQY_CONSOLIDATED=Y","Sort=A","Dates=H","DateFormat=P","Fill=—","Direction=H","UseDPDF=Y")</f>
        <v>#NAME?</v>
      </c>
      <c r="AC241" s="2" t="e">
        <f ca="1">_xll.BDH($C$228,"ASSET_GROWTH","FQ3 2016","FQ3 2016","Currency=INR","Period=FQ","BEST_FPERIOD_OVERRIDE=FQ","FILING_STATUS=OR","EQY_CONSOLIDATED=Y","Sort=A","Dates=H","DateFormat=P","Fill=—","Direction=H","UseDPDF=Y")</f>
        <v>#NAME?</v>
      </c>
      <c r="AD241" s="2" t="e">
        <f ca="1">_xll.BDH($C$228,"MODIFIED_WORK_CAP_GROWTH","FQ3 2016","FQ3 2016","Currency=INR","Period=FQ","BEST_FPERIOD_OVERRIDE=FQ","FILING_STATUS=OR","EQY_CONSOLIDATED=Y","Sort=A","Dates=H","DateFormat=P","Fill=—","Direction=H","UseDPDF=Y")</f>
        <v>#NAME?</v>
      </c>
      <c r="AE241" s="2" t="e">
        <f ca="1">_xll.BDH($C$228,"WORK_CAP_GROWTH","FQ3 2016","FQ3 2016","Currency=INR","Period=FQ","BEST_FPERIOD_OVERRIDE=FQ","FILING_STATUS=OR","EQY_CONSOLIDATED=Y","Sort=A","Dates=H","DateFormat=P","Fill=—","Direction=H","UseDPDF=Y")</f>
        <v>#NAME?</v>
      </c>
      <c r="AF241" s="2" t="e">
        <f ca="1">_xll.BDH($C$228,"ACCOUNTS_PAYABLE_GROWTH_1YR","FQ3 2016","FQ3 2016","Currency=INR","Period=FQ","BEST_FPERIOD_OVERRIDE=FQ","FILING_STATUS=OR","EQY_CONSOLIDATED=Y","Sort=A","Dates=H","DateFormat=P","Fill=—","Direction=H","UseDPDF=Y")</f>
        <v>#NAME?</v>
      </c>
      <c r="AG241" s="2" t="e">
        <f ca="1">_xll.BDH($C$228,"SHORT_TERM_DEBT_1_YEAR_GROWTH","FQ3 2016","FQ3 2016","Currency=INR","Period=FQ","BEST_FPERIOD_OVERRIDE=FQ","FILING_STATUS=OR","EQY_CONSOLIDATED=Y","Sort=A","Dates=H","DateFormat=P","Fill=—","Direction=H","UseDPDF=Y")</f>
        <v>#NAME?</v>
      </c>
      <c r="AH241" s="2" t="e">
        <f ca="1">_xll.BDH($C$228,"TOTAL_DEBT_1_YEAR_GROWTH","FQ3 2016","FQ3 2016","Currency=INR","Period=FQ","BEST_FPERIOD_OVERRIDE=FQ","FILING_STATUS=OR","EQY_CONSOLIDATED=Y","Sort=A","Dates=H","DateFormat=P","Fill=—","Direction=H","UseDPDF=Y")</f>
        <v>#NAME?</v>
      </c>
      <c r="AI241" s="2" t="e">
        <f ca="1">_xll.BDH($C$228,"TOTAL_EQUITY_1_YEAR_GROWTH","FQ3 2016","FQ3 2016","Currency=INR","Period=FQ","BEST_FPERIOD_OVERRIDE=FQ","FILING_STATUS=OR","EQY_CONSOLIDATED=Y","Sort=A","Dates=H","DateFormat=P","Fill=—","Direction=H","UseDPDF=Y")</f>
        <v>#NAME?</v>
      </c>
      <c r="AJ241" s="2" t="e">
        <f ca="1">_xll.BDH($C$228,"GROWTH_IN_CAP","FQ3 2016","FQ3 2016","Currency=INR","Period=FQ","BEST_FPERIOD_OVERRIDE=FQ","FILING_STATUS=OR","EQY_CONSOLIDATED=Y","Sort=A","Dates=H","DateFormat=P","Fill=—","Direction=H","UseDPDF=Y")</f>
        <v>#NAME?</v>
      </c>
      <c r="AK241" s="2" t="e">
        <f ca="1">_xll.BDH($C$228,"BVPS_GROWTH","FQ3 2016","FQ3 2016","Currency=INR","Period=FQ","BEST_FPERIOD_OVERRIDE=FQ","FILING_STATUS=OR","EQY_CONSOLIDATED=Y","Sort=A","Dates=H","DateFormat=P","Fill=—","Direction=H","UseDPDF=Y")</f>
        <v>#NAME?</v>
      </c>
      <c r="AL241" s="2" t="e">
        <f ca="1">_xll.BDH($C$228,"CASH_FLOW_GROWTH","FQ3 2016","FQ3 2016","Currency=INR","Period=FQ","BEST_FPERIOD_OVERRIDE=FQ","FILING_STATUS=OR","EQY_CONSOLIDATED=Y","Sort=A","Dates=H","DateFormat=P","Fill=—","Direction=H","UseDPDF=Y")</f>
        <v>#NAME?</v>
      </c>
      <c r="AM241" s="2" t="e">
        <f ca="1">_xll.BDH($C$228,"GEO_GROW_NET_SALES","FQ3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241" s="2" t="e">
        <f ca="1">_xll.BDH($C$228,"GEO_GROW_EBITDA","FQ3 2016","FQ3 2016","Currency=INR","Period=FQ","BEST_FPERIOD_OVERRIDE=FQ","FILING_STATUS=OR","EQY_CONSOLIDATED=Y","FA_ADJUSTED=GAAP","Sort=A","Dates=H","DateFormat=P","Fill=—","Direction=H","UseDPDF=Y")</f>
        <v>#NAME?</v>
      </c>
      <c r="AO241" s="2" t="e">
        <f ca="1">_xll.BDH($C$228,"GEO_GROW_OPER_INC","FQ3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241" s="2" t="e">
        <f ca="1">_xll.BDH($C$228,"NET_INCOME_TO_COMMON_5_YR_GROWTH","FQ3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241" s="2" t="e">
        <f ca="1">_xll.BDH($C$228,"5Y_GEO_GROWTH_DILUTED_EPS","FQ3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241" s="2" t="e">
        <f ca="1">_xll.BDH($C$228,"GEO_GROW_DVD_PER_SH","FQ3 2016","FQ3 2016","Currency=INR","Period=FQ","BEST_FPERIOD_OVERRIDE=FQ","FILING_STATUS=OR","EQY_CONSOLIDATED=Y","Sort=A","Dates=H","DateFormat=P","Fill=—","Direction=H","UseDPDF=Y")</f>
        <v>#NAME?</v>
      </c>
      <c r="AS241" s="2" t="e">
        <f ca="1">_xll.BDH($C$228,"ACCOUNTS_RECEIVABLE_5_YR_GROWTH","FQ3 2016","FQ3 2016","Currency=INR","Period=FQ","BEST_FPERIOD_OVERRIDE=FQ","FILING_STATUS=OR","EQY_CONSOLIDATED=Y","Sort=A","Dates=H","DateFormat=P","Fill=—","Direction=H","UseDPDF=Y")</f>
        <v>#NAME?</v>
      </c>
      <c r="AT241" s="2" t="e">
        <f ca="1">_xll.BDH($C$228,"INVENTORY_5_YEAR_GROWTH","FQ3 2016","FQ3 2016","Currency=INR","Period=FQ","BEST_FPERIOD_OVERRIDE=FQ","FILING_STATUS=OR","EQY_CONSOLIDATED=Y","Sort=A","Dates=H","DateFormat=P","Fill=—","Direction=H","UseDPDF=Y")</f>
        <v>#NAME?</v>
      </c>
      <c r="AU241" s="2" t="e">
        <f ca="1">_xll.BDH($C$228,"NET_FIXED_ASSETS_5_YEAR_GROWTH","FQ3 2016","FQ3 2016","Currency=INR","Period=FQ","BEST_FPERIOD_OVERRIDE=FQ","FILING_STATUS=OR","EQY_CONSOLIDATED=Y","Sort=A","Dates=H","DateFormat=P","Fill=—","Direction=H","UseDPDF=Y")</f>
        <v>#NAME?</v>
      </c>
      <c r="AV241" s="2" t="e">
        <f ca="1">_xll.BDH($C$228,"GEO_GROW_TOT_ASSET","FQ3 2016","FQ3 2016","Currency=INR","Period=FQ","BEST_FPERIOD_OVERRIDE=FQ","FILING_STATUS=OR","EQY_CONSOLIDATED=Y","Sort=A","Dates=H","DateFormat=P","Fill=—","Direction=H","UseDPDF=Y")</f>
        <v>#NAME?</v>
      </c>
      <c r="AW241" s="2" t="e">
        <f ca="1">_xll.BDH($C$228,"MODIFIED_WORKING_CPTL_5YR_GRWTH","FQ3 2016","FQ3 2016","Currency=INR","Period=FQ","BEST_FPERIOD_OVERRIDE=FQ","FILING_STATUS=OR","EQY_CONSOLIDATED=Y","Sort=A","Dates=H","DateFormat=P","Fill=—","Direction=H","UseDPDF=Y")</f>
        <v>#NAME?</v>
      </c>
      <c r="AX241" s="2" t="e">
        <f ca="1">_xll.BDH($C$228,"WORKING_CAPITAL_5_YEAR_GROWTH","FQ3 2016","FQ3 2016","Currency=INR","Period=FQ","BEST_FPERIOD_OVERRIDE=FQ","FILING_STATUS=OR","EQY_CONSOLIDATED=Y","Sort=A","Dates=H","DateFormat=P","Fill=—","Direction=H","UseDPDF=Y")</f>
        <v>#NAME?</v>
      </c>
      <c r="AY241" s="2" t="e">
        <f ca="1">_xll.BDH($C$228,"ACCOUNTS_PAYABLE_5_YEAR_GROWTH","FQ3 2016","FQ3 2016","Currency=INR","Period=FQ","BEST_FPERIOD_OVERRIDE=FQ","FILING_STATUS=OR","EQY_CONSOLIDATED=Y","Sort=A","Dates=H","DateFormat=P","Fill=—","Direction=H","UseDPDF=Y")</f>
        <v>#NAME?</v>
      </c>
      <c r="AZ241" s="2" t="e">
        <f ca="1">_xll.BDH($C$228,"SHORT_TERM_DEBT_5_YEAR_GROWTH","FQ3 2016","FQ3 2016","Currency=INR","Period=FQ","BEST_FPERIOD_OVERRIDE=FQ","FILING_STATUS=OR","EQY_CONSOLIDATED=Y","Sort=A","Dates=H","DateFormat=P","Fill=—","Direction=H","UseDPDF=Y")</f>
        <v>#NAME?</v>
      </c>
      <c r="BA241" s="2" t="e">
        <f ca="1">_xll.BDH($C$228,"TOTAL_DEBT_5_YEAR_GROWTH","FQ3 2016","FQ3 2016","Currency=INR","Period=FQ","BEST_FPERIOD_OVERRIDE=FQ","FILING_STATUS=OR","EQY_CONSOLIDATED=Y","Sort=A","Dates=H","DateFormat=P","Fill=—","Direction=H","UseDPDF=Y")</f>
        <v>#NAME?</v>
      </c>
      <c r="BB241" s="2" t="e">
        <f ca="1">_xll.BDH($C$228,"GEO_GROW_TOT_SHRHLDR_EQY","FQ3 2016","FQ3 2016","Currency=INR","Period=FQ","BEST_FPERIOD_OVERRIDE=FQ","FILING_STATUS=OR","EQY_CONSOLIDATED=Y","Sort=A","Dates=H","DateFormat=P","Fill=—","Direction=H","UseDPDF=Y")</f>
        <v>#NAME?</v>
      </c>
      <c r="BC241" s="2" t="e">
        <f ca="1">_xll.BDH($C$228,"TOTAL_CAPITAL_5_YEAR_GROWTH","FQ3 2016","FQ3 2016","Currency=INR","Period=FQ","BEST_FPERIOD_OVERRIDE=FQ","FILING_STATUS=OR","EQY_CONSOLIDATED=Y","Sort=A","Dates=H","DateFormat=P","Fill=—","Direction=H","UseDPDF=Y")</f>
        <v>#NAME?</v>
      </c>
      <c r="BD241" s="2" t="e">
        <f ca="1">_xll.BDH($C$228,"GEO_GROW_BOOK_VAL","FQ3 2016","FQ3 2016","Currency=INR","Period=FQ","BEST_FPERIOD_OVERRIDE=FQ","FILING_STATUS=OR","EQY_CONSOLIDATED=Y","Sort=A","Dates=H","DateFormat=P","Fill=—","Direction=H","UseDPDF=Y")</f>
        <v>#NAME?</v>
      </c>
      <c r="BE241" s="2" t="e">
        <f ca="1">_xll.BDH($C$228,"GEO_GROW_CASH_OPER_ACT","FQ3 2016","FQ3 2016","Currency=INR","Period=FQ","BEST_FPERIOD_OVERRIDE=FQ","FILING_STATUS=OR","EQY_CONSOLIDATED=Y","Sort=A","Dates=H","DateFormat=P","Fill=—","Direction=H","UseDPDF=Y")</f>
        <v>#NAME?</v>
      </c>
      <c r="BF241" s="2" t="e">
        <f ca="1">_xll.BDH($C$228,"REVENUE_SEQUENTIAL_GROWTH","FQ3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241" s="2" t="e">
        <f ca="1">_xll.BDH($C$228,"EBITDA_SEQUENTIAL_GROWTH","FQ3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241" s="2" t="e">
        <f ca="1">_xll.BDH($C$228,"OPERATING_INCOME_SEQ_GROWTH","FQ3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241" s="2" t="e">
        <f ca="1">_xll.BDH($C$228,"NET_INCOME_TO_COMMON_SEQ_GROWTH","FQ3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241" s="2" t="e">
        <f ca="1">_xll.BDH($C$228,"EPS_DILUTED_SEQUENTIAL_GROWTH","FQ3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241" s="2" t="e">
        <f ca="1">_xll.BDH($C$228,"DPS_SEQUENTIAL_GROWTH","FQ3 2016","FQ3 2016","Currency=INR","Period=FQ","BEST_FPERIOD_OVERRIDE=FQ","FILING_STATUS=OR","EQY_CONSOLIDATED=Y","Sort=A","Dates=H","DateFormat=P","Fill=—","Direction=H","UseDPDF=Y")</f>
        <v>#NAME?</v>
      </c>
      <c r="BL241" s="2" t="e">
        <f ca="1">_xll.BDH($C$228,"ACCOUNTS_RECEIVABLE_SEQ_GROWTH","FQ3 2016","FQ3 2016","Currency=INR","Period=FQ","BEST_FPERIOD_OVERRIDE=FQ","FILING_STATUS=OR","EQY_CONSOLIDATED=Y","Sort=A","Dates=H","DateFormat=P","Fill=—","Direction=H","UseDPDF=Y")</f>
        <v>#NAME?</v>
      </c>
      <c r="BM241" s="2" t="e">
        <f ca="1">_xll.BDH($C$228,"INVENTORY_SEQUENTIAL_GROWTH","FQ3 2016","FQ3 2016","Currency=INR","Period=FQ","BEST_FPERIOD_OVERRIDE=FQ","FILING_STATUS=OR","EQY_CONSOLIDATED=Y","Sort=A","Dates=H","DateFormat=P","Fill=—","Direction=H","UseDPDF=Y")</f>
        <v>#NAME?</v>
      </c>
      <c r="BN241" s="2" t="e">
        <f ca="1">_xll.BDH($C$228,"FIXED_ASSETS_SEQUENTIAL_GROWTH","FQ3 2016","FQ3 2016","Currency=INR","Period=FQ","BEST_FPERIOD_OVERRIDE=FQ","FILING_STATUS=OR","EQY_CONSOLIDATED=Y","Sort=A","Dates=H","DateFormat=P","Fill=—","Direction=H","UseDPDF=Y")</f>
        <v>#NAME?</v>
      </c>
      <c r="BO241" s="2" t="e">
        <f ca="1">_xll.BDH($C$228,"TOTAL_ASSETS_SEQUENTIAL_GROWTH","FQ3 2016","FQ3 2016","Currency=INR","Period=FQ","BEST_FPERIOD_OVERRIDE=FQ","FILING_STATUS=OR","EQY_CONSOLIDATED=Y","Sort=A","Dates=H","DateFormat=P","Fill=—","Direction=H","UseDPDF=Y")</f>
        <v>#NAME?</v>
      </c>
      <c r="BP241" s="2" t="e">
        <f ca="1">_xll.BDH($C$228,"MODIFIED_WORKING_CPTL_SEQ_GRWTH","FQ3 2016","FQ3 2016","Currency=INR","Period=FQ","BEST_FPERIOD_OVERRIDE=FQ","FILING_STATUS=OR","EQY_CONSOLIDATED=Y","Sort=A","Dates=H","DateFormat=P","Fill=—","Direction=H","UseDPDF=Y")</f>
        <v>#NAME?</v>
      </c>
      <c r="BQ241" s="2" t="e">
        <f ca="1">_xll.BDH($C$228,"WORKING_CAPITAL_SEQ_GROWTH","FQ3 2016","FQ3 2016","Currency=INR","Period=FQ","BEST_FPERIOD_OVERRIDE=FQ","FILING_STATUS=OR","EQY_CONSOLIDATED=Y","Sort=A","Dates=H","DateFormat=P","Fill=—","Direction=H","UseDPDF=Y")</f>
        <v>#NAME?</v>
      </c>
      <c r="BR241" s="2" t="e">
        <f ca="1">_xll.BDH($C$228,"ACCOUNTS_PAYABLE_SEQ_GROWTH","FQ3 2016","FQ3 2016","Currency=INR","Period=FQ","BEST_FPERIOD_OVERRIDE=FQ","FILING_STATUS=OR","EQY_CONSOLIDATED=Y","Sort=A","Dates=H","DateFormat=P","Fill=—","Direction=H","UseDPDF=Y")</f>
        <v>#NAME?</v>
      </c>
      <c r="BS241" s="2" t="e">
        <f ca="1">_xll.BDH($C$228,"ST_DEBT_SEQUENTIAL_GROWTH","FQ3 2016","FQ3 2016","Currency=INR","Period=FQ","BEST_FPERIOD_OVERRIDE=FQ","FILING_STATUS=OR","EQY_CONSOLIDATED=Y","Sort=A","Dates=H","DateFormat=P","Fill=—","Direction=H","UseDPDF=Y")</f>
        <v>#NAME?</v>
      </c>
      <c r="BT241" s="2" t="e">
        <f ca="1">_xll.BDH($C$228,"TOTAL_DEBT_SEQUENTIAL_GROWTH","FQ3 2016","FQ3 2016","Currency=INR","Period=FQ","BEST_FPERIOD_OVERRIDE=FQ","FILING_STATUS=OR","EQY_CONSOLIDATED=Y","Sort=A","Dates=H","DateFormat=P","Fill=—","Direction=H","UseDPDF=Y")</f>
        <v>#NAME?</v>
      </c>
      <c r="BU241" s="2" t="e">
        <f ca="1">_xll.BDH($C$228,"TOTAL_EQUITY_SEQUENTIAL_GROWTH","FQ3 2016","FQ3 2016","Currency=INR","Period=FQ","BEST_FPERIOD_OVERRIDE=FQ","FILING_STATUS=OR","EQY_CONSOLIDATED=Y","Sort=A","Dates=H","DateFormat=P","Fill=—","Direction=H","UseDPDF=Y")</f>
        <v>#NAME?</v>
      </c>
      <c r="BV241" s="2" t="e">
        <f ca="1">_xll.BDH($C$228,"TOTAL_CAPITAL_SEQUENTIAL_GROWTH","FQ3 2016","FQ3 2016","Currency=INR","Period=FQ","BEST_FPERIOD_OVERRIDE=FQ","FILING_STATUS=OR","EQY_CONSOLIDATED=Y","Sort=A","Dates=H","DateFormat=P","Fill=—","Direction=H","UseDPDF=Y")</f>
        <v>#NAME?</v>
      </c>
      <c r="BW241" s="2" t="e">
        <f ca="1">_xll.BDH($C$228,"BPS_SEQUENTIAL_GROWTH","FQ3 2016","FQ3 2016","Currency=INR","Period=FQ","BEST_FPERIOD_OVERRIDE=FQ","FILING_STATUS=OR","EQY_CONSOLIDATED=Y","Sort=A","Dates=H","DateFormat=P","Fill=—","Direction=H","UseDPDF=Y")</f>
        <v>#NAME?</v>
      </c>
      <c r="BX241" s="2" t="e">
        <f ca="1">_xll.BDH($C$228,"CFO_SEQUENTIAL_GROWTH","FQ3 2016","FQ3 2016","Currency=INR","Period=FQ","BEST_FPERIOD_OVERRIDE=FQ","FILING_STATUS=OR","EQY_CONSOLIDATED=Y","Sort=A","Dates=H","DateFormat=P","Fill=—","Direction=H","UseDPDF=Y")</f>
        <v>#NAME?</v>
      </c>
      <c r="BY241" s="3" t="e">
        <f ca="1">_xll.BDH($C$228,"SHORT_AND_LONG_TERM_DEBT","FQ3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241" s="3" t="e">
        <f ca="1">_xll.BDH($C$228,"BS_ST_BORROW","FQ3 2016","FQ3 2016","Currency=INR","Period=FQ","BEST_FPERIOD_OVERRIDE=FQ","FILING_STATUS=OR","EQY_CONSOLIDATED=Y","SCALING_FORMAT=MLN","Sort=A","Dates=H","DateFormat=P","Fill=—","Direction=H","UseDPDF=Y")</f>
        <v>#NAME?</v>
      </c>
      <c r="CA241" s="3" t="e">
        <f ca="1">_xll.BDH($C$228,"BS_LT_BORROW","FQ3 2016","FQ3 2016","Currency=INR","Period=FQ","BEST_FPERIOD_OVERRIDE=FQ","FILING_STATUS=OR","EQY_CONSOLIDATED=Y","SCALING_FORMAT=MLN","Sort=A","Dates=H","DateFormat=P","Fill=—","Direction=H","UseDPDF=Y")</f>
        <v>#NAME?</v>
      </c>
      <c r="CB241" s="2" t="e">
        <f ca="1">_xll.BDH($C$228,"TOT_DEBT_TO_EBITDA","FQ3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241" s="2" t="e">
        <f ca="1">_xll.BDH($C$228,"NET_DEBT_TO_EBITDA","FQ3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241" s="2" t="e">
        <f ca="1">_xll.BDH($C$228,"TOTAL_DEBT_TO_EBIT","FQ3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241" s="2" t="e">
        <f ca="1">_xll.BDH($C$228,"NET_DEBT_TO_EBIT","FQ3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241" s="2" t="e">
        <f ca="1">_xll.BDH($C$228,"EBITDA_TO_INTEREST_EXPN","FQ3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241" s="2" t="e">
        <f ca="1">_xll.BDH($C$228,"COM_EQY_TO_TOT_ASSET","FQ3 2016","FQ3 2016","Currency=INR","Period=FQ","BEST_FPERIOD_OVERRIDE=FQ","FILING_STATUS=OR","EQY_CONSOLIDATED=Y","Sort=A","Dates=H","DateFormat=P","Fill=—","Direction=H","UseDPDF=Y")</f>
        <v>#NAME?</v>
      </c>
      <c r="CH241" s="2" t="e">
        <f ca="1">_xll.BDH($C$228,"LT_DEBT_TO_TOT_EQY","FQ3 2016","FQ3 2016","Currency=INR","Period=FQ","BEST_FPERIOD_OVERRIDE=FQ","FILING_STATUS=OR","EQY_CONSOLIDATED=Y","Sort=A","Dates=H","DateFormat=P","Fill=—","Direction=H","UseDPDF=Y")</f>
        <v>#NAME?</v>
      </c>
      <c r="CI241" s="2" t="e">
        <f ca="1">_xll.BDH($C$228,"LT_DEBT_TO_TOT_CAP","FQ3 2016","FQ3 2016","Currency=INR","Period=FQ","BEST_FPERIOD_OVERRIDE=FQ","FILING_STATUS=OR","EQY_CONSOLIDATED=Y","Sort=A","Dates=H","DateFormat=P","Fill=—","Direction=H","UseDPDF=Y")</f>
        <v>#NAME?</v>
      </c>
      <c r="CJ241" s="2" t="e">
        <f ca="1">_xll.BDH($C$228,"LT_DEBT_TO_TOT_ASSET","FQ3 2016","FQ3 2016","Currency=INR","Period=FQ","BEST_FPERIOD_OVERRIDE=FQ","FILING_STATUS=OR","EQY_CONSOLIDATED=Y","Sort=A","Dates=H","DateFormat=P","Fill=—","Direction=H","UseDPDF=Y")</f>
        <v>#NAME?</v>
      </c>
      <c r="CK241" s="2" t="e">
        <f ca="1">_xll.BDH($C$228,"TOT_DEBT_TO_TOT_EQY","FQ3 2016","FQ3 2016","Currency=INR","Period=FQ","BEST_FPERIOD_OVERRIDE=FQ","FILING_STATUS=OR","EQY_CONSOLIDATED=Y","Sort=A","Dates=H","DateFormat=P","Fill=—","Direction=H","UseDPDF=Y")</f>
        <v>#NAME?</v>
      </c>
      <c r="CL241" s="2" t="e">
        <f ca="1">_xll.BDH($C$228,"TOT_DEBT_TO_TOT_CAP","FQ3 2016","FQ3 2016","Currency=INR","Period=FQ","BEST_FPERIOD_OVERRIDE=FQ","FILING_STATUS=OR","EQY_CONSOLIDATED=Y","Sort=A","Dates=H","DateFormat=P","Fill=—","Direction=H","UseDPDF=Y")</f>
        <v>#NAME?</v>
      </c>
      <c r="CM241" s="2" t="e">
        <f ca="1">_xll.BDH($C$228,"TOT_DEBT_TO_TOT_ASSET","FQ3 2016","FQ3 2016","Currency=INR","Period=FQ","BEST_FPERIOD_OVERRIDE=FQ","FILING_STATUS=OR","EQY_CONSOLIDATED=Y","Sort=A","Dates=H","DateFormat=P","Fill=—","Direction=H","UseDPDF=Y")</f>
        <v>#NAME?</v>
      </c>
      <c r="CN241" s="2" t="e">
        <f ca="1">_xll.BDH($C$228,"NET_DEBT_TO_SHRHLDR_EQTY","FQ3 2016","FQ3 2016","Currency=INR","Period=FQ","BEST_FPERIOD_OVERRIDE=FQ","FILING_STATUS=OR","EQY_CONSOLIDATED=Y","Sort=A","Dates=H","DateFormat=P","Fill=—","Direction=H","UseDPDF=Y")</f>
        <v>#NAME?</v>
      </c>
      <c r="CO241" s="2" t="e">
        <f ca="1">_xll.BDH($C$228,"NET_DEBT_%_CAPITAL","FQ3 2016","FQ3 2016","Currency=INR","Period=FQ","BEST_FPERIOD_OVERRIDE=FQ","FILING_STATUS=OR","EQY_CONSOLIDATED=Y","Sort=A","Dates=H","DateFormat=P","Fill=—","Direction=H","UseDPDF=Y")</f>
        <v>#NAME?</v>
      </c>
      <c r="CP241" s="3" t="e">
        <f ca="1">_xll.BDH($C$228,"EBITDA","FQ3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241" s="3" t="e">
        <f ca="1">_xll.BDH($C$228,"EBITDA_AFTER_CAPEX","FQ3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241" s="3" t="e">
        <f ca="1">_xll.BDH($C$228,"IS_OPER_INC","FQ3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241" s="2" t="e">
        <f ca="1">_xll.BDH($C$228,"CASH_RATIO","FQ3 2016","FQ3 2016","Currency=INR","Period=FQ","BEST_FPERIOD_OVERRIDE=FQ","FILING_STATUS=OR","EQY_CONSOLIDATED=Y","Sort=A","Dates=H","DateFormat=P","Fill=—","Direction=H","UseDPDF=Y")</f>
        <v>#NAME?</v>
      </c>
      <c r="CT241" s="2" t="e">
        <f ca="1">_xll.BDH($C$228,"CUR_RATIO","FQ3 2016","FQ3 2016","Currency=INR","Period=FQ","BEST_FPERIOD_OVERRIDE=FQ","FILING_STATUS=OR","EQY_CONSOLIDATED=Y","Sort=A","Dates=H","DateFormat=P","Fill=—","Direction=H","UseDPDF=Y")</f>
        <v>#NAME?</v>
      </c>
      <c r="CU241" s="2" t="e">
        <f ca="1">_xll.BDH($C$228,"QUICK_RATIO","FQ3 2016","FQ3 2016","Currency=INR","Period=FQ","BEST_FPERIOD_OVERRIDE=FQ","FILING_STATUS=OR","EQY_CONSOLIDATED=Y","Sort=A","Dates=H","DateFormat=P","Fill=—","Direction=H","UseDPDF=Y")</f>
        <v>#NAME?</v>
      </c>
      <c r="CV241" s="2" t="e">
        <f ca="1">_xll.BDH($C$228,"ALTMAN_Z_SCORE","FQ3 2016","FQ3 2016","Currency=INR","Period=FQ","BEST_FPERIOD_OVERRIDE=FQ","FILING_STATUS=OR","EQY_CONSOLIDATED=Y","Sort=A","Dates=H","DateFormat=P","Fill=—","Direction=H","UseDPDF=Y")</f>
        <v>#NAME?</v>
      </c>
      <c r="CW241" s="4" t="e">
        <f ca="1">_xll.BDH($C$228,"ACCT_RCV_TURN","FQ3 2016","FQ3 2016","Currency=INR","Period=FQ","BEST_FPERIOD_OVERRIDE=FQ","FILING_STATUS=OR","EQY_CONSOLIDATED=Y","FA_ADJUSTED=GAAP","Sort=A","Dates=H","DateFormat=P","Fill=—","Direction=H","UseDPDF=Y")</f>
        <v>#NAME?</v>
      </c>
      <c r="CX241" s="2" t="e">
        <f ca="1">_xll.BDH($C$228,"ACCT_RCV_DAYS","FQ3 2016","FQ3 2016","Currency=INR","Period=FQ","BEST_FPERIOD_OVERRIDE=FQ","FILING_STATUS=OR","EQY_CONSOLIDATED=Y","FA_ADJUSTED=GAAP","Sort=A","Dates=H","DateFormat=P","Fill=—","Direction=H","UseDPDF=Y")</f>
        <v>#NAME?</v>
      </c>
      <c r="CY241" s="4" t="e">
        <f ca="1">_xll.BDH($C$228,"INVENT_TURN","FQ3 2016","FQ3 2016","Currency=INR","Period=FQ","BEST_FPERIOD_OVERRIDE=FQ","FILING_STATUS=OR","EQY_CONSOLIDATED=Y","FA_ADJUSTED=GAAP","Sort=A","Dates=H","DateFormat=P","Fill=—","Direction=H","UseDPDF=Y")</f>
        <v>#NAME?</v>
      </c>
      <c r="CZ241" s="2" t="e">
        <f ca="1">_xll.BDH($C$228,"INVENT_DAYS","FQ3 2016","FQ3 2016","Currency=INR","Period=FQ","BEST_FPERIOD_OVERRIDE=FQ","FILING_STATUS=OR","EQY_CONSOLIDATED=Y","FA_ADJUSTED=GAAP","Sort=A","Dates=H","DateFormat=P","Fill=—","Direction=H","UseDPDF=Y")</f>
        <v>#NAME?</v>
      </c>
      <c r="DA241" s="4" t="e">
        <f ca="1">_xll.BDH($C$228,"ACCOUNTS_PAYABLE_TURNOVER","FQ3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241" s="2" t="e">
        <f ca="1">_xll.BDH($C$228,"ACCOUNTS_PAYABLE_TURNOVER_DAYS","FQ3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241" s="4" t="e">
        <f ca="1">_xll.BDH($C$228,"CASH_CONVERSION_CYCLE","FQ3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241" s="4" t="e">
        <f ca="1">_xll.BDH($C$228,"INV_TO_CASH_DAYS","FQ3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241" s="5" t="e">
        <f ca="1">_xll.BDH($C$228,"BS_INVENTORIES","FQ3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241" s="3" t="e">
        <f ca="1">_xll.BDH($C$228,"INVTRY_RAW_MATERIALS","FQ3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241" s="3" t="e">
        <f ca="1">_xll.BDH($C$228,"INVTRY_IN_PROGRESS","FQ3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241" s="3" t="e">
        <f ca="1">_xll.BDH($C$228,"INVTRY_FINISHED_GOODS","FQ3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241" s="3" t="e">
        <f ca="1">_xll.BDH($C$228,"BS_OTHER_INV","FQ3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242" spans="1:113" x14ac:dyDescent="0.3">
      <c r="A242" s="6"/>
      <c r="B242" s="6"/>
      <c r="C242" s="6"/>
      <c r="D242" s="6"/>
      <c r="E242" t="s">
        <v>81</v>
      </c>
      <c r="F242" t="e">
        <f ca="1">_xll.BDH($C$228,"RETURN_COM_EQY","FQ4 2016","FQ4 2016","Currency=INR","Period=FQ","BEST_FPERIOD_OVERRIDE=FQ","FILING_STATUS=OR","EQY_CONSOLIDATED=Y","FA_ADJUSTED=GAAP","Sort=A","Dates=H","DateFormat=P","Fill=—","Direction=H","UseDPDF=Y")</f>
        <v>#NAME?</v>
      </c>
      <c r="G242" t="e">
        <f ca="1">_xll.BDH($C$228,"RETURN_ON_ASSET","FQ4 2016","FQ4 2016","Currency=INR","Period=FQ","BEST_FPERIOD_OVERRIDE=FQ","FILING_STATUS=OR","EQY_CONSOLIDATED=Y","FA_ADJUSTED=GAAP","Sort=A","Dates=H","DateFormat=P","Fill=—","Direction=H","UseDPDF=Y")</f>
        <v>#NAME?</v>
      </c>
      <c r="H242" t="e">
        <f ca="1">_xll.BDH($C$228,"RETURN_ON_CAP","FQ4 2016","FQ4 2016","Currency=INR","Period=FQ","BEST_FPERIOD_OVERRIDE=FQ","FILING_STATUS=OR","EQY_CONSOLIDATED=Y","FA_ADJUSTED=GAAP","Sort=A","Dates=H","DateFormat=P","Fill=—","Direction=H","UseDPDF=Y")</f>
        <v>#NAME?</v>
      </c>
      <c r="I242" t="e">
        <f ca="1">_xll.BDH($C$228,"RETURN_ON_INV_CAPITAL","FQ4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242" t="e">
        <f ca="1">_xll.BDH($C$228,"EBITDA_TO_REVENUE","FQ4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242" t="e">
        <f ca="1">_xll.BDH($C$228,"OPER_MARGIN","FQ4 2016","FQ4 2016","Currency=INR","Period=FQ","BEST_FPERIOD_OVERRIDE=FQ","FILING_STATUS=OR","EQY_CONSOLIDATED=Y","FA_ADJUSTED=GAAP","Sort=A","Dates=H","DateFormat=P","Fill=—","Direction=H","UseDPDF=Y")</f>
        <v>#NAME?</v>
      </c>
      <c r="L242" t="e">
        <f ca="1">_xll.BDH($C$228,"INCREMENTAL_OPERATING_MARGIN","FQ4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242" t="e">
        <f ca="1">_xll.BDH($C$228,"PRETAX_INC_TO_NET_SALES","FQ4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242" t="e">
        <f ca="1">_xll.BDH($C$228,"INC_BEF_XO_ITEMS_TO_NET_SALES","FQ4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242" t="e">
        <f ca="1">_xll.BDH($C$228,"PROF_MARGIN","FQ4 2016","FQ4 2016","Currency=INR","Period=FQ","BEST_FPERIOD_OVERRIDE=FQ","FILING_STATUS=OR","EQY_CONSOLIDATED=Y","FA_ADJUSTED=GAAP","Sort=A","Dates=H","DateFormat=P","Fill=—","Direction=H","UseDPDF=Y")</f>
        <v>#NAME?</v>
      </c>
      <c r="P242" t="e">
        <f ca="1">_xll.BDH($C$228,"NET_INCOME_TO_COMMON_MARGIN","FQ4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242" t="e">
        <f ca="1">_xll.BDH($C$228,"EFF_TAX_RATE","FQ4 2016","FQ4 2016","Currency=INR","Period=FQ","BEST_FPERIOD_OVERRIDE=FQ","FILING_STATUS=OR","EQY_CONSOLIDATED=Y","FA_ADJUSTED=GAAP","Sort=A","Dates=H","DateFormat=P","Fill=—","Direction=H","UseDPDF=Y")</f>
        <v>#NAME?</v>
      </c>
      <c r="R242" t="e">
        <f ca="1">_xll.BDH($C$228,"DVD_PAYOUT_RATIO","FQ4 2016","FQ4 2016","Currency=INR","Period=FQ","BEST_FPERIOD_OVERRIDE=FQ","FILING_STATUS=OR","EQY_CONSOLIDATED=Y","FA_ADJUSTED=GAAP","Sort=A","Dates=H","DateFormat=P","Fill=—","Direction=H","UseDPDF=Y")</f>
        <v>#NAME?</v>
      </c>
      <c r="S242" t="e">
        <f ca="1">_xll.BDH($C$228,"SUSTAIN_GROWTH_RT","FQ4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242" s="2" t="e">
        <f ca="1">_xll.BDH($C$228,"SALES_GROWTH","FQ4 2016","FQ4 2016","Currency=INR","Period=FQ","BEST_FPERIOD_OVERRIDE=FQ","FILING_STATUS=OR","EQY_CONSOLIDATED=Y","FA_ADJUSTED=GAAP","Sort=A","Dates=H","DateFormat=P","Fill=—","Direction=H","UseDPDF=Y")</f>
        <v>#NAME?</v>
      </c>
      <c r="U242" s="2" t="e">
        <f ca="1">_xll.BDH($C$228,"EBITDA_GROWTH","FQ4 2016","FQ4 2016","Currency=INR","Period=FQ","BEST_FPERIOD_OVERRIDE=FQ","FILING_STATUS=OR","EQY_CONSOLIDATED=Y","FA_ADJUSTED=GAAP","Sort=A","Dates=H","DateFormat=P","Fill=—","Direction=H","UseDPDF=Y")</f>
        <v>#NAME?</v>
      </c>
      <c r="V242" s="2" t="e">
        <f ca="1">_xll.BDH($C$228,"OPER_INC_GROWTH","FQ4 2016","FQ4 2016","Currency=INR","Period=FQ","BEST_FPERIOD_OVERRIDE=FQ","FILING_STATUS=OR","EQY_CONSOLIDATED=Y","FA_ADJUSTED=GAAP","Sort=A","Dates=H","DateFormat=P","Fill=—","Direction=H","UseDPDF=Y")</f>
        <v>#NAME?</v>
      </c>
      <c r="W242" s="2" t="e">
        <f ca="1">_xll.BDH($C$228,"EARN_FOR_COM_GROWTH","FQ4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242" s="2" t="e">
        <f ca="1">_xll.BDH($C$228,"DILUTED_EPS_AFT_XO_ITEMS_GROWTH","FQ4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242" s="2" t="e">
        <f ca="1">_xll.BDH($C$228,"DIVIDEND_PER_SHARE_1_YEAR_GROWTH","FQ4 2016","FQ4 2016","Currency=INR","Period=FQ","BEST_FPERIOD_OVERRIDE=FQ","FILING_STATUS=OR","EQY_CONSOLIDATED=Y","Sort=A","Dates=H","DateFormat=P","Fill=—","Direction=H","UseDPDF=Y")</f>
        <v>#NAME?</v>
      </c>
      <c r="Z242" s="2" t="e">
        <f ca="1">_xll.BDH($C$228,"ACCOUNTS_RECEIVABLE_GROWTH","FQ4 2016","FQ4 2016","Currency=INR","Period=FQ","BEST_FPERIOD_OVERRIDE=FQ","FILING_STATUS=OR","EQY_CONSOLIDATED=Y","Sort=A","Dates=H","DateFormat=P","Fill=—","Direction=H","UseDPDF=Y")</f>
        <v>#NAME?</v>
      </c>
      <c r="AA242" s="2" t="e">
        <f ca="1">_xll.BDH($C$228,"INVENTORY_GROWTH","FQ4 2016","FQ4 2016","Currency=INR","Period=FQ","BEST_FPERIOD_OVERRIDE=FQ","FILING_STATUS=OR","EQY_CONSOLIDATED=Y","Sort=A","Dates=H","DateFormat=P","Fill=—","Direction=H","UseDPDF=Y")</f>
        <v>#NAME?</v>
      </c>
      <c r="AB242" s="2" t="e">
        <f ca="1">_xll.BDH($C$228,"NET_FIXED_ASSETS_1_YEAR_GROWTH","FQ4 2016","FQ4 2016","Currency=INR","Period=FQ","BEST_FPERIOD_OVERRIDE=FQ","FILING_STATUS=OR","EQY_CONSOLIDATED=Y","Sort=A","Dates=H","DateFormat=P","Fill=—","Direction=H","UseDPDF=Y")</f>
        <v>#NAME?</v>
      </c>
      <c r="AC242" s="2" t="e">
        <f ca="1">_xll.BDH($C$228,"ASSET_GROWTH","FQ4 2016","FQ4 2016","Currency=INR","Period=FQ","BEST_FPERIOD_OVERRIDE=FQ","FILING_STATUS=OR","EQY_CONSOLIDATED=Y","Sort=A","Dates=H","DateFormat=P","Fill=—","Direction=H","UseDPDF=Y")</f>
        <v>#NAME?</v>
      </c>
      <c r="AD242" s="2" t="e">
        <f ca="1">_xll.BDH($C$228,"MODIFIED_WORK_CAP_GROWTH","FQ4 2016","FQ4 2016","Currency=INR","Period=FQ","BEST_FPERIOD_OVERRIDE=FQ","FILING_STATUS=OR","EQY_CONSOLIDATED=Y","Sort=A","Dates=H","DateFormat=P","Fill=—","Direction=H","UseDPDF=Y")</f>
        <v>#NAME?</v>
      </c>
      <c r="AE242" s="2" t="e">
        <f ca="1">_xll.BDH($C$228,"WORK_CAP_GROWTH","FQ4 2016","FQ4 2016","Currency=INR","Period=FQ","BEST_FPERIOD_OVERRIDE=FQ","FILING_STATUS=OR","EQY_CONSOLIDATED=Y","Sort=A","Dates=H","DateFormat=P","Fill=—","Direction=H","UseDPDF=Y")</f>
        <v>#NAME?</v>
      </c>
      <c r="AF242" s="2" t="e">
        <f ca="1">_xll.BDH($C$228,"ACCOUNTS_PAYABLE_GROWTH_1YR","FQ4 2016","FQ4 2016","Currency=INR","Period=FQ","BEST_FPERIOD_OVERRIDE=FQ","FILING_STATUS=OR","EQY_CONSOLIDATED=Y","Sort=A","Dates=H","DateFormat=P","Fill=—","Direction=H","UseDPDF=Y")</f>
        <v>#NAME?</v>
      </c>
      <c r="AG242" s="2" t="e">
        <f ca="1">_xll.BDH($C$228,"SHORT_TERM_DEBT_1_YEAR_GROWTH","FQ4 2016","FQ4 2016","Currency=INR","Period=FQ","BEST_FPERIOD_OVERRIDE=FQ","FILING_STATUS=OR","EQY_CONSOLIDATED=Y","Sort=A","Dates=H","DateFormat=P","Fill=—","Direction=H","UseDPDF=Y")</f>
        <v>#NAME?</v>
      </c>
      <c r="AH242" s="2" t="e">
        <f ca="1">_xll.BDH($C$228,"TOTAL_DEBT_1_YEAR_GROWTH","FQ4 2016","FQ4 2016","Currency=INR","Period=FQ","BEST_FPERIOD_OVERRIDE=FQ","FILING_STATUS=OR","EQY_CONSOLIDATED=Y","Sort=A","Dates=H","DateFormat=P","Fill=—","Direction=H","UseDPDF=Y")</f>
        <v>#NAME?</v>
      </c>
      <c r="AI242" s="2" t="e">
        <f ca="1">_xll.BDH($C$228,"TOTAL_EQUITY_1_YEAR_GROWTH","FQ4 2016","FQ4 2016","Currency=INR","Period=FQ","BEST_FPERIOD_OVERRIDE=FQ","FILING_STATUS=OR","EQY_CONSOLIDATED=Y","Sort=A","Dates=H","DateFormat=P","Fill=—","Direction=H","UseDPDF=Y")</f>
        <v>#NAME?</v>
      </c>
      <c r="AJ242" s="2" t="e">
        <f ca="1">_xll.BDH($C$228,"GROWTH_IN_CAP","FQ4 2016","FQ4 2016","Currency=INR","Period=FQ","BEST_FPERIOD_OVERRIDE=FQ","FILING_STATUS=OR","EQY_CONSOLIDATED=Y","Sort=A","Dates=H","DateFormat=P","Fill=—","Direction=H","UseDPDF=Y")</f>
        <v>#NAME?</v>
      </c>
      <c r="AK242" s="2" t="e">
        <f ca="1">_xll.BDH($C$228,"BVPS_GROWTH","FQ4 2016","FQ4 2016","Currency=INR","Period=FQ","BEST_FPERIOD_OVERRIDE=FQ","FILING_STATUS=OR","EQY_CONSOLIDATED=Y","Sort=A","Dates=H","DateFormat=P","Fill=—","Direction=H","UseDPDF=Y")</f>
        <v>#NAME?</v>
      </c>
      <c r="AL242" s="2" t="e">
        <f ca="1">_xll.BDH($C$228,"CASH_FLOW_GROWTH","FQ4 2016","FQ4 2016","Currency=INR","Period=FQ","BEST_FPERIOD_OVERRIDE=FQ","FILING_STATUS=OR","EQY_CONSOLIDATED=Y","Sort=A","Dates=H","DateFormat=P","Fill=—","Direction=H","UseDPDF=Y")</f>
        <v>#NAME?</v>
      </c>
      <c r="AM242" s="2" t="e">
        <f ca="1">_xll.BDH($C$228,"GEO_GROW_NET_SALES","FQ4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242" s="2" t="e">
        <f ca="1">_xll.BDH($C$228,"GEO_GROW_EBITDA","FQ4 2016","FQ4 2016","Currency=INR","Period=FQ","BEST_FPERIOD_OVERRIDE=FQ","FILING_STATUS=OR","EQY_CONSOLIDATED=Y","FA_ADJUSTED=GAAP","Sort=A","Dates=H","DateFormat=P","Fill=—","Direction=H","UseDPDF=Y")</f>
        <v>#NAME?</v>
      </c>
      <c r="AO242" s="2" t="e">
        <f ca="1">_xll.BDH($C$228,"GEO_GROW_OPER_INC","FQ4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242" s="2" t="e">
        <f ca="1">_xll.BDH($C$228,"NET_INCOME_TO_COMMON_5_YR_GROWTH","FQ4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242" s="2" t="e">
        <f ca="1">_xll.BDH($C$228,"5Y_GEO_GROWTH_DILUTED_EPS","FQ4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242" s="2" t="e">
        <f ca="1">_xll.BDH($C$228,"GEO_GROW_DVD_PER_SH","FQ4 2016","FQ4 2016","Currency=INR","Period=FQ","BEST_FPERIOD_OVERRIDE=FQ","FILING_STATUS=OR","EQY_CONSOLIDATED=Y","Sort=A","Dates=H","DateFormat=P","Fill=—","Direction=H","UseDPDF=Y")</f>
        <v>#NAME?</v>
      </c>
      <c r="AS242" s="2" t="e">
        <f ca="1">_xll.BDH($C$228,"ACCOUNTS_RECEIVABLE_5_YR_GROWTH","FQ4 2016","FQ4 2016","Currency=INR","Period=FQ","BEST_FPERIOD_OVERRIDE=FQ","FILING_STATUS=OR","EQY_CONSOLIDATED=Y","Sort=A","Dates=H","DateFormat=P","Fill=—","Direction=H","UseDPDF=Y")</f>
        <v>#NAME?</v>
      </c>
      <c r="AT242" s="2" t="e">
        <f ca="1">_xll.BDH($C$228,"INVENTORY_5_YEAR_GROWTH","FQ4 2016","FQ4 2016","Currency=INR","Period=FQ","BEST_FPERIOD_OVERRIDE=FQ","FILING_STATUS=OR","EQY_CONSOLIDATED=Y","Sort=A","Dates=H","DateFormat=P","Fill=—","Direction=H","UseDPDF=Y")</f>
        <v>#NAME?</v>
      </c>
      <c r="AU242" s="2" t="e">
        <f ca="1">_xll.BDH($C$228,"NET_FIXED_ASSETS_5_YEAR_GROWTH","FQ4 2016","FQ4 2016","Currency=INR","Period=FQ","BEST_FPERIOD_OVERRIDE=FQ","FILING_STATUS=OR","EQY_CONSOLIDATED=Y","Sort=A","Dates=H","DateFormat=P","Fill=—","Direction=H","UseDPDF=Y")</f>
        <v>#NAME?</v>
      </c>
      <c r="AV242" s="2" t="e">
        <f ca="1">_xll.BDH($C$228,"GEO_GROW_TOT_ASSET","FQ4 2016","FQ4 2016","Currency=INR","Period=FQ","BEST_FPERIOD_OVERRIDE=FQ","FILING_STATUS=OR","EQY_CONSOLIDATED=Y","Sort=A","Dates=H","DateFormat=P","Fill=—","Direction=H","UseDPDF=Y")</f>
        <v>#NAME?</v>
      </c>
      <c r="AW242" s="2" t="e">
        <f ca="1">_xll.BDH($C$228,"MODIFIED_WORKING_CPTL_5YR_GRWTH","FQ4 2016","FQ4 2016","Currency=INR","Period=FQ","BEST_FPERIOD_OVERRIDE=FQ","FILING_STATUS=OR","EQY_CONSOLIDATED=Y","Sort=A","Dates=H","DateFormat=P","Fill=—","Direction=H","UseDPDF=Y")</f>
        <v>#NAME?</v>
      </c>
      <c r="AX242" s="2" t="e">
        <f ca="1">_xll.BDH($C$228,"WORKING_CAPITAL_5_YEAR_GROWTH","FQ4 2016","FQ4 2016","Currency=INR","Period=FQ","BEST_FPERIOD_OVERRIDE=FQ","FILING_STATUS=OR","EQY_CONSOLIDATED=Y","Sort=A","Dates=H","DateFormat=P","Fill=—","Direction=H","UseDPDF=Y")</f>
        <v>#NAME?</v>
      </c>
      <c r="AY242" s="2" t="e">
        <f ca="1">_xll.BDH($C$228,"ACCOUNTS_PAYABLE_5_YEAR_GROWTH","FQ4 2016","FQ4 2016","Currency=INR","Period=FQ","BEST_FPERIOD_OVERRIDE=FQ","FILING_STATUS=OR","EQY_CONSOLIDATED=Y","Sort=A","Dates=H","DateFormat=P","Fill=—","Direction=H","UseDPDF=Y")</f>
        <v>#NAME?</v>
      </c>
      <c r="AZ242" s="2" t="e">
        <f ca="1">_xll.BDH($C$228,"SHORT_TERM_DEBT_5_YEAR_GROWTH","FQ4 2016","FQ4 2016","Currency=INR","Period=FQ","BEST_FPERIOD_OVERRIDE=FQ","FILING_STATUS=OR","EQY_CONSOLIDATED=Y","Sort=A","Dates=H","DateFormat=P","Fill=—","Direction=H","UseDPDF=Y")</f>
        <v>#NAME?</v>
      </c>
      <c r="BA242" s="2" t="e">
        <f ca="1">_xll.BDH($C$228,"TOTAL_DEBT_5_YEAR_GROWTH","FQ4 2016","FQ4 2016","Currency=INR","Period=FQ","BEST_FPERIOD_OVERRIDE=FQ","FILING_STATUS=OR","EQY_CONSOLIDATED=Y","Sort=A","Dates=H","DateFormat=P","Fill=—","Direction=H","UseDPDF=Y")</f>
        <v>#NAME?</v>
      </c>
      <c r="BB242" s="2" t="e">
        <f ca="1">_xll.BDH($C$228,"GEO_GROW_TOT_SHRHLDR_EQY","FQ4 2016","FQ4 2016","Currency=INR","Period=FQ","BEST_FPERIOD_OVERRIDE=FQ","FILING_STATUS=OR","EQY_CONSOLIDATED=Y","Sort=A","Dates=H","DateFormat=P","Fill=—","Direction=H","UseDPDF=Y")</f>
        <v>#NAME?</v>
      </c>
      <c r="BC242" s="2" t="e">
        <f ca="1">_xll.BDH($C$228,"TOTAL_CAPITAL_5_YEAR_GROWTH","FQ4 2016","FQ4 2016","Currency=INR","Period=FQ","BEST_FPERIOD_OVERRIDE=FQ","FILING_STATUS=OR","EQY_CONSOLIDATED=Y","Sort=A","Dates=H","DateFormat=P","Fill=—","Direction=H","UseDPDF=Y")</f>
        <v>#NAME?</v>
      </c>
      <c r="BD242" s="2" t="e">
        <f ca="1">_xll.BDH($C$228,"GEO_GROW_BOOK_VAL","FQ4 2016","FQ4 2016","Currency=INR","Period=FQ","BEST_FPERIOD_OVERRIDE=FQ","FILING_STATUS=OR","EQY_CONSOLIDATED=Y","Sort=A","Dates=H","DateFormat=P","Fill=—","Direction=H","UseDPDF=Y")</f>
        <v>#NAME?</v>
      </c>
      <c r="BE242" s="2" t="e">
        <f ca="1">_xll.BDH($C$228,"GEO_GROW_CASH_OPER_ACT","FQ4 2016","FQ4 2016","Currency=INR","Period=FQ","BEST_FPERIOD_OVERRIDE=FQ","FILING_STATUS=OR","EQY_CONSOLIDATED=Y","Sort=A","Dates=H","DateFormat=P","Fill=—","Direction=H","UseDPDF=Y")</f>
        <v>#NAME?</v>
      </c>
      <c r="BF242" s="2" t="e">
        <f ca="1">_xll.BDH($C$228,"REVENUE_SEQUENTIAL_GROWTH","FQ4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242" s="2" t="e">
        <f ca="1">_xll.BDH($C$228,"EBITDA_SEQUENTIAL_GROWTH","FQ4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242" s="2" t="e">
        <f ca="1">_xll.BDH($C$228,"OPERATING_INCOME_SEQ_GROWTH","FQ4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242" s="2" t="e">
        <f ca="1">_xll.BDH($C$228,"NET_INCOME_TO_COMMON_SEQ_GROWTH","FQ4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242" s="2" t="e">
        <f ca="1">_xll.BDH($C$228,"EPS_DILUTED_SEQUENTIAL_GROWTH","FQ4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242" s="2" t="e">
        <f ca="1">_xll.BDH($C$228,"DPS_SEQUENTIAL_GROWTH","FQ4 2016","FQ4 2016","Currency=INR","Period=FQ","BEST_FPERIOD_OVERRIDE=FQ","FILING_STATUS=OR","EQY_CONSOLIDATED=Y","Sort=A","Dates=H","DateFormat=P","Fill=—","Direction=H","UseDPDF=Y")</f>
        <v>#NAME?</v>
      </c>
      <c r="BL242" s="2" t="e">
        <f ca="1">_xll.BDH($C$228,"ACCOUNTS_RECEIVABLE_SEQ_GROWTH","FQ4 2016","FQ4 2016","Currency=INR","Period=FQ","BEST_FPERIOD_OVERRIDE=FQ","FILING_STATUS=OR","EQY_CONSOLIDATED=Y","Sort=A","Dates=H","DateFormat=P","Fill=—","Direction=H","UseDPDF=Y")</f>
        <v>#NAME?</v>
      </c>
      <c r="BM242" s="2" t="e">
        <f ca="1">_xll.BDH($C$228,"INVENTORY_SEQUENTIAL_GROWTH","FQ4 2016","FQ4 2016","Currency=INR","Period=FQ","BEST_FPERIOD_OVERRIDE=FQ","FILING_STATUS=OR","EQY_CONSOLIDATED=Y","Sort=A","Dates=H","DateFormat=P","Fill=—","Direction=H","UseDPDF=Y")</f>
        <v>#NAME?</v>
      </c>
      <c r="BN242" s="2" t="e">
        <f ca="1">_xll.BDH($C$228,"FIXED_ASSETS_SEQUENTIAL_GROWTH","FQ4 2016","FQ4 2016","Currency=INR","Period=FQ","BEST_FPERIOD_OVERRIDE=FQ","FILING_STATUS=OR","EQY_CONSOLIDATED=Y","Sort=A","Dates=H","DateFormat=P","Fill=—","Direction=H","UseDPDF=Y")</f>
        <v>#NAME?</v>
      </c>
      <c r="BO242" s="2" t="e">
        <f ca="1">_xll.BDH($C$228,"TOTAL_ASSETS_SEQUENTIAL_GROWTH","FQ4 2016","FQ4 2016","Currency=INR","Period=FQ","BEST_FPERIOD_OVERRIDE=FQ","FILING_STATUS=OR","EQY_CONSOLIDATED=Y","Sort=A","Dates=H","DateFormat=P","Fill=—","Direction=H","UseDPDF=Y")</f>
        <v>#NAME?</v>
      </c>
      <c r="BP242" s="2" t="e">
        <f ca="1">_xll.BDH($C$228,"MODIFIED_WORKING_CPTL_SEQ_GRWTH","FQ4 2016","FQ4 2016","Currency=INR","Period=FQ","BEST_FPERIOD_OVERRIDE=FQ","FILING_STATUS=OR","EQY_CONSOLIDATED=Y","Sort=A","Dates=H","DateFormat=P","Fill=—","Direction=H","UseDPDF=Y")</f>
        <v>#NAME?</v>
      </c>
      <c r="BQ242" s="2" t="e">
        <f ca="1">_xll.BDH($C$228,"WORKING_CAPITAL_SEQ_GROWTH","FQ4 2016","FQ4 2016","Currency=INR","Period=FQ","BEST_FPERIOD_OVERRIDE=FQ","FILING_STATUS=OR","EQY_CONSOLIDATED=Y","Sort=A","Dates=H","DateFormat=P","Fill=—","Direction=H","UseDPDF=Y")</f>
        <v>#NAME?</v>
      </c>
      <c r="BR242" s="2" t="e">
        <f ca="1">_xll.BDH($C$228,"ACCOUNTS_PAYABLE_SEQ_GROWTH","FQ4 2016","FQ4 2016","Currency=INR","Period=FQ","BEST_FPERIOD_OVERRIDE=FQ","FILING_STATUS=OR","EQY_CONSOLIDATED=Y","Sort=A","Dates=H","DateFormat=P","Fill=—","Direction=H","UseDPDF=Y")</f>
        <v>#NAME?</v>
      </c>
      <c r="BS242" s="2" t="e">
        <f ca="1">_xll.BDH($C$228,"ST_DEBT_SEQUENTIAL_GROWTH","FQ4 2016","FQ4 2016","Currency=INR","Period=FQ","BEST_FPERIOD_OVERRIDE=FQ","FILING_STATUS=OR","EQY_CONSOLIDATED=Y","Sort=A","Dates=H","DateFormat=P","Fill=—","Direction=H","UseDPDF=Y")</f>
        <v>#NAME?</v>
      </c>
      <c r="BT242" s="2" t="e">
        <f ca="1">_xll.BDH($C$228,"TOTAL_DEBT_SEQUENTIAL_GROWTH","FQ4 2016","FQ4 2016","Currency=INR","Period=FQ","BEST_FPERIOD_OVERRIDE=FQ","FILING_STATUS=OR","EQY_CONSOLIDATED=Y","Sort=A","Dates=H","DateFormat=P","Fill=—","Direction=H","UseDPDF=Y")</f>
        <v>#NAME?</v>
      </c>
      <c r="BU242" s="2" t="e">
        <f ca="1">_xll.BDH($C$228,"TOTAL_EQUITY_SEQUENTIAL_GROWTH","FQ4 2016","FQ4 2016","Currency=INR","Period=FQ","BEST_FPERIOD_OVERRIDE=FQ","FILING_STATUS=OR","EQY_CONSOLIDATED=Y","Sort=A","Dates=H","DateFormat=P","Fill=—","Direction=H","UseDPDF=Y")</f>
        <v>#NAME?</v>
      </c>
      <c r="BV242" s="2" t="e">
        <f ca="1">_xll.BDH($C$228,"TOTAL_CAPITAL_SEQUENTIAL_GROWTH","FQ4 2016","FQ4 2016","Currency=INR","Period=FQ","BEST_FPERIOD_OVERRIDE=FQ","FILING_STATUS=OR","EQY_CONSOLIDATED=Y","Sort=A","Dates=H","DateFormat=P","Fill=—","Direction=H","UseDPDF=Y")</f>
        <v>#NAME?</v>
      </c>
      <c r="BW242" s="2" t="e">
        <f ca="1">_xll.BDH($C$228,"BPS_SEQUENTIAL_GROWTH","FQ4 2016","FQ4 2016","Currency=INR","Period=FQ","BEST_FPERIOD_OVERRIDE=FQ","FILING_STATUS=OR","EQY_CONSOLIDATED=Y","Sort=A","Dates=H","DateFormat=P","Fill=—","Direction=H","UseDPDF=Y")</f>
        <v>#NAME?</v>
      </c>
      <c r="BX242" s="2" t="e">
        <f ca="1">_xll.BDH($C$228,"CFO_SEQUENTIAL_GROWTH","FQ4 2016","FQ4 2016","Currency=INR","Period=FQ","BEST_FPERIOD_OVERRIDE=FQ","FILING_STATUS=OR","EQY_CONSOLIDATED=Y","Sort=A","Dates=H","DateFormat=P","Fill=—","Direction=H","UseDPDF=Y")</f>
        <v>#NAME?</v>
      </c>
      <c r="BY242" s="3" t="e">
        <f ca="1">_xll.BDH($C$228,"SHORT_AND_LONG_TERM_DEBT","FQ4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242" s="3" t="e">
        <f ca="1">_xll.BDH($C$228,"BS_ST_BORROW","FQ4 2016","FQ4 2016","Currency=INR","Period=FQ","BEST_FPERIOD_OVERRIDE=FQ","FILING_STATUS=OR","EQY_CONSOLIDATED=Y","SCALING_FORMAT=MLN","Sort=A","Dates=H","DateFormat=P","Fill=—","Direction=H","UseDPDF=Y")</f>
        <v>#NAME?</v>
      </c>
      <c r="CA242" s="3" t="e">
        <f ca="1">_xll.BDH($C$228,"BS_LT_BORROW","FQ4 2016","FQ4 2016","Currency=INR","Period=FQ","BEST_FPERIOD_OVERRIDE=FQ","FILING_STATUS=OR","EQY_CONSOLIDATED=Y","SCALING_FORMAT=MLN","Sort=A","Dates=H","DateFormat=P","Fill=—","Direction=H","UseDPDF=Y")</f>
        <v>#NAME?</v>
      </c>
      <c r="CB242" s="2" t="e">
        <f ca="1">_xll.BDH($C$228,"TOT_DEBT_TO_EBITDA","FQ4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242" s="2" t="e">
        <f ca="1">_xll.BDH($C$228,"NET_DEBT_TO_EBITDA","FQ4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242" s="2" t="e">
        <f ca="1">_xll.BDH($C$228,"TOTAL_DEBT_TO_EBIT","FQ4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242" s="2" t="e">
        <f ca="1">_xll.BDH($C$228,"NET_DEBT_TO_EBIT","FQ4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242" s="2" t="e">
        <f ca="1">_xll.BDH($C$228,"EBITDA_TO_INTEREST_EXPN","FQ4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242" s="2" t="e">
        <f ca="1">_xll.BDH($C$228,"COM_EQY_TO_TOT_ASSET","FQ4 2016","FQ4 2016","Currency=INR","Period=FQ","BEST_FPERIOD_OVERRIDE=FQ","FILING_STATUS=OR","EQY_CONSOLIDATED=Y","Sort=A","Dates=H","DateFormat=P","Fill=—","Direction=H","UseDPDF=Y")</f>
        <v>#NAME?</v>
      </c>
      <c r="CH242" s="2" t="e">
        <f ca="1">_xll.BDH($C$228,"LT_DEBT_TO_TOT_EQY","FQ4 2016","FQ4 2016","Currency=INR","Period=FQ","BEST_FPERIOD_OVERRIDE=FQ","FILING_STATUS=OR","EQY_CONSOLIDATED=Y","Sort=A","Dates=H","DateFormat=P","Fill=—","Direction=H","UseDPDF=Y")</f>
        <v>#NAME?</v>
      </c>
      <c r="CI242" s="2" t="e">
        <f ca="1">_xll.BDH($C$228,"LT_DEBT_TO_TOT_CAP","FQ4 2016","FQ4 2016","Currency=INR","Period=FQ","BEST_FPERIOD_OVERRIDE=FQ","FILING_STATUS=OR","EQY_CONSOLIDATED=Y","Sort=A","Dates=H","DateFormat=P","Fill=—","Direction=H","UseDPDF=Y")</f>
        <v>#NAME?</v>
      </c>
      <c r="CJ242" s="2" t="e">
        <f ca="1">_xll.BDH($C$228,"LT_DEBT_TO_TOT_ASSET","FQ4 2016","FQ4 2016","Currency=INR","Period=FQ","BEST_FPERIOD_OVERRIDE=FQ","FILING_STATUS=OR","EQY_CONSOLIDATED=Y","Sort=A","Dates=H","DateFormat=P","Fill=—","Direction=H","UseDPDF=Y")</f>
        <v>#NAME?</v>
      </c>
      <c r="CK242" s="2" t="e">
        <f ca="1">_xll.BDH($C$228,"TOT_DEBT_TO_TOT_EQY","FQ4 2016","FQ4 2016","Currency=INR","Period=FQ","BEST_FPERIOD_OVERRIDE=FQ","FILING_STATUS=OR","EQY_CONSOLIDATED=Y","Sort=A","Dates=H","DateFormat=P","Fill=—","Direction=H","UseDPDF=Y")</f>
        <v>#NAME?</v>
      </c>
      <c r="CL242" s="2" t="e">
        <f ca="1">_xll.BDH($C$228,"TOT_DEBT_TO_TOT_CAP","FQ4 2016","FQ4 2016","Currency=INR","Period=FQ","BEST_FPERIOD_OVERRIDE=FQ","FILING_STATUS=OR","EQY_CONSOLIDATED=Y","Sort=A","Dates=H","DateFormat=P","Fill=—","Direction=H","UseDPDF=Y")</f>
        <v>#NAME?</v>
      </c>
      <c r="CM242" s="2" t="e">
        <f ca="1">_xll.BDH($C$228,"TOT_DEBT_TO_TOT_ASSET","FQ4 2016","FQ4 2016","Currency=INR","Period=FQ","BEST_FPERIOD_OVERRIDE=FQ","FILING_STATUS=OR","EQY_CONSOLIDATED=Y","Sort=A","Dates=H","DateFormat=P","Fill=—","Direction=H","UseDPDF=Y")</f>
        <v>#NAME?</v>
      </c>
      <c r="CN242" s="2" t="e">
        <f ca="1">_xll.BDH($C$228,"NET_DEBT_TO_SHRHLDR_EQTY","FQ4 2016","FQ4 2016","Currency=INR","Period=FQ","BEST_FPERIOD_OVERRIDE=FQ","FILING_STATUS=OR","EQY_CONSOLIDATED=Y","Sort=A","Dates=H","DateFormat=P","Fill=—","Direction=H","UseDPDF=Y")</f>
        <v>#NAME?</v>
      </c>
      <c r="CO242" s="2" t="e">
        <f ca="1">_xll.BDH($C$228,"NET_DEBT_%_CAPITAL","FQ4 2016","FQ4 2016","Currency=INR","Period=FQ","BEST_FPERIOD_OVERRIDE=FQ","FILING_STATUS=OR","EQY_CONSOLIDATED=Y","Sort=A","Dates=H","DateFormat=P","Fill=—","Direction=H","UseDPDF=Y")</f>
        <v>#NAME?</v>
      </c>
      <c r="CP242" s="3" t="e">
        <f ca="1">_xll.BDH($C$228,"EBITDA","FQ4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242" s="3" t="e">
        <f ca="1">_xll.BDH($C$228,"EBITDA_AFTER_CAPEX","FQ4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242" s="3" t="e">
        <f ca="1">_xll.BDH($C$228,"IS_OPER_INC","FQ4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242" s="2" t="e">
        <f ca="1">_xll.BDH($C$228,"CASH_RATIO","FQ4 2016","FQ4 2016","Currency=INR","Period=FQ","BEST_FPERIOD_OVERRIDE=FQ","FILING_STATUS=OR","EQY_CONSOLIDATED=Y","Sort=A","Dates=H","DateFormat=P","Fill=—","Direction=H","UseDPDF=Y")</f>
        <v>#NAME?</v>
      </c>
      <c r="CT242" s="2" t="e">
        <f ca="1">_xll.BDH($C$228,"CUR_RATIO","FQ4 2016","FQ4 2016","Currency=INR","Period=FQ","BEST_FPERIOD_OVERRIDE=FQ","FILING_STATUS=OR","EQY_CONSOLIDATED=Y","Sort=A","Dates=H","DateFormat=P","Fill=—","Direction=H","UseDPDF=Y")</f>
        <v>#NAME?</v>
      </c>
      <c r="CU242" s="2" t="e">
        <f ca="1">_xll.BDH($C$228,"QUICK_RATIO","FQ4 2016","FQ4 2016","Currency=INR","Period=FQ","BEST_FPERIOD_OVERRIDE=FQ","FILING_STATUS=OR","EQY_CONSOLIDATED=Y","Sort=A","Dates=H","DateFormat=P","Fill=—","Direction=H","UseDPDF=Y")</f>
        <v>#NAME?</v>
      </c>
      <c r="CV242" s="2" t="e">
        <f ca="1">_xll.BDH($C$228,"ALTMAN_Z_SCORE","FQ4 2016","FQ4 2016","Currency=INR","Period=FQ","BEST_FPERIOD_OVERRIDE=FQ","FILING_STATUS=OR","EQY_CONSOLIDATED=Y","Sort=A","Dates=H","DateFormat=P","Fill=—","Direction=H","UseDPDF=Y")</f>
        <v>#NAME?</v>
      </c>
      <c r="CW242" s="4" t="e">
        <f ca="1">_xll.BDH($C$228,"ACCT_RCV_TURN","FQ4 2016","FQ4 2016","Currency=INR","Period=FQ","BEST_FPERIOD_OVERRIDE=FQ","FILING_STATUS=OR","EQY_CONSOLIDATED=Y","FA_ADJUSTED=GAAP","Sort=A","Dates=H","DateFormat=P","Fill=—","Direction=H","UseDPDF=Y")</f>
        <v>#NAME?</v>
      </c>
      <c r="CX242" s="2" t="e">
        <f ca="1">_xll.BDH($C$228,"ACCT_RCV_DAYS","FQ4 2016","FQ4 2016","Currency=INR","Period=FQ","BEST_FPERIOD_OVERRIDE=FQ","FILING_STATUS=OR","EQY_CONSOLIDATED=Y","FA_ADJUSTED=GAAP","Sort=A","Dates=H","DateFormat=P","Fill=—","Direction=H","UseDPDF=Y")</f>
        <v>#NAME?</v>
      </c>
      <c r="CY242" s="4" t="e">
        <f ca="1">_xll.BDH($C$228,"INVENT_TURN","FQ4 2016","FQ4 2016","Currency=INR","Period=FQ","BEST_FPERIOD_OVERRIDE=FQ","FILING_STATUS=OR","EQY_CONSOLIDATED=Y","FA_ADJUSTED=GAAP","Sort=A","Dates=H","DateFormat=P","Fill=—","Direction=H","UseDPDF=Y")</f>
        <v>#NAME?</v>
      </c>
      <c r="CZ242" s="2" t="e">
        <f ca="1">_xll.BDH($C$228,"INVENT_DAYS","FQ4 2016","FQ4 2016","Currency=INR","Period=FQ","BEST_FPERIOD_OVERRIDE=FQ","FILING_STATUS=OR","EQY_CONSOLIDATED=Y","FA_ADJUSTED=GAAP","Sort=A","Dates=H","DateFormat=P","Fill=—","Direction=H","UseDPDF=Y")</f>
        <v>#NAME?</v>
      </c>
      <c r="DA242" s="4" t="e">
        <f ca="1">_xll.BDH($C$228,"ACCOUNTS_PAYABLE_TURNOVER","FQ4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242" s="2" t="e">
        <f ca="1">_xll.BDH($C$228,"ACCOUNTS_PAYABLE_TURNOVER_DAYS","FQ4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242" s="4" t="e">
        <f ca="1">_xll.BDH($C$228,"CASH_CONVERSION_CYCLE","FQ4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242" s="4" t="e">
        <f ca="1">_xll.BDH($C$228,"INV_TO_CASH_DAYS","FQ4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242" s="5" t="e">
        <f ca="1">_xll.BDH($C$228,"BS_INVENTORIES","FQ4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242" s="3" t="e">
        <f ca="1">_xll.BDH($C$228,"INVTRY_RAW_MATERIALS","FQ4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242" s="3" t="e">
        <f ca="1">_xll.BDH($C$228,"INVTRY_IN_PROGRESS","FQ4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242" s="3" t="e">
        <f ca="1">_xll.BDH($C$228,"INVTRY_FINISHED_GOODS","FQ4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242" s="3" t="e">
        <f ca="1">_xll.BDH($C$228,"BS_OTHER_INV","FQ4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243" spans="1:113" x14ac:dyDescent="0.3">
      <c r="A243" s="6"/>
      <c r="B243" s="6"/>
      <c r="C243" s="6"/>
      <c r="D243" s="6" t="s">
        <v>84</v>
      </c>
      <c r="E243" t="s">
        <v>77</v>
      </c>
      <c r="F243" t="e">
        <f ca="1">_xll.BDH($C$228,"RETURN_COM_EQY","FY 2017","FY 2017","Currency=INR","Period=FY","BEST_FPERIOD_OVERRIDE=FY","FILING_STATUS=OR","EQY_CONSOLIDATED=Y","FA_ADJUSTED=GAAP","Sort=A","Dates=H","DateFormat=P","Fill=—","Direction=H","UseDPDF=Y")</f>
        <v>#NAME?</v>
      </c>
      <c r="G243" t="e">
        <f ca="1">_xll.BDH($C$228,"RETURN_ON_ASSET","FY 2017","FY 2017","Currency=INR","Period=FY","BEST_FPERIOD_OVERRIDE=FY","FILING_STATUS=OR","EQY_CONSOLIDATED=Y","FA_ADJUSTED=GAAP","Sort=A","Dates=H","DateFormat=P","Fill=—","Direction=H","UseDPDF=Y")</f>
        <v>#NAME?</v>
      </c>
      <c r="H243" t="e">
        <f ca="1">_xll.BDH($C$228,"RETURN_ON_CAP","FY 2017","FY 2017","Currency=INR","Period=FY","BEST_FPERIOD_OVERRIDE=FY","FILING_STATUS=OR","EQY_CONSOLIDATED=Y","FA_ADJUSTED=GAAP","Sort=A","Dates=H","DateFormat=P","Fill=—","Direction=H","UseDPDF=Y")</f>
        <v>#NAME?</v>
      </c>
      <c r="I243" t="e">
        <f ca="1">_xll.BDH($C$228,"RETURN_ON_INV_CAPITAL","FY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243" t="e">
        <f ca="1">_xll.BDH($C$228,"EBITDA_TO_REVENUE","FY 2017","FY 2017","Currency=INR","Period=FY","BEST_FPERIOD_OVERRIDE=FY","FILING_STATUS=OR","EQY_CONSOLIDATED=Y","FA_ADJUSTED=GAAP","Sort=A","Dates=H","DateFormat=P","Fill=—","Direction=H","UseDPDF=Y")</f>
        <v>#NAME?</v>
      </c>
      <c r="K243" t="e">
        <f ca="1">_xll.BDH($C$228,"OPER_MARGIN","FY 2017","FY 2017","Currency=INR","Period=FY","BEST_FPERIOD_OVERRIDE=FY","FILING_STATUS=OR","EQY_CONSOLIDATED=Y","FA_ADJUSTED=GAAP","Sort=A","Dates=H","DateFormat=P","Fill=—","Direction=H","UseDPDF=Y")</f>
        <v>#NAME?</v>
      </c>
      <c r="L243" t="e">
        <f ca="1">_xll.BDH($C$228,"INCREMENTAL_OPERATING_MARGIN","FY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243" t="e">
        <f ca="1">_xll.BDH($C$228,"PRETAX_INC_TO_NET_SALES","FY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243" t="e">
        <f ca="1">_xll.BDH($C$228,"INC_BEF_XO_ITEMS_TO_NET_SALES","FY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243" t="e">
        <f ca="1">_xll.BDH($C$228,"PROF_MARGIN","FY 2017","FY 2017","Currency=INR","Period=FY","BEST_FPERIOD_OVERRIDE=FY","FILING_STATUS=OR","EQY_CONSOLIDATED=Y","FA_ADJUSTED=GAAP","Sort=A","Dates=H","DateFormat=P","Fill=—","Direction=H","UseDPDF=Y")</f>
        <v>#NAME?</v>
      </c>
      <c r="P243" t="e">
        <f ca="1">_xll.BDH($C$228,"NET_INCOME_TO_COMMON_MARGIN","FY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243" t="e">
        <f ca="1">_xll.BDH($C$228,"EFF_TAX_RATE","FY 2017","FY 2017","Currency=INR","Period=FY","BEST_FPERIOD_OVERRIDE=FY","FILING_STATUS=OR","EQY_CONSOLIDATED=Y","FA_ADJUSTED=GAAP","Sort=A","Dates=H","DateFormat=P","Fill=—","Direction=H","UseDPDF=Y")</f>
        <v>#NAME?</v>
      </c>
      <c r="R243" t="e">
        <f ca="1">_xll.BDH($C$228,"DVD_PAYOUT_RATIO","FY 2017","FY 2017","Currency=INR","Period=FY","BEST_FPERIOD_OVERRIDE=FY","FILING_STATUS=OR","EQY_CONSOLIDATED=Y","FA_ADJUSTED=GAAP","Sort=A","Dates=H","DateFormat=P","Fill=—","Direction=H","UseDPDF=Y")</f>
        <v>#NAME?</v>
      </c>
      <c r="S243" t="e">
        <f ca="1">_xll.BDH($C$228,"SUSTAIN_GROWTH_RT","FY 2017","FY 2017","Currency=INR","Period=FY","BEST_FPERIOD_OVERRIDE=FY","FILING_STATUS=OR","EQY_CONSOLIDATED=Y","FA_ADJUSTED=GAAP","Sort=A","Dates=H","DateFormat=P","Fill=—","Direction=H","UseDPDF=Y")</f>
        <v>#NAME?</v>
      </c>
      <c r="T243" s="2" t="e">
        <f ca="1">_xll.BDH($C$228,"SALES_GROWTH","FY 2017","FY 2017","Currency=INR","Period=FY","BEST_FPERIOD_OVERRIDE=FY","FILING_STATUS=OR","EQY_CONSOLIDATED=Y","FA_ADJUSTED=GAAP","Sort=A","Dates=H","DateFormat=P","Fill=—","Direction=H","UseDPDF=Y")</f>
        <v>#NAME?</v>
      </c>
      <c r="U243" s="2" t="e">
        <f ca="1">_xll.BDH($C$228,"EBITDA_GROWTH","FY 2017","FY 2017","Currency=INR","Period=FY","BEST_FPERIOD_OVERRIDE=FY","FILING_STATUS=OR","EQY_CONSOLIDATED=Y","FA_ADJUSTED=GAAP","Sort=A","Dates=H","DateFormat=P","Fill=—","Direction=H","UseDPDF=Y")</f>
        <v>#NAME?</v>
      </c>
      <c r="V243" s="2" t="e">
        <f ca="1">_xll.BDH($C$228,"OPER_INC_GROWTH","FY 2017","FY 2017","Currency=INR","Period=FY","BEST_FPERIOD_OVERRIDE=FY","FILING_STATUS=OR","EQY_CONSOLIDATED=Y","FA_ADJUSTED=GAAP","Sort=A","Dates=H","DateFormat=P","Fill=—","Direction=H","UseDPDF=Y")</f>
        <v>#NAME?</v>
      </c>
      <c r="W243" s="2" t="e">
        <f ca="1">_xll.BDH($C$228,"EARN_FOR_COM_GROWTH","FY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243" s="2" t="e">
        <f ca="1">_xll.BDH($C$228,"DILUTED_EPS_AFT_XO_ITEMS_GROWTH","FY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243" s="2" t="e">
        <f ca="1">_xll.BDH($C$228,"DIVIDEND_PER_SHARE_1_YEAR_GROWTH","FY 2017","FY 2017","Currency=INR","Period=FY","BEST_FPERIOD_OVERRIDE=FY","FILING_STATUS=OR","EQY_CONSOLIDATED=Y","Sort=A","Dates=H","DateFormat=P","Fill=—","Direction=H","UseDPDF=Y")</f>
        <v>#NAME?</v>
      </c>
      <c r="Z243" s="2" t="e">
        <f ca="1">_xll.BDH($C$228,"ACCOUNTS_RECEIVABLE_GROWTH","FY 2017","FY 2017","Currency=INR","Period=FY","BEST_FPERIOD_OVERRIDE=FY","FILING_STATUS=OR","EQY_CONSOLIDATED=Y","Sort=A","Dates=H","DateFormat=P","Fill=—","Direction=H","UseDPDF=Y")</f>
        <v>#NAME?</v>
      </c>
      <c r="AA243" s="2" t="e">
        <f ca="1">_xll.BDH($C$228,"INVENTORY_GROWTH","FY 2017","FY 2017","Currency=INR","Period=FY","BEST_FPERIOD_OVERRIDE=FY","FILING_STATUS=OR","EQY_CONSOLIDATED=Y","Sort=A","Dates=H","DateFormat=P","Fill=—","Direction=H","UseDPDF=Y")</f>
        <v>#NAME?</v>
      </c>
      <c r="AB243" s="2" t="e">
        <f ca="1">_xll.BDH($C$228,"NET_FIXED_ASSETS_1_YEAR_GROWTH","FY 2017","FY 2017","Currency=INR","Period=FY","BEST_FPERIOD_OVERRIDE=FY","FILING_STATUS=OR","EQY_CONSOLIDATED=Y","Sort=A","Dates=H","DateFormat=P","Fill=—","Direction=H","UseDPDF=Y")</f>
        <v>#NAME?</v>
      </c>
      <c r="AC243" s="2" t="e">
        <f ca="1">_xll.BDH($C$228,"ASSET_GROWTH","FY 2017","FY 2017","Currency=INR","Period=FY","BEST_FPERIOD_OVERRIDE=FY","FILING_STATUS=OR","EQY_CONSOLIDATED=Y","Sort=A","Dates=H","DateFormat=P","Fill=—","Direction=H","UseDPDF=Y")</f>
        <v>#NAME?</v>
      </c>
      <c r="AD243" s="2" t="e">
        <f ca="1">_xll.BDH($C$228,"MODIFIED_WORK_CAP_GROWTH","FY 2017","FY 2017","Currency=INR","Period=FY","BEST_FPERIOD_OVERRIDE=FY","FILING_STATUS=OR","EQY_CONSOLIDATED=Y","Sort=A","Dates=H","DateFormat=P","Fill=—","Direction=H","UseDPDF=Y")</f>
        <v>#NAME?</v>
      </c>
      <c r="AE243" s="2" t="e">
        <f ca="1">_xll.BDH($C$228,"WORK_CAP_GROWTH","FY 2017","FY 2017","Currency=INR","Period=FY","BEST_FPERIOD_OVERRIDE=FY","FILING_STATUS=OR","EQY_CONSOLIDATED=Y","Sort=A","Dates=H","DateFormat=P","Fill=—","Direction=H","UseDPDF=Y")</f>
        <v>#NAME?</v>
      </c>
      <c r="AF243" s="2" t="e">
        <f ca="1">_xll.BDH($C$228,"ACCOUNTS_PAYABLE_GROWTH_1YR","FY 2017","FY 2017","Currency=INR","Period=FY","BEST_FPERIOD_OVERRIDE=FY","FILING_STATUS=OR","EQY_CONSOLIDATED=Y","Sort=A","Dates=H","DateFormat=P","Fill=—","Direction=H","UseDPDF=Y")</f>
        <v>#NAME?</v>
      </c>
      <c r="AG243" s="2" t="e">
        <f ca="1">_xll.BDH($C$228,"SHORT_TERM_DEBT_1_YEAR_GROWTH","FY 2017","FY 2017","Currency=INR","Period=FY","BEST_FPERIOD_OVERRIDE=FY","FILING_STATUS=OR","EQY_CONSOLIDATED=Y","Sort=A","Dates=H","DateFormat=P","Fill=—","Direction=H","UseDPDF=Y")</f>
        <v>#NAME?</v>
      </c>
      <c r="AH243" s="2" t="e">
        <f ca="1">_xll.BDH($C$228,"TOTAL_DEBT_1_YEAR_GROWTH","FY 2017","FY 2017","Currency=INR","Period=FY","BEST_FPERIOD_OVERRIDE=FY","FILING_STATUS=OR","EQY_CONSOLIDATED=Y","Sort=A","Dates=H","DateFormat=P","Fill=—","Direction=H","UseDPDF=Y")</f>
        <v>#NAME?</v>
      </c>
      <c r="AI243" s="2" t="e">
        <f ca="1">_xll.BDH($C$228,"TOTAL_EQUITY_1_YEAR_GROWTH","FY 2017","FY 2017","Currency=INR","Period=FY","BEST_FPERIOD_OVERRIDE=FY","FILING_STATUS=OR","EQY_CONSOLIDATED=Y","Sort=A","Dates=H","DateFormat=P","Fill=—","Direction=H","UseDPDF=Y")</f>
        <v>#NAME?</v>
      </c>
      <c r="AJ243" s="2" t="e">
        <f ca="1">_xll.BDH($C$228,"GROWTH_IN_CAP","FY 2017","FY 2017","Currency=INR","Period=FY","BEST_FPERIOD_OVERRIDE=FY","FILING_STATUS=OR","EQY_CONSOLIDATED=Y","Sort=A","Dates=H","DateFormat=P","Fill=—","Direction=H","UseDPDF=Y")</f>
        <v>#NAME?</v>
      </c>
      <c r="AK243" s="2" t="e">
        <f ca="1">_xll.BDH($C$228,"BVPS_GROWTH","FY 2017","FY 2017","Currency=INR","Period=FY","BEST_FPERIOD_OVERRIDE=FY","FILING_STATUS=OR","EQY_CONSOLIDATED=Y","Sort=A","Dates=H","DateFormat=P","Fill=—","Direction=H","UseDPDF=Y")</f>
        <v>#NAME?</v>
      </c>
      <c r="AL243" s="2" t="e">
        <f ca="1">_xll.BDH($C$228,"CASH_FLOW_GROWTH","FY 2017","FY 2017","Currency=INR","Period=FY","BEST_FPERIOD_OVERRIDE=FY","FILING_STATUS=OR","EQY_CONSOLIDATED=Y","Sort=A","Dates=H","DateFormat=P","Fill=—","Direction=H","UseDPDF=Y")</f>
        <v>#NAME?</v>
      </c>
      <c r="AM243" s="2" t="e">
        <f ca="1">_xll.BDH($C$228,"GEO_GROW_NET_SALES","FY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243" s="2" t="e">
        <f ca="1">_xll.BDH($C$228,"GEO_GROW_EBITDA","FY 2017","FY 2017","Currency=INR","Period=FY","BEST_FPERIOD_OVERRIDE=FY","FILING_STATUS=OR","EQY_CONSOLIDATED=Y","FA_ADJUSTED=GAAP","Sort=A","Dates=H","DateFormat=P","Fill=—","Direction=H","UseDPDF=Y")</f>
        <v>#NAME?</v>
      </c>
      <c r="AO243" s="2" t="e">
        <f ca="1">_xll.BDH($C$228,"GEO_GROW_OPER_INC","FY 2017","FY 2017","Currency=INR","Period=FY","BEST_FPERIOD_OVERRIDE=FY","FILING_STATUS=OR","EQY_CONSOLIDATED=Y","FA_ADJUSTED=GAAP","Sort=A","Dates=H","DateFormat=P","Fill=—","Direction=H","UseDPDF=Y")</f>
        <v>#NAME?</v>
      </c>
      <c r="AP243" s="2" t="e">
        <f ca="1">_xll.BDH($C$228,"NET_INCOME_TO_COMMON_5_YR_GROWTH","FY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243" s="2" t="e">
        <f ca="1">_xll.BDH($C$228,"5Y_GEO_GROWTH_DILUTED_EPS","FY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243" s="2" t="e">
        <f ca="1">_xll.BDH($C$228,"GEO_GROW_DVD_PER_SH","FY 2017","FY 2017","Currency=INR","Period=FY","BEST_FPERIOD_OVERRIDE=FY","FILING_STATUS=OR","EQY_CONSOLIDATED=Y","Sort=A","Dates=H","DateFormat=P","Fill=—","Direction=H","UseDPDF=Y")</f>
        <v>#NAME?</v>
      </c>
      <c r="AS243" s="2" t="e">
        <f ca="1">_xll.BDH($C$228,"ACCOUNTS_RECEIVABLE_5_YR_GROWTH","FY 2017","FY 2017","Currency=INR","Period=FY","BEST_FPERIOD_OVERRIDE=FY","FILING_STATUS=OR","EQY_CONSOLIDATED=Y","Sort=A","Dates=H","DateFormat=P","Fill=—","Direction=H","UseDPDF=Y")</f>
        <v>#NAME?</v>
      </c>
      <c r="AT243" s="2" t="e">
        <f ca="1">_xll.BDH($C$228,"INVENTORY_5_YEAR_GROWTH","FY 2017","FY 2017","Currency=INR","Period=FY","BEST_FPERIOD_OVERRIDE=FY","FILING_STATUS=OR","EQY_CONSOLIDATED=Y","Sort=A","Dates=H","DateFormat=P","Fill=—","Direction=H","UseDPDF=Y")</f>
        <v>#NAME?</v>
      </c>
      <c r="AU243" s="2" t="e">
        <f ca="1">_xll.BDH($C$228,"NET_FIXED_ASSETS_5_YEAR_GROWTH","FY 2017","FY 2017","Currency=INR","Period=FY","BEST_FPERIOD_OVERRIDE=FY","FILING_STATUS=OR","EQY_CONSOLIDATED=Y","Sort=A","Dates=H","DateFormat=P","Fill=—","Direction=H","UseDPDF=Y")</f>
        <v>#NAME?</v>
      </c>
      <c r="AV243" s="2" t="e">
        <f ca="1">_xll.BDH($C$228,"GEO_GROW_TOT_ASSET","FY 2017","FY 2017","Currency=INR","Period=FY","BEST_FPERIOD_OVERRIDE=FY","FILING_STATUS=OR","EQY_CONSOLIDATED=Y","Sort=A","Dates=H","DateFormat=P","Fill=—","Direction=H","UseDPDF=Y")</f>
        <v>#NAME?</v>
      </c>
      <c r="AW243" s="2" t="e">
        <f ca="1">_xll.BDH($C$228,"MODIFIED_WORKING_CPTL_5YR_GRWTH","FY 2017","FY 2017","Currency=INR","Period=FY","BEST_FPERIOD_OVERRIDE=FY","FILING_STATUS=OR","EQY_CONSOLIDATED=Y","Sort=A","Dates=H","DateFormat=P","Fill=—","Direction=H","UseDPDF=Y")</f>
        <v>#NAME?</v>
      </c>
      <c r="AX243" s="2" t="e">
        <f ca="1">_xll.BDH($C$228,"WORKING_CAPITAL_5_YEAR_GROWTH","FY 2017","FY 2017","Currency=INR","Period=FY","BEST_FPERIOD_OVERRIDE=FY","FILING_STATUS=OR","EQY_CONSOLIDATED=Y","Sort=A","Dates=H","DateFormat=P","Fill=—","Direction=H","UseDPDF=Y")</f>
        <v>#NAME?</v>
      </c>
      <c r="AY243" s="2" t="e">
        <f ca="1">_xll.BDH($C$228,"ACCOUNTS_PAYABLE_5_YEAR_GROWTH","FY 2017","FY 2017","Currency=INR","Period=FY","BEST_FPERIOD_OVERRIDE=FY","FILING_STATUS=OR","EQY_CONSOLIDATED=Y","Sort=A","Dates=H","DateFormat=P","Fill=—","Direction=H","UseDPDF=Y")</f>
        <v>#NAME?</v>
      </c>
      <c r="AZ243" s="2" t="e">
        <f ca="1">_xll.BDH($C$228,"SHORT_TERM_DEBT_5_YEAR_GROWTH","FY 2017","FY 2017","Currency=INR","Period=FY","BEST_FPERIOD_OVERRIDE=FY","FILING_STATUS=OR","EQY_CONSOLIDATED=Y","Sort=A","Dates=H","DateFormat=P","Fill=—","Direction=H","UseDPDF=Y")</f>
        <v>#NAME?</v>
      </c>
      <c r="BA243" s="2" t="e">
        <f ca="1">_xll.BDH($C$228,"TOTAL_DEBT_5_YEAR_GROWTH","FY 2017","FY 2017","Currency=INR","Period=FY","BEST_FPERIOD_OVERRIDE=FY","FILING_STATUS=OR","EQY_CONSOLIDATED=Y","Sort=A","Dates=H","DateFormat=P","Fill=—","Direction=H","UseDPDF=Y")</f>
        <v>#NAME?</v>
      </c>
      <c r="BB243" s="2" t="e">
        <f ca="1">_xll.BDH($C$228,"GEO_GROW_TOT_SHRHLDR_EQY","FY 2017","FY 2017","Currency=INR","Period=FY","BEST_FPERIOD_OVERRIDE=FY","FILING_STATUS=OR","EQY_CONSOLIDATED=Y","Sort=A","Dates=H","DateFormat=P","Fill=—","Direction=H","UseDPDF=Y")</f>
        <v>#NAME?</v>
      </c>
      <c r="BC243" s="2" t="e">
        <f ca="1">_xll.BDH($C$228,"TOTAL_CAPITAL_5_YEAR_GROWTH","FY 2017","FY 2017","Currency=INR","Period=FY","BEST_FPERIOD_OVERRIDE=FY","FILING_STATUS=OR","EQY_CONSOLIDATED=Y","Sort=A","Dates=H","DateFormat=P","Fill=—","Direction=H","UseDPDF=Y")</f>
        <v>#NAME?</v>
      </c>
      <c r="BD243" s="2" t="e">
        <f ca="1">_xll.BDH($C$228,"GEO_GROW_BOOK_VAL","FY 2017","FY 2017","Currency=INR","Period=FY","BEST_FPERIOD_OVERRIDE=FY","FILING_STATUS=OR","EQY_CONSOLIDATED=Y","Sort=A","Dates=H","DateFormat=P","Fill=—","Direction=H","UseDPDF=Y")</f>
        <v>#NAME?</v>
      </c>
      <c r="BE243" s="2" t="e">
        <f ca="1">_xll.BDH($C$228,"GEO_GROW_CASH_OPER_ACT","FY 2017","FY 2017","Currency=INR","Period=FY","BEST_FPERIOD_OVERRIDE=FY","FILING_STATUS=OR","EQY_CONSOLIDATED=Y","Sort=A","Dates=H","DateFormat=P","Fill=—","Direction=H","UseDPDF=Y")</f>
        <v>#NAME?</v>
      </c>
      <c r="BF243" s="2" t="e">
        <f ca="1">_xll.BDH($C$228,"REVENUE_SEQUENTIAL_GROWTH","FY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243" s="2" t="e">
        <f ca="1">_xll.BDH($C$228,"EBITDA_SEQUENTIAL_GROWTH","FY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243" s="2" t="e">
        <f ca="1">_xll.BDH($C$228,"OPERATING_INCOME_SEQ_GROWTH","FY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243" s="2" t="e">
        <f ca="1">_xll.BDH($C$228,"NET_INCOME_TO_COMMON_SEQ_GROWTH","FY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243" s="2" t="e">
        <f ca="1">_xll.BDH($C$228,"EPS_DILUTED_SEQUENTIAL_GROWTH","FY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243" s="2" t="e">
        <f ca="1">_xll.BDH($C$228,"DPS_SEQUENTIAL_GROWTH","FY 2017","FY 2017","Currency=INR","Period=FY","BEST_FPERIOD_OVERRIDE=FY","FILING_STATUS=OR","EQY_CONSOLIDATED=Y","Sort=A","Dates=H","DateFormat=P","Fill=—","Direction=H","UseDPDF=Y")</f>
        <v>#NAME?</v>
      </c>
      <c r="BL243" s="2" t="e">
        <f ca="1">_xll.BDH($C$228,"ACCOUNTS_RECEIVABLE_SEQ_GROWTH","FY 2017","FY 2017","Currency=INR","Period=FY","BEST_FPERIOD_OVERRIDE=FY","FILING_STATUS=OR","EQY_CONSOLIDATED=Y","Sort=A","Dates=H","DateFormat=P","Fill=—","Direction=H","UseDPDF=Y")</f>
        <v>#NAME?</v>
      </c>
      <c r="BM243" s="2" t="e">
        <f ca="1">_xll.BDH($C$228,"INVENTORY_SEQUENTIAL_GROWTH","FY 2017","FY 2017","Currency=INR","Period=FY","BEST_FPERIOD_OVERRIDE=FY","FILING_STATUS=OR","EQY_CONSOLIDATED=Y","Sort=A","Dates=H","DateFormat=P","Fill=—","Direction=H","UseDPDF=Y")</f>
        <v>#NAME?</v>
      </c>
      <c r="BN243" s="2" t="e">
        <f ca="1">_xll.BDH($C$228,"FIXED_ASSETS_SEQUENTIAL_GROWTH","FY 2017","FY 2017","Currency=INR","Period=FY","BEST_FPERIOD_OVERRIDE=FY","FILING_STATUS=OR","EQY_CONSOLIDATED=Y","Sort=A","Dates=H","DateFormat=P","Fill=—","Direction=H","UseDPDF=Y")</f>
        <v>#NAME?</v>
      </c>
      <c r="BO243" s="2" t="e">
        <f ca="1">_xll.BDH($C$228,"TOTAL_ASSETS_SEQUENTIAL_GROWTH","FY 2017","FY 2017","Currency=INR","Period=FY","BEST_FPERIOD_OVERRIDE=FY","FILING_STATUS=OR","EQY_CONSOLIDATED=Y","Sort=A","Dates=H","DateFormat=P","Fill=—","Direction=H","UseDPDF=Y")</f>
        <v>#NAME?</v>
      </c>
      <c r="BP243" s="2" t="e">
        <f ca="1">_xll.BDH($C$228,"MODIFIED_WORKING_CPTL_SEQ_GRWTH","FY 2017","FY 2017","Currency=INR","Period=FY","BEST_FPERIOD_OVERRIDE=FY","FILING_STATUS=OR","EQY_CONSOLIDATED=Y","Sort=A","Dates=H","DateFormat=P","Fill=—","Direction=H","UseDPDF=Y")</f>
        <v>#NAME?</v>
      </c>
      <c r="BQ243" s="2" t="e">
        <f ca="1">_xll.BDH($C$228,"WORKING_CAPITAL_SEQ_GROWTH","FY 2017","FY 2017","Currency=INR","Period=FY","BEST_FPERIOD_OVERRIDE=FY","FILING_STATUS=OR","EQY_CONSOLIDATED=Y","Sort=A","Dates=H","DateFormat=P","Fill=—","Direction=H","UseDPDF=Y")</f>
        <v>#NAME?</v>
      </c>
      <c r="BR243" s="2" t="e">
        <f ca="1">_xll.BDH($C$228,"ACCOUNTS_PAYABLE_SEQ_GROWTH","FY 2017","FY 2017","Currency=INR","Period=FY","BEST_FPERIOD_OVERRIDE=FY","FILING_STATUS=OR","EQY_CONSOLIDATED=Y","Sort=A","Dates=H","DateFormat=P","Fill=—","Direction=H","UseDPDF=Y")</f>
        <v>#NAME?</v>
      </c>
      <c r="BS243" s="2" t="e">
        <f ca="1">_xll.BDH($C$228,"ST_DEBT_SEQUENTIAL_GROWTH","FY 2017","FY 2017","Currency=INR","Period=FY","BEST_FPERIOD_OVERRIDE=FY","FILING_STATUS=OR","EQY_CONSOLIDATED=Y","Sort=A","Dates=H","DateFormat=P","Fill=—","Direction=H","UseDPDF=Y")</f>
        <v>#NAME?</v>
      </c>
      <c r="BT243" s="2" t="e">
        <f ca="1">_xll.BDH($C$228,"TOTAL_DEBT_SEQUENTIAL_GROWTH","FY 2017","FY 2017","Currency=INR","Period=FY","BEST_FPERIOD_OVERRIDE=FY","FILING_STATUS=OR","EQY_CONSOLIDATED=Y","Sort=A","Dates=H","DateFormat=P","Fill=—","Direction=H","UseDPDF=Y")</f>
        <v>#NAME?</v>
      </c>
      <c r="BU243" s="2" t="e">
        <f ca="1">_xll.BDH($C$228,"TOTAL_EQUITY_SEQUENTIAL_GROWTH","FY 2017","FY 2017","Currency=INR","Period=FY","BEST_FPERIOD_OVERRIDE=FY","FILING_STATUS=OR","EQY_CONSOLIDATED=Y","Sort=A","Dates=H","DateFormat=P","Fill=—","Direction=H","UseDPDF=Y")</f>
        <v>#NAME?</v>
      </c>
      <c r="BV243" s="2" t="e">
        <f ca="1">_xll.BDH($C$228,"TOTAL_CAPITAL_SEQUENTIAL_GROWTH","FY 2017","FY 2017","Currency=INR","Period=FY","BEST_FPERIOD_OVERRIDE=FY","FILING_STATUS=OR","EQY_CONSOLIDATED=Y","Sort=A","Dates=H","DateFormat=P","Fill=—","Direction=H","UseDPDF=Y")</f>
        <v>#NAME?</v>
      </c>
      <c r="BW243" s="2" t="e">
        <f ca="1">_xll.BDH($C$228,"BPS_SEQUENTIAL_GROWTH","FY 2017","FY 2017","Currency=INR","Period=FY","BEST_FPERIOD_OVERRIDE=FY","FILING_STATUS=OR","EQY_CONSOLIDATED=Y","Sort=A","Dates=H","DateFormat=P","Fill=—","Direction=H","UseDPDF=Y")</f>
        <v>#NAME?</v>
      </c>
      <c r="BX243" s="2" t="e">
        <f ca="1">_xll.BDH($C$228,"CFO_SEQUENTIAL_GROWTH","FY 2017","FY 2017","Currency=INR","Period=FY","BEST_FPERIOD_OVERRIDE=FY","FILING_STATUS=OR","EQY_CONSOLIDATED=Y","Sort=A","Dates=H","DateFormat=P","Fill=—","Direction=H","UseDPDF=Y")</f>
        <v>#NAME?</v>
      </c>
      <c r="BY243" s="3" t="e">
        <f ca="1">_xll.BDH($C$228,"SHORT_AND_LONG_TERM_DEBT","FY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243" s="3" t="e">
        <f ca="1">_xll.BDH($C$228,"BS_ST_BORROW","FY 2017","FY 2017","Currency=INR","Period=FY","BEST_FPERIOD_OVERRIDE=FY","FILING_STATUS=OR","EQY_CONSOLIDATED=Y","SCALING_FORMAT=MLN","Sort=A","Dates=H","DateFormat=P","Fill=—","Direction=H","UseDPDF=Y")</f>
        <v>#NAME?</v>
      </c>
      <c r="CA243" s="3" t="e">
        <f ca="1">_xll.BDH($C$228,"BS_LT_BORROW","FY 2017","FY 2017","Currency=INR","Period=FY","BEST_FPERIOD_OVERRIDE=FY","FILING_STATUS=OR","EQY_CONSOLIDATED=Y","SCALING_FORMAT=MLN","Sort=A","Dates=H","DateFormat=P","Fill=—","Direction=H","UseDPDF=Y")</f>
        <v>#NAME?</v>
      </c>
      <c r="CB243" s="2" t="e">
        <f ca="1">_xll.BDH($C$228,"TOT_DEBT_TO_EBITDA","FY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243" s="2" t="e">
        <f ca="1">_xll.BDH($C$228,"NET_DEBT_TO_EBITDA","FY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243" s="2" t="e">
        <f ca="1">_xll.BDH($C$228,"TOTAL_DEBT_TO_EBIT","FY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243" s="2" t="e">
        <f ca="1">_xll.BDH($C$228,"NET_DEBT_TO_EBIT","FY 2017","FY 2017","Currency=INR","Period=FY","BEST_FPERIOD_OVERRIDE=FY","FILING_STATUS=OR","EQY_CONSOLIDATED=Y","FA_ADJUSTED=GAAP","Sort=A","Dates=H","DateFormat=P","Fill=—","Direction=H","UseDPDF=Y")</f>
        <v>#NAME?</v>
      </c>
      <c r="CF243" s="2" t="e">
        <f ca="1">_xll.BDH($C$228,"EBITDA_TO_INTEREST_EXPN","FY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243" s="2" t="e">
        <f ca="1">_xll.BDH($C$228,"COM_EQY_TO_TOT_ASSET","FY 2017","FY 2017","Currency=INR","Period=FY","BEST_FPERIOD_OVERRIDE=FY","FILING_STATUS=OR","EQY_CONSOLIDATED=Y","Sort=A","Dates=H","DateFormat=P","Fill=—","Direction=H","UseDPDF=Y")</f>
        <v>#NAME?</v>
      </c>
      <c r="CH243" s="2" t="e">
        <f ca="1">_xll.BDH($C$228,"LT_DEBT_TO_TOT_EQY","FY 2017","FY 2017","Currency=INR","Period=FY","BEST_FPERIOD_OVERRIDE=FY","FILING_STATUS=OR","EQY_CONSOLIDATED=Y","Sort=A","Dates=H","DateFormat=P","Fill=—","Direction=H","UseDPDF=Y")</f>
        <v>#NAME?</v>
      </c>
      <c r="CI243" s="2" t="e">
        <f ca="1">_xll.BDH($C$228,"LT_DEBT_TO_TOT_CAP","FY 2017","FY 2017","Currency=INR","Period=FY","BEST_FPERIOD_OVERRIDE=FY","FILING_STATUS=OR","EQY_CONSOLIDATED=Y","Sort=A","Dates=H","DateFormat=P","Fill=—","Direction=H","UseDPDF=Y")</f>
        <v>#NAME?</v>
      </c>
      <c r="CJ243" s="2" t="e">
        <f ca="1">_xll.BDH($C$228,"LT_DEBT_TO_TOT_ASSET","FY 2017","FY 2017","Currency=INR","Period=FY","BEST_FPERIOD_OVERRIDE=FY","FILING_STATUS=OR","EQY_CONSOLIDATED=Y","Sort=A","Dates=H","DateFormat=P","Fill=—","Direction=H","UseDPDF=Y")</f>
        <v>#NAME?</v>
      </c>
      <c r="CK243" s="2" t="e">
        <f ca="1">_xll.BDH($C$228,"TOT_DEBT_TO_TOT_EQY","FY 2017","FY 2017","Currency=INR","Period=FY","BEST_FPERIOD_OVERRIDE=FY","FILING_STATUS=OR","EQY_CONSOLIDATED=Y","Sort=A","Dates=H","DateFormat=P","Fill=—","Direction=H","UseDPDF=Y")</f>
        <v>#NAME?</v>
      </c>
      <c r="CL243" s="2" t="e">
        <f ca="1">_xll.BDH($C$228,"TOT_DEBT_TO_TOT_CAP","FY 2017","FY 2017","Currency=INR","Period=FY","BEST_FPERIOD_OVERRIDE=FY","FILING_STATUS=OR","EQY_CONSOLIDATED=Y","Sort=A","Dates=H","DateFormat=P","Fill=—","Direction=H","UseDPDF=Y")</f>
        <v>#NAME?</v>
      </c>
      <c r="CM243" s="2" t="e">
        <f ca="1">_xll.BDH($C$228,"TOT_DEBT_TO_TOT_ASSET","FY 2017","FY 2017","Currency=INR","Period=FY","BEST_FPERIOD_OVERRIDE=FY","FILING_STATUS=OR","EQY_CONSOLIDATED=Y","Sort=A","Dates=H","DateFormat=P","Fill=—","Direction=H","UseDPDF=Y")</f>
        <v>#NAME?</v>
      </c>
      <c r="CN243" s="2" t="e">
        <f ca="1">_xll.BDH($C$228,"NET_DEBT_TO_SHRHLDR_EQTY","FY 2017","FY 2017","Currency=INR","Period=FY","BEST_FPERIOD_OVERRIDE=FY","FILING_STATUS=OR","EQY_CONSOLIDATED=Y","Sort=A","Dates=H","DateFormat=P","Fill=—","Direction=H","UseDPDF=Y")</f>
        <v>#NAME?</v>
      </c>
      <c r="CO243" s="2" t="e">
        <f ca="1">_xll.BDH($C$228,"NET_DEBT_%_CAPITAL","FY 2017","FY 2017","Currency=INR","Period=FY","BEST_FPERIOD_OVERRIDE=FY","FILING_STATUS=OR","EQY_CONSOLIDATED=Y","Sort=A","Dates=H","DateFormat=P","Fill=—","Direction=H","UseDPDF=Y")</f>
        <v>#NAME?</v>
      </c>
      <c r="CP243" s="3" t="e">
        <f ca="1">_xll.BDH($C$228,"EBITDA","FY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243" s="3" t="e">
        <f ca="1">_xll.BDH($C$228,"EBITDA_AFTER_CAPEX","FY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243" s="3" t="e">
        <f ca="1">_xll.BDH($C$228,"IS_OPER_INC","FY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243" s="2" t="e">
        <f ca="1">_xll.BDH($C$228,"CASH_RATIO","FY 2017","FY 2017","Currency=INR","Period=FY","BEST_FPERIOD_OVERRIDE=FY","FILING_STATUS=OR","EQY_CONSOLIDATED=Y","Sort=A","Dates=H","DateFormat=P","Fill=—","Direction=H","UseDPDF=Y")</f>
        <v>#NAME?</v>
      </c>
      <c r="CT243" s="2" t="e">
        <f ca="1">_xll.BDH($C$228,"CUR_RATIO","FY 2017","FY 2017","Currency=INR","Period=FY","BEST_FPERIOD_OVERRIDE=FY","FILING_STATUS=OR","EQY_CONSOLIDATED=Y","Sort=A","Dates=H","DateFormat=P","Fill=—","Direction=H","UseDPDF=Y")</f>
        <v>#NAME?</v>
      </c>
      <c r="CU243" s="2" t="e">
        <f ca="1">_xll.BDH($C$228,"QUICK_RATIO","FY 2017","FY 2017","Currency=INR","Period=FY","BEST_FPERIOD_OVERRIDE=FY","FILING_STATUS=OR","EQY_CONSOLIDATED=Y","Sort=A","Dates=H","DateFormat=P","Fill=—","Direction=H","UseDPDF=Y")</f>
        <v>#NAME?</v>
      </c>
      <c r="CV243" s="2" t="e">
        <f ca="1">_xll.BDH($C$228,"ALTMAN_Z_SCORE","FY 2017","FY 2017","Currency=INR","Period=FY","BEST_FPERIOD_OVERRIDE=FY","FILING_STATUS=OR","EQY_CONSOLIDATED=Y","Sort=A","Dates=H","DateFormat=P","Fill=—","Direction=H","UseDPDF=Y")</f>
        <v>#NAME?</v>
      </c>
      <c r="CW243" s="4" t="e">
        <f ca="1">_xll.BDH($C$228,"ACCT_RCV_TURN","FY 2017","FY 2017","Currency=INR","Period=FY","BEST_FPERIOD_OVERRIDE=FY","FILING_STATUS=OR","EQY_CONSOLIDATED=Y","FA_ADJUSTED=GAAP","Sort=A","Dates=H","DateFormat=P","Fill=—","Direction=H","UseDPDF=Y")</f>
        <v>#NAME?</v>
      </c>
      <c r="CX243" s="2" t="e">
        <f ca="1">_xll.BDH($C$228,"ACCT_RCV_DAYS","FY 2017","FY 2017","Currency=INR","Period=FY","BEST_FPERIOD_OVERRIDE=FY","FILING_STATUS=OR","EQY_CONSOLIDATED=Y","FA_ADJUSTED=GAAP","Sort=A","Dates=H","DateFormat=P","Fill=—","Direction=H","UseDPDF=Y")</f>
        <v>#NAME?</v>
      </c>
      <c r="CY243" s="4" t="e">
        <f ca="1">_xll.BDH($C$228,"INVENT_TURN","FY 2017","FY 2017","Currency=INR","Period=FY","BEST_FPERIOD_OVERRIDE=FY","FILING_STATUS=OR","EQY_CONSOLIDATED=Y","FA_ADJUSTED=GAAP","Sort=A","Dates=H","DateFormat=P","Fill=—","Direction=H","UseDPDF=Y")</f>
        <v>#NAME?</v>
      </c>
      <c r="CZ243" s="2" t="e">
        <f ca="1">_xll.BDH($C$228,"INVENT_DAYS","FY 2017","FY 2017","Currency=INR","Period=FY","BEST_FPERIOD_OVERRIDE=FY","FILING_STATUS=OR","EQY_CONSOLIDATED=Y","FA_ADJUSTED=GAAP","Sort=A","Dates=H","DateFormat=P","Fill=—","Direction=H","UseDPDF=Y")</f>
        <v>#NAME?</v>
      </c>
      <c r="DA243" s="4" t="e">
        <f ca="1">_xll.BDH($C$228,"ACCOUNTS_PAYABLE_TURNOVER","FY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243" s="2" t="e">
        <f ca="1">_xll.BDH($C$228,"ACCOUNTS_PAYABLE_TURNOVER_DAYS","FY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243" s="4" t="e">
        <f ca="1">_xll.BDH($C$228,"CASH_CONVERSION_CYCLE","FY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243" s="4" t="e">
        <f ca="1">_xll.BDH($C$228,"INV_TO_CASH_DAYS","FY 2017","FY 2017","Currency=INR","Period=FY","BEST_FPERIOD_OVERRIDE=FY","FILING_STATUS=OR","EQY_CONSOLIDATED=Y","FA_ADJUSTED=GAAP","Sort=A","Dates=H","DateFormat=P","Fill=—","Direction=H","UseDPDF=Y")</f>
        <v>#NAME?</v>
      </c>
      <c r="DE243" s="5" t="e">
        <f ca="1">_xll.BDH($C$228,"BS_INVENTORIES","FY 2017","FY 2017","Currency=INR","Period=FY","BEST_FPERIOD_OVERRIDE=FY","FILING_STATUS=OR","EQY_CONSOLIDATED=Y","SCALING_FORMAT=MLN","Sort=A","Dates=H","DateFormat=P","Fill=—","Direction=H","UseDPDF=Y")</f>
        <v>#NAME?</v>
      </c>
      <c r="DF243" s="3" t="e">
        <f ca="1">_xll.BDH($C$228,"INVTRY_RAW_MATERIALS","FY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243" s="3" t="e">
        <f ca="1">_xll.BDH($C$228,"INVTRY_IN_PROGRESS","FY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243" s="3" t="e">
        <f ca="1">_xll.BDH($C$228,"INVTRY_FINISHED_GOODS","FY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243" s="3" t="e">
        <f ca="1">_xll.BDH($C$228,"BS_OTHER_INV","FY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244" spans="1:113" x14ac:dyDescent="0.3">
      <c r="A244" s="6"/>
      <c r="B244" s="6"/>
      <c r="C244" s="6"/>
      <c r="D244" s="6"/>
      <c r="E244" t="s">
        <v>78</v>
      </c>
      <c r="F244" t="e">
        <f ca="1">_xll.BDH($C$228,"RETURN_COM_EQY","FQ1 2017","FQ1 2017","Currency=INR","Period=FQ","BEST_FPERIOD_OVERRIDE=FQ","FILING_STATUS=OR","EQY_CONSOLIDATED=Y","FA_ADJUSTED=GAAP","Sort=A","Dates=H","DateFormat=P","Fill=—","Direction=H","UseDPDF=Y")</f>
        <v>#NAME?</v>
      </c>
      <c r="G244" t="e">
        <f ca="1">_xll.BDH($C$228,"RETURN_ON_ASSET","FQ1 2017","FQ1 2017","Currency=INR","Period=FQ","BEST_FPERIOD_OVERRIDE=FQ","FILING_STATUS=OR","EQY_CONSOLIDATED=Y","FA_ADJUSTED=GAAP","Sort=A","Dates=H","DateFormat=P","Fill=—","Direction=H","UseDPDF=Y")</f>
        <v>#NAME?</v>
      </c>
      <c r="H244" t="e">
        <f ca="1">_xll.BDH($C$228,"RETURN_ON_CAP","FQ1 2017","FQ1 2017","Currency=INR","Period=FQ","BEST_FPERIOD_OVERRIDE=FQ","FILING_STATUS=OR","EQY_CONSOLIDATED=Y","FA_ADJUSTED=GAAP","Sort=A","Dates=H","DateFormat=P","Fill=—","Direction=H","UseDPDF=Y")</f>
        <v>#NAME?</v>
      </c>
      <c r="I244" t="e">
        <f ca="1">_xll.BDH($C$228,"RETURN_ON_INV_CAPITAL","FQ1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244" t="e">
        <f ca="1">_xll.BDH($C$228,"EBITDA_TO_REVENUE","FQ1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244" t="e">
        <f ca="1">_xll.BDH($C$228,"OPER_MARGIN","FQ1 2017","FQ1 2017","Currency=INR","Period=FQ","BEST_FPERIOD_OVERRIDE=FQ","FILING_STATUS=OR","EQY_CONSOLIDATED=Y","FA_ADJUSTED=GAAP","Sort=A","Dates=H","DateFormat=P","Fill=—","Direction=H","UseDPDF=Y")</f>
        <v>#NAME?</v>
      </c>
      <c r="L244" t="e">
        <f ca="1">_xll.BDH($C$228,"INCREMENTAL_OPERATING_MARGIN","FQ1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244" t="e">
        <f ca="1">_xll.BDH($C$228,"PRETAX_INC_TO_NET_SALES","FQ1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244" t="e">
        <f ca="1">_xll.BDH($C$228,"INC_BEF_XO_ITEMS_TO_NET_SALES","FQ1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244" t="e">
        <f ca="1">_xll.BDH($C$228,"PROF_MARGIN","FQ1 2017","FQ1 2017","Currency=INR","Period=FQ","BEST_FPERIOD_OVERRIDE=FQ","FILING_STATUS=OR","EQY_CONSOLIDATED=Y","FA_ADJUSTED=GAAP","Sort=A","Dates=H","DateFormat=P","Fill=—","Direction=H","UseDPDF=Y")</f>
        <v>#NAME?</v>
      </c>
      <c r="P244" t="e">
        <f ca="1">_xll.BDH($C$228,"NET_INCOME_TO_COMMON_MARGIN","FQ1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244" t="e">
        <f ca="1">_xll.BDH($C$228,"EFF_TAX_RATE","FQ1 2017","FQ1 2017","Currency=INR","Period=FQ","BEST_FPERIOD_OVERRIDE=FQ","FILING_STATUS=OR","EQY_CONSOLIDATED=Y","FA_ADJUSTED=GAAP","Sort=A","Dates=H","DateFormat=P","Fill=—","Direction=H","UseDPDF=Y")</f>
        <v>#NAME?</v>
      </c>
      <c r="R244" t="e">
        <f ca="1">_xll.BDH($C$228,"DVD_PAYOUT_RATIO","FQ1 2017","FQ1 2017","Currency=INR","Period=FQ","BEST_FPERIOD_OVERRIDE=FQ","FILING_STATUS=OR","EQY_CONSOLIDATED=Y","FA_ADJUSTED=GAAP","Sort=A","Dates=H","DateFormat=P","Fill=—","Direction=H","UseDPDF=Y")</f>
        <v>#NAME?</v>
      </c>
      <c r="S244" t="e">
        <f ca="1">_xll.BDH($C$228,"SUSTAIN_GROWTH_RT","FQ1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244" s="2" t="e">
        <f ca="1">_xll.BDH($C$228,"SALES_GROWTH","FQ1 2017","FQ1 2017","Currency=INR","Period=FQ","BEST_FPERIOD_OVERRIDE=FQ","FILING_STATUS=OR","EQY_CONSOLIDATED=Y","FA_ADJUSTED=GAAP","Sort=A","Dates=H","DateFormat=P","Fill=—","Direction=H","UseDPDF=Y")</f>
        <v>#NAME?</v>
      </c>
      <c r="U244" s="2" t="e">
        <f ca="1">_xll.BDH($C$228,"EBITDA_GROWTH","FQ1 2017","FQ1 2017","Currency=INR","Period=FQ","BEST_FPERIOD_OVERRIDE=FQ","FILING_STATUS=OR","EQY_CONSOLIDATED=Y","FA_ADJUSTED=GAAP","Sort=A","Dates=H","DateFormat=P","Fill=—","Direction=H","UseDPDF=Y")</f>
        <v>#NAME?</v>
      </c>
      <c r="V244" s="2" t="e">
        <f ca="1">_xll.BDH($C$228,"OPER_INC_GROWTH","FQ1 2017","FQ1 2017","Currency=INR","Period=FQ","BEST_FPERIOD_OVERRIDE=FQ","FILING_STATUS=OR","EQY_CONSOLIDATED=Y","FA_ADJUSTED=GAAP","Sort=A","Dates=H","DateFormat=P","Fill=—","Direction=H","UseDPDF=Y")</f>
        <v>#NAME?</v>
      </c>
      <c r="W244" s="2" t="e">
        <f ca="1">_xll.BDH($C$228,"EARN_FOR_COM_GROWTH","FQ1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244" s="2" t="e">
        <f ca="1">_xll.BDH($C$228,"DILUTED_EPS_AFT_XO_ITEMS_GROWTH","FQ1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244" s="2" t="e">
        <f ca="1">_xll.BDH($C$228,"DIVIDEND_PER_SHARE_1_YEAR_GROWTH","FQ1 2017","FQ1 2017","Currency=INR","Period=FQ","BEST_FPERIOD_OVERRIDE=FQ","FILING_STATUS=OR","EQY_CONSOLIDATED=Y","Sort=A","Dates=H","DateFormat=P","Fill=—","Direction=H","UseDPDF=Y")</f>
        <v>#NAME?</v>
      </c>
      <c r="Z244" s="2" t="e">
        <f ca="1">_xll.BDH($C$228,"ACCOUNTS_RECEIVABLE_GROWTH","FQ1 2017","FQ1 2017","Currency=INR","Period=FQ","BEST_FPERIOD_OVERRIDE=FQ","FILING_STATUS=OR","EQY_CONSOLIDATED=Y","Sort=A","Dates=H","DateFormat=P","Fill=—","Direction=H","UseDPDF=Y")</f>
        <v>#NAME?</v>
      </c>
      <c r="AA244" s="2" t="e">
        <f ca="1">_xll.BDH($C$228,"INVENTORY_GROWTH","FQ1 2017","FQ1 2017","Currency=INR","Period=FQ","BEST_FPERIOD_OVERRIDE=FQ","FILING_STATUS=OR","EQY_CONSOLIDATED=Y","Sort=A","Dates=H","DateFormat=P","Fill=—","Direction=H","UseDPDF=Y")</f>
        <v>#NAME?</v>
      </c>
      <c r="AB244" s="2" t="e">
        <f ca="1">_xll.BDH($C$228,"NET_FIXED_ASSETS_1_YEAR_GROWTH","FQ1 2017","FQ1 2017","Currency=INR","Period=FQ","BEST_FPERIOD_OVERRIDE=FQ","FILING_STATUS=OR","EQY_CONSOLIDATED=Y","Sort=A","Dates=H","DateFormat=P","Fill=—","Direction=H","UseDPDF=Y")</f>
        <v>#NAME?</v>
      </c>
      <c r="AC244" s="2" t="e">
        <f ca="1">_xll.BDH($C$228,"ASSET_GROWTH","FQ1 2017","FQ1 2017","Currency=INR","Period=FQ","BEST_FPERIOD_OVERRIDE=FQ","FILING_STATUS=OR","EQY_CONSOLIDATED=Y","Sort=A","Dates=H","DateFormat=P","Fill=—","Direction=H","UseDPDF=Y")</f>
        <v>#NAME?</v>
      </c>
      <c r="AD244" s="2" t="e">
        <f ca="1">_xll.BDH($C$228,"MODIFIED_WORK_CAP_GROWTH","FQ1 2017","FQ1 2017","Currency=INR","Period=FQ","BEST_FPERIOD_OVERRIDE=FQ","FILING_STATUS=OR","EQY_CONSOLIDATED=Y","Sort=A","Dates=H","DateFormat=P","Fill=—","Direction=H","UseDPDF=Y")</f>
        <v>#NAME?</v>
      </c>
      <c r="AE244" s="2" t="e">
        <f ca="1">_xll.BDH($C$228,"WORK_CAP_GROWTH","FQ1 2017","FQ1 2017","Currency=INR","Period=FQ","BEST_FPERIOD_OVERRIDE=FQ","FILING_STATUS=OR","EQY_CONSOLIDATED=Y","Sort=A","Dates=H","DateFormat=P","Fill=—","Direction=H","UseDPDF=Y")</f>
        <v>#NAME?</v>
      </c>
      <c r="AF244" s="2" t="e">
        <f ca="1">_xll.BDH($C$228,"ACCOUNTS_PAYABLE_GROWTH_1YR","FQ1 2017","FQ1 2017","Currency=INR","Period=FQ","BEST_FPERIOD_OVERRIDE=FQ","FILING_STATUS=OR","EQY_CONSOLIDATED=Y","Sort=A","Dates=H","DateFormat=P","Fill=—","Direction=H","UseDPDF=Y")</f>
        <v>#NAME?</v>
      </c>
      <c r="AG244" s="2" t="e">
        <f ca="1">_xll.BDH($C$228,"SHORT_TERM_DEBT_1_YEAR_GROWTH","FQ1 2017","FQ1 2017","Currency=INR","Period=FQ","BEST_FPERIOD_OVERRIDE=FQ","FILING_STATUS=OR","EQY_CONSOLIDATED=Y","Sort=A","Dates=H","DateFormat=P","Fill=—","Direction=H","UseDPDF=Y")</f>
        <v>#NAME?</v>
      </c>
      <c r="AH244" s="2" t="e">
        <f ca="1">_xll.BDH($C$228,"TOTAL_DEBT_1_YEAR_GROWTH","FQ1 2017","FQ1 2017","Currency=INR","Period=FQ","BEST_FPERIOD_OVERRIDE=FQ","FILING_STATUS=OR","EQY_CONSOLIDATED=Y","Sort=A","Dates=H","DateFormat=P","Fill=—","Direction=H","UseDPDF=Y")</f>
        <v>#NAME?</v>
      </c>
      <c r="AI244" s="2" t="e">
        <f ca="1">_xll.BDH($C$228,"TOTAL_EQUITY_1_YEAR_GROWTH","FQ1 2017","FQ1 2017","Currency=INR","Period=FQ","BEST_FPERIOD_OVERRIDE=FQ","FILING_STATUS=OR","EQY_CONSOLIDATED=Y","Sort=A","Dates=H","DateFormat=P","Fill=—","Direction=H","UseDPDF=Y")</f>
        <v>#NAME?</v>
      </c>
      <c r="AJ244" s="2" t="e">
        <f ca="1">_xll.BDH($C$228,"GROWTH_IN_CAP","FQ1 2017","FQ1 2017","Currency=INR","Period=FQ","BEST_FPERIOD_OVERRIDE=FQ","FILING_STATUS=OR","EQY_CONSOLIDATED=Y","Sort=A","Dates=H","DateFormat=P","Fill=—","Direction=H","UseDPDF=Y")</f>
        <v>#NAME?</v>
      </c>
      <c r="AK244" s="2" t="e">
        <f ca="1">_xll.BDH($C$228,"BVPS_GROWTH","FQ1 2017","FQ1 2017","Currency=INR","Period=FQ","BEST_FPERIOD_OVERRIDE=FQ","FILING_STATUS=OR","EQY_CONSOLIDATED=Y","Sort=A","Dates=H","DateFormat=P","Fill=—","Direction=H","UseDPDF=Y")</f>
        <v>#NAME?</v>
      </c>
      <c r="AL244" s="2" t="e">
        <f ca="1">_xll.BDH($C$228,"CASH_FLOW_GROWTH","FQ1 2017","FQ1 2017","Currency=INR","Period=FQ","BEST_FPERIOD_OVERRIDE=FQ","FILING_STATUS=OR","EQY_CONSOLIDATED=Y","Sort=A","Dates=H","DateFormat=P","Fill=—","Direction=H","UseDPDF=Y")</f>
        <v>#NAME?</v>
      </c>
      <c r="AM244" s="2" t="e">
        <f ca="1">_xll.BDH($C$228,"GEO_GROW_NET_SALES","FQ1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244" s="2" t="e">
        <f ca="1">_xll.BDH($C$228,"GEO_GROW_EBITDA","FQ1 2017","FQ1 2017","Currency=INR","Period=FQ","BEST_FPERIOD_OVERRIDE=FQ","FILING_STATUS=OR","EQY_CONSOLIDATED=Y","FA_ADJUSTED=GAAP","Sort=A","Dates=H","DateFormat=P","Fill=—","Direction=H","UseDPDF=Y")</f>
        <v>#NAME?</v>
      </c>
      <c r="AO244" s="2" t="e">
        <f ca="1">_xll.BDH($C$228,"GEO_GROW_OPER_INC","FQ1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244" s="2" t="e">
        <f ca="1">_xll.BDH($C$228,"NET_INCOME_TO_COMMON_5_YR_GROWTH","FQ1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244" s="2" t="e">
        <f ca="1">_xll.BDH($C$228,"5Y_GEO_GROWTH_DILUTED_EPS","FQ1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244" s="2" t="e">
        <f ca="1">_xll.BDH($C$228,"GEO_GROW_DVD_PER_SH","FQ1 2017","FQ1 2017","Currency=INR","Period=FQ","BEST_FPERIOD_OVERRIDE=FQ","FILING_STATUS=OR","EQY_CONSOLIDATED=Y","Sort=A","Dates=H","DateFormat=P","Fill=—","Direction=H","UseDPDF=Y")</f>
        <v>#NAME?</v>
      </c>
      <c r="AS244" s="2" t="e">
        <f ca="1">_xll.BDH($C$228,"ACCOUNTS_RECEIVABLE_5_YR_GROWTH","FQ1 2017","FQ1 2017","Currency=INR","Period=FQ","BEST_FPERIOD_OVERRIDE=FQ","FILING_STATUS=OR","EQY_CONSOLIDATED=Y","Sort=A","Dates=H","DateFormat=P","Fill=—","Direction=H","UseDPDF=Y")</f>
        <v>#NAME?</v>
      </c>
      <c r="AT244" s="2" t="e">
        <f ca="1">_xll.BDH($C$228,"INVENTORY_5_YEAR_GROWTH","FQ1 2017","FQ1 2017","Currency=INR","Period=FQ","BEST_FPERIOD_OVERRIDE=FQ","FILING_STATUS=OR","EQY_CONSOLIDATED=Y","Sort=A","Dates=H","DateFormat=P","Fill=—","Direction=H","UseDPDF=Y")</f>
        <v>#NAME?</v>
      </c>
      <c r="AU244" s="2" t="e">
        <f ca="1">_xll.BDH($C$228,"NET_FIXED_ASSETS_5_YEAR_GROWTH","FQ1 2017","FQ1 2017","Currency=INR","Period=FQ","BEST_FPERIOD_OVERRIDE=FQ","FILING_STATUS=OR","EQY_CONSOLIDATED=Y","Sort=A","Dates=H","DateFormat=P","Fill=—","Direction=H","UseDPDF=Y")</f>
        <v>#NAME?</v>
      </c>
      <c r="AV244" s="2" t="e">
        <f ca="1">_xll.BDH($C$228,"GEO_GROW_TOT_ASSET","FQ1 2017","FQ1 2017","Currency=INR","Period=FQ","BEST_FPERIOD_OVERRIDE=FQ","FILING_STATUS=OR","EQY_CONSOLIDATED=Y","Sort=A","Dates=H","DateFormat=P","Fill=—","Direction=H","UseDPDF=Y")</f>
        <v>#NAME?</v>
      </c>
      <c r="AW244" s="2" t="e">
        <f ca="1">_xll.BDH($C$228,"MODIFIED_WORKING_CPTL_5YR_GRWTH","FQ1 2017","FQ1 2017","Currency=INR","Period=FQ","BEST_FPERIOD_OVERRIDE=FQ","FILING_STATUS=OR","EQY_CONSOLIDATED=Y","Sort=A","Dates=H","DateFormat=P","Fill=—","Direction=H","UseDPDF=Y")</f>
        <v>#NAME?</v>
      </c>
      <c r="AX244" s="2" t="e">
        <f ca="1">_xll.BDH($C$228,"WORKING_CAPITAL_5_YEAR_GROWTH","FQ1 2017","FQ1 2017","Currency=INR","Period=FQ","BEST_FPERIOD_OVERRIDE=FQ","FILING_STATUS=OR","EQY_CONSOLIDATED=Y","Sort=A","Dates=H","DateFormat=P","Fill=—","Direction=H","UseDPDF=Y")</f>
        <v>#NAME?</v>
      </c>
      <c r="AY244" s="2" t="e">
        <f ca="1">_xll.BDH($C$228,"ACCOUNTS_PAYABLE_5_YEAR_GROWTH","FQ1 2017","FQ1 2017","Currency=INR","Period=FQ","BEST_FPERIOD_OVERRIDE=FQ","FILING_STATUS=OR","EQY_CONSOLIDATED=Y","Sort=A","Dates=H","DateFormat=P","Fill=—","Direction=H","UseDPDF=Y")</f>
        <v>#NAME?</v>
      </c>
      <c r="AZ244" s="2" t="e">
        <f ca="1">_xll.BDH($C$228,"SHORT_TERM_DEBT_5_YEAR_GROWTH","FQ1 2017","FQ1 2017","Currency=INR","Period=FQ","BEST_FPERIOD_OVERRIDE=FQ","FILING_STATUS=OR","EQY_CONSOLIDATED=Y","Sort=A","Dates=H","DateFormat=P","Fill=—","Direction=H","UseDPDF=Y")</f>
        <v>#NAME?</v>
      </c>
      <c r="BA244" s="2" t="e">
        <f ca="1">_xll.BDH($C$228,"TOTAL_DEBT_5_YEAR_GROWTH","FQ1 2017","FQ1 2017","Currency=INR","Period=FQ","BEST_FPERIOD_OVERRIDE=FQ","FILING_STATUS=OR","EQY_CONSOLIDATED=Y","Sort=A","Dates=H","DateFormat=P","Fill=—","Direction=H","UseDPDF=Y")</f>
        <v>#NAME?</v>
      </c>
      <c r="BB244" s="2" t="e">
        <f ca="1">_xll.BDH($C$228,"GEO_GROW_TOT_SHRHLDR_EQY","FQ1 2017","FQ1 2017","Currency=INR","Period=FQ","BEST_FPERIOD_OVERRIDE=FQ","FILING_STATUS=OR","EQY_CONSOLIDATED=Y","Sort=A","Dates=H","DateFormat=P","Fill=—","Direction=H","UseDPDF=Y")</f>
        <v>#NAME?</v>
      </c>
      <c r="BC244" s="2" t="e">
        <f ca="1">_xll.BDH($C$228,"TOTAL_CAPITAL_5_YEAR_GROWTH","FQ1 2017","FQ1 2017","Currency=INR","Period=FQ","BEST_FPERIOD_OVERRIDE=FQ","FILING_STATUS=OR","EQY_CONSOLIDATED=Y","Sort=A","Dates=H","DateFormat=P","Fill=—","Direction=H","UseDPDF=Y")</f>
        <v>#NAME?</v>
      </c>
      <c r="BD244" s="2" t="e">
        <f ca="1">_xll.BDH($C$228,"GEO_GROW_BOOK_VAL","FQ1 2017","FQ1 2017","Currency=INR","Period=FQ","BEST_FPERIOD_OVERRIDE=FQ","FILING_STATUS=OR","EQY_CONSOLIDATED=Y","Sort=A","Dates=H","DateFormat=P","Fill=—","Direction=H","UseDPDF=Y")</f>
        <v>#NAME?</v>
      </c>
      <c r="BE244" s="2" t="e">
        <f ca="1">_xll.BDH($C$228,"GEO_GROW_CASH_OPER_ACT","FQ1 2017","FQ1 2017","Currency=INR","Period=FQ","BEST_FPERIOD_OVERRIDE=FQ","FILING_STATUS=OR","EQY_CONSOLIDATED=Y","Sort=A","Dates=H","DateFormat=P","Fill=—","Direction=H","UseDPDF=Y")</f>
        <v>#NAME?</v>
      </c>
      <c r="BF244" s="2" t="e">
        <f ca="1">_xll.BDH($C$228,"REVENUE_SEQUENTIAL_GROWTH","FQ1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244" s="2" t="e">
        <f ca="1">_xll.BDH($C$228,"EBITDA_SEQUENTIAL_GROWTH","FQ1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244" s="2" t="e">
        <f ca="1">_xll.BDH($C$228,"OPERATING_INCOME_SEQ_GROWTH","FQ1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244" s="2" t="e">
        <f ca="1">_xll.BDH($C$228,"NET_INCOME_TO_COMMON_SEQ_GROWTH","FQ1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244" s="2" t="e">
        <f ca="1">_xll.BDH($C$228,"EPS_DILUTED_SEQUENTIAL_GROWTH","FQ1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244" s="2" t="e">
        <f ca="1">_xll.BDH($C$228,"DPS_SEQUENTIAL_GROWTH","FQ1 2017","FQ1 2017","Currency=INR","Period=FQ","BEST_FPERIOD_OVERRIDE=FQ","FILING_STATUS=OR","EQY_CONSOLIDATED=Y","Sort=A","Dates=H","DateFormat=P","Fill=—","Direction=H","UseDPDF=Y")</f>
        <v>#NAME?</v>
      </c>
      <c r="BL244" s="2" t="e">
        <f ca="1">_xll.BDH($C$228,"ACCOUNTS_RECEIVABLE_SEQ_GROWTH","FQ1 2017","FQ1 2017","Currency=INR","Period=FQ","BEST_FPERIOD_OVERRIDE=FQ","FILING_STATUS=OR","EQY_CONSOLIDATED=Y","Sort=A","Dates=H","DateFormat=P","Fill=—","Direction=H","UseDPDF=Y")</f>
        <v>#NAME?</v>
      </c>
      <c r="BM244" s="2" t="e">
        <f ca="1">_xll.BDH($C$228,"INVENTORY_SEQUENTIAL_GROWTH","FQ1 2017","FQ1 2017","Currency=INR","Period=FQ","BEST_FPERIOD_OVERRIDE=FQ","FILING_STATUS=OR","EQY_CONSOLIDATED=Y","Sort=A","Dates=H","DateFormat=P","Fill=—","Direction=H","UseDPDF=Y")</f>
        <v>#NAME?</v>
      </c>
      <c r="BN244" s="2" t="e">
        <f ca="1">_xll.BDH($C$228,"FIXED_ASSETS_SEQUENTIAL_GROWTH","FQ1 2017","FQ1 2017","Currency=INR","Period=FQ","BEST_FPERIOD_OVERRIDE=FQ","FILING_STATUS=OR","EQY_CONSOLIDATED=Y","Sort=A","Dates=H","DateFormat=P","Fill=—","Direction=H","UseDPDF=Y")</f>
        <v>#NAME?</v>
      </c>
      <c r="BO244" s="2" t="e">
        <f ca="1">_xll.BDH($C$228,"TOTAL_ASSETS_SEQUENTIAL_GROWTH","FQ1 2017","FQ1 2017","Currency=INR","Period=FQ","BEST_FPERIOD_OVERRIDE=FQ","FILING_STATUS=OR","EQY_CONSOLIDATED=Y","Sort=A","Dates=H","DateFormat=P","Fill=—","Direction=H","UseDPDF=Y")</f>
        <v>#NAME?</v>
      </c>
      <c r="BP244" s="2" t="e">
        <f ca="1">_xll.BDH($C$228,"MODIFIED_WORKING_CPTL_SEQ_GRWTH","FQ1 2017","FQ1 2017","Currency=INR","Period=FQ","BEST_FPERIOD_OVERRIDE=FQ","FILING_STATUS=OR","EQY_CONSOLIDATED=Y","Sort=A","Dates=H","DateFormat=P","Fill=—","Direction=H","UseDPDF=Y")</f>
        <v>#NAME?</v>
      </c>
      <c r="BQ244" s="2" t="e">
        <f ca="1">_xll.BDH($C$228,"WORKING_CAPITAL_SEQ_GROWTH","FQ1 2017","FQ1 2017","Currency=INR","Period=FQ","BEST_FPERIOD_OVERRIDE=FQ","FILING_STATUS=OR","EQY_CONSOLIDATED=Y","Sort=A","Dates=H","DateFormat=P","Fill=—","Direction=H","UseDPDF=Y")</f>
        <v>#NAME?</v>
      </c>
      <c r="BR244" s="2" t="e">
        <f ca="1">_xll.BDH($C$228,"ACCOUNTS_PAYABLE_SEQ_GROWTH","FQ1 2017","FQ1 2017","Currency=INR","Period=FQ","BEST_FPERIOD_OVERRIDE=FQ","FILING_STATUS=OR","EQY_CONSOLIDATED=Y","Sort=A","Dates=H","DateFormat=P","Fill=—","Direction=H","UseDPDF=Y")</f>
        <v>#NAME?</v>
      </c>
      <c r="BS244" s="2" t="e">
        <f ca="1">_xll.BDH($C$228,"ST_DEBT_SEQUENTIAL_GROWTH","FQ1 2017","FQ1 2017","Currency=INR","Period=FQ","BEST_FPERIOD_OVERRIDE=FQ","FILING_STATUS=OR","EQY_CONSOLIDATED=Y","Sort=A","Dates=H","DateFormat=P","Fill=—","Direction=H","UseDPDF=Y")</f>
        <v>#NAME?</v>
      </c>
      <c r="BT244" s="2" t="e">
        <f ca="1">_xll.BDH($C$228,"TOTAL_DEBT_SEQUENTIAL_GROWTH","FQ1 2017","FQ1 2017","Currency=INR","Period=FQ","BEST_FPERIOD_OVERRIDE=FQ","FILING_STATUS=OR","EQY_CONSOLIDATED=Y","Sort=A","Dates=H","DateFormat=P","Fill=—","Direction=H","UseDPDF=Y")</f>
        <v>#NAME?</v>
      </c>
      <c r="BU244" s="2" t="e">
        <f ca="1">_xll.BDH($C$228,"TOTAL_EQUITY_SEQUENTIAL_GROWTH","FQ1 2017","FQ1 2017","Currency=INR","Period=FQ","BEST_FPERIOD_OVERRIDE=FQ","FILING_STATUS=OR","EQY_CONSOLIDATED=Y","Sort=A","Dates=H","DateFormat=P","Fill=—","Direction=H","UseDPDF=Y")</f>
        <v>#NAME?</v>
      </c>
      <c r="BV244" s="2" t="e">
        <f ca="1">_xll.BDH($C$228,"TOTAL_CAPITAL_SEQUENTIAL_GROWTH","FQ1 2017","FQ1 2017","Currency=INR","Period=FQ","BEST_FPERIOD_OVERRIDE=FQ","FILING_STATUS=OR","EQY_CONSOLIDATED=Y","Sort=A","Dates=H","DateFormat=P","Fill=—","Direction=H","UseDPDF=Y")</f>
        <v>#NAME?</v>
      </c>
      <c r="BW244" s="2" t="e">
        <f ca="1">_xll.BDH($C$228,"BPS_SEQUENTIAL_GROWTH","FQ1 2017","FQ1 2017","Currency=INR","Period=FQ","BEST_FPERIOD_OVERRIDE=FQ","FILING_STATUS=OR","EQY_CONSOLIDATED=Y","Sort=A","Dates=H","DateFormat=P","Fill=—","Direction=H","UseDPDF=Y")</f>
        <v>#NAME?</v>
      </c>
      <c r="BX244" s="2" t="e">
        <f ca="1">_xll.BDH($C$228,"CFO_SEQUENTIAL_GROWTH","FQ1 2017","FQ1 2017","Currency=INR","Period=FQ","BEST_FPERIOD_OVERRIDE=FQ","FILING_STATUS=OR","EQY_CONSOLIDATED=Y","Sort=A","Dates=H","DateFormat=P","Fill=—","Direction=H","UseDPDF=Y")</f>
        <v>#NAME?</v>
      </c>
      <c r="BY244" s="3" t="e">
        <f ca="1">_xll.BDH($C$228,"SHORT_AND_LONG_TERM_DEBT","FQ1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244" s="3" t="e">
        <f ca="1">_xll.BDH($C$228,"BS_ST_BORROW","FQ1 2017","FQ1 2017","Currency=INR","Period=FQ","BEST_FPERIOD_OVERRIDE=FQ","FILING_STATUS=OR","EQY_CONSOLIDATED=Y","SCALING_FORMAT=MLN","Sort=A","Dates=H","DateFormat=P","Fill=—","Direction=H","UseDPDF=Y")</f>
        <v>#NAME?</v>
      </c>
      <c r="CA244" s="3" t="e">
        <f ca="1">_xll.BDH($C$228,"BS_LT_BORROW","FQ1 2017","FQ1 2017","Currency=INR","Period=FQ","BEST_FPERIOD_OVERRIDE=FQ","FILING_STATUS=OR","EQY_CONSOLIDATED=Y","SCALING_FORMAT=MLN","Sort=A","Dates=H","DateFormat=P","Fill=—","Direction=H","UseDPDF=Y")</f>
        <v>#NAME?</v>
      </c>
      <c r="CB244" s="2" t="e">
        <f ca="1">_xll.BDH($C$228,"TOT_DEBT_TO_EBITDA","FQ1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244" s="2" t="e">
        <f ca="1">_xll.BDH($C$228,"NET_DEBT_TO_EBITDA","FQ1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244" s="2" t="e">
        <f ca="1">_xll.BDH($C$228,"TOTAL_DEBT_TO_EBIT","FQ1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244" s="2" t="e">
        <f ca="1">_xll.BDH($C$228,"NET_DEBT_TO_EBIT","FQ1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244" s="2" t="e">
        <f ca="1">_xll.BDH($C$228,"EBITDA_TO_INTEREST_EXPN","FQ1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244" s="2" t="e">
        <f ca="1">_xll.BDH($C$228,"COM_EQY_TO_TOT_ASSET","FQ1 2017","FQ1 2017","Currency=INR","Period=FQ","BEST_FPERIOD_OVERRIDE=FQ","FILING_STATUS=OR","EQY_CONSOLIDATED=Y","Sort=A","Dates=H","DateFormat=P","Fill=—","Direction=H","UseDPDF=Y")</f>
        <v>#NAME?</v>
      </c>
      <c r="CH244" s="2" t="e">
        <f ca="1">_xll.BDH($C$228,"LT_DEBT_TO_TOT_EQY","FQ1 2017","FQ1 2017","Currency=INR","Period=FQ","BEST_FPERIOD_OVERRIDE=FQ","FILING_STATUS=OR","EQY_CONSOLIDATED=Y","Sort=A","Dates=H","DateFormat=P","Fill=—","Direction=H","UseDPDF=Y")</f>
        <v>#NAME?</v>
      </c>
      <c r="CI244" s="2" t="e">
        <f ca="1">_xll.BDH($C$228,"LT_DEBT_TO_TOT_CAP","FQ1 2017","FQ1 2017","Currency=INR","Period=FQ","BEST_FPERIOD_OVERRIDE=FQ","FILING_STATUS=OR","EQY_CONSOLIDATED=Y","Sort=A","Dates=H","DateFormat=P","Fill=—","Direction=H","UseDPDF=Y")</f>
        <v>#NAME?</v>
      </c>
      <c r="CJ244" s="2" t="e">
        <f ca="1">_xll.BDH($C$228,"LT_DEBT_TO_TOT_ASSET","FQ1 2017","FQ1 2017","Currency=INR","Period=FQ","BEST_FPERIOD_OVERRIDE=FQ","FILING_STATUS=OR","EQY_CONSOLIDATED=Y","Sort=A","Dates=H","DateFormat=P","Fill=—","Direction=H","UseDPDF=Y")</f>
        <v>#NAME?</v>
      </c>
      <c r="CK244" s="2" t="e">
        <f ca="1">_xll.BDH($C$228,"TOT_DEBT_TO_TOT_EQY","FQ1 2017","FQ1 2017","Currency=INR","Period=FQ","BEST_FPERIOD_OVERRIDE=FQ","FILING_STATUS=OR","EQY_CONSOLIDATED=Y","Sort=A","Dates=H","DateFormat=P","Fill=—","Direction=H","UseDPDF=Y")</f>
        <v>#NAME?</v>
      </c>
      <c r="CL244" s="2" t="e">
        <f ca="1">_xll.BDH($C$228,"TOT_DEBT_TO_TOT_CAP","FQ1 2017","FQ1 2017","Currency=INR","Period=FQ","BEST_FPERIOD_OVERRIDE=FQ","FILING_STATUS=OR","EQY_CONSOLIDATED=Y","Sort=A","Dates=H","DateFormat=P","Fill=—","Direction=H","UseDPDF=Y")</f>
        <v>#NAME?</v>
      </c>
      <c r="CM244" s="2" t="e">
        <f ca="1">_xll.BDH($C$228,"TOT_DEBT_TO_TOT_ASSET","FQ1 2017","FQ1 2017","Currency=INR","Period=FQ","BEST_FPERIOD_OVERRIDE=FQ","FILING_STATUS=OR","EQY_CONSOLIDATED=Y","Sort=A","Dates=H","DateFormat=P","Fill=—","Direction=H","UseDPDF=Y")</f>
        <v>#NAME?</v>
      </c>
      <c r="CN244" s="2" t="e">
        <f ca="1">_xll.BDH($C$228,"NET_DEBT_TO_SHRHLDR_EQTY","FQ1 2017","FQ1 2017","Currency=INR","Period=FQ","BEST_FPERIOD_OVERRIDE=FQ","FILING_STATUS=OR","EQY_CONSOLIDATED=Y","Sort=A","Dates=H","DateFormat=P","Fill=—","Direction=H","UseDPDF=Y")</f>
        <v>#NAME?</v>
      </c>
      <c r="CO244" s="2" t="e">
        <f ca="1">_xll.BDH($C$228,"NET_DEBT_%_CAPITAL","FQ1 2017","FQ1 2017","Currency=INR","Period=FQ","BEST_FPERIOD_OVERRIDE=FQ","FILING_STATUS=OR","EQY_CONSOLIDATED=Y","Sort=A","Dates=H","DateFormat=P","Fill=—","Direction=H","UseDPDF=Y")</f>
        <v>#NAME?</v>
      </c>
      <c r="CP244" s="3" t="e">
        <f ca="1">_xll.BDH($C$228,"EBITDA","FQ1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244" s="3" t="e">
        <f ca="1">_xll.BDH($C$228,"EBITDA_AFTER_CAPEX","FQ1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244" s="3" t="e">
        <f ca="1">_xll.BDH($C$228,"IS_OPER_INC","FQ1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244" s="2" t="e">
        <f ca="1">_xll.BDH($C$228,"CASH_RATIO","FQ1 2017","FQ1 2017","Currency=INR","Period=FQ","BEST_FPERIOD_OVERRIDE=FQ","FILING_STATUS=OR","EQY_CONSOLIDATED=Y","Sort=A","Dates=H","DateFormat=P","Fill=—","Direction=H","UseDPDF=Y")</f>
        <v>#NAME?</v>
      </c>
      <c r="CT244" s="2" t="e">
        <f ca="1">_xll.BDH($C$228,"CUR_RATIO","FQ1 2017","FQ1 2017","Currency=INR","Period=FQ","BEST_FPERIOD_OVERRIDE=FQ","FILING_STATUS=OR","EQY_CONSOLIDATED=Y","Sort=A","Dates=H","DateFormat=P","Fill=—","Direction=H","UseDPDF=Y")</f>
        <v>#NAME?</v>
      </c>
      <c r="CU244" s="2" t="e">
        <f ca="1">_xll.BDH($C$228,"QUICK_RATIO","FQ1 2017","FQ1 2017","Currency=INR","Period=FQ","BEST_FPERIOD_OVERRIDE=FQ","FILING_STATUS=OR","EQY_CONSOLIDATED=Y","Sort=A","Dates=H","DateFormat=P","Fill=—","Direction=H","UseDPDF=Y")</f>
        <v>#NAME?</v>
      </c>
      <c r="CV244" s="2" t="e">
        <f ca="1">_xll.BDH($C$228,"ALTMAN_Z_SCORE","FQ1 2017","FQ1 2017","Currency=INR","Period=FQ","BEST_FPERIOD_OVERRIDE=FQ","FILING_STATUS=OR","EQY_CONSOLIDATED=Y","Sort=A","Dates=H","DateFormat=P","Fill=—","Direction=H","UseDPDF=Y")</f>
        <v>#NAME?</v>
      </c>
      <c r="CW244" s="4" t="e">
        <f ca="1">_xll.BDH($C$228,"ACCT_RCV_TURN","FQ1 2017","FQ1 2017","Currency=INR","Period=FQ","BEST_FPERIOD_OVERRIDE=FQ","FILING_STATUS=OR","EQY_CONSOLIDATED=Y","FA_ADJUSTED=GAAP","Sort=A","Dates=H","DateFormat=P","Fill=—","Direction=H","UseDPDF=Y")</f>
        <v>#NAME?</v>
      </c>
      <c r="CX244" s="2" t="e">
        <f ca="1">_xll.BDH($C$228,"ACCT_RCV_DAYS","FQ1 2017","FQ1 2017","Currency=INR","Period=FQ","BEST_FPERIOD_OVERRIDE=FQ","FILING_STATUS=OR","EQY_CONSOLIDATED=Y","FA_ADJUSTED=GAAP","Sort=A","Dates=H","DateFormat=P","Fill=—","Direction=H","UseDPDF=Y")</f>
        <v>#NAME?</v>
      </c>
      <c r="CY244" s="4" t="e">
        <f ca="1">_xll.BDH($C$228,"INVENT_TURN","FQ1 2017","FQ1 2017","Currency=INR","Period=FQ","BEST_FPERIOD_OVERRIDE=FQ","FILING_STATUS=OR","EQY_CONSOLIDATED=Y","FA_ADJUSTED=GAAP","Sort=A","Dates=H","DateFormat=P","Fill=—","Direction=H","UseDPDF=Y")</f>
        <v>#NAME?</v>
      </c>
      <c r="CZ244" s="2" t="e">
        <f ca="1">_xll.BDH($C$228,"INVENT_DAYS","FQ1 2017","FQ1 2017","Currency=INR","Period=FQ","BEST_FPERIOD_OVERRIDE=FQ","FILING_STATUS=OR","EQY_CONSOLIDATED=Y","FA_ADJUSTED=GAAP","Sort=A","Dates=H","DateFormat=P","Fill=—","Direction=H","UseDPDF=Y")</f>
        <v>#NAME?</v>
      </c>
      <c r="DA244" s="4" t="e">
        <f ca="1">_xll.BDH($C$228,"ACCOUNTS_PAYABLE_TURNOVER","FQ1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244" s="2" t="e">
        <f ca="1">_xll.BDH($C$228,"ACCOUNTS_PAYABLE_TURNOVER_DAYS","FQ1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244" s="4" t="e">
        <f ca="1">_xll.BDH($C$228,"CASH_CONVERSION_CYCLE","FQ1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244" s="4" t="e">
        <f ca="1">_xll.BDH($C$228,"INV_TO_CASH_DAYS","FQ1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244" s="5" t="e">
        <f ca="1">_xll.BDH($C$228,"BS_INVENTORIES","FQ1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244" s="3" t="e">
        <f ca="1">_xll.BDH($C$228,"INVTRY_RAW_MATERIALS","FQ1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244" s="3" t="e">
        <f ca="1">_xll.BDH($C$228,"INVTRY_IN_PROGRESS","FQ1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244" s="3" t="e">
        <f ca="1">_xll.BDH($C$228,"INVTRY_FINISHED_GOODS","FQ1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244" s="3" t="e">
        <f ca="1">_xll.BDH($C$228,"BS_OTHER_INV","FQ1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245" spans="1:113" x14ac:dyDescent="0.3">
      <c r="A245" s="6"/>
      <c r="B245" s="6"/>
      <c r="C245" s="6"/>
      <c r="D245" s="6"/>
      <c r="E245" t="s">
        <v>79</v>
      </c>
      <c r="F245" t="e">
        <f ca="1">_xll.BDH($C$228,"RETURN_COM_EQY","FQ2 2017","FQ2 2017","Currency=INR","Period=FQ","BEST_FPERIOD_OVERRIDE=FQ","FILING_STATUS=OR","EQY_CONSOLIDATED=Y","FA_ADJUSTED=GAAP","Sort=A","Dates=H","DateFormat=P","Fill=—","Direction=H","UseDPDF=Y")</f>
        <v>#NAME?</v>
      </c>
      <c r="G245" t="e">
        <f ca="1">_xll.BDH($C$228,"RETURN_ON_ASSET","FQ2 2017","FQ2 2017","Currency=INR","Period=FQ","BEST_FPERIOD_OVERRIDE=FQ","FILING_STATUS=OR","EQY_CONSOLIDATED=Y","FA_ADJUSTED=GAAP","Sort=A","Dates=H","DateFormat=P","Fill=—","Direction=H","UseDPDF=Y")</f>
        <v>#NAME?</v>
      </c>
      <c r="H245" t="e">
        <f ca="1">_xll.BDH($C$228,"RETURN_ON_CAP","FQ2 2017","FQ2 2017","Currency=INR","Period=FQ","BEST_FPERIOD_OVERRIDE=FQ","FILING_STATUS=OR","EQY_CONSOLIDATED=Y","FA_ADJUSTED=GAAP","Sort=A","Dates=H","DateFormat=P","Fill=—","Direction=H","UseDPDF=Y")</f>
        <v>#NAME?</v>
      </c>
      <c r="I245" t="e">
        <f ca="1">_xll.BDH($C$228,"RETURN_ON_INV_CAPITAL","FQ2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245" t="e">
        <f ca="1">_xll.BDH($C$228,"EBITDA_TO_REVENUE","FQ2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245" t="e">
        <f ca="1">_xll.BDH($C$228,"OPER_MARGIN","FQ2 2017","FQ2 2017","Currency=INR","Period=FQ","BEST_FPERIOD_OVERRIDE=FQ","FILING_STATUS=OR","EQY_CONSOLIDATED=Y","FA_ADJUSTED=GAAP","Sort=A","Dates=H","DateFormat=P","Fill=—","Direction=H","UseDPDF=Y")</f>
        <v>#NAME?</v>
      </c>
      <c r="L245" t="e">
        <f ca="1">_xll.BDH($C$228,"INCREMENTAL_OPERATING_MARGIN","FQ2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245" t="e">
        <f ca="1">_xll.BDH($C$228,"PRETAX_INC_TO_NET_SALES","FQ2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245" t="e">
        <f ca="1">_xll.BDH($C$228,"INC_BEF_XO_ITEMS_TO_NET_SALES","FQ2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245" t="e">
        <f ca="1">_xll.BDH($C$228,"PROF_MARGIN","FQ2 2017","FQ2 2017","Currency=INR","Period=FQ","BEST_FPERIOD_OVERRIDE=FQ","FILING_STATUS=OR","EQY_CONSOLIDATED=Y","FA_ADJUSTED=GAAP","Sort=A","Dates=H","DateFormat=P","Fill=—","Direction=H","UseDPDF=Y")</f>
        <v>#NAME?</v>
      </c>
      <c r="P245" t="e">
        <f ca="1">_xll.BDH($C$228,"NET_INCOME_TO_COMMON_MARGIN","FQ2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245" t="e">
        <f ca="1">_xll.BDH($C$228,"EFF_TAX_RATE","FQ2 2017","FQ2 2017","Currency=INR","Period=FQ","BEST_FPERIOD_OVERRIDE=FQ","FILING_STATUS=OR","EQY_CONSOLIDATED=Y","FA_ADJUSTED=GAAP","Sort=A","Dates=H","DateFormat=P","Fill=—","Direction=H","UseDPDF=Y")</f>
        <v>#NAME?</v>
      </c>
      <c r="R245" t="e">
        <f ca="1">_xll.BDH($C$228,"DVD_PAYOUT_RATIO","FQ2 2017","FQ2 2017","Currency=INR","Period=FQ","BEST_FPERIOD_OVERRIDE=FQ","FILING_STATUS=OR","EQY_CONSOLIDATED=Y","FA_ADJUSTED=GAAP","Sort=A","Dates=H","DateFormat=P","Fill=—","Direction=H","UseDPDF=Y")</f>
        <v>#NAME?</v>
      </c>
      <c r="S245" t="e">
        <f ca="1">_xll.BDH($C$228,"SUSTAIN_GROWTH_RT","FQ2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245" s="2" t="e">
        <f ca="1">_xll.BDH($C$228,"SALES_GROWTH","FQ2 2017","FQ2 2017","Currency=INR","Period=FQ","BEST_FPERIOD_OVERRIDE=FQ","FILING_STATUS=OR","EQY_CONSOLIDATED=Y","FA_ADJUSTED=GAAP","Sort=A","Dates=H","DateFormat=P","Fill=—","Direction=H","UseDPDF=Y")</f>
        <v>#NAME?</v>
      </c>
      <c r="U245" s="2" t="e">
        <f ca="1">_xll.BDH($C$228,"EBITDA_GROWTH","FQ2 2017","FQ2 2017","Currency=INR","Period=FQ","BEST_FPERIOD_OVERRIDE=FQ","FILING_STATUS=OR","EQY_CONSOLIDATED=Y","FA_ADJUSTED=GAAP","Sort=A","Dates=H","DateFormat=P","Fill=—","Direction=H","UseDPDF=Y")</f>
        <v>#NAME?</v>
      </c>
      <c r="V245" s="2" t="e">
        <f ca="1">_xll.BDH($C$228,"OPER_INC_GROWTH","FQ2 2017","FQ2 2017","Currency=INR","Period=FQ","BEST_FPERIOD_OVERRIDE=FQ","FILING_STATUS=OR","EQY_CONSOLIDATED=Y","FA_ADJUSTED=GAAP","Sort=A","Dates=H","DateFormat=P","Fill=—","Direction=H","UseDPDF=Y")</f>
        <v>#NAME?</v>
      </c>
      <c r="W245" s="2" t="e">
        <f ca="1">_xll.BDH($C$228,"EARN_FOR_COM_GROWTH","FQ2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245" s="2" t="e">
        <f ca="1">_xll.BDH($C$228,"DILUTED_EPS_AFT_XO_ITEMS_GROWTH","FQ2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245" s="2" t="e">
        <f ca="1">_xll.BDH($C$228,"DIVIDEND_PER_SHARE_1_YEAR_GROWTH","FQ2 2017","FQ2 2017","Currency=INR","Period=FQ","BEST_FPERIOD_OVERRIDE=FQ","FILING_STATUS=OR","EQY_CONSOLIDATED=Y","Sort=A","Dates=H","DateFormat=P","Fill=—","Direction=H","UseDPDF=Y")</f>
        <v>#NAME?</v>
      </c>
      <c r="Z245" s="2" t="e">
        <f ca="1">_xll.BDH($C$228,"ACCOUNTS_RECEIVABLE_GROWTH","FQ2 2017","FQ2 2017","Currency=INR","Period=FQ","BEST_FPERIOD_OVERRIDE=FQ","FILING_STATUS=OR","EQY_CONSOLIDATED=Y","Sort=A","Dates=H","DateFormat=P","Fill=—","Direction=H","UseDPDF=Y")</f>
        <v>#NAME?</v>
      </c>
      <c r="AA245" s="2" t="e">
        <f ca="1">_xll.BDH($C$228,"INVENTORY_GROWTH","FQ2 2017","FQ2 2017","Currency=INR","Period=FQ","BEST_FPERIOD_OVERRIDE=FQ","FILING_STATUS=OR","EQY_CONSOLIDATED=Y","Sort=A","Dates=H","DateFormat=P","Fill=—","Direction=H","UseDPDF=Y")</f>
        <v>#NAME?</v>
      </c>
      <c r="AB245" s="2" t="e">
        <f ca="1">_xll.BDH($C$228,"NET_FIXED_ASSETS_1_YEAR_GROWTH","FQ2 2017","FQ2 2017","Currency=INR","Period=FQ","BEST_FPERIOD_OVERRIDE=FQ","FILING_STATUS=OR","EQY_CONSOLIDATED=Y","Sort=A","Dates=H","DateFormat=P","Fill=—","Direction=H","UseDPDF=Y")</f>
        <v>#NAME?</v>
      </c>
      <c r="AC245" s="2" t="e">
        <f ca="1">_xll.BDH($C$228,"ASSET_GROWTH","FQ2 2017","FQ2 2017","Currency=INR","Period=FQ","BEST_FPERIOD_OVERRIDE=FQ","FILING_STATUS=OR","EQY_CONSOLIDATED=Y","Sort=A","Dates=H","DateFormat=P","Fill=—","Direction=H","UseDPDF=Y")</f>
        <v>#NAME?</v>
      </c>
      <c r="AD245" s="2" t="e">
        <f ca="1">_xll.BDH($C$228,"MODIFIED_WORK_CAP_GROWTH","FQ2 2017","FQ2 2017","Currency=INR","Period=FQ","BEST_FPERIOD_OVERRIDE=FQ","FILING_STATUS=OR","EQY_CONSOLIDATED=Y","Sort=A","Dates=H","DateFormat=P","Fill=—","Direction=H","UseDPDF=Y")</f>
        <v>#NAME?</v>
      </c>
      <c r="AE245" s="2" t="e">
        <f ca="1">_xll.BDH($C$228,"WORK_CAP_GROWTH","FQ2 2017","FQ2 2017","Currency=INR","Period=FQ","BEST_FPERIOD_OVERRIDE=FQ","FILING_STATUS=OR","EQY_CONSOLIDATED=Y","Sort=A","Dates=H","DateFormat=P","Fill=—","Direction=H","UseDPDF=Y")</f>
        <v>#NAME?</v>
      </c>
      <c r="AF245" s="2" t="e">
        <f ca="1">_xll.BDH($C$228,"ACCOUNTS_PAYABLE_GROWTH_1YR","FQ2 2017","FQ2 2017","Currency=INR","Period=FQ","BEST_FPERIOD_OVERRIDE=FQ","FILING_STATUS=OR","EQY_CONSOLIDATED=Y","Sort=A","Dates=H","DateFormat=P","Fill=—","Direction=H","UseDPDF=Y")</f>
        <v>#NAME?</v>
      </c>
      <c r="AG245" s="2" t="e">
        <f ca="1">_xll.BDH($C$228,"SHORT_TERM_DEBT_1_YEAR_GROWTH","FQ2 2017","FQ2 2017","Currency=INR","Period=FQ","BEST_FPERIOD_OVERRIDE=FQ","FILING_STATUS=OR","EQY_CONSOLIDATED=Y","Sort=A","Dates=H","DateFormat=P","Fill=—","Direction=H","UseDPDF=Y")</f>
        <v>#NAME?</v>
      </c>
      <c r="AH245" s="2" t="e">
        <f ca="1">_xll.BDH($C$228,"TOTAL_DEBT_1_YEAR_GROWTH","FQ2 2017","FQ2 2017","Currency=INR","Period=FQ","BEST_FPERIOD_OVERRIDE=FQ","FILING_STATUS=OR","EQY_CONSOLIDATED=Y","Sort=A","Dates=H","DateFormat=P","Fill=—","Direction=H","UseDPDF=Y")</f>
        <v>#NAME?</v>
      </c>
      <c r="AI245" s="2" t="e">
        <f ca="1">_xll.BDH($C$228,"TOTAL_EQUITY_1_YEAR_GROWTH","FQ2 2017","FQ2 2017","Currency=INR","Period=FQ","BEST_FPERIOD_OVERRIDE=FQ","FILING_STATUS=OR","EQY_CONSOLIDATED=Y","Sort=A","Dates=H","DateFormat=P","Fill=—","Direction=H","UseDPDF=Y")</f>
        <v>#NAME?</v>
      </c>
      <c r="AJ245" s="2" t="e">
        <f ca="1">_xll.BDH($C$228,"GROWTH_IN_CAP","FQ2 2017","FQ2 2017","Currency=INR","Period=FQ","BEST_FPERIOD_OVERRIDE=FQ","FILING_STATUS=OR","EQY_CONSOLIDATED=Y","Sort=A","Dates=H","DateFormat=P","Fill=—","Direction=H","UseDPDF=Y")</f>
        <v>#NAME?</v>
      </c>
      <c r="AK245" s="2" t="e">
        <f ca="1">_xll.BDH($C$228,"BVPS_GROWTH","FQ2 2017","FQ2 2017","Currency=INR","Period=FQ","BEST_FPERIOD_OVERRIDE=FQ","FILING_STATUS=OR","EQY_CONSOLIDATED=Y","Sort=A","Dates=H","DateFormat=P","Fill=—","Direction=H","UseDPDF=Y")</f>
        <v>#NAME?</v>
      </c>
      <c r="AL245" s="2" t="e">
        <f ca="1">_xll.BDH($C$228,"CASH_FLOW_GROWTH","FQ2 2017","FQ2 2017","Currency=INR","Period=FQ","BEST_FPERIOD_OVERRIDE=FQ","FILING_STATUS=OR","EQY_CONSOLIDATED=Y","Sort=A","Dates=H","DateFormat=P","Fill=—","Direction=H","UseDPDF=Y")</f>
        <v>#NAME?</v>
      </c>
      <c r="AM245" s="2" t="e">
        <f ca="1">_xll.BDH($C$228,"GEO_GROW_NET_SALES","FQ2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245" s="2" t="e">
        <f ca="1">_xll.BDH($C$228,"GEO_GROW_EBITDA","FQ2 2017","FQ2 2017","Currency=INR","Period=FQ","BEST_FPERIOD_OVERRIDE=FQ","FILING_STATUS=OR","EQY_CONSOLIDATED=Y","FA_ADJUSTED=GAAP","Sort=A","Dates=H","DateFormat=P","Fill=—","Direction=H","UseDPDF=Y")</f>
        <v>#NAME?</v>
      </c>
      <c r="AO245" s="2" t="e">
        <f ca="1">_xll.BDH($C$228,"GEO_GROW_OPER_INC","FQ2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245" s="2" t="e">
        <f ca="1">_xll.BDH($C$228,"NET_INCOME_TO_COMMON_5_YR_GROWTH","FQ2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245" s="2" t="e">
        <f ca="1">_xll.BDH($C$228,"5Y_GEO_GROWTH_DILUTED_EPS","FQ2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245" s="2" t="e">
        <f ca="1">_xll.BDH($C$228,"GEO_GROW_DVD_PER_SH","FQ2 2017","FQ2 2017","Currency=INR","Period=FQ","BEST_FPERIOD_OVERRIDE=FQ","FILING_STATUS=OR","EQY_CONSOLIDATED=Y","Sort=A","Dates=H","DateFormat=P","Fill=—","Direction=H","UseDPDF=Y")</f>
        <v>#NAME?</v>
      </c>
      <c r="AS245" s="2" t="e">
        <f ca="1">_xll.BDH($C$228,"ACCOUNTS_RECEIVABLE_5_YR_GROWTH","FQ2 2017","FQ2 2017","Currency=INR","Period=FQ","BEST_FPERIOD_OVERRIDE=FQ","FILING_STATUS=OR","EQY_CONSOLIDATED=Y","Sort=A","Dates=H","DateFormat=P","Fill=—","Direction=H","UseDPDF=Y")</f>
        <v>#NAME?</v>
      </c>
      <c r="AT245" s="2" t="e">
        <f ca="1">_xll.BDH($C$228,"INVENTORY_5_YEAR_GROWTH","FQ2 2017","FQ2 2017","Currency=INR","Period=FQ","BEST_FPERIOD_OVERRIDE=FQ","FILING_STATUS=OR","EQY_CONSOLIDATED=Y","Sort=A","Dates=H","DateFormat=P","Fill=—","Direction=H","UseDPDF=Y")</f>
        <v>#NAME?</v>
      </c>
      <c r="AU245" s="2" t="e">
        <f ca="1">_xll.BDH($C$228,"NET_FIXED_ASSETS_5_YEAR_GROWTH","FQ2 2017","FQ2 2017","Currency=INR","Period=FQ","BEST_FPERIOD_OVERRIDE=FQ","FILING_STATUS=OR","EQY_CONSOLIDATED=Y","Sort=A","Dates=H","DateFormat=P","Fill=—","Direction=H","UseDPDF=Y")</f>
        <v>#NAME?</v>
      </c>
      <c r="AV245" s="2" t="e">
        <f ca="1">_xll.BDH($C$228,"GEO_GROW_TOT_ASSET","FQ2 2017","FQ2 2017","Currency=INR","Period=FQ","BEST_FPERIOD_OVERRIDE=FQ","FILING_STATUS=OR","EQY_CONSOLIDATED=Y","Sort=A","Dates=H","DateFormat=P","Fill=—","Direction=H","UseDPDF=Y")</f>
        <v>#NAME?</v>
      </c>
      <c r="AW245" s="2" t="e">
        <f ca="1">_xll.BDH($C$228,"MODIFIED_WORKING_CPTL_5YR_GRWTH","FQ2 2017","FQ2 2017","Currency=INR","Period=FQ","BEST_FPERIOD_OVERRIDE=FQ","FILING_STATUS=OR","EQY_CONSOLIDATED=Y","Sort=A","Dates=H","DateFormat=P","Fill=—","Direction=H","UseDPDF=Y")</f>
        <v>#NAME?</v>
      </c>
      <c r="AX245" s="2" t="e">
        <f ca="1">_xll.BDH($C$228,"WORKING_CAPITAL_5_YEAR_GROWTH","FQ2 2017","FQ2 2017","Currency=INR","Period=FQ","BEST_FPERIOD_OVERRIDE=FQ","FILING_STATUS=OR","EQY_CONSOLIDATED=Y","Sort=A","Dates=H","DateFormat=P","Fill=—","Direction=H","UseDPDF=Y")</f>
        <v>#NAME?</v>
      </c>
      <c r="AY245" s="2" t="e">
        <f ca="1">_xll.BDH($C$228,"ACCOUNTS_PAYABLE_5_YEAR_GROWTH","FQ2 2017","FQ2 2017","Currency=INR","Period=FQ","BEST_FPERIOD_OVERRIDE=FQ","FILING_STATUS=OR","EQY_CONSOLIDATED=Y","Sort=A","Dates=H","DateFormat=P","Fill=—","Direction=H","UseDPDF=Y")</f>
        <v>#NAME?</v>
      </c>
      <c r="AZ245" s="2" t="e">
        <f ca="1">_xll.BDH($C$228,"SHORT_TERM_DEBT_5_YEAR_GROWTH","FQ2 2017","FQ2 2017","Currency=INR","Period=FQ","BEST_FPERIOD_OVERRIDE=FQ","FILING_STATUS=OR","EQY_CONSOLIDATED=Y","Sort=A","Dates=H","DateFormat=P","Fill=—","Direction=H","UseDPDF=Y")</f>
        <v>#NAME?</v>
      </c>
      <c r="BA245" s="2" t="e">
        <f ca="1">_xll.BDH($C$228,"TOTAL_DEBT_5_YEAR_GROWTH","FQ2 2017","FQ2 2017","Currency=INR","Period=FQ","BEST_FPERIOD_OVERRIDE=FQ","FILING_STATUS=OR","EQY_CONSOLIDATED=Y","Sort=A","Dates=H","DateFormat=P","Fill=—","Direction=H","UseDPDF=Y")</f>
        <v>#NAME?</v>
      </c>
      <c r="BB245" s="2" t="e">
        <f ca="1">_xll.BDH($C$228,"GEO_GROW_TOT_SHRHLDR_EQY","FQ2 2017","FQ2 2017","Currency=INR","Period=FQ","BEST_FPERIOD_OVERRIDE=FQ","FILING_STATUS=OR","EQY_CONSOLIDATED=Y","Sort=A","Dates=H","DateFormat=P","Fill=—","Direction=H","UseDPDF=Y")</f>
        <v>#NAME?</v>
      </c>
      <c r="BC245" s="2" t="e">
        <f ca="1">_xll.BDH($C$228,"TOTAL_CAPITAL_5_YEAR_GROWTH","FQ2 2017","FQ2 2017","Currency=INR","Period=FQ","BEST_FPERIOD_OVERRIDE=FQ","FILING_STATUS=OR","EQY_CONSOLIDATED=Y","Sort=A","Dates=H","DateFormat=P","Fill=—","Direction=H","UseDPDF=Y")</f>
        <v>#NAME?</v>
      </c>
      <c r="BD245" s="2" t="e">
        <f ca="1">_xll.BDH($C$228,"GEO_GROW_BOOK_VAL","FQ2 2017","FQ2 2017","Currency=INR","Period=FQ","BEST_FPERIOD_OVERRIDE=FQ","FILING_STATUS=OR","EQY_CONSOLIDATED=Y","Sort=A","Dates=H","DateFormat=P","Fill=—","Direction=H","UseDPDF=Y")</f>
        <v>#NAME?</v>
      </c>
      <c r="BE245" s="2" t="e">
        <f ca="1">_xll.BDH($C$228,"GEO_GROW_CASH_OPER_ACT","FQ2 2017","FQ2 2017","Currency=INR","Period=FQ","BEST_FPERIOD_OVERRIDE=FQ","FILING_STATUS=OR","EQY_CONSOLIDATED=Y","Sort=A","Dates=H","DateFormat=P","Fill=—","Direction=H","UseDPDF=Y")</f>
        <v>#NAME?</v>
      </c>
      <c r="BF245" s="2" t="e">
        <f ca="1">_xll.BDH($C$228,"REVENUE_SEQUENTIAL_GROWTH","FQ2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245" s="2" t="e">
        <f ca="1">_xll.BDH($C$228,"EBITDA_SEQUENTIAL_GROWTH","FQ2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245" s="2" t="e">
        <f ca="1">_xll.BDH($C$228,"OPERATING_INCOME_SEQ_GROWTH","FQ2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245" s="2" t="e">
        <f ca="1">_xll.BDH($C$228,"NET_INCOME_TO_COMMON_SEQ_GROWTH","FQ2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245" s="2" t="e">
        <f ca="1">_xll.BDH($C$228,"EPS_DILUTED_SEQUENTIAL_GROWTH","FQ2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245" s="2" t="e">
        <f ca="1">_xll.BDH($C$228,"DPS_SEQUENTIAL_GROWTH","FQ2 2017","FQ2 2017","Currency=INR","Period=FQ","BEST_FPERIOD_OVERRIDE=FQ","FILING_STATUS=OR","EQY_CONSOLIDATED=Y","Sort=A","Dates=H","DateFormat=P","Fill=—","Direction=H","UseDPDF=Y")</f>
        <v>#NAME?</v>
      </c>
      <c r="BL245" s="2" t="e">
        <f ca="1">_xll.BDH($C$228,"ACCOUNTS_RECEIVABLE_SEQ_GROWTH","FQ2 2017","FQ2 2017","Currency=INR","Period=FQ","BEST_FPERIOD_OVERRIDE=FQ","FILING_STATUS=OR","EQY_CONSOLIDATED=Y","Sort=A","Dates=H","DateFormat=P","Fill=—","Direction=H","UseDPDF=Y")</f>
        <v>#NAME?</v>
      </c>
      <c r="BM245" s="2" t="e">
        <f ca="1">_xll.BDH($C$228,"INVENTORY_SEQUENTIAL_GROWTH","FQ2 2017","FQ2 2017","Currency=INR","Period=FQ","BEST_FPERIOD_OVERRIDE=FQ","FILING_STATUS=OR","EQY_CONSOLIDATED=Y","Sort=A","Dates=H","DateFormat=P","Fill=—","Direction=H","UseDPDF=Y")</f>
        <v>#NAME?</v>
      </c>
      <c r="BN245" s="2" t="e">
        <f ca="1">_xll.BDH($C$228,"FIXED_ASSETS_SEQUENTIAL_GROWTH","FQ2 2017","FQ2 2017","Currency=INR","Period=FQ","BEST_FPERIOD_OVERRIDE=FQ","FILING_STATUS=OR","EQY_CONSOLIDATED=Y","Sort=A","Dates=H","DateFormat=P","Fill=—","Direction=H","UseDPDF=Y")</f>
        <v>#NAME?</v>
      </c>
      <c r="BO245" s="2" t="e">
        <f ca="1">_xll.BDH($C$228,"TOTAL_ASSETS_SEQUENTIAL_GROWTH","FQ2 2017","FQ2 2017","Currency=INR","Period=FQ","BEST_FPERIOD_OVERRIDE=FQ","FILING_STATUS=OR","EQY_CONSOLIDATED=Y","Sort=A","Dates=H","DateFormat=P","Fill=—","Direction=H","UseDPDF=Y")</f>
        <v>#NAME?</v>
      </c>
      <c r="BP245" s="2" t="e">
        <f ca="1">_xll.BDH($C$228,"MODIFIED_WORKING_CPTL_SEQ_GRWTH","FQ2 2017","FQ2 2017","Currency=INR","Period=FQ","BEST_FPERIOD_OVERRIDE=FQ","FILING_STATUS=OR","EQY_CONSOLIDATED=Y","Sort=A","Dates=H","DateFormat=P","Fill=—","Direction=H","UseDPDF=Y")</f>
        <v>#NAME?</v>
      </c>
      <c r="BQ245" s="2" t="e">
        <f ca="1">_xll.BDH($C$228,"WORKING_CAPITAL_SEQ_GROWTH","FQ2 2017","FQ2 2017","Currency=INR","Period=FQ","BEST_FPERIOD_OVERRIDE=FQ","FILING_STATUS=OR","EQY_CONSOLIDATED=Y","Sort=A","Dates=H","DateFormat=P","Fill=—","Direction=H","UseDPDF=Y")</f>
        <v>#NAME?</v>
      </c>
      <c r="BR245" s="2" t="e">
        <f ca="1">_xll.BDH($C$228,"ACCOUNTS_PAYABLE_SEQ_GROWTH","FQ2 2017","FQ2 2017","Currency=INR","Period=FQ","BEST_FPERIOD_OVERRIDE=FQ","FILING_STATUS=OR","EQY_CONSOLIDATED=Y","Sort=A","Dates=H","DateFormat=P","Fill=—","Direction=H","UseDPDF=Y")</f>
        <v>#NAME?</v>
      </c>
      <c r="BS245" s="2" t="e">
        <f ca="1">_xll.BDH($C$228,"ST_DEBT_SEQUENTIAL_GROWTH","FQ2 2017","FQ2 2017","Currency=INR","Period=FQ","BEST_FPERIOD_OVERRIDE=FQ","FILING_STATUS=OR","EQY_CONSOLIDATED=Y","Sort=A","Dates=H","DateFormat=P","Fill=—","Direction=H","UseDPDF=Y")</f>
        <v>#NAME?</v>
      </c>
      <c r="BT245" s="2" t="e">
        <f ca="1">_xll.BDH($C$228,"TOTAL_DEBT_SEQUENTIAL_GROWTH","FQ2 2017","FQ2 2017","Currency=INR","Period=FQ","BEST_FPERIOD_OVERRIDE=FQ","FILING_STATUS=OR","EQY_CONSOLIDATED=Y","Sort=A","Dates=H","DateFormat=P","Fill=—","Direction=H","UseDPDF=Y")</f>
        <v>#NAME?</v>
      </c>
      <c r="BU245" s="2" t="e">
        <f ca="1">_xll.BDH($C$228,"TOTAL_EQUITY_SEQUENTIAL_GROWTH","FQ2 2017","FQ2 2017","Currency=INR","Period=FQ","BEST_FPERIOD_OVERRIDE=FQ","FILING_STATUS=OR","EQY_CONSOLIDATED=Y","Sort=A","Dates=H","DateFormat=P","Fill=—","Direction=H","UseDPDF=Y")</f>
        <v>#NAME?</v>
      </c>
      <c r="BV245" s="2" t="e">
        <f ca="1">_xll.BDH($C$228,"TOTAL_CAPITAL_SEQUENTIAL_GROWTH","FQ2 2017","FQ2 2017","Currency=INR","Period=FQ","BEST_FPERIOD_OVERRIDE=FQ","FILING_STATUS=OR","EQY_CONSOLIDATED=Y","Sort=A","Dates=H","DateFormat=P","Fill=—","Direction=H","UseDPDF=Y")</f>
        <v>#NAME?</v>
      </c>
      <c r="BW245" s="2" t="e">
        <f ca="1">_xll.BDH($C$228,"BPS_SEQUENTIAL_GROWTH","FQ2 2017","FQ2 2017","Currency=INR","Period=FQ","BEST_FPERIOD_OVERRIDE=FQ","FILING_STATUS=OR","EQY_CONSOLIDATED=Y","Sort=A","Dates=H","DateFormat=P","Fill=—","Direction=H","UseDPDF=Y")</f>
        <v>#NAME?</v>
      </c>
      <c r="BX245" s="2" t="e">
        <f ca="1">_xll.BDH($C$228,"CFO_SEQUENTIAL_GROWTH","FQ2 2017","FQ2 2017","Currency=INR","Period=FQ","BEST_FPERIOD_OVERRIDE=FQ","FILING_STATUS=OR","EQY_CONSOLIDATED=Y","Sort=A","Dates=H","DateFormat=P","Fill=—","Direction=H","UseDPDF=Y")</f>
        <v>#NAME?</v>
      </c>
      <c r="BY245" s="3" t="e">
        <f ca="1">_xll.BDH($C$228,"SHORT_AND_LONG_TERM_DEBT","FQ2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245" s="3" t="e">
        <f ca="1">_xll.BDH($C$228,"BS_ST_BORROW","FQ2 2017","FQ2 2017","Currency=INR","Period=FQ","BEST_FPERIOD_OVERRIDE=FQ","FILING_STATUS=OR","EQY_CONSOLIDATED=Y","SCALING_FORMAT=MLN","Sort=A","Dates=H","DateFormat=P","Fill=—","Direction=H","UseDPDF=Y")</f>
        <v>#NAME?</v>
      </c>
      <c r="CA245" s="3" t="e">
        <f ca="1">_xll.BDH($C$228,"BS_LT_BORROW","FQ2 2017","FQ2 2017","Currency=INR","Period=FQ","BEST_FPERIOD_OVERRIDE=FQ","FILING_STATUS=OR","EQY_CONSOLIDATED=Y","SCALING_FORMAT=MLN","Sort=A","Dates=H","DateFormat=P","Fill=—","Direction=H","UseDPDF=Y")</f>
        <v>#NAME?</v>
      </c>
      <c r="CB245" s="2" t="e">
        <f ca="1">_xll.BDH($C$228,"TOT_DEBT_TO_EBITDA","FQ2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245" s="2" t="e">
        <f ca="1">_xll.BDH($C$228,"NET_DEBT_TO_EBITDA","FQ2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245" s="2" t="e">
        <f ca="1">_xll.BDH($C$228,"TOTAL_DEBT_TO_EBIT","FQ2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245" s="2" t="e">
        <f ca="1">_xll.BDH($C$228,"NET_DEBT_TO_EBIT","FQ2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245" s="2" t="e">
        <f ca="1">_xll.BDH($C$228,"EBITDA_TO_INTEREST_EXPN","FQ2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245" s="2" t="e">
        <f ca="1">_xll.BDH($C$228,"COM_EQY_TO_TOT_ASSET","FQ2 2017","FQ2 2017","Currency=INR","Period=FQ","BEST_FPERIOD_OVERRIDE=FQ","FILING_STATUS=OR","EQY_CONSOLIDATED=Y","Sort=A","Dates=H","DateFormat=P","Fill=—","Direction=H","UseDPDF=Y")</f>
        <v>#NAME?</v>
      </c>
      <c r="CH245" s="2" t="e">
        <f ca="1">_xll.BDH($C$228,"LT_DEBT_TO_TOT_EQY","FQ2 2017","FQ2 2017","Currency=INR","Period=FQ","BEST_FPERIOD_OVERRIDE=FQ","FILING_STATUS=OR","EQY_CONSOLIDATED=Y","Sort=A","Dates=H","DateFormat=P","Fill=—","Direction=H","UseDPDF=Y")</f>
        <v>#NAME?</v>
      </c>
      <c r="CI245" s="2" t="e">
        <f ca="1">_xll.BDH($C$228,"LT_DEBT_TO_TOT_CAP","FQ2 2017","FQ2 2017","Currency=INR","Period=FQ","BEST_FPERIOD_OVERRIDE=FQ","FILING_STATUS=OR","EQY_CONSOLIDATED=Y","Sort=A","Dates=H","DateFormat=P","Fill=—","Direction=H","UseDPDF=Y")</f>
        <v>#NAME?</v>
      </c>
      <c r="CJ245" s="2" t="e">
        <f ca="1">_xll.BDH($C$228,"LT_DEBT_TO_TOT_ASSET","FQ2 2017","FQ2 2017","Currency=INR","Period=FQ","BEST_FPERIOD_OVERRIDE=FQ","FILING_STATUS=OR","EQY_CONSOLIDATED=Y","Sort=A","Dates=H","DateFormat=P","Fill=—","Direction=H","UseDPDF=Y")</f>
        <v>#NAME?</v>
      </c>
      <c r="CK245" s="2" t="e">
        <f ca="1">_xll.BDH($C$228,"TOT_DEBT_TO_TOT_EQY","FQ2 2017","FQ2 2017","Currency=INR","Period=FQ","BEST_FPERIOD_OVERRIDE=FQ","FILING_STATUS=OR","EQY_CONSOLIDATED=Y","Sort=A","Dates=H","DateFormat=P","Fill=—","Direction=H","UseDPDF=Y")</f>
        <v>#NAME?</v>
      </c>
      <c r="CL245" s="2" t="e">
        <f ca="1">_xll.BDH($C$228,"TOT_DEBT_TO_TOT_CAP","FQ2 2017","FQ2 2017","Currency=INR","Period=FQ","BEST_FPERIOD_OVERRIDE=FQ","FILING_STATUS=OR","EQY_CONSOLIDATED=Y","Sort=A","Dates=H","DateFormat=P","Fill=—","Direction=H","UseDPDF=Y")</f>
        <v>#NAME?</v>
      </c>
      <c r="CM245" s="2" t="e">
        <f ca="1">_xll.BDH($C$228,"TOT_DEBT_TO_TOT_ASSET","FQ2 2017","FQ2 2017","Currency=INR","Period=FQ","BEST_FPERIOD_OVERRIDE=FQ","FILING_STATUS=OR","EQY_CONSOLIDATED=Y","Sort=A","Dates=H","DateFormat=P","Fill=—","Direction=H","UseDPDF=Y")</f>
        <v>#NAME?</v>
      </c>
      <c r="CN245" s="2" t="e">
        <f ca="1">_xll.BDH($C$228,"NET_DEBT_TO_SHRHLDR_EQTY","FQ2 2017","FQ2 2017","Currency=INR","Period=FQ","BEST_FPERIOD_OVERRIDE=FQ","FILING_STATUS=OR","EQY_CONSOLIDATED=Y","Sort=A","Dates=H","DateFormat=P","Fill=—","Direction=H","UseDPDF=Y")</f>
        <v>#NAME?</v>
      </c>
      <c r="CO245" s="2" t="e">
        <f ca="1">_xll.BDH($C$228,"NET_DEBT_%_CAPITAL","FQ2 2017","FQ2 2017","Currency=INR","Period=FQ","BEST_FPERIOD_OVERRIDE=FQ","FILING_STATUS=OR","EQY_CONSOLIDATED=Y","Sort=A","Dates=H","DateFormat=P","Fill=—","Direction=H","UseDPDF=Y")</f>
        <v>#NAME?</v>
      </c>
      <c r="CP245" s="3" t="e">
        <f ca="1">_xll.BDH($C$228,"EBITDA","FQ2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245" s="3" t="e">
        <f ca="1">_xll.BDH($C$228,"EBITDA_AFTER_CAPEX","FQ2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245" s="3" t="e">
        <f ca="1">_xll.BDH($C$228,"IS_OPER_INC","FQ2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245" s="2" t="e">
        <f ca="1">_xll.BDH($C$228,"CASH_RATIO","FQ2 2017","FQ2 2017","Currency=INR","Period=FQ","BEST_FPERIOD_OVERRIDE=FQ","FILING_STATUS=OR","EQY_CONSOLIDATED=Y","Sort=A","Dates=H","DateFormat=P","Fill=—","Direction=H","UseDPDF=Y")</f>
        <v>#NAME?</v>
      </c>
      <c r="CT245" s="2" t="e">
        <f ca="1">_xll.BDH($C$228,"CUR_RATIO","FQ2 2017","FQ2 2017","Currency=INR","Period=FQ","BEST_FPERIOD_OVERRIDE=FQ","FILING_STATUS=OR","EQY_CONSOLIDATED=Y","Sort=A","Dates=H","DateFormat=P","Fill=—","Direction=H","UseDPDF=Y")</f>
        <v>#NAME?</v>
      </c>
      <c r="CU245" s="2" t="e">
        <f ca="1">_xll.BDH($C$228,"QUICK_RATIO","FQ2 2017","FQ2 2017","Currency=INR","Period=FQ","BEST_FPERIOD_OVERRIDE=FQ","FILING_STATUS=OR","EQY_CONSOLIDATED=Y","Sort=A","Dates=H","DateFormat=P","Fill=—","Direction=H","UseDPDF=Y")</f>
        <v>#NAME?</v>
      </c>
      <c r="CV245" s="2" t="e">
        <f ca="1">_xll.BDH($C$228,"ALTMAN_Z_SCORE","FQ2 2017","FQ2 2017","Currency=INR","Period=FQ","BEST_FPERIOD_OVERRIDE=FQ","FILING_STATUS=OR","EQY_CONSOLIDATED=Y","Sort=A","Dates=H","DateFormat=P","Fill=—","Direction=H","UseDPDF=Y")</f>
        <v>#NAME?</v>
      </c>
      <c r="CW245" s="4" t="e">
        <f ca="1">_xll.BDH($C$228,"ACCT_RCV_TURN","FQ2 2017","FQ2 2017","Currency=INR","Period=FQ","BEST_FPERIOD_OVERRIDE=FQ","FILING_STATUS=OR","EQY_CONSOLIDATED=Y","FA_ADJUSTED=GAAP","Sort=A","Dates=H","DateFormat=P","Fill=—","Direction=H","UseDPDF=Y")</f>
        <v>#NAME?</v>
      </c>
      <c r="CX245" s="2" t="e">
        <f ca="1">_xll.BDH($C$228,"ACCT_RCV_DAYS","FQ2 2017","FQ2 2017","Currency=INR","Period=FQ","BEST_FPERIOD_OVERRIDE=FQ","FILING_STATUS=OR","EQY_CONSOLIDATED=Y","FA_ADJUSTED=GAAP","Sort=A","Dates=H","DateFormat=P","Fill=—","Direction=H","UseDPDF=Y")</f>
        <v>#NAME?</v>
      </c>
      <c r="CY245" s="4" t="e">
        <f ca="1">_xll.BDH($C$228,"INVENT_TURN","FQ2 2017","FQ2 2017","Currency=INR","Period=FQ","BEST_FPERIOD_OVERRIDE=FQ","FILING_STATUS=OR","EQY_CONSOLIDATED=Y","FA_ADJUSTED=GAAP","Sort=A","Dates=H","DateFormat=P","Fill=—","Direction=H","UseDPDF=Y")</f>
        <v>#NAME?</v>
      </c>
      <c r="CZ245" s="2" t="e">
        <f ca="1">_xll.BDH($C$228,"INVENT_DAYS","FQ2 2017","FQ2 2017","Currency=INR","Period=FQ","BEST_FPERIOD_OVERRIDE=FQ","FILING_STATUS=OR","EQY_CONSOLIDATED=Y","FA_ADJUSTED=GAAP","Sort=A","Dates=H","DateFormat=P","Fill=—","Direction=H","UseDPDF=Y")</f>
        <v>#NAME?</v>
      </c>
      <c r="DA245" s="4" t="e">
        <f ca="1">_xll.BDH($C$228,"ACCOUNTS_PAYABLE_TURNOVER","FQ2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245" s="2" t="e">
        <f ca="1">_xll.BDH($C$228,"ACCOUNTS_PAYABLE_TURNOVER_DAYS","FQ2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245" s="4" t="e">
        <f ca="1">_xll.BDH($C$228,"CASH_CONVERSION_CYCLE","FQ2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245" s="4" t="e">
        <f ca="1">_xll.BDH($C$228,"INV_TO_CASH_DAYS","FQ2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245" s="5" t="e">
        <f ca="1">_xll.BDH($C$228,"BS_INVENTORIES","FQ2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245" s="3" t="e">
        <f ca="1">_xll.BDH($C$228,"INVTRY_RAW_MATERIALS","FQ2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245" s="3" t="e">
        <f ca="1">_xll.BDH($C$228,"INVTRY_IN_PROGRESS","FQ2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245" s="3" t="e">
        <f ca="1">_xll.BDH($C$228,"INVTRY_FINISHED_GOODS","FQ2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245" s="3" t="e">
        <f ca="1">_xll.BDH($C$228,"BS_OTHER_INV","FQ2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246" spans="1:113" x14ac:dyDescent="0.3">
      <c r="A246" s="6"/>
      <c r="B246" s="6"/>
      <c r="C246" s="6"/>
      <c r="D246" s="6"/>
      <c r="E246" t="s">
        <v>80</v>
      </c>
      <c r="F246" t="e">
        <f ca="1">_xll.BDH($C$228,"RETURN_COM_EQY","FQ3 2017","FQ3 2017","Currency=INR","Period=FQ","BEST_FPERIOD_OVERRIDE=FQ","FILING_STATUS=OR","EQY_CONSOLIDATED=Y","FA_ADJUSTED=GAAP","Sort=A","Dates=H","DateFormat=P","Fill=—","Direction=H","UseDPDF=Y")</f>
        <v>#NAME?</v>
      </c>
      <c r="G246" t="e">
        <f ca="1">_xll.BDH($C$228,"RETURN_ON_ASSET","FQ3 2017","FQ3 2017","Currency=INR","Period=FQ","BEST_FPERIOD_OVERRIDE=FQ","FILING_STATUS=OR","EQY_CONSOLIDATED=Y","FA_ADJUSTED=GAAP","Sort=A","Dates=H","DateFormat=P","Fill=—","Direction=H","UseDPDF=Y")</f>
        <v>#NAME?</v>
      </c>
      <c r="H246" t="e">
        <f ca="1">_xll.BDH($C$228,"RETURN_ON_CAP","FQ3 2017","FQ3 2017","Currency=INR","Period=FQ","BEST_FPERIOD_OVERRIDE=FQ","FILING_STATUS=OR","EQY_CONSOLIDATED=Y","FA_ADJUSTED=GAAP","Sort=A","Dates=H","DateFormat=P","Fill=—","Direction=H","UseDPDF=Y")</f>
        <v>#NAME?</v>
      </c>
      <c r="I246" t="e">
        <f ca="1">_xll.BDH($C$228,"RETURN_ON_INV_CAPITAL","FQ3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246" t="e">
        <f ca="1">_xll.BDH($C$228,"EBITDA_TO_REVENUE","FQ3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246" t="e">
        <f ca="1">_xll.BDH($C$228,"OPER_MARGIN","FQ3 2017","FQ3 2017","Currency=INR","Period=FQ","BEST_FPERIOD_OVERRIDE=FQ","FILING_STATUS=OR","EQY_CONSOLIDATED=Y","FA_ADJUSTED=GAAP","Sort=A","Dates=H","DateFormat=P","Fill=—","Direction=H","UseDPDF=Y")</f>
        <v>#NAME?</v>
      </c>
      <c r="L246" t="e">
        <f ca="1">_xll.BDH($C$228,"INCREMENTAL_OPERATING_MARGIN","FQ3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246" t="e">
        <f ca="1">_xll.BDH($C$228,"PRETAX_INC_TO_NET_SALES","FQ3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246" t="e">
        <f ca="1">_xll.BDH($C$228,"INC_BEF_XO_ITEMS_TO_NET_SALES","FQ3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246" t="e">
        <f ca="1">_xll.BDH($C$228,"PROF_MARGIN","FQ3 2017","FQ3 2017","Currency=INR","Period=FQ","BEST_FPERIOD_OVERRIDE=FQ","FILING_STATUS=OR","EQY_CONSOLIDATED=Y","FA_ADJUSTED=GAAP","Sort=A","Dates=H","DateFormat=P","Fill=—","Direction=H","UseDPDF=Y")</f>
        <v>#NAME?</v>
      </c>
      <c r="P246" t="e">
        <f ca="1">_xll.BDH($C$228,"NET_INCOME_TO_COMMON_MARGIN","FQ3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246" t="e">
        <f ca="1">_xll.BDH($C$228,"EFF_TAX_RATE","FQ3 2017","FQ3 2017","Currency=INR","Period=FQ","BEST_FPERIOD_OVERRIDE=FQ","FILING_STATUS=OR","EQY_CONSOLIDATED=Y","FA_ADJUSTED=GAAP","Sort=A","Dates=H","DateFormat=P","Fill=—","Direction=H","UseDPDF=Y")</f>
        <v>#NAME?</v>
      </c>
      <c r="R246" t="e">
        <f ca="1">_xll.BDH($C$228,"DVD_PAYOUT_RATIO","FQ3 2017","FQ3 2017","Currency=INR","Period=FQ","BEST_FPERIOD_OVERRIDE=FQ","FILING_STATUS=OR","EQY_CONSOLIDATED=Y","FA_ADJUSTED=GAAP","Sort=A","Dates=H","DateFormat=P","Fill=—","Direction=H","UseDPDF=Y")</f>
        <v>#NAME?</v>
      </c>
      <c r="S246" t="e">
        <f ca="1">_xll.BDH($C$228,"SUSTAIN_GROWTH_RT","FQ3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246" s="2" t="e">
        <f ca="1">_xll.BDH($C$228,"SALES_GROWTH","FQ3 2017","FQ3 2017","Currency=INR","Period=FQ","BEST_FPERIOD_OVERRIDE=FQ","FILING_STATUS=OR","EQY_CONSOLIDATED=Y","FA_ADJUSTED=GAAP","Sort=A","Dates=H","DateFormat=P","Fill=—","Direction=H","UseDPDF=Y")</f>
        <v>#NAME?</v>
      </c>
      <c r="U246" s="2" t="e">
        <f ca="1">_xll.BDH($C$228,"EBITDA_GROWTH","FQ3 2017","FQ3 2017","Currency=INR","Period=FQ","BEST_FPERIOD_OVERRIDE=FQ","FILING_STATUS=OR","EQY_CONSOLIDATED=Y","FA_ADJUSTED=GAAP","Sort=A","Dates=H","DateFormat=P","Fill=—","Direction=H","UseDPDF=Y")</f>
        <v>#NAME?</v>
      </c>
      <c r="V246" s="2" t="e">
        <f ca="1">_xll.BDH($C$228,"OPER_INC_GROWTH","FQ3 2017","FQ3 2017","Currency=INR","Period=FQ","BEST_FPERIOD_OVERRIDE=FQ","FILING_STATUS=OR","EQY_CONSOLIDATED=Y","FA_ADJUSTED=GAAP","Sort=A","Dates=H","DateFormat=P","Fill=—","Direction=H","UseDPDF=Y")</f>
        <v>#NAME?</v>
      </c>
      <c r="W246" s="2" t="e">
        <f ca="1">_xll.BDH($C$228,"EARN_FOR_COM_GROWTH","FQ3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246" s="2" t="e">
        <f ca="1">_xll.BDH($C$228,"DILUTED_EPS_AFT_XO_ITEMS_GROWTH","FQ3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246" s="2" t="e">
        <f ca="1">_xll.BDH($C$228,"DIVIDEND_PER_SHARE_1_YEAR_GROWTH","FQ3 2017","FQ3 2017","Currency=INR","Period=FQ","BEST_FPERIOD_OVERRIDE=FQ","FILING_STATUS=OR","EQY_CONSOLIDATED=Y","Sort=A","Dates=H","DateFormat=P","Fill=—","Direction=H","UseDPDF=Y")</f>
        <v>#NAME?</v>
      </c>
      <c r="Z246" s="2" t="e">
        <f ca="1">_xll.BDH($C$228,"ACCOUNTS_RECEIVABLE_GROWTH","FQ3 2017","FQ3 2017","Currency=INR","Period=FQ","BEST_FPERIOD_OVERRIDE=FQ","FILING_STATUS=OR","EQY_CONSOLIDATED=Y","Sort=A","Dates=H","DateFormat=P","Fill=—","Direction=H","UseDPDF=Y")</f>
        <v>#NAME?</v>
      </c>
      <c r="AA246" s="2" t="e">
        <f ca="1">_xll.BDH($C$228,"INVENTORY_GROWTH","FQ3 2017","FQ3 2017","Currency=INR","Period=FQ","BEST_FPERIOD_OVERRIDE=FQ","FILING_STATUS=OR","EQY_CONSOLIDATED=Y","Sort=A","Dates=H","DateFormat=P","Fill=—","Direction=H","UseDPDF=Y")</f>
        <v>#NAME?</v>
      </c>
      <c r="AB246" s="2" t="e">
        <f ca="1">_xll.BDH($C$228,"NET_FIXED_ASSETS_1_YEAR_GROWTH","FQ3 2017","FQ3 2017","Currency=INR","Period=FQ","BEST_FPERIOD_OVERRIDE=FQ","FILING_STATUS=OR","EQY_CONSOLIDATED=Y","Sort=A","Dates=H","DateFormat=P","Fill=—","Direction=H","UseDPDF=Y")</f>
        <v>#NAME?</v>
      </c>
      <c r="AC246" s="2" t="e">
        <f ca="1">_xll.BDH($C$228,"ASSET_GROWTH","FQ3 2017","FQ3 2017","Currency=INR","Period=FQ","BEST_FPERIOD_OVERRIDE=FQ","FILING_STATUS=OR","EQY_CONSOLIDATED=Y","Sort=A","Dates=H","DateFormat=P","Fill=—","Direction=H","UseDPDF=Y")</f>
        <v>#NAME?</v>
      </c>
      <c r="AD246" s="2" t="e">
        <f ca="1">_xll.BDH($C$228,"MODIFIED_WORK_CAP_GROWTH","FQ3 2017","FQ3 2017","Currency=INR","Period=FQ","BEST_FPERIOD_OVERRIDE=FQ","FILING_STATUS=OR","EQY_CONSOLIDATED=Y","Sort=A","Dates=H","DateFormat=P","Fill=—","Direction=H","UseDPDF=Y")</f>
        <v>#NAME?</v>
      </c>
      <c r="AE246" s="2" t="e">
        <f ca="1">_xll.BDH($C$228,"WORK_CAP_GROWTH","FQ3 2017","FQ3 2017","Currency=INR","Period=FQ","BEST_FPERIOD_OVERRIDE=FQ","FILING_STATUS=OR","EQY_CONSOLIDATED=Y","Sort=A","Dates=H","DateFormat=P","Fill=—","Direction=H","UseDPDF=Y")</f>
        <v>#NAME?</v>
      </c>
      <c r="AF246" s="2" t="e">
        <f ca="1">_xll.BDH($C$228,"ACCOUNTS_PAYABLE_GROWTH_1YR","FQ3 2017","FQ3 2017","Currency=INR","Period=FQ","BEST_FPERIOD_OVERRIDE=FQ","FILING_STATUS=OR","EQY_CONSOLIDATED=Y","Sort=A","Dates=H","DateFormat=P","Fill=—","Direction=H","UseDPDF=Y")</f>
        <v>#NAME?</v>
      </c>
      <c r="AG246" s="2" t="e">
        <f ca="1">_xll.BDH($C$228,"SHORT_TERM_DEBT_1_YEAR_GROWTH","FQ3 2017","FQ3 2017","Currency=INR","Period=FQ","BEST_FPERIOD_OVERRIDE=FQ","FILING_STATUS=OR","EQY_CONSOLIDATED=Y","Sort=A","Dates=H","DateFormat=P","Fill=—","Direction=H","UseDPDF=Y")</f>
        <v>#NAME?</v>
      </c>
      <c r="AH246" s="2" t="e">
        <f ca="1">_xll.BDH($C$228,"TOTAL_DEBT_1_YEAR_GROWTH","FQ3 2017","FQ3 2017","Currency=INR","Period=FQ","BEST_FPERIOD_OVERRIDE=FQ","FILING_STATUS=OR","EQY_CONSOLIDATED=Y","Sort=A","Dates=H","DateFormat=P","Fill=—","Direction=H","UseDPDF=Y")</f>
        <v>#NAME?</v>
      </c>
      <c r="AI246" s="2" t="e">
        <f ca="1">_xll.BDH($C$228,"TOTAL_EQUITY_1_YEAR_GROWTH","FQ3 2017","FQ3 2017","Currency=INR","Period=FQ","BEST_FPERIOD_OVERRIDE=FQ","FILING_STATUS=OR","EQY_CONSOLIDATED=Y","Sort=A","Dates=H","DateFormat=P","Fill=—","Direction=H","UseDPDF=Y")</f>
        <v>#NAME?</v>
      </c>
      <c r="AJ246" s="2" t="e">
        <f ca="1">_xll.BDH($C$228,"GROWTH_IN_CAP","FQ3 2017","FQ3 2017","Currency=INR","Period=FQ","BEST_FPERIOD_OVERRIDE=FQ","FILING_STATUS=OR","EQY_CONSOLIDATED=Y","Sort=A","Dates=H","DateFormat=P","Fill=—","Direction=H","UseDPDF=Y")</f>
        <v>#NAME?</v>
      </c>
      <c r="AK246" s="2" t="e">
        <f ca="1">_xll.BDH($C$228,"BVPS_GROWTH","FQ3 2017","FQ3 2017","Currency=INR","Period=FQ","BEST_FPERIOD_OVERRIDE=FQ","FILING_STATUS=OR","EQY_CONSOLIDATED=Y","Sort=A","Dates=H","DateFormat=P","Fill=—","Direction=H","UseDPDF=Y")</f>
        <v>#NAME?</v>
      </c>
      <c r="AL246" s="2" t="e">
        <f ca="1">_xll.BDH($C$228,"CASH_FLOW_GROWTH","FQ3 2017","FQ3 2017","Currency=INR","Period=FQ","BEST_FPERIOD_OVERRIDE=FQ","FILING_STATUS=OR","EQY_CONSOLIDATED=Y","Sort=A","Dates=H","DateFormat=P","Fill=—","Direction=H","UseDPDF=Y")</f>
        <v>#NAME?</v>
      </c>
      <c r="AM246" s="2" t="e">
        <f ca="1">_xll.BDH($C$228,"GEO_GROW_NET_SALES","FQ3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246" s="2" t="e">
        <f ca="1">_xll.BDH($C$228,"GEO_GROW_EBITDA","FQ3 2017","FQ3 2017","Currency=INR","Period=FQ","BEST_FPERIOD_OVERRIDE=FQ","FILING_STATUS=OR","EQY_CONSOLIDATED=Y","FA_ADJUSTED=GAAP","Sort=A","Dates=H","DateFormat=P","Fill=—","Direction=H","UseDPDF=Y")</f>
        <v>#NAME?</v>
      </c>
      <c r="AO246" s="2" t="e">
        <f ca="1">_xll.BDH($C$228,"GEO_GROW_OPER_INC","FQ3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246" s="2" t="e">
        <f ca="1">_xll.BDH($C$228,"NET_INCOME_TO_COMMON_5_YR_GROWTH","FQ3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246" s="2" t="e">
        <f ca="1">_xll.BDH($C$228,"5Y_GEO_GROWTH_DILUTED_EPS","FQ3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246" s="2" t="e">
        <f ca="1">_xll.BDH($C$228,"GEO_GROW_DVD_PER_SH","FQ3 2017","FQ3 2017","Currency=INR","Period=FQ","BEST_FPERIOD_OVERRIDE=FQ","FILING_STATUS=OR","EQY_CONSOLIDATED=Y","Sort=A","Dates=H","DateFormat=P","Fill=—","Direction=H","UseDPDF=Y")</f>
        <v>#NAME?</v>
      </c>
      <c r="AS246" s="2" t="e">
        <f ca="1">_xll.BDH($C$228,"ACCOUNTS_RECEIVABLE_5_YR_GROWTH","FQ3 2017","FQ3 2017","Currency=INR","Period=FQ","BEST_FPERIOD_OVERRIDE=FQ","FILING_STATUS=OR","EQY_CONSOLIDATED=Y","Sort=A","Dates=H","DateFormat=P","Fill=—","Direction=H","UseDPDF=Y")</f>
        <v>#NAME?</v>
      </c>
      <c r="AT246" s="2" t="e">
        <f ca="1">_xll.BDH($C$228,"INVENTORY_5_YEAR_GROWTH","FQ3 2017","FQ3 2017","Currency=INR","Period=FQ","BEST_FPERIOD_OVERRIDE=FQ","FILING_STATUS=OR","EQY_CONSOLIDATED=Y","Sort=A","Dates=H","DateFormat=P","Fill=—","Direction=H","UseDPDF=Y")</f>
        <v>#NAME?</v>
      </c>
      <c r="AU246" s="2" t="e">
        <f ca="1">_xll.BDH($C$228,"NET_FIXED_ASSETS_5_YEAR_GROWTH","FQ3 2017","FQ3 2017","Currency=INR","Period=FQ","BEST_FPERIOD_OVERRIDE=FQ","FILING_STATUS=OR","EQY_CONSOLIDATED=Y","Sort=A","Dates=H","DateFormat=P","Fill=—","Direction=H","UseDPDF=Y")</f>
        <v>#NAME?</v>
      </c>
      <c r="AV246" s="2" t="e">
        <f ca="1">_xll.BDH($C$228,"GEO_GROW_TOT_ASSET","FQ3 2017","FQ3 2017","Currency=INR","Period=FQ","BEST_FPERIOD_OVERRIDE=FQ","FILING_STATUS=OR","EQY_CONSOLIDATED=Y","Sort=A","Dates=H","DateFormat=P","Fill=—","Direction=H","UseDPDF=Y")</f>
        <v>#NAME?</v>
      </c>
      <c r="AW246" s="2" t="e">
        <f ca="1">_xll.BDH($C$228,"MODIFIED_WORKING_CPTL_5YR_GRWTH","FQ3 2017","FQ3 2017","Currency=INR","Period=FQ","BEST_FPERIOD_OVERRIDE=FQ","FILING_STATUS=OR","EQY_CONSOLIDATED=Y","Sort=A","Dates=H","DateFormat=P","Fill=—","Direction=H","UseDPDF=Y")</f>
        <v>#NAME?</v>
      </c>
      <c r="AX246" s="2" t="e">
        <f ca="1">_xll.BDH($C$228,"WORKING_CAPITAL_5_YEAR_GROWTH","FQ3 2017","FQ3 2017","Currency=INR","Period=FQ","BEST_FPERIOD_OVERRIDE=FQ","FILING_STATUS=OR","EQY_CONSOLIDATED=Y","Sort=A","Dates=H","DateFormat=P","Fill=—","Direction=H","UseDPDF=Y")</f>
        <v>#NAME?</v>
      </c>
      <c r="AY246" s="2" t="e">
        <f ca="1">_xll.BDH($C$228,"ACCOUNTS_PAYABLE_5_YEAR_GROWTH","FQ3 2017","FQ3 2017","Currency=INR","Period=FQ","BEST_FPERIOD_OVERRIDE=FQ","FILING_STATUS=OR","EQY_CONSOLIDATED=Y","Sort=A","Dates=H","DateFormat=P","Fill=—","Direction=H","UseDPDF=Y")</f>
        <v>#NAME?</v>
      </c>
      <c r="AZ246" s="2" t="e">
        <f ca="1">_xll.BDH($C$228,"SHORT_TERM_DEBT_5_YEAR_GROWTH","FQ3 2017","FQ3 2017","Currency=INR","Period=FQ","BEST_FPERIOD_OVERRIDE=FQ","FILING_STATUS=OR","EQY_CONSOLIDATED=Y","Sort=A","Dates=H","DateFormat=P","Fill=—","Direction=H","UseDPDF=Y")</f>
        <v>#NAME?</v>
      </c>
      <c r="BA246" s="2" t="e">
        <f ca="1">_xll.BDH($C$228,"TOTAL_DEBT_5_YEAR_GROWTH","FQ3 2017","FQ3 2017","Currency=INR","Period=FQ","BEST_FPERIOD_OVERRIDE=FQ","FILING_STATUS=OR","EQY_CONSOLIDATED=Y","Sort=A","Dates=H","DateFormat=P","Fill=—","Direction=H","UseDPDF=Y")</f>
        <v>#NAME?</v>
      </c>
      <c r="BB246" s="2" t="e">
        <f ca="1">_xll.BDH($C$228,"GEO_GROW_TOT_SHRHLDR_EQY","FQ3 2017","FQ3 2017","Currency=INR","Period=FQ","BEST_FPERIOD_OVERRIDE=FQ","FILING_STATUS=OR","EQY_CONSOLIDATED=Y","Sort=A","Dates=H","DateFormat=P","Fill=—","Direction=H","UseDPDF=Y")</f>
        <v>#NAME?</v>
      </c>
      <c r="BC246" s="2" t="e">
        <f ca="1">_xll.BDH($C$228,"TOTAL_CAPITAL_5_YEAR_GROWTH","FQ3 2017","FQ3 2017","Currency=INR","Period=FQ","BEST_FPERIOD_OVERRIDE=FQ","FILING_STATUS=OR","EQY_CONSOLIDATED=Y","Sort=A","Dates=H","DateFormat=P","Fill=—","Direction=H","UseDPDF=Y")</f>
        <v>#NAME?</v>
      </c>
      <c r="BD246" s="2" t="e">
        <f ca="1">_xll.BDH($C$228,"GEO_GROW_BOOK_VAL","FQ3 2017","FQ3 2017","Currency=INR","Period=FQ","BEST_FPERIOD_OVERRIDE=FQ","FILING_STATUS=OR","EQY_CONSOLIDATED=Y","Sort=A","Dates=H","DateFormat=P","Fill=—","Direction=H","UseDPDF=Y")</f>
        <v>#NAME?</v>
      </c>
      <c r="BE246" s="2" t="e">
        <f ca="1">_xll.BDH($C$228,"GEO_GROW_CASH_OPER_ACT","FQ3 2017","FQ3 2017","Currency=INR","Period=FQ","BEST_FPERIOD_OVERRIDE=FQ","FILING_STATUS=OR","EQY_CONSOLIDATED=Y","Sort=A","Dates=H","DateFormat=P","Fill=—","Direction=H","UseDPDF=Y")</f>
        <v>#NAME?</v>
      </c>
      <c r="BF246" s="2" t="e">
        <f ca="1">_xll.BDH($C$228,"REVENUE_SEQUENTIAL_GROWTH","FQ3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246" s="2" t="e">
        <f ca="1">_xll.BDH($C$228,"EBITDA_SEQUENTIAL_GROWTH","FQ3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246" s="2" t="e">
        <f ca="1">_xll.BDH($C$228,"OPERATING_INCOME_SEQ_GROWTH","FQ3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246" s="2" t="e">
        <f ca="1">_xll.BDH($C$228,"NET_INCOME_TO_COMMON_SEQ_GROWTH","FQ3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246" s="2" t="e">
        <f ca="1">_xll.BDH($C$228,"EPS_DILUTED_SEQUENTIAL_GROWTH","FQ3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246" s="2" t="e">
        <f ca="1">_xll.BDH($C$228,"DPS_SEQUENTIAL_GROWTH","FQ3 2017","FQ3 2017","Currency=INR","Period=FQ","BEST_FPERIOD_OVERRIDE=FQ","FILING_STATUS=OR","EQY_CONSOLIDATED=Y","Sort=A","Dates=H","DateFormat=P","Fill=—","Direction=H","UseDPDF=Y")</f>
        <v>#NAME?</v>
      </c>
      <c r="BL246" s="2" t="e">
        <f ca="1">_xll.BDH($C$228,"ACCOUNTS_RECEIVABLE_SEQ_GROWTH","FQ3 2017","FQ3 2017","Currency=INR","Period=FQ","BEST_FPERIOD_OVERRIDE=FQ","FILING_STATUS=OR","EQY_CONSOLIDATED=Y","Sort=A","Dates=H","DateFormat=P","Fill=—","Direction=H","UseDPDF=Y")</f>
        <v>#NAME?</v>
      </c>
      <c r="BM246" s="2" t="e">
        <f ca="1">_xll.BDH($C$228,"INVENTORY_SEQUENTIAL_GROWTH","FQ3 2017","FQ3 2017","Currency=INR","Period=FQ","BEST_FPERIOD_OVERRIDE=FQ","FILING_STATUS=OR","EQY_CONSOLIDATED=Y","Sort=A","Dates=H","DateFormat=P","Fill=—","Direction=H","UseDPDF=Y")</f>
        <v>#NAME?</v>
      </c>
      <c r="BN246" s="2" t="e">
        <f ca="1">_xll.BDH($C$228,"FIXED_ASSETS_SEQUENTIAL_GROWTH","FQ3 2017","FQ3 2017","Currency=INR","Period=FQ","BEST_FPERIOD_OVERRIDE=FQ","FILING_STATUS=OR","EQY_CONSOLIDATED=Y","Sort=A","Dates=H","DateFormat=P","Fill=—","Direction=H","UseDPDF=Y")</f>
        <v>#NAME?</v>
      </c>
      <c r="BO246" s="2" t="e">
        <f ca="1">_xll.BDH($C$228,"TOTAL_ASSETS_SEQUENTIAL_GROWTH","FQ3 2017","FQ3 2017","Currency=INR","Period=FQ","BEST_FPERIOD_OVERRIDE=FQ","FILING_STATUS=OR","EQY_CONSOLIDATED=Y","Sort=A","Dates=H","DateFormat=P","Fill=—","Direction=H","UseDPDF=Y")</f>
        <v>#NAME?</v>
      </c>
      <c r="BP246" s="2" t="e">
        <f ca="1">_xll.BDH($C$228,"MODIFIED_WORKING_CPTL_SEQ_GRWTH","FQ3 2017","FQ3 2017","Currency=INR","Period=FQ","BEST_FPERIOD_OVERRIDE=FQ","FILING_STATUS=OR","EQY_CONSOLIDATED=Y","Sort=A","Dates=H","DateFormat=P","Fill=—","Direction=H","UseDPDF=Y")</f>
        <v>#NAME?</v>
      </c>
      <c r="BQ246" s="2" t="e">
        <f ca="1">_xll.BDH($C$228,"WORKING_CAPITAL_SEQ_GROWTH","FQ3 2017","FQ3 2017","Currency=INR","Period=FQ","BEST_FPERIOD_OVERRIDE=FQ","FILING_STATUS=OR","EQY_CONSOLIDATED=Y","Sort=A","Dates=H","DateFormat=P","Fill=—","Direction=H","UseDPDF=Y")</f>
        <v>#NAME?</v>
      </c>
      <c r="BR246" s="2" t="e">
        <f ca="1">_xll.BDH($C$228,"ACCOUNTS_PAYABLE_SEQ_GROWTH","FQ3 2017","FQ3 2017","Currency=INR","Period=FQ","BEST_FPERIOD_OVERRIDE=FQ","FILING_STATUS=OR","EQY_CONSOLIDATED=Y","Sort=A","Dates=H","DateFormat=P","Fill=—","Direction=H","UseDPDF=Y")</f>
        <v>#NAME?</v>
      </c>
      <c r="BS246" s="2" t="e">
        <f ca="1">_xll.BDH($C$228,"ST_DEBT_SEQUENTIAL_GROWTH","FQ3 2017","FQ3 2017","Currency=INR","Period=FQ","BEST_FPERIOD_OVERRIDE=FQ","FILING_STATUS=OR","EQY_CONSOLIDATED=Y","Sort=A","Dates=H","DateFormat=P","Fill=—","Direction=H","UseDPDF=Y")</f>
        <v>#NAME?</v>
      </c>
      <c r="BT246" s="2" t="e">
        <f ca="1">_xll.BDH($C$228,"TOTAL_DEBT_SEQUENTIAL_GROWTH","FQ3 2017","FQ3 2017","Currency=INR","Period=FQ","BEST_FPERIOD_OVERRIDE=FQ","FILING_STATUS=OR","EQY_CONSOLIDATED=Y","Sort=A","Dates=H","DateFormat=P","Fill=—","Direction=H","UseDPDF=Y")</f>
        <v>#NAME?</v>
      </c>
      <c r="BU246" s="2" t="e">
        <f ca="1">_xll.BDH($C$228,"TOTAL_EQUITY_SEQUENTIAL_GROWTH","FQ3 2017","FQ3 2017","Currency=INR","Period=FQ","BEST_FPERIOD_OVERRIDE=FQ","FILING_STATUS=OR","EQY_CONSOLIDATED=Y","Sort=A","Dates=H","DateFormat=P","Fill=—","Direction=H","UseDPDF=Y")</f>
        <v>#NAME?</v>
      </c>
      <c r="BV246" s="2" t="e">
        <f ca="1">_xll.BDH($C$228,"TOTAL_CAPITAL_SEQUENTIAL_GROWTH","FQ3 2017","FQ3 2017","Currency=INR","Period=FQ","BEST_FPERIOD_OVERRIDE=FQ","FILING_STATUS=OR","EQY_CONSOLIDATED=Y","Sort=A","Dates=H","DateFormat=P","Fill=—","Direction=H","UseDPDF=Y")</f>
        <v>#NAME?</v>
      </c>
      <c r="BW246" s="2" t="e">
        <f ca="1">_xll.BDH($C$228,"BPS_SEQUENTIAL_GROWTH","FQ3 2017","FQ3 2017","Currency=INR","Period=FQ","BEST_FPERIOD_OVERRIDE=FQ","FILING_STATUS=OR","EQY_CONSOLIDATED=Y","Sort=A","Dates=H","DateFormat=P","Fill=—","Direction=H","UseDPDF=Y")</f>
        <v>#NAME?</v>
      </c>
      <c r="BX246" s="2" t="e">
        <f ca="1">_xll.BDH($C$228,"CFO_SEQUENTIAL_GROWTH","FQ3 2017","FQ3 2017","Currency=INR","Period=FQ","BEST_FPERIOD_OVERRIDE=FQ","FILING_STATUS=OR","EQY_CONSOLIDATED=Y","Sort=A","Dates=H","DateFormat=P","Fill=—","Direction=H","UseDPDF=Y")</f>
        <v>#NAME?</v>
      </c>
      <c r="BY246" s="3" t="e">
        <f ca="1">_xll.BDH($C$228,"SHORT_AND_LONG_TERM_DEBT","FQ3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246" s="3" t="e">
        <f ca="1">_xll.BDH($C$228,"BS_ST_BORROW","FQ3 2017","FQ3 2017","Currency=INR","Period=FQ","BEST_FPERIOD_OVERRIDE=FQ","FILING_STATUS=OR","EQY_CONSOLIDATED=Y","SCALING_FORMAT=MLN","Sort=A","Dates=H","DateFormat=P","Fill=—","Direction=H","UseDPDF=Y")</f>
        <v>#NAME?</v>
      </c>
      <c r="CA246" s="3" t="e">
        <f ca="1">_xll.BDH($C$228,"BS_LT_BORROW","FQ3 2017","FQ3 2017","Currency=INR","Period=FQ","BEST_FPERIOD_OVERRIDE=FQ","FILING_STATUS=OR","EQY_CONSOLIDATED=Y","SCALING_FORMAT=MLN","Sort=A","Dates=H","DateFormat=P","Fill=—","Direction=H","UseDPDF=Y")</f>
        <v>#NAME?</v>
      </c>
      <c r="CB246" s="2" t="e">
        <f ca="1">_xll.BDH($C$228,"TOT_DEBT_TO_EBITDA","FQ3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246" s="2" t="e">
        <f ca="1">_xll.BDH($C$228,"NET_DEBT_TO_EBITDA","FQ3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246" s="2" t="e">
        <f ca="1">_xll.BDH($C$228,"TOTAL_DEBT_TO_EBIT","FQ3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246" s="2" t="e">
        <f ca="1">_xll.BDH($C$228,"NET_DEBT_TO_EBIT","FQ3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246" s="2" t="e">
        <f ca="1">_xll.BDH($C$228,"EBITDA_TO_INTEREST_EXPN","FQ3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246" s="2" t="e">
        <f ca="1">_xll.BDH($C$228,"COM_EQY_TO_TOT_ASSET","FQ3 2017","FQ3 2017","Currency=INR","Period=FQ","BEST_FPERIOD_OVERRIDE=FQ","FILING_STATUS=OR","EQY_CONSOLIDATED=Y","Sort=A","Dates=H","DateFormat=P","Fill=—","Direction=H","UseDPDF=Y")</f>
        <v>#NAME?</v>
      </c>
      <c r="CH246" s="2" t="e">
        <f ca="1">_xll.BDH($C$228,"LT_DEBT_TO_TOT_EQY","FQ3 2017","FQ3 2017","Currency=INR","Period=FQ","BEST_FPERIOD_OVERRIDE=FQ","FILING_STATUS=OR","EQY_CONSOLIDATED=Y","Sort=A","Dates=H","DateFormat=P","Fill=—","Direction=H","UseDPDF=Y")</f>
        <v>#NAME?</v>
      </c>
      <c r="CI246" s="2" t="e">
        <f ca="1">_xll.BDH($C$228,"LT_DEBT_TO_TOT_CAP","FQ3 2017","FQ3 2017","Currency=INR","Period=FQ","BEST_FPERIOD_OVERRIDE=FQ","FILING_STATUS=OR","EQY_CONSOLIDATED=Y","Sort=A","Dates=H","DateFormat=P","Fill=—","Direction=H","UseDPDF=Y")</f>
        <v>#NAME?</v>
      </c>
      <c r="CJ246" s="2" t="e">
        <f ca="1">_xll.BDH($C$228,"LT_DEBT_TO_TOT_ASSET","FQ3 2017","FQ3 2017","Currency=INR","Period=FQ","BEST_FPERIOD_OVERRIDE=FQ","FILING_STATUS=OR","EQY_CONSOLIDATED=Y","Sort=A","Dates=H","DateFormat=P","Fill=—","Direction=H","UseDPDF=Y")</f>
        <v>#NAME?</v>
      </c>
      <c r="CK246" s="2" t="e">
        <f ca="1">_xll.BDH($C$228,"TOT_DEBT_TO_TOT_EQY","FQ3 2017","FQ3 2017","Currency=INR","Period=FQ","BEST_FPERIOD_OVERRIDE=FQ","FILING_STATUS=OR","EQY_CONSOLIDATED=Y","Sort=A","Dates=H","DateFormat=P","Fill=—","Direction=H","UseDPDF=Y")</f>
        <v>#NAME?</v>
      </c>
      <c r="CL246" s="2" t="e">
        <f ca="1">_xll.BDH($C$228,"TOT_DEBT_TO_TOT_CAP","FQ3 2017","FQ3 2017","Currency=INR","Period=FQ","BEST_FPERIOD_OVERRIDE=FQ","FILING_STATUS=OR","EQY_CONSOLIDATED=Y","Sort=A","Dates=H","DateFormat=P","Fill=—","Direction=H","UseDPDF=Y")</f>
        <v>#NAME?</v>
      </c>
      <c r="CM246" s="2" t="e">
        <f ca="1">_xll.BDH($C$228,"TOT_DEBT_TO_TOT_ASSET","FQ3 2017","FQ3 2017","Currency=INR","Period=FQ","BEST_FPERIOD_OVERRIDE=FQ","FILING_STATUS=OR","EQY_CONSOLIDATED=Y","Sort=A","Dates=H","DateFormat=P","Fill=—","Direction=H","UseDPDF=Y")</f>
        <v>#NAME?</v>
      </c>
      <c r="CN246" s="2" t="e">
        <f ca="1">_xll.BDH($C$228,"NET_DEBT_TO_SHRHLDR_EQTY","FQ3 2017","FQ3 2017","Currency=INR","Period=FQ","BEST_FPERIOD_OVERRIDE=FQ","FILING_STATUS=OR","EQY_CONSOLIDATED=Y","Sort=A","Dates=H","DateFormat=P","Fill=—","Direction=H","UseDPDF=Y")</f>
        <v>#NAME?</v>
      </c>
      <c r="CO246" s="2" t="e">
        <f ca="1">_xll.BDH($C$228,"NET_DEBT_%_CAPITAL","FQ3 2017","FQ3 2017","Currency=INR","Period=FQ","BEST_FPERIOD_OVERRIDE=FQ","FILING_STATUS=OR","EQY_CONSOLIDATED=Y","Sort=A","Dates=H","DateFormat=P","Fill=—","Direction=H","UseDPDF=Y")</f>
        <v>#NAME?</v>
      </c>
      <c r="CP246" s="3" t="e">
        <f ca="1">_xll.BDH($C$228,"EBITDA","FQ3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246" s="3" t="e">
        <f ca="1">_xll.BDH($C$228,"EBITDA_AFTER_CAPEX","FQ3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246" s="3" t="e">
        <f ca="1">_xll.BDH($C$228,"IS_OPER_INC","FQ3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246" s="2" t="e">
        <f ca="1">_xll.BDH($C$228,"CASH_RATIO","FQ3 2017","FQ3 2017","Currency=INR","Period=FQ","BEST_FPERIOD_OVERRIDE=FQ","FILING_STATUS=OR","EQY_CONSOLIDATED=Y","Sort=A","Dates=H","DateFormat=P","Fill=—","Direction=H","UseDPDF=Y")</f>
        <v>#NAME?</v>
      </c>
      <c r="CT246" s="2" t="e">
        <f ca="1">_xll.BDH($C$228,"CUR_RATIO","FQ3 2017","FQ3 2017","Currency=INR","Period=FQ","BEST_FPERIOD_OVERRIDE=FQ","FILING_STATUS=OR","EQY_CONSOLIDATED=Y","Sort=A","Dates=H","DateFormat=P","Fill=—","Direction=H","UseDPDF=Y")</f>
        <v>#NAME?</v>
      </c>
      <c r="CU246" s="2" t="e">
        <f ca="1">_xll.BDH($C$228,"QUICK_RATIO","FQ3 2017","FQ3 2017","Currency=INR","Period=FQ","BEST_FPERIOD_OVERRIDE=FQ","FILING_STATUS=OR","EQY_CONSOLIDATED=Y","Sort=A","Dates=H","DateFormat=P","Fill=—","Direction=H","UseDPDF=Y")</f>
        <v>#NAME?</v>
      </c>
      <c r="CV246" s="2" t="e">
        <f ca="1">_xll.BDH($C$228,"ALTMAN_Z_SCORE","FQ3 2017","FQ3 2017","Currency=INR","Period=FQ","BEST_FPERIOD_OVERRIDE=FQ","FILING_STATUS=OR","EQY_CONSOLIDATED=Y","Sort=A","Dates=H","DateFormat=P","Fill=—","Direction=H","UseDPDF=Y")</f>
        <v>#NAME?</v>
      </c>
      <c r="CW246" s="4" t="e">
        <f ca="1">_xll.BDH($C$228,"ACCT_RCV_TURN","FQ3 2017","FQ3 2017","Currency=INR","Period=FQ","BEST_FPERIOD_OVERRIDE=FQ","FILING_STATUS=OR","EQY_CONSOLIDATED=Y","FA_ADJUSTED=GAAP","Sort=A","Dates=H","DateFormat=P","Fill=—","Direction=H","UseDPDF=Y")</f>
        <v>#NAME?</v>
      </c>
      <c r="CX246" s="2" t="e">
        <f ca="1">_xll.BDH($C$228,"ACCT_RCV_DAYS","FQ3 2017","FQ3 2017","Currency=INR","Period=FQ","BEST_FPERIOD_OVERRIDE=FQ","FILING_STATUS=OR","EQY_CONSOLIDATED=Y","FA_ADJUSTED=GAAP","Sort=A","Dates=H","DateFormat=P","Fill=—","Direction=H","UseDPDF=Y")</f>
        <v>#NAME?</v>
      </c>
      <c r="CY246" s="4" t="e">
        <f ca="1">_xll.BDH($C$228,"INVENT_TURN","FQ3 2017","FQ3 2017","Currency=INR","Period=FQ","BEST_FPERIOD_OVERRIDE=FQ","FILING_STATUS=OR","EQY_CONSOLIDATED=Y","FA_ADJUSTED=GAAP","Sort=A","Dates=H","DateFormat=P","Fill=—","Direction=H","UseDPDF=Y")</f>
        <v>#NAME?</v>
      </c>
      <c r="CZ246" s="2" t="e">
        <f ca="1">_xll.BDH($C$228,"INVENT_DAYS","FQ3 2017","FQ3 2017","Currency=INR","Period=FQ","BEST_FPERIOD_OVERRIDE=FQ","FILING_STATUS=OR","EQY_CONSOLIDATED=Y","FA_ADJUSTED=GAAP","Sort=A","Dates=H","DateFormat=P","Fill=—","Direction=H","UseDPDF=Y")</f>
        <v>#NAME?</v>
      </c>
      <c r="DA246" s="4" t="e">
        <f ca="1">_xll.BDH($C$228,"ACCOUNTS_PAYABLE_TURNOVER","FQ3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246" s="2" t="e">
        <f ca="1">_xll.BDH($C$228,"ACCOUNTS_PAYABLE_TURNOVER_DAYS","FQ3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246" s="4" t="e">
        <f ca="1">_xll.BDH($C$228,"CASH_CONVERSION_CYCLE","FQ3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246" s="4" t="e">
        <f ca="1">_xll.BDH($C$228,"INV_TO_CASH_DAYS","FQ3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246" s="5" t="e">
        <f ca="1">_xll.BDH($C$228,"BS_INVENTORIES","FQ3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246" s="3" t="e">
        <f ca="1">_xll.BDH($C$228,"INVTRY_RAW_MATERIALS","FQ3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246" s="3" t="e">
        <f ca="1">_xll.BDH($C$228,"INVTRY_IN_PROGRESS","FQ3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246" s="3" t="e">
        <f ca="1">_xll.BDH($C$228,"INVTRY_FINISHED_GOODS","FQ3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246" s="3" t="e">
        <f ca="1">_xll.BDH($C$228,"BS_OTHER_INV","FQ3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247" spans="1:113" x14ac:dyDescent="0.3">
      <c r="A247" s="6"/>
      <c r="B247" s="6"/>
      <c r="C247" s="6"/>
      <c r="D247" s="6"/>
      <c r="E247" t="s">
        <v>81</v>
      </c>
      <c r="F247" t="e">
        <f ca="1">_xll.BDH($C$228,"RETURN_COM_EQY","FQ4 2017","FQ4 2017","Currency=INR","Period=FQ","BEST_FPERIOD_OVERRIDE=FQ","FILING_STATUS=OR","EQY_CONSOLIDATED=Y","FA_ADJUSTED=GAAP","Sort=A","Dates=H","DateFormat=P","Fill=—","Direction=H","UseDPDF=Y")</f>
        <v>#NAME?</v>
      </c>
      <c r="G247" t="e">
        <f ca="1">_xll.BDH($C$228,"RETURN_ON_ASSET","FQ4 2017","FQ4 2017","Currency=INR","Period=FQ","BEST_FPERIOD_OVERRIDE=FQ","FILING_STATUS=OR","EQY_CONSOLIDATED=Y","FA_ADJUSTED=GAAP","Sort=A","Dates=H","DateFormat=P","Fill=—","Direction=H","UseDPDF=Y")</f>
        <v>#NAME?</v>
      </c>
      <c r="H247" t="e">
        <f ca="1">_xll.BDH($C$228,"RETURN_ON_CAP","FQ4 2017","FQ4 2017","Currency=INR","Period=FQ","BEST_FPERIOD_OVERRIDE=FQ","FILING_STATUS=OR","EQY_CONSOLIDATED=Y","FA_ADJUSTED=GAAP","Sort=A","Dates=H","DateFormat=P","Fill=—","Direction=H","UseDPDF=Y")</f>
        <v>#NAME?</v>
      </c>
      <c r="I247" t="e">
        <f ca="1">_xll.BDH($C$228,"RETURN_ON_INV_CAPITAL","FQ4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247" t="e">
        <f ca="1">_xll.BDH($C$228,"EBITDA_TO_REVENUE","FQ4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247" t="e">
        <f ca="1">_xll.BDH($C$228,"OPER_MARGIN","FQ4 2017","FQ4 2017","Currency=INR","Period=FQ","BEST_FPERIOD_OVERRIDE=FQ","FILING_STATUS=OR","EQY_CONSOLIDATED=Y","FA_ADJUSTED=GAAP","Sort=A","Dates=H","DateFormat=P","Fill=—","Direction=H","UseDPDF=Y")</f>
        <v>#NAME?</v>
      </c>
      <c r="L247" t="e">
        <f ca="1">_xll.BDH($C$228,"INCREMENTAL_OPERATING_MARGIN","FQ4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247" t="e">
        <f ca="1">_xll.BDH($C$228,"PRETAX_INC_TO_NET_SALES","FQ4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247" t="e">
        <f ca="1">_xll.BDH($C$228,"INC_BEF_XO_ITEMS_TO_NET_SALES","FQ4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247" t="e">
        <f ca="1">_xll.BDH($C$228,"PROF_MARGIN","FQ4 2017","FQ4 2017","Currency=INR","Period=FQ","BEST_FPERIOD_OVERRIDE=FQ","FILING_STATUS=OR","EQY_CONSOLIDATED=Y","FA_ADJUSTED=GAAP","Sort=A","Dates=H","DateFormat=P","Fill=—","Direction=H","UseDPDF=Y")</f>
        <v>#NAME?</v>
      </c>
      <c r="P247" t="e">
        <f ca="1">_xll.BDH($C$228,"NET_INCOME_TO_COMMON_MARGIN","FQ4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247" t="e">
        <f ca="1">_xll.BDH($C$228,"EFF_TAX_RATE","FQ4 2017","FQ4 2017","Currency=INR","Period=FQ","BEST_FPERIOD_OVERRIDE=FQ","FILING_STATUS=OR","EQY_CONSOLIDATED=Y","FA_ADJUSTED=GAAP","Sort=A","Dates=H","DateFormat=P","Fill=—","Direction=H","UseDPDF=Y")</f>
        <v>#NAME?</v>
      </c>
      <c r="R247" t="e">
        <f ca="1">_xll.BDH($C$228,"DVD_PAYOUT_RATIO","FQ4 2017","FQ4 2017","Currency=INR","Period=FQ","BEST_FPERIOD_OVERRIDE=FQ","FILING_STATUS=OR","EQY_CONSOLIDATED=Y","FA_ADJUSTED=GAAP","Sort=A","Dates=H","DateFormat=P","Fill=—","Direction=H","UseDPDF=Y")</f>
        <v>#NAME?</v>
      </c>
      <c r="S247" t="e">
        <f ca="1">_xll.BDH($C$228,"SUSTAIN_GROWTH_RT","FQ4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247" s="2" t="e">
        <f ca="1">_xll.BDH($C$228,"SALES_GROWTH","FQ4 2017","FQ4 2017","Currency=INR","Period=FQ","BEST_FPERIOD_OVERRIDE=FQ","FILING_STATUS=OR","EQY_CONSOLIDATED=Y","FA_ADJUSTED=GAAP","Sort=A","Dates=H","DateFormat=P","Fill=—","Direction=H","UseDPDF=Y")</f>
        <v>#NAME?</v>
      </c>
      <c r="U247" s="2" t="e">
        <f ca="1">_xll.BDH($C$228,"EBITDA_GROWTH","FQ4 2017","FQ4 2017","Currency=INR","Period=FQ","BEST_FPERIOD_OVERRIDE=FQ","FILING_STATUS=OR","EQY_CONSOLIDATED=Y","FA_ADJUSTED=GAAP","Sort=A","Dates=H","DateFormat=P","Fill=—","Direction=H","UseDPDF=Y")</f>
        <v>#NAME?</v>
      </c>
      <c r="V247" s="2" t="e">
        <f ca="1">_xll.BDH($C$228,"OPER_INC_GROWTH","FQ4 2017","FQ4 2017","Currency=INR","Period=FQ","BEST_FPERIOD_OVERRIDE=FQ","FILING_STATUS=OR","EQY_CONSOLIDATED=Y","FA_ADJUSTED=GAAP","Sort=A","Dates=H","DateFormat=P","Fill=—","Direction=H","UseDPDF=Y")</f>
        <v>#NAME?</v>
      </c>
      <c r="W247" s="2" t="e">
        <f ca="1">_xll.BDH($C$228,"EARN_FOR_COM_GROWTH","FQ4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247" s="2" t="e">
        <f ca="1">_xll.BDH($C$228,"DILUTED_EPS_AFT_XO_ITEMS_GROWTH","FQ4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247" s="2" t="e">
        <f ca="1">_xll.BDH($C$228,"DIVIDEND_PER_SHARE_1_YEAR_GROWTH","FQ4 2017","FQ4 2017","Currency=INR","Period=FQ","BEST_FPERIOD_OVERRIDE=FQ","FILING_STATUS=OR","EQY_CONSOLIDATED=Y","Sort=A","Dates=H","DateFormat=P","Fill=—","Direction=H","UseDPDF=Y")</f>
        <v>#NAME?</v>
      </c>
      <c r="Z247" s="2" t="e">
        <f ca="1">_xll.BDH($C$228,"ACCOUNTS_RECEIVABLE_GROWTH","FQ4 2017","FQ4 2017","Currency=INR","Period=FQ","BEST_FPERIOD_OVERRIDE=FQ","FILING_STATUS=OR","EQY_CONSOLIDATED=Y","Sort=A","Dates=H","DateFormat=P","Fill=—","Direction=H","UseDPDF=Y")</f>
        <v>#NAME?</v>
      </c>
      <c r="AA247" s="2" t="e">
        <f ca="1">_xll.BDH($C$228,"INVENTORY_GROWTH","FQ4 2017","FQ4 2017","Currency=INR","Period=FQ","BEST_FPERIOD_OVERRIDE=FQ","FILING_STATUS=OR","EQY_CONSOLIDATED=Y","Sort=A","Dates=H","DateFormat=P","Fill=—","Direction=H","UseDPDF=Y")</f>
        <v>#NAME?</v>
      </c>
      <c r="AB247" s="2" t="e">
        <f ca="1">_xll.BDH($C$228,"NET_FIXED_ASSETS_1_YEAR_GROWTH","FQ4 2017","FQ4 2017","Currency=INR","Period=FQ","BEST_FPERIOD_OVERRIDE=FQ","FILING_STATUS=OR","EQY_CONSOLIDATED=Y","Sort=A","Dates=H","DateFormat=P","Fill=—","Direction=H","UseDPDF=Y")</f>
        <v>#NAME?</v>
      </c>
      <c r="AC247" s="2" t="e">
        <f ca="1">_xll.BDH($C$228,"ASSET_GROWTH","FQ4 2017","FQ4 2017","Currency=INR","Period=FQ","BEST_FPERIOD_OVERRIDE=FQ","FILING_STATUS=OR","EQY_CONSOLIDATED=Y","Sort=A","Dates=H","DateFormat=P","Fill=—","Direction=H","UseDPDF=Y")</f>
        <v>#NAME?</v>
      </c>
      <c r="AD247" s="2" t="e">
        <f ca="1">_xll.BDH($C$228,"MODIFIED_WORK_CAP_GROWTH","FQ4 2017","FQ4 2017","Currency=INR","Period=FQ","BEST_FPERIOD_OVERRIDE=FQ","FILING_STATUS=OR","EQY_CONSOLIDATED=Y","Sort=A","Dates=H","DateFormat=P","Fill=—","Direction=H","UseDPDF=Y")</f>
        <v>#NAME?</v>
      </c>
      <c r="AE247" s="2" t="e">
        <f ca="1">_xll.BDH($C$228,"WORK_CAP_GROWTH","FQ4 2017","FQ4 2017","Currency=INR","Period=FQ","BEST_FPERIOD_OVERRIDE=FQ","FILING_STATUS=OR","EQY_CONSOLIDATED=Y","Sort=A","Dates=H","DateFormat=P","Fill=—","Direction=H","UseDPDF=Y")</f>
        <v>#NAME?</v>
      </c>
      <c r="AF247" s="2" t="e">
        <f ca="1">_xll.BDH($C$228,"ACCOUNTS_PAYABLE_GROWTH_1YR","FQ4 2017","FQ4 2017","Currency=INR","Period=FQ","BEST_FPERIOD_OVERRIDE=FQ","FILING_STATUS=OR","EQY_CONSOLIDATED=Y","Sort=A","Dates=H","DateFormat=P","Fill=—","Direction=H","UseDPDF=Y")</f>
        <v>#NAME?</v>
      </c>
      <c r="AG247" s="2" t="e">
        <f ca="1">_xll.BDH($C$228,"SHORT_TERM_DEBT_1_YEAR_GROWTH","FQ4 2017","FQ4 2017","Currency=INR","Period=FQ","BEST_FPERIOD_OVERRIDE=FQ","FILING_STATUS=OR","EQY_CONSOLIDATED=Y","Sort=A","Dates=H","DateFormat=P","Fill=—","Direction=H","UseDPDF=Y")</f>
        <v>#NAME?</v>
      </c>
      <c r="AH247" s="2" t="e">
        <f ca="1">_xll.BDH($C$228,"TOTAL_DEBT_1_YEAR_GROWTH","FQ4 2017","FQ4 2017","Currency=INR","Period=FQ","BEST_FPERIOD_OVERRIDE=FQ","FILING_STATUS=OR","EQY_CONSOLIDATED=Y","Sort=A","Dates=H","DateFormat=P","Fill=—","Direction=H","UseDPDF=Y")</f>
        <v>#NAME?</v>
      </c>
      <c r="AI247" s="2" t="e">
        <f ca="1">_xll.BDH($C$228,"TOTAL_EQUITY_1_YEAR_GROWTH","FQ4 2017","FQ4 2017","Currency=INR","Period=FQ","BEST_FPERIOD_OVERRIDE=FQ","FILING_STATUS=OR","EQY_CONSOLIDATED=Y","Sort=A","Dates=H","DateFormat=P","Fill=—","Direction=H","UseDPDF=Y")</f>
        <v>#NAME?</v>
      </c>
      <c r="AJ247" s="2" t="e">
        <f ca="1">_xll.BDH($C$228,"GROWTH_IN_CAP","FQ4 2017","FQ4 2017","Currency=INR","Period=FQ","BEST_FPERIOD_OVERRIDE=FQ","FILING_STATUS=OR","EQY_CONSOLIDATED=Y","Sort=A","Dates=H","DateFormat=P","Fill=—","Direction=H","UseDPDF=Y")</f>
        <v>#NAME?</v>
      </c>
      <c r="AK247" s="2" t="e">
        <f ca="1">_xll.BDH($C$228,"BVPS_GROWTH","FQ4 2017","FQ4 2017","Currency=INR","Period=FQ","BEST_FPERIOD_OVERRIDE=FQ","FILING_STATUS=OR","EQY_CONSOLIDATED=Y","Sort=A","Dates=H","DateFormat=P","Fill=—","Direction=H","UseDPDF=Y")</f>
        <v>#NAME?</v>
      </c>
      <c r="AL247" s="2" t="e">
        <f ca="1">_xll.BDH($C$228,"CASH_FLOW_GROWTH","FQ4 2017","FQ4 2017","Currency=INR","Period=FQ","BEST_FPERIOD_OVERRIDE=FQ","FILING_STATUS=OR","EQY_CONSOLIDATED=Y","Sort=A","Dates=H","DateFormat=P","Fill=—","Direction=H","UseDPDF=Y")</f>
        <v>#NAME?</v>
      </c>
      <c r="AM247" s="2" t="e">
        <f ca="1">_xll.BDH($C$228,"GEO_GROW_NET_SALES","FQ4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247" s="2" t="e">
        <f ca="1">_xll.BDH($C$228,"GEO_GROW_EBITDA","FQ4 2017","FQ4 2017","Currency=INR","Period=FQ","BEST_FPERIOD_OVERRIDE=FQ","FILING_STATUS=OR","EQY_CONSOLIDATED=Y","FA_ADJUSTED=GAAP","Sort=A","Dates=H","DateFormat=P","Fill=—","Direction=H","UseDPDF=Y")</f>
        <v>#NAME?</v>
      </c>
      <c r="AO247" s="2" t="e">
        <f ca="1">_xll.BDH($C$228,"GEO_GROW_OPER_INC","FQ4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247" s="2" t="e">
        <f ca="1">_xll.BDH($C$228,"NET_INCOME_TO_COMMON_5_YR_GROWTH","FQ4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247" s="2" t="e">
        <f ca="1">_xll.BDH($C$228,"5Y_GEO_GROWTH_DILUTED_EPS","FQ4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247" s="2" t="e">
        <f ca="1">_xll.BDH($C$228,"GEO_GROW_DVD_PER_SH","FQ4 2017","FQ4 2017","Currency=INR","Period=FQ","BEST_FPERIOD_OVERRIDE=FQ","FILING_STATUS=OR","EQY_CONSOLIDATED=Y","Sort=A","Dates=H","DateFormat=P","Fill=—","Direction=H","UseDPDF=Y")</f>
        <v>#NAME?</v>
      </c>
      <c r="AS247" s="2" t="e">
        <f ca="1">_xll.BDH($C$228,"ACCOUNTS_RECEIVABLE_5_YR_GROWTH","FQ4 2017","FQ4 2017","Currency=INR","Period=FQ","BEST_FPERIOD_OVERRIDE=FQ","FILING_STATUS=OR","EQY_CONSOLIDATED=Y","Sort=A","Dates=H","DateFormat=P","Fill=—","Direction=H","UseDPDF=Y")</f>
        <v>#NAME?</v>
      </c>
      <c r="AT247" s="2" t="e">
        <f ca="1">_xll.BDH($C$228,"INVENTORY_5_YEAR_GROWTH","FQ4 2017","FQ4 2017","Currency=INR","Period=FQ","BEST_FPERIOD_OVERRIDE=FQ","FILING_STATUS=OR","EQY_CONSOLIDATED=Y","Sort=A","Dates=H","DateFormat=P","Fill=—","Direction=H","UseDPDF=Y")</f>
        <v>#NAME?</v>
      </c>
      <c r="AU247" s="2" t="e">
        <f ca="1">_xll.BDH($C$228,"NET_FIXED_ASSETS_5_YEAR_GROWTH","FQ4 2017","FQ4 2017","Currency=INR","Period=FQ","BEST_FPERIOD_OVERRIDE=FQ","FILING_STATUS=OR","EQY_CONSOLIDATED=Y","Sort=A","Dates=H","DateFormat=P","Fill=—","Direction=H","UseDPDF=Y")</f>
        <v>#NAME?</v>
      </c>
      <c r="AV247" s="2" t="e">
        <f ca="1">_xll.BDH($C$228,"GEO_GROW_TOT_ASSET","FQ4 2017","FQ4 2017","Currency=INR","Period=FQ","BEST_FPERIOD_OVERRIDE=FQ","FILING_STATUS=OR","EQY_CONSOLIDATED=Y","Sort=A","Dates=H","DateFormat=P","Fill=—","Direction=H","UseDPDF=Y")</f>
        <v>#NAME?</v>
      </c>
      <c r="AW247" s="2" t="e">
        <f ca="1">_xll.BDH($C$228,"MODIFIED_WORKING_CPTL_5YR_GRWTH","FQ4 2017","FQ4 2017","Currency=INR","Period=FQ","BEST_FPERIOD_OVERRIDE=FQ","FILING_STATUS=OR","EQY_CONSOLIDATED=Y","Sort=A","Dates=H","DateFormat=P","Fill=—","Direction=H","UseDPDF=Y")</f>
        <v>#NAME?</v>
      </c>
      <c r="AX247" s="2" t="e">
        <f ca="1">_xll.BDH($C$228,"WORKING_CAPITAL_5_YEAR_GROWTH","FQ4 2017","FQ4 2017","Currency=INR","Period=FQ","BEST_FPERIOD_OVERRIDE=FQ","FILING_STATUS=OR","EQY_CONSOLIDATED=Y","Sort=A","Dates=H","DateFormat=P","Fill=—","Direction=H","UseDPDF=Y")</f>
        <v>#NAME?</v>
      </c>
      <c r="AY247" s="2" t="e">
        <f ca="1">_xll.BDH($C$228,"ACCOUNTS_PAYABLE_5_YEAR_GROWTH","FQ4 2017","FQ4 2017","Currency=INR","Period=FQ","BEST_FPERIOD_OVERRIDE=FQ","FILING_STATUS=OR","EQY_CONSOLIDATED=Y","Sort=A","Dates=H","DateFormat=P","Fill=—","Direction=H","UseDPDF=Y")</f>
        <v>#NAME?</v>
      </c>
      <c r="AZ247" s="2" t="e">
        <f ca="1">_xll.BDH($C$228,"SHORT_TERM_DEBT_5_YEAR_GROWTH","FQ4 2017","FQ4 2017","Currency=INR","Period=FQ","BEST_FPERIOD_OVERRIDE=FQ","FILING_STATUS=OR","EQY_CONSOLIDATED=Y","Sort=A","Dates=H","DateFormat=P","Fill=—","Direction=H","UseDPDF=Y")</f>
        <v>#NAME?</v>
      </c>
      <c r="BA247" s="2" t="e">
        <f ca="1">_xll.BDH($C$228,"TOTAL_DEBT_5_YEAR_GROWTH","FQ4 2017","FQ4 2017","Currency=INR","Period=FQ","BEST_FPERIOD_OVERRIDE=FQ","FILING_STATUS=OR","EQY_CONSOLIDATED=Y","Sort=A","Dates=H","DateFormat=P","Fill=—","Direction=H","UseDPDF=Y")</f>
        <v>#NAME?</v>
      </c>
      <c r="BB247" s="2" t="e">
        <f ca="1">_xll.BDH($C$228,"GEO_GROW_TOT_SHRHLDR_EQY","FQ4 2017","FQ4 2017","Currency=INR","Period=FQ","BEST_FPERIOD_OVERRIDE=FQ","FILING_STATUS=OR","EQY_CONSOLIDATED=Y","Sort=A","Dates=H","DateFormat=P","Fill=—","Direction=H","UseDPDF=Y")</f>
        <v>#NAME?</v>
      </c>
      <c r="BC247" s="2" t="e">
        <f ca="1">_xll.BDH($C$228,"TOTAL_CAPITAL_5_YEAR_GROWTH","FQ4 2017","FQ4 2017","Currency=INR","Period=FQ","BEST_FPERIOD_OVERRIDE=FQ","FILING_STATUS=OR","EQY_CONSOLIDATED=Y","Sort=A","Dates=H","DateFormat=P","Fill=—","Direction=H","UseDPDF=Y")</f>
        <v>#NAME?</v>
      </c>
      <c r="BD247" s="2" t="e">
        <f ca="1">_xll.BDH($C$228,"GEO_GROW_BOOK_VAL","FQ4 2017","FQ4 2017","Currency=INR","Period=FQ","BEST_FPERIOD_OVERRIDE=FQ","FILING_STATUS=OR","EQY_CONSOLIDATED=Y","Sort=A","Dates=H","DateFormat=P","Fill=—","Direction=H","UseDPDF=Y")</f>
        <v>#NAME?</v>
      </c>
      <c r="BE247" s="2" t="e">
        <f ca="1">_xll.BDH($C$228,"GEO_GROW_CASH_OPER_ACT","FQ4 2017","FQ4 2017","Currency=INR","Period=FQ","BEST_FPERIOD_OVERRIDE=FQ","FILING_STATUS=OR","EQY_CONSOLIDATED=Y","Sort=A","Dates=H","DateFormat=P","Fill=—","Direction=H","UseDPDF=Y")</f>
        <v>#NAME?</v>
      </c>
      <c r="BF247" s="2" t="e">
        <f ca="1">_xll.BDH($C$228,"REVENUE_SEQUENTIAL_GROWTH","FQ4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247" s="2" t="e">
        <f ca="1">_xll.BDH($C$228,"EBITDA_SEQUENTIAL_GROWTH","FQ4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247" s="2" t="e">
        <f ca="1">_xll.BDH($C$228,"OPERATING_INCOME_SEQ_GROWTH","FQ4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247" s="2" t="e">
        <f ca="1">_xll.BDH($C$228,"NET_INCOME_TO_COMMON_SEQ_GROWTH","FQ4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247" s="2" t="e">
        <f ca="1">_xll.BDH($C$228,"EPS_DILUTED_SEQUENTIAL_GROWTH","FQ4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247" s="2" t="e">
        <f ca="1">_xll.BDH($C$228,"DPS_SEQUENTIAL_GROWTH","FQ4 2017","FQ4 2017","Currency=INR","Period=FQ","BEST_FPERIOD_OVERRIDE=FQ","FILING_STATUS=OR","EQY_CONSOLIDATED=Y","Sort=A","Dates=H","DateFormat=P","Fill=—","Direction=H","UseDPDF=Y")</f>
        <v>#NAME?</v>
      </c>
      <c r="BL247" s="2" t="e">
        <f ca="1">_xll.BDH($C$228,"ACCOUNTS_RECEIVABLE_SEQ_GROWTH","FQ4 2017","FQ4 2017","Currency=INR","Period=FQ","BEST_FPERIOD_OVERRIDE=FQ","FILING_STATUS=OR","EQY_CONSOLIDATED=Y","Sort=A","Dates=H","DateFormat=P","Fill=—","Direction=H","UseDPDF=Y")</f>
        <v>#NAME?</v>
      </c>
      <c r="BM247" s="2" t="e">
        <f ca="1">_xll.BDH($C$228,"INVENTORY_SEQUENTIAL_GROWTH","FQ4 2017","FQ4 2017","Currency=INR","Period=FQ","BEST_FPERIOD_OVERRIDE=FQ","FILING_STATUS=OR","EQY_CONSOLIDATED=Y","Sort=A","Dates=H","DateFormat=P","Fill=—","Direction=H","UseDPDF=Y")</f>
        <v>#NAME?</v>
      </c>
      <c r="BN247" s="2" t="e">
        <f ca="1">_xll.BDH($C$228,"FIXED_ASSETS_SEQUENTIAL_GROWTH","FQ4 2017","FQ4 2017","Currency=INR","Period=FQ","BEST_FPERIOD_OVERRIDE=FQ","FILING_STATUS=OR","EQY_CONSOLIDATED=Y","Sort=A","Dates=H","DateFormat=P","Fill=—","Direction=H","UseDPDF=Y")</f>
        <v>#NAME?</v>
      </c>
      <c r="BO247" s="2" t="e">
        <f ca="1">_xll.BDH($C$228,"TOTAL_ASSETS_SEQUENTIAL_GROWTH","FQ4 2017","FQ4 2017","Currency=INR","Period=FQ","BEST_FPERIOD_OVERRIDE=FQ","FILING_STATUS=OR","EQY_CONSOLIDATED=Y","Sort=A","Dates=H","DateFormat=P","Fill=—","Direction=H","UseDPDF=Y")</f>
        <v>#NAME?</v>
      </c>
      <c r="BP247" s="2" t="e">
        <f ca="1">_xll.BDH($C$228,"MODIFIED_WORKING_CPTL_SEQ_GRWTH","FQ4 2017","FQ4 2017","Currency=INR","Period=FQ","BEST_FPERIOD_OVERRIDE=FQ","FILING_STATUS=OR","EQY_CONSOLIDATED=Y","Sort=A","Dates=H","DateFormat=P","Fill=—","Direction=H","UseDPDF=Y")</f>
        <v>#NAME?</v>
      </c>
      <c r="BQ247" s="2" t="e">
        <f ca="1">_xll.BDH($C$228,"WORKING_CAPITAL_SEQ_GROWTH","FQ4 2017","FQ4 2017","Currency=INR","Period=FQ","BEST_FPERIOD_OVERRIDE=FQ","FILING_STATUS=OR","EQY_CONSOLIDATED=Y","Sort=A","Dates=H","DateFormat=P","Fill=—","Direction=H","UseDPDF=Y")</f>
        <v>#NAME?</v>
      </c>
      <c r="BR247" s="2" t="e">
        <f ca="1">_xll.BDH($C$228,"ACCOUNTS_PAYABLE_SEQ_GROWTH","FQ4 2017","FQ4 2017","Currency=INR","Period=FQ","BEST_FPERIOD_OVERRIDE=FQ","FILING_STATUS=OR","EQY_CONSOLIDATED=Y","Sort=A","Dates=H","DateFormat=P","Fill=—","Direction=H","UseDPDF=Y")</f>
        <v>#NAME?</v>
      </c>
      <c r="BS247" s="2" t="e">
        <f ca="1">_xll.BDH($C$228,"ST_DEBT_SEQUENTIAL_GROWTH","FQ4 2017","FQ4 2017","Currency=INR","Period=FQ","BEST_FPERIOD_OVERRIDE=FQ","FILING_STATUS=OR","EQY_CONSOLIDATED=Y","Sort=A","Dates=H","DateFormat=P","Fill=—","Direction=H","UseDPDF=Y")</f>
        <v>#NAME?</v>
      </c>
      <c r="BT247" s="2" t="e">
        <f ca="1">_xll.BDH($C$228,"TOTAL_DEBT_SEQUENTIAL_GROWTH","FQ4 2017","FQ4 2017","Currency=INR","Period=FQ","BEST_FPERIOD_OVERRIDE=FQ","FILING_STATUS=OR","EQY_CONSOLIDATED=Y","Sort=A","Dates=H","DateFormat=P","Fill=—","Direction=H","UseDPDF=Y")</f>
        <v>#NAME?</v>
      </c>
      <c r="BU247" s="2" t="e">
        <f ca="1">_xll.BDH($C$228,"TOTAL_EQUITY_SEQUENTIAL_GROWTH","FQ4 2017","FQ4 2017","Currency=INR","Period=FQ","BEST_FPERIOD_OVERRIDE=FQ","FILING_STATUS=OR","EQY_CONSOLIDATED=Y","Sort=A","Dates=H","DateFormat=P","Fill=—","Direction=H","UseDPDF=Y")</f>
        <v>#NAME?</v>
      </c>
      <c r="BV247" s="2" t="e">
        <f ca="1">_xll.BDH($C$228,"TOTAL_CAPITAL_SEQUENTIAL_GROWTH","FQ4 2017","FQ4 2017","Currency=INR","Period=FQ","BEST_FPERIOD_OVERRIDE=FQ","FILING_STATUS=OR","EQY_CONSOLIDATED=Y","Sort=A","Dates=H","DateFormat=P","Fill=—","Direction=H","UseDPDF=Y")</f>
        <v>#NAME?</v>
      </c>
      <c r="BW247" s="2" t="e">
        <f ca="1">_xll.BDH($C$228,"BPS_SEQUENTIAL_GROWTH","FQ4 2017","FQ4 2017","Currency=INR","Period=FQ","BEST_FPERIOD_OVERRIDE=FQ","FILING_STATUS=OR","EQY_CONSOLIDATED=Y","Sort=A","Dates=H","DateFormat=P","Fill=—","Direction=H","UseDPDF=Y")</f>
        <v>#NAME?</v>
      </c>
      <c r="BX247" s="2" t="e">
        <f ca="1">_xll.BDH($C$228,"CFO_SEQUENTIAL_GROWTH","FQ4 2017","FQ4 2017","Currency=INR","Period=FQ","BEST_FPERIOD_OVERRIDE=FQ","FILING_STATUS=OR","EQY_CONSOLIDATED=Y","Sort=A","Dates=H","DateFormat=P","Fill=—","Direction=H","UseDPDF=Y")</f>
        <v>#NAME?</v>
      </c>
      <c r="BY247" s="3" t="e">
        <f ca="1">_xll.BDH($C$228,"SHORT_AND_LONG_TERM_DEBT","FQ4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247" s="3" t="e">
        <f ca="1">_xll.BDH($C$228,"BS_ST_BORROW","FQ4 2017","FQ4 2017","Currency=INR","Period=FQ","BEST_FPERIOD_OVERRIDE=FQ","FILING_STATUS=OR","EQY_CONSOLIDATED=Y","SCALING_FORMAT=MLN","Sort=A","Dates=H","DateFormat=P","Fill=—","Direction=H","UseDPDF=Y")</f>
        <v>#NAME?</v>
      </c>
      <c r="CA247" s="3" t="e">
        <f ca="1">_xll.BDH($C$228,"BS_LT_BORROW","FQ4 2017","FQ4 2017","Currency=INR","Period=FQ","BEST_FPERIOD_OVERRIDE=FQ","FILING_STATUS=OR","EQY_CONSOLIDATED=Y","SCALING_FORMAT=MLN","Sort=A","Dates=H","DateFormat=P","Fill=—","Direction=H","UseDPDF=Y")</f>
        <v>#NAME?</v>
      </c>
      <c r="CB247" s="2" t="e">
        <f ca="1">_xll.BDH($C$228,"TOT_DEBT_TO_EBITDA","FQ4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247" s="2" t="e">
        <f ca="1">_xll.BDH($C$228,"NET_DEBT_TO_EBITDA","FQ4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247" s="2" t="e">
        <f ca="1">_xll.BDH($C$228,"TOTAL_DEBT_TO_EBIT","FQ4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247" s="2" t="e">
        <f ca="1">_xll.BDH($C$228,"NET_DEBT_TO_EBIT","FQ4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247" s="2" t="e">
        <f ca="1">_xll.BDH($C$228,"EBITDA_TO_INTEREST_EXPN","FQ4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247" s="2" t="e">
        <f ca="1">_xll.BDH($C$228,"COM_EQY_TO_TOT_ASSET","FQ4 2017","FQ4 2017","Currency=INR","Period=FQ","BEST_FPERIOD_OVERRIDE=FQ","FILING_STATUS=OR","EQY_CONSOLIDATED=Y","Sort=A","Dates=H","DateFormat=P","Fill=—","Direction=H","UseDPDF=Y")</f>
        <v>#NAME?</v>
      </c>
      <c r="CH247" s="2" t="e">
        <f ca="1">_xll.BDH($C$228,"LT_DEBT_TO_TOT_EQY","FQ4 2017","FQ4 2017","Currency=INR","Period=FQ","BEST_FPERIOD_OVERRIDE=FQ","FILING_STATUS=OR","EQY_CONSOLIDATED=Y","Sort=A","Dates=H","DateFormat=P","Fill=—","Direction=H","UseDPDF=Y")</f>
        <v>#NAME?</v>
      </c>
      <c r="CI247" s="2" t="e">
        <f ca="1">_xll.BDH($C$228,"LT_DEBT_TO_TOT_CAP","FQ4 2017","FQ4 2017","Currency=INR","Period=FQ","BEST_FPERIOD_OVERRIDE=FQ","FILING_STATUS=OR","EQY_CONSOLIDATED=Y","Sort=A","Dates=H","DateFormat=P","Fill=—","Direction=H","UseDPDF=Y")</f>
        <v>#NAME?</v>
      </c>
      <c r="CJ247" s="2" t="e">
        <f ca="1">_xll.BDH($C$228,"LT_DEBT_TO_TOT_ASSET","FQ4 2017","FQ4 2017","Currency=INR","Period=FQ","BEST_FPERIOD_OVERRIDE=FQ","FILING_STATUS=OR","EQY_CONSOLIDATED=Y","Sort=A","Dates=H","DateFormat=P","Fill=—","Direction=H","UseDPDF=Y")</f>
        <v>#NAME?</v>
      </c>
      <c r="CK247" s="2" t="e">
        <f ca="1">_xll.BDH($C$228,"TOT_DEBT_TO_TOT_EQY","FQ4 2017","FQ4 2017","Currency=INR","Period=FQ","BEST_FPERIOD_OVERRIDE=FQ","FILING_STATUS=OR","EQY_CONSOLIDATED=Y","Sort=A","Dates=H","DateFormat=P","Fill=—","Direction=H","UseDPDF=Y")</f>
        <v>#NAME?</v>
      </c>
      <c r="CL247" s="2" t="e">
        <f ca="1">_xll.BDH($C$228,"TOT_DEBT_TO_TOT_CAP","FQ4 2017","FQ4 2017","Currency=INR","Period=FQ","BEST_FPERIOD_OVERRIDE=FQ","FILING_STATUS=OR","EQY_CONSOLIDATED=Y","Sort=A","Dates=H","DateFormat=P","Fill=—","Direction=H","UseDPDF=Y")</f>
        <v>#NAME?</v>
      </c>
      <c r="CM247" s="2" t="e">
        <f ca="1">_xll.BDH($C$228,"TOT_DEBT_TO_TOT_ASSET","FQ4 2017","FQ4 2017","Currency=INR","Period=FQ","BEST_FPERIOD_OVERRIDE=FQ","FILING_STATUS=OR","EQY_CONSOLIDATED=Y","Sort=A","Dates=H","DateFormat=P","Fill=—","Direction=H","UseDPDF=Y")</f>
        <v>#NAME?</v>
      </c>
      <c r="CN247" s="2" t="e">
        <f ca="1">_xll.BDH($C$228,"NET_DEBT_TO_SHRHLDR_EQTY","FQ4 2017","FQ4 2017","Currency=INR","Period=FQ","BEST_FPERIOD_OVERRIDE=FQ","FILING_STATUS=OR","EQY_CONSOLIDATED=Y","Sort=A","Dates=H","DateFormat=P","Fill=—","Direction=H","UseDPDF=Y")</f>
        <v>#NAME?</v>
      </c>
      <c r="CO247" s="2" t="e">
        <f ca="1">_xll.BDH($C$228,"NET_DEBT_%_CAPITAL","FQ4 2017","FQ4 2017","Currency=INR","Period=FQ","BEST_FPERIOD_OVERRIDE=FQ","FILING_STATUS=OR","EQY_CONSOLIDATED=Y","Sort=A","Dates=H","DateFormat=P","Fill=—","Direction=H","UseDPDF=Y")</f>
        <v>#NAME?</v>
      </c>
      <c r="CP247" s="3" t="e">
        <f ca="1">_xll.BDH($C$228,"EBITDA","FQ4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247" s="3" t="e">
        <f ca="1">_xll.BDH($C$228,"EBITDA_AFTER_CAPEX","FQ4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247" s="3" t="e">
        <f ca="1">_xll.BDH($C$228,"IS_OPER_INC","FQ4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247" s="2" t="e">
        <f ca="1">_xll.BDH($C$228,"CASH_RATIO","FQ4 2017","FQ4 2017","Currency=INR","Period=FQ","BEST_FPERIOD_OVERRIDE=FQ","FILING_STATUS=OR","EQY_CONSOLIDATED=Y","Sort=A","Dates=H","DateFormat=P","Fill=—","Direction=H","UseDPDF=Y")</f>
        <v>#NAME?</v>
      </c>
      <c r="CT247" s="2" t="e">
        <f ca="1">_xll.BDH($C$228,"CUR_RATIO","FQ4 2017","FQ4 2017","Currency=INR","Period=FQ","BEST_FPERIOD_OVERRIDE=FQ","FILING_STATUS=OR","EQY_CONSOLIDATED=Y","Sort=A","Dates=H","DateFormat=P","Fill=—","Direction=H","UseDPDF=Y")</f>
        <v>#NAME?</v>
      </c>
      <c r="CU247" s="2" t="e">
        <f ca="1">_xll.BDH($C$228,"QUICK_RATIO","FQ4 2017","FQ4 2017","Currency=INR","Period=FQ","BEST_FPERIOD_OVERRIDE=FQ","FILING_STATUS=OR","EQY_CONSOLIDATED=Y","Sort=A","Dates=H","DateFormat=P","Fill=—","Direction=H","UseDPDF=Y")</f>
        <v>#NAME?</v>
      </c>
      <c r="CV247" s="2" t="e">
        <f ca="1">_xll.BDH($C$228,"ALTMAN_Z_SCORE","FQ4 2017","FQ4 2017","Currency=INR","Period=FQ","BEST_FPERIOD_OVERRIDE=FQ","FILING_STATUS=OR","EQY_CONSOLIDATED=Y","Sort=A","Dates=H","DateFormat=P","Fill=—","Direction=H","UseDPDF=Y")</f>
        <v>#NAME?</v>
      </c>
      <c r="CW247" s="4" t="e">
        <f ca="1">_xll.BDH($C$228,"ACCT_RCV_TURN","FQ4 2017","FQ4 2017","Currency=INR","Period=FQ","BEST_FPERIOD_OVERRIDE=FQ","FILING_STATUS=OR","EQY_CONSOLIDATED=Y","FA_ADJUSTED=GAAP","Sort=A","Dates=H","DateFormat=P","Fill=—","Direction=H","UseDPDF=Y")</f>
        <v>#NAME?</v>
      </c>
      <c r="CX247" s="2" t="e">
        <f ca="1">_xll.BDH($C$228,"ACCT_RCV_DAYS","FQ4 2017","FQ4 2017","Currency=INR","Period=FQ","BEST_FPERIOD_OVERRIDE=FQ","FILING_STATUS=OR","EQY_CONSOLIDATED=Y","FA_ADJUSTED=GAAP","Sort=A","Dates=H","DateFormat=P","Fill=—","Direction=H","UseDPDF=Y")</f>
        <v>#NAME?</v>
      </c>
      <c r="CY247" s="4" t="e">
        <f ca="1">_xll.BDH($C$228,"INVENT_TURN","FQ4 2017","FQ4 2017","Currency=INR","Period=FQ","BEST_FPERIOD_OVERRIDE=FQ","FILING_STATUS=OR","EQY_CONSOLIDATED=Y","FA_ADJUSTED=GAAP","Sort=A","Dates=H","DateFormat=P","Fill=—","Direction=H","UseDPDF=Y")</f>
        <v>#NAME?</v>
      </c>
      <c r="CZ247" s="2" t="e">
        <f ca="1">_xll.BDH($C$228,"INVENT_DAYS","FQ4 2017","FQ4 2017","Currency=INR","Period=FQ","BEST_FPERIOD_OVERRIDE=FQ","FILING_STATUS=OR","EQY_CONSOLIDATED=Y","FA_ADJUSTED=GAAP","Sort=A","Dates=H","DateFormat=P","Fill=—","Direction=H","UseDPDF=Y")</f>
        <v>#NAME?</v>
      </c>
      <c r="DA247" s="4" t="e">
        <f ca="1">_xll.BDH($C$228,"ACCOUNTS_PAYABLE_TURNOVER","FQ4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247" s="2" t="e">
        <f ca="1">_xll.BDH($C$228,"ACCOUNTS_PAYABLE_TURNOVER_DAYS","FQ4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247" s="4" t="e">
        <f ca="1">_xll.BDH($C$228,"CASH_CONVERSION_CYCLE","FQ4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247" s="4" t="e">
        <f ca="1">_xll.BDH($C$228,"INV_TO_CASH_DAYS","FQ4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247" s="5" t="e">
        <f ca="1">_xll.BDH($C$228,"BS_INVENTORIES","FQ4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247" s="3" t="e">
        <f ca="1">_xll.BDH($C$228,"INVTRY_RAW_MATERIALS","FQ4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247" s="3" t="e">
        <f ca="1">_xll.BDH($C$228,"INVTRY_IN_PROGRESS","FQ4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247" s="3" t="e">
        <f ca="1">_xll.BDH($C$228,"INVTRY_FINISHED_GOODS","FQ4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247" s="3" t="e">
        <f ca="1">_xll.BDH($C$228,"BS_OTHER_INV","FQ4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248" spans="1:113" x14ac:dyDescent="0.3">
      <c r="A248" s="6"/>
      <c r="B248" s="6"/>
      <c r="C248" s="6"/>
      <c r="D248" s="6" t="s">
        <v>85</v>
      </c>
      <c r="E248" t="s">
        <v>77</v>
      </c>
      <c r="F248" t="e">
        <f ca="1">_xll.BDH($C$228,"RETURN_COM_EQY","FY 2018","FY 2018","Currency=INR","Period=FY","BEST_FPERIOD_OVERRIDE=FY","FILING_STATUS=OR","EQY_CONSOLIDATED=Y","FA_ADJUSTED=GAAP","Sort=A","Dates=H","DateFormat=P","Fill=—","Direction=H","UseDPDF=Y")</f>
        <v>#NAME?</v>
      </c>
      <c r="G248" t="e">
        <f ca="1">_xll.BDH($C$228,"RETURN_ON_ASSET","FY 2018","FY 2018","Currency=INR","Period=FY","BEST_FPERIOD_OVERRIDE=FY","FILING_STATUS=OR","EQY_CONSOLIDATED=Y","FA_ADJUSTED=GAAP","Sort=A","Dates=H","DateFormat=P","Fill=—","Direction=H","UseDPDF=Y")</f>
        <v>#NAME?</v>
      </c>
      <c r="H248" t="e">
        <f ca="1">_xll.BDH($C$228,"RETURN_ON_CAP","FY 2018","FY 2018","Currency=INR","Period=FY","BEST_FPERIOD_OVERRIDE=FY","FILING_STATUS=OR","EQY_CONSOLIDATED=Y","FA_ADJUSTED=GAAP","Sort=A","Dates=H","DateFormat=P","Fill=—","Direction=H","UseDPDF=Y")</f>
        <v>#NAME?</v>
      </c>
      <c r="I248" t="e">
        <f ca="1">_xll.BDH($C$228,"RETURN_ON_INV_CAPITAL","FY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248" t="e">
        <f ca="1">_xll.BDH($C$228,"EBITDA_TO_REVENUE","FY 2018","FY 2018","Currency=INR","Period=FY","BEST_FPERIOD_OVERRIDE=FY","FILING_STATUS=OR","EQY_CONSOLIDATED=Y","FA_ADJUSTED=GAAP","Sort=A","Dates=H","DateFormat=P","Fill=—","Direction=H","UseDPDF=Y")</f>
        <v>#NAME?</v>
      </c>
      <c r="K248" t="e">
        <f ca="1">_xll.BDH($C$228,"OPER_MARGIN","FY 2018","FY 2018","Currency=INR","Period=FY","BEST_FPERIOD_OVERRIDE=FY","FILING_STATUS=OR","EQY_CONSOLIDATED=Y","FA_ADJUSTED=GAAP","Sort=A","Dates=H","DateFormat=P","Fill=—","Direction=H","UseDPDF=Y")</f>
        <v>#NAME?</v>
      </c>
      <c r="L248" t="e">
        <f ca="1">_xll.BDH($C$228,"INCREMENTAL_OPERATING_MARGIN","FY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248" t="e">
        <f ca="1">_xll.BDH($C$228,"PRETAX_INC_TO_NET_SALES","FY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248" t="e">
        <f ca="1">_xll.BDH($C$228,"INC_BEF_XO_ITEMS_TO_NET_SALES","FY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248" t="e">
        <f ca="1">_xll.BDH($C$228,"PROF_MARGIN","FY 2018","FY 2018","Currency=INR","Period=FY","BEST_FPERIOD_OVERRIDE=FY","FILING_STATUS=OR","EQY_CONSOLIDATED=Y","FA_ADJUSTED=GAAP","Sort=A","Dates=H","DateFormat=P","Fill=—","Direction=H","UseDPDF=Y")</f>
        <v>#NAME?</v>
      </c>
      <c r="P248" t="e">
        <f ca="1">_xll.BDH($C$228,"NET_INCOME_TO_COMMON_MARGIN","FY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248" t="e">
        <f ca="1">_xll.BDH($C$228,"EFF_TAX_RATE","FY 2018","FY 2018","Currency=INR","Period=FY","BEST_FPERIOD_OVERRIDE=FY","FILING_STATUS=OR","EQY_CONSOLIDATED=Y","FA_ADJUSTED=GAAP","Sort=A","Dates=H","DateFormat=P","Fill=—","Direction=H","UseDPDF=Y")</f>
        <v>#NAME?</v>
      </c>
      <c r="R248" t="e">
        <f ca="1">_xll.BDH($C$228,"DVD_PAYOUT_RATIO","FY 2018","FY 2018","Currency=INR","Period=FY","BEST_FPERIOD_OVERRIDE=FY","FILING_STATUS=OR","EQY_CONSOLIDATED=Y","FA_ADJUSTED=GAAP","Sort=A","Dates=H","DateFormat=P","Fill=—","Direction=H","UseDPDF=Y")</f>
        <v>#NAME?</v>
      </c>
      <c r="S248" t="e">
        <f ca="1">_xll.BDH($C$228,"SUSTAIN_GROWTH_RT","FY 2018","FY 2018","Currency=INR","Period=FY","BEST_FPERIOD_OVERRIDE=FY","FILING_STATUS=OR","EQY_CONSOLIDATED=Y","FA_ADJUSTED=GAAP","Sort=A","Dates=H","DateFormat=P","Fill=—","Direction=H","UseDPDF=Y")</f>
        <v>#NAME?</v>
      </c>
      <c r="T248" s="2" t="e">
        <f ca="1">_xll.BDH($C$228,"SALES_GROWTH","FY 2018","FY 2018","Currency=INR","Period=FY","BEST_FPERIOD_OVERRIDE=FY","FILING_STATUS=OR","EQY_CONSOLIDATED=Y","FA_ADJUSTED=GAAP","Sort=A","Dates=H","DateFormat=P","Fill=—","Direction=H","UseDPDF=Y")</f>
        <v>#NAME?</v>
      </c>
      <c r="U248" s="2" t="e">
        <f ca="1">_xll.BDH($C$228,"EBITDA_GROWTH","FY 2018","FY 2018","Currency=INR","Period=FY","BEST_FPERIOD_OVERRIDE=FY","FILING_STATUS=OR","EQY_CONSOLIDATED=Y","FA_ADJUSTED=GAAP","Sort=A","Dates=H","DateFormat=P","Fill=—","Direction=H","UseDPDF=Y")</f>
        <v>#NAME?</v>
      </c>
      <c r="V248" s="2" t="e">
        <f ca="1">_xll.BDH($C$228,"OPER_INC_GROWTH","FY 2018","FY 2018","Currency=INR","Period=FY","BEST_FPERIOD_OVERRIDE=FY","FILING_STATUS=OR","EQY_CONSOLIDATED=Y","FA_ADJUSTED=GAAP","Sort=A","Dates=H","DateFormat=P","Fill=—","Direction=H","UseDPDF=Y")</f>
        <v>#NAME?</v>
      </c>
      <c r="W248" s="2" t="e">
        <f ca="1">_xll.BDH($C$228,"EARN_FOR_COM_GROWTH","FY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248" s="2" t="e">
        <f ca="1">_xll.BDH($C$228,"DILUTED_EPS_AFT_XO_ITEMS_GROWTH","FY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248" s="2" t="e">
        <f ca="1">_xll.BDH($C$228,"DIVIDEND_PER_SHARE_1_YEAR_GROWTH","FY 2018","FY 2018","Currency=INR","Period=FY","BEST_FPERIOD_OVERRIDE=FY","FILING_STATUS=OR","EQY_CONSOLIDATED=Y","Sort=A","Dates=H","DateFormat=P","Fill=—","Direction=H","UseDPDF=Y")</f>
        <v>#NAME?</v>
      </c>
      <c r="Z248" s="2" t="e">
        <f ca="1">_xll.BDH($C$228,"ACCOUNTS_RECEIVABLE_GROWTH","FY 2018","FY 2018","Currency=INR","Period=FY","BEST_FPERIOD_OVERRIDE=FY","FILING_STATUS=OR","EQY_CONSOLIDATED=Y","Sort=A","Dates=H","DateFormat=P","Fill=—","Direction=H","UseDPDF=Y")</f>
        <v>#NAME?</v>
      </c>
      <c r="AA248" s="2" t="e">
        <f ca="1">_xll.BDH($C$228,"INVENTORY_GROWTH","FY 2018","FY 2018","Currency=INR","Period=FY","BEST_FPERIOD_OVERRIDE=FY","FILING_STATUS=OR","EQY_CONSOLIDATED=Y","Sort=A","Dates=H","DateFormat=P","Fill=—","Direction=H","UseDPDF=Y")</f>
        <v>#NAME?</v>
      </c>
      <c r="AB248" s="2" t="e">
        <f ca="1">_xll.BDH($C$228,"NET_FIXED_ASSETS_1_YEAR_GROWTH","FY 2018","FY 2018","Currency=INR","Period=FY","BEST_FPERIOD_OVERRIDE=FY","FILING_STATUS=OR","EQY_CONSOLIDATED=Y","Sort=A","Dates=H","DateFormat=P","Fill=—","Direction=H","UseDPDF=Y")</f>
        <v>#NAME?</v>
      </c>
      <c r="AC248" s="2" t="e">
        <f ca="1">_xll.BDH($C$228,"ASSET_GROWTH","FY 2018","FY 2018","Currency=INR","Period=FY","BEST_FPERIOD_OVERRIDE=FY","FILING_STATUS=OR","EQY_CONSOLIDATED=Y","Sort=A","Dates=H","DateFormat=P","Fill=—","Direction=H","UseDPDF=Y")</f>
        <v>#NAME?</v>
      </c>
      <c r="AD248" s="2" t="e">
        <f ca="1">_xll.BDH($C$228,"MODIFIED_WORK_CAP_GROWTH","FY 2018","FY 2018","Currency=INR","Period=FY","BEST_FPERIOD_OVERRIDE=FY","FILING_STATUS=OR","EQY_CONSOLIDATED=Y","Sort=A","Dates=H","DateFormat=P","Fill=—","Direction=H","UseDPDF=Y")</f>
        <v>#NAME?</v>
      </c>
      <c r="AE248" s="2" t="e">
        <f ca="1">_xll.BDH($C$228,"WORK_CAP_GROWTH","FY 2018","FY 2018","Currency=INR","Period=FY","BEST_FPERIOD_OVERRIDE=FY","FILING_STATUS=OR","EQY_CONSOLIDATED=Y","Sort=A","Dates=H","DateFormat=P","Fill=—","Direction=H","UseDPDF=Y")</f>
        <v>#NAME?</v>
      </c>
      <c r="AF248" s="2" t="e">
        <f ca="1">_xll.BDH($C$228,"ACCOUNTS_PAYABLE_GROWTH_1YR","FY 2018","FY 2018","Currency=INR","Period=FY","BEST_FPERIOD_OVERRIDE=FY","FILING_STATUS=OR","EQY_CONSOLIDATED=Y","Sort=A","Dates=H","DateFormat=P","Fill=—","Direction=H","UseDPDF=Y")</f>
        <v>#NAME?</v>
      </c>
      <c r="AG248" s="2" t="e">
        <f ca="1">_xll.BDH($C$228,"SHORT_TERM_DEBT_1_YEAR_GROWTH","FY 2018","FY 2018","Currency=INR","Period=FY","BEST_FPERIOD_OVERRIDE=FY","FILING_STATUS=OR","EQY_CONSOLIDATED=Y","Sort=A","Dates=H","DateFormat=P","Fill=—","Direction=H","UseDPDF=Y")</f>
        <v>#NAME?</v>
      </c>
      <c r="AH248" s="2" t="e">
        <f ca="1">_xll.BDH($C$228,"TOTAL_DEBT_1_YEAR_GROWTH","FY 2018","FY 2018","Currency=INR","Period=FY","BEST_FPERIOD_OVERRIDE=FY","FILING_STATUS=OR","EQY_CONSOLIDATED=Y","Sort=A","Dates=H","DateFormat=P","Fill=—","Direction=H","UseDPDF=Y")</f>
        <v>#NAME?</v>
      </c>
      <c r="AI248" s="2" t="e">
        <f ca="1">_xll.BDH($C$228,"TOTAL_EQUITY_1_YEAR_GROWTH","FY 2018","FY 2018","Currency=INR","Period=FY","BEST_FPERIOD_OVERRIDE=FY","FILING_STATUS=OR","EQY_CONSOLIDATED=Y","Sort=A","Dates=H","DateFormat=P","Fill=—","Direction=H","UseDPDF=Y")</f>
        <v>#NAME?</v>
      </c>
      <c r="AJ248" s="2" t="e">
        <f ca="1">_xll.BDH($C$228,"GROWTH_IN_CAP","FY 2018","FY 2018","Currency=INR","Period=FY","BEST_FPERIOD_OVERRIDE=FY","FILING_STATUS=OR","EQY_CONSOLIDATED=Y","Sort=A","Dates=H","DateFormat=P","Fill=—","Direction=H","UseDPDF=Y")</f>
        <v>#NAME?</v>
      </c>
      <c r="AK248" s="2" t="e">
        <f ca="1">_xll.BDH($C$228,"BVPS_GROWTH","FY 2018","FY 2018","Currency=INR","Period=FY","BEST_FPERIOD_OVERRIDE=FY","FILING_STATUS=OR","EQY_CONSOLIDATED=Y","Sort=A","Dates=H","DateFormat=P","Fill=—","Direction=H","UseDPDF=Y")</f>
        <v>#NAME?</v>
      </c>
      <c r="AL248" s="2" t="e">
        <f ca="1">_xll.BDH($C$228,"CASH_FLOW_GROWTH","FY 2018","FY 2018","Currency=INR","Period=FY","BEST_FPERIOD_OVERRIDE=FY","FILING_STATUS=OR","EQY_CONSOLIDATED=Y","Sort=A","Dates=H","DateFormat=P","Fill=—","Direction=H","UseDPDF=Y")</f>
        <v>#NAME?</v>
      </c>
      <c r="AM248" s="2" t="e">
        <f ca="1">_xll.BDH($C$228,"GEO_GROW_NET_SALES","FY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248" s="2" t="e">
        <f ca="1">_xll.BDH($C$228,"GEO_GROW_EBITDA","FY 2018","FY 2018","Currency=INR","Period=FY","BEST_FPERIOD_OVERRIDE=FY","FILING_STATUS=OR","EQY_CONSOLIDATED=Y","FA_ADJUSTED=GAAP","Sort=A","Dates=H","DateFormat=P","Fill=—","Direction=H","UseDPDF=Y")</f>
        <v>#NAME?</v>
      </c>
      <c r="AO248" s="2" t="e">
        <f ca="1">_xll.BDH($C$228,"GEO_GROW_OPER_INC","FY 2018","FY 2018","Currency=INR","Period=FY","BEST_FPERIOD_OVERRIDE=FY","FILING_STATUS=OR","EQY_CONSOLIDATED=Y","FA_ADJUSTED=GAAP","Sort=A","Dates=H","DateFormat=P","Fill=—","Direction=H","UseDPDF=Y")</f>
        <v>#NAME?</v>
      </c>
      <c r="AP248" s="2" t="e">
        <f ca="1">_xll.BDH($C$228,"NET_INCOME_TO_COMMON_5_YR_GROWTH","FY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248" s="2" t="e">
        <f ca="1">_xll.BDH($C$228,"5Y_GEO_GROWTH_DILUTED_EPS","FY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248" s="2" t="e">
        <f ca="1">_xll.BDH($C$228,"GEO_GROW_DVD_PER_SH","FY 2018","FY 2018","Currency=INR","Period=FY","BEST_FPERIOD_OVERRIDE=FY","FILING_STATUS=OR","EQY_CONSOLIDATED=Y","Sort=A","Dates=H","DateFormat=P","Fill=—","Direction=H","UseDPDF=Y")</f>
        <v>#NAME?</v>
      </c>
      <c r="AS248" s="2" t="e">
        <f ca="1">_xll.BDH($C$228,"ACCOUNTS_RECEIVABLE_5_YR_GROWTH","FY 2018","FY 2018","Currency=INR","Period=FY","BEST_FPERIOD_OVERRIDE=FY","FILING_STATUS=OR","EQY_CONSOLIDATED=Y","Sort=A","Dates=H","DateFormat=P","Fill=—","Direction=H","UseDPDF=Y")</f>
        <v>#NAME?</v>
      </c>
      <c r="AT248" s="2" t="e">
        <f ca="1">_xll.BDH($C$228,"INVENTORY_5_YEAR_GROWTH","FY 2018","FY 2018","Currency=INR","Period=FY","BEST_FPERIOD_OVERRIDE=FY","FILING_STATUS=OR","EQY_CONSOLIDATED=Y","Sort=A","Dates=H","DateFormat=P","Fill=—","Direction=H","UseDPDF=Y")</f>
        <v>#NAME?</v>
      </c>
      <c r="AU248" s="2" t="e">
        <f ca="1">_xll.BDH($C$228,"NET_FIXED_ASSETS_5_YEAR_GROWTH","FY 2018","FY 2018","Currency=INR","Period=FY","BEST_FPERIOD_OVERRIDE=FY","FILING_STATUS=OR","EQY_CONSOLIDATED=Y","Sort=A","Dates=H","DateFormat=P","Fill=—","Direction=H","UseDPDF=Y")</f>
        <v>#NAME?</v>
      </c>
      <c r="AV248" s="2" t="e">
        <f ca="1">_xll.BDH($C$228,"GEO_GROW_TOT_ASSET","FY 2018","FY 2018","Currency=INR","Period=FY","BEST_FPERIOD_OVERRIDE=FY","FILING_STATUS=OR","EQY_CONSOLIDATED=Y","Sort=A","Dates=H","DateFormat=P","Fill=—","Direction=H","UseDPDF=Y")</f>
        <v>#NAME?</v>
      </c>
      <c r="AW248" s="2" t="e">
        <f ca="1">_xll.BDH($C$228,"MODIFIED_WORKING_CPTL_5YR_GRWTH","FY 2018","FY 2018","Currency=INR","Period=FY","BEST_FPERIOD_OVERRIDE=FY","FILING_STATUS=OR","EQY_CONSOLIDATED=Y","Sort=A","Dates=H","DateFormat=P","Fill=—","Direction=H","UseDPDF=Y")</f>
        <v>#NAME?</v>
      </c>
      <c r="AX248" s="2" t="e">
        <f ca="1">_xll.BDH($C$228,"WORKING_CAPITAL_5_YEAR_GROWTH","FY 2018","FY 2018","Currency=INR","Period=FY","BEST_FPERIOD_OVERRIDE=FY","FILING_STATUS=OR","EQY_CONSOLIDATED=Y","Sort=A","Dates=H","DateFormat=P","Fill=—","Direction=H","UseDPDF=Y")</f>
        <v>#NAME?</v>
      </c>
      <c r="AY248" s="2" t="e">
        <f ca="1">_xll.BDH($C$228,"ACCOUNTS_PAYABLE_5_YEAR_GROWTH","FY 2018","FY 2018","Currency=INR","Period=FY","BEST_FPERIOD_OVERRIDE=FY","FILING_STATUS=OR","EQY_CONSOLIDATED=Y","Sort=A","Dates=H","DateFormat=P","Fill=—","Direction=H","UseDPDF=Y")</f>
        <v>#NAME?</v>
      </c>
      <c r="AZ248" s="2" t="e">
        <f ca="1">_xll.BDH($C$228,"SHORT_TERM_DEBT_5_YEAR_GROWTH","FY 2018","FY 2018","Currency=INR","Period=FY","BEST_FPERIOD_OVERRIDE=FY","FILING_STATUS=OR","EQY_CONSOLIDATED=Y","Sort=A","Dates=H","DateFormat=P","Fill=—","Direction=H","UseDPDF=Y")</f>
        <v>#NAME?</v>
      </c>
      <c r="BA248" s="2" t="e">
        <f ca="1">_xll.BDH($C$228,"TOTAL_DEBT_5_YEAR_GROWTH","FY 2018","FY 2018","Currency=INR","Period=FY","BEST_FPERIOD_OVERRIDE=FY","FILING_STATUS=OR","EQY_CONSOLIDATED=Y","Sort=A","Dates=H","DateFormat=P","Fill=—","Direction=H","UseDPDF=Y")</f>
        <v>#NAME?</v>
      </c>
      <c r="BB248" s="2" t="e">
        <f ca="1">_xll.BDH($C$228,"GEO_GROW_TOT_SHRHLDR_EQY","FY 2018","FY 2018","Currency=INR","Period=FY","BEST_FPERIOD_OVERRIDE=FY","FILING_STATUS=OR","EQY_CONSOLIDATED=Y","Sort=A","Dates=H","DateFormat=P","Fill=—","Direction=H","UseDPDF=Y")</f>
        <v>#NAME?</v>
      </c>
      <c r="BC248" s="2" t="e">
        <f ca="1">_xll.BDH($C$228,"TOTAL_CAPITAL_5_YEAR_GROWTH","FY 2018","FY 2018","Currency=INR","Period=FY","BEST_FPERIOD_OVERRIDE=FY","FILING_STATUS=OR","EQY_CONSOLIDATED=Y","Sort=A","Dates=H","DateFormat=P","Fill=—","Direction=H","UseDPDF=Y")</f>
        <v>#NAME?</v>
      </c>
      <c r="BD248" s="2" t="e">
        <f ca="1">_xll.BDH($C$228,"GEO_GROW_BOOK_VAL","FY 2018","FY 2018","Currency=INR","Period=FY","BEST_FPERIOD_OVERRIDE=FY","FILING_STATUS=OR","EQY_CONSOLIDATED=Y","Sort=A","Dates=H","DateFormat=P","Fill=—","Direction=H","UseDPDF=Y")</f>
        <v>#NAME?</v>
      </c>
      <c r="BE248" s="2" t="e">
        <f ca="1">_xll.BDH($C$228,"GEO_GROW_CASH_OPER_ACT","FY 2018","FY 2018","Currency=INR","Period=FY","BEST_FPERIOD_OVERRIDE=FY","FILING_STATUS=OR","EQY_CONSOLIDATED=Y","Sort=A","Dates=H","DateFormat=P","Fill=—","Direction=H","UseDPDF=Y")</f>
        <v>#NAME?</v>
      </c>
      <c r="BF248" s="2" t="e">
        <f ca="1">_xll.BDH($C$228,"REVENUE_SEQUENTIAL_GROWTH","FY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248" s="2" t="e">
        <f ca="1">_xll.BDH($C$228,"EBITDA_SEQUENTIAL_GROWTH","FY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248" s="2" t="e">
        <f ca="1">_xll.BDH($C$228,"OPERATING_INCOME_SEQ_GROWTH","FY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248" s="2" t="e">
        <f ca="1">_xll.BDH($C$228,"NET_INCOME_TO_COMMON_SEQ_GROWTH","FY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248" s="2" t="e">
        <f ca="1">_xll.BDH($C$228,"EPS_DILUTED_SEQUENTIAL_GROWTH","FY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248" s="2" t="e">
        <f ca="1">_xll.BDH($C$228,"DPS_SEQUENTIAL_GROWTH","FY 2018","FY 2018","Currency=INR","Period=FY","BEST_FPERIOD_OVERRIDE=FY","FILING_STATUS=OR","EQY_CONSOLIDATED=Y","Sort=A","Dates=H","DateFormat=P","Fill=—","Direction=H","UseDPDF=Y")</f>
        <v>#NAME?</v>
      </c>
      <c r="BL248" s="2" t="e">
        <f ca="1">_xll.BDH($C$228,"ACCOUNTS_RECEIVABLE_SEQ_GROWTH","FY 2018","FY 2018","Currency=INR","Period=FY","BEST_FPERIOD_OVERRIDE=FY","FILING_STATUS=OR","EQY_CONSOLIDATED=Y","Sort=A","Dates=H","DateFormat=P","Fill=—","Direction=H","UseDPDF=Y")</f>
        <v>#NAME?</v>
      </c>
      <c r="BM248" s="2" t="e">
        <f ca="1">_xll.BDH($C$228,"INVENTORY_SEQUENTIAL_GROWTH","FY 2018","FY 2018","Currency=INR","Period=FY","BEST_FPERIOD_OVERRIDE=FY","FILING_STATUS=OR","EQY_CONSOLIDATED=Y","Sort=A","Dates=H","DateFormat=P","Fill=—","Direction=H","UseDPDF=Y")</f>
        <v>#NAME?</v>
      </c>
      <c r="BN248" s="2" t="e">
        <f ca="1">_xll.BDH($C$228,"FIXED_ASSETS_SEQUENTIAL_GROWTH","FY 2018","FY 2018","Currency=INR","Period=FY","BEST_FPERIOD_OVERRIDE=FY","FILING_STATUS=OR","EQY_CONSOLIDATED=Y","Sort=A","Dates=H","DateFormat=P","Fill=—","Direction=H","UseDPDF=Y")</f>
        <v>#NAME?</v>
      </c>
      <c r="BO248" s="2" t="e">
        <f ca="1">_xll.BDH($C$228,"TOTAL_ASSETS_SEQUENTIAL_GROWTH","FY 2018","FY 2018","Currency=INR","Period=FY","BEST_FPERIOD_OVERRIDE=FY","FILING_STATUS=OR","EQY_CONSOLIDATED=Y","Sort=A","Dates=H","DateFormat=P","Fill=—","Direction=H","UseDPDF=Y")</f>
        <v>#NAME?</v>
      </c>
      <c r="BP248" s="2" t="e">
        <f ca="1">_xll.BDH($C$228,"MODIFIED_WORKING_CPTL_SEQ_GRWTH","FY 2018","FY 2018","Currency=INR","Period=FY","BEST_FPERIOD_OVERRIDE=FY","FILING_STATUS=OR","EQY_CONSOLIDATED=Y","Sort=A","Dates=H","DateFormat=P","Fill=—","Direction=H","UseDPDF=Y")</f>
        <v>#NAME?</v>
      </c>
      <c r="BQ248" s="2" t="e">
        <f ca="1">_xll.BDH($C$228,"WORKING_CAPITAL_SEQ_GROWTH","FY 2018","FY 2018","Currency=INR","Period=FY","BEST_FPERIOD_OVERRIDE=FY","FILING_STATUS=OR","EQY_CONSOLIDATED=Y","Sort=A","Dates=H","DateFormat=P","Fill=—","Direction=H","UseDPDF=Y")</f>
        <v>#NAME?</v>
      </c>
      <c r="BR248" s="2" t="e">
        <f ca="1">_xll.BDH($C$228,"ACCOUNTS_PAYABLE_SEQ_GROWTH","FY 2018","FY 2018","Currency=INR","Period=FY","BEST_FPERIOD_OVERRIDE=FY","FILING_STATUS=OR","EQY_CONSOLIDATED=Y","Sort=A","Dates=H","DateFormat=P","Fill=—","Direction=H","UseDPDF=Y")</f>
        <v>#NAME?</v>
      </c>
      <c r="BS248" s="2" t="e">
        <f ca="1">_xll.BDH($C$228,"ST_DEBT_SEQUENTIAL_GROWTH","FY 2018","FY 2018","Currency=INR","Period=FY","BEST_FPERIOD_OVERRIDE=FY","FILING_STATUS=OR","EQY_CONSOLIDATED=Y","Sort=A","Dates=H","DateFormat=P","Fill=—","Direction=H","UseDPDF=Y")</f>
        <v>#NAME?</v>
      </c>
      <c r="BT248" s="2" t="e">
        <f ca="1">_xll.BDH($C$228,"TOTAL_DEBT_SEQUENTIAL_GROWTH","FY 2018","FY 2018","Currency=INR","Period=FY","BEST_FPERIOD_OVERRIDE=FY","FILING_STATUS=OR","EQY_CONSOLIDATED=Y","Sort=A","Dates=H","DateFormat=P","Fill=—","Direction=H","UseDPDF=Y")</f>
        <v>#NAME?</v>
      </c>
      <c r="BU248" s="2" t="e">
        <f ca="1">_xll.BDH($C$228,"TOTAL_EQUITY_SEQUENTIAL_GROWTH","FY 2018","FY 2018","Currency=INR","Period=FY","BEST_FPERIOD_OVERRIDE=FY","FILING_STATUS=OR","EQY_CONSOLIDATED=Y","Sort=A","Dates=H","DateFormat=P","Fill=—","Direction=H","UseDPDF=Y")</f>
        <v>#NAME?</v>
      </c>
      <c r="BV248" s="2" t="e">
        <f ca="1">_xll.BDH($C$228,"TOTAL_CAPITAL_SEQUENTIAL_GROWTH","FY 2018","FY 2018","Currency=INR","Period=FY","BEST_FPERIOD_OVERRIDE=FY","FILING_STATUS=OR","EQY_CONSOLIDATED=Y","Sort=A","Dates=H","DateFormat=P","Fill=—","Direction=H","UseDPDF=Y")</f>
        <v>#NAME?</v>
      </c>
      <c r="BW248" s="2" t="e">
        <f ca="1">_xll.BDH($C$228,"BPS_SEQUENTIAL_GROWTH","FY 2018","FY 2018","Currency=INR","Period=FY","BEST_FPERIOD_OVERRIDE=FY","FILING_STATUS=OR","EQY_CONSOLIDATED=Y","Sort=A","Dates=H","DateFormat=P","Fill=—","Direction=H","UseDPDF=Y")</f>
        <v>#NAME?</v>
      </c>
      <c r="BX248" s="2" t="e">
        <f ca="1">_xll.BDH($C$228,"CFO_SEQUENTIAL_GROWTH","FY 2018","FY 2018","Currency=INR","Period=FY","BEST_FPERIOD_OVERRIDE=FY","FILING_STATUS=OR","EQY_CONSOLIDATED=Y","Sort=A","Dates=H","DateFormat=P","Fill=—","Direction=H","UseDPDF=Y")</f>
        <v>#NAME?</v>
      </c>
      <c r="BY248" s="3" t="e">
        <f ca="1">_xll.BDH($C$228,"SHORT_AND_LONG_TERM_DEBT","FY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248" s="3" t="e">
        <f ca="1">_xll.BDH($C$228,"BS_ST_BORROW","FY 2018","FY 2018","Currency=INR","Period=FY","BEST_FPERIOD_OVERRIDE=FY","FILING_STATUS=OR","EQY_CONSOLIDATED=Y","SCALING_FORMAT=MLN","Sort=A","Dates=H","DateFormat=P","Fill=—","Direction=H","UseDPDF=Y")</f>
        <v>#NAME?</v>
      </c>
      <c r="CA248" s="3" t="e">
        <f ca="1">_xll.BDH($C$228,"BS_LT_BORROW","FY 2018","FY 2018","Currency=INR","Period=FY","BEST_FPERIOD_OVERRIDE=FY","FILING_STATUS=OR","EQY_CONSOLIDATED=Y","SCALING_FORMAT=MLN","Sort=A","Dates=H","DateFormat=P","Fill=—","Direction=H","UseDPDF=Y")</f>
        <v>#NAME?</v>
      </c>
      <c r="CB248" s="2" t="e">
        <f ca="1">_xll.BDH($C$228,"TOT_DEBT_TO_EBITDA","FY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248" s="2" t="e">
        <f ca="1">_xll.BDH($C$228,"NET_DEBT_TO_EBITDA","FY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248" s="2" t="e">
        <f ca="1">_xll.BDH($C$228,"TOTAL_DEBT_TO_EBIT","FY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248" s="2" t="e">
        <f ca="1">_xll.BDH($C$228,"NET_DEBT_TO_EBIT","FY 2018","FY 2018","Currency=INR","Period=FY","BEST_FPERIOD_OVERRIDE=FY","FILING_STATUS=OR","EQY_CONSOLIDATED=Y","FA_ADJUSTED=GAAP","Sort=A","Dates=H","DateFormat=P","Fill=—","Direction=H","UseDPDF=Y")</f>
        <v>#NAME?</v>
      </c>
      <c r="CF248" s="2" t="e">
        <f ca="1">_xll.BDH($C$228,"EBITDA_TO_INTEREST_EXPN","FY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248" s="2" t="e">
        <f ca="1">_xll.BDH($C$228,"COM_EQY_TO_TOT_ASSET","FY 2018","FY 2018","Currency=INR","Period=FY","BEST_FPERIOD_OVERRIDE=FY","FILING_STATUS=OR","EQY_CONSOLIDATED=Y","Sort=A","Dates=H","DateFormat=P","Fill=—","Direction=H","UseDPDF=Y")</f>
        <v>#NAME?</v>
      </c>
      <c r="CH248" s="2" t="e">
        <f ca="1">_xll.BDH($C$228,"LT_DEBT_TO_TOT_EQY","FY 2018","FY 2018","Currency=INR","Period=FY","BEST_FPERIOD_OVERRIDE=FY","FILING_STATUS=OR","EQY_CONSOLIDATED=Y","Sort=A","Dates=H","DateFormat=P","Fill=—","Direction=H","UseDPDF=Y")</f>
        <v>#NAME?</v>
      </c>
      <c r="CI248" s="2" t="e">
        <f ca="1">_xll.BDH($C$228,"LT_DEBT_TO_TOT_CAP","FY 2018","FY 2018","Currency=INR","Period=FY","BEST_FPERIOD_OVERRIDE=FY","FILING_STATUS=OR","EQY_CONSOLIDATED=Y","Sort=A","Dates=H","DateFormat=P","Fill=—","Direction=H","UseDPDF=Y")</f>
        <v>#NAME?</v>
      </c>
      <c r="CJ248" s="2" t="e">
        <f ca="1">_xll.BDH($C$228,"LT_DEBT_TO_TOT_ASSET","FY 2018","FY 2018","Currency=INR","Period=FY","BEST_FPERIOD_OVERRIDE=FY","FILING_STATUS=OR","EQY_CONSOLIDATED=Y","Sort=A","Dates=H","DateFormat=P","Fill=—","Direction=H","UseDPDF=Y")</f>
        <v>#NAME?</v>
      </c>
      <c r="CK248" s="2" t="e">
        <f ca="1">_xll.BDH($C$228,"TOT_DEBT_TO_TOT_EQY","FY 2018","FY 2018","Currency=INR","Period=FY","BEST_FPERIOD_OVERRIDE=FY","FILING_STATUS=OR","EQY_CONSOLIDATED=Y","Sort=A","Dates=H","DateFormat=P","Fill=—","Direction=H","UseDPDF=Y")</f>
        <v>#NAME?</v>
      </c>
      <c r="CL248" s="2" t="e">
        <f ca="1">_xll.BDH($C$228,"TOT_DEBT_TO_TOT_CAP","FY 2018","FY 2018","Currency=INR","Period=FY","BEST_FPERIOD_OVERRIDE=FY","FILING_STATUS=OR","EQY_CONSOLIDATED=Y","Sort=A","Dates=H","DateFormat=P","Fill=—","Direction=H","UseDPDF=Y")</f>
        <v>#NAME?</v>
      </c>
      <c r="CM248" s="2" t="e">
        <f ca="1">_xll.BDH($C$228,"TOT_DEBT_TO_TOT_ASSET","FY 2018","FY 2018","Currency=INR","Period=FY","BEST_FPERIOD_OVERRIDE=FY","FILING_STATUS=OR","EQY_CONSOLIDATED=Y","Sort=A","Dates=H","DateFormat=P","Fill=—","Direction=H","UseDPDF=Y")</f>
        <v>#NAME?</v>
      </c>
      <c r="CN248" s="2" t="e">
        <f ca="1">_xll.BDH($C$228,"NET_DEBT_TO_SHRHLDR_EQTY","FY 2018","FY 2018","Currency=INR","Period=FY","BEST_FPERIOD_OVERRIDE=FY","FILING_STATUS=OR","EQY_CONSOLIDATED=Y","Sort=A","Dates=H","DateFormat=P","Fill=—","Direction=H","UseDPDF=Y")</f>
        <v>#NAME?</v>
      </c>
      <c r="CO248" s="2" t="e">
        <f ca="1">_xll.BDH($C$228,"NET_DEBT_%_CAPITAL","FY 2018","FY 2018","Currency=INR","Period=FY","BEST_FPERIOD_OVERRIDE=FY","FILING_STATUS=OR","EQY_CONSOLIDATED=Y","Sort=A","Dates=H","DateFormat=P","Fill=—","Direction=H","UseDPDF=Y")</f>
        <v>#NAME?</v>
      </c>
      <c r="CP248" s="3" t="e">
        <f ca="1">_xll.BDH($C$228,"EBITDA","FY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248" s="3" t="e">
        <f ca="1">_xll.BDH($C$228,"EBITDA_AFTER_CAPEX","FY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248" s="3" t="e">
        <f ca="1">_xll.BDH($C$228,"IS_OPER_INC","FY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248" s="2" t="e">
        <f ca="1">_xll.BDH($C$228,"CASH_RATIO","FY 2018","FY 2018","Currency=INR","Period=FY","BEST_FPERIOD_OVERRIDE=FY","FILING_STATUS=OR","EQY_CONSOLIDATED=Y","Sort=A","Dates=H","DateFormat=P","Fill=—","Direction=H","UseDPDF=Y")</f>
        <v>#NAME?</v>
      </c>
      <c r="CT248" s="2" t="e">
        <f ca="1">_xll.BDH($C$228,"CUR_RATIO","FY 2018","FY 2018","Currency=INR","Period=FY","BEST_FPERIOD_OVERRIDE=FY","FILING_STATUS=OR","EQY_CONSOLIDATED=Y","Sort=A","Dates=H","DateFormat=P","Fill=—","Direction=H","UseDPDF=Y")</f>
        <v>#NAME?</v>
      </c>
      <c r="CU248" s="2" t="e">
        <f ca="1">_xll.BDH($C$228,"QUICK_RATIO","FY 2018","FY 2018","Currency=INR","Period=FY","BEST_FPERIOD_OVERRIDE=FY","FILING_STATUS=OR","EQY_CONSOLIDATED=Y","Sort=A","Dates=H","DateFormat=P","Fill=—","Direction=H","UseDPDF=Y")</f>
        <v>#NAME?</v>
      </c>
      <c r="CV248" s="2" t="e">
        <f ca="1">_xll.BDH($C$228,"ALTMAN_Z_SCORE","FY 2018","FY 2018","Currency=INR","Period=FY","BEST_FPERIOD_OVERRIDE=FY","FILING_STATUS=OR","EQY_CONSOLIDATED=Y","Sort=A","Dates=H","DateFormat=P","Fill=—","Direction=H","UseDPDF=Y")</f>
        <v>#NAME?</v>
      </c>
      <c r="CW248" s="4" t="e">
        <f ca="1">_xll.BDH($C$228,"ACCT_RCV_TURN","FY 2018","FY 2018","Currency=INR","Period=FY","BEST_FPERIOD_OVERRIDE=FY","FILING_STATUS=OR","EQY_CONSOLIDATED=Y","FA_ADJUSTED=GAAP","Sort=A","Dates=H","DateFormat=P","Fill=—","Direction=H","UseDPDF=Y")</f>
        <v>#NAME?</v>
      </c>
      <c r="CX248" s="2" t="e">
        <f ca="1">_xll.BDH($C$228,"ACCT_RCV_DAYS","FY 2018","FY 2018","Currency=INR","Period=FY","BEST_FPERIOD_OVERRIDE=FY","FILING_STATUS=OR","EQY_CONSOLIDATED=Y","FA_ADJUSTED=GAAP","Sort=A","Dates=H","DateFormat=P","Fill=—","Direction=H","UseDPDF=Y")</f>
        <v>#NAME?</v>
      </c>
      <c r="CY248" s="4" t="e">
        <f ca="1">_xll.BDH($C$228,"INVENT_TURN","FY 2018","FY 2018","Currency=INR","Period=FY","BEST_FPERIOD_OVERRIDE=FY","FILING_STATUS=OR","EQY_CONSOLIDATED=Y","FA_ADJUSTED=GAAP","Sort=A","Dates=H","DateFormat=P","Fill=—","Direction=H","UseDPDF=Y")</f>
        <v>#NAME?</v>
      </c>
      <c r="CZ248" s="2" t="e">
        <f ca="1">_xll.BDH($C$228,"INVENT_DAYS","FY 2018","FY 2018","Currency=INR","Period=FY","BEST_FPERIOD_OVERRIDE=FY","FILING_STATUS=OR","EQY_CONSOLIDATED=Y","FA_ADJUSTED=GAAP","Sort=A","Dates=H","DateFormat=P","Fill=—","Direction=H","UseDPDF=Y")</f>
        <v>#NAME?</v>
      </c>
      <c r="DA248" s="4" t="e">
        <f ca="1">_xll.BDH($C$228,"ACCOUNTS_PAYABLE_TURNOVER","FY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248" s="2" t="e">
        <f ca="1">_xll.BDH($C$228,"ACCOUNTS_PAYABLE_TURNOVER_DAYS","FY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248" s="4" t="e">
        <f ca="1">_xll.BDH($C$228,"CASH_CONVERSION_CYCLE","FY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248" s="4" t="e">
        <f ca="1">_xll.BDH($C$228,"INV_TO_CASH_DAYS","FY 2018","FY 2018","Currency=INR","Period=FY","BEST_FPERIOD_OVERRIDE=FY","FILING_STATUS=OR","EQY_CONSOLIDATED=Y","FA_ADJUSTED=GAAP","Sort=A","Dates=H","DateFormat=P","Fill=—","Direction=H","UseDPDF=Y")</f>
        <v>#NAME?</v>
      </c>
      <c r="DE248" s="5" t="e">
        <f ca="1">_xll.BDH($C$228,"BS_INVENTORIES","FY 2018","FY 2018","Currency=INR","Period=FY","BEST_FPERIOD_OVERRIDE=FY","FILING_STATUS=OR","EQY_CONSOLIDATED=Y","SCALING_FORMAT=MLN","Sort=A","Dates=H","DateFormat=P","Fill=—","Direction=H","UseDPDF=Y")</f>
        <v>#NAME?</v>
      </c>
      <c r="DF248" s="3" t="e">
        <f ca="1">_xll.BDH($C$228,"INVTRY_RAW_MATERIALS","FY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248" s="3" t="e">
        <f ca="1">_xll.BDH($C$228,"INVTRY_IN_PROGRESS","FY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248" s="3" t="e">
        <f ca="1">_xll.BDH($C$228,"INVTRY_FINISHED_GOODS","FY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248" s="3" t="e">
        <f ca="1">_xll.BDH($C$228,"BS_OTHER_INV","FY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249" spans="1:113" x14ac:dyDescent="0.3">
      <c r="A249" s="6"/>
      <c r="B249" s="6"/>
      <c r="C249" s="6"/>
      <c r="D249" s="6"/>
      <c r="E249" t="s">
        <v>78</v>
      </c>
      <c r="F249" t="e">
        <f ca="1">_xll.BDH($C$228,"RETURN_COM_EQY","FQ1 2018","FQ1 2018","Currency=INR","Period=FQ","BEST_FPERIOD_OVERRIDE=FQ","FILING_STATUS=OR","EQY_CONSOLIDATED=Y","FA_ADJUSTED=GAAP","Sort=A","Dates=H","DateFormat=P","Fill=—","Direction=H","UseDPDF=Y")</f>
        <v>#NAME?</v>
      </c>
      <c r="G249" t="e">
        <f ca="1">_xll.BDH($C$228,"RETURN_ON_ASSET","FQ1 2018","FQ1 2018","Currency=INR","Period=FQ","BEST_FPERIOD_OVERRIDE=FQ","FILING_STATUS=OR","EQY_CONSOLIDATED=Y","FA_ADJUSTED=GAAP","Sort=A","Dates=H","DateFormat=P","Fill=—","Direction=H","UseDPDF=Y")</f>
        <v>#NAME?</v>
      </c>
      <c r="H249" t="e">
        <f ca="1">_xll.BDH($C$228,"RETURN_ON_CAP","FQ1 2018","FQ1 2018","Currency=INR","Period=FQ","BEST_FPERIOD_OVERRIDE=FQ","FILING_STATUS=OR","EQY_CONSOLIDATED=Y","FA_ADJUSTED=GAAP","Sort=A","Dates=H","DateFormat=P","Fill=—","Direction=H","UseDPDF=Y")</f>
        <v>#NAME?</v>
      </c>
      <c r="I249" t="e">
        <f ca="1">_xll.BDH($C$228,"RETURN_ON_INV_CAPITAL","FQ1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249" t="e">
        <f ca="1">_xll.BDH($C$228,"EBITDA_TO_REVENUE","FQ1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249" t="e">
        <f ca="1">_xll.BDH($C$228,"OPER_MARGIN","FQ1 2018","FQ1 2018","Currency=INR","Period=FQ","BEST_FPERIOD_OVERRIDE=FQ","FILING_STATUS=OR","EQY_CONSOLIDATED=Y","FA_ADJUSTED=GAAP","Sort=A","Dates=H","DateFormat=P","Fill=—","Direction=H","UseDPDF=Y")</f>
        <v>#NAME?</v>
      </c>
      <c r="L249" t="e">
        <f ca="1">_xll.BDH($C$228,"INCREMENTAL_OPERATING_MARGIN","FQ1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249" t="e">
        <f ca="1">_xll.BDH($C$228,"PRETAX_INC_TO_NET_SALES","FQ1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249" t="e">
        <f ca="1">_xll.BDH($C$228,"INC_BEF_XO_ITEMS_TO_NET_SALES","FQ1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249" t="e">
        <f ca="1">_xll.BDH($C$228,"PROF_MARGIN","FQ1 2018","FQ1 2018","Currency=INR","Period=FQ","BEST_FPERIOD_OVERRIDE=FQ","FILING_STATUS=OR","EQY_CONSOLIDATED=Y","FA_ADJUSTED=GAAP","Sort=A","Dates=H","DateFormat=P","Fill=—","Direction=H","UseDPDF=Y")</f>
        <v>#NAME?</v>
      </c>
      <c r="P249" t="e">
        <f ca="1">_xll.BDH($C$228,"NET_INCOME_TO_COMMON_MARGIN","FQ1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249" t="e">
        <f ca="1">_xll.BDH($C$228,"EFF_TAX_RATE","FQ1 2018","FQ1 2018","Currency=INR","Period=FQ","BEST_FPERIOD_OVERRIDE=FQ","FILING_STATUS=OR","EQY_CONSOLIDATED=Y","FA_ADJUSTED=GAAP","Sort=A","Dates=H","DateFormat=P","Fill=—","Direction=H","UseDPDF=Y")</f>
        <v>#NAME?</v>
      </c>
      <c r="R249" t="e">
        <f ca="1">_xll.BDH($C$228,"DVD_PAYOUT_RATIO","FQ1 2018","FQ1 2018","Currency=INR","Period=FQ","BEST_FPERIOD_OVERRIDE=FQ","FILING_STATUS=OR","EQY_CONSOLIDATED=Y","FA_ADJUSTED=GAAP","Sort=A","Dates=H","DateFormat=P","Fill=—","Direction=H","UseDPDF=Y")</f>
        <v>#NAME?</v>
      </c>
      <c r="S249" t="e">
        <f ca="1">_xll.BDH($C$228,"SUSTAIN_GROWTH_RT","FQ1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249" s="2" t="e">
        <f ca="1">_xll.BDH($C$228,"SALES_GROWTH","FQ1 2018","FQ1 2018","Currency=INR","Period=FQ","BEST_FPERIOD_OVERRIDE=FQ","FILING_STATUS=OR","EQY_CONSOLIDATED=Y","FA_ADJUSTED=GAAP","Sort=A","Dates=H","DateFormat=P","Fill=—","Direction=H","UseDPDF=Y")</f>
        <v>#NAME?</v>
      </c>
      <c r="U249" s="2" t="e">
        <f ca="1">_xll.BDH($C$228,"EBITDA_GROWTH","FQ1 2018","FQ1 2018","Currency=INR","Period=FQ","BEST_FPERIOD_OVERRIDE=FQ","FILING_STATUS=OR","EQY_CONSOLIDATED=Y","FA_ADJUSTED=GAAP","Sort=A","Dates=H","DateFormat=P","Fill=—","Direction=H","UseDPDF=Y")</f>
        <v>#NAME?</v>
      </c>
      <c r="V249" s="2" t="e">
        <f ca="1">_xll.BDH($C$228,"OPER_INC_GROWTH","FQ1 2018","FQ1 2018","Currency=INR","Period=FQ","BEST_FPERIOD_OVERRIDE=FQ","FILING_STATUS=OR","EQY_CONSOLIDATED=Y","FA_ADJUSTED=GAAP","Sort=A","Dates=H","DateFormat=P","Fill=—","Direction=H","UseDPDF=Y")</f>
        <v>#NAME?</v>
      </c>
      <c r="W249" s="2" t="e">
        <f ca="1">_xll.BDH($C$228,"EARN_FOR_COM_GROWTH","FQ1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249" s="2" t="e">
        <f ca="1">_xll.BDH($C$228,"DILUTED_EPS_AFT_XO_ITEMS_GROWTH","FQ1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249" s="2" t="e">
        <f ca="1">_xll.BDH($C$228,"DIVIDEND_PER_SHARE_1_YEAR_GROWTH","FQ1 2018","FQ1 2018","Currency=INR","Period=FQ","BEST_FPERIOD_OVERRIDE=FQ","FILING_STATUS=OR","EQY_CONSOLIDATED=Y","Sort=A","Dates=H","DateFormat=P","Fill=—","Direction=H","UseDPDF=Y")</f>
        <v>#NAME?</v>
      </c>
      <c r="Z249" s="2" t="e">
        <f ca="1">_xll.BDH($C$228,"ACCOUNTS_RECEIVABLE_GROWTH","FQ1 2018","FQ1 2018","Currency=INR","Period=FQ","BEST_FPERIOD_OVERRIDE=FQ","FILING_STATUS=OR","EQY_CONSOLIDATED=Y","Sort=A","Dates=H","DateFormat=P","Fill=—","Direction=H","UseDPDF=Y")</f>
        <v>#NAME?</v>
      </c>
      <c r="AA249" s="2" t="e">
        <f ca="1">_xll.BDH($C$228,"INVENTORY_GROWTH","FQ1 2018","FQ1 2018","Currency=INR","Period=FQ","BEST_FPERIOD_OVERRIDE=FQ","FILING_STATUS=OR","EQY_CONSOLIDATED=Y","Sort=A","Dates=H","DateFormat=P","Fill=—","Direction=H","UseDPDF=Y")</f>
        <v>#NAME?</v>
      </c>
      <c r="AB249" s="2" t="e">
        <f ca="1">_xll.BDH($C$228,"NET_FIXED_ASSETS_1_YEAR_GROWTH","FQ1 2018","FQ1 2018","Currency=INR","Period=FQ","BEST_FPERIOD_OVERRIDE=FQ","FILING_STATUS=OR","EQY_CONSOLIDATED=Y","Sort=A","Dates=H","DateFormat=P","Fill=—","Direction=H","UseDPDF=Y")</f>
        <v>#NAME?</v>
      </c>
      <c r="AC249" s="2" t="e">
        <f ca="1">_xll.BDH($C$228,"ASSET_GROWTH","FQ1 2018","FQ1 2018","Currency=INR","Period=FQ","BEST_FPERIOD_OVERRIDE=FQ","FILING_STATUS=OR","EQY_CONSOLIDATED=Y","Sort=A","Dates=H","DateFormat=P","Fill=—","Direction=H","UseDPDF=Y")</f>
        <v>#NAME?</v>
      </c>
      <c r="AD249" s="2" t="e">
        <f ca="1">_xll.BDH($C$228,"MODIFIED_WORK_CAP_GROWTH","FQ1 2018","FQ1 2018","Currency=INR","Period=FQ","BEST_FPERIOD_OVERRIDE=FQ","FILING_STATUS=OR","EQY_CONSOLIDATED=Y","Sort=A","Dates=H","DateFormat=P","Fill=—","Direction=H","UseDPDF=Y")</f>
        <v>#NAME?</v>
      </c>
      <c r="AE249" s="2" t="e">
        <f ca="1">_xll.BDH($C$228,"WORK_CAP_GROWTH","FQ1 2018","FQ1 2018","Currency=INR","Period=FQ","BEST_FPERIOD_OVERRIDE=FQ","FILING_STATUS=OR","EQY_CONSOLIDATED=Y","Sort=A","Dates=H","DateFormat=P","Fill=—","Direction=H","UseDPDF=Y")</f>
        <v>#NAME?</v>
      </c>
      <c r="AF249" s="2" t="e">
        <f ca="1">_xll.BDH($C$228,"ACCOUNTS_PAYABLE_GROWTH_1YR","FQ1 2018","FQ1 2018","Currency=INR","Period=FQ","BEST_FPERIOD_OVERRIDE=FQ","FILING_STATUS=OR","EQY_CONSOLIDATED=Y","Sort=A","Dates=H","DateFormat=P","Fill=—","Direction=H","UseDPDF=Y")</f>
        <v>#NAME?</v>
      </c>
      <c r="AG249" s="2" t="e">
        <f ca="1">_xll.BDH($C$228,"SHORT_TERM_DEBT_1_YEAR_GROWTH","FQ1 2018","FQ1 2018","Currency=INR","Period=FQ","BEST_FPERIOD_OVERRIDE=FQ","FILING_STATUS=OR","EQY_CONSOLIDATED=Y","Sort=A","Dates=H","DateFormat=P","Fill=—","Direction=H","UseDPDF=Y")</f>
        <v>#NAME?</v>
      </c>
      <c r="AH249" s="2" t="e">
        <f ca="1">_xll.BDH($C$228,"TOTAL_DEBT_1_YEAR_GROWTH","FQ1 2018","FQ1 2018","Currency=INR","Period=FQ","BEST_FPERIOD_OVERRIDE=FQ","FILING_STATUS=OR","EQY_CONSOLIDATED=Y","Sort=A","Dates=H","DateFormat=P","Fill=—","Direction=H","UseDPDF=Y")</f>
        <v>#NAME?</v>
      </c>
      <c r="AI249" s="2" t="e">
        <f ca="1">_xll.BDH($C$228,"TOTAL_EQUITY_1_YEAR_GROWTH","FQ1 2018","FQ1 2018","Currency=INR","Period=FQ","BEST_FPERIOD_OVERRIDE=FQ","FILING_STATUS=OR","EQY_CONSOLIDATED=Y","Sort=A","Dates=H","DateFormat=P","Fill=—","Direction=H","UseDPDF=Y")</f>
        <v>#NAME?</v>
      </c>
      <c r="AJ249" s="2" t="e">
        <f ca="1">_xll.BDH($C$228,"GROWTH_IN_CAP","FQ1 2018","FQ1 2018","Currency=INR","Period=FQ","BEST_FPERIOD_OVERRIDE=FQ","FILING_STATUS=OR","EQY_CONSOLIDATED=Y","Sort=A","Dates=H","DateFormat=P","Fill=—","Direction=H","UseDPDF=Y")</f>
        <v>#NAME?</v>
      </c>
      <c r="AK249" s="2" t="e">
        <f ca="1">_xll.BDH($C$228,"BVPS_GROWTH","FQ1 2018","FQ1 2018","Currency=INR","Period=FQ","BEST_FPERIOD_OVERRIDE=FQ","FILING_STATUS=OR","EQY_CONSOLIDATED=Y","Sort=A","Dates=H","DateFormat=P","Fill=—","Direction=H","UseDPDF=Y")</f>
        <v>#NAME?</v>
      </c>
      <c r="AL249" s="2" t="e">
        <f ca="1">_xll.BDH($C$228,"CASH_FLOW_GROWTH","FQ1 2018","FQ1 2018","Currency=INR","Period=FQ","BEST_FPERIOD_OVERRIDE=FQ","FILING_STATUS=OR","EQY_CONSOLIDATED=Y","Sort=A","Dates=H","DateFormat=P","Fill=—","Direction=H","UseDPDF=Y")</f>
        <v>#NAME?</v>
      </c>
      <c r="AM249" s="2" t="e">
        <f ca="1">_xll.BDH($C$228,"GEO_GROW_NET_SALES","FQ1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249" s="2" t="e">
        <f ca="1">_xll.BDH($C$228,"GEO_GROW_EBITDA","FQ1 2018","FQ1 2018","Currency=INR","Period=FQ","BEST_FPERIOD_OVERRIDE=FQ","FILING_STATUS=OR","EQY_CONSOLIDATED=Y","FA_ADJUSTED=GAAP","Sort=A","Dates=H","DateFormat=P","Fill=—","Direction=H","UseDPDF=Y")</f>
        <v>#NAME?</v>
      </c>
      <c r="AO249" s="2" t="e">
        <f ca="1">_xll.BDH($C$228,"GEO_GROW_OPER_INC","FQ1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249" s="2" t="e">
        <f ca="1">_xll.BDH($C$228,"NET_INCOME_TO_COMMON_5_YR_GROWTH","FQ1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249" s="2" t="e">
        <f ca="1">_xll.BDH($C$228,"5Y_GEO_GROWTH_DILUTED_EPS","FQ1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249" s="2" t="e">
        <f ca="1">_xll.BDH($C$228,"GEO_GROW_DVD_PER_SH","FQ1 2018","FQ1 2018","Currency=INR","Period=FQ","BEST_FPERIOD_OVERRIDE=FQ","FILING_STATUS=OR","EQY_CONSOLIDATED=Y","Sort=A","Dates=H","DateFormat=P","Fill=—","Direction=H","UseDPDF=Y")</f>
        <v>#NAME?</v>
      </c>
      <c r="AS249" s="2" t="e">
        <f ca="1">_xll.BDH($C$228,"ACCOUNTS_RECEIVABLE_5_YR_GROWTH","FQ1 2018","FQ1 2018","Currency=INR","Period=FQ","BEST_FPERIOD_OVERRIDE=FQ","FILING_STATUS=OR","EQY_CONSOLIDATED=Y","Sort=A","Dates=H","DateFormat=P","Fill=—","Direction=H","UseDPDF=Y")</f>
        <v>#NAME?</v>
      </c>
      <c r="AT249" s="2" t="e">
        <f ca="1">_xll.BDH($C$228,"INVENTORY_5_YEAR_GROWTH","FQ1 2018","FQ1 2018","Currency=INR","Period=FQ","BEST_FPERIOD_OVERRIDE=FQ","FILING_STATUS=OR","EQY_CONSOLIDATED=Y","Sort=A","Dates=H","DateFormat=P","Fill=—","Direction=H","UseDPDF=Y")</f>
        <v>#NAME?</v>
      </c>
      <c r="AU249" s="2" t="e">
        <f ca="1">_xll.BDH($C$228,"NET_FIXED_ASSETS_5_YEAR_GROWTH","FQ1 2018","FQ1 2018","Currency=INR","Period=FQ","BEST_FPERIOD_OVERRIDE=FQ","FILING_STATUS=OR","EQY_CONSOLIDATED=Y","Sort=A","Dates=H","DateFormat=P","Fill=—","Direction=H","UseDPDF=Y")</f>
        <v>#NAME?</v>
      </c>
      <c r="AV249" s="2" t="e">
        <f ca="1">_xll.BDH($C$228,"GEO_GROW_TOT_ASSET","FQ1 2018","FQ1 2018","Currency=INR","Period=FQ","BEST_FPERIOD_OVERRIDE=FQ","FILING_STATUS=OR","EQY_CONSOLIDATED=Y","Sort=A","Dates=H","DateFormat=P","Fill=—","Direction=H","UseDPDF=Y")</f>
        <v>#NAME?</v>
      </c>
      <c r="AW249" s="2" t="e">
        <f ca="1">_xll.BDH($C$228,"MODIFIED_WORKING_CPTL_5YR_GRWTH","FQ1 2018","FQ1 2018","Currency=INR","Period=FQ","BEST_FPERIOD_OVERRIDE=FQ","FILING_STATUS=OR","EQY_CONSOLIDATED=Y","Sort=A","Dates=H","DateFormat=P","Fill=—","Direction=H","UseDPDF=Y")</f>
        <v>#NAME?</v>
      </c>
      <c r="AX249" s="2" t="e">
        <f ca="1">_xll.BDH($C$228,"WORKING_CAPITAL_5_YEAR_GROWTH","FQ1 2018","FQ1 2018","Currency=INR","Period=FQ","BEST_FPERIOD_OVERRIDE=FQ","FILING_STATUS=OR","EQY_CONSOLIDATED=Y","Sort=A","Dates=H","DateFormat=P","Fill=—","Direction=H","UseDPDF=Y")</f>
        <v>#NAME?</v>
      </c>
      <c r="AY249" s="2" t="e">
        <f ca="1">_xll.BDH($C$228,"ACCOUNTS_PAYABLE_5_YEAR_GROWTH","FQ1 2018","FQ1 2018","Currency=INR","Period=FQ","BEST_FPERIOD_OVERRIDE=FQ","FILING_STATUS=OR","EQY_CONSOLIDATED=Y","Sort=A","Dates=H","DateFormat=P","Fill=—","Direction=H","UseDPDF=Y")</f>
        <v>#NAME?</v>
      </c>
      <c r="AZ249" s="2" t="e">
        <f ca="1">_xll.BDH($C$228,"SHORT_TERM_DEBT_5_YEAR_GROWTH","FQ1 2018","FQ1 2018","Currency=INR","Period=FQ","BEST_FPERIOD_OVERRIDE=FQ","FILING_STATUS=OR","EQY_CONSOLIDATED=Y","Sort=A","Dates=H","DateFormat=P","Fill=—","Direction=H","UseDPDF=Y")</f>
        <v>#NAME?</v>
      </c>
      <c r="BA249" s="2" t="e">
        <f ca="1">_xll.BDH($C$228,"TOTAL_DEBT_5_YEAR_GROWTH","FQ1 2018","FQ1 2018","Currency=INR","Period=FQ","BEST_FPERIOD_OVERRIDE=FQ","FILING_STATUS=OR","EQY_CONSOLIDATED=Y","Sort=A","Dates=H","DateFormat=P","Fill=—","Direction=H","UseDPDF=Y")</f>
        <v>#NAME?</v>
      </c>
      <c r="BB249" s="2" t="e">
        <f ca="1">_xll.BDH($C$228,"GEO_GROW_TOT_SHRHLDR_EQY","FQ1 2018","FQ1 2018","Currency=INR","Period=FQ","BEST_FPERIOD_OVERRIDE=FQ","FILING_STATUS=OR","EQY_CONSOLIDATED=Y","Sort=A","Dates=H","DateFormat=P","Fill=—","Direction=H","UseDPDF=Y")</f>
        <v>#NAME?</v>
      </c>
      <c r="BC249" s="2" t="e">
        <f ca="1">_xll.BDH($C$228,"TOTAL_CAPITAL_5_YEAR_GROWTH","FQ1 2018","FQ1 2018","Currency=INR","Period=FQ","BEST_FPERIOD_OVERRIDE=FQ","FILING_STATUS=OR","EQY_CONSOLIDATED=Y","Sort=A","Dates=H","DateFormat=P","Fill=—","Direction=H","UseDPDF=Y")</f>
        <v>#NAME?</v>
      </c>
      <c r="BD249" s="2" t="e">
        <f ca="1">_xll.BDH($C$228,"GEO_GROW_BOOK_VAL","FQ1 2018","FQ1 2018","Currency=INR","Period=FQ","BEST_FPERIOD_OVERRIDE=FQ","FILING_STATUS=OR","EQY_CONSOLIDATED=Y","Sort=A","Dates=H","DateFormat=P","Fill=—","Direction=H","UseDPDF=Y")</f>
        <v>#NAME?</v>
      </c>
      <c r="BE249" s="2" t="e">
        <f ca="1">_xll.BDH($C$228,"GEO_GROW_CASH_OPER_ACT","FQ1 2018","FQ1 2018","Currency=INR","Period=FQ","BEST_FPERIOD_OVERRIDE=FQ","FILING_STATUS=OR","EQY_CONSOLIDATED=Y","Sort=A","Dates=H","DateFormat=P","Fill=—","Direction=H","UseDPDF=Y")</f>
        <v>#NAME?</v>
      </c>
      <c r="BF249" s="2" t="e">
        <f ca="1">_xll.BDH($C$228,"REVENUE_SEQUENTIAL_GROWTH","FQ1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249" s="2" t="e">
        <f ca="1">_xll.BDH($C$228,"EBITDA_SEQUENTIAL_GROWTH","FQ1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249" s="2" t="e">
        <f ca="1">_xll.BDH($C$228,"OPERATING_INCOME_SEQ_GROWTH","FQ1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249" s="2" t="e">
        <f ca="1">_xll.BDH($C$228,"NET_INCOME_TO_COMMON_SEQ_GROWTH","FQ1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249" s="2" t="e">
        <f ca="1">_xll.BDH($C$228,"EPS_DILUTED_SEQUENTIAL_GROWTH","FQ1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249" s="2" t="e">
        <f ca="1">_xll.BDH($C$228,"DPS_SEQUENTIAL_GROWTH","FQ1 2018","FQ1 2018","Currency=INR","Period=FQ","BEST_FPERIOD_OVERRIDE=FQ","FILING_STATUS=OR","EQY_CONSOLIDATED=Y","Sort=A","Dates=H","DateFormat=P","Fill=—","Direction=H","UseDPDF=Y")</f>
        <v>#NAME?</v>
      </c>
      <c r="BL249" s="2" t="e">
        <f ca="1">_xll.BDH($C$228,"ACCOUNTS_RECEIVABLE_SEQ_GROWTH","FQ1 2018","FQ1 2018","Currency=INR","Period=FQ","BEST_FPERIOD_OVERRIDE=FQ","FILING_STATUS=OR","EQY_CONSOLIDATED=Y","Sort=A","Dates=H","DateFormat=P","Fill=—","Direction=H","UseDPDF=Y")</f>
        <v>#NAME?</v>
      </c>
      <c r="BM249" s="2" t="e">
        <f ca="1">_xll.BDH($C$228,"INVENTORY_SEQUENTIAL_GROWTH","FQ1 2018","FQ1 2018","Currency=INR","Period=FQ","BEST_FPERIOD_OVERRIDE=FQ","FILING_STATUS=OR","EQY_CONSOLIDATED=Y","Sort=A","Dates=H","DateFormat=P","Fill=—","Direction=H","UseDPDF=Y")</f>
        <v>#NAME?</v>
      </c>
      <c r="BN249" s="2" t="e">
        <f ca="1">_xll.BDH($C$228,"FIXED_ASSETS_SEQUENTIAL_GROWTH","FQ1 2018","FQ1 2018","Currency=INR","Period=FQ","BEST_FPERIOD_OVERRIDE=FQ","FILING_STATUS=OR","EQY_CONSOLIDATED=Y","Sort=A","Dates=H","DateFormat=P","Fill=—","Direction=H","UseDPDF=Y")</f>
        <v>#NAME?</v>
      </c>
      <c r="BO249" s="2" t="e">
        <f ca="1">_xll.BDH($C$228,"TOTAL_ASSETS_SEQUENTIAL_GROWTH","FQ1 2018","FQ1 2018","Currency=INR","Period=FQ","BEST_FPERIOD_OVERRIDE=FQ","FILING_STATUS=OR","EQY_CONSOLIDATED=Y","Sort=A","Dates=H","DateFormat=P","Fill=—","Direction=H","UseDPDF=Y")</f>
        <v>#NAME?</v>
      </c>
      <c r="BP249" s="2" t="e">
        <f ca="1">_xll.BDH($C$228,"MODIFIED_WORKING_CPTL_SEQ_GRWTH","FQ1 2018","FQ1 2018","Currency=INR","Period=FQ","BEST_FPERIOD_OVERRIDE=FQ","FILING_STATUS=OR","EQY_CONSOLIDATED=Y","Sort=A","Dates=H","DateFormat=P","Fill=—","Direction=H","UseDPDF=Y")</f>
        <v>#NAME?</v>
      </c>
      <c r="BQ249" s="2" t="e">
        <f ca="1">_xll.BDH($C$228,"WORKING_CAPITAL_SEQ_GROWTH","FQ1 2018","FQ1 2018","Currency=INR","Period=FQ","BEST_FPERIOD_OVERRIDE=FQ","FILING_STATUS=OR","EQY_CONSOLIDATED=Y","Sort=A","Dates=H","DateFormat=P","Fill=—","Direction=H","UseDPDF=Y")</f>
        <v>#NAME?</v>
      </c>
      <c r="BR249" s="2" t="e">
        <f ca="1">_xll.BDH($C$228,"ACCOUNTS_PAYABLE_SEQ_GROWTH","FQ1 2018","FQ1 2018","Currency=INR","Period=FQ","BEST_FPERIOD_OVERRIDE=FQ","FILING_STATUS=OR","EQY_CONSOLIDATED=Y","Sort=A","Dates=H","DateFormat=P","Fill=—","Direction=H","UseDPDF=Y")</f>
        <v>#NAME?</v>
      </c>
      <c r="BS249" s="2" t="e">
        <f ca="1">_xll.BDH($C$228,"ST_DEBT_SEQUENTIAL_GROWTH","FQ1 2018","FQ1 2018","Currency=INR","Period=FQ","BEST_FPERIOD_OVERRIDE=FQ","FILING_STATUS=OR","EQY_CONSOLIDATED=Y","Sort=A","Dates=H","DateFormat=P","Fill=—","Direction=H","UseDPDF=Y")</f>
        <v>#NAME?</v>
      </c>
      <c r="BT249" s="2" t="e">
        <f ca="1">_xll.BDH($C$228,"TOTAL_DEBT_SEQUENTIAL_GROWTH","FQ1 2018","FQ1 2018","Currency=INR","Period=FQ","BEST_FPERIOD_OVERRIDE=FQ","FILING_STATUS=OR","EQY_CONSOLIDATED=Y","Sort=A","Dates=H","DateFormat=P","Fill=—","Direction=H","UseDPDF=Y")</f>
        <v>#NAME?</v>
      </c>
      <c r="BU249" s="2" t="e">
        <f ca="1">_xll.BDH($C$228,"TOTAL_EQUITY_SEQUENTIAL_GROWTH","FQ1 2018","FQ1 2018","Currency=INR","Period=FQ","BEST_FPERIOD_OVERRIDE=FQ","FILING_STATUS=OR","EQY_CONSOLIDATED=Y","Sort=A","Dates=H","DateFormat=P","Fill=—","Direction=H","UseDPDF=Y")</f>
        <v>#NAME?</v>
      </c>
      <c r="BV249" s="2" t="e">
        <f ca="1">_xll.BDH($C$228,"TOTAL_CAPITAL_SEQUENTIAL_GROWTH","FQ1 2018","FQ1 2018","Currency=INR","Period=FQ","BEST_FPERIOD_OVERRIDE=FQ","FILING_STATUS=OR","EQY_CONSOLIDATED=Y","Sort=A","Dates=H","DateFormat=P","Fill=—","Direction=H","UseDPDF=Y")</f>
        <v>#NAME?</v>
      </c>
      <c r="BW249" s="2" t="e">
        <f ca="1">_xll.BDH($C$228,"BPS_SEQUENTIAL_GROWTH","FQ1 2018","FQ1 2018","Currency=INR","Period=FQ","BEST_FPERIOD_OVERRIDE=FQ","FILING_STATUS=OR","EQY_CONSOLIDATED=Y","Sort=A","Dates=H","DateFormat=P","Fill=—","Direction=H","UseDPDF=Y")</f>
        <v>#NAME?</v>
      </c>
      <c r="BX249" s="2" t="e">
        <f ca="1">_xll.BDH($C$228,"CFO_SEQUENTIAL_GROWTH","FQ1 2018","FQ1 2018","Currency=INR","Period=FQ","BEST_FPERIOD_OVERRIDE=FQ","FILING_STATUS=OR","EQY_CONSOLIDATED=Y","Sort=A","Dates=H","DateFormat=P","Fill=—","Direction=H","UseDPDF=Y")</f>
        <v>#NAME?</v>
      </c>
      <c r="BY249" s="3" t="e">
        <f ca="1">_xll.BDH($C$228,"SHORT_AND_LONG_TERM_DEBT","FQ1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249" s="3" t="e">
        <f ca="1">_xll.BDH($C$228,"BS_ST_BORROW","FQ1 2018","FQ1 2018","Currency=INR","Period=FQ","BEST_FPERIOD_OVERRIDE=FQ","FILING_STATUS=OR","EQY_CONSOLIDATED=Y","SCALING_FORMAT=MLN","Sort=A","Dates=H","DateFormat=P","Fill=—","Direction=H","UseDPDF=Y")</f>
        <v>#NAME?</v>
      </c>
      <c r="CA249" s="3" t="e">
        <f ca="1">_xll.BDH($C$228,"BS_LT_BORROW","FQ1 2018","FQ1 2018","Currency=INR","Period=FQ","BEST_FPERIOD_OVERRIDE=FQ","FILING_STATUS=OR","EQY_CONSOLIDATED=Y","SCALING_FORMAT=MLN","Sort=A","Dates=H","DateFormat=P","Fill=—","Direction=H","UseDPDF=Y")</f>
        <v>#NAME?</v>
      </c>
      <c r="CB249" s="2" t="e">
        <f ca="1">_xll.BDH($C$228,"TOT_DEBT_TO_EBITDA","FQ1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249" s="2" t="e">
        <f ca="1">_xll.BDH($C$228,"NET_DEBT_TO_EBITDA","FQ1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249" s="2" t="e">
        <f ca="1">_xll.BDH($C$228,"TOTAL_DEBT_TO_EBIT","FQ1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249" s="2" t="e">
        <f ca="1">_xll.BDH($C$228,"NET_DEBT_TO_EBIT","FQ1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249" s="2" t="e">
        <f ca="1">_xll.BDH($C$228,"EBITDA_TO_INTEREST_EXPN","FQ1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249" s="2" t="e">
        <f ca="1">_xll.BDH($C$228,"COM_EQY_TO_TOT_ASSET","FQ1 2018","FQ1 2018","Currency=INR","Period=FQ","BEST_FPERIOD_OVERRIDE=FQ","FILING_STATUS=OR","EQY_CONSOLIDATED=Y","Sort=A","Dates=H","DateFormat=P","Fill=—","Direction=H","UseDPDF=Y")</f>
        <v>#NAME?</v>
      </c>
      <c r="CH249" s="2" t="e">
        <f ca="1">_xll.BDH($C$228,"LT_DEBT_TO_TOT_EQY","FQ1 2018","FQ1 2018","Currency=INR","Period=FQ","BEST_FPERIOD_OVERRIDE=FQ","FILING_STATUS=OR","EQY_CONSOLIDATED=Y","Sort=A","Dates=H","DateFormat=P","Fill=—","Direction=H","UseDPDF=Y")</f>
        <v>#NAME?</v>
      </c>
      <c r="CI249" s="2" t="e">
        <f ca="1">_xll.BDH($C$228,"LT_DEBT_TO_TOT_CAP","FQ1 2018","FQ1 2018","Currency=INR","Period=FQ","BEST_FPERIOD_OVERRIDE=FQ","FILING_STATUS=OR","EQY_CONSOLIDATED=Y","Sort=A","Dates=H","DateFormat=P","Fill=—","Direction=H","UseDPDF=Y")</f>
        <v>#NAME?</v>
      </c>
      <c r="CJ249" s="2" t="e">
        <f ca="1">_xll.BDH($C$228,"LT_DEBT_TO_TOT_ASSET","FQ1 2018","FQ1 2018","Currency=INR","Period=FQ","BEST_FPERIOD_OVERRIDE=FQ","FILING_STATUS=OR","EQY_CONSOLIDATED=Y","Sort=A","Dates=H","DateFormat=P","Fill=—","Direction=H","UseDPDF=Y")</f>
        <v>#NAME?</v>
      </c>
      <c r="CK249" s="2" t="e">
        <f ca="1">_xll.BDH($C$228,"TOT_DEBT_TO_TOT_EQY","FQ1 2018","FQ1 2018","Currency=INR","Period=FQ","BEST_FPERIOD_OVERRIDE=FQ","FILING_STATUS=OR","EQY_CONSOLIDATED=Y","Sort=A","Dates=H","DateFormat=P","Fill=—","Direction=H","UseDPDF=Y")</f>
        <v>#NAME?</v>
      </c>
      <c r="CL249" s="2" t="e">
        <f ca="1">_xll.BDH($C$228,"TOT_DEBT_TO_TOT_CAP","FQ1 2018","FQ1 2018","Currency=INR","Period=FQ","BEST_FPERIOD_OVERRIDE=FQ","FILING_STATUS=OR","EQY_CONSOLIDATED=Y","Sort=A","Dates=H","DateFormat=P","Fill=—","Direction=H","UseDPDF=Y")</f>
        <v>#NAME?</v>
      </c>
      <c r="CM249" s="2" t="e">
        <f ca="1">_xll.BDH($C$228,"TOT_DEBT_TO_TOT_ASSET","FQ1 2018","FQ1 2018","Currency=INR","Period=FQ","BEST_FPERIOD_OVERRIDE=FQ","FILING_STATUS=OR","EQY_CONSOLIDATED=Y","Sort=A","Dates=H","DateFormat=P","Fill=—","Direction=H","UseDPDF=Y")</f>
        <v>#NAME?</v>
      </c>
      <c r="CN249" s="2" t="e">
        <f ca="1">_xll.BDH($C$228,"NET_DEBT_TO_SHRHLDR_EQTY","FQ1 2018","FQ1 2018","Currency=INR","Period=FQ","BEST_FPERIOD_OVERRIDE=FQ","FILING_STATUS=OR","EQY_CONSOLIDATED=Y","Sort=A","Dates=H","DateFormat=P","Fill=—","Direction=H","UseDPDF=Y")</f>
        <v>#NAME?</v>
      </c>
      <c r="CO249" s="2" t="e">
        <f ca="1">_xll.BDH($C$228,"NET_DEBT_%_CAPITAL","FQ1 2018","FQ1 2018","Currency=INR","Period=FQ","BEST_FPERIOD_OVERRIDE=FQ","FILING_STATUS=OR","EQY_CONSOLIDATED=Y","Sort=A","Dates=H","DateFormat=P","Fill=—","Direction=H","UseDPDF=Y")</f>
        <v>#NAME?</v>
      </c>
      <c r="CP249" s="3" t="e">
        <f ca="1">_xll.BDH($C$228,"EBITDA","FQ1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249" s="3" t="e">
        <f ca="1">_xll.BDH($C$228,"EBITDA_AFTER_CAPEX","FQ1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249" s="3" t="e">
        <f ca="1">_xll.BDH($C$228,"IS_OPER_INC","FQ1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249" s="2" t="e">
        <f ca="1">_xll.BDH($C$228,"CASH_RATIO","FQ1 2018","FQ1 2018","Currency=INR","Period=FQ","BEST_FPERIOD_OVERRIDE=FQ","FILING_STATUS=OR","EQY_CONSOLIDATED=Y","Sort=A","Dates=H","DateFormat=P","Fill=—","Direction=H","UseDPDF=Y")</f>
        <v>#NAME?</v>
      </c>
      <c r="CT249" s="2" t="e">
        <f ca="1">_xll.BDH($C$228,"CUR_RATIO","FQ1 2018","FQ1 2018","Currency=INR","Period=FQ","BEST_FPERIOD_OVERRIDE=FQ","FILING_STATUS=OR","EQY_CONSOLIDATED=Y","Sort=A","Dates=H","DateFormat=P","Fill=—","Direction=H","UseDPDF=Y")</f>
        <v>#NAME?</v>
      </c>
      <c r="CU249" s="2" t="e">
        <f ca="1">_xll.BDH($C$228,"QUICK_RATIO","FQ1 2018","FQ1 2018","Currency=INR","Period=FQ","BEST_FPERIOD_OVERRIDE=FQ","FILING_STATUS=OR","EQY_CONSOLIDATED=Y","Sort=A","Dates=H","DateFormat=P","Fill=—","Direction=H","UseDPDF=Y")</f>
        <v>#NAME?</v>
      </c>
      <c r="CV249" s="2" t="e">
        <f ca="1">_xll.BDH($C$228,"ALTMAN_Z_SCORE","FQ1 2018","FQ1 2018","Currency=INR","Period=FQ","BEST_FPERIOD_OVERRIDE=FQ","FILING_STATUS=OR","EQY_CONSOLIDATED=Y","Sort=A","Dates=H","DateFormat=P","Fill=—","Direction=H","UseDPDF=Y")</f>
        <v>#NAME?</v>
      </c>
      <c r="CW249" s="4" t="e">
        <f ca="1">_xll.BDH($C$228,"ACCT_RCV_TURN","FQ1 2018","FQ1 2018","Currency=INR","Period=FQ","BEST_FPERIOD_OVERRIDE=FQ","FILING_STATUS=OR","EQY_CONSOLIDATED=Y","FA_ADJUSTED=GAAP","Sort=A","Dates=H","DateFormat=P","Fill=—","Direction=H","UseDPDF=Y")</f>
        <v>#NAME?</v>
      </c>
      <c r="CX249" s="2" t="e">
        <f ca="1">_xll.BDH($C$228,"ACCT_RCV_DAYS","FQ1 2018","FQ1 2018","Currency=INR","Period=FQ","BEST_FPERIOD_OVERRIDE=FQ","FILING_STATUS=OR","EQY_CONSOLIDATED=Y","FA_ADJUSTED=GAAP","Sort=A","Dates=H","DateFormat=P","Fill=—","Direction=H","UseDPDF=Y")</f>
        <v>#NAME?</v>
      </c>
      <c r="CY249" s="4" t="e">
        <f ca="1">_xll.BDH($C$228,"INVENT_TURN","FQ1 2018","FQ1 2018","Currency=INR","Period=FQ","BEST_FPERIOD_OVERRIDE=FQ","FILING_STATUS=OR","EQY_CONSOLIDATED=Y","FA_ADJUSTED=GAAP","Sort=A","Dates=H","DateFormat=P","Fill=—","Direction=H","UseDPDF=Y")</f>
        <v>#NAME?</v>
      </c>
      <c r="CZ249" s="2" t="e">
        <f ca="1">_xll.BDH($C$228,"INVENT_DAYS","FQ1 2018","FQ1 2018","Currency=INR","Period=FQ","BEST_FPERIOD_OVERRIDE=FQ","FILING_STATUS=OR","EQY_CONSOLIDATED=Y","FA_ADJUSTED=GAAP","Sort=A","Dates=H","DateFormat=P","Fill=—","Direction=H","UseDPDF=Y")</f>
        <v>#NAME?</v>
      </c>
      <c r="DA249" s="4" t="e">
        <f ca="1">_xll.BDH($C$228,"ACCOUNTS_PAYABLE_TURNOVER","FQ1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249" s="2" t="e">
        <f ca="1">_xll.BDH($C$228,"ACCOUNTS_PAYABLE_TURNOVER_DAYS","FQ1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249" s="4" t="e">
        <f ca="1">_xll.BDH($C$228,"CASH_CONVERSION_CYCLE","FQ1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249" s="4" t="e">
        <f ca="1">_xll.BDH($C$228,"INV_TO_CASH_DAYS","FQ1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249" s="5" t="e">
        <f ca="1">_xll.BDH($C$228,"BS_INVENTORIES","FQ1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249" s="3" t="e">
        <f ca="1">_xll.BDH($C$228,"INVTRY_RAW_MATERIALS","FQ1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249" s="3" t="e">
        <f ca="1">_xll.BDH($C$228,"INVTRY_IN_PROGRESS","FQ1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249" s="3" t="e">
        <f ca="1">_xll.BDH($C$228,"INVTRY_FINISHED_GOODS","FQ1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249" s="3" t="e">
        <f ca="1">_xll.BDH($C$228,"BS_OTHER_INV","FQ1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250" spans="1:113" x14ac:dyDescent="0.3">
      <c r="A250" s="6"/>
      <c r="B250" s="6"/>
      <c r="C250" s="6"/>
      <c r="D250" s="6"/>
      <c r="E250" t="s">
        <v>79</v>
      </c>
      <c r="F250" t="e">
        <f ca="1">_xll.BDH($C$228,"RETURN_COM_EQY","FQ2 2018","FQ2 2018","Currency=INR","Period=FQ","BEST_FPERIOD_OVERRIDE=FQ","FILING_STATUS=OR","EQY_CONSOLIDATED=Y","FA_ADJUSTED=GAAP","Sort=A","Dates=H","DateFormat=P","Fill=—","Direction=H","UseDPDF=Y")</f>
        <v>#NAME?</v>
      </c>
      <c r="G250" t="e">
        <f ca="1">_xll.BDH($C$228,"RETURN_ON_ASSET","FQ2 2018","FQ2 2018","Currency=INR","Period=FQ","BEST_FPERIOD_OVERRIDE=FQ","FILING_STATUS=OR","EQY_CONSOLIDATED=Y","FA_ADJUSTED=GAAP","Sort=A","Dates=H","DateFormat=P","Fill=—","Direction=H","UseDPDF=Y")</f>
        <v>#NAME?</v>
      </c>
      <c r="H250" t="e">
        <f ca="1">_xll.BDH($C$228,"RETURN_ON_CAP","FQ2 2018","FQ2 2018","Currency=INR","Period=FQ","BEST_FPERIOD_OVERRIDE=FQ","FILING_STATUS=OR","EQY_CONSOLIDATED=Y","FA_ADJUSTED=GAAP","Sort=A","Dates=H","DateFormat=P","Fill=—","Direction=H","UseDPDF=Y")</f>
        <v>#NAME?</v>
      </c>
      <c r="I250" t="e">
        <f ca="1">_xll.BDH($C$228,"RETURN_ON_INV_CAPITAL","FQ2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250" t="e">
        <f ca="1">_xll.BDH($C$228,"EBITDA_TO_REVENUE","FQ2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250" t="e">
        <f ca="1">_xll.BDH($C$228,"OPER_MARGIN","FQ2 2018","FQ2 2018","Currency=INR","Period=FQ","BEST_FPERIOD_OVERRIDE=FQ","FILING_STATUS=OR","EQY_CONSOLIDATED=Y","FA_ADJUSTED=GAAP","Sort=A","Dates=H","DateFormat=P","Fill=—","Direction=H","UseDPDF=Y")</f>
        <v>#NAME?</v>
      </c>
      <c r="L250" t="e">
        <f ca="1">_xll.BDH($C$228,"INCREMENTAL_OPERATING_MARGIN","FQ2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250" t="e">
        <f ca="1">_xll.BDH($C$228,"PRETAX_INC_TO_NET_SALES","FQ2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250" t="e">
        <f ca="1">_xll.BDH($C$228,"INC_BEF_XO_ITEMS_TO_NET_SALES","FQ2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250" t="e">
        <f ca="1">_xll.BDH($C$228,"PROF_MARGIN","FQ2 2018","FQ2 2018","Currency=INR","Period=FQ","BEST_FPERIOD_OVERRIDE=FQ","FILING_STATUS=OR","EQY_CONSOLIDATED=Y","FA_ADJUSTED=GAAP","Sort=A","Dates=H","DateFormat=P","Fill=—","Direction=H","UseDPDF=Y")</f>
        <v>#NAME?</v>
      </c>
      <c r="P250" t="e">
        <f ca="1">_xll.BDH($C$228,"NET_INCOME_TO_COMMON_MARGIN","FQ2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250" t="e">
        <f ca="1">_xll.BDH($C$228,"EFF_TAX_RATE","FQ2 2018","FQ2 2018","Currency=INR","Period=FQ","BEST_FPERIOD_OVERRIDE=FQ","FILING_STATUS=OR","EQY_CONSOLIDATED=Y","FA_ADJUSTED=GAAP","Sort=A","Dates=H","DateFormat=P","Fill=—","Direction=H","UseDPDF=Y")</f>
        <v>#NAME?</v>
      </c>
      <c r="R250" t="e">
        <f ca="1">_xll.BDH($C$228,"DVD_PAYOUT_RATIO","FQ2 2018","FQ2 2018","Currency=INR","Period=FQ","BEST_FPERIOD_OVERRIDE=FQ","FILING_STATUS=OR","EQY_CONSOLIDATED=Y","FA_ADJUSTED=GAAP","Sort=A","Dates=H","DateFormat=P","Fill=—","Direction=H","UseDPDF=Y")</f>
        <v>#NAME?</v>
      </c>
      <c r="S250" t="e">
        <f ca="1">_xll.BDH($C$228,"SUSTAIN_GROWTH_RT","FQ2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250" s="2" t="e">
        <f ca="1">_xll.BDH($C$228,"SALES_GROWTH","FQ2 2018","FQ2 2018","Currency=INR","Period=FQ","BEST_FPERIOD_OVERRIDE=FQ","FILING_STATUS=OR","EQY_CONSOLIDATED=Y","FA_ADJUSTED=GAAP","Sort=A","Dates=H","DateFormat=P","Fill=—","Direction=H","UseDPDF=Y")</f>
        <v>#NAME?</v>
      </c>
      <c r="U250" s="2" t="e">
        <f ca="1">_xll.BDH($C$228,"EBITDA_GROWTH","FQ2 2018","FQ2 2018","Currency=INR","Period=FQ","BEST_FPERIOD_OVERRIDE=FQ","FILING_STATUS=OR","EQY_CONSOLIDATED=Y","FA_ADJUSTED=GAAP","Sort=A","Dates=H","DateFormat=P","Fill=—","Direction=H","UseDPDF=Y")</f>
        <v>#NAME?</v>
      </c>
      <c r="V250" s="2" t="e">
        <f ca="1">_xll.BDH($C$228,"OPER_INC_GROWTH","FQ2 2018","FQ2 2018","Currency=INR","Period=FQ","BEST_FPERIOD_OVERRIDE=FQ","FILING_STATUS=OR","EQY_CONSOLIDATED=Y","FA_ADJUSTED=GAAP","Sort=A","Dates=H","DateFormat=P","Fill=—","Direction=H","UseDPDF=Y")</f>
        <v>#NAME?</v>
      </c>
      <c r="W250" s="2" t="e">
        <f ca="1">_xll.BDH($C$228,"EARN_FOR_COM_GROWTH","FQ2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250" s="2" t="e">
        <f ca="1">_xll.BDH($C$228,"DILUTED_EPS_AFT_XO_ITEMS_GROWTH","FQ2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250" s="2" t="e">
        <f ca="1">_xll.BDH($C$228,"DIVIDEND_PER_SHARE_1_YEAR_GROWTH","FQ2 2018","FQ2 2018","Currency=INR","Period=FQ","BEST_FPERIOD_OVERRIDE=FQ","FILING_STATUS=OR","EQY_CONSOLIDATED=Y","Sort=A","Dates=H","DateFormat=P","Fill=—","Direction=H","UseDPDF=Y")</f>
        <v>#NAME?</v>
      </c>
      <c r="Z250" s="2" t="e">
        <f ca="1">_xll.BDH($C$228,"ACCOUNTS_RECEIVABLE_GROWTH","FQ2 2018","FQ2 2018","Currency=INR","Period=FQ","BEST_FPERIOD_OVERRIDE=FQ","FILING_STATUS=OR","EQY_CONSOLIDATED=Y","Sort=A","Dates=H","DateFormat=P","Fill=—","Direction=H","UseDPDF=Y")</f>
        <v>#NAME?</v>
      </c>
      <c r="AA250" s="2" t="e">
        <f ca="1">_xll.BDH($C$228,"INVENTORY_GROWTH","FQ2 2018","FQ2 2018","Currency=INR","Period=FQ","BEST_FPERIOD_OVERRIDE=FQ","FILING_STATUS=OR","EQY_CONSOLIDATED=Y","Sort=A","Dates=H","DateFormat=P","Fill=—","Direction=H","UseDPDF=Y")</f>
        <v>#NAME?</v>
      </c>
      <c r="AB250" s="2" t="e">
        <f ca="1">_xll.BDH($C$228,"NET_FIXED_ASSETS_1_YEAR_GROWTH","FQ2 2018","FQ2 2018","Currency=INR","Period=FQ","BEST_FPERIOD_OVERRIDE=FQ","FILING_STATUS=OR","EQY_CONSOLIDATED=Y","Sort=A","Dates=H","DateFormat=P","Fill=—","Direction=H","UseDPDF=Y")</f>
        <v>#NAME?</v>
      </c>
      <c r="AC250" s="2" t="e">
        <f ca="1">_xll.BDH($C$228,"ASSET_GROWTH","FQ2 2018","FQ2 2018","Currency=INR","Period=FQ","BEST_FPERIOD_OVERRIDE=FQ","FILING_STATUS=OR","EQY_CONSOLIDATED=Y","Sort=A","Dates=H","DateFormat=P","Fill=—","Direction=H","UseDPDF=Y")</f>
        <v>#NAME?</v>
      </c>
      <c r="AD250" s="2" t="e">
        <f ca="1">_xll.BDH($C$228,"MODIFIED_WORK_CAP_GROWTH","FQ2 2018","FQ2 2018","Currency=INR","Period=FQ","BEST_FPERIOD_OVERRIDE=FQ","FILING_STATUS=OR","EQY_CONSOLIDATED=Y","Sort=A","Dates=H","DateFormat=P","Fill=—","Direction=H","UseDPDF=Y")</f>
        <v>#NAME?</v>
      </c>
      <c r="AE250" s="2" t="e">
        <f ca="1">_xll.BDH($C$228,"WORK_CAP_GROWTH","FQ2 2018","FQ2 2018","Currency=INR","Period=FQ","BEST_FPERIOD_OVERRIDE=FQ","FILING_STATUS=OR","EQY_CONSOLIDATED=Y","Sort=A","Dates=H","DateFormat=P","Fill=—","Direction=H","UseDPDF=Y")</f>
        <v>#NAME?</v>
      </c>
      <c r="AF250" s="2" t="e">
        <f ca="1">_xll.BDH($C$228,"ACCOUNTS_PAYABLE_GROWTH_1YR","FQ2 2018","FQ2 2018","Currency=INR","Period=FQ","BEST_FPERIOD_OVERRIDE=FQ","FILING_STATUS=OR","EQY_CONSOLIDATED=Y","Sort=A","Dates=H","DateFormat=P","Fill=—","Direction=H","UseDPDF=Y")</f>
        <v>#NAME?</v>
      </c>
      <c r="AG250" s="2" t="e">
        <f ca="1">_xll.BDH($C$228,"SHORT_TERM_DEBT_1_YEAR_GROWTH","FQ2 2018","FQ2 2018","Currency=INR","Period=FQ","BEST_FPERIOD_OVERRIDE=FQ","FILING_STATUS=OR","EQY_CONSOLIDATED=Y","Sort=A","Dates=H","DateFormat=P","Fill=—","Direction=H","UseDPDF=Y")</f>
        <v>#NAME?</v>
      </c>
      <c r="AH250" s="2" t="e">
        <f ca="1">_xll.BDH($C$228,"TOTAL_DEBT_1_YEAR_GROWTH","FQ2 2018","FQ2 2018","Currency=INR","Period=FQ","BEST_FPERIOD_OVERRIDE=FQ","FILING_STATUS=OR","EQY_CONSOLIDATED=Y","Sort=A","Dates=H","DateFormat=P","Fill=—","Direction=H","UseDPDF=Y")</f>
        <v>#NAME?</v>
      </c>
      <c r="AI250" s="2" t="e">
        <f ca="1">_xll.BDH($C$228,"TOTAL_EQUITY_1_YEAR_GROWTH","FQ2 2018","FQ2 2018","Currency=INR","Period=FQ","BEST_FPERIOD_OVERRIDE=FQ","FILING_STATUS=OR","EQY_CONSOLIDATED=Y","Sort=A","Dates=H","DateFormat=P","Fill=—","Direction=H","UseDPDF=Y")</f>
        <v>#NAME?</v>
      </c>
      <c r="AJ250" s="2" t="e">
        <f ca="1">_xll.BDH($C$228,"GROWTH_IN_CAP","FQ2 2018","FQ2 2018","Currency=INR","Period=FQ","BEST_FPERIOD_OVERRIDE=FQ","FILING_STATUS=OR","EQY_CONSOLIDATED=Y","Sort=A","Dates=H","DateFormat=P","Fill=—","Direction=H","UseDPDF=Y")</f>
        <v>#NAME?</v>
      </c>
      <c r="AK250" s="2" t="e">
        <f ca="1">_xll.BDH($C$228,"BVPS_GROWTH","FQ2 2018","FQ2 2018","Currency=INR","Period=FQ","BEST_FPERIOD_OVERRIDE=FQ","FILING_STATUS=OR","EQY_CONSOLIDATED=Y","Sort=A","Dates=H","DateFormat=P","Fill=—","Direction=H","UseDPDF=Y")</f>
        <v>#NAME?</v>
      </c>
      <c r="AL250" s="2" t="e">
        <f ca="1">_xll.BDH($C$228,"CASH_FLOW_GROWTH","FQ2 2018","FQ2 2018","Currency=INR","Period=FQ","BEST_FPERIOD_OVERRIDE=FQ","FILING_STATUS=OR","EQY_CONSOLIDATED=Y","Sort=A","Dates=H","DateFormat=P","Fill=—","Direction=H","UseDPDF=Y")</f>
        <v>#NAME?</v>
      </c>
      <c r="AM250" s="2" t="e">
        <f ca="1">_xll.BDH($C$228,"GEO_GROW_NET_SALES","FQ2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250" s="2" t="e">
        <f ca="1">_xll.BDH($C$228,"GEO_GROW_EBITDA","FQ2 2018","FQ2 2018","Currency=INR","Period=FQ","BEST_FPERIOD_OVERRIDE=FQ","FILING_STATUS=OR","EQY_CONSOLIDATED=Y","FA_ADJUSTED=GAAP","Sort=A","Dates=H","DateFormat=P","Fill=—","Direction=H","UseDPDF=Y")</f>
        <v>#NAME?</v>
      </c>
      <c r="AO250" s="2" t="e">
        <f ca="1">_xll.BDH($C$228,"GEO_GROW_OPER_INC","FQ2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250" s="2" t="e">
        <f ca="1">_xll.BDH($C$228,"NET_INCOME_TO_COMMON_5_YR_GROWTH","FQ2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250" s="2" t="e">
        <f ca="1">_xll.BDH($C$228,"5Y_GEO_GROWTH_DILUTED_EPS","FQ2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250" s="2" t="e">
        <f ca="1">_xll.BDH($C$228,"GEO_GROW_DVD_PER_SH","FQ2 2018","FQ2 2018","Currency=INR","Period=FQ","BEST_FPERIOD_OVERRIDE=FQ","FILING_STATUS=OR","EQY_CONSOLIDATED=Y","Sort=A","Dates=H","DateFormat=P","Fill=—","Direction=H","UseDPDF=Y")</f>
        <v>#NAME?</v>
      </c>
      <c r="AS250" s="2" t="e">
        <f ca="1">_xll.BDH($C$228,"ACCOUNTS_RECEIVABLE_5_YR_GROWTH","FQ2 2018","FQ2 2018","Currency=INR","Period=FQ","BEST_FPERIOD_OVERRIDE=FQ","FILING_STATUS=OR","EQY_CONSOLIDATED=Y","Sort=A","Dates=H","DateFormat=P","Fill=—","Direction=H","UseDPDF=Y")</f>
        <v>#NAME?</v>
      </c>
      <c r="AT250" s="2" t="e">
        <f ca="1">_xll.BDH($C$228,"INVENTORY_5_YEAR_GROWTH","FQ2 2018","FQ2 2018","Currency=INR","Period=FQ","BEST_FPERIOD_OVERRIDE=FQ","FILING_STATUS=OR","EQY_CONSOLIDATED=Y","Sort=A","Dates=H","DateFormat=P","Fill=—","Direction=H","UseDPDF=Y")</f>
        <v>#NAME?</v>
      </c>
      <c r="AU250" s="2" t="e">
        <f ca="1">_xll.BDH($C$228,"NET_FIXED_ASSETS_5_YEAR_GROWTH","FQ2 2018","FQ2 2018","Currency=INR","Period=FQ","BEST_FPERIOD_OVERRIDE=FQ","FILING_STATUS=OR","EQY_CONSOLIDATED=Y","Sort=A","Dates=H","DateFormat=P","Fill=—","Direction=H","UseDPDF=Y")</f>
        <v>#NAME?</v>
      </c>
      <c r="AV250" s="2" t="e">
        <f ca="1">_xll.BDH($C$228,"GEO_GROW_TOT_ASSET","FQ2 2018","FQ2 2018","Currency=INR","Period=FQ","BEST_FPERIOD_OVERRIDE=FQ","FILING_STATUS=OR","EQY_CONSOLIDATED=Y","Sort=A","Dates=H","DateFormat=P","Fill=—","Direction=H","UseDPDF=Y")</f>
        <v>#NAME?</v>
      </c>
      <c r="AW250" s="2" t="e">
        <f ca="1">_xll.BDH($C$228,"MODIFIED_WORKING_CPTL_5YR_GRWTH","FQ2 2018","FQ2 2018","Currency=INR","Period=FQ","BEST_FPERIOD_OVERRIDE=FQ","FILING_STATUS=OR","EQY_CONSOLIDATED=Y","Sort=A","Dates=H","DateFormat=P","Fill=—","Direction=H","UseDPDF=Y")</f>
        <v>#NAME?</v>
      </c>
      <c r="AX250" s="2" t="e">
        <f ca="1">_xll.BDH($C$228,"WORKING_CAPITAL_5_YEAR_GROWTH","FQ2 2018","FQ2 2018","Currency=INR","Period=FQ","BEST_FPERIOD_OVERRIDE=FQ","FILING_STATUS=OR","EQY_CONSOLIDATED=Y","Sort=A","Dates=H","DateFormat=P","Fill=—","Direction=H","UseDPDF=Y")</f>
        <v>#NAME?</v>
      </c>
      <c r="AY250" s="2" t="e">
        <f ca="1">_xll.BDH($C$228,"ACCOUNTS_PAYABLE_5_YEAR_GROWTH","FQ2 2018","FQ2 2018","Currency=INR","Period=FQ","BEST_FPERIOD_OVERRIDE=FQ","FILING_STATUS=OR","EQY_CONSOLIDATED=Y","Sort=A","Dates=H","DateFormat=P","Fill=—","Direction=H","UseDPDF=Y")</f>
        <v>#NAME?</v>
      </c>
      <c r="AZ250" s="2" t="e">
        <f ca="1">_xll.BDH($C$228,"SHORT_TERM_DEBT_5_YEAR_GROWTH","FQ2 2018","FQ2 2018","Currency=INR","Period=FQ","BEST_FPERIOD_OVERRIDE=FQ","FILING_STATUS=OR","EQY_CONSOLIDATED=Y","Sort=A","Dates=H","DateFormat=P","Fill=—","Direction=H","UseDPDF=Y")</f>
        <v>#NAME?</v>
      </c>
      <c r="BA250" s="2" t="e">
        <f ca="1">_xll.BDH($C$228,"TOTAL_DEBT_5_YEAR_GROWTH","FQ2 2018","FQ2 2018","Currency=INR","Period=FQ","BEST_FPERIOD_OVERRIDE=FQ","FILING_STATUS=OR","EQY_CONSOLIDATED=Y","Sort=A","Dates=H","DateFormat=P","Fill=—","Direction=H","UseDPDF=Y")</f>
        <v>#NAME?</v>
      </c>
      <c r="BB250" s="2" t="e">
        <f ca="1">_xll.BDH($C$228,"GEO_GROW_TOT_SHRHLDR_EQY","FQ2 2018","FQ2 2018","Currency=INR","Period=FQ","BEST_FPERIOD_OVERRIDE=FQ","FILING_STATUS=OR","EQY_CONSOLIDATED=Y","Sort=A","Dates=H","DateFormat=P","Fill=—","Direction=H","UseDPDF=Y")</f>
        <v>#NAME?</v>
      </c>
      <c r="BC250" s="2" t="e">
        <f ca="1">_xll.BDH($C$228,"TOTAL_CAPITAL_5_YEAR_GROWTH","FQ2 2018","FQ2 2018","Currency=INR","Period=FQ","BEST_FPERIOD_OVERRIDE=FQ","FILING_STATUS=OR","EQY_CONSOLIDATED=Y","Sort=A","Dates=H","DateFormat=P","Fill=—","Direction=H","UseDPDF=Y")</f>
        <v>#NAME?</v>
      </c>
      <c r="BD250" s="2" t="e">
        <f ca="1">_xll.BDH($C$228,"GEO_GROW_BOOK_VAL","FQ2 2018","FQ2 2018","Currency=INR","Period=FQ","BEST_FPERIOD_OVERRIDE=FQ","FILING_STATUS=OR","EQY_CONSOLIDATED=Y","Sort=A","Dates=H","DateFormat=P","Fill=—","Direction=H","UseDPDF=Y")</f>
        <v>#NAME?</v>
      </c>
      <c r="BE250" s="2" t="e">
        <f ca="1">_xll.BDH($C$228,"GEO_GROW_CASH_OPER_ACT","FQ2 2018","FQ2 2018","Currency=INR","Period=FQ","BEST_FPERIOD_OVERRIDE=FQ","FILING_STATUS=OR","EQY_CONSOLIDATED=Y","Sort=A","Dates=H","DateFormat=P","Fill=—","Direction=H","UseDPDF=Y")</f>
        <v>#NAME?</v>
      </c>
      <c r="BF250" s="2" t="e">
        <f ca="1">_xll.BDH($C$228,"REVENUE_SEQUENTIAL_GROWTH","FQ2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250" s="2" t="e">
        <f ca="1">_xll.BDH($C$228,"EBITDA_SEQUENTIAL_GROWTH","FQ2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250" s="2" t="e">
        <f ca="1">_xll.BDH($C$228,"OPERATING_INCOME_SEQ_GROWTH","FQ2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250" s="2" t="e">
        <f ca="1">_xll.BDH($C$228,"NET_INCOME_TO_COMMON_SEQ_GROWTH","FQ2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250" s="2" t="e">
        <f ca="1">_xll.BDH($C$228,"EPS_DILUTED_SEQUENTIAL_GROWTH","FQ2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250" s="2" t="e">
        <f ca="1">_xll.BDH($C$228,"DPS_SEQUENTIAL_GROWTH","FQ2 2018","FQ2 2018","Currency=INR","Period=FQ","BEST_FPERIOD_OVERRIDE=FQ","FILING_STATUS=OR","EQY_CONSOLIDATED=Y","Sort=A","Dates=H","DateFormat=P","Fill=—","Direction=H","UseDPDF=Y")</f>
        <v>#NAME?</v>
      </c>
      <c r="BL250" s="2" t="e">
        <f ca="1">_xll.BDH($C$228,"ACCOUNTS_RECEIVABLE_SEQ_GROWTH","FQ2 2018","FQ2 2018","Currency=INR","Period=FQ","BEST_FPERIOD_OVERRIDE=FQ","FILING_STATUS=OR","EQY_CONSOLIDATED=Y","Sort=A","Dates=H","DateFormat=P","Fill=—","Direction=H","UseDPDF=Y")</f>
        <v>#NAME?</v>
      </c>
      <c r="BM250" s="2" t="e">
        <f ca="1">_xll.BDH($C$228,"INVENTORY_SEQUENTIAL_GROWTH","FQ2 2018","FQ2 2018","Currency=INR","Period=FQ","BEST_FPERIOD_OVERRIDE=FQ","FILING_STATUS=OR","EQY_CONSOLIDATED=Y","Sort=A","Dates=H","DateFormat=P","Fill=—","Direction=H","UseDPDF=Y")</f>
        <v>#NAME?</v>
      </c>
      <c r="BN250" s="2" t="e">
        <f ca="1">_xll.BDH($C$228,"FIXED_ASSETS_SEQUENTIAL_GROWTH","FQ2 2018","FQ2 2018","Currency=INR","Period=FQ","BEST_FPERIOD_OVERRIDE=FQ","FILING_STATUS=OR","EQY_CONSOLIDATED=Y","Sort=A","Dates=H","DateFormat=P","Fill=—","Direction=H","UseDPDF=Y")</f>
        <v>#NAME?</v>
      </c>
      <c r="BO250" s="2" t="e">
        <f ca="1">_xll.BDH($C$228,"TOTAL_ASSETS_SEQUENTIAL_GROWTH","FQ2 2018","FQ2 2018","Currency=INR","Period=FQ","BEST_FPERIOD_OVERRIDE=FQ","FILING_STATUS=OR","EQY_CONSOLIDATED=Y","Sort=A","Dates=H","DateFormat=P","Fill=—","Direction=H","UseDPDF=Y")</f>
        <v>#NAME?</v>
      </c>
      <c r="BP250" s="2" t="e">
        <f ca="1">_xll.BDH($C$228,"MODIFIED_WORKING_CPTL_SEQ_GRWTH","FQ2 2018","FQ2 2018","Currency=INR","Period=FQ","BEST_FPERIOD_OVERRIDE=FQ","FILING_STATUS=OR","EQY_CONSOLIDATED=Y","Sort=A","Dates=H","DateFormat=P","Fill=—","Direction=H","UseDPDF=Y")</f>
        <v>#NAME?</v>
      </c>
      <c r="BQ250" s="2" t="e">
        <f ca="1">_xll.BDH($C$228,"WORKING_CAPITAL_SEQ_GROWTH","FQ2 2018","FQ2 2018","Currency=INR","Period=FQ","BEST_FPERIOD_OVERRIDE=FQ","FILING_STATUS=OR","EQY_CONSOLIDATED=Y","Sort=A","Dates=H","DateFormat=P","Fill=—","Direction=H","UseDPDF=Y")</f>
        <v>#NAME?</v>
      </c>
      <c r="BR250" s="2" t="e">
        <f ca="1">_xll.BDH($C$228,"ACCOUNTS_PAYABLE_SEQ_GROWTH","FQ2 2018","FQ2 2018","Currency=INR","Period=FQ","BEST_FPERIOD_OVERRIDE=FQ","FILING_STATUS=OR","EQY_CONSOLIDATED=Y","Sort=A","Dates=H","DateFormat=P","Fill=—","Direction=H","UseDPDF=Y")</f>
        <v>#NAME?</v>
      </c>
      <c r="BS250" s="2" t="e">
        <f ca="1">_xll.BDH($C$228,"ST_DEBT_SEQUENTIAL_GROWTH","FQ2 2018","FQ2 2018","Currency=INR","Period=FQ","BEST_FPERIOD_OVERRIDE=FQ","FILING_STATUS=OR","EQY_CONSOLIDATED=Y","Sort=A","Dates=H","DateFormat=P","Fill=—","Direction=H","UseDPDF=Y")</f>
        <v>#NAME?</v>
      </c>
      <c r="BT250" s="2" t="e">
        <f ca="1">_xll.BDH($C$228,"TOTAL_DEBT_SEQUENTIAL_GROWTH","FQ2 2018","FQ2 2018","Currency=INR","Period=FQ","BEST_FPERIOD_OVERRIDE=FQ","FILING_STATUS=OR","EQY_CONSOLIDATED=Y","Sort=A","Dates=H","DateFormat=P","Fill=—","Direction=H","UseDPDF=Y")</f>
        <v>#NAME?</v>
      </c>
      <c r="BU250" s="2" t="e">
        <f ca="1">_xll.BDH($C$228,"TOTAL_EQUITY_SEQUENTIAL_GROWTH","FQ2 2018","FQ2 2018","Currency=INR","Period=FQ","BEST_FPERIOD_OVERRIDE=FQ","FILING_STATUS=OR","EQY_CONSOLIDATED=Y","Sort=A","Dates=H","DateFormat=P","Fill=—","Direction=H","UseDPDF=Y")</f>
        <v>#NAME?</v>
      </c>
      <c r="BV250" s="2" t="e">
        <f ca="1">_xll.BDH($C$228,"TOTAL_CAPITAL_SEQUENTIAL_GROWTH","FQ2 2018","FQ2 2018","Currency=INR","Period=FQ","BEST_FPERIOD_OVERRIDE=FQ","FILING_STATUS=OR","EQY_CONSOLIDATED=Y","Sort=A","Dates=H","DateFormat=P","Fill=—","Direction=H","UseDPDF=Y")</f>
        <v>#NAME?</v>
      </c>
      <c r="BW250" s="2" t="e">
        <f ca="1">_xll.BDH($C$228,"BPS_SEQUENTIAL_GROWTH","FQ2 2018","FQ2 2018","Currency=INR","Period=FQ","BEST_FPERIOD_OVERRIDE=FQ","FILING_STATUS=OR","EQY_CONSOLIDATED=Y","Sort=A","Dates=H","DateFormat=P","Fill=—","Direction=H","UseDPDF=Y")</f>
        <v>#NAME?</v>
      </c>
      <c r="BX250" s="2" t="e">
        <f ca="1">_xll.BDH($C$228,"CFO_SEQUENTIAL_GROWTH","FQ2 2018","FQ2 2018","Currency=INR","Period=FQ","BEST_FPERIOD_OVERRIDE=FQ","FILING_STATUS=OR","EQY_CONSOLIDATED=Y","Sort=A","Dates=H","DateFormat=P","Fill=—","Direction=H","UseDPDF=Y")</f>
        <v>#NAME?</v>
      </c>
      <c r="BY250" s="3" t="e">
        <f ca="1">_xll.BDH($C$228,"SHORT_AND_LONG_TERM_DEBT","FQ2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250" s="3" t="e">
        <f ca="1">_xll.BDH($C$228,"BS_ST_BORROW","FQ2 2018","FQ2 2018","Currency=INR","Period=FQ","BEST_FPERIOD_OVERRIDE=FQ","FILING_STATUS=OR","EQY_CONSOLIDATED=Y","SCALING_FORMAT=MLN","Sort=A","Dates=H","DateFormat=P","Fill=—","Direction=H","UseDPDF=Y")</f>
        <v>#NAME?</v>
      </c>
      <c r="CA250" s="3" t="e">
        <f ca="1">_xll.BDH($C$228,"BS_LT_BORROW","FQ2 2018","FQ2 2018","Currency=INR","Period=FQ","BEST_FPERIOD_OVERRIDE=FQ","FILING_STATUS=OR","EQY_CONSOLIDATED=Y","SCALING_FORMAT=MLN","Sort=A","Dates=H","DateFormat=P","Fill=—","Direction=H","UseDPDF=Y")</f>
        <v>#NAME?</v>
      </c>
      <c r="CB250" s="2" t="e">
        <f ca="1">_xll.BDH($C$228,"TOT_DEBT_TO_EBITDA","FQ2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250" s="2" t="e">
        <f ca="1">_xll.BDH($C$228,"NET_DEBT_TO_EBITDA","FQ2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250" s="2" t="e">
        <f ca="1">_xll.BDH($C$228,"TOTAL_DEBT_TO_EBIT","FQ2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250" s="2" t="e">
        <f ca="1">_xll.BDH($C$228,"NET_DEBT_TO_EBIT","FQ2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250" s="2" t="e">
        <f ca="1">_xll.BDH($C$228,"EBITDA_TO_INTEREST_EXPN","FQ2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250" s="2" t="e">
        <f ca="1">_xll.BDH($C$228,"COM_EQY_TO_TOT_ASSET","FQ2 2018","FQ2 2018","Currency=INR","Period=FQ","BEST_FPERIOD_OVERRIDE=FQ","FILING_STATUS=OR","EQY_CONSOLIDATED=Y","Sort=A","Dates=H","DateFormat=P","Fill=—","Direction=H","UseDPDF=Y")</f>
        <v>#NAME?</v>
      </c>
      <c r="CH250" s="2" t="e">
        <f ca="1">_xll.BDH($C$228,"LT_DEBT_TO_TOT_EQY","FQ2 2018","FQ2 2018","Currency=INR","Period=FQ","BEST_FPERIOD_OVERRIDE=FQ","FILING_STATUS=OR","EQY_CONSOLIDATED=Y","Sort=A","Dates=H","DateFormat=P","Fill=—","Direction=H","UseDPDF=Y")</f>
        <v>#NAME?</v>
      </c>
      <c r="CI250" s="2" t="e">
        <f ca="1">_xll.BDH($C$228,"LT_DEBT_TO_TOT_CAP","FQ2 2018","FQ2 2018","Currency=INR","Period=FQ","BEST_FPERIOD_OVERRIDE=FQ","FILING_STATUS=OR","EQY_CONSOLIDATED=Y","Sort=A","Dates=H","DateFormat=P","Fill=—","Direction=H","UseDPDF=Y")</f>
        <v>#NAME?</v>
      </c>
      <c r="CJ250" s="2" t="e">
        <f ca="1">_xll.BDH($C$228,"LT_DEBT_TO_TOT_ASSET","FQ2 2018","FQ2 2018","Currency=INR","Period=FQ","BEST_FPERIOD_OVERRIDE=FQ","FILING_STATUS=OR","EQY_CONSOLIDATED=Y","Sort=A","Dates=H","DateFormat=P","Fill=—","Direction=H","UseDPDF=Y")</f>
        <v>#NAME?</v>
      </c>
      <c r="CK250" s="2" t="e">
        <f ca="1">_xll.BDH($C$228,"TOT_DEBT_TO_TOT_EQY","FQ2 2018","FQ2 2018","Currency=INR","Period=FQ","BEST_FPERIOD_OVERRIDE=FQ","FILING_STATUS=OR","EQY_CONSOLIDATED=Y","Sort=A","Dates=H","DateFormat=P","Fill=—","Direction=H","UseDPDF=Y")</f>
        <v>#NAME?</v>
      </c>
      <c r="CL250" s="2" t="e">
        <f ca="1">_xll.BDH($C$228,"TOT_DEBT_TO_TOT_CAP","FQ2 2018","FQ2 2018","Currency=INR","Period=FQ","BEST_FPERIOD_OVERRIDE=FQ","FILING_STATUS=OR","EQY_CONSOLIDATED=Y","Sort=A","Dates=H","DateFormat=P","Fill=—","Direction=H","UseDPDF=Y")</f>
        <v>#NAME?</v>
      </c>
      <c r="CM250" s="2" t="e">
        <f ca="1">_xll.BDH($C$228,"TOT_DEBT_TO_TOT_ASSET","FQ2 2018","FQ2 2018","Currency=INR","Period=FQ","BEST_FPERIOD_OVERRIDE=FQ","FILING_STATUS=OR","EQY_CONSOLIDATED=Y","Sort=A","Dates=H","DateFormat=P","Fill=—","Direction=H","UseDPDF=Y")</f>
        <v>#NAME?</v>
      </c>
      <c r="CN250" s="2" t="e">
        <f ca="1">_xll.BDH($C$228,"NET_DEBT_TO_SHRHLDR_EQTY","FQ2 2018","FQ2 2018","Currency=INR","Period=FQ","BEST_FPERIOD_OVERRIDE=FQ","FILING_STATUS=OR","EQY_CONSOLIDATED=Y","Sort=A","Dates=H","DateFormat=P","Fill=—","Direction=H","UseDPDF=Y")</f>
        <v>#NAME?</v>
      </c>
      <c r="CO250" s="2" t="e">
        <f ca="1">_xll.BDH($C$228,"NET_DEBT_%_CAPITAL","FQ2 2018","FQ2 2018","Currency=INR","Period=FQ","BEST_FPERIOD_OVERRIDE=FQ","FILING_STATUS=OR","EQY_CONSOLIDATED=Y","Sort=A","Dates=H","DateFormat=P","Fill=—","Direction=H","UseDPDF=Y")</f>
        <v>#NAME?</v>
      </c>
      <c r="CP250" s="3" t="e">
        <f ca="1">_xll.BDH($C$228,"EBITDA","FQ2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250" s="3" t="e">
        <f ca="1">_xll.BDH($C$228,"EBITDA_AFTER_CAPEX","FQ2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250" s="3" t="e">
        <f ca="1">_xll.BDH($C$228,"IS_OPER_INC","FQ2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250" s="2" t="e">
        <f ca="1">_xll.BDH($C$228,"CASH_RATIO","FQ2 2018","FQ2 2018","Currency=INR","Period=FQ","BEST_FPERIOD_OVERRIDE=FQ","FILING_STATUS=OR","EQY_CONSOLIDATED=Y","Sort=A","Dates=H","DateFormat=P","Fill=—","Direction=H","UseDPDF=Y")</f>
        <v>#NAME?</v>
      </c>
      <c r="CT250" s="2" t="e">
        <f ca="1">_xll.BDH($C$228,"CUR_RATIO","FQ2 2018","FQ2 2018","Currency=INR","Period=FQ","BEST_FPERIOD_OVERRIDE=FQ","FILING_STATUS=OR","EQY_CONSOLIDATED=Y","Sort=A","Dates=H","DateFormat=P","Fill=—","Direction=H","UseDPDF=Y")</f>
        <v>#NAME?</v>
      </c>
      <c r="CU250" s="2" t="e">
        <f ca="1">_xll.BDH($C$228,"QUICK_RATIO","FQ2 2018","FQ2 2018","Currency=INR","Period=FQ","BEST_FPERIOD_OVERRIDE=FQ","FILING_STATUS=OR","EQY_CONSOLIDATED=Y","Sort=A","Dates=H","DateFormat=P","Fill=—","Direction=H","UseDPDF=Y")</f>
        <v>#NAME?</v>
      </c>
      <c r="CV250" s="2" t="e">
        <f ca="1">_xll.BDH($C$228,"ALTMAN_Z_SCORE","FQ2 2018","FQ2 2018","Currency=INR","Period=FQ","BEST_FPERIOD_OVERRIDE=FQ","FILING_STATUS=OR","EQY_CONSOLIDATED=Y","Sort=A","Dates=H","DateFormat=P","Fill=—","Direction=H","UseDPDF=Y")</f>
        <v>#NAME?</v>
      </c>
      <c r="CW250" s="4" t="e">
        <f ca="1">_xll.BDH($C$228,"ACCT_RCV_TURN","FQ2 2018","FQ2 2018","Currency=INR","Period=FQ","BEST_FPERIOD_OVERRIDE=FQ","FILING_STATUS=OR","EQY_CONSOLIDATED=Y","FA_ADJUSTED=GAAP","Sort=A","Dates=H","DateFormat=P","Fill=—","Direction=H","UseDPDF=Y")</f>
        <v>#NAME?</v>
      </c>
      <c r="CX250" s="2" t="e">
        <f ca="1">_xll.BDH($C$228,"ACCT_RCV_DAYS","FQ2 2018","FQ2 2018","Currency=INR","Period=FQ","BEST_FPERIOD_OVERRIDE=FQ","FILING_STATUS=OR","EQY_CONSOLIDATED=Y","FA_ADJUSTED=GAAP","Sort=A","Dates=H","DateFormat=P","Fill=—","Direction=H","UseDPDF=Y")</f>
        <v>#NAME?</v>
      </c>
      <c r="CY250" s="4" t="e">
        <f ca="1">_xll.BDH($C$228,"INVENT_TURN","FQ2 2018","FQ2 2018","Currency=INR","Period=FQ","BEST_FPERIOD_OVERRIDE=FQ","FILING_STATUS=OR","EQY_CONSOLIDATED=Y","FA_ADJUSTED=GAAP","Sort=A","Dates=H","DateFormat=P","Fill=—","Direction=H","UseDPDF=Y")</f>
        <v>#NAME?</v>
      </c>
      <c r="CZ250" s="2" t="e">
        <f ca="1">_xll.BDH($C$228,"INVENT_DAYS","FQ2 2018","FQ2 2018","Currency=INR","Period=FQ","BEST_FPERIOD_OVERRIDE=FQ","FILING_STATUS=OR","EQY_CONSOLIDATED=Y","FA_ADJUSTED=GAAP","Sort=A","Dates=H","DateFormat=P","Fill=—","Direction=H","UseDPDF=Y")</f>
        <v>#NAME?</v>
      </c>
      <c r="DA250" s="4" t="e">
        <f ca="1">_xll.BDH($C$228,"ACCOUNTS_PAYABLE_TURNOVER","FQ2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250" s="2" t="e">
        <f ca="1">_xll.BDH($C$228,"ACCOUNTS_PAYABLE_TURNOVER_DAYS","FQ2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250" s="4" t="e">
        <f ca="1">_xll.BDH($C$228,"CASH_CONVERSION_CYCLE","FQ2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250" s="4" t="e">
        <f ca="1">_xll.BDH($C$228,"INV_TO_CASH_DAYS","FQ2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250" s="5" t="e">
        <f ca="1">_xll.BDH($C$228,"BS_INVENTORIES","FQ2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250" s="3" t="e">
        <f ca="1">_xll.BDH($C$228,"INVTRY_RAW_MATERIALS","FQ2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250" s="3" t="e">
        <f ca="1">_xll.BDH($C$228,"INVTRY_IN_PROGRESS","FQ2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250" s="3" t="e">
        <f ca="1">_xll.BDH($C$228,"INVTRY_FINISHED_GOODS","FQ2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250" s="3" t="e">
        <f ca="1">_xll.BDH($C$228,"BS_OTHER_INV","FQ2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251" spans="1:113" x14ac:dyDescent="0.3">
      <c r="A251" s="6"/>
      <c r="B251" s="6"/>
      <c r="C251" s="6"/>
      <c r="D251" s="6"/>
      <c r="E251" t="s">
        <v>80</v>
      </c>
      <c r="F251" t="e">
        <f ca="1">_xll.BDH($C$228,"RETURN_COM_EQY","FQ3 2018","FQ3 2018","Currency=INR","Period=FQ","BEST_FPERIOD_OVERRIDE=FQ","FILING_STATUS=OR","EQY_CONSOLIDATED=Y","FA_ADJUSTED=GAAP","Sort=A","Dates=H","DateFormat=P","Fill=—","Direction=H","UseDPDF=Y")</f>
        <v>#NAME?</v>
      </c>
      <c r="G251" t="e">
        <f ca="1">_xll.BDH($C$228,"RETURN_ON_ASSET","FQ3 2018","FQ3 2018","Currency=INR","Period=FQ","BEST_FPERIOD_OVERRIDE=FQ","FILING_STATUS=OR","EQY_CONSOLIDATED=Y","FA_ADJUSTED=GAAP","Sort=A","Dates=H","DateFormat=P","Fill=—","Direction=H","UseDPDF=Y")</f>
        <v>#NAME?</v>
      </c>
      <c r="H251" t="e">
        <f ca="1">_xll.BDH($C$228,"RETURN_ON_CAP","FQ3 2018","FQ3 2018","Currency=INR","Period=FQ","BEST_FPERIOD_OVERRIDE=FQ","FILING_STATUS=OR","EQY_CONSOLIDATED=Y","FA_ADJUSTED=GAAP","Sort=A","Dates=H","DateFormat=P","Fill=—","Direction=H","UseDPDF=Y")</f>
        <v>#NAME?</v>
      </c>
      <c r="I251" t="e">
        <f ca="1">_xll.BDH($C$228,"RETURN_ON_INV_CAPITAL","FQ3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251" t="e">
        <f ca="1">_xll.BDH($C$228,"EBITDA_TO_REVENUE","FQ3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251" t="e">
        <f ca="1">_xll.BDH($C$228,"OPER_MARGIN","FQ3 2018","FQ3 2018","Currency=INR","Period=FQ","BEST_FPERIOD_OVERRIDE=FQ","FILING_STATUS=OR","EQY_CONSOLIDATED=Y","FA_ADJUSTED=GAAP","Sort=A","Dates=H","DateFormat=P","Fill=—","Direction=H","UseDPDF=Y")</f>
        <v>#NAME?</v>
      </c>
      <c r="L251" t="e">
        <f ca="1">_xll.BDH($C$228,"INCREMENTAL_OPERATING_MARGIN","FQ3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251" t="e">
        <f ca="1">_xll.BDH($C$228,"PRETAX_INC_TO_NET_SALES","FQ3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251" t="e">
        <f ca="1">_xll.BDH($C$228,"INC_BEF_XO_ITEMS_TO_NET_SALES","FQ3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251" t="e">
        <f ca="1">_xll.BDH($C$228,"PROF_MARGIN","FQ3 2018","FQ3 2018","Currency=INR","Period=FQ","BEST_FPERIOD_OVERRIDE=FQ","FILING_STATUS=OR","EQY_CONSOLIDATED=Y","FA_ADJUSTED=GAAP","Sort=A","Dates=H","DateFormat=P","Fill=—","Direction=H","UseDPDF=Y")</f>
        <v>#NAME?</v>
      </c>
      <c r="P251" t="e">
        <f ca="1">_xll.BDH($C$228,"NET_INCOME_TO_COMMON_MARGIN","FQ3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251" t="e">
        <f ca="1">_xll.BDH($C$228,"EFF_TAX_RATE","FQ3 2018","FQ3 2018","Currency=INR","Period=FQ","BEST_FPERIOD_OVERRIDE=FQ","FILING_STATUS=OR","EQY_CONSOLIDATED=Y","FA_ADJUSTED=GAAP","Sort=A","Dates=H","DateFormat=P","Fill=—","Direction=H","UseDPDF=Y")</f>
        <v>#NAME?</v>
      </c>
      <c r="R251" t="e">
        <f ca="1">_xll.BDH($C$228,"DVD_PAYOUT_RATIO","FQ3 2018","FQ3 2018","Currency=INR","Period=FQ","BEST_FPERIOD_OVERRIDE=FQ","FILING_STATUS=OR","EQY_CONSOLIDATED=Y","FA_ADJUSTED=GAAP","Sort=A","Dates=H","DateFormat=P","Fill=—","Direction=H","UseDPDF=Y")</f>
        <v>#NAME?</v>
      </c>
      <c r="S251" t="e">
        <f ca="1">_xll.BDH($C$228,"SUSTAIN_GROWTH_RT","FQ3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251" s="2" t="e">
        <f ca="1">_xll.BDH($C$228,"SALES_GROWTH","FQ3 2018","FQ3 2018","Currency=INR","Period=FQ","BEST_FPERIOD_OVERRIDE=FQ","FILING_STATUS=OR","EQY_CONSOLIDATED=Y","FA_ADJUSTED=GAAP","Sort=A","Dates=H","DateFormat=P","Fill=—","Direction=H","UseDPDF=Y")</f>
        <v>#NAME?</v>
      </c>
      <c r="U251" s="2" t="e">
        <f ca="1">_xll.BDH($C$228,"EBITDA_GROWTH","FQ3 2018","FQ3 2018","Currency=INR","Period=FQ","BEST_FPERIOD_OVERRIDE=FQ","FILING_STATUS=OR","EQY_CONSOLIDATED=Y","FA_ADJUSTED=GAAP","Sort=A","Dates=H","DateFormat=P","Fill=—","Direction=H","UseDPDF=Y")</f>
        <v>#NAME?</v>
      </c>
      <c r="V251" s="2" t="e">
        <f ca="1">_xll.BDH($C$228,"OPER_INC_GROWTH","FQ3 2018","FQ3 2018","Currency=INR","Period=FQ","BEST_FPERIOD_OVERRIDE=FQ","FILING_STATUS=OR","EQY_CONSOLIDATED=Y","FA_ADJUSTED=GAAP","Sort=A","Dates=H","DateFormat=P","Fill=—","Direction=H","UseDPDF=Y")</f>
        <v>#NAME?</v>
      </c>
      <c r="W251" s="2" t="e">
        <f ca="1">_xll.BDH($C$228,"EARN_FOR_COM_GROWTH","FQ3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251" s="2" t="e">
        <f ca="1">_xll.BDH($C$228,"DILUTED_EPS_AFT_XO_ITEMS_GROWTH","FQ3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251" s="2" t="e">
        <f ca="1">_xll.BDH($C$228,"DIVIDEND_PER_SHARE_1_YEAR_GROWTH","FQ3 2018","FQ3 2018","Currency=INR","Period=FQ","BEST_FPERIOD_OVERRIDE=FQ","FILING_STATUS=OR","EQY_CONSOLIDATED=Y","Sort=A","Dates=H","DateFormat=P","Fill=—","Direction=H","UseDPDF=Y")</f>
        <v>#NAME?</v>
      </c>
      <c r="Z251" s="2" t="e">
        <f ca="1">_xll.BDH($C$228,"ACCOUNTS_RECEIVABLE_GROWTH","FQ3 2018","FQ3 2018","Currency=INR","Period=FQ","BEST_FPERIOD_OVERRIDE=FQ","FILING_STATUS=OR","EQY_CONSOLIDATED=Y","Sort=A","Dates=H","DateFormat=P","Fill=—","Direction=H","UseDPDF=Y")</f>
        <v>#NAME?</v>
      </c>
      <c r="AA251" s="2" t="e">
        <f ca="1">_xll.BDH($C$228,"INVENTORY_GROWTH","FQ3 2018","FQ3 2018","Currency=INR","Period=FQ","BEST_FPERIOD_OVERRIDE=FQ","FILING_STATUS=OR","EQY_CONSOLIDATED=Y","Sort=A","Dates=H","DateFormat=P","Fill=—","Direction=H","UseDPDF=Y")</f>
        <v>#NAME?</v>
      </c>
      <c r="AB251" s="2" t="e">
        <f ca="1">_xll.BDH($C$228,"NET_FIXED_ASSETS_1_YEAR_GROWTH","FQ3 2018","FQ3 2018","Currency=INR","Period=FQ","BEST_FPERIOD_OVERRIDE=FQ","FILING_STATUS=OR","EQY_CONSOLIDATED=Y","Sort=A","Dates=H","DateFormat=P","Fill=—","Direction=H","UseDPDF=Y")</f>
        <v>#NAME?</v>
      </c>
      <c r="AC251" s="2" t="e">
        <f ca="1">_xll.BDH($C$228,"ASSET_GROWTH","FQ3 2018","FQ3 2018","Currency=INR","Period=FQ","BEST_FPERIOD_OVERRIDE=FQ","FILING_STATUS=OR","EQY_CONSOLIDATED=Y","Sort=A","Dates=H","DateFormat=P","Fill=—","Direction=H","UseDPDF=Y")</f>
        <v>#NAME?</v>
      </c>
      <c r="AD251" s="2" t="e">
        <f ca="1">_xll.BDH($C$228,"MODIFIED_WORK_CAP_GROWTH","FQ3 2018","FQ3 2018","Currency=INR","Period=FQ","BEST_FPERIOD_OVERRIDE=FQ","FILING_STATUS=OR","EQY_CONSOLIDATED=Y","Sort=A","Dates=H","DateFormat=P","Fill=—","Direction=H","UseDPDF=Y")</f>
        <v>#NAME?</v>
      </c>
      <c r="AE251" s="2" t="e">
        <f ca="1">_xll.BDH($C$228,"WORK_CAP_GROWTH","FQ3 2018","FQ3 2018","Currency=INR","Period=FQ","BEST_FPERIOD_OVERRIDE=FQ","FILING_STATUS=OR","EQY_CONSOLIDATED=Y","Sort=A","Dates=H","DateFormat=P","Fill=—","Direction=H","UseDPDF=Y")</f>
        <v>#NAME?</v>
      </c>
      <c r="AF251" s="2" t="e">
        <f ca="1">_xll.BDH($C$228,"ACCOUNTS_PAYABLE_GROWTH_1YR","FQ3 2018","FQ3 2018","Currency=INR","Period=FQ","BEST_FPERIOD_OVERRIDE=FQ","FILING_STATUS=OR","EQY_CONSOLIDATED=Y","Sort=A","Dates=H","DateFormat=P","Fill=—","Direction=H","UseDPDF=Y")</f>
        <v>#NAME?</v>
      </c>
      <c r="AG251" s="2" t="e">
        <f ca="1">_xll.BDH($C$228,"SHORT_TERM_DEBT_1_YEAR_GROWTH","FQ3 2018","FQ3 2018","Currency=INR","Period=FQ","BEST_FPERIOD_OVERRIDE=FQ","FILING_STATUS=OR","EQY_CONSOLIDATED=Y","Sort=A","Dates=H","DateFormat=P","Fill=—","Direction=H","UseDPDF=Y")</f>
        <v>#NAME?</v>
      </c>
      <c r="AH251" s="2" t="e">
        <f ca="1">_xll.BDH($C$228,"TOTAL_DEBT_1_YEAR_GROWTH","FQ3 2018","FQ3 2018","Currency=INR","Period=FQ","BEST_FPERIOD_OVERRIDE=FQ","FILING_STATUS=OR","EQY_CONSOLIDATED=Y","Sort=A","Dates=H","DateFormat=P","Fill=—","Direction=H","UseDPDF=Y")</f>
        <v>#NAME?</v>
      </c>
      <c r="AI251" s="2" t="e">
        <f ca="1">_xll.BDH($C$228,"TOTAL_EQUITY_1_YEAR_GROWTH","FQ3 2018","FQ3 2018","Currency=INR","Period=FQ","BEST_FPERIOD_OVERRIDE=FQ","FILING_STATUS=OR","EQY_CONSOLIDATED=Y","Sort=A","Dates=H","DateFormat=P","Fill=—","Direction=H","UseDPDF=Y")</f>
        <v>#NAME?</v>
      </c>
      <c r="AJ251" s="2" t="e">
        <f ca="1">_xll.BDH($C$228,"GROWTH_IN_CAP","FQ3 2018","FQ3 2018","Currency=INR","Period=FQ","BEST_FPERIOD_OVERRIDE=FQ","FILING_STATUS=OR","EQY_CONSOLIDATED=Y","Sort=A","Dates=H","DateFormat=P","Fill=—","Direction=H","UseDPDF=Y")</f>
        <v>#NAME?</v>
      </c>
      <c r="AK251" s="2" t="e">
        <f ca="1">_xll.BDH($C$228,"BVPS_GROWTH","FQ3 2018","FQ3 2018","Currency=INR","Period=FQ","BEST_FPERIOD_OVERRIDE=FQ","FILING_STATUS=OR","EQY_CONSOLIDATED=Y","Sort=A","Dates=H","DateFormat=P","Fill=—","Direction=H","UseDPDF=Y")</f>
        <v>#NAME?</v>
      </c>
      <c r="AL251" s="2" t="e">
        <f ca="1">_xll.BDH($C$228,"CASH_FLOW_GROWTH","FQ3 2018","FQ3 2018","Currency=INR","Period=FQ","BEST_FPERIOD_OVERRIDE=FQ","FILING_STATUS=OR","EQY_CONSOLIDATED=Y","Sort=A","Dates=H","DateFormat=P","Fill=—","Direction=H","UseDPDF=Y")</f>
        <v>#NAME?</v>
      </c>
      <c r="AM251" s="2" t="e">
        <f ca="1">_xll.BDH($C$228,"GEO_GROW_NET_SALES","FQ3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251" s="2" t="e">
        <f ca="1">_xll.BDH($C$228,"GEO_GROW_EBITDA","FQ3 2018","FQ3 2018","Currency=INR","Period=FQ","BEST_FPERIOD_OVERRIDE=FQ","FILING_STATUS=OR","EQY_CONSOLIDATED=Y","FA_ADJUSTED=GAAP","Sort=A","Dates=H","DateFormat=P","Fill=—","Direction=H","UseDPDF=Y")</f>
        <v>#NAME?</v>
      </c>
      <c r="AO251" s="2" t="e">
        <f ca="1">_xll.BDH($C$228,"GEO_GROW_OPER_INC","FQ3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251" s="2" t="e">
        <f ca="1">_xll.BDH($C$228,"NET_INCOME_TO_COMMON_5_YR_GROWTH","FQ3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251" s="2" t="e">
        <f ca="1">_xll.BDH($C$228,"5Y_GEO_GROWTH_DILUTED_EPS","FQ3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251" s="2" t="e">
        <f ca="1">_xll.BDH($C$228,"GEO_GROW_DVD_PER_SH","FQ3 2018","FQ3 2018","Currency=INR","Period=FQ","BEST_FPERIOD_OVERRIDE=FQ","FILING_STATUS=OR","EQY_CONSOLIDATED=Y","Sort=A","Dates=H","DateFormat=P","Fill=—","Direction=H","UseDPDF=Y")</f>
        <v>#NAME?</v>
      </c>
      <c r="AS251" s="2" t="e">
        <f ca="1">_xll.BDH($C$228,"ACCOUNTS_RECEIVABLE_5_YR_GROWTH","FQ3 2018","FQ3 2018","Currency=INR","Period=FQ","BEST_FPERIOD_OVERRIDE=FQ","FILING_STATUS=OR","EQY_CONSOLIDATED=Y","Sort=A","Dates=H","DateFormat=P","Fill=—","Direction=H","UseDPDF=Y")</f>
        <v>#NAME?</v>
      </c>
      <c r="AT251" s="2" t="e">
        <f ca="1">_xll.BDH($C$228,"INVENTORY_5_YEAR_GROWTH","FQ3 2018","FQ3 2018","Currency=INR","Period=FQ","BEST_FPERIOD_OVERRIDE=FQ","FILING_STATUS=OR","EQY_CONSOLIDATED=Y","Sort=A","Dates=H","DateFormat=P","Fill=—","Direction=H","UseDPDF=Y")</f>
        <v>#NAME?</v>
      </c>
      <c r="AU251" s="2" t="e">
        <f ca="1">_xll.BDH($C$228,"NET_FIXED_ASSETS_5_YEAR_GROWTH","FQ3 2018","FQ3 2018","Currency=INR","Period=FQ","BEST_FPERIOD_OVERRIDE=FQ","FILING_STATUS=OR","EQY_CONSOLIDATED=Y","Sort=A","Dates=H","DateFormat=P","Fill=—","Direction=H","UseDPDF=Y")</f>
        <v>#NAME?</v>
      </c>
      <c r="AV251" s="2" t="e">
        <f ca="1">_xll.BDH($C$228,"GEO_GROW_TOT_ASSET","FQ3 2018","FQ3 2018","Currency=INR","Period=FQ","BEST_FPERIOD_OVERRIDE=FQ","FILING_STATUS=OR","EQY_CONSOLIDATED=Y","Sort=A","Dates=H","DateFormat=P","Fill=—","Direction=H","UseDPDF=Y")</f>
        <v>#NAME?</v>
      </c>
      <c r="AW251" s="2" t="e">
        <f ca="1">_xll.BDH($C$228,"MODIFIED_WORKING_CPTL_5YR_GRWTH","FQ3 2018","FQ3 2018","Currency=INR","Period=FQ","BEST_FPERIOD_OVERRIDE=FQ","FILING_STATUS=OR","EQY_CONSOLIDATED=Y","Sort=A","Dates=H","DateFormat=P","Fill=—","Direction=H","UseDPDF=Y")</f>
        <v>#NAME?</v>
      </c>
      <c r="AX251" s="2" t="e">
        <f ca="1">_xll.BDH($C$228,"WORKING_CAPITAL_5_YEAR_GROWTH","FQ3 2018","FQ3 2018","Currency=INR","Period=FQ","BEST_FPERIOD_OVERRIDE=FQ","FILING_STATUS=OR","EQY_CONSOLIDATED=Y","Sort=A","Dates=H","DateFormat=P","Fill=—","Direction=H","UseDPDF=Y")</f>
        <v>#NAME?</v>
      </c>
      <c r="AY251" s="2" t="e">
        <f ca="1">_xll.BDH($C$228,"ACCOUNTS_PAYABLE_5_YEAR_GROWTH","FQ3 2018","FQ3 2018","Currency=INR","Period=FQ","BEST_FPERIOD_OVERRIDE=FQ","FILING_STATUS=OR","EQY_CONSOLIDATED=Y","Sort=A","Dates=H","DateFormat=P","Fill=—","Direction=H","UseDPDF=Y")</f>
        <v>#NAME?</v>
      </c>
      <c r="AZ251" s="2" t="e">
        <f ca="1">_xll.BDH($C$228,"SHORT_TERM_DEBT_5_YEAR_GROWTH","FQ3 2018","FQ3 2018","Currency=INR","Period=FQ","BEST_FPERIOD_OVERRIDE=FQ","FILING_STATUS=OR","EQY_CONSOLIDATED=Y","Sort=A","Dates=H","DateFormat=P","Fill=—","Direction=H","UseDPDF=Y")</f>
        <v>#NAME?</v>
      </c>
      <c r="BA251" s="2" t="e">
        <f ca="1">_xll.BDH($C$228,"TOTAL_DEBT_5_YEAR_GROWTH","FQ3 2018","FQ3 2018","Currency=INR","Period=FQ","BEST_FPERIOD_OVERRIDE=FQ","FILING_STATUS=OR","EQY_CONSOLIDATED=Y","Sort=A","Dates=H","DateFormat=P","Fill=—","Direction=H","UseDPDF=Y")</f>
        <v>#NAME?</v>
      </c>
      <c r="BB251" s="2" t="e">
        <f ca="1">_xll.BDH($C$228,"GEO_GROW_TOT_SHRHLDR_EQY","FQ3 2018","FQ3 2018","Currency=INR","Period=FQ","BEST_FPERIOD_OVERRIDE=FQ","FILING_STATUS=OR","EQY_CONSOLIDATED=Y","Sort=A","Dates=H","DateFormat=P","Fill=—","Direction=H","UseDPDF=Y")</f>
        <v>#NAME?</v>
      </c>
      <c r="BC251" s="2" t="e">
        <f ca="1">_xll.BDH($C$228,"TOTAL_CAPITAL_5_YEAR_GROWTH","FQ3 2018","FQ3 2018","Currency=INR","Period=FQ","BEST_FPERIOD_OVERRIDE=FQ","FILING_STATUS=OR","EQY_CONSOLIDATED=Y","Sort=A","Dates=H","DateFormat=P","Fill=—","Direction=H","UseDPDF=Y")</f>
        <v>#NAME?</v>
      </c>
      <c r="BD251" s="2" t="e">
        <f ca="1">_xll.BDH($C$228,"GEO_GROW_BOOK_VAL","FQ3 2018","FQ3 2018","Currency=INR","Period=FQ","BEST_FPERIOD_OVERRIDE=FQ","FILING_STATUS=OR","EQY_CONSOLIDATED=Y","Sort=A","Dates=H","DateFormat=P","Fill=—","Direction=H","UseDPDF=Y")</f>
        <v>#NAME?</v>
      </c>
      <c r="BE251" s="2" t="e">
        <f ca="1">_xll.BDH($C$228,"GEO_GROW_CASH_OPER_ACT","FQ3 2018","FQ3 2018","Currency=INR","Period=FQ","BEST_FPERIOD_OVERRIDE=FQ","FILING_STATUS=OR","EQY_CONSOLIDATED=Y","Sort=A","Dates=H","DateFormat=P","Fill=—","Direction=H","UseDPDF=Y")</f>
        <v>#NAME?</v>
      </c>
      <c r="BF251" s="2" t="e">
        <f ca="1">_xll.BDH($C$228,"REVENUE_SEQUENTIAL_GROWTH","FQ3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251" s="2" t="e">
        <f ca="1">_xll.BDH($C$228,"EBITDA_SEQUENTIAL_GROWTH","FQ3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251" s="2" t="e">
        <f ca="1">_xll.BDH($C$228,"OPERATING_INCOME_SEQ_GROWTH","FQ3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251" s="2" t="e">
        <f ca="1">_xll.BDH($C$228,"NET_INCOME_TO_COMMON_SEQ_GROWTH","FQ3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251" s="2" t="e">
        <f ca="1">_xll.BDH($C$228,"EPS_DILUTED_SEQUENTIAL_GROWTH","FQ3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251" s="2" t="e">
        <f ca="1">_xll.BDH($C$228,"DPS_SEQUENTIAL_GROWTH","FQ3 2018","FQ3 2018","Currency=INR","Period=FQ","BEST_FPERIOD_OVERRIDE=FQ","FILING_STATUS=OR","EQY_CONSOLIDATED=Y","Sort=A","Dates=H","DateFormat=P","Fill=—","Direction=H","UseDPDF=Y")</f>
        <v>#NAME?</v>
      </c>
      <c r="BL251" s="2" t="e">
        <f ca="1">_xll.BDH($C$228,"ACCOUNTS_RECEIVABLE_SEQ_GROWTH","FQ3 2018","FQ3 2018","Currency=INR","Period=FQ","BEST_FPERIOD_OVERRIDE=FQ","FILING_STATUS=OR","EQY_CONSOLIDATED=Y","Sort=A","Dates=H","DateFormat=P","Fill=—","Direction=H","UseDPDF=Y")</f>
        <v>#NAME?</v>
      </c>
      <c r="BM251" s="2" t="e">
        <f ca="1">_xll.BDH($C$228,"INVENTORY_SEQUENTIAL_GROWTH","FQ3 2018","FQ3 2018","Currency=INR","Period=FQ","BEST_FPERIOD_OVERRIDE=FQ","FILING_STATUS=OR","EQY_CONSOLIDATED=Y","Sort=A","Dates=H","DateFormat=P","Fill=—","Direction=H","UseDPDF=Y")</f>
        <v>#NAME?</v>
      </c>
      <c r="BN251" s="2" t="e">
        <f ca="1">_xll.BDH($C$228,"FIXED_ASSETS_SEQUENTIAL_GROWTH","FQ3 2018","FQ3 2018","Currency=INR","Period=FQ","BEST_FPERIOD_OVERRIDE=FQ","FILING_STATUS=OR","EQY_CONSOLIDATED=Y","Sort=A","Dates=H","DateFormat=P","Fill=—","Direction=H","UseDPDF=Y")</f>
        <v>#NAME?</v>
      </c>
      <c r="BO251" s="2" t="e">
        <f ca="1">_xll.BDH($C$228,"TOTAL_ASSETS_SEQUENTIAL_GROWTH","FQ3 2018","FQ3 2018","Currency=INR","Period=FQ","BEST_FPERIOD_OVERRIDE=FQ","FILING_STATUS=OR","EQY_CONSOLIDATED=Y","Sort=A","Dates=H","DateFormat=P","Fill=—","Direction=H","UseDPDF=Y")</f>
        <v>#NAME?</v>
      </c>
      <c r="BP251" s="2" t="e">
        <f ca="1">_xll.BDH($C$228,"MODIFIED_WORKING_CPTL_SEQ_GRWTH","FQ3 2018","FQ3 2018","Currency=INR","Period=FQ","BEST_FPERIOD_OVERRIDE=FQ","FILING_STATUS=OR","EQY_CONSOLIDATED=Y","Sort=A","Dates=H","DateFormat=P","Fill=—","Direction=H","UseDPDF=Y")</f>
        <v>#NAME?</v>
      </c>
      <c r="BQ251" s="2" t="e">
        <f ca="1">_xll.BDH($C$228,"WORKING_CAPITAL_SEQ_GROWTH","FQ3 2018","FQ3 2018","Currency=INR","Period=FQ","BEST_FPERIOD_OVERRIDE=FQ","FILING_STATUS=OR","EQY_CONSOLIDATED=Y","Sort=A","Dates=H","DateFormat=P","Fill=—","Direction=H","UseDPDF=Y")</f>
        <v>#NAME?</v>
      </c>
      <c r="BR251" s="2" t="e">
        <f ca="1">_xll.BDH($C$228,"ACCOUNTS_PAYABLE_SEQ_GROWTH","FQ3 2018","FQ3 2018","Currency=INR","Period=FQ","BEST_FPERIOD_OVERRIDE=FQ","FILING_STATUS=OR","EQY_CONSOLIDATED=Y","Sort=A","Dates=H","DateFormat=P","Fill=—","Direction=H","UseDPDF=Y")</f>
        <v>#NAME?</v>
      </c>
      <c r="BS251" s="2" t="e">
        <f ca="1">_xll.BDH($C$228,"ST_DEBT_SEQUENTIAL_GROWTH","FQ3 2018","FQ3 2018","Currency=INR","Period=FQ","BEST_FPERIOD_OVERRIDE=FQ","FILING_STATUS=OR","EQY_CONSOLIDATED=Y","Sort=A","Dates=H","DateFormat=P","Fill=—","Direction=H","UseDPDF=Y")</f>
        <v>#NAME?</v>
      </c>
      <c r="BT251" s="2" t="e">
        <f ca="1">_xll.BDH($C$228,"TOTAL_DEBT_SEQUENTIAL_GROWTH","FQ3 2018","FQ3 2018","Currency=INR","Period=FQ","BEST_FPERIOD_OVERRIDE=FQ","FILING_STATUS=OR","EQY_CONSOLIDATED=Y","Sort=A","Dates=H","DateFormat=P","Fill=—","Direction=H","UseDPDF=Y")</f>
        <v>#NAME?</v>
      </c>
      <c r="BU251" s="2" t="e">
        <f ca="1">_xll.BDH($C$228,"TOTAL_EQUITY_SEQUENTIAL_GROWTH","FQ3 2018","FQ3 2018","Currency=INR","Period=FQ","BEST_FPERIOD_OVERRIDE=FQ","FILING_STATUS=OR","EQY_CONSOLIDATED=Y","Sort=A","Dates=H","DateFormat=P","Fill=—","Direction=H","UseDPDF=Y")</f>
        <v>#NAME?</v>
      </c>
      <c r="BV251" s="2" t="e">
        <f ca="1">_xll.BDH($C$228,"TOTAL_CAPITAL_SEQUENTIAL_GROWTH","FQ3 2018","FQ3 2018","Currency=INR","Period=FQ","BEST_FPERIOD_OVERRIDE=FQ","FILING_STATUS=OR","EQY_CONSOLIDATED=Y","Sort=A","Dates=H","DateFormat=P","Fill=—","Direction=H","UseDPDF=Y")</f>
        <v>#NAME?</v>
      </c>
      <c r="BW251" s="2" t="e">
        <f ca="1">_xll.BDH($C$228,"BPS_SEQUENTIAL_GROWTH","FQ3 2018","FQ3 2018","Currency=INR","Period=FQ","BEST_FPERIOD_OVERRIDE=FQ","FILING_STATUS=OR","EQY_CONSOLIDATED=Y","Sort=A","Dates=H","DateFormat=P","Fill=—","Direction=H","UseDPDF=Y")</f>
        <v>#NAME?</v>
      </c>
      <c r="BX251" s="2" t="e">
        <f ca="1">_xll.BDH($C$228,"CFO_SEQUENTIAL_GROWTH","FQ3 2018","FQ3 2018","Currency=INR","Period=FQ","BEST_FPERIOD_OVERRIDE=FQ","FILING_STATUS=OR","EQY_CONSOLIDATED=Y","Sort=A","Dates=H","DateFormat=P","Fill=—","Direction=H","UseDPDF=Y")</f>
        <v>#NAME?</v>
      </c>
      <c r="BY251" s="3" t="e">
        <f ca="1">_xll.BDH($C$228,"SHORT_AND_LONG_TERM_DEBT","FQ3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251" s="3" t="e">
        <f ca="1">_xll.BDH($C$228,"BS_ST_BORROW","FQ3 2018","FQ3 2018","Currency=INR","Period=FQ","BEST_FPERIOD_OVERRIDE=FQ","FILING_STATUS=OR","EQY_CONSOLIDATED=Y","SCALING_FORMAT=MLN","Sort=A","Dates=H","DateFormat=P","Fill=—","Direction=H","UseDPDF=Y")</f>
        <v>#NAME?</v>
      </c>
      <c r="CA251" s="3" t="e">
        <f ca="1">_xll.BDH($C$228,"BS_LT_BORROW","FQ3 2018","FQ3 2018","Currency=INR","Period=FQ","BEST_FPERIOD_OVERRIDE=FQ","FILING_STATUS=OR","EQY_CONSOLIDATED=Y","SCALING_FORMAT=MLN","Sort=A","Dates=H","DateFormat=P","Fill=—","Direction=H","UseDPDF=Y")</f>
        <v>#NAME?</v>
      </c>
      <c r="CB251" s="2" t="e">
        <f ca="1">_xll.BDH($C$228,"TOT_DEBT_TO_EBITDA","FQ3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251" s="2" t="e">
        <f ca="1">_xll.BDH($C$228,"NET_DEBT_TO_EBITDA","FQ3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251" s="2" t="e">
        <f ca="1">_xll.BDH($C$228,"TOTAL_DEBT_TO_EBIT","FQ3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251" s="2" t="e">
        <f ca="1">_xll.BDH($C$228,"NET_DEBT_TO_EBIT","FQ3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251" s="2" t="e">
        <f ca="1">_xll.BDH($C$228,"EBITDA_TO_INTEREST_EXPN","FQ3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251" s="2" t="e">
        <f ca="1">_xll.BDH($C$228,"COM_EQY_TO_TOT_ASSET","FQ3 2018","FQ3 2018","Currency=INR","Period=FQ","BEST_FPERIOD_OVERRIDE=FQ","FILING_STATUS=OR","EQY_CONSOLIDATED=Y","Sort=A","Dates=H","DateFormat=P","Fill=—","Direction=H","UseDPDF=Y")</f>
        <v>#NAME?</v>
      </c>
      <c r="CH251" s="2" t="e">
        <f ca="1">_xll.BDH($C$228,"LT_DEBT_TO_TOT_EQY","FQ3 2018","FQ3 2018","Currency=INR","Period=FQ","BEST_FPERIOD_OVERRIDE=FQ","FILING_STATUS=OR","EQY_CONSOLIDATED=Y","Sort=A","Dates=H","DateFormat=P","Fill=—","Direction=H","UseDPDF=Y")</f>
        <v>#NAME?</v>
      </c>
      <c r="CI251" s="2" t="e">
        <f ca="1">_xll.BDH($C$228,"LT_DEBT_TO_TOT_CAP","FQ3 2018","FQ3 2018","Currency=INR","Period=FQ","BEST_FPERIOD_OVERRIDE=FQ","FILING_STATUS=OR","EQY_CONSOLIDATED=Y","Sort=A","Dates=H","DateFormat=P","Fill=—","Direction=H","UseDPDF=Y")</f>
        <v>#NAME?</v>
      </c>
      <c r="CJ251" s="2" t="e">
        <f ca="1">_xll.BDH($C$228,"LT_DEBT_TO_TOT_ASSET","FQ3 2018","FQ3 2018","Currency=INR","Period=FQ","BEST_FPERIOD_OVERRIDE=FQ","FILING_STATUS=OR","EQY_CONSOLIDATED=Y","Sort=A","Dates=H","DateFormat=P","Fill=—","Direction=H","UseDPDF=Y")</f>
        <v>#NAME?</v>
      </c>
      <c r="CK251" s="2" t="e">
        <f ca="1">_xll.BDH($C$228,"TOT_DEBT_TO_TOT_EQY","FQ3 2018","FQ3 2018","Currency=INR","Period=FQ","BEST_FPERIOD_OVERRIDE=FQ","FILING_STATUS=OR","EQY_CONSOLIDATED=Y","Sort=A","Dates=H","DateFormat=P","Fill=—","Direction=H","UseDPDF=Y")</f>
        <v>#NAME?</v>
      </c>
      <c r="CL251" s="2" t="e">
        <f ca="1">_xll.BDH($C$228,"TOT_DEBT_TO_TOT_CAP","FQ3 2018","FQ3 2018","Currency=INR","Period=FQ","BEST_FPERIOD_OVERRIDE=FQ","FILING_STATUS=OR","EQY_CONSOLIDATED=Y","Sort=A","Dates=H","DateFormat=P","Fill=—","Direction=H","UseDPDF=Y")</f>
        <v>#NAME?</v>
      </c>
      <c r="CM251" s="2" t="e">
        <f ca="1">_xll.BDH($C$228,"TOT_DEBT_TO_TOT_ASSET","FQ3 2018","FQ3 2018","Currency=INR","Period=FQ","BEST_FPERIOD_OVERRIDE=FQ","FILING_STATUS=OR","EQY_CONSOLIDATED=Y","Sort=A","Dates=H","DateFormat=P","Fill=—","Direction=H","UseDPDF=Y")</f>
        <v>#NAME?</v>
      </c>
      <c r="CN251" s="2" t="e">
        <f ca="1">_xll.BDH($C$228,"NET_DEBT_TO_SHRHLDR_EQTY","FQ3 2018","FQ3 2018","Currency=INR","Period=FQ","BEST_FPERIOD_OVERRIDE=FQ","FILING_STATUS=OR","EQY_CONSOLIDATED=Y","Sort=A","Dates=H","DateFormat=P","Fill=—","Direction=H","UseDPDF=Y")</f>
        <v>#NAME?</v>
      </c>
      <c r="CO251" s="2" t="e">
        <f ca="1">_xll.BDH($C$228,"NET_DEBT_%_CAPITAL","FQ3 2018","FQ3 2018","Currency=INR","Period=FQ","BEST_FPERIOD_OVERRIDE=FQ","FILING_STATUS=OR","EQY_CONSOLIDATED=Y","Sort=A","Dates=H","DateFormat=P","Fill=—","Direction=H","UseDPDF=Y")</f>
        <v>#NAME?</v>
      </c>
      <c r="CP251" s="3" t="e">
        <f ca="1">_xll.BDH($C$228,"EBITDA","FQ3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251" s="3" t="e">
        <f ca="1">_xll.BDH($C$228,"EBITDA_AFTER_CAPEX","FQ3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251" s="3" t="e">
        <f ca="1">_xll.BDH($C$228,"IS_OPER_INC","FQ3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251" s="2" t="e">
        <f ca="1">_xll.BDH($C$228,"CASH_RATIO","FQ3 2018","FQ3 2018","Currency=INR","Period=FQ","BEST_FPERIOD_OVERRIDE=FQ","FILING_STATUS=OR","EQY_CONSOLIDATED=Y","Sort=A","Dates=H","DateFormat=P","Fill=—","Direction=H","UseDPDF=Y")</f>
        <v>#NAME?</v>
      </c>
      <c r="CT251" s="2" t="e">
        <f ca="1">_xll.BDH($C$228,"CUR_RATIO","FQ3 2018","FQ3 2018","Currency=INR","Period=FQ","BEST_FPERIOD_OVERRIDE=FQ","FILING_STATUS=OR","EQY_CONSOLIDATED=Y","Sort=A","Dates=H","DateFormat=P","Fill=—","Direction=H","UseDPDF=Y")</f>
        <v>#NAME?</v>
      </c>
      <c r="CU251" s="2" t="e">
        <f ca="1">_xll.BDH($C$228,"QUICK_RATIO","FQ3 2018","FQ3 2018","Currency=INR","Period=FQ","BEST_FPERIOD_OVERRIDE=FQ","FILING_STATUS=OR","EQY_CONSOLIDATED=Y","Sort=A","Dates=H","DateFormat=P","Fill=—","Direction=H","UseDPDF=Y")</f>
        <v>#NAME?</v>
      </c>
      <c r="CV251" s="2" t="e">
        <f ca="1">_xll.BDH($C$228,"ALTMAN_Z_SCORE","FQ3 2018","FQ3 2018","Currency=INR","Period=FQ","BEST_FPERIOD_OVERRIDE=FQ","FILING_STATUS=OR","EQY_CONSOLIDATED=Y","Sort=A","Dates=H","DateFormat=P","Fill=—","Direction=H","UseDPDF=Y")</f>
        <v>#NAME?</v>
      </c>
      <c r="CW251" s="4" t="e">
        <f ca="1">_xll.BDH($C$228,"ACCT_RCV_TURN","FQ3 2018","FQ3 2018","Currency=INR","Period=FQ","BEST_FPERIOD_OVERRIDE=FQ","FILING_STATUS=OR","EQY_CONSOLIDATED=Y","FA_ADJUSTED=GAAP","Sort=A","Dates=H","DateFormat=P","Fill=—","Direction=H","UseDPDF=Y")</f>
        <v>#NAME?</v>
      </c>
      <c r="CX251" s="2" t="e">
        <f ca="1">_xll.BDH($C$228,"ACCT_RCV_DAYS","FQ3 2018","FQ3 2018","Currency=INR","Period=FQ","BEST_FPERIOD_OVERRIDE=FQ","FILING_STATUS=OR","EQY_CONSOLIDATED=Y","FA_ADJUSTED=GAAP","Sort=A","Dates=H","DateFormat=P","Fill=—","Direction=H","UseDPDF=Y")</f>
        <v>#NAME?</v>
      </c>
      <c r="CY251" s="4" t="e">
        <f ca="1">_xll.BDH($C$228,"INVENT_TURN","FQ3 2018","FQ3 2018","Currency=INR","Period=FQ","BEST_FPERIOD_OVERRIDE=FQ","FILING_STATUS=OR","EQY_CONSOLIDATED=Y","FA_ADJUSTED=GAAP","Sort=A","Dates=H","DateFormat=P","Fill=—","Direction=H","UseDPDF=Y")</f>
        <v>#NAME?</v>
      </c>
      <c r="CZ251" s="2" t="e">
        <f ca="1">_xll.BDH($C$228,"INVENT_DAYS","FQ3 2018","FQ3 2018","Currency=INR","Period=FQ","BEST_FPERIOD_OVERRIDE=FQ","FILING_STATUS=OR","EQY_CONSOLIDATED=Y","FA_ADJUSTED=GAAP","Sort=A","Dates=H","DateFormat=P","Fill=—","Direction=H","UseDPDF=Y")</f>
        <v>#NAME?</v>
      </c>
      <c r="DA251" s="4" t="e">
        <f ca="1">_xll.BDH($C$228,"ACCOUNTS_PAYABLE_TURNOVER","FQ3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251" s="2" t="e">
        <f ca="1">_xll.BDH($C$228,"ACCOUNTS_PAYABLE_TURNOVER_DAYS","FQ3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251" s="4" t="e">
        <f ca="1">_xll.BDH($C$228,"CASH_CONVERSION_CYCLE","FQ3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251" s="4" t="e">
        <f ca="1">_xll.BDH($C$228,"INV_TO_CASH_DAYS","FQ3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251" s="5" t="e">
        <f ca="1">_xll.BDH($C$228,"BS_INVENTORIES","FQ3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251" s="3" t="e">
        <f ca="1">_xll.BDH($C$228,"INVTRY_RAW_MATERIALS","FQ3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251" s="3" t="e">
        <f ca="1">_xll.BDH($C$228,"INVTRY_IN_PROGRESS","FQ3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251" s="3" t="e">
        <f ca="1">_xll.BDH($C$228,"INVTRY_FINISHED_GOODS","FQ3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251" s="3" t="e">
        <f ca="1">_xll.BDH($C$228,"BS_OTHER_INV","FQ3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252" spans="1:113" x14ac:dyDescent="0.3">
      <c r="A252" s="6"/>
      <c r="B252" s="6"/>
      <c r="C252" s="6"/>
      <c r="D252" s="6"/>
      <c r="E252" t="s">
        <v>81</v>
      </c>
      <c r="F252" t="e">
        <f ca="1">_xll.BDH($C$228,"RETURN_COM_EQY","FQ4 2018","FQ4 2018","Currency=INR","Period=FQ","BEST_FPERIOD_OVERRIDE=FQ","FILING_STATUS=OR","EQY_CONSOLIDATED=Y","FA_ADJUSTED=GAAP","Sort=A","Dates=H","DateFormat=P","Fill=—","Direction=H","UseDPDF=Y")</f>
        <v>#NAME?</v>
      </c>
      <c r="G252" t="e">
        <f ca="1">_xll.BDH($C$228,"RETURN_ON_ASSET","FQ4 2018","FQ4 2018","Currency=INR","Period=FQ","BEST_FPERIOD_OVERRIDE=FQ","FILING_STATUS=OR","EQY_CONSOLIDATED=Y","FA_ADJUSTED=GAAP","Sort=A","Dates=H","DateFormat=P","Fill=—","Direction=H","UseDPDF=Y")</f>
        <v>#NAME?</v>
      </c>
      <c r="H252" t="e">
        <f ca="1">_xll.BDH($C$228,"RETURN_ON_CAP","FQ4 2018","FQ4 2018","Currency=INR","Period=FQ","BEST_FPERIOD_OVERRIDE=FQ","FILING_STATUS=OR","EQY_CONSOLIDATED=Y","FA_ADJUSTED=GAAP","Sort=A","Dates=H","DateFormat=P","Fill=—","Direction=H","UseDPDF=Y")</f>
        <v>#NAME?</v>
      </c>
      <c r="I252" t="e">
        <f ca="1">_xll.BDH($C$228,"RETURN_ON_INV_CAPITAL","FQ4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252" t="e">
        <f ca="1">_xll.BDH($C$228,"EBITDA_TO_REVENUE","FQ4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252" t="e">
        <f ca="1">_xll.BDH($C$228,"OPER_MARGIN","FQ4 2018","FQ4 2018","Currency=INR","Period=FQ","BEST_FPERIOD_OVERRIDE=FQ","FILING_STATUS=OR","EQY_CONSOLIDATED=Y","FA_ADJUSTED=GAAP","Sort=A","Dates=H","DateFormat=P","Fill=—","Direction=H","UseDPDF=Y")</f>
        <v>#NAME?</v>
      </c>
      <c r="L252" t="e">
        <f ca="1">_xll.BDH($C$228,"INCREMENTAL_OPERATING_MARGIN","FQ4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252" t="e">
        <f ca="1">_xll.BDH($C$228,"PRETAX_INC_TO_NET_SALES","FQ4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252" t="e">
        <f ca="1">_xll.BDH($C$228,"INC_BEF_XO_ITEMS_TO_NET_SALES","FQ4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252" t="e">
        <f ca="1">_xll.BDH($C$228,"PROF_MARGIN","FQ4 2018","FQ4 2018","Currency=INR","Period=FQ","BEST_FPERIOD_OVERRIDE=FQ","FILING_STATUS=OR","EQY_CONSOLIDATED=Y","FA_ADJUSTED=GAAP","Sort=A","Dates=H","DateFormat=P","Fill=—","Direction=H","UseDPDF=Y")</f>
        <v>#NAME?</v>
      </c>
      <c r="P252" t="e">
        <f ca="1">_xll.BDH($C$228,"NET_INCOME_TO_COMMON_MARGIN","FQ4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252" t="e">
        <f ca="1">_xll.BDH($C$228,"EFF_TAX_RATE","FQ4 2018","FQ4 2018","Currency=INR","Period=FQ","BEST_FPERIOD_OVERRIDE=FQ","FILING_STATUS=OR","EQY_CONSOLIDATED=Y","FA_ADJUSTED=GAAP","Sort=A","Dates=H","DateFormat=P","Fill=—","Direction=H","UseDPDF=Y")</f>
        <v>#NAME?</v>
      </c>
      <c r="R252" t="e">
        <f ca="1">_xll.BDH($C$228,"DVD_PAYOUT_RATIO","FQ4 2018","FQ4 2018","Currency=INR","Period=FQ","BEST_FPERIOD_OVERRIDE=FQ","FILING_STATUS=OR","EQY_CONSOLIDATED=Y","FA_ADJUSTED=GAAP","Sort=A","Dates=H","DateFormat=P","Fill=—","Direction=H","UseDPDF=Y")</f>
        <v>#NAME?</v>
      </c>
      <c r="S252" t="e">
        <f ca="1">_xll.BDH($C$228,"SUSTAIN_GROWTH_RT","FQ4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252" s="2" t="e">
        <f ca="1">_xll.BDH($C$228,"SALES_GROWTH","FQ4 2018","FQ4 2018","Currency=INR","Period=FQ","BEST_FPERIOD_OVERRIDE=FQ","FILING_STATUS=OR","EQY_CONSOLIDATED=Y","FA_ADJUSTED=GAAP","Sort=A","Dates=H","DateFormat=P","Fill=—","Direction=H","UseDPDF=Y")</f>
        <v>#NAME?</v>
      </c>
      <c r="U252" s="2" t="e">
        <f ca="1">_xll.BDH($C$228,"EBITDA_GROWTH","FQ4 2018","FQ4 2018","Currency=INR","Period=FQ","BEST_FPERIOD_OVERRIDE=FQ","FILING_STATUS=OR","EQY_CONSOLIDATED=Y","FA_ADJUSTED=GAAP","Sort=A","Dates=H","DateFormat=P","Fill=—","Direction=H","UseDPDF=Y")</f>
        <v>#NAME?</v>
      </c>
      <c r="V252" s="2" t="e">
        <f ca="1">_xll.BDH($C$228,"OPER_INC_GROWTH","FQ4 2018","FQ4 2018","Currency=INR","Period=FQ","BEST_FPERIOD_OVERRIDE=FQ","FILING_STATUS=OR","EQY_CONSOLIDATED=Y","FA_ADJUSTED=GAAP","Sort=A","Dates=H","DateFormat=P","Fill=—","Direction=H","UseDPDF=Y")</f>
        <v>#NAME?</v>
      </c>
      <c r="W252" s="2" t="e">
        <f ca="1">_xll.BDH($C$228,"EARN_FOR_COM_GROWTH","FQ4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252" s="2" t="e">
        <f ca="1">_xll.BDH($C$228,"DILUTED_EPS_AFT_XO_ITEMS_GROWTH","FQ4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252" s="2" t="e">
        <f ca="1">_xll.BDH($C$228,"DIVIDEND_PER_SHARE_1_YEAR_GROWTH","FQ4 2018","FQ4 2018","Currency=INR","Period=FQ","BEST_FPERIOD_OVERRIDE=FQ","FILING_STATUS=OR","EQY_CONSOLIDATED=Y","Sort=A","Dates=H","DateFormat=P","Fill=—","Direction=H","UseDPDF=Y")</f>
        <v>#NAME?</v>
      </c>
      <c r="Z252" s="2" t="e">
        <f ca="1">_xll.BDH($C$228,"ACCOUNTS_RECEIVABLE_GROWTH","FQ4 2018","FQ4 2018","Currency=INR","Period=FQ","BEST_FPERIOD_OVERRIDE=FQ","FILING_STATUS=OR","EQY_CONSOLIDATED=Y","Sort=A","Dates=H","DateFormat=P","Fill=—","Direction=H","UseDPDF=Y")</f>
        <v>#NAME?</v>
      </c>
      <c r="AA252" s="2" t="e">
        <f ca="1">_xll.BDH($C$228,"INVENTORY_GROWTH","FQ4 2018","FQ4 2018","Currency=INR","Period=FQ","BEST_FPERIOD_OVERRIDE=FQ","FILING_STATUS=OR","EQY_CONSOLIDATED=Y","Sort=A","Dates=H","DateFormat=P","Fill=—","Direction=H","UseDPDF=Y")</f>
        <v>#NAME?</v>
      </c>
      <c r="AB252" s="2" t="e">
        <f ca="1">_xll.BDH($C$228,"NET_FIXED_ASSETS_1_YEAR_GROWTH","FQ4 2018","FQ4 2018","Currency=INR","Period=FQ","BEST_FPERIOD_OVERRIDE=FQ","FILING_STATUS=OR","EQY_CONSOLIDATED=Y","Sort=A","Dates=H","DateFormat=P","Fill=—","Direction=H","UseDPDF=Y")</f>
        <v>#NAME?</v>
      </c>
      <c r="AC252" s="2" t="e">
        <f ca="1">_xll.BDH($C$228,"ASSET_GROWTH","FQ4 2018","FQ4 2018","Currency=INR","Period=FQ","BEST_FPERIOD_OVERRIDE=FQ","FILING_STATUS=OR","EQY_CONSOLIDATED=Y","Sort=A","Dates=H","DateFormat=P","Fill=—","Direction=H","UseDPDF=Y")</f>
        <v>#NAME?</v>
      </c>
      <c r="AD252" s="2" t="e">
        <f ca="1">_xll.BDH($C$228,"MODIFIED_WORK_CAP_GROWTH","FQ4 2018","FQ4 2018","Currency=INR","Period=FQ","BEST_FPERIOD_OVERRIDE=FQ","FILING_STATUS=OR","EQY_CONSOLIDATED=Y","Sort=A","Dates=H","DateFormat=P","Fill=—","Direction=H","UseDPDF=Y")</f>
        <v>#NAME?</v>
      </c>
      <c r="AE252" s="2" t="e">
        <f ca="1">_xll.BDH($C$228,"WORK_CAP_GROWTH","FQ4 2018","FQ4 2018","Currency=INR","Period=FQ","BEST_FPERIOD_OVERRIDE=FQ","FILING_STATUS=OR","EQY_CONSOLIDATED=Y","Sort=A","Dates=H","DateFormat=P","Fill=—","Direction=H","UseDPDF=Y")</f>
        <v>#NAME?</v>
      </c>
      <c r="AF252" s="2" t="e">
        <f ca="1">_xll.BDH($C$228,"ACCOUNTS_PAYABLE_GROWTH_1YR","FQ4 2018","FQ4 2018","Currency=INR","Period=FQ","BEST_FPERIOD_OVERRIDE=FQ","FILING_STATUS=OR","EQY_CONSOLIDATED=Y","Sort=A","Dates=H","DateFormat=P","Fill=—","Direction=H","UseDPDF=Y")</f>
        <v>#NAME?</v>
      </c>
      <c r="AG252" s="2" t="e">
        <f ca="1">_xll.BDH($C$228,"SHORT_TERM_DEBT_1_YEAR_GROWTH","FQ4 2018","FQ4 2018","Currency=INR","Period=FQ","BEST_FPERIOD_OVERRIDE=FQ","FILING_STATUS=OR","EQY_CONSOLIDATED=Y","Sort=A","Dates=H","DateFormat=P","Fill=—","Direction=H","UseDPDF=Y")</f>
        <v>#NAME?</v>
      </c>
      <c r="AH252" s="2" t="e">
        <f ca="1">_xll.BDH($C$228,"TOTAL_DEBT_1_YEAR_GROWTH","FQ4 2018","FQ4 2018","Currency=INR","Period=FQ","BEST_FPERIOD_OVERRIDE=FQ","FILING_STATUS=OR","EQY_CONSOLIDATED=Y","Sort=A","Dates=H","DateFormat=P","Fill=—","Direction=H","UseDPDF=Y")</f>
        <v>#NAME?</v>
      </c>
      <c r="AI252" s="2" t="e">
        <f ca="1">_xll.BDH($C$228,"TOTAL_EQUITY_1_YEAR_GROWTH","FQ4 2018","FQ4 2018","Currency=INR","Period=FQ","BEST_FPERIOD_OVERRIDE=FQ","FILING_STATUS=OR","EQY_CONSOLIDATED=Y","Sort=A","Dates=H","DateFormat=P","Fill=—","Direction=H","UseDPDF=Y")</f>
        <v>#NAME?</v>
      </c>
      <c r="AJ252" s="2" t="e">
        <f ca="1">_xll.BDH($C$228,"GROWTH_IN_CAP","FQ4 2018","FQ4 2018","Currency=INR","Period=FQ","BEST_FPERIOD_OVERRIDE=FQ","FILING_STATUS=OR","EQY_CONSOLIDATED=Y","Sort=A","Dates=H","DateFormat=P","Fill=—","Direction=H","UseDPDF=Y")</f>
        <v>#NAME?</v>
      </c>
      <c r="AK252" s="2" t="e">
        <f ca="1">_xll.BDH($C$228,"BVPS_GROWTH","FQ4 2018","FQ4 2018","Currency=INR","Period=FQ","BEST_FPERIOD_OVERRIDE=FQ","FILING_STATUS=OR","EQY_CONSOLIDATED=Y","Sort=A","Dates=H","DateFormat=P","Fill=—","Direction=H","UseDPDF=Y")</f>
        <v>#NAME?</v>
      </c>
      <c r="AL252" s="2" t="e">
        <f ca="1">_xll.BDH($C$228,"CASH_FLOW_GROWTH","FQ4 2018","FQ4 2018","Currency=INR","Period=FQ","BEST_FPERIOD_OVERRIDE=FQ","FILING_STATUS=OR","EQY_CONSOLIDATED=Y","Sort=A","Dates=H","DateFormat=P","Fill=—","Direction=H","UseDPDF=Y")</f>
        <v>#NAME?</v>
      </c>
      <c r="AM252" s="2" t="e">
        <f ca="1">_xll.BDH($C$228,"GEO_GROW_NET_SALES","FQ4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252" s="2" t="e">
        <f ca="1">_xll.BDH($C$228,"GEO_GROW_EBITDA","FQ4 2018","FQ4 2018","Currency=INR","Period=FQ","BEST_FPERIOD_OVERRIDE=FQ","FILING_STATUS=OR","EQY_CONSOLIDATED=Y","FA_ADJUSTED=GAAP","Sort=A","Dates=H","DateFormat=P","Fill=—","Direction=H","UseDPDF=Y")</f>
        <v>#NAME?</v>
      </c>
      <c r="AO252" s="2" t="e">
        <f ca="1">_xll.BDH($C$228,"GEO_GROW_OPER_INC","FQ4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252" s="2" t="e">
        <f ca="1">_xll.BDH($C$228,"NET_INCOME_TO_COMMON_5_YR_GROWTH","FQ4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252" s="2" t="e">
        <f ca="1">_xll.BDH($C$228,"5Y_GEO_GROWTH_DILUTED_EPS","FQ4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252" s="2" t="e">
        <f ca="1">_xll.BDH($C$228,"GEO_GROW_DVD_PER_SH","FQ4 2018","FQ4 2018","Currency=INR","Period=FQ","BEST_FPERIOD_OVERRIDE=FQ","FILING_STATUS=OR","EQY_CONSOLIDATED=Y","Sort=A","Dates=H","DateFormat=P","Fill=—","Direction=H","UseDPDF=Y")</f>
        <v>#NAME?</v>
      </c>
      <c r="AS252" s="2" t="e">
        <f ca="1">_xll.BDH($C$228,"ACCOUNTS_RECEIVABLE_5_YR_GROWTH","FQ4 2018","FQ4 2018","Currency=INR","Period=FQ","BEST_FPERIOD_OVERRIDE=FQ","FILING_STATUS=OR","EQY_CONSOLIDATED=Y","Sort=A","Dates=H","DateFormat=P","Fill=—","Direction=H","UseDPDF=Y")</f>
        <v>#NAME?</v>
      </c>
      <c r="AT252" s="2" t="e">
        <f ca="1">_xll.BDH($C$228,"INVENTORY_5_YEAR_GROWTH","FQ4 2018","FQ4 2018","Currency=INR","Period=FQ","BEST_FPERIOD_OVERRIDE=FQ","FILING_STATUS=OR","EQY_CONSOLIDATED=Y","Sort=A","Dates=H","DateFormat=P","Fill=—","Direction=H","UseDPDF=Y")</f>
        <v>#NAME?</v>
      </c>
      <c r="AU252" s="2" t="e">
        <f ca="1">_xll.BDH($C$228,"NET_FIXED_ASSETS_5_YEAR_GROWTH","FQ4 2018","FQ4 2018","Currency=INR","Period=FQ","BEST_FPERIOD_OVERRIDE=FQ","FILING_STATUS=OR","EQY_CONSOLIDATED=Y","Sort=A","Dates=H","DateFormat=P","Fill=—","Direction=H","UseDPDF=Y")</f>
        <v>#NAME?</v>
      </c>
      <c r="AV252" s="2" t="e">
        <f ca="1">_xll.BDH($C$228,"GEO_GROW_TOT_ASSET","FQ4 2018","FQ4 2018","Currency=INR","Period=FQ","BEST_FPERIOD_OVERRIDE=FQ","FILING_STATUS=OR","EQY_CONSOLIDATED=Y","Sort=A","Dates=H","DateFormat=P","Fill=—","Direction=H","UseDPDF=Y")</f>
        <v>#NAME?</v>
      </c>
      <c r="AW252" s="2" t="e">
        <f ca="1">_xll.BDH($C$228,"MODIFIED_WORKING_CPTL_5YR_GRWTH","FQ4 2018","FQ4 2018","Currency=INR","Period=FQ","BEST_FPERIOD_OVERRIDE=FQ","FILING_STATUS=OR","EQY_CONSOLIDATED=Y","Sort=A","Dates=H","DateFormat=P","Fill=—","Direction=H","UseDPDF=Y")</f>
        <v>#NAME?</v>
      </c>
      <c r="AX252" s="2" t="e">
        <f ca="1">_xll.BDH($C$228,"WORKING_CAPITAL_5_YEAR_GROWTH","FQ4 2018","FQ4 2018","Currency=INR","Period=FQ","BEST_FPERIOD_OVERRIDE=FQ","FILING_STATUS=OR","EQY_CONSOLIDATED=Y","Sort=A","Dates=H","DateFormat=P","Fill=—","Direction=H","UseDPDF=Y")</f>
        <v>#NAME?</v>
      </c>
      <c r="AY252" s="2" t="e">
        <f ca="1">_xll.BDH($C$228,"ACCOUNTS_PAYABLE_5_YEAR_GROWTH","FQ4 2018","FQ4 2018","Currency=INR","Period=FQ","BEST_FPERIOD_OVERRIDE=FQ","FILING_STATUS=OR","EQY_CONSOLIDATED=Y","Sort=A","Dates=H","DateFormat=P","Fill=—","Direction=H","UseDPDF=Y")</f>
        <v>#NAME?</v>
      </c>
      <c r="AZ252" s="2" t="e">
        <f ca="1">_xll.BDH($C$228,"SHORT_TERM_DEBT_5_YEAR_GROWTH","FQ4 2018","FQ4 2018","Currency=INR","Period=FQ","BEST_FPERIOD_OVERRIDE=FQ","FILING_STATUS=OR","EQY_CONSOLIDATED=Y","Sort=A","Dates=H","DateFormat=P","Fill=—","Direction=H","UseDPDF=Y")</f>
        <v>#NAME?</v>
      </c>
      <c r="BA252" s="2" t="e">
        <f ca="1">_xll.BDH($C$228,"TOTAL_DEBT_5_YEAR_GROWTH","FQ4 2018","FQ4 2018","Currency=INR","Period=FQ","BEST_FPERIOD_OVERRIDE=FQ","FILING_STATUS=OR","EQY_CONSOLIDATED=Y","Sort=A","Dates=H","DateFormat=P","Fill=—","Direction=H","UseDPDF=Y")</f>
        <v>#NAME?</v>
      </c>
      <c r="BB252" s="2" t="e">
        <f ca="1">_xll.BDH($C$228,"GEO_GROW_TOT_SHRHLDR_EQY","FQ4 2018","FQ4 2018","Currency=INR","Period=FQ","BEST_FPERIOD_OVERRIDE=FQ","FILING_STATUS=OR","EQY_CONSOLIDATED=Y","Sort=A","Dates=H","DateFormat=P","Fill=—","Direction=H","UseDPDF=Y")</f>
        <v>#NAME?</v>
      </c>
      <c r="BC252" s="2" t="e">
        <f ca="1">_xll.BDH($C$228,"TOTAL_CAPITAL_5_YEAR_GROWTH","FQ4 2018","FQ4 2018","Currency=INR","Period=FQ","BEST_FPERIOD_OVERRIDE=FQ","FILING_STATUS=OR","EQY_CONSOLIDATED=Y","Sort=A","Dates=H","DateFormat=P","Fill=—","Direction=H","UseDPDF=Y")</f>
        <v>#NAME?</v>
      </c>
      <c r="BD252" s="2" t="e">
        <f ca="1">_xll.BDH($C$228,"GEO_GROW_BOOK_VAL","FQ4 2018","FQ4 2018","Currency=INR","Period=FQ","BEST_FPERIOD_OVERRIDE=FQ","FILING_STATUS=OR","EQY_CONSOLIDATED=Y","Sort=A","Dates=H","DateFormat=P","Fill=—","Direction=H","UseDPDF=Y")</f>
        <v>#NAME?</v>
      </c>
      <c r="BE252" s="2" t="e">
        <f ca="1">_xll.BDH($C$228,"GEO_GROW_CASH_OPER_ACT","FQ4 2018","FQ4 2018","Currency=INR","Period=FQ","BEST_FPERIOD_OVERRIDE=FQ","FILING_STATUS=OR","EQY_CONSOLIDATED=Y","Sort=A","Dates=H","DateFormat=P","Fill=—","Direction=H","UseDPDF=Y")</f>
        <v>#NAME?</v>
      </c>
      <c r="BF252" s="2" t="e">
        <f ca="1">_xll.BDH($C$228,"REVENUE_SEQUENTIAL_GROWTH","FQ4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252" s="2" t="e">
        <f ca="1">_xll.BDH($C$228,"EBITDA_SEQUENTIAL_GROWTH","FQ4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252" s="2" t="e">
        <f ca="1">_xll.BDH($C$228,"OPERATING_INCOME_SEQ_GROWTH","FQ4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252" s="2" t="e">
        <f ca="1">_xll.BDH($C$228,"NET_INCOME_TO_COMMON_SEQ_GROWTH","FQ4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252" s="2" t="e">
        <f ca="1">_xll.BDH($C$228,"EPS_DILUTED_SEQUENTIAL_GROWTH","FQ4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252" s="2" t="e">
        <f ca="1">_xll.BDH($C$228,"DPS_SEQUENTIAL_GROWTH","FQ4 2018","FQ4 2018","Currency=INR","Period=FQ","BEST_FPERIOD_OVERRIDE=FQ","FILING_STATUS=OR","EQY_CONSOLIDATED=Y","Sort=A","Dates=H","DateFormat=P","Fill=—","Direction=H","UseDPDF=Y")</f>
        <v>#NAME?</v>
      </c>
      <c r="BL252" s="2" t="e">
        <f ca="1">_xll.BDH($C$228,"ACCOUNTS_RECEIVABLE_SEQ_GROWTH","FQ4 2018","FQ4 2018","Currency=INR","Period=FQ","BEST_FPERIOD_OVERRIDE=FQ","FILING_STATUS=OR","EQY_CONSOLIDATED=Y","Sort=A","Dates=H","DateFormat=P","Fill=—","Direction=H","UseDPDF=Y")</f>
        <v>#NAME?</v>
      </c>
      <c r="BM252" s="2" t="e">
        <f ca="1">_xll.BDH($C$228,"INVENTORY_SEQUENTIAL_GROWTH","FQ4 2018","FQ4 2018","Currency=INR","Period=FQ","BEST_FPERIOD_OVERRIDE=FQ","FILING_STATUS=OR","EQY_CONSOLIDATED=Y","Sort=A","Dates=H","DateFormat=P","Fill=—","Direction=H","UseDPDF=Y")</f>
        <v>#NAME?</v>
      </c>
      <c r="BN252" s="2" t="e">
        <f ca="1">_xll.BDH($C$228,"FIXED_ASSETS_SEQUENTIAL_GROWTH","FQ4 2018","FQ4 2018","Currency=INR","Period=FQ","BEST_FPERIOD_OVERRIDE=FQ","FILING_STATUS=OR","EQY_CONSOLIDATED=Y","Sort=A","Dates=H","DateFormat=P","Fill=—","Direction=H","UseDPDF=Y")</f>
        <v>#NAME?</v>
      </c>
      <c r="BO252" s="2" t="e">
        <f ca="1">_xll.BDH($C$228,"TOTAL_ASSETS_SEQUENTIAL_GROWTH","FQ4 2018","FQ4 2018","Currency=INR","Period=FQ","BEST_FPERIOD_OVERRIDE=FQ","FILING_STATUS=OR","EQY_CONSOLIDATED=Y","Sort=A","Dates=H","DateFormat=P","Fill=—","Direction=H","UseDPDF=Y")</f>
        <v>#NAME?</v>
      </c>
      <c r="BP252" s="2" t="e">
        <f ca="1">_xll.BDH($C$228,"MODIFIED_WORKING_CPTL_SEQ_GRWTH","FQ4 2018","FQ4 2018","Currency=INR","Period=FQ","BEST_FPERIOD_OVERRIDE=FQ","FILING_STATUS=OR","EQY_CONSOLIDATED=Y","Sort=A","Dates=H","DateFormat=P","Fill=—","Direction=H","UseDPDF=Y")</f>
        <v>#NAME?</v>
      </c>
      <c r="BQ252" s="2" t="e">
        <f ca="1">_xll.BDH($C$228,"WORKING_CAPITAL_SEQ_GROWTH","FQ4 2018","FQ4 2018","Currency=INR","Period=FQ","BEST_FPERIOD_OVERRIDE=FQ","FILING_STATUS=OR","EQY_CONSOLIDATED=Y","Sort=A","Dates=H","DateFormat=P","Fill=—","Direction=H","UseDPDF=Y")</f>
        <v>#NAME?</v>
      </c>
      <c r="BR252" s="2" t="e">
        <f ca="1">_xll.BDH($C$228,"ACCOUNTS_PAYABLE_SEQ_GROWTH","FQ4 2018","FQ4 2018","Currency=INR","Period=FQ","BEST_FPERIOD_OVERRIDE=FQ","FILING_STATUS=OR","EQY_CONSOLIDATED=Y","Sort=A","Dates=H","DateFormat=P","Fill=—","Direction=H","UseDPDF=Y")</f>
        <v>#NAME?</v>
      </c>
      <c r="BS252" s="2" t="e">
        <f ca="1">_xll.BDH($C$228,"ST_DEBT_SEQUENTIAL_GROWTH","FQ4 2018","FQ4 2018","Currency=INR","Period=FQ","BEST_FPERIOD_OVERRIDE=FQ","FILING_STATUS=OR","EQY_CONSOLIDATED=Y","Sort=A","Dates=H","DateFormat=P","Fill=—","Direction=H","UseDPDF=Y")</f>
        <v>#NAME?</v>
      </c>
      <c r="BT252" s="2" t="e">
        <f ca="1">_xll.BDH($C$228,"TOTAL_DEBT_SEQUENTIAL_GROWTH","FQ4 2018","FQ4 2018","Currency=INR","Period=FQ","BEST_FPERIOD_OVERRIDE=FQ","FILING_STATUS=OR","EQY_CONSOLIDATED=Y","Sort=A","Dates=H","DateFormat=P","Fill=—","Direction=H","UseDPDF=Y")</f>
        <v>#NAME?</v>
      </c>
      <c r="BU252" s="2" t="e">
        <f ca="1">_xll.BDH($C$228,"TOTAL_EQUITY_SEQUENTIAL_GROWTH","FQ4 2018","FQ4 2018","Currency=INR","Period=FQ","BEST_FPERIOD_OVERRIDE=FQ","FILING_STATUS=OR","EQY_CONSOLIDATED=Y","Sort=A","Dates=H","DateFormat=P","Fill=—","Direction=H","UseDPDF=Y")</f>
        <v>#NAME?</v>
      </c>
      <c r="BV252" s="2" t="e">
        <f ca="1">_xll.BDH($C$228,"TOTAL_CAPITAL_SEQUENTIAL_GROWTH","FQ4 2018","FQ4 2018","Currency=INR","Period=FQ","BEST_FPERIOD_OVERRIDE=FQ","FILING_STATUS=OR","EQY_CONSOLIDATED=Y","Sort=A","Dates=H","DateFormat=P","Fill=—","Direction=H","UseDPDF=Y")</f>
        <v>#NAME?</v>
      </c>
      <c r="BW252" s="2" t="e">
        <f ca="1">_xll.BDH($C$228,"BPS_SEQUENTIAL_GROWTH","FQ4 2018","FQ4 2018","Currency=INR","Period=FQ","BEST_FPERIOD_OVERRIDE=FQ","FILING_STATUS=OR","EQY_CONSOLIDATED=Y","Sort=A","Dates=H","DateFormat=P","Fill=—","Direction=H","UseDPDF=Y")</f>
        <v>#NAME?</v>
      </c>
      <c r="BX252" s="2" t="e">
        <f ca="1">_xll.BDH($C$228,"CFO_SEQUENTIAL_GROWTH","FQ4 2018","FQ4 2018","Currency=INR","Period=FQ","BEST_FPERIOD_OVERRIDE=FQ","FILING_STATUS=OR","EQY_CONSOLIDATED=Y","Sort=A","Dates=H","DateFormat=P","Fill=—","Direction=H","UseDPDF=Y")</f>
        <v>#NAME?</v>
      </c>
      <c r="BY252" s="3" t="e">
        <f ca="1">_xll.BDH($C$228,"SHORT_AND_LONG_TERM_DEBT","FQ4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252" s="3" t="e">
        <f ca="1">_xll.BDH($C$228,"BS_ST_BORROW","FQ4 2018","FQ4 2018","Currency=INR","Period=FQ","BEST_FPERIOD_OVERRIDE=FQ","FILING_STATUS=OR","EQY_CONSOLIDATED=Y","SCALING_FORMAT=MLN","Sort=A","Dates=H","DateFormat=P","Fill=—","Direction=H","UseDPDF=Y")</f>
        <v>#NAME?</v>
      </c>
      <c r="CA252" s="3" t="e">
        <f ca="1">_xll.BDH($C$228,"BS_LT_BORROW","FQ4 2018","FQ4 2018","Currency=INR","Period=FQ","BEST_FPERIOD_OVERRIDE=FQ","FILING_STATUS=OR","EQY_CONSOLIDATED=Y","SCALING_FORMAT=MLN","Sort=A","Dates=H","DateFormat=P","Fill=—","Direction=H","UseDPDF=Y")</f>
        <v>#NAME?</v>
      </c>
      <c r="CB252" s="2" t="e">
        <f ca="1">_xll.BDH($C$228,"TOT_DEBT_TO_EBITDA","FQ4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252" s="2" t="e">
        <f ca="1">_xll.BDH($C$228,"NET_DEBT_TO_EBITDA","FQ4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252" s="2" t="e">
        <f ca="1">_xll.BDH($C$228,"TOTAL_DEBT_TO_EBIT","FQ4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252" s="2" t="e">
        <f ca="1">_xll.BDH($C$228,"NET_DEBT_TO_EBIT","FQ4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252" s="2" t="e">
        <f ca="1">_xll.BDH($C$228,"EBITDA_TO_INTEREST_EXPN","FQ4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252" s="2" t="e">
        <f ca="1">_xll.BDH($C$228,"COM_EQY_TO_TOT_ASSET","FQ4 2018","FQ4 2018","Currency=INR","Period=FQ","BEST_FPERIOD_OVERRIDE=FQ","FILING_STATUS=OR","EQY_CONSOLIDATED=Y","Sort=A","Dates=H","DateFormat=P","Fill=—","Direction=H","UseDPDF=Y")</f>
        <v>#NAME?</v>
      </c>
      <c r="CH252" s="2" t="e">
        <f ca="1">_xll.BDH($C$228,"LT_DEBT_TO_TOT_EQY","FQ4 2018","FQ4 2018","Currency=INR","Period=FQ","BEST_FPERIOD_OVERRIDE=FQ","FILING_STATUS=OR","EQY_CONSOLIDATED=Y","Sort=A","Dates=H","DateFormat=P","Fill=—","Direction=H","UseDPDF=Y")</f>
        <v>#NAME?</v>
      </c>
      <c r="CI252" s="2" t="e">
        <f ca="1">_xll.BDH($C$228,"LT_DEBT_TO_TOT_CAP","FQ4 2018","FQ4 2018","Currency=INR","Period=FQ","BEST_FPERIOD_OVERRIDE=FQ","FILING_STATUS=OR","EQY_CONSOLIDATED=Y","Sort=A","Dates=H","DateFormat=P","Fill=—","Direction=H","UseDPDF=Y")</f>
        <v>#NAME?</v>
      </c>
      <c r="CJ252" s="2" t="e">
        <f ca="1">_xll.BDH($C$228,"LT_DEBT_TO_TOT_ASSET","FQ4 2018","FQ4 2018","Currency=INR","Period=FQ","BEST_FPERIOD_OVERRIDE=FQ","FILING_STATUS=OR","EQY_CONSOLIDATED=Y","Sort=A","Dates=H","DateFormat=P","Fill=—","Direction=H","UseDPDF=Y")</f>
        <v>#NAME?</v>
      </c>
      <c r="CK252" s="2" t="e">
        <f ca="1">_xll.BDH($C$228,"TOT_DEBT_TO_TOT_EQY","FQ4 2018","FQ4 2018","Currency=INR","Period=FQ","BEST_FPERIOD_OVERRIDE=FQ","FILING_STATUS=OR","EQY_CONSOLIDATED=Y","Sort=A","Dates=H","DateFormat=P","Fill=—","Direction=H","UseDPDF=Y")</f>
        <v>#NAME?</v>
      </c>
      <c r="CL252" s="2" t="e">
        <f ca="1">_xll.BDH($C$228,"TOT_DEBT_TO_TOT_CAP","FQ4 2018","FQ4 2018","Currency=INR","Period=FQ","BEST_FPERIOD_OVERRIDE=FQ","FILING_STATUS=OR","EQY_CONSOLIDATED=Y","Sort=A","Dates=H","DateFormat=P","Fill=—","Direction=H","UseDPDF=Y")</f>
        <v>#NAME?</v>
      </c>
      <c r="CM252" s="2" t="e">
        <f ca="1">_xll.BDH($C$228,"TOT_DEBT_TO_TOT_ASSET","FQ4 2018","FQ4 2018","Currency=INR","Period=FQ","BEST_FPERIOD_OVERRIDE=FQ","FILING_STATUS=OR","EQY_CONSOLIDATED=Y","Sort=A","Dates=H","DateFormat=P","Fill=—","Direction=H","UseDPDF=Y")</f>
        <v>#NAME?</v>
      </c>
      <c r="CN252" s="2" t="e">
        <f ca="1">_xll.BDH($C$228,"NET_DEBT_TO_SHRHLDR_EQTY","FQ4 2018","FQ4 2018","Currency=INR","Period=FQ","BEST_FPERIOD_OVERRIDE=FQ","FILING_STATUS=OR","EQY_CONSOLIDATED=Y","Sort=A","Dates=H","DateFormat=P","Fill=—","Direction=H","UseDPDF=Y")</f>
        <v>#NAME?</v>
      </c>
      <c r="CO252" s="2" t="e">
        <f ca="1">_xll.BDH($C$228,"NET_DEBT_%_CAPITAL","FQ4 2018","FQ4 2018","Currency=INR","Period=FQ","BEST_FPERIOD_OVERRIDE=FQ","FILING_STATUS=OR","EQY_CONSOLIDATED=Y","Sort=A","Dates=H","DateFormat=P","Fill=—","Direction=H","UseDPDF=Y")</f>
        <v>#NAME?</v>
      </c>
      <c r="CP252" s="3" t="e">
        <f ca="1">_xll.BDH($C$228,"EBITDA","FQ4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252" s="3" t="e">
        <f ca="1">_xll.BDH($C$228,"EBITDA_AFTER_CAPEX","FQ4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252" s="3" t="e">
        <f ca="1">_xll.BDH($C$228,"IS_OPER_INC","FQ4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252" s="2" t="e">
        <f ca="1">_xll.BDH($C$228,"CASH_RATIO","FQ4 2018","FQ4 2018","Currency=INR","Period=FQ","BEST_FPERIOD_OVERRIDE=FQ","FILING_STATUS=OR","EQY_CONSOLIDATED=Y","Sort=A","Dates=H","DateFormat=P","Fill=—","Direction=H","UseDPDF=Y")</f>
        <v>#NAME?</v>
      </c>
      <c r="CT252" s="2" t="e">
        <f ca="1">_xll.BDH($C$228,"CUR_RATIO","FQ4 2018","FQ4 2018","Currency=INR","Period=FQ","BEST_FPERIOD_OVERRIDE=FQ","FILING_STATUS=OR","EQY_CONSOLIDATED=Y","Sort=A","Dates=H","DateFormat=P","Fill=—","Direction=H","UseDPDF=Y")</f>
        <v>#NAME?</v>
      </c>
      <c r="CU252" s="2" t="e">
        <f ca="1">_xll.BDH($C$228,"QUICK_RATIO","FQ4 2018","FQ4 2018","Currency=INR","Period=FQ","BEST_FPERIOD_OVERRIDE=FQ","FILING_STATUS=OR","EQY_CONSOLIDATED=Y","Sort=A","Dates=H","DateFormat=P","Fill=—","Direction=H","UseDPDF=Y")</f>
        <v>#NAME?</v>
      </c>
      <c r="CV252" s="2" t="e">
        <f ca="1">_xll.BDH($C$228,"ALTMAN_Z_SCORE","FQ4 2018","FQ4 2018","Currency=INR","Period=FQ","BEST_FPERIOD_OVERRIDE=FQ","FILING_STATUS=OR","EQY_CONSOLIDATED=Y","Sort=A","Dates=H","DateFormat=P","Fill=—","Direction=H","UseDPDF=Y")</f>
        <v>#NAME?</v>
      </c>
      <c r="CW252" s="4" t="e">
        <f ca="1">_xll.BDH($C$228,"ACCT_RCV_TURN","FQ4 2018","FQ4 2018","Currency=INR","Period=FQ","BEST_FPERIOD_OVERRIDE=FQ","FILING_STATUS=OR","EQY_CONSOLIDATED=Y","FA_ADJUSTED=GAAP","Sort=A","Dates=H","DateFormat=P","Fill=—","Direction=H","UseDPDF=Y")</f>
        <v>#NAME?</v>
      </c>
      <c r="CX252" s="2" t="e">
        <f ca="1">_xll.BDH($C$228,"ACCT_RCV_DAYS","FQ4 2018","FQ4 2018","Currency=INR","Period=FQ","BEST_FPERIOD_OVERRIDE=FQ","FILING_STATUS=OR","EQY_CONSOLIDATED=Y","FA_ADJUSTED=GAAP","Sort=A","Dates=H","DateFormat=P","Fill=—","Direction=H","UseDPDF=Y")</f>
        <v>#NAME?</v>
      </c>
      <c r="CY252" s="4" t="e">
        <f ca="1">_xll.BDH($C$228,"INVENT_TURN","FQ4 2018","FQ4 2018","Currency=INR","Period=FQ","BEST_FPERIOD_OVERRIDE=FQ","FILING_STATUS=OR","EQY_CONSOLIDATED=Y","FA_ADJUSTED=GAAP","Sort=A","Dates=H","DateFormat=P","Fill=—","Direction=H","UseDPDF=Y")</f>
        <v>#NAME?</v>
      </c>
      <c r="CZ252" s="2" t="e">
        <f ca="1">_xll.BDH($C$228,"INVENT_DAYS","FQ4 2018","FQ4 2018","Currency=INR","Period=FQ","BEST_FPERIOD_OVERRIDE=FQ","FILING_STATUS=OR","EQY_CONSOLIDATED=Y","FA_ADJUSTED=GAAP","Sort=A","Dates=H","DateFormat=P","Fill=—","Direction=H","UseDPDF=Y")</f>
        <v>#NAME?</v>
      </c>
      <c r="DA252" s="4" t="e">
        <f ca="1">_xll.BDH($C$228,"ACCOUNTS_PAYABLE_TURNOVER","FQ4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252" s="2" t="e">
        <f ca="1">_xll.BDH($C$228,"ACCOUNTS_PAYABLE_TURNOVER_DAYS","FQ4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252" s="4" t="e">
        <f ca="1">_xll.BDH($C$228,"CASH_CONVERSION_CYCLE","FQ4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252" s="4" t="e">
        <f ca="1">_xll.BDH($C$228,"INV_TO_CASH_DAYS","FQ4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252" s="5" t="e">
        <f ca="1">_xll.BDH($C$228,"BS_INVENTORIES","FQ4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252" s="3" t="e">
        <f ca="1">_xll.BDH($C$228,"INVTRY_RAW_MATERIALS","FQ4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252" s="3" t="e">
        <f ca="1">_xll.BDH($C$228,"INVTRY_IN_PROGRESS","FQ4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252" s="3" t="e">
        <f ca="1">_xll.BDH($C$228,"INVTRY_FINISHED_GOODS","FQ4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252" s="3" t="e">
        <f ca="1">_xll.BDH($C$228,"BS_OTHER_INV","FQ4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253" spans="1:113" x14ac:dyDescent="0.3">
      <c r="A253" s="6">
        <v>11</v>
      </c>
      <c r="B253" s="6" t="s">
        <v>104</v>
      </c>
      <c r="C253" s="6" t="s">
        <v>105</v>
      </c>
      <c r="D253" s="6" t="s">
        <v>76</v>
      </c>
      <c r="E253" t="s">
        <v>77</v>
      </c>
      <c r="F253" t="e">
        <f ca="1">_xll.BDH($C$253,"RETURN_COM_EQY","FY 2014","FY 2014","Currency=INR","Period=FY","BEST_FPERIOD_OVERRIDE=FY","FILING_STATUS=OR","EQY_CONSOLIDATED=Y","FA_ADJUSTED=GAAP","Sort=A","Dates=H","DateFormat=P","Fill=—","Direction=H","UseDPDF=Y")</f>
        <v>#NAME?</v>
      </c>
      <c r="G253" t="e">
        <f ca="1">_xll.BDH($C$253,"RETURN_ON_ASSET","FY 2014","FY 2014","Currency=INR","Period=FY","BEST_FPERIOD_OVERRIDE=FY","FILING_STATUS=OR","EQY_CONSOLIDATED=Y","FA_ADJUSTED=GAAP","Sort=A","Dates=H","DateFormat=P","Fill=—","Direction=H","UseDPDF=Y")</f>
        <v>#NAME?</v>
      </c>
      <c r="H253" t="e">
        <f ca="1">_xll.BDH($C$253,"RETURN_ON_CAP","FY 2014","FY 2014","Currency=INR","Period=FY","BEST_FPERIOD_OVERRIDE=FY","FILING_STATUS=OR","EQY_CONSOLIDATED=Y","FA_ADJUSTED=GAAP","Sort=A","Dates=H","DateFormat=P","Fill=—","Direction=H","UseDPDF=Y")</f>
        <v>#NAME?</v>
      </c>
      <c r="I253" t="e">
        <f ca="1">_xll.BDH($C$253,"RETURN_ON_INV_CAPITAL","FY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253" t="e">
        <f ca="1">_xll.BDH($C$253,"EBITDA_TO_REVENUE","FY 2014","FY 2014","Currency=INR","Period=FY","BEST_FPERIOD_OVERRIDE=FY","FILING_STATUS=OR","EQY_CONSOLIDATED=Y","FA_ADJUSTED=GAAP","Sort=A","Dates=H","DateFormat=P","Fill=—","Direction=H","UseDPDF=Y")</f>
        <v>#NAME?</v>
      </c>
      <c r="K253" t="e">
        <f ca="1">_xll.BDH($C$253,"OPER_MARGIN","FY 2014","FY 2014","Currency=INR","Period=FY","BEST_FPERIOD_OVERRIDE=FY","FILING_STATUS=OR","EQY_CONSOLIDATED=Y","FA_ADJUSTED=GAAP","Sort=A","Dates=H","DateFormat=P","Fill=—","Direction=H","UseDPDF=Y")</f>
        <v>#NAME?</v>
      </c>
      <c r="L253" t="e">
        <f ca="1">_xll.BDH($C$253,"INCREMENTAL_OPERATING_MARGIN","FY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253" t="e">
        <f ca="1">_xll.BDH($C$253,"PRETAX_INC_TO_NET_SALES","FY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253" t="e">
        <f ca="1">_xll.BDH($C$253,"INC_BEF_XO_ITEMS_TO_NET_SALES","FY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253" t="e">
        <f ca="1">_xll.BDH($C$253,"PROF_MARGIN","FY 2014","FY 2014","Currency=INR","Period=FY","BEST_FPERIOD_OVERRIDE=FY","FILING_STATUS=OR","EQY_CONSOLIDATED=Y","FA_ADJUSTED=GAAP","Sort=A","Dates=H","DateFormat=P","Fill=—","Direction=H","UseDPDF=Y")</f>
        <v>#NAME?</v>
      </c>
      <c r="P253" t="e">
        <f ca="1">_xll.BDH($C$253,"NET_INCOME_TO_COMMON_MARGIN","FY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253" t="e">
        <f ca="1">_xll.BDH($C$253,"EFF_TAX_RATE","FY 2014","FY 2014","Currency=INR","Period=FY","BEST_FPERIOD_OVERRIDE=FY","FILING_STATUS=OR","EQY_CONSOLIDATED=Y","FA_ADJUSTED=GAAP","Sort=A","Dates=H","DateFormat=P","Fill=—","Direction=H","UseDPDF=Y")</f>
        <v>#NAME?</v>
      </c>
      <c r="R253" t="e">
        <f ca="1">_xll.BDH($C$253,"DVD_PAYOUT_RATIO","FY 2014","FY 2014","Currency=INR","Period=FY","BEST_FPERIOD_OVERRIDE=FY","FILING_STATUS=OR","EQY_CONSOLIDATED=Y","FA_ADJUSTED=GAAP","Sort=A","Dates=H","DateFormat=P","Fill=—","Direction=H","UseDPDF=Y")</f>
        <v>#NAME?</v>
      </c>
      <c r="S253" t="e">
        <f ca="1">_xll.BDH($C$253,"SUSTAIN_GROWTH_RT","FY 2014","FY 2014","Currency=INR","Period=FY","BEST_FPERIOD_OVERRIDE=FY","FILING_STATUS=OR","EQY_CONSOLIDATED=Y","FA_ADJUSTED=GAAP","Sort=A","Dates=H","DateFormat=P","Fill=—","Direction=H","UseDPDF=Y")</f>
        <v>#NAME?</v>
      </c>
      <c r="T253" s="2" t="e">
        <f ca="1">_xll.BDH($C$253,"SALES_GROWTH","FY 2014","FY 2014","Currency=INR","Period=FY","BEST_FPERIOD_OVERRIDE=FY","FILING_STATUS=OR","EQY_CONSOLIDATED=Y","FA_ADJUSTED=GAAP","Sort=A","Dates=H","DateFormat=P","Fill=—","Direction=H","UseDPDF=Y")</f>
        <v>#NAME?</v>
      </c>
      <c r="U253" s="2" t="e">
        <f ca="1">_xll.BDH($C$253,"EBITDA_GROWTH","FY 2014","FY 2014","Currency=INR","Period=FY","BEST_FPERIOD_OVERRIDE=FY","FILING_STATUS=OR","EQY_CONSOLIDATED=Y","FA_ADJUSTED=GAAP","Sort=A","Dates=H","DateFormat=P","Fill=—","Direction=H","UseDPDF=Y")</f>
        <v>#NAME?</v>
      </c>
      <c r="V253" s="2" t="e">
        <f ca="1">_xll.BDH($C$253,"OPER_INC_GROWTH","FY 2014","FY 2014","Currency=INR","Period=FY","BEST_FPERIOD_OVERRIDE=FY","FILING_STATUS=OR","EQY_CONSOLIDATED=Y","FA_ADJUSTED=GAAP","Sort=A","Dates=H","DateFormat=P","Fill=—","Direction=H","UseDPDF=Y")</f>
        <v>#NAME?</v>
      </c>
      <c r="W253" s="2" t="e">
        <f ca="1">_xll.BDH($C$253,"EARN_FOR_COM_GROWTH","FY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253" s="2" t="e">
        <f ca="1">_xll.BDH($C$253,"DILUTED_EPS_AFT_XO_ITEMS_GROWTH","FY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253" s="2" t="e">
        <f ca="1">_xll.BDH($C$253,"DIVIDEND_PER_SHARE_1_YEAR_GROWTH","FY 2014","FY 2014","Currency=INR","Period=FY","BEST_FPERIOD_OVERRIDE=FY","FILING_STATUS=OR","EQY_CONSOLIDATED=Y","Sort=A","Dates=H","DateFormat=P","Fill=—","Direction=H","UseDPDF=Y")</f>
        <v>#NAME?</v>
      </c>
      <c r="Z253" s="2" t="e">
        <f ca="1">_xll.BDH($C$253,"ACCOUNTS_RECEIVABLE_GROWTH","FY 2014","FY 2014","Currency=INR","Period=FY","BEST_FPERIOD_OVERRIDE=FY","FILING_STATUS=OR","EQY_CONSOLIDATED=Y","Sort=A","Dates=H","DateFormat=P","Fill=—","Direction=H","UseDPDF=Y")</f>
        <v>#NAME?</v>
      </c>
      <c r="AA253" s="2" t="e">
        <f ca="1">_xll.BDH($C$253,"INVENTORY_GROWTH","FY 2014","FY 2014","Currency=INR","Period=FY","BEST_FPERIOD_OVERRIDE=FY","FILING_STATUS=OR","EQY_CONSOLIDATED=Y","Sort=A","Dates=H","DateFormat=P","Fill=—","Direction=H","UseDPDF=Y")</f>
        <v>#NAME?</v>
      </c>
      <c r="AB253" s="2" t="e">
        <f ca="1">_xll.BDH($C$253,"NET_FIXED_ASSETS_1_YEAR_GROWTH","FY 2014","FY 2014","Currency=INR","Period=FY","BEST_FPERIOD_OVERRIDE=FY","FILING_STATUS=OR","EQY_CONSOLIDATED=Y","Sort=A","Dates=H","DateFormat=P","Fill=—","Direction=H","UseDPDF=Y")</f>
        <v>#NAME?</v>
      </c>
      <c r="AC253" s="2" t="e">
        <f ca="1">_xll.BDH($C$253,"ASSET_GROWTH","FY 2014","FY 2014","Currency=INR","Period=FY","BEST_FPERIOD_OVERRIDE=FY","FILING_STATUS=OR","EQY_CONSOLIDATED=Y","Sort=A","Dates=H","DateFormat=P","Fill=—","Direction=H","UseDPDF=Y")</f>
        <v>#NAME?</v>
      </c>
      <c r="AD253" s="2" t="e">
        <f ca="1">_xll.BDH($C$253,"MODIFIED_WORK_CAP_GROWTH","FY 2014","FY 2014","Currency=INR","Period=FY","BEST_FPERIOD_OVERRIDE=FY","FILING_STATUS=OR","EQY_CONSOLIDATED=Y","Sort=A","Dates=H","DateFormat=P","Fill=—","Direction=H","UseDPDF=Y")</f>
        <v>#NAME?</v>
      </c>
      <c r="AE253" s="2" t="e">
        <f ca="1">_xll.BDH($C$253,"WORK_CAP_GROWTH","FY 2014","FY 2014","Currency=INR","Period=FY","BEST_FPERIOD_OVERRIDE=FY","FILING_STATUS=OR","EQY_CONSOLIDATED=Y","Sort=A","Dates=H","DateFormat=P","Fill=—","Direction=H","UseDPDF=Y")</f>
        <v>#NAME?</v>
      </c>
      <c r="AF253" s="2" t="e">
        <f ca="1">_xll.BDH($C$253,"ACCOUNTS_PAYABLE_GROWTH_1YR","FY 2014","FY 2014","Currency=INR","Period=FY","BEST_FPERIOD_OVERRIDE=FY","FILING_STATUS=OR","EQY_CONSOLIDATED=Y","Sort=A","Dates=H","DateFormat=P","Fill=—","Direction=H","UseDPDF=Y")</f>
        <v>#NAME?</v>
      </c>
      <c r="AG253" s="2" t="e">
        <f ca="1">_xll.BDH($C$253,"SHORT_TERM_DEBT_1_YEAR_GROWTH","FY 2014","FY 2014","Currency=INR","Period=FY","BEST_FPERIOD_OVERRIDE=FY","FILING_STATUS=OR","EQY_CONSOLIDATED=Y","Sort=A","Dates=H","DateFormat=P","Fill=—","Direction=H","UseDPDF=Y")</f>
        <v>#NAME?</v>
      </c>
      <c r="AH253" s="2" t="e">
        <f ca="1">_xll.BDH($C$253,"TOTAL_DEBT_1_YEAR_GROWTH","FY 2014","FY 2014","Currency=INR","Period=FY","BEST_FPERIOD_OVERRIDE=FY","FILING_STATUS=OR","EQY_CONSOLIDATED=Y","Sort=A","Dates=H","DateFormat=P","Fill=—","Direction=H","UseDPDF=Y")</f>
        <v>#NAME?</v>
      </c>
      <c r="AI253" s="2" t="e">
        <f ca="1">_xll.BDH($C$253,"TOTAL_EQUITY_1_YEAR_GROWTH","FY 2014","FY 2014","Currency=INR","Period=FY","BEST_FPERIOD_OVERRIDE=FY","FILING_STATUS=OR","EQY_CONSOLIDATED=Y","Sort=A","Dates=H","DateFormat=P","Fill=—","Direction=H","UseDPDF=Y")</f>
        <v>#NAME?</v>
      </c>
      <c r="AJ253" s="2" t="e">
        <f ca="1">_xll.BDH($C$253,"GROWTH_IN_CAP","FY 2014","FY 2014","Currency=INR","Period=FY","BEST_FPERIOD_OVERRIDE=FY","FILING_STATUS=OR","EQY_CONSOLIDATED=Y","Sort=A","Dates=H","DateFormat=P","Fill=—","Direction=H","UseDPDF=Y")</f>
        <v>#NAME?</v>
      </c>
      <c r="AK253" s="2" t="e">
        <f ca="1">_xll.BDH($C$253,"BVPS_GROWTH","FY 2014","FY 2014","Currency=INR","Period=FY","BEST_FPERIOD_OVERRIDE=FY","FILING_STATUS=OR","EQY_CONSOLIDATED=Y","Sort=A","Dates=H","DateFormat=P","Fill=—","Direction=H","UseDPDF=Y")</f>
        <v>#NAME?</v>
      </c>
      <c r="AL253" s="2" t="e">
        <f ca="1">_xll.BDH($C$253,"CASH_FLOW_GROWTH","FY 2014","FY 2014","Currency=INR","Period=FY","BEST_FPERIOD_OVERRIDE=FY","FILING_STATUS=OR","EQY_CONSOLIDATED=Y","Sort=A","Dates=H","DateFormat=P","Fill=—","Direction=H","UseDPDF=Y")</f>
        <v>#NAME?</v>
      </c>
      <c r="AM253" s="2" t="e">
        <f ca="1">_xll.BDH($C$253,"GEO_GROW_NET_SALES","FY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253" s="2" t="e">
        <f ca="1">_xll.BDH($C$253,"GEO_GROW_EBITDA","FY 2014","FY 2014","Currency=INR","Period=FY","BEST_FPERIOD_OVERRIDE=FY","FILING_STATUS=OR","EQY_CONSOLIDATED=Y","FA_ADJUSTED=GAAP","Sort=A","Dates=H","DateFormat=P","Fill=—","Direction=H","UseDPDF=Y")</f>
        <v>#NAME?</v>
      </c>
      <c r="AO253" s="2" t="e">
        <f ca="1">_xll.BDH($C$253,"GEO_GROW_OPER_INC","FY 2014","FY 2014","Currency=INR","Period=FY","BEST_FPERIOD_OVERRIDE=FY","FILING_STATUS=OR","EQY_CONSOLIDATED=Y","FA_ADJUSTED=GAAP","Sort=A","Dates=H","DateFormat=P","Fill=—","Direction=H","UseDPDF=Y")</f>
        <v>#NAME?</v>
      </c>
      <c r="AP253" s="2" t="e">
        <f ca="1">_xll.BDH($C$253,"NET_INCOME_TO_COMMON_5_YR_GROWTH","FY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253" s="2" t="e">
        <f ca="1">_xll.BDH($C$253,"5Y_GEO_GROWTH_DILUTED_EPS","FY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253" s="2" t="e">
        <f ca="1">_xll.BDH($C$253,"GEO_GROW_DVD_PER_SH","FY 2014","FY 2014","Currency=INR","Period=FY","BEST_FPERIOD_OVERRIDE=FY","FILING_STATUS=OR","EQY_CONSOLIDATED=Y","Sort=A","Dates=H","DateFormat=P","Fill=—","Direction=H","UseDPDF=Y")</f>
        <v>#NAME?</v>
      </c>
      <c r="AS253" s="2" t="e">
        <f ca="1">_xll.BDH($C$253,"ACCOUNTS_RECEIVABLE_5_YR_GROWTH","FY 2014","FY 2014","Currency=INR","Period=FY","BEST_FPERIOD_OVERRIDE=FY","FILING_STATUS=OR","EQY_CONSOLIDATED=Y","Sort=A","Dates=H","DateFormat=P","Fill=—","Direction=H","UseDPDF=Y")</f>
        <v>#NAME?</v>
      </c>
      <c r="AT253" s="2" t="e">
        <f ca="1">_xll.BDH($C$253,"INVENTORY_5_YEAR_GROWTH","FY 2014","FY 2014","Currency=INR","Period=FY","BEST_FPERIOD_OVERRIDE=FY","FILING_STATUS=OR","EQY_CONSOLIDATED=Y","Sort=A","Dates=H","DateFormat=P","Fill=—","Direction=H","UseDPDF=Y")</f>
        <v>#NAME?</v>
      </c>
      <c r="AU253" s="2" t="e">
        <f ca="1">_xll.BDH($C$253,"NET_FIXED_ASSETS_5_YEAR_GROWTH","FY 2014","FY 2014","Currency=INR","Period=FY","BEST_FPERIOD_OVERRIDE=FY","FILING_STATUS=OR","EQY_CONSOLIDATED=Y","Sort=A","Dates=H","DateFormat=P","Fill=—","Direction=H","UseDPDF=Y")</f>
        <v>#NAME?</v>
      </c>
      <c r="AV253" s="2" t="e">
        <f ca="1">_xll.BDH($C$253,"GEO_GROW_TOT_ASSET","FY 2014","FY 2014","Currency=INR","Period=FY","BEST_FPERIOD_OVERRIDE=FY","FILING_STATUS=OR","EQY_CONSOLIDATED=Y","Sort=A","Dates=H","DateFormat=P","Fill=—","Direction=H","UseDPDF=Y")</f>
        <v>#NAME?</v>
      </c>
      <c r="AW253" s="2" t="e">
        <f ca="1">_xll.BDH($C$253,"MODIFIED_WORKING_CPTL_5YR_GRWTH","FY 2014","FY 2014","Currency=INR","Period=FY","BEST_FPERIOD_OVERRIDE=FY","FILING_STATUS=OR","EQY_CONSOLIDATED=Y","Sort=A","Dates=H","DateFormat=P","Fill=—","Direction=H","UseDPDF=Y")</f>
        <v>#NAME?</v>
      </c>
      <c r="AX253" s="2" t="e">
        <f ca="1">_xll.BDH($C$253,"WORKING_CAPITAL_5_YEAR_GROWTH","FY 2014","FY 2014","Currency=INR","Period=FY","BEST_FPERIOD_OVERRIDE=FY","FILING_STATUS=OR","EQY_CONSOLIDATED=Y","Sort=A","Dates=H","DateFormat=P","Fill=—","Direction=H","UseDPDF=Y")</f>
        <v>#NAME?</v>
      </c>
      <c r="AY253" s="2" t="e">
        <f ca="1">_xll.BDH($C$253,"ACCOUNTS_PAYABLE_5_YEAR_GROWTH","FY 2014","FY 2014","Currency=INR","Period=FY","BEST_FPERIOD_OVERRIDE=FY","FILING_STATUS=OR","EQY_CONSOLIDATED=Y","Sort=A","Dates=H","DateFormat=P","Fill=—","Direction=H","UseDPDF=Y")</f>
        <v>#NAME?</v>
      </c>
      <c r="AZ253" s="2" t="e">
        <f ca="1">_xll.BDH($C$253,"SHORT_TERM_DEBT_5_YEAR_GROWTH","FY 2014","FY 2014","Currency=INR","Period=FY","BEST_FPERIOD_OVERRIDE=FY","FILING_STATUS=OR","EQY_CONSOLIDATED=Y","Sort=A","Dates=H","DateFormat=P","Fill=—","Direction=H","UseDPDF=Y")</f>
        <v>#NAME?</v>
      </c>
      <c r="BA253" s="2" t="e">
        <f ca="1">_xll.BDH($C$253,"TOTAL_DEBT_5_YEAR_GROWTH","FY 2014","FY 2014","Currency=INR","Period=FY","BEST_FPERIOD_OVERRIDE=FY","FILING_STATUS=OR","EQY_CONSOLIDATED=Y","Sort=A","Dates=H","DateFormat=P","Fill=—","Direction=H","UseDPDF=Y")</f>
        <v>#NAME?</v>
      </c>
      <c r="BB253" s="2" t="e">
        <f ca="1">_xll.BDH($C$253,"GEO_GROW_TOT_SHRHLDR_EQY","FY 2014","FY 2014","Currency=INR","Period=FY","BEST_FPERIOD_OVERRIDE=FY","FILING_STATUS=OR","EQY_CONSOLIDATED=Y","Sort=A","Dates=H","DateFormat=P","Fill=—","Direction=H","UseDPDF=Y")</f>
        <v>#NAME?</v>
      </c>
      <c r="BC253" s="2" t="e">
        <f ca="1">_xll.BDH($C$253,"TOTAL_CAPITAL_5_YEAR_GROWTH","FY 2014","FY 2014","Currency=INR","Period=FY","BEST_FPERIOD_OVERRIDE=FY","FILING_STATUS=OR","EQY_CONSOLIDATED=Y","Sort=A","Dates=H","DateFormat=P","Fill=—","Direction=H","UseDPDF=Y")</f>
        <v>#NAME?</v>
      </c>
      <c r="BD253" s="2" t="e">
        <f ca="1">_xll.BDH($C$253,"GEO_GROW_BOOK_VAL","FY 2014","FY 2014","Currency=INR","Period=FY","BEST_FPERIOD_OVERRIDE=FY","FILING_STATUS=OR","EQY_CONSOLIDATED=Y","Sort=A","Dates=H","DateFormat=P","Fill=—","Direction=H","UseDPDF=Y")</f>
        <v>#NAME?</v>
      </c>
      <c r="BE253" s="2" t="e">
        <f ca="1">_xll.BDH($C$253,"GEO_GROW_CASH_OPER_ACT","FY 2014","FY 2014","Currency=INR","Period=FY","BEST_FPERIOD_OVERRIDE=FY","FILING_STATUS=OR","EQY_CONSOLIDATED=Y","Sort=A","Dates=H","DateFormat=P","Fill=—","Direction=H","UseDPDF=Y")</f>
        <v>#NAME?</v>
      </c>
      <c r="BF253" s="2" t="e">
        <f ca="1">_xll.BDH($C$253,"REVENUE_SEQUENTIAL_GROWTH","FY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253" s="2" t="e">
        <f ca="1">_xll.BDH($C$253,"EBITDA_SEQUENTIAL_GROWTH","FY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253" s="2" t="e">
        <f ca="1">_xll.BDH($C$253,"OPERATING_INCOME_SEQ_GROWTH","FY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253" s="2" t="e">
        <f ca="1">_xll.BDH($C$253,"NET_INCOME_TO_COMMON_SEQ_GROWTH","FY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253" s="2" t="e">
        <f ca="1">_xll.BDH($C$253,"EPS_DILUTED_SEQUENTIAL_GROWTH","FY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253" s="2" t="e">
        <f ca="1">_xll.BDH($C$253,"DPS_SEQUENTIAL_GROWTH","FY 2014","FY 2014","Currency=INR","Period=FY","BEST_FPERIOD_OVERRIDE=FY","FILING_STATUS=OR","EQY_CONSOLIDATED=Y","Sort=A","Dates=H","DateFormat=P","Fill=—","Direction=H","UseDPDF=Y")</f>
        <v>#NAME?</v>
      </c>
      <c r="BL253" s="2" t="e">
        <f ca="1">_xll.BDH($C$253,"ACCOUNTS_RECEIVABLE_SEQ_GROWTH","FY 2014","FY 2014","Currency=INR","Period=FY","BEST_FPERIOD_OVERRIDE=FY","FILING_STATUS=OR","EQY_CONSOLIDATED=Y","Sort=A","Dates=H","DateFormat=P","Fill=—","Direction=H","UseDPDF=Y")</f>
        <v>#NAME?</v>
      </c>
      <c r="BM253" s="2" t="e">
        <f ca="1">_xll.BDH($C$253,"INVENTORY_SEQUENTIAL_GROWTH","FY 2014","FY 2014","Currency=INR","Period=FY","BEST_FPERIOD_OVERRIDE=FY","FILING_STATUS=OR","EQY_CONSOLIDATED=Y","Sort=A","Dates=H","DateFormat=P","Fill=—","Direction=H","UseDPDF=Y")</f>
        <v>#NAME?</v>
      </c>
      <c r="BN253" s="2" t="e">
        <f ca="1">_xll.BDH($C$253,"FIXED_ASSETS_SEQUENTIAL_GROWTH","FY 2014","FY 2014","Currency=INR","Period=FY","BEST_FPERIOD_OVERRIDE=FY","FILING_STATUS=OR","EQY_CONSOLIDATED=Y","Sort=A","Dates=H","DateFormat=P","Fill=—","Direction=H","UseDPDF=Y")</f>
        <v>#NAME?</v>
      </c>
      <c r="BO253" s="2" t="e">
        <f ca="1">_xll.BDH($C$253,"TOTAL_ASSETS_SEQUENTIAL_GROWTH","FY 2014","FY 2014","Currency=INR","Period=FY","BEST_FPERIOD_OVERRIDE=FY","FILING_STATUS=OR","EQY_CONSOLIDATED=Y","Sort=A","Dates=H","DateFormat=P","Fill=—","Direction=H","UseDPDF=Y")</f>
        <v>#NAME?</v>
      </c>
      <c r="BP253" s="2" t="e">
        <f ca="1">_xll.BDH($C$253,"MODIFIED_WORKING_CPTL_SEQ_GRWTH","FY 2014","FY 2014","Currency=INR","Period=FY","BEST_FPERIOD_OVERRIDE=FY","FILING_STATUS=OR","EQY_CONSOLIDATED=Y","Sort=A","Dates=H","DateFormat=P","Fill=—","Direction=H","UseDPDF=Y")</f>
        <v>#NAME?</v>
      </c>
      <c r="BQ253" s="2" t="e">
        <f ca="1">_xll.BDH($C$253,"WORKING_CAPITAL_SEQ_GROWTH","FY 2014","FY 2014","Currency=INR","Period=FY","BEST_FPERIOD_OVERRIDE=FY","FILING_STATUS=OR","EQY_CONSOLIDATED=Y","Sort=A","Dates=H","DateFormat=P","Fill=—","Direction=H","UseDPDF=Y")</f>
        <v>#NAME?</v>
      </c>
      <c r="BR253" s="2" t="e">
        <f ca="1">_xll.BDH($C$253,"ACCOUNTS_PAYABLE_SEQ_GROWTH","FY 2014","FY 2014","Currency=INR","Period=FY","BEST_FPERIOD_OVERRIDE=FY","FILING_STATUS=OR","EQY_CONSOLIDATED=Y","Sort=A","Dates=H","DateFormat=P","Fill=—","Direction=H","UseDPDF=Y")</f>
        <v>#NAME?</v>
      </c>
      <c r="BS253" s="2" t="e">
        <f ca="1">_xll.BDH($C$253,"ST_DEBT_SEQUENTIAL_GROWTH","FY 2014","FY 2014","Currency=INR","Period=FY","BEST_FPERIOD_OVERRIDE=FY","FILING_STATUS=OR","EQY_CONSOLIDATED=Y","Sort=A","Dates=H","DateFormat=P","Fill=—","Direction=H","UseDPDF=Y")</f>
        <v>#NAME?</v>
      </c>
      <c r="BT253" s="2" t="e">
        <f ca="1">_xll.BDH($C$253,"TOTAL_DEBT_SEQUENTIAL_GROWTH","FY 2014","FY 2014","Currency=INR","Period=FY","BEST_FPERIOD_OVERRIDE=FY","FILING_STATUS=OR","EQY_CONSOLIDATED=Y","Sort=A","Dates=H","DateFormat=P","Fill=—","Direction=H","UseDPDF=Y")</f>
        <v>#NAME?</v>
      </c>
      <c r="BU253" s="2" t="e">
        <f ca="1">_xll.BDH($C$253,"TOTAL_EQUITY_SEQUENTIAL_GROWTH","FY 2014","FY 2014","Currency=INR","Period=FY","BEST_FPERIOD_OVERRIDE=FY","FILING_STATUS=OR","EQY_CONSOLIDATED=Y","Sort=A","Dates=H","DateFormat=P","Fill=—","Direction=H","UseDPDF=Y")</f>
        <v>#NAME?</v>
      </c>
      <c r="BV253" s="2" t="e">
        <f ca="1">_xll.BDH($C$253,"TOTAL_CAPITAL_SEQUENTIAL_GROWTH","FY 2014","FY 2014","Currency=INR","Period=FY","BEST_FPERIOD_OVERRIDE=FY","FILING_STATUS=OR","EQY_CONSOLIDATED=Y","Sort=A","Dates=H","DateFormat=P","Fill=—","Direction=H","UseDPDF=Y")</f>
        <v>#NAME?</v>
      </c>
      <c r="BW253" s="2" t="e">
        <f ca="1">_xll.BDH($C$253,"BPS_SEQUENTIAL_GROWTH","FY 2014","FY 2014","Currency=INR","Period=FY","BEST_FPERIOD_OVERRIDE=FY","FILING_STATUS=OR","EQY_CONSOLIDATED=Y","Sort=A","Dates=H","DateFormat=P","Fill=—","Direction=H","UseDPDF=Y")</f>
        <v>#NAME?</v>
      </c>
      <c r="BX253" s="2" t="e">
        <f ca="1">_xll.BDH($C$253,"CFO_SEQUENTIAL_GROWTH","FY 2014","FY 2014","Currency=INR","Period=FY","BEST_FPERIOD_OVERRIDE=FY","FILING_STATUS=OR","EQY_CONSOLIDATED=Y","Sort=A","Dates=H","DateFormat=P","Fill=—","Direction=H","UseDPDF=Y")</f>
        <v>#NAME?</v>
      </c>
      <c r="BY253" s="3" t="e">
        <f ca="1">_xll.BDH($C$253,"SHORT_AND_LONG_TERM_DEBT","FY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253" s="3" t="e">
        <f ca="1">_xll.BDH($C$253,"BS_ST_BORROW","FY 2014","FY 2014","Currency=INR","Period=FY","BEST_FPERIOD_OVERRIDE=FY","FILING_STATUS=OR","EQY_CONSOLIDATED=Y","SCALING_FORMAT=MLN","Sort=A","Dates=H","DateFormat=P","Fill=—","Direction=H","UseDPDF=Y")</f>
        <v>#NAME?</v>
      </c>
      <c r="CA253" s="3" t="e">
        <f ca="1">_xll.BDH($C$253,"BS_LT_BORROW","FY 2014","FY 2014","Currency=INR","Period=FY","BEST_FPERIOD_OVERRIDE=FY","FILING_STATUS=OR","EQY_CONSOLIDATED=Y","SCALING_FORMAT=MLN","Sort=A","Dates=H","DateFormat=P","Fill=—","Direction=H","UseDPDF=Y")</f>
        <v>#NAME?</v>
      </c>
      <c r="CB253" s="2" t="e">
        <f ca="1">_xll.BDH($C$253,"TOT_DEBT_TO_EBITDA","FY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253" s="2" t="e">
        <f ca="1">_xll.BDH($C$253,"NET_DEBT_TO_EBITDA","FY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253" s="2" t="e">
        <f ca="1">_xll.BDH($C$253,"TOTAL_DEBT_TO_EBIT","FY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253" s="2" t="e">
        <f ca="1">_xll.BDH($C$253,"NET_DEBT_TO_EBIT","FY 2014","FY 2014","Currency=INR","Period=FY","BEST_FPERIOD_OVERRIDE=FY","FILING_STATUS=OR","EQY_CONSOLIDATED=Y","FA_ADJUSTED=GAAP","Sort=A","Dates=H","DateFormat=P","Fill=—","Direction=H","UseDPDF=Y")</f>
        <v>#NAME?</v>
      </c>
      <c r="CF253" s="2" t="e">
        <f ca="1">_xll.BDH($C$253,"EBITDA_TO_INTEREST_EXPN","FY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253" s="2" t="e">
        <f ca="1">_xll.BDH($C$253,"COM_EQY_TO_TOT_ASSET","FY 2014","FY 2014","Currency=INR","Period=FY","BEST_FPERIOD_OVERRIDE=FY","FILING_STATUS=OR","EQY_CONSOLIDATED=Y","Sort=A","Dates=H","DateFormat=P","Fill=—","Direction=H","UseDPDF=Y")</f>
        <v>#NAME?</v>
      </c>
      <c r="CH253" s="2" t="e">
        <f ca="1">_xll.BDH($C$253,"LT_DEBT_TO_TOT_EQY","FY 2014","FY 2014","Currency=INR","Period=FY","BEST_FPERIOD_OVERRIDE=FY","FILING_STATUS=OR","EQY_CONSOLIDATED=Y","Sort=A","Dates=H","DateFormat=P","Fill=—","Direction=H","UseDPDF=Y")</f>
        <v>#NAME?</v>
      </c>
      <c r="CI253" s="2" t="e">
        <f ca="1">_xll.BDH($C$253,"LT_DEBT_TO_TOT_CAP","FY 2014","FY 2014","Currency=INR","Period=FY","BEST_FPERIOD_OVERRIDE=FY","FILING_STATUS=OR","EQY_CONSOLIDATED=Y","Sort=A","Dates=H","DateFormat=P","Fill=—","Direction=H","UseDPDF=Y")</f>
        <v>#NAME?</v>
      </c>
      <c r="CJ253" s="2" t="e">
        <f ca="1">_xll.BDH($C$253,"LT_DEBT_TO_TOT_ASSET","FY 2014","FY 2014","Currency=INR","Period=FY","BEST_FPERIOD_OVERRIDE=FY","FILING_STATUS=OR","EQY_CONSOLIDATED=Y","Sort=A","Dates=H","DateFormat=P","Fill=—","Direction=H","UseDPDF=Y")</f>
        <v>#NAME?</v>
      </c>
      <c r="CK253" s="2" t="e">
        <f ca="1">_xll.BDH($C$253,"TOT_DEBT_TO_TOT_EQY","FY 2014","FY 2014","Currency=INR","Period=FY","BEST_FPERIOD_OVERRIDE=FY","FILING_STATUS=OR","EQY_CONSOLIDATED=Y","Sort=A","Dates=H","DateFormat=P","Fill=—","Direction=H","UseDPDF=Y")</f>
        <v>#NAME?</v>
      </c>
      <c r="CL253" s="2" t="e">
        <f ca="1">_xll.BDH($C$253,"TOT_DEBT_TO_TOT_CAP","FY 2014","FY 2014","Currency=INR","Period=FY","BEST_FPERIOD_OVERRIDE=FY","FILING_STATUS=OR","EQY_CONSOLIDATED=Y","Sort=A","Dates=H","DateFormat=P","Fill=—","Direction=H","UseDPDF=Y")</f>
        <v>#NAME?</v>
      </c>
      <c r="CM253" s="2" t="e">
        <f ca="1">_xll.BDH($C$253,"TOT_DEBT_TO_TOT_ASSET","FY 2014","FY 2014","Currency=INR","Period=FY","BEST_FPERIOD_OVERRIDE=FY","FILING_STATUS=OR","EQY_CONSOLIDATED=Y","Sort=A","Dates=H","DateFormat=P","Fill=—","Direction=H","UseDPDF=Y")</f>
        <v>#NAME?</v>
      </c>
      <c r="CN253" s="2" t="e">
        <f ca="1">_xll.BDH($C$253,"NET_DEBT_TO_SHRHLDR_EQTY","FY 2014","FY 2014","Currency=INR","Period=FY","BEST_FPERIOD_OVERRIDE=FY","FILING_STATUS=OR","EQY_CONSOLIDATED=Y","Sort=A","Dates=H","DateFormat=P","Fill=—","Direction=H","UseDPDF=Y")</f>
        <v>#NAME?</v>
      </c>
      <c r="CO253" s="2" t="e">
        <f ca="1">_xll.BDH($C$253,"NET_DEBT_%_CAPITAL","FY 2014","FY 2014","Currency=INR","Period=FY","BEST_FPERIOD_OVERRIDE=FY","FILING_STATUS=OR","EQY_CONSOLIDATED=Y","Sort=A","Dates=H","DateFormat=P","Fill=—","Direction=H","UseDPDF=Y")</f>
        <v>#NAME?</v>
      </c>
      <c r="CP253" s="3" t="e">
        <f ca="1">_xll.BDH($C$253,"EBITDA","FY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253" s="3" t="e">
        <f ca="1">_xll.BDH($C$253,"EBITDA_AFTER_CAPEX","FY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253" s="3" t="e">
        <f ca="1">_xll.BDH($C$253,"IS_OPER_INC","FY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253" s="2" t="e">
        <f ca="1">_xll.BDH($C$253,"CASH_RATIO","FY 2014","FY 2014","Currency=INR","Period=FY","BEST_FPERIOD_OVERRIDE=FY","FILING_STATUS=OR","EQY_CONSOLIDATED=Y","Sort=A","Dates=H","DateFormat=P","Fill=—","Direction=H","UseDPDF=Y")</f>
        <v>#NAME?</v>
      </c>
      <c r="CT253" s="2" t="e">
        <f ca="1">_xll.BDH($C$253,"CUR_RATIO","FY 2014","FY 2014","Currency=INR","Period=FY","BEST_FPERIOD_OVERRIDE=FY","FILING_STATUS=OR","EQY_CONSOLIDATED=Y","Sort=A","Dates=H","DateFormat=P","Fill=—","Direction=H","UseDPDF=Y")</f>
        <v>#NAME?</v>
      </c>
      <c r="CU253" s="2" t="e">
        <f ca="1">_xll.BDH($C$253,"QUICK_RATIO","FY 2014","FY 2014","Currency=INR","Period=FY","BEST_FPERIOD_OVERRIDE=FY","FILING_STATUS=OR","EQY_CONSOLIDATED=Y","Sort=A","Dates=H","DateFormat=P","Fill=—","Direction=H","UseDPDF=Y")</f>
        <v>#NAME?</v>
      </c>
      <c r="CV253" s="2" t="e">
        <f ca="1">_xll.BDH($C$253,"ALTMAN_Z_SCORE","FY 2014","FY 2014","Currency=INR","Period=FY","BEST_FPERIOD_OVERRIDE=FY","FILING_STATUS=OR","EQY_CONSOLIDATED=Y","Sort=A","Dates=H","DateFormat=P","Fill=—","Direction=H","UseDPDF=Y")</f>
        <v>#NAME?</v>
      </c>
      <c r="CW253" s="4" t="e">
        <f ca="1">_xll.BDH($C$253,"ACCT_RCV_TURN","FY 2014","FY 2014","Currency=INR","Period=FY","BEST_FPERIOD_OVERRIDE=FY","FILING_STATUS=OR","EQY_CONSOLIDATED=Y","FA_ADJUSTED=GAAP","Sort=A","Dates=H","DateFormat=P","Fill=—","Direction=H","UseDPDF=Y")</f>
        <v>#NAME?</v>
      </c>
      <c r="CX253" s="2" t="e">
        <f ca="1">_xll.BDH($C$253,"ACCT_RCV_DAYS","FY 2014","FY 2014","Currency=INR","Period=FY","BEST_FPERIOD_OVERRIDE=FY","FILING_STATUS=OR","EQY_CONSOLIDATED=Y","FA_ADJUSTED=GAAP","Sort=A","Dates=H","DateFormat=P","Fill=—","Direction=H","UseDPDF=Y")</f>
        <v>#NAME?</v>
      </c>
      <c r="CY253" s="4" t="e">
        <f ca="1">_xll.BDH($C$253,"INVENT_TURN","FY 2014","FY 2014","Currency=INR","Period=FY","BEST_FPERIOD_OVERRIDE=FY","FILING_STATUS=OR","EQY_CONSOLIDATED=Y","FA_ADJUSTED=GAAP","Sort=A","Dates=H","DateFormat=P","Fill=—","Direction=H","UseDPDF=Y")</f>
        <v>#NAME?</v>
      </c>
      <c r="CZ253" s="2" t="e">
        <f ca="1">_xll.BDH($C$253,"INVENT_DAYS","FY 2014","FY 2014","Currency=INR","Period=FY","BEST_FPERIOD_OVERRIDE=FY","FILING_STATUS=OR","EQY_CONSOLIDATED=Y","FA_ADJUSTED=GAAP","Sort=A","Dates=H","DateFormat=P","Fill=—","Direction=H","UseDPDF=Y")</f>
        <v>#NAME?</v>
      </c>
      <c r="DA253" s="4" t="e">
        <f ca="1">_xll.BDH($C$253,"ACCOUNTS_PAYABLE_TURNOVER","FY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253" s="2" t="e">
        <f ca="1">_xll.BDH($C$253,"ACCOUNTS_PAYABLE_TURNOVER_DAYS","FY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253" s="4" t="e">
        <f ca="1">_xll.BDH($C$253,"CASH_CONVERSION_CYCLE","FY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253" s="4" t="e">
        <f ca="1">_xll.BDH($C$253,"INV_TO_CASH_DAYS","FY 2014","FY 2014","Currency=INR","Period=FY","BEST_FPERIOD_OVERRIDE=FY","FILING_STATUS=OR","EQY_CONSOLIDATED=Y","FA_ADJUSTED=GAAP","Sort=A","Dates=H","DateFormat=P","Fill=—","Direction=H","UseDPDF=Y")</f>
        <v>#NAME?</v>
      </c>
      <c r="DE253" s="5" t="e">
        <f ca="1">_xll.BDH($C$253,"BS_INVENTORIES","FY 2014","FY 2014","Currency=INR","Period=FY","BEST_FPERIOD_OVERRIDE=FY","FILING_STATUS=OR","EQY_CONSOLIDATED=Y","SCALING_FORMAT=MLN","Sort=A","Dates=H","DateFormat=P","Fill=—","Direction=H","UseDPDF=Y")</f>
        <v>#NAME?</v>
      </c>
      <c r="DF253" s="3" t="e">
        <f ca="1">_xll.BDH($C$253,"INVTRY_RAW_MATERIALS","FY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253" s="3" t="e">
        <f ca="1">_xll.BDH($C$253,"INVTRY_IN_PROGRESS","FY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253" s="3" t="e">
        <f ca="1">_xll.BDH($C$253,"INVTRY_FINISHED_GOODS","FY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253" s="3" t="e">
        <f ca="1">_xll.BDH($C$253,"BS_OTHER_INV","FY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254" spans="1:113" x14ac:dyDescent="0.3">
      <c r="A254" s="6"/>
      <c r="B254" s="6"/>
      <c r="C254" s="6"/>
      <c r="D254" s="6"/>
      <c r="E254" t="s">
        <v>78</v>
      </c>
      <c r="F254" t="e">
        <f ca="1">_xll.BDH($C$253,"RETURN_COM_EQY","FQ1 2014","FQ1 2014","Currency=INR","Period=FQ","BEST_FPERIOD_OVERRIDE=FQ","FILING_STATUS=OR","EQY_CONSOLIDATED=Y","FA_ADJUSTED=GAAP","Sort=A","Dates=H","DateFormat=P","Fill=—","Direction=H","UseDPDF=Y")</f>
        <v>#NAME?</v>
      </c>
      <c r="G254" t="e">
        <f ca="1">_xll.BDH($C$253,"RETURN_ON_ASSET","FQ1 2014","FQ1 2014","Currency=INR","Period=FQ","BEST_FPERIOD_OVERRIDE=FQ","FILING_STATUS=OR","EQY_CONSOLIDATED=Y","FA_ADJUSTED=GAAP","Sort=A","Dates=H","DateFormat=P","Fill=—","Direction=H","UseDPDF=Y")</f>
        <v>#NAME?</v>
      </c>
      <c r="H254" t="e">
        <f ca="1">_xll.BDH($C$253,"RETURN_ON_CAP","FQ1 2014","FQ1 2014","Currency=INR","Period=FQ","BEST_FPERIOD_OVERRIDE=FQ","FILING_STATUS=OR","EQY_CONSOLIDATED=Y","FA_ADJUSTED=GAAP","Sort=A","Dates=H","DateFormat=P","Fill=—","Direction=H","UseDPDF=Y")</f>
        <v>#NAME?</v>
      </c>
      <c r="I254" t="e">
        <f ca="1">_xll.BDH($C$253,"RETURN_ON_INV_CAPITAL","FQ1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254" t="e">
        <f ca="1">_xll.BDH($C$253,"EBITDA_TO_REVENUE","FQ1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254" t="e">
        <f ca="1">_xll.BDH($C$253,"OPER_MARGIN","FQ1 2014","FQ1 2014","Currency=INR","Period=FQ","BEST_FPERIOD_OVERRIDE=FQ","FILING_STATUS=OR","EQY_CONSOLIDATED=Y","FA_ADJUSTED=GAAP","Sort=A","Dates=H","DateFormat=P","Fill=—","Direction=H","UseDPDF=Y")</f>
        <v>#NAME?</v>
      </c>
      <c r="L254" t="e">
        <f ca="1">_xll.BDH($C$253,"INCREMENTAL_OPERATING_MARGIN","FQ1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254" t="e">
        <f ca="1">_xll.BDH($C$253,"PRETAX_INC_TO_NET_SALES","FQ1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254" t="e">
        <f ca="1">_xll.BDH($C$253,"INC_BEF_XO_ITEMS_TO_NET_SALES","FQ1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254" t="e">
        <f ca="1">_xll.BDH($C$253,"PROF_MARGIN","FQ1 2014","FQ1 2014","Currency=INR","Period=FQ","BEST_FPERIOD_OVERRIDE=FQ","FILING_STATUS=OR","EQY_CONSOLIDATED=Y","FA_ADJUSTED=GAAP","Sort=A","Dates=H","DateFormat=P","Fill=—","Direction=H","UseDPDF=Y")</f>
        <v>#NAME?</v>
      </c>
      <c r="P254" t="e">
        <f ca="1">_xll.BDH($C$253,"NET_INCOME_TO_COMMON_MARGIN","FQ1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254" t="e">
        <f ca="1">_xll.BDH($C$253,"EFF_TAX_RATE","FQ1 2014","FQ1 2014","Currency=INR","Period=FQ","BEST_FPERIOD_OVERRIDE=FQ","FILING_STATUS=OR","EQY_CONSOLIDATED=Y","FA_ADJUSTED=GAAP","Sort=A","Dates=H","DateFormat=P","Fill=—","Direction=H","UseDPDF=Y")</f>
        <v>#NAME?</v>
      </c>
      <c r="R254" t="e">
        <f ca="1">_xll.BDH($C$253,"DVD_PAYOUT_RATIO","FQ1 2014","FQ1 2014","Currency=INR","Period=FQ","BEST_FPERIOD_OVERRIDE=FQ","FILING_STATUS=OR","EQY_CONSOLIDATED=Y","FA_ADJUSTED=GAAP","Sort=A","Dates=H","DateFormat=P","Fill=—","Direction=H","UseDPDF=Y")</f>
        <v>#NAME?</v>
      </c>
      <c r="S254" t="e">
        <f ca="1">_xll.BDH($C$253,"SUSTAIN_GROWTH_RT","FQ1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254" s="2" t="e">
        <f ca="1">_xll.BDH($C$253,"SALES_GROWTH","FQ1 2014","FQ1 2014","Currency=INR","Period=FQ","BEST_FPERIOD_OVERRIDE=FQ","FILING_STATUS=OR","EQY_CONSOLIDATED=Y","FA_ADJUSTED=GAAP","Sort=A","Dates=H","DateFormat=P","Fill=—","Direction=H","UseDPDF=Y")</f>
        <v>#NAME?</v>
      </c>
      <c r="U254" s="2" t="e">
        <f ca="1">_xll.BDH($C$253,"EBITDA_GROWTH","FQ1 2014","FQ1 2014","Currency=INR","Period=FQ","BEST_FPERIOD_OVERRIDE=FQ","FILING_STATUS=OR","EQY_CONSOLIDATED=Y","FA_ADJUSTED=GAAP","Sort=A","Dates=H","DateFormat=P","Fill=—","Direction=H","UseDPDF=Y")</f>
        <v>#NAME?</v>
      </c>
      <c r="V254" s="2" t="e">
        <f ca="1">_xll.BDH($C$253,"OPER_INC_GROWTH","FQ1 2014","FQ1 2014","Currency=INR","Period=FQ","BEST_FPERIOD_OVERRIDE=FQ","FILING_STATUS=OR","EQY_CONSOLIDATED=Y","FA_ADJUSTED=GAAP","Sort=A","Dates=H","DateFormat=P","Fill=—","Direction=H","UseDPDF=Y")</f>
        <v>#NAME?</v>
      </c>
      <c r="W254" s="2" t="e">
        <f ca="1">_xll.BDH($C$253,"EARN_FOR_COM_GROWTH","FQ1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254" s="2" t="e">
        <f ca="1">_xll.BDH($C$253,"DILUTED_EPS_AFT_XO_ITEMS_GROWTH","FQ1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254" s="2" t="e">
        <f ca="1">_xll.BDH($C$253,"DIVIDEND_PER_SHARE_1_YEAR_GROWTH","FQ1 2014","FQ1 2014","Currency=INR","Period=FQ","BEST_FPERIOD_OVERRIDE=FQ","FILING_STATUS=OR","EQY_CONSOLIDATED=Y","Sort=A","Dates=H","DateFormat=P","Fill=—","Direction=H","UseDPDF=Y")</f>
        <v>#NAME?</v>
      </c>
      <c r="Z254" s="2" t="e">
        <f ca="1">_xll.BDH($C$253,"ACCOUNTS_RECEIVABLE_GROWTH","FQ1 2014","FQ1 2014","Currency=INR","Period=FQ","BEST_FPERIOD_OVERRIDE=FQ","FILING_STATUS=OR","EQY_CONSOLIDATED=Y","Sort=A","Dates=H","DateFormat=P","Fill=—","Direction=H","UseDPDF=Y")</f>
        <v>#NAME?</v>
      </c>
      <c r="AA254" s="2" t="e">
        <f ca="1">_xll.BDH($C$253,"INVENTORY_GROWTH","FQ1 2014","FQ1 2014","Currency=INR","Period=FQ","BEST_FPERIOD_OVERRIDE=FQ","FILING_STATUS=OR","EQY_CONSOLIDATED=Y","Sort=A","Dates=H","DateFormat=P","Fill=—","Direction=H","UseDPDF=Y")</f>
        <v>#NAME?</v>
      </c>
      <c r="AB254" s="2" t="e">
        <f ca="1">_xll.BDH($C$253,"NET_FIXED_ASSETS_1_YEAR_GROWTH","FQ1 2014","FQ1 2014","Currency=INR","Period=FQ","BEST_FPERIOD_OVERRIDE=FQ","FILING_STATUS=OR","EQY_CONSOLIDATED=Y","Sort=A","Dates=H","DateFormat=P","Fill=—","Direction=H","UseDPDF=Y")</f>
        <v>#NAME?</v>
      </c>
      <c r="AC254" s="2" t="e">
        <f ca="1">_xll.BDH($C$253,"ASSET_GROWTH","FQ1 2014","FQ1 2014","Currency=INR","Period=FQ","BEST_FPERIOD_OVERRIDE=FQ","FILING_STATUS=OR","EQY_CONSOLIDATED=Y","Sort=A","Dates=H","DateFormat=P","Fill=—","Direction=H","UseDPDF=Y")</f>
        <v>#NAME?</v>
      </c>
      <c r="AD254" s="2" t="e">
        <f ca="1">_xll.BDH($C$253,"MODIFIED_WORK_CAP_GROWTH","FQ1 2014","FQ1 2014","Currency=INR","Period=FQ","BEST_FPERIOD_OVERRIDE=FQ","FILING_STATUS=OR","EQY_CONSOLIDATED=Y","Sort=A","Dates=H","DateFormat=P","Fill=—","Direction=H","UseDPDF=Y")</f>
        <v>#NAME?</v>
      </c>
      <c r="AE254" s="2" t="e">
        <f ca="1">_xll.BDH($C$253,"WORK_CAP_GROWTH","FQ1 2014","FQ1 2014","Currency=INR","Period=FQ","BEST_FPERIOD_OVERRIDE=FQ","FILING_STATUS=OR","EQY_CONSOLIDATED=Y","Sort=A","Dates=H","DateFormat=P","Fill=—","Direction=H","UseDPDF=Y")</f>
        <v>#NAME?</v>
      </c>
      <c r="AF254" s="2" t="e">
        <f ca="1">_xll.BDH($C$253,"ACCOUNTS_PAYABLE_GROWTH_1YR","FQ1 2014","FQ1 2014","Currency=INR","Period=FQ","BEST_FPERIOD_OVERRIDE=FQ","FILING_STATUS=OR","EQY_CONSOLIDATED=Y","Sort=A","Dates=H","DateFormat=P","Fill=—","Direction=H","UseDPDF=Y")</f>
        <v>#NAME?</v>
      </c>
      <c r="AG254" s="2" t="e">
        <f ca="1">_xll.BDH($C$253,"SHORT_TERM_DEBT_1_YEAR_GROWTH","FQ1 2014","FQ1 2014","Currency=INR","Period=FQ","BEST_FPERIOD_OVERRIDE=FQ","FILING_STATUS=OR","EQY_CONSOLIDATED=Y","Sort=A","Dates=H","DateFormat=P","Fill=—","Direction=H","UseDPDF=Y")</f>
        <v>#NAME?</v>
      </c>
      <c r="AH254" s="2" t="e">
        <f ca="1">_xll.BDH($C$253,"TOTAL_DEBT_1_YEAR_GROWTH","FQ1 2014","FQ1 2014","Currency=INR","Period=FQ","BEST_FPERIOD_OVERRIDE=FQ","FILING_STATUS=OR","EQY_CONSOLIDATED=Y","Sort=A","Dates=H","DateFormat=P","Fill=—","Direction=H","UseDPDF=Y")</f>
        <v>#NAME?</v>
      </c>
      <c r="AI254" s="2" t="e">
        <f ca="1">_xll.BDH($C$253,"TOTAL_EQUITY_1_YEAR_GROWTH","FQ1 2014","FQ1 2014","Currency=INR","Period=FQ","BEST_FPERIOD_OVERRIDE=FQ","FILING_STATUS=OR","EQY_CONSOLIDATED=Y","Sort=A","Dates=H","DateFormat=P","Fill=—","Direction=H","UseDPDF=Y")</f>
        <v>#NAME?</v>
      </c>
      <c r="AJ254" s="2" t="e">
        <f ca="1">_xll.BDH($C$253,"GROWTH_IN_CAP","FQ1 2014","FQ1 2014","Currency=INR","Period=FQ","BEST_FPERIOD_OVERRIDE=FQ","FILING_STATUS=OR","EQY_CONSOLIDATED=Y","Sort=A","Dates=H","DateFormat=P","Fill=—","Direction=H","UseDPDF=Y")</f>
        <v>#NAME?</v>
      </c>
      <c r="AK254" s="2" t="e">
        <f ca="1">_xll.BDH($C$253,"BVPS_GROWTH","FQ1 2014","FQ1 2014","Currency=INR","Period=FQ","BEST_FPERIOD_OVERRIDE=FQ","FILING_STATUS=OR","EQY_CONSOLIDATED=Y","Sort=A","Dates=H","DateFormat=P","Fill=—","Direction=H","UseDPDF=Y")</f>
        <v>#NAME?</v>
      </c>
      <c r="AL254" s="2" t="e">
        <f ca="1">_xll.BDH($C$253,"CASH_FLOW_GROWTH","FQ1 2014","FQ1 2014","Currency=INR","Period=FQ","BEST_FPERIOD_OVERRIDE=FQ","FILING_STATUS=OR","EQY_CONSOLIDATED=Y","Sort=A","Dates=H","DateFormat=P","Fill=—","Direction=H","UseDPDF=Y")</f>
        <v>#NAME?</v>
      </c>
      <c r="AM254" s="2" t="e">
        <f ca="1">_xll.BDH($C$253,"GEO_GROW_NET_SALES","FQ1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254" s="2" t="e">
        <f ca="1">_xll.BDH($C$253,"GEO_GROW_EBITDA","FQ1 2014","FQ1 2014","Currency=INR","Period=FQ","BEST_FPERIOD_OVERRIDE=FQ","FILING_STATUS=OR","EQY_CONSOLIDATED=Y","FA_ADJUSTED=GAAP","Sort=A","Dates=H","DateFormat=P","Fill=—","Direction=H","UseDPDF=Y")</f>
        <v>#NAME?</v>
      </c>
      <c r="AO254" s="2" t="e">
        <f ca="1">_xll.BDH($C$253,"GEO_GROW_OPER_INC","FQ1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254" s="2" t="e">
        <f ca="1">_xll.BDH($C$253,"NET_INCOME_TO_COMMON_5_YR_GROWTH","FQ1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254" s="2" t="e">
        <f ca="1">_xll.BDH($C$253,"5Y_GEO_GROWTH_DILUTED_EPS","FQ1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254" s="2" t="e">
        <f ca="1">_xll.BDH($C$253,"GEO_GROW_DVD_PER_SH","FQ1 2014","FQ1 2014","Currency=INR","Period=FQ","BEST_FPERIOD_OVERRIDE=FQ","FILING_STATUS=OR","EQY_CONSOLIDATED=Y","Sort=A","Dates=H","DateFormat=P","Fill=—","Direction=H","UseDPDF=Y")</f>
        <v>#NAME?</v>
      </c>
      <c r="AS254" s="2" t="e">
        <f ca="1">_xll.BDH($C$253,"ACCOUNTS_RECEIVABLE_5_YR_GROWTH","FQ1 2014","FQ1 2014","Currency=INR","Period=FQ","BEST_FPERIOD_OVERRIDE=FQ","FILING_STATUS=OR","EQY_CONSOLIDATED=Y","Sort=A","Dates=H","DateFormat=P","Fill=—","Direction=H","UseDPDF=Y")</f>
        <v>#NAME?</v>
      </c>
      <c r="AT254" s="2" t="e">
        <f ca="1">_xll.BDH($C$253,"INVENTORY_5_YEAR_GROWTH","FQ1 2014","FQ1 2014","Currency=INR","Period=FQ","BEST_FPERIOD_OVERRIDE=FQ","FILING_STATUS=OR","EQY_CONSOLIDATED=Y","Sort=A","Dates=H","DateFormat=P","Fill=—","Direction=H","UseDPDF=Y")</f>
        <v>#NAME?</v>
      </c>
      <c r="AU254" s="2" t="e">
        <f ca="1">_xll.BDH($C$253,"NET_FIXED_ASSETS_5_YEAR_GROWTH","FQ1 2014","FQ1 2014","Currency=INR","Period=FQ","BEST_FPERIOD_OVERRIDE=FQ","FILING_STATUS=OR","EQY_CONSOLIDATED=Y","Sort=A","Dates=H","DateFormat=P","Fill=—","Direction=H","UseDPDF=Y")</f>
        <v>#NAME?</v>
      </c>
      <c r="AV254" s="2" t="e">
        <f ca="1">_xll.BDH($C$253,"GEO_GROW_TOT_ASSET","FQ1 2014","FQ1 2014","Currency=INR","Period=FQ","BEST_FPERIOD_OVERRIDE=FQ","FILING_STATUS=OR","EQY_CONSOLIDATED=Y","Sort=A","Dates=H","DateFormat=P","Fill=—","Direction=H","UseDPDF=Y")</f>
        <v>#NAME?</v>
      </c>
      <c r="AW254" s="2" t="e">
        <f ca="1">_xll.BDH($C$253,"MODIFIED_WORKING_CPTL_5YR_GRWTH","FQ1 2014","FQ1 2014","Currency=INR","Period=FQ","BEST_FPERIOD_OVERRIDE=FQ","FILING_STATUS=OR","EQY_CONSOLIDATED=Y","Sort=A","Dates=H","DateFormat=P","Fill=—","Direction=H","UseDPDF=Y")</f>
        <v>#NAME?</v>
      </c>
      <c r="AX254" s="2" t="e">
        <f ca="1">_xll.BDH($C$253,"WORKING_CAPITAL_5_YEAR_GROWTH","FQ1 2014","FQ1 2014","Currency=INR","Period=FQ","BEST_FPERIOD_OVERRIDE=FQ","FILING_STATUS=OR","EQY_CONSOLIDATED=Y","Sort=A","Dates=H","DateFormat=P","Fill=—","Direction=H","UseDPDF=Y")</f>
        <v>#NAME?</v>
      </c>
      <c r="AY254" s="2" t="e">
        <f ca="1">_xll.BDH($C$253,"ACCOUNTS_PAYABLE_5_YEAR_GROWTH","FQ1 2014","FQ1 2014","Currency=INR","Period=FQ","BEST_FPERIOD_OVERRIDE=FQ","FILING_STATUS=OR","EQY_CONSOLIDATED=Y","Sort=A","Dates=H","DateFormat=P","Fill=—","Direction=H","UseDPDF=Y")</f>
        <v>#NAME?</v>
      </c>
      <c r="AZ254" s="2" t="e">
        <f ca="1">_xll.BDH($C$253,"SHORT_TERM_DEBT_5_YEAR_GROWTH","FQ1 2014","FQ1 2014","Currency=INR","Period=FQ","BEST_FPERIOD_OVERRIDE=FQ","FILING_STATUS=OR","EQY_CONSOLIDATED=Y","Sort=A","Dates=H","DateFormat=P","Fill=—","Direction=H","UseDPDF=Y")</f>
        <v>#NAME?</v>
      </c>
      <c r="BA254" s="2" t="e">
        <f ca="1">_xll.BDH($C$253,"TOTAL_DEBT_5_YEAR_GROWTH","FQ1 2014","FQ1 2014","Currency=INR","Period=FQ","BEST_FPERIOD_OVERRIDE=FQ","FILING_STATUS=OR","EQY_CONSOLIDATED=Y","Sort=A","Dates=H","DateFormat=P","Fill=—","Direction=H","UseDPDF=Y")</f>
        <v>#NAME?</v>
      </c>
      <c r="BB254" s="2" t="e">
        <f ca="1">_xll.BDH($C$253,"GEO_GROW_TOT_SHRHLDR_EQY","FQ1 2014","FQ1 2014","Currency=INR","Period=FQ","BEST_FPERIOD_OVERRIDE=FQ","FILING_STATUS=OR","EQY_CONSOLIDATED=Y","Sort=A","Dates=H","DateFormat=P","Fill=—","Direction=H","UseDPDF=Y")</f>
        <v>#NAME?</v>
      </c>
      <c r="BC254" s="2" t="e">
        <f ca="1">_xll.BDH($C$253,"TOTAL_CAPITAL_5_YEAR_GROWTH","FQ1 2014","FQ1 2014","Currency=INR","Period=FQ","BEST_FPERIOD_OVERRIDE=FQ","FILING_STATUS=OR","EQY_CONSOLIDATED=Y","Sort=A","Dates=H","DateFormat=P","Fill=—","Direction=H","UseDPDF=Y")</f>
        <v>#NAME?</v>
      </c>
      <c r="BD254" s="2" t="e">
        <f ca="1">_xll.BDH($C$253,"GEO_GROW_BOOK_VAL","FQ1 2014","FQ1 2014","Currency=INR","Period=FQ","BEST_FPERIOD_OVERRIDE=FQ","FILING_STATUS=OR","EQY_CONSOLIDATED=Y","Sort=A","Dates=H","DateFormat=P","Fill=—","Direction=H","UseDPDF=Y")</f>
        <v>#NAME?</v>
      </c>
      <c r="BE254" s="2" t="e">
        <f ca="1">_xll.BDH($C$253,"GEO_GROW_CASH_OPER_ACT","FQ1 2014","FQ1 2014","Currency=INR","Period=FQ","BEST_FPERIOD_OVERRIDE=FQ","FILING_STATUS=OR","EQY_CONSOLIDATED=Y","Sort=A","Dates=H","DateFormat=P","Fill=—","Direction=H","UseDPDF=Y")</f>
        <v>#NAME?</v>
      </c>
      <c r="BF254" s="2" t="e">
        <f ca="1">_xll.BDH($C$253,"REVENUE_SEQUENTIAL_GROWTH","FQ1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254" s="2" t="e">
        <f ca="1">_xll.BDH($C$253,"EBITDA_SEQUENTIAL_GROWTH","FQ1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254" s="2" t="e">
        <f ca="1">_xll.BDH($C$253,"OPERATING_INCOME_SEQ_GROWTH","FQ1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254" s="2" t="e">
        <f ca="1">_xll.BDH($C$253,"NET_INCOME_TO_COMMON_SEQ_GROWTH","FQ1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254" s="2" t="e">
        <f ca="1">_xll.BDH($C$253,"EPS_DILUTED_SEQUENTIAL_GROWTH","FQ1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254" s="2" t="e">
        <f ca="1">_xll.BDH($C$253,"DPS_SEQUENTIAL_GROWTH","FQ1 2014","FQ1 2014","Currency=INR","Period=FQ","BEST_FPERIOD_OVERRIDE=FQ","FILING_STATUS=OR","EQY_CONSOLIDATED=Y","Sort=A","Dates=H","DateFormat=P","Fill=—","Direction=H","UseDPDF=Y")</f>
        <v>#NAME?</v>
      </c>
      <c r="BL254" s="2" t="e">
        <f ca="1">_xll.BDH($C$253,"ACCOUNTS_RECEIVABLE_SEQ_GROWTH","FQ1 2014","FQ1 2014","Currency=INR","Period=FQ","BEST_FPERIOD_OVERRIDE=FQ","FILING_STATUS=OR","EQY_CONSOLIDATED=Y","Sort=A","Dates=H","DateFormat=P","Fill=—","Direction=H","UseDPDF=Y")</f>
        <v>#NAME?</v>
      </c>
      <c r="BM254" s="2" t="e">
        <f ca="1">_xll.BDH($C$253,"INVENTORY_SEQUENTIAL_GROWTH","FQ1 2014","FQ1 2014","Currency=INR","Period=FQ","BEST_FPERIOD_OVERRIDE=FQ","FILING_STATUS=OR","EQY_CONSOLIDATED=Y","Sort=A","Dates=H","DateFormat=P","Fill=—","Direction=H","UseDPDF=Y")</f>
        <v>#NAME?</v>
      </c>
      <c r="BN254" s="2" t="e">
        <f ca="1">_xll.BDH($C$253,"FIXED_ASSETS_SEQUENTIAL_GROWTH","FQ1 2014","FQ1 2014","Currency=INR","Period=FQ","BEST_FPERIOD_OVERRIDE=FQ","FILING_STATUS=OR","EQY_CONSOLIDATED=Y","Sort=A","Dates=H","DateFormat=P","Fill=—","Direction=H","UseDPDF=Y")</f>
        <v>#NAME?</v>
      </c>
      <c r="BO254" s="2" t="e">
        <f ca="1">_xll.BDH($C$253,"TOTAL_ASSETS_SEQUENTIAL_GROWTH","FQ1 2014","FQ1 2014","Currency=INR","Period=FQ","BEST_FPERIOD_OVERRIDE=FQ","FILING_STATUS=OR","EQY_CONSOLIDATED=Y","Sort=A","Dates=H","DateFormat=P","Fill=—","Direction=H","UseDPDF=Y")</f>
        <v>#NAME?</v>
      </c>
      <c r="BP254" s="2" t="e">
        <f ca="1">_xll.BDH($C$253,"MODIFIED_WORKING_CPTL_SEQ_GRWTH","FQ1 2014","FQ1 2014","Currency=INR","Period=FQ","BEST_FPERIOD_OVERRIDE=FQ","FILING_STATUS=OR","EQY_CONSOLIDATED=Y","Sort=A","Dates=H","DateFormat=P","Fill=—","Direction=H","UseDPDF=Y")</f>
        <v>#NAME?</v>
      </c>
      <c r="BQ254" s="2" t="e">
        <f ca="1">_xll.BDH($C$253,"WORKING_CAPITAL_SEQ_GROWTH","FQ1 2014","FQ1 2014","Currency=INR","Period=FQ","BEST_FPERIOD_OVERRIDE=FQ","FILING_STATUS=OR","EQY_CONSOLIDATED=Y","Sort=A","Dates=H","DateFormat=P","Fill=—","Direction=H","UseDPDF=Y")</f>
        <v>#NAME?</v>
      </c>
      <c r="BR254" s="2" t="e">
        <f ca="1">_xll.BDH($C$253,"ACCOUNTS_PAYABLE_SEQ_GROWTH","FQ1 2014","FQ1 2014","Currency=INR","Period=FQ","BEST_FPERIOD_OVERRIDE=FQ","FILING_STATUS=OR","EQY_CONSOLIDATED=Y","Sort=A","Dates=H","DateFormat=P","Fill=—","Direction=H","UseDPDF=Y")</f>
        <v>#NAME?</v>
      </c>
      <c r="BS254" s="2" t="e">
        <f ca="1">_xll.BDH($C$253,"ST_DEBT_SEQUENTIAL_GROWTH","FQ1 2014","FQ1 2014","Currency=INR","Period=FQ","BEST_FPERIOD_OVERRIDE=FQ","FILING_STATUS=OR","EQY_CONSOLIDATED=Y","Sort=A","Dates=H","DateFormat=P","Fill=—","Direction=H","UseDPDF=Y")</f>
        <v>#NAME?</v>
      </c>
      <c r="BT254" s="2" t="e">
        <f ca="1">_xll.BDH($C$253,"TOTAL_DEBT_SEQUENTIAL_GROWTH","FQ1 2014","FQ1 2014","Currency=INR","Period=FQ","BEST_FPERIOD_OVERRIDE=FQ","FILING_STATUS=OR","EQY_CONSOLIDATED=Y","Sort=A","Dates=H","DateFormat=P","Fill=—","Direction=H","UseDPDF=Y")</f>
        <v>#NAME?</v>
      </c>
      <c r="BU254" s="2" t="e">
        <f ca="1">_xll.BDH($C$253,"TOTAL_EQUITY_SEQUENTIAL_GROWTH","FQ1 2014","FQ1 2014","Currency=INR","Period=FQ","BEST_FPERIOD_OVERRIDE=FQ","FILING_STATUS=OR","EQY_CONSOLIDATED=Y","Sort=A","Dates=H","DateFormat=P","Fill=—","Direction=H","UseDPDF=Y")</f>
        <v>#NAME?</v>
      </c>
      <c r="BV254" s="2" t="e">
        <f ca="1">_xll.BDH($C$253,"TOTAL_CAPITAL_SEQUENTIAL_GROWTH","FQ1 2014","FQ1 2014","Currency=INR","Period=FQ","BEST_FPERIOD_OVERRIDE=FQ","FILING_STATUS=OR","EQY_CONSOLIDATED=Y","Sort=A","Dates=H","DateFormat=P","Fill=—","Direction=H","UseDPDF=Y")</f>
        <v>#NAME?</v>
      </c>
      <c r="BW254" s="2" t="e">
        <f ca="1">_xll.BDH($C$253,"BPS_SEQUENTIAL_GROWTH","FQ1 2014","FQ1 2014","Currency=INR","Period=FQ","BEST_FPERIOD_OVERRIDE=FQ","FILING_STATUS=OR","EQY_CONSOLIDATED=Y","Sort=A","Dates=H","DateFormat=P","Fill=—","Direction=H","UseDPDF=Y")</f>
        <v>#NAME?</v>
      </c>
      <c r="BX254" s="2" t="e">
        <f ca="1">_xll.BDH($C$253,"CFO_SEQUENTIAL_GROWTH","FQ1 2014","FQ1 2014","Currency=INR","Period=FQ","BEST_FPERIOD_OVERRIDE=FQ","FILING_STATUS=OR","EQY_CONSOLIDATED=Y","Sort=A","Dates=H","DateFormat=P","Fill=—","Direction=H","UseDPDF=Y")</f>
        <v>#NAME?</v>
      </c>
      <c r="BY254" s="3" t="e">
        <f ca="1">_xll.BDH($C$253,"SHORT_AND_LONG_TERM_DEBT","FQ1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254" s="3" t="e">
        <f ca="1">_xll.BDH($C$253,"BS_ST_BORROW","FQ1 2014","FQ1 2014","Currency=INR","Period=FQ","BEST_FPERIOD_OVERRIDE=FQ","FILING_STATUS=OR","EQY_CONSOLIDATED=Y","SCALING_FORMAT=MLN","Sort=A","Dates=H","DateFormat=P","Fill=—","Direction=H","UseDPDF=Y")</f>
        <v>#NAME?</v>
      </c>
      <c r="CA254" s="3" t="e">
        <f ca="1">_xll.BDH($C$253,"BS_LT_BORROW","FQ1 2014","FQ1 2014","Currency=INR","Period=FQ","BEST_FPERIOD_OVERRIDE=FQ","FILING_STATUS=OR","EQY_CONSOLIDATED=Y","SCALING_FORMAT=MLN","Sort=A","Dates=H","DateFormat=P","Fill=—","Direction=H","UseDPDF=Y")</f>
        <v>#NAME?</v>
      </c>
      <c r="CB254" s="2" t="e">
        <f ca="1">_xll.BDH($C$253,"TOT_DEBT_TO_EBITDA","FQ1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254" s="2" t="e">
        <f ca="1">_xll.BDH($C$253,"NET_DEBT_TO_EBITDA","FQ1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254" s="2" t="e">
        <f ca="1">_xll.BDH($C$253,"TOTAL_DEBT_TO_EBIT","FQ1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254" s="2" t="e">
        <f ca="1">_xll.BDH($C$253,"NET_DEBT_TO_EBIT","FQ1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254" s="2" t="e">
        <f ca="1">_xll.BDH($C$253,"EBITDA_TO_INTEREST_EXPN","FQ1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254" s="2" t="e">
        <f ca="1">_xll.BDH($C$253,"COM_EQY_TO_TOT_ASSET","FQ1 2014","FQ1 2014","Currency=INR","Period=FQ","BEST_FPERIOD_OVERRIDE=FQ","FILING_STATUS=OR","EQY_CONSOLIDATED=Y","Sort=A","Dates=H","DateFormat=P","Fill=—","Direction=H","UseDPDF=Y")</f>
        <v>#NAME?</v>
      </c>
      <c r="CH254" s="2" t="e">
        <f ca="1">_xll.BDH($C$253,"LT_DEBT_TO_TOT_EQY","FQ1 2014","FQ1 2014","Currency=INR","Period=FQ","BEST_FPERIOD_OVERRIDE=FQ","FILING_STATUS=OR","EQY_CONSOLIDATED=Y","Sort=A","Dates=H","DateFormat=P","Fill=—","Direction=H","UseDPDF=Y")</f>
        <v>#NAME?</v>
      </c>
      <c r="CI254" s="2" t="e">
        <f ca="1">_xll.BDH($C$253,"LT_DEBT_TO_TOT_CAP","FQ1 2014","FQ1 2014","Currency=INR","Period=FQ","BEST_FPERIOD_OVERRIDE=FQ","FILING_STATUS=OR","EQY_CONSOLIDATED=Y","Sort=A","Dates=H","DateFormat=P","Fill=—","Direction=H","UseDPDF=Y")</f>
        <v>#NAME?</v>
      </c>
      <c r="CJ254" s="2" t="e">
        <f ca="1">_xll.BDH($C$253,"LT_DEBT_TO_TOT_ASSET","FQ1 2014","FQ1 2014","Currency=INR","Period=FQ","BEST_FPERIOD_OVERRIDE=FQ","FILING_STATUS=OR","EQY_CONSOLIDATED=Y","Sort=A","Dates=H","DateFormat=P","Fill=—","Direction=H","UseDPDF=Y")</f>
        <v>#NAME?</v>
      </c>
      <c r="CK254" s="2" t="e">
        <f ca="1">_xll.BDH($C$253,"TOT_DEBT_TO_TOT_EQY","FQ1 2014","FQ1 2014","Currency=INR","Period=FQ","BEST_FPERIOD_OVERRIDE=FQ","FILING_STATUS=OR","EQY_CONSOLIDATED=Y","Sort=A","Dates=H","DateFormat=P","Fill=—","Direction=H","UseDPDF=Y")</f>
        <v>#NAME?</v>
      </c>
      <c r="CL254" s="2" t="e">
        <f ca="1">_xll.BDH($C$253,"TOT_DEBT_TO_TOT_CAP","FQ1 2014","FQ1 2014","Currency=INR","Period=FQ","BEST_FPERIOD_OVERRIDE=FQ","FILING_STATUS=OR","EQY_CONSOLIDATED=Y","Sort=A","Dates=H","DateFormat=P","Fill=—","Direction=H","UseDPDF=Y")</f>
        <v>#NAME?</v>
      </c>
      <c r="CM254" s="2" t="e">
        <f ca="1">_xll.BDH($C$253,"TOT_DEBT_TO_TOT_ASSET","FQ1 2014","FQ1 2014","Currency=INR","Period=FQ","BEST_FPERIOD_OVERRIDE=FQ","FILING_STATUS=OR","EQY_CONSOLIDATED=Y","Sort=A","Dates=H","DateFormat=P","Fill=—","Direction=H","UseDPDF=Y")</f>
        <v>#NAME?</v>
      </c>
      <c r="CN254" s="2" t="e">
        <f ca="1">_xll.BDH($C$253,"NET_DEBT_TO_SHRHLDR_EQTY","FQ1 2014","FQ1 2014","Currency=INR","Period=FQ","BEST_FPERIOD_OVERRIDE=FQ","FILING_STATUS=OR","EQY_CONSOLIDATED=Y","Sort=A","Dates=H","DateFormat=P","Fill=—","Direction=H","UseDPDF=Y")</f>
        <v>#NAME?</v>
      </c>
      <c r="CO254" s="2" t="e">
        <f ca="1">_xll.BDH($C$253,"NET_DEBT_%_CAPITAL","FQ1 2014","FQ1 2014","Currency=INR","Period=FQ","BEST_FPERIOD_OVERRIDE=FQ","FILING_STATUS=OR","EQY_CONSOLIDATED=Y","Sort=A","Dates=H","DateFormat=P","Fill=—","Direction=H","UseDPDF=Y")</f>
        <v>#NAME?</v>
      </c>
      <c r="CP254" s="3" t="e">
        <f ca="1">_xll.BDH($C$253,"EBITDA","FQ1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254" s="3" t="e">
        <f ca="1">_xll.BDH($C$253,"EBITDA_AFTER_CAPEX","FQ1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254" s="3" t="e">
        <f ca="1">_xll.BDH($C$253,"IS_OPER_INC","FQ1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254" s="2" t="e">
        <f ca="1">_xll.BDH($C$253,"CASH_RATIO","FQ1 2014","FQ1 2014","Currency=INR","Period=FQ","BEST_FPERIOD_OVERRIDE=FQ","FILING_STATUS=OR","EQY_CONSOLIDATED=Y","Sort=A","Dates=H","DateFormat=P","Fill=—","Direction=H","UseDPDF=Y")</f>
        <v>#NAME?</v>
      </c>
      <c r="CT254" s="2" t="e">
        <f ca="1">_xll.BDH($C$253,"CUR_RATIO","FQ1 2014","FQ1 2014","Currency=INR","Period=FQ","BEST_FPERIOD_OVERRIDE=FQ","FILING_STATUS=OR","EQY_CONSOLIDATED=Y","Sort=A","Dates=H","DateFormat=P","Fill=—","Direction=H","UseDPDF=Y")</f>
        <v>#NAME?</v>
      </c>
      <c r="CU254" s="2" t="e">
        <f ca="1">_xll.BDH($C$253,"QUICK_RATIO","FQ1 2014","FQ1 2014","Currency=INR","Period=FQ","BEST_FPERIOD_OVERRIDE=FQ","FILING_STATUS=OR","EQY_CONSOLIDATED=Y","Sort=A","Dates=H","DateFormat=P","Fill=—","Direction=H","UseDPDF=Y")</f>
        <v>#NAME?</v>
      </c>
      <c r="CV254" s="2" t="e">
        <f ca="1">_xll.BDH($C$253,"ALTMAN_Z_SCORE","FQ1 2014","FQ1 2014","Currency=INR","Period=FQ","BEST_FPERIOD_OVERRIDE=FQ","FILING_STATUS=OR","EQY_CONSOLIDATED=Y","Sort=A","Dates=H","DateFormat=P","Fill=—","Direction=H","UseDPDF=Y")</f>
        <v>#NAME?</v>
      </c>
      <c r="CW254" s="4" t="e">
        <f ca="1">_xll.BDH($C$253,"ACCT_RCV_TURN","FQ1 2014","FQ1 2014","Currency=INR","Period=FQ","BEST_FPERIOD_OVERRIDE=FQ","FILING_STATUS=OR","EQY_CONSOLIDATED=Y","FA_ADJUSTED=GAAP","Sort=A","Dates=H","DateFormat=P","Fill=—","Direction=H","UseDPDF=Y")</f>
        <v>#NAME?</v>
      </c>
      <c r="CX254" s="2" t="e">
        <f ca="1">_xll.BDH($C$253,"ACCT_RCV_DAYS","FQ1 2014","FQ1 2014","Currency=INR","Period=FQ","BEST_FPERIOD_OVERRIDE=FQ","FILING_STATUS=OR","EQY_CONSOLIDATED=Y","FA_ADJUSTED=GAAP","Sort=A","Dates=H","DateFormat=P","Fill=—","Direction=H","UseDPDF=Y")</f>
        <v>#NAME?</v>
      </c>
      <c r="CY254" s="4" t="e">
        <f ca="1">_xll.BDH($C$253,"INVENT_TURN","FQ1 2014","FQ1 2014","Currency=INR","Period=FQ","BEST_FPERIOD_OVERRIDE=FQ","FILING_STATUS=OR","EQY_CONSOLIDATED=Y","FA_ADJUSTED=GAAP","Sort=A","Dates=H","DateFormat=P","Fill=—","Direction=H","UseDPDF=Y")</f>
        <v>#NAME?</v>
      </c>
      <c r="CZ254" s="2" t="e">
        <f ca="1">_xll.BDH($C$253,"INVENT_DAYS","FQ1 2014","FQ1 2014","Currency=INR","Period=FQ","BEST_FPERIOD_OVERRIDE=FQ","FILING_STATUS=OR","EQY_CONSOLIDATED=Y","FA_ADJUSTED=GAAP","Sort=A","Dates=H","DateFormat=P","Fill=—","Direction=H","UseDPDF=Y")</f>
        <v>#NAME?</v>
      </c>
      <c r="DA254" s="4" t="e">
        <f ca="1">_xll.BDH($C$253,"ACCOUNTS_PAYABLE_TURNOVER","FQ1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254" s="2" t="e">
        <f ca="1">_xll.BDH($C$253,"ACCOUNTS_PAYABLE_TURNOVER_DAYS","FQ1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254" s="4" t="e">
        <f ca="1">_xll.BDH($C$253,"CASH_CONVERSION_CYCLE","FQ1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254" s="4" t="e">
        <f ca="1">_xll.BDH($C$253,"INV_TO_CASH_DAYS","FQ1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254" s="5" t="e">
        <f ca="1">_xll.BDH($C$253,"BS_INVENTORIES","FQ1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254" s="3" t="e">
        <f ca="1">_xll.BDH($C$253,"INVTRY_RAW_MATERIALS","FQ1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254" s="3" t="e">
        <f ca="1">_xll.BDH($C$253,"INVTRY_IN_PROGRESS","FQ1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254" s="3" t="e">
        <f ca="1">_xll.BDH($C$253,"INVTRY_FINISHED_GOODS","FQ1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254" s="3" t="e">
        <f ca="1">_xll.BDH($C$253,"BS_OTHER_INV","FQ1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255" spans="1:113" x14ac:dyDescent="0.3">
      <c r="A255" s="6"/>
      <c r="B255" s="6"/>
      <c r="C255" s="6"/>
      <c r="D255" s="6"/>
      <c r="E255" t="s">
        <v>79</v>
      </c>
      <c r="F255" t="e">
        <f ca="1">_xll.BDH($C$253,"RETURN_COM_EQY","FQ2 2014","FQ2 2014","Currency=INR","Period=FQ","BEST_FPERIOD_OVERRIDE=FQ","FILING_STATUS=OR","EQY_CONSOLIDATED=Y","FA_ADJUSTED=GAAP","Sort=A","Dates=H","DateFormat=P","Fill=—","Direction=H","UseDPDF=Y")</f>
        <v>#NAME?</v>
      </c>
      <c r="G255" t="e">
        <f ca="1">_xll.BDH($C$253,"RETURN_ON_ASSET","FQ2 2014","FQ2 2014","Currency=INR","Period=FQ","BEST_FPERIOD_OVERRIDE=FQ","FILING_STATUS=OR","EQY_CONSOLIDATED=Y","FA_ADJUSTED=GAAP","Sort=A","Dates=H","DateFormat=P","Fill=—","Direction=H","UseDPDF=Y")</f>
        <v>#NAME?</v>
      </c>
      <c r="H255" t="e">
        <f ca="1">_xll.BDH($C$253,"RETURN_ON_CAP","FQ2 2014","FQ2 2014","Currency=INR","Period=FQ","BEST_FPERIOD_OVERRIDE=FQ","FILING_STATUS=OR","EQY_CONSOLIDATED=Y","FA_ADJUSTED=GAAP","Sort=A","Dates=H","DateFormat=P","Fill=—","Direction=H","UseDPDF=Y")</f>
        <v>#NAME?</v>
      </c>
      <c r="I255" t="e">
        <f ca="1">_xll.BDH($C$253,"RETURN_ON_INV_CAPITAL","FQ2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255" t="e">
        <f ca="1">_xll.BDH($C$253,"EBITDA_TO_REVENUE","FQ2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255" t="e">
        <f ca="1">_xll.BDH($C$253,"OPER_MARGIN","FQ2 2014","FQ2 2014","Currency=INR","Period=FQ","BEST_FPERIOD_OVERRIDE=FQ","FILING_STATUS=OR","EQY_CONSOLIDATED=Y","FA_ADJUSTED=GAAP","Sort=A","Dates=H","DateFormat=P","Fill=—","Direction=H","UseDPDF=Y")</f>
        <v>#NAME?</v>
      </c>
      <c r="L255" t="e">
        <f ca="1">_xll.BDH($C$253,"INCREMENTAL_OPERATING_MARGIN","FQ2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255" t="e">
        <f ca="1">_xll.BDH($C$253,"PRETAX_INC_TO_NET_SALES","FQ2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255" t="e">
        <f ca="1">_xll.BDH($C$253,"INC_BEF_XO_ITEMS_TO_NET_SALES","FQ2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255" t="e">
        <f ca="1">_xll.BDH($C$253,"PROF_MARGIN","FQ2 2014","FQ2 2014","Currency=INR","Period=FQ","BEST_FPERIOD_OVERRIDE=FQ","FILING_STATUS=OR","EQY_CONSOLIDATED=Y","FA_ADJUSTED=GAAP","Sort=A","Dates=H","DateFormat=P","Fill=—","Direction=H","UseDPDF=Y")</f>
        <v>#NAME?</v>
      </c>
      <c r="P255" t="e">
        <f ca="1">_xll.BDH($C$253,"NET_INCOME_TO_COMMON_MARGIN","FQ2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255" t="e">
        <f ca="1">_xll.BDH($C$253,"EFF_TAX_RATE","FQ2 2014","FQ2 2014","Currency=INR","Period=FQ","BEST_FPERIOD_OVERRIDE=FQ","FILING_STATUS=OR","EQY_CONSOLIDATED=Y","FA_ADJUSTED=GAAP","Sort=A","Dates=H","DateFormat=P","Fill=—","Direction=H","UseDPDF=Y")</f>
        <v>#NAME?</v>
      </c>
      <c r="R255" t="e">
        <f ca="1">_xll.BDH($C$253,"DVD_PAYOUT_RATIO","FQ2 2014","FQ2 2014","Currency=INR","Period=FQ","BEST_FPERIOD_OVERRIDE=FQ","FILING_STATUS=OR","EQY_CONSOLIDATED=Y","FA_ADJUSTED=GAAP","Sort=A","Dates=H","DateFormat=P","Fill=—","Direction=H","UseDPDF=Y")</f>
        <v>#NAME?</v>
      </c>
      <c r="S255" t="e">
        <f ca="1">_xll.BDH($C$253,"SUSTAIN_GROWTH_RT","FQ2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255" s="2" t="e">
        <f ca="1">_xll.BDH($C$253,"SALES_GROWTH","FQ2 2014","FQ2 2014","Currency=INR","Period=FQ","BEST_FPERIOD_OVERRIDE=FQ","FILING_STATUS=OR","EQY_CONSOLIDATED=Y","FA_ADJUSTED=GAAP","Sort=A","Dates=H","DateFormat=P","Fill=—","Direction=H","UseDPDF=Y")</f>
        <v>#NAME?</v>
      </c>
      <c r="U255" s="2" t="e">
        <f ca="1">_xll.BDH($C$253,"EBITDA_GROWTH","FQ2 2014","FQ2 2014","Currency=INR","Period=FQ","BEST_FPERIOD_OVERRIDE=FQ","FILING_STATUS=OR","EQY_CONSOLIDATED=Y","FA_ADJUSTED=GAAP","Sort=A","Dates=H","DateFormat=P","Fill=—","Direction=H","UseDPDF=Y")</f>
        <v>#NAME?</v>
      </c>
      <c r="V255" s="2" t="e">
        <f ca="1">_xll.BDH($C$253,"OPER_INC_GROWTH","FQ2 2014","FQ2 2014","Currency=INR","Period=FQ","BEST_FPERIOD_OVERRIDE=FQ","FILING_STATUS=OR","EQY_CONSOLIDATED=Y","FA_ADJUSTED=GAAP","Sort=A","Dates=H","DateFormat=P","Fill=—","Direction=H","UseDPDF=Y")</f>
        <v>#NAME?</v>
      </c>
      <c r="W255" s="2" t="e">
        <f ca="1">_xll.BDH($C$253,"EARN_FOR_COM_GROWTH","FQ2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255" s="2" t="e">
        <f ca="1">_xll.BDH($C$253,"DILUTED_EPS_AFT_XO_ITEMS_GROWTH","FQ2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255" s="2" t="e">
        <f ca="1">_xll.BDH($C$253,"DIVIDEND_PER_SHARE_1_YEAR_GROWTH","FQ2 2014","FQ2 2014","Currency=INR","Period=FQ","BEST_FPERIOD_OVERRIDE=FQ","FILING_STATUS=OR","EQY_CONSOLIDATED=Y","Sort=A","Dates=H","DateFormat=P","Fill=—","Direction=H","UseDPDF=Y")</f>
        <v>#NAME?</v>
      </c>
      <c r="Z255" s="2" t="e">
        <f ca="1">_xll.BDH($C$253,"ACCOUNTS_RECEIVABLE_GROWTH","FQ2 2014","FQ2 2014","Currency=INR","Period=FQ","BEST_FPERIOD_OVERRIDE=FQ","FILING_STATUS=OR","EQY_CONSOLIDATED=Y","Sort=A","Dates=H","DateFormat=P","Fill=—","Direction=H","UseDPDF=Y")</f>
        <v>#NAME?</v>
      </c>
      <c r="AA255" s="2" t="e">
        <f ca="1">_xll.BDH($C$253,"INVENTORY_GROWTH","FQ2 2014","FQ2 2014","Currency=INR","Period=FQ","BEST_FPERIOD_OVERRIDE=FQ","FILING_STATUS=OR","EQY_CONSOLIDATED=Y","Sort=A","Dates=H","DateFormat=P","Fill=—","Direction=H","UseDPDF=Y")</f>
        <v>#NAME?</v>
      </c>
      <c r="AB255" s="2" t="e">
        <f ca="1">_xll.BDH($C$253,"NET_FIXED_ASSETS_1_YEAR_GROWTH","FQ2 2014","FQ2 2014","Currency=INR","Period=FQ","BEST_FPERIOD_OVERRIDE=FQ","FILING_STATUS=OR","EQY_CONSOLIDATED=Y","Sort=A","Dates=H","DateFormat=P","Fill=—","Direction=H","UseDPDF=Y")</f>
        <v>#NAME?</v>
      </c>
      <c r="AC255" s="2" t="e">
        <f ca="1">_xll.BDH($C$253,"ASSET_GROWTH","FQ2 2014","FQ2 2014","Currency=INR","Period=FQ","BEST_FPERIOD_OVERRIDE=FQ","FILING_STATUS=OR","EQY_CONSOLIDATED=Y","Sort=A","Dates=H","DateFormat=P","Fill=—","Direction=H","UseDPDF=Y")</f>
        <v>#NAME?</v>
      </c>
      <c r="AD255" s="2" t="e">
        <f ca="1">_xll.BDH($C$253,"MODIFIED_WORK_CAP_GROWTH","FQ2 2014","FQ2 2014","Currency=INR","Period=FQ","BEST_FPERIOD_OVERRIDE=FQ","FILING_STATUS=OR","EQY_CONSOLIDATED=Y","Sort=A","Dates=H","DateFormat=P","Fill=—","Direction=H","UseDPDF=Y")</f>
        <v>#NAME?</v>
      </c>
      <c r="AE255" s="2" t="e">
        <f ca="1">_xll.BDH($C$253,"WORK_CAP_GROWTH","FQ2 2014","FQ2 2014","Currency=INR","Period=FQ","BEST_FPERIOD_OVERRIDE=FQ","FILING_STATUS=OR","EQY_CONSOLIDATED=Y","Sort=A","Dates=H","DateFormat=P","Fill=—","Direction=H","UseDPDF=Y")</f>
        <v>#NAME?</v>
      </c>
      <c r="AF255" s="2" t="e">
        <f ca="1">_xll.BDH($C$253,"ACCOUNTS_PAYABLE_GROWTH_1YR","FQ2 2014","FQ2 2014","Currency=INR","Period=FQ","BEST_FPERIOD_OVERRIDE=FQ","FILING_STATUS=OR","EQY_CONSOLIDATED=Y","Sort=A","Dates=H","DateFormat=P","Fill=—","Direction=H","UseDPDF=Y")</f>
        <v>#NAME?</v>
      </c>
      <c r="AG255" s="2" t="e">
        <f ca="1">_xll.BDH($C$253,"SHORT_TERM_DEBT_1_YEAR_GROWTH","FQ2 2014","FQ2 2014","Currency=INR","Period=FQ","BEST_FPERIOD_OVERRIDE=FQ","FILING_STATUS=OR","EQY_CONSOLIDATED=Y","Sort=A","Dates=H","DateFormat=P","Fill=—","Direction=H","UseDPDF=Y")</f>
        <v>#NAME?</v>
      </c>
      <c r="AH255" s="2" t="e">
        <f ca="1">_xll.BDH($C$253,"TOTAL_DEBT_1_YEAR_GROWTH","FQ2 2014","FQ2 2014","Currency=INR","Period=FQ","BEST_FPERIOD_OVERRIDE=FQ","FILING_STATUS=OR","EQY_CONSOLIDATED=Y","Sort=A","Dates=H","DateFormat=P","Fill=—","Direction=H","UseDPDF=Y")</f>
        <v>#NAME?</v>
      </c>
      <c r="AI255" s="2" t="e">
        <f ca="1">_xll.BDH($C$253,"TOTAL_EQUITY_1_YEAR_GROWTH","FQ2 2014","FQ2 2014","Currency=INR","Period=FQ","BEST_FPERIOD_OVERRIDE=FQ","FILING_STATUS=OR","EQY_CONSOLIDATED=Y","Sort=A","Dates=H","DateFormat=P","Fill=—","Direction=H","UseDPDF=Y")</f>
        <v>#NAME?</v>
      </c>
      <c r="AJ255" s="2" t="e">
        <f ca="1">_xll.BDH($C$253,"GROWTH_IN_CAP","FQ2 2014","FQ2 2014","Currency=INR","Period=FQ","BEST_FPERIOD_OVERRIDE=FQ","FILING_STATUS=OR","EQY_CONSOLIDATED=Y","Sort=A","Dates=H","DateFormat=P","Fill=—","Direction=H","UseDPDF=Y")</f>
        <v>#NAME?</v>
      </c>
      <c r="AK255" s="2" t="e">
        <f ca="1">_xll.BDH($C$253,"BVPS_GROWTH","FQ2 2014","FQ2 2014","Currency=INR","Period=FQ","BEST_FPERIOD_OVERRIDE=FQ","FILING_STATUS=OR","EQY_CONSOLIDATED=Y","Sort=A","Dates=H","DateFormat=P","Fill=—","Direction=H","UseDPDF=Y")</f>
        <v>#NAME?</v>
      </c>
      <c r="AL255" s="2" t="e">
        <f ca="1">_xll.BDH($C$253,"CASH_FLOW_GROWTH","FQ2 2014","FQ2 2014","Currency=INR","Period=FQ","BEST_FPERIOD_OVERRIDE=FQ","FILING_STATUS=OR","EQY_CONSOLIDATED=Y","Sort=A","Dates=H","DateFormat=P","Fill=—","Direction=H","UseDPDF=Y")</f>
        <v>#NAME?</v>
      </c>
      <c r="AM255" s="2" t="e">
        <f ca="1">_xll.BDH($C$253,"GEO_GROW_NET_SALES","FQ2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255" s="2" t="e">
        <f ca="1">_xll.BDH($C$253,"GEO_GROW_EBITDA","FQ2 2014","FQ2 2014","Currency=INR","Period=FQ","BEST_FPERIOD_OVERRIDE=FQ","FILING_STATUS=OR","EQY_CONSOLIDATED=Y","FA_ADJUSTED=GAAP","Sort=A","Dates=H","DateFormat=P","Fill=—","Direction=H","UseDPDF=Y")</f>
        <v>#NAME?</v>
      </c>
      <c r="AO255" s="2" t="e">
        <f ca="1">_xll.BDH($C$253,"GEO_GROW_OPER_INC","FQ2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255" s="2" t="e">
        <f ca="1">_xll.BDH($C$253,"NET_INCOME_TO_COMMON_5_YR_GROWTH","FQ2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255" s="2" t="e">
        <f ca="1">_xll.BDH($C$253,"5Y_GEO_GROWTH_DILUTED_EPS","FQ2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255" s="2" t="e">
        <f ca="1">_xll.BDH($C$253,"GEO_GROW_DVD_PER_SH","FQ2 2014","FQ2 2014","Currency=INR","Period=FQ","BEST_FPERIOD_OVERRIDE=FQ","FILING_STATUS=OR","EQY_CONSOLIDATED=Y","Sort=A","Dates=H","DateFormat=P","Fill=—","Direction=H","UseDPDF=Y")</f>
        <v>#NAME?</v>
      </c>
      <c r="AS255" s="2" t="e">
        <f ca="1">_xll.BDH($C$253,"ACCOUNTS_RECEIVABLE_5_YR_GROWTH","FQ2 2014","FQ2 2014","Currency=INR","Period=FQ","BEST_FPERIOD_OVERRIDE=FQ","FILING_STATUS=OR","EQY_CONSOLIDATED=Y","Sort=A","Dates=H","DateFormat=P","Fill=—","Direction=H","UseDPDF=Y")</f>
        <v>#NAME?</v>
      </c>
      <c r="AT255" s="2" t="e">
        <f ca="1">_xll.BDH($C$253,"INVENTORY_5_YEAR_GROWTH","FQ2 2014","FQ2 2014","Currency=INR","Period=FQ","BEST_FPERIOD_OVERRIDE=FQ","FILING_STATUS=OR","EQY_CONSOLIDATED=Y","Sort=A","Dates=H","DateFormat=P","Fill=—","Direction=H","UseDPDF=Y")</f>
        <v>#NAME?</v>
      </c>
      <c r="AU255" s="2" t="e">
        <f ca="1">_xll.BDH($C$253,"NET_FIXED_ASSETS_5_YEAR_GROWTH","FQ2 2014","FQ2 2014","Currency=INR","Period=FQ","BEST_FPERIOD_OVERRIDE=FQ","FILING_STATUS=OR","EQY_CONSOLIDATED=Y","Sort=A","Dates=H","DateFormat=P","Fill=—","Direction=H","UseDPDF=Y")</f>
        <v>#NAME?</v>
      </c>
      <c r="AV255" s="2" t="e">
        <f ca="1">_xll.BDH($C$253,"GEO_GROW_TOT_ASSET","FQ2 2014","FQ2 2014","Currency=INR","Period=FQ","BEST_FPERIOD_OVERRIDE=FQ","FILING_STATUS=OR","EQY_CONSOLIDATED=Y","Sort=A","Dates=H","DateFormat=P","Fill=—","Direction=H","UseDPDF=Y")</f>
        <v>#NAME?</v>
      </c>
      <c r="AW255" s="2" t="e">
        <f ca="1">_xll.BDH($C$253,"MODIFIED_WORKING_CPTL_5YR_GRWTH","FQ2 2014","FQ2 2014","Currency=INR","Period=FQ","BEST_FPERIOD_OVERRIDE=FQ","FILING_STATUS=OR","EQY_CONSOLIDATED=Y","Sort=A","Dates=H","DateFormat=P","Fill=—","Direction=H","UseDPDF=Y")</f>
        <v>#NAME?</v>
      </c>
      <c r="AX255" s="2" t="e">
        <f ca="1">_xll.BDH($C$253,"WORKING_CAPITAL_5_YEAR_GROWTH","FQ2 2014","FQ2 2014","Currency=INR","Period=FQ","BEST_FPERIOD_OVERRIDE=FQ","FILING_STATUS=OR","EQY_CONSOLIDATED=Y","Sort=A","Dates=H","DateFormat=P","Fill=—","Direction=H","UseDPDF=Y")</f>
        <v>#NAME?</v>
      </c>
      <c r="AY255" s="2" t="e">
        <f ca="1">_xll.BDH($C$253,"ACCOUNTS_PAYABLE_5_YEAR_GROWTH","FQ2 2014","FQ2 2014","Currency=INR","Period=FQ","BEST_FPERIOD_OVERRIDE=FQ","FILING_STATUS=OR","EQY_CONSOLIDATED=Y","Sort=A","Dates=H","DateFormat=P","Fill=—","Direction=H","UseDPDF=Y")</f>
        <v>#NAME?</v>
      </c>
      <c r="AZ255" s="2" t="e">
        <f ca="1">_xll.BDH($C$253,"SHORT_TERM_DEBT_5_YEAR_GROWTH","FQ2 2014","FQ2 2014","Currency=INR","Period=FQ","BEST_FPERIOD_OVERRIDE=FQ","FILING_STATUS=OR","EQY_CONSOLIDATED=Y","Sort=A","Dates=H","DateFormat=P","Fill=—","Direction=H","UseDPDF=Y")</f>
        <v>#NAME?</v>
      </c>
      <c r="BA255" s="2" t="e">
        <f ca="1">_xll.BDH($C$253,"TOTAL_DEBT_5_YEAR_GROWTH","FQ2 2014","FQ2 2014","Currency=INR","Period=FQ","BEST_FPERIOD_OVERRIDE=FQ","FILING_STATUS=OR","EQY_CONSOLIDATED=Y","Sort=A","Dates=H","DateFormat=P","Fill=—","Direction=H","UseDPDF=Y")</f>
        <v>#NAME?</v>
      </c>
      <c r="BB255" s="2" t="e">
        <f ca="1">_xll.BDH($C$253,"GEO_GROW_TOT_SHRHLDR_EQY","FQ2 2014","FQ2 2014","Currency=INR","Period=FQ","BEST_FPERIOD_OVERRIDE=FQ","FILING_STATUS=OR","EQY_CONSOLIDATED=Y","Sort=A","Dates=H","DateFormat=P","Fill=—","Direction=H","UseDPDF=Y")</f>
        <v>#NAME?</v>
      </c>
      <c r="BC255" s="2" t="e">
        <f ca="1">_xll.BDH($C$253,"TOTAL_CAPITAL_5_YEAR_GROWTH","FQ2 2014","FQ2 2014","Currency=INR","Period=FQ","BEST_FPERIOD_OVERRIDE=FQ","FILING_STATUS=OR","EQY_CONSOLIDATED=Y","Sort=A","Dates=H","DateFormat=P","Fill=—","Direction=H","UseDPDF=Y")</f>
        <v>#NAME?</v>
      </c>
      <c r="BD255" s="2" t="e">
        <f ca="1">_xll.BDH($C$253,"GEO_GROW_BOOK_VAL","FQ2 2014","FQ2 2014","Currency=INR","Period=FQ","BEST_FPERIOD_OVERRIDE=FQ","FILING_STATUS=OR","EQY_CONSOLIDATED=Y","Sort=A","Dates=H","DateFormat=P","Fill=—","Direction=H","UseDPDF=Y")</f>
        <v>#NAME?</v>
      </c>
      <c r="BE255" s="2" t="e">
        <f ca="1">_xll.BDH($C$253,"GEO_GROW_CASH_OPER_ACT","FQ2 2014","FQ2 2014","Currency=INR","Period=FQ","BEST_FPERIOD_OVERRIDE=FQ","FILING_STATUS=OR","EQY_CONSOLIDATED=Y","Sort=A","Dates=H","DateFormat=P","Fill=—","Direction=H","UseDPDF=Y")</f>
        <v>#NAME?</v>
      </c>
      <c r="BF255" s="2" t="e">
        <f ca="1">_xll.BDH($C$253,"REVENUE_SEQUENTIAL_GROWTH","FQ2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255" s="2" t="e">
        <f ca="1">_xll.BDH($C$253,"EBITDA_SEQUENTIAL_GROWTH","FQ2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255" s="2" t="e">
        <f ca="1">_xll.BDH($C$253,"OPERATING_INCOME_SEQ_GROWTH","FQ2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255" s="2" t="e">
        <f ca="1">_xll.BDH($C$253,"NET_INCOME_TO_COMMON_SEQ_GROWTH","FQ2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255" s="2" t="e">
        <f ca="1">_xll.BDH($C$253,"EPS_DILUTED_SEQUENTIAL_GROWTH","FQ2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255" s="2" t="e">
        <f ca="1">_xll.BDH($C$253,"DPS_SEQUENTIAL_GROWTH","FQ2 2014","FQ2 2014","Currency=INR","Period=FQ","BEST_FPERIOD_OVERRIDE=FQ","FILING_STATUS=OR","EQY_CONSOLIDATED=Y","Sort=A","Dates=H","DateFormat=P","Fill=—","Direction=H","UseDPDF=Y")</f>
        <v>#NAME?</v>
      </c>
      <c r="BL255" s="2" t="e">
        <f ca="1">_xll.BDH($C$253,"ACCOUNTS_RECEIVABLE_SEQ_GROWTH","FQ2 2014","FQ2 2014","Currency=INR","Period=FQ","BEST_FPERIOD_OVERRIDE=FQ","FILING_STATUS=OR","EQY_CONSOLIDATED=Y","Sort=A","Dates=H","DateFormat=P","Fill=—","Direction=H","UseDPDF=Y")</f>
        <v>#NAME?</v>
      </c>
      <c r="BM255" s="2" t="e">
        <f ca="1">_xll.BDH($C$253,"INVENTORY_SEQUENTIAL_GROWTH","FQ2 2014","FQ2 2014","Currency=INR","Period=FQ","BEST_FPERIOD_OVERRIDE=FQ","FILING_STATUS=OR","EQY_CONSOLIDATED=Y","Sort=A","Dates=H","DateFormat=P","Fill=—","Direction=H","UseDPDF=Y")</f>
        <v>#NAME?</v>
      </c>
      <c r="BN255" s="2" t="e">
        <f ca="1">_xll.BDH($C$253,"FIXED_ASSETS_SEQUENTIAL_GROWTH","FQ2 2014","FQ2 2014","Currency=INR","Period=FQ","BEST_FPERIOD_OVERRIDE=FQ","FILING_STATUS=OR","EQY_CONSOLIDATED=Y","Sort=A","Dates=H","DateFormat=P","Fill=—","Direction=H","UseDPDF=Y")</f>
        <v>#NAME?</v>
      </c>
      <c r="BO255" s="2" t="e">
        <f ca="1">_xll.BDH($C$253,"TOTAL_ASSETS_SEQUENTIAL_GROWTH","FQ2 2014","FQ2 2014","Currency=INR","Period=FQ","BEST_FPERIOD_OVERRIDE=FQ","FILING_STATUS=OR","EQY_CONSOLIDATED=Y","Sort=A","Dates=H","DateFormat=P","Fill=—","Direction=H","UseDPDF=Y")</f>
        <v>#NAME?</v>
      </c>
      <c r="BP255" s="2" t="e">
        <f ca="1">_xll.BDH($C$253,"MODIFIED_WORKING_CPTL_SEQ_GRWTH","FQ2 2014","FQ2 2014","Currency=INR","Period=FQ","BEST_FPERIOD_OVERRIDE=FQ","FILING_STATUS=OR","EQY_CONSOLIDATED=Y","Sort=A","Dates=H","DateFormat=P","Fill=—","Direction=H","UseDPDF=Y")</f>
        <v>#NAME?</v>
      </c>
      <c r="BQ255" s="2" t="e">
        <f ca="1">_xll.BDH($C$253,"WORKING_CAPITAL_SEQ_GROWTH","FQ2 2014","FQ2 2014","Currency=INR","Period=FQ","BEST_FPERIOD_OVERRIDE=FQ","FILING_STATUS=OR","EQY_CONSOLIDATED=Y","Sort=A","Dates=H","DateFormat=P","Fill=—","Direction=H","UseDPDF=Y")</f>
        <v>#NAME?</v>
      </c>
      <c r="BR255" s="2" t="e">
        <f ca="1">_xll.BDH($C$253,"ACCOUNTS_PAYABLE_SEQ_GROWTH","FQ2 2014","FQ2 2014","Currency=INR","Period=FQ","BEST_FPERIOD_OVERRIDE=FQ","FILING_STATUS=OR","EQY_CONSOLIDATED=Y","Sort=A","Dates=H","DateFormat=P","Fill=—","Direction=H","UseDPDF=Y")</f>
        <v>#NAME?</v>
      </c>
      <c r="BS255" s="2" t="e">
        <f ca="1">_xll.BDH($C$253,"ST_DEBT_SEQUENTIAL_GROWTH","FQ2 2014","FQ2 2014","Currency=INR","Period=FQ","BEST_FPERIOD_OVERRIDE=FQ","FILING_STATUS=OR","EQY_CONSOLIDATED=Y","Sort=A","Dates=H","DateFormat=P","Fill=—","Direction=H","UseDPDF=Y")</f>
        <v>#NAME?</v>
      </c>
      <c r="BT255" s="2" t="e">
        <f ca="1">_xll.BDH($C$253,"TOTAL_DEBT_SEQUENTIAL_GROWTH","FQ2 2014","FQ2 2014","Currency=INR","Period=FQ","BEST_FPERIOD_OVERRIDE=FQ","FILING_STATUS=OR","EQY_CONSOLIDATED=Y","Sort=A","Dates=H","DateFormat=P","Fill=—","Direction=H","UseDPDF=Y")</f>
        <v>#NAME?</v>
      </c>
      <c r="BU255" s="2" t="e">
        <f ca="1">_xll.BDH($C$253,"TOTAL_EQUITY_SEQUENTIAL_GROWTH","FQ2 2014","FQ2 2014","Currency=INR","Period=FQ","BEST_FPERIOD_OVERRIDE=FQ","FILING_STATUS=OR","EQY_CONSOLIDATED=Y","Sort=A","Dates=H","DateFormat=P","Fill=—","Direction=H","UseDPDF=Y")</f>
        <v>#NAME?</v>
      </c>
      <c r="BV255" s="2" t="e">
        <f ca="1">_xll.BDH($C$253,"TOTAL_CAPITAL_SEQUENTIAL_GROWTH","FQ2 2014","FQ2 2014","Currency=INR","Period=FQ","BEST_FPERIOD_OVERRIDE=FQ","FILING_STATUS=OR","EQY_CONSOLIDATED=Y","Sort=A","Dates=H","DateFormat=P","Fill=—","Direction=H","UseDPDF=Y")</f>
        <v>#NAME?</v>
      </c>
      <c r="BW255" s="2" t="e">
        <f ca="1">_xll.BDH($C$253,"BPS_SEQUENTIAL_GROWTH","FQ2 2014","FQ2 2014","Currency=INR","Period=FQ","BEST_FPERIOD_OVERRIDE=FQ","FILING_STATUS=OR","EQY_CONSOLIDATED=Y","Sort=A","Dates=H","DateFormat=P","Fill=—","Direction=H","UseDPDF=Y")</f>
        <v>#NAME?</v>
      </c>
      <c r="BX255" s="2" t="e">
        <f ca="1">_xll.BDH($C$253,"CFO_SEQUENTIAL_GROWTH","FQ2 2014","FQ2 2014","Currency=INR","Period=FQ","BEST_FPERIOD_OVERRIDE=FQ","FILING_STATUS=OR","EQY_CONSOLIDATED=Y","Sort=A","Dates=H","DateFormat=P","Fill=—","Direction=H","UseDPDF=Y")</f>
        <v>#NAME?</v>
      </c>
      <c r="BY255" s="3" t="e">
        <f ca="1">_xll.BDH($C$253,"SHORT_AND_LONG_TERM_DEBT","FQ2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255" s="3" t="e">
        <f ca="1">_xll.BDH($C$253,"BS_ST_BORROW","FQ2 2014","FQ2 2014","Currency=INR","Period=FQ","BEST_FPERIOD_OVERRIDE=FQ","FILING_STATUS=OR","EQY_CONSOLIDATED=Y","SCALING_FORMAT=MLN","Sort=A","Dates=H","DateFormat=P","Fill=—","Direction=H","UseDPDF=Y")</f>
        <v>#NAME?</v>
      </c>
      <c r="CA255" s="3" t="e">
        <f ca="1">_xll.BDH($C$253,"BS_LT_BORROW","FQ2 2014","FQ2 2014","Currency=INR","Period=FQ","BEST_FPERIOD_OVERRIDE=FQ","FILING_STATUS=OR","EQY_CONSOLIDATED=Y","SCALING_FORMAT=MLN","Sort=A","Dates=H","DateFormat=P","Fill=—","Direction=H","UseDPDF=Y")</f>
        <v>#NAME?</v>
      </c>
      <c r="CB255" s="2" t="e">
        <f ca="1">_xll.BDH($C$253,"TOT_DEBT_TO_EBITDA","FQ2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255" s="2" t="e">
        <f ca="1">_xll.BDH($C$253,"NET_DEBT_TO_EBITDA","FQ2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255" s="2" t="e">
        <f ca="1">_xll.BDH($C$253,"TOTAL_DEBT_TO_EBIT","FQ2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255" s="2" t="e">
        <f ca="1">_xll.BDH($C$253,"NET_DEBT_TO_EBIT","FQ2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255" s="2" t="e">
        <f ca="1">_xll.BDH($C$253,"EBITDA_TO_INTEREST_EXPN","FQ2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255" s="2" t="e">
        <f ca="1">_xll.BDH($C$253,"COM_EQY_TO_TOT_ASSET","FQ2 2014","FQ2 2014","Currency=INR","Period=FQ","BEST_FPERIOD_OVERRIDE=FQ","FILING_STATUS=OR","EQY_CONSOLIDATED=Y","Sort=A","Dates=H","DateFormat=P","Fill=—","Direction=H","UseDPDF=Y")</f>
        <v>#NAME?</v>
      </c>
      <c r="CH255" s="2" t="e">
        <f ca="1">_xll.BDH($C$253,"LT_DEBT_TO_TOT_EQY","FQ2 2014","FQ2 2014","Currency=INR","Period=FQ","BEST_FPERIOD_OVERRIDE=FQ","FILING_STATUS=OR","EQY_CONSOLIDATED=Y","Sort=A","Dates=H","DateFormat=P","Fill=—","Direction=H","UseDPDF=Y")</f>
        <v>#NAME?</v>
      </c>
      <c r="CI255" s="2" t="e">
        <f ca="1">_xll.BDH($C$253,"LT_DEBT_TO_TOT_CAP","FQ2 2014","FQ2 2014","Currency=INR","Period=FQ","BEST_FPERIOD_OVERRIDE=FQ","FILING_STATUS=OR","EQY_CONSOLIDATED=Y","Sort=A","Dates=H","DateFormat=P","Fill=—","Direction=H","UseDPDF=Y")</f>
        <v>#NAME?</v>
      </c>
      <c r="CJ255" s="2" t="e">
        <f ca="1">_xll.BDH($C$253,"LT_DEBT_TO_TOT_ASSET","FQ2 2014","FQ2 2014","Currency=INR","Period=FQ","BEST_FPERIOD_OVERRIDE=FQ","FILING_STATUS=OR","EQY_CONSOLIDATED=Y","Sort=A","Dates=H","DateFormat=P","Fill=—","Direction=H","UseDPDF=Y")</f>
        <v>#NAME?</v>
      </c>
      <c r="CK255" s="2" t="e">
        <f ca="1">_xll.BDH($C$253,"TOT_DEBT_TO_TOT_EQY","FQ2 2014","FQ2 2014","Currency=INR","Period=FQ","BEST_FPERIOD_OVERRIDE=FQ","FILING_STATUS=OR","EQY_CONSOLIDATED=Y","Sort=A","Dates=H","DateFormat=P","Fill=—","Direction=H","UseDPDF=Y")</f>
        <v>#NAME?</v>
      </c>
      <c r="CL255" s="2" t="e">
        <f ca="1">_xll.BDH($C$253,"TOT_DEBT_TO_TOT_CAP","FQ2 2014","FQ2 2014","Currency=INR","Period=FQ","BEST_FPERIOD_OVERRIDE=FQ","FILING_STATUS=OR","EQY_CONSOLIDATED=Y","Sort=A","Dates=H","DateFormat=P","Fill=—","Direction=H","UseDPDF=Y")</f>
        <v>#NAME?</v>
      </c>
      <c r="CM255" s="2" t="e">
        <f ca="1">_xll.BDH($C$253,"TOT_DEBT_TO_TOT_ASSET","FQ2 2014","FQ2 2014","Currency=INR","Period=FQ","BEST_FPERIOD_OVERRIDE=FQ","FILING_STATUS=OR","EQY_CONSOLIDATED=Y","Sort=A","Dates=H","DateFormat=P","Fill=—","Direction=H","UseDPDF=Y")</f>
        <v>#NAME?</v>
      </c>
      <c r="CN255" s="2" t="e">
        <f ca="1">_xll.BDH($C$253,"NET_DEBT_TO_SHRHLDR_EQTY","FQ2 2014","FQ2 2014","Currency=INR","Period=FQ","BEST_FPERIOD_OVERRIDE=FQ","FILING_STATUS=OR","EQY_CONSOLIDATED=Y","Sort=A","Dates=H","DateFormat=P","Fill=—","Direction=H","UseDPDF=Y")</f>
        <v>#NAME?</v>
      </c>
      <c r="CO255" s="2" t="e">
        <f ca="1">_xll.BDH($C$253,"NET_DEBT_%_CAPITAL","FQ2 2014","FQ2 2014","Currency=INR","Period=FQ","BEST_FPERIOD_OVERRIDE=FQ","FILING_STATUS=OR","EQY_CONSOLIDATED=Y","Sort=A","Dates=H","DateFormat=P","Fill=—","Direction=H","UseDPDF=Y")</f>
        <v>#NAME?</v>
      </c>
      <c r="CP255" s="3" t="e">
        <f ca="1">_xll.BDH($C$253,"EBITDA","FQ2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255" s="3" t="e">
        <f ca="1">_xll.BDH($C$253,"EBITDA_AFTER_CAPEX","FQ2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255" s="3" t="e">
        <f ca="1">_xll.BDH($C$253,"IS_OPER_INC","FQ2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255" s="2" t="e">
        <f ca="1">_xll.BDH($C$253,"CASH_RATIO","FQ2 2014","FQ2 2014","Currency=INR","Period=FQ","BEST_FPERIOD_OVERRIDE=FQ","FILING_STATUS=OR","EQY_CONSOLIDATED=Y","Sort=A","Dates=H","DateFormat=P","Fill=—","Direction=H","UseDPDF=Y")</f>
        <v>#NAME?</v>
      </c>
      <c r="CT255" s="2" t="e">
        <f ca="1">_xll.BDH($C$253,"CUR_RATIO","FQ2 2014","FQ2 2014","Currency=INR","Period=FQ","BEST_FPERIOD_OVERRIDE=FQ","FILING_STATUS=OR","EQY_CONSOLIDATED=Y","Sort=A","Dates=H","DateFormat=P","Fill=—","Direction=H","UseDPDF=Y")</f>
        <v>#NAME?</v>
      </c>
      <c r="CU255" s="2" t="e">
        <f ca="1">_xll.BDH($C$253,"QUICK_RATIO","FQ2 2014","FQ2 2014","Currency=INR","Period=FQ","BEST_FPERIOD_OVERRIDE=FQ","FILING_STATUS=OR","EQY_CONSOLIDATED=Y","Sort=A","Dates=H","DateFormat=P","Fill=—","Direction=H","UseDPDF=Y")</f>
        <v>#NAME?</v>
      </c>
      <c r="CV255" s="2" t="e">
        <f ca="1">_xll.BDH($C$253,"ALTMAN_Z_SCORE","FQ2 2014","FQ2 2014","Currency=INR","Period=FQ","BEST_FPERIOD_OVERRIDE=FQ","FILING_STATUS=OR","EQY_CONSOLIDATED=Y","Sort=A","Dates=H","DateFormat=P","Fill=—","Direction=H","UseDPDF=Y")</f>
        <v>#NAME?</v>
      </c>
      <c r="CW255" s="4" t="e">
        <f ca="1">_xll.BDH($C$253,"ACCT_RCV_TURN","FQ2 2014","FQ2 2014","Currency=INR","Period=FQ","BEST_FPERIOD_OVERRIDE=FQ","FILING_STATUS=OR","EQY_CONSOLIDATED=Y","FA_ADJUSTED=GAAP","Sort=A","Dates=H","DateFormat=P","Fill=—","Direction=H","UseDPDF=Y")</f>
        <v>#NAME?</v>
      </c>
      <c r="CX255" s="2" t="e">
        <f ca="1">_xll.BDH($C$253,"ACCT_RCV_DAYS","FQ2 2014","FQ2 2014","Currency=INR","Period=FQ","BEST_FPERIOD_OVERRIDE=FQ","FILING_STATUS=OR","EQY_CONSOLIDATED=Y","FA_ADJUSTED=GAAP","Sort=A","Dates=H","DateFormat=P","Fill=—","Direction=H","UseDPDF=Y")</f>
        <v>#NAME?</v>
      </c>
      <c r="CY255" s="4" t="e">
        <f ca="1">_xll.BDH($C$253,"INVENT_TURN","FQ2 2014","FQ2 2014","Currency=INR","Period=FQ","BEST_FPERIOD_OVERRIDE=FQ","FILING_STATUS=OR","EQY_CONSOLIDATED=Y","FA_ADJUSTED=GAAP","Sort=A","Dates=H","DateFormat=P","Fill=—","Direction=H","UseDPDF=Y")</f>
        <v>#NAME?</v>
      </c>
      <c r="CZ255" s="2" t="e">
        <f ca="1">_xll.BDH($C$253,"INVENT_DAYS","FQ2 2014","FQ2 2014","Currency=INR","Period=FQ","BEST_FPERIOD_OVERRIDE=FQ","FILING_STATUS=OR","EQY_CONSOLIDATED=Y","FA_ADJUSTED=GAAP","Sort=A","Dates=H","DateFormat=P","Fill=—","Direction=H","UseDPDF=Y")</f>
        <v>#NAME?</v>
      </c>
      <c r="DA255" s="4" t="e">
        <f ca="1">_xll.BDH($C$253,"ACCOUNTS_PAYABLE_TURNOVER","FQ2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255" s="2" t="e">
        <f ca="1">_xll.BDH($C$253,"ACCOUNTS_PAYABLE_TURNOVER_DAYS","FQ2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255" s="4" t="e">
        <f ca="1">_xll.BDH($C$253,"CASH_CONVERSION_CYCLE","FQ2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255" s="4" t="e">
        <f ca="1">_xll.BDH($C$253,"INV_TO_CASH_DAYS","FQ2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255" s="5" t="e">
        <f ca="1">_xll.BDH($C$253,"BS_INVENTORIES","FQ2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255" s="3" t="e">
        <f ca="1">_xll.BDH($C$253,"INVTRY_RAW_MATERIALS","FQ2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255" s="3" t="e">
        <f ca="1">_xll.BDH($C$253,"INVTRY_IN_PROGRESS","FQ2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255" s="3" t="e">
        <f ca="1">_xll.BDH($C$253,"INVTRY_FINISHED_GOODS","FQ2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255" s="3" t="e">
        <f ca="1">_xll.BDH($C$253,"BS_OTHER_INV","FQ2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256" spans="1:113" x14ac:dyDescent="0.3">
      <c r="A256" s="6"/>
      <c r="B256" s="6"/>
      <c r="C256" s="6"/>
      <c r="D256" s="6"/>
      <c r="E256" t="s">
        <v>80</v>
      </c>
      <c r="F256" t="e">
        <f ca="1">_xll.BDH($C$253,"RETURN_COM_EQY","FQ3 2014","FQ3 2014","Currency=INR","Period=FQ","BEST_FPERIOD_OVERRIDE=FQ","FILING_STATUS=OR","EQY_CONSOLIDATED=Y","FA_ADJUSTED=GAAP","Sort=A","Dates=H","DateFormat=P","Fill=—","Direction=H","UseDPDF=Y")</f>
        <v>#NAME?</v>
      </c>
      <c r="G256" t="e">
        <f ca="1">_xll.BDH($C$253,"RETURN_ON_ASSET","FQ3 2014","FQ3 2014","Currency=INR","Period=FQ","BEST_FPERIOD_OVERRIDE=FQ","FILING_STATUS=OR","EQY_CONSOLIDATED=Y","FA_ADJUSTED=GAAP","Sort=A","Dates=H","DateFormat=P","Fill=—","Direction=H","UseDPDF=Y")</f>
        <v>#NAME?</v>
      </c>
      <c r="H256" t="e">
        <f ca="1">_xll.BDH($C$253,"RETURN_ON_CAP","FQ3 2014","FQ3 2014","Currency=INR","Period=FQ","BEST_FPERIOD_OVERRIDE=FQ","FILING_STATUS=OR","EQY_CONSOLIDATED=Y","FA_ADJUSTED=GAAP","Sort=A","Dates=H","DateFormat=P","Fill=—","Direction=H","UseDPDF=Y")</f>
        <v>#NAME?</v>
      </c>
      <c r="I256" t="e">
        <f ca="1">_xll.BDH($C$253,"RETURN_ON_INV_CAPITAL","FQ3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256" t="e">
        <f ca="1">_xll.BDH($C$253,"EBITDA_TO_REVENUE","FQ3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256" t="e">
        <f ca="1">_xll.BDH($C$253,"OPER_MARGIN","FQ3 2014","FQ3 2014","Currency=INR","Period=FQ","BEST_FPERIOD_OVERRIDE=FQ","FILING_STATUS=OR","EQY_CONSOLIDATED=Y","FA_ADJUSTED=GAAP","Sort=A","Dates=H","DateFormat=P","Fill=—","Direction=H","UseDPDF=Y")</f>
        <v>#NAME?</v>
      </c>
      <c r="L256" t="e">
        <f ca="1">_xll.BDH($C$253,"INCREMENTAL_OPERATING_MARGIN","FQ3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256" t="e">
        <f ca="1">_xll.BDH($C$253,"PRETAX_INC_TO_NET_SALES","FQ3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256" t="e">
        <f ca="1">_xll.BDH($C$253,"INC_BEF_XO_ITEMS_TO_NET_SALES","FQ3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256" t="e">
        <f ca="1">_xll.BDH($C$253,"PROF_MARGIN","FQ3 2014","FQ3 2014","Currency=INR","Period=FQ","BEST_FPERIOD_OVERRIDE=FQ","FILING_STATUS=OR","EQY_CONSOLIDATED=Y","FA_ADJUSTED=GAAP","Sort=A","Dates=H","DateFormat=P","Fill=—","Direction=H","UseDPDF=Y")</f>
        <v>#NAME?</v>
      </c>
      <c r="P256" t="e">
        <f ca="1">_xll.BDH($C$253,"NET_INCOME_TO_COMMON_MARGIN","FQ3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256" t="e">
        <f ca="1">_xll.BDH($C$253,"EFF_TAX_RATE","FQ3 2014","FQ3 2014","Currency=INR","Period=FQ","BEST_FPERIOD_OVERRIDE=FQ","FILING_STATUS=OR","EQY_CONSOLIDATED=Y","FA_ADJUSTED=GAAP","Sort=A","Dates=H","DateFormat=P","Fill=—","Direction=H","UseDPDF=Y")</f>
        <v>#NAME?</v>
      </c>
      <c r="R256" t="e">
        <f ca="1">_xll.BDH($C$253,"DVD_PAYOUT_RATIO","FQ3 2014","FQ3 2014","Currency=INR","Period=FQ","BEST_FPERIOD_OVERRIDE=FQ","FILING_STATUS=OR","EQY_CONSOLIDATED=Y","FA_ADJUSTED=GAAP","Sort=A","Dates=H","DateFormat=P","Fill=—","Direction=H","UseDPDF=Y")</f>
        <v>#NAME?</v>
      </c>
      <c r="S256" t="e">
        <f ca="1">_xll.BDH($C$253,"SUSTAIN_GROWTH_RT","FQ3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256" s="2" t="e">
        <f ca="1">_xll.BDH($C$253,"SALES_GROWTH","FQ3 2014","FQ3 2014","Currency=INR","Period=FQ","BEST_FPERIOD_OVERRIDE=FQ","FILING_STATUS=OR","EQY_CONSOLIDATED=Y","FA_ADJUSTED=GAAP","Sort=A","Dates=H","DateFormat=P","Fill=—","Direction=H","UseDPDF=Y")</f>
        <v>#NAME?</v>
      </c>
      <c r="U256" s="2" t="e">
        <f ca="1">_xll.BDH($C$253,"EBITDA_GROWTH","FQ3 2014","FQ3 2014","Currency=INR","Period=FQ","BEST_FPERIOD_OVERRIDE=FQ","FILING_STATUS=OR","EQY_CONSOLIDATED=Y","FA_ADJUSTED=GAAP","Sort=A","Dates=H","DateFormat=P","Fill=—","Direction=H","UseDPDF=Y")</f>
        <v>#NAME?</v>
      </c>
      <c r="V256" s="2" t="e">
        <f ca="1">_xll.BDH($C$253,"OPER_INC_GROWTH","FQ3 2014","FQ3 2014","Currency=INR","Period=FQ","BEST_FPERIOD_OVERRIDE=FQ","FILING_STATUS=OR","EQY_CONSOLIDATED=Y","FA_ADJUSTED=GAAP","Sort=A","Dates=H","DateFormat=P","Fill=—","Direction=H","UseDPDF=Y")</f>
        <v>#NAME?</v>
      </c>
      <c r="W256" s="2" t="e">
        <f ca="1">_xll.BDH($C$253,"EARN_FOR_COM_GROWTH","FQ3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256" s="2" t="e">
        <f ca="1">_xll.BDH($C$253,"DILUTED_EPS_AFT_XO_ITEMS_GROWTH","FQ3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256" s="2" t="e">
        <f ca="1">_xll.BDH($C$253,"DIVIDEND_PER_SHARE_1_YEAR_GROWTH","FQ3 2014","FQ3 2014","Currency=INR","Period=FQ","BEST_FPERIOD_OVERRIDE=FQ","FILING_STATUS=OR","EQY_CONSOLIDATED=Y","Sort=A","Dates=H","DateFormat=P","Fill=—","Direction=H","UseDPDF=Y")</f>
        <v>#NAME?</v>
      </c>
      <c r="Z256" s="2" t="e">
        <f ca="1">_xll.BDH($C$253,"ACCOUNTS_RECEIVABLE_GROWTH","FQ3 2014","FQ3 2014","Currency=INR","Period=FQ","BEST_FPERIOD_OVERRIDE=FQ","FILING_STATUS=OR","EQY_CONSOLIDATED=Y","Sort=A","Dates=H","DateFormat=P","Fill=—","Direction=H","UseDPDF=Y")</f>
        <v>#NAME?</v>
      </c>
      <c r="AA256" s="2" t="e">
        <f ca="1">_xll.BDH($C$253,"INVENTORY_GROWTH","FQ3 2014","FQ3 2014","Currency=INR","Period=FQ","BEST_FPERIOD_OVERRIDE=FQ","FILING_STATUS=OR","EQY_CONSOLIDATED=Y","Sort=A","Dates=H","DateFormat=P","Fill=—","Direction=H","UseDPDF=Y")</f>
        <v>#NAME?</v>
      </c>
      <c r="AB256" s="2" t="e">
        <f ca="1">_xll.BDH($C$253,"NET_FIXED_ASSETS_1_YEAR_GROWTH","FQ3 2014","FQ3 2014","Currency=INR","Period=FQ","BEST_FPERIOD_OVERRIDE=FQ","FILING_STATUS=OR","EQY_CONSOLIDATED=Y","Sort=A","Dates=H","DateFormat=P","Fill=—","Direction=H","UseDPDF=Y")</f>
        <v>#NAME?</v>
      </c>
      <c r="AC256" s="2" t="e">
        <f ca="1">_xll.BDH($C$253,"ASSET_GROWTH","FQ3 2014","FQ3 2014","Currency=INR","Period=FQ","BEST_FPERIOD_OVERRIDE=FQ","FILING_STATUS=OR","EQY_CONSOLIDATED=Y","Sort=A","Dates=H","DateFormat=P","Fill=—","Direction=H","UseDPDF=Y")</f>
        <v>#NAME?</v>
      </c>
      <c r="AD256" s="2" t="e">
        <f ca="1">_xll.BDH($C$253,"MODIFIED_WORK_CAP_GROWTH","FQ3 2014","FQ3 2014","Currency=INR","Period=FQ","BEST_FPERIOD_OVERRIDE=FQ","FILING_STATUS=OR","EQY_CONSOLIDATED=Y","Sort=A","Dates=H","DateFormat=P","Fill=—","Direction=H","UseDPDF=Y")</f>
        <v>#NAME?</v>
      </c>
      <c r="AE256" s="2" t="e">
        <f ca="1">_xll.BDH($C$253,"WORK_CAP_GROWTH","FQ3 2014","FQ3 2014","Currency=INR","Period=FQ","BEST_FPERIOD_OVERRIDE=FQ","FILING_STATUS=OR","EQY_CONSOLIDATED=Y","Sort=A","Dates=H","DateFormat=P","Fill=—","Direction=H","UseDPDF=Y")</f>
        <v>#NAME?</v>
      </c>
      <c r="AF256" s="2" t="e">
        <f ca="1">_xll.BDH($C$253,"ACCOUNTS_PAYABLE_GROWTH_1YR","FQ3 2014","FQ3 2014","Currency=INR","Period=FQ","BEST_FPERIOD_OVERRIDE=FQ","FILING_STATUS=OR","EQY_CONSOLIDATED=Y","Sort=A","Dates=H","DateFormat=P","Fill=—","Direction=H","UseDPDF=Y")</f>
        <v>#NAME?</v>
      </c>
      <c r="AG256" s="2" t="e">
        <f ca="1">_xll.BDH($C$253,"SHORT_TERM_DEBT_1_YEAR_GROWTH","FQ3 2014","FQ3 2014","Currency=INR","Period=FQ","BEST_FPERIOD_OVERRIDE=FQ","FILING_STATUS=OR","EQY_CONSOLIDATED=Y","Sort=A","Dates=H","DateFormat=P","Fill=—","Direction=H","UseDPDF=Y")</f>
        <v>#NAME?</v>
      </c>
      <c r="AH256" s="2" t="e">
        <f ca="1">_xll.BDH($C$253,"TOTAL_DEBT_1_YEAR_GROWTH","FQ3 2014","FQ3 2014","Currency=INR","Period=FQ","BEST_FPERIOD_OVERRIDE=FQ","FILING_STATUS=OR","EQY_CONSOLIDATED=Y","Sort=A","Dates=H","DateFormat=P","Fill=—","Direction=H","UseDPDF=Y")</f>
        <v>#NAME?</v>
      </c>
      <c r="AI256" s="2" t="e">
        <f ca="1">_xll.BDH($C$253,"TOTAL_EQUITY_1_YEAR_GROWTH","FQ3 2014","FQ3 2014","Currency=INR","Period=FQ","BEST_FPERIOD_OVERRIDE=FQ","FILING_STATUS=OR","EQY_CONSOLIDATED=Y","Sort=A","Dates=H","DateFormat=P","Fill=—","Direction=H","UseDPDF=Y")</f>
        <v>#NAME?</v>
      </c>
      <c r="AJ256" s="2" t="e">
        <f ca="1">_xll.BDH($C$253,"GROWTH_IN_CAP","FQ3 2014","FQ3 2014","Currency=INR","Period=FQ","BEST_FPERIOD_OVERRIDE=FQ","FILING_STATUS=OR","EQY_CONSOLIDATED=Y","Sort=A","Dates=H","DateFormat=P","Fill=—","Direction=H","UseDPDF=Y")</f>
        <v>#NAME?</v>
      </c>
      <c r="AK256" s="2" t="e">
        <f ca="1">_xll.BDH($C$253,"BVPS_GROWTH","FQ3 2014","FQ3 2014","Currency=INR","Period=FQ","BEST_FPERIOD_OVERRIDE=FQ","FILING_STATUS=OR","EQY_CONSOLIDATED=Y","Sort=A","Dates=H","DateFormat=P","Fill=—","Direction=H","UseDPDF=Y")</f>
        <v>#NAME?</v>
      </c>
      <c r="AL256" s="2" t="e">
        <f ca="1">_xll.BDH($C$253,"CASH_FLOW_GROWTH","FQ3 2014","FQ3 2014","Currency=INR","Period=FQ","BEST_FPERIOD_OVERRIDE=FQ","FILING_STATUS=OR","EQY_CONSOLIDATED=Y","Sort=A","Dates=H","DateFormat=P","Fill=—","Direction=H","UseDPDF=Y")</f>
        <v>#NAME?</v>
      </c>
      <c r="AM256" s="2" t="e">
        <f ca="1">_xll.BDH($C$253,"GEO_GROW_NET_SALES","FQ3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256" s="2" t="e">
        <f ca="1">_xll.BDH($C$253,"GEO_GROW_EBITDA","FQ3 2014","FQ3 2014","Currency=INR","Period=FQ","BEST_FPERIOD_OVERRIDE=FQ","FILING_STATUS=OR","EQY_CONSOLIDATED=Y","FA_ADJUSTED=GAAP","Sort=A","Dates=H","DateFormat=P","Fill=—","Direction=H","UseDPDF=Y")</f>
        <v>#NAME?</v>
      </c>
      <c r="AO256" s="2" t="e">
        <f ca="1">_xll.BDH($C$253,"GEO_GROW_OPER_INC","FQ3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256" s="2" t="e">
        <f ca="1">_xll.BDH($C$253,"NET_INCOME_TO_COMMON_5_YR_GROWTH","FQ3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256" s="2" t="e">
        <f ca="1">_xll.BDH($C$253,"5Y_GEO_GROWTH_DILUTED_EPS","FQ3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256" s="2" t="e">
        <f ca="1">_xll.BDH($C$253,"GEO_GROW_DVD_PER_SH","FQ3 2014","FQ3 2014","Currency=INR","Period=FQ","BEST_FPERIOD_OVERRIDE=FQ","FILING_STATUS=OR","EQY_CONSOLIDATED=Y","Sort=A","Dates=H","DateFormat=P","Fill=—","Direction=H","UseDPDF=Y")</f>
        <v>#NAME?</v>
      </c>
      <c r="AS256" s="2" t="e">
        <f ca="1">_xll.BDH($C$253,"ACCOUNTS_RECEIVABLE_5_YR_GROWTH","FQ3 2014","FQ3 2014","Currency=INR","Period=FQ","BEST_FPERIOD_OVERRIDE=FQ","FILING_STATUS=OR","EQY_CONSOLIDATED=Y","Sort=A","Dates=H","DateFormat=P","Fill=—","Direction=H","UseDPDF=Y")</f>
        <v>#NAME?</v>
      </c>
      <c r="AT256" s="2" t="e">
        <f ca="1">_xll.BDH($C$253,"INVENTORY_5_YEAR_GROWTH","FQ3 2014","FQ3 2014","Currency=INR","Period=FQ","BEST_FPERIOD_OVERRIDE=FQ","FILING_STATUS=OR","EQY_CONSOLIDATED=Y","Sort=A","Dates=H","DateFormat=P","Fill=—","Direction=H","UseDPDF=Y")</f>
        <v>#NAME?</v>
      </c>
      <c r="AU256" s="2" t="e">
        <f ca="1">_xll.BDH($C$253,"NET_FIXED_ASSETS_5_YEAR_GROWTH","FQ3 2014","FQ3 2014","Currency=INR","Period=FQ","BEST_FPERIOD_OVERRIDE=FQ","FILING_STATUS=OR","EQY_CONSOLIDATED=Y","Sort=A","Dates=H","DateFormat=P","Fill=—","Direction=H","UseDPDF=Y")</f>
        <v>#NAME?</v>
      </c>
      <c r="AV256" s="2" t="e">
        <f ca="1">_xll.BDH($C$253,"GEO_GROW_TOT_ASSET","FQ3 2014","FQ3 2014","Currency=INR","Period=FQ","BEST_FPERIOD_OVERRIDE=FQ","FILING_STATUS=OR","EQY_CONSOLIDATED=Y","Sort=A","Dates=H","DateFormat=P","Fill=—","Direction=H","UseDPDF=Y")</f>
        <v>#NAME?</v>
      </c>
      <c r="AW256" s="2" t="e">
        <f ca="1">_xll.BDH($C$253,"MODIFIED_WORKING_CPTL_5YR_GRWTH","FQ3 2014","FQ3 2014","Currency=INR","Period=FQ","BEST_FPERIOD_OVERRIDE=FQ","FILING_STATUS=OR","EQY_CONSOLIDATED=Y","Sort=A","Dates=H","DateFormat=P","Fill=—","Direction=H","UseDPDF=Y")</f>
        <v>#NAME?</v>
      </c>
      <c r="AX256" s="2" t="e">
        <f ca="1">_xll.BDH($C$253,"WORKING_CAPITAL_5_YEAR_GROWTH","FQ3 2014","FQ3 2014","Currency=INR","Period=FQ","BEST_FPERIOD_OVERRIDE=FQ","FILING_STATUS=OR","EQY_CONSOLIDATED=Y","Sort=A","Dates=H","DateFormat=P","Fill=—","Direction=H","UseDPDF=Y")</f>
        <v>#NAME?</v>
      </c>
      <c r="AY256" s="2" t="e">
        <f ca="1">_xll.BDH($C$253,"ACCOUNTS_PAYABLE_5_YEAR_GROWTH","FQ3 2014","FQ3 2014","Currency=INR","Period=FQ","BEST_FPERIOD_OVERRIDE=FQ","FILING_STATUS=OR","EQY_CONSOLIDATED=Y","Sort=A","Dates=H","DateFormat=P","Fill=—","Direction=H","UseDPDF=Y")</f>
        <v>#NAME?</v>
      </c>
      <c r="AZ256" s="2" t="e">
        <f ca="1">_xll.BDH($C$253,"SHORT_TERM_DEBT_5_YEAR_GROWTH","FQ3 2014","FQ3 2014","Currency=INR","Period=FQ","BEST_FPERIOD_OVERRIDE=FQ","FILING_STATUS=OR","EQY_CONSOLIDATED=Y","Sort=A","Dates=H","DateFormat=P","Fill=—","Direction=H","UseDPDF=Y")</f>
        <v>#NAME?</v>
      </c>
      <c r="BA256" s="2" t="e">
        <f ca="1">_xll.BDH($C$253,"TOTAL_DEBT_5_YEAR_GROWTH","FQ3 2014","FQ3 2014","Currency=INR","Period=FQ","BEST_FPERIOD_OVERRIDE=FQ","FILING_STATUS=OR","EQY_CONSOLIDATED=Y","Sort=A","Dates=H","DateFormat=P","Fill=—","Direction=H","UseDPDF=Y")</f>
        <v>#NAME?</v>
      </c>
      <c r="BB256" s="2" t="e">
        <f ca="1">_xll.BDH($C$253,"GEO_GROW_TOT_SHRHLDR_EQY","FQ3 2014","FQ3 2014","Currency=INR","Period=FQ","BEST_FPERIOD_OVERRIDE=FQ","FILING_STATUS=OR","EQY_CONSOLIDATED=Y","Sort=A","Dates=H","DateFormat=P","Fill=—","Direction=H","UseDPDF=Y")</f>
        <v>#NAME?</v>
      </c>
      <c r="BC256" s="2" t="e">
        <f ca="1">_xll.BDH($C$253,"TOTAL_CAPITAL_5_YEAR_GROWTH","FQ3 2014","FQ3 2014","Currency=INR","Period=FQ","BEST_FPERIOD_OVERRIDE=FQ","FILING_STATUS=OR","EQY_CONSOLIDATED=Y","Sort=A","Dates=H","DateFormat=P","Fill=—","Direction=H","UseDPDF=Y")</f>
        <v>#NAME?</v>
      </c>
      <c r="BD256" s="2" t="e">
        <f ca="1">_xll.BDH($C$253,"GEO_GROW_BOOK_VAL","FQ3 2014","FQ3 2014","Currency=INR","Period=FQ","BEST_FPERIOD_OVERRIDE=FQ","FILING_STATUS=OR","EQY_CONSOLIDATED=Y","Sort=A","Dates=H","DateFormat=P","Fill=—","Direction=H","UseDPDF=Y")</f>
        <v>#NAME?</v>
      </c>
      <c r="BE256" s="2" t="e">
        <f ca="1">_xll.BDH($C$253,"GEO_GROW_CASH_OPER_ACT","FQ3 2014","FQ3 2014","Currency=INR","Period=FQ","BEST_FPERIOD_OVERRIDE=FQ","FILING_STATUS=OR","EQY_CONSOLIDATED=Y","Sort=A","Dates=H","DateFormat=P","Fill=—","Direction=H","UseDPDF=Y")</f>
        <v>#NAME?</v>
      </c>
      <c r="BF256" s="2" t="e">
        <f ca="1">_xll.BDH($C$253,"REVENUE_SEQUENTIAL_GROWTH","FQ3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256" s="2" t="e">
        <f ca="1">_xll.BDH($C$253,"EBITDA_SEQUENTIAL_GROWTH","FQ3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256" s="2" t="e">
        <f ca="1">_xll.BDH($C$253,"OPERATING_INCOME_SEQ_GROWTH","FQ3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256" s="2" t="e">
        <f ca="1">_xll.BDH($C$253,"NET_INCOME_TO_COMMON_SEQ_GROWTH","FQ3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256" s="2" t="e">
        <f ca="1">_xll.BDH($C$253,"EPS_DILUTED_SEQUENTIAL_GROWTH","FQ3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256" s="2" t="e">
        <f ca="1">_xll.BDH($C$253,"DPS_SEQUENTIAL_GROWTH","FQ3 2014","FQ3 2014","Currency=INR","Period=FQ","BEST_FPERIOD_OVERRIDE=FQ","FILING_STATUS=OR","EQY_CONSOLIDATED=Y","Sort=A","Dates=H","DateFormat=P","Fill=—","Direction=H","UseDPDF=Y")</f>
        <v>#NAME?</v>
      </c>
      <c r="BL256" s="2" t="e">
        <f ca="1">_xll.BDH($C$253,"ACCOUNTS_RECEIVABLE_SEQ_GROWTH","FQ3 2014","FQ3 2014","Currency=INR","Period=FQ","BEST_FPERIOD_OVERRIDE=FQ","FILING_STATUS=OR","EQY_CONSOLIDATED=Y","Sort=A","Dates=H","DateFormat=P","Fill=—","Direction=H","UseDPDF=Y")</f>
        <v>#NAME?</v>
      </c>
      <c r="BM256" s="2" t="e">
        <f ca="1">_xll.BDH($C$253,"INVENTORY_SEQUENTIAL_GROWTH","FQ3 2014","FQ3 2014","Currency=INR","Period=FQ","BEST_FPERIOD_OVERRIDE=FQ","FILING_STATUS=OR","EQY_CONSOLIDATED=Y","Sort=A","Dates=H","DateFormat=P","Fill=—","Direction=H","UseDPDF=Y")</f>
        <v>#NAME?</v>
      </c>
      <c r="BN256" s="2" t="e">
        <f ca="1">_xll.BDH($C$253,"FIXED_ASSETS_SEQUENTIAL_GROWTH","FQ3 2014","FQ3 2014","Currency=INR","Period=FQ","BEST_FPERIOD_OVERRIDE=FQ","FILING_STATUS=OR","EQY_CONSOLIDATED=Y","Sort=A","Dates=H","DateFormat=P","Fill=—","Direction=H","UseDPDF=Y")</f>
        <v>#NAME?</v>
      </c>
      <c r="BO256" s="2" t="e">
        <f ca="1">_xll.BDH($C$253,"TOTAL_ASSETS_SEQUENTIAL_GROWTH","FQ3 2014","FQ3 2014","Currency=INR","Period=FQ","BEST_FPERIOD_OVERRIDE=FQ","FILING_STATUS=OR","EQY_CONSOLIDATED=Y","Sort=A","Dates=H","DateFormat=P","Fill=—","Direction=H","UseDPDF=Y")</f>
        <v>#NAME?</v>
      </c>
      <c r="BP256" s="2" t="e">
        <f ca="1">_xll.BDH($C$253,"MODIFIED_WORKING_CPTL_SEQ_GRWTH","FQ3 2014","FQ3 2014","Currency=INR","Period=FQ","BEST_FPERIOD_OVERRIDE=FQ","FILING_STATUS=OR","EQY_CONSOLIDATED=Y","Sort=A","Dates=H","DateFormat=P","Fill=—","Direction=H","UseDPDF=Y")</f>
        <v>#NAME?</v>
      </c>
      <c r="BQ256" s="2" t="e">
        <f ca="1">_xll.BDH($C$253,"WORKING_CAPITAL_SEQ_GROWTH","FQ3 2014","FQ3 2014","Currency=INR","Period=FQ","BEST_FPERIOD_OVERRIDE=FQ","FILING_STATUS=OR","EQY_CONSOLIDATED=Y","Sort=A","Dates=H","DateFormat=P","Fill=—","Direction=H","UseDPDF=Y")</f>
        <v>#NAME?</v>
      </c>
      <c r="BR256" s="2" t="e">
        <f ca="1">_xll.BDH($C$253,"ACCOUNTS_PAYABLE_SEQ_GROWTH","FQ3 2014","FQ3 2014","Currency=INR","Period=FQ","BEST_FPERIOD_OVERRIDE=FQ","FILING_STATUS=OR","EQY_CONSOLIDATED=Y","Sort=A","Dates=H","DateFormat=P","Fill=—","Direction=H","UseDPDF=Y")</f>
        <v>#NAME?</v>
      </c>
      <c r="BS256" s="2" t="e">
        <f ca="1">_xll.BDH($C$253,"ST_DEBT_SEQUENTIAL_GROWTH","FQ3 2014","FQ3 2014","Currency=INR","Period=FQ","BEST_FPERIOD_OVERRIDE=FQ","FILING_STATUS=OR","EQY_CONSOLIDATED=Y","Sort=A","Dates=H","DateFormat=P","Fill=—","Direction=H","UseDPDF=Y")</f>
        <v>#NAME?</v>
      </c>
      <c r="BT256" s="2" t="e">
        <f ca="1">_xll.BDH($C$253,"TOTAL_DEBT_SEQUENTIAL_GROWTH","FQ3 2014","FQ3 2014","Currency=INR","Period=FQ","BEST_FPERIOD_OVERRIDE=FQ","FILING_STATUS=OR","EQY_CONSOLIDATED=Y","Sort=A","Dates=H","DateFormat=P","Fill=—","Direction=H","UseDPDF=Y")</f>
        <v>#NAME?</v>
      </c>
      <c r="BU256" s="2" t="e">
        <f ca="1">_xll.BDH($C$253,"TOTAL_EQUITY_SEQUENTIAL_GROWTH","FQ3 2014","FQ3 2014","Currency=INR","Period=FQ","BEST_FPERIOD_OVERRIDE=FQ","FILING_STATUS=OR","EQY_CONSOLIDATED=Y","Sort=A","Dates=H","DateFormat=P","Fill=—","Direction=H","UseDPDF=Y")</f>
        <v>#NAME?</v>
      </c>
      <c r="BV256" s="2" t="e">
        <f ca="1">_xll.BDH($C$253,"TOTAL_CAPITAL_SEQUENTIAL_GROWTH","FQ3 2014","FQ3 2014","Currency=INR","Period=FQ","BEST_FPERIOD_OVERRIDE=FQ","FILING_STATUS=OR","EQY_CONSOLIDATED=Y","Sort=A","Dates=H","DateFormat=P","Fill=—","Direction=H","UseDPDF=Y")</f>
        <v>#NAME?</v>
      </c>
      <c r="BW256" s="2" t="e">
        <f ca="1">_xll.BDH($C$253,"BPS_SEQUENTIAL_GROWTH","FQ3 2014","FQ3 2014","Currency=INR","Period=FQ","BEST_FPERIOD_OVERRIDE=FQ","FILING_STATUS=OR","EQY_CONSOLIDATED=Y","Sort=A","Dates=H","DateFormat=P","Fill=—","Direction=H","UseDPDF=Y")</f>
        <v>#NAME?</v>
      </c>
      <c r="BX256" s="2" t="e">
        <f ca="1">_xll.BDH($C$253,"CFO_SEQUENTIAL_GROWTH","FQ3 2014","FQ3 2014","Currency=INR","Period=FQ","BEST_FPERIOD_OVERRIDE=FQ","FILING_STATUS=OR","EQY_CONSOLIDATED=Y","Sort=A","Dates=H","DateFormat=P","Fill=—","Direction=H","UseDPDF=Y")</f>
        <v>#NAME?</v>
      </c>
      <c r="BY256" s="3" t="e">
        <f ca="1">_xll.BDH($C$253,"SHORT_AND_LONG_TERM_DEBT","FQ3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256" s="3" t="e">
        <f ca="1">_xll.BDH($C$253,"BS_ST_BORROW","FQ3 2014","FQ3 2014","Currency=INR","Period=FQ","BEST_FPERIOD_OVERRIDE=FQ","FILING_STATUS=OR","EQY_CONSOLIDATED=Y","SCALING_FORMAT=MLN","Sort=A","Dates=H","DateFormat=P","Fill=—","Direction=H","UseDPDF=Y")</f>
        <v>#NAME?</v>
      </c>
      <c r="CA256" s="3" t="e">
        <f ca="1">_xll.BDH($C$253,"BS_LT_BORROW","FQ3 2014","FQ3 2014","Currency=INR","Period=FQ","BEST_FPERIOD_OVERRIDE=FQ","FILING_STATUS=OR","EQY_CONSOLIDATED=Y","SCALING_FORMAT=MLN","Sort=A","Dates=H","DateFormat=P","Fill=—","Direction=H","UseDPDF=Y")</f>
        <v>#NAME?</v>
      </c>
      <c r="CB256" s="2" t="e">
        <f ca="1">_xll.BDH($C$253,"TOT_DEBT_TO_EBITDA","FQ3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256" s="2" t="e">
        <f ca="1">_xll.BDH($C$253,"NET_DEBT_TO_EBITDA","FQ3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256" s="2" t="e">
        <f ca="1">_xll.BDH($C$253,"TOTAL_DEBT_TO_EBIT","FQ3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256" s="2" t="e">
        <f ca="1">_xll.BDH($C$253,"NET_DEBT_TO_EBIT","FQ3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256" s="2" t="e">
        <f ca="1">_xll.BDH($C$253,"EBITDA_TO_INTEREST_EXPN","FQ3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256" s="2" t="e">
        <f ca="1">_xll.BDH($C$253,"COM_EQY_TO_TOT_ASSET","FQ3 2014","FQ3 2014","Currency=INR","Period=FQ","BEST_FPERIOD_OVERRIDE=FQ","FILING_STATUS=OR","EQY_CONSOLIDATED=Y","Sort=A","Dates=H","DateFormat=P","Fill=—","Direction=H","UseDPDF=Y")</f>
        <v>#NAME?</v>
      </c>
      <c r="CH256" s="2" t="e">
        <f ca="1">_xll.BDH($C$253,"LT_DEBT_TO_TOT_EQY","FQ3 2014","FQ3 2014","Currency=INR","Period=FQ","BEST_FPERIOD_OVERRIDE=FQ","FILING_STATUS=OR","EQY_CONSOLIDATED=Y","Sort=A","Dates=H","DateFormat=P","Fill=—","Direction=H","UseDPDF=Y")</f>
        <v>#NAME?</v>
      </c>
      <c r="CI256" s="2" t="e">
        <f ca="1">_xll.BDH($C$253,"LT_DEBT_TO_TOT_CAP","FQ3 2014","FQ3 2014","Currency=INR","Period=FQ","BEST_FPERIOD_OVERRIDE=FQ","FILING_STATUS=OR","EQY_CONSOLIDATED=Y","Sort=A","Dates=H","DateFormat=P","Fill=—","Direction=H","UseDPDF=Y")</f>
        <v>#NAME?</v>
      </c>
      <c r="CJ256" s="2" t="e">
        <f ca="1">_xll.BDH($C$253,"LT_DEBT_TO_TOT_ASSET","FQ3 2014","FQ3 2014","Currency=INR","Period=FQ","BEST_FPERIOD_OVERRIDE=FQ","FILING_STATUS=OR","EQY_CONSOLIDATED=Y","Sort=A","Dates=H","DateFormat=P","Fill=—","Direction=H","UseDPDF=Y")</f>
        <v>#NAME?</v>
      </c>
      <c r="CK256" s="2" t="e">
        <f ca="1">_xll.BDH($C$253,"TOT_DEBT_TO_TOT_EQY","FQ3 2014","FQ3 2014","Currency=INR","Period=FQ","BEST_FPERIOD_OVERRIDE=FQ","FILING_STATUS=OR","EQY_CONSOLIDATED=Y","Sort=A","Dates=H","DateFormat=P","Fill=—","Direction=H","UseDPDF=Y")</f>
        <v>#NAME?</v>
      </c>
      <c r="CL256" s="2" t="e">
        <f ca="1">_xll.BDH($C$253,"TOT_DEBT_TO_TOT_CAP","FQ3 2014","FQ3 2014","Currency=INR","Period=FQ","BEST_FPERIOD_OVERRIDE=FQ","FILING_STATUS=OR","EQY_CONSOLIDATED=Y","Sort=A","Dates=H","DateFormat=P","Fill=—","Direction=H","UseDPDF=Y")</f>
        <v>#NAME?</v>
      </c>
      <c r="CM256" s="2" t="e">
        <f ca="1">_xll.BDH($C$253,"TOT_DEBT_TO_TOT_ASSET","FQ3 2014","FQ3 2014","Currency=INR","Period=FQ","BEST_FPERIOD_OVERRIDE=FQ","FILING_STATUS=OR","EQY_CONSOLIDATED=Y","Sort=A","Dates=H","DateFormat=P","Fill=—","Direction=H","UseDPDF=Y")</f>
        <v>#NAME?</v>
      </c>
      <c r="CN256" s="2" t="e">
        <f ca="1">_xll.BDH($C$253,"NET_DEBT_TO_SHRHLDR_EQTY","FQ3 2014","FQ3 2014","Currency=INR","Period=FQ","BEST_FPERIOD_OVERRIDE=FQ","FILING_STATUS=OR","EQY_CONSOLIDATED=Y","Sort=A","Dates=H","DateFormat=P","Fill=—","Direction=H","UseDPDF=Y")</f>
        <v>#NAME?</v>
      </c>
      <c r="CO256" s="2" t="e">
        <f ca="1">_xll.BDH($C$253,"NET_DEBT_%_CAPITAL","FQ3 2014","FQ3 2014","Currency=INR","Period=FQ","BEST_FPERIOD_OVERRIDE=FQ","FILING_STATUS=OR","EQY_CONSOLIDATED=Y","Sort=A","Dates=H","DateFormat=P","Fill=—","Direction=H","UseDPDF=Y")</f>
        <v>#NAME?</v>
      </c>
      <c r="CP256" s="3" t="e">
        <f ca="1">_xll.BDH($C$253,"EBITDA","FQ3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256" s="3" t="e">
        <f ca="1">_xll.BDH($C$253,"EBITDA_AFTER_CAPEX","FQ3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256" s="3" t="e">
        <f ca="1">_xll.BDH($C$253,"IS_OPER_INC","FQ3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256" s="2" t="e">
        <f ca="1">_xll.BDH($C$253,"CASH_RATIO","FQ3 2014","FQ3 2014","Currency=INR","Period=FQ","BEST_FPERIOD_OVERRIDE=FQ","FILING_STATUS=OR","EQY_CONSOLIDATED=Y","Sort=A","Dates=H","DateFormat=P","Fill=—","Direction=H","UseDPDF=Y")</f>
        <v>#NAME?</v>
      </c>
      <c r="CT256" s="2" t="e">
        <f ca="1">_xll.BDH($C$253,"CUR_RATIO","FQ3 2014","FQ3 2014","Currency=INR","Period=FQ","BEST_FPERIOD_OVERRIDE=FQ","FILING_STATUS=OR","EQY_CONSOLIDATED=Y","Sort=A","Dates=H","DateFormat=P","Fill=—","Direction=H","UseDPDF=Y")</f>
        <v>#NAME?</v>
      </c>
      <c r="CU256" s="2" t="e">
        <f ca="1">_xll.BDH($C$253,"QUICK_RATIO","FQ3 2014","FQ3 2014","Currency=INR","Period=FQ","BEST_FPERIOD_OVERRIDE=FQ","FILING_STATUS=OR","EQY_CONSOLIDATED=Y","Sort=A","Dates=H","DateFormat=P","Fill=—","Direction=H","UseDPDF=Y")</f>
        <v>#NAME?</v>
      </c>
      <c r="CV256" s="2" t="e">
        <f ca="1">_xll.BDH($C$253,"ALTMAN_Z_SCORE","FQ3 2014","FQ3 2014","Currency=INR","Period=FQ","BEST_FPERIOD_OVERRIDE=FQ","FILING_STATUS=OR","EQY_CONSOLIDATED=Y","Sort=A","Dates=H","DateFormat=P","Fill=—","Direction=H","UseDPDF=Y")</f>
        <v>#NAME?</v>
      </c>
      <c r="CW256" s="4" t="e">
        <f ca="1">_xll.BDH($C$253,"ACCT_RCV_TURN","FQ3 2014","FQ3 2014","Currency=INR","Period=FQ","BEST_FPERIOD_OVERRIDE=FQ","FILING_STATUS=OR","EQY_CONSOLIDATED=Y","FA_ADJUSTED=GAAP","Sort=A","Dates=H","DateFormat=P","Fill=—","Direction=H","UseDPDF=Y")</f>
        <v>#NAME?</v>
      </c>
      <c r="CX256" s="2" t="e">
        <f ca="1">_xll.BDH($C$253,"ACCT_RCV_DAYS","FQ3 2014","FQ3 2014","Currency=INR","Period=FQ","BEST_FPERIOD_OVERRIDE=FQ","FILING_STATUS=OR","EQY_CONSOLIDATED=Y","FA_ADJUSTED=GAAP","Sort=A","Dates=H","DateFormat=P","Fill=—","Direction=H","UseDPDF=Y")</f>
        <v>#NAME?</v>
      </c>
      <c r="CY256" s="4" t="e">
        <f ca="1">_xll.BDH($C$253,"INVENT_TURN","FQ3 2014","FQ3 2014","Currency=INR","Period=FQ","BEST_FPERIOD_OVERRIDE=FQ","FILING_STATUS=OR","EQY_CONSOLIDATED=Y","FA_ADJUSTED=GAAP","Sort=A","Dates=H","DateFormat=P","Fill=—","Direction=H","UseDPDF=Y")</f>
        <v>#NAME?</v>
      </c>
      <c r="CZ256" s="2" t="e">
        <f ca="1">_xll.BDH($C$253,"INVENT_DAYS","FQ3 2014","FQ3 2014","Currency=INR","Period=FQ","BEST_FPERIOD_OVERRIDE=FQ","FILING_STATUS=OR","EQY_CONSOLIDATED=Y","FA_ADJUSTED=GAAP","Sort=A","Dates=H","DateFormat=P","Fill=—","Direction=H","UseDPDF=Y")</f>
        <v>#NAME?</v>
      </c>
      <c r="DA256" s="4" t="e">
        <f ca="1">_xll.BDH($C$253,"ACCOUNTS_PAYABLE_TURNOVER","FQ3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256" s="2" t="e">
        <f ca="1">_xll.BDH($C$253,"ACCOUNTS_PAYABLE_TURNOVER_DAYS","FQ3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256" s="4" t="e">
        <f ca="1">_xll.BDH($C$253,"CASH_CONVERSION_CYCLE","FQ3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256" s="4" t="e">
        <f ca="1">_xll.BDH($C$253,"INV_TO_CASH_DAYS","FQ3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256" s="5" t="e">
        <f ca="1">_xll.BDH($C$253,"BS_INVENTORIES","FQ3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256" s="3" t="e">
        <f ca="1">_xll.BDH($C$253,"INVTRY_RAW_MATERIALS","FQ3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256" s="3" t="e">
        <f ca="1">_xll.BDH($C$253,"INVTRY_IN_PROGRESS","FQ3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256" s="3" t="e">
        <f ca="1">_xll.BDH($C$253,"INVTRY_FINISHED_GOODS","FQ3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256" s="3" t="e">
        <f ca="1">_xll.BDH($C$253,"BS_OTHER_INV","FQ3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257" spans="1:113" x14ac:dyDescent="0.3">
      <c r="A257" s="6"/>
      <c r="B257" s="6"/>
      <c r="C257" s="6"/>
      <c r="D257" s="6"/>
      <c r="E257" t="s">
        <v>81</v>
      </c>
      <c r="F257" t="e">
        <f ca="1">_xll.BDH($C$253,"RETURN_COM_EQY","FQ4 2014","FQ4 2014","Currency=INR","Period=FQ","BEST_FPERIOD_OVERRIDE=FQ","FILING_STATUS=OR","EQY_CONSOLIDATED=Y","FA_ADJUSTED=GAAP","Sort=A","Dates=H","DateFormat=P","Fill=—","Direction=H","UseDPDF=Y")</f>
        <v>#NAME?</v>
      </c>
      <c r="G257" t="e">
        <f ca="1">_xll.BDH($C$253,"RETURN_ON_ASSET","FQ4 2014","FQ4 2014","Currency=INR","Period=FQ","BEST_FPERIOD_OVERRIDE=FQ","FILING_STATUS=OR","EQY_CONSOLIDATED=Y","FA_ADJUSTED=GAAP","Sort=A","Dates=H","DateFormat=P","Fill=—","Direction=H","UseDPDF=Y")</f>
        <v>#NAME?</v>
      </c>
      <c r="H257" t="e">
        <f ca="1">_xll.BDH($C$253,"RETURN_ON_CAP","FQ4 2014","FQ4 2014","Currency=INR","Period=FQ","BEST_FPERIOD_OVERRIDE=FQ","FILING_STATUS=OR","EQY_CONSOLIDATED=Y","FA_ADJUSTED=GAAP","Sort=A","Dates=H","DateFormat=P","Fill=—","Direction=H","UseDPDF=Y")</f>
        <v>#NAME?</v>
      </c>
      <c r="I257" t="e">
        <f ca="1">_xll.BDH($C$253,"RETURN_ON_INV_CAPITAL","FQ4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257" t="e">
        <f ca="1">_xll.BDH($C$253,"EBITDA_TO_REVENUE","FQ4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257" t="e">
        <f ca="1">_xll.BDH($C$253,"OPER_MARGIN","FQ4 2014","FQ4 2014","Currency=INR","Period=FQ","BEST_FPERIOD_OVERRIDE=FQ","FILING_STATUS=OR","EQY_CONSOLIDATED=Y","FA_ADJUSTED=GAAP","Sort=A","Dates=H","DateFormat=P","Fill=—","Direction=H","UseDPDF=Y")</f>
        <v>#NAME?</v>
      </c>
      <c r="L257" t="e">
        <f ca="1">_xll.BDH($C$253,"INCREMENTAL_OPERATING_MARGIN","FQ4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257" t="e">
        <f ca="1">_xll.BDH($C$253,"PRETAX_INC_TO_NET_SALES","FQ4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257" t="e">
        <f ca="1">_xll.BDH($C$253,"INC_BEF_XO_ITEMS_TO_NET_SALES","FQ4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257" t="e">
        <f ca="1">_xll.BDH($C$253,"PROF_MARGIN","FQ4 2014","FQ4 2014","Currency=INR","Period=FQ","BEST_FPERIOD_OVERRIDE=FQ","FILING_STATUS=OR","EQY_CONSOLIDATED=Y","FA_ADJUSTED=GAAP","Sort=A","Dates=H","DateFormat=P","Fill=—","Direction=H","UseDPDF=Y")</f>
        <v>#NAME?</v>
      </c>
      <c r="P257" t="e">
        <f ca="1">_xll.BDH($C$253,"NET_INCOME_TO_COMMON_MARGIN","FQ4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257" t="e">
        <f ca="1">_xll.BDH($C$253,"EFF_TAX_RATE","FQ4 2014","FQ4 2014","Currency=INR","Period=FQ","BEST_FPERIOD_OVERRIDE=FQ","FILING_STATUS=OR","EQY_CONSOLIDATED=Y","FA_ADJUSTED=GAAP","Sort=A","Dates=H","DateFormat=P","Fill=—","Direction=H","UseDPDF=Y")</f>
        <v>#NAME?</v>
      </c>
      <c r="R257" t="e">
        <f ca="1">_xll.BDH($C$253,"DVD_PAYOUT_RATIO","FQ4 2014","FQ4 2014","Currency=INR","Period=FQ","BEST_FPERIOD_OVERRIDE=FQ","FILING_STATUS=OR","EQY_CONSOLIDATED=Y","FA_ADJUSTED=GAAP","Sort=A","Dates=H","DateFormat=P","Fill=—","Direction=H","UseDPDF=Y")</f>
        <v>#NAME?</v>
      </c>
      <c r="S257" t="e">
        <f ca="1">_xll.BDH($C$253,"SUSTAIN_GROWTH_RT","FQ4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257" s="2" t="e">
        <f ca="1">_xll.BDH($C$253,"SALES_GROWTH","FQ4 2014","FQ4 2014","Currency=INR","Period=FQ","BEST_FPERIOD_OVERRIDE=FQ","FILING_STATUS=OR","EQY_CONSOLIDATED=Y","FA_ADJUSTED=GAAP","Sort=A","Dates=H","DateFormat=P","Fill=—","Direction=H","UseDPDF=Y")</f>
        <v>#NAME?</v>
      </c>
      <c r="U257" s="2" t="e">
        <f ca="1">_xll.BDH($C$253,"EBITDA_GROWTH","FQ4 2014","FQ4 2014","Currency=INR","Period=FQ","BEST_FPERIOD_OVERRIDE=FQ","FILING_STATUS=OR","EQY_CONSOLIDATED=Y","FA_ADJUSTED=GAAP","Sort=A","Dates=H","DateFormat=P","Fill=—","Direction=H","UseDPDF=Y")</f>
        <v>#NAME?</v>
      </c>
      <c r="V257" s="2" t="e">
        <f ca="1">_xll.BDH($C$253,"OPER_INC_GROWTH","FQ4 2014","FQ4 2014","Currency=INR","Period=FQ","BEST_FPERIOD_OVERRIDE=FQ","FILING_STATUS=OR","EQY_CONSOLIDATED=Y","FA_ADJUSTED=GAAP","Sort=A","Dates=H","DateFormat=P","Fill=—","Direction=H","UseDPDF=Y")</f>
        <v>#NAME?</v>
      </c>
      <c r="W257" s="2" t="e">
        <f ca="1">_xll.BDH($C$253,"EARN_FOR_COM_GROWTH","FQ4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257" s="2" t="e">
        <f ca="1">_xll.BDH($C$253,"DILUTED_EPS_AFT_XO_ITEMS_GROWTH","FQ4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257" s="2" t="e">
        <f ca="1">_xll.BDH($C$253,"DIVIDEND_PER_SHARE_1_YEAR_GROWTH","FQ4 2014","FQ4 2014","Currency=INR","Period=FQ","BEST_FPERIOD_OVERRIDE=FQ","FILING_STATUS=OR","EQY_CONSOLIDATED=Y","Sort=A","Dates=H","DateFormat=P","Fill=—","Direction=H","UseDPDF=Y")</f>
        <v>#NAME?</v>
      </c>
      <c r="Z257" s="2" t="e">
        <f ca="1">_xll.BDH($C$253,"ACCOUNTS_RECEIVABLE_GROWTH","FQ4 2014","FQ4 2014","Currency=INR","Period=FQ","BEST_FPERIOD_OVERRIDE=FQ","FILING_STATUS=OR","EQY_CONSOLIDATED=Y","Sort=A","Dates=H","DateFormat=P","Fill=—","Direction=H","UseDPDF=Y")</f>
        <v>#NAME?</v>
      </c>
      <c r="AA257" s="2" t="e">
        <f ca="1">_xll.BDH($C$253,"INVENTORY_GROWTH","FQ4 2014","FQ4 2014","Currency=INR","Period=FQ","BEST_FPERIOD_OVERRIDE=FQ","FILING_STATUS=OR","EQY_CONSOLIDATED=Y","Sort=A","Dates=H","DateFormat=P","Fill=—","Direction=H","UseDPDF=Y")</f>
        <v>#NAME?</v>
      </c>
      <c r="AB257" s="2" t="e">
        <f ca="1">_xll.BDH($C$253,"NET_FIXED_ASSETS_1_YEAR_GROWTH","FQ4 2014","FQ4 2014","Currency=INR","Period=FQ","BEST_FPERIOD_OVERRIDE=FQ","FILING_STATUS=OR","EQY_CONSOLIDATED=Y","Sort=A","Dates=H","DateFormat=P","Fill=—","Direction=H","UseDPDF=Y")</f>
        <v>#NAME?</v>
      </c>
      <c r="AC257" s="2" t="e">
        <f ca="1">_xll.BDH($C$253,"ASSET_GROWTH","FQ4 2014","FQ4 2014","Currency=INR","Period=FQ","BEST_FPERIOD_OVERRIDE=FQ","FILING_STATUS=OR","EQY_CONSOLIDATED=Y","Sort=A","Dates=H","DateFormat=P","Fill=—","Direction=H","UseDPDF=Y")</f>
        <v>#NAME?</v>
      </c>
      <c r="AD257" s="2" t="e">
        <f ca="1">_xll.BDH($C$253,"MODIFIED_WORK_CAP_GROWTH","FQ4 2014","FQ4 2014","Currency=INR","Period=FQ","BEST_FPERIOD_OVERRIDE=FQ","FILING_STATUS=OR","EQY_CONSOLIDATED=Y","Sort=A","Dates=H","DateFormat=P","Fill=—","Direction=H","UseDPDF=Y")</f>
        <v>#NAME?</v>
      </c>
      <c r="AE257" s="2" t="e">
        <f ca="1">_xll.BDH($C$253,"WORK_CAP_GROWTH","FQ4 2014","FQ4 2014","Currency=INR","Period=FQ","BEST_FPERIOD_OVERRIDE=FQ","FILING_STATUS=OR","EQY_CONSOLIDATED=Y","Sort=A","Dates=H","DateFormat=P","Fill=—","Direction=H","UseDPDF=Y")</f>
        <v>#NAME?</v>
      </c>
      <c r="AF257" s="2" t="e">
        <f ca="1">_xll.BDH($C$253,"ACCOUNTS_PAYABLE_GROWTH_1YR","FQ4 2014","FQ4 2014","Currency=INR","Period=FQ","BEST_FPERIOD_OVERRIDE=FQ","FILING_STATUS=OR","EQY_CONSOLIDATED=Y","Sort=A","Dates=H","DateFormat=P","Fill=—","Direction=H","UseDPDF=Y")</f>
        <v>#NAME?</v>
      </c>
      <c r="AG257" s="2" t="e">
        <f ca="1">_xll.BDH($C$253,"SHORT_TERM_DEBT_1_YEAR_GROWTH","FQ4 2014","FQ4 2014","Currency=INR","Period=FQ","BEST_FPERIOD_OVERRIDE=FQ","FILING_STATUS=OR","EQY_CONSOLIDATED=Y","Sort=A","Dates=H","DateFormat=P","Fill=—","Direction=H","UseDPDF=Y")</f>
        <v>#NAME?</v>
      </c>
      <c r="AH257" s="2" t="e">
        <f ca="1">_xll.BDH($C$253,"TOTAL_DEBT_1_YEAR_GROWTH","FQ4 2014","FQ4 2014","Currency=INR","Period=FQ","BEST_FPERIOD_OVERRIDE=FQ","FILING_STATUS=OR","EQY_CONSOLIDATED=Y","Sort=A","Dates=H","DateFormat=P","Fill=—","Direction=H","UseDPDF=Y")</f>
        <v>#NAME?</v>
      </c>
      <c r="AI257" s="2" t="e">
        <f ca="1">_xll.BDH($C$253,"TOTAL_EQUITY_1_YEAR_GROWTH","FQ4 2014","FQ4 2014","Currency=INR","Period=FQ","BEST_FPERIOD_OVERRIDE=FQ","FILING_STATUS=OR","EQY_CONSOLIDATED=Y","Sort=A","Dates=H","DateFormat=P","Fill=—","Direction=H","UseDPDF=Y")</f>
        <v>#NAME?</v>
      </c>
      <c r="AJ257" s="2" t="e">
        <f ca="1">_xll.BDH($C$253,"GROWTH_IN_CAP","FQ4 2014","FQ4 2014","Currency=INR","Period=FQ","BEST_FPERIOD_OVERRIDE=FQ","FILING_STATUS=OR","EQY_CONSOLIDATED=Y","Sort=A","Dates=H","DateFormat=P","Fill=—","Direction=H","UseDPDF=Y")</f>
        <v>#NAME?</v>
      </c>
      <c r="AK257" s="2" t="e">
        <f ca="1">_xll.BDH($C$253,"BVPS_GROWTH","FQ4 2014","FQ4 2014","Currency=INR","Period=FQ","BEST_FPERIOD_OVERRIDE=FQ","FILING_STATUS=OR","EQY_CONSOLIDATED=Y","Sort=A","Dates=H","DateFormat=P","Fill=—","Direction=H","UseDPDF=Y")</f>
        <v>#NAME?</v>
      </c>
      <c r="AL257" s="2" t="e">
        <f ca="1">_xll.BDH($C$253,"CASH_FLOW_GROWTH","FQ4 2014","FQ4 2014","Currency=INR","Period=FQ","BEST_FPERIOD_OVERRIDE=FQ","FILING_STATUS=OR","EQY_CONSOLIDATED=Y","Sort=A","Dates=H","DateFormat=P","Fill=—","Direction=H","UseDPDF=Y")</f>
        <v>#NAME?</v>
      </c>
      <c r="AM257" s="2" t="e">
        <f ca="1">_xll.BDH($C$253,"GEO_GROW_NET_SALES","FQ4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257" s="2" t="e">
        <f ca="1">_xll.BDH($C$253,"GEO_GROW_EBITDA","FQ4 2014","FQ4 2014","Currency=INR","Period=FQ","BEST_FPERIOD_OVERRIDE=FQ","FILING_STATUS=OR","EQY_CONSOLIDATED=Y","FA_ADJUSTED=GAAP","Sort=A","Dates=H","DateFormat=P","Fill=—","Direction=H","UseDPDF=Y")</f>
        <v>#NAME?</v>
      </c>
      <c r="AO257" s="2" t="e">
        <f ca="1">_xll.BDH($C$253,"GEO_GROW_OPER_INC","FQ4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257" s="2" t="e">
        <f ca="1">_xll.BDH($C$253,"NET_INCOME_TO_COMMON_5_YR_GROWTH","FQ4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257" s="2" t="e">
        <f ca="1">_xll.BDH($C$253,"5Y_GEO_GROWTH_DILUTED_EPS","FQ4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257" s="2" t="e">
        <f ca="1">_xll.BDH($C$253,"GEO_GROW_DVD_PER_SH","FQ4 2014","FQ4 2014","Currency=INR","Period=FQ","BEST_FPERIOD_OVERRIDE=FQ","FILING_STATUS=OR","EQY_CONSOLIDATED=Y","Sort=A","Dates=H","DateFormat=P","Fill=—","Direction=H","UseDPDF=Y")</f>
        <v>#NAME?</v>
      </c>
      <c r="AS257" s="2" t="e">
        <f ca="1">_xll.BDH($C$253,"ACCOUNTS_RECEIVABLE_5_YR_GROWTH","FQ4 2014","FQ4 2014","Currency=INR","Period=FQ","BEST_FPERIOD_OVERRIDE=FQ","FILING_STATUS=OR","EQY_CONSOLIDATED=Y","Sort=A","Dates=H","DateFormat=P","Fill=—","Direction=H","UseDPDF=Y")</f>
        <v>#NAME?</v>
      </c>
      <c r="AT257" s="2" t="e">
        <f ca="1">_xll.BDH($C$253,"INVENTORY_5_YEAR_GROWTH","FQ4 2014","FQ4 2014","Currency=INR","Period=FQ","BEST_FPERIOD_OVERRIDE=FQ","FILING_STATUS=OR","EQY_CONSOLIDATED=Y","Sort=A","Dates=H","DateFormat=P","Fill=—","Direction=H","UseDPDF=Y")</f>
        <v>#NAME?</v>
      </c>
      <c r="AU257" s="2" t="e">
        <f ca="1">_xll.BDH($C$253,"NET_FIXED_ASSETS_5_YEAR_GROWTH","FQ4 2014","FQ4 2014","Currency=INR","Period=FQ","BEST_FPERIOD_OVERRIDE=FQ","FILING_STATUS=OR","EQY_CONSOLIDATED=Y","Sort=A","Dates=H","DateFormat=P","Fill=—","Direction=H","UseDPDF=Y")</f>
        <v>#NAME?</v>
      </c>
      <c r="AV257" s="2" t="e">
        <f ca="1">_xll.BDH($C$253,"GEO_GROW_TOT_ASSET","FQ4 2014","FQ4 2014","Currency=INR","Period=FQ","BEST_FPERIOD_OVERRIDE=FQ","FILING_STATUS=OR","EQY_CONSOLIDATED=Y","Sort=A","Dates=H","DateFormat=P","Fill=—","Direction=H","UseDPDF=Y")</f>
        <v>#NAME?</v>
      </c>
      <c r="AW257" s="2" t="e">
        <f ca="1">_xll.BDH($C$253,"MODIFIED_WORKING_CPTL_5YR_GRWTH","FQ4 2014","FQ4 2014","Currency=INR","Period=FQ","BEST_FPERIOD_OVERRIDE=FQ","FILING_STATUS=OR","EQY_CONSOLIDATED=Y","Sort=A","Dates=H","DateFormat=P","Fill=—","Direction=H","UseDPDF=Y")</f>
        <v>#NAME?</v>
      </c>
      <c r="AX257" s="2" t="e">
        <f ca="1">_xll.BDH($C$253,"WORKING_CAPITAL_5_YEAR_GROWTH","FQ4 2014","FQ4 2014","Currency=INR","Period=FQ","BEST_FPERIOD_OVERRIDE=FQ","FILING_STATUS=OR","EQY_CONSOLIDATED=Y","Sort=A","Dates=H","DateFormat=P","Fill=—","Direction=H","UseDPDF=Y")</f>
        <v>#NAME?</v>
      </c>
      <c r="AY257" s="2" t="e">
        <f ca="1">_xll.BDH($C$253,"ACCOUNTS_PAYABLE_5_YEAR_GROWTH","FQ4 2014","FQ4 2014","Currency=INR","Period=FQ","BEST_FPERIOD_OVERRIDE=FQ","FILING_STATUS=OR","EQY_CONSOLIDATED=Y","Sort=A","Dates=H","DateFormat=P","Fill=—","Direction=H","UseDPDF=Y")</f>
        <v>#NAME?</v>
      </c>
      <c r="AZ257" s="2" t="e">
        <f ca="1">_xll.BDH($C$253,"SHORT_TERM_DEBT_5_YEAR_GROWTH","FQ4 2014","FQ4 2014","Currency=INR","Period=FQ","BEST_FPERIOD_OVERRIDE=FQ","FILING_STATUS=OR","EQY_CONSOLIDATED=Y","Sort=A","Dates=H","DateFormat=P","Fill=—","Direction=H","UseDPDF=Y")</f>
        <v>#NAME?</v>
      </c>
      <c r="BA257" s="2" t="e">
        <f ca="1">_xll.BDH($C$253,"TOTAL_DEBT_5_YEAR_GROWTH","FQ4 2014","FQ4 2014","Currency=INR","Period=FQ","BEST_FPERIOD_OVERRIDE=FQ","FILING_STATUS=OR","EQY_CONSOLIDATED=Y","Sort=A","Dates=H","DateFormat=P","Fill=—","Direction=H","UseDPDF=Y")</f>
        <v>#NAME?</v>
      </c>
      <c r="BB257" s="2" t="e">
        <f ca="1">_xll.BDH($C$253,"GEO_GROW_TOT_SHRHLDR_EQY","FQ4 2014","FQ4 2014","Currency=INR","Period=FQ","BEST_FPERIOD_OVERRIDE=FQ","FILING_STATUS=OR","EQY_CONSOLIDATED=Y","Sort=A","Dates=H","DateFormat=P","Fill=—","Direction=H","UseDPDF=Y")</f>
        <v>#NAME?</v>
      </c>
      <c r="BC257" s="2" t="e">
        <f ca="1">_xll.BDH($C$253,"TOTAL_CAPITAL_5_YEAR_GROWTH","FQ4 2014","FQ4 2014","Currency=INR","Period=FQ","BEST_FPERIOD_OVERRIDE=FQ","FILING_STATUS=OR","EQY_CONSOLIDATED=Y","Sort=A","Dates=H","DateFormat=P","Fill=—","Direction=H","UseDPDF=Y")</f>
        <v>#NAME?</v>
      </c>
      <c r="BD257" s="2" t="e">
        <f ca="1">_xll.BDH($C$253,"GEO_GROW_BOOK_VAL","FQ4 2014","FQ4 2014","Currency=INR","Period=FQ","BEST_FPERIOD_OVERRIDE=FQ","FILING_STATUS=OR","EQY_CONSOLIDATED=Y","Sort=A","Dates=H","DateFormat=P","Fill=—","Direction=H","UseDPDF=Y")</f>
        <v>#NAME?</v>
      </c>
      <c r="BE257" s="2" t="e">
        <f ca="1">_xll.BDH($C$253,"GEO_GROW_CASH_OPER_ACT","FQ4 2014","FQ4 2014","Currency=INR","Period=FQ","BEST_FPERIOD_OVERRIDE=FQ","FILING_STATUS=OR","EQY_CONSOLIDATED=Y","Sort=A","Dates=H","DateFormat=P","Fill=—","Direction=H","UseDPDF=Y")</f>
        <v>#NAME?</v>
      </c>
      <c r="BF257" s="2" t="e">
        <f ca="1">_xll.BDH($C$253,"REVENUE_SEQUENTIAL_GROWTH","FQ4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257" s="2" t="e">
        <f ca="1">_xll.BDH($C$253,"EBITDA_SEQUENTIAL_GROWTH","FQ4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257" s="2" t="e">
        <f ca="1">_xll.BDH($C$253,"OPERATING_INCOME_SEQ_GROWTH","FQ4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257" s="2" t="e">
        <f ca="1">_xll.BDH($C$253,"NET_INCOME_TO_COMMON_SEQ_GROWTH","FQ4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257" s="2" t="e">
        <f ca="1">_xll.BDH($C$253,"EPS_DILUTED_SEQUENTIAL_GROWTH","FQ4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257" s="2" t="e">
        <f ca="1">_xll.BDH($C$253,"DPS_SEQUENTIAL_GROWTH","FQ4 2014","FQ4 2014","Currency=INR","Period=FQ","BEST_FPERIOD_OVERRIDE=FQ","FILING_STATUS=OR","EQY_CONSOLIDATED=Y","Sort=A","Dates=H","DateFormat=P","Fill=—","Direction=H","UseDPDF=Y")</f>
        <v>#NAME?</v>
      </c>
      <c r="BL257" s="2" t="e">
        <f ca="1">_xll.BDH($C$253,"ACCOUNTS_RECEIVABLE_SEQ_GROWTH","FQ4 2014","FQ4 2014","Currency=INR","Period=FQ","BEST_FPERIOD_OVERRIDE=FQ","FILING_STATUS=OR","EQY_CONSOLIDATED=Y","Sort=A","Dates=H","DateFormat=P","Fill=—","Direction=H","UseDPDF=Y")</f>
        <v>#NAME?</v>
      </c>
      <c r="BM257" s="2" t="e">
        <f ca="1">_xll.BDH($C$253,"INVENTORY_SEQUENTIAL_GROWTH","FQ4 2014","FQ4 2014","Currency=INR","Period=FQ","BEST_FPERIOD_OVERRIDE=FQ","FILING_STATUS=OR","EQY_CONSOLIDATED=Y","Sort=A","Dates=H","DateFormat=P","Fill=—","Direction=H","UseDPDF=Y")</f>
        <v>#NAME?</v>
      </c>
      <c r="BN257" s="2" t="e">
        <f ca="1">_xll.BDH($C$253,"FIXED_ASSETS_SEQUENTIAL_GROWTH","FQ4 2014","FQ4 2014","Currency=INR","Period=FQ","BEST_FPERIOD_OVERRIDE=FQ","FILING_STATUS=OR","EQY_CONSOLIDATED=Y","Sort=A","Dates=H","DateFormat=P","Fill=—","Direction=H","UseDPDF=Y")</f>
        <v>#NAME?</v>
      </c>
      <c r="BO257" s="2" t="e">
        <f ca="1">_xll.BDH($C$253,"TOTAL_ASSETS_SEQUENTIAL_GROWTH","FQ4 2014","FQ4 2014","Currency=INR","Period=FQ","BEST_FPERIOD_OVERRIDE=FQ","FILING_STATUS=OR","EQY_CONSOLIDATED=Y","Sort=A","Dates=H","DateFormat=P","Fill=—","Direction=H","UseDPDF=Y")</f>
        <v>#NAME?</v>
      </c>
      <c r="BP257" s="2" t="e">
        <f ca="1">_xll.BDH($C$253,"MODIFIED_WORKING_CPTL_SEQ_GRWTH","FQ4 2014","FQ4 2014","Currency=INR","Period=FQ","BEST_FPERIOD_OVERRIDE=FQ","FILING_STATUS=OR","EQY_CONSOLIDATED=Y","Sort=A","Dates=H","DateFormat=P","Fill=—","Direction=H","UseDPDF=Y")</f>
        <v>#NAME?</v>
      </c>
      <c r="BQ257" s="2" t="e">
        <f ca="1">_xll.BDH($C$253,"WORKING_CAPITAL_SEQ_GROWTH","FQ4 2014","FQ4 2014","Currency=INR","Period=FQ","BEST_FPERIOD_OVERRIDE=FQ","FILING_STATUS=OR","EQY_CONSOLIDATED=Y","Sort=A","Dates=H","DateFormat=P","Fill=—","Direction=H","UseDPDF=Y")</f>
        <v>#NAME?</v>
      </c>
      <c r="BR257" s="2" t="e">
        <f ca="1">_xll.BDH($C$253,"ACCOUNTS_PAYABLE_SEQ_GROWTH","FQ4 2014","FQ4 2014","Currency=INR","Period=FQ","BEST_FPERIOD_OVERRIDE=FQ","FILING_STATUS=OR","EQY_CONSOLIDATED=Y","Sort=A","Dates=H","DateFormat=P","Fill=—","Direction=H","UseDPDF=Y")</f>
        <v>#NAME?</v>
      </c>
      <c r="BS257" s="2" t="e">
        <f ca="1">_xll.BDH($C$253,"ST_DEBT_SEQUENTIAL_GROWTH","FQ4 2014","FQ4 2014","Currency=INR","Period=FQ","BEST_FPERIOD_OVERRIDE=FQ","FILING_STATUS=OR","EQY_CONSOLIDATED=Y","Sort=A","Dates=H","DateFormat=P","Fill=—","Direction=H","UseDPDF=Y")</f>
        <v>#NAME?</v>
      </c>
      <c r="BT257" s="2" t="e">
        <f ca="1">_xll.BDH($C$253,"TOTAL_DEBT_SEQUENTIAL_GROWTH","FQ4 2014","FQ4 2014","Currency=INR","Period=FQ","BEST_FPERIOD_OVERRIDE=FQ","FILING_STATUS=OR","EQY_CONSOLIDATED=Y","Sort=A","Dates=H","DateFormat=P","Fill=—","Direction=H","UseDPDF=Y")</f>
        <v>#NAME?</v>
      </c>
      <c r="BU257" s="2" t="e">
        <f ca="1">_xll.BDH($C$253,"TOTAL_EQUITY_SEQUENTIAL_GROWTH","FQ4 2014","FQ4 2014","Currency=INR","Period=FQ","BEST_FPERIOD_OVERRIDE=FQ","FILING_STATUS=OR","EQY_CONSOLIDATED=Y","Sort=A","Dates=H","DateFormat=P","Fill=—","Direction=H","UseDPDF=Y")</f>
        <v>#NAME?</v>
      </c>
      <c r="BV257" s="2" t="e">
        <f ca="1">_xll.BDH($C$253,"TOTAL_CAPITAL_SEQUENTIAL_GROWTH","FQ4 2014","FQ4 2014","Currency=INR","Period=FQ","BEST_FPERIOD_OVERRIDE=FQ","FILING_STATUS=OR","EQY_CONSOLIDATED=Y","Sort=A","Dates=H","DateFormat=P","Fill=—","Direction=H","UseDPDF=Y")</f>
        <v>#NAME?</v>
      </c>
      <c r="BW257" s="2" t="e">
        <f ca="1">_xll.BDH($C$253,"BPS_SEQUENTIAL_GROWTH","FQ4 2014","FQ4 2014","Currency=INR","Period=FQ","BEST_FPERIOD_OVERRIDE=FQ","FILING_STATUS=OR","EQY_CONSOLIDATED=Y","Sort=A","Dates=H","DateFormat=P","Fill=—","Direction=H","UseDPDF=Y")</f>
        <v>#NAME?</v>
      </c>
      <c r="BX257" s="2" t="e">
        <f ca="1">_xll.BDH($C$253,"CFO_SEQUENTIAL_GROWTH","FQ4 2014","FQ4 2014","Currency=INR","Period=FQ","BEST_FPERIOD_OVERRIDE=FQ","FILING_STATUS=OR","EQY_CONSOLIDATED=Y","Sort=A","Dates=H","DateFormat=P","Fill=—","Direction=H","UseDPDF=Y")</f>
        <v>#NAME?</v>
      </c>
      <c r="BY257" s="3" t="e">
        <f ca="1">_xll.BDH($C$253,"SHORT_AND_LONG_TERM_DEBT","FQ4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257" s="3" t="e">
        <f ca="1">_xll.BDH($C$253,"BS_ST_BORROW","FQ4 2014","FQ4 2014","Currency=INR","Period=FQ","BEST_FPERIOD_OVERRIDE=FQ","FILING_STATUS=OR","EQY_CONSOLIDATED=Y","SCALING_FORMAT=MLN","Sort=A","Dates=H","DateFormat=P","Fill=—","Direction=H","UseDPDF=Y")</f>
        <v>#NAME?</v>
      </c>
      <c r="CA257" s="3" t="e">
        <f ca="1">_xll.BDH($C$253,"BS_LT_BORROW","FQ4 2014","FQ4 2014","Currency=INR","Period=FQ","BEST_FPERIOD_OVERRIDE=FQ","FILING_STATUS=OR","EQY_CONSOLIDATED=Y","SCALING_FORMAT=MLN","Sort=A","Dates=H","DateFormat=P","Fill=—","Direction=H","UseDPDF=Y")</f>
        <v>#NAME?</v>
      </c>
      <c r="CB257" s="2" t="e">
        <f ca="1">_xll.BDH($C$253,"TOT_DEBT_TO_EBITDA","FQ4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257" s="2" t="e">
        <f ca="1">_xll.BDH($C$253,"NET_DEBT_TO_EBITDA","FQ4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257" s="2" t="e">
        <f ca="1">_xll.BDH($C$253,"TOTAL_DEBT_TO_EBIT","FQ4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257" s="2" t="e">
        <f ca="1">_xll.BDH($C$253,"NET_DEBT_TO_EBIT","FQ4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257" s="2" t="e">
        <f ca="1">_xll.BDH($C$253,"EBITDA_TO_INTEREST_EXPN","FQ4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257" s="2" t="e">
        <f ca="1">_xll.BDH($C$253,"COM_EQY_TO_TOT_ASSET","FQ4 2014","FQ4 2014","Currency=INR","Period=FQ","BEST_FPERIOD_OVERRIDE=FQ","FILING_STATUS=OR","EQY_CONSOLIDATED=Y","Sort=A","Dates=H","DateFormat=P","Fill=—","Direction=H","UseDPDF=Y")</f>
        <v>#NAME?</v>
      </c>
      <c r="CH257" s="2" t="e">
        <f ca="1">_xll.BDH($C$253,"LT_DEBT_TO_TOT_EQY","FQ4 2014","FQ4 2014","Currency=INR","Period=FQ","BEST_FPERIOD_OVERRIDE=FQ","FILING_STATUS=OR","EQY_CONSOLIDATED=Y","Sort=A","Dates=H","DateFormat=P","Fill=—","Direction=H","UseDPDF=Y")</f>
        <v>#NAME?</v>
      </c>
      <c r="CI257" s="2" t="e">
        <f ca="1">_xll.BDH($C$253,"LT_DEBT_TO_TOT_CAP","FQ4 2014","FQ4 2014","Currency=INR","Period=FQ","BEST_FPERIOD_OVERRIDE=FQ","FILING_STATUS=OR","EQY_CONSOLIDATED=Y","Sort=A","Dates=H","DateFormat=P","Fill=—","Direction=H","UseDPDF=Y")</f>
        <v>#NAME?</v>
      </c>
      <c r="CJ257" s="2" t="e">
        <f ca="1">_xll.BDH($C$253,"LT_DEBT_TO_TOT_ASSET","FQ4 2014","FQ4 2014","Currency=INR","Period=FQ","BEST_FPERIOD_OVERRIDE=FQ","FILING_STATUS=OR","EQY_CONSOLIDATED=Y","Sort=A","Dates=H","DateFormat=P","Fill=—","Direction=H","UseDPDF=Y")</f>
        <v>#NAME?</v>
      </c>
      <c r="CK257" s="2" t="e">
        <f ca="1">_xll.BDH($C$253,"TOT_DEBT_TO_TOT_EQY","FQ4 2014","FQ4 2014","Currency=INR","Period=FQ","BEST_FPERIOD_OVERRIDE=FQ","FILING_STATUS=OR","EQY_CONSOLIDATED=Y","Sort=A","Dates=H","DateFormat=P","Fill=—","Direction=H","UseDPDF=Y")</f>
        <v>#NAME?</v>
      </c>
      <c r="CL257" s="2" t="e">
        <f ca="1">_xll.BDH($C$253,"TOT_DEBT_TO_TOT_CAP","FQ4 2014","FQ4 2014","Currency=INR","Period=FQ","BEST_FPERIOD_OVERRIDE=FQ","FILING_STATUS=OR","EQY_CONSOLIDATED=Y","Sort=A","Dates=H","DateFormat=P","Fill=—","Direction=H","UseDPDF=Y")</f>
        <v>#NAME?</v>
      </c>
      <c r="CM257" s="2" t="e">
        <f ca="1">_xll.BDH($C$253,"TOT_DEBT_TO_TOT_ASSET","FQ4 2014","FQ4 2014","Currency=INR","Period=FQ","BEST_FPERIOD_OVERRIDE=FQ","FILING_STATUS=OR","EQY_CONSOLIDATED=Y","Sort=A","Dates=H","DateFormat=P","Fill=—","Direction=H","UseDPDF=Y")</f>
        <v>#NAME?</v>
      </c>
      <c r="CN257" s="2" t="e">
        <f ca="1">_xll.BDH($C$253,"NET_DEBT_TO_SHRHLDR_EQTY","FQ4 2014","FQ4 2014","Currency=INR","Period=FQ","BEST_FPERIOD_OVERRIDE=FQ","FILING_STATUS=OR","EQY_CONSOLIDATED=Y","Sort=A","Dates=H","DateFormat=P","Fill=—","Direction=H","UseDPDF=Y")</f>
        <v>#NAME?</v>
      </c>
      <c r="CO257" s="2" t="e">
        <f ca="1">_xll.BDH($C$253,"NET_DEBT_%_CAPITAL","FQ4 2014","FQ4 2014","Currency=INR","Period=FQ","BEST_FPERIOD_OVERRIDE=FQ","FILING_STATUS=OR","EQY_CONSOLIDATED=Y","Sort=A","Dates=H","DateFormat=P","Fill=—","Direction=H","UseDPDF=Y")</f>
        <v>#NAME?</v>
      </c>
      <c r="CP257" s="3" t="e">
        <f ca="1">_xll.BDH($C$253,"EBITDA","FQ4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257" s="3" t="e">
        <f ca="1">_xll.BDH($C$253,"EBITDA_AFTER_CAPEX","FQ4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257" s="3" t="e">
        <f ca="1">_xll.BDH($C$253,"IS_OPER_INC","FQ4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257" s="2" t="e">
        <f ca="1">_xll.BDH($C$253,"CASH_RATIO","FQ4 2014","FQ4 2014","Currency=INR","Period=FQ","BEST_FPERIOD_OVERRIDE=FQ","FILING_STATUS=OR","EQY_CONSOLIDATED=Y","Sort=A","Dates=H","DateFormat=P","Fill=—","Direction=H","UseDPDF=Y")</f>
        <v>#NAME?</v>
      </c>
      <c r="CT257" s="2" t="e">
        <f ca="1">_xll.BDH($C$253,"CUR_RATIO","FQ4 2014","FQ4 2014","Currency=INR","Period=FQ","BEST_FPERIOD_OVERRIDE=FQ","FILING_STATUS=OR","EQY_CONSOLIDATED=Y","Sort=A","Dates=H","DateFormat=P","Fill=—","Direction=H","UseDPDF=Y")</f>
        <v>#NAME?</v>
      </c>
      <c r="CU257" s="2" t="e">
        <f ca="1">_xll.BDH($C$253,"QUICK_RATIO","FQ4 2014","FQ4 2014","Currency=INR","Period=FQ","BEST_FPERIOD_OVERRIDE=FQ","FILING_STATUS=OR","EQY_CONSOLIDATED=Y","Sort=A","Dates=H","DateFormat=P","Fill=—","Direction=H","UseDPDF=Y")</f>
        <v>#NAME?</v>
      </c>
      <c r="CV257" s="2" t="e">
        <f ca="1">_xll.BDH($C$253,"ALTMAN_Z_SCORE","FQ4 2014","FQ4 2014","Currency=INR","Period=FQ","BEST_FPERIOD_OVERRIDE=FQ","FILING_STATUS=OR","EQY_CONSOLIDATED=Y","Sort=A","Dates=H","DateFormat=P","Fill=—","Direction=H","UseDPDF=Y")</f>
        <v>#NAME?</v>
      </c>
      <c r="CW257" s="4" t="e">
        <f ca="1">_xll.BDH($C$253,"ACCT_RCV_TURN","FQ4 2014","FQ4 2014","Currency=INR","Period=FQ","BEST_FPERIOD_OVERRIDE=FQ","FILING_STATUS=OR","EQY_CONSOLIDATED=Y","FA_ADJUSTED=GAAP","Sort=A","Dates=H","DateFormat=P","Fill=—","Direction=H","UseDPDF=Y")</f>
        <v>#NAME?</v>
      </c>
      <c r="CX257" s="2" t="e">
        <f ca="1">_xll.BDH($C$253,"ACCT_RCV_DAYS","FQ4 2014","FQ4 2014","Currency=INR","Period=FQ","BEST_FPERIOD_OVERRIDE=FQ","FILING_STATUS=OR","EQY_CONSOLIDATED=Y","FA_ADJUSTED=GAAP","Sort=A","Dates=H","DateFormat=P","Fill=—","Direction=H","UseDPDF=Y")</f>
        <v>#NAME?</v>
      </c>
      <c r="CY257" s="4" t="e">
        <f ca="1">_xll.BDH($C$253,"INVENT_TURN","FQ4 2014","FQ4 2014","Currency=INR","Period=FQ","BEST_FPERIOD_OVERRIDE=FQ","FILING_STATUS=OR","EQY_CONSOLIDATED=Y","FA_ADJUSTED=GAAP","Sort=A","Dates=H","DateFormat=P","Fill=—","Direction=H","UseDPDF=Y")</f>
        <v>#NAME?</v>
      </c>
      <c r="CZ257" s="2" t="e">
        <f ca="1">_xll.BDH($C$253,"INVENT_DAYS","FQ4 2014","FQ4 2014","Currency=INR","Period=FQ","BEST_FPERIOD_OVERRIDE=FQ","FILING_STATUS=OR","EQY_CONSOLIDATED=Y","FA_ADJUSTED=GAAP","Sort=A","Dates=H","DateFormat=P","Fill=—","Direction=H","UseDPDF=Y")</f>
        <v>#NAME?</v>
      </c>
      <c r="DA257" s="4" t="e">
        <f ca="1">_xll.BDH($C$253,"ACCOUNTS_PAYABLE_TURNOVER","FQ4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257" s="2" t="e">
        <f ca="1">_xll.BDH($C$253,"ACCOUNTS_PAYABLE_TURNOVER_DAYS","FQ4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257" s="4" t="e">
        <f ca="1">_xll.BDH($C$253,"CASH_CONVERSION_CYCLE","FQ4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257" s="4" t="e">
        <f ca="1">_xll.BDH($C$253,"INV_TO_CASH_DAYS","FQ4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257" s="5" t="e">
        <f ca="1">_xll.BDH($C$253,"BS_INVENTORIES","FQ4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257" s="3" t="e">
        <f ca="1">_xll.BDH($C$253,"INVTRY_RAW_MATERIALS","FQ4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257" s="3" t="e">
        <f ca="1">_xll.BDH($C$253,"INVTRY_IN_PROGRESS","FQ4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257" s="3" t="e">
        <f ca="1">_xll.BDH($C$253,"INVTRY_FINISHED_GOODS","FQ4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257" s="3" t="e">
        <f ca="1">_xll.BDH($C$253,"BS_OTHER_INV","FQ4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258" spans="1:113" x14ac:dyDescent="0.3">
      <c r="A258" s="6"/>
      <c r="B258" s="6"/>
      <c r="C258" s="6"/>
      <c r="D258" s="6" t="s">
        <v>82</v>
      </c>
      <c r="E258" t="s">
        <v>77</v>
      </c>
      <c r="F258" t="e">
        <f ca="1">_xll.BDH($C$253,"RETURN_COM_EQY","FY 2015","FY 2015","Currency=INR","Period=FY","BEST_FPERIOD_OVERRIDE=FY","FILING_STATUS=OR","EQY_CONSOLIDATED=Y","FA_ADJUSTED=GAAP","Sort=A","Dates=H","DateFormat=P","Fill=—","Direction=H","UseDPDF=Y")</f>
        <v>#NAME?</v>
      </c>
      <c r="G258" t="e">
        <f ca="1">_xll.BDH($C$253,"RETURN_ON_ASSET","FY 2015","FY 2015","Currency=INR","Period=FY","BEST_FPERIOD_OVERRIDE=FY","FILING_STATUS=OR","EQY_CONSOLIDATED=Y","FA_ADJUSTED=GAAP","Sort=A","Dates=H","DateFormat=P","Fill=—","Direction=H","UseDPDF=Y")</f>
        <v>#NAME?</v>
      </c>
      <c r="H258" t="e">
        <f ca="1">_xll.BDH($C$253,"RETURN_ON_CAP","FY 2015","FY 2015","Currency=INR","Period=FY","BEST_FPERIOD_OVERRIDE=FY","FILING_STATUS=OR","EQY_CONSOLIDATED=Y","FA_ADJUSTED=GAAP","Sort=A","Dates=H","DateFormat=P","Fill=—","Direction=H","UseDPDF=Y")</f>
        <v>#NAME?</v>
      </c>
      <c r="I258" t="e">
        <f ca="1">_xll.BDH($C$253,"RETURN_ON_INV_CAPITAL","FY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258" t="e">
        <f ca="1">_xll.BDH($C$253,"EBITDA_TO_REVENUE","FY 2015","FY 2015","Currency=INR","Period=FY","BEST_FPERIOD_OVERRIDE=FY","FILING_STATUS=OR","EQY_CONSOLIDATED=Y","FA_ADJUSTED=GAAP","Sort=A","Dates=H","DateFormat=P","Fill=—","Direction=H","UseDPDF=Y")</f>
        <v>#NAME?</v>
      </c>
      <c r="K258" t="e">
        <f ca="1">_xll.BDH($C$253,"OPER_MARGIN","FY 2015","FY 2015","Currency=INR","Period=FY","BEST_FPERIOD_OVERRIDE=FY","FILING_STATUS=OR","EQY_CONSOLIDATED=Y","FA_ADJUSTED=GAAP","Sort=A","Dates=H","DateFormat=P","Fill=—","Direction=H","UseDPDF=Y")</f>
        <v>#NAME?</v>
      </c>
      <c r="L258" t="e">
        <f ca="1">_xll.BDH($C$253,"INCREMENTAL_OPERATING_MARGIN","FY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258" t="e">
        <f ca="1">_xll.BDH($C$253,"PRETAX_INC_TO_NET_SALES","FY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258" t="e">
        <f ca="1">_xll.BDH($C$253,"INC_BEF_XO_ITEMS_TO_NET_SALES","FY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258" t="e">
        <f ca="1">_xll.BDH($C$253,"PROF_MARGIN","FY 2015","FY 2015","Currency=INR","Period=FY","BEST_FPERIOD_OVERRIDE=FY","FILING_STATUS=OR","EQY_CONSOLIDATED=Y","FA_ADJUSTED=GAAP","Sort=A","Dates=H","DateFormat=P","Fill=—","Direction=H","UseDPDF=Y")</f>
        <v>#NAME?</v>
      </c>
      <c r="P258" t="e">
        <f ca="1">_xll.BDH($C$253,"NET_INCOME_TO_COMMON_MARGIN","FY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258" t="e">
        <f ca="1">_xll.BDH($C$253,"EFF_TAX_RATE","FY 2015","FY 2015","Currency=INR","Period=FY","BEST_FPERIOD_OVERRIDE=FY","FILING_STATUS=OR","EQY_CONSOLIDATED=Y","FA_ADJUSTED=GAAP","Sort=A","Dates=H","DateFormat=P","Fill=—","Direction=H","UseDPDF=Y")</f>
        <v>#NAME?</v>
      </c>
      <c r="R258" t="e">
        <f ca="1">_xll.BDH($C$253,"DVD_PAYOUT_RATIO","FY 2015","FY 2015","Currency=INR","Period=FY","BEST_FPERIOD_OVERRIDE=FY","FILING_STATUS=OR","EQY_CONSOLIDATED=Y","FA_ADJUSTED=GAAP","Sort=A","Dates=H","DateFormat=P","Fill=—","Direction=H","UseDPDF=Y")</f>
        <v>#NAME?</v>
      </c>
      <c r="S258" t="e">
        <f ca="1">_xll.BDH($C$253,"SUSTAIN_GROWTH_RT","FY 2015","FY 2015","Currency=INR","Period=FY","BEST_FPERIOD_OVERRIDE=FY","FILING_STATUS=OR","EQY_CONSOLIDATED=Y","FA_ADJUSTED=GAAP","Sort=A","Dates=H","DateFormat=P","Fill=—","Direction=H","UseDPDF=Y")</f>
        <v>#NAME?</v>
      </c>
      <c r="T258" s="2" t="e">
        <f ca="1">_xll.BDH($C$253,"SALES_GROWTH","FY 2015","FY 2015","Currency=INR","Period=FY","BEST_FPERIOD_OVERRIDE=FY","FILING_STATUS=OR","EQY_CONSOLIDATED=Y","FA_ADJUSTED=GAAP","Sort=A","Dates=H","DateFormat=P","Fill=—","Direction=H","UseDPDF=Y")</f>
        <v>#NAME?</v>
      </c>
      <c r="U258" s="2" t="e">
        <f ca="1">_xll.BDH($C$253,"EBITDA_GROWTH","FY 2015","FY 2015","Currency=INR","Period=FY","BEST_FPERIOD_OVERRIDE=FY","FILING_STATUS=OR","EQY_CONSOLIDATED=Y","FA_ADJUSTED=GAAP","Sort=A","Dates=H","DateFormat=P","Fill=—","Direction=H","UseDPDF=Y")</f>
        <v>#NAME?</v>
      </c>
      <c r="V258" s="2" t="e">
        <f ca="1">_xll.BDH($C$253,"OPER_INC_GROWTH","FY 2015","FY 2015","Currency=INR","Period=FY","BEST_FPERIOD_OVERRIDE=FY","FILING_STATUS=OR","EQY_CONSOLIDATED=Y","FA_ADJUSTED=GAAP","Sort=A","Dates=H","DateFormat=P","Fill=—","Direction=H","UseDPDF=Y")</f>
        <v>#NAME?</v>
      </c>
      <c r="W258" s="2" t="e">
        <f ca="1">_xll.BDH($C$253,"EARN_FOR_COM_GROWTH","FY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258" s="2" t="e">
        <f ca="1">_xll.BDH($C$253,"DILUTED_EPS_AFT_XO_ITEMS_GROWTH","FY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258" s="2" t="e">
        <f ca="1">_xll.BDH($C$253,"DIVIDEND_PER_SHARE_1_YEAR_GROWTH","FY 2015","FY 2015","Currency=INR","Period=FY","BEST_FPERIOD_OVERRIDE=FY","FILING_STATUS=OR","EQY_CONSOLIDATED=Y","Sort=A","Dates=H","DateFormat=P","Fill=—","Direction=H","UseDPDF=Y")</f>
        <v>#NAME?</v>
      </c>
      <c r="Z258" s="2" t="e">
        <f ca="1">_xll.BDH($C$253,"ACCOUNTS_RECEIVABLE_GROWTH","FY 2015","FY 2015","Currency=INR","Period=FY","BEST_FPERIOD_OVERRIDE=FY","FILING_STATUS=OR","EQY_CONSOLIDATED=Y","Sort=A","Dates=H","DateFormat=P","Fill=—","Direction=H","UseDPDF=Y")</f>
        <v>#NAME?</v>
      </c>
      <c r="AA258" s="2" t="e">
        <f ca="1">_xll.BDH($C$253,"INVENTORY_GROWTH","FY 2015","FY 2015","Currency=INR","Period=FY","BEST_FPERIOD_OVERRIDE=FY","FILING_STATUS=OR","EQY_CONSOLIDATED=Y","Sort=A","Dates=H","DateFormat=P","Fill=—","Direction=H","UseDPDF=Y")</f>
        <v>#NAME?</v>
      </c>
      <c r="AB258" s="2" t="e">
        <f ca="1">_xll.BDH($C$253,"NET_FIXED_ASSETS_1_YEAR_GROWTH","FY 2015","FY 2015","Currency=INR","Period=FY","BEST_FPERIOD_OVERRIDE=FY","FILING_STATUS=OR","EQY_CONSOLIDATED=Y","Sort=A","Dates=H","DateFormat=P","Fill=—","Direction=H","UseDPDF=Y")</f>
        <v>#NAME?</v>
      </c>
      <c r="AC258" s="2" t="e">
        <f ca="1">_xll.BDH($C$253,"ASSET_GROWTH","FY 2015","FY 2015","Currency=INR","Period=FY","BEST_FPERIOD_OVERRIDE=FY","FILING_STATUS=OR","EQY_CONSOLIDATED=Y","Sort=A","Dates=H","DateFormat=P","Fill=—","Direction=H","UseDPDF=Y")</f>
        <v>#NAME?</v>
      </c>
      <c r="AD258" s="2" t="e">
        <f ca="1">_xll.BDH($C$253,"MODIFIED_WORK_CAP_GROWTH","FY 2015","FY 2015","Currency=INR","Period=FY","BEST_FPERIOD_OVERRIDE=FY","FILING_STATUS=OR","EQY_CONSOLIDATED=Y","Sort=A","Dates=H","DateFormat=P","Fill=—","Direction=H","UseDPDF=Y")</f>
        <v>#NAME?</v>
      </c>
      <c r="AE258" s="2" t="e">
        <f ca="1">_xll.BDH($C$253,"WORK_CAP_GROWTH","FY 2015","FY 2015","Currency=INR","Period=FY","BEST_FPERIOD_OVERRIDE=FY","FILING_STATUS=OR","EQY_CONSOLIDATED=Y","Sort=A","Dates=H","DateFormat=P","Fill=—","Direction=H","UseDPDF=Y")</f>
        <v>#NAME?</v>
      </c>
      <c r="AF258" s="2" t="e">
        <f ca="1">_xll.BDH($C$253,"ACCOUNTS_PAYABLE_GROWTH_1YR","FY 2015","FY 2015","Currency=INR","Period=FY","BEST_FPERIOD_OVERRIDE=FY","FILING_STATUS=OR","EQY_CONSOLIDATED=Y","Sort=A","Dates=H","DateFormat=P","Fill=—","Direction=H","UseDPDF=Y")</f>
        <v>#NAME?</v>
      </c>
      <c r="AG258" s="2" t="e">
        <f ca="1">_xll.BDH($C$253,"SHORT_TERM_DEBT_1_YEAR_GROWTH","FY 2015","FY 2015","Currency=INR","Period=FY","BEST_FPERIOD_OVERRIDE=FY","FILING_STATUS=OR","EQY_CONSOLIDATED=Y","Sort=A","Dates=H","DateFormat=P","Fill=—","Direction=H","UseDPDF=Y")</f>
        <v>#NAME?</v>
      </c>
      <c r="AH258" s="2" t="e">
        <f ca="1">_xll.BDH($C$253,"TOTAL_DEBT_1_YEAR_GROWTH","FY 2015","FY 2015","Currency=INR","Period=FY","BEST_FPERIOD_OVERRIDE=FY","FILING_STATUS=OR","EQY_CONSOLIDATED=Y","Sort=A","Dates=H","DateFormat=P","Fill=—","Direction=H","UseDPDF=Y")</f>
        <v>#NAME?</v>
      </c>
      <c r="AI258" s="2" t="e">
        <f ca="1">_xll.BDH($C$253,"TOTAL_EQUITY_1_YEAR_GROWTH","FY 2015","FY 2015","Currency=INR","Period=FY","BEST_FPERIOD_OVERRIDE=FY","FILING_STATUS=OR","EQY_CONSOLIDATED=Y","Sort=A","Dates=H","DateFormat=P","Fill=—","Direction=H","UseDPDF=Y")</f>
        <v>#NAME?</v>
      </c>
      <c r="AJ258" s="2" t="e">
        <f ca="1">_xll.BDH($C$253,"GROWTH_IN_CAP","FY 2015","FY 2015","Currency=INR","Period=FY","BEST_FPERIOD_OVERRIDE=FY","FILING_STATUS=OR","EQY_CONSOLIDATED=Y","Sort=A","Dates=H","DateFormat=P","Fill=—","Direction=H","UseDPDF=Y")</f>
        <v>#NAME?</v>
      </c>
      <c r="AK258" s="2" t="e">
        <f ca="1">_xll.BDH($C$253,"BVPS_GROWTH","FY 2015","FY 2015","Currency=INR","Period=FY","BEST_FPERIOD_OVERRIDE=FY","FILING_STATUS=OR","EQY_CONSOLIDATED=Y","Sort=A","Dates=H","DateFormat=P","Fill=—","Direction=H","UseDPDF=Y")</f>
        <v>#NAME?</v>
      </c>
      <c r="AL258" s="2" t="e">
        <f ca="1">_xll.BDH($C$253,"CASH_FLOW_GROWTH","FY 2015","FY 2015","Currency=INR","Period=FY","BEST_FPERIOD_OVERRIDE=FY","FILING_STATUS=OR","EQY_CONSOLIDATED=Y","Sort=A","Dates=H","DateFormat=P","Fill=—","Direction=H","UseDPDF=Y")</f>
        <v>#NAME?</v>
      </c>
      <c r="AM258" s="2" t="e">
        <f ca="1">_xll.BDH($C$253,"GEO_GROW_NET_SALES","FY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258" s="2" t="e">
        <f ca="1">_xll.BDH($C$253,"GEO_GROW_EBITDA","FY 2015","FY 2015","Currency=INR","Period=FY","BEST_FPERIOD_OVERRIDE=FY","FILING_STATUS=OR","EQY_CONSOLIDATED=Y","FA_ADJUSTED=GAAP","Sort=A","Dates=H","DateFormat=P","Fill=—","Direction=H","UseDPDF=Y")</f>
        <v>#NAME?</v>
      </c>
      <c r="AO258" s="2" t="e">
        <f ca="1">_xll.BDH($C$253,"GEO_GROW_OPER_INC","FY 2015","FY 2015","Currency=INR","Period=FY","BEST_FPERIOD_OVERRIDE=FY","FILING_STATUS=OR","EQY_CONSOLIDATED=Y","FA_ADJUSTED=GAAP","Sort=A","Dates=H","DateFormat=P","Fill=—","Direction=H","UseDPDF=Y")</f>
        <v>#NAME?</v>
      </c>
      <c r="AP258" s="2" t="e">
        <f ca="1">_xll.BDH($C$253,"NET_INCOME_TO_COMMON_5_YR_GROWTH","FY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258" s="2" t="e">
        <f ca="1">_xll.BDH($C$253,"5Y_GEO_GROWTH_DILUTED_EPS","FY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258" s="2" t="e">
        <f ca="1">_xll.BDH($C$253,"GEO_GROW_DVD_PER_SH","FY 2015","FY 2015","Currency=INR","Period=FY","BEST_FPERIOD_OVERRIDE=FY","FILING_STATUS=OR","EQY_CONSOLIDATED=Y","Sort=A","Dates=H","DateFormat=P","Fill=—","Direction=H","UseDPDF=Y")</f>
        <v>#NAME?</v>
      </c>
      <c r="AS258" s="2" t="e">
        <f ca="1">_xll.BDH($C$253,"ACCOUNTS_RECEIVABLE_5_YR_GROWTH","FY 2015","FY 2015","Currency=INR","Period=FY","BEST_FPERIOD_OVERRIDE=FY","FILING_STATUS=OR","EQY_CONSOLIDATED=Y","Sort=A","Dates=H","DateFormat=P","Fill=—","Direction=H","UseDPDF=Y")</f>
        <v>#NAME?</v>
      </c>
      <c r="AT258" s="2" t="e">
        <f ca="1">_xll.BDH($C$253,"INVENTORY_5_YEAR_GROWTH","FY 2015","FY 2015","Currency=INR","Period=FY","BEST_FPERIOD_OVERRIDE=FY","FILING_STATUS=OR","EQY_CONSOLIDATED=Y","Sort=A","Dates=H","DateFormat=P","Fill=—","Direction=H","UseDPDF=Y")</f>
        <v>#NAME?</v>
      </c>
      <c r="AU258" s="2" t="e">
        <f ca="1">_xll.BDH($C$253,"NET_FIXED_ASSETS_5_YEAR_GROWTH","FY 2015","FY 2015","Currency=INR","Period=FY","BEST_FPERIOD_OVERRIDE=FY","FILING_STATUS=OR","EQY_CONSOLIDATED=Y","Sort=A","Dates=H","DateFormat=P","Fill=—","Direction=H","UseDPDF=Y")</f>
        <v>#NAME?</v>
      </c>
      <c r="AV258" s="2" t="e">
        <f ca="1">_xll.BDH($C$253,"GEO_GROW_TOT_ASSET","FY 2015","FY 2015","Currency=INR","Period=FY","BEST_FPERIOD_OVERRIDE=FY","FILING_STATUS=OR","EQY_CONSOLIDATED=Y","Sort=A","Dates=H","DateFormat=P","Fill=—","Direction=H","UseDPDF=Y")</f>
        <v>#NAME?</v>
      </c>
      <c r="AW258" s="2" t="e">
        <f ca="1">_xll.BDH($C$253,"MODIFIED_WORKING_CPTL_5YR_GRWTH","FY 2015","FY 2015","Currency=INR","Period=FY","BEST_FPERIOD_OVERRIDE=FY","FILING_STATUS=OR","EQY_CONSOLIDATED=Y","Sort=A","Dates=H","DateFormat=P","Fill=—","Direction=H","UseDPDF=Y")</f>
        <v>#NAME?</v>
      </c>
      <c r="AX258" s="2" t="e">
        <f ca="1">_xll.BDH($C$253,"WORKING_CAPITAL_5_YEAR_GROWTH","FY 2015","FY 2015","Currency=INR","Period=FY","BEST_FPERIOD_OVERRIDE=FY","FILING_STATUS=OR","EQY_CONSOLIDATED=Y","Sort=A","Dates=H","DateFormat=P","Fill=—","Direction=H","UseDPDF=Y")</f>
        <v>#NAME?</v>
      </c>
      <c r="AY258" s="2" t="e">
        <f ca="1">_xll.BDH($C$253,"ACCOUNTS_PAYABLE_5_YEAR_GROWTH","FY 2015","FY 2015","Currency=INR","Period=FY","BEST_FPERIOD_OVERRIDE=FY","FILING_STATUS=OR","EQY_CONSOLIDATED=Y","Sort=A","Dates=H","DateFormat=P","Fill=—","Direction=H","UseDPDF=Y")</f>
        <v>#NAME?</v>
      </c>
      <c r="AZ258" s="2" t="e">
        <f ca="1">_xll.BDH($C$253,"SHORT_TERM_DEBT_5_YEAR_GROWTH","FY 2015","FY 2015","Currency=INR","Period=FY","BEST_FPERIOD_OVERRIDE=FY","FILING_STATUS=OR","EQY_CONSOLIDATED=Y","Sort=A","Dates=H","DateFormat=P","Fill=—","Direction=H","UseDPDF=Y")</f>
        <v>#NAME?</v>
      </c>
      <c r="BA258" s="2" t="e">
        <f ca="1">_xll.BDH($C$253,"TOTAL_DEBT_5_YEAR_GROWTH","FY 2015","FY 2015","Currency=INR","Period=FY","BEST_FPERIOD_OVERRIDE=FY","FILING_STATUS=OR","EQY_CONSOLIDATED=Y","Sort=A","Dates=H","DateFormat=P","Fill=—","Direction=H","UseDPDF=Y")</f>
        <v>#NAME?</v>
      </c>
      <c r="BB258" s="2" t="e">
        <f ca="1">_xll.BDH($C$253,"GEO_GROW_TOT_SHRHLDR_EQY","FY 2015","FY 2015","Currency=INR","Period=FY","BEST_FPERIOD_OVERRIDE=FY","FILING_STATUS=OR","EQY_CONSOLIDATED=Y","Sort=A","Dates=H","DateFormat=P","Fill=—","Direction=H","UseDPDF=Y")</f>
        <v>#NAME?</v>
      </c>
      <c r="BC258" s="2" t="e">
        <f ca="1">_xll.BDH($C$253,"TOTAL_CAPITAL_5_YEAR_GROWTH","FY 2015","FY 2015","Currency=INR","Period=FY","BEST_FPERIOD_OVERRIDE=FY","FILING_STATUS=OR","EQY_CONSOLIDATED=Y","Sort=A","Dates=H","DateFormat=P","Fill=—","Direction=H","UseDPDF=Y")</f>
        <v>#NAME?</v>
      </c>
      <c r="BD258" s="2" t="e">
        <f ca="1">_xll.BDH($C$253,"GEO_GROW_BOOK_VAL","FY 2015","FY 2015","Currency=INR","Period=FY","BEST_FPERIOD_OVERRIDE=FY","FILING_STATUS=OR","EQY_CONSOLIDATED=Y","Sort=A","Dates=H","DateFormat=P","Fill=—","Direction=H","UseDPDF=Y")</f>
        <v>#NAME?</v>
      </c>
      <c r="BE258" s="2" t="e">
        <f ca="1">_xll.BDH($C$253,"GEO_GROW_CASH_OPER_ACT","FY 2015","FY 2015","Currency=INR","Period=FY","BEST_FPERIOD_OVERRIDE=FY","FILING_STATUS=OR","EQY_CONSOLIDATED=Y","Sort=A","Dates=H","DateFormat=P","Fill=—","Direction=H","UseDPDF=Y")</f>
        <v>#NAME?</v>
      </c>
      <c r="BF258" s="2" t="e">
        <f ca="1">_xll.BDH($C$253,"REVENUE_SEQUENTIAL_GROWTH","FY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258" s="2" t="e">
        <f ca="1">_xll.BDH($C$253,"EBITDA_SEQUENTIAL_GROWTH","FY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258" s="2" t="e">
        <f ca="1">_xll.BDH($C$253,"OPERATING_INCOME_SEQ_GROWTH","FY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258" s="2" t="e">
        <f ca="1">_xll.BDH($C$253,"NET_INCOME_TO_COMMON_SEQ_GROWTH","FY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258" s="2" t="e">
        <f ca="1">_xll.BDH($C$253,"EPS_DILUTED_SEQUENTIAL_GROWTH","FY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258" s="2" t="e">
        <f ca="1">_xll.BDH($C$253,"DPS_SEQUENTIAL_GROWTH","FY 2015","FY 2015","Currency=INR","Period=FY","BEST_FPERIOD_OVERRIDE=FY","FILING_STATUS=OR","EQY_CONSOLIDATED=Y","Sort=A","Dates=H","DateFormat=P","Fill=—","Direction=H","UseDPDF=Y")</f>
        <v>#NAME?</v>
      </c>
      <c r="BL258" s="2" t="e">
        <f ca="1">_xll.BDH($C$253,"ACCOUNTS_RECEIVABLE_SEQ_GROWTH","FY 2015","FY 2015","Currency=INR","Period=FY","BEST_FPERIOD_OVERRIDE=FY","FILING_STATUS=OR","EQY_CONSOLIDATED=Y","Sort=A","Dates=H","DateFormat=P","Fill=—","Direction=H","UseDPDF=Y")</f>
        <v>#NAME?</v>
      </c>
      <c r="BM258" s="2" t="e">
        <f ca="1">_xll.BDH($C$253,"INVENTORY_SEQUENTIAL_GROWTH","FY 2015","FY 2015","Currency=INR","Period=FY","BEST_FPERIOD_OVERRIDE=FY","FILING_STATUS=OR","EQY_CONSOLIDATED=Y","Sort=A","Dates=H","DateFormat=P","Fill=—","Direction=H","UseDPDF=Y")</f>
        <v>#NAME?</v>
      </c>
      <c r="BN258" s="2" t="e">
        <f ca="1">_xll.BDH($C$253,"FIXED_ASSETS_SEQUENTIAL_GROWTH","FY 2015","FY 2015","Currency=INR","Period=FY","BEST_FPERIOD_OVERRIDE=FY","FILING_STATUS=OR","EQY_CONSOLIDATED=Y","Sort=A","Dates=H","DateFormat=P","Fill=—","Direction=H","UseDPDF=Y")</f>
        <v>#NAME?</v>
      </c>
      <c r="BO258" s="2" t="e">
        <f ca="1">_xll.BDH($C$253,"TOTAL_ASSETS_SEQUENTIAL_GROWTH","FY 2015","FY 2015","Currency=INR","Period=FY","BEST_FPERIOD_OVERRIDE=FY","FILING_STATUS=OR","EQY_CONSOLIDATED=Y","Sort=A","Dates=H","DateFormat=P","Fill=—","Direction=H","UseDPDF=Y")</f>
        <v>#NAME?</v>
      </c>
      <c r="BP258" s="2" t="e">
        <f ca="1">_xll.BDH($C$253,"MODIFIED_WORKING_CPTL_SEQ_GRWTH","FY 2015","FY 2015","Currency=INR","Period=FY","BEST_FPERIOD_OVERRIDE=FY","FILING_STATUS=OR","EQY_CONSOLIDATED=Y","Sort=A","Dates=H","DateFormat=P","Fill=—","Direction=H","UseDPDF=Y")</f>
        <v>#NAME?</v>
      </c>
      <c r="BQ258" s="2" t="e">
        <f ca="1">_xll.BDH($C$253,"WORKING_CAPITAL_SEQ_GROWTH","FY 2015","FY 2015","Currency=INR","Period=FY","BEST_FPERIOD_OVERRIDE=FY","FILING_STATUS=OR","EQY_CONSOLIDATED=Y","Sort=A","Dates=H","DateFormat=P","Fill=—","Direction=H","UseDPDF=Y")</f>
        <v>#NAME?</v>
      </c>
      <c r="BR258" s="2" t="e">
        <f ca="1">_xll.BDH($C$253,"ACCOUNTS_PAYABLE_SEQ_GROWTH","FY 2015","FY 2015","Currency=INR","Period=FY","BEST_FPERIOD_OVERRIDE=FY","FILING_STATUS=OR","EQY_CONSOLIDATED=Y","Sort=A","Dates=H","DateFormat=P","Fill=—","Direction=H","UseDPDF=Y")</f>
        <v>#NAME?</v>
      </c>
      <c r="BS258" s="2" t="e">
        <f ca="1">_xll.BDH($C$253,"ST_DEBT_SEQUENTIAL_GROWTH","FY 2015","FY 2015","Currency=INR","Period=FY","BEST_FPERIOD_OVERRIDE=FY","FILING_STATUS=OR","EQY_CONSOLIDATED=Y","Sort=A","Dates=H","DateFormat=P","Fill=—","Direction=H","UseDPDF=Y")</f>
        <v>#NAME?</v>
      </c>
      <c r="BT258" s="2" t="e">
        <f ca="1">_xll.BDH($C$253,"TOTAL_DEBT_SEQUENTIAL_GROWTH","FY 2015","FY 2015","Currency=INR","Period=FY","BEST_FPERIOD_OVERRIDE=FY","FILING_STATUS=OR","EQY_CONSOLIDATED=Y","Sort=A","Dates=H","DateFormat=P","Fill=—","Direction=H","UseDPDF=Y")</f>
        <v>#NAME?</v>
      </c>
      <c r="BU258" s="2" t="e">
        <f ca="1">_xll.BDH($C$253,"TOTAL_EQUITY_SEQUENTIAL_GROWTH","FY 2015","FY 2015","Currency=INR","Period=FY","BEST_FPERIOD_OVERRIDE=FY","FILING_STATUS=OR","EQY_CONSOLIDATED=Y","Sort=A","Dates=H","DateFormat=P","Fill=—","Direction=H","UseDPDF=Y")</f>
        <v>#NAME?</v>
      </c>
      <c r="BV258" s="2" t="e">
        <f ca="1">_xll.BDH($C$253,"TOTAL_CAPITAL_SEQUENTIAL_GROWTH","FY 2015","FY 2015","Currency=INR","Period=FY","BEST_FPERIOD_OVERRIDE=FY","FILING_STATUS=OR","EQY_CONSOLIDATED=Y","Sort=A","Dates=H","DateFormat=P","Fill=—","Direction=H","UseDPDF=Y")</f>
        <v>#NAME?</v>
      </c>
      <c r="BW258" s="2" t="e">
        <f ca="1">_xll.BDH($C$253,"BPS_SEQUENTIAL_GROWTH","FY 2015","FY 2015","Currency=INR","Period=FY","BEST_FPERIOD_OVERRIDE=FY","FILING_STATUS=OR","EQY_CONSOLIDATED=Y","Sort=A","Dates=H","DateFormat=P","Fill=—","Direction=H","UseDPDF=Y")</f>
        <v>#NAME?</v>
      </c>
      <c r="BX258" s="2" t="e">
        <f ca="1">_xll.BDH($C$253,"CFO_SEQUENTIAL_GROWTH","FY 2015","FY 2015","Currency=INR","Period=FY","BEST_FPERIOD_OVERRIDE=FY","FILING_STATUS=OR","EQY_CONSOLIDATED=Y","Sort=A","Dates=H","DateFormat=P","Fill=—","Direction=H","UseDPDF=Y")</f>
        <v>#NAME?</v>
      </c>
      <c r="BY258" s="3" t="e">
        <f ca="1">_xll.BDH($C$253,"SHORT_AND_LONG_TERM_DEBT","FY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258" s="3" t="e">
        <f ca="1">_xll.BDH($C$253,"BS_ST_BORROW","FY 2015","FY 2015","Currency=INR","Period=FY","BEST_FPERIOD_OVERRIDE=FY","FILING_STATUS=OR","EQY_CONSOLIDATED=Y","SCALING_FORMAT=MLN","Sort=A","Dates=H","DateFormat=P","Fill=—","Direction=H","UseDPDF=Y")</f>
        <v>#NAME?</v>
      </c>
      <c r="CA258" s="3" t="e">
        <f ca="1">_xll.BDH($C$253,"BS_LT_BORROW","FY 2015","FY 2015","Currency=INR","Period=FY","BEST_FPERIOD_OVERRIDE=FY","FILING_STATUS=OR","EQY_CONSOLIDATED=Y","SCALING_FORMAT=MLN","Sort=A","Dates=H","DateFormat=P","Fill=—","Direction=H","UseDPDF=Y")</f>
        <v>#NAME?</v>
      </c>
      <c r="CB258" s="2" t="e">
        <f ca="1">_xll.BDH($C$253,"TOT_DEBT_TO_EBITDA","FY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258" s="2" t="e">
        <f ca="1">_xll.BDH($C$253,"NET_DEBT_TO_EBITDA","FY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258" s="2" t="e">
        <f ca="1">_xll.BDH($C$253,"TOTAL_DEBT_TO_EBIT","FY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258" s="2" t="e">
        <f ca="1">_xll.BDH($C$253,"NET_DEBT_TO_EBIT","FY 2015","FY 2015","Currency=INR","Period=FY","BEST_FPERIOD_OVERRIDE=FY","FILING_STATUS=OR","EQY_CONSOLIDATED=Y","FA_ADJUSTED=GAAP","Sort=A","Dates=H","DateFormat=P","Fill=—","Direction=H","UseDPDF=Y")</f>
        <v>#NAME?</v>
      </c>
      <c r="CF258" s="2" t="e">
        <f ca="1">_xll.BDH($C$253,"EBITDA_TO_INTEREST_EXPN","FY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258" s="2" t="e">
        <f ca="1">_xll.BDH($C$253,"COM_EQY_TO_TOT_ASSET","FY 2015","FY 2015","Currency=INR","Period=FY","BEST_FPERIOD_OVERRIDE=FY","FILING_STATUS=OR","EQY_CONSOLIDATED=Y","Sort=A","Dates=H","DateFormat=P","Fill=—","Direction=H","UseDPDF=Y")</f>
        <v>#NAME?</v>
      </c>
      <c r="CH258" s="2" t="e">
        <f ca="1">_xll.BDH($C$253,"LT_DEBT_TO_TOT_EQY","FY 2015","FY 2015","Currency=INR","Period=FY","BEST_FPERIOD_OVERRIDE=FY","FILING_STATUS=OR","EQY_CONSOLIDATED=Y","Sort=A","Dates=H","DateFormat=P","Fill=—","Direction=H","UseDPDF=Y")</f>
        <v>#NAME?</v>
      </c>
      <c r="CI258" s="2" t="e">
        <f ca="1">_xll.BDH($C$253,"LT_DEBT_TO_TOT_CAP","FY 2015","FY 2015","Currency=INR","Period=FY","BEST_FPERIOD_OVERRIDE=FY","FILING_STATUS=OR","EQY_CONSOLIDATED=Y","Sort=A","Dates=H","DateFormat=P","Fill=—","Direction=H","UseDPDF=Y")</f>
        <v>#NAME?</v>
      </c>
      <c r="CJ258" s="2" t="e">
        <f ca="1">_xll.BDH($C$253,"LT_DEBT_TO_TOT_ASSET","FY 2015","FY 2015","Currency=INR","Period=FY","BEST_FPERIOD_OVERRIDE=FY","FILING_STATUS=OR","EQY_CONSOLIDATED=Y","Sort=A","Dates=H","DateFormat=P","Fill=—","Direction=H","UseDPDF=Y")</f>
        <v>#NAME?</v>
      </c>
      <c r="CK258" s="2" t="e">
        <f ca="1">_xll.BDH($C$253,"TOT_DEBT_TO_TOT_EQY","FY 2015","FY 2015","Currency=INR","Period=FY","BEST_FPERIOD_OVERRIDE=FY","FILING_STATUS=OR","EQY_CONSOLIDATED=Y","Sort=A","Dates=H","DateFormat=P","Fill=—","Direction=H","UseDPDF=Y")</f>
        <v>#NAME?</v>
      </c>
      <c r="CL258" s="2" t="e">
        <f ca="1">_xll.BDH($C$253,"TOT_DEBT_TO_TOT_CAP","FY 2015","FY 2015","Currency=INR","Period=FY","BEST_FPERIOD_OVERRIDE=FY","FILING_STATUS=OR","EQY_CONSOLIDATED=Y","Sort=A","Dates=H","DateFormat=P","Fill=—","Direction=H","UseDPDF=Y")</f>
        <v>#NAME?</v>
      </c>
      <c r="CM258" s="2" t="e">
        <f ca="1">_xll.BDH($C$253,"TOT_DEBT_TO_TOT_ASSET","FY 2015","FY 2015","Currency=INR","Period=FY","BEST_FPERIOD_OVERRIDE=FY","FILING_STATUS=OR","EQY_CONSOLIDATED=Y","Sort=A","Dates=H","DateFormat=P","Fill=—","Direction=H","UseDPDF=Y")</f>
        <v>#NAME?</v>
      </c>
      <c r="CN258" s="2" t="e">
        <f ca="1">_xll.BDH($C$253,"NET_DEBT_TO_SHRHLDR_EQTY","FY 2015","FY 2015","Currency=INR","Period=FY","BEST_FPERIOD_OVERRIDE=FY","FILING_STATUS=OR","EQY_CONSOLIDATED=Y","Sort=A","Dates=H","DateFormat=P","Fill=—","Direction=H","UseDPDF=Y")</f>
        <v>#NAME?</v>
      </c>
      <c r="CO258" s="2" t="e">
        <f ca="1">_xll.BDH($C$253,"NET_DEBT_%_CAPITAL","FY 2015","FY 2015","Currency=INR","Period=FY","BEST_FPERIOD_OVERRIDE=FY","FILING_STATUS=OR","EQY_CONSOLIDATED=Y","Sort=A","Dates=H","DateFormat=P","Fill=—","Direction=H","UseDPDF=Y")</f>
        <v>#NAME?</v>
      </c>
      <c r="CP258" s="3" t="e">
        <f ca="1">_xll.BDH($C$253,"EBITDA","FY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258" s="3" t="e">
        <f ca="1">_xll.BDH($C$253,"EBITDA_AFTER_CAPEX","FY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258" s="3" t="e">
        <f ca="1">_xll.BDH($C$253,"IS_OPER_INC","FY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258" s="2" t="e">
        <f ca="1">_xll.BDH($C$253,"CASH_RATIO","FY 2015","FY 2015","Currency=INR","Period=FY","BEST_FPERIOD_OVERRIDE=FY","FILING_STATUS=OR","EQY_CONSOLIDATED=Y","Sort=A","Dates=H","DateFormat=P","Fill=—","Direction=H","UseDPDF=Y")</f>
        <v>#NAME?</v>
      </c>
      <c r="CT258" s="2" t="e">
        <f ca="1">_xll.BDH($C$253,"CUR_RATIO","FY 2015","FY 2015","Currency=INR","Period=FY","BEST_FPERIOD_OVERRIDE=FY","FILING_STATUS=OR","EQY_CONSOLIDATED=Y","Sort=A","Dates=H","DateFormat=P","Fill=—","Direction=H","UseDPDF=Y")</f>
        <v>#NAME?</v>
      </c>
      <c r="CU258" s="2" t="e">
        <f ca="1">_xll.BDH($C$253,"QUICK_RATIO","FY 2015","FY 2015","Currency=INR","Period=FY","BEST_FPERIOD_OVERRIDE=FY","FILING_STATUS=OR","EQY_CONSOLIDATED=Y","Sort=A","Dates=H","DateFormat=P","Fill=—","Direction=H","UseDPDF=Y")</f>
        <v>#NAME?</v>
      </c>
      <c r="CV258" s="2" t="e">
        <f ca="1">_xll.BDH($C$253,"ALTMAN_Z_SCORE","FY 2015","FY 2015","Currency=INR","Period=FY","BEST_FPERIOD_OVERRIDE=FY","FILING_STATUS=OR","EQY_CONSOLIDATED=Y","Sort=A","Dates=H","DateFormat=P","Fill=—","Direction=H","UseDPDF=Y")</f>
        <v>#NAME?</v>
      </c>
      <c r="CW258" s="4" t="e">
        <f ca="1">_xll.BDH($C$253,"ACCT_RCV_TURN","FY 2015","FY 2015","Currency=INR","Period=FY","BEST_FPERIOD_OVERRIDE=FY","FILING_STATUS=OR","EQY_CONSOLIDATED=Y","FA_ADJUSTED=GAAP","Sort=A","Dates=H","DateFormat=P","Fill=—","Direction=H","UseDPDF=Y")</f>
        <v>#NAME?</v>
      </c>
      <c r="CX258" s="2" t="e">
        <f ca="1">_xll.BDH($C$253,"ACCT_RCV_DAYS","FY 2015","FY 2015","Currency=INR","Period=FY","BEST_FPERIOD_OVERRIDE=FY","FILING_STATUS=OR","EQY_CONSOLIDATED=Y","FA_ADJUSTED=GAAP","Sort=A","Dates=H","DateFormat=P","Fill=—","Direction=H","UseDPDF=Y")</f>
        <v>#NAME?</v>
      </c>
      <c r="CY258" s="4" t="e">
        <f ca="1">_xll.BDH($C$253,"INVENT_TURN","FY 2015","FY 2015","Currency=INR","Period=FY","BEST_FPERIOD_OVERRIDE=FY","FILING_STATUS=OR","EQY_CONSOLIDATED=Y","FA_ADJUSTED=GAAP","Sort=A","Dates=H","DateFormat=P","Fill=—","Direction=H","UseDPDF=Y")</f>
        <v>#NAME?</v>
      </c>
      <c r="CZ258" s="2" t="e">
        <f ca="1">_xll.BDH($C$253,"INVENT_DAYS","FY 2015","FY 2015","Currency=INR","Period=FY","BEST_FPERIOD_OVERRIDE=FY","FILING_STATUS=OR","EQY_CONSOLIDATED=Y","FA_ADJUSTED=GAAP","Sort=A","Dates=H","DateFormat=P","Fill=—","Direction=H","UseDPDF=Y")</f>
        <v>#NAME?</v>
      </c>
      <c r="DA258" s="4" t="e">
        <f ca="1">_xll.BDH($C$253,"ACCOUNTS_PAYABLE_TURNOVER","FY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258" s="2" t="e">
        <f ca="1">_xll.BDH($C$253,"ACCOUNTS_PAYABLE_TURNOVER_DAYS","FY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258" s="4" t="e">
        <f ca="1">_xll.BDH($C$253,"CASH_CONVERSION_CYCLE","FY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258" s="4" t="e">
        <f ca="1">_xll.BDH($C$253,"INV_TO_CASH_DAYS","FY 2015","FY 2015","Currency=INR","Period=FY","BEST_FPERIOD_OVERRIDE=FY","FILING_STATUS=OR","EQY_CONSOLIDATED=Y","FA_ADJUSTED=GAAP","Sort=A","Dates=H","DateFormat=P","Fill=—","Direction=H","UseDPDF=Y")</f>
        <v>#NAME?</v>
      </c>
      <c r="DE258" s="5" t="e">
        <f ca="1">_xll.BDH($C$253,"BS_INVENTORIES","FY 2015","FY 2015","Currency=INR","Period=FY","BEST_FPERIOD_OVERRIDE=FY","FILING_STATUS=OR","EQY_CONSOLIDATED=Y","SCALING_FORMAT=MLN","Sort=A","Dates=H","DateFormat=P","Fill=—","Direction=H","UseDPDF=Y")</f>
        <v>#NAME?</v>
      </c>
      <c r="DF258" s="3" t="e">
        <f ca="1">_xll.BDH($C$253,"INVTRY_RAW_MATERIALS","FY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258" s="3" t="e">
        <f ca="1">_xll.BDH($C$253,"INVTRY_IN_PROGRESS","FY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258" s="3" t="e">
        <f ca="1">_xll.BDH($C$253,"INVTRY_FINISHED_GOODS","FY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258" s="3" t="e">
        <f ca="1">_xll.BDH($C$253,"BS_OTHER_INV","FY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259" spans="1:113" x14ac:dyDescent="0.3">
      <c r="A259" s="6"/>
      <c r="B259" s="6"/>
      <c r="C259" s="6"/>
      <c r="D259" s="6"/>
      <c r="E259" t="s">
        <v>78</v>
      </c>
      <c r="F259" t="e">
        <f ca="1">_xll.BDH($C$253,"RETURN_COM_EQY","FQ1 2015","FQ1 2015","Currency=INR","Period=FQ","BEST_FPERIOD_OVERRIDE=FQ","FILING_STATUS=OR","EQY_CONSOLIDATED=Y","FA_ADJUSTED=GAAP","Sort=A","Dates=H","DateFormat=P","Fill=—","Direction=H","UseDPDF=Y")</f>
        <v>#NAME?</v>
      </c>
      <c r="G259" t="e">
        <f ca="1">_xll.BDH($C$253,"RETURN_ON_ASSET","FQ1 2015","FQ1 2015","Currency=INR","Period=FQ","BEST_FPERIOD_OVERRIDE=FQ","FILING_STATUS=OR","EQY_CONSOLIDATED=Y","FA_ADJUSTED=GAAP","Sort=A","Dates=H","DateFormat=P","Fill=—","Direction=H","UseDPDF=Y")</f>
        <v>#NAME?</v>
      </c>
      <c r="H259" t="e">
        <f ca="1">_xll.BDH($C$253,"RETURN_ON_CAP","FQ1 2015","FQ1 2015","Currency=INR","Period=FQ","BEST_FPERIOD_OVERRIDE=FQ","FILING_STATUS=OR","EQY_CONSOLIDATED=Y","FA_ADJUSTED=GAAP","Sort=A","Dates=H","DateFormat=P","Fill=—","Direction=H","UseDPDF=Y")</f>
        <v>#NAME?</v>
      </c>
      <c r="I259" t="e">
        <f ca="1">_xll.BDH($C$253,"RETURN_ON_INV_CAPITAL","FQ1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259" t="e">
        <f ca="1">_xll.BDH($C$253,"EBITDA_TO_REVENUE","FQ1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259" t="e">
        <f ca="1">_xll.BDH($C$253,"OPER_MARGIN","FQ1 2015","FQ1 2015","Currency=INR","Period=FQ","BEST_FPERIOD_OVERRIDE=FQ","FILING_STATUS=OR","EQY_CONSOLIDATED=Y","FA_ADJUSTED=GAAP","Sort=A","Dates=H","DateFormat=P","Fill=—","Direction=H","UseDPDF=Y")</f>
        <v>#NAME?</v>
      </c>
      <c r="L259" t="e">
        <f ca="1">_xll.BDH($C$253,"INCREMENTAL_OPERATING_MARGIN","FQ1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259" t="e">
        <f ca="1">_xll.BDH($C$253,"PRETAX_INC_TO_NET_SALES","FQ1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259" t="e">
        <f ca="1">_xll.BDH($C$253,"INC_BEF_XO_ITEMS_TO_NET_SALES","FQ1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259" t="e">
        <f ca="1">_xll.BDH($C$253,"PROF_MARGIN","FQ1 2015","FQ1 2015","Currency=INR","Period=FQ","BEST_FPERIOD_OVERRIDE=FQ","FILING_STATUS=OR","EQY_CONSOLIDATED=Y","FA_ADJUSTED=GAAP","Sort=A","Dates=H","DateFormat=P","Fill=—","Direction=H","UseDPDF=Y")</f>
        <v>#NAME?</v>
      </c>
      <c r="P259" t="e">
        <f ca="1">_xll.BDH($C$253,"NET_INCOME_TO_COMMON_MARGIN","FQ1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259" t="e">
        <f ca="1">_xll.BDH($C$253,"EFF_TAX_RATE","FQ1 2015","FQ1 2015","Currency=INR","Period=FQ","BEST_FPERIOD_OVERRIDE=FQ","FILING_STATUS=OR","EQY_CONSOLIDATED=Y","FA_ADJUSTED=GAAP","Sort=A","Dates=H","DateFormat=P","Fill=—","Direction=H","UseDPDF=Y")</f>
        <v>#NAME?</v>
      </c>
      <c r="R259" t="e">
        <f ca="1">_xll.BDH($C$253,"DVD_PAYOUT_RATIO","FQ1 2015","FQ1 2015","Currency=INR","Period=FQ","BEST_FPERIOD_OVERRIDE=FQ","FILING_STATUS=OR","EQY_CONSOLIDATED=Y","FA_ADJUSTED=GAAP","Sort=A","Dates=H","DateFormat=P","Fill=—","Direction=H","UseDPDF=Y")</f>
        <v>#NAME?</v>
      </c>
      <c r="S259" t="e">
        <f ca="1">_xll.BDH($C$253,"SUSTAIN_GROWTH_RT","FQ1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259" s="2" t="e">
        <f ca="1">_xll.BDH($C$253,"SALES_GROWTH","FQ1 2015","FQ1 2015","Currency=INR","Period=FQ","BEST_FPERIOD_OVERRIDE=FQ","FILING_STATUS=OR","EQY_CONSOLIDATED=Y","FA_ADJUSTED=GAAP","Sort=A","Dates=H","DateFormat=P","Fill=—","Direction=H","UseDPDF=Y")</f>
        <v>#NAME?</v>
      </c>
      <c r="U259" s="2" t="e">
        <f ca="1">_xll.BDH($C$253,"EBITDA_GROWTH","FQ1 2015","FQ1 2015","Currency=INR","Period=FQ","BEST_FPERIOD_OVERRIDE=FQ","FILING_STATUS=OR","EQY_CONSOLIDATED=Y","FA_ADJUSTED=GAAP","Sort=A","Dates=H","DateFormat=P","Fill=—","Direction=H","UseDPDF=Y")</f>
        <v>#NAME?</v>
      </c>
      <c r="V259" s="2" t="e">
        <f ca="1">_xll.BDH($C$253,"OPER_INC_GROWTH","FQ1 2015","FQ1 2015","Currency=INR","Period=FQ","BEST_FPERIOD_OVERRIDE=FQ","FILING_STATUS=OR","EQY_CONSOLIDATED=Y","FA_ADJUSTED=GAAP","Sort=A","Dates=H","DateFormat=P","Fill=—","Direction=H","UseDPDF=Y")</f>
        <v>#NAME?</v>
      </c>
      <c r="W259" s="2" t="e">
        <f ca="1">_xll.BDH($C$253,"EARN_FOR_COM_GROWTH","FQ1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259" s="2" t="e">
        <f ca="1">_xll.BDH($C$253,"DILUTED_EPS_AFT_XO_ITEMS_GROWTH","FQ1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259" s="2" t="e">
        <f ca="1">_xll.BDH($C$253,"DIVIDEND_PER_SHARE_1_YEAR_GROWTH","FQ1 2015","FQ1 2015","Currency=INR","Period=FQ","BEST_FPERIOD_OVERRIDE=FQ","FILING_STATUS=OR","EQY_CONSOLIDATED=Y","Sort=A","Dates=H","DateFormat=P","Fill=—","Direction=H","UseDPDF=Y")</f>
        <v>#NAME?</v>
      </c>
      <c r="Z259" s="2" t="e">
        <f ca="1">_xll.BDH($C$253,"ACCOUNTS_RECEIVABLE_GROWTH","FQ1 2015","FQ1 2015","Currency=INR","Period=FQ","BEST_FPERIOD_OVERRIDE=FQ","FILING_STATUS=OR","EQY_CONSOLIDATED=Y","Sort=A","Dates=H","DateFormat=P","Fill=—","Direction=H","UseDPDF=Y")</f>
        <v>#NAME?</v>
      </c>
      <c r="AA259" s="2" t="e">
        <f ca="1">_xll.BDH($C$253,"INVENTORY_GROWTH","FQ1 2015","FQ1 2015","Currency=INR","Period=FQ","BEST_FPERIOD_OVERRIDE=FQ","FILING_STATUS=OR","EQY_CONSOLIDATED=Y","Sort=A","Dates=H","DateFormat=P","Fill=—","Direction=H","UseDPDF=Y")</f>
        <v>#NAME?</v>
      </c>
      <c r="AB259" s="2" t="e">
        <f ca="1">_xll.BDH($C$253,"NET_FIXED_ASSETS_1_YEAR_GROWTH","FQ1 2015","FQ1 2015","Currency=INR","Period=FQ","BEST_FPERIOD_OVERRIDE=FQ","FILING_STATUS=OR","EQY_CONSOLIDATED=Y","Sort=A","Dates=H","DateFormat=P","Fill=—","Direction=H","UseDPDF=Y")</f>
        <v>#NAME?</v>
      </c>
      <c r="AC259" s="2" t="e">
        <f ca="1">_xll.BDH($C$253,"ASSET_GROWTH","FQ1 2015","FQ1 2015","Currency=INR","Period=FQ","BEST_FPERIOD_OVERRIDE=FQ","FILING_STATUS=OR","EQY_CONSOLIDATED=Y","Sort=A","Dates=H","DateFormat=P","Fill=—","Direction=H","UseDPDF=Y")</f>
        <v>#NAME?</v>
      </c>
      <c r="AD259" s="2" t="e">
        <f ca="1">_xll.BDH($C$253,"MODIFIED_WORK_CAP_GROWTH","FQ1 2015","FQ1 2015","Currency=INR","Period=FQ","BEST_FPERIOD_OVERRIDE=FQ","FILING_STATUS=OR","EQY_CONSOLIDATED=Y","Sort=A","Dates=H","DateFormat=P","Fill=—","Direction=H","UseDPDF=Y")</f>
        <v>#NAME?</v>
      </c>
      <c r="AE259" s="2" t="e">
        <f ca="1">_xll.BDH($C$253,"WORK_CAP_GROWTH","FQ1 2015","FQ1 2015","Currency=INR","Period=FQ","BEST_FPERIOD_OVERRIDE=FQ","FILING_STATUS=OR","EQY_CONSOLIDATED=Y","Sort=A","Dates=H","DateFormat=P","Fill=—","Direction=H","UseDPDF=Y")</f>
        <v>#NAME?</v>
      </c>
      <c r="AF259" s="2" t="e">
        <f ca="1">_xll.BDH($C$253,"ACCOUNTS_PAYABLE_GROWTH_1YR","FQ1 2015","FQ1 2015","Currency=INR","Period=FQ","BEST_FPERIOD_OVERRIDE=FQ","FILING_STATUS=OR","EQY_CONSOLIDATED=Y","Sort=A","Dates=H","DateFormat=P","Fill=—","Direction=H","UseDPDF=Y")</f>
        <v>#NAME?</v>
      </c>
      <c r="AG259" s="2" t="e">
        <f ca="1">_xll.BDH($C$253,"SHORT_TERM_DEBT_1_YEAR_GROWTH","FQ1 2015","FQ1 2015","Currency=INR","Period=FQ","BEST_FPERIOD_OVERRIDE=FQ","FILING_STATUS=OR","EQY_CONSOLIDATED=Y","Sort=A","Dates=H","DateFormat=P","Fill=—","Direction=H","UseDPDF=Y")</f>
        <v>#NAME?</v>
      </c>
      <c r="AH259" s="2" t="e">
        <f ca="1">_xll.BDH($C$253,"TOTAL_DEBT_1_YEAR_GROWTH","FQ1 2015","FQ1 2015","Currency=INR","Period=FQ","BEST_FPERIOD_OVERRIDE=FQ","FILING_STATUS=OR","EQY_CONSOLIDATED=Y","Sort=A","Dates=H","DateFormat=P","Fill=—","Direction=H","UseDPDF=Y")</f>
        <v>#NAME?</v>
      </c>
      <c r="AI259" s="2" t="e">
        <f ca="1">_xll.BDH($C$253,"TOTAL_EQUITY_1_YEAR_GROWTH","FQ1 2015","FQ1 2015","Currency=INR","Period=FQ","BEST_FPERIOD_OVERRIDE=FQ","FILING_STATUS=OR","EQY_CONSOLIDATED=Y","Sort=A","Dates=H","DateFormat=P","Fill=—","Direction=H","UseDPDF=Y")</f>
        <v>#NAME?</v>
      </c>
      <c r="AJ259" s="2" t="e">
        <f ca="1">_xll.BDH($C$253,"GROWTH_IN_CAP","FQ1 2015","FQ1 2015","Currency=INR","Period=FQ","BEST_FPERIOD_OVERRIDE=FQ","FILING_STATUS=OR","EQY_CONSOLIDATED=Y","Sort=A","Dates=H","DateFormat=P","Fill=—","Direction=H","UseDPDF=Y")</f>
        <v>#NAME?</v>
      </c>
      <c r="AK259" s="2" t="e">
        <f ca="1">_xll.BDH($C$253,"BVPS_GROWTH","FQ1 2015","FQ1 2015","Currency=INR","Period=FQ","BEST_FPERIOD_OVERRIDE=FQ","FILING_STATUS=OR","EQY_CONSOLIDATED=Y","Sort=A","Dates=H","DateFormat=P","Fill=—","Direction=H","UseDPDF=Y")</f>
        <v>#NAME?</v>
      </c>
      <c r="AL259" s="2" t="e">
        <f ca="1">_xll.BDH($C$253,"CASH_FLOW_GROWTH","FQ1 2015","FQ1 2015","Currency=INR","Period=FQ","BEST_FPERIOD_OVERRIDE=FQ","FILING_STATUS=OR","EQY_CONSOLIDATED=Y","Sort=A","Dates=H","DateFormat=P","Fill=—","Direction=H","UseDPDF=Y")</f>
        <v>#NAME?</v>
      </c>
      <c r="AM259" s="2" t="e">
        <f ca="1">_xll.BDH($C$253,"GEO_GROW_NET_SALES","FQ1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259" s="2" t="e">
        <f ca="1">_xll.BDH($C$253,"GEO_GROW_EBITDA","FQ1 2015","FQ1 2015","Currency=INR","Period=FQ","BEST_FPERIOD_OVERRIDE=FQ","FILING_STATUS=OR","EQY_CONSOLIDATED=Y","FA_ADJUSTED=GAAP","Sort=A","Dates=H","DateFormat=P","Fill=—","Direction=H","UseDPDF=Y")</f>
        <v>#NAME?</v>
      </c>
      <c r="AO259" s="2" t="e">
        <f ca="1">_xll.BDH($C$253,"GEO_GROW_OPER_INC","FQ1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259" s="2" t="e">
        <f ca="1">_xll.BDH($C$253,"NET_INCOME_TO_COMMON_5_YR_GROWTH","FQ1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259" s="2" t="e">
        <f ca="1">_xll.BDH($C$253,"5Y_GEO_GROWTH_DILUTED_EPS","FQ1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259" s="2" t="e">
        <f ca="1">_xll.BDH($C$253,"GEO_GROW_DVD_PER_SH","FQ1 2015","FQ1 2015","Currency=INR","Period=FQ","BEST_FPERIOD_OVERRIDE=FQ","FILING_STATUS=OR","EQY_CONSOLIDATED=Y","Sort=A","Dates=H","DateFormat=P","Fill=—","Direction=H","UseDPDF=Y")</f>
        <v>#NAME?</v>
      </c>
      <c r="AS259" s="2" t="e">
        <f ca="1">_xll.BDH($C$253,"ACCOUNTS_RECEIVABLE_5_YR_GROWTH","FQ1 2015","FQ1 2015","Currency=INR","Period=FQ","BEST_FPERIOD_OVERRIDE=FQ","FILING_STATUS=OR","EQY_CONSOLIDATED=Y","Sort=A","Dates=H","DateFormat=P","Fill=—","Direction=H","UseDPDF=Y")</f>
        <v>#NAME?</v>
      </c>
      <c r="AT259" s="2" t="e">
        <f ca="1">_xll.BDH($C$253,"INVENTORY_5_YEAR_GROWTH","FQ1 2015","FQ1 2015","Currency=INR","Period=FQ","BEST_FPERIOD_OVERRIDE=FQ","FILING_STATUS=OR","EQY_CONSOLIDATED=Y","Sort=A","Dates=H","DateFormat=P","Fill=—","Direction=H","UseDPDF=Y")</f>
        <v>#NAME?</v>
      </c>
      <c r="AU259" s="2" t="e">
        <f ca="1">_xll.BDH($C$253,"NET_FIXED_ASSETS_5_YEAR_GROWTH","FQ1 2015","FQ1 2015","Currency=INR","Period=FQ","BEST_FPERIOD_OVERRIDE=FQ","FILING_STATUS=OR","EQY_CONSOLIDATED=Y","Sort=A","Dates=H","DateFormat=P","Fill=—","Direction=H","UseDPDF=Y")</f>
        <v>#NAME?</v>
      </c>
      <c r="AV259" s="2" t="e">
        <f ca="1">_xll.BDH($C$253,"GEO_GROW_TOT_ASSET","FQ1 2015","FQ1 2015","Currency=INR","Period=FQ","BEST_FPERIOD_OVERRIDE=FQ","FILING_STATUS=OR","EQY_CONSOLIDATED=Y","Sort=A","Dates=H","DateFormat=P","Fill=—","Direction=H","UseDPDF=Y")</f>
        <v>#NAME?</v>
      </c>
      <c r="AW259" s="2" t="e">
        <f ca="1">_xll.BDH($C$253,"MODIFIED_WORKING_CPTL_5YR_GRWTH","FQ1 2015","FQ1 2015","Currency=INR","Period=FQ","BEST_FPERIOD_OVERRIDE=FQ","FILING_STATUS=OR","EQY_CONSOLIDATED=Y","Sort=A","Dates=H","DateFormat=P","Fill=—","Direction=H","UseDPDF=Y")</f>
        <v>#NAME?</v>
      </c>
      <c r="AX259" s="2" t="e">
        <f ca="1">_xll.BDH($C$253,"WORKING_CAPITAL_5_YEAR_GROWTH","FQ1 2015","FQ1 2015","Currency=INR","Period=FQ","BEST_FPERIOD_OVERRIDE=FQ","FILING_STATUS=OR","EQY_CONSOLIDATED=Y","Sort=A","Dates=H","DateFormat=P","Fill=—","Direction=H","UseDPDF=Y")</f>
        <v>#NAME?</v>
      </c>
      <c r="AY259" s="2" t="e">
        <f ca="1">_xll.BDH($C$253,"ACCOUNTS_PAYABLE_5_YEAR_GROWTH","FQ1 2015","FQ1 2015","Currency=INR","Period=FQ","BEST_FPERIOD_OVERRIDE=FQ","FILING_STATUS=OR","EQY_CONSOLIDATED=Y","Sort=A","Dates=H","DateFormat=P","Fill=—","Direction=H","UseDPDF=Y")</f>
        <v>#NAME?</v>
      </c>
      <c r="AZ259" s="2" t="e">
        <f ca="1">_xll.BDH($C$253,"SHORT_TERM_DEBT_5_YEAR_GROWTH","FQ1 2015","FQ1 2015","Currency=INR","Period=FQ","BEST_FPERIOD_OVERRIDE=FQ","FILING_STATUS=OR","EQY_CONSOLIDATED=Y","Sort=A","Dates=H","DateFormat=P","Fill=—","Direction=H","UseDPDF=Y")</f>
        <v>#NAME?</v>
      </c>
      <c r="BA259" s="2" t="e">
        <f ca="1">_xll.BDH($C$253,"TOTAL_DEBT_5_YEAR_GROWTH","FQ1 2015","FQ1 2015","Currency=INR","Period=FQ","BEST_FPERIOD_OVERRIDE=FQ","FILING_STATUS=OR","EQY_CONSOLIDATED=Y","Sort=A","Dates=H","DateFormat=P","Fill=—","Direction=H","UseDPDF=Y")</f>
        <v>#NAME?</v>
      </c>
      <c r="BB259" s="2" t="e">
        <f ca="1">_xll.BDH($C$253,"GEO_GROW_TOT_SHRHLDR_EQY","FQ1 2015","FQ1 2015","Currency=INR","Period=FQ","BEST_FPERIOD_OVERRIDE=FQ","FILING_STATUS=OR","EQY_CONSOLIDATED=Y","Sort=A","Dates=H","DateFormat=P","Fill=—","Direction=H","UseDPDF=Y")</f>
        <v>#NAME?</v>
      </c>
      <c r="BC259" s="2" t="e">
        <f ca="1">_xll.BDH($C$253,"TOTAL_CAPITAL_5_YEAR_GROWTH","FQ1 2015","FQ1 2015","Currency=INR","Period=FQ","BEST_FPERIOD_OVERRIDE=FQ","FILING_STATUS=OR","EQY_CONSOLIDATED=Y","Sort=A","Dates=H","DateFormat=P","Fill=—","Direction=H","UseDPDF=Y")</f>
        <v>#NAME?</v>
      </c>
      <c r="BD259" s="2" t="e">
        <f ca="1">_xll.BDH($C$253,"GEO_GROW_BOOK_VAL","FQ1 2015","FQ1 2015","Currency=INR","Period=FQ","BEST_FPERIOD_OVERRIDE=FQ","FILING_STATUS=OR","EQY_CONSOLIDATED=Y","Sort=A","Dates=H","DateFormat=P","Fill=—","Direction=H","UseDPDF=Y")</f>
        <v>#NAME?</v>
      </c>
      <c r="BE259" s="2" t="e">
        <f ca="1">_xll.BDH($C$253,"GEO_GROW_CASH_OPER_ACT","FQ1 2015","FQ1 2015","Currency=INR","Period=FQ","BEST_FPERIOD_OVERRIDE=FQ","FILING_STATUS=OR","EQY_CONSOLIDATED=Y","Sort=A","Dates=H","DateFormat=P","Fill=—","Direction=H","UseDPDF=Y")</f>
        <v>#NAME?</v>
      </c>
      <c r="BF259" s="2" t="e">
        <f ca="1">_xll.BDH($C$253,"REVENUE_SEQUENTIAL_GROWTH","FQ1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259" s="2" t="e">
        <f ca="1">_xll.BDH($C$253,"EBITDA_SEQUENTIAL_GROWTH","FQ1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259" s="2" t="e">
        <f ca="1">_xll.BDH($C$253,"OPERATING_INCOME_SEQ_GROWTH","FQ1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259" s="2" t="e">
        <f ca="1">_xll.BDH($C$253,"NET_INCOME_TO_COMMON_SEQ_GROWTH","FQ1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259" s="2" t="e">
        <f ca="1">_xll.BDH($C$253,"EPS_DILUTED_SEQUENTIAL_GROWTH","FQ1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259" s="2" t="e">
        <f ca="1">_xll.BDH($C$253,"DPS_SEQUENTIAL_GROWTH","FQ1 2015","FQ1 2015","Currency=INR","Period=FQ","BEST_FPERIOD_OVERRIDE=FQ","FILING_STATUS=OR","EQY_CONSOLIDATED=Y","Sort=A","Dates=H","DateFormat=P","Fill=—","Direction=H","UseDPDF=Y")</f>
        <v>#NAME?</v>
      </c>
      <c r="BL259" s="2" t="e">
        <f ca="1">_xll.BDH($C$253,"ACCOUNTS_RECEIVABLE_SEQ_GROWTH","FQ1 2015","FQ1 2015","Currency=INR","Period=FQ","BEST_FPERIOD_OVERRIDE=FQ","FILING_STATUS=OR","EQY_CONSOLIDATED=Y","Sort=A","Dates=H","DateFormat=P","Fill=—","Direction=H","UseDPDF=Y")</f>
        <v>#NAME?</v>
      </c>
      <c r="BM259" s="2" t="e">
        <f ca="1">_xll.BDH($C$253,"INVENTORY_SEQUENTIAL_GROWTH","FQ1 2015","FQ1 2015","Currency=INR","Period=FQ","BEST_FPERIOD_OVERRIDE=FQ","FILING_STATUS=OR","EQY_CONSOLIDATED=Y","Sort=A","Dates=H","DateFormat=P","Fill=—","Direction=H","UseDPDF=Y")</f>
        <v>#NAME?</v>
      </c>
      <c r="BN259" s="2" t="e">
        <f ca="1">_xll.BDH($C$253,"FIXED_ASSETS_SEQUENTIAL_GROWTH","FQ1 2015","FQ1 2015","Currency=INR","Period=FQ","BEST_FPERIOD_OVERRIDE=FQ","FILING_STATUS=OR","EQY_CONSOLIDATED=Y","Sort=A","Dates=H","DateFormat=P","Fill=—","Direction=H","UseDPDF=Y")</f>
        <v>#NAME?</v>
      </c>
      <c r="BO259" s="2" t="e">
        <f ca="1">_xll.BDH($C$253,"TOTAL_ASSETS_SEQUENTIAL_GROWTH","FQ1 2015","FQ1 2015","Currency=INR","Period=FQ","BEST_FPERIOD_OVERRIDE=FQ","FILING_STATUS=OR","EQY_CONSOLIDATED=Y","Sort=A","Dates=H","DateFormat=P","Fill=—","Direction=H","UseDPDF=Y")</f>
        <v>#NAME?</v>
      </c>
      <c r="BP259" s="2" t="e">
        <f ca="1">_xll.BDH($C$253,"MODIFIED_WORKING_CPTL_SEQ_GRWTH","FQ1 2015","FQ1 2015","Currency=INR","Period=FQ","BEST_FPERIOD_OVERRIDE=FQ","FILING_STATUS=OR","EQY_CONSOLIDATED=Y","Sort=A","Dates=H","DateFormat=P","Fill=—","Direction=H","UseDPDF=Y")</f>
        <v>#NAME?</v>
      </c>
      <c r="BQ259" s="2" t="e">
        <f ca="1">_xll.BDH($C$253,"WORKING_CAPITAL_SEQ_GROWTH","FQ1 2015","FQ1 2015","Currency=INR","Period=FQ","BEST_FPERIOD_OVERRIDE=FQ","FILING_STATUS=OR","EQY_CONSOLIDATED=Y","Sort=A","Dates=H","DateFormat=P","Fill=—","Direction=H","UseDPDF=Y")</f>
        <v>#NAME?</v>
      </c>
      <c r="BR259" s="2" t="e">
        <f ca="1">_xll.BDH($C$253,"ACCOUNTS_PAYABLE_SEQ_GROWTH","FQ1 2015","FQ1 2015","Currency=INR","Period=FQ","BEST_FPERIOD_OVERRIDE=FQ","FILING_STATUS=OR","EQY_CONSOLIDATED=Y","Sort=A","Dates=H","DateFormat=P","Fill=—","Direction=H","UseDPDF=Y")</f>
        <v>#NAME?</v>
      </c>
      <c r="BS259" s="2" t="e">
        <f ca="1">_xll.BDH($C$253,"ST_DEBT_SEQUENTIAL_GROWTH","FQ1 2015","FQ1 2015","Currency=INR","Period=FQ","BEST_FPERIOD_OVERRIDE=FQ","FILING_STATUS=OR","EQY_CONSOLIDATED=Y","Sort=A","Dates=H","DateFormat=P","Fill=—","Direction=H","UseDPDF=Y")</f>
        <v>#NAME?</v>
      </c>
      <c r="BT259" s="2" t="e">
        <f ca="1">_xll.BDH($C$253,"TOTAL_DEBT_SEQUENTIAL_GROWTH","FQ1 2015","FQ1 2015","Currency=INR","Period=FQ","BEST_FPERIOD_OVERRIDE=FQ","FILING_STATUS=OR","EQY_CONSOLIDATED=Y","Sort=A","Dates=H","DateFormat=P","Fill=—","Direction=H","UseDPDF=Y")</f>
        <v>#NAME?</v>
      </c>
      <c r="BU259" s="2" t="e">
        <f ca="1">_xll.BDH($C$253,"TOTAL_EQUITY_SEQUENTIAL_GROWTH","FQ1 2015","FQ1 2015","Currency=INR","Period=FQ","BEST_FPERIOD_OVERRIDE=FQ","FILING_STATUS=OR","EQY_CONSOLIDATED=Y","Sort=A","Dates=H","DateFormat=P","Fill=—","Direction=H","UseDPDF=Y")</f>
        <v>#NAME?</v>
      </c>
      <c r="BV259" s="2" t="e">
        <f ca="1">_xll.BDH($C$253,"TOTAL_CAPITAL_SEQUENTIAL_GROWTH","FQ1 2015","FQ1 2015","Currency=INR","Period=FQ","BEST_FPERIOD_OVERRIDE=FQ","FILING_STATUS=OR","EQY_CONSOLIDATED=Y","Sort=A","Dates=H","DateFormat=P","Fill=—","Direction=H","UseDPDF=Y")</f>
        <v>#NAME?</v>
      </c>
      <c r="BW259" s="2" t="e">
        <f ca="1">_xll.BDH($C$253,"BPS_SEQUENTIAL_GROWTH","FQ1 2015","FQ1 2015","Currency=INR","Period=FQ","BEST_FPERIOD_OVERRIDE=FQ","FILING_STATUS=OR","EQY_CONSOLIDATED=Y","Sort=A","Dates=H","DateFormat=P","Fill=—","Direction=H","UseDPDF=Y")</f>
        <v>#NAME?</v>
      </c>
      <c r="BX259" s="2" t="e">
        <f ca="1">_xll.BDH($C$253,"CFO_SEQUENTIAL_GROWTH","FQ1 2015","FQ1 2015","Currency=INR","Period=FQ","BEST_FPERIOD_OVERRIDE=FQ","FILING_STATUS=OR","EQY_CONSOLIDATED=Y","Sort=A","Dates=H","DateFormat=P","Fill=—","Direction=H","UseDPDF=Y")</f>
        <v>#NAME?</v>
      </c>
      <c r="BY259" s="3" t="e">
        <f ca="1">_xll.BDH($C$253,"SHORT_AND_LONG_TERM_DEBT","FQ1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259" s="3" t="e">
        <f ca="1">_xll.BDH($C$253,"BS_ST_BORROW","FQ1 2015","FQ1 2015","Currency=INR","Period=FQ","BEST_FPERIOD_OVERRIDE=FQ","FILING_STATUS=OR","EQY_CONSOLIDATED=Y","SCALING_FORMAT=MLN","Sort=A","Dates=H","DateFormat=P","Fill=—","Direction=H","UseDPDF=Y")</f>
        <v>#NAME?</v>
      </c>
      <c r="CA259" s="3" t="e">
        <f ca="1">_xll.BDH($C$253,"BS_LT_BORROW","FQ1 2015","FQ1 2015","Currency=INR","Period=FQ","BEST_FPERIOD_OVERRIDE=FQ","FILING_STATUS=OR","EQY_CONSOLIDATED=Y","SCALING_FORMAT=MLN","Sort=A","Dates=H","DateFormat=P","Fill=—","Direction=H","UseDPDF=Y")</f>
        <v>#NAME?</v>
      </c>
      <c r="CB259" s="2" t="e">
        <f ca="1">_xll.BDH($C$253,"TOT_DEBT_TO_EBITDA","FQ1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259" s="2" t="e">
        <f ca="1">_xll.BDH($C$253,"NET_DEBT_TO_EBITDA","FQ1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259" s="2" t="e">
        <f ca="1">_xll.BDH($C$253,"TOTAL_DEBT_TO_EBIT","FQ1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259" s="2" t="e">
        <f ca="1">_xll.BDH($C$253,"NET_DEBT_TO_EBIT","FQ1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259" s="2" t="e">
        <f ca="1">_xll.BDH($C$253,"EBITDA_TO_INTEREST_EXPN","FQ1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259" s="2" t="e">
        <f ca="1">_xll.BDH($C$253,"COM_EQY_TO_TOT_ASSET","FQ1 2015","FQ1 2015","Currency=INR","Period=FQ","BEST_FPERIOD_OVERRIDE=FQ","FILING_STATUS=OR","EQY_CONSOLIDATED=Y","Sort=A","Dates=H","DateFormat=P","Fill=—","Direction=H","UseDPDF=Y")</f>
        <v>#NAME?</v>
      </c>
      <c r="CH259" s="2" t="e">
        <f ca="1">_xll.BDH($C$253,"LT_DEBT_TO_TOT_EQY","FQ1 2015","FQ1 2015","Currency=INR","Period=FQ","BEST_FPERIOD_OVERRIDE=FQ","FILING_STATUS=OR","EQY_CONSOLIDATED=Y","Sort=A","Dates=H","DateFormat=P","Fill=—","Direction=H","UseDPDF=Y")</f>
        <v>#NAME?</v>
      </c>
      <c r="CI259" s="2" t="e">
        <f ca="1">_xll.BDH($C$253,"LT_DEBT_TO_TOT_CAP","FQ1 2015","FQ1 2015","Currency=INR","Period=FQ","BEST_FPERIOD_OVERRIDE=FQ","FILING_STATUS=OR","EQY_CONSOLIDATED=Y","Sort=A","Dates=H","DateFormat=P","Fill=—","Direction=H","UseDPDF=Y")</f>
        <v>#NAME?</v>
      </c>
      <c r="CJ259" s="2" t="e">
        <f ca="1">_xll.BDH($C$253,"LT_DEBT_TO_TOT_ASSET","FQ1 2015","FQ1 2015","Currency=INR","Period=FQ","BEST_FPERIOD_OVERRIDE=FQ","FILING_STATUS=OR","EQY_CONSOLIDATED=Y","Sort=A","Dates=H","DateFormat=P","Fill=—","Direction=H","UseDPDF=Y")</f>
        <v>#NAME?</v>
      </c>
      <c r="CK259" s="2" t="e">
        <f ca="1">_xll.BDH($C$253,"TOT_DEBT_TO_TOT_EQY","FQ1 2015","FQ1 2015","Currency=INR","Period=FQ","BEST_FPERIOD_OVERRIDE=FQ","FILING_STATUS=OR","EQY_CONSOLIDATED=Y","Sort=A","Dates=H","DateFormat=P","Fill=—","Direction=H","UseDPDF=Y")</f>
        <v>#NAME?</v>
      </c>
      <c r="CL259" s="2" t="e">
        <f ca="1">_xll.BDH($C$253,"TOT_DEBT_TO_TOT_CAP","FQ1 2015","FQ1 2015","Currency=INR","Period=FQ","BEST_FPERIOD_OVERRIDE=FQ","FILING_STATUS=OR","EQY_CONSOLIDATED=Y","Sort=A","Dates=H","DateFormat=P","Fill=—","Direction=H","UseDPDF=Y")</f>
        <v>#NAME?</v>
      </c>
      <c r="CM259" s="2" t="e">
        <f ca="1">_xll.BDH($C$253,"TOT_DEBT_TO_TOT_ASSET","FQ1 2015","FQ1 2015","Currency=INR","Period=FQ","BEST_FPERIOD_OVERRIDE=FQ","FILING_STATUS=OR","EQY_CONSOLIDATED=Y","Sort=A","Dates=H","DateFormat=P","Fill=—","Direction=H","UseDPDF=Y")</f>
        <v>#NAME?</v>
      </c>
      <c r="CN259" s="2" t="e">
        <f ca="1">_xll.BDH($C$253,"NET_DEBT_TO_SHRHLDR_EQTY","FQ1 2015","FQ1 2015","Currency=INR","Period=FQ","BEST_FPERIOD_OVERRIDE=FQ","FILING_STATUS=OR","EQY_CONSOLIDATED=Y","Sort=A","Dates=H","DateFormat=P","Fill=—","Direction=H","UseDPDF=Y")</f>
        <v>#NAME?</v>
      </c>
      <c r="CO259" s="2" t="e">
        <f ca="1">_xll.BDH($C$253,"NET_DEBT_%_CAPITAL","FQ1 2015","FQ1 2015","Currency=INR","Period=FQ","BEST_FPERIOD_OVERRIDE=FQ","FILING_STATUS=OR","EQY_CONSOLIDATED=Y","Sort=A","Dates=H","DateFormat=P","Fill=—","Direction=H","UseDPDF=Y")</f>
        <v>#NAME?</v>
      </c>
      <c r="CP259" s="3" t="e">
        <f ca="1">_xll.BDH($C$253,"EBITDA","FQ1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259" s="3" t="e">
        <f ca="1">_xll.BDH($C$253,"EBITDA_AFTER_CAPEX","FQ1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259" s="3" t="e">
        <f ca="1">_xll.BDH($C$253,"IS_OPER_INC","FQ1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259" s="2" t="e">
        <f ca="1">_xll.BDH($C$253,"CASH_RATIO","FQ1 2015","FQ1 2015","Currency=INR","Period=FQ","BEST_FPERIOD_OVERRIDE=FQ","FILING_STATUS=OR","EQY_CONSOLIDATED=Y","Sort=A","Dates=H","DateFormat=P","Fill=—","Direction=H","UseDPDF=Y")</f>
        <v>#NAME?</v>
      </c>
      <c r="CT259" s="2" t="e">
        <f ca="1">_xll.BDH($C$253,"CUR_RATIO","FQ1 2015","FQ1 2015","Currency=INR","Period=FQ","BEST_FPERIOD_OVERRIDE=FQ","FILING_STATUS=OR","EQY_CONSOLIDATED=Y","Sort=A","Dates=H","DateFormat=P","Fill=—","Direction=H","UseDPDF=Y")</f>
        <v>#NAME?</v>
      </c>
      <c r="CU259" s="2" t="e">
        <f ca="1">_xll.BDH($C$253,"QUICK_RATIO","FQ1 2015","FQ1 2015","Currency=INR","Period=FQ","BEST_FPERIOD_OVERRIDE=FQ","FILING_STATUS=OR","EQY_CONSOLIDATED=Y","Sort=A","Dates=H","DateFormat=P","Fill=—","Direction=H","UseDPDF=Y")</f>
        <v>#NAME?</v>
      </c>
      <c r="CV259" s="2" t="e">
        <f ca="1">_xll.BDH($C$253,"ALTMAN_Z_SCORE","FQ1 2015","FQ1 2015","Currency=INR","Period=FQ","BEST_FPERIOD_OVERRIDE=FQ","FILING_STATUS=OR","EQY_CONSOLIDATED=Y","Sort=A","Dates=H","DateFormat=P","Fill=—","Direction=H","UseDPDF=Y")</f>
        <v>#NAME?</v>
      </c>
      <c r="CW259" s="4" t="e">
        <f ca="1">_xll.BDH($C$253,"ACCT_RCV_TURN","FQ1 2015","FQ1 2015","Currency=INR","Period=FQ","BEST_FPERIOD_OVERRIDE=FQ","FILING_STATUS=OR","EQY_CONSOLIDATED=Y","FA_ADJUSTED=GAAP","Sort=A","Dates=H","DateFormat=P","Fill=—","Direction=H","UseDPDF=Y")</f>
        <v>#NAME?</v>
      </c>
      <c r="CX259" s="2" t="e">
        <f ca="1">_xll.BDH($C$253,"ACCT_RCV_DAYS","FQ1 2015","FQ1 2015","Currency=INR","Period=FQ","BEST_FPERIOD_OVERRIDE=FQ","FILING_STATUS=OR","EQY_CONSOLIDATED=Y","FA_ADJUSTED=GAAP","Sort=A","Dates=H","DateFormat=P","Fill=—","Direction=H","UseDPDF=Y")</f>
        <v>#NAME?</v>
      </c>
      <c r="CY259" s="4" t="e">
        <f ca="1">_xll.BDH($C$253,"INVENT_TURN","FQ1 2015","FQ1 2015","Currency=INR","Period=FQ","BEST_FPERIOD_OVERRIDE=FQ","FILING_STATUS=OR","EQY_CONSOLIDATED=Y","FA_ADJUSTED=GAAP","Sort=A","Dates=H","DateFormat=P","Fill=—","Direction=H","UseDPDF=Y")</f>
        <v>#NAME?</v>
      </c>
      <c r="CZ259" s="2" t="e">
        <f ca="1">_xll.BDH($C$253,"INVENT_DAYS","FQ1 2015","FQ1 2015","Currency=INR","Period=FQ","BEST_FPERIOD_OVERRIDE=FQ","FILING_STATUS=OR","EQY_CONSOLIDATED=Y","FA_ADJUSTED=GAAP","Sort=A","Dates=H","DateFormat=P","Fill=—","Direction=H","UseDPDF=Y")</f>
        <v>#NAME?</v>
      </c>
      <c r="DA259" s="4" t="e">
        <f ca="1">_xll.BDH($C$253,"ACCOUNTS_PAYABLE_TURNOVER","FQ1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259" s="2" t="e">
        <f ca="1">_xll.BDH($C$253,"ACCOUNTS_PAYABLE_TURNOVER_DAYS","FQ1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259" s="4" t="e">
        <f ca="1">_xll.BDH($C$253,"CASH_CONVERSION_CYCLE","FQ1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259" s="4" t="e">
        <f ca="1">_xll.BDH($C$253,"INV_TO_CASH_DAYS","FQ1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259" s="5" t="e">
        <f ca="1">_xll.BDH($C$253,"BS_INVENTORIES","FQ1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259" s="3" t="e">
        <f ca="1">_xll.BDH($C$253,"INVTRY_RAW_MATERIALS","FQ1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259" s="3" t="e">
        <f ca="1">_xll.BDH($C$253,"INVTRY_IN_PROGRESS","FQ1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259" s="3" t="e">
        <f ca="1">_xll.BDH($C$253,"INVTRY_FINISHED_GOODS","FQ1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259" s="3" t="e">
        <f ca="1">_xll.BDH($C$253,"BS_OTHER_INV","FQ1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260" spans="1:113" x14ac:dyDescent="0.3">
      <c r="A260" s="6"/>
      <c r="B260" s="6"/>
      <c r="C260" s="6"/>
      <c r="D260" s="6"/>
      <c r="E260" t="s">
        <v>79</v>
      </c>
      <c r="F260" t="e">
        <f ca="1">_xll.BDH($C$253,"RETURN_COM_EQY","FQ2 2015","FQ2 2015","Currency=INR","Period=FQ","BEST_FPERIOD_OVERRIDE=FQ","FILING_STATUS=OR","EQY_CONSOLIDATED=Y","FA_ADJUSTED=GAAP","Sort=A","Dates=H","DateFormat=P","Fill=—","Direction=H","UseDPDF=Y")</f>
        <v>#NAME?</v>
      </c>
      <c r="G260" t="e">
        <f ca="1">_xll.BDH($C$253,"RETURN_ON_ASSET","FQ2 2015","FQ2 2015","Currency=INR","Period=FQ","BEST_FPERIOD_OVERRIDE=FQ","FILING_STATUS=OR","EQY_CONSOLIDATED=Y","FA_ADJUSTED=GAAP","Sort=A","Dates=H","DateFormat=P","Fill=—","Direction=H","UseDPDF=Y")</f>
        <v>#NAME?</v>
      </c>
      <c r="H260" t="e">
        <f ca="1">_xll.BDH($C$253,"RETURN_ON_CAP","FQ2 2015","FQ2 2015","Currency=INR","Period=FQ","BEST_FPERIOD_OVERRIDE=FQ","FILING_STATUS=OR","EQY_CONSOLIDATED=Y","FA_ADJUSTED=GAAP","Sort=A","Dates=H","DateFormat=P","Fill=—","Direction=H","UseDPDF=Y")</f>
        <v>#NAME?</v>
      </c>
      <c r="I260" t="e">
        <f ca="1">_xll.BDH($C$253,"RETURN_ON_INV_CAPITAL","FQ2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260" t="e">
        <f ca="1">_xll.BDH($C$253,"EBITDA_TO_REVENUE","FQ2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260" t="e">
        <f ca="1">_xll.BDH($C$253,"OPER_MARGIN","FQ2 2015","FQ2 2015","Currency=INR","Period=FQ","BEST_FPERIOD_OVERRIDE=FQ","FILING_STATUS=OR","EQY_CONSOLIDATED=Y","FA_ADJUSTED=GAAP","Sort=A","Dates=H","DateFormat=P","Fill=—","Direction=H","UseDPDF=Y")</f>
        <v>#NAME?</v>
      </c>
      <c r="L260" t="e">
        <f ca="1">_xll.BDH($C$253,"INCREMENTAL_OPERATING_MARGIN","FQ2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260" t="e">
        <f ca="1">_xll.BDH($C$253,"PRETAX_INC_TO_NET_SALES","FQ2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260" t="e">
        <f ca="1">_xll.BDH($C$253,"INC_BEF_XO_ITEMS_TO_NET_SALES","FQ2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260" t="e">
        <f ca="1">_xll.BDH($C$253,"PROF_MARGIN","FQ2 2015","FQ2 2015","Currency=INR","Period=FQ","BEST_FPERIOD_OVERRIDE=FQ","FILING_STATUS=OR","EQY_CONSOLIDATED=Y","FA_ADJUSTED=GAAP","Sort=A","Dates=H","DateFormat=P","Fill=—","Direction=H","UseDPDF=Y")</f>
        <v>#NAME?</v>
      </c>
      <c r="P260" t="e">
        <f ca="1">_xll.BDH($C$253,"NET_INCOME_TO_COMMON_MARGIN","FQ2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260" t="e">
        <f ca="1">_xll.BDH($C$253,"EFF_TAX_RATE","FQ2 2015","FQ2 2015","Currency=INR","Period=FQ","BEST_FPERIOD_OVERRIDE=FQ","FILING_STATUS=OR","EQY_CONSOLIDATED=Y","FA_ADJUSTED=GAAP","Sort=A","Dates=H","DateFormat=P","Fill=—","Direction=H","UseDPDF=Y")</f>
        <v>#NAME?</v>
      </c>
      <c r="R260" t="e">
        <f ca="1">_xll.BDH($C$253,"DVD_PAYOUT_RATIO","FQ2 2015","FQ2 2015","Currency=INR","Period=FQ","BEST_FPERIOD_OVERRIDE=FQ","FILING_STATUS=OR","EQY_CONSOLIDATED=Y","FA_ADJUSTED=GAAP","Sort=A","Dates=H","DateFormat=P","Fill=—","Direction=H","UseDPDF=Y")</f>
        <v>#NAME?</v>
      </c>
      <c r="S260" t="e">
        <f ca="1">_xll.BDH($C$253,"SUSTAIN_GROWTH_RT","FQ2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260" s="2" t="e">
        <f ca="1">_xll.BDH($C$253,"SALES_GROWTH","FQ2 2015","FQ2 2015","Currency=INR","Period=FQ","BEST_FPERIOD_OVERRIDE=FQ","FILING_STATUS=OR","EQY_CONSOLIDATED=Y","FA_ADJUSTED=GAAP","Sort=A","Dates=H","DateFormat=P","Fill=—","Direction=H","UseDPDF=Y")</f>
        <v>#NAME?</v>
      </c>
      <c r="U260" s="2" t="e">
        <f ca="1">_xll.BDH($C$253,"EBITDA_GROWTH","FQ2 2015","FQ2 2015","Currency=INR","Period=FQ","BEST_FPERIOD_OVERRIDE=FQ","FILING_STATUS=OR","EQY_CONSOLIDATED=Y","FA_ADJUSTED=GAAP","Sort=A","Dates=H","DateFormat=P","Fill=—","Direction=H","UseDPDF=Y")</f>
        <v>#NAME?</v>
      </c>
      <c r="V260" s="2" t="e">
        <f ca="1">_xll.BDH($C$253,"OPER_INC_GROWTH","FQ2 2015","FQ2 2015","Currency=INR","Period=FQ","BEST_FPERIOD_OVERRIDE=FQ","FILING_STATUS=OR","EQY_CONSOLIDATED=Y","FA_ADJUSTED=GAAP","Sort=A","Dates=H","DateFormat=P","Fill=—","Direction=H","UseDPDF=Y")</f>
        <v>#NAME?</v>
      </c>
      <c r="W260" s="2" t="e">
        <f ca="1">_xll.BDH($C$253,"EARN_FOR_COM_GROWTH","FQ2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260" s="2" t="e">
        <f ca="1">_xll.BDH($C$253,"DILUTED_EPS_AFT_XO_ITEMS_GROWTH","FQ2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260" s="2" t="e">
        <f ca="1">_xll.BDH($C$253,"DIVIDEND_PER_SHARE_1_YEAR_GROWTH","FQ2 2015","FQ2 2015","Currency=INR","Period=FQ","BEST_FPERIOD_OVERRIDE=FQ","FILING_STATUS=OR","EQY_CONSOLIDATED=Y","Sort=A","Dates=H","DateFormat=P","Fill=—","Direction=H","UseDPDF=Y")</f>
        <v>#NAME?</v>
      </c>
      <c r="Z260" s="2" t="e">
        <f ca="1">_xll.BDH($C$253,"ACCOUNTS_RECEIVABLE_GROWTH","FQ2 2015","FQ2 2015","Currency=INR","Period=FQ","BEST_FPERIOD_OVERRIDE=FQ","FILING_STATUS=OR","EQY_CONSOLIDATED=Y","Sort=A","Dates=H","DateFormat=P","Fill=—","Direction=H","UseDPDF=Y")</f>
        <v>#NAME?</v>
      </c>
      <c r="AA260" s="2" t="e">
        <f ca="1">_xll.BDH($C$253,"INVENTORY_GROWTH","FQ2 2015","FQ2 2015","Currency=INR","Period=FQ","BEST_FPERIOD_OVERRIDE=FQ","FILING_STATUS=OR","EQY_CONSOLIDATED=Y","Sort=A","Dates=H","DateFormat=P","Fill=—","Direction=H","UseDPDF=Y")</f>
        <v>#NAME?</v>
      </c>
      <c r="AB260" s="2" t="e">
        <f ca="1">_xll.BDH($C$253,"NET_FIXED_ASSETS_1_YEAR_GROWTH","FQ2 2015","FQ2 2015","Currency=INR","Period=FQ","BEST_FPERIOD_OVERRIDE=FQ","FILING_STATUS=OR","EQY_CONSOLIDATED=Y","Sort=A","Dates=H","DateFormat=P","Fill=—","Direction=H","UseDPDF=Y")</f>
        <v>#NAME?</v>
      </c>
      <c r="AC260" s="2" t="e">
        <f ca="1">_xll.BDH($C$253,"ASSET_GROWTH","FQ2 2015","FQ2 2015","Currency=INR","Period=FQ","BEST_FPERIOD_OVERRIDE=FQ","FILING_STATUS=OR","EQY_CONSOLIDATED=Y","Sort=A","Dates=H","DateFormat=P","Fill=—","Direction=H","UseDPDF=Y")</f>
        <v>#NAME?</v>
      </c>
      <c r="AD260" s="2" t="e">
        <f ca="1">_xll.BDH($C$253,"MODIFIED_WORK_CAP_GROWTH","FQ2 2015","FQ2 2015","Currency=INR","Period=FQ","BEST_FPERIOD_OVERRIDE=FQ","FILING_STATUS=OR","EQY_CONSOLIDATED=Y","Sort=A","Dates=H","DateFormat=P","Fill=—","Direction=H","UseDPDF=Y")</f>
        <v>#NAME?</v>
      </c>
      <c r="AE260" s="2" t="e">
        <f ca="1">_xll.BDH($C$253,"WORK_CAP_GROWTH","FQ2 2015","FQ2 2015","Currency=INR","Period=FQ","BEST_FPERIOD_OVERRIDE=FQ","FILING_STATUS=OR","EQY_CONSOLIDATED=Y","Sort=A","Dates=H","DateFormat=P","Fill=—","Direction=H","UseDPDF=Y")</f>
        <v>#NAME?</v>
      </c>
      <c r="AF260" s="2" t="e">
        <f ca="1">_xll.BDH($C$253,"ACCOUNTS_PAYABLE_GROWTH_1YR","FQ2 2015","FQ2 2015","Currency=INR","Period=FQ","BEST_FPERIOD_OVERRIDE=FQ","FILING_STATUS=OR","EQY_CONSOLIDATED=Y","Sort=A","Dates=H","DateFormat=P","Fill=—","Direction=H","UseDPDF=Y")</f>
        <v>#NAME?</v>
      </c>
      <c r="AG260" s="2" t="e">
        <f ca="1">_xll.BDH($C$253,"SHORT_TERM_DEBT_1_YEAR_GROWTH","FQ2 2015","FQ2 2015","Currency=INR","Period=FQ","BEST_FPERIOD_OVERRIDE=FQ","FILING_STATUS=OR","EQY_CONSOLIDATED=Y","Sort=A","Dates=H","DateFormat=P","Fill=—","Direction=H","UseDPDF=Y")</f>
        <v>#NAME?</v>
      </c>
      <c r="AH260" s="2" t="e">
        <f ca="1">_xll.BDH($C$253,"TOTAL_DEBT_1_YEAR_GROWTH","FQ2 2015","FQ2 2015","Currency=INR","Period=FQ","BEST_FPERIOD_OVERRIDE=FQ","FILING_STATUS=OR","EQY_CONSOLIDATED=Y","Sort=A","Dates=H","DateFormat=P","Fill=—","Direction=H","UseDPDF=Y")</f>
        <v>#NAME?</v>
      </c>
      <c r="AI260" s="2" t="e">
        <f ca="1">_xll.BDH($C$253,"TOTAL_EQUITY_1_YEAR_GROWTH","FQ2 2015","FQ2 2015","Currency=INR","Period=FQ","BEST_FPERIOD_OVERRIDE=FQ","FILING_STATUS=OR","EQY_CONSOLIDATED=Y","Sort=A","Dates=H","DateFormat=P","Fill=—","Direction=H","UseDPDF=Y")</f>
        <v>#NAME?</v>
      </c>
      <c r="AJ260" s="2" t="e">
        <f ca="1">_xll.BDH($C$253,"GROWTH_IN_CAP","FQ2 2015","FQ2 2015","Currency=INR","Period=FQ","BEST_FPERIOD_OVERRIDE=FQ","FILING_STATUS=OR","EQY_CONSOLIDATED=Y","Sort=A","Dates=H","DateFormat=P","Fill=—","Direction=H","UseDPDF=Y")</f>
        <v>#NAME?</v>
      </c>
      <c r="AK260" s="2" t="e">
        <f ca="1">_xll.BDH($C$253,"BVPS_GROWTH","FQ2 2015","FQ2 2015","Currency=INR","Period=FQ","BEST_FPERIOD_OVERRIDE=FQ","FILING_STATUS=OR","EQY_CONSOLIDATED=Y","Sort=A","Dates=H","DateFormat=P","Fill=—","Direction=H","UseDPDF=Y")</f>
        <v>#NAME?</v>
      </c>
      <c r="AL260" s="2" t="e">
        <f ca="1">_xll.BDH($C$253,"CASH_FLOW_GROWTH","FQ2 2015","FQ2 2015","Currency=INR","Period=FQ","BEST_FPERIOD_OVERRIDE=FQ","FILING_STATUS=OR","EQY_CONSOLIDATED=Y","Sort=A","Dates=H","DateFormat=P","Fill=—","Direction=H","UseDPDF=Y")</f>
        <v>#NAME?</v>
      </c>
      <c r="AM260" s="2" t="e">
        <f ca="1">_xll.BDH($C$253,"GEO_GROW_NET_SALES","FQ2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260" s="2" t="e">
        <f ca="1">_xll.BDH($C$253,"GEO_GROW_EBITDA","FQ2 2015","FQ2 2015","Currency=INR","Period=FQ","BEST_FPERIOD_OVERRIDE=FQ","FILING_STATUS=OR","EQY_CONSOLIDATED=Y","FA_ADJUSTED=GAAP","Sort=A","Dates=H","DateFormat=P","Fill=—","Direction=H","UseDPDF=Y")</f>
        <v>#NAME?</v>
      </c>
      <c r="AO260" s="2" t="e">
        <f ca="1">_xll.BDH($C$253,"GEO_GROW_OPER_INC","FQ2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260" s="2" t="e">
        <f ca="1">_xll.BDH($C$253,"NET_INCOME_TO_COMMON_5_YR_GROWTH","FQ2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260" s="2" t="e">
        <f ca="1">_xll.BDH($C$253,"5Y_GEO_GROWTH_DILUTED_EPS","FQ2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260" s="2" t="e">
        <f ca="1">_xll.BDH($C$253,"GEO_GROW_DVD_PER_SH","FQ2 2015","FQ2 2015","Currency=INR","Period=FQ","BEST_FPERIOD_OVERRIDE=FQ","FILING_STATUS=OR","EQY_CONSOLIDATED=Y","Sort=A","Dates=H","DateFormat=P","Fill=—","Direction=H","UseDPDF=Y")</f>
        <v>#NAME?</v>
      </c>
      <c r="AS260" s="2" t="e">
        <f ca="1">_xll.BDH($C$253,"ACCOUNTS_RECEIVABLE_5_YR_GROWTH","FQ2 2015","FQ2 2015","Currency=INR","Period=FQ","BEST_FPERIOD_OVERRIDE=FQ","FILING_STATUS=OR","EQY_CONSOLIDATED=Y","Sort=A","Dates=H","DateFormat=P","Fill=—","Direction=H","UseDPDF=Y")</f>
        <v>#NAME?</v>
      </c>
      <c r="AT260" s="2" t="e">
        <f ca="1">_xll.BDH($C$253,"INVENTORY_5_YEAR_GROWTH","FQ2 2015","FQ2 2015","Currency=INR","Period=FQ","BEST_FPERIOD_OVERRIDE=FQ","FILING_STATUS=OR","EQY_CONSOLIDATED=Y","Sort=A","Dates=H","DateFormat=P","Fill=—","Direction=H","UseDPDF=Y")</f>
        <v>#NAME?</v>
      </c>
      <c r="AU260" s="2" t="e">
        <f ca="1">_xll.BDH($C$253,"NET_FIXED_ASSETS_5_YEAR_GROWTH","FQ2 2015","FQ2 2015","Currency=INR","Period=FQ","BEST_FPERIOD_OVERRIDE=FQ","FILING_STATUS=OR","EQY_CONSOLIDATED=Y","Sort=A","Dates=H","DateFormat=P","Fill=—","Direction=H","UseDPDF=Y")</f>
        <v>#NAME?</v>
      </c>
      <c r="AV260" s="2" t="e">
        <f ca="1">_xll.BDH($C$253,"GEO_GROW_TOT_ASSET","FQ2 2015","FQ2 2015","Currency=INR","Period=FQ","BEST_FPERIOD_OVERRIDE=FQ","FILING_STATUS=OR","EQY_CONSOLIDATED=Y","Sort=A","Dates=H","DateFormat=P","Fill=—","Direction=H","UseDPDF=Y")</f>
        <v>#NAME?</v>
      </c>
      <c r="AW260" s="2" t="e">
        <f ca="1">_xll.BDH($C$253,"MODIFIED_WORKING_CPTL_5YR_GRWTH","FQ2 2015","FQ2 2015","Currency=INR","Period=FQ","BEST_FPERIOD_OVERRIDE=FQ","FILING_STATUS=OR","EQY_CONSOLIDATED=Y","Sort=A","Dates=H","DateFormat=P","Fill=—","Direction=H","UseDPDF=Y")</f>
        <v>#NAME?</v>
      </c>
      <c r="AX260" s="2" t="e">
        <f ca="1">_xll.BDH($C$253,"WORKING_CAPITAL_5_YEAR_GROWTH","FQ2 2015","FQ2 2015","Currency=INR","Period=FQ","BEST_FPERIOD_OVERRIDE=FQ","FILING_STATUS=OR","EQY_CONSOLIDATED=Y","Sort=A","Dates=H","DateFormat=P","Fill=—","Direction=H","UseDPDF=Y")</f>
        <v>#NAME?</v>
      </c>
      <c r="AY260" s="2" t="e">
        <f ca="1">_xll.BDH($C$253,"ACCOUNTS_PAYABLE_5_YEAR_GROWTH","FQ2 2015","FQ2 2015","Currency=INR","Period=FQ","BEST_FPERIOD_OVERRIDE=FQ","FILING_STATUS=OR","EQY_CONSOLIDATED=Y","Sort=A","Dates=H","DateFormat=P","Fill=—","Direction=H","UseDPDF=Y")</f>
        <v>#NAME?</v>
      </c>
      <c r="AZ260" s="2" t="e">
        <f ca="1">_xll.BDH($C$253,"SHORT_TERM_DEBT_5_YEAR_GROWTH","FQ2 2015","FQ2 2015","Currency=INR","Period=FQ","BEST_FPERIOD_OVERRIDE=FQ","FILING_STATUS=OR","EQY_CONSOLIDATED=Y","Sort=A","Dates=H","DateFormat=P","Fill=—","Direction=H","UseDPDF=Y")</f>
        <v>#NAME?</v>
      </c>
      <c r="BA260" s="2" t="e">
        <f ca="1">_xll.BDH($C$253,"TOTAL_DEBT_5_YEAR_GROWTH","FQ2 2015","FQ2 2015","Currency=INR","Period=FQ","BEST_FPERIOD_OVERRIDE=FQ","FILING_STATUS=OR","EQY_CONSOLIDATED=Y","Sort=A","Dates=H","DateFormat=P","Fill=—","Direction=H","UseDPDF=Y")</f>
        <v>#NAME?</v>
      </c>
      <c r="BB260" s="2" t="e">
        <f ca="1">_xll.BDH($C$253,"GEO_GROW_TOT_SHRHLDR_EQY","FQ2 2015","FQ2 2015","Currency=INR","Period=FQ","BEST_FPERIOD_OVERRIDE=FQ","FILING_STATUS=OR","EQY_CONSOLIDATED=Y","Sort=A","Dates=H","DateFormat=P","Fill=—","Direction=H","UseDPDF=Y")</f>
        <v>#NAME?</v>
      </c>
      <c r="BC260" s="2" t="e">
        <f ca="1">_xll.BDH($C$253,"TOTAL_CAPITAL_5_YEAR_GROWTH","FQ2 2015","FQ2 2015","Currency=INR","Period=FQ","BEST_FPERIOD_OVERRIDE=FQ","FILING_STATUS=OR","EQY_CONSOLIDATED=Y","Sort=A","Dates=H","DateFormat=P","Fill=—","Direction=H","UseDPDF=Y")</f>
        <v>#NAME?</v>
      </c>
      <c r="BD260" s="2" t="e">
        <f ca="1">_xll.BDH($C$253,"GEO_GROW_BOOK_VAL","FQ2 2015","FQ2 2015","Currency=INR","Period=FQ","BEST_FPERIOD_OVERRIDE=FQ","FILING_STATUS=OR","EQY_CONSOLIDATED=Y","Sort=A","Dates=H","DateFormat=P","Fill=—","Direction=H","UseDPDF=Y")</f>
        <v>#NAME?</v>
      </c>
      <c r="BE260" s="2" t="e">
        <f ca="1">_xll.BDH($C$253,"GEO_GROW_CASH_OPER_ACT","FQ2 2015","FQ2 2015","Currency=INR","Period=FQ","BEST_FPERIOD_OVERRIDE=FQ","FILING_STATUS=OR","EQY_CONSOLIDATED=Y","Sort=A","Dates=H","DateFormat=P","Fill=—","Direction=H","UseDPDF=Y")</f>
        <v>#NAME?</v>
      </c>
      <c r="BF260" s="2" t="e">
        <f ca="1">_xll.BDH($C$253,"REVENUE_SEQUENTIAL_GROWTH","FQ2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260" s="2" t="e">
        <f ca="1">_xll.BDH($C$253,"EBITDA_SEQUENTIAL_GROWTH","FQ2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260" s="2" t="e">
        <f ca="1">_xll.BDH($C$253,"OPERATING_INCOME_SEQ_GROWTH","FQ2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260" s="2" t="e">
        <f ca="1">_xll.BDH($C$253,"NET_INCOME_TO_COMMON_SEQ_GROWTH","FQ2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260" s="2" t="e">
        <f ca="1">_xll.BDH($C$253,"EPS_DILUTED_SEQUENTIAL_GROWTH","FQ2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260" s="2" t="e">
        <f ca="1">_xll.BDH($C$253,"DPS_SEQUENTIAL_GROWTH","FQ2 2015","FQ2 2015","Currency=INR","Period=FQ","BEST_FPERIOD_OVERRIDE=FQ","FILING_STATUS=OR","EQY_CONSOLIDATED=Y","Sort=A","Dates=H","DateFormat=P","Fill=—","Direction=H","UseDPDF=Y")</f>
        <v>#NAME?</v>
      </c>
      <c r="BL260" s="2" t="e">
        <f ca="1">_xll.BDH($C$253,"ACCOUNTS_RECEIVABLE_SEQ_GROWTH","FQ2 2015","FQ2 2015","Currency=INR","Period=FQ","BEST_FPERIOD_OVERRIDE=FQ","FILING_STATUS=OR","EQY_CONSOLIDATED=Y","Sort=A","Dates=H","DateFormat=P","Fill=—","Direction=H","UseDPDF=Y")</f>
        <v>#NAME?</v>
      </c>
      <c r="BM260" s="2" t="e">
        <f ca="1">_xll.BDH($C$253,"INVENTORY_SEQUENTIAL_GROWTH","FQ2 2015","FQ2 2015","Currency=INR","Period=FQ","BEST_FPERIOD_OVERRIDE=FQ","FILING_STATUS=OR","EQY_CONSOLIDATED=Y","Sort=A","Dates=H","DateFormat=P","Fill=—","Direction=H","UseDPDF=Y")</f>
        <v>#NAME?</v>
      </c>
      <c r="BN260" s="2" t="e">
        <f ca="1">_xll.BDH($C$253,"FIXED_ASSETS_SEQUENTIAL_GROWTH","FQ2 2015","FQ2 2015","Currency=INR","Period=FQ","BEST_FPERIOD_OVERRIDE=FQ","FILING_STATUS=OR","EQY_CONSOLIDATED=Y","Sort=A","Dates=H","DateFormat=P","Fill=—","Direction=H","UseDPDF=Y")</f>
        <v>#NAME?</v>
      </c>
      <c r="BO260" s="2" t="e">
        <f ca="1">_xll.BDH($C$253,"TOTAL_ASSETS_SEQUENTIAL_GROWTH","FQ2 2015","FQ2 2015","Currency=INR","Period=FQ","BEST_FPERIOD_OVERRIDE=FQ","FILING_STATUS=OR","EQY_CONSOLIDATED=Y","Sort=A","Dates=H","DateFormat=P","Fill=—","Direction=H","UseDPDF=Y")</f>
        <v>#NAME?</v>
      </c>
      <c r="BP260" s="2" t="e">
        <f ca="1">_xll.BDH($C$253,"MODIFIED_WORKING_CPTL_SEQ_GRWTH","FQ2 2015","FQ2 2015","Currency=INR","Period=FQ","BEST_FPERIOD_OVERRIDE=FQ","FILING_STATUS=OR","EQY_CONSOLIDATED=Y","Sort=A","Dates=H","DateFormat=P","Fill=—","Direction=H","UseDPDF=Y")</f>
        <v>#NAME?</v>
      </c>
      <c r="BQ260" s="2" t="e">
        <f ca="1">_xll.BDH($C$253,"WORKING_CAPITAL_SEQ_GROWTH","FQ2 2015","FQ2 2015","Currency=INR","Period=FQ","BEST_FPERIOD_OVERRIDE=FQ","FILING_STATUS=OR","EQY_CONSOLIDATED=Y","Sort=A","Dates=H","DateFormat=P","Fill=—","Direction=H","UseDPDF=Y")</f>
        <v>#NAME?</v>
      </c>
      <c r="BR260" s="2" t="e">
        <f ca="1">_xll.BDH($C$253,"ACCOUNTS_PAYABLE_SEQ_GROWTH","FQ2 2015","FQ2 2015","Currency=INR","Period=FQ","BEST_FPERIOD_OVERRIDE=FQ","FILING_STATUS=OR","EQY_CONSOLIDATED=Y","Sort=A","Dates=H","DateFormat=P","Fill=—","Direction=H","UseDPDF=Y")</f>
        <v>#NAME?</v>
      </c>
      <c r="BS260" s="2" t="e">
        <f ca="1">_xll.BDH($C$253,"ST_DEBT_SEQUENTIAL_GROWTH","FQ2 2015","FQ2 2015","Currency=INR","Period=FQ","BEST_FPERIOD_OVERRIDE=FQ","FILING_STATUS=OR","EQY_CONSOLIDATED=Y","Sort=A","Dates=H","DateFormat=P","Fill=—","Direction=H","UseDPDF=Y")</f>
        <v>#NAME?</v>
      </c>
      <c r="BT260" s="2" t="e">
        <f ca="1">_xll.BDH($C$253,"TOTAL_DEBT_SEQUENTIAL_GROWTH","FQ2 2015","FQ2 2015","Currency=INR","Period=FQ","BEST_FPERIOD_OVERRIDE=FQ","FILING_STATUS=OR","EQY_CONSOLIDATED=Y","Sort=A","Dates=H","DateFormat=P","Fill=—","Direction=H","UseDPDF=Y")</f>
        <v>#NAME?</v>
      </c>
      <c r="BU260" s="2" t="e">
        <f ca="1">_xll.BDH($C$253,"TOTAL_EQUITY_SEQUENTIAL_GROWTH","FQ2 2015","FQ2 2015","Currency=INR","Period=FQ","BEST_FPERIOD_OVERRIDE=FQ","FILING_STATUS=OR","EQY_CONSOLIDATED=Y","Sort=A","Dates=H","DateFormat=P","Fill=—","Direction=H","UseDPDF=Y")</f>
        <v>#NAME?</v>
      </c>
      <c r="BV260" s="2" t="e">
        <f ca="1">_xll.BDH($C$253,"TOTAL_CAPITAL_SEQUENTIAL_GROWTH","FQ2 2015","FQ2 2015","Currency=INR","Period=FQ","BEST_FPERIOD_OVERRIDE=FQ","FILING_STATUS=OR","EQY_CONSOLIDATED=Y","Sort=A","Dates=H","DateFormat=P","Fill=—","Direction=H","UseDPDF=Y")</f>
        <v>#NAME?</v>
      </c>
      <c r="BW260" s="2" t="e">
        <f ca="1">_xll.BDH($C$253,"BPS_SEQUENTIAL_GROWTH","FQ2 2015","FQ2 2015","Currency=INR","Period=FQ","BEST_FPERIOD_OVERRIDE=FQ","FILING_STATUS=OR","EQY_CONSOLIDATED=Y","Sort=A","Dates=H","DateFormat=P","Fill=—","Direction=H","UseDPDF=Y")</f>
        <v>#NAME?</v>
      </c>
      <c r="BX260" s="2" t="e">
        <f ca="1">_xll.BDH($C$253,"CFO_SEQUENTIAL_GROWTH","FQ2 2015","FQ2 2015","Currency=INR","Period=FQ","BEST_FPERIOD_OVERRIDE=FQ","FILING_STATUS=OR","EQY_CONSOLIDATED=Y","Sort=A","Dates=H","DateFormat=P","Fill=—","Direction=H","UseDPDF=Y")</f>
        <v>#NAME?</v>
      </c>
      <c r="BY260" s="3" t="e">
        <f ca="1">_xll.BDH($C$253,"SHORT_AND_LONG_TERM_DEBT","FQ2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260" s="3" t="e">
        <f ca="1">_xll.BDH($C$253,"BS_ST_BORROW","FQ2 2015","FQ2 2015","Currency=INR","Period=FQ","BEST_FPERIOD_OVERRIDE=FQ","FILING_STATUS=OR","EQY_CONSOLIDATED=Y","SCALING_FORMAT=MLN","Sort=A","Dates=H","DateFormat=P","Fill=—","Direction=H","UseDPDF=Y")</f>
        <v>#NAME?</v>
      </c>
      <c r="CA260" s="3" t="e">
        <f ca="1">_xll.BDH($C$253,"BS_LT_BORROW","FQ2 2015","FQ2 2015","Currency=INR","Period=FQ","BEST_FPERIOD_OVERRIDE=FQ","FILING_STATUS=OR","EQY_CONSOLIDATED=Y","SCALING_FORMAT=MLN","Sort=A","Dates=H","DateFormat=P","Fill=—","Direction=H","UseDPDF=Y")</f>
        <v>#NAME?</v>
      </c>
      <c r="CB260" s="2" t="e">
        <f ca="1">_xll.BDH($C$253,"TOT_DEBT_TO_EBITDA","FQ2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260" s="2" t="e">
        <f ca="1">_xll.BDH($C$253,"NET_DEBT_TO_EBITDA","FQ2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260" s="2" t="e">
        <f ca="1">_xll.BDH($C$253,"TOTAL_DEBT_TO_EBIT","FQ2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260" s="2" t="e">
        <f ca="1">_xll.BDH($C$253,"NET_DEBT_TO_EBIT","FQ2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260" s="2" t="e">
        <f ca="1">_xll.BDH($C$253,"EBITDA_TO_INTEREST_EXPN","FQ2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260" s="2" t="e">
        <f ca="1">_xll.BDH($C$253,"COM_EQY_TO_TOT_ASSET","FQ2 2015","FQ2 2015","Currency=INR","Period=FQ","BEST_FPERIOD_OVERRIDE=FQ","FILING_STATUS=OR","EQY_CONSOLIDATED=Y","Sort=A","Dates=H","DateFormat=P","Fill=—","Direction=H","UseDPDF=Y")</f>
        <v>#NAME?</v>
      </c>
      <c r="CH260" s="2" t="e">
        <f ca="1">_xll.BDH($C$253,"LT_DEBT_TO_TOT_EQY","FQ2 2015","FQ2 2015","Currency=INR","Period=FQ","BEST_FPERIOD_OVERRIDE=FQ","FILING_STATUS=OR","EQY_CONSOLIDATED=Y","Sort=A","Dates=H","DateFormat=P","Fill=—","Direction=H","UseDPDF=Y")</f>
        <v>#NAME?</v>
      </c>
      <c r="CI260" s="2" t="e">
        <f ca="1">_xll.BDH($C$253,"LT_DEBT_TO_TOT_CAP","FQ2 2015","FQ2 2015","Currency=INR","Period=FQ","BEST_FPERIOD_OVERRIDE=FQ","FILING_STATUS=OR","EQY_CONSOLIDATED=Y","Sort=A","Dates=H","DateFormat=P","Fill=—","Direction=H","UseDPDF=Y")</f>
        <v>#NAME?</v>
      </c>
      <c r="CJ260" s="2" t="e">
        <f ca="1">_xll.BDH($C$253,"LT_DEBT_TO_TOT_ASSET","FQ2 2015","FQ2 2015","Currency=INR","Period=FQ","BEST_FPERIOD_OVERRIDE=FQ","FILING_STATUS=OR","EQY_CONSOLIDATED=Y","Sort=A","Dates=H","DateFormat=P","Fill=—","Direction=H","UseDPDF=Y")</f>
        <v>#NAME?</v>
      </c>
      <c r="CK260" s="2" t="e">
        <f ca="1">_xll.BDH($C$253,"TOT_DEBT_TO_TOT_EQY","FQ2 2015","FQ2 2015","Currency=INR","Period=FQ","BEST_FPERIOD_OVERRIDE=FQ","FILING_STATUS=OR","EQY_CONSOLIDATED=Y","Sort=A","Dates=H","DateFormat=P","Fill=—","Direction=H","UseDPDF=Y")</f>
        <v>#NAME?</v>
      </c>
      <c r="CL260" s="2" t="e">
        <f ca="1">_xll.BDH($C$253,"TOT_DEBT_TO_TOT_CAP","FQ2 2015","FQ2 2015","Currency=INR","Period=FQ","BEST_FPERIOD_OVERRIDE=FQ","FILING_STATUS=OR","EQY_CONSOLIDATED=Y","Sort=A","Dates=H","DateFormat=P","Fill=—","Direction=H","UseDPDF=Y")</f>
        <v>#NAME?</v>
      </c>
      <c r="CM260" s="2" t="e">
        <f ca="1">_xll.BDH($C$253,"TOT_DEBT_TO_TOT_ASSET","FQ2 2015","FQ2 2015","Currency=INR","Period=FQ","BEST_FPERIOD_OVERRIDE=FQ","FILING_STATUS=OR","EQY_CONSOLIDATED=Y","Sort=A","Dates=H","DateFormat=P","Fill=—","Direction=H","UseDPDF=Y")</f>
        <v>#NAME?</v>
      </c>
      <c r="CN260" s="2" t="e">
        <f ca="1">_xll.BDH($C$253,"NET_DEBT_TO_SHRHLDR_EQTY","FQ2 2015","FQ2 2015","Currency=INR","Period=FQ","BEST_FPERIOD_OVERRIDE=FQ","FILING_STATUS=OR","EQY_CONSOLIDATED=Y","Sort=A","Dates=H","DateFormat=P","Fill=—","Direction=H","UseDPDF=Y")</f>
        <v>#NAME?</v>
      </c>
      <c r="CO260" s="2" t="e">
        <f ca="1">_xll.BDH($C$253,"NET_DEBT_%_CAPITAL","FQ2 2015","FQ2 2015","Currency=INR","Period=FQ","BEST_FPERIOD_OVERRIDE=FQ","FILING_STATUS=OR","EQY_CONSOLIDATED=Y","Sort=A","Dates=H","DateFormat=P","Fill=—","Direction=H","UseDPDF=Y")</f>
        <v>#NAME?</v>
      </c>
      <c r="CP260" s="3" t="e">
        <f ca="1">_xll.BDH($C$253,"EBITDA","FQ2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260" s="3" t="e">
        <f ca="1">_xll.BDH($C$253,"EBITDA_AFTER_CAPEX","FQ2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260" s="3" t="e">
        <f ca="1">_xll.BDH($C$253,"IS_OPER_INC","FQ2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260" s="2" t="e">
        <f ca="1">_xll.BDH($C$253,"CASH_RATIO","FQ2 2015","FQ2 2015","Currency=INR","Period=FQ","BEST_FPERIOD_OVERRIDE=FQ","FILING_STATUS=OR","EQY_CONSOLIDATED=Y","Sort=A","Dates=H","DateFormat=P","Fill=—","Direction=H","UseDPDF=Y")</f>
        <v>#NAME?</v>
      </c>
      <c r="CT260" s="2" t="e">
        <f ca="1">_xll.BDH($C$253,"CUR_RATIO","FQ2 2015","FQ2 2015","Currency=INR","Period=FQ","BEST_FPERIOD_OVERRIDE=FQ","FILING_STATUS=OR","EQY_CONSOLIDATED=Y","Sort=A","Dates=H","DateFormat=P","Fill=—","Direction=H","UseDPDF=Y")</f>
        <v>#NAME?</v>
      </c>
      <c r="CU260" s="2" t="e">
        <f ca="1">_xll.BDH($C$253,"QUICK_RATIO","FQ2 2015","FQ2 2015","Currency=INR","Period=FQ","BEST_FPERIOD_OVERRIDE=FQ","FILING_STATUS=OR","EQY_CONSOLIDATED=Y","Sort=A","Dates=H","DateFormat=P","Fill=—","Direction=H","UseDPDF=Y")</f>
        <v>#NAME?</v>
      </c>
      <c r="CV260" s="2" t="e">
        <f ca="1">_xll.BDH($C$253,"ALTMAN_Z_SCORE","FQ2 2015","FQ2 2015","Currency=INR","Period=FQ","BEST_FPERIOD_OVERRIDE=FQ","FILING_STATUS=OR","EQY_CONSOLIDATED=Y","Sort=A","Dates=H","DateFormat=P","Fill=—","Direction=H","UseDPDF=Y")</f>
        <v>#NAME?</v>
      </c>
      <c r="CW260" s="4" t="e">
        <f ca="1">_xll.BDH($C$253,"ACCT_RCV_TURN","FQ2 2015","FQ2 2015","Currency=INR","Period=FQ","BEST_FPERIOD_OVERRIDE=FQ","FILING_STATUS=OR","EQY_CONSOLIDATED=Y","FA_ADJUSTED=GAAP","Sort=A","Dates=H","DateFormat=P","Fill=—","Direction=H","UseDPDF=Y")</f>
        <v>#NAME?</v>
      </c>
      <c r="CX260" s="2" t="e">
        <f ca="1">_xll.BDH($C$253,"ACCT_RCV_DAYS","FQ2 2015","FQ2 2015","Currency=INR","Period=FQ","BEST_FPERIOD_OVERRIDE=FQ","FILING_STATUS=OR","EQY_CONSOLIDATED=Y","FA_ADJUSTED=GAAP","Sort=A","Dates=H","DateFormat=P","Fill=—","Direction=H","UseDPDF=Y")</f>
        <v>#NAME?</v>
      </c>
      <c r="CY260" s="4" t="e">
        <f ca="1">_xll.BDH($C$253,"INVENT_TURN","FQ2 2015","FQ2 2015","Currency=INR","Period=FQ","BEST_FPERIOD_OVERRIDE=FQ","FILING_STATUS=OR","EQY_CONSOLIDATED=Y","FA_ADJUSTED=GAAP","Sort=A","Dates=H","DateFormat=P","Fill=—","Direction=H","UseDPDF=Y")</f>
        <v>#NAME?</v>
      </c>
      <c r="CZ260" s="2" t="e">
        <f ca="1">_xll.BDH($C$253,"INVENT_DAYS","FQ2 2015","FQ2 2015","Currency=INR","Period=FQ","BEST_FPERIOD_OVERRIDE=FQ","FILING_STATUS=OR","EQY_CONSOLIDATED=Y","FA_ADJUSTED=GAAP","Sort=A","Dates=H","DateFormat=P","Fill=—","Direction=H","UseDPDF=Y")</f>
        <v>#NAME?</v>
      </c>
      <c r="DA260" s="4" t="e">
        <f ca="1">_xll.BDH($C$253,"ACCOUNTS_PAYABLE_TURNOVER","FQ2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260" s="2" t="e">
        <f ca="1">_xll.BDH($C$253,"ACCOUNTS_PAYABLE_TURNOVER_DAYS","FQ2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260" s="4" t="e">
        <f ca="1">_xll.BDH($C$253,"CASH_CONVERSION_CYCLE","FQ2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260" s="4" t="e">
        <f ca="1">_xll.BDH($C$253,"INV_TO_CASH_DAYS","FQ2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260" s="5" t="e">
        <f ca="1">_xll.BDH($C$253,"BS_INVENTORIES","FQ2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260" s="3" t="e">
        <f ca="1">_xll.BDH($C$253,"INVTRY_RAW_MATERIALS","FQ2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260" s="3" t="e">
        <f ca="1">_xll.BDH($C$253,"INVTRY_IN_PROGRESS","FQ2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260" s="3" t="e">
        <f ca="1">_xll.BDH($C$253,"INVTRY_FINISHED_GOODS","FQ2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260" s="3" t="e">
        <f ca="1">_xll.BDH($C$253,"BS_OTHER_INV","FQ2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261" spans="1:113" x14ac:dyDescent="0.3">
      <c r="A261" s="6"/>
      <c r="B261" s="6"/>
      <c r="C261" s="6"/>
      <c r="D261" s="6"/>
      <c r="E261" t="s">
        <v>80</v>
      </c>
      <c r="F261" t="e">
        <f ca="1">_xll.BDH($C$253,"RETURN_COM_EQY","FQ3 2015","FQ3 2015","Currency=INR","Period=FQ","BEST_FPERIOD_OVERRIDE=FQ","FILING_STATUS=OR","EQY_CONSOLIDATED=Y","FA_ADJUSTED=GAAP","Sort=A","Dates=H","DateFormat=P","Fill=—","Direction=H","UseDPDF=Y")</f>
        <v>#NAME?</v>
      </c>
      <c r="G261" t="e">
        <f ca="1">_xll.BDH($C$253,"RETURN_ON_ASSET","FQ3 2015","FQ3 2015","Currency=INR","Period=FQ","BEST_FPERIOD_OVERRIDE=FQ","FILING_STATUS=OR","EQY_CONSOLIDATED=Y","FA_ADJUSTED=GAAP","Sort=A","Dates=H","DateFormat=P","Fill=—","Direction=H","UseDPDF=Y")</f>
        <v>#NAME?</v>
      </c>
      <c r="H261" t="e">
        <f ca="1">_xll.BDH($C$253,"RETURN_ON_CAP","FQ3 2015","FQ3 2015","Currency=INR","Period=FQ","BEST_FPERIOD_OVERRIDE=FQ","FILING_STATUS=OR","EQY_CONSOLIDATED=Y","FA_ADJUSTED=GAAP","Sort=A","Dates=H","DateFormat=P","Fill=—","Direction=H","UseDPDF=Y")</f>
        <v>#NAME?</v>
      </c>
      <c r="I261" t="e">
        <f ca="1">_xll.BDH($C$253,"RETURN_ON_INV_CAPITAL","FQ3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261" t="e">
        <f ca="1">_xll.BDH($C$253,"EBITDA_TO_REVENUE","FQ3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261" t="e">
        <f ca="1">_xll.BDH($C$253,"OPER_MARGIN","FQ3 2015","FQ3 2015","Currency=INR","Period=FQ","BEST_FPERIOD_OVERRIDE=FQ","FILING_STATUS=OR","EQY_CONSOLIDATED=Y","FA_ADJUSTED=GAAP","Sort=A","Dates=H","DateFormat=P","Fill=—","Direction=H","UseDPDF=Y")</f>
        <v>#NAME?</v>
      </c>
      <c r="L261" t="e">
        <f ca="1">_xll.BDH($C$253,"INCREMENTAL_OPERATING_MARGIN","FQ3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261" t="e">
        <f ca="1">_xll.BDH($C$253,"PRETAX_INC_TO_NET_SALES","FQ3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261" t="e">
        <f ca="1">_xll.BDH($C$253,"INC_BEF_XO_ITEMS_TO_NET_SALES","FQ3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261" t="e">
        <f ca="1">_xll.BDH($C$253,"PROF_MARGIN","FQ3 2015","FQ3 2015","Currency=INR","Period=FQ","BEST_FPERIOD_OVERRIDE=FQ","FILING_STATUS=OR","EQY_CONSOLIDATED=Y","FA_ADJUSTED=GAAP","Sort=A","Dates=H","DateFormat=P","Fill=—","Direction=H","UseDPDF=Y")</f>
        <v>#NAME?</v>
      </c>
      <c r="P261" t="e">
        <f ca="1">_xll.BDH($C$253,"NET_INCOME_TO_COMMON_MARGIN","FQ3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261" t="e">
        <f ca="1">_xll.BDH($C$253,"EFF_TAX_RATE","FQ3 2015","FQ3 2015","Currency=INR","Period=FQ","BEST_FPERIOD_OVERRIDE=FQ","FILING_STATUS=OR","EQY_CONSOLIDATED=Y","FA_ADJUSTED=GAAP","Sort=A","Dates=H","DateFormat=P","Fill=—","Direction=H","UseDPDF=Y")</f>
        <v>#NAME?</v>
      </c>
      <c r="R261" t="e">
        <f ca="1">_xll.BDH($C$253,"DVD_PAYOUT_RATIO","FQ3 2015","FQ3 2015","Currency=INR","Period=FQ","BEST_FPERIOD_OVERRIDE=FQ","FILING_STATUS=OR","EQY_CONSOLIDATED=Y","FA_ADJUSTED=GAAP","Sort=A","Dates=H","DateFormat=P","Fill=—","Direction=H","UseDPDF=Y")</f>
        <v>#NAME?</v>
      </c>
      <c r="S261" t="e">
        <f ca="1">_xll.BDH($C$253,"SUSTAIN_GROWTH_RT","FQ3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261" s="2" t="e">
        <f ca="1">_xll.BDH($C$253,"SALES_GROWTH","FQ3 2015","FQ3 2015","Currency=INR","Period=FQ","BEST_FPERIOD_OVERRIDE=FQ","FILING_STATUS=OR","EQY_CONSOLIDATED=Y","FA_ADJUSTED=GAAP","Sort=A","Dates=H","DateFormat=P","Fill=—","Direction=H","UseDPDF=Y")</f>
        <v>#NAME?</v>
      </c>
      <c r="U261" s="2" t="e">
        <f ca="1">_xll.BDH($C$253,"EBITDA_GROWTH","FQ3 2015","FQ3 2015","Currency=INR","Period=FQ","BEST_FPERIOD_OVERRIDE=FQ","FILING_STATUS=OR","EQY_CONSOLIDATED=Y","FA_ADJUSTED=GAAP","Sort=A","Dates=H","DateFormat=P","Fill=—","Direction=H","UseDPDF=Y")</f>
        <v>#NAME?</v>
      </c>
      <c r="V261" s="2" t="e">
        <f ca="1">_xll.BDH($C$253,"OPER_INC_GROWTH","FQ3 2015","FQ3 2015","Currency=INR","Period=FQ","BEST_FPERIOD_OVERRIDE=FQ","FILING_STATUS=OR","EQY_CONSOLIDATED=Y","FA_ADJUSTED=GAAP","Sort=A","Dates=H","DateFormat=P","Fill=—","Direction=H","UseDPDF=Y")</f>
        <v>#NAME?</v>
      </c>
      <c r="W261" s="2" t="e">
        <f ca="1">_xll.BDH($C$253,"EARN_FOR_COM_GROWTH","FQ3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261" s="2" t="e">
        <f ca="1">_xll.BDH($C$253,"DILUTED_EPS_AFT_XO_ITEMS_GROWTH","FQ3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261" s="2" t="e">
        <f ca="1">_xll.BDH($C$253,"DIVIDEND_PER_SHARE_1_YEAR_GROWTH","FQ3 2015","FQ3 2015","Currency=INR","Period=FQ","BEST_FPERIOD_OVERRIDE=FQ","FILING_STATUS=OR","EQY_CONSOLIDATED=Y","Sort=A","Dates=H","DateFormat=P","Fill=—","Direction=H","UseDPDF=Y")</f>
        <v>#NAME?</v>
      </c>
      <c r="Z261" s="2" t="e">
        <f ca="1">_xll.BDH($C$253,"ACCOUNTS_RECEIVABLE_GROWTH","FQ3 2015","FQ3 2015","Currency=INR","Period=FQ","BEST_FPERIOD_OVERRIDE=FQ","FILING_STATUS=OR","EQY_CONSOLIDATED=Y","Sort=A","Dates=H","DateFormat=P","Fill=—","Direction=H","UseDPDF=Y")</f>
        <v>#NAME?</v>
      </c>
      <c r="AA261" s="2" t="e">
        <f ca="1">_xll.BDH($C$253,"INVENTORY_GROWTH","FQ3 2015","FQ3 2015","Currency=INR","Period=FQ","BEST_FPERIOD_OVERRIDE=FQ","FILING_STATUS=OR","EQY_CONSOLIDATED=Y","Sort=A","Dates=H","DateFormat=P","Fill=—","Direction=H","UseDPDF=Y")</f>
        <v>#NAME?</v>
      </c>
      <c r="AB261" s="2" t="e">
        <f ca="1">_xll.BDH($C$253,"NET_FIXED_ASSETS_1_YEAR_GROWTH","FQ3 2015","FQ3 2015","Currency=INR","Period=FQ","BEST_FPERIOD_OVERRIDE=FQ","FILING_STATUS=OR","EQY_CONSOLIDATED=Y","Sort=A","Dates=H","DateFormat=P","Fill=—","Direction=H","UseDPDF=Y")</f>
        <v>#NAME?</v>
      </c>
      <c r="AC261" s="2" t="e">
        <f ca="1">_xll.BDH($C$253,"ASSET_GROWTH","FQ3 2015","FQ3 2015","Currency=INR","Period=FQ","BEST_FPERIOD_OVERRIDE=FQ","FILING_STATUS=OR","EQY_CONSOLIDATED=Y","Sort=A","Dates=H","DateFormat=P","Fill=—","Direction=H","UseDPDF=Y")</f>
        <v>#NAME?</v>
      </c>
      <c r="AD261" s="2" t="e">
        <f ca="1">_xll.BDH($C$253,"MODIFIED_WORK_CAP_GROWTH","FQ3 2015","FQ3 2015","Currency=INR","Period=FQ","BEST_FPERIOD_OVERRIDE=FQ","FILING_STATUS=OR","EQY_CONSOLIDATED=Y","Sort=A","Dates=H","DateFormat=P","Fill=—","Direction=H","UseDPDF=Y")</f>
        <v>#NAME?</v>
      </c>
      <c r="AE261" s="2" t="e">
        <f ca="1">_xll.BDH($C$253,"WORK_CAP_GROWTH","FQ3 2015","FQ3 2015","Currency=INR","Period=FQ","BEST_FPERIOD_OVERRIDE=FQ","FILING_STATUS=OR","EQY_CONSOLIDATED=Y","Sort=A","Dates=H","DateFormat=P","Fill=—","Direction=H","UseDPDF=Y")</f>
        <v>#NAME?</v>
      </c>
      <c r="AF261" s="2" t="e">
        <f ca="1">_xll.BDH($C$253,"ACCOUNTS_PAYABLE_GROWTH_1YR","FQ3 2015","FQ3 2015","Currency=INR","Period=FQ","BEST_FPERIOD_OVERRIDE=FQ","FILING_STATUS=OR","EQY_CONSOLIDATED=Y","Sort=A","Dates=H","DateFormat=P","Fill=—","Direction=H","UseDPDF=Y")</f>
        <v>#NAME?</v>
      </c>
      <c r="AG261" s="2" t="e">
        <f ca="1">_xll.BDH($C$253,"SHORT_TERM_DEBT_1_YEAR_GROWTH","FQ3 2015","FQ3 2015","Currency=INR","Period=FQ","BEST_FPERIOD_OVERRIDE=FQ","FILING_STATUS=OR","EQY_CONSOLIDATED=Y","Sort=A","Dates=H","DateFormat=P","Fill=—","Direction=H","UseDPDF=Y")</f>
        <v>#NAME?</v>
      </c>
      <c r="AH261" s="2" t="e">
        <f ca="1">_xll.BDH($C$253,"TOTAL_DEBT_1_YEAR_GROWTH","FQ3 2015","FQ3 2015","Currency=INR","Period=FQ","BEST_FPERIOD_OVERRIDE=FQ","FILING_STATUS=OR","EQY_CONSOLIDATED=Y","Sort=A","Dates=H","DateFormat=P","Fill=—","Direction=H","UseDPDF=Y")</f>
        <v>#NAME?</v>
      </c>
      <c r="AI261" s="2" t="e">
        <f ca="1">_xll.BDH($C$253,"TOTAL_EQUITY_1_YEAR_GROWTH","FQ3 2015","FQ3 2015","Currency=INR","Period=FQ","BEST_FPERIOD_OVERRIDE=FQ","FILING_STATUS=OR","EQY_CONSOLIDATED=Y","Sort=A","Dates=H","DateFormat=P","Fill=—","Direction=H","UseDPDF=Y")</f>
        <v>#NAME?</v>
      </c>
      <c r="AJ261" s="2" t="e">
        <f ca="1">_xll.BDH($C$253,"GROWTH_IN_CAP","FQ3 2015","FQ3 2015","Currency=INR","Period=FQ","BEST_FPERIOD_OVERRIDE=FQ","FILING_STATUS=OR","EQY_CONSOLIDATED=Y","Sort=A","Dates=H","DateFormat=P","Fill=—","Direction=H","UseDPDF=Y")</f>
        <v>#NAME?</v>
      </c>
      <c r="AK261" s="2" t="e">
        <f ca="1">_xll.BDH($C$253,"BVPS_GROWTH","FQ3 2015","FQ3 2015","Currency=INR","Period=FQ","BEST_FPERIOD_OVERRIDE=FQ","FILING_STATUS=OR","EQY_CONSOLIDATED=Y","Sort=A","Dates=H","DateFormat=P","Fill=—","Direction=H","UseDPDF=Y")</f>
        <v>#NAME?</v>
      </c>
      <c r="AL261" s="2" t="e">
        <f ca="1">_xll.BDH($C$253,"CASH_FLOW_GROWTH","FQ3 2015","FQ3 2015","Currency=INR","Period=FQ","BEST_FPERIOD_OVERRIDE=FQ","FILING_STATUS=OR","EQY_CONSOLIDATED=Y","Sort=A","Dates=H","DateFormat=P","Fill=—","Direction=H","UseDPDF=Y")</f>
        <v>#NAME?</v>
      </c>
      <c r="AM261" s="2" t="e">
        <f ca="1">_xll.BDH($C$253,"GEO_GROW_NET_SALES","FQ3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261" s="2" t="e">
        <f ca="1">_xll.BDH($C$253,"GEO_GROW_EBITDA","FQ3 2015","FQ3 2015","Currency=INR","Period=FQ","BEST_FPERIOD_OVERRIDE=FQ","FILING_STATUS=OR","EQY_CONSOLIDATED=Y","FA_ADJUSTED=GAAP","Sort=A","Dates=H","DateFormat=P","Fill=—","Direction=H","UseDPDF=Y")</f>
        <v>#NAME?</v>
      </c>
      <c r="AO261" s="2" t="e">
        <f ca="1">_xll.BDH($C$253,"GEO_GROW_OPER_INC","FQ3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261" s="2" t="e">
        <f ca="1">_xll.BDH($C$253,"NET_INCOME_TO_COMMON_5_YR_GROWTH","FQ3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261" s="2" t="e">
        <f ca="1">_xll.BDH($C$253,"5Y_GEO_GROWTH_DILUTED_EPS","FQ3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261" s="2" t="e">
        <f ca="1">_xll.BDH($C$253,"GEO_GROW_DVD_PER_SH","FQ3 2015","FQ3 2015","Currency=INR","Period=FQ","BEST_FPERIOD_OVERRIDE=FQ","FILING_STATUS=OR","EQY_CONSOLIDATED=Y","Sort=A","Dates=H","DateFormat=P","Fill=—","Direction=H","UseDPDF=Y")</f>
        <v>#NAME?</v>
      </c>
      <c r="AS261" s="2" t="e">
        <f ca="1">_xll.BDH($C$253,"ACCOUNTS_RECEIVABLE_5_YR_GROWTH","FQ3 2015","FQ3 2015","Currency=INR","Period=FQ","BEST_FPERIOD_OVERRIDE=FQ","FILING_STATUS=OR","EQY_CONSOLIDATED=Y","Sort=A","Dates=H","DateFormat=P","Fill=—","Direction=H","UseDPDF=Y")</f>
        <v>#NAME?</v>
      </c>
      <c r="AT261" s="2" t="e">
        <f ca="1">_xll.BDH($C$253,"INVENTORY_5_YEAR_GROWTH","FQ3 2015","FQ3 2015","Currency=INR","Period=FQ","BEST_FPERIOD_OVERRIDE=FQ","FILING_STATUS=OR","EQY_CONSOLIDATED=Y","Sort=A","Dates=H","DateFormat=P","Fill=—","Direction=H","UseDPDF=Y")</f>
        <v>#NAME?</v>
      </c>
      <c r="AU261" s="2" t="e">
        <f ca="1">_xll.BDH($C$253,"NET_FIXED_ASSETS_5_YEAR_GROWTH","FQ3 2015","FQ3 2015","Currency=INR","Period=FQ","BEST_FPERIOD_OVERRIDE=FQ","FILING_STATUS=OR","EQY_CONSOLIDATED=Y","Sort=A","Dates=H","DateFormat=P","Fill=—","Direction=H","UseDPDF=Y")</f>
        <v>#NAME?</v>
      </c>
      <c r="AV261" s="2" t="e">
        <f ca="1">_xll.BDH($C$253,"GEO_GROW_TOT_ASSET","FQ3 2015","FQ3 2015","Currency=INR","Period=FQ","BEST_FPERIOD_OVERRIDE=FQ","FILING_STATUS=OR","EQY_CONSOLIDATED=Y","Sort=A","Dates=H","DateFormat=P","Fill=—","Direction=H","UseDPDF=Y")</f>
        <v>#NAME?</v>
      </c>
      <c r="AW261" s="2" t="e">
        <f ca="1">_xll.BDH($C$253,"MODIFIED_WORKING_CPTL_5YR_GRWTH","FQ3 2015","FQ3 2015","Currency=INR","Period=FQ","BEST_FPERIOD_OVERRIDE=FQ","FILING_STATUS=OR","EQY_CONSOLIDATED=Y","Sort=A","Dates=H","DateFormat=P","Fill=—","Direction=H","UseDPDF=Y")</f>
        <v>#NAME?</v>
      </c>
      <c r="AX261" s="2" t="e">
        <f ca="1">_xll.BDH($C$253,"WORKING_CAPITAL_5_YEAR_GROWTH","FQ3 2015","FQ3 2015","Currency=INR","Period=FQ","BEST_FPERIOD_OVERRIDE=FQ","FILING_STATUS=OR","EQY_CONSOLIDATED=Y","Sort=A","Dates=H","DateFormat=P","Fill=—","Direction=H","UseDPDF=Y")</f>
        <v>#NAME?</v>
      </c>
      <c r="AY261" s="2" t="e">
        <f ca="1">_xll.BDH($C$253,"ACCOUNTS_PAYABLE_5_YEAR_GROWTH","FQ3 2015","FQ3 2015","Currency=INR","Period=FQ","BEST_FPERIOD_OVERRIDE=FQ","FILING_STATUS=OR","EQY_CONSOLIDATED=Y","Sort=A","Dates=H","DateFormat=P","Fill=—","Direction=H","UseDPDF=Y")</f>
        <v>#NAME?</v>
      </c>
      <c r="AZ261" s="2" t="e">
        <f ca="1">_xll.BDH($C$253,"SHORT_TERM_DEBT_5_YEAR_GROWTH","FQ3 2015","FQ3 2015","Currency=INR","Period=FQ","BEST_FPERIOD_OVERRIDE=FQ","FILING_STATUS=OR","EQY_CONSOLIDATED=Y","Sort=A","Dates=H","DateFormat=P","Fill=—","Direction=H","UseDPDF=Y")</f>
        <v>#NAME?</v>
      </c>
      <c r="BA261" s="2" t="e">
        <f ca="1">_xll.BDH($C$253,"TOTAL_DEBT_5_YEAR_GROWTH","FQ3 2015","FQ3 2015","Currency=INR","Period=FQ","BEST_FPERIOD_OVERRIDE=FQ","FILING_STATUS=OR","EQY_CONSOLIDATED=Y","Sort=A","Dates=H","DateFormat=P","Fill=—","Direction=H","UseDPDF=Y")</f>
        <v>#NAME?</v>
      </c>
      <c r="BB261" s="2" t="e">
        <f ca="1">_xll.BDH($C$253,"GEO_GROW_TOT_SHRHLDR_EQY","FQ3 2015","FQ3 2015","Currency=INR","Period=FQ","BEST_FPERIOD_OVERRIDE=FQ","FILING_STATUS=OR","EQY_CONSOLIDATED=Y","Sort=A","Dates=H","DateFormat=P","Fill=—","Direction=H","UseDPDF=Y")</f>
        <v>#NAME?</v>
      </c>
      <c r="BC261" s="2" t="e">
        <f ca="1">_xll.BDH($C$253,"TOTAL_CAPITAL_5_YEAR_GROWTH","FQ3 2015","FQ3 2015","Currency=INR","Period=FQ","BEST_FPERIOD_OVERRIDE=FQ","FILING_STATUS=OR","EQY_CONSOLIDATED=Y","Sort=A","Dates=H","DateFormat=P","Fill=—","Direction=H","UseDPDF=Y")</f>
        <v>#NAME?</v>
      </c>
      <c r="BD261" s="2" t="e">
        <f ca="1">_xll.BDH($C$253,"GEO_GROW_BOOK_VAL","FQ3 2015","FQ3 2015","Currency=INR","Period=FQ","BEST_FPERIOD_OVERRIDE=FQ","FILING_STATUS=OR","EQY_CONSOLIDATED=Y","Sort=A","Dates=H","DateFormat=P","Fill=—","Direction=H","UseDPDF=Y")</f>
        <v>#NAME?</v>
      </c>
      <c r="BE261" s="2" t="e">
        <f ca="1">_xll.BDH($C$253,"GEO_GROW_CASH_OPER_ACT","FQ3 2015","FQ3 2015","Currency=INR","Period=FQ","BEST_FPERIOD_OVERRIDE=FQ","FILING_STATUS=OR","EQY_CONSOLIDATED=Y","Sort=A","Dates=H","DateFormat=P","Fill=—","Direction=H","UseDPDF=Y")</f>
        <v>#NAME?</v>
      </c>
      <c r="BF261" s="2" t="e">
        <f ca="1">_xll.BDH($C$253,"REVENUE_SEQUENTIAL_GROWTH","FQ3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261" s="2" t="e">
        <f ca="1">_xll.BDH($C$253,"EBITDA_SEQUENTIAL_GROWTH","FQ3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261" s="2" t="e">
        <f ca="1">_xll.BDH($C$253,"OPERATING_INCOME_SEQ_GROWTH","FQ3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261" s="2" t="e">
        <f ca="1">_xll.BDH($C$253,"NET_INCOME_TO_COMMON_SEQ_GROWTH","FQ3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261" s="2" t="e">
        <f ca="1">_xll.BDH($C$253,"EPS_DILUTED_SEQUENTIAL_GROWTH","FQ3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261" s="2" t="e">
        <f ca="1">_xll.BDH($C$253,"DPS_SEQUENTIAL_GROWTH","FQ3 2015","FQ3 2015","Currency=INR","Period=FQ","BEST_FPERIOD_OVERRIDE=FQ","FILING_STATUS=OR","EQY_CONSOLIDATED=Y","Sort=A","Dates=H","DateFormat=P","Fill=—","Direction=H","UseDPDF=Y")</f>
        <v>#NAME?</v>
      </c>
      <c r="BL261" s="2" t="e">
        <f ca="1">_xll.BDH($C$253,"ACCOUNTS_RECEIVABLE_SEQ_GROWTH","FQ3 2015","FQ3 2015","Currency=INR","Period=FQ","BEST_FPERIOD_OVERRIDE=FQ","FILING_STATUS=OR","EQY_CONSOLIDATED=Y","Sort=A","Dates=H","DateFormat=P","Fill=—","Direction=H","UseDPDF=Y")</f>
        <v>#NAME?</v>
      </c>
      <c r="BM261" s="2" t="e">
        <f ca="1">_xll.BDH($C$253,"INVENTORY_SEQUENTIAL_GROWTH","FQ3 2015","FQ3 2015","Currency=INR","Period=FQ","BEST_FPERIOD_OVERRIDE=FQ","FILING_STATUS=OR","EQY_CONSOLIDATED=Y","Sort=A","Dates=H","DateFormat=P","Fill=—","Direction=H","UseDPDF=Y")</f>
        <v>#NAME?</v>
      </c>
      <c r="BN261" s="2" t="e">
        <f ca="1">_xll.BDH($C$253,"FIXED_ASSETS_SEQUENTIAL_GROWTH","FQ3 2015","FQ3 2015","Currency=INR","Period=FQ","BEST_FPERIOD_OVERRIDE=FQ","FILING_STATUS=OR","EQY_CONSOLIDATED=Y","Sort=A","Dates=H","DateFormat=P","Fill=—","Direction=H","UseDPDF=Y")</f>
        <v>#NAME?</v>
      </c>
      <c r="BO261" s="2" t="e">
        <f ca="1">_xll.BDH($C$253,"TOTAL_ASSETS_SEQUENTIAL_GROWTH","FQ3 2015","FQ3 2015","Currency=INR","Period=FQ","BEST_FPERIOD_OVERRIDE=FQ","FILING_STATUS=OR","EQY_CONSOLIDATED=Y","Sort=A","Dates=H","DateFormat=P","Fill=—","Direction=H","UseDPDF=Y")</f>
        <v>#NAME?</v>
      </c>
      <c r="BP261" s="2" t="e">
        <f ca="1">_xll.BDH($C$253,"MODIFIED_WORKING_CPTL_SEQ_GRWTH","FQ3 2015","FQ3 2015","Currency=INR","Period=FQ","BEST_FPERIOD_OVERRIDE=FQ","FILING_STATUS=OR","EQY_CONSOLIDATED=Y","Sort=A","Dates=H","DateFormat=P","Fill=—","Direction=H","UseDPDF=Y")</f>
        <v>#NAME?</v>
      </c>
      <c r="BQ261" s="2" t="e">
        <f ca="1">_xll.BDH($C$253,"WORKING_CAPITAL_SEQ_GROWTH","FQ3 2015","FQ3 2015","Currency=INR","Period=FQ","BEST_FPERIOD_OVERRIDE=FQ","FILING_STATUS=OR","EQY_CONSOLIDATED=Y","Sort=A","Dates=H","DateFormat=P","Fill=—","Direction=H","UseDPDF=Y")</f>
        <v>#NAME?</v>
      </c>
      <c r="BR261" s="2" t="e">
        <f ca="1">_xll.BDH($C$253,"ACCOUNTS_PAYABLE_SEQ_GROWTH","FQ3 2015","FQ3 2015","Currency=INR","Period=FQ","BEST_FPERIOD_OVERRIDE=FQ","FILING_STATUS=OR","EQY_CONSOLIDATED=Y","Sort=A","Dates=H","DateFormat=P","Fill=—","Direction=H","UseDPDF=Y")</f>
        <v>#NAME?</v>
      </c>
      <c r="BS261" s="2" t="e">
        <f ca="1">_xll.BDH($C$253,"ST_DEBT_SEQUENTIAL_GROWTH","FQ3 2015","FQ3 2015","Currency=INR","Period=FQ","BEST_FPERIOD_OVERRIDE=FQ","FILING_STATUS=OR","EQY_CONSOLIDATED=Y","Sort=A","Dates=H","DateFormat=P","Fill=—","Direction=H","UseDPDF=Y")</f>
        <v>#NAME?</v>
      </c>
      <c r="BT261" s="2" t="e">
        <f ca="1">_xll.BDH($C$253,"TOTAL_DEBT_SEQUENTIAL_GROWTH","FQ3 2015","FQ3 2015","Currency=INR","Period=FQ","BEST_FPERIOD_OVERRIDE=FQ","FILING_STATUS=OR","EQY_CONSOLIDATED=Y","Sort=A","Dates=H","DateFormat=P","Fill=—","Direction=H","UseDPDF=Y")</f>
        <v>#NAME?</v>
      </c>
      <c r="BU261" s="2" t="e">
        <f ca="1">_xll.BDH($C$253,"TOTAL_EQUITY_SEQUENTIAL_GROWTH","FQ3 2015","FQ3 2015","Currency=INR","Period=FQ","BEST_FPERIOD_OVERRIDE=FQ","FILING_STATUS=OR","EQY_CONSOLIDATED=Y","Sort=A","Dates=H","DateFormat=P","Fill=—","Direction=H","UseDPDF=Y")</f>
        <v>#NAME?</v>
      </c>
      <c r="BV261" s="2" t="e">
        <f ca="1">_xll.BDH($C$253,"TOTAL_CAPITAL_SEQUENTIAL_GROWTH","FQ3 2015","FQ3 2015","Currency=INR","Period=FQ","BEST_FPERIOD_OVERRIDE=FQ","FILING_STATUS=OR","EQY_CONSOLIDATED=Y","Sort=A","Dates=H","DateFormat=P","Fill=—","Direction=H","UseDPDF=Y")</f>
        <v>#NAME?</v>
      </c>
      <c r="BW261" s="2" t="e">
        <f ca="1">_xll.BDH($C$253,"BPS_SEQUENTIAL_GROWTH","FQ3 2015","FQ3 2015","Currency=INR","Period=FQ","BEST_FPERIOD_OVERRIDE=FQ","FILING_STATUS=OR","EQY_CONSOLIDATED=Y","Sort=A","Dates=H","DateFormat=P","Fill=—","Direction=H","UseDPDF=Y")</f>
        <v>#NAME?</v>
      </c>
      <c r="BX261" s="2" t="e">
        <f ca="1">_xll.BDH($C$253,"CFO_SEQUENTIAL_GROWTH","FQ3 2015","FQ3 2015","Currency=INR","Period=FQ","BEST_FPERIOD_OVERRIDE=FQ","FILING_STATUS=OR","EQY_CONSOLIDATED=Y","Sort=A","Dates=H","DateFormat=P","Fill=—","Direction=H","UseDPDF=Y")</f>
        <v>#NAME?</v>
      </c>
      <c r="BY261" s="3" t="e">
        <f ca="1">_xll.BDH($C$253,"SHORT_AND_LONG_TERM_DEBT","FQ3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261" s="3" t="e">
        <f ca="1">_xll.BDH($C$253,"BS_ST_BORROW","FQ3 2015","FQ3 2015","Currency=INR","Period=FQ","BEST_FPERIOD_OVERRIDE=FQ","FILING_STATUS=OR","EQY_CONSOLIDATED=Y","SCALING_FORMAT=MLN","Sort=A","Dates=H","DateFormat=P","Fill=—","Direction=H","UseDPDF=Y")</f>
        <v>#NAME?</v>
      </c>
      <c r="CA261" s="3" t="e">
        <f ca="1">_xll.BDH($C$253,"BS_LT_BORROW","FQ3 2015","FQ3 2015","Currency=INR","Period=FQ","BEST_FPERIOD_OVERRIDE=FQ","FILING_STATUS=OR","EQY_CONSOLIDATED=Y","SCALING_FORMAT=MLN","Sort=A","Dates=H","DateFormat=P","Fill=—","Direction=H","UseDPDF=Y")</f>
        <v>#NAME?</v>
      </c>
      <c r="CB261" s="2" t="e">
        <f ca="1">_xll.BDH($C$253,"TOT_DEBT_TO_EBITDA","FQ3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261" s="2" t="e">
        <f ca="1">_xll.BDH($C$253,"NET_DEBT_TO_EBITDA","FQ3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261" s="2" t="e">
        <f ca="1">_xll.BDH($C$253,"TOTAL_DEBT_TO_EBIT","FQ3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261" s="2" t="e">
        <f ca="1">_xll.BDH($C$253,"NET_DEBT_TO_EBIT","FQ3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261" s="2" t="e">
        <f ca="1">_xll.BDH($C$253,"EBITDA_TO_INTEREST_EXPN","FQ3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261" s="2" t="e">
        <f ca="1">_xll.BDH($C$253,"COM_EQY_TO_TOT_ASSET","FQ3 2015","FQ3 2015","Currency=INR","Period=FQ","BEST_FPERIOD_OVERRIDE=FQ","FILING_STATUS=OR","EQY_CONSOLIDATED=Y","Sort=A","Dates=H","DateFormat=P","Fill=—","Direction=H","UseDPDF=Y")</f>
        <v>#NAME?</v>
      </c>
      <c r="CH261" s="2" t="e">
        <f ca="1">_xll.BDH($C$253,"LT_DEBT_TO_TOT_EQY","FQ3 2015","FQ3 2015","Currency=INR","Period=FQ","BEST_FPERIOD_OVERRIDE=FQ","FILING_STATUS=OR","EQY_CONSOLIDATED=Y","Sort=A","Dates=H","DateFormat=P","Fill=—","Direction=H","UseDPDF=Y")</f>
        <v>#NAME?</v>
      </c>
      <c r="CI261" s="2" t="e">
        <f ca="1">_xll.BDH($C$253,"LT_DEBT_TO_TOT_CAP","FQ3 2015","FQ3 2015","Currency=INR","Period=FQ","BEST_FPERIOD_OVERRIDE=FQ","FILING_STATUS=OR","EQY_CONSOLIDATED=Y","Sort=A","Dates=H","DateFormat=P","Fill=—","Direction=H","UseDPDF=Y")</f>
        <v>#NAME?</v>
      </c>
      <c r="CJ261" s="2" t="e">
        <f ca="1">_xll.BDH($C$253,"LT_DEBT_TO_TOT_ASSET","FQ3 2015","FQ3 2015","Currency=INR","Period=FQ","BEST_FPERIOD_OVERRIDE=FQ","FILING_STATUS=OR","EQY_CONSOLIDATED=Y","Sort=A","Dates=H","DateFormat=P","Fill=—","Direction=H","UseDPDF=Y")</f>
        <v>#NAME?</v>
      </c>
      <c r="CK261" s="2" t="e">
        <f ca="1">_xll.BDH($C$253,"TOT_DEBT_TO_TOT_EQY","FQ3 2015","FQ3 2015","Currency=INR","Period=FQ","BEST_FPERIOD_OVERRIDE=FQ","FILING_STATUS=OR","EQY_CONSOLIDATED=Y","Sort=A","Dates=H","DateFormat=P","Fill=—","Direction=H","UseDPDF=Y")</f>
        <v>#NAME?</v>
      </c>
      <c r="CL261" s="2" t="e">
        <f ca="1">_xll.BDH($C$253,"TOT_DEBT_TO_TOT_CAP","FQ3 2015","FQ3 2015","Currency=INR","Period=FQ","BEST_FPERIOD_OVERRIDE=FQ","FILING_STATUS=OR","EQY_CONSOLIDATED=Y","Sort=A","Dates=H","DateFormat=P","Fill=—","Direction=H","UseDPDF=Y")</f>
        <v>#NAME?</v>
      </c>
      <c r="CM261" s="2" t="e">
        <f ca="1">_xll.BDH($C$253,"TOT_DEBT_TO_TOT_ASSET","FQ3 2015","FQ3 2015","Currency=INR","Period=FQ","BEST_FPERIOD_OVERRIDE=FQ","FILING_STATUS=OR","EQY_CONSOLIDATED=Y","Sort=A","Dates=H","DateFormat=P","Fill=—","Direction=H","UseDPDF=Y")</f>
        <v>#NAME?</v>
      </c>
      <c r="CN261" s="2" t="e">
        <f ca="1">_xll.BDH($C$253,"NET_DEBT_TO_SHRHLDR_EQTY","FQ3 2015","FQ3 2015","Currency=INR","Period=FQ","BEST_FPERIOD_OVERRIDE=FQ","FILING_STATUS=OR","EQY_CONSOLIDATED=Y","Sort=A","Dates=H","DateFormat=P","Fill=—","Direction=H","UseDPDF=Y")</f>
        <v>#NAME?</v>
      </c>
      <c r="CO261" s="2" t="e">
        <f ca="1">_xll.BDH($C$253,"NET_DEBT_%_CAPITAL","FQ3 2015","FQ3 2015","Currency=INR","Period=FQ","BEST_FPERIOD_OVERRIDE=FQ","FILING_STATUS=OR","EQY_CONSOLIDATED=Y","Sort=A","Dates=H","DateFormat=P","Fill=—","Direction=H","UseDPDF=Y")</f>
        <v>#NAME?</v>
      </c>
      <c r="CP261" s="3" t="e">
        <f ca="1">_xll.BDH($C$253,"EBITDA","FQ3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261" s="3" t="e">
        <f ca="1">_xll.BDH($C$253,"EBITDA_AFTER_CAPEX","FQ3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261" s="3" t="e">
        <f ca="1">_xll.BDH($C$253,"IS_OPER_INC","FQ3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261" s="2" t="e">
        <f ca="1">_xll.BDH($C$253,"CASH_RATIO","FQ3 2015","FQ3 2015","Currency=INR","Period=FQ","BEST_FPERIOD_OVERRIDE=FQ","FILING_STATUS=OR","EQY_CONSOLIDATED=Y","Sort=A","Dates=H","DateFormat=P","Fill=—","Direction=H","UseDPDF=Y")</f>
        <v>#NAME?</v>
      </c>
      <c r="CT261" s="2" t="e">
        <f ca="1">_xll.BDH($C$253,"CUR_RATIO","FQ3 2015","FQ3 2015","Currency=INR","Period=FQ","BEST_FPERIOD_OVERRIDE=FQ","FILING_STATUS=OR","EQY_CONSOLIDATED=Y","Sort=A","Dates=H","DateFormat=P","Fill=—","Direction=H","UseDPDF=Y")</f>
        <v>#NAME?</v>
      </c>
      <c r="CU261" s="2" t="e">
        <f ca="1">_xll.BDH($C$253,"QUICK_RATIO","FQ3 2015","FQ3 2015","Currency=INR","Period=FQ","BEST_FPERIOD_OVERRIDE=FQ","FILING_STATUS=OR","EQY_CONSOLIDATED=Y","Sort=A","Dates=H","DateFormat=P","Fill=—","Direction=H","UseDPDF=Y")</f>
        <v>#NAME?</v>
      </c>
      <c r="CV261" s="2" t="e">
        <f ca="1">_xll.BDH($C$253,"ALTMAN_Z_SCORE","FQ3 2015","FQ3 2015","Currency=INR","Period=FQ","BEST_FPERIOD_OVERRIDE=FQ","FILING_STATUS=OR","EQY_CONSOLIDATED=Y","Sort=A","Dates=H","DateFormat=P","Fill=—","Direction=H","UseDPDF=Y")</f>
        <v>#NAME?</v>
      </c>
      <c r="CW261" s="4" t="e">
        <f ca="1">_xll.BDH($C$253,"ACCT_RCV_TURN","FQ3 2015","FQ3 2015","Currency=INR","Period=FQ","BEST_FPERIOD_OVERRIDE=FQ","FILING_STATUS=OR","EQY_CONSOLIDATED=Y","FA_ADJUSTED=GAAP","Sort=A","Dates=H","DateFormat=P","Fill=—","Direction=H","UseDPDF=Y")</f>
        <v>#NAME?</v>
      </c>
      <c r="CX261" s="2" t="e">
        <f ca="1">_xll.BDH($C$253,"ACCT_RCV_DAYS","FQ3 2015","FQ3 2015","Currency=INR","Period=FQ","BEST_FPERIOD_OVERRIDE=FQ","FILING_STATUS=OR","EQY_CONSOLIDATED=Y","FA_ADJUSTED=GAAP","Sort=A","Dates=H","DateFormat=P","Fill=—","Direction=H","UseDPDF=Y")</f>
        <v>#NAME?</v>
      </c>
      <c r="CY261" s="4" t="e">
        <f ca="1">_xll.BDH($C$253,"INVENT_TURN","FQ3 2015","FQ3 2015","Currency=INR","Period=FQ","BEST_FPERIOD_OVERRIDE=FQ","FILING_STATUS=OR","EQY_CONSOLIDATED=Y","FA_ADJUSTED=GAAP","Sort=A","Dates=H","DateFormat=P","Fill=—","Direction=H","UseDPDF=Y")</f>
        <v>#NAME?</v>
      </c>
      <c r="CZ261" s="2" t="e">
        <f ca="1">_xll.BDH($C$253,"INVENT_DAYS","FQ3 2015","FQ3 2015","Currency=INR","Period=FQ","BEST_FPERIOD_OVERRIDE=FQ","FILING_STATUS=OR","EQY_CONSOLIDATED=Y","FA_ADJUSTED=GAAP","Sort=A","Dates=H","DateFormat=P","Fill=—","Direction=H","UseDPDF=Y")</f>
        <v>#NAME?</v>
      </c>
      <c r="DA261" s="4" t="e">
        <f ca="1">_xll.BDH($C$253,"ACCOUNTS_PAYABLE_TURNOVER","FQ3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261" s="2" t="e">
        <f ca="1">_xll.BDH($C$253,"ACCOUNTS_PAYABLE_TURNOVER_DAYS","FQ3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261" s="4" t="e">
        <f ca="1">_xll.BDH($C$253,"CASH_CONVERSION_CYCLE","FQ3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261" s="4" t="e">
        <f ca="1">_xll.BDH($C$253,"INV_TO_CASH_DAYS","FQ3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261" s="5" t="e">
        <f ca="1">_xll.BDH($C$253,"BS_INVENTORIES","FQ3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261" s="3" t="e">
        <f ca="1">_xll.BDH($C$253,"INVTRY_RAW_MATERIALS","FQ3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261" s="3" t="e">
        <f ca="1">_xll.BDH($C$253,"INVTRY_IN_PROGRESS","FQ3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261" s="3" t="e">
        <f ca="1">_xll.BDH($C$253,"INVTRY_FINISHED_GOODS","FQ3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261" s="3" t="e">
        <f ca="1">_xll.BDH($C$253,"BS_OTHER_INV","FQ3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262" spans="1:113" x14ac:dyDescent="0.3">
      <c r="A262" s="6"/>
      <c r="B262" s="6"/>
      <c r="C262" s="6"/>
      <c r="D262" s="6"/>
      <c r="E262" t="s">
        <v>81</v>
      </c>
      <c r="F262" t="e">
        <f ca="1">_xll.BDH($C$253,"RETURN_COM_EQY","FQ4 2015","FQ4 2015","Currency=INR","Period=FQ","BEST_FPERIOD_OVERRIDE=FQ","FILING_STATUS=OR","EQY_CONSOLIDATED=Y","FA_ADJUSTED=GAAP","Sort=A","Dates=H","DateFormat=P","Fill=—","Direction=H","UseDPDF=Y")</f>
        <v>#NAME?</v>
      </c>
      <c r="G262" t="e">
        <f ca="1">_xll.BDH($C$253,"RETURN_ON_ASSET","FQ4 2015","FQ4 2015","Currency=INR","Period=FQ","BEST_FPERIOD_OVERRIDE=FQ","FILING_STATUS=OR","EQY_CONSOLIDATED=Y","FA_ADJUSTED=GAAP","Sort=A","Dates=H","DateFormat=P","Fill=—","Direction=H","UseDPDF=Y")</f>
        <v>#NAME?</v>
      </c>
      <c r="H262" t="e">
        <f ca="1">_xll.BDH($C$253,"RETURN_ON_CAP","FQ4 2015","FQ4 2015","Currency=INR","Period=FQ","BEST_FPERIOD_OVERRIDE=FQ","FILING_STATUS=OR","EQY_CONSOLIDATED=Y","FA_ADJUSTED=GAAP","Sort=A","Dates=H","DateFormat=P","Fill=—","Direction=H","UseDPDF=Y")</f>
        <v>#NAME?</v>
      </c>
      <c r="I262" t="e">
        <f ca="1">_xll.BDH($C$253,"RETURN_ON_INV_CAPITAL","FQ4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262" t="e">
        <f ca="1">_xll.BDH($C$253,"EBITDA_TO_REVENUE","FQ4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262" t="e">
        <f ca="1">_xll.BDH($C$253,"OPER_MARGIN","FQ4 2015","FQ4 2015","Currency=INR","Period=FQ","BEST_FPERIOD_OVERRIDE=FQ","FILING_STATUS=OR","EQY_CONSOLIDATED=Y","FA_ADJUSTED=GAAP","Sort=A","Dates=H","DateFormat=P","Fill=—","Direction=H","UseDPDF=Y")</f>
        <v>#NAME?</v>
      </c>
      <c r="L262" t="e">
        <f ca="1">_xll.BDH($C$253,"INCREMENTAL_OPERATING_MARGIN","FQ4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262" t="e">
        <f ca="1">_xll.BDH($C$253,"PRETAX_INC_TO_NET_SALES","FQ4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262" t="e">
        <f ca="1">_xll.BDH($C$253,"INC_BEF_XO_ITEMS_TO_NET_SALES","FQ4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262" t="e">
        <f ca="1">_xll.BDH($C$253,"PROF_MARGIN","FQ4 2015","FQ4 2015","Currency=INR","Period=FQ","BEST_FPERIOD_OVERRIDE=FQ","FILING_STATUS=OR","EQY_CONSOLIDATED=Y","FA_ADJUSTED=GAAP","Sort=A","Dates=H","DateFormat=P","Fill=—","Direction=H","UseDPDF=Y")</f>
        <v>#NAME?</v>
      </c>
      <c r="P262" t="e">
        <f ca="1">_xll.BDH($C$253,"NET_INCOME_TO_COMMON_MARGIN","FQ4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262" t="e">
        <f ca="1">_xll.BDH($C$253,"EFF_TAX_RATE","FQ4 2015","FQ4 2015","Currency=INR","Period=FQ","BEST_FPERIOD_OVERRIDE=FQ","FILING_STATUS=OR","EQY_CONSOLIDATED=Y","FA_ADJUSTED=GAAP","Sort=A","Dates=H","DateFormat=P","Fill=—","Direction=H","UseDPDF=Y")</f>
        <v>#NAME?</v>
      </c>
      <c r="R262" t="e">
        <f ca="1">_xll.BDH($C$253,"DVD_PAYOUT_RATIO","FQ4 2015","FQ4 2015","Currency=INR","Period=FQ","BEST_FPERIOD_OVERRIDE=FQ","FILING_STATUS=OR","EQY_CONSOLIDATED=Y","FA_ADJUSTED=GAAP","Sort=A","Dates=H","DateFormat=P","Fill=—","Direction=H","UseDPDF=Y")</f>
        <v>#NAME?</v>
      </c>
      <c r="S262" t="e">
        <f ca="1">_xll.BDH($C$253,"SUSTAIN_GROWTH_RT","FQ4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262" s="2" t="e">
        <f ca="1">_xll.BDH($C$253,"SALES_GROWTH","FQ4 2015","FQ4 2015","Currency=INR","Period=FQ","BEST_FPERIOD_OVERRIDE=FQ","FILING_STATUS=OR","EQY_CONSOLIDATED=Y","FA_ADJUSTED=GAAP","Sort=A","Dates=H","DateFormat=P","Fill=—","Direction=H","UseDPDF=Y")</f>
        <v>#NAME?</v>
      </c>
      <c r="U262" s="2" t="e">
        <f ca="1">_xll.BDH($C$253,"EBITDA_GROWTH","FQ4 2015","FQ4 2015","Currency=INR","Period=FQ","BEST_FPERIOD_OVERRIDE=FQ","FILING_STATUS=OR","EQY_CONSOLIDATED=Y","FA_ADJUSTED=GAAP","Sort=A","Dates=H","DateFormat=P","Fill=—","Direction=H","UseDPDF=Y")</f>
        <v>#NAME?</v>
      </c>
      <c r="V262" s="2" t="e">
        <f ca="1">_xll.BDH($C$253,"OPER_INC_GROWTH","FQ4 2015","FQ4 2015","Currency=INR","Period=FQ","BEST_FPERIOD_OVERRIDE=FQ","FILING_STATUS=OR","EQY_CONSOLIDATED=Y","FA_ADJUSTED=GAAP","Sort=A","Dates=H","DateFormat=P","Fill=—","Direction=H","UseDPDF=Y")</f>
        <v>#NAME?</v>
      </c>
      <c r="W262" s="2" t="e">
        <f ca="1">_xll.BDH($C$253,"EARN_FOR_COM_GROWTH","FQ4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262" s="2" t="e">
        <f ca="1">_xll.BDH($C$253,"DILUTED_EPS_AFT_XO_ITEMS_GROWTH","FQ4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262" s="2" t="e">
        <f ca="1">_xll.BDH($C$253,"DIVIDEND_PER_SHARE_1_YEAR_GROWTH","FQ4 2015","FQ4 2015","Currency=INR","Period=FQ","BEST_FPERIOD_OVERRIDE=FQ","FILING_STATUS=OR","EQY_CONSOLIDATED=Y","Sort=A","Dates=H","DateFormat=P","Fill=—","Direction=H","UseDPDF=Y")</f>
        <v>#NAME?</v>
      </c>
      <c r="Z262" s="2" t="e">
        <f ca="1">_xll.BDH($C$253,"ACCOUNTS_RECEIVABLE_GROWTH","FQ4 2015","FQ4 2015","Currency=INR","Period=FQ","BEST_FPERIOD_OVERRIDE=FQ","FILING_STATUS=OR","EQY_CONSOLIDATED=Y","Sort=A","Dates=H","DateFormat=P","Fill=—","Direction=H","UseDPDF=Y")</f>
        <v>#NAME?</v>
      </c>
      <c r="AA262" s="2" t="e">
        <f ca="1">_xll.BDH($C$253,"INVENTORY_GROWTH","FQ4 2015","FQ4 2015","Currency=INR","Period=FQ","BEST_FPERIOD_OVERRIDE=FQ","FILING_STATUS=OR","EQY_CONSOLIDATED=Y","Sort=A","Dates=H","DateFormat=P","Fill=—","Direction=H","UseDPDF=Y")</f>
        <v>#NAME?</v>
      </c>
      <c r="AB262" s="2" t="e">
        <f ca="1">_xll.BDH($C$253,"NET_FIXED_ASSETS_1_YEAR_GROWTH","FQ4 2015","FQ4 2015","Currency=INR","Period=FQ","BEST_FPERIOD_OVERRIDE=FQ","FILING_STATUS=OR","EQY_CONSOLIDATED=Y","Sort=A","Dates=H","DateFormat=P","Fill=—","Direction=H","UseDPDF=Y")</f>
        <v>#NAME?</v>
      </c>
      <c r="AC262" s="2" t="e">
        <f ca="1">_xll.BDH($C$253,"ASSET_GROWTH","FQ4 2015","FQ4 2015","Currency=INR","Period=FQ","BEST_FPERIOD_OVERRIDE=FQ","FILING_STATUS=OR","EQY_CONSOLIDATED=Y","Sort=A","Dates=H","DateFormat=P","Fill=—","Direction=H","UseDPDF=Y")</f>
        <v>#NAME?</v>
      </c>
      <c r="AD262" s="2" t="e">
        <f ca="1">_xll.BDH($C$253,"MODIFIED_WORK_CAP_GROWTH","FQ4 2015","FQ4 2015","Currency=INR","Period=FQ","BEST_FPERIOD_OVERRIDE=FQ","FILING_STATUS=OR","EQY_CONSOLIDATED=Y","Sort=A","Dates=H","DateFormat=P","Fill=—","Direction=H","UseDPDF=Y")</f>
        <v>#NAME?</v>
      </c>
      <c r="AE262" s="2" t="e">
        <f ca="1">_xll.BDH($C$253,"WORK_CAP_GROWTH","FQ4 2015","FQ4 2015","Currency=INR","Period=FQ","BEST_FPERIOD_OVERRIDE=FQ","FILING_STATUS=OR","EQY_CONSOLIDATED=Y","Sort=A","Dates=H","DateFormat=P","Fill=—","Direction=H","UseDPDF=Y")</f>
        <v>#NAME?</v>
      </c>
      <c r="AF262" s="2" t="e">
        <f ca="1">_xll.BDH($C$253,"ACCOUNTS_PAYABLE_GROWTH_1YR","FQ4 2015","FQ4 2015","Currency=INR","Period=FQ","BEST_FPERIOD_OVERRIDE=FQ","FILING_STATUS=OR","EQY_CONSOLIDATED=Y","Sort=A","Dates=H","DateFormat=P","Fill=—","Direction=H","UseDPDF=Y")</f>
        <v>#NAME?</v>
      </c>
      <c r="AG262" s="2" t="e">
        <f ca="1">_xll.BDH($C$253,"SHORT_TERM_DEBT_1_YEAR_GROWTH","FQ4 2015","FQ4 2015","Currency=INR","Period=FQ","BEST_FPERIOD_OVERRIDE=FQ","FILING_STATUS=OR","EQY_CONSOLIDATED=Y","Sort=A","Dates=H","DateFormat=P","Fill=—","Direction=H","UseDPDF=Y")</f>
        <v>#NAME?</v>
      </c>
      <c r="AH262" s="2" t="e">
        <f ca="1">_xll.BDH($C$253,"TOTAL_DEBT_1_YEAR_GROWTH","FQ4 2015","FQ4 2015","Currency=INR","Period=FQ","BEST_FPERIOD_OVERRIDE=FQ","FILING_STATUS=OR","EQY_CONSOLIDATED=Y","Sort=A","Dates=H","DateFormat=P","Fill=—","Direction=H","UseDPDF=Y")</f>
        <v>#NAME?</v>
      </c>
      <c r="AI262" s="2" t="e">
        <f ca="1">_xll.BDH($C$253,"TOTAL_EQUITY_1_YEAR_GROWTH","FQ4 2015","FQ4 2015","Currency=INR","Period=FQ","BEST_FPERIOD_OVERRIDE=FQ","FILING_STATUS=OR","EQY_CONSOLIDATED=Y","Sort=A","Dates=H","DateFormat=P","Fill=—","Direction=H","UseDPDF=Y")</f>
        <v>#NAME?</v>
      </c>
      <c r="AJ262" s="2" t="e">
        <f ca="1">_xll.BDH($C$253,"GROWTH_IN_CAP","FQ4 2015","FQ4 2015","Currency=INR","Period=FQ","BEST_FPERIOD_OVERRIDE=FQ","FILING_STATUS=OR","EQY_CONSOLIDATED=Y","Sort=A","Dates=H","DateFormat=P","Fill=—","Direction=H","UseDPDF=Y")</f>
        <v>#NAME?</v>
      </c>
      <c r="AK262" s="2" t="e">
        <f ca="1">_xll.BDH($C$253,"BVPS_GROWTH","FQ4 2015","FQ4 2015","Currency=INR","Period=FQ","BEST_FPERIOD_OVERRIDE=FQ","FILING_STATUS=OR","EQY_CONSOLIDATED=Y","Sort=A","Dates=H","DateFormat=P","Fill=—","Direction=H","UseDPDF=Y")</f>
        <v>#NAME?</v>
      </c>
      <c r="AL262" s="2" t="e">
        <f ca="1">_xll.BDH($C$253,"CASH_FLOW_GROWTH","FQ4 2015","FQ4 2015","Currency=INR","Period=FQ","BEST_FPERIOD_OVERRIDE=FQ","FILING_STATUS=OR","EQY_CONSOLIDATED=Y","Sort=A","Dates=H","DateFormat=P","Fill=—","Direction=H","UseDPDF=Y")</f>
        <v>#NAME?</v>
      </c>
      <c r="AM262" s="2" t="e">
        <f ca="1">_xll.BDH($C$253,"GEO_GROW_NET_SALES","FQ4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262" s="2" t="e">
        <f ca="1">_xll.BDH($C$253,"GEO_GROW_EBITDA","FQ4 2015","FQ4 2015","Currency=INR","Period=FQ","BEST_FPERIOD_OVERRIDE=FQ","FILING_STATUS=OR","EQY_CONSOLIDATED=Y","FA_ADJUSTED=GAAP","Sort=A","Dates=H","DateFormat=P","Fill=—","Direction=H","UseDPDF=Y")</f>
        <v>#NAME?</v>
      </c>
      <c r="AO262" s="2" t="e">
        <f ca="1">_xll.BDH($C$253,"GEO_GROW_OPER_INC","FQ4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262" s="2" t="e">
        <f ca="1">_xll.BDH($C$253,"NET_INCOME_TO_COMMON_5_YR_GROWTH","FQ4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262" s="2" t="e">
        <f ca="1">_xll.BDH($C$253,"5Y_GEO_GROWTH_DILUTED_EPS","FQ4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262" s="2" t="e">
        <f ca="1">_xll.BDH($C$253,"GEO_GROW_DVD_PER_SH","FQ4 2015","FQ4 2015","Currency=INR","Period=FQ","BEST_FPERIOD_OVERRIDE=FQ","FILING_STATUS=OR","EQY_CONSOLIDATED=Y","Sort=A","Dates=H","DateFormat=P","Fill=—","Direction=H","UseDPDF=Y")</f>
        <v>#NAME?</v>
      </c>
      <c r="AS262" s="2" t="e">
        <f ca="1">_xll.BDH($C$253,"ACCOUNTS_RECEIVABLE_5_YR_GROWTH","FQ4 2015","FQ4 2015","Currency=INR","Period=FQ","BEST_FPERIOD_OVERRIDE=FQ","FILING_STATUS=OR","EQY_CONSOLIDATED=Y","Sort=A","Dates=H","DateFormat=P","Fill=—","Direction=H","UseDPDF=Y")</f>
        <v>#NAME?</v>
      </c>
      <c r="AT262" s="2" t="e">
        <f ca="1">_xll.BDH($C$253,"INVENTORY_5_YEAR_GROWTH","FQ4 2015","FQ4 2015","Currency=INR","Period=FQ","BEST_FPERIOD_OVERRIDE=FQ","FILING_STATUS=OR","EQY_CONSOLIDATED=Y","Sort=A","Dates=H","DateFormat=P","Fill=—","Direction=H","UseDPDF=Y")</f>
        <v>#NAME?</v>
      </c>
      <c r="AU262" s="2" t="e">
        <f ca="1">_xll.BDH($C$253,"NET_FIXED_ASSETS_5_YEAR_GROWTH","FQ4 2015","FQ4 2015","Currency=INR","Period=FQ","BEST_FPERIOD_OVERRIDE=FQ","FILING_STATUS=OR","EQY_CONSOLIDATED=Y","Sort=A","Dates=H","DateFormat=P","Fill=—","Direction=H","UseDPDF=Y")</f>
        <v>#NAME?</v>
      </c>
      <c r="AV262" s="2" t="e">
        <f ca="1">_xll.BDH($C$253,"GEO_GROW_TOT_ASSET","FQ4 2015","FQ4 2015","Currency=INR","Period=FQ","BEST_FPERIOD_OVERRIDE=FQ","FILING_STATUS=OR","EQY_CONSOLIDATED=Y","Sort=A","Dates=H","DateFormat=P","Fill=—","Direction=H","UseDPDF=Y")</f>
        <v>#NAME?</v>
      </c>
      <c r="AW262" s="2" t="e">
        <f ca="1">_xll.BDH($C$253,"MODIFIED_WORKING_CPTL_5YR_GRWTH","FQ4 2015","FQ4 2015","Currency=INR","Period=FQ","BEST_FPERIOD_OVERRIDE=FQ","FILING_STATUS=OR","EQY_CONSOLIDATED=Y","Sort=A","Dates=H","DateFormat=P","Fill=—","Direction=H","UseDPDF=Y")</f>
        <v>#NAME?</v>
      </c>
      <c r="AX262" s="2" t="e">
        <f ca="1">_xll.BDH($C$253,"WORKING_CAPITAL_5_YEAR_GROWTH","FQ4 2015","FQ4 2015","Currency=INR","Period=FQ","BEST_FPERIOD_OVERRIDE=FQ","FILING_STATUS=OR","EQY_CONSOLIDATED=Y","Sort=A","Dates=H","DateFormat=P","Fill=—","Direction=H","UseDPDF=Y")</f>
        <v>#NAME?</v>
      </c>
      <c r="AY262" s="2" t="e">
        <f ca="1">_xll.BDH($C$253,"ACCOUNTS_PAYABLE_5_YEAR_GROWTH","FQ4 2015","FQ4 2015","Currency=INR","Period=FQ","BEST_FPERIOD_OVERRIDE=FQ","FILING_STATUS=OR","EQY_CONSOLIDATED=Y","Sort=A","Dates=H","DateFormat=P","Fill=—","Direction=H","UseDPDF=Y")</f>
        <v>#NAME?</v>
      </c>
      <c r="AZ262" s="2" t="e">
        <f ca="1">_xll.BDH($C$253,"SHORT_TERM_DEBT_5_YEAR_GROWTH","FQ4 2015","FQ4 2015","Currency=INR","Period=FQ","BEST_FPERIOD_OVERRIDE=FQ","FILING_STATUS=OR","EQY_CONSOLIDATED=Y","Sort=A","Dates=H","DateFormat=P","Fill=—","Direction=H","UseDPDF=Y")</f>
        <v>#NAME?</v>
      </c>
      <c r="BA262" s="2" t="e">
        <f ca="1">_xll.BDH($C$253,"TOTAL_DEBT_5_YEAR_GROWTH","FQ4 2015","FQ4 2015","Currency=INR","Period=FQ","BEST_FPERIOD_OVERRIDE=FQ","FILING_STATUS=OR","EQY_CONSOLIDATED=Y","Sort=A","Dates=H","DateFormat=P","Fill=—","Direction=H","UseDPDF=Y")</f>
        <v>#NAME?</v>
      </c>
      <c r="BB262" s="2" t="e">
        <f ca="1">_xll.BDH($C$253,"GEO_GROW_TOT_SHRHLDR_EQY","FQ4 2015","FQ4 2015","Currency=INR","Period=FQ","BEST_FPERIOD_OVERRIDE=FQ","FILING_STATUS=OR","EQY_CONSOLIDATED=Y","Sort=A","Dates=H","DateFormat=P","Fill=—","Direction=H","UseDPDF=Y")</f>
        <v>#NAME?</v>
      </c>
      <c r="BC262" s="2" t="e">
        <f ca="1">_xll.BDH($C$253,"TOTAL_CAPITAL_5_YEAR_GROWTH","FQ4 2015","FQ4 2015","Currency=INR","Period=FQ","BEST_FPERIOD_OVERRIDE=FQ","FILING_STATUS=OR","EQY_CONSOLIDATED=Y","Sort=A","Dates=H","DateFormat=P","Fill=—","Direction=H","UseDPDF=Y")</f>
        <v>#NAME?</v>
      </c>
      <c r="BD262" s="2" t="e">
        <f ca="1">_xll.BDH($C$253,"GEO_GROW_BOOK_VAL","FQ4 2015","FQ4 2015","Currency=INR","Period=FQ","BEST_FPERIOD_OVERRIDE=FQ","FILING_STATUS=OR","EQY_CONSOLIDATED=Y","Sort=A","Dates=H","DateFormat=P","Fill=—","Direction=H","UseDPDF=Y")</f>
        <v>#NAME?</v>
      </c>
      <c r="BE262" s="2" t="e">
        <f ca="1">_xll.BDH($C$253,"GEO_GROW_CASH_OPER_ACT","FQ4 2015","FQ4 2015","Currency=INR","Period=FQ","BEST_FPERIOD_OVERRIDE=FQ","FILING_STATUS=OR","EQY_CONSOLIDATED=Y","Sort=A","Dates=H","DateFormat=P","Fill=—","Direction=H","UseDPDF=Y")</f>
        <v>#NAME?</v>
      </c>
      <c r="BF262" s="2" t="e">
        <f ca="1">_xll.BDH($C$253,"REVENUE_SEQUENTIAL_GROWTH","FQ4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262" s="2" t="e">
        <f ca="1">_xll.BDH($C$253,"EBITDA_SEQUENTIAL_GROWTH","FQ4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262" s="2" t="e">
        <f ca="1">_xll.BDH($C$253,"OPERATING_INCOME_SEQ_GROWTH","FQ4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262" s="2" t="e">
        <f ca="1">_xll.BDH($C$253,"NET_INCOME_TO_COMMON_SEQ_GROWTH","FQ4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262" s="2" t="e">
        <f ca="1">_xll.BDH($C$253,"EPS_DILUTED_SEQUENTIAL_GROWTH","FQ4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262" s="2" t="e">
        <f ca="1">_xll.BDH($C$253,"DPS_SEQUENTIAL_GROWTH","FQ4 2015","FQ4 2015","Currency=INR","Period=FQ","BEST_FPERIOD_OVERRIDE=FQ","FILING_STATUS=OR","EQY_CONSOLIDATED=Y","Sort=A","Dates=H","DateFormat=P","Fill=—","Direction=H","UseDPDF=Y")</f>
        <v>#NAME?</v>
      </c>
      <c r="BL262" s="2" t="e">
        <f ca="1">_xll.BDH($C$253,"ACCOUNTS_RECEIVABLE_SEQ_GROWTH","FQ4 2015","FQ4 2015","Currency=INR","Period=FQ","BEST_FPERIOD_OVERRIDE=FQ","FILING_STATUS=OR","EQY_CONSOLIDATED=Y","Sort=A","Dates=H","DateFormat=P","Fill=—","Direction=H","UseDPDF=Y")</f>
        <v>#NAME?</v>
      </c>
      <c r="BM262" s="2" t="e">
        <f ca="1">_xll.BDH($C$253,"INVENTORY_SEQUENTIAL_GROWTH","FQ4 2015","FQ4 2015","Currency=INR","Period=FQ","BEST_FPERIOD_OVERRIDE=FQ","FILING_STATUS=OR","EQY_CONSOLIDATED=Y","Sort=A","Dates=H","DateFormat=P","Fill=—","Direction=H","UseDPDF=Y")</f>
        <v>#NAME?</v>
      </c>
      <c r="BN262" s="2" t="e">
        <f ca="1">_xll.BDH($C$253,"FIXED_ASSETS_SEQUENTIAL_GROWTH","FQ4 2015","FQ4 2015","Currency=INR","Period=FQ","BEST_FPERIOD_OVERRIDE=FQ","FILING_STATUS=OR","EQY_CONSOLIDATED=Y","Sort=A","Dates=H","DateFormat=P","Fill=—","Direction=H","UseDPDF=Y")</f>
        <v>#NAME?</v>
      </c>
      <c r="BO262" s="2" t="e">
        <f ca="1">_xll.BDH($C$253,"TOTAL_ASSETS_SEQUENTIAL_GROWTH","FQ4 2015","FQ4 2015","Currency=INR","Period=FQ","BEST_FPERIOD_OVERRIDE=FQ","FILING_STATUS=OR","EQY_CONSOLIDATED=Y","Sort=A","Dates=H","DateFormat=P","Fill=—","Direction=H","UseDPDF=Y")</f>
        <v>#NAME?</v>
      </c>
      <c r="BP262" s="2" t="e">
        <f ca="1">_xll.BDH($C$253,"MODIFIED_WORKING_CPTL_SEQ_GRWTH","FQ4 2015","FQ4 2015","Currency=INR","Period=FQ","BEST_FPERIOD_OVERRIDE=FQ","FILING_STATUS=OR","EQY_CONSOLIDATED=Y","Sort=A","Dates=H","DateFormat=P","Fill=—","Direction=H","UseDPDF=Y")</f>
        <v>#NAME?</v>
      </c>
      <c r="BQ262" s="2" t="e">
        <f ca="1">_xll.BDH($C$253,"WORKING_CAPITAL_SEQ_GROWTH","FQ4 2015","FQ4 2015","Currency=INR","Period=FQ","BEST_FPERIOD_OVERRIDE=FQ","FILING_STATUS=OR","EQY_CONSOLIDATED=Y","Sort=A","Dates=H","DateFormat=P","Fill=—","Direction=H","UseDPDF=Y")</f>
        <v>#NAME?</v>
      </c>
      <c r="BR262" s="2" t="e">
        <f ca="1">_xll.BDH($C$253,"ACCOUNTS_PAYABLE_SEQ_GROWTH","FQ4 2015","FQ4 2015","Currency=INR","Period=FQ","BEST_FPERIOD_OVERRIDE=FQ","FILING_STATUS=OR","EQY_CONSOLIDATED=Y","Sort=A","Dates=H","DateFormat=P","Fill=—","Direction=H","UseDPDF=Y")</f>
        <v>#NAME?</v>
      </c>
      <c r="BS262" s="2" t="e">
        <f ca="1">_xll.BDH($C$253,"ST_DEBT_SEQUENTIAL_GROWTH","FQ4 2015","FQ4 2015","Currency=INR","Period=FQ","BEST_FPERIOD_OVERRIDE=FQ","FILING_STATUS=OR","EQY_CONSOLIDATED=Y","Sort=A","Dates=H","DateFormat=P","Fill=—","Direction=H","UseDPDF=Y")</f>
        <v>#NAME?</v>
      </c>
      <c r="BT262" s="2" t="e">
        <f ca="1">_xll.BDH($C$253,"TOTAL_DEBT_SEQUENTIAL_GROWTH","FQ4 2015","FQ4 2015","Currency=INR","Period=FQ","BEST_FPERIOD_OVERRIDE=FQ","FILING_STATUS=OR","EQY_CONSOLIDATED=Y","Sort=A","Dates=H","DateFormat=P","Fill=—","Direction=H","UseDPDF=Y")</f>
        <v>#NAME?</v>
      </c>
      <c r="BU262" s="2" t="e">
        <f ca="1">_xll.BDH($C$253,"TOTAL_EQUITY_SEQUENTIAL_GROWTH","FQ4 2015","FQ4 2015","Currency=INR","Period=FQ","BEST_FPERIOD_OVERRIDE=FQ","FILING_STATUS=OR","EQY_CONSOLIDATED=Y","Sort=A","Dates=H","DateFormat=P","Fill=—","Direction=H","UseDPDF=Y")</f>
        <v>#NAME?</v>
      </c>
      <c r="BV262" s="2" t="e">
        <f ca="1">_xll.BDH($C$253,"TOTAL_CAPITAL_SEQUENTIAL_GROWTH","FQ4 2015","FQ4 2015","Currency=INR","Period=FQ","BEST_FPERIOD_OVERRIDE=FQ","FILING_STATUS=OR","EQY_CONSOLIDATED=Y","Sort=A","Dates=H","DateFormat=P","Fill=—","Direction=H","UseDPDF=Y")</f>
        <v>#NAME?</v>
      </c>
      <c r="BW262" s="2" t="e">
        <f ca="1">_xll.BDH($C$253,"BPS_SEQUENTIAL_GROWTH","FQ4 2015","FQ4 2015","Currency=INR","Period=FQ","BEST_FPERIOD_OVERRIDE=FQ","FILING_STATUS=OR","EQY_CONSOLIDATED=Y","Sort=A","Dates=H","DateFormat=P","Fill=—","Direction=H","UseDPDF=Y")</f>
        <v>#NAME?</v>
      </c>
      <c r="BX262" s="2" t="e">
        <f ca="1">_xll.BDH($C$253,"CFO_SEQUENTIAL_GROWTH","FQ4 2015","FQ4 2015","Currency=INR","Period=FQ","BEST_FPERIOD_OVERRIDE=FQ","FILING_STATUS=OR","EQY_CONSOLIDATED=Y","Sort=A","Dates=H","DateFormat=P","Fill=—","Direction=H","UseDPDF=Y")</f>
        <v>#NAME?</v>
      </c>
      <c r="BY262" s="3" t="e">
        <f ca="1">_xll.BDH($C$253,"SHORT_AND_LONG_TERM_DEBT","FQ4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262" s="3" t="e">
        <f ca="1">_xll.BDH($C$253,"BS_ST_BORROW","FQ4 2015","FQ4 2015","Currency=INR","Period=FQ","BEST_FPERIOD_OVERRIDE=FQ","FILING_STATUS=OR","EQY_CONSOLIDATED=Y","SCALING_FORMAT=MLN","Sort=A","Dates=H","DateFormat=P","Fill=—","Direction=H","UseDPDF=Y")</f>
        <v>#NAME?</v>
      </c>
      <c r="CA262" s="3" t="e">
        <f ca="1">_xll.BDH($C$253,"BS_LT_BORROW","FQ4 2015","FQ4 2015","Currency=INR","Period=FQ","BEST_FPERIOD_OVERRIDE=FQ","FILING_STATUS=OR","EQY_CONSOLIDATED=Y","SCALING_FORMAT=MLN","Sort=A","Dates=H","DateFormat=P","Fill=—","Direction=H","UseDPDF=Y")</f>
        <v>#NAME?</v>
      </c>
      <c r="CB262" s="2" t="e">
        <f ca="1">_xll.BDH($C$253,"TOT_DEBT_TO_EBITDA","FQ4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262" s="2" t="e">
        <f ca="1">_xll.BDH($C$253,"NET_DEBT_TO_EBITDA","FQ4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262" s="2" t="e">
        <f ca="1">_xll.BDH($C$253,"TOTAL_DEBT_TO_EBIT","FQ4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262" s="2" t="e">
        <f ca="1">_xll.BDH($C$253,"NET_DEBT_TO_EBIT","FQ4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262" s="2" t="e">
        <f ca="1">_xll.BDH($C$253,"EBITDA_TO_INTEREST_EXPN","FQ4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262" s="2" t="e">
        <f ca="1">_xll.BDH($C$253,"COM_EQY_TO_TOT_ASSET","FQ4 2015","FQ4 2015","Currency=INR","Period=FQ","BEST_FPERIOD_OVERRIDE=FQ","FILING_STATUS=OR","EQY_CONSOLIDATED=Y","Sort=A","Dates=H","DateFormat=P","Fill=—","Direction=H","UseDPDF=Y")</f>
        <v>#NAME?</v>
      </c>
      <c r="CH262" s="2" t="e">
        <f ca="1">_xll.BDH($C$253,"LT_DEBT_TO_TOT_EQY","FQ4 2015","FQ4 2015","Currency=INR","Period=FQ","BEST_FPERIOD_OVERRIDE=FQ","FILING_STATUS=OR","EQY_CONSOLIDATED=Y","Sort=A","Dates=H","DateFormat=P","Fill=—","Direction=H","UseDPDF=Y")</f>
        <v>#NAME?</v>
      </c>
      <c r="CI262" s="2" t="e">
        <f ca="1">_xll.BDH($C$253,"LT_DEBT_TO_TOT_CAP","FQ4 2015","FQ4 2015","Currency=INR","Period=FQ","BEST_FPERIOD_OVERRIDE=FQ","FILING_STATUS=OR","EQY_CONSOLIDATED=Y","Sort=A","Dates=H","DateFormat=P","Fill=—","Direction=H","UseDPDF=Y")</f>
        <v>#NAME?</v>
      </c>
      <c r="CJ262" s="2" t="e">
        <f ca="1">_xll.BDH($C$253,"LT_DEBT_TO_TOT_ASSET","FQ4 2015","FQ4 2015","Currency=INR","Period=FQ","BEST_FPERIOD_OVERRIDE=FQ","FILING_STATUS=OR","EQY_CONSOLIDATED=Y","Sort=A","Dates=H","DateFormat=P","Fill=—","Direction=H","UseDPDF=Y")</f>
        <v>#NAME?</v>
      </c>
      <c r="CK262" s="2" t="e">
        <f ca="1">_xll.BDH($C$253,"TOT_DEBT_TO_TOT_EQY","FQ4 2015","FQ4 2015","Currency=INR","Period=FQ","BEST_FPERIOD_OVERRIDE=FQ","FILING_STATUS=OR","EQY_CONSOLIDATED=Y","Sort=A","Dates=H","DateFormat=P","Fill=—","Direction=H","UseDPDF=Y")</f>
        <v>#NAME?</v>
      </c>
      <c r="CL262" s="2" t="e">
        <f ca="1">_xll.BDH($C$253,"TOT_DEBT_TO_TOT_CAP","FQ4 2015","FQ4 2015","Currency=INR","Period=FQ","BEST_FPERIOD_OVERRIDE=FQ","FILING_STATUS=OR","EQY_CONSOLIDATED=Y","Sort=A","Dates=H","DateFormat=P","Fill=—","Direction=H","UseDPDF=Y")</f>
        <v>#NAME?</v>
      </c>
      <c r="CM262" s="2" t="e">
        <f ca="1">_xll.BDH($C$253,"TOT_DEBT_TO_TOT_ASSET","FQ4 2015","FQ4 2015","Currency=INR","Period=FQ","BEST_FPERIOD_OVERRIDE=FQ","FILING_STATUS=OR","EQY_CONSOLIDATED=Y","Sort=A","Dates=H","DateFormat=P","Fill=—","Direction=H","UseDPDF=Y")</f>
        <v>#NAME?</v>
      </c>
      <c r="CN262" s="2" t="e">
        <f ca="1">_xll.BDH($C$253,"NET_DEBT_TO_SHRHLDR_EQTY","FQ4 2015","FQ4 2015","Currency=INR","Period=FQ","BEST_FPERIOD_OVERRIDE=FQ","FILING_STATUS=OR","EQY_CONSOLIDATED=Y","Sort=A","Dates=H","DateFormat=P","Fill=—","Direction=H","UseDPDF=Y")</f>
        <v>#NAME?</v>
      </c>
      <c r="CO262" s="2" t="e">
        <f ca="1">_xll.BDH($C$253,"NET_DEBT_%_CAPITAL","FQ4 2015","FQ4 2015","Currency=INR","Period=FQ","BEST_FPERIOD_OVERRIDE=FQ","FILING_STATUS=OR","EQY_CONSOLIDATED=Y","Sort=A","Dates=H","DateFormat=P","Fill=—","Direction=H","UseDPDF=Y")</f>
        <v>#NAME?</v>
      </c>
      <c r="CP262" s="3" t="e">
        <f ca="1">_xll.BDH($C$253,"EBITDA","FQ4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262" s="3" t="e">
        <f ca="1">_xll.BDH($C$253,"EBITDA_AFTER_CAPEX","FQ4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262" s="3" t="e">
        <f ca="1">_xll.BDH($C$253,"IS_OPER_INC","FQ4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262" s="2" t="e">
        <f ca="1">_xll.BDH($C$253,"CASH_RATIO","FQ4 2015","FQ4 2015","Currency=INR","Period=FQ","BEST_FPERIOD_OVERRIDE=FQ","FILING_STATUS=OR","EQY_CONSOLIDATED=Y","Sort=A","Dates=H","DateFormat=P","Fill=—","Direction=H","UseDPDF=Y")</f>
        <v>#NAME?</v>
      </c>
      <c r="CT262" s="2" t="e">
        <f ca="1">_xll.BDH($C$253,"CUR_RATIO","FQ4 2015","FQ4 2015","Currency=INR","Period=FQ","BEST_FPERIOD_OVERRIDE=FQ","FILING_STATUS=OR","EQY_CONSOLIDATED=Y","Sort=A","Dates=H","DateFormat=P","Fill=—","Direction=H","UseDPDF=Y")</f>
        <v>#NAME?</v>
      </c>
      <c r="CU262" s="2" t="e">
        <f ca="1">_xll.BDH($C$253,"QUICK_RATIO","FQ4 2015","FQ4 2015","Currency=INR","Period=FQ","BEST_FPERIOD_OVERRIDE=FQ","FILING_STATUS=OR","EQY_CONSOLIDATED=Y","Sort=A","Dates=H","DateFormat=P","Fill=—","Direction=H","UseDPDF=Y")</f>
        <v>#NAME?</v>
      </c>
      <c r="CV262" s="2" t="e">
        <f ca="1">_xll.BDH($C$253,"ALTMAN_Z_SCORE","FQ4 2015","FQ4 2015","Currency=INR","Period=FQ","BEST_FPERIOD_OVERRIDE=FQ","FILING_STATUS=OR","EQY_CONSOLIDATED=Y","Sort=A","Dates=H","DateFormat=P","Fill=—","Direction=H","UseDPDF=Y")</f>
        <v>#NAME?</v>
      </c>
      <c r="CW262" s="4" t="e">
        <f ca="1">_xll.BDH($C$253,"ACCT_RCV_TURN","FQ4 2015","FQ4 2015","Currency=INR","Period=FQ","BEST_FPERIOD_OVERRIDE=FQ","FILING_STATUS=OR","EQY_CONSOLIDATED=Y","FA_ADJUSTED=GAAP","Sort=A","Dates=H","DateFormat=P","Fill=—","Direction=H","UseDPDF=Y")</f>
        <v>#NAME?</v>
      </c>
      <c r="CX262" s="2" t="e">
        <f ca="1">_xll.BDH($C$253,"ACCT_RCV_DAYS","FQ4 2015","FQ4 2015","Currency=INR","Period=FQ","BEST_FPERIOD_OVERRIDE=FQ","FILING_STATUS=OR","EQY_CONSOLIDATED=Y","FA_ADJUSTED=GAAP","Sort=A","Dates=H","DateFormat=P","Fill=—","Direction=H","UseDPDF=Y")</f>
        <v>#NAME?</v>
      </c>
      <c r="CY262" s="4" t="e">
        <f ca="1">_xll.BDH($C$253,"INVENT_TURN","FQ4 2015","FQ4 2015","Currency=INR","Period=FQ","BEST_FPERIOD_OVERRIDE=FQ","FILING_STATUS=OR","EQY_CONSOLIDATED=Y","FA_ADJUSTED=GAAP","Sort=A","Dates=H","DateFormat=P","Fill=—","Direction=H","UseDPDF=Y")</f>
        <v>#NAME?</v>
      </c>
      <c r="CZ262" s="2" t="e">
        <f ca="1">_xll.BDH($C$253,"INVENT_DAYS","FQ4 2015","FQ4 2015","Currency=INR","Period=FQ","BEST_FPERIOD_OVERRIDE=FQ","FILING_STATUS=OR","EQY_CONSOLIDATED=Y","FA_ADJUSTED=GAAP","Sort=A","Dates=H","DateFormat=P","Fill=—","Direction=H","UseDPDF=Y")</f>
        <v>#NAME?</v>
      </c>
      <c r="DA262" s="4" t="e">
        <f ca="1">_xll.BDH($C$253,"ACCOUNTS_PAYABLE_TURNOVER","FQ4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262" s="2" t="e">
        <f ca="1">_xll.BDH($C$253,"ACCOUNTS_PAYABLE_TURNOVER_DAYS","FQ4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262" s="4" t="e">
        <f ca="1">_xll.BDH($C$253,"CASH_CONVERSION_CYCLE","FQ4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262" s="4" t="e">
        <f ca="1">_xll.BDH($C$253,"INV_TO_CASH_DAYS","FQ4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262" s="5" t="e">
        <f ca="1">_xll.BDH($C$253,"BS_INVENTORIES","FQ4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262" s="3" t="e">
        <f ca="1">_xll.BDH($C$253,"INVTRY_RAW_MATERIALS","FQ4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262" s="3" t="e">
        <f ca="1">_xll.BDH($C$253,"INVTRY_IN_PROGRESS","FQ4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262" s="3" t="e">
        <f ca="1">_xll.BDH($C$253,"INVTRY_FINISHED_GOODS","FQ4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262" s="3" t="e">
        <f ca="1">_xll.BDH($C$253,"BS_OTHER_INV","FQ4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263" spans="1:113" x14ac:dyDescent="0.3">
      <c r="A263" s="6"/>
      <c r="B263" s="6"/>
      <c r="C263" s="6"/>
      <c r="D263" s="6" t="s">
        <v>83</v>
      </c>
      <c r="E263" t="s">
        <v>77</v>
      </c>
      <c r="F263" t="e">
        <f ca="1">_xll.BDH($C$253,"RETURN_COM_EQY","FY 2016","FY 2016","Currency=INR","Period=FY","BEST_FPERIOD_OVERRIDE=FY","FILING_STATUS=OR","EQY_CONSOLIDATED=Y","FA_ADJUSTED=GAAP","Sort=A","Dates=H","DateFormat=P","Fill=—","Direction=H","UseDPDF=Y")</f>
        <v>#NAME?</v>
      </c>
      <c r="G263" t="e">
        <f ca="1">_xll.BDH($C$253,"RETURN_ON_ASSET","FY 2016","FY 2016","Currency=INR","Period=FY","BEST_FPERIOD_OVERRIDE=FY","FILING_STATUS=OR","EQY_CONSOLIDATED=Y","FA_ADJUSTED=GAAP","Sort=A","Dates=H","DateFormat=P","Fill=—","Direction=H","UseDPDF=Y")</f>
        <v>#NAME?</v>
      </c>
      <c r="H263" t="e">
        <f ca="1">_xll.BDH($C$253,"RETURN_ON_CAP","FY 2016","FY 2016","Currency=INR","Period=FY","BEST_FPERIOD_OVERRIDE=FY","FILING_STATUS=OR","EQY_CONSOLIDATED=Y","FA_ADJUSTED=GAAP","Sort=A","Dates=H","DateFormat=P","Fill=—","Direction=H","UseDPDF=Y")</f>
        <v>#NAME?</v>
      </c>
      <c r="I263" t="e">
        <f ca="1">_xll.BDH($C$253,"RETURN_ON_INV_CAPITAL","FY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263" t="e">
        <f ca="1">_xll.BDH($C$253,"EBITDA_TO_REVENUE","FY 2016","FY 2016","Currency=INR","Period=FY","BEST_FPERIOD_OVERRIDE=FY","FILING_STATUS=OR","EQY_CONSOLIDATED=Y","FA_ADJUSTED=GAAP","Sort=A","Dates=H","DateFormat=P","Fill=—","Direction=H","UseDPDF=Y")</f>
        <v>#NAME?</v>
      </c>
      <c r="K263" t="e">
        <f ca="1">_xll.BDH($C$253,"OPER_MARGIN","FY 2016","FY 2016","Currency=INR","Period=FY","BEST_FPERIOD_OVERRIDE=FY","FILING_STATUS=OR","EQY_CONSOLIDATED=Y","FA_ADJUSTED=GAAP","Sort=A","Dates=H","DateFormat=P","Fill=—","Direction=H","UseDPDF=Y")</f>
        <v>#NAME?</v>
      </c>
      <c r="L263" t="e">
        <f ca="1">_xll.BDH($C$253,"INCREMENTAL_OPERATING_MARGIN","FY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263" t="e">
        <f ca="1">_xll.BDH($C$253,"PRETAX_INC_TO_NET_SALES","FY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263" t="e">
        <f ca="1">_xll.BDH($C$253,"INC_BEF_XO_ITEMS_TO_NET_SALES","FY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263" t="e">
        <f ca="1">_xll.BDH($C$253,"PROF_MARGIN","FY 2016","FY 2016","Currency=INR","Period=FY","BEST_FPERIOD_OVERRIDE=FY","FILING_STATUS=OR","EQY_CONSOLIDATED=Y","FA_ADJUSTED=GAAP","Sort=A","Dates=H","DateFormat=P","Fill=—","Direction=H","UseDPDF=Y")</f>
        <v>#NAME?</v>
      </c>
      <c r="P263" t="e">
        <f ca="1">_xll.BDH($C$253,"NET_INCOME_TO_COMMON_MARGIN","FY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263" t="e">
        <f ca="1">_xll.BDH($C$253,"EFF_TAX_RATE","FY 2016","FY 2016","Currency=INR","Period=FY","BEST_FPERIOD_OVERRIDE=FY","FILING_STATUS=OR","EQY_CONSOLIDATED=Y","FA_ADJUSTED=GAAP","Sort=A","Dates=H","DateFormat=P","Fill=—","Direction=H","UseDPDF=Y")</f>
        <v>#NAME?</v>
      </c>
      <c r="R263" t="e">
        <f ca="1">_xll.BDH($C$253,"DVD_PAYOUT_RATIO","FY 2016","FY 2016","Currency=INR","Period=FY","BEST_FPERIOD_OVERRIDE=FY","FILING_STATUS=OR","EQY_CONSOLIDATED=Y","FA_ADJUSTED=GAAP","Sort=A","Dates=H","DateFormat=P","Fill=—","Direction=H","UseDPDF=Y")</f>
        <v>#NAME?</v>
      </c>
      <c r="S263" t="e">
        <f ca="1">_xll.BDH($C$253,"SUSTAIN_GROWTH_RT","FY 2016","FY 2016","Currency=INR","Period=FY","BEST_FPERIOD_OVERRIDE=FY","FILING_STATUS=OR","EQY_CONSOLIDATED=Y","FA_ADJUSTED=GAAP","Sort=A","Dates=H","DateFormat=P","Fill=—","Direction=H","UseDPDF=Y")</f>
        <v>#NAME?</v>
      </c>
      <c r="T263" s="2" t="e">
        <f ca="1">_xll.BDH($C$253,"SALES_GROWTH","FY 2016","FY 2016","Currency=INR","Period=FY","BEST_FPERIOD_OVERRIDE=FY","FILING_STATUS=OR","EQY_CONSOLIDATED=Y","FA_ADJUSTED=GAAP","Sort=A","Dates=H","DateFormat=P","Fill=—","Direction=H","UseDPDF=Y")</f>
        <v>#NAME?</v>
      </c>
      <c r="U263" s="2" t="e">
        <f ca="1">_xll.BDH($C$253,"EBITDA_GROWTH","FY 2016","FY 2016","Currency=INR","Period=FY","BEST_FPERIOD_OVERRIDE=FY","FILING_STATUS=OR","EQY_CONSOLIDATED=Y","FA_ADJUSTED=GAAP","Sort=A","Dates=H","DateFormat=P","Fill=—","Direction=H","UseDPDF=Y")</f>
        <v>#NAME?</v>
      </c>
      <c r="V263" s="2" t="e">
        <f ca="1">_xll.BDH($C$253,"OPER_INC_GROWTH","FY 2016","FY 2016","Currency=INR","Period=FY","BEST_FPERIOD_OVERRIDE=FY","FILING_STATUS=OR","EQY_CONSOLIDATED=Y","FA_ADJUSTED=GAAP","Sort=A","Dates=H","DateFormat=P","Fill=—","Direction=H","UseDPDF=Y")</f>
        <v>#NAME?</v>
      </c>
      <c r="W263" s="2" t="e">
        <f ca="1">_xll.BDH($C$253,"EARN_FOR_COM_GROWTH","FY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263" s="2" t="e">
        <f ca="1">_xll.BDH($C$253,"DILUTED_EPS_AFT_XO_ITEMS_GROWTH","FY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263" s="2" t="e">
        <f ca="1">_xll.BDH($C$253,"DIVIDEND_PER_SHARE_1_YEAR_GROWTH","FY 2016","FY 2016","Currency=INR","Period=FY","BEST_FPERIOD_OVERRIDE=FY","FILING_STATUS=OR","EQY_CONSOLIDATED=Y","Sort=A","Dates=H","DateFormat=P","Fill=—","Direction=H","UseDPDF=Y")</f>
        <v>#NAME?</v>
      </c>
      <c r="Z263" s="2" t="e">
        <f ca="1">_xll.BDH($C$253,"ACCOUNTS_RECEIVABLE_GROWTH","FY 2016","FY 2016","Currency=INR","Period=FY","BEST_FPERIOD_OVERRIDE=FY","FILING_STATUS=OR","EQY_CONSOLIDATED=Y","Sort=A","Dates=H","DateFormat=P","Fill=—","Direction=H","UseDPDF=Y")</f>
        <v>#NAME?</v>
      </c>
      <c r="AA263" s="2" t="e">
        <f ca="1">_xll.BDH($C$253,"INVENTORY_GROWTH","FY 2016","FY 2016","Currency=INR","Period=FY","BEST_FPERIOD_OVERRIDE=FY","FILING_STATUS=OR","EQY_CONSOLIDATED=Y","Sort=A","Dates=H","DateFormat=P","Fill=—","Direction=H","UseDPDF=Y")</f>
        <v>#NAME?</v>
      </c>
      <c r="AB263" s="2" t="e">
        <f ca="1">_xll.BDH($C$253,"NET_FIXED_ASSETS_1_YEAR_GROWTH","FY 2016","FY 2016","Currency=INR","Period=FY","BEST_FPERIOD_OVERRIDE=FY","FILING_STATUS=OR","EQY_CONSOLIDATED=Y","Sort=A","Dates=H","DateFormat=P","Fill=—","Direction=H","UseDPDF=Y")</f>
        <v>#NAME?</v>
      </c>
      <c r="AC263" s="2" t="e">
        <f ca="1">_xll.BDH($C$253,"ASSET_GROWTH","FY 2016","FY 2016","Currency=INR","Period=FY","BEST_FPERIOD_OVERRIDE=FY","FILING_STATUS=OR","EQY_CONSOLIDATED=Y","Sort=A","Dates=H","DateFormat=P","Fill=—","Direction=H","UseDPDF=Y")</f>
        <v>#NAME?</v>
      </c>
      <c r="AD263" s="2" t="e">
        <f ca="1">_xll.BDH($C$253,"MODIFIED_WORK_CAP_GROWTH","FY 2016","FY 2016","Currency=INR","Period=FY","BEST_FPERIOD_OVERRIDE=FY","FILING_STATUS=OR","EQY_CONSOLIDATED=Y","Sort=A","Dates=H","DateFormat=P","Fill=—","Direction=H","UseDPDF=Y")</f>
        <v>#NAME?</v>
      </c>
      <c r="AE263" s="2" t="e">
        <f ca="1">_xll.BDH($C$253,"WORK_CAP_GROWTH","FY 2016","FY 2016","Currency=INR","Period=FY","BEST_FPERIOD_OVERRIDE=FY","FILING_STATUS=OR","EQY_CONSOLIDATED=Y","Sort=A","Dates=H","DateFormat=P","Fill=—","Direction=H","UseDPDF=Y")</f>
        <v>#NAME?</v>
      </c>
      <c r="AF263" s="2" t="e">
        <f ca="1">_xll.BDH($C$253,"ACCOUNTS_PAYABLE_GROWTH_1YR","FY 2016","FY 2016","Currency=INR","Period=FY","BEST_FPERIOD_OVERRIDE=FY","FILING_STATUS=OR","EQY_CONSOLIDATED=Y","Sort=A","Dates=H","DateFormat=P","Fill=—","Direction=H","UseDPDF=Y")</f>
        <v>#NAME?</v>
      </c>
      <c r="AG263" s="2" t="e">
        <f ca="1">_xll.BDH($C$253,"SHORT_TERM_DEBT_1_YEAR_GROWTH","FY 2016","FY 2016","Currency=INR","Period=FY","BEST_FPERIOD_OVERRIDE=FY","FILING_STATUS=OR","EQY_CONSOLIDATED=Y","Sort=A","Dates=H","DateFormat=P","Fill=—","Direction=H","UseDPDF=Y")</f>
        <v>#NAME?</v>
      </c>
      <c r="AH263" s="2" t="e">
        <f ca="1">_xll.BDH($C$253,"TOTAL_DEBT_1_YEAR_GROWTH","FY 2016","FY 2016","Currency=INR","Period=FY","BEST_FPERIOD_OVERRIDE=FY","FILING_STATUS=OR","EQY_CONSOLIDATED=Y","Sort=A","Dates=H","DateFormat=P","Fill=—","Direction=H","UseDPDF=Y")</f>
        <v>#NAME?</v>
      </c>
      <c r="AI263" s="2" t="e">
        <f ca="1">_xll.BDH($C$253,"TOTAL_EQUITY_1_YEAR_GROWTH","FY 2016","FY 2016","Currency=INR","Period=FY","BEST_FPERIOD_OVERRIDE=FY","FILING_STATUS=OR","EQY_CONSOLIDATED=Y","Sort=A","Dates=H","DateFormat=P","Fill=—","Direction=H","UseDPDF=Y")</f>
        <v>#NAME?</v>
      </c>
      <c r="AJ263" s="2" t="e">
        <f ca="1">_xll.BDH($C$253,"GROWTH_IN_CAP","FY 2016","FY 2016","Currency=INR","Period=FY","BEST_FPERIOD_OVERRIDE=FY","FILING_STATUS=OR","EQY_CONSOLIDATED=Y","Sort=A","Dates=H","DateFormat=P","Fill=—","Direction=H","UseDPDF=Y")</f>
        <v>#NAME?</v>
      </c>
      <c r="AK263" s="2" t="e">
        <f ca="1">_xll.BDH($C$253,"BVPS_GROWTH","FY 2016","FY 2016","Currency=INR","Period=FY","BEST_FPERIOD_OVERRIDE=FY","FILING_STATUS=OR","EQY_CONSOLIDATED=Y","Sort=A","Dates=H","DateFormat=P","Fill=—","Direction=H","UseDPDF=Y")</f>
        <v>#NAME?</v>
      </c>
      <c r="AL263" s="2" t="e">
        <f ca="1">_xll.BDH($C$253,"CASH_FLOW_GROWTH","FY 2016","FY 2016","Currency=INR","Period=FY","BEST_FPERIOD_OVERRIDE=FY","FILING_STATUS=OR","EQY_CONSOLIDATED=Y","Sort=A","Dates=H","DateFormat=P","Fill=—","Direction=H","UseDPDF=Y")</f>
        <v>#NAME?</v>
      </c>
      <c r="AM263" s="2" t="e">
        <f ca="1">_xll.BDH($C$253,"GEO_GROW_NET_SALES","FY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263" s="2" t="e">
        <f ca="1">_xll.BDH($C$253,"GEO_GROW_EBITDA","FY 2016","FY 2016","Currency=INR","Period=FY","BEST_FPERIOD_OVERRIDE=FY","FILING_STATUS=OR","EQY_CONSOLIDATED=Y","FA_ADJUSTED=GAAP","Sort=A","Dates=H","DateFormat=P","Fill=—","Direction=H","UseDPDF=Y")</f>
        <v>#NAME?</v>
      </c>
      <c r="AO263" s="2" t="e">
        <f ca="1">_xll.BDH($C$253,"GEO_GROW_OPER_INC","FY 2016","FY 2016","Currency=INR","Period=FY","BEST_FPERIOD_OVERRIDE=FY","FILING_STATUS=OR","EQY_CONSOLIDATED=Y","FA_ADJUSTED=GAAP","Sort=A","Dates=H","DateFormat=P","Fill=—","Direction=H","UseDPDF=Y")</f>
        <v>#NAME?</v>
      </c>
      <c r="AP263" s="2" t="e">
        <f ca="1">_xll.BDH($C$253,"NET_INCOME_TO_COMMON_5_YR_GROWTH","FY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263" s="2" t="e">
        <f ca="1">_xll.BDH($C$253,"5Y_GEO_GROWTH_DILUTED_EPS","FY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263" s="2" t="e">
        <f ca="1">_xll.BDH($C$253,"GEO_GROW_DVD_PER_SH","FY 2016","FY 2016","Currency=INR","Period=FY","BEST_FPERIOD_OVERRIDE=FY","FILING_STATUS=OR","EQY_CONSOLIDATED=Y","Sort=A","Dates=H","DateFormat=P","Fill=—","Direction=H","UseDPDF=Y")</f>
        <v>#NAME?</v>
      </c>
      <c r="AS263" s="2" t="e">
        <f ca="1">_xll.BDH($C$253,"ACCOUNTS_RECEIVABLE_5_YR_GROWTH","FY 2016","FY 2016","Currency=INR","Period=FY","BEST_FPERIOD_OVERRIDE=FY","FILING_STATUS=OR","EQY_CONSOLIDATED=Y","Sort=A","Dates=H","DateFormat=P","Fill=—","Direction=H","UseDPDF=Y")</f>
        <v>#NAME?</v>
      </c>
      <c r="AT263" s="2" t="e">
        <f ca="1">_xll.BDH($C$253,"INVENTORY_5_YEAR_GROWTH","FY 2016","FY 2016","Currency=INR","Period=FY","BEST_FPERIOD_OVERRIDE=FY","FILING_STATUS=OR","EQY_CONSOLIDATED=Y","Sort=A","Dates=H","DateFormat=P","Fill=—","Direction=H","UseDPDF=Y")</f>
        <v>#NAME?</v>
      </c>
      <c r="AU263" s="2" t="e">
        <f ca="1">_xll.BDH($C$253,"NET_FIXED_ASSETS_5_YEAR_GROWTH","FY 2016","FY 2016","Currency=INR","Period=FY","BEST_FPERIOD_OVERRIDE=FY","FILING_STATUS=OR","EQY_CONSOLIDATED=Y","Sort=A","Dates=H","DateFormat=P","Fill=—","Direction=H","UseDPDF=Y")</f>
        <v>#NAME?</v>
      </c>
      <c r="AV263" s="2" t="e">
        <f ca="1">_xll.BDH($C$253,"GEO_GROW_TOT_ASSET","FY 2016","FY 2016","Currency=INR","Period=FY","BEST_FPERIOD_OVERRIDE=FY","FILING_STATUS=OR","EQY_CONSOLIDATED=Y","Sort=A","Dates=H","DateFormat=P","Fill=—","Direction=H","UseDPDF=Y")</f>
        <v>#NAME?</v>
      </c>
      <c r="AW263" s="2" t="e">
        <f ca="1">_xll.BDH($C$253,"MODIFIED_WORKING_CPTL_5YR_GRWTH","FY 2016","FY 2016","Currency=INR","Period=FY","BEST_FPERIOD_OVERRIDE=FY","FILING_STATUS=OR","EQY_CONSOLIDATED=Y","Sort=A","Dates=H","DateFormat=P","Fill=—","Direction=H","UseDPDF=Y")</f>
        <v>#NAME?</v>
      </c>
      <c r="AX263" s="2" t="e">
        <f ca="1">_xll.BDH($C$253,"WORKING_CAPITAL_5_YEAR_GROWTH","FY 2016","FY 2016","Currency=INR","Period=FY","BEST_FPERIOD_OVERRIDE=FY","FILING_STATUS=OR","EQY_CONSOLIDATED=Y","Sort=A","Dates=H","DateFormat=P","Fill=—","Direction=H","UseDPDF=Y")</f>
        <v>#NAME?</v>
      </c>
      <c r="AY263" s="2" t="e">
        <f ca="1">_xll.BDH($C$253,"ACCOUNTS_PAYABLE_5_YEAR_GROWTH","FY 2016","FY 2016","Currency=INR","Period=FY","BEST_FPERIOD_OVERRIDE=FY","FILING_STATUS=OR","EQY_CONSOLIDATED=Y","Sort=A","Dates=H","DateFormat=P","Fill=—","Direction=H","UseDPDF=Y")</f>
        <v>#NAME?</v>
      </c>
      <c r="AZ263" s="2" t="e">
        <f ca="1">_xll.BDH($C$253,"SHORT_TERM_DEBT_5_YEAR_GROWTH","FY 2016","FY 2016","Currency=INR","Period=FY","BEST_FPERIOD_OVERRIDE=FY","FILING_STATUS=OR","EQY_CONSOLIDATED=Y","Sort=A","Dates=H","DateFormat=P","Fill=—","Direction=H","UseDPDF=Y")</f>
        <v>#NAME?</v>
      </c>
      <c r="BA263" s="2" t="e">
        <f ca="1">_xll.BDH($C$253,"TOTAL_DEBT_5_YEAR_GROWTH","FY 2016","FY 2016","Currency=INR","Period=FY","BEST_FPERIOD_OVERRIDE=FY","FILING_STATUS=OR","EQY_CONSOLIDATED=Y","Sort=A","Dates=H","DateFormat=P","Fill=—","Direction=H","UseDPDF=Y")</f>
        <v>#NAME?</v>
      </c>
      <c r="BB263" s="2" t="e">
        <f ca="1">_xll.BDH($C$253,"GEO_GROW_TOT_SHRHLDR_EQY","FY 2016","FY 2016","Currency=INR","Period=FY","BEST_FPERIOD_OVERRIDE=FY","FILING_STATUS=OR","EQY_CONSOLIDATED=Y","Sort=A","Dates=H","DateFormat=P","Fill=—","Direction=H","UseDPDF=Y")</f>
        <v>#NAME?</v>
      </c>
      <c r="BC263" s="2" t="e">
        <f ca="1">_xll.BDH($C$253,"TOTAL_CAPITAL_5_YEAR_GROWTH","FY 2016","FY 2016","Currency=INR","Period=FY","BEST_FPERIOD_OVERRIDE=FY","FILING_STATUS=OR","EQY_CONSOLIDATED=Y","Sort=A","Dates=H","DateFormat=P","Fill=—","Direction=H","UseDPDF=Y")</f>
        <v>#NAME?</v>
      </c>
      <c r="BD263" s="2" t="e">
        <f ca="1">_xll.BDH($C$253,"GEO_GROW_BOOK_VAL","FY 2016","FY 2016","Currency=INR","Period=FY","BEST_FPERIOD_OVERRIDE=FY","FILING_STATUS=OR","EQY_CONSOLIDATED=Y","Sort=A","Dates=H","DateFormat=P","Fill=—","Direction=H","UseDPDF=Y")</f>
        <v>#NAME?</v>
      </c>
      <c r="BE263" s="2" t="e">
        <f ca="1">_xll.BDH($C$253,"GEO_GROW_CASH_OPER_ACT","FY 2016","FY 2016","Currency=INR","Period=FY","BEST_FPERIOD_OVERRIDE=FY","FILING_STATUS=OR","EQY_CONSOLIDATED=Y","Sort=A","Dates=H","DateFormat=P","Fill=—","Direction=H","UseDPDF=Y")</f>
        <v>#NAME?</v>
      </c>
      <c r="BF263" s="2" t="e">
        <f ca="1">_xll.BDH($C$253,"REVENUE_SEQUENTIAL_GROWTH","FY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263" s="2" t="e">
        <f ca="1">_xll.BDH($C$253,"EBITDA_SEQUENTIAL_GROWTH","FY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263" s="2" t="e">
        <f ca="1">_xll.BDH($C$253,"OPERATING_INCOME_SEQ_GROWTH","FY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263" s="2" t="e">
        <f ca="1">_xll.BDH($C$253,"NET_INCOME_TO_COMMON_SEQ_GROWTH","FY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263" s="2" t="e">
        <f ca="1">_xll.BDH($C$253,"EPS_DILUTED_SEQUENTIAL_GROWTH","FY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263" s="2" t="e">
        <f ca="1">_xll.BDH($C$253,"DPS_SEQUENTIAL_GROWTH","FY 2016","FY 2016","Currency=INR","Period=FY","BEST_FPERIOD_OVERRIDE=FY","FILING_STATUS=OR","EQY_CONSOLIDATED=Y","Sort=A","Dates=H","DateFormat=P","Fill=—","Direction=H","UseDPDF=Y")</f>
        <v>#NAME?</v>
      </c>
      <c r="BL263" s="2" t="e">
        <f ca="1">_xll.BDH($C$253,"ACCOUNTS_RECEIVABLE_SEQ_GROWTH","FY 2016","FY 2016","Currency=INR","Period=FY","BEST_FPERIOD_OVERRIDE=FY","FILING_STATUS=OR","EQY_CONSOLIDATED=Y","Sort=A","Dates=H","DateFormat=P","Fill=—","Direction=H","UseDPDF=Y")</f>
        <v>#NAME?</v>
      </c>
      <c r="BM263" s="2" t="e">
        <f ca="1">_xll.BDH($C$253,"INVENTORY_SEQUENTIAL_GROWTH","FY 2016","FY 2016","Currency=INR","Period=FY","BEST_FPERIOD_OVERRIDE=FY","FILING_STATUS=OR","EQY_CONSOLIDATED=Y","Sort=A","Dates=H","DateFormat=P","Fill=—","Direction=H","UseDPDF=Y")</f>
        <v>#NAME?</v>
      </c>
      <c r="BN263" s="2" t="e">
        <f ca="1">_xll.BDH($C$253,"FIXED_ASSETS_SEQUENTIAL_GROWTH","FY 2016","FY 2016","Currency=INR","Period=FY","BEST_FPERIOD_OVERRIDE=FY","FILING_STATUS=OR","EQY_CONSOLIDATED=Y","Sort=A","Dates=H","DateFormat=P","Fill=—","Direction=H","UseDPDF=Y")</f>
        <v>#NAME?</v>
      </c>
      <c r="BO263" s="2" t="e">
        <f ca="1">_xll.BDH($C$253,"TOTAL_ASSETS_SEQUENTIAL_GROWTH","FY 2016","FY 2016","Currency=INR","Period=FY","BEST_FPERIOD_OVERRIDE=FY","FILING_STATUS=OR","EQY_CONSOLIDATED=Y","Sort=A","Dates=H","DateFormat=P","Fill=—","Direction=H","UseDPDF=Y")</f>
        <v>#NAME?</v>
      </c>
      <c r="BP263" s="2" t="e">
        <f ca="1">_xll.BDH($C$253,"MODIFIED_WORKING_CPTL_SEQ_GRWTH","FY 2016","FY 2016","Currency=INR","Period=FY","BEST_FPERIOD_OVERRIDE=FY","FILING_STATUS=OR","EQY_CONSOLIDATED=Y","Sort=A","Dates=H","DateFormat=P","Fill=—","Direction=H","UseDPDF=Y")</f>
        <v>#NAME?</v>
      </c>
      <c r="BQ263" s="2" t="e">
        <f ca="1">_xll.BDH($C$253,"WORKING_CAPITAL_SEQ_GROWTH","FY 2016","FY 2016","Currency=INR","Period=FY","BEST_FPERIOD_OVERRIDE=FY","FILING_STATUS=OR","EQY_CONSOLIDATED=Y","Sort=A","Dates=H","DateFormat=P","Fill=—","Direction=H","UseDPDF=Y")</f>
        <v>#NAME?</v>
      </c>
      <c r="BR263" s="2" t="e">
        <f ca="1">_xll.BDH($C$253,"ACCOUNTS_PAYABLE_SEQ_GROWTH","FY 2016","FY 2016","Currency=INR","Period=FY","BEST_FPERIOD_OVERRIDE=FY","FILING_STATUS=OR","EQY_CONSOLIDATED=Y","Sort=A","Dates=H","DateFormat=P","Fill=—","Direction=H","UseDPDF=Y")</f>
        <v>#NAME?</v>
      </c>
      <c r="BS263" s="2" t="e">
        <f ca="1">_xll.BDH($C$253,"ST_DEBT_SEQUENTIAL_GROWTH","FY 2016","FY 2016","Currency=INR","Period=FY","BEST_FPERIOD_OVERRIDE=FY","FILING_STATUS=OR","EQY_CONSOLIDATED=Y","Sort=A","Dates=H","DateFormat=P","Fill=—","Direction=H","UseDPDF=Y")</f>
        <v>#NAME?</v>
      </c>
      <c r="BT263" s="2" t="e">
        <f ca="1">_xll.BDH($C$253,"TOTAL_DEBT_SEQUENTIAL_GROWTH","FY 2016","FY 2016","Currency=INR","Period=FY","BEST_FPERIOD_OVERRIDE=FY","FILING_STATUS=OR","EQY_CONSOLIDATED=Y","Sort=A","Dates=H","DateFormat=P","Fill=—","Direction=H","UseDPDF=Y")</f>
        <v>#NAME?</v>
      </c>
      <c r="BU263" s="2" t="e">
        <f ca="1">_xll.BDH($C$253,"TOTAL_EQUITY_SEQUENTIAL_GROWTH","FY 2016","FY 2016","Currency=INR","Period=FY","BEST_FPERIOD_OVERRIDE=FY","FILING_STATUS=OR","EQY_CONSOLIDATED=Y","Sort=A","Dates=H","DateFormat=P","Fill=—","Direction=H","UseDPDF=Y")</f>
        <v>#NAME?</v>
      </c>
      <c r="BV263" s="2" t="e">
        <f ca="1">_xll.BDH($C$253,"TOTAL_CAPITAL_SEQUENTIAL_GROWTH","FY 2016","FY 2016","Currency=INR","Period=FY","BEST_FPERIOD_OVERRIDE=FY","FILING_STATUS=OR","EQY_CONSOLIDATED=Y","Sort=A","Dates=H","DateFormat=P","Fill=—","Direction=H","UseDPDF=Y")</f>
        <v>#NAME?</v>
      </c>
      <c r="BW263" s="2" t="e">
        <f ca="1">_xll.BDH($C$253,"BPS_SEQUENTIAL_GROWTH","FY 2016","FY 2016","Currency=INR","Period=FY","BEST_FPERIOD_OVERRIDE=FY","FILING_STATUS=OR","EQY_CONSOLIDATED=Y","Sort=A","Dates=H","DateFormat=P","Fill=—","Direction=H","UseDPDF=Y")</f>
        <v>#NAME?</v>
      </c>
      <c r="BX263" s="2" t="e">
        <f ca="1">_xll.BDH($C$253,"CFO_SEQUENTIAL_GROWTH","FY 2016","FY 2016","Currency=INR","Period=FY","BEST_FPERIOD_OVERRIDE=FY","FILING_STATUS=OR","EQY_CONSOLIDATED=Y","Sort=A","Dates=H","DateFormat=P","Fill=—","Direction=H","UseDPDF=Y")</f>
        <v>#NAME?</v>
      </c>
      <c r="BY263" s="3" t="e">
        <f ca="1">_xll.BDH($C$253,"SHORT_AND_LONG_TERM_DEBT","FY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263" s="3" t="e">
        <f ca="1">_xll.BDH($C$253,"BS_ST_BORROW","FY 2016","FY 2016","Currency=INR","Period=FY","BEST_FPERIOD_OVERRIDE=FY","FILING_STATUS=OR","EQY_CONSOLIDATED=Y","SCALING_FORMAT=MLN","Sort=A","Dates=H","DateFormat=P","Fill=—","Direction=H","UseDPDF=Y")</f>
        <v>#NAME?</v>
      </c>
      <c r="CA263" s="3" t="e">
        <f ca="1">_xll.BDH($C$253,"BS_LT_BORROW","FY 2016","FY 2016","Currency=INR","Period=FY","BEST_FPERIOD_OVERRIDE=FY","FILING_STATUS=OR","EQY_CONSOLIDATED=Y","SCALING_FORMAT=MLN","Sort=A","Dates=H","DateFormat=P","Fill=—","Direction=H","UseDPDF=Y")</f>
        <v>#NAME?</v>
      </c>
      <c r="CB263" s="2" t="e">
        <f ca="1">_xll.BDH($C$253,"TOT_DEBT_TO_EBITDA","FY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263" s="2" t="e">
        <f ca="1">_xll.BDH($C$253,"NET_DEBT_TO_EBITDA","FY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263" s="2" t="e">
        <f ca="1">_xll.BDH($C$253,"TOTAL_DEBT_TO_EBIT","FY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263" s="2" t="e">
        <f ca="1">_xll.BDH($C$253,"NET_DEBT_TO_EBIT","FY 2016","FY 2016","Currency=INR","Period=FY","BEST_FPERIOD_OVERRIDE=FY","FILING_STATUS=OR","EQY_CONSOLIDATED=Y","FA_ADJUSTED=GAAP","Sort=A","Dates=H","DateFormat=P","Fill=—","Direction=H","UseDPDF=Y")</f>
        <v>#NAME?</v>
      </c>
      <c r="CF263" s="2" t="e">
        <f ca="1">_xll.BDH($C$253,"EBITDA_TO_INTEREST_EXPN","FY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263" s="2" t="e">
        <f ca="1">_xll.BDH($C$253,"COM_EQY_TO_TOT_ASSET","FY 2016","FY 2016","Currency=INR","Period=FY","BEST_FPERIOD_OVERRIDE=FY","FILING_STATUS=OR","EQY_CONSOLIDATED=Y","Sort=A","Dates=H","DateFormat=P","Fill=—","Direction=H","UseDPDF=Y")</f>
        <v>#NAME?</v>
      </c>
      <c r="CH263" s="2" t="e">
        <f ca="1">_xll.BDH($C$253,"LT_DEBT_TO_TOT_EQY","FY 2016","FY 2016","Currency=INR","Period=FY","BEST_FPERIOD_OVERRIDE=FY","FILING_STATUS=OR","EQY_CONSOLIDATED=Y","Sort=A","Dates=H","DateFormat=P","Fill=—","Direction=H","UseDPDF=Y")</f>
        <v>#NAME?</v>
      </c>
      <c r="CI263" s="2" t="e">
        <f ca="1">_xll.BDH($C$253,"LT_DEBT_TO_TOT_CAP","FY 2016","FY 2016","Currency=INR","Period=FY","BEST_FPERIOD_OVERRIDE=FY","FILING_STATUS=OR","EQY_CONSOLIDATED=Y","Sort=A","Dates=H","DateFormat=P","Fill=—","Direction=H","UseDPDF=Y")</f>
        <v>#NAME?</v>
      </c>
      <c r="CJ263" s="2" t="e">
        <f ca="1">_xll.BDH($C$253,"LT_DEBT_TO_TOT_ASSET","FY 2016","FY 2016","Currency=INR","Period=FY","BEST_FPERIOD_OVERRIDE=FY","FILING_STATUS=OR","EQY_CONSOLIDATED=Y","Sort=A","Dates=H","DateFormat=P","Fill=—","Direction=H","UseDPDF=Y")</f>
        <v>#NAME?</v>
      </c>
      <c r="CK263" s="2" t="e">
        <f ca="1">_xll.BDH($C$253,"TOT_DEBT_TO_TOT_EQY","FY 2016","FY 2016","Currency=INR","Period=FY","BEST_FPERIOD_OVERRIDE=FY","FILING_STATUS=OR","EQY_CONSOLIDATED=Y","Sort=A","Dates=H","DateFormat=P","Fill=—","Direction=H","UseDPDF=Y")</f>
        <v>#NAME?</v>
      </c>
      <c r="CL263" s="2" t="e">
        <f ca="1">_xll.BDH($C$253,"TOT_DEBT_TO_TOT_CAP","FY 2016","FY 2016","Currency=INR","Period=FY","BEST_FPERIOD_OVERRIDE=FY","FILING_STATUS=OR","EQY_CONSOLIDATED=Y","Sort=A","Dates=H","DateFormat=P","Fill=—","Direction=H","UseDPDF=Y")</f>
        <v>#NAME?</v>
      </c>
      <c r="CM263" s="2" t="e">
        <f ca="1">_xll.BDH($C$253,"TOT_DEBT_TO_TOT_ASSET","FY 2016","FY 2016","Currency=INR","Period=FY","BEST_FPERIOD_OVERRIDE=FY","FILING_STATUS=OR","EQY_CONSOLIDATED=Y","Sort=A","Dates=H","DateFormat=P","Fill=—","Direction=H","UseDPDF=Y")</f>
        <v>#NAME?</v>
      </c>
      <c r="CN263" s="2" t="e">
        <f ca="1">_xll.BDH($C$253,"NET_DEBT_TO_SHRHLDR_EQTY","FY 2016","FY 2016","Currency=INR","Period=FY","BEST_FPERIOD_OVERRIDE=FY","FILING_STATUS=OR","EQY_CONSOLIDATED=Y","Sort=A","Dates=H","DateFormat=P","Fill=—","Direction=H","UseDPDF=Y")</f>
        <v>#NAME?</v>
      </c>
      <c r="CO263" s="2" t="e">
        <f ca="1">_xll.BDH($C$253,"NET_DEBT_%_CAPITAL","FY 2016","FY 2016","Currency=INR","Period=FY","BEST_FPERIOD_OVERRIDE=FY","FILING_STATUS=OR","EQY_CONSOLIDATED=Y","Sort=A","Dates=H","DateFormat=P","Fill=—","Direction=H","UseDPDF=Y")</f>
        <v>#NAME?</v>
      </c>
      <c r="CP263" s="3" t="e">
        <f ca="1">_xll.BDH($C$253,"EBITDA","FY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263" s="3" t="e">
        <f ca="1">_xll.BDH($C$253,"EBITDA_AFTER_CAPEX","FY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263" s="3" t="e">
        <f ca="1">_xll.BDH($C$253,"IS_OPER_INC","FY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263" s="2" t="e">
        <f ca="1">_xll.BDH($C$253,"CASH_RATIO","FY 2016","FY 2016","Currency=INR","Period=FY","BEST_FPERIOD_OVERRIDE=FY","FILING_STATUS=OR","EQY_CONSOLIDATED=Y","Sort=A","Dates=H","DateFormat=P","Fill=—","Direction=H","UseDPDF=Y")</f>
        <v>#NAME?</v>
      </c>
      <c r="CT263" s="2" t="e">
        <f ca="1">_xll.BDH($C$253,"CUR_RATIO","FY 2016","FY 2016","Currency=INR","Period=FY","BEST_FPERIOD_OVERRIDE=FY","FILING_STATUS=OR","EQY_CONSOLIDATED=Y","Sort=A","Dates=H","DateFormat=P","Fill=—","Direction=H","UseDPDF=Y")</f>
        <v>#NAME?</v>
      </c>
      <c r="CU263" s="2" t="e">
        <f ca="1">_xll.BDH($C$253,"QUICK_RATIO","FY 2016","FY 2016","Currency=INR","Period=FY","BEST_FPERIOD_OVERRIDE=FY","FILING_STATUS=OR","EQY_CONSOLIDATED=Y","Sort=A","Dates=H","DateFormat=P","Fill=—","Direction=H","UseDPDF=Y")</f>
        <v>#NAME?</v>
      </c>
      <c r="CV263" s="2" t="e">
        <f ca="1">_xll.BDH($C$253,"ALTMAN_Z_SCORE","FY 2016","FY 2016","Currency=INR","Period=FY","BEST_FPERIOD_OVERRIDE=FY","FILING_STATUS=OR","EQY_CONSOLIDATED=Y","Sort=A","Dates=H","DateFormat=P","Fill=—","Direction=H","UseDPDF=Y")</f>
        <v>#NAME?</v>
      </c>
      <c r="CW263" s="4" t="e">
        <f ca="1">_xll.BDH($C$253,"ACCT_RCV_TURN","FY 2016","FY 2016","Currency=INR","Period=FY","BEST_FPERIOD_OVERRIDE=FY","FILING_STATUS=OR","EQY_CONSOLIDATED=Y","FA_ADJUSTED=GAAP","Sort=A","Dates=H","DateFormat=P","Fill=—","Direction=H","UseDPDF=Y")</f>
        <v>#NAME?</v>
      </c>
      <c r="CX263" s="2" t="e">
        <f ca="1">_xll.BDH($C$253,"ACCT_RCV_DAYS","FY 2016","FY 2016","Currency=INR","Period=FY","BEST_FPERIOD_OVERRIDE=FY","FILING_STATUS=OR","EQY_CONSOLIDATED=Y","FA_ADJUSTED=GAAP","Sort=A","Dates=H","DateFormat=P","Fill=—","Direction=H","UseDPDF=Y")</f>
        <v>#NAME?</v>
      </c>
      <c r="CY263" s="4" t="e">
        <f ca="1">_xll.BDH($C$253,"INVENT_TURN","FY 2016","FY 2016","Currency=INR","Period=FY","BEST_FPERIOD_OVERRIDE=FY","FILING_STATUS=OR","EQY_CONSOLIDATED=Y","FA_ADJUSTED=GAAP","Sort=A","Dates=H","DateFormat=P","Fill=—","Direction=H","UseDPDF=Y")</f>
        <v>#NAME?</v>
      </c>
      <c r="CZ263" s="2" t="e">
        <f ca="1">_xll.BDH($C$253,"INVENT_DAYS","FY 2016","FY 2016","Currency=INR","Period=FY","BEST_FPERIOD_OVERRIDE=FY","FILING_STATUS=OR","EQY_CONSOLIDATED=Y","FA_ADJUSTED=GAAP","Sort=A","Dates=H","DateFormat=P","Fill=—","Direction=H","UseDPDF=Y")</f>
        <v>#NAME?</v>
      </c>
      <c r="DA263" s="4" t="e">
        <f ca="1">_xll.BDH($C$253,"ACCOUNTS_PAYABLE_TURNOVER","FY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263" s="2" t="e">
        <f ca="1">_xll.BDH($C$253,"ACCOUNTS_PAYABLE_TURNOVER_DAYS","FY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263" s="4" t="e">
        <f ca="1">_xll.BDH($C$253,"CASH_CONVERSION_CYCLE","FY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263" s="4" t="e">
        <f ca="1">_xll.BDH($C$253,"INV_TO_CASH_DAYS","FY 2016","FY 2016","Currency=INR","Period=FY","BEST_FPERIOD_OVERRIDE=FY","FILING_STATUS=OR","EQY_CONSOLIDATED=Y","FA_ADJUSTED=GAAP","Sort=A","Dates=H","DateFormat=P","Fill=—","Direction=H","UseDPDF=Y")</f>
        <v>#NAME?</v>
      </c>
      <c r="DE263" s="5" t="e">
        <f ca="1">_xll.BDH($C$253,"BS_INVENTORIES","FY 2016","FY 2016","Currency=INR","Period=FY","BEST_FPERIOD_OVERRIDE=FY","FILING_STATUS=OR","EQY_CONSOLIDATED=Y","SCALING_FORMAT=MLN","Sort=A","Dates=H","DateFormat=P","Fill=—","Direction=H","UseDPDF=Y")</f>
        <v>#NAME?</v>
      </c>
      <c r="DF263" s="3" t="e">
        <f ca="1">_xll.BDH($C$253,"INVTRY_RAW_MATERIALS","FY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263" s="3" t="e">
        <f ca="1">_xll.BDH($C$253,"INVTRY_IN_PROGRESS","FY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263" s="3" t="e">
        <f ca="1">_xll.BDH($C$253,"INVTRY_FINISHED_GOODS","FY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263" s="3" t="e">
        <f ca="1">_xll.BDH($C$253,"BS_OTHER_INV","FY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264" spans="1:113" x14ac:dyDescent="0.3">
      <c r="A264" s="6"/>
      <c r="B264" s="6"/>
      <c r="C264" s="6"/>
      <c r="D264" s="6"/>
      <c r="E264" t="s">
        <v>78</v>
      </c>
      <c r="F264" t="e">
        <f ca="1">_xll.BDH($C$253,"RETURN_COM_EQY","FQ1 2016","FQ1 2016","Currency=INR","Period=FQ","BEST_FPERIOD_OVERRIDE=FQ","FILING_STATUS=OR","EQY_CONSOLIDATED=Y","FA_ADJUSTED=GAAP","Sort=A","Dates=H","DateFormat=P","Fill=—","Direction=H","UseDPDF=Y")</f>
        <v>#NAME?</v>
      </c>
      <c r="G264" t="e">
        <f ca="1">_xll.BDH($C$253,"RETURN_ON_ASSET","FQ1 2016","FQ1 2016","Currency=INR","Period=FQ","BEST_FPERIOD_OVERRIDE=FQ","FILING_STATUS=OR","EQY_CONSOLIDATED=Y","FA_ADJUSTED=GAAP","Sort=A","Dates=H","DateFormat=P","Fill=—","Direction=H","UseDPDF=Y")</f>
        <v>#NAME?</v>
      </c>
      <c r="H264" t="e">
        <f ca="1">_xll.BDH($C$253,"RETURN_ON_CAP","FQ1 2016","FQ1 2016","Currency=INR","Period=FQ","BEST_FPERIOD_OVERRIDE=FQ","FILING_STATUS=OR","EQY_CONSOLIDATED=Y","FA_ADJUSTED=GAAP","Sort=A","Dates=H","DateFormat=P","Fill=—","Direction=H","UseDPDF=Y")</f>
        <v>#NAME?</v>
      </c>
      <c r="I264" t="e">
        <f ca="1">_xll.BDH($C$253,"RETURN_ON_INV_CAPITAL","FQ1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264" t="e">
        <f ca="1">_xll.BDH($C$253,"EBITDA_TO_REVENUE","FQ1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264" t="e">
        <f ca="1">_xll.BDH($C$253,"OPER_MARGIN","FQ1 2016","FQ1 2016","Currency=INR","Period=FQ","BEST_FPERIOD_OVERRIDE=FQ","FILING_STATUS=OR","EQY_CONSOLIDATED=Y","FA_ADJUSTED=GAAP","Sort=A","Dates=H","DateFormat=P","Fill=—","Direction=H","UseDPDF=Y")</f>
        <v>#NAME?</v>
      </c>
      <c r="L264" t="e">
        <f ca="1">_xll.BDH($C$253,"INCREMENTAL_OPERATING_MARGIN","FQ1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264" t="e">
        <f ca="1">_xll.BDH($C$253,"PRETAX_INC_TO_NET_SALES","FQ1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264" t="e">
        <f ca="1">_xll.BDH($C$253,"INC_BEF_XO_ITEMS_TO_NET_SALES","FQ1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264" t="e">
        <f ca="1">_xll.BDH($C$253,"PROF_MARGIN","FQ1 2016","FQ1 2016","Currency=INR","Period=FQ","BEST_FPERIOD_OVERRIDE=FQ","FILING_STATUS=OR","EQY_CONSOLIDATED=Y","FA_ADJUSTED=GAAP","Sort=A","Dates=H","DateFormat=P","Fill=—","Direction=H","UseDPDF=Y")</f>
        <v>#NAME?</v>
      </c>
      <c r="P264" t="e">
        <f ca="1">_xll.BDH($C$253,"NET_INCOME_TO_COMMON_MARGIN","FQ1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264" t="e">
        <f ca="1">_xll.BDH($C$253,"EFF_TAX_RATE","FQ1 2016","FQ1 2016","Currency=INR","Period=FQ","BEST_FPERIOD_OVERRIDE=FQ","FILING_STATUS=OR","EQY_CONSOLIDATED=Y","FA_ADJUSTED=GAAP","Sort=A","Dates=H","DateFormat=P","Fill=—","Direction=H","UseDPDF=Y")</f>
        <v>#NAME?</v>
      </c>
      <c r="R264" t="e">
        <f ca="1">_xll.BDH($C$253,"DVD_PAYOUT_RATIO","FQ1 2016","FQ1 2016","Currency=INR","Period=FQ","BEST_FPERIOD_OVERRIDE=FQ","FILING_STATUS=OR","EQY_CONSOLIDATED=Y","FA_ADJUSTED=GAAP","Sort=A","Dates=H","DateFormat=P","Fill=—","Direction=H","UseDPDF=Y")</f>
        <v>#NAME?</v>
      </c>
      <c r="S264" t="e">
        <f ca="1">_xll.BDH($C$253,"SUSTAIN_GROWTH_RT","FQ1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264" s="2" t="e">
        <f ca="1">_xll.BDH($C$253,"SALES_GROWTH","FQ1 2016","FQ1 2016","Currency=INR","Period=FQ","BEST_FPERIOD_OVERRIDE=FQ","FILING_STATUS=OR","EQY_CONSOLIDATED=Y","FA_ADJUSTED=GAAP","Sort=A","Dates=H","DateFormat=P","Fill=—","Direction=H","UseDPDF=Y")</f>
        <v>#NAME?</v>
      </c>
      <c r="U264" s="2" t="e">
        <f ca="1">_xll.BDH($C$253,"EBITDA_GROWTH","FQ1 2016","FQ1 2016","Currency=INR","Period=FQ","BEST_FPERIOD_OVERRIDE=FQ","FILING_STATUS=OR","EQY_CONSOLIDATED=Y","FA_ADJUSTED=GAAP","Sort=A","Dates=H","DateFormat=P","Fill=—","Direction=H","UseDPDF=Y")</f>
        <v>#NAME?</v>
      </c>
      <c r="V264" s="2" t="e">
        <f ca="1">_xll.BDH($C$253,"OPER_INC_GROWTH","FQ1 2016","FQ1 2016","Currency=INR","Period=FQ","BEST_FPERIOD_OVERRIDE=FQ","FILING_STATUS=OR","EQY_CONSOLIDATED=Y","FA_ADJUSTED=GAAP","Sort=A","Dates=H","DateFormat=P","Fill=—","Direction=H","UseDPDF=Y")</f>
        <v>#NAME?</v>
      </c>
      <c r="W264" s="2" t="e">
        <f ca="1">_xll.BDH($C$253,"EARN_FOR_COM_GROWTH","FQ1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264" s="2" t="e">
        <f ca="1">_xll.BDH($C$253,"DILUTED_EPS_AFT_XO_ITEMS_GROWTH","FQ1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264" s="2" t="e">
        <f ca="1">_xll.BDH($C$253,"DIVIDEND_PER_SHARE_1_YEAR_GROWTH","FQ1 2016","FQ1 2016","Currency=INR","Period=FQ","BEST_FPERIOD_OVERRIDE=FQ","FILING_STATUS=OR","EQY_CONSOLIDATED=Y","Sort=A","Dates=H","DateFormat=P","Fill=—","Direction=H","UseDPDF=Y")</f>
        <v>#NAME?</v>
      </c>
      <c r="Z264" s="2" t="e">
        <f ca="1">_xll.BDH($C$253,"ACCOUNTS_RECEIVABLE_GROWTH","FQ1 2016","FQ1 2016","Currency=INR","Period=FQ","BEST_FPERIOD_OVERRIDE=FQ","FILING_STATUS=OR","EQY_CONSOLIDATED=Y","Sort=A","Dates=H","DateFormat=P","Fill=—","Direction=H","UseDPDF=Y")</f>
        <v>#NAME?</v>
      </c>
      <c r="AA264" s="2" t="e">
        <f ca="1">_xll.BDH($C$253,"INVENTORY_GROWTH","FQ1 2016","FQ1 2016","Currency=INR","Period=FQ","BEST_FPERIOD_OVERRIDE=FQ","FILING_STATUS=OR","EQY_CONSOLIDATED=Y","Sort=A","Dates=H","DateFormat=P","Fill=—","Direction=H","UseDPDF=Y")</f>
        <v>#NAME?</v>
      </c>
      <c r="AB264" s="2" t="e">
        <f ca="1">_xll.BDH($C$253,"NET_FIXED_ASSETS_1_YEAR_GROWTH","FQ1 2016","FQ1 2016","Currency=INR","Period=FQ","BEST_FPERIOD_OVERRIDE=FQ","FILING_STATUS=OR","EQY_CONSOLIDATED=Y","Sort=A","Dates=H","DateFormat=P","Fill=—","Direction=H","UseDPDF=Y")</f>
        <v>#NAME?</v>
      </c>
      <c r="AC264" s="2" t="e">
        <f ca="1">_xll.BDH($C$253,"ASSET_GROWTH","FQ1 2016","FQ1 2016","Currency=INR","Period=FQ","BEST_FPERIOD_OVERRIDE=FQ","FILING_STATUS=OR","EQY_CONSOLIDATED=Y","Sort=A","Dates=H","DateFormat=P","Fill=—","Direction=H","UseDPDF=Y")</f>
        <v>#NAME?</v>
      </c>
      <c r="AD264" s="2" t="e">
        <f ca="1">_xll.BDH($C$253,"MODIFIED_WORK_CAP_GROWTH","FQ1 2016","FQ1 2016","Currency=INR","Period=FQ","BEST_FPERIOD_OVERRIDE=FQ","FILING_STATUS=OR","EQY_CONSOLIDATED=Y","Sort=A","Dates=H","DateFormat=P","Fill=—","Direction=H","UseDPDF=Y")</f>
        <v>#NAME?</v>
      </c>
      <c r="AE264" s="2" t="e">
        <f ca="1">_xll.BDH($C$253,"WORK_CAP_GROWTH","FQ1 2016","FQ1 2016","Currency=INR","Period=FQ","BEST_FPERIOD_OVERRIDE=FQ","FILING_STATUS=OR","EQY_CONSOLIDATED=Y","Sort=A","Dates=H","DateFormat=P","Fill=—","Direction=H","UseDPDF=Y")</f>
        <v>#NAME?</v>
      </c>
      <c r="AF264" s="2" t="e">
        <f ca="1">_xll.BDH($C$253,"ACCOUNTS_PAYABLE_GROWTH_1YR","FQ1 2016","FQ1 2016","Currency=INR","Period=FQ","BEST_FPERIOD_OVERRIDE=FQ","FILING_STATUS=OR","EQY_CONSOLIDATED=Y","Sort=A","Dates=H","DateFormat=P","Fill=—","Direction=H","UseDPDF=Y")</f>
        <v>#NAME?</v>
      </c>
      <c r="AG264" s="2" t="e">
        <f ca="1">_xll.BDH($C$253,"SHORT_TERM_DEBT_1_YEAR_GROWTH","FQ1 2016","FQ1 2016","Currency=INR","Period=FQ","BEST_FPERIOD_OVERRIDE=FQ","FILING_STATUS=OR","EQY_CONSOLIDATED=Y","Sort=A","Dates=H","DateFormat=P","Fill=—","Direction=H","UseDPDF=Y")</f>
        <v>#NAME?</v>
      </c>
      <c r="AH264" s="2" t="e">
        <f ca="1">_xll.BDH($C$253,"TOTAL_DEBT_1_YEAR_GROWTH","FQ1 2016","FQ1 2016","Currency=INR","Period=FQ","BEST_FPERIOD_OVERRIDE=FQ","FILING_STATUS=OR","EQY_CONSOLIDATED=Y","Sort=A","Dates=H","DateFormat=P","Fill=—","Direction=H","UseDPDF=Y")</f>
        <v>#NAME?</v>
      </c>
      <c r="AI264" s="2" t="e">
        <f ca="1">_xll.BDH($C$253,"TOTAL_EQUITY_1_YEAR_GROWTH","FQ1 2016","FQ1 2016","Currency=INR","Period=FQ","BEST_FPERIOD_OVERRIDE=FQ","FILING_STATUS=OR","EQY_CONSOLIDATED=Y","Sort=A","Dates=H","DateFormat=P","Fill=—","Direction=H","UseDPDF=Y")</f>
        <v>#NAME?</v>
      </c>
      <c r="AJ264" s="2" t="e">
        <f ca="1">_xll.BDH($C$253,"GROWTH_IN_CAP","FQ1 2016","FQ1 2016","Currency=INR","Period=FQ","BEST_FPERIOD_OVERRIDE=FQ","FILING_STATUS=OR","EQY_CONSOLIDATED=Y","Sort=A","Dates=H","DateFormat=P","Fill=—","Direction=H","UseDPDF=Y")</f>
        <v>#NAME?</v>
      </c>
      <c r="AK264" s="2" t="e">
        <f ca="1">_xll.BDH($C$253,"BVPS_GROWTH","FQ1 2016","FQ1 2016","Currency=INR","Period=FQ","BEST_FPERIOD_OVERRIDE=FQ","FILING_STATUS=OR","EQY_CONSOLIDATED=Y","Sort=A","Dates=H","DateFormat=P","Fill=—","Direction=H","UseDPDF=Y")</f>
        <v>#NAME?</v>
      </c>
      <c r="AL264" s="2" t="e">
        <f ca="1">_xll.BDH($C$253,"CASH_FLOW_GROWTH","FQ1 2016","FQ1 2016","Currency=INR","Period=FQ","BEST_FPERIOD_OVERRIDE=FQ","FILING_STATUS=OR","EQY_CONSOLIDATED=Y","Sort=A","Dates=H","DateFormat=P","Fill=—","Direction=H","UseDPDF=Y")</f>
        <v>#NAME?</v>
      </c>
      <c r="AM264" s="2" t="e">
        <f ca="1">_xll.BDH($C$253,"GEO_GROW_NET_SALES","FQ1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264" s="2" t="e">
        <f ca="1">_xll.BDH($C$253,"GEO_GROW_EBITDA","FQ1 2016","FQ1 2016","Currency=INR","Period=FQ","BEST_FPERIOD_OVERRIDE=FQ","FILING_STATUS=OR","EQY_CONSOLIDATED=Y","FA_ADJUSTED=GAAP","Sort=A","Dates=H","DateFormat=P","Fill=—","Direction=H","UseDPDF=Y")</f>
        <v>#NAME?</v>
      </c>
      <c r="AO264" s="2" t="e">
        <f ca="1">_xll.BDH($C$253,"GEO_GROW_OPER_INC","FQ1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264" s="2" t="e">
        <f ca="1">_xll.BDH($C$253,"NET_INCOME_TO_COMMON_5_YR_GROWTH","FQ1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264" s="2" t="e">
        <f ca="1">_xll.BDH($C$253,"5Y_GEO_GROWTH_DILUTED_EPS","FQ1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264" s="2" t="e">
        <f ca="1">_xll.BDH($C$253,"GEO_GROW_DVD_PER_SH","FQ1 2016","FQ1 2016","Currency=INR","Period=FQ","BEST_FPERIOD_OVERRIDE=FQ","FILING_STATUS=OR","EQY_CONSOLIDATED=Y","Sort=A","Dates=H","DateFormat=P","Fill=—","Direction=H","UseDPDF=Y")</f>
        <v>#NAME?</v>
      </c>
      <c r="AS264" s="2" t="e">
        <f ca="1">_xll.BDH($C$253,"ACCOUNTS_RECEIVABLE_5_YR_GROWTH","FQ1 2016","FQ1 2016","Currency=INR","Period=FQ","BEST_FPERIOD_OVERRIDE=FQ","FILING_STATUS=OR","EQY_CONSOLIDATED=Y","Sort=A","Dates=H","DateFormat=P","Fill=—","Direction=H","UseDPDF=Y")</f>
        <v>#NAME?</v>
      </c>
      <c r="AT264" s="2" t="e">
        <f ca="1">_xll.BDH($C$253,"INVENTORY_5_YEAR_GROWTH","FQ1 2016","FQ1 2016","Currency=INR","Period=FQ","BEST_FPERIOD_OVERRIDE=FQ","FILING_STATUS=OR","EQY_CONSOLIDATED=Y","Sort=A","Dates=H","DateFormat=P","Fill=—","Direction=H","UseDPDF=Y")</f>
        <v>#NAME?</v>
      </c>
      <c r="AU264" s="2" t="e">
        <f ca="1">_xll.BDH($C$253,"NET_FIXED_ASSETS_5_YEAR_GROWTH","FQ1 2016","FQ1 2016","Currency=INR","Period=FQ","BEST_FPERIOD_OVERRIDE=FQ","FILING_STATUS=OR","EQY_CONSOLIDATED=Y","Sort=A","Dates=H","DateFormat=P","Fill=—","Direction=H","UseDPDF=Y")</f>
        <v>#NAME?</v>
      </c>
      <c r="AV264" s="2" t="e">
        <f ca="1">_xll.BDH($C$253,"GEO_GROW_TOT_ASSET","FQ1 2016","FQ1 2016","Currency=INR","Period=FQ","BEST_FPERIOD_OVERRIDE=FQ","FILING_STATUS=OR","EQY_CONSOLIDATED=Y","Sort=A","Dates=H","DateFormat=P","Fill=—","Direction=H","UseDPDF=Y")</f>
        <v>#NAME?</v>
      </c>
      <c r="AW264" s="2" t="e">
        <f ca="1">_xll.BDH($C$253,"MODIFIED_WORKING_CPTL_5YR_GRWTH","FQ1 2016","FQ1 2016","Currency=INR","Period=FQ","BEST_FPERIOD_OVERRIDE=FQ","FILING_STATUS=OR","EQY_CONSOLIDATED=Y","Sort=A","Dates=H","DateFormat=P","Fill=—","Direction=H","UseDPDF=Y")</f>
        <v>#NAME?</v>
      </c>
      <c r="AX264" s="2" t="e">
        <f ca="1">_xll.BDH($C$253,"WORKING_CAPITAL_5_YEAR_GROWTH","FQ1 2016","FQ1 2016","Currency=INR","Period=FQ","BEST_FPERIOD_OVERRIDE=FQ","FILING_STATUS=OR","EQY_CONSOLIDATED=Y","Sort=A","Dates=H","DateFormat=P","Fill=—","Direction=H","UseDPDF=Y")</f>
        <v>#NAME?</v>
      </c>
      <c r="AY264" s="2" t="e">
        <f ca="1">_xll.BDH($C$253,"ACCOUNTS_PAYABLE_5_YEAR_GROWTH","FQ1 2016","FQ1 2016","Currency=INR","Period=FQ","BEST_FPERIOD_OVERRIDE=FQ","FILING_STATUS=OR","EQY_CONSOLIDATED=Y","Sort=A","Dates=H","DateFormat=P","Fill=—","Direction=H","UseDPDF=Y")</f>
        <v>#NAME?</v>
      </c>
      <c r="AZ264" s="2" t="e">
        <f ca="1">_xll.BDH($C$253,"SHORT_TERM_DEBT_5_YEAR_GROWTH","FQ1 2016","FQ1 2016","Currency=INR","Period=FQ","BEST_FPERIOD_OVERRIDE=FQ","FILING_STATUS=OR","EQY_CONSOLIDATED=Y","Sort=A","Dates=H","DateFormat=P","Fill=—","Direction=H","UseDPDF=Y")</f>
        <v>#NAME?</v>
      </c>
      <c r="BA264" s="2" t="e">
        <f ca="1">_xll.BDH($C$253,"TOTAL_DEBT_5_YEAR_GROWTH","FQ1 2016","FQ1 2016","Currency=INR","Period=FQ","BEST_FPERIOD_OVERRIDE=FQ","FILING_STATUS=OR","EQY_CONSOLIDATED=Y","Sort=A","Dates=H","DateFormat=P","Fill=—","Direction=H","UseDPDF=Y")</f>
        <v>#NAME?</v>
      </c>
      <c r="BB264" s="2" t="e">
        <f ca="1">_xll.BDH($C$253,"GEO_GROW_TOT_SHRHLDR_EQY","FQ1 2016","FQ1 2016","Currency=INR","Period=FQ","BEST_FPERIOD_OVERRIDE=FQ","FILING_STATUS=OR","EQY_CONSOLIDATED=Y","Sort=A","Dates=H","DateFormat=P","Fill=—","Direction=H","UseDPDF=Y")</f>
        <v>#NAME?</v>
      </c>
      <c r="BC264" s="2" t="e">
        <f ca="1">_xll.BDH($C$253,"TOTAL_CAPITAL_5_YEAR_GROWTH","FQ1 2016","FQ1 2016","Currency=INR","Period=FQ","BEST_FPERIOD_OVERRIDE=FQ","FILING_STATUS=OR","EQY_CONSOLIDATED=Y","Sort=A","Dates=H","DateFormat=P","Fill=—","Direction=H","UseDPDF=Y")</f>
        <v>#NAME?</v>
      </c>
      <c r="BD264" s="2" t="e">
        <f ca="1">_xll.BDH($C$253,"GEO_GROW_BOOK_VAL","FQ1 2016","FQ1 2016","Currency=INR","Period=FQ","BEST_FPERIOD_OVERRIDE=FQ","FILING_STATUS=OR","EQY_CONSOLIDATED=Y","Sort=A","Dates=H","DateFormat=P","Fill=—","Direction=H","UseDPDF=Y")</f>
        <v>#NAME?</v>
      </c>
      <c r="BE264" s="2" t="e">
        <f ca="1">_xll.BDH($C$253,"GEO_GROW_CASH_OPER_ACT","FQ1 2016","FQ1 2016","Currency=INR","Period=FQ","BEST_FPERIOD_OVERRIDE=FQ","FILING_STATUS=OR","EQY_CONSOLIDATED=Y","Sort=A","Dates=H","DateFormat=P","Fill=—","Direction=H","UseDPDF=Y")</f>
        <v>#NAME?</v>
      </c>
      <c r="BF264" s="2" t="e">
        <f ca="1">_xll.BDH($C$253,"REVENUE_SEQUENTIAL_GROWTH","FQ1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264" s="2" t="e">
        <f ca="1">_xll.BDH($C$253,"EBITDA_SEQUENTIAL_GROWTH","FQ1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264" s="2" t="e">
        <f ca="1">_xll.BDH($C$253,"OPERATING_INCOME_SEQ_GROWTH","FQ1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264" s="2" t="e">
        <f ca="1">_xll.BDH($C$253,"NET_INCOME_TO_COMMON_SEQ_GROWTH","FQ1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264" s="2" t="e">
        <f ca="1">_xll.BDH($C$253,"EPS_DILUTED_SEQUENTIAL_GROWTH","FQ1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264" s="2" t="e">
        <f ca="1">_xll.BDH($C$253,"DPS_SEQUENTIAL_GROWTH","FQ1 2016","FQ1 2016","Currency=INR","Period=FQ","BEST_FPERIOD_OVERRIDE=FQ","FILING_STATUS=OR","EQY_CONSOLIDATED=Y","Sort=A","Dates=H","DateFormat=P","Fill=—","Direction=H","UseDPDF=Y")</f>
        <v>#NAME?</v>
      </c>
      <c r="BL264" s="2" t="e">
        <f ca="1">_xll.BDH($C$253,"ACCOUNTS_RECEIVABLE_SEQ_GROWTH","FQ1 2016","FQ1 2016","Currency=INR","Period=FQ","BEST_FPERIOD_OVERRIDE=FQ","FILING_STATUS=OR","EQY_CONSOLIDATED=Y","Sort=A","Dates=H","DateFormat=P","Fill=—","Direction=H","UseDPDF=Y")</f>
        <v>#NAME?</v>
      </c>
      <c r="BM264" s="2" t="e">
        <f ca="1">_xll.BDH($C$253,"INVENTORY_SEQUENTIAL_GROWTH","FQ1 2016","FQ1 2016","Currency=INR","Period=FQ","BEST_FPERIOD_OVERRIDE=FQ","FILING_STATUS=OR","EQY_CONSOLIDATED=Y","Sort=A","Dates=H","DateFormat=P","Fill=—","Direction=H","UseDPDF=Y")</f>
        <v>#NAME?</v>
      </c>
      <c r="BN264" s="2" t="e">
        <f ca="1">_xll.BDH($C$253,"FIXED_ASSETS_SEQUENTIAL_GROWTH","FQ1 2016","FQ1 2016","Currency=INR","Period=FQ","BEST_FPERIOD_OVERRIDE=FQ","FILING_STATUS=OR","EQY_CONSOLIDATED=Y","Sort=A","Dates=H","DateFormat=P","Fill=—","Direction=H","UseDPDF=Y")</f>
        <v>#NAME?</v>
      </c>
      <c r="BO264" s="2" t="e">
        <f ca="1">_xll.BDH($C$253,"TOTAL_ASSETS_SEQUENTIAL_GROWTH","FQ1 2016","FQ1 2016","Currency=INR","Period=FQ","BEST_FPERIOD_OVERRIDE=FQ","FILING_STATUS=OR","EQY_CONSOLIDATED=Y","Sort=A","Dates=H","DateFormat=P","Fill=—","Direction=H","UseDPDF=Y")</f>
        <v>#NAME?</v>
      </c>
      <c r="BP264" s="2" t="e">
        <f ca="1">_xll.BDH($C$253,"MODIFIED_WORKING_CPTL_SEQ_GRWTH","FQ1 2016","FQ1 2016","Currency=INR","Period=FQ","BEST_FPERIOD_OVERRIDE=FQ","FILING_STATUS=OR","EQY_CONSOLIDATED=Y","Sort=A","Dates=H","DateFormat=P","Fill=—","Direction=H","UseDPDF=Y")</f>
        <v>#NAME?</v>
      </c>
      <c r="BQ264" s="2" t="e">
        <f ca="1">_xll.BDH($C$253,"WORKING_CAPITAL_SEQ_GROWTH","FQ1 2016","FQ1 2016","Currency=INR","Period=FQ","BEST_FPERIOD_OVERRIDE=FQ","FILING_STATUS=OR","EQY_CONSOLIDATED=Y","Sort=A","Dates=H","DateFormat=P","Fill=—","Direction=H","UseDPDF=Y")</f>
        <v>#NAME?</v>
      </c>
      <c r="BR264" s="2" t="e">
        <f ca="1">_xll.BDH($C$253,"ACCOUNTS_PAYABLE_SEQ_GROWTH","FQ1 2016","FQ1 2016","Currency=INR","Period=FQ","BEST_FPERIOD_OVERRIDE=FQ","FILING_STATUS=OR","EQY_CONSOLIDATED=Y","Sort=A","Dates=H","DateFormat=P","Fill=—","Direction=H","UseDPDF=Y")</f>
        <v>#NAME?</v>
      </c>
      <c r="BS264" s="2" t="e">
        <f ca="1">_xll.BDH($C$253,"ST_DEBT_SEQUENTIAL_GROWTH","FQ1 2016","FQ1 2016","Currency=INR","Period=FQ","BEST_FPERIOD_OVERRIDE=FQ","FILING_STATUS=OR","EQY_CONSOLIDATED=Y","Sort=A","Dates=H","DateFormat=P","Fill=—","Direction=H","UseDPDF=Y")</f>
        <v>#NAME?</v>
      </c>
      <c r="BT264" s="2" t="e">
        <f ca="1">_xll.BDH($C$253,"TOTAL_DEBT_SEQUENTIAL_GROWTH","FQ1 2016","FQ1 2016","Currency=INR","Period=FQ","BEST_FPERIOD_OVERRIDE=FQ","FILING_STATUS=OR","EQY_CONSOLIDATED=Y","Sort=A","Dates=H","DateFormat=P","Fill=—","Direction=H","UseDPDF=Y")</f>
        <v>#NAME?</v>
      </c>
      <c r="BU264" s="2" t="e">
        <f ca="1">_xll.BDH($C$253,"TOTAL_EQUITY_SEQUENTIAL_GROWTH","FQ1 2016","FQ1 2016","Currency=INR","Period=FQ","BEST_FPERIOD_OVERRIDE=FQ","FILING_STATUS=OR","EQY_CONSOLIDATED=Y","Sort=A","Dates=H","DateFormat=P","Fill=—","Direction=H","UseDPDF=Y")</f>
        <v>#NAME?</v>
      </c>
      <c r="BV264" s="2" t="e">
        <f ca="1">_xll.BDH($C$253,"TOTAL_CAPITAL_SEQUENTIAL_GROWTH","FQ1 2016","FQ1 2016","Currency=INR","Period=FQ","BEST_FPERIOD_OVERRIDE=FQ","FILING_STATUS=OR","EQY_CONSOLIDATED=Y","Sort=A","Dates=H","DateFormat=P","Fill=—","Direction=H","UseDPDF=Y")</f>
        <v>#NAME?</v>
      </c>
      <c r="BW264" s="2" t="e">
        <f ca="1">_xll.BDH($C$253,"BPS_SEQUENTIAL_GROWTH","FQ1 2016","FQ1 2016","Currency=INR","Period=FQ","BEST_FPERIOD_OVERRIDE=FQ","FILING_STATUS=OR","EQY_CONSOLIDATED=Y","Sort=A","Dates=H","DateFormat=P","Fill=—","Direction=H","UseDPDF=Y")</f>
        <v>#NAME?</v>
      </c>
      <c r="BX264" s="2" t="e">
        <f ca="1">_xll.BDH($C$253,"CFO_SEQUENTIAL_GROWTH","FQ1 2016","FQ1 2016","Currency=INR","Period=FQ","BEST_FPERIOD_OVERRIDE=FQ","FILING_STATUS=OR","EQY_CONSOLIDATED=Y","Sort=A","Dates=H","DateFormat=P","Fill=—","Direction=H","UseDPDF=Y")</f>
        <v>#NAME?</v>
      </c>
      <c r="BY264" s="3" t="e">
        <f ca="1">_xll.BDH($C$253,"SHORT_AND_LONG_TERM_DEBT","FQ1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264" s="3" t="e">
        <f ca="1">_xll.BDH($C$253,"BS_ST_BORROW","FQ1 2016","FQ1 2016","Currency=INR","Period=FQ","BEST_FPERIOD_OVERRIDE=FQ","FILING_STATUS=OR","EQY_CONSOLIDATED=Y","SCALING_FORMAT=MLN","Sort=A","Dates=H","DateFormat=P","Fill=—","Direction=H","UseDPDF=Y")</f>
        <v>#NAME?</v>
      </c>
      <c r="CA264" s="3" t="e">
        <f ca="1">_xll.BDH($C$253,"BS_LT_BORROW","FQ1 2016","FQ1 2016","Currency=INR","Period=FQ","BEST_FPERIOD_OVERRIDE=FQ","FILING_STATUS=OR","EQY_CONSOLIDATED=Y","SCALING_FORMAT=MLN","Sort=A","Dates=H","DateFormat=P","Fill=—","Direction=H","UseDPDF=Y")</f>
        <v>#NAME?</v>
      </c>
      <c r="CB264" s="2" t="e">
        <f ca="1">_xll.BDH($C$253,"TOT_DEBT_TO_EBITDA","FQ1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264" s="2" t="e">
        <f ca="1">_xll.BDH($C$253,"NET_DEBT_TO_EBITDA","FQ1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264" s="2" t="e">
        <f ca="1">_xll.BDH($C$253,"TOTAL_DEBT_TO_EBIT","FQ1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264" s="2" t="e">
        <f ca="1">_xll.BDH($C$253,"NET_DEBT_TO_EBIT","FQ1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264" s="2" t="e">
        <f ca="1">_xll.BDH($C$253,"EBITDA_TO_INTEREST_EXPN","FQ1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264" s="2" t="e">
        <f ca="1">_xll.BDH($C$253,"COM_EQY_TO_TOT_ASSET","FQ1 2016","FQ1 2016","Currency=INR","Period=FQ","BEST_FPERIOD_OVERRIDE=FQ","FILING_STATUS=OR","EQY_CONSOLIDATED=Y","Sort=A","Dates=H","DateFormat=P","Fill=—","Direction=H","UseDPDF=Y")</f>
        <v>#NAME?</v>
      </c>
      <c r="CH264" s="2" t="e">
        <f ca="1">_xll.BDH($C$253,"LT_DEBT_TO_TOT_EQY","FQ1 2016","FQ1 2016","Currency=INR","Period=FQ","BEST_FPERIOD_OVERRIDE=FQ","FILING_STATUS=OR","EQY_CONSOLIDATED=Y","Sort=A","Dates=H","DateFormat=P","Fill=—","Direction=H","UseDPDF=Y")</f>
        <v>#NAME?</v>
      </c>
      <c r="CI264" s="2" t="e">
        <f ca="1">_xll.BDH($C$253,"LT_DEBT_TO_TOT_CAP","FQ1 2016","FQ1 2016","Currency=INR","Period=FQ","BEST_FPERIOD_OVERRIDE=FQ","FILING_STATUS=OR","EQY_CONSOLIDATED=Y","Sort=A","Dates=H","DateFormat=P","Fill=—","Direction=H","UseDPDF=Y")</f>
        <v>#NAME?</v>
      </c>
      <c r="CJ264" s="2" t="e">
        <f ca="1">_xll.BDH($C$253,"LT_DEBT_TO_TOT_ASSET","FQ1 2016","FQ1 2016","Currency=INR","Period=FQ","BEST_FPERIOD_OVERRIDE=FQ","FILING_STATUS=OR","EQY_CONSOLIDATED=Y","Sort=A","Dates=H","DateFormat=P","Fill=—","Direction=H","UseDPDF=Y")</f>
        <v>#NAME?</v>
      </c>
      <c r="CK264" s="2" t="e">
        <f ca="1">_xll.BDH($C$253,"TOT_DEBT_TO_TOT_EQY","FQ1 2016","FQ1 2016","Currency=INR","Period=FQ","BEST_FPERIOD_OVERRIDE=FQ","FILING_STATUS=OR","EQY_CONSOLIDATED=Y","Sort=A","Dates=H","DateFormat=P","Fill=—","Direction=H","UseDPDF=Y")</f>
        <v>#NAME?</v>
      </c>
      <c r="CL264" s="2" t="e">
        <f ca="1">_xll.BDH($C$253,"TOT_DEBT_TO_TOT_CAP","FQ1 2016","FQ1 2016","Currency=INR","Period=FQ","BEST_FPERIOD_OVERRIDE=FQ","FILING_STATUS=OR","EQY_CONSOLIDATED=Y","Sort=A","Dates=H","DateFormat=P","Fill=—","Direction=H","UseDPDF=Y")</f>
        <v>#NAME?</v>
      </c>
      <c r="CM264" s="2" t="e">
        <f ca="1">_xll.BDH($C$253,"TOT_DEBT_TO_TOT_ASSET","FQ1 2016","FQ1 2016","Currency=INR","Period=FQ","BEST_FPERIOD_OVERRIDE=FQ","FILING_STATUS=OR","EQY_CONSOLIDATED=Y","Sort=A","Dates=H","DateFormat=P","Fill=—","Direction=H","UseDPDF=Y")</f>
        <v>#NAME?</v>
      </c>
      <c r="CN264" s="2" t="e">
        <f ca="1">_xll.BDH($C$253,"NET_DEBT_TO_SHRHLDR_EQTY","FQ1 2016","FQ1 2016","Currency=INR","Period=FQ","BEST_FPERIOD_OVERRIDE=FQ","FILING_STATUS=OR","EQY_CONSOLIDATED=Y","Sort=A","Dates=H","DateFormat=P","Fill=—","Direction=H","UseDPDF=Y")</f>
        <v>#NAME?</v>
      </c>
      <c r="CO264" s="2" t="e">
        <f ca="1">_xll.BDH($C$253,"NET_DEBT_%_CAPITAL","FQ1 2016","FQ1 2016","Currency=INR","Period=FQ","BEST_FPERIOD_OVERRIDE=FQ","FILING_STATUS=OR","EQY_CONSOLIDATED=Y","Sort=A","Dates=H","DateFormat=P","Fill=—","Direction=H","UseDPDF=Y")</f>
        <v>#NAME?</v>
      </c>
      <c r="CP264" s="3" t="e">
        <f ca="1">_xll.BDH($C$253,"EBITDA","FQ1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264" s="3" t="e">
        <f ca="1">_xll.BDH($C$253,"EBITDA_AFTER_CAPEX","FQ1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264" s="3" t="e">
        <f ca="1">_xll.BDH($C$253,"IS_OPER_INC","FQ1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264" s="2" t="e">
        <f ca="1">_xll.BDH($C$253,"CASH_RATIO","FQ1 2016","FQ1 2016","Currency=INR","Period=FQ","BEST_FPERIOD_OVERRIDE=FQ","FILING_STATUS=OR","EQY_CONSOLIDATED=Y","Sort=A","Dates=H","DateFormat=P","Fill=—","Direction=H","UseDPDF=Y")</f>
        <v>#NAME?</v>
      </c>
      <c r="CT264" s="2" t="e">
        <f ca="1">_xll.BDH($C$253,"CUR_RATIO","FQ1 2016","FQ1 2016","Currency=INR","Period=FQ","BEST_FPERIOD_OVERRIDE=FQ","FILING_STATUS=OR","EQY_CONSOLIDATED=Y","Sort=A","Dates=H","DateFormat=P","Fill=—","Direction=H","UseDPDF=Y")</f>
        <v>#NAME?</v>
      </c>
      <c r="CU264" s="2" t="e">
        <f ca="1">_xll.BDH($C$253,"QUICK_RATIO","FQ1 2016","FQ1 2016","Currency=INR","Period=FQ","BEST_FPERIOD_OVERRIDE=FQ","FILING_STATUS=OR","EQY_CONSOLIDATED=Y","Sort=A","Dates=H","DateFormat=P","Fill=—","Direction=H","UseDPDF=Y")</f>
        <v>#NAME?</v>
      </c>
      <c r="CV264" s="2" t="e">
        <f ca="1">_xll.BDH($C$253,"ALTMAN_Z_SCORE","FQ1 2016","FQ1 2016","Currency=INR","Period=FQ","BEST_FPERIOD_OVERRIDE=FQ","FILING_STATUS=OR","EQY_CONSOLIDATED=Y","Sort=A","Dates=H","DateFormat=P","Fill=—","Direction=H","UseDPDF=Y")</f>
        <v>#NAME?</v>
      </c>
      <c r="CW264" s="4" t="e">
        <f ca="1">_xll.BDH($C$253,"ACCT_RCV_TURN","FQ1 2016","FQ1 2016","Currency=INR","Period=FQ","BEST_FPERIOD_OVERRIDE=FQ","FILING_STATUS=OR","EQY_CONSOLIDATED=Y","FA_ADJUSTED=GAAP","Sort=A","Dates=H","DateFormat=P","Fill=—","Direction=H","UseDPDF=Y")</f>
        <v>#NAME?</v>
      </c>
      <c r="CX264" s="2" t="e">
        <f ca="1">_xll.BDH($C$253,"ACCT_RCV_DAYS","FQ1 2016","FQ1 2016","Currency=INR","Period=FQ","BEST_FPERIOD_OVERRIDE=FQ","FILING_STATUS=OR","EQY_CONSOLIDATED=Y","FA_ADJUSTED=GAAP","Sort=A","Dates=H","DateFormat=P","Fill=—","Direction=H","UseDPDF=Y")</f>
        <v>#NAME?</v>
      </c>
      <c r="CY264" s="4" t="e">
        <f ca="1">_xll.BDH($C$253,"INVENT_TURN","FQ1 2016","FQ1 2016","Currency=INR","Period=FQ","BEST_FPERIOD_OVERRIDE=FQ","FILING_STATUS=OR","EQY_CONSOLIDATED=Y","FA_ADJUSTED=GAAP","Sort=A","Dates=H","DateFormat=P","Fill=—","Direction=H","UseDPDF=Y")</f>
        <v>#NAME?</v>
      </c>
      <c r="CZ264" s="2" t="e">
        <f ca="1">_xll.BDH($C$253,"INVENT_DAYS","FQ1 2016","FQ1 2016","Currency=INR","Period=FQ","BEST_FPERIOD_OVERRIDE=FQ","FILING_STATUS=OR","EQY_CONSOLIDATED=Y","FA_ADJUSTED=GAAP","Sort=A","Dates=H","DateFormat=P","Fill=—","Direction=H","UseDPDF=Y")</f>
        <v>#NAME?</v>
      </c>
      <c r="DA264" s="4" t="e">
        <f ca="1">_xll.BDH($C$253,"ACCOUNTS_PAYABLE_TURNOVER","FQ1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264" s="2" t="e">
        <f ca="1">_xll.BDH($C$253,"ACCOUNTS_PAYABLE_TURNOVER_DAYS","FQ1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264" s="4" t="e">
        <f ca="1">_xll.BDH($C$253,"CASH_CONVERSION_CYCLE","FQ1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264" s="4" t="e">
        <f ca="1">_xll.BDH($C$253,"INV_TO_CASH_DAYS","FQ1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264" s="5" t="e">
        <f ca="1">_xll.BDH($C$253,"BS_INVENTORIES","FQ1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264" s="3" t="e">
        <f ca="1">_xll.BDH($C$253,"INVTRY_RAW_MATERIALS","FQ1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264" s="3" t="e">
        <f ca="1">_xll.BDH($C$253,"INVTRY_IN_PROGRESS","FQ1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264" s="3" t="e">
        <f ca="1">_xll.BDH($C$253,"INVTRY_FINISHED_GOODS","FQ1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264" s="3" t="e">
        <f ca="1">_xll.BDH($C$253,"BS_OTHER_INV","FQ1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265" spans="1:113" x14ac:dyDescent="0.3">
      <c r="A265" s="6"/>
      <c r="B265" s="6"/>
      <c r="C265" s="6"/>
      <c r="D265" s="6"/>
      <c r="E265" t="s">
        <v>79</v>
      </c>
      <c r="F265" t="e">
        <f ca="1">_xll.BDH($C$253,"RETURN_COM_EQY","FQ2 2016","FQ2 2016","Currency=INR","Period=FQ","BEST_FPERIOD_OVERRIDE=FQ","FILING_STATUS=OR","EQY_CONSOLIDATED=Y","FA_ADJUSTED=GAAP","Sort=A","Dates=H","DateFormat=P","Fill=—","Direction=H","UseDPDF=Y")</f>
        <v>#NAME?</v>
      </c>
      <c r="G265" t="e">
        <f ca="1">_xll.BDH($C$253,"RETURN_ON_ASSET","FQ2 2016","FQ2 2016","Currency=INR","Period=FQ","BEST_FPERIOD_OVERRIDE=FQ","FILING_STATUS=OR","EQY_CONSOLIDATED=Y","FA_ADJUSTED=GAAP","Sort=A","Dates=H","DateFormat=P","Fill=—","Direction=H","UseDPDF=Y")</f>
        <v>#NAME?</v>
      </c>
      <c r="H265" t="e">
        <f ca="1">_xll.BDH($C$253,"RETURN_ON_CAP","FQ2 2016","FQ2 2016","Currency=INR","Period=FQ","BEST_FPERIOD_OVERRIDE=FQ","FILING_STATUS=OR","EQY_CONSOLIDATED=Y","FA_ADJUSTED=GAAP","Sort=A","Dates=H","DateFormat=P","Fill=—","Direction=H","UseDPDF=Y")</f>
        <v>#NAME?</v>
      </c>
      <c r="I265" t="e">
        <f ca="1">_xll.BDH($C$253,"RETURN_ON_INV_CAPITAL","FQ2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265" t="e">
        <f ca="1">_xll.BDH($C$253,"EBITDA_TO_REVENUE","FQ2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265" t="e">
        <f ca="1">_xll.BDH($C$253,"OPER_MARGIN","FQ2 2016","FQ2 2016","Currency=INR","Period=FQ","BEST_FPERIOD_OVERRIDE=FQ","FILING_STATUS=OR","EQY_CONSOLIDATED=Y","FA_ADJUSTED=GAAP","Sort=A","Dates=H","DateFormat=P","Fill=—","Direction=H","UseDPDF=Y")</f>
        <v>#NAME?</v>
      </c>
      <c r="L265" t="e">
        <f ca="1">_xll.BDH($C$253,"INCREMENTAL_OPERATING_MARGIN","FQ2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265" t="e">
        <f ca="1">_xll.BDH($C$253,"PRETAX_INC_TO_NET_SALES","FQ2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265" t="e">
        <f ca="1">_xll.BDH($C$253,"INC_BEF_XO_ITEMS_TO_NET_SALES","FQ2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265" t="e">
        <f ca="1">_xll.BDH($C$253,"PROF_MARGIN","FQ2 2016","FQ2 2016","Currency=INR","Period=FQ","BEST_FPERIOD_OVERRIDE=FQ","FILING_STATUS=OR","EQY_CONSOLIDATED=Y","FA_ADJUSTED=GAAP","Sort=A","Dates=H","DateFormat=P","Fill=—","Direction=H","UseDPDF=Y")</f>
        <v>#NAME?</v>
      </c>
      <c r="P265" t="e">
        <f ca="1">_xll.BDH($C$253,"NET_INCOME_TO_COMMON_MARGIN","FQ2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265" t="e">
        <f ca="1">_xll.BDH($C$253,"EFF_TAX_RATE","FQ2 2016","FQ2 2016","Currency=INR","Period=FQ","BEST_FPERIOD_OVERRIDE=FQ","FILING_STATUS=OR","EQY_CONSOLIDATED=Y","FA_ADJUSTED=GAAP","Sort=A","Dates=H","DateFormat=P","Fill=—","Direction=H","UseDPDF=Y")</f>
        <v>#NAME?</v>
      </c>
      <c r="R265" t="e">
        <f ca="1">_xll.BDH($C$253,"DVD_PAYOUT_RATIO","FQ2 2016","FQ2 2016","Currency=INR","Period=FQ","BEST_FPERIOD_OVERRIDE=FQ","FILING_STATUS=OR","EQY_CONSOLIDATED=Y","FA_ADJUSTED=GAAP","Sort=A","Dates=H","DateFormat=P","Fill=—","Direction=H","UseDPDF=Y")</f>
        <v>#NAME?</v>
      </c>
      <c r="S265" t="e">
        <f ca="1">_xll.BDH($C$253,"SUSTAIN_GROWTH_RT","FQ2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265" s="2" t="e">
        <f ca="1">_xll.BDH($C$253,"SALES_GROWTH","FQ2 2016","FQ2 2016","Currency=INR","Period=FQ","BEST_FPERIOD_OVERRIDE=FQ","FILING_STATUS=OR","EQY_CONSOLIDATED=Y","FA_ADJUSTED=GAAP","Sort=A","Dates=H","DateFormat=P","Fill=—","Direction=H","UseDPDF=Y")</f>
        <v>#NAME?</v>
      </c>
      <c r="U265" s="2" t="e">
        <f ca="1">_xll.BDH($C$253,"EBITDA_GROWTH","FQ2 2016","FQ2 2016","Currency=INR","Period=FQ","BEST_FPERIOD_OVERRIDE=FQ","FILING_STATUS=OR","EQY_CONSOLIDATED=Y","FA_ADJUSTED=GAAP","Sort=A","Dates=H","DateFormat=P","Fill=—","Direction=H","UseDPDF=Y")</f>
        <v>#NAME?</v>
      </c>
      <c r="V265" s="2" t="e">
        <f ca="1">_xll.BDH($C$253,"OPER_INC_GROWTH","FQ2 2016","FQ2 2016","Currency=INR","Period=FQ","BEST_FPERIOD_OVERRIDE=FQ","FILING_STATUS=OR","EQY_CONSOLIDATED=Y","FA_ADJUSTED=GAAP","Sort=A","Dates=H","DateFormat=P","Fill=—","Direction=H","UseDPDF=Y")</f>
        <v>#NAME?</v>
      </c>
      <c r="W265" s="2" t="e">
        <f ca="1">_xll.BDH($C$253,"EARN_FOR_COM_GROWTH","FQ2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265" s="2" t="e">
        <f ca="1">_xll.BDH($C$253,"DILUTED_EPS_AFT_XO_ITEMS_GROWTH","FQ2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265" s="2" t="e">
        <f ca="1">_xll.BDH($C$253,"DIVIDEND_PER_SHARE_1_YEAR_GROWTH","FQ2 2016","FQ2 2016","Currency=INR","Period=FQ","BEST_FPERIOD_OVERRIDE=FQ","FILING_STATUS=OR","EQY_CONSOLIDATED=Y","Sort=A","Dates=H","DateFormat=P","Fill=—","Direction=H","UseDPDF=Y")</f>
        <v>#NAME?</v>
      </c>
      <c r="Z265" s="2" t="e">
        <f ca="1">_xll.BDH($C$253,"ACCOUNTS_RECEIVABLE_GROWTH","FQ2 2016","FQ2 2016","Currency=INR","Period=FQ","BEST_FPERIOD_OVERRIDE=FQ","FILING_STATUS=OR","EQY_CONSOLIDATED=Y","Sort=A","Dates=H","DateFormat=P","Fill=—","Direction=H","UseDPDF=Y")</f>
        <v>#NAME?</v>
      </c>
      <c r="AA265" s="2" t="e">
        <f ca="1">_xll.BDH($C$253,"INVENTORY_GROWTH","FQ2 2016","FQ2 2016","Currency=INR","Period=FQ","BEST_FPERIOD_OVERRIDE=FQ","FILING_STATUS=OR","EQY_CONSOLIDATED=Y","Sort=A","Dates=H","DateFormat=P","Fill=—","Direction=H","UseDPDF=Y")</f>
        <v>#NAME?</v>
      </c>
      <c r="AB265" s="2" t="e">
        <f ca="1">_xll.BDH($C$253,"NET_FIXED_ASSETS_1_YEAR_GROWTH","FQ2 2016","FQ2 2016","Currency=INR","Period=FQ","BEST_FPERIOD_OVERRIDE=FQ","FILING_STATUS=OR","EQY_CONSOLIDATED=Y","Sort=A","Dates=H","DateFormat=P","Fill=—","Direction=H","UseDPDF=Y")</f>
        <v>#NAME?</v>
      </c>
      <c r="AC265" s="2" t="e">
        <f ca="1">_xll.BDH($C$253,"ASSET_GROWTH","FQ2 2016","FQ2 2016","Currency=INR","Period=FQ","BEST_FPERIOD_OVERRIDE=FQ","FILING_STATUS=OR","EQY_CONSOLIDATED=Y","Sort=A","Dates=H","DateFormat=P","Fill=—","Direction=H","UseDPDF=Y")</f>
        <v>#NAME?</v>
      </c>
      <c r="AD265" s="2" t="e">
        <f ca="1">_xll.BDH($C$253,"MODIFIED_WORK_CAP_GROWTH","FQ2 2016","FQ2 2016","Currency=INR","Period=FQ","BEST_FPERIOD_OVERRIDE=FQ","FILING_STATUS=OR","EQY_CONSOLIDATED=Y","Sort=A","Dates=H","DateFormat=P","Fill=—","Direction=H","UseDPDF=Y")</f>
        <v>#NAME?</v>
      </c>
      <c r="AE265" s="2" t="e">
        <f ca="1">_xll.BDH($C$253,"WORK_CAP_GROWTH","FQ2 2016","FQ2 2016","Currency=INR","Period=FQ","BEST_FPERIOD_OVERRIDE=FQ","FILING_STATUS=OR","EQY_CONSOLIDATED=Y","Sort=A","Dates=H","DateFormat=P","Fill=—","Direction=H","UseDPDF=Y")</f>
        <v>#NAME?</v>
      </c>
      <c r="AF265" s="2" t="e">
        <f ca="1">_xll.BDH($C$253,"ACCOUNTS_PAYABLE_GROWTH_1YR","FQ2 2016","FQ2 2016","Currency=INR","Period=FQ","BEST_FPERIOD_OVERRIDE=FQ","FILING_STATUS=OR","EQY_CONSOLIDATED=Y","Sort=A","Dates=H","DateFormat=P","Fill=—","Direction=H","UseDPDF=Y")</f>
        <v>#NAME?</v>
      </c>
      <c r="AG265" s="2" t="e">
        <f ca="1">_xll.BDH($C$253,"SHORT_TERM_DEBT_1_YEAR_GROWTH","FQ2 2016","FQ2 2016","Currency=INR","Period=FQ","BEST_FPERIOD_OVERRIDE=FQ","FILING_STATUS=OR","EQY_CONSOLIDATED=Y","Sort=A","Dates=H","DateFormat=P","Fill=—","Direction=H","UseDPDF=Y")</f>
        <v>#NAME?</v>
      </c>
      <c r="AH265" s="2" t="e">
        <f ca="1">_xll.BDH($C$253,"TOTAL_DEBT_1_YEAR_GROWTH","FQ2 2016","FQ2 2016","Currency=INR","Period=FQ","BEST_FPERIOD_OVERRIDE=FQ","FILING_STATUS=OR","EQY_CONSOLIDATED=Y","Sort=A","Dates=H","DateFormat=P","Fill=—","Direction=H","UseDPDF=Y")</f>
        <v>#NAME?</v>
      </c>
      <c r="AI265" s="2" t="e">
        <f ca="1">_xll.BDH($C$253,"TOTAL_EQUITY_1_YEAR_GROWTH","FQ2 2016","FQ2 2016","Currency=INR","Period=FQ","BEST_FPERIOD_OVERRIDE=FQ","FILING_STATUS=OR","EQY_CONSOLIDATED=Y","Sort=A","Dates=H","DateFormat=P","Fill=—","Direction=H","UseDPDF=Y")</f>
        <v>#NAME?</v>
      </c>
      <c r="AJ265" s="2" t="e">
        <f ca="1">_xll.BDH($C$253,"GROWTH_IN_CAP","FQ2 2016","FQ2 2016","Currency=INR","Period=FQ","BEST_FPERIOD_OVERRIDE=FQ","FILING_STATUS=OR","EQY_CONSOLIDATED=Y","Sort=A","Dates=H","DateFormat=P","Fill=—","Direction=H","UseDPDF=Y")</f>
        <v>#NAME?</v>
      </c>
      <c r="AK265" s="2" t="e">
        <f ca="1">_xll.BDH($C$253,"BVPS_GROWTH","FQ2 2016","FQ2 2016","Currency=INR","Period=FQ","BEST_FPERIOD_OVERRIDE=FQ","FILING_STATUS=OR","EQY_CONSOLIDATED=Y","Sort=A","Dates=H","DateFormat=P","Fill=—","Direction=H","UseDPDF=Y")</f>
        <v>#NAME?</v>
      </c>
      <c r="AL265" s="2" t="e">
        <f ca="1">_xll.BDH($C$253,"CASH_FLOW_GROWTH","FQ2 2016","FQ2 2016","Currency=INR","Period=FQ","BEST_FPERIOD_OVERRIDE=FQ","FILING_STATUS=OR","EQY_CONSOLIDATED=Y","Sort=A","Dates=H","DateFormat=P","Fill=—","Direction=H","UseDPDF=Y")</f>
        <v>#NAME?</v>
      </c>
      <c r="AM265" s="2" t="e">
        <f ca="1">_xll.BDH($C$253,"GEO_GROW_NET_SALES","FQ2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265" s="2" t="e">
        <f ca="1">_xll.BDH($C$253,"GEO_GROW_EBITDA","FQ2 2016","FQ2 2016","Currency=INR","Period=FQ","BEST_FPERIOD_OVERRIDE=FQ","FILING_STATUS=OR","EQY_CONSOLIDATED=Y","FA_ADJUSTED=GAAP","Sort=A","Dates=H","DateFormat=P","Fill=—","Direction=H","UseDPDF=Y")</f>
        <v>#NAME?</v>
      </c>
      <c r="AO265" s="2" t="e">
        <f ca="1">_xll.BDH($C$253,"GEO_GROW_OPER_INC","FQ2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265" s="2" t="e">
        <f ca="1">_xll.BDH($C$253,"NET_INCOME_TO_COMMON_5_YR_GROWTH","FQ2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265" s="2" t="e">
        <f ca="1">_xll.BDH($C$253,"5Y_GEO_GROWTH_DILUTED_EPS","FQ2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265" s="2" t="e">
        <f ca="1">_xll.BDH($C$253,"GEO_GROW_DVD_PER_SH","FQ2 2016","FQ2 2016","Currency=INR","Period=FQ","BEST_FPERIOD_OVERRIDE=FQ","FILING_STATUS=OR","EQY_CONSOLIDATED=Y","Sort=A","Dates=H","DateFormat=P","Fill=—","Direction=H","UseDPDF=Y")</f>
        <v>#NAME?</v>
      </c>
      <c r="AS265" s="2" t="e">
        <f ca="1">_xll.BDH($C$253,"ACCOUNTS_RECEIVABLE_5_YR_GROWTH","FQ2 2016","FQ2 2016","Currency=INR","Period=FQ","BEST_FPERIOD_OVERRIDE=FQ","FILING_STATUS=OR","EQY_CONSOLIDATED=Y","Sort=A","Dates=H","DateFormat=P","Fill=—","Direction=H","UseDPDF=Y")</f>
        <v>#NAME?</v>
      </c>
      <c r="AT265" s="2" t="e">
        <f ca="1">_xll.BDH($C$253,"INVENTORY_5_YEAR_GROWTH","FQ2 2016","FQ2 2016","Currency=INR","Period=FQ","BEST_FPERIOD_OVERRIDE=FQ","FILING_STATUS=OR","EQY_CONSOLIDATED=Y","Sort=A","Dates=H","DateFormat=P","Fill=—","Direction=H","UseDPDF=Y")</f>
        <v>#NAME?</v>
      </c>
      <c r="AU265" s="2" t="e">
        <f ca="1">_xll.BDH($C$253,"NET_FIXED_ASSETS_5_YEAR_GROWTH","FQ2 2016","FQ2 2016","Currency=INR","Period=FQ","BEST_FPERIOD_OVERRIDE=FQ","FILING_STATUS=OR","EQY_CONSOLIDATED=Y","Sort=A","Dates=H","DateFormat=P","Fill=—","Direction=H","UseDPDF=Y")</f>
        <v>#NAME?</v>
      </c>
      <c r="AV265" s="2" t="e">
        <f ca="1">_xll.BDH($C$253,"GEO_GROW_TOT_ASSET","FQ2 2016","FQ2 2016","Currency=INR","Period=FQ","BEST_FPERIOD_OVERRIDE=FQ","FILING_STATUS=OR","EQY_CONSOLIDATED=Y","Sort=A","Dates=H","DateFormat=P","Fill=—","Direction=H","UseDPDF=Y")</f>
        <v>#NAME?</v>
      </c>
      <c r="AW265" s="2" t="e">
        <f ca="1">_xll.BDH($C$253,"MODIFIED_WORKING_CPTL_5YR_GRWTH","FQ2 2016","FQ2 2016","Currency=INR","Period=FQ","BEST_FPERIOD_OVERRIDE=FQ","FILING_STATUS=OR","EQY_CONSOLIDATED=Y","Sort=A","Dates=H","DateFormat=P","Fill=—","Direction=H","UseDPDF=Y")</f>
        <v>#NAME?</v>
      </c>
      <c r="AX265" s="2" t="e">
        <f ca="1">_xll.BDH($C$253,"WORKING_CAPITAL_5_YEAR_GROWTH","FQ2 2016","FQ2 2016","Currency=INR","Period=FQ","BEST_FPERIOD_OVERRIDE=FQ","FILING_STATUS=OR","EQY_CONSOLIDATED=Y","Sort=A","Dates=H","DateFormat=P","Fill=—","Direction=H","UseDPDF=Y")</f>
        <v>#NAME?</v>
      </c>
      <c r="AY265" s="2" t="e">
        <f ca="1">_xll.BDH($C$253,"ACCOUNTS_PAYABLE_5_YEAR_GROWTH","FQ2 2016","FQ2 2016","Currency=INR","Period=FQ","BEST_FPERIOD_OVERRIDE=FQ","FILING_STATUS=OR","EQY_CONSOLIDATED=Y","Sort=A","Dates=H","DateFormat=P","Fill=—","Direction=H","UseDPDF=Y")</f>
        <v>#NAME?</v>
      </c>
      <c r="AZ265" s="2" t="e">
        <f ca="1">_xll.BDH($C$253,"SHORT_TERM_DEBT_5_YEAR_GROWTH","FQ2 2016","FQ2 2016","Currency=INR","Period=FQ","BEST_FPERIOD_OVERRIDE=FQ","FILING_STATUS=OR","EQY_CONSOLIDATED=Y","Sort=A","Dates=H","DateFormat=P","Fill=—","Direction=H","UseDPDF=Y")</f>
        <v>#NAME?</v>
      </c>
      <c r="BA265" s="2" t="e">
        <f ca="1">_xll.BDH($C$253,"TOTAL_DEBT_5_YEAR_GROWTH","FQ2 2016","FQ2 2016","Currency=INR","Period=FQ","BEST_FPERIOD_OVERRIDE=FQ","FILING_STATUS=OR","EQY_CONSOLIDATED=Y","Sort=A","Dates=H","DateFormat=P","Fill=—","Direction=H","UseDPDF=Y")</f>
        <v>#NAME?</v>
      </c>
      <c r="BB265" s="2" t="e">
        <f ca="1">_xll.BDH($C$253,"GEO_GROW_TOT_SHRHLDR_EQY","FQ2 2016","FQ2 2016","Currency=INR","Period=FQ","BEST_FPERIOD_OVERRIDE=FQ","FILING_STATUS=OR","EQY_CONSOLIDATED=Y","Sort=A","Dates=H","DateFormat=P","Fill=—","Direction=H","UseDPDF=Y")</f>
        <v>#NAME?</v>
      </c>
      <c r="BC265" s="2" t="e">
        <f ca="1">_xll.BDH($C$253,"TOTAL_CAPITAL_5_YEAR_GROWTH","FQ2 2016","FQ2 2016","Currency=INR","Period=FQ","BEST_FPERIOD_OVERRIDE=FQ","FILING_STATUS=OR","EQY_CONSOLIDATED=Y","Sort=A","Dates=H","DateFormat=P","Fill=—","Direction=H","UseDPDF=Y")</f>
        <v>#NAME?</v>
      </c>
      <c r="BD265" s="2" t="e">
        <f ca="1">_xll.BDH($C$253,"GEO_GROW_BOOK_VAL","FQ2 2016","FQ2 2016","Currency=INR","Period=FQ","BEST_FPERIOD_OVERRIDE=FQ","FILING_STATUS=OR","EQY_CONSOLIDATED=Y","Sort=A","Dates=H","DateFormat=P","Fill=—","Direction=H","UseDPDF=Y")</f>
        <v>#NAME?</v>
      </c>
      <c r="BE265" s="2" t="e">
        <f ca="1">_xll.BDH($C$253,"GEO_GROW_CASH_OPER_ACT","FQ2 2016","FQ2 2016","Currency=INR","Period=FQ","BEST_FPERIOD_OVERRIDE=FQ","FILING_STATUS=OR","EQY_CONSOLIDATED=Y","Sort=A","Dates=H","DateFormat=P","Fill=—","Direction=H","UseDPDF=Y")</f>
        <v>#NAME?</v>
      </c>
      <c r="BF265" s="2" t="e">
        <f ca="1">_xll.BDH($C$253,"REVENUE_SEQUENTIAL_GROWTH","FQ2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265" s="2" t="e">
        <f ca="1">_xll.BDH($C$253,"EBITDA_SEQUENTIAL_GROWTH","FQ2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265" s="2" t="e">
        <f ca="1">_xll.BDH($C$253,"OPERATING_INCOME_SEQ_GROWTH","FQ2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265" s="2" t="e">
        <f ca="1">_xll.BDH($C$253,"NET_INCOME_TO_COMMON_SEQ_GROWTH","FQ2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265" s="2" t="e">
        <f ca="1">_xll.BDH($C$253,"EPS_DILUTED_SEQUENTIAL_GROWTH","FQ2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265" s="2" t="e">
        <f ca="1">_xll.BDH($C$253,"DPS_SEQUENTIAL_GROWTH","FQ2 2016","FQ2 2016","Currency=INR","Period=FQ","BEST_FPERIOD_OVERRIDE=FQ","FILING_STATUS=OR","EQY_CONSOLIDATED=Y","Sort=A","Dates=H","DateFormat=P","Fill=—","Direction=H","UseDPDF=Y")</f>
        <v>#NAME?</v>
      </c>
      <c r="BL265" s="2" t="e">
        <f ca="1">_xll.BDH($C$253,"ACCOUNTS_RECEIVABLE_SEQ_GROWTH","FQ2 2016","FQ2 2016","Currency=INR","Period=FQ","BEST_FPERIOD_OVERRIDE=FQ","FILING_STATUS=OR","EQY_CONSOLIDATED=Y","Sort=A","Dates=H","DateFormat=P","Fill=—","Direction=H","UseDPDF=Y")</f>
        <v>#NAME?</v>
      </c>
      <c r="BM265" s="2" t="e">
        <f ca="1">_xll.BDH($C$253,"INVENTORY_SEQUENTIAL_GROWTH","FQ2 2016","FQ2 2016","Currency=INR","Period=FQ","BEST_FPERIOD_OVERRIDE=FQ","FILING_STATUS=OR","EQY_CONSOLIDATED=Y","Sort=A","Dates=H","DateFormat=P","Fill=—","Direction=H","UseDPDF=Y")</f>
        <v>#NAME?</v>
      </c>
      <c r="BN265" s="2" t="e">
        <f ca="1">_xll.BDH($C$253,"FIXED_ASSETS_SEQUENTIAL_GROWTH","FQ2 2016","FQ2 2016","Currency=INR","Period=FQ","BEST_FPERIOD_OVERRIDE=FQ","FILING_STATUS=OR","EQY_CONSOLIDATED=Y","Sort=A","Dates=H","DateFormat=P","Fill=—","Direction=H","UseDPDF=Y")</f>
        <v>#NAME?</v>
      </c>
      <c r="BO265" s="2" t="e">
        <f ca="1">_xll.BDH($C$253,"TOTAL_ASSETS_SEQUENTIAL_GROWTH","FQ2 2016","FQ2 2016","Currency=INR","Period=FQ","BEST_FPERIOD_OVERRIDE=FQ","FILING_STATUS=OR","EQY_CONSOLIDATED=Y","Sort=A","Dates=H","DateFormat=P","Fill=—","Direction=H","UseDPDF=Y")</f>
        <v>#NAME?</v>
      </c>
      <c r="BP265" s="2" t="e">
        <f ca="1">_xll.BDH($C$253,"MODIFIED_WORKING_CPTL_SEQ_GRWTH","FQ2 2016","FQ2 2016","Currency=INR","Period=FQ","BEST_FPERIOD_OVERRIDE=FQ","FILING_STATUS=OR","EQY_CONSOLIDATED=Y","Sort=A","Dates=H","DateFormat=P","Fill=—","Direction=H","UseDPDF=Y")</f>
        <v>#NAME?</v>
      </c>
      <c r="BQ265" s="2" t="e">
        <f ca="1">_xll.BDH($C$253,"WORKING_CAPITAL_SEQ_GROWTH","FQ2 2016","FQ2 2016","Currency=INR","Period=FQ","BEST_FPERIOD_OVERRIDE=FQ","FILING_STATUS=OR","EQY_CONSOLIDATED=Y","Sort=A","Dates=H","DateFormat=P","Fill=—","Direction=H","UseDPDF=Y")</f>
        <v>#NAME?</v>
      </c>
      <c r="BR265" s="2" t="e">
        <f ca="1">_xll.BDH($C$253,"ACCOUNTS_PAYABLE_SEQ_GROWTH","FQ2 2016","FQ2 2016","Currency=INR","Period=FQ","BEST_FPERIOD_OVERRIDE=FQ","FILING_STATUS=OR","EQY_CONSOLIDATED=Y","Sort=A","Dates=H","DateFormat=P","Fill=—","Direction=H","UseDPDF=Y")</f>
        <v>#NAME?</v>
      </c>
      <c r="BS265" s="2" t="e">
        <f ca="1">_xll.BDH($C$253,"ST_DEBT_SEQUENTIAL_GROWTH","FQ2 2016","FQ2 2016","Currency=INR","Period=FQ","BEST_FPERIOD_OVERRIDE=FQ","FILING_STATUS=OR","EQY_CONSOLIDATED=Y","Sort=A","Dates=H","DateFormat=P","Fill=—","Direction=H","UseDPDF=Y")</f>
        <v>#NAME?</v>
      </c>
      <c r="BT265" s="2" t="e">
        <f ca="1">_xll.BDH($C$253,"TOTAL_DEBT_SEQUENTIAL_GROWTH","FQ2 2016","FQ2 2016","Currency=INR","Period=FQ","BEST_FPERIOD_OVERRIDE=FQ","FILING_STATUS=OR","EQY_CONSOLIDATED=Y","Sort=A","Dates=H","DateFormat=P","Fill=—","Direction=H","UseDPDF=Y")</f>
        <v>#NAME?</v>
      </c>
      <c r="BU265" s="2" t="e">
        <f ca="1">_xll.BDH($C$253,"TOTAL_EQUITY_SEQUENTIAL_GROWTH","FQ2 2016","FQ2 2016","Currency=INR","Period=FQ","BEST_FPERIOD_OVERRIDE=FQ","FILING_STATUS=OR","EQY_CONSOLIDATED=Y","Sort=A","Dates=H","DateFormat=P","Fill=—","Direction=H","UseDPDF=Y")</f>
        <v>#NAME?</v>
      </c>
      <c r="BV265" s="2" t="e">
        <f ca="1">_xll.BDH($C$253,"TOTAL_CAPITAL_SEQUENTIAL_GROWTH","FQ2 2016","FQ2 2016","Currency=INR","Period=FQ","BEST_FPERIOD_OVERRIDE=FQ","FILING_STATUS=OR","EQY_CONSOLIDATED=Y","Sort=A","Dates=H","DateFormat=P","Fill=—","Direction=H","UseDPDF=Y")</f>
        <v>#NAME?</v>
      </c>
      <c r="BW265" s="2" t="e">
        <f ca="1">_xll.BDH($C$253,"BPS_SEQUENTIAL_GROWTH","FQ2 2016","FQ2 2016","Currency=INR","Period=FQ","BEST_FPERIOD_OVERRIDE=FQ","FILING_STATUS=OR","EQY_CONSOLIDATED=Y","Sort=A","Dates=H","DateFormat=P","Fill=—","Direction=H","UseDPDF=Y")</f>
        <v>#NAME?</v>
      </c>
      <c r="BX265" s="2" t="e">
        <f ca="1">_xll.BDH($C$253,"CFO_SEQUENTIAL_GROWTH","FQ2 2016","FQ2 2016","Currency=INR","Period=FQ","BEST_FPERIOD_OVERRIDE=FQ","FILING_STATUS=OR","EQY_CONSOLIDATED=Y","Sort=A","Dates=H","DateFormat=P","Fill=—","Direction=H","UseDPDF=Y")</f>
        <v>#NAME?</v>
      </c>
      <c r="BY265" s="3" t="e">
        <f ca="1">_xll.BDH($C$253,"SHORT_AND_LONG_TERM_DEBT","FQ2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265" s="3" t="e">
        <f ca="1">_xll.BDH($C$253,"BS_ST_BORROW","FQ2 2016","FQ2 2016","Currency=INR","Period=FQ","BEST_FPERIOD_OVERRIDE=FQ","FILING_STATUS=OR","EQY_CONSOLIDATED=Y","SCALING_FORMAT=MLN","Sort=A","Dates=H","DateFormat=P","Fill=—","Direction=H","UseDPDF=Y")</f>
        <v>#NAME?</v>
      </c>
      <c r="CA265" s="3" t="e">
        <f ca="1">_xll.BDH($C$253,"BS_LT_BORROW","FQ2 2016","FQ2 2016","Currency=INR","Period=FQ","BEST_FPERIOD_OVERRIDE=FQ","FILING_STATUS=OR","EQY_CONSOLIDATED=Y","SCALING_FORMAT=MLN","Sort=A","Dates=H","DateFormat=P","Fill=—","Direction=H","UseDPDF=Y")</f>
        <v>#NAME?</v>
      </c>
      <c r="CB265" s="2" t="e">
        <f ca="1">_xll.BDH($C$253,"TOT_DEBT_TO_EBITDA","FQ2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265" s="2" t="e">
        <f ca="1">_xll.BDH($C$253,"NET_DEBT_TO_EBITDA","FQ2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265" s="2" t="e">
        <f ca="1">_xll.BDH($C$253,"TOTAL_DEBT_TO_EBIT","FQ2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265" s="2" t="e">
        <f ca="1">_xll.BDH($C$253,"NET_DEBT_TO_EBIT","FQ2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265" s="2" t="e">
        <f ca="1">_xll.BDH($C$253,"EBITDA_TO_INTEREST_EXPN","FQ2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265" s="2" t="e">
        <f ca="1">_xll.BDH($C$253,"COM_EQY_TO_TOT_ASSET","FQ2 2016","FQ2 2016","Currency=INR","Period=FQ","BEST_FPERIOD_OVERRIDE=FQ","FILING_STATUS=OR","EQY_CONSOLIDATED=Y","Sort=A","Dates=H","DateFormat=P","Fill=—","Direction=H","UseDPDF=Y")</f>
        <v>#NAME?</v>
      </c>
      <c r="CH265" s="2" t="e">
        <f ca="1">_xll.BDH($C$253,"LT_DEBT_TO_TOT_EQY","FQ2 2016","FQ2 2016","Currency=INR","Period=FQ","BEST_FPERIOD_OVERRIDE=FQ","FILING_STATUS=OR","EQY_CONSOLIDATED=Y","Sort=A","Dates=H","DateFormat=P","Fill=—","Direction=H","UseDPDF=Y")</f>
        <v>#NAME?</v>
      </c>
      <c r="CI265" s="2" t="e">
        <f ca="1">_xll.BDH($C$253,"LT_DEBT_TO_TOT_CAP","FQ2 2016","FQ2 2016","Currency=INR","Period=FQ","BEST_FPERIOD_OVERRIDE=FQ","FILING_STATUS=OR","EQY_CONSOLIDATED=Y","Sort=A","Dates=H","DateFormat=P","Fill=—","Direction=H","UseDPDF=Y")</f>
        <v>#NAME?</v>
      </c>
      <c r="CJ265" s="2" t="e">
        <f ca="1">_xll.BDH($C$253,"LT_DEBT_TO_TOT_ASSET","FQ2 2016","FQ2 2016","Currency=INR","Period=FQ","BEST_FPERIOD_OVERRIDE=FQ","FILING_STATUS=OR","EQY_CONSOLIDATED=Y","Sort=A","Dates=H","DateFormat=P","Fill=—","Direction=H","UseDPDF=Y")</f>
        <v>#NAME?</v>
      </c>
      <c r="CK265" s="2" t="e">
        <f ca="1">_xll.BDH($C$253,"TOT_DEBT_TO_TOT_EQY","FQ2 2016","FQ2 2016","Currency=INR","Period=FQ","BEST_FPERIOD_OVERRIDE=FQ","FILING_STATUS=OR","EQY_CONSOLIDATED=Y","Sort=A","Dates=H","DateFormat=P","Fill=—","Direction=H","UseDPDF=Y")</f>
        <v>#NAME?</v>
      </c>
      <c r="CL265" s="2" t="e">
        <f ca="1">_xll.BDH($C$253,"TOT_DEBT_TO_TOT_CAP","FQ2 2016","FQ2 2016","Currency=INR","Period=FQ","BEST_FPERIOD_OVERRIDE=FQ","FILING_STATUS=OR","EQY_CONSOLIDATED=Y","Sort=A","Dates=H","DateFormat=P","Fill=—","Direction=H","UseDPDF=Y")</f>
        <v>#NAME?</v>
      </c>
      <c r="CM265" s="2" t="e">
        <f ca="1">_xll.BDH($C$253,"TOT_DEBT_TO_TOT_ASSET","FQ2 2016","FQ2 2016","Currency=INR","Period=FQ","BEST_FPERIOD_OVERRIDE=FQ","FILING_STATUS=OR","EQY_CONSOLIDATED=Y","Sort=A","Dates=H","DateFormat=P","Fill=—","Direction=H","UseDPDF=Y")</f>
        <v>#NAME?</v>
      </c>
      <c r="CN265" s="2" t="e">
        <f ca="1">_xll.BDH($C$253,"NET_DEBT_TO_SHRHLDR_EQTY","FQ2 2016","FQ2 2016","Currency=INR","Period=FQ","BEST_FPERIOD_OVERRIDE=FQ","FILING_STATUS=OR","EQY_CONSOLIDATED=Y","Sort=A","Dates=H","DateFormat=P","Fill=—","Direction=H","UseDPDF=Y")</f>
        <v>#NAME?</v>
      </c>
      <c r="CO265" s="2" t="e">
        <f ca="1">_xll.BDH($C$253,"NET_DEBT_%_CAPITAL","FQ2 2016","FQ2 2016","Currency=INR","Period=FQ","BEST_FPERIOD_OVERRIDE=FQ","FILING_STATUS=OR","EQY_CONSOLIDATED=Y","Sort=A","Dates=H","DateFormat=P","Fill=—","Direction=H","UseDPDF=Y")</f>
        <v>#NAME?</v>
      </c>
      <c r="CP265" s="3" t="e">
        <f ca="1">_xll.BDH($C$253,"EBITDA","FQ2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265" s="3" t="e">
        <f ca="1">_xll.BDH($C$253,"EBITDA_AFTER_CAPEX","FQ2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265" s="3" t="e">
        <f ca="1">_xll.BDH($C$253,"IS_OPER_INC","FQ2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265" s="2" t="e">
        <f ca="1">_xll.BDH($C$253,"CASH_RATIO","FQ2 2016","FQ2 2016","Currency=INR","Period=FQ","BEST_FPERIOD_OVERRIDE=FQ","FILING_STATUS=OR","EQY_CONSOLIDATED=Y","Sort=A","Dates=H","DateFormat=P","Fill=—","Direction=H","UseDPDF=Y")</f>
        <v>#NAME?</v>
      </c>
      <c r="CT265" s="2" t="e">
        <f ca="1">_xll.BDH($C$253,"CUR_RATIO","FQ2 2016","FQ2 2016","Currency=INR","Period=FQ","BEST_FPERIOD_OVERRIDE=FQ","FILING_STATUS=OR","EQY_CONSOLIDATED=Y","Sort=A","Dates=H","DateFormat=P","Fill=—","Direction=H","UseDPDF=Y")</f>
        <v>#NAME?</v>
      </c>
      <c r="CU265" s="2" t="e">
        <f ca="1">_xll.BDH($C$253,"QUICK_RATIO","FQ2 2016","FQ2 2016","Currency=INR","Period=FQ","BEST_FPERIOD_OVERRIDE=FQ","FILING_STATUS=OR","EQY_CONSOLIDATED=Y","Sort=A","Dates=H","DateFormat=P","Fill=—","Direction=H","UseDPDF=Y")</f>
        <v>#NAME?</v>
      </c>
      <c r="CV265" s="2" t="e">
        <f ca="1">_xll.BDH($C$253,"ALTMAN_Z_SCORE","FQ2 2016","FQ2 2016","Currency=INR","Period=FQ","BEST_FPERIOD_OVERRIDE=FQ","FILING_STATUS=OR","EQY_CONSOLIDATED=Y","Sort=A","Dates=H","DateFormat=P","Fill=—","Direction=H","UseDPDF=Y")</f>
        <v>#NAME?</v>
      </c>
      <c r="CW265" s="4" t="e">
        <f ca="1">_xll.BDH($C$253,"ACCT_RCV_TURN","FQ2 2016","FQ2 2016","Currency=INR","Period=FQ","BEST_FPERIOD_OVERRIDE=FQ","FILING_STATUS=OR","EQY_CONSOLIDATED=Y","FA_ADJUSTED=GAAP","Sort=A","Dates=H","DateFormat=P","Fill=—","Direction=H","UseDPDF=Y")</f>
        <v>#NAME?</v>
      </c>
      <c r="CX265" s="2" t="e">
        <f ca="1">_xll.BDH($C$253,"ACCT_RCV_DAYS","FQ2 2016","FQ2 2016","Currency=INR","Period=FQ","BEST_FPERIOD_OVERRIDE=FQ","FILING_STATUS=OR","EQY_CONSOLIDATED=Y","FA_ADJUSTED=GAAP","Sort=A","Dates=H","DateFormat=P","Fill=—","Direction=H","UseDPDF=Y")</f>
        <v>#NAME?</v>
      </c>
      <c r="CY265" s="4" t="e">
        <f ca="1">_xll.BDH($C$253,"INVENT_TURN","FQ2 2016","FQ2 2016","Currency=INR","Period=FQ","BEST_FPERIOD_OVERRIDE=FQ","FILING_STATUS=OR","EQY_CONSOLIDATED=Y","FA_ADJUSTED=GAAP","Sort=A","Dates=H","DateFormat=P","Fill=—","Direction=H","UseDPDF=Y")</f>
        <v>#NAME?</v>
      </c>
      <c r="CZ265" s="2" t="e">
        <f ca="1">_xll.BDH($C$253,"INVENT_DAYS","FQ2 2016","FQ2 2016","Currency=INR","Period=FQ","BEST_FPERIOD_OVERRIDE=FQ","FILING_STATUS=OR","EQY_CONSOLIDATED=Y","FA_ADJUSTED=GAAP","Sort=A","Dates=H","DateFormat=P","Fill=—","Direction=H","UseDPDF=Y")</f>
        <v>#NAME?</v>
      </c>
      <c r="DA265" s="4" t="e">
        <f ca="1">_xll.BDH($C$253,"ACCOUNTS_PAYABLE_TURNOVER","FQ2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265" s="2" t="e">
        <f ca="1">_xll.BDH($C$253,"ACCOUNTS_PAYABLE_TURNOVER_DAYS","FQ2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265" s="4" t="e">
        <f ca="1">_xll.BDH($C$253,"CASH_CONVERSION_CYCLE","FQ2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265" s="4" t="e">
        <f ca="1">_xll.BDH($C$253,"INV_TO_CASH_DAYS","FQ2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265" s="5" t="e">
        <f ca="1">_xll.BDH($C$253,"BS_INVENTORIES","FQ2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265" s="3" t="e">
        <f ca="1">_xll.BDH($C$253,"INVTRY_RAW_MATERIALS","FQ2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265" s="3" t="e">
        <f ca="1">_xll.BDH($C$253,"INVTRY_IN_PROGRESS","FQ2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265" s="3" t="e">
        <f ca="1">_xll.BDH($C$253,"INVTRY_FINISHED_GOODS","FQ2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265" s="3" t="e">
        <f ca="1">_xll.BDH($C$253,"BS_OTHER_INV","FQ2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266" spans="1:113" x14ac:dyDescent="0.3">
      <c r="A266" s="6"/>
      <c r="B266" s="6"/>
      <c r="C266" s="6"/>
      <c r="D266" s="6"/>
      <c r="E266" t="s">
        <v>80</v>
      </c>
      <c r="F266" t="e">
        <f ca="1">_xll.BDH($C$253,"RETURN_COM_EQY","FQ3 2016","FQ3 2016","Currency=INR","Period=FQ","BEST_FPERIOD_OVERRIDE=FQ","FILING_STATUS=OR","EQY_CONSOLIDATED=Y","FA_ADJUSTED=GAAP","Sort=A","Dates=H","DateFormat=P","Fill=—","Direction=H","UseDPDF=Y")</f>
        <v>#NAME?</v>
      </c>
      <c r="G266" t="e">
        <f ca="1">_xll.BDH($C$253,"RETURN_ON_ASSET","FQ3 2016","FQ3 2016","Currency=INR","Period=FQ","BEST_FPERIOD_OVERRIDE=FQ","FILING_STATUS=OR","EQY_CONSOLIDATED=Y","FA_ADJUSTED=GAAP","Sort=A","Dates=H","DateFormat=P","Fill=—","Direction=H","UseDPDF=Y")</f>
        <v>#NAME?</v>
      </c>
      <c r="H266" t="e">
        <f ca="1">_xll.BDH($C$253,"RETURN_ON_CAP","FQ3 2016","FQ3 2016","Currency=INR","Period=FQ","BEST_FPERIOD_OVERRIDE=FQ","FILING_STATUS=OR","EQY_CONSOLIDATED=Y","FA_ADJUSTED=GAAP","Sort=A","Dates=H","DateFormat=P","Fill=—","Direction=H","UseDPDF=Y")</f>
        <v>#NAME?</v>
      </c>
      <c r="I266" t="e">
        <f ca="1">_xll.BDH($C$253,"RETURN_ON_INV_CAPITAL","FQ3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266" t="e">
        <f ca="1">_xll.BDH($C$253,"EBITDA_TO_REVENUE","FQ3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266" t="e">
        <f ca="1">_xll.BDH($C$253,"OPER_MARGIN","FQ3 2016","FQ3 2016","Currency=INR","Period=FQ","BEST_FPERIOD_OVERRIDE=FQ","FILING_STATUS=OR","EQY_CONSOLIDATED=Y","FA_ADJUSTED=GAAP","Sort=A","Dates=H","DateFormat=P","Fill=—","Direction=H","UseDPDF=Y")</f>
        <v>#NAME?</v>
      </c>
      <c r="L266" t="e">
        <f ca="1">_xll.BDH($C$253,"INCREMENTAL_OPERATING_MARGIN","FQ3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266" t="e">
        <f ca="1">_xll.BDH($C$253,"PRETAX_INC_TO_NET_SALES","FQ3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266" t="e">
        <f ca="1">_xll.BDH($C$253,"INC_BEF_XO_ITEMS_TO_NET_SALES","FQ3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266" t="e">
        <f ca="1">_xll.BDH($C$253,"PROF_MARGIN","FQ3 2016","FQ3 2016","Currency=INR","Period=FQ","BEST_FPERIOD_OVERRIDE=FQ","FILING_STATUS=OR","EQY_CONSOLIDATED=Y","FA_ADJUSTED=GAAP","Sort=A","Dates=H","DateFormat=P","Fill=—","Direction=H","UseDPDF=Y")</f>
        <v>#NAME?</v>
      </c>
      <c r="P266" t="e">
        <f ca="1">_xll.BDH($C$253,"NET_INCOME_TO_COMMON_MARGIN","FQ3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266" t="e">
        <f ca="1">_xll.BDH($C$253,"EFF_TAX_RATE","FQ3 2016","FQ3 2016","Currency=INR","Period=FQ","BEST_FPERIOD_OVERRIDE=FQ","FILING_STATUS=OR","EQY_CONSOLIDATED=Y","FA_ADJUSTED=GAAP","Sort=A","Dates=H","DateFormat=P","Fill=—","Direction=H","UseDPDF=Y")</f>
        <v>#NAME?</v>
      </c>
      <c r="R266" t="e">
        <f ca="1">_xll.BDH($C$253,"DVD_PAYOUT_RATIO","FQ3 2016","FQ3 2016","Currency=INR","Period=FQ","BEST_FPERIOD_OVERRIDE=FQ","FILING_STATUS=OR","EQY_CONSOLIDATED=Y","FA_ADJUSTED=GAAP","Sort=A","Dates=H","DateFormat=P","Fill=—","Direction=H","UseDPDF=Y")</f>
        <v>#NAME?</v>
      </c>
      <c r="S266" t="e">
        <f ca="1">_xll.BDH($C$253,"SUSTAIN_GROWTH_RT","FQ3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266" s="2" t="e">
        <f ca="1">_xll.BDH($C$253,"SALES_GROWTH","FQ3 2016","FQ3 2016","Currency=INR","Period=FQ","BEST_FPERIOD_OVERRIDE=FQ","FILING_STATUS=OR","EQY_CONSOLIDATED=Y","FA_ADJUSTED=GAAP","Sort=A","Dates=H","DateFormat=P","Fill=—","Direction=H","UseDPDF=Y")</f>
        <v>#NAME?</v>
      </c>
      <c r="U266" s="2" t="e">
        <f ca="1">_xll.BDH($C$253,"EBITDA_GROWTH","FQ3 2016","FQ3 2016","Currency=INR","Period=FQ","BEST_FPERIOD_OVERRIDE=FQ","FILING_STATUS=OR","EQY_CONSOLIDATED=Y","FA_ADJUSTED=GAAP","Sort=A","Dates=H","DateFormat=P","Fill=—","Direction=H","UseDPDF=Y")</f>
        <v>#NAME?</v>
      </c>
      <c r="V266" s="2" t="e">
        <f ca="1">_xll.BDH($C$253,"OPER_INC_GROWTH","FQ3 2016","FQ3 2016","Currency=INR","Period=FQ","BEST_FPERIOD_OVERRIDE=FQ","FILING_STATUS=OR","EQY_CONSOLIDATED=Y","FA_ADJUSTED=GAAP","Sort=A","Dates=H","DateFormat=P","Fill=—","Direction=H","UseDPDF=Y")</f>
        <v>#NAME?</v>
      </c>
      <c r="W266" s="2" t="e">
        <f ca="1">_xll.BDH($C$253,"EARN_FOR_COM_GROWTH","FQ3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266" s="2" t="e">
        <f ca="1">_xll.BDH($C$253,"DILUTED_EPS_AFT_XO_ITEMS_GROWTH","FQ3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266" s="2" t="e">
        <f ca="1">_xll.BDH($C$253,"DIVIDEND_PER_SHARE_1_YEAR_GROWTH","FQ3 2016","FQ3 2016","Currency=INR","Period=FQ","BEST_FPERIOD_OVERRIDE=FQ","FILING_STATUS=OR","EQY_CONSOLIDATED=Y","Sort=A","Dates=H","DateFormat=P","Fill=—","Direction=H","UseDPDF=Y")</f>
        <v>#NAME?</v>
      </c>
      <c r="Z266" s="2" t="e">
        <f ca="1">_xll.BDH($C$253,"ACCOUNTS_RECEIVABLE_GROWTH","FQ3 2016","FQ3 2016","Currency=INR","Period=FQ","BEST_FPERIOD_OVERRIDE=FQ","FILING_STATUS=OR","EQY_CONSOLIDATED=Y","Sort=A","Dates=H","DateFormat=P","Fill=—","Direction=H","UseDPDF=Y")</f>
        <v>#NAME?</v>
      </c>
      <c r="AA266" s="2" t="e">
        <f ca="1">_xll.BDH($C$253,"INVENTORY_GROWTH","FQ3 2016","FQ3 2016","Currency=INR","Period=FQ","BEST_FPERIOD_OVERRIDE=FQ","FILING_STATUS=OR","EQY_CONSOLIDATED=Y","Sort=A","Dates=H","DateFormat=P","Fill=—","Direction=H","UseDPDF=Y")</f>
        <v>#NAME?</v>
      </c>
      <c r="AB266" s="2" t="e">
        <f ca="1">_xll.BDH($C$253,"NET_FIXED_ASSETS_1_YEAR_GROWTH","FQ3 2016","FQ3 2016","Currency=INR","Period=FQ","BEST_FPERIOD_OVERRIDE=FQ","FILING_STATUS=OR","EQY_CONSOLIDATED=Y","Sort=A","Dates=H","DateFormat=P","Fill=—","Direction=H","UseDPDF=Y")</f>
        <v>#NAME?</v>
      </c>
      <c r="AC266" s="2" t="e">
        <f ca="1">_xll.BDH($C$253,"ASSET_GROWTH","FQ3 2016","FQ3 2016","Currency=INR","Period=FQ","BEST_FPERIOD_OVERRIDE=FQ","FILING_STATUS=OR","EQY_CONSOLIDATED=Y","Sort=A","Dates=H","DateFormat=P","Fill=—","Direction=H","UseDPDF=Y")</f>
        <v>#NAME?</v>
      </c>
      <c r="AD266" s="2" t="e">
        <f ca="1">_xll.BDH($C$253,"MODIFIED_WORK_CAP_GROWTH","FQ3 2016","FQ3 2016","Currency=INR","Period=FQ","BEST_FPERIOD_OVERRIDE=FQ","FILING_STATUS=OR","EQY_CONSOLIDATED=Y","Sort=A","Dates=H","DateFormat=P","Fill=—","Direction=H","UseDPDF=Y")</f>
        <v>#NAME?</v>
      </c>
      <c r="AE266" s="2" t="e">
        <f ca="1">_xll.BDH($C$253,"WORK_CAP_GROWTH","FQ3 2016","FQ3 2016","Currency=INR","Period=FQ","BEST_FPERIOD_OVERRIDE=FQ","FILING_STATUS=OR","EQY_CONSOLIDATED=Y","Sort=A","Dates=H","DateFormat=P","Fill=—","Direction=H","UseDPDF=Y")</f>
        <v>#NAME?</v>
      </c>
      <c r="AF266" s="2" t="e">
        <f ca="1">_xll.BDH($C$253,"ACCOUNTS_PAYABLE_GROWTH_1YR","FQ3 2016","FQ3 2016","Currency=INR","Period=FQ","BEST_FPERIOD_OVERRIDE=FQ","FILING_STATUS=OR","EQY_CONSOLIDATED=Y","Sort=A","Dates=H","DateFormat=P","Fill=—","Direction=H","UseDPDF=Y")</f>
        <v>#NAME?</v>
      </c>
      <c r="AG266" s="2" t="e">
        <f ca="1">_xll.BDH($C$253,"SHORT_TERM_DEBT_1_YEAR_GROWTH","FQ3 2016","FQ3 2016","Currency=INR","Period=FQ","BEST_FPERIOD_OVERRIDE=FQ","FILING_STATUS=OR","EQY_CONSOLIDATED=Y","Sort=A","Dates=H","DateFormat=P","Fill=—","Direction=H","UseDPDF=Y")</f>
        <v>#NAME?</v>
      </c>
      <c r="AH266" s="2" t="e">
        <f ca="1">_xll.BDH($C$253,"TOTAL_DEBT_1_YEAR_GROWTH","FQ3 2016","FQ3 2016","Currency=INR","Period=FQ","BEST_FPERIOD_OVERRIDE=FQ","FILING_STATUS=OR","EQY_CONSOLIDATED=Y","Sort=A","Dates=H","DateFormat=P","Fill=—","Direction=H","UseDPDF=Y")</f>
        <v>#NAME?</v>
      </c>
      <c r="AI266" s="2" t="e">
        <f ca="1">_xll.BDH($C$253,"TOTAL_EQUITY_1_YEAR_GROWTH","FQ3 2016","FQ3 2016","Currency=INR","Period=FQ","BEST_FPERIOD_OVERRIDE=FQ","FILING_STATUS=OR","EQY_CONSOLIDATED=Y","Sort=A","Dates=H","DateFormat=P","Fill=—","Direction=H","UseDPDF=Y")</f>
        <v>#NAME?</v>
      </c>
      <c r="AJ266" s="2" t="e">
        <f ca="1">_xll.BDH($C$253,"GROWTH_IN_CAP","FQ3 2016","FQ3 2016","Currency=INR","Period=FQ","BEST_FPERIOD_OVERRIDE=FQ","FILING_STATUS=OR","EQY_CONSOLIDATED=Y","Sort=A","Dates=H","DateFormat=P","Fill=—","Direction=H","UseDPDF=Y")</f>
        <v>#NAME?</v>
      </c>
      <c r="AK266" s="2" t="e">
        <f ca="1">_xll.BDH($C$253,"BVPS_GROWTH","FQ3 2016","FQ3 2016","Currency=INR","Period=FQ","BEST_FPERIOD_OVERRIDE=FQ","FILING_STATUS=OR","EQY_CONSOLIDATED=Y","Sort=A","Dates=H","DateFormat=P","Fill=—","Direction=H","UseDPDF=Y")</f>
        <v>#NAME?</v>
      </c>
      <c r="AL266" s="2" t="e">
        <f ca="1">_xll.BDH($C$253,"CASH_FLOW_GROWTH","FQ3 2016","FQ3 2016","Currency=INR","Period=FQ","BEST_FPERIOD_OVERRIDE=FQ","FILING_STATUS=OR","EQY_CONSOLIDATED=Y","Sort=A","Dates=H","DateFormat=P","Fill=—","Direction=H","UseDPDF=Y")</f>
        <v>#NAME?</v>
      </c>
      <c r="AM266" s="2" t="e">
        <f ca="1">_xll.BDH($C$253,"GEO_GROW_NET_SALES","FQ3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266" s="2" t="e">
        <f ca="1">_xll.BDH($C$253,"GEO_GROW_EBITDA","FQ3 2016","FQ3 2016","Currency=INR","Period=FQ","BEST_FPERIOD_OVERRIDE=FQ","FILING_STATUS=OR","EQY_CONSOLIDATED=Y","FA_ADJUSTED=GAAP","Sort=A","Dates=H","DateFormat=P","Fill=—","Direction=H","UseDPDF=Y")</f>
        <v>#NAME?</v>
      </c>
      <c r="AO266" s="2" t="e">
        <f ca="1">_xll.BDH($C$253,"GEO_GROW_OPER_INC","FQ3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266" s="2" t="e">
        <f ca="1">_xll.BDH($C$253,"NET_INCOME_TO_COMMON_5_YR_GROWTH","FQ3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266" s="2" t="e">
        <f ca="1">_xll.BDH($C$253,"5Y_GEO_GROWTH_DILUTED_EPS","FQ3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266" s="2" t="e">
        <f ca="1">_xll.BDH($C$253,"GEO_GROW_DVD_PER_SH","FQ3 2016","FQ3 2016","Currency=INR","Period=FQ","BEST_FPERIOD_OVERRIDE=FQ","FILING_STATUS=OR","EQY_CONSOLIDATED=Y","Sort=A","Dates=H","DateFormat=P","Fill=—","Direction=H","UseDPDF=Y")</f>
        <v>#NAME?</v>
      </c>
      <c r="AS266" s="2" t="e">
        <f ca="1">_xll.BDH($C$253,"ACCOUNTS_RECEIVABLE_5_YR_GROWTH","FQ3 2016","FQ3 2016","Currency=INR","Period=FQ","BEST_FPERIOD_OVERRIDE=FQ","FILING_STATUS=OR","EQY_CONSOLIDATED=Y","Sort=A","Dates=H","DateFormat=P","Fill=—","Direction=H","UseDPDF=Y")</f>
        <v>#NAME?</v>
      </c>
      <c r="AT266" s="2" t="e">
        <f ca="1">_xll.BDH($C$253,"INVENTORY_5_YEAR_GROWTH","FQ3 2016","FQ3 2016","Currency=INR","Period=FQ","BEST_FPERIOD_OVERRIDE=FQ","FILING_STATUS=OR","EQY_CONSOLIDATED=Y","Sort=A","Dates=H","DateFormat=P","Fill=—","Direction=H","UseDPDF=Y")</f>
        <v>#NAME?</v>
      </c>
      <c r="AU266" s="2" t="e">
        <f ca="1">_xll.BDH($C$253,"NET_FIXED_ASSETS_5_YEAR_GROWTH","FQ3 2016","FQ3 2016","Currency=INR","Period=FQ","BEST_FPERIOD_OVERRIDE=FQ","FILING_STATUS=OR","EQY_CONSOLIDATED=Y","Sort=A","Dates=H","DateFormat=P","Fill=—","Direction=H","UseDPDF=Y")</f>
        <v>#NAME?</v>
      </c>
      <c r="AV266" s="2" t="e">
        <f ca="1">_xll.BDH($C$253,"GEO_GROW_TOT_ASSET","FQ3 2016","FQ3 2016","Currency=INR","Period=FQ","BEST_FPERIOD_OVERRIDE=FQ","FILING_STATUS=OR","EQY_CONSOLIDATED=Y","Sort=A","Dates=H","DateFormat=P","Fill=—","Direction=H","UseDPDF=Y")</f>
        <v>#NAME?</v>
      </c>
      <c r="AW266" s="2" t="e">
        <f ca="1">_xll.BDH($C$253,"MODIFIED_WORKING_CPTL_5YR_GRWTH","FQ3 2016","FQ3 2016","Currency=INR","Period=FQ","BEST_FPERIOD_OVERRIDE=FQ","FILING_STATUS=OR","EQY_CONSOLIDATED=Y","Sort=A","Dates=H","DateFormat=P","Fill=—","Direction=H","UseDPDF=Y")</f>
        <v>#NAME?</v>
      </c>
      <c r="AX266" s="2" t="e">
        <f ca="1">_xll.BDH($C$253,"WORKING_CAPITAL_5_YEAR_GROWTH","FQ3 2016","FQ3 2016","Currency=INR","Period=FQ","BEST_FPERIOD_OVERRIDE=FQ","FILING_STATUS=OR","EQY_CONSOLIDATED=Y","Sort=A","Dates=H","DateFormat=P","Fill=—","Direction=H","UseDPDF=Y")</f>
        <v>#NAME?</v>
      </c>
      <c r="AY266" s="2" t="e">
        <f ca="1">_xll.BDH($C$253,"ACCOUNTS_PAYABLE_5_YEAR_GROWTH","FQ3 2016","FQ3 2016","Currency=INR","Period=FQ","BEST_FPERIOD_OVERRIDE=FQ","FILING_STATUS=OR","EQY_CONSOLIDATED=Y","Sort=A","Dates=H","DateFormat=P","Fill=—","Direction=H","UseDPDF=Y")</f>
        <v>#NAME?</v>
      </c>
      <c r="AZ266" s="2" t="e">
        <f ca="1">_xll.BDH($C$253,"SHORT_TERM_DEBT_5_YEAR_GROWTH","FQ3 2016","FQ3 2016","Currency=INR","Period=FQ","BEST_FPERIOD_OVERRIDE=FQ","FILING_STATUS=OR","EQY_CONSOLIDATED=Y","Sort=A","Dates=H","DateFormat=P","Fill=—","Direction=H","UseDPDF=Y")</f>
        <v>#NAME?</v>
      </c>
      <c r="BA266" s="2" t="e">
        <f ca="1">_xll.BDH($C$253,"TOTAL_DEBT_5_YEAR_GROWTH","FQ3 2016","FQ3 2016","Currency=INR","Period=FQ","BEST_FPERIOD_OVERRIDE=FQ","FILING_STATUS=OR","EQY_CONSOLIDATED=Y","Sort=A","Dates=H","DateFormat=P","Fill=—","Direction=H","UseDPDF=Y")</f>
        <v>#NAME?</v>
      </c>
      <c r="BB266" s="2" t="e">
        <f ca="1">_xll.BDH($C$253,"GEO_GROW_TOT_SHRHLDR_EQY","FQ3 2016","FQ3 2016","Currency=INR","Period=FQ","BEST_FPERIOD_OVERRIDE=FQ","FILING_STATUS=OR","EQY_CONSOLIDATED=Y","Sort=A","Dates=H","DateFormat=P","Fill=—","Direction=H","UseDPDF=Y")</f>
        <v>#NAME?</v>
      </c>
      <c r="BC266" s="2" t="e">
        <f ca="1">_xll.BDH($C$253,"TOTAL_CAPITAL_5_YEAR_GROWTH","FQ3 2016","FQ3 2016","Currency=INR","Period=FQ","BEST_FPERIOD_OVERRIDE=FQ","FILING_STATUS=OR","EQY_CONSOLIDATED=Y","Sort=A","Dates=H","DateFormat=P","Fill=—","Direction=H","UseDPDF=Y")</f>
        <v>#NAME?</v>
      </c>
      <c r="BD266" s="2" t="e">
        <f ca="1">_xll.BDH($C$253,"GEO_GROW_BOOK_VAL","FQ3 2016","FQ3 2016","Currency=INR","Period=FQ","BEST_FPERIOD_OVERRIDE=FQ","FILING_STATUS=OR","EQY_CONSOLIDATED=Y","Sort=A","Dates=H","DateFormat=P","Fill=—","Direction=H","UseDPDF=Y")</f>
        <v>#NAME?</v>
      </c>
      <c r="BE266" s="2" t="e">
        <f ca="1">_xll.BDH($C$253,"GEO_GROW_CASH_OPER_ACT","FQ3 2016","FQ3 2016","Currency=INR","Period=FQ","BEST_FPERIOD_OVERRIDE=FQ","FILING_STATUS=OR","EQY_CONSOLIDATED=Y","Sort=A","Dates=H","DateFormat=P","Fill=—","Direction=H","UseDPDF=Y")</f>
        <v>#NAME?</v>
      </c>
      <c r="BF266" s="2" t="e">
        <f ca="1">_xll.BDH($C$253,"REVENUE_SEQUENTIAL_GROWTH","FQ3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266" s="2" t="e">
        <f ca="1">_xll.BDH($C$253,"EBITDA_SEQUENTIAL_GROWTH","FQ3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266" s="2" t="e">
        <f ca="1">_xll.BDH($C$253,"OPERATING_INCOME_SEQ_GROWTH","FQ3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266" s="2" t="e">
        <f ca="1">_xll.BDH($C$253,"NET_INCOME_TO_COMMON_SEQ_GROWTH","FQ3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266" s="2" t="e">
        <f ca="1">_xll.BDH($C$253,"EPS_DILUTED_SEQUENTIAL_GROWTH","FQ3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266" s="2" t="e">
        <f ca="1">_xll.BDH($C$253,"DPS_SEQUENTIAL_GROWTH","FQ3 2016","FQ3 2016","Currency=INR","Period=FQ","BEST_FPERIOD_OVERRIDE=FQ","FILING_STATUS=OR","EQY_CONSOLIDATED=Y","Sort=A","Dates=H","DateFormat=P","Fill=—","Direction=H","UseDPDF=Y")</f>
        <v>#NAME?</v>
      </c>
      <c r="BL266" s="2" t="e">
        <f ca="1">_xll.BDH($C$253,"ACCOUNTS_RECEIVABLE_SEQ_GROWTH","FQ3 2016","FQ3 2016","Currency=INR","Period=FQ","BEST_FPERIOD_OVERRIDE=FQ","FILING_STATUS=OR","EQY_CONSOLIDATED=Y","Sort=A","Dates=H","DateFormat=P","Fill=—","Direction=H","UseDPDF=Y")</f>
        <v>#NAME?</v>
      </c>
      <c r="BM266" s="2" t="e">
        <f ca="1">_xll.BDH($C$253,"INVENTORY_SEQUENTIAL_GROWTH","FQ3 2016","FQ3 2016","Currency=INR","Period=FQ","BEST_FPERIOD_OVERRIDE=FQ","FILING_STATUS=OR","EQY_CONSOLIDATED=Y","Sort=A","Dates=H","DateFormat=P","Fill=—","Direction=H","UseDPDF=Y")</f>
        <v>#NAME?</v>
      </c>
      <c r="BN266" s="2" t="e">
        <f ca="1">_xll.BDH($C$253,"FIXED_ASSETS_SEQUENTIAL_GROWTH","FQ3 2016","FQ3 2016","Currency=INR","Period=FQ","BEST_FPERIOD_OVERRIDE=FQ","FILING_STATUS=OR","EQY_CONSOLIDATED=Y","Sort=A","Dates=H","DateFormat=P","Fill=—","Direction=H","UseDPDF=Y")</f>
        <v>#NAME?</v>
      </c>
      <c r="BO266" s="2" t="e">
        <f ca="1">_xll.BDH($C$253,"TOTAL_ASSETS_SEQUENTIAL_GROWTH","FQ3 2016","FQ3 2016","Currency=INR","Period=FQ","BEST_FPERIOD_OVERRIDE=FQ","FILING_STATUS=OR","EQY_CONSOLIDATED=Y","Sort=A","Dates=H","DateFormat=P","Fill=—","Direction=H","UseDPDF=Y")</f>
        <v>#NAME?</v>
      </c>
      <c r="BP266" s="2" t="e">
        <f ca="1">_xll.BDH($C$253,"MODIFIED_WORKING_CPTL_SEQ_GRWTH","FQ3 2016","FQ3 2016","Currency=INR","Period=FQ","BEST_FPERIOD_OVERRIDE=FQ","FILING_STATUS=OR","EQY_CONSOLIDATED=Y","Sort=A","Dates=H","DateFormat=P","Fill=—","Direction=H","UseDPDF=Y")</f>
        <v>#NAME?</v>
      </c>
      <c r="BQ266" s="2" t="e">
        <f ca="1">_xll.BDH($C$253,"WORKING_CAPITAL_SEQ_GROWTH","FQ3 2016","FQ3 2016","Currency=INR","Period=FQ","BEST_FPERIOD_OVERRIDE=FQ","FILING_STATUS=OR","EQY_CONSOLIDATED=Y","Sort=A","Dates=H","DateFormat=P","Fill=—","Direction=H","UseDPDF=Y")</f>
        <v>#NAME?</v>
      </c>
      <c r="BR266" s="2" t="e">
        <f ca="1">_xll.BDH($C$253,"ACCOUNTS_PAYABLE_SEQ_GROWTH","FQ3 2016","FQ3 2016","Currency=INR","Period=FQ","BEST_FPERIOD_OVERRIDE=FQ","FILING_STATUS=OR","EQY_CONSOLIDATED=Y","Sort=A","Dates=H","DateFormat=P","Fill=—","Direction=H","UseDPDF=Y")</f>
        <v>#NAME?</v>
      </c>
      <c r="BS266" s="2" t="e">
        <f ca="1">_xll.BDH($C$253,"ST_DEBT_SEQUENTIAL_GROWTH","FQ3 2016","FQ3 2016","Currency=INR","Period=FQ","BEST_FPERIOD_OVERRIDE=FQ","FILING_STATUS=OR","EQY_CONSOLIDATED=Y","Sort=A","Dates=H","DateFormat=P","Fill=—","Direction=H","UseDPDF=Y")</f>
        <v>#NAME?</v>
      </c>
      <c r="BT266" s="2" t="e">
        <f ca="1">_xll.BDH($C$253,"TOTAL_DEBT_SEQUENTIAL_GROWTH","FQ3 2016","FQ3 2016","Currency=INR","Period=FQ","BEST_FPERIOD_OVERRIDE=FQ","FILING_STATUS=OR","EQY_CONSOLIDATED=Y","Sort=A","Dates=H","DateFormat=P","Fill=—","Direction=H","UseDPDF=Y")</f>
        <v>#NAME?</v>
      </c>
      <c r="BU266" s="2" t="e">
        <f ca="1">_xll.BDH($C$253,"TOTAL_EQUITY_SEQUENTIAL_GROWTH","FQ3 2016","FQ3 2016","Currency=INR","Period=FQ","BEST_FPERIOD_OVERRIDE=FQ","FILING_STATUS=OR","EQY_CONSOLIDATED=Y","Sort=A","Dates=H","DateFormat=P","Fill=—","Direction=H","UseDPDF=Y")</f>
        <v>#NAME?</v>
      </c>
      <c r="BV266" s="2" t="e">
        <f ca="1">_xll.BDH($C$253,"TOTAL_CAPITAL_SEQUENTIAL_GROWTH","FQ3 2016","FQ3 2016","Currency=INR","Period=FQ","BEST_FPERIOD_OVERRIDE=FQ","FILING_STATUS=OR","EQY_CONSOLIDATED=Y","Sort=A","Dates=H","DateFormat=P","Fill=—","Direction=H","UseDPDF=Y")</f>
        <v>#NAME?</v>
      </c>
      <c r="BW266" s="2" t="e">
        <f ca="1">_xll.BDH($C$253,"BPS_SEQUENTIAL_GROWTH","FQ3 2016","FQ3 2016","Currency=INR","Period=FQ","BEST_FPERIOD_OVERRIDE=FQ","FILING_STATUS=OR","EQY_CONSOLIDATED=Y","Sort=A","Dates=H","DateFormat=P","Fill=—","Direction=H","UseDPDF=Y")</f>
        <v>#NAME?</v>
      </c>
      <c r="BX266" s="2" t="e">
        <f ca="1">_xll.BDH($C$253,"CFO_SEQUENTIAL_GROWTH","FQ3 2016","FQ3 2016","Currency=INR","Period=FQ","BEST_FPERIOD_OVERRIDE=FQ","FILING_STATUS=OR","EQY_CONSOLIDATED=Y","Sort=A","Dates=H","DateFormat=P","Fill=—","Direction=H","UseDPDF=Y")</f>
        <v>#NAME?</v>
      </c>
      <c r="BY266" s="3" t="e">
        <f ca="1">_xll.BDH($C$253,"SHORT_AND_LONG_TERM_DEBT","FQ3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266" s="3" t="e">
        <f ca="1">_xll.BDH($C$253,"BS_ST_BORROW","FQ3 2016","FQ3 2016","Currency=INR","Period=FQ","BEST_FPERIOD_OVERRIDE=FQ","FILING_STATUS=OR","EQY_CONSOLIDATED=Y","SCALING_FORMAT=MLN","Sort=A","Dates=H","DateFormat=P","Fill=—","Direction=H","UseDPDF=Y")</f>
        <v>#NAME?</v>
      </c>
      <c r="CA266" s="3" t="e">
        <f ca="1">_xll.BDH($C$253,"BS_LT_BORROW","FQ3 2016","FQ3 2016","Currency=INR","Period=FQ","BEST_FPERIOD_OVERRIDE=FQ","FILING_STATUS=OR","EQY_CONSOLIDATED=Y","SCALING_FORMAT=MLN","Sort=A","Dates=H","DateFormat=P","Fill=—","Direction=H","UseDPDF=Y")</f>
        <v>#NAME?</v>
      </c>
      <c r="CB266" s="2" t="e">
        <f ca="1">_xll.BDH($C$253,"TOT_DEBT_TO_EBITDA","FQ3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266" s="2" t="e">
        <f ca="1">_xll.BDH($C$253,"NET_DEBT_TO_EBITDA","FQ3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266" s="2" t="e">
        <f ca="1">_xll.BDH($C$253,"TOTAL_DEBT_TO_EBIT","FQ3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266" s="2" t="e">
        <f ca="1">_xll.BDH($C$253,"NET_DEBT_TO_EBIT","FQ3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266" s="2" t="e">
        <f ca="1">_xll.BDH($C$253,"EBITDA_TO_INTEREST_EXPN","FQ3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266" s="2" t="e">
        <f ca="1">_xll.BDH($C$253,"COM_EQY_TO_TOT_ASSET","FQ3 2016","FQ3 2016","Currency=INR","Period=FQ","BEST_FPERIOD_OVERRIDE=FQ","FILING_STATUS=OR","EQY_CONSOLIDATED=Y","Sort=A","Dates=H","DateFormat=P","Fill=—","Direction=H","UseDPDF=Y")</f>
        <v>#NAME?</v>
      </c>
      <c r="CH266" s="2" t="e">
        <f ca="1">_xll.BDH($C$253,"LT_DEBT_TO_TOT_EQY","FQ3 2016","FQ3 2016","Currency=INR","Period=FQ","BEST_FPERIOD_OVERRIDE=FQ","FILING_STATUS=OR","EQY_CONSOLIDATED=Y","Sort=A","Dates=H","DateFormat=P","Fill=—","Direction=H","UseDPDF=Y")</f>
        <v>#NAME?</v>
      </c>
      <c r="CI266" s="2" t="e">
        <f ca="1">_xll.BDH($C$253,"LT_DEBT_TO_TOT_CAP","FQ3 2016","FQ3 2016","Currency=INR","Period=FQ","BEST_FPERIOD_OVERRIDE=FQ","FILING_STATUS=OR","EQY_CONSOLIDATED=Y","Sort=A","Dates=H","DateFormat=P","Fill=—","Direction=H","UseDPDF=Y")</f>
        <v>#NAME?</v>
      </c>
      <c r="CJ266" s="2" t="e">
        <f ca="1">_xll.BDH($C$253,"LT_DEBT_TO_TOT_ASSET","FQ3 2016","FQ3 2016","Currency=INR","Period=FQ","BEST_FPERIOD_OVERRIDE=FQ","FILING_STATUS=OR","EQY_CONSOLIDATED=Y","Sort=A","Dates=H","DateFormat=P","Fill=—","Direction=H","UseDPDF=Y")</f>
        <v>#NAME?</v>
      </c>
      <c r="CK266" s="2" t="e">
        <f ca="1">_xll.BDH($C$253,"TOT_DEBT_TO_TOT_EQY","FQ3 2016","FQ3 2016","Currency=INR","Period=FQ","BEST_FPERIOD_OVERRIDE=FQ","FILING_STATUS=OR","EQY_CONSOLIDATED=Y","Sort=A","Dates=H","DateFormat=P","Fill=—","Direction=H","UseDPDF=Y")</f>
        <v>#NAME?</v>
      </c>
      <c r="CL266" s="2" t="e">
        <f ca="1">_xll.BDH($C$253,"TOT_DEBT_TO_TOT_CAP","FQ3 2016","FQ3 2016","Currency=INR","Period=FQ","BEST_FPERIOD_OVERRIDE=FQ","FILING_STATUS=OR","EQY_CONSOLIDATED=Y","Sort=A","Dates=H","DateFormat=P","Fill=—","Direction=H","UseDPDF=Y")</f>
        <v>#NAME?</v>
      </c>
      <c r="CM266" s="2" t="e">
        <f ca="1">_xll.BDH($C$253,"TOT_DEBT_TO_TOT_ASSET","FQ3 2016","FQ3 2016","Currency=INR","Period=FQ","BEST_FPERIOD_OVERRIDE=FQ","FILING_STATUS=OR","EQY_CONSOLIDATED=Y","Sort=A","Dates=H","DateFormat=P","Fill=—","Direction=H","UseDPDF=Y")</f>
        <v>#NAME?</v>
      </c>
      <c r="CN266" s="2" t="e">
        <f ca="1">_xll.BDH($C$253,"NET_DEBT_TO_SHRHLDR_EQTY","FQ3 2016","FQ3 2016","Currency=INR","Period=FQ","BEST_FPERIOD_OVERRIDE=FQ","FILING_STATUS=OR","EQY_CONSOLIDATED=Y","Sort=A","Dates=H","DateFormat=P","Fill=—","Direction=H","UseDPDF=Y")</f>
        <v>#NAME?</v>
      </c>
      <c r="CO266" s="2" t="e">
        <f ca="1">_xll.BDH($C$253,"NET_DEBT_%_CAPITAL","FQ3 2016","FQ3 2016","Currency=INR","Period=FQ","BEST_FPERIOD_OVERRIDE=FQ","FILING_STATUS=OR","EQY_CONSOLIDATED=Y","Sort=A","Dates=H","DateFormat=P","Fill=—","Direction=H","UseDPDF=Y")</f>
        <v>#NAME?</v>
      </c>
      <c r="CP266" s="3" t="e">
        <f ca="1">_xll.BDH($C$253,"EBITDA","FQ3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266" s="3" t="e">
        <f ca="1">_xll.BDH($C$253,"EBITDA_AFTER_CAPEX","FQ3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266" s="3" t="e">
        <f ca="1">_xll.BDH($C$253,"IS_OPER_INC","FQ3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266" s="2" t="e">
        <f ca="1">_xll.BDH($C$253,"CASH_RATIO","FQ3 2016","FQ3 2016","Currency=INR","Period=FQ","BEST_FPERIOD_OVERRIDE=FQ","FILING_STATUS=OR","EQY_CONSOLIDATED=Y","Sort=A","Dates=H","DateFormat=P","Fill=—","Direction=H","UseDPDF=Y")</f>
        <v>#NAME?</v>
      </c>
      <c r="CT266" s="2" t="e">
        <f ca="1">_xll.BDH($C$253,"CUR_RATIO","FQ3 2016","FQ3 2016","Currency=INR","Period=FQ","BEST_FPERIOD_OVERRIDE=FQ","FILING_STATUS=OR","EQY_CONSOLIDATED=Y","Sort=A","Dates=H","DateFormat=P","Fill=—","Direction=H","UseDPDF=Y")</f>
        <v>#NAME?</v>
      </c>
      <c r="CU266" s="2" t="e">
        <f ca="1">_xll.BDH($C$253,"QUICK_RATIO","FQ3 2016","FQ3 2016","Currency=INR","Period=FQ","BEST_FPERIOD_OVERRIDE=FQ","FILING_STATUS=OR","EQY_CONSOLIDATED=Y","Sort=A","Dates=H","DateFormat=P","Fill=—","Direction=H","UseDPDF=Y")</f>
        <v>#NAME?</v>
      </c>
      <c r="CV266" s="2" t="e">
        <f ca="1">_xll.BDH($C$253,"ALTMAN_Z_SCORE","FQ3 2016","FQ3 2016","Currency=INR","Period=FQ","BEST_FPERIOD_OVERRIDE=FQ","FILING_STATUS=OR","EQY_CONSOLIDATED=Y","Sort=A","Dates=H","DateFormat=P","Fill=—","Direction=H","UseDPDF=Y")</f>
        <v>#NAME?</v>
      </c>
      <c r="CW266" s="4" t="e">
        <f ca="1">_xll.BDH($C$253,"ACCT_RCV_TURN","FQ3 2016","FQ3 2016","Currency=INR","Period=FQ","BEST_FPERIOD_OVERRIDE=FQ","FILING_STATUS=OR","EQY_CONSOLIDATED=Y","FA_ADJUSTED=GAAP","Sort=A","Dates=H","DateFormat=P","Fill=—","Direction=H","UseDPDF=Y")</f>
        <v>#NAME?</v>
      </c>
      <c r="CX266" s="2" t="e">
        <f ca="1">_xll.BDH($C$253,"ACCT_RCV_DAYS","FQ3 2016","FQ3 2016","Currency=INR","Period=FQ","BEST_FPERIOD_OVERRIDE=FQ","FILING_STATUS=OR","EQY_CONSOLIDATED=Y","FA_ADJUSTED=GAAP","Sort=A","Dates=H","DateFormat=P","Fill=—","Direction=H","UseDPDF=Y")</f>
        <v>#NAME?</v>
      </c>
      <c r="CY266" s="4" t="e">
        <f ca="1">_xll.BDH($C$253,"INVENT_TURN","FQ3 2016","FQ3 2016","Currency=INR","Period=FQ","BEST_FPERIOD_OVERRIDE=FQ","FILING_STATUS=OR","EQY_CONSOLIDATED=Y","FA_ADJUSTED=GAAP","Sort=A","Dates=H","DateFormat=P","Fill=—","Direction=H","UseDPDF=Y")</f>
        <v>#NAME?</v>
      </c>
      <c r="CZ266" s="2" t="e">
        <f ca="1">_xll.BDH($C$253,"INVENT_DAYS","FQ3 2016","FQ3 2016","Currency=INR","Period=FQ","BEST_FPERIOD_OVERRIDE=FQ","FILING_STATUS=OR","EQY_CONSOLIDATED=Y","FA_ADJUSTED=GAAP","Sort=A","Dates=H","DateFormat=P","Fill=—","Direction=H","UseDPDF=Y")</f>
        <v>#NAME?</v>
      </c>
      <c r="DA266" s="4" t="e">
        <f ca="1">_xll.BDH($C$253,"ACCOUNTS_PAYABLE_TURNOVER","FQ3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266" s="2" t="e">
        <f ca="1">_xll.BDH($C$253,"ACCOUNTS_PAYABLE_TURNOVER_DAYS","FQ3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266" s="4" t="e">
        <f ca="1">_xll.BDH($C$253,"CASH_CONVERSION_CYCLE","FQ3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266" s="4" t="e">
        <f ca="1">_xll.BDH($C$253,"INV_TO_CASH_DAYS","FQ3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266" s="5" t="e">
        <f ca="1">_xll.BDH($C$253,"BS_INVENTORIES","FQ3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266" s="3" t="e">
        <f ca="1">_xll.BDH($C$253,"INVTRY_RAW_MATERIALS","FQ3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266" s="3" t="e">
        <f ca="1">_xll.BDH($C$253,"INVTRY_IN_PROGRESS","FQ3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266" s="3" t="e">
        <f ca="1">_xll.BDH($C$253,"INVTRY_FINISHED_GOODS","FQ3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266" s="3" t="e">
        <f ca="1">_xll.BDH($C$253,"BS_OTHER_INV","FQ3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267" spans="1:113" x14ac:dyDescent="0.3">
      <c r="A267" s="6"/>
      <c r="B267" s="6"/>
      <c r="C267" s="6"/>
      <c r="D267" s="6"/>
      <c r="E267" t="s">
        <v>81</v>
      </c>
      <c r="F267" t="e">
        <f ca="1">_xll.BDH($C$253,"RETURN_COM_EQY","FQ4 2016","FQ4 2016","Currency=INR","Period=FQ","BEST_FPERIOD_OVERRIDE=FQ","FILING_STATUS=OR","EQY_CONSOLIDATED=Y","FA_ADJUSTED=GAAP","Sort=A","Dates=H","DateFormat=P","Fill=—","Direction=H","UseDPDF=Y")</f>
        <v>#NAME?</v>
      </c>
      <c r="G267" t="e">
        <f ca="1">_xll.BDH($C$253,"RETURN_ON_ASSET","FQ4 2016","FQ4 2016","Currency=INR","Period=FQ","BEST_FPERIOD_OVERRIDE=FQ","FILING_STATUS=OR","EQY_CONSOLIDATED=Y","FA_ADJUSTED=GAAP","Sort=A","Dates=H","DateFormat=P","Fill=—","Direction=H","UseDPDF=Y")</f>
        <v>#NAME?</v>
      </c>
      <c r="H267" t="e">
        <f ca="1">_xll.BDH($C$253,"RETURN_ON_CAP","FQ4 2016","FQ4 2016","Currency=INR","Period=FQ","BEST_FPERIOD_OVERRIDE=FQ","FILING_STATUS=OR","EQY_CONSOLIDATED=Y","FA_ADJUSTED=GAAP","Sort=A","Dates=H","DateFormat=P","Fill=—","Direction=H","UseDPDF=Y")</f>
        <v>#NAME?</v>
      </c>
      <c r="I267" t="e">
        <f ca="1">_xll.BDH($C$253,"RETURN_ON_INV_CAPITAL","FQ4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267" t="e">
        <f ca="1">_xll.BDH($C$253,"EBITDA_TO_REVENUE","FQ4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267" t="e">
        <f ca="1">_xll.BDH($C$253,"OPER_MARGIN","FQ4 2016","FQ4 2016","Currency=INR","Period=FQ","BEST_FPERIOD_OVERRIDE=FQ","FILING_STATUS=OR","EQY_CONSOLIDATED=Y","FA_ADJUSTED=GAAP","Sort=A","Dates=H","DateFormat=P","Fill=—","Direction=H","UseDPDF=Y")</f>
        <v>#NAME?</v>
      </c>
      <c r="L267" t="e">
        <f ca="1">_xll.BDH($C$253,"INCREMENTAL_OPERATING_MARGIN","FQ4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267" t="e">
        <f ca="1">_xll.BDH($C$253,"PRETAX_INC_TO_NET_SALES","FQ4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267" t="e">
        <f ca="1">_xll.BDH($C$253,"INC_BEF_XO_ITEMS_TO_NET_SALES","FQ4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267" t="e">
        <f ca="1">_xll.BDH($C$253,"PROF_MARGIN","FQ4 2016","FQ4 2016","Currency=INR","Period=FQ","BEST_FPERIOD_OVERRIDE=FQ","FILING_STATUS=OR","EQY_CONSOLIDATED=Y","FA_ADJUSTED=GAAP","Sort=A","Dates=H","DateFormat=P","Fill=—","Direction=H","UseDPDF=Y")</f>
        <v>#NAME?</v>
      </c>
      <c r="P267" t="e">
        <f ca="1">_xll.BDH($C$253,"NET_INCOME_TO_COMMON_MARGIN","FQ4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267" t="e">
        <f ca="1">_xll.BDH($C$253,"EFF_TAX_RATE","FQ4 2016","FQ4 2016","Currency=INR","Period=FQ","BEST_FPERIOD_OVERRIDE=FQ","FILING_STATUS=OR","EQY_CONSOLIDATED=Y","FA_ADJUSTED=GAAP","Sort=A","Dates=H","DateFormat=P","Fill=—","Direction=H","UseDPDF=Y")</f>
        <v>#NAME?</v>
      </c>
      <c r="R267" t="e">
        <f ca="1">_xll.BDH($C$253,"DVD_PAYOUT_RATIO","FQ4 2016","FQ4 2016","Currency=INR","Period=FQ","BEST_FPERIOD_OVERRIDE=FQ","FILING_STATUS=OR","EQY_CONSOLIDATED=Y","FA_ADJUSTED=GAAP","Sort=A","Dates=H","DateFormat=P","Fill=—","Direction=H","UseDPDF=Y")</f>
        <v>#NAME?</v>
      </c>
      <c r="S267" t="e">
        <f ca="1">_xll.BDH($C$253,"SUSTAIN_GROWTH_RT","FQ4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267" s="2" t="e">
        <f ca="1">_xll.BDH($C$253,"SALES_GROWTH","FQ4 2016","FQ4 2016","Currency=INR","Period=FQ","BEST_FPERIOD_OVERRIDE=FQ","FILING_STATUS=OR","EQY_CONSOLIDATED=Y","FA_ADJUSTED=GAAP","Sort=A","Dates=H","DateFormat=P","Fill=—","Direction=H","UseDPDF=Y")</f>
        <v>#NAME?</v>
      </c>
      <c r="U267" s="2" t="e">
        <f ca="1">_xll.BDH($C$253,"EBITDA_GROWTH","FQ4 2016","FQ4 2016","Currency=INR","Period=FQ","BEST_FPERIOD_OVERRIDE=FQ","FILING_STATUS=OR","EQY_CONSOLIDATED=Y","FA_ADJUSTED=GAAP","Sort=A","Dates=H","DateFormat=P","Fill=—","Direction=H","UseDPDF=Y")</f>
        <v>#NAME?</v>
      </c>
      <c r="V267" s="2" t="e">
        <f ca="1">_xll.BDH($C$253,"OPER_INC_GROWTH","FQ4 2016","FQ4 2016","Currency=INR","Period=FQ","BEST_FPERIOD_OVERRIDE=FQ","FILING_STATUS=OR","EQY_CONSOLIDATED=Y","FA_ADJUSTED=GAAP","Sort=A","Dates=H","DateFormat=P","Fill=—","Direction=H","UseDPDF=Y")</f>
        <v>#NAME?</v>
      </c>
      <c r="W267" s="2" t="e">
        <f ca="1">_xll.BDH($C$253,"EARN_FOR_COM_GROWTH","FQ4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267" s="2" t="e">
        <f ca="1">_xll.BDH($C$253,"DILUTED_EPS_AFT_XO_ITEMS_GROWTH","FQ4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267" s="2" t="e">
        <f ca="1">_xll.BDH($C$253,"DIVIDEND_PER_SHARE_1_YEAR_GROWTH","FQ4 2016","FQ4 2016","Currency=INR","Period=FQ","BEST_FPERIOD_OVERRIDE=FQ","FILING_STATUS=OR","EQY_CONSOLIDATED=Y","Sort=A","Dates=H","DateFormat=P","Fill=—","Direction=H","UseDPDF=Y")</f>
        <v>#NAME?</v>
      </c>
      <c r="Z267" s="2" t="e">
        <f ca="1">_xll.BDH($C$253,"ACCOUNTS_RECEIVABLE_GROWTH","FQ4 2016","FQ4 2016","Currency=INR","Period=FQ","BEST_FPERIOD_OVERRIDE=FQ","FILING_STATUS=OR","EQY_CONSOLIDATED=Y","Sort=A","Dates=H","DateFormat=P","Fill=—","Direction=H","UseDPDF=Y")</f>
        <v>#NAME?</v>
      </c>
      <c r="AA267" s="2" t="e">
        <f ca="1">_xll.BDH($C$253,"INVENTORY_GROWTH","FQ4 2016","FQ4 2016","Currency=INR","Period=FQ","BEST_FPERIOD_OVERRIDE=FQ","FILING_STATUS=OR","EQY_CONSOLIDATED=Y","Sort=A","Dates=H","DateFormat=P","Fill=—","Direction=H","UseDPDF=Y")</f>
        <v>#NAME?</v>
      </c>
      <c r="AB267" s="2" t="e">
        <f ca="1">_xll.BDH($C$253,"NET_FIXED_ASSETS_1_YEAR_GROWTH","FQ4 2016","FQ4 2016","Currency=INR","Period=FQ","BEST_FPERIOD_OVERRIDE=FQ","FILING_STATUS=OR","EQY_CONSOLIDATED=Y","Sort=A","Dates=H","DateFormat=P","Fill=—","Direction=H","UseDPDF=Y")</f>
        <v>#NAME?</v>
      </c>
      <c r="AC267" s="2" t="e">
        <f ca="1">_xll.BDH($C$253,"ASSET_GROWTH","FQ4 2016","FQ4 2016","Currency=INR","Period=FQ","BEST_FPERIOD_OVERRIDE=FQ","FILING_STATUS=OR","EQY_CONSOLIDATED=Y","Sort=A","Dates=H","DateFormat=P","Fill=—","Direction=H","UseDPDF=Y")</f>
        <v>#NAME?</v>
      </c>
      <c r="AD267" s="2" t="e">
        <f ca="1">_xll.BDH($C$253,"MODIFIED_WORK_CAP_GROWTH","FQ4 2016","FQ4 2016","Currency=INR","Period=FQ","BEST_FPERIOD_OVERRIDE=FQ","FILING_STATUS=OR","EQY_CONSOLIDATED=Y","Sort=A","Dates=H","DateFormat=P","Fill=—","Direction=H","UseDPDF=Y")</f>
        <v>#NAME?</v>
      </c>
      <c r="AE267" s="2" t="e">
        <f ca="1">_xll.BDH($C$253,"WORK_CAP_GROWTH","FQ4 2016","FQ4 2016","Currency=INR","Period=FQ","BEST_FPERIOD_OVERRIDE=FQ","FILING_STATUS=OR","EQY_CONSOLIDATED=Y","Sort=A","Dates=H","DateFormat=P","Fill=—","Direction=H","UseDPDF=Y")</f>
        <v>#NAME?</v>
      </c>
      <c r="AF267" s="2" t="e">
        <f ca="1">_xll.BDH($C$253,"ACCOUNTS_PAYABLE_GROWTH_1YR","FQ4 2016","FQ4 2016","Currency=INR","Period=FQ","BEST_FPERIOD_OVERRIDE=FQ","FILING_STATUS=OR","EQY_CONSOLIDATED=Y","Sort=A","Dates=H","DateFormat=P","Fill=—","Direction=H","UseDPDF=Y")</f>
        <v>#NAME?</v>
      </c>
      <c r="AG267" s="2" t="e">
        <f ca="1">_xll.BDH($C$253,"SHORT_TERM_DEBT_1_YEAR_GROWTH","FQ4 2016","FQ4 2016","Currency=INR","Period=FQ","BEST_FPERIOD_OVERRIDE=FQ","FILING_STATUS=OR","EQY_CONSOLIDATED=Y","Sort=A","Dates=H","DateFormat=P","Fill=—","Direction=H","UseDPDF=Y")</f>
        <v>#NAME?</v>
      </c>
      <c r="AH267" s="2" t="e">
        <f ca="1">_xll.BDH($C$253,"TOTAL_DEBT_1_YEAR_GROWTH","FQ4 2016","FQ4 2016","Currency=INR","Period=FQ","BEST_FPERIOD_OVERRIDE=FQ","FILING_STATUS=OR","EQY_CONSOLIDATED=Y","Sort=A","Dates=H","DateFormat=P","Fill=—","Direction=H","UseDPDF=Y")</f>
        <v>#NAME?</v>
      </c>
      <c r="AI267" s="2" t="e">
        <f ca="1">_xll.BDH($C$253,"TOTAL_EQUITY_1_YEAR_GROWTH","FQ4 2016","FQ4 2016","Currency=INR","Period=FQ","BEST_FPERIOD_OVERRIDE=FQ","FILING_STATUS=OR","EQY_CONSOLIDATED=Y","Sort=A","Dates=H","DateFormat=P","Fill=—","Direction=H","UseDPDF=Y")</f>
        <v>#NAME?</v>
      </c>
      <c r="AJ267" s="2" t="e">
        <f ca="1">_xll.BDH($C$253,"GROWTH_IN_CAP","FQ4 2016","FQ4 2016","Currency=INR","Period=FQ","BEST_FPERIOD_OVERRIDE=FQ","FILING_STATUS=OR","EQY_CONSOLIDATED=Y","Sort=A","Dates=H","DateFormat=P","Fill=—","Direction=H","UseDPDF=Y")</f>
        <v>#NAME?</v>
      </c>
      <c r="AK267" s="2" t="e">
        <f ca="1">_xll.BDH($C$253,"BVPS_GROWTH","FQ4 2016","FQ4 2016","Currency=INR","Period=FQ","BEST_FPERIOD_OVERRIDE=FQ","FILING_STATUS=OR","EQY_CONSOLIDATED=Y","Sort=A","Dates=H","DateFormat=P","Fill=—","Direction=H","UseDPDF=Y")</f>
        <v>#NAME?</v>
      </c>
      <c r="AL267" s="2" t="e">
        <f ca="1">_xll.BDH($C$253,"CASH_FLOW_GROWTH","FQ4 2016","FQ4 2016","Currency=INR","Period=FQ","BEST_FPERIOD_OVERRIDE=FQ","FILING_STATUS=OR","EQY_CONSOLIDATED=Y","Sort=A","Dates=H","DateFormat=P","Fill=—","Direction=H","UseDPDF=Y")</f>
        <v>#NAME?</v>
      </c>
      <c r="AM267" s="2" t="e">
        <f ca="1">_xll.BDH($C$253,"GEO_GROW_NET_SALES","FQ4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267" s="2" t="e">
        <f ca="1">_xll.BDH($C$253,"GEO_GROW_EBITDA","FQ4 2016","FQ4 2016","Currency=INR","Period=FQ","BEST_FPERIOD_OVERRIDE=FQ","FILING_STATUS=OR","EQY_CONSOLIDATED=Y","FA_ADJUSTED=GAAP","Sort=A","Dates=H","DateFormat=P","Fill=—","Direction=H","UseDPDF=Y")</f>
        <v>#NAME?</v>
      </c>
      <c r="AO267" s="2" t="e">
        <f ca="1">_xll.BDH($C$253,"GEO_GROW_OPER_INC","FQ4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267" s="2" t="e">
        <f ca="1">_xll.BDH($C$253,"NET_INCOME_TO_COMMON_5_YR_GROWTH","FQ4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267" s="2" t="e">
        <f ca="1">_xll.BDH($C$253,"5Y_GEO_GROWTH_DILUTED_EPS","FQ4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267" s="2" t="e">
        <f ca="1">_xll.BDH($C$253,"GEO_GROW_DVD_PER_SH","FQ4 2016","FQ4 2016","Currency=INR","Period=FQ","BEST_FPERIOD_OVERRIDE=FQ","FILING_STATUS=OR","EQY_CONSOLIDATED=Y","Sort=A","Dates=H","DateFormat=P","Fill=—","Direction=H","UseDPDF=Y")</f>
        <v>#NAME?</v>
      </c>
      <c r="AS267" s="2" t="e">
        <f ca="1">_xll.BDH($C$253,"ACCOUNTS_RECEIVABLE_5_YR_GROWTH","FQ4 2016","FQ4 2016","Currency=INR","Period=FQ","BEST_FPERIOD_OVERRIDE=FQ","FILING_STATUS=OR","EQY_CONSOLIDATED=Y","Sort=A","Dates=H","DateFormat=P","Fill=—","Direction=H","UseDPDF=Y")</f>
        <v>#NAME?</v>
      </c>
      <c r="AT267" s="2" t="e">
        <f ca="1">_xll.BDH($C$253,"INVENTORY_5_YEAR_GROWTH","FQ4 2016","FQ4 2016","Currency=INR","Period=FQ","BEST_FPERIOD_OVERRIDE=FQ","FILING_STATUS=OR","EQY_CONSOLIDATED=Y","Sort=A","Dates=H","DateFormat=P","Fill=—","Direction=H","UseDPDF=Y")</f>
        <v>#NAME?</v>
      </c>
      <c r="AU267" s="2" t="e">
        <f ca="1">_xll.BDH($C$253,"NET_FIXED_ASSETS_5_YEAR_GROWTH","FQ4 2016","FQ4 2016","Currency=INR","Period=FQ","BEST_FPERIOD_OVERRIDE=FQ","FILING_STATUS=OR","EQY_CONSOLIDATED=Y","Sort=A","Dates=H","DateFormat=P","Fill=—","Direction=H","UseDPDF=Y")</f>
        <v>#NAME?</v>
      </c>
      <c r="AV267" s="2" t="e">
        <f ca="1">_xll.BDH($C$253,"GEO_GROW_TOT_ASSET","FQ4 2016","FQ4 2016","Currency=INR","Period=FQ","BEST_FPERIOD_OVERRIDE=FQ","FILING_STATUS=OR","EQY_CONSOLIDATED=Y","Sort=A","Dates=H","DateFormat=P","Fill=—","Direction=H","UseDPDF=Y")</f>
        <v>#NAME?</v>
      </c>
      <c r="AW267" s="2" t="e">
        <f ca="1">_xll.BDH($C$253,"MODIFIED_WORKING_CPTL_5YR_GRWTH","FQ4 2016","FQ4 2016","Currency=INR","Period=FQ","BEST_FPERIOD_OVERRIDE=FQ","FILING_STATUS=OR","EQY_CONSOLIDATED=Y","Sort=A","Dates=H","DateFormat=P","Fill=—","Direction=H","UseDPDF=Y")</f>
        <v>#NAME?</v>
      </c>
      <c r="AX267" s="2" t="e">
        <f ca="1">_xll.BDH($C$253,"WORKING_CAPITAL_5_YEAR_GROWTH","FQ4 2016","FQ4 2016","Currency=INR","Period=FQ","BEST_FPERIOD_OVERRIDE=FQ","FILING_STATUS=OR","EQY_CONSOLIDATED=Y","Sort=A","Dates=H","DateFormat=P","Fill=—","Direction=H","UseDPDF=Y")</f>
        <v>#NAME?</v>
      </c>
      <c r="AY267" s="2" t="e">
        <f ca="1">_xll.BDH($C$253,"ACCOUNTS_PAYABLE_5_YEAR_GROWTH","FQ4 2016","FQ4 2016","Currency=INR","Period=FQ","BEST_FPERIOD_OVERRIDE=FQ","FILING_STATUS=OR","EQY_CONSOLIDATED=Y","Sort=A","Dates=H","DateFormat=P","Fill=—","Direction=H","UseDPDF=Y")</f>
        <v>#NAME?</v>
      </c>
      <c r="AZ267" s="2" t="e">
        <f ca="1">_xll.BDH($C$253,"SHORT_TERM_DEBT_5_YEAR_GROWTH","FQ4 2016","FQ4 2016","Currency=INR","Period=FQ","BEST_FPERIOD_OVERRIDE=FQ","FILING_STATUS=OR","EQY_CONSOLIDATED=Y","Sort=A","Dates=H","DateFormat=P","Fill=—","Direction=H","UseDPDF=Y")</f>
        <v>#NAME?</v>
      </c>
      <c r="BA267" s="2" t="e">
        <f ca="1">_xll.BDH($C$253,"TOTAL_DEBT_5_YEAR_GROWTH","FQ4 2016","FQ4 2016","Currency=INR","Period=FQ","BEST_FPERIOD_OVERRIDE=FQ","FILING_STATUS=OR","EQY_CONSOLIDATED=Y","Sort=A","Dates=H","DateFormat=P","Fill=—","Direction=H","UseDPDF=Y")</f>
        <v>#NAME?</v>
      </c>
      <c r="BB267" s="2" t="e">
        <f ca="1">_xll.BDH($C$253,"GEO_GROW_TOT_SHRHLDR_EQY","FQ4 2016","FQ4 2016","Currency=INR","Period=FQ","BEST_FPERIOD_OVERRIDE=FQ","FILING_STATUS=OR","EQY_CONSOLIDATED=Y","Sort=A","Dates=H","DateFormat=P","Fill=—","Direction=H","UseDPDF=Y")</f>
        <v>#NAME?</v>
      </c>
      <c r="BC267" s="2" t="e">
        <f ca="1">_xll.BDH($C$253,"TOTAL_CAPITAL_5_YEAR_GROWTH","FQ4 2016","FQ4 2016","Currency=INR","Period=FQ","BEST_FPERIOD_OVERRIDE=FQ","FILING_STATUS=OR","EQY_CONSOLIDATED=Y","Sort=A","Dates=H","DateFormat=P","Fill=—","Direction=H","UseDPDF=Y")</f>
        <v>#NAME?</v>
      </c>
      <c r="BD267" s="2" t="e">
        <f ca="1">_xll.BDH($C$253,"GEO_GROW_BOOK_VAL","FQ4 2016","FQ4 2016","Currency=INR","Period=FQ","BEST_FPERIOD_OVERRIDE=FQ","FILING_STATUS=OR","EQY_CONSOLIDATED=Y","Sort=A","Dates=H","DateFormat=P","Fill=—","Direction=H","UseDPDF=Y")</f>
        <v>#NAME?</v>
      </c>
      <c r="BE267" s="2" t="e">
        <f ca="1">_xll.BDH($C$253,"GEO_GROW_CASH_OPER_ACT","FQ4 2016","FQ4 2016","Currency=INR","Period=FQ","BEST_FPERIOD_OVERRIDE=FQ","FILING_STATUS=OR","EQY_CONSOLIDATED=Y","Sort=A","Dates=H","DateFormat=P","Fill=—","Direction=H","UseDPDF=Y")</f>
        <v>#NAME?</v>
      </c>
      <c r="BF267" s="2" t="e">
        <f ca="1">_xll.BDH($C$253,"REVENUE_SEQUENTIAL_GROWTH","FQ4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267" s="2" t="e">
        <f ca="1">_xll.BDH($C$253,"EBITDA_SEQUENTIAL_GROWTH","FQ4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267" s="2" t="e">
        <f ca="1">_xll.BDH($C$253,"OPERATING_INCOME_SEQ_GROWTH","FQ4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267" s="2" t="e">
        <f ca="1">_xll.BDH($C$253,"NET_INCOME_TO_COMMON_SEQ_GROWTH","FQ4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267" s="2" t="e">
        <f ca="1">_xll.BDH($C$253,"EPS_DILUTED_SEQUENTIAL_GROWTH","FQ4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267" s="2" t="e">
        <f ca="1">_xll.BDH($C$253,"DPS_SEQUENTIAL_GROWTH","FQ4 2016","FQ4 2016","Currency=INR","Period=FQ","BEST_FPERIOD_OVERRIDE=FQ","FILING_STATUS=OR","EQY_CONSOLIDATED=Y","Sort=A","Dates=H","DateFormat=P","Fill=—","Direction=H","UseDPDF=Y")</f>
        <v>#NAME?</v>
      </c>
      <c r="BL267" s="2" t="e">
        <f ca="1">_xll.BDH($C$253,"ACCOUNTS_RECEIVABLE_SEQ_GROWTH","FQ4 2016","FQ4 2016","Currency=INR","Period=FQ","BEST_FPERIOD_OVERRIDE=FQ","FILING_STATUS=OR","EQY_CONSOLIDATED=Y","Sort=A","Dates=H","DateFormat=P","Fill=—","Direction=H","UseDPDF=Y")</f>
        <v>#NAME?</v>
      </c>
      <c r="BM267" s="2" t="e">
        <f ca="1">_xll.BDH($C$253,"INVENTORY_SEQUENTIAL_GROWTH","FQ4 2016","FQ4 2016","Currency=INR","Period=FQ","BEST_FPERIOD_OVERRIDE=FQ","FILING_STATUS=OR","EQY_CONSOLIDATED=Y","Sort=A","Dates=H","DateFormat=P","Fill=—","Direction=H","UseDPDF=Y")</f>
        <v>#NAME?</v>
      </c>
      <c r="BN267" s="2" t="e">
        <f ca="1">_xll.BDH($C$253,"FIXED_ASSETS_SEQUENTIAL_GROWTH","FQ4 2016","FQ4 2016","Currency=INR","Period=FQ","BEST_FPERIOD_OVERRIDE=FQ","FILING_STATUS=OR","EQY_CONSOLIDATED=Y","Sort=A","Dates=H","DateFormat=P","Fill=—","Direction=H","UseDPDF=Y")</f>
        <v>#NAME?</v>
      </c>
      <c r="BO267" s="2" t="e">
        <f ca="1">_xll.BDH($C$253,"TOTAL_ASSETS_SEQUENTIAL_GROWTH","FQ4 2016","FQ4 2016","Currency=INR","Period=FQ","BEST_FPERIOD_OVERRIDE=FQ","FILING_STATUS=OR","EQY_CONSOLIDATED=Y","Sort=A","Dates=H","DateFormat=P","Fill=—","Direction=H","UseDPDF=Y")</f>
        <v>#NAME?</v>
      </c>
      <c r="BP267" s="2" t="e">
        <f ca="1">_xll.BDH($C$253,"MODIFIED_WORKING_CPTL_SEQ_GRWTH","FQ4 2016","FQ4 2016","Currency=INR","Period=FQ","BEST_FPERIOD_OVERRIDE=FQ","FILING_STATUS=OR","EQY_CONSOLIDATED=Y","Sort=A","Dates=H","DateFormat=P","Fill=—","Direction=H","UseDPDF=Y")</f>
        <v>#NAME?</v>
      </c>
      <c r="BQ267" s="2" t="e">
        <f ca="1">_xll.BDH($C$253,"WORKING_CAPITAL_SEQ_GROWTH","FQ4 2016","FQ4 2016","Currency=INR","Period=FQ","BEST_FPERIOD_OVERRIDE=FQ","FILING_STATUS=OR","EQY_CONSOLIDATED=Y","Sort=A","Dates=H","DateFormat=P","Fill=—","Direction=H","UseDPDF=Y")</f>
        <v>#NAME?</v>
      </c>
      <c r="BR267" s="2" t="e">
        <f ca="1">_xll.BDH($C$253,"ACCOUNTS_PAYABLE_SEQ_GROWTH","FQ4 2016","FQ4 2016","Currency=INR","Period=FQ","BEST_FPERIOD_OVERRIDE=FQ","FILING_STATUS=OR","EQY_CONSOLIDATED=Y","Sort=A","Dates=H","DateFormat=P","Fill=—","Direction=H","UseDPDF=Y")</f>
        <v>#NAME?</v>
      </c>
      <c r="BS267" s="2" t="e">
        <f ca="1">_xll.BDH($C$253,"ST_DEBT_SEQUENTIAL_GROWTH","FQ4 2016","FQ4 2016","Currency=INR","Period=FQ","BEST_FPERIOD_OVERRIDE=FQ","FILING_STATUS=OR","EQY_CONSOLIDATED=Y","Sort=A","Dates=H","DateFormat=P","Fill=—","Direction=H","UseDPDF=Y")</f>
        <v>#NAME?</v>
      </c>
      <c r="BT267" s="2" t="e">
        <f ca="1">_xll.BDH($C$253,"TOTAL_DEBT_SEQUENTIAL_GROWTH","FQ4 2016","FQ4 2016","Currency=INR","Period=FQ","BEST_FPERIOD_OVERRIDE=FQ","FILING_STATUS=OR","EQY_CONSOLIDATED=Y","Sort=A","Dates=H","DateFormat=P","Fill=—","Direction=H","UseDPDF=Y")</f>
        <v>#NAME?</v>
      </c>
      <c r="BU267" s="2" t="e">
        <f ca="1">_xll.BDH($C$253,"TOTAL_EQUITY_SEQUENTIAL_GROWTH","FQ4 2016","FQ4 2016","Currency=INR","Period=FQ","BEST_FPERIOD_OVERRIDE=FQ","FILING_STATUS=OR","EQY_CONSOLIDATED=Y","Sort=A","Dates=H","DateFormat=P","Fill=—","Direction=H","UseDPDF=Y")</f>
        <v>#NAME?</v>
      </c>
      <c r="BV267" s="2" t="e">
        <f ca="1">_xll.BDH($C$253,"TOTAL_CAPITAL_SEQUENTIAL_GROWTH","FQ4 2016","FQ4 2016","Currency=INR","Period=FQ","BEST_FPERIOD_OVERRIDE=FQ","FILING_STATUS=OR","EQY_CONSOLIDATED=Y","Sort=A","Dates=H","DateFormat=P","Fill=—","Direction=H","UseDPDF=Y")</f>
        <v>#NAME?</v>
      </c>
      <c r="BW267" s="2" t="e">
        <f ca="1">_xll.BDH($C$253,"BPS_SEQUENTIAL_GROWTH","FQ4 2016","FQ4 2016","Currency=INR","Period=FQ","BEST_FPERIOD_OVERRIDE=FQ","FILING_STATUS=OR","EQY_CONSOLIDATED=Y","Sort=A","Dates=H","DateFormat=P","Fill=—","Direction=H","UseDPDF=Y")</f>
        <v>#NAME?</v>
      </c>
      <c r="BX267" s="2" t="e">
        <f ca="1">_xll.BDH($C$253,"CFO_SEQUENTIAL_GROWTH","FQ4 2016","FQ4 2016","Currency=INR","Period=FQ","BEST_FPERIOD_OVERRIDE=FQ","FILING_STATUS=OR","EQY_CONSOLIDATED=Y","Sort=A","Dates=H","DateFormat=P","Fill=—","Direction=H","UseDPDF=Y")</f>
        <v>#NAME?</v>
      </c>
      <c r="BY267" s="3" t="e">
        <f ca="1">_xll.BDH($C$253,"SHORT_AND_LONG_TERM_DEBT","FQ4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267" s="3" t="e">
        <f ca="1">_xll.BDH($C$253,"BS_ST_BORROW","FQ4 2016","FQ4 2016","Currency=INR","Period=FQ","BEST_FPERIOD_OVERRIDE=FQ","FILING_STATUS=OR","EQY_CONSOLIDATED=Y","SCALING_FORMAT=MLN","Sort=A","Dates=H","DateFormat=P","Fill=—","Direction=H","UseDPDF=Y")</f>
        <v>#NAME?</v>
      </c>
      <c r="CA267" s="3" t="e">
        <f ca="1">_xll.BDH($C$253,"BS_LT_BORROW","FQ4 2016","FQ4 2016","Currency=INR","Period=FQ","BEST_FPERIOD_OVERRIDE=FQ","FILING_STATUS=OR","EQY_CONSOLIDATED=Y","SCALING_FORMAT=MLN","Sort=A","Dates=H","DateFormat=P","Fill=—","Direction=H","UseDPDF=Y")</f>
        <v>#NAME?</v>
      </c>
      <c r="CB267" s="2" t="e">
        <f ca="1">_xll.BDH($C$253,"TOT_DEBT_TO_EBITDA","FQ4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267" s="2" t="e">
        <f ca="1">_xll.BDH($C$253,"NET_DEBT_TO_EBITDA","FQ4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267" s="2" t="e">
        <f ca="1">_xll.BDH($C$253,"TOTAL_DEBT_TO_EBIT","FQ4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267" s="2" t="e">
        <f ca="1">_xll.BDH($C$253,"NET_DEBT_TO_EBIT","FQ4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267" s="2" t="e">
        <f ca="1">_xll.BDH($C$253,"EBITDA_TO_INTEREST_EXPN","FQ4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267" s="2" t="e">
        <f ca="1">_xll.BDH($C$253,"COM_EQY_TO_TOT_ASSET","FQ4 2016","FQ4 2016","Currency=INR","Period=FQ","BEST_FPERIOD_OVERRIDE=FQ","FILING_STATUS=OR","EQY_CONSOLIDATED=Y","Sort=A","Dates=H","DateFormat=P","Fill=—","Direction=H","UseDPDF=Y")</f>
        <v>#NAME?</v>
      </c>
      <c r="CH267" s="2" t="e">
        <f ca="1">_xll.BDH($C$253,"LT_DEBT_TO_TOT_EQY","FQ4 2016","FQ4 2016","Currency=INR","Period=FQ","BEST_FPERIOD_OVERRIDE=FQ","FILING_STATUS=OR","EQY_CONSOLIDATED=Y","Sort=A","Dates=H","DateFormat=P","Fill=—","Direction=H","UseDPDF=Y")</f>
        <v>#NAME?</v>
      </c>
      <c r="CI267" s="2" t="e">
        <f ca="1">_xll.BDH($C$253,"LT_DEBT_TO_TOT_CAP","FQ4 2016","FQ4 2016","Currency=INR","Period=FQ","BEST_FPERIOD_OVERRIDE=FQ","FILING_STATUS=OR","EQY_CONSOLIDATED=Y","Sort=A","Dates=H","DateFormat=P","Fill=—","Direction=H","UseDPDF=Y")</f>
        <v>#NAME?</v>
      </c>
      <c r="CJ267" s="2" t="e">
        <f ca="1">_xll.BDH($C$253,"LT_DEBT_TO_TOT_ASSET","FQ4 2016","FQ4 2016","Currency=INR","Period=FQ","BEST_FPERIOD_OVERRIDE=FQ","FILING_STATUS=OR","EQY_CONSOLIDATED=Y","Sort=A","Dates=H","DateFormat=P","Fill=—","Direction=H","UseDPDF=Y")</f>
        <v>#NAME?</v>
      </c>
      <c r="CK267" s="2" t="e">
        <f ca="1">_xll.BDH($C$253,"TOT_DEBT_TO_TOT_EQY","FQ4 2016","FQ4 2016","Currency=INR","Period=FQ","BEST_FPERIOD_OVERRIDE=FQ","FILING_STATUS=OR","EQY_CONSOLIDATED=Y","Sort=A","Dates=H","DateFormat=P","Fill=—","Direction=H","UseDPDF=Y")</f>
        <v>#NAME?</v>
      </c>
      <c r="CL267" s="2" t="e">
        <f ca="1">_xll.BDH($C$253,"TOT_DEBT_TO_TOT_CAP","FQ4 2016","FQ4 2016","Currency=INR","Period=FQ","BEST_FPERIOD_OVERRIDE=FQ","FILING_STATUS=OR","EQY_CONSOLIDATED=Y","Sort=A","Dates=H","DateFormat=P","Fill=—","Direction=H","UseDPDF=Y")</f>
        <v>#NAME?</v>
      </c>
      <c r="CM267" s="2" t="e">
        <f ca="1">_xll.BDH($C$253,"TOT_DEBT_TO_TOT_ASSET","FQ4 2016","FQ4 2016","Currency=INR","Period=FQ","BEST_FPERIOD_OVERRIDE=FQ","FILING_STATUS=OR","EQY_CONSOLIDATED=Y","Sort=A","Dates=H","DateFormat=P","Fill=—","Direction=H","UseDPDF=Y")</f>
        <v>#NAME?</v>
      </c>
      <c r="CN267" s="2" t="e">
        <f ca="1">_xll.BDH($C$253,"NET_DEBT_TO_SHRHLDR_EQTY","FQ4 2016","FQ4 2016","Currency=INR","Period=FQ","BEST_FPERIOD_OVERRIDE=FQ","FILING_STATUS=OR","EQY_CONSOLIDATED=Y","Sort=A","Dates=H","DateFormat=P","Fill=—","Direction=H","UseDPDF=Y")</f>
        <v>#NAME?</v>
      </c>
      <c r="CO267" s="2" t="e">
        <f ca="1">_xll.BDH($C$253,"NET_DEBT_%_CAPITAL","FQ4 2016","FQ4 2016","Currency=INR","Period=FQ","BEST_FPERIOD_OVERRIDE=FQ","FILING_STATUS=OR","EQY_CONSOLIDATED=Y","Sort=A","Dates=H","DateFormat=P","Fill=—","Direction=H","UseDPDF=Y")</f>
        <v>#NAME?</v>
      </c>
      <c r="CP267" s="3" t="e">
        <f ca="1">_xll.BDH($C$253,"EBITDA","FQ4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267" s="3" t="e">
        <f ca="1">_xll.BDH($C$253,"EBITDA_AFTER_CAPEX","FQ4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267" s="3" t="e">
        <f ca="1">_xll.BDH($C$253,"IS_OPER_INC","FQ4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267" s="2" t="e">
        <f ca="1">_xll.BDH($C$253,"CASH_RATIO","FQ4 2016","FQ4 2016","Currency=INR","Period=FQ","BEST_FPERIOD_OVERRIDE=FQ","FILING_STATUS=OR","EQY_CONSOLIDATED=Y","Sort=A","Dates=H","DateFormat=P","Fill=—","Direction=H","UseDPDF=Y")</f>
        <v>#NAME?</v>
      </c>
      <c r="CT267" s="2" t="e">
        <f ca="1">_xll.BDH($C$253,"CUR_RATIO","FQ4 2016","FQ4 2016","Currency=INR","Period=FQ","BEST_FPERIOD_OVERRIDE=FQ","FILING_STATUS=OR","EQY_CONSOLIDATED=Y","Sort=A","Dates=H","DateFormat=P","Fill=—","Direction=H","UseDPDF=Y")</f>
        <v>#NAME?</v>
      </c>
      <c r="CU267" s="2" t="e">
        <f ca="1">_xll.BDH($C$253,"QUICK_RATIO","FQ4 2016","FQ4 2016","Currency=INR","Period=FQ","BEST_FPERIOD_OVERRIDE=FQ","FILING_STATUS=OR","EQY_CONSOLIDATED=Y","Sort=A","Dates=H","DateFormat=P","Fill=—","Direction=H","UseDPDF=Y")</f>
        <v>#NAME?</v>
      </c>
      <c r="CV267" s="2" t="e">
        <f ca="1">_xll.BDH($C$253,"ALTMAN_Z_SCORE","FQ4 2016","FQ4 2016","Currency=INR","Period=FQ","BEST_FPERIOD_OVERRIDE=FQ","FILING_STATUS=OR","EQY_CONSOLIDATED=Y","Sort=A","Dates=H","DateFormat=P","Fill=—","Direction=H","UseDPDF=Y")</f>
        <v>#NAME?</v>
      </c>
      <c r="CW267" s="4" t="e">
        <f ca="1">_xll.BDH($C$253,"ACCT_RCV_TURN","FQ4 2016","FQ4 2016","Currency=INR","Period=FQ","BEST_FPERIOD_OVERRIDE=FQ","FILING_STATUS=OR","EQY_CONSOLIDATED=Y","FA_ADJUSTED=GAAP","Sort=A","Dates=H","DateFormat=P","Fill=—","Direction=H","UseDPDF=Y")</f>
        <v>#NAME?</v>
      </c>
      <c r="CX267" s="2" t="e">
        <f ca="1">_xll.BDH($C$253,"ACCT_RCV_DAYS","FQ4 2016","FQ4 2016","Currency=INR","Period=FQ","BEST_FPERIOD_OVERRIDE=FQ","FILING_STATUS=OR","EQY_CONSOLIDATED=Y","FA_ADJUSTED=GAAP","Sort=A","Dates=H","DateFormat=P","Fill=—","Direction=H","UseDPDF=Y")</f>
        <v>#NAME?</v>
      </c>
      <c r="CY267" s="4" t="e">
        <f ca="1">_xll.BDH($C$253,"INVENT_TURN","FQ4 2016","FQ4 2016","Currency=INR","Period=FQ","BEST_FPERIOD_OVERRIDE=FQ","FILING_STATUS=OR","EQY_CONSOLIDATED=Y","FA_ADJUSTED=GAAP","Sort=A","Dates=H","DateFormat=P","Fill=—","Direction=H","UseDPDF=Y")</f>
        <v>#NAME?</v>
      </c>
      <c r="CZ267" s="2" t="e">
        <f ca="1">_xll.BDH($C$253,"INVENT_DAYS","FQ4 2016","FQ4 2016","Currency=INR","Period=FQ","BEST_FPERIOD_OVERRIDE=FQ","FILING_STATUS=OR","EQY_CONSOLIDATED=Y","FA_ADJUSTED=GAAP","Sort=A","Dates=H","DateFormat=P","Fill=—","Direction=H","UseDPDF=Y")</f>
        <v>#NAME?</v>
      </c>
      <c r="DA267" s="4" t="e">
        <f ca="1">_xll.BDH($C$253,"ACCOUNTS_PAYABLE_TURNOVER","FQ4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267" s="2" t="e">
        <f ca="1">_xll.BDH($C$253,"ACCOUNTS_PAYABLE_TURNOVER_DAYS","FQ4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267" s="4" t="e">
        <f ca="1">_xll.BDH($C$253,"CASH_CONVERSION_CYCLE","FQ4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267" s="4" t="e">
        <f ca="1">_xll.BDH($C$253,"INV_TO_CASH_DAYS","FQ4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267" s="5" t="e">
        <f ca="1">_xll.BDH($C$253,"BS_INVENTORIES","FQ4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267" s="3" t="e">
        <f ca="1">_xll.BDH($C$253,"INVTRY_RAW_MATERIALS","FQ4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267" s="3" t="e">
        <f ca="1">_xll.BDH($C$253,"INVTRY_IN_PROGRESS","FQ4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267" s="3" t="e">
        <f ca="1">_xll.BDH($C$253,"INVTRY_FINISHED_GOODS","FQ4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267" s="3" t="e">
        <f ca="1">_xll.BDH($C$253,"BS_OTHER_INV","FQ4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268" spans="1:113" x14ac:dyDescent="0.3">
      <c r="A268" s="6"/>
      <c r="B268" s="6"/>
      <c r="C268" s="6"/>
      <c r="D268" s="6" t="s">
        <v>84</v>
      </c>
      <c r="E268" t="s">
        <v>77</v>
      </c>
      <c r="F268" t="e">
        <f ca="1">_xll.BDH($C$253,"RETURN_COM_EQY","FY 2017","FY 2017","Currency=INR","Period=FY","BEST_FPERIOD_OVERRIDE=FY","FILING_STATUS=OR","EQY_CONSOLIDATED=Y","FA_ADJUSTED=GAAP","Sort=A","Dates=H","DateFormat=P","Fill=—","Direction=H","UseDPDF=Y")</f>
        <v>#NAME?</v>
      </c>
      <c r="G268" t="e">
        <f ca="1">_xll.BDH($C$253,"RETURN_ON_ASSET","FY 2017","FY 2017","Currency=INR","Period=FY","BEST_FPERIOD_OVERRIDE=FY","FILING_STATUS=OR","EQY_CONSOLIDATED=Y","FA_ADJUSTED=GAAP","Sort=A","Dates=H","DateFormat=P","Fill=—","Direction=H","UseDPDF=Y")</f>
        <v>#NAME?</v>
      </c>
      <c r="H268" t="e">
        <f ca="1">_xll.BDH($C$253,"RETURN_ON_CAP","FY 2017","FY 2017","Currency=INR","Period=FY","BEST_FPERIOD_OVERRIDE=FY","FILING_STATUS=OR","EQY_CONSOLIDATED=Y","FA_ADJUSTED=GAAP","Sort=A","Dates=H","DateFormat=P","Fill=—","Direction=H","UseDPDF=Y")</f>
        <v>#NAME?</v>
      </c>
      <c r="I268" t="e">
        <f ca="1">_xll.BDH($C$253,"RETURN_ON_INV_CAPITAL","FY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268" t="e">
        <f ca="1">_xll.BDH($C$253,"EBITDA_TO_REVENUE","FY 2017","FY 2017","Currency=INR","Period=FY","BEST_FPERIOD_OVERRIDE=FY","FILING_STATUS=OR","EQY_CONSOLIDATED=Y","FA_ADJUSTED=GAAP","Sort=A","Dates=H","DateFormat=P","Fill=—","Direction=H","UseDPDF=Y")</f>
        <v>#NAME?</v>
      </c>
      <c r="K268" t="e">
        <f ca="1">_xll.BDH($C$253,"OPER_MARGIN","FY 2017","FY 2017","Currency=INR","Period=FY","BEST_FPERIOD_OVERRIDE=FY","FILING_STATUS=OR","EQY_CONSOLIDATED=Y","FA_ADJUSTED=GAAP","Sort=A","Dates=H","DateFormat=P","Fill=—","Direction=H","UseDPDF=Y")</f>
        <v>#NAME?</v>
      </c>
      <c r="L268" t="e">
        <f ca="1">_xll.BDH($C$253,"INCREMENTAL_OPERATING_MARGIN","FY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268" t="e">
        <f ca="1">_xll.BDH($C$253,"PRETAX_INC_TO_NET_SALES","FY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268" t="e">
        <f ca="1">_xll.BDH($C$253,"INC_BEF_XO_ITEMS_TO_NET_SALES","FY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268" t="e">
        <f ca="1">_xll.BDH($C$253,"PROF_MARGIN","FY 2017","FY 2017","Currency=INR","Period=FY","BEST_FPERIOD_OVERRIDE=FY","FILING_STATUS=OR","EQY_CONSOLIDATED=Y","FA_ADJUSTED=GAAP","Sort=A","Dates=H","DateFormat=P","Fill=—","Direction=H","UseDPDF=Y")</f>
        <v>#NAME?</v>
      </c>
      <c r="P268" t="e">
        <f ca="1">_xll.BDH($C$253,"NET_INCOME_TO_COMMON_MARGIN","FY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268" t="e">
        <f ca="1">_xll.BDH($C$253,"EFF_TAX_RATE","FY 2017","FY 2017","Currency=INR","Period=FY","BEST_FPERIOD_OVERRIDE=FY","FILING_STATUS=OR","EQY_CONSOLIDATED=Y","FA_ADJUSTED=GAAP","Sort=A","Dates=H","DateFormat=P","Fill=—","Direction=H","UseDPDF=Y")</f>
        <v>#NAME?</v>
      </c>
      <c r="R268" t="e">
        <f ca="1">_xll.BDH($C$253,"DVD_PAYOUT_RATIO","FY 2017","FY 2017","Currency=INR","Period=FY","BEST_FPERIOD_OVERRIDE=FY","FILING_STATUS=OR","EQY_CONSOLIDATED=Y","FA_ADJUSTED=GAAP","Sort=A","Dates=H","DateFormat=P","Fill=—","Direction=H","UseDPDF=Y")</f>
        <v>#NAME?</v>
      </c>
      <c r="S268" t="e">
        <f ca="1">_xll.BDH($C$253,"SUSTAIN_GROWTH_RT","FY 2017","FY 2017","Currency=INR","Period=FY","BEST_FPERIOD_OVERRIDE=FY","FILING_STATUS=OR","EQY_CONSOLIDATED=Y","FA_ADJUSTED=GAAP","Sort=A","Dates=H","DateFormat=P","Fill=—","Direction=H","UseDPDF=Y")</f>
        <v>#NAME?</v>
      </c>
      <c r="T268" s="2" t="e">
        <f ca="1">_xll.BDH($C$253,"SALES_GROWTH","FY 2017","FY 2017","Currency=INR","Period=FY","BEST_FPERIOD_OVERRIDE=FY","FILING_STATUS=OR","EQY_CONSOLIDATED=Y","FA_ADJUSTED=GAAP","Sort=A","Dates=H","DateFormat=P","Fill=—","Direction=H","UseDPDF=Y")</f>
        <v>#NAME?</v>
      </c>
      <c r="U268" s="2" t="e">
        <f ca="1">_xll.BDH($C$253,"EBITDA_GROWTH","FY 2017","FY 2017","Currency=INR","Period=FY","BEST_FPERIOD_OVERRIDE=FY","FILING_STATUS=OR","EQY_CONSOLIDATED=Y","FA_ADJUSTED=GAAP","Sort=A","Dates=H","DateFormat=P","Fill=—","Direction=H","UseDPDF=Y")</f>
        <v>#NAME?</v>
      </c>
      <c r="V268" s="2" t="e">
        <f ca="1">_xll.BDH($C$253,"OPER_INC_GROWTH","FY 2017","FY 2017","Currency=INR","Period=FY","BEST_FPERIOD_OVERRIDE=FY","FILING_STATUS=OR","EQY_CONSOLIDATED=Y","FA_ADJUSTED=GAAP","Sort=A","Dates=H","DateFormat=P","Fill=—","Direction=H","UseDPDF=Y")</f>
        <v>#NAME?</v>
      </c>
      <c r="W268" s="2" t="e">
        <f ca="1">_xll.BDH($C$253,"EARN_FOR_COM_GROWTH","FY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268" s="2" t="e">
        <f ca="1">_xll.BDH($C$253,"DILUTED_EPS_AFT_XO_ITEMS_GROWTH","FY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268" s="2" t="e">
        <f ca="1">_xll.BDH($C$253,"DIVIDEND_PER_SHARE_1_YEAR_GROWTH","FY 2017","FY 2017","Currency=INR","Period=FY","BEST_FPERIOD_OVERRIDE=FY","FILING_STATUS=OR","EQY_CONSOLIDATED=Y","Sort=A","Dates=H","DateFormat=P","Fill=—","Direction=H","UseDPDF=Y")</f>
        <v>#NAME?</v>
      </c>
      <c r="Z268" s="2" t="e">
        <f ca="1">_xll.BDH($C$253,"ACCOUNTS_RECEIVABLE_GROWTH","FY 2017","FY 2017","Currency=INR","Period=FY","BEST_FPERIOD_OVERRIDE=FY","FILING_STATUS=OR","EQY_CONSOLIDATED=Y","Sort=A","Dates=H","DateFormat=P","Fill=—","Direction=H","UseDPDF=Y")</f>
        <v>#NAME?</v>
      </c>
      <c r="AA268" s="2" t="e">
        <f ca="1">_xll.BDH($C$253,"INVENTORY_GROWTH","FY 2017","FY 2017","Currency=INR","Period=FY","BEST_FPERIOD_OVERRIDE=FY","FILING_STATUS=OR","EQY_CONSOLIDATED=Y","Sort=A","Dates=H","DateFormat=P","Fill=—","Direction=H","UseDPDF=Y")</f>
        <v>#NAME?</v>
      </c>
      <c r="AB268" s="2" t="e">
        <f ca="1">_xll.BDH($C$253,"NET_FIXED_ASSETS_1_YEAR_GROWTH","FY 2017","FY 2017","Currency=INR","Period=FY","BEST_FPERIOD_OVERRIDE=FY","FILING_STATUS=OR","EQY_CONSOLIDATED=Y","Sort=A","Dates=H","DateFormat=P","Fill=—","Direction=H","UseDPDF=Y")</f>
        <v>#NAME?</v>
      </c>
      <c r="AC268" s="2" t="e">
        <f ca="1">_xll.BDH($C$253,"ASSET_GROWTH","FY 2017","FY 2017","Currency=INR","Period=FY","BEST_FPERIOD_OVERRIDE=FY","FILING_STATUS=OR","EQY_CONSOLIDATED=Y","Sort=A","Dates=H","DateFormat=P","Fill=—","Direction=H","UseDPDF=Y")</f>
        <v>#NAME?</v>
      </c>
      <c r="AD268" s="2" t="e">
        <f ca="1">_xll.BDH($C$253,"MODIFIED_WORK_CAP_GROWTH","FY 2017","FY 2017","Currency=INR","Period=FY","BEST_FPERIOD_OVERRIDE=FY","FILING_STATUS=OR","EQY_CONSOLIDATED=Y","Sort=A","Dates=H","DateFormat=P","Fill=—","Direction=H","UseDPDF=Y")</f>
        <v>#NAME?</v>
      </c>
      <c r="AE268" s="2" t="e">
        <f ca="1">_xll.BDH($C$253,"WORK_CAP_GROWTH","FY 2017","FY 2017","Currency=INR","Period=FY","BEST_FPERIOD_OVERRIDE=FY","FILING_STATUS=OR","EQY_CONSOLIDATED=Y","Sort=A","Dates=H","DateFormat=P","Fill=—","Direction=H","UseDPDF=Y")</f>
        <v>#NAME?</v>
      </c>
      <c r="AF268" s="2" t="e">
        <f ca="1">_xll.BDH($C$253,"ACCOUNTS_PAYABLE_GROWTH_1YR","FY 2017","FY 2017","Currency=INR","Period=FY","BEST_FPERIOD_OVERRIDE=FY","FILING_STATUS=OR","EQY_CONSOLIDATED=Y","Sort=A","Dates=H","DateFormat=P","Fill=—","Direction=H","UseDPDF=Y")</f>
        <v>#NAME?</v>
      </c>
      <c r="AG268" s="2" t="e">
        <f ca="1">_xll.BDH($C$253,"SHORT_TERM_DEBT_1_YEAR_GROWTH","FY 2017","FY 2017","Currency=INR","Period=FY","BEST_FPERIOD_OVERRIDE=FY","FILING_STATUS=OR","EQY_CONSOLIDATED=Y","Sort=A","Dates=H","DateFormat=P","Fill=—","Direction=H","UseDPDF=Y")</f>
        <v>#NAME?</v>
      </c>
      <c r="AH268" s="2" t="e">
        <f ca="1">_xll.BDH($C$253,"TOTAL_DEBT_1_YEAR_GROWTH","FY 2017","FY 2017","Currency=INR","Period=FY","BEST_FPERIOD_OVERRIDE=FY","FILING_STATUS=OR","EQY_CONSOLIDATED=Y","Sort=A","Dates=H","DateFormat=P","Fill=—","Direction=H","UseDPDF=Y")</f>
        <v>#NAME?</v>
      </c>
      <c r="AI268" s="2" t="e">
        <f ca="1">_xll.BDH($C$253,"TOTAL_EQUITY_1_YEAR_GROWTH","FY 2017","FY 2017","Currency=INR","Period=FY","BEST_FPERIOD_OVERRIDE=FY","FILING_STATUS=OR","EQY_CONSOLIDATED=Y","Sort=A","Dates=H","DateFormat=P","Fill=—","Direction=H","UseDPDF=Y")</f>
        <v>#NAME?</v>
      </c>
      <c r="AJ268" s="2" t="e">
        <f ca="1">_xll.BDH($C$253,"GROWTH_IN_CAP","FY 2017","FY 2017","Currency=INR","Period=FY","BEST_FPERIOD_OVERRIDE=FY","FILING_STATUS=OR","EQY_CONSOLIDATED=Y","Sort=A","Dates=H","DateFormat=P","Fill=—","Direction=H","UseDPDF=Y")</f>
        <v>#NAME?</v>
      </c>
      <c r="AK268" s="2" t="e">
        <f ca="1">_xll.BDH($C$253,"BVPS_GROWTH","FY 2017","FY 2017","Currency=INR","Period=FY","BEST_FPERIOD_OVERRIDE=FY","FILING_STATUS=OR","EQY_CONSOLIDATED=Y","Sort=A","Dates=H","DateFormat=P","Fill=—","Direction=H","UseDPDF=Y")</f>
        <v>#NAME?</v>
      </c>
      <c r="AL268" s="2" t="e">
        <f ca="1">_xll.BDH($C$253,"CASH_FLOW_GROWTH","FY 2017","FY 2017","Currency=INR","Period=FY","BEST_FPERIOD_OVERRIDE=FY","FILING_STATUS=OR","EQY_CONSOLIDATED=Y","Sort=A","Dates=H","DateFormat=P","Fill=—","Direction=H","UseDPDF=Y")</f>
        <v>#NAME?</v>
      </c>
      <c r="AM268" s="2" t="e">
        <f ca="1">_xll.BDH($C$253,"GEO_GROW_NET_SALES","FY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268" s="2" t="e">
        <f ca="1">_xll.BDH($C$253,"GEO_GROW_EBITDA","FY 2017","FY 2017","Currency=INR","Period=FY","BEST_FPERIOD_OVERRIDE=FY","FILING_STATUS=OR","EQY_CONSOLIDATED=Y","FA_ADJUSTED=GAAP","Sort=A","Dates=H","DateFormat=P","Fill=—","Direction=H","UseDPDF=Y")</f>
        <v>#NAME?</v>
      </c>
      <c r="AO268" s="2" t="e">
        <f ca="1">_xll.BDH($C$253,"GEO_GROW_OPER_INC","FY 2017","FY 2017","Currency=INR","Period=FY","BEST_FPERIOD_OVERRIDE=FY","FILING_STATUS=OR","EQY_CONSOLIDATED=Y","FA_ADJUSTED=GAAP","Sort=A","Dates=H","DateFormat=P","Fill=—","Direction=H","UseDPDF=Y")</f>
        <v>#NAME?</v>
      </c>
      <c r="AP268" s="2" t="e">
        <f ca="1">_xll.BDH($C$253,"NET_INCOME_TO_COMMON_5_YR_GROWTH","FY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268" s="2" t="e">
        <f ca="1">_xll.BDH($C$253,"5Y_GEO_GROWTH_DILUTED_EPS","FY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268" s="2" t="e">
        <f ca="1">_xll.BDH($C$253,"GEO_GROW_DVD_PER_SH","FY 2017","FY 2017","Currency=INR","Period=FY","BEST_FPERIOD_OVERRIDE=FY","FILING_STATUS=OR","EQY_CONSOLIDATED=Y","Sort=A","Dates=H","DateFormat=P","Fill=—","Direction=H","UseDPDF=Y")</f>
        <v>#NAME?</v>
      </c>
      <c r="AS268" s="2" t="e">
        <f ca="1">_xll.BDH($C$253,"ACCOUNTS_RECEIVABLE_5_YR_GROWTH","FY 2017","FY 2017","Currency=INR","Period=FY","BEST_FPERIOD_OVERRIDE=FY","FILING_STATUS=OR","EQY_CONSOLIDATED=Y","Sort=A","Dates=H","DateFormat=P","Fill=—","Direction=H","UseDPDF=Y")</f>
        <v>#NAME?</v>
      </c>
      <c r="AT268" s="2" t="e">
        <f ca="1">_xll.BDH($C$253,"INVENTORY_5_YEAR_GROWTH","FY 2017","FY 2017","Currency=INR","Period=FY","BEST_FPERIOD_OVERRIDE=FY","FILING_STATUS=OR","EQY_CONSOLIDATED=Y","Sort=A","Dates=H","DateFormat=P","Fill=—","Direction=H","UseDPDF=Y")</f>
        <v>#NAME?</v>
      </c>
      <c r="AU268" s="2" t="e">
        <f ca="1">_xll.BDH($C$253,"NET_FIXED_ASSETS_5_YEAR_GROWTH","FY 2017","FY 2017","Currency=INR","Period=FY","BEST_FPERIOD_OVERRIDE=FY","FILING_STATUS=OR","EQY_CONSOLIDATED=Y","Sort=A","Dates=H","DateFormat=P","Fill=—","Direction=H","UseDPDF=Y")</f>
        <v>#NAME?</v>
      </c>
      <c r="AV268" s="2" t="e">
        <f ca="1">_xll.BDH($C$253,"GEO_GROW_TOT_ASSET","FY 2017","FY 2017","Currency=INR","Period=FY","BEST_FPERIOD_OVERRIDE=FY","FILING_STATUS=OR","EQY_CONSOLIDATED=Y","Sort=A","Dates=H","DateFormat=P","Fill=—","Direction=H","UseDPDF=Y")</f>
        <v>#NAME?</v>
      </c>
      <c r="AW268" s="2" t="e">
        <f ca="1">_xll.BDH($C$253,"MODIFIED_WORKING_CPTL_5YR_GRWTH","FY 2017","FY 2017","Currency=INR","Period=FY","BEST_FPERIOD_OVERRIDE=FY","FILING_STATUS=OR","EQY_CONSOLIDATED=Y","Sort=A","Dates=H","DateFormat=P","Fill=—","Direction=H","UseDPDF=Y")</f>
        <v>#NAME?</v>
      </c>
      <c r="AX268" s="2" t="e">
        <f ca="1">_xll.BDH($C$253,"WORKING_CAPITAL_5_YEAR_GROWTH","FY 2017","FY 2017","Currency=INR","Period=FY","BEST_FPERIOD_OVERRIDE=FY","FILING_STATUS=OR","EQY_CONSOLIDATED=Y","Sort=A","Dates=H","DateFormat=P","Fill=—","Direction=H","UseDPDF=Y")</f>
        <v>#NAME?</v>
      </c>
      <c r="AY268" s="2" t="e">
        <f ca="1">_xll.BDH($C$253,"ACCOUNTS_PAYABLE_5_YEAR_GROWTH","FY 2017","FY 2017","Currency=INR","Period=FY","BEST_FPERIOD_OVERRIDE=FY","FILING_STATUS=OR","EQY_CONSOLIDATED=Y","Sort=A","Dates=H","DateFormat=P","Fill=—","Direction=H","UseDPDF=Y")</f>
        <v>#NAME?</v>
      </c>
      <c r="AZ268" s="2" t="e">
        <f ca="1">_xll.BDH($C$253,"SHORT_TERM_DEBT_5_YEAR_GROWTH","FY 2017","FY 2017","Currency=INR","Period=FY","BEST_FPERIOD_OVERRIDE=FY","FILING_STATUS=OR","EQY_CONSOLIDATED=Y","Sort=A","Dates=H","DateFormat=P","Fill=—","Direction=H","UseDPDF=Y")</f>
        <v>#NAME?</v>
      </c>
      <c r="BA268" s="2" t="e">
        <f ca="1">_xll.BDH($C$253,"TOTAL_DEBT_5_YEAR_GROWTH","FY 2017","FY 2017","Currency=INR","Period=FY","BEST_FPERIOD_OVERRIDE=FY","FILING_STATUS=OR","EQY_CONSOLIDATED=Y","Sort=A","Dates=H","DateFormat=P","Fill=—","Direction=H","UseDPDF=Y")</f>
        <v>#NAME?</v>
      </c>
      <c r="BB268" s="2" t="e">
        <f ca="1">_xll.BDH($C$253,"GEO_GROW_TOT_SHRHLDR_EQY","FY 2017","FY 2017","Currency=INR","Period=FY","BEST_FPERIOD_OVERRIDE=FY","FILING_STATUS=OR","EQY_CONSOLIDATED=Y","Sort=A","Dates=H","DateFormat=P","Fill=—","Direction=H","UseDPDF=Y")</f>
        <v>#NAME?</v>
      </c>
      <c r="BC268" s="2" t="e">
        <f ca="1">_xll.BDH($C$253,"TOTAL_CAPITAL_5_YEAR_GROWTH","FY 2017","FY 2017","Currency=INR","Period=FY","BEST_FPERIOD_OVERRIDE=FY","FILING_STATUS=OR","EQY_CONSOLIDATED=Y","Sort=A","Dates=H","DateFormat=P","Fill=—","Direction=H","UseDPDF=Y")</f>
        <v>#NAME?</v>
      </c>
      <c r="BD268" s="2" t="e">
        <f ca="1">_xll.BDH($C$253,"GEO_GROW_BOOK_VAL","FY 2017","FY 2017","Currency=INR","Period=FY","BEST_FPERIOD_OVERRIDE=FY","FILING_STATUS=OR","EQY_CONSOLIDATED=Y","Sort=A","Dates=H","DateFormat=P","Fill=—","Direction=H","UseDPDF=Y")</f>
        <v>#NAME?</v>
      </c>
      <c r="BE268" s="2" t="e">
        <f ca="1">_xll.BDH($C$253,"GEO_GROW_CASH_OPER_ACT","FY 2017","FY 2017","Currency=INR","Period=FY","BEST_FPERIOD_OVERRIDE=FY","FILING_STATUS=OR","EQY_CONSOLIDATED=Y","Sort=A","Dates=H","DateFormat=P","Fill=—","Direction=H","UseDPDF=Y")</f>
        <v>#NAME?</v>
      </c>
      <c r="BF268" s="2" t="e">
        <f ca="1">_xll.BDH($C$253,"REVENUE_SEQUENTIAL_GROWTH","FY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268" s="2" t="e">
        <f ca="1">_xll.BDH($C$253,"EBITDA_SEQUENTIAL_GROWTH","FY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268" s="2" t="e">
        <f ca="1">_xll.BDH($C$253,"OPERATING_INCOME_SEQ_GROWTH","FY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268" s="2" t="e">
        <f ca="1">_xll.BDH($C$253,"NET_INCOME_TO_COMMON_SEQ_GROWTH","FY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268" s="2" t="e">
        <f ca="1">_xll.BDH($C$253,"EPS_DILUTED_SEQUENTIAL_GROWTH","FY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268" s="2" t="e">
        <f ca="1">_xll.BDH($C$253,"DPS_SEQUENTIAL_GROWTH","FY 2017","FY 2017","Currency=INR","Period=FY","BEST_FPERIOD_OVERRIDE=FY","FILING_STATUS=OR","EQY_CONSOLIDATED=Y","Sort=A","Dates=H","DateFormat=P","Fill=—","Direction=H","UseDPDF=Y")</f>
        <v>#NAME?</v>
      </c>
      <c r="BL268" s="2" t="e">
        <f ca="1">_xll.BDH($C$253,"ACCOUNTS_RECEIVABLE_SEQ_GROWTH","FY 2017","FY 2017","Currency=INR","Period=FY","BEST_FPERIOD_OVERRIDE=FY","FILING_STATUS=OR","EQY_CONSOLIDATED=Y","Sort=A","Dates=H","DateFormat=P","Fill=—","Direction=H","UseDPDF=Y")</f>
        <v>#NAME?</v>
      </c>
      <c r="BM268" s="2" t="e">
        <f ca="1">_xll.BDH($C$253,"INVENTORY_SEQUENTIAL_GROWTH","FY 2017","FY 2017","Currency=INR","Period=FY","BEST_FPERIOD_OVERRIDE=FY","FILING_STATUS=OR","EQY_CONSOLIDATED=Y","Sort=A","Dates=H","DateFormat=P","Fill=—","Direction=H","UseDPDF=Y")</f>
        <v>#NAME?</v>
      </c>
      <c r="BN268" s="2" t="e">
        <f ca="1">_xll.BDH($C$253,"FIXED_ASSETS_SEQUENTIAL_GROWTH","FY 2017","FY 2017","Currency=INR","Period=FY","BEST_FPERIOD_OVERRIDE=FY","FILING_STATUS=OR","EQY_CONSOLIDATED=Y","Sort=A","Dates=H","DateFormat=P","Fill=—","Direction=H","UseDPDF=Y")</f>
        <v>#NAME?</v>
      </c>
      <c r="BO268" s="2" t="e">
        <f ca="1">_xll.BDH($C$253,"TOTAL_ASSETS_SEQUENTIAL_GROWTH","FY 2017","FY 2017","Currency=INR","Period=FY","BEST_FPERIOD_OVERRIDE=FY","FILING_STATUS=OR","EQY_CONSOLIDATED=Y","Sort=A","Dates=H","DateFormat=P","Fill=—","Direction=H","UseDPDF=Y")</f>
        <v>#NAME?</v>
      </c>
      <c r="BP268" s="2" t="e">
        <f ca="1">_xll.BDH($C$253,"MODIFIED_WORKING_CPTL_SEQ_GRWTH","FY 2017","FY 2017","Currency=INR","Period=FY","BEST_FPERIOD_OVERRIDE=FY","FILING_STATUS=OR","EQY_CONSOLIDATED=Y","Sort=A","Dates=H","DateFormat=P","Fill=—","Direction=H","UseDPDF=Y")</f>
        <v>#NAME?</v>
      </c>
      <c r="BQ268" s="2" t="e">
        <f ca="1">_xll.BDH($C$253,"WORKING_CAPITAL_SEQ_GROWTH","FY 2017","FY 2017","Currency=INR","Period=FY","BEST_FPERIOD_OVERRIDE=FY","FILING_STATUS=OR","EQY_CONSOLIDATED=Y","Sort=A","Dates=H","DateFormat=P","Fill=—","Direction=H","UseDPDF=Y")</f>
        <v>#NAME?</v>
      </c>
      <c r="BR268" s="2" t="e">
        <f ca="1">_xll.BDH($C$253,"ACCOUNTS_PAYABLE_SEQ_GROWTH","FY 2017","FY 2017","Currency=INR","Period=FY","BEST_FPERIOD_OVERRIDE=FY","FILING_STATUS=OR","EQY_CONSOLIDATED=Y","Sort=A","Dates=H","DateFormat=P","Fill=—","Direction=H","UseDPDF=Y")</f>
        <v>#NAME?</v>
      </c>
      <c r="BS268" s="2" t="e">
        <f ca="1">_xll.BDH($C$253,"ST_DEBT_SEQUENTIAL_GROWTH","FY 2017","FY 2017","Currency=INR","Period=FY","BEST_FPERIOD_OVERRIDE=FY","FILING_STATUS=OR","EQY_CONSOLIDATED=Y","Sort=A","Dates=H","DateFormat=P","Fill=—","Direction=H","UseDPDF=Y")</f>
        <v>#NAME?</v>
      </c>
      <c r="BT268" s="2" t="e">
        <f ca="1">_xll.BDH($C$253,"TOTAL_DEBT_SEQUENTIAL_GROWTH","FY 2017","FY 2017","Currency=INR","Period=FY","BEST_FPERIOD_OVERRIDE=FY","FILING_STATUS=OR","EQY_CONSOLIDATED=Y","Sort=A","Dates=H","DateFormat=P","Fill=—","Direction=H","UseDPDF=Y")</f>
        <v>#NAME?</v>
      </c>
      <c r="BU268" s="2" t="e">
        <f ca="1">_xll.BDH($C$253,"TOTAL_EQUITY_SEQUENTIAL_GROWTH","FY 2017","FY 2017","Currency=INR","Period=FY","BEST_FPERIOD_OVERRIDE=FY","FILING_STATUS=OR","EQY_CONSOLIDATED=Y","Sort=A","Dates=H","DateFormat=P","Fill=—","Direction=H","UseDPDF=Y")</f>
        <v>#NAME?</v>
      </c>
      <c r="BV268" s="2" t="e">
        <f ca="1">_xll.BDH($C$253,"TOTAL_CAPITAL_SEQUENTIAL_GROWTH","FY 2017","FY 2017","Currency=INR","Period=FY","BEST_FPERIOD_OVERRIDE=FY","FILING_STATUS=OR","EQY_CONSOLIDATED=Y","Sort=A","Dates=H","DateFormat=P","Fill=—","Direction=H","UseDPDF=Y")</f>
        <v>#NAME?</v>
      </c>
      <c r="BW268" s="2" t="e">
        <f ca="1">_xll.BDH($C$253,"BPS_SEQUENTIAL_GROWTH","FY 2017","FY 2017","Currency=INR","Period=FY","BEST_FPERIOD_OVERRIDE=FY","FILING_STATUS=OR","EQY_CONSOLIDATED=Y","Sort=A","Dates=H","DateFormat=P","Fill=—","Direction=H","UseDPDF=Y")</f>
        <v>#NAME?</v>
      </c>
      <c r="BX268" s="2" t="e">
        <f ca="1">_xll.BDH($C$253,"CFO_SEQUENTIAL_GROWTH","FY 2017","FY 2017","Currency=INR","Period=FY","BEST_FPERIOD_OVERRIDE=FY","FILING_STATUS=OR","EQY_CONSOLIDATED=Y","Sort=A","Dates=H","DateFormat=P","Fill=—","Direction=H","UseDPDF=Y")</f>
        <v>#NAME?</v>
      </c>
      <c r="BY268" s="3" t="e">
        <f ca="1">_xll.BDH($C$253,"SHORT_AND_LONG_TERM_DEBT","FY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268" s="3" t="e">
        <f ca="1">_xll.BDH($C$253,"BS_ST_BORROW","FY 2017","FY 2017","Currency=INR","Period=FY","BEST_FPERIOD_OVERRIDE=FY","FILING_STATUS=OR","EQY_CONSOLIDATED=Y","SCALING_FORMAT=MLN","Sort=A","Dates=H","DateFormat=P","Fill=—","Direction=H","UseDPDF=Y")</f>
        <v>#NAME?</v>
      </c>
      <c r="CA268" s="3" t="e">
        <f ca="1">_xll.BDH($C$253,"BS_LT_BORROW","FY 2017","FY 2017","Currency=INR","Period=FY","BEST_FPERIOD_OVERRIDE=FY","FILING_STATUS=OR","EQY_CONSOLIDATED=Y","SCALING_FORMAT=MLN","Sort=A","Dates=H","DateFormat=P","Fill=—","Direction=H","UseDPDF=Y")</f>
        <v>#NAME?</v>
      </c>
      <c r="CB268" s="2" t="e">
        <f ca="1">_xll.BDH($C$253,"TOT_DEBT_TO_EBITDA","FY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268" s="2" t="e">
        <f ca="1">_xll.BDH($C$253,"NET_DEBT_TO_EBITDA","FY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268" s="2" t="e">
        <f ca="1">_xll.BDH($C$253,"TOTAL_DEBT_TO_EBIT","FY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268" s="2" t="e">
        <f ca="1">_xll.BDH($C$253,"NET_DEBT_TO_EBIT","FY 2017","FY 2017","Currency=INR","Period=FY","BEST_FPERIOD_OVERRIDE=FY","FILING_STATUS=OR","EQY_CONSOLIDATED=Y","FA_ADJUSTED=GAAP","Sort=A","Dates=H","DateFormat=P","Fill=—","Direction=H","UseDPDF=Y")</f>
        <v>#NAME?</v>
      </c>
      <c r="CF268" s="2" t="e">
        <f ca="1">_xll.BDH($C$253,"EBITDA_TO_INTEREST_EXPN","FY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268" s="2" t="e">
        <f ca="1">_xll.BDH($C$253,"COM_EQY_TO_TOT_ASSET","FY 2017","FY 2017","Currency=INR","Period=FY","BEST_FPERIOD_OVERRIDE=FY","FILING_STATUS=OR","EQY_CONSOLIDATED=Y","Sort=A","Dates=H","DateFormat=P","Fill=—","Direction=H","UseDPDF=Y")</f>
        <v>#NAME?</v>
      </c>
      <c r="CH268" s="2" t="e">
        <f ca="1">_xll.BDH($C$253,"LT_DEBT_TO_TOT_EQY","FY 2017","FY 2017","Currency=INR","Period=FY","BEST_FPERIOD_OVERRIDE=FY","FILING_STATUS=OR","EQY_CONSOLIDATED=Y","Sort=A","Dates=H","DateFormat=P","Fill=—","Direction=H","UseDPDF=Y")</f>
        <v>#NAME?</v>
      </c>
      <c r="CI268" s="2" t="e">
        <f ca="1">_xll.BDH($C$253,"LT_DEBT_TO_TOT_CAP","FY 2017","FY 2017","Currency=INR","Period=FY","BEST_FPERIOD_OVERRIDE=FY","FILING_STATUS=OR","EQY_CONSOLIDATED=Y","Sort=A","Dates=H","DateFormat=P","Fill=—","Direction=H","UseDPDF=Y")</f>
        <v>#NAME?</v>
      </c>
      <c r="CJ268" s="2" t="e">
        <f ca="1">_xll.BDH($C$253,"LT_DEBT_TO_TOT_ASSET","FY 2017","FY 2017","Currency=INR","Period=FY","BEST_FPERIOD_OVERRIDE=FY","FILING_STATUS=OR","EQY_CONSOLIDATED=Y","Sort=A","Dates=H","DateFormat=P","Fill=—","Direction=H","UseDPDF=Y")</f>
        <v>#NAME?</v>
      </c>
      <c r="CK268" s="2" t="e">
        <f ca="1">_xll.BDH($C$253,"TOT_DEBT_TO_TOT_EQY","FY 2017","FY 2017","Currency=INR","Period=FY","BEST_FPERIOD_OVERRIDE=FY","FILING_STATUS=OR","EQY_CONSOLIDATED=Y","Sort=A","Dates=H","DateFormat=P","Fill=—","Direction=H","UseDPDF=Y")</f>
        <v>#NAME?</v>
      </c>
      <c r="CL268" s="2" t="e">
        <f ca="1">_xll.BDH($C$253,"TOT_DEBT_TO_TOT_CAP","FY 2017","FY 2017","Currency=INR","Period=FY","BEST_FPERIOD_OVERRIDE=FY","FILING_STATUS=OR","EQY_CONSOLIDATED=Y","Sort=A","Dates=H","DateFormat=P","Fill=—","Direction=H","UseDPDF=Y")</f>
        <v>#NAME?</v>
      </c>
      <c r="CM268" s="2" t="e">
        <f ca="1">_xll.BDH($C$253,"TOT_DEBT_TO_TOT_ASSET","FY 2017","FY 2017","Currency=INR","Period=FY","BEST_FPERIOD_OVERRIDE=FY","FILING_STATUS=OR","EQY_CONSOLIDATED=Y","Sort=A","Dates=H","DateFormat=P","Fill=—","Direction=H","UseDPDF=Y")</f>
        <v>#NAME?</v>
      </c>
      <c r="CN268" s="2" t="e">
        <f ca="1">_xll.BDH($C$253,"NET_DEBT_TO_SHRHLDR_EQTY","FY 2017","FY 2017","Currency=INR","Period=FY","BEST_FPERIOD_OVERRIDE=FY","FILING_STATUS=OR","EQY_CONSOLIDATED=Y","Sort=A","Dates=H","DateFormat=P","Fill=—","Direction=H","UseDPDF=Y")</f>
        <v>#NAME?</v>
      </c>
      <c r="CO268" s="2" t="e">
        <f ca="1">_xll.BDH($C$253,"NET_DEBT_%_CAPITAL","FY 2017","FY 2017","Currency=INR","Period=FY","BEST_FPERIOD_OVERRIDE=FY","FILING_STATUS=OR","EQY_CONSOLIDATED=Y","Sort=A","Dates=H","DateFormat=P","Fill=—","Direction=H","UseDPDF=Y")</f>
        <v>#NAME?</v>
      </c>
      <c r="CP268" s="3" t="e">
        <f ca="1">_xll.BDH($C$253,"EBITDA","FY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268" s="3" t="e">
        <f ca="1">_xll.BDH($C$253,"EBITDA_AFTER_CAPEX","FY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268" s="3" t="e">
        <f ca="1">_xll.BDH($C$253,"IS_OPER_INC","FY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268" s="2" t="e">
        <f ca="1">_xll.BDH($C$253,"CASH_RATIO","FY 2017","FY 2017","Currency=INR","Period=FY","BEST_FPERIOD_OVERRIDE=FY","FILING_STATUS=OR","EQY_CONSOLIDATED=Y","Sort=A","Dates=H","DateFormat=P","Fill=—","Direction=H","UseDPDF=Y")</f>
        <v>#NAME?</v>
      </c>
      <c r="CT268" s="2" t="e">
        <f ca="1">_xll.BDH($C$253,"CUR_RATIO","FY 2017","FY 2017","Currency=INR","Period=FY","BEST_FPERIOD_OVERRIDE=FY","FILING_STATUS=OR","EQY_CONSOLIDATED=Y","Sort=A","Dates=H","DateFormat=P","Fill=—","Direction=H","UseDPDF=Y")</f>
        <v>#NAME?</v>
      </c>
      <c r="CU268" s="2" t="e">
        <f ca="1">_xll.BDH($C$253,"QUICK_RATIO","FY 2017","FY 2017","Currency=INR","Period=FY","BEST_FPERIOD_OVERRIDE=FY","FILING_STATUS=OR","EQY_CONSOLIDATED=Y","Sort=A","Dates=H","DateFormat=P","Fill=—","Direction=H","UseDPDF=Y")</f>
        <v>#NAME?</v>
      </c>
      <c r="CV268" s="2" t="e">
        <f ca="1">_xll.BDH($C$253,"ALTMAN_Z_SCORE","FY 2017","FY 2017","Currency=INR","Period=FY","BEST_FPERIOD_OVERRIDE=FY","FILING_STATUS=OR","EQY_CONSOLIDATED=Y","Sort=A","Dates=H","DateFormat=P","Fill=—","Direction=H","UseDPDF=Y")</f>
        <v>#NAME?</v>
      </c>
      <c r="CW268" s="4" t="e">
        <f ca="1">_xll.BDH($C$253,"ACCT_RCV_TURN","FY 2017","FY 2017","Currency=INR","Period=FY","BEST_FPERIOD_OVERRIDE=FY","FILING_STATUS=OR","EQY_CONSOLIDATED=Y","FA_ADJUSTED=GAAP","Sort=A","Dates=H","DateFormat=P","Fill=—","Direction=H","UseDPDF=Y")</f>
        <v>#NAME?</v>
      </c>
      <c r="CX268" s="2" t="e">
        <f ca="1">_xll.BDH($C$253,"ACCT_RCV_DAYS","FY 2017","FY 2017","Currency=INR","Period=FY","BEST_FPERIOD_OVERRIDE=FY","FILING_STATUS=OR","EQY_CONSOLIDATED=Y","FA_ADJUSTED=GAAP","Sort=A","Dates=H","DateFormat=P","Fill=—","Direction=H","UseDPDF=Y")</f>
        <v>#NAME?</v>
      </c>
      <c r="CY268" s="4" t="e">
        <f ca="1">_xll.BDH($C$253,"INVENT_TURN","FY 2017","FY 2017","Currency=INR","Period=FY","BEST_FPERIOD_OVERRIDE=FY","FILING_STATUS=OR","EQY_CONSOLIDATED=Y","FA_ADJUSTED=GAAP","Sort=A","Dates=H","DateFormat=P","Fill=—","Direction=H","UseDPDF=Y")</f>
        <v>#NAME?</v>
      </c>
      <c r="CZ268" s="2" t="e">
        <f ca="1">_xll.BDH($C$253,"INVENT_DAYS","FY 2017","FY 2017","Currency=INR","Period=FY","BEST_FPERIOD_OVERRIDE=FY","FILING_STATUS=OR","EQY_CONSOLIDATED=Y","FA_ADJUSTED=GAAP","Sort=A","Dates=H","DateFormat=P","Fill=—","Direction=H","UseDPDF=Y")</f>
        <v>#NAME?</v>
      </c>
      <c r="DA268" s="4" t="e">
        <f ca="1">_xll.BDH($C$253,"ACCOUNTS_PAYABLE_TURNOVER","FY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268" s="2" t="e">
        <f ca="1">_xll.BDH($C$253,"ACCOUNTS_PAYABLE_TURNOVER_DAYS","FY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268" s="4" t="e">
        <f ca="1">_xll.BDH($C$253,"CASH_CONVERSION_CYCLE","FY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268" s="4" t="e">
        <f ca="1">_xll.BDH($C$253,"INV_TO_CASH_DAYS","FY 2017","FY 2017","Currency=INR","Period=FY","BEST_FPERIOD_OVERRIDE=FY","FILING_STATUS=OR","EQY_CONSOLIDATED=Y","FA_ADJUSTED=GAAP","Sort=A","Dates=H","DateFormat=P","Fill=—","Direction=H","UseDPDF=Y")</f>
        <v>#NAME?</v>
      </c>
      <c r="DE268" s="5" t="e">
        <f ca="1">_xll.BDH($C$253,"BS_INVENTORIES","FY 2017","FY 2017","Currency=INR","Period=FY","BEST_FPERIOD_OVERRIDE=FY","FILING_STATUS=OR","EQY_CONSOLIDATED=Y","SCALING_FORMAT=MLN","Sort=A","Dates=H","DateFormat=P","Fill=—","Direction=H","UseDPDF=Y")</f>
        <v>#NAME?</v>
      </c>
      <c r="DF268" s="3" t="e">
        <f ca="1">_xll.BDH($C$253,"INVTRY_RAW_MATERIALS","FY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268" s="3" t="e">
        <f ca="1">_xll.BDH($C$253,"INVTRY_IN_PROGRESS","FY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268" s="3" t="e">
        <f ca="1">_xll.BDH($C$253,"INVTRY_FINISHED_GOODS","FY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268" s="3" t="e">
        <f ca="1">_xll.BDH($C$253,"BS_OTHER_INV","FY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269" spans="1:113" x14ac:dyDescent="0.3">
      <c r="A269" s="6"/>
      <c r="B269" s="6"/>
      <c r="C269" s="6"/>
      <c r="D269" s="6"/>
      <c r="E269" t="s">
        <v>78</v>
      </c>
      <c r="F269" t="e">
        <f ca="1">_xll.BDH($C$253,"RETURN_COM_EQY","FQ1 2017","FQ1 2017","Currency=INR","Period=FQ","BEST_FPERIOD_OVERRIDE=FQ","FILING_STATUS=OR","EQY_CONSOLIDATED=Y","FA_ADJUSTED=GAAP","Sort=A","Dates=H","DateFormat=P","Fill=—","Direction=H","UseDPDF=Y")</f>
        <v>#NAME?</v>
      </c>
      <c r="G269" t="e">
        <f ca="1">_xll.BDH($C$253,"RETURN_ON_ASSET","FQ1 2017","FQ1 2017","Currency=INR","Period=FQ","BEST_FPERIOD_OVERRIDE=FQ","FILING_STATUS=OR","EQY_CONSOLIDATED=Y","FA_ADJUSTED=GAAP","Sort=A","Dates=H","DateFormat=P","Fill=—","Direction=H","UseDPDF=Y")</f>
        <v>#NAME?</v>
      </c>
      <c r="H269" t="e">
        <f ca="1">_xll.BDH($C$253,"RETURN_ON_CAP","FQ1 2017","FQ1 2017","Currency=INR","Period=FQ","BEST_FPERIOD_OVERRIDE=FQ","FILING_STATUS=OR","EQY_CONSOLIDATED=Y","FA_ADJUSTED=GAAP","Sort=A","Dates=H","DateFormat=P","Fill=—","Direction=H","UseDPDF=Y")</f>
        <v>#NAME?</v>
      </c>
      <c r="I269" t="e">
        <f ca="1">_xll.BDH($C$253,"RETURN_ON_INV_CAPITAL","FQ1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269" t="e">
        <f ca="1">_xll.BDH($C$253,"EBITDA_TO_REVENUE","FQ1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269" t="e">
        <f ca="1">_xll.BDH($C$253,"OPER_MARGIN","FQ1 2017","FQ1 2017","Currency=INR","Period=FQ","BEST_FPERIOD_OVERRIDE=FQ","FILING_STATUS=OR","EQY_CONSOLIDATED=Y","FA_ADJUSTED=GAAP","Sort=A","Dates=H","DateFormat=P","Fill=—","Direction=H","UseDPDF=Y")</f>
        <v>#NAME?</v>
      </c>
      <c r="L269" t="e">
        <f ca="1">_xll.BDH($C$253,"INCREMENTAL_OPERATING_MARGIN","FQ1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269" t="e">
        <f ca="1">_xll.BDH($C$253,"PRETAX_INC_TO_NET_SALES","FQ1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269" t="e">
        <f ca="1">_xll.BDH($C$253,"INC_BEF_XO_ITEMS_TO_NET_SALES","FQ1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269" t="e">
        <f ca="1">_xll.BDH($C$253,"PROF_MARGIN","FQ1 2017","FQ1 2017","Currency=INR","Period=FQ","BEST_FPERIOD_OVERRIDE=FQ","FILING_STATUS=OR","EQY_CONSOLIDATED=Y","FA_ADJUSTED=GAAP","Sort=A","Dates=H","DateFormat=P","Fill=—","Direction=H","UseDPDF=Y")</f>
        <v>#NAME?</v>
      </c>
      <c r="P269" t="e">
        <f ca="1">_xll.BDH($C$253,"NET_INCOME_TO_COMMON_MARGIN","FQ1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269" t="e">
        <f ca="1">_xll.BDH($C$253,"EFF_TAX_RATE","FQ1 2017","FQ1 2017","Currency=INR","Period=FQ","BEST_FPERIOD_OVERRIDE=FQ","FILING_STATUS=OR","EQY_CONSOLIDATED=Y","FA_ADJUSTED=GAAP","Sort=A","Dates=H","DateFormat=P","Fill=—","Direction=H","UseDPDF=Y")</f>
        <v>#NAME?</v>
      </c>
      <c r="R269" t="e">
        <f ca="1">_xll.BDH($C$253,"DVD_PAYOUT_RATIO","FQ1 2017","FQ1 2017","Currency=INR","Period=FQ","BEST_FPERIOD_OVERRIDE=FQ","FILING_STATUS=OR","EQY_CONSOLIDATED=Y","FA_ADJUSTED=GAAP","Sort=A","Dates=H","DateFormat=P","Fill=—","Direction=H","UseDPDF=Y")</f>
        <v>#NAME?</v>
      </c>
      <c r="S269" t="e">
        <f ca="1">_xll.BDH($C$253,"SUSTAIN_GROWTH_RT","FQ1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269" s="2" t="e">
        <f ca="1">_xll.BDH($C$253,"SALES_GROWTH","FQ1 2017","FQ1 2017","Currency=INR","Period=FQ","BEST_FPERIOD_OVERRIDE=FQ","FILING_STATUS=OR","EQY_CONSOLIDATED=Y","FA_ADJUSTED=GAAP","Sort=A","Dates=H","DateFormat=P","Fill=—","Direction=H","UseDPDF=Y")</f>
        <v>#NAME?</v>
      </c>
      <c r="U269" s="2" t="e">
        <f ca="1">_xll.BDH($C$253,"EBITDA_GROWTH","FQ1 2017","FQ1 2017","Currency=INR","Period=FQ","BEST_FPERIOD_OVERRIDE=FQ","FILING_STATUS=OR","EQY_CONSOLIDATED=Y","FA_ADJUSTED=GAAP","Sort=A","Dates=H","DateFormat=P","Fill=—","Direction=H","UseDPDF=Y")</f>
        <v>#NAME?</v>
      </c>
      <c r="V269" s="2" t="e">
        <f ca="1">_xll.BDH($C$253,"OPER_INC_GROWTH","FQ1 2017","FQ1 2017","Currency=INR","Period=FQ","BEST_FPERIOD_OVERRIDE=FQ","FILING_STATUS=OR","EQY_CONSOLIDATED=Y","FA_ADJUSTED=GAAP","Sort=A","Dates=H","DateFormat=P","Fill=—","Direction=H","UseDPDF=Y")</f>
        <v>#NAME?</v>
      </c>
      <c r="W269" s="2" t="e">
        <f ca="1">_xll.BDH($C$253,"EARN_FOR_COM_GROWTH","FQ1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269" s="2" t="e">
        <f ca="1">_xll.BDH($C$253,"DILUTED_EPS_AFT_XO_ITEMS_GROWTH","FQ1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269" s="2" t="e">
        <f ca="1">_xll.BDH($C$253,"DIVIDEND_PER_SHARE_1_YEAR_GROWTH","FQ1 2017","FQ1 2017","Currency=INR","Period=FQ","BEST_FPERIOD_OVERRIDE=FQ","FILING_STATUS=OR","EQY_CONSOLIDATED=Y","Sort=A","Dates=H","DateFormat=P","Fill=—","Direction=H","UseDPDF=Y")</f>
        <v>#NAME?</v>
      </c>
      <c r="Z269" s="2" t="e">
        <f ca="1">_xll.BDH($C$253,"ACCOUNTS_RECEIVABLE_GROWTH","FQ1 2017","FQ1 2017","Currency=INR","Period=FQ","BEST_FPERIOD_OVERRIDE=FQ","FILING_STATUS=OR","EQY_CONSOLIDATED=Y","Sort=A","Dates=H","DateFormat=P","Fill=—","Direction=H","UseDPDF=Y")</f>
        <v>#NAME?</v>
      </c>
      <c r="AA269" s="2" t="e">
        <f ca="1">_xll.BDH($C$253,"INVENTORY_GROWTH","FQ1 2017","FQ1 2017","Currency=INR","Period=FQ","BEST_FPERIOD_OVERRIDE=FQ","FILING_STATUS=OR","EQY_CONSOLIDATED=Y","Sort=A","Dates=H","DateFormat=P","Fill=—","Direction=H","UseDPDF=Y")</f>
        <v>#NAME?</v>
      </c>
      <c r="AB269" s="2" t="e">
        <f ca="1">_xll.BDH($C$253,"NET_FIXED_ASSETS_1_YEAR_GROWTH","FQ1 2017","FQ1 2017","Currency=INR","Period=FQ","BEST_FPERIOD_OVERRIDE=FQ","FILING_STATUS=OR","EQY_CONSOLIDATED=Y","Sort=A","Dates=H","DateFormat=P","Fill=—","Direction=H","UseDPDF=Y")</f>
        <v>#NAME?</v>
      </c>
      <c r="AC269" s="2" t="e">
        <f ca="1">_xll.BDH($C$253,"ASSET_GROWTH","FQ1 2017","FQ1 2017","Currency=INR","Period=FQ","BEST_FPERIOD_OVERRIDE=FQ","FILING_STATUS=OR","EQY_CONSOLIDATED=Y","Sort=A","Dates=H","DateFormat=P","Fill=—","Direction=H","UseDPDF=Y")</f>
        <v>#NAME?</v>
      </c>
      <c r="AD269" s="2" t="e">
        <f ca="1">_xll.BDH($C$253,"MODIFIED_WORK_CAP_GROWTH","FQ1 2017","FQ1 2017","Currency=INR","Period=FQ","BEST_FPERIOD_OVERRIDE=FQ","FILING_STATUS=OR","EQY_CONSOLIDATED=Y","Sort=A","Dates=H","DateFormat=P","Fill=—","Direction=H","UseDPDF=Y")</f>
        <v>#NAME?</v>
      </c>
      <c r="AE269" s="2" t="e">
        <f ca="1">_xll.BDH($C$253,"WORK_CAP_GROWTH","FQ1 2017","FQ1 2017","Currency=INR","Period=FQ","BEST_FPERIOD_OVERRIDE=FQ","FILING_STATUS=OR","EQY_CONSOLIDATED=Y","Sort=A","Dates=H","DateFormat=P","Fill=—","Direction=H","UseDPDF=Y")</f>
        <v>#NAME?</v>
      </c>
      <c r="AF269" s="2" t="e">
        <f ca="1">_xll.BDH($C$253,"ACCOUNTS_PAYABLE_GROWTH_1YR","FQ1 2017","FQ1 2017","Currency=INR","Period=FQ","BEST_FPERIOD_OVERRIDE=FQ","FILING_STATUS=OR","EQY_CONSOLIDATED=Y","Sort=A","Dates=H","DateFormat=P","Fill=—","Direction=H","UseDPDF=Y")</f>
        <v>#NAME?</v>
      </c>
      <c r="AG269" s="2" t="e">
        <f ca="1">_xll.BDH($C$253,"SHORT_TERM_DEBT_1_YEAR_GROWTH","FQ1 2017","FQ1 2017","Currency=INR","Period=FQ","BEST_FPERIOD_OVERRIDE=FQ","FILING_STATUS=OR","EQY_CONSOLIDATED=Y","Sort=A","Dates=H","DateFormat=P","Fill=—","Direction=H","UseDPDF=Y")</f>
        <v>#NAME?</v>
      </c>
      <c r="AH269" s="2" t="e">
        <f ca="1">_xll.BDH($C$253,"TOTAL_DEBT_1_YEAR_GROWTH","FQ1 2017","FQ1 2017","Currency=INR","Period=FQ","BEST_FPERIOD_OVERRIDE=FQ","FILING_STATUS=OR","EQY_CONSOLIDATED=Y","Sort=A","Dates=H","DateFormat=P","Fill=—","Direction=H","UseDPDF=Y")</f>
        <v>#NAME?</v>
      </c>
      <c r="AI269" s="2" t="e">
        <f ca="1">_xll.BDH($C$253,"TOTAL_EQUITY_1_YEAR_GROWTH","FQ1 2017","FQ1 2017","Currency=INR","Period=FQ","BEST_FPERIOD_OVERRIDE=FQ","FILING_STATUS=OR","EQY_CONSOLIDATED=Y","Sort=A","Dates=H","DateFormat=P","Fill=—","Direction=H","UseDPDF=Y")</f>
        <v>#NAME?</v>
      </c>
      <c r="AJ269" s="2" t="e">
        <f ca="1">_xll.BDH($C$253,"GROWTH_IN_CAP","FQ1 2017","FQ1 2017","Currency=INR","Period=FQ","BEST_FPERIOD_OVERRIDE=FQ","FILING_STATUS=OR","EQY_CONSOLIDATED=Y","Sort=A","Dates=H","DateFormat=P","Fill=—","Direction=H","UseDPDF=Y")</f>
        <v>#NAME?</v>
      </c>
      <c r="AK269" s="2" t="e">
        <f ca="1">_xll.BDH($C$253,"BVPS_GROWTH","FQ1 2017","FQ1 2017","Currency=INR","Period=FQ","BEST_FPERIOD_OVERRIDE=FQ","FILING_STATUS=OR","EQY_CONSOLIDATED=Y","Sort=A","Dates=H","DateFormat=P","Fill=—","Direction=H","UseDPDF=Y")</f>
        <v>#NAME?</v>
      </c>
      <c r="AL269" s="2" t="e">
        <f ca="1">_xll.BDH($C$253,"CASH_FLOW_GROWTH","FQ1 2017","FQ1 2017","Currency=INR","Period=FQ","BEST_FPERIOD_OVERRIDE=FQ","FILING_STATUS=OR","EQY_CONSOLIDATED=Y","Sort=A","Dates=H","DateFormat=P","Fill=—","Direction=H","UseDPDF=Y")</f>
        <v>#NAME?</v>
      </c>
      <c r="AM269" s="2" t="e">
        <f ca="1">_xll.BDH($C$253,"GEO_GROW_NET_SALES","FQ1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269" s="2" t="e">
        <f ca="1">_xll.BDH($C$253,"GEO_GROW_EBITDA","FQ1 2017","FQ1 2017","Currency=INR","Period=FQ","BEST_FPERIOD_OVERRIDE=FQ","FILING_STATUS=OR","EQY_CONSOLIDATED=Y","FA_ADJUSTED=GAAP","Sort=A","Dates=H","DateFormat=P","Fill=—","Direction=H","UseDPDF=Y")</f>
        <v>#NAME?</v>
      </c>
      <c r="AO269" s="2" t="e">
        <f ca="1">_xll.BDH($C$253,"GEO_GROW_OPER_INC","FQ1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269" s="2" t="e">
        <f ca="1">_xll.BDH($C$253,"NET_INCOME_TO_COMMON_5_YR_GROWTH","FQ1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269" s="2" t="e">
        <f ca="1">_xll.BDH($C$253,"5Y_GEO_GROWTH_DILUTED_EPS","FQ1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269" s="2" t="e">
        <f ca="1">_xll.BDH($C$253,"GEO_GROW_DVD_PER_SH","FQ1 2017","FQ1 2017","Currency=INR","Period=FQ","BEST_FPERIOD_OVERRIDE=FQ","FILING_STATUS=OR","EQY_CONSOLIDATED=Y","Sort=A","Dates=H","DateFormat=P","Fill=—","Direction=H","UseDPDF=Y")</f>
        <v>#NAME?</v>
      </c>
      <c r="AS269" s="2" t="e">
        <f ca="1">_xll.BDH($C$253,"ACCOUNTS_RECEIVABLE_5_YR_GROWTH","FQ1 2017","FQ1 2017","Currency=INR","Period=FQ","BEST_FPERIOD_OVERRIDE=FQ","FILING_STATUS=OR","EQY_CONSOLIDATED=Y","Sort=A","Dates=H","DateFormat=P","Fill=—","Direction=H","UseDPDF=Y")</f>
        <v>#NAME?</v>
      </c>
      <c r="AT269" s="2" t="e">
        <f ca="1">_xll.BDH($C$253,"INVENTORY_5_YEAR_GROWTH","FQ1 2017","FQ1 2017","Currency=INR","Period=FQ","BEST_FPERIOD_OVERRIDE=FQ","FILING_STATUS=OR","EQY_CONSOLIDATED=Y","Sort=A","Dates=H","DateFormat=P","Fill=—","Direction=H","UseDPDF=Y")</f>
        <v>#NAME?</v>
      </c>
      <c r="AU269" s="2" t="e">
        <f ca="1">_xll.BDH($C$253,"NET_FIXED_ASSETS_5_YEAR_GROWTH","FQ1 2017","FQ1 2017","Currency=INR","Period=FQ","BEST_FPERIOD_OVERRIDE=FQ","FILING_STATUS=OR","EQY_CONSOLIDATED=Y","Sort=A","Dates=H","DateFormat=P","Fill=—","Direction=H","UseDPDF=Y")</f>
        <v>#NAME?</v>
      </c>
      <c r="AV269" s="2" t="e">
        <f ca="1">_xll.BDH($C$253,"GEO_GROW_TOT_ASSET","FQ1 2017","FQ1 2017","Currency=INR","Period=FQ","BEST_FPERIOD_OVERRIDE=FQ","FILING_STATUS=OR","EQY_CONSOLIDATED=Y","Sort=A","Dates=H","DateFormat=P","Fill=—","Direction=H","UseDPDF=Y")</f>
        <v>#NAME?</v>
      </c>
      <c r="AW269" s="2" t="e">
        <f ca="1">_xll.BDH($C$253,"MODIFIED_WORKING_CPTL_5YR_GRWTH","FQ1 2017","FQ1 2017","Currency=INR","Period=FQ","BEST_FPERIOD_OVERRIDE=FQ","FILING_STATUS=OR","EQY_CONSOLIDATED=Y","Sort=A","Dates=H","DateFormat=P","Fill=—","Direction=H","UseDPDF=Y")</f>
        <v>#NAME?</v>
      </c>
      <c r="AX269" s="2" t="e">
        <f ca="1">_xll.BDH($C$253,"WORKING_CAPITAL_5_YEAR_GROWTH","FQ1 2017","FQ1 2017","Currency=INR","Period=FQ","BEST_FPERIOD_OVERRIDE=FQ","FILING_STATUS=OR","EQY_CONSOLIDATED=Y","Sort=A","Dates=H","DateFormat=P","Fill=—","Direction=H","UseDPDF=Y")</f>
        <v>#NAME?</v>
      </c>
      <c r="AY269" s="2" t="e">
        <f ca="1">_xll.BDH($C$253,"ACCOUNTS_PAYABLE_5_YEAR_GROWTH","FQ1 2017","FQ1 2017","Currency=INR","Period=FQ","BEST_FPERIOD_OVERRIDE=FQ","FILING_STATUS=OR","EQY_CONSOLIDATED=Y","Sort=A","Dates=H","DateFormat=P","Fill=—","Direction=H","UseDPDF=Y")</f>
        <v>#NAME?</v>
      </c>
      <c r="AZ269" s="2" t="e">
        <f ca="1">_xll.BDH($C$253,"SHORT_TERM_DEBT_5_YEAR_GROWTH","FQ1 2017","FQ1 2017","Currency=INR","Period=FQ","BEST_FPERIOD_OVERRIDE=FQ","FILING_STATUS=OR","EQY_CONSOLIDATED=Y","Sort=A","Dates=H","DateFormat=P","Fill=—","Direction=H","UseDPDF=Y")</f>
        <v>#NAME?</v>
      </c>
      <c r="BA269" s="2" t="e">
        <f ca="1">_xll.BDH($C$253,"TOTAL_DEBT_5_YEAR_GROWTH","FQ1 2017","FQ1 2017","Currency=INR","Period=FQ","BEST_FPERIOD_OVERRIDE=FQ","FILING_STATUS=OR","EQY_CONSOLIDATED=Y","Sort=A","Dates=H","DateFormat=P","Fill=—","Direction=H","UseDPDF=Y")</f>
        <v>#NAME?</v>
      </c>
      <c r="BB269" s="2" t="e">
        <f ca="1">_xll.BDH($C$253,"GEO_GROW_TOT_SHRHLDR_EQY","FQ1 2017","FQ1 2017","Currency=INR","Period=FQ","BEST_FPERIOD_OVERRIDE=FQ","FILING_STATUS=OR","EQY_CONSOLIDATED=Y","Sort=A","Dates=H","DateFormat=P","Fill=—","Direction=H","UseDPDF=Y")</f>
        <v>#NAME?</v>
      </c>
      <c r="BC269" s="2" t="e">
        <f ca="1">_xll.BDH($C$253,"TOTAL_CAPITAL_5_YEAR_GROWTH","FQ1 2017","FQ1 2017","Currency=INR","Period=FQ","BEST_FPERIOD_OVERRIDE=FQ","FILING_STATUS=OR","EQY_CONSOLIDATED=Y","Sort=A","Dates=H","DateFormat=P","Fill=—","Direction=H","UseDPDF=Y")</f>
        <v>#NAME?</v>
      </c>
      <c r="BD269" s="2" t="e">
        <f ca="1">_xll.BDH($C$253,"GEO_GROW_BOOK_VAL","FQ1 2017","FQ1 2017","Currency=INR","Period=FQ","BEST_FPERIOD_OVERRIDE=FQ","FILING_STATUS=OR","EQY_CONSOLIDATED=Y","Sort=A","Dates=H","DateFormat=P","Fill=—","Direction=H","UseDPDF=Y")</f>
        <v>#NAME?</v>
      </c>
      <c r="BE269" s="2" t="e">
        <f ca="1">_xll.BDH($C$253,"GEO_GROW_CASH_OPER_ACT","FQ1 2017","FQ1 2017","Currency=INR","Period=FQ","BEST_FPERIOD_OVERRIDE=FQ","FILING_STATUS=OR","EQY_CONSOLIDATED=Y","Sort=A","Dates=H","DateFormat=P","Fill=—","Direction=H","UseDPDF=Y")</f>
        <v>#NAME?</v>
      </c>
      <c r="BF269" s="2" t="e">
        <f ca="1">_xll.BDH($C$253,"REVENUE_SEQUENTIAL_GROWTH","FQ1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269" s="2" t="e">
        <f ca="1">_xll.BDH($C$253,"EBITDA_SEQUENTIAL_GROWTH","FQ1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269" s="2" t="e">
        <f ca="1">_xll.BDH($C$253,"OPERATING_INCOME_SEQ_GROWTH","FQ1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269" s="2" t="e">
        <f ca="1">_xll.BDH($C$253,"NET_INCOME_TO_COMMON_SEQ_GROWTH","FQ1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269" s="2" t="e">
        <f ca="1">_xll.BDH($C$253,"EPS_DILUTED_SEQUENTIAL_GROWTH","FQ1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269" s="2" t="e">
        <f ca="1">_xll.BDH($C$253,"DPS_SEQUENTIAL_GROWTH","FQ1 2017","FQ1 2017","Currency=INR","Period=FQ","BEST_FPERIOD_OVERRIDE=FQ","FILING_STATUS=OR","EQY_CONSOLIDATED=Y","Sort=A","Dates=H","DateFormat=P","Fill=—","Direction=H","UseDPDF=Y")</f>
        <v>#NAME?</v>
      </c>
      <c r="BL269" s="2" t="e">
        <f ca="1">_xll.BDH($C$253,"ACCOUNTS_RECEIVABLE_SEQ_GROWTH","FQ1 2017","FQ1 2017","Currency=INR","Period=FQ","BEST_FPERIOD_OVERRIDE=FQ","FILING_STATUS=OR","EQY_CONSOLIDATED=Y","Sort=A","Dates=H","DateFormat=P","Fill=—","Direction=H","UseDPDF=Y")</f>
        <v>#NAME?</v>
      </c>
      <c r="BM269" s="2" t="e">
        <f ca="1">_xll.BDH($C$253,"INVENTORY_SEQUENTIAL_GROWTH","FQ1 2017","FQ1 2017","Currency=INR","Period=FQ","BEST_FPERIOD_OVERRIDE=FQ","FILING_STATUS=OR","EQY_CONSOLIDATED=Y","Sort=A","Dates=H","DateFormat=P","Fill=—","Direction=H","UseDPDF=Y")</f>
        <v>#NAME?</v>
      </c>
      <c r="BN269" s="2" t="e">
        <f ca="1">_xll.BDH($C$253,"FIXED_ASSETS_SEQUENTIAL_GROWTH","FQ1 2017","FQ1 2017","Currency=INR","Period=FQ","BEST_FPERIOD_OVERRIDE=FQ","FILING_STATUS=OR","EQY_CONSOLIDATED=Y","Sort=A","Dates=H","DateFormat=P","Fill=—","Direction=H","UseDPDF=Y")</f>
        <v>#NAME?</v>
      </c>
      <c r="BO269" s="2" t="e">
        <f ca="1">_xll.BDH($C$253,"TOTAL_ASSETS_SEQUENTIAL_GROWTH","FQ1 2017","FQ1 2017","Currency=INR","Period=FQ","BEST_FPERIOD_OVERRIDE=FQ","FILING_STATUS=OR","EQY_CONSOLIDATED=Y","Sort=A","Dates=H","DateFormat=P","Fill=—","Direction=H","UseDPDF=Y")</f>
        <v>#NAME?</v>
      </c>
      <c r="BP269" s="2" t="e">
        <f ca="1">_xll.BDH($C$253,"MODIFIED_WORKING_CPTL_SEQ_GRWTH","FQ1 2017","FQ1 2017","Currency=INR","Period=FQ","BEST_FPERIOD_OVERRIDE=FQ","FILING_STATUS=OR","EQY_CONSOLIDATED=Y","Sort=A","Dates=H","DateFormat=P","Fill=—","Direction=H","UseDPDF=Y")</f>
        <v>#NAME?</v>
      </c>
      <c r="BQ269" s="2" t="e">
        <f ca="1">_xll.BDH($C$253,"WORKING_CAPITAL_SEQ_GROWTH","FQ1 2017","FQ1 2017","Currency=INR","Period=FQ","BEST_FPERIOD_OVERRIDE=FQ","FILING_STATUS=OR","EQY_CONSOLIDATED=Y","Sort=A","Dates=H","DateFormat=P","Fill=—","Direction=H","UseDPDF=Y")</f>
        <v>#NAME?</v>
      </c>
      <c r="BR269" s="2" t="e">
        <f ca="1">_xll.BDH($C$253,"ACCOUNTS_PAYABLE_SEQ_GROWTH","FQ1 2017","FQ1 2017","Currency=INR","Period=FQ","BEST_FPERIOD_OVERRIDE=FQ","FILING_STATUS=OR","EQY_CONSOLIDATED=Y","Sort=A","Dates=H","DateFormat=P","Fill=—","Direction=H","UseDPDF=Y")</f>
        <v>#NAME?</v>
      </c>
      <c r="BS269" s="2" t="e">
        <f ca="1">_xll.BDH($C$253,"ST_DEBT_SEQUENTIAL_GROWTH","FQ1 2017","FQ1 2017","Currency=INR","Period=FQ","BEST_FPERIOD_OVERRIDE=FQ","FILING_STATUS=OR","EQY_CONSOLIDATED=Y","Sort=A","Dates=H","DateFormat=P","Fill=—","Direction=H","UseDPDF=Y")</f>
        <v>#NAME?</v>
      </c>
      <c r="BT269" s="2" t="e">
        <f ca="1">_xll.BDH($C$253,"TOTAL_DEBT_SEQUENTIAL_GROWTH","FQ1 2017","FQ1 2017","Currency=INR","Period=FQ","BEST_FPERIOD_OVERRIDE=FQ","FILING_STATUS=OR","EQY_CONSOLIDATED=Y","Sort=A","Dates=H","DateFormat=P","Fill=—","Direction=H","UseDPDF=Y")</f>
        <v>#NAME?</v>
      </c>
      <c r="BU269" s="2" t="e">
        <f ca="1">_xll.BDH($C$253,"TOTAL_EQUITY_SEQUENTIAL_GROWTH","FQ1 2017","FQ1 2017","Currency=INR","Period=FQ","BEST_FPERIOD_OVERRIDE=FQ","FILING_STATUS=OR","EQY_CONSOLIDATED=Y","Sort=A","Dates=H","DateFormat=P","Fill=—","Direction=H","UseDPDF=Y")</f>
        <v>#NAME?</v>
      </c>
      <c r="BV269" s="2" t="e">
        <f ca="1">_xll.BDH($C$253,"TOTAL_CAPITAL_SEQUENTIAL_GROWTH","FQ1 2017","FQ1 2017","Currency=INR","Period=FQ","BEST_FPERIOD_OVERRIDE=FQ","FILING_STATUS=OR","EQY_CONSOLIDATED=Y","Sort=A","Dates=H","DateFormat=P","Fill=—","Direction=H","UseDPDF=Y")</f>
        <v>#NAME?</v>
      </c>
      <c r="BW269" s="2" t="e">
        <f ca="1">_xll.BDH($C$253,"BPS_SEQUENTIAL_GROWTH","FQ1 2017","FQ1 2017","Currency=INR","Period=FQ","BEST_FPERIOD_OVERRIDE=FQ","FILING_STATUS=OR","EQY_CONSOLIDATED=Y","Sort=A","Dates=H","DateFormat=P","Fill=—","Direction=H","UseDPDF=Y")</f>
        <v>#NAME?</v>
      </c>
      <c r="BX269" s="2" t="e">
        <f ca="1">_xll.BDH($C$253,"CFO_SEQUENTIAL_GROWTH","FQ1 2017","FQ1 2017","Currency=INR","Period=FQ","BEST_FPERIOD_OVERRIDE=FQ","FILING_STATUS=OR","EQY_CONSOLIDATED=Y","Sort=A","Dates=H","DateFormat=P","Fill=—","Direction=H","UseDPDF=Y")</f>
        <v>#NAME?</v>
      </c>
      <c r="BY269" s="3" t="e">
        <f ca="1">_xll.BDH($C$253,"SHORT_AND_LONG_TERM_DEBT","FQ1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269" s="3" t="e">
        <f ca="1">_xll.BDH($C$253,"BS_ST_BORROW","FQ1 2017","FQ1 2017","Currency=INR","Period=FQ","BEST_FPERIOD_OVERRIDE=FQ","FILING_STATUS=OR","EQY_CONSOLIDATED=Y","SCALING_FORMAT=MLN","Sort=A","Dates=H","DateFormat=P","Fill=—","Direction=H","UseDPDF=Y")</f>
        <v>#NAME?</v>
      </c>
      <c r="CA269" s="3" t="e">
        <f ca="1">_xll.BDH($C$253,"BS_LT_BORROW","FQ1 2017","FQ1 2017","Currency=INR","Period=FQ","BEST_FPERIOD_OVERRIDE=FQ","FILING_STATUS=OR","EQY_CONSOLIDATED=Y","SCALING_FORMAT=MLN","Sort=A","Dates=H","DateFormat=P","Fill=—","Direction=H","UseDPDF=Y")</f>
        <v>#NAME?</v>
      </c>
      <c r="CB269" s="2" t="e">
        <f ca="1">_xll.BDH($C$253,"TOT_DEBT_TO_EBITDA","FQ1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269" s="2" t="e">
        <f ca="1">_xll.BDH($C$253,"NET_DEBT_TO_EBITDA","FQ1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269" s="2" t="e">
        <f ca="1">_xll.BDH($C$253,"TOTAL_DEBT_TO_EBIT","FQ1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269" s="2" t="e">
        <f ca="1">_xll.BDH($C$253,"NET_DEBT_TO_EBIT","FQ1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269" s="2" t="e">
        <f ca="1">_xll.BDH($C$253,"EBITDA_TO_INTEREST_EXPN","FQ1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269" s="2" t="e">
        <f ca="1">_xll.BDH($C$253,"COM_EQY_TO_TOT_ASSET","FQ1 2017","FQ1 2017","Currency=INR","Period=FQ","BEST_FPERIOD_OVERRIDE=FQ","FILING_STATUS=OR","EQY_CONSOLIDATED=Y","Sort=A","Dates=H","DateFormat=P","Fill=—","Direction=H","UseDPDF=Y")</f>
        <v>#NAME?</v>
      </c>
      <c r="CH269" s="2" t="e">
        <f ca="1">_xll.BDH($C$253,"LT_DEBT_TO_TOT_EQY","FQ1 2017","FQ1 2017","Currency=INR","Period=FQ","BEST_FPERIOD_OVERRIDE=FQ","FILING_STATUS=OR","EQY_CONSOLIDATED=Y","Sort=A","Dates=H","DateFormat=P","Fill=—","Direction=H","UseDPDF=Y")</f>
        <v>#NAME?</v>
      </c>
      <c r="CI269" s="2" t="e">
        <f ca="1">_xll.BDH($C$253,"LT_DEBT_TO_TOT_CAP","FQ1 2017","FQ1 2017","Currency=INR","Period=FQ","BEST_FPERIOD_OVERRIDE=FQ","FILING_STATUS=OR","EQY_CONSOLIDATED=Y","Sort=A","Dates=H","DateFormat=P","Fill=—","Direction=H","UseDPDF=Y")</f>
        <v>#NAME?</v>
      </c>
      <c r="CJ269" s="2" t="e">
        <f ca="1">_xll.BDH($C$253,"LT_DEBT_TO_TOT_ASSET","FQ1 2017","FQ1 2017","Currency=INR","Period=FQ","BEST_FPERIOD_OVERRIDE=FQ","FILING_STATUS=OR","EQY_CONSOLIDATED=Y","Sort=A","Dates=H","DateFormat=P","Fill=—","Direction=H","UseDPDF=Y")</f>
        <v>#NAME?</v>
      </c>
      <c r="CK269" s="2" t="e">
        <f ca="1">_xll.BDH($C$253,"TOT_DEBT_TO_TOT_EQY","FQ1 2017","FQ1 2017","Currency=INR","Period=FQ","BEST_FPERIOD_OVERRIDE=FQ","FILING_STATUS=OR","EQY_CONSOLIDATED=Y","Sort=A","Dates=H","DateFormat=P","Fill=—","Direction=H","UseDPDF=Y")</f>
        <v>#NAME?</v>
      </c>
      <c r="CL269" s="2" t="e">
        <f ca="1">_xll.BDH($C$253,"TOT_DEBT_TO_TOT_CAP","FQ1 2017","FQ1 2017","Currency=INR","Period=FQ","BEST_FPERIOD_OVERRIDE=FQ","FILING_STATUS=OR","EQY_CONSOLIDATED=Y","Sort=A","Dates=H","DateFormat=P","Fill=—","Direction=H","UseDPDF=Y")</f>
        <v>#NAME?</v>
      </c>
      <c r="CM269" s="2" t="e">
        <f ca="1">_xll.BDH($C$253,"TOT_DEBT_TO_TOT_ASSET","FQ1 2017","FQ1 2017","Currency=INR","Period=FQ","BEST_FPERIOD_OVERRIDE=FQ","FILING_STATUS=OR","EQY_CONSOLIDATED=Y","Sort=A","Dates=H","DateFormat=P","Fill=—","Direction=H","UseDPDF=Y")</f>
        <v>#NAME?</v>
      </c>
      <c r="CN269" s="2" t="e">
        <f ca="1">_xll.BDH($C$253,"NET_DEBT_TO_SHRHLDR_EQTY","FQ1 2017","FQ1 2017","Currency=INR","Period=FQ","BEST_FPERIOD_OVERRIDE=FQ","FILING_STATUS=OR","EQY_CONSOLIDATED=Y","Sort=A","Dates=H","DateFormat=P","Fill=—","Direction=H","UseDPDF=Y")</f>
        <v>#NAME?</v>
      </c>
      <c r="CO269" s="2" t="e">
        <f ca="1">_xll.BDH($C$253,"NET_DEBT_%_CAPITAL","FQ1 2017","FQ1 2017","Currency=INR","Period=FQ","BEST_FPERIOD_OVERRIDE=FQ","FILING_STATUS=OR","EQY_CONSOLIDATED=Y","Sort=A","Dates=H","DateFormat=P","Fill=—","Direction=H","UseDPDF=Y")</f>
        <v>#NAME?</v>
      </c>
      <c r="CP269" s="3" t="e">
        <f ca="1">_xll.BDH($C$253,"EBITDA","FQ1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269" s="3" t="e">
        <f ca="1">_xll.BDH($C$253,"EBITDA_AFTER_CAPEX","FQ1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269" s="3" t="e">
        <f ca="1">_xll.BDH($C$253,"IS_OPER_INC","FQ1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269" s="2" t="e">
        <f ca="1">_xll.BDH($C$253,"CASH_RATIO","FQ1 2017","FQ1 2017","Currency=INR","Period=FQ","BEST_FPERIOD_OVERRIDE=FQ","FILING_STATUS=OR","EQY_CONSOLIDATED=Y","Sort=A","Dates=H","DateFormat=P","Fill=—","Direction=H","UseDPDF=Y")</f>
        <v>#NAME?</v>
      </c>
      <c r="CT269" s="2" t="e">
        <f ca="1">_xll.BDH($C$253,"CUR_RATIO","FQ1 2017","FQ1 2017","Currency=INR","Period=FQ","BEST_FPERIOD_OVERRIDE=FQ","FILING_STATUS=OR","EQY_CONSOLIDATED=Y","Sort=A","Dates=H","DateFormat=P","Fill=—","Direction=H","UseDPDF=Y")</f>
        <v>#NAME?</v>
      </c>
      <c r="CU269" s="2" t="e">
        <f ca="1">_xll.BDH($C$253,"QUICK_RATIO","FQ1 2017","FQ1 2017","Currency=INR","Period=FQ","BEST_FPERIOD_OVERRIDE=FQ","FILING_STATUS=OR","EQY_CONSOLIDATED=Y","Sort=A","Dates=H","DateFormat=P","Fill=—","Direction=H","UseDPDF=Y")</f>
        <v>#NAME?</v>
      </c>
      <c r="CV269" s="2" t="e">
        <f ca="1">_xll.BDH($C$253,"ALTMAN_Z_SCORE","FQ1 2017","FQ1 2017","Currency=INR","Period=FQ","BEST_FPERIOD_OVERRIDE=FQ","FILING_STATUS=OR","EQY_CONSOLIDATED=Y","Sort=A","Dates=H","DateFormat=P","Fill=—","Direction=H","UseDPDF=Y")</f>
        <v>#NAME?</v>
      </c>
      <c r="CW269" s="4" t="e">
        <f ca="1">_xll.BDH($C$253,"ACCT_RCV_TURN","FQ1 2017","FQ1 2017","Currency=INR","Period=FQ","BEST_FPERIOD_OVERRIDE=FQ","FILING_STATUS=OR","EQY_CONSOLIDATED=Y","FA_ADJUSTED=GAAP","Sort=A","Dates=H","DateFormat=P","Fill=—","Direction=H","UseDPDF=Y")</f>
        <v>#NAME?</v>
      </c>
      <c r="CX269" s="2" t="e">
        <f ca="1">_xll.BDH($C$253,"ACCT_RCV_DAYS","FQ1 2017","FQ1 2017","Currency=INR","Period=FQ","BEST_FPERIOD_OVERRIDE=FQ","FILING_STATUS=OR","EQY_CONSOLIDATED=Y","FA_ADJUSTED=GAAP","Sort=A","Dates=H","DateFormat=P","Fill=—","Direction=H","UseDPDF=Y")</f>
        <v>#NAME?</v>
      </c>
      <c r="CY269" s="4" t="e">
        <f ca="1">_xll.BDH($C$253,"INVENT_TURN","FQ1 2017","FQ1 2017","Currency=INR","Period=FQ","BEST_FPERIOD_OVERRIDE=FQ","FILING_STATUS=OR","EQY_CONSOLIDATED=Y","FA_ADJUSTED=GAAP","Sort=A","Dates=H","DateFormat=P","Fill=—","Direction=H","UseDPDF=Y")</f>
        <v>#NAME?</v>
      </c>
      <c r="CZ269" s="2" t="e">
        <f ca="1">_xll.BDH($C$253,"INVENT_DAYS","FQ1 2017","FQ1 2017","Currency=INR","Period=FQ","BEST_FPERIOD_OVERRIDE=FQ","FILING_STATUS=OR","EQY_CONSOLIDATED=Y","FA_ADJUSTED=GAAP","Sort=A","Dates=H","DateFormat=P","Fill=—","Direction=H","UseDPDF=Y")</f>
        <v>#NAME?</v>
      </c>
      <c r="DA269" s="4" t="e">
        <f ca="1">_xll.BDH($C$253,"ACCOUNTS_PAYABLE_TURNOVER","FQ1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269" s="2" t="e">
        <f ca="1">_xll.BDH($C$253,"ACCOUNTS_PAYABLE_TURNOVER_DAYS","FQ1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269" s="4" t="e">
        <f ca="1">_xll.BDH($C$253,"CASH_CONVERSION_CYCLE","FQ1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269" s="4" t="e">
        <f ca="1">_xll.BDH($C$253,"INV_TO_CASH_DAYS","FQ1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269" s="5" t="e">
        <f ca="1">_xll.BDH($C$253,"BS_INVENTORIES","FQ1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269" s="3" t="e">
        <f ca="1">_xll.BDH($C$253,"INVTRY_RAW_MATERIALS","FQ1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269" s="3" t="e">
        <f ca="1">_xll.BDH($C$253,"INVTRY_IN_PROGRESS","FQ1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269" s="3" t="e">
        <f ca="1">_xll.BDH($C$253,"INVTRY_FINISHED_GOODS","FQ1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269" s="3" t="e">
        <f ca="1">_xll.BDH($C$253,"BS_OTHER_INV","FQ1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270" spans="1:113" x14ac:dyDescent="0.3">
      <c r="A270" s="6"/>
      <c r="B270" s="6"/>
      <c r="C270" s="6"/>
      <c r="D270" s="6"/>
      <c r="E270" t="s">
        <v>79</v>
      </c>
      <c r="F270" t="e">
        <f ca="1">_xll.BDH($C$253,"RETURN_COM_EQY","FQ2 2017","FQ2 2017","Currency=INR","Period=FQ","BEST_FPERIOD_OVERRIDE=FQ","FILING_STATUS=OR","EQY_CONSOLIDATED=Y","FA_ADJUSTED=GAAP","Sort=A","Dates=H","DateFormat=P","Fill=—","Direction=H","UseDPDF=Y")</f>
        <v>#NAME?</v>
      </c>
      <c r="G270" t="e">
        <f ca="1">_xll.BDH($C$253,"RETURN_ON_ASSET","FQ2 2017","FQ2 2017","Currency=INR","Period=FQ","BEST_FPERIOD_OVERRIDE=FQ","FILING_STATUS=OR","EQY_CONSOLIDATED=Y","FA_ADJUSTED=GAAP","Sort=A","Dates=H","DateFormat=P","Fill=—","Direction=H","UseDPDF=Y")</f>
        <v>#NAME?</v>
      </c>
      <c r="H270" t="e">
        <f ca="1">_xll.BDH($C$253,"RETURN_ON_CAP","FQ2 2017","FQ2 2017","Currency=INR","Period=FQ","BEST_FPERIOD_OVERRIDE=FQ","FILING_STATUS=OR","EQY_CONSOLIDATED=Y","FA_ADJUSTED=GAAP","Sort=A","Dates=H","DateFormat=P","Fill=—","Direction=H","UseDPDF=Y")</f>
        <v>#NAME?</v>
      </c>
      <c r="I270" t="e">
        <f ca="1">_xll.BDH($C$253,"RETURN_ON_INV_CAPITAL","FQ2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270" t="e">
        <f ca="1">_xll.BDH($C$253,"EBITDA_TO_REVENUE","FQ2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270" t="e">
        <f ca="1">_xll.BDH($C$253,"OPER_MARGIN","FQ2 2017","FQ2 2017","Currency=INR","Period=FQ","BEST_FPERIOD_OVERRIDE=FQ","FILING_STATUS=OR","EQY_CONSOLIDATED=Y","FA_ADJUSTED=GAAP","Sort=A","Dates=H","DateFormat=P","Fill=—","Direction=H","UseDPDF=Y")</f>
        <v>#NAME?</v>
      </c>
      <c r="L270" t="e">
        <f ca="1">_xll.BDH($C$253,"INCREMENTAL_OPERATING_MARGIN","FQ2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270" t="e">
        <f ca="1">_xll.BDH($C$253,"PRETAX_INC_TO_NET_SALES","FQ2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270" t="e">
        <f ca="1">_xll.BDH($C$253,"INC_BEF_XO_ITEMS_TO_NET_SALES","FQ2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270" t="e">
        <f ca="1">_xll.BDH($C$253,"PROF_MARGIN","FQ2 2017","FQ2 2017","Currency=INR","Period=FQ","BEST_FPERIOD_OVERRIDE=FQ","FILING_STATUS=OR","EQY_CONSOLIDATED=Y","FA_ADJUSTED=GAAP","Sort=A","Dates=H","DateFormat=P","Fill=—","Direction=H","UseDPDF=Y")</f>
        <v>#NAME?</v>
      </c>
      <c r="P270" t="e">
        <f ca="1">_xll.BDH($C$253,"NET_INCOME_TO_COMMON_MARGIN","FQ2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270" t="e">
        <f ca="1">_xll.BDH($C$253,"EFF_TAX_RATE","FQ2 2017","FQ2 2017","Currency=INR","Period=FQ","BEST_FPERIOD_OVERRIDE=FQ","FILING_STATUS=OR","EQY_CONSOLIDATED=Y","FA_ADJUSTED=GAAP","Sort=A","Dates=H","DateFormat=P","Fill=—","Direction=H","UseDPDF=Y")</f>
        <v>#NAME?</v>
      </c>
      <c r="R270" t="e">
        <f ca="1">_xll.BDH($C$253,"DVD_PAYOUT_RATIO","FQ2 2017","FQ2 2017","Currency=INR","Period=FQ","BEST_FPERIOD_OVERRIDE=FQ","FILING_STATUS=OR","EQY_CONSOLIDATED=Y","FA_ADJUSTED=GAAP","Sort=A","Dates=H","DateFormat=P","Fill=—","Direction=H","UseDPDF=Y")</f>
        <v>#NAME?</v>
      </c>
      <c r="S270" t="e">
        <f ca="1">_xll.BDH($C$253,"SUSTAIN_GROWTH_RT","FQ2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270" s="2" t="e">
        <f ca="1">_xll.BDH($C$253,"SALES_GROWTH","FQ2 2017","FQ2 2017","Currency=INR","Period=FQ","BEST_FPERIOD_OVERRIDE=FQ","FILING_STATUS=OR","EQY_CONSOLIDATED=Y","FA_ADJUSTED=GAAP","Sort=A","Dates=H","DateFormat=P","Fill=—","Direction=H","UseDPDF=Y")</f>
        <v>#NAME?</v>
      </c>
      <c r="U270" s="2" t="e">
        <f ca="1">_xll.BDH($C$253,"EBITDA_GROWTH","FQ2 2017","FQ2 2017","Currency=INR","Period=FQ","BEST_FPERIOD_OVERRIDE=FQ","FILING_STATUS=OR","EQY_CONSOLIDATED=Y","FA_ADJUSTED=GAAP","Sort=A","Dates=H","DateFormat=P","Fill=—","Direction=H","UseDPDF=Y")</f>
        <v>#NAME?</v>
      </c>
      <c r="V270" s="2" t="e">
        <f ca="1">_xll.BDH($C$253,"OPER_INC_GROWTH","FQ2 2017","FQ2 2017","Currency=INR","Period=FQ","BEST_FPERIOD_OVERRIDE=FQ","FILING_STATUS=OR","EQY_CONSOLIDATED=Y","FA_ADJUSTED=GAAP","Sort=A","Dates=H","DateFormat=P","Fill=—","Direction=H","UseDPDF=Y")</f>
        <v>#NAME?</v>
      </c>
      <c r="W270" s="2" t="e">
        <f ca="1">_xll.BDH($C$253,"EARN_FOR_COM_GROWTH","FQ2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270" s="2" t="e">
        <f ca="1">_xll.BDH($C$253,"DILUTED_EPS_AFT_XO_ITEMS_GROWTH","FQ2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270" s="2" t="e">
        <f ca="1">_xll.BDH($C$253,"DIVIDEND_PER_SHARE_1_YEAR_GROWTH","FQ2 2017","FQ2 2017","Currency=INR","Period=FQ","BEST_FPERIOD_OVERRIDE=FQ","FILING_STATUS=OR","EQY_CONSOLIDATED=Y","Sort=A","Dates=H","DateFormat=P","Fill=—","Direction=H","UseDPDF=Y")</f>
        <v>#NAME?</v>
      </c>
      <c r="Z270" s="2" t="e">
        <f ca="1">_xll.BDH($C$253,"ACCOUNTS_RECEIVABLE_GROWTH","FQ2 2017","FQ2 2017","Currency=INR","Period=FQ","BEST_FPERIOD_OVERRIDE=FQ","FILING_STATUS=OR","EQY_CONSOLIDATED=Y","Sort=A","Dates=H","DateFormat=P","Fill=—","Direction=H","UseDPDF=Y")</f>
        <v>#NAME?</v>
      </c>
      <c r="AA270" s="2" t="e">
        <f ca="1">_xll.BDH($C$253,"INVENTORY_GROWTH","FQ2 2017","FQ2 2017","Currency=INR","Period=FQ","BEST_FPERIOD_OVERRIDE=FQ","FILING_STATUS=OR","EQY_CONSOLIDATED=Y","Sort=A","Dates=H","DateFormat=P","Fill=—","Direction=H","UseDPDF=Y")</f>
        <v>#NAME?</v>
      </c>
      <c r="AB270" s="2" t="e">
        <f ca="1">_xll.BDH($C$253,"NET_FIXED_ASSETS_1_YEAR_GROWTH","FQ2 2017","FQ2 2017","Currency=INR","Period=FQ","BEST_FPERIOD_OVERRIDE=FQ","FILING_STATUS=OR","EQY_CONSOLIDATED=Y","Sort=A","Dates=H","DateFormat=P","Fill=—","Direction=H","UseDPDF=Y")</f>
        <v>#NAME?</v>
      </c>
      <c r="AC270" s="2" t="e">
        <f ca="1">_xll.BDH($C$253,"ASSET_GROWTH","FQ2 2017","FQ2 2017","Currency=INR","Period=FQ","BEST_FPERIOD_OVERRIDE=FQ","FILING_STATUS=OR","EQY_CONSOLIDATED=Y","Sort=A","Dates=H","DateFormat=P","Fill=—","Direction=H","UseDPDF=Y")</f>
        <v>#NAME?</v>
      </c>
      <c r="AD270" s="2" t="e">
        <f ca="1">_xll.BDH($C$253,"MODIFIED_WORK_CAP_GROWTH","FQ2 2017","FQ2 2017","Currency=INR","Period=FQ","BEST_FPERIOD_OVERRIDE=FQ","FILING_STATUS=OR","EQY_CONSOLIDATED=Y","Sort=A","Dates=H","DateFormat=P","Fill=—","Direction=H","UseDPDF=Y")</f>
        <v>#NAME?</v>
      </c>
      <c r="AE270" s="2" t="e">
        <f ca="1">_xll.BDH($C$253,"WORK_CAP_GROWTH","FQ2 2017","FQ2 2017","Currency=INR","Period=FQ","BEST_FPERIOD_OVERRIDE=FQ","FILING_STATUS=OR","EQY_CONSOLIDATED=Y","Sort=A","Dates=H","DateFormat=P","Fill=—","Direction=H","UseDPDF=Y")</f>
        <v>#NAME?</v>
      </c>
      <c r="AF270" s="2" t="e">
        <f ca="1">_xll.BDH($C$253,"ACCOUNTS_PAYABLE_GROWTH_1YR","FQ2 2017","FQ2 2017","Currency=INR","Period=FQ","BEST_FPERIOD_OVERRIDE=FQ","FILING_STATUS=OR","EQY_CONSOLIDATED=Y","Sort=A","Dates=H","DateFormat=P","Fill=—","Direction=H","UseDPDF=Y")</f>
        <v>#NAME?</v>
      </c>
      <c r="AG270" s="2" t="e">
        <f ca="1">_xll.BDH($C$253,"SHORT_TERM_DEBT_1_YEAR_GROWTH","FQ2 2017","FQ2 2017","Currency=INR","Period=FQ","BEST_FPERIOD_OVERRIDE=FQ","FILING_STATUS=OR","EQY_CONSOLIDATED=Y","Sort=A","Dates=H","DateFormat=P","Fill=—","Direction=H","UseDPDF=Y")</f>
        <v>#NAME?</v>
      </c>
      <c r="AH270" s="2" t="e">
        <f ca="1">_xll.BDH($C$253,"TOTAL_DEBT_1_YEAR_GROWTH","FQ2 2017","FQ2 2017","Currency=INR","Period=FQ","BEST_FPERIOD_OVERRIDE=FQ","FILING_STATUS=OR","EQY_CONSOLIDATED=Y","Sort=A","Dates=H","DateFormat=P","Fill=—","Direction=H","UseDPDF=Y")</f>
        <v>#NAME?</v>
      </c>
      <c r="AI270" s="2" t="e">
        <f ca="1">_xll.BDH($C$253,"TOTAL_EQUITY_1_YEAR_GROWTH","FQ2 2017","FQ2 2017","Currency=INR","Period=FQ","BEST_FPERIOD_OVERRIDE=FQ","FILING_STATUS=OR","EQY_CONSOLIDATED=Y","Sort=A","Dates=H","DateFormat=P","Fill=—","Direction=H","UseDPDF=Y")</f>
        <v>#NAME?</v>
      </c>
      <c r="AJ270" s="2" t="e">
        <f ca="1">_xll.BDH($C$253,"GROWTH_IN_CAP","FQ2 2017","FQ2 2017","Currency=INR","Period=FQ","BEST_FPERIOD_OVERRIDE=FQ","FILING_STATUS=OR","EQY_CONSOLIDATED=Y","Sort=A","Dates=H","DateFormat=P","Fill=—","Direction=H","UseDPDF=Y")</f>
        <v>#NAME?</v>
      </c>
      <c r="AK270" s="2" t="e">
        <f ca="1">_xll.BDH($C$253,"BVPS_GROWTH","FQ2 2017","FQ2 2017","Currency=INR","Period=FQ","BEST_FPERIOD_OVERRIDE=FQ","FILING_STATUS=OR","EQY_CONSOLIDATED=Y","Sort=A","Dates=H","DateFormat=P","Fill=—","Direction=H","UseDPDF=Y")</f>
        <v>#NAME?</v>
      </c>
      <c r="AL270" s="2" t="e">
        <f ca="1">_xll.BDH($C$253,"CASH_FLOW_GROWTH","FQ2 2017","FQ2 2017","Currency=INR","Period=FQ","BEST_FPERIOD_OVERRIDE=FQ","FILING_STATUS=OR","EQY_CONSOLIDATED=Y","Sort=A","Dates=H","DateFormat=P","Fill=—","Direction=H","UseDPDF=Y")</f>
        <v>#NAME?</v>
      </c>
      <c r="AM270" s="2" t="e">
        <f ca="1">_xll.BDH($C$253,"GEO_GROW_NET_SALES","FQ2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270" s="2" t="e">
        <f ca="1">_xll.BDH($C$253,"GEO_GROW_EBITDA","FQ2 2017","FQ2 2017","Currency=INR","Period=FQ","BEST_FPERIOD_OVERRIDE=FQ","FILING_STATUS=OR","EQY_CONSOLIDATED=Y","FA_ADJUSTED=GAAP","Sort=A","Dates=H","DateFormat=P","Fill=—","Direction=H","UseDPDF=Y")</f>
        <v>#NAME?</v>
      </c>
      <c r="AO270" s="2" t="e">
        <f ca="1">_xll.BDH($C$253,"GEO_GROW_OPER_INC","FQ2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270" s="2" t="e">
        <f ca="1">_xll.BDH($C$253,"NET_INCOME_TO_COMMON_5_YR_GROWTH","FQ2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270" s="2" t="e">
        <f ca="1">_xll.BDH($C$253,"5Y_GEO_GROWTH_DILUTED_EPS","FQ2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270" s="2" t="e">
        <f ca="1">_xll.BDH($C$253,"GEO_GROW_DVD_PER_SH","FQ2 2017","FQ2 2017","Currency=INR","Period=FQ","BEST_FPERIOD_OVERRIDE=FQ","FILING_STATUS=OR","EQY_CONSOLIDATED=Y","Sort=A","Dates=H","DateFormat=P","Fill=—","Direction=H","UseDPDF=Y")</f>
        <v>#NAME?</v>
      </c>
      <c r="AS270" s="2" t="e">
        <f ca="1">_xll.BDH($C$253,"ACCOUNTS_RECEIVABLE_5_YR_GROWTH","FQ2 2017","FQ2 2017","Currency=INR","Period=FQ","BEST_FPERIOD_OVERRIDE=FQ","FILING_STATUS=OR","EQY_CONSOLIDATED=Y","Sort=A","Dates=H","DateFormat=P","Fill=—","Direction=H","UseDPDF=Y")</f>
        <v>#NAME?</v>
      </c>
      <c r="AT270" s="2" t="e">
        <f ca="1">_xll.BDH($C$253,"INVENTORY_5_YEAR_GROWTH","FQ2 2017","FQ2 2017","Currency=INR","Period=FQ","BEST_FPERIOD_OVERRIDE=FQ","FILING_STATUS=OR","EQY_CONSOLIDATED=Y","Sort=A","Dates=H","DateFormat=P","Fill=—","Direction=H","UseDPDF=Y")</f>
        <v>#NAME?</v>
      </c>
      <c r="AU270" s="2" t="e">
        <f ca="1">_xll.BDH($C$253,"NET_FIXED_ASSETS_5_YEAR_GROWTH","FQ2 2017","FQ2 2017","Currency=INR","Period=FQ","BEST_FPERIOD_OVERRIDE=FQ","FILING_STATUS=OR","EQY_CONSOLIDATED=Y","Sort=A","Dates=H","DateFormat=P","Fill=—","Direction=H","UseDPDF=Y")</f>
        <v>#NAME?</v>
      </c>
      <c r="AV270" s="2" t="e">
        <f ca="1">_xll.BDH($C$253,"GEO_GROW_TOT_ASSET","FQ2 2017","FQ2 2017","Currency=INR","Period=FQ","BEST_FPERIOD_OVERRIDE=FQ","FILING_STATUS=OR","EQY_CONSOLIDATED=Y","Sort=A","Dates=H","DateFormat=P","Fill=—","Direction=H","UseDPDF=Y")</f>
        <v>#NAME?</v>
      </c>
      <c r="AW270" s="2" t="e">
        <f ca="1">_xll.BDH($C$253,"MODIFIED_WORKING_CPTL_5YR_GRWTH","FQ2 2017","FQ2 2017","Currency=INR","Period=FQ","BEST_FPERIOD_OVERRIDE=FQ","FILING_STATUS=OR","EQY_CONSOLIDATED=Y","Sort=A","Dates=H","DateFormat=P","Fill=—","Direction=H","UseDPDF=Y")</f>
        <v>#NAME?</v>
      </c>
      <c r="AX270" s="2" t="e">
        <f ca="1">_xll.BDH($C$253,"WORKING_CAPITAL_5_YEAR_GROWTH","FQ2 2017","FQ2 2017","Currency=INR","Period=FQ","BEST_FPERIOD_OVERRIDE=FQ","FILING_STATUS=OR","EQY_CONSOLIDATED=Y","Sort=A","Dates=H","DateFormat=P","Fill=—","Direction=H","UseDPDF=Y")</f>
        <v>#NAME?</v>
      </c>
      <c r="AY270" s="2" t="e">
        <f ca="1">_xll.BDH($C$253,"ACCOUNTS_PAYABLE_5_YEAR_GROWTH","FQ2 2017","FQ2 2017","Currency=INR","Period=FQ","BEST_FPERIOD_OVERRIDE=FQ","FILING_STATUS=OR","EQY_CONSOLIDATED=Y","Sort=A","Dates=H","DateFormat=P","Fill=—","Direction=H","UseDPDF=Y")</f>
        <v>#NAME?</v>
      </c>
      <c r="AZ270" s="2" t="e">
        <f ca="1">_xll.BDH($C$253,"SHORT_TERM_DEBT_5_YEAR_GROWTH","FQ2 2017","FQ2 2017","Currency=INR","Period=FQ","BEST_FPERIOD_OVERRIDE=FQ","FILING_STATUS=OR","EQY_CONSOLIDATED=Y","Sort=A","Dates=H","DateFormat=P","Fill=—","Direction=H","UseDPDF=Y")</f>
        <v>#NAME?</v>
      </c>
      <c r="BA270" s="2" t="e">
        <f ca="1">_xll.BDH($C$253,"TOTAL_DEBT_5_YEAR_GROWTH","FQ2 2017","FQ2 2017","Currency=INR","Period=FQ","BEST_FPERIOD_OVERRIDE=FQ","FILING_STATUS=OR","EQY_CONSOLIDATED=Y","Sort=A","Dates=H","DateFormat=P","Fill=—","Direction=H","UseDPDF=Y")</f>
        <v>#NAME?</v>
      </c>
      <c r="BB270" s="2" t="e">
        <f ca="1">_xll.BDH($C$253,"GEO_GROW_TOT_SHRHLDR_EQY","FQ2 2017","FQ2 2017","Currency=INR","Period=FQ","BEST_FPERIOD_OVERRIDE=FQ","FILING_STATUS=OR","EQY_CONSOLIDATED=Y","Sort=A","Dates=H","DateFormat=P","Fill=—","Direction=H","UseDPDF=Y")</f>
        <v>#NAME?</v>
      </c>
      <c r="BC270" s="2" t="e">
        <f ca="1">_xll.BDH($C$253,"TOTAL_CAPITAL_5_YEAR_GROWTH","FQ2 2017","FQ2 2017","Currency=INR","Period=FQ","BEST_FPERIOD_OVERRIDE=FQ","FILING_STATUS=OR","EQY_CONSOLIDATED=Y","Sort=A","Dates=H","DateFormat=P","Fill=—","Direction=H","UseDPDF=Y")</f>
        <v>#NAME?</v>
      </c>
      <c r="BD270" s="2" t="e">
        <f ca="1">_xll.BDH($C$253,"GEO_GROW_BOOK_VAL","FQ2 2017","FQ2 2017","Currency=INR","Period=FQ","BEST_FPERIOD_OVERRIDE=FQ","FILING_STATUS=OR","EQY_CONSOLIDATED=Y","Sort=A","Dates=H","DateFormat=P","Fill=—","Direction=H","UseDPDF=Y")</f>
        <v>#NAME?</v>
      </c>
      <c r="BE270" s="2" t="e">
        <f ca="1">_xll.BDH($C$253,"GEO_GROW_CASH_OPER_ACT","FQ2 2017","FQ2 2017","Currency=INR","Period=FQ","BEST_FPERIOD_OVERRIDE=FQ","FILING_STATUS=OR","EQY_CONSOLIDATED=Y","Sort=A","Dates=H","DateFormat=P","Fill=—","Direction=H","UseDPDF=Y")</f>
        <v>#NAME?</v>
      </c>
      <c r="BF270" s="2" t="e">
        <f ca="1">_xll.BDH($C$253,"REVENUE_SEQUENTIAL_GROWTH","FQ2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270" s="2" t="e">
        <f ca="1">_xll.BDH($C$253,"EBITDA_SEQUENTIAL_GROWTH","FQ2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270" s="2" t="e">
        <f ca="1">_xll.BDH($C$253,"OPERATING_INCOME_SEQ_GROWTH","FQ2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270" s="2" t="e">
        <f ca="1">_xll.BDH($C$253,"NET_INCOME_TO_COMMON_SEQ_GROWTH","FQ2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270" s="2" t="e">
        <f ca="1">_xll.BDH($C$253,"EPS_DILUTED_SEQUENTIAL_GROWTH","FQ2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270" s="2" t="e">
        <f ca="1">_xll.BDH($C$253,"DPS_SEQUENTIAL_GROWTH","FQ2 2017","FQ2 2017","Currency=INR","Period=FQ","BEST_FPERIOD_OVERRIDE=FQ","FILING_STATUS=OR","EQY_CONSOLIDATED=Y","Sort=A","Dates=H","DateFormat=P","Fill=—","Direction=H","UseDPDF=Y")</f>
        <v>#NAME?</v>
      </c>
      <c r="BL270" s="2" t="e">
        <f ca="1">_xll.BDH($C$253,"ACCOUNTS_RECEIVABLE_SEQ_GROWTH","FQ2 2017","FQ2 2017","Currency=INR","Period=FQ","BEST_FPERIOD_OVERRIDE=FQ","FILING_STATUS=OR","EQY_CONSOLIDATED=Y","Sort=A","Dates=H","DateFormat=P","Fill=—","Direction=H","UseDPDF=Y")</f>
        <v>#NAME?</v>
      </c>
      <c r="BM270" s="2" t="e">
        <f ca="1">_xll.BDH($C$253,"INVENTORY_SEQUENTIAL_GROWTH","FQ2 2017","FQ2 2017","Currency=INR","Period=FQ","BEST_FPERIOD_OVERRIDE=FQ","FILING_STATUS=OR","EQY_CONSOLIDATED=Y","Sort=A","Dates=H","DateFormat=P","Fill=—","Direction=H","UseDPDF=Y")</f>
        <v>#NAME?</v>
      </c>
      <c r="BN270" s="2" t="e">
        <f ca="1">_xll.BDH($C$253,"FIXED_ASSETS_SEQUENTIAL_GROWTH","FQ2 2017","FQ2 2017","Currency=INR","Period=FQ","BEST_FPERIOD_OVERRIDE=FQ","FILING_STATUS=OR","EQY_CONSOLIDATED=Y","Sort=A","Dates=H","DateFormat=P","Fill=—","Direction=H","UseDPDF=Y")</f>
        <v>#NAME?</v>
      </c>
      <c r="BO270" s="2" t="e">
        <f ca="1">_xll.BDH($C$253,"TOTAL_ASSETS_SEQUENTIAL_GROWTH","FQ2 2017","FQ2 2017","Currency=INR","Period=FQ","BEST_FPERIOD_OVERRIDE=FQ","FILING_STATUS=OR","EQY_CONSOLIDATED=Y","Sort=A","Dates=H","DateFormat=P","Fill=—","Direction=H","UseDPDF=Y")</f>
        <v>#NAME?</v>
      </c>
      <c r="BP270" s="2" t="e">
        <f ca="1">_xll.BDH($C$253,"MODIFIED_WORKING_CPTL_SEQ_GRWTH","FQ2 2017","FQ2 2017","Currency=INR","Period=FQ","BEST_FPERIOD_OVERRIDE=FQ","FILING_STATUS=OR","EQY_CONSOLIDATED=Y","Sort=A","Dates=H","DateFormat=P","Fill=—","Direction=H","UseDPDF=Y")</f>
        <v>#NAME?</v>
      </c>
      <c r="BQ270" s="2" t="e">
        <f ca="1">_xll.BDH($C$253,"WORKING_CAPITAL_SEQ_GROWTH","FQ2 2017","FQ2 2017","Currency=INR","Period=FQ","BEST_FPERIOD_OVERRIDE=FQ","FILING_STATUS=OR","EQY_CONSOLIDATED=Y","Sort=A","Dates=H","DateFormat=P","Fill=—","Direction=H","UseDPDF=Y")</f>
        <v>#NAME?</v>
      </c>
      <c r="BR270" s="2" t="e">
        <f ca="1">_xll.BDH($C$253,"ACCOUNTS_PAYABLE_SEQ_GROWTH","FQ2 2017","FQ2 2017","Currency=INR","Period=FQ","BEST_FPERIOD_OVERRIDE=FQ","FILING_STATUS=OR","EQY_CONSOLIDATED=Y","Sort=A","Dates=H","DateFormat=P","Fill=—","Direction=H","UseDPDF=Y")</f>
        <v>#NAME?</v>
      </c>
      <c r="BS270" s="2" t="e">
        <f ca="1">_xll.BDH($C$253,"ST_DEBT_SEQUENTIAL_GROWTH","FQ2 2017","FQ2 2017","Currency=INR","Period=FQ","BEST_FPERIOD_OVERRIDE=FQ","FILING_STATUS=OR","EQY_CONSOLIDATED=Y","Sort=A","Dates=H","DateFormat=P","Fill=—","Direction=H","UseDPDF=Y")</f>
        <v>#NAME?</v>
      </c>
      <c r="BT270" s="2" t="e">
        <f ca="1">_xll.BDH($C$253,"TOTAL_DEBT_SEQUENTIAL_GROWTH","FQ2 2017","FQ2 2017","Currency=INR","Period=FQ","BEST_FPERIOD_OVERRIDE=FQ","FILING_STATUS=OR","EQY_CONSOLIDATED=Y","Sort=A","Dates=H","DateFormat=P","Fill=—","Direction=H","UseDPDF=Y")</f>
        <v>#NAME?</v>
      </c>
      <c r="BU270" s="2" t="e">
        <f ca="1">_xll.BDH($C$253,"TOTAL_EQUITY_SEQUENTIAL_GROWTH","FQ2 2017","FQ2 2017","Currency=INR","Period=FQ","BEST_FPERIOD_OVERRIDE=FQ","FILING_STATUS=OR","EQY_CONSOLIDATED=Y","Sort=A","Dates=H","DateFormat=P","Fill=—","Direction=H","UseDPDF=Y")</f>
        <v>#NAME?</v>
      </c>
      <c r="BV270" s="2" t="e">
        <f ca="1">_xll.BDH($C$253,"TOTAL_CAPITAL_SEQUENTIAL_GROWTH","FQ2 2017","FQ2 2017","Currency=INR","Period=FQ","BEST_FPERIOD_OVERRIDE=FQ","FILING_STATUS=OR","EQY_CONSOLIDATED=Y","Sort=A","Dates=H","DateFormat=P","Fill=—","Direction=H","UseDPDF=Y")</f>
        <v>#NAME?</v>
      </c>
      <c r="BW270" s="2" t="e">
        <f ca="1">_xll.BDH($C$253,"BPS_SEQUENTIAL_GROWTH","FQ2 2017","FQ2 2017","Currency=INR","Period=FQ","BEST_FPERIOD_OVERRIDE=FQ","FILING_STATUS=OR","EQY_CONSOLIDATED=Y","Sort=A","Dates=H","DateFormat=P","Fill=—","Direction=H","UseDPDF=Y")</f>
        <v>#NAME?</v>
      </c>
      <c r="BX270" s="2" t="e">
        <f ca="1">_xll.BDH($C$253,"CFO_SEQUENTIAL_GROWTH","FQ2 2017","FQ2 2017","Currency=INR","Period=FQ","BEST_FPERIOD_OVERRIDE=FQ","FILING_STATUS=OR","EQY_CONSOLIDATED=Y","Sort=A","Dates=H","DateFormat=P","Fill=—","Direction=H","UseDPDF=Y")</f>
        <v>#NAME?</v>
      </c>
      <c r="BY270" s="3" t="e">
        <f ca="1">_xll.BDH($C$253,"SHORT_AND_LONG_TERM_DEBT","FQ2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270" s="3" t="e">
        <f ca="1">_xll.BDH($C$253,"BS_ST_BORROW","FQ2 2017","FQ2 2017","Currency=INR","Period=FQ","BEST_FPERIOD_OVERRIDE=FQ","FILING_STATUS=OR","EQY_CONSOLIDATED=Y","SCALING_FORMAT=MLN","Sort=A","Dates=H","DateFormat=P","Fill=—","Direction=H","UseDPDF=Y")</f>
        <v>#NAME?</v>
      </c>
      <c r="CA270" s="3" t="e">
        <f ca="1">_xll.BDH($C$253,"BS_LT_BORROW","FQ2 2017","FQ2 2017","Currency=INR","Period=FQ","BEST_FPERIOD_OVERRIDE=FQ","FILING_STATUS=OR","EQY_CONSOLIDATED=Y","SCALING_FORMAT=MLN","Sort=A","Dates=H","DateFormat=P","Fill=—","Direction=H","UseDPDF=Y")</f>
        <v>#NAME?</v>
      </c>
      <c r="CB270" s="2" t="e">
        <f ca="1">_xll.BDH($C$253,"TOT_DEBT_TO_EBITDA","FQ2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270" s="2" t="e">
        <f ca="1">_xll.BDH($C$253,"NET_DEBT_TO_EBITDA","FQ2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270" s="2" t="e">
        <f ca="1">_xll.BDH($C$253,"TOTAL_DEBT_TO_EBIT","FQ2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270" s="2" t="e">
        <f ca="1">_xll.BDH($C$253,"NET_DEBT_TO_EBIT","FQ2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270" s="2" t="e">
        <f ca="1">_xll.BDH($C$253,"EBITDA_TO_INTEREST_EXPN","FQ2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270" s="2" t="e">
        <f ca="1">_xll.BDH($C$253,"COM_EQY_TO_TOT_ASSET","FQ2 2017","FQ2 2017","Currency=INR","Period=FQ","BEST_FPERIOD_OVERRIDE=FQ","FILING_STATUS=OR","EQY_CONSOLIDATED=Y","Sort=A","Dates=H","DateFormat=P","Fill=—","Direction=H","UseDPDF=Y")</f>
        <v>#NAME?</v>
      </c>
      <c r="CH270" s="2" t="e">
        <f ca="1">_xll.BDH($C$253,"LT_DEBT_TO_TOT_EQY","FQ2 2017","FQ2 2017","Currency=INR","Period=FQ","BEST_FPERIOD_OVERRIDE=FQ","FILING_STATUS=OR","EQY_CONSOLIDATED=Y","Sort=A","Dates=H","DateFormat=P","Fill=—","Direction=H","UseDPDF=Y")</f>
        <v>#NAME?</v>
      </c>
      <c r="CI270" s="2" t="e">
        <f ca="1">_xll.BDH($C$253,"LT_DEBT_TO_TOT_CAP","FQ2 2017","FQ2 2017","Currency=INR","Period=FQ","BEST_FPERIOD_OVERRIDE=FQ","FILING_STATUS=OR","EQY_CONSOLIDATED=Y","Sort=A","Dates=H","DateFormat=P","Fill=—","Direction=H","UseDPDF=Y")</f>
        <v>#NAME?</v>
      </c>
      <c r="CJ270" s="2" t="e">
        <f ca="1">_xll.BDH($C$253,"LT_DEBT_TO_TOT_ASSET","FQ2 2017","FQ2 2017","Currency=INR","Period=FQ","BEST_FPERIOD_OVERRIDE=FQ","FILING_STATUS=OR","EQY_CONSOLIDATED=Y","Sort=A","Dates=H","DateFormat=P","Fill=—","Direction=H","UseDPDF=Y")</f>
        <v>#NAME?</v>
      </c>
      <c r="CK270" s="2" t="e">
        <f ca="1">_xll.BDH($C$253,"TOT_DEBT_TO_TOT_EQY","FQ2 2017","FQ2 2017","Currency=INR","Period=FQ","BEST_FPERIOD_OVERRIDE=FQ","FILING_STATUS=OR","EQY_CONSOLIDATED=Y","Sort=A","Dates=H","DateFormat=P","Fill=—","Direction=H","UseDPDF=Y")</f>
        <v>#NAME?</v>
      </c>
      <c r="CL270" s="2" t="e">
        <f ca="1">_xll.BDH($C$253,"TOT_DEBT_TO_TOT_CAP","FQ2 2017","FQ2 2017","Currency=INR","Period=FQ","BEST_FPERIOD_OVERRIDE=FQ","FILING_STATUS=OR","EQY_CONSOLIDATED=Y","Sort=A","Dates=H","DateFormat=P","Fill=—","Direction=H","UseDPDF=Y")</f>
        <v>#NAME?</v>
      </c>
      <c r="CM270" s="2" t="e">
        <f ca="1">_xll.BDH($C$253,"TOT_DEBT_TO_TOT_ASSET","FQ2 2017","FQ2 2017","Currency=INR","Period=FQ","BEST_FPERIOD_OVERRIDE=FQ","FILING_STATUS=OR","EQY_CONSOLIDATED=Y","Sort=A","Dates=H","DateFormat=P","Fill=—","Direction=H","UseDPDF=Y")</f>
        <v>#NAME?</v>
      </c>
      <c r="CN270" s="2" t="e">
        <f ca="1">_xll.BDH($C$253,"NET_DEBT_TO_SHRHLDR_EQTY","FQ2 2017","FQ2 2017","Currency=INR","Period=FQ","BEST_FPERIOD_OVERRIDE=FQ","FILING_STATUS=OR","EQY_CONSOLIDATED=Y","Sort=A","Dates=H","DateFormat=P","Fill=—","Direction=H","UseDPDF=Y")</f>
        <v>#NAME?</v>
      </c>
      <c r="CO270" s="2" t="e">
        <f ca="1">_xll.BDH($C$253,"NET_DEBT_%_CAPITAL","FQ2 2017","FQ2 2017","Currency=INR","Period=FQ","BEST_FPERIOD_OVERRIDE=FQ","FILING_STATUS=OR","EQY_CONSOLIDATED=Y","Sort=A","Dates=H","DateFormat=P","Fill=—","Direction=H","UseDPDF=Y")</f>
        <v>#NAME?</v>
      </c>
      <c r="CP270" s="3" t="e">
        <f ca="1">_xll.BDH($C$253,"EBITDA","FQ2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270" s="3" t="e">
        <f ca="1">_xll.BDH($C$253,"EBITDA_AFTER_CAPEX","FQ2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270" s="3" t="e">
        <f ca="1">_xll.BDH($C$253,"IS_OPER_INC","FQ2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270" s="2" t="e">
        <f ca="1">_xll.BDH($C$253,"CASH_RATIO","FQ2 2017","FQ2 2017","Currency=INR","Period=FQ","BEST_FPERIOD_OVERRIDE=FQ","FILING_STATUS=OR","EQY_CONSOLIDATED=Y","Sort=A","Dates=H","DateFormat=P","Fill=—","Direction=H","UseDPDF=Y")</f>
        <v>#NAME?</v>
      </c>
      <c r="CT270" s="2" t="e">
        <f ca="1">_xll.BDH($C$253,"CUR_RATIO","FQ2 2017","FQ2 2017","Currency=INR","Period=FQ","BEST_FPERIOD_OVERRIDE=FQ","FILING_STATUS=OR","EQY_CONSOLIDATED=Y","Sort=A","Dates=H","DateFormat=P","Fill=—","Direction=H","UseDPDF=Y")</f>
        <v>#NAME?</v>
      </c>
      <c r="CU270" s="2" t="e">
        <f ca="1">_xll.BDH($C$253,"QUICK_RATIO","FQ2 2017","FQ2 2017","Currency=INR","Period=FQ","BEST_FPERIOD_OVERRIDE=FQ","FILING_STATUS=OR","EQY_CONSOLIDATED=Y","Sort=A","Dates=H","DateFormat=P","Fill=—","Direction=H","UseDPDF=Y")</f>
        <v>#NAME?</v>
      </c>
      <c r="CV270" s="2" t="e">
        <f ca="1">_xll.BDH($C$253,"ALTMAN_Z_SCORE","FQ2 2017","FQ2 2017","Currency=INR","Period=FQ","BEST_FPERIOD_OVERRIDE=FQ","FILING_STATUS=OR","EQY_CONSOLIDATED=Y","Sort=A","Dates=H","DateFormat=P","Fill=—","Direction=H","UseDPDF=Y")</f>
        <v>#NAME?</v>
      </c>
      <c r="CW270" s="4" t="e">
        <f ca="1">_xll.BDH($C$253,"ACCT_RCV_TURN","FQ2 2017","FQ2 2017","Currency=INR","Period=FQ","BEST_FPERIOD_OVERRIDE=FQ","FILING_STATUS=OR","EQY_CONSOLIDATED=Y","FA_ADJUSTED=GAAP","Sort=A","Dates=H","DateFormat=P","Fill=—","Direction=H","UseDPDF=Y")</f>
        <v>#NAME?</v>
      </c>
      <c r="CX270" s="2" t="e">
        <f ca="1">_xll.BDH($C$253,"ACCT_RCV_DAYS","FQ2 2017","FQ2 2017","Currency=INR","Period=FQ","BEST_FPERIOD_OVERRIDE=FQ","FILING_STATUS=OR","EQY_CONSOLIDATED=Y","FA_ADJUSTED=GAAP","Sort=A","Dates=H","DateFormat=P","Fill=—","Direction=H","UseDPDF=Y")</f>
        <v>#NAME?</v>
      </c>
      <c r="CY270" s="4" t="e">
        <f ca="1">_xll.BDH($C$253,"INVENT_TURN","FQ2 2017","FQ2 2017","Currency=INR","Period=FQ","BEST_FPERIOD_OVERRIDE=FQ","FILING_STATUS=OR","EQY_CONSOLIDATED=Y","FA_ADJUSTED=GAAP","Sort=A","Dates=H","DateFormat=P","Fill=—","Direction=H","UseDPDF=Y")</f>
        <v>#NAME?</v>
      </c>
      <c r="CZ270" s="2" t="e">
        <f ca="1">_xll.BDH($C$253,"INVENT_DAYS","FQ2 2017","FQ2 2017","Currency=INR","Period=FQ","BEST_FPERIOD_OVERRIDE=FQ","FILING_STATUS=OR","EQY_CONSOLIDATED=Y","FA_ADJUSTED=GAAP","Sort=A","Dates=H","DateFormat=P","Fill=—","Direction=H","UseDPDF=Y")</f>
        <v>#NAME?</v>
      </c>
      <c r="DA270" s="4" t="e">
        <f ca="1">_xll.BDH($C$253,"ACCOUNTS_PAYABLE_TURNOVER","FQ2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270" s="2" t="e">
        <f ca="1">_xll.BDH($C$253,"ACCOUNTS_PAYABLE_TURNOVER_DAYS","FQ2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270" s="4" t="e">
        <f ca="1">_xll.BDH($C$253,"CASH_CONVERSION_CYCLE","FQ2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270" s="4" t="e">
        <f ca="1">_xll.BDH($C$253,"INV_TO_CASH_DAYS","FQ2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270" s="5" t="e">
        <f ca="1">_xll.BDH($C$253,"BS_INVENTORIES","FQ2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270" s="3" t="e">
        <f ca="1">_xll.BDH($C$253,"INVTRY_RAW_MATERIALS","FQ2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270" s="3" t="e">
        <f ca="1">_xll.BDH($C$253,"INVTRY_IN_PROGRESS","FQ2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270" s="3" t="e">
        <f ca="1">_xll.BDH($C$253,"INVTRY_FINISHED_GOODS","FQ2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270" s="3" t="e">
        <f ca="1">_xll.BDH($C$253,"BS_OTHER_INV","FQ2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271" spans="1:113" x14ac:dyDescent="0.3">
      <c r="A271" s="6"/>
      <c r="B271" s="6"/>
      <c r="C271" s="6"/>
      <c r="D271" s="6"/>
      <c r="E271" t="s">
        <v>80</v>
      </c>
      <c r="F271" t="e">
        <f ca="1">_xll.BDH($C$253,"RETURN_COM_EQY","FQ3 2017","FQ3 2017","Currency=INR","Period=FQ","BEST_FPERIOD_OVERRIDE=FQ","FILING_STATUS=OR","EQY_CONSOLIDATED=Y","FA_ADJUSTED=GAAP","Sort=A","Dates=H","DateFormat=P","Fill=—","Direction=H","UseDPDF=Y")</f>
        <v>#NAME?</v>
      </c>
      <c r="G271" t="e">
        <f ca="1">_xll.BDH($C$253,"RETURN_ON_ASSET","FQ3 2017","FQ3 2017","Currency=INR","Period=FQ","BEST_FPERIOD_OVERRIDE=FQ","FILING_STATUS=OR","EQY_CONSOLIDATED=Y","FA_ADJUSTED=GAAP","Sort=A","Dates=H","DateFormat=P","Fill=—","Direction=H","UseDPDF=Y")</f>
        <v>#NAME?</v>
      </c>
      <c r="H271" t="e">
        <f ca="1">_xll.BDH($C$253,"RETURN_ON_CAP","FQ3 2017","FQ3 2017","Currency=INR","Period=FQ","BEST_FPERIOD_OVERRIDE=FQ","FILING_STATUS=OR","EQY_CONSOLIDATED=Y","FA_ADJUSTED=GAAP","Sort=A","Dates=H","DateFormat=P","Fill=—","Direction=H","UseDPDF=Y")</f>
        <v>#NAME?</v>
      </c>
      <c r="I271" t="e">
        <f ca="1">_xll.BDH($C$253,"RETURN_ON_INV_CAPITAL","FQ3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271" t="e">
        <f ca="1">_xll.BDH($C$253,"EBITDA_TO_REVENUE","FQ3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271" t="e">
        <f ca="1">_xll.BDH($C$253,"OPER_MARGIN","FQ3 2017","FQ3 2017","Currency=INR","Period=FQ","BEST_FPERIOD_OVERRIDE=FQ","FILING_STATUS=OR","EQY_CONSOLIDATED=Y","FA_ADJUSTED=GAAP","Sort=A","Dates=H","DateFormat=P","Fill=—","Direction=H","UseDPDF=Y")</f>
        <v>#NAME?</v>
      </c>
      <c r="L271" t="e">
        <f ca="1">_xll.BDH($C$253,"INCREMENTAL_OPERATING_MARGIN","FQ3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271" t="e">
        <f ca="1">_xll.BDH($C$253,"PRETAX_INC_TO_NET_SALES","FQ3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271" t="e">
        <f ca="1">_xll.BDH($C$253,"INC_BEF_XO_ITEMS_TO_NET_SALES","FQ3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271" t="e">
        <f ca="1">_xll.BDH($C$253,"PROF_MARGIN","FQ3 2017","FQ3 2017","Currency=INR","Period=FQ","BEST_FPERIOD_OVERRIDE=FQ","FILING_STATUS=OR","EQY_CONSOLIDATED=Y","FA_ADJUSTED=GAAP","Sort=A","Dates=H","DateFormat=P","Fill=—","Direction=H","UseDPDF=Y")</f>
        <v>#NAME?</v>
      </c>
      <c r="P271" t="e">
        <f ca="1">_xll.BDH($C$253,"NET_INCOME_TO_COMMON_MARGIN","FQ3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271" t="e">
        <f ca="1">_xll.BDH($C$253,"EFF_TAX_RATE","FQ3 2017","FQ3 2017","Currency=INR","Period=FQ","BEST_FPERIOD_OVERRIDE=FQ","FILING_STATUS=OR","EQY_CONSOLIDATED=Y","FA_ADJUSTED=GAAP","Sort=A","Dates=H","DateFormat=P","Fill=—","Direction=H","UseDPDF=Y")</f>
        <v>#NAME?</v>
      </c>
      <c r="R271" t="e">
        <f ca="1">_xll.BDH($C$253,"DVD_PAYOUT_RATIO","FQ3 2017","FQ3 2017","Currency=INR","Period=FQ","BEST_FPERIOD_OVERRIDE=FQ","FILING_STATUS=OR","EQY_CONSOLIDATED=Y","FA_ADJUSTED=GAAP","Sort=A","Dates=H","DateFormat=P","Fill=—","Direction=H","UseDPDF=Y")</f>
        <v>#NAME?</v>
      </c>
      <c r="S271" t="e">
        <f ca="1">_xll.BDH($C$253,"SUSTAIN_GROWTH_RT","FQ3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271" s="2" t="e">
        <f ca="1">_xll.BDH($C$253,"SALES_GROWTH","FQ3 2017","FQ3 2017","Currency=INR","Period=FQ","BEST_FPERIOD_OVERRIDE=FQ","FILING_STATUS=OR","EQY_CONSOLIDATED=Y","FA_ADJUSTED=GAAP","Sort=A","Dates=H","DateFormat=P","Fill=—","Direction=H","UseDPDF=Y")</f>
        <v>#NAME?</v>
      </c>
      <c r="U271" s="2" t="e">
        <f ca="1">_xll.BDH($C$253,"EBITDA_GROWTH","FQ3 2017","FQ3 2017","Currency=INR","Period=FQ","BEST_FPERIOD_OVERRIDE=FQ","FILING_STATUS=OR","EQY_CONSOLIDATED=Y","FA_ADJUSTED=GAAP","Sort=A","Dates=H","DateFormat=P","Fill=—","Direction=H","UseDPDF=Y")</f>
        <v>#NAME?</v>
      </c>
      <c r="V271" s="2" t="e">
        <f ca="1">_xll.BDH($C$253,"OPER_INC_GROWTH","FQ3 2017","FQ3 2017","Currency=INR","Period=FQ","BEST_FPERIOD_OVERRIDE=FQ","FILING_STATUS=OR","EQY_CONSOLIDATED=Y","FA_ADJUSTED=GAAP","Sort=A","Dates=H","DateFormat=P","Fill=—","Direction=H","UseDPDF=Y")</f>
        <v>#NAME?</v>
      </c>
      <c r="W271" s="2" t="e">
        <f ca="1">_xll.BDH($C$253,"EARN_FOR_COM_GROWTH","FQ3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271" s="2" t="e">
        <f ca="1">_xll.BDH($C$253,"DILUTED_EPS_AFT_XO_ITEMS_GROWTH","FQ3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271" s="2" t="e">
        <f ca="1">_xll.BDH($C$253,"DIVIDEND_PER_SHARE_1_YEAR_GROWTH","FQ3 2017","FQ3 2017","Currency=INR","Period=FQ","BEST_FPERIOD_OVERRIDE=FQ","FILING_STATUS=OR","EQY_CONSOLIDATED=Y","Sort=A","Dates=H","DateFormat=P","Fill=—","Direction=H","UseDPDF=Y")</f>
        <v>#NAME?</v>
      </c>
      <c r="Z271" s="2" t="e">
        <f ca="1">_xll.BDH($C$253,"ACCOUNTS_RECEIVABLE_GROWTH","FQ3 2017","FQ3 2017","Currency=INR","Period=FQ","BEST_FPERIOD_OVERRIDE=FQ","FILING_STATUS=OR","EQY_CONSOLIDATED=Y","Sort=A","Dates=H","DateFormat=P","Fill=—","Direction=H","UseDPDF=Y")</f>
        <v>#NAME?</v>
      </c>
      <c r="AA271" s="2" t="e">
        <f ca="1">_xll.BDH($C$253,"INVENTORY_GROWTH","FQ3 2017","FQ3 2017","Currency=INR","Period=FQ","BEST_FPERIOD_OVERRIDE=FQ","FILING_STATUS=OR","EQY_CONSOLIDATED=Y","Sort=A","Dates=H","DateFormat=P","Fill=—","Direction=H","UseDPDF=Y")</f>
        <v>#NAME?</v>
      </c>
      <c r="AB271" s="2" t="e">
        <f ca="1">_xll.BDH($C$253,"NET_FIXED_ASSETS_1_YEAR_GROWTH","FQ3 2017","FQ3 2017","Currency=INR","Period=FQ","BEST_FPERIOD_OVERRIDE=FQ","FILING_STATUS=OR","EQY_CONSOLIDATED=Y","Sort=A","Dates=H","DateFormat=P","Fill=—","Direction=H","UseDPDF=Y")</f>
        <v>#NAME?</v>
      </c>
      <c r="AC271" s="2" t="e">
        <f ca="1">_xll.BDH($C$253,"ASSET_GROWTH","FQ3 2017","FQ3 2017","Currency=INR","Period=FQ","BEST_FPERIOD_OVERRIDE=FQ","FILING_STATUS=OR","EQY_CONSOLIDATED=Y","Sort=A","Dates=H","DateFormat=P","Fill=—","Direction=H","UseDPDF=Y")</f>
        <v>#NAME?</v>
      </c>
      <c r="AD271" s="2" t="e">
        <f ca="1">_xll.BDH($C$253,"MODIFIED_WORK_CAP_GROWTH","FQ3 2017","FQ3 2017","Currency=INR","Period=FQ","BEST_FPERIOD_OVERRIDE=FQ","FILING_STATUS=OR","EQY_CONSOLIDATED=Y","Sort=A","Dates=H","DateFormat=P","Fill=—","Direction=H","UseDPDF=Y")</f>
        <v>#NAME?</v>
      </c>
      <c r="AE271" s="2" t="e">
        <f ca="1">_xll.BDH($C$253,"WORK_CAP_GROWTH","FQ3 2017","FQ3 2017","Currency=INR","Period=FQ","BEST_FPERIOD_OVERRIDE=FQ","FILING_STATUS=OR","EQY_CONSOLIDATED=Y","Sort=A","Dates=H","DateFormat=P","Fill=—","Direction=H","UseDPDF=Y")</f>
        <v>#NAME?</v>
      </c>
      <c r="AF271" s="2" t="e">
        <f ca="1">_xll.BDH($C$253,"ACCOUNTS_PAYABLE_GROWTH_1YR","FQ3 2017","FQ3 2017","Currency=INR","Period=FQ","BEST_FPERIOD_OVERRIDE=FQ","FILING_STATUS=OR","EQY_CONSOLIDATED=Y","Sort=A","Dates=H","DateFormat=P","Fill=—","Direction=H","UseDPDF=Y")</f>
        <v>#NAME?</v>
      </c>
      <c r="AG271" s="2" t="e">
        <f ca="1">_xll.BDH($C$253,"SHORT_TERM_DEBT_1_YEAR_GROWTH","FQ3 2017","FQ3 2017","Currency=INR","Period=FQ","BEST_FPERIOD_OVERRIDE=FQ","FILING_STATUS=OR","EQY_CONSOLIDATED=Y","Sort=A","Dates=H","DateFormat=P","Fill=—","Direction=H","UseDPDF=Y")</f>
        <v>#NAME?</v>
      </c>
      <c r="AH271" s="2" t="e">
        <f ca="1">_xll.BDH($C$253,"TOTAL_DEBT_1_YEAR_GROWTH","FQ3 2017","FQ3 2017","Currency=INR","Period=FQ","BEST_FPERIOD_OVERRIDE=FQ","FILING_STATUS=OR","EQY_CONSOLIDATED=Y","Sort=A","Dates=H","DateFormat=P","Fill=—","Direction=H","UseDPDF=Y")</f>
        <v>#NAME?</v>
      </c>
      <c r="AI271" s="2" t="e">
        <f ca="1">_xll.BDH($C$253,"TOTAL_EQUITY_1_YEAR_GROWTH","FQ3 2017","FQ3 2017","Currency=INR","Period=FQ","BEST_FPERIOD_OVERRIDE=FQ","FILING_STATUS=OR","EQY_CONSOLIDATED=Y","Sort=A","Dates=H","DateFormat=P","Fill=—","Direction=H","UseDPDF=Y")</f>
        <v>#NAME?</v>
      </c>
      <c r="AJ271" s="2" t="e">
        <f ca="1">_xll.BDH($C$253,"GROWTH_IN_CAP","FQ3 2017","FQ3 2017","Currency=INR","Period=FQ","BEST_FPERIOD_OVERRIDE=FQ","FILING_STATUS=OR","EQY_CONSOLIDATED=Y","Sort=A","Dates=H","DateFormat=P","Fill=—","Direction=H","UseDPDF=Y")</f>
        <v>#NAME?</v>
      </c>
      <c r="AK271" s="2" t="e">
        <f ca="1">_xll.BDH($C$253,"BVPS_GROWTH","FQ3 2017","FQ3 2017","Currency=INR","Period=FQ","BEST_FPERIOD_OVERRIDE=FQ","FILING_STATUS=OR","EQY_CONSOLIDATED=Y","Sort=A","Dates=H","DateFormat=P","Fill=—","Direction=H","UseDPDF=Y")</f>
        <v>#NAME?</v>
      </c>
      <c r="AL271" s="2" t="e">
        <f ca="1">_xll.BDH($C$253,"CASH_FLOW_GROWTH","FQ3 2017","FQ3 2017","Currency=INR","Period=FQ","BEST_FPERIOD_OVERRIDE=FQ","FILING_STATUS=OR","EQY_CONSOLIDATED=Y","Sort=A","Dates=H","DateFormat=P","Fill=—","Direction=H","UseDPDF=Y")</f>
        <v>#NAME?</v>
      </c>
      <c r="AM271" s="2" t="e">
        <f ca="1">_xll.BDH($C$253,"GEO_GROW_NET_SALES","FQ3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271" s="2" t="e">
        <f ca="1">_xll.BDH($C$253,"GEO_GROW_EBITDA","FQ3 2017","FQ3 2017","Currency=INR","Period=FQ","BEST_FPERIOD_OVERRIDE=FQ","FILING_STATUS=OR","EQY_CONSOLIDATED=Y","FA_ADJUSTED=GAAP","Sort=A","Dates=H","DateFormat=P","Fill=—","Direction=H","UseDPDF=Y")</f>
        <v>#NAME?</v>
      </c>
      <c r="AO271" s="2" t="e">
        <f ca="1">_xll.BDH($C$253,"GEO_GROW_OPER_INC","FQ3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271" s="2" t="e">
        <f ca="1">_xll.BDH($C$253,"NET_INCOME_TO_COMMON_5_YR_GROWTH","FQ3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271" s="2" t="e">
        <f ca="1">_xll.BDH($C$253,"5Y_GEO_GROWTH_DILUTED_EPS","FQ3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271" s="2" t="e">
        <f ca="1">_xll.BDH($C$253,"GEO_GROW_DVD_PER_SH","FQ3 2017","FQ3 2017","Currency=INR","Period=FQ","BEST_FPERIOD_OVERRIDE=FQ","FILING_STATUS=OR","EQY_CONSOLIDATED=Y","Sort=A","Dates=H","DateFormat=P","Fill=—","Direction=H","UseDPDF=Y")</f>
        <v>#NAME?</v>
      </c>
      <c r="AS271" s="2" t="e">
        <f ca="1">_xll.BDH($C$253,"ACCOUNTS_RECEIVABLE_5_YR_GROWTH","FQ3 2017","FQ3 2017","Currency=INR","Period=FQ","BEST_FPERIOD_OVERRIDE=FQ","FILING_STATUS=OR","EQY_CONSOLIDATED=Y","Sort=A","Dates=H","DateFormat=P","Fill=—","Direction=H","UseDPDF=Y")</f>
        <v>#NAME?</v>
      </c>
      <c r="AT271" s="2" t="e">
        <f ca="1">_xll.BDH($C$253,"INVENTORY_5_YEAR_GROWTH","FQ3 2017","FQ3 2017","Currency=INR","Period=FQ","BEST_FPERIOD_OVERRIDE=FQ","FILING_STATUS=OR","EQY_CONSOLIDATED=Y","Sort=A","Dates=H","DateFormat=P","Fill=—","Direction=H","UseDPDF=Y")</f>
        <v>#NAME?</v>
      </c>
      <c r="AU271" s="2" t="e">
        <f ca="1">_xll.BDH($C$253,"NET_FIXED_ASSETS_5_YEAR_GROWTH","FQ3 2017","FQ3 2017","Currency=INR","Period=FQ","BEST_FPERIOD_OVERRIDE=FQ","FILING_STATUS=OR","EQY_CONSOLIDATED=Y","Sort=A","Dates=H","DateFormat=P","Fill=—","Direction=H","UseDPDF=Y")</f>
        <v>#NAME?</v>
      </c>
      <c r="AV271" s="2" t="e">
        <f ca="1">_xll.BDH($C$253,"GEO_GROW_TOT_ASSET","FQ3 2017","FQ3 2017","Currency=INR","Period=FQ","BEST_FPERIOD_OVERRIDE=FQ","FILING_STATUS=OR","EQY_CONSOLIDATED=Y","Sort=A","Dates=H","DateFormat=P","Fill=—","Direction=H","UseDPDF=Y")</f>
        <v>#NAME?</v>
      </c>
      <c r="AW271" s="2" t="e">
        <f ca="1">_xll.BDH($C$253,"MODIFIED_WORKING_CPTL_5YR_GRWTH","FQ3 2017","FQ3 2017","Currency=INR","Period=FQ","BEST_FPERIOD_OVERRIDE=FQ","FILING_STATUS=OR","EQY_CONSOLIDATED=Y","Sort=A","Dates=H","DateFormat=P","Fill=—","Direction=H","UseDPDF=Y")</f>
        <v>#NAME?</v>
      </c>
      <c r="AX271" s="2" t="e">
        <f ca="1">_xll.BDH($C$253,"WORKING_CAPITAL_5_YEAR_GROWTH","FQ3 2017","FQ3 2017","Currency=INR","Period=FQ","BEST_FPERIOD_OVERRIDE=FQ","FILING_STATUS=OR","EQY_CONSOLIDATED=Y","Sort=A","Dates=H","DateFormat=P","Fill=—","Direction=H","UseDPDF=Y")</f>
        <v>#NAME?</v>
      </c>
      <c r="AY271" s="2" t="e">
        <f ca="1">_xll.BDH($C$253,"ACCOUNTS_PAYABLE_5_YEAR_GROWTH","FQ3 2017","FQ3 2017","Currency=INR","Period=FQ","BEST_FPERIOD_OVERRIDE=FQ","FILING_STATUS=OR","EQY_CONSOLIDATED=Y","Sort=A","Dates=H","DateFormat=P","Fill=—","Direction=H","UseDPDF=Y")</f>
        <v>#NAME?</v>
      </c>
      <c r="AZ271" s="2" t="e">
        <f ca="1">_xll.BDH($C$253,"SHORT_TERM_DEBT_5_YEAR_GROWTH","FQ3 2017","FQ3 2017","Currency=INR","Period=FQ","BEST_FPERIOD_OVERRIDE=FQ","FILING_STATUS=OR","EQY_CONSOLIDATED=Y","Sort=A","Dates=H","DateFormat=P","Fill=—","Direction=H","UseDPDF=Y")</f>
        <v>#NAME?</v>
      </c>
      <c r="BA271" s="2" t="e">
        <f ca="1">_xll.BDH($C$253,"TOTAL_DEBT_5_YEAR_GROWTH","FQ3 2017","FQ3 2017","Currency=INR","Period=FQ","BEST_FPERIOD_OVERRIDE=FQ","FILING_STATUS=OR","EQY_CONSOLIDATED=Y","Sort=A","Dates=H","DateFormat=P","Fill=—","Direction=H","UseDPDF=Y")</f>
        <v>#NAME?</v>
      </c>
      <c r="BB271" s="2" t="e">
        <f ca="1">_xll.BDH($C$253,"GEO_GROW_TOT_SHRHLDR_EQY","FQ3 2017","FQ3 2017","Currency=INR","Period=FQ","BEST_FPERIOD_OVERRIDE=FQ","FILING_STATUS=OR","EQY_CONSOLIDATED=Y","Sort=A","Dates=H","DateFormat=P","Fill=—","Direction=H","UseDPDF=Y")</f>
        <v>#NAME?</v>
      </c>
      <c r="BC271" s="2" t="e">
        <f ca="1">_xll.BDH($C$253,"TOTAL_CAPITAL_5_YEAR_GROWTH","FQ3 2017","FQ3 2017","Currency=INR","Period=FQ","BEST_FPERIOD_OVERRIDE=FQ","FILING_STATUS=OR","EQY_CONSOLIDATED=Y","Sort=A","Dates=H","DateFormat=P","Fill=—","Direction=H","UseDPDF=Y")</f>
        <v>#NAME?</v>
      </c>
      <c r="BD271" s="2" t="e">
        <f ca="1">_xll.BDH($C$253,"GEO_GROW_BOOK_VAL","FQ3 2017","FQ3 2017","Currency=INR","Period=FQ","BEST_FPERIOD_OVERRIDE=FQ","FILING_STATUS=OR","EQY_CONSOLIDATED=Y","Sort=A","Dates=H","DateFormat=P","Fill=—","Direction=H","UseDPDF=Y")</f>
        <v>#NAME?</v>
      </c>
      <c r="BE271" s="2" t="e">
        <f ca="1">_xll.BDH($C$253,"GEO_GROW_CASH_OPER_ACT","FQ3 2017","FQ3 2017","Currency=INR","Period=FQ","BEST_FPERIOD_OVERRIDE=FQ","FILING_STATUS=OR","EQY_CONSOLIDATED=Y","Sort=A","Dates=H","DateFormat=P","Fill=—","Direction=H","UseDPDF=Y")</f>
        <v>#NAME?</v>
      </c>
      <c r="BF271" s="2" t="e">
        <f ca="1">_xll.BDH($C$253,"REVENUE_SEQUENTIAL_GROWTH","FQ3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271" s="2" t="e">
        <f ca="1">_xll.BDH($C$253,"EBITDA_SEQUENTIAL_GROWTH","FQ3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271" s="2" t="e">
        <f ca="1">_xll.BDH($C$253,"OPERATING_INCOME_SEQ_GROWTH","FQ3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271" s="2" t="e">
        <f ca="1">_xll.BDH($C$253,"NET_INCOME_TO_COMMON_SEQ_GROWTH","FQ3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271" s="2" t="e">
        <f ca="1">_xll.BDH($C$253,"EPS_DILUTED_SEQUENTIAL_GROWTH","FQ3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271" s="2" t="e">
        <f ca="1">_xll.BDH($C$253,"DPS_SEQUENTIAL_GROWTH","FQ3 2017","FQ3 2017","Currency=INR","Period=FQ","BEST_FPERIOD_OVERRIDE=FQ","FILING_STATUS=OR","EQY_CONSOLIDATED=Y","Sort=A","Dates=H","DateFormat=P","Fill=—","Direction=H","UseDPDF=Y")</f>
        <v>#NAME?</v>
      </c>
      <c r="BL271" s="2" t="e">
        <f ca="1">_xll.BDH($C$253,"ACCOUNTS_RECEIVABLE_SEQ_GROWTH","FQ3 2017","FQ3 2017","Currency=INR","Period=FQ","BEST_FPERIOD_OVERRIDE=FQ","FILING_STATUS=OR","EQY_CONSOLIDATED=Y","Sort=A","Dates=H","DateFormat=P","Fill=—","Direction=H","UseDPDF=Y")</f>
        <v>#NAME?</v>
      </c>
      <c r="BM271" s="2" t="e">
        <f ca="1">_xll.BDH($C$253,"INVENTORY_SEQUENTIAL_GROWTH","FQ3 2017","FQ3 2017","Currency=INR","Period=FQ","BEST_FPERIOD_OVERRIDE=FQ","FILING_STATUS=OR","EQY_CONSOLIDATED=Y","Sort=A","Dates=H","DateFormat=P","Fill=—","Direction=H","UseDPDF=Y")</f>
        <v>#NAME?</v>
      </c>
      <c r="BN271" s="2" t="e">
        <f ca="1">_xll.BDH($C$253,"FIXED_ASSETS_SEQUENTIAL_GROWTH","FQ3 2017","FQ3 2017","Currency=INR","Period=FQ","BEST_FPERIOD_OVERRIDE=FQ","FILING_STATUS=OR","EQY_CONSOLIDATED=Y","Sort=A","Dates=H","DateFormat=P","Fill=—","Direction=H","UseDPDF=Y")</f>
        <v>#NAME?</v>
      </c>
      <c r="BO271" s="2" t="e">
        <f ca="1">_xll.BDH($C$253,"TOTAL_ASSETS_SEQUENTIAL_GROWTH","FQ3 2017","FQ3 2017","Currency=INR","Period=FQ","BEST_FPERIOD_OVERRIDE=FQ","FILING_STATUS=OR","EQY_CONSOLIDATED=Y","Sort=A","Dates=H","DateFormat=P","Fill=—","Direction=H","UseDPDF=Y")</f>
        <v>#NAME?</v>
      </c>
      <c r="BP271" s="2" t="e">
        <f ca="1">_xll.BDH($C$253,"MODIFIED_WORKING_CPTL_SEQ_GRWTH","FQ3 2017","FQ3 2017","Currency=INR","Period=FQ","BEST_FPERIOD_OVERRIDE=FQ","FILING_STATUS=OR","EQY_CONSOLIDATED=Y","Sort=A","Dates=H","DateFormat=P","Fill=—","Direction=H","UseDPDF=Y")</f>
        <v>#NAME?</v>
      </c>
      <c r="BQ271" s="2" t="e">
        <f ca="1">_xll.BDH($C$253,"WORKING_CAPITAL_SEQ_GROWTH","FQ3 2017","FQ3 2017","Currency=INR","Period=FQ","BEST_FPERIOD_OVERRIDE=FQ","FILING_STATUS=OR","EQY_CONSOLIDATED=Y","Sort=A","Dates=H","DateFormat=P","Fill=—","Direction=H","UseDPDF=Y")</f>
        <v>#NAME?</v>
      </c>
      <c r="BR271" s="2" t="e">
        <f ca="1">_xll.BDH($C$253,"ACCOUNTS_PAYABLE_SEQ_GROWTH","FQ3 2017","FQ3 2017","Currency=INR","Period=FQ","BEST_FPERIOD_OVERRIDE=FQ","FILING_STATUS=OR","EQY_CONSOLIDATED=Y","Sort=A","Dates=H","DateFormat=P","Fill=—","Direction=H","UseDPDF=Y")</f>
        <v>#NAME?</v>
      </c>
      <c r="BS271" s="2" t="e">
        <f ca="1">_xll.BDH($C$253,"ST_DEBT_SEQUENTIAL_GROWTH","FQ3 2017","FQ3 2017","Currency=INR","Period=FQ","BEST_FPERIOD_OVERRIDE=FQ","FILING_STATUS=OR","EQY_CONSOLIDATED=Y","Sort=A","Dates=H","DateFormat=P","Fill=—","Direction=H","UseDPDF=Y")</f>
        <v>#NAME?</v>
      </c>
      <c r="BT271" s="2" t="e">
        <f ca="1">_xll.BDH($C$253,"TOTAL_DEBT_SEQUENTIAL_GROWTH","FQ3 2017","FQ3 2017","Currency=INR","Period=FQ","BEST_FPERIOD_OVERRIDE=FQ","FILING_STATUS=OR","EQY_CONSOLIDATED=Y","Sort=A","Dates=H","DateFormat=P","Fill=—","Direction=H","UseDPDF=Y")</f>
        <v>#NAME?</v>
      </c>
      <c r="BU271" s="2" t="e">
        <f ca="1">_xll.BDH($C$253,"TOTAL_EQUITY_SEQUENTIAL_GROWTH","FQ3 2017","FQ3 2017","Currency=INR","Period=FQ","BEST_FPERIOD_OVERRIDE=FQ","FILING_STATUS=OR","EQY_CONSOLIDATED=Y","Sort=A","Dates=H","DateFormat=P","Fill=—","Direction=H","UseDPDF=Y")</f>
        <v>#NAME?</v>
      </c>
      <c r="BV271" s="2" t="e">
        <f ca="1">_xll.BDH($C$253,"TOTAL_CAPITAL_SEQUENTIAL_GROWTH","FQ3 2017","FQ3 2017","Currency=INR","Period=FQ","BEST_FPERIOD_OVERRIDE=FQ","FILING_STATUS=OR","EQY_CONSOLIDATED=Y","Sort=A","Dates=H","DateFormat=P","Fill=—","Direction=H","UseDPDF=Y")</f>
        <v>#NAME?</v>
      </c>
      <c r="BW271" s="2" t="e">
        <f ca="1">_xll.BDH($C$253,"BPS_SEQUENTIAL_GROWTH","FQ3 2017","FQ3 2017","Currency=INR","Period=FQ","BEST_FPERIOD_OVERRIDE=FQ","FILING_STATUS=OR","EQY_CONSOLIDATED=Y","Sort=A","Dates=H","DateFormat=P","Fill=—","Direction=H","UseDPDF=Y")</f>
        <v>#NAME?</v>
      </c>
      <c r="BX271" s="2" t="e">
        <f ca="1">_xll.BDH($C$253,"CFO_SEQUENTIAL_GROWTH","FQ3 2017","FQ3 2017","Currency=INR","Period=FQ","BEST_FPERIOD_OVERRIDE=FQ","FILING_STATUS=OR","EQY_CONSOLIDATED=Y","Sort=A","Dates=H","DateFormat=P","Fill=—","Direction=H","UseDPDF=Y")</f>
        <v>#NAME?</v>
      </c>
      <c r="BY271" s="3" t="e">
        <f ca="1">_xll.BDH($C$253,"SHORT_AND_LONG_TERM_DEBT","FQ3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271" s="3" t="e">
        <f ca="1">_xll.BDH($C$253,"BS_ST_BORROW","FQ3 2017","FQ3 2017","Currency=INR","Period=FQ","BEST_FPERIOD_OVERRIDE=FQ","FILING_STATUS=OR","EQY_CONSOLIDATED=Y","SCALING_FORMAT=MLN","Sort=A","Dates=H","DateFormat=P","Fill=—","Direction=H","UseDPDF=Y")</f>
        <v>#NAME?</v>
      </c>
      <c r="CA271" s="3" t="e">
        <f ca="1">_xll.BDH($C$253,"BS_LT_BORROW","FQ3 2017","FQ3 2017","Currency=INR","Period=FQ","BEST_FPERIOD_OVERRIDE=FQ","FILING_STATUS=OR","EQY_CONSOLIDATED=Y","SCALING_FORMAT=MLN","Sort=A","Dates=H","DateFormat=P","Fill=—","Direction=H","UseDPDF=Y")</f>
        <v>#NAME?</v>
      </c>
      <c r="CB271" s="2" t="e">
        <f ca="1">_xll.BDH($C$253,"TOT_DEBT_TO_EBITDA","FQ3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271" s="2" t="e">
        <f ca="1">_xll.BDH($C$253,"NET_DEBT_TO_EBITDA","FQ3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271" s="2" t="e">
        <f ca="1">_xll.BDH($C$253,"TOTAL_DEBT_TO_EBIT","FQ3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271" s="2" t="e">
        <f ca="1">_xll.BDH($C$253,"NET_DEBT_TO_EBIT","FQ3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271" s="2" t="e">
        <f ca="1">_xll.BDH($C$253,"EBITDA_TO_INTEREST_EXPN","FQ3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271" s="2" t="e">
        <f ca="1">_xll.BDH($C$253,"COM_EQY_TO_TOT_ASSET","FQ3 2017","FQ3 2017","Currency=INR","Period=FQ","BEST_FPERIOD_OVERRIDE=FQ","FILING_STATUS=OR","EQY_CONSOLIDATED=Y","Sort=A","Dates=H","DateFormat=P","Fill=—","Direction=H","UseDPDF=Y")</f>
        <v>#NAME?</v>
      </c>
      <c r="CH271" s="2" t="e">
        <f ca="1">_xll.BDH($C$253,"LT_DEBT_TO_TOT_EQY","FQ3 2017","FQ3 2017","Currency=INR","Period=FQ","BEST_FPERIOD_OVERRIDE=FQ","FILING_STATUS=OR","EQY_CONSOLIDATED=Y","Sort=A","Dates=H","DateFormat=P","Fill=—","Direction=H","UseDPDF=Y")</f>
        <v>#NAME?</v>
      </c>
      <c r="CI271" s="2" t="e">
        <f ca="1">_xll.BDH($C$253,"LT_DEBT_TO_TOT_CAP","FQ3 2017","FQ3 2017","Currency=INR","Period=FQ","BEST_FPERIOD_OVERRIDE=FQ","FILING_STATUS=OR","EQY_CONSOLIDATED=Y","Sort=A","Dates=H","DateFormat=P","Fill=—","Direction=H","UseDPDF=Y")</f>
        <v>#NAME?</v>
      </c>
      <c r="CJ271" s="2" t="e">
        <f ca="1">_xll.BDH($C$253,"LT_DEBT_TO_TOT_ASSET","FQ3 2017","FQ3 2017","Currency=INR","Period=FQ","BEST_FPERIOD_OVERRIDE=FQ","FILING_STATUS=OR","EQY_CONSOLIDATED=Y","Sort=A","Dates=H","DateFormat=P","Fill=—","Direction=H","UseDPDF=Y")</f>
        <v>#NAME?</v>
      </c>
      <c r="CK271" s="2" t="e">
        <f ca="1">_xll.BDH($C$253,"TOT_DEBT_TO_TOT_EQY","FQ3 2017","FQ3 2017","Currency=INR","Period=FQ","BEST_FPERIOD_OVERRIDE=FQ","FILING_STATUS=OR","EQY_CONSOLIDATED=Y","Sort=A","Dates=H","DateFormat=P","Fill=—","Direction=H","UseDPDF=Y")</f>
        <v>#NAME?</v>
      </c>
      <c r="CL271" s="2" t="e">
        <f ca="1">_xll.BDH($C$253,"TOT_DEBT_TO_TOT_CAP","FQ3 2017","FQ3 2017","Currency=INR","Period=FQ","BEST_FPERIOD_OVERRIDE=FQ","FILING_STATUS=OR","EQY_CONSOLIDATED=Y","Sort=A","Dates=H","DateFormat=P","Fill=—","Direction=H","UseDPDF=Y")</f>
        <v>#NAME?</v>
      </c>
      <c r="CM271" s="2" t="e">
        <f ca="1">_xll.BDH($C$253,"TOT_DEBT_TO_TOT_ASSET","FQ3 2017","FQ3 2017","Currency=INR","Period=FQ","BEST_FPERIOD_OVERRIDE=FQ","FILING_STATUS=OR","EQY_CONSOLIDATED=Y","Sort=A","Dates=H","DateFormat=P","Fill=—","Direction=H","UseDPDF=Y")</f>
        <v>#NAME?</v>
      </c>
      <c r="CN271" s="2" t="e">
        <f ca="1">_xll.BDH($C$253,"NET_DEBT_TO_SHRHLDR_EQTY","FQ3 2017","FQ3 2017","Currency=INR","Period=FQ","BEST_FPERIOD_OVERRIDE=FQ","FILING_STATUS=OR","EQY_CONSOLIDATED=Y","Sort=A","Dates=H","DateFormat=P","Fill=—","Direction=H","UseDPDF=Y")</f>
        <v>#NAME?</v>
      </c>
      <c r="CO271" s="2" t="e">
        <f ca="1">_xll.BDH($C$253,"NET_DEBT_%_CAPITAL","FQ3 2017","FQ3 2017","Currency=INR","Period=FQ","BEST_FPERIOD_OVERRIDE=FQ","FILING_STATUS=OR","EQY_CONSOLIDATED=Y","Sort=A","Dates=H","DateFormat=P","Fill=—","Direction=H","UseDPDF=Y")</f>
        <v>#NAME?</v>
      </c>
      <c r="CP271" s="3" t="e">
        <f ca="1">_xll.BDH($C$253,"EBITDA","FQ3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271" s="3" t="e">
        <f ca="1">_xll.BDH($C$253,"EBITDA_AFTER_CAPEX","FQ3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271" s="3" t="e">
        <f ca="1">_xll.BDH($C$253,"IS_OPER_INC","FQ3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271" s="2" t="e">
        <f ca="1">_xll.BDH($C$253,"CASH_RATIO","FQ3 2017","FQ3 2017","Currency=INR","Period=FQ","BEST_FPERIOD_OVERRIDE=FQ","FILING_STATUS=OR","EQY_CONSOLIDATED=Y","Sort=A","Dates=H","DateFormat=P","Fill=—","Direction=H","UseDPDF=Y")</f>
        <v>#NAME?</v>
      </c>
      <c r="CT271" s="2" t="e">
        <f ca="1">_xll.BDH($C$253,"CUR_RATIO","FQ3 2017","FQ3 2017","Currency=INR","Period=FQ","BEST_FPERIOD_OVERRIDE=FQ","FILING_STATUS=OR","EQY_CONSOLIDATED=Y","Sort=A","Dates=H","DateFormat=P","Fill=—","Direction=H","UseDPDF=Y")</f>
        <v>#NAME?</v>
      </c>
      <c r="CU271" s="2" t="e">
        <f ca="1">_xll.BDH($C$253,"QUICK_RATIO","FQ3 2017","FQ3 2017","Currency=INR","Period=FQ","BEST_FPERIOD_OVERRIDE=FQ","FILING_STATUS=OR","EQY_CONSOLIDATED=Y","Sort=A","Dates=H","DateFormat=P","Fill=—","Direction=H","UseDPDF=Y")</f>
        <v>#NAME?</v>
      </c>
      <c r="CV271" s="2" t="e">
        <f ca="1">_xll.BDH($C$253,"ALTMAN_Z_SCORE","FQ3 2017","FQ3 2017","Currency=INR","Period=FQ","BEST_FPERIOD_OVERRIDE=FQ","FILING_STATUS=OR","EQY_CONSOLIDATED=Y","Sort=A","Dates=H","DateFormat=P","Fill=—","Direction=H","UseDPDF=Y")</f>
        <v>#NAME?</v>
      </c>
      <c r="CW271" s="4" t="e">
        <f ca="1">_xll.BDH($C$253,"ACCT_RCV_TURN","FQ3 2017","FQ3 2017","Currency=INR","Period=FQ","BEST_FPERIOD_OVERRIDE=FQ","FILING_STATUS=OR","EQY_CONSOLIDATED=Y","FA_ADJUSTED=GAAP","Sort=A","Dates=H","DateFormat=P","Fill=—","Direction=H","UseDPDF=Y")</f>
        <v>#NAME?</v>
      </c>
      <c r="CX271" s="2" t="e">
        <f ca="1">_xll.BDH($C$253,"ACCT_RCV_DAYS","FQ3 2017","FQ3 2017","Currency=INR","Period=FQ","BEST_FPERIOD_OVERRIDE=FQ","FILING_STATUS=OR","EQY_CONSOLIDATED=Y","FA_ADJUSTED=GAAP","Sort=A","Dates=H","DateFormat=P","Fill=—","Direction=H","UseDPDF=Y")</f>
        <v>#NAME?</v>
      </c>
      <c r="CY271" s="4" t="e">
        <f ca="1">_xll.BDH($C$253,"INVENT_TURN","FQ3 2017","FQ3 2017","Currency=INR","Period=FQ","BEST_FPERIOD_OVERRIDE=FQ","FILING_STATUS=OR","EQY_CONSOLIDATED=Y","FA_ADJUSTED=GAAP","Sort=A","Dates=H","DateFormat=P","Fill=—","Direction=H","UseDPDF=Y")</f>
        <v>#NAME?</v>
      </c>
      <c r="CZ271" s="2" t="e">
        <f ca="1">_xll.BDH($C$253,"INVENT_DAYS","FQ3 2017","FQ3 2017","Currency=INR","Period=FQ","BEST_FPERIOD_OVERRIDE=FQ","FILING_STATUS=OR","EQY_CONSOLIDATED=Y","FA_ADJUSTED=GAAP","Sort=A","Dates=H","DateFormat=P","Fill=—","Direction=H","UseDPDF=Y")</f>
        <v>#NAME?</v>
      </c>
      <c r="DA271" s="4" t="e">
        <f ca="1">_xll.BDH($C$253,"ACCOUNTS_PAYABLE_TURNOVER","FQ3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271" s="2" t="e">
        <f ca="1">_xll.BDH($C$253,"ACCOUNTS_PAYABLE_TURNOVER_DAYS","FQ3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271" s="4" t="e">
        <f ca="1">_xll.BDH($C$253,"CASH_CONVERSION_CYCLE","FQ3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271" s="4" t="e">
        <f ca="1">_xll.BDH($C$253,"INV_TO_CASH_DAYS","FQ3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271" s="5" t="e">
        <f ca="1">_xll.BDH($C$253,"BS_INVENTORIES","FQ3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271" s="3" t="e">
        <f ca="1">_xll.BDH($C$253,"INVTRY_RAW_MATERIALS","FQ3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271" s="3" t="e">
        <f ca="1">_xll.BDH($C$253,"INVTRY_IN_PROGRESS","FQ3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271" s="3" t="e">
        <f ca="1">_xll.BDH($C$253,"INVTRY_FINISHED_GOODS","FQ3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271" s="3" t="e">
        <f ca="1">_xll.BDH($C$253,"BS_OTHER_INV","FQ3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272" spans="1:113" x14ac:dyDescent="0.3">
      <c r="A272" s="6"/>
      <c r="B272" s="6"/>
      <c r="C272" s="6"/>
      <c r="D272" s="6"/>
      <c r="E272" t="s">
        <v>81</v>
      </c>
      <c r="F272" t="e">
        <f ca="1">_xll.BDH($C$253,"RETURN_COM_EQY","FQ4 2017","FQ4 2017","Currency=INR","Period=FQ","BEST_FPERIOD_OVERRIDE=FQ","FILING_STATUS=OR","EQY_CONSOLIDATED=Y","FA_ADJUSTED=GAAP","Sort=A","Dates=H","DateFormat=P","Fill=—","Direction=H","UseDPDF=Y")</f>
        <v>#NAME?</v>
      </c>
      <c r="G272" t="e">
        <f ca="1">_xll.BDH($C$253,"RETURN_ON_ASSET","FQ4 2017","FQ4 2017","Currency=INR","Period=FQ","BEST_FPERIOD_OVERRIDE=FQ","FILING_STATUS=OR","EQY_CONSOLIDATED=Y","FA_ADJUSTED=GAAP","Sort=A","Dates=H","DateFormat=P","Fill=—","Direction=H","UseDPDF=Y")</f>
        <v>#NAME?</v>
      </c>
      <c r="H272" t="e">
        <f ca="1">_xll.BDH($C$253,"RETURN_ON_CAP","FQ4 2017","FQ4 2017","Currency=INR","Period=FQ","BEST_FPERIOD_OVERRIDE=FQ","FILING_STATUS=OR","EQY_CONSOLIDATED=Y","FA_ADJUSTED=GAAP","Sort=A","Dates=H","DateFormat=P","Fill=—","Direction=H","UseDPDF=Y")</f>
        <v>#NAME?</v>
      </c>
      <c r="I272" t="e">
        <f ca="1">_xll.BDH($C$253,"RETURN_ON_INV_CAPITAL","FQ4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272" t="e">
        <f ca="1">_xll.BDH($C$253,"EBITDA_TO_REVENUE","FQ4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272" t="e">
        <f ca="1">_xll.BDH($C$253,"OPER_MARGIN","FQ4 2017","FQ4 2017","Currency=INR","Period=FQ","BEST_FPERIOD_OVERRIDE=FQ","FILING_STATUS=OR","EQY_CONSOLIDATED=Y","FA_ADJUSTED=GAAP","Sort=A","Dates=H","DateFormat=P","Fill=—","Direction=H","UseDPDF=Y")</f>
        <v>#NAME?</v>
      </c>
      <c r="L272" t="e">
        <f ca="1">_xll.BDH($C$253,"INCREMENTAL_OPERATING_MARGIN","FQ4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272" t="e">
        <f ca="1">_xll.BDH($C$253,"PRETAX_INC_TO_NET_SALES","FQ4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272" t="e">
        <f ca="1">_xll.BDH($C$253,"INC_BEF_XO_ITEMS_TO_NET_SALES","FQ4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272" t="e">
        <f ca="1">_xll.BDH($C$253,"PROF_MARGIN","FQ4 2017","FQ4 2017","Currency=INR","Period=FQ","BEST_FPERIOD_OVERRIDE=FQ","FILING_STATUS=OR","EQY_CONSOLIDATED=Y","FA_ADJUSTED=GAAP","Sort=A","Dates=H","DateFormat=P","Fill=—","Direction=H","UseDPDF=Y")</f>
        <v>#NAME?</v>
      </c>
      <c r="P272" t="e">
        <f ca="1">_xll.BDH($C$253,"NET_INCOME_TO_COMMON_MARGIN","FQ4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272" t="e">
        <f ca="1">_xll.BDH($C$253,"EFF_TAX_RATE","FQ4 2017","FQ4 2017","Currency=INR","Period=FQ","BEST_FPERIOD_OVERRIDE=FQ","FILING_STATUS=OR","EQY_CONSOLIDATED=Y","FA_ADJUSTED=GAAP","Sort=A","Dates=H","DateFormat=P","Fill=—","Direction=H","UseDPDF=Y")</f>
        <v>#NAME?</v>
      </c>
      <c r="R272" t="e">
        <f ca="1">_xll.BDH($C$253,"DVD_PAYOUT_RATIO","FQ4 2017","FQ4 2017","Currency=INR","Period=FQ","BEST_FPERIOD_OVERRIDE=FQ","FILING_STATUS=OR","EQY_CONSOLIDATED=Y","FA_ADJUSTED=GAAP","Sort=A","Dates=H","DateFormat=P","Fill=—","Direction=H","UseDPDF=Y")</f>
        <v>#NAME?</v>
      </c>
      <c r="S272" t="e">
        <f ca="1">_xll.BDH($C$253,"SUSTAIN_GROWTH_RT","FQ4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272" s="2" t="e">
        <f ca="1">_xll.BDH($C$253,"SALES_GROWTH","FQ4 2017","FQ4 2017","Currency=INR","Period=FQ","BEST_FPERIOD_OVERRIDE=FQ","FILING_STATUS=OR","EQY_CONSOLIDATED=Y","FA_ADJUSTED=GAAP","Sort=A","Dates=H","DateFormat=P","Fill=—","Direction=H","UseDPDF=Y")</f>
        <v>#NAME?</v>
      </c>
      <c r="U272" s="2" t="e">
        <f ca="1">_xll.BDH($C$253,"EBITDA_GROWTH","FQ4 2017","FQ4 2017","Currency=INR","Period=FQ","BEST_FPERIOD_OVERRIDE=FQ","FILING_STATUS=OR","EQY_CONSOLIDATED=Y","FA_ADJUSTED=GAAP","Sort=A","Dates=H","DateFormat=P","Fill=—","Direction=H","UseDPDF=Y")</f>
        <v>#NAME?</v>
      </c>
      <c r="V272" s="2" t="e">
        <f ca="1">_xll.BDH($C$253,"OPER_INC_GROWTH","FQ4 2017","FQ4 2017","Currency=INR","Period=FQ","BEST_FPERIOD_OVERRIDE=FQ","FILING_STATUS=OR","EQY_CONSOLIDATED=Y","FA_ADJUSTED=GAAP","Sort=A","Dates=H","DateFormat=P","Fill=—","Direction=H","UseDPDF=Y")</f>
        <v>#NAME?</v>
      </c>
      <c r="W272" s="2" t="e">
        <f ca="1">_xll.BDH($C$253,"EARN_FOR_COM_GROWTH","FQ4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272" s="2" t="e">
        <f ca="1">_xll.BDH($C$253,"DILUTED_EPS_AFT_XO_ITEMS_GROWTH","FQ4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272" s="2" t="e">
        <f ca="1">_xll.BDH($C$253,"DIVIDEND_PER_SHARE_1_YEAR_GROWTH","FQ4 2017","FQ4 2017","Currency=INR","Period=FQ","BEST_FPERIOD_OVERRIDE=FQ","FILING_STATUS=OR","EQY_CONSOLIDATED=Y","Sort=A","Dates=H","DateFormat=P","Fill=—","Direction=H","UseDPDF=Y")</f>
        <v>#NAME?</v>
      </c>
      <c r="Z272" s="2" t="e">
        <f ca="1">_xll.BDH($C$253,"ACCOUNTS_RECEIVABLE_GROWTH","FQ4 2017","FQ4 2017","Currency=INR","Period=FQ","BEST_FPERIOD_OVERRIDE=FQ","FILING_STATUS=OR","EQY_CONSOLIDATED=Y","Sort=A","Dates=H","DateFormat=P","Fill=—","Direction=H","UseDPDF=Y")</f>
        <v>#NAME?</v>
      </c>
      <c r="AA272" s="2" t="e">
        <f ca="1">_xll.BDH($C$253,"INVENTORY_GROWTH","FQ4 2017","FQ4 2017","Currency=INR","Period=FQ","BEST_FPERIOD_OVERRIDE=FQ","FILING_STATUS=OR","EQY_CONSOLIDATED=Y","Sort=A","Dates=H","DateFormat=P","Fill=—","Direction=H","UseDPDF=Y")</f>
        <v>#NAME?</v>
      </c>
      <c r="AB272" s="2" t="e">
        <f ca="1">_xll.BDH($C$253,"NET_FIXED_ASSETS_1_YEAR_GROWTH","FQ4 2017","FQ4 2017","Currency=INR","Period=FQ","BEST_FPERIOD_OVERRIDE=FQ","FILING_STATUS=OR","EQY_CONSOLIDATED=Y","Sort=A","Dates=H","DateFormat=P","Fill=—","Direction=H","UseDPDF=Y")</f>
        <v>#NAME?</v>
      </c>
      <c r="AC272" s="2" t="e">
        <f ca="1">_xll.BDH($C$253,"ASSET_GROWTH","FQ4 2017","FQ4 2017","Currency=INR","Period=FQ","BEST_FPERIOD_OVERRIDE=FQ","FILING_STATUS=OR","EQY_CONSOLIDATED=Y","Sort=A","Dates=H","DateFormat=P","Fill=—","Direction=H","UseDPDF=Y")</f>
        <v>#NAME?</v>
      </c>
      <c r="AD272" s="2" t="e">
        <f ca="1">_xll.BDH($C$253,"MODIFIED_WORK_CAP_GROWTH","FQ4 2017","FQ4 2017","Currency=INR","Period=FQ","BEST_FPERIOD_OVERRIDE=FQ","FILING_STATUS=OR","EQY_CONSOLIDATED=Y","Sort=A","Dates=H","DateFormat=P","Fill=—","Direction=H","UseDPDF=Y")</f>
        <v>#NAME?</v>
      </c>
      <c r="AE272" s="2" t="e">
        <f ca="1">_xll.BDH($C$253,"WORK_CAP_GROWTH","FQ4 2017","FQ4 2017","Currency=INR","Period=FQ","BEST_FPERIOD_OVERRIDE=FQ","FILING_STATUS=OR","EQY_CONSOLIDATED=Y","Sort=A","Dates=H","DateFormat=P","Fill=—","Direction=H","UseDPDF=Y")</f>
        <v>#NAME?</v>
      </c>
      <c r="AF272" s="2" t="e">
        <f ca="1">_xll.BDH($C$253,"ACCOUNTS_PAYABLE_GROWTH_1YR","FQ4 2017","FQ4 2017","Currency=INR","Period=FQ","BEST_FPERIOD_OVERRIDE=FQ","FILING_STATUS=OR","EQY_CONSOLIDATED=Y","Sort=A","Dates=H","DateFormat=P","Fill=—","Direction=H","UseDPDF=Y")</f>
        <v>#NAME?</v>
      </c>
      <c r="AG272" s="2" t="e">
        <f ca="1">_xll.BDH($C$253,"SHORT_TERM_DEBT_1_YEAR_GROWTH","FQ4 2017","FQ4 2017","Currency=INR","Period=FQ","BEST_FPERIOD_OVERRIDE=FQ","FILING_STATUS=OR","EQY_CONSOLIDATED=Y","Sort=A","Dates=H","DateFormat=P","Fill=—","Direction=H","UseDPDF=Y")</f>
        <v>#NAME?</v>
      </c>
      <c r="AH272" s="2" t="e">
        <f ca="1">_xll.BDH($C$253,"TOTAL_DEBT_1_YEAR_GROWTH","FQ4 2017","FQ4 2017","Currency=INR","Period=FQ","BEST_FPERIOD_OVERRIDE=FQ","FILING_STATUS=OR","EQY_CONSOLIDATED=Y","Sort=A","Dates=H","DateFormat=P","Fill=—","Direction=H","UseDPDF=Y")</f>
        <v>#NAME?</v>
      </c>
      <c r="AI272" s="2" t="e">
        <f ca="1">_xll.BDH($C$253,"TOTAL_EQUITY_1_YEAR_GROWTH","FQ4 2017","FQ4 2017","Currency=INR","Period=FQ","BEST_FPERIOD_OVERRIDE=FQ","FILING_STATUS=OR","EQY_CONSOLIDATED=Y","Sort=A","Dates=H","DateFormat=P","Fill=—","Direction=H","UseDPDF=Y")</f>
        <v>#NAME?</v>
      </c>
      <c r="AJ272" s="2" t="e">
        <f ca="1">_xll.BDH($C$253,"GROWTH_IN_CAP","FQ4 2017","FQ4 2017","Currency=INR","Period=FQ","BEST_FPERIOD_OVERRIDE=FQ","FILING_STATUS=OR","EQY_CONSOLIDATED=Y","Sort=A","Dates=H","DateFormat=P","Fill=—","Direction=H","UseDPDF=Y")</f>
        <v>#NAME?</v>
      </c>
      <c r="AK272" s="2" t="e">
        <f ca="1">_xll.BDH($C$253,"BVPS_GROWTH","FQ4 2017","FQ4 2017","Currency=INR","Period=FQ","BEST_FPERIOD_OVERRIDE=FQ","FILING_STATUS=OR","EQY_CONSOLIDATED=Y","Sort=A","Dates=H","DateFormat=P","Fill=—","Direction=H","UseDPDF=Y")</f>
        <v>#NAME?</v>
      </c>
      <c r="AL272" s="2" t="e">
        <f ca="1">_xll.BDH($C$253,"CASH_FLOW_GROWTH","FQ4 2017","FQ4 2017","Currency=INR","Period=FQ","BEST_FPERIOD_OVERRIDE=FQ","FILING_STATUS=OR","EQY_CONSOLIDATED=Y","Sort=A","Dates=H","DateFormat=P","Fill=—","Direction=H","UseDPDF=Y")</f>
        <v>#NAME?</v>
      </c>
      <c r="AM272" s="2" t="e">
        <f ca="1">_xll.BDH($C$253,"GEO_GROW_NET_SALES","FQ4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272" s="2" t="e">
        <f ca="1">_xll.BDH($C$253,"GEO_GROW_EBITDA","FQ4 2017","FQ4 2017","Currency=INR","Period=FQ","BEST_FPERIOD_OVERRIDE=FQ","FILING_STATUS=OR","EQY_CONSOLIDATED=Y","FA_ADJUSTED=GAAP","Sort=A","Dates=H","DateFormat=P","Fill=—","Direction=H","UseDPDF=Y")</f>
        <v>#NAME?</v>
      </c>
      <c r="AO272" s="2" t="e">
        <f ca="1">_xll.BDH($C$253,"GEO_GROW_OPER_INC","FQ4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272" s="2" t="e">
        <f ca="1">_xll.BDH($C$253,"NET_INCOME_TO_COMMON_5_YR_GROWTH","FQ4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272" s="2" t="e">
        <f ca="1">_xll.BDH($C$253,"5Y_GEO_GROWTH_DILUTED_EPS","FQ4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272" s="2" t="e">
        <f ca="1">_xll.BDH($C$253,"GEO_GROW_DVD_PER_SH","FQ4 2017","FQ4 2017","Currency=INR","Period=FQ","BEST_FPERIOD_OVERRIDE=FQ","FILING_STATUS=OR","EQY_CONSOLIDATED=Y","Sort=A","Dates=H","DateFormat=P","Fill=—","Direction=H","UseDPDF=Y")</f>
        <v>#NAME?</v>
      </c>
      <c r="AS272" s="2" t="e">
        <f ca="1">_xll.BDH($C$253,"ACCOUNTS_RECEIVABLE_5_YR_GROWTH","FQ4 2017","FQ4 2017","Currency=INR","Period=FQ","BEST_FPERIOD_OVERRIDE=FQ","FILING_STATUS=OR","EQY_CONSOLIDATED=Y","Sort=A","Dates=H","DateFormat=P","Fill=—","Direction=H","UseDPDF=Y")</f>
        <v>#NAME?</v>
      </c>
      <c r="AT272" s="2" t="e">
        <f ca="1">_xll.BDH($C$253,"INVENTORY_5_YEAR_GROWTH","FQ4 2017","FQ4 2017","Currency=INR","Period=FQ","BEST_FPERIOD_OVERRIDE=FQ","FILING_STATUS=OR","EQY_CONSOLIDATED=Y","Sort=A","Dates=H","DateFormat=P","Fill=—","Direction=H","UseDPDF=Y")</f>
        <v>#NAME?</v>
      </c>
      <c r="AU272" s="2" t="e">
        <f ca="1">_xll.BDH($C$253,"NET_FIXED_ASSETS_5_YEAR_GROWTH","FQ4 2017","FQ4 2017","Currency=INR","Period=FQ","BEST_FPERIOD_OVERRIDE=FQ","FILING_STATUS=OR","EQY_CONSOLIDATED=Y","Sort=A","Dates=H","DateFormat=P","Fill=—","Direction=H","UseDPDF=Y")</f>
        <v>#NAME?</v>
      </c>
      <c r="AV272" s="2" t="e">
        <f ca="1">_xll.BDH($C$253,"GEO_GROW_TOT_ASSET","FQ4 2017","FQ4 2017","Currency=INR","Period=FQ","BEST_FPERIOD_OVERRIDE=FQ","FILING_STATUS=OR","EQY_CONSOLIDATED=Y","Sort=A","Dates=H","DateFormat=P","Fill=—","Direction=H","UseDPDF=Y")</f>
        <v>#NAME?</v>
      </c>
      <c r="AW272" s="2" t="e">
        <f ca="1">_xll.BDH($C$253,"MODIFIED_WORKING_CPTL_5YR_GRWTH","FQ4 2017","FQ4 2017","Currency=INR","Period=FQ","BEST_FPERIOD_OVERRIDE=FQ","FILING_STATUS=OR","EQY_CONSOLIDATED=Y","Sort=A","Dates=H","DateFormat=P","Fill=—","Direction=H","UseDPDF=Y")</f>
        <v>#NAME?</v>
      </c>
      <c r="AX272" s="2" t="e">
        <f ca="1">_xll.BDH($C$253,"WORKING_CAPITAL_5_YEAR_GROWTH","FQ4 2017","FQ4 2017","Currency=INR","Period=FQ","BEST_FPERIOD_OVERRIDE=FQ","FILING_STATUS=OR","EQY_CONSOLIDATED=Y","Sort=A","Dates=H","DateFormat=P","Fill=—","Direction=H","UseDPDF=Y")</f>
        <v>#NAME?</v>
      </c>
      <c r="AY272" s="2" t="e">
        <f ca="1">_xll.BDH($C$253,"ACCOUNTS_PAYABLE_5_YEAR_GROWTH","FQ4 2017","FQ4 2017","Currency=INR","Period=FQ","BEST_FPERIOD_OVERRIDE=FQ","FILING_STATUS=OR","EQY_CONSOLIDATED=Y","Sort=A","Dates=H","DateFormat=P","Fill=—","Direction=H","UseDPDF=Y")</f>
        <v>#NAME?</v>
      </c>
      <c r="AZ272" s="2" t="e">
        <f ca="1">_xll.BDH($C$253,"SHORT_TERM_DEBT_5_YEAR_GROWTH","FQ4 2017","FQ4 2017","Currency=INR","Period=FQ","BEST_FPERIOD_OVERRIDE=FQ","FILING_STATUS=OR","EQY_CONSOLIDATED=Y","Sort=A","Dates=H","DateFormat=P","Fill=—","Direction=H","UseDPDF=Y")</f>
        <v>#NAME?</v>
      </c>
      <c r="BA272" s="2" t="e">
        <f ca="1">_xll.BDH($C$253,"TOTAL_DEBT_5_YEAR_GROWTH","FQ4 2017","FQ4 2017","Currency=INR","Period=FQ","BEST_FPERIOD_OVERRIDE=FQ","FILING_STATUS=OR","EQY_CONSOLIDATED=Y","Sort=A","Dates=H","DateFormat=P","Fill=—","Direction=H","UseDPDF=Y")</f>
        <v>#NAME?</v>
      </c>
      <c r="BB272" s="2" t="e">
        <f ca="1">_xll.BDH($C$253,"GEO_GROW_TOT_SHRHLDR_EQY","FQ4 2017","FQ4 2017","Currency=INR","Period=FQ","BEST_FPERIOD_OVERRIDE=FQ","FILING_STATUS=OR","EQY_CONSOLIDATED=Y","Sort=A","Dates=H","DateFormat=P","Fill=—","Direction=H","UseDPDF=Y")</f>
        <v>#NAME?</v>
      </c>
      <c r="BC272" s="2" t="e">
        <f ca="1">_xll.BDH($C$253,"TOTAL_CAPITAL_5_YEAR_GROWTH","FQ4 2017","FQ4 2017","Currency=INR","Period=FQ","BEST_FPERIOD_OVERRIDE=FQ","FILING_STATUS=OR","EQY_CONSOLIDATED=Y","Sort=A","Dates=H","DateFormat=P","Fill=—","Direction=H","UseDPDF=Y")</f>
        <v>#NAME?</v>
      </c>
      <c r="BD272" s="2" t="e">
        <f ca="1">_xll.BDH($C$253,"GEO_GROW_BOOK_VAL","FQ4 2017","FQ4 2017","Currency=INR","Period=FQ","BEST_FPERIOD_OVERRIDE=FQ","FILING_STATUS=OR","EQY_CONSOLIDATED=Y","Sort=A","Dates=H","DateFormat=P","Fill=—","Direction=H","UseDPDF=Y")</f>
        <v>#NAME?</v>
      </c>
      <c r="BE272" s="2" t="e">
        <f ca="1">_xll.BDH($C$253,"GEO_GROW_CASH_OPER_ACT","FQ4 2017","FQ4 2017","Currency=INR","Period=FQ","BEST_FPERIOD_OVERRIDE=FQ","FILING_STATUS=OR","EQY_CONSOLIDATED=Y","Sort=A","Dates=H","DateFormat=P","Fill=—","Direction=H","UseDPDF=Y")</f>
        <v>#NAME?</v>
      </c>
      <c r="BF272" s="2" t="e">
        <f ca="1">_xll.BDH($C$253,"REVENUE_SEQUENTIAL_GROWTH","FQ4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272" s="2" t="e">
        <f ca="1">_xll.BDH($C$253,"EBITDA_SEQUENTIAL_GROWTH","FQ4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272" s="2" t="e">
        <f ca="1">_xll.BDH($C$253,"OPERATING_INCOME_SEQ_GROWTH","FQ4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272" s="2" t="e">
        <f ca="1">_xll.BDH($C$253,"NET_INCOME_TO_COMMON_SEQ_GROWTH","FQ4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272" s="2" t="e">
        <f ca="1">_xll.BDH($C$253,"EPS_DILUTED_SEQUENTIAL_GROWTH","FQ4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272" s="2" t="e">
        <f ca="1">_xll.BDH($C$253,"DPS_SEQUENTIAL_GROWTH","FQ4 2017","FQ4 2017","Currency=INR","Period=FQ","BEST_FPERIOD_OVERRIDE=FQ","FILING_STATUS=OR","EQY_CONSOLIDATED=Y","Sort=A","Dates=H","DateFormat=P","Fill=—","Direction=H","UseDPDF=Y")</f>
        <v>#NAME?</v>
      </c>
      <c r="BL272" s="2" t="e">
        <f ca="1">_xll.BDH($C$253,"ACCOUNTS_RECEIVABLE_SEQ_GROWTH","FQ4 2017","FQ4 2017","Currency=INR","Period=FQ","BEST_FPERIOD_OVERRIDE=FQ","FILING_STATUS=OR","EQY_CONSOLIDATED=Y","Sort=A","Dates=H","DateFormat=P","Fill=—","Direction=H","UseDPDF=Y")</f>
        <v>#NAME?</v>
      </c>
      <c r="BM272" s="2" t="e">
        <f ca="1">_xll.BDH($C$253,"INVENTORY_SEQUENTIAL_GROWTH","FQ4 2017","FQ4 2017","Currency=INR","Period=FQ","BEST_FPERIOD_OVERRIDE=FQ","FILING_STATUS=OR","EQY_CONSOLIDATED=Y","Sort=A","Dates=H","DateFormat=P","Fill=—","Direction=H","UseDPDF=Y")</f>
        <v>#NAME?</v>
      </c>
      <c r="BN272" s="2" t="e">
        <f ca="1">_xll.BDH($C$253,"FIXED_ASSETS_SEQUENTIAL_GROWTH","FQ4 2017","FQ4 2017","Currency=INR","Period=FQ","BEST_FPERIOD_OVERRIDE=FQ","FILING_STATUS=OR","EQY_CONSOLIDATED=Y","Sort=A","Dates=H","DateFormat=P","Fill=—","Direction=H","UseDPDF=Y")</f>
        <v>#NAME?</v>
      </c>
      <c r="BO272" s="2" t="e">
        <f ca="1">_xll.BDH($C$253,"TOTAL_ASSETS_SEQUENTIAL_GROWTH","FQ4 2017","FQ4 2017","Currency=INR","Period=FQ","BEST_FPERIOD_OVERRIDE=FQ","FILING_STATUS=OR","EQY_CONSOLIDATED=Y","Sort=A","Dates=H","DateFormat=P","Fill=—","Direction=H","UseDPDF=Y")</f>
        <v>#NAME?</v>
      </c>
      <c r="BP272" s="2" t="e">
        <f ca="1">_xll.BDH($C$253,"MODIFIED_WORKING_CPTL_SEQ_GRWTH","FQ4 2017","FQ4 2017","Currency=INR","Period=FQ","BEST_FPERIOD_OVERRIDE=FQ","FILING_STATUS=OR","EQY_CONSOLIDATED=Y","Sort=A","Dates=H","DateFormat=P","Fill=—","Direction=H","UseDPDF=Y")</f>
        <v>#NAME?</v>
      </c>
      <c r="BQ272" s="2" t="e">
        <f ca="1">_xll.BDH($C$253,"WORKING_CAPITAL_SEQ_GROWTH","FQ4 2017","FQ4 2017","Currency=INR","Period=FQ","BEST_FPERIOD_OVERRIDE=FQ","FILING_STATUS=OR","EQY_CONSOLIDATED=Y","Sort=A","Dates=H","DateFormat=P","Fill=—","Direction=H","UseDPDF=Y")</f>
        <v>#NAME?</v>
      </c>
      <c r="BR272" s="2" t="e">
        <f ca="1">_xll.BDH($C$253,"ACCOUNTS_PAYABLE_SEQ_GROWTH","FQ4 2017","FQ4 2017","Currency=INR","Period=FQ","BEST_FPERIOD_OVERRIDE=FQ","FILING_STATUS=OR","EQY_CONSOLIDATED=Y","Sort=A","Dates=H","DateFormat=P","Fill=—","Direction=H","UseDPDF=Y")</f>
        <v>#NAME?</v>
      </c>
      <c r="BS272" s="2" t="e">
        <f ca="1">_xll.BDH($C$253,"ST_DEBT_SEQUENTIAL_GROWTH","FQ4 2017","FQ4 2017","Currency=INR","Period=FQ","BEST_FPERIOD_OVERRIDE=FQ","FILING_STATUS=OR","EQY_CONSOLIDATED=Y","Sort=A","Dates=H","DateFormat=P","Fill=—","Direction=H","UseDPDF=Y")</f>
        <v>#NAME?</v>
      </c>
      <c r="BT272" s="2" t="e">
        <f ca="1">_xll.BDH($C$253,"TOTAL_DEBT_SEQUENTIAL_GROWTH","FQ4 2017","FQ4 2017","Currency=INR","Period=FQ","BEST_FPERIOD_OVERRIDE=FQ","FILING_STATUS=OR","EQY_CONSOLIDATED=Y","Sort=A","Dates=H","DateFormat=P","Fill=—","Direction=H","UseDPDF=Y")</f>
        <v>#NAME?</v>
      </c>
      <c r="BU272" s="2" t="e">
        <f ca="1">_xll.BDH($C$253,"TOTAL_EQUITY_SEQUENTIAL_GROWTH","FQ4 2017","FQ4 2017","Currency=INR","Period=FQ","BEST_FPERIOD_OVERRIDE=FQ","FILING_STATUS=OR","EQY_CONSOLIDATED=Y","Sort=A","Dates=H","DateFormat=P","Fill=—","Direction=H","UseDPDF=Y")</f>
        <v>#NAME?</v>
      </c>
      <c r="BV272" s="2" t="e">
        <f ca="1">_xll.BDH($C$253,"TOTAL_CAPITAL_SEQUENTIAL_GROWTH","FQ4 2017","FQ4 2017","Currency=INR","Period=FQ","BEST_FPERIOD_OVERRIDE=FQ","FILING_STATUS=OR","EQY_CONSOLIDATED=Y","Sort=A","Dates=H","DateFormat=P","Fill=—","Direction=H","UseDPDF=Y")</f>
        <v>#NAME?</v>
      </c>
      <c r="BW272" s="2" t="e">
        <f ca="1">_xll.BDH($C$253,"BPS_SEQUENTIAL_GROWTH","FQ4 2017","FQ4 2017","Currency=INR","Period=FQ","BEST_FPERIOD_OVERRIDE=FQ","FILING_STATUS=OR","EQY_CONSOLIDATED=Y","Sort=A","Dates=H","DateFormat=P","Fill=—","Direction=H","UseDPDF=Y")</f>
        <v>#NAME?</v>
      </c>
      <c r="BX272" s="2" t="e">
        <f ca="1">_xll.BDH($C$253,"CFO_SEQUENTIAL_GROWTH","FQ4 2017","FQ4 2017","Currency=INR","Period=FQ","BEST_FPERIOD_OVERRIDE=FQ","FILING_STATUS=OR","EQY_CONSOLIDATED=Y","Sort=A","Dates=H","DateFormat=P","Fill=—","Direction=H","UseDPDF=Y")</f>
        <v>#NAME?</v>
      </c>
      <c r="BY272" s="3" t="e">
        <f ca="1">_xll.BDH($C$253,"SHORT_AND_LONG_TERM_DEBT","FQ4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272" s="3" t="e">
        <f ca="1">_xll.BDH($C$253,"BS_ST_BORROW","FQ4 2017","FQ4 2017","Currency=INR","Period=FQ","BEST_FPERIOD_OVERRIDE=FQ","FILING_STATUS=OR","EQY_CONSOLIDATED=Y","SCALING_FORMAT=MLN","Sort=A","Dates=H","DateFormat=P","Fill=—","Direction=H","UseDPDF=Y")</f>
        <v>#NAME?</v>
      </c>
      <c r="CA272" s="3" t="e">
        <f ca="1">_xll.BDH($C$253,"BS_LT_BORROW","FQ4 2017","FQ4 2017","Currency=INR","Period=FQ","BEST_FPERIOD_OVERRIDE=FQ","FILING_STATUS=OR","EQY_CONSOLIDATED=Y","SCALING_FORMAT=MLN","Sort=A","Dates=H","DateFormat=P","Fill=—","Direction=H","UseDPDF=Y")</f>
        <v>#NAME?</v>
      </c>
      <c r="CB272" s="2" t="e">
        <f ca="1">_xll.BDH($C$253,"TOT_DEBT_TO_EBITDA","FQ4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272" s="2" t="e">
        <f ca="1">_xll.BDH($C$253,"NET_DEBT_TO_EBITDA","FQ4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272" s="2" t="e">
        <f ca="1">_xll.BDH($C$253,"TOTAL_DEBT_TO_EBIT","FQ4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272" s="2" t="e">
        <f ca="1">_xll.BDH($C$253,"NET_DEBT_TO_EBIT","FQ4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272" s="2" t="e">
        <f ca="1">_xll.BDH($C$253,"EBITDA_TO_INTEREST_EXPN","FQ4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272" s="2" t="e">
        <f ca="1">_xll.BDH($C$253,"COM_EQY_TO_TOT_ASSET","FQ4 2017","FQ4 2017","Currency=INR","Period=FQ","BEST_FPERIOD_OVERRIDE=FQ","FILING_STATUS=OR","EQY_CONSOLIDATED=Y","Sort=A","Dates=H","DateFormat=P","Fill=—","Direction=H","UseDPDF=Y")</f>
        <v>#NAME?</v>
      </c>
      <c r="CH272" s="2" t="e">
        <f ca="1">_xll.BDH($C$253,"LT_DEBT_TO_TOT_EQY","FQ4 2017","FQ4 2017","Currency=INR","Period=FQ","BEST_FPERIOD_OVERRIDE=FQ","FILING_STATUS=OR","EQY_CONSOLIDATED=Y","Sort=A","Dates=H","DateFormat=P","Fill=—","Direction=H","UseDPDF=Y")</f>
        <v>#NAME?</v>
      </c>
      <c r="CI272" s="2" t="e">
        <f ca="1">_xll.BDH($C$253,"LT_DEBT_TO_TOT_CAP","FQ4 2017","FQ4 2017","Currency=INR","Period=FQ","BEST_FPERIOD_OVERRIDE=FQ","FILING_STATUS=OR","EQY_CONSOLIDATED=Y","Sort=A","Dates=H","DateFormat=P","Fill=—","Direction=H","UseDPDF=Y")</f>
        <v>#NAME?</v>
      </c>
      <c r="CJ272" s="2" t="e">
        <f ca="1">_xll.BDH($C$253,"LT_DEBT_TO_TOT_ASSET","FQ4 2017","FQ4 2017","Currency=INR","Period=FQ","BEST_FPERIOD_OVERRIDE=FQ","FILING_STATUS=OR","EQY_CONSOLIDATED=Y","Sort=A","Dates=H","DateFormat=P","Fill=—","Direction=H","UseDPDF=Y")</f>
        <v>#NAME?</v>
      </c>
      <c r="CK272" s="2" t="e">
        <f ca="1">_xll.BDH($C$253,"TOT_DEBT_TO_TOT_EQY","FQ4 2017","FQ4 2017","Currency=INR","Period=FQ","BEST_FPERIOD_OVERRIDE=FQ","FILING_STATUS=OR","EQY_CONSOLIDATED=Y","Sort=A","Dates=H","DateFormat=P","Fill=—","Direction=H","UseDPDF=Y")</f>
        <v>#NAME?</v>
      </c>
      <c r="CL272" s="2" t="e">
        <f ca="1">_xll.BDH($C$253,"TOT_DEBT_TO_TOT_CAP","FQ4 2017","FQ4 2017","Currency=INR","Period=FQ","BEST_FPERIOD_OVERRIDE=FQ","FILING_STATUS=OR","EQY_CONSOLIDATED=Y","Sort=A","Dates=H","DateFormat=P","Fill=—","Direction=H","UseDPDF=Y")</f>
        <v>#NAME?</v>
      </c>
      <c r="CM272" s="2" t="e">
        <f ca="1">_xll.BDH($C$253,"TOT_DEBT_TO_TOT_ASSET","FQ4 2017","FQ4 2017","Currency=INR","Period=FQ","BEST_FPERIOD_OVERRIDE=FQ","FILING_STATUS=OR","EQY_CONSOLIDATED=Y","Sort=A","Dates=H","DateFormat=P","Fill=—","Direction=H","UseDPDF=Y")</f>
        <v>#NAME?</v>
      </c>
      <c r="CN272" s="2" t="e">
        <f ca="1">_xll.BDH($C$253,"NET_DEBT_TO_SHRHLDR_EQTY","FQ4 2017","FQ4 2017","Currency=INR","Period=FQ","BEST_FPERIOD_OVERRIDE=FQ","FILING_STATUS=OR","EQY_CONSOLIDATED=Y","Sort=A","Dates=H","DateFormat=P","Fill=—","Direction=H","UseDPDF=Y")</f>
        <v>#NAME?</v>
      </c>
      <c r="CO272" s="2" t="e">
        <f ca="1">_xll.BDH($C$253,"NET_DEBT_%_CAPITAL","FQ4 2017","FQ4 2017","Currency=INR","Period=FQ","BEST_FPERIOD_OVERRIDE=FQ","FILING_STATUS=OR","EQY_CONSOLIDATED=Y","Sort=A","Dates=H","DateFormat=P","Fill=—","Direction=H","UseDPDF=Y")</f>
        <v>#NAME?</v>
      </c>
      <c r="CP272" s="3" t="e">
        <f ca="1">_xll.BDH($C$253,"EBITDA","FQ4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272" s="3" t="e">
        <f ca="1">_xll.BDH($C$253,"EBITDA_AFTER_CAPEX","FQ4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272" s="3" t="e">
        <f ca="1">_xll.BDH($C$253,"IS_OPER_INC","FQ4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272" s="2" t="e">
        <f ca="1">_xll.BDH($C$253,"CASH_RATIO","FQ4 2017","FQ4 2017","Currency=INR","Period=FQ","BEST_FPERIOD_OVERRIDE=FQ","FILING_STATUS=OR","EQY_CONSOLIDATED=Y","Sort=A","Dates=H","DateFormat=P","Fill=—","Direction=H","UseDPDF=Y")</f>
        <v>#NAME?</v>
      </c>
      <c r="CT272" s="2" t="e">
        <f ca="1">_xll.BDH($C$253,"CUR_RATIO","FQ4 2017","FQ4 2017","Currency=INR","Period=FQ","BEST_FPERIOD_OVERRIDE=FQ","FILING_STATUS=OR","EQY_CONSOLIDATED=Y","Sort=A","Dates=H","DateFormat=P","Fill=—","Direction=H","UseDPDF=Y")</f>
        <v>#NAME?</v>
      </c>
      <c r="CU272" s="2" t="e">
        <f ca="1">_xll.BDH($C$253,"QUICK_RATIO","FQ4 2017","FQ4 2017","Currency=INR","Period=FQ","BEST_FPERIOD_OVERRIDE=FQ","FILING_STATUS=OR","EQY_CONSOLIDATED=Y","Sort=A","Dates=H","DateFormat=P","Fill=—","Direction=H","UseDPDF=Y")</f>
        <v>#NAME?</v>
      </c>
      <c r="CV272" s="2" t="e">
        <f ca="1">_xll.BDH($C$253,"ALTMAN_Z_SCORE","FQ4 2017","FQ4 2017","Currency=INR","Period=FQ","BEST_FPERIOD_OVERRIDE=FQ","FILING_STATUS=OR","EQY_CONSOLIDATED=Y","Sort=A","Dates=H","DateFormat=P","Fill=—","Direction=H","UseDPDF=Y")</f>
        <v>#NAME?</v>
      </c>
      <c r="CW272" s="4" t="e">
        <f ca="1">_xll.BDH($C$253,"ACCT_RCV_TURN","FQ4 2017","FQ4 2017","Currency=INR","Period=FQ","BEST_FPERIOD_OVERRIDE=FQ","FILING_STATUS=OR","EQY_CONSOLIDATED=Y","FA_ADJUSTED=GAAP","Sort=A","Dates=H","DateFormat=P","Fill=—","Direction=H","UseDPDF=Y")</f>
        <v>#NAME?</v>
      </c>
      <c r="CX272" s="2" t="e">
        <f ca="1">_xll.BDH($C$253,"ACCT_RCV_DAYS","FQ4 2017","FQ4 2017","Currency=INR","Period=FQ","BEST_FPERIOD_OVERRIDE=FQ","FILING_STATUS=OR","EQY_CONSOLIDATED=Y","FA_ADJUSTED=GAAP","Sort=A","Dates=H","DateFormat=P","Fill=—","Direction=H","UseDPDF=Y")</f>
        <v>#NAME?</v>
      </c>
      <c r="CY272" s="4" t="e">
        <f ca="1">_xll.BDH($C$253,"INVENT_TURN","FQ4 2017","FQ4 2017","Currency=INR","Period=FQ","BEST_FPERIOD_OVERRIDE=FQ","FILING_STATUS=OR","EQY_CONSOLIDATED=Y","FA_ADJUSTED=GAAP","Sort=A","Dates=H","DateFormat=P","Fill=—","Direction=H","UseDPDF=Y")</f>
        <v>#NAME?</v>
      </c>
      <c r="CZ272" s="2" t="e">
        <f ca="1">_xll.BDH($C$253,"INVENT_DAYS","FQ4 2017","FQ4 2017","Currency=INR","Period=FQ","BEST_FPERIOD_OVERRIDE=FQ","FILING_STATUS=OR","EQY_CONSOLIDATED=Y","FA_ADJUSTED=GAAP","Sort=A","Dates=H","DateFormat=P","Fill=—","Direction=H","UseDPDF=Y")</f>
        <v>#NAME?</v>
      </c>
      <c r="DA272" s="4" t="e">
        <f ca="1">_xll.BDH($C$253,"ACCOUNTS_PAYABLE_TURNOVER","FQ4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272" s="2" t="e">
        <f ca="1">_xll.BDH($C$253,"ACCOUNTS_PAYABLE_TURNOVER_DAYS","FQ4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272" s="4" t="e">
        <f ca="1">_xll.BDH($C$253,"CASH_CONVERSION_CYCLE","FQ4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272" s="4" t="e">
        <f ca="1">_xll.BDH($C$253,"INV_TO_CASH_DAYS","FQ4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272" s="5" t="e">
        <f ca="1">_xll.BDH($C$253,"BS_INVENTORIES","FQ4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272" s="3" t="e">
        <f ca="1">_xll.BDH($C$253,"INVTRY_RAW_MATERIALS","FQ4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272" s="3" t="e">
        <f ca="1">_xll.BDH($C$253,"INVTRY_IN_PROGRESS","FQ4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272" s="3" t="e">
        <f ca="1">_xll.BDH($C$253,"INVTRY_FINISHED_GOODS","FQ4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272" s="3" t="e">
        <f ca="1">_xll.BDH($C$253,"BS_OTHER_INV","FQ4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273" spans="1:113" x14ac:dyDescent="0.3">
      <c r="A273" s="6"/>
      <c r="B273" s="6"/>
      <c r="C273" s="6"/>
      <c r="D273" s="6" t="s">
        <v>85</v>
      </c>
      <c r="E273" t="s">
        <v>77</v>
      </c>
      <c r="F273" t="e">
        <f ca="1">_xll.BDH($C$253,"RETURN_COM_EQY","FY 2018","FY 2018","Currency=INR","Period=FY","BEST_FPERIOD_OVERRIDE=FY","FILING_STATUS=OR","EQY_CONSOLIDATED=Y","FA_ADJUSTED=GAAP","Sort=A","Dates=H","DateFormat=P","Fill=—","Direction=H","UseDPDF=Y")</f>
        <v>#NAME?</v>
      </c>
      <c r="G273" t="e">
        <f ca="1">_xll.BDH($C$253,"RETURN_ON_ASSET","FY 2018","FY 2018","Currency=INR","Period=FY","BEST_FPERIOD_OVERRIDE=FY","FILING_STATUS=OR","EQY_CONSOLIDATED=Y","FA_ADJUSTED=GAAP","Sort=A","Dates=H","DateFormat=P","Fill=—","Direction=H","UseDPDF=Y")</f>
        <v>#NAME?</v>
      </c>
      <c r="H273" t="e">
        <f ca="1">_xll.BDH($C$253,"RETURN_ON_CAP","FY 2018","FY 2018","Currency=INR","Period=FY","BEST_FPERIOD_OVERRIDE=FY","FILING_STATUS=OR","EQY_CONSOLIDATED=Y","FA_ADJUSTED=GAAP","Sort=A","Dates=H","DateFormat=P","Fill=—","Direction=H","UseDPDF=Y")</f>
        <v>#NAME?</v>
      </c>
      <c r="I273" t="e">
        <f ca="1">_xll.BDH($C$253,"RETURN_ON_INV_CAPITAL","FY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273" t="e">
        <f ca="1">_xll.BDH($C$253,"EBITDA_TO_REVENUE","FY 2018","FY 2018","Currency=INR","Period=FY","BEST_FPERIOD_OVERRIDE=FY","FILING_STATUS=OR","EQY_CONSOLIDATED=Y","FA_ADJUSTED=GAAP","Sort=A","Dates=H","DateFormat=P","Fill=—","Direction=H","UseDPDF=Y")</f>
        <v>#NAME?</v>
      </c>
      <c r="K273" t="e">
        <f ca="1">_xll.BDH($C$253,"OPER_MARGIN","FY 2018","FY 2018","Currency=INR","Period=FY","BEST_FPERIOD_OVERRIDE=FY","FILING_STATUS=OR","EQY_CONSOLIDATED=Y","FA_ADJUSTED=GAAP","Sort=A","Dates=H","DateFormat=P","Fill=—","Direction=H","UseDPDF=Y")</f>
        <v>#NAME?</v>
      </c>
      <c r="L273" t="e">
        <f ca="1">_xll.BDH($C$253,"INCREMENTAL_OPERATING_MARGIN","FY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273" t="e">
        <f ca="1">_xll.BDH($C$253,"PRETAX_INC_TO_NET_SALES","FY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273" t="e">
        <f ca="1">_xll.BDH($C$253,"INC_BEF_XO_ITEMS_TO_NET_SALES","FY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273" t="e">
        <f ca="1">_xll.BDH($C$253,"PROF_MARGIN","FY 2018","FY 2018","Currency=INR","Period=FY","BEST_FPERIOD_OVERRIDE=FY","FILING_STATUS=OR","EQY_CONSOLIDATED=Y","FA_ADJUSTED=GAAP","Sort=A","Dates=H","DateFormat=P","Fill=—","Direction=H","UseDPDF=Y")</f>
        <v>#NAME?</v>
      </c>
      <c r="P273" t="e">
        <f ca="1">_xll.BDH($C$253,"NET_INCOME_TO_COMMON_MARGIN","FY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273" t="e">
        <f ca="1">_xll.BDH($C$253,"EFF_TAX_RATE","FY 2018","FY 2018","Currency=INR","Period=FY","BEST_FPERIOD_OVERRIDE=FY","FILING_STATUS=OR","EQY_CONSOLIDATED=Y","FA_ADJUSTED=GAAP","Sort=A","Dates=H","DateFormat=P","Fill=—","Direction=H","UseDPDF=Y")</f>
        <v>#NAME?</v>
      </c>
      <c r="R273" t="e">
        <f ca="1">_xll.BDH($C$253,"DVD_PAYOUT_RATIO","FY 2018","FY 2018","Currency=INR","Period=FY","BEST_FPERIOD_OVERRIDE=FY","FILING_STATUS=OR","EQY_CONSOLIDATED=Y","FA_ADJUSTED=GAAP","Sort=A","Dates=H","DateFormat=P","Fill=—","Direction=H","UseDPDF=Y")</f>
        <v>#NAME?</v>
      </c>
      <c r="S273" t="e">
        <f ca="1">_xll.BDH($C$253,"SUSTAIN_GROWTH_RT","FY 2018","FY 2018","Currency=INR","Period=FY","BEST_FPERIOD_OVERRIDE=FY","FILING_STATUS=OR","EQY_CONSOLIDATED=Y","FA_ADJUSTED=GAAP","Sort=A","Dates=H","DateFormat=P","Fill=—","Direction=H","UseDPDF=Y")</f>
        <v>#NAME?</v>
      </c>
      <c r="T273" s="2" t="e">
        <f ca="1">_xll.BDH($C$253,"SALES_GROWTH","FY 2018","FY 2018","Currency=INR","Period=FY","BEST_FPERIOD_OVERRIDE=FY","FILING_STATUS=OR","EQY_CONSOLIDATED=Y","FA_ADJUSTED=GAAP","Sort=A","Dates=H","DateFormat=P","Fill=—","Direction=H","UseDPDF=Y")</f>
        <v>#NAME?</v>
      </c>
      <c r="U273" s="2" t="e">
        <f ca="1">_xll.BDH($C$253,"EBITDA_GROWTH","FY 2018","FY 2018","Currency=INR","Period=FY","BEST_FPERIOD_OVERRIDE=FY","FILING_STATUS=OR","EQY_CONSOLIDATED=Y","FA_ADJUSTED=GAAP","Sort=A","Dates=H","DateFormat=P","Fill=—","Direction=H","UseDPDF=Y")</f>
        <v>#NAME?</v>
      </c>
      <c r="V273" s="2" t="e">
        <f ca="1">_xll.BDH($C$253,"OPER_INC_GROWTH","FY 2018","FY 2018","Currency=INR","Period=FY","BEST_FPERIOD_OVERRIDE=FY","FILING_STATUS=OR","EQY_CONSOLIDATED=Y","FA_ADJUSTED=GAAP","Sort=A","Dates=H","DateFormat=P","Fill=—","Direction=H","UseDPDF=Y")</f>
        <v>#NAME?</v>
      </c>
      <c r="W273" s="2" t="e">
        <f ca="1">_xll.BDH($C$253,"EARN_FOR_COM_GROWTH","FY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273" s="2" t="e">
        <f ca="1">_xll.BDH($C$253,"DILUTED_EPS_AFT_XO_ITEMS_GROWTH","FY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273" s="2" t="e">
        <f ca="1">_xll.BDH($C$253,"DIVIDEND_PER_SHARE_1_YEAR_GROWTH","FY 2018","FY 2018","Currency=INR","Period=FY","BEST_FPERIOD_OVERRIDE=FY","FILING_STATUS=OR","EQY_CONSOLIDATED=Y","Sort=A","Dates=H","DateFormat=P","Fill=—","Direction=H","UseDPDF=Y")</f>
        <v>#NAME?</v>
      </c>
      <c r="Z273" s="2" t="e">
        <f ca="1">_xll.BDH($C$253,"ACCOUNTS_RECEIVABLE_GROWTH","FY 2018","FY 2018","Currency=INR","Period=FY","BEST_FPERIOD_OVERRIDE=FY","FILING_STATUS=OR","EQY_CONSOLIDATED=Y","Sort=A","Dates=H","DateFormat=P","Fill=—","Direction=H","UseDPDF=Y")</f>
        <v>#NAME?</v>
      </c>
      <c r="AA273" s="2" t="e">
        <f ca="1">_xll.BDH($C$253,"INVENTORY_GROWTH","FY 2018","FY 2018","Currency=INR","Period=FY","BEST_FPERIOD_OVERRIDE=FY","FILING_STATUS=OR","EQY_CONSOLIDATED=Y","Sort=A","Dates=H","DateFormat=P","Fill=—","Direction=H","UseDPDF=Y")</f>
        <v>#NAME?</v>
      </c>
      <c r="AB273" s="2" t="e">
        <f ca="1">_xll.BDH($C$253,"NET_FIXED_ASSETS_1_YEAR_GROWTH","FY 2018","FY 2018","Currency=INR","Period=FY","BEST_FPERIOD_OVERRIDE=FY","FILING_STATUS=OR","EQY_CONSOLIDATED=Y","Sort=A","Dates=H","DateFormat=P","Fill=—","Direction=H","UseDPDF=Y")</f>
        <v>#NAME?</v>
      </c>
      <c r="AC273" s="2" t="e">
        <f ca="1">_xll.BDH($C$253,"ASSET_GROWTH","FY 2018","FY 2018","Currency=INR","Period=FY","BEST_FPERIOD_OVERRIDE=FY","FILING_STATUS=OR","EQY_CONSOLIDATED=Y","Sort=A","Dates=H","DateFormat=P","Fill=—","Direction=H","UseDPDF=Y")</f>
        <v>#NAME?</v>
      </c>
      <c r="AD273" s="2" t="e">
        <f ca="1">_xll.BDH($C$253,"MODIFIED_WORK_CAP_GROWTH","FY 2018","FY 2018","Currency=INR","Period=FY","BEST_FPERIOD_OVERRIDE=FY","FILING_STATUS=OR","EQY_CONSOLIDATED=Y","Sort=A","Dates=H","DateFormat=P","Fill=—","Direction=H","UseDPDF=Y")</f>
        <v>#NAME?</v>
      </c>
      <c r="AE273" s="2" t="e">
        <f ca="1">_xll.BDH($C$253,"WORK_CAP_GROWTH","FY 2018","FY 2018","Currency=INR","Period=FY","BEST_FPERIOD_OVERRIDE=FY","FILING_STATUS=OR","EQY_CONSOLIDATED=Y","Sort=A","Dates=H","DateFormat=P","Fill=—","Direction=H","UseDPDF=Y")</f>
        <v>#NAME?</v>
      </c>
      <c r="AF273" s="2" t="e">
        <f ca="1">_xll.BDH($C$253,"ACCOUNTS_PAYABLE_GROWTH_1YR","FY 2018","FY 2018","Currency=INR","Period=FY","BEST_FPERIOD_OVERRIDE=FY","FILING_STATUS=OR","EQY_CONSOLIDATED=Y","Sort=A","Dates=H","DateFormat=P","Fill=—","Direction=H","UseDPDF=Y")</f>
        <v>#NAME?</v>
      </c>
      <c r="AG273" s="2" t="e">
        <f ca="1">_xll.BDH($C$253,"SHORT_TERM_DEBT_1_YEAR_GROWTH","FY 2018","FY 2018","Currency=INR","Period=FY","BEST_FPERIOD_OVERRIDE=FY","FILING_STATUS=OR","EQY_CONSOLIDATED=Y","Sort=A","Dates=H","DateFormat=P","Fill=—","Direction=H","UseDPDF=Y")</f>
        <v>#NAME?</v>
      </c>
      <c r="AH273" s="2" t="e">
        <f ca="1">_xll.BDH($C$253,"TOTAL_DEBT_1_YEAR_GROWTH","FY 2018","FY 2018","Currency=INR","Period=FY","BEST_FPERIOD_OVERRIDE=FY","FILING_STATUS=OR","EQY_CONSOLIDATED=Y","Sort=A","Dates=H","DateFormat=P","Fill=—","Direction=H","UseDPDF=Y")</f>
        <v>#NAME?</v>
      </c>
      <c r="AI273" s="2" t="e">
        <f ca="1">_xll.BDH($C$253,"TOTAL_EQUITY_1_YEAR_GROWTH","FY 2018","FY 2018","Currency=INR","Period=FY","BEST_FPERIOD_OVERRIDE=FY","FILING_STATUS=OR","EQY_CONSOLIDATED=Y","Sort=A","Dates=H","DateFormat=P","Fill=—","Direction=H","UseDPDF=Y")</f>
        <v>#NAME?</v>
      </c>
      <c r="AJ273" s="2" t="e">
        <f ca="1">_xll.BDH($C$253,"GROWTH_IN_CAP","FY 2018","FY 2018","Currency=INR","Period=FY","BEST_FPERIOD_OVERRIDE=FY","FILING_STATUS=OR","EQY_CONSOLIDATED=Y","Sort=A","Dates=H","DateFormat=P","Fill=—","Direction=H","UseDPDF=Y")</f>
        <v>#NAME?</v>
      </c>
      <c r="AK273" s="2" t="e">
        <f ca="1">_xll.BDH($C$253,"BVPS_GROWTH","FY 2018","FY 2018","Currency=INR","Period=FY","BEST_FPERIOD_OVERRIDE=FY","FILING_STATUS=OR","EQY_CONSOLIDATED=Y","Sort=A","Dates=H","DateFormat=P","Fill=—","Direction=H","UseDPDF=Y")</f>
        <v>#NAME?</v>
      </c>
      <c r="AL273" s="2" t="e">
        <f ca="1">_xll.BDH($C$253,"CASH_FLOW_GROWTH","FY 2018","FY 2018","Currency=INR","Period=FY","BEST_FPERIOD_OVERRIDE=FY","FILING_STATUS=OR","EQY_CONSOLIDATED=Y","Sort=A","Dates=H","DateFormat=P","Fill=—","Direction=H","UseDPDF=Y")</f>
        <v>#NAME?</v>
      </c>
      <c r="AM273" s="2" t="e">
        <f ca="1">_xll.BDH($C$253,"GEO_GROW_NET_SALES","FY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273" s="2" t="e">
        <f ca="1">_xll.BDH($C$253,"GEO_GROW_EBITDA","FY 2018","FY 2018","Currency=INR","Period=FY","BEST_FPERIOD_OVERRIDE=FY","FILING_STATUS=OR","EQY_CONSOLIDATED=Y","FA_ADJUSTED=GAAP","Sort=A","Dates=H","DateFormat=P","Fill=—","Direction=H","UseDPDF=Y")</f>
        <v>#NAME?</v>
      </c>
      <c r="AO273" s="2" t="e">
        <f ca="1">_xll.BDH($C$253,"GEO_GROW_OPER_INC","FY 2018","FY 2018","Currency=INR","Period=FY","BEST_FPERIOD_OVERRIDE=FY","FILING_STATUS=OR","EQY_CONSOLIDATED=Y","FA_ADJUSTED=GAAP","Sort=A","Dates=H","DateFormat=P","Fill=—","Direction=H","UseDPDF=Y")</f>
        <v>#NAME?</v>
      </c>
      <c r="AP273" s="2" t="e">
        <f ca="1">_xll.BDH($C$253,"NET_INCOME_TO_COMMON_5_YR_GROWTH","FY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273" s="2" t="e">
        <f ca="1">_xll.BDH($C$253,"5Y_GEO_GROWTH_DILUTED_EPS","FY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273" s="2" t="e">
        <f ca="1">_xll.BDH($C$253,"GEO_GROW_DVD_PER_SH","FY 2018","FY 2018","Currency=INR","Period=FY","BEST_FPERIOD_OVERRIDE=FY","FILING_STATUS=OR","EQY_CONSOLIDATED=Y","Sort=A","Dates=H","DateFormat=P","Fill=—","Direction=H","UseDPDF=Y")</f>
        <v>#NAME?</v>
      </c>
      <c r="AS273" s="2" t="e">
        <f ca="1">_xll.BDH($C$253,"ACCOUNTS_RECEIVABLE_5_YR_GROWTH","FY 2018","FY 2018","Currency=INR","Period=FY","BEST_FPERIOD_OVERRIDE=FY","FILING_STATUS=OR","EQY_CONSOLIDATED=Y","Sort=A","Dates=H","DateFormat=P","Fill=—","Direction=H","UseDPDF=Y")</f>
        <v>#NAME?</v>
      </c>
      <c r="AT273" s="2" t="e">
        <f ca="1">_xll.BDH($C$253,"INVENTORY_5_YEAR_GROWTH","FY 2018","FY 2018","Currency=INR","Period=FY","BEST_FPERIOD_OVERRIDE=FY","FILING_STATUS=OR","EQY_CONSOLIDATED=Y","Sort=A","Dates=H","DateFormat=P","Fill=—","Direction=H","UseDPDF=Y")</f>
        <v>#NAME?</v>
      </c>
      <c r="AU273" s="2" t="e">
        <f ca="1">_xll.BDH($C$253,"NET_FIXED_ASSETS_5_YEAR_GROWTH","FY 2018","FY 2018","Currency=INR","Period=FY","BEST_FPERIOD_OVERRIDE=FY","FILING_STATUS=OR","EQY_CONSOLIDATED=Y","Sort=A","Dates=H","DateFormat=P","Fill=—","Direction=H","UseDPDF=Y")</f>
        <v>#NAME?</v>
      </c>
      <c r="AV273" s="2" t="e">
        <f ca="1">_xll.BDH($C$253,"GEO_GROW_TOT_ASSET","FY 2018","FY 2018","Currency=INR","Period=FY","BEST_FPERIOD_OVERRIDE=FY","FILING_STATUS=OR","EQY_CONSOLIDATED=Y","Sort=A","Dates=H","DateFormat=P","Fill=—","Direction=H","UseDPDF=Y")</f>
        <v>#NAME?</v>
      </c>
      <c r="AW273" s="2" t="e">
        <f ca="1">_xll.BDH($C$253,"MODIFIED_WORKING_CPTL_5YR_GRWTH","FY 2018","FY 2018","Currency=INR","Period=FY","BEST_FPERIOD_OVERRIDE=FY","FILING_STATUS=OR","EQY_CONSOLIDATED=Y","Sort=A","Dates=H","DateFormat=P","Fill=—","Direction=H","UseDPDF=Y")</f>
        <v>#NAME?</v>
      </c>
      <c r="AX273" s="2" t="e">
        <f ca="1">_xll.BDH($C$253,"WORKING_CAPITAL_5_YEAR_GROWTH","FY 2018","FY 2018","Currency=INR","Period=FY","BEST_FPERIOD_OVERRIDE=FY","FILING_STATUS=OR","EQY_CONSOLIDATED=Y","Sort=A","Dates=H","DateFormat=P","Fill=—","Direction=H","UseDPDF=Y")</f>
        <v>#NAME?</v>
      </c>
      <c r="AY273" s="2" t="e">
        <f ca="1">_xll.BDH($C$253,"ACCOUNTS_PAYABLE_5_YEAR_GROWTH","FY 2018","FY 2018","Currency=INR","Period=FY","BEST_FPERIOD_OVERRIDE=FY","FILING_STATUS=OR","EQY_CONSOLIDATED=Y","Sort=A","Dates=H","DateFormat=P","Fill=—","Direction=H","UseDPDF=Y")</f>
        <v>#NAME?</v>
      </c>
      <c r="AZ273" s="2" t="e">
        <f ca="1">_xll.BDH($C$253,"SHORT_TERM_DEBT_5_YEAR_GROWTH","FY 2018","FY 2018","Currency=INR","Period=FY","BEST_FPERIOD_OVERRIDE=FY","FILING_STATUS=OR","EQY_CONSOLIDATED=Y","Sort=A","Dates=H","DateFormat=P","Fill=—","Direction=H","UseDPDF=Y")</f>
        <v>#NAME?</v>
      </c>
      <c r="BA273" s="2" t="e">
        <f ca="1">_xll.BDH($C$253,"TOTAL_DEBT_5_YEAR_GROWTH","FY 2018","FY 2018","Currency=INR","Period=FY","BEST_FPERIOD_OVERRIDE=FY","FILING_STATUS=OR","EQY_CONSOLIDATED=Y","Sort=A","Dates=H","DateFormat=P","Fill=—","Direction=H","UseDPDF=Y")</f>
        <v>#NAME?</v>
      </c>
      <c r="BB273" s="2" t="e">
        <f ca="1">_xll.BDH($C$253,"GEO_GROW_TOT_SHRHLDR_EQY","FY 2018","FY 2018","Currency=INR","Period=FY","BEST_FPERIOD_OVERRIDE=FY","FILING_STATUS=OR","EQY_CONSOLIDATED=Y","Sort=A","Dates=H","DateFormat=P","Fill=—","Direction=H","UseDPDF=Y")</f>
        <v>#NAME?</v>
      </c>
      <c r="BC273" s="2" t="e">
        <f ca="1">_xll.BDH($C$253,"TOTAL_CAPITAL_5_YEAR_GROWTH","FY 2018","FY 2018","Currency=INR","Period=FY","BEST_FPERIOD_OVERRIDE=FY","FILING_STATUS=OR","EQY_CONSOLIDATED=Y","Sort=A","Dates=H","DateFormat=P","Fill=—","Direction=H","UseDPDF=Y")</f>
        <v>#NAME?</v>
      </c>
      <c r="BD273" s="2" t="e">
        <f ca="1">_xll.BDH($C$253,"GEO_GROW_BOOK_VAL","FY 2018","FY 2018","Currency=INR","Period=FY","BEST_FPERIOD_OVERRIDE=FY","FILING_STATUS=OR","EQY_CONSOLIDATED=Y","Sort=A","Dates=H","DateFormat=P","Fill=—","Direction=H","UseDPDF=Y")</f>
        <v>#NAME?</v>
      </c>
      <c r="BE273" s="2" t="e">
        <f ca="1">_xll.BDH($C$253,"GEO_GROW_CASH_OPER_ACT","FY 2018","FY 2018","Currency=INR","Period=FY","BEST_FPERIOD_OVERRIDE=FY","FILING_STATUS=OR","EQY_CONSOLIDATED=Y","Sort=A","Dates=H","DateFormat=P","Fill=—","Direction=H","UseDPDF=Y")</f>
        <v>#NAME?</v>
      </c>
      <c r="BF273" s="2" t="e">
        <f ca="1">_xll.BDH($C$253,"REVENUE_SEQUENTIAL_GROWTH","FY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273" s="2" t="e">
        <f ca="1">_xll.BDH($C$253,"EBITDA_SEQUENTIAL_GROWTH","FY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273" s="2" t="e">
        <f ca="1">_xll.BDH($C$253,"OPERATING_INCOME_SEQ_GROWTH","FY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273" s="2" t="e">
        <f ca="1">_xll.BDH($C$253,"NET_INCOME_TO_COMMON_SEQ_GROWTH","FY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273" s="2" t="e">
        <f ca="1">_xll.BDH($C$253,"EPS_DILUTED_SEQUENTIAL_GROWTH","FY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273" s="2" t="e">
        <f ca="1">_xll.BDH($C$253,"DPS_SEQUENTIAL_GROWTH","FY 2018","FY 2018","Currency=INR","Period=FY","BEST_FPERIOD_OVERRIDE=FY","FILING_STATUS=OR","EQY_CONSOLIDATED=Y","Sort=A","Dates=H","DateFormat=P","Fill=—","Direction=H","UseDPDF=Y")</f>
        <v>#NAME?</v>
      </c>
      <c r="BL273" s="2" t="e">
        <f ca="1">_xll.BDH($C$253,"ACCOUNTS_RECEIVABLE_SEQ_GROWTH","FY 2018","FY 2018","Currency=INR","Period=FY","BEST_FPERIOD_OVERRIDE=FY","FILING_STATUS=OR","EQY_CONSOLIDATED=Y","Sort=A","Dates=H","DateFormat=P","Fill=—","Direction=H","UseDPDF=Y")</f>
        <v>#NAME?</v>
      </c>
      <c r="BM273" s="2" t="e">
        <f ca="1">_xll.BDH($C$253,"INVENTORY_SEQUENTIAL_GROWTH","FY 2018","FY 2018","Currency=INR","Period=FY","BEST_FPERIOD_OVERRIDE=FY","FILING_STATUS=OR","EQY_CONSOLIDATED=Y","Sort=A","Dates=H","DateFormat=P","Fill=—","Direction=H","UseDPDF=Y")</f>
        <v>#NAME?</v>
      </c>
      <c r="BN273" s="2" t="e">
        <f ca="1">_xll.BDH($C$253,"FIXED_ASSETS_SEQUENTIAL_GROWTH","FY 2018","FY 2018","Currency=INR","Period=FY","BEST_FPERIOD_OVERRIDE=FY","FILING_STATUS=OR","EQY_CONSOLIDATED=Y","Sort=A","Dates=H","DateFormat=P","Fill=—","Direction=H","UseDPDF=Y")</f>
        <v>#NAME?</v>
      </c>
      <c r="BO273" s="2" t="e">
        <f ca="1">_xll.BDH($C$253,"TOTAL_ASSETS_SEQUENTIAL_GROWTH","FY 2018","FY 2018","Currency=INR","Period=FY","BEST_FPERIOD_OVERRIDE=FY","FILING_STATUS=OR","EQY_CONSOLIDATED=Y","Sort=A","Dates=H","DateFormat=P","Fill=—","Direction=H","UseDPDF=Y")</f>
        <v>#NAME?</v>
      </c>
      <c r="BP273" s="2" t="e">
        <f ca="1">_xll.BDH($C$253,"MODIFIED_WORKING_CPTL_SEQ_GRWTH","FY 2018","FY 2018","Currency=INR","Period=FY","BEST_FPERIOD_OVERRIDE=FY","FILING_STATUS=OR","EQY_CONSOLIDATED=Y","Sort=A","Dates=H","DateFormat=P","Fill=—","Direction=H","UseDPDF=Y")</f>
        <v>#NAME?</v>
      </c>
      <c r="BQ273" s="2" t="e">
        <f ca="1">_xll.BDH($C$253,"WORKING_CAPITAL_SEQ_GROWTH","FY 2018","FY 2018","Currency=INR","Period=FY","BEST_FPERIOD_OVERRIDE=FY","FILING_STATUS=OR","EQY_CONSOLIDATED=Y","Sort=A","Dates=H","DateFormat=P","Fill=—","Direction=H","UseDPDF=Y")</f>
        <v>#NAME?</v>
      </c>
      <c r="BR273" s="2" t="e">
        <f ca="1">_xll.BDH($C$253,"ACCOUNTS_PAYABLE_SEQ_GROWTH","FY 2018","FY 2018","Currency=INR","Period=FY","BEST_FPERIOD_OVERRIDE=FY","FILING_STATUS=OR","EQY_CONSOLIDATED=Y","Sort=A","Dates=H","DateFormat=P","Fill=—","Direction=H","UseDPDF=Y")</f>
        <v>#NAME?</v>
      </c>
      <c r="BS273" s="2" t="e">
        <f ca="1">_xll.BDH($C$253,"ST_DEBT_SEQUENTIAL_GROWTH","FY 2018","FY 2018","Currency=INR","Period=FY","BEST_FPERIOD_OVERRIDE=FY","FILING_STATUS=OR","EQY_CONSOLIDATED=Y","Sort=A","Dates=H","DateFormat=P","Fill=—","Direction=H","UseDPDF=Y")</f>
        <v>#NAME?</v>
      </c>
      <c r="BT273" s="2" t="e">
        <f ca="1">_xll.BDH($C$253,"TOTAL_DEBT_SEQUENTIAL_GROWTH","FY 2018","FY 2018","Currency=INR","Period=FY","BEST_FPERIOD_OVERRIDE=FY","FILING_STATUS=OR","EQY_CONSOLIDATED=Y","Sort=A","Dates=H","DateFormat=P","Fill=—","Direction=H","UseDPDF=Y")</f>
        <v>#NAME?</v>
      </c>
      <c r="BU273" s="2" t="e">
        <f ca="1">_xll.BDH($C$253,"TOTAL_EQUITY_SEQUENTIAL_GROWTH","FY 2018","FY 2018","Currency=INR","Period=FY","BEST_FPERIOD_OVERRIDE=FY","FILING_STATUS=OR","EQY_CONSOLIDATED=Y","Sort=A","Dates=H","DateFormat=P","Fill=—","Direction=H","UseDPDF=Y")</f>
        <v>#NAME?</v>
      </c>
      <c r="BV273" s="2" t="e">
        <f ca="1">_xll.BDH($C$253,"TOTAL_CAPITAL_SEQUENTIAL_GROWTH","FY 2018","FY 2018","Currency=INR","Period=FY","BEST_FPERIOD_OVERRIDE=FY","FILING_STATUS=OR","EQY_CONSOLIDATED=Y","Sort=A","Dates=H","DateFormat=P","Fill=—","Direction=H","UseDPDF=Y")</f>
        <v>#NAME?</v>
      </c>
      <c r="BW273" s="2" t="e">
        <f ca="1">_xll.BDH($C$253,"BPS_SEQUENTIAL_GROWTH","FY 2018","FY 2018","Currency=INR","Period=FY","BEST_FPERIOD_OVERRIDE=FY","FILING_STATUS=OR","EQY_CONSOLIDATED=Y","Sort=A","Dates=H","DateFormat=P","Fill=—","Direction=H","UseDPDF=Y")</f>
        <v>#NAME?</v>
      </c>
      <c r="BX273" s="2" t="e">
        <f ca="1">_xll.BDH($C$253,"CFO_SEQUENTIAL_GROWTH","FY 2018","FY 2018","Currency=INR","Period=FY","BEST_FPERIOD_OVERRIDE=FY","FILING_STATUS=OR","EQY_CONSOLIDATED=Y","Sort=A","Dates=H","DateFormat=P","Fill=—","Direction=H","UseDPDF=Y")</f>
        <v>#NAME?</v>
      </c>
      <c r="BY273" s="3" t="e">
        <f ca="1">_xll.BDH($C$253,"SHORT_AND_LONG_TERM_DEBT","FY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273" s="3" t="e">
        <f ca="1">_xll.BDH($C$253,"BS_ST_BORROW","FY 2018","FY 2018","Currency=INR","Period=FY","BEST_FPERIOD_OVERRIDE=FY","FILING_STATUS=OR","EQY_CONSOLIDATED=Y","SCALING_FORMAT=MLN","Sort=A","Dates=H","DateFormat=P","Fill=—","Direction=H","UseDPDF=Y")</f>
        <v>#NAME?</v>
      </c>
      <c r="CA273" s="3" t="e">
        <f ca="1">_xll.BDH($C$253,"BS_LT_BORROW","FY 2018","FY 2018","Currency=INR","Period=FY","BEST_FPERIOD_OVERRIDE=FY","FILING_STATUS=OR","EQY_CONSOLIDATED=Y","SCALING_FORMAT=MLN","Sort=A","Dates=H","DateFormat=P","Fill=—","Direction=H","UseDPDF=Y")</f>
        <v>#NAME?</v>
      </c>
      <c r="CB273" s="2" t="e">
        <f ca="1">_xll.BDH($C$253,"TOT_DEBT_TO_EBITDA","FY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273" s="2" t="e">
        <f ca="1">_xll.BDH($C$253,"NET_DEBT_TO_EBITDA","FY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273" s="2" t="e">
        <f ca="1">_xll.BDH($C$253,"TOTAL_DEBT_TO_EBIT","FY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273" s="2" t="e">
        <f ca="1">_xll.BDH($C$253,"NET_DEBT_TO_EBIT","FY 2018","FY 2018","Currency=INR","Period=FY","BEST_FPERIOD_OVERRIDE=FY","FILING_STATUS=OR","EQY_CONSOLIDATED=Y","FA_ADJUSTED=GAAP","Sort=A","Dates=H","DateFormat=P","Fill=—","Direction=H","UseDPDF=Y")</f>
        <v>#NAME?</v>
      </c>
      <c r="CF273" s="2" t="e">
        <f ca="1">_xll.BDH($C$253,"EBITDA_TO_INTEREST_EXPN","FY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273" s="2" t="e">
        <f ca="1">_xll.BDH($C$253,"COM_EQY_TO_TOT_ASSET","FY 2018","FY 2018","Currency=INR","Period=FY","BEST_FPERIOD_OVERRIDE=FY","FILING_STATUS=OR","EQY_CONSOLIDATED=Y","Sort=A","Dates=H","DateFormat=P","Fill=—","Direction=H","UseDPDF=Y")</f>
        <v>#NAME?</v>
      </c>
      <c r="CH273" s="2" t="e">
        <f ca="1">_xll.BDH($C$253,"LT_DEBT_TO_TOT_EQY","FY 2018","FY 2018","Currency=INR","Period=FY","BEST_FPERIOD_OVERRIDE=FY","FILING_STATUS=OR","EQY_CONSOLIDATED=Y","Sort=A","Dates=H","DateFormat=P","Fill=—","Direction=H","UseDPDF=Y")</f>
        <v>#NAME?</v>
      </c>
      <c r="CI273" s="2" t="e">
        <f ca="1">_xll.BDH($C$253,"LT_DEBT_TO_TOT_CAP","FY 2018","FY 2018","Currency=INR","Period=FY","BEST_FPERIOD_OVERRIDE=FY","FILING_STATUS=OR","EQY_CONSOLIDATED=Y","Sort=A","Dates=H","DateFormat=P","Fill=—","Direction=H","UseDPDF=Y")</f>
        <v>#NAME?</v>
      </c>
      <c r="CJ273" s="2" t="e">
        <f ca="1">_xll.BDH($C$253,"LT_DEBT_TO_TOT_ASSET","FY 2018","FY 2018","Currency=INR","Period=FY","BEST_FPERIOD_OVERRIDE=FY","FILING_STATUS=OR","EQY_CONSOLIDATED=Y","Sort=A","Dates=H","DateFormat=P","Fill=—","Direction=H","UseDPDF=Y")</f>
        <v>#NAME?</v>
      </c>
      <c r="CK273" s="2" t="e">
        <f ca="1">_xll.BDH($C$253,"TOT_DEBT_TO_TOT_EQY","FY 2018","FY 2018","Currency=INR","Period=FY","BEST_FPERIOD_OVERRIDE=FY","FILING_STATUS=OR","EQY_CONSOLIDATED=Y","Sort=A","Dates=H","DateFormat=P","Fill=—","Direction=H","UseDPDF=Y")</f>
        <v>#NAME?</v>
      </c>
      <c r="CL273" s="2" t="e">
        <f ca="1">_xll.BDH($C$253,"TOT_DEBT_TO_TOT_CAP","FY 2018","FY 2018","Currency=INR","Period=FY","BEST_FPERIOD_OVERRIDE=FY","FILING_STATUS=OR","EQY_CONSOLIDATED=Y","Sort=A","Dates=H","DateFormat=P","Fill=—","Direction=H","UseDPDF=Y")</f>
        <v>#NAME?</v>
      </c>
      <c r="CM273" s="2" t="e">
        <f ca="1">_xll.BDH($C$253,"TOT_DEBT_TO_TOT_ASSET","FY 2018","FY 2018","Currency=INR","Period=FY","BEST_FPERIOD_OVERRIDE=FY","FILING_STATUS=OR","EQY_CONSOLIDATED=Y","Sort=A","Dates=H","DateFormat=P","Fill=—","Direction=H","UseDPDF=Y")</f>
        <v>#NAME?</v>
      </c>
      <c r="CN273" s="2" t="e">
        <f ca="1">_xll.BDH($C$253,"NET_DEBT_TO_SHRHLDR_EQTY","FY 2018","FY 2018","Currency=INR","Period=FY","BEST_FPERIOD_OVERRIDE=FY","FILING_STATUS=OR","EQY_CONSOLIDATED=Y","Sort=A","Dates=H","DateFormat=P","Fill=—","Direction=H","UseDPDF=Y")</f>
        <v>#NAME?</v>
      </c>
      <c r="CO273" s="2" t="e">
        <f ca="1">_xll.BDH($C$253,"NET_DEBT_%_CAPITAL","FY 2018","FY 2018","Currency=INR","Period=FY","BEST_FPERIOD_OVERRIDE=FY","FILING_STATUS=OR","EQY_CONSOLIDATED=Y","Sort=A","Dates=H","DateFormat=P","Fill=—","Direction=H","UseDPDF=Y")</f>
        <v>#NAME?</v>
      </c>
      <c r="CP273" s="3" t="e">
        <f ca="1">_xll.BDH($C$253,"EBITDA","FY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273" s="3" t="e">
        <f ca="1">_xll.BDH($C$253,"EBITDA_AFTER_CAPEX","FY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273" s="3" t="e">
        <f ca="1">_xll.BDH($C$253,"IS_OPER_INC","FY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273" s="2" t="e">
        <f ca="1">_xll.BDH($C$253,"CASH_RATIO","FY 2018","FY 2018","Currency=INR","Period=FY","BEST_FPERIOD_OVERRIDE=FY","FILING_STATUS=OR","EQY_CONSOLIDATED=Y","Sort=A","Dates=H","DateFormat=P","Fill=—","Direction=H","UseDPDF=Y")</f>
        <v>#NAME?</v>
      </c>
      <c r="CT273" s="2" t="e">
        <f ca="1">_xll.BDH($C$253,"CUR_RATIO","FY 2018","FY 2018","Currency=INR","Period=FY","BEST_FPERIOD_OVERRIDE=FY","FILING_STATUS=OR","EQY_CONSOLIDATED=Y","Sort=A","Dates=H","DateFormat=P","Fill=—","Direction=H","UseDPDF=Y")</f>
        <v>#NAME?</v>
      </c>
      <c r="CU273" s="2" t="e">
        <f ca="1">_xll.BDH($C$253,"QUICK_RATIO","FY 2018","FY 2018","Currency=INR","Period=FY","BEST_FPERIOD_OVERRIDE=FY","FILING_STATUS=OR","EQY_CONSOLIDATED=Y","Sort=A","Dates=H","DateFormat=P","Fill=—","Direction=H","UseDPDF=Y")</f>
        <v>#NAME?</v>
      </c>
      <c r="CV273" s="2" t="e">
        <f ca="1">_xll.BDH($C$253,"ALTMAN_Z_SCORE","FY 2018","FY 2018","Currency=INR","Period=FY","BEST_FPERIOD_OVERRIDE=FY","FILING_STATUS=OR","EQY_CONSOLIDATED=Y","Sort=A","Dates=H","DateFormat=P","Fill=—","Direction=H","UseDPDF=Y")</f>
        <v>#NAME?</v>
      </c>
      <c r="CW273" s="4" t="e">
        <f ca="1">_xll.BDH($C$253,"ACCT_RCV_TURN","FY 2018","FY 2018","Currency=INR","Period=FY","BEST_FPERIOD_OVERRIDE=FY","FILING_STATUS=OR","EQY_CONSOLIDATED=Y","FA_ADJUSTED=GAAP","Sort=A","Dates=H","DateFormat=P","Fill=—","Direction=H","UseDPDF=Y")</f>
        <v>#NAME?</v>
      </c>
      <c r="CX273" s="2" t="e">
        <f ca="1">_xll.BDH($C$253,"ACCT_RCV_DAYS","FY 2018","FY 2018","Currency=INR","Period=FY","BEST_FPERIOD_OVERRIDE=FY","FILING_STATUS=OR","EQY_CONSOLIDATED=Y","FA_ADJUSTED=GAAP","Sort=A","Dates=H","DateFormat=P","Fill=—","Direction=H","UseDPDF=Y")</f>
        <v>#NAME?</v>
      </c>
      <c r="CY273" s="4" t="e">
        <f ca="1">_xll.BDH($C$253,"INVENT_TURN","FY 2018","FY 2018","Currency=INR","Period=FY","BEST_FPERIOD_OVERRIDE=FY","FILING_STATUS=OR","EQY_CONSOLIDATED=Y","FA_ADJUSTED=GAAP","Sort=A","Dates=H","DateFormat=P","Fill=—","Direction=H","UseDPDF=Y")</f>
        <v>#NAME?</v>
      </c>
      <c r="CZ273" s="2" t="e">
        <f ca="1">_xll.BDH($C$253,"INVENT_DAYS","FY 2018","FY 2018","Currency=INR","Period=FY","BEST_FPERIOD_OVERRIDE=FY","FILING_STATUS=OR","EQY_CONSOLIDATED=Y","FA_ADJUSTED=GAAP","Sort=A","Dates=H","DateFormat=P","Fill=—","Direction=H","UseDPDF=Y")</f>
        <v>#NAME?</v>
      </c>
      <c r="DA273" s="4" t="e">
        <f ca="1">_xll.BDH($C$253,"ACCOUNTS_PAYABLE_TURNOVER","FY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273" s="2" t="e">
        <f ca="1">_xll.BDH($C$253,"ACCOUNTS_PAYABLE_TURNOVER_DAYS","FY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273" s="4" t="e">
        <f ca="1">_xll.BDH($C$253,"CASH_CONVERSION_CYCLE","FY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273" s="4" t="e">
        <f ca="1">_xll.BDH($C$253,"INV_TO_CASH_DAYS","FY 2018","FY 2018","Currency=INR","Period=FY","BEST_FPERIOD_OVERRIDE=FY","FILING_STATUS=OR","EQY_CONSOLIDATED=Y","FA_ADJUSTED=GAAP","Sort=A","Dates=H","DateFormat=P","Fill=—","Direction=H","UseDPDF=Y")</f>
        <v>#NAME?</v>
      </c>
      <c r="DE273" s="5" t="e">
        <f ca="1">_xll.BDH($C$253,"BS_INVENTORIES","FY 2018","FY 2018","Currency=INR","Period=FY","BEST_FPERIOD_OVERRIDE=FY","FILING_STATUS=OR","EQY_CONSOLIDATED=Y","SCALING_FORMAT=MLN","Sort=A","Dates=H","DateFormat=P","Fill=—","Direction=H","UseDPDF=Y")</f>
        <v>#NAME?</v>
      </c>
      <c r="DF273" s="3" t="e">
        <f ca="1">_xll.BDH($C$253,"INVTRY_RAW_MATERIALS","FY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273" s="3" t="e">
        <f ca="1">_xll.BDH($C$253,"INVTRY_IN_PROGRESS","FY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273" s="3" t="e">
        <f ca="1">_xll.BDH($C$253,"INVTRY_FINISHED_GOODS","FY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273" s="3" t="e">
        <f ca="1">_xll.BDH($C$253,"BS_OTHER_INV","FY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274" spans="1:113" x14ac:dyDescent="0.3">
      <c r="A274" s="6"/>
      <c r="B274" s="6"/>
      <c r="C274" s="6"/>
      <c r="D274" s="6"/>
      <c r="E274" t="s">
        <v>78</v>
      </c>
      <c r="F274" t="e">
        <f ca="1">_xll.BDH($C$253,"RETURN_COM_EQY","FQ1 2018","FQ1 2018","Currency=INR","Period=FQ","BEST_FPERIOD_OVERRIDE=FQ","FILING_STATUS=OR","EQY_CONSOLIDATED=Y","FA_ADJUSTED=GAAP","Sort=A","Dates=H","DateFormat=P","Fill=—","Direction=H","UseDPDF=Y")</f>
        <v>#NAME?</v>
      </c>
      <c r="G274" t="e">
        <f ca="1">_xll.BDH($C$253,"RETURN_ON_ASSET","FQ1 2018","FQ1 2018","Currency=INR","Period=FQ","BEST_FPERIOD_OVERRIDE=FQ","FILING_STATUS=OR","EQY_CONSOLIDATED=Y","FA_ADJUSTED=GAAP","Sort=A","Dates=H","DateFormat=P","Fill=—","Direction=H","UseDPDF=Y")</f>
        <v>#NAME?</v>
      </c>
      <c r="H274" t="e">
        <f ca="1">_xll.BDH($C$253,"RETURN_ON_CAP","FQ1 2018","FQ1 2018","Currency=INR","Period=FQ","BEST_FPERIOD_OVERRIDE=FQ","FILING_STATUS=OR","EQY_CONSOLIDATED=Y","FA_ADJUSTED=GAAP","Sort=A","Dates=H","DateFormat=P","Fill=—","Direction=H","UseDPDF=Y")</f>
        <v>#NAME?</v>
      </c>
      <c r="I274" t="e">
        <f ca="1">_xll.BDH($C$253,"RETURN_ON_INV_CAPITAL","FQ1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274" t="e">
        <f ca="1">_xll.BDH($C$253,"EBITDA_TO_REVENUE","FQ1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274" t="e">
        <f ca="1">_xll.BDH($C$253,"OPER_MARGIN","FQ1 2018","FQ1 2018","Currency=INR","Period=FQ","BEST_FPERIOD_OVERRIDE=FQ","FILING_STATUS=OR","EQY_CONSOLIDATED=Y","FA_ADJUSTED=GAAP","Sort=A","Dates=H","DateFormat=P","Fill=—","Direction=H","UseDPDF=Y")</f>
        <v>#NAME?</v>
      </c>
      <c r="L274" t="e">
        <f ca="1">_xll.BDH($C$253,"INCREMENTAL_OPERATING_MARGIN","FQ1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274" t="e">
        <f ca="1">_xll.BDH($C$253,"PRETAX_INC_TO_NET_SALES","FQ1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274" t="e">
        <f ca="1">_xll.BDH($C$253,"INC_BEF_XO_ITEMS_TO_NET_SALES","FQ1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274" t="e">
        <f ca="1">_xll.BDH($C$253,"PROF_MARGIN","FQ1 2018","FQ1 2018","Currency=INR","Period=FQ","BEST_FPERIOD_OVERRIDE=FQ","FILING_STATUS=OR","EQY_CONSOLIDATED=Y","FA_ADJUSTED=GAAP","Sort=A","Dates=H","DateFormat=P","Fill=—","Direction=H","UseDPDF=Y")</f>
        <v>#NAME?</v>
      </c>
      <c r="P274" t="e">
        <f ca="1">_xll.BDH($C$253,"NET_INCOME_TO_COMMON_MARGIN","FQ1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274" t="e">
        <f ca="1">_xll.BDH($C$253,"EFF_TAX_RATE","FQ1 2018","FQ1 2018","Currency=INR","Period=FQ","BEST_FPERIOD_OVERRIDE=FQ","FILING_STATUS=OR","EQY_CONSOLIDATED=Y","FA_ADJUSTED=GAAP","Sort=A","Dates=H","DateFormat=P","Fill=—","Direction=H","UseDPDF=Y")</f>
        <v>#NAME?</v>
      </c>
      <c r="R274" t="e">
        <f ca="1">_xll.BDH($C$253,"DVD_PAYOUT_RATIO","FQ1 2018","FQ1 2018","Currency=INR","Period=FQ","BEST_FPERIOD_OVERRIDE=FQ","FILING_STATUS=OR","EQY_CONSOLIDATED=Y","FA_ADJUSTED=GAAP","Sort=A","Dates=H","DateFormat=P","Fill=—","Direction=H","UseDPDF=Y")</f>
        <v>#NAME?</v>
      </c>
      <c r="S274" t="e">
        <f ca="1">_xll.BDH($C$253,"SUSTAIN_GROWTH_RT","FQ1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274" s="2" t="e">
        <f ca="1">_xll.BDH($C$253,"SALES_GROWTH","FQ1 2018","FQ1 2018","Currency=INR","Period=FQ","BEST_FPERIOD_OVERRIDE=FQ","FILING_STATUS=OR","EQY_CONSOLIDATED=Y","FA_ADJUSTED=GAAP","Sort=A","Dates=H","DateFormat=P","Fill=—","Direction=H","UseDPDF=Y")</f>
        <v>#NAME?</v>
      </c>
      <c r="U274" s="2" t="e">
        <f ca="1">_xll.BDH($C$253,"EBITDA_GROWTH","FQ1 2018","FQ1 2018","Currency=INR","Period=FQ","BEST_FPERIOD_OVERRIDE=FQ","FILING_STATUS=OR","EQY_CONSOLIDATED=Y","FA_ADJUSTED=GAAP","Sort=A","Dates=H","DateFormat=P","Fill=—","Direction=H","UseDPDF=Y")</f>
        <v>#NAME?</v>
      </c>
      <c r="V274" s="2" t="e">
        <f ca="1">_xll.BDH($C$253,"OPER_INC_GROWTH","FQ1 2018","FQ1 2018","Currency=INR","Period=FQ","BEST_FPERIOD_OVERRIDE=FQ","FILING_STATUS=OR","EQY_CONSOLIDATED=Y","FA_ADJUSTED=GAAP","Sort=A","Dates=H","DateFormat=P","Fill=—","Direction=H","UseDPDF=Y")</f>
        <v>#NAME?</v>
      </c>
      <c r="W274" s="2" t="e">
        <f ca="1">_xll.BDH($C$253,"EARN_FOR_COM_GROWTH","FQ1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274" s="2" t="e">
        <f ca="1">_xll.BDH($C$253,"DILUTED_EPS_AFT_XO_ITEMS_GROWTH","FQ1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274" s="2" t="e">
        <f ca="1">_xll.BDH($C$253,"DIVIDEND_PER_SHARE_1_YEAR_GROWTH","FQ1 2018","FQ1 2018","Currency=INR","Period=FQ","BEST_FPERIOD_OVERRIDE=FQ","FILING_STATUS=OR","EQY_CONSOLIDATED=Y","Sort=A","Dates=H","DateFormat=P","Fill=—","Direction=H","UseDPDF=Y")</f>
        <v>#NAME?</v>
      </c>
      <c r="Z274" s="2" t="e">
        <f ca="1">_xll.BDH($C$253,"ACCOUNTS_RECEIVABLE_GROWTH","FQ1 2018","FQ1 2018","Currency=INR","Period=FQ","BEST_FPERIOD_OVERRIDE=FQ","FILING_STATUS=OR","EQY_CONSOLIDATED=Y","Sort=A","Dates=H","DateFormat=P","Fill=—","Direction=H","UseDPDF=Y")</f>
        <v>#NAME?</v>
      </c>
      <c r="AA274" s="2" t="e">
        <f ca="1">_xll.BDH($C$253,"INVENTORY_GROWTH","FQ1 2018","FQ1 2018","Currency=INR","Period=FQ","BEST_FPERIOD_OVERRIDE=FQ","FILING_STATUS=OR","EQY_CONSOLIDATED=Y","Sort=A","Dates=H","DateFormat=P","Fill=—","Direction=H","UseDPDF=Y")</f>
        <v>#NAME?</v>
      </c>
      <c r="AB274" s="2" t="e">
        <f ca="1">_xll.BDH($C$253,"NET_FIXED_ASSETS_1_YEAR_GROWTH","FQ1 2018","FQ1 2018","Currency=INR","Period=FQ","BEST_FPERIOD_OVERRIDE=FQ","FILING_STATUS=OR","EQY_CONSOLIDATED=Y","Sort=A","Dates=H","DateFormat=P","Fill=—","Direction=H","UseDPDF=Y")</f>
        <v>#NAME?</v>
      </c>
      <c r="AC274" s="2" t="e">
        <f ca="1">_xll.BDH($C$253,"ASSET_GROWTH","FQ1 2018","FQ1 2018","Currency=INR","Period=FQ","BEST_FPERIOD_OVERRIDE=FQ","FILING_STATUS=OR","EQY_CONSOLIDATED=Y","Sort=A","Dates=H","DateFormat=P","Fill=—","Direction=H","UseDPDF=Y")</f>
        <v>#NAME?</v>
      </c>
      <c r="AD274" s="2" t="e">
        <f ca="1">_xll.BDH($C$253,"MODIFIED_WORK_CAP_GROWTH","FQ1 2018","FQ1 2018","Currency=INR","Period=FQ","BEST_FPERIOD_OVERRIDE=FQ","FILING_STATUS=OR","EQY_CONSOLIDATED=Y","Sort=A","Dates=H","DateFormat=P","Fill=—","Direction=H","UseDPDF=Y")</f>
        <v>#NAME?</v>
      </c>
      <c r="AE274" s="2" t="e">
        <f ca="1">_xll.BDH($C$253,"WORK_CAP_GROWTH","FQ1 2018","FQ1 2018","Currency=INR","Period=FQ","BEST_FPERIOD_OVERRIDE=FQ","FILING_STATUS=OR","EQY_CONSOLIDATED=Y","Sort=A","Dates=H","DateFormat=P","Fill=—","Direction=H","UseDPDF=Y")</f>
        <v>#NAME?</v>
      </c>
      <c r="AF274" s="2" t="e">
        <f ca="1">_xll.BDH($C$253,"ACCOUNTS_PAYABLE_GROWTH_1YR","FQ1 2018","FQ1 2018","Currency=INR","Period=FQ","BEST_FPERIOD_OVERRIDE=FQ","FILING_STATUS=OR","EQY_CONSOLIDATED=Y","Sort=A","Dates=H","DateFormat=P","Fill=—","Direction=H","UseDPDF=Y")</f>
        <v>#NAME?</v>
      </c>
      <c r="AG274" s="2" t="e">
        <f ca="1">_xll.BDH($C$253,"SHORT_TERM_DEBT_1_YEAR_GROWTH","FQ1 2018","FQ1 2018","Currency=INR","Period=FQ","BEST_FPERIOD_OVERRIDE=FQ","FILING_STATUS=OR","EQY_CONSOLIDATED=Y","Sort=A","Dates=H","DateFormat=P","Fill=—","Direction=H","UseDPDF=Y")</f>
        <v>#NAME?</v>
      </c>
      <c r="AH274" s="2" t="e">
        <f ca="1">_xll.BDH($C$253,"TOTAL_DEBT_1_YEAR_GROWTH","FQ1 2018","FQ1 2018","Currency=INR","Period=FQ","BEST_FPERIOD_OVERRIDE=FQ","FILING_STATUS=OR","EQY_CONSOLIDATED=Y","Sort=A","Dates=H","DateFormat=P","Fill=—","Direction=H","UseDPDF=Y")</f>
        <v>#NAME?</v>
      </c>
      <c r="AI274" s="2" t="e">
        <f ca="1">_xll.BDH($C$253,"TOTAL_EQUITY_1_YEAR_GROWTH","FQ1 2018","FQ1 2018","Currency=INR","Period=FQ","BEST_FPERIOD_OVERRIDE=FQ","FILING_STATUS=OR","EQY_CONSOLIDATED=Y","Sort=A","Dates=H","DateFormat=P","Fill=—","Direction=H","UseDPDF=Y")</f>
        <v>#NAME?</v>
      </c>
      <c r="AJ274" s="2" t="e">
        <f ca="1">_xll.BDH($C$253,"GROWTH_IN_CAP","FQ1 2018","FQ1 2018","Currency=INR","Period=FQ","BEST_FPERIOD_OVERRIDE=FQ","FILING_STATUS=OR","EQY_CONSOLIDATED=Y","Sort=A","Dates=H","DateFormat=P","Fill=—","Direction=H","UseDPDF=Y")</f>
        <v>#NAME?</v>
      </c>
      <c r="AK274" s="2" t="e">
        <f ca="1">_xll.BDH($C$253,"BVPS_GROWTH","FQ1 2018","FQ1 2018","Currency=INR","Period=FQ","BEST_FPERIOD_OVERRIDE=FQ","FILING_STATUS=OR","EQY_CONSOLIDATED=Y","Sort=A","Dates=H","DateFormat=P","Fill=—","Direction=H","UseDPDF=Y")</f>
        <v>#NAME?</v>
      </c>
      <c r="AL274" s="2" t="e">
        <f ca="1">_xll.BDH($C$253,"CASH_FLOW_GROWTH","FQ1 2018","FQ1 2018","Currency=INR","Period=FQ","BEST_FPERIOD_OVERRIDE=FQ","FILING_STATUS=OR","EQY_CONSOLIDATED=Y","Sort=A","Dates=H","DateFormat=P","Fill=—","Direction=H","UseDPDF=Y")</f>
        <v>#NAME?</v>
      </c>
      <c r="AM274" s="2" t="e">
        <f ca="1">_xll.BDH($C$253,"GEO_GROW_NET_SALES","FQ1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274" s="2" t="e">
        <f ca="1">_xll.BDH($C$253,"GEO_GROW_EBITDA","FQ1 2018","FQ1 2018","Currency=INR","Period=FQ","BEST_FPERIOD_OVERRIDE=FQ","FILING_STATUS=OR","EQY_CONSOLIDATED=Y","FA_ADJUSTED=GAAP","Sort=A","Dates=H","DateFormat=P","Fill=—","Direction=H","UseDPDF=Y")</f>
        <v>#NAME?</v>
      </c>
      <c r="AO274" s="2" t="e">
        <f ca="1">_xll.BDH($C$253,"GEO_GROW_OPER_INC","FQ1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274" s="2" t="e">
        <f ca="1">_xll.BDH($C$253,"NET_INCOME_TO_COMMON_5_YR_GROWTH","FQ1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274" s="2" t="e">
        <f ca="1">_xll.BDH($C$253,"5Y_GEO_GROWTH_DILUTED_EPS","FQ1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274" s="2" t="e">
        <f ca="1">_xll.BDH($C$253,"GEO_GROW_DVD_PER_SH","FQ1 2018","FQ1 2018","Currency=INR","Period=FQ","BEST_FPERIOD_OVERRIDE=FQ","FILING_STATUS=OR","EQY_CONSOLIDATED=Y","Sort=A","Dates=H","DateFormat=P","Fill=—","Direction=H","UseDPDF=Y")</f>
        <v>#NAME?</v>
      </c>
      <c r="AS274" s="2" t="e">
        <f ca="1">_xll.BDH($C$253,"ACCOUNTS_RECEIVABLE_5_YR_GROWTH","FQ1 2018","FQ1 2018","Currency=INR","Period=FQ","BEST_FPERIOD_OVERRIDE=FQ","FILING_STATUS=OR","EQY_CONSOLIDATED=Y","Sort=A","Dates=H","DateFormat=P","Fill=—","Direction=H","UseDPDF=Y")</f>
        <v>#NAME?</v>
      </c>
      <c r="AT274" s="2" t="e">
        <f ca="1">_xll.BDH($C$253,"INVENTORY_5_YEAR_GROWTH","FQ1 2018","FQ1 2018","Currency=INR","Period=FQ","BEST_FPERIOD_OVERRIDE=FQ","FILING_STATUS=OR","EQY_CONSOLIDATED=Y","Sort=A","Dates=H","DateFormat=P","Fill=—","Direction=H","UseDPDF=Y")</f>
        <v>#NAME?</v>
      </c>
      <c r="AU274" s="2" t="e">
        <f ca="1">_xll.BDH($C$253,"NET_FIXED_ASSETS_5_YEAR_GROWTH","FQ1 2018","FQ1 2018","Currency=INR","Period=FQ","BEST_FPERIOD_OVERRIDE=FQ","FILING_STATUS=OR","EQY_CONSOLIDATED=Y","Sort=A","Dates=H","DateFormat=P","Fill=—","Direction=H","UseDPDF=Y")</f>
        <v>#NAME?</v>
      </c>
      <c r="AV274" s="2" t="e">
        <f ca="1">_xll.BDH($C$253,"GEO_GROW_TOT_ASSET","FQ1 2018","FQ1 2018","Currency=INR","Period=FQ","BEST_FPERIOD_OVERRIDE=FQ","FILING_STATUS=OR","EQY_CONSOLIDATED=Y","Sort=A","Dates=H","DateFormat=P","Fill=—","Direction=H","UseDPDF=Y")</f>
        <v>#NAME?</v>
      </c>
      <c r="AW274" s="2" t="e">
        <f ca="1">_xll.BDH($C$253,"MODIFIED_WORKING_CPTL_5YR_GRWTH","FQ1 2018","FQ1 2018","Currency=INR","Period=FQ","BEST_FPERIOD_OVERRIDE=FQ","FILING_STATUS=OR","EQY_CONSOLIDATED=Y","Sort=A","Dates=H","DateFormat=P","Fill=—","Direction=H","UseDPDF=Y")</f>
        <v>#NAME?</v>
      </c>
      <c r="AX274" s="2" t="e">
        <f ca="1">_xll.BDH($C$253,"WORKING_CAPITAL_5_YEAR_GROWTH","FQ1 2018","FQ1 2018","Currency=INR","Period=FQ","BEST_FPERIOD_OVERRIDE=FQ","FILING_STATUS=OR","EQY_CONSOLIDATED=Y","Sort=A","Dates=H","DateFormat=P","Fill=—","Direction=H","UseDPDF=Y")</f>
        <v>#NAME?</v>
      </c>
      <c r="AY274" s="2" t="e">
        <f ca="1">_xll.BDH($C$253,"ACCOUNTS_PAYABLE_5_YEAR_GROWTH","FQ1 2018","FQ1 2018","Currency=INR","Period=FQ","BEST_FPERIOD_OVERRIDE=FQ","FILING_STATUS=OR","EQY_CONSOLIDATED=Y","Sort=A","Dates=H","DateFormat=P","Fill=—","Direction=H","UseDPDF=Y")</f>
        <v>#NAME?</v>
      </c>
      <c r="AZ274" s="2" t="e">
        <f ca="1">_xll.BDH($C$253,"SHORT_TERM_DEBT_5_YEAR_GROWTH","FQ1 2018","FQ1 2018","Currency=INR","Period=FQ","BEST_FPERIOD_OVERRIDE=FQ","FILING_STATUS=OR","EQY_CONSOLIDATED=Y","Sort=A","Dates=H","DateFormat=P","Fill=—","Direction=H","UseDPDF=Y")</f>
        <v>#NAME?</v>
      </c>
      <c r="BA274" s="2" t="e">
        <f ca="1">_xll.BDH($C$253,"TOTAL_DEBT_5_YEAR_GROWTH","FQ1 2018","FQ1 2018","Currency=INR","Period=FQ","BEST_FPERIOD_OVERRIDE=FQ","FILING_STATUS=OR","EQY_CONSOLIDATED=Y","Sort=A","Dates=H","DateFormat=P","Fill=—","Direction=H","UseDPDF=Y")</f>
        <v>#NAME?</v>
      </c>
      <c r="BB274" s="2" t="e">
        <f ca="1">_xll.BDH($C$253,"GEO_GROW_TOT_SHRHLDR_EQY","FQ1 2018","FQ1 2018","Currency=INR","Period=FQ","BEST_FPERIOD_OVERRIDE=FQ","FILING_STATUS=OR","EQY_CONSOLIDATED=Y","Sort=A","Dates=H","DateFormat=P","Fill=—","Direction=H","UseDPDF=Y")</f>
        <v>#NAME?</v>
      </c>
      <c r="BC274" s="2" t="e">
        <f ca="1">_xll.BDH($C$253,"TOTAL_CAPITAL_5_YEAR_GROWTH","FQ1 2018","FQ1 2018","Currency=INR","Period=FQ","BEST_FPERIOD_OVERRIDE=FQ","FILING_STATUS=OR","EQY_CONSOLIDATED=Y","Sort=A","Dates=H","DateFormat=P","Fill=—","Direction=H","UseDPDF=Y")</f>
        <v>#NAME?</v>
      </c>
      <c r="BD274" s="2" t="e">
        <f ca="1">_xll.BDH($C$253,"GEO_GROW_BOOK_VAL","FQ1 2018","FQ1 2018","Currency=INR","Period=FQ","BEST_FPERIOD_OVERRIDE=FQ","FILING_STATUS=OR","EQY_CONSOLIDATED=Y","Sort=A","Dates=H","DateFormat=P","Fill=—","Direction=H","UseDPDF=Y")</f>
        <v>#NAME?</v>
      </c>
      <c r="BE274" s="2" t="e">
        <f ca="1">_xll.BDH($C$253,"GEO_GROW_CASH_OPER_ACT","FQ1 2018","FQ1 2018","Currency=INR","Period=FQ","BEST_FPERIOD_OVERRIDE=FQ","FILING_STATUS=OR","EQY_CONSOLIDATED=Y","Sort=A","Dates=H","DateFormat=P","Fill=—","Direction=H","UseDPDF=Y")</f>
        <v>#NAME?</v>
      </c>
      <c r="BF274" s="2" t="e">
        <f ca="1">_xll.BDH($C$253,"REVENUE_SEQUENTIAL_GROWTH","FQ1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274" s="2" t="e">
        <f ca="1">_xll.BDH($C$253,"EBITDA_SEQUENTIAL_GROWTH","FQ1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274" s="2" t="e">
        <f ca="1">_xll.BDH($C$253,"OPERATING_INCOME_SEQ_GROWTH","FQ1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274" s="2" t="e">
        <f ca="1">_xll.BDH($C$253,"NET_INCOME_TO_COMMON_SEQ_GROWTH","FQ1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274" s="2" t="e">
        <f ca="1">_xll.BDH($C$253,"EPS_DILUTED_SEQUENTIAL_GROWTH","FQ1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274" s="2" t="e">
        <f ca="1">_xll.BDH($C$253,"DPS_SEQUENTIAL_GROWTH","FQ1 2018","FQ1 2018","Currency=INR","Period=FQ","BEST_FPERIOD_OVERRIDE=FQ","FILING_STATUS=OR","EQY_CONSOLIDATED=Y","Sort=A","Dates=H","DateFormat=P","Fill=—","Direction=H","UseDPDF=Y")</f>
        <v>#NAME?</v>
      </c>
      <c r="BL274" s="2" t="e">
        <f ca="1">_xll.BDH($C$253,"ACCOUNTS_RECEIVABLE_SEQ_GROWTH","FQ1 2018","FQ1 2018","Currency=INR","Period=FQ","BEST_FPERIOD_OVERRIDE=FQ","FILING_STATUS=OR","EQY_CONSOLIDATED=Y","Sort=A","Dates=H","DateFormat=P","Fill=—","Direction=H","UseDPDF=Y")</f>
        <v>#NAME?</v>
      </c>
      <c r="BM274" s="2" t="e">
        <f ca="1">_xll.BDH($C$253,"INVENTORY_SEQUENTIAL_GROWTH","FQ1 2018","FQ1 2018","Currency=INR","Period=FQ","BEST_FPERIOD_OVERRIDE=FQ","FILING_STATUS=OR","EQY_CONSOLIDATED=Y","Sort=A","Dates=H","DateFormat=P","Fill=—","Direction=H","UseDPDF=Y")</f>
        <v>#NAME?</v>
      </c>
      <c r="BN274" s="2" t="e">
        <f ca="1">_xll.BDH($C$253,"FIXED_ASSETS_SEQUENTIAL_GROWTH","FQ1 2018","FQ1 2018","Currency=INR","Period=FQ","BEST_FPERIOD_OVERRIDE=FQ","FILING_STATUS=OR","EQY_CONSOLIDATED=Y","Sort=A","Dates=H","DateFormat=P","Fill=—","Direction=H","UseDPDF=Y")</f>
        <v>#NAME?</v>
      </c>
      <c r="BO274" s="2" t="e">
        <f ca="1">_xll.BDH($C$253,"TOTAL_ASSETS_SEQUENTIAL_GROWTH","FQ1 2018","FQ1 2018","Currency=INR","Period=FQ","BEST_FPERIOD_OVERRIDE=FQ","FILING_STATUS=OR","EQY_CONSOLIDATED=Y","Sort=A","Dates=H","DateFormat=P","Fill=—","Direction=H","UseDPDF=Y")</f>
        <v>#NAME?</v>
      </c>
      <c r="BP274" s="2" t="e">
        <f ca="1">_xll.BDH($C$253,"MODIFIED_WORKING_CPTL_SEQ_GRWTH","FQ1 2018","FQ1 2018","Currency=INR","Period=FQ","BEST_FPERIOD_OVERRIDE=FQ","FILING_STATUS=OR","EQY_CONSOLIDATED=Y","Sort=A","Dates=H","DateFormat=P","Fill=—","Direction=H","UseDPDF=Y")</f>
        <v>#NAME?</v>
      </c>
      <c r="BQ274" s="2" t="e">
        <f ca="1">_xll.BDH($C$253,"WORKING_CAPITAL_SEQ_GROWTH","FQ1 2018","FQ1 2018","Currency=INR","Period=FQ","BEST_FPERIOD_OVERRIDE=FQ","FILING_STATUS=OR","EQY_CONSOLIDATED=Y","Sort=A","Dates=H","DateFormat=P","Fill=—","Direction=H","UseDPDF=Y")</f>
        <v>#NAME?</v>
      </c>
      <c r="BR274" s="2" t="e">
        <f ca="1">_xll.BDH($C$253,"ACCOUNTS_PAYABLE_SEQ_GROWTH","FQ1 2018","FQ1 2018","Currency=INR","Period=FQ","BEST_FPERIOD_OVERRIDE=FQ","FILING_STATUS=OR","EQY_CONSOLIDATED=Y","Sort=A","Dates=H","DateFormat=P","Fill=—","Direction=H","UseDPDF=Y")</f>
        <v>#NAME?</v>
      </c>
      <c r="BS274" s="2" t="e">
        <f ca="1">_xll.BDH($C$253,"ST_DEBT_SEQUENTIAL_GROWTH","FQ1 2018","FQ1 2018","Currency=INR","Period=FQ","BEST_FPERIOD_OVERRIDE=FQ","FILING_STATUS=OR","EQY_CONSOLIDATED=Y","Sort=A","Dates=H","DateFormat=P","Fill=—","Direction=H","UseDPDF=Y")</f>
        <v>#NAME?</v>
      </c>
      <c r="BT274" s="2" t="e">
        <f ca="1">_xll.BDH($C$253,"TOTAL_DEBT_SEQUENTIAL_GROWTH","FQ1 2018","FQ1 2018","Currency=INR","Period=FQ","BEST_FPERIOD_OVERRIDE=FQ","FILING_STATUS=OR","EQY_CONSOLIDATED=Y","Sort=A","Dates=H","DateFormat=P","Fill=—","Direction=H","UseDPDF=Y")</f>
        <v>#NAME?</v>
      </c>
      <c r="BU274" s="2" t="e">
        <f ca="1">_xll.BDH($C$253,"TOTAL_EQUITY_SEQUENTIAL_GROWTH","FQ1 2018","FQ1 2018","Currency=INR","Period=FQ","BEST_FPERIOD_OVERRIDE=FQ","FILING_STATUS=OR","EQY_CONSOLIDATED=Y","Sort=A","Dates=H","DateFormat=P","Fill=—","Direction=H","UseDPDF=Y")</f>
        <v>#NAME?</v>
      </c>
      <c r="BV274" s="2" t="e">
        <f ca="1">_xll.BDH($C$253,"TOTAL_CAPITAL_SEQUENTIAL_GROWTH","FQ1 2018","FQ1 2018","Currency=INR","Period=FQ","BEST_FPERIOD_OVERRIDE=FQ","FILING_STATUS=OR","EQY_CONSOLIDATED=Y","Sort=A","Dates=H","DateFormat=P","Fill=—","Direction=H","UseDPDF=Y")</f>
        <v>#NAME?</v>
      </c>
      <c r="BW274" s="2" t="e">
        <f ca="1">_xll.BDH($C$253,"BPS_SEQUENTIAL_GROWTH","FQ1 2018","FQ1 2018","Currency=INR","Period=FQ","BEST_FPERIOD_OVERRIDE=FQ","FILING_STATUS=OR","EQY_CONSOLIDATED=Y","Sort=A","Dates=H","DateFormat=P","Fill=—","Direction=H","UseDPDF=Y")</f>
        <v>#NAME?</v>
      </c>
      <c r="BX274" s="2" t="e">
        <f ca="1">_xll.BDH($C$253,"CFO_SEQUENTIAL_GROWTH","FQ1 2018","FQ1 2018","Currency=INR","Period=FQ","BEST_FPERIOD_OVERRIDE=FQ","FILING_STATUS=OR","EQY_CONSOLIDATED=Y","Sort=A","Dates=H","DateFormat=P","Fill=—","Direction=H","UseDPDF=Y")</f>
        <v>#NAME?</v>
      </c>
      <c r="BY274" s="3" t="e">
        <f ca="1">_xll.BDH($C$253,"SHORT_AND_LONG_TERM_DEBT","FQ1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274" s="3" t="e">
        <f ca="1">_xll.BDH($C$253,"BS_ST_BORROW","FQ1 2018","FQ1 2018","Currency=INR","Period=FQ","BEST_FPERIOD_OVERRIDE=FQ","FILING_STATUS=OR","EQY_CONSOLIDATED=Y","SCALING_FORMAT=MLN","Sort=A","Dates=H","DateFormat=P","Fill=—","Direction=H","UseDPDF=Y")</f>
        <v>#NAME?</v>
      </c>
      <c r="CA274" s="3" t="e">
        <f ca="1">_xll.BDH($C$253,"BS_LT_BORROW","FQ1 2018","FQ1 2018","Currency=INR","Period=FQ","BEST_FPERIOD_OVERRIDE=FQ","FILING_STATUS=OR","EQY_CONSOLIDATED=Y","SCALING_FORMAT=MLN","Sort=A","Dates=H","DateFormat=P","Fill=—","Direction=H","UseDPDF=Y")</f>
        <v>#NAME?</v>
      </c>
      <c r="CB274" s="2" t="e">
        <f ca="1">_xll.BDH($C$253,"TOT_DEBT_TO_EBITDA","FQ1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274" s="2" t="e">
        <f ca="1">_xll.BDH($C$253,"NET_DEBT_TO_EBITDA","FQ1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274" s="2" t="e">
        <f ca="1">_xll.BDH($C$253,"TOTAL_DEBT_TO_EBIT","FQ1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274" s="2" t="e">
        <f ca="1">_xll.BDH($C$253,"NET_DEBT_TO_EBIT","FQ1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274" s="2" t="e">
        <f ca="1">_xll.BDH($C$253,"EBITDA_TO_INTEREST_EXPN","FQ1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274" s="2" t="e">
        <f ca="1">_xll.BDH($C$253,"COM_EQY_TO_TOT_ASSET","FQ1 2018","FQ1 2018","Currency=INR","Period=FQ","BEST_FPERIOD_OVERRIDE=FQ","FILING_STATUS=OR","EQY_CONSOLIDATED=Y","Sort=A","Dates=H","DateFormat=P","Fill=—","Direction=H","UseDPDF=Y")</f>
        <v>#NAME?</v>
      </c>
      <c r="CH274" s="2" t="e">
        <f ca="1">_xll.BDH($C$253,"LT_DEBT_TO_TOT_EQY","FQ1 2018","FQ1 2018","Currency=INR","Period=FQ","BEST_FPERIOD_OVERRIDE=FQ","FILING_STATUS=OR","EQY_CONSOLIDATED=Y","Sort=A","Dates=H","DateFormat=P","Fill=—","Direction=H","UseDPDF=Y")</f>
        <v>#NAME?</v>
      </c>
      <c r="CI274" s="2" t="e">
        <f ca="1">_xll.BDH($C$253,"LT_DEBT_TO_TOT_CAP","FQ1 2018","FQ1 2018","Currency=INR","Period=FQ","BEST_FPERIOD_OVERRIDE=FQ","FILING_STATUS=OR","EQY_CONSOLIDATED=Y","Sort=A","Dates=H","DateFormat=P","Fill=—","Direction=H","UseDPDF=Y")</f>
        <v>#NAME?</v>
      </c>
      <c r="CJ274" s="2" t="e">
        <f ca="1">_xll.BDH($C$253,"LT_DEBT_TO_TOT_ASSET","FQ1 2018","FQ1 2018","Currency=INR","Period=FQ","BEST_FPERIOD_OVERRIDE=FQ","FILING_STATUS=OR","EQY_CONSOLIDATED=Y","Sort=A","Dates=H","DateFormat=P","Fill=—","Direction=H","UseDPDF=Y")</f>
        <v>#NAME?</v>
      </c>
      <c r="CK274" s="2" t="e">
        <f ca="1">_xll.BDH($C$253,"TOT_DEBT_TO_TOT_EQY","FQ1 2018","FQ1 2018","Currency=INR","Period=FQ","BEST_FPERIOD_OVERRIDE=FQ","FILING_STATUS=OR","EQY_CONSOLIDATED=Y","Sort=A","Dates=H","DateFormat=P","Fill=—","Direction=H","UseDPDF=Y")</f>
        <v>#NAME?</v>
      </c>
      <c r="CL274" s="2" t="e">
        <f ca="1">_xll.BDH($C$253,"TOT_DEBT_TO_TOT_CAP","FQ1 2018","FQ1 2018","Currency=INR","Period=FQ","BEST_FPERIOD_OVERRIDE=FQ","FILING_STATUS=OR","EQY_CONSOLIDATED=Y","Sort=A","Dates=H","DateFormat=P","Fill=—","Direction=H","UseDPDF=Y")</f>
        <v>#NAME?</v>
      </c>
      <c r="CM274" s="2" t="e">
        <f ca="1">_xll.BDH($C$253,"TOT_DEBT_TO_TOT_ASSET","FQ1 2018","FQ1 2018","Currency=INR","Period=FQ","BEST_FPERIOD_OVERRIDE=FQ","FILING_STATUS=OR","EQY_CONSOLIDATED=Y","Sort=A","Dates=H","DateFormat=P","Fill=—","Direction=H","UseDPDF=Y")</f>
        <v>#NAME?</v>
      </c>
      <c r="CN274" s="2" t="e">
        <f ca="1">_xll.BDH($C$253,"NET_DEBT_TO_SHRHLDR_EQTY","FQ1 2018","FQ1 2018","Currency=INR","Period=FQ","BEST_FPERIOD_OVERRIDE=FQ","FILING_STATUS=OR","EQY_CONSOLIDATED=Y","Sort=A","Dates=H","DateFormat=P","Fill=—","Direction=H","UseDPDF=Y")</f>
        <v>#NAME?</v>
      </c>
      <c r="CO274" s="2" t="e">
        <f ca="1">_xll.BDH($C$253,"NET_DEBT_%_CAPITAL","FQ1 2018","FQ1 2018","Currency=INR","Period=FQ","BEST_FPERIOD_OVERRIDE=FQ","FILING_STATUS=OR","EQY_CONSOLIDATED=Y","Sort=A","Dates=H","DateFormat=P","Fill=—","Direction=H","UseDPDF=Y")</f>
        <v>#NAME?</v>
      </c>
      <c r="CP274" s="3" t="e">
        <f ca="1">_xll.BDH($C$253,"EBITDA","FQ1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274" s="3" t="e">
        <f ca="1">_xll.BDH($C$253,"EBITDA_AFTER_CAPEX","FQ1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274" s="3" t="e">
        <f ca="1">_xll.BDH($C$253,"IS_OPER_INC","FQ1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274" s="2" t="e">
        <f ca="1">_xll.BDH($C$253,"CASH_RATIO","FQ1 2018","FQ1 2018","Currency=INR","Period=FQ","BEST_FPERIOD_OVERRIDE=FQ","FILING_STATUS=OR","EQY_CONSOLIDATED=Y","Sort=A","Dates=H","DateFormat=P","Fill=—","Direction=H","UseDPDF=Y")</f>
        <v>#NAME?</v>
      </c>
      <c r="CT274" s="2" t="e">
        <f ca="1">_xll.BDH($C$253,"CUR_RATIO","FQ1 2018","FQ1 2018","Currency=INR","Period=FQ","BEST_FPERIOD_OVERRIDE=FQ","FILING_STATUS=OR","EQY_CONSOLIDATED=Y","Sort=A","Dates=H","DateFormat=P","Fill=—","Direction=H","UseDPDF=Y")</f>
        <v>#NAME?</v>
      </c>
      <c r="CU274" s="2" t="e">
        <f ca="1">_xll.BDH($C$253,"QUICK_RATIO","FQ1 2018","FQ1 2018","Currency=INR","Period=FQ","BEST_FPERIOD_OVERRIDE=FQ","FILING_STATUS=OR","EQY_CONSOLIDATED=Y","Sort=A","Dates=H","DateFormat=P","Fill=—","Direction=H","UseDPDF=Y")</f>
        <v>#NAME?</v>
      </c>
      <c r="CV274" s="2" t="e">
        <f ca="1">_xll.BDH($C$253,"ALTMAN_Z_SCORE","FQ1 2018","FQ1 2018","Currency=INR","Period=FQ","BEST_FPERIOD_OVERRIDE=FQ","FILING_STATUS=OR","EQY_CONSOLIDATED=Y","Sort=A","Dates=H","DateFormat=P","Fill=—","Direction=H","UseDPDF=Y")</f>
        <v>#NAME?</v>
      </c>
      <c r="CW274" s="4" t="e">
        <f ca="1">_xll.BDH($C$253,"ACCT_RCV_TURN","FQ1 2018","FQ1 2018","Currency=INR","Period=FQ","BEST_FPERIOD_OVERRIDE=FQ","FILING_STATUS=OR","EQY_CONSOLIDATED=Y","FA_ADJUSTED=GAAP","Sort=A","Dates=H","DateFormat=P","Fill=—","Direction=H","UseDPDF=Y")</f>
        <v>#NAME?</v>
      </c>
      <c r="CX274" s="2" t="e">
        <f ca="1">_xll.BDH($C$253,"ACCT_RCV_DAYS","FQ1 2018","FQ1 2018","Currency=INR","Period=FQ","BEST_FPERIOD_OVERRIDE=FQ","FILING_STATUS=OR","EQY_CONSOLIDATED=Y","FA_ADJUSTED=GAAP","Sort=A","Dates=H","DateFormat=P","Fill=—","Direction=H","UseDPDF=Y")</f>
        <v>#NAME?</v>
      </c>
      <c r="CY274" s="4" t="e">
        <f ca="1">_xll.BDH($C$253,"INVENT_TURN","FQ1 2018","FQ1 2018","Currency=INR","Period=FQ","BEST_FPERIOD_OVERRIDE=FQ","FILING_STATUS=OR","EQY_CONSOLIDATED=Y","FA_ADJUSTED=GAAP","Sort=A","Dates=H","DateFormat=P","Fill=—","Direction=H","UseDPDF=Y")</f>
        <v>#NAME?</v>
      </c>
      <c r="CZ274" s="2" t="e">
        <f ca="1">_xll.BDH($C$253,"INVENT_DAYS","FQ1 2018","FQ1 2018","Currency=INR","Period=FQ","BEST_FPERIOD_OVERRIDE=FQ","FILING_STATUS=OR","EQY_CONSOLIDATED=Y","FA_ADJUSTED=GAAP","Sort=A","Dates=H","DateFormat=P","Fill=—","Direction=H","UseDPDF=Y")</f>
        <v>#NAME?</v>
      </c>
      <c r="DA274" s="4" t="e">
        <f ca="1">_xll.BDH($C$253,"ACCOUNTS_PAYABLE_TURNOVER","FQ1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274" s="2" t="e">
        <f ca="1">_xll.BDH($C$253,"ACCOUNTS_PAYABLE_TURNOVER_DAYS","FQ1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274" s="4" t="e">
        <f ca="1">_xll.BDH($C$253,"CASH_CONVERSION_CYCLE","FQ1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274" s="4" t="e">
        <f ca="1">_xll.BDH($C$253,"INV_TO_CASH_DAYS","FQ1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274" s="5" t="e">
        <f ca="1">_xll.BDH($C$253,"BS_INVENTORIES","FQ1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274" s="3" t="e">
        <f ca="1">_xll.BDH($C$253,"INVTRY_RAW_MATERIALS","FQ1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274" s="3" t="e">
        <f ca="1">_xll.BDH($C$253,"INVTRY_IN_PROGRESS","FQ1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274" s="3" t="e">
        <f ca="1">_xll.BDH($C$253,"INVTRY_FINISHED_GOODS","FQ1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274" s="3" t="e">
        <f ca="1">_xll.BDH($C$253,"BS_OTHER_INV","FQ1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275" spans="1:113" x14ac:dyDescent="0.3">
      <c r="A275" s="6"/>
      <c r="B275" s="6"/>
      <c r="C275" s="6"/>
      <c r="D275" s="6"/>
      <c r="E275" t="s">
        <v>79</v>
      </c>
      <c r="F275" t="e">
        <f ca="1">_xll.BDH($C$253,"RETURN_COM_EQY","FQ2 2018","FQ2 2018","Currency=INR","Period=FQ","BEST_FPERIOD_OVERRIDE=FQ","FILING_STATUS=OR","EQY_CONSOLIDATED=Y","FA_ADJUSTED=GAAP","Sort=A","Dates=H","DateFormat=P","Fill=—","Direction=H","UseDPDF=Y")</f>
        <v>#NAME?</v>
      </c>
      <c r="G275" t="e">
        <f ca="1">_xll.BDH($C$253,"RETURN_ON_ASSET","FQ2 2018","FQ2 2018","Currency=INR","Period=FQ","BEST_FPERIOD_OVERRIDE=FQ","FILING_STATUS=OR","EQY_CONSOLIDATED=Y","FA_ADJUSTED=GAAP","Sort=A","Dates=H","DateFormat=P","Fill=—","Direction=H","UseDPDF=Y")</f>
        <v>#NAME?</v>
      </c>
      <c r="H275" t="e">
        <f ca="1">_xll.BDH($C$253,"RETURN_ON_CAP","FQ2 2018","FQ2 2018","Currency=INR","Period=FQ","BEST_FPERIOD_OVERRIDE=FQ","FILING_STATUS=OR","EQY_CONSOLIDATED=Y","FA_ADJUSTED=GAAP","Sort=A","Dates=H","DateFormat=P","Fill=—","Direction=H","UseDPDF=Y")</f>
        <v>#NAME?</v>
      </c>
      <c r="I275" t="e">
        <f ca="1">_xll.BDH($C$253,"RETURN_ON_INV_CAPITAL","FQ2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275" t="e">
        <f ca="1">_xll.BDH($C$253,"EBITDA_TO_REVENUE","FQ2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275" t="e">
        <f ca="1">_xll.BDH($C$253,"OPER_MARGIN","FQ2 2018","FQ2 2018","Currency=INR","Period=FQ","BEST_FPERIOD_OVERRIDE=FQ","FILING_STATUS=OR","EQY_CONSOLIDATED=Y","FA_ADJUSTED=GAAP","Sort=A","Dates=H","DateFormat=P","Fill=—","Direction=H","UseDPDF=Y")</f>
        <v>#NAME?</v>
      </c>
      <c r="L275" t="e">
        <f ca="1">_xll.BDH($C$253,"INCREMENTAL_OPERATING_MARGIN","FQ2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275" t="e">
        <f ca="1">_xll.BDH($C$253,"PRETAX_INC_TO_NET_SALES","FQ2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275" t="e">
        <f ca="1">_xll.BDH($C$253,"INC_BEF_XO_ITEMS_TO_NET_SALES","FQ2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275" t="e">
        <f ca="1">_xll.BDH($C$253,"PROF_MARGIN","FQ2 2018","FQ2 2018","Currency=INR","Period=FQ","BEST_FPERIOD_OVERRIDE=FQ","FILING_STATUS=OR","EQY_CONSOLIDATED=Y","FA_ADJUSTED=GAAP","Sort=A","Dates=H","DateFormat=P","Fill=—","Direction=H","UseDPDF=Y")</f>
        <v>#NAME?</v>
      </c>
      <c r="P275" t="e">
        <f ca="1">_xll.BDH($C$253,"NET_INCOME_TO_COMMON_MARGIN","FQ2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275" t="e">
        <f ca="1">_xll.BDH($C$253,"EFF_TAX_RATE","FQ2 2018","FQ2 2018","Currency=INR","Period=FQ","BEST_FPERIOD_OVERRIDE=FQ","FILING_STATUS=OR","EQY_CONSOLIDATED=Y","FA_ADJUSTED=GAAP","Sort=A","Dates=H","DateFormat=P","Fill=—","Direction=H","UseDPDF=Y")</f>
        <v>#NAME?</v>
      </c>
      <c r="R275" t="e">
        <f ca="1">_xll.BDH($C$253,"DVD_PAYOUT_RATIO","FQ2 2018","FQ2 2018","Currency=INR","Period=FQ","BEST_FPERIOD_OVERRIDE=FQ","FILING_STATUS=OR","EQY_CONSOLIDATED=Y","FA_ADJUSTED=GAAP","Sort=A","Dates=H","DateFormat=P","Fill=—","Direction=H","UseDPDF=Y")</f>
        <v>#NAME?</v>
      </c>
      <c r="S275" t="e">
        <f ca="1">_xll.BDH($C$253,"SUSTAIN_GROWTH_RT","FQ2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275" s="2" t="e">
        <f ca="1">_xll.BDH($C$253,"SALES_GROWTH","FQ2 2018","FQ2 2018","Currency=INR","Period=FQ","BEST_FPERIOD_OVERRIDE=FQ","FILING_STATUS=OR","EQY_CONSOLIDATED=Y","FA_ADJUSTED=GAAP","Sort=A","Dates=H","DateFormat=P","Fill=—","Direction=H","UseDPDF=Y")</f>
        <v>#NAME?</v>
      </c>
      <c r="U275" s="2" t="e">
        <f ca="1">_xll.BDH($C$253,"EBITDA_GROWTH","FQ2 2018","FQ2 2018","Currency=INR","Period=FQ","BEST_FPERIOD_OVERRIDE=FQ","FILING_STATUS=OR","EQY_CONSOLIDATED=Y","FA_ADJUSTED=GAAP","Sort=A","Dates=H","DateFormat=P","Fill=—","Direction=H","UseDPDF=Y")</f>
        <v>#NAME?</v>
      </c>
      <c r="V275" s="2" t="e">
        <f ca="1">_xll.BDH($C$253,"OPER_INC_GROWTH","FQ2 2018","FQ2 2018","Currency=INR","Period=FQ","BEST_FPERIOD_OVERRIDE=FQ","FILING_STATUS=OR","EQY_CONSOLIDATED=Y","FA_ADJUSTED=GAAP","Sort=A","Dates=H","DateFormat=P","Fill=—","Direction=H","UseDPDF=Y")</f>
        <v>#NAME?</v>
      </c>
      <c r="W275" s="2" t="e">
        <f ca="1">_xll.BDH($C$253,"EARN_FOR_COM_GROWTH","FQ2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275" s="2" t="e">
        <f ca="1">_xll.BDH($C$253,"DILUTED_EPS_AFT_XO_ITEMS_GROWTH","FQ2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275" s="2" t="e">
        <f ca="1">_xll.BDH($C$253,"DIVIDEND_PER_SHARE_1_YEAR_GROWTH","FQ2 2018","FQ2 2018","Currency=INR","Period=FQ","BEST_FPERIOD_OVERRIDE=FQ","FILING_STATUS=OR","EQY_CONSOLIDATED=Y","Sort=A","Dates=H","DateFormat=P","Fill=—","Direction=H","UseDPDF=Y")</f>
        <v>#NAME?</v>
      </c>
      <c r="Z275" s="2" t="e">
        <f ca="1">_xll.BDH($C$253,"ACCOUNTS_RECEIVABLE_GROWTH","FQ2 2018","FQ2 2018","Currency=INR","Period=FQ","BEST_FPERIOD_OVERRIDE=FQ","FILING_STATUS=OR","EQY_CONSOLIDATED=Y","Sort=A","Dates=H","DateFormat=P","Fill=—","Direction=H","UseDPDF=Y")</f>
        <v>#NAME?</v>
      </c>
      <c r="AA275" s="2" t="e">
        <f ca="1">_xll.BDH($C$253,"INVENTORY_GROWTH","FQ2 2018","FQ2 2018","Currency=INR","Period=FQ","BEST_FPERIOD_OVERRIDE=FQ","FILING_STATUS=OR","EQY_CONSOLIDATED=Y","Sort=A","Dates=H","DateFormat=P","Fill=—","Direction=H","UseDPDF=Y")</f>
        <v>#NAME?</v>
      </c>
      <c r="AB275" s="2" t="e">
        <f ca="1">_xll.BDH($C$253,"NET_FIXED_ASSETS_1_YEAR_GROWTH","FQ2 2018","FQ2 2018","Currency=INR","Period=FQ","BEST_FPERIOD_OVERRIDE=FQ","FILING_STATUS=OR","EQY_CONSOLIDATED=Y","Sort=A","Dates=H","DateFormat=P","Fill=—","Direction=H","UseDPDF=Y")</f>
        <v>#NAME?</v>
      </c>
      <c r="AC275" s="2" t="e">
        <f ca="1">_xll.BDH($C$253,"ASSET_GROWTH","FQ2 2018","FQ2 2018","Currency=INR","Period=FQ","BEST_FPERIOD_OVERRIDE=FQ","FILING_STATUS=OR","EQY_CONSOLIDATED=Y","Sort=A","Dates=H","DateFormat=P","Fill=—","Direction=H","UseDPDF=Y")</f>
        <v>#NAME?</v>
      </c>
      <c r="AD275" s="2" t="e">
        <f ca="1">_xll.BDH($C$253,"MODIFIED_WORK_CAP_GROWTH","FQ2 2018","FQ2 2018","Currency=INR","Period=FQ","BEST_FPERIOD_OVERRIDE=FQ","FILING_STATUS=OR","EQY_CONSOLIDATED=Y","Sort=A","Dates=H","DateFormat=P","Fill=—","Direction=H","UseDPDF=Y")</f>
        <v>#NAME?</v>
      </c>
      <c r="AE275" s="2" t="e">
        <f ca="1">_xll.BDH($C$253,"WORK_CAP_GROWTH","FQ2 2018","FQ2 2018","Currency=INR","Period=FQ","BEST_FPERIOD_OVERRIDE=FQ","FILING_STATUS=OR","EQY_CONSOLIDATED=Y","Sort=A","Dates=H","DateFormat=P","Fill=—","Direction=H","UseDPDF=Y")</f>
        <v>#NAME?</v>
      </c>
      <c r="AF275" s="2" t="e">
        <f ca="1">_xll.BDH($C$253,"ACCOUNTS_PAYABLE_GROWTH_1YR","FQ2 2018","FQ2 2018","Currency=INR","Period=FQ","BEST_FPERIOD_OVERRIDE=FQ","FILING_STATUS=OR","EQY_CONSOLIDATED=Y","Sort=A","Dates=H","DateFormat=P","Fill=—","Direction=H","UseDPDF=Y")</f>
        <v>#NAME?</v>
      </c>
      <c r="AG275" s="2" t="e">
        <f ca="1">_xll.BDH($C$253,"SHORT_TERM_DEBT_1_YEAR_GROWTH","FQ2 2018","FQ2 2018","Currency=INR","Period=FQ","BEST_FPERIOD_OVERRIDE=FQ","FILING_STATUS=OR","EQY_CONSOLIDATED=Y","Sort=A","Dates=H","DateFormat=P","Fill=—","Direction=H","UseDPDF=Y")</f>
        <v>#NAME?</v>
      </c>
      <c r="AH275" s="2" t="e">
        <f ca="1">_xll.BDH($C$253,"TOTAL_DEBT_1_YEAR_GROWTH","FQ2 2018","FQ2 2018","Currency=INR","Period=FQ","BEST_FPERIOD_OVERRIDE=FQ","FILING_STATUS=OR","EQY_CONSOLIDATED=Y","Sort=A","Dates=H","DateFormat=P","Fill=—","Direction=H","UseDPDF=Y")</f>
        <v>#NAME?</v>
      </c>
      <c r="AI275" s="2" t="e">
        <f ca="1">_xll.BDH($C$253,"TOTAL_EQUITY_1_YEAR_GROWTH","FQ2 2018","FQ2 2018","Currency=INR","Period=FQ","BEST_FPERIOD_OVERRIDE=FQ","FILING_STATUS=OR","EQY_CONSOLIDATED=Y","Sort=A","Dates=H","DateFormat=P","Fill=—","Direction=H","UseDPDF=Y")</f>
        <v>#NAME?</v>
      </c>
      <c r="AJ275" s="2" t="e">
        <f ca="1">_xll.BDH($C$253,"GROWTH_IN_CAP","FQ2 2018","FQ2 2018","Currency=INR","Period=FQ","BEST_FPERIOD_OVERRIDE=FQ","FILING_STATUS=OR","EQY_CONSOLIDATED=Y","Sort=A","Dates=H","DateFormat=P","Fill=—","Direction=H","UseDPDF=Y")</f>
        <v>#NAME?</v>
      </c>
      <c r="AK275" s="2" t="e">
        <f ca="1">_xll.BDH($C$253,"BVPS_GROWTH","FQ2 2018","FQ2 2018","Currency=INR","Period=FQ","BEST_FPERIOD_OVERRIDE=FQ","FILING_STATUS=OR","EQY_CONSOLIDATED=Y","Sort=A","Dates=H","DateFormat=P","Fill=—","Direction=H","UseDPDF=Y")</f>
        <v>#NAME?</v>
      </c>
      <c r="AL275" s="2" t="e">
        <f ca="1">_xll.BDH($C$253,"CASH_FLOW_GROWTH","FQ2 2018","FQ2 2018","Currency=INR","Period=FQ","BEST_FPERIOD_OVERRIDE=FQ","FILING_STATUS=OR","EQY_CONSOLIDATED=Y","Sort=A","Dates=H","DateFormat=P","Fill=—","Direction=H","UseDPDF=Y")</f>
        <v>#NAME?</v>
      </c>
      <c r="AM275" s="2" t="e">
        <f ca="1">_xll.BDH($C$253,"GEO_GROW_NET_SALES","FQ2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275" s="2" t="e">
        <f ca="1">_xll.BDH($C$253,"GEO_GROW_EBITDA","FQ2 2018","FQ2 2018","Currency=INR","Period=FQ","BEST_FPERIOD_OVERRIDE=FQ","FILING_STATUS=OR","EQY_CONSOLIDATED=Y","FA_ADJUSTED=GAAP","Sort=A","Dates=H","DateFormat=P","Fill=—","Direction=H","UseDPDF=Y")</f>
        <v>#NAME?</v>
      </c>
      <c r="AO275" s="2" t="e">
        <f ca="1">_xll.BDH($C$253,"GEO_GROW_OPER_INC","FQ2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275" s="2" t="e">
        <f ca="1">_xll.BDH($C$253,"NET_INCOME_TO_COMMON_5_YR_GROWTH","FQ2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275" s="2" t="e">
        <f ca="1">_xll.BDH($C$253,"5Y_GEO_GROWTH_DILUTED_EPS","FQ2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275" s="2" t="e">
        <f ca="1">_xll.BDH($C$253,"GEO_GROW_DVD_PER_SH","FQ2 2018","FQ2 2018","Currency=INR","Period=FQ","BEST_FPERIOD_OVERRIDE=FQ","FILING_STATUS=OR","EQY_CONSOLIDATED=Y","Sort=A","Dates=H","DateFormat=P","Fill=—","Direction=H","UseDPDF=Y")</f>
        <v>#NAME?</v>
      </c>
      <c r="AS275" s="2" t="e">
        <f ca="1">_xll.BDH($C$253,"ACCOUNTS_RECEIVABLE_5_YR_GROWTH","FQ2 2018","FQ2 2018","Currency=INR","Period=FQ","BEST_FPERIOD_OVERRIDE=FQ","FILING_STATUS=OR","EQY_CONSOLIDATED=Y","Sort=A","Dates=H","DateFormat=P","Fill=—","Direction=H","UseDPDF=Y")</f>
        <v>#NAME?</v>
      </c>
      <c r="AT275" s="2" t="e">
        <f ca="1">_xll.BDH($C$253,"INVENTORY_5_YEAR_GROWTH","FQ2 2018","FQ2 2018","Currency=INR","Period=FQ","BEST_FPERIOD_OVERRIDE=FQ","FILING_STATUS=OR","EQY_CONSOLIDATED=Y","Sort=A","Dates=H","DateFormat=P","Fill=—","Direction=H","UseDPDF=Y")</f>
        <v>#NAME?</v>
      </c>
      <c r="AU275" s="2" t="e">
        <f ca="1">_xll.BDH($C$253,"NET_FIXED_ASSETS_5_YEAR_GROWTH","FQ2 2018","FQ2 2018","Currency=INR","Period=FQ","BEST_FPERIOD_OVERRIDE=FQ","FILING_STATUS=OR","EQY_CONSOLIDATED=Y","Sort=A","Dates=H","DateFormat=P","Fill=—","Direction=H","UseDPDF=Y")</f>
        <v>#NAME?</v>
      </c>
      <c r="AV275" s="2" t="e">
        <f ca="1">_xll.BDH($C$253,"GEO_GROW_TOT_ASSET","FQ2 2018","FQ2 2018","Currency=INR","Period=FQ","BEST_FPERIOD_OVERRIDE=FQ","FILING_STATUS=OR","EQY_CONSOLIDATED=Y","Sort=A","Dates=H","DateFormat=P","Fill=—","Direction=H","UseDPDF=Y")</f>
        <v>#NAME?</v>
      </c>
      <c r="AW275" s="2" t="e">
        <f ca="1">_xll.BDH($C$253,"MODIFIED_WORKING_CPTL_5YR_GRWTH","FQ2 2018","FQ2 2018","Currency=INR","Period=FQ","BEST_FPERIOD_OVERRIDE=FQ","FILING_STATUS=OR","EQY_CONSOLIDATED=Y","Sort=A","Dates=H","DateFormat=P","Fill=—","Direction=H","UseDPDF=Y")</f>
        <v>#NAME?</v>
      </c>
      <c r="AX275" s="2" t="e">
        <f ca="1">_xll.BDH($C$253,"WORKING_CAPITAL_5_YEAR_GROWTH","FQ2 2018","FQ2 2018","Currency=INR","Period=FQ","BEST_FPERIOD_OVERRIDE=FQ","FILING_STATUS=OR","EQY_CONSOLIDATED=Y","Sort=A","Dates=H","DateFormat=P","Fill=—","Direction=H","UseDPDF=Y")</f>
        <v>#NAME?</v>
      </c>
      <c r="AY275" s="2" t="e">
        <f ca="1">_xll.BDH($C$253,"ACCOUNTS_PAYABLE_5_YEAR_GROWTH","FQ2 2018","FQ2 2018","Currency=INR","Period=FQ","BEST_FPERIOD_OVERRIDE=FQ","FILING_STATUS=OR","EQY_CONSOLIDATED=Y","Sort=A","Dates=H","DateFormat=P","Fill=—","Direction=H","UseDPDF=Y")</f>
        <v>#NAME?</v>
      </c>
      <c r="AZ275" s="2" t="e">
        <f ca="1">_xll.BDH($C$253,"SHORT_TERM_DEBT_5_YEAR_GROWTH","FQ2 2018","FQ2 2018","Currency=INR","Period=FQ","BEST_FPERIOD_OVERRIDE=FQ","FILING_STATUS=OR","EQY_CONSOLIDATED=Y","Sort=A","Dates=H","DateFormat=P","Fill=—","Direction=H","UseDPDF=Y")</f>
        <v>#NAME?</v>
      </c>
      <c r="BA275" s="2" t="e">
        <f ca="1">_xll.BDH($C$253,"TOTAL_DEBT_5_YEAR_GROWTH","FQ2 2018","FQ2 2018","Currency=INR","Period=FQ","BEST_FPERIOD_OVERRIDE=FQ","FILING_STATUS=OR","EQY_CONSOLIDATED=Y","Sort=A","Dates=H","DateFormat=P","Fill=—","Direction=H","UseDPDF=Y")</f>
        <v>#NAME?</v>
      </c>
      <c r="BB275" s="2" t="e">
        <f ca="1">_xll.BDH($C$253,"GEO_GROW_TOT_SHRHLDR_EQY","FQ2 2018","FQ2 2018","Currency=INR","Period=FQ","BEST_FPERIOD_OVERRIDE=FQ","FILING_STATUS=OR","EQY_CONSOLIDATED=Y","Sort=A","Dates=H","DateFormat=P","Fill=—","Direction=H","UseDPDF=Y")</f>
        <v>#NAME?</v>
      </c>
      <c r="BC275" s="2" t="e">
        <f ca="1">_xll.BDH($C$253,"TOTAL_CAPITAL_5_YEAR_GROWTH","FQ2 2018","FQ2 2018","Currency=INR","Period=FQ","BEST_FPERIOD_OVERRIDE=FQ","FILING_STATUS=OR","EQY_CONSOLIDATED=Y","Sort=A","Dates=H","DateFormat=P","Fill=—","Direction=H","UseDPDF=Y")</f>
        <v>#NAME?</v>
      </c>
      <c r="BD275" s="2" t="e">
        <f ca="1">_xll.BDH($C$253,"GEO_GROW_BOOK_VAL","FQ2 2018","FQ2 2018","Currency=INR","Period=FQ","BEST_FPERIOD_OVERRIDE=FQ","FILING_STATUS=OR","EQY_CONSOLIDATED=Y","Sort=A","Dates=H","DateFormat=P","Fill=—","Direction=H","UseDPDF=Y")</f>
        <v>#NAME?</v>
      </c>
      <c r="BE275" s="2" t="e">
        <f ca="1">_xll.BDH($C$253,"GEO_GROW_CASH_OPER_ACT","FQ2 2018","FQ2 2018","Currency=INR","Period=FQ","BEST_FPERIOD_OVERRIDE=FQ","FILING_STATUS=OR","EQY_CONSOLIDATED=Y","Sort=A","Dates=H","DateFormat=P","Fill=—","Direction=H","UseDPDF=Y")</f>
        <v>#NAME?</v>
      </c>
      <c r="BF275" s="2" t="e">
        <f ca="1">_xll.BDH($C$253,"REVENUE_SEQUENTIAL_GROWTH","FQ2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275" s="2" t="e">
        <f ca="1">_xll.BDH($C$253,"EBITDA_SEQUENTIAL_GROWTH","FQ2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275" s="2" t="e">
        <f ca="1">_xll.BDH($C$253,"OPERATING_INCOME_SEQ_GROWTH","FQ2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275" s="2" t="e">
        <f ca="1">_xll.BDH($C$253,"NET_INCOME_TO_COMMON_SEQ_GROWTH","FQ2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275" s="2" t="e">
        <f ca="1">_xll.BDH($C$253,"EPS_DILUTED_SEQUENTIAL_GROWTH","FQ2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275" s="2" t="e">
        <f ca="1">_xll.BDH($C$253,"DPS_SEQUENTIAL_GROWTH","FQ2 2018","FQ2 2018","Currency=INR","Period=FQ","BEST_FPERIOD_OVERRIDE=FQ","FILING_STATUS=OR","EQY_CONSOLIDATED=Y","Sort=A","Dates=H","DateFormat=P","Fill=—","Direction=H","UseDPDF=Y")</f>
        <v>#NAME?</v>
      </c>
      <c r="BL275" s="2" t="e">
        <f ca="1">_xll.BDH($C$253,"ACCOUNTS_RECEIVABLE_SEQ_GROWTH","FQ2 2018","FQ2 2018","Currency=INR","Period=FQ","BEST_FPERIOD_OVERRIDE=FQ","FILING_STATUS=OR","EQY_CONSOLIDATED=Y","Sort=A","Dates=H","DateFormat=P","Fill=—","Direction=H","UseDPDF=Y")</f>
        <v>#NAME?</v>
      </c>
      <c r="BM275" s="2" t="e">
        <f ca="1">_xll.BDH($C$253,"INVENTORY_SEQUENTIAL_GROWTH","FQ2 2018","FQ2 2018","Currency=INR","Period=FQ","BEST_FPERIOD_OVERRIDE=FQ","FILING_STATUS=OR","EQY_CONSOLIDATED=Y","Sort=A","Dates=H","DateFormat=P","Fill=—","Direction=H","UseDPDF=Y")</f>
        <v>#NAME?</v>
      </c>
      <c r="BN275" s="2" t="e">
        <f ca="1">_xll.BDH($C$253,"FIXED_ASSETS_SEQUENTIAL_GROWTH","FQ2 2018","FQ2 2018","Currency=INR","Period=FQ","BEST_FPERIOD_OVERRIDE=FQ","FILING_STATUS=OR","EQY_CONSOLIDATED=Y","Sort=A","Dates=H","DateFormat=P","Fill=—","Direction=H","UseDPDF=Y")</f>
        <v>#NAME?</v>
      </c>
      <c r="BO275" s="2" t="e">
        <f ca="1">_xll.BDH($C$253,"TOTAL_ASSETS_SEQUENTIAL_GROWTH","FQ2 2018","FQ2 2018","Currency=INR","Period=FQ","BEST_FPERIOD_OVERRIDE=FQ","FILING_STATUS=OR","EQY_CONSOLIDATED=Y","Sort=A","Dates=H","DateFormat=P","Fill=—","Direction=H","UseDPDF=Y")</f>
        <v>#NAME?</v>
      </c>
      <c r="BP275" s="2" t="e">
        <f ca="1">_xll.BDH($C$253,"MODIFIED_WORKING_CPTL_SEQ_GRWTH","FQ2 2018","FQ2 2018","Currency=INR","Period=FQ","BEST_FPERIOD_OVERRIDE=FQ","FILING_STATUS=OR","EQY_CONSOLIDATED=Y","Sort=A","Dates=H","DateFormat=P","Fill=—","Direction=H","UseDPDF=Y")</f>
        <v>#NAME?</v>
      </c>
      <c r="BQ275" s="2" t="e">
        <f ca="1">_xll.BDH($C$253,"WORKING_CAPITAL_SEQ_GROWTH","FQ2 2018","FQ2 2018","Currency=INR","Period=FQ","BEST_FPERIOD_OVERRIDE=FQ","FILING_STATUS=OR","EQY_CONSOLIDATED=Y","Sort=A","Dates=H","DateFormat=P","Fill=—","Direction=H","UseDPDF=Y")</f>
        <v>#NAME?</v>
      </c>
      <c r="BR275" s="2" t="e">
        <f ca="1">_xll.BDH($C$253,"ACCOUNTS_PAYABLE_SEQ_GROWTH","FQ2 2018","FQ2 2018","Currency=INR","Period=FQ","BEST_FPERIOD_OVERRIDE=FQ","FILING_STATUS=OR","EQY_CONSOLIDATED=Y","Sort=A","Dates=H","DateFormat=P","Fill=—","Direction=H","UseDPDF=Y")</f>
        <v>#NAME?</v>
      </c>
      <c r="BS275" s="2" t="e">
        <f ca="1">_xll.BDH($C$253,"ST_DEBT_SEQUENTIAL_GROWTH","FQ2 2018","FQ2 2018","Currency=INR","Period=FQ","BEST_FPERIOD_OVERRIDE=FQ","FILING_STATUS=OR","EQY_CONSOLIDATED=Y","Sort=A","Dates=H","DateFormat=P","Fill=—","Direction=H","UseDPDF=Y")</f>
        <v>#NAME?</v>
      </c>
      <c r="BT275" s="2" t="e">
        <f ca="1">_xll.BDH($C$253,"TOTAL_DEBT_SEQUENTIAL_GROWTH","FQ2 2018","FQ2 2018","Currency=INR","Period=FQ","BEST_FPERIOD_OVERRIDE=FQ","FILING_STATUS=OR","EQY_CONSOLIDATED=Y","Sort=A","Dates=H","DateFormat=P","Fill=—","Direction=H","UseDPDF=Y")</f>
        <v>#NAME?</v>
      </c>
      <c r="BU275" s="2" t="e">
        <f ca="1">_xll.BDH($C$253,"TOTAL_EQUITY_SEQUENTIAL_GROWTH","FQ2 2018","FQ2 2018","Currency=INR","Period=FQ","BEST_FPERIOD_OVERRIDE=FQ","FILING_STATUS=OR","EQY_CONSOLIDATED=Y","Sort=A","Dates=H","DateFormat=P","Fill=—","Direction=H","UseDPDF=Y")</f>
        <v>#NAME?</v>
      </c>
      <c r="BV275" s="2" t="e">
        <f ca="1">_xll.BDH($C$253,"TOTAL_CAPITAL_SEQUENTIAL_GROWTH","FQ2 2018","FQ2 2018","Currency=INR","Period=FQ","BEST_FPERIOD_OVERRIDE=FQ","FILING_STATUS=OR","EQY_CONSOLIDATED=Y","Sort=A","Dates=H","DateFormat=P","Fill=—","Direction=H","UseDPDF=Y")</f>
        <v>#NAME?</v>
      </c>
      <c r="BW275" s="2" t="e">
        <f ca="1">_xll.BDH($C$253,"BPS_SEQUENTIAL_GROWTH","FQ2 2018","FQ2 2018","Currency=INR","Period=FQ","BEST_FPERIOD_OVERRIDE=FQ","FILING_STATUS=OR","EQY_CONSOLIDATED=Y","Sort=A","Dates=H","DateFormat=P","Fill=—","Direction=H","UseDPDF=Y")</f>
        <v>#NAME?</v>
      </c>
      <c r="BX275" s="2" t="e">
        <f ca="1">_xll.BDH($C$253,"CFO_SEQUENTIAL_GROWTH","FQ2 2018","FQ2 2018","Currency=INR","Period=FQ","BEST_FPERIOD_OVERRIDE=FQ","FILING_STATUS=OR","EQY_CONSOLIDATED=Y","Sort=A","Dates=H","DateFormat=P","Fill=—","Direction=H","UseDPDF=Y")</f>
        <v>#NAME?</v>
      </c>
      <c r="BY275" s="3" t="e">
        <f ca="1">_xll.BDH($C$253,"SHORT_AND_LONG_TERM_DEBT","FQ2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275" s="3" t="e">
        <f ca="1">_xll.BDH($C$253,"BS_ST_BORROW","FQ2 2018","FQ2 2018","Currency=INR","Period=FQ","BEST_FPERIOD_OVERRIDE=FQ","FILING_STATUS=OR","EQY_CONSOLIDATED=Y","SCALING_FORMAT=MLN","Sort=A","Dates=H","DateFormat=P","Fill=—","Direction=H","UseDPDF=Y")</f>
        <v>#NAME?</v>
      </c>
      <c r="CA275" s="3" t="e">
        <f ca="1">_xll.BDH($C$253,"BS_LT_BORROW","FQ2 2018","FQ2 2018","Currency=INR","Period=FQ","BEST_FPERIOD_OVERRIDE=FQ","FILING_STATUS=OR","EQY_CONSOLIDATED=Y","SCALING_FORMAT=MLN","Sort=A","Dates=H","DateFormat=P","Fill=—","Direction=H","UseDPDF=Y")</f>
        <v>#NAME?</v>
      </c>
      <c r="CB275" s="2" t="e">
        <f ca="1">_xll.BDH($C$253,"TOT_DEBT_TO_EBITDA","FQ2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275" s="2" t="e">
        <f ca="1">_xll.BDH($C$253,"NET_DEBT_TO_EBITDA","FQ2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275" s="2" t="e">
        <f ca="1">_xll.BDH($C$253,"TOTAL_DEBT_TO_EBIT","FQ2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275" s="2" t="e">
        <f ca="1">_xll.BDH($C$253,"NET_DEBT_TO_EBIT","FQ2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275" s="2" t="e">
        <f ca="1">_xll.BDH($C$253,"EBITDA_TO_INTEREST_EXPN","FQ2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275" s="2" t="e">
        <f ca="1">_xll.BDH($C$253,"COM_EQY_TO_TOT_ASSET","FQ2 2018","FQ2 2018","Currency=INR","Period=FQ","BEST_FPERIOD_OVERRIDE=FQ","FILING_STATUS=OR","EQY_CONSOLIDATED=Y","Sort=A","Dates=H","DateFormat=P","Fill=—","Direction=H","UseDPDF=Y")</f>
        <v>#NAME?</v>
      </c>
      <c r="CH275" s="2" t="e">
        <f ca="1">_xll.BDH($C$253,"LT_DEBT_TO_TOT_EQY","FQ2 2018","FQ2 2018","Currency=INR","Period=FQ","BEST_FPERIOD_OVERRIDE=FQ","FILING_STATUS=OR","EQY_CONSOLIDATED=Y","Sort=A","Dates=H","DateFormat=P","Fill=—","Direction=H","UseDPDF=Y")</f>
        <v>#NAME?</v>
      </c>
      <c r="CI275" s="2" t="e">
        <f ca="1">_xll.BDH($C$253,"LT_DEBT_TO_TOT_CAP","FQ2 2018","FQ2 2018","Currency=INR","Period=FQ","BEST_FPERIOD_OVERRIDE=FQ","FILING_STATUS=OR","EQY_CONSOLIDATED=Y","Sort=A","Dates=H","DateFormat=P","Fill=—","Direction=H","UseDPDF=Y")</f>
        <v>#NAME?</v>
      </c>
      <c r="CJ275" s="2" t="e">
        <f ca="1">_xll.BDH($C$253,"LT_DEBT_TO_TOT_ASSET","FQ2 2018","FQ2 2018","Currency=INR","Period=FQ","BEST_FPERIOD_OVERRIDE=FQ","FILING_STATUS=OR","EQY_CONSOLIDATED=Y","Sort=A","Dates=H","DateFormat=P","Fill=—","Direction=H","UseDPDF=Y")</f>
        <v>#NAME?</v>
      </c>
      <c r="CK275" s="2" t="e">
        <f ca="1">_xll.BDH($C$253,"TOT_DEBT_TO_TOT_EQY","FQ2 2018","FQ2 2018","Currency=INR","Period=FQ","BEST_FPERIOD_OVERRIDE=FQ","FILING_STATUS=OR","EQY_CONSOLIDATED=Y","Sort=A","Dates=H","DateFormat=P","Fill=—","Direction=H","UseDPDF=Y")</f>
        <v>#NAME?</v>
      </c>
      <c r="CL275" s="2" t="e">
        <f ca="1">_xll.BDH($C$253,"TOT_DEBT_TO_TOT_CAP","FQ2 2018","FQ2 2018","Currency=INR","Period=FQ","BEST_FPERIOD_OVERRIDE=FQ","FILING_STATUS=OR","EQY_CONSOLIDATED=Y","Sort=A","Dates=H","DateFormat=P","Fill=—","Direction=H","UseDPDF=Y")</f>
        <v>#NAME?</v>
      </c>
      <c r="CM275" s="2" t="e">
        <f ca="1">_xll.BDH($C$253,"TOT_DEBT_TO_TOT_ASSET","FQ2 2018","FQ2 2018","Currency=INR","Period=FQ","BEST_FPERIOD_OVERRIDE=FQ","FILING_STATUS=OR","EQY_CONSOLIDATED=Y","Sort=A","Dates=H","DateFormat=P","Fill=—","Direction=H","UseDPDF=Y")</f>
        <v>#NAME?</v>
      </c>
      <c r="CN275" s="2" t="e">
        <f ca="1">_xll.BDH($C$253,"NET_DEBT_TO_SHRHLDR_EQTY","FQ2 2018","FQ2 2018","Currency=INR","Period=FQ","BEST_FPERIOD_OVERRIDE=FQ","FILING_STATUS=OR","EQY_CONSOLIDATED=Y","Sort=A","Dates=H","DateFormat=P","Fill=—","Direction=H","UseDPDF=Y")</f>
        <v>#NAME?</v>
      </c>
      <c r="CO275" s="2" t="e">
        <f ca="1">_xll.BDH($C$253,"NET_DEBT_%_CAPITAL","FQ2 2018","FQ2 2018","Currency=INR","Period=FQ","BEST_FPERIOD_OVERRIDE=FQ","FILING_STATUS=OR","EQY_CONSOLIDATED=Y","Sort=A","Dates=H","DateFormat=P","Fill=—","Direction=H","UseDPDF=Y")</f>
        <v>#NAME?</v>
      </c>
      <c r="CP275" s="3" t="e">
        <f ca="1">_xll.BDH($C$253,"EBITDA","FQ2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275" s="3" t="e">
        <f ca="1">_xll.BDH($C$253,"EBITDA_AFTER_CAPEX","FQ2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275" s="3" t="e">
        <f ca="1">_xll.BDH($C$253,"IS_OPER_INC","FQ2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275" s="2" t="e">
        <f ca="1">_xll.BDH($C$253,"CASH_RATIO","FQ2 2018","FQ2 2018","Currency=INR","Period=FQ","BEST_FPERIOD_OVERRIDE=FQ","FILING_STATUS=OR","EQY_CONSOLIDATED=Y","Sort=A","Dates=H","DateFormat=P","Fill=—","Direction=H","UseDPDF=Y")</f>
        <v>#NAME?</v>
      </c>
      <c r="CT275" s="2" t="e">
        <f ca="1">_xll.BDH($C$253,"CUR_RATIO","FQ2 2018","FQ2 2018","Currency=INR","Period=FQ","BEST_FPERIOD_OVERRIDE=FQ","FILING_STATUS=OR","EQY_CONSOLIDATED=Y","Sort=A","Dates=H","DateFormat=P","Fill=—","Direction=H","UseDPDF=Y")</f>
        <v>#NAME?</v>
      </c>
      <c r="CU275" s="2" t="e">
        <f ca="1">_xll.BDH($C$253,"QUICK_RATIO","FQ2 2018","FQ2 2018","Currency=INR","Period=FQ","BEST_FPERIOD_OVERRIDE=FQ","FILING_STATUS=OR","EQY_CONSOLIDATED=Y","Sort=A","Dates=H","DateFormat=P","Fill=—","Direction=H","UseDPDF=Y")</f>
        <v>#NAME?</v>
      </c>
      <c r="CV275" s="2" t="e">
        <f ca="1">_xll.BDH($C$253,"ALTMAN_Z_SCORE","FQ2 2018","FQ2 2018","Currency=INR","Period=FQ","BEST_FPERIOD_OVERRIDE=FQ","FILING_STATUS=OR","EQY_CONSOLIDATED=Y","Sort=A","Dates=H","DateFormat=P","Fill=—","Direction=H","UseDPDF=Y")</f>
        <v>#NAME?</v>
      </c>
      <c r="CW275" s="4" t="e">
        <f ca="1">_xll.BDH($C$253,"ACCT_RCV_TURN","FQ2 2018","FQ2 2018","Currency=INR","Period=FQ","BEST_FPERIOD_OVERRIDE=FQ","FILING_STATUS=OR","EQY_CONSOLIDATED=Y","FA_ADJUSTED=GAAP","Sort=A","Dates=H","DateFormat=P","Fill=—","Direction=H","UseDPDF=Y")</f>
        <v>#NAME?</v>
      </c>
      <c r="CX275" s="2" t="e">
        <f ca="1">_xll.BDH($C$253,"ACCT_RCV_DAYS","FQ2 2018","FQ2 2018","Currency=INR","Period=FQ","BEST_FPERIOD_OVERRIDE=FQ","FILING_STATUS=OR","EQY_CONSOLIDATED=Y","FA_ADJUSTED=GAAP","Sort=A","Dates=H","DateFormat=P","Fill=—","Direction=H","UseDPDF=Y")</f>
        <v>#NAME?</v>
      </c>
      <c r="CY275" s="4" t="e">
        <f ca="1">_xll.BDH($C$253,"INVENT_TURN","FQ2 2018","FQ2 2018","Currency=INR","Period=FQ","BEST_FPERIOD_OVERRIDE=FQ","FILING_STATUS=OR","EQY_CONSOLIDATED=Y","FA_ADJUSTED=GAAP","Sort=A","Dates=H","DateFormat=P","Fill=—","Direction=H","UseDPDF=Y")</f>
        <v>#NAME?</v>
      </c>
      <c r="CZ275" s="2" t="e">
        <f ca="1">_xll.BDH($C$253,"INVENT_DAYS","FQ2 2018","FQ2 2018","Currency=INR","Period=FQ","BEST_FPERIOD_OVERRIDE=FQ","FILING_STATUS=OR","EQY_CONSOLIDATED=Y","FA_ADJUSTED=GAAP","Sort=A","Dates=H","DateFormat=P","Fill=—","Direction=H","UseDPDF=Y")</f>
        <v>#NAME?</v>
      </c>
      <c r="DA275" s="4" t="e">
        <f ca="1">_xll.BDH($C$253,"ACCOUNTS_PAYABLE_TURNOVER","FQ2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275" s="2" t="e">
        <f ca="1">_xll.BDH($C$253,"ACCOUNTS_PAYABLE_TURNOVER_DAYS","FQ2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275" s="4" t="e">
        <f ca="1">_xll.BDH($C$253,"CASH_CONVERSION_CYCLE","FQ2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275" s="4" t="e">
        <f ca="1">_xll.BDH($C$253,"INV_TO_CASH_DAYS","FQ2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275" s="5" t="e">
        <f ca="1">_xll.BDH($C$253,"BS_INVENTORIES","FQ2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275" s="3" t="e">
        <f ca="1">_xll.BDH($C$253,"INVTRY_RAW_MATERIALS","FQ2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275" s="3" t="e">
        <f ca="1">_xll.BDH($C$253,"INVTRY_IN_PROGRESS","FQ2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275" s="3" t="e">
        <f ca="1">_xll.BDH($C$253,"INVTRY_FINISHED_GOODS","FQ2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275" s="3" t="e">
        <f ca="1">_xll.BDH($C$253,"BS_OTHER_INV","FQ2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276" spans="1:113" x14ac:dyDescent="0.3">
      <c r="A276" s="6"/>
      <c r="B276" s="6"/>
      <c r="C276" s="6"/>
      <c r="D276" s="6"/>
      <c r="E276" t="s">
        <v>80</v>
      </c>
      <c r="F276" t="e">
        <f ca="1">_xll.BDH($C$253,"RETURN_COM_EQY","FQ3 2018","FQ3 2018","Currency=INR","Period=FQ","BEST_FPERIOD_OVERRIDE=FQ","FILING_STATUS=OR","EQY_CONSOLIDATED=Y","FA_ADJUSTED=GAAP","Sort=A","Dates=H","DateFormat=P","Fill=—","Direction=H","UseDPDF=Y")</f>
        <v>#NAME?</v>
      </c>
      <c r="G276" t="e">
        <f ca="1">_xll.BDH($C$253,"RETURN_ON_ASSET","FQ3 2018","FQ3 2018","Currency=INR","Period=FQ","BEST_FPERIOD_OVERRIDE=FQ","FILING_STATUS=OR","EQY_CONSOLIDATED=Y","FA_ADJUSTED=GAAP","Sort=A","Dates=H","DateFormat=P","Fill=—","Direction=H","UseDPDF=Y")</f>
        <v>#NAME?</v>
      </c>
      <c r="H276" t="e">
        <f ca="1">_xll.BDH($C$253,"RETURN_ON_CAP","FQ3 2018","FQ3 2018","Currency=INR","Period=FQ","BEST_FPERIOD_OVERRIDE=FQ","FILING_STATUS=OR","EQY_CONSOLIDATED=Y","FA_ADJUSTED=GAAP","Sort=A","Dates=H","DateFormat=P","Fill=—","Direction=H","UseDPDF=Y")</f>
        <v>#NAME?</v>
      </c>
      <c r="I276" t="e">
        <f ca="1">_xll.BDH($C$253,"RETURN_ON_INV_CAPITAL","FQ3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276" t="e">
        <f ca="1">_xll.BDH($C$253,"EBITDA_TO_REVENUE","FQ3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276" t="e">
        <f ca="1">_xll.BDH($C$253,"OPER_MARGIN","FQ3 2018","FQ3 2018","Currency=INR","Period=FQ","BEST_FPERIOD_OVERRIDE=FQ","FILING_STATUS=OR","EQY_CONSOLIDATED=Y","FA_ADJUSTED=GAAP","Sort=A","Dates=H","DateFormat=P","Fill=—","Direction=H","UseDPDF=Y")</f>
        <v>#NAME?</v>
      </c>
      <c r="L276" t="e">
        <f ca="1">_xll.BDH($C$253,"INCREMENTAL_OPERATING_MARGIN","FQ3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276" t="e">
        <f ca="1">_xll.BDH($C$253,"PRETAX_INC_TO_NET_SALES","FQ3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276" t="e">
        <f ca="1">_xll.BDH($C$253,"INC_BEF_XO_ITEMS_TO_NET_SALES","FQ3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276" t="e">
        <f ca="1">_xll.BDH($C$253,"PROF_MARGIN","FQ3 2018","FQ3 2018","Currency=INR","Period=FQ","BEST_FPERIOD_OVERRIDE=FQ","FILING_STATUS=OR","EQY_CONSOLIDATED=Y","FA_ADJUSTED=GAAP","Sort=A","Dates=H","DateFormat=P","Fill=—","Direction=H","UseDPDF=Y")</f>
        <v>#NAME?</v>
      </c>
      <c r="P276" t="e">
        <f ca="1">_xll.BDH($C$253,"NET_INCOME_TO_COMMON_MARGIN","FQ3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276" t="e">
        <f ca="1">_xll.BDH($C$253,"EFF_TAX_RATE","FQ3 2018","FQ3 2018","Currency=INR","Period=FQ","BEST_FPERIOD_OVERRIDE=FQ","FILING_STATUS=OR","EQY_CONSOLIDATED=Y","FA_ADJUSTED=GAAP","Sort=A","Dates=H","DateFormat=P","Fill=—","Direction=H","UseDPDF=Y")</f>
        <v>#NAME?</v>
      </c>
      <c r="R276" t="e">
        <f ca="1">_xll.BDH($C$253,"DVD_PAYOUT_RATIO","FQ3 2018","FQ3 2018","Currency=INR","Period=FQ","BEST_FPERIOD_OVERRIDE=FQ","FILING_STATUS=OR","EQY_CONSOLIDATED=Y","FA_ADJUSTED=GAAP","Sort=A","Dates=H","DateFormat=P","Fill=—","Direction=H","UseDPDF=Y")</f>
        <v>#NAME?</v>
      </c>
      <c r="S276" t="e">
        <f ca="1">_xll.BDH($C$253,"SUSTAIN_GROWTH_RT","FQ3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276" s="2" t="e">
        <f ca="1">_xll.BDH($C$253,"SALES_GROWTH","FQ3 2018","FQ3 2018","Currency=INR","Period=FQ","BEST_FPERIOD_OVERRIDE=FQ","FILING_STATUS=OR","EQY_CONSOLIDATED=Y","FA_ADJUSTED=GAAP","Sort=A","Dates=H","DateFormat=P","Fill=—","Direction=H","UseDPDF=Y")</f>
        <v>#NAME?</v>
      </c>
      <c r="U276" s="2" t="e">
        <f ca="1">_xll.BDH($C$253,"EBITDA_GROWTH","FQ3 2018","FQ3 2018","Currency=INR","Period=FQ","BEST_FPERIOD_OVERRIDE=FQ","FILING_STATUS=OR","EQY_CONSOLIDATED=Y","FA_ADJUSTED=GAAP","Sort=A","Dates=H","DateFormat=P","Fill=—","Direction=H","UseDPDF=Y")</f>
        <v>#NAME?</v>
      </c>
      <c r="V276" s="2" t="e">
        <f ca="1">_xll.BDH($C$253,"OPER_INC_GROWTH","FQ3 2018","FQ3 2018","Currency=INR","Period=FQ","BEST_FPERIOD_OVERRIDE=FQ","FILING_STATUS=OR","EQY_CONSOLIDATED=Y","FA_ADJUSTED=GAAP","Sort=A","Dates=H","DateFormat=P","Fill=—","Direction=H","UseDPDF=Y")</f>
        <v>#NAME?</v>
      </c>
      <c r="W276" s="2" t="e">
        <f ca="1">_xll.BDH($C$253,"EARN_FOR_COM_GROWTH","FQ3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276" s="2" t="e">
        <f ca="1">_xll.BDH($C$253,"DILUTED_EPS_AFT_XO_ITEMS_GROWTH","FQ3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276" s="2" t="e">
        <f ca="1">_xll.BDH($C$253,"DIVIDEND_PER_SHARE_1_YEAR_GROWTH","FQ3 2018","FQ3 2018","Currency=INR","Period=FQ","BEST_FPERIOD_OVERRIDE=FQ","FILING_STATUS=OR","EQY_CONSOLIDATED=Y","Sort=A","Dates=H","DateFormat=P","Fill=—","Direction=H","UseDPDF=Y")</f>
        <v>#NAME?</v>
      </c>
      <c r="Z276" s="2" t="e">
        <f ca="1">_xll.BDH($C$253,"ACCOUNTS_RECEIVABLE_GROWTH","FQ3 2018","FQ3 2018","Currency=INR","Period=FQ","BEST_FPERIOD_OVERRIDE=FQ","FILING_STATUS=OR","EQY_CONSOLIDATED=Y","Sort=A","Dates=H","DateFormat=P","Fill=—","Direction=H","UseDPDF=Y")</f>
        <v>#NAME?</v>
      </c>
      <c r="AA276" s="2" t="e">
        <f ca="1">_xll.BDH($C$253,"INVENTORY_GROWTH","FQ3 2018","FQ3 2018","Currency=INR","Period=FQ","BEST_FPERIOD_OVERRIDE=FQ","FILING_STATUS=OR","EQY_CONSOLIDATED=Y","Sort=A","Dates=H","DateFormat=P","Fill=—","Direction=H","UseDPDF=Y")</f>
        <v>#NAME?</v>
      </c>
      <c r="AB276" s="2" t="e">
        <f ca="1">_xll.BDH($C$253,"NET_FIXED_ASSETS_1_YEAR_GROWTH","FQ3 2018","FQ3 2018","Currency=INR","Period=FQ","BEST_FPERIOD_OVERRIDE=FQ","FILING_STATUS=OR","EQY_CONSOLIDATED=Y","Sort=A","Dates=H","DateFormat=P","Fill=—","Direction=H","UseDPDF=Y")</f>
        <v>#NAME?</v>
      </c>
      <c r="AC276" s="2" t="e">
        <f ca="1">_xll.BDH($C$253,"ASSET_GROWTH","FQ3 2018","FQ3 2018","Currency=INR","Period=FQ","BEST_FPERIOD_OVERRIDE=FQ","FILING_STATUS=OR","EQY_CONSOLIDATED=Y","Sort=A","Dates=H","DateFormat=P","Fill=—","Direction=H","UseDPDF=Y")</f>
        <v>#NAME?</v>
      </c>
      <c r="AD276" s="2" t="e">
        <f ca="1">_xll.BDH($C$253,"MODIFIED_WORK_CAP_GROWTH","FQ3 2018","FQ3 2018","Currency=INR","Period=FQ","BEST_FPERIOD_OVERRIDE=FQ","FILING_STATUS=OR","EQY_CONSOLIDATED=Y","Sort=A","Dates=H","DateFormat=P","Fill=—","Direction=H","UseDPDF=Y")</f>
        <v>#NAME?</v>
      </c>
      <c r="AE276" s="2" t="e">
        <f ca="1">_xll.BDH($C$253,"WORK_CAP_GROWTH","FQ3 2018","FQ3 2018","Currency=INR","Period=FQ","BEST_FPERIOD_OVERRIDE=FQ","FILING_STATUS=OR","EQY_CONSOLIDATED=Y","Sort=A","Dates=H","DateFormat=P","Fill=—","Direction=H","UseDPDF=Y")</f>
        <v>#NAME?</v>
      </c>
      <c r="AF276" s="2" t="e">
        <f ca="1">_xll.BDH($C$253,"ACCOUNTS_PAYABLE_GROWTH_1YR","FQ3 2018","FQ3 2018","Currency=INR","Period=FQ","BEST_FPERIOD_OVERRIDE=FQ","FILING_STATUS=OR","EQY_CONSOLIDATED=Y","Sort=A","Dates=H","DateFormat=P","Fill=—","Direction=H","UseDPDF=Y")</f>
        <v>#NAME?</v>
      </c>
      <c r="AG276" s="2" t="e">
        <f ca="1">_xll.BDH($C$253,"SHORT_TERM_DEBT_1_YEAR_GROWTH","FQ3 2018","FQ3 2018","Currency=INR","Period=FQ","BEST_FPERIOD_OVERRIDE=FQ","FILING_STATUS=OR","EQY_CONSOLIDATED=Y","Sort=A","Dates=H","DateFormat=P","Fill=—","Direction=H","UseDPDF=Y")</f>
        <v>#NAME?</v>
      </c>
      <c r="AH276" s="2" t="e">
        <f ca="1">_xll.BDH($C$253,"TOTAL_DEBT_1_YEAR_GROWTH","FQ3 2018","FQ3 2018","Currency=INR","Period=FQ","BEST_FPERIOD_OVERRIDE=FQ","FILING_STATUS=OR","EQY_CONSOLIDATED=Y","Sort=A","Dates=H","DateFormat=P","Fill=—","Direction=H","UseDPDF=Y")</f>
        <v>#NAME?</v>
      </c>
      <c r="AI276" s="2" t="e">
        <f ca="1">_xll.BDH($C$253,"TOTAL_EQUITY_1_YEAR_GROWTH","FQ3 2018","FQ3 2018","Currency=INR","Period=FQ","BEST_FPERIOD_OVERRIDE=FQ","FILING_STATUS=OR","EQY_CONSOLIDATED=Y","Sort=A","Dates=H","DateFormat=P","Fill=—","Direction=H","UseDPDF=Y")</f>
        <v>#NAME?</v>
      </c>
      <c r="AJ276" s="2" t="e">
        <f ca="1">_xll.BDH($C$253,"GROWTH_IN_CAP","FQ3 2018","FQ3 2018","Currency=INR","Period=FQ","BEST_FPERIOD_OVERRIDE=FQ","FILING_STATUS=OR","EQY_CONSOLIDATED=Y","Sort=A","Dates=H","DateFormat=P","Fill=—","Direction=H","UseDPDF=Y")</f>
        <v>#NAME?</v>
      </c>
      <c r="AK276" s="2" t="e">
        <f ca="1">_xll.BDH($C$253,"BVPS_GROWTH","FQ3 2018","FQ3 2018","Currency=INR","Period=FQ","BEST_FPERIOD_OVERRIDE=FQ","FILING_STATUS=OR","EQY_CONSOLIDATED=Y","Sort=A","Dates=H","DateFormat=P","Fill=—","Direction=H","UseDPDF=Y")</f>
        <v>#NAME?</v>
      </c>
      <c r="AL276" s="2" t="e">
        <f ca="1">_xll.BDH($C$253,"CASH_FLOW_GROWTH","FQ3 2018","FQ3 2018","Currency=INR","Period=FQ","BEST_FPERIOD_OVERRIDE=FQ","FILING_STATUS=OR","EQY_CONSOLIDATED=Y","Sort=A","Dates=H","DateFormat=P","Fill=—","Direction=H","UseDPDF=Y")</f>
        <v>#NAME?</v>
      </c>
      <c r="AM276" s="2" t="e">
        <f ca="1">_xll.BDH($C$253,"GEO_GROW_NET_SALES","FQ3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276" s="2" t="e">
        <f ca="1">_xll.BDH($C$253,"GEO_GROW_EBITDA","FQ3 2018","FQ3 2018","Currency=INR","Period=FQ","BEST_FPERIOD_OVERRIDE=FQ","FILING_STATUS=OR","EQY_CONSOLIDATED=Y","FA_ADJUSTED=GAAP","Sort=A","Dates=H","DateFormat=P","Fill=—","Direction=H","UseDPDF=Y")</f>
        <v>#NAME?</v>
      </c>
      <c r="AO276" s="2" t="e">
        <f ca="1">_xll.BDH($C$253,"GEO_GROW_OPER_INC","FQ3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276" s="2" t="e">
        <f ca="1">_xll.BDH($C$253,"NET_INCOME_TO_COMMON_5_YR_GROWTH","FQ3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276" s="2" t="e">
        <f ca="1">_xll.BDH($C$253,"5Y_GEO_GROWTH_DILUTED_EPS","FQ3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276" s="2" t="e">
        <f ca="1">_xll.BDH($C$253,"GEO_GROW_DVD_PER_SH","FQ3 2018","FQ3 2018","Currency=INR","Period=FQ","BEST_FPERIOD_OVERRIDE=FQ","FILING_STATUS=OR","EQY_CONSOLIDATED=Y","Sort=A","Dates=H","DateFormat=P","Fill=—","Direction=H","UseDPDF=Y")</f>
        <v>#NAME?</v>
      </c>
      <c r="AS276" s="2" t="e">
        <f ca="1">_xll.BDH($C$253,"ACCOUNTS_RECEIVABLE_5_YR_GROWTH","FQ3 2018","FQ3 2018","Currency=INR","Period=FQ","BEST_FPERIOD_OVERRIDE=FQ","FILING_STATUS=OR","EQY_CONSOLIDATED=Y","Sort=A","Dates=H","DateFormat=P","Fill=—","Direction=H","UseDPDF=Y")</f>
        <v>#NAME?</v>
      </c>
      <c r="AT276" s="2" t="e">
        <f ca="1">_xll.BDH($C$253,"INVENTORY_5_YEAR_GROWTH","FQ3 2018","FQ3 2018","Currency=INR","Period=FQ","BEST_FPERIOD_OVERRIDE=FQ","FILING_STATUS=OR","EQY_CONSOLIDATED=Y","Sort=A","Dates=H","DateFormat=P","Fill=—","Direction=H","UseDPDF=Y")</f>
        <v>#NAME?</v>
      </c>
      <c r="AU276" s="2" t="e">
        <f ca="1">_xll.BDH($C$253,"NET_FIXED_ASSETS_5_YEAR_GROWTH","FQ3 2018","FQ3 2018","Currency=INR","Period=FQ","BEST_FPERIOD_OVERRIDE=FQ","FILING_STATUS=OR","EQY_CONSOLIDATED=Y","Sort=A","Dates=H","DateFormat=P","Fill=—","Direction=H","UseDPDF=Y")</f>
        <v>#NAME?</v>
      </c>
      <c r="AV276" s="2" t="e">
        <f ca="1">_xll.BDH($C$253,"GEO_GROW_TOT_ASSET","FQ3 2018","FQ3 2018","Currency=INR","Period=FQ","BEST_FPERIOD_OVERRIDE=FQ","FILING_STATUS=OR","EQY_CONSOLIDATED=Y","Sort=A","Dates=H","DateFormat=P","Fill=—","Direction=H","UseDPDF=Y")</f>
        <v>#NAME?</v>
      </c>
      <c r="AW276" s="2" t="e">
        <f ca="1">_xll.BDH($C$253,"MODIFIED_WORKING_CPTL_5YR_GRWTH","FQ3 2018","FQ3 2018","Currency=INR","Period=FQ","BEST_FPERIOD_OVERRIDE=FQ","FILING_STATUS=OR","EQY_CONSOLIDATED=Y","Sort=A","Dates=H","DateFormat=P","Fill=—","Direction=H","UseDPDF=Y")</f>
        <v>#NAME?</v>
      </c>
      <c r="AX276" s="2" t="e">
        <f ca="1">_xll.BDH($C$253,"WORKING_CAPITAL_5_YEAR_GROWTH","FQ3 2018","FQ3 2018","Currency=INR","Period=FQ","BEST_FPERIOD_OVERRIDE=FQ","FILING_STATUS=OR","EQY_CONSOLIDATED=Y","Sort=A","Dates=H","DateFormat=P","Fill=—","Direction=H","UseDPDF=Y")</f>
        <v>#NAME?</v>
      </c>
      <c r="AY276" s="2" t="e">
        <f ca="1">_xll.BDH($C$253,"ACCOUNTS_PAYABLE_5_YEAR_GROWTH","FQ3 2018","FQ3 2018","Currency=INR","Period=FQ","BEST_FPERIOD_OVERRIDE=FQ","FILING_STATUS=OR","EQY_CONSOLIDATED=Y","Sort=A","Dates=H","DateFormat=P","Fill=—","Direction=H","UseDPDF=Y")</f>
        <v>#NAME?</v>
      </c>
      <c r="AZ276" s="2" t="e">
        <f ca="1">_xll.BDH($C$253,"SHORT_TERM_DEBT_5_YEAR_GROWTH","FQ3 2018","FQ3 2018","Currency=INR","Period=FQ","BEST_FPERIOD_OVERRIDE=FQ","FILING_STATUS=OR","EQY_CONSOLIDATED=Y","Sort=A","Dates=H","DateFormat=P","Fill=—","Direction=H","UseDPDF=Y")</f>
        <v>#NAME?</v>
      </c>
      <c r="BA276" s="2" t="e">
        <f ca="1">_xll.BDH($C$253,"TOTAL_DEBT_5_YEAR_GROWTH","FQ3 2018","FQ3 2018","Currency=INR","Period=FQ","BEST_FPERIOD_OVERRIDE=FQ","FILING_STATUS=OR","EQY_CONSOLIDATED=Y","Sort=A","Dates=H","DateFormat=P","Fill=—","Direction=H","UseDPDF=Y")</f>
        <v>#NAME?</v>
      </c>
      <c r="BB276" s="2" t="e">
        <f ca="1">_xll.BDH($C$253,"GEO_GROW_TOT_SHRHLDR_EQY","FQ3 2018","FQ3 2018","Currency=INR","Period=FQ","BEST_FPERIOD_OVERRIDE=FQ","FILING_STATUS=OR","EQY_CONSOLIDATED=Y","Sort=A","Dates=H","DateFormat=P","Fill=—","Direction=H","UseDPDF=Y")</f>
        <v>#NAME?</v>
      </c>
      <c r="BC276" s="2" t="e">
        <f ca="1">_xll.BDH($C$253,"TOTAL_CAPITAL_5_YEAR_GROWTH","FQ3 2018","FQ3 2018","Currency=INR","Period=FQ","BEST_FPERIOD_OVERRIDE=FQ","FILING_STATUS=OR","EQY_CONSOLIDATED=Y","Sort=A","Dates=H","DateFormat=P","Fill=—","Direction=H","UseDPDF=Y")</f>
        <v>#NAME?</v>
      </c>
      <c r="BD276" s="2" t="e">
        <f ca="1">_xll.BDH($C$253,"GEO_GROW_BOOK_VAL","FQ3 2018","FQ3 2018","Currency=INR","Period=FQ","BEST_FPERIOD_OVERRIDE=FQ","FILING_STATUS=OR","EQY_CONSOLIDATED=Y","Sort=A","Dates=H","DateFormat=P","Fill=—","Direction=H","UseDPDF=Y")</f>
        <v>#NAME?</v>
      </c>
      <c r="BE276" s="2" t="e">
        <f ca="1">_xll.BDH($C$253,"GEO_GROW_CASH_OPER_ACT","FQ3 2018","FQ3 2018","Currency=INR","Period=FQ","BEST_FPERIOD_OVERRIDE=FQ","FILING_STATUS=OR","EQY_CONSOLIDATED=Y","Sort=A","Dates=H","DateFormat=P","Fill=—","Direction=H","UseDPDF=Y")</f>
        <v>#NAME?</v>
      </c>
      <c r="BF276" s="2" t="e">
        <f ca="1">_xll.BDH($C$253,"REVENUE_SEQUENTIAL_GROWTH","FQ3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276" s="2" t="e">
        <f ca="1">_xll.BDH($C$253,"EBITDA_SEQUENTIAL_GROWTH","FQ3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276" s="2" t="e">
        <f ca="1">_xll.BDH($C$253,"OPERATING_INCOME_SEQ_GROWTH","FQ3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276" s="2" t="e">
        <f ca="1">_xll.BDH($C$253,"NET_INCOME_TO_COMMON_SEQ_GROWTH","FQ3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276" s="2" t="e">
        <f ca="1">_xll.BDH($C$253,"EPS_DILUTED_SEQUENTIAL_GROWTH","FQ3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276" s="2" t="e">
        <f ca="1">_xll.BDH($C$253,"DPS_SEQUENTIAL_GROWTH","FQ3 2018","FQ3 2018","Currency=INR","Period=FQ","BEST_FPERIOD_OVERRIDE=FQ","FILING_STATUS=OR","EQY_CONSOLIDATED=Y","Sort=A","Dates=H","DateFormat=P","Fill=—","Direction=H","UseDPDF=Y")</f>
        <v>#NAME?</v>
      </c>
      <c r="BL276" s="2" t="e">
        <f ca="1">_xll.BDH($C$253,"ACCOUNTS_RECEIVABLE_SEQ_GROWTH","FQ3 2018","FQ3 2018","Currency=INR","Period=FQ","BEST_FPERIOD_OVERRIDE=FQ","FILING_STATUS=OR","EQY_CONSOLIDATED=Y","Sort=A","Dates=H","DateFormat=P","Fill=—","Direction=H","UseDPDF=Y")</f>
        <v>#NAME?</v>
      </c>
      <c r="BM276" s="2" t="e">
        <f ca="1">_xll.BDH($C$253,"INVENTORY_SEQUENTIAL_GROWTH","FQ3 2018","FQ3 2018","Currency=INR","Period=FQ","BEST_FPERIOD_OVERRIDE=FQ","FILING_STATUS=OR","EQY_CONSOLIDATED=Y","Sort=A","Dates=H","DateFormat=P","Fill=—","Direction=H","UseDPDF=Y")</f>
        <v>#NAME?</v>
      </c>
      <c r="BN276" s="2" t="e">
        <f ca="1">_xll.BDH($C$253,"FIXED_ASSETS_SEQUENTIAL_GROWTH","FQ3 2018","FQ3 2018","Currency=INR","Period=FQ","BEST_FPERIOD_OVERRIDE=FQ","FILING_STATUS=OR","EQY_CONSOLIDATED=Y","Sort=A","Dates=H","DateFormat=P","Fill=—","Direction=H","UseDPDF=Y")</f>
        <v>#NAME?</v>
      </c>
      <c r="BO276" s="2" t="e">
        <f ca="1">_xll.BDH($C$253,"TOTAL_ASSETS_SEQUENTIAL_GROWTH","FQ3 2018","FQ3 2018","Currency=INR","Period=FQ","BEST_FPERIOD_OVERRIDE=FQ","FILING_STATUS=OR","EQY_CONSOLIDATED=Y","Sort=A","Dates=H","DateFormat=P","Fill=—","Direction=H","UseDPDF=Y")</f>
        <v>#NAME?</v>
      </c>
      <c r="BP276" s="2" t="e">
        <f ca="1">_xll.BDH($C$253,"MODIFIED_WORKING_CPTL_SEQ_GRWTH","FQ3 2018","FQ3 2018","Currency=INR","Period=FQ","BEST_FPERIOD_OVERRIDE=FQ","FILING_STATUS=OR","EQY_CONSOLIDATED=Y","Sort=A","Dates=H","DateFormat=P","Fill=—","Direction=H","UseDPDF=Y")</f>
        <v>#NAME?</v>
      </c>
      <c r="BQ276" s="2" t="e">
        <f ca="1">_xll.BDH($C$253,"WORKING_CAPITAL_SEQ_GROWTH","FQ3 2018","FQ3 2018","Currency=INR","Period=FQ","BEST_FPERIOD_OVERRIDE=FQ","FILING_STATUS=OR","EQY_CONSOLIDATED=Y","Sort=A","Dates=H","DateFormat=P","Fill=—","Direction=H","UseDPDF=Y")</f>
        <v>#NAME?</v>
      </c>
      <c r="BR276" s="2" t="e">
        <f ca="1">_xll.BDH($C$253,"ACCOUNTS_PAYABLE_SEQ_GROWTH","FQ3 2018","FQ3 2018","Currency=INR","Period=FQ","BEST_FPERIOD_OVERRIDE=FQ","FILING_STATUS=OR","EQY_CONSOLIDATED=Y","Sort=A","Dates=H","DateFormat=P","Fill=—","Direction=H","UseDPDF=Y")</f>
        <v>#NAME?</v>
      </c>
      <c r="BS276" s="2" t="e">
        <f ca="1">_xll.BDH($C$253,"ST_DEBT_SEQUENTIAL_GROWTH","FQ3 2018","FQ3 2018","Currency=INR","Period=FQ","BEST_FPERIOD_OVERRIDE=FQ","FILING_STATUS=OR","EQY_CONSOLIDATED=Y","Sort=A","Dates=H","DateFormat=P","Fill=—","Direction=H","UseDPDF=Y")</f>
        <v>#NAME?</v>
      </c>
      <c r="BT276" s="2" t="e">
        <f ca="1">_xll.BDH($C$253,"TOTAL_DEBT_SEQUENTIAL_GROWTH","FQ3 2018","FQ3 2018","Currency=INR","Period=FQ","BEST_FPERIOD_OVERRIDE=FQ","FILING_STATUS=OR","EQY_CONSOLIDATED=Y","Sort=A","Dates=H","DateFormat=P","Fill=—","Direction=H","UseDPDF=Y")</f>
        <v>#NAME?</v>
      </c>
      <c r="BU276" s="2" t="e">
        <f ca="1">_xll.BDH($C$253,"TOTAL_EQUITY_SEQUENTIAL_GROWTH","FQ3 2018","FQ3 2018","Currency=INR","Period=FQ","BEST_FPERIOD_OVERRIDE=FQ","FILING_STATUS=OR","EQY_CONSOLIDATED=Y","Sort=A","Dates=H","DateFormat=P","Fill=—","Direction=H","UseDPDF=Y")</f>
        <v>#NAME?</v>
      </c>
      <c r="BV276" s="2" t="e">
        <f ca="1">_xll.BDH($C$253,"TOTAL_CAPITAL_SEQUENTIAL_GROWTH","FQ3 2018","FQ3 2018","Currency=INR","Period=FQ","BEST_FPERIOD_OVERRIDE=FQ","FILING_STATUS=OR","EQY_CONSOLIDATED=Y","Sort=A","Dates=H","DateFormat=P","Fill=—","Direction=H","UseDPDF=Y")</f>
        <v>#NAME?</v>
      </c>
      <c r="BW276" s="2" t="e">
        <f ca="1">_xll.BDH($C$253,"BPS_SEQUENTIAL_GROWTH","FQ3 2018","FQ3 2018","Currency=INR","Period=FQ","BEST_FPERIOD_OVERRIDE=FQ","FILING_STATUS=OR","EQY_CONSOLIDATED=Y","Sort=A","Dates=H","DateFormat=P","Fill=—","Direction=H","UseDPDF=Y")</f>
        <v>#NAME?</v>
      </c>
      <c r="BX276" s="2" t="e">
        <f ca="1">_xll.BDH($C$253,"CFO_SEQUENTIAL_GROWTH","FQ3 2018","FQ3 2018","Currency=INR","Period=FQ","BEST_FPERIOD_OVERRIDE=FQ","FILING_STATUS=OR","EQY_CONSOLIDATED=Y","Sort=A","Dates=H","DateFormat=P","Fill=—","Direction=H","UseDPDF=Y")</f>
        <v>#NAME?</v>
      </c>
      <c r="BY276" s="3" t="e">
        <f ca="1">_xll.BDH($C$253,"SHORT_AND_LONG_TERM_DEBT","FQ3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276" s="3" t="e">
        <f ca="1">_xll.BDH($C$253,"BS_ST_BORROW","FQ3 2018","FQ3 2018","Currency=INR","Period=FQ","BEST_FPERIOD_OVERRIDE=FQ","FILING_STATUS=OR","EQY_CONSOLIDATED=Y","SCALING_FORMAT=MLN","Sort=A","Dates=H","DateFormat=P","Fill=—","Direction=H","UseDPDF=Y")</f>
        <v>#NAME?</v>
      </c>
      <c r="CA276" s="3" t="e">
        <f ca="1">_xll.BDH($C$253,"BS_LT_BORROW","FQ3 2018","FQ3 2018","Currency=INR","Period=FQ","BEST_FPERIOD_OVERRIDE=FQ","FILING_STATUS=OR","EQY_CONSOLIDATED=Y","SCALING_FORMAT=MLN","Sort=A","Dates=H","DateFormat=P","Fill=—","Direction=H","UseDPDF=Y")</f>
        <v>#NAME?</v>
      </c>
      <c r="CB276" s="2" t="e">
        <f ca="1">_xll.BDH($C$253,"TOT_DEBT_TO_EBITDA","FQ3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276" s="2" t="e">
        <f ca="1">_xll.BDH($C$253,"NET_DEBT_TO_EBITDA","FQ3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276" s="2" t="e">
        <f ca="1">_xll.BDH($C$253,"TOTAL_DEBT_TO_EBIT","FQ3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276" s="2" t="e">
        <f ca="1">_xll.BDH($C$253,"NET_DEBT_TO_EBIT","FQ3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276" s="2" t="e">
        <f ca="1">_xll.BDH($C$253,"EBITDA_TO_INTEREST_EXPN","FQ3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276" s="2" t="e">
        <f ca="1">_xll.BDH($C$253,"COM_EQY_TO_TOT_ASSET","FQ3 2018","FQ3 2018","Currency=INR","Period=FQ","BEST_FPERIOD_OVERRIDE=FQ","FILING_STATUS=OR","EQY_CONSOLIDATED=Y","Sort=A","Dates=H","DateFormat=P","Fill=—","Direction=H","UseDPDF=Y")</f>
        <v>#NAME?</v>
      </c>
      <c r="CH276" s="2" t="e">
        <f ca="1">_xll.BDH($C$253,"LT_DEBT_TO_TOT_EQY","FQ3 2018","FQ3 2018","Currency=INR","Period=FQ","BEST_FPERIOD_OVERRIDE=FQ","FILING_STATUS=OR","EQY_CONSOLIDATED=Y","Sort=A","Dates=H","DateFormat=P","Fill=—","Direction=H","UseDPDF=Y")</f>
        <v>#NAME?</v>
      </c>
      <c r="CI276" s="2" t="e">
        <f ca="1">_xll.BDH($C$253,"LT_DEBT_TO_TOT_CAP","FQ3 2018","FQ3 2018","Currency=INR","Period=FQ","BEST_FPERIOD_OVERRIDE=FQ","FILING_STATUS=OR","EQY_CONSOLIDATED=Y","Sort=A","Dates=H","DateFormat=P","Fill=—","Direction=H","UseDPDF=Y")</f>
        <v>#NAME?</v>
      </c>
      <c r="CJ276" s="2" t="e">
        <f ca="1">_xll.BDH($C$253,"LT_DEBT_TO_TOT_ASSET","FQ3 2018","FQ3 2018","Currency=INR","Period=FQ","BEST_FPERIOD_OVERRIDE=FQ","FILING_STATUS=OR","EQY_CONSOLIDATED=Y","Sort=A","Dates=H","DateFormat=P","Fill=—","Direction=H","UseDPDF=Y")</f>
        <v>#NAME?</v>
      </c>
      <c r="CK276" s="2" t="e">
        <f ca="1">_xll.BDH($C$253,"TOT_DEBT_TO_TOT_EQY","FQ3 2018","FQ3 2018","Currency=INR","Period=FQ","BEST_FPERIOD_OVERRIDE=FQ","FILING_STATUS=OR","EQY_CONSOLIDATED=Y","Sort=A","Dates=H","DateFormat=P","Fill=—","Direction=H","UseDPDF=Y")</f>
        <v>#NAME?</v>
      </c>
      <c r="CL276" s="2" t="e">
        <f ca="1">_xll.BDH($C$253,"TOT_DEBT_TO_TOT_CAP","FQ3 2018","FQ3 2018","Currency=INR","Period=FQ","BEST_FPERIOD_OVERRIDE=FQ","FILING_STATUS=OR","EQY_CONSOLIDATED=Y","Sort=A","Dates=H","DateFormat=P","Fill=—","Direction=H","UseDPDF=Y")</f>
        <v>#NAME?</v>
      </c>
      <c r="CM276" s="2" t="e">
        <f ca="1">_xll.BDH($C$253,"TOT_DEBT_TO_TOT_ASSET","FQ3 2018","FQ3 2018","Currency=INR","Period=FQ","BEST_FPERIOD_OVERRIDE=FQ","FILING_STATUS=OR","EQY_CONSOLIDATED=Y","Sort=A","Dates=H","DateFormat=P","Fill=—","Direction=H","UseDPDF=Y")</f>
        <v>#NAME?</v>
      </c>
      <c r="CN276" s="2" t="e">
        <f ca="1">_xll.BDH($C$253,"NET_DEBT_TO_SHRHLDR_EQTY","FQ3 2018","FQ3 2018","Currency=INR","Period=FQ","BEST_FPERIOD_OVERRIDE=FQ","FILING_STATUS=OR","EQY_CONSOLIDATED=Y","Sort=A","Dates=H","DateFormat=P","Fill=—","Direction=H","UseDPDF=Y")</f>
        <v>#NAME?</v>
      </c>
      <c r="CO276" s="2" t="e">
        <f ca="1">_xll.BDH($C$253,"NET_DEBT_%_CAPITAL","FQ3 2018","FQ3 2018","Currency=INR","Period=FQ","BEST_FPERIOD_OVERRIDE=FQ","FILING_STATUS=OR","EQY_CONSOLIDATED=Y","Sort=A","Dates=H","DateFormat=P","Fill=—","Direction=H","UseDPDF=Y")</f>
        <v>#NAME?</v>
      </c>
      <c r="CP276" s="3" t="e">
        <f ca="1">_xll.BDH($C$253,"EBITDA","FQ3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276" s="3" t="e">
        <f ca="1">_xll.BDH($C$253,"EBITDA_AFTER_CAPEX","FQ3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276" s="3" t="e">
        <f ca="1">_xll.BDH($C$253,"IS_OPER_INC","FQ3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276" s="2" t="e">
        <f ca="1">_xll.BDH($C$253,"CASH_RATIO","FQ3 2018","FQ3 2018","Currency=INR","Period=FQ","BEST_FPERIOD_OVERRIDE=FQ","FILING_STATUS=OR","EQY_CONSOLIDATED=Y","Sort=A","Dates=H","DateFormat=P","Fill=—","Direction=H","UseDPDF=Y")</f>
        <v>#NAME?</v>
      </c>
      <c r="CT276" s="2" t="e">
        <f ca="1">_xll.BDH($C$253,"CUR_RATIO","FQ3 2018","FQ3 2018","Currency=INR","Period=FQ","BEST_FPERIOD_OVERRIDE=FQ","FILING_STATUS=OR","EQY_CONSOLIDATED=Y","Sort=A","Dates=H","DateFormat=P","Fill=—","Direction=H","UseDPDF=Y")</f>
        <v>#NAME?</v>
      </c>
      <c r="CU276" s="2" t="e">
        <f ca="1">_xll.BDH($C$253,"QUICK_RATIO","FQ3 2018","FQ3 2018","Currency=INR","Period=FQ","BEST_FPERIOD_OVERRIDE=FQ","FILING_STATUS=OR","EQY_CONSOLIDATED=Y","Sort=A","Dates=H","DateFormat=P","Fill=—","Direction=H","UseDPDF=Y")</f>
        <v>#NAME?</v>
      </c>
      <c r="CV276" s="2" t="e">
        <f ca="1">_xll.BDH($C$253,"ALTMAN_Z_SCORE","FQ3 2018","FQ3 2018","Currency=INR","Period=FQ","BEST_FPERIOD_OVERRIDE=FQ","FILING_STATUS=OR","EQY_CONSOLIDATED=Y","Sort=A","Dates=H","DateFormat=P","Fill=—","Direction=H","UseDPDF=Y")</f>
        <v>#NAME?</v>
      </c>
      <c r="CW276" s="4" t="e">
        <f ca="1">_xll.BDH($C$253,"ACCT_RCV_TURN","FQ3 2018","FQ3 2018","Currency=INR","Period=FQ","BEST_FPERIOD_OVERRIDE=FQ","FILING_STATUS=OR","EQY_CONSOLIDATED=Y","FA_ADJUSTED=GAAP","Sort=A","Dates=H","DateFormat=P","Fill=—","Direction=H","UseDPDF=Y")</f>
        <v>#NAME?</v>
      </c>
      <c r="CX276" s="2" t="e">
        <f ca="1">_xll.BDH($C$253,"ACCT_RCV_DAYS","FQ3 2018","FQ3 2018","Currency=INR","Period=FQ","BEST_FPERIOD_OVERRIDE=FQ","FILING_STATUS=OR","EQY_CONSOLIDATED=Y","FA_ADJUSTED=GAAP","Sort=A","Dates=H","DateFormat=P","Fill=—","Direction=H","UseDPDF=Y")</f>
        <v>#NAME?</v>
      </c>
      <c r="CY276" s="4" t="e">
        <f ca="1">_xll.BDH($C$253,"INVENT_TURN","FQ3 2018","FQ3 2018","Currency=INR","Period=FQ","BEST_FPERIOD_OVERRIDE=FQ","FILING_STATUS=OR","EQY_CONSOLIDATED=Y","FA_ADJUSTED=GAAP","Sort=A","Dates=H","DateFormat=P","Fill=—","Direction=H","UseDPDF=Y")</f>
        <v>#NAME?</v>
      </c>
      <c r="CZ276" s="2" t="e">
        <f ca="1">_xll.BDH($C$253,"INVENT_DAYS","FQ3 2018","FQ3 2018","Currency=INR","Period=FQ","BEST_FPERIOD_OVERRIDE=FQ","FILING_STATUS=OR","EQY_CONSOLIDATED=Y","FA_ADJUSTED=GAAP","Sort=A","Dates=H","DateFormat=P","Fill=—","Direction=H","UseDPDF=Y")</f>
        <v>#NAME?</v>
      </c>
      <c r="DA276" s="4" t="e">
        <f ca="1">_xll.BDH($C$253,"ACCOUNTS_PAYABLE_TURNOVER","FQ3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276" s="2" t="e">
        <f ca="1">_xll.BDH($C$253,"ACCOUNTS_PAYABLE_TURNOVER_DAYS","FQ3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276" s="4" t="e">
        <f ca="1">_xll.BDH($C$253,"CASH_CONVERSION_CYCLE","FQ3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276" s="4" t="e">
        <f ca="1">_xll.BDH($C$253,"INV_TO_CASH_DAYS","FQ3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276" s="5" t="e">
        <f ca="1">_xll.BDH($C$253,"BS_INVENTORIES","FQ3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276" s="3" t="e">
        <f ca="1">_xll.BDH($C$253,"INVTRY_RAW_MATERIALS","FQ3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276" s="3" t="e">
        <f ca="1">_xll.BDH($C$253,"INVTRY_IN_PROGRESS","FQ3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276" s="3" t="e">
        <f ca="1">_xll.BDH($C$253,"INVTRY_FINISHED_GOODS","FQ3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276" s="3" t="e">
        <f ca="1">_xll.BDH($C$253,"BS_OTHER_INV","FQ3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277" spans="1:113" x14ac:dyDescent="0.3">
      <c r="A277" s="6"/>
      <c r="B277" s="6"/>
      <c r="C277" s="6"/>
      <c r="D277" s="6"/>
      <c r="E277" t="s">
        <v>81</v>
      </c>
      <c r="F277" t="e">
        <f ca="1">_xll.BDH($C$253,"RETURN_COM_EQY","FQ4 2018","FQ4 2018","Currency=INR","Period=FQ","BEST_FPERIOD_OVERRIDE=FQ","FILING_STATUS=OR","EQY_CONSOLIDATED=Y","FA_ADJUSTED=GAAP","Sort=A","Dates=H","DateFormat=P","Fill=—","Direction=H","UseDPDF=Y")</f>
        <v>#NAME?</v>
      </c>
      <c r="G277" t="e">
        <f ca="1">_xll.BDH($C$253,"RETURN_ON_ASSET","FQ4 2018","FQ4 2018","Currency=INR","Period=FQ","BEST_FPERIOD_OVERRIDE=FQ","FILING_STATUS=OR","EQY_CONSOLIDATED=Y","FA_ADJUSTED=GAAP","Sort=A","Dates=H","DateFormat=P","Fill=—","Direction=H","UseDPDF=Y")</f>
        <v>#NAME?</v>
      </c>
      <c r="H277" t="e">
        <f ca="1">_xll.BDH($C$253,"RETURN_ON_CAP","FQ4 2018","FQ4 2018","Currency=INR","Period=FQ","BEST_FPERIOD_OVERRIDE=FQ","FILING_STATUS=OR","EQY_CONSOLIDATED=Y","FA_ADJUSTED=GAAP","Sort=A","Dates=H","DateFormat=P","Fill=—","Direction=H","UseDPDF=Y")</f>
        <v>#NAME?</v>
      </c>
      <c r="I277" t="e">
        <f ca="1">_xll.BDH($C$253,"RETURN_ON_INV_CAPITAL","FQ4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277" t="e">
        <f ca="1">_xll.BDH($C$253,"EBITDA_TO_REVENUE","FQ4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277" t="e">
        <f ca="1">_xll.BDH($C$253,"OPER_MARGIN","FQ4 2018","FQ4 2018","Currency=INR","Period=FQ","BEST_FPERIOD_OVERRIDE=FQ","FILING_STATUS=OR","EQY_CONSOLIDATED=Y","FA_ADJUSTED=GAAP","Sort=A","Dates=H","DateFormat=P","Fill=—","Direction=H","UseDPDF=Y")</f>
        <v>#NAME?</v>
      </c>
      <c r="L277" t="e">
        <f ca="1">_xll.BDH($C$253,"INCREMENTAL_OPERATING_MARGIN","FQ4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277" t="e">
        <f ca="1">_xll.BDH($C$253,"PRETAX_INC_TO_NET_SALES","FQ4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277" t="e">
        <f ca="1">_xll.BDH($C$253,"INC_BEF_XO_ITEMS_TO_NET_SALES","FQ4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277" t="e">
        <f ca="1">_xll.BDH($C$253,"PROF_MARGIN","FQ4 2018","FQ4 2018","Currency=INR","Period=FQ","BEST_FPERIOD_OVERRIDE=FQ","FILING_STATUS=OR","EQY_CONSOLIDATED=Y","FA_ADJUSTED=GAAP","Sort=A","Dates=H","DateFormat=P","Fill=—","Direction=H","UseDPDF=Y")</f>
        <v>#NAME?</v>
      </c>
      <c r="P277" t="e">
        <f ca="1">_xll.BDH($C$253,"NET_INCOME_TO_COMMON_MARGIN","FQ4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277" t="e">
        <f ca="1">_xll.BDH($C$253,"EFF_TAX_RATE","FQ4 2018","FQ4 2018","Currency=INR","Period=FQ","BEST_FPERIOD_OVERRIDE=FQ","FILING_STATUS=OR","EQY_CONSOLIDATED=Y","FA_ADJUSTED=GAAP","Sort=A","Dates=H","DateFormat=P","Fill=—","Direction=H","UseDPDF=Y")</f>
        <v>#NAME?</v>
      </c>
      <c r="R277" t="e">
        <f ca="1">_xll.BDH($C$253,"DVD_PAYOUT_RATIO","FQ4 2018","FQ4 2018","Currency=INR","Period=FQ","BEST_FPERIOD_OVERRIDE=FQ","FILING_STATUS=OR","EQY_CONSOLIDATED=Y","FA_ADJUSTED=GAAP","Sort=A","Dates=H","DateFormat=P","Fill=—","Direction=H","UseDPDF=Y")</f>
        <v>#NAME?</v>
      </c>
      <c r="S277" t="e">
        <f ca="1">_xll.BDH($C$253,"SUSTAIN_GROWTH_RT","FQ4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277" s="2" t="e">
        <f ca="1">_xll.BDH($C$253,"SALES_GROWTH","FQ4 2018","FQ4 2018","Currency=INR","Period=FQ","BEST_FPERIOD_OVERRIDE=FQ","FILING_STATUS=OR","EQY_CONSOLIDATED=Y","FA_ADJUSTED=GAAP","Sort=A","Dates=H","DateFormat=P","Fill=—","Direction=H","UseDPDF=Y")</f>
        <v>#NAME?</v>
      </c>
      <c r="U277" s="2" t="e">
        <f ca="1">_xll.BDH($C$253,"EBITDA_GROWTH","FQ4 2018","FQ4 2018","Currency=INR","Period=FQ","BEST_FPERIOD_OVERRIDE=FQ","FILING_STATUS=OR","EQY_CONSOLIDATED=Y","FA_ADJUSTED=GAAP","Sort=A","Dates=H","DateFormat=P","Fill=—","Direction=H","UseDPDF=Y")</f>
        <v>#NAME?</v>
      </c>
      <c r="V277" s="2" t="e">
        <f ca="1">_xll.BDH($C$253,"OPER_INC_GROWTH","FQ4 2018","FQ4 2018","Currency=INR","Period=FQ","BEST_FPERIOD_OVERRIDE=FQ","FILING_STATUS=OR","EQY_CONSOLIDATED=Y","FA_ADJUSTED=GAAP","Sort=A","Dates=H","DateFormat=P","Fill=—","Direction=H","UseDPDF=Y")</f>
        <v>#NAME?</v>
      </c>
      <c r="W277" s="2" t="e">
        <f ca="1">_xll.BDH($C$253,"EARN_FOR_COM_GROWTH","FQ4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277" s="2" t="e">
        <f ca="1">_xll.BDH($C$253,"DILUTED_EPS_AFT_XO_ITEMS_GROWTH","FQ4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277" s="2" t="e">
        <f ca="1">_xll.BDH($C$253,"DIVIDEND_PER_SHARE_1_YEAR_GROWTH","FQ4 2018","FQ4 2018","Currency=INR","Period=FQ","BEST_FPERIOD_OVERRIDE=FQ","FILING_STATUS=OR","EQY_CONSOLIDATED=Y","Sort=A","Dates=H","DateFormat=P","Fill=—","Direction=H","UseDPDF=Y")</f>
        <v>#NAME?</v>
      </c>
      <c r="Z277" s="2" t="e">
        <f ca="1">_xll.BDH($C$253,"ACCOUNTS_RECEIVABLE_GROWTH","FQ4 2018","FQ4 2018","Currency=INR","Period=FQ","BEST_FPERIOD_OVERRIDE=FQ","FILING_STATUS=OR","EQY_CONSOLIDATED=Y","Sort=A","Dates=H","DateFormat=P","Fill=—","Direction=H","UseDPDF=Y")</f>
        <v>#NAME?</v>
      </c>
      <c r="AA277" s="2" t="e">
        <f ca="1">_xll.BDH($C$253,"INVENTORY_GROWTH","FQ4 2018","FQ4 2018","Currency=INR","Period=FQ","BEST_FPERIOD_OVERRIDE=FQ","FILING_STATUS=OR","EQY_CONSOLIDATED=Y","Sort=A","Dates=H","DateFormat=P","Fill=—","Direction=H","UseDPDF=Y")</f>
        <v>#NAME?</v>
      </c>
      <c r="AB277" s="2" t="e">
        <f ca="1">_xll.BDH($C$253,"NET_FIXED_ASSETS_1_YEAR_GROWTH","FQ4 2018","FQ4 2018","Currency=INR","Period=FQ","BEST_FPERIOD_OVERRIDE=FQ","FILING_STATUS=OR","EQY_CONSOLIDATED=Y","Sort=A","Dates=H","DateFormat=P","Fill=—","Direction=H","UseDPDF=Y")</f>
        <v>#NAME?</v>
      </c>
      <c r="AC277" s="2" t="e">
        <f ca="1">_xll.BDH($C$253,"ASSET_GROWTH","FQ4 2018","FQ4 2018","Currency=INR","Period=FQ","BEST_FPERIOD_OVERRIDE=FQ","FILING_STATUS=OR","EQY_CONSOLIDATED=Y","Sort=A","Dates=H","DateFormat=P","Fill=—","Direction=H","UseDPDF=Y")</f>
        <v>#NAME?</v>
      </c>
      <c r="AD277" s="2" t="e">
        <f ca="1">_xll.BDH($C$253,"MODIFIED_WORK_CAP_GROWTH","FQ4 2018","FQ4 2018","Currency=INR","Period=FQ","BEST_FPERIOD_OVERRIDE=FQ","FILING_STATUS=OR","EQY_CONSOLIDATED=Y","Sort=A","Dates=H","DateFormat=P","Fill=—","Direction=H","UseDPDF=Y")</f>
        <v>#NAME?</v>
      </c>
      <c r="AE277" s="2" t="e">
        <f ca="1">_xll.BDH($C$253,"WORK_CAP_GROWTH","FQ4 2018","FQ4 2018","Currency=INR","Period=FQ","BEST_FPERIOD_OVERRIDE=FQ","FILING_STATUS=OR","EQY_CONSOLIDATED=Y","Sort=A","Dates=H","DateFormat=P","Fill=—","Direction=H","UseDPDF=Y")</f>
        <v>#NAME?</v>
      </c>
      <c r="AF277" s="2" t="e">
        <f ca="1">_xll.BDH($C$253,"ACCOUNTS_PAYABLE_GROWTH_1YR","FQ4 2018","FQ4 2018","Currency=INR","Period=FQ","BEST_FPERIOD_OVERRIDE=FQ","FILING_STATUS=OR","EQY_CONSOLIDATED=Y","Sort=A","Dates=H","DateFormat=P","Fill=—","Direction=H","UseDPDF=Y")</f>
        <v>#NAME?</v>
      </c>
      <c r="AG277" s="2" t="e">
        <f ca="1">_xll.BDH($C$253,"SHORT_TERM_DEBT_1_YEAR_GROWTH","FQ4 2018","FQ4 2018","Currency=INR","Period=FQ","BEST_FPERIOD_OVERRIDE=FQ","FILING_STATUS=OR","EQY_CONSOLIDATED=Y","Sort=A","Dates=H","DateFormat=P","Fill=—","Direction=H","UseDPDF=Y")</f>
        <v>#NAME?</v>
      </c>
      <c r="AH277" s="2" t="e">
        <f ca="1">_xll.BDH($C$253,"TOTAL_DEBT_1_YEAR_GROWTH","FQ4 2018","FQ4 2018","Currency=INR","Period=FQ","BEST_FPERIOD_OVERRIDE=FQ","FILING_STATUS=OR","EQY_CONSOLIDATED=Y","Sort=A","Dates=H","DateFormat=P","Fill=—","Direction=H","UseDPDF=Y")</f>
        <v>#NAME?</v>
      </c>
      <c r="AI277" s="2" t="e">
        <f ca="1">_xll.BDH($C$253,"TOTAL_EQUITY_1_YEAR_GROWTH","FQ4 2018","FQ4 2018","Currency=INR","Period=FQ","BEST_FPERIOD_OVERRIDE=FQ","FILING_STATUS=OR","EQY_CONSOLIDATED=Y","Sort=A","Dates=H","DateFormat=P","Fill=—","Direction=H","UseDPDF=Y")</f>
        <v>#NAME?</v>
      </c>
      <c r="AJ277" s="2" t="e">
        <f ca="1">_xll.BDH($C$253,"GROWTH_IN_CAP","FQ4 2018","FQ4 2018","Currency=INR","Period=FQ","BEST_FPERIOD_OVERRIDE=FQ","FILING_STATUS=OR","EQY_CONSOLIDATED=Y","Sort=A","Dates=H","DateFormat=P","Fill=—","Direction=H","UseDPDF=Y")</f>
        <v>#NAME?</v>
      </c>
      <c r="AK277" s="2" t="e">
        <f ca="1">_xll.BDH($C$253,"BVPS_GROWTH","FQ4 2018","FQ4 2018","Currency=INR","Period=FQ","BEST_FPERIOD_OVERRIDE=FQ","FILING_STATUS=OR","EQY_CONSOLIDATED=Y","Sort=A","Dates=H","DateFormat=P","Fill=—","Direction=H","UseDPDF=Y")</f>
        <v>#NAME?</v>
      </c>
      <c r="AL277" s="2" t="e">
        <f ca="1">_xll.BDH($C$253,"CASH_FLOW_GROWTH","FQ4 2018","FQ4 2018","Currency=INR","Period=FQ","BEST_FPERIOD_OVERRIDE=FQ","FILING_STATUS=OR","EQY_CONSOLIDATED=Y","Sort=A","Dates=H","DateFormat=P","Fill=—","Direction=H","UseDPDF=Y")</f>
        <v>#NAME?</v>
      </c>
      <c r="AM277" s="2" t="e">
        <f ca="1">_xll.BDH($C$253,"GEO_GROW_NET_SALES","FQ4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277" s="2" t="e">
        <f ca="1">_xll.BDH($C$253,"GEO_GROW_EBITDA","FQ4 2018","FQ4 2018","Currency=INR","Period=FQ","BEST_FPERIOD_OVERRIDE=FQ","FILING_STATUS=OR","EQY_CONSOLIDATED=Y","FA_ADJUSTED=GAAP","Sort=A","Dates=H","DateFormat=P","Fill=—","Direction=H","UseDPDF=Y")</f>
        <v>#NAME?</v>
      </c>
      <c r="AO277" s="2" t="e">
        <f ca="1">_xll.BDH($C$253,"GEO_GROW_OPER_INC","FQ4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277" s="2" t="e">
        <f ca="1">_xll.BDH($C$253,"NET_INCOME_TO_COMMON_5_YR_GROWTH","FQ4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277" s="2" t="e">
        <f ca="1">_xll.BDH($C$253,"5Y_GEO_GROWTH_DILUTED_EPS","FQ4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277" s="2" t="e">
        <f ca="1">_xll.BDH($C$253,"GEO_GROW_DVD_PER_SH","FQ4 2018","FQ4 2018","Currency=INR","Period=FQ","BEST_FPERIOD_OVERRIDE=FQ","FILING_STATUS=OR","EQY_CONSOLIDATED=Y","Sort=A","Dates=H","DateFormat=P","Fill=—","Direction=H","UseDPDF=Y")</f>
        <v>#NAME?</v>
      </c>
      <c r="AS277" s="2" t="e">
        <f ca="1">_xll.BDH($C$253,"ACCOUNTS_RECEIVABLE_5_YR_GROWTH","FQ4 2018","FQ4 2018","Currency=INR","Period=FQ","BEST_FPERIOD_OVERRIDE=FQ","FILING_STATUS=OR","EQY_CONSOLIDATED=Y","Sort=A","Dates=H","DateFormat=P","Fill=—","Direction=H","UseDPDF=Y")</f>
        <v>#NAME?</v>
      </c>
      <c r="AT277" s="2" t="e">
        <f ca="1">_xll.BDH($C$253,"INVENTORY_5_YEAR_GROWTH","FQ4 2018","FQ4 2018","Currency=INR","Period=FQ","BEST_FPERIOD_OVERRIDE=FQ","FILING_STATUS=OR","EQY_CONSOLIDATED=Y","Sort=A","Dates=H","DateFormat=P","Fill=—","Direction=H","UseDPDF=Y")</f>
        <v>#NAME?</v>
      </c>
      <c r="AU277" s="2" t="e">
        <f ca="1">_xll.BDH($C$253,"NET_FIXED_ASSETS_5_YEAR_GROWTH","FQ4 2018","FQ4 2018","Currency=INR","Period=FQ","BEST_FPERIOD_OVERRIDE=FQ","FILING_STATUS=OR","EQY_CONSOLIDATED=Y","Sort=A","Dates=H","DateFormat=P","Fill=—","Direction=H","UseDPDF=Y")</f>
        <v>#NAME?</v>
      </c>
      <c r="AV277" s="2" t="e">
        <f ca="1">_xll.BDH($C$253,"GEO_GROW_TOT_ASSET","FQ4 2018","FQ4 2018","Currency=INR","Period=FQ","BEST_FPERIOD_OVERRIDE=FQ","FILING_STATUS=OR","EQY_CONSOLIDATED=Y","Sort=A","Dates=H","DateFormat=P","Fill=—","Direction=H","UseDPDF=Y")</f>
        <v>#NAME?</v>
      </c>
      <c r="AW277" s="2" t="e">
        <f ca="1">_xll.BDH($C$253,"MODIFIED_WORKING_CPTL_5YR_GRWTH","FQ4 2018","FQ4 2018","Currency=INR","Period=FQ","BEST_FPERIOD_OVERRIDE=FQ","FILING_STATUS=OR","EQY_CONSOLIDATED=Y","Sort=A","Dates=H","DateFormat=P","Fill=—","Direction=H","UseDPDF=Y")</f>
        <v>#NAME?</v>
      </c>
      <c r="AX277" s="2" t="e">
        <f ca="1">_xll.BDH($C$253,"WORKING_CAPITAL_5_YEAR_GROWTH","FQ4 2018","FQ4 2018","Currency=INR","Period=FQ","BEST_FPERIOD_OVERRIDE=FQ","FILING_STATUS=OR","EQY_CONSOLIDATED=Y","Sort=A","Dates=H","DateFormat=P","Fill=—","Direction=H","UseDPDF=Y")</f>
        <v>#NAME?</v>
      </c>
      <c r="AY277" s="2" t="e">
        <f ca="1">_xll.BDH($C$253,"ACCOUNTS_PAYABLE_5_YEAR_GROWTH","FQ4 2018","FQ4 2018","Currency=INR","Period=FQ","BEST_FPERIOD_OVERRIDE=FQ","FILING_STATUS=OR","EQY_CONSOLIDATED=Y","Sort=A","Dates=H","DateFormat=P","Fill=—","Direction=H","UseDPDF=Y")</f>
        <v>#NAME?</v>
      </c>
      <c r="AZ277" s="2" t="e">
        <f ca="1">_xll.BDH($C$253,"SHORT_TERM_DEBT_5_YEAR_GROWTH","FQ4 2018","FQ4 2018","Currency=INR","Period=FQ","BEST_FPERIOD_OVERRIDE=FQ","FILING_STATUS=OR","EQY_CONSOLIDATED=Y","Sort=A","Dates=H","DateFormat=P","Fill=—","Direction=H","UseDPDF=Y")</f>
        <v>#NAME?</v>
      </c>
      <c r="BA277" s="2" t="e">
        <f ca="1">_xll.BDH($C$253,"TOTAL_DEBT_5_YEAR_GROWTH","FQ4 2018","FQ4 2018","Currency=INR","Period=FQ","BEST_FPERIOD_OVERRIDE=FQ","FILING_STATUS=OR","EQY_CONSOLIDATED=Y","Sort=A","Dates=H","DateFormat=P","Fill=—","Direction=H","UseDPDF=Y")</f>
        <v>#NAME?</v>
      </c>
      <c r="BB277" s="2" t="e">
        <f ca="1">_xll.BDH($C$253,"GEO_GROW_TOT_SHRHLDR_EQY","FQ4 2018","FQ4 2018","Currency=INR","Period=FQ","BEST_FPERIOD_OVERRIDE=FQ","FILING_STATUS=OR","EQY_CONSOLIDATED=Y","Sort=A","Dates=H","DateFormat=P","Fill=—","Direction=H","UseDPDF=Y")</f>
        <v>#NAME?</v>
      </c>
      <c r="BC277" s="2" t="e">
        <f ca="1">_xll.BDH($C$253,"TOTAL_CAPITAL_5_YEAR_GROWTH","FQ4 2018","FQ4 2018","Currency=INR","Period=FQ","BEST_FPERIOD_OVERRIDE=FQ","FILING_STATUS=OR","EQY_CONSOLIDATED=Y","Sort=A","Dates=H","DateFormat=P","Fill=—","Direction=H","UseDPDF=Y")</f>
        <v>#NAME?</v>
      </c>
      <c r="BD277" s="2" t="e">
        <f ca="1">_xll.BDH($C$253,"GEO_GROW_BOOK_VAL","FQ4 2018","FQ4 2018","Currency=INR","Period=FQ","BEST_FPERIOD_OVERRIDE=FQ","FILING_STATUS=OR","EQY_CONSOLIDATED=Y","Sort=A","Dates=H","DateFormat=P","Fill=—","Direction=H","UseDPDF=Y")</f>
        <v>#NAME?</v>
      </c>
      <c r="BE277" s="2" t="e">
        <f ca="1">_xll.BDH($C$253,"GEO_GROW_CASH_OPER_ACT","FQ4 2018","FQ4 2018","Currency=INR","Period=FQ","BEST_FPERIOD_OVERRIDE=FQ","FILING_STATUS=OR","EQY_CONSOLIDATED=Y","Sort=A","Dates=H","DateFormat=P","Fill=—","Direction=H","UseDPDF=Y")</f>
        <v>#NAME?</v>
      </c>
      <c r="BF277" s="2" t="e">
        <f ca="1">_xll.BDH($C$253,"REVENUE_SEQUENTIAL_GROWTH","FQ4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277" s="2" t="e">
        <f ca="1">_xll.BDH($C$253,"EBITDA_SEQUENTIAL_GROWTH","FQ4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277" s="2" t="e">
        <f ca="1">_xll.BDH($C$253,"OPERATING_INCOME_SEQ_GROWTH","FQ4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277" s="2" t="e">
        <f ca="1">_xll.BDH($C$253,"NET_INCOME_TO_COMMON_SEQ_GROWTH","FQ4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277" s="2" t="e">
        <f ca="1">_xll.BDH($C$253,"EPS_DILUTED_SEQUENTIAL_GROWTH","FQ4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277" s="2" t="e">
        <f ca="1">_xll.BDH($C$253,"DPS_SEQUENTIAL_GROWTH","FQ4 2018","FQ4 2018","Currency=INR","Period=FQ","BEST_FPERIOD_OVERRIDE=FQ","FILING_STATUS=OR","EQY_CONSOLIDATED=Y","Sort=A","Dates=H","DateFormat=P","Fill=—","Direction=H","UseDPDF=Y")</f>
        <v>#NAME?</v>
      </c>
      <c r="BL277" s="2" t="e">
        <f ca="1">_xll.BDH($C$253,"ACCOUNTS_RECEIVABLE_SEQ_GROWTH","FQ4 2018","FQ4 2018","Currency=INR","Period=FQ","BEST_FPERIOD_OVERRIDE=FQ","FILING_STATUS=OR","EQY_CONSOLIDATED=Y","Sort=A","Dates=H","DateFormat=P","Fill=—","Direction=H","UseDPDF=Y")</f>
        <v>#NAME?</v>
      </c>
      <c r="BM277" s="2" t="e">
        <f ca="1">_xll.BDH($C$253,"INVENTORY_SEQUENTIAL_GROWTH","FQ4 2018","FQ4 2018","Currency=INR","Period=FQ","BEST_FPERIOD_OVERRIDE=FQ","FILING_STATUS=OR","EQY_CONSOLIDATED=Y","Sort=A","Dates=H","DateFormat=P","Fill=—","Direction=H","UseDPDF=Y")</f>
        <v>#NAME?</v>
      </c>
      <c r="BN277" s="2" t="e">
        <f ca="1">_xll.BDH($C$253,"FIXED_ASSETS_SEQUENTIAL_GROWTH","FQ4 2018","FQ4 2018","Currency=INR","Period=FQ","BEST_FPERIOD_OVERRIDE=FQ","FILING_STATUS=OR","EQY_CONSOLIDATED=Y","Sort=A","Dates=H","DateFormat=P","Fill=—","Direction=H","UseDPDF=Y")</f>
        <v>#NAME?</v>
      </c>
      <c r="BO277" s="2" t="e">
        <f ca="1">_xll.BDH($C$253,"TOTAL_ASSETS_SEQUENTIAL_GROWTH","FQ4 2018","FQ4 2018","Currency=INR","Period=FQ","BEST_FPERIOD_OVERRIDE=FQ","FILING_STATUS=OR","EQY_CONSOLIDATED=Y","Sort=A","Dates=H","DateFormat=P","Fill=—","Direction=H","UseDPDF=Y")</f>
        <v>#NAME?</v>
      </c>
      <c r="BP277" s="2" t="e">
        <f ca="1">_xll.BDH($C$253,"MODIFIED_WORKING_CPTL_SEQ_GRWTH","FQ4 2018","FQ4 2018","Currency=INR","Period=FQ","BEST_FPERIOD_OVERRIDE=FQ","FILING_STATUS=OR","EQY_CONSOLIDATED=Y","Sort=A","Dates=H","DateFormat=P","Fill=—","Direction=H","UseDPDF=Y")</f>
        <v>#NAME?</v>
      </c>
      <c r="BQ277" s="2" t="e">
        <f ca="1">_xll.BDH($C$253,"WORKING_CAPITAL_SEQ_GROWTH","FQ4 2018","FQ4 2018","Currency=INR","Period=FQ","BEST_FPERIOD_OVERRIDE=FQ","FILING_STATUS=OR","EQY_CONSOLIDATED=Y","Sort=A","Dates=H","DateFormat=P","Fill=—","Direction=H","UseDPDF=Y")</f>
        <v>#NAME?</v>
      </c>
      <c r="BR277" s="2" t="e">
        <f ca="1">_xll.BDH($C$253,"ACCOUNTS_PAYABLE_SEQ_GROWTH","FQ4 2018","FQ4 2018","Currency=INR","Period=FQ","BEST_FPERIOD_OVERRIDE=FQ","FILING_STATUS=OR","EQY_CONSOLIDATED=Y","Sort=A","Dates=H","DateFormat=P","Fill=—","Direction=H","UseDPDF=Y")</f>
        <v>#NAME?</v>
      </c>
      <c r="BS277" s="2" t="e">
        <f ca="1">_xll.BDH($C$253,"ST_DEBT_SEQUENTIAL_GROWTH","FQ4 2018","FQ4 2018","Currency=INR","Period=FQ","BEST_FPERIOD_OVERRIDE=FQ","FILING_STATUS=OR","EQY_CONSOLIDATED=Y","Sort=A","Dates=H","DateFormat=P","Fill=—","Direction=H","UseDPDF=Y")</f>
        <v>#NAME?</v>
      </c>
      <c r="BT277" s="2" t="e">
        <f ca="1">_xll.BDH($C$253,"TOTAL_DEBT_SEQUENTIAL_GROWTH","FQ4 2018","FQ4 2018","Currency=INR","Period=FQ","BEST_FPERIOD_OVERRIDE=FQ","FILING_STATUS=OR","EQY_CONSOLIDATED=Y","Sort=A","Dates=H","DateFormat=P","Fill=—","Direction=H","UseDPDF=Y")</f>
        <v>#NAME?</v>
      </c>
      <c r="BU277" s="2" t="e">
        <f ca="1">_xll.BDH($C$253,"TOTAL_EQUITY_SEQUENTIAL_GROWTH","FQ4 2018","FQ4 2018","Currency=INR","Period=FQ","BEST_FPERIOD_OVERRIDE=FQ","FILING_STATUS=OR","EQY_CONSOLIDATED=Y","Sort=A","Dates=H","DateFormat=P","Fill=—","Direction=H","UseDPDF=Y")</f>
        <v>#NAME?</v>
      </c>
      <c r="BV277" s="2" t="e">
        <f ca="1">_xll.BDH($C$253,"TOTAL_CAPITAL_SEQUENTIAL_GROWTH","FQ4 2018","FQ4 2018","Currency=INR","Period=FQ","BEST_FPERIOD_OVERRIDE=FQ","FILING_STATUS=OR","EQY_CONSOLIDATED=Y","Sort=A","Dates=H","DateFormat=P","Fill=—","Direction=H","UseDPDF=Y")</f>
        <v>#NAME?</v>
      </c>
      <c r="BW277" s="2" t="e">
        <f ca="1">_xll.BDH($C$253,"BPS_SEQUENTIAL_GROWTH","FQ4 2018","FQ4 2018","Currency=INR","Period=FQ","BEST_FPERIOD_OVERRIDE=FQ","FILING_STATUS=OR","EQY_CONSOLIDATED=Y","Sort=A","Dates=H","DateFormat=P","Fill=—","Direction=H","UseDPDF=Y")</f>
        <v>#NAME?</v>
      </c>
      <c r="BX277" s="2" t="e">
        <f ca="1">_xll.BDH($C$253,"CFO_SEQUENTIAL_GROWTH","FQ4 2018","FQ4 2018","Currency=INR","Period=FQ","BEST_FPERIOD_OVERRIDE=FQ","FILING_STATUS=OR","EQY_CONSOLIDATED=Y","Sort=A","Dates=H","DateFormat=P","Fill=—","Direction=H","UseDPDF=Y")</f>
        <v>#NAME?</v>
      </c>
      <c r="BY277" s="3" t="e">
        <f ca="1">_xll.BDH($C$253,"SHORT_AND_LONG_TERM_DEBT","FQ4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277" s="3" t="e">
        <f ca="1">_xll.BDH($C$253,"BS_ST_BORROW","FQ4 2018","FQ4 2018","Currency=INR","Period=FQ","BEST_FPERIOD_OVERRIDE=FQ","FILING_STATUS=OR","EQY_CONSOLIDATED=Y","SCALING_FORMAT=MLN","Sort=A","Dates=H","DateFormat=P","Fill=—","Direction=H","UseDPDF=Y")</f>
        <v>#NAME?</v>
      </c>
      <c r="CA277" s="3" t="e">
        <f ca="1">_xll.BDH($C$253,"BS_LT_BORROW","FQ4 2018","FQ4 2018","Currency=INR","Period=FQ","BEST_FPERIOD_OVERRIDE=FQ","FILING_STATUS=OR","EQY_CONSOLIDATED=Y","SCALING_FORMAT=MLN","Sort=A","Dates=H","DateFormat=P","Fill=—","Direction=H","UseDPDF=Y")</f>
        <v>#NAME?</v>
      </c>
      <c r="CB277" s="2" t="e">
        <f ca="1">_xll.BDH($C$253,"TOT_DEBT_TO_EBITDA","FQ4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277" s="2" t="e">
        <f ca="1">_xll.BDH($C$253,"NET_DEBT_TO_EBITDA","FQ4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277" s="2" t="e">
        <f ca="1">_xll.BDH($C$253,"TOTAL_DEBT_TO_EBIT","FQ4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277" s="2" t="e">
        <f ca="1">_xll.BDH($C$253,"NET_DEBT_TO_EBIT","FQ4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277" s="2" t="e">
        <f ca="1">_xll.BDH($C$253,"EBITDA_TO_INTEREST_EXPN","FQ4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277" s="2" t="e">
        <f ca="1">_xll.BDH($C$253,"COM_EQY_TO_TOT_ASSET","FQ4 2018","FQ4 2018","Currency=INR","Period=FQ","BEST_FPERIOD_OVERRIDE=FQ","FILING_STATUS=OR","EQY_CONSOLIDATED=Y","Sort=A","Dates=H","DateFormat=P","Fill=—","Direction=H","UseDPDF=Y")</f>
        <v>#NAME?</v>
      </c>
      <c r="CH277" s="2" t="e">
        <f ca="1">_xll.BDH($C$253,"LT_DEBT_TO_TOT_EQY","FQ4 2018","FQ4 2018","Currency=INR","Period=FQ","BEST_FPERIOD_OVERRIDE=FQ","FILING_STATUS=OR","EQY_CONSOLIDATED=Y","Sort=A","Dates=H","DateFormat=P","Fill=—","Direction=H","UseDPDF=Y")</f>
        <v>#NAME?</v>
      </c>
      <c r="CI277" s="2" t="e">
        <f ca="1">_xll.BDH($C$253,"LT_DEBT_TO_TOT_CAP","FQ4 2018","FQ4 2018","Currency=INR","Period=FQ","BEST_FPERIOD_OVERRIDE=FQ","FILING_STATUS=OR","EQY_CONSOLIDATED=Y","Sort=A","Dates=H","DateFormat=P","Fill=—","Direction=H","UseDPDF=Y")</f>
        <v>#NAME?</v>
      </c>
      <c r="CJ277" s="2" t="e">
        <f ca="1">_xll.BDH($C$253,"LT_DEBT_TO_TOT_ASSET","FQ4 2018","FQ4 2018","Currency=INR","Period=FQ","BEST_FPERIOD_OVERRIDE=FQ","FILING_STATUS=OR","EQY_CONSOLIDATED=Y","Sort=A","Dates=H","DateFormat=P","Fill=—","Direction=H","UseDPDF=Y")</f>
        <v>#NAME?</v>
      </c>
      <c r="CK277" s="2" t="e">
        <f ca="1">_xll.BDH($C$253,"TOT_DEBT_TO_TOT_EQY","FQ4 2018","FQ4 2018","Currency=INR","Period=FQ","BEST_FPERIOD_OVERRIDE=FQ","FILING_STATUS=OR","EQY_CONSOLIDATED=Y","Sort=A","Dates=H","DateFormat=P","Fill=—","Direction=H","UseDPDF=Y")</f>
        <v>#NAME?</v>
      </c>
      <c r="CL277" s="2" t="e">
        <f ca="1">_xll.BDH($C$253,"TOT_DEBT_TO_TOT_CAP","FQ4 2018","FQ4 2018","Currency=INR","Period=FQ","BEST_FPERIOD_OVERRIDE=FQ","FILING_STATUS=OR","EQY_CONSOLIDATED=Y","Sort=A","Dates=H","DateFormat=P","Fill=—","Direction=H","UseDPDF=Y")</f>
        <v>#NAME?</v>
      </c>
      <c r="CM277" s="2" t="e">
        <f ca="1">_xll.BDH($C$253,"TOT_DEBT_TO_TOT_ASSET","FQ4 2018","FQ4 2018","Currency=INR","Period=FQ","BEST_FPERIOD_OVERRIDE=FQ","FILING_STATUS=OR","EQY_CONSOLIDATED=Y","Sort=A","Dates=H","DateFormat=P","Fill=—","Direction=H","UseDPDF=Y")</f>
        <v>#NAME?</v>
      </c>
      <c r="CN277" s="2" t="e">
        <f ca="1">_xll.BDH($C$253,"NET_DEBT_TO_SHRHLDR_EQTY","FQ4 2018","FQ4 2018","Currency=INR","Period=FQ","BEST_FPERIOD_OVERRIDE=FQ","FILING_STATUS=OR","EQY_CONSOLIDATED=Y","Sort=A","Dates=H","DateFormat=P","Fill=—","Direction=H","UseDPDF=Y")</f>
        <v>#NAME?</v>
      </c>
      <c r="CO277" s="2" t="e">
        <f ca="1">_xll.BDH($C$253,"NET_DEBT_%_CAPITAL","FQ4 2018","FQ4 2018","Currency=INR","Period=FQ","BEST_FPERIOD_OVERRIDE=FQ","FILING_STATUS=OR","EQY_CONSOLIDATED=Y","Sort=A","Dates=H","DateFormat=P","Fill=—","Direction=H","UseDPDF=Y")</f>
        <v>#NAME?</v>
      </c>
      <c r="CP277" s="3" t="e">
        <f ca="1">_xll.BDH($C$253,"EBITDA","FQ4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277" s="3" t="e">
        <f ca="1">_xll.BDH($C$253,"EBITDA_AFTER_CAPEX","FQ4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277" s="3" t="e">
        <f ca="1">_xll.BDH($C$253,"IS_OPER_INC","FQ4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277" s="2" t="e">
        <f ca="1">_xll.BDH($C$253,"CASH_RATIO","FQ4 2018","FQ4 2018","Currency=INR","Period=FQ","BEST_FPERIOD_OVERRIDE=FQ","FILING_STATUS=OR","EQY_CONSOLIDATED=Y","Sort=A","Dates=H","DateFormat=P","Fill=—","Direction=H","UseDPDF=Y")</f>
        <v>#NAME?</v>
      </c>
      <c r="CT277" s="2" t="e">
        <f ca="1">_xll.BDH($C$253,"CUR_RATIO","FQ4 2018","FQ4 2018","Currency=INR","Period=FQ","BEST_FPERIOD_OVERRIDE=FQ","FILING_STATUS=OR","EQY_CONSOLIDATED=Y","Sort=A","Dates=H","DateFormat=P","Fill=—","Direction=H","UseDPDF=Y")</f>
        <v>#NAME?</v>
      </c>
      <c r="CU277" s="2" t="e">
        <f ca="1">_xll.BDH($C$253,"QUICK_RATIO","FQ4 2018","FQ4 2018","Currency=INR","Period=FQ","BEST_FPERIOD_OVERRIDE=FQ","FILING_STATUS=OR","EQY_CONSOLIDATED=Y","Sort=A","Dates=H","DateFormat=P","Fill=—","Direction=H","UseDPDF=Y")</f>
        <v>#NAME?</v>
      </c>
      <c r="CV277" s="2" t="e">
        <f ca="1">_xll.BDH($C$253,"ALTMAN_Z_SCORE","FQ4 2018","FQ4 2018","Currency=INR","Period=FQ","BEST_FPERIOD_OVERRIDE=FQ","FILING_STATUS=OR","EQY_CONSOLIDATED=Y","Sort=A","Dates=H","DateFormat=P","Fill=—","Direction=H","UseDPDF=Y")</f>
        <v>#NAME?</v>
      </c>
      <c r="CW277" s="4" t="e">
        <f ca="1">_xll.BDH($C$253,"ACCT_RCV_TURN","FQ4 2018","FQ4 2018","Currency=INR","Period=FQ","BEST_FPERIOD_OVERRIDE=FQ","FILING_STATUS=OR","EQY_CONSOLIDATED=Y","FA_ADJUSTED=GAAP","Sort=A","Dates=H","DateFormat=P","Fill=—","Direction=H","UseDPDF=Y")</f>
        <v>#NAME?</v>
      </c>
      <c r="CX277" s="2" t="e">
        <f ca="1">_xll.BDH($C$253,"ACCT_RCV_DAYS","FQ4 2018","FQ4 2018","Currency=INR","Period=FQ","BEST_FPERIOD_OVERRIDE=FQ","FILING_STATUS=OR","EQY_CONSOLIDATED=Y","FA_ADJUSTED=GAAP","Sort=A","Dates=H","DateFormat=P","Fill=—","Direction=H","UseDPDF=Y")</f>
        <v>#NAME?</v>
      </c>
      <c r="CY277" s="4" t="e">
        <f ca="1">_xll.BDH($C$253,"INVENT_TURN","FQ4 2018","FQ4 2018","Currency=INR","Period=FQ","BEST_FPERIOD_OVERRIDE=FQ","FILING_STATUS=OR","EQY_CONSOLIDATED=Y","FA_ADJUSTED=GAAP","Sort=A","Dates=H","DateFormat=P","Fill=—","Direction=H","UseDPDF=Y")</f>
        <v>#NAME?</v>
      </c>
      <c r="CZ277" s="2" t="e">
        <f ca="1">_xll.BDH($C$253,"INVENT_DAYS","FQ4 2018","FQ4 2018","Currency=INR","Period=FQ","BEST_FPERIOD_OVERRIDE=FQ","FILING_STATUS=OR","EQY_CONSOLIDATED=Y","FA_ADJUSTED=GAAP","Sort=A","Dates=H","DateFormat=P","Fill=—","Direction=H","UseDPDF=Y")</f>
        <v>#NAME?</v>
      </c>
      <c r="DA277" s="4" t="e">
        <f ca="1">_xll.BDH($C$253,"ACCOUNTS_PAYABLE_TURNOVER","FQ4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277" s="2" t="e">
        <f ca="1">_xll.BDH($C$253,"ACCOUNTS_PAYABLE_TURNOVER_DAYS","FQ4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277" s="4" t="e">
        <f ca="1">_xll.BDH($C$253,"CASH_CONVERSION_CYCLE","FQ4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277" s="4" t="e">
        <f ca="1">_xll.BDH($C$253,"INV_TO_CASH_DAYS","FQ4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277" s="5" t="e">
        <f ca="1">_xll.BDH($C$253,"BS_INVENTORIES","FQ4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277" s="3" t="e">
        <f ca="1">_xll.BDH($C$253,"INVTRY_RAW_MATERIALS","FQ4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277" s="3" t="e">
        <f ca="1">_xll.BDH($C$253,"INVTRY_IN_PROGRESS","FQ4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277" s="3" t="e">
        <f ca="1">_xll.BDH($C$253,"INVTRY_FINISHED_GOODS","FQ4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277" s="3" t="e">
        <f ca="1">_xll.BDH($C$253,"BS_OTHER_INV","FQ4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278" spans="1:113" x14ac:dyDescent="0.3">
      <c r="A278" s="6">
        <v>12</v>
      </c>
      <c r="B278" s="6" t="s">
        <v>106</v>
      </c>
      <c r="C278" s="6" t="s">
        <v>107</v>
      </c>
      <c r="D278" s="6" t="s">
        <v>76</v>
      </c>
      <c r="E278" t="s">
        <v>77</v>
      </c>
      <c r="F278" t="e">
        <f ca="1">_xll.BDH($C$278,"RETURN_COM_EQY","FY 2014","FY 2014","Currency=INR","Period=FY","BEST_FPERIOD_OVERRIDE=FY","FILING_STATUS=OR","EQY_CONSOLIDATED=Y","FA_ADJUSTED=GAAP","Sort=A","Dates=H","DateFormat=P","Fill=—","Direction=H","UseDPDF=Y")</f>
        <v>#NAME?</v>
      </c>
      <c r="G278" t="e">
        <f ca="1">_xll.BDH($C$278,"RETURN_ON_ASSET","FY 2014","FY 2014","Currency=INR","Period=FY","BEST_FPERIOD_OVERRIDE=FY","FILING_STATUS=OR","EQY_CONSOLIDATED=Y","FA_ADJUSTED=GAAP","Sort=A","Dates=H","DateFormat=P","Fill=—","Direction=H","UseDPDF=Y")</f>
        <v>#NAME?</v>
      </c>
      <c r="H278" t="e">
        <f ca="1">_xll.BDH($C$278,"RETURN_ON_CAP","FY 2014","FY 2014","Currency=INR","Period=FY","BEST_FPERIOD_OVERRIDE=FY","FILING_STATUS=OR","EQY_CONSOLIDATED=Y","FA_ADJUSTED=GAAP","Sort=A","Dates=H","DateFormat=P","Fill=—","Direction=H","UseDPDF=Y")</f>
        <v>#NAME?</v>
      </c>
      <c r="I278" t="e">
        <f ca="1">_xll.BDH($C$278,"RETURN_ON_INV_CAPITAL","FY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278" t="e">
        <f ca="1">_xll.BDH($C$278,"EBITDA_TO_REVENUE","FY 2014","FY 2014","Currency=INR","Period=FY","BEST_FPERIOD_OVERRIDE=FY","FILING_STATUS=OR","EQY_CONSOLIDATED=Y","FA_ADJUSTED=GAAP","Sort=A","Dates=H","DateFormat=P","Fill=—","Direction=H","UseDPDF=Y")</f>
        <v>#NAME?</v>
      </c>
      <c r="K278" t="e">
        <f ca="1">_xll.BDH($C$278,"OPER_MARGIN","FY 2014","FY 2014","Currency=INR","Period=FY","BEST_FPERIOD_OVERRIDE=FY","FILING_STATUS=OR","EQY_CONSOLIDATED=Y","FA_ADJUSTED=GAAP","Sort=A","Dates=H","DateFormat=P","Fill=—","Direction=H","UseDPDF=Y")</f>
        <v>#NAME?</v>
      </c>
      <c r="L278" t="e">
        <f ca="1">_xll.BDH($C$278,"INCREMENTAL_OPERATING_MARGIN","FY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278" t="e">
        <f ca="1">_xll.BDH($C$278,"PRETAX_INC_TO_NET_SALES","FY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278" t="e">
        <f ca="1">_xll.BDH($C$278,"INC_BEF_XO_ITEMS_TO_NET_SALES","FY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278" t="e">
        <f ca="1">_xll.BDH($C$278,"PROF_MARGIN","FY 2014","FY 2014","Currency=INR","Period=FY","BEST_FPERIOD_OVERRIDE=FY","FILING_STATUS=OR","EQY_CONSOLIDATED=Y","FA_ADJUSTED=GAAP","Sort=A","Dates=H","DateFormat=P","Fill=—","Direction=H","UseDPDF=Y")</f>
        <v>#NAME?</v>
      </c>
      <c r="P278" t="e">
        <f ca="1">_xll.BDH($C$278,"NET_INCOME_TO_COMMON_MARGIN","FY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278" t="e">
        <f ca="1">_xll.BDH($C$278,"EFF_TAX_RATE","FY 2014","FY 2014","Currency=INR","Period=FY","BEST_FPERIOD_OVERRIDE=FY","FILING_STATUS=OR","EQY_CONSOLIDATED=Y","FA_ADJUSTED=GAAP","Sort=A","Dates=H","DateFormat=P","Fill=—","Direction=H","UseDPDF=Y")</f>
        <v>#NAME?</v>
      </c>
      <c r="R278" t="e">
        <f ca="1">_xll.BDH($C$278,"DVD_PAYOUT_RATIO","FY 2014","FY 2014","Currency=INR","Period=FY","BEST_FPERIOD_OVERRIDE=FY","FILING_STATUS=OR","EQY_CONSOLIDATED=Y","FA_ADJUSTED=GAAP","Sort=A","Dates=H","DateFormat=P","Fill=—","Direction=H","UseDPDF=Y")</f>
        <v>#NAME?</v>
      </c>
      <c r="S278" t="e">
        <f ca="1">_xll.BDH($C$278,"SUSTAIN_GROWTH_RT","FY 2014","FY 2014","Currency=INR","Period=FY","BEST_FPERIOD_OVERRIDE=FY","FILING_STATUS=OR","EQY_CONSOLIDATED=Y","FA_ADJUSTED=GAAP","Sort=A","Dates=H","DateFormat=P","Fill=—","Direction=H","UseDPDF=Y")</f>
        <v>#NAME?</v>
      </c>
      <c r="T278" s="2" t="e">
        <f ca="1">_xll.BDH($C$278,"SALES_GROWTH","FY 2014","FY 2014","Currency=INR","Period=FY","BEST_FPERIOD_OVERRIDE=FY","FILING_STATUS=OR","EQY_CONSOLIDATED=Y","FA_ADJUSTED=GAAP","Sort=A","Dates=H","DateFormat=P","Fill=—","Direction=H","UseDPDF=Y")</f>
        <v>#NAME?</v>
      </c>
      <c r="U278" s="2" t="e">
        <f ca="1">_xll.BDH($C$278,"EBITDA_GROWTH","FY 2014","FY 2014","Currency=INR","Period=FY","BEST_FPERIOD_OVERRIDE=FY","FILING_STATUS=OR","EQY_CONSOLIDATED=Y","FA_ADJUSTED=GAAP","Sort=A","Dates=H","DateFormat=P","Fill=—","Direction=H","UseDPDF=Y")</f>
        <v>#NAME?</v>
      </c>
      <c r="V278" s="2" t="e">
        <f ca="1">_xll.BDH($C$278,"OPER_INC_GROWTH","FY 2014","FY 2014","Currency=INR","Period=FY","BEST_FPERIOD_OVERRIDE=FY","FILING_STATUS=OR","EQY_CONSOLIDATED=Y","FA_ADJUSTED=GAAP","Sort=A","Dates=H","DateFormat=P","Fill=—","Direction=H","UseDPDF=Y")</f>
        <v>#NAME?</v>
      </c>
      <c r="W278" s="2" t="e">
        <f ca="1">_xll.BDH($C$278,"EARN_FOR_COM_GROWTH","FY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278" s="2" t="e">
        <f ca="1">_xll.BDH($C$278,"DILUTED_EPS_AFT_XO_ITEMS_GROWTH","FY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278" s="2" t="e">
        <f ca="1">_xll.BDH($C$278,"DIVIDEND_PER_SHARE_1_YEAR_GROWTH","FY 2014","FY 2014","Currency=INR","Period=FY","BEST_FPERIOD_OVERRIDE=FY","FILING_STATUS=OR","EQY_CONSOLIDATED=Y","Sort=A","Dates=H","DateFormat=P","Fill=—","Direction=H","UseDPDF=Y")</f>
        <v>#NAME?</v>
      </c>
      <c r="Z278" s="2" t="e">
        <f ca="1">_xll.BDH($C$278,"ACCOUNTS_RECEIVABLE_GROWTH","FY 2014","FY 2014","Currency=INR","Period=FY","BEST_FPERIOD_OVERRIDE=FY","FILING_STATUS=OR","EQY_CONSOLIDATED=Y","Sort=A","Dates=H","DateFormat=P","Fill=—","Direction=H","UseDPDF=Y")</f>
        <v>#NAME?</v>
      </c>
      <c r="AA278" s="2" t="e">
        <f ca="1">_xll.BDH($C$278,"INVENTORY_GROWTH","FY 2014","FY 2014","Currency=INR","Period=FY","BEST_FPERIOD_OVERRIDE=FY","FILING_STATUS=OR","EQY_CONSOLIDATED=Y","Sort=A","Dates=H","DateFormat=P","Fill=—","Direction=H","UseDPDF=Y")</f>
        <v>#NAME?</v>
      </c>
      <c r="AB278" s="2" t="e">
        <f ca="1">_xll.BDH($C$278,"NET_FIXED_ASSETS_1_YEAR_GROWTH","FY 2014","FY 2014","Currency=INR","Period=FY","BEST_FPERIOD_OVERRIDE=FY","FILING_STATUS=OR","EQY_CONSOLIDATED=Y","Sort=A","Dates=H","DateFormat=P","Fill=—","Direction=H","UseDPDF=Y")</f>
        <v>#NAME?</v>
      </c>
      <c r="AC278" s="2" t="e">
        <f ca="1">_xll.BDH($C$278,"ASSET_GROWTH","FY 2014","FY 2014","Currency=INR","Period=FY","BEST_FPERIOD_OVERRIDE=FY","FILING_STATUS=OR","EQY_CONSOLIDATED=Y","Sort=A","Dates=H","DateFormat=P","Fill=—","Direction=H","UseDPDF=Y")</f>
        <v>#NAME?</v>
      </c>
      <c r="AD278" s="2" t="e">
        <f ca="1">_xll.BDH($C$278,"MODIFIED_WORK_CAP_GROWTH","FY 2014","FY 2014","Currency=INR","Period=FY","BEST_FPERIOD_OVERRIDE=FY","FILING_STATUS=OR","EQY_CONSOLIDATED=Y","Sort=A","Dates=H","DateFormat=P","Fill=—","Direction=H","UseDPDF=Y")</f>
        <v>#NAME?</v>
      </c>
      <c r="AE278" s="2" t="e">
        <f ca="1">_xll.BDH($C$278,"WORK_CAP_GROWTH","FY 2014","FY 2014","Currency=INR","Period=FY","BEST_FPERIOD_OVERRIDE=FY","FILING_STATUS=OR","EQY_CONSOLIDATED=Y","Sort=A","Dates=H","DateFormat=P","Fill=—","Direction=H","UseDPDF=Y")</f>
        <v>#NAME?</v>
      </c>
      <c r="AF278" s="2" t="e">
        <f ca="1">_xll.BDH($C$278,"ACCOUNTS_PAYABLE_GROWTH_1YR","FY 2014","FY 2014","Currency=INR","Period=FY","BEST_FPERIOD_OVERRIDE=FY","FILING_STATUS=OR","EQY_CONSOLIDATED=Y","Sort=A","Dates=H","DateFormat=P","Fill=—","Direction=H","UseDPDF=Y")</f>
        <v>#NAME?</v>
      </c>
      <c r="AG278" s="2" t="e">
        <f ca="1">_xll.BDH($C$278,"SHORT_TERM_DEBT_1_YEAR_GROWTH","FY 2014","FY 2014","Currency=INR","Period=FY","BEST_FPERIOD_OVERRIDE=FY","FILING_STATUS=OR","EQY_CONSOLIDATED=Y","Sort=A","Dates=H","DateFormat=P","Fill=—","Direction=H","UseDPDF=Y")</f>
        <v>#NAME?</v>
      </c>
      <c r="AH278" s="2" t="e">
        <f ca="1">_xll.BDH($C$278,"TOTAL_DEBT_1_YEAR_GROWTH","FY 2014","FY 2014","Currency=INR","Period=FY","BEST_FPERIOD_OVERRIDE=FY","FILING_STATUS=OR","EQY_CONSOLIDATED=Y","Sort=A","Dates=H","DateFormat=P","Fill=—","Direction=H","UseDPDF=Y")</f>
        <v>#NAME?</v>
      </c>
      <c r="AI278" s="2" t="e">
        <f ca="1">_xll.BDH($C$278,"TOTAL_EQUITY_1_YEAR_GROWTH","FY 2014","FY 2014","Currency=INR","Period=FY","BEST_FPERIOD_OVERRIDE=FY","FILING_STATUS=OR","EQY_CONSOLIDATED=Y","Sort=A","Dates=H","DateFormat=P","Fill=—","Direction=H","UseDPDF=Y")</f>
        <v>#NAME?</v>
      </c>
      <c r="AJ278" s="2" t="e">
        <f ca="1">_xll.BDH($C$278,"GROWTH_IN_CAP","FY 2014","FY 2014","Currency=INR","Period=FY","BEST_FPERIOD_OVERRIDE=FY","FILING_STATUS=OR","EQY_CONSOLIDATED=Y","Sort=A","Dates=H","DateFormat=P","Fill=—","Direction=H","UseDPDF=Y")</f>
        <v>#NAME?</v>
      </c>
      <c r="AK278" s="2" t="e">
        <f ca="1">_xll.BDH($C$278,"BVPS_GROWTH","FY 2014","FY 2014","Currency=INR","Period=FY","BEST_FPERIOD_OVERRIDE=FY","FILING_STATUS=OR","EQY_CONSOLIDATED=Y","Sort=A","Dates=H","DateFormat=P","Fill=—","Direction=H","UseDPDF=Y")</f>
        <v>#NAME?</v>
      </c>
      <c r="AL278" s="2" t="e">
        <f ca="1">_xll.BDH($C$278,"CASH_FLOW_GROWTH","FY 2014","FY 2014","Currency=INR","Period=FY","BEST_FPERIOD_OVERRIDE=FY","FILING_STATUS=OR","EQY_CONSOLIDATED=Y","Sort=A","Dates=H","DateFormat=P","Fill=—","Direction=H","UseDPDF=Y")</f>
        <v>#NAME?</v>
      </c>
      <c r="AM278" s="2" t="e">
        <f ca="1">_xll.BDH($C$278,"GEO_GROW_NET_SALES","FY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278" s="2" t="e">
        <f ca="1">_xll.BDH($C$278,"GEO_GROW_EBITDA","FY 2014","FY 2014","Currency=INR","Period=FY","BEST_FPERIOD_OVERRIDE=FY","FILING_STATUS=OR","EQY_CONSOLIDATED=Y","FA_ADJUSTED=GAAP","Sort=A","Dates=H","DateFormat=P","Fill=—","Direction=H","UseDPDF=Y")</f>
        <v>#NAME?</v>
      </c>
      <c r="AO278" s="2" t="e">
        <f ca="1">_xll.BDH($C$278,"GEO_GROW_OPER_INC","FY 2014","FY 2014","Currency=INR","Period=FY","BEST_FPERIOD_OVERRIDE=FY","FILING_STATUS=OR","EQY_CONSOLIDATED=Y","FA_ADJUSTED=GAAP","Sort=A","Dates=H","DateFormat=P","Fill=—","Direction=H","UseDPDF=Y")</f>
        <v>#NAME?</v>
      </c>
      <c r="AP278" s="2" t="e">
        <f ca="1">_xll.BDH($C$278,"NET_INCOME_TO_COMMON_5_YR_GROWTH","FY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278" s="2" t="e">
        <f ca="1">_xll.BDH($C$278,"5Y_GEO_GROWTH_DILUTED_EPS","FY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278" s="2" t="e">
        <f ca="1">_xll.BDH($C$278,"GEO_GROW_DVD_PER_SH","FY 2014","FY 2014","Currency=INR","Period=FY","BEST_FPERIOD_OVERRIDE=FY","FILING_STATUS=OR","EQY_CONSOLIDATED=Y","Sort=A","Dates=H","DateFormat=P","Fill=—","Direction=H","UseDPDF=Y")</f>
        <v>#NAME?</v>
      </c>
      <c r="AS278" s="2" t="e">
        <f ca="1">_xll.BDH($C$278,"ACCOUNTS_RECEIVABLE_5_YR_GROWTH","FY 2014","FY 2014","Currency=INR","Period=FY","BEST_FPERIOD_OVERRIDE=FY","FILING_STATUS=OR","EQY_CONSOLIDATED=Y","Sort=A","Dates=H","DateFormat=P","Fill=—","Direction=H","UseDPDF=Y")</f>
        <v>#NAME?</v>
      </c>
      <c r="AT278" s="2" t="e">
        <f ca="1">_xll.BDH($C$278,"INVENTORY_5_YEAR_GROWTH","FY 2014","FY 2014","Currency=INR","Period=FY","BEST_FPERIOD_OVERRIDE=FY","FILING_STATUS=OR","EQY_CONSOLIDATED=Y","Sort=A","Dates=H","DateFormat=P","Fill=—","Direction=H","UseDPDF=Y")</f>
        <v>#NAME?</v>
      </c>
      <c r="AU278" s="2" t="e">
        <f ca="1">_xll.BDH($C$278,"NET_FIXED_ASSETS_5_YEAR_GROWTH","FY 2014","FY 2014","Currency=INR","Period=FY","BEST_FPERIOD_OVERRIDE=FY","FILING_STATUS=OR","EQY_CONSOLIDATED=Y","Sort=A","Dates=H","DateFormat=P","Fill=—","Direction=H","UseDPDF=Y")</f>
        <v>#NAME?</v>
      </c>
      <c r="AV278" s="2" t="e">
        <f ca="1">_xll.BDH($C$278,"GEO_GROW_TOT_ASSET","FY 2014","FY 2014","Currency=INR","Period=FY","BEST_FPERIOD_OVERRIDE=FY","FILING_STATUS=OR","EQY_CONSOLIDATED=Y","Sort=A","Dates=H","DateFormat=P","Fill=—","Direction=H","UseDPDF=Y")</f>
        <v>#NAME?</v>
      </c>
      <c r="AW278" s="2" t="e">
        <f ca="1">_xll.BDH($C$278,"MODIFIED_WORKING_CPTL_5YR_GRWTH","FY 2014","FY 2014","Currency=INR","Period=FY","BEST_FPERIOD_OVERRIDE=FY","FILING_STATUS=OR","EQY_CONSOLIDATED=Y","Sort=A","Dates=H","DateFormat=P","Fill=—","Direction=H","UseDPDF=Y")</f>
        <v>#NAME?</v>
      </c>
      <c r="AX278" s="2" t="e">
        <f ca="1">_xll.BDH($C$278,"WORKING_CAPITAL_5_YEAR_GROWTH","FY 2014","FY 2014","Currency=INR","Period=FY","BEST_FPERIOD_OVERRIDE=FY","FILING_STATUS=OR","EQY_CONSOLIDATED=Y","Sort=A","Dates=H","DateFormat=P","Fill=—","Direction=H","UseDPDF=Y")</f>
        <v>#NAME?</v>
      </c>
      <c r="AY278" s="2" t="e">
        <f ca="1">_xll.BDH($C$278,"ACCOUNTS_PAYABLE_5_YEAR_GROWTH","FY 2014","FY 2014","Currency=INR","Period=FY","BEST_FPERIOD_OVERRIDE=FY","FILING_STATUS=OR","EQY_CONSOLIDATED=Y","Sort=A","Dates=H","DateFormat=P","Fill=—","Direction=H","UseDPDF=Y")</f>
        <v>#NAME?</v>
      </c>
      <c r="AZ278" s="2" t="e">
        <f ca="1">_xll.BDH($C$278,"SHORT_TERM_DEBT_5_YEAR_GROWTH","FY 2014","FY 2014","Currency=INR","Period=FY","BEST_FPERIOD_OVERRIDE=FY","FILING_STATUS=OR","EQY_CONSOLIDATED=Y","Sort=A","Dates=H","DateFormat=P","Fill=—","Direction=H","UseDPDF=Y")</f>
        <v>#NAME?</v>
      </c>
      <c r="BA278" s="2" t="e">
        <f ca="1">_xll.BDH($C$278,"TOTAL_DEBT_5_YEAR_GROWTH","FY 2014","FY 2014","Currency=INR","Period=FY","BEST_FPERIOD_OVERRIDE=FY","FILING_STATUS=OR","EQY_CONSOLIDATED=Y","Sort=A","Dates=H","DateFormat=P","Fill=—","Direction=H","UseDPDF=Y")</f>
        <v>#NAME?</v>
      </c>
      <c r="BB278" s="2" t="e">
        <f ca="1">_xll.BDH($C$278,"GEO_GROW_TOT_SHRHLDR_EQY","FY 2014","FY 2014","Currency=INR","Period=FY","BEST_FPERIOD_OVERRIDE=FY","FILING_STATUS=OR","EQY_CONSOLIDATED=Y","Sort=A","Dates=H","DateFormat=P","Fill=—","Direction=H","UseDPDF=Y")</f>
        <v>#NAME?</v>
      </c>
      <c r="BC278" s="2" t="e">
        <f ca="1">_xll.BDH($C$278,"TOTAL_CAPITAL_5_YEAR_GROWTH","FY 2014","FY 2014","Currency=INR","Period=FY","BEST_FPERIOD_OVERRIDE=FY","FILING_STATUS=OR","EQY_CONSOLIDATED=Y","Sort=A","Dates=H","DateFormat=P","Fill=—","Direction=H","UseDPDF=Y")</f>
        <v>#NAME?</v>
      </c>
      <c r="BD278" s="2" t="e">
        <f ca="1">_xll.BDH($C$278,"GEO_GROW_BOOK_VAL","FY 2014","FY 2014","Currency=INR","Period=FY","BEST_FPERIOD_OVERRIDE=FY","FILING_STATUS=OR","EQY_CONSOLIDATED=Y","Sort=A","Dates=H","DateFormat=P","Fill=—","Direction=H","UseDPDF=Y")</f>
        <v>#NAME?</v>
      </c>
      <c r="BE278" s="2" t="e">
        <f ca="1">_xll.BDH($C$278,"GEO_GROW_CASH_OPER_ACT","FY 2014","FY 2014","Currency=INR","Period=FY","BEST_FPERIOD_OVERRIDE=FY","FILING_STATUS=OR","EQY_CONSOLIDATED=Y","Sort=A","Dates=H","DateFormat=P","Fill=—","Direction=H","UseDPDF=Y")</f>
        <v>#NAME?</v>
      </c>
      <c r="BF278" s="2" t="e">
        <f ca="1">_xll.BDH($C$278,"REVENUE_SEQUENTIAL_GROWTH","FY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278" s="2" t="e">
        <f ca="1">_xll.BDH($C$278,"EBITDA_SEQUENTIAL_GROWTH","FY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278" s="2" t="e">
        <f ca="1">_xll.BDH($C$278,"OPERATING_INCOME_SEQ_GROWTH","FY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278" s="2" t="e">
        <f ca="1">_xll.BDH($C$278,"NET_INCOME_TO_COMMON_SEQ_GROWTH","FY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278" s="2" t="e">
        <f ca="1">_xll.BDH($C$278,"EPS_DILUTED_SEQUENTIAL_GROWTH","FY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278" s="2" t="e">
        <f ca="1">_xll.BDH($C$278,"DPS_SEQUENTIAL_GROWTH","FY 2014","FY 2014","Currency=INR","Period=FY","BEST_FPERIOD_OVERRIDE=FY","FILING_STATUS=OR","EQY_CONSOLIDATED=Y","Sort=A","Dates=H","DateFormat=P","Fill=—","Direction=H","UseDPDF=Y")</f>
        <v>#NAME?</v>
      </c>
      <c r="BL278" s="2" t="e">
        <f ca="1">_xll.BDH($C$278,"ACCOUNTS_RECEIVABLE_SEQ_GROWTH","FY 2014","FY 2014","Currency=INR","Period=FY","BEST_FPERIOD_OVERRIDE=FY","FILING_STATUS=OR","EQY_CONSOLIDATED=Y","Sort=A","Dates=H","DateFormat=P","Fill=—","Direction=H","UseDPDF=Y")</f>
        <v>#NAME?</v>
      </c>
      <c r="BM278" s="2" t="e">
        <f ca="1">_xll.BDH($C$278,"INVENTORY_SEQUENTIAL_GROWTH","FY 2014","FY 2014","Currency=INR","Period=FY","BEST_FPERIOD_OVERRIDE=FY","FILING_STATUS=OR","EQY_CONSOLIDATED=Y","Sort=A","Dates=H","DateFormat=P","Fill=—","Direction=H","UseDPDF=Y")</f>
        <v>#NAME?</v>
      </c>
      <c r="BN278" s="2" t="e">
        <f ca="1">_xll.BDH($C$278,"FIXED_ASSETS_SEQUENTIAL_GROWTH","FY 2014","FY 2014","Currency=INR","Period=FY","BEST_FPERIOD_OVERRIDE=FY","FILING_STATUS=OR","EQY_CONSOLIDATED=Y","Sort=A","Dates=H","DateFormat=P","Fill=—","Direction=H","UseDPDF=Y")</f>
        <v>#NAME?</v>
      </c>
      <c r="BO278" s="2" t="e">
        <f ca="1">_xll.BDH($C$278,"TOTAL_ASSETS_SEQUENTIAL_GROWTH","FY 2014","FY 2014","Currency=INR","Period=FY","BEST_FPERIOD_OVERRIDE=FY","FILING_STATUS=OR","EQY_CONSOLIDATED=Y","Sort=A","Dates=H","DateFormat=P","Fill=—","Direction=H","UseDPDF=Y")</f>
        <v>#NAME?</v>
      </c>
      <c r="BP278" s="2" t="e">
        <f ca="1">_xll.BDH($C$278,"MODIFIED_WORKING_CPTL_SEQ_GRWTH","FY 2014","FY 2014","Currency=INR","Period=FY","BEST_FPERIOD_OVERRIDE=FY","FILING_STATUS=OR","EQY_CONSOLIDATED=Y","Sort=A","Dates=H","DateFormat=P","Fill=—","Direction=H","UseDPDF=Y")</f>
        <v>#NAME?</v>
      </c>
      <c r="BQ278" s="2" t="e">
        <f ca="1">_xll.BDH($C$278,"WORKING_CAPITAL_SEQ_GROWTH","FY 2014","FY 2014","Currency=INR","Period=FY","BEST_FPERIOD_OVERRIDE=FY","FILING_STATUS=OR","EQY_CONSOLIDATED=Y","Sort=A","Dates=H","DateFormat=P","Fill=—","Direction=H","UseDPDF=Y")</f>
        <v>#NAME?</v>
      </c>
      <c r="BR278" s="2" t="e">
        <f ca="1">_xll.BDH($C$278,"ACCOUNTS_PAYABLE_SEQ_GROWTH","FY 2014","FY 2014","Currency=INR","Period=FY","BEST_FPERIOD_OVERRIDE=FY","FILING_STATUS=OR","EQY_CONSOLIDATED=Y","Sort=A","Dates=H","DateFormat=P","Fill=—","Direction=H","UseDPDF=Y")</f>
        <v>#NAME?</v>
      </c>
      <c r="BS278" s="2" t="e">
        <f ca="1">_xll.BDH($C$278,"ST_DEBT_SEQUENTIAL_GROWTH","FY 2014","FY 2014","Currency=INR","Period=FY","BEST_FPERIOD_OVERRIDE=FY","FILING_STATUS=OR","EQY_CONSOLIDATED=Y","Sort=A","Dates=H","DateFormat=P","Fill=—","Direction=H","UseDPDF=Y")</f>
        <v>#NAME?</v>
      </c>
      <c r="BT278" s="2" t="e">
        <f ca="1">_xll.BDH($C$278,"TOTAL_DEBT_SEQUENTIAL_GROWTH","FY 2014","FY 2014","Currency=INR","Period=FY","BEST_FPERIOD_OVERRIDE=FY","FILING_STATUS=OR","EQY_CONSOLIDATED=Y","Sort=A","Dates=H","DateFormat=P","Fill=—","Direction=H","UseDPDF=Y")</f>
        <v>#NAME?</v>
      </c>
      <c r="BU278" s="2" t="e">
        <f ca="1">_xll.BDH($C$278,"TOTAL_EQUITY_SEQUENTIAL_GROWTH","FY 2014","FY 2014","Currency=INR","Period=FY","BEST_FPERIOD_OVERRIDE=FY","FILING_STATUS=OR","EQY_CONSOLIDATED=Y","Sort=A","Dates=H","DateFormat=P","Fill=—","Direction=H","UseDPDF=Y")</f>
        <v>#NAME?</v>
      </c>
      <c r="BV278" s="2" t="e">
        <f ca="1">_xll.BDH($C$278,"TOTAL_CAPITAL_SEQUENTIAL_GROWTH","FY 2014","FY 2014","Currency=INR","Period=FY","BEST_FPERIOD_OVERRIDE=FY","FILING_STATUS=OR","EQY_CONSOLIDATED=Y","Sort=A","Dates=H","DateFormat=P","Fill=—","Direction=H","UseDPDF=Y")</f>
        <v>#NAME?</v>
      </c>
      <c r="BW278" s="2" t="e">
        <f ca="1">_xll.BDH($C$278,"BPS_SEQUENTIAL_GROWTH","FY 2014","FY 2014","Currency=INR","Period=FY","BEST_FPERIOD_OVERRIDE=FY","FILING_STATUS=OR","EQY_CONSOLIDATED=Y","Sort=A","Dates=H","DateFormat=P","Fill=—","Direction=H","UseDPDF=Y")</f>
        <v>#NAME?</v>
      </c>
      <c r="BX278" s="2" t="e">
        <f ca="1">_xll.BDH($C$278,"CFO_SEQUENTIAL_GROWTH","FY 2014","FY 2014","Currency=INR","Period=FY","BEST_FPERIOD_OVERRIDE=FY","FILING_STATUS=OR","EQY_CONSOLIDATED=Y","Sort=A","Dates=H","DateFormat=P","Fill=—","Direction=H","UseDPDF=Y")</f>
        <v>#NAME?</v>
      </c>
      <c r="BY278" s="3" t="e">
        <f ca="1">_xll.BDH($C$278,"SHORT_AND_LONG_TERM_DEBT","FY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278" s="3" t="e">
        <f ca="1">_xll.BDH($C$278,"BS_ST_BORROW","FY 2014","FY 2014","Currency=INR","Period=FY","BEST_FPERIOD_OVERRIDE=FY","FILING_STATUS=OR","EQY_CONSOLIDATED=Y","SCALING_FORMAT=MLN","Sort=A","Dates=H","DateFormat=P","Fill=—","Direction=H","UseDPDF=Y")</f>
        <v>#NAME?</v>
      </c>
      <c r="CA278" s="3" t="e">
        <f ca="1">_xll.BDH($C$278,"BS_LT_BORROW","FY 2014","FY 2014","Currency=INR","Period=FY","BEST_FPERIOD_OVERRIDE=FY","FILING_STATUS=OR","EQY_CONSOLIDATED=Y","SCALING_FORMAT=MLN","Sort=A","Dates=H","DateFormat=P","Fill=—","Direction=H","UseDPDF=Y")</f>
        <v>#NAME?</v>
      </c>
      <c r="CB278" s="2" t="e">
        <f ca="1">_xll.BDH($C$278,"TOT_DEBT_TO_EBITDA","FY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278" s="2" t="e">
        <f ca="1">_xll.BDH($C$278,"NET_DEBT_TO_EBITDA","FY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278" s="2" t="e">
        <f ca="1">_xll.BDH($C$278,"TOTAL_DEBT_TO_EBIT","FY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278" s="2" t="e">
        <f ca="1">_xll.BDH($C$278,"NET_DEBT_TO_EBIT","FY 2014","FY 2014","Currency=INR","Period=FY","BEST_FPERIOD_OVERRIDE=FY","FILING_STATUS=OR","EQY_CONSOLIDATED=Y","FA_ADJUSTED=GAAP","Sort=A","Dates=H","DateFormat=P","Fill=—","Direction=H","UseDPDF=Y")</f>
        <v>#NAME?</v>
      </c>
      <c r="CF278" s="2" t="e">
        <f ca="1">_xll.BDH($C$278,"EBITDA_TO_INTEREST_EXPN","FY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278" s="2" t="e">
        <f ca="1">_xll.BDH($C$278,"COM_EQY_TO_TOT_ASSET","FY 2014","FY 2014","Currency=INR","Period=FY","BEST_FPERIOD_OVERRIDE=FY","FILING_STATUS=OR","EQY_CONSOLIDATED=Y","Sort=A","Dates=H","DateFormat=P","Fill=—","Direction=H","UseDPDF=Y")</f>
        <v>#NAME?</v>
      </c>
      <c r="CH278" s="2" t="e">
        <f ca="1">_xll.BDH($C$278,"LT_DEBT_TO_TOT_EQY","FY 2014","FY 2014","Currency=INR","Period=FY","BEST_FPERIOD_OVERRIDE=FY","FILING_STATUS=OR","EQY_CONSOLIDATED=Y","Sort=A","Dates=H","DateFormat=P","Fill=—","Direction=H","UseDPDF=Y")</f>
        <v>#NAME?</v>
      </c>
      <c r="CI278" s="2" t="e">
        <f ca="1">_xll.BDH($C$278,"LT_DEBT_TO_TOT_CAP","FY 2014","FY 2014","Currency=INR","Period=FY","BEST_FPERIOD_OVERRIDE=FY","FILING_STATUS=OR","EQY_CONSOLIDATED=Y","Sort=A","Dates=H","DateFormat=P","Fill=—","Direction=H","UseDPDF=Y")</f>
        <v>#NAME?</v>
      </c>
      <c r="CJ278" s="2" t="e">
        <f ca="1">_xll.BDH($C$278,"LT_DEBT_TO_TOT_ASSET","FY 2014","FY 2014","Currency=INR","Period=FY","BEST_FPERIOD_OVERRIDE=FY","FILING_STATUS=OR","EQY_CONSOLIDATED=Y","Sort=A","Dates=H","DateFormat=P","Fill=—","Direction=H","UseDPDF=Y")</f>
        <v>#NAME?</v>
      </c>
      <c r="CK278" s="2" t="e">
        <f ca="1">_xll.BDH($C$278,"TOT_DEBT_TO_TOT_EQY","FY 2014","FY 2014","Currency=INR","Period=FY","BEST_FPERIOD_OVERRIDE=FY","FILING_STATUS=OR","EQY_CONSOLIDATED=Y","Sort=A","Dates=H","DateFormat=P","Fill=—","Direction=H","UseDPDF=Y")</f>
        <v>#NAME?</v>
      </c>
      <c r="CL278" s="2" t="e">
        <f ca="1">_xll.BDH($C$278,"TOT_DEBT_TO_TOT_CAP","FY 2014","FY 2014","Currency=INR","Period=FY","BEST_FPERIOD_OVERRIDE=FY","FILING_STATUS=OR","EQY_CONSOLIDATED=Y","Sort=A","Dates=H","DateFormat=P","Fill=—","Direction=H","UseDPDF=Y")</f>
        <v>#NAME?</v>
      </c>
      <c r="CM278" s="2" t="e">
        <f ca="1">_xll.BDH($C$278,"TOT_DEBT_TO_TOT_ASSET","FY 2014","FY 2014","Currency=INR","Period=FY","BEST_FPERIOD_OVERRIDE=FY","FILING_STATUS=OR","EQY_CONSOLIDATED=Y","Sort=A","Dates=H","DateFormat=P","Fill=—","Direction=H","UseDPDF=Y")</f>
        <v>#NAME?</v>
      </c>
      <c r="CN278" s="2" t="e">
        <f ca="1">_xll.BDH($C$278,"NET_DEBT_TO_SHRHLDR_EQTY","FY 2014","FY 2014","Currency=INR","Period=FY","BEST_FPERIOD_OVERRIDE=FY","FILING_STATUS=OR","EQY_CONSOLIDATED=Y","Sort=A","Dates=H","DateFormat=P","Fill=—","Direction=H","UseDPDF=Y")</f>
        <v>#NAME?</v>
      </c>
      <c r="CO278" s="2" t="e">
        <f ca="1">_xll.BDH($C$278,"NET_DEBT_%_CAPITAL","FY 2014","FY 2014","Currency=INR","Period=FY","BEST_FPERIOD_OVERRIDE=FY","FILING_STATUS=OR","EQY_CONSOLIDATED=Y","Sort=A","Dates=H","DateFormat=P","Fill=—","Direction=H","UseDPDF=Y")</f>
        <v>#NAME?</v>
      </c>
      <c r="CP278" s="3" t="e">
        <f ca="1">_xll.BDH($C$278,"EBITDA","FY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278" s="3" t="e">
        <f ca="1">_xll.BDH($C$278,"EBITDA_AFTER_CAPEX","FY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278" s="3" t="e">
        <f ca="1">_xll.BDH($C$278,"IS_OPER_INC","FY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278" s="2" t="e">
        <f ca="1">_xll.BDH($C$278,"CASH_RATIO","FY 2014","FY 2014","Currency=INR","Period=FY","BEST_FPERIOD_OVERRIDE=FY","FILING_STATUS=OR","EQY_CONSOLIDATED=Y","Sort=A","Dates=H","DateFormat=P","Fill=—","Direction=H","UseDPDF=Y")</f>
        <v>#NAME?</v>
      </c>
      <c r="CT278" s="2" t="e">
        <f ca="1">_xll.BDH($C$278,"CUR_RATIO","FY 2014","FY 2014","Currency=INR","Period=FY","BEST_FPERIOD_OVERRIDE=FY","FILING_STATUS=OR","EQY_CONSOLIDATED=Y","Sort=A","Dates=H","DateFormat=P","Fill=—","Direction=H","UseDPDF=Y")</f>
        <v>#NAME?</v>
      </c>
      <c r="CU278" s="2" t="e">
        <f ca="1">_xll.BDH($C$278,"QUICK_RATIO","FY 2014","FY 2014","Currency=INR","Period=FY","BEST_FPERIOD_OVERRIDE=FY","FILING_STATUS=OR","EQY_CONSOLIDATED=Y","Sort=A","Dates=H","DateFormat=P","Fill=—","Direction=H","UseDPDF=Y")</f>
        <v>#NAME?</v>
      </c>
      <c r="CV278" s="2" t="e">
        <f ca="1">_xll.BDH($C$278,"ALTMAN_Z_SCORE","FY 2014","FY 2014","Currency=INR","Period=FY","BEST_FPERIOD_OVERRIDE=FY","FILING_STATUS=OR","EQY_CONSOLIDATED=Y","Sort=A","Dates=H","DateFormat=P","Fill=—","Direction=H","UseDPDF=Y")</f>
        <v>#NAME?</v>
      </c>
      <c r="CW278" s="4" t="e">
        <f ca="1">_xll.BDH($C$278,"ACCT_RCV_TURN","FY 2014","FY 2014","Currency=INR","Period=FY","BEST_FPERIOD_OVERRIDE=FY","FILING_STATUS=OR","EQY_CONSOLIDATED=Y","FA_ADJUSTED=GAAP","Sort=A","Dates=H","DateFormat=P","Fill=—","Direction=H","UseDPDF=Y")</f>
        <v>#NAME?</v>
      </c>
      <c r="CX278" s="2" t="e">
        <f ca="1">_xll.BDH($C$278,"ACCT_RCV_DAYS","FY 2014","FY 2014","Currency=INR","Period=FY","BEST_FPERIOD_OVERRIDE=FY","FILING_STATUS=OR","EQY_CONSOLIDATED=Y","FA_ADJUSTED=GAAP","Sort=A","Dates=H","DateFormat=P","Fill=—","Direction=H","UseDPDF=Y")</f>
        <v>#NAME?</v>
      </c>
      <c r="CY278" s="4" t="e">
        <f ca="1">_xll.BDH($C$278,"INVENT_TURN","FY 2014","FY 2014","Currency=INR","Period=FY","BEST_FPERIOD_OVERRIDE=FY","FILING_STATUS=OR","EQY_CONSOLIDATED=Y","FA_ADJUSTED=GAAP","Sort=A","Dates=H","DateFormat=P","Fill=—","Direction=H","UseDPDF=Y")</f>
        <v>#NAME?</v>
      </c>
      <c r="CZ278" s="2" t="e">
        <f ca="1">_xll.BDH($C$278,"INVENT_DAYS","FY 2014","FY 2014","Currency=INR","Period=FY","BEST_FPERIOD_OVERRIDE=FY","FILING_STATUS=OR","EQY_CONSOLIDATED=Y","FA_ADJUSTED=GAAP","Sort=A","Dates=H","DateFormat=P","Fill=—","Direction=H","UseDPDF=Y")</f>
        <v>#NAME?</v>
      </c>
      <c r="DA278" s="4" t="e">
        <f ca="1">_xll.BDH($C$278,"ACCOUNTS_PAYABLE_TURNOVER","FY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278" s="2" t="e">
        <f ca="1">_xll.BDH($C$278,"ACCOUNTS_PAYABLE_TURNOVER_DAYS","FY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278" s="4" t="e">
        <f ca="1">_xll.BDH($C$278,"CASH_CONVERSION_CYCLE","FY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278" s="4" t="e">
        <f ca="1">_xll.BDH($C$278,"INV_TO_CASH_DAYS","FY 2014","FY 2014","Currency=INR","Period=FY","BEST_FPERIOD_OVERRIDE=FY","FILING_STATUS=OR","EQY_CONSOLIDATED=Y","FA_ADJUSTED=GAAP","Sort=A","Dates=H","DateFormat=P","Fill=—","Direction=H","UseDPDF=Y")</f>
        <v>#NAME?</v>
      </c>
      <c r="DE278" s="5" t="e">
        <f ca="1">_xll.BDH($C$278,"BS_INVENTORIES","FY 2014","FY 2014","Currency=INR","Period=FY","BEST_FPERIOD_OVERRIDE=FY","FILING_STATUS=OR","EQY_CONSOLIDATED=Y","SCALING_FORMAT=MLN","Sort=A","Dates=H","DateFormat=P","Fill=—","Direction=H","UseDPDF=Y")</f>
        <v>#NAME?</v>
      </c>
      <c r="DF278" s="3" t="e">
        <f ca="1">_xll.BDH($C$278,"INVTRY_RAW_MATERIALS","FY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278" s="3" t="e">
        <f ca="1">_xll.BDH($C$278,"INVTRY_IN_PROGRESS","FY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278" s="3" t="e">
        <f ca="1">_xll.BDH($C$278,"INVTRY_FINISHED_GOODS","FY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278" s="3" t="e">
        <f ca="1">_xll.BDH($C$278,"BS_OTHER_INV","FY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279" spans="1:113" x14ac:dyDescent="0.3">
      <c r="A279" s="6"/>
      <c r="B279" s="6"/>
      <c r="C279" s="6"/>
      <c r="D279" s="6"/>
      <c r="E279" t="s">
        <v>78</v>
      </c>
      <c r="F279" t="e">
        <f ca="1">_xll.BDH($C$278,"RETURN_COM_EQY","FQ1 2014","FQ1 2014","Currency=INR","Period=FQ","BEST_FPERIOD_OVERRIDE=FQ","FILING_STATUS=OR","EQY_CONSOLIDATED=Y","FA_ADJUSTED=GAAP","Sort=A","Dates=H","DateFormat=P","Fill=—","Direction=H","UseDPDF=Y")</f>
        <v>#NAME?</v>
      </c>
      <c r="G279" t="e">
        <f ca="1">_xll.BDH($C$278,"RETURN_ON_ASSET","FQ1 2014","FQ1 2014","Currency=INR","Period=FQ","BEST_FPERIOD_OVERRIDE=FQ","FILING_STATUS=OR","EQY_CONSOLIDATED=Y","FA_ADJUSTED=GAAP","Sort=A","Dates=H","DateFormat=P","Fill=—","Direction=H","UseDPDF=Y")</f>
        <v>#NAME?</v>
      </c>
      <c r="H279" t="e">
        <f ca="1">_xll.BDH($C$278,"RETURN_ON_CAP","FQ1 2014","FQ1 2014","Currency=INR","Period=FQ","BEST_FPERIOD_OVERRIDE=FQ","FILING_STATUS=OR","EQY_CONSOLIDATED=Y","FA_ADJUSTED=GAAP","Sort=A","Dates=H","DateFormat=P","Fill=—","Direction=H","UseDPDF=Y")</f>
        <v>#NAME?</v>
      </c>
      <c r="I279" t="e">
        <f ca="1">_xll.BDH($C$278,"RETURN_ON_INV_CAPITAL","FQ1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279" t="e">
        <f ca="1">_xll.BDH($C$278,"EBITDA_TO_REVENUE","FQ1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279" t="e">
        <f ca="1">_xll.BDH($C$278,"OPER_MARGIN","FQ1 2014","FQ1 2014","Currency=INR","Period=FQ","BEST_FPERIOD_OVERRIDE=FQ","FILING_STATUS=OR","EQY_CONSOLIDATED=Y","FA_ADJUSTED=GAAP","Sort=A","Dates=H","DateFormat=P","Fill=—","Direction=H","UseDPDF=Y")</f>
        <v>#NAME?</v>
      </c>
      <c r="L279" t="e">
        <f ca="1">_xll.BDH($C$278,"INCREMENTAL_OPERATING_MARGIN","FQ1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279" t="e">
        <f ca="1">_xll.BDH($C$278,"PRETAX_INC_TO_NET_SALES","FQ1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279" t="e">
        <f ca="1">_xll.BDH($C$278,"INC_BEF_XO_ITEMS_TO_NET_SALES","FQ1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279" t="e">
        <f ca="1">_xll.BDH($C$278,"PROF_MARGIN","FQ1 2014","FQ1 2014","Currency=INR","Period=FQ","BEST_FPERIOD_OVERRIDE=FQ","FILING_STATUS=OR","EQY_CONSOLIDATED=Y","FA_ADJUSTED=GAAP","Sort=A","Dates=H","DateFormat=P","Fill=—","Direction=H","UseDPDF=Y")</f>
        <v>#NAME?</v>
      </c>
      <c r="P279" t="e">
        <f ca="1">_xll.BDH($C$278,"NET_INCOME_TO_COMMON_MARGIN","FQ1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279" t="e">
        <f ca="1">_xll.BDH($C$278,"EFF_TAX_RATE","FQ1 2014","FQ1 2014","Currency=INR","Period=FQ","BEST_FPERIOD_OVERRIDE=FQ","FILING_STATUS=OR","EQY_CONSOLIDATED=Y","FA_ADJUSTED=GAAP","Sort=A","Dates=H","DateFormat=P","Fill=—","Direction=H","UseDPDF=Y")</f>
        <v>#NAME?</v>
      </c>
      <c r="R279" t="e">
        <f ca="1">_xll.BDH($C$278,"DVD_PAYOUT_RATIO","FQ1 2014","FQ1 2014","Currency=INR","Period=FQ","BEST_FPERIOD_OVERRIDE=FQ","FILING_STATUS=OR","EQY_CONSOLIDATED=Y","FA_ADJUSTED=GAAP","Sort=A","Dates=H","DateFormat=P","Fill=—","Direction=H","UseDPDF=Y")</f>
        <v>#NAME?</v>
      </c>
      <c r="S279" t="e">
        <f ca="1">_xll.BDH($C$278,"SUSTAIN_GROWTH_RT","FQ1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279" s="2" t="e">
        <f ca="1">_xll.BDH($C$278,"SALES_GROWTH","FQ1 2014","FQ1 2014","Currency=INR","Period=FQ","BEST_FPERIOD_OVERRIDE=FQ","FILING_STATUS=OR","EQY_CONSOLIDATED=Y","FA_ADJUSTED=GAAP","Sort=A","Dates=H","DateFormat=P","Fill=—","Direction=H","UseDPDF=Y")</f>
        <v>#NAME?</v>
      </c>
      <c r="U279" s="2" t="e">
        <f ca="1">_xll.BDH($C$278,"EBITDA_GROWTH","FQ1 2014","FQ1 2014","Currency=INR","Period=FQ","BEST_FPERIOD_OVERRIDE=FQ","FILING_STATUS=OR","EQY_CONSOLIDATED=Y","FA_ADJUSTED=GAAP","Sort=A","Dates=H","DateFormat=P","Fill=—","Direction=H","UseDPDF=Y")</f>
        <v>#NAME?</v>
      </c>
      <c r="V279" s="2" t="e">
        <f ca="1">_xll.BDH($C$278,"OPER_INC_GROWTH","FQ1 2014","FQ1 2014","Currency=INR","Period=FQ","BEST_FPERIOD_OVERRIDE=FQ","FILING_STATUS=OR","EQY_CONSOLIDATED=Y","FA_ADJUSTED=GAAP","Sort=A","Dates=H","DateFormat=P","Fill=—","Direction=H","UseDPDF=Y")</f>
        <v>#NAME?</v>
      </c>
      <c r="W279" s="2" t="e">
        <f ca="1">_xll.BDH($C$278,"EARN_FOR_COM_GROWTH","FQ1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279" s="2" t="e">
        <f ca="1">_xll.BDH($C$278,"DILUTED_EPS_AFT_XO_ITEMS_GROWTH","FQ1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279" s="2" t="e">
        <f ca="1">_xll.BDH($C$278,"DIVIDEND_PER_SHARE_1_YEAR_GROWTH","FQ1 2014","FQ1 2014","Currency=INR","Period=FQ","BEST_FPERIOD_OVERRIDE=FQ","FILING_STATUS=OR","EQY_CONSOLIDATED=Y","Sort=A","Dates=H","DateFormat=P","Fill=—","Direction=H","UseDPDF=Y")</f>
        <v>#NAME?</v>
      </c>
      <c r="Z279" s="2" t="e">
        <f ca="1">_xll.BDH($C$278,"ACCOUNTS_RECEIVABLE_GROWTH","FQ1 2014","FQ1 2014","Currency=INR","Period=FQ","BEST_FPERIOD_OVERRIDE=FQ","FILING_STATUS=OR","EQY_CONSOLIDATED=Y","Sort=A","Dates=H","DateFormat=P","Fill=—","Direction=H","UseDPDF=Y")</f>
        <v>#NAME?</v>
      </c>
      <c r="AA279" s="2" t="e">
        <f ca="1">_xll.BDH($C$278,"INVENTORY_GROWTH","FQ1 2014","FQ1 2014","Currency=INR","Period=FQ","BEST_FPERIOD_OVERRIDE=FQ","FILING_STATUS=OR","EQY_CONSOLIDATED=Y","Sort=A","Dates=H","DateFormat=P","Fill=—","Direction=H","UseDPDF=Y")</f>
        <v>#NAME?</v>
      </c>
      <c r="AB279" s="2" t="e">
        <f ca="1">_xll.BDH($C$278,"NET_FIXED_ASSETS_1_YEAR_GROWTH","FQ1 2014","FQ1 2014","Currency=INR","Period=FQ","BEST_FPERIOD_OVERRIDE=FQ","FILING_STATUS=OR","EQY_CONSOLIDATED=Y","Sort=A","Dates=H","DateFormat=P","Fill=—","Direction=H","UseDPDF=Y")</f>
        <v>#NAME?</v>
      </c>
      <c r="AC279" s="2" t="e">
        <f ca="1">_xll.BDH($C$278,"ASSET_GROWTH","FQ1 2014","FQ1 2014","Currency=INR","Period=FQ","BEST_FPERIOD_OVERRIDE=FQ","FILING_STATUS=OR","EQY_CONSOLIDATED=Y","Sort=A","Dates=H","DateFormat=P","Fill=—","Direction=H","UseDPDF=Y")</f>
        <v>#NAME?</v>
      </c>
      <c r="AD279" s="2" t="e">
        <f ca="1">_xll.BDH($C$278,"MODIFIED_WORK_CAP_GROWTH","FQ1 2014","FQ1 2014","Currency=INR","Period=FQ","BEST_FPERIOD_OVERRIDE=FQ","FILING_STATUS=OR","EQY_CONSOLIDATED=Y","Sort=A","Dates=H","DateFormat=P","Fill=—","Direction=H","UseDPDF=Y")</f>
        <v>#NAME?</v>
      </c>
      <c r="AE279" s="2" t="e">
        <f ca="1">_xll.BDH($C$278,"WORK_CAP_GROWTH","FQ1 2014","FQ1 2014","Currency=INR","Period=FQ","BEST_FPERIOD_OVERRIDE=FQ","FILING_STATUS=OR","EQY_CONSOLIDATED=Y","Sort=A","Dates=H","DateFormat=P","Fill=—","Direction=H","UseDPDF=Y")</f>
        <v>#NAME?</v>
      </c>
      <c r="AF279" s="2" t="e">
        <f ca="1">_xll.BDH($C$278,"ACCOUNTS_PAYABLE_GROWTH_1YR","FQ1 2014","FQ1 2014","Currency=INR","Period=FQ","BEST_FPERIOD_OVERRIDE=FQ","FILING_STATUS=OR","EQY_CONSOLIDATED=Y","Sort=A","Dates=H","DateFormat=P","Fill=—","Direction=H","UseDPDF=Y")</f>
        <v>#NAME?</v>
      </c>
      <c r="AG279" s="2" t="e">
        <f ca="1">_xll.BDH($C$278,"SHORT_TERM_DEBT_1_YEAR_GROWTH","FQ1 2014","FQ1 2014","Currency=INR","Period=FQ","BEST_FPERIOD_OVERRIDE=FQ","FILING_STATUS=OR","EQY_CONSOLIDATED=Y","Sort=A","Dates=H","DateFormat=P","Fill=—","Direction=H","UseDPDF=Y")</f>
        <v>#NAME?</v>
      </c>
      <c r="AH279" s="2" t="e">
        <f ca="1">_xll.BDH($C$278,"TOTAL_DEBT_1_YEAR_GROWTH","FQ1 2014","FQ1 2014","Currency=INR","Period=FQ","BEST_FPERIOD_OVERRIDE=FQ","FILING_STATUS=OR","EQY_CONSOLIDATED=Y","Sort=A","Dates=H","DateFormat=P","Fill=—","Direction=H","UseDPDF=Y")</f>
        <v>#NAME?</v>
      </c>
      <c r="AI279" s="2" t="e">
        <f ca="1">_xll.BDH($C$278,"TOTAL_EQUITY_1_YEAR_GROWTH","FQ1 2014","FQ1 2014","Currency=INR","Period=FQ","BEST_FPERIOD_OVERRIDE=FQ","FILING_STATUS=OR","EQY_CONSOLIDATED=Y","Sort=A","Dates=H","DateFormat=P","Fill=—","Direction=H","UseDPDF=Y")</f>
        <v>#NAME?</v>
      </c>
      <c r="AJ279" s="2" t="e">
        <f ca="1">_xll.BDH($C$278,"GROWTH_IN_CAP","FQ1 2014","FQ1 2014","Currency=INR","Period=FQ","BEST_FPERIOD_OVERRIDE=FQ","FILING_STATUS=OR","EQY_CONSOLIDATED=Y","Sort=A","Dates=H","DateFormat=P","Fill=—","Direction=H","UseDPDF=Y")</f>
        <v>#NAME?</v>
      </c>
      <c r="AK279" s="2" t="e">
        <f ca="1">_xll.BDH($C$278,"BVPS_GROWTH","FQ1 2014","FQ1 2014","Currency=INR","Period=FQ","BEST_FPERIOD_OVERRIDE=FQ","FILING_STATUS=OR","EQY_CONSOLIDATED=Y","Sort=A","Dates=H","DateFormat=P","Fill=—","Direction=H","UseDPDF=Y")</f>
        <v>#NAME?</v>
      </c>
      <c r="AL279" s="2" t="e">
        <f ca="1">_xll.BDH($C$278,"CASH_FLOW_GROWTH","FQ1 2014","FQ1 2014","Currency=INR","Period=FQ","BEST_FPERIOD_OVERRIDE=FQ","FILING_STATUS=OR","EQY_CONSOLIDATED=Y","Sort=A","Dates=H","DateFormat=P","Fill=—","Direction=H","UseDPDF=Y")</f>
        <v>#NAME?</v>
      </c>
      <c r="AM279" s="2" t="e">
        <f ca="1">_xll.BDH($C$278,"GEO_GROW_NET_SALES","FQ1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279" s="2" t="e">
        <f ca="1">_xll.BDH($C$278,"GEO_GROW_EBITDA","FQ1 2014","FQ1 2014","Currency=INR","Period=FQ","BEST_FPERIOD_OVERRIDE=FQ","FILING_STATUS=OR","EQY_CONSOLIDATED=Y","FA_ADJUSTED=GAAP","Sort=A","Dates=H","DateFormat=P","Fill=—","Direction=H","UseDPDF=Y")</f>
        <v>#NAME?</v>
      </c>
      <c r="AO279" s="2" t="e">
        <f ca="1">_xll.BDH($C$278,"GEO_GROW_OPER_INC","FQ1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279" s="2" t="e">
        <f ca="1">_xll.BDH($C$278,"NET_INCOME_TO_COMMON_5_YR_GROWTH","FQ1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279" s="2" t="e">
        <f ca="1">_xll.BDH($C$278,"5Y_GEO_GROWTH_DILUTED_EPS","FQ1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279" s="2" t="e">
        <f ca="1">_xll.BDH($C$278,"GEO_GROW_DVD_PER_SH","FQ1 2014","FQ1 2014","Currency=INR","Period=FQ","BEST_FPERIOD_OVERRIDE=FQ","FILING_STATUS=OR","EQY_CONSOLIDATED=Y","Sort=A","Dates=H","DateFormat=P","Fill=—","Direction=H","UseDPDF=Y")</f>
        <v>#NAME?</v>
      </c>
      <c r="AS279" s="2" t="e">
        <f ca="1">_xll.BDH($C$278,"ACCOUNTS_RECEIVABLE_5_YR_GROWTH","FQ1 2014","FQ1 2014","Currency=INR","Period=FQ","BEST_FPERIOD_OVERRIDE=FQ","FILING_STATUS=OR","EQY_CONSOLIDATED=Y","Sort=A","Dates=H","DateFormat=P","Fill=—","Direction=H","UseDPDF=Y")</f>
        <v>#NAME?</v>
      </c>
      <c r="AT279" s="2" t="e">
        <f ca="1">_xll.BDH($C$278,"INVENTORY_5_YEAR_GROWTH","FQ1 2014","FQ1 2014","Currency=INR","Period=FQ","BEST_FPERIOD_OVERRIDE=FQ","FILING_STATUS=OR","EQY_CONSOLIDATED=Y","Sort=A","Dates=H","DateFormat=P","Fill=—","Direction=H","UseDPDF=Y")</f>
        <v>#NAME?</v>
      </c>
      <c r="AU279" s="2" t="e">
        <f ca="1">_xll.BDH($C$278,"NET_FIXED_ASSETS_5_YEAR_GROWTH","FQ1 2014","FQ1 2014","Currency=INR","Period=FQ","BEST_FPERIOD_OVERRIDE=FQ","FILING_STATUS=OR","EQY_CONSOLIDATED=Y","Sort=A","Dates=H","DateFormat=P","Fill=—","Direction=H","UseDPDF=Y")</f>
        <v>#NAME?</v>
      </c>
      <c r="AV279" s="2" t="e">
        <f ca="1">_xll.BDH($C$278,"GEO_GROW_TOT_ASSET","FQ1 2014","FQ1 2014","Currency=INR","Period=FQ","BEST_FPERIOD_OVERRIDE=FQ","FILING_STATUS=OR","EQY_CONSOLIDATED=Y","Sort=A","Dates=H","DateFormat=P","Fill=—","Direction=H","UseDPDF=Y")</f>
        <v>#NAME?</v>
      </c>
      <c r="AW279" s="2" t="e">
        <f ca="1">_xll.BDH($C$278,"MODIFIED_WORKING_CPTL_5YR_GRWTH","FQ1 2014","FQ1 2014","Currency=INR","Period=FQ","BEST_FPERIOD_OVERRIDE=FQ","FILING_STATUS=OR","EQY_CONSOLIDATED=Y","Sort=A","Dates=H","DateFormat=P","Fill=—","Direction=H","UseDPDF=Y")</f>
        <v>#NAME?</v>
      </c>
      <c r="AX279" s="2" t="e">
        <f ca="1">_xll.BDH($C$278,"WORKING_CAPITAL_5_YEAR_GROWTH","FQ1 2014","FQ1 2014","Currency=INR","Period=FQ","BEST_FPERIOD_OVERRIDE=FQ","FILING_STATUS=OR","EQY_CONSOLIDATED=Y","Sort=A","Dates=H","DateFormat=P","Fill=—","Direction=H","UseDPDF=Y")</f>
        <v>#NAME?</v>
      </c>
      <c r="AY279" s="2" t="e">
        <f ca="1">_xll.BDH($C$278,"ACCOUNTS_PAYABLE_5_YEAR_GROWTH","FQ1 2014","FQ1 2014","Currency=INR","Period=FQ","BEST_FPERIOD_OVERRIDE=FQ","FILING_STATUS=OR","EQY_CONSOLIDATED=Y","Sort=A","Dates=H","DateFormat=P","Fill=—","Direction=H","UseDPDF=Y")</f>
        <v>#NAME?</v>
      </c>
      <c r="AZ279" s="2" t="e">
        <f ca="1">_xll.BDH($C$278,"SHORT_TERM_DEBT_5_YEAR_GROWTH","FQ1 2014","FQ1 2014","Currency=INR","Period=FQ","BEST_FPERIOD_OVERRIDE=FQ","FILING_STATUS=OR","EQY_CONSOLIDATED=Y","Sort=A","Dates=H","DateFormat=P","Fill=—","Direction=H","UseDPDF=Y")</f>
        <v>#NAME?</v>
      </c>
      <c r="BA279" s="2" t="e">
        <f ca="1">_xll.BDH($C$278,"TOTAL_DEBT_5_YEAR_GROWTH","FQ1 2014","FQ1 2014","Currency=INR","Period=FQ","BEST_FPERIOD_OVERRIDE=FQ","FILING_STATUS=OR","EQY_CONSOLIDATED=Y","Sort=A","Dates=H","DateFormat=P","Fill=—","Direction=H","UseDPDF=Y")</f>
        <v>#NAME?</v>
      </c>
      <c r="BB279" s="2" t="e">
        <f ca="1">_xll.BDH($C$278,"GEO_GROW_TOT_SHRHLDR_EQY","FQ1 2014","FQ1 2014","Currency=INR","Period=FQ","BEST_FPERIOD_OVERRIDE=FQ","FILING_STATUS=OR","EQY_CONSOLIDATED=Y","Sort=A","Dates=H","DateFormat=P","Fill=—","Direction=H","UseDPDF=Y")</f>
        <v>#NAME?</v>
      </c>
      <c r="BC279" s="2" t="e">
        <f ca="1">_xll.BDH($C$278,"TOTAL_CAPITAL_5_YEAR_GROWTH","FQ1 2014","FQ1 2014","Currency=INR","Period=FQ","BEST_FPERIOD_OVERRIDE=FQ","FILING_STATUS=OR","EQY_CONSOLIDATED=Y","Sort=A","Dates=H","DateFormat=P","Fill=—","Direction=H","UseDPDF=Y")</f>
        <v>#NAME?</v>
      </c>
      <c r="BD279" s="2" t="e">
        <f ca="1">_xll.BDH($C$278,"GEO_GROW_BOOK_VAL","FQ1 2014","FQ1 2014","Currency=INR","Period=FQ","BEST_FPERIOD_OVERRIDE=FQ","FILING_STATUS=OR","EQY_CONSOLIDATED=Y","Sort=A","Dates=H","DateFormat=P","Fill=—","Direction=H","UseDPDF=Y")</f>
        <v>#NAME?</v>
      </c>
      <c r="BE279" s="2" t="e">
        <f ca="1">_xll.BDH($C$278,"GEO_GROW_CASH_OPER_ACT","FQ1 2014","FQ1 2014","Currency=INR","Period=FQ","BEST_FPERIOD_OVERRIDE=FQ","FILING_STATUS=OR","EQY_CONSOLIDATED=Y","Sort=A","Dates=H","DateFormat=P","Fill=—","Direction=H","UseDPDF=Y")</f>
        <v>#NAME?</v>
      </c>
      <c r="BF279" s="2" t="e">
        <f ca="1">_xll.BDH($C$278,"REVENUE_SEQUENTIAL_GROWTH","FQ1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279" s="2" t="e">
        <f ca="1">_xll.BDH($C$278,"EBITDA_SEQUENTIAL_GROWTH","FQ1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279" s="2" t="e">
        <f ca="1">_xll.BDH($C$278,"OPERATING_INCOME_SEQ_GROWTH","FQ1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279" s="2" t="e">
        <f ca="1">_xll.BDH($C$278,"NET_INCOME_TO_COMMON_SEQ_GROWTH","FQ1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279" s="2" t="e">
        <f ca="1">_xll.BDH($C$278,"EPS_DILUTED_SEQUENTIAL_GROWTH","FQ1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279" s="2" t="e">
        <f ca="1">_xll.BDH($C$278,"DPS_SEQUENTIAL_GROWTH","FQ1 2014","FQ1 2014","Currency=INR","Period=FQ","BEST_FPERIOD_OVERRIDE=FQ","FILING_STATUS=OR","EQY_CONSOLIDATED=Y","Sort=A","Dates=H","DateFormat=P","Fill=—","Direction=H","UseDPDF=Y")</f>
        <v>#NAME?</v>
      </c>
      <c r="BL279" s="2" t="e">
        <f ca="1">_xll.BDH($C$278,"ACCOUNTS_RECEIVABLE_SEQ_GROWTH","FQ1 2014","FQ1 2014","Currency=INR","Period=FQ","BEST_FPERIOD_OVERRIDE=FQ","FILING_STATUS=OR","EQY_CONSOLIDATED=Y","Sort=A","Dates=H","DateFormat=P","Fill=—","Direction=H","UseDPDF=Y")</f>
        <v>#NAME?</v>
      </c>
      <c r="BM279" s="2" t="e">
        <f ca="1">_xll.BDH($C$278,"INVENTORY_SEQUENTIAL_GROWTH","FQ1 2014","FQ1 2014","Currency=INR","Period=FQ","BEST_FPERIOD_OVERRIDE=FQ","FILING_STATUS=OR","EQY_CONSOLIDATED=Y","Sort=A","Dates=H","DateFormat=P","Fill=—","Direction=H","UseDPDF=Y")</f>
        <v>#NAME?</v>
      </c>
      <c r="BN279" s="2" t="e">
        <f ca="1">_xll.BDH($C$278,"FIXED_ASSETS_SEQUENTIAL_GROWTH","FQ1 2014","FQ1 2014","Currency=INR","Period=FQ","BEST_FPERIOD_OVERRIDE=FQ","FILING_STATUS=OR","EQY_CONSOLIDATED=Y","Sort=A","Dates=H","DateFormat=P","Fill=—","Direction=H","UseDPDF=Y")</f>
        <v>#NAME?</v>
      </c>
      <c r="BO279" s="2" t="e">
        <f ca="1">_xll.BDH($C$278,"TOTAL_ASSETS_SEQUENTIAL_GROWTH","FQ1 2014","FQ1 2014","Currency=INR","Period=FQ","BEST_FPERIOD_OVERRIDE=FQ","FILING_STATUS=OR","EQY_CONSOLIDATED=Y","Sort=A","Dates=H","DateFormat=P","Fill=—","Direction=H","UseDPDF=Y")</f>
        <v>#NAME?</v>
      </c>
      <c r="BP279" s="2" t="e">
        <f ca="1">_xll.BDH($C$278,"MODIFIED_WORKING_CPTL_SEQ_GRWTH","FQ1 2014","FQ1 2014","Currency=INR","Period=FQ","BEST_FPERIOD_OVERRIDE=FQ","FILING_STATUS=OR","EQY_CONSOLIDATED=Y","Sort=A","Dates=H","DateFormat=P","Fill=—","Direction=H","UseDPDF=Y")</f>
        <v>#NAME?</v>
      </c>
      <c r="BQ279" s="2" t="e">
        <f ca="1">_xll.BDH($C$278,"WORKING_CAPITAL_SEQ_GROWTH","FQ1 2014","FQ1 2014","Currency=INR","Period=FQ","BEST_FPERIOD_OVERRIDE=FQ","FILING_STATUS=OR","EQY_CONSOLIDATED=Y","Sort=A","Dates=H","DateFormat=P","Fill=—","Direction=H","UseDPDF=Y")</f>
        <v>#NAME?</v>
      </c>
      <c r="BR279" s="2" t="e">
        <f ca="1">_xll.BDH($C$278,"ACCOUNTS_PAYABLE_SEQ_GROWTH","FQ1 2014","FQ1 2014","Currency=INR","Period=FQ","BEST_FPERIOD_OVERRIDE=FQ","FILING_STATUS=OR","EQY_CONSOLIDATED=Y","Sort=A","Dates=H","DateFormat=P","Fill=—","Direction=H","UseDPDF=Y")</f>
        <v>#NAME?</v>
      </c>
      <c r="BS279" s="2" t="e">
        <f ca="1">_xll.BDH($C$278,"ST_DEBT_SEQUENTIAL_GROWTH","FQ1 2014","FQ1 2014","Currency=INR","Period=FQ","BEST_FPERIOD_OVERRIDE=FQ","FILING_STATUS=OR","EQY_CONSOLIDATED=Y","Sort=A","Dates=H","DateFormat=P","Fill=—","Direction=H","UseDPDF=Y")</f>
        <v>#NAME?</v>
      </c>
      <c r="BT279" s="2" t="e">
        <f ca="1">_xll.BDH($C$278,"TOTAL_DEBT_SEQUENTIAL_GROWTH","FQ1 2014","FQ1 2014","Currency=INR","Period=FQ","BEST_FPERIOD_OVERRIDE=FQ","FILING_STATUS=OR","EQY_CONSOLIDATED=Y","Sort=A","Dates=H","DateFormat=P","Fill=—","Direction=H","UseDPDF=Y")</f>
        <v>#NAME?</v>
      </c>
      <c r="BU279" s="2" t="e">
        <f ca="1">_xll.BDH($C$278,"TOTAL_EQUITY_SEQUENTIAL_GROWTH","FQ1 2014","FQ1 2014","Currency=INR","Period=FQ","BEST_FPERIOD_OVERRIDE=FQ","FILING_STATUS=OR","EQY_CONSOLIDATED=Y","Sort=A","Dates=H","DateFormat=P","Fill=—","Direction=H","UseDPDF=Y")</f>
        <v>#NAME?</v>
      </c>
      <c r="BV279" s="2" t="e">
        <f ca="1">_xll.BDH($C$278,"TOTAL_CAPITAL_SEQUENTIAL_GROWTH","FQ1 2014","FQ1 2014","Currency=INR","Period=FQ","BEST_FPERIOD_OVERRIDE=FQ","FILING_STATUS=OR","EQY_CONSOLIDATED=Y","Sort=A","Dates=H","DateFormat=P","Fill=—","Direction=H","UseDPDF=Y")</f>
        <v>#NAME?</v>
      </c>
      <c r="BW279" s="2" t="e">
        <f ca="1">_xll.BDH($C$278,"BPS_SEQUENTIAL_GROWTH","FQ1 2014","FQ1 2014","Currency=INR","Period=FQ","BEST_FPERIOD_OVERRIDE=FQ","FILING_STATUS=OR","EQY_CONSOLIDATED=Y","Sort=A","Dates=H","DateFormat=P","Fill=—","Direction=H","UseDPDF=Y")</f>
        <v>#NAME?</v>
      </c>
      <c r="BX279" s="2" t="e">
        <f ca="1">_xll.BDH($C$278,"CFO_SEQUENTIAL_GROWTH","FQ1 2014","FQ1 2014","Currency=INR","Period=FQ","BEST_FPERIOD_OVERRIDE=FQ","FILING_STATUS=OR","EQY_CONSOLIDATED=Y","Sort=A","Dates=H","DateFormat=P","Fill=—","Direction=H","UseDPDF=Y")</f>
        <v>#NAME?</v>
      </c>
      <c r="BY279" s="3" t="e">
        <f ca="1">_xll.BDH($C$278,"SHORT_AND_LONG_TERM_DEBT","FQ1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279" s="3" t="e">
        <f ca="1">_xll.BDH($C$278,"BS_ST_BORROW","FQ1 2014","FQ1 2014","Currency=INR","Period=FQ","BEST_FPERIOD_OVERRIDE=FQ","FILING_STATUS=OR","EQY_CONSOLIDATED=Y","SCALING_FORMAT=MLN","Sort=A","Dates=H","DateFormat=P","Fill=—","Direction=H","UseDPDF=Y")</f>
        <v>#NAME?</v>
      </c>
      <c r="CA279" s="3" t="e">
        <f ca="1">_xll.BDH($C$278,"BS_LT_BORROW","FQ1 2014","FQ1 2014","Currency=INR","Period=FQ","BEST_FPERIOD_OVERRIDE=FQ","FILING_STATUS=OR","EQY_CONSOLIDATED=Y","SCALING_FORMAT=MLN","Sort=A","Dates=H","DateFormat=P","Fill=—","Direction=H","UseDPDF=Y")</f>
        <v>#NAME?</v>
      </c>
      <c r="CB279" s="2" t="e">
        <f ca="1">_xll.BDH($C$278,"TOT_DEBT_TO_EBITDA","FQ1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279" s="2" t="e">
        <f ca="1">_xll.BDH($C$278,"NET_DEBT_TO_EBITDA","FQ1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279" s="2" t="e">
        <f ca="1">_xll.BDH($C$278,"TOTAL_DEBT_TO_EBIT","FQ1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279" s="2" t="e">
        <f ca="1">_xll.BDH($C$278,"NET_DEBT_TO_EBIT","FQ1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279" s="2" t="e">
        <f ca="1">_xll.BDH($C$278,"EBITDA_TO_INTEREST_EXPN","FQ1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279" s="2" t="e">
        <f ca="1">_xll.BDH($C$278,"COM_EQY_TO_TOT_ASSET","FQ1 2014","FQ1 2014","Currency=INR","Period=FQ","BEST_FPERIOD_OVERRIDE=FQ","FILING_STATUS=OR","EQY_CONSOLIDATED=Y","Sort=A","Dates=H","DateFormat=P","Fill=—","Direction=H","UseDPDF=Y")</f>
        <v>#NAME?</v>
      </c>
      <c r="CH279" s="2" t="e">
        <f ca="1">_xll.BDH($C$278,"LT_DEBT_TO_TOT_EQY","FQ1 2014","FQ1 2014","Currency=INR","Period=FQ","BEST_FPERIOD_OVERRIDE=FQ","FILING_STATUS=OR","EQY_CONSOLIDATED=Y","Sort=A","Dates=H","DateFormat=P","Fill=—","Direction=H","UseDPDF=Y")</f>
        <v>#NAME?</v>
      </c>
      <c r="CI279" s="2" t="e">
        <f ca="1">_xll.BDH($C$278,"LT_DEBT_TO_TOT_CAP","FQ1 2014","FQ1 2014","Currency=INR","Period=FQ","BEST_FPERIOD_OVERRIDE=FQ","FILING_STATUS=OR","EQY_CONSOLIDATED=Y","Sort=A","Dates=H","DateFormat=P","Fill=—","Direction=H","UseDPDF=Y")</f>
        <v>#NAME?</v>
      </c>
      <c r="CJ279" s="2" t="e">
        <f ca="1">_xll.BDH($C$278,"LT_DEBT_TO_TOT_ASSET","FQ1 2014","FQ1 2014","Currency=INR","Period=FQ","BEST_FPERIOD_OVERRIDE=FQ","FILING_STATUS=OR","EQY_CONSOLIDATED=Y","Sort=A","Dates=H","DateFormat=P","Fill=—","Direction=H","UseDPDF=Y")</f>
        <v>#NAME?</v>
      </c>
      <c r="CK279" s="2" t="e">
        <f ca="1">_xll.BDH($C$278,"TOT_DEBT_TO_TOT_EQY","FQ1 2014","FQ1 2014","Currency=INR","Period=FQ","BEST_FPERIOD_OVERRIDE=FQ","FILING_STATUS=OR","EQY_CONSOLIDATED=Y","Sort=A","Dates=H","DateFormat=P","Fill=—","Direction=H","UseDPDF=Y")</f>
        <v>#NAME?</v>
      </c>
      <c r="CL279" s="2" t="e">
        <f ca="1">_xll.BDH($C$278,"TOT_DEBT_TO_TOT_CAP","FQ1 2014","FQ1 2014","Currency=INR","Period=FQ","BEST_FPERIOD_OVERRIDE=FQ","FILING_STATUS=OR","EQY_CONSOLIDATED=Y","Sort=A","Dates=H","DateFormat=P","Fill=—","Direction=H","UseDPDF=Y")</f>
        <v>#NAME?</v>
      </c>
      <c r="CM279" s="2" t="e">
        <f ca="1">_xll.BDH($C$278,"TOT_DEBT_TO_TOT_ASSET","FQ1 2014","FQ1 2014","Currency=INR","Period=FQ","BEST_FPERIOD_OVERRIDE=FQ","FILING_STATUS=OR","EQY_CONSOLIDATED=Y","Sort=A","Dates=H","DateFormat=P","Fill=—","Direction=H","UseDPDF=Y")</f>
        <v>#NAME?</v>
      </c>
      <c r="CN279" s="2" t="e">
        <f ca="1">_xll.BDH($C$278,"NET_DEBT_TO_SHRHLDR_EQTY","FQ1 2014","FQ1 2014","Currency=INR","Period=FQ","BEST_FPERIOD_OVERRIDE=FQ","FILING_STATUS=OR","EQY_CONSOLIDATED=Y","Sort=A","Dates=H","DateFormat=P","Fill=—","Direction=H","UseDPDF=Y")</f>
        <v>#NAME?</v>
      </c>
      <c r="CO279" s="2" t="e">
        <f ca="1">_xll.BDH($C$278,"NET_DEBT_%_CAPITAL","FQ1 2014","FQ1 2014","Currency=INR","Period=FQ","BEST_FPERIOD_OVERRIDE=FQ","FILING_STATUS=OR","EQY_CONSOLIDATED=Y","Sort=A","Dates=H","DateFormat=P","Fill=—","Direction=H","UseDPDF=Y")</f>
        <v>#NAME?</v>
      </c>
      <c r="CP279" s="3" t="e">
        <f ca="1">_xll.BDH($C$278,"EBITDA","FQ1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279" s="3" t="e">
        <f ca="1">_xll.BDH($C$278,"EBITDA_AFTER_CAPEX","FQ1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279" s="3" t="e">
        <f ca="1">_xll.BDH($C$278,"IS_OPER_INC","FQ1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279" s="2" t="e">
        <f ca="1">_xll.BDH($C$278,"CASH_RATIO","FQ1 2014","FQ1 2014","Currency=INR","Period=FQ","BEST_FPERIOD_OVERRIDE=FQ","FILING_STATUS=OR","EQY_CONSOLIDATED=Y","Sort=A","Dates=H","DateFormat=P","Fill=—","Direction=H","UseDPDF=Y")</f>
        <v>#NAME?</v>
      </c>
      <c r="CT279" s="2" t="e">
        <f ca="1">_xll.BDH($C$278,"CUR_RATIO","FQ1 2014","FQ1 2014","Currency=INR","Period=FQ","BEST_FPERIOD_OVERRIDE=FQ","FILING_STATUS=OR","EQY_CONSOLIDATED=Y","Sort=A","Dates=H","DateFormat=P","Fill=—","Direction=H","UseDPDF=Y")</f>
        <v>#NAME?</v>
      </c>
      <c r="CU279" s="2" t="e">
        <f ca="1">_xll.BDH($C$278,"QUICK_RATIO","FQ1 2014","FQ1 2014","Currency=INR","Period=FQ","BEST_FPERIOD_OVERRIDE=FQ","FILING_STATUS=OR","EQY_CONSOLIDATED=Y","Sort=A","Dates=H","DateFormat=P","Fill=—","Direction=H","UseDPDF=Y")</f>
        <v>#NAME?</v>
      </c>
      <c r="CV279" s="2" t="e">
        <f ca="1">_xll.BDH($C$278,"ALTMAN_Z_SCORE","FQ1 2014","FQ1 2014","Currency=INR","Period=FQ","BEST_FPERIOD_OVERRIDE=FQ","FILING_STATUS=OR","EQY_CONSOLIDATED=Y","Sort=A","Dates=H","DateFormat=P","Fill=—","Direction=H","UseDPDF=Y")</f>
        <v>#NAME?</v>
      </c>
      <c r="CW279" s="4" t="e">
        <f ca="1">_xll.BDH($C$278,"ACCT_RCV_TURN","FQ1 2014","FQ1 2014","Currency=INR","Period=FQ","BEST_FPERIOD_OVERRIDE=FQ","FILING_STATUS=OR","EQY_CONSOLIDATED=Y","FA_ADJUSTED=GAAP","Sort=A","Dates=H","DateFormat=P","Fill=—","Direction=H","UseDPDF=Y")</f>
        <v>#NAME?</v>
      </c>
      <c r="CX279" s="2" t="e">
        <f ca="1">_xll.BDH($C$278,"ACCT_RCV_DAYS","FQ1 2014","FQ1 2014","Currency=INR","Period=FQ","BEST_FPERIOD_OVERRIDE=FQ","FILING_STATUS=OR","EQY_CONSOLIDATED=Y","FA_ADJUSTED=GAAP","Sort=A","Dates=H","DateFormat=P","Fill=—","Direction=H","UseDPDF=Y")</f>
        <v>#NAME?</v>
      </c>
      <c r="CY279" s="4" t="e">
        <f ca="1">_xll.BDH($C$278,"INVENT_TURN","FQ1 2014","FQ1 2014","Currency=INR","Period=FQ","BEST_FPERIOD_OVERRIDE=FQ","FILING_STATUS=OR","EQY_CONSOLIDATED=Y","FA_ADJUSTED=GAAP","Sort=A","Dates=H","DateFormat=P","Fill=—","Direction=H","UseDPDF=Y")</f>
        <v>#NAME?</v>
      </c>
      <c r="CZ279" s="2" t="e">
        <f ca="1">_xll.BDH($C$278,"INVENT_DAYS","FQ1 2014","FQ1 2014","Currency=INR","Period=FQ","BEST_FPERIOD_OVERRIDE=FQ","FILING_STATUS=OR","EQY_CONSOLIDATED=Y","FA_ADJUSTED=GAAP","Sort=A","Dates=H","DateFormat=P","Fill=—","Direction=H","UseDPDF=Y")</f>
        <v>#NAME?</v>
      </c>
      <c r="DA279" s="4" t="e">
        <f ca="1">_xll.BDH($C$278,"ACCOUNTS_PAYABLE_TURNOVER","FQ1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279" s="2" t="e">
        <f ca="1">_xll.BDH($C$278,"ACCOUNTS_PAYABLE_TURNOVER_DAYS","FQ1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279" s="4" t="e">
        <f ca="1">_xll.BDH($C$278,"CASH_CONVERSION_CYCLE","FQ1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279" s="4" t="e">
        <f ca="1">_xll.BDH($C$278,"INV_TO_CASH_DAYS","FQ1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279" s="5" t="e">
        <f ca="1">_xll.BDH($C$278,"BS_INVENTORIES","FQ1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279" s="3" t="e">
        <f ca="1">_xll.BDH($C$278,"INVTRY_RAW_MATERIALS","FQ1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279" s="3" t="e">
        <f ca="1">_xll.BDH($C$278,"INVTRY_IN_PROGRESS","FQ1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279" s="3" t="e">
        <f ca="1">_xll.BDH($C$278,"INVTRY_FINISHED_GOODS","FQ1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279" s="3" t="e">
        <f ca="1">_xll.BDH($C$278,"BS_OTHER_INV","FQ1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280" spans="1:113" x14ac:dyDescent="0.3">
      <c r="A280" s="6"/>
      <c r="B280" s="6"/>
      <c r="C280" s="6"/>
      <c r="D280" s="6"/>
      <c r="E280" t="s">
        <v>79</v>
      </c>
      <c r="F280" t="e">
        <f ca="1">_xll.BDH($C$278,"RETURN_COM_EQY","FQ2 2014","FQ2 2014","Currency=INR","Period=FQ","BEST_FPERIOD_OVERRIDE=FQ","FILING_STATUS=OR","EQY_CONSOLIDATED=Y","FA_ADJUSTED=GAAP","Sort=A","Dates=H","DateFormat=P","Fill=—","Direction=H","UseDPDF=Y")</f>
        <v>#NAME?</v>
      </c>
      <c r="G280" t="e">
        <f ca="1">_xll.BDH($C$278,"RETURN_ON_ASSET","FQ2 2014","FQ2 2014","Currency=INR","Period=FQ","BEST_FPERIOD_OVERRIDE=FQ","FILING_STATUS=OR","EQY_CONSOLIDATED=Y","FA_ADJUSTED=GAAP","Sort=A","Dates=H","DateFormat=P","Fill=—","Direction=H","UseDPDF=Y")</f>
        <v>#NAME?</v>
      </c>
      <c r="H280" t="e">
        <f ca="1">_xll.BDH($C$278,"RETURN_ON_CAP","FQ2 2014","FQ2 2014","Currency=INR","Period=FQ","BEST_FPERIOD_OVERRIDE=FQ","FILING_STATUS=OR","EQY_CONSOLIDATED=Y","FA_ADJUSTED=GAAP","Sort=A","Dates=H","DateFormat=P","Fill=—","Direction=H","UseDPDF=Y")</f>
        <v>#NAME?</v>
      </c>
      <c r="I280" t="e">
        <f ca="1">_xll.BDH($C$278,"RETURN_ON_INV_CAPITAL","FQ2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280" t="e">
        <f ca="1">_xll.BDH($C$278,"EBITDA_TO_REVENUE","FQ2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280" t="e">
        <f ca="1">_xll.BDH($C$278,"OPER_MARGIN","FQ2 2014","FQ2 2014","Currency=INR","Period=FQ","BEST_FPERIOD_OVERRIDE=FQ","FILING_STATUS=OR","EQY_CONSOLIDATED=Y","FA_ADJUSTED=GAAP","Sort=A","Dates=H","DateFormat=P","Fill=—","Direction=H","UseDPDF=Y")</f>
        <v>#NAME?</v>
      </c>
      <c r="L280" t="e">
        <f ca="1">_xll.BDH($C$278,"INCREMENTAL_OPERATING_MARGIN","FQ2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280" t="e">
        <f ca="1">_xll.BDH($C$278,"PRETAX_INC_TO_NET_SALES","FQ2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280" t="e">
        <f ca="1">_xll.BDH($C$278,"INC_BEF_XO_ITEMS_TO_NET_SALES","FQ2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280" t="e">
        <f ca="1">_xll.BDH($C$278,"PROF_MARGIN","FQ2 2014","FQ2 2014","Currency=INR","Period=FQ","BEST_FPERIOD_OVERRIDE=FQ","FILING_STATUS=OR","EQY_CONSOLIDATED=Y","FA_ADJUSTED=GAAP","Sort=A","Dates=H","DateFormat=P","Fill=—","Direction=H","UseDPDF=Y")</f>
        <v>#NAME?</v>
      </c>
      <c r="P280" t="e">
        <f ca="1">_xll.BDH($C$278,"NET_INCOME_TO_COMMON_MARGIN","FQ2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280" t="e">
        <f ca="1">_xll.BDH($C$278,"EFF_TAX_RATE","FQ2 2014","FQ2 2014","Currency=INR","Period=FQ","BEST_FPERIOD_OVERRIDE=FQ","FILING_STATUS=OR","EQY_CONSOLIDATED=Y","FA_ADJUSTED=GAAP","Sort=A","Dates=H","DateFormat=P","Fill=—","Direction=H","UseDPDF=Y")</f>
        <v>#NAME?</v>
      </c>
      <c r="R280" t="e">
        <f ca="1">_xll.BDH($C$278,"DVD_PAYOUT_RATIO","FQ2 2014","FQ2 2014","Currency=INR","Period=FQ","BEST_FPERIOD_OVERRIDE=FQ","FILING_STATUS=OR","EQY_CONSOLIDATED=Y","FA_ADJUSTED=GAAP","Sort=A","Dates=H","DateFormat=P","Fill=—","Direction=H","UseDPDF=Y")</f>
        <v>#NAME?</v>
      </c>
      <c r="S280" t="e">
        <f ca="1">_xll.BDH($C$278,"SUSTAIN_GROWTH_RT","FQ2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280" s="2" t="e">
        <f ca="1">_xll.BDH($C$278,"SALES_GROWTH","FQ2 2014","FQ2 2014","Currency=INR","Period=FQ","BEST_FPERIOD_OVERRIDE=FQ","FILING_STATUS=OR","EQY_CONSOLIDATED=Y","FA_ADJUSTED=GAAP","Sort=A","Dates=H","DateFormat=P","Fill=—","Direction=H","UseDPDF=Y")</f>
        <v>#NAME?</v>
      </c>
      <c r="U280" s="2" t="e">
        <f ca="1">_xll.BDH($C$278,"EBITDA_GROWTH","FQ2 2014","FQ2 2014","Currency=INR","Period=FQ","BEST_FPERIOD_OVERRIDE=FQ","FILING_STATUS=OR","EQY_CONSOLIDATED=Y","FA_ADJUSTED=GAAP","Sort=A","Dates=H","DateFormat=P","Fill=—","Direction=H","UseDPDF=Y")</f>
        <v>#NAME?</v>
      </c>
      <c r="V280" s="2" t="e">
        <f ca="1">_xll.BDH($C$278,"OPER_INC_GROWTH","FQ2 2014","FQ2 2014","Currency=INR","Period=FQ","BEST_FPERIOD_OVERRIDE=FQ","FILING_STATUS=OR","EQY_CONSOLIDATED=Y","FA_ADJUSTED=GAAP","Sort=A","Dates=H","DateFormat=P","Fill=—","Direction=H","UseDPDF=Y")</f>
        <v>#NAME?</v>
      </c>
      <c r="W280" s="2" t="e">
        <f ca="1">_xll.BDH($C$278,"EARN_FOR_COM_GROWTH","FQ2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280" s="2" t="e">
        <f ca="1">_xll.BDH($C$278,"DILUTED_EPS_AFT_XO_ITEMS_GROWTH","FQ2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280" s="2" t="e">
        <f ca="1">_xll.BDH($C$278,"DIVIDEND_PER_SHARE_1_YEAR_GROWTH","FQ2 2014","FQ2 2014","Currency=INR","Period=FQ","BEST_FPERIOD_OVERRIDE=FQ","FILING_STATUS=OR","EQY_CONSOLIDATED=Y","Sort=A","Dates=H","DateFormat=P","Fill=—","Direction=H","UseDPDF=Y")</f>
        <v>#NAME?</v>
      </c>
      <c r="Z280" s="2" t="e">
        <f ca="1">_xll.BDH($C$278,"ACCOUNTS_RECEIVABLE_GROWTH","FQ2 2014","FQ2 2014","Currency=INR","Period=FQ","BEST_FPERIOD_OVERRIDE=FQ","FILING_STATUS=OR","EQY_CONSOLIDATED=Y","Sort=A","Dates=H","DateFormat=P","Fill=—","Direction=H","UseDPDF=Y")</f>
        <v>#NAME?</v>
      </c>
      <c r="AA280" s="2" t="e">
        <f ca="1">_xll.BDH($C$278,"INVENTORY_GROWTH","FQ2 2014","FQ2 2014","Currency=INR","Period=FQ","BEST_FPERIOD_OVERRIDE=FQ","FILING_STATUS=OR","EQY_CONSOLIDATED=Y","Sort=A","Dates=H","DateFormat=P","Fill=—","Direction=H","UseDPDF=Y")</f>
        <v>#NAME?</v>
      </c>
      <c r="AB280" s="2" t="e">
        <f ca="1">_xll.BDH($C$278,"NET_FIXED_ASSETS_1_YEAR_GROWTH","FQ2 2014","FQ2 2014","Currency=INR","Period=FQ","BEST_FPERIOD_OVERRIDE=FQ","FILING_STATUS=OR","EQY_CONSOLIDATED=Y","Sort=A","Dates=H","DateFormat=P","Fill=—","Direction=H","UseDPDF=Y")</f>
        <v>#NAME?</v>
      </c>
      <c r="AC280" s="2" t="e">
        <f ca="1">_xll.BDH($C$278,"ASSET_GROWTH","FQ2 2014","FQ2 2014","Currency=INR","Period=FQ","BEST_FPERIOD_OVERRIDE=FQ","FILING_STATUS=OR","EQY_CONSOLIDATED=Y","Sort=A","Dates=H","DateFormat=P","Fill=—","Direction=H","UseDPDF=Y")</f>
        <v>#NAME?</v>
      </c>
      <c r="AD280" s="2" t="e">
        <f ca="1">_xll.BDH($C$278,"MODIFIED_WORK_CAP_GROWTH","FQ2 2014","FQ2 2014","Currency=INR","Period=FQ","BEST_FPERIOD_OVERRIDE=FQ","FILING_STATUS=OR","EQY_CONSOLIDATED=Y","Sort=A","Dates=H","DateFormat=P","Fill=—","Direction=H","UseDPDF=Y")</f>
        <v>#NAME?</v>
      </c>
      <c r="AE280" s="2" t="e">
        <f ca="1">_xll.BDH($C$278,"WORK_CAP_GROWTH","FQ2 2014","FQ2 2014","Currency=INR","Period=FQ","BEST_FPERIOD_OVERRIDE=FQ","FILING_STATUS=OR","EQY_CONSOLIDATED=Y","Sort=A","Dates=H","DateFormat=P","Fill=—","Direction=H","UseDPDF=Y")</f>
        <v>#NAME?</v>
      </c>
      <c r="AF280" s="2" t="e">
        <f ca="1">_xll.BDH($C$278,"ACCOUNTS_PAYABLE_GROWTH_1YR","FQ2 2014","FQ2 2014","Currency=INR","Period=FQ","BEST_FPERIOD_OVERRIDE=FQ","FILING_STATUS=OR","EQY_CONSOLIDATED=Y","Sort=A","Dates=H","DateFormat=P","Fill=—","Direction=H","UseDPDF=Y")</f>
        <v>#NAME?</v>
      </c>
      <c r="AG280" s="2" t="e">
        <f ca="1">_xll.BDH($C$278,"SHORT_TERM_DEBT_1_YEAR_GROWTH","FQ2 2014","FQ2 2014","Currency=INR","Period=FQ","BEST_FPERIOD_OVERRIDE=FQ","FILING_STATUS=OR","EQY_CONSOLIDATED=Y","Sort=A","Dates=H","DateFormat=P","Fill=—","Direction=H","UseDPDF=Y")</f>
        <v>#NAME?</v>
      </c>
      <c r="AH280" s="2" t="e">
        <f ca="1">_xll.BDH($C$278,"TOTAL_DEBT_1_YEAR_GROWTH","FQ2 2014","FQ2 2014","Currency=INR","Period=FQ","BEST_FPERIOD_OVERRIDE=FQ","FILING_STATUS=OR","EQY_CONSOLIDATED=Y","Sort=A","Dates=H","DateFormat=P","Fill=—","Direction=H","UseDPDF=Y")</f>
        <v>#NAME?</v>
      </c>
      <c r="AI280" s="2" t="e">
        <f ca="1">_xll.BDH($C$278,"TOTAL_EQUITY_1_YEAR_GROWTH","FQ2 2014","FQ2 2014","Currency=INR","Period=FQ","BEST_FPERIOD_OVERRIDE=FQ","FILING_STATUS=OR","EQY_CONSOLIDATED=Y","Sort=A","Dates=H","DateFormat=P","Fill=—","Direction=H","UseDPDF=Y")</f>
        <v>#NAME?</v>
      </c>
      <c r="AJ280" s="2" t="e">
        <f ca="1">_xll.BDH($C$278,"GROWTH_IN_CAP","FQ2 2014","FQ2 2014","Currency=INR","Period=FQ","BEST_FPERIOD_OVERRIDE=FQ","FILING_STATUS=OR","EQY_CONSOLIDATED=Y","Sort=A","Dates=H","DateFormat=P","Fill=—","Direction=H","UseDPDF=Y")</f>
        <v>#NAME?</v>
      </c>
      <c r="AK280" s="2" t="e">
        <f ca="1">_xll.BDH($C$278,"BVPS_GROWTH","FQ2 2014","FQ2 2014","Currency=INR","Period=FQ","BEST_FPERIOD_OVERRIDE=FQ","FILING_STATUS=OR","EQY_CONSOLIDATED=Y","Sort=A","Dates=H","DateFormat=P","Fill=—","Direction=H","UseDPDF=Y")</f>
        <v>#NAME?</v>
      </c>
      <c r="AL280" s="2" t="e">
        <f ca="1">_xll.BDH($C$278,"CASH_FLOW_GROWTH","FQ2 2014","FQ2 2014","Currency=INR","Period=FQ","BEST_FPERIOD_OVERRIDE=FQ","FILING_STATUS=OR","EQY_CONSOLIDATED=Y","Sort=A","Dates=H","DateFormat=P","Fill=—","Direction=H","UseDPDF=Y")</f>
        <v>#NAME?</v>
      </c>
      <c r="AM280" s="2" t="e">
        <f ca="1">_xll.BDH($C$278,"GEO_GROW_NET_SALES","FQ2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280" s="2" t="e">
        <f ca="1">_xll.BDH($C$278,"GEO_GROW_EBITDA","FQ2 2014","FQ2 2014","Currency=INR","Period=FQ","BEST_FPERIOD_OVERRIDE=FQ","FILING_STATUS=OR","EQY_CONSOLIDATED=Y","FA_ADJUSTED=GAAP","Sort=A","Dates=H","DateFormat=P","Fill=—","Direction=H","UseDPDF=Y")</f>
        <v>#NAME?</v>
      </c>
      <c r="AO280" s="2" t="e">
        <f ca="1">_xll.BDH($C$278,"GEO_GROW_OPER_INC","FQ2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280" s="2" t="e">
        <f ca="1">_xll.BDH($C$278,"NET_INCOME_TO_COMMON_5_YR_GROWTH","FQ2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280" s="2" t="e">
        <f ca="1">_xll.BDH($C$278,"5Y_GEO_GROWTH_DILUTED_EPS","FQ2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280" s="2" t="e">
        <f ca="1">_xll.BDH($C$278,"GEO_GROW_DVD_PER_SH","FQ2 2014","FQ2 2014","Currency=INR","Period=FQ","BEST_FPERIOD_OVERRIDE=FQ","FILING_STATUS=OR","EQY_CONSOLIDATED=Y","Sort=A","Dates=H","DateFormat=P","Fill=—","Direction=H","UseDPDF=Y")</f>
        <v>#NAME?</v>
      </c>
      <c r="AS280" s="2" t="e">
        <f ca="1">_xll.BDH($C$278,"ACCOUNTS_RECEIVABLE_5_YR_GROWTH","FQ2 2014","FQ2 2014","Currency=INR","Period=FQ","BEST_FPERIOD_OVERRIDE=FQ","FILING_STATUS=OR","EQY_CONSOLIDATED=Y","Sort=A","Dates=H","DateFormat=P","Fill=—","Direction=H","UseDPDF=Y")</f>
        <v>#NAME?</v>
      </c>
      <c r="AT280" s="2" t="e">
        <f ca="1">_xll.BDH($C$278,"INVENTORY_5_YEAR_GROWTH","FQ2 2014","FQ2 2014","Currency=INR","Period=FQ","BEST_FPERIOD_OVERRIDE=FQ","FILING_STATUS=OR","EQY_CONSOLIDATED=Y","Sort=A","Dates=H","DateFormat=P","Fill=—","Direction=H","UseDPDF=Y")</f>
        <v>#NAME?</v>
      </c>
      <c r="AU280" s="2" t="e">
        <f ca="1">_xll.BDH($C$278,"NET_FIXED_ASSETS_5_YEAR_GROWTH","FQ2 2014","FQ2 2014","Currency=INR","Period=FQ","BEST_FPERIOD_OVERRIDE=FQ","FILING_STATUS=OR","EQY_CONSOLIDATED=Y","Sort=A","Dates=H","DateFormat=P","Fill=—","Direction=H","UseDPDF=Y")</f>
        <v>#NAME?</v>
      </c>
      <c r="AV280" s="2" t="e">
        <f ca="1">_xll.BDH($C$278,"GEO_GROW_TOT_ASSET","FQ2 2014","FQ2 2014","Currency=INR","Period=FQ","BEST_FPERIOD_OVERRIDE=FQ","FILING_STATUS=OR","EQY_CONSOLIDATED=Y","Sort=A","Dates=H","DateFormat=P","Fill=—","Direction=H","UseDPDF=Y")</f>
        <v>#NAME?</v>
      </c>
      <c r="AW280" s="2" t="e">
        <f ca="1">_xll.BDH($C$278,"MODIFIED_WORKING_CPTL_5YR_GRWTH","FQ2 2014","FQ2 2014","Currency=INR","Period=FQ","BEST_FPERIOD_OVERRIDE=FQ","FILING_STATUS=OR","EQY_CONSOLIDATED=Y","Sort=A","Dates=H","DateFormat=P","Fill=—","Direction=H","UseDPDF=Y")</f>
        <v>#NAME?</v>
      </c>
      <c r="AX280" s="2" t="e">
        <f ca="1">_xll.BDH($C$278,"WORKING_CAPITAL_5_YEAR_GROWTH","FQ2 2014","FQ2 2014","Currency=INR","Period=FQ","BEST_FPERIOD_OVERRIDE=FQ","FILING_STATUS=OR","EQY_CONSOLIDATED=Y","Sort=A","Dates=H","DateFormat=P","Fill=—","Direction=H","UseDPDF=Y")</f>
        <v>#NAME?</v>
      </c>
      <c r="AY280" s="2" t="e">
        <f ca="1">_xll.BDH($C$278,"ACCOUNTS_PAYABLE_5_YEAR_GROWTH","FQ2 2014","FQ2 2014","Currency=INR","Period=FQ","BEST_FPERIOD_OVERRIDE=FQ","FILING_STATUS=OR","EQY_CONSOLIDATED=Y","Sort=A","Dates=H","DateFormat=P","Fill=—","Direction=H","UseDPDF=Y")</f>
        <v>#NAME?</v>
      </c>
      <c r="AZ280" s="2" t="e">
        <f ca="1">_xll.BDH($C$278,"SHORT_TERM_DEBT_5_YEAR_GROWTH","FQ2 2014","FQ2 2014","Currency=INR","Period=FQ","BEST_FPERIOD_OVERRIDE=FQ","FILING_STATUS=OR","EQY_CONSOLIDATED=Y","Sort=A","Dates=H","DateFormat=P","Fill=—","Direction=H","UseDPDF=Y")</f>
        <v>#NAME?</v>
      </c>
      <c r="BA280" s="2" t="e">
        <f ca="1">_xll.BDH($C$278,"TOTAL_DEBT_5_YEAR_GROWTH","FQ2 2014","FQ2 2014","Currency=INR","Period=FQ","BEST_FPERIOD_OVERRIDE=FQ","FILING_STATUS=OR","EQY_CONSOLIDATED=Y","Sort=A","Dates=H","DateFormat=P","Fill=—","Direction=H","UseDPDF=Y")</f>
        <v>#NAME?</v>
      </c>
      <c r="BB280" s="2" t="e">
        <f ca="1">_xll.BDH($C$278,"GEO_GROW_TOT_SHRHLDR_EQY","FQ2 2014","FQ2 2014","Currency=INR","Period=FQ","BEST_FPERIOD_OVERRIDE=FQ","FILING_STATUS=OR","EQY_CONSOLIDATED=Y","Sort=A","Dates=H","DateFormat=P","Fill=—","Direction=H","UseDPDF=Y")</f>
        <v>#NAME?</v>
      </c>
      <c r="BC280" s="2" t="e">
        <f ca="1">_xll.BDH($C$278,"TOTAL_CAPITAL_5_YEAR_GROWTH","FQ2 2014","FQ2 2014","Currency=INR","Period=FQ","BEST_FPERIOD_OVERRIDE=FQ","FILING_STATUS=OR","EQY_CONSOLIDATED=Y","Sort=A","Dates=H","DateFormat=P","Fill=—","Direction=H","UseDPDF=Y")</f>
        <v>#NAME?</v>
      </c>
      <c r="BD280" s="2" t="e">
        <f ca="1">_xll.BDH($C$278,"GEO_GROW_BOOK_VAL","FQ2 2014","FQ2 2014","Currency=INR","Period=FQ","BEST_FPERIOD_OVERRIDE=FQ","FILING_STATUS=OR","EQY_CONSOLIDATED=Y","Sort=A","Dates=H","DateFormat=P","Fill=—","Direction=H","UseDPDF=Y")</f>
        <v>#NAME?</v>
      </c>
      <c r="BE280" s="2" t="e">
        <f ca="1">_xll.BDH($C$278,"GEO_GROW_CASH_OPER_ACT","FQ2 2014","FQ2 2014","Currency=INR","Period=FQ","BEST_FPERIOD_OVERRIDE=FQ","FILING_STATUS=OR","EQY_CONSOLIDATED=Y","Sort=A","Dates=H","DateFormat=P","Fill=—","Direction=H","UseDPDF=Y")</f>
        <v>#NAME?</v>
      </c>
      <c r="BF280" s="2" t="e">
        <f ca="1">_xll.BDH($C$278,"REVENUE_SEQUENTIAL_GROWTH","FQ2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280" s="2" t="e">
        <f ca="1">_xll.BDH($C$278,"EBITDA_SEQUENTIAL_GROWTH","FQ2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280" s="2" t="e">
        <f ca="1">_xll.BDH($C$278,"OPERATING_INCOME_SEQ_GROWTH","FQ2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280" s="2" t="e">
        <f ca="1">_xll.BDH($C$278,"NET_INCOME_TO_COMMON_SEQ_GROWTH","FQ2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280" s="2" t="e">
        <f ca="1">_xll.BDH($C$278,"EPS_DILUTED_SEQUENTIAL_GROWTH","FQ2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280" s="2" t="e">
        <f ca="1">_xll.BDH($C$278,"DPS_SEQUENTIAL_GROWTH","FQ2 2014","FQ2 2014","Currency=INR","Period=FQ","BEST_FPERIOD_OVERRIDE=FQ","FILING_STATUS=OR","EQY_CONSOLIDATED=Y","Sort=A","Dates=H","DateFormat=P","Fill=—","Direction=H","UseDPDF=Y")</f>
        <v>#NAME?</v>
      </c>
      <c r="BL280" s="2" t="e">
        <f ca="1">_xll.BDH($C$278,"ACCOUNTS_RECEIVABLE_SEQ_GROWTH","FQ2 2014","FQ2 2014","Currency=INR","Period=FQ","BEST_FPERIOD_OVERRIDE=FQ","FILING_STATUS=OR","EQY_CONSOLIDATED=Y","Sort=A","Dates=H","DateFormat=P","Fill=—","Direction=H","UseDPDF=Y")</f>
        <v>#NAME?</v>
      </c>
      <c r="BM280" s="2" t="e">
        <f ca="1">_xll.BDH($C$278,"INVENTORY_SEQUENTIAL_GROWTH","FQ2 2014","FQ2 2014","Currency=INR","Period=FQ","BEST_FPERIOD_OVERRIDE=FQ","FILING_STATUS=OR","EQY_CONSOLIDATED=Y","Sort=A","Dates=H","DateFormat=P","Fill=—","Direction=H","UseDPDF=Y")</f>
        <v>#NAME?</v>
      </c>
      <c r="BN280" s="2" t="e">
        <f ca="1">_xll.BDH($C$278,"FIXED_ASSETS_SEQUENTIAL_GROWTH","FQ2 2014","FQ2 2014","Currency=INR","Period=FQ","BEST_FPERIOD_OVERRIDE=FQ","FILING_STATUS=OR","EQY_CONSOLIDATED=Y","Sort=A","Dates=H","DateFormat=P","Fill=—","Direction=H","UseDPDF=Y")</f>
        <v>#NAME?</v>
      </c>
      <c r="BO280" s="2" t="e">
        <f ca="1">_xll.BDH($C$278,"TOTAL_ASSETS_SEQUENTIAL_GROWTH","FQ2 2014","FQ2 2014","Currency=INR","Period=FQ","BEST_FPERIOD_OVERRIDE=FQ","FILING_STATUS=OR","EQY_CONSOLIDATED=Y","Sort=A","Dates=H","DateFormat=P","Fill=—","Direction=H","UseDPDF=Y")</f>
        <v>#NAME?</v>
      </c>
      <c r="BP280" s="2" t="e">
        <f ca="1">_xll.BDH($C$278,"MODIFIED_WORKING_CPTL_SEQ_GRWTH","FQ2 2014","FQ2 2014","Currency=INR","Period=FQ","BEST_FPERIOD_OVERRIDE=FQ","FILING_STATUS=OR","EQY_CONSOLIDATED=Y","Sort=A","Dates=H","DateFormat=P","Fill=—","Direction=H","UseDPDF=Y")</f>
        <v>#NAME?</v>
      </c>
      <c r="BQ280" s="2" t="e">
        <f ca="1">_xll.BDH($C$278,"WORKING_CAPITAL_SEQ_GROWTH","FQ2 2014","FQ2 2014","Currency=INR","Period=FQ","BEST_FPERIOD_OVERRIDE=FQ","FILING_STATUS=OR","EQY_CONSOLIDATED=Y","Sort=A","Dates=H","DateFormat=P","Fill=—","Direction=H","UseDPDF=Y")</f>
        <v>#NAME?</v>
      </c>
      <c r="BR280" s="2" t="e">
        <f ca="1">_xll.BDH($C$278,"ACCOUNTS_PAYABLE_SEQ_GROWTH","FQ2 2014","FQ2 2014","Currency=INR","Period=FQ","BEST_FPERIOD_OVERRIDE=FQ","FILING_STATUS=OR","EQY_CONSOLIDATED=Y","Sort=A","Dates=H","DateFormat=P","Fill=—","Direction=H","UseDPDF=Y")</f>
        <v>#NAME?</v>
      </c>
      <c r="BS280" s="2" t="e">
        <f ca="1">_xll.BDH($C$278,"ST_DEBT_SEQUENTIAL_GROWTH","FQ2 2014","FQ2 2014","Currency=INR","Period=FQ","BEST_FPERIOD_OVERRIDE=FQ","FILING_STATUS=OR","EQY_CONSOLIDATED=Y","Sort=A","Dates=H","DateFormat=P","Fill=—","Direction=H","UseDPDF=Y")</f>
        <v>#NAME?</v>
      </c>
      <c r="BT280" s="2" t="e">
        <f ca="1">_xll.BDH($C$278,"TOTAL_DEBT_SEQUENTIAL_GROWTH","FQ2 2014","FQ2 2014","Currency=INR","Period=FQ","BEST_FPERIOD_OVERRIDE=FQ","FILING_STATUS=OR","EQY_CONSOLIDATED=Y","Sort=A","Dates=H","DateFormat=P","Fill=—","Direction=H","UseDPDF=Y")</f>
        <v>#NAME?</v>
      </c>
      <c r="BU280" s="2" t="e">
        <f ca="1">_xll.BDH($C$278,"TOTAL_EQUITY_SEQUENTIAL_GROWTH","FQ2 2014","FQ2 2014","Currency=INR","Period=FQ","BEST_FPERIOD_OVERRIDE=FQ","FILING_STATUS=OR","EQY_CONSOLIDATED=Y","Sort=A","Dates=H","DateFormat=P","Fill=—","Direction=H","UseDPDF=Y")</f>
        <v>#NAME?</v>
      </c>
      <c r="BV280" s="2" t="e">
        <f ca="1">_xll.BDH($C$278,"TOTAL_CAPITAL_SEQUENTIAL_GROWTH","FQ2 2014","FQ2 2014","Currency=INR","Period=FQ","BEST_FPERIOD_OVERRIDE=FQ","FILING_STATUS=OR","EQY_CONSOLIDATED=Y","Sort=A","Dates=H","DateFormat=P","Fill=—","Direction=H","UseDPDF=Y")</f>
        <v>#NAME?</v>
      </c>
      <c r="BW280" s="2" t="e">
        <f ca="1">_xll.BDH($C$278,"BPS_SEQUENTIAL_GROWTH","FQ2 2014","FQ2 2014","Currency=INR","Period=FQ","BEST_FPERIOD_OVERRIDE=FQ","FILING_STATUS=OR","EQY_CONSOLIDATED=Y","Sort=A","Dates=H","DateFormat=P","Fill=—","Direction=H","UseDPDF=Y")</f>
        <v>#NAME?</v>
      </c>
      <c r="BX280" s="2" t="e">
        <f ca="1">_xll.BDH($C$278,"CFO_SEQUENTIAL_GROWTH","FQ2 2014","FQ2 2014","Currency=INR","Period=FQ","BEST_FPERIOD_OVERRIDE=FQ","FILING_STATUS=OR","EQY_CONSOLIDATED=Y","Sort=A","Dates=H","DateFormat=P","Fill=—","Direction=H","UseDPDF=Y")</f>
        <v>#NAME?</v>
      </c>
      <c r="BY280" s="3" t="e">
        <f ca="1">_xll.BDH($C$278,"SHORT_AND_LONG_TERM_DEBT","FQ2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280" s="3" t="e">
        <f ca="1">_xll.BDH($C$278,"BS_ST_BORROW","FQ2 2014","FQ2 2014","Currency=INR","Period=FQ","BEST_FPERIOD_OVERRIDE=FQ","FILING_STATUS=OR","EQY_CONSOLIDATED=Y","SCALING_FORMAT=MLN","Sort=A","Dates=H","DateFormat=P","Fill=—","Direction=H","UseDPDF=Y")</f>
        <v>#NAME?</v>
      </c>
      <c r="CA280" s="3" t="e">
        <f ca="1">_xll.BDH($C$278,"BS_LT_BORROW","FQ2 2014","FQ2 2014","Currency=INR","Period=FQ","BEST_FPERIOD_OVERRIDE=FQ","FILING_STATUS=OR","EQY_CONSOLIDATED=Y","SCALING_FORMAT=MLN","Sort=A","Dates=H","DateFormat=P","Fill=—","Direction=H","UseDPDF=Y")</f>
        <v>#NAME?</v>
      </c>
      <c r="CB280" s="2" t="e">
        <f ca="1">_xll.BDH($C$278,"TOT_DEBT_TO_EBITDA","FQ2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280" s="2" t="e">
        <f ca="1">_xll.BDH($C$278,"NET_DEBT_TO_EBITDA","FQ2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280" s="2" t="e">
        <f ca="1">_xll.BDH($C$278,"TOTAL_DEBT_TO_EBIT","FQ2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280" s="2" t="e">
        <f ca="1">_xll.BDH($C$278,"NET_DEBT_TO_EBIT","FQ2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280" s="2" t="e">
        <f ca="1">_xll.BDH($C$278,"EBITDA_TO_INTEREST_EXPN","FQ2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280" s="2" t="e">
        <f ca="1">_xll.BDH($C$278,"COM_EQY_TO_TOT_ASSET","FQ2 2014","FQ2 2014","Currency=INR","Period=FQ","BEST_FPERIOD_OVERRIDE=FQ","FILING_STATUS=OR","EQY_CONSOLIDATED=Y","Sort=A","Dates=H","DateFormat=P","Fill=—","Direction=H","UseDPDF=Y")</f>
        <v>#NAME?</v>
      </c>
      <c r="CH280" s="2" t="e">
        <f ca="1">_xll.BDH($C$278,"LT_DEBT_TO_TOT_EQY","FQ2 2014","FQ2 2014","Currency=INR","Period=FQ","BEST_FPERIOD_OVERRIDE=FQ","FILING_STATUS=OR","EQY_CONSOLIDATED=Y","Sort=A","Dates=H","DateFormat=P","Fill=—","Direction=H","UseDPDF=Y")</f>
        <v>#NAME?</v>
      </c>
      <c r="CI280" s="2" t="e">
        <f ca="1">_xll.BDH($C$278,"LT_DEBT_TO_TOT_CAP","FQ2 2014","FQ2 2014","Currency=INR","Period=FQ","BEST_FPERIOD_OVERRIDE=FQ","FILING_STATUS=OR","EQY_CONSOLIDATED=Y","Sort=A","Dates=H","DateFormat=P","Fill=—","Direction=H","UseDPDF=Y")</f>
        <v>#NAME?</v>
      </c>
      <c r="CJ280" s="2" t="e">
        <f ca="1">_xll.BDH($C$278,"LT_DEBT_TO_TOT_ASSET","FQ2 2014","FQ2 2014","Currency=INR","Period=FQ","BEST_FPERIOD_OVERRIDE=FQ","FILING_STATUS=OR","EQY_CONSOLIDATED=Y","Sort=A","Dates=H","DateFormat=P","Fill=—","Direction=H","UseDPDF=Y")</f>
        <v>#NAME?</v>
      </c>
      <c r="CK280" s="2" t="e">
        <f ca="1">_xll.BDH($C$278,"TOT_DEBT_TO_TOT_EQY","FQ2 2014","FQ2 2014","Currency=INR","Period=FQ","BEST_FPERIOD_OVERRIDE=FQ","FILING_STATUS=OR","EQY_CONSOLIDATED=Y","Sort=A","Dates=H","DateFormat=P","Fill=—","Direction=H","UseDPDF=Y")</f>
        <v>#NAME?</v>
      </c>
      <c r="CL280" s="2" t="e">
        <f ca="1">_xll.BDH($C$278,"TOT_DEBT_TO_TOT_CAP","FQ2 2014","FQ2 2014","Currency=INR","Period=FQ","BEST_FPERIOD_OVERRIDE=FQ","FILING_STATUS=OR","EQY_CONSOLIDATED=Y","Sort=A","Dates=H","DateFormat=P","Fill=—","Direction=H","UseDPDF=Y")</f>
        <v>#NAME?</v>
      </c>
      <c r="CM280" s="2" t="e">
        <f ca="1">_xll.BDH($C$278,"TOT_DEBT_TO_TOT_ASSET","FQ2 2014","FQ2 2014","Currency=INR","Period=FQ","BEST_FPERIOD_OVERRIDE=FQ","FILING_STATUS=OR","EQY_CONSOLIDATED=Y","Sort=A","Dates=H","DateFormat=P","Fill=—","Direction=H","UseDPDF=Y")</f>
        <v>#NAME?</v>
      </c>
      <c r="CN280" s="2" t="e">
        <f ca="1">_xll.BDH($C$278,"NET_DEBT_TO_SHRHLDR_EQTY","FQ2 2014","FQ2 2014","Currency=INR","Period=FQ","BEST_FPERIOD_OVERRIDE=FQ","FILING_STATUS=OR","EQY_CONSOLIDATED=Y","Sort=A","Dates=H","DateFormat=P","Fill=—","Direction=H","UseDPDF=Y")</f>
        <v>#NAME?</v>
      </c>
      <c r="CO280" s="2" t="e">
        <f ca="1">_xll.BDH($C$278,"NET_DEBT_%_CAPITAL","FQ2 2014","FQ2 2014","Currency=INR","Period=FQ","BEST_FPERIOD_OVERRIDE=FQ","FILING_STATUS=OR","EQY_CONSOLIDATED=Y","Sort=A","Dates=H","DateFormat=P","Fill=—","Direction=H","UseDPDF=Y")</f>
        <v>#NAME?</v>
      </c>
      <c r="CP280" s="3" t="e">
        <f ca="1">_xll.BDH($C$278,"EBITDA","FQ2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280" s="3" t="e">
        <f ca="1">_xll.BDH($C$278,"EBITDA_AFTER_CAPEX","FQ2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280" s="3" t="e">
        <f ca="1">_xll.BDH($C$278,"IS_OPER_INC","FQ2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280" s="2" t="e">
        <f ca="1">_xll.BDH($C$278,"CASH_RATIO","FQ2 2014","FQ2 2014","Currency=INR","Period=FQ","BEST_FPERIOD_OVERRIDE=FQ","FILING_STATUS=OR","EQY_CONSOLIDATED=Y","Sort=A","Dates=H","DateFormat=P","Fill=—","Direction=H","UseDPDF=Y")</f>
        <v>#NAME?</v>
      </c>
      <c r="CT280" s="2" t="e">
        <f ca="1">_xll.BDH($C$278,"CUR_RATIO","FQ2 2014","FQ2 2014","Currency=INR","Period=FQ","BEST_FPERIOD_OVERRIDE=FQ","FILING_STATUS=OR","EQY_CONSOLIDATED=Y","Sort=A","Dates=H","DateFormat=P","Fill=—","Direction=H","UseDPDF=Y")</f>
        <v>#NAME?</v>
      </c>
      <c r="CU280" s="2" t="e">
        <f ca="1">_xll.BDH($C$278,"QUICK_RATIO","FQ2 2014","FQ2 2014","Currency=INR","Period=FQ","BEST_FPERIOD_OVERRIDE=FQ","FILING_STATUS=OR","EQY_CONSOLIDATED=Y","Sort=A","Dates=H","DateFormat=P","Fill=—","Direction=H","UseDPDF=Y")</f>
        <v>#NAME?</v>
      </c>
      <c r="CV280" s="2" t="e">
        <f ca="1">_xll.BDH($C$278,"ALTMAN_Z_SCORE","FQ2 2014","FQ2 2014","Currency=INR","Period=FQ","BEST_FPERIOD_OVERRIDE=FQ","FILING_STATUS=OR","EQY_CONSOLIDATED=Y","Sort=A","Dates=H","DateFormat=P","Fill=—","Direction=H","UseDPDF=Y")</f>
        <v>#NAME?</v>
      </c>
      <c r="CW280" s="4" t="e">
        <f ca="1">_xll.BDH($C$278,"ACCT_RCV_TURN","FQ2 2014","FQ2 2014","Currency=INR","Period=FQ","BEST_FPERIOD_OVERRIDE=FQ","FILING_STATUS=OR","EQY_CONSOLIDATED=Y","FA_ADJUSTED=GAAP","Sort=A","Dates=H","DateFormat=P","Fill=—","Direction=H","UseDPDF=Y")</f>
        <v>#NAME?</v>
      </c>
      <c r="CX280" s="2" t="e">
        <f ca="1">_xll.BDH($C$278,"ACCT_RCV_DAYS","FQ2 2014","FQ2 2014","Currency=INR","Period=FQ","BEST_FPERIOD_OVERRIDE=FQ","FILING_STATUS=OR","EQY_CONSOLIDATED=Y","FA_ADJUSTED=GAAP","Sort=A","Dates=H","DateFormat=P","Fill=—","Direction=H","UseDPDF=Y")</f>
        <v>#NAME?</v>
      </c>
      <c r="CY280" s="4" t="e">
        <f ca="1">_xll.BDH($C$278,"INVENT_TURN","FQ2 2014","FQ2 2014","Currency=INR","Period=FQ","BEST_FPERIOD_OVERRIDE=FQ","FILING_STATUS=OR","EQY_CONSOLIDATED=Y","FA_ADJUSTED=GAAP","Sort=A","Dates=H","DateFormat=P","Fill=—","Direction=H","UseDPDF=Y")</f>
        <v>#NAME?</v>
      </c>
      <c r="CZ280" s="2" t="e">
        <f ca="1">_xll.BDH($C$278,"INVENT_DAYS","FQ2 2014","FQ2 2014","Currency=INR","Period=FQ","BEST_FPERIOD_OVERRIDE=FQ","FILING_STATUS=OR","EQY_CONSOLIDATED=Y","FA_ADJUSTED=GAAP","Sort=A","Dates=H","DateFormat=P","Fill=—","Direction=H","UseDPDF=Y")</f>
        <v>#NAME?</v>
      </c>
      <c r="DA280" s="4" t="e">
        <f ca="1">_xll.BDH($C$278,"ACCOUNTS_PAYABLE_TURNOVER","FQ2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280" s="2" t="e">
        <f ca="1">_xll.BDH($C$278,"ACCOUNTS_PAYABLE_TURNOVER_DAYS","FQ2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280" s="4" t="e">
        <f ca="1">_xll.BDH($C$278,"CASH_CONVERSION_CYCLE","FQ2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280" s="4" t="e">
        <f ca="1">_xll.BDH($C$278,"INV_TO_CASH_DAYS","FQ2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280" s="5" t="e">
        <f ca="1">_xll.BDH($C$278,"BS_INVENTORIES","FQ2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280" s="3" t="e">
        <f ca="1">_xll.BDH($C$278,"INVTRY_RAW_MATERIALS","FQ2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280" s="3" t="e">
        <f ca="1">_xll.BDH($C$278,"INVTRY_IN_PROGRESS","FQ2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280" s="3" t="e">
        <f ca="1">_xll.BDH($C$278,"INVTRY_FINISHED_GOODS","FQ2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280" s="3" t="e">
        <f ca="1">_xll.BDH($C$278,"BS_OTHER_INV","FQ2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281" spans="1:113" x14ac:dyDescent="0.3">
      <c r="A281" s="6"/>
      <c r="B281" s="6"/>
      <c r="C281" s="6"/>
      <c r="D281" s="6"/>
      <c r="E281" t="s">
        <v>80</v>
      </c>
      <c r="F281" t="e">
        <f ca="1">_xll.BDH($C$278,"RETURN_COM_EQY","FQ3 2014","FQ3 2014","Currency=INR","Period=FQ","BEST_FPERIOD_OVERRIDE=FQ","FILING_STATUS=OR","EQY_CONSOLIDATED=Y","FA_ADJUSTED=GAAP","Sort=A","Dates=H","DateFormat=P","Fill=—","Direction=H","UseDPDF=Y")</f>
        <v>#NAME?</v>
      </c>
      <c r="G281" t="e">
        <f ca="1">_xll.BDH($C$278,"RETURN_ON_ASSET","FQ3 2014","FQ3 2014","Currency=INR","Period=FQ","BEST_FPERIOD_OVERRIDE=FQ","FILING_STATUS=OR","EQY_CONSOLIDATED=Y","FA_ADJUSTED=GAAP","Sort=A","Dates=H","DateFormat=P","Fill=—","Direction=H","UseDPDF=Y")</f>
        <v>#NAME?</v>
      </c>
      <c r="H281" t="e">
        <f ca="1">_xll.BDH($C$278,"RETURN_ON_CAP","FQ3 2014","FQ3 2014","Currency=INR","Period=FQ","BEST_FPERIOD_OVERRIDE=FQ","FILING_STATUS=OR","EQY_CONSOLIDATED=Y","FA_ADJUSTED=GAAP","Sort=A","Dates=H","DateFormat=P","Fill=—","Direction=H","UseDPDF=Y")</f>
        <v>#NAME?</v>
      </c>
      <c r="I281" t="e">
        <f ca="1">_xll.BDH($C$278,"RETURN_ON_INV_CAPITAL","FQ3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281" t="e">
        <f ca="1">_xll.BDH($C$278,"EBITDA_TO_REVENUE","FQ3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281" t="e">
        <f ca="1">_xll.BDH($C$278,"OPER_MARGIN","FQ3 2014","FQ3 2014","Currency=INR","Period=FQ","BEST_FPERIOD_OVERRIDE=FQ","FILING_STATUS=OR","EQY_CONSOLIDATED=Y","FA_ADJUSTED=GAAP","Sort=A","Dates=H","DateFormat=P","Fill=—","Direction=H","UseDPDF=Y")</f>
        <v>#NAME?</v>
      </c>
      <c r="L281" t="e">
        <f ca="1">_xll.BDH($C$278,"INCREMENTAL_OPERATING_MARGIN","FQ3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281" t="e">
        <f ca="1">_xll.BDH($C$278,"PRETAX_INC_TO_NET_SALES","FQ3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281" t="e">
        <f ca="1">_xll.BDH($C$278,"INC_BEF_XO_ITEMS_TO_NET_SALES","FQ3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281" t="e">
        <f ca="1">_xll.BDH($C$278,"PROF_MARGIN","FQ3 2014","FQ3 2014","Currency=INR","Period=FQ","BEST_FPERIOD_OVERRIDE=FQ","FILING_STATUS=OR","EQY_CONSOLIDATED=Y","FA_ADJUSTED=GAAP","Sort=A","Dates=H","DateFormat=P","Fill=—","Direction=H","UseDPDF=Y")</f>
        <v>#NAME?</v>
      </c>
      <c r="P281" t="e">
        <f ca="1">_xll.BDH($C$278,"NET_INCOME_TO_COMMON_MARGIN","FQ3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281" t="e">
        <f ca="1">_xll.BDH($C$278,"EFF_TAX_RATE","FQ3 2014","FQ3 2014","Currency=INR","Period=FQ","BEST_FPERIOD_OVERRIDE=FQ","FILING_STATUS=OR","EQY_CONSOLIDATED=Y","FA_ADJUSTED=GAAP","Sort=A","Dates=H","DateFormat=P","Fill=—","Direction=H","UseDPDF=Y")</f>
        <v>#NAME?</v>
      </c>
      <c r="R281" t="e">
        <f ca="1">_xll.BDH($C$278,"DVD_PAYOUT_RATIO","FQ3 2014","FQ3 2014","Currency=INR","Period=FQ","BEST_FPERIOD_OVERRIDE=FQ","FILING_STATUS=OR","EQY_CONSOLIDATED=Y","FA_ADJUSTED=GAAP","Sort=A","Dates=H","DateFormat=P","Fill=—","Direction=H","UseDPDF=Y")</f>
        <v>#NAME?</v>
      </c>
      <c r="S281" t="e">
        <f ca="1">_xll.BDH($C$278,"SUSTAIN_GROWTH_RT","FQ3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281" s="2" t="e">
        <f ca="1">_xll.BDH($C$278,"SALES_GROWTH","FQ3 2014","FQ3 2014","Currency=INR","Period=FQ","BEST_FPERIOD_OVERRIDE=FQ","FILING_STATUS=OR","EQY_CONSOLIDATED=Y","FA_ADJUSTED=GAAP","Sort=A","Dates=H","DateFormat=P","Fill=—","Direction=H","UseDPDF=Y")</f>
        <v>#NAME?</v>
      </c>
      <c r="U281" s="2" t="e">
        <f ca="1">_xll.BDH($C$278,"EBITDA_GROWTH","FQ3 2014","FQ3 2014","Currency=INR","Period=FQ","BEST_FPERIOD_OVERRIDE=FQ","FILING_STATUS=OR","EQY_CONSOLIDATED=Y","FA_ADJUSTED=GAAP","Sort=A","Dates=H","DateFormat=P","Fill=—","Direction=H","UseDPDF=Y")</f>
        <v>#NAME?</v>
      </c>
      <c r="V281" s="2" t="e">
        <f ca="1">_xll.BDH($C$278,"OPER_INC_GROWTH","FQ3 2014","FQ3 2014","Currency=INR","Period=FQ","BEST_FPERIOD_OVERRIDE=FQ","FILING_STATUS=OR","EQY_CONSOLIDATED=Y","FA_ADJUSTED=GAAP","Sort=A","Dates=H","DateFormat=P","Fill=—","Direction=H","UseDPDF=Y")</f>
        <v>#NAME?</v>
      </c>
      <c r="W281" s="2" t="e">
        <f ca="1">_xll.BDH($C$278,"EARN_FOR_COM_GROWTH","FQ3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281" s="2" t="e">
        <f ca="1">_xll.BDH($C$278,"DILUTED_EPS_AFT_XO_ITEMS_GROWTH","FQ3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281" s="2" t="e">
        <f ca="1">_xll.BDH($C$278,"DIVIDEND_PER_SHARE_1_YEAR_GROWTH","FQ3 2014","FQ3 2014","Currency=INR","Period=FQ","BEST_FPERIOD_OVERRIDE=FQ","FILING_STATUS=OR","EQY_CONSOLIDATED=Y","Sort=A","Dates=H","DateFormat=P","Fill=—","Direction=H","UseDPDF=Y")</f>
        <v>#NAME?</v>
      </c>
      <c r="Z281" s="2" t="e">
        <f ca="1">_xll.BDH($C$278,"ACCOUNTS_RECEIVABLE_GROWTH","FQ3 2014","FQ3 2014","Currency=INR","Period=FQ","BEST_FPERIOD_OVERRIDE=FQ","FILING_STATUS=OR","EQY_CONSOLIDATED=Y","Sort=A","Dates=H","DateFormat=P","Fill=—","Direction=H","UseDPDF=Y")</f>
        <v>#NAME?</v>
      </c>
      <c r="AA281" s="2" t="e">
        <f ca="1">_xll.BDH($C$278,"INVENTORY_GROWTH","FQ3 2014","FQ3 2014","Currency=INR","Period=FQ","BEST_FPERIOD_OVERRIDE=FQ","FILING_STATUS=OR","EQY_CONSOLIDATED=Y","Sort=A","Dates=H","DateFormat=P","Fill=—","Direction=H","UseDPDF=Y")</f>
        <v>#NAME?</v>
      </c>
      <c r="AB281" s="2" t="e">
        <f ca="1">_xll.BDH($C$278,"NET_FIXED_ASSETS_1_YEAR_GROWTH","FQ3 2014","FQ3 2014","Currency=INR","Period=FQ","BEST_FPERIOD_OVERRIDE=FQ","FILING_STATUS=OR","EQY_CONSOLIDATED=Y","Sort=A","Dates=H","DateFormat=P","Fill=—","Direction=H","UseDPDF=Y")</f>
        <v>#NAME?</v>
      </c>
      <c r="AC281" s="2" t="e">
        <f ca="1">_xll.BDH($C$278,"ASSET_GROWTH","FQ3 2014","FQ3 2014","Currency=INR","Period=FQ","BEST_FPERIOD_OVERRIDE=FQ","FILING_STATUS=OR","EQY_CONSOLIDATED=Y","Sort=A","Dates=H","DateFormat=P","Fill=—","Direction=H","UseDPDF=Y")</f>
        <v>#NAME?</v>
      </c>
      <c r="AD281" s="2" t="e">
        <f ca="1">_xll.BDH($C$278,"MODIFIED_WORK_CAP_GROWTH","FQ3 2014","FQ3 2014","Currency=INR","Period=FQ","BEST_FPERIOD_OVERRIDE=FQ","FILING_STATUS=OR","EQY_CONSOLIDATED=Y","Sort=A","Dates=H","DateFormat=P","Fill=—","Direction=H","UseDPDF=Y")</f>
        <v>#NAME?</v>
      </c>
      <c r="AE281" s="2" t="e">
        <f ca="1">_xll.BDH($C$278,"WORK_CAP_GROWTH","FQ3 2014","FQ3 2014","Currency=INR","Period=FQ","BEST_FPERIOD_OVERRIDE=FQ","FILING_STATUS=OR","EQY_CONSOLIDATED=Y","Sort=A","Dates=H","DateFormat=P","Fill=—","Direction=H","UseDPDF=Y")</f>
        <v>#NAME?</v>
      </c>
      <c r="AF281" s="2" t="e">
        <f ca="1">_xll.BDH($C$278,"ACCOUNTS_PAYABLE_GROWTH_1YR","FQ3 2014","FQ3 2014","Currency=INR","Period=FQ","BEST_FPERIOD_OVERRIDE=FQ","FILING_STATUS=OR","EQY_CONSOLIDATED=Y","Sort=A","Dates=H","DateFormat=P","Fill=—","Direction=H","UseDPDF=Y")</f>
        <v>#NAME?</v>
      </c>
      <c r="AG281" s="2" t="e">
        <f ca="1">_xll.BDH($C$278,"SHORT_TERM_DEBT_1_YEAR_GROWTH","FQ3 2014","FQ3 2014","Currency=INR","Period=FQ","BEST_FPERIOD_OVERRIDE=FQ","FILING_STATUS=OR","EQY_CONSOLIDATED=Y","Sort=A","Dates=H","DateFormat=P","Fill=—","Direction=H","UseDPDF=Y")</f>
        <v>#NAME?</v>
      </c>
      <c r="AH281" s="2" t="e">
        <f ca="1">_xll.BDH($C$278,"TOTAL_DEBT_1_YEAR_GROWTH","FQ3 2014","FQ3 2014","Currency=INR","Period=FQ","BEST_FPERIOD_OVERRIDE=FQ","FILING_STATUS=OR","EQY_CONSOLIDATED=Y","Sort=A","Dates=H","DateFormat=P","Fill=—","Direction=H","UseDPDF=Y")</f>
        <v>#NAME?</v>
      </c>
      <c r="AI281" s="2" t="e">
        <f ca="1">_xll.BDH($C$278,"TOTAL_EQUITY_1_YEAR_GROWTH","FQ3 2014","FQ3 2014","Currency=INR","Period=FQ","BEST_FPERIOD_OVERRIDE=FQ","FILING_STATUS=OR","EQY_CONSOLIDATED=Y","Sort=A","Dates=H","DateFormat=P","Fill=—","Direction=H","UseDPDF=Y")</f>
        <v>#NAME?</v>
      </c>
      <c r="AJ281" s="2" t="e">
        <f ca="1">_xll.BDH($C$278,"GROWTH_IN_CAP","FQ3 2014","FQ3 2014","Currency=INR","Period=FQ","BEST_FPERIOD_OVERRIDE=FQ","FILING_STATUS=OR","EQY_CONSOLIDATED=Y","Sort=A","Dates=H","DateFormat=P","Fill=—","Direction=H","UseDPDF=Y")</f>
        <v>#NAME?</v>
      </c>
      <c r="AK281" s="2" t="e">
        <f ca="1">_xll.BDH($C$278,"BVPS_GROWTH","FQ3 2014","FQ3 2014","Currency=INR","Period=FQ","BEST_FPERIOD_OVERRIDE=FQ","FILING_STATUS=OR","EQY_CONSOLIDATED=Y","Sort=A","Dates=H","DateFormat=P","Fill=—","Direction=H","UseDPDF=Y")</f>
        <v>#NAME?</v>
      </c>
      <c r="AL281" s="2" t="e">
        <f ca="1">_xll.BDH($C$278,"CASH_FLOW_GROWTH","FQ3 2014","FQ3 2014","Currency=INR","Period=FQ","BEST_FPERIOD_OVERRIDE=FQ","FILING_STATUS=OR","EQY_CONSOLIDATED=Y","Sort=A","Dates=H","DateFormat=P","Fill=—","Direction=H","UseDPDF=Y")</f>
        <v>#NAME?</v>
      </c>
      <c r="AM281" s="2" t="e">
        <f ca="1">_xll.BDH($C$278,"GEO_GROW_NET_SALES","FQ3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281" s="2" t="e">
        <f ca="1">_xll.BDH($C$278,"GEO_GROW_EBITDA","FQ3 2014","FQ3 2014","Currency=INR","Period=FQ","BEST_FPERIOD_OVERRIDE=FQ","FILING_STATUS=OR","EQY_CONSOLIDATED=Y","FA_ADJUSTED=GAAP","Sort=A","Dates=H","DateFormat=P","Fill=—","Direction=H","UseDPDF=Y")</f>
        <v>#NAME?</v>
      </c>
      <c r="AO281" s="2" t="e">
        <f ca="1">_xll.BDH($C$278,"GEO_GROW_OPER_INC","FQ3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281" s="2" t="e">
        <f ca="1">_xll.BDH($C$278,"NET_INCOME_TO_COMMON_5_YR_GROWTH","FQ3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281" s="2" t="e">
        <f ca="1">_xll.BDH($C$278,"5Y_GEO_GROWTH_DILUTED_EPS","FQ3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281" s="2" t="e">
        <f ca="1">_xll.BDH($C$278,"GEO_GROW_DVD_PER_SH","FQ3 2014","FQ3 2014","Currency=INR","Period=FQ","BEST_FPERIOD_OVERRIDE=FQ","FILING_STATUS=OR","EQY_CONSOLIDATED=Y","Sort=A","Dates=H","DateFormat=P","Fill=—","Direction=H","UseDPDF=Y")</f>
        <v>#NAME?</v>
      </c>
      <c r="AS281" s="2" t="e">
        <f ca="1">_xll.BDH($C$278,"ACCOUNTS_RECEIVABLE_5_YR_GROWTH","FQ3 2014","FQ3 2014","Currency=INR","Period=FQ","BEST_FPERIOD_OVERRIDE=FQ","FILING_STATUS=OR","EQY_CONSOLIDATED=Y","Sort=A","Dates=H","DateFormat=P","Fill=—","Direction=H","UseDPDF=Y")</f>
        <v>#NAME?</v>
      </c>
      <c r="AT281" s="2" t="e">
        <f ca="1">_xll.BDH($C$278,"INVENTORY_5_YEAR_GROWTH","FQ3 2014","FQ3 2014","Currency=INR","Period=FQ","BEST_FPERIOD_OVERRIDE=FQ","FILING_STATUS=OR","EQY_CONSOLIDATED=Y","Sort=A","Dates=H","DateFormat=P","Fill=—","Direction=H","UseDPDF=Y")</f>
        <v>#NAME?</v>
      </c>
      <c r="AU281" s="2" t="e">
        <f ca="1">_xll.BDH($C$278,"NET_FIXED_ASSETS_5_YEAR_GROWTH","FQ3 2014","FQ3 2014","Currency=INR","Period=FQ","BEST_FPERIOD_OVERRIDE=FQ","FILING_STATUS=OR","EQY_CONSOLIDATED=Y","Sort=A","Dates=H","DateFormat=P","Fill=—","Direction=H","UseDPDF=Y")</f>
        <v>#NAME?</v>
      </c>
      <c r="AV281" s="2" t="e">
        <f ca="1">_xll.BDH($C$278,"GEO_GROW_TOT_ASSET","FQ3 2014","FQ3 2014","Currency=INR","Period=FQ","BEST_FPERIOD_OVERRIDE=FQ","FILING_STATUS=OR","EQY_CONSOLIDATED=Y","Sort=A","Dates=H","DateFormat=P","Fill=—","Direction=H","UseDPDF=Y")</f>
        <v>#NAME?</v>
      </c>
      <c r="AW281" s="2" t="e">
        <f ca="1">_xll.BDH($C$278,"MODIFIED_WORKING_CPTL_5YR_GRWTH","FQ3 2014","FQ3 2014","Currency=INR","Period=FQ","BEST_FPERIOD_OVERRIDE=FQ","FILING_STATUS=OR","EQY_CONSOLIDATED=Y","Sort=A","Dates=H","DateFormat=P","Fill=—","Direction=H","UseDPDF=Y")</f>
        <v>#NAME?</v>
      </c>
      <c r="AX281" s="2" t="e">
        <f ca="1">_xll.BDH($C$278,"WORKING_CAPITAL_5_YEAR_GROWTH","FQ3 2014","FQ3 2014","Currency=INR","Period=FQ","BEST_FPERIOD_OVERRIDE=FQ","FILING_STATUS=OR","EQY_CONSOLIDATED=Y","Sort=A","Dates=H","DateFormat=P","Fill=—","Direction=H","UseDPDF=Y")</f>
        <v>#NAME?</v>
      </c>
      <c r="AY281" s="2" t="e">
        <f ca="1">_xll.BDH($C$278,"ACCOUNTS_PAYABLE_5_YEAR_GROWTH","FQ3 2014","FQ3 2014","Currency=INR","Period=FQ","BEST_FPERIOD_OVERRIDE=FQ","FILING_STATUS=OR","EQY_CONSOLIDATED=Y","Sort=A","Dates=H","DateFormat=P","Fill=—","Direction=H","UseDPDF=Y")</f>
        <v>#NAME?</v>
      </c>
      <c r="AZ281" s="2" t="e">
        <f ca="1">_xll.BDH($C$278,"SHORT_TERM_DEBT_5_YEAR_GROWTH","FQ3 2014","FQ3 2014","Currency=INR","Period=FQ","BEST_FPERIOD_OVERRIDE=FQ","FILING_STATUS=OR","EQY_CONSOLIDATED=Y","Sort=A","Dates=H","DateFormat=P","Fill=—","Direction=H","UseDPDF=Y")</f>
        <v>#NAME?</v>
      </c>
      <c r="BA281" s="2" t="e">
        <f ca="1">_xll.BDH($C$278,"TOTAL_DEBT_5_YEAR_GROWTH","FQ3 2014","FQ3 2014","Currency=INR","Period=FQ","BEST_FPERIOD_OVERRIDE=FQ","FILING_STATUS=OR","EQY_CONSOLIDATED=Y","Sort=A","Dates=H","DateFormat=P","Fill=—","Direction=H","UseDPDF=Y")</f>
        <v>#NAME?</v>
      </c>
      <c r="BB281" s="2" t="e">
        <f ca="1">_xll.BDH($C$278,"GEO_GROW_TOT_SHRHLDR_EQY","FQ3 2014","FQ3 2014","Currency=INR","Period=FQ","BEST_FPERIOD_OVERRIDE=FQ","FILING_STATUS=OR","EQY_CONSOLIDATED=Y","Sort=A","Dates=H","DateFormat=P","Fill=—","Direction=H","UseDPDF=Y")</f>
        <v>#NAME?</v>
      </c>
      <c r="BC281" s="2" t="e">
        <f ca="1">_xll.BDH($C$278,"TOTAL_CAPITAL_5_YEAR_GROWTH","FQ3 2014","FQ3 2014","Currency=INR","Period=FQ","BEST_FPERIOD_OVERRIDE=FQ","FILING_STATUS=OR","EQY_CONSOLIDATED=Y","Sort=A","Dates=H","DateFormat=P","Fill=—","Direction=H","UseDPDF=Y")</f>
        <v>#NAME?</v>
      </c>
      <c r="BD281" s="2" t="e">
        <f ca="1">_xll.BDH($C$278,"GEO_GROW_BOOK_VAL","FQ3 2014","FQ3 2014","Currency=INR","Period=FQ","BEST_FPERIOD_OVERRIDE=FQ","FILING_STATUS=OR","EQY_CONSOLIDATED=Y","Sort=A","Dates=H","DateFormat=P","Fill=—","Direction=H","UseDPDF=Y")</f>
        <v>#NAME?</v>
      </c>
      <c r="BE281" s="2" t="e">
        <f ca="1">_xll.BDH($C$278,"GEO_GROW_CASH_OPER_ACT","FQ3 2014","FQ3 2014","Currency=INR","Period=FQ","BEST_FPERIOD_OVERRIDE=FQ","FILING_STATUS=OR","EQY_CONSOLIDATED=Y","Sort=A","Dates=H","DateFormat=P","Fill=—","Direction=H","UseDPDF=Y")</f>
        <v>#NAME?</v>
      </c>
      <c r="BF281" s="2" t="e">
        <f ca="1">_xll.BDH($C$278,"REVENUE_SEQUENTIAL_GROWTH","FQ3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281" s="2" t="e">
        <f ca="1">_xll.BDH($C$278,"EBITDA_SEQUENTIAL_GROWTH","FQ3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281" s="2" t="e">
        <f ca="1">_xll.BDH($C$278,"OPERATING_INCOME_SEQ_GROWTH","FQ3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281" s="2" t="e">
        <f ca="1">_xll.BDH($C$278,"NET_INCOME_TO_COMMON_SEQ_GROWTH","FQ3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281" s="2" t="e">
        <f ca="1">_xll.BDH($C$278,"EPS_DILUTED_SEQUENTIAL_GROWTH","FQ3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281" s="2" t="e">
        <f ca="1">_xll.BDH($C$278,"DPS_SEQUENTIAL_GROWTH","FQ3 2014","FQ3 2014","Currency=INR","Period=FQ","BEST_FPERIOD_OVERRIDE=FQ","FILING_STATUS=OR","EQY_CONSOLIDATED=Y","Sort=A","Dates=H","DateFormat=P","Fill=—","Direction=H","UseDPDF=Y")</f>
        <v>#NAME?</v>
      </c>
      <c r="BL281" s="2" t="e">
        <f ca="1">_xll.BDH($C$278,"ACCOUNTS_RECEIVABLE_SEQ_GROWTH","FQ3 2014","FQ3 2014","Currency=INR","Period=FQ","BEST_FPERIOD_OVERRIDE=FQ","FILING_STATUS=OR","EQY_CONSOLIDATED=Y","Sort=A","Dates=H","DateFormat=P","Fill=—","Direction=H","UseDPDF=Y")</f>
        <v>#NAME?</v>
      </c>
      <c r="BM281" s="2" t="e">
        <f ca="1">_xll.BDH($C$278,"INVENTORY_SEQUENTIAL_GROWTH","FQ3 2014","FQ3 2014","Currency=INR","Period=FQ","BEST_FPERIOD_OVERRIDE=FQ","FILING_STATUS=OR","EQY_CONSOLIDATED=Y","Sort=A","Dates=H","DateFormat=P","Fill=—","Direction=H","UseDPDF=Y")</f>
        <v>#NAME?</v>
      </c>
      <c r="BN281" s="2" t="e">
        <f ca="1">_xll.BDH($C$278,"FIXED_ASSETS_SEQUENTIAL_GROWTH","FQ3 2014","FQ3 2014","Currency=INR","Period=FQ","BEST_FPERIOD_OVERRIDE=FQ","FILING_STATUS=OR","EQY_CONSOLIDATED=Y","Sort=A","Dates=H","DateFormat=P","Fill=—","Direction=H","UseDPDF=Y")</f>
        <v>#NAME?</v>
      </c>
      <c r="BO281" s="2" t="e">
        <f ca="1">_xll.BDH($C$278,"TOTAL_ASSETS_SEQUENTIAL_GROWTH","FQ3 2014","FQ3 2014","Currency=INR","Period=FQ","BEST_FPERIOD_OVERRIDE=FQ","FILING_STATUS=OR","EQY_CONSOLIDATED=Y","Sort=A","Dates=H","DateFormat=P","Fill=—","Direction=H","UseDPDF=Y")</f>
        <v>#NAME?</v>
      </c>
      <c r="BP281" s="2" t="e">
        <f ca="1">_xll.BDH($C$278,"MODIFIED_WORKING_CPTL_SEQ_GRWTH","FQ3 2014","FQ3 2014","Currency=INR","Period=FQ","BEST_FPERIOD_OVERRIDE=FQ","FILING_STATUS=OR","EQY_CONSOLIDATED=Y","Sort=A","Dates=H","DateFormat=P","Fill=—","Direction=H","UseDPDF=Y")</f>
        <v>#NAME?</v>
      </c>
      <c r="BQ281" s="2" t="e">
        <f ca="1">_xll.BDH($C$278,"WORKING_CAPITAL_SEQ_GROWTH","FQ3 2014","FQ3 2014","Currency=INR","Period=FQ","BEST_FPERIOD_OVERRIDE=FQ","FILING_STATUS=OR","EQY_CONSOLIDATED=Y","Sort=A","Dates=H","DateFormat=P","Fill=—","Direction=H","UseDPDF=Y")</f>
        <v>#NAME?</v>
      </c>
      <c r="BR281" s="2" t="e">
        <f ca="1">_xll.BDH($C$278,"ACCOUNTS_PAYABLE_SEQ_GROWTH","FQ3 2014","FQ3 2014","Currency=INR","Period=FQ","BEST_FPERIOD_OVERRIDE=FQ","FILING_STATUS=OR","EQY_CONSOLIDATED=Y","Sort=A","Dates=H","DateFormat=P","Fill=—","Direction=H","UseDPDF=Y")</f>
        <v>#NAME?</v>
      </c>
      <c r="BS281" s="2" t="e">
        <f ca="1">_xll.BDH($C$278,"ST_DEBT_SEQUENTIAL_GROWTH","FQ3 2014","FQ3 2014","Currency=INR","Period=FQ","BEST_FPERIOD_OVERRIDE=FQ","FILING_STATUS=OR","EQY_CONSOLIDATED=Y","Sort=A","Dates=H","DateFormat=P","Fill=—","Direction=H","UseDPDF=Y")</f>
        <v>#NAME?</v>
      </c>
      <c r="BT281" s="2" t="e">
        <f ca="1">_xll.BDH($C$278,"TOTAL_DEBT_SEQUENTIAL_GROWTH","FQ3 2014","FQ3 2014","Currency=INR","Period=FQ","BEST_FPERIOD_OVERRIDE=FQ","FILING_STATUS=OR","EQY_CONSOLIDATED=Y","Sort=A","Dates=H","DateFormat=P","Fill=—","Direction=H","UseDPDF=Y")</f>
        <v>#NAME?</v>
      </c>
      <c r="BU281" s="2" t="e">
        <f ca="1">_xll.BDH($C$278,"TOTAL_EQUITY_SEQUENTIAL_GROWTH","FQ3 2014","FQ3 2014","Currency=INR","Period=FQ","BEST_FPERIOD_OVERRIDE=FQ","FILING_STATUS=OR","EQY_CONSOLIDATED=Y","Sort=A","Dates=H","DateFormat=P","Fill=—","Direction=H","UseDPDF=Y")</f>
        <v>#NAME?</v>
      </c>
      <c r="BV281" s="2" t="e">
        <f ca="1">_xll.BDH($C$278,"TOTAL_CAPITAL_SEQUENTIAL_GROWTH","FQ3 2014","FQ3 2014","Currency=INR","Period=FQ","BEST_FPERIOD_OVERRIDE=FQ","FILING_STATUS=OR","EQY_CONSOLIDATED=Y","Sort=A","Dates=H","DateFormat=P","Fill=—","Direction=H","UseDPDF=Y")</f>
        <v>#NAME?</v>
      </c>
      <c r="BW281" s="2" t="e">
        <f ca="1">_xll.BDH($C$278,"BPS_SEQUENTIAL_GROWTH","FQ3 2014","FQ3 2014","Currency=INR","Period=FQ","BEST_FPERIOD_OVERRIDE=FQ","FILING_STATUS=OR","EQY_CONSOLIDATED=Y","Sort=A","Dates=H","DateFormat=P","Fill=—","Direction=H","UseDPDF=Y")</f>
        <v>#NAME?</v>
      </c>
      <c r="BX281" s="2" t="e">
        <f ca="1">_xll.BDH($C$278,"CFO_SEQUENTIAL_GROWTH","FQ3 2014","FQ3 2014","Currency=INR","Period=FQ","BEST_FPERIOD_OVERRIDE=FQ","FILING_STATUS=OR","EQY_CONSOLIDATED=Y","Sort=A","Dates=H","DateFormat=P","Fill=—","Direction=H","UseDPDF=Y")</f>
        <v>#NAME?</v>
      </c>
      <c r="BY281" s="3" t="e">
        <f ca="1">_xll.BDH($C$278,"SHORT_AND_LONG_TERM_DEBT","FQ3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281" s="3" t="e">
        <f ca="1">_xll.BDH($C$278,"BS_ST_BORROW","FQ3 2014","FQ3 2014","Currency=INR","Period=FQ","BEST_FPERIOD_OVERRIDE=FQ","FILING_STATUS=OR","EQY_CONSOLIDATED=Y","SCALING_FORMAT=MLN","Sort=A","Dates=H","DateFormat=P","Fill=—","Direction=H","UseDPDF=Y")</f>
        <v>#NAME?</v>
      </c>
      <c r="CA281" s="3" t="e">
        <f ca="1">_xll.BDH($C$278,"BS_LT_BORROW","FQ3 2014","FQ3 2014","Currency=INR","Period=FQ","BEST_FPERIOD_OVERRIDE=FQ","FILING_STATUS=OR","EQY_CONSOLIDATED=Y","SCALING_FORMAT=MLN","Sort=A","Dates=H","DateFormat=P","Fill=—","Direction=H","UseDPDF=Y")</f>
        <v>#NAME?</v>
      </c>
      <c r="CB281" s="2" t="e">
        <f ca="1">_xll.BDH($C$278,"TOT_DEBT_TO_EBITDA","FQ3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281" s="2" t="e">
        <f ca="1">_xll.BDH($C$278,"NET_DEBT_TO_EBITDA","FQ3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281" s="2" t="e">
        <f ca="1">_xll.BDH($C$278,"TOTAL_DEBT_TO_EBIT","FQ3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281" s="2" t="e">
        <f ca="1">_xll.BDH($C$278,"NET_DEBT_TO_EBIT","FQ3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281" s="2" t="e">
        <f ca="1">_xll.BDH($C$278,"EBITDA_TO_INTEREST_EXPN","FQ3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281" s="2" t="e">
        <f ca="1">_xll.BDH($C$278,"COM_EQY_TO_TOT_ASSET","FQ3 2014","FQ3 2014","Currency=INR","Period=FQ","BEST_FPERIOD_OVERRIDE=FQ","FILING_STATUS=OR","EQY_CONSOLIDATED=Y","Sort=A","Dates=H","DateFormat=P","Fill=—","Direction=H","UseDPDF=Y")</f>
        <v>#NAME?</v>
      </c>
      <c r="CH281" s="2" t="e">
        <f ca="1">_xll.BDH($C$278,"LT_DEBT_TO_TOT_EQY","FQ3 2014","FQ3 2014","Currency=INR","Period=FQ","BEST_FPERIOD_OVERRIDE=FQ","FILING_STATUS=OR","EQY_CONSOLIDATED=Y","Sort=A","Dates=H","DateFormat=P","Fill=—","Direction=H","UseDPDF=Y")</f>
        <v>#NAME?</v>
      </c>
      <c r="CI281" s="2" t="e">
        <f ca="1">_xll.BDH($C$278,"LT_DEBT_TO_TOT_CAP","FQ3 2014","FQ3 2014","Currency=INR","Period=FQ","BEST_FPERIOD_OVERRIDE=FQ","FILING_STATUS=OR","EQY_CONSOLIDATED=Y","Sort=A","Dates=H","DateFormat=P","Fill=—","Direction=H","UseDPDF=Y")</f>
        <v>#NAME?</v>
      </c>
      <c r="CJ281" s="2" t="e">
        <f ca="1">_xll.BDH($C$278,"LT_DEBT_TO_TOT_ASSET","FQ3 2014","FQ3 2014","Currency=INR","Period=FQ","BEST_FPERIOD_OVERRIDE=FQ","FILING_STATUS=OR","EQY_CONSOLIDATED=Y","Sort=A","Dates=H","DateFormat=P","Fill=—","Direction=H","UseDPDF=Y")</f>
        <v>#NAME?</v>
      </c>
      <c r="CK281" s="2" t="e">
        <f ca="1">_xll.BDH($C$278,"TOT_DEBT_TO_TOT_EQY","FQ3 2014","FQ3 2014","Currency=INR","Period=FQ","BEST_FPERIOD_OVERRIDE=FQ","FILING_STATUS=OR","EQY_CONSOLIDATED=Y","Sort=A","Dates=H","DateFormat=P","Fill=—","Direction=H","UseDPDF=Y")</f>
        <v>#NAME?</v>
      </c>
      <c r="CL281" s="2" t="e">
        <f ca="1">_xll.BDH($C$278,"TOT_DEBT_TO_TOT_CAP","FQ3 2014","FQ3 2014","Currency=INR","Period=FQ","BEST_FPERIOD_OVERRIDE=FQ","FILING_STATUS=OR","EQY_CONSOLIDATED=Y","Sort=A","Dates=H","DateFormat=P","Fill=—","Direction=H","UseDPDF=Y")</f>
        <v>#NAME?</v>
      </c>
      <c r="CM281" s="2" t="e">
        <f ca="1">_xll.BDH($C$278,"TOT_DEBT_TO_TOT_ASSET","FQ3 2014","FQ3 2014","Currency=INR","Period=FQ","BEST_FPERIOD_OVERRIDE=FQ","FILING_STATUS=OR","EQY_CONSOLIDATED=Y","Sort=A","Dates=H","DateFormat=P","Fill=—","Direction=H","UseDPDF=Y")</f>
        <v>#NAME?</v>
      </c>
      <c r="CN281" s="2" t="e">
        <f ca="1">_xll.BDH($C$278,"NET_DEBT_TO_SHRHLDR_EQTY","FQ3 2014","FQ3 2014","Currency=INR","Period=FQ","BEST_FPERIOD_OVERRIDE=FQ","FILING_STATUS=OR","EQY_CONSOLIDATED=Y","Sort=A","Dates=H","DateFormat=P","Fill=—","Direction=H","UseDPDF=Y")</f>
        <v>#NAME?</v>
      </c>
      <c r="CO281" s="2" t="e">
        <f ca="1">_xll.BDH($C$278,"NET_DEBT_%_CAPITAL","FQ3 2014","FQ3 2014","Currency=INR","Period=FQ","BEST_FPERIOD_OVERRIDE=FQ","FILING_STATUS=OR","EQY_CONSOLIDATED=Y","Sort=A","Dates=H","DateFormat=P","Fill=—","Direction=H","UseDPDF=Y")</f>
        <v>#NAME?</v>
      </c>
      <c r="CP281" s="3" t="e">
        <f ca="1">_xll.BDH($C$278,"EBITDA","FQ3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281" s="3" t="e">
        <f ca="1">_xll.BDH($C$278,"EBITDA_AFTER_CAPEX","FQ3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281" s="3" t="e">
        <f ca="1">_xll.BDH($C$278,"IS_OPER_INC","FQ3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281" s="2" t="e">
        <f ca="1">_xll.BDH($C$278,"CASH_RATIO","FQ3 2014","FQ3 2014","Currency=INR","Period=FQ","BEST_FPERIOD_OVERRIDE=FQ","FILING_STATUS=OR","EQY_CONSOLIDATED=Y","Sort=A","Dates=H","DateFormat=P","Fill=—","Direction=H","UseDPDF=Y")</f>
        <v>#NAME?</v>
      </c>
      <c r="CT281" s="2" t="e">
        <f ca="1">_xll.BDH($C$278,"CUR_RATIO","FQ3 2014","FQ3 2014","Currency=INR","Period=FQ","BEST_FPERIOD_OVERRIDE=FQ","FILING_STATUS=OR","EQY_CONSOLIDATED=Y","Sort=A","Dates=H","DateFormat=P","Fill=—","Direction=H","UseDPDF=Y")</f>
        <v>#NAME?</v>
      </c>
      <c r="CU281" s="2" t="e">
        <f ca="1">_xll.BDH($C$278,"QUICK_RATIO","FQ3 2014","FQ3 2014","Currency=INR","Period=FQ","BEST_FPERIOD_OVERRIDE=FQ","FILING_STATUS=OR","EQY_CONSOLIDATED=Y","Sort=A","Dates=H","DateFormat=P","Fill=—","Direction=H","UseDPDF=Y")</f>
        <v>#NAME?</v>
      </c>
      <c r="CV281" s="2" t="e">
        <f ca="1">_xll.BDH($C$278,"ALTMAN_Z_SCORE","FQ3 2014","FQ3 2014","Currency=INR","Period=FQ","BEST_FPERIOD_OVERRIDE=FQ","FILING_STATUS=OR","EQY_CONSOLIDATED=Y","Sort=A","Dates=H","DateFormat=P","Fill=—","Direction=H","UseDPDF=Y")</f>
        <v>#NAME?</v>
      </c>
      <c r="CW281" s="4" t="e">
        <f ca="1">_xll.BDH($C$278,"ACCT_RCV_TURN","FQ3 2014","FQ3 2014","Currency=INR","Period=FQ","BEST_FPERIOD_OVERRIDE=FQ","FILING_STATUS=OR","EQY_CONSOLIDATED=Y","FA_ADJUSTED=GAAP","Sort=A","Dates=H","DateFormat=P","Fill=—","Direction=H","UseDPDF=Y")</f>
        <v>#NAME?</v>
      </c>
      <c r="CX281" s="2" t="e">
        <f ca="1">_xll.BDH($C$278,"ACCT_RCV_DAYS","FQ3 2014","FQ3 2014","Currency=INR","Period=FQ","BEST_FPERIOD_OVERRIDE=FQ","FILING_STATUS=OR","EQY_CONSOLIDATED=Y","FA_ADJUSTED=GAAP","Sort=A","Dates=H","DateFormat=P","Fill=—","Direction=H","UseDPDF=Y")</f>
        <v>#NAME?</v>
      </c>
      <c r="CY281" s="4" t="e">
        <f ca="1">_xll.BDH($C$278,"INVENT_TURN","FQ3 2014","FQ3 2014","Currency=INR","Period=FQ","BEST_FPERIOD_OVERRIDE=FQ","FILING_STATUS=OR","EQY_CONSOLIDATED=Y","FA_ADJUSTED=GAAP","Sort=A","Dates=H","DateFormat=P","Fill=—","Direction=H","UseDPDF=Y")</f>
        <v>#NAME?</v>
      </c>
      <c r="CZ281" s="2" t="e">
        <f ca="1">_xll.BDH($C$278,"INVENT_DAYS","FQ3 2014","FQ3 2014","Currency=INR","Period=FQ","BEST_FPERIOD_OVERRIDE=FQ","FILING_STATUS=OR","EQY_CONSOLIDATED=Y","FA_ADJUSTED=GAAP","Sort=A","Dates=H","DateFormat=P","Fill=—","Direction=H","UseDPDF=Y")</f>
        <v>#NAME?</v>
      </c>
      <c r="DA281" s="4" t="e">
        <f ca="1">_xll.BDH($C$278,"ACCOUNTS_PAYABLE_TURNOVER","FQ3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281" s="2" t="e">
        <f ca="1">_xll.BDH($C$278,"ACCOUNTS_PAYABLE_TURNOVER_DAYS","FQ3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281" s="4" t="e">
        <f ca="1">_xll.BDH($C$278,"CASH_CONVERSION_CYCLE","FQ3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281" s="4" t="e">
        <f ca="1">_xll.BDH($C$278,"INV_TO_CASH_DAYS","FQ3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281" s="5" t="e">
        <f ca="1">_xll.BDH($C$278,"BS_INVENTORIES","FQ3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281" s="3" t="e">
        <f ca="1">_xll.BDH($C$278,"INVTRY_RAW_MATERIALS","FQ3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281" s="3" t="e">
        <f ca="1">_xll.BDH($C$278,"INVTRY_IN_PROGRESS","FQ3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281" s="3" t="e">
        <f ca="1">_xll.BDH($C$278,"INVTRY_FINISHED_GOODS","FQ3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281" s="3" t="e">
        <f ca="1">_xll.BDH($C$278,"BS_OTHER_INV","FQ3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282" spans="1:113" x14ac:dyDescent="0.3">
      <c r="A282" s="6"/>
      <c r="B282" s="6"/>
      <c r="C282" s="6"/>
      <c r="D282" s="6"/>
      <c r="E282" t="s">
        <v>81</v>
      </c>
      <c r="F282" t="e">
        <f ca="1">_xll.BDH($C$278,"RETURN_COM_EQY","FQ4 2014","FQ4 2014","Currency=INR","Period=FQ","BEST_FPERIOD_OVERRIDE=FQ","FILING_STATUS=OR","EQY_CONSOLIDATED=Y","FA_ADJUSTED=GAAP","Sort=A","Dates=H","DateFormat=P","Fill=—","Direction=H","UseDPDF=Y")</f>
        <v>#NAME?</v>
      </c>
      <c r="G282" t="e">
        <f ca="1">_xll.BDH($C$278,"RETURN_ON_ASSET","FQ4 2014","FQ4 2014","Currency=INR","Period=FQ","BEST_FPERIOD_OVERRIDE=FQ","FILING_STATUS=OR","EQY_CONSOLIDATED=Y","FA_ADJUSTED=GAAP","Sort=A","Dates=H","DateFormat=P","Fill=—","Direction=H","UseDPDF=Y")</f>
        <v>#NAME?</v>
      </c>
      <c r="H282" t="e">
        <f ca="1">_xll.BDH($C$278,"RETURN_ON_CAP","FQ4 2014","FQ4 2014","Currency=INR","Period=FQ","BEST_FPERIOD_OVERRIDE=FQ","FILING_STATUS=OR","EQY_CONSOLIDATED=Y","FA_ADJUSTED=GAAP","Sort=A","Dates=H","DateFormat=P","Fill=—","Direction=H","UseDPDF=Y")</f>
        <v>#NAME?</v>
      </c>
      <c r="I282" t="e">
        <f ca="1">_xll.BDH($C$278,"RETURN_ON_INV_CAPITAL","FQ4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282" t="e">
        <f ca="1">_xll.BDH($C$278,"EBITDA_TO_REVENUE","FQ4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282" t="e">
        <f ca="1">_xll.BDH($C$278,"OPER_MARGIN","FQ4 2014","FQ4 2014","Currency=INR","Period=FQ","BEST_FPERIOD_OVERRIDE=FQ","FILING_STATUS=OR","EQY_CONSOLIDATED=Y","FA_ADJUSTED=GAAP","Sort=A","Dates=H","DateFormat=P","Fill=—","Direction=H","UseDPDF=Y")</f>
        <v>#NAME?</v>
      </c>
      <c r="L282" t="e">
        <f ca="1">_xll.BDH($C$278,"INCREMENTAL_OPERATING_MARGIN","FQ4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282" t="e">
        <f ca="1">_xll.BDH($C$278,"PRETAX_INC_TO_NET_SALES","FQ4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282" t="e">
        <f ca="1">_xll.BDH($C$278,"INC_BEF_XO_ITEMS_TO_NET_SALES","FQ4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282" t="e">
        <f ca="1">_xll.BDH($C$278,"PROF_MARGIN","FQ4 2014","FQ4 2014","Currency=INR","Period=FQ","BEST_FPERIOD_OVERRIDE=FQ","FILING_STATUS=OR","EQY_CONSOLIDATED=Y","FA_ADJUSTED=GAAP","Sort=A","Dates=H","DateFormat=P","Fill=—","Direction=H","UseDPDF=Y")</f>
        <v>#NAME?</v>
      </c>
      <c r="P282" t="e">
        <f ca="1">_xll.BDH($C$278,"NET_INCOME_TO_COMMON_MARGIN","FQ4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282" t="e">
        <f ca="1">_xll.BDH($C$278,"EFF_TAX_RATE","FQ4 2014","FQ4 2014","Currency=INR","Period=FQ","BEST_FPERIOD_OVERRIDE=FQ","FILING_STATUS=OR","EQY_CONSOLIDATED=Y","FA_ADJUSTED=GAAP","Sort=A","Dates=H","DateFormat=P","Fill=—","Direction=H","UseDPDF=Y")</f>
        <v>#NAME?</v>
      </c>
      <c r="R282" t="e">
        <f ca="1">_xll.BDH($C$278,"DVD_PAYOUT_RATIO","FQ4 2014","FQ4 2014","Currency=INR","Period=FQ","BEST_FPERIOD_OVERRIDE=FQ","FILING_STATUS=OR","EQY_CONSOLIDATED=Y","FA_ADJUSTED=GAAP","Sort=A","Dates=H","DateFormat=P","Fill=—","Direction=H","UseDPDF=Y")</f>
        <v>#NAME?</v>
      </c>
      <c r="S282" t="e">
        <f ca="1">_xll.BDH($C$278,"SUSTAIN_GROWTH_RT","FQ4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282" s="2" t="e">
        <f ca="1">_xll.BDH($C$278,"SALES_GROWTH","FQ4 2014","FQ4 2014","Currency=INR","Period=FQ","BEST_FPERIOD_OVERRIDE=FQ","FILING_STATUS=OR","EQY_CONSOLIDATED=Y","FA_ADJUSTED=GAAP","Sort=A","Dates=H","DateFormat=P","Fill=—","Direction=H","UseDPDF=Y")</f>
        <v>#NAME?</v>
      </c>
      <c r="U282" s="2" t="e">
        <f ca="1">_xll.BDH($C$278,"EBITDA_GROWTH","FQ4 2014","FQ4 2014","Currency=INR","Period=FQ","BEST_FPERIOD_OVERRIDE=FQ","FILING_STATUS=OR","EQY_CONSOLIDATED=Y","FA_ADJUSTED=GAAP","Sort=A","Dates=H","DateFormat=P","Fill=—","Direction=H","UseDPDF=Y")</f>
        <v>#NAME?</v>
      </c>
      <c r="V282" s="2" t="e">
        <f ca="1">_xll.BDH($C$278,"OPER_INC_GROWTH","FQ4 2014","FQ4 2014","Currency=INR","Period=FQ","BEST_FPERIOD_OVERRIDE=FQ","FILING_STATUS=OR","EQY_CONSOLIDATED=Y","FA_ADJUSTED=GAAP","Sort=A","Dates=H","DateFormat=P","Fill=—","Direction=H","UseDPDF=Y")</f>
        <v>#NAME?</v>
      </c>
      <c r="W282" s="2" t="e">
        <f ca="1">_xll.BDH($C$278,"EARN_FOR_COM_GROWTH","FQ4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282" s="2" t="e">
        <f ca="1">_xll.BDH($C$278,"DILUTED_EPS_AFT_XO_ITEMS_GROWTH","FQ4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282" s="2" t="e">
        <f ca="1">_xll.BDH($C$278,"DIVIDEND_PER_SHARE_1_YEAR_GROWTH","FQ4 2014","FQ4 2014","Currency=INR","Period=FQ","BEST_FPERIOD_OVERRIDE=FQ","FILING_STATUS=OR","EQY_CONSOLIDATED=Y","Sort=A","Dates=H","DateFormat=P","Fill=—","Direction=H","UseDPDF=Y")</f>
        <v>#NAME?</v>
      </c>
      <c r="Z282" s="2" t="e">
        <f ca="1">_xll.BDH($C$278,"ACCOUNTS_RECEIVABLE_GROWTH","FQ4 2014","FQ4 2014","Currency=INR","Period=FQ","BEST_FPERIOD_OVERRIDE=FQ","FILING_STATUS=OR","EQY_CONSOLIDATED=Y","Sort=A","Dates=H","DateFormat=P","Fill=—","Direction=H","UseDPDF=Y")</f>
        <v>#NAME?</v>
      </c>
      <c r="AA282" s="2" t="e">
        <f ca="1">_xll.BDH($C$278,"INVENTORY_GROWTH","FQ4 2014","FQ4 2014","Currency=INR","Period=FQ","BEST_FPERIOD_OVERRIDE=FQ","FILING_STATUS=OR","EQY_CONSOLIDATED=Y","Sort=A","Dates=H","DateFormat=P","Fill=—","Direction=H","UseDPDF=Y")</f>
        <v>#NAME?</v>
      </c>
      <c r="AB282" s="2" t="e">
        <f ca="1">_xll.BDH($C$278,"NET_FIXED_ASSETS_1_YEAR_GROWTH","FQ4 2014","FQ4 2014","Currency=INR","Period=FQ","BEST_FPERIOD_OVERRIDE=FQ","FILING_STATUS=OR","EQY_CONSOLIDATED=Y","Sort=A","Dates=H","DateFormat=P","Fill=—","Direction=H","UseDPDF=Y")</f>
        <v>#NAME?</v>
      </c>
      <c r="AC282" s="2" t="e">
        <f ca="1">_xll.BDH($C$278,"ASSET_GROWTH","FQ4 2014","FQ4 2014","Currency=INR","Period=FQ","BEST_FPERIOD_OVERRIDE=FQ","FILING_STATUS=OR","EQY_CONSOLIDATED=Y","Sort=A","Dates=H","DateFormat=P","Fill=—","Direction=H","UseDPDF=Y")</f>
        <v>#NAME?</v>
      </c>
      <c r="AD282" s="2" t="e">
        <f ca="1">_xll.BDH($C$278,"MODIFIED_WORK_CAP_GROWTH","FQ4 2014","FQ4 2014","Currency=INR","Period=FQ","BEST_FPERIOD_OVERRIDE=FQ","FILING_STATUS=OR","EQY_CONSOLIDATED=Y","Sort=A","Dates=H","DateFormat=P","Fill=—","Direction=H","UseDPDF=Y")</f>
        <v>#NAME?</v>
      </c>
      <c r="AE282" s="2" t="e">
        <f ca="1">_xll.BDH($C$278,"WORK_CAP_GROWTH","FQ4 2014","FQ4 2014","Currency=INR","Period=FQ","BEST_FPERIOD_OVERRIDE=FQ","FILING_STATUS=OR","EQY_CONSOLIDATED=Y","Sort=A","Dates=H","DateFormat=P","Fill=—","Direction=H","UseDPDF=Y")</f>
        <v>#NAME?</v>
      </c>
      <c r="AF282" s="2" t="e">
        <f ca="1">_xll.BDH($C$278,"ACCOUNTS_PAYABLE_GROWTH_1YR","FQ4 2014","FQ4 2014","Currency=INR","Period=FQ","BEST_FPERIOD_OVERRIDE=FQ","FILING_STATUS=OR","EQY_CONSOLIDATED=Y","Sort=A","Dates=H","DateFormat=P","Fill=—","Direction=H","UseDPDF=Y")</f>
        <v>#NAME?</v>
      </c>
      <c r="AG282" s="2" t="e">
        <f ca="1">_xll.BDH($C$278,"SHORT_TERM_DEBT_1_YEAR_GROWTH","FQ4 2014","FQ4 2014","Currency=INR","Period=FQ","BEST_FPERIOD_OVERRIDE=FQ","FILING_STATUS=OR","EQY_CONSOLIDATED=Y","Sort=A","Dates=H","DateFormat=P","Fill=—","Direction=H","UseDPDF=Y")</f>
        <v>#NAME?</v>
      </c>
      <c r="AH282" s="2" t="e">
        <f ca="1">_xll.BDH($C$278,"TOTAL_DEBT_1_YEAR_GROWTH","FQ4 2014","FQ4 2014","Currency=INR","Period=FQ","BEST_FPERIOD_OVERRIDE=FQ","FILING_STATUS=OR","EQY_CONSOLIDATED=Y","Sort=A","Dates=H","DateFormat=P","Fill=—","Direction=H","UseDPDF=Y")</f>
        <v>#NAME?</v>
      </c>
      <c r="AI282" s="2" t="e">
        <f ca="1">_xll.BDH($C$278,"TOTAL_EQUITY_1_YEAR_GROWTH","FQ4 2014","FQ4 2014","Currency=INR","Period=FQ","BEST_FPERIOD_OVERRIDE=FQ","FILING_STATUS=OR","EQY_CONSOLIDATED=Y","Sort=A","Dates=H","DateFormat=P","Fill=—","Direction=H","UseDPDF=Y")</f>
        <v>#NAME?</v>
      </c>
      <c r="AJ282" s="2" t="e">
        <f ca="1">_xll.BDH($C$278,"GROWTH_IN_CAP","FQ4 2014","FQ4 2014","Currency=INR","Period=FQ","BEST_FPERIOD_OVERRIDE=FQ","FILING_STATUS=OR","EQY_CONSOLIDATED=Y","Sort=A","Dates=H","DateFormat=P","Fill=—","Direction=H","UseDPDF=Y")</f>
        <v>#NAME?</v>
      </c>
      <c r="AK282" s="2" t="e">
        <f ca="1">_xll.BDH($C$278,"BVPS_GROWTH","FQ4 2014","FQ4 2014","Currency=INR","Period=FQ","BEST_FPERIOD_OVERRIDE=FQ","FILING_STATUS=OR","EQY_CONSOLIDATED=Y","Sort=A","Dates=H","DateFormat=P","Fill=—","Direction=H","UseDPDF=Y")</f>
        <v>#NAME?</v>
      </c>
      <c r="AL282" s="2" t="e">
        <f ca="1">_xll.BDH($C$278,"CASH_FLOW_GROWTH","FQ4 2014","FQ4 2014","Currency=INR","Period=FQ","BEST_FPERIOD_OVERRIDE=FQ","FILING_STATUS=OR","EQY_CONSOLIDATED=Y","Sort=A","Dates=H","DateFormat=P","Fill=—","Direction=H","UseDPDF=Y")</f>
        <v>#NAME?</v>
      </c>
      <c r="AM282" s="2" t="e">
        <f ca="1">_xll.BDH($C$278,"GEO_GROW_NET_SALES","FQ4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282" s="2" t="e">
        <f ca="1">_xll.BDH($C$278,"GEO_GROW_EBITDA","FQ4 2014","FQ4 2014","Currency=INR","Period=FQ","BEST_FPERIOD_OVERRIDE=FQ","FILING_STATUS=OR","EQY_CONSOLIDATED=Y","FA_ADJUSTED=GAAP","Sort=A","Dates=H","DateFormat=P","Fill=—","Direction=H","UseDPDF=Y")</f>
        <v>#NAME?</v>
      </c>
      <c r="AO282" s="2" t="e">
        <f ca="1">_xll.BDH($C$278,"GEO_GROW_OPER_INC","FQ4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282" s="2" t="e">
        <f ca="1">_xll.BDH($C$278,"NET_INCOME_TO_COMMON_5_YR_GROWTH","FQ4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282" s="2" t="e">
        <f ca="1">_xll.BDH($C$278,"5Y_GEO_GROWTH_DILUTED_EPS","FQ4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282" s="2" t="e">
        <f ca="1">_xll.BDH($C$278,"GEO_GROW_DVD_PER_SH","FQ4 2014","FQ4 2014","Currency=INR","Period=FQ","BEST_FPERIOD_OVERRIDE=FQ","FILING_STATUS=OR","EQY_CONSOLIDATED=Y","Sort=A","Dates=H","DateFormat=P","Fill=—","Direction=H","UseDPDF=Y")</f>
        <v>#NAME?</v>
      </c>
      <c r="AS282" s="2" t="e">
        <f ca="1">_xll.BDH($C$278,"ACCOUNTS_RECEIVABLE_5_YR_GROWTH","FQ4 2014","FQ4 2014","Currency=INR","Period=FQ","BEST_FPERIOD_OVERRIDE=FQ","FILING_STATUS=OR","EQY_CONSOLIDATED=Y","Sort=A","Dates=H","DateFormat=P","Fill=—","Direction=H","UseDPDF=Y")</f>
        <v>#NAME?</v>
      </c>
      <c r="AT282" s="2" t="e">
        <f ca="1">_xll.BDH($C$278,"INVENTORY_5_YEAR_GROWTH","FQ4 2014","FQ4 2014","Currency=INR","Period=FQ","BEST_FPERIOD_OVERRIDE=FQ","FILING_STATUS=OR","EQY_CONSOLIDATED=Y","Sort=A","Dates=H","DateFormat=P","Fill=—","Direction=H","UseDPDF=Y")</f>
        <v>#NAME?</v>
      </c>
      <c r="AU282" s="2" t="e">
        <f ca="1">_xll.BDH($C$278,"NET_FIXED_ASSETS_5_YEAR_GROWTH","FQ4 2014","FQ4 2014","Currency=INR","Period=FQ","BEST_FPERIOD_OVERRIDE=FQ","FILING_STATUS=OR","EQY_CONSOLIDATED=Y","Sort=A","Dates=H","DateFormat=P","Fill=—","Direction=H","UseDPDF=Y")</f>
        <v>#NAME?</v>
      </c>
      <c r="AV282" s="2" t="e">
        <f ca="1">_xll.BDH($C$278,"GEO_GROW_TOT_ASSET","FQ4 2014","FQ4 2014","Currency=INR","Period=FQ","BEST_FPERIOD_OVERRIDE=FQ","FILING_STATUS=OR","EQY_CONSOLIDATED=Y","Sort=A","Dates=H","DateFormat=P","Fill=—","Direction=H","UseDPDF=Y")</f>
        <v>#NAME?</v>
      </c>
      <c r="AW282" s="2" t="e">
        <f ca="1">_xll.BDH($C$278,"MODIFIED_WORKING_CPTL_5YR_GRWTH","FQ4 2014","FQ4 2014","Currency=INR","Period=FQ","BEST_FPERIOD_OVERRIDE=FQ","FILING_STATUS=OR","EQY_CONSOLIDATED=Y","Sort=A","Dates=H","DateFormat=P","Fill=—","Direction=H","UseDPDF=Y")</f>
        <v>#NAME?</v>
      </c>
      <c r="AX282" s="2" t="e">
        <f ca="1">_xll.BDH($C$278,"WORKING_CAPITAL_5_YEAR_GROWTH","FQ4 2014","FQ4 2014","Currency=INR","Period=FQ","BEST_FPERIOD_OVERRIDE=FQ","FILING_STATUS=OR","EQY_CONSOLIDATED=Y","Sort=A","Dates=H","DateFormat=P","Fill=—","Direction=H","UseDPDF=Y")</f>
        <v>#NAME?</v>
      </c>
      <c r="AY282" s="2" t="e">
        <f ca="1">_xll.BDH($C$278,"ACCOUNTS_PAYABLE_5_YEAR_GROWTH","FQ4 2014","FQ4 2014","Currency=INR","Period=FQ","BEST_FPERIOD_OVERRIDE=FQ","FILING_STATUS=OR","EQY_CONSOLIDATED=Y","Sort=A","Dates=H","DateFormat=P","Fill=—","Direction=H","UseDPDF=Y")</f>
        <v>#NAME?</v>
      </c>
      <c r="AZ282" s="2" t="e">
        <f ca="1">_xll.BDH($C$278,"SHORT_TERM_DEBT_5_YEAR_GROWTH","FQ4 2014","FQ4 2014","Currency=INR","Period=FQ","BEST_FPERIOD_OVERRIDE=FQ","FILING_STATUS=OR","EQY_CONSOLIDATED=Y","Sort=A","Dates=H","DateFormat=P","Fill=—","Direction=H","UseDPDF=Y")</f>
        <v>#NAME?</v>
      </c>
      <c r="BA282" s="2" t="e">
        <f ca="1">_xll.BDH($C$278,"TOTAL_DEBT_5_YEAR_GROWTH","FQ4 2014","FQ4 2014","Currency=INR","Period=FQ","BEST_FPERIOD_OVERRIDE=FQ","FILING_STATUS=OR","EQY_CONSOLIDATED=Y","Sort=A","Dates=H","DateFormat=P","Fill=—","Direction=H","UseDPDF=Y")</f>
        <v>#NAME?</v>
      </c>
      <c r="BB282" s="2" t="e">
        <f ca="1">_xll.BDH($C$278,"GEO_GROW_TOT_SHRHLDR_EQY","FQ4 2014","FQ4 2014","Currency=INR","Period=FQ","BEST_FPERIOD_OVERRIDE=FQ","FILING_STATUS=OR","EQY_CONSOLIDATED=Y","Sort=A","Dates=H","DateFormat=P","Fill=—","Direction=H","UseDPDF=Y")</f>
        <v>#NAME?</v>
      </c>
      <c r="BC282" s="2" t="e">
        <f ca="1">_xll.BDH($C$278,"TOTAL_CAPITAL_5_YEAR_GROWTH","FQ4 2014","FQ4 2014","Currency=INR","Period=FQ","BEST_FPERIOD_OVERRIDE=FQ","FILING_STATUS=OR","EQY_CONSOLIDATED=Y","Sort=A","Dates=H","DateFormat=P","Fill=—","Direction=H","UseDPDF=Y")</f>
        <v>#NAME?</v>
      </c>
      <c r="BD282" s="2" t="e">
        <f ca="1">_xll.BDH($C$278,"GEO_GROW_BOOK_VAL","FQ4 2014","FQ4 2014","Currency=INR","Period=FQ","BEST_FPERIOD_OVERRIDE=FQ","FILING_STATUS=OR","EQY_CONSOLIDATED=Y","Sort=A","Dates=H","DateFormat=P","Fill=—","Direction=H","UseDPDF=Y")</f>
        <v>#NAME?</v>
      </c>
      <c r="BE282" s="2" t="e">
        <f ca="1">_xll.BDH($C$278,"GEO_GROW_CASH_OPER_ACT","FQ4 2014","FQ4 2014","Currency=INR","Period=FQ","BEST_FPERIOD_OVERRIDE=FQ","FILING_STATUS=OR","EQY_CONSOLIDATED=Y","Sort=A","Dates=H","DateFormat=P","Fill=—","Direction=H","UseDPDF=Y")</f>
        <v>#NAME?</v>
      </c>
      <c r="BF282" s="2" t="e">
        <f ca="1">_xll.BDH($C$278,"REVENUE_SEQUENTIAL_GROWTH","FQ4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282" s="2" t="e">
        <f ca="1">_xll.BDH($C$278,"EBITDA_SEQUENTIAL_GROWTH","FQ4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282" s="2" t="e">
        <f ca="1">_xll.BDH($C$278,"OPERATING_INCOME_SEQ_GROWTH","FQ4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282" s="2" t="e">
        <f ca="1">_xll.BDH($C$278,"NET_INCOME_TO_COMMON_SEQ_GROWTH","FQ4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282" s="2" t="e">
        <f ca="1">_xll.BDH($C$278,"EPS_DILUTED_SEQUENTIAL_GROWTH","FQ4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282" s="2" t="e">
        <f ca="1">_xll.BDH($C$278,"DPS_SEQUENTIAL_GROWTH","FQ4 2014","FQ4 2014","Currency=INR","Period=FQ","BEST_FPERIOD_OVERRIDE=FQ","FILING_STATUS=OR","EQY_CONSOLIDATED=Y","Sort=A","Dates=H","DateFormat=P","Fill=—","Direction=H","UseDPDF=Y")</f>
        <v>#NAME?</v>
      </c>
      <c r="BL282" s="2" t="e">
        <f ca="1">_xll.BDH($C$278,"ACCOUNTS_RECEIVABLE_SEQ_GROWTH","FQ4 2014","FQ4 2014","Currency=INR","Period=FQ","BEST_FPERIOD_OVERRIDE=FQ","FILING_STATUS=OR","EQY_CONSOLIDATED=Y","Sort=A","Dates=H","DateFormat=P","Fill=—","Direction=H","UseDPDF=Y")</f>
        <v>#NAME?</v>
      </c>
      <c r="BM282" s="2" t="e">
        <f ca="1">_xll.BDH($C$278,"INVENTORY_SEQUENTIAL_GROWTH","FQ4 2014","FQ4 2014","Currency=INR","Period=FQ","BEST_FPERIOD_OVERRIDE=FQ","FILING_STATUS=OR","EQY_CONSOLIDATED=Y","Sort=A","Dates=H","DateFormat=P","Fill=—","Direction=H","UseDPDF=Y")</f>
        <v>#NAME?</v>
      </c>
      <c r="BN282" s="2" t="e">
        <f ca="1">_xll.BDH($C$278,"FIXED_ASSETS_SEQUENTIAL_GROWTH","FQ4 2014","FQ4 2014","Currency=INR","Period=FQ","BEST_FPERIOD_OVERRIDE=FQ","FILING_STATUS=OR","EQY_CONSOLIDATED=Y","Sort=A","Dates=H","DateFormat=P","Fill=—","Direction=H","UseDPDF=Y")</f>
        <v>#NAME?</v>
      </c>
      <c r="BO282" s="2" t="e">
        <f ca="1">_xll.BDH($C$278,"TOTAL_ASSETS_SEQUENTIAL_GROWTH","FQ4 2014","FQ4 2014","Currency=INR","Period=FQ","BEST_FPERIOD_OVERRIDE=FQ","FILING_STATUS=OR","EQY_CONSOLIDATED=Y","Sort=A","Dates=H","DateFormat=P","Fill=—","Direction=H","UseDPDF=Y")</f>
        <v>#NAME?</v>
      </c>
      <c r="BP282" s="2" t="e">
        <f ca="1">_xll.BDH($C$278,"MODIFIED_WORKING_CPTL_SEQ_GRWTH","FQ4 2014","FQ4 2014","Currency=INR","Period=FQ","BEST_FPERIOD_OVERRIDE=FQ","FILING_STATUS=OR","EQY_CONSOLIDATED=Y","Sort=A","Dates=H","DateFormat=P","Fill=—","Direction=H","UseDPDF=Y")</f>
        <v>#NAME?</v>
      </c>
      <c r="BQ282" s="2" t="e">
        <f ca="1">_xll.BDH($C$278,"WORKING_CAPITAL_SEQ_GROWTH","FQ4 2014","FQ4 2014","Currency=INR","Period=FQ","BEST_FPERIOD_OVERRIDE=FQ","FILING_STATUS=OR","EQY_CONSOLIDATED=Y","Sort=A","Dates=H","DateFormat=P","Fill=—","Direction=H","UseDPDF=Y")</f>
        <v>#NAME?</v>
      </c>
      <c r="BR282" s="2" t="e">
        <f ca="1">_xll.BDH($C$278,"ACCOUNTS_PAYABLE_SEQ_GROWTH","FQ4 2014","FQ4 2014","Currency=INR","Period=FQ","BEST_FPERIOD_OVERRIDE=FQ","FILING_STATUS=OR","EQY_CONSOLIDATED=Y","Sort=A","Dates=H","DateFormat=P","Fill=—","Direction=H","UseDPDF=Y")</f>
        <v>#NAME?</v>
      </c>
      <c r="BS282" s="2" t="e">
        <f ca="1">_xll.BDH($C$278,"ST_DEBT_SEQUENTIAL_GROWTH","FQ4 2014","FQ4 2014","Currency=INR","Period=FQ","BEST_FPERIOD_OVERRIDE=FQ","FILING_STATUS=OR","EQY_CONSOLIDATED=Y","Sort=A","Dates=H","DateFormat=P","Fill=—","Direction=H","UseDPDF=Y")</f>
        <v>#NAME?</v>
      </c>
      <c r="BT282" s="2" t="e">
        <f ca="1">_xll.BDH($C$278,"TOTAL_DEBT_SEQUENTIAL_GROWTH","FQ4 2014","FQ4 2014","Currency=INR","Period=FQ","BEST_FPERIOD_OVERRIDE=FQ","FILING_STATUS=OR","EQY_CONSOLIDATED=Y","Sort=A","Dates=H","DateFormat=P","Fill=—","Direction=H","UseDPDF=Y")</f>
        <v>#NAME?</v>
      </c>
      <c r="BU282" s="2" t="e">
        <f ca="1">_xll.BDH($C$278,"TOTAL_EQUITY_SEQUENTIAL_GROWTH","FQ4 2014","FQ4 2014","Currency=INR","Period=FQ","BEST_FPERIOD_OVERRIDE=FQ","FILING_STATUS=OR","EQY_CONSOLIDATED=Y","Sort=A","Dates=H","DateFormat=P","Fill=—","Direction=H","UseDPDF=Y")</f>
        <v>#NAME?</v>
      </c>
      <c r="BV282" s="2" t="e">
        <f ca="1">_xll.BDH($C$278,"TOTAL_CAPITAL_SEQUENTIAL_GROWTH","FQ4 2014","FQ4 2014","Currency=INR","Period=FQ","BEST_FPERIOD_OVERRIDE=FQ","FILING_STATUS=OR","EQY_CONSOLIDATED=Y","Sort=A","Dates=H","DateFormat=P","Fill=—","Direction=H","UseDPDF=Y")</f>
        <v>#NAME?</v>
      </c>
      <c r="BW282" s="2" t="e">
        <f ca="1">_xll.BDH($C$278,"BPS_SEQUENTIAL_GROWTH","FQ4 2014","FQ4 2014","Currency=INR","Period=FQ","BEST_FPERIOD_OVERRIDE=FQ","FILING_STATUS=OR","EQY_CONSOLIDATED=Y","Sort=A","Dates=H","DateFormat=P","Fill=—","Direction=H","UseDPDF=Y")</f>
        <v>#NAME?</v>
      </c>
      <c r="BX282" s="2" t="e">
        <f ca="1">_xll.BDH($C$278,"CFO_SEQUENTIAL_GROWTH","FQ4 2014","FQ4 2014","Currency=INR","Period=FQ","BEST_FPERIOD_OVERRIDE=FQ","FILING_STATUS=OR","EQY_CONSOLIDATED=Y","Sort=A","Dates=H","DateFormat=P","Fill=—","Direction=H","UseDPDF=Y")</f>
        <v>#NAME?</v>
      </c>
      <c r="BY282" s="3" t="e">
        <f ca="1">_xll.BDH($C$278,"SHORT_AND_LONG_TERM_DEBT","FQ4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282" s="3" t="e">
        <f ca="1">_xll.BDH($C$278,"BS_ST_BORROW","FQ4 2014","FQ4 2014","Currency=INR","Period=FQ","BEST_FPERIOD_OVERRIDE=FQ","FILING_STATUS=OR","EQY_CONSOLIDATED=Y","SCALING_FORMAT=MLN","Sort=A","Dates=H","DateFormat=P","Fill=—","Direction=H","UseDPDF=Y")</f>
        <v>#NAME?</v>
      </c>
      <c r="CA282" s="3" t="e">
        <f ca="1">_xll.BDH($C$278,"BS_LT_BORROW","FQ4 2014","FQ4 2014","Currency=INR","Period=FQ","BEST_FPERIOD_OVERRIDE=FQ","FILING_STATUS=OR","EQY_CONSOLIDATED=Y","SCALING_FORMAT=MLN","Sort=A","Dates=H","DateFormat=P","Fill=—","Direction=H","UseDPDF=Y")</f>
        <v>#NAME?</v>
      </c>
      <c r="CB282" s="2" t="e">
        <f ca="1">_xll.BDH($C$278,"TOT_DEBT_TO_EBITDA","FQ4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282" s="2" t="e">
        <f ca="1">_xll.BDH($C$278,"NET_DEBT_TO_EBITDA","FQ4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282" s="2" t="e">
        <f ca="1">_xll.BDH($C$278,"TOTAL_DEBT_TO_EBIT","FQ4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282" s="2" t="e">
        <f ca="1">_xll.BDH($C$278,"NET_DEBT_TO_EBIT","FQ4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282" s="2" t="e">
        <f ca="1">_xll.BDH($C$278,"EBITDA_TO_INTEREST_EXPN","FQ4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282" s="2" t="e">
        <f ca="1">_xll.BDH($C$278,"COM_EQY_TO_TOT_ASSET","FQ4 2014","FQ4 2014","Currency=INR","Period=FQ","BEST_FPERIOD_OVERRIDE=FQ","FILING_STATUS=OR","EQY_CONSOLIDATED=Y","Sort=A","Dates=H","DateFormat=P","Fill=—","Direction=H","UseDPDF=Y")</f>
        <v>#NAME?</v>
      </c>
      <c r="CH282" s="2" t="e">
        <f ca="1">_xll.BDH($C$278,"LT_DEBT_TO_TOT_EQY","FQ4 2014","FQ4 2014","Currency=INR","Period=FQ","BEST_FPERIOD_OVERRIDE=FQ","FILING_STATUS=OR","EQY_CONSOLIDATED=Y","Sort=A","Dates=H","DateFormat=P","Fill=—","Direction=H","UseDPDF=Y")</f>
        <v>#NAME?</v>
      </c>
      <c r="CI282" s="2" t="e">
        <f ca="1">_xll.BDH($C$278,"LT_DEBT_TO_TOT_CAP","FQ4 2014","FQ4 2014","Currency=INR","Period=FQ","BEST_FPERIOD_OVERRIDE=FQ","FILING_STATUS=OR","EQY_CONSOLIDATED=Y","Sort=A","Dates=H","DateFormat=P","Fill=—","Direction=H","UseDPDF=Y")</f>
        <v>#NAME?</v>
      </c>
      <c r="CJ282" s="2" t="e">
        <f ca="1">_xll.BDH($C$278,"LT_DEBT_TO_TOT_ASSET","FQ4 2014","FQ4 2014","Currency=INR","Period=FQ","BEST_FPERIOD_OVERRIDE=FQ","FILING_STATUS=OR","EQY_CONSOLIDATED=Y","Sort=A","Dates=H","DateFormat=P","Fill=—","Direction=H","UseDPDF=Y")</f>
        <v>#NAME?</v>
      </c>
      <c r="CK282" s="2" t="e">
        <f ca="1">_xll.BDH($C$278,"TOT_DEBT_TO_TOT_EQY","FQ4 2014","FQ4 2014","Currency=INR","Period=FQ","BEST_FPERIOD_OVERRIDE=FQ","FILING_STATUS=OR","EQY_CONSOLIDATED=Y","Sort=A","Dates=H","DateFormat=P","Fill=—","Direction=H","UseDPDF=Y")</f>
        <v>#NAME?</v>
      </c>
      <c r="CL282" s="2" t="e">
        <f ca="1">_xll.BDH($C$278,"TOT_DEBT_TO_TOT_CAP","FQ4 2014","FQ4 2014","Currency=INR","Period=FQ","BEST_FPERIOD_OVERRIDE=FQ","FILING_STATUS=OR","EQY_CONSOLIDATED=Y","Sort=A","Dates=H","DateFormat=P","Fill=—","Direction=H","UseDPDF=Y")</f>
        <v>#NAME?</v>
      </c>
      <c r="CM282" s="2" t="e">
        <f ca="1">_xll.BDH($C$278,"TOT_DEBT_TO_TOT_ASSET","FQ4 2014","FQ4 2014","Currency=INR","Period=FQ","BEST_FPERIOD_OVERRIDE=FQ","FILING_STATUS=OR","EQY_CONSOLIDATED=Y","Sort=A","Dates=H","DateFormat=P","Fill=—","Direction=H","UseDPDF=Y")</f>
        <v>#NAME?</v>
      </c>
      <c r="CN282" s="2" t="e">
        <f ca="1">_xll.BDH($C$278,"NET_DEBT_TO_SHRHLDR_EQTY","FQ4 2014","FQ4 2014","Currency=INR","Period=FQ","BEST_FPERIOD_OVERRIDE=FQ","FILING_STATUS=OR","EQY_CONSOLIDATED=Y","Sort=A","Dates=H","DateFormat=P","Fill=—","Direction=H","UseDPDF=Y")</f>
        <v>#NAME?</v>
      </c>
      <c r="CO282" s="2" t="e">
        <f ca="1">_xll.BDH($C$278,"NET_DEBT_%_CAPITAL","FQ4 2014","FQ4 2014","Currency=INR","Period=FQ","BEST_FPERIOD_OVERRIDE=FQ","FILING_STATUS=OR","EQY_CONSOLIDATED=Y","Sort=A","Dates=H","DateFormat=P","Fill=—","Direction=H","UseDPDF=Y")</f>
        <v>#NAME?</v>
      </c>
      <c r="CP282" s="3" t="e">
        <f ca="1">_xll.BDH($C$278,"EBITDA","FQ4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282" s="3" t="e">
        <f ca="1">_xll.BDH($C$278,"EBITDA_AFTER_CAPEX","FQ4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282" s="3" t="e">
        <f ca="1">_xll.BDH($C$278,"IS_OPER_INC","FQ4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282" s="2" t="e">
        <f ca="1">_xll.BDH($C$278,"CASH_RATIO","FQ4 2014","FQ4 2014","Currency=INR","Period=FQ","BEST_FPERIOD_OVERRIDE=FQ","FILING_STATUS=OR","EQY_CONSOLIDATED=Y","Sort=A","Dates=H","DateFormat=P","Fill=—","Direction=H","UseDPDF=Y")</f>
        <v>#NAME?</v>
      </c>
      <c r="CT282" s="2" t="e">
        <f ca="1">_xll.BDH($C$278,"CUR_RATIO","FQ4 2014","FQ4 2014","Currency=INR","Period=FQ","BEST_FPERIOD_OVERRIDE=FQ","FILING_STATUS=OR","EQY_CONSOLIDATED=Y","Sort=A","Dates=H","DateFormat=P","Fill=—","Direction=H","UseDPDF=Y")</f>
        <v>#NAME?</v>
      </c>
      <c r="CU282" s="2" t="e">
        <f ca="1">_xll.BDH($C$278,"QUICK_RATIO","FQ4 2014","FQ4 2014","Currency=INR","Period=FQ","BEST_FPERIOD_OVERRIDE=FQ","FILING_STATUS=OR","EQY_CONSOLIDATED=Y","Sort=A","Dates=H","DateFormat=P","Fill=—","Direction=H","UseDPDF=Y")</f>
        <v>#NAME?</v>
      </c>
      <c r="CV282" s="2" t="e">
        <f ca="1">_xll.BDH($C$278,"ALTMAN_Z_SCORE","FQ4 2014","FQ4 2014","Currency=INR","Period=FQ","BEST_FPERIOD_OVERRIDE=FQ","FILING_STATUS=OR","EQY_CONSOLIDATED=Y","Sort=A","Dates=H","DateFormat=P","Fill=—","Direction=H","UseDPDF=Y")</f>
        <v>#NAME?</v>
      </c>
      <c r="CW282" s="4" t="e">
        <f ca="1">_xll.BDH($C$278,"ACCT_RCV_TURN","FQ4 2014","FQ4 2014","Currency=INR","Period=FQ","BEST_FPERIOD_OVERRIDE=FQ","FILING_STATUS=OR","EQY_CONSOLIDATED=Y","FA_ADJUSTED=GAAP","Sort=A","Dates=H","DateFormat=P","Fill=—","Direction=H","UseDPDF=Y")</f>
        <v>#NAME?</v>
      </c>
      <c r="CX282" s="2" t="e">
        <f ca="1">_xll.BDH($C$278,"ACCT_RCV_DAYS","FQ4 2014","FQ4 2014","Currency=INR","Period=FQ","BEST_FPERIOD_OVERRIDE=FQ","FILING_STATUS=OR","EQY_CONSOLIDATED=Y","FA_ADJUSTED=GAAP","Sort=A","Dates=H","DateFormat=P","Fill=—","Direction=H","UseDPDF=Y")</f>
        <v>#NAME?</v>
      </c>
      <c r="CY282" s="4" t="e">
        <f ca="1">_xll.BDH($C$278,"INVENT_TURN","FQ4 2014","FQ4 2014","Currency=INR","Period=FQ","BEST_FPERIOD_OVERRIDE=FQ","FILING_STATUS=OR","EQY_CONSOLIDATED=Y","FA_ADJUSTED=GAAP","Sort=A","Dates=H","DateFormat=P","Fill=—","Direction=H","UseDPDF=Y")</f>
        <v>#NAME?</v>
      </c>
      <c r="CZ282" s="2" t="e">
        <f ca="1">_xll.BDH($C$278,"INVENT_DAYS","FQ4 2014","FQ4 2014","Currency=INR","Period=FQ","BEST_FPERIOD_OVERRIDE=FQ","FILING_STATUS=OR","EQY_CONSOLIDATED=Y","FA_ADJUSTED=GAAP","Sort=A","Dates=H","DateFormat=P","Fill=—","Direction=H","UseDPDF=Y")</f>
        <v>#NAME?</v>
      </c>
      <c r="DA282" s="4" t="e">
        <f ca="1">_xll.BDH($C$278,"ACCOUNTS_PAYABLE_TURNOVER","FQ4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282" s="2" t="e">
        <f ca="1">_xll.BDH($C$278,"ACCOUNTS_PAYABLE_TURNOVER_DAYS","FQ4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282" s="4" t="e">
        <f ca="1">_xll.BDH($C$278,"CASH_CONVERSION_CYCLE","FQ4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282" s="4" t="e">
        <f ca="1">_xll.BDH($C$278,"INV_TO_CASH_DAYS","FQ4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282" s="5" t="e">
        <f ca="1">_xll.BDH($C$278,"BS_INVENTORIES","FQ4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282" s="3" t="e">
        <f ca="1">_xll.BDH($C$278,"INVTRY_RAW_MATERIALS","FQ4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282" s="3" t="e">
        <f ca="1">_xll.BDH($C$278,"INVTRY_IN_PROGRESS","FQ4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282" s="3" t="e">
        <f ca="1">_xll.BDH($C$278,"INVTRY_FINISHED_GOODS","FQ4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282" s="3" t="e">
        <f ca="1">_xll.BDH($C$278,"BS_OTHER_INV","FQ4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283" spans="1:113" x14ac:dyDescent="0.3">
      <c r="A283" s="6"/>
      <c r="B283" s="6"/>
      <c r="C283" s="6"/>
      <c r="D283" s="6" t="s">
        <v>82</v>
      </c>
      <c r="E283" t="s">
        <v>77</v>
      </c>
      <c r="F283" t="e">
        <f ca="1">_xll.BDH($C$278,"RETURN_COM_EQY","FY 2015","FY 2015","Currency=INR","Period=FY","BEST_FPERIOD_OVERRIDE=FY","FILING_STATUS=OR","EQY_CONSOLIDATED=Y","FA_ADJUSTED=GAAP","Sort=A","Dates=H","DateFormat=P","Fill=—","Direction=H","UseDPDF=Y")</f>
        <v>#NAME?</v>
      </c>
      <c r="G283" t="e">
        <f ca="1">_xll.BDH($C$278,"RETURN_ON_ASSET","FY 2015","FY 2015","Currency=INR","Period=FY","BEST_FPERIOD_OVERRIDE=FY","FILING_STATUS=OR","EQY_CONSOLIDATED=Y","FA_ADJUSTED=GAAP","Sort=A","Dates=H","DateFormat=P","Fill=—","Direction=H","UseDPDF=Y")</f>
        <v>#NAME?</v>
      </c>
      <c r="H283" t="e">
        <f ca="1">_xll.BDH($C$278,"RETURN_ON_CAP","FY 2015","FY 2015","Currency=INR","Period=FY","BEST_FPERIOD_OVERRIDE=FY","FILING_STATUS=OR","EQY_CONSOLIDATED=Y","FA_ADJUSTED=GAAP","Sort=A","Dates=H","DateFormat=P","Fill=—","Direction=H","UseDPDF=Y")</f>
        <v>#NAME?</v>
      </c>
      <c r="I283" t="e">
        <f ca="1">_xll.BDH($C$278,"RETURN_ON_INV_CAPITAL","FY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283" t="e">
        <f ca="1">_xll.BDH($C$278,"EBITDA_TO_REVENUE","FY 2015","FY 2015","Currency=INR","Period=FY","BEST_FPERIOD_OVERRIDE=FY","FILING_STATUS=OR","EQY_CONSOLIDATED=Y","FA_ADJUSTED=GAAP","Sort=A","Dates=H","DateFormat=P","Fill=—","Direction=H","UseDPDF=Y")</f>
        <v>#NAME?</v>
      </c>
      <c r="K283" t="e">
        <f ca="1">_xll.BDH($C$278,"OPER_MARGIN","FY 2015","FY 2015","Currency=INR","Period=FY","BEST_FPERIOD_OVERRIDE=FY","FILING_STATUS=OR","EQY_CONSOLIDATED=Y","FA_ADJUSTED=GAAP","Sort=A","Dates=H","DateFormat=P","Fill=—","Direction=H","UseDPDF=Y")</f>
        <v>#NAME?</v>
      </c>
      <c r="L283" t="e">
        <f ca="1">_xll.BDH($C$278,"INCREMENTAL_OPERATING_MARGIN","FY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283" t="e">
        <f ca="1">_xll.BDH($C$278,"PRETAX_INC_TO_NET_SALES","FY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283" t="e">
        <f ca="1">_xll.BDH($C$278,"INC_BEF_XO_ITEMS_TO_NET_SALES","FY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283" t="e">
        <f ca="1">_xll.BDH($C$278,"PROF_MARGIN","FY 2015","FY 2015","Currency=INR","Period=FY","BEST_FPERIOD_OVERRIDE=FY","FILING_STATUS=OR","EQY_CONSOLIDATED=Y","FA_ADJUSTED=GAAP","Sort=A","Dates=H","DateFormat=P","Fill=—","Direction=H","UseDPDF=Y")</f>
        <v>#NAME?</v>
      </c>
      <c r="P283" t="e">
        <f ca="1">_xll.BDH($C$278,"NET_INCOME_TO_COMMON_MARGIN","FY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283" t="e">
        <f ca="1">_xll.BDH($C$278,"EFF_TAX_RATE","FY 2015","FY 2015","Currency=INR","Period=FY","BEST_FPERIOD_OVERRIDE=FY","FILING_STATUS=OR","EQY_CONSOLIDATED=Y","FA_ADJUSTED=GAAP","Sort=A","Dates=H","DateFormat=P","Fill=—","Direction=H","UseDPDF=Y")</f>
        <v>#NAME?</v>
      </c>
      <c r="R283" t="e">
        <f ca="1">_xll.BDH($C$278,"DVD_PAYOUT_RATIO","FY 2015","FY 2015","Currency=INR","Period=FY","BEST_FPERIOD_OVERRIDE=FY","FILING_STATUS=OR","EQY_CONSOLIDATED=Y","FA_ADJUSTED=GAAP","Sort=A","Dates=H","DateFormat=P","Fill=—","Direction=H","UseDPDF=Y")</f>
        <v>#NAME?</v>
      </c>
      <c r="S283" t="e">
        <f ca="1">_xll.BDH($C$278,"SUSTAIN_GROWTH_RT","FY 2015","FY 2015","Currency=INR","Period=FY","BEST_FPERIOD_OVERRIDE=FY","FILING_STATUS=OR","EQY_CONSOLIDATED=Y","FA_ADJUSTED=GAAP","Sort=A","Dates=H","DateFormat=P","Fill=—","Direction=H","UseDPDF=Y")</f>
        <v>#NAME?</v>
      </c>
      <c r="T283" s="2" t="e">
        <f ca="1">_xll.BDH($C$278,"SALES_GROWTH","FY 2015","FY 2015","Currency=INR","Period=FY","BEST_FPERIOD_OVERRIDE=FY","FILING_STATUS=OR","EQY_CONSOLIDATED=Y","FA_ADJUSTED=GAAP","Sort=A","Dates=H","DateFormat=P","Fill=—","Direction=H","UseDPDF=Y")</f>
        <v>#NAME?</v>
      </c>
      <c r="U283" s="2" t="e">
        <f ca="1">_xll.BDH($C$278,"EBITDA_GROWTH","FY 2015","FY 2015","Currency=INR","Period=FY","BEST_FPERIOD_OVERRIDE=FY","FILING_STATUS=OR","EQY_CONSOLIDATED=Y","FA_ADJUSTED=GAAP","Sort=A","Dates=H","DateFormat=P","Fill=—","Direction=H","UseDPDF=Y")</f>
        <v>#NAME?</v>
      </c>
      <c r="V283" s="2" t="e">
        <f ca="1">_xll.BDH($C$278,"OPER_INC_GROWTH","FY 2015","FY 2015","Currency=INR","Period=FY","BEST_FPERIOD_OVERRIDE=FY","FILING_STATUS=OR","EQY_CONSOLIDATED=Y","FA_ADJUSTED=GAAP","Sort=A","Dates=H","DateFormat=P","Fill=—","Direction=H","UseDPDF=Y")</f>
        <v>#NAME?</v>
      </c>
      <c r="W283" s="2" t="e">
        <f ca="1">_xll.BDH($C$278,"EARN_FOR_COM_GROWTH","FY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283" s="2" t="e">
        <f ca="1">_xll.BDH($C$278,"DILUTED_EPS_AFT_XO_ITEMS_GROWTH","FY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283" s="2" t="e">
        <f ca="1">_xll.BDH($C$278,"DIVIDEND_PER_SHARE_1_YEAR_GROWTH","FY 2015","FY 2015","Currency=INR","Period=FY","BEST_FPERIOD_OVERRIDE=FY","FILING_STATUS=OR","EQY_CONSOLIDATED=Y","Sort=A","Dates=H","DateFormat=P","Fill=—","Direction=H","UseDPDF=Y")</f>
        <v>#NAME?</v>
      </c>
      <c r="Z283" s="2" t="e">
        <f ca="1">_xll.BDH($C$278,"ACCOUNTS_RECEIVABLE_GROWTH","FY 2015","FY 2015","Currency=INR","Period=FY","BEST_FPERIOD_OVERRIDE=FY","FILING_STATUS=OR","EQY_CONSOLIDATED=Y","Sort=A","Dates=H","DateFormat=P","Fill=—","Direction=H","UseDPDF=Y")</f>
        <v>#NAME?</v>
      </c>
      <c r="AA283" s="2" t="e">
        <f ca="1">_xll.BDH($C$278,"INVENTORY_GROWTH","FY 2015","FY 2015","Currency=INR","Period=FY","BEST_FPERIOD_OVERRIDE=FY","FILING_STATUS=OR","EQY_CONSOLIDATED=Y","Sort=A","Dates=H","DateFormat=P","Fill=—","Direction=H","UseDPDF=Y")</f>
        <v>#NAME?</v>
      </c>
      <c r="AB283" s="2" t="e">
        <f ca="1">_xll.BDH($C$278,"NET_FIXED_ASSETS_1_YEAR_GROWTH","FY 2015","FY 2015","Currency=INR","Period=FY","BEST_FPERIOD_OVERRIDE=FY","FILING_STATUS=OR","EQY_CONSOLIDATED=Y","Sort=A","Dates=H","DateFormat=P","Fill=—","Direction=H","UseDPDF=Y")</f>
        <v>#NAME?</v>
      </c>
      <c r="AC283" s="2" t="e">
        <f ca="1">_xll.BDH($C$278,"ASSET_GROWTH","FY 2015","FY 2015","Currency=INR","Period=FY","BEST_FPERIOD_OVERRIDE=FY","FILING_STATUS=OR","EQY_CONSOLIDATED=Y","Sort=A","Dates=H","DateFormat=P","Fill=—","Direction=H","UseDPDF=Y")</f>
        <v>#NAME?</v>
      </c>
      <c r="AD283" s="2" t="e">
        <f ca="1">_xll.BDH($C$278,"MODIFIED_WORK_CAP_GROWTH","FY 2015","FY 2015","Currency=INR","Period=FY","BEST_FPERIOD_OVERRIDE=FY","FILING_STATUS=OR","EQY_CONSOLIDATED=Y","Sort=A","Dates=H","DateFormat=P","Fill=—","Direction=H","UseDPDF=Y")</f>
        <v>#NAME?</v>
      </c>
      <c r="AE283" s="2" t="e">
        <f ca="1">_xll.BDH($C$278,"WORK_CAP_GROWTH","FY 2015","FY 2015","Currency=INR","Period=FY","BEST_FPERIOD_OVERRIDE=FY","FILING_STATUS=OR","EQY_CONSOLIDATED=Y","Sort=A","Dates=H","DateFormat=P","Fill=—","Direction=H","UseDPDF=Y")</f>
        <v>#NAME?</v>
      </c>
      <c r="AF283" s="2" t="e">
        <f ca="1">_xll.BDH($C$278,"ACCOUNTS_PAYABLE_GROWTH_1YR","FY 2015","FY 2015","Currency=INR","Period=FY","BEST_FPERIOD_OVERRIDE=FY","FILING_STATUS=OR","EQY_CONSOLIDATED=Y","Sort=A","Dates=H","DateFormat=P","Fill=—","Direction=H","UseDPDF=Y")</f>
        <v>#NAME?</v>
      </c>
      <c r="AG283" s="2" t="e">
        <f ca="1">_xll.BDH($C$278,"SHORT_TERM_DEBT_1_YEAR_GROWTH","FY 2015","FY 2015","Currency=INR","Period=FY","BEST_FPERIOD_OVERRIDE=FY","FILING_STATUS=OR","EQY_CONSOLIDATED=Y","Sort=A","Dates=H","DateFormat=P","Fill=—","Direction=H","UseDPDF=Y")</f>
        <v>#NAME?</v>
      </c>
      <c r="AH283" s="2" t="e">
        <f ca="1">_xll.BDH($C$278,"TOTAL_DEBT_1_YEAR_GROWTH","FY 2015","FY 2015","Currency=INR","Period=FY","BEST_FPERIOD_OVERRIDE=FY","FILING_STATUS=OR","EQY_CONSOLIDATED=Y","Sort=A","Dates=H","DateFormat=P","Fill=—","Direction=H","UseDPDF=Y")</f>
        <v>#NAME?</v>
      </c>
      <c r="AI283" s="2" t="e">
        <f ca="1">_xll.BDH($C$278,"TOTAL_EQUITY_1_YEAR_GROWTH","FY 2015","FY 2015","Currency=INR","Period=FY","BEST_FPERIOD_OVERRIDE=FY","FILING_STATUS=OR","EQY_CONSOLIDATED=Y","Sort=A","Dates=H","DateFormat=P","Fill=—","Direction=H","UseDPDF=Y")</f>
        <v>#NAME?</v>
      </c>
      <c r="AJ283" s="2" t="e">
        <f ca="1">_xll.BDH($C$278,"GROWTH_IN_CAP","FY 2015","FY 2015","Currency=INR","Period=FY","BEST_FPERIOD_OVERRIDE=FY","FILING_STATUS=OR","EQY_CONSOLIDATED=Y","Sort=A","Dates=H","DateFormat=P","Fill=—","Direction=H","UseDPDF=Y")</f>
        <v>#NAME?</v>
      </c>
      <c r="AK283" s="2" t="e">
        <f ca="1">_xll.BDH($C$278,"BVPS_GROWTH","FY 2015","FY 2015","Currency=INR","Period=FY","BEST_FPERIOD_OVERRIDE=FY","FILING_STATUS=OR","EQY_CONSOLIDATED=Y","Sort=A","Dates=H","DateFormat=P","Fill=—","Direction=H","UseDPDF=Y")</f>
        <v>#NAME?</v>
      </c>
      <c r="AL283" s="2" t="e">
        <f ca="1">_xll.BDH($C$278,"CASH_FLOW_GROWTH","FY 2015","FY 2015","Currency=INR","Period=FY","BEST_FPERIOD_OVERRIDE=FY","FILING_STATUS=OR","EQY_CONSOLIDATED=Y","Sort=A","Dates=H","DateFormat=P","Fill=—","Direction=H","UseDPDF=Y")</f>
        <v>#NAME?</v>
      </c>
      <c r="AM283" s="2" t="e">
        <f ca="1">_xll.BDH($C$278,"GEO_GROW_NET_SALES","FY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283" s="2" t="e">
        <f ca="1">_xll.BDH($C$278,"GEO_GROW_EBITDA","FY 2015","FY 2015","Currency=INR","Period=FY","BEST_FPERIOD_OVERRIDE=FY","FILING_STATUS=OR","EQY_CONSOLIDATED=Y","FA_ADJUSTED=GAAP","Sort=A","Dates=H","DateFormat=P","Fill=—","Direction=H","UseDPDF=Y")</f>
        <v>#NAME?</v>
      </c>
      <c r="AO283" s="2" t="e">
        <f ca="1">_xll.BDH($C$278,"GEO_GROW_OPER_INC","FY 2015","FY 2015","Currency=INR","Period=FY","BEST_FPERIOD_OVERRIDE=FY","FILING_STATUS=OR","EQY_CONSOLIDATED=Y","FA_ADJUSTED=GAAP","Sort=A","Dates=H","DateFormat=P","Fill=—","Direction=H","UseDPDF=Y")</f>
        <v>#NAME?</v>
      </c>
      <c r="AP283" s="2" t="e">
        <f ca="1">_xll.BDH($C$278,"NET_INCOME_TO_COMMON_5_YR_GROWTH","FY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283" s="2" t="e">
        <f ca="1">_xll.BDH($C$278,"5Y_GEO_GROWTH_DILUTED_EPS","FY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283" s="2" t="e">
        <f ca="1">_xll.BDH($C$278,"GEO_GROW_DVD_PER_SH","FY 2015","FY 2015","Currency=INR","Period=FY","BEST_FPERIOD_OVERRIDE=FY","FILING_STATUS=OR","EQY_CONSOLIDATED=Y","Sort=A","Dates=H","DateFormat=P","Fill=—","Direction=H","UseDPDF=Y")</f>
        <v>#NAME?</v>
      </c>
      <c r="AS283" s="2" t="e">
        <f ca="1">_xll.BDH($C$278,"ACCOUNTS_RECEIVABLE_5_YR_GROWTH","FY 2015","FY 2015","Currency=INR","Period=FY","BEST_FPERIOD_OVERRIDE=FY","FILING_STATUS=OR","EQY_CONSOLIDATED=Y","Sort=A","Dates=H","DateFormat=P","Fill=—","Direction=H","UseDPDF=Y")</f>
        <v>#NAME?</v>
      </c>
      <c r="AT283" s="2" t="e">
        <f ca="1">_xll.BDH($C$278,"INVENTORY_5_YEAR_GROWTH","FY 2015","FY 2015","Currency=INR","Period=FY","BEST_FPERIOD_OVERRIDE=FY","FILING_STATUS=OR","EQY_CONSOLIDATED=Y","Sort=A","Dates=H","DateFormat=P","Fill=—","Direction=H","UseDPDF=Y")</f>
        <v>#NAME?</v>
      </c>
      <c r="AU283" s="2" t="e">
        <f ca="1">_xll.BDH($C$278,"NET_FIXED_ASSETS_5_YEAR_GROWTH","FY 2015","FY 2015","Currency=INR","Period=FY","BEST_FPERIOD_OVERRIDE=FY","FILING_STATUS=OR","EQY_CONSOLIDATED=Y","Sort=A","Dates=H","DateFormat=P","Fill=—","Direction=H","UseDPDF=Y")</f>
        <v>#NAME?</v>
      </c>
      <c r="AV283" s="2" t="e">
        <f ca="1">_xll.BDH($C$278,"GEO_GROW_TOT_ASSET","FY 2015","FY 2015","Currency=INR","Period=FY","BEST_FPERIOD_OVERRIDE=FY","FILING_STATUS=OR","EQY_CONSOLIDATED=Y","Sort=A","Dates=H","DateFormat=P","Fill=—","Direction=H","UseDPDF=Y")</f>
        <v>#NAME?</v>
      </c>
      <c r="AW283" s="2" t="e">
        <f ca="1">_xll.BDH($C$278,"MODIFIED_WORKING_CPTL_5YR_GRWTH","FY 2015","FY 2015","Currency=INR","Period=FY","BEST_FPERIOD_OVERRIDE=FY","FILING_STATUS=OR","EQY_CONSOLIDATED=Y","Sort=A","Dates=H","DateFormat=P","Fill=—","Direction=H","UseDPDF=Y")</f>
        <v>#NAME?</v>
      </c>
      <c r="AX283" s="2" t="e">
        <f ca="1">_xll.BDH($C$278,"WORKING_CAPITAL_5_YEAR_GROWTH","FY 2015","FY 2015","Currency=INR","Period=FY","BEST_FPERIOD_OVERRIDE=FY","FILING_STATUS=OR","EQY_CONSOLIDATED=Y","Sort=A","Dates=H","DateFormat=P","Fill=—","Direction=H","UseDPDF=Y")</f>
        <v>#NAME?</v>
      </c>
      <c r="AY283" s="2" t="e">
        <f ca="1">_xll.BDH($C$278,"ACCOUNTS_PAYABLE_5_YEAR_GROWTH","FY 2015","FY 2015","Currency=INR","Period=FY","BEST_FPERIOD_OVERRIDE=FY","FILING_STATUS=OR","EQY_CONSOLIDATED=Y","Sort=A","Dates=H","DateFormat=P","Fill=—","Direction=H","UseDPDF=Y")</f>
        <v>#NAME?</v>
      </c>
      <c r="AZ283" s="2" t="e">
        <f ca="1">_xll.BDH($C$278,"SHORT_TERM_DEBT_5_YEAR_GROWTH","FY 2015","FY 2015","Currency=INR","Period=FY","BEST_FPERIOD_OVERRIDE=FY","FILING_STATUS=OR","EQY_CONSOLIDATED=Y","Sort=A","Dates=H","DateFormat=P","Fill=—","Direction=H","UseDPDF=Y")</f>
        <v>#NAME?</v>
      </c>
      <c r="BA283" s="2" t="e">
        <f ca="1">_xll.BDH($C$278,"TOTAL_DEBT_5_YEAR_GROWTH","FY 2015","FY 2015","Currency=INR","Period=FY","BEST_FPERIOD_OVERRIDE=FY","FILING_STATUS=OR","EQY_CONSOLIDATED=Y","Sort=A","Dates=H","DateFormat=P","Fill=—","Direction=H","UseDPDF=Y")</f>
        <v>#NAME?</v>
      </c>
      <c r="BB283" s="2" t="e">
        <f ca="1">_xll.BDH($C$278,"GEO_GROW_TOT_SHRHLDR_EQY","FY 2015","FY 2015","Currency=INR","Period=FY","BEST_FPERIOD_OVERRIDE=FY","FILING_STATUS=OR","EQY_CONSOLIDATED=Y","Sort=A","Dates=H","DateFormat=P","Fill=—","Direction=H","UseDPDF=Y")</f>
        <v>#NAME?</v>
      </c>
      <c r="BC283" s="2" t="e">
        <f ca="1">_xll.BDH($C$278,"TOTAL_CAPITAL_5_YEAR_GROWTH","FY 2015","FY 2015","Currency=INR","Period=FY","BEST_FPERIOD_OVERRIDE=FY","FILING_STATUS=OR","EQY_CONSOLIDATED=Y","Sort=A","Dates=H","DateFormat=P","Fill=—","Direction=H","UseDPDF=Y")</f>
        <v>#NAME?</v>
      </c>
      <c r="BD283" s="2" t="e">
        <f ca="1">_xll.BDH($C$278,"GEO_GROW_BOOK_VAL","FY 2015","FY 2015","Currency=INR","Period=FY","BEST_FPERIOD_OVERRIDE=FY","FILING_STATUS=OR","EQY_CONSOLIDATED=Y","Sort=A","Dates=H","DateFormat=P","Fill=—","Direction=H","UseDPDF=Y")</f>
        <v>#NAME?</v>
      </c>
      <c r="BE283" s="2" t="e">
        <f ca="1">_xll.BDH($C$278,"GEO_GROW_CASH_OPER_ACT","FY 2015","FY 2015","Currency=INR","Period=FY","BEST_FPERIOD_OVERRIDE=FY","FILING_STATUS=OR","EQY_CONSOLIDATED=Y","Sort=A","Dates=H","DateFormat=P","Fill=—","Direction=H","UseDPDF=Y")</f>
        <v>#NAME?</v>
      </c>
      <c r="BF283" s="2" t="e">
        <f ca="1">_xll.BDH($C$278,"REVENUE_SEQUENTIAL_GROWTH","FY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283" s="2" t="e">
        <f ca="1">_xll.BDH($C$278,"EBITDA_SEQUENTIAL_GROWTH","FY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283" s="2" t="e">
        <f ca="1">_xll.BDH($C$278,"OPERATING_INCOME_SEQ_GROWTH","FY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283" s="2" t="e">
        <f ca="1">_xll.BDH($C$278,"NET_INCOME_TO_COMMON_SEQ_GROWTH","FY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283" s="2" t="e">
        <f ca="1">_xll.BDH($C$278,"EPS_DILUTED_SEQUENTIAL_GROWTH","FY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283" s="2" t="e">
        <f ca="1">_xll.BDH($C$278,"DPS_SEQUENTIAL_GROWTH","FY 2015","FY 2015","Currency=INR","Period=FY","BEST_FPERIOD_OVERRIDE=FY","FILING_STATUS=OR","EQY_CONSOLIDATED=Y","Sort=A","Dates=H","DateFormat=P","Fill=—","Direction=H","UseDPDF=Y")</f>
        <v>#NAME?</v>
      </c>
      <c r="BL283" s="2" t="e">
        <f ca="1">_xll.BDH($C$278,"ACCOUNTS_RECEIVABLE_SEQ_GROWTH","FY 2015","FY 2015","Currency=INR","Period=FY","BEST_FPERIOD_OVERRIDE=FY","FILING_STATUS=OR","EQY_CONSOLIDATED=Y","Sort=A","Dates=H","DateFormat=P","Fill=—","Direction=H","UseDPDF=Y")</f>
        <v>#NAME?</v>
      </c>
      <c r="BM283" s="2" t="e">
        <f ca="1">_xll.BDH($C$278,"INVENTORY_SEQUENTIAL_GROWTH","FY 2015","FY 2015","Currency=INR","Period=FY","BEST_FPERIOD_OVERRIDE=FY","FILING_STATUS=OR","EQY_CONSOLIDATED=Y","Sort=A","Dates=H","DateFormat=P","Fill=—","Direction=H","UseDPDF=Y")</f>
        <v>#NAME?</v>
      </c>
      <c r="BN283" s="2" t="e">
        <f ca="1">_xll.BDH($C$278,"FIXED_ASSETS_SEQUENTIAL_GROWTH","FY 2015","FY 2015","Currency=INR","Period=FY","BEST_FPERIOD_OVERRIDE=FY","FILING_STATUS=OR","EQY_CONSOLIDATED=Y","Sort=A","Dates=H","DateFormat=P","Fill=—","Direction=H","UseDPDF=Y")</f>
        <v>#NAME?</v>
      </c>
      <c r="BO283" s="2" t="e">
        <f ca="1">_xll.BDH($C$278,"TOTAL_ASSETS_SEQUENTIAL_GROWTH","FY 2015","FY 2015","Currency=INR","Period=FY","BEST_FPERIOD_OVERRIDE=FY","FILING_STATUS=OR","EQY_CONSOLIDATED=Y","Sort=A","Dates=H","DateFormat=P","Fill=—","Direction=H","UseDPDF=Y")</f>
        <v>#NAME?</v>
      </c>
      <c r="BP283" s="2" t="e">
        <f ca="1">_xll.BDH($C$278,"MODIFIED_WORKING_CPTL_SEQ_GRWTH","FY 2015","FY 2015","Currency=INR","Period=FY","BEST_FPERIOD_OVERRIDE=FY","FILING_STATUS=OR","EQY_CONSOLIDATED=Y","Sort=A","Dates=H","DateFormat=P","Fill=—","Direction=H","UseDPDF=Y")</f>
        <v>#NAME?</v>
      </c>
      <c r="BQ283" s="2" t="e">
        <f ca="1">_xll.BDH($C$278,"WORKING_CAPITAL_SEQ_GROWTH","FY 2015","FY 2015","Currency=INR","Period=FY","BEST_FPERIOD_OVERRIDE=FY","FILING_STATUS=OR","EQY_CONSOLIDATED=Y","Sort=A","Dates=H","DateFormat=P","Fill=—","Direction=H","UseDPDF=Y")</f>
        <v>#NAME?</v>
      </c>
      <c r="BR283" s="2" t="e">
        <f ca="1">_xll.BDH($C$278,"ACCOUNTS_PAYABLE_SEQ_GROWTH","FY 2015","FY 2015","Currency=INR","Period=FY","BEST_FPERIOD_OVERRIDE=FY","FILING_STATUS=OR","EQY_CONSOLIDATED=Y","Sort=A","Dates=H","DateFormat=P","Fill=—","Direction=H","UseDPDF=Y")</f>
        <v>#NAME?</v>
      </c>
      <c r="BS283" s="2" t="e">
        <f ca="1">_xll.BDH($C$278,"ST_DEBT_SEQUENTIAL_GROWTH","FY 2015","FY 2015","Currency=INR","Period=FY","BEST_FPERIOD_OVERRIDE=FY","FILING_STATUS=OR","EQY_CONSOLIDATED=Y","Sort=A","Dates=H","DateFormat=P","Fill=—","Direction=H","UseDPDF=Y")</f>
        <v>#NAME?</v>
      </c>
      <c r="BT283" s="2" t="e">
        <f ca="1">_xll.BDH($C$278,"TOTAL_DEBT_SEQUENTIAL_GROWTH","FY 2015","FY 2015","Currency=INR","Period=FY","BEST_FPERIOD_OVERRIDE=FY","FILING_STATUS=OR","EQY_CONSOLIDATED=Y","Sort=A","Dates=H","DateFormat=P","Fill=—","Direction=H","UseDPDF=Y")</f>
        <v>#NAME?</v>
      </c>
      <c r="BU283" s="2" t="e">
        <f ca="1">_xll.BDH($C$278,"TOTAL_EQUITY_SEQUENTIAL_GROWTH","FY 2015","FY 2015","Currency=INR","Period=FY","BEST_FPERIOD_OVERRIDE=FY","FILING_STATUS=OR","EQY_CONSOLIDATED=Y","Sort=A","Dates=H","DateFormat=P","Fill=—","Direction=H","UseDPDF=Y")</f>
        <v>#NAME?</v>
      </c>
      <c r="BV283" s="2" t="e">
        <f ca="1">_xll.BDH($C$278,"TOTAL_CAPITAL_SEQUENTIAL_GROWTH","FY 2015","FY 2015","Currency=INR","Period=FY","BEST_FPERIOD_OVERRIDE=FY","FILING_STATUS=OR","EQY_CONSOLIDATED=Y","Sort=A","Dates=H","DateFormat=P","Fill=—","Direction=H","UseDPDF=Y")</f>
        <v>#NAME?</v>
      </c>
      <c r="BW283" s="2" t="e">
        <f ca="1">_xll.BDH($C$278,"BPS_SEQUENTIAL_GROWTH","FY 2015","FY 2015","Currency=INR","Period=FY","BEST_FPERIOD_OVERRIDE=FY","FILING_STATUS=OR","EQY_CONSOLIDATED=Y","Sort=A","Dates=H","DateFormat=P","Fill=—","Direction=H","UseDPDF=Y")</f>
        <v>#NAME?</v>
      </c>
      <c r="BX283" s="2" t="e">
        <f ca="1">_xll.BDH($C$278,"CFO_SEQUENTIAL_GROWTH","FY 2015","FY 2015","Currency=INR","Period=FY","BEST_FPERIOD_OVERRIDE=FY","FILING_STATUS=OR","EQY_CONSOLIDATED=Y","Sort=A","Dates=H","DateFormat=P","Fill=—","Direction=H","UseDPDF=Y")</f>
        <v>#NAME?</v>
      </c>
      <c r="BY283" s="3" t="e">
        <f ca="1">_xll.BDH($C$278,"SHORT_AND_LONG_TERM_DEBT","FY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283" s="3" t="e">
        <f ca="1">_xll.BDH($C$278,"BS_ST_BORROW","FY 2015","FY 2015","Currency=INR","Period=FY","BEST_FPERIOD_OVERRIDE=FY","FILING_STATUS=OR","EQY_CONSOLIDATED=Y","SCALING_FORMAT=MLN","Sort=A","Dates=H","DateFormat=P","Fill=—","Direction=H","UseDPDF=Y")</f>
        <v>#NAME?</v>
      </c>
      <c r="CA283" s="3" t="e">
        <f ca="1">_xll.BDH($C$278,"BS_LT_BORROW","FY 2015","FY 2015","Currency=INR","Period=FY","BEST_FPERIOD_OVERRIDE=FY","FILING_STATUS=OR","EQY_CONSOLIDATED=Y","SCALING_FORMAT=MLN","Sort=A","Dates=H","DateFormat=P","Fill=—","Direction=H","UseDPDF=Y")</f>
        <v>#NAME?</v>
      </c>
      <c r="CB283" s="2" t="e">
        <f ca="1">_xll.BDH($C$278,"TOT_DEBT_TO_EBITDA","FY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283" s="2" t="e">
        <f ca="1">_xll.BDH($C$278,"NET_DEBT_TO_EBITDA","FY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283" s="2" t="e">
        <f ca="1">_xll.BDH($C$278,"TOTAL_DEBT_TO_EBIT","FY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283" s="2" t="e">
        <f ca="1">_xll.BDH($C$278,"NET_DEBT_TO_EBIT","FY 2015","FY 2015","Currency=INR","Period=FY","BEST_FPERIOD_OVERRIDE=FY","FILING_STATUS=OR","EQY_CONSOLIDATED=Y","FA_ADJUSTED=GAAP","Sort=A","Dates=H","DateFormat=P","Fill=—","Direction=H","UseDPDF=Y")</f>
        <v>#NAME?</v>
      </c>
      <c r="CF283" s="2" t="e">
        <f ca="1">_xll.BDH($C$278,"EBITDA_TO_INTEREST_EXPN","FY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283" s="2" t="e">
        <f ca="1">_xll.BDH($C$278,"COM_EQY_TO_TOT_ASSET","FY 2015","FY 2015","Currency=INR","Period=FY","BEST_FPERIOD_OVERRIDE=FY","FILING_STATUS=OR","EQY_CONSOLIDATED=Y","Sort=A","Dates=H","DateFormat=P","Fill=—","Direction=H","UseDPDF=Y")</f>
        <v>#NAME?</v>
      </c>
      <c r="CH283" s="2" t="e">
        <f ca="1">_xll.BDH($C$278,"LT_DEBT_TO_TOT_EQY","FY 2015","FY 2015","Currency=INR","Period=FY","BEST_FPERIOD_OVERRIDE=FY","FILING_STATUS=OR","EQY_CONSOLIDATED=Y","Sort=A","Dates=H","DateFormat=P","Fill=—","Direction=H","UseDPDF=Y")</f>
        <v>#NAME?</v>
      </c>
      <c r="CI283" s="2" t="e">
        <f ca="1">_xll.BDH($C$278,"LT_DEBT_TO_TOT_CAP","FY 2015","FY 2015","Currency=INR","Period=FY","BEST_FPERIOD_OVERRIDE=FY","FILING_STATUS=OR","EQY_CONSOLIDATED=Y","Sort=A","Dates=H","DateFormat=P","Fill=—","Direction=H","UseDPDF=Y")</f>
        <v>#NAME?</v>
      </c>
      <c r="CJ283" s="2" t="e">
        <f ca="1">_xll.BDH($C$278,"LT_DEBT_TO_TOT_ASSET","FY 2015","FY 2015","Currency=INR","Period=FY","BEST_FPERIOD_OVERRIDE=FY","FILING_STATUS=OR","EQY_CONSOLIDATED=Y","Sort=A","Dates=H","DateFormat=P","Fill=—","Direction=H","UseDPDF=Y")</f>
        <v>#NAME?</v>
      </c>
      <c r="CK283" s="2" t="e">
        <f ca="1">_xll.BDH($C$278,"TOT_DEBT_TO_TOT_EQY","FY 2015","FY 2015","Currency=INR","Period=FY","BEST_FPERIOD_OVERRIDE=FY","FILING_STATUS=OR","EQY_CONSOLIDATED=Y","Sort=A","Dates=H","DateFormat=P","Fill=—","Direction=H","UseDPDF=Y")</f>
        <v>#NAME?</v>
      </c>
      <c r="CL283" s="2" t="e">
        <f ca="1">_xll.BDH($C$278,"TOT_DEBT_TO_TOT_CAP","FY 2015","FY 2015","Currency=INR","Period=FY","BEST_FPERIOD_OVERRIDE=FY","FILING_STATUS=OR","EQY_CONSOLIDATED=Y","Sort=A","Dates=H","DateFormat=P","Fill=—","Direction=H","UseDPDF=Y")</f>
        <v>#NAME?</v>
      </c>
      <c r="CM283" s="2" t="e">
        <f ca="1">_xll.BDH($C$278,"TOT_DEBT_TO_TOT_ASSET","FY 2015","FY 2015","Currency=INR","Period=FY","BEST_FPERIOD_OVERRIDE=FY","FILING_STATUS=OR","EQY_CONSOLIDATED=Y","Sort=A","Dates=H","DateFormat=P","Fill=—","Direction=H","UseDPDF=Y")</f>
        <v>#NAME?</v>
      </c>
      <c r="CN283" s="2" t="e">
        <f ca="1">_xll.BDH($C$278,"NET_DEBT_TO_SHRHLDR_EQTY","FY 2015","FY 2015","Currency=INR","Period=FY","BEST_FPERIOD_OVERRIDE=FY","FILING_STATUS=OR","EQY_CONSOLIDATED=Y","Sort=A","Dates=H","DateFormat=P","Fill=—","Direction=H","UseDPDF=Y")</f>
        <v>#NAME?</v>
      </c>
      <c r="CO283" s="2" t="e">
        <f ca="1">_xll.BDH($C$278,"NET_DEBT_%_CAPITAL","FY 2015","FY 2015","Currency=INR","Period=FY","BEST_FPERIOD_OVERRIDE=FY","FILING_STATUS=OR","EQY_CONSOLIDATED=Y","Sort=A","Dates=H","DateFormat=P","Fill=—","Direction=H","UseDPDF=Y")</f>
        <v>#NAME?</v>
      </c>
      <c r="CP283" s="3" t="e">
        <f ca="1">_xll.BDH($C$278,"EBITDA","FY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283" s="3" t="e">
        <f ca="1">_xll.BDH($C$278,"EBITDA_AFTER_CAPEX","FY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283" s="3" t="e">
        <f ca="1">_xll.BDH($C$278,"IS_OPER_INC","FY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283" s="2" t="e">
        <f ca="1">_xll.BDH($C$278,"CASH_RATIO","FY 2015","FY 2015","Currency=INR","Period=FY","BEST_FPERIOD_OVERRIDE=FY","FILING_STATUS=OR","EQY_CONSOLIDATED=Y","Sort=A","Dates=H","DateFormat=P","Fill=—","Direction=H","UseDPDF=Y")</f>
        <v>#NAME?</v>
      </c>
      <c r="CT283" s="2" t="e">
        <f ca="1">_xll.BDH($C$278,"CUR_RATIO","FY 2015","FY 2015","Currency=INR","Period=FY","BEST_FPERIOD_OVERRIDE=FY","FILING_STATUS=OR","EQY_CONSOLIDATED=Y","Sort=A","Dates=H","DateFormat=P","Fill=—","Direction=H","UseDPDF=Y")</f>
        <v>#NAME?</v>
      </c>
      <c r="CU283" s="2" t="e">
        <f ca="1">_xll.BDH($C$278,"QUICK_RATIO","FY 2015","FY 2015","Currency=INR","Period=FY","BEST_FPERIOD_OVERRIDE=FY","FILING_STATUS=OR","EQY_CONSOLIDATED=Y","Sort=A","Dates=H","DateFormat=P","Fill=—","Direction=H","UseDPDF=Y")</f>
        <v>#NAME?</v>
      </c>
      <c r="CV283" s="2" t="e">
        <f ca="1">_xll.BDH($C$278,"ALTMAN_Z_SCORE","FY 2015","FY 2015","Currency=INR","Period=FY","BEST_FPERIOD_OVERRIDE=FY","FILING_STATUS=OR","EQY_CONSOLIDATED=Y","Sort=A","Dates=H","DateFormat=P","Fill=—","Direction=H","UseDPDF=Y")</f>
        <v>#NAME?</v>
      </c>
      <c r="CW283" s="4" t="e">
        <f ca="1">_xll.BDH($C$278,"ACCT_RCV_TURN","FY 2015","FY 2015","Currency=INR","Period=FY","BEST_FPERIOD_OVERRIDE=FY","FILING_STATUS=OR","EQY_CONSOLIDATED=Y","FA_ADJUSTED=GAAP","Sort=A","Dates=H","DateFormat=P","Fill=—","Direction=H","UseDPDF=Y")</f>
        <v>#NAME?</v>
      </c>
      <c r="CX283" s="2" t="e">
        <f ca="1">_xll.BDH($C$278,"ACCT_RCV_DAYS","FY 2015","FY 2015","Currency=INR","Period=FY","BEST_FPERIOD_OVERRIDE=FY","FILING_STATUS=OR","EQY_CONSOLIDATED=Y","FA_ADJUSTED=GAAP","Sort=A","Dates=H","DateFormat=P","Fill=—","Direction=H","UseDPDF=Y")</f>
        <v>#NAME?</v>
      </c>
      <c r="CY283" s="4" t="e">
        <f ca="1">_xll.BDH($C$278,"INVENT_TURN","FY 2015","FY 2015","Currency=INR","Period=FY","BEST_FPERIOD_OVERRIDE=FY","FILING_STATUS=OR","EQY_CONSOLIDATED=Y","FA_ADJUSTED=GAAP","Sort=A","Dates=H","DateFormat=P","Fill=—","Direction=H","UseDPDF=Y")</f>
        <v>#NAME?</v>
      </c>
      <c r="CZ283" s="2" t="e">
        <f ca="1">_xll.BDH($C$278,"INVENT_DAYS","FY 2015","FY 2015","Currency=INR","Period=FY","BEST_FPERIOD_OVERRIDE=FY","FILING_STATUS=OR","EQY_CONSOLIDATED=Y","FA_ADJUSTED=GAAP","Sort=A","Dates=H","DateFormat=P","Fill=—","Direction=H","UseDPDF=Y")</f>
        <v>#NAME?</v>
      </c>
      <c r="DA283" s="4" t="e">
        <f ca="1">_xll.BDH($C$278,"ACCOUNTS_PAYABLE_TURNOVER","FY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283" s="2" t="e">
        <f ca="1">_xll.BDH($C$278,"ACCOUNTS_PAYABLE_TURNOVER_DAYS","FY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283" s="4" t="e">
        <f ca="1">_xll.BDH($C$278,"CASH_CONVERSION_CYCLE","FY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283" s="4" t="e">
        <f ca="1">_xll.BDH($C$278,"INV_TO_CASH_DAYS","FY 2015","FY 2015","Currency=INR","Period=FY","BEST_FPERIOD_OVERRIDE=FY","FILING_STATUS=OR","EQY_CONSOLIDATED=Y","FA_ADJUSTED=GAAP","Sort=A","Dates=H","DateFormat=P","Fill=—","Direction=H","UseDPDF=Y")</f>
        <v>#NAME?</v>
      </c>
      <c r="DE283" s="5" t="e">
        <f ca="1">_xll.BDH($C$278,"BS_INVENTORIES","FY 2015","FY 2015","Currency=INR","Period=FY","BEST_FPERIOD_OVERRIDE=FY","FILING_STATUS=OR","EQY_CONSOLIDATED=Y","SCALING_FORMAT=MLN","Sort=A","Dates=H","DateFormat=P","Fill=—","Direction=H","UseDPDF=Y")</f>
        <v>#NAME?</v>
      </c>
      <c r="DF283" s="3" t="e">
        <f ca="1">_xll.BDH($C$278,"INVTRY_RAW_MATERIALS","FY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283" s="3" t="e">
        <f ca="1">_xll.BDH($C$278,"INVTRY_IN_PROGRESS","FY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283" s="3" t="e">
        <f ca="1">_xll.BDH($C$278,"INVTRY_FINISHED_GOODS","FY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283" s="3" t="e">
        <f ca="1">_xll.BDH($C$278,"BS_OTHER_INV","FY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284" spans="1:113" x14ac:dyDescent="0.3">
      <c r="A284" s="6"/>
      <c r="B284" s="6"/>
      <c r="C284" s="6"/>
      <c r="D284" s="6"/>
      <c r="E284" t="s">
        <v>78</v>
      </c>
      <c r="F284" t="e">
        <f ca="1">_xll.BDH($C$278,"RETURN_COM_EQY","FQ1 2015","FQ1 2015","Currency=INR","Period=FQ","BEST_FPERIOD_OVERRIDE=FQ","FILING_STATUS=OR","EQY_CONSOLIDATED=Y","FA_ADJUSTED=GAAP","Sort=A","Dates=H","DateFormat=P","Fill=—","Direction=H","UseDPDF=Y")</f>
        <v>#NAME?</v>
      </c>
      <c r="G284" t="e">
        <f ca="1">_xll.BDH($C$278,"RETURN_ON_ASSET","FQ1 2015","FQ1 2015","Currency=INR","Period=FQ","BEST_FPERIOD_OVERRIDE=FQ","FILING_STATUS=OR","EQY_CONSOLIDATED=Y","FA_ADJUSTED=GAAP","Sort=A","Dates=H","DateFormat=P","Fill=—","Direction=H","UseDPDF=Y")</f>
        <v>#NAME?</v>
      </c>
      <c r="H284" t="e">
        <f ca="1">_xll.BDH($C$278,"RETURN_ON_CAP","FQ1 2015","FQ1 2015","Currency=INR","Period=FQ","BEST_FPERIOD_OVERRIDE=FQ","FILING_STATUS=OR","EQY_CONSOLIDATED=Y","FA_ADJUSTED=GAAP","Sort=A","Dates=H","DateFormat=P","Fill=—","Direction=H","UseDPDF=Y")</f>
        <v>#NAME?</v>
      </c>
      <c r="I284" t="e">
        <f ca="1">_xll.BDH($C$278,"RETURN_ON_INV_CAPITAL","FQ1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284" t="e">
        <f ca="1">_xll.BDH($C$278,"EBITDA_TO_REVENUE","FQ1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284" t="e">
        <f ca="1">_xll.BDH($C$278,"OPER_MARGIN","FQ1 2015","FQ1 2015","Currency=INR","Period=FQ","BEST_FPERIOD_OVERRIDE=FQ","FILING_STATUS=OR","EQY_CONSOLIDATED=Y","FA_ADJUSTED=GAAP","Sort=A","Dates=H","DateFormat=P","Fill=—","Direction=H","UseDPDF=Y")</f>
        <v>#NAME?</v>
      </c>
      <c r="L284" t="e">
        <f ca="1">_xll.BDH($C$278,"INCREMENTAL_OPERATING_MARGIN","FQ1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284" t="e">
        <f ca="1">_xll.BDH($C$278,"PRETAX_INC_TO_NET_SALES","FQ1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284" t="e">
        <f ca="1">_xll.BDH($C$278,"INC_BEF_XO_ITEMS_TO_NET_SALES","FQ1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284" t="e">
        <f ca="1">_xll.BDH($C$278,"PROF_MARGIN","FQ1 2015","FQ1 2015","Currency=INR","Period=FQ","BEST_FPERIOD_OVERRIDE=FQ","FILING_STATUS=OR","EQY_CONSOLIDATED=Y","FA_ADJUSTED=GAAP","Sort=A","Dates=H","DateFormat=P","Fill=—","Direction=H","UseDPDF=Y")</f>
        <v>#NAME?</v>
      </c>
      <c r="P284" t="e">
        <f ca="1">_xll.BDH($C$278,"NET_INCOME_TO_COMMON_MARGIN","FQ1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284" t="e">
        <f ca="1">_xll.BDH($C$278,"EFF_TAX_RATE","FQ1 2015","FQ1 2015","Currency=INR","Period=FQ","BEST_FPERIOD_OVERRIDE=FQ","FILING_STATUS=OR","EQY_CONSOLIDATED=Y","FA_ADJUSTED=GAAP","Sort=A","Dates=H","DateFormat=P","Fill=—","Direction=H","UseDPDF=Y")</f>
        <v>#NAME?</v>
      </c>
      <c r="R284" t="e">
        <f ca="1">_xll.BDH($C$278,"DVD_PAYOUT_RATIO","FQ1 2015","FQ1 2015","Currency=INR","Period=FQ","BEST_FPERIOD_OVERRIDE=FQ","FILING_STATUS=OR","EQY_CONSOLIDATED=Y","FA_ADJUSTED=GAAP","Sort=A","Dates=H","DateFormat=P","Fill=—","Direction=H","UseDPDF=Y")</f>
        <v>#NAME?</v>
      </c>
      <c r="S284" t="e">
        <f ca="1">_xll.BDH($C$278,"SUSTAIN_GROWTH_RT","FQ1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284" s="2" t="e">
        <f ca="1">_xll.BDH($C$278,"SALES_GROWTH","FQ1 2015","FQ1 2015","Currency=INR","Period=FQ","BEST_FPERIOD_OVERRIDE=FQ","FILING_STATUS=OR","EQY_CONSOLIDATED=Y","FA_ADJUSTED=GAAP","Sort=A","Dates=H","DateFormat=P","Fill=—","Direction=H","UseDPDF=Y")</f>
        <v>#NAME?</v>
      </c>
      <c r="U284" s="2" t="e">
        <f ca="1">_xll.BDH($C$278,"EBITDA_GROWTH","FQ1 2015","FQ1 2015","Currency=INR","Period=FQ","BEST_FPERIOD_OVERRIDE=FQ","FILING_STATUS=OR","EQY_CONSOLIDATED=Y","FA_ADJUSTED=GAAP","Sort=A","Dates=H","DateFormat=P","Fill=—","Direction=H","UseDPDF=Y")</f>
        <v>#NAME?</v>
      </c>
      <c r="V284" s="2" t="e">
        <f ca="1">_xll.BDH($C$278,"OPER_INC_GROWTH","FQ1 2015","FQ1 2015","Currency=INR","Period=FQ","BEST_FPERIOD_OVERRIDE=FQ","FILING_STATUS=OR","EQY_CONSOLIDATED=Y","FA_ADJUSTED=GAAP","Sort=A","Dates=H","DateFormat=P","Fill=—","Direction=H","UseDPDF=Y")</f>
        <v>#NAME?</v>
      </c>
      <c r="W284" s="2" t="e">
        <f ca="1">_xll.BDH($C$278,"EARN_FOR_COM_GROWTH","FQ1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284" s="2" t="e">
        <f ca="1">_xll.BDH($C$278,"DILUTED_EPS_AFT_XO_ITEMS_GROWTH","FQ1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284" s="2" t="e">
        <f ca="1">_xll.BDH($C$278,"DIVIDEND_PER_SHARE_1_YEAR_GROWTH","FQ1 2015","FQ1 2015","Currency=INR","Period=FQ","BEST_FPERIOD_OVERRIDE=FQ","FILING_STATUS=OR","EQY_CONSOLIDATED=Y","Sort=A","Dates=H","DateFormat=P","Fill=—","Direction=H","UseDPDF=Y")</f>
        <v>#NAME?</v>
      </c>
      <c r="Z284" s="2" t="e">
        <f ca="1">_xll.BDH($C$278,"ACCOUNTS_RECEIVABLE_GROWTH","FQ1 2015","FQ1 2015","Currency=INR","Period=FQ","BEST_FPERIOD_OVERRIDE=FQ","FILING_STATUS=OR","EQY_CONSOLIDATED=Y","Sort=A","Dates=H","DateFormat=P","Fill=—","Direction=H","UseDPDF=Y")</f>
        <v>#NAME?</v>
      </c>
      <c r="AA284" s="2" t="e">
        <f ca="1">_xll.BDH($C$278,"INVENTORY_GROWTH","FQ1 2015","FQ1 2015","Currency=INR","Period=FQ","BEST_FPERIOD_OVERRIDE=FQ","FILING_STATUS=OR","EQY_CONSOLIDATED=Y","Sort=A","Dates=H","DateFormat=P","Fill=—","Direction=H","UseDPDF=Y")</f>
        <v>#NAME?</v>
      </c>
      <c r="AB284" s="2" t="e">
        <f ca="1">_xll.BDH($C$278,"NET_FIXED_ASSETS_1_YEAR_GROWTH","FQ1 2015","FQ1 2015","Currency=INR","Period=FQ","BEST_FPERIOD_OVERRIDE=FQ","FILING_STATUS=OR","EQY_CONSOLIDATED=Y","Sort=A","Dates=H","DateFormat=P","Fill=—","Direction=H","UseDPDF=Y")</f>
        <v>#NAME?</v>
      </c>
      <c r="AC284" s="2" t="e">
        <f ca="1">_xll.BDH($C$278,"ASSET_GROWTH","FQ1 2015","FQ1 2015","Currency=INR","Period=FQ","BEST_FPERIOD_OVERRIDE=FQ","FILING_STATUS=OR","EQY_CONSOLIDATED=Y","Sort=A","Dates=H","DateFormat=P","Fill=—","Direction=H","UseDPDF=Y")</f>
        <v>#NAME?</v>
      </c>
      <c r="AD284" s="2" t="e">
        <f ca="1">_xll.BDH($C$278,"MODIFIED_WORK_CAP_GROWTH","FQ1 2015","FQ1 2015","Currency=INR","Period=FQ","BEST_FPERIOD_OVERRIDE=FQ","FILING_STATUS=OR","EQY_CONSOLIDATED=Y","Sort=A","Dates=H","DateFormat=P","Fill=—","Direction=H","UseDPDF=Y")</f>
        <v>#NAME?</v>
      </c>
      <c r="AE284" s="2" t="e">
        <f ca="1">_xll.BDH($C$278,"WORK_CAP_GROWTH","FQ1 2015","FQ1 2015","Currency=INR","Period=FQ","BEST_FPERIOD_OVERRIDE=FQ","FILING_STATUS=OR","EQY_CONSOLIDATED=Y","Sort=A","Dates=H","DateFormat=P","Fill=—","Direction=H","UseDPDF=Y")</f>
        <v>#NAME?</v>
      </c>
      <c r="AF284" s="2" t="e">
        <f ca="1">_xll.BDH($C$278,"ACCOUNTS_PAYABLE_GROWTH_1YR","FQ1 2015","FQ1 2015","Currency=INR","Period=FQ","BEST_FPERIOD_OVERRIDE=FQ","FILING_STATUS=OR","EQY_CONSOLIDATED=Y","Sort=A","Dates=H","DateFormat=P","Fill=—","Direction=H","UseDPDF=Y")</f>
        <v>#NAME?</v>
      </c>
      <c r="AG284" s="2" t="e">
        <f ca="1">_xll.BDH($C$278,"SHORT_TERM_DEBT_1_YEAR_GROWTH","FQ1 2015","FQ1 2015","Currency=INR","Period=FQ","BEST_FPERIOD_OVERRIDE=FQ","FILING_STATUS=OR","EQY_CONSOLIDATED=Y","Sort=A","Dates=H","DateFormat=P","Fill=—","Direction=H","UseDPDF=Y")</f>
        <v>#NAME?</v>
      </c>
      <c r="AH284" s="2" t="e">
        <f ca="1">_xll.BDH($C$278,"TOTAL_DEBT_1_YEAR_GROWTH","FQ1 2015","FQ1 2015","Currency=INR","Period=FQ","BEST_FPERIOD_OVERRIDE=FQ","FILING_STATUS=OR","EQY_CONSOLIDATED=Y","Sort=A","Dates=H","DateFormat=P","Fill=—","Direction=H","UseDPDF=Y")</f>
        <v>#NAME?</v>
      </c>
      <c r="AI284" s="2" t="e">
        <f ca="1">_xll.BDH($C$278,"TOTAL_EQUITY_1_YEAR_GROWTH","FQ1 2015","FQ1 2015","Currency=INR","Period=FQ","BEST_FPERIOD_OVERRIDE=FQ","FILING_STATUS=OR","EQY_CONSOLIDATED=Y","Sort=A","Dates=H","DateFormat=P","Fill=—","Direction=H","UseDPDF=Y")</f>
        <v>#NAME?</v>
      </c>
      <c r="AJ284" s="2" t="e">
        <f ca="1">_xll.BDH($C$278,"GROWTH_IN_CAP","FQ1 2015","FQ1 2015","Currency=INR","Period=FQ","BEST_FPERIOD_OVERRIDE=FQ","FILING_STATUS=OR","EQY_CONSOLIDATED=Y","Sort=A","Dates=H","DateFormat=P","Fill=—","Direction=H","UseDPDF=Y")</f>
        <v>#NAME?</v>
      </c>
      <c r="AK284" s="2" t="e">
        <f ca="1">_xll.BDH($C$278,"BVPS_GROWTH","FQ1 2015","FQ1 2015","Currency=INR","Period=FQ","BEST_FPERIOD_OVERRIDE=FQ","FILING_STATUS=OR","EQY_CONSOLIDATED=Y","Sort=A","Dates=H","DateFormat=P","Fill=—","Direction=H","UseDPDF=Y")</f>
        <v>#NAME?</v>
      </c>
      <c r="AL284" s="2" t="e">
        <f ca="1">_xll.BDH($C$278,"CASH_FLOW_GROWTH","FQ1 2015","FQ1 2015","Currency=INR","Period=FQ","BEST_FPERIOD_OVERRIDE=FQ","FILING_STATUS=OR","EQY_CONSOLIDATED=Y","Sort=A","Dates=H","DateFormat=P","Fill=—","Direction=H","UseDPDF=Y")</f>
        <v>#NAME?</v>
      </c>
      <c r="AM284" s="2" t="e">
        <f ca="1">_xll.BDH($C$278,"GEO_GROW_NET_SALES","FQ1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284" s="2" t="e">
        <f ca="1">_xll.BDH($C$278,"GEO_GROW_EBITDA","FQ1 2015","FQ1 2015","Currency=INR","Period=FQ","BEST_FPERIOD_OVERRIDE=FQ","FILING_STATUS=OR","EQY_CONSOLIDATED=Y","FA_ADJUSTED=GAAP","Sort=A","Dates=H","DateFormat=P","Fill=—","Direction=H","UseDPDF=Y")</f>
        <v>#NAME?</v>
      </c>
      <c r="AO284" s="2" t="e">
        <f ca="1">_xll.BDH($C$278,"GEO_GROW_OPER_INC","FQ1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284" s="2" t="e">
        <f ca="1">_xll.BDH($C$278,"NET_INCOME_TO_COMMON_5_YR_GROWTH","FQ1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284" s="2" t="e">
        <f ca="1">_xll.BDH($C$278,"5Y_GEO_GROWTH_DILUTED_EPS","FQ1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284" s="2" t="e">
        <f ca="1">_xll.BDH($C$278,"GEO_GROW_DVD_PER_SH","FQ1 2015","FQ1 2015","Currency=INR","Period=FQ","BEST_FPERIOD_OVERRIDE=FQ","FILING_STATUS=OR","EQY_CONSOLIDATED=Y","Sort=A","Dates=H","DateFormat=P","Fill=—","Direction=H","UseDPDF=Y")</f>
        <v>#NAME?</v>
      </c>
      <c r="AS284" s="2" t="e">
        <f ca="1">_xll.BDH($C$278,"ACCOUNTS_RECEIVABLE_5_YR_GROWTH","FQ1 2015","FQ1 2015","Currency=INR","Period=FQ","BEST_FPERIOD_OVERRIDE=FQ","FILING_STATUS=OR","EQY_CONSOLIDATED=Y","Sort=A","Dates=H","DateFormat=P","Fill=—","Direction=H","UseDPDF=Y")</f>
        <v>#NAME?</v>
      </c>
      <c r="AT284" s="2" t="e">
        <f ca="1">_xll.BDH($C$278,"INVENTORY_5_YEAR_GROWTH","FQ1 2015","FQ1 2015","Currency=INR","Period=FQ","BEST_FPERIOD_OVERRIDE=FQ","FILING_STATUS=OR","EQY_CONSOLIDATED=Y","Sort=A","Dates=H","DateFormat=P","Fill=—","Direction=H","UseDPDF=Y")</f>
        <v>#NAME?</v>
      </c>
      <c r="AU284" s="2" t="e">
        <f ca="1">_xll.BDH($C$278,"NET_FIXED_ASSETS_5_YEAR_GROWTH","FQ1 2015","FQ1 2015","Currency=INR","Period=FQ","BEST_FPERIOD_OVERRIDE=FQ","FILING_STATUS=OR","EQY_CONSOLIDATED=Y","Sort=A","Dates=H","DateFormat=P","Fill=—","Direction=H","UseDPDF=Y")</f>
        <v>#NAME?</v>
      </c>
      <c r="AV284" s="2" t="e">
        <f ca="1">_xll.BDH($C$278,"GEO_GROW_TOT_ASSET","FQ1 2015","FQ1 2015","Currency=INR","Period=FQ","BEST_FPERIOD_OVERRIDE=FQ","FILING_STATUS=OR","EQY_CONSOLIDATED=Y","Sort=A","Dates=H","DateFormat=P","Fill=—","Direction=H","UseDPDF=Y")</f>
        <v>#NAME?</v>
      </c>
      <c r="AW284" s="2" t="e">
        <f ca="1">_xll.BDH($C$278,"MODIFIED_WORKING_CPTL_5YR_GRWTH","FQ1 2015","FQ1 2015","Currency=INR","Period=FQ","BEST_FPERIOD_OVERRIDE=FQ","FILING_STATUS=OR","EQY_CONSOLIDATED=Y","Sort=A","Dates=H","DateFormat=P","Fill=—","Direction=H","UseDPDF=Y")</f>
        <v>#NAME?</v>
      </c>
      <c r="AX284" s="2" t="e">
        <f ca="1">_xll.BDH($C$278,"WORKING_CAPITAL_5_YEAR_GROWTH","FQ1 2015","FQ1 2015","Currency=INR","Period=FQ","BEST_FPERIOD_OVERRIDE=FQ","FILING_STATUS=OR","EQY_CONSOLIDATED=Y","Sort=A","Dates=H","DateFormat=P","Fill=—","Direction=H","UseDPDF=Y")</f>
        <v>#NAME?</v>
      </c>
      <c r="AY284" s="2" t="e">
        <f ca="1">_xll.BDH($C$278,"ACCOUNTS_PAYABLE_5_YEAR_GROWTH","FQ1 2015","FQ1 2015","Currency=INR","Period=FQ","BEST_FPERIOD_OVERRIDE=FQ","FILING_STATUS=OR","EQY_CONSOLIDATED=Y","Sort=A","Dates=H","DateFormat=P","Fill=—","Direction=H","UseDPDF=Y")</f>
        <v>#NAME?</v>
      </c>
      <c r="AZ284" s="2" t="e">
        <f ca="1">_xll.BDH($C$278,"SHORT_TERM_DEBT_5_YEAR_GROWTH","FQ1 2015","FQ1 2015","Currency=INR","Period=FQ","BEST_FPERIOD_OVERRIDE=FQ","FILING_STATUS=OR","EQY_CONSOLIDATED=Y","Sort=A","Dates=H","DateFormat=P","Fill=—","Direction=H","UseDPDF=Y")</f>
        <v>#NAME?</v>
      </c>
      <c r="BA284" s="2" t="e">
        <f ca="1">_xll.BDH($C$278,"TOTAL_DEBT_5_YEAR_GROWTH","FQ1 2015","FQ1 2015","Currency=INR","Period=FQ","BEST_FPERIOD_OVERRIDE=FQ","FILING_STATUS=OR","EQY_CONSOLIDATED=Y","Sort=A","Dates=H","DateFormat=P","Fill=—","Direction=H","UseDPDF=Y")</f>
        <v>#NAME?</v>
      </c>
      <c r="BB284" s="2" t="e">
        <f ca="1">_xll.BDH($C$278,"GEO_GROW_TOT_SHRHLDR_EQY","FQ1 2015","FQ1 2015","Currency=INR","Period=FQ","BEST_FPERIOD_OVERRIDE=FQ","FILING_STATUS=OR","EQY_CONSOLIDATED=Y","Sort=A","Dates=H","DateFormat=P","Fill=—","Direction=H","UseDPDF=Y")</f>
        <v>#NAME?</v>
      </c>
      <c r="BC284" s="2" t="e">
        <f ca="1">_xll.BDH($C$278,"TOTAL_CAPITAL_5_YEAR_GROWTH","FQ1 2015","FQ1 2015","Currency=INR","Period=FQ","BEST_FPERIOD_OVERRIDE=FQ","FILING_STATUS=OR","EQY_CONSOLIDATED=Y","Sort=A","Dates=H","DateFormat=P","Fill=—","Direction=H","UseDPDF=Y")</f>
        <v>#NAME?</v>
      </c>
      <c r="BD284" s="2" t="e">
        <f ca="1">_xll.BDH($C$278,"GEO_GROW_BOOK_VAL","FQ1 2015","FQ1 2015","Currency=INR","Period=FQ","BEST_FPERIOD_OVERRIDE=FQ","FILING_STATUS=OR","EQY_CONSOLIDATED=Y","Sort=A","Dates=H","DateFormat=P","Fill=—","Direction=H","UseDPDF=Y")</f>
        <v>#NAME?</v>
      </c>
      <c r="BE284" s="2" t="e">
        <f ca="1">_xll.BDH($C$278,"GEO_GROW_CASH_OPER_ACT","FQ1 2015","FQ1 2015","Currency=INR","Period=FQ","BEST_FPERIOD_OVERRIDE=FQ","FILING_STATUS=OR","EQY_CONSOLIDATED=Y","Sort=A","Dates=H","DateFormat=P","Fill=—","Direction=H","UseDPDF=Y")</f>
        <v>#NAME?</v>
      </c>
      <c r="BF284" s="2" t="e">
        <f ca="1">_xll.BDH($C$278,"REVENUE_SEQUENTIAL_GROWTH","FQ1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284" s="2" t="e">
        <f ca="1">_xll.BDH($C$278,"EBITDA_SEQUENTIAL_GROWTH","FQ1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284" s="2" t="e">
        <f ca="1">_xll.BDH($C$278,"OPERATING_INCOME_SEQ_GROWTH","FQ1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284" s="2" t="e">
        <f ca="1">_xll.BDH($C$278,"NET_INCOME_TO_COMMON_SEQ_GROWTH","FQ1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284" s="2" t="e">
        <f ca="1">_xll.BDH($C$278,"EPS_DILUTED_SEQUENTIAL_GROWTH","FQ1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284" s="2" t="e">
        <f ca="1">_xll.BDH($C$278,"DPS_SEQUENTIAL_GROWTH","FQ1 2015","FQ1 2015","Currency=INR","Period=FQ","BEST_FPERIOD_OVERRIDE=FQ","FILING_STATUS=OR","EQY_CONSOLIDATED=Y","Sort=A","Dates=H","DateFormat=P","Fill=—","Direction=H","UseDPDF=Y")</f>
        <v>#NAME?</v>
      </c>
      <c r="BL284" s="2" t="e">
        <f ca="1">_xll.BDH($C$278,"ACCOUNTS_RECEIVABLE_SEQ_GROWTH","FQ1 2015","FQ1 2015","Currency=INR","Period=FQ","BEST_FPERIOD_OVERRIDE=FQ","FILING_STATUS=OR","EQY_CONSOLIDATED=Y","Sort=A","Dates=H","DateFormat=P","Fill=—","Direction=H","UseDPDF=Y")</f>
        <v>#NAME?</v>
      </c>
      <c r="BM284" s="2" t="e">
        <f ca="1">_xll.BDH($C$278,"INVENTORY_SEQUENTIAL_GROWTH","FQ1 2015","FQ1 2015","Currency=INR","Period=FQ","BEST_FPERIOD_OVERRIDE=FQ","FILING_STATUS=OR","EQY_CONSOLIDATED=Y","Sort=A","Dates=H","DateFormat=P","Fill=—","Direction=H","UseDPDF=Y")</f>
        <v>#NAME?</v>
      </c>
      <c r="BN284" s="2" t="e">
        <f ca="1">_xll.BDH($C$278,"FIXED_ASSETS_SEQUENTIAL_GROWTH","FQ1 2015","FQ1 2015","Currency=INR","Period=FQ","BEST_FPERIOD_OVERRIDE=FQ","FILING_STATUS=OR","EQY_CONSOLIDATED=Y","Sort=A","Dates=H","DateFormat=P","Fill=—","Direction=H","UseDPDF=Y")</f>
        <v>#NAME?</v>
      </c>
      <c r="BO284" s="2" t="e">
        <f ca="1">_xll.BDH($C$278,"TOTAL_ASSETS_SEQUENTIAL_GROWTH","FQ1 2015","FQ1 2015","Currency=INR","Period=FQ","BEST_FPERIOD_OVERRIDE=FQ","FILING_STATUS=OR","EQY_CONSOLIDATED=Y","Sort=A","Dates=H","DateFormat=P","Fill=—","Direction=H","UseDPDF=Y")</f>
        <v>#NAME?</v>
      </c>
      <c r="BP284" s="2" t="e">
        <f ca="1">_xll.BDH($C$278,"MODIFIED_WORKING_CPTL_SEQ_GRWTH","FQ1 2015","FQ1 2015","Currency=INR","Period=FQ","BEST_FPERIOD_OVERRIDE=FQ","FILING_STATUS=OR","EQY_CONSOLIDATED=Y","Sort=A","Dates=H","DateFormat=P","Fill=—","Direction=H","UseDPDF=Y")</f>
        <v>#NAME?</v>
      </c>
      <c r="BQ284" s="2" t="e">
        <f ca="1">_xll.BDH($C$278,"WORKING_CAPITAL_SEQ_GROWTH","FQ1 2015","FQ1 2015","Currency=INR","Period=FQ","BEST_FPERIOD_OVERRIDE=FQ","FILING_STATUS=OR","EQY_CONSOLIDATED=Y","Sort=A","Dates=H","DateFormat=P","Fill=—","Direction=H","UseDPDF=Y")</f>
        <v>#NAME?</v>
      </c>
      <c r="BR284" s="2" t="e">
        <f ca="1">_xll.BDH($C$278,"ACCOUNTS_PAYABLE_SEQ_GROWTH","FQ1 2015","FQ1 2015","Currency=INR","Period=FQ","BEST_FPERIOD_OVERRIDE=FQ","FILING_STATUS=OR","EQY_CONSOLIDATED=Y","Sort=A","Dates=H","DateFormat=P","Fill=—","Direction=H","UseDPDF=Y")</f>
        <v>#NAME?</v>
      </c>
      <c r="BS284" s="2" t="e">
        <f ca="1">_xll.BDH($C$278,"ST_DEBT_SEQUENTIAL_GROWTH","FQ1 2015","FQ1 2015","Currency=INR","Period=FQ","BEST_FPERIOD_OVERRIDE=FQ","FILING_STATUS=OR","EQY_CONSOLIDATED=Y","Sort=A","Dates=H","DateFormat=P","Fill=—","Direction=H","UseDPDF=Y")</f>
        <v>#NAME?</v>
      </c>
      <c r="BT284" s="2" t="e">
        <f ca="1">_xll.BDH($C$278,"TOTAL_DEBT_SEQUENTIAL_GROWTH","FQ1 2015","FQ1 2015","Currency=INR","Period=FQ","BEST_FPERIOD_OVERRIDE=FQ","FILING_STATUS=OR","EQY_CONSOLIDATED=Y","Sort=A","Dates=H","DateFormat=P","Fill=—","Direction=H","UseDPDF=Y")</f>
        <v>#NAME?</v>
      </c>
      <c r="BU284" s="2" t="e">
        <f ca="1">_xll.BDH($C$278,"TOTAL_EQUITY_SEQUENTIAL_GROWTH","FQ1 2015","FQ1 2015","Currency=INR","Period=FQ","BEST_FPERIOD_OVERRIDE=FQ","FILING_STATUS=OR","EQY_CONSOLIDATED=Y","Sort=A","Dates=H","DateFormat=P","Fill=—","Direction=H","UseDPDF=Y")</f>
        <v>#NAME?</v>
      </c>
      <c r="BV284" s="2" t="e">
        <f ca="1">_xll.BDH($C$278,"TOTAL_CAPITAL_SEQUENTIAL_GROWTH","FQ1 2015","FQ1 2015","Currency=INR","Period=FQ","BEST_FPERIOD_OVERRIDE=FQ","FILING_STATUS=OR","EQY_CONSOLIDATED=Y","Sort=A","Dates=H","DateFormat=P","Fill=—","Direction=H","UseDPDF=Y")</f>
        <v>#NAME?</v>
      </c>
      <c r="BW284" s="2" t="e">
        <f ca="1">_xll.BDH($C$278,"BPS_SEQUENTIAL_GROWTH","FQ1 2015","FQ1 2015","Currency=INR","Period=FQ","BEST_FPERIOD_OVERRIDE=FQ","FILING_STATUS=OR","EQY_CONSOLIDATED=Y","Sort=A","Dates=H","DateFormat=P","Fill=—","Direction=H","UseDPDF=Y")</f>
        <v>#NAME?</v>
      </c>
      <c r="BX284" s="2" t="e">
        <f ca="1">_xll.BDH($C$278,"CFO_SEQUENTIAL_GROWTH","FQ1 2015","FQ1 2015","Currency=INR","Period=FQ","BEST_FPERIOD_OVERRIDE=FQ","FILING_STATUS=OR","EQY_CONSOLIDATED=Y","Sort=A","Dates=H","DateFormat=P","Fill=—","Direction=H","UseDPDF=Y")</f>
        <v>#NAME?</v>
      </c>
      <c r="BY284" s="3" t="e">
        <f ca="1">_xll.BDH($C$278,"SHORT_AND_LONG_TERM_DEBT","FQ1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284" s="3" t="e">
        <f ca="1">_xll.BDH($C$278,"BS_ST_BORROW","FQ1 2015","FQ1 2015","Currency=INR","Period=FQ","BEST_FPERIOD_OVERRIDE=FQ","FILING_STATUS=OR","EQY_CONSOLIDATED=Y","SCALING_FORMAT=MLN","Sort=A","Dates=H","DateFormat=P","Fill=—","Direction=H","UseDPDF=Y")</f>
        <v>#NAME?</v>
      </c>
      <c r="CA284" s="3" t="e">
        <f ca="1">_xll.BDH($C$278,"BS_LT_BORROW","FQ1 2015","FQ1 2015","Currency=INR","Period=FQ","BEST_FPERIOD_OVERRIDE=FQ","FILING_STATUS=OR","EQY_CONSOLIDATED=Y","SCALING_FORMAT=MLN","Sort=A","Dates=H","DateFormat=P","Fill=—","Direction=H","UseDPDF=Y")</f>
        <v>#NAME?</v>
      </c>
      <c r="CB284" s="2" t="e">
        <f ca="1">_xll.BDH($C$278,"TOT_DEBT_TO_EBITDA","FQ1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284" s="2" t="e">
        <f ca="1">_xll.BDH($C$278,"NET_DEBT_TO_EBITDA","FQ1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284" s="2" t="e">
        <f ca="1">_xll.BDH($C$278,"TOTAL_DEBT_TO_EBIT","FQ1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284" s="2" t="e">
        <f ca="1">_xll.BDH($C$278,"NET_DEBT_TO_EBIT","FQ1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284" s="2" t="e">
        <f ca="1">_xll.BDH($C$278,"EBITDA_TO_INTEREST_EXPN","FQ1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284" s="2" t="e">
        <f ca="1">_xll.BDH($C$278,"COM_EQY_TO_TOT_ASSET","FQ1 2015","FQ1 2015","Currency=INR","Period=FQ","BEST_FPERIOD_OVERRIDE=FQ","FILING_STATUS=OR","EQY_CONSOLIDATED=Y","Sort=A","Dates=H","DateFormat=P","Fill=—","Direction=H","UseDPDF=Y")</f>
        <v>#NAME?</v>
      </c>
      <c r="CH284" s="2" t="e">
        <f ca="1">_xll.BDH($C$278,"LT_DEBT_TO_TOT_EQY","FQ1 2015","FQ1 2015","Currency=INR","Period=FQ","BEST_FPERIOD_OVERRIDE=FQ","FILING_STATUS=OR","EQY_CONSOLIDATED=Y","Sort=A","Dates=H","DateFormat=P","Fill=—","Direction=H","UseDPDF=Y")</f>
        <v>#NAME?</v>
      </c>
      <c r="CI284" s="2" t="e">
        <f ca="1">_xll.BDH($C$278,"LT_DEBT_TO_TOT_CAP","FQ1 2015","FQ1 2015","Currency=INR","Period=FQ","BEST_FPERIOD_OVERRIDE=FQ","FILING_STATUS=OR","EQY_CONSOLIDATED=Y","Sort=A","Dates=H","DateFormat=P","Fill=—","Direction=H","UseDPDF=Y")</f>
        <v>#NAME?</v>
      </c>
      <c r="CJ284" s="2" t="e">
        <f ca="1">_xll.BDH($C$278,"LT_DEBT_TO_TOT_ASSET","FQ1 2015","FQ1 2015","Currency=INR","Period=FQ","BEST_FPERIOD_OVERRIDE=FQ","FILING_STATUS=OR","EQY_CONSOLIDATED=Y","Sort=A","Dates=H","DateFormat=P","Fill=—","Direction=H","UseDPDF=Y")</f>
        <v>#NAME?</v>
      </c>
      <c r="CK284" s="2" t="e">
        <f ca="1">_xll.BDH($C$278,"TOT_DEBT_TO_TOT_EQY","FQ1 2015","FQ1 2015","Currency=INR","Period=FQ","BEST_FPERIOD_OVERRIDE=FQ","FILING_STATUS=OR","EQY_CONSOLIDATED=Y","Sort=A","Dates=H","DateFormat=P","Fill=—","Direction=H","UseDPDF=Y")</f>
        <v>#NAME?</v>
      </c>
      <c r="CL284" s="2" t="e">
        <f ca="1">_xll.BDH($C$278,"TOT_DEBT_TO_TOT_CAP","FQ1 2015","FQ1 2015","Currency=INR","Period=FQ","BEST_FPERIOD_OVERRIDE=FQ","FILING_STATUS=OR","EQY_CONSOLIDATED=Y","Sort=A","Dates=H","DateFormat=P","Fill=—","Direction=H","UseDPDF=Y")</f>
        <v>#NAME?</v>
      </c>
      <c r="CM284" s="2" t="e">
        <f ca="1">_xll.BDH($C$278,"TOT_DEBT_TO_TOT_ASSET","FQ1 2015","FQ1 2015","Currency=INR","Period=FQ","BEST_FPERIOD_OVERRIDE=FQ","FILING_STATUS=OR","EQY_CONSOLIDATED=Y","Sort=A","Dates=H","DateFormat=P","Fill=—","Direction=H","UseDPDF=Y")</f>
        <v>#NAME?</v>
      </c>
      <c r="CN284" s="2" t="e">
        <f ca="1">_xll.BDH($C$278,"NET_DEBT_TO_SHRHLDR_EQTY","FQ1 2015","FQ1 2015","Currency=INR","Period=FQ","BEST_FPERIOD_OVERRIDE=FQ","FILING_STATUS=OR","EQY_CONSOLIDATED=Y","Sort=A","Dates=H","DateFormat=P","Fill=—","Direction=H","UseDPDF=Y")</f>
        <v>#NAME?</v>
      </c>
      <c r="CO284" s="2" t="e">
        <f ca="1">_xll.BDH($C$278,"NET_DEBT_%_CAPITAL","FQ1 2015","FQ1 2015","Currency=INR","Period=FQ","BEST_FPERIOD_OVERRIDE=FQ","FILING_STATUS=OR","EQY_CONSOLIDATED=Y","Sort=A","Dates=H","DateFormat=P","Fill=—","Direction=H","UseDPDF=Y")</f>
        <v>#NAME?</v>
      </c>
      <c r="CP284" s="3" t="e">
        <f ca="1">_xll.BDH($C$278,"EBITDA","FQ1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284" s="3" t="e">
        <f ca="1">_xll.BDH($C$278,"EBITDA_AFTER_CAPEX","FQ1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284" s="3" t="e">
        <f ca="1">_xll.BDH($C$278,"IS_OPER_INC","FQ1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284" s="2" t="e">
        <f ca="1">_xll.BDH($C$278,"CASH_RATIO","FQ1 2015","FQ1 2015","Currency=INR","Period=FQ","BEST_FPERIOD_OVERRIDE=FQ","FILING_STATUS=OR","EQY_CONSOLIDATED=Y","Sort=A","Dates=H","DateFormat=P","Fill=—","Direction=H","UseDPDF=Y")</f>
        <v>#NAME?</v>
      </c>
      <c r="CT284" s="2" t="e">
        <f ca="1">_xll.BDH($C$278,"CUR_RATIO","FQ1 2015","FQ1 2015","Currency=INR","Period=FQ","BEST_FPERIOD_OVERRIDE=FQ","FILING_STATUS=OR","EQY_CONSOLIDATED=Y","Sort=A","Dates=H","DateFormat=P","Fill=—","Direction=H","UseDPDF=Y")</f>
        <v>#NAME?</v>
      </c>
      <c r="CU284" s="2" t="e">
        <f ca="1">_xll.BDH($C$278,"QUICK_RATIO","FQ1 2015","FQ1 2015","Currency=INR","Period=FQ","BEST_FPERIOD_OVERRIDE=FQ","FILING_STATUS=OR","EQY_CONSOLIDATED=Y","Sort=A","Dates=H","DateFormat=P","Fill=—","Direction=H","UseDPDF=Y")</f>
        <v>#NAME?</v>
      </c>
      <c r="CV284" s="2" t="e">
        <f ca="1">_xll.BDH($C$278,"ALTMAN_Z_SCORE","FQ1 2015","FQ1 2015","Currency=INR","Period=FQ","BEST_FPERIOD_OVERRIDE=FQ","FILING_STATUS=OR","EQY_CONSOLIDATED=Y","Sort=A","Dates=H","DateFormat=P","Fill=—","Direction=H","UseDPDF=Y")</f>
        <v>#NAME?</v>
      </c>
      <c r="CW284" s="4" t="e">
        <f ca="1">_xll.BDH($C$278,"ACCT_RCV_TURN","FQ1 2015","FQ1 2015","Currency=INR","Period=FQ","BEST_FPERIOD_OVERRIDE=FQ","FILING_STATUS=OR","EQY_CONSOLIDATED=Y","FA_ADJUSTED=GAAP","Sort=A","Dates=H","DateFormat=P","Fill=—","Direction=H","UseDPDF=Y")</f>
        <v>#NAME?</v>
      </c>
      <c r="CX284" s="2" t="e">
        <f ca="1">_xll.BDH($C$278,"ACCT_RCV_DAYS","FQ1 2015","FQ1 2015","Currency=INR","Period=FQ","BEST_FPERIOD_OVERRIDE=FQ","FILING_STATUS=OR","EQY_CONSOLIDATED=Y","FA_ADJUSTED=GAAP","Sort=A","Dates=H","DateFormat=P","Fill=—","Direction=H","UseDPDF=Y")</f>
        <v>#NAME?</v>
      </c>
      <c r="CY284" s="4" t="e">
        <f ca="1">_xll.BDH($C$278,"INVENT_TURN","FQ1 2015","FQ1 2015","Currency=INR","Period=FQ","BEST_FPERIOD_OVERRIDE=FQ","FILING_STATUS=OR","EQY_CONSOLIDATED=Y","FA_ADJUSTED=GAAP","Sort=A","Dates=H","DateFormat=P","Fill=—","Direction=H","UseDPDF=Y")</f>
        <v>#NAME?</v>
      </c>
      <c r="CZ284" s="2" t="e">
        <f ca="1">_xll.BDH($C$278,"INVENT_DAYS","FQ1 2015","FQ1 2015","Currency=INR","Period=FQ","BEST_FPERIOD_OVERRIDE=FQ","FILING_STATUS=OR","EQY_CONSOLIDATED=Y","FA_ADJUSTED=GAAP","Sort=A","Dates=H","DateFormat=P","Fill=—","Direction=H","UseDPDF=Y")</f>
        <v>#NAME?</v>
      </c>
      <c r="DA284" s="4" t="e">
        <f ca="1">_xll.BDH($C$278,"ACCOUNTS_PAYABLE_TURNOVER","FQ1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284" s="2" t="e">
        <f ca="1">_xll.BDH($C$278,"ACCOUNTS_PAYABLE_TURNOVER_DAYS","FQ1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284" s="4" t="e">
        <f ca="1">_xll.BDH($C$278,"CASH_CONVERSION_CYCLE","FQ1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284" s="4" t="e">
        <f ca="1">_xll.BDH($C$278,"INV_TO_CASH_DAYS","FQ1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284" s="5" t="e">
        <f ca="1">_xll.BDH($C$278,"BS_INVENTORIES","FQ1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284" s="3" t="e">
        <f ca="1">_xll.BDH($C$278,"INVTRY_RAW_MATERIALS","FQ1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284" s="3" t="e">
        <f ca="1">_xll.BDH($C$278,"INVTRY_IN_PROGRESS","FQ1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284" s="3" t="e">
        <f ca="1">_xll.BDH($C$278,"INVTRY_FINISHED_GOODS","FQ1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284" s="3" t="e">
        <f ca="1">_xll.BDH($C$278,"BS_OTHER_INV","FQ1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285" spans="1:113" x14ac:dyDescent="0.3">
      <c r="A285" s="6"/>
      <c r="B285" s="6"/>
      <c r="C285" s="6"/>
      <c r="D285" s="6"/>
      <c r="E285" t="s">
        <v>79</v>
      </c>
      <c r="F285" t="e">
        <f ca="1">_xll.BDH($C$278,"RETURN_COM_EQY","FQ2 2015","FQ2 2015","Currency=INR","Period=FQ","BEST_FPERIOD_OVERRIDE=FQ","FILING_STATUS=OR","EQY_CONSOLIDATED=Y","FA_ADJUSTED=GAAP","Sort=A","Dates=H","DateFormat=P","Fill=—","Direction=H","UseDPDF=Y")</f>
        <v>#NAME?</v>
      </c>
      <c r="G285" t="e">
        <f ca="1">_xll.BDH($C$278,"RETURN_ON_ASSET","FQ2 2015","FQ2 2015","Currency=INR","Period=FQ","BEST_FPERIOD_OVERRIDE=FQ","FILING_STATUS=OR","EQY_CONSOLIDATED=Y","FA_ADJUSTED=GAAP","Sort=A","Dates=H","DateFormat=P","Fill=—","Direction=H","UseDPDF=Y")</f>
        <v>#NAME?</v>
      </c>
      <c r="H285" t="e">
        <f ca="1">_xll.BDH($C$278,"RETURN_ON_CAP","FQ2 2015","FQ2 2015","Currency=INR","Period=FQ","BEST_FPERIOD_OVERRIDE=FQ","FILING_STATUS=OR","EQY_CONSOLIDATED=Y","FA_ADJUSTED=GAAP","Sort=A","Dates=H","DateFormat=P","Fill=—","Direction=H","UseDPDF=Y")</f>
        <v>#NAME?</v>
      </c>
      <c r="I285" t="e">
        <f ca="1">_xll.BDH($C$278,"RETURN_ON_INV_CAPITAL","FQ2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285" t="e">
        <f ca="1">_xll.BDH($C$278,"EBITDA_TO_REVENUE","FQ2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285" t="e">
        <f ca="1">_xll.BDH($C$278,"OPER_MARGIN","FQ2 2015","FQ2 2015","Currency=INR","Period=FQ","BEST_FPERIOD_OVERRIDE=FQ","FILING_STATUS=OR","EQY_CONSOLIDATED=Y","FA_ADJUSTED=GAAP","Sort=A","Dates=H","DateFormat=P","Fill=—","Direction=H","UseDPDF=Y")</f>
        <v>#NAME?</v>
      </c>
      <c r="L285" t="e">
        <f ca="1">_xll.BDH($C$278,"INCREMENTAL_OPERATING_MARGIN","FQ2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285" t="e">
        <f ca="1">_xll.BDH($C$278,"PRETAX_INC_TO_NET_SALES","FQ2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285" t="e">
        <f ca="1">_xll.BDH($C$278,"INC_BEF_XO_ITEMS_TO_NET_SALES","FQ2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285" t="e">
        <f ca="1">_xll.BDH($C$278,"PROF_MARGIN","FQ2 2015","FQ2 2015","Currency=INR","Period=FQ","BEST_FPERIOD_OVERRIDE=FQ","FILING_STATUS=OR","EQY_CONSOLIDATED=Y","FA_ADJUSTED=GAAP","Sort=A","Dates=H","DateFormat=P","Fill=—","Direction=H","UseDPDF=Y")</f>
        <v>#NAME?</v>
      </c>
      <c r="P285" t="e">
        <f ca="1">_xll.BDH($C$278,"NET_INCOME_TO_COMMON_MARGIN","FQ2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285" t="e">
        <f ca="1">_xll.BDH($C$278,"EFF_TAX_RATE","FQ2 2015","FQ2 2015","Currency=INR","Period=FQ","BEST_FPERIOD_OVERRIDE=FQ","FILING_STATUS=OR","EQY_CONSOLIDATED=Y","FA_ADJUSTED=GAAP","Sort=A","Dates=H","DateFormat=P","Fill=—","Direction=H","UseDPDF=Y")</f>
        <v>#NAME?</v>
      </c>
      <c r="R285" t="e">
        <f ca="1">_xll.BDH($C$278,"DVD_PAYOUT_RATIO","FQ2 2015","FQ2 2015","Currency=INR","Period=FQ","BEST_FPERIOD_OVERRIDE=FQ","FILING_STATUS=OR","EQY_CONSOLIDATED=Y","FA_ADJUSTED=GAAP","Sort=A","Dates=H","DateFormat=P","Fill=—","Direction=H","UseDPDF=Y")</f>
        <v>#NAME?</v>
      </c>
      <c r="S285" t="e">
        <f ca="1">_xll.BDH($C$278,"SUSTAIN_GROWTH_RT","FQ2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285" s="2" t="e">
        <f ca="1">_xll.BDH($C$278,"SALES_GROWTH","FQ2 2015","FQ2 2015","Currency=INR","Period=FQ","BEST_FPERIOD_OVERRIDE=FQ","FILING_STATUS=OR","EQY_CONSOLIDATED=Y","FA_ADJUSTED=GAAP","Sort=A","Dates=H","DateFormat=P","Fill=—","Direction=H","UseDPDF=Y")</f>
        <v>#NAME?</v>
      </c>
      <c r="U285" s="2" t="e">
        <f ca="1">_xll.BDH($C$278,"EBITDA_GROWTH","FQ2 2015","FQ2 2015","Currency=INR","Period=FQ","BEST_FPERIOD_OVERRIDE=FQ","FILING_STATUS=OR","EQY_CONSOLIDATED=Y","FA_ADJUSTED=GAAP","Sort=A","Dates=H","DateFormat=P","Fill=—","Direction=H","UseDPDF=Y")</f>
        <v>#NAME?</v>
      </c>
      <c r="V285" s="2" t="e">
        <f ca="1">_xll.BDH($C$278,"OPER_INC_GROWTH","FQ2 2015","FQ2 2015","Currency=INR","Period=FQ","BEST_FPERIOD_OVERRIDE=FQ","FILING_STATUS=OR","EQY_CONSOLIDATED=Y","FA_ADJUSTED=GAAP","Sort=A","Dates=H","DateFormat=P","Fill=—","Direction=H","UseDPDF=Y")</f>
        <v>#NAME?</v>
      </c>
      <c r="W285" s="2" t="e">
        <f ca="1">_xll.BDH($C$278,"EARN_FOR_COM_GROWTH","FQ2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285" s="2" t="e">
        <f ca="1">_xll.BDH($C$278,"DILUTED_EPS_AFT_XO_ITEMS_GROWTH","FQ2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285" s="2" t="e">
        <f ca="1">_xll.BDH($C$278,"DIVIDEND_PER_SHARE_1_YEAR_GROWTH","FQ2 2015","FQ2 2015","Currency=INR","Period=FQ","BEST_FPERIOD_OVERRIDE=FQ","FILING_STATUS=OR","EQY_CONSOLIDATED=Y","Sort=A","Dates=H","DateFormat=P","Fill=—","Direction=H","UseDPDF=Y")</f>
        <v>#NAME?</v>
      </c>
      <c r="Z285" s="2" t="e">
        <f ca="1">_xll.BDH($C$278,"ACCOUNTS_RECEIVABLE_GROWTH","FQ2 2015","FQ2 2015","Currency=INR","Period=FQ","BEST_FPERIOD_OVERRIDE=FQ","FILING_STATUS=OR","EQY_CONSOLIDATED=Y","Sort=A","Dates=H","DateFormat=P","Fill=—","Direction=H","UseDPDF=Y")</f>
        <v>#NAME?</v>
      </c>
      <c r="AA285" s="2" t="e">
        <f ca="1">_xll.BDH($C$278,"INVENTORY_GROWTH","FQ2 2015","FQ2 2015","Currency=INR","Period=FQ","BEST_FPERIOD_OVERRIDE=FQ","FILING_STATUS=OR","EQY_CONSOLIDATED=Y","Sort=A","Dates=H","DateFormat=P","Fill=—","Direction=H","UseDPDF=Y")</f>
        <v>#NAME?</v>
      </c>
      <c r="AB285" s="2" t="e">
        <f ca="1">_xll.BDH($C$278,"NET_FIXED_ASSETS_1_YEAR_GROWTH","FQ2 2015","FQ2 2015","Currency=INR","Period=FQ","BEST_FPERIOD_OVERRIDE=FQ","FILING_STATUS=OR","EQY_CONSOLIDATED=Y","Sort=A","Dates=H","DateFormat=P","Fill=—","Direction=H","UseDPDF=Y")</f>
        <v>#NAME?</v>
      </c>
      <c r="AC285" s="2" t="e">
        <f ca="1">_xll.BDH($C$278,"ASSET_GROWTH","FQ2 2015","FQ2 2015","Currency=INR","Period=FQ","BEST_FPERIOD_OVERRIDE=FQ","FILING_STATUS=OR","EQY_CONSOLIDATED=Y","Sort=A","Dates=H","DateFormat=P","Fill=—","Direction=H","UseDPDF=Y")</f>
        <v>#NAME?</v>
      </c>
      <c r="AD285" s="2" t="e">
        <f ca="1">_xll.BDH($C$278,"MODIFIED_WORK_CAP_GROWTH","FQ2 2015","FQ2 2015","Currency=INR","Period=FQ","BEST_FPERIOD_OVERRIDE=FQ","FILING_STATUS=OR","EQY_CONSOLIDATED=Y","Sort=A","Dates=H","DateFormat=P","Fill=—","Direction=H","UseDPDF=Y")</f>
        <v>#NAME?</v>
      </c>
      <c r="AE285" s="2" t="e">
        <f ca="1">_xll.BDH($C$278,"WORK_CAP_GROWTH","FQ2 2015","FQ2 2015","Currency=INR","Period=FQ","BEST_FPERIOD_OVERRIDE=FQ","FILING_STATUS=OR","EQY_CONSOLIDATED=Y","Sort=A","Dates=H","DateFormat=P","Fill=—","Direction=H","UseDPDF=Y")</f>
        <v>#NAME?</v>
      </c>
      <c r="AF285" s="2" t="e">
        <f ca="1">_xll.BDH($C$278,"ACCOUNTS_PAYABLE_GROWTH_1YR","FQ2 2015","FQ2 2015","Currency=INR","Period=FQ","BEST_FPERIOD_OVERRIDE=FQ","FILING_STATUS=OR","EQY_CONSOLIDATED=Y","Sort=A","Dates=H","DateFormat=P","Fill=—","Direction=H","UseDPDF=Y")</f>
        <v>#NAME?</v>
      </c>
      <c r="AG285" s="2" t="e">
        <f ca="1">_xll.BDH($C$278,"SHORT_TERM_DEBT_1_YEAR_GROWTH","FQ2 2015","FQ2 2015","Currency=INR","Period=FQ","BEST_FPERIOD_OVERRIDE=FQ","FILING_STATUS=OR","EQY_CONSOLIDATED=Y","Sort=A","Dates=H","DateFormat=P","Fill=—","Direction=H","UseDPDF=Y")</f>
        <v>#NAME?</v>
      </c>
      <c r="AH285" s="2" t="e">
        <f ca="1">_xll.BDH($C$278,"TOTAL_DEBT_1_YEAR_GROWTH","FQ2 2015","FQ2 2015","Currency=INR","Period=FQ","BEST_FPERIOD_OVERRIDE=FQ","FILING_STATUS=OR","EQY_CONSOLIDATED=Y","Sort=A","Dates=H","DateFormat=P","Fill=—","Direction=H","UseDPDF=Y")</f>
        <v>#NAME?</v>
      </c>
      <c r="AI285" s="2" t="e">
        <f ca="1">_xll.BDH($C$278,"TOTAL_EQUITY_1_YEAR_GROWTH","FQ2 2015","FQ2 2015","Currency=INR","Period=FQ","BEST_FPERIOD_OVERRIDE=FQ","FILING_STATUS=OR","EQY_CONSOLIDATED=Y","Sort=A","Dates=H","DateFormat=P","Fill=—","Direction=H","UseDPDF=Y")</f>
        <v>#NAME?</v>
      </c>
      <c r="AJ285" s="2" t="e">
        <f ca="1">_xll.BDH($C$278,"GROWTH_IN_CAP","FQ2 2015","FQ2 2015","Currency=INR","Period=FQ","BEST_FPERIOD_OVERRIDE=FQ","FILING_STATUS=OR","EQY_CONSOLIDATED=Y","Sort=A","Dates=H","DateFormat=P","Fill=—","Direction=H","UseDPDF=Y")</f>
        <v>#NAME?</v>
      </c>
      <c r="AK285" s="2" t="e">
        <f ca="1">_xll.BDH($C$278,"BVPS_GROWTH","FQ2 2015","FQ2 2015","Currency=INR","Period=FQ","BEST_FPERIOD_OVERRIDE=FQ","FILING_STATUS=OR","EQY_CONSOLIDATED=Y","Sort=A","Dates=H","DateFormat=P","Fill=—","Direction=H","UseDPDF=Y")</f>
        <v>#NAME?</v>
      </c>
      <c r="AL285" s="2" t="e">
        <f ca="1">_xll.BDH($C$278,"CASH_FLOW_GROWTH","FQ2 2015","FQ2 2015","Currency=INR","Period=FQ","BEST_FPERIOD_OVERRIDE=FQ","FILING_STATUS=OR","EQY_CONSOLIDATED=Y","Sort=A","Dates=H","DateFormat=P","Fill=—","Direction=H","UseDPDF=Y")</f>
        <v>#NAME?</v>
      </c>
      <c r="AM285" s="2" t="e">
        <f ca="1">_xll.BDH($C$278,"GEO_GROW_NET_SALES","FQ2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285" s="2" t="e">
        <f ca="1">_xll.BDH($C$278,"GEO_GROW_EBITDA","FQ2 2015","FQ2 2015","Currency=INR","Period=FQ","BEST_FPERIOD_OVERRIDE=FQ","FILING_STATUS=OR","EQY_CONSOLIDATED=Y","FA_ADJUSTED=GAAP","Sort=A","Dates=H","DateFormat=P","Fill=—","Direction=H","UseDPDF=Y")</f>
        <v>#NAME?</v>
      </c>
      <c r="AO285" s="2" t="e">
        <f ca="1">_xll.BDH($C$278,"GEO_GROW_OPER_INC","FQ2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285" s="2" t="e">
        <f ca="1">_xll.BDH($C$278,"NET_INCOME_TO_COMMON_5_YR_GROWTH","FQ2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285" s="2" t="e">
        <f ca="1">_xll.BDH($C$278,"5Y_GEO_GROWTH_DILUTED_EPS","FQ2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285" s="2" t="e">
        <f ca="1">_xll.BDH($C$278,"GEO_GROW_DVD_PER_SH","FQ2 2015","FQ2 2015","Currency=INR","Period=FQ","BEST_FPERIOD_OVERRIDE=FQ","FILING_STATUS=OR","EQY_CONSOLIDATED=Y","Sort=A","Dates=H","DateFormat=P","Fill=—","Direction=H","UseDPDF=Y")</f>
        <v>#NAME?</v>
      </c>
      <c r="AS285" s="2" t="e">
        <f ca="1">_xll.BDH($C$278,"ACCOUNTS_RECEIVABLE_5_YR_GROWTH","FQ2 2015","FQ2 2015","Currency=INR","Period=FQ","BEST_FPERIOD_OVERRIDE=FQ","FILING_STATUS=OR","EQY_CONSOLIDATED=Y","Sort=A","Dates=H","DateFormat=P","Fill=—","Direction=H","UseDPDF=Y")</f>
        <v>#NAME?</v>
      </c>
      <c r="AT285" s="2" t="e">
        <f ca="1">_xll.BDH($C$278,"INVENTORY_5_YEAR_GROWTH","FQ2 2015","FQ2 2015","Currency=INR","Period=FQ","BEST_FPERIOD_OVERRIDE=FQ","FILING_STATUS=OR","EQY_CONSOLIDATED=Y","Sort=A","Dates=H","DateFormat=P","Fill=—","Direction=H","UseDPDF=Y")</f>
        <v>#NAME?</v>
      </c>
      <c r="AU285" s="2" t="e">
        <f ca="1">_xll.BDH($C$278,"NET_FIXED_ASSETS_5_YEAR_GROWTH","FQ2 2015","FQ2 2015","Currency=INR","Period=FQ","BEST_FPERIOD_OVERRIDE=FQ","FILING_STATUS=OR","EQY_CONSOLIDATED=Y","Sort=A","Dates=H","DateFormat=P","Fill=—","Direction=H","UseDPDF=Y")</f>
        <v>#NAME?</v>
      </c>
      <c r="AV285" s="2" t="e">
        <f ca="1">_xll.BDH($C$278,"GEO_GROW_TOT_ASSET","FQ2 2015","FQ2 2015","Currency=INR","Period=FQ","BEST_FPERIOD_OVERRIDE=FQ","FILING_STATUS=OR","EQY_CONSOLIDATED=Y","Sort=A","Dates=H","DateFormat=P","Fill=—","Direction=H","UseDPDF=Y")</f>
        <v>#NAME?</v>
      </c>
      <c r="AW285" s="2" t="e">
        <f ca="1">_xll.BDH($C$278,"MODIFIED_WORKING_CPTL_5YR_GRWTH","FQ2 2015","FQ2 2015","Currency=INR","Period=FQ","BEST_FPERIOD_OVERRIDE=FQ","FILING_STATUS=OR","EQY_CONSOLIDATED=Y","Sort=A","Dates=H","DateFormat=P","Fill=—","Direction=H","UseDPDF=Y")</f>
        <v>#NAME?</v>
      </c>
      <c r="AX285" s="2" t="e">
        <f ca="1">_xll.BDH($C$278,"WORKING_CAPITAL_5_YEAR_GROWTH","FQ2 2015","FQ2 2015","Currency=INR","Period=FQ","BEST_FPERIOD_OVERRIDE=FQ","FILING_STATUS=OR","EQY_CONSOLIDATED=Y","Sort=A","Dates=H","DateFormat=P","Fill=—","Direction=H","UseDPDF=Y")</f>
        <v>#NAME?</v>
      </c>
      <c r="AY285" s="2" t="e">
        <f ca="1">_xll.BDH($C$278,"ACCOUNTS_PAYABLE_5_YEAR_GROWTH","FQ2 2015","FQ2 2015","Currency=INR","Period=FQ","BEST_FPERIOD_OVERRIDE=FQ","FILING_STATUS=OR","EQY_CONSOLIDATED=Y","Sort=A","Dates=H","DateFormat=P","Fill=—","Direction=H","UseDPDF=Y")</f>
        <v>#NAME?</v>
      </c>
      <c r="AZ285" s="2" t="e">
        <f ca="1">_xll.BDH($C$278,"SHORT_TERM_DEBT_5_YEAR_GROWTH","FQ2 2015","FQ2 2015","Currency=INR","Period=FQ","BEST_FPERIOD_OVERRIDE=FQ","FILING_STATUS=OR","EQY_CONSOLIDATED=Y","Sort=A","Dates=H","DateFormat=P","Fill=—","Direction=H","UseDPDF=Y")</f>
        <v>#NAME?</v>
      </c>
      <c r="BA285" s="2" t="e">
        <f ca="1">_xll.BDH($C$278,"TOTAL_DEBT_5_YEAR_GROWTH","FQ2 2015","FQ2 2015","Currency=INR","Period=FQ","BEST_FPERIOD_OVERRIDE=FQ","FILING_STATUS=OR","EQY_CONSOLIDATED=Y","Sort=A","Dates=H","DateFormat=P","Fill=—","Direction=H","UseDPDF=Y")</f>
        <v>#NAME?</v>
      </c>
      <c r="BB285" s="2" t="e">
        <f ca="1">_xll.BDH($C$278,"GEO_GROW_TOT_SHRHLDR_EQY","FQ2 2015","FQ2 2015","Currency=INR","Period=FQ","BEST_FPERIOD_OVERRIDE=FQ","FILING_STATUS=OR","EQY_CONSOLIDATED=Y","Sort=A","Dates=H","DateFormat=P","Fill=—","Direction=H","UseDPDF=Y")</f>
        <v>#NAME?</v>
      </c>
      <c r="BC285" s="2" t="e">
        <f ca="1">_xll.BDH($C$278,"TOTAL_CAPITAL_5_YEAR_GROWTH","FQ2 2015","FQ2 2015","Currency=INR","Period=FQ","BEST_FPERIOD_OVERRIDE=FQ","FILING_STATUS=OR","EQY_CONSOLIDATED=Y","Sort=A","Dates=H","DateFormat=P","Fill=—","Direction=H","UseDPDF=Y")</f>
        <v>#NAME?</v>
      </c>
      <c r="BD285" s="2" t="e">
        <f ca="1">_xll.BDH($C$278,"GEO_GROW_BOOK_VAL","FQ2 2015","FQ2 2015","Currency=INR","Period=FQ","BEST_FPERIOD_OVERRIDE=FQ","FILING_STATUS=OR","EQY_CONSOLIDATED=Y","Sort=A","Dates=H","DateFormat=P","Fill=—","Direction=H","UseDPDF=Y")</f>
        <v>#NAME?</v>
      </c>
      <c r="BE285" s="2" t="e">
        <f ca="1">_xll.BDH($C$278,"GEO_GROW_CASH_OPER_ACT","FQ2 2015","FQ2 2015","Currency=INR","Period=FQ","BEST_FPERIOD_OVERRIDE=FQ","FILING_STATUS=OR","EQY_CONSOLIDATED=Y","Sort=A","Dates=H","DateFormat=P","Fill=—","Direction=H","UseDPDF=Y")</f>
        <v>#NAME?</v>
      </c>
      <c r="BF285" s="2" t="e">
        <f ca="1">_xll.BDH($C$278,"REVENUE_SEQUENTIAL_GROWTH","FQ2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285" s="2" t="e">
        <f ca="1">_xll.BDH($C$278,"EBITDA_SEQUENTIAL_GROWTH","FQ2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285" s="2" t="e">
        <f ca="1">_xll.BDH($C$278,"OPERATING_INCOME_SEQ_GROWTH","FQ2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285" s="2" t="e">
        <f ca="1">_xll.BDH($C$278,"NET_INCOME_TO_COMMON_SEQ_GROWTH","FQ2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285" s="2" t="e">
        <f ca="1">_xll.BDH($C$278,"EPS_DILUTED_SEQUENTIAL_GROWTH","FQ2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285" s="2" t="e">
        <f ca="1">_xll.BDH($C$278,"DPS_SEQUENTIAL_GROWTH","FQ2 2015","FQ2 2015","Currency=INR","Period=FQ","BEST_FPERIOD_OVERRIDE=FQ","FILING_STATUS=OR","EQY_CONSOLIDATED=Y","Sort=A","Dates=H","DateFormat=P","Fill=—","Direction=H","UseDPDF=Y")</f>
        <v>#NAME?</v>
      </c>
      <c r="BL285" s="2" t="e">
        <f ca="1">_xll.BDH($C$278,"ACCOUNTS_RECEIVABLE_SEQ_GROWTH","FQ2 2015","FQ2 2015","Currency=INR","Period=FQ","BEST_FPERIOD_OVERRIDE=FQ","FILING_STATUS=OR","EQY_CONSOLIDATED=Y","Sort=A","Dates=H","DateFormat=P","Fill=—","Direction=H","UseDPDF=Y")</f>
        <v>#NAME?</v>
      </c>
      <c r="BM285" s="2" t="e">
        <f ca="1">_xll.BDH($C$278,"INVENTORY_SEQUENTIAL_GROWTH","FQ2 2015","FQ2 2015","Currency=INR","Period=FQ","BEST_FPERIOD_OVERRIDE=FQ","FILING_STATUS=OR","EQY_CONSOLIDATED=Y","Sort=A","Dates=H","DateFormat=P","Fill=—","Direction=H","UseDPDF=Y")</f>
        <v>#NAME?</v>
      </c>
      <c r="BN285" s="2" t="e">
        <f ca="1">_xll.BDH($C$278,"FIXED_ASSETS_SEQUENTIAL_GROWTH","FQ2 2015","FQ2 2015","Currency=INR","Period=FQ","BEST_FPERIOD_OVERRIDE=FQ","FILING_STATUS=OR","EQY_CONSOLIDATED=Y","Sort=A","Dates=H","DateFormat=P","Fill=—","Direction=H","UseDPDF=Y")</f>
        <v>#NAME?</v>
      </c>
      <c r="BO285" s="2" t="e">
        <f ca="1">_xll.BDH($C$278,"TOTAL_ASSETS_SEQUENTIAL_GROWTH","FQ2 2015","FQ2 2015","Currency=INR","Period=FQ","BEST_FPERIOD_OVERRIDE=FQ","FILING_STATUS=OR","EQY_CONSOLIDATED=Y","Sort=A","Dates=H","DateFormat=P","Fill=—","Direction=H","UseDPDF=Y")</f>
        <v>#NAME?</v>
      </c>
      <c r="BP285" s="2" t="e">
        <f ca="1">_xll.BDH($C$278,"MODIFIED_WORKING_CPTL_SEQ_GRWTH","FQ2 2015","FQ2 2015","Currency=INR","Period=FQ","BEST_FPERIOD_OVERRIDE=FQ","FILING_STATUS=OR","EQY_CONSOLIDATED=Y","Sort=A","Dates=H","DateFormat=P","Fill=—","Direction=H","UseDPDF=Y")</f>
        <v>#NAME?</v>
      </c>
      <c r="BQ285" s="2" t="e">
        <f ca="1">_xll.BDH($C$278,"WORKING_CAPITAL_SEQ_GROWTH","FQ2 2015","FQ2 2015","Currency=INR","Period=FQ","BEST_FPERIOD_OVERRIDE=FQ","FILING_STATUS=OR","EQY_CONSOLIDATED=Y","Sort=A","Dates=H","DateFormat=P","Fill=—","Direction=H","UseDPDF=Y")</f>
        <v>#NAME?</v>
      </c>
      <c r="BR285" s="2" t="e">
        <f ca="1">_xll.BDH($C$278,"ACCOUNTS_PAYABLE_SEQ_GROWTH","FQ2 2015","FQ2 2015","Currency=INR","Period=FQ","BEST_FPERIOD_OVERRIDE=FQ","FILING_STATUS=OR","EQY_CONSOLIDATED=Y","Sort=A","Dates=H","DateFormat=P","Fill=—","Direction=H","UseDPDF=Y")</f>
        <v>#NAME?</v>
      </c>
      <c r="BS285" s="2" t="e">
        <f ca="1">_xll.BDH($C$278,"ST_DEBT_SEQUENTIAL_GROWTH","FQ2 2015","FQ2 2015","Currency=INR","Period=FQ","BEST_FPERIOD_OVERRIDE=FQ","FILING_STATUS=OR","EQY_CONSOLIDATED=Y","Sort=A","Dates=H","DateFormat=P","Fill=—","Direction=H","UseDPDF=Y")</f>
        <v>#NAME?</v>
      </c>
      <c r="BT285" s="2" t="e">
        <f ca="1">_xll.BDH($C$278,"TOTAL_DEBT_SEQUENTIAL_GROWTH","FQ2 2015","FQ2 2015","Currency=INR","Period=FQ","BEST_FPERIOD_OVERRIDE=FQ","FILING_STATUS=OR","EQY_CONSOLIDATED=Y","Sort=A","Dates=H","DateFormat=P","Fill=—","Direction=H","UseDPDF=Y")</f>
        <v>#NAME?</v>
      </c>
      <c r="BU285" s="2" t="e">
        <f ca="1">_xll.BDH($C$278,"TOTAL_EQUITY_SEQUENTIAL_GROWTH","FQ2 2015","FQ2 2015","Currency=INR","Period=FQ","BEST_FPERIOD_OVERRIDE=FQ","FILING_STATUS=OR","EQY_CONSOLIDATED=Y","Sort=A","Dates=H","DateFormat=P","Fill=—","Direction=H","UseDPDF=Y")</f>
        <v>#NAME?</v>
      </c>
      <c r="BV285" s="2" t="e">
        <f ca="1">_xll.BDH($C$278,"TOTAL_CAPITAL_SEQUENTIAL_GROWTH","FQ2 2015","FQ2 2015","Currency=INR","Period=FQ","BEST_FPERIOD_OVERRIDE=FQ","FILING_STATUS=OR","EQY_CONSOLIDATED=Y","Sort=A","Dates=H","DateFormat=P","Fill=—","Direction=H","UseDPDF=Y")</f>
        <v>#NAME?</v>
      </c>
      <c r="BW285" s="2" t="e">
        <f ca="1">_xll.BDH($C$278,"BPS_SEQUENTIAL_GROWTH","FQ2 2015","FQ2 2015","Currency=INR","Period=FQ","BEST_FPERIOD_OVERRIDE=FQ","FILING_STATUS=OR","EQY_CONSOLIDATED=Y","Sort=A","Dates=H","DateFormat=P","Fill=—","Direction=H","UseDPDF=Y")</f>
        <v>#NAME?</v>
      </c>
      <c r="BX285" s="2" t="e">
        <f ca="1">_xll.BDH($C$278,"CFO_SEQUENTIAL_GROWTH","FQ2 2015","FQ2 2015","Currency=INR","Period=FQ","BEST_FPERIOD_OVERRIDE=FQ","FILING_STATUS=OR","EQY_CONSOLIDATED=Y","Sort=A","Dates=H","DateFormat=P","Fill=—","Direction=H","UseDPDF=Y")</f>
        <v>#NAME?</v>
      </c>
      <c r="BY285" s="3" t="e">
        <f ca="1">_xll.BDH($C$278,"SHORT_AND_LONG_TERM_DEBT","FQ2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285" s="3" t="e">
        <f ca="1">_xll.BDH($C$278,"BS_ST_BORROW","FQ2 2015","FQ2 2015","Currency=INR","Period=FQ","BEST_FPERIOD_OVERRIDE=FQ","FILING_STATUS=OR","EQY_CONSOLIDATED=Y","SCALING_FORMAT=MLN","Sort=A","Dates=H","DateFormat=P","Fill=—","Direction=H","UseDPDF=Y")</f>
        <v>#NAME?</v>
      </c>
      <c r="CA285" s="3" t="e">
        <f ca="1">_xll.BDH($C$278,"BS_LT_BORROW","FQ2 2015","FQ2 2015","Currency=INR","Period=FQ","BEST_FPERIOD_OVERRIDE=FQ","FILING_STATUS=OR","EQY_CONSOLIDATED=Y","SCALING_FORMAT=MLN","Sort=A","Dates=H","DateFormat=P","Fill=—","Direction=H","UseDPDF=Y")</f>
        <v>#NAME?</v>
      </c>
      <c r="CB285" s="2" t="e">
        <f ca="1">_xll.BDH($C$278,"TOT_DEBT_TO_EBITDA","FQ2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285" s="2" t="e">
        <f ca="1">_xll.BDH($C$278,"NET_DEBT_TO_EBITDA","FQ2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285" s="2" t="e">
        <f ca="1">_xll.BDH($C$278,"TOTAL_DEBT_TO_EBIT","FQ2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285" s="2" t="e">
        <f ca="1">_xll.BDH($C$278,"NET_DEBT_TO_EBIT","FQ2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285" s="2" t="e">
        <f ca="1">_xll.BDH($C$278,"EBITDA_TO_INTEREST_EXPN","FQ2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285" s="2" t="e">
        <f ca="1">_xll.BDH($C$278,"COM_EQY_TO_TOT_ASSET","FQ2 2015","FQ2 2015","Currency=INR","Period=FQ","BEST_FPERIOD_OVERRIDE=FQ","FILING_STATUS=OR","EQY_CONSOLIDATED=Y","Sort=A","Dates=H","DateFormat=P","Fill=—","Direction=H","UseDPDF=Y")</f>
        <v>#NAME?</v>
      </c>
      <c r="CH285" s="2" t="e">
        <f ca="1">_xll.BDH($C$278,"LT_DEBT_TO_TOT_EQY","FQ2 2015","FQ2 2015","Currency=INR","Period=FQ","BEST_FPERIOD_OVERRIDE=FQ","FILING_STATUS=OR","EQY_CONSOLIDATED=Y","Sort=A","Dates=H","DateFormat=P","Fill=—","Direction=H","UseDPDF=Y")</f>
        <v>#NAME?</v>
      </c>
      <c r="CI285" s="2" t="e">
        <f ca="1">_xll.BDH($C$278,"LT_DEBT_TO_TOT_CAP","FQ2 2015","FQ2 2015","Currency=INR","Period=FQ","BEST_FPERIOD_OVERRIDE=FQ","FILING_STATUS=OR","EQY_CONSOLIDATED=Y","Sort=A","Dates=H","DateFormat=P","Fill=—","Direction=H","UseDPDF=Y")</f>
        <v>#NAME?</v>
      </c>
      <c r="CJ285" s="2" t="e">
        <f ca="1">_xll.BDH($C$278,"LT_DEBT_TO_TOT_ASSET","FQ2 2015","FQ2 2015","Currency=INR","Period=FQ","BEST_FPERIOD_OVERRIDE=FQ","FILING_STATUS=OR","EQY_CONSOLIDATED=Y","Sort=A","Dates=H","DateFormat=P","Fill=—","Direction=H","UseDPDF=Y")</f>
        <v>#NAME?</v>
      </c>
      <c r="CK285" s="2" t="e">
        <f ca="1">_xll.BDH($C$278,"TOT_DEBT_TO_TOT_EQY","FQ2 2015","FQ2 2015","Currency=INR","Period=FQ","BEST_FPERIOD_OVERRIDE=FQ","FILING_STATUS=OR","EQY_CONSOLIDATED=Y","Sort=A","Dates=H","DateFormat=P","Fill=—","Direction=H","UseDPDF=Y")</f>
        <v>#NAME?</v>
      </c>
      <c r="CL285" s="2" t="e">
        <f ca="1">_xll.BDH($C$278,"TOT_DEBT_TO_TOT_CAP","FQ2 2015","FQ2 2015","Currency=INR","Period=FQ","BEST_FPERIOD_OVERRIDE=FQ","FILING_STATUS=OR","EQY_CONSOLIDATED=Y","Sort=A","Dates=H","DateFormat=P","Fill=—","Direction=H","UseDPDF=Y")</f>
        <v>#NAME?</v>
      </c>
      <c r="CM285" s="2" t="e">
        <f ca="1">_xll.BDH($C$278,"TOT_DEBT_TO_TOT_ASSET","FQ2 2015","FQ2 2015","Currency=INR","Period=FQ","BEST_FPERIOD_OVERRIDE=FQ","FILING_STATUS=OR","EQY_CONSOLIDATED=Y","Sort=A","Dates=H","DateFormat=P","Fill=—","Direction=H","UseDPDF=Y")</f>
        <v>#NAME?</v>
      </c>
      <c r="CN285" s="2" t="e">
        <f ca="1">_xll.BDH($C$278,"NET_DEBT_TO_SHRHLDR_EQTY","FQ2 2015","FQ2 2015","Currency=INR","Period=FQ","BEST_FPERIOD_OVERRIDE=FQ","FILING_STATUS=OR","EQY_CONSOLIDATED=Y","Sort=A","Dates=H","DateFormat=P","Fill=—","Direction=H","UseDPDF=Y")</f>
        <v>#NAME?</v>
      </c>
      <c r="CO285" s="2" t="e">
        <f ca="1">_xll.BDH($C$278,"NET_DEBT_%_CAPITAL","FQ2 2015","FQ2 2015","Currency=INR","Period=FQ","BEST_FPERIOD_OVERRIDE=FQ","FILING_STATUS=OR","EQY_CONSOLIDATED=Y","Sort=A","Dates=H","DateFormat=P","Fill=—","Direction=H","UseDPDF=Y")</f>
        <v>#NAME?</v>
      </c>
      <c r="CP285" s="3" t="e">
        <f ca="1">_xll.BDH($C$278,"EBITDA","FQ2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285" s="3" t="e">
        <f ca="1">_xll.BDH($C$278,"EBITDA_AFTER_CAPEX","FQ2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285" s="3" t="e">
        <f ca="1">_xll.BDH($C$278,"IS_OPER_INC","FQ2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285" s="2" t="e">
        <f ca="1">_xll.BDH($C$278,"CASH_RATIO","FQ2 2015","FQ2 2015","Currency=INR","Period=FQ","BEST_FPERIOD_OVERRIDE=FQ","FILING_STATUS=OR","EQY_CONSOLIDATED=Y","Sort=A","Dates=H","DateFormat=P","Fill=—","Direction=H","UseDPDF=Y")</f>
        <v>#NAME?</v>
      </c>
      <c r="CT285" s="2" t="e">
        <f ca="1">_xll.BDH($C$278,"CUR_RATIO","FQ2 2015","FQ2 2015","Currency=INR","Period=FQ","BEST_FPERIOD_OVERRIDE=FQ","FILING_STATUS=OR","EQY_CONSOLIDATED=Y","Sort=A","Dates=H","DateFormat=P","Fill=—","Direction=H","UseDPDF=Y")</f>
        <v>#NAME?</v>
      </c>
      <c r="CU285" s="2" t="e">
        <f ca="1">_xll.BDH($C$278,"QUICK_RATIO","FQ2 2015","FQ2 2015","Currency=INR","Period=FQ","BEST_FPERIOD_OVERRIDE=FQ","FILING_STATUS=OR","EQY_CONSOLIDATED=Y","Sort=A","Dates=H","DateFormat=P","Fill=—","Direction=H","UseDPDF=Y")</f>
        <v>#NAME?</v>
      </c>
      <c r="CV285" s="2" t="e">
        <f ca="1">_xll.BDH($C$278,"ALTMAN_Z_SCORE","FQ2 2015","FQ2 2015","Currency=INR","Period=FQ","BEST_FPERIOD_OVERRIDE=FQ","FILING_STATUS=OR","EQY_CONSOLIDATED=Y","Sort=A","Dates=H","DateFormat=P","Fill=—","Direction=H","UseDPDF=Y")</f>
        <v>#NAME?</v>
      </c>
      <c r="CW285" s="4" t="e">
        <f ca="1">_xll.BDH($C$278,"ACCT_RCV_TURN","FQ2 2015","FQ2 2015","Currency=INR","Period=FQ","BEST_FPERIOD_OVERRIDE=FQ","FILING_STATUS=OR","EQY_CONSOLIDATED=Y","FA_ADJUSTED=GAAP","Sort=A","Dates=H","DateFormat=P","Fill=—","Direction=H","UseDPDF=Y")</f>
        <v>#NAME?</v>
      </c>
      <c r="CX285" s="2" t="e">
        <f ca="1">_xll.BDH($C$278,"ACCT_RCV_DAYS","FQ2 2015","FQ2 2015","Currency=INR","Period=FQ","BEST_FPERIOD_OVERRIDE=FQ","FILING_STATUS=OR","EQY_CONSOLIDATED=Y","FA_ADJUSTED=GAAP","Sort=A","Dates=H","DateFormat=P","Fill=—","Direction=H","UseDPDF=Y")</f>
        <v>#NAME?</v>
      </c>
      <c r="CY285" s="4" t="e">
        <f ca="1">_xll.BDH($C$278,"INVENT_TURN","FQ2 2015","FQ2 2015","Currency=INR","Period=FQ","BEST_FPERIOD_OVERRIDE=FQ","FILING_STATUS=OR","EQY_CONSOLIDATED=Y","FA_ADJUSTED=GAAP","Sort=A","Dates=H","DateFormat=P","Fill=—","Direction=H","UseDPDF=Y")</f>
        <v>#NAME?</v>
      </c>
      <c r="CZ285" s="2" t="e">
        <f ca="1">_xll.BDH($C$278,"INVENT_DAYS","FQ2 2015","FQ2 2015","Currency=INR","Period=FQ","BEST_FPERIOD_OVERRIDE=FQ","FILING_STATUS=OR","EQY_CONSOLIDATED=Y","FA_ADJUSTED=GAAP","Sort=A","Dates=H","DateFormat=P","Fill=—","Direction=H","UseDPDF=Y")</f>
        <v>#NAME?</v>
      </c>
      <c r="DA285" s="4" t="e">
        <f ca="1">_xll.BDH($C$278,"ACCOUNTS_PAYABLE_TURNOVER","FQ2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285" s="2" t="e">
        <f ca="1">_xll.BDH($C$278,"ACCOUNTS_PAYABLE_TURNOVER_DAYS","FQ2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285" s="4" t="e">
        <f ca="1">_xll.BDH($C$278,"CASH_CONVERSION_CYCLE","FQ2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285" s="4" t="e">
        <f ca="1">_xll.BDH($C$278,"INV_TO_CASH_DAYS","FQ2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285" s="5" t="e">
        <f ca="1">_xll.BDH($C$278,"BS_INVENTORIES","FQ2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285" s="3" t="e">
        <f ca="1">_xll.BDH($C$278,"INVTRY_RAW_MATERIALS","FQ2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285" s="3" t="e">
        <f ca="1">_xll.BDH($C$278,"INVTRY_IN_PROGRESS","FQ2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285" s="3" t="e">
        <f ca="1">_xll.BDH($C$278,"INVTRY_FINISHED_GOODS","FQ2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285" s="3" t="e">
        <f ca="1">_xll.BDH($C$278,"BS_OTHER_INV","FQ2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286" spans="1:113" x14ac:dyDescent="0.3">
      <c r="A286" s="6"/>
      <c r="B286" s="6"/>
      <c r="C286" s="6"/>
      <c r="D286" s="6"/>
      <c r="E286" t="s">
        <v>80</v>
      </c>
      <c r="F286" t="e">
        <f ca="1">_xll.BDH($C$278,"RETURN_COM_EQY","FQ3 2015","FQ3 2015","Currency=INR","Period=FQ","BEST_FPERIOD_OVERRIDE=FQ","FILING_STATUS=OR","EQY_CONSOLIDATED=Y","FA_ADJUSTED=GAAP","Sort=A","Dates=H","DateFormat=P","Fill=—","Direction=H","UseDPDF=Y")</f>
        <v>#NAME?</v>
      </c>
      <c r="G286" t="e">
        <f ca="1">_xll.BDH($C$278,"RETURN_ON_ASSET","FQ3 2015","FQ3 2015","Currency=INR","Period=FQ","BEST_FPERIOD_OVERRIDE=FQ","FILING_STATUS=OR","EQY_CONSOLIDATED=Y","FA_ADJUSTED=GAAP","Sort=A","Dates=H","DateFormat=P","Fill=—","Direction=H","UseDPDF=Y")</f>
        <v>#NAME?</v>
      </c>
      <c r="H286" t="e">
        <f ca="1">_xll.BDH($C$278,"RETURN_ON_CAP","FQ3 2015","FQ3 2015","Currency=INR","Period=FQ","BEST_FPERIOD_OVERRIDE=FQ","FILING_STATUS=OR","EQY_CONSOLIDATED=Y","FA_ADJUSTED=GAAP","Sort=A","Dates=H","DateFormat=P","Fill=—","Direction=H","UseDPDF=Y")</f>
        <v>#NAME?</v>
      </c>
      <c r="I286" t="e">
        <f ca="1">_xll.BDH($C$278,"RETURN_ON_INV_CAPITAL","FQ3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286" t="e">
        <f ca="1">_xll.BDH($C$278,"EBITDA_TO_REVENUE","FQ3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286" t="e">
        <f ca="1">_xll.BDH($C$278,"OPER_MARGIN","FQ3 2015","FQ3 2015","Currency=INR","Period=FQ","BEST_FPERIOD_OVERRIDE=FQ","FILING_STATUS=OR","EQY_CONSOLIDATED=Y","FA_ADJUSTED=GAAP","Sort=A","Dates=H","DateFormat=P","Fill=—","Direction=H","UseDPDF=Y")</f>
        <v>#NAME?</v>
      </c>
      <c r="L286" t="e">
        <f ca="1">_xll.BDH($C$278,"INCREMENTAL_OPERATING_MARGIN","FQ3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286" t="e">
        <f ca="1">_xll.BDH($C$278,"PRETAX_INC_TO_NET_SALES","FQ3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286" t="e">
        <f ca="1">_xll.BDH($C$278,"INC_BEF_XO_ITEMS_TO_NET_SALES","FQ3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286" t="e">
        <f ca="1">_xll.BDH($C$278,"PROF_MARGIN","FQ3 2015","FQ3 2015","Currency=INR","Period=FQ","BEST_FPERIOD_OVERRIDE=FQ","FILING_STATUS=OR","EQY_CONSOLIDATED=Y","FA_ADJUSTED=GAAP","Sort=A","Dates=H","DateFormat=P","Fill=—","Direction=H","UseDPDF=Y")</f>
        <v>#NAME?</v>
      </c>
      <c r="P286" t="e">
        <f ca="1">_xll.BDH($C$278,"NET_INCOME_TO_COMMON_MARGIN","FQ3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286" t="e">
        <f ca="1">_xll.BDH($C$278,"EFF_TAX_RATE","FQ3 2015","FQ3 2015","Currency=INR","Period=FQ","BEST_FPERIOD_OVERRIDE=FQ","FILING_STATUS=OR","EQY_CONSOLIDATED=Y","FA_ADJUSTED=GAAP","Sort=A","Dates=H","DateFormat=P","Fill=—","Direction=H","UseDPDF=Y")</f>
        <v>#NAME?</v>
      </c>
      <c r="R286" t="e">
        <f ca="1">_xll.BDH($C$278,"DVD_PAYOUT_RATIO","FQ3 2015","FQ3 2015","Currency=INR","Period=FQ","BEST_FPERIOD_OVERRIDE=FQ","FILING_STATUS=OR","EQY_CONSOLIDATED=Y","FA_ADJUSTED=GAAP","Sort=A","Dates=H","DateFormat=P","Fill=—","Direction=H","UseDPDF=Y")</f>
        <v>#NAME?</v>
      </c>
      <c r="S286" t="e">
        <f ca="1">_xll.BDH($C$278,"SUSTAIN_GROWTH_RT","FQ3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286" s="2" t="e">
        <f ca="1">_xll.BDH($C$278,"SALES_GROWTH","FQ3 2015","FQ3 2015","Currency=INR","Period=FQ","BEST_FPERIOD_OVERRIDE=FQ","FILING_STATUS=OR","EQY_CONSOLIDATED=Y","FA_ADJUSTED=GAAP","Sort=A","Dates=H","DateFormat=P","Fill=—","Direction=H","UseDPDF=Y")</f>
        <v>#NAME?</v>
      </c>
      <c r="U286" s="2" t="e">
        <f ca="1">_xll.BDH($C$278,"EBITDA_GROWTH","FQ3 2015","FQ3 2015","Currency=INR","Period=FQ","BEST_FPERIOD_OVERRIDE=FQ","FILING_STATUS=OR","EQY_CONSOLIDATED=Y","FA_ADJUSTED=GAAP","Sort=A","Dates=H","DateFormat=P","Fill=—","Direction=H","UseDPDF=Y")</f>
        <v>#NAME?</v>
      </c>
      <c r="V286" s="2" t="e">
        <f ca="1">_xll.BDH($C$278,"OPER_INC_GROWTH","FQ3 2015","FQ3 2015","Currency=INR","Period=FQ","BEST_FPERIOD_OVERRIDE=FQ","FILING_STATUS=OR","EQY_CONSOLIDATED=Y","FA_ADJUSTED=GAAP","Sort=A","Dates=H","DateFormat=P","Fill=—","Direction=H","UseDPDF=Y")</f>
        <v>#NAME?</v>
      </c>
      <c r="W286" s="2" t="e">
        <f ca="1">_xll.BDH($C$278,"EARN_FOR_COM_GROWTH","FQ3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286" s="2" t="e">
        <f ca="1">_xll.BDH($C$278,"DILUTED_EPS_AFT_XO_ITEMS_GROWTH","FQ3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286" s="2" t="e">
        <f ca="1">_xll.BDH($C$278,"DIVIDEND_PER_SHARE_1_YEAR_GROWTH","FQ3 2015","FQ3 2015","Currency=INR","Period=FQ","BEST_FPERIOD_OVERRIDE=FQ","FILING_STATUS=OR","EQY_CONSOLIDATED=Y","Sort=A","Dates=H","DateFormat=P","Fill=—","Direction=H","UseDPDF=Y")</f>
        <v>#NAME?</v>
      </c>
      <c r="Z286" s="2" t="e">
        <f ca="1">_xll.BDH($C$278,"ACCOUNTS_RECEIVABLE_GROWTH","FQ3 2015","FQ3 2015","Currency=INR","Period=FQ","BEST_FPERIOD_OVERRIDE=FQ","FILING_STATUS=OR","EQY_CONSOLIDATED=Y","Sort=A","Dates=H","DateFormat=P","Fill=—","Direction=H","UseDPDF=Y")</f>
        <v>#NAME?</v>
      </c>
      <c r="AA286" s="2" t="e">
        <f ca="1">_xll.BDH($C$278,"INVENTORY_GROWTH","FQ3 2015","FQ3 2015","Currency=INR","Period=FQ","BEST_FPERIOD_OVERRIDE=FQ","FILING_STATUS=OR","EQY_CONSOLIDATED=Y","Sort=A","Dates=H","DateFormat=P","Fill=—","Direction=H","UseDPDF=Y")</f>
        <v>#NAME?</v>
      </c>
      <c r="AB286" s="2" t="e">
        <f ca="1">_xll.BDH($C$278,"NET_FIXED_ASSETS_1_YEAR_GROWTH","FQ3 2015","FQ3 2015","Currency=INR","Period=FQ","BEST_FPERIOD_OVERRIDE=FQ","FILING_STATUS=OR","EQY_CONSOLIDATED=Y","Sort=A","Dates=H","DateFormat=P","Fill=—","Direction=H","UseDPDF=Y")</f>
        <v>#NAME?</v>
      </c>
      <c r="AC286" s="2" t="e">
        <f ca="1">_xll.BDH($C$278,"ASSET_GROWTH","FQ3 2015","FQ3 2015","Currency=INR","Period=FQ","BEST_FPERIOD_OVERRIDE=FQ","FILING_STATUS=OR","EQY_CONSOLIDATED=Y","Sort=A","Dates=H","DateFormat=P","Fill=—","Direction=H","UseDPDF=Y")</f>
        <v>#NAME?</v>
      </c>
      <c r="AD286" s="2" t="e">
        <f ca="1">_xll.BDH($C$278,"MODIFIED_WORK_CAP_GROWTH","FQ3 2015","FQ3 2015","Currency=INR","Period=FQ","BEST_FPERIOD_OVERRIDE=FQ","FILING_STATUS=OR","EQY_CONSOLIDATED=Y","Sort=A","Dates=H","DateFormat=P","Fill=—","Direction=H","UseDPDF=Y")</f>
        <v>#NAME?</v>
      </c>
      <c r="AE286" s="2" t="e">
        <f ca="1">_xll.BDH($C$278,"WORK_CAP_GROWTH","FQ3 2015","FQ3 2015","Currency=INR","Period=FQ","BEST_FPERIOD_OVERRIDE=FQ","FILING_STATUS=OR","EQY_CONSOLIDATED=Y","Sort=A","Dates=H","DateFormat=P","Fill=—","Direction=H","UseDPDF=Y")</f>
        <v>#NAME?</v>
      </c>
      <c r="AF286" s="2" t="e">
        <f ca="1">_xll.BDH($C$278,"ACCOUNTS_PAYABLE_GROWTH_1YR","FQ3 2015","FQ3 2015","Currency=INR","Period=FQ","BEST_FPERIOD_OVERRIDE=FQ","FILING_STATUS=OR","EQY_CONSOLIDATED=Y","Sort=A","Dates=H","DateFormat=P","Fill=—","Direction=H","UseDPDF=Y")</f>
        <v>#NAME?</v>
      </c>
      <c r="AG286" s="2" t="e">
        <f ca="1">_xll.BDH($C$278,"SHORT_TERM_DEBT_1_YEAR_GROWTH","FQ3 2015","FQ3 2015","Currency=INR","Period=FQ","BEST_FPERIOD_OVERRIDE=FQ","FILING_STATUS=OR","EQY_CONSOLIDATED=Y","Sort=A","Dates=H","DateFormat=P","Fill=—","Direction=H","UseDPDF=Y")</f>
        <v>#NAME?</v>
      </c>
      <c r="AH286" s="2" t="e">
        <f ca="1">_xll.BDH($C$278,"TOTAL_DEBT_1_YEAR_GROWTH","FQ3 2015","FQ3 2015","Currency=INR","Period=FQ","BEST_FPERIOD_OVERRIDE=FQ","FILING_STATUS=OR","EQY_CONSOLIDATED=Y","Sort=A","Dates=H","DateFormat=P","Fill=—","Direction=H","UseDPDF=Y")</f>
        <v>#NAME?</v>
      </c>
      <c r="AI286" s="2" t="e">
        <f ca="1">_xll.BDH($C$278,"TOTAL_EQUITY_1_YEAR_GROWTH","FQ3 2015","FQ3 2015","Currency=INR","Period=FQ","BEST_FPERIOD_OVERRIDE=FQ","FILING_STATUS=OR","EQY_CONSOLIDATED=Y","Sort=A","Dates=H","DateFormat=P","Fill=—","Direction=H","UseDPDF=Y")</f>
        <v>#NAME?</v>
      </c>
      <c r="AJ286" s="2" t="e">
        <f ca="1">_xll.BDH($C$278,"GROWTH_IN_CAP","FQ3 2015","FQ3 2015","Currency=INR","Period=FQ","BEST_FPERIOD_OVERRIDE=FQ","FILING_STATUS=OR","EQY_CONSOLIDATED=Y","Sort=A","Dates=H","DateFormat=P","Fill=—","Direction=H","UseDPDF=Y")</f>
        <v>#NAME?</v>
      </c>
      <c r="AK286" s="2" t="e">
        <f ca="1">_xll.BDH($C$278,"BVPS_GROWTH","FQ3 2015","FQ3 2015","Currency=INR","Period=FQ","BEST_FPERIOD_OVERRIDE=FQ","FILING_STATUS=OR","EQY_CONSOLIDATED=Y","Sort=A","Dates=H","DateFormat=P","Fill=—","Direction=H","UseDPDF=Y")</f>
        <v>#NAME?</v>
      </c>
      <c r="AL286" s="2" t="e">
        <f ca="1">_xll.BDH($C$278,"CASH_FLOW_GROWTH","FQ3 2015","FQ3 2015","Currency=INR","Period=FQ","BEST_FPERIOD_OVERRIDE=FQ","FILING_STATUS=OR","EQY_CONSOLIDATED=Y","Sort=A","Dates=H","DateFormat=P","Fill=—","Direction=H","UseDPDF=Y")</f>
        <v>#NAME?</v>
      </c>
      <c r="AM286" s="2" t="e">
        <f ca="1">_xll.BDH($C$278,"GEO_GROW_NET_SALES","FQ3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286" s="2" t="e">
        <f ca="1">_xll.BDH($C$278,"GEO_GROW_EBITDA","FQ3 2015","FQ3 2015","Currency=INR","Period=FQ","BEST_FPERIOD_OVERRIDE=FQ","FILING_STATUS=OR","EQY_CONSOLIDATED=Y","FA_ADJUSTED=GAAP","Sort=A","Dates=H","DateFormat=P","Fill=—","Direction=H","UseDPDF=Y")</f>
        <v>#NAME?</v>
      </c>
      <c r="AO286" s="2" t="e">
        <f ca="1">_xll.BDH($C$278,"GEO_GROW_OPER_INC","FQ3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286" s="2" t="e">
        <f ca="1">_xll.BDH($C$278,"NET_INCOME_TO_COMMON_5_YR_GROWTH","FQ3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286" s="2" t="e">
        <f ca="1">_xll.BDH($C$278,"5Y_GEO_GROWTH_DILUTED_EPS","FQ3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286" s="2" t="e">
        <f ca="1">_xll.BDH($C$278,"GEO_GROW_DVD_PER_SH","FQ3 2015","FQ3 2015","Currency=INR","Period=FQ","BEST_FPERIOD_OVERRIDE=FQ","FILING_STATUS=OR","EQY_CONSOLIDATED=Y","Sort=A","Dates=H","DateFormat=P","Fill=—","Direction=H","UseDPDF=Y")</f>
        <v>#NAME?</v>
      </c>
      <c r="AS286" s="2" t="e">
        <f ca="1">_xll.BDH($C$278,"ACCOUNTS_RECEIVABLE_5_YR_GROWTH","FQ3 2015","FQ3 2015","Currency=INR","Period=FQ","BEST_FPERIOD_OVERRIDE=FQ","FILING_STATUS=OR","EQY_CONSOLIDATED=Y","Sort=A","Dates=H","DateFormat=P","Fill=—","Direction=H","UseDPDF=Y")</f>
        <v>#NAME?</v>
      </c>
      <c r="AT286" s="2" t="e">
        <f ca="1">_xll.BDH($C$278,"INVENTORY_5_YEAR_GROWTH","FQ3 2015","FQ3 2015","Currency=INR","Period=FQ","BEST_FPERIOD_OVERRIDE=FQ","FILING_STATUS=OR","EQY_CONSOLIDATED=Y","Sort=A","Dates=H","DateFormat=P","Fill=—","Direction=H","UseDPDF=Y")</f>
        <v>#NAME?</v>
      </c>
      <c r="AU286" s="2" t="e">
        <f ca="1">_xll.BDH($C$278,"NET_FIXED_ASSETS_5_YEAR_GROWTH","FQ3 2015","FQ3 2015","Currency=INR","Period=FQ","BEST_FPERIOD_OVERRIDE=FQ","FILING_STATUS=OR","EQY_CONSOLIDATED=Y","Sort=A","Dates=H","DateFormat=P","Fill=—","Direction=H","UseDPDF=Y")</f>
        <v>#NAME?</v>
      </c>
      <c r="AV286" s="2" t="e">
        <f ca="1">_xll.BDH($C$278,"GEO_GROW_TOT_ASSET","FQ3 2015","FQ3 2015","Currency=INR","Period=FQ","BEST_FPERIOD_OVERRIDE=FQ","FILING_STATUS=OR","EQY_CONSOLIDATED=Y","Sort=A","Dates=H","DateFormat=P","Fill=—","Direction=H","UseDPDF=Y")</f>
        <v>#NAME?</v>
      </c>
      <c r="AW286" s="2" t="e">
        <f ca="1">_xll.BDH($C$278,"MODIFIED_WORKING_CPTL_5YR_GRWTH","FQ3 2015","FQ3 2015","Currency=INR","Period=FQ","BEST_FPERIOD_OVERRIDE=FQ","FILING_STATUS=OR","EQY_CONSOLIDATED=Y","Sort=A","Dates=H","DateFormat=P","Fill=—","Direction=H","UseDPDF=Y")</f>
        <v>#NAME?</v>
      </c>
      <c r="AX286" s="2" t="e">
        <f ca="1">_xll.BDH($C$278,"WORKING_CAPITAL_5_YEAR_GROWTH","FQ3 2015","FQ3 2015","Currency=INR","Period=FQ","BEST_FPERIOD_OVERRIDE=FQ","FILING_STATUS=OR","EQY_CONSOLIDATED=Y","Sort=A","Dates=H","DateFormat=P","Fill=—","Direction=H","UseDPDF=Y")</f>
        <v>#NAME?</v>
      </c>
      <c r="AY286" s="2" t="e">
        <f ca="1">_xll.BDH($C$278,"ACCOUNTS_PAYABLE_5_YEAR_GROWTH","FQ3 2015","FQ3 2015","Currency=INR","Period=FQ","BEST_FPERIOD_OVERRIDE=FQ","FILING_STATUS=OR","EQY_CONSOLIDATED=Y","Sort=A","Dates=H","DateFormat=P","Fill=—","Direction=H","UseDPDF=Y")</f>
        <v>#NAME?</v>
      </c>
      <c r="AZ286" s="2" t="e">
        <f ca="1">_xll.BDH($C$278,"SHORT_TERM_DEBT_5_YEAR_GROWTH","FQ3 2015","FQ3 2015","Currency=INR","Period=FQ","BEST_FPERIOD_OVERRIDE=FQ","FILING_STATUS=OR","EQY_CONSOLIDATED=Y","Sort=A","Dates=H","DateFormat=P","Fill=—","Direction=H","UseDPDF=Y")</f>
        <v>#NAME?</v>
      </c>
      <c r="BA286" s="2" t="e">
        <f ca="1">_xll.BDH($C$278,"TOTAL_DEBT_5_YEAR_GROWTH","FQ3 2015","FQ3 2015","Currency=INR","Period=FQ","BEST_FPERIOD_OVERRIDE=FQ","FILING_STATUS=OR","EQY_CONSOLIDATED=Y","Sort=A","Dates=H","DateFormat=P","Fill=—","Direction=H","UseDPDF=Y")</f>
        <v>#NAME?</v>
      </c>
      <c r="BB286" s="2" t="e">
        <f ca="1">_xll.BDH($C$278,"GEO_GROW_TOT_SHRHLDR_EQY","FQ3 2015","FQ3 2015","Currency=INR","Period=FQ","BEST_FPERIOD_OVERRIDE=FQ","FILING_STATUS=OR","EQY_CONSOLIDATED=Y","Sort=A","Dates=H","DateFormat=P","Fill=—","Direction=H","UseDPDF=Y")</f>
        <v>#NAME?</v>
      </c>
      <c r="BC286" s="2" t="e">
        <f ca="1">_xll.BDH($C$278,"TOTAL_CAPITAL_5_YEAR_GROWTH","FQ3 2015","FQ3 2015","Currency=INR","Period=FQ","BEST_FPERIOD_OVERRIDE=FQ","FILING_STATUS=OR","EQY_CONSOLIDATED=Y","Sort=A","Dates=H","DateFormat=P","Fill=—","Direction=H","UseDPDF=Y")</f>
        <v>#NAME?</v>
      </c>
      <c r="BD286" s="2" t="e">
        <f ca="1">_xll.BDH($C$278,"GEO_GROW_BOOK_VAL","FQ3 2015","FQ3 2015","Currency=INR","Period=FQ","BEST_FPERIOD_OVERRIDE=FQ","FILING_STATUS=OR","EQY_CONSOLIDATED=Y","Sort=A","Dates=H","DateFormat=P","Fill=—","Direction=H","UseDPDF=Y")</f>
        <v>#NAME?</v>
      </c>
      <c r="BE286" s="2" t="e">
        <f ca="1">_xll.BDH($C$278,"GEO_GROW_CASH_OPER_ACT","FQ3 2015","FQ3 2015","Currency=INR","Period=FQ","BEST_FPERIOD_OVERRIDE=FQ","FILING_STATUS=OR","EQY_CONSOLIDATED=Y","Sort=A","Dates=H","DateFormat=P","Fill=—","Direction=H","UseDPDF=Y")</f>
        <v>#NAME?</v>
      </c>
      <c r="BF286" s="2" t="e">
        <f ca="1">_xll.BDH($C$278,"REVENUE_SEQUENTIAL_GROWTH","FQ3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286" s="2" t="e">
        <f ca="1">_xll.BDH($C$278,"EBITDA_SEQUENTIAL_GROWTH","FQ3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286" s="2" t="e">
        <f ca="1">_xll.BDH($C$278,"OPERATING_INCOME_SEQ_GROWTH","FQ3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286" s="2" t="e">
        <f ca="1">_xll.BDH($C$278,"NET_INCOME_TO_COMMON_SEQ_GROWTH","FQ3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286" s="2" t="e">
        <f ca="1">_xll.BDH($C$278,"EPS_DILUTED_SEQUENTIAL_GROWTH","FQ3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286" s="2" t="e">
        <f ca="1">_xll.BDH($C$278,"DPS_SEQUENTIAL_GROWTH","FQ3 2015","FQ3 2015","Currency=INR","Period=FQ","BEST_FPERIOD_OVERRIDE=FQ","FILING_STATUS=OR","EQY_CONSOLIDATED=Y","Sort=A","Dates=H","DateFormat=P","Fill=—","Direction=H","UseDPDF=Y")</f>
        <v>#NAME?</v>
      </c>
      <c r="BL286" s="2" t="e">
        <f ca="1">_xll.BDH($C$278,"ACCOUNTS_RECEIVABLE_SEQ_GROWTH","FQ3 2015","FQ3 2015","Currency=INR","Period=FQ","BEST_FPERIOD_OVERRIDE=FQ","FILING_STATUS=OR","EQY_CONSOLIDATED=Y","Sort=A","Dates=H","DateFormat=P","Fill=—","Direction=H","UseDPDF=Y")</f>
        <v>#NAME?</v>
      </c>
      <c r="BM286" s="2" t="e">
        <f ca="1">_xll.BDH($C$278,"INVENTORY_SEQUENTIAL_GROWTH","FQ3 2015","FQ3 2015","Currency=INR","Period=FQ","BEST_FPERIOD_OVERRIDE=FQ","FILING_STATUS=OR","EQY_CONSOLIDATED=Y","Sort=A","Dates=H","DateFormat=P","Fill=—","Direction=H","UseDPDF=Y")</f>
        <v>#NAME?</v>
      </c>
      <c r="BN286" s="2" t="e">
        <f ca="1">_xll.BDH($C$278,"FIXED_ASSETS_SEQUENTIAL_GROWTH","FQ3 2015","FQ3 2015","Currency=INR","Period=FQ","BEST_FPERIOD_OVERRIDE=FQ","FILING_STATUS=OR","EQY_CONSOLIDATED=Y","Sort=A","Dates=H","DateFormat=P","Fill=—","Direction=H","UseDPDF=Y")</f>
        <v>#NAME?</v>
      </c>
      <c r="BO286" s="2" t="e">
        <f ca="1">_xll.BDH($C$278,"TOTAL_ASSETS_SEQUENTIAL_GROWTH","FQ3 2015","FQ3 2015","Currency=INR","Period=FQ","BEST_FPERIOD_OVERRIDE=FQ","FILING_STATUS=OR","EQY_CONSOLIDATED=Y","Sort=A","Dates=H","DateFormat=P","Fill=—","Direction=H","UseDPDF=Y")</f>
        <v>#NAME?</v>
      </c>
      <c r="BP286" s="2" t="e">
        <f ca="1">_xll.BDH($C$278,"MODIFIED_WORKING_CPTL_SEQ_GRWTH","FQ3 2015","FQ3 2015","Currency=INR","Period=FQ","BEST_FPERIOD_OVERRIDE=FQ","FILING_STATUS=OR","EQY_CONSOLIDATED=Y","Sort=A","Dates=H","DateFormat=P","Fill=—","Direction=H","UseDPDF=Y")</f>
        <v>#NAME?</v>
      </c>
      <c r="BQ286" s="2" t="e">
        <f ca="1">_xll.BDH($C$278,"WORKING_CAPITAL_SEQ_GROWTH","FQ3 2015","FQ3 2015","Currency=INR","Period=FQ","BEST_FPERIOD_OVERRIDE=FQ","FILING_STATUS=OR","EQY_CONSOLIDATED=Y","Sort=A","Dates=H","DateFormat=P","Fill=—","Direction=H","UseDPDF=Y")</f>
        <v>#NAME?</v>
      </c>
      <c r="BR286" s="2" t="e">
        <f ca="1">_xll.BDH($C$278,"ACCOUNTS_PAYABLE_SEQ_GROWTH","FQ3 2015","FQ3 2015","Currency=INR","Period=FQ","BEST_FPERIOD_OVERRIDE=FQ","FILING_STATUS=OR","EQY_CONSOLIDATED=Y","Sort=A","Dates=H","DateFormat=P","Fill=—","Direction=H","UseDPDF=Y")</f>
        <v>#NAME?</v>
      </c>
      <c r="BS286" s="2" t="e">
        <f ca="1">_xll.BDH($C$278,"ST_DEBT_SEQUENTIAL_GROWTH","FQ3 2015","FQ3 2015","Currency=INR","Period=FQ","BEST_FPERIOD_OVERRIDE=FQ","FILING_STATUS=OR","EQY_CONSOLIDATED=Y","Sort=A","Dates=H","DateFormat=P","Fill=—","Direction=H","UseDPDF=Y")</f>
        <v>#NAME?</v>
      </c>
      <c r="BT286" s="2" t="e">
        <f ca="1">_xll.BDH($C$278,"TOTAL_DEBT_SEQUENTIAL_GROWTH","FQ3 2015","FQ3 2015","Currency=INR","Period=FQ","BEST_FPERIOD_OVERRIDE=FQ","FILING_STATUS=OR","EQY_CONSOLIDATED=Y","Sort=A","Dates=H","DateFormat=P","Fill=—","Direction=H","UseDPDF=Y")</f>
        <v>#NAME?</v>
      </c>
      <c r="BU286" s="2" t="e">
        <f ca="1">_xll.BDH($C$278,"TOTAL_EQUITY_SEQUENTIAL_GROWTH","FQ3 2015","FQ3 2015","Currency=INR","Period=FQ","BEST_FPERIOD_OVERRIDE=FQ","FILING_STATUS=OR","EQY_CONSOLIDATED=Y","Sort=A","Dates=H","DateFormat=P","Fill=—","Direction=H","UseDPDF=Y")</f>
        <v>#NAME?</v>
      </c>
      <c r="BV286" s="2" t="e">
        <f ca="1">_xll.BDH($C$278,"TOTAL_CAPITAL_SEQUENTIAL_GROWTH","FQ3 2015","FQ3 2015","Currency=INR","Period=FQ","BEST_FPERIOD_OVERRIDE=FQ","FILING_STATUS=OR","EQY_CONSOLIDATED=Y","Sort=A","Dates=H","DateFormat=P","Fill=—","Direction=H","UseDPDF=Y")</f>
        <v>#NAME?</v>
      </c>
      <c r="BW286" s="2" t="e">
        <f ca="1">_xll.BDH($C$278,"BPS_SEQUENTIAL_GROWTH","FQ3 2015","FQ3 2015","Currency=INR","Period=FQ","BEST_FPERIOD_OVERRIDE=FQ","FILING_STATUS=OR","EQY_CONSOLIDATED=Y","Sort=A","Dates=H","DateFormat=P","Fill=—","Direction=H","UseDPDF=Y")</f>
        <v>#NAME?</v>
      </c>
      <c r="BX286" s="2" t="e">
        <f ca="1">_xll.BDH($C$278,"CFO_SEQUENTIAL_GROWTH","FQ3 2015","FQ3 2015","Currency=INR","Period=FQ","BEST_FPERIOD_OVERRIDE=FQ","FILING_STATUS=OR","EQY_CONSOLIDATED=Y","Sort=A","Dates=H","DateFormat=P","Fill=—","Direction=H","UseDPDF=Y")</f>
        <v>#NAME?</v>
      </c>
      <c r="BY286" s="3" t="e">
        <f ca="1">_xll.BDH($C$278,"SHORT_AND_LONG_TERM_DEBT","FQ3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286" s="3" t="e">
        <f ca="1">_xll.BDH($C$278,"BS_ST_BORROW","FQ3 2015","FQ3 2015","Currency=INR","Period=FQ","BEST_FPERIOD_OVERRIDE=FQ","FILING_STATUS=OR","EQY_CONSOLIDATED=Y","SCALING_FORMAT=MLN","Sort=A","Dates=H","DateFormat=P","Fill=—","Direction=H","UseDPDF=Y")</f>
        <v>#NAME?</v>
      </c>
      <c r="CA286" s="3" t="e">
        <f ca="1">_xll.BDH($C$278,"BS_LT_BORROW","FQ3 2015","FQ3 2015","Currency=INR","Period=FQ","BEST_FPERIOD_OVERRIDE=FQ","FILING_STATUS=OR","EQY_CONSOLIDATED=Y","SCALING_FORMAT=MLN","Sort=A","Dates=H","DateFormat=P","Fill=—","Direction=H","UseDPDF=Y")</f>
        <v>#NAME?</v>
      </c>
      <c r="CB286" s="2" t="e">
        <f ca="1">_xll.BDH($C$278,"TOT_DEBT_TO_EBITDA","FQ3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286" s="2" t="e">
        <f ca="1">_xll.BDH($C$278,"NET_DEBT_TO_EBITDA","FQ3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286" s="2" t="e">
        <f ca="1">_xll.BDH($C$278,"TOTAL_DEBT_TO_EBIT","FQ3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286" s="2" t="e">
        <f ca="1">_xll.BDH($C$278,"NET_DEBT_TO_EBIT","FQ3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286" s="2" t="e">
        <f ca="1">_xll.BDH($C$278,"EBITDA_TO_INTEREST_EXPN","FQ3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286" s="2" t="e">
        <f ca="1">_xll.BDH($C$278,"COM_EQY_TO_TOT_ASSET","FQ3 2015","FQ3 2015","Currency=INR","Period=FQ","BEST_FPERIOD_OVERRIDE=FQ","FILING_STATUS=OR","EQY_CONSOLIDATED=Y","Sort=A","Dates=H","DateFormat=P","Fill=—","Direction=H","UseDPDF=Y")</f>
        <v>#NAME?</v>
      </c>
      <c r="CH286" s="2" t="e">
        <f ca="1">_xll.BDH($C$278,"LT_DEBT_TO_TOT_EQY","FQ3 2015","FQ3 2015","Currency=INR","Period=FQ","BEST_FPERIOD_OVERRIDE=FQ","FILING_STATUS=OR","EQY_CONSOLIDATED=Y","Sort=A","Dates=H","DateFormat=P","Fill=—","Direction=H","UseDPDF=Y")</f>
        <v>#NAME?</v>
      </c>
      <c r="CI286" s="2" t="e">
        <f ca="1">_xll.BDH($C$278,"LT_DEBT_TO_TOT_CAP","FQ3 2015","FQ3 2015","Currency=INR","Period=FQ","BEST_FPERIOD_OVERRIDE=FQ","FILING_STATUS=OR","EQY_CONSOLIDATED=Y","Sort=A","Dates=H","DateFormat=P","Fill=—","Direction=H","UseDPDF=Y")</f>
        <v>#NAME?</v>
      </c>
      <c r="CJ286" s="2" t="e">
        <f ca="1">_xll.BDH($C$278,"LT_DEBT_TO_TOT_ASSET","FQ3 2015","FQ3 2015","Currency=INR","Period=FQ","BEST_FPERIOD_OVERRIDE=FQ","FILING_STATUS=OR","EQY_CONSOLIDATED=Y","Sort=A","Dates=H","DateFormat=P","Fill=—","Direction=H","UseDPDF=Y")</f>
        <v>#NAME?</v>
      </c>
      <c r="CK286" s="2" t="e">
        <f ca="1">_xll.BDH($C$278,"TOT_DEBT_TO_TOT_EQY","FQ3 2015","FQ3 2015","Currency=INR","Period=FQ","BEST_FPERIOD_OVERRIDE=FQ","FILING_STATUS=OR","EQY_CONSOLIDATED=Y","Sort=A","Dates=H","DateFormat=P","Fill=—","Direction=H","UseDPDF=Y")</f>
        <v>#NAME?</v>
      </c>
      <c r="CL286" s="2" t="e">
        <f ca="1">_xll.BDH($C$278,"TOT_DEBT_TO_TOT_CAP","FQ3 2015","FQ3 2015","Currency=INR","Period=FQ","BEST_FPERIOD_OVERRIDE=FQ","FILING_STATUS=OR","EQY_CONSOLIDATED=Y","Sort=A","Dates=H","DateFormat=P","Fill=—","Direction=H","UseDPDF=Y")</f>
        <v>#NAME?</v>
      </c>
      <c r="CM286" s="2" t="e">
        <f ca="1">_xll.BDH($C$278,"TOT_DEBT_TO_TOT_ASSET","FQ3 2015","FQ3 2015","Currency=INR","Period=FQ","BEST_FPERIOD_OVERRIDE=FQ","FILING_STATUS=OR","EQY_CONSOLIDATED=Y","Sort=A","Dates=H","DateFormat=P","Fill=—","Direction=H","UseDPDF=Y")</f>
        <v>#NAME?</v>
      </c>
      <c r="CN286" s="2" t="e">
        <f ca="1">_xll.BDH($C$278,"NET_DEBT_TO_SHRHLDR_EQTY","FQ3 2015","FQ3 2015","Currency=INR","Period=FQ","BEST_FPERIOD_OVERRIDE=FQ","FILING_STATUS=OR","EQY_CONSOLIDATED=Y","Sort=A","Dates=H","DateFormat=P","Fill=—","Direction=H","UseDPDF=Y")</f>
        <v>#NAME?</v>
      </c>
      <c r="CO286" s="2" t="e">
        <f ca="1">_xll.BDH($C$278,"NET_DEBT_%_CAPITAL","FQ3 2015","FQ3 2015","Currency=INR","Period=FQ","BEST_FPERIOD_OVERRIDE=FQ","FILING_STATUS=OR","EQY_CONSOLIDATED=Y","Sort=A","Dates=H","DateFormat=P","Fill=—","Direction=H","UseDPDF=Y")</f>
        <v>#NAME?</v>
      </c>
      <c r="CP286" s="3" t="e">
        <f ca="1">_xll.BDH($C$278,"EBITDA","FQ3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286" s="3" t="e">
        <f ca="1">_xll.BDH($C$278,"EBITDA_AFTER_CAPEX","FQ3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286" s="3" t="e">
        <f ca="1">_xll.BDH($C$278,"IS_OPER_INC","FQ3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286" s="2" t="e">
        <f ca="1">_xll.BDH($C$278,"CASH_RATIO","FQ3 2015","FQ3 2015","Currency=INR","Period=FQ","BEST_FPERIOD_OVERRIDE=FQ","FILING_STATUS=OR","EQY_CONSOLIDATED=Y","Sort=A","Dates=H","DateFormat=P","Fill=—","Direction=H","UseDPDF=Y")</f>
        <v>#NAME?</v>
      </c>
      <c r="CT286" s="2" t="e">
        <f ca="1">_xll.BDH($C$278,"CUR_RATIO","FQ3 2015","FQ3 2015","Currency=INR","Period=FQ","BEST_FPERIOD_OVERRIDE=FQ","FILING_STATUS=OR","EQY_CONSOLIDATED=Y","Sort=A","Dates=H","DateFormat=P","Fill=—","Direction=H","UseDPDF=Y")</f>
        <v>#NAME?</v>
      </c>
      <c r="CU286" s="2" t="e">
        <f ca="1">_xll.BDH($C$278,"QUICK_RATIO","FQ3 2015","FQ3 2015","Currency=INR","Period=FQ","BEST_FPERIOD_OVERRIDE=FQ","FILING_STATUS=OR","EQY_CONSOLIDATED=Y","Sort=A","Dates=H","DateFormat=P","Fill=—","Direction=H","UseDPDF=Y")</f>
        <v>#NAME?</v>
      </c>
      <c r="CV286" s="2" t="e">
        <f ca="1">_xll.BDH($C$278,"ALTMAN_Z_SCORE","FQ3 2015","FQ3 2015","Currency=INR","Period=FQ","BEST_FPERIOD_OVERRIDE=FQ","FILING_STATUS=OR","EQY_CONSOLIDATED=Y","Sort=A","Dates=H","DateFormat=P","Fill=—","Direction=H","UseDPDF=Y")</f>
        <v>#NAME?</v>
      </c>
      <c r="CW286" s="4" t="e">
        <f ca="1">_xll.BDH($C$278,"ACCT_RCV_TURN","FQ3 2015","FQ3 2015","Currency=INR","Period=FQ","BEST_FPERIOD_OVERRIDE=FQ","FILING_STATUS=OR","EQY_CONSOLIDATED=Y","FA_ADJUSTED=GAAP","Sort=A","Dates=H","DateFormat=P","Fill=—","Direction=H","UseDPDF=Y")</f>
        <v>#NAME?</v>
      </c>
      <c r="CX286" s="2" t="e">
        <f ca="1">_xll.BDH($C$278,"ACCT_RCV_DAYS","FQ3 2015","FQ3 2015","Currency=INR","Period=FQ","BEST_FPERIOD_OVERRIDE=FQ","FILING_STATUS=OR","EQY_CONSOLIDATED=Y","FA_ADJUSTED=GAAP","Sort=A","Dates=H","DateFormat=P","Fill=—","Direction=H","UseDPDF=Y")</f>
        <v>#NAME?</v>
      </c>
      <c r="CY286" s="4" t="e">
        <f ca="1">_xll.BDH($C$278,"INVENT_TURN","FQ3 2015","FQ3 2015","Currency=INR","Period=FQ","BEST_FPERIOD_OVERRIDE=FQ","FILING_STATUS=OR","EQY_CONSOLIDATED=Y","FA_ADJUSTED=GAAP","Sort=A","Dates=H","DateFormat=P","Fill=—","Direction=H","UseDPDF=Y")</f>
        <v>#NAME?</v>
      </c>
      <c r="CZ286" s="2" t="e">
        <f ca="1">_xll.BDH($C$278,"INVENT_DAYS","FQ3 2015","FQ3 2015","Currency=INR","Period=FQ","BEST_FPERIOD_OVERRIDE=FQ","FILING_STATUS=OR","EQY_CONSOLIDATED=Y","FA_ADJUSTED=GAAP","Sort=A","Dates=H","DateFormat=P","Fill=—","Direction=H","UseDPDF=Y")</f>
        <v>#NAME?</v>
      </c>
      <c r="DA286" s="4" t="e">
        <f ca="1">_xll.BDH($C$278,"ACCOUNTS_PAYABLE_TURNOVER","FQ3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286" s="2" t="e">
        <f ca="1">_xll.BDH($C$278,"ACCOUNTS_PAYABLE_TURNOVER_DAYS","FQ3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286" s="4" t="e">
        <f ca="1">_xll.BDH($C$278,"CASH_CONVERSION_CYCLE","FQ3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286" s="4" t="e">
        <f ca="1">_xll.BDH($C$278,"INV_TO_CASH_DAYS","FQ3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286" s="5" t="e">
        <f ca="1">_xll.BDH($C$278,"BS_INVENTORIES","FQ3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286" s="3" t="e">
        <f ca="1">_xll.BDH($C$278,"INVTRY_RAW_MATERIALS","FQ3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286" s="3" t="e">
        <f ca="1">_xll.BDH($C$278,"INVTRY_IN_PROGRESS","FQ3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286" s="3" t="e">
        <f ca="1">_xll.BDH($C$278,"INVTRY_FINISHED_GOODS","FQ3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286" s="3" t="e">
        <f ca="1">_xll.BDH($C$278,"BS_OTHER_INV","FQ3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287" spans="1:113" x14ac:dyDescent="0.3">
      <c r="A287" s="6"/>
      <c r="B287" s="6"/>
      <c r="C287" s="6"/>
      <c r="D287" s="6"/>
      <c r="E287" t="s">
        <v>81</v>
      </c>
      <c r="F287" t="e">
        <f ca="1">_xll.BDH($C$278,"RETURN_COM_EQY","FQ4 2015","FQ4 2015","Currency=INR","Period=FQ","BEST_FPERIOD_OVERRIDE=FQ","FILING_STATUS=OR","EQY_CONSOLIDATED=Y","FA_ADJUSTED=GAAP","Sort=A","Dates=H","DateFormat=P","Fill=—","Direction=H","UseDPDF=Y")</f>
        <v>#NAME?</v>
      </c>
      <c r="G287" t="e">
        <f ca="1">_xll.BDH($C$278,"RETURN_ON_ASSET","FQ4 2015","FQ4 2015","Currency=INR","Period=FQ","BEST_FPERIOD_OVERRIDE=FQ","FILING_STATUS=OR","EQY_CONSOLIDATED=Y","FA_ADJUSTED=GAAP","Sort=A","Dates=H","DateFormat=P","Fill=—","Direction=H","UseDPDF=Y")</f>
        <v>#NAME?</v>
      </c>
      <c r="H287" t="e">
        <f ca="1">_xll.BDH($C$278,"RETURN_ON_CAP","FQ4 2015","FQ4 2015","Currency=INR","Period=FQ","BEST_FPERIOD_OVERRIDE=FQ","FILING_STATUS=OR","EQY_CONSOLIDATED=Y","FA_ADJUSTED=GAAP","Sort=A","Dates=H","DateFormat=P","Fill=—","Direction=H","UseDPDF=Y")</f>
        <v>#NAME?</v>
      </c>
      <c r="I287" t="e">
        <f ca="1">_xll.BDH($C$278,"RETURN_ON_INV_CAPITAL","FQ4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287" t="e">
        <f ca="1">_xll.BDH($C$278,"EBITDA_TO_REVENUE","FQ4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287" t="e">
        <f ca="1">_xll.BDH($C$278,"OPER_MARGIN","FQ4 2015","FQ4 2015","Currency=INR","Period=FQ","BEST_FPERIOD_OVERRIDE=FQ","FILING_STATUS=OR","EQY_CONSOLIDATED=Y","FA_ADJUSTED=GAAP","Sort=A","Dates=H","DateFormat=P","Fill=—","Direction=H","UseDPDF=Y")</f>
        <v>#NAME?</v>
      </c>
      <c r="L287" t="e">
        <f ca="1">_xll.BDH($C$278,"INCREMENTAL_OPERATING_MARGIN","FQ4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287" t="e">
        <f ca="1">_xll.BDH($C$278,"PRETAX_INC_TO_NET_SALES","FQ4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287" t="e">
        <f ca="1">_xll.BDH($C$278,"INC_BEF_XO_ITEMS_TO_NET_SALES","FQ4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287" t="e">
        <f ca="1">_xll.BDH($C$278,"PROF_MARGIN","FQ4 2015","FQ4 2015","Currency=INR","Period=FQ","BEST_FPERIOD_OVERRIDE=FQ","FILING_STATUS=OR","EQY_CONSOLIDATED=Y","FA_ADJUSTED=GAAP","Sort=A","Dates=H","DateFormat=P","Fill=—","Direction=H","UseDPDF=Y")</f>
        <v>#NAME?</v>
      </c>
      <c r="P287" t="e">
        <f ca="1">_xll.BDH($C$278,"NET_INCOME_TO_COMMON_MARGIN","FQ4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287" t="e">
        <f ca="1">_xll.BDH($C$278,"EFF_TAX_RATE","FQ4 2015","FQ4 2015","Currency=INR","Period=FQ","BEST_FPERIOD_OVERRIDE=FQ","FILING_STATUS=OR","EQY_CONSOLIDATED=Y","FA_ADJUSTED=GAAP","Sort=A","Dates=H","DateFormat=P","Fill=—","Direction=H","UseDPDF=Y")</f>
        <v>#NAME?</v>
      </c>
      <c r="R287" t="e">
        <f ca="1">_xll.BDH($C$278,"DVD_PAYOUT_RATIO","FQ4 2015","FQ4 2015","Currency=INR","Period=FQ","BEST_FPERIOD_OVERRIDE=FQ","FILING_STATUS=OR","EQY_CONSOLIDATED=Y","FA_ADJUSTED=GAAP","Sort=A","Dates=H","DateFormat=P","Fill=—","Direction=H","UseDPDF=Y")</f>
        <v>#NAME?</v>
      </c>
      <c r="S287" t="e">
        <f ca="1">_xll.BDH($C$278,"SUSTAIN_GROWTH_RT","FQ4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287" s="2" t="e">
        <f ca="1">_xll.BDH($C$278,"SALES_GROWTH","FQ4 2015","FQ4 2015","Currency=INR","Period=FQ","BEST_FPERIOD_OVERRIDE=FQ","FILING_STATUS=OR","EQY_CONSOLIDATED=Y","FA_ADJUSTED=GAAP","Sort=A","Dates=H","DateFormat=P","Fill=—","Direction=H","UseDPDF=Y")</f>
        <v>#NAME?</v>
      </c>
      <c r="U287" s="2" t="e">
        <f ca="1">_xll.BDH($C$278,"EBITDA_GROWTH","FQ4 2015","FQ4 2015","Currency=INR","Period=FQ","BEST_FPERIOD_OVERRIDE=FQ","FILING_STATUS=OR","EQY_CONSOLIDATED=Y","FA_ADJUSTED=GAAP","Sort=A","Dates=H","DateFormat=P","Fill=—","Direction=H","UseDPDF=Y")</f>
        <v>#NAME?</v>
      </c>
      <c r="V287" s="2" t="e">
        <f ca="1">_xll.BDH($C$278,"OPER_INC_GROWTH","FQ4 2015","FQ4 2015","Currency=INR","Period=FQ","BEST_FPERIOD_OVERRIDE=FQ","FILING_STATUS=OR","EQY_CONSOLIDATED=Y","FA_ADJUSTED=GAAP","Sort=A","Dates=H","DateFormat=P","Fill=—","Direction=H","UseDPDF=Y")</f>
        <v>#NAME?</v>
      </c>
      <c r="W287" s="2" t="e">
        <f ca="1">_xll.BDH($C$278,"EARN_FOR_COM_GROWTH","FQ4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287" s="2" t="e">
        <f ca="1">_xll.BDH($C$278,"DILUTED_EPS_AFT_XO_ITEMS_GROWTH","FQ4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287" s="2" t="e">
        <f ca="1">_xll.BDH($C$278,"DIVIDEND_PER_SHARE_1_YEAR_GROWTH","FQ4 2015","FQ4 2015","Currency=INR","Period=FQ","BEST_FPERIOD_OVERRIDE=FQ","FILING_STATUS=OR","EQY_CONSOLIDATED=Y","Sort=A","Dates=H","DateFormat=P","Fill=—","Direction=H","UseDPDF=Y")</f>
        <v>#NAME?</v>
      </c>
      <c r="Z287" s="2" t="e">
        <f ca="1">_xll.BDH($C$278,"ACCOUNTS_RECEIVABLE_GROWTH","FQ4 2015","FQ4 2015","Currency=INR","Period=FQ","BEST_FPERIOD_OVERRIDE=FQ","FILING_STATUS=OR","EQY_CONSOLIDATED=Y","Sort=A","Dates=H","DateFormat=P","Fill=—","Direction=H","UseDPDF=Y")</f>
        <v>#NAME?</v>
      </c>
      <c r="AA287" s="2" t="e">
        <f ca="1">_xll.BDH($C$278,"INVENTORY_GROWTH","FQ4 2015","FQ4 2015","Currency=INR","Period=FQ","BEST_FPERIOD_OVERRIDE=FQ","FILING_STATUS=OR","EQY_CONSOLIDATED=Y","Sort=A","Dates=H","DateFormat=P","Fill=—","Direction=H","UseDPDF=Y")</f>
        <v>#NAME?</v>
      </c>
      <c r="AB287" s="2" t="e">
        <f ca="1">_xll.BDH($C$278,"NET_FIXED_ASSETS_1_YEAR_GROWTH","FQ4 2015","FQ4 2015","Currency=INR","Period=FQ","BEST_FPERIOD_OVERRIDE=FQ","FILING_STATUS=OR","EQY_CONSOLIDATED=Y","Sort=A","Dates=H","DateFormat=P","Fill=—","Direction=H","UseDPDF=Y")</f>
        <v>#NAME?</v>
      </c>
      <c r="AC287" s="2" t="e">
        <f ca="1">_xll.BDH($C$278,"ASSET_GROWTH","FQ4 2015","FQ4 2015","Currency=INR","Period=FQ","BEST_FPERIOD_OVERRIDE=FQ","FILING_STATUS=OR","EQY_CONSOLIDATED=Y","Sort=A","Dates=H","DateFormat=P","Fill=—","Direction=H","UseDPDF=Y")</f>
        <v>#NAME?</v>
      </c>
      <c r="AD287" s="2" t="e">
        <f ca="1">_xll.BDH($C$278,"MODIFIED_WORK_CAP_GROWTH","FQ4 2015","FQ4 2015","Currency=INR","Period=FQ","BEST_FPERIOD_OVERRIDE=FQ","FILING_STATUS=OR","EQY_CONSOLIDATED=Y","Sort=A","Dates=H","DateFormat=P","Fill=—","Direction=H","UseDPDF=Y")</f>
        <v>#NAME?</v>
      </c>
      <c r="AE287" s="2" t="e">
        <f ca="1">_xll.BDH($C$278,"WORK_CAP_GROWTH","FQ4 2015","FQ4 2015","Currency=INR","Period=FQ","BEST_FPERIOD_OVERRIDE=FQ","FILING_STATUS=OR","EQY_CONSOLIDATED=Y","Sort=A","Dates=H","DateFormat=P","Fill=—","Direction=H","UseDPDF=Y")</f>
        <v>#NAME?</v>
      </c>
      <c r="AF287" s="2" t="e">
        <f ca="1">_xll.BDH($C$278,"ACCOUNTS_PAYABLE_GROWTH_1YR","FQ4 2015","FQ4 2015","Currency=INR","Period=FQ","BEST_FPERIOD_OVERRIDE=FQ","FILING_STATUS=OR","EQY_CONSOLIDATED=Y","Sort=A","Dates=H","DateFormat=P","Fill=—","Direction=H","UseDPDF=Y")</f>
        <v>#NAME?</v>
      </c>
      <c r="AG287" s="2" t="e">
        <f ca="1">_xll.BDH($C$278,"SHORT_TERM_DEBT_1_YEAR_GROWTH","FQ4 2015","FQ4 2015","Currency=INR","Period=FQ","BEST_FPERIOD_OVERRIDE=FQ","FILING_STATUS=OR","EQY_CONSOLIDATED=Y","Sort=A","Dates=H","DateFormat=P","Fill=—","Direction=H","UseDPDF=Y")</f>
        <v>#NAME?</v>
      </c>
      <c r="AH287" s="2" t="e">
        <f ca="1">_xll.BDH($C$278,"TOTAL_DEBT_1_YEAR_GROWTH","FQ4 2015","FQ4 2015","Currency=INR","Period=FQ","BEST_FPERIOD_OVERRIDE=FQ","FILING_STATUS=OR","EQY_CONSOLIDATED=Y","Sort=A","Dates=H","DateFormat=P","Fill=—","Direction=H","UseDPDF=Y")</f>
        <v>#NAME?</v>
      </c>
      <c r="AI287" s="2" t="e">
        <f ca="1">_xll.BDH($C$278,"TOTAL_EQUITY_1_YEAR_GROWTH","FQ4 2015","FQ4 2015","Currency=INR","Period=FQ","BEST_FPERIOD_OVERRIDE=FQ","FILING_STATUS=OR","EQY_CONSOLIDATED=Y","Sort=A","Dates=H","DateFormat=P","Fill=—","Direction=H","UseDPDF=Y")</f>
        <v>#NAME?</v>
      </c>
      <c r="AJ287" s="2" t="e">
        <f ca="1">_xll.BDH($C$278,"GROWTH_IN_CAP","FQ4 2015","FQ4 2015","Currency=INR","Period=FQ","BEST_FPERIOD_OVERRIDE=FQ","FILING_STATUS=OR","EQY_CONSOLIDATED=Y","Sort=A","Dates=H","DateFormat=P","Fill=—","Direction=H","UseDPDF=Y")</f>
        <v>#NAME?</v>
      </c>
      <c r="AK287" s="2" t="e">
        <f ca="1">_xll.BDH($C$278,"BVPS_GROWTH","FQ4 2015","FQ4 2015","Currency=INR","Period=FQ","BEST_FPERIOD_OVERRIDE=FQ","FILING_STATUS=OR","EQY_CONSOLIDATED=Y","Sort=A","Dates=H","DateFormat=P","Fill=—","Direction=H","UseDPDF=Y")</f>
        <v>#NAME?</v>
      </c>
      <c r="AL287" s="2" t="e">
        <f ca="1">_xll.BDH($C$278,"CASH_FLOW_GROWTH","FQ4 2015","FQ4 2015","Currency=INR","Period=FQ","BEST_FPERIOD_OVERRIDE=FQ","FILING_STATUS=OR","EQY_CONSOLIDATED=Y","Sort=A","Dates=H","DateFormat=P","Fill=—","Direction=H","UseDPDF=Y")</f>
        <v>#NAME?</v>
      </c>
      <c r="AM287" s="2" t="e">
        <f ca="1">_xll.BDH($C$278,"GEO_GROW_NET_SALES","FQ4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287" s="2" t="e">
        <f ca="1">_xll.BDH($C$278,"GEO_GROW_EBITDA","FQ4 2015","FQ4 2015","Currency=INR","Period=FQ","BEST_FPERIOD_OVERRIDE=FQ","FILING_STATUS=OR","EQY_CONSOLIDATED=Y","FA_ADJUSTED=GAAP","Sort=A","Dates=H","DateFormat=P","Fill=—","Direction=H","UseDPDF=Y")</f>
        <v>#NAME?</v>
      </c>
      <c r="AO287" s="2" t="e">
        <f ca="1">_xll.BDH($C$278,"GEO_GROW_OPER_INC","FQ4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287" s="2" t="e">
        <f ca="1">_xll.BDH($C$278,"NET_INCOME_TO_COMMON_5_YR_GROWTH","FQ4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287" s="2" t="e">
        <f ca="1">_xll.BDH($C$278,"5Y_GEO_GROWTH_DILUTED_EPS","FQ4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287" s="2" t="e">
        <f ca="1">_xll.BDH($C$278,"GEO_GROW_DVD_PER_SH","FQ4 2015","FQ4 2015","Currency=INR","Period=FQ","BEST_FPERIOD_OVERRIDE=FQ","FILING_STATUS=OR","EQY_CONSOLIDATED=Y","Sort=A","Dates=H","DateFormat=P","Fill=—","Direction=H","UseDPDF=Y")</f>
        <v>#NAME?</v>
      </c>
      <c r="AS287" s="2" t="e">
        <f ca="1">_xll.BDH($C$278,"ACCOUNTS_RECEIVABLE_5_YR_GROWTH","FQ4 2015","FQ4 2015","Currency=INR","Period=FQ","BEST_FPERIOD_OVERRIDE=FQ","FILING_STATUS=OR","EQY_CONSOLIDATED=Y","Sort=A","Dates=H","DateFormat=P","Fill=—","Direction=H","UseDPDF=Y")</f>
        <v>#NAME?</v>
      </c>
      <c r="AT287" s="2" t="e">
        <f ca="1">_xll.BDH($C$278,"INVENTORY_5_YEAR_GROWTH","FQ4 2015","FQ4 2015","Currency=INR","Period=FQ","BEST_FPERIOD_OVERRIDE=FQ","FILING_STATUS=OR","EQY_CONSOLIDATED=Y","Sort=A","Dates=H","DateFormat=P","Fill=—","Direction=H","UseDPDF=Y")</f>
        <v>#NAME?</v>
      </c>
      <c r="AU287" s="2" t="e">
        <f ca="1">_xll.BDH($C$278,"NET_FIXED_ASSETS_5_YEAR_GROWTH","FQ4 2015","FQ4 2015","Currency=INR","Period=FQ","BEST_FPERIOD_OVERRIDE=FQ","FILING_STATUS=OR","EQY_CONSOLIDATED=Y","Sort=A","Dates=H","DateFormat=P","Fill=—","Direction=H","UseDPDF=Y")</f>
        <v>#NAME?</v>
      </c>
      <c r="AV287" s="2" t="e">
        <f ca="1">_xll.BDH($C$278,"GEO_GROW_TOT_ASSET","FQ4 2015","FQ4 2015","Currency=INR","Period=FQ","BEST_FPERIOD_OVERRIDE=FQ","FILING_STATUS=OR","EQY_CONSOLIDATED=Y","Sort=A","Dates=H","DateFormat=P","Fill=—","Direction=H","UseDPDF=Y")</f>
        <v>#NAME?</v>
      </c>
      <c r="AW287" s="2" t="e">
        <f ca="1">_xll.BDH($C$278,"MODIFIED_WORKING_CPTL_5YR_GRWTH","FQ4 2015","FQ4 2015","Currency=INR","Period=FQ","BEST_FPERIOD_OVERRIDE=FQ","FILING_STATUS=OR","EQY_CONSOLIDATED=Y","Sort=A","Dates=H","DateFormat=P","Fill=—","Direction=H","UseDPDF=Y")</f>
        <v>#NAME?</v>
      </c>
      <c r="AX287" s="2" t="e">
        <f ca="1">_xll.BDH($C$278,"WORKING_CAPITAL_5_YEAR_GROWTH","FQ4 2015","FQ4 2015","Currency=INR","Period=FQ","BEST_FPERIOD_OVERRIDE=FQ","FILING_STATUS=OR","EQY_CONSOLIDATED=Y","Sort=A","Dates=H","DateFormat=P","Fill=—","Direction=H","UseDPDF=Y")</f>
        <v>#NAME?</v>
      </c>
      <c r="AY287" s="2" t="e">
        <f ca="1">_xll.BDH($C$278,"ACCOUNTS_PAYABLE_5_YEAR_GROWTH","FQ4 2015","FQ4 2015","Currency=INR","Period=FQ","BEST_FPERIOD_OVERRIDE=FQ","FILING_STATUS=OR","EQY_CONSOLIDATED=Y","Sort=A","Dates=H","DateFormat=P","Fill=—","Direction=H","UseDPDF=Y")</f>
        <v>#NAME?</v>
      </c>
      <c r="AZ287" s="2" t="e">
        <f ca="1">_xll.BDH($C$278,"SHORT_TERM_DEBT_5_YEAR_GROWTH","FQ4 2015","FQ4 2015","Currency=INR","Period=FQ","BEST_FPERIOD_OVERRIDE=FQ","FILING_STATUS=OR","EQY_CONSOLIDATED=Y","Sort=A","Dates=H","DateFormat=P","Fill=—","Direction=H","UseDPDF=Y")</f>
        <v>#NAME?</v>
      </c>
      <c r="BA287" s="2" t="e">
        <f ca="1">_xll.BDH($C$278,"TOTAL_DEBT_5_YEAR_GROWTH","FQ4 2015","FQ4 2015","Currency=INR","Period=FQ","BEST_FPERIOD_OVERRIDE=FQ","FILING_STATUS=OR","EQY_CONSOLIDATED=Y","Sort=A","Dates=H","DateFormat=P","Fill=—","Direction=H","UseDPDF=Y")</f>
        <v>#NAME?</v>
      </c>
      <c r="BB287" s="2" t="e">
        <f ca="1">_xll.BDH($C$278,"GEO_GROW_TOT_SHRHLDR_EQY","FQ4 2015","FQ4 2015","Currency=INR","Period=FQ","BEST_FPERIOD_OVERRIDE=FQ","FILING_STATUS=OR","EQY_CONSOLIDATED=Y","Sort=A","Dates=H","DateFormat=P","Fill=—","Direction=H","UseDPDF=Y")</f>
        <v>#NAME?</v>
      </c>
      <c r="BC287" s="2" t="e">
        <f ca="1">_xll.BDH($C$278,"TOTAL_CAPITAL_5_YEAR_GROWTH","FQ4 2015","FQ4 2015","Currency=INR","Period=FQ","BEST_FPERIOD_OVERRIDE=FQ","FILING_STATUS=OR","EQY_CONSOLIDATED=Y","Sort=A","Dates=H","DateFormat=P","Fill=—","Direction=H","UseDPDF=Y")</f>
        <v>#NAME?</v>
      </c>
      <c r="BD287" s="2" t="e">
        <f ca="1">_xll.BDH($C$278,"GEO_GROW_BOOK_VAL","FQ4 2015","FQ4 2015","Currency=INR","Period=FQ","BEST_FPERIOD_OVERRIDE=FQ","FILING_STATUS=OR","EQY_CONSOLIDATED=Y","Sort=A","Dates=H","DateFormat=P","Fill=—","Direction=H","UseDPDF=Y")</f>
        <v>#NAME?</v>
      </c>
      <c r="BE287" s="2" t="e">
        <f ca="1">_xll.BDH($C$278,"GEO_GROW_CASH_OPER_ACT","FQ4 2015","FQ4 2015","Currency=INR","Period=FQ","BEST_FPERIOD_OVERRIDE=FQ","FILING_STATUS=OR","EQY_CONSOLIDATED=Y","Sort=A","Dates=H","DateFormat=P","Fill=—","Direction=H","UseDPDF=Y")</f>
        <v>#NAME?</v>
      </c>
      <c r="BF287" s="2" t="e">
        <f ca="1">_xll.BDH($C$278,"REVENUE_SEQUENTIAL_GROWTH","FQ4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287" s="2" t="e">
        <f ca="1">_xll.BDH($C$278,"EBITDA_SEQUENTIAL_GROWTH","FQ4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287" s="2" t="e">
        <f ca="1">_xll.BDH($C$278,"OPERATING_INCOME_SEQ_GROWTH","FQ4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287" s="2" t="e">
        <f ca="1">_xll.BDH($C$278,"NET_INCOME_TO_COMMON_SEQ_GROWTH","FQ4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287" s="2" t="e">
        <f ca="1">_xll.BDH($C$278,"EPS_DILUTED_SEQUENTIAL_GROWTH","FQ4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287" s="2" t="e">
        <f ca="1">_xll.BDH($C$278,"DPS_SEQUENTIAL_GROWTH","FQ4 2015","FQ4 2015","Currency=INR","Period=FQ","BEST_FPERIOD_OVERRIDE=FQ","FILING_STATUS=OR","EQY_CONSOLIDATED=Y","Sort=A","Dates=H","DateFormat=P","Fill=—","Direction=H","UseDPDF=Y")</f>
        <v>#NAME?</v>
      </c>
      <c r="BL287" s="2" t="e">
        <f ca="1">_xll.BDH($C$278,"ACCOUNTS_RECEIVABLE_SEQ_GROWTH","FQ4 2015","FQ4 2015","Currency=INR","Period=FQ","BEST_FPERIOD_OVERRIDE=FQ","FILING_STATUS=OR","EQY_CONSOLIDATED=Y","Sort=A","Dates=H","DateFormat=P","Fill=—","Direction=H","UseDPDF=Y")</f>
        <v>#NAME?</v>
      </c>
      <c r="BM287" s="2" t="e">
        <f ca="1">_xll.BDH($C$278,"INVENTORY_SEQUENTIAL_GROWTH","FQ4 2015","FQ4 2015","Currency=INR","Period=FQ","BEST_FPERIOD_OVERRIDE=FQ","FILING_STATUS=OR","EQY_CONSOLIDATED=Y","Sort=A","Dates=H","DateFormat=P","Fill=—","Direction=H","UseDPDF=Y")</f>
        <v>#NAME?</v>
      </c>
      <c r="BN287" s="2" t="e">
        <f ca="1">_xll.BDH($C$278,"FIXED_ASSETS_SEQUENTIAL_GROWTH","FQ4 2015","FQ4 2015","Currency=INR","Period=FQ","BEST_FPERIOD_OVERRIDE=FQ","FILING_STATUS=OR","EQY_CONSOLIDATED=Y","Sort=A","Dates=H","DateFormat=P","Fill=—","Direction=H","UseDPDF=Y")</f>
        <v>#NAME?</v>
      </c>
      <c r="BO287" s="2" t="e">
        <f ca="1">_xll.BDH($C$278,"TOTAL_ASSETS_SEQUENTIAL_GROWTH","FQ4 2015","FQ4 2015","Currency=INR","Period=FQ","BEST_FPERIOD_OVERRIDE=FQ","FILING_STATUS=OR","EQY_CONSOLIDATED=Y","Sort=A","Dates=H","DateFormat=P","Fill=—","Direction=H","UseDPDF=Y")</f>
        <v>#NAME?</v>
      </c>
      <c r="BP287" s="2" t="e">
        <f ca="1">_xll.BDH($C$278,"MODIFIED_WORKING_CPTL_SEQ_GRWTH","FQ4 2015","FQ4 2015","Currency=INR","Period=FQ","BEST_FPERIOD_OVERRIDE=FQ","FILING_STATUS=OR","EQY_CONSOLIDATED=Y","Sort=A","Dates=H","DateFormat=P","Fill=—","Direction=H","UseDPDF=Y")</f>
        <v>#NAME?</v>
      </c>
      <c r="BQ287" s="2" t="e">
        <f ca="1">_xll.BDH($C$278,"WORKING_CAPITAL_SEQ_GROWTH","FQ4 2015","FQ4 2015","Currency=INR","Period=FQ","BEST_FPERIOD_OVERRIDE=FQ","FILING_STATUS=OR","EQY_CONSOLIDATED=Y","Sort=A","Dates=H","DateFormat=P","Fill=—","Direction=H","UseDPDF=Y")</f>
        <v>#NAME?</v>
      </c>
      <c r="BR287" s="2" t="e">
        <f ca="1">_xll.BDH($C$278,"ACCOUNTS_PAYABLE_SEQ_GROWTH","FQ4 2015","FQ4 2015","Currency=INR","Period=FQ","BEST_FPERIOD_OVERRIDE=FQ","FILING_STATUS=OR","EQY_CONSOLIDATED=Y","Sort=A","Dates=H","DateFormat=P","Fill=—","Direction=H","UseDPDF=Y")</f>
        <v>#NAME?</v>
      </c>
      <c r="BS287" s="2" t="e">
        <f ca="1">_xll.BDH($C$278,"ST_DEBT_SEQUENTIAL_GROWTH","FQ4 2015","FQ4 2015","Currency=INR","Period=FQ","BEST_FPERIOD_OVERRIDE=FQ","FILING_STATUS=OR","EQY_CONSOLIDATED=Y","Sort=A","Dates=H","DateFormat=P","Fill=—","Direction=H","UseDPDF=Y")</f>
        <v>#NAME?</v>
      </c>
      <c r="BT287" s="2" t="e">
        <f ca="1">_xll.BDH($C$278,"TOTAL_DEBT_SEQUENTIAL_GROWTH","FQ4 2015","FQ4 2015","Currency=INR","Period=FQ","BEST_FPERIOD_OVERRIDE=FQ","FILING_STATUS=OR","EQY_CONSOLIDATED=Y","Sort=A","Dates=H","DateFormat=P","Fill=—","Direction=H","UseDPDF=Y")</f>
        <v>#NAME?</v>
      </c>
      <c r="BU287" s="2" t="e">
        <f ca="1">_xll.BDH($C$278,"TOTAL_EQUITY_SEQUENTIAL_GROWTH","FQ4 2015","FQ4 2015","Currency=INR","Period=FQ","BEST_FPERIOD_OVERRIDE=FQ","FILING_STATUS=OR","EQY_CONSOLIDATED=Y","Sort=A","Dates=H","DateFormat=P","Fill=—","Direction=H","UseDPDF=Y")</f>
        <v>#NAME?</v>
      </c>
      <c r="BV287" s="2" t="e">
        <f ca="1">_xll.BDH($C$278,"TOTAL_CAPITAL_SEQUENTIAL_GROWTH","FQ4 2015","FQ4 2015","Currency=INR","Period=FQ","BEST_FPERIOD_OVERRIDE=FQ","FILING_STATUS=OR","EQY_CONSOLIDATED=Y","Sort=A","Dates=H","DateFormat=P","Fill=—","Direction=H","UseDPDF=Y")</f>
        <v>#NAME?</v>
      </c>
      <c r="BW287" s="2" t="e">
        <f ca="1">_xll.BDH($C$278,"BPS_SEQUENTIAL_GROWTH","FQ4 2015","FQ4 2015","Currency=INR","Period=FQ","BEST_FPERIOD_OVERRIDE=FQ","FILING_STATUS=OR","EQY_CONSOLIDATED=Y","Sort=A","Dates=H","DateFormat=P","Fill=—","Direction=H","UseDPDF=Y")</f>
        <v>#NAME?</v>
      </c>
      <c r="BX287" s="2" t="e">
        <f ca="1">_xll.BDH($C$278,"CFO_SEQUENTIAL_GROWTH","FQ4 2015","FQ4 2015","Currency=INR","Period=FQ","BEST_FPERIOD_OVERRIDE=FQ","FILING_STATUS=OR","EQY_CONSOLIDATED=Y","Sort=A","Dates=H","DateFormat=P","Fill=—","Direction=H","UseDPDF=Y")</f>
        <v>#NAME?</v>
      </c>
      <c r="BY287" s="3" t="e">
        <f ca="1">_xll.BDH($C$278,"SHORT_AND_LONG_TERM_DEBT","FQ4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287" s="3" t="e">
        <f ca="1">_xll.BDH($C$278,"BS_ST_BORROW","FQ4 2015","FQ4 2015","Currency=INR","Period=FQ","BEST_FPERIOD_OVERRIDE=FQ","FILING_STATUS=OR","EQY_CONSOLIDATED=Y","SCALING_FORMAT=MLN","Sort=A","Dates=H","DateFormat=P","Fill=—","Direction=H","UseDPDF=Y")</f>
        <v>#NAME?</v>
      </c>
      <c r="CA287" s="3" t="e">
        <f ca="1">_xll.BDH($C$278,"BS_LT_BORROW","FQ4 2015","FQ4 2015","Currency=INR","Period=FQ","BEST_FPERIOD_OVERRIDE=FQ","FILING_STATUS=OR","EQY_CONSOLIDATED=Y","SCALING_FORMAT=MLN","Sort=A","Dates=H","DateFormat=P","Fill=—","Direction=H","UseDPDF=Y")</f>
        <v>#NAME?</v>
      </c>
      <c r="CB287" s="2" t="e">
        <f ca="1">_xll.BDH($C$278,"TOT_DEBT_TO_EBITDA","FQ4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287" s="2" t="e">
        <f ca="1">_xll.BDH($C$278,"NET_DEBT_TO_EBITDA","FQ4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287" s="2" t="e">
        <f ca="1">_xll.BDH($C$278,"TOTAL_DEBT_TO_EBIT","FQ4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287" s="2" t="e">
        <f ca="1">_xll.BDH($C$278,"NET_DEBT_TO_EBIT","FQ4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287" s="2" t="e">
        <f ca="1">_xll.BDH($C$278,"EBITDA_TO_INTEREST_EXPN","FQ4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287" s="2" t="e">
        <f ca="1">_xll.BDH($C$278,"COM_EQY_TO_TOT_ASSET","FQ4 2015","FQ4 2015","Currency=INR","Period=FQ","BEST_FPERIOD_OVERRIDE=FQ","FILING_STATUS=OR","EQY_CONSOLIDATED=Y","Sort=A","Dates=H","DateFormat=P","Fill=—","Direction=H","UseDPDF=Y")</f>
        <v>#NAME?</v>
      </c>
      <c r="CH287" s="2" t="e">
        <f ca="1">_xll.BDH($C$278,"LT_DEBT_TO_TOT_EQY","FQ4 2015","FQ4 2015","Currency=INR","Period=FQ","BEST_FPERIOD_OVERRIDE=FQ","FILING_STATUS=OR","EQY_CONSOLIDATED=Y","Sort=A","Dates=H","DateFormat=P","Fill=—","Direction=H","UseDPDF=Y")</f>
        <v>#NAME?</v>
      </c>
      <c r="CI287" s="2" t="e">
        <f ca="1">_xll.BDH($C$278,"LT_DEBT_TO_TOT_CAP","FQ4 2015","FQ4 2015","Currency=INR","Period=FQ","BEST_FPERIOD_OVERRIDE=FQ","FILING_STATUS=OR","EQY_CONSOLIDATED=Y","Sort=A","Dates=H","DateFormat=P","Fill=—","Direction=H","UseDPDF=Y")</f>
        <v>#NAME?</v>
      </c>
      <c r="CJ287" s="2" t="e">
        <f ca="1">_xll.BDH($C$278,"LT_DEBT_TO_TOT_ASSET","FQ4 2015","FQ4 2015","Currency=INR","Period=FQ","BEST_FPERIOD_OVERRIDE=FQ","FILING_STATUS=OR","EQY_CONSOLIDATED=Y","Sort=A","Dates=H","DateFormat=P","Fill=—","Direction=H","UseDPDF=Y")</f>
        <v>#NAME?</v>
      </c>
      <c r="CK287" s="2" t="e">
        <f ca="1">_xll.BDH($C$278,"TOT_DEBT_TO_TOT_EQY","FQ4 2015","FQ4 2015","Currency=INR","Period=FQ","BEST_FPERIOD_OVERRIDE=FQ","FILING_STATUS=OR","EQY_CONSOLIDATED=Y","Sort=A","Dates=H","DateFormat=P","Fill=—","Direction=H","UseDPDF=Y")</f>
        <v>#NAME?</v>
      </c>
      <c r="CL287" s="2" t="e">
        <f ca="1">_xll.BDH($C$278,"TOT_DEBT_TO_TOT_CAP","FQ4 2015","FQ4 2015","Currency=INR","Period=FQ","BEST_FPERIOD_OVERRIDE=FQ","FILING_STATUS=OR","EQY_CONSOLIDATED=Y","Sort=A","Dates=H","DateFormat=P","Fill=—","Direction=H","UseDPDF=Y")</f>
        <v>#NAME?</v>
      </c>
      <c r="CM287" s="2" t="e">
        <f ca="1">_xll.BDH($C$278,"TOT_DEBT_TO_TOT_ASSET","FQ4 2015","FQ4 2015","Currency=INR","Period=FQ","BEST_FPERIOD_OVERRIDE=FQ","FILING_STATUS=OR","EQY_CONSOLIDATED=Y","Sort=A","Dates=H","DateFormat=P","Fill=—","Direction=H","UseDPDF=Y")</f>
        <v>#NAME?</v>
      </c>
      <c r="CN287" s="2" t="e">
        <f ca="1">_xll.BDH($C$278,"NET_DEBT_TO_SHRHLDR_EQTY","FQ4 2015","FQ4 2015","Currency=INR","Period=FQ","BEST_FPERIOD_OVERRIDE=FQ","FILING_STATUS=OR","EQY_CONSOLIDATED=Y","Sort=A","Dates=H","DateFormat=P","Fill=—","Direction=H","UseDPDF=Y")</f>
        <v>#NAME?</v>
      </c>
      <c r="CO287" s="2" t="e">
        <f ca="1">_xll.BDH($C$278,"NET_DEBT_%_CAPITAL","FQ4 2015","FQ4 2015","Currency=INR","Period=FQ","BEST_FPERIOD_OVERRIDE=FQ","FILING_STATUS=OR","EQY_CONSOLIDATED=Y","Sort=A","Dates=H","DateFormat=P","Fill=—","Direction=H","UseDPDF=Y")</f>
        <v>#NAME?</v>
      </c>
      <c r="CP287" s="3" t="e">
        <f ca="1">_xll.BDH($C$278,"EBITDA","FQ4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287" s="3" t="e">
        <f ca="1">_xll.BDH($C$278,"EBITDA_AFTER_CAPEX","FQ4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287" s="3" t="e">
        <f ca="1">_xll.BDH($C$278,"IS_OPER_INC","FQ4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287" s="2" t="e">
        <f ca="1">_xll.BDH($C$278,"CASH_RATIO","FQ4 2015","FQ4 2015","Currency=INR","Period=FQ","BEST_FPERIOD_OVERRIDE=FQ","FILING_STATUS=OR","EQY_CONSOLIDATED=Y","Sort=A","Dates=H","DateFormat=P","Fill=—","Direction=H","UseDPDF=Y")</f>
        <v>#NAME?</v>
      </c>
      <c r="CT287" s="2" t="e">
        <f ca="1">_xll.BDH($C$278,"CUR_RATIO","FQ4 2015","FQ4 2015","Currency=INR","Period=FQ","BEST_FPERIOD_OVERRIDE=FQ","FILING_STATUS=OR","EQY_CONSOLIDATED=Y","Sort=A","Dates=H","DateFormat=P","Fill=—","Direction=H","UseDPDF=Y")</f>
        <v>#NAME?</v>
      </c>
      <c r="CU287" s="2" t="e">
        <f ca="1">_xll.BDH($C$278,"QUICK_RATIO","FQ4 2015","FQ4 2015","Currency=INR","Period=FQ","BEST_FPERIOD_OVERRIDE=FQ","FILING_STATUS=OR","EQY_CONSOLIDATED=Y","Sort=A","Dates=H","DateFormat=P","Fill=—","Direction=H","UseDPDF=Y")</f>
        <v>#NAME?</v>
      </c>
      <c r="CV287" s="2" t="e">
        <f ca="1">_xll.BDH($C$278,"ALTMAN_Z_SCORE","FQ4 2015","FQ4 2015","Currency=INR","Period=FQ","BEST_FPERIOD_OVERRIDE=FQ","FILING_STATUS=OR","EQY_CONSOLIDATED=Y","Sort=A","Dates=H","DateFormat=P","Fill=—","Direction=H","UseDPDF=Y")</f>
        <v>#NAME?</v>
      </c>
      <c r="CW287" s="4" t="e">
        <f ca="1">_xll.BDH($C$278,"ACCT_RCV_TURN","FQ4 2015","FQ4 2015","Currency=INR","Period=FQ","BEST_FPERIOD_OVERRIDE=FQ","FILING_STATUS=OR","EQY_CONSOLIDATED=Y","FA_ADJUSTED=GAAP","Sort=A","Dates=H","DateFormat=P","Fill=—","Direction=H","UseDPDF=Y")</f>
        <v>#NAME?</v>
      </c>
      <c r="CX287" s="2" t="e">
        <f ca="1">_xll.BDH($C$278,"ACCT_RCV_DAYS","FQ4 2015","FQ4 2015","Currency=INR","Period=FQ","BEST_FPERIOD_OVERRIDE=FQ","FILING_STATUS=OR","EQY_CONSOLIDATED=Y","FA_ADJUSTED=GAAP","Sort=A","Dates=H","DateFormat=P","Fill=—","Direction=H","UseDPDF=Y")</f>
        <v>#NAME?</v>
      </c>
      <c r="CY287" s="4" t="e">
        <f ca="1">_xll.BDH($C$278,"INVENT_TURN","FQ4 2015","FQ4 2015","Currency=INR","Period=FQ","BEST_FPERIOD_OVERRIDE=FQ","FILING_STATUS=OR","EQY_CONSOLIDATED=Y","FA_ADJUSTED=GAAP","Sort=A","Dates=H","DateFormat=P","Fill=—","Direction=H","UseDPDF=Y")</f>
        <v>#NAME?</v>
      </c>
      <c r="CZ287" s="2" t="e">
        <f ca="1">_xll.BDH($C$278,"INVENT_DAYS","FQ4 2015","FQ4 2015","Currency=INR","Period=FQ","BEST_FPERIOD_OVERRIDE=FQ","FILING_STATUS=OR","EQY_CONSOLIDATED=Y","FA_ADJUSTED=GAAP","Sort=A","Dates=H","DateFormat=P","Fill=—","Direction=H","UseDPDF=Y")</f>
        <v>#NAME?</v>
      </c>
      <c r="DA287" s="4" t="e">
        <f ca="1">_xll.BDH($C$278,"ACCOUNTS_PAYABLE_TURNOVER","FQ4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287" s="2" t="e">
        <f ca="1">_xll.BDH($C$278,"ACCOUNTS_PAYABLE_TURNOVER_DAYS","FQ4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287" s="4" t="e">
        <f ca="1">_xll.BDH($C$278,"CASH_CONVERSION_CYCLE","FQ4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287" s="4" t="e">
        <f ca="1">_xll.BDH($C$278,"INV_TO_CASH_DAYS","FQ4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287" s="5" t="e">
        <f ca="1">_xll.BDH($C$278,"BS_INVENTORIES","FQ4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287" s="3" t="e">
        <f ca="1">_xll.BDH($C$278,"INVTRY_RAW_MATERIALS","FQ4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287" s="3" t="e">
        <f ca="1">_xll.BDH($C$278,"INVTRY_IN_PROGRESS","FQ4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287" s="3" t="e">
        <f ca="1">_xll.BDH($C$278,"INVTRY_FINISHED_GOODS","FQ4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287" s="3" t="e">
        <f ca="1">_xll.BDH($C$278,"BS_OTHER_INV","FQ4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288" spans="1:113" x14ac:dyDescent="0.3">
      <c r="A288" s="6"/>
      <c r="B288" s="6"/>
      <c r="C288" s="6"/>
      <c r="D288" s="6" t="s">
        <v>83</v>
      </c>
      <c r="E288" t="s">
        <v>77</v>
      </c>
      <c r="F288" t="e">
        <f ca="1">_xll.BDH($C$278,"RETURN_COM_EQY","FY 2016","FY 2016","Currency=INR","Period=FY","BEST_FPERIOD_OVERRIDE=FY","FILING_STATUS=OR","EQY_CONSOLIDATED=Y","FA_ADJUSTED=GAAP","Sort=A","Dates=H","DateFormat=P","Fill=—","Direction=H","UseDPDF=Y")</f>
        <v>#NAME?</v>
      </c>
      <c r="G288" t="e">
        <f ca="1">_xll.BDH($C$278,"RETURN_ON_ASSET","FY 2016","FY 2016","Currency=INR","Period=FY","BEST_FPERIOD_OVERRIDE=FY","FILING_STATUS=OR","EQY_CONSOLIDATED=Y","FA_ADJUSTED=GAAP","Sort=A","Dates=H","DateFormat=P","Fill=—","Direction=H","UseDPDF=Y")</f>
        <v>#NAME?</v>
      </c>
      <c r="H288" t="e">
        <f ca="1">_xll.BDH($C$278,"RETURN_ON_CAP","FY 2016","FY 2016","Currency=INR","Period=FY","BEST_FPERIOD_OVERRIDE=FY","FILING_STATUS=OR","EQY_CONSOLIDATED=Y","FA_ADJUSTED=GAAP","Sort=A","Dates=H","DateFormat=P","Fill=—","Direction=H","UseDPDF=Y")</f>
        <v>#NAME?</v>
      </c>
      <c r="I288" t="e">
        <f ca="1">_xll.BDH($C$278,"RETURN_ON_INV_CAPITAL","FY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288" t="e">
        <f ca="1">_xll.BDH($C$278,"EBITDA_TO_REVENUE","FY 2016","FY 2016","Currency=INR","Period=FY","BEST_FPERIOD_OVERRIDE=FY","FILING_STATUS=OR","EQY_CONSOLIDATED=Y","FA_ADJUSTED=GAAP","Sort=A","Dates=H","DateFormat=P","Fill=—","Direction=H","UseDPDF=Y")</f>
        <v>#NAME?</v>
      </c>
      <c r="K288" t="e">
        <f ca="1">_xll.BDH($C$278,"OPER_MARGIN","FY 2016","FY 2016","Currency=INR","Period=FY","BEST_FPERIOD_OVERRIDE=FY","FILING_STATUS=OR","EQY_CONSOLIDATED=Y","FA_ADJUSTED=GAAP","Sort=A","Dates=H","DateFormat=P","Fill=—","Direction=H","UseDPDF=Y")</f>
        <v>#NAME?</v>
      </c>
      <c r="L288" t="e">
        <f ca="1">_xll.BDH($C$278,"INCREMENTAL_OPERATING_MARGIN","FY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288" t="e">
        <f ca="1">_xll.BDH($C$278,"PRETAX_INC_TO_NET_SALES","FY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288" t="e">
        <f ca="1">_xll.BDH($C$278,"INC_BEF_XO_ITEMS_TO_NET_SALES","FY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288" t="e">
        <f ca="1">_xll.BDH($C$278,"PROF_MARGIN","FY 2016","FY 2016","Currency=INR","Period=FY","BEST_FPERIOD_OVERRIDE=FY","FILING_STATUS=OR","EQY_CONSOLIDATED=Y","FA_ADJUSTED=GAAP","Sort=A","Dates=H","DateFormat=P","Fill=—","Direction=H","UseDPDF=Y")</f>
        <v>#NAME?</v>
      </c>
      <c r="P288" t="e">
        <f ca="1">_xll.BDH($C$278,"NET_INCOME_TO_COMMON_MARGIN","FY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288" t="e">
        <f ca="1">_xll.BDH($C$278,"EFF_TAX_RATE","FY 2016","FY 2016","Currency=INR","Period=FY","BEST_FPERIOD_OVERRIDE=FY","FILING_STATUS=OR","EQY_CONSOLIDATED=Y","FA_ADJUSTED=GAAP","Sort=A","Dates=H","DateFormat=P","Fill=—","Direction=H","UseDPDF=Y")</f>
        <v>#NAME?</v>
      </c>
      <c r="R288" t="e">
        <f ca="1">_xll.BDH($C$278,"DVD_PAYOUT_RATIO","FY 2016","FY 2016","Currency=INR","Period=FY","BEST_FPERIOD_OVERRIDE=FY","FILING_STATUS=OR","EQY_CONSOLIDATED=Y","FA_ADJUSTED=GAAP","Sort=A","Dates=H","DateFormat=P","Fill=—","Direction=H","UseDPDF=Y")</f>
        <v>#NAME?</v>
      </c>
      <c r="S288" t="e">
        <f ca="1">_xll.BDH($C$278,"SUSTAIN_GROWTH_RT","FY 2016","FY 2016","Currency=INR","Period=FY","BEST_FPERIOD_OVERRIDE=FY","FILING_STATUS=OR","EQY_CONSOLIDATED=Y","FA_ADJUSTED=GAAP","Sort=A","Dates=H","DateFormat=P","Fill=—","Direction=H","UseDPDF=Y")</f>
        <v>#NAME?</v>
      </c>
      <c r="T288" s="2" t="e">
        <f ca="1">_xll.BDH($C$278,"SALES_GROWTH","FY 2016","FY 2016","Currency=INR","Period=FY","BEST_FPERIOD_OVERRIDE=FY","FILING_STATUS=OR","EQY_CONSOLIDATED=Y","FA_ADJUSTED=GAAP","Sort=A","Dates=H","DateFormat=P","Fill=—","Direction=H","UseDPDF=Y")</f>
        <v>#NAME?</v>
      </c>
      <c r="U288" s="2" t="e">
        <f ca="1">_xll.BDH($C$278,"EBITDA_GROWTH","FY 2016","FY 2016","Currency=INR","Period=FY","BEST_FPERIOD_OVERRIDE=FY","FILING_STATUS=OR","EQY_CONSOLIDATED=Y","FA_ADJUSTED=GAAP","Sort=A","Dates=H","DateFormat=P","Fill=—","Direction=H","UseDPDF=Y")</f>
        <v>#NAME?</v>
      </c>
      <c r="V288" s="2" t="e">
        <f ca="1">_xll.BDH($C$278,"OPER_INC_GROWTH","FY 2016","FY 2016","Currency=INR","Period=FY","BEST_FPERIOD_OVERRIDE=FY","FILING_STATUS=OR","EQY_CONSOLIDATED=Y","FA_ADJUSTED=GAAP","Sort=A","Dates=H","DateFormat=P","Fill=—","Direction=H","UseDPDF=Y")</f>
        <v>#NAME?</v>
      </c>
      <c r="W288" s="2" t="e">
        <f ca="1">_xll.BDH($C$278,"EARN_FOR_COM_GROWTH","FY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288" s="2" t="e">
        <f ca="1">_xll.BDH($C$278,"DILUTED_EPS_AFT_XO_ITEMS_GROWTH","FY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288" s="2" t="e">
        <f ca="1">_xll.BDH($C$278,"DIVIDEND_PER_SHARE_1_YEAR_GROWTH","FY 2016","FY 2016","Currency=INR","Period=FY","BEST_FPERIOD_OVERRIDE=FY","FILING_STATUS=OR","EQY_CONSOLIDATED=Y","Sort=A","Dates=H","DateFormat=P","Fill=—","Direction=H","UseDPDF=Y")</f>
        <v>#NAME?</v>
      </c>
      <c r="Z288" s="2" t="e">
        <f ca="1">_xll.BDH($C$278,"ACCOUNTS_RECEIVABLE_GROWTH","FY 2016","FY 2016","Currency=INR","Period=FY","BEST_FPERIOD_OVERRIDE=FY","FILING_STATUS=OR","EQY_CONSOLIDATED=Y","Sort=A","Dates=H","DateFormat=P","Fill=—","Direction=H","UseDPDF=Y")</f>
        <v>#NAME?</v>
      </c>
      <c r="AA288" s="2" t="e">
        <f ca="1">_xll.BDH($C$278,"INVENTORY_GROWTH","FY 2016","FY 2016","Currency=INR","Period=FY","BEST_FPERIOD_OVERRIDE=FY","FILING_STATUS=OR","EQY_CONSOLIDATED=Y","Sort=A","Dates=H","DateFormat=P","Fill=—","Direction=H","UseDPDF=Y")</f>
        <v>#NAME?</v>
      </c>
      <c r="AB288" s="2" t="e">
        <f ca="1">_xll.BDH($C$278,"NET_FIXED_ASSETS_1_YEAR_GROWTH","FY 2016","FY 2016","Currency=INR","Period=FY","BEST_FPERIOD_OVERRIDE=FY","FILING_STATUS=OR","EQY_CONSOLIDATED=Y","Sort=A","Dates=H","DateFormat=P","Fill=—","Direction=H","UseDPDF=Y")</f>
        <v>#NAME?</v>
      </c>
      <c r="AC288" s="2" t="e">
        <f ca="1">_xll.BDH($C$278,"ASSET_GROWTH","FY 2016","FY 2016","Currency=INR","Period=FY","BEST_FPERIOD_OVERRIDE=FY","FILING_STATUS=OR","EQY_CONSOLIDATED=Y","Sort=A","Dates=H","DateFormat=P","Fill=—","Direction=H","UseDPDF=Y")</f>
        <v>#NAME?</v>
      </c>
      <c r="AD288" s="2" t="e">
        <f ca="1">_xll.BDH($C$278,"MODIFIED_WORK_CAP_GROWTH","FY 2016","FY 2016","Currency=INR","Period=FY","BEST_FPERIOD_OVERRIDE=FY","FILING_STATUS=OR","EQY_CONSOLIDATED=Y","Sort=A","Dates=H","DateFormat=P","Fill=—","Direction=H","UseDPDF=Y")</f>
        <v>#NAME?</v>
      </c>
      <c r="AE288" s="2" t="e">
        <f ca="1">_xll.BDH($C$278,"WORK_CAP_GROWTH","FY 2016","FY 2016","Currency=INR","Period=FY","BEST_FPERIOD_OVERRIDE=FY","FILING_STATUS=OR","EQY_CONSOLIDATED=Y","Sort=A","Dates=H","DateFormat=P","Fill=—","Direction=H","UseDPDF=Y")</f>
        <v>#NAME?</v>
      </c>
      <c r="AF288" s="2" t="e">
        <f ca="1">_xll.BDH($C$278,"ACCOUNTS_PAYABLE_GROWTH_1YR","FY 2016","FY 2016","Currency=INR","Period=FY","BEST_FPERIOD_OVERRIDE=FY","FILING_STATUS=OR","EQY_CONSOLIDATED=Y","Sort=A","Dates=H","DateFormat=P","Fill=—","Direction=H","UseDPDF=Y")</f>
        <v>#NAME?</v>
      </c>
      <c r="AG288" s="2" t="e">
        <f ca="1">_xll.BDH($C$278,"SHORT_TERM_DEBT_1_YEAR_GROWTH","FY 2016","FY 2016","Currency=INR","Period=FY","BEST_FPERIOD_OVERRIDE=FY","FILING_STATUS=OR","EQY_CONSOLIDATED=Y","Sort=A","Dates=H","DateFormat=P","Fill=—","Direction=H","UseDPDF=Y")</f>
        <v>#NAME?</v>
      </c>
      <c r="AH288" s="2" t="e">
        <f ca="1">_xll.BDH($C$278,"TOTAL_DEBT_1_YEAR_GROWTH","FY 2016","FY 2016","Currency=INR","Period=FY","BEST_FPERIOD_OVERRIDE=FY","FILING_STATUS=OR","EQY_CONSOLIDATED=Y","Sort=A","Dates=H","DateFormat=P","Fill=—","Direction=H","UseDPDF=Y")</f>
        <v>#NAME?</v>
      </c>
      <c r="AI288" s="2" t="e">
        <f ca="1">_xll.BDH($C$278,"TOTAL_EQUITY_1_YEAR_GROWTH","FY 2016","FY 2016","Currency=INR","Period=FY","BEST_FPERIOD_OVERRIDE=FY","FILING_STATUS=OR","EQY_CONSOLIDATED=Y","Sort=A","Dates=H","DateFormat=P","Fill=—","Direction=H","UseDPDF=Y")</f>
        <v>#NAME?</v>
      </c>
      <c r="AJ288" s="2" t="e">
        <f ca="1">_xll.BDH($C$278,"GROWTH_IN_CAP","FY 2016","FY 2016","Currency=INR","Period=FY","BEST_FPERIOD_OVERRIDE=FY","FILING_STATUS=OR","EQY_CONSOLIDATED=Y","Sort=A","Dates=H","DateFormat=P","Fill=—","Direction=H","UseDPDF=Y")</f>
        <v>#NAME?</v>
      </c>
      <c r="AK288" s="2" t="e">
        <f ca="1">_xll.BDH($C$278,"BVPS_GROWTH","FY 2016","FY 2016","Currency=INR","Period=FY","BEST_FPERIOD_OVERRIDE=FY","FILING_STATUS=OR","EQY_CONSOLIDATED=Y","Sort=A","Dates=H","DateFormat=P","Fill=—","Direction=H","UseDPDF=Y")</f>
        <v>#NAME?</v>
      </c>
      <c r="AL288" s="2" t="e">
        <f ca="1">_xll.BDH($C$278,"CASH_FLOW_GROWTH","FY 2016","FY 2016","Currency=INR","Period=FY","BEST_FPERIOD_OVERRIDE=FY","FILING_STATUS=OR","EQY_CONSOLIDATED=Y","Sort=A","Dates=H","DateFormat=P","Fill=—","Direction=H","UseDPDF=Y")</f>
        <v>#NAME?</v>
      </c>
      <c r="AM288" s="2" t="e">
        <f ca="1">_xll.BDH($C$278,"GEO_GROW_NET_SALES","FY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288" s="2" t="e">
        <f ca="1">_xll.BDH($C$278,"GEO_GROW_EBITDA","FY 2016","FY 2016","Currency=INR","Period=FY","BEST_FPERIOD_OVERRIDE=FY","FILING_STATUS=OR","EQY_CONSOLIDATED=Y","FA_ADJUSTED=GAAP","Sort=A","Dates=H","DateFormat=P","Fill=—","Direction=H","UseDPDF=Y")</f>
        <v>#NAME?</v>
      </c>
      <c r="AO288" s="2" t="e">
        <f ca="1">_xll.BDH($C$278,"GEO_GROW_OPER_INC","FY 2016","FY 2016","Currency=INR","Period=FY","BEST_FPERIOD_OVERRIDE=FY","FILING_STATUS=OR","EQY_CONSOLIDATED=Y","FA_ADJUSTED=GAAP","Sort=A","Dates=H","DateFormat=P","Fill=—","Direction=H","UseDPDF=Y")</f>
        <v>#NAME?</v>
      </c>
      <c r="AP288" s="2" t="e">
        <f ca="1">_xll.BDH($C$278,"NET_INCOME_TO_COMMON_5_YR_GROWTH","FY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288" s="2" t="e">
        <f ca="1">_xll.BDH($C$278,"5Y_GEO_GROWTH_DILUTED_EPS","FY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288" s="2" t="e">
        <f ca="1">_xll.BDH($C$278,"GEO_GROW_DVD_PER_SH","FY 2016","FY 2016","Currency=INR","Period=FY","BEST_FPERIOD_OVERRIDE=FY","FILING_STATUS=OR","EQY_CONSOLIDATED=Y","Sort=A","Dates=H","DateFormat=P","Fill=—","Direction=H","UseDPDF=Y")</f>
        <v>#NAME?</v>
      </c>
      <c r="AS288" s="2" t="e">
        <f ca="1">_xll.BDH($C$278,"ACCOUNTS_RECEIVABLE_5_YR_GROWTH","FY 2016","FY 2016","Currency=INR","Period=FY","BEST_FPERIOD_OVERRIDE=FY","FILING_STATUS=OR","EQY_CONSOLIDATED=Y","Sort=A","Dates=H","DateFormat=P","Fill=—","Direction=H","UseDPDF=Y")</f>
        <v>#NAME?</v>
      </c>
      <c r="AT288" s="2" t="e">
        <f ca="1">_xll.BDH($C$278,"INVENTORY_5_YEAR_GROWTH","FY 2016","FY 2016","Currency=INR","Period=FY","BEST_FPERIOD_OVERRIDE=FY","FILING_STATUS=OR","EQY_CONSOLIDATED=Y","Sort=A","Dates=H","DateFormat=P","Fill=—","Direction=H","UseDPDF=Y")</f>
        <v>#NAME?</v>
      </c>
      <c r="AU288" s="2" t="e">
        <f ca="1">_xll.BDH($C$278,"NET_FIXED_ASSETS_5_YEAR_GROWTH","FY 2016","FY 2016","Currency=INR","Period=FY","BEST_FPERIOD_OVERRIDE=FY","FILING_STATUS=OR","EQY_CONSOLIDATED=Y","Sort=A","Dates=H","DateFormat=P","Fill=—","Direction=H","UseDPDF=Y")</f>
        <v>#NAME?</v>
      </c>
      <c r="AV288" s="2" t="e">
        <f ca="1">_xll.BDH($C$278,"GEO_GROW_TOT_ASSET","FY 2016","FY 2016","Currency=INR","Period=FY","BEST_FPERIOD_OVERRIDE=FY","FILING_STATUS=OR","EQY_CONSOLIDATED=Y","Sort=A","Dates=H","DateFormat=P","Fill=—","Direction=H","UseDPDF=Y")</f>
        <v>#NAME?</v>
      </c>
      <c r="AW288" s="2" t="e">
        <f ca="1">_xll.BDH($C$278,"MODIFIED_WORKING_CPTL_5YR_GRWTH","FY 2016","FY 2016","Currency=INR","Period=FY","BEST_FPERIOD_OVERRIDE=FY","FILING_STATUS=OR","EQY_CONSOLIDATED=Y","Sort=A","Dates=H","DateFormat=P","Fill=—","Direction=H","UseDPDF=Y")</f>
        <v>#NAME?</v>
      </c>
      <c r="AX288" s="2" t="e">
        <f ca="1">_xll.BDH($C$278,"WORKING_CAPITAL_5_YEAR_GROWTH","FY 2016","FY 2016","Currency=INR","Period=FY","BEST_FPERIOD_OVERRIDE=FY","FILING_STATUS=OR","EQY_CONSOLIDATED=Y","Sort=A","Dates=H","DateFormat=P","Fill=—","Direction=H","UseDPDF=Y")</f>
        <v>#NAME?</v>
      </c>
      <c r="AY288" s="2" t="e">
        <f ca="1">_xll.BDH($C$278,"ACCOUNTS_PAYABLE_5_YEAR_GROWTH","FY 2016","FY 2016","Currency=INR","Period=FY","BEST_FPERIOD_OVERRIDE=FY","FILING_STATUS=OR","EQY_CONSOLIDATED=Y","Sort=A","Dates=H","DateFormat=P","Fill=—","Direction=H","UseDPDF=Y")</f>
        <v>#NAME?</v>
      </c>
      <c r="AZ288" s="2" t="e">
        <f ca="1">_xll.BDH($C$278,"SHORT_TERM_DEBT_5_YEAR_GROWTH","FY 2016","FY 2016","Currency=INR","Period=FY","BEST_FPERIOD_OVERRIDE=FY","FILING_STATUS=OR","EQY_CONSOLIDATED=Y","Sort=A","Dates=H","DateFormat=P","Fill=—","Direction=H","UseDPDF=Y")</f>
        <v>#NAME?</v>
      </c>
      <c r="BA288" s="2" t="e">
        <f ca="1">_xll.BDH($C$278,"TOTAL_DEBT_5_YEAR_GROWTH","FY 2016","FY 2016","Currency=INR","Period=FY","BEST_FPERIOD_OVERRIDE=FY","FILING_STATUS=OR","EQY_CONSOLIDATED=Y","Sort=A","Dates=H","DateFormat=P","Fill=—","Direction=H","UseDPDF=Y")</f>
        <v>#NAME?</v>
      </c>
      <c r="BB288" s="2" t="e">
        <f ca="1">_xll.BDH($C$278,"GEO_GROW_TOT_SHRHLDR_EQY","FY 2016","FY 2016","Currency=INR","Period=FY","BEST_FPERIOD_OVERRIDE=FY","FILING_STATUS=OR","EQY_CONSOLIDATED=Y","Sort=A","Dates=H","DateFormat=P","Fill=—","Direction=H","UseDPDF=Y")</f>
        <v>#NAME?</v>
      </c>
      <c r="BC288" s="2" t="e">
        <f ca="1">_xll.BDH($C$278,"TOTAL_CAPITAL_5_YEAR_GROWTH","FY 2016","FY 2016","Currency=INR","Period=FY","BEST_FPERIOD_OVERRIDE=FY","FILING_STATUS=OR","EQY_CONSOLIDATED=Y","Sort=A","Dates=H","DateFormat=P","Fill=—","Direction=H","UseDPDF=Y")</f>
        <v>#NAME?</v>
      </c>
      <c r="BD288" s="2" t="e">
        <f ca="1">_xll.BDH($C$278,"GEO_GROW_BOOK_VAL","FY 2016","FY 2016","Currency=INR","Period=FY","BEST_FPERIOD_OVERRIDE=FY","FILING_STATUS=OR","EQY_CONSOLIDATED=Y","Sort=A","Dates=H","DateFormat=P","Fill=—","Direction=H","UseDPDF=Y")</f>
        <v>#NAME?</v>
      </c>
      <c r="BE288" s="2" t="e">
        <f ca="1">_xll.BDH($C$278,"GEO_GROW_CASH_OPER_ACT","FY 2016","FY 2016","Currency=INR","Period=FY","BEST_FPERIOD_OVERRIDE=FY","FILING_STATUS=OR","EQY_CONSOLIDATED=Y","Sort=A","Dates=H","DateFormat=P","Fill=—","Direction=H","UseDPDF=Y")</f>
        <v>#NAME?</v>
      </c>
      <c r="BF288" s="2" t="e">
        <f ca="1">_xll.BDH($C$278,"REVENUE_SEQUENTIAL_GROWTH","FY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288" s="2" t="e">
        <f ca="1">_xll.BDH($C$278,"EBITDA_SEQUENTIAL_GROWTH","FY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288" s="2" t="e">
        <f ca="1">_xll.BDH($C$278,"OPERATING_INCOME_SEQ_GROWTH","FY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288" s="2" t="e">
        <f ca="1">_xll.BDH($C$278,"NET_INCOME_TO_COMMON_SEQ_GROWTH","FY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288" s="2" t="e">
        <f ca="1">_xll.BDH($C$278,"EPS_DILUTED_SEQUENTIAL_GROWTH","FY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288" s="2" t="e">
        <f ca="1">_xll.BDH($C$278,"DPS_SEQUENTIAL_GROWTH","FY 2016","FY 2016","Currency=INR","Period=FY","BEST_FPERIOD_OVERRIDE=FY","FILING_STATUS=OR","EQY_CONSOLIDATED=Y","Sort=A","Dates=H","DateFormat=P","Fill=—","Direction=H","UseDPDF=Y")</f>
        <v>#NAME?</v>
      </c>
      <c r="BL288" s="2" t="e">
        <f ca="1">_xll.BDH($C$278,"ACCOUNTS_RECEIVABLE_SEQ_GROWTH","FY 2016","FY 2016","Currency=INR","Period=FY","BEST_FPERIOD_OVERRIDE=FY","FILING_STATUS=OR","EQY_CONSOLIDATED=Y","Sort=A","Dates=H","DateFormat=P","Fill=—","Direction=H","UseDPDF=Y")</f>
        <v>#NAME?</v>
      </c>
      <c r="BM288" s="2" t="e">
        <f ca="1">_xll.BDH($C$278,"INVENTORY_SEQUENTIAL_GROWTH","FY 2016","FY 2016","Currency=INR","Period=FY","BEST_FPERIOD_OVERRIDE=FY","FILING_STATUS=OR","EQY_CONSOLIDATED=Y","Sort=A","Dates=H","DateFormat=P","Fill=—","Direction=H","UseDPDF=Y")</f>
        <v>#NAME?</v>
      </c>
      <c r="BN288" s="2" t="e">
        <f ca="1">_xll.BDH($C$278,"FIXED_ASSETS_SEQUENTIAL_GROWTH","FY 2016","FY 2016","Currency=INR","Period=FY","BEST_FPERIOD_OVERRIDE=FY","FILING_STATUS=OR","EQY_CONSOLIDATED=Y","Sort=A","Dates=H","DateFormat=P","Fill=—","Direction=H","UseDPDF=Y")</f>
        <v>#NAME?</v>
      </c>
      <c r="BO288" s="2" t="e">
        <f ca="1">_xll.BDH($C$278,"TOTAL_ASSETS_SEQUENTIAL_GROWTH","FY 2016","FY 2016","Currency=INR","Period=FY","BEST_FPERIOD_OVERRIDE=FY","FILING_STATUS=OR","EQY_CONSOLIDATED=Y","Sort=A","Dates=H","DateFormat=P","Fill=—","Direction=H","UseDPDF=Y")</f>
        <v>#NAME?</v>
      </c>
      <c r="BP288" s="2" t="e">
        <f ca="1">_xll.BDH($C$278,"MODIFIED_WORKING_CPTL_SEQ_GRWTH","FY 2016","FY 2016","Currency=INR","Period=FY","BEST_FPERIOD_OVERRIDE=FY","FILING_STATUS=OR","EQY_CONSOLIDATED=Y","Sort=A","Dates=H","DateFormat=P","Fill=—","Direction=H","UseDPDF=Y")</f>
        <v>#NAME?</v>
      </c>
      <c r="BQ288" s="2" t="e">
        <f ca="1">_xll.BDH($C$278,"WORKING_CAPITAL_SEQ_GROWTH","FY 2016","FY 2016","Currency=INR","Period=FY","BEST_FPERIOD_OVERRIDE=FY","FILING_STATUS=OR","EQY_CONSOLIDATED=Y","Sort=A","Dates=H","DateFormat=P","Fill=—","Direction=H","UseDPDF=Y")</f>
        <v>#NAME?</v>
      </c>
      <c r="BR288" s="2" t="e">
        <f ca="1">_xll.BDH($C$278,"ACCOUNTS_PAYABLE_SEQ_GROWTH","FY 2016","FY 2016","Currency=INR","Period=FY","BEST_FPERIOD_OVERRIDE=FY","FILING_STATUS=OR","EQY_CONSOLIDATED=Y","Sort=A","Dates=H","DateFormat=P","Fill=—","Direction=H","UseDPDF=Y")</f>
        <v>#NAME?</v>
      </c>
      <c r="BS288" s="2" t="e">
        <f ca="1">_xll.BDH($C$278,"ST_DEBT_SEQUENTIAL_GROWTH","FY 2016","FY 2016","Currency=INR","Period=FY","BEST_FPERIOD_OVERRIDE=FY","FILING_STATUS=OR","EQY_CONSOLIDATED=Y","Sort=A","Dates=H","DateFormat=P","Fill=—","Direction=H","UseDPDF=Y")</f>
        <v>#NAME?</v>
      </c>
      <c r="BT288" s="2" t="e">
        <f ca="1">_xll.BDH($C$278,"TOTAL_DEBT_SEQUENTIAL_GROWTH","FY 2016","FY 2016","Currency=INR","Period=FY","BEST_FPERIOD_OVERRIDE=FY","FILING_STATUS=OR","EQY_CONSOLIDATED=Y","Sort=A","Dates=H","DateFormat=P","Fill=—","Direction=H","UseDPDF=Y")</f>
        <v>#NAME?</v>
      </c>
      <c r="BU288" s="2" t="e">
        <f ca="1">_xll.BDH($C$278,"TOTAL_EQUITY_SEQUENTIAL_GROWTH","FY 2016","FY 2016","Currency=INR","Period=FY","BEST_FPERIOD_OVERRIDE=FY","FILING_STATUS=OR","EQY_CONSOLIDATED=Y","Sort=A","Dates=H","DateFormat=P","Fill=—","Direction=H","UseDPDF=Y")</f>
        <v>#NAME?</v>
      </c>
      <c r="BV288" s="2" t="e">
        <f ca="1">_xll.BDH($C$278,"TOTAL_CAPITAL_SEQUENTIAL_GROWTH","FY 2016","FY 2016","Currency=INR","Period=FY","BEST_FPERIOD_OVERRIDE=FY","FILING_STATUS=OR","EQY_CONSOLIDATED=Y","Sort=A","Dates=H","DateFormat=P","Fill=—","Direction=H","UseDPDF=Y")</f>
        <v>#NAME?</v>
      </c>
      <c r="BW288" s="2" t="e">
        <f ca="1">_xll.BDH($C$278,"BPS_SEQUENTIAL_GROWTH","FY 2016","FY 2016","Currency=INR","Period=FY","BEST_FPERIOD_OVERRIDE=FY","FILING_STATUS=OR","EQY_CONSOLIDATED=Y","Sort=A","Dates=H","DateFormat=P","Fill=—","Direction=H","UseDPDF=Y")</f>
        <v>#NAME?</v>
      </c>
      <c r="BX288" s="2" t="e">
        <f ca="1">_xll.BDH($C$278,"CFO_SEQUENTIAL_GROWTH","FY 2016","FY 2016","Currency=INR","Period=FY","BEST_FPERIOD_OVERRIDE=FY","FILING_STATUS=OR","EQY_CONSOLIDATED=Y","Sort=A","Dates=H","DateFormat=P","Fill=—","Direction=H","UseDPDF=Y")</f>
        <v>#NAME?</v>
      </c>
      <c r="BY288" s="3" t="e">
        <f ca="1">_xll.BDH($C$278,"SHORT_AND_LONG_TERM_DEBT","FY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288" s="3" t="e">
        <f ca="1">_xll.BDH($C$278,"BS_ST_BORROW","FY 2016","FY 2016","Currency=INR","Period=FY","BEST_FPERIOD_OVERRIDE=FY","FILING_STATUS=OR","EQY_CONSOLIDATED=Y","SCALING_FORMAT=MLN","Sort=A","Dates=H","DateFormat=P","Fill=—","Direction=H","UseDPDF=Y")</f>
        <v>#NAME?</v>
      </c>
      <c r="CA288" s="3" t="e">
        <f ca="1">_xll.BDH($C$278,"BS_LT_BORROW","FY 2016","FY 2016","Currency=INR","Period=FY","BEST_FPERIOD_OVERRIDE=FY","FILING_STATUS=OR","EQY_CONSOLIDATED=Y","SCALING_FORMAT=MLN","Sort=A","Dates=H","DateFormat=P","Fill=—","Direction=H","UseDPDF=Y")</f>
        <v>#NAME?</v>
      </c>
      <c r="CB288" s="2" t="e">
        <f ca="1">_xll.BDH($C$278,"TOT_DEBT_TO_EBITDA","FY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288" s="2" t="e">
        <f ca="1">_xll.BDH($C$278,"NET_DEBT_TO_EBITDA","FY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288" s="2" t="e">
        <f ca="1">_xll.BDH($C$278,"TOTAL_DEBT_TO_EBIT","FY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288" s="2" t="e">
        <f ca="1">_xll.BDH($C$278,"NET_DEBT_TO_EBIT","FY 2016","FY 2016","Currency=INR","Period=FY","BEST_FPERIOD_OVERRIDE=FY","FILING_STATUS=OR","EQY_CONSOLIDATED=Y","FA_ADJUSTED=GAAP","Sort=A","Dates=H","DateFormat=P","Fill=—","Direction=H","UseDPDF=Y")</f>
        <v>#NAME?</v>
      </c>
      <c r="CF288" s="2" t="e">
        <f ca="1">_xll.BDH($C$278,"EBITDA_TO_INTEREST_EXPN","FY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288" s="2" t="e">
        <f ca="1">_xll.BDH($C$278,"COM_EQY_TO_TOT_ASSET","FY 2016","FY 2016","Currency=INR","Period=FY","BEST_FPERIOD_OVERRIDE=FY","FILING_STATUS=OR","EQY_CONSOLIDATED=Y","Sort=A","Dates=H","DateFormat=P","Fill=—","Direction=H","UseDPDF=Y")</f>
        <v>#NAME?</v>
      </c>
      <c r="CH288" s="2" t="e">
        <f ca="1">_xll.BDH($C$278,"LT_DEBT_TO_TOT_EQY","FY 2016","FY 2016","Currency=INR","Period=FY","BEST_FPERIOD_OVERRIDE=FY","FILING_STATUS=OR","EQY_CONSOLIDATED=Y","Sort=A","Dates=H","DateFormat=P","Fill=—","Direction=H","UseDPDF=Y")</f>
        <v>#NAME?</v>
      </c>
      <c r="CI288" s="2" t="e">
        <f ca="1">_xll.BDH($C$278,"LT_DEBT_TO_TOT_CAP","FY 2016","FY 2016","Currency=INR","Period=FY","BEST_FPERIOD_OVERRIDE=FY","FILING_STATUS=OR","EQY_CONSOLIDATED=Y","Sort=A","Dates=H","DateFormat=P","Fill=—","Direction=H","UseDPDF=Y")</f>
        <v>#NAME?</v>
      </c>
      <c r="CJ288" s="2" t="e">
        <f ca="1">_xll.BDH($C$278,"LT_DEBT_TO_TOT_ASSET","FY 2016","FY 2016","Currency=INR","Period=FY","BEST_FPERIOD_OVERRIDE=FY","FILING_STATUS=OR","EQY_CONSOLIDATED=Y","Sort=A","Dates=H","DateFormat=P","Fill=—","Direction=H","UseDPDF=Y")</f>
        <v>#NAME?</v>
      </c>
      <c r="CK288" s="2" t="e">
        <f ca="1">_xll.BDH($C$278,"TOT_DEBT_TO_TOT_EQY","FY 2016","FY 2016","Currency=INR","Period=FY","BEST_FPERIOD_OVERRIDE=FY","FILING_STATUS=OR","EQY_CONSOLIDATED=Y","Sort=A","Dates=H","DateFormat=P","Fill=—","Direction=H","UseDPDF=Y")</f>
        <v>#NAME?</v>
      </c>
      <c r="CL288" s="2" t="e">
        <f ca="1">_xll.BDH($C$278,"TOT_DEBT_TO_TOT_CAP","FY 2016","FY 2016","Currency=INR","Period=FY","BEST_FPERIOD_OVERRIDE=FY","FILING_STATUS=OR","EQY_CONSOLIDATED=Y","Sort=A","Dates=H","DateFormat=P","Fill=—","Direction=H","UseDPDF=Y")</f>
        <v>#NAME?</v>
      </c>
      <c r="CM288" s="2" t="e">
        <f ca="1">_xll.BDH($C$278,"TOT_DEBT_TO_TOT_ASSET","FY 2016","FY 2016","Currency=INR","Period=FY","BEST_FPERIOD_OVERRIDE=FY","FILING_STATUS=OR","EQY_CONSOLIDATED=Y","Sort=A","Dates=H","DateFormat=P","Fill=—","Direction=H","UseDPDF=Y")</f>
        <v>#NAME?</v>
      </c>
      <c r="CN288" s="2" t="e">
        <f ca="1">_xll.BDH($C$278,"NET_DEBT_TO_SHRHLDR_EQTY","FY 2016","FY 2016","Currency=INR","Period=FY","BEST_FPERIOD_OVERRIDE=FY","FILING_STATUS=OR","EQY_CONSOLIDATED=Y","Sort=A","Dates=H","DateFormat=P","Fill=—","Direction=H","UseDPDF=Y")</f>
        <v>#NAME?</v>
      </c>
      <c r="CO288" s="2" t="e">
        <f ca="1">_xll.BDH($C$278,"NET_DEBT_%_CAPITAL","FY 2016","FY 2016","Currency=INR","Period=FY","BEST_FPERIOD_OVERRIDE=FY","FILING_STATUS=OR","EQY_CONSOLIDATED=Y","Sort=A","Dates=H","DateFormat=P","Fill=—","Direction=H","UseDPDF=Y")</f>
        <v>#NAME?</v>
      </c>
      <c r="CP288" s="3" t="e">
        <f ca="1">_xll.BDH($C$278,"EBITDA","FY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288" s="3" t="e">
        <f ca="1">_xll.BDH($C$278,"EBITDA_AFTER_CAPEX","FY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288" s="3" t="e">
        <f ca="1">_xll.BDH($C$278,"IS_OPER_INC","FY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288" s="2" t="e">
        <f ca="1">_xll.BDH($C$278,"CASH_RATIO","FY 2016","FY 2016","Currency=INR","Period=FY","BEST_FPERIOD_OVERRIDE=FY","FILING_STATUS=OR","EQY_CONSOLIDATED=Y","Sort=A","Dates=H","DateFormat=P","Fill=—","Direction=H","UseDPDF=Y")</f>
        <v>#NAME?</v>
      </c>
      <c r="CT288" s="2" t="e">
        <f ca="1">_xll.BDH($C$278,"CUR_RATIO","FY 2016","FY 2016","Currency=INR","Period=FY","BEST_FPERIOD_OVERRIDE=FY","FILING_STATUS=OR","EQY_CONSOLIDATED=Y","Sort=A","Dates=H","DateFormat=P","Fill=—","Direction=H","UseDPDF=Y")</f>
        <v>#NAME?</v>
      </c>
      <c r="CU288" s="2" t="e">
        <f ca="1">_xll.BDH($C$278,"QUICK_RATIO","FY 2016","FY 2016","Currency=INR","Period=FY","BEST_FPERIOD_OVERRIDE=FY","FILING_STATUS=OR","EQY_CONSOLIDATED=Y","Sort=A","Dates=H","DateFormat=P","Fill=—","Direction=H","UseDPDF=Y")</f>
        <v>#NAME?</v>
      </c>
      <c r="CV288" s="2" t="e">
        <f ca="1">_xll.BDH($C$278,"ALTMAN_Z_SCORE","FY 2016","FY 2016","Currency=INR","Period=FY","BEST_FPERIOD_OVERRIDE=FY","FILING_STATUS=OR","EQY_CONSOLIDATED=Y","Sort=A","Dates=H","DateFormat=P","Fill=—","Direction=H","UseDPDF=Y")</f>
        <v>#NAME?</v>
      </c>
      <c r="CW288" s="4" t="e">
        <f ca="1">_xll.BDH($C$278,"ACCT_RCV_TURN","FY 2016","FY 2016","Currency=INR","Period=FY","BEST_FPERIOD_OVERRIDE=FY","FILING_STATUS=OR","EQY_CONSOLIDATED=Y","FA_ADJUSTED=GAAP","Sort=A","Dates=H","DateFormat=P","Fill=—","Direction=H","UseDPDF=Y")</f>
        <v>#NAME?</v>
      </c>
      <c r="CX288" s="2" t="e">
        <f ca="1">_xll.BDH($C$278,"ACCT_RCV_DAYS","FY 2016","FY 2016","Currency=INR","Period=FY","BEST_FPERIOD_OVERRIDE=FY","FILING_STATUS=OR","EQY_CONSOLIDATED=Y","FA_ADJUSTED=GAAP","Sort=A","Dates=H","DateFormat=P","Fill=—","Direction=H","UseDPDF=Y")</f>
        <v>#NAME?</v>
      </c>
      <c r="CY288" s="4" t="e">
        <f ca="1">_xll.BDH($C$278,"INVENT_TURN","FY 2016","FY 2016","Currency=INR","Period=FY","BEST_FPERIOD_OVERRIDE=FY","FILING_STATUS=OR","EQY_CONSOLIDATED=Y","FA_ADJUSTED=GAAP","Sort=A","Dates=H","DateFormat=P","Fill=—","Direction=H","UseDPDF=Y")</f>
        <v>#NAME?</v>
      </c>
      <c r="CZ288" s="2" t="e">
        <f ca="1">_xll.BDH($C$278,"INVENT_DAYS","FY 2016","FY 2016","Currency=INR","Period=FY","BEST_FPERIOD_OVERRIDE=FY","FILING_STATUS=OR","EQY_CONSOLIDATED=Y","FA_ADJUSTED=GAAP","Sort=A","Dates=H","DateFormat=P","Fill=—","Direction=H","UseDPDF=Y")</f>
        <v>#NAME?</v>
      </c>
      <c r="DA288" s="4" t="e">
        <f ca="1">_xll.BDH($C$278,"ACCOUNTS_PAYABLE_TURNOVER","FY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288" s="2" t="e">
        <f ca="1">_xll.BDH($C$278,"ACCOUNTS_PAYABLE_TURNOVER_DAYS","FY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288" s="4" t="e">
        <f ca="1">_xll.BDH($C$278,"CASH_CONVERSION_CYCLE","FY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288" s="4" t="e">
        <f ca="1">_xll.BDH($C$278,"INV_TO_CASH_DAYS","FY 2016","FY 2016","Currency=INR","Period=FY","BEST_FPERIOD_OVERRIDE=FY","FILING_STATUS=OR","EQY_CONSOLIDATED=Y","FA_ADJUSTED=GAAP","Sort=A","Dates=H","DateFormat=P","Fill=—","Direction=H","UseDPDF=Y")</f>
        <v>#NAME?</v>
      </c>
      <c r="DE288" s="5" t="e">
        <f ca="1">_xll.BDH($C$278,"BS_INVENTORIES","FY 2016","FY 2016","Currency=INR","Period=FY","BEST_FPERIOD_OVERRIDE=FY","FILING_STATUS=OR","EQY_CONSOLIDATED=Y","SCALING_FORMAT=MLN","Sort=A","Dates=H","DateFormat=P","Fill=—","Direction=H","UseDPDF=Y")</f>
        <v>#NAME?</v>
      </c>
      <c r="DF288" s="3" t="e">
        <f ca="1">_xll.BDH($C$278,"INVTRY_RAW_MATERIALS","FY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288" s="3" t="e">
        <f ca="1">_xll.BDH($C$278,"INVTRY_IN_PROGRESS","FY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288" s="3" t="e">
        <f ca="1">_xll.BDH($C$278,"INVTRY_FINISHED_GOODS","FY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288" s="3" t="e">
        <f ca="1">_xll.BDH($C$278,"BS_OTHER_INV","FY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289" spans="1:113" x14ac:dyDescent="0.3">
      <c r="A289" s="6"/>
      <c r="B289" s="6"/>
      <c r="C289" s="6"/>
      <c r="D289" s="6"/>
      <c r="E289" t="s">
        <v>78</v>
      </c>
      <c r="F289" t="e">
        <f ca="1">_xll.BDH($C$278,"RETURN_COM_EQY","FQ1 2016","FQ1 2016","Currency=INR","Period=FQ","BEST_FPERIOD_OVERRIDE=FQ","FILING_STATUS=OR","EQY_CONSOLIDATED=Y","FA_ADJUSTED=GAAP","Sort=A","Dates=H","DateFormat=P","Fill=—","Direction=H","UseDPDF=Y")</f>
        <v>#NAME?</v>
      </c>
      <c r="G289" t="e">
        <f ca="1">_xll.BDH($C$278,"RETURN_ON_ASSET","FQ1 2016","FQ1 2016","Currency=INR","Period=FQ","BEST_FPERIOD_OVERRIDE=FQ","FILING_STATUS=OR","EQY_CONSOLIDATED=Y","FA_ADJUSTED=GAAP","Sort=A","Dates=H","DateFormat=P","Fill=—","Direction=H","UseDPDF=Y")</f>
        <v>#NAME?</v>
      </c>
      <c r="H289" t="e">
        <f ca="1">_xll.BDH($C$278,"RETURN_ON_CAP","FQ1 2016","FQ1 2016","Currency=INR","Period=FQ","BEST_FPERIOD_OVERRIDE=FQ","FILING_STATUS=OR","EQY_CONSOLIDATED=Y","FA_ADJUSTED=GAAP","Sort=A","Dates=H","DateFormat=P","Fill=—","Direction=H","UseDPDF=Y")</f>
        <v>#NAME?</v>
      </c>
      <c r="I289" t="e">
        <f ca="1">_xll.BDH($C$278,"RETURN_ON_INV_CAPITAL","FQ1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289" t="e">
        <f ca="1">_xll.BDH($C$278,"EBITDA_TO_REVENUE","FQ1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289" t="e">
        <f ca="1">_xll.BDH($C$278,"OPER_MARGIN","FQ1 2016","FQ1 2016","Currency=INR","Period=FQ","BEST_FPERIOD_OVERRIDE=FQ","FILING_STATUS=OR","EQY_CONSOLIDATED=Y","FA_ADJUSTED=GAAP","Sort=A","Dates=H","DateFormat=P","Fill=—","Direction=H","UseDPDF=Y")</f>
        <v>#NAME?</v>
      </c>
      <c r="L289" t="e">
        <f ca="1">_xll.BDH($C$278,"INCREMENTAL_OPERATING_MARGIN","FQ1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289" t="e">
        <f ca="1">_xll.BDH($C$278,"PRETAX_INC_TO_NET_SALES","FQ1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289" t="e">
        <f ca="1">_xll.BDH($C$278,"INC_BEF_XO_ITEMS_TO_NET_SALES","FQ1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289" t="e">
        <f ca="1">_xll.BDH($C$278,"PROF_MARGIN","FQ1 2016","FQ1 2016","Currency=INR","Period=FQ","BEST_FPERIOD_OVERRIDE=FQ","FILING_STATUS=OR","EQY_CONSOLIDATED=Y","FA_ADJUSTED=GAAP","Sort=A","Dates=H","DateFormat=P","Fill=—","Direction=H","UseDPDF=Y")</f>
        <v>#NAME?</v>
      </c>
      <c r="P289" t="e">
        <f ca="1">_xll.BDH($C$278,"NET_INCOME_TO_COMMON_MARGIN","FQ1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289" t="e">
        <f ca="1">_xll.BDH($C$278,"EFF_TAX_RATE","FQ1 2016","FQ1 2016","Currency=INR","Period=FQ","BEST_FPERIOD_OVERRIDE=FQ","FILING_STATUS=OR","EQY_CONSOLIDATED=Y","FA_ADJUSTED=GAAP","Sort=A","Dates=H","DateFormat=P","Fill=—","Direction=H","UseDPDF=Y")</f>
        <v>#NAME?</v>
      </c>
      <c r="R289" t="e">
        <f ca="1">_xll.BDH($C$278,"DVD_PAYOUT_RATIO","FQ1 2016","FQ1 2016","Currency=INR","Period=FQ","BEST_FPERIOD_OVERRIDE=FQ","FILING_STATUS=OR","EQY_CONSOLIDATED=Y","FA_ADJUSTED=GAAP","Sort=A","Dates=H","DateFormat=P","Fill=—","Direction=H","UseDPDF=Y")</f>
        <v>#NAME?</v>
      </c>
      <c r="S289" t="e">
        <f ca="1">_xll.BDH($C$278,"SUSTAIN_GROWTH_RT","FQ1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289" s="2" t="e">
        <f ca="1">_xll.BDH($C$278,"SALES_GROWTH","FQ1 2016","FQ1 2016","Currency=INR","Period=FQ","BEST_FPERIOD_OVERRIDE=FQ","FILING_STATUS=OR","EQY_CONSOLIDATED=Y","FA_ADJUSTED=GAAP","Sort=A","Dates=H","DateFormat=P","Fill=—","Direction=H","UseDPDF=Y")</f>
        <v>#NAME?</v>
      </c>
      <c r="U289" s="2" t="e">
        <f ca="1">_xll.BDH($C$278,"EBITDA_GROWTH","FQ1 2016","FQ1 2016","Currency=INR","Period=FQ","BEST_FPERIOD_OVERRIDE=FQ","FILING_STATUS=OR","EQY_CONSOLIDATED=Y","FA_ADJUSTED=GAAP","Sort=A","Dates=H","DateFormat=P","Fill=—","Direction=H","UseDPDF=Y")</f>
        <v>#NAME?</v>
      </c>
      <c r="V289" s="2" t="e">
        <f ca="1">_xll.BDH($C$278,"OPER_INC_GROWTH","FQ1 2016","FQ1 2016","Currency=INR","Period=FQ","BEST_FPERIOD_OVERRIDE=FQ","FILING_STATUS=OR","EQY_CONSOLIDATED=Y","FA_ADJUSTED=GAAP","Sort=A","Dates=H","DateFormat=P","Fill=—","Direction=H","UseDPDF=Y")</f>
        <v>#NAME?</v>
      </c>
      <c r="W289" s="2" t="e">
        <f ca="1">_xll.BDH($C$278,"EARN_FOR_COM_GROWTH","FQ1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289" s="2" t="e">
        <f ca="1">_xll.BDH($C$278,"DILUTED_EPS_AFT_XO_ITEMS_GROWTH","FQ1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289" s="2" t="e">
        <f ca="1">_xll.BDH($C$278,"DIVIDEND_PER_SHARE_1_YEAR_GROWTH","FQ1 2016","FQ1 2016","Currency=INR","Period=FQ","BEST_FPERIOD_OVERRIDE=FQ","FILING_STATUS=OR","EQY_CONSOLIDATED=Y","Sort=A","Dates=H","DateFormat=P","Fill=—","Direction=H","UseDPDF=Y")</f>
        <v>#NAME?</v>
      </c>
      <c r="Z289" s="2" t="e">
        <f ca="1">_xll.BDH($C$278,"ACCOUNTS_RECEIVABLE_GROWTH","FQ1 2016","FQ1 2016","Currency=INR","Period=FQ","BEST_FPERIOD_OVERRIDE=FQ","FILING_STATUS=OR","EQY_CONSOLIDATED=Y","Sort=A","Dates=H","DateFormat=P","Fill=—","Direction=H","UseDPDF=Y")</f>
        <v>#NAME?</v>
      </c>
      <c r="AA289" s="2" t="e">
        <f ca="1">_xll.BDH($C$278,"INVENTORY_GROWTH","FQ1 2016","FQ1 2016","Currency=INR","Period=FQ","BEST_FPERIOD_OVERRIDE=FQ","FILING_STATUS=OR","EQY_CONSOLIDATED=Y","Sort=A","Dates=H","DateFormat=P","Fill=—","Direction=H","UseDPDF=Y")</f>
        <v>#NAME?</v>
      </c>
      <c r="AB289" s="2" t="e">
        <f ca="1">_xll.BDH($C$278,"NET_FIXED_ASSETS_1_YEAR_GROWTH","FQ1 2016","FQ1 2016","Currency=INR","Period=FQ","BEST_FPERIOD_OVERRIDE=FQ","FILING_STATUS=OR","EQY_CONSOLIDATED=Y","Sort=A","Dates=H","DateFormat=P","Fill=—","Direction=H","UseDPDF=Y")</f>
        <v>#NAME?</v>
      </c>
      <c r="AC289" s="2" t="e">
        <f ca="1">_xll.BDH($C$278,"ASSET_GROWTH","FQ1 2016","FQ1 2016","Currency=INR","Period=FQ","BEST_FPERIOD_OVERRIDE=FQ","FILING_STATUS=OR","EQY_CONSOLIDATED=Y","Sort=A","Dates=H","DateFormat=P","Fill=—","Direction=H","UseDPDF=Y")</f>
        <v>#NAME?</v>
      </c>
      <c r="AD289" s="2" t="e">
        <f ca="1">_xll.BDH($C$278,"MODIFIED_WORK_CAP_GROWTH","FQ1 2016","FQ1 2016","Currency=INR","Period=FQ","BEST_FPERIOD_OVERRIDE=FQ","FILING_STATUS=OR","EQY_CONSOLIDATED=Y","Sort=A","Dates=H","DateFormat=P","Fill=—","Direction=H","UseDPDF=Y")</f>
        <v>#NAME?</v>
      </c>
      <c r="AE289" s="2" t="e">
        <f ca="1">_xll.BDH($C$278,"WORK_CAP_GROWTH","FQ1 2016","FQ1 2016","Currency=INR","Period=FQ","BEST_FPERIOD_OVERRIDE=FQ","FILING_STATUS=OR","EQY_CONSOLIDATED=Y","Sort=A","Dates=H","DateFormat=P","Fill=—","Direction=H","UseDPDF=Y")</f>
        <v>#NAME?</v>
      </c>
      <c r="AF289" s="2" t="e">
        <f ca="1">_xll.BDH($C$278,"ACCOUNTS_PAYABLE_GROWTH_1YR","FQ1 2016","FQ1 2016","Currency=INR","Period=FQ","BEST_FPERIOD_OVERRIDE=FQ","FILING_STATUS=OR","EQY_CONSOLIDATED=Y","Sort=A","Dates=H","DateFormat=P","Fill=—","Direction=H","UseDPDF=Y")</f>
        <v>#NAME?</v>
      </c>
      <c r="AG289" s="2" t="e">
        <f ca="1">_xll.BDH($C$278,"SHORT_TERM_DEBT_1_YEAR_GROWTH","FQ1 2016","FQ1 2016","Currency=INR","Period=FQ","BEST_FPERIOD_OVERRIDE=FQ","FILING_STATUS=OR","EQY_CONSOLIDATED=Y","Sort=A","Dates=H","DateFormat=P","Fill=—","Direction=H","UseDPDF=Y")</f>
        <v>#NAME?</v>
      </c>
      <c r="AH289" s="2" t="e">
        <f ca="1">_xll.BDH($C$278,"TOTAL_DEBT_1_YEAR_GROWTH","FQ1 2016","FQ1 2016","Currency=INR","Period=FQ","BEST_FPERIOD_OVERRIDE=FQ","FILING_STATUS=OR","EQY_CONSOLIDATED=Y","Sort=A","Dates=H","DateFormat=P","Fill=—","Direction=H","UseDPDF=Y")</f>
        <v>#NAME?</v>
      </c>
      <c r="AI289" s="2" t="e">
        <f ca="1">_xll.BDH($C$278,"TOTAL_EQUITY_1_YEAR_GROWTH","FQ1 2016","FQ1 2016","Currency=INR","Period=FQ","BEST_FPERIOD_OVERRIDE=FQ","FILING_STATUS=OR","EQY_CONSOLIDATED=Y","Sort=A","Dates=H","DateFormat=P","Fill=—","Direction=H","UseDPDF=Y")</f>
        <v>#NAME?</v>
      </c>
      <c r="AJ289" s="2" t="e">
        <f ca="1">_xll.BDH($C$278,"GROWTH_IN_CAP","FQ1 2016","FQ1 2016","Currency=INR","Period=FQ","BEST_FPERIOD_OVERRIDE=FQ","FILING_STATUS=OR","EQY_CONSOLIDATED=Y","Sort=A","Dates=H","DateFormat=P","Fill=—","Direction=H","UseDPDF=Y")</f>
        <v>#NAME?</v>
      </c>
      <c r="AK289" s="2" t="e">
        <f ca="1">_xll.BDH($C$278,"BVPS_GROWTH","FQ1 2016","FQ1 2016","Currency=INR","Period=FQ","BEST_FPERIOD_OVERRIDE=FQ","FILING_STATUS=OR","EQY_CONSOLIDATED=Y","Sort=A","Dates=H","DateFormat=P","Fill=—","Direction=H","UseDPDF=Y")</f>
        <v>#NAME?</v>
      </c>
      <c r="AL289" s="2" t="e">
        <f ca="1">_xll.BDH($C$278,"CASH_FLOW_GROWTH","FQ1 2016","FQ1 2016","Currency=INR","Period=FQ","BEST_FPERIOD_OVERRIDE=FQ","FILING_STATUS=OR","EQY_CONSOLIDATED=Y","Sort=A","Dates=H","DateFormat=P","Fill=—","Direction=H","UseDPDF=Y")</f>
        <v>#NAME?</v>
      </c>
      <c r="AM289" s="2" t="e">
        <f ca="1">_xll.BDH($C$278,"GEO_GROW_NET_SALES","FQ1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289" s="2" t="e">
        <f ca="1">_xll.BDH($C$278,"GEO_GROW_EBITDA","FQ1 2016","FQ1 2016","Currency=INR","Period=FQ","BEST_FPERIOD_OVERRIDE=FQ","FILING_STATUS=OR","EQY_CONSOLIDATED=Y","FA_ADJUSTED=GAAP","Sort=A","Dates=H","DateFormat=P","Fill=—","Direction=H","UseDPDF=Y")</f>
        <v>#NAME?</v>
      </c>
      <c r="AO289" s="2" t="e">
        <f ca="1">_xll.BDH($C$278,"GEO_GROW_OPER_INC","FQ1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289" s="2" t="e">
        <f ca="1">_xll.BDH($C$278,"NET_INCOME_TO_COMMON_5_YR_GROWTH","FQ1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289" s="2" t="e">
        <f ca="1">_xll.BDH($C$278,"5Y_GEO_GROWTH_DILUTED_EPS","FQ1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289" s="2" t="e">
        <f ca="1">_xll.BDH($C$278,"GEO_GROW_DVD_PER_SH","FQ1 2016","FQ1 2016","Currency=INR","Period=FQ","BEST_FPERIOD_OVERRIDE=FQ","FILING_STATUS=OR","EQY_CONSOLIDATED=Y","Sort=A","Dates=H","DateFormat=P","Fill=—","Direction=H","UseDPDF=Y")</f>
        <v>#NAME?</v>
      </c>
      <c r="AS289" s="2" t="e">
        <f ca="1">_xll.BDH($C$278,"ACCOUNTS_RECEIVABLE_5_YR_GROWTH","FQ1 2016","FQ1 2016","Currency=INR","Period=FQ","BEST_FPERIOD_OVERRIDE=FQ","FILING_STATUS=OR","EQY_CONSOLIDATED=Y","Sort=A","Dates=H","DateFormat=P","Fill=—","Direction=H","UseDPDF=Y")</f>
        <v>#NAME?</v>
      </c>
      <c r="AT289" s="2" t="e">
        <f ca="1">_xll.BDH($C$278,"INVENTORY_5_YEAR_GROWTH","FQ1 2016","FQ1 2016","Currency=INR","Period=FQ","BEST_FPERIOD_OVERRIDE=FQ","FILING_STATUS=OR","EQY_CONSOLIDATED=Y","Sort=A","Dates=H","DateFormat=P","Fill=—","Direction=H","UseDPDF=Y")</f>
        <v>#NAME?</v>
      </c>
      <c r="AU289" s="2" t="e">
        <f ca="1">_xll.BDH($C$278,"NET_FIXED_ASSETS_5_YEAR_GROWTH","FQ1 2016","FQ1 2016","Currency=INR","Period=FQ","BEST_FPERIOD_OVERRIDE=FQ","FILING_STATUS=OR","EQY_CONSOLIDATED=Y","Sort=A","Dates=H","DateFormat=P","Fill=—","Direction=H","UseDPDF=Y")</f>
        <v>#NAME?</v>
      </c>
      <c r="AV289" s="2" t="e">
        <f ca="1">_xll.BDH($C$278,"GEO_GROW_TOT_ASSET","FQ1 2016","FQ1 2016","Currency=INR","Period=FQ","BEST_FPERIOD_OVERRIDE=FQ","FILING_STATUS=OR","EQY_CONSOLIDATED=Y","Sort=A","Dates=H","DateFormat=P","Fill=—","Direction=H","UseDPDF=Y")</f>
        <v>#NAME?</v>
      </c>
      <c r="AW289" s="2" t="e">
        <f ca="1">_xll.BDH($C$278,"MODIFIED_WORKING_CPTL_5YR_GRWTH","FQ1 2016","FQ1 2016","Currency=INR","Period=FQ","BEST_FPERIOD_OVERRIDE=FQ","FILING_STATUS=OR","EQY_CONSOLIDATED=Y","Sort=A","Dates=H","DateFormat=P","Fill=—","Direction=H","UseDPDF=Y")</f>
        <v>#NAME?</v>
      </c>
      <c r="AX289" s="2" t="e">
        <f ca="1">_xll.BDH($C$278,"WORKING_CAPITAL_5_YEAR_GROWTH","FQ1 2016","FQ1 2016","Currency=INR","Period=FQ","BEST_FPERIOD_OVERRIDE=FQ","FILING_STATUS=OR","EQY_CONSOLIDATED=Y","Sort=A","Dates=H","DateFormat=P","Fill=—","Direction=H","UseDPDF=Y")</f>
        <v>#NAME?</v>
      </c>
      <c r="AY289" s="2" t="e">
        <f ca="1">_xll.BDH($C$278,"ACCOUNTS_PAYABLE_5_YEAR_GROWTH","FQ1 2016","FQ1 2016","Currency=INR","Period=FQ","BEST_FPERIOD_OVERRIDE=FQ","FILING_STATUS=OR","EQY_CONSOLIDATED=Y","Sort=A","Dates=H","DateFormat=P","Fill=—","Direction=H","UseDPDF=Y")</f>
        <v>#NAME?</v>
      </c>
      <c r="AZ289" s="2" t="e">
        <f ca="1">_xll.BDH($C$278,"SHORT_TERM_DEBT_5_YEAR_GROWTH","FQ1 2016","FQ1 2016","Currency=INR","Period=FQ","BEST_FPERIOD_OVERRIDE=FQ","FILING_STATUS=OR","EQY_CONSOLIDATED=Y","Sort=A","Dates=H","DateFormat=P","Fill=—","Direction=H","UseDPDF=Y")</f>
        <v>#NAME?</v>
      </c>
      <c r="BA289" s="2" t="e">
        <f ca="1">_xll.BDH($C$278,"TOTAL_DEBT_5_YEAR_GROWTH","FQ1 2016","FQ1 2016","Currency=INR","Period=FQ","BEST_FPERIOD_OVERRIDE=FQ","FILING_STATUS=OR","EQY_CONSOLIDATED=Y","Sort=A","Dates=H","DateFormat=P","Fill=—","Direction=H","UseDPDF=Y")</f>
        <v>#NAME?</v>
      </c>
      <c r="BB289" s="2" t="e">
        <f ca="1">_xll.BDH($C$278,"GEO_GROW_TOT_SHRHLDR_EQY","FQ1 2016","FQ1 2016","Currency=INR","Period=FQ","BEST_FPERIOD_OVERRIDE=FQ","FILING_STATUS=OR","EQY_CONSOLIDATED=Y","Sort=A","Dates=H","DateFormat=P","Fill=—","Direction=H","UseDPDF=Y")</f>
        <v>#NAME?</v>
      </c>
      <c r="BC289" s="2" t="e">
        <f ca="1">_xll.BDH($C$278,"TOTAL_CAPITAL_5_YEAR_GROWTH","FQ1 2016","FQ1 2016","Currency=INR","Period=FQ","BEST_FPERIOD_OVERRIDE=FQ","FILING_STATUS=OR","EQY_CONSOLIDATED=Y","Sort=A","Dates=H","DateFormat=P","Fill=—","Direction=H","UseDPDF=Y")</f>
        <v>#NAME?</v>
      </c>
      <c r="BD289" s="2" t="e">
        <f ca="1">_xll.BDH($C$278,"GEO_GROW_BOOK_VAL","FQ1 2016","FQ1 2016","Currency=INR","Period=FQ","BEST_FPERIOD_OVERRIDE=FQ","FILING_STATUS=OR","EQY_CONSOLIDATED=Y","Sort=A","Dates=H","DateFormat=P","Fill=—","Direction=H","UseDPDF=Y")</f>
        <v>#NAME?</v>
      </c>
      <c r="BE289" s="2" t="e">
        <f ca="1">_xll.BDH($C$278,"GEO_GROW_CASH_OPER_ACT","FQ1 2016","FQ1 2016","Currency=INR","Period=FQ","BEST_FPERIOD_OVERRIDE=FQ","FILING_STATUS=OR","EQY_CONSOLIDATED=Y","Sort=A","Dates=H","DateFormat=P","Fill=—","Direction=H","UseDPDF=Y")</f>
        <v>#NAME?</v>
      </c>
      <c r="BF289" s="2" t="e">
        <f ca="1">_xll.BDH($C$278,"REVENUE_SEQUENTIAL_GROWTH","FQ1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289" s="2" t="e">
        <f ca="1">_xll.BDH($C$278,"EBITDA_SEQUENTIAL_GROWTH","FQ1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289" s="2" t="e">
        <f ca="1">_xll.BDH($C$278,"OPERATING_INCOME_SEQ_GROWTH","FQ1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289" s="2" t="e">
        <f ca="1">_xll.BDH($C$278,"NET_INCOME_TO_COMMON_SEQ_GROWTH","FQ1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289" s="2" t="e">
        <f ca="1">_xll.BDH($C$278,"EPS_DILUTED_SEQUENTIAL_GROWTH","FQ1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289" s="2" t="e">
        <f ca="1">_xll.BDH($C$278,"DPS_SEQUENTIAL_GROWTH","FQ1 2016","FQ1 2016","Currency=INR","Period=FQ","BEST_FPERIOD_OVERRIDE=FQ","FILING_STATUS=OR","EQY_CONSOLIDATED=Y","Sort=A","Dates=H","DateFormat=P","Fill=—","Direction=H","UseDPDF=Y")</f>
        <v>#NAME?</v>
      </c>
      <c r="BL289" s="2" t="e">
        <f ca="1">_xll.BDH($C$278,"ACCOUNTS_RECEIVABLE_SEQ_GROWTH","FQ1 2016","FQ1 2016","Currency=INR","Period=FQ","BEST_FPERIOD_OVERRIDE=FQ","FILING_STATUS=OR","EQY_CONSOLIDATED=Y","Sort=A","Dates=H","DateFormat=P","Fill=—","Direction=H","UseDPDF=Y")</f>
        <v>#NAME?</v>
      </c>
      <c r="BM289" s="2" t="e">
        <f ca="1">_xll.BDH($C$278,"INVENTORY_SEQUENTIAL_GROWTH","FQ1 2016","FQ1 2016","Currency=INR","Period=FQ","BEST_FPERIOD_OVERRIDE=FQ","FILING_STATUS=OR","EQY_CONSOLIDATED=Y","Sort=A","Dates=H","DateFormat=P","Fill=—","Direction=H","UseDPDF=Y")</f>
        <v>#NAME?</v>
      </c>
      <c r="BN289" s="2" t="e">
        <f ca="1">_xll.BDH($C$278,"FIXED_ASSETS_SEQUENTIAL_GROWTH","FQ1 2016","FQ1 2016","Currency=INR","Period=FQ","BEST_FPERIOD_OVERRIDE=FQ","FILING_STATUS=OR","EQY_CONSOLIDATED=Y","Sort=A","Dates=H","DateFormat=P","Fill=—","Direction=H","UseDPDF=Y")</f>
        <v>#NAME?</v>
      </c>
      <c r="BO289" s="2" t="e">
        <f ca="1">_xll.BDH($C$278,"TOTAL_ASSETS_SEQUENTIAL_GROWTH","FQ1 2016","FQ1 2016","Currency=INR","Period=FQ","BEST_FPERIOD_OVERRIDE=FQ","FILING_STATUS=OR","EQY_CONSOLIDATED=Y","Sort=A","Dates=H","DateFormat=P","Fill=—","Direction=H","UseDPDF=Y")</f>
        <v>#NAME?</v>
      </c>
      <c r="BP289" s="2" t="e">
        <f ca="1">_xll.BDH($C$278,"MODIFIED_WORKING_CPTL_SEQ_GRWTH","FQ1 2016","FQ1 2016","Currency=INR","Period=FQ","BEST_FPERIOD_OVERRIDE=FQ","FILING_STATUS=OR","EQY_CONSOLIDATED=Y","Sort=A","Dates=H","DateFormat=P","Fill=—","Direction=H","UseDPDF=Y")</f>
        <v>#NAME?</v>
      </c>
      <c r="BQ289" s="2" t="e">
        <f ca="1">_xll.BDH($C$278,"WORKING_CAPITAL_SEQ_GROWTH","FQ1 2016","FQ1 2016","Currency=INR","Period=FQ","BEST_FPERIOD_OVERRIDE=FQ","FILING_STATUS=OR","EQY_CONSOLIDATED=Y","Sort=A","Dates=H","DateFormat=P","Fill=—","Direction=H","UseDPDF=Y")</f>
        <v>#NAME?</v>
      </c>
      <c r="BR289" s="2" t="e">
        <f ca="1">_xll.BDH($C$278,"ACCOUNTS_PAYABLE_SEQ_GROWTH","FQ1 2016","FQ1 2016","Currency=INR","Period=FQ","BEST_FPERIOD_OVERRIDE=FQ","FILING_STATUS=OR","EQY_CONSOLIDATED=Y","Sort=A","Dates=H","DateFormat=P","Fill=—","Direction=H","UseDPDF=Y")</f>
        <v>#NAME?</v>
      </c>
      <c r="BS289" s="2" t="e">
        <f ca="1">_xll.BDH($C$278,"ST_DEBT_SEQUENTIAL_GROWTH","FQ1 2016","FQ1 2016","Currency=INR","Period=FQ","BEST_FPERIOD_OVERRIDE=FQ","FILING_STATUS=OR","EQY_CONSOLIDATED=Y","Sort=A","Dates=H","DateFormat=P","Fill=—","Direction=H","UseDPDF=Y")</f>
        <v>#NAME?</v>
      </c>
      <c r="BT289" s="2" t="e">
        <f ca="1">_xll.BDH($C$278,"TOTAL_DEBT_SEQUENTIAL_GROWTH","FQ1 2016","FQ1 2016","Currency=INR","Period=FQ","BEST_FPERIOD_OVERRIDE=FQ","FILING_STATUS=OR","EQY_CONSOLIDATED=Y","Sort=A","Dates=H","DateFormat=P","Fill=—","Direction=H","UseDPDF=Y")</f>
        <v>#NAME?</v>
      </c>
      <c r="BU289" s="2" t="e">
        <f ca="1">_xll.BDH($C$278,"TOTAL_EQUITY_SEQUENTIAL_GROWTH","FQ1 2016","FQ1 2016","Currency=INR","Period=FQ","BEST_FPERIOD_OVERRIDE=FQ","FILING_STATUS=OR","EQY_CONSOLIDATED=Y","Sort=A","Dates=H","DateFormat=P","Fill=—","Direction=H","UseDPDF=Y")</f>
        <v>#NAME?</v>
      </c>
      <c r="BV289" s="2" t="e">
        <f ca="1">_xll.BDH($C$278,"TOTAL_CAPITAL_SEQUENTIAL_GROWTH","FQ1 2016","FQ1 2016","Currency=INR","Period=FQ","BEST_FPERIOD_OVERRIDE=FQ","FILING_STATUS=OR","EQY_CONSOLIDATED=Y","Sort=A","Dates=H","DateFormat=P","Fill=—","Direction=H","UseDPDF=Y")</f>
        <v>#NAME?</v>
      </c>
      <c r="BW289" s="2" t="e">
        <f ca="1">_xll.BDH($C$278,"BPS_SEQUENTIAL_GROWTH","FQ1 2016","FQ1 2016","Currency=INR","Period=FQ","BEST_FPERIOD_OVERRIDE=FQ","FILING_STATUS=OR","EQY_CONSOLIDATED=Y","Sort=A","Dates=H","DateFormat=P","Fill=—","Direction=H","UseDPDF=Y")</f>
        <v>#NAME?</v>
      </c>
      <c r="BX289" s="2" t="e">
        <f ca="1">_xll.BDH($C$278,"CFO_SEQUENTIAL_GROWTH","FQ1 2016","FQ1 2016","Currency=INR","Period=FQ","BEST_FPERIOD_OVERRIDE=FQ","FILING_STATUS=OR","EQY_CONSOLIDATED=Y","Sort=A","Dates=H","DateFormat=P","Fill=—","Direction=H","UseDPDF=Y")</f>
        <v>#NAME?</v>
      </c>
      <c r="BY289" s="3" t="e">
        <f ca="1">_xll.BDH($C$278,"SHORT_AND_LONG_TERM_DEBT","FQ1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289" s="3" t="e">
        <f ca="1">_xll.BDH($C$278,"BS_ST_BORROW","FQ1 2016","FQ1 2016","Currency=INR","Period=FQ","BEST_FPERIOD_OVERRIDE=FQ","FILING_STATUS=OR","EQY_CONSOLIDATED=Y","SCALING_FORMAT=MLN","Sort=A","Dates=H","DateFormat=P","Fill=—","Direction=H","UseDPDF=Y")</f>
        <v>#NAME?</v>
      </c>
      <c r="CA289" s="3" t="e">
        <f ca="1">_xll.BDH($C$278,"BS_LT_BORROW","FQ1 2016","FQ1 2016","Currency=INR","Period=FQ","BEST_FPERIOD_OVERRIDE=FQ","FILING_STATUS=OR","EQY_CONSOLIDATED=Y","SCALING_FORMAT=MLN","Sort=A","Dates=H","DateFormat=P","Fill=—","Direction=H","UseDPDF=Y")</f>
        <v>#NAME?</v>
      </c>
      <c r="CB289" s="2" t="e">
        <f ca="1">_xll.BDH($C$278,"TOT_DEBT_TO_EBITDA","FQ1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289" s="2" t="e">
        <f ca="1">_xll.BDH($C$278,"NET_DEBT_TO_EBITDA","FQ1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289" s="2" t="e">
        <f ca="1">_xll.BDH($C$278,"TOTAL_DEBT_TO_EBIT","FQ1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289" s="2" t="e">
        <f ca="1">_xll.BDH($C$278,"NET_DEBT_TO_EBIT","FQ1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289" s="2" t="e">
        <f ca="1">_xll.BDH($C$278,"EBITDA_TO_INTEREST_EXPN","FQ1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289" s="2" t="e">
        <f ca="1">_xll.BDH($C$278,"COM_EQY_TO_TOT_ASSET","FQ1 2016","FQ1 2016","Currency=INR","Period=FQ","BEST_FPERIOD_OVERRIDE=FQ","FILING_STATUS=OR","EQY_CONSOLIDATED=Y","Sort=A","Dates=H","DateFormat=P","Fill=—","Direction=H","UseDPDF=Y")</f>
        <v>#NAME?</v>
      </c>
      <c r="CH289" s="2" t="e">
        <f ca="1">_xll.BDH($C$278,"LT_DEBT_TO_TOT_EQY","FQ1 2016","FQ1 2016","Currency=INR","Period=FQ","BEST_FPERIOD_OVERRIDE=FQ","FILING_STATUS=OR","EQY_CONSOLIDATED=Y","Sort=A","Dates=H","DateFormat=P","Fill=—","Direction=H","UseDPDF=Y")</f>
        <v>#NAME?</v>
      </c>
      <c r="CI289" s="2" t="e">
        <f ca="1">_xll.BDH($C$278,"LT_DEBT_TO_TOT_CAP","FQ1 2016","FQ1 2016","Currency=INR","Period=FQ","BEST_FPERIOD_OVERRIDE=FQ","FILING_STATUS=OR","EQY_CONSOLIDATED=Y","Sort=A","Dates=H","DateFormat=P","Fill=—","Direction=H","UseDPDF=Y")</f>
        <v>#NAME?</v>
      </c>
      <c r="CJ289" s="2" t="e">
        <f ca="1">_xll.BDH($C$278,"LT_DEBT_TO_TOT_ASSET","FQ1 2016","FQ1 2016","Currency=INR","Period=FQ","BEST_FPERIOD_OVERRIDE=FQ","FILING_STATUS=OR","EQY_CONSOLIDATED=Y","Sort=A","Dates=H","DateFormat=P","Fill=—","Direction=H","UseDPDF=Y")</f>
        <v>#NAME?</v>
      </c>
      <c r="CK289" s="2" t="e">
        <f ca="1">_xll.BDH($C$278,"TOT_DEBT_TO_TOT_EQY","FQ1 2016","FQ1 2016","Currency=INR","Period=FQ","BEST_FPERIOD_OVERRIDE=FQ","FILING_STATUS=OR","EQY_CONSOLIDATED=Y","Sort=A","Dates=H","DateFormat=P","Fill=—","Direction=H","UseDPDF=Y")</f>
        <v>#NAME?</v>
      </c>
      <c r="CL289" s="2" t="e">
        <f ca="1">_xll.BDH($C$278,"TOT_DEBT_TO_TOT_CAP","FQ1 2016","FQ1 2016","Currency=INR","Period=FQ","BEST_FPERIOD_OVERRIDE=FQ","FILING_STATUS=OR","EQY_CONSOLIDATED=Y","Sort=A","Dates=H","DateFormat=P","Fill=—","Direction=H","UseDPDF=Y")</f>
        <v>#NAME?</v>
      </c>
      <c r="CM289" s="2" t="e">
        <f ca="1">_xll.BDH($C$278,"TOT_DEBT_TO_TOT_ASSET","FQ1 2016","FQ1 2016","Currency=INR","Period=FQ","BEST_FPERIOD_OVERRIDE=FQ","FILING_STATUS=OR","EQY_CONSOLIDATED=Y","Sort=A","Dates=H","DateFormat=P","Fill=—","Direction=H","UseDPDF=Y")</f>
        <v>#NAME?</v>
      </c>
      <c r="CN289" s="2" t="e">
        <f ca="1">_xll.BDH($C$278,"NET_DEBT_TO_SHRHLDR_EQTY","FQ1 2016","FQ1 2016","Currency=INR","Period=FQ","BEST_FPERIOD_OVERRIDE=FQ","FILING_STATUS=OR","EQY_CONSOLIDATED=Y","Sort=A","Dates=H","DateFormat=P","Fill=—","Direction=H","UseDPDF=Y")</f>
        <v>#NAME?</v>
      </c>
      <c r="CO289" s="2" t="e">
        <f ca="1">_xll.BDH($C$278,"NET_DEBT_%_CAPITAL","FQ1 2016","FQ1 2016","Currency=INR","Period=FQ","BEST_FPERIOD_OVERRIDE=FQ","FILING_STATUS=OR","EQY_CONSOLIDATED=Y","Sort=A","Dates=H","DateFormat=P","Fill=—","Direction=H","UseDPDF=Y")</f>
        <v>#NAME?</v>
      </c>
      <c r="CP289" s="3" t="e">
        <f ca="1">_xll.BDH($C$278,"EBITDA","FQ1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289" s="3" t="e">
        <f ca="1">_xll.BDH($C$278,"EBITDA_AFTER_CAPEX","FQ1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289" s="3" t="e">
        <f ca="1">_xll.BDH($C$278,"IS_OPER_INC","FQ1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289" s="2" t="e">
        <f ca="1">_xll.BDH($C$278,"CASH_RATIO","FQ1 2016","FQ1 2016","Currency=INR","Period=FQ","BEST_FPERIOD_OVERRIDE=FQ","FILING_STATUS=OR","EQY_CONSOLIDATED=Y","Sort=A","Dates=H","DateFormat=P","Fill=—","Direction=H","UseDPDF=Y")</f>
        <v>#NAME?</v>
      </c>
      <c r="CT289" s="2" t="e">
        <f ca="1">_xll.BDH($C$278,"CUR_RATIO","FQ1 2016","FQ1 2016","Currency=INR","Period=FQ","BEST_FPERIOD_OVERRIDE=FQ","FILING_STATUS=OR","EQY_CONSOLIDATED=Y","Sort=A","Dates=H","DateFormat=P","Fill=—","Direction=H","UseDPDF=Y")</f>
        <v>#NAME?</v>
      </c>
      <c r="CU289" s="2" t="e">
        <f ca="1">_xll.BDH($C$278,"QUICK_RATIO","FQ1 2016","FQ1 2016","Currency=INR","Period=FQ","BEST_FPERIOD_OVERRIDE=FQ","FILING_STATUS=OR","EQY_CONSOLIDATED=Y","Sort=A","Dates=H","DateFormat=P","Fill=—","Direction=H","UseDPDF=Y")</f>
        <v>#NAME?</v>
      </c>
      <c r="CV289" s="2" t="e">
        <f ca="1">_xll.BDH($C$278,"ALTMAN_Z_SCORE","FQ1 2016","FQ1 2016","Currency=INR","Period=FQ","BEST_FPERIOD_OVERRIDE=FQ","FILING_STATUS=OR","EQY_CONSOLIDATED=Y","Sort=A","Dates=H","DateFormat=P","Fill=—","Direction=H","UseDPDF=Y")</f>
        <v>#NAME?</v>
      </c>
      <c r="CW289" s="4" t="e">
        <f ca="1">_xll.BDH($C$278,"ACCT_RCV_TURN","FQ1 2016","FQ1 2016","Currency=INR","Period=FQ","BEST_FPERIOD_OVERRIDE=FQ","FILING_STATUS=OR","EQY_CONSOLIDATED=Y","FA_ADJUSTED=GAAP","Sort=A","Dates=H","DateFormat=P","Fill=—","Direction=H","UseDPDF=Y")</f>
        <v>#NAME?</v>
      </c>
      <c r="CX289" s="2" t="e">
        <f ca="1">_xll.BDH($C$278,"ACCT_RCV_DAYS","FQ1 2016","FQ1 2016","Currency=INR","Period=FQ","BEST_FPERIOD_OVERRIDE=FQ","FILING_STATUS=OR","EQY_CONSOLIDATED=Y","FA_ADJUSTED=GAAP","Sort=A","Dates=H","DateFormat=P","Fill=—","Direction=H","UseDPDF=Y")</f>
        <v>#NAME?</v>
      </c>
      <c r="CY289" s="4" t="e">
        <f ca="1">_xll.BDH($C$278,"INVENT_TURN","FQ1 2016","FQ1 2016","Currency=INR","Period=FQ","BEST_FPERIOD_OVERRIDE=FQ","FILING_STATUS=OR","EQY_CONSOLIDATED=Y","FA_ADJUSTED=GAAP","Sort=A","Dates=H","DateFormat=P","Fill=—","Direction=H","UseDPDF=Y")</f>
        <v>#NAME?</v>
      </c>
      <c r="CZ289" s="2" t="e">
        <f ca="1">_xll.BDH($C$278,"INVENT_DAYS","FQ1 2016","FQ1 2016","Currency=INR","Period=FQ","BEST_FPERIOD_OVERRIDE=FQ","FILING_STATUS=OR","EQY_CONSOLIDATED=Y","FA_ADJUSTED=GAAP","Sort=A","Dates=H","DateFormat=P","Fill=—","Direction=H","UseDPDF=Y")</f>
        <v>#NAME?</v>
      </c>
      <c r="DA289" s="4" t="e">
        <f ca="1">_xll.BDH($C$278,"ACCOUNTS_PAYABLE_TURNOVER","FQ1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289" s="2" t="e">
        <f ca="1">_xll.BDH($C$278,"ACCOUNTS_PAYABLE_TURNOVER_DAYS","FQ1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289" s="4" t="e">
        <f ca="1">_xll.BDH($C$278,"CASH_CONVERSION_CYCLE","FQ1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289" s="4" t="e">
        <f ca="1">_xll.BDH($C$278,"INV_TO_CASH_DAYS","FQ1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289" s="5" t="e">
        <f ca="1">_xll.BDH($C$278,"BS_INVENTORIES","FQ1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289" s="3" t="e">
        <f ca="1">_xll.BDH($C$278,"INVTRY_RAW_MATERIALS","FQ1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289" s="3" t="e">
        <f ca="1">_xll.BDH($C$278,"INVTRY_IN_PROGRESS","FQ1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289" s="3" t="e">
        <f ca="1">_xll.BDH($C$278,"INVTRY_FINISHED_GOODS","FQ1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289" s="3" t="e">
        <f ca="1">_xll.BDH($C$278,"BS_OTHER_INV","FQ1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290" spans="1:113" x14ac:dyDescent="0.3">
      <c r="A290" s="6"/>
      <c r="B290" s="6"/>
      <c r="C290" s="6"/>
      <c r="D290" s="6"/>
      <c r="E290" t="s">
        <v>79</v>
      </c>
      <c r="F290" t="e">
        <f ca="1">_xll.BDH($C$278,"RETURN_COM_EQY","FQ2 2016","FQ2 2016","Currency=INR","Period=FQ","BEST_FPERIOD_OVERRIDE=FQ","FILING_STATUS=OR","EQY_CONSOLIDATED=Y","FA_ADJUSTED=GAAP","Sort=A","Dates=H","DateFormat=P","Fill=—","Direction=H","UseDPDF=Y")</f>
        <v>#NAME?</v>
      </c>
      <c r="G290" t="e">
        <f ca="1">_xll.BDH($C$278,"RETURN_ON_ASSET","FQ2 2016","FQ2 2016","Currency=INR","Period=FQ","BEST_FPERIOD_OVERRIDE=FQ","FILING_STATUS=OR","EQY_CONSOLIDATED=Y","FA_ADJUSTED=GAAP","Sort=A","Dates=H","DateFormat=P","Fill=—","Direction=H","UseDPDF=Y")</f>
        <v>#NAME?</v>
      </c>
      <c r="H290" t="e">
        <f ca="1">_xll.BDH($C$278,"RETURN_ON_CAP","FQ2 2016","FQ2 2016","Currency=INR","Period=FQ","BEST_FPERIOD_OVERRIDE=FQ","FILING_STATUS=OR","EQY_CONSOLIDATED=Y","FA_ADJUSTED=GAAP","Sort=A","Dates=H","DateFormat=P","Fill=—","Direction=H","UseDPDF=Y")</f>
        <v>#NAME?</v>
      </c>
      <c r="I290" t="e">
        <f ca="1">_xll.BDH($C$278,"RETURN_ON_INV_CAPITAL","FQ2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290" t="e">
        <f ca="1">_xll.BDH($C$278,"EBITDA_TO_REVENUE","FQ2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290" t="e">
        <f ca="1">_xll.BDH($C$278,"OPER_MARGIN","FQ2 2016","FQ2 2016","Currency=INR","Period=FQ","BEST_FPERIOD_OVERRIDE=FQ","FILING_STATUS=OR","EQY_CONSOLIDATED=Y","FA_ADJUSTED=GAAP","Sort=A","Dates=H","DateFormat=P","Fill=—","Direction=H","UseDPDF=Y")</f>
        <v>#NAME?</v>
      </c>
      <c r="L290" t="e">
        <f ca="1">_xll.BDH($C$278,"INCREMENTAL_OPERATING_MARGIN","FQ2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290" t="e">
        <f ca="1">_xll.BDH($C$278,"PRETAX_INC_TO_NET_SALES","FQ2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290" t="e">
        <f ca="1">_xll.BDH($C$278,"INC_BEF_XO_ITEMS_TO_NET_SALES","FQ2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290" t="e">
        <f ca="1">_xll.BDH($C$278,"PROF_MARGIN","FQ2 2016","FQ2 2016","Currency=INR","Period=FQ","BEST_FPERIOD_OVERRIDE=FQ","FILING_STATUS=OR","EQY_CONSOLIDATED=Y","FA_ADJUSTED=GAAP","Sort=A","Dates=H","DateFormat=P","Fill=—","Direction=H","UseDPDF=Y")</f>
        <v>#NAME?</v>
      </c>
      <c r="P290" t="e">
        <f ca="1">_xll.BDH($C$278,"NET_INCOME_TO_COMMON_MARGIN","FQ2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290" t="e">
        <f ca="1">_xll.BDH($C$278,"EFF_TAX_RATE","FQ2 2016","FQ2 2016","Currency=INR","Period=FQ","BEST_FPERIOD_OVERRIDE=FQ","FILING_STATUS=OR","EQY_CONSOLIDATED=Y","FA_ADJUSTED=GAAP","Sort=A","Dates=H","DateFormat=P","Fill=—","Direction=H","UseDPDF=Y")</f>
        <v>#NAME?</v>
      </c>
      <c r="R290" t="e">
        <f ca="1">_xll.BDH($C$278,"DVD_PAYOUT_RATIO","FQ2 2016","FQ2 2016","Currency=INR","Period=FQ","BEST_FPERIOD_OVERRIDE=FQ","FILING_STATUS=OR","EQY_CONSOLIDATED=Y","FA_ADJUSTED=GAAP","Sort=A","Dates=H","DateFormat=P","Fill=—","Direction=H","UseDPDF=Y")</f>
        <v>#NAME?</v>
      </c>
      <c r="S290" t="e">
        <f ca="1">_xll.BDH($C$278,"SUSTAIN_GROWTH_RT","FQ2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290" s="2" t="e">
        <f ca="1">_xll.BDH($C$278,"SALES_GROWTH","FQ2 2016","FQ2 2016","Currency=INR","Period=FQ","BEST_FPERIOD_OVERRIDE=FQ","FILING_STATUS=OR","EQY_CONSOLIDATED=Y","FA_ADJUSTED=GAAP","Sort=A","Dates=H","DateFormat=P","Fill=—","Direction=H","UseDPDF=Y")</f>
        <v>#NAME?</v>
      </c>
      <c r="U290" s="2" t="e">
        <f ca="1">_xll.BDH($C$278,"EBITDA_GROWTH","FQ2 2016","FQ2 2016","Currency=INR","Period=FQ","BEST_FPERIOD_OVERRIDE=FQ","FILING_STATUS=OR","EQY_CONSOLIDATED=Y","FA_ADJUSTED=GAAP","Sort=A","Dates=H","DateFormat=P","Fill=—","Direction=H","UseDPDF=Y")</f>
        <v>#NAME?</v>
      </c>
      <c r="V290" s="2" t="e">
        <f ca="1">_xll.BDH($C$278,"OPER_INC_GROWTH","FQ2 2016","FQ2 2016","Currency=INR","Period=FQ","BEST_FPERIOD_OVERRIDE=FQ","FILING_STATUS=OR","EQY_CONSOLIDATED=Y","FA_ADJUSTED=GAAP","Sort=A","Dates=H","DateFormat=P","Fill=—","Direction=H","UseDPDF=Y")</f>
        <v>#NAME?</v>
      </c>
      <c r="W290" s="2" t="e">
        <f ca="1">_xll.BDH($C$278,"EARN_FOR_COM_GROWTH","FQ2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290" s="2" t="e">
        <f ca="1">_xll.BDH($C$278,"DILUTED_EPS_AFT_XO_ITEMS_GROWTH","FQ2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290" s="2" t="e">
        <f ca="1">_xll.BDH($C$278,"DIVIDEND_PER_SHARE_1_YEAR_GROWTH","FQ2 2016","FQ2 2016","Currency=INR","Period=FQ","BEST_FPERIOD_OVERRIDE=FQ","FILING_STATUS=OR","EQY_CONSOLIDATED=Y","Sort=A","Dates=H","DateFormat=P","Fill=—","Direction=H","UseDPDF=Y")</f>
        <v>#NAME?</v>
      </c>
      <c r="Z290" s="2" t="e">
        <f ca="1">_xll.BDH($C$278,"ACCOUNTS_RECEIVABLE_GROWTH","FQ2 2016","FQ2 2016","Currency=INR","Period=FQ","BEST_FPERIOD_OVERRIDE=FQ","FILING_STATUS=OR","EQY_CONSOLIDATED=Y","Sort=A","Dates=H","DateFormat=P","Fill=—","Direction=H","UseDPDF=Y")</f>
        <v>#NAME?</v>
      </c>
      <c r="AA290" s="2" t="e">
        <f ca="1">_xll.BDH($C$278,"INVENTORY_GROWTH","FQ2 2016","FQ2 2016","Currency=INR","Period=FQ","BEST_FPERIOD_OVERRIDE=FQ","FILING_STATUS=OR","EQY_CONSOLIDATED=Y","Sort=A","Dates=H","DateFormat=P","Fill=—","Direction=H","UseDPDF=Y")</f>
        <v>#NAME?</v>
      </c>
      <c r="AB290" s="2" t="e">
        <f ca="1">_xll.BDH($C$278,"NET_FIXED_ASSETS_1_YEAR_GROWTH","FQ2 2016","FQ2 2016","Currency=INR","Period=FQ","BEST_FPERIOD_OVERRIDE=FQ","FILING_STATUS=OR","EQY_CONSOLIDATED=Y","Sort=A","Dates=H","DateFormat=P","Fill=—","Direction=H","UseDPDF=Y")</f>
        <v>#NAME?</v>
      </c>
      <c r="AC290" s="2" t="e">
        <f ca="1">_xll.BDH($C$278,"ASSET_GROWTH","FQ2 2016","FQ2 2016","Currency=INR","Period=FQ","BEST_FPERIOD_OVERRIDE=FQ","FILING_STATUS=OR","EQY_CONSOLIDATED=Y","Sort=A","Dates=H","DateFormat=P","Fill=—","Direction=H","UseDPDF=Y")</f>
        <v>#NAME?</v>
      </c>
      <c r="AD290" s="2" t="e">
        <f ca="1">_xll.BDH($C$278,"MODIFIED_WORK_CAP_GROWTH","FQ2 2016","FQ2 2016","Currency=INR","Period=FQ","BEST_FPERIOD_OVERRIDE=FQ","FILING_STATUS=OR","EQY_CONSOLIDATED=Y","Sort=A","Dates=H","DateFormat=P","Fill=—","Direction=H","UseDPDF=Y")</f>
        <v>#NAME?</v>
      </c>
      <c r="AE290" s="2" t="e">
        <f ca="1">_xll.BDH($C$278,"WORK_CAP_GROWTH","FQ2 2016","FQ2 2016","Currency=INR","Period=FQ","BEST_FPERIOD_OVERRIDE=FQ","FILING_STATUS=OR","EQY_CONSOLIDATED=Y","Sort=A","Dates=H","DateFormat=P","Fill=—","Direction=H","UseDPDF=Y")</f>
        <v>#NAME?</v>
      </c>
      <c r="AF290" s="2" t="e">
        <f ca="1">_xll.BDH($C$278,"ACCOUNTS_PAYABLE_GROWTH_1YR","FQ2 2016","FQ2 2016","Currency=INR","Period=FQ","BEST_FPERIOD_OVERRIDE=FQ","FILING_STATUS=OR","EQY_CONSOLIDATED=Y","Sort=A","Dates=H","DateFormat=P","Fill=—","Direction=H","UseDPDF=Y")</f>
        <v>#NAME?</v>
      </c>
      <c r="AG290" s="2" t="e">
        <f ca="1">_xll.BDH($C$278,"SHORT_TERM_DEBT_1_YEAR_GROWTH","FQ2 2016","FQ2 2016","Currency=INR","Period=FQ","BEST_FPERIOD_OVERRIDE=FQ","FILING_STATUS=OR","EQY_CONSOLIDATED=Y","Sort=A","Dates=H","DateFormat=P","Fill=—","Direction=H","UseDPDF=Y")</f>
        <v>#NAME?</v>
      </c>
      <c r="AH290" s="2" t="e">
        <f ca="1">_xll.BDH($C$278,"TOTAL_DEBT_1_YEAR_GROWTH","FQ2 2016","FQ2 2016","Currency=INR","Period=FQ","BEST_FPERIOD_OVERRIDE=FQ","FILING_STATUS=OR","EQY_CONSOLIDATED=Y","Sort=A","Dates=H","DateFormat=P","Fill=—","Direction=H","UseDPDF=Y")</f>
        <v>#NAME?</v>
      </c>
      <c r="AI290" s="2" t="e">
        <f ca="1">_xll.BDH($C$278,"TOTAL_EQUITY_1_YEAR_GROWTH","FQ2 2016","FQ2 2016","Currency=INR","Period=FQ","BEST_FPERIOD_OVERRIDE=FQ","FILING_STATUS=OR","EQY_CONSOLIDATED=Y","Sort=A","Dates=H","DateFormat=P","Fill=—","Direction=H","UseDPDF=Y")</f>
        <v>#NAME?</v>
      </c>
      <c r="AJ290" s="2" t="e">
        <f ca="1">_xll.BDH($C$278,"GROWTH_IN_CAP","FQ2 2016","FQ2 2016","Currency=INR","Period=FQ","BEST_FPERIOD_OVERRIDE=FQ","FILING_STATUS=OR","EQY_CONSOLIDATED=Y","Sort=A","Dates=H","DateFormat=P","Fill=—","Direction=H","UseDPDF=Y")</f>
        <v>#NAME?</v>
      </c>
      <c r="AK290" s="2" t="e">
        <f ca="1">_xll.BDH($C$278,"BVPS_GROWTH","FQ2 2016","FQ2 2016","Currency=INR","Period=FQ","BEST_FPERIOD_OVERRIDE=FQ","FILING_STATUS=OR","EQY_CONSOLIDATED=Y","Sort=A","Dates=H","DateFormat=P","Fill=—","Direction=H","UseDPDF=Y")</f>
        <v>#NAME?</v>
      </c>
      <c r="AL290" s="2" t="e">
        <f ca="1">_xll.BDH($C$278,"CASH_FLOW_GROWTH","FQ2 2016","FQ2 2016","Currency=INR","Period=FQ","BEST_FPERIOD_OVERRIDE=FQ","FILING_STATUS=OR","EQY_CONSOLIDATED=Y","Sort=A","Dates=H","DateFormat=P","Fill=—","Direction=H","UseDPDF=Y")</f>
        <v>#NAME?</v>
      </c>
      <c r="AM290" s="2" t="e">
        <f ca="1">_xll.BDH($C$278,"GEO_GROW_NET_SALES","FQ2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290" s="2" t="e">
        <f ca="1">_xll.BDH($C$278,"GEO_GROW_EBITDA","FQ2 2016","FQ2 2016","Currency=INR","Period=FQ","BEST_FPERIOD_OVERRIDE=FQ","FILING_STATUS=OR","EQY_CONSOLIDATED=Y","FA_ADJUSTED=GAAP","Sort=A","Dates=H","DateFormat=P","Fill=—","Direction=H","UseDPDF=Y")</f>
        <v>#NAME?</v>
      </c>
      <c r="AO290" s="2" t="e">
        <f ca="1">_xll.BDH($C$278,"GEO_GROW_OPER_INC","FQ2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290" s="2" t="e">
        <f ca="1">_xll.BDH($C$278,"NET_INCOME_TO_COMMON_5_YR_GROWTH","FQ2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290" s="2" t="e">
        <f ca="1">_xll.BDH($C$278,"5Y_GEO_GROWTH_DILUTED_EPS","FQ2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290" s="2" t="e">
        <f ca="1">_xll.BDH($C$278,"GEO_GROW_DVD_PER_SH","FQ2 2016","FQ2 2016","Currency=INR","Period=FQ","BEST_FPERIOD_OVERRIDE=FQ","FILING_STATUS=OR","EQY_CONSOLIDATED=Y","Sort=A","Dates=H","DateFormat=P","Fill=—","Direction=H","UseDPDF=Y")</f>
        <v>#NAME?</v>
      </c>
      <c r="AS290" s="2" t="e">
        <f ca="1">_xll.BDH($C$278,"ACCOUNTS_RECEIVABLE_5_YR_GROWTH","FQ2 2016","FQ2 2016","Currency=INR","Period=FQ","BEST_FPERIOD_OVERRIDE=FQ","FILING_STATUS=OR","EQY_CONSOLIDATED=Y","Sort=A","Dates=H","DateFormat=P","Fill=—","Direction=H","UseDPDF=Y")</f>
        <v>#NAME?</v>
      </c>
      <c r="AT290" s="2" t="e">
        <f ca="1">_xll.BDH($C$278,"INVENTORY_5_YEAR_GROWTH","FQ2 2016","FQ2 2016","Currency=INR","Period=FQ","BEST_FPERIOD_OVERRIDE=FQ","FILING_STATUS=OR","EQY_CONSOLIDATED=Y","Sort=A","Dates=H","DateFormat=P","Fill=—","Direction=H","UseDPDF=Y")</f>
        <v>#NAME?</v>
      </c>
      <c r="AU290" s="2" t="e">
        <f ca="1">_xll.BDH($C$278,"NET_FIXED_ASSETS_5_YEAR_GROWTH","FQ2 2016","FQ2 2016","Currency=INR","Period=FQ","BEST_FPERIOD_OVERRIDE=FQ","FILING_STATUS=OR","EQY_CONSOLIDATED=Y","Sort=A","Dates=H","DateFormat=P","Fill=—","Direction=H","UseDPDF=Y")</f>
        <v>#NAME?</v>
      </c>
      <c r="AV290" s="2" t="e">
        <f ca="1">_xll.BDH($C$278,"GEO_GROW_TOT_ASSET","FQ2 2016","FQ2 2016","Currency=INR","Period=FQ","BEST_FPERIOD_OVERRIDE=FQ","FILING_STATUS=OR","EQY_CONSOLIDATED=Y","Sort=A","Dates=H","DateFormat=P","Fill=—","Direction=H","UseDPDF=Y")</f>
        <v>#NAME?</v>
      </c>
      <c r="AW290" s="2" t="e">
        <f ca="1">_xll.BDH($C$278,"MODIFIED_WORKING_CPTL_5YR_GRWTH","FQ2 2016","FQ2 2016","Currency=INR","Period=FQ","BEST_FPERIOD_OVERRIDE=FQ","FILING_STATUS=OR","EQY_CONSOLIDATED=Y","Sort=A","Dates=H","DateFormat=P","Fill=—","Direction=H","UseDPDF=Y")</f>
        <v>#NAME?</v>
      </c>
      <c r="AX290" s="2" t="e">
        <f ca="1">_xll.BDH($C$278,"WORKING_CAPITAL_5_YEAR_GROWTH","FQ2 2016","FQ2 2016","Currency=INR","Period=FQ","BEST_FPERIOD_OVERRIDE=FQ","FILING_STATUS=OR","EQY_CONSOLIDATED=Y","Sort=A","Dates=H","DateFormat=P","Fill=—","Direction=H","UseDPDF=Y")</f>
        <v>#NAME?</v>
      </c>
      <c r="AY290" s="2" t="e">
        <f ca="1">_xll.BDH($C$278,"ACCOUNTS_PAYABLE_5_YEAR_GROWTH","FQ2 2016","FQ2 2016","Currency=INR","Period=FQ","BEST_FPERIOD_OVERRIDE=FQ","FILING_STATUS=OR","EQY_CONSOLIDATED=Y","Sort=A","Dates=H","DateFormat=P","Fill=—","Direction=H","UseDPDF=Y")</f>
        <v>#NAME?</v>
      </c>
      <c r="AZ290" s="2" t="e">
        <f ca="1">_xll.BDH($C$278,"SHORT_TERM_DEBT_5_YEAR_GROWTH","FQ2 2016","FQ2 2016","Currency=INR","Period=FQ","BEST_FPERIOD_OVERRIDE=FQ","FILING_STATUS=OR","EQY_CONSOLIDATED=Y","Sort=A","Dates=H","DateFormat=P","Fill=—","Direction=H","UseDPDF=Y")</f>
        <v>#NAME?</v>
      </c>
      <c r="BA290" s="2" t="e">
        <f ca="1">_xll.BDH($C$278,"TOTAL_DEBT_5_YEAR_GROWTH","FQ2 2016","FQ2 2016","Currency=INR","Period=FQ","BEST_FPERIOD_OVERRIDE=FQ","FILING_STATUS=OR","EQY_CONSOLIDATED=Y","Sort=A","Dates=H","DateFormat=P","Fill=—","Direction=H","UseDPDF=Y")</f>
        <v>#NAME?</v>
      </c>
      <c r="BB290" s="2" t="e">
        <f ca="1">_xll.BDH($C$278,"GEO_GROW_TOT_SHRHLDR_EQY","FQ2 2016","FQ2 2016","Currency=INR","Period=FQ","BEST_FPERIOD_OVERRIDE=FQ","FILING_STATUS=OR","EQY_CONSOLIDATED=Y","Sort=A","Dates=H","DateFormat=P","Fill=—","Direction=H","UseDPDF=Y")</f>
        <v>#NAME?</v>
      </c>
      <c r="BC290" s="2" t="e">
        <f ca="1">_xll.BDH($C$278,"TOTAL_CAPITAL_5_YEAR_GROWTH","FQ2 2016","FQ2 2016","Currency=INR","Period=FQ","BEST_FPERIOD_OVERRIDE=FQ","FILING_STATUS=OR","EQY_CONSOLIDATED=Y","Sort=A","Dates=H","DateFormat=P","Fill=—","Direction=H","UseDPDF=Y")</f>
        <v>#NAME?</v>
      </c>
      <c r="BD290" s="2" t="e">
        <f ca="1">_xll.BDH($C$278,"GEO_GROW_BOOK_VAL","FQ2 2016","FQ2 2016","Currency=INR","Period=FQ","BEST_FPERIOD_OVERRIDE=FQ","FILING_STATUS=OR","EQY_CONSOLIDATED=Y","Sort=A","Dates=H","DateFormat=P","Fill=—","Direction=H","UseDPDF=Y")</f>
        <v>#NAME?</v>
      </c>
      <c r="BE290" s="2" t="e">
        <f ca="1">_xll.BDH($C$278,"GEO_GROW_CASH_OPER_ACT","FQ2 2016","FQ2 2016","Currency=INR","Period=FQ","BEST_FPERIOD_OVERRIDE=FQ","FILING_STATUS=OR","EQY_CONSOLIDATED=Y","Sort=A","Dates=H","DateFormat=P","Fill=—","Direction=H","UseDPDF=Y")</f>
        <v>#NAME?</v>
      </c>
      <c r="BF290" s="2" t="e">
        <f ca="1">_xll.BDH($C$278,"REVENUE_SEQUENTIAL_GROWTH","FQ2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290" s="2" t="e">
        <f ca="1">_xll.BDH($C$278,"EBITDA_SEQUENTIAL_GROWTH","FQ2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290" s="2" t="e">
        <f ca="1">_xll.BDH($C$278,"OPERATING_INCOME_SEQ_GROWTH","FQ2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290" s="2" t="e">
        <f ca="1">_xll.BDH($C$278,"NET_INCOME_TO_COMMON_SEQ_GROWTH","FQ2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290" s="2" t="e">
        <f ca="1">_xll.BDH($C$278,"EPS_DILUTED_SEQUENTIAL_GROWTH","FQ2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290" s="2" t="e">
        <f ca="1">_xll.BDH($C$278,"DPS_SEQUENTIAL_GROWTH","FQ2 2016","FQ2 2016","Currency=INR","Period=FQ","BEST_FPERIOD_OVERRIDE=FQ","FILING_STATUS=OR","EQY_CONSOLIDATED=Y","Sort=A","Dates=H","DateFormat=P","Fill=—","Direction=H","UseDPDF=Y")</f>
        <v>#NAME?</v>
      </c>
      <c r="BL290" s="2" t="e">
        <f ca="1">_xll.BDH($C$278,"ACCOUNTS_RECEIVABLE_SEQ_GROWTH","FQ2 2016","FQ2 2016","Currency=INR","Period=FQ","BEST_FPERIOD_OVERRIDE=FQ","FILING_STATUS=OR","EQY_CONSOLIDATED=Y","Sort=A","Dates=H","DateFormat=P","Fill=—","Direction=H","UseDPDF=Y")</f>
        <v>#NAME?</v>
      </c>
      <c r="BM290" s="2" t="e">
        <f ca="1">_xll.BDH($C$278,"INVENTORY_SEQUENTIAL_GROWTH","FQ2 2016","FQ2 2016","Currency=INR","Period=FQ","BEST_FPERIOD_OVERRIDE=FQ","FILING_STATUS=OR","EQY_CONSOLIDATED=Y","Sort=A","Dates=H","DateFormat=P","Fill=—","Direction=H","UseDPDF=Y")</f>
        <v>#NAME?</v>
      </c>
      <c r="BN290" s="2" t="e">
        <f ca="1">_xll.BDH($C$278,"FIXED_ASSETS_SEQUENTIAL_GROWTH","FQ2 2016","FQ2 2016","Currency=INR","Period=FQ","BEST_FPERIOD_OVERRIDE=FQ","FILING_STATUS=OR","EQY_CONSOLIDATED=Y","Sort=A","Dates=H","DateFormat=P","Fill=—","Direction=H","UseDPDF=Y")</f>
        <v>#NAME?</v>
      </c>
      <c r="BO290" s="2" t="e">
        <f ca="1">_xll.BDH($C$278,"TOTAL_ASSETS_SEQUENTIAL_GROWTH","FQ2 2016","FQ2 2016","Currency=INR","Period=FQ","BEST_FPERIOD_OVERRIDE=FQ","FILING_STATUS=OR","EQY_CONSOLIDATED=Y","Sort=A","Dates=H","DateFormat=P","Fill=—","Direction=H","UseDPDF=Y")</f>
        <v>#NAME?</v>
      </c>
      <c r="BP290" s="2" t="e">
        <f ca="1">_xll.BDH($C$278,"MODIFIED_WORKING_CPTL_SEQ_GRWTH","FQ2 2016","FQ2 2016","Currency=INR","Period=FQ","BEST_FPERIOD_OVERRIDE=FQ","FILING_STATUS=OR","EQY_CONSOLIDATED=Y","Sort=A","Dates=H","DateFormat=P","Fill=—","Direction=H","UseDPDF=Y")</f>
        <v>#NAME?</v>
      </c>
      <c r="BQ290" s="2" t="e">
        <f ca="1">_xll.BDH($C$278,"WORKING_CAPITAL_SEQ_GROWTH","FQ2 2016","FQ2 2016","Currency=INR","Period=FQ","BEST_FPERIOD_OVERRIDE=FQ","FILING_STATUS=OR","EQY_CONSOLIDATED=Y","Sort=A","Dates=H","DateFormat=P","Fill=—","Direction=H","UseDPDF=Y")</f>
        <v>#NAME?</v>
      </c>
      <c r="BR290" s="2" t="e">
        <f ca="1">_xll.BDH($C$278,"ACCOUNTS_PAYABLE_SEQ_GROWTH","FQ2 2016","FQ2 2016","Currency=INR","Period=FQ","BEST_FPERIOD_OVERRIDE=FQ","FILING_STATUS=OR","EQY_CONSOLIDATED=Y","Sort=A","Dates=H","DateFormat=P","Fill=—","Direction=H","UseDPDF=Y")</f>
        <v>#NAME?</v>
      </c>
      <c r="BS290" s="2" t="e">
        <f ca="1">_xll.BDH($C$278,"ST_DEBT_SEQUENTIAL_GROWTH","FQ2 2016","FQ2 2016","Currency=INR","Period=FQ","BEST_FPERIOD_OVERRIDE=FQ","FILING_STATUS=OR","EQY_CONSOLIDATED=Y","Sort=A","Dates=H","DateFormat=P","Fill=—","Direction=H","UseDPDF=Y")</f>
        <v>#NAME?</v>
      </c>
      <c r="BT290" s="2" t="e">
        <f ca="1">_xll.BDH($C$278,"TOTAL_DEBT_SEQUENTIAL_GROWTH","FQ2 2016","FQ2 2016","Currency=INR","Period=FQ","BEST_FPERIOD_OVERRIDE=FQ","FILING_STATUS=OR","EQY_CONSOLIDATED=Y","Sort=A","Dates=H","DateFormat=P","Fill=—","Direction=H","UseDPDF=Y")</f>
        <v>#NAME?</v>
      </c>
      <c r="BU290" s="2" t="e">
        <f ca="1">_xll.BDH($C$278,"TOTAL_EQUITY_SEQUENTIAL_GROWTH","FQ2 2016","FQ2 2016","Currency=INR","Period=FQ","BEST_FPERIOD_OVERRIDE=FQ","FILING_STATUS=OR","EQY_CONSOLIDATED=Y","Sort=A","Dates=H","DateFormat=P","Fill=—","Direction=H","UseDPDF=Y")</f>
        <v>#NAME?</v>
      </c>
      <c r="BV290" s="2" t="e">
        <f ca="1">_xll.BDH($C$278,"TOTAL_CAPITAL_SEQUENTIAL_GROWTH","FQ2 2016","FQ2 2016","Currency=INR","Period=FQ","BEST_FPERIOD_OVERRIDE=FQ","FILING_STATUS=OR","EQY_CONSOLIDATED=Y","Sort=A","Dates=H","DateFormat=P","Fill=—","Direction=H","UseDPDF=Y")</f>
        <v>#NAME?</v>
      </c>
      <c r="BW290" s="2" t="e">
        <f ca="1">_xll.BDH($C$278,"BPS_SEQUENTIAL_GROWTH","FQ2 2016","FQ2 2016","Currency=INR","Period=FQ","BEST_FPERIOD_OVERRIDE=FQ","FILING_STATUS=OR","EQY_CONSOLIDATED=Y","Sort=A","Dates=H","DateFormat=P","Fill=—","Direction=H","UseDPDF=Y")</f>
        <v>#NAME?</v>
      </c>
      <c r="BX290" s="2" t="e">
        <f ca="1">_xll.BDH($C$278,"CFO_SEQUENTIAL_GROWTH","FQ2 2016","FQ2 2016","Currency=INR","Period=FQ","BEST_FPERIOD_OVERRIDE=FQ","FILING_STATUS=OR","EQY_CONSOLIDATED=Y","Sort=A","Dates=H","DateFormat=P","Fill=—","Direction=H","UseDPDF=Y")</f>
        <v>#NAME?</v>
      </c>
      <c r="BY290" s="3" t="e">
        <f ca="1">_xll.BDH($C$278,"SHORT_AND_LONG_TERM_DEBT","FQ2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290" s="3" t="e">
        <f ca="1">_xll.BDH($C$278,"BS_ST_BORROW","FQ2 2016","FQ2 2016","Currency=INR","Period=FQ","BEST_FPERIOD_OVERRIDE=FQ","FILING_STATUS=OR","EQY_CONSOLIDATED=Y","SCALING_FORMAT=MLN","Sort=A","Dates=H","DateFormat=P","Fill=—","Direction=H","UseDPDF=Y")</f>
        <v>#NAME?</v>
      </c>
      <c r="CA290" s="3" t="e">
        <f ca="1">_xll.BDH($C$278,"BS_LT_BORROW","FQ2 2016","FQ2 2016","Currency=INR","Period=FQ","BEST_FPERIOD_OVERRIDE=FQ","FILING_STATUS=OR","EQY_CONSOLIDATED=Y","SCALING_FORMAT=MLN","Sort=A","Dates=H","DateFormat=P","Fill=—","Direction=H","UseDPDF=Y")</f>
        <v>#NAME?</v>
      </c>
      <c r="CB290" s="2" t="e">
        <f ca="1">_xll.BDH($C$278,"TOT_DEBT_TO_EBITDA","FQ2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290" s="2" t="e">
        <f ca="1">_xll.BDH($C$278,"NET_DEBT_TO_EBITDA","FQ2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290" s="2" t="e">
        <f ca="1">_xll.BDH($C$278,"TOTAL_DEBT_TO_EBIT","FQ2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290" s="2" t="e">
        <f ca="1">_xll.BDH($C$278,"NET_DEBT_TO_EBIT","FQ2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290" s="2" t="e">
        <f ca="1">_xll.BDH($C$278,"EBITDA_TO_INTEREST_EXPN","FQ2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290" s="2" t="e">
        <f ca="1">_xll.BDH($C$278,"COM_EQY_TO_TOT_ASSET","FQ2 2016","FQ2 2016","Currency=INR","Period=FQ","BEST_FPERIOD_OVERRIDE=FQ","FILING_STATUS=OR","EQY_CONSOLIDATED=Y","Sort=A","Dates=H","DateFormat=P","Fill=—","Direction=H","UseDPDF=Y")</f>
        <v>#NAME?</v>
      </c>
      <c r="CH290" s="2" t="e">
        <f ca="1">_xll.BDH($C$278,"LT_DEBT_TO_TOT_EQY","FQ2 2016","FQ2 2016","Currency=INR","Period=FQ","BEST_FPERIOD_OVERRIDE=FQ","FILING_STATUS=OR","EQY_CONSOLIDATED=Y","Sort=A","Dates=H","DateFormat=P","Fill=—","Direction=H","UseDPDF=Y")</f>
        <v>#NAME?</v>
      </c>
      <c r="CI290" s="2" t="e">
        <f ca="1">_xll.BDH($C$278,"LT_DEBT_TO_TOT_CAP","FQ2 2016","FQ2 2016","Currency=INR","Period=FQ","BEST_FPERIOD_OVERRIDE=FQ","FILING_STATUS=OR","EQY_CONSOLIDATED=Y","Sort=A","Dates=H","DateFormat=P","Fill=—","Direction=H","UseDPDF=Y")</f>
        <v>#NAME?</v>
      </c>
      <c r="CJ290" s="2" t="e">
        <f ca="1">_xll.BDH($C$278,"LT_DEBT_TO_TOT_ASSET","FQ2 2016","FQ2 2016","Currency=INR","Period=FQ","BEST_FPERIOD_OVERRIDE=FQ","FILING_STATUS=OR","EQY_CONSOLIDATED=Y","Sort=A","Dates=H","DateFormat=P","Fill=—","Direction=H","UseDPDF=Y")</f>
        <v>#NAME?</v>
      </c>
      <c r="CK290" s="2" t="e">
        <f ca="1">_xll.BDH($C$278,"TOT_DEBT_TO_TOT_EQY","FQ2 2016","FQ2 2016","Currency=INR","Period=FQ","BEST_FPERIOD_OVERRIDE=FQ","FILING_STATUS=OR","EQY_CONSOLIDATED=Y","Sort=A","Dates=H","DateFormat=P","Fill=—","Direction=H","UseDPDF=Y")</f>
        <v>#NAME?</v>
      </c>
      <c r="CL290" s="2" t="e">
        <f ca="1">_xll.BDH($C$278,"TOT_DEBT_TO_TOT_CAP","FQ2 2016","FQ2 2016","Currency=INR","Period=FQ","BEST_FPERIOD_OVERRIDE=FQ","FILING_STATUS=OR","EQY_CONSOLIDATED=Y","Sort=A","Dates=H","DateFormat=P","Fill=—","Direction=H","UseDPDF=Y")</f>
        <v>#NAME?</v>
      </c>
      <c r="CM290" s="2" t="e">
        <f ca="1">_xll.BDH($C$278,"TOT_DEBT_TO_TOT_ASSET","FQ2 2016","FQ2 2016","Currency=INR","Period=FQ","BEST_FPERIOD_OVERRIDE=FQ","FILING_STATUS=OR","EQY_CONSOLIDATED=Y","Sort=A","Dates=H","DateFormat=P","Fill=—","Direction=H","UseDPDF=Y")</f>
        <v>#NAME?</v>
      </c>
      <c r="CN290" s="2" t="e">
        <f ca="1">_xll.BDH($C$278,"NET_DEBT_TO_SHRHLDR_EQTY","FQ2 2016","FQ2 2016","Currency=INR","Period=FQ","BEST_FPERIOD_OVERRIDE=FQ","FILING_STATUS=OR","EQY_CONSOLIDATED=Y","Sort=A","Dates=H","DateFormat=P","Fill=—","Direction=H","UseDPDF=Y")</f>
        <v>#NAME?</v>
      </c>
      <c r="CO290" s="2" t="e">
        <f ca="1">_xll.BDH($C$278,"NET_DEBT_%_CAPITAL","FQ2 2016","FQ2 2016","Currency=INR","Period=FQ","BEST_FPERIOD_OVERRIDE=FQ","FILING_STATUS=OR","EQY_CONSOLIDATED=Y","Sort=A","Dates=H","DateFormat=P","Fill=—","Direction=H","UseDPDF=Y")</f>
        <v>#NAME?</v>
      </c>
      <c r="CP290" s="3" t="e">
        <f ca="1">_xll.BDH($C$278,"EBITDA","FQ2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290" s="3" t="e">
        <f ca="1">_xll.BDH($C$278,"EBITDA_AFTER_CAPEX","FQ2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290" s="3" t="e">
        <f ca="1">_xll.BDH($C$278,"IS_OPER_INC","FQ2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290" s="2" t="e">
        <f ca="1">_xll.BDH($C$278,"CASH_RATIO","FQ2 2016","FQ2 2016","Currency=INR","Period=FQ","BEST_FPERIOD_OVERRIDE=FQ","FILING_STATUS=OR","EQY_CONSOLIDATED=Y","Sort=A","Dates=H","DateFormat=P","Fill=—","Direction=H","UseDPDF=Y")</f>
        <v>#NAME?</v>
      </c>
      <c r="CT290" s="2" t="e">
        <f ca="1">_xll.BDH($C$278,"CUR_RATIO","FQ2 2016","FQ2 2016","Currency=INR","Period=FQ","BEST_FPERIOD_OVERRIDE=FQ","FILING_STATUS=OR","EQY_CONSOLIDATED=Y","Sort=A","Dates=H","DateFormat=P","Fill=—","Direction=H","UseDPDF=Y")</f>
        <v>#NAME?</v>
      </c>
      <c r="CU290" s="2" t="e">
        <f ca="1">_xll.BDH($C$278,"QUICK_RATIO","FQ2 2016","FQ2 2016","Currency=INR","Period=FQ","BEST_FPERIOD_OVERRIDE=FQ","FILING_STATUS=OR","EQY_CONSOLIDATED=Y","Sort=A","Dates=H","DateFormat=P","Fill=—","Direction=H","UseDPDF=Y")</f>
        <v>#NAME?</v>
      </c>
      <c r="CV290" s="2" t="e">
        <f ca="1">_xll.BDH($C$278,"ALTMAN_Z_SCORE","FQ2 2016","FQ2 2016","Currency=INR","Period=FQ","BEST_FPERIOD_OVERRIDE=FQ","FILING_STATUS=OR","EQY_CONSOLIDATED=Y","Sort=A","Dates=H","DateFormat=P","Fill=—","Direction=H","UseDPDF=Y")</f>
        <v>#NAME?</v>
      </c>
      <c r="CW290" s="4" t="e">
        <f ca="1">_xll.BDH($C$278,"ACCT_RCV_TURN","FQ2 2016","FQ2 2016","Currency=INR","Period=FQ","BEST_FPERIOD_OVERRIDE=FQ","FILING_STATUS=OR","EQY_CONSOLIDATED=Y","FA_ADJUSTED=GAAP","Sort=A","Dates=H","DateFormat=P","Fill=—","Direction=H","UseDPDF=Y")</f>
        <v>#NAME?</v>
      </c>
      <c r="CX290" s="2" t="e">
        <f ca="1">_xll.BDH($C$278,"ACCT_RCV_DAYS","FQ2 2016","FQ2 2016","Currency=INR","Period=FQ","BEST_FPERIOD_OVERRIDE=FQ","FILING_STATUS=OR","EQY_CONSOLIDATED=Y","FA_ADJUSTED=GAAP","Sort=A","Dates=H","DateFormat=P","Fill=—","Direction=H","UseDPDF=Y")</f>
        <v>#NAME?</v>
      </c>
      <c r="CY290" s="4" t="e">
        <f ca="1">_xll.BDH($C$278,"INVENT_TURN","FQ2 2016","FQ2 2016","Currency=INR","Period=FQ","BEST_FPERIOD_OVERRIDE=FQ","FILING_STATUS=OR","EQY_CONSOLIDATED=Y","FA_ADJUSTED=GAAP","Sort=A","Dates=H","DateFormat=P","Fill=—","Direction=H","UseDPDF=Y")</f>
        <v>#NAME?</v>
      </c>
      <c r="CZ290" s="2" t="e">
        <f ca="1">_xll.BDH($C$278,"INVENT_DAYS","FQ2 2016","FQ2 2016","Currency=INR","Period=FQ","BEST_FPERIOD_OVERRIDE=FQ","FILING_STATUS=OR","EQY_CONSOLIDATED=Y","FA_ADJUSTED=GAAP","Sort=A","Dates=H","DateFormat=P","Fill=—","Direction=H","UseDPDF=Y")</f>
        <v>#NAME?</v>
      </c>
      <c r="DA290" s="4" t="e">
        <f ca="1">_xll.BDH($C$278,"ACCOUNTS_PAYABLE_TURNOVER","FQ2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290" s="2" t="e">
        <f ca="1">_xll.BDH($C$278,"ACCOUNTS_PAYABLE_TURNOVER_DAYS","FQ2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290" s="4" t="e">
        <f ca="1">_xll.BDH($C$278,"CASH_CONVERSION_CYCLE","FQ2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290" s="4" t="e">
        <f ca="1">_xll.BDH($C$278,"INV_TO_CASH_DAYS","FQ2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290" s="5" t="e">
        <f ca="1">_xll.BDH($C$278,"BS_INVENTORIES","FQ2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290" s="3" t="e">
        <f ca="1">_xll.BDH($C$278,"INVTRY_RAW_MATERIALS","FQ2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290" s="3" t="e">
        <f ca="1">_xll.BDH($C$278,"INVTRY_IN_PROGRESS","FQ2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290" s="3" t="e">
        <f ca="1">_xll.BDH($C$278,"INVTRY_FINISHED_GOODS","FQ2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290" s="3" t="e">
        <f ca="1">_xll.BDH($C$278,"BS_OTHER_INV","FQ2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291" spans="1:113" x14ac:dyDescent="0.3">
      <c r="A291" s="6"/>
      <c r="B291" s="6"/>
      <c r="C291" s="6"/>
      <c r="D291" s="6"/>
      <c r="E291" t="s">
        <v>80</v>
      </c>
      <c r="F291" t="e">
        <f ca="1">_xll.BDH($C$278,"RETURN_COM_EQY","FQ3 2016","FQ3 2016","Currency=INR","Period=FQ","BEST_FPERIOD_OVERRIDE=FQ","FILING_STATUS=OR","EQY_CONSOLIDATED=Y","FA_ADJUSTED=GAAP","Sort=A","Dates=H","DateFormat=P","Fill=—","Direction=H","UseDPDF=Y")</f>
        <v>#NAME?</v>
      </c>
      <c r="G291" t="e">
        <f ca="1">_xll.BDH($C$278,"RETURN_ON_ASSET","FQ3 2016","FQ3 2016","Currency=INR","Period=FQ","BEST_FPERIOD_OVERRIDE=FQ","FILING_STATUS=OR","EQY_CONSOLIDATED=Y","FA_ADJUSTED=GAAP","Sort=A","Dates=H","DateFormat=P","Fill=—","Direction=H","UseDPDF=Y")</f>
        <v>#NAME?</v>
      </c>
      <c r="H291" t="e">
        <f ca="1">_xll.BDH($C$278,"RETURN_ON_CAP","FQ3 2016","FQ3 2016","Currency=INR","Period=FQ","BEST_FPERIOD_OVERRIDE=FQ","FILING_STATUS=OR","EQY_CONSOLIDATED=Y","FA_ADJUSTED=GAAP","Sort=A","Dates=H","DateFormat=P","Fill=—","Direction=H","UseDPDF=Y")</f>
        <v>#NAME?</v>
      </c>
      <c r="I291" t="e">
        <f ca="1">_xll.BDH($C$278,"RETURN_ON_INV_CAPITAL","FQ3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291" t="e">
        <f ca="1">_xll.BDH($C$278,"EBITDA_TO_REVENUE","FQ3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291" t="e">
        <f ca="1">_xll.BDH($C$278,"OPER_MARGIN","FQ3 2016","FQ3 2016","Currency=INR","Period=FQ","BEST_FPERIOD_OVERRIDE=FQ","FILING_STATUS=OR","EQY_CONSOLIDATED=Y","FA_ADJUSTED=GAAP","Sort=A","Dates=H","DateFormat=P","Fill=—","Direction=H","UseDPDF=Y")</f>
        <v>#NAME?</v>
      </c>
      <c r="L291" t="e">
        <f ca="1">_xll.BDH($C$278,"INCREMENTAL_OPERATING_MARGIN","FQ3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291" t="e">
        <f ca="1">_xll.BDH($C$278,"PRETAX_INC_TO_NET_SALES","FQ3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291" t="e">
        <f ca="1">_xll.BDH($C$278,"INC_BEF_XO_ITEMS_TO_NET_SALES","FQ3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291" t="e">
        <f ca="1">_xll.BDH($C$278,"PROF_MARGIN","FQ3 2016","FQ3 2016","Currency=INR","Period=FQ","BEST_FPERIOD_OVERRIDE=FQ","FILING_STATUS=OR","EQY_CONSOLIDATED=Y","FA_ADJUSTED=GAAP","Sort=A","Dates=H","DateFormat=P","Fill=—","Direction=H","UseDPDF=Y")</f>
        <v>#NAME?</v>
      </c>
      <c r="P291" t="e">
        <f ca="1">_xll.BDH($C$278,"NET_INCOME_TO_COMMON_MARGIN","FQ3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291" t="e">
        <f ca="1">_xll.BDH($C$278,"EFF_TAX_RATE","FQ3 2016","FQ3 2016","Currency=INR","Period=FQ","BEST_FPERIOD_OVERRIDE=FQ","FILING_STATUS=OR","EQY_CONSOLIDATED=Y","FA_ADJUSTED=GAAP","Sort=A","Dates=H","DateFormat=P","Fill=—","Direction=H","UseDPDF=Y")</f>
        <v>#NAME?</v>
      </c>
      <c r="R291" t="e">
        <f ca="1">_xll.BDH($C$278,"DVD_PAYOUT_RATIO","FQ3 2016","FQ3 2016","Currency=INR","Period=FQ","BEST_FPERIOD_OVERRIDE=FQ","FILING_STATUS=OR","EQY_CONSOLIDATED=Y","FA_ADJUSTED=GAAP","Sort=A","Dates=H","DateFormat=P","Fill=—","Direction=H","UseDPDF=Y")</f>
        <v>#NAME?</v>
      </c>
      <c r="S291" t="e">
        <f ca="1">_xll.BDH($C$278,"SUSTAIN_GROWTH_RT","FQ3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291" s="2" t="e">
        <f ca="1">_xll.BDH($C$278,"SALES_GROWTH","FQ3 2016","FQ3 2016","Currency=INR","Period=FQ","BEST_FPERIOD_OVERRIDE=FQ","FILING_STATUS=OR","EQY_CONSOLIDATED=Y","FA_ADJUSTED=GAAP","Sort=A","Dates=H","DateFormat=P","Fill=—","Direction=H","UseDPDF=Y")</f>
        <v>#NAME?</v>
      </c>
      <c r="U291" s="2" t="e">
        <f ca="1">_xll.BDH($C$278,"EBITDA_GROWTH","FQ3 2016","FQ3 2016","Currency=INR","Period=FQ","BEST_FPERIOD_OVERRIDE=FQ","FILING_STATUS=OR","EQY_CONSOLIDATED=Y","FA_ADJUSTED=GAAP","Sort=A","Dates=H","DateFormat=P","Fill=—","Direction=H","UseDPDF=Y")</f>
        <v>#NAME?</v>
      </c>
      <c r="V291" s="2" t="e">
        <f ca="1">_xll.BDH($C$278,"OPER_INC_GROWTH","FQ3 2016","FQ3 2016","Currency=INR","Period=FQ","BEST_FPERIOD_OVERRIDE=FQ","FILING_STATUS=OR","EQY_CONSOLIDATED=Y","FA_ADJUSTED=GAAP","Sort=A","Dates=H","DateFormat=P","Fill=—","Direction=H","UseDPDF=Y")</f>
        <v>#NAME?</v>
      </c>
      <c r="W291" s="2" t="e">
        <f ca="1">_xll.BDH($C$278,"EARN_FOR_COM_GROWTH","FQ3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291" s="2" t="e">
        <f ca="1">_xll.BDH($C$278,"DILUTED_EPS_AFT_XO_ITEMS_GROWTH","FQ3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291" s="2" t="e">
        <f ca="1">_xll.BDH($C$278,"DIVIDEND_PER_SHARE_1_YEAR_GROWTH","FQ3 2016","FQ3 2016","Currency=INR","Period=FQ","BEST_FPERIOD_OVERRIDE=FQ","FILING_STATUS=OR","EQY_CONSOLIDATED=Y","Sort=A","Dates=H","DateFormat=P","Fill=—","Direction=H","UseDPDF=Y")</f>
        <v>#NAME?</v>
      </c>
      <c r="Z291" s="2" t="e">
        <f ca="1">_xll.BDH($C$278,"ACCOUNTS_RECEIVABLE_GROWTH","FQ3 2016","FQ3 2016","Currency=INR","Period=FQ","BEST_FPERIOD_OVERRIDE=FQ","FILING_STATUS=OR","EQY_CONSOLIDATED=Y","Sort=A","Dates=H","DateFormat=P","Fill=—","Direction=H","UseDPDF=Y")</f>
        <v>#NAME?</v>
      </c>
      <c r="AA291" s="2" t="e">
        <f ca="1">_xll.BDH($C$278,"INVENTORY_GROWTH","FQ3 2016","FQ3 2016","Currency=INR","Period=FQ","BEST_FPERIOD_OVERRIDE=FQ","FILING_STATUS=OR","EQY_CONSOLIDATED=Y","Sort=A","Dates=H","DateFormat=P","Fill=—","Direction=H","UseDPDF=Y")</f>
        <v>#NAME?</v>
      </c>
      <c r="AB291" s="2" t="e">
        <f ca="1">_xll.BDH($C$278,"NET_FIXED_ASSETS_1_YEAR_GROWTH","FQ3 2016","FQ3 2016","Currency=INR","Period=FQ","BEST_FPERIOD_OVERRIDE=FQ","FILING_STATUS=OR","EQY_CONSOLIDATED=Y","Sort=A","Dates=H","DateFormat=P","Fill=—","Direction=H","UseDPDF=Y")</f>
        <v>#NAME?</v>
      </c>
      <c r="AC291" s="2" t="e">
        <f ca="1">_xll.BDH($C$278,"ASSET_GROWTH","FQ3 2016","FQ3 2016","Currency=INR","Period=FQ","BEST_FPERIOD_OVERRIDE=FQ","FILING_STATUS=OR","EQY_CONSOLIDATED=Y","Sort=A","Dates=H","DateFormat=P","Fill=—","Direction=H","UseDPDF=Y")</f>
        <v>#NAME?</v>
      </c>
      <c r="AD291" s="2" t="e">
        <f ca="1">_xll.BDH($C$278,"MODIFIED_WORK_CAP_GROWTH","FQ3 2016","FQ3 2016","Currency=INR","Period=FQ","BEST_FPERIOD_OVERRIDE=FQ","FILING_STATUS=OR","EQY_CONSOLIDATED=Y","Sort=A","Dates=H","DateFormat=P","Fill=—","Direction=H","UseDPDF=Y")</f>
        <v>#NAME?</v>
      </c>
      <c r="AE291" s="2" t="e">
        <f ca="1">_xll.BDH($C$278,"WORK_CAP_GROWTH","FQ3 2016","FQ3 2016","Currency=INR","Period=FQ","BEST_FPERIOD_OVERRIDE=FQ","FILING_STATUS=OR","EQY_CONSOLIDATED=Y","Sort=A","Dates=H","DateFormat=P","Fill=—","Direction=H","UseDPDF=Y")</f>
        <v>#NAME?</v>
      </c>
      <c r="AF291" s="2" t="e">
        <f ca="1">_xll.BDH($C$278,"ACCOUNTS_PAYABLE_GROWTH_1YR","FQ3 2016","FQ3 2016","Currency=INR","Period=FQ","BEST_FPERIOD_OVERRIDE=FQ","FILING_STATUS=OR","EQY_CONSOLIDATED=Y","Sort=A","Dates=H","DateFormat=P","Fill=—","Direction=H","UseDPDF=Y")</f>
        <v>#NAME?</v>
      </c>
      <c r="AG291" s="2" t="e">
        <f ca="1">_xll.BDH($C$278,"SHORT_TERM_DEBT_1_YEAR_GROWTH","FQ3 2016","FQ3 2016","Currency=INR","Period=FQ","BEST_FPERIOD_OVERRIDE=FQ","FILING_STATUS=OR","EQY_CONSOLIDATED=Y","Sort=A","Dates=H","DateFormat=P","Fill=—","Direction=H","UseDPDF=Y")</f>
        <v>#NAME?</v>
      </c>
      <c r="AH291" s="2" t="e">
        <f ca="1">_xll.BDH($C$278,"TOTAL_DEBT_1_YEAR_GROWTH","FQ3 2016","FQ3 2016","Currency=INR","Period=FQ","BEST_FPERIOD_OVERRIDE=FQ","FILING_STATUS=OR","EQY_CONSOLIDATED=Y","Sort=A","Dates=H","DateFormat=P","Fill=—","Direction=H","UseDPDF=Y")</f>
        <v>#NAME?</v>
      </c>
      <c r="AI291" s="2" t="e">
        <f ca="1">_xll.BDH($C$278,"TOTAL_EQUITY_1_YEAR_GROWTH","FQ3 2016","FQ3 2016","Currency=INR","Period=FQ","BEST_FPERIOD_OVERRIDE=FQ","FILING_STATUS=OR","EQY_CONSOLIDATED=Y","Sort=A","Dates=H","DateFormat=P","Fill=—","Direction=H","UseDPDF=Y")</f>
        <v>#NAME?</v>
      </c>
      <c r="AJ291" s="2" t="e">
        <f ca="1">_xll.BDH($C$278,"GROWTH_IN_CAP","FQ3 2016","FQ3 2016","Currency=INR","Period=FQ","BEST_FPERIOD_OVERRIDE=FQ","FILING_STATUS=OR","EQY_CONSOLIDATED=Y","Sort=A","Dates=H","DateFormat=P","Fill=—","Direction=H","UseDPDF=Y")</f>
        <v>#NAME?</v>
      </c>
      <c r="AK291" s="2" t="e">
        <f ca="1">_xll.BDH($C$278,"BVPS_GROWTH","FQ3 2016","FQ3 2016","Currency=INR","Period=FQ","BEST_FPERIOD_OVERRIDE=FQ","FILING_STATUS=OR","EQY_CONSOLIDATED=Y","Sort=A","Dates=H","DateFormat=P","Fill=—","Direction=H","UseDPDF=Y")</f>
        <v>#NAME?</v>
      </c>
      <c r="AL291" s="2" t="e">
        <f ca="1">_xll.BDH($C$278,"CASH_FLOW_GROWTH","FQ3 2016","FQ3 2016","Currency=INR","Period=FQ","BEST_FPERIOD_OVERRIDE=FQ","FILING_STATUS=OR","EQY_CONSOLIDATED=Y","Sort=A","Dates=H","DateFormat=P","Fill=—","Direction=H","UseDPDF=Y")</f>
        <v>#NAME?</v>
      </c>
      <c r="AM291" s="2" t="e">
        <f ca="1">_xll.BDH($C$278,"GEO_GROW_NET_SALES","FQ3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291" s="2" t="e">
        <f ca="1">_xll.BDH($C$278,"GEO_GROW_EBITDA","FQ3 2016","FQ3 2016","Currency=INR","Period=FQ","BEST_FPERIOD_OVERRIDE=FQ","FILING_STATUS=OR","EQY_CONSOLIDATED=Y","FA_ADJUSTED=GAAP","Sort=A","Dates=H","DateFormat=P","Fill=—","Direction=H","UseDPDF=Y")</f>
        <v>#NAME?</v>
      </c>
      <c r="AO291" s="2" t="e">
        <f ca="1">_xll.BDH($C$278,"GEO_GROW_OPER_INC","FQ3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291" s="2" t="e">
        <f ca="1">_xll.BDH($C$278,"NET_INCOME_TO_COMMON_5_YR_GROWTH","FQ3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291" s="2" t="e">
        <f ca="1">_xll.BDH($C$278,"5Y_GEO_GROWTH_DILUTED_EPS","FQ3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291" s="2" t="e">
        <f ca="1">_xll.BDH($C$278,"GEO_GROW_DVD_PER_SH","FQ3 2016","FQ3 2016","Currency=INR","Period=FQ","BEST_FPERIOD_OVERRIDE=FQ","FILING_STATUS=OR","EQY_CONSOLIDATED=Y","Sort=A","Dates=H","DateFormat=P","Fill=—","Direction=H","UseDPDF=Y")</f>
        <v>#NAME?</v>
      </c>
      <c r="AS291" s="2" t="e">
        <f ca="1">_xll.BDH($C$278,"ACCOUNTS_RECEIVABLE_5_YR_GROWTH","FQ3 2016","FQ3 2016","Currency=INR","Period=FQ","BEST_FPERIOD_OVERRIDE=FQ","FILING_STATUS=OR","EQY_CONSOLIDATED=Y","Sort=A","Dates=H","DateFormat=P","Fill=—","Direction=H","UseDPDF=Y")</f>
        <v>#NAME?</v>
      </c>
      <c r="AT291" s="2" t="e">
        <f ca="1">_xll.BDH($C$278,"INVENTORY_5_YEAR_GROWTH","FQ3 2016","FQ3 2016","Currency=INR","Period=FQ","BEST_FPERIOD_OVERRIDE=FQ","FILING_STATUS=OR","EQY_CONSOLIDATED=Y","Sort=A","Dates=H","DateFormat=P","Fill=—","Direction=H","UseDPDF=Y")</f>
        <v>#NAME?</v>
      </c>
      <c r="AU291" s="2" t="e">
        <f ca="1">_xll.BDH($C$278,"NET_FIXED_ASSETS_5_YEAR_GROWTH","FQ3 2016","FQ3 2016","Currency=INR","Period=FQ","BEST_FPERIOD_OVERRIDE=FQ","FILING_STATUS=OR","EQY_CONSOLIDATED=Y","Sort=A","Dates=H","DateFormat=P","Fill=—","Direction=H","UseDPDF=Y")</f>
        <v>#NAME?</v>
      </c>
      <c r="AV291" s="2" t="e">
        <f ca="1">_xll.BDH($C$278,"GEO_GROW_TOT_ASSET","FQ3 2016","FQ3 2016","Currency=INR","Period=FQ","BEST_FPERIOD_OVERRIDE=FQ","FILING_STATUS=OR","EQY_CONSOLIDATED=Y","Sort=A","Dates=H","DateFormat=P","Fill=—","Direction=H","UseDPDF=Y")</f>
        <v>#NAME?</v>
      </c>
      <c r="AW291" s="2" t="e">
        <f ca="1">_xll.BDH($C$278,"MODIFIED_WORKING_CPTL_5YR_GRWTH","FQ3 2016","FQ3 2016","Currency=INR","Period=FQ","BEST_FPERIOD_OVERRIDE=FQ","FILING_STATUS=OR","EQY_CONSOLIDATED=Y","Sort=A","Dates=H","DateFormat=P","Fill=—","Direction=H","UseDPDF=Y")</f>
        <v>#NAME?</v>
      </c>
      <c r="AX291" s="2" t="e">
        <f ca="1">_xll.BDH($C$278,"WORKING_CAPITAL_5_YEAR_GROWTH","FQ3 2016","FQ3 2016","Currency=INR","Period=FQ","BEST_FPERIOD_OVERRIDE=FQ","FILING_STATUS=OR","EQY_CONSOLIDATED=Y","Sort=A","Dates=H","DateFormat=P","Fill=—","Direction=H","UseDPDF=Y")</f>
        <v>#NAME?</v>
      </c>
      <c r="AY291" s="2" t="e">
        <f ca="1">_xll.BDH($C$278,"ACCOUNTS_PAYABLE_5_YEAR_GROWTH","FQ3 2016","FQ3 2016","Currency=INR","Period=FQ","BEST_FPERIOD_OVERRIDE=FQ","FILING_STATUS=OR","EQY_CONSOLIDATED=Y","Sort=A","Dates=H","DateFormat=P","Fill=—","Direction=H","UseDPDF=Y")</f>
        <v>#NAME?</v>
      </c>
      <c r="AZ291" s="2" t="e">
        <f ca="1">_xll.BDH($C$278,"SHORT_TERM_DEBT_5_YEAR_GROWTH","FQ3 2016","FQ3 2016","Currency=INR","Period=FQ","BEST_FPERIOD_OVERRIDE=FQ","FILING_STATUS=OR","EQY_CONSOLIDATED=Y","Sort=A","Dates=H","DateFormat=P","Fill=—","Direction=H","UseDPDF=Y")</f>
        <v>#NAME?</v>
      </c>
      <c r="BA291" s="2" t="e">
        <f ca="1">_xll.BDH($C$278,"TOTAL_DEBT_5_YEAR_GROWTH","FQ3 2016","FQ3 2016","Currency=INR","Period=FQ","BEST_FPERIOD_OVERRIDE=FQ","FILING_STATUS=OR","EQY_CONSOLIDATED=Y","Sort=A","Dates=H","DateFormat=P","Fill=—","Direction=H","UseDPDF=Y")</f>
        <v>#NAME?</v>
      </c>
      <c r="BB291" s="2" t="e">
        <f ca="1">_xll.BDH($C$278,"GEO_GROW_TOT_SHRHLDR_EQY","FQ3 2016","FQ3 2016","Currency=INR","Period=FQ","BEST_FPERIOD_OVERRIDE=FQ","FILING_STATUS=OR","EQY_CONSOLIDATED=Y","Sort=A","Dates=H","DateFormat=P","Fill=—","Direction=H","UseDPDF=Y")</f>
        <v>#NAME?</v>
      </c>
      <c r="BC291" s="2" t="e">
        <f ca="1">_xll.BDH($C$278,"TOTAL_CAPITAL_5_YEAR_GROWTH","FQ3 2016","FQ3 2016","Currency=INR","Period=FQ","BEST_FPERIOD_OVERRIDE=FQ","FILING_STATUS=OR","EQY_CONSOLIDATED=Y","Sort=A","Dates=H","DateFormat=P","Fill=—","Direction=H","UseDPDF=Y")</f>
        <v>#NAME?</v>
      </c>
      <c r="BD291" s="2" t="e">
        <f ca="1">_xll.BDH($C$278,"GEO_GROW_BOOK_VAL","FQ3 2016","FQ3 2016","Currency=INR","Period=FQ","BEST_FPERIOD_OVERRIDE=FQ","FILING_STATUS=OR","EQY_CONSOLIDATED=Y","Sort=A","Dates=H","DateFormat=P","Fill=—","Direction=H","UseDPDF=Y")</f>
        <v>#NAME?</v>
      </c>
      <c r="BE291" s="2" t="e">
        <f ca="1">_xll.BDH($C$278,"GEO_GROW_CASH_OPER_ACT","FQ3 2016","FQ3 2016","Currency=INR","Period=FQ","BEST_FPERIOD_OVERRIDE=FQ","FILING_STATUS=OR","EQY_CONSOLIDATED=Y","Sort=A","Dates=H","DateFormat=P","Fill=—","Direction=H","UseDPDF=Y")</f>
        <v>#NAME?</v>
      </c>
      <c r="BF291" s="2" t="e">
        <f ca="1">_xll.BDH($C$278,"REVENUE_SEQUENTIAL_GROWTH","FQ3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291" s="2" t="e">
        <f ca="1">_xll.BDH($C$278,"EBITDA_SEQUENTIAL_GROWTH","FQ3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291" s="2" t="e">
        <f ca="1">_xll.BDH($C$278,"OPERATING_INCOME_SEQ_GROWTH","FQ3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291" s="2" t="e">
        <f ca="1">_xll.BDH($C$278,"NET_INCOME_TO_COMMON_SEQ_GROWTH","FQ3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291" s="2" t="e">
        <f ca="1">_xll.BDH($C$278,"EPS_DILUTED_SEQUENTIAL_GROWTH","FQ3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291" s="2" t="e">
        <f ca="1">_xll.BDH($C$278,"DPS_SEQUENTIAL_GROWTH","FQ3 2016","FQ3 2016","Currency=INR","Period=FQ","BEST_FPERIOD_OVERRIDE=FQ","FILING_STATUS=OR","EQY_CONSOLIDATED=Y","Sort=A","Dates=H","DateFormat=P","Fill=—","Direction=H","UseDPDF=Y")</f>
        <v>#NAME?</v>
      </c>
      <c r="BL291" s="2" t="e">
        <f ca="1">_xll.BDH($C$278,"ACCOUNTS_RECEIVABLE_SEQ_GROWTH","FQ3 2016","FQ3 2016","Currency=INR","Period=FQ","BEST_FPERIOD_OVERRIDE=FQ","FILING_STATUS=OR","EQY_CONSOLIDATED=Y","Sort=A","Dates=H","DateFormat=P","Fill=—","Direction=H","UseDPDF=Y")</f>
        <v>#NAME?</v>
      </c>
      <c r="BM291" s="2" t="e">
        <f ca="1">_xll.BDH($C$278,"INVENTORY_SEQUENTIAL_GROWTH","FQ3 2016","FQ3 2016","Currency=INR","Period=FQ","BEST_FPERIOD_OVERRIDE=FQ","FILING_STATUS=OR","EQY_CONSOLIDATED=Y","Sort=A","Dates=H","DateFormat=P","Fill=—","Direction=H","UseDPDF=Y")</f>
        <v>#NAME?</v>
      </c>
      <c r="BN291" s="2" t="e">
        <f ca="1">_xll.BDH($C$278,"FIXED_ASSETS_SEQUENTIAL_GROWTH","FQ3 2016","FQ3 2016","Currency=INR","Period=FQ","BEST_FPERIOD_OVERRIDE=FQ","FILING_STATUS=OR","EQY_CONSOLIDATED=Y","Sort=A","Dates=H","DateFormat=P","Fill=—","Direction=H","UseDPDF=Y")</f>
        <v>#NAME?</v>
      </c>
      <c r="BO291" s="2" t="e">
        <f ca="1">_xll.BDH($C$278,"TOTAL_ASSETS_SEQUENTIAL_GROWTH","FQ3 2016","FQ3 2016","Currency=INR","Period=FQ","BEST_FPERIOD_OVERRIDE=FQ","FILING_STATUS=OR","EQY_CONSOLIDATED=Y","Sort=A","Dates=H","DateFormat=P","Fill=—","Direction=H","UseDPDF=Y")</f>
        <v>#NAME?</v>
      </c>
      <c r="BP291" s="2" t="e">
        <f ca="1">_xll.BDH($C$278,"MODIFIED_WORKING_CPTL_SEQ_GRWTH","FQ3 2016","FQ3 2016","Currency=INR","Period=FQ","BEST_FPERIOD_OVERRIDE=FQ","FILING_STATUS=OR","EQY_CONSOLIDATED=Y","Sort=A","Dates=H","DateFormat=P","Fill=—","Direction=H","UseDPDF=Y")</f>
        <v>#NAME?</v>
      </c>
      <c r="BQ291" s="2" t="e">
        <f ca="1">_xll.BDH($C$278,"WORKING_CAPITAL_SEQ_GROWTH","FQ3 2016","FQ3 2016","Currency=INR","Period=FQ","BEST_FPERIOD_OVERRIDE=FQ","FILING_STATUS=OR","EQY_CONSOLIDATED=Y","Sort=A","Dates=H","DateFormat=P","Fill=—","Direction=H","UseDPDF=Y")</f>
        <v>#NAME?</v>
      </c>
      <c r="BR291" s="2" t="e">
        <f ca="1">_xll.BDH($C$278,"ACCOUNTS_PAYABLE_SEQ_GROWTH","FQ3 2016","FQ3 2016","Currency=INR","Period=FQ","BEST_FPERIOD_OVERRIDE=FQ","FILING_STATUS=OR","EQY_CONSOLIDATED=Y","Sort=A","Dates=H","DateFormat=P","Fill=—","Direction=H","UseDPDF=Y")</f>
        <v>#NAME?</v>
      </c>
      <c r="BS291" s="2" t="e">
        <f ca="1">_xll.BDH($C$278,"ST_DEBT_SEQUENTIAL_GROWTH","FQ3 2016","FQ3 2016","Currency=INR","Period=FQ","BEST_FPERIOD_OVERRIDE=FQ","FILING_STATUS=OR","EQY_CONSOLIDATED=Y","Sort=A","Dates=H","DateFormat=P","Fill=—","Direction=H","UseDPDF=Y")</f>
        <v>#NAME?</v>
      </c>
      <c r="BT291" s="2" t="e">
        <f ca="1">_xll.BDH($C$278,"TOTAL_DEBT_SEQUENTIAL_GROWTH","FQ3 2016","FQ3 2016","Currency=INR","Period=FQ","BEST_FPERIOD_OVERRIDE=FQ","FILING_STATUS=OR","EQY_CONSOLIDATED=Y","Sort=A","Dates=H","DateFormat=P","Fill=—","Direction=H","UseDPDF=Y")</f>
        <v>#NAME?</v>
      </c>
      <c r="BU291" s="2" t="e">
        <f ca="1">_xll.BDH($C$278,"TOTAL_EQUITY_SEQUENTIAL_GROWTH","FQ3 2016","FQ3 2016","Currency=INR","Period=FQ","BEST_FPERIOD_OVERRIDE=FQ","FILING_STATUS=OR","EQY_CONSOLIDATED=Y","Sort=A","Dates=H","DateFormat=P","Fill=—","Direction=H","UseDPDF=Y")</f>
        <v>#NAME?</v>
      </c>
      <c r="BV291" s="2" t="e">
        <f ca="1">_xll.BDH($C$278,"TOTAL_CAPITAL_SEQUENTIAL_GROWTH","FQ3 2016","FQ3 2016","Currency=INR","Period=FQ","BEST_FPERIOD_OVERRIDE=FQ","FILING_STATUS=OR","EQY_CONSOLIDATED=Y","Sort=A","Dates=H","DateFormat=P","Fill=—","Direction=H","UseDPDF=Y")</f>
        <v>#NAME?</v>
      </c>
      <c r="BW291" s="2" t="e">
        <f ca="1">_xll.BDH($C$278,"BPS_SEQUENTIAL_GROWTH","FQ3 2016","FQ3 2016","Currency=INR","Period=FQ","BEST_FPERIOD_OVERRIDE=FQ","FILING_STATUS=OR","EQY_CONSOLIDATED=Y","Sort=A","Dates=H","DateFormat=P","Fill=—","Direction=H","UseDPDF=Y")</f>
        <v>#NAME?</v>
      </c>
      <c r="BX291" s="2" t="e">
        <f ca="1">_xll.BDH($C$278,"CFO_SEQUENTIAL_GROWTH","FQ3 2016","FQ3 2016","Currency=INR","Period=FQ","BEST_FPERIOD_OVERRIDE=FQ","FILING_STATUS=OR","EQY_CONSOLIDATED=Y","Sort=A","Dates=H","DateFormat=P","Fill=—","Direction=H","UseDPDF=Y")</f>
        <v>#NAME?</v>
      </c>
      <c r="BY291" s="3" t="e">
        <f ca="1">_xll.BDH($C$278,"SHORT_AND_LONG_TERM_DEBT","FQ3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291" s="3" t="e">
        <f ca="1">_xll.BDH($C$278,"BS_ST_BORROW","FQ3 2016","FQ3 2016","Currency=INR","Period=FQ","BEST_FPERIOD_OVERRIDE=FQ","FILING_STATUS=OR","EQY_CONSOLIDATED=Y","SCALING_FORMAT=MLN","Sort=A","Dates=H","DateFormat=P","Fill=—","Direction=H","UseDPDF=Y")</f>
        <v>#NAME?</v>
      </c>
      <c r="CA291" s="3" t="e">
        <f ca="1">_xll.BDH($C$278,"BS_LT_BORROW","FQ3 2016","FQ3 2016","Currency=INR","Period=FQ","BEST_FPERIOD_OVERRIDE=FQ","FILING_STATUS=OR","EQY_CONSOLIDATED=Y","SCALING_FORMAT=MLN","Sort=A","Dates=H","DateFormat=P","Fill=—","Direction=H","UseDPDF=Y")</f>
        <v>#NAME?</v>
      </c>
      <c r="CB291" s="2" t="e">
        <f ca="1">_xll.BDH($C$278,"TOT_DEBT_TO_EBITDA","FQ3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291" s="2" t="e">
        <f ca="1">_xll.BDH($C$278,"NET_DEBT_TO_EBITDA","FQ3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291" s="2" t="e">
        <f ca="1">_xll.BDH($C$278,"TOTAL_DEBT_TO_EBIT","FQ3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291" s="2" t="e">
        <f ca="1">_xll.BDH($C$278,"NET_DEBT_TO_EBIT","FQ3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291" s="2" t="e">
        <f ca="1">_xll.BDH($C$278,"EBITDA_TO_INTEREST_EXPN","FQ3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291" s="2" t="e">
        <f ca="1">_xll.BDH($C$278,"COM_EQY_TO_TOT_ASSET","FQ3 2016","FQ3 2016","Currency=INR","Period=FQ","BEST_FPERIOD_OVERRIDE=FQ","FILING_STATUS=OR","EQY_CONSOLIDATED=Y","Sort=A","Dates=H","DateFormat=P","Fill=—","Direction=H","UseDPDF=Y")</f>
        <v>#NAME?</v>
      </c>
      <c r="CH291" s="2" t="e">
        <f ca="1">_xll.BDH($C$278,"LT_DEBT_TO_TOT_EQY","FQ3 2016","FQ3 2016","Currency=INR","Period=FQ","BEST_FPERIOD_OVERRIDE=FQ","FILING_STATUS=OR","EQY_CONSOLIDATED=Y","Sort=A","Dates=H","DateFormat=P","Fill=—","Direction=H","UseDPDF=Y")</f>
        <v>#NAME?</v>
      </c>
      <c r="CI291" s="2" t="e">
        <f ca="1">_xll.BDH($C$278,"LT_DEBT_TO_TOT_CAP","FQ3 2016","FQ3 2016","Currency=INR","Period=FQ","BEST_FPERIOD_OVERRIDE=FQ","FILING_STATUS=OR","EQY_CONSOLIDATED=Y","Sort=A","Dates=H","DateFormat=P","Fill=—","Direction=H","UseDPDF=Y")</f>
        <v>#NAME?</v>
      </c>
      <c r="CJ291" s="2" t="e">
        <f ca="1">_xll.BDH($C$278,"LT_DEBT_TO_TOT_ASSET","FQ3 2016","FQ3 2016","Currency=INR","Period=FQ","BEST_FPERIOD_OVERRIDE=FQ","FILING_STATUS=OR","EQY_CONSOLIDATED=Y","Sort=A","Dates=H","DateFormat=P","Fill=—","Direction=H","UseDPDF=Y")</f>
        <v>#NAME?</v>
      </c>
      <c r="CK291" s="2" t="e">
        <f ca="1">_xll.BDH($C$278,"TOT_DEBT_TO_TOT_EQY","FQ3 2016","FQ3 2016","Currency=INR","Period=FQ","BEST_FPERIOD_OVERRIDE=FQ","FILING_STATUS=OR","EQY_CONSOLIDATED=Y","Sort=A","Dates=H","DateFormat=P","Fill=—","Direction=H","UseDPDF=Y")</f>
        <v>#NAME?</v>
      </c>
      <c r="CL291" s="2" t="e">
        <f ca="1">_xll.BDH($C$278,"TOT_DEBT_TO_TOT_CAP","FQ3 2016","FQ3 2016","Currency=INR","Period=FQ","BEST_FPERIOD_OVERRIDE=FQ","FILING_STATUS=OR","EQY_CONSOLIDATED=Y","Sort=A","Dates=H","DateFormat=P","Fill=—","Direction=H","UseDPDF=Y")</f>
        <v>#NAME?</v>
      </c>
      <c r="CM291" s="2" t="e">
        <f ca="1">_xll.BDH($C$278,"TOT_DEBT_TO_TOT_ASSET","FQ3 2016","FQ3 2016","Currency=INR","Period=FQ","BEST_FPERIOD_OVERRIDE=FQ","FILING_STATUS=OR","EQY_CONSOLIDATED=Y","Sort=A","Dates=H","DateFormat=P","Fill=—","Direction=H","UseDPDF=Y")</f>
        <v>#NAME?</v>
      </c>
      <c r="CN291" s="2" t="e">
        <f ca="1">_xll.BDH($C$278,"NET_DEBT_TO_SHRHLDR_EQTY","FQ3 2016","FQ3 2016","Currency=INR","Period=FQ","BEST_FPERIOD_OVERRIDE=FQ","FILING_STATUS=OR","EQY_CONSOLIDATED=Y","Sort=A","Dates=H","DateFormat=P","Fill=—","Direction=H","UseDPDF=Y")</f>
        <v>#NAME?</v>
      </c>
      <c r="CO291" s="2" t="e">
        <f ca="1">_xll.BDH($C$278,"NET_DEBT_%_CAPITAL","FQ3 2016","FQ3 2016","Currency=INR","Period=FQ","BEST_FPERIOD_OVERRIDE=FQ","FILING_STATUS=OR","EQY_CONSOLIDATED=Y","Sort=A","Dates=H","DateFormat=P","Fill=—","Direction=H","UseDPDF=Y")</f>
        <v>#NAME?</v>
      </c>
      <c r="CP291" s="3" t="e">
        <f ca="1">_xll.BDH($C$278,"EBITDA","FQ3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291" s="3" t="e">
        <f ca="1">_xll.BDH($C$278,"EBITDA_AFTER_CAPEX","FQ3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291" s="3" t="e">
        <f ca="1">_xll.BDH($C$278,"IS_OPER_INC","FQ3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291" s="2" t="e">
        <f ca="1">_xll.BDH($C$278,"CASH_RATIO","FQ3 2016","FQ3 2016","Currency=INR","Period=FQ","BEST_FPERIOD_OVERRIDE=FQ","FILING_STATUS=OR","EQY_CONSOLIDATED=Y","Sort=A","Dates=H","DateFormat=P","Fill=—","Direction=H","UseDPDF=Y")</f>
        <v>#NAME?</v>
      </c>
      <c r="CT291" s="2" t="e">
        <f ca="1">_xll.BDH($C$278,"CUR_RATIO","FQ3 2016","FQ3 2016","Currency=INR","Period=FQ","BEST_FPERIOD_OVERRIDE=FQ","FILING_STATUS=OR","EQY_CONSOLIDATED=Y","Sort=A","Dates=H","DateFormat=P","Fill=—","Direction=H","UseDPDF=Y")</f>
        <v>#NAME?</v>
      </c>
      <c r="CU291" s="2" t="e">
        <f ca="1">_xll.BDH($C$278,"QUICK_RATIO","FQ3 2016","FQ3 2016","Currency=INR","Period=FQ","BEST_FPERIOD_OVERRIDE=FQ","FILING_STATUS=OR","EQY_CONSOLIDATED=Y","Sort=A","Dates=H","DateFormat=P","Fill=—","Direction=H","UseDPDF=Y")</f>
        <v>#NAME?</v>
      </c>
      <c r="CV291" s="2" t="e">
        <f ca="1">_xll.BDH($C$278,"ALTMAN_Z_SCORE","FQ3 2016","FQ3 2016","Currency=INR","Period=FQ","BEST_FPERIOD_OVERRIDE=FQ","FILING_STATUS=OR","EQY_CONSOLIDATED=Y","Sort=A","Dates=H","DateFormat=P","Fill=—","Direction=H","UseDPDF=Y")</f>
        <v>#NAME?</v>
      </c>
      <c r="CW291" s="4" t="e">
        <f ca="1">_xll.BDH($C$278,"ACCT_RCV_TURN","FQ3 2016","FQ3 2016","Currency=INR","Period=FQ","BEST_FPERIOD_OVERRIDE=FQ","FILING_STATUS=OR","EQY_CONSOLIDATED=Y","FA_ADJUSTED=GAAP","Sort=A","Dates=H","DateFormat=P","Fill=—","Direction=H","UseDPDF=Y")</f>
        <v>#NAME?</v>
      </c>
      <c r="CX291" s="2" t="e">
        <f ca="1">_xll.BDH($C$278,"ACCT_RCV_DAYS","FQ3 2016","FQ3 2016","Currency=INR","Period=FQ","BEST_FPERIOD_OVERRIDE=FQ","FILING_STATUS=OR","EQY_CONSOLIDATED=Y","FA_ADJUSTED=GAAP","Sort=A","Dates=H","DateFormat=P","Fill=—","Direction=H","UseDPDF=Y")</f>
        <v>#NAME?</v>
      </c>
      <c r="CY291" s="4" t="e">
        <f ca="1">_xll.BDH($C$278,"INVENT_TURN","FQ3 2016","FQ3 2016","Currency=INR","Period=FQ","BEST_FPERIOD_OVERRIDE=FQ","FILING_STATUS=OR","EQY_CONSOLIDATED=Y","FA_ADJUSTED=GAAP","Sort=A","Dates=H","DateFormat=P","Fill=—","Direction=H","UseDPDF=Y")</f>
        <v>#NAME?</v>
      </c>
      <c r="CZ291" s="2" t="e">
        <f ca="1">_xll.BDH($C$278,"INVENT_DAYS","FQ3 2016","FQ3 2016","Currency=INR","Period=FQ","BEST_FPERIOD_OVERRIDE=FQ","FILING_STATUS=OR","EQY_CONSOLIDATED=Y","FA_ADJUSTED=GAAP","Sort=A","Dates=H","DateFormat=P","Fill=—","Direction=H","UseDPDF=Y")</f>
        <v>#NAME?</v>
      </c>
      <c r="DA291" s="4" t="e">
        <f ca="1">_xll.BDH($C$278,"ACCOUNTS_PAYABLE_TURNOVER","FQ3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291" s="2" t="e">
        <f ca="1">_xll.BDH($C$278,"ACCOUNTS_PAYABLE_TURNOVER_DAYS","FQ3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291" s="4" t="e">
        <f ca="1">_xll.BDH($C$278,"CASH_CONVERSION_CYCLE","FQ3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291" s="4" t="e">
        <f ca="1">_xll.BDH($C$278,"INV_TO_CASH_DAYS","FQ3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291" s="5" t="e">
        <f ca="1">_xll.BDH($C$278,"BS_INVENTORIES","FQ3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291" s="3" t="e">
        <f ca="1">_xll.BDH($C$278,"INVTRY_RAW_MATERIALS","FQ3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291" s="3" t="e">
        <f ca="1">_xll.BDH($C$278,"INVTRY_IN_PROGRESS","FQ3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291" s="3" t="e">
        <f ca="1">_xll.BDH($C$278,"INVTRY_FINISHED_GOODS","FQ3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291" s="3" t="e">
        <f ca="1">_xll.BDH($C$278,"BS_OTHER_INV","FQ3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292" spans="1:113" x14ac:dyDescent="0.3">
      <c r="A292" s="6"/>
      <c r="B292" s="6"/>
      <c r="C292" s="6"/>
      <c r="D292" s="6"/>
      <c r="E292" t="s">
        <v>81</v>
      </c>
      <c r="F292" t="e">
        <f ca="1">_xll.BDH($C$278,"RETURN_COM_EQY","FQ4 2016","FQ4 2016","Currency=INR","Period=FQ","BEST_FPERIOD_OVERRIDE=FQ","FILING_STATUS=OR","EQY_CONSOLIDATED=Y","FA_ADJUSTED=GAAP","Sort=A","Dates=H","DateFormat=P","Fill=—","Direction=H","UseDPDF=Y")</f>
        <v>#NAME?</v>
      </c>
      <c r="G292" t="e">
        <f ca="1">_xll.BDH($C$278,"RETURN_ON_ASSET","FQ4 2016","FQ4 2016","Currency=INR","Period=FQ","BEST_FPERIOD_OVERRIDE=FQ","FILING_STATUS=OR","EQY_CONSOLIDATED=Y","FA_ADJUSTED=GAAP","Sort=A","Dates=H","DateFormat=P","Fill=—","Direction=H","UseDPDF=Y")</f>
        <v>#NAME?</v>
      </c>
      <c r="H292" t="e">
        <f ca="1">_xll.BDH($C$278,"RETURN_ON_CAP","FQ4 2016","FQ4 2016","Currency=INR","Period=FQ","BEST_FPERIOD_OVERRIDE=FQ","FILING_STATUS=OR","EQY_CONSOLIDATED=Y","FA_ADJUSTED=GAAP","Sort=A","Dates=H","DateFormat=P","Fill=—","Direction=H","UseDPDF=Y")</f>
        <v>#NAME?</v>
      </c>
      <c r="I292" t="e">
        <f ca="1">_xll.BDH($C$278,"RETURN_ON_INV_CAPITAL","FQ4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292" t="e">
        <f ca="1">_xll.BDH($C$278,"EBITDA_TO_REVENUE","FQ4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292" t="e">
        <f ca="1">_xll.BDH($C$278,"OPER_MARGIN","FQ4 2016","FQ4 2016","Currency=INR","Period=FQ","BEST_FPERIOD_OVERRIDE=FQ","FILING_STATUS=OR","EQY_CONSOLIDATED=Y","FA_ADJUSTED=GAAP","Sort=A","Dates=H","DateFormat=P","Fill=—","Direction=H","UseDPDF=Y")</f>
        <v>#NAME?</v>
      </c>
      <c r="L292" t="e">
        <f ca="1">_xll.BDH($C$278,"INCREMENTAL_OPERATING_MARGIN","FQ4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292" t="e">
        <f ca="1">_xll.BDH($C$278,"PRETAX_INC_TO_NET_SALES","FQ4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292" t="e">
        <f ca="1">_xll.BDH($C$278,"INC_BEF_XO_ITEMS_TO_NET_SALES","FQ4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292" t="e">
        <f ca="1">_xll.BDH($C$278,"PROF_MARGIN","FQ4 2016","FQ4 2016","Currency=INR","Period=FQ","BEST_FPERIOD_OVERRIDE=FQ","FILING_STATUS=OR","EQY_CONSOLIDATED=Y","FA_ADJUSTED=GAAP","Sort=A","Dates=H","DateFormat=P","Fill=—","Direction=H","UseDPDF=Y")</f>
        <v>#NAME?</v>
      </c>
      <c r="P292" t="e">
        <f ca="1">_xll.BDH($C$278,"NET_INCOME_TO_COMMON_MARGIN","FQ4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292" t="e">
        <f ca="1">_xll.BDH($C$278,"EFF_TAX_RATE","FQ4 2016","FQ4 2016","Currency=INR","Period=FQ","BEST_FPERIOD_OVERRIDE=FQ","FILING_STATUS=OR","EQY_CONSOLIDATED=Y","FA_ADJUSTED=GAAP","Sort=A","Dates=H","DateFormat=P","Fill=—","Direction=H","UseDPDF=Y")</f>
        <v>#NAME?</v>
      </c>
      <c r="R292" t="e">
        <f ca="1">_xll.BDH($C$278,"DVD_PAYOUT_RATIO","FQ4 2016","FQ4 2016","Currency=INR","Period=FQ","BEST_FPERIOD_OVERRIDE=FQ","FILING_STATUS=OR","EQY_CONSOLIDATED=Y","FA_ADJUSTED=GAAP","Sort=A","Dates=H","DateFormat=P","Fill=—","Direction=H","UseDPDF=Y")</f>
        <v>#NAME?</v>
      </c>
      <c r="S292" t="e">
        <f ca="1">_xll.BDH($C$278,"SUSTAIN_GROWTH_RT","FQ4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292" s="2" t="e">
        <f ca="1">_xll.BDH($C$278,"SALES_GROWTH","FQ4 2016","FQ4 2016","Currency=INR","Period=FQ","BEST_FPERIOD_OVERRIDE=FQ","FILING_STATUS=OR","EQY_CONSOLIDATED=Y","FA_ADJUSTED=GAAP","Sort=A","Dates=H","DateFormat=P","Fill=—","Direction=H","UseDPDF=Y")</f>
        <v>#NAME?</v>
      </c>
      <c r="U292" s="2" t="e">
        <f ca="1">_xll.BDH($C$278,"EBITDA_GROWTH","FQ4 2016","FQ4 2016","Currency=INR","Period=FQ","BEST_FPERIOD_OVERRIDE=FQ","FILING_STATUS=OR","EQY_CONSOLIDATED=Y","FA_ADJUSTED=GAAP","Sort=A","Dates=H","DateFormat=P","Fill=—","Direction=H","UseDPDF=Y")</f>
        <v>#NAME?</v>
      </c>
      <c r="V292" s="2" t="e">
        <f ca="1">_xll.BDH($C$278,"OPER_INC_GROWTH","FQ4 2016","FQ4 2016","Currency=INR","Period=FQ","BEST_FPERIOD_OVERRIDE=FQ","FILING_STATUS=OR","EQY_CONSOLIDATED=Y","FA_ADJUSTED=GAAP","Sort=A","Dates=H","DateFormat=P","Fill=—","Direction=H","UseDPDF=Y")</f>
        <v>#NAME?</v>
      </c>
      <c r="W292" s="2" t="e">
        <f ca="1">_xll.BDH($C$278,"EARN_FOR_COM_GROWTH","FQ4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292" s="2" t="e">
        <f ca="1">_xll.BDH($C$278,"DILUTED_EPS_AFT_XO_ITEMS_GROWTH","FQ4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292" s="2" t="e">
        <f ca="1">_xll.BDH($C$278,"DIVIDEND_PER_SHARE_1_YEAR_GROWTH","FQ4 2016","FQ4 2016","Currency=INR","Period=FQ","BEST_FPERIOD_OVERRIDE=FQ","FILING_STATUS=OR","EQY_CONSOLIDATED=Y","Sort=A","Dates=H","DateFormat=P","Fill=—","Direction=H","UseDPDF=Y")</f>
        <v>#NAME?</v>
      </c>
      <c r="Z292" s="2" t="e">
        <f ca="1">_xll.BDH($C$278,"ACCOUNTS_RECEIVABLE_GROWTH","FQ4 2016","FQ4 2016","Currency=INR","Period=FQ","BEST_FPERIOD_OVERRIDE=FQ","FILING_STATUS=OR","EQY_CONSOLIDATED=Y","Sort=A","Dates=H","DateFormat=P","Fill=—","Direction=H","UseDPDF=Y")</f>
        <v>#NAME?</v>
      </c>
      <c r="AA292" s="2" t="e">
        <f ca="1">_xll.BDH($C$278,"INVENTORY_GROWTH","FQ4 2016","FQ4 2016","Currency=INR","Period=FQ","BEST_FPERIOD_OVERRIDE=FQ","FILING_STATUS=OR","EQY_CONSOLIDATED=Y","Sort=A","Dates=H","DateFormat=P","Fill=—","Direction=H","UseDPDF=Y")</f>
        <v>#NAME?</v>
      </c>
      <c r="AB292" s="2" t="e">
        <f ca="1">_xll.BDH($C$278,"NET_FIXED_ASSETS_1_YEAR_GROWTH","FQ4 2016","FQ4 2016","Currency=INR","Period=FQ","BEST_FPERIOD_OVERRIDE=FQ","FILING_STATUS=OR","EQY_CONSOLIDATED=Y","Sort=A","Dates=H","DateFormat=P","Fill=—","Direction=H","UseDPDF=Y")</f>
        <v>#NAME?</v>
      </c>
      <c r="AC292" s="2" t="e">
        <f ca="1">_xll.BDH($C$278,"ASSET_GROWTH","FQ4 2016","FQ4 2016","Currency=INR","Period=FQ","BEST_FPERIOD_OVERRIDE=FQ","FILING_STATUS=OR","EQY_CONSOLIDATED=Y","Sort=A","Dates=H","DateFormat=P","Fill=—","Direction=H","UseDPDF=Y")</f>
        <v>#NAME?</v>
      </c>
      <c r="AD292" s="2" t="e">
        <f ca="1">_xll.BDH($C$278,"MODIFIED_WORK_CAP_GROWTH","FQ4 2016","FQ4 2016","Currency=INR","Period=FQ","BEST_FPERIOD_OVERRIDE=FQ","FILING_STATUS=OR","EQY_CONSOLIDATED=Y","Sort=A","Dates=H","DateFormat=P","Fill=—","Direction=H","UseDPDF=Y")</f>
        <v>#NAME?</v>
      </c>
      <c r="AE292" s="2" t="e">
        <f ca="1">_xll.BDH($C$278,"WORK_CAP_GROWTH","FQ4 2016","FQ4 2016","Currency=INR","Period=FQ","BEST_FPERIOD_OVERRIDE=FQ","FILING_STATUS=OR","EQY_CONSOLIDATED=Y","Sort=A","Dates=H","DateFormat=P","Fill=—","Direction=H","UseDPDF=Y")</f>
        <v>#NAME?</v>
      </c>
      <c r="AF292" s="2" t="e">
        <f ca="1">_xll.BDH($C$278,"ACCOUNTS_PAYABLE_GROWTH_1YR","FQ4 2016","FQ4 2016","Currency=INR","Period=FQ","BEST_FPERIOD_OVERRIDE=FQ","FILING_STATUS=OR","EQY_CONSOLIDATED=Y","Sort=A","Dates=H","DateFormat=P","Fill=—","Direction=H","UseDPDF=Y")</f>
        <v>#NAME?</v>
      </c>
      <c r="AG292" s="2" t="e">
        <f ca="1">_xll.BDH($C$278,"SHORT_TERM_DEBT_1_YEAR_GROWTH","FQ4 2016","FQ4 2016","Currency=INR","Period=FQ","BEST_FPERIOD_OVERRIDE=FQ","FILING_STATUS=OR","EQY_CONSOLIDATED=Y","Sort=A","Dates=H","DateFormat=P","Fill=—","Direction=H","UseDPDF=Y")</f>
        <v>#NAME?</v>
      </c>
      <c r="AH292" s="2" t="e">
        <f ca="1">_xll.BDH($C$278,"TOTAL_DEBT_1_YEAR_GROWTH","FQ4 2016","FQ4 2016","Currency=INR","Period=FQ","BEST_FPERIOD_OVERRIDE=FQ","FILING_STATUS=OR","EQY_CONSOLIDATED=Y","Sort=A","Dates=H","DateFormat=P","Fill=—","Direction=H","UseDPDF=Y")</f>
        <v>#NAME?</v>
      </c>
      <c r="AI292" s="2" t="e">
        <f ca="1">_xll.BDH($C$278,"TOTAL_EQUITY_1_YEAR_GROWTH","FQ4 2016","FQ4 2016","Currency=INR","Period=FQ","BEST_FPERIOD_OVERRIDE=FQ","FILING_STATUS=OR","EQY_CONSOLIDATED=Y","Sort=A","Dates=H","DateFormat=P","Fill=—","Direction=H","UseDPDF=Y")</f>
        <v>#NAME?</v>
      </c>
      <c r="AJ292" s="2" t="e">
        <f ca="1">_xll.BDH($C$278,"GROWTH_IN_CAP","FQ4 2016","FQ4 2016","Currency=INR","Period=FQ","BEST_FPERIOD_OVERRIDE=FQ","FILING_STATUS=OR","EQY_CONSOLIDATED=Y","Sort=A","Dates=H","DateFormat=P","Fill=—","Direction=H","UseDPDF=Y")</f>
        <v>#NAME?</v>
      </c>
      <c r="AK292" s="2" t="e">
        <f ca="1">_xll.BDH($C$278,"BVPS_GROWTH","FQ4 2016","FQ4 2016","Currency=INR","Period=FQ","BEST_FPERIOD_OVERRIDE=FQ","FILING_STATUS=OR","EQY_CONSOLIDATED=Y","Sort=A","Dates=H","DateFormat=P","Fill=—","Direction=H","UseDPDF=Y")</f>
        <v>#NAME?</v>
      </c>
      <c r="AL292" s="2" t="e">
        <f ca="1">_xll.BDH($C$278,"CASH_FLOW_GROWTH","FQ4 2016","FQ4 2016","Currency=INR","Period=FQ","BEST_FPERIOD_OVERRIDE=FQ","FILING_STATUS=OR","EQY_CONSOLIDATED=Y","Sort=A","Dates=H","DateFormat=P","Fill=—","Direction=H","UseDPDF=Y")</f>
        <v>#NAME?</v>
      </c>
      <c r="AM292" s="2" t="e">
        <f ca="1">_xll.BDH($C$278,"GEO_GROW_NET_SALES","FQ4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292" s="2" t="e">
        <f ca="1">_xll.BDH($C$278,"GEO_GROW_EBITDA","FQ4 2016","FQ4 2016","Currency=INR","Period=FQ","BEST_FPERIOD_OVERRIDE=FQ","FILING_STATUS=OR","EQY_CONSOLIDATED=Y","FA_ADJUSTED=GAAP","Sort=A","Dates=H","DateFormat=P","Fill=—","Direction=H","UseDPDF=Y")</f>
        <v>#NAME?</v>
      </c>
      <c r="AO292" s="2" t="e">
        <f ca="1">_xll.BDH($C$278,"GEO_GROW_OPER_INC","FQ4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292" s="2" t="e">
        <f ca="1">_xll.BDH($C$278,"NET_INCOME_TO_COMMON_5_YR_GROWTH","FQ4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292" s="2" t="e">
        <f ca="1">_xll.BDH($C$278,"5Y_GEO_GROWTH_DILUTED_EPS","FQ4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292" s="2" t="e">
        <f ca="1">_xll.BDH($C$278,"GEO_GROW_DVD_PER_SH","FQ4 2016","FQ4 2016","Currency=INR","Period=FQ","BEST_FPERIOD_OVERRIDE=FQ","FILING_STATUS=OR","EQY_CONSOLIDATED=Y","Sort=A","Dates=H","DateFormat=P","Fill=—","Direction=H","UseDPDF=Y")</f>
        <v>#NAME?</v>
      </c>
      <c r="AS292" s="2" t="e">
        <f ca="1">_xll.BDH($C$278,"ACCOUNTS_RECEIVABLE_5_YR_GROWTH","FQ4 2016","FQ4 2016","Currency=INR","Period=FQ","BEST_FPERIOD_OVERRIDE=FQ","FILING_STATUS=OR","EQY_CONSOLIDATED=Y","Sort=A","Dates=H","DateFormat=P","Fill=—","Direction=H","UseDPDF=Y")</f>
        <v>#NAME?</v>
      </c>
      <c r="AT292" s="2" t="e">
        <f ca="1">_xll.BDH($C$278,"INVENTORY_5_YEAR_GROWTH","FQ4 2016","FQ4 2016","Currency=INR","Period=FQ","BEST_FPERIOD_OVERRIDE=FQ","FILING_STATUS=OR","EQY_CONSOLIDATED=Y","Sort=A","Dates=H","DateFormat=P","Fill=—","Direction=H","UseDPDF=Y")</f>
        <v>#NAME?</v>
      </c>
      <c r="AU292" s="2" t="e">
        <f ca="1">_xll.BDH($C$278,"NET_FIXED_ASSETS_5_YEAR_GROWTH","FQ4 2016","FQ4 2016","Currency=INR","Period=FQ","BEST_FPERIOD_OVERRIDE=FQ","FILING_STATUS=OR","EQY_CONSOLIDATED=Y","Sort=A","Dates=H","DateFormat=P","Fill=—","Direction=H","UseDPDF=Y")</f>
        <v>#NAME?</v>
      </c>
      <c r="AV292" s="2" t="e">
        <f ca="1">_xll.BDH($C$278,"GEO_GROW_TOT_ASSET","FQ4 2016","FQ4 2016","Currency=INR","Period=FQ","BEST_FPERIOD_OVERRIDE=FQ","FILING_STATUS=OR","EQY_CONSOLIDATED=Y","Sort=A","Dates=H","DateFormat=P","Fill=—","Direction=H","UseDPDF=Y")</f>
        <v>#NAME?</v>
      </c>
      <c r="AW292" s="2" t="e">
        <f ca="1">_xll.BDH($C$278,"MODIFIED_WORKING_CPTL_5YR_GRWTH","FQ4 2016","FQ4 2016","Currency=INR","Period=FQ","BEST_FPERIOD_OVERRIDE=FQ","FILING_STATUS=OR","EQY_CONSOLIDATED=Y","Sort=A","Dates=H","DateFormat=P","Fill=—","Direction=H","UseDPDF=Y")</f>
        <v>#NAME?</v>
      </c>
      <c r="AX292" s="2" t="e">
        <f ca="1">_xll.BDH($C$278,"WORKING_CAPITAL_5_YEAR_GROWTH","FQ4 2016","FQ4 2016","Currency=INR","Period=FQ","BEST_FPERIOD_OVERRIDE=FQ","FILING_STATUS=OR","EQY_CONSOLIDATED=Y","Sort=A","Dates=H","DateFormat=P","Fill=—","Direction=H","UseDPDF=Y")</f>
        <v>#NAME?</v>
      </c>
      <c r="AY292" s="2" t="e">
        <f ca="1">_xll.BDH($C$278,"ACCOUNTS_PAYABLE_5_YEAR_GROWTH","FQ4 2016","FQ4 2016","Currency=INR","Period=FQ","BEST_FPERIOD_OVERRIDE=FQ","FILING_STATUS=OR","EQY_CONSOLIDATED=Y","Sort=A","Dates=H","DateFormat=P","Fill=—","Direction=H","UseDPDF=Y")</f>
        <v>#NAME?</v>
      </c>
      <c r="AZ292" s="2" t="e">
        <f ca="1">_xll.BDH($C$278,"SHORT_TERM_DEBT_5_YEAR_GROWTH","FQ4 2016","FQ4 2016","Currency=INR","Period=FQ","BEST_FPERIOD_OVERRIDE=FQ","FILING_STATUS=OR","EQY_CONSOLIDATED=Y","Sort=A","Dates=H","DateFormat=P","Fill=—","Direction=H","UseDPDF=Y")</f>
        <v>#NAME?</v>
      </c>
      <c r="BA292" s="2" t="e">
        <f ca="1">_xll.BDH($C$278,"TOTAL_DEBT_5_YEAR_GROWTH","FQ4 2016","FQ4 2016","Currency=INR","Period=FQ","BEST_FPERIOD_OVERRIDE=FQ","FILING_STATUS=OR","EQY_CONSOLIDATED=Y","Sort=A","Dates=H","DateFormat=P","Fill=—","Direction=H","UseDPDF=Y")</f>
        <v>#NAME?</v>
      </c>
      <c r="BB292" s="2" t="e">
        <f ca="1">_xll.BDH($C$278,"GEO_GROW_TOT_SHRHLDR_EQY","FQ4 2016","FQ4 2016","Currency=INR","Period=FQ","BEST_FPERIOD_OVERRIDE=FQ","FILING_STATUS=OR","EQY_CONSOLIDATED=Y","Sort=A","Dates=H","DateFormat=P","Fill=—","Direction=H","UseDPDF=Y")</f>
        <v>#NAME?</v>
      </c>
      <c r="BC292" s="2" t="e">
        <f ca="1">_xll.BDH($C$278,"TOTAL_CAPITAL_5_YEAR_GROWTH","FQ4 2016","FQ4 2016","Currency=INR","Period=FQ","BEST_FPERIOD_OVERRIDE=FQ","FILING_STATUS=OR","EQY_CONSOLIDATED=Y","Sort=A","Dates=H","DateFormat=P","Fill=—","Direction=H","UseDPDF=Y")</f>
        <v>#NAME?</v>
      </c>
      <c r="BD292" s="2" t="e">
        <f ca="1">_xll.BDH($C$278,"GEO_GROW_BOOK_VAL","FQ4 2016","FQ4 2016","Currency=INR","Period=FQ","BEST_FPERIOD_OVERRIDE=FQ","FILING_STATUS=OR","EQY_CONSOLIDATED=Y","Sort=A","Dates=H","DateFormat=P","Fill=—","Direction=H","UseDPDF=Y")</f>
        <v>#NAME?</v>
      </c>
      <c r="BE292" s="2" t="e">
        <f ca="1">_xll.BDH($C$278,"GEO_GROW_CASH_OPER_ACT","FQ4 2016","FQ4 2016","Currency=INR","Period=FQ","BEST_FPERIOD_OVERRIDE=FQ","FILING_STATUS=OR","EQY_CONSOLIDATED=Y","Sort=A","Dates=H","DateFormat=P","Fill=—","Direction=H","UseDPDF=Y")</f>
        <v>#NAME?</v>
      </c>
      <c r="BF292" s="2" t="e">
        <f ca="1">_xll.BDH($C$278,"REVENUE_SEQUENTIAL_GROWTH","FQ4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292" s="2" t="e">
        <f ca="1">_xll.BDH($C$278,"EBITDA_SEQUENTIAL_GROWTH","FQ4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292" s="2" t="e">
        <f ca="1">_xll.BDH($C$278,"OPERATING_INCOME_SEQ_GROWTH","FQ4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292" s="2" t="e">
        <f ca="1">_xll.BDH($C$278,"NET_INCOME_TO_COMMON_SEQ_GROWTH","FQ4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292" s="2" t="e">
        <f ca="1">_xll.BDH($C$278,"EPS_DILUTED_SEQUENTIAL_GROWTH","FQ4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292" s="2" t="e">
        <f ca="1">_xll.BDH($C$278,"DPS_SEQUENTIAL_GROWTH","FQ4 2016","FQ4 2016","Currency=INR","Period=FQ","BEST_FPERIOD_OVERRIDE=FQ","FILING_STATUS=OR","EQY_CONSOLIDATED=Y","Sort=A","Dates=H","DateFormat=P","Fill=—","Direction=H","UseDPDF=Y")</f>
        <v>#NAME?</v>
      </c>
      <c r="BL292" s="2" t="e">
        <f ca="1">_xll.BDH($C$278,"ACCOUNTS_RECEIVABLE_SEQ_GROWTH","FQ4 2016","FQ4 2016","Currency=INR","Period=FQ","BEST_FPERIOD_OVERRIDE=FQ","FILING_STATUS=OR","EQY_CONSOLIDATED=Y","Sort=A","Dates=H","DateFormat=P","Fill=—","Direction=H","UseDPDF=Y")</f>
        <v>#NAME?</v>
      </c>
      <c r="BM292" s="2" t="e">
        <f ca="1">_xll.BDH($C$278,"INVENTORY_SEQUENTIAL_GROWTH","FQ4 2016","FQ4 2016","Currency=INR","Period=FQ","BEST_FPERIOD_OVERRIDE=FQ","FILING_STATUS=OR","EQY_CONSOLIDATED=Y","Sort=A","Dates=H","DateFormat=P","Fill=—","Direction=H","UseDPDF=Y")</f>
        <v>#NAME?</v>
      </c>
      <c r="BN292" s="2" t="e">
        <f ca="1">_xll.BDH($C$278,"FIXED_ASSETS_SEQUENTIAL_GROWTH","FQ4 2016","FQ4 2016","Currency=INR","Period=FQ","BEST_FPERIOD_OVERRIDE=FQ","FILING_STATUS=OR","EQY_CONSOLIDATED=Y","Sort=A","Dates=H","DateFormat=P","Fill=—","Direction=H","UseDPDF=Y")</f>
        <v>#NAME?</v>
      </c>
      <c r="BO292" s="2" t="e">
        <f ca="1">_xll.BDH($C$278,"TOTAL_ASSETS_SEQUENTIAL_GROWTH","FQ4 2016","FQ4 2016","Currency=INR","Period=FQ","BEST_FPERIOD_OVERRIDE=FQ","FILING_STATUS=OR","EQY_CONSOLIDATED=Y","Sort=A","Dates=H","DateFormat=P","Fill=—","Direction=H","UseDPDF=Y")</f>
        <v>#NAME?</v>
      </c>
      <c r="BP292" s="2" t="e">
        <f ca="1">_xll.BDH($C$278,"MODIFIED_WORKING_CPTL_SEQ_GRWTH","FQ4 2016","FQ4 2016","Currency=INR","Period=FQ","BEST_FPERIOD_OVERRIDE=FQ","FILING_STATUS=OR","EQY_CONSOLIDATED=Y","Sort=A","Dates=H","DateFormat=P","Fill=—","Direction=H","UseDPDF=Y")</f>
        <v>#NAME?</v>
      </c>
      <c r="BQ292" s="2" t="e">
        <f ca="1">_xll.BDH($C$278,"WORKING_CAPITAL_SEQ_GROWTH","FQ4 2016","FQ4 2016","Currency=INR","Period=FQ","BEST_FPERIOD_OVERRIDE=FQ","FILING_STATUS=OR","EQY_CONSOLIDATED=Y","Sort=A","Dates=H","DateFormat=P","Fill=—","Direction=H","UseDPDF=Y")</f>
        <v>#NAME?</v>
      </c>
      <c r="BR292" s="2" t="e">
        <f ca="1">_xll.BDH($C$278,"ACCOUNTS_PAYABLE_SEQ_GROWTH","FQ4 2016","FQ4 2016","Currency=INR","Period=FQ","BEST_FPERIOD_OVERRIDE=FQ","FILING_STATUS=OR","EQY_CONSOLIDATED=Y","Sort=A","Dates=H","DateFormat=P","Fill=—","Direction=H","UseDPDF=Y")</f>
        <v>#NAME?</v>
      </c>
      <c r="BS292" s="2" t="e">
        <f ca="1">_xll.BDH($C$278,"ST_DEBT_SEQUENTIAL_GROWTH","FQ4 2016","FQ4 2016","Currency=INR","Period=FQ","BEST_FPERIOD_OVERRIDE=FQ","FILING_STATUS=OR","EQY_CONSOLIDATED=Y","Sort=A","Dates=H","DateFormat=P","Fill=—","Direction=H","UseDPDF=Y")</f>
        <v>#NAME?</v>
      </c>
      <c r="BT292" s="2" t="e">
        <f ca="1">_xll.BDH($C$278,"TOTAL_DEBT_SEQUENTIAL_GROWTH","FQ4 2016","FQ4 2016","Currency=INR","Period=FQ","BEST_FPERIOD_OVERRIDE=FQ","FILING_STATUS=OR","EQY_CONSOLIDATED=Y","Sort=A","Dates=H","DateFormat=P","Fill=—","Direction=H","UseDPDF=Y")</f>
        <v>#NAME?</v>
      </c>
      <c r="BU292" s="2" t="e">
        <f ca="1">_xll.BDH($C$278,"TOTAL_EQUITY_SEQUENTIAL_GROWTH","FQ4 2016","FQ4 2016","Currency=INR","Period=FQ","BEST_FPERIOD_OVERRIDE=FQ","FILING_STATUS=OR","EQY_CONSOLIDATED=Y","Sort=A","Dates=H","DateFormat=P","Fill=—","Direction=H","UseDPDF=Y")</f>
        <v>#NAME?</v>
      </c>
      <c r="BV292" s="2" t="e">
        <f ca="1">_xll.BDH($C$278,"TOTAL_CAPITAL_SEQUENTIAL_GROWTH","FQ4 2016","FQ4 2016","Currency=INR","Period=FQ","BEST_FPERIOD_OVERRIDE=FQ","FILING_STATUS=OR","EQY_CONSOLIDATED=Y","Sort=A","Dates=H","DateFormat=P","Fill=—","Direction=H","UseDPDF=Y")</f>
        <v>#NAME?</v>
      </c>
      <c r="BW292" s="2" t="e">
        <f ca="1">_xll.BDH($C$278,"BPS_SEQUENTIAL_GROWTH","FQ4 2016","FQ4 2016","Currency=INR","Period=FQ","BEST_FPERIOD_OVERRIDE=FQ","FILING_STATUS=OR","EQY_CONSOLIDATED=Y","Sort=A","Dates=H","DateFormat=P","Fill=—","Direction=H","UseDPDF=Y")</f>
        <v>#NAME?</v>
      </c>
      <c r="BX292" s="2" t="e">
        <f ca="1">_xll.BDH($C$278,"CFO_SEQUENTIAL_GROWTH","FQ4 2016","FQ4 2016","Currency=INR","Period=FQ","BEST_FPERIOD_OVERRIDE=FQ","FILING_STATUS=OR","EQY_CONSOLIDATED=Y","Sort=A","Dates=H","DateFormat=P","Fill=—","Direction=H","UseDPDF=Y")</f>
        <v>#NAME?</v>
      </c>
      <c r="BY292" s="3" t="e">
        <f ca="1">_xll.BDH($C$278,"SHORT_AND_LONG_TERM_DEBT","FQ4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292" s="3" t="e">
        <f ca="1">_xll.BDH($C$278,"BS_ST_BORROW","FQ4 2016","FQ4 2016","Currency=INR","Period=FQ","BEST_FPERIOD_OVERRIDE=FQ","FILING_STATUS=OR","EQY_CONSOLIDATED=Y","SCALING_FORMAT=MLN","Sort=A","Dates=H","DateFormat=P","Fill=—","Direction=H","UseDPDF=Y")</f>
        <v>#NAME?</v>
      </c>
      <c r="CA292" s="3" t="e">
        <f ca="1">_xll.BDH($C$278,"BS_LT_BORROW","FQ4 2016","FQ4 2016","Currency=INR","Period=FQ","BEST_FPERIOD_OVERRIDE=FQ","FILING_STATUS=OR","EQY_CONSOLIDATED=Y","SCALING_FORMAT=MLN","Sort=A","Dates=H","DateFormat=P","Fill=—","Direction=H","UseDPDF=Y")</f>
        <v>#NAME?</v>
      </c>
      <c r="CB292" s="2" t="e">
        <f ca="1">_xll.BDH($C$278,"TOT_DEBT_TO_EBITDA","FQ4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292" s="2" t="e">
        <f ca="1">_xll.BDH($C$278,"NET_DEBT_TO_EBITDA","FQ4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292" s="2" t="e">
        <f ca="1">_xll.BDH($C$278,"TOTAL_DEBT_TO_EBIT","FQ4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292" s="2" t="e">
        <f ca="1">_xll.BDH($C$278,"NET_DEBT_TO_EBIT","FQ4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292" s="2" t="e">
        <f ca="1">_xll.BDH($C$278,"EBITDA_TO_INTEREST_EXPN","FQ4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292" s="2" t="e">
        <f ca="1">_xll.BDH($C$278,"COM_EQY_TO_TOT_ASSET","FQ4 2016","FQ4 2016","Currency=INR","Period=FQ","BEST_FPERIOD_OVERRIDE=FQ","FILING_STATUS=OR","EQY_CONSOLIDATED=Y","Sort=A","Dates=H","DateFormat=P","Fill=—","Direction=H","UseDPDF=Y")</f>
        <v>#NAME?</v>
      </c>
      <c r="CH292" s="2" t="e">
        <f ca="1">_xll.BDH($C$278,"LT_DEBT_TO_TOT_EQY","FQ4 2016","FQ4 2016","Currency=INR","Period=FQ","BEST_FPERIOD_OVERRIDE=FQ","FILING_STATUS=OR","EQY_CONSOLIDATED=Y","Sort=A","Dates=H","DateFormat=P","Fill=—","Direction=H","UseDPDF=Y")</f>
        <v>#NAME?</v>
      </c>
      <c r="CI292" s="2" t="e">
        <f ca="1">_xll.BDH($C$278,"LT_DEBT_TO_TOT_CAP","FQ4 2016","FQ4 2016","Currency=INR","Period=FQ","BEST_FPERIOD_OVERRIDE=FQ","FILING_STATUS=OR","EQY_CONSOLIDATED=Y","Sort=A","Dates=H","DateFormat=P","Fill=—","Direction=H","UseDPDF=Y")</f>
        <v>#NAME?</v>
      </c>
      <c r="CJ292" s="2" t="e">
        <f ca="1">_xll.BDH($C$278,"LT_DEBT_TO_TOT_ASSET","FQ4 2016","FQ4 2016","Currency=INR","Period=FQ","BEST_FPERIOD_OVERRIDE=FQ","FILING_STATUS=OR","EQY_CONSOLIDATED=Y","Sort=A","Dates=H","DateFormat=P","Fill=—","Direction=H","UseDPDF=Y")</f>
        <v>#NAME?</v>
      </c>
      <c r="CK292" s="2" t="e">
        <f ca="1">_xll.BDH($C$278,"TOT_DEBT_TO_TOT_EQY","FQ4 2016","FQ4 2016","Currency=INR","Period=FQ","BEST_FPERIOD_OVERRIDE=FQ","FILING_STATUS=OR","EQY_CONSOLIDATED=Y","Sort=A","Dates=H","DateFormat=P","Fill=—","Direction=H","UseDPDF=Y")</f>
        <v>#NAME?</v>
      </c>
      <c r="CL292" s="2" t="e">
        <f ca="1">_xll.BDH($C$278,"TOT_DEBT_TO_TOT_CAP","FQ4 2016","FQ4 2016","Currency=INR","Period=FQ","BEST_FPERIOD_OVERRIDE=FQ","FILING_STATUS=OR","EQY_CONSOLIDATED=Y","Sort=A","Dates=H","DateFormat=P","Fill=—","Direction=H","UseDPDF=Y")</f>
        <v>#NAME?</v>
      </c>
      <c r="CM292" s="2" t="e">
        <f ca="1">_xll.BDH($C$278,"TOT_DEBT_TO_TOT_ASSET","FQ4 2016","FQ4 2016","Currency=INR","Period=FQ","BEST_FPERIOD_OVERRIDE=FQ","FILING_STATUS=OR","EQY_CONSOLIDATED=Y","Sort=A","Dates=H","DateFormat=P","Fill=—","Direction=H","UseDPDF=Y")</f>
        <v>#NAME?</v>
      </c>
      <c r="CN292" s="2" t="e">
        <f ca="1">_xll.BDH($C$278,"NET_DEBT_TO_SHRHLDR_EQTY","FQ4 2016","FQ4 2016","Currency=INR","Period=FQ","BEST_FPERIOD_OVERRIDE=FQ","FILING_STATUS=OR","EQY_CONSOLIDATED=Y","Sort=A","Dates=H","DateFormat=P","Fill=—","Direction=H","UseDPDF=Y")</f>
        <v>#NAME?</v>
      </c>
      <c r="CO292" s="2" t="e">
        <f ca="1">_xll.BDH($C$278,"NET_DEBT_%_CAPITAL","FQ4 2016","FQ4 2016","Currency=INR","Period=FQ","BEST_FPERIOD_OVERRIDE=FQ","FILING_STATUS=OR","EQY_CONSOLIDATED=Y","Sort=A","Dates=H","DateFormat=P","Fill=—","Direction=H","UseDPDF=Y")</f>
        <v>#NAME?</v>
      </c>
      <c r="CP292" s="3" t="e">
        <f ca="1">_xll.BDH($C$278,"EBITDA","FQ4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292" s="3" t="e">
        <f ca="1">_xll.BDH($C$278,"EBITDA_AFTER_CAPEX","FQ4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292" s="3" t="e">
        <f ca="1">_xll.BDH($C$278,"IS_OPER_INC","FQ4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292" s="2" t="e">
        <f ca="1">_xll.BDH($C$278,"CASH_RATIO","FQ4 2016","FQ4 2016","Currency=INR","Period=FQ","BEST_FPERIOD_OVERRIDE=FQ","FILING_STATUS=OR","EQY_CONSOLIDATED=Y","Sort=A","Dates=H","DateFormat=P","Fill=—","Direction=H","UseDPDF=Y")</f>
        <v>#NAME?</v>
      </c>
      <c r="CT292" s="2" t="e">
        <f ca="1">_xll.BDH($C$278,"CUR_RATIO","FQ4 2016","FQ4 2016","Currency=INR","Period=FQ","BEST_FPERIOD_OVERRIDE=FQ","FILING_STATUS=OR","EQY_CONSOLIDATED=Y","Sort=A","Dates=H","DateFormat=P","Fill=—","Direction=H","UseDPDF=Y")</f>
        <v>#NAME?</v>
      </c>
      <c r="CU292" s="2" t="e">
        <f ca="1">_xll.BDH($C$278,"QUICK_RATIO","FQ4 2016","FQ4 2016","Currency=INR","Period=FQ","BEST_FPERIOD_OVERRIDE=FQ","FILING_STATUS=OR","EQY_CONSOLIDATED=Y","Sort=A","Dates=H","DateFormat=P","Fill=—","Direction=H","UseDPDF=Y")</f>
        <v>#NAME?</v>
      </c>
      <c r="CV292" s="2" t="e">
        <f ca="1">_xll.BDH($C$278,"ALTMAN_Z_SCORE","FQ4 2016","FQ4 2016","Currency=INR","Period=FQ","BEST_FPERIOD_OVERRIDE=FQ","FILING_STATUS=OR","EQY_CONSOLIDATED=Y","Sort=A","Dates=H","DateFormat=P","Fill=—","Direction=H","UseDPDF=Y")</f>
        <v>#NAME?</v>
      </c>
      <c r="CW292" s="4" t="e">
        <f ca="1">_xll.BDH($C$278,"ACCT_RCV_TURN","FQ4 2016","FQ4 2016","Currency=INR","Period=FQ","BEST_FPERIOD_OVERRIDE=FQ","FILING_STATUS=OR","EQY_CONSOLIDATED=Y","FA_ADJUSTED=GAAP","Sort=A","Dates=H","DateFormat=P","Fill=—","Direction=H","UseDPDF=Y")</f>
        <v>#NAME?</v>
      </c>
      <c r="CX292" s="2" t="e">
        <f ca="1">_xll.BDH($C$278,"ACCT_RCV_DAYS","FQ4 2016","FQ4 2016","Currency=INR","Period=FQ","BEST_FPERIOD_OVERRIDE=FQ","FILING_STATUS=OR","EQY_CONSOLIDATED=Y","FA_ADJUSTED=GAAP","Sort=A","Dates=H","DateFormat=P","Fill=—","Direction=H","UseDPDF=Y")</f>
        <v>#NAME?</v>
      </c>
      <c r="CY292" s="4" t="e">
        <f ca="1">_xll.BDH($C$278,"INVENT_TURN","FQ4 2016","FQ4 2016","Currency=INR","Period=FQ","BEST_FPERIOD_OVERRIDE=FQ","FILING_STATUS=OR","EQY_CONSOLIDATED=Y","FA_ADJUSTED=GAAP","Sort=A","Dates=H","DateFormat=P","Fill=—","Direction=H","UseDPDF=Y")</f>
        <v>#NAME?</v>
      </c>
      <c r="CZ292" s="2" t="e">
        <f ca="1">_xll.BDH($C$278,"INVENT_DAYS","FQ4 2016","FQ4 2016","Currency=INR","Period=FQ","BEST_FPERIOD_OVERRIDE=FQ","FILING_STATUS=OR","EQY_CONSOLIDATED=Y","FA_ADJUSTED=GAAP","Sort=A","Dates=H","DateFormat=P","Fill=—","Direction=H","UseDPDF=Y")</f>
        <v>#NAME?</v>
      </c>
      <c r="DA292" s="4" t="e">
        <f ca="1">_xll.BDH($C$278,"ACCOUNTS_PAYABLE_TURNOVER","FQ4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292" s="2" t="e">
        <f ca="1">_xll.BDH($C$278,"ACCOUNTS_PAYABLE_TURNOVER_DAYS","FQ4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292" s="4" t="e">
        <f ca="1">_xll.BDH($C$278,"CASH_CONVERSION_CYCLE","FQ4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292" s="4" t="e">
        <f ca="1">_xll.BDH($C$278,"INV_TO_CASH_DAYS","FQ4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292" s="5" t="e">
        <f ca="1">_xll.BDH($C$278,"BS_INVENTORIES","FQ4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292" s="3" t="e">
        <f ca="1">_xll.BDH($C$278,"INVTRY_RAW_MATERIALS","FQ4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292" s="3" t="e">
        <f ca="1">_xll.BDH($C$278,"INVTRY_IN_PROGRESS","FQ4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292" s="3" t="e">
        <f ca="1">_xll.BDH($C$278,"INVTRY_FINISHED_GOODS","FQ4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292" s="3" t="e">
        <f ca="1">_xll.BDH($C$278,"BS_OTHER_INV","FQ4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293" spans="1:113" x14ac:dyDescent="0.3">
      <c r="A293" s="6"/>
      <c r="B293" s="6"/>
      <c r="C293" s="6"/>
      <c r="D293" s="6" t="s">
        <v>84</v>
      </c>
      <c r="E293" t="s">
        <v>77</v>
      </c>
      <c r="F293" t="e">
        <f ca="1">_xll.BDH($C$278,"RETURN_COM_EQY","FY 2017","FY 2017","Currency=INR","Period=FY","BEST_FPERIOD_OVERRIDE=FY","FILING_STATUS=OR","EQY_CONSOLIDATED=Y","FA_ADJUSTED=GAAP","Sort=A","Dates=H","DateFormat=P","Fill=—","Direction=H","UseDPDF=Y")</f>
        <v>#NAME?</v>
      </c>
      <c r="G293" t="e">
        <f ca="1">_xll.BDH($C$278,"RETURN_ON_ASSET","FY 2017","FY 2017","Currency=INR","Period=FY","BEST_FPERIOD_OVERRIDE=FY","FILING_STATUS=OR","EQY_CONSOLIDATED=Y","FA_ADJUSTED=GAAP","Sort=A","Dates=H","DateFormat=P","Fill=—","Direction=H","UseDPDF=Y")</f>
        <v>#NAME?</v>
      </c>
      <c r="H293" t="e">
        <f ca="1">_xll.BDH($C$278,"RETURN_ON_CAP","FY 2017","FY 2017","Currency=INR","Period=FY","BEST_FPERIOD_OVERRIDE=FY","FILING_STATUS=OR","EQY_CONSOLIDATED=Y","FA_ADJUSTED=GAAP","Sort=A","Dates=H","DateFormat=P","Fill=—","Direction=H","UseDPDF=Y")</f>
        <v>#NAME?</v>
      </c>
      <c r="I293" t="e">
        <f ca="1">_xll.BDH($C$278,"RETURN_ON_INV_CAPITAL","FY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293" t="e">
        <f ca="1">_xll.BDH($C$278,"EBITDA_TO_REVENUE","FY 2017","FY 2017","Currency=INR","Period=FY","BEST_FPERIOD_OVERRIDE=FY","FILING_STATUS=OR","EQY_CONSOLIDATED=Y","FA_ADJUSTED=GAAP","Sort=A","Dates=H","DateFormat=P","Fill=—","Direction=H","UseDPDF=Y")</f>
        <v>#NAME?</v>
      </c>
      <c r="K293" t="e">
        <f ca="1">_xll.BDH($C$278,"OPER_MARGIN","FY 2017","FY 2017","Currency=INR","Period=FY","BEST_FPERIOD_OVERRIDE=FY","FILING_STATUS=OR","EQY_CONSOLIDATED=Y","FA_ADJUSTED=GAAP","Sort=A","Dates=H","DateFormat=P","Fill=—","Direction=H","UseDPDF=Y")</f>
        <v>#NAME?</v>
      </c>
      <c r="L293" t="e">
        <f ca="1">_xll.BDH($C$278,"INCREMENTAL_OPERATING_MARGIN","FY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293" t="e">
        <f ca="1">_xll.BDH($C$278,"PRETAX_INC_TO_NET_SALES","FY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293" t="e">
        <f ca="1">_xll.BDH($C$278,"INC_BEF_XO_ITEMS_TO_NET_SALES","FY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293" t="e">
        <f ca="1">_xll.BDH($C$278,"PROF_MARGIN","FY 2017","FY 2017","Currency=INR","Period=FY","BEST_FPERIOD_OVERRIDE=FY","FILING_STATUS=OR","EQY_CONSOLIDATED=Y","FA_ADJUSTED=GAAP","Sort=A","Dates=H","DateFormat=P","Fill=—","Direction=H","UseDPDF=Y")</f>
        <v>#NAME?</v>
      </c>
      <c r="P293" t="e">
        <f ca="1">_xll.BDH($C$278,"NET_INCOME_TO_COMMON_MARGIN","FY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293" t="e">
        <f ca="1">_xll.BDH($C$278,"EFF_TAX_RATE","FY 2017","FY 2017","Currency=INR","Period=FY","BEST_FPERIOD_OVERRIDE=FY","FILING_STATUS=OR","EQY_CONSOLIDATED=Y","FA_ADJUSTED=GAAP","Sort=A","Dates=H","DateFormat=P","Fill=—","Direction=H","UseDPDF=Y")</f>
        <v>#NAME?</v>
      </c>
      <c r="R293" t="e">
        <f ca="1">_xll.BDH($C$278,"DVD_PAYOUT_RATIO","FY 2017","FY 2017","Currency=INR","Period=FY","BEST_FPERIOD_OVERRIDE=FY","FILING_STATUS=OR","EQY_CONSOLIDATED=Y","FA_ADJUSTED=GAAP","Sort=A","Dates=H","DateFormat=P","Fill=—","Direction=H","UseDPDF=Y")</f>
        <v>#NAME?</v>
      </c>
      <c r="S293" t="e">
        <f ca="1">_xll.BDH($C$278,"SUSTAIN_GROWTH_RT","FY 2017","FY 2017","Currency=INR","Period=FY","BEST_FPERIOD_OVERRIDE=FY","FILING_STATUS=OR","EQY_CONSOLIDATED=Y","FA_ADJUSTED=GAAP","Sort=A","Dates=H","DateFormat=P","Fill=—","Direction=H","UseDPDF=Y")</f>
        <v>#NAME?</v>
      </c>
      <c r="T293" s="2" t="e">
        <f ca="1">_xll.BDH($C$278,"SALES_GROWTH","FY 2017","FY 2017","Currency=INR","Period=FY","BEST_FPERIOD_OVERRIDE=FY","FILING_STATUS=OR","EQY_CONSOLIDATED=Y","FA_ADJUSTED=GAAP","Sort=A","Dates=H","DateFormat=P","Fill=—","Direction=H","UseDPDF=Y")</f>
        <v>#NAME?</v>
      </c>
      <c r="U293" s="2" t="e">
        <f ca="1">_xll.BDH($C$278,"EBITDA_GROWTH","FY 2017","FY 2017","Currency=INR","Period=FY","BEST_FPERIOD_OVERRIDE=FY","FILING_STATUS=OR","EQY_CONSOLIDATED=Y","FA_ADJUSTED=GAAP","Sort=A","Dates=H","DateFormat=P","Fill=—","Direction=H","UseDPDF=Y")</f>
        <v>#NAME?</v>
      </c>
      <c r="V293" s="2" t="e">
        <f ca="1">_xll.BDH($C$278,"OPER_INC_GROWTH","FY 2017","FY 2017","Currency=INR","Period=FY","BEST_FPERIOD_OVERRIDE=FY","FILING_STATUS=OR","EQY_CONSOLIDATED=Y","FA_ADJUSTED=GAAP","Sort=A","Dates=H","DateFormat=P","Fill=—","Direction=H","UseDPDF=Y")</f>
        <v>#NAME?</v>
      </c>
      <c r="W293" s="2" t="e">
        <f ca="1">_xll.BDH($C$278,"EARN_FOR_COM_GROWTH","FY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293" s="2" t="e">
        <f ca="1">_xll.BDH($C$278,"DILUTED_EPS_AFT_XO_ITEMS_GROWTH","FY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293" s="2" t="e">
        <f ca="1">_xll.BDH($C$278,"DIVIDEND_PER_SHARE_1_YEAR_GROWTH","FY 2017","FY 2017","Currency=INR","Period=FY","BEST_FPERIOD_OVERRIDE=FY","FILING_STATUS=OR","EQY_CONSOLIDATED=Y","Sort=A","Dates=H","DateFormat=P","Fill=—","Direction=H","UseDPDF=Y")</f>
        <v>#NAME?</v>
      </c>
      <c r="Z293" s="2" t="e">
        <f ca="1">_xll.BDH($C$278,"ACCOUNTS_RECEIVABLE_GROWTH","FY 2017","FY 2017","Currency=INR","Period=FY","BEST_FPERIOD_OVERRIDE=FY","FILING_STATUS=OR","EQY_CONSOLIDATED=Y","Sort=A","Dates=H","DateFormat=P","Fill=—","Direction=H","UseDPDF=Y")</f>
        <v>#NAME?</v>
      </c>
      <c r="AA293" s="2" t="e">
        <f ca="1">_xll.BDH($C$278,"INVENTORY_GROWTH","FY 2017","FY 2017","Currency=INR","Period=FY","BEST_FPERIOD_OVERRIDE=FY","FILING_STATUS=OR","EQY_CONSOLIDATED=Y","Sort=A","Dates=H","DateFormat=P","Fill=—","Direction=H","UseDPDF=Y")</f>
        <v>#NAME?</v>
      </c>
      <c r="AB293" s="2" t="e">
        <f ca="1">_xll.BDH($C$278,"NET_FIXED_ASSETS_1_YEAR_GROWTH","FY 2017","FY 2017","Currency=INR","Period=FY","BEST_FPERIOD_OVERRIDE=FY","FILING_STATUS=OR","EQY_CONSOLIDATED=Y","Sort=A","Dates=H","DateFormat=P","Fill=—","Direction=H","UseDPDF=Y")</f>
        <v>#NAME?</v>
      </c>
      <c r="AC293" s="2" t="e">
        <f ca="1">_xll.BDH($C$278,"ASSET_GROWTH","FY 2017","FY 2017","Currency=INR","Period=FY","BEST_FPERIOD_OVERRIDE=FY","FILING_STATUS=OR","EQY_CONSOLIDATED=Y","Sort=A","Dates=H","DateFormat=P","Fill=—","Direction=H","UseDPDF=Y")</f>
        <v>#NAME?</v>
      </c>
      <c r="AD293" s="2" t="e">
        <f ca="1">_xll.BDH($C$278,"MODIFIED_WORK_CAP_GROWTH","FY 2017","FY 2017","Currency=INR","Period=FY","BEST_FPERIOD_OVERRIDE=FY","FILING_STATUS=OR","EQY_CONSOLIDATED=Y","Sort=A","Dates=H","DateFormat=P","Fill=—","Direction=H","UseDPDF=Y")</f>
        <v>#NAME?</v>
      </c>
      <c r="AE293" s="2" t="e">
        <f ca="1">_xll.BDH($C$278,"WORK_CAP_GROWTH","FY 2017","FY 2017","Currency=INR","Period=FY","BEST_FPERIOD_OVERRIDE=FY","FILING_STATUS=OR","EQY_CONSOLIDATED=Y","Sort=A","Dates=H","DateFormat=P","Fill=—","Direction=H","UseDPDF=Y")</f>
        <v>#NAME?</v>
      </c>
      <c r="AF293" s="2" t="e">
        <f ca="1">_xll.BDH($C$278,"ACCOUNTS_PAYABLE_GROWTH_1YR","FY 2017","FY 2017","Currency=INR","Period=FY","BEST_FPERIOD_OVERRIDE=FY","FILING_STATUS=OR","EQY_CONSOLIDATED=Y","Sort=A","Dates=H","DateFormat=P","Fill=—","Direction=H","UseDPDF=Y")</f>
        <v>#NAME?</v>
      </c>
      <c r="AG293" s="2" t="e">
        <f ca="1">_xll.BDH($C$278,"SHORT_TERM_DEBT_1_YEAR_GROWTH","FY 2017","FY 2017","Currency=INR","Period=FY","BEST_FPERIOD_OVERRIDE=FY","FILING_STATUS=OR","EQY_CONSOLIDATED=Y","Sort=A","Dates=H","DateFormat=P","Fill=—","Direction=H","UseDPDF=Y")</f>
        <v>#NAME?</v>
      </c>
      <c r="AH293" s="2" t="e">
        <f ca="1">_xll.BDH($C$278,"TOTAL_DEBT_1_YEAR_GROWTH","FY 2017","FY 2017","Currency=INR","Period=FY","BEST_FPERIOD_OVERRIDE=FY","FILING_STATUS=OR","EQY_CONSOLIDATED=Y","Sort=A","Dates=H","DateFormat=P","Fill=—","Direction=H","UseDPDF=Y")</f>
        <v>#NAME?</v>
      </c>
      <c r="AI293" s="2" t="e">
        <f ca="1">_xll.BDH($C$278,"TOTAL_EQUITY_1_YEAR_GROWTH","FY 2017","FY 2017","Currency=INR","Period=FY","BEST_FPERIOD_OVERRIDE=FY","FILING_STATUS=OR","EQY_CONSOLIDATED=Y","Sort=A","Dates=H","DateFormat=P","Fill=—","Direction=H","UseDPDF=Y")</f>
        <v>#NAME?</v>
      </c>
      <c r="AJ293" s="2" t="e">
        <f ca="1">_xll.BDH($C$278,"GROWTH_IN_CAP","FY 2017","FY 2017","Currency=INR","Period=FY","BEST_FPERIOD_OVERRIDE=FY","FILING_STATUS=OR","EQY_CONSOLIDATED=Y","Sort=A","Dates=H","DateFormat=P","Fill=—","Direction=H","UseDPDF=Y")</f>
        <v>#NAME?</v>
      </c>
      <c r="AK293" s="2" t="e">
        <f ca="1">_xll.BDH($C$278,"BVPS_GROWTH","FY 2017","FY 2017","Currency=INR","Period=FY","BEST_FPERIOD_OVERRIDE=FY","FILING_STATUS=OR","EQY_CONSOLIDATED=Y","Sort=A","Dates=H","DateFormat=P","Fill=—","Direction=H","UseDPDF=Y")</f>
        <v>#NAME?</v>
      </c>
      <c r="AL293" s="2" t="e">
        <f ca="1">_xll.BDH($C$278,"CASH_FLOW_GROWTH","FY 2017","FY 2017","Currency=INR","Period=FY","BEST_FPERIOD_OVERRIDE=FY","FILING_STATUS=OR","EQY_CONSOLIDATED=Y","Sort=A","Dates=H","DateFormat=P","Fill=—","Direction=H","UseDPDF=Y")</f>
        <v>#NAME?</v>
      </c>
      <c r="AM293" s="2" t="e">
        <f ca="1">_xll.BDH($C$278,"GEO_GROW_NET_SALES","FY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293" s="2" t="e">
        <f ca="1">_xll.BDH($C$278,"GEO_GROW_EBITDA","FY 2017","FY 2017","Currency=INR","Period=FY","BEST_FPERIOD_OVERRIDE=FY","FILING_STATUS=OR","EQY_CONSOLIDATED=Y","FA_ADJUSTED=GAAP","Sort=A","Dates=H","DateFormat=P","Fill=—","Direction=H","UseDPDF=Y")</f>
        <v>#NAME?</v>
      </c>
      <c r="AO293" s="2" t="e">
        <f ca="1">_xll.BDH($C$278,"GEO_GROW_OPER_INC","FY 2017","FY 2017","Currency=INR","Period=FY","BEST_FPERIOD_OVERRIDE=FY","FILING_STATUS=OR","EQY_CONSOLIDATED=Y","FA_ADJUSTED=GAAP","Sort=A","Dates=H","DateFormat=P","Fill=—","Direction=H","UseDPDF=Y")</f>
        <v>#NAME?</v>
      </c>
      <c r="AP293" s="2" t="e">
        <f ca="1">_xll.BDH($C$278,"NET_INCOME_TO_COMMON_5_YR_GROWTH","FY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293" s="2" t="e">
        <f ca="1">_xll.BDH($C$278,"5Y_GEO_GROWTH_DILUTED_EPS","FY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293" s="2" t="e">
        <f ca="1">_xll.BDH($C$278,"GEO_GROW_DVD_PER_SH","FY 2017","FY 2017","Currency=INR","Period=FY","BEST_FPERIOD_OVERRIDE=FY","FILING_STATUS=OR","EQY_CONSOLIDATED=Y","Sort=A","Dates=H","DateFormat=P","Fill=—","Direction=H","UseDPDF=Y")</f>
        <v>#NAME?</v>
      </c>
      <c r="AS293" s="2" t="e">
        <f ca="1">_xll.BDH($C$278,"ACCOUNTS_RECEIVABLE_5_YR_GROWTH","FY 2017","FY 2017","Currency=INR","Period=FY","BEST_FPERIOD_OVERRIDE=FY","FILING_STATUS=OR","EQY_CONSOLIDATED=Y","Sort=A","Dates=H","DateFormat=P","Fill=—","Direction=H","UseDPDF=Y")</f>
        <v>#NAME?</v>
      </c>
      <c r="AT293" s="2" t="e">
        <f ca="1">_xll.BDH($C$278,"INVENTORY_5_YEAR_GROWTH","FY 2017","FY 2017","Currency=INR","Period=FY","BEST_FPERIOD_OVERRIDE=FY","FILING_STATUS=OR","EQY_CONSOLIDATED=Y","Sort=A","Dates=H","DateFormat=P","Fill=—","Direction=H","UseDPDF=Y")</f>
        <v>#NAME?</v>
      </c>
      <c r="AU293" s="2" t="e">
        <f ca="1">_xll.BDH($C$278,"NET_FIXED_ASSETS_5_YEAR_GROWTH","FY 2017","FY 2017","Currency=INR","Period=FY","BEST_FPERIOD_OVERRIDE=FY","FILING_STATUS=OR","EQY_CONSOLIDATED=Y","Sort=A","Dates=H","DateFormat=P","Fill=—","Direction=H","UseDPDF=Y")</f>
        <v>#NAME?</v>
      </c>
      <c r="AV293" s="2" t="e">
        <f ca="1">_xll.BDH($C$278,"GEO_GROW_TOT_ASSET","FY 2017","FY 2017","Currency=INR","Period=FY","BEST_FPERIOD_OVERRIDE=FY","FILING_STATUS=OR","EQY_CONSOLIDATED=Y","Sort=A","Dates=H","DateFormat=P","Fill=—","Direction=H","UseDPDF=Y")</f>
        <v>#NAME?</v>
      </c>
      <c r="AW293" s="2" t="e">
        <f ca="1">_xll.BDH($C$278,"MODIFIED_WORKING_CPTL_5YR_GRWTH","FY 2017","FY 2017","Currency=INR","Period=FY","BEST_FPERIOD_OVERRIDE=FY","FILING_STATUS=OR","EQY_CONSOLIDATED=Y","Sort=A","Dates=H","DateFormat=P","Fill=—","Direction=H","UseDPDF=Y")</f>
        <v>#NAME?</v>
      </c>
      <c r="AX293" s="2" t="e">
        <f ca="1">_xll.BDH($C$278,"WORKING_CAPITAL_5_YEAR_GROWTH","FY 2017","FY 2017","Currency=INR","Period=FY","BEST_FPERIOD_OVERRIDE=FY","FILING_STATUS=OR","EQY_CONSOLIDATED=Y","Sort=A","Dates=H","DateFormat=P","Fill=—","Direction=H","UseDPDF=Y")</f>
        <v>#NAME?</v>
      </c>
      <c r="AY293" s="2" t="e">
        <f ca="1">_xll.BDH($C$278,"ACCOUNTS_PAYABLE_5_YEAR_GROWTH","FY 2017","FY 2017","Currency=INR","Period=FY","BEST_FPERIOD_OVERRIDE=FY","FILING_STATUS=OR","EQY_CONSOLIDATED=Y","Sort=A","Dates=H","DateFormat=P","Fill=—","Direction=H","UseDPDF=Y")</f>
        <v>#NAME?</v>
      </c>
      <c r="AZ293" s="2" t="e">
        <f ca="1">_xll.BDH($C$278,"SHORT_TERM_DEBT_5_YEAR_GROWTH","FY 2017","FY 2017","Currency=INR","Period=FY","BEST_FPERIOD_OVERRIDE=FY","FILING_STATUS=OR","EQY_CONSOLIDATED=Y","Sort=A","Dates=H","DateFormat=P","Fill=—","Direction=H","UseDPDF=Y")</f>
        <v>#NAME?</v>
      </c>
      <c r="BA293" s="2" t="e">
        <f ca="1">_xll.BDH($C$278,"TOTAL_DEBT_5_YEAR_GROWTH","FY 2017","FY 2017","Currency=INR","Period=FY","BEST_FPERIOD_OVERRIDE=FY","FILING_STATUS=OR","EQY_CONSOLIDATED=Y","Sort=A","Dates=H","DateFormat=P","Fill=—","Direction=H","UseDPDF=Y")</f>
        <v>#NAME?</v>
      </c>
      <c r="BB293" s="2" t="e">
        <f ca="1">_xll.BDH($C$278,"GEO_GROW_TOT_SHRHLDR_EQY","FY 2017","FY 2017","Currency=INR","Period=FY","BEST_FPERIOD_OVERRIDE=FY","FILING_STATUS=OR","EQY_CONSOLIDATED=Y","Sort=A","Dates=H","DateFormat=P","Fill=—","Direction=H","UseDPDF=Y")</f>
        <v>#NAME?</v>
      </c>
      <c r="BC293" s="2" t="e">
        <f ca="1">_xll.BDH($C$278,"TOTAL_CAPITAL_5_YEAR_GROWTH","FY 2017","FY 2017","Currency=INR","Period=FY","BEST_FPERIOD_OVERRIDE=FY","FILING_STATUS=OR","EQY_CONSOLIDATED=Y","Sort=A","Dates=H","DateFormat=P","Fill=—","Direction=H","UseDPDF=Y")</f>
        <v>#NAME?</v>
      </c>
      <c r="BD293" s="2" t="e">
        <f ca="1">_xll.BDH($C$278,"GEO_GROW_BOOK_VAL","FY 2017","FY 2017","Currency=INR","Period=FY","BEST_FPERIOD_OVERRIDE=FY","FILING_STATUS=OR","EQY_CONSOLIDATED=Y","Sort=A","Dates=H","DateFormat=P","Fill=—","Direction=H","UseDPDF=Y")</f>
        <v>#NAME?</v>
      </c>
      <c r="BE293" s="2" t="e">
        <f ca="1">_xll.BDH($C$278,"GEO_GROW_CASH_OPER_ACT","FY 2017","FY 2017","Currency=INR","Period=FY","BEST_FPERIOD_OVERRIDE=FY","FILING_STATUS=OR","EQY_CONSOLIDATED=Y","Sort=A","Dates=H","DateFormat=P","Fill=—","Direction=H","UseDPDF=Y")</f>
        <v>#NAME?</v>
      </c>
      <c r="BF293" s="2" t="e">
        <f ca="1">_xll.BDH($C$278,"REVENUE_SEQUENTIAL_GROWTH","FY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293" s="2" t="e">
        <f ca="1">_xll.BDH($C$278,"EBITDA_SEQUENTIAL_GROWTH","FY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293" s="2" t="e">
        <f ca="1">_xll.BDH($C$278,"OPERATING_INCOME_SEQ_GROWTH","FY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293" s="2" t="e">
        <f ca="1">_xll.BDH($C$278,"NET_INCOME_TO_COMMON_SEQ_GROWTH","FY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293" s="2" t="e">
        <f ca="1">_xll.BDH($C$278,"EPS_DILUTED_SEQUENTIAL_GROWTH","FY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293" s="2" t="e">
        <f ca="1">_xll.BDH($C$278,"DPS_SEQUENTIAL_GROWTH","FY 2017","FY 2017","Currency=INR","Period=FY","BEST_FPERIOD_OVERRIDE=FY","FILING_STATUS=OR","EQY_CONSOLIDATED=Y","Sort=A","Dates=H","DateFormat=P","Fill=—","Direction=H","UseDPDF=Y")</f>
        <v>#NAME?</v>
      </c>
      <c r="BL293" s="2" t="e">
        <f ca="1">_xll.BDH($C$278,"ACCOUNTS_RECEIVABLE_SEQ_GROWTH","FY 2017","FY 2017","Currency=INR","Period=FY","BEST_FPERIOD_OVERRIDE=FY","FILING_STATUS=OR","EQY_CONSOLIDATED=Y","Sort=A","Dates=H","DateFormat=P","Fill=—","Direction=H","UseDPDF=Y")</f>
        <v>#NAME?</v>
      </c>
      <c r="BM293" s="2" t="e">
        <f ca="1">_xll.BDH($C$278,"INVENTORY_SEQUENTIAL_GROWTH","FY 2017","FY 2017","Currency=INR","Period=FY","BEST_FPERIOD_OVERRIDE=FY","FILING_STATUS=OR","EQY_CONSOLIDATED=Y","Sort=A","Dates=H","DateFormat=P","Fill=—","Direction=H","UseDPDF=Y")</f>
        <v>#NAME?</v>
      </c>
      <c r="BN293" s="2" t="e">
        <f ca="1">_xll.BDH($C$278,"FIXED_ASSETS_SEQUENTIAL_GROWTH","FY 2017","FY 2017","Currency=INR","Period=FY","BEST_FPERIOD_OVERRIDE=FY","FILING_STATUS=OR","EQY_CONSOLIDATED=Y","Sort=A","Dates=H","DateFormat=P","Fill=—","Direction=H","UseDPDF=Y")</f>
        <v>#NAME?</v>
      </c>
      <c r="BO293" s="2" t="e">
        <f ca="1">_xll.BDH($C$278,"TOTAL_ASSETS_SEQUENTIAL_GROWTH","FY 2017","FY 2017","Currency=INR","Period=FY","BEST_FPERIOD_OVERRIDE=FY","FILING_STATUS=OR","EQY_CONSOLIDATED=Y","Sort=A","Dates=H","DateFormat=P","Fill=—","Direction=H","UseDPDF=Y")</f>
        <v>#NAME?</v>
      </c>
      <c r="BP293" s="2" t="e">
        <f ca="1">_xll.BDH($C$278,"MODIFIED_WORKING_CPTL_SEQ_GRWTH","FY 2017","FY 2017","Currency=INR","Period=FY","BEST_FPERIOD_OVERRIDE=FY","FILING_STATUS=OR","EQY_CONSOLIDATED=Y","Sort=A","Dates=H","DateFormat=P","Fill=—","Direction=H","UseDPDF=Y")</f>
        <v>#NAME?</v>
      </c>
      <c r="BQ293" s="2" t="e">
        <f ca="1">_xll.BDH($C$278,"WORKING_CAPITAL_SEQ_GROWTH","FY 2017","FY 2017","Currency=INR","Period=FY","BEST_FPERIOD_OVERRIDE=FY","FILING_STATUS=OR","EQY_CONSOLIDATED=Y","Sort=A","Dates=H","DateFormat=P","Fill=—","Direction=H","UseDPDF=Y")</f>
        <v>#NAME?</v>
      </c>
      <c r="BR293" s="2" t="e">
        <f ca="1">_xll.BDH($C$278,"ACCOUNTS_PAYABLE_SEQ_GROWTH","FY 2017","FY 2017","Currency=INR","Period=FY","BEST_FPERIOD_OVERRIDE=FY","FILING_STATUS=OR","EQY_CONSOLIDATED=Y","Sort=A","Dates=H","DateFormat=P","Fill=—","Direction=H","UseDPDF=Y")</f>
        <v>#NAME?</v>
      </c>
      <c r="BS293" s="2" t="e">
        <f ca="1">_xll.BDH($C$278,"ST_DEBT_SEQUENTIAL_GROWTH","FY 2017","FY 2017","Currency=INR","Period=FY","BEST_FPERIOD_OVERRIDE=FY","FILING_STATUS=OR","EQY_CONSOLIDATED=Y","Sort=A","Dates=H","DateFormat=P","Fill=—","Direction=H","UseDPDF=Y")</f>
        <v>#NAME?</v>
      </c>
      <c r="BT293" s="2" t="e">
        <f ca="1">_xll.BDH($C$278,"TOTAL_DEBT_SEQUENTIAL_GROWTH","FY 2017","FY 2017","Currency=INR","Period=FY","BEST_FPERIOD_OVERRIDE=FY","FILING_STATUS=OR","EQY_CONSOLIDATED=Y","Sort=A","Dates=H","DateFormat=P","Fill=—","Direction=H","UseDPDF=Y")</f>
        <v>#NAME?</v>
      </c>
      <c r="BU293" s="2" t="e">
        <f ca="1">_xll.BDH($C$278,"TOTAL_EQUITY_SEQUENTIAL_GROWTH","FY 2017","FY 2017","Currency=INR","Period=FY","BEST_FPERIOD_OVERRIDE=FY","FILING_STATUS=OR","EQY_CONSOLIDATED=Y","Sort=A","Dates=H","DateFormat=P","Fill=—","Direction=H","UseDPDF=Y")</f>
        <v>#NAME?</v>
      </c>
      <c r="BV293" s="2" t="e">
        <f ca="1">_xll.BDH($C$278,"TOTAL_CAPITAL_SEQUENTIAL_GROWTH","FY 2017","FY 2017","Currency=INR","Period=FY","BEST_FPERIOD_OVERRIDE=FY","FILING_STATUS=OR","EQY_CONSOLIDATED=Y","Sort=A","Dates=H","DateFormat=P","Fill=—","Direction=H","UseDPDF=Y")</f>
        <v>#NAME?</v>
      </c>
      <c r="BW293" s="2" t="e">
        <f ca="1">_xll.BDH($C$278,"BPS_SEQUENTIAL_GROWTH","FY 2017","FY 2017","Currency=INR","Period=FY","BEST_FPERIOD_OVERRIDE=FY","FILING_STATUS=OR","EQY_CONSOLIDATED=Y","Sort=A","Dates=H","DateFormat=P","Fill=—","Direction=H","UseDPDF=Y")</f>
        <v>#NAME?</v>
      </c>
      <c r="BX293" s="2" t="e">
        <f ca="1">_xll.BDH($C$278,"CFO_SEQUENTIAL_GROWTH","FY 2017","FY 2017","Currency=INR","Period=FY","BEST_FPERIOD_OVERRIDE=FY","FILING_STATUS=OR","EQY_CONSOLIDATED=Y","Sort=A","Dates=H","DateFormat=P","Fill=—","Direction=H","UseDPDF=Y")</f>
        <v>#NAME?</v>
      </c>
      <c r="BY293" s="3" t="e">
        <f ca="1">_xll.BDH($C$278,"SHORT_AND_LONG_TERM_DEBT","FY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293" s="3" t="e">
        <f ca="1">_xll.BDH($C$278,"BS_ST_BORROW","FY 2017","FY 2017","Currency=INR","Period=FY","BEST_FPERIOD_OVERRIDE=FY","FILING_STATUS=OR","EQY_CONSOLIDATED=Y","SCALING_FORMAT=MLN","Sort=A","Dates=H","DateFormat=P","Fill=—","Direction=H","UseDPDF=Y")</f>
        <v>#NAME?</v>
      </c>
      <c r="CA293" s="3" t="e">
        <f ca="1">_xll.BDH($C$278,"BS_LT_BORROW","FY 2017","FY 2017","Currency=INR","Period=FY","BEST_FPERIOD_OVERRIDE=FY","FILING_STATUS=OR","EQY_CONSOLIDATED=Y","SCALING_FORMAT=MLN","Sort=A","Dates=H","DateFormat=P","Fill=—","Direction=H","UseDPDF=Y")</f>
        <v>#NAME?</v>
      </c>
      <c r="CB293" s="2" t="e">
        <f ca="1">_xll.BDH($C$278,"TOT_DEBT_TO_EBITDA","FY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293" s="2" t="e">
        <f ca="1">_xll.BDH($C$278,"NET_DEBT_TO_EBITDA","FY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293" s="2" t="e">
        <f ca="1">_xll.BDH($C$278,"TOTAL_DEBT_TO_EBIT","FY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293" s="2" t="e">
        <f ca="1">_xll.BDH($C$278,"NET_DEBT_TO_EBIT","FY 2017","FY 2017","Currency=INR","Period=FY","BEST_FPERIOD_OVERRIDE=FY","FILING_STATUS=OR","EQY_CONSOLIDATED=Y","FA_ADJUSTED=GAAP","Sort=A","Dates=H","DateFormat=P","Fill=—","Direction=H","UseDPDF=Y")</f>
        <v>#NAME?</v>
      </c>
      <c r="CF293" s="2" t="e">
        <f ca="1">_xll.BDH($C$278,"EBITDA_TO_INTEREST_EXPN","FY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293" s="2" t="e">
        <f ca="1">_xll.BDH($C$278,"COM_EQY_TO_TOT_ASSET","FY 2017","FY 2017","Currency=INR","Period=FY","BEST_FPERIOD_OVERRIDE=FY","FILING_STATUS=OR","EQY_CONSOLIDATED=Y","Sort=A","Dates=H","DateFormat=P","Fill=—","Direction=H","UseDPDF=Y")</f>
        <v>#NAME?</v>
      </c>
      <c r="CH293" s="2" t="e">
        <f ca="1">_xll.BDH($C$278,"LT_DEBT_TO_TOT_EQY","FY 2017","FY 2017","Currency=INR","Period=FY","BEST_FPERIOD_OVERRIDE=FY","FILING_STATUS=OR","EQY_CONSOLIDATED=Y","Sort=A","Dates=H","DateFormat=P","Fill=—","Direction=H","UseDPDF=Y")</f>
        <v>#NAME?</v>
      </c>
      <c r="CI293" s="2" t="e">
        <f ca="1">_xll.BDH($C$278,"LT_DEBT_TO_TOT_CAP","FY 2017","FY 2017","Currency=INR","Period=FY","BEST_FPERIOD_OVERRIDE=FY","FILING_STATUS=OR","EQY_CONSOLIDATED=Y","Sort=A","Dates=H","DateFormat=P","Fill=—","Direction=H","UseDPDF=Y")</f>
        <v>#NAME?</v>
      </c>
      <c r="CJ293" s="2" t="e">
        <f ca="1">_xll.BDH($C$278,"LT_DEBT_TO_TOT_ASSET","FY 2017","FY 2017","Currency=INR","Period=FY","BEST_FPERIOD_OVERRIDE=FY","FILING_STATUS=OR","EQY_CONSOLIDATED=Y","Sort=A","Dates=H","DateFormat=P","Fill=—","Direction=H","UseDPDF=Y")</f>
        <v>#NAME?</v>
      </c>
      <c r="CK293" s="2" t="e">
        <f ca="1">_xll.BDH($C$278,"TOT_DEBT_TO_TOT_EQY","FY 2017","FY 2017","Currency=INR","Period=FY","BEST_FPERIOD_OVERRIDE=FY","FILING_STATUS=OR","EQY_CONSOLIDATED=Y","Sort=A","Dates=H","DateFormat=P","Fill=—","Direction=H","UseDPDF=Y")</f>
        <v>#NAME?</v>
      </c>
      <c r="CL293" s="2" t="e">
        <f ca="1">_xll.BDH($C$278,"TOT_DEBT_TO_TOT_CAP","FY 2017","FY 2017","Currency=INR","Period=FY","BEST_FPERIOD_OVERRIDE=FY","FILING_STATUS=OR","EQY_CONSOLIDATED=Y","Sort=A","Dates=H","DateFormat=P","Fill=—","Direction=H","UseDPDF=Y")</f>
        <v>#NAME?</v>
      </c>
      <c r="CM293" s="2" t="e">
        <f ca="1">_xll.BDH($C$278,"TOT_DEBT_TO_TOT_ASSET","FY 2017","FY 2017","Currency=INR","Period=FY","BEST_FPERIOD_OVERRIDE=FY","FILING_STATUS=OR","EQY_CONSOLIDATED=Y","Sort=A","Dates=H","DateFormat=P","Fill=—","Direction=H","UseDPDF=Y")</f>
        <v>#NAME?</v>
      </c>
      <c r="CN293" s="2" t="e">
        <f ca="1">_xll.BDH($C$278,"NET_DEBT_TO_SHRHLDR_EQTY","FY 2017","FY 2017","Currency=INR","Period=FY","BEST_FPERIOD_OVERRIDE=FY","FILING_STATUS=OR","EQY_CONSOLIDATED=Y","Sort=A","Dates=H","DateFormat=P","Fill=—","Direction=H","UseDPDF=Y")</f>
        <v>#NAME?</v>
      </c>
      <c r="CO293" s="2" t="e">
        <f ca="1">_xll.BDH($C$278,"NET_DEBT_%_CAPITAL","FY 2017","FY 2017","Currency=INR","Period=FY","BEST_FPERIOD_OVERRIDE=FY","FILING_STATUS=OR","EQY_CONSOLIDATED=Y","Sort=A","Dates=H","DateFormat=P","Fill=—","Direction=H","UseDPDF=Y")</f>
        <v>#NAME?</v>
      </c>
      <c r="CP293" s="3" t="e">
        <f ca="1">_xll.BDH($C$278,"EBITDA","FY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293" s="3" t="e">
        <f ca="1">_xll.BDH($C$278,"EBITDA_AFTER_CAPEX","FY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293" s="3" t="e">
        <f ca="1">_xll.BDH($C$278,"IS_OPER_INC","FY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293" s="2" t="e">
        <f ca="1">_xll.BDH($C$278,"CASH_RATIO","FY 2017","FY 2017","Currency=INR","Period=FY","BEST_FPERIOD_OVERRIDE=FY","FILING_STATUS=OR","EQY_CONSOLIDATED=Y","Sort=A","Dates=H","DateFormat=P","Fill=—","Direction=H","UseDPDF=Y")</f>
        <v>#NAME?</v>
      </c>
      <c r="CT293" s="2" t="e">
        <f ca="1">_xll.BDH($C$278,"CUR_RATIO","FY 2017","FY 2017","Currency=INR","Period=FY","BEST_FPERIOD_OVERRIDE=FY","FILING_STATUS=OR","EQY_CONSOLIDATED=Y","Sort=A","Dates=H","DateFormat=P","Fill=—","Direction=H","UseDPDF=Y")</f>
        <v>#NAME?</v>
      </c>
      <c r="CU293" s="2" t="e">
        <f ca="1">_xll.BDH($C$278,"QUICK_RATIO","FY 2017","FY 2017","Currency=INR","Period=FY","BEST_FPERIOD_OVERRIDE=FY","FILING_STATUS=OR","EQY_CONSOLIDATED=Y","Sort=A","Dates=H","DateFormat=P","Fill=—","Direction=H","UseDPDF=Y")</f>
        <v>#NAME?</v>
      </c>
      <c r="CV293" s="2" t="e">
        <f ca="1">_xll.BDH($C$278,"ALTMAN_Z_SCORE","FY 2017","FY 2017","Currency=INR","Period=FY","BEST_FPERIOD_OVERRIDE=FY","FILING_STATUS=OR","EQY_CONSOLIDATED=Y","Sort=A","Dates=H","DateFormat=P","Fill=—","Direction=H","UseDPDF=Y")</f>
        <v>#NAME?</v>
      </c>
      <c r="CW293" s="4" t="e">
        <f ca="1">_xll.BDH($C$278,"ACCT_RCV_TURN","FY 2017","FY 2017","Currency=INR","Period=FY","BEST_FPERIOD_OVERRIDE=FY","FILING_STATUS=OR","EQY_CONSOLIDATED=Y","FA_ADJUSTED=GAAP","Sort=A","Dates=H","DateFormat=P","Fill=—","Direction=H","UseDPDF=Y")</f>
        <v>#NAME?</v>
      </c>
      <c r="CX293" s="2" t="e">
        <f ca="1">_xll.BDH($C$278,"ACCT_RCV_DAYS","FY 2017","FY 2017","Currency=INR","Period=FY","BEST_FPERIOD_OVERRIDE=FY","FILING_STATUS=OR","EQY_CONSOLIDATED=Y","FA_ADJUSTED=GAAP","Sort=A","Dates=H","DateFormat=P","Fill=—","Direction=H","UseDPDF=Y")</f>
        <v>#NAME?</v>
      </c>
      <c r="CY293" s="4" t="e">
        <f ca="1">_xll.BDH($C$278,"INVENT_TURN","FY 2017","FY 2017","Currency=INR","Period=FY","BEST_FPERIOD_OVERRIDE=FY","FILING_STATUS=OR","EQY_CONSOLIDATED=Y","FA_ADJUSTED=GAAP","Sort=A","Dates=H","DateFormat=P","Fill=—","Direction=H","UseDPDF=Y")</f>
        <v>#NAME?</v>
      </c>
      <c r="CZ293" s="2" t="e">
        <f ca="1">_xll.BDH($C$278,"INVENT_DAYS","FY 2017","FY 2017","Currency=INR","Period=FY","BEST_FPERIOD_OVERRIDE=FY","FILING_STATUS=OR","EQY_CONSOLIDATED=Y","FA_ADJUSTED=GAAP","Sort=A","Dates=H","DateFormat=P","Fill=—","Direction=H","UseDPDF=Y")</f>
        <v>#NAME?</v>
      </c>
      <c r="DA293" s="4" t="e">
        <f ca="1">_xll.BDH($C$278,"ACCOUNTS_PAYABLE_TURNOVER","FY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293" s="2" t="e">
        <f ca="1">_xll.BDH($C$278,"ACCOUNTS_PAYABLE_TURNOVER_DAYS","FY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293" s="4" t="e">
        <f ca="1">_xll.BDH($C$278,"CASH_CONVERSION_CYCLE","FY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293" s="4" t="e">
        <f ca="1">_xll.BDH($C$278,"INV_TO_CASH_DAYS","FY 2017","FY 2017","Currency=INR","Period=FY","BEST_FPERIOD_OVERRIDE=FY","FILING_STATUS=OR","EQY_CONSOLIDATED=Y","FA_ADJUSTED=GAAP","Sort=A","Dates=H","DateFormat=P","Fill=—","Direction=H","UseDPDF=Y")</f>
        <v>#NAME?</v>
      </c>
      <c r="DE293" s="5" t="e">
        <f ca="1">_xll.BDH($C$278,"BS_INVENTORIES","FY 2017","FY 2017","Currency=INR","Period=FY","BEST_FPERIOD_OVERRIDE=FY","FILING_STATUS=OR","EQY_CONSOLIDATED=Y","SCALING_FORMAT=MLN","Sort=A","Dates=H","DateFormat=P","Fill=—","Direction=H","UseDPDF=Y")</f>
        <v>#NAME?</v>
      </c>
      <c r="DF293" s="3" t="e">
        <f ca="1">_xll.BDH($C$278,"INVTRY_RAW_MATERIALS","FY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293" s="3" t="e">
        <f ca="1">_xll.BDH($C$278,"INVTRY_IN_PROGRESS","FY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293" s="3" t="e">
        <f ca="1">_xll.BDH($C$278,"INVTRY_FINISHED_GOODS","FY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293" s="3" t="e">
        <f ca="1">_xll.BDH($C$278,"BS_OTHER_INV","FY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294" spans="1:113" x14ac:dyDescent="0.3">
      <c r="A294" s="6"/>
      <c r="B294" s="6"/>
      <c r="C294" s="6"/>
      <c r="D294" s="6"/>
      <c r="E294" t="s">
        <v>78</v>
      </c>
      <c r="F294" t="e">
        <f ca="1">_xll.BDH($C$278,"RETURN_COM_EQY","FQ1 2017","FQ1 2017","Currency=INR","Period=FQ","BEST_FPERIOD_OVERRIDE=FQ","FILING_STATUS=OR","EQY_CONSOLIDATED=Y","FA_ADJUSTED=GAAP","Sort=A","Dates=H","DateFormat=P","Fill=—","Direction=H","UseDPDF=Y")</f>
        <v>#NAME?</v>
      </c>
      <c r="G294" t="e">
        <f ca="1">_xll.BDH($C$278,"RETURN_ON_ASSET","FQ1 2017","FQ1 2017","Currency=INR","Period=FQ","BEST_FPERIOD_OVERRIDE=FQ","FILING_STATUS=OR","EQY_CONSOLIDATED=Y","FA_ADJUSTED=GAAP","Sort=A","Dates=H","DateFormat=P","Fill=—","Direction=H","UseDPDF=Y")</f>
        <v>#NAME?</v>
      </c>
      <c r="H294" t="e">
        <f ca="1">_xll.BDH($C$278,"RETURN_ON_CAP","FQ1 2017","FQ1 2017","Currency=INR","Period=FQ","BEST_FPERIOD_OVERRIDE=FQ","FILING_STATUS=OR","EQY_CONSOLIDATED=Y","FA_ADJUSTED=GAAP","Sort=A","Dates=H","DateFormat=P","Fill=—","Direction=H","UseDPDF=Y")</f>
        <v>#NAME?</v>
      </c>
      <c r="I294" t="e">
        <f ca="1">_xll.BDH($C$278,"RETURN_ON_INV_CAPITAL","FQ1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294" t="e">
        <f ca="1">_xll.BDH($C$278,"EBITDA_TO_REVENUE","FQ1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294" t="e">
        <f ca="1">_xll.BDH($C$278,"OPER_MARGIN","FQ1 2017","FQ1 2017","Currency=INR","Period=FQ","BEST_FPERIOD_OVERRIDE=FQ","FILING_STATUS=OR","EQY_CONSOLIDATED=Y","FA_ADJUSTED=GAAP","Sort=A","Dates=H","DateFormat=P","Fill=—","Direction=H","UseDPDF=Y")</f>
        <v>#NAME?</v>
      </c>
      <c r="L294" t="e">
        <f ca="1">_xll.BDH($C$278,"INCREMENTAL_OPERATING_MARGIN","FQ1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294" t="e">
        <f ca="1">_xll.BDH($C$278,"PRETAX_INC_TO_NET_SALES","FQ1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294" t="e">
        <f ca="1">_xll.BDH($C$278,"INC_BEF_XO_ITEMS_TO_NET_SALES","FQ1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294" t="e">
        <f ca="1">_xll.BDH($C$278,"PROF_MARGIN","FQ1 2017","FQ1 2017","Currency=INR","Period=FQ","BEST_FPERIOD_OVERRIDE=FQ","FILING_STATUS=OR","EQY_CONSOLIDATED=Y","FA_ADJUSTED=GAAP","Sort=A","Dates=H","DateFormat=P","Fill=—","Direction=H","UseDPDF=Y")</f>
        <v>#NAME?</v>
      </c>
      <c r="P294" t="e">
        <f ca="1">_xll.BDH($C$278,"NET_INCOME_TO_COMMON_MARGIN","FQ1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294" t="e">
        <f ca="1">_xll.BDH($C$278,"EFF_TAX_RATE","FQ1 2017","FQ1 2017","Currency=INR","Period=FQ","BEST_FPERIOD_OVERRIDE=FQ","FILING_STATUS=OR","EQY_CONSOLIDATED=Y","FA_ADJUSTED=GAAP","Sort=A","Dates=H","DateFormat=P","Fill=—","Direction=H","UseDPDF=Y")</f>
        <v>#NAME?</v>
      </c>
      <c r="R294" t="e">
        <f ca="1">_xll.BDH($C$278,"DVD_PAYOUT_RATIO","FQ1 2017","FQ1 2017","Currency=INR","Period=FQ","BEST_FPERIOD_OVERRIDE=FQ","FILING_STATUS=OR","EQY_CONSOLIDATED=Y","FA_ADJUSTED=GAAP","Sort=A","Dates=H","DateFormat=P","Fill=—","Direction=H","UseDPDF=Y")</f>
        <v>#NAME?</v>
      </c>
      <c r="S294" t="e">
        <f ca="1">_xll.BDH($C$278,"SUSTAIN_GROWTH_RT","FQ1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294" s="2" t="e">
        <f ca="1">_xll.BDH($C$278,"SALES_GROWTH","FQ1 2017","FQ1 2017","Currency=INR","Period=FQ","BEST_FPERIOD_OVERRIDE=FQ","FILING_STATUS=OR","EQY_CONSOLIDATED=Y","FA_ADJUSTED=GAAP","Sort=A","Dates=H","DateFormat=P","Fill=—","Direction=H","UseDPDF=Y")</f>
        <v>#NAME?</v>
      </c>
      <c r="U294" s="2" t="e">
        <f ca="1">_xll.BDH($C$278,"EBITDA_GROWTH","FQ1 2017","FQ1 2017","Currency=INR","Period=FQ","BEST_FPERIOD_OVERRIDE=FQ","FILING_STATUS=OR","EQY_CONSOLIDATED=Y","FA_ADJUSTED=GAAP","Sort=A","Dates=H","DateFormat=P","Fill=—","Direction=H","UseDPDF=Y")</f>
        <v>#NAME?</v>
      </c>
      <c r="V294" s="2" t="e">
        <f ca="1">_xll.BDH($C$278,"OPER_INC_GROWTH","FQ1 2017","FQ1 2017","Currency=INR","Period=FQ","BEST_FPERIOD_OVERRIDE=FQ","FILING_STATUS=OR","EQY_CONSOLIDATED=Y","FA_ADJUSTED=GAAP","Sort=A","Dates=H","DateFormat=P","Fill=—","Direction=H","UseDPDF=Y")</f>
        <v>#NAME?</v>
      </c>
      <c r="W294" s="2" t="e">
        <f ca="1">_xll.BDH($C$278,"EARN_FOR_COM_GROWTH","FQ1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294" s="2" t="e">
        <f ca="1">_xll.BDH($C$278,"DILUTED_EPS_AFT_XO_ITEMS_GROWTH","FQ1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294" s="2" t="e">
        <f ca="1">_xll.BDH($C$278,"DIVIDEND_PER_SHARE_1_YEAR_GROWTH","FQ1 2017","FQ1 2017","Currency=INR","Period=FQ","BEST_FPERIOD_OVERRIDE=FQ","FILING_STATUS=OR","EQY_CONSOLIDATED=Y","Sort=A","Dates=H","DateFormat=P","Fill=—","Direction=H","UseDPDF=Y")</f>
        <v>#NAME?</v>
      </c>
      <c r="Z294" s="2" t="e">
        <f ca="1">_xll.BDH($C$278,"ACCOUNTS_RECEIVABLE_GROWTH","FQ1 2017","FQ1 2017","Currency=INR","Period=FQ","BEST_FPERIOD_OVERRIDE=FQ","FILING_STATUS=OR","EQY_CONSOLIDATED=Y","Sort=A","Dates=H","DateFormat=P","Fill=—","Direction=H","UseDPDF=Y")</f>
        <v>#NAME?</v>
      </c>
      <c r="AA294" s="2" t="e">
        <f ca="1">_xll.BDH($C$278,"INVENTORY_GROWTH","FQ1 2017","FQ1 2017","Currency=INR","Period=FQ","BEST_FPERIOD_OVERRIDE=FQ","FILING_STATUS=OR","EQY_CONSOLIDATED=Y","Sort=A","Dates=H","DateFormat=P","Fill=—","Direction=H","UseDPDF=Y")</f>
        <v>#NAME?</v>
      </c>
      <c r="AB294" s="2" t="e">
        <f ca="1">_xll.BDH($C$278,"NET_FIXED_ASSETS_1_YEAR_GROWTH","FQ1 2017","FQ1 2017","Currency=INR","Period=FQ","BEST_FPERIOD_OVERRIDE=FQ","FILING_STATUS=OR","EQY_CONSOLIDATED=Y","Sort=A","Dates=H","DateFormat=P","Fill=—","Direction=H","UseDPDF=Y")</f>
        <v>#NAME?</v>
      </c>
      <c r="AC294" s="2" t="e">
        <f ca="1">_xll.BDH($C$278,"ASSET_GROWTH","FQ1 2017","FQ1 2017","Currency=INR","Period=FQ","BEST_FPERIOD_OVERRIDE=FQ","FILING_STATUS=OR","EQY_CONSOLIDATED=Y","Sort=A","Dates=H","DateFormat=P","Fill=—","Direction=H","UseDPDF=Y")</f>
        <v>#NAME?</v>
      </c>
      <c r="AD294" s="2" t="e">
        <f ca="1">_xll.BDH($C$278,"MODIFIED_WORK_CAP_GROWTH","FQ1 2017","FQ1 2017","Currency=INR","Period=FQ","BEST_FPERIOD_OVERRIDE=FQ","FILING_STATUS=OR","EQY_CONSOLIDATED=Y","Sort=A","Dates=H","DateFormat=P","Fill=—","Direction=H","UseDPDF=Y")</f>
        <v>#NAME?</v>
      </c>
      <c r="AE294" s="2" t="e">
        <f ca="1">_xll.BDH($C$278,"WORK_CAP_GROWTH","FQ1 2017","FQ1 2017","Currency=INR","Period=FQ","BEST_FPERIOD_OVERRIDE=FQ","FILING_STATUS=OR","EQY_CONSOLIDATED=Y","Sort=A","Dates=H","DateFormat=P","Fill=—","Direction=H","UseDPDF=Y")</f>
        <v>#NAME?</v>
      </c>
      <c r="AF294" s="2" t="e">
        <f ca="1">_xll.BDH($C$278,"ACCOUNTS_PAYABLE_GROWTH_1YR","FQ1 2017","FQ1 2017","Currency=INR","Period=FQ","BEST_FPERIOD_OVERRIDE=FQ","FILING_STATUS=OR","EQY_CONSOLIDATED=Y","Sort=A","Dates=H","DateFormat=P","Fill=—","Direction=H","UseDPDF=Y")</f>
        <v>#NAME?</v>
      </c>
      <c r="AG294" s="2" t="e">
        <f ca="1">_xll.BDH($C$278,"SHORT_TERM_DEBT_1_YEAR_GROWTH","FQ1 2017","FQ1 2017","Currency=INR","Period=FQ","BEST_FPERIOD_OVERRIDE=FQ","FILING_STATUS=OR","EQY_CONSOLIDATED=Y","Sort=A","Dates=H","DateFormat=P","Fill=—","Direction=H","UseDPDF=Y")</f>
        <v>#NAME?</v>
      </c>
      <c r="AH294" s="2" t="e">
        <f ca="1">_xll.BDH($C$278,"TOTAL_DEBT_1_YEAR_GROWTH","FQ1 2017","FQ1 2017","Currency=INR","Period=FQ","BEST_FPERIOD_OVERRIDE=FQ","FILING_STATUS=OR","EQY_CONSOLIDATED=Y","Sort=A","Dates=H","DateFormat=P","Fill=—","Direction=H","UseDPDF=Y")</f>
        <v>#NAME?</v>
      </c>
      <c r="AI294" s="2" t="e">
        <f ca="1">_xll.BDH($C$278,"TOTAL_EQUITY_1_YEAR_GROWTH","FQ1 2017","FQ1 2017","Currency=INR","Period=FQ","BEST_FPERIOD_OVERRIDE=FQ","FILING_STATUS=OR","EQY_CONSOLIDATED=Y","Sort=A","Dates=H","DateFormat=P","Fill=—","Direction=H","UseDPDF=Y")</f>
        <v>#NAME?</v>
      </c>
      <c r="AJ294" s="2" t="e">
        <f ca="1">_xll.BDH($C$278,"GROWTH_IN_CAP","FQ1 2017","FQ1 2017","Currency=INR","Period=FQ","BEST_FPERIOD_OVERRIDE=FQ","FILING_STATUS=OR","EQY_CONSOLIDATED=Y","Sort=A","Dates=H","DateFormat=P","Fill=—","Direction=H","UseDPDF=Y")</f>
        <v>#NAME?</v>
      </c>
      <c r="AK294" s="2" t="e">
        <f ca="1">_xll.BDH($C$278,"BVPS_GROWTH","FQ1 2017","FQ1 2017","Currency=INR","Period=FQ","BEST_FPERIOD_OVERRIDE=FQ","FILING_STATUS=OR","EQY_CONSOLIDATED=Y","Sort=A","Dates=H","DateFormat=P","Fill=—","Direction=H","UseDPDF=Y")</f>
        <v>#NAME?</v>
      </c>
      <c r="AL294" s="2" t="e">
        <f ca="1">_xll.BDH($C$278,"CASH_FLOW_GROWTH","FQ1 2017","FQ1 2017","Currency=INR","Period=FQ","BEST_FPERIOD_OVERRIDE=FQ","FILING_STATUS=OR","EQY_CONSOLIDATED=Y","Sort=A","Dates=H","DateFormat=P","Fill=—","Direction=H","UseDPDF=Y")</f>
        <v>#NAME?</v>
      </c>
      <c r="AM294" s="2" t="e">
        <f ca="1">_xll.BDH($C$278,"GEO_GROW_NET_SALES","FQ1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294" s="2" t="e">
        <f ca="1">_xll.BDH($C$278,"GEO_GROW_EBITDA","FQ1 2017","FQ1 2017","Currency=INR","Period=FQ","BEST_FPERIOD_OVERRIDE=FQ","FILING_STATUS=OR","EQY_CONSOLIDATED=Y","FA_ADJUSTED=GAAP","Sort=A","Dates=H","DateFormat=P","Fill=—","Direction=H","UseDPDF=Y")</f>
        <v>#NAME?</v>
      </c>
      <c r="AO294" s="2" t="e">
        <f ca="1">_xll.BDH($C$278,"GEO_GROW_OPER_INC","FQ1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294" s="2" t="e">
        <f ca="1">_xll.BDH($C$278,"NET_INCOME_TO_COMMON_5_YR_GROWTH","FQ1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294" s="2" t="e">
        <f ca="1">_xll.BDH($C$278,"5Y_GEO_GROWTH_DILUTED_EPS","FQ1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294" s="2" t="e">
        <f ca="1">_xll.BDH($C$278,"GEO_GROW_DVD_PER_SH","FQ1 2017","FQ1 2017","Currency=INR","Period=FQ","BEST_FPERIOD_OVERRIDE=FQ","FILING_STATUS=OR","EQY_CONSOLIDATED=Y","Sort=A","Dates=H","DateFormat=P","Fill=—","Direction=H","UseDPDF=Y")</f>
        <v>#NAME?</v>
      </c>
      <c r="AS294" s="2" t="e">
        <f ca="1">_xll.BDH($C$278,"ACCOUNTS_RECEIVABLE_5_YR_GROWTH","FQ1 2017","FQ1 2017","Currency=INR","Period=FQ","BEST_FPERIOD_OVERRIDE=FQ","FILING_STATUS=OR","EQY_CONSOLIDATED=Y","Sort=A","Dates=H","DateFormat=P","Fill=—","Direction=H","UseDPDF=Y")</f>
        <v>#NAME?</v>
      </c>
      <c r="AT294" s="2" t="e">
        <f ca="1">_xll.BDH($C$278,"INVENTORY_5_YEAR_GROWTH","FQ1 2017","FQ1 2017","Currency=INR","Period=FQ","BEST_FPERIOD_OVERRIDE=FQ","FILING_STATUS=OR","EQY_CONSOLIDATED=Y","Sort=A","Dates=H","DateFormat=P","Fill=—","Direction=H","UseDPDF=Y")</f>
        <v>#NAME?</v>
      </c>
      <c r="AU294" s="2" t="e">
        <f ca="1">_xll.BDH($C$278,"NET_FIXED_ASSETS_5_YEAR_GROWTH","FQ1 2017","FQ1 2017","Currency=INR","Period=FQ","BEST_FPERIOD_OVERRIDE=FQ","FILING_STATUS=OR","EQY_CONSOLIDATED=Y","Sort=A","Dates=H","DateFormat=P","Fill=—","Direction=H","UseDPDF=Y")</f>
        <v>#NAME?</v>
      </c>
      <c r="AV294" s="2" t="e">
        <f ca="1">_xll.BDH($C$278,"GEO_GROW_TOT_ASSET","FQ1 2017","FQ1 2017","Currency=INR","Period=FQ","BEST_FPERIOD_OVERRIDE=FQ","FILING_STATUS=OR","EQY_CONSOLIDATED=Y","Sort=A","Dates=H","DateFormat=P","Fill=—","Direction=H","UseDPDF=Y")</f>
        <v>#NAME?</v>
      </c>
      <c r="AW294" s="2" t="e">
        <f ca="1">_xll.BDH($C$278,"MODIFIED_WORKING_CPTL_5YR_GRWTH","FQ1 2017","FQ1 2017","Currency=INR","Period=FQ","BEST_FPERIOD_OVERRIDE=FQ","FILING_STATUS=OR","EQY_CONSOLIDATED=Y","Sort=A","Dates=H","DateFormat=P","Fill=—","Direction=H","UseDPDF=Y")</f>
        <v>#NAME?</v>
      </c>
      <c r="AX294" s="2" t="e">
        <f ca="1">_xll.BDH($C$278,"WORKING_CAPITAL_5_YEAR_GROWTH","FQ1 2017","FQ1 2017","Currency=INR","Period=FQ","BEST_FPERIOD_OVERRIDE=FQ","FILING_STATUS=OR","EQY_CONSOLIDATED=Y","Sort=A","Dates=H","DateFormat=P","Fill=—","Direction=H","UseDPDF=Y")</f>
        <v>#NAME?</v>
      </c>
      <c r="AY294" s="2" t="e">
        <f ca="1">_xll.BDH($C$278,"ACCOUNTS_PAYABLE_5_YEAR_GROWTH","FQ1 2017","FQ1 2017","Currency=INR","Period=FQ","BEST_FPERIOD_OVERRIDE=FQ","FILING_STATUS=OR","EQY_CONSOLIDATED=Y","Sort=A","Dates=H","DateFormat=P","Fill=—","Direction=H","UseDPDF=Y")</f>
        <v>#NAME?</v>
      </c>
      <c r="AZ294" s="2" t="e">
        <f ca="1">_xll.BDH($C$278,"SHORT_TERM_DEBT_5_YEAR_GROWTH","FQ1 2017","FQ1 2017","Currency=INR","Period=FQ","BEST_FPERIOD_OVERRIDE=FQ","FILING_STATUS=OR","EQY_CONSOLIDATED=Y","Sort=A","Dates=H","DateFormat=P","Fill=—","Direction=H","UseDPDF=Y")</f>
        <v>#NAME?</v>
      </c>
      <c r="BA294" s="2" t="e">
        <f ca="1">_xll.BDH($C$278,"TOTAL_DEBT_5_YEAR_GROWTH","FQ1 2017","FQ1 2017","Currency=INR","Period=FQ","BEST_FPERIOD_OVERRIDE=FQ","FILING_STATUS=OR","EQY_CONSOLIDATED=Y","Sort=A","Dates=H","DateFormat=P","Fill=—","Direction=H","UseDPDF=Y")</f>
        <v>#NAME?</v>
      </c>
      <c r="BB294" s="2" t="e">
        <f ca="1">_xll.BDH($C$278,"GEO_GROW_TOT_SHRHLDR_EQY","FQ1 2017","FQ1 2017","Currency=INR","Period=FQ","BEST_FPERIOD_OVERRIDE=FQ","FILING_STATUS=OR","EQY_CONSOLIDATED=Y","Sort=A","Dates=H","DateFormat=P","Fill=—","Direction=H","UseDPDF=Y")</f>
        <v>#NAME?</v>
      </c>
      <c r="BC294" s="2" t="e">
        <f ca="1">_xll.BDH($C$278,"TOTAL_CAPITAL_5_YEAR_GROWTH","FQ1 2017","FQ1 2017","Currency=INR","Period=FQ","BEST_FPERIOD_OVERRIDE=FQ","FILING_STATUS=OR","EQY_CONSOLIDATED=Y","Sort=A","Dates=H","DateFormat=P","Fill=—","Direction=H","UseDPDF=Y")</f>
        <v>#NAME?</v>
      </c>
      <c r="BD294" s="2" t="e">
        <f ca="1">_xll.BDH($C$278,"GEO_GROW_BOOK_VAL","FQ1 2017","FQ1 2017","Currency=INR","Period=FQ","BEST_FPERIOD_OVERRIDE=FQ","FILING_STATUS=OR","EQY_CONSOLIDATED=Y","Sort=A","Dates=H","DateFormat=P","Fill=—","Direction=H","UseDPDF=Y")</f>
        <v>#NAME?</v>
      </c>
      <c r="BE294" s="2" t="e">
        <f ca="1">_xll.BDH($C$278,"GEO_GROW_CASH_OPER_ACT","FQ1 2017","FQ1 2017","Currency=INR","Period=FQ","BEST_FPERIOD_OVERRIDE=FQ","FILING_STATUS=OR","EQY_CONSOLIDATED=Y","Sort=A","Dates=H","DateFormat=P","Fill=—","Direction=H","UseDPDF=Y")</f>
        <v>#NAME?</v>
      </c>
      <c r="BF294" s="2" t="e">
        <f ca="1">_xll.BDH($C$278,"REVENUE_SEQUENTIAL_GROWTH","FQ1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294" s="2" t="e">
        <f ca="1">_xll.BDH($C$278,"EBITDA_SEQUENTIAL_GROWTH","FQ1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294" s="2" t="e">
        <f ca="1">_xll.BDH($C$278,"OPERATING_INCOME_SEQ_GROWTH","FQ1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294" s="2" t="e">
        <f ca="1">_xll.BDH($C$278,"NET_INCOME_TO_COMMON_SEQ_GROWTH","FQ1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294" s="2" t="e">
        <f ca="1">_xll.BDH($C$278,"EPS_DILUTED_SEQUENTIAL_GROWTH","FQ1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294" s="2" t="e">
        <f ca="1">_xll.BDH($C$278,"DPS_SEQUENTIAL_GROWTH","FQ1 2017","FQ1 2017","Currency=INR","Period=FQ","BEST_FPERIOD_OVERRIDE=FQ","FILING_STATUS=OR","EQY_CONSOLIDATED=Y","Sort=A","Dates=H","DateFormat=P","Fill=—","Direction=H","UseDPDF=Y")</f>
        <v>#NAME?</v>
      </c>
      <c r="BL294" s="2" t="e">
        <f ca="1">_xll.BDH($C$278,"ACCOUNTS_RECEIVABLE_SEQ_GROWTH","FQ1 2017","FQ1 2017","Currency=INR","Period=FQ","BEST_FPERIOD_OVERRIDE=FQ","FILING_STATUS=OR","EQY_CONSOLIDATED=Y","Sort=A","Dates=H","DateFormat=P","Fill=—","Direction=H","UseDPDF=Y")</f>
        <v>#NAME?</v>
      </c>
      <c r="BM294" s="2" t="e">
        <f ca="1">_xll.BDH($C$278,"INVENTORY_SEQUENTIAL_GROWTH","FQ1 2017","FQ1 2017","Currency=INR","Period=FQ","BEST_FPERIOD_OVERRIDE=FQ","FILING_STATUS=OR","EQY_CONSOLIDATED=Y","Sort=A","Dates=H","DateFormat=P","Fill=—","Direction=H","UseDPDF=Y")</f>
        <v>#NAME?</v>
      </c>
      <c r="BN294" s="2" t="e">
        <f ca="1">_xll.BDH($C$278,"FIXED_ASSETS_SEQUENTIAL_GROWTH","FQ1 2017","FQ1 2017","Currency=INR","Period=FQ","BEST_FPERIOD_OVERRIDE=FQ","FILING_STATUS=OR","EQY_CONSOLIDATED=Y","Sort=A","Dates=H","DateFormat=P","Fill=—","Direction=H","UseDPDF=Y")</f>
        <v>#NAME?</v>
      </c>
      <c r="BO294" s="2" t="e">
        <f ca="1">_xll.BDH($C$278,"TOTAL_ASSETS_SEQUENTIAL_GROWTH","FQ1 2017","FQ1 2017","Currency=INR","Period=FQ","BEST_FPERIOD_OVERRIDE=FQ","FILING_STATUS=OR","EQY_CONSOLIDATED=Y","Sort=A","Dates=H","DateFormat=P","Fill=—","Direction=H","UseDPDF=Y")</f>
        <v>#NAME?</v>
      </c>
      <c r="BP294" s="2" t="e">
        <f ca="1">_xll.BDH($C$278,"MODIFIED_WORKING_CPTL_SEQ_GRWTH","FQ1 2017","FQ1 2017","Currency=INR","Period=FQ","BEST_FPERIOD_OVERRIDE=FQ","FILING_STATUS=OR","EQY_CONSOLIDATED=Y","Sort=A","Dates=H","DateFormat=P","Fill=—","Direction=H","UseDPDF=Y")</f>
        <v>#NAME?</v>
      </c>
      <c r="BQ294" s="2" t="e">
        <f ca="1">_xll.BDH($C$278,"WORKING_CAPITAL_SEQ_GROWTH","FQ1 2017","FQ1 2017","Currency=INR","Period=FQ","BEST_FPERIOD_OVERRIDE=FQ","FILING_STATUS=OR","EQY_CONSOLIDATED=Y","Sort=A","Dates=H","DateFormat=P","Fill=—","Direction=H","UseDPDF=Y")</f>
        <v>#NAME?</v>
      </c>
      <c r="BR294" s="2" t="e">
        <f ca="1">_xll.BDH($C$278,"ACCOUNTS_PAYABLE_SEQ_GROWTH","FQ1 2017","FQ1 2017","Currency=INR","Period=FQ","BEST_FPERIOD_OVERRIDE=FQ","FILING_STATUS=OR","EQY_CONSOLIDATED=Y","Sort=A","Dates=H","DateFormat=P","Fill=—","Direction=H","UseDPDF=Y")</f>
        <v>#NAME?</v>
      </c>
      <c r="BS294" s="2" t="e">
        <f ca="1">_xll.BDH($C$278,"ST_DEBT_SEQUENTIAL_GROWTH","FQ1 2017","FQ1 2017","Currency=INR","Period=FQ","BEST_FPERIOD_OVERRIDE=FQ","FILING_STATUS=OR","EQY_CONSOLIDATED=Y","Sort=A","Dates=H","DateFormat=P","Fill=—","Direction=H","UseDPDF=Y")</f>
        <v>#NAME?</v>
      </c>
      <c r="BT294" s="2" t="e">
        <f ca="1">_xll.BDH($C$278,"TOTAL_DEBT_SEQUENTIAL_GROWTH","FQ1 2017","FQ1 2017","Currency=INR","Period=FQ","BEST_FPERIOD_OVERRIDE=FQ","FILING_STATUS=OR","EQY_CONSOLIDATED=Y","Sort=A","Dates=H","DateFormat=P","Fill=—","Direction=H","UseDPDF=Y")</f>
        <v>#NAME?</v>
      </c>
      <c r="BU294" s="2" t="e">
        <f ca="1">_xll.BDH($C$278,"TOTAL_EQUITY_SEQUENTIAL_GROWTH","FQ1 2017","FQ1 2017","Currency=INR","Period=FQ","BEST_FPERIOD_OVERRIDE=FQ","FILING_STATUS=OR","EQY_CONSOLIDATED=Y","Sort=A","Dates=H","DateFormat=P","Fill=—","Direction=H","UseDPDF=Y")</f>
        <v>#NAME?</v>
      </c>
      <c r="BV294" s="2" t="e">
        <f ca="1">_xll.BDH($C$278,"TOTAL_CAPITAL_SEQUENTIAL_GROWTH","FQ1 2017","FQ1 2017","Currency=INR","Period=FQ","BEST_FPERIOD_OVERRIDE=FQ","FILING_STATUS=OR","EQY_CONSOLIDATED=Y","Sort=A","Dates=H","DateFormat=P","Fill=—","Direction=H","UseDPDF=Y")</f>
        <v>#NAME?</v>
      </c>
      <c r="BW294" s="2" t="e">
        <f ca="1">_xll.BDH($C$278,"BPS_SEQUENTIAL_GROWTH","FQ1 2017","FQ1 2017","Currency=INR","Period=FQ","BEST_FPERIOD_OVERRIDE=FQ","FILING_STATUS=OR","EQY_CONSOLIDATED=Y","Sort=A","Dates=H","DateFormat=P","Fill=—","Direction=H","UseDPDF=Y")</f>
        <v>#NAME?</v>
      </c>
      <c r="BX294" s="2" t="e">
        <f ca="1">_xll.BDH($C$278,"CFO_SEQUENTIAL_GROWTH","FQ1 2017","FQ1 2017","Currency=INR","Period=FQ","BEST_FPERIOD_OVERRIDE=FQ","FILING_STATUS=OR","EQY_CONSOLIDATED=Y","Sort=A","Dates=H","DateFormat=P","Fill=—","Direction=H","UseDPDF=Y")</f>
        <v>#NAME?</v>
      </c>
      <c r="BY294" s="3" t="e">
        <f ca="1">_xll.BDH($C$278,"SHORT_AND_LONG_TERM_DEBT","FQ1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294" s="3" t="e">
        <f ca="1">_xll.BDH($C$278,"BS_ST_BORROW","FQ1 2017","FQ1 2017","Currency=INR","Period=FQ","BEST_FPERIOD_OVERRIDE=FQ","FILING_STATUS=OR","EQY_CONSOLIDATED=Y","SCALING_FORMAT=MLN","Sort=A","Dates=H","DateFormat=P","Fill=—","Direction=H","UseDPDF=Y")</f>
        <v>#NAME?</v>
      </c>
      <c r="CA294" s="3" t="e">
        <f ca="1">_xll.BDH($C$278,"BS_LT_BORROW","FQ1 2017","FQ1 2017","Currency=INR","Period=FQ","BEST_FPERIOD_OVERRIDE=FQ","FILING_STATUS=OR","EQY_CONSOLIDATED=Y","SCALING_FORMAT=MLN","Sort=A","Dates=H","DateFormat=P","Fill=—","Direction=H","UseDPDF=Y")</f>
        <v>#NAME?</v>
      </c>
      <c r="CB294" s="2" t="e">
        <f ca="1">_xll.BDH($C$278,"TOT_DEBT_TO_EBITDA","FQ1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294" s="2" t="e">
        <f ca="1">_xll.BDH($C$278,"NET_DEBT_TO_EBITDA","FQ1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294" s="2" t="e">
        <f ca="1">_xll.BDH($C$278,"TOTAL_DEBT_TO_EBIT","FQ1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294" s="2" t="e">
        <f ca="1">_xll.BDH($C$278,"NET_DEBT_TO_EBIT","FQ1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294" s="2" t="e">
        <f ca="1">_xll.BDH($C$278,"EBITDA_TO_INTEREST_EXPN","FQ1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294" s="2" t="e">
        <f ca="1">_xll.BDH($C$278,"COM_EQY_TO_TOT_ASSET","FQ1 2017","FQ1 2017","Currency=INR","Period=FQ","BEST_FPERIOD_OVERRIDE=FQ","FILING_STATUS=OR","EQY_CONSOLIDATED=Y","Sort=A","Dates=H","DateFormat=P","Fill=—","Direction=H","UseDPDF=Y")</f>
        <v>#NAME?</v>
      </c>
      <c r="CH294" s="2" t="e">
        <f ca="1">_xll.BDH($C$278,"LT_DEBT_TO_TOT_EQY","FQ1 2017","FQ1 2017","Currency=INR","Period=FQ","BEST_FPERIOD_OVERRIDE=FQ","FILING_STATUS=OR","EQY_CONSOLIDATED=Y","Sort=A","Dates=H","DateFormat=P","Fill=—","Direction=H","UseDPDF=Y")</f>
        <v>#NAME?</v>
      </c>
      <c r="CI294" s="2" t="e">
        <f ca="1">_xll.BDH($C$278,"LT_DEBT_TO_TOT_CAP","FQ1 2017","FQ1 2017","Currency=INR","Period=FQ","BEST_FPERIOD_OVERRIDE=FQ","FILING_STATUS=OR","EQY_CONSOLIDATED=Y","Sort=A","Dates=H","DateFormat=P","Fill=—","Direction=H","UseDPDF=Y")</f>
        <v>#NAME?</v>
      </c>
      <c r="CJ294" s="2" t="e">
        <f ca="1">_xll.BDH($C$278,"LT_DEBT_TO_TOT_ASSET","FQ1 2017","FQ1 2017","Currency=INR","Period=FQ","BEST_FPERIOD_OVERRIDE=FQ","FILING_STATUS=OR","EQY_CONSOLIDATED=Y","Sort=A","Dates=H","DateFormat=P","Fill=—","Direction=H","UseDPDF=Y")</f>
        <v>#NAME?</v>
      </c>
      <c r="CK294" s="2" t="e">
        <f ca="1">_xll.BDH($C$278,"TOT_DEBT_TO_TOT_EQY","FQ1 2017","FQ1 2017","Currency=INR","Period=FQ","BEST_FPERIOD_OVERRIDE=FQ","FILING_STATUS=OR","EQY_CONSOLIDATED=Y","Sort=A","Dates=H","DateFormat=P","Fill=—","Direction=H","UseDPDF=Y")</f>
        <v>#NAME?</v>
      </c>
      <c r="CL294" s="2" t="e">
        <f ca="1">_xll.BDH($C$278,"TOT_DEBT_TO_TOT_CAP","FQ1 2017","FQ1 2017","Currency=INR","Period=FQ","BEST_FPERIOD_OVERRIDE=FQ","FILING_STATUS=OR","EQY_CONSOLIDATED=Y","Sort=A","Dates=H","DateFormat=P","Fill=—","Direction=H","UseDPDF=Y")</f>
        <v>#NAME?</v>
      </c>
      <c r="CM294" s="2" t="e">
        <f ca="1">_xll.BDH($C$278,"TOT_DEBT_TO_TOT_ASSET","FQ1 2017","FQ1 2017","Currency=INR","Period=FQ","BEST_FPERIOD_OVERRIDE=FQ","FILING_STATUS=OR","EQY_CONSOLIDATED=Y","Sort=A","Dates=H","DateFormat=P","Fill=—","Direction=H","UseDPDF=Y")</f>
        <v>#NAME?</v>
      </c>
      <c r="CN294" s="2" t="e">
        <f ca="1">_xll.BDH($C$278,"NET_DEBT_TO_SHRHLDR_EQTY","FQ1 2017","FQ1 2017","Currency=INR","Period=FQ","BEST_FPERIOD_OVERRIDE=FQ","FILING_STATUS=OR","EQY_CONSOLIDATED=Y","Sort=A","Dates=H","DateFormat=P","Fill=—","Direction=H","UseDPDF=Y")</f>
        <v>#NAME?</v>
      </c>
      <c r="CO294" s="2" t="e">
        <f ca="1">_xll.BDH($C$278,"NET_DEBT_%_CAPITAL","FQ1 2017","FQ1 2017","Currency=INR","Period=FQ","BEST_FPERIOD_OVERRIDE=FQ","FILING_STATUS=OR","EQY_CONSOLIDATED=Y","Sort=A","Dates=H","DateFormat=P","Fill=—","Direction=H","UseDPDF=Y")</f>
        <v>#NAME?</v>
      </c>
      <c r="CP294" s="3" t="e">
        <f ca="1">_xll.BDH($C$278,"EBITDA","FQ1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294" s="3" t="e">
        <f ca="1">_xll.BDH($C$278,"EBITDA_AFTER_CAPEX","FQ1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294" s="3" t="e">
        <f ca="1">_xll.BDH($C$278,"IS_OPER_INC","FQ1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294" s="2" t="e">
        <f ca="1">_xll.BDH($C$278,"CASH_RATIO","FQ1 2017","FQ1 2017","Currency=INR","Period=FQ","BEST_FPERIOD_OVERRIDE=FQ","FILING_STATUS=OR","EQY_CONSOLIDATED=Y","Sort=A","Dates=H","DateFormat=P","Fill=—","Direction=H","UseDPDF=Y")</f>
        <v>#NAME?</v>
      </c>
      <c r="CT294" s="2" t="e">
        <f ca="1">_xll.BDH($C$278,"CUR_RATIO","FQ1 2017","FQ1 2017","Currency=INR","Period=FQ","BEST_FPERIOD_OVERRIDE=FQ","FILING_STATUS=OR","EQY_CONSOLIDATED=Y","Sort=A","Dates=H","DateFormat=P","Fill=—","Direction=H","UseDPDF=Y")</f>
        <v>#NAME?</v>
      </c>
      <c r="CU294" s="2" t="e">
        <f ca="1">_xll.BDH($C$278,"QUICK_RATIO","FQ1 2017","FQ1 2017","Currency=INR","Period=FQ","BEST_FPERIOD_OVERRIDE=FQ","FILING_STATUS=OR","EQY_CONSOLIDATED=Y","Sort=A","Dates=H","DateFormat=P","Fill=—","Direction=H","UseDPDF=Y")</f>
        <v>#NAME?</v>
      </c>
      <c r="CV294" s="2" t="e">
        <f ca="1">_xll.BDH($C$278,"ALTMAN_Z_SCORE","FQ1 2017","FQ1 2017","Currency=INR","Period=FQ","BEST_FPERIOD_OVERRIDE=FQ","FILING_STATUS=OR","EQY_CONSOLIDATED=Y","Sort=A","Dates=H","DateFormat=P","Fill=—","Direction=H","UseDPDF=Y")</f>
        <v>#NAME?</v>
      </c>
      <c r="CW294" s="4" t="e">
        <f ca="1">_xll.BDH($C$278,"ACCT_RCV_TURN","FQ1 2017","FQ1 2017","Currency=INR","Period=FQ","BEST_FPERIOD_OVERRIDE=FQ","FILING_STATUS=OR","EQY_CONSOLIDATED=Y","FA_ADJUSTED=GAAP","Sort=A","Dates=H","DateFormat=P","Fill=—","Direction=H","UseDPDF=Y")</f>
        <v>#NAME?</v>
      </c>
      <c r="CX294" s="2" t="e">
        <f ca="1">_xll.BDH($C$278,"ACCT_RCV_DAYS","FQ1 2017","FQ1 2017","Currency=INR","Period=FQ","BEST_FPERIOD_OVERRIDE=FQ","FILING_STATUS=OR","EQY_CONSOLIDATED=Y","FA_ADJUSTED=GAAP","Sort=A","Dates=H","DateFormat=P","Fill=—","Direction=H","UseDPDF=Y")</f>
        <v>#NAME?</v>
      </c>
      <c r="CY294" s="4" t="e">
        <f ca="1">_xll.BDH($C$278,"INVENT_TURN","FQ1 2017","FQ1 2017","Currency=INR","Period=FQ","BEST_FPERIOD_OVERRIDE=FQ","FILING_STATUS=OR","EQY_CONSOLIDATED=Y","FA_ADJUSTED=GAAP","Sort=A","Dates=H","DateFormat=P","Fill=—","Direction=H","UseDPDF=Y")</f>
        <v>#NAME?</v>
      </c>
      <c r="CZ294" s="2" t="e">
        <f ca="1">_xll.BDH($C$278,"INVENT_DAYS","FQ1 2017","FQ1 2017","Currency=INR","Period=FQ","BEST_FPERIOD_OVERRIDE=FQ","FILING_STATUS=OR","EQY_CONSOLIDATED=Y","FA_ADJUSTED=GAAP","Sort=A","Dates=H","DateFormat=P","Fill=—","Direction=H","UseDPDF=Y")</f>
        <v>#NAME?</v>
      </c>
      <c r="DA294" s="4" t="e">
        <f ca="1">_xll.BDH($C$278,"ACCOUNTS_PAYABLE_TURNOVER","FQ1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294" s="2" t="e">
        <f ca="1">_xll.BDH($C$278,"ACCOUNTS_PAYABLE_TURNOVER_DAYS","FQ1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294" s="4" t="e">
        <f ca="1">_xll.BDH($C$278,"CASH_CONVERSION_CYCLE","FQ1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294" s="4" t="e">
        <f ca="1">_xll.BDH($C$278,"INV_TO_CASH_DAYS","FQ1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294" s="5" t="e">
        <f ca="1">_xll.BDH($C$278,"BS_INVENTORIES","FQ1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294" s="3" t="e">
        <f ca="1">_xll.BDH($C$278,"INVTRY_RAW_MATERIALS","FQ1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294" s="3" t="e">
        <f ca="1">_xll.BDH($C$278,"INVTRY_IN_PROGRESS","FQ1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294" s="3" t="e">
        <f ca="1">_xll.BDH($C$278,"INVTRY_FINISHED_GOODS","FQ1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294" s="3" t="e">
        <f ca="1">_xll.BDH($C$278,"BS_OTHER_INV","FQ1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295" spans="1:113" x14ac:dyDescent="0.3">
      <c r="A295" s="6"/>
      <c r="B295" s="6"/>
      <c r="C295" s="6"/>
      <c r="D295" s="6"/>
      <c r="E295" t="s">
        <v>79</v>
      </c>
      <c r="F295" t="e">
        <f ca="1">_xll.BDH($C$278,"RETURN_COM_EQY","FQ2 2017","FQ2 2017","Currency=INR","Period=FQ","BEST_FPERIOD_OVERRIDE=FQ","FILING_STATUS=OR","EQY_CONSOLIDATED=Y","FA_ADJUSTED=GAAP","Sort=A","Dates=H","DateFormat=P","Fill=—","Direction=H","UseDPDF=Y")</f>
        <v>#NAME?</v>
      </c>
      <c r="G295" t="e">
        <f ca="1">_xll.BDH($C$278,"RETURN_ON_ASSET","FQ2 2017","FQ2 2017","Currency=INR","Period=FQ","BEST_FPERIOD_OVERRIDE=FQ","FILING_STATUS=OR","EQY_CONSOLIDATED=Y","FA_ADJUSTED=GAAP","Sort=A","Dates=H","DateFormat=P","Fill=—","Direction=H","UseDPDF=Y")</f>
        <v>#NAME?</v>
      </c>
      <c r="H295" t="e">
        <f ca="1">_xll.BDH($C$278,"RETURN_ON_CAP","FQ2 2017","FQ2 2017","Currency=INR","Period=FQ","BEST_FPERIOD_OVERRIDE=FQ","FILING_STATUS=OR","EQY_CONSOLIDATED=Y","FA_ADJUSTED=GAAP","Sort=A","Dates=H","DateFormat=P","Fill=—","Direction=H","UseDPDF=Y")</f>
        <v>#NAME?</v>
      </c>
      <c r="I295" t="e">
        <f ca="1">_xll.BDH($C$278,"RETURN_ON_INV_CAPITAL","FQ2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295" t="e">
        <f ca="1">_xll.BDH($C$278,"EBITDA_TO_REVENUE","FQ2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295" t="e">
        <f ca="1">_xll.BDH($C$278,"OPER_MARGIN","FQ2 2017","FQ2 2017","Currency=INR","Period=FQ","BEST_FPERIOD_OVERRIDE=FQ","FILING_STATUS=OR","EQY_CONSOLIDATED=Y","FA_ADJUSTED=GAAP","Sort=A","Dates=H","DateFormat=P","Fill=—","Direction=H","UseDPDF=Y")</f>
        <v>#NAME?</v>
      </c>
      <c r="L295" t="e">
        <f ca="1">_xll.BDH($C$278,"INCREMENTAL_OPERATING_MARGIN","FQ2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295" t="e">
        <f ca="1">_xll.BDH($C$278,"PRETAX_INC_TO_NET_SALES","FQ2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295" t="e">
        <f ca="1">_xll.BDH($C$278,"INC_BEF_XO_ITEMS_TO_NET_SALES","FQ2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295" t="e">
        <f ca="1">_xll.BDH($C$278,"PROF_MARGIN","FQ2 2017","FQ2 2017","Currency=INR","Period=FQ","BEST_FPERIOD_OVERRIDE=FQ","FILING_STATUS=OR","EQY_CONSOLIDATED=Y","FA_ADJUSTED=GAAP","Sort=A","Dates=H","DateFormat=P","Fill=—","Direction=H","UseDPDF=Y")</f>
        <v>#NAME?</v>
      </c>
      <c r="P295" t="e">
        <f ca="1">_xll.BDH($C$278,"NET_INCOME_TO_COMMON_MARGIN","FQ2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295" t="e">
        <f ca="1">_xll.BDH($C$278,"EFF_TAX_RATE","FQ2 2017","FQ2 2017","Currency=INR","Period=FQ","BEST_FPERIOD_OVERRIDE=FQ","FILING_STATUS=OR","EQY_CONSOLIDATED=Y","FA_ADJUSTED=GAAP","Sort=A","Dates=H","DateFormat=P","Fill=—","Direction=H","UseDPDF=Y")</f>
        <v>#NAME?</v>
      </c>
      <c r="R295" t="e">
        <f ca="1">_xll.BDH($C$278,"DVD_PAYOUT_RATIO","FQ2 2017","FQ2 2017","Currency=INR","Period=FQ","BEST_FPERIOD_OVERRIDE=FQ","FILING_STATUS=OR","EQY_CONSOLIDATED=Y","FA_ADJUSTED=GAAP","Sort=A","Dates=H","DateFormat=P","Fill=—","Direction=H","UseDPDF=Y")</f>
        <v>#NAME?</v>
      </c>
      <c r="S295" t="e">
        <f ca="1">_xll.BDH($C$278,"SUSTAIN_GROWTH_RT","FQ2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295" s="2" t="e">
        <f ca="1">_xll.BDH($C$278,"SALES_GROWTH","FQ2 2017","FQ2 2017","Currency=INR","Period=FQ","BEST_FPERIOD_OVERRIDE=FQ","FILING_STATUS=OR","EQY_CONSOLIDATED=Y","FA_ADJUSTED=GAAP","Sort=A","Dates=H","DateFormat=P","Fill=—","Direction=H","UseDPDF=Y")</f>
        <v>#NAME?</v>
      </c>
      <c r="U295" s="2" t="e">
        <f ca="1">_xll.BDH($C$278,"EBITDA_GROWTH","FQ2 2017","FQ2 2017","Currency=INR","Period=FQ","BEST_FPERIOD_OVERRIDE=FQ","FILING_STATUS=OR","EQY_CONSOLIDATED=Y","FA_ADJUSTED=GAAP","Sort=A","Dates=H","DateFormat=P","Fill=—","Direction=H","UseDPDF=Y")</f>
        <v>#NAME?</v>
      </c>
      <c r="V295" s="2" t="e">
        <f ca="1">_xll.BDH($C$278,"OPER_INC_GROWTH","FQ2 2017","FQ2 2017","Currency=INR","Period=FQ","BEST_FPERIOD_OVERRIDE=FQ","FILING_STATUS=OR","EQY_CONSOLIDATED=Y","FA_ADJUSTED=GAAP","Sort=A","Dates=H","DateFormat=P","Fill=—","Direction=H","UseDPDF=Y")</f>
        <v>#NAME?</v>
      </c>
      <c r="W295" s="2" t="e">
        <f ca="1">_xll.BDH($C$278,"EARN_FOR_COM_GROWTH","FQ2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295" s="2" t="e">
        <f ca="1">_xll.BDH($C$278,"DILUTED_EPS_AFT_XO_ITEMS_GROWTH","FQ2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295" s="2" t="e">
        <f ca="1">_xll.BDH($C$278,"DIVIDEND_PER_SHARE_1_YEAR_GROWTH","FQ2 2017","FQ2 2017","Currency=INR","Period=FQ","BEST_FPERIOD_OVERRIDE=FQ","FILING_STATUS=OR","EQY_CONSOLIDATED=Y","Sort=A","Dates=H","DateFormat=P","Fill=—","Direction=H","UseDPDF=Y")</f>
        <v>#NAME?</v>
      </c>
      <c r="Z295" s="2" t="e">
        <f ca="1">_xll.BDH($C$278,"ACCOUNTS_RECEIVABLE_GROWTH","FQ2 2017","FQ2 2017","Currency=INR","Period=FQ","BEST_FPERIOD_OVERRIDE=FQ","FILING_STATUS=OR","EQY_CONSOLIDATED=Y","Sort=A","Dates=H","DateFormat=P","Fill=—","Direction=H","UseDPDF=Y")</f>
        <v>#NAME?</v>
      </c>
      <c r="AA295" s="2" t="e">
        <f ca="1">_xll.BDH($C$278,"INVENTORY_GROWTH","FQ2 2017","FQ2 2017","Currency=INR","Period=FQ","BEST_FPERIOD_OVERRIDE=FQ","FILING_STATUS=OR","EQY_CONSOLIDATED=Y","Sort=A","Dates=H","DateFormat=P","Fill=—","Direction=H","UseDPDF=Y")</f>
        <v>#NAME?</v>
      </c>
      <c r="AB295" s="2" t="e">
        <f ca="1">_xll.BDH($C$278,"NET_FIXED_ASSETS_1_YEAR_GROWTH","FQ2 2017","FQ2 2017","Currency=INR","Period=FQ","BEST_FPERIOD_OVERRIDE=FQ","FILING_STATUS=OR","EQY_CONSOLIDATED=Y","Sort=A","Dates=H","DateFormat=P","Fill=—","Direction=H","UseDPDF=Y")</f>
        <v>#NAME?</v>
      </c>
      <c r="AC295" s="2" t="e">
        <f ca="1">_xll.BDH($C$278,"ASSET_GROWTH","FQ2 2017","FQ2 2017","Currency=INR","Period=FQ","BEST_FPERIOD_OVERRIDE=FQ","FILING_STATUS=OR","EQY_CONSOLIDATED=Y","Sort=A","Dates=H","DateFormat=P","Fill=—","Direction=H","UseDPDF=Y")</f>
        <v>#NAME?</v>
      </c>
      <c r="AD295" s="2" t="e">
        <f ca="1">_xll.BDH($C$278,"MODIFIED_WORK_CAP_GROWTH","FQ2 2017","FQ2 2017","Currency=INR","Period=FQ","BEST_FPERIOD_OVERRIDE=FQ","FILING_STATUS=OR","EQY_CONSOLIDATED=Y","Sort=A","Dates=H","DateFormat=P","Fill=—","Direction=H","UseDPDF=Y")</f>
        <v>#NAME?</v>
      </c>
      <c r="AE295" s="2" t="e">
        <f ca="1">_xll.BDH($C$278,"WORK_CAP_GROWTH","FQ2 2017","FQ2 2017","Currency=INR","Period=FQ","BEST_FPERIOD_OVERRIDE=FQ","FILING_STATUS=OR","EQY_CONSOLIDATED=Y","Sort=A","Dates=H","DateFormat=P","Fill=—","Direction=H","UseDPDF=Y")</f>
        <v>#NAME?</v>
      </c>
      <c r="AF295" s="2" t="e">
        <f ca="1">_xll.BDH($C$278,"ACCOUNTS_PAYABLE_GROWTH_1YR","FQ2 2017","FQ2 2017","Currency=INR","Period=FQ","BEST_FPERIOD_OVERRIDE=FQ","FILING_STATUS=OR","EQY_CONSOLIDATED=Y","Sort=A","Dates=H","DateFormat=P","Fill=—","Direction=H","UseDPDF=Y")</f>
        <v>#NAME?</v>
      </c>
      <c r="AG295" s="2" t="e">
        <f ca="1">_xll.BDH($C$278,"SHORT_TERM_DEBT_1_YEAR_GROWTH","FQ2 2017","FQ2 2017","Currency=INR","Period=FQ","BEST_FPERIOD_OVERRIDE=FQ","FILING_STATUS=OR","EQY_CONSOLIDATED=Y","Sort=A","Dates=H","DateFormat=P","Fill=—","Direction=H","UseDPDF=Y")</f>
        <v>#NAME?</v>
      </c>
      <c r="AH295" s="2" t="e">
        <f ca="1">_xll.BDH($C$278,"TOTAL_DEBT_1_YEAR_GROWTH","FQ2 2017","FQ2 2017","Currency=INR","Period=FQ","BEST_FPERIOD_OVERRIDE=FQ","FILING_STATUS=OR","EQY_CONSOLIDATED=Y","Sort=A","Dates=H","DateFormat=P","Fill=—","Direction=H","UseDPDF=Y")</f>
        <v>#NAME?</v>
      </c>
      <c r="AI295" s="2" t="e">
        <f ca="1">_xll.BDH($C$278,"TOTAL_EQUITY_1_YEAR_GROWTH","FQ2 2017","FQ2 2017","Currency=INR","Period=FQ","BEST_FPERIOD_OVERRIDE=FQ","FILING_STATUS=OR","EQY_CONSOLIDATED=Y","Sort=A","Dates=H","DateFormat=P","Fill=—","Direction=H","UseDPDF=Y")</f>
        <v>#NAME?</v>
      </c>
      <c r="AJ295" s="2" t="e">
        <f ca="1">_xll.BDH($C$278,"GROWTH_IN_CAP","FQ2 2017","FQ2 2017","Currency=INR","Period=FQ","BEST_FPERIOD_OVERRIDE=FQ","FILING_STATUS=OR","EQY_CONSOLIDATED=Y","Sort=A","Dates=H","DateFormat=P","Fill=—","Direction=H","UseDPDF=Y")</f>
        <v>#NAME?</v>
      </c>
      <c r="AK295" s="2" t="e">
        <f ca="1">_xll.BDH($C$278,"BVPS_GROWTH","FQ2 2017","FQ2 2017","Currency=INR","Period=FQ","BEST_FPERIOD_OVERRIDE=FQ","FILING_STATUS=OR","EQY_CONSOLIDATED=Y","Sort=A","Dates=H","DateFormat=P","Fill=—","Direction=H","UseDPDF=Y")</f>
        <v>#NAME?</v>
      </c>
      <c r="AL295" s="2" t="e">
        <f ca="1">_xll.BDH($C$278,"CASH_FLOW_GROWTH","FQ2 2017","FQ2 2017","Currency=INR","Period=FQ","BEST_FPERIOD_OVERRIDE=FQ","FILING_STATUS=OR","EQY_CONSOLIDATED=Y","Sort=A","Dates=H","DateFormat=P","Fill=—","Direction=H","UseDPDF=Y")</f>
        <v>#NAME?</v>
      </c>
      <c r="AM295" s="2" t="e">
        <f ca="1">_xll.BDH($C$278,"GEO_GROW_NET_SALES","FQ2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295" s="2" t="e">
        <f ca="1">_xll.BDH($C$278,"GEO_GROW_EBITDA","FQ2 2017","FQ2 2017","Currency=INR","Period=FQ","BEST_FPERIOD_OVERRIDE=FQ","FILING_STATUS=OR","EQY_CONSOLIDATED=Y","FA_ADJUSTED=GAAP","Sort=A","Dates=H","DateFormat=P","Fill=—","Direction=H","UseDPDF=Y")</f>
        <v>#NAME?</v>
      </c>
      <c r="AO295" s="2" t="e">
        <f ca="1">_xll.BDH($C$278,"GEO_GROW_OPER_INC","FQ2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295" s="2" t="e">
        <f ca="1">_xll.BDH($C$278,"NET_INCOME_TO_COMMON_5_YR_GROWTH","FQ2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295" s="2" t="e">
        <f ca="1">_xll.BDH($C$278,"5Y_GEO_GROWTH_DILUTED_EPS","FQ2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295" s="2" t="e">
        <f ca="1">_xll.BDH($C$278,"GEO_GROW_DVD_PER_SH","FQ2 2017","FQ2 2017","Currency=INR","Period=FQ","BEST_FPERIOD_OVERRIDE=FQ","FILING_STATUS=OR","EQY_CONSOLIDATED=Y","Sort=A","Dates=H","DateFormat=P","Fill=—","Direction=H","UseDPDF=Y")</f>
        <v>#NAME?</v>
      </c>
      <c r="AS295" s="2" t="e">
        <f ca="1">_xll.BDH($C$278,"ACCOUNTS_RECEIVABLE_5_YR_GROWTH","FQ2 2017","FQ2 2017","Currency=INR","Period=FQ","BEST_FPERIOD_OVERRIDE=FQ","FILING_STATUS=OR","EQY_CONSOLIDATED=Y","Sort=A","Dates=H","DateFormat=P","Fill=—","Direction=H","UseDPDF=Y")</f>
        <v>#NAME?</v>
      </c>
      <c r="AT295" s="2" t="e">
        <f ca="1">_xll.BDH($C$278,"INVENTORY_5_YEAR_GROWTH","FQ2 2017","FQ2 2017","Currency=INR","Period=FQ","BEST_FPERIOD_OVERRIDE=FQ","FILING_STATUS=OR","EQY_CONSOLIDATED=Y","Sort=A","Dates=H","DateFormat=P","Fill=—","Direction=H","UseDPDF=Y")</f>
        <v>#NAME?</v>
      </c>
      <c r="AU295" s="2" t="e">
        <f ca="1">_xll.BDH($C$278,"NET_FIXED_ASSETS_5_YEAR_GROWTH","FQ2 2017","FQ2 2017","Currency=INR","Period=FQ","BEST_FPERIOD_OVERRIDE=FQ","FILING_STATUS=OR","EQY_CONSOLIDATED=Y","Sort=A","Dates=H","DateFormat=P","Fill=—","Direction=H","UseDPDF=Y")</f>
        <v>#NAME?</v>
      </c>
      <c r="AV295" s="2" t="e">
        <f ca="1">_xll.BDH($C$278,"GEO_GROW_TOT_ASSET","FQ2 2017","FQ2 2017","Currency=INR","Period=FQ","BEST_FPERIOD_OVERRIDE=FQ","FILING_STATUS=OR","EQY_CONSOLIDATED=Y","Sort=A","Dates=H","DateFormat=P","Fill=—","Direction=H","UseDPDF=Y")</f>
        <v>#NAME?</v>
      </c>
      <c r="AW295" s="2" t="e">
        <f ca="1">_xll.BDH($C$278,"MODIFIED_WORKING_CPTL_5YR_GRWTH","FQ2 2017","FQ2 2017","Currency=INR","Period=FQ","BEST_FPERIOD_OVERRIDE=FQ","FILING_STATUS=OR","EQY_CONSOLIDATED=Y","Sort=A","Dates=H","DateFormat=P","Fill=—","Direction=H","UseDPDF=Y")</f>
        <v>#NAME?</v>
      </c>
      <c r="AX295" s="2" t="e">
        <f ca="1">_xll.BDH($C$278,"WORKING_CAPITAL_5_YEAR_GROWTH","FQ2 2017","FQ2 2017","Currency=INR","Period=FQ","BEST_FPERIOD_OVERRIDE=FQ","FILING_STATUS=OR","EQY_CONSOLIDATED=Y","Sort=A","Dates=H","DateFormat=P","Fill=—","Direction=H","UseDPDF=Y")</f>
        <v>#NAME?</v>
      </c>
      <c r="AY295" s="2" t="e">
        <f ca="1">_xll.BDH($C$278,"ACCOUNTS_PAYABLE_5_YEAR_GROWTH","FQ2 2017","FQ2 2017","Currency=INR","Period=FQ","BEST_FPERIOD_OVERRIDE=FQ","FILING_STATUS=OR","EQY_CONSOLIDATED=Y","Sort=A","Dates=H","DateFormat=P","Fill=—","Direction=H","UseDPDF=Y")</f>
        <v>#NAME?</v>
      </c>
      <c r="AZ295" s="2" t="e">
        <f ca="1">_xll.BDH($C$278,"SHORT_TERM_DEBT_5_YEAR_GROWTH","FQ2 2017","FQ2 2017","Currency=INR","Period=FQ","BEST_FPERIOD_OVERRIDE=FQ","FILING_STATUS=OR","EQY_CONSOLIDATED=Y","Sort=A","Dates=H","DateFormat=P","Fill=—","Direction=H","UseDPDF=Y")</f>
        <v>#NAME?</v>
      </c>
      <c r="BA295" s="2" t="e">
        <f ca="1">_xll.BDH($C$278,"TOTAL_DEBT_5_YEAR_GROWTH","FQ2 2017","FQ2 2017","Currency=INR","Period=FQ","BEST_FPERIOD_OVERRIDE=FQ","FILING_STATUS=OR","EQY_CONSOLIDATED=Y","Sort=A","Dates=H","DateFormat=P","Fill=—","Direction=H","UseDPDF=Y")</f>
        <v>#NAME?</v>
      </c>
      <c r="BB295" s="2" t="e">
        <f ca="1">_xll.BDH($C$278,"GEO_GROW_TOT_SHRHLDR_EQY","FQ2 2017","FQ2 2017","Currency=INR","Period=FQ","BEST_FPERIOD_OVERRIDE=FQ","FILING_STATUS=OR","EQY_CONSOLIDATED=Y","Sort=A","Dates=H","DateFormat=P","Fill=—","Direction=H","UseDPDF=Y")</f>
        <v>#NAME?</v>
      </c>
      <c r="BC295" s="2" t="e">
        <f ca="1">_xll.BDH($C$278,"TOTAL_CAPITAL_5_YEAR_GROWTH","FQ2 2017","FQ2 2017","Currency=INR","Period=FQ","BEST_FPERIOD_OVERRIDE=FQ","FILING_STATUS=OR","EQY_CONSOLIDATED=Y","Sort=A","Dates=H","DateFormat=P","Fill=—","Direction=H","UseDPDF=Y")</f>
        <v>#NAME?</v>
      </c>
      <c r="BD295" s="2" t="e">
        <f ca="1">_xll.BDH($C$278,"GEO_GROW_BOOK_VAL","FQ2 2017","FQ2 2017","Currency=INR","Period=FQ","BEST_FPERIOD_OVERRIDE=FQ","FILING_STATUS=OR","EQY_CONSOLIDATED=Y","Sort=A","Dates=H","DateFormat=P","Fill=—","Direction=H","UseDPDF=Y")</f>
        <v>#NAME?</v>
      </c>
      <c r="BE295" s="2" t="e">
        <f ca="1">_xll.BDH($C$278,"GEO_GROW_CASH_OPER_ACT","FQ2 2017","FQ2 2017","Currency=INR","Period=FQ","BEST_FPERIOD_OVERRIDE=FQ","FILING_STATUS=OR","EQY_CONSOLIDATED=Y","Sort=A","Dates=H","DateFormat=P","Fill=—","Direction=H","UseDPDF=Y")</f>
        <v>#NAME?</v>
      </c>
      <c r="BF295" s="2" t="e">
        <f ca="1">_xll.BDH($C$278,"REVENUE_SEQUENTIAL_GROWTH","FQ2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295" s="2" t="e">
        <f ca="1">_xll.BDH($C$278,"EBITDA_SEQUENTIAL_GROWTH","FQ2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295" s="2" t="e">
        <f ca="1">_xll.BDH($C$278,"OPERATING_INCOME_SEQ_GROWTH","FQ2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295" s="2" t="e">
        <f ca="1">_xll.BDH($C$278,"NET_INCOME_TO_COMMON_SEQ_GROWTH","FQ2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295" s="2" t="e">
        <f ca="1">_xll.BDH($C$278,"EPS_DILUTED_SEQUENTIAL_GROWTH","FQ2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295" s="2" t="e">
        <f ca="1">_xll.BDH($C$278,"DPS_SEQUENTIAL_GROWTH","FQ2 2017","FQ2 2017","Currency=INR","Period=FQ","BEST_FPERIOD_OVERRIDE=FQ","FILING_STATUS=OR","EQY_CONSOLIDATED=Y","Sort=A","Dates=H","DateFormat=P","Fill=—","Direction=H","UseDPDF=Y")</f>
        <v>#NAME?</v>
      </c>
      <c r="BL295" s="2" t="e">
        <f ca="1">_xll.BDH($C$278,"ACCOUNTS_RECEIVABLE_SEQ_GROWTH","FQ2 2017","FQ2 2017","Currency=INR","Period=FQ","BEST_FPERIOD_OVERRIDE=FQ","FILING_STATUS=OR","EQY_CONSOLIDATED=Y","Sort=A","Dates=H","DateFormat=P","Fill=—","Direction=H","UseDPDF=Y")</f>
        <v>#NAME?</v>
      </c>
      <c r="BM295" s="2" t="e">
        <f ca="1">_xll.BDH($C$278,"INVENTORY_SEQUENTIAL_GROWTH","FQ2 2017","FQ2 2017","Currency=INR","Period=FQ","BEST_FPERIOD_OVERRIDE=FQ","FILING_STATUS=OR","EQY_CONSOLIDATED=Y","Sort=A","Dates=H","DateFormat=P","Fill=—","Direction=H","UseDPDF=Y")</f>
        <v>#NAME?</v>
      </c>
      <c r="BN295" s="2" t="e">
        <f ca="1">_xll.BDH($C$278,"FIXED_ASSETS_SEQUENTIAL_GROWTH","FQ2 2017","FQ2 2017","Currency=INR","Period=FQ","BEST_FPERIOD_OVERRIDE=FQ","FILING_STATUS=OR","EQY_CONSOLIDATED=Y","Sort=A","Dates=H","DateFormat=P","Fill=—","Direction=H","UseDPDF=Y")</f>
        <v>#NAME?</v>
      </c>
      <c r="BO295" s="2" t="e">
        <f ca="1">_xll.BDH($C$278,"TOTAL_ASSETS_SEQUENTIAL_GROWTH","FQ2 2017","FQ2 2017","Currency=INR","Period=FQ","BEST_FPERIOD_OVERRIDE=FQ","FILING_STATUS=OR","EQY_CONSOLIDATED=Y","Sort=A","Dates=H","DateFormat=P","Fill=—","Direction=H","UseDPDF=Y")</f>
        <v>#NAME?</v>
      </c>
      <c r="BP295" s="2" t="e">
        <f ca="1">_xll.BDH($C$278,"MODIFIED_WORKING_CPTL_SEQ_GRWTH","FQ2 2017","FQ2 2017","Currency=INR","Period=FQ","BEST_FPERIOD_OVERRIDE=FQ","FILING_STATUS=OR","EQY_CONSOLIDATED=Y","Sort=A","Dates=H","DateFormat=P","Fill=—","Direction=H","UseDPDF=Y")</f>
        <v>#NAME?</v>
      </c>
      <c r="BQ295" s="2" t="e">
        <f ca="1">_xll.BDH($C$278,"WORKING_CAPITAL_SEQ_GROWTH","FQ2 2017","FQ2 2017","Currency=INR","Period=FQ","BEST_FPERIOD_OVERRIDE=FQ","FILING_STATUS=OR","EQY_CONSOLIDATED=Y","Sort=A","Dates=H","DateFormat=P","Fill=—","Direction=H","UseDPDF=Y")</f>
        <v>#NAME?</v>
      </c>
      <c r="BR295" s="2" t="e">
        <f ca="1">_xll.BDH($C$278,"ACCOUNTS_PAYABLE_SEQ_GROWTH","FQ2 2017","FQ2 2017","Currency=INR","Period=FQ","BEST_FPERIOD_OVERRIDE=FQ","FILING_STATUS=OR","EQY_CONSOLIDATED=Y","Sort=A","Dates=H","DateFormat=P","Fill=—","Direction=H","UseDPDF=Y")</f>
        <v>#NAME?</v>
      </c>
      <c r="BS295" s="2" t="e">
        <f ca="1">_xll.BDH($C$278,"ST_DEBT_SEQUENTIAL_GROWTH","FQ2 2017","FQ2 2017","Currency=INR","Period=FQ","BEST_FPERIOD_OVERRIDE=FQ","FILING_STATUS=OR","EQY_CONSOLIDATED=Y","Sort=A","Dates=H","DateFormat=P","Fill=—","Direction=H","UseDPDF=Y")</f>
        <v>#NAME?</v>
      </c>
      <c r="BT295" s="2" t="e">
        <f ca="1">_xll.BDH($C$278,"TOTAL_DEBT_SEQUENTIAL_GROWTH","FQ2 2017","FQ2 2017","Currency=INR","Period=FQ","BEST_FPERIOD_OVERRIDE=FQ","FILING_STATUS=OR","EQY_CONSOLIDATED=Y","Sort=A","Dates=H","DateFormat=P","Fill=—","Direction=H","UseDPDF=Y")</f>
        <v>#NAME?</v>
      </c>
      <c r="BU295" s="2" t="e">
        <f ca="1">_xll.BDH($C$278,"TOTAL_EQUITY_SEQUENTIAL_GROWTH","FQ2 2017","FQ2 2017","Currency=INR","Period=FQ","BEST_FPERIOD_OVERRIDE=FQ","FILING_STATUS=OR","EQY_CONSOLIDATED=Y","Sort=A","Dates=H","DateFormat=P","Fill=—","Direction=H","UseDPDF=Y")</f>
        <v>#NAME?</v>
      </c>
      <c r="BV295" s="2" t="e">
        <f ca="1">_xll.BDH($C$278,"TOTAL_CAPITAL_SEQUENTIAL_GROWTH","FQ2 2017","FQ2 2017","Currency=INR","Period=FQ","BEST_FPERIOD_OVERRIDE=FQ","FILING_STATUS=OR","EQY_CONSOLIDATED=Y","Sort=A","Dates=H","DateFormat=P","Fill=—","Direction=H","UseDPDF=Y")</f>
        <v>#NAME?</v>
      </c>
      <c r="BW295" s="2" t="e">
        <f ca="1">_xll.BDH($C$278,"BPS_SEQUENTIAL_GROWTH","FQ2 2017","FQ2 2017","Currency=INR","Period=FQ","BEST_FPERIOD_OVERRIDE=FQ","FILING_STATUS=OR","EQY_CONSOLIDATED=Y","Sort=A","Dates=H","DateFormat=P","Fill=—","Direction=H","UseDPDF=Y")</f>
        <v>#NAME?</v>
      </c>
      <c r="BX295" s="2" t="e">
        <f ca="1">_xll.BDH($C$278,"CFO_SEQUENTIAL_GROWTH","FQ2 2017","FQ2 2017","Currency=INR","Period=FQ","BEST_FPERIOD_OVERRIDE=FQ","FILING_STATUS=OR","EQY_CONSOLIDATED=Y","Sort=A","Dates=H","DateFormat=P","Fill=—","Direction=H","UseDPDF=Y")</f>
        <v>#NAME?</v>
      </c>
      <c r="BY295" s="3" t="e">
        <f ca="1">_xll.BDH($C$278,"SHORT_AND_LONG_TERM_DEBT","FQ2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295" s="3" t="e">
        <f ca="1">_xll.BDH($C$278,"BS_ST_BORROW","FQ2 2017","FQ2 2017","Currency=INR","Period=FQ","BEST_FPERIOD_OVERRIDE=FQ","FILING_STATUS=OR","EQY_CONSOLIDATED=Y","SCALING_FORMAT=MLN","Sort=A","Dates=H","DateFormat=P","Fill=—","Direction=H","UseDPDF=Y")</f>
        <v>#NAME?</v>
      </c>
      <c r="CA295" s="3" t="e">
        <f ca="1">_xll.BDH($C$278,"BS_LT_BORROW","FQ2 2017","FQ2 2017","Currency=INR","Period=FQ","BEST_FPERIOD_OVERRIDE=FQ","FILING_STATUS=OR","EQY_CONSOLIDATED=Y","SCALING_FORMAT=MLN","Sort=A","Dates=H","DateFormat=P","Fill=—","Direction=H","UseDPDF=Y")</f>
        <v>#NAME?</v>
      </c>
      <c r="CB295" s="2" t="e">
        <f ca="1">_xll.BDH($C$278,"TOT_DEBT_TO_EBITDA","FQ2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295" s="2" t="e">
        <f ca="1">_xll.BDH($C$278,"NET_DEBT_TO_EBITDA","FQ2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295" s="2" t="e">
        <f ca="1">_xll.BDH($C$278,"TOTAL_DEBT_TO_EBIT","FQ2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295" s="2" t="e">
        <f ca="1">_xll.BDH($C$278,"NET_DEBT_TO_EBIT","FQ2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295" s="2" t="e">
        <f ca="1">_xll.BDH($C$278,"EBITDA_TO_INTEREST_EXPN","FQ2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295" s="2" t="e">
        <f ca="1">_xll.BDH($C$278,"COM_EQY_TO_TOT_ASSET","FQ2 2017","FQ2 2017","Currency=INR","Period=FQ","BEST_FPERIOD_OVERRIDE=FQ","FILING_STATUS=OR","EQY_CONSOLIDATED=Y","Sort=A","Dates=H","DateFormat=P","Fill=—","Direction=H","UseDPDF=Y")</f>
        <v>#NAME?</v>
      </c>
      <c r="CH295" s="2" t="e">
        <f ca="1">_xll.BDH($C$278,"LT_DEBT_TO_TOT_EQY","FQ2 2017","FQ2 2017","Currency=INR","Period=FQ","BEST_FPERIOD_OVERRIDE=FQ","FILING_STATUS=OR","EQY_CONSOLIDATED=Y","Sort=A","Dates=H","DateFormat=P","Fill=—","Direction=H","UseDPDF=Y")</f>
        <v>#NAME?</v>
      </c>
      <c r="CI295" s="2" t="e">
        <f ca="1">_xll.BDH($C$278,"LT_DEBT_TO_TOT_CAP","FQ2 2017","FQ2 2017","Currency=INR","Period=FQ","BEST_FPERIOD_OVERRIDE=FQ","FILING_STATUS=OR","EQY_CONSOLIDATED=Y","Sort=A","Dates=H","DateFormat=P","Fill=—","Direction=H","UseDPDF=Y")</f>
        <v>#NAME?</v>
      </c>
      <c r="CJ295" s="2" t="e">
        <f ca="1">_xll.BDH($C$278,"LT_DEBT_TO_TOT_ASSET","FQ2 2017","FQ2 2017","Currency=INR","Period=FQ","BEST_FPERIOD_OVERRIDE=FQ","FILING_STATUS=OR","EQY_CONSOLIDATED=Y","Sort=A","Dates=H","DateFormat=P","Fill=—","Direction=H","UseDPDF=Y")</f>
        <v>#NAME?</v>
      </c>
      <c r="CK295" s="2" t="e">
        <f ca="1">_xll.BDH($C$278,"TOT_DEBT_TO_TOT_EQY","FQ2 2017","FQ2 2017","Currency=INR","Period=FQ","BEST_FPERIOD_OVERRIDE=FQ","FILING_STATUS=OR","EQY_CONSOLIDATED=Y","Sort=A","Dates=H","DateFormat=P","Fill=—","Direction=H","UseDPDF=Y")</f>
        <v>#NAME?</v>
      </c>
      <c r="CL295" s="2" t="e">
        <f ca="1">_xll.BDH($C$278,"TOT_DEBT_TO_TOT_CAP","FQ2 2017","FQ2 2017","Currency=INR","Period=FQ","BEST_FPERIOD_OVERRIDE=FQ","FILING_STATUS=OR","EQY_CONSOLIDATED=Y","Sort=A","Dates=H","DateFormat=P","Fill=—","Direction=H","UseDPDF=Y")</f>
        <v>#NAME?</v>
      </c>
      <c r="CM295" s="2" t="e">
        <f ca="1">_xll.BDH($C$278,"TOT_DEBT_TO_TOT_ASSET","FQ2 2017","FQ2 2017","Currency=INR","Period=FQ","BEST_FPERIOD_OVERRIDE=FQ","FILING_STATUS=OR","EQY_CONSOLIDATED=Y","Sort=A","Dates=H","DateFormat=P","Fill=—","Direction=H","UseDPDF=Y")</f>
        <v>#NAME?</v>
      </c>
      <c r="CN295" s="2" t="e">
        <f ca="1">_xll.BDH($C$278,"NET_DEBT_TO_SHRHLDR_EQTY","FQ2 2017","FQ2 2017","Currency=INR","Period=FQ","BEST_FPERIOD_OVERRIDE=FQ","FILING_STATUS=OR","EQY_CONSOLIDATED=Y","Sort=A","Dates=H","DateFormat=P","Fill=—","Direction=H","UseDPDF=Y")</f>
        <v>#NAME?</v>
      </c>
      <c r="CO295" s="2" t="e">
        <f ca="1">_xll.BDH($C$278,"NET_DEBT_%_CAPITAL","FQ2 2017","FQ2 2017","Currency=INR","Period=FQ","BEST_FPERIOD_OVERRIDE=FQ","FILING_STATUS=OR","EQY_CONSOLIDATED=Y","Sort=A","Dates=H","DateFormat=P","Fill=—","Direction=H","UseDPDF=Y")</f>
        <v>#NAME?</v>
      </c>
      <c r="CP295" s="3" t="e">
        <f ca="1">_xll.BDH($C$278,"EBITDA","FQ2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295" s="3" t="e">
        <f ca="1">_xll.BDH($C$278,"EBITDA_AFTER_CAPEX","FQ2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295" s="3" t="e">
        <f ca="1">_xll.BDH($C$278,"IS_OPER_INC","FQ2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295" s="2" t="e">
        <f ca="1">_xll.BDH($C$278,"CASH_RATIO","FQ2 2017","FQ2 2017","Currency=INR","Period=FQ","BEST_FPERIOD_OVERRIDE=FQ","FILING_STATUS=OR","EQY_CONSOLIDATED=Y","Sort=A","Dates=H","DateFormat=P","Fill=—","Direction=H","UseDPDF=Y")</f>
        <v>#NAME?</v>
      </c>
      <c r="CT295" s="2" t="e">
        <f ca="1">_xll.BDH($C$278,"CUR_RATIO","FQ2 2017","FQ2 2017","Currency=INR","Period=FQ","BEST_FPERIOD_OVERRIDE=FQ","FILING_STATUS=OR","EQY_CONSOLIDATED=Y","Sort=A","Dates=H","DateFormat=P","Fill=—","Direction=H","UseDPDF=Y")</f>
        <v>#NAME?</v>
      </c>
      <c r="CU295" s="2" t="e">
        <f ca="1">_xll.BDH($C$278,"QUICK_RATIO","FQ2 2017","FQ2 2017","Currency=INR","Period=FQ","BEST_FPERIOD_OVERRIDE=FQ","FILING_STATUS=OR","EQY_CONSOLIDATED=Y","Sort=A","Dates=H","DateFormat=P","Fill=—","Direction=H","UseDPDF=Y")</f>
        <v>#NAME?</v>
      </c>
      <c r="CV295" s="2" t="e">
        <f ca="1">_xll.BDH($C$278,"ALTMAN_Z_SCORE","FQ2 2017","FQ2 2017","Currency=INR","Period=FQ","BEST_FPERIOD_OVERRIDE=FQ","FILING_STATUS=OR","EQY_CONSOLIDATED=Y","Sort=A","Dates=H","DateFormat=P","Fill=—","Direction=H","UseDPDF=Y")</f>
        <v>#NAME?</v>
      </c>
      <c r="CW295" s="4" t="e">
        <f ca="1">_xll.BDH($C$278,"ACCT_RCV_TURN","FQ2 2017","FQ2 2017","Currency=INR","Period=FQ","BEST_FPERIOD_OVERRIDE=FQ","FILING_STATUS=OR","EQY_CONSOLIDATED=Y","FA_ADJUSTED=GAAP","Sort=A","Dates=H","DateFormat=P","Fill=—","Direction=H","UseDPDF=Y")</f>
        <v>#NAME?</v>
      </c>
      <c r="CX295" s="2" t="e">
        <f ca="1">_xll.BDH($C$278,"ACCT_RCV_DAYS","FQ2 2017","FQ2 2017","Currency=INR","Period=FQ","BEST_FPERIOD_OVERRIDE=FQ","FILING_STATUS=OR","EQY_CONSOLIDATED=Y","FA_ADJUSTED=GAAP","Sort=A","Dates=H","DateFormat=P","Fill=—","Direction=H","UseDPDF=Y")</f>
        <v>#NAME?</v>
      </c>
      <c r="CY295" s="4" t="e">
        <f ca="1">_xll.BDH($C$278,"INVENT_TURN","FQ2 2017","FQ2 2017","Currency=INR","Period=FQ","BEST_FPERIOD_OVERRIDE=FQ","FILING_STATUS=OR","EQY_CONSOLIDATED=Y","FA_ADJUSTED=GAAP","Sort=A","Dates=H","DateFormat=P","Fill=—","Direction=H","UseDPDF=Y")</f>
        <v>#NAME?</v>
      </c>
      <c r="CZ295" s="2" t="e">
        <f ca="1">_xll.BDH($C$278,"INVENT_DAYS","FQ2 2017","FQ2 2017","Currency=INR","Period=FQ","BEST_FPERIOD_OVERRIDE=FQ","FILING_STATUS=OR","EQY_CONSOLIDATED=Y","FA_ADJUSTED=GAAP","Sort=A","Dates=H","DateFormat=P","Fill=—","Direction=H","UseDPDF=Y")</f>
        <v>#NAME?</v>
      </c>
      <c r="DA295" s="4" t="e">
        <f ca="1">_xll.BDH($C$278,"ACCOUNTS_PAYABLE_TURNOVER","FQ2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295" s="2" t="e">
        <f ca="1">_xll.BDH($C$278,"ACCOUNTS_PAYABLE_TURNOVER_DAYS","FQ2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295" s="4" t="e">
        <f ca="1">_xll.BDH($C$278,"CASH_CONVERSION_CYCLE","FQ2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295" s="4" t="e">
        <f ca="1">_xll.BDH($C$278,"INV_TO_CASH_DAYS","FQ2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295" s="5" t="e">
        <f ca="1">_xll.BDH($C$278,"BS_INVENTORIES","FQ2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295" s="3" t="e">
        <f ca="1">_xll.BDH($C$278,"INVTRY_RAW_MATERIALS","FQ2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295" s="3" t="e">
        <f ca="1">_xll.BDH($C$278,"INVTRY_IN_PROGRESS","FQ2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295" s="3" t="e">
        <f ca="1">_xll.BDH($C$278,"INVTRY_FINISHED_GOODS","FQ2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295" s="3" t="e">
        <f ca="1">_xll.BDH($C$278,"BS_OTHER_INV","FQ2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296" spans="1:113" x14ac:dyDescent="0.3">
      <c r="A296" s="6"/>
      <c r="B296" s="6"/>
      <c r="C296" s="6"/>
      <c r="D296" s="6"/>
      <c r="E296" t="s">
        <v>80</v>
      </c>
      <c r="F296" t="e">
        <f ca="1">_xll.BDH($C$278,"RETURN_COM_EQY","FQ3 2017","FQ3 2017","Currency=INR","Period=FQ","BEST_FPERIOD_OVERRIDE=FQ","FILING_STATUS=OR","EQY_CONSOLIDATED=Y","FA_ADJUSTED=GAAP","Sort=A","Dates=H","DateFormat=P","Fill=—","Direction=H","UseDPDF=Y")</f>
        <v>#NAME?</v>
      </c>
      <c r="G296" t="e">
        <f ca="1">_xll.BDH($C$278,"RETURN_ON_ASSET","FQ3 2017","FQ3 2017","Currency=INR","Period=FQ","BEST_FPERIOD_OVERRIDE=FQ","FILING_STATUS=OR","EQY_CONSOLIDATED=Y","FA_ADJUSTED=GAAP","Sort=A","Dates=H","DateFormat=P","Fill=—","Direction=H","UseDPDF=Y")</f>
        <v>#NAME?</v>
      </c>
      <c r="H296" t="e">
        <f ca="1">_xll.BDH($C$278,"RETURN_ON_CAP","FQ3 2017","FQ3 2017","Currency=INR","Period=FQ","BEST_FPERIOD_OVERRIDE=FQ","FILING_STATUS=OR","EQY_CONSOLIDATED=Y","FA_ADJUSTED=GAAP","Sort=A","Dates=H","DateFormat=P","Fill=—","Direction=H","UseDPDF=Y")</f>
        <v>#NAME?</v>
      </c>
      <c r="I296" t="e">
        <f ca="1">_xll.BDH($C$278,"RETURN_ON_INV_CAPITAL","FQ3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296" t="e">
        <f ca="1">_xll.BDH($C$278,"EBITDA_TO_REVENUE","FQ3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296" t="e">
        <f ca="1">_xll.BDH($C$278,"OPER_MARGIN","FQ3 2017","FQ3 2017","Currency=INR","Period=FQ","BEST_FPERIOD_OVERRIDE=FQ","FILING_STATUS=OR","EQY_CONSOLIDATED=Y","FA_ADJUSTED=GAAP","Sort=A","Dates=H","DateFormat=P","Fill=—","Direction=H","UseDPDF=Y")</f>
        <v>#NAME?</v>
      </c>
      <c r="L296" t="e">
        <f ca="1">_xll.BDH($C$278,"INCREMENTAL_OPERATING_MARGIN","FQ3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296" t="e">
        <f ca="1">_xll.BDH($C$278,"PRETAX_INC_TO_NET_SALES","FQ3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296" t="e">
        <f ca="1">_xll.BDH($C$278,"INC_BEF_XO_ITEMS_TO_NET_SALES","FQ3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296" t="e">
        <f ca="1">_xll.BDH($C$278,"PROF_MARGIN","FQ3 2017","FQ3 2017","Currency=INR","Period=FQ","BEST_FPERIOD_OVERRIDE=FQ","FILING_STATUS=OR","EQY_CONSOLIDATED=Y","FA_ADJUSTED=GAAP","Sort=A","Dates=H","DateFormat=P","Fill=—","Direction=H","UseDPDF=Y")</f>
        <v>#NAME?</v>
      </c>
      <c r="P296" t="e">
        <f ca="1">_xll.BDH($C$278,"NET_INCOME_TO_COMMON_MARGIN","FQ3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296" t="e">
        <f ca="1">_xll.BDH($C$278,"EFF_TAX_RATE","FQ3 2017","FQ3 2017","Currency=INR","Period=FQ","BEST_FPERIOD_OVERRIDE=FQ","FILING_STATUS=OR","EQY_CONSOLIDATED=Y","FA_ADJUSTED=GAAP","Sort=A","Dates=H","DateFormat=P","Fill=—","Direction=H","UseDPDF=Y")</f>
        <v>#NAME?</v>
      </c>
      <c r="R296" t="e">
        <f ca="1">_xll.BDH($C$278,"DVD_PAYOUT_RATIO","FQ3 2017","FQ3 2017","Currency=INR","Period=FQ","BEST_FPERIOD_OVERRIDE=FQ","FILING_STATUS=OR","EQY_CONSOLIDATED=Y","FA_ADJUSTED=GAAP","Sort=A","Dates=H","DateFormat=P","Fill=—","Direction=H","UseDPDF=Y")</f>
        <v>#NAME?</v>
      </c>
      <c r="S296" t="e">
        <f ca="1">_xll.BDH($C$278,"SUSTAIN_GROWTH_RT","FQ3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296" s="2" t="e">
        <f ca="1">_xll.BDH($C$278,"SALES_GROWTH","FQ3 2017","FQ3 2017","Currency=INR","Period=FQ","BEST_FPERIOD_OVERRIDE=FQ","FILING_STATUS=OR","EQY_CONSOLIDATED=Y","FA_ADJUSTED=GAAP","Sort=A","Dates=H","DateFormat=P","Fill=—","Direction=H","UseDPDF=Y")</f>
        <v>#NAME?</v>
      </c>
      <c r="U296" s="2" t="e">
        <f ca="1">_xll.BDH($C$278,"EBITDA_GROWTH","FQ3 2017","FQ3 2017","Currency=INR","Period=FQ","BEST_FPERIOD_OVERRIDE=FQ","FILING_STATUS=OR","EQY_CONSOLIDATED=Y","FA_ADJUSTED=GAAP","Sort=A","Dates=H","DateFormat=P","Fill=—","Direction=H","UseDPDF=Y")</f>
        <v>#NAME?</v>
      </c>
      <c r="V296" s="2" t="e">
        <f ca="1">_xll.BDH($C$278,"OPER_INC_GROWTH","FQ3 2017","FQ3 2017","Currency=INR","Period=FQ","BEST_FPERIOD_OVERRIDE=FQ","FILING_STATUS=OR","EQY_CONSOLIDATED=Y","FA_ADJUSTED=GAAP","Sort=A","Dates=H","DateFormat=P","Fill=—","Direction=H","UseDPDF=Y")</f>
        <v>#NAME?</v>
      </c>
      <c r="W296" s="2" t="e">
        <f ca="1">_xll.BDH($C$278,"EARN_FOR_COM_GROWTH","FQ3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296" s="2" t="e">
        <f ca="1">_xll.BDH($C$278,"DILUTED_EPS_AFT_XO_ITEMS_GROWTH","FQ3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296" s="2" t="e">
        <f ca="1">_xll.BDH($C$278,"DIVIDEND_PER_SHARE_1_YEAR_GROWTH","FQ3 2017","FQ3 2017","Currency=INR","Period=FQ","BEST_FPERIOD_OVERRIDE=FQ","FILING_STATUS=OR","EQY_CONSOLIDATED=Y","Sort=A","Dates=H","DateFormat=P","Fill=—","Direction=H","UseDPDF=Y")</f>
        <v>#NAME?</v>
      </c>
      <c r="Z296" s="2" t="e">
        <f ca="1">_xll.BDH($C$278,"ACCOUNTS_RECEIVABLE_GROWTH","FQ3 2017","FQ3 2017","Currency=INR","Period=FQ","BEST_FPERIOD_OVERRIDE=FQ","FILING_STATUS=OR","EQY_CONSOLIDATED=Y","Sort=A","Dates=H","DateFormat=P","Fill=—","Direction=H","UseDPDF=Y")</f>
        <v>#NAME?</v>
      </c>
      <c r="AA296" s="2" t="e">
        <f ca="1">_xll.BDH($C$278,"INVENTORY_GROWTH","FQ3 2017","FQ3 2017","Currency=INR","Period=FQ","BEST_FPERIOD_OVERRIDE=FQ","FILING_STATUS=OR","EQY_CONSOLIDATED=Y","Sort=A","Dates=H","DateFormat=P","Fill=—","Direction=H","UseDPDF=Y")</f>
        <v>#NAME?</v>
      </c>
      <c r="AB296" s="2" t="e">
        <f ca="1">_xll.BDH($C$278,"NET_FIXED_ASSETS_1_YEAR_GROWTH","FQ3 2017","FQ3 2017","Currency=INR","Period=FQ","BEST_FPERIOD_OVERRIDE=FQ","FILING_STATUS=OR","EQY_CONSOLIDATED=Y","Sort=A","Dates=H","DateFormat=P","Fill=—","Direction=H","UseDPDF=Y")</f>
        <v>#NAME?</v>
      </c>
      <c r="AC296" s="2" t="e">
        <f ca="1">_xll.BDH($C$278,"ASSET_GROWTH","FQ3 2017","FQ3 2017","Currency=INR","Period=FQ","BEST_FPERIOD_OVERRIDE=FQ","FILING_STATUS=OR","EQY_CONSOLIDATED=Y","Sort=A","Dates=H","DateFormat=P","Fill=—","Direction=H","UseDPDF=Y")</f>
        <v>#NAME?</v>
      </c>
      <c r="AD296" s="2" t="e">
        <f ca="1">_xll.BDH($C$278,"MODIFIED_WORK_CAP_GROWTH","FQ3 2017","FQ3 2017","Currency=INR","Period=FQ","BEST_FPERIOD_OVERRIDE=FQ","FILING_STATUS=OR","EQY_CONSOLIDATED=Y","Sort=A","Dates=H","DateFormat=P","Fill=—","Direction=H","UseDPDF=Y")</f>
        <v>#NAME?</v>
      </c>
      <c r="AE296" s="2" t="e">
        <f ca="1">_xll.BDH($C$278,"WORK_CAP_GROWTH","FQ3 2017","FQ3 2017","Currency=INR","Period=FQ","BEST_FPERIOD_OVERRIDE=FQ","FILING_STATUS=OR","EQY_CONSOLIDATED=Y","Sort=A","Dates=H","DateFormat=P","Fill=—","Direction=H","UseDPDF=Y")</f>
        <v>#NAME?</v>
      </c>
      <c r="AF296" s="2" t="e">
        <f ca="1">_xll.BDH($C$278,"ACCOUNTS_PAYABLE_GROWTH_1YR","FQ3 2017","FQ3 2017","Currency=INR","Period=FQ","BEST_FPERIOD_OVERRIDE=FQ","FILING_STATUS=OR","EQY_CONSOLIDATED=Y","Sort=A","Dates=H","DateFormat=P","Fill=—","Direction=H","UseDPDF=Y")</f>
        <v>#NAME?</v>
      </c>
      <c r="AG296" s="2" t="e">
        <f ca="1">_xll.BDH($C$278,"SHORT_TERM_DEBT_1_YEAR_GROWTH","FQ3 2017","FQ3 2017","Currency=INR","Period=FQ","BEST_FPERIOD_OVERRIDE=FQ","FILING_STATUS=OR","EQY_CONSOLIDATED=Y","Sort=A","Dates=H","DateFormat=P","Fill=—","Direction=H","UseDPDF=Y")</f>
        <v>#NAME?</v>
      </c>
      <c r="AH296" s="2" t="e">
        <f ca="1">_xll.BDH($C$278,"TOTAL_DEBT_1_YEAR_GROWTH","FQ3 2017","FQ3 2017","Currency=INR","Period=FQ","BEST_FPERIOD_OVERRIDE=FQ","FILING_STATUS=OR","EQY_CONSOLIDATED=Y","Sort=A","Dates=H","DateFormat=P","Fill=—","Direction=H","UseDPDF=Y")</f>
        <v>#NAME?</v>
      </c>
      <c r="AI296" s="2" t="e">
        <f ca="1">_xll.BDH($C$278,"TOTAL_EQUITY_1_YEAR_GROWTH","FQ3 2017","FQ3 2017","Currency=INR","Period=FQ","BEST_FPERIOD_OVERRIDE=FQ","FILING_STATUS=OR","EQY_CONSOLIDATED=Y","Sort=A","Dates=H","DateFormat=P","Fill=—","Direction=H","UseDPDF=Y")</f>
        <v>#NAME?</v>
      </c>
      <c r="AJ296" s="2" t="e">
        <f ca="1">_xll.BDH($C$278,"GROWTH_IN_CAP","FQ3 2017","FQ3 2017","Currency=INR","Period=FQ","BEST_FPERIOD_OVERRIDE=FQ","FILING_STATUS=OR","EQY_CONSOLIDATED=Y","Sort=A","Dates=H","DateFormat=P","Fill=—","Direction=H","UseDPDF=Y")</f>
        <v>#NAME?</v>
      </c>
      <c r="AK296" s="2" t="e">
        <f ca="1">_xll.BDH($C$278,"BVPS_GROWTH","FQ3 2017","FQ3 2017","Currency=INR","Period=FQ","BEST_FPERIOD_OVERRIDE=FQ","FILING_STATUS=OR","EQY_CONSOLIDATED=Y","Sort=A","Dates=H","DateFormat=P","Fill=—","Direction=H","UseDPDF=Y")</f>
        <v>#NAME?</v>
      </c>
      <c r="AL296" s="2" t="e">
        <f ca="1">_xll.BDH($C$278,"CASH_FLOW_GROWTH","FQ3 2017","FQ3 2017","Currency=INR","Period=FQ","BEST_FPERIOD_OVERRIDE=FQ","FILING_STATUS=OR","EQY_CONSOLIDATED=Y","Sort=A","Dates=H","DateFormat=P","Fill=—","Direction=H","UseDPDF=Y")</f>
        <v>#NAME?</v>
      </c>
      <c r="AM296" s="2" t="e">
        <f ca="1">_xll.BDH($C$278,"GEO_GROW_NET_SALES","FQ3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296" s="2" t="e">
        <f ca="1">_xll.BDH($C$278,"GEO_GROW_EBITDA","FQ3 2017","FQ3 2017","Currency=INR","Period=FQ","BEST_FPERIOD_OVERRIDE=FQ","FILING_STATUS=OR","EQY_CONSOLIDATED=Y","FA_ADJUSTED=GAAP","Sort=A","Dates=H","DateFormat=P","Fill=—","Direction=H","UseDPDF=Y")</f>
        <v>#NAME?</v>
      </c>
      <c r="AO296" s="2" t="e">
        <f ca="1">_xll.BDH($C$278,"GEO_GROW_OPER_INC","FQ3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296" s="2" t="e">
        <f ca="1">_xll.BDH($C$278,"NET_INCOME_TO_COMMON_5_YR_GROWTH","FQ3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296" s="2" t="e">
        <f ca="1">_xll.BDH($C$278,"5Y_GEO_GROWTH_DILUTED_EPS","FQ3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296" s="2" t="e">
        <f ca="1">_xll.BDH($C$278,"GEO_GROW_DVD_PER_SH","FQ3 2017","FQ3 2017","Currency=INR","Period=FQ","BEST_FPERIOD_OVERRIDE=FQ","FILING_STATUS=OR","EQY_CONSOLIDATED=Y","Sort=A","Dates=H","DateFormat=P","Fill=—","Direction=H","UseDPDF=Y")</f>
        <v>#NAME?</v>
      </c>
      <c r="AS296" s="2" t="e">
        <f ca="1">_xll.BDH($C$278,"ACCOUNTS_RECEIVABLE_5_YR_GROWTH","FQ3 2017","FQ3 2017","Currency=INR","Period=FQ","BEST_FPERIOD_OVERRIDE=FQ","FILING_STATUS=OR","EQY_CONSOLIDATED=Y","Sort=A","Dates=H","DateFormat=P","Fill=—","Direction=H","UseDPDF=Y")</f>
        <v>#NAME?</v>
      </c>
      <c r="AT296" s="2" t="e">
        <f ca="1">_xll.BDH($C$278,"INVENTORY_5_YEAR_GROWTH","FQ3 2017","FQ3 2017","Currency=INR","Period=FQ","BEST_FPERIOD_OVERRIDE=FQ","FILING_STATUS=OR","EQY_CONSOLIDATED=Y","Sort=A","Dates=H","DateFormat=P","Fill=—","Direction=H","UseDPDF=Y")</f>
        <v>#NAME?</v>
      </c>
      <c r="AU296" s="2" t="e">
        <f ca="1">_xll.BDH($C$278,"NET_FIXED_ASSETS_5_YEAR_GROWTH","FQ3 2017","FQ3 2017","Currency=INR","Period=FQ","BEST_FPERIOD_OVERRIDE=FQ","FILING_STATUS=OR","EQY_CONSOLIDATED=Y","Sort=A","Dates=H","DateFormat=P","Fill=—","Direction=H","UseDPDF=Y")</f>
        <v>#NAME?</v>
      </c>
      <c r="AV296" s="2" t="e">
        <f ca="1">_xll.BDH($C$278,"GEO_GROW_TOT_ASSET","FQ3 2017","FQ3 2017","Currency=INR","Period=FQ","BEST_FPERIOD_OVERRIDE=FQ","FILING_STATUS=OR","EQY_CONSOLIDATED=Y","Sort=A","Dates=H","DateFormat=P","Fill=—","Direction=H","UseDPDF=Y")</f>
        <v>#NAME?</v>
      </c>
      <c r="AW296" s="2" t="e">
        <f ca="1">_xll.BDH($C$278,"MODIFIED_WORKING_CPTL_5YR_GRWTH","FQ3 2017","FQ3 2017","Currency=INR","Period=FQ","BEST_FPERIOD_OVERRIDE=FQ","FILING_STATUS=OR","EQY_CONSOLIDATED=Y","Sort=A","Dates=H","DateFormat=P","Fill=—","Direction=H","UseDPDF=Y")</f>
        <v>#NAME?</v>
      </c>
      <c r="AX296" s="2" t="e">
        <f ca="1">_xll.BDH($C$278,"WORKING_CAPITAL_5_YEAR_GROWTH","FQ3 2017","FQ3 2017","Currency=INR","Period=FQ","BEST_FPERIOD_OVERRIDE=FQ","FILING_STATUS=OR","EQY_CONSOLIDATED=Y","Sort=A","Dates=H","DateFormat=P","Fill=—","Direction=H","UseDPDF=Y")</f>
        <v>#NAME?</v>
      </c>
      <c r="AY296" s="2" t="e">
        <f ca="1">_xll.BDH($C$278,"ACCOUNTS_PAYABLE_5_YEAR_GROWTH","FQ3 2017","FQ3 2017","Currency=INR","Period=FQ","BEST_FPERIOD_OVERRIDE=FQ","FILING_STATUS=OR","EQY_CONSOLIDATED=Y","Sort=A","Dates=H","DateFormat=P","Fill=—","Direction=H","UseDPDF=Y")</f>
        <v>#NAME?</v>
      </c>
      <c r="AZ296" s="2" t="e">
        <f ca="1">_xll.BDH($C$278,"SHORT_TERM_DEBT_5_YEAR_GROWTH","FQ3 2017","FQ3 2017","Currency=INR","Period=FQ","BEST_FPERIOD_OVERRIDE=FQ","FILING_STATUS=OR","EQY_CONSOLIDATED=Y","Sort=A","Dates=H","DateFormat=P","Fill=—","Direction=H","UseDPDF=Y")</f>
        <v>#NAME?</v>
      </c>
      <c r="BA296" s="2" t="e">
        <f ca="1">_xll.BDH($C$278,"TOTAL_DEBT_5_YEAR_GROWTH","FQ3 2017","FQ3 2017","Currency=INR","Period=FQ","BEST_FPERIOD_OVERRIDE=FQ","FILING_STATUS=OR","EQY_CONSOLIDATED=Y","Sort=A","Dates=H","DateFormat=P","Fill=—","Direction=H","UseDPDF=Y")</f>
        <v>#NAME?</v>
      </c>
      <c r="BB296" s="2" t="e">
        <f ca="1">_xll.BDH($C$278,"GEO_GROW_TOT_SHRHLDR_EQY","FQ3 2017","FQ3 2017","Currency=INR","Period=FQ","BEST_FPERIOD_OVERRIDE=FQ","FILING_STATUS=OR","EQY_CONSOLIDATED=Y","Sort=A","Dates=H","DateFormat=P","Fill=—","Direction=H","UseDPDF=Y")</f>
        <v>#NAME?</v>
      </c>
      <c r="BC296" s="2" t="e">
        <f ca="1">_xll.BDH($C$278,"TOTAL_CAPITAL_5_YEAR_GROWTH","FQ3 2017","FQ3 2017","Currency=INR","Period=FQ","BEST_FPERIOD_OVERRIDE=FQ","FILING_STATUS=OR","EQY_CONSOLIDATED=Y","Sort=A","Dates=H","DateFormat=P","Fill=—","Direction=H","UseDPDF=Y")</f>
        <v>#NAME?</v>
      </c>
      <c r="BD296" s="2" t="e">
        <f ca="1">_xll.BDH($C$278,"GEO_GROW_BOOK_VAL","FQ3 2017","FQ3 2017","Currency=INR","Period=FQ","BEST_FPERIOD_OVERRIDE=FQ","FILING_STATUS=OR","EQY_CONSOLIDATED=Y","Sort=A","Dates=H","DateFormat=P","Fill=—","Direction=H","UseDPDF=Y")</f>
        <v>#NAME?</v>
      </c>
      <c r="BE296" s="2" t="e">
        <f ca="1">_xll.BDH($C$278,"GEO_GROW_CASH_OPER_ACT","FQ3 2017","FQ3 2017","Currency=INR","Period=FQ","BEST_FPERIOD_OVERRIDE=FQ","FILING_STATUS=OR","EQY_CONSOLIDATED=Y","Sort=A","Dates=H","DateFormat=P","Fill=—","Direction=H","UseDPDF=Y")</f>
        <v>#NAME?</v>
      </c>
      <c r="BF296" s="2" t="e">
        <f ca="1">_xll.BDH($C$278,"REVENUE_SEQUENTIAL_GROWTH","FQ3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296" s="2" t="e">
        <f ca="1">_xll.BDH($C$278,"EBITDA_SEQUENTIAL_GROWTH","FQ3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296" s="2" t="e">
        <f ca="1">_xll.BDH($C$278,"OPERATING_INCOME_SEQ_GROWTH","FQ3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296" s="2" t="e">
        <f ca="1">_xll.BDH($C$278,"NET_INCOME_TO_COMMON_SEQ_GROWTH","FQ3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296" s="2" t="e">
        <f ca="1">_xll.BDH($C$278,"EPS_DILUTED_SEQUENTIAL_GROWTH","FQ3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296" s="2" t="e">
        <f ca="1">_xll.BDH($C$278,"DPS_SEQUENTIAL_GROWTH","FQ3 2017","FQ3 2017","Currency=INR","Period=FQ","BEST_FPERIOD_OVERRIDE=FQ","FILING_STATUS=OR","EQY_CONSOLIDATED=Y","Sort=A","Dates=H","DateFormat=P","Fill=—","Direction=H","UseDPDF=Y")</f>
        <v>#NAME?</v>
      </c>
      <c r="BL296" s="2" t="e">
        <f ca="1">_xll.BDH($C$278,"ACCOUNTS_RECEIVABLE_SEQ_GROWTH","FQ3 2017","FQ3 2017","Currency=INR","Period=FQ","BEST_FPERIOD_OVERRIDE=FQ","FILING_STATUS=OR","EQY_CONSOLIDATED=Y","Sort=A","Dates=H","DateFormat=P","Fill=—","Direction=H","UseDPDF=Y")</f>
        <v>#NAME?</v>
      </c>
      <c r="BM296" s="2" t="e">
        <f ca="1">_xll.BDH($C$278,"INVENTORY_SEQUENTIAL_GROWTH","FQ3 2017","FQ3 2017","Currency=INR","Period=FQ","BEST_FPERIOD_OVERRIDE=FQ","FILING_STATUS=OR","EQY_CONSOLIDATED=Y","Sort=A","Dates=H","DateFormat=P","Fill=—","Direction=H","UseDPDF=Y")</f>
        <v>#NAME?</v>
      </c>
      <c r="BN296" s="2" t="e">
        <f ca="1">_xll.BDH($C$278,"FIXED_ASSETS_SEQUENTIAL_GROWTH","FQ3 2017","FQ3 2017","Currency=INR","Period=FQ","BEST_FPERIOD_OVERRIDE=FQ","FILING_STATUS=OR","EQY_CONSOLIDATED=Y","Sort=A","Dates=H","DateFormat=P","Fill=—","Direction=H","UseDPDF=Y")</f>
        <v>#NAME?</v>
      </c>
      <c r="BO296" s="2" t="e">
        <f ca="1">_xll.BDH($C$278,"TOTAL_ASSETS_SEQUENTIAL_GROWTH","FQ3 2017","FQ3 2017","Currency=INR","Period=FQ","BEST_FPERIOD_OVERRIDE=FQ","FILING_STATUS=OR","EQY_CONSOLIDATED=Y","Sort=A","Dates=H","DateFormat=P","Fill=—","Direction=H","UseDPDF=Y")</f>
        <v>#NAME?</v>
      </c>
      <c r="BP296" s="2" t="e">
        <f ca="1">_xll.BDH($C$278,"MODIFIED_WORKING_CPTL_SEQ_GRWTH","FQ3 2017","FQ3 2017","Currency=INR","Period=FQ","BEST_FPERIOD_OVERRIDE=FQ","FILING_STATUS=OR","EQY_CONSOLIDATED=Y","Sort=A","Dates=H","DateFormat=P","Fill=—","Direction=H","UseDPDF=Y")</f>
        <v>#NAME?</v>
      </c>
      <c r="BQ296" s="2" t="e">
        <f ca="1">_xll.BDH($C$278,"WORKING_CAPITAL_SEQ_GROWTH","FQ3 2017","FQ3 2017","Currency=INR","Period=FQ","BEST_FPERIOD_OVERRIDE=FQ","FILING_STATUS=OR","EQY_CONSOLIDATED=Y","Sort=A","Dates=H","DateFormat=P","Fill=—","Direction=H","UseDPDF=Y")</f>
        <v>#NAME?</v>
      </c>
      <c r="BR296" s="2" t="e">
        <f ca="1">_xll.BDH($C$278,"ACCOUNTS_PAYABLE_SEQ_GROWTH","FQ3 2017","FQ3 2017","Currency=INR","Period=FQ","BEST_FPERIOD_OVERRIDE=FQ","FILING_STATUS=OR","EQY_CONSOLIDATED=Y","Sort=A","Dates=H","DateFormat=P","Fill=—","Direction=H","UseDPDF=Y")</f>
        <v>#NAME?</v>
      </c>
      <c r="BS296" s="2" t="e">
        <f ca="1">_xll.BDH($C$278,"ST_DEBT_SEQUENTIAL_GROWTH","FQ3 2017","FQ3 2017","Currency=INR","Period=FQ","BEST_FPERIOD_OVERRIDE=FQ","FILING_STATUS=OR","EQY_CONSOLIDATED=Y","Sort=A","Dates=H","DateFormat=P","Fill=—","Direction=H","UseDPDF=Y")</f>
        <v>#NAME?</v>
      </c>
      <c r="BT296" s="2" t="e">
        <f ca="1">_xll.BDH($C$278,"TOTAL_DEBT_SEQUENTIAL_GROWTH","FQ3 2017","FQ3 2017","Currency=INR","Period=FQ","BEST_FPERIOD_OVERRIDE=FQ","FILING_STATUS=OR","EQY_CONSOLIDATED=Y","Sort=A","Dates=H","DateFormat=P","Fill=—","Direction=H","UseDPDF=Y")</f>
        <v>#NAME?</v>
      </c>
      <c r="BU296" s="2" t="e">
        <f ca="1">_xll.BDH($C$278,"TOTAL_EQUITY_SEQUENTIAL_GROWTH","FQ3 2017","FQ3 2017","Currency=INR","Period=FQ","BEST_FPERIOD_OVERRIDE=FQ","FILING_STATUS=OR","EQY_CONSOLIDATED=Y","Sort=A","Dates=H","DateFormat=P","Fill=—","Direction=H","UseDPDF=Y")</f>
        <v>#NAME?</v>
      </c>
      <c r="BV296" s="2" t="e">
        <f ca="1">_xll.BDH($C$278,"TOTAL_CAPITAL_SEQUENTIAL_GROWTH","FQ3 2017","FQ3 2017","Currency=INR","Period=FQ","BEST_FPERIOD_OVERRIDE=FQ","FILING_STATUS=OR","EQY_CONSOLIDATED=Y","Sort=A","Dates=H","DateFormat=P","Fill=—","Direction=H","UseDPDF=Y")</f>
        <v>#NAME?</v>
      </c>
      <c r="BW296" s="2" t="e">
        <f ca="1">_xll.BDH($C$278,"BPS_SEQUENTIAL_GROWTH","FQ3 2017","FQ3 2017","Currency=INR","Period=FQ","BEST_FPERIOD_OVERRIDE=FQ","FILING_STATUS=OR","EQY_CONSOLIDATED=Y","Sort=A","Dates=H","DateFormat=P","Fill=—","Direction=H","UseDPDF=Y")</f>
        <v>#NAME?</v>
      </c>
      <c r="BX296" s="2" t="e">
        <f ca="1">_xll.BDH($C$278,"CFO_SEQUENTIAL_GROWTH","FQ3 2017","FQ3 2017","Currency=INR","Period=FQ","BEST_FPERIOD_OVERRIDE=FQ","FILING_STATUS=OR","EQY_CONSOLIDATED=Y","Sort=A","Dates=H","DateFormat=P","Fill=—","Direction=H","UseDPDF=Y")</f>
        <v>#NAME?</v>
      </c>
      <c r="BY296" s="3" t="e">
        <f ca="1">_xll.BDH($C$278,"SHORT_AND_LONG_TERM_DEBT","FQ3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296" s="3" t="e">
        <f ca="1">_xll.BDH($C$278,"BS_ST_BORROW","FQ3 2017","FQ3 2017","Currency=INR","Period=FQ","BEST_FPERIOD_OVERRIDE=FQ","FILING_STATUS=OR","EQY_CONSOLIDATED=Y","SCALING_FORMAT=MLN","Sort=A","Dates=H","DateFormat=P","Fill=—","Direction=H","UseDPDF=Y")</f>
        <v>#NAME?</v>
      </c>
      <c r="CA296" s="3" t="e">
        <f ca="1">_xll.BDH($C$278,"BS_LT_BORROW","FQ3 2017","FQ3 2017","Currency=INR","Period=FQ","BEST_FPERIOD_OVERRIDE=FQ","FILING_STATUS=OR","EQY_CONSOLIDATED=Y","SCALING_FORMAT=MLN","Sort=A","Dates=H","DateFormat=P","Fill=—","Direction=H","UseDPDF=Y")</f>
        <v>#NAME?</v>
      </c>
      <c r="CB296" s="2" t="e">
        <f ca="1">_xll.BDH($C$278,"TOT_DEBT_TO_EBITDA","FQ3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296" s="2" t="e">
        <f ca="1">_xll.BDH($C$278,"NET_DEBT_TO_EBITDA","FQ3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296" s="2" t="e">
        <f ca="1">_xll.BDH($C$278,"TOTAL_DEBT_TO_EBIT","FQ3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296" s="2" t="e">
        <f ca="1">_xll.BDH($C$278,"NET_DEBT_TO_EBIT","FQ3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296" s="2" t="e">
        <f ca="1">_xll.BDH($C$278,"EBITDA_TO_INTEREST_EXPN","FQ3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296" s="2" t="e">
        <f ca="1">_xll.BDH($C$278,"COM_EQY_TO_TOT_ASSET","FQ3 2017","FQ3 2017","Currency=INR","Period=FQ","BEST_FPERIOD_OVERRIDE=FQ","FILING_STATUS=OR","EQY_CONSOLIDATED=Y","Sort=A","Dates=H","DateFormat=P","Fill=—","Direction=H","UseDPDF=Y")</f>
        <v>#NAME?</v>
      </c>
      <c r="CH296" s="2" t="e">
        <f ca="1">_xll.BDH($C$278,"LT_DEBT_TO_TOT_EQY","FQ3 2017","FQ3 2017","Currency=INR","Period=FQ","BEST_FPERIOD_OVERRIDE=FQ","FILING_STATUS=OR","EQY_CONSOLIDATED=Y","Sort=A","Dates=H","DateFormat=P","Fill=—","Direction=H","UseDPDF=Y")</f>
        <v>#NAME?</v>
      </c>
      <c r="CI296" s="2" t="e">
        <f ca="1">_xll.BDH($C$278,"LT_DEBT_TO_TOT_CAP","FQ3 2017","FQ3 2017","Currency=INR","Period=FQ","BEST_FPERIOD_OVERRIDE=FQ","FILING_STATUS=OR","EQY_CONSOLIDATED=Y","Sort=A","Dates=H","DateFormat=P","Fill=—","Direction=H","UseDPDF=Y")</f>
        <v>#NAME?</v>
      </c>
      <c r="CJ296" s="2" t="e">
        <f ca="1">_xll.BDH($C$278,"LT_DEBT_TO_TOT_ASSET","FQ3 2017","FQ3 2017","Currency=INR","Period=FQ","BEST_FPERIOD_OVERRIDE=FQ","FILING_STATUS=OR","EQY_CONSOLIDATED=Y","Sort=A","Dates=H","DateFormat=P","Fill=—","Direction=H","UseDPDF=Y")</f>
        <v>#NAME?</v>
      </c>
      <c r="CK296" s="2" t="e">
        <f ca="1">_xll.BDH($C$278,"TOT_DEBT_TO_TOT_EQY","FQ3 2017","FQ3 2017","Currency=INR","Period=FQ","BEST_FPERIOD_OVERRIDE=FQ","FILING_STATUS=OR","EQY_CONSOLIDATED=Y","Sort=A","Dates=H","DateFormat=P","Fill=—","Direction=H","UseDPDF=Y")</f>
        <v>#NAME?</v>
      </c>
      <c r="CL296" s="2" t="e">
        <f ca="1">_xll.BDH($C$278,"TOT_DEBT_TO_TOT_CAP","FQ3 2017","FQ3 2017","Currency=INR","Period=FQ","BEST_FPERIOD_OVERRIDE=FQ","FILING_STATUS=OR","EQY_CONSOLIDATED=Y","Sort=A","Dates=H","DateFormat=P","Fill=—","Direction=H","UseDPDF=Y")</f>
        <v>#NAME?</v>
      </c>
      <c r="CM296" s="2" t="e">
        <f ca="1">_xll.BDH($C$278,"TOT_DEBT_TO_TOT_ASSET","FQ3 2017","FQ3 2017","Currency=INR","Period=FQ","BEST_FPERIOD_OVERRIDE=FQ","FILING_STATUS=OR","EQY_CONSOLIDATED=Y","Sort=A","Dates=H","DateFormat=P","Fill=—","Direction=H","UseDPDF=Y")</f>
        <v>#NAME?</v>
      </c>
      <c r="CN296" s="2" t="e">
        <f ca="1">_xll.BDH($C$278,"NET_DEBT_TO_SHRHLDR_EQTY","FQ3 2017","FQ3 2017","Currency=INR","Period=FQ","BEST_FPERIOD_OVERRIDE=FQ","FILING_STATUS=OR","EQY_CONSOLIDATED=Y","Sort=A","Dates=H","DateFormat=P","Fill=—","Direction=H","UseDPDF=Y")</f>
        <v>#NAME?</v>
      </c>
      <c r="CO296" s="2" t="e">
        <f ca="1">_xll.BDH($C$278,"NET_DEBT_%_CAPITAL","FQ3 2017","FQ3 2017","Currency=INR","Period=FQ","BEST_FPERIOD_OVERRIDE=FQ","FILING_STATUS=OR","EQY_CONSOLIDATED=Y","Sort=A","Dates=H","DateFormat=P","Fill=—","Direction=H","UseDPDF=Y")</f>
        <v>#NAME?</v>
      </c>
      <c r="CP296" s="3" t="e">
        <f ca="1">_xll.BDH($C$278,"EBITDA","FQ3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296" s="3" t="e">
        <f ca="1">_xll.BDH($C$278,"EBITDA_AFTER_CAPEX","FQ3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296" s="3" t="e">
        <f ca="1">_xll.BDH($C$278,"IS_OPER_INC","FQ3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296" s="2" t="e">
        <f ca="1">_xll.BDH($C$278,"CASH_RATIO","FQ3 2017","FQ3 2017","Currency=INR","Period=FQ","BEST_FPERIOD_OVERRIDE=FQ","FILING_STATUS=OR","EQY_CONSOLIDATED=Y","Sort=A","Dates=H","DateFormat=P","Fill=—","Direction=H","UseDPDF=Y")</f>
        <v>#NAME?</v>
      </c>
      <c r="CT296" s="2" t="e">
        <f ca="1">_xll.BDH($C$278,"CUR_RATIO","FQ3 2017","FQ3 2017","Currency=INR","Period=FQ","BEST_FPERIOD_OVERRIDE=FQ","FILING_STATUS=OR","EQY_CONSOLIDATED=Y","Sort=A","Dates=H","DateFormat=P","Fill=—","Direction=H","UseDPDF=Y")</f>
        <v>#NAME?</v>
      </c>
      <c r="CU296" s="2" t="e">
        <f ca="1">_xll.BDH($C$278,"QUICK_RATIO","FQ3 2017","FQ3 2017","Currency=INR","Period=FQ","BEST_FPERIOD_OVERRIDE=FQ","FILING_STATUS=OR","EQY_CONSOLIDATED=Y","Sort=A","Dates=H","DateFormat=P","Fill=—","Direction=H","UseDPDF=Y")</f>
        <v>#NAME?</v>
      </c>
      <c r="CV296" s="2" t="e">
        <f ca="1">_xll.BDH($C$278,"ALTMAN_Z_SCORE","FQ3 2017","FQ3 2017","Currency=INR","Period=FQ","BEST_FPERIOD_OVERRIDE=FQ","FILING_STATUS=OR","EQY_CONSOLIDATED=Y","Sort=A","Dates=H","DateFormat=P","Fill=—","Direction=H","UseDPDF=Y")</f>
        <v>#NAME?</v>
      </c>
      <c r="CW296" s="4" t="e">
        <f ca="1">_xll.BDH($C$278,"ACCT_RCV_TURN","FQ3 2017","FQ3 2017","Currency=INR","Period=FQ","BEST_FPERIOD_OVERRIDE=FQ","FILING_STATUS=OR","EQY_CONSOLIDATED=Y","FA_ADJUSTED=GAAP","Sort=A","Dates=H","DateFormat=P","Fill=—","Direction=H","UseDPDF=Y")</f>
        <v>#NAME?</v>
      </c>
      <c r="CX296" s="2" t="e">
        <f ca="1">_xll.BDH($C$278,"ACCT_RCV_DAYS","FQ3 2017","FQ3 2017","Currency=INR","Period=FQ","BEST_FPERIOD_OVERRIDE=FQ","FILING_STATUS=OR","EQY_CONSOLIDATED=Y","FA_ADJUSTED=GAAP","Sort=A","Dates=H","DateFormat=P","Fill=—","Direction=H","UseDPDF=Y")</f>
        <v>#NAME?</v>
      </c>
      <c r="CY296" s="4" t="e">
        <f ca="1">_xll.BDH($C$278,"INVENT_TURN","FQ3 2017","FQ3 2017","Currency=INR","Period=FQ","BEST_FPERIOD_OVERRIDE=FQ","FILING_STATUS=OR","EQY_CONSOLIDATED=Y","FA_ADJUSTED=GAAP","Sort=A","Dates=H","DateFormat=P","Fill=—","Direction=H","UseDPDF=Y")</f>
        <v>#NAME?</v>
      </c>
      <c r="CZ296" s="2" t="e">
        <f ca="1">_xll.BDH($C$278,"INVENT_DAYS","FQ3 2017","FQ3 2017","Currency=INR","Period=FQ","BEST_FPERIOD_OVERRIDE=FQ","FILING_STATUS=OR","EQY_CONSOLIDATED=Y","FA_ADJUSTED=GAAP","Sort=A","Dates=H","DateFormat=P","Fill=—","Direction=H","UseDPDF=Y")</f>
        <v>#NAME?</v>
      </c>
      <c r="DA296" s="4" t="e">
        <f ca="1">_xll.BDH($C$278,"ACCOUNTS_PAYABLE_TURNOVER","FQ3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296" s="2" t="e">
        <f ca="1">_xll.BDH($C$278,"ACCOUNTS_PAYABLE_TURNOVER_DAYS","FQ3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296" s="4" t="e">
        <f ca="1">_xll.BDH($C$278,"CASH_CONVERSION_CYCLE","FQ3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296" s="4" t="e">
        <f ca="1">_xll.BDH($C$278,"INV_TO_CASH_DAYS","FQ3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296" s="5" t="e">
        <f ca="1">_xll.BDH($C$278,"BS_INVENTORIES","FQ3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296" s="3" t="e">
        <f ca="1">_xll.BDH($C$278,"INVTRY_RAW_MATERIALS","FQ3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296" s="3" t="e">
        <f ca="1">_xll.BDH($C$278,"INVTRY_IN_PROGRESS","FQ3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296" s="3" t="e">
        <f ca="1">_xll.BDH($C$278,"INVTRY_FINISHED_GOODS","FQ3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296" s="3" t="e">
        <f ca="1">_xll.BDH($C$278,"BS_OTHER_INV","FQ3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297" spans="1:113" x14ac:dyDescent="0.3">
      <c r="A297" s="6"/>
      <c r="B297" s="6"/>
      <c r="C297" s="6"/>
      <c r="D297" s="6"/>
      <c r="E297" t="s">
        <v>81</v>
      </c>
      <c r="F297" t="e">
        <f ca="1">_xll.BDH($C$278,"RETURN_COM_EQY","FQ4 2017","FQ4 2017","Currency=INR","Period=FQ","BEST_FPERIOD_OVERRIDE=FQ","FILING_STATUS=OR","EQY_CONSOLIDATED=Y","FA_ADJUSTED=GAAP","Sort=A","Dates=H","DateFormat=P","Fill=—","Direction=H","UseDPDF=Y")</f>
        <v>#NAME?</v>
      </c>
      <c r="G297" t="e">
        <f ca="1">_xll.BDH($C$278,"RETURN_ON_ASSET","FQ4 2017","FQ4 2017","Currency=INR","Period=FQ","BEST_FPERIOD_OVERRIDE=FQ","FILING_STATUS=OR","EQY_CONSOLIDATED=Y","FA_ADJUSTED=GAAP","Sort=A","Dates=H","DateFormat=P","Fill=—","Direction=H","UseDPDF=Y")</f>
        <v>#NAME?</v>
      </c>
      <c r="H297" t="e">
        <f ca="1">_xll.BDH($C$278,"RETURN_ON_CAP","FQ4 2017","FQ4 2017","Currency=INR","Period=FQ","BEST_FPERIOD_OVERRIDE=FQ","FILING_STATUS=OR","EQY_CONSOLIDATED=Y","FA_ADJUSTED=GAAP","Sort=A","Dates=H","DateFormat=P","Fill=—","Direction=H","UseDPDF=Y")</f>
        <v>#NAME?</v>
      </c>
      <c r="I297" t="e">
        <f ca="1">_xll.BDH($C$278,"RETURN_ON_INV_CAPITAL","FQ4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297" t="e">
        <f ca="1">_xll.BDH($C$278,"EBITDA_TO_REVENUE","FQ4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297" t="e">
        <f ca="1">_xll.BDH($C$278,"OPER_MARGIN","FQ4 2017","FQ4 2017","Currency=INR","Period=FQ","BEST_FPERIOD_OVERRIDE=FQ","FILING_STATUS=OR","EQY_CONSOLIDATED=Y","FA_ADJUSTED=GAAP","Sort=A","Dates=H","DateFormat=P","Fill=—","Direction=H","UseDPDF=Y")</f>
        <v>#NAME?</v>
      </c>
      <c r="L297" t="e">
        <f ca="1">_xll.BDH($C$278,"INCREMENTAL_OPERATING_MARGIN","FQ4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297" t="e">
        <f ca="1">_xll.BDH($C$278,"PRETAX_INC_TO_NET_SALES","FQ4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297" t="e">
        <f ca="1">_xll.BDH($C$278,"INC_BEF_XO_ITEMS_TO_NET_SALES","FQ4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297" t="e">
        <f ca="1">_xll.BDH($C$278,"PROF_MARGIN","FQ4 2017","FQ4 2017","Currency=INR","Period=FQ","BEST_FPERIOD_OVERRIDE=FQ","FILING_STATUS=OR","EQY_CONSOLIDATED=Y","FA_ADJUSTED=GAAP","Sort=A","Dates=H","DateFormat=P","Fill=—","Direction=H","UseDPDF=Y")</f>
        <v>#NAME?</v>
      </c>
      <c r="P297" t="e">
        <f ca="1">_xll.BDH($C$278,"NET_INCOME_TO_COMMON_MARGIN","FQ4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297" t="e">
        <f ca="1">_xll.BDH($C$278,"EFF_TAX_RATE","FQ4 2017","FQ4 2017","Currency=INR","Period=FQ","BEST_FPERIOD_OVERRIDE=FQ","FILING_STATUS=OR","EQY_CONSOLIDATED=Y","FA_ADJUSTED=GAAP","Sort=A","Dates=H","DateFormat=P","Fill=—","Direction=H","UseDPDF=Y")</f>
        <v>#NAME?</v>
      </c>
      <c r="R297" t="e">
        <f ca="1">_xll.BDH($C$278,"DVD_PAYOUT_RATIO","FQ4 2017","FQ4 2017","Currency=INR","Period=FQ","BEST_FPERIOD_OVERRIDE=FQ","FILING_STATUS=OR","EQY_CONSOLIDATED=Y","FA_ADJUSTED=GAAP","Sort=A","Dates=H","DateFormat=P","Fill=—","Direction=H","UseDPDF=Y")</f>
        <v>#NAME?</v>
      </c>
      <c r="S297" t="e">
        <f ca="1">_xll.BDH($C$278,"SUSTAIN_GROWTH_RT","FQ4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297" s="2" t="e">
        <f ca="1">_xll.BDH($C$278,"SALES_GROWTH","FQ4 2017","FQ4 2017","Currency=INR","Period=FQ","BEST_FPERIOD_OVERRIDE=FQ","FILING_STATUS=OR","EQY_CONSOLIDATED=Y","FA_ADJUSTED=GAAP","Sort=A","Dates=H","DateFormat=P","Fill=—","Direction=H","UseDPDF=Y")</f>
        <v>#NAME?</v>
      </c>
      <c r="U297" s="2" t="e">
        <f ca="1">_xll.BDH($C$278,"EBITDA_GROWTH","FQ4 2017","FQ4 2017","Currency=INR","Period=FQ","BEST_FPERIOD_OVERRIDE=FQ","FILING_STATUS=OR","EQY_CONSOLIDATED=Y","FA_ADJUSTED=GAAP","Sort=A","Dates=H","DateFormat=P","Fill=—","Direction=H","UseDPDF=Y")</f>
        <v>#NAME?</v>
      </c>
      <c r="V297" s="2" t="e">
        <f ca="1">_xll.BDH($C$278,"OPER_INC_GROWTH","FQ4 2017","FQ4 2017","Currency=INR","Period=FQ","BEST_FPERIOD_OVERRIDE=FQ","FILING_STATUS=OR","EQY_CONSOLIDATED=Y","FA_ADJUSTED=GAAP","Sort=A","Dates=H","DateFormat=P","Fill=—","Direction=H","UseDPDF=Y")</f>
        <v>#NAME?</v>
      </c>
      <c r="W297" s="2" t="e">
        <f ca="1">_xll.BDH($C$278,"EARN_FOR_COM_GROWTH","FQ4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297" s="2" t="e">
        <f ca="1">_xll.BDH($C$278,"DILUTED_EPS_AFT_XO_ITEMS_GROWTH","FQ4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297" s="2" t="e">
        <f ca="1">_xll.BDH($C$278,"DIVIDEND_PER_SHARE_1_YEAR_GROWTH","FQ4 2017","FQ4 2017","Currency=INR","Period=FQ","BEST_FPERIOD_OVERRIDE=FQ","FILING_STATUS=OR","EQY_CONSOLIDATED=Y","Sort=A","Dates=H","DateFormat=P","Fill=—","Direction=H","UseDPDF=Y")</f>
        <v>#NAME?</v>
      </c>
      <c r="Z297" s="2" t="e">
        <f ca="1">_xll.BDH($C$278,"ACCOUNTS_RECEIVABLE_GROWTH","FQ4 2017","FQ4 2017","Currency=INR","Period=FQ","BEST_FPERIOD_OVERRIDE=FQ","FILING_STATUS=OR","EQY_CONSOLIDATED=Y","Sort=A","Dates=H","DateFormat=P","Fill=—","Direction=H","UseDPDF=Y")</f>
        <v>#NAME?</v>
      </c>
      <c r="AA297" s="2" t="e">
        <f ca="1">_xll.BDH($C$278,"INVENTORY_GROWTH","FQ4 2017","FQ4 2017","Currency=INR","Period=FQ","BEST_FPERIOD_OVERRIDE=FQ","FILING_STATUS=OR","EQY_CONSOLIDATED=Y","Sort=A","Dates=H","DateFormat=P","Fill=—","Direction=H","UseDPDF=Y")</f>
        <v>#NAME?</v>
      </c>
      <c r="AB297" s="2" t="e">
        <f ca="1">_xll.BDH($C$278,"NET_FIXED_ASSETS_1_YEAR_GROWTH","FQ4 2017","FQ4 2017","Currency=INR","Period=FQ","BEST_FPERIOD_OVERRIDE=FQ","FILING_STATUS=OR","EQY_CONSOLIDATED=Y","Sort=A","Dates=H","DateFormat=P","Fill=—","Direction=H","UseDPDF=Y")</f>
        <v>#NAME?</v>
      </c>
      <c r="AC297" s="2" t="e">
        <f ca="1">_xll.BDH($C$278,"ASSET_GROWTH","FQ4 2017","FQ4 2017","Currency=INR","Period=FQ","BEST_FPERIOD_OVERRIDE=FQ","FILING_STATUS=OR","EQY_CONSOLIDATED=Y","Sort=A","Dates=H","DateFormat=P","Fill=—","Direction=H","UseDPDF=Y")</f>
        <v>#NAME?</v>
      </c>
      <c r="AD297" s="2" t="e">
        <f ca="1">_xll.BDH($C$278,"MODIFIED_WORK_CAP_GROWTH","FQ4 2017","FQ4 2017","Currency=INR","Period=FQ","BEST_FPERIOD_OVERRIDE=FQ","FILING_STATUS=OR","EQY_CONSOLIDATED=Y","Sort=A","Dates=H","DateFormat=P","Fill=—","Direction=H","UseDPDF=Y")</f>
        <v>#NAME?</v>
      </c>
      <c r="AE297" s="2" t="e">
        <f ca="1">_xll.BDH($C$278,"WORK_CAP_GROWTH","FQ4 2017","FQ4 2017","Currency=INR","Period=FQ","BEST_FPERIOD_OVERRIDE=FQ","FILING_STATUS=OR","EQY_CONSOLIDATED=Y","Sort=A","Dates=H","DateFormat=P","Fill=—","Direction=H","UseDPDF=Y")</f>
        <v>#NAME?</v>
      </c>
      <c r="AF297" s="2" t="e">
        <f ca="1">_xll.BDH($C$278,"ACCOUNTS_PAYABLE_GROWTH_1YR","FQ4 2017","FQ4 2017","Currency=INR","Period=FQ","BEST_FPERIOD_OVERRIDE=FQ","FILING_STATUS=OR","EQY_CONSOLIDATED=Y","Sort=A","Dates=H","DateFormat=P","Fill=—","Direction=H","UseDPDF=Y")</f>
        <v>#NAME?</v>
      </c>
      <c r="AG297" s="2" t="e">
        <f ca="1">_xll.BDH($C$278,"SHORT_TERM_DEBT_1_YEAR_GROWTH","FQ4 2017","FQ4 2017","Currency=INR","Period=FQ","BEST_FPERIOD_OVERRIDE=FQ","FILING_STATUS=OR","EQY_CONSOLIDATED=Y","Sort=A","Dates=H","DateFormat=P","Fill=—","Direction=H","UseDPDF=Y")</f>
        <v>#NAME?</v>
      </c>
      <c r="AH297" s="2" t="e">
        <f ca="1">_xll.BDH($C$278,"TOTAL_DEBT_1_YEAR_GROWTH","FQ4 2017","FQ4 2017","Currency=INR","Period=FQ","BEST_FPERIOD_OVERRIDE=FQ","FILING_STATUS=OR","EQY_CONSOLIDATED=Y","Sort=A","Dates=H","DateFormat=P","Fill=—","Direction=H","UseDPDF=Y")</f>
        <v>#NAME?</v>
      </c>
      <c r="AI297" s="2" t="e">
        <f ca="1">_xll.BDH($C$278,"TOTAL_EQUITY_1_YEAR_GROWTH","FQ4 2017","FQ4 2017","Currency=INR","Period=FQ","BEST_FPERIOD_OVERRIDE=FQ","FILING_STATUS=OR","EQY_CONSOLIDATED=Y","Sort=A","Dates=H","DateFormat=P","Fill=—","Direction=H","UseDPDF=Y")</f>
        <v>#NAME?</v>
      </c>
      <c r="AJ297" s="2" t="e">
        <f ca="1">_xll.BDH($C$278,"GROWTH_IN_CAP","FQ4 2017","FQ4 2017","Currency=INR","Period=FQ","BEST_FPERIOD_OVERRIDE=FQ","FILING_STATUS=OR","EQY_CONSOLIDATED=Y","Sort=A","Dates=H","DateFormat=P","Fill=—","Direction=H","UseDPDF=Y")</f>
        <v>#NAME?</v>
      </c>
      <c r="AK297" s="2" t="e">
        <f ca="1">_xll.BDH($C$278,"BVPS_GROWTH","FQ4 2017","FQ4 2017","Currency=INR","Period=FQ","BEST_FPERIOD_OVERRIDE=FQ","FILING_STATUS=OR","EQY_CONSOLIDATED=Y","Sort=A","Dates=H","DateFormat=P","Fill=—","Direction=H","UseDPDF=Y")</f>
        <v>#NAME?</v>
      </c>
      <c r="AL297" s="2" t="e">
        <f ca="1">_xll.BDH($C$278,"CASH_FLOW_GROWTH","FQ4 2017","FQ4 2017","Currency=INR","Period=FQ","BEST_FPERIOD_OVERRIDE=FQ","FILING_STATUS=OR","EQY_CONSOLIDATED=Y","Sort=A","Dates=H","DateFormat=P","Fill=—","Direction=H","UseDPDF=Y")</f>
        <v>#NAME?</v>
      </c>
      <c r="AM297" s="2" t="e">
        <f ca="1">_xll.BDH($C$278,"GEO_GROW_NET_SALES","FQ4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297" s="2" t="e">
        <f ca="1">_xll.BDH($C$278,"GEO_GROW_EBITDA","FQ4 2017","FQ4 2017","Currency=INR","Period=FQ","BEST_FPERIOD_OVERRIDE=FQ","FILING_STATUS=OR","EQY_CONSOLIDATED=Y","FA_ADJUSTED=GAAP","Sort=A","Dates=H","DateFormat=P","Fill=—","Direction=H","UseDPDF=Y")</f>
        <v>#NAME?</v>
      </c>
      <c r="AO297" s="2" t="e">
        <f ca="1">_xll.BDH($C$278,"GEO_GROW_OPER_INC","FQ4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297" s="2" t="e">
        <f ca="1">_xll.BDH($C$278,"NET_INCOME_TO_COMMON_5_YR_GROWTH","FQ4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297" s="2" t="e">
        <f ca="1">_xll.BDH($C$278,"5Y_GEO_GROWTH_DILUTED_EPS","FQ4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297" s="2" t="e">
        <f ca="1">_xll.BDH($C$278,"GEO_GROW_DVD_PER_SH","FQ4 2017","FQ4 2017","Currency=INR","Period=FQ","BEST_FPERIOD_OVERRIDE=FQ","FILING_STATUS=OR","EQY_CONSOLIDATED=Y","Sort=A","Dates=H","DateFormat=P","Fill=—","Direction=H","UseDPDF=Y")</f>
        <v>#NAME?</v>
      </c>
      <c r="AS297" s="2" t="e">
        <f ca="1">_xll.BDH($C$278,"ACCOUNTS_RECEIVABLE_5_YR_GROWTH","FQ4 2017","FQ4 2017","Currency=INR","Period=FQ","BEST_FPERIOD_OVERRIDE=FQ","FILING_STATUS=OR","EQY_CONSOLIDATED=Y","Sort=A","Dates=H","DateFormat=P","Fill=—","Direction=H","UseDPDF=Y")</f>
        <v>#NAME?</v>
      </c>
      <c r="AT297" s="2" t="e">
        <f ca="1">_xll.BDH($C$278,"INVENTORY_5_YEAR_GROWTH","FQ4 2017","FQ4 2017","Currency=INR","Period=FQ","BEST_FPERIOD_OVERRIDE=FQ","FILING_STATUS=OR","EQY_CONSOLIDATED=Y","Sort=A","Dates=H","DateFormat=P","Fill=—","Direction=H","UseDPDF=Y")</f>
        <v>#NAME?</v>
      </c>
      <c r="AU297" s="2" t="e">
        <f ca="1">_xll.BDH($C$278,"NET_FIXED_ASSETS_5_YEAR_GROWTH","FQ4 2017","FQ4 2017","Currency=INR","Period=FQ","BEST_FPERIOD_OVERRIDE=FQ","FILING_STATUS=OR","EQY_CONSOLIDATED=Y","Sort=A","Dates=H","DateFormat=P","Fill=—","Direction=H","UseDPDF=Y")</f>
        <v>#NAME?</v>
      </c>
      <c r="AV297" s="2" t="e">
        <f ca="1">_xll.BDH($C$278,"GEO_GROW_TOT_ASSET","FQ4 2017","FQ4 2017","Currency=INR","Period=FQ","BEST_FPERIOD_OVERRIDE=FQ","FILING_STATUS=OR","EQY_CONSOLIDATED=Y","Sort=A","Dates=H","DateFormat=P","Fill=—","Direction=H","UseDPDF=Y")</f>
        <v>#NAME?</v>
      </c>
      <c r="AW297" s="2" t="e">
        <f ca="1">_xll.BDH($C$278,"MODIFIED_WORKING_CPTL_5YR_GRWTH","FQ4 2017","FQ4 2017","Currency=INR","Period=FQ","BEST_FPERIOD_OVERRIDE=FQ","FILING_STATUS=OR","EQY_CONSOLIDATED=Y","Sort=A","Dates=H","DateFormat=P","Fill=—","Direction=H","UseDPDF=Y")</f>
        <v>#NAME?</v>
      </c>
      <c r="AX297" s="2" t="e">
        <f ca="1">_xll.BDH($C$278,"WORKING_CAPITAL_5_YEAR_GROWTH","FQ4 2017","FQ4 2017","Currency=INR","Period=FQ","BEST_FPERIOD_OVERRIDE=FQ","FILING_STATUS=OR","EQY_CONSOLIDATED=Y","Sort=A","Dates=H","DateFormat=P","Fill=—","Direction=H","UseDPDF=Y")</f>
        <v>#NAME?</v>
      </c>
      <c r="AY297" s="2" t="e">
        <f ca="1">_xll.BDH($C$278,"ACCOUNTS_PAYABLE_5_YEAR_GROWTH","FQ4 2017","FQ4 2017","Currency=INR","Period=FQ","BEST_FPERIOD_OVERRIDE=FQ","FILING_STATUS=OR","EQY_CONSOLIDATED=Y","Sort=A","Dates=H","DateFormat=P","Fill=—","Direction=H","UseDPDF=Y")</f>
        <v>#NAME?</v>
      </c>
      <c r="AZ297" s="2" t="e">
        <f ca="1">_xll.BDH($C$278,"SHORT_TERM_DEBT_5_YEAR_GROWTH","FQ4 2017","FQ4 2017","Currency=INR","Period=FQ","BEST_FPERIOD_OVERRIDE=FQ","FILING_STATUS=OR","EQY_CONSOLIDATED=Y","Sort=A","Dates=H","DateFormat=P","Fill=—","Direction=H","UseDPDF=Y")</f>
        <v>#NAME?</v>
      </c>
      <c r="BA297" s="2" t="e">
        <f ca="1">_xll.BDH($C$278,"TOTAL_DEBT_5_YEAR_GROWTH","FQ4 2017","FQ4 2017","Currency=INR","Period=FQ","BEST_FPERIOD_OVERRIDE=FQ","FILING_STATUS=OR","EQY_CONSOLIDATED=Y","Sort=A","Dates=H","DateFormat=P","Fill=—","Direction=H","UseDPDF=Y")</f>
        <v>#NAME?</v>
      </c>
      <c r="BB297" s="2" t="e">
        <f ca="1">_xll.BDH($C$278,"GEO_GROW_TOT_SHRHLDR_EQY","FQ4 2017","FQ4 2017","Currency=INR","Period=FQ","BEST_FPERIOD_OVERRIDE=FQ","FILING_STATUS=OR","EQY_CONSOLIDATED=Y","Sort=A","Dates=H","DateFormat=P","Fill=—","Direction=H","UseDPDF=Y")</f>
        <v>#NAME?</v>
      </c>
      <c r="BC297" s="2" t="e">
        <f ca="1">_xll.BDH($C$278,"TOTAL_CAPITAL_5_YEAR_GROWTH","FQ4 2017","FQ4 2017","Currency=INR","Period=FQ","BEST_FPERIOD_OVERRIDE=FQ","FILING_STATUS=OR","EQY_CONSOLIDATED=Y","Sort=A","Dates=H","DateFormat=P","Fill=—","Direction=H","UseDPDF=Y")</f>
        <v>#NAME?</v>
      </c>
      <c r="BD297" s="2" t="e">
        <f ca="1">_xll.BDH($C$278,"GEO_GROW_BOOK_VAL","FQ4 2017","FQ4 2017","Currency=INR","Period=FQ","BEST_FPERIOD_OVERRIDE=FQ","FILING_STATUS=OR","EQY_CONSOLIDATED=Y","Sort=A","Dates=H","DateFormat=P","Fill=—","Direction=H","UseDPDF=Y")</f>
        <v>#NAME?</v>
      </c>
      <c r="BE297" s="2" t="e">
        <f ca="1">_xll.BDH($C$278,"GEO_GROW_CASH_OPER_ACT","FQ4 2017","FQ4 2017","Currency=INR","Period=FQ","BEST_FPERIOD_OVERRIDE=FQ","FILING_STATUS=OR","EQY_CONSOLIDATED=Y","Sort=A","Dates=H","DateFormat=P","Fill=—","Direction=H","UseDPDF=Y")</f>
        <v>#NAME?</v>
      </c>
      <c r="BF297" s="2" t="e">
        <f ca="1">_xll.BDH($C$278,"REVENUE_SEQUENTIAL_GROWTH","FQ4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297" s="2" t="e">
        <f ca="1">_xll.BDH($C$278,"EBITDA_SEQUENTIAL_GROWTH","FQ4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297" s="2" t="e">
        <f ca="1">_xll.BDH($C$278,"OPERATING_INCOME_SEQ_GROWTH","FQ4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297" s="2" t="e">
        <f ca="1">_xll.BDH($C$278,"NET_INCOME_TO_COMMON_SEQ_GROWTH","FQ4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297" s="2" t="e">
        <f ca="1">_xll.BDH($C$278,"EPS_DILUTED_SEQUENTIAL_GROWTH","FQ4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297" s="2" t="e">
        <f ca="1">_xll.BDH($C$278,"DPS_SEQUENTIAL_GROWTH","FQ4 2017","FQ4 2017","Currency=INR","Period=FQ","BEST_FPERIOD_OVERRIDE=FQ","FILING_STATUS=OR","EQY_CONSOLIDATED=Y","Sort=A","Dates=H","DateFormat=P","Fill=—","Direction=H","UseDPDF=Y")</f>
        <v>#NAME?</v>
      </c>
      <c r="BL297" s="2" t="e">
        <f ca="1">_xll.BDH($C$278,"ACCOUNTS_RECEIVABLE_SEQ_GROWTH","FQ4 2017","FQ4 2017","Currency=INR","Period=FQ","BEST_FPERIOD_OVERRIDE=FQ","FILING_STATUS=OR","EQY_CONSOLIDATED=Y","Sort=A","Dates=H","DateFormat=P","Fill=—","Direction=H","UseDPDF=Y")</f>
        <v>#NAME?</v>
      </c>
      <c r="BM297" s="2" t="e">
        <f ca="1">_xll.BDH($C$278,"INVENTORY_SEQUENTIAL_GROWTH","FQ4 2017","FQ4 2017","Currency=INR","Period=FQ","BEST_FPERIOD_OVERRIDE=FQ","FILING_STATUS=OR","EQY_CONSOLIDATED=Y","Sort=A","Dates=H","DateFormat=P","Fill=—","Direction=H","UseDPDF=Y")</f>
        <v>#NAME?</v>
      </c>
      <c r="BN297" s="2" t="e">
        <f ca="1">_xll.BDH($C$278,"FIXED_ASSETS_SEQUENTIAL_GROWTH","FQ4 2017","FQ4 2017","Currency=INR","Period=FQ","BEST_FPERIOD_OVERRIDE=FQ","FILING_STATUS=OR","EQY_CONSOLIDATED=Y","Sort=A","Dates=H","DateFormat=P","Fill=—","Direction=H","UseDPDF=Y")</f>
        <v>#NAME?</v>
      </c>
      <c r="BO297" s="2" t="e">
        <f ca="1">_xll.BDH($C$278,"TOTAL_ASSETS_SEQUENTIAL_GROWTH","FQ4 2017","FQ4 2017","Currency=INR","Period=FQ","BEST_FPERIOD_OVERRIDE=FQ","FILING_STATUS=OR","EQY_CONSOLIDATED=Y","Sort=A","Dates=H","DateFormat=P","Fill=—","Direction=H","UseDPDF=Y")</f>
        <v>#NAME?</v>
      </c>
      <c r="BP297" s="2" t="e">
        <f ca="1">_xll.BDH($C$278,"MODIFIED_WORKING_CPTL_SEQ_GRWTH","FQ4 2017","FQ4 2017","Currency=INR","Period=FQ","BEST_FPERIOD_OVERRIDE=FQ","FILING_STATUS=OR","EQY_CONSOLIDATED=Y","Sort=A","Dates=H","DateFormat=P","Fill=—","Direction=H","UseDPDF=Y")</f>
        <v>#NAME?</v>
      </c>
      <c r="BQ297" s="2" t="e">
        <f ca="1">_xll.BDH($C$278,"WORKING_CAPITAL_SEQ_GROWTH","FQ4 2017","FQ4 2017","Currency=INR","Period=FQ","BEST_FPERIOD_OVERRIDE=FQ","FILING_STATUS=OR","EQY_CONSOLIDATED=Y","Sort=A","Dates=H","DateFormat=P","Fill=—","Direction=H","UseDPDF=Y")</f>
        <v>#NAME?</v>
      </c>
      <c r="BR297" s="2" t="e">
        <f ca="1">_xll.BDH($C$278,"ACCOUNTS_PAYABLE_SEQ_GROWTH","FQ4 2017","FQ4 2017","Currency=INR","Period=FQ","BEST_FPERIOD_OVERRIDE=FQ","FILING_STATUS=OR","EQY_CONSOLIDATED=Y","Sort=A","Dates=H","DateFormat=P","Fill=—","Direction=H","UseDPDF=Y")</f>
        <v>#NAME?</v>
      </c>
      <c r="BS297" s="2" t="e">
        <f ca="1">_xll.BDH($C$278,"ST_DEBT_SEQUENTIAL_GROWTH","FQ4 2017","FQ4 2017","Currency=INR","Period=FQ","BEST_FPERIOD_OVERRIDE=FQ","FILING_STATUS=OR","EQY_CONSOLIDATED=Y","Sort=A","Dates=H","DateFormat=P","Fill=—","Direction=H","UseDPDF=Y")</f>
        <v>#NAME?</v>
      </c>
      <c r="BT297" s="2" t="e">
        <f ca="1">_xll.BDH($C$278,"TOTAL_DEBT_SEQUENTIAL_GROWTH","FQ4 2017","FQ4 2017","Currency=INR","Period=FQ","BEST_FPERIOD_OVERRIDE=FQ","FILING_STATUS=OR","EQY_CONSOLIDATED=Y","Sort=A","Dates=H","DateFormat=P","Fill=—","Direction=H","UseDPDF=Y")</f>
        <v>#NAME?</v>
      </c>
      <c r="BU297" s="2" t="e">
        <f ca="1">_xll.BDH($C$278,"TOTAL_EQUITY_SEQUENTIAL_GROWTH","FQ4 2017","FQ4 2017","Currency=INR","Period=FQ","BEST_FPERIOD_OVERRIDE=FQ","FILING_STATUS=OR","EQY_CONSOLIDATED=Y","Sort=A","Dates=H","DateFormat=P","Fill=—","Direction=H","UseDPDF=Y")</f>
        <v>#NAME?</v>
      </c>
      <c r="BV297" s="2" t="e">
        <f ca="1">_xll.BDH($C$278,"TOTAL_CAPITAL_SEQUENTIAL_GROWTH","FQ4 2017","FQ4 2017","Currency=INR","Period=FQ","BEST_FPERIOD_OVERRIDE=FQ","FILING_STATUS=OR","EQY_CONSOLIDATED=Y","Sort=A","Dates=H","DateFormat=P","Fill=—","Direction=H","UseDPDF=Y")</f>
        <v>#NAME?</v>
      </c>
      <c r="BW297" s="2" t="e">
        <f ca="1">_xll.BDH($C$278,"BPS_SEQUENTIAL_GROWTH","FQ4 2017","FQ4 2017","Currency=INR","Period=FQ","BEST_FPERIOD_OVERRIDE=FQ","FILING_STATUS=OR","EQY_CONSOLIDATED=Y","Sort=A","Dates=H","DateFormat=P","Fill=—","Direction=H","UseDPDF=Y")</f>
        <v>#NAME?</v>
      </c>
      <c r="BX297" s="2" t="e">
        <f ca="1">_xll.BDH($C$278,"CFO_SEQUENTIAL_GROWTH","FQ4 2017","FQ4 2017","Currency=INR","Period=FQ","BEST_FPERIOD_OVERRIDE=FQ","FILING_STATUS=OR","EQY_CONSOLIDATED=Y","Sort=A","Dates=H","DateFormat=P","Fill=—","Direction=H","UseDPDF=Y")</f>
        <v>#NAME?</v>
      </c>
      <c r="BY297" s="3" t="e">
        <f ca="1">_xll.BDH($C$278,"SHORT_AND_LONG_TERM_DEBT","FQ4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297" s="3" t="e">
        <f ca="1">_xll.BDH($C$278,"BS_ST_BORROW","FQ4 2017","FQ4 2017","Currency=INR","Period=FQ","BEST_FPERIOD_OVERRIDE=FQ","FILING_STATUS=OR","EQY_CONSOLIDATED=Y","SCALING_FORMAT=MLN","Sort=A","Dates=H","DateFormat=P","Fill=—","Direction=H","UseDPDF=Y")</f>
        <v>#NAME?</v>
      </c>
      <c r="CA297" s="3" t="e">
        <f ca="1">_xll.BDH($C$278,"BS_LT_BORROW","FQ4 2017","FQ4 2017","Currency=INR","Period=FQ","BEST_FPERIOD_OVERRIDE=FQ","FILING_STATUS=OR","EQY_CONSOLIDATED=Y","SCALING_FORMAT=MLN","Sort=A","Dates=H","DateFormat=P","Fill=—","Direction=H","UseDPDF=Y")</f>
        <v>#NAME?</v>
      </c>
      <c r="CB297" s="2" t="e">
        <f ca="1">_xll.BDH($C$278,"TOT_DEBT_TO_EBITDA","FQ4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297" s="2" t="e">
        <f ca="1">_xll.BDH($C$278,"NET_DEBT_TO_EBITDA","FQ4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297" s="2" t="e">
        <f ca="1">_xll.BDH($C$278,"TOTAL_DEBT_TO_EBIT","FQ4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297" s="2" t="e">
        <f ca="1">_xll.BDH($C$278,"NET_DEBT_TO_EBIT","FQ4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297" s="2" t="e">
        <f ca="1">_xll.BDH($C$278,"EBITDA_TO_INTEREST_EXPN","FQ4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297" s="2" t="e">
        <f ca="1">_xll.BDH($C$278,"COM_EQY_TO_TOT_ASSET","FQ4 2017","FQ4 2017","Currency=INR","Period=FQ","BEST_FPERIOD_OVERRIDE=FQ","FILING_STATUS=OR","EQY_CONSOLIDATED=Y","Sort=A","Dates=H","DateFormat=P","Fill=—","Direction=H","UseDPDF=Y")</f>
        <v>#NAME?</v>
      </c>
      <c r="CH297" s="2" t="e">
        <f ca="1">_xll.BDH($C$278,"LT_DEBT_TO_TOT_EQY","FQ4 2017","FQ4 2017","Currency=INR","Period=FQ","BEST_FPERIOD_OVERRIDE=FQ","FILING_STATUS=OR","EQY_CONSOLIDATED=Y","Sort=A","Dates=H","DateFormat=P","Fill=—","Direction=H","UseDPDF=Y")</f>
        <v>#NAME?</v>
      </c>
      <c r="CI297" s="2" t="e">
        <f ca="1">_xll.BDH($C$278,"LT_DEBT_TO_TOT_CAP","FQ4 2017","FQ4 2017","Currency=INR","Period=FQ","BEST_FPERIOD_OVERRIDE=FQ","FILING_STATUS=OR","EQY_CONSOLIDATED=Y","Sort=A","Dates=H","DateFormat=P","Fill=—","Direction=H","UseDPDF=Y")</f>
        <v>#NAME?</v>
      </c>
      <c r="CJ297" s="2" t="e">
        <f ca="1">_xll.BDH($C$278,"LT_DEBT_TO_TOT_ASSET","FQ4 2017","FQ4 2017","Currency=INR","Period=FQ","BEST_FPERIOD_OVERRIDE=FQ","FILING_STATUS=OR","EQY_CONSOLIDATED=Y","Sort=A","Dates=H","DateFormat=P","Fill=—","Direction=H","UseDPDF=Y")</f>
        <v>#NAME?</v>
      </c>
      <c r="CK297" s="2" t="e">
        <f ca="1">_xll.BDH($C$278,"TOT_DEBT_TO_TOT_EQY","FQ4 2017","FQ4 2017","Currency=INR","Period=FQ","BEST_FPERIOD_OVERRIDE=FQ","FILING_STATUS=OR","EQY_CONSOLIDATED=Y","Sort=A","Dates=H","DateFormat=P","Fill=—","Direction=H","UseDPDF=Y")</f>
        <v>#NAME?</v>
      </c>
      <c r="CL297" s="2" t="e">
        <f ca="1">_xll.BDH($C$278,"TOT_DEBT_TO_TOT_CAP","FQ4 2017","FQ4 2017","Currency=INR","Period=FQ","BEST_FPERIOD_OVERRIDE=FQ","FILING_STATUS=OR","EQY_CONSOLIDATED=Y","Sort=A","Dates=H","DateFormat=P","Fill=—","Direction=H","UseDPDF=Y")</f>
        <v>#NAME?</v>
      </c>
      <c r="CM297" s="2" t="e">
        <f ca="1">_xll.BDH($C$278,"TOT_DEBT_TO_TOT_ASSET","FQ4 2017","FQ4 2017","Currency=INR","Period=FQ","BEST_FPERIOD_OVERRIDE=FQ","FILING_STATUS=OR","EQY_CONSOLIDATED=Y","Sort=A","Dates=H","DateFormat=P","Fill=—","Direction=H","UseDPDF=Y")</f>
        <v>#NAME?</v>
      </c>
      <c r="CN297" s="2" t="e">
        <f ca="1">_xll.BDH($C$278,"NET_DEBT_TO_SHRHLDR_EQTY","FQ4 2017","FQ4 2017","Currency=INR","Period=FQ","BEST_FPERIOD_OVERRIDE=FQ","FILING_STATUS=OR","EQY_CONSOLIDATED=Y","Sort=A","Dates=H","DateFormat=P","Fill=—","Direction=H","UseDPDF=Y")</f>
        <v>#NAME?</v>
      </c>
      <c r="CO297" s="2" t="e">
        <f ca="1">_xll.BDH($C$278,"NET_DEBT_%_CAPITAL","FQ4 2017","FQ4 2017","Currency=INR","Period=FQ","BEST_FPERIOD_OVERRIDE=FQ","FILING_STATUS=OR","EQY_CONSOLIDATED=Y","Sort=A","Dates=H","DateFormat=P","Fill=—","Direction=H","UseDPDF=Y")</f>
        <v>#NAME?</v>
      </c>
      <c r="CP297" s="3" t="e">
        <f ca="1">_xll.BDH($C$278,"EBITDA","FQ4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297" s="3" t="e">
        <f ca="1">_xll.BDH($C$278,"EBITDA_AFTER_CAPEX","FQ4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297" s="3" t="e">
        <f ca="1">_xll.BDH($C$278,"IS_OPER_INC","FQ4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297" s="2" t="e">
        <f ca="1">_xll.BDH($C$278,"CASH_RATIO","FQ4 2017","FQ4 2017","Currency=INR","Period=FQ","BEST_FPERIOD_OVERRIDE=FQ","FILING_STATUS=OR","EQY_CONSOLIDATED=Y","Sort=A","Dates=H","DateFormat=P","Fill=—","Direction=H","UseDPDF=Y")</f>
        <v>#NAME?</v>
      </c>
      <c r="CT297" s="2" t="e">
        <f ca="1">_xll.BDH($C$278,"CUR_RATIO","FQ4 2017","FQ4 2017","Currency=INR","Period=FQ","BEST_FPERIOD_OVERRIDE=FQ","FILING_STATUS=OR","EQY_CONSOLIDATED=Y","Sort=A","Dates=H","DateFormat=P","Fill=—","Direction=H","UseDPDF=Y")</f>
        <v>#NAME?</v>
      </c>
      <c r="CU297" s="2" t="e">
        <f ca="1">_xll.BDH($C$278,"QUICK_RATIO","FQ4 2017","FQ4 2017","Currency=INR","Period=FQ","BEST_FPERIOD_OVERRIDE=FQ","FILING_STATUS=OR","EQY_CONSOLIDATED=Y","Sort=A","Dates=H","DateFormat=P","Fill=—","Direction=H","UseDPDF=Y")</f>
        <v>#NAME?</v>
      </c>
      <c r="CV297" s="2" t="e">
        <f ca="1">_xll.BDH($C$278,"ALTMAN_Z_SCORE","FQ4 2017","FQ4 2017","Currency=INR","Period=FQ","BEST_FPERIOD_OVERRIDE=FQ","FILING_STATUS=OR","EQY_CONSOLIDATED=Y","Sort=A","Dates=H","DateFormat=P","Fill=—","Direction=H","UseDPDF=Y")</f>
        <v>#NAME?</v>
      </c>
      <c r="CW297" s="4" t="e">
        <f ca="1">_xll.BDH($C$278,"ACCT_RCV_TURN","FQ4 2017","FQ4 2017","Currency=INR","Period=FQ","BEST_FPERIOD_OVERRIDE=FQ","FILING_STATUS=OR","EQY_CONSOLIDATED=Y","FA_ADJUSTED=GAAP","Sort=A","Dates=H","DateFormat=P","Fill=—","Direction=H","UseDPDF=Y")</f>
        <v>#NAME?</v>
      </c>
      <c r="CX297" s="2" t="e">
        <f ca="1">_xll.BDH($C$278,"ACCT_RCV_DAYS","FQ4 2017","FQ4 2017","Currency=INR","Period=FQ","BEST_FPERIOD_OVERRIDE=FQ","FILING_STATUS=OR","EQY_CONSOLIDATED=Y","FA_ADJUSTED=GAAP","Sort=A","Dates=H","DateFormat=P","Fill=—","Direction=H","UseDPDF=Y")</f>
        <v>#NAME?</v>
      </c>
      <c r="CY297" s="4" t="e">
        <f ca="1">_xll.BDH($C$278,"INVENT_TURN","FQ4 2017","FQ4 2017","Currency=INR","Period=FQ","BEST_FPERIOD_OVERRIDE=FQ","FILING_STATUS=OR","EQY_CONSOLIDATED=Y","FA_ADJUSTED=GAAP","Sort=A","Dates=H","DateFormat=P","Fill=—","Direction=H","UseDPDF=Y")</f>
        <v>#NAME?</v>
      </c>
      <c r="CZ297" s="2" t="e">
        <f ca="1">_xll.BDH($C$278,"INVENT_DAYS","FQ4 2017","FQ4 2017","Currency=INR","Period=FQ","BEST_FPERIOD_OVERRIDE=FQ","FILING_STATUS=OR","EQY_CONSOLIDATED=Y","FA_ADJUSTED=GAAP","Sort=A","Dates=H","DateFormat=P","Fill=—","Direction=H","UseDPDF=Y")</f>
        <v>#NAME?</v>
      </c>
      <c r="DA297" s="4" t="e">
        <f ca="1">_xll.BDH($C$278,"ACCOUNTS_PAYABLE_TURNOVER","FQ4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297" s="2" t="e">
        <f ca="1">_xll.BDH($C$278,"ACCOUNTS_PAYABLE_TURNOVER_DAYS","FQ4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297" s="4" t="e">
        <f ca="1">_xll.BDH($C$278,"CASH_CONVERSION_CYCLE","FQ4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297" s="4" t="e">
        <f ca="1">_xll.BDH($C$278,"INV_TO_CASH_DAYS","FQ4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297" s="5" t="e">
        <f ca="1">_xll.BDH($C$278,"BS_INVENTORIES","FQ4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297" s="3" t="e">
        <f ca="1">_xll.BDH($C$278,"INVTRY_RAW_MATERIALS","FQ4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297" s="3" t="e">
        <f ca="1">_xll.BDH($C$278,"INVTRY_IN_PROGRESS","FQ4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297" s="3" t="e">
        <f ca="1">_xll.BDH($C$278,"INVTRY_FINISHED_GOODS","FQ4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297" s="3" t="e">
        <f ca="1">_xll.BDH($C$278,"BS_OTHER_INV","FQ4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298" spans="1:113" x14ac:dyDescent="0.3">
      <c r="A298" s="6"/>
      <c r="B298" s="6"/>
      <c r="C298" s="6"/>
      <c r="D298" s="6" t="s">
        <v>85</v>
      </c>
      <c r="E298" t="s">
        <v>77</v>
      </c>
      <c r="F298" t="e">
        <f ca="1">_xll.BDH($C$278,"RETURN_COM_EQY","FY 2018","FY 2018","Currency=INR","Period=FY","BEST_FPERIOD_OVERRIDE=FY","FILING_STATUS=OR","EQY_CONSOLIDATED=Y","FA_ADJUSTED=GAAP","Sort=A","Dates=H","DateFormat=P","Fill=—","Direction=H","UseDPDF=Y")</f>
        <v>#NAME?</v>
      </c>
      <c r="G298" t="e">
        <f ca="1">_xll.BDH($C$278,"RETURN_ON_ASSET","FY 2018","FY 2018","Currency=INR","Period=FY","BEST_FPERIOD_OVERRIDE=FY","FILING_STATUS=OR","EQY_CONSOLIDATED=Y","FA_ADJUSTED=GAAP","Sort=A","Dates=H","DateFormat=P","Fill=—","Direction=H","UseDPDF=Y")</f>
        <v>#NAME?</v>
      </c>
      <c r="H298" t="e">
        <f ca="1">_xll.BDH($C$278,"RETURN_ON_CAP","FY 2018","FY 2018","Currency=INR","Period=FY","BEST_FPERIOD_OVERRIDE=FY","FILING_STATUS=OR","EQY_CONSOLIDATED=Y","FA_ADJUSTED=GAAP","Sort=A","Dates=H","DateFormat=P","Fill=—","Direction=H","UseDPDF=Y")</f>
        <v>#NAME?</v>
      </c>
      <c r="I298" t="e">
        <f ca="1">_xll.BDH($C$278,"RETURN_ON_INV_CAPITAL","FY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298" t="e">
        <f ca="1">_xll.BDH($C$278,"EBITDA_TO_REVENUE","FY 2018","FY 2018","Currency=INR","Period=FY","BEST_FPERIOD_OVERRIDE=FY","FILING_STATUS=OR","EQY_CONSOLIDATED=Y","FA_ADJUSTED=GAAP","Sort=A","Dates=H","DateFormat=P","Fill=—","Direction=H","UseDPDF=Y")</f>
        <v>#NAME?</v>
      </c>
      <c r="K298" t="e">
        <f ca="1">_xll.BDH($C$278,"OPER_MARGIN","FY 2018","FY 2018","Currency=INR","Period=FY","BEST_FPERIOD_OVERRIDE=FY","FILING_STATUS=OR","EQY_CONSOLIDATED=Y","FA_ADJUSTED=GAAP","Sort=A","Dates=H","DateFormat=P","Fill=—","Direction=H","UseDPDF=Y")</f>
        <v>#NAME?</v>
      </c>
      <c r="L298" t="e">
        <f ca="1">_xll.BDH($C$278,"INCREMENTAL_OPERATING_MARGIN","FY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298" t="e">
        <f ca="1">_xll.BDH($C$278,"PRETAX_INC_TO_NET_SALES","FY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298" t="e">
        <f ca="1">_xll.BDH($C$278,"INC_BEF_XO_ITEMS_TO_NET_SALES","FY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298" t="e">
        <f ca="1">_xll.BDH($C$278,"PROF_MARGIN","FY 2018","FY 2018","Currency=INR","Period=FY","BEST_FPERIOD_OVERRIDE=FY","FILING_STATUS=OR","EQY_CONSOLIDATED=Y","FA_ADJUSTED=GAAP","Sort=A","Dates=H","DateFormat=P","Fill=—","Direction=H","UseDPDF=Y")</f>
        <v>#NAME?</v>
      </c>
      <c r="P298" t="e">
        <f ca="1">_xll.BDH($C$278,"NET_INCOME_TO_COMMON_MARGIN","FY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298" t="e">
        <f ca="1">_xll.BDH($C$278,"EFF_TAX_RATE","FY 2018","FY 2018","Currency=INR","Period=FY","BEST_FPERIOD_OVERRIDE=FY","FILING_STATUS=OR","EQY_CONSOLIDATED=Y","FA_ADJUSTED=GAAP","Sort=A","Dates=H","DateFormat=P","Fill=—","Direction=H","UseDPDF=Y")</f>
        <v>#NAME?</v>
      </c>
      <c r="R298" t="e">
        <f ca="1">_xll.BDH($C$278,"DVD_PAYOUT_RATIO","FY 2018","FY 2018","Currency=INR","Period=FY","BEST_FPERIOD_OVERRIDE=FY","FILING_STATUS=OR","EQY_CONSOLIDATED=Y","FA_ADJUSTED=GAAP","Sort=A","Dates=H","DateFormat=P","Fill=—","Direction=H","UseDPDF=Y")</f>
        <v>#NAME?</v>
      </c>
      <c r="S298" t="e">
        <f ca="1">_xll.BDH($C$278,"SUSTAIN_GROWTH_RT","FY 2018","FY 2018","Currency=INR","Period=FY","BEST_FPERIOD_OVERRIDE=FY","FILING_STATUS=OR","EQY_CONSOLIDATED=Y","FA_ADJUSTED=GAAP","Sort=A","Dates=H","DateFormat=P","Fill=—","Direction=H","UseDPDF=Y")</f>
        <v>#NAME?</v>
      </c>
      <c r="T298" s="2" t="e">
        <f ca="1">_xll.BDH($C$278,"SALES_GROWTH","FY 2018","FY 2018","Currency=INR","Period=FY","BEST_FPERIOD_OVERRIDE=FY","FILING_STATUS=OR","EQY_CONSOLIDATED=Y","FA_ADJUSTED=GAAP","Sort=A","Dates=H","DateFormat=P","Fill=—","Direction=H","UseDPDF=Y")</f>
        <v>#NAME?</v>
      </c>
      <c r="U298" s="2" t="e">
        <f ca="1">_xll.BDH($C$278,"EBITDA_GROWTH","FY 2018","FY 2018","Currency=INR","Period=FY","BEST_FPERIOD_OVERRIDE=FY","FILING_STATUS=OR","EQY_CONSOLIDATED=Y","FA_ADJUSTED=GAAP","Sort=A","Dates=H","DateFormat=P","Fill=—","Direction=H","UseDPDF=Y")</f>
        <v>#NAME?</v>
      </c>
      <c r="V298" s="2" t="e">
        <f ca="1">_xll.BDH($C$278,"OPER_INC_GROWTH","FY 2018","FY 2018","Currency=INR","Period=FY","BEST_FPERIOD_OVERRIDE=FY","FILING_STATUS=OR","EQY_CONSOLIDATED=Y","FA_ADJUSTED=GAAP","Sort=A","Dates=H","DateFormat=P","Fill=—","Direction=H","UseDPDF=Y")</f>
        <v>#NAME?</v>
      </c>
      <c r="W298" s="2" t="e">
        <f ca="1">_xll.BDH($C$278,"EARN_FOR_COM_GROWTH","FY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298" s="2" t="e">
        <f ca="1">_xll.BDH($C$278,"DILUTED_EPS_AFT_XO_ITEMS_GROWTH","FY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298" s="2" t="e">
        <f ca="1">_xll.BDH($C$278,"DIVIDEND_PER_SHARE_1_YEAR_GROWTH","FY 2018","FY 2018","Currency=INR","Period=FY","BEST_FPERIOD_OVERRIDE=FY","FILING_STATUS=OR","EQY_CONSOLIDATED=Y","Sort=A","Dates=H","DateFormat=P","Fill=—","Direction=H","UseDPDF=Y")</f>
        <v>#NAME?</v>
      </c>
      <c r="Z298" s="2" t="e">
        <f ca="1">_xll.BDH($C$278,"ACCOUNTS_RECEIVABLE_GROWTH","FY 2018","FY 2018","Currency=INR","Period=FY","BEST_FPERIOD_OVERRIDE=FY","FILING_STATUS=OR","EQY_CONSOLIDATED=Y","Sort=A","Dates=H","DateFormat=P","Fill=—","Direction=H","UseDPDF=Y")</f>
        <v>#NAME?</v>
      </c>
      <c r="AA298" s="2" t="e">
        <f ca="1">_xll.BDH($C$278,"INVENTORY_GROWTH","FY 2018","FY 2018","Currency=INR","Period=FY","BEST_FPERIOD_OVERRIDE=FY","FILING_STATUS=OR","EQY_CONSOLIDATED=Y","Sort=A","Dates=H","DateFormat=P","Fill=—","Direction=H","UseDPDF=Y")</f>
        <v>#NAME?</v>
      </c>
      <c r="AB298" s="2" t="e">
        <f ca="1">_xll.BDH($C$278,"NET_FIXED_ASSETS_1_YEAR_GROWTH","FY 2018","FY 2018","Currency=INR","Period=FY","BEST_FPERIOD_OVERRIDE=FY","FILING_STATUS=OR","EQY_CONSOLIDATED=Y","Sort=A","Dates=H","DateFormat=P","Fill=—","Direction=H","UseDPDF=Y")</f>
        <v>#NAME?</v>
      </c>
      <c r="AC298" s="2" t="e">
        <f ca="1">_xll.BDH($C$278,"ASSET_GROWTH","FY 2018","FY 2018","Currency=INR","Period=FY","BEST_FPERIOD_OVERRIDE=FY","FILING_STATUS=OR","EQY_CONSOLIDATED=Y","Sort=A","Dates=H","DateFormat=P","Fill=—","Direction=H","UseDPDF=Y")</f>
        <v>#NAME?</v>
      </c>
      <c r="AD298" s="2" t="e">
        <f ca="1">_xll.BDH($C$278,"MODIFIED_WORK_CAP_GROWTH","FY 2018","FY 2018","Currency=INR","Period=FY","BEST_FPERIOD_OVERRIDE=FY","FILING_STATUS=OR","EQY_CONSOLIDATED=Y","Sort=A","Dates=H","DateFormat=P","Fill=—","Direction=H","UseDPDF=Y")</f>
        <v>#NAME?</v>
      </c>
      <c r="AE298" s="2" t="e">
        <f ca="1">_xll.BDH($C$278,"WORK_CAP_GROWTH","FY 2018","FY 2018","Currency=INR","Period=FY","BEST_FPERIOD_OVERRIDE=FY","FILING_STATUS=OR","EQY_CONSOLIDATED=Y","Sort=A","Dates=H","DateFormat=P","Fill=—","Direction=H","UseDPDF=Y")</f>
        <v>#NAME?</v>
      </c>
      <c r="AF298" s="2" t="e">
        <f ca="1">_xll.BDH($C$278,"ACCOUNTS_PAYABLE_GROWTH_1YR","FY 2018","FY 2018","Currency=INR","Period=FY","BEST_FPERIOD_OVERRIDE=FY","FILING_STATUS=OR","EQY_CONSOLIDATED=Y","Sort=A","Dates=H","DateFormat=P","Fill=—","Direction=H","UseDPDF=Y")</f>
        <v>#NAME?</v>
      </c>
      <c r="AG298" s="2" t="e">
        <f ca="1">_xll.BDH($C$278,"SHORT_TERM_DEBT_1_YEAR_GROWTH","FY 2018","FY 2018","Currency=INR","Period=FY","BEST_FPERIOD_OVERRIDE=FY","FILING_STATUS=OR","EQY_CONSOLIDATED=Y","Sort=A","Dates=H","DateFormat=P","Fill=—","Direction=H","UseDPDF=Y")</f>
        <v>#NAME?</v>
      </c>
      <c r="AH298" s="2" t="e">
        <f ca="1">_xll.BDH($C$278,"TOTAL_DEBT_1_YEAR_GROWTH","FY 2018","FY 2018","Currency=INR","Period=FY","BEST_FPERIOD_OVERRIDE=FY","FILING_STATUS=OR","EQY_CONSOLIDATED=Y","Sort=A","Dates=H","DateFormat=P","Fill=—","Direction=H","UseDPDF=Y")</f>
        <v>#NAME?</v>
      </c>
      <c r="AI298" s="2" t="e">
        <f ca="1">_xll.BDH($C$278,"TOTAL_EQUITY_1_YEAR_GROWTH","FY 2018","FY 2018","Currency=INR","Period=FY","BEST_FPERIOD_OVERRIDE=FY","FILING_STATUS=OR","EQY_CONSOLIDATED=Y","Sort=A","Dates=H","DateFormat=P","Fill=—","Direction=H","UseDPDF=Y")</f>
        <v>#NAME?</v>
      </c>
      <c r="AJ298" s="2" t="e">
        <f ca="1">_xll.BDH($C$278,"GROWTH_IN_CAP","FY 2018","FY 2018","Currency=INR","Period=FY","BEST_FPERIOD_OVERRIDE=FY","FILING_STATUS=OR","EQY_CONSOLIDATED=Y","Sort=A","Dates=H","DateFormat=P","Fill=—","Direction=H","UseDPDF=Y")</f>
        <v>#NAME?</v>
      </c>
      <c r="AK298" s="2" t="e">
        <f ca="1">_xll.BDH($C$278,"BVPS_GROWTH","FY 2018","FY 2018","Currency=INR","Period=FY","BEST_FPERIOD_OVERRIDE=FY","FILING_STATUS=OR","EQY_CONSOLIDATED=Y","Sort=A","Dates=H","DateFormat=P","Fill=—","Direction=H","UseDPDF=Y")</f>
        <v>#NAME?</v>
      </c>
      <c r="AL298" s="2" t="e">
        <f ca="1">_xll.BDH($C$278,"CASH_FLOW_GROWTH","FY 2018","FY 2018","Currency=INR","Period=FY","BEST_FPERIOD_OVERRIDE=FY","FILING_STATUS=OR","EQY_CONSOLIDATED=Y","Sort=A","Dates=H","DateFormat=P","Fill=—","Direction=H","UseDPDF=Y")</f>
        <v>#NAME?</v>
      </c>
      <c r="AM298" s="2" t="e">
        <f ca="1">_xll.BDH($C$278,"GEO_GROW_NET_SALES","FY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298" s="2" t="e">
        <f ca="1">_xll.BDH($C$278,"GEO_GROW_EBITDA","FY 2018","FY 2018","Currency=INR","Period=FY","BEST_FPERIOD_OVERRIDE=FY","FILING_STATUS=OR","EQY_CONSOLIDATED=Y","FA_ADJUSTED=GAAP","Sort=A","Dates=H","DateFormat=P","Fill=—","Direction=H","UseDPDF=Y")</f>
        <v>#NAME?</v>
      </c>
      <c r="AO298" s="2" t="e">
        <f ca="1">_xll.BDH($C$278,"GEO_GROW_OPER_INC","FY 2018","FY 2018","Currency=INR","Period=FY","BEST_FPERIOD_OVERRIDE=FY","FILING_STATUS=OR","EQY_CONSOLIDATED=Y","FA_ADJUSTED=GAAP","Sort=A","Dates=H","DateFormat=P","Fill=—","Direction=H","UseDPDF=Y")</f>
        <v>#NAME?</v>
      </c>
      <c r="AP298" s="2" t="e">
        <f ca="1">_xll.BDH($C$278,"NET_INCOME_TO_COMMON_5_YR_GROWTH","FY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298" s="2" t="e">
        <f ca="1">_xll.BDH($C$278,"5Y_GEO_GROWTH_DILUTED_EPS","FY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298" s="2" t="e">
        <f ca="1">_xll.BDH($C$278,"GEO_GROW_DVD_PER_SH","FY 2018","FY 2018","Currency=INR","Period=FY","BEST_FPERIOD_OVERRIDE=FY","FILING_STATUS=OR","EQY_CONSOLIDATED=Y","Sort=A","Dates=H","DateFormat=P","Fill=—","Direction=H","UseDPDF=Y")</f>
        <v>#NAME?</v>
      </c>
      <c r="AS298" s="2" t="e">
        <f ca="1">_xll.BDH($C$278,"ACCOUNTS_RECEIVABLE_5_YR_GROWTH","FY 2018","FY 2018","Currency=INR","Period=FY","BEST_FPERIOD_OVERRIDE=FY","FILING_STATUS=OR","EQY_CONSOLIDATED=Y","Sort=A","Dates=H","DateFormat=P","Fill=—","Direction=H","UseDPDF=Y")</f>
        <v>#NAME?</v>
      </c>
      <c r="AT298" s="2" t="e">
        <f ca="1">_xll.BDH($C$278,"INVENTORY_5_YEAR_GROWTH","FY 2018","FY 2018","Currency=INR","Period=FY","BEST_FPERIOD_OVERRIDE=FY","FILING_STATUS=OR","EQY_CONSOLIDATED=Y","Sort=A","Dates=H","DateFormat=P","Fill=—","Direction=H","UseDPDF=Y")</f>
        <v>#NAME?</v>
      </c>
      <c r="AU298" s="2" t="e">
        <f ca="1">_xll.BDH($C$278,"NET_FIXED_ASSETS_5_YEAR_GROWTH","FY 2018","FY 2018","Currency=INR","Period=FY","BEST_FPERIOD_OVERRIDE=FY","FILING_STATUS=OR","EQY_CONSOLIDATED=Y","Sort=A","Dates=H","DateFormat=P","Fill=—","Direction=H","UseDPDF=Y")</f>
        <v>#NAME?</v>
      </c>
      <c r="AV298" s="2" t="e">
        <f ca="1">_xll.BDH($C$278,"GEO_GROW_TOT_ASSET","FY 2018","FY 2018","Currency=INR","Period=FY","BEST_FPERIOD_OVERRIDE=FY","FILING_STATUS=OR","EQY_CONSOLIDATED=Y","Sort=A","Dates=H","DateFormat=P","Fill=—","Direction=H","UseDPDF=Y")</f>
        <v>#NAME?</v>
      </c>
      <c r="AW298" s="2" t="e">
        <f ca="1">_xll.BDH($C$278,"MODIFIED_WORKING_CPTL_5YR_GRWTH","FY 2018","FY 2018","Currency=INR","Period=FY","BEST_FPERIOD_OVERRIDE=FY","FILING_STATUS=OR","EQY_CONSOLIDATED=Y","Sort=A","Dates=H","DateFormat=P","Fill=—","Direction=H","UseDPDF=Y")</f>
        <v>#NAME?</v>
      </c>
      <c r="AX298" s="2" t="e">
        <f ca="1">_xll.BDH($C$278,"WORKING_CAPITAL_5_YEAR_GROWTH","FY 2018","FY 2018","Currency=INR","Period=FY","BEST_FPERIOD_OVERRIDE=FY","FILING_STATUS=OR","EQY_CONSOLIDATED=Y","Sort=A","Dates=H","DateFormat=P","Fill=—","Direction=H","UseDPDF=Y")</f>
        <v>#NAME?</v>
      </c>
      <c r="AY298" s="2" t="e">
        <f ca="1">_xll.BDH($C$278,"ACCOUNTS_PAYABLE_5_YEAR_GROWTH","FY 2018","FY 2018","Currency=INR","Period=FY","BEST_FPERIOD_OVERRIDE=FY","FILING_STATUS=OR","EQY_CONSOLIDATED=Y","Sort=A","Dates=H","DateFormat=P","Fill=—","Direction=H","UseDPDF=Y")</f>
        <v>#NAME?</v>
      </c>
      <c r="AZ298" s="2" t="e">
        <f ca="1">_xll.BDH($C$278,"SHORT_TERM_DEBT_5_YEAR_GROWTH","FY 2018","FY 2018","Currency=INR","Period=FY","BEST_FPERIOD_OVERRIDE=FY","FILING_STATUS=OR","EQY_CONSOLIDATED=Y","Sort=A","Dates=H","DateFormat=P","Fill=—","Direction=H","UseDPDF=Y")</f>
        <v>#NAME?</v>
      </c>
      <c r="BA298" s="2" t="e">
        <f ca="1">_xll.BDH($C$278,"TOTAL_DEBT_5_YEAR_GROWTH","FY 2018","FY 2018","Currency=INR","Period=FY","BEST_FPERIOD_OVERRIDE=FY","FILING_STATUS=OR","EQY_CONSOLIDATED=Y","Sort=A","Dates=H","DateFormat=P","Fill=—","Direction=H","UseDPDF=Y")</f>
        <v>#NAME?</v>
      </c>
      <c r="BB298" s="2" t="e">
        <f ca="1">_xll.BDH($C$278,"GEO_GROW_TOT_SHRHLDR_EQY","FY 2018","FY 2018","Currency=INR","Period=FY","BEST_FPERIOD_OVERRIDE=FY","FILING_STATUS=OR","EQY_CONSOLIDATED=Y","Sort=A","Dates=H","DateFormat=P","Fill=—","Direction=H","UseDPDF=Y")</f>
        <v>#NAME?</v>
      </c>
      <c r="BC298" s="2" t="e">
        <f ca="1">_xll.BDH($C$278,"TOTAL_CAPITAL_5_YEAR_GROWTH","FY 2018","FY 2018","Currency=INR","Period=FY","BEST_FPERIOD_OVERRIDE=FY","FILING_STATUS=OR","EQY_CONSOLIDATED=Y","Sort=A","Dates=H","DateFormat=P","Fill=—","Direction=H","UseDPDF=Y")</f>
        <v>#NAME?</v>
      </c>
      <c r="BD298" s="2" t="e">
        <f ca="1">_xll.BDH($C$278,"GEO_GROW_BOOK_VAL","FY 2018","FY 2018","Currency=INR","Period=FY","BEST_FPERIOD_OVERRIDE=FY","FILING_STATUS=OR","EQY_CONSOLIDATED=Y","Sort=A","Dates=H","DateFormat=P","Fill=—","Direction=H","UseDPDF=Y")</f>
        <v>#NAME?</v>
      </c>
      <c r="BE298" s="2" t="e">
        <f ca="1">_xll.BDH($C$278,"GEO_GROW_CASH_OPER_ACT","FY 2018","FY 2018","Currency=INR","Period=FY","BEST_FPERIOD_OVERRIDE=FY","FILING_STATUS=OR","EQY_CONSOLIDATED=Y","Sort=A","Dates=H","DateFormat=P","Fill=—","Direction=H","UseDPDF=Y")</f>
        <v>#NAME?</v>
      </c>
      <c r="BF298" s="2" t="e">
        <f ca="1">_xll.BDH($C$278,"REVENUE_SEQUENTIAL_GROWTH","FY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298" s="2" t="e">
        <f ca="1">_xll.BDH($C$278,"EBITDA_SEQUENTIAL_GROWTH","FY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298" s="2" t="e">
        <f ca="1">_xll.BDH($C$278,"OPERATING_INCOME_SEQ_GROWTH","FY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298" s="2" t="e">
        <f ca="1">_xll.BDH($C$278,"NET_INCOME_TO_COMMON_SEQ_GROWTH","FY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298" s="2" t="e">
        <f ca="1">_xll.BDH($C$278,"EPS_DILUTED_SEQUENTIAL_GROWTH","FY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298" s="2" t="e">
        <f ca="1">_xll.BDH($C$278,"DPS_SEQUENTIAL_GROWTH","FY 2018","FY 2018","Currency=INR","Period=FY","BEST_FPERIOD_OVERRIDE=FY","FILING_STATUS=OR","EQY_CONSOLIDATED=Y","Sort=A","Dates=H","DateFormat=P","Fill=—","Direction=H","UseDPDF=Y")</f>
        <v>#NAME?</v>
      </c>
      <c r="BL298" s="2" t="e">
        <f ca="1">_xll.BDH($C$278,"ACCOUNTS_RECEIVABLE_SEQ_GROWTH","FY 2018","FY 2018","Currency=INR","Period=FY","BEST_FPERIOD_OVERRIDE=FY","FILING_STATUS=OR","EQY_CONSOLIDATED=Y","Sort=A","Dates=H","DateFormat=P","Fill=—","Direction=H","UseDPDF=Y")</f>
        <v>#NAME?</v>
      </c>
      <c r="BM298" s="2" t="e">
        <f ca="1">_xll.BDH($C$278,"INVENTORY_SEQUENTIAL_GROWTH","FY 2018","FY 2018","Currency=INR","Period=FY","BEST_FPERIOD_OVERRIDE=FY","FILING_STATUS=OR","EQY_CONSOLIDATED=Y","Sort=A","Dates=H","DateFormat=P","Fill=—","Direction=H","UseDPDF=Y")</f>
        <v>#NAME?</v>
      </c>
      <c r="BN298" s="2" t="e">
        <f ca="1">_xll.BDH($C$278,"FIXED_ASSETS_SEQUENTIAL_GROWTH","FY 2018","FY 2018","Currency=INR","Period=FY","BEST_FPERIOD_OVERRIDE=FY","FILING_STATUS=OR","EQY_CONSOLIDATED=Y","Sort=A","Dates=H","DateFormat=P","Fill=—","Direction=H","UseDPDF=Y")</f>
        <v>#NAME?</v>
      </c>
      <c r="BO298" s="2" t="e">
        <f ca="1">_xll.BDH($C$278,"TOTAL_ASSETS_SEQUENTIAL_GROWTH","FY 2018","FY 2018","Currency=INR","Period=FY","BEST_FPERIOD_OVERRIDE=FY","FILING_STATUS=OR","EQY_CONSOLIDATED=Y","Sort=A","Dates=H","DateFormat=P","Fill=—","Direction=H","UseDPDF=Y")</f>
        <v>#NAME?</v>
      </c>
      <c r="BP298" s="2" t="e">
        <f ca="1">_xll.BDH($C$278,"MODIFIED_WORKING_CPTL_SEQ_GRWTH","FY 2018","FY 2018","Currency=INR","Period=FY","BEST_FPERIOD_OVERRIDE=FY","FILING_STATUS=OR","EQY_CONSOLIDATED=Y","Sort=A","Dates=H","DateFormat=P","Fill=—","Direction=H","UseDPDF=Y")</f>
        <v>#NAME?</v>
      </c>
      <c r="BQ298" s="2" t="e">
        <f ca="1">_xll.BDH($C$278,"WORKING_CAPITAL_SEQ_GROWTH","FY 2018","FY 2018","Currency=INR","Period=FY","BEST_FPERIOD_OVERRIDE=FY","FILING_STATUS=OR","EQY_CONSOLIDATED=Y","Sort=A","Dates=H","DateFormat=P","Fill=—","Direction=H","UseDPDF=Y")</f>
        <v>#NAME?</v>
      </c>
      <c r="BR298" s="2" t="e">
        <f ca="1">_xll.BDH($C$278,"ACCOUNTS_PAYABLE_SEQ_GROWTH","FY 2018","FY 2018","Currency=INR","Period=FY","BEST_FPERIOD_OVERRIDE=FY","FILING_STATUS=OR","EQY_CONSOLIDATED=Y","Sort=A","Dates=H","DateFormat=P","Fill=—","Direction=H","UseDPDF=Y")</f>
        <v>#NAME?</v>
      </c>
      <c r="BS298" s="2" t="e">
        <f ca="1">_xll.BDH($C$278,"ST_DEBT_SEQUENTIAL_GROWTH","FY 2018","FY 2018","Currency=INR","Period=FY","BEST_FPERIOD_OVERRIDE=FY","FILING_STATUS=OR","EQY_CONSOLIDATED=Y","Sort=A","Dates=H","DateFormat=P","Fill=—","Direction=H","UseDPDF=Y")</f>
        <v>#NAME?</v>
      </c>
      <c r="BT298" s="2" t="e">
        <f ca="1">_xll.BDH($C$278,"TOTAL_DEBT_SEQUENTIAL_GROWTH","FY 2018","FY 2018","Currency=INR","Period=FY","BEST_FPERIOD_OVERRIDE=FY","FILING_STATUS=OR","EQY_CONSOLIDATED=Y","Sort=A","Dates=H","DateFormat=P","Fill=—","Direction=H","UseDPDF=Y")</f>
        <v>#NAME?</v>
      </c>
      <c r="BU298" s="2" t="e">
        <f ca="1">_xll.BDH($C$278,"TOTAL_EQUITY_SEQUENTIAL_GROWTH","FY 2018","FY 2018","Currency=INR","Period=FY","BEST_FPERIOD_OVERRIDE=FY","FILING_STATUS=OR","EQY_CONSOLIDATED=Y","Sort=A","Dates=H","DateFormat=P","Fill=—","Direction=H","UseDPDF=Y")</f>
        <v>#NAME?</v>
      </c>
      <c r="BV298" s="2" t="e">
        <f ca="1">_xll.BDH($C$278,"TOTAL_CAPITAL_SEQUENTIAL_GROWTH","FY 2018","FY 2018","Currency=INR","Period=FY","BEST_FPERIOD_OVERRIDE=FY","FILING_STATUS=OR","EQY_CONSOLIDATED=Y","Sort=A","Dates=H","DateFormat=P","Fill=—","Direction=H","UseDPDF=Y")</f>
        <v>#NAME?</v>
      </c>
      <c r="BW298" s="2" t="e">
        <f ca="1">_xll.BDH($C$278,"BPS_SEQUENTIAL_GROWTH","FY 2018","FY 2018","Currency=INR","Period=FY","BEST_FPERIOD_OVERRIDE=FY","FILING_STATUS=OR","EQY_CONSOLIDATED=Y","Sort=A","Dates=H","DateFormat=P","Fill=—","Direction=H","UseDPDF=Y")</f>
        <v>#NAME?</v>
      </c>
      <c r="BX298" s="2" t="e">
        <f ca="1">_xll.BDH($C$278,"CFO_SEQUENTIAL_GROWTH","FY 2018","FY 2018","Currency=INR","Period=FY","BEST_FPERIOD_OVERRIDE=FY","FILING_STATUS=OR","EQY_CONSOLIDATED=Y","Sort=A","Dates=H","DateFormat=P","Fill=—","Direction=H","UseDPDF=Y")</f>
        <v>#NAME?</v>
      </c>
      <c r="BY298" s="3" t="e">
        <f ca="1">_xll.BDH($C$278,"SHORT_AND_LONG_TERM_DEBT","FY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298" s="3" t="e">
        <f ca="1">_xll.BDH($C$278,"BS_ST_BORROW","FY 2018","FY 2018","Currency=INR","Period=FY","BEST_FPERIOD_OVERRIDE=FY","FILING_STATUS=OR","EQY_CONSOLIDATED=Y","SCALING_FORMAT=MLN","Sort=A","Dates=H","DateFormat=P","Fill=—","Direction=H","UseDPDF=Y")</f>
        <v>#NAME?</v>
      </c>
      <c r="CA298" s="3" t="e">
        <f ca="1">_xll.BDH($C$278,"BS_LT_BORROW","FY 2018","FY 2018","Currency=INR","Period=FY","BEST_FPERIOD_OVERRIDE=FY","FILING_STATUS=OR","EQY_CONSOLIDATED=Y","SCALING_FORMAT=MLN","Sort=A","Dates=H","DateFormat=P","Fill=—","Direction=H","UseDPDF=Y")</f>
        <v>#NAME?</v>
      </c>
      <c r="CB298" s="2" t="e">
        <f ca="1">_xll.BDH($C$278,"TOT_DEBT_TO_EBITDA","FY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298" s="2" t="e">
        <f ca="1">_xll.BDH($C$278,"NET_DEBT_TO_EBITDA","FY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298" s="2" t="e">
        <f ca="1">_xll.BDH($C$278,"TOTAL_DEBT_TO_EBIT","FY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298" s="2" t="e">
        <f ca="1">_xll.BDH($C$278,"NET_DEBT_TO_EBIT","FY 2018","FY 2018","Currency=INR","Period=FY","BEST_FPERIOD_OVERRIDE=FY","FILING_STATUS=OR","EQY_CONSOLIDATED=Y","FA_ADJUSTED=GAAP","Sort=A","Dates=H","DateFormat=P","Fill=—","Direction=H","UseDPDF=Y")</f>
        <v>#NAME?</v>
      </c>
      <c r="CF298" s="2" t="e">
        <f ca="1">_xll.BDH($C$278,"EBITDA_TO_INTEREST_EXPN","FY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298" s="2" t="e">
        <f ca="1">_xll.BDH($C$278,"COM_EQY_TO_TOT_ASSET","FY 2018","FY 2018","Currency=INR","Period=FY","BEST_FPERIOD_OVERRIDE=FY","FILING_STATUS=OR","EQY_CONSOLIDATED=Y","Sort=A","Dates=H","DateFormat=P","Fill=—","Direction=H","UseDPDF=Y")</f>
        <v>#NAME?</v>
      </c>
      <c r="CH298" s="2" t="e">
        <f ca="1">_xll.BDH($C$278,"LT_DEBT_TO_TOT_EQY","FY 2018","FY 2018","Currency=INR","Period=FY","BEST_FPERIOD_OVERRIDE=FY","FILING_STATUS=OR","EQY_CONSOLIDATED=Y","Sort=A","Dates=H","DateFormat=P","Fill=—","Direction=H","UseDPDF=Y")</f>
        <v>#NAME?</v>
      </c>
      <c r="CI298" s="2" t="e">
        <f ca="1">_xll.BDH($C$278,"LT_DEBT_TO_TOT_CAP","FY 2018","FY 2018","Currency=INR","Period=FY","BEST_FPERIOD_OVERRIDE=FY","FILING_STATUS=OR","EQY_CONSOLIDATED=Y","Sort=A","Dates=H","DateFormat=P","Fill=—","Direction=H","UseDPDF=Y")</f>
        <v>#NAME?</v>
      </c>
      <c r="CJ298" s="2" t="e">
        <f ca="1">_xll.BDH($C$278,"LT_DEBT_TO_TOT_ASSET","FY 2018","FY 2018","Currency=INR","Period=FY","BEST_FPERIOD_OVERRIDE=FY","FILING_STATUS=OR","EQY_CONSOLIDATED=Y","Sort=A","Dates=H","DateFormat=P","Fill=—","Direction=H","UseDPDF=Y")</f>
        <v>#NAME?</v>
      </c>
      <c r="CK298" s="2" t="e">
        <f ca="1">_xll.BDH($C$278,"TOT_DEBT_TO_TOT_EQY","FY 2018","FY 2018","Currency=INR","Period=FY","BEST_FPERIOD_OVERRIDE=FY","FILING_STATUS=OR","EQY_CONSOLIDATED=Y","Sort=A","Dates=H","DateFormat=P","Fill=—","Direction=H","UseDPDF=Y")</f>
        <v>#NAME?</v>
      </c>
      <c r="CL298" s="2" t="e">
        <f ca="1">_xll.BDH($C$278,"TOT_DEBT_TO_TOT_CAP","FY 2018","FY 2018","Currency=INR","Period=FY","BEST_FPERIOD_OVERRIDE=FY","FILING_STATUS=OR","EQY_CONSOLIDATED=Y","Sort=A","Dates=H","DateFormat=P","Fill=—","Direction=H","UseDPDF=Y")</f>
        <v>#NAME?</v>
      </c>
      <c r="CM298" s="2" t="e">
        <f ca="1">_xll.BDH($C$278,"TOT_DEBT_TO_TOT_ASSET","FY 2018","FY 2018","Currency=INR","Period=FY","BEST_FPERIOD_OVERRIDE=FY","FILING_STATUS=OR","EQY_CONSOLIDATED=Y","Sort=A","Dates=H","DateFormat=P","Fill=—","Direction=H","UseDPDF=Y")</f>
        <v>#NAME?</v>
      </c>
      <c r="CN298" s="2" t="e">
        <f ca="1">_xll.BDH($C$278,"NET_DEBT_TO_SHRHLDR_EQTY","FY 2018","FY 2018","Currency=INR","Period=FY","BEST_FPERIOD_OVERRIDE=FY","FILING_STATUS=OR","EQY_CONSOLIDATED=Y","Sort=A","Dates=H","DateFormat=P","Fill=—","Direction=H","UseDPDF=Y")</f>
        <v>#NAME?</v>
      </c>
      <c r="CO298" s="2" t="e">
        <f ca="1">_xll.BDH($C$278,"NET_DEBT_%_CAPITAL","FY 2018","FY 2018","Currency=INR","Period=FY","BEST_FPERIOD_OVERRIDE=FY","FILING_STATUS=OR","EQY_CONSOLIDATED=Y","Sort=A","Dates=H","DateFormat=P","Fill=—","Direction=H","UseDPDF=Y")</f>
        <v>#NAME?</v>
      </c>
      <c r="CP298" s="3" t="e">
        <f ca="1">_xll.BDH($C$278,"EBITDA","FY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298" s="3" t="e">
        <f ca="1">_xll.BDH($C$278,"EBITDA_AFTER_CAPEX","FY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298" s="3" t="e">
        <f ca="1">_xll.BDH($C$278,"IS_OPER_INC","FY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298" s="2" t="e">
        <f ca="1">_xll.BDH($C$278,"CASH_RATIO","FY 2018","FY 2018","Currency=INR","Period=FY","BEST_FPERIOD_OVERRIDE=FY","FILING_STATUS=OR","EQY_CONSOLIDATED=Y","Sort=A","Dates=H","DateFormat=P","Fill=—","Direction=H","UseDPDF=Y")</f>
        <v>#NAME?</v>
      </c>
      <c r="CT298" s="2" t="e">
        <f ca="1">_xll.BDH($C$278,"CUR_RATIO","FY 2018","FY 2018","Currency=INR","Period=FY","BEST_FPERIOD_OVERRIDE=FY","FILING_STATUS=OR","EQY_CONSOLIDATED=Y","Sort=A","Dates=H","DateFormat=P","Fill=—","Direction=H","UseDPDF=Y")</f>
        <v>#NAME?</v>
      </c>
      <c r="CU298" s="2" t="e">
        <f ca="1">_xll.BDH($C$278,"QUICK_RATIO","FY 2018","FY 2018","Currency=INR","Period=FY","BEST_FPERIOD_OVERRIDE=FY","FILING_STATUS=OR","EQY_CONSOLIDATED=Y","Sort=A","Dates=H","DateFormat=P","Fill=—","Direction=H","UseDPDF=Y")</f>
        <v>#NAME?</v>
      </c>
      <c r="CV298" s="2" t="e">
        <f ca="1">_xll.BDH($C$278,"ALTMAN_Z_SCORE","FY 2018","FY 2018","Currency=INR","Period=FY","BEST_FPERIOD_OVERRIDE=FY","FILING_STATUS=OR","EQY_CONSOLIDATED=Y","Sort=A","Dates=H","DateFormat=P","Fill=—","Direction=H","UseDPDF=Y")</f>
        <v>#NAME?</v>
      </c>
      <c r="CW298" s="4" t="e">
        <f ca="1">_xll.BDH($C$278,"ACCT_RCV_TURN","FY 2018","FY 2018","Currency=INR","Period=FY","BEST_FPERIOD_OVERRIDE=FY","FILING_STATUS=OR","EQY_CONSOLIDATED=Y","FA_ADJUSTED=GAAP","Sort=A","Dates=H","DateFormat=P","Fill=—","Direction=H","UseDPDF=Y")</f>
        <v>#NAME?</v>
      </c>
      <c r="CX298" s="2" t="e">
        <f ca="1">_xll.BDH($C$278,"ACCT_RCV_DAYS","FY 2018","FY 2018","Currency=INR","Period=FY","BEST_FPERIOD_OVERRIDE=FY","FILING_STATUS=OR","EQY_CONSOLIDATED=Y","FA_ADJUSTED=GAAP","Sort=A","Dates=H","DateFormat=P","Fill=—","Direction=H","UseDPDF=Y")</f>
        <v>#NAME?</v>
      </c>
      <c r="CY298" s="4" t="e">
        <f ca="1">_xll.BDH($C$278,"INVENT_TURN","FY 2018","FY 2018","Currency=INR","Period=FY","BEST_FPERIOD_OVERRIDE=FY","FILING_STATUS=OR","EQY_CONSOLIDATED=Y","FA_ADJUSTED=GAAP","Sort=A","Dates=H","DateFormat=P","Fill=—","Direction=H","UseDPDF=Y")</f>
        <v>#NAME?</v>
      </c>
      <c r="CZ298" s="2" t="e">
        <f ca="1">_xll.BDH($C$278,"INVENT_DAYS","FY 2018","FY 2018","Currency=INR","Period=FY","BEST_FPERIOD_OVERRIDE=FY","FILING_STATUS=OR","EQY_CONSOLIDATED=Y","FA_ADJUSTED=GAAP","Sort=A","Dates=H","DateFormat=P","Fill=—","Direction=H","UseDPDF=Y")</f>
        <v>#NAME?</v>
      </c>
      <c r="DA298" s="4" t="e">
        <f ca="1">_xll.BDH($C$278,"ACCOUNTS_PAYABLE_TURNOVER","FY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298" s="2" t="e">
        <f ca="1">_xll.BDH($C$278,"ACCOUNTS_PAYABLE_TURNOVER_DAYS","FY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298" s="4" t="e">
        <f ca="1">_xll.BDH($C$278,"CASH_CONVERSION_CYCLE","FY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298" s="4" t="e">
        <f ca="1">_xll.BDH($C$278,"INV_TO_CASH_DAYS","FY 2018","FY 2018","Currency=INR","Period=FY","BEST_FPERIOD_OVERRIDE=FY","FILING_STATUS=OR","EQY_CONSOLIDATED=Y","FA_ADJUSTED=GAAP","Sort=A","Dates=H","DateFormat=P","Fill=—","Direction=H","UseDPDF=Y")</f>
        <v>#NAME?</v>
      </c>
      <c r="DE298" s="5" t="e">
        <f ca="1">_xll.BDH($C$278,"BS_INVENTORIES","FY 2018","FY 2018","Currency=INR","Period=FY","BEST_FPERIOD_OVERRIDE=FY","FILING_STATUS=OR","EQY_CONSOLIDATED=Y","SCALING_FORMAT=MLN","Sort=A","Dates=H","DateFormat=P","Fill=—","Direction=H","UseDPDF=Y")</f>
        <v>#NAME?</v>
      </c>
      <c r="DF298" s="3" t="e">
        <f ca="1">_xll.BDH($C$278,"INVTRY_RAW_MATERIALS","FY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298" s="3" t="e">
        <f ca="1">_xll.BDH($C$278,"INVTRY_IN_PROGRESS","FY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298" s="3" t="e">
        <f ca="1">_xll.BDH($C$278,"INVTRY_FINISHED_GOODS","FY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298" s="3" t="e">
        <f ca="1">_xll.BDH($C$278,"BS_OTHER_INV","FY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299" spans="1:113" x14ac:dyDescent="0.3">
      <c r="A299" s="6"/>
      <c r="B299" s="6"/>
      <c r="C299" s="6"/>
      <c r="D299" s="6"/>
      <c r="E299" t="s">
        <v>78</v>
      </c>
      <c r="F299" t="e">
        <f ca="1">_xll.BDH($C$278,"RETURN_COM_EQY","FQ1 2018","FQ1 2018","Currency=INR","Period=FQ","BEST_FPERIOD_OVERRIDE=FQ","FILING_STATUS=OR","EQY_CONSOLIDATED=Y","FA_ADJUSTED=GAAP","Sort=A","Dates=H","DateFormat=P","Fill=—","Direction=H","UseDPDF=Y")</f>
        <v>#NAME?</v>
      </c>
      <c r="G299" t="e">
        <f ca="1">_xll.BDH($C$278,"RETURN_ON_ASSET","FQ1 2018","FQ1 2018","Currency=INR","Period=FQ","BEST_FPERIOD_OVERRIDE=FQ","FILING_STATUS=OR","EQY_CONSOLIDATED=Y","FA_ADJUSTED=GAAP","Sort=A","Dates=H","DateFormat=P","Fill=—","Direction=H","UseDPDF=Y")</f>
        <v>#NAME?</v>
      </c>
      <c r="H299" t="e">
        <f ca="1">_xll.BDH($C$278,"RETURN_ON_CAP","FQ1 2018","FQ1 2018","Currency=INR","Period=FQ","BEST_FPERIOD_OVERRIDE=FQ","FILING_STATUS=OR","EQY_CONSOLIDATED=Y","FA_ADJUSTED=GAAP","Sort=A","Dates=H","DateFormat=P","Fill=—","Direction=H","UseDPDF=Y")</f>
        <v>#NAME?</v>
      </c>
      <c r="I299" t="e">
        <f ca="1">_xll.BDH($C$278,"RETURN_ON_INV_CAPITAL","FQ1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299" t="e">
        <f ca="1">_xll.BDH($C$278,"EBITDA_TO_REVENUE","FQ1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299" t="e">
        <f ca="1">_xll.BDH($C$278,"OPER_MARGIN","FQ1 2018","FQ1 2018","Currency=INR","Period=FQ","BEST_FPERIOD_OVERRIDE=FQ","FILING_STATUS=OR","EQY_CONSOLIDATED=Y","FA_ADJUSTED=GAAP","Sort=A","Dates=H","DateFormat=P","Fill=—","Direction=H","UseDPDF=Y")</f>
        <v>#NAME?</v>
      </c>
      <c r="L299" t="e">
        <f ca="1">_xll.BDH($C$278,"INCREMENTAL_OPERATING_MARGIN","FQ1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299" t="e">
        <f ca="1">_xll.BDH($C$278,"PRETAX_INC_TO_NET_SALES","FQ1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299" t="e">
        <f ca="1">_xll.BDH($C$278,"INC_BEF_XO_ITEMS_TO_NET_SALES","FQ1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299" t="e">
        <f ca="1">_xll.BDH($C$278,"PROF_MARGIN","FQ1 2018","FQ1 2018","Currency=INR","Period=FQ","BEST_FPERIOD_OVERRIDE=FQ","FILING_STATUS=OR","EQY_CONSOLIDATED=Y","FA_ADJUSTED=GAAP","Sort=A","Dates=H","DateFormat=P","Fill=—","Direction=H","UseDPDF=Y")</f>
        <v>#NAME?</v>
      </c>
      <c r="P299" t="e">
        <f ca="1">_xll.BDH($C$278,"NET_INCOME_TO_COMMON_MARGIN","FQ1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299" t="e">
        <f ca="1">_xll.BDH($C$278,"EFF_TAX_RATE","FQ1 2018","FQ1 2018","Currency=INR","Period=FQ","BEST_FPERIOD_OVERRIDE=FQ","FILING_STATUS=OR","EQY_CONSOLIDATED=Y","FA_ADJUSTED=GAAP","Sort=A","Dates=H","DateFormat=P","Fill=—","Direction=H","UseDPDF=Y")</f>
        <v>#NAME?</v>
      </c>
      <c r="R299" t="e">
        <f ca="1">_xll.BDH($C$278,"DVD_PAYOUT_RATIO","FQ1 2018","FQ1 2018","Currency=INR","Period=FQ","BEST_FPERIOD_OVERRIDE=FQ","FILING_STATUS=OR","EQY_CONSOLIDATED=Y","FA_ADJUSTED=GAAP","Sort=A","Dates=H","DateFormat=P","Fill=—","Direction=H","UseDPDF=Y")</f>
        <v>#NAME?</v>
      </c>
      <c r="S299" t="e">
        <f ca="1">_xll.BDH($C$278,"SUSTAIN_GROWTH_RT","FQ1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299" s="2" t="e">
        <f ca="1">_xll.BDH($C$278,"SALES_GROWTH","FQ1 2018","FQ1 2018","Currency=INR","Period=FQ","BEST_FPERIOD_OVERRIDE=FQ","FILING_STATUS=OR","EQY_CONSOLIDATED=Y","FA_ADJUSTED=GAAP","Sort=A","Dates=H","DateFormat=P","Fill=—","Direction=H","UseDPDF=Y")</f>
        <v>#NAME?</v>
      </c>
      <c r="U299" s="2" t="e">
        <f ca="1">_xll.BDH($C$278,"EBITDA_GROWTH","FQ1 2018","FQ1 2018","Currency=INR","Period=FQ","BEST_FPERIOD_OVERRIDE=FQ","FILING_STATUS=OR","EQY_CONSOLIDATED=Y","FA_ADJUSTED=GAAP","Sort=A","Dates=H","DateFormat=P","Fill=—","Direction=H","UseDPDF=Y")</f>
        <v>#NAME?</v>
      </c>
      <c r="V299" s="2" t="e">
        <f ca="1">_xll.BDH($C$278,"OPER_INC_GROWTH","FQ1 2018","FQ1 2018","Currency=INR","Period=FQ","BEST_FPERIOD_OVERRIDE=FQ","FILING_STATUS=OR","EQY_CONSOLIDATED=Y","FA_ADJUSTED=GAAP","Sort=A","Dates=H","DateFormat=P","Fill=—","Direction=H","UseDPDF=Y")</f>
        <v>#NAME?</v>
      </c>
      <c r="W299" s="2" t="e">
        <f ca="1">_xll.BDH($C$278,"EARN_FOR_COM_GROWTH","FQ1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299" s="2" t="e">
        <f ca="1">_xll.BDH($C$278,"DILUTED_EPS_AFT_XO_ITEMS_GROWTH","FQ1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299" s="2" t="e">
        <f ca="1">_xll.BDH($C$278,"DIVIDEND_PER_SHARE_1_YEAR_GROWTH","FQ1 2018","FQ1 2018","Currency=INR","Period=FQ","BEST_FPERIOD_OVERRIDE=FQ","FILING_STATUS=OR","EQY_CONSOLIDATED=Y","Sort=A","Dates=H","DateFormat=P","Fill=—","Direction=H","UseDPDF=Y")</f>
        <v>#NAME?</v>
      </c>
      <c r="Z299" s="2" t="e">
        <f ca="1">_xll.BDH($C$278,"ACCOUNTS_RECEIVABLE_GROWTH","FQ1 2018","FQ1 2018","Currency=INR","Period=FQ","BEST_FPERIOD_OVERRIDE=FQ","FILING_STATUS=OR","EQY_CONSOLIDATED=Y","Sort=A","Dates=H","DateFormat=P","Fill=—","Direction=H","UseDPDF=Y")</f>
        <v>#NAME?</v>
      </c>
      <c r="AA299" s="2" t="e">
        <f ca="1">_xll.BDH($C$278,"INVENTORY_GROWTH","FQ1 2018","FQ1 2018","Currency=INR","Period=FQ","BEST_FPERIOD_OVERRIDE=FQ","FILING_STATUS=OR","EQY_CONSOLIDATED=Y","Sort=A","Dates=H","DateFormat=P","Fill=—","Direction=H","UseDPDF=Y")</f>
        <v>#NAME?</v>
      </c>
      <c r="AB299" s="2" t="e">
        <f ca="1">_xll.BDH($C$278,"NET_FIXED_ASSETS_1_YEAR_GROWTH","FQ1 2018","FQ1 2018","Currency=INR","Period=FQ","BEST_FPERIOD_OVERRIDE=FQ","FILING_STATUS=OR","EQY_CONSOLIDATED=Y","Sort=A","Dates=H","DateFormat=P","Fill=—","Direction=H","UseDPDF=Y")</f>
        <v>#NAME?</v>
      </c>
      <c r="AC299" s="2" t="e">
        <f ca="1">_xll.BDH($C$278,"ASSET_GROWTH","FQ1 2018","FQ1 2018","Currency=INR","Period=FQ","BEST_FPERIOD_OVERRIDE=FQ","FILING_STATUS=OR","EQY_CONSOLIDATED=Y","Sort=A","Dates=H","DateFormat=P","Fill=—","Direction=H","UseDPDF=Y")</f>
        <v>#NAME?</v>
      </c>
      <c r="AD299" s="2" t="e">
        <f ca="1">_xll.BDH($C$278,"MODIFIED_WORK_CAP_GROWTH","FQ1 2018","FQ1 2018","Currency=INR","Period=FQ","BEST_FPERIOD_OVERRIDE=FQ","FILING_STATUS=OR","EQY_CONSOLIDATED=Y","Sort=A","Dates=H","DateFormat=P","Fill=—","Direction=H","UseDPDF=Y")</f>
        <v>#NAME?</v>
      </c>
      <c r="AE299" s="2" t="e">
        <f ca="1">_xll.BDH($C$278,"WORK_CAP_GROWTH","FQ1 2018","FQ1 2018","Currency=INR","Period=FQ","BEST_FPERIOD_OVERRIDE=FQ","FILING_STATUS=OR","EQY_CONSOLIDATED=Y","Sort=A","Dates=H","DateFormat=P","Fill=—","Direction=H","UseDPDF=Y")</f>
        <v>#NAME?</v>
      </c>
      <c r="AF299" s="2" t="e">
        <f ca="1">_xll.BDH($C$278,"ACCOUNTS_PAYABLE_GROWTH_1YR","FQ1 2018","FQ1 2018","Currency=INR","Period=FQ","BEST_FPERIOD_OVERRIDE=FQ","FILING_STATUS=OR","EQY_CONSOLIDATED=Y","Sort=A","Dates=H","DateFormat=P","Fill=—","Direction=H","UseDPDF=Y")</f>
        <v>#NAME?</v>
      </c>
      <c r="AG299" s="2" t="e">
        <f ca="1">_xll.BDH($C$278,"SHORT_TERM_DEBT_1_YEAR_GROWTH","FQ1 2018","FQ1 2018","Currency=INR","Period=FQ","BEST_FPERIOD_OVERRIDE=FQ","FILING_STATUS=OR","EQY_CONSOLIDATED=Y","Sort=A","Dates=H","DateFormat=P","Fill=—","Direction=H","UseDPDF=Y")</f>
        <v>#NAME?</v>
      </c>
      <c r="AH299" s="2" t="e">
        <f ca="1">_xll.BDH($C$278,"TOTAL_DEBT_1_YEAR_GROWTH","FQ1 2018","FQ1 2018","Currency=INR","Period=FQ","BEST_FPERIOD_OVERRIDE=FQ","FILING_STATUS=OR","EQY_CONSOLIDATED=Y","Sort=A","Dates=H","DateFormat=P","Fill=—","Direction=H","UseDPDF=Y")</f>
        <v>#NAME?</v>
      </c>
      <c r="AI299" s="2" t="e">
        <f ca="1">_xll.BDH($C$278,"TOTAL_EQUITY_1_YEAR_GROWTH","FQ1 2018","FQ1 2018","Currency=INR","Period=FQ","BEST_FPERIOD_OVERRIDE=FQ","FILING_STATUS=OR","EQY_CONSOLIDATED=Y","Sort=A","Dates=H","DateFormat=P","Fill=—","Direction=H","UseDPDF=Y")</f>
        <v>#NAME?</v>
      </c>
      <c r="AJ299" s="2" t="e">
        <f ca="1">_xll.BDH($C$278,"GROWTH_IN_CAP","FQ1 2018","FQ1 2018","Currency=INR","Period=FQ","BEST_FPERIOD_OVERRIDE=FQ","FILING_STATUS=OR","EQY_CONSOLIDATED=Y","Sort=A","Dates=H","DateFormat=P","Fill=—","Direction=H","UseDPDF=Y")</f>
        <v>#NAME?</v>
      </c>
      <c r="AK299" s="2" t="e">
        <f ca="1">_xll.BDH($C$278,"BVPS_GROWTH","FQ1 2018","FQ1 2018","Currency=INR","Period=FQ","BEST_FPERIOD_OVERRIDE=FQ","FILING_STATUS=OR","EQY_CONSOLIDATED=Y","Sort=A","Dates=H","DateFormat=P","Fill=—","Direction=H","UseDPDF=Y")</f>
        <v>#NAME?</v>
      </c>
      <c r="AL299" s="2" t="e">
        <f ca="1">_xll.BDH($C$278,"CASH_FLOW_GROWTH","FQ1 2018","FQ1 2018","Currency=INR","Period=FQ","BEST_FPERIOD_OVERRIDE=FQ","FILING_STATUS=OR","EQY_CONSOLIDATED=Y","Sort=A","Dates=H","DateFormat=P","Fill=—","Direction=H","UseDPDF=Y")</f>
        <v>#NAME?</v>
      </c>
      <c r="AM299" s="2" t="e">
        <f ca="1">_xll.BDH($C$278,"GEO_GROW_NET_SALES","FQ1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299" s="2" t="e">
        <f ca="1">_xll.BDH($C$278,"GEO_GROW_EBITDA","FQ1 2018","FQ1 2018","Currency=INR","Period=FQ","BEST_FPERIOD_OVERRIDE=FQ","FILING_STATUS=OR","EQY_CONSOLIDATED=Y","FA_ADJUSTED=GAAP","Sort=A","Dates=H","DateFormat=P","Fill=—","Direction=H","UseDPDF=Y")</f>
        <v>#NAME?</v>
      </c>
      <c r="AO299" s="2" t="e">
        <f ca="1">_xll.BDH($C$278,"GEO_GROW_OPER_INC","FQ1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299" s="2" t="e">
        <f ca="1">_xll.BDH($C$278,"NET_INCOME_TO_COMMON_5_YR_GROWTH","FQ1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299" s="2" t="e">
        <f ca="1">_xll.BDH($C$278,"5Y_GEO_GROWTH_DILUTED_EPS","FQ1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299" s="2" t="e">
        <f ca="1">_xll.BDH($C$278,"GEO_GROW_DVD_PER_SH","FQ1 2018","FQ1 2018","Currency=INR","Period=FQ","BEST_FPERIOD_OVERRIDE=FQ","FILING_STATUS=OR","EQY_CONSOLIDATED=Y","Sort=A","Dates=H","DateFormat=P","Fill=—","Direction=H","UseDPDF=Y")</f>
        <v>#NAME?</v>
      </c>
      <c r="AS299" s="2" t="e">
        <f ca="1">_xll.BDH($C$278,"ACCOUNTS_RECEIVABLE_5_YR_GROWTH","FQ1 2018","FQ1 2018","Currency=INR","Period=FQ","BEST_FPERIOD_OVERRIDE=FQ","FILING_STATUS=OR","EQY_CONSOLIDATED=Y","Sort=A","Dates=H","DateFormat=P","Fill=—","Direction=H","UseDPDF=Y")</f>
        <v>#NAME?</v>
      </c>
      <c r="AT299" s="2" t="e">
        <f ca="1">_xll.BDH($C$278,"INVENTORY_5_YEAR_GROWTH","FQ1 2018","FQ1 2018","Currency=INR","Period=FQ","BEST_FPERIOD_OVERRIDE=FQ","FILING_STATUS=OR","EQY_CONSOLIDATED=Y","Sort=A","Dates=H","DateFormat=P","Fill=—","Direction=H","UseDPDF=Y")</f>
        <v>#NAME?</v>
      </c>
      <c r="AU299" s="2" t="e">
        <f ca="1">_xll.BDH($C$278,"NET_FIXED_ASSETS_5_YEAR_GROWTH","FQ1 2018","FQ1 2018","Currency=INR","Period=FQ","BEST_FPERIOD_OVERRIDE=FQ","FILING_STATUS=OR","EQY_CONSOLIDATED=Y","Sort=A","Dates=H","DateFormat=P","Fill=—","Direction=H","UseDPDF=Y")</f>
        <v>#NAME?</v>
      </c>
      <c r="AV299" s="2" t="e">
        <f ca="1">_xll.BDH($C$278,"GEO_GROW_TOT_ASSET","FQ1 2018","FQ1 2018","Currency=INR","Period=FQ","BEST_FPERIOD_OVERRIDE=FQ","FILING_STATUS=OR","EQY_CONSOLIDATED=Y","Sort=A","Dates=H","DateFormat=P","Fill=—","Direction=H","UseDPDF=Y")</f>
        <v>#NAME?</v>
      </c>
      <c r="AW299" s="2" t="e">
        <f ca="1">_xll.BDH($C$278,"MODIFIED_WORKING_CPTL_5YR_GRWTH","FQ1 2018","FQ1 2018","Currency=INR","Period=FQ","BEST_FPERIOD_OVERRIDE=FQ","FILING_STATUS=OR","EQY_CONSOLIDATED=Y","Sort=A","Dates=H","DateFormat=P","Fill=—","Direction=H","UseDPDF=Y")</f>
        <v>#NAME?</v>
      </c>
      <c r="AX299" s="2" t="e">
        <f ca="1">_xll.BDH($C$278,"WORKING_CAPITAL_5_YEAR_GROWTH","FQ1 2018","FQ1 2018","Currency=INR","Period=FQ","BEST_FPERIOD_OVERRIDE=FQ","FILING_STATUS=OR","EQY_CONSOLIDATED=Y","Sort=A","Dates=H","DateFormat=P","Fill=—","Direction=H","UseDPDF=Y")</f>
        <v>#NAME?</v>
      </c>
      <c r="AY299" s="2" t="e">
        <f ca="1">_xll.BDH($C$278,"ACCOUNTS_PAYABLE_5_YEAR_GROWTH","FQ1 2018","FQ1 2018","Currency=INR","Period=FQ","BEST_FPERIOD_OVERRIDE=FQ","FILING_STATUS=OR","EQY_CONSOLIDATED=Y","Sort=A","Dates=H","DateFormat=P","Fill=—","Direction=H","UseDPDF=Y")</f>
        <v>#NAME?</v>
      </c>
      <c r="AZ299" s="2" t="e">
        <f ca="1">_xll.BDH($C$278,"SHORT_TERM_DEBT_5_YEAR_GROWTH","FQ1 2018","FQ1 2018","Currency=INR","Period=FQ","BEST_FPERIOD_OVERRIDE=FQ","FILING_STATUS=OR","EQY_CONSOLIDATED=Y","Sort=A","Dates=H","DateFormat=P","Fill=—","Direction=H","UseDPDF=Y")</f>
        <v>#NAME?</v>
      </c>
      <c r="BA299" s="2" t="e">
        <f ca="1">_xll.BDH($C$278,"TOTAL_DEBT_5_YEAR_GROWTH","FQ1 2018","FQ1 2018","Currency=INR","Period=FQ","BEST_FPERIOD_OVERRIDE=FQ","FILING_STATUS=OR","EQY_CONSOLIDATED=Y","Sort=A","Dates=H","DateFormat=P","Fill=—","Direction=H","UseDPDF=Y")</f>
        <v>#NAME?</v>
      </c>
      <c r="BB299" s="2" t="e">
        <f ca="1">_xll.BDH($C$278,"GEO_GROW_TOT_SHRHLDR_EQY","FQ1 2018","FQ1 2018","Currency=INR","Period=FQ","BEST_FPERIOD_OVERRIDE=FQ","FILING_STATUS=OR","EQY_CONSOLIDATED=Y","Sort=A","Dates=H","DateFormat=P","Fill=—","Direction=H","UseDPDF=Y")</f>
        <v>#NAME?</v>
      </c>
      <c r="BC299" s="2" t="e">
        <f ca="1">_xll.BDH($C$278,"TOTAL_CAPITAL_5_YEAR_GROWTH","FQ1 2018","FQ1 2018","Currency=INR","Period=FQ","BEST_FPERIOD_OVERRIDE=FQ","FILING_STATUS=OR","EQY_CONSOLIDATED=Y","Sort=A","Dates=H","DateFormat=P","Fill=—","Direction=H","UseDPDF=Y")</f>
        <v>#NAME?</v>
      </c>
      <c r="BD299" s="2" t="e">
        <f ca="1">_xll.BDH($C$278,"GEO_GROW_BOOK_VAL","FQ1 2018","FQ1 2018","Currency=INR","Period=FQ","BEST_FPERIOD_OVERRIDE=FQ","FILING_STATUS=OR","EQY_CONSOLIDATED=Y","Sort=A","Dates=H","DateFormat=P","Fill=—","Direction=H","UseDPDF=Y")</f>
        <v>#NAME?</v>
      </c>
      <c r="BE299" s="2" t="e">
        <f ca="1">_xll.BDH($C$278,"GEO_GROW_CASH_OPER_ACT","FQ1 2018","FQ1 2018","Currency=INR","Period=FQ","BEST_FPERIOD_OVERRIDE=FQ","FILING_STATUS=OR","EQY_CONSOLIDATED=Y","Sort=A","Dates=H","DateFormat=P","Fill=—","Direction=H","UseDPDF=Y")</f>
        <v>#NAME?</v>
      </c>
      <c r="BF299" s="2" t="e">
        <f ca="1">_xll.BDH($C$278,"REVENUE_SEQUENTIAL_GROWTH","FQ1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299" s="2" t="e">
        <f ca="1">_xll.BDH($C$278,"EBITDA_SEQUENTIAL_GROWTH","FQ1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299" s="2" t="e">
        <f ca="1">_xll.BDH($C$278,"OPERATING_INCOME_SEQ_GROWTH","FQ1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299" s="2" t="e">
        <f ca="1">_xll.BDH($C$278,"NET_INCOME_TO_COMMON_SEQ_GROWTH","FQ1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299" s="2" t="e">
        <f ca="1">_xll.BDH($C$278,"EPS_DILUTED_SEQUENTIAL_GROWTH","FQ1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299" s="2" t="e">
        <f ca="1">_xll.BDH($C$278,"DPS_SEQUENTIAL_GROWTH","FQ1 2018","FQ1 2018","Currency=INR","Period=FQ","BEST_FPERIOD_OVERRIDE=FQ","FILING_STATUS=OR","EQY_CONSOLIDATED=Y","Sort=A","Dates=H","DateFormat=P","Fill=—","Direction=H","UseDPDF=Y")</f>
        <v>#NAME?</v>
      </c>
      <c r="BL299" s="2" t="e">
        <f ca="1">_xll.BDH($C$278,"ACCOUNTS_RECEIVABLE_SEQ_GROWTH","FQ1 2018","FQ1 2018","Currency=INR","Period=FQ","BEST_FPERIOD_OVERRIDE=FQ","FILING_STATUS=OR","EQY_CONSOLIDATED=Y","Sort=A","Dates=H","DateFormat=P","Fill=—","Direction=H","UseDPDF=Y")</f>
        <v>#NAME?</v>
      </c>
      <c r="BM299" s="2" t="e">
        <f ca="1">_xll.BDH($C$278,"INVENTORY_SEQUENTIAL_GROWTH","FQ1 2018","FQ1 2018","Currency=INR","Period=FQ","BEST_FPERIOD_OVERRIDE=FQ","FILING_STATUS=OR","EQY_CONSOLIDATED=Y","Sort=A","Dates=H","DateFormat=P","Fill=—","Direction=H","UseDPDF=Y")</f>
        <v>#NAME?</v>
      </c>
      <c r="BN299" s="2" t="e">
        <f ca="1">_xll.BDH($C$278,"FIXED_ASSETS_SEQUENTIAL_GROWTH","FQ1 2018","FQ1 2018","Currency=INR","Period=FQ","BEST_FPERIOD_OVERRIDE=FQ","FILING_STATUS=OR","EQY_CONSOLIDATED=Y","Sort=A","Dates=H","DateFormat=P","Fill=—","Direction=H","UseDPDF=Y")</f>
        <v>#NAME?</v>
      </c>
      <c r="BO299" s="2" t="e">
        <f ca="1">_xll.BDH($C$278,"TOTAL_ASSETS_SEQUENTIAL_GROWTH","FQ1 2018","FQ1 2018","Currency=INR","Period=FQ","BEST_FPERIOD_OVERRIDE=FQ","FILING_STATUS=OR","EQY_CONSOLIDATED=Y","Sort=A","Dates=H","DateFormat=P","Fill=—","Direction=H","UseDPDF=Y")</f>
        <v>#NAME?</v>
      </c>
      <c r="BP299" s="2" t="e">
        <f ca="1">_xll.BDH($C$278,"MODIFIED_WORKING_CPTL_SEQ_GRWTH","FQ1 2018","FQ1 2018","Currency=INR","Period=FQ","BEST_FPERIOD_OVERRIDE=FQ","FILING_STATUS=OR","EQY_CONSOLIDATED=Y","Sort=A","Dates=H","DateFormat=P","Fill=—","Direction=H","UseDPDF=Y")</f>
        <v>#NAME?</v>
      </c>
      <c r="BQ299" s="2" t="e">
        <f ca="1">_xll.BDH($C$278,"WORKING_CAPITAL_SEQ_GROWTH","FQ1 2018","FQ1 2018","Currency=INR","Period=FQ","BEST_FPERIOD_OVERRIDE=FQ","FILING_STATUS=OR","EQY_CONSOLIDATED=Y","Sort=A","Dates=H","DateFormat=P","Fill=—","Direction=H","UseDPDF=Y")</f>
        <v>#NAME?</v>
      </c>
      <c r="BR299" s="2" t="e">
        <f ca="1">_xll.BDH($C$278,"ACCOUNTS_PAYABLE_SEQ_GROWTH","FQ1 2018","FQ1 2018","Currency=INR","Period=FQ","BEST_FPERIOD_OVERRIDE=FQ","FILING_STATUS=OR","EQY_CONSOLIDATED=Y","Sort=A","Dates=H","DateFormat=P","Fill=—","Direction=H","UseDPDF=Y")</f>
        <v>#NAME?</v>
      </c>
      <c r="BS299" s="2" t="e">
        <f ca="1">_xll.BDH($C$278,"ST_DEBT_SEQUENTIAL_GROWTH","FQ1 2018","FQ1 2018","Currency=INR","Period=FQ","BEST_FPERIOD_OVERRIDE=FQ","FILING_STATUS=OR","EQY_CONSOLIDATED=Y","Sort=A","Dates=H","DateFormat=P","Fill=—","Direction=H","UseDPDF=Y")</f>
        <v>#NAME?</v>
      </c>
      <c r="BT299" s="2" t="e">
        <f ca="1">_xll.BDH($C$278,"TOTAL_DEBT_SEQUENTIAL_GROWTH","FQ1 2018","FQ1 2018","Currency=INR","Period=FQ","BEST_FPERIOD_OVERRIDE=FQ","FILING_STATUS=OR","EQY_CONSOLIDATED=Y","Sort=A","Dates=H","DateFormat=P","Fill=—","Direction=H","UseDPDF=Y")</f>
        <v>#NAME?</v>
      </c>
      <c r="BU299" s="2" t="e">
        <f ca="1">_xll.BDH($C$278,"TOTAL_EQUITY_SEQUENTIAL_GROWTH","FQ1 2018","FQ1 2018","Currency=INR","Period=FQ","BEST_FPERIOD_OVERRIDE=FQ","FILING_STATUS=OR","EQY_CONSOLIDATED=Y","Sort=A","Dates=H","DateFormat=P","Fill=—","Direction=H","UseDPDF=Y")</f>
        <v>#NAME?</v>
      </c>
      <c r="BV299" s="2" t="e">
        <f ca="1">_xll.BDH($C$278,"TOTAL_CAPITAL_SEQUENTIAL_GROWTH","FQ1 2018","FQ1 2018","Currency=INR","Period=FQ","BEST_FPERIOD_OVERRIDE=FQ","FILING_STATUS=OR","EQY_CONSOLIDATED=Y","Sort=A","Dates=H","DateFormat=P","Fill=—","Direction=H","UseDPDF=Y")</f>
        <v>#NAME?</v>
      </c>
      <c r="BW299" s="2" t="e">
        <f ca="1">_xll.BDH($C$278,"BPS_SEQUENTIAL_GROWTH","FQ1 2018","FQ1 2018","Currency=INR","Period=FQ","BEST_FPERIOD_OVERRIDE=FQ","FILING_STATUS=OR","EQY_CONSOLIDATED=Y","Sort=A","Dates=H","DateFormat=P","Fill=—","Direction=H","UseDPDF=Y")</f>
        <v>#NAME?</v>
      </c>
      <c r="BX299" s="2" t="e">
        <f ca="1">_xll.BDH($C$278,"CFO_SEQUENTIAL_GROWTH","FQ1 2018","FQ1 2018","Currency=INR","Period=FQ","BEST_FPERIOD_OVERRIDE=FQ","FILING_STATUS=OR","EQY_CONSOLIDATED=Y","Sort=A","Dates=H","DateFormat=P","Fill=—","Direction=H","UseDPDF=Y")</f>
        <v>#NAME?</v>
      </c>
      <c r="BY299" s="3" t="e">
        <f ca="1">_xll.BDH($C$278,"SHORT_AND_LONG_TERM_DEBT","FQ1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299" s="3" t="e">
        <f ca="1">_xll.BDH($C$278,"BS_ST_BORROW","FQ1 2018","FQ1 2018","Currency=INR","Period=FQ","BEST_FPERIOD_OVERRIDE=FQ","FILING_STATUS=OR","EQY_CONSOLIDATED=Y","SCALING_FORMAT=MLN","Sort=A","Dates=H","DateFormat=P","Fill=—","Direction=H","UseDPDF=Y")</f>
        <v>#NAME?</v>
      </c>
      <c r="CA299" s="3" t="e">
        <f ca="1">_xll.BDH($C$278,"BS_LT_BORROW","FQ1 2018","FQ1 2018","Currency=INR","Period=FQ","BEST_FPERIOD_OVERRIDE=FQ","FILING_STATUS=OR","EQY_CONSOLIDATED=Y","SCALING_FORMAT=MLN","Sort=A","Dates=H","DateFormat=P","Fill=—","Direction=H","UseDPDF=Y")</f>
        <v>#NAME?</v>
      </c>
      <c r="CB299" s="2" t="e">
        <f ca="1">_xll.BDH($C$278,"TOT_DEBT_TO_EBITDA","FQ1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299" s="2" t="e">
        <f ca="1">_xll.BDH($C$278,"NET_DEBT_TO_EBITDA","FQ1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299" s="2" t="e">
        <f ca="1">_xll.BDH($C$278,"TOTAL_DEBT_TO_EBIT","FQ1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299" s="2" t="e">
        <f ca="1">_xll.BDH($C$278,"NET_DEBT_TO_EBIT","FQ1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299" s="2" t="e">
        <f ca="1">_xll.BDH($C$278,"EBITDA_TO_INTEREST_EXPN","FQ1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299" s="2" t="e">
        <f ca="1">_xll.BDH($C$278,"COM_EQY_TO_TOT_ASSET","FQ1 2018","FQ1 2018","Currency=INR","Period=FQ","BEST_FPERIOD_OVERRIDE=FQ","FILING_STATUS=OR","EQY_CONSOLIDATED=Y","Sort=A","Dates=H","DateFormat=P","Fill=—","Direction=H","UseDPDF=Y")</f>
        <v>#NAME?</v>
      </c>
      <c r="CH299" s="2" t="e">
        <f ca="1">_xll.BDH($C$278,"LT_DEBT_TO_TOT_EQY","FQ1 2018","FQ1 2018","Currency=INR","Period=FQ","BEST_FPERIOD_OVERRIDE=FQ","FILING_STATUS=OR","EQY_CONSOLIDATED=Y","Sort=A","Dates=H","DateFormat=P","Fill=—","Direction=H","UseDPDF=Y")</f>
        <v>#NAME?</v>
      </c>
      <c r="CI299" s="2" t="e">
        <f ca="1">_xll.BDH($C$278,"LT_DEBT_TO_TOT_CAP","FQ1 2018","FQ1 2018","Currency=INR","Period=FQ","BEST_FPERIOD_OVERRIDE=FQ","FILING_STATUS=OR","EQY_CONSOLIDATED=Y","Sort=A","Dates=H","DateFormat=P","Fill=—","Direction=H","UseDPDF=Y")</f>
        <v>#NAME?</v>
      </c>
      <c r="CJ299" s="2" t="e">
        <f ca="1">_xll.BDH($C$278,"LT_DEBT_TO_TOT_ASSET","FQ1 2018","FQ1 2018","Currency=INR","Period=FQ","BEST_FPERIOD_OVERRIDE=FQ","FILING_STATUS=OR","EQY_CONSOLIDATED=Y","Sort=A","Dates=H","DateFormat=P","Fill=—","Direction=H","UseDPDF=Y")</f>
        <v>#NAME?</v>
      </c>
      <c r="CK299" s="2" t="e">
        <f ca="1">_xll.BDH($C$278,"TOT_DEBT_TO_TOT_EQY","FQ1 2018","FQ1 2018","Currency=INR","Period=FQ","BEST_FPERIOD_OVERRIDE=FQ","FILING_STATUS=OR","EQY_CONSOLIDATED=Y","Sort=A","Dates=H","DateFormat=P","Fill=—","Direction=H","UseDPDF=Y")</f>
        <v>#NAME?</v>
      </c>
      <c r="CL299" s="2" t="e">
        <f ca="1">_xll.BDH($C$278,"TOT_DEBT_TO_TOT_CAP","FQ1 2018","FQ1 2018","Currency=INR","Period=FQ","BEST_FPERIOD_OVERRIDE=FQ","FILING_STATUS=OR","EQY_CONSOLIDATED=Y","Sort=A","Dates=H","DateFormat=P","Fill=—","Direction=H","UseDPDF=Y")</f>
        <v>#NAME?</v>
      </c>
      <c r="CM299" s="2" t="e">
        <f ca="1">_xll.BDH($C$278,"TOT_DEBT_TO_TOT_ASSET","FQ1 2018","FQ1 2018","Currency=INR","Period=FQ","BEST_FPERIOD_OVERRIDE=FQ","FILING_STATUS=OR","EQY_CONSOLIDATED=Y","Sort=A","Dates=H","DateFormat=P","Fill=—","Direction=H","UseDPDF=Y")</f>
        <v>#NAME?</v>
      </c>
      <c r="CN299" s="2" t="e">
        <f ca="1">_xll.BDH($C$278,"NET_DEBT_TO_SHRHLDR_EQTY","FQ1 2018","FQ1 2018","Currency=INR","Period=FQ","BEST_FPERIOD_OVERRIDE=FQ","FILING_STATUS=OR","EQY_CONSOLIDATED=Y","Sort=A","Dates=H","DateFormat=P","Fill=—","Direction=H","UseDPDF=Y")</f>
        <v>#NAME?</v>
      </c>
      <c r="CO299" s="2" t="e">
        <f ca="1">_xll.BDH($C$278,"NET_DEBT_%_CAPITAL","FQ1 2018","FQ1 2018","Currency=INR","Period=FQ","BEST_FPERIOD_OVERRIDE=FQ","FILING_STATUS=OR","EQY_CONSOLIDATED=Y","Sort=A","Dates=H","DateFormat=P","Fill=—","Direction=H","UseDPDF=Y")</f>
        <v>#NAME?</v>
      </c>
      <c r="CP299" s="3" t="e">
        <f ca="1">_xll.BDH($C$278,"EBITDA","FQ1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299" s="3" t="e">
        <f ca="1">_xll.BDH($C$278,"EBITDA_AFTER_CAPEX","FQ1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299" s="3" t="e">
        <f ca="1">_xll.BDH($C$278,"IS_OPER_INC","FQ1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299" s="2" t="e">
        <f ca="1">_xll.BDH($C$278,"CASH_RATIO","FQ1 2018","FQ1 2018","Currency=INR","Period=FQ","BEST_FPERIOD_OVERRIDE=FQ","FILING_STATUS=OR","EQY_CONSOLIDATED=Y","Sort=A","Dates=H","DateFormat=P","Fill=—","Direction=H","UseDPDF=Y")</f>
        <v>#NAME?</v>
      </c>
      <c r="CT299" s="2" t="e">
        <f ca="1">_xll.BDH($C$278,"CUR_RATIO","FQ1 2018","FQ1 2018","Currency=INR","Period=FQ","BEST_FPERIOD_OVERRIDE=FQ","FILING_STATUS=OR","EQY_CONSOLIDATED=Y","Sort=A","Dates=H","DateFormat=P","Fill=—","Direction=H","UseDPDF=Y")</f>
        <v>#NAME?</v>
      </c>
      <c r="CU299" s="2" t="e">
        <f ca="1">_xll.BDH($C$278,"QUICK_RATIO","FQ1 2018","FQ1 2018","Currency=INR","Period=FQ","BEST_FPERIOD_OVERRIDE=FQ","FILING_STATUS=OR","EQY_CONSOLIDATED=Y","Sort=A","Dates=H","DateFormat=P","Fill=—","Direction=H","UseDPDF=Y")</f>
        <v>#NAME?</v>
      </c>
      <c r="CV299" s="2" t="e">
        <f ca="1">_xll.BDH($C$278,"ALTMAN_Z_SCORE","FQ1 2018","FQ1 2018","Currency=INR","Period=FQ","BEST_FPERIOD_OVERRIDE=FQ","FILING_STATUS=OR","EQY_CONSOLIDATED=Y","Sort=A","Dates=H","DateFormat=P","Fill=—","Direction=H","UseDPDF=Y")</f>
        <v>#NAME?</v>
      </c>
      <c r="CW299" s="4" t="e">
        <f ca="1">_xll.BDH($C$278,"ACCT_RCV_TURN","FQ1 2018","FQ1 2018","Currency=INR","Period=FQ","BEST_FPERIOD_OVERRIDE=FQ","FILING_STATUS=OR","EQY_CONSOLIDATED=Y","FA_ADJUSTED=GAAP","Sort=A","Dates=H","DateFormat=P","Fill=—","Direction=H","UseDPDF=Y")</f>
        <v>#NAME?</v>
      </c>
      <c r="CX299" s="2" t="e">
        <f ca="1">_xll.BDH($C$278,"ACCT_RCV_DAYS","FQ1 2018","FQ1 2018","Currency=INR","Period=FQ","BEST_FPERIOD_OVERRIDE=FQ","FILING_STATUS=OR","EQY_CONSOLIDATED=Y","FA_ADJUSTED=GAAP","Sort=A","Dates=H","DateFormat=P","Fill=—","Direction=H","UseDPDF=Y")</f>
        <v>#NAME?</v>
      </c>
      <c r="CY299" s="4" t="e">
        <f ca="1">_xll.BDH($C$278,"INVENT_TURN","FQ1 2018","FQ1 2018","Currency=INR","Period=FQ","BEST_FPERIOD_OVERRIDE=FQ","FILING_STATUS=OR","EQY_CONSOLIDATED=Y","FA_ADJUSTED=GAAP","Sort=A","Dates=H","DateFormat=P","Fill=—","Direction=H","UseDPDF=Y")</f>
        <v>#NAME?</v>
      </c>
      <c r="CZ299" s="2" t="e">
        <f ca="1">_xll.BDH($C$278,"INVENT_DAYS","FQ1 2018","FQ1 2018","Currency=INR","Period=FQ","BEST_FPERIOD_OVERRIDE=FQ","FILING_STATUS=OR","EQY_CONSOLIDATED=Y","FA_ADJUSTED=GAAP","Sort=A","Dates=H","DateFormat=P","Fill=—","Direction=H","UseDPDF=Y")</f>
        <v>#NAME?</v>
      </c>
      <c r="DA299" s="4" t="e">
        <f ca="1">_xll.BDH($C$278,"ACCOUNTS_PAYABLE_TURNOVER","FQ1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299" s="2" t="e">
        <f ca="1">_xll.BDH($C$278,"ACCOUNTS_PAYABLE_TURNOVER_DAYS","FQ1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299" s="4" t="e">
        <f ca="1">_xll.BDH($C$278,"CASH_CONVERSION_CYCLE","FQ1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299" s="4" t="e">
        <f ca="1">_xll.BDH($C$278,"INV_TO_CASH_DAYS","FQ1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299" s="5" t="e">
        <f ca="1">_xll.BDH($C$278,"BS_INVENTORIES","FQ1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299" s="3" t="e">
        <f ca="1">_xll.BDH($C$278,"INVTRY_RAW_MATERIALS","FQ1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299" s="3" t="e">
        <f ca="1">_xll.BDH($C$278,"INVTRY_IN_PROGRESS","FQ1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299" s="3" t="e">
        <f ca="1">_xll.BDH($C$278,"INVTRY_FINISHED_GOODS","FQ1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299" s="3" t="e">
        <f ca="1">_xll.BDH($C$278,"BS_OTHER_INV","FQ1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300" spans="1:113" x14ac:dyDescent="0.3">
      <c r="A300" s="6"/>
      <c r="B300" s="6"/>
      <c r="C300" s="6"/>
      <c r="D300" s="6"/>
      <c r="E300" t="s">
        <v>79</v>
      </c>
      <c r="F300" t="e">
        <f ca="1">_xll.BDH($C$278,"RETURN_COM_EQY","FQ2 2018","FQ2 2018","Currency=INR","Period=FQ","BEST_FPERIOD_OVERRIDE=FQ","FILING_STATUS=OR","EQY_CONSOLIDATED=Y","FA_ADJUSTED=GAAP","Sort=A","Dates=H","DateFormat=P","Fill=—","Direction=H","UseDPDF=Y")</f>
        <v>#NAME?</v>
      </c>
      <c r="G300" t="e">
        <f ca="1">_xll.BDH($C$278,"RETURN_ON_ASSET","FQ2 2018","FQ2 2018","Currency=INR","Period=FQ","BEST_FPERIOD_OVERRIDE=FQ","FILING_STATUS=OR","EQY_CONSOLIDATED=Y","FA_ADJUSTED=GAAP","Sort=A","Dates=H","DateFormat=P","Fill=—","Direction=H","UseDPDF=Y")</f>
        <v>#NAME?</v>
      </c>
      <c r="H300" t="e">
        <f ca="1">_xll.BDH($C$278,"RETURN_ON_CAP","FQ2 2018","FQ2 2018","Currency=INR","Period=FQ","BEST_FPERIOD_OVERRIDE=FQ","FILING_STATUS=OR","EQY_CONSOLIDATED=Y","FA_ADJUSTED=GAAP","Sort=A","Dates=H","DateFormat=P","Fill=—","Direction=H","UseDPDF=Y")</f>
        <v>#NAME?</v>
      </c>
      <c r="I300" t="e">
        <f ca="1">_xll.BDH($C$278,"RETURN_ON_INV_CAPITAL","FQ2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300" t="e">
        <f ca="1">_xll.BDH($C$278,"EBITDA_TO_REVENUE","FQ2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300" t="e">
        <f ca="1">_xll.BDH($C$278,"OPER_MARGIN","FQ2 2018","FQ2 2018","Currency=INR","Period=FQ","BEST_FPERIOD_OVERRIDE=FQ","FILING_STATUS=OR","EQY_CONSOLIDATED=Y","FA_ADJUSTED=GAAP","Sort=A","Dates=H","DateFormat=P","Fill=—","Direction=H","UseDPDF=Y")</f>
        <v>#NAME?</v>
      </c>
      <c r="L300" t="e">
        <f ca="1">_xll.BDH($C$278,"INCREMENTAL_OPERATING_MARGIN","FQ2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300" t="e">
        <f ca="1">_xll.BDH($C$278,"PRETAX_INC_TO_NET_SALES","FQ2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300" t="e">
        <f ca="1">_xll.BDH($C$278,"INC_BEF_XO_ITEMS_TO_NET_SALES","FQ2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300" t="e">
        <f ca="1">_xll.BDH($C$278,"PROF_MARGIN","FQ2 2018","FQ2 2018","Currency=INR","Period=FQ","BEST_FPERIOD_OVERRIDE=FQ","FILING_STATUS=OR","EQY_CONSOLIDATED=Y","FA_ADJUSTED=GAAP","Sort=A","Dates=H","DateFormat=P","Fill=—","Direction=H","UseDPDF=Y")</f>
        <v>#NAME?</v>
      </c>
      <c r="P300" t="e">
        <f ca="1">_xll.BDH($C$278,"NET_INCOME_TO_COMMON_MARGIN","FQ2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300" t="e">
        <f ca="1">_xll.BDH($C$278,"EFF_TAX_RATE","FQ2 2018","FQ2 2018","Currency=INR","Period=FQ","BEST_FPERIOD_OVERRIDE=FQ","FILING_STATUS=OR","EQY_CONSOLIDATED=Y","FA_ADJUSTED=GAAP","Sort=A","Dates=H","DateFormat=P","Fill=—","Direction=H","UseDPDF=Y")</f>
        <v>#NAME?</v>
      </c>
      <c r="R300" t="e">
        <f ca="1">_xll.BDH($C$278,"DVD_PAYOUT_RATIO","FQ2 2018","FQ2 2018","Currency=INR","Period=FQ","BEST_FPERIOD_OVERRIDE=FQ","FILING_STATUS=OR","EQY_CONSOLIDATED=Y","FA_ADJUSTED=GAAP","Sort=A","Dates=H","DateFormat=P","Fill=—","Direction=H","UseDPDF=Y")</f>
        <v>#NAME?</v>
      </c>
      <c r="S300" t="e">
        <f ca="1">_xll.BDH($C$278,"SUSTAIN_GROWTH_RT","FQ2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300" s="2" t="e">
        <f ca="1">_xll.BDH($C$278,"SALES_GROWTH","FQ2 2018","FQ2 2018","Currency=INR","Period=FQ","BEST_FPERIOD_OVERRIDE=FQ","FILING_STATUS=OR","EQY_CONSOLIDATED=Y","FA_ADJUSTED=GAAP","Sort=A","Dates=H","DateFormat=P","Fill=—","Direction=H","UseDPDF=Y")</f>
        <v>#NAME?</v>
      </c>
      <c r="U300" s="2" t="e">
        <f ca="1">_xll.BDH($C$278,"EBITDA_GROWTH","FQ2 2018","FQ2 2018","Currency=INR","Period=FQ","BEST_FPERIOD_OVERRIDE=FQ","FILING_STATUS=OR","EQY_CONSOLIDATED=Y","FA_ADJUSTED=GAAP","Sort=A","Dates=H","DateFormat=P","Fill=—","Direction=H","UseDPDF=Y")</f>
        <v>#NAME?</v>
      </c>
      <c r="V300" s="2" t="e">
        <f ca="1">_xll.BDH($C$278,"OPER_INC_GROWTH","FQ2 2018","FQ2 2018","Currency=INR","Period=FQ","BEST_FPERIOD_OVERRIDE=FQ","FILING_STATUS=OR","EQY_CONSOLIDATED=Y","FA_ADJUSTED=GAAP","Sort=A","Dates=H","DateFormat=P","Fill=—","Direction=H","UseDPDF=Y")</f>
        <v>#NAME?</v>
      </c>
      <c r="W300" s="2" t="e">
        <f ca="1">_xll.BDH($C$278,"EARN_FOR_COM_GROWTH","FQ2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300" s="2" t="e">
        <f ca="1">_xll.BDH($C$278,"DILUTED_EPS_AFT_XO_ITEMS_GROWTH","FQ2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300" s="2" t="e">
        <f ca="1">_xll.BDH($C$278,"DIVIDEND_PER_SHARE_1_YEAR_GROWTH","FQ2 2018","FQ2 2018","Currency=INR","Period=FQ","BEST_FPERIOD_OVERRIDE=FQ","FILING_STATUS=OR","EQY_CONSOLIDATED=Y","Sort=A","Dates=H","DateFormat=P","Fill=—","Direction=H","UseDPDF=Y")</f>
        <v>#NAME?</v>
      </c>
      <c r="Z300" s="2" t="e">
        <f ca="1">_xll.BDH($C$278,"ACCOUNTS_RECEIVABLE_GROWTH","FQ2 2018","FQ2 2018","Currency=INR","Period=FQ","BEST_FPERIOD_OVERRIDE=FQ","FILING_STATUS=OR","EQY_CONSOLIDATED=Y","Sort=A","Dates=H","DateFormat=P","Fill=—","Direction=H","UseDPDF=Y")</f>
        <v>#NAME?</v>
      </c>
      <c r="AA300" s="2" t="e">
        <f ca="1">_xll.BDH($C$278,"INVENTORY_GROWTH","FQ2 2018","FQ2 2018","Currency=INR","Period=FQ","BEST_FPERIOD_OVERRIDE=FQ","FILING_STATUS=OR","EQY_CONSOLIDATED=Y","Sort=A","Dates=H","DateFormat=P","Fill=—","Direction=H","UseDPDF=Y")</f>
        <v>#NAME?</v>
      </c>
      <c r="AB300" s="2" t="e">
        <f ca="1">_xll.BDH($C$278,"NET_FIXED_ASSETS_1_YEAR_GROWTH","FQ2 2018","FQ2 2018","Currency=INR","Period=FQ","BEST_FPERIOD_OVERRIDE=FQ","FILING_STATUS=OR","EQY_CONSOLIDATED=Y","Sort=A","Dates=H","DateFormat=P","Fill=—","Direction=H","UseDPDF=Y")</f>
        <v>#NAME?</v>
      </c>
      <c r="AC300" s="2" t="e">
        <f ca="1">_xll.BDH($C$278,"ASSET_GROWTH","FQ2 2018","FQ2 2018","Currency=INR","Period=FQ","BEST_FPERIOD_OVERRIDE=FQ","FILING_STATUS=OR","EQY_CONSOLIDATED=Y","Sort=A","Dates=H","DateFormat=P","Fill=—","Direction=H","UseDPDF=Y")</f>
        <v>#NAME?</v>
      </c>
      <c r="AD300" s="2" t="e">
        <f ca="1">_xll.BDH($C$278,"MODIFIED_WORK_CAP_GROWTH","FQ2 2018","FQ2 2018","Currency=INR","Period=FQ","BEST_FPERIOD_OVERRIDE=FQ","FILING_STATUS=OR","EQY_CONSOLIDATED=Y","Sort=A","Dates=H","DateFormat=P","Fill=—","Direction=H","UseDPDF=Y")</f>
        <v>#NAME?</v>
      </c>
      <c r="AE300" s="2" t="e">
        <f ca="1">_xll.BDH($C$278,"WORK_CAP_GROWTH","FQ2 2018","FQ2 2018","Currency=INR","Period=FQ","BEST_FPERIOD_OVERRIDE=FQ","FILING_STATUS=OR","EQY_CONSOLIDATED=Y","Sort=A","Dates=H","DateFormat=P","Fill=—","Direction=H","UseDPDF=Y")</f>
        <v>#NAME?</v>
      </c>
      <c r="AF300" s="2" t="e">
        <f ca="1">_xll.BDH($C$278,"ACCOUNTS_PAYABLE_GROWTH_1YR","FQ2 2018","FQ2 2018","Currency=INR","Period=FQ","BEST_FPERIOD_OVERRIDE=FQ","FILING_STATUS=OR","EQY_CONSOLIDATED=Y","Sort=A","Dates=H","DateFormat=P","Fill=—","Direction=H","UseDPDF=Y")</f>
        <v>#NAME?</v>
      </c>
      <c r="AG300" s="2" t="e">
        <f ca="1">_xll.BDH($C$278,"SHORT_TERM_DEBT_1_YEAR_GROWTH","FQ2 2018","FQ2 2018","Currency=INR","Period=FQ","BEST_FPERIOD_OVERRIDE=FQ","FILING_STATUS=OR","EQY_CONSOLIDATED=Y","Sort=A","Dates=H","DateFormat=P","Fill=—","Direction=H","UseDPDF=Y")</f>
        <v>#NAME?</v>
      </c>
      <c r="AH300" s="2" t="e">
        <f ca="1">_xll.BDH($C$278,"TOTAL_DEBT_1_YEAR_GROWTH","FQ2 2018","FQ2 2018","Currency=INR","Period=FQ","BEST_FPERIOD_OVERRIDE=FQ","FILING_STATUS=OR","EQY_CONSOLIDATED=Y","Sort=A","Dates=H","DateFormat=P","Fill=—","Direction=H","UseDPDF=Y")</f>
        <v>#NAME?</v>
      </c>
      <c r="AI300" s="2" t="e">
        <f ca="1">_xll.BDH($C$278,"TOTAL_EQUITY_1_YEAR_GROWTH","FQ2 2018","FQ2 2018","Currency=INR","Period=FQ","BEST_FPERIOD_OVERRIDE=FQ","FILING_STATUS=OR","EQY_CONSOLIDATED=Y","Sort=A","Dates=H","DateFormat=P","Fill=—","Direction=H","UseDPDF=Y")</f>
        <v>#NAME?</v>
      </c>
      <c r="AJ300" s="2" t="e">
        <f ca="1">_xll.BDH($C$278,"GROWTH_IN_CAP","FQ2 2018","FQ2 2018","Currency=INR","Period=FQ","BEST_FPERIOD_OVERRIDE=FQ","FILING_STATUS=OR","EQY_CONSOLIDATED=Y","Sort=A","Dates=H","DateFormat=P","Fill=—","Direction=H","UseDPDF=Y")</f>
        <v>#NAME?</v>
      </c>
      <c r="AK300" s="2" t="e">
        <f ca="1">_xll.BDH($C$278,"BVPS_GROWTH","FQ2 2018","FQ2 2018","Currency=INR","Period=FQ","BEST_FPERIOD_OVERRIDE=FQ","FILING_STATUS=OR","EQY_CONSOLIDATED=Y","Sort=A","Dates=H","DateFormat=P","Fill=—","Direction=H","UseDPDF=Y")</f>
        <v>#NAME?</v>
      </c>
      <c r="AL300" s="2" t="e">
        <f ca="1">_xll.BDH($C$278,"CASH_FLOW_GROWTH","FQ2 2018","FQ2 2018","Currency=INR","Period=FQ","BEST_FPERIOD_OVERRIDE=FQ","FILING_STATUS=OR","EQY_CONSOLIDATED=Y","Sort=A","Dates=H","DateFormat=P","Fill=—","Direction=H","UseDPDF=Y")</f>
        <v>#NAME?</v>
      </c>
      <c r="AM300" s="2" t="e">
        <f ca="1">_xll.BDH($C$278,"GEO_GROW_NET_SALES","FQ2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300" s="2" t="e">
        <f ca="1">_xll.BDH($C$278,"GEO_GROW_EBITDA","FQ2 2018","FQ2 2018","Currency=INR","Period=FQ","BEST_FPERIOD_OVERRIDE=FQ","FILING_STATUS=OR","EQY_CONSOLIDATED=Y","FA_ADJUSTED=GAAP","Sort=A","Dates=H","DateFormat=P","Fill=—","Direction=H","UseDPDF=Y")</f>
        <v>#NAME?</v>
      </c>
      <c r="AO300" s="2" t="e">
        <f ca="1">_xll.BDH($C$278,"GEO_GROW_OPER_INC","FQ2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300" s="2" t="e">
        <f ca="1">_xll.BDH($C$278,"NET_INCOME_TO_COMMON_5_YR_GROWTH","FQ2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300" s="2" t="e">
        <f ca="1">_xll.BDH($C$278,"5Y_GEO_GROWTH_DILUTED_EPS","FQ2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300" s="2" t="e">
        <f ca="1">_xll.BDH($C$278,"GEO_GROW_DVD_PER_SH","FQ2 2018","FQ2 2018","Currency=INR","Period=FQ","BEST_FPERIOD_OVERRIDE=FQ","FILING_STATUS=OR","EQY_CONSOLIDATED=Y","Sort=A","Dates=H","DateFormat=P","Fill=—","Direction=H","UseDPDF=Y")</f>
        <v>#NAME?</v>
      </c>
      <c r="AS300" s="2" t="e">
        <f ca="1">_xll.BDH($C$278,"ACCOUNTS_RECEIVABLE_5_YR_GROWTH","FQ2 2018","FQ2 2018","Currency=INR","Period=FQ","BEST_FPERIOD_OVERRIDE=FQ","FILING_STATUS=OR","EQY_CONSOLIDATED=Y","Sort=A","Dates=H","DateFormat=P","Fill=—","Direction=H","UseDPDF=Y")</f>
        <v>#NAME?</v>
      </c>
      <c r="AT300" s="2" t="e">
        <f ca="1">_xll.BDH($C$278,"INVENTORY_5_YEAR_GROWTH","FQ2 2018","FQ2 2018","Currency=INR","Period=FQ","BEST_FPERIOD_OVERRIDE=FQ","FILING_STATUS=OR","EQY_CONSOLIDATED=Y","Sort=A","Dates=H","DateFormat=P","Fill=—","Direction=H","UseDPDF=Y")</f>
        <v>#NAME?</v>
      </c>
      <c r="AU300" s="2" t="e">
        <f ca="1">_xll.BDH($C$278,"NET_FIXED_ASSETS_5_YEAR_GROWTH","FQ2 2018","FQ2 2018","Currency=INR","Period=FQ","BEST_FPERIOD_OVERRIDE=FQ","FILING_STATUS=OR","EQY_CONSOLIDATED=Y","Sort=A","Dates=H","DateFormat=P","Fill=—","Direction=H","UseDPDF=Y")</f>
        <v>#NAME?</v>
      </c>
      <c r="AV300" s="2" t="e">
        <f ca="1">_xll.BDH($C$278,"GEO_GROW_TOT_ASSET","FQ2 2018","FQ2 2018","Currency=INR","Period=FQ","BEST_FPERIOD_OVERRIDE=FQ","FILING_STATUS=OR","EQY_CONSOLIDATED=Y","Sort=A","Dates=H","DateFormat=P","Fill=—","Direction=H","UseDPDF=Y")</f>
        <v>#NAME?</v>
      </c>
      <c r="AW300" s="2" t="e">
        <f ca="1">_xll.BDH($C$278,"MODIFIED_WORKING_CPTL_5YR_GRWTH","FQ2 2018","FQ2 2018","Currency=INR","Period=FQ","BEST_FPERIOD_OVERRIDE=FQ","FILING_STATUS=OR","EQY_CONSOLIDATED=Y","Sort=A","Dates=H","DateFormat=P","Fill=—","Direction=H","UseDPDF=Y")</f>
        <v>#NAME?</v>
      </c>
      <c r="AX300" s="2" t="e">
        <f ca="1">_xll.BDH($C$278,"WORKING_CAPITAL_5_YEAR_GROWTH","FQ2 2018","FQ2 2018","Currency=INR","Period=FQ","BEST_FPERIOD_OVERRIDE=FQ","FILING_STATUS=OR","EQY_CONSOLIDATED=Y","Sort=A","Dates=H","DateFormat=P","Fill=—","Direction=H","UseDPDF=Y")</f>
        <v>#NAME?</v>
      </c>
      <c r="AY300" s="2" t="e">
        <f ca="1">_xll.BDH($C$278,"ACCOUNTS_PAYABLE_5_YEAR_GROWTH","FQ2 2018","FQ2 2018","Currency=INR","Period=FQ","BEST_FPERIOD_OVERRIDE=FQ","FILING_STATUS=OR","EQY_CONSOLIDATED=Y","Sort=A","Dates=H","DateFormat=P","Fill=—","Direction=H","UseDPDF=Y")</f>
        <v>#NAME?</v>
      </c>
      <c r="AZ300" s="2" t="e">
        <f ca="1">_xll.BDH($C$278,"SHORT_TERM_DEBT_5_YEAR_GROWTH","FQ2 2018","FQ2 2018","Currency=INR","Period=FQ","BEST_FPERIOD_OVERRIDE=FQ","FILING_STATUS=OR","EQY_CONSOLIDATED=Y","Sort=A","Dates=H","DateFormat=P","Fill=—","Direction=H","UseDPDF=Y")</f>
        <v>#NAME?</v>
      </c>
      <c r="BA300" s="2" t="e">
        <f ca="1">_xll.BDH($C$278,"TOTAL_DEBT_5_YEAR_GROWTH","FQ2 2018","FQ2 2018","Currency=INR","Period=FQ","BEST_FPERIOD_OVERRIDE=FQ","FILING_STATUS=OR","EQY_CONSOLIDATED=Y","Sort=A","Dates=H","DateFormat=P","Fill=—","Direction=H","UseDPDF=Y")</f>
        <v>#NAME?</v>
      </c>
      <c r="BB300" s="2" t="e">
        <f ca="1">_xll.BDH($C$278,"GEO_GROW_TOT_SHRHLDR_EQY","FQ2 2018","FQ2 2018","Currency=INR","Period=FQ","BEST_FPERIOD_OVERRIDE=FQ","FILING_STATUS=OR","EQY_CONSOLIDATED=Y","Sort=A","Dates=H","DateFormat=P","Fill=—","Direction=H","UseDPDF=Y")</f>
        <v>#NAME?</v>
      </c>
      <c r="BC300" s="2" t="e">
        <f ca="1">_xll.BDH($C$278,"TOTAL_CAPITAL_5_YEAR_GROWTH","FQ2 2018","FQ2 2018","Currency=INR","Period=FQ","BEST_FPERIOD_OVERRIDE=FQ","FILING_STATUS=OR","EQY_CONSOLIDATED=Y","Sort=A","Dates=H","DateFormat=P","Fill=—","Direction=H","UseDPDF=Y")</f>
        <v>#NAME?</v>
      </c>
      <c r="BD300" s="2" t="e">
        <f ca="1">_xll.BDH($C$278,"GEO_GROW_BOOK_VAL","FQ2 2018","FQ2 2018","Currency=INR","Period=FQ","BEST_FPERIOD_OVERRIDE=FQ","FILING_STATUS=OR","EQY_CONSOLIDATED=Y","Sort=A","Dates=H","DateFormat=P","Fill=—","Direction=H","UseDPDF=Y")</f>
        <v>#NAME?</v>
      </c>
      <c r="BE300" s="2" t="e">
        <f ca="1">_xll.BDH($C$278,"GEO_GROW_CASH_OPER_ACT","FQ2 2018","FQ2 2018","Currency=INR","Period=FQ","BEST_FPERIOD_OVERRIDE=FQ","FILING_STATUS=OR","EQY_CONSOLIDATED=Y","Sort=A","Dates=H","DateFormat=P","Fill=—","Direction=H","UseDPDF=Y")</f>
        <v>#NAME?</v>
      </c>
      <c r="BF300" s="2" t="e">
        <f ca="1">_xll.BDH($C$278,"REVENUE_SEQUENTIAL_GROWTH","FQ2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300" s="2" t="e">
        <f ca="1">_xll.BDH($C$278,"EBITDA_SEQUENTIAL_GROWTH","FQ2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300" s="2" t="e">
        <f ca="1">_xll.BDH($C$278,"OPERATING_INCOME_SEQ_GROWTH","FQ2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300" s="2" t="e">
        <f ca="1">_xll.BDH($C$278,"NET_INCOME_TO_COMMON_SEQ_GROWTH","FQ2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300" s="2" t="e">
        <f ca="1">_xll.BDH($C$278,"EPS_DILUTED_SEQUENTIAL_GROWTH","FQ2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300" s="2" t="e">
        <f ca="1">_xll.BDH($C$278,"DPS_SEQUENTIAL_GROWTH","FQ2 2018","FQ2 2018","Currency=INR","Period=FQ","BEST_FPERIOD_OVERRIDE=FQ","FILING_STATUS=OR","EQY_CONSOLIDATED=Y","Sort=A","Dates=H","DateFormat=P","Fill=—","Direction=H","UseDPDF=Y")</f>
        <v>#NAME?</v>
      </c>
      <c r="BL300" s="2" t="e">
        <f ca="1">_xll.BDH($C$278,"ACCOUNTS_RECEIVABLE_SEQ_GROWTH","FQ2 2018","FQ2 2018","Currency=INR","Period=FQ","BEST_FPERIOD_OVERRIDE=FQ","FILING_STATUS=OR","EQY_CONSOLIDATED=Y","Sort=A","Dates=H","DateFormat=P","Fill=—","Direction=H","UseDPDF=Y")</f>
        <v>#NAME?</v>
      </c>
      <c r="BM300" s="2" t="e">
        <f ca="1">_xll.BDH($C$278,"INVENTORY_SEQUENTIAL_GROWTH","FQ2 2018","FQ2 2018","Currency=INR","Period=FQ","BEST_FPERIOD_OVERRIDE=FQ","FILING_STATUS=OR","EQY_CONSOLIDATED=Y","Sort=A","Dates=H","DateFormat=P","Fill=—","Direction=H","UseDPDF=Y")</f>
        <v>#NAME?</v>
      </c>
      <c r="BN300" s="2" t="e">
        <f ca="1">_xll.BDH($C$278,"FIXED_ASSETS_SEQUENTIAL_GROWTH","FQ2 2018","FQ2 2018","Currency=INR","Period=FQ","BEST_FPERIOD_OVERRIDE=FQ","FILING_STATUS=OR","EQY_CONSOLIDATED=Y","Sort=A","Dates=H","DateFormat=P","Fill=—","Direction=H","UseDPDF=Y")</f>
        <v>#NAME?</v>
      </c>
      <c r="BO300" s="2" t="e">
        <f ca="1">_xll.BDH($C$278,"TOTAL_ASSETS_SEQUENTIAL_GROWTH","FQ2 2018","FQ2 2018","Currency=INR","Period=FQ","BEST_FPERIOD_OVERRIDE=FQ","FILING_STATUS=OR","EQY_CONSOLIDATED=Y","Sort=A","Dates=H","DateFormat=P","Fill=—","Direction=H","UseDPDF=Y")</f>
        <v>#NAME?</v>
      </c>
      <c r="BP300" s="2" t="e">
        <f ca="1">_xll.BDH($C$278,"MODIFIED_WORKING_CPTL_SEQ_GRWTH","FQ2 2018","FQ2 2018","Currency=INR","Period=FQ","BEST_FPERIOD_OVERRIDE=FQ","FILING_STATUS=OR","EQY_CONSOLIDATED=Y","Sort=A","Dates=H","DateFormat=P","Fill=—","Direction=H","UseDPDF=Y")</f>
        <v>#NAME?</v>
      </c>
      <c r="BQ300" s="2" t="e">
        <f ca="1">_xll.BDH($C$278,"WORKING_CAPITAL_SEQ_GROWTH","FQ2 2018","FQ2 2018","Currency=INR","Period=FQ","BEST_FPERIOD_OVERRIDE=FQ","FILING_STATUS=OR","EQY_CONSOLIDATED=Y","Sort=A","Dates=H","DateFormat=P","Fill=—","Direction=H","UseDPDF=Y")</f>
        <v>#NAME?</v>
      </c>
      <c r="BR300" s="2" t="e">
        <f ca="1">_xll.BDH($C$278,"ACCOUNTS_PAYABLE_SEQ_GROWTH","FQ2 2018","FQ2 2018","Currency=INR","Period=FQ","BEST_FPERIOD_OVERRIDE=FQ","FILING_STATUS=OR","EQY_CONSOLIDATED=Y","Sort=A","Dates=H","DateFormat=P","Fill=—","Direction=H","UseDPDF=Y")</f>
        <v>#NAME?</v>
      </c>
      <c r="BS300" s="2" t="e">
        <f ca="1">_xll.BDH($C$278,"ST_DEBT_SEQUENTIAL_GROWTH","FQ2 2018","FQ2 2018","Currency=INR","Period=FQ","BEST_FPERIOD_OVERRIDE=FQ","FILING_STATUS=OR","EQY_CONSOLIDATED=Y","Sort=A","Dates=H","DateFormat=P","Fill=—","Direction=H","UseDPDF=Y")</f>
        <v>#NAME?</v>
      </c>
      <c r="BT300" s="2" t="e">
        <f ca="1">_xll.BDH($C$278,"TOTAL_DEBT_SEQUENTIAL_GROWTH","FQ2 2018","FQ2 2018","Currency=INR","Period=FQ","BEST_FPERIOD_OVERRIDE=FQ","FILING_STATUS=OR","EQY_CONSOLIDATED=Y","Sort=A","Dates=H","DateFormat=P","Fill=—","Direction=H","UseDPDF=Y")</f>
        <v>#NAME?</v>
      </c>
      <c r="BU300" s="2" t="e">
        <f ca="1">_xll.BDH($C$278,"TOTAL_EQUITY_SEQUENTIAL_GROWTH","FQ2 2018","FQ2 2018","Currency=INR","Period=FQ","BEST_FPERIOD_OVERRIDE=FQ","FILING_STATUS=OR","EQY_CONSOLIDATED=Y","Sort=A","Dates=H","DateFormat=P","Fill=—","Direction=H","UseDPDF=Y")</f>
        <v>#NAME?</v>
      </c>
      <c r="BV300" s="2" t="e">
        <f ca="1">_xll.BDH($C$278,"TOTAL_CAPITAL_SEQUENTIAL_GROWTH","FQ2 2018","FQ2 2018","Currency=INR","Period=FQ","BEST_FPERIOD_OVERRIDE=FQ","FILING_STATUS=OR","EQY_CONSOLIDATED=Y","Sort=A","Dates=H","DateFormat=P","Fill=—","Direction=H","UseDPDF=Y")</f>
        <v>#NAME?</v>
      </c>
      <c r="BW300" s="2" t="e">
        <f ca="1">_xll.BDH($C$278,"BPS_SEQUENTIAL_GROWTH","FQ2 2018","FQ2 2018","Currency=INR","Period=FQ","BEST_FPERIOD_OVERRIDE=FQ","FILING_STATUS=OR","EQY_CONSOLIDATED=Y","Sort=A","Dates=H","DateFormat=P","Fill=—","Direction=H","UseDPDF=Y")</f>
        <v>#NAME?</v>
      </c>
      <c r="BX300" s="2" t="e">
        <f ca="1">_xll.BDH($C$278,"CFO_SEQUENTIAL_GROWTH","FQ2 2018","FQ2 2018","Currency=INR","Period=FQ","BEST_FPERIOD_OVERRIDE=FQ","FILING_STATUS=OR","EQY_CONSOLIDATED=Y","Sort=A","Dates=H","DateFormat=P","Fill=—","Direction=H","UseDPDF=Y")</f>
        <v>#NAME?</v>
      </c>
      <c r="BY300" s="3" t="e">
        <f ca="1">_xll.BDH($C$278,"SHORT_AND_LONG_TERM_DEBT","FQ2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300" s="3" t="e">
        <f ca="1">_xll.BDH($C$278,"BS_ST_BORROW","FQ2 2018","FQ2 2018","Currency=INR","Period=FQ","BEST_FPERIOD_OVERRIDE=FQ","FILING_STATUS=OR","EQY_CONSOLIDATED=Y","SCALING_FORMAT=MLN","Sort=A","Dates=H","DateFormat=P","Fill=—","Direction=H","UseDPDF=Y")</f>
        <v>#NAME?</v>
      </c>
      <c r="CA300" s="3" t="e">
        <f ca="1">_xll.BDH($C$278,"BS_LT_BORROW","FQ2 2018","FQ2 2018","Currency=INR","Period=FQ","BEST_FPERIOD_OVERRIDE=FQ","FILING_STATUS=OR","EQY_CONSOLIDATED=Y","SCALING_FORMAT=MLN","Sort=A","Dates=H","DateFormat=P","Fill=—","Direction=H","UseDPDF=Y")</f>
        <v>#NAME?</v>
      </c>
      <c r="CB300" s="2" t="e">
        <f ca="1">_xll.BDH($C$278,"TOT_DEBT_TO_EBITDA","FQ2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300" s="2" t="e">
        <f ca="1">_xll.BDH($C$278,"NET_DEBT_TO_EBITDA","FQ2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300" s="2" t="e">
        <f ca="1">_xll.BDH($C$278,"TOTAL_DEBT_TO_EBIT","FQ2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300" s="2" t="e">
        <f ca="1">_xll.BDH($C$278,"NET_DEBT_TO_EBIT","FQ2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300" s="2" t="e">
        <f ca="1">_xll.BDH($C$278,"EBITDA_TO_INTEREST_EXPN","FQ2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300" s="2" t="e">
        <f ca="1">_xll.BDH($C$278,"COM_EQY_TO_TOT_ASSET","FQ2 2018","FQ2 2018","Currency=INR","Period=FQ","BEST_FPERIOD_OVERRIDE=FQ","FILING_STATUS=OR","EQY_CONSOLIDATED=Y","Sort=A","Dates=H","DateFormat=P","Fill=—","Direction=H","UseDPDF=Y")</f>
        <v>#NAME?</v>
      </c>
      <c r="CH300" s="2" t="e">
        <f ca="1">_xll.BDH($C$278,"LT_DEBT_TO_TOT_EQY","FQ2 2018","FQ2 2018","Currency=INR","Period=FQ","BEST_FPERIOD_OVERRIDE=FQ","FILING_STATUS=OR","EQY_CONSOLIDATED=Y","Sort=A","Dates=H","DateFormat=P","Fill=—","Direction=H","UseDPDF=Y")</f>
        <v>#NAME?</v>
      </c>
      <c r="CI300" s="2" t="e">
        <f ca="1">_xll.BDH($C$278,"LT_DEBT_TO_TOT_CAP","FQ2 2018","FQ2 2018","Currency=INR","Period=FQ","BEST_FPERIOD_OVERRIDE=FQ","FILING_STATUS=OR","EQY_CONSOLIDATED=Y","Sort=A","Dates=H","DateFormat=P","Fill=—","Direction=H","UseDPDF=Y")</f>
        <v>#NAME?</v>
      </c>
      <c r="CJ300" s="2" t="e">
        <f ca="1">_xll.BDH($C$278,"LT_DEBT_TO_TOT_ASSET","FQ2 2018","FQ2 2018","Currency=INR","Period=FQ","BEST_FPERIOD_OVERRIDE=FQ","FILING_STATUS=OR","EQY_CONSOLIDATED=Y","Sort=A","Dates=H","DateFormat=P","Fill=—","Direction=H","UseDPDF=Y")</f>
        <v>#NAME?</v>
      </c>
      <c r="CK300" s="2" t="e">
        <f ca="1">_xll.BDH($C$278,"TOT_DEBT_TO_TOT_EQY","FQ2 2018","FQ2 2018","Currency=INR","Period=FQ","BEST_FPERIOD_OVERRIDE=FQ","FILING_STATUS=OR","EQY_CONSOLIDATED=Y","Sort=A","Dates=H","DateFormat=P","Fill=—","Direction=H","UseDPDF=Y")</f>
        <v>#NAME?</v>
      </c>
      <c r="CL300" s="2" t="e">
        <f ca="1">_xll.BDH($C$278,"TOT_DEBT_TO_TOT_CAP","FQ2 2018","FQ2 2018","Currency=INR","Period=FQ","BEST_FPERIOD_OVERRIDE=FQ","FILING_STATUS=OR","EQY_CONSOLIDATED=Y","Sort=A","Dates=H","DateFormat=P","Fill=—","Direction=H","UseDPDF=Y")</f>
        <v>#NAME?</v>
      </c>
      <c r="CM300" s="2" t="e">
        <f ca="1">_xll.BDH($C$278,"TOT_DEBT_TO_TOT_ASSET","FQ2 2018","FQ2 2018","Currency=INR","Period=FQ","BEST_FPERIOD_OVERRIDE=FQ","FILING_STATUS=OR","EQY_CONSOLIDATED=Y","Sort=A","Dates=H","DateFormat=P","Fill=—","Direction=H","UseDPDF=Y")</f>
        <v>#NAME?</v>
      </c>
      <c r="CN300" s="2" t="e">
        <f ca="1">_xll.BDH($C$278,"NET_DEBT_TO_SHRHLDR_EQTY","FQ2 2018","FQ2 2018","Currency=INR","Period=FQ","BEST_FPERIOD_OVERRIDE=FQ","FILING_STATUS=OR","EQY_CONSOLIDATED=Y","Sort=A","Dates=H","DateFormat=P","Fill=—","Direction=H","UseDPDF=Y")</f>
        <v>#NAME?</v>
      </c>
      <c r="CO300" s="2" t="e">
        <f ca="1">_xll.BDH($C$278,"NET_DEBT_%_CAPITAL","FQ2 2018","FQ2 2018","Currency=INR","Period=FQ","BEST_FPERIOD_OVERRIDE=FQ","FILING_STATUS=OR","EQY_CONSOLIDATED=Y","Sort=A","Dates=H","DateFormat=P","Fill=—","Direction=H","UseDPDF=Y")</f>
        <v>#NAME?</v>
      </c>
      <c r="CP300" s="3" t="e">
        <f ca="1">_xll.BDH($C$278,"EBITDA","FQ2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300" s="3" t="e">
        <f ca="1">_xll.BDH($C$278,"EBITDA_AFTER_CAPEX","FQ2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300" s="3" t="e">
        <f ca="1">_xll.BDH($C$278,"IS_OPER_INC","FQ2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300" s="2" t="e">
        <f ca="1">_xll.BDH($C$278,"CASH_RATIO","FQ2 2018","FQ2 2018","Currency=INR","Period=FQ","BEST_FPERIOD_OVERRIDE=FQ","FILING_STATUS=OR","EQY_CONSOLIDATED=Y","Sort=A","Dates=H","DateFormat=P","Fill=—","Direction=H","UseDPDF=Y")</f>
        <v>#NAME?</v>
      </c>
      <c r="CT300" s="2" t="e">
        <f ca="1">_xll.BDH($C$278,"CUR_RATIO","FQ2 2018","FQ2 2018","Currency=INR","Period=FQ","BEST_FPERIOD_OVERRIDE=FQ","FILING_STATUS=OR","EQY_CONSOLIDATED=Y","Sort=A","Dates=H","DateFormat=P","Fill=—","Direction=H","UseDPDF=Y")</f>
        <v>#NAME?</v>
      </c>
      <c r="CU300" s="2" t="e">
        <f ca="1">_xll.BDH($C$278,"QUICK_RATIO","FQ2 2018","FQ2 2018","Currency=INR","Period=FQ","BEST_FPERIOD_OVERRIDE=FQ","FILING_STATUS=OR","EQY_CONSOLIDATED=Y","Sort=A","Dates=H","DateFormat=P","Fill=—","Direction=H","UseDPDF=Y")</f>
        <v>#NAME?</v>
      </c>
      <c r="CV300" s="2" t="e">
        <f ca="1">_xll.BDH($C$278,"ALTMAN_Z_SCORE","FQ2 2018","FQ2 2018","Currency=INR","Period=FQ","BEST_FPERIOD_OVERRIDE=FQ","FILING_STATUS=OR","EQY_CONSOLIDATED=Y","Sort=A","Dates=H","DateFormat=P","Fill=—","Direction=H","UseDPDF=Y")</f>
        <v>#NAME?</v>
      </c>
      <c r="CW300" s="4" t="e">
        <f ca="1">_xll.BDH($C$278,"ACCT_RCV_TURN","FQ2 2018","FQ2 2018","Currency=INR","Period=FQ","BEST_FPERIOD_OVERRIDE=FQ","FILING_STATUS=OR","EQY_CONSOLIDATED=Y","FA_ADJUSTED=GAAP","Sort=A","Dates=H","DateFormat=P","Fill=—","Direction=H","UseDPDF=Y")</f>
        <v>#NAME?</v>
      </c>
      <c r="CX300" s="2" t="e">
        <f ca="1">_xll.BDH($C$278,"ACCT_RCV_DAYS","FQ2 2018","FQ2 2018","Currency=INR","Period=FQ","BEST_FPERIOD_OVERRIDE=FQ","FILING_STATUS=OR","EQY_CONSOLIDATED=Y","FA_ADJUSTED=GAAP","Sort=A","Dates=H","DateFormat=P","Fill=—","Direction=H","UseDPDF=Y")</f>
        <v>#NAME?</v>
      </c>
      <c r="CY300" s="4" t="e">
        <f ca="1">_xll.BDH($C$278,"INVENT_TURN","FQ2 2018","FQ2 2018","Currency=INR","Period=FQ","BEST_FPERIOD_OVERRIDE=FQ","FILING_STATUS=OR","EQY_CONSOLIDATED=Y","FA_ADJUSTED=GAAP","Sort=A","Dates=H","DateFormat=P","Fill=—","Direction=H","UseDPDF=Y")</f>
        <v>#NAME?</v>
      </c>
      <c r="CZ300" s="2" t="e">
        <f ca="1">_xll.BDH($C$278,"INVENT_DAYS","FQ2 2018","FQ2 2018","Currency=INR","Period=FQ","BEST_FPERIOD_OVERRIDE=FQ","FILING_STATUS=OR","EQY_CONSOLIDATED=Y","FA_ADJUSTED=GAAP","Sort=A","Dates=H","DateFormat=P","Fill=—","Direction=H","UseDPDF=Y")</f>
        <v>#NAME?</v>
      </c>
      <c r="DA300" s="4" t="e">
        <f ca="1">_xll.BDH($C$278,"ACCOUNTS_PAYABLE_TURNOVER","FQ2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300" s="2" t="e">
        <f ca="1">_xll.BDH($C$278,"ACCOUNTS_PAYABLE_TURNOVER_DAYS","FQ2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300" s="4" t="e">
        <f ca="1">_xll.BDH($C$278,"CASH_CONVERSION_CYCLE","FQ2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300" s="4" t="e">
        <f ca="1">_xll.BDH($C$278,"INV_TO_CASH_DAYS","FQ2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300" s="5" t="e">
        <f ca="1">_xll.BDH($C$278,"BS_INVENTORIES","FQ2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300" s="3" t="e">
        <f ca="1">_xll.BDH($C$278,"INVTRY_RAW_MATERIALS","FQ2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300" s="3" t="e">
        <f ca="1">_xll.BDH($C$278,"INVTRY_IN_PROGRESS","FQ2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300" s="3" t="e">
        <f ca="1">_xll.BDH($C$278,"INVTRY_FINISHED_GOODS","FQ2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300" s="3" t="e">
        <f ca="1">_xll.BDH($C$278,"BS_OTHER_INV","FQ2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301" spans="1:113" x14ac:dyDescent="0.3">
      <c r="A301" s="6"/>
      <c r="B301" s="6"/>
      <c r="C301" s="6"/>
      <c r="D301" s="6"/>
      <c r="E301" t="s">
        <v>80</v>
      </c>
      <c r="F301" t="e">
        <f ca="1">_xll.BDH($C$278,"RETURN_COM_EQY","FQ3 2018","FQ3 2018","Currency=INR","Period=FQ","BEST_FPERIOD_OVERRIDE=FQ","FILING_STATUS=OR","EQY_CONSOLIDATED=Y","FA_ADJUSTED=GAAP","Sort=A","Dates=H","DateFormat=P","Fill=—","Direction=H","UseDPDF=Y")</f>
        <v>#NAME?</v>
      </c>
      <c r="G301" t="e">
        <f ca="1">_xll.BDH($C$278,"RETURN_ON_ASSET","FQ3 2018","FQ3 2018","Currency=INR","Period=FQ","BEST_FPERIOD_OVERRIDE=FQ","FILING_STATUS=OR","EQY_CONSOLIDATED=Y","FA_ADJUSTED=GAAP","Sort=A","Dates=H","DateFormat=P","Fill=—","Direction=H","UseDPDF=Y")</f>
        <v>#NAME?</v>
      </c>
      <c r="H301" t="e">
        <f ca="1">_xll.BDH($C$278,"RETURN_ON_CAP","FQ3 2018","FQ3 2018","Currency=INR","Period=FQ","BEST_FPERIOD_OVERRIDE=FQ","FILING_STATUS=OR","EQY_CONSOLIDATED=Y","FA_ADJUSTED=GAAP","Sort=A","Dates=H","DateFormat=P","Fill=—","Direction=H","UseDPDF=Y")</f>
        <v>#NAME?</v>
      </c>
      <c r="I301" t="e">
        <f ca="1">_xll.BDH($C$278,"RETURN_ON_INV_CAPITAL","FQ3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301" t="e">
        <f ca="1">_xll.BDH($C$278,"EBITDA_TO_REVENUE","FQ3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301" t="e">
        <f ca="1">_xll.BDH($C$278,"OPER_MARGIN","FQ3 2018","FQ3 2018","Currency=INR","Period=FQ","BEST_FPERIOD_OVERRIDE=FQ","FILING_STATUS=OR","EQY_CONSOLIDATED=Y","FA_ADJUSTED=GAAP","Sort=A","Dates=H","DateFormat=P","Fill=—","Direction=H","UseDPDF=Y")</f>
        <v>#NAME?</v>
      </c>
      <c r="L301" t="e">
        <f ca="1">_xll.BDH($C$278,"INCREMENTAL_OPERATING_MARGIN","FQ3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301" t="e">
        <f ca="1">_xll.BDH($C$278,"PRETAX_INC_TO_NET_SALES","FQ3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301" t="e">
        <f ca="1">_xll.BDH($C$278,"INC_BEF_XO_ITEMS_TO_NET_SALES","FQ3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301" t="e">
        <f ca="1">_xll.BDH($C$278,"PROF_MARGIN","FQ3 2018","FQ3 2018","Currency=INR","Period=FQ","BEST_FPERIOD_OVERRIDE=FQ","FILING_STATUS=OR","EQY_CONSOLIDATED=Y","FA_ADJUSTED=GAAP","Sort=A","Dates=H","DateFormat=P","Fill=—","Direction=H","UseDPDF=Y")</f>
        <v>#NAME?</v>
      </c>
      <c r="P301" t="e">
        <f ca="1">_xll.BDH($C$278,"NET_INCOME_TO_COMMON_MARGIN","FQ3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301" t="e">
        <f ca="1">_xll.BDH($C$278,"EFF_TAX_RATE","FQ3 2018","FQ3 2018","Currency=INR","Period=FQ","BEST_FPERIOD_OVERRIDE=FQ","FILING_STATUS=OR","EQY_CONSOLIDATED=Y","FA_ADJUSTED=GAAP","Sort=A","Dates=H","DateFormat=P","Fill=—","Direction=H","UseDPDF=Y")</f>
        <v>#NAME?</v>
      </c>
      <c r="R301" t="e">
        <f ca="1">_xll.BDH($C$278,"DVD_PAYOUT_RATIO","FQ3 2018","FQ3 2018","Currency=INR","Period=FQ","BEST_FPERIOD_OVERRIDE=FQ","FILING_STATUS=OR","EQY_CONSOLIDATED=Y","FA_ADJUSTED=GAAP","Sort=A","Dates=H","DateFormat=P","Fill=—","Direction=H","UseDPDF=Y")</f>
        <v>#NAME?</v>
      </c>
      <c r="S301" t="e">
        <f ca="1">_xll.BDH($C$278,"SUSTAIN_GROWTH_RT","FQ3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301" s="2" t="e">
        <f ca="1">_xll.BDH($C$278,"SALES_GROWTH","FQ3 2018","FQ3 2018","Currency=INR","Period=FQ","BEST_FPERIOD_OVERRIDE=FQ","FILING_STATUS=OR","EQY_CONSOLIDATED=Y","FA_ADJUSTED=GAAP","Sort=A","Dates=H","DateFormat=P","Fill=—","Direction=H","UseDPDF=Y")</f>
        <v>#NAME?</v>
      </c>
      <c r="U301" s="2" t="e">
        <f ca="1">_xll.BDH($C$278,"EBITDA_GROWTH","FQ3 2018","FQ3 2018","Currency=INR","Period=FQ","BEST_FPERIOD_OVERRIDE=FQ","FILING_STATUS=OR","EQY_CONSOLIDATED=Y","FA_ADJUSTED=GAAP","Sort=A","Dates=H","DateFormat=P","Fill=—","Direction=H","UseDPDF=Y")</f>
        <v>#NAME?</v>
      </c>
      <c r="V301" s="2" t="e">
        <f ca="1">_xll.BDH($C$278,"OPER_INC_GROWTH","FQ3 2018","FQ3 2018","Currency=INR","Period=FQ","BEST_FPERIOD_OVERRIDE=FQ","FILING_STATUS=OR","EQY_CONSOLIDATED=Y","FA_ADJUSTED=GAAP","Sort=A","Dates=H","DateFormat=P","Fill=—","Direction=H","UseDPDF=Y")</f>
        <v>#NAME?</v>
      </c>
      <c r="W301" s="2" t="e">
        <f ca="1">_xll.BDH($C$278,"EARN_FOR_COM_GROWTH","FQ3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301" s="2" t="e">
        <f ca="1">_xll.BDH($C$278,"DILUTED_EPS_AFT_XO_ITEMS_GROWTH","FQ3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301" s="2" t="e">
        <f ca="1">_xll.BDH($C$278,"DIVIDEND_PER_SHARE_1_YEAR_GROWTH","FQ3 2018","FQ3 2018","Currency=INR","Period=FQ","BEST_FPERIOD_OVERRIDE=FQ","FILING_STATUS=OR","EQY_CONSOLIDATED=Y","Sort=A","Dates=H","DateFormat=P","Fill=—","Direction=H","UseDPDF=Y")</f>
        <v>#NAME?</v>
      </c>
      <c r="Z301" s="2" t="e">
        <f ca="1">_xll.BDH($C$278,"ACCOUNTS_RECEIVABLE_GROWTH","FQ3 2018","FQ3 2018","Currency=INR","Period=FQ","BEST_FPERIOD_OVERRIDE=FQ","FILING_STATUS=OR","EQY_CONSOLIDATED=Y","Sort=A","Dates=H","DateFormat=P","Fill=—","Direction=H","UseDPDF=Y")</f>
        <v>#NAME?</v>
      </c>
      <c r="AA301" s="2" t="e">
        <f ca="1">_xll.BDH($C$278,"INVENTORY_GROWTH","FQ3 2018","FQ3 2018","Currency=INR","Period=FQ","BEST_FPERIOD_OVERRIDE=FQ","FILING_STATUS=OR","EQY_CONSOLIDATED=Y","Sort=A","Dates=H","DateFormat=P","Fill=—","Direction=H","UseDPDF=Y")</f>
        <v>#NAME?</v>
      </c>
      <c r="AB301" s="2" t="e">
        <f ca="1">_xll.BDH($C$278,"NET_FIXED_ASSETS_1_YEAR_GROWTH","FQ3 2018","FQ3 2018","Currency=INR","Period=FQ","BEST_FPERIOD_OVERRIDE=FQ","FILING_STATUS=OR","EQY_CONSOLIDATED=Y","Sort=A","Dates=H","DateFormat=P","Fill=—","Direction=H","UseDPDF=Y")</f>
        <v>#NAME?</v>
      </c>
      <c r="AC301" s="2" t="e">
        <f ca="1">_xll.BDH($C$278,"ASSET_GROWTH","FQ3 2018","FQ3 2018","Currency=INR","Period=FQ","BEST_FPERIOD_OVERRIDE=FQ","FILING_STATUS=OR","EQY_CONSOLIDATED=Y","Sort=A","Dates=H","DateFormat=P","Fill=—","Direction=H","UseDPDF=Y")</f>
        <v>#NAME?</v>
      </c>
      <c r="AD301" s="2" t="e">
        <f ca="1">_xll.BDH($C$278,"MODIFIED_WORK_CAP_GROWTH","FQ3 2018","FQ3 2018","Currency=INR","Period=FQ","BEST_FPERIOD_OVERRIDE=FQ","FILING_STATUS=OR","EQY_CONSOLIDATED=Y","Sort=A","Dates=H","DateFormat=P","Fill=—","Direction=H","UseDPDF=Y")</f>
        <v>#NAME?</v>
      </c>
      <c r="AE301" s="2" t="e">
        <f ca="1">_xll.BDH($C$278,"WORK_CAP_GROWTH","FQ3 2018","FQ3 2018","Currency=INR","Period=FQ","BEST_FPERIOD_OVERRIDE=FQ","FILING_STATUS=OR","EQY_CONSOLIDATED=Y","Sort=A","Dates=H","DateFormat=P","Fill=—","Direction=H","UseDPDF=Y")</f>
        <v>#NAME?</v>
      </c>
      <c r="AF301" s="2" t="e">
        <f ca="1">_xll.BDH($C$278,"ACCOUNTS_PAYABLE_GROWTH_1YR","FQ3 2018","FQ3 2018","Currency=INR","Period=FQ","BEST_FPERIOD_OVERRIDE=FQ","FILING_STATUS=OR","EQY_CONSOLIDATED=Y","Sort=A","Dates=H","DateFormat=P","Fill=—","Direction=H","UseDPDF=Y")</f>
        <v>#NAME?</v>
      </c>
      <c r="AG301" s="2" t="e">
        <f ca="1">_xll.BDH($C$278,"SHORT_TERM_DEBT_1_YEAR_GROWTH","FQ3 2018","FQ3 2018","Currency=INR","Period=FQ","BEST_FPERIOD_OVERRIDE=FQ","FILING_STATUS=OR","EQY_CONSOLIDATED=Y","Sort=A","Dates=H","DateFormat=P","Fill=—","Direction=H","UseDPDF=Y")</f>
        <v>#NAME?</v>
      </c>
      <c r="AH301" s="2" t="e">
        <f ca="1">_xll.BDH($C$278,"TOTAL_DEBT_1_YEAR_GROWTH","FQ3 2018","FQ3 2018","Currency=INR","Period=FQ","BEST_FPERIOD_OVERRIDE=FQ","FILING_STATUS=OR","EQY_CONSOLIDATED=Y","Sort=A","Dates=H","DateFormat=P","Fill=—","Direction=H","UseDPDF=Y")</f>
        <v>#NAME?</v>
      </c>
      <c r="AI301" s="2" t="e">
        <f ca="1">_xll.BDH($C$278,"TOTAL_EQUITY_1_YEAR_GROWTH","FQ3 2018","FQ3 2018","Currency=INR","Period=FQ","BEST_FPERIOD_OVERRIDE=FQ","FILING_STATUS=OR","EQY_CONSOLIDATED=Y","Sort=A","Dates=H","DateFormat=P","Fill=—","Direction=H","UseDPDF=Y")</f>
        <v>#NAME?</v>
      </c>
      <c r="AJ301" s="2" t="e">
        <f ca="1">_xll.BDH($C$278,"GROWTH_IN_CAP","FQ3 2018","FQ3 2018","Currency=INR","Period=FQ","BEST_FPERIOD_OVERRIDE=FQ","FILING_STATUS=OR","EQY_CONSOLIDATED=Y","Sort=A","Dates=H","DateFormat=P","Fill=—","Direction=H","UseDPDF=Y")</f>
        <v>#NAME?</v>
      </c>
      <c r="AK301" s="2" t="e">
        <f ca="1">_xll.BDH($C$278,"BVPS_GROWTH","FQ3 2018","FQ3 2018","Currency=INR","Period=FQ","BEST_FPERIOD_OVERRIDE=FQ","FILING_STATUS=OR","EQY_CONSOLIDATED=Y","Sort=A","Dates=H","DateFormat=P","Fill=—","Direction=H","UseDPDF=Y")</f>
        <v>#NAME?</v>
      </c>
      <c r="AL301" s="2" t="e">
        <f ca="1">_xll.BDH($C$278,"CASH_FLOW_GROWTH","FQ3 2018","FQ3 2018","Currency=INR","Period=FQ","BEST_FPERIOD_OVERRIDE=FQ","FILING_STATUS=OR","EQY_CONSOLIDATED=Y","Sort=A","Dates=H","DateFormat=P","Fill=—","Direction=H","UseDPDF=Y")</f>
        <v>#NAME?</v>
      </c>
      <c r="AM301" s="2" t="e">
        <f ca="1">_xll.BDH($C$278,"GEO_GROW_NET_SALES","FQ3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301" s="2" t="e">
        <f ca="1">_xll.BDH($C$278,"GEO_GROW_EBITDA","FQ3 2018","FQ3 2018","Currency=INR","Period=FQ","BEST_FPERIOD_OVERRIDE=FQ","FILING_STATUS=OR","EQY_CONSOLIDATED=Y","FA_ADJUSTED=GAAP","Sort=A","Dates=H","DateFormat=P","Fill=—","Direction=H","UseDPDF=Y")</f>
        <v>#NAME?</v>
      </c>
      <c r="AO301" s="2" t="e">
        <f ca="1">_xll.BDH($C$278,"GEO_GROW_OPER_INC","FQ3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301" s="2" t="e">
        <f ca="1">_xll.BDH($C$278,"NET_INCOME_TO_COMMON_5_YR_GROWTH","FQ3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301" s="2" t="e">
        <f ca="1">_xll.BDH($C$278,"5Y_GEO_GROWTH_DILUTED_EPS","FQ3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301" s="2" t="e">
        <f ca="1">_xll.BDH($C$278,"GEO_GROW_DVD_PER_SH","FQ3 2018","FQ3 2018","Currency=INR","Period=FQ","BEST_FPERIOD_OVERRIDE=FQ","FILING_STATUS=OR","EQY_CONSOLIDATED=Y","Sort=A","Dates=H","DateFormat=P","Fill=—","Direction=H","UseDPDF=Y")</f>
        <v>#NAME?</v>
      </c>
      <c r="AS301" s="2" t="e">
        <f ca="1">_xll.BDH($C$278,"ACCOUNTS_RECEIVABLE_5_YR_GROWTH","FQ3 2018","FQ3 2018","Currency=INR","Period=FQ","BEST_FPERIOD_OVERRIDE=FQ","FILING_STATUS=OR","EQY_CONSOLIDATED=Y","Sort=A","Dates=H","DateFormat=P","Fill=—","Direction=H","UseDPDF=Y")</f>
        <v>#NAME?</v>
      </c>
      <c r="AT301" s="2" t="e">
        <f ca="1">_xll.BDH($C$278,"INVENTORY_5_YEAR_GROWTH","FQ3 2018","FQ3 2018","Currency=INR","Period=FQ","BEST_FPERIOD_OVERRIDE=FQ","FILING_STATUS=OR","EQY_CONSOLIDATED=Y","Sort=A","Dates=H","DateFormat=P","Fill=—","Direction=H","UseDPDF=Y")</f>
        <v>#NAME?</v>
      </c>
      <c r="AU301" s="2" t="e">
        <f ca="1">_xll.BDH($C$278,"NET_FIXED_ASSETS_5_YEAR_GROWTH","FQ3 2018","FQ3 2018","Currency=INR","Period=FQ","BEST_FPERIOD_OVERRIDE=FQ","FILING_STATUS=OR","EQY_CONSOLIDATED=Y","Sort=A","Dates=H","DateFormat=P","Fill=—","Direction=H","UseDPDF=Y")</f>
        <v>#NAME?</v>
      </c>
      <c r="AV301" s="2" t="e">
        <f ca="1">_xll.BDH($C$278,"GEO_GROW_TOT_ASSET","FQ3 2018","FQ3 2018","Currency=INR","Period=FQ","BEST_FPERIOD_OVERRIDE=FQ","FILING_STATUS=OR","EQY_CONSOLIDATED=Y","Sort=A","Dates=H","DateFormat=P","Fill=—","Direction=H","UseDPDF=Y")</f>
        <v>#NAME?</v>
      </c>
      <c r="AW301" s="2" t="e">
        <f ca="1">_xll.BDH($C$278,"MODIFIED_WORKING_CPTL_5YR_GRWTH","FQ3 2018","FQ3 2018","Currency=INR","Period=FQ","BEST_FPERIOD_OVERRIDE=FQ","FILING_STATUS=OR","EQY_CONSOLIDATED=Y","Sort=A","Dates=H","DateFormat=P","Fill=—","Direction=H","UseDPDF=Y")</f>
        <v>#NAME?</v>
      </c>
      <c r="AX301" s="2" t="e">
        <f ca="1">_xll.BDH($C$278,"WORKING_CAPITAL_5_YEAR_GROWTH","FQ3 2018","FQ3 2018","Currency=INR","Period=FQ","BEST_FPERIOD_OVERRIDE=FQ","FILING_STATUS=OR","EQY_CONSOLIDATED=Y","Sort=A","Dates=H","DateFormat=P","Fill=—","Direction=H","UseDPDF=Y")</f>
        <v>#NAME?</v>
      </c>
      <c r="AY301" s="2" t="e">
        <f ca="1">_xll.BDH($C$278,"ACCOUNTS_PAYABLE_5_YEAR_GROWTH","FQ3 2018","FQ3 2018","Currency=INR","Period=FQ","BEST_FPERIOD_OVERRIDE=FQ","FILING_STATUS=OR","EQY_CONSOLIDATED=Y","Sort=A","Dates=H","DateFormat=P","Fill=—","Direction=H","UseDPDF=Y")</f>
        <v>#NAME?</v>
      </c>
      <c r="AZ301" s="2" t="e">
        <f ca="1">_xll.BDH($C$278,"SHORT_TERM_DEBT_5_YEAR_GROWTH","FQ3 2018","FQ3 2018","Currency=INR","Period=FQ","BEST_FPERIOD_OVERRIDE=FQ","FILING_STATUS=OR","EQY_CONSOLIDATED=Y","Sort=A","Dates=H","DateFormat=P","Fill=—","Direction=H","UseDPDF=Y")</f>
        <v>#NAME?</v>
      </c>
      <c r="BA301" s="2" t="e">
        <f ca="1">_xll.BDH($C$278,"TOTAL_DEBT_5_YEAR_GROWTH","FQ3 2018","FQ3 2018","Currency=INR","Period=FQ","BEST_FPERIOD_OVERRIDE=FQ","FILING_STATUS=OR","EQY_CONSOLIDATED=Y","Sort=A","Dates=H","DateFormat=P","Fill=—","Direction=H","UseDPDF=Y")</f>
        <v>#NAME?</v>
      </c>
      <c r="BB301" s="2" t="e">
        <f ca="1">_xll.BDH($C$278,"GEO_GROW_TOT_SHRHLDR_EQY","FQ3 2018","FQ3 2018","Currency=INR","Period=FQ","BEST_FPERIOD_OVERRIDE=FQ","FILING_STATUS=OR","EQY_CONSOLIDATED=Y","Sort=A","Dates=H","DateFormat=P","Fill=—","Direction=H","UseDPDF=Y")</f>
        <v>#NAME?</v>
      </c>
      <c r="BC301" s="2" t="e">
        <f ca="1">_xll.BDH($C$278,"TOTAL_CAPITAL_5_YEAR_GROWTH","FQ3 2018","FQ3 2018","Currency=INR","Period=FQ","BEST_FPERIOD_OVERRIDE=FQ","FILING_STATUS=OR","EQY_CONSOLIDATED=Y","Sort=A","Dates=H","DateFormat=P","Fill=—","Direction=H","UseDPDF=Y")</f>
        <v>#NAME?</v>
      </c>
      <c r="BD301" s="2" t="e">
        <f ca="1">_xll.BDH($C$278,"GEO_GROW_BOOK_VAL","FQ3 2018","FQ3 2018","Currency=INR","Period=FQ","BEST_FPERIOD_OVERRIDE=FQ","FILING_STATUS=OR","EQY_CONSOLIDATED=Y","Sort=A","Dates=H","DateFormat=P","Fill=—","Direction=H","UseDPDF=Y")</f>
        <v>#NAME?</v>
      </c>
      <c r="BE301" s="2" t="e">
        <f ca="1">_xll.BDH($C$278,"GEO_GROW_CASH_OPER_ACT","FQ3 2018","FQ3 2018","Currency=INR","Period=FQ","BEST_FPERIOD_OVERRIDE=FQ","FILING_STATUS=OR","EQY_CONSOLIDATED=Y","Sort=A","Dates=H","DateFormat=P","Fill=—","Direction=H","UseDPDF=Y")</f>
        <v>#NAME?</v>
      </c>
      <c r="BF301" s="2" t="e">
        <f ca="1">_xll.BDH($C$278,"REVENUE_SEQUENTIAL_GROWTH","FQ3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301" s="2" t="e">
        <f ca="1">_xll.BDH($C$278,"EBITDA_SEQUENTIAL_GROWTH","FQ3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301" s="2" t="e">
        <f ca="1">_xll.BDH($C$278,"OPERATING_INCOME_SEQ_GROWTH","FQ3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301" s="2" t="e">
        <f ca="1">_xll.BDH($C$278,"NET_INCOME_TO_COMMON_SEQ_GROWTH","FQ3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301" s="2" t="e">
        <f ca="1">_xll.BDH($C$278,"EPS_DILUTED_SEQUENTIAL_GROWTH","FQ3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301" s="2" t="e">
        <f ca="1">_xll.BDH($C$278,"DPS_SEQUENTIAL_GROWTH","FQ3 2018","FQ3 2018","Currency=INR","Period=FQ","BEST_FPERIOD_OVERRIDE=FQ","FILING_STATUS=OR","EQY_CONSOLIDATED=Y","Sort=A","Dates=H","DateFormat=P","Fill=—","Direction=H","UseDPDF=Y")</f>
        <v>#NAME?</v>
      </c>
      <c r="BL301" s="2" t="e">
        <f ca="1">_xll.BDH($C$278,"ACCOUNTS_RECEIVABLE_SEQ_GROWTH","FQ3 2018","FQ3 2018","Currency=INR","Period=FQ","BEST_FPERIOD_OVERRIDE=FQ","FILING_STATUS=OR","EQY_CONSOLIDATED=Y","Sort=A","Dates=H","DateFormat=P","Fill=—","Direction=H","UseDPDF=Y")</f>
        <v>#NAME?</v>
      </c>
      <c r="BM301" s="2" t="e">
        <f ca="1">_xll.BDH($C$278,"INVENTORY_SEQUENTIAL_GROWTH","FQ3 2018","FQ3 2018","Currency=INR","Period=FQ","BEST_FPERIOD_OVERRIDE=FQ","FILING_STATUS=OR","EQY_CONSOLIDATED=Y","Sort=A","Dates=H","DateFormat=P","Fill=—","Direction=H","UseDPDF=Y")</f>
        <v>#NAME?</v>
      </c>
      <c r="BN301" s="2" t="e">
        <f ca="1">_xll.BDH($C$278,"FIXED_ASSETS_SEQUENTIAL_GROWTH","FQ3 2018","FQ3 2018","Currency=INR","Period=FQ","BEST_FPERIOD_OVERRIDE=FQ","FILING_STATUS=OR","EQY_CONSOLIDATED=Y","Sort=A","Dates=H","DateFormat=P","Fill=—","Direction=H","UseDPDF=Y")</f>
        <v>#NAME?</v>
      </c>
      <c r="BO301" s="2" t="e">
        <f ca="1">_xll.BDH($C$278,"TOTAL_ASSETS_SEQUENTIAL_GROWTH","FQ3 2018","FQ3 2018","Currency=INR","Period=FQ","BEST_FPERIOD_OVERRIDE=FQ","FILING_STATUS=OR","EQY_CONSOLIDATED=Y","Sort=A","Dates=H","DateFormat=P","Fill=—","Direction=H","UseDPDF=Y")</f>
        <v>#NAME?</v>
      </c>
      <c r="BP301" s="2" t="e">
        <f ca="1">_xll.BDH($C$278,"MODIFIED_WORKING_CPTL_SEQ_GRWTH","FQ3 2018","FQ3 2018","Currency=INR","Period=FQ","BEST_FPERIOD_OVERRIDE=FQ","FILING_STATUS=OR","EQY_CONSOLIDATED=Y","Sort=A","Dates=H","DateFormat=P","Fill=—","Direction=H","UseDPDF=Y")</f>
        <v>#NAME?</v>
      </c>
      <c r="BQ301" s="2" t="e">
        <f ca="1">_xll.BDH($C$278,"WORKING_CAPITAL_SEQ_GROWTH","FQ3 2018","FQ3 2018","Currency=INR","Period=FQ","BEST_FPERIOD_OVERRIDE=FQ","FILING_STATUS=OR","EQY_CONSOLIDATED=Y","Sort=A","Dates=H","DateFormat=P","Fill=—","Direction=H","UseDPDF=Y")</f>
        <v>#NAME?</v>
      </c>
      <c r="BR301" s="2" t="e">
        <f ca="1">_xll.BDH($C$278,"ACCOUNTS_PAYABLE_SEQ_GROWTH","FQ3 2018","FQ3 2018","Currency=INR","Period=FQ","BEST_FPERIOD_OVERRIDE=FQ","FILING_STATUS=OR","EQY_CONSOLIDATED=Y","Sort=A","Dates=H","DateFormat=P","Fill=—","Direction=H","UseDPDF=Y")</f>
        <v>#NAME?</v>
      </c>
      <c r="BS301" s="2" t="e">
        <f ca="1">_xll.BDH($C$278,"ST_DEBT_SEQUENTIAL_GROWTH","FQ3 2018","FQ3 2018","Currency=INR","Period=FQ","BEST_FPERIOD_OVERRIDE=FQ","FILING_STATUS=OR","EQY_CONSOLIDATED=Y","Sort=A","Dates=H","DateFormat=P","Fill=—","Direction=H","UseDPDF=Y")</f>
        <v>#NAME?</v>
      </c>
      <c r="BT301" s="2" t="e">
        <f ca="1">_xll.BDH($C$278,"TOTAL_DEBT_SEQUENTIAL_GROWTH","FQ3 2018","FQ3 2018","Currency=INR","Period=FQ","BEST_FPERIOD_OVERRIDE=FQ","FILING_STATUS=OR","EQY_CONSOLIDATED=Y","Sort=A","Dates=H","DateFormat=P","Fill=—","Direction=H","UseDPDF=Y")</f>
        <v>#NAME?</v>
      </c>
      <c r="BU301" s="2" t="e">
        <f ca="1">_xll.BDH($C$278,"TOTAL_EQUITY_SEQUENTIAL_GROWTH","FQ3 2018","FQ3 2018","Currency=INR","Period=FQ","BEST_FPERIOD_OVERRIDE=FQ","FILING_STATUS=OR","EQY_CONSOLIDATED=Y","Sort=A","Dates=H","DateFormat=P","Fill=—","Direction=H","UseDPDF=Y")</f>
        <v>#NAME?</v>
      </c>
      <c r="BV301" s="2" t="e">
        <f ca="1">_xll.BDH($C$278,"TOTAL_CAPITAL_SEQUENTIAL_GROWTH","FQ3 2018","FQ3 2018","Currency=INR","Period=FQ","BEST_FPERIOD_OVERRIDE=FQ","FILING_STATUS=OR","EQY_CONSOLIDATED=Y","Sort=A","Dates=H","DateFormat=P","Fill=—","Direction=H","UseDPDF=Y")</f>
        <v>#NAME?</v>
      </c>
      <c r="BW301" s="2" t="e">
        <f ca="1">_xll.BDH($C$278,"BPS_SEQUENTIAL_GROWTH","FQ3 2018","FQ3 2018","Currency=INR","Period=FQ","BEST_FPERIOD_OVERRIDE=FQ","FILING_STATUS=OR","EQY_CONSOLIDATED=Y","Sort=A","Dates=H","DateFormat=P","Fill=—","Direction=H","UseDPDF=Y")</f>
        <v>#NAME?</v>
      </c>
      <c r="BX301" s="2" t="e">
        <f ca="1">_xll.BDH($C$278,"CFO_SEQUENTIAL_GROWTH","FQ3 2018","FQ3 2018","Currency=INR","Period=FQ","BEST_FPERIOD_OVERRIDE=FQ","FILING_STATUS=OR","EQY_CONSOLIDATED=Y","Sort=A","Dates=H","DateFormat=P","Fill=—","Direction=H","UseDPDF=Y")</f>
        <v>#NAME?</v>
      </c>
      <c r="BY301" s="3" t="e">
        <f ca="1">_xll.BDH($C$278,"SHORT_AND_LONG_TERM_DEBT","FQ3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301" s="3" t="e">
        <f ca="1">_xll.BDH($C$278,"BS_ST_BORROW","FQ3 2018","FQ3 2018","Currency=INR","Period=FQ","BEST_FPERIOD_OVERRIDE=FQ","FILING_STATUS=OR","EQY_CONSOLIDATED=Y","SCALING_FORMAT=MLN","Sort=A","Dates=H","DateFormat=P","Fill=—","Direction=H","UseDPDF=Y")</f>
        <v>#NAME?</v>
      </c>
      <c r="CA301" s="3" t="e">
        <f ca="1">_xll.BDH($C$278,"BS_LT_BORROW","FQ3 2018","FQ3 2018","Currency=INR","Period=FQ","BEST_FPERIOD_OVERRIDE=FQ","FILING_STATUS=OR","EQY_CONSOLIDATED=Y","SCALING_FORMAT=MLN","Sort=A","Dates=H","DateFormat=P","Fill=—","Direction=H","UseDPDF=Y")</f>
        <v>#NAME?</v>
      </c>
      <c r="CB301" s="2" t="e">
        <f ca="1">_xll.BDH($C$278,"TOT_DEBT_TO_EBITDA","FQ3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301" s="2" t="e">
        <f ca="1">_xll.BDH($C$278,"NET_DEBT_TO_EBITDA","FQ3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301" s="2" t="e">
        <f ca="1">_xll.BDH($C$278,"TOTAL_DEBT_TO_EBIT","FQ3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301" s="2" t="e">
        <f ca="1">_xll.BDH($C$278,"NET_DEBT_TO_EBIT","FQ3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301" s="2" t="e">
        <f ca="1">_xll.BDH($C$278,"EBITDA_TO_INTEREST_EXPN","FQ3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301" s="2" t="e">
        <f ca="1">_xll.BDH($C$278,"COM_EQY_TO_TOT_ASSET","FQ3 2018","FQ3 2018","Currency=INR","Period=FQ","BEST_FPERIOD_OVERRIDE=FQ","FILING_STATUS=OR","EQY_CONSOLIDATED=Y","Sort=A","Dates=H","DateFormat=P","Fill=—","Direction=H","UseDPDF=Y")</f>
        <v>#NAME?</v>
      </c>
      <c r="CH301" s="2" t="e">
        <f ca="1">_xll.BDH($C$278,"LT_DEBT_TO_TOT_EQY","FQ3 2018","FQ3 2018","Currency=INR","Period=FQ","BEST_FPERIOD_OVERRIDE=FQ","FILING_STATUS=OR","EQY_CONSOLIDATED=Y","Sort=A","Dates=H","DateFormat=P","Fill=—","Direction=H","UseDPDF=Y")</f>
        <v>#NAME?</v>
      </c>
      <c r="CI301" s="2" t="e">
        <f ca="1">_xll.BDH($C$278,"LT_DEBT_TO_TOT_CAP","FQ3 2018","FQ3 2018","Currency=INR","Period=FQ","BEST_FPERIOD_OVERRIDE=FQ","FILING_STATUS=OR","EQY_CONSOLIDATED=Y","Sort=A","Dates=H","DateFormat=P","Fill=—","Direction=H","UseDPDF=Y")</f>
        <v>#NAME?</v>
      </c>
      <c r="CJ301" s="2" t="e">
        <f ca="1">_xll.BDH($C$278,"LT_DEBT_TO_TOT_ASSET","FQ3 2018","FQ3 2018","Currency=INR","Period=FQ","BEST_FPERIOD_OVERRIDE=FQ","FILING_STATUS=OR","EQY_CONSOLIDATED=Y","Sort=A","Dates=H","DateFormat=P","Fill=—","Direction=H","UseDPDF=Y")</f>
        <v>#NAME?</v>
      </c>
      <c r="CK301" s="2" t="e">
        <f ca="1">_xll.BDH($C$278,"TOT_DEBT_TO_TOT_EQY","FQ3 2018","FQ3 2018","Currency=INR","Period=FQ","BEST_FPERIOD_OVERRIDE=FQ","FILING_STATUS=OR","EQY_CONSOLIDATED=Y","Sort=A","Dates=H","DateFormat=P","Fill=—","Direction=H","UseDPDF=Y")</f>
        <v>#NAME?</v>
      </c>
      <c r="CL301" s="2" t="e">
        <f ca="1">_xll.BDH($C$278,"TOT_DEBT_TO_TOT_CAP","FQ3 2018","FQ3 2018","Currency=INR","Period=FQ","BEST_FPERIOD_OVERRIDE=FQ","FILING_STATUS=OR","EQY_CONSOLIDATED=Y","Sort=A","Dates=H","DateFormat=P","Fill=—","Direction=H","UseDPDF=Y")</f>
        <v>#NAME?</v>
      </c>
      <c r="CM301" s="2" t="e">
        <f ca="1">_xll.BDH($C$278,"TOT_DEBT_TO_TOT_ASSET","FQ3 2018","FQ3 2018","Currency=INR","Period=FQ","BEST_FPERIOD_OVERRIDE=FQ","FILING_STATUS=OR","EQY_CONSOLIDATED=Y","Sort=A","Dates=H","DateFormat=P","Fill=—","Direction=H","UseDPDF=Y")</f>
        <v>#NAME?</v>
      </c>
      <c r="CN301" s="2" t="e">
        <f ca="1">_xll.BDH($C$278,"NET_DEBT_TO_SHRHLDR_EQTY","FQ3 2018","FQ3 2018","Currency=INR","Period=FQ","BEST_FPERIOD_OVERRIDE=FQ","FILING_STATUS=OR","EQY_CONSOLIDATED=Y","Sort=A","Dates=H","DateFormat=P","Fill=—","Direction=H","UseDPDF=Y")</f>
        <v>#NAME?</v>
      </c>
      <c r="CO301" s="2" t="e">
        <f ca="1">_xll.BDH($C$278,"NET_DEBT_%_CAPITAL","FQ3 2018","FQ3 2018","Currency=INR","Period=FQ","BEST_FPERIOD_OVERRIDE=FQ","FILING_STATUS=OR","EQY_CONSOLIDATED=Y","Sort=A","Dates=H","DateFormat=P","Fill=—","Direction=H","UseDPDF=Y")</f>
        <v>#NAME?</v>
      </c>
      <c r="CP301" s="3" t="e">
        <f ca="1">_xll.BDH($C$278,"EBITDA","FQ3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301" s="3" t="e">
        <f ca="1">_xll.BDH($C$278,"EBITDA_AFTER_CAPEX","FQ3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301" s="3" t="e">
        <f ca="1">_xll.BDH($C$278,"IS_OPER_INC","FQ3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301" s="2" t="e">
        <f ca="1">_xll.BDH($C$278,"CASH_RATIO","FQ3 2018","FQ3 2018","Currency=INR","Period=FQ","BEST_FPERIOD_OVERRIDE=FQ","FILING_STATUS=OR","EQY_CONSOLIDATED=Y","Sort=A","Dates=H","DateFormat=P","Fill=—","Direction=H","UseDPDF=Y")</f>
        <v>#NAME?</v>
      </c>
      <c r="CT301" s="2" t="e">
        <f ca="1">_xll.BDH($C$278,"CUR_RATIO","FQ3 2018","FQ3 2018","Currency=INR","Period=FQ","BEST_FPERIOD_OVERRIDE=FQ","FILING_STATUS=OR","EQY_CONSOLIDATED=Y","Sort=A","Dates=H","DateFormat=P","Fill=—","Direction=H","UseDPDF=Y")</f>
        <v>#NAME?</v>
      </c>
      <c r="CU301" s="2" t="e">
        <f ca="1">_xll.BDH($C$278,"QUICK_RATIO","FQ3 2018","FQ3 2018","Currency=INR","Period=FQ","BEST_FPERIOD_OVERRIDE=FQ","FILING_STATUS=OR","EQY_CONSOLIDATED=Y","Sort=A","Dates=H","DateFormat=P","Fill=—","Direction=H","UseDPDF=Y")</f>
        <v>#NAME?</v>
      </c>
      <c r="CV301" s="2" t="e">
        <f ca="1">_xll.BDH($C$278,"ALTMAN_Z_SCORE","FQ3 2018","FQ3 2018","Currency=INR","Period=FQ","BEST_FPERIOD_OVERRIDE=FQ","FILING_STATUS=OR","EQY_CONSOLIDATED=Y","Sort=A","Dates=H","DateFormat=P","Fill=—","Direction=H","UseDPDF=Y")</f>
        <v>#NAME?</v>
      </c>
      <c r="CW301" s="4" t="e">
        <f ca="1">_xll.BDH($C$278,"ACCT_RCV_TURN","FQ3 2018","FQ3 2018","Currency=INR","Period=FQ","BEST_FPERIOD_OVERRIDE=FQ","FILING_STATUS=OR","EQY_CONSOLIDATED=Y","FA_ADJUSTED=GAAP","Sort=A","Dates=H","DateFormat=P","Fill=—","Direction=H","UseDPDF=Y")</f>
        <v>#NAME?</v>
      </c>
      <c r="CX301" s="2" t="e">
        <f ca="1">_xll.BDH($C$278,"ACCT_RCV_DAYS","FQ3 2018","FQ3 2018","Currency=INR","Period=FQ","BEST_FPERIOD_OVERRIDE=FQ","FILING_STATUS=OR","EQY_CONSOLIDATED=Y","FA_ADJUSTED=GAAP","Sort=A","Dates=H","DateFormat=P","Fill=—","Direction=H","UseDPDF=Y")</f>
        <v>#NAME?</v>
      </c>
      <c r="CY301" s="4" t="e">
        <f ca="1">_xll.BDH($C$278,"INVENT_TURN","FQ3 2018","FQ3 2018","Currency=INR","Period=FQ","BEST_FPERIOD_OVERRIDE=FQ","FILING_STATUS=OR","EQY_CONSOLIDATED=Y","FA_ADJUSTED=GAAP","Sort=A","Dates=H","DateFormat=P","Fill=—","Direction=H","UseDPDF=Y")</f>
        <v>#NAME?</v>
      </c>
      <c r="CZ301" s="2" t="e">
        <f ca="1">_xll.BDH($C$278,"INVENT_DAYS","FQ3 2018","FQ3 2018","Currency=INR","Period=FQ","BEST_FPERIOD_OVERRIDE=FQ","FILING_STATUS=OR","EQY_CONSOLIDATED=Y","FA_ADJUSTED=GAAP","Sort=A","Dates=H","DateFormat=P","Fill=—","Direction=H","UseDPDF=Y")</f>
        <v>#NAME?</v>
      </c>
      <c r="DA301" s="4" t="e">
        <f ca="1">_xll.BDH($C$278,"ACCOUNTS_PAYABLE_TURNOVER","FQ3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301" s="2" t="e">
        <f ca="1">_xll.BDH($C$278,"ACCOUNTS_PAYABLE_TURNOVER_DAYS","FQ3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301" s="4" t="e">
        <f ca="1">_xll.BDH($C$278,"CASH_CONVERSION_CYCLE","FQ3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301" s="4" t="e">
        <f ca="1">_xll.BDH($C$278,"INV_TO_CASH_DAYS","FQ3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301" s="5" t="e">
        <f ca="1">_xll.BDH($C$278,"BS_INVENTORIES","FQ3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301" s="3" t="e">
        <f ca="1">_xll.BDH($C$278,"INVTRY_RAW_MATERIALS","FQ3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301" s="3" t="e">
        <f ca="1">_xll.BDH($C$278,"INVTRY_IN_PROGRESS","FQ3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301" s="3" t="e">
        <f ca="1">_xll.BDH($C$278,"INVTRY_FINISHED_GOODS","FQ3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301" s="3" t="e">
        <f ca="1">_xll.BDH($C$278,"BS_OTHER_INV","FQ3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302" spans="1:113" x14ac:dyDescent="0.3">
      <c r="A302" s="6"/>
      <c r="B302" s="6"/>
      <c r="C302" s="6"/>
      <c r="D302" s="6"/>
      <c r="E302" t="s">
        <v>81</v>
      </c>
      <c r="F302" t="e">
        <f ca="1">_xll.BDH($C$278,"RETURN_COM_EQY","FQ4 2018","FQ4 2018","Currency=INR","Period=FQ","BEST_FPERIOD_OVERRIDE=FQ","FILING_STATUS=OR","EQY_CONSOLIDATED=Y","FA_ADJUSTED=GAAP","Sort=A","Dates=H","DateFormat=P","Fill=—","Direction=H","UseDPDF=Y")</f>
        <v>#NAME?</v>
      </c>
      <c r="G302" t="e">
        <f ca="1">_xll.BDH($C$278,"RETURN_ON_ASSET","FQ4 2018","FQ4 2018","Currency=INR","Period=FQ","BEST_FPERIOD_OVERRIDE=FQ","FILING_STATUS=OR","EQY_CONSOLIDATED=Y","FA_ADJUSTED=GAAP","Sort=A","Dates=H","DateFormat=P","Fill=—","Direction=H","UseDPDF=Y")</f>
        <v>#NAME?</v>
      </c>
      <c r="H302" t="e">
        <f ca="1">_xll.BDH($C$278,"RETURN_ON_CAP","FQ4 2018","FQ4 2018","Currency=INR","Period=FQ","BEST_FPERIOD_OVERRIDE=FQ","FILING_STATUS=OR","EQY_CONSOLIDATED=Y","FA_ADJUSTED=GAAP","Sort=A","Dates=H","DateFormat=P","Fill=—","Direction=H","UseDPDF=Y")</f>
        <v>#NAME?</v>
      </c>
      <c r="I302" t="e">
        <f ca="1">_xll.BDH($C$278,"RETURN_ON_INV_CAPITAL","FQ4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302" t="e">
        <f ca="1">_xll.BDH($C$278,"EBITDA_TO_REVENUE","FQ4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302" t="e">
        <f ca="1">_xll.BDH($C$278,"OPER_MARGIN","FQ4 2018","FQ4 2018","Currency=INR","Period=FQ","BEST_FPERIOD_OVERRIDE=FQ","FILING_STATUS=OR","EQY_CONSOLIDATED=Y","FA_ADJUSTED=GAAP","Sort=A","Dates=H","DateFormat=P","Fill=—","Direction=H","UseDPDF=Y")</f>
        <v>#NAME?</v>
      </c>
      <c r="L302" t="e">
        <f ca="1">_xll.BDH($C$278,"INCREMENTAL_OPERATING_MARGIN","FQ4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302" t="e">
        <f ca="1">_xll.BDH($C$278,"PRETAX_INC_TO_NET_SALES","FQ4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302" t="e">
        <f ca="1">_xll.BDH($C$278,"INC_BEF_XO_ITEMS_TO_NET_SALES","FQ4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302" t="e">
        <f ca="1">_xll.BDH($C$278,"PROF_MARGIN","FQ4 2018","FQ4 2018","Currency=INR","Period=FQ","BEST_FPERIOD_OVERRIDE=FQ","FILING_STATUS=OR","EQY_CONSOLIDATED=Y","FA_ADJUSTED=GAAP","Sort=A","Dates=H","DateFormat=P","Fill=—","Direction=H","UseDPDF=Y")</f>
        <v>#NAME?</v>
      </c>
      <c r="P302" t="e">
        <f ca="1">_xll.BDH($C$278,"NET_INCOME_TO_COMMON_MARGIN","FQ4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302" t="e">
        <f ca="1">_xll.BDH($C$278,"EFF_TAX_RATE","FQ4 2018","FQ4 2018","Currency=INR","Period=FQ","BEST_FPERIOD_OVERRIDE=FQ","FILING_STATUS=OR","EQY_CONSOLIDATED=Y","FA_ADJUSTED=GAAP","Sort=A","Dates=H","DateFormat=P","Fill=—","Direction=H","UseDPDF=Y")</f>
        <v>#NAME?</v>
      </c>
      <c r="R302" t="e">
        <f ca="1">_xll.BDH($C$278,"DVD_PAYOUT_RATIO","FQ4 2018","FQ4 2018","Currency=INR","Period=FQ","BEST_FPERIOD_OVERRIDE=FQ","FILING_STATUS=OR","EQY_CONSOLIDATED=Y","FA_ADJUSTED=GAAP","Sort=A","Dates=H","DateFormat=P","Fill=—","Direction=H","UseDPDF=Y")</f>
        <v>#NAME?</v>
      </c>
      <c r="S302" t="e">
        <f ca="1">_xll.BDH($C$278,"SUSTAIN_GROWTH_RT","FQ4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302" s="2" t="e">
        <f ca="1">_xll.BDH($C$278,"SALES_GROWTH","FQ4 2018","FQ4 2018","Currency=INR","Period=FQ","BEST_FPERIOD_OVERRIDE=FQ","FILING_STATUS=OR","EQY_CONSOLIDATED=Y","FA_ADJUSTED=GAAP","Sort=A","Dates=H","DateFormat=P","Fill=—","Direction=H","UseDPDF=Y")</f>
        <v>#NAME?</v>
      </c>
      <c r="U302" s="2" t="e">
        <f ca="1">_xll.BDH($C$278,"EBITDA_GROWTH","FQ4 2018","FQ4 2018","Currency=INR","Period=FQ","BEST_FPERIOD_OVERRIDE=FQ","FILING_STATUS=OR","EQY_CONSOLIDATED=Y","FA_ADJUSTED=GAAP","Sort=A","Dates=H","DateFormat=P","Fill=—","Direction=H","UseDPDF=Y")</f>
        <v>#NAME?</v>
      </c>
      <c r="V302" s="2" t="e">
        <f ca="1">_xll.BDH($C$278,"OPER_INC_GROWTH","FQ4 2018","FQ4 2018","Currency=INR","Period=FQ","BEST_FPERIOD_OVERRIDE=FQ","FILING_STATUS=OR","EQY_CONSOLIDATED=Y","FA_ADJUSTED=GAAP","Sort=A","Dates=H","DateFormat=P","Fill=—","Direction=H","UseDPDF=Y")</f>
        <v>#NAME?</v>
      </c>
      <c r="W302" s="2" t="e">
        <f ca="1">_xll.BDH($C$278,"EARN_FOR_COM_GROWTH","FQ4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302" s="2" t="e">
        <f ca="1">_xll.BDH($C$278,"DILUTED_EPS_AFT_XO_ITEMS_GROWTH","FQ4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302" s="2" t="e">
        <f ca="1">_xll.BDH($C$278,"DIVIDEND_PER_SHARE_1_YEAR_GROWTH","FQ4 2018","FQ4 2018","Currency=INR","Period=FQ","BEST_FPERIOD_OVERRIDE=FQ","FILING_STATUS=OR","EQY_CONSOLIDATED=Y","Sort=A","Dates=H","DateFormat=P","Fill=—","Direction=H","UseDPDF=Y")</f>
        <v>#NAME?</v>
      </c>
      <c r="Z302" s="2" t="e">
        <f ca="1">_xll.BDH($C$278,"ACCOUNTS_RECEIVABLE_GROWTH","FQ4 2018","FQ4 2018","Currency=INR","Period=FQ","BEST_FPERIOD_OVERRIDE=FQ","FILING_STATUS=OR","EQY_CONSOLIDATED=Y","Sort=A","Dates=H","DateFormat=P","Fill=—","Direction=H","UseDPDF=Y")</f>
        <v>#NAME?</v>
      </c>
      <c r="AA302" s="2" t="e">
        <f ca="1">_xll.BDH($C$278,"INVENTORY_GROWTH","FQ4 2018","FQ4 2018","Currency=INR","Period=FQ","BEST_FPERIOD_OVERRIDE=FQ","FILING_STATUS=OR","EQY_CONSOLIDATED=Y","Sort=A","Dates=H","DateFormat=P","Fill=—","Direction=H","UseDPDF=Y")</f>
        <v>#NAME?</v>
      </c>
      <c r="AB302" s="2" t="e">
        <f ca="1">_xll.BDH($C$278,"NET_FIXED_ASSETS_1_YEAR_GROWTH","FQ4 2018","FQ4 2018","Currency=INR","Period=FQ","BEST_FPERIOD_OVERRIDE=FQ","FILING_STATUS=OR","EQY_CONSOLIDATED=Y","Sort=A","Dates=H","DateFormat=P","Fill=—","Direction=H","UseDPDF=Y")</f>
        <v>#NAME?</v>
      </c>
      <c r="AC302" s="2" t="e">
        <f ca="1">_xll.BDH($C$278,"ASSET_GROWTH","FQ4 2018","FQ4 2018","Currency=INR","Period=FQ","BEST_FPERIOD_OVERRIDE=FQ","FILING_STATUS=OR","EQY_CONSOLIDATED=Y","Sort=A","Dates=H","DateFormat=P","Fill=—","Direction=H","UseDPDF=Y")</f>
        <v>#NAME?</v>
      </c>
      <c r="AD302" s="2" t="e">
        <f ca="1">_xll.BDH($C$278,"MODIFIED_WORK_CAP_GROWTH","FQ4 2018","FQ4 2018","Currency=INR","Period=FQ","BEST_FPERIOD_OVERRIDE=FQ","FILING_STATUS=OR","EQY_CONSOLIDATED=Y","Sort=A","Dates=H","DateFormat=P","Fill=—","Direction=H","UseDPDF=Y")</f>
        <v>#NAME?</v>
      </c>
      <c r="AE302" s="2" t="e">
        <f ca="1">_xll.BDH($C$278,"WORK_CAP_GROWTH","FQ4 2018","FQ4 2018","Currency=INR","Period=FQ","BEST_FPERIOD_OVERRIDE=FQ","FILING_STATUS=OR","EQY_CONSOLIDATED=Y","Sort=A","Dates=H","DateFormat=P","Fill=—","Direction=H","UseDPDF=Y")</f>
        <v>#NAME?</v>
      </c>
      <c r="AF302" s="2" t="e">
        <f ca="1">_xll.BDH($C$278,"ACCOUNTS_PAYABLE_GROWTH_1YR","FQ4 2018","FQ4 2018","Currency=INR","Period=FQ","BEST_FPERIOD_OVERRIDE=FQ","FILING_STATUS=OR","EQY_CONSOLIDATED=Y","Sort=A","Dates=H","DateFormat=P","Fill=—","Direction=H","UseDPDF=Y")</f>
        <v>#NAME?</v>
      </c>
      <c r="AG302" s="2" t="e">
        <f ca="1">_xll.BDH($C$278,"SHORT_TERM_DEBT_1_YEAR_GROWTH","FQ4 2018","FQ4 2018","Currency=INR","Period=FQ","BEST_FPERIOD_OVERRIDE=FQ","FILING_STATUS=OR","EQY_CONSOLIDATED=Y","Sort=A","Dates=H","DateFormat=P","Fill=—","Direction=H","UseDPDF=Y")</f>
        <v>#NAME?</v>
      </c>
      <c r="AH302" s="2" t="e">
        <f ca="1">_xll.BDH($C$278,"TOTAL_DEBT_1_YEAR_GROWTH","FQ4 2018","FQ4 2018","Currency=INR","Period=FQ","BEST_FPERIOD_OVERRIDE=FQ","FILING_STATUS=OR","EQY_CONSOLIDATED=Y","Sort=A","Dates=H","DateFormat=P","Fill=—","Direction=H","UseDPDF=Y")</f>
        <v>#NAME?</v>
      </c>
      <c r="AI302" s="2" t="e">
        <f ca="1">_xll.BDH($C$278,"TOTAL_EQUITY_1_YEAR_GROWTH","FQ4 2018","FQ4 2018","Currency=INR","Period=FQ","BEST_FPERIOD_OVERRIDE=FQ","FILING_STATUS=OR","EQY_CONSOLIDATED=Y","Sort=A","Dates=H","DateFormat=P","Fill=—","Direction=H","UseDPDF=Y")</f>
        <v>#NAME?</v>
      </c>
      <c r="AJ302" s="2" t="e">
        <f ca="1">_xll.BDH($C$278,"GROWTH_IN_CAP","FQ4 2018","FQ4 2018","Currency=INR","Period=FQ","BEST_FPERIOD_OVERRIDE=FQ","FILING_STATUS=OR","EQY_CONSOLIDATED=Y","Sort=A","Dates=H","DateFormat=P","Fill=—","Direction=H","UseDPDF=Y")</f>
        <v>#NAME?</v>
      </c>
      <c r="AK302" s="2" t="e">
        <f ca="1">_xll.BDH($C$278,"BVPS_GROWTH","FQ4 2018","FQ4 2018","Currency=INR","Period=FQ","BEST_FPERIOD_OVERRIDE=FQ","FILING_STATUS=OR","EQY_CONSOLIDATED=Y","Sort=A","Dates=H","DateFormat=P","Fill=—","Direction=H","UseDPDF=Y")</f>
        <v>#NAME?</v>
      </c>
      <c r="AL302" s="2" t="e">
        <f ca="1">_xll.BDH($C$278,"CASH_FLOW_GROWTH","FQ4 2018","FQ4 2018","Currency=INR","Period=FQ","BEST_FPERIOD_OVERRIDE=FQ","FILING_STATUS=OR","EQY_CONSOLIDATED=Y","Sort=A","Dates=H","DateFormat=P","Fill=—","Direction=H","UseDPDF=Y")</f>
        <v>#NAME?</v>
      </c>
      <c r="AM302" s="2" t="e">
        <f ca="1">_xll.BDH($C$278,"GEO_GROW_NET_SALES","FQ4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302" s="2" t="e">
        <f ca="1">_xll.BDH($C$278,"GEO_GROW_EBITDA","FQ4 2018","FQ4 2018","Currency=INR","Period=FQ","BEST_FPERIOD_OVERRIDE=FQ","FILING_STATUS=OR","EQY_CONSOLIDATED=Y","FA_ADJUSTED=GAAP","Sort=A","Dates=H","DateFormat=P","Fill=—","Direction=H","UseDPDF=Y")</f>
        <v>#NAME?</v>
      </c>
      <c r="AO302" s="2" t="e">
        <f ca="1">_xll.BDH($C$278,"GEO_GROW_OPER_INC","FQ4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302" s="2" t="e">
        <f ca="1">_xll.BDH($C$278,"NET_INCOME_TO_COMMON_5_YR_GROWTH","FQ4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302" s="2" t="e">
        <f ca="1">_xll.BDH($C$278,"5Y_GEO_GROWTH_DILUTED_EPS","FQ4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302" s="2" t="e">
        <f ca="1">_xll.BDH($C$278,"GEO_GROW_DVD_PER_SH","FQ4 2018","FQ4 2018","Currency=INR","Period=FQ","BEST_FPERIOD_OVERRIDE=FQ","FILING_STATUS=OR","EQY_CONSOLIDATED=Y","Sort=A","Dates=H","DateFormat=P","Fill=—","Direction=H","UseDPDF=Y")</f>
        <v>#NAME?</v>
      </c>
      <c r="AS302" s="2" t="e">
        <f ca="1">_xll.BDH($C$278,"ACCOUNTS_RECEIVABLE_5_YR_GROWTH","FQ4 2018","FQ4 2018","Currency=INR","Period=FQ","BEST_FPERIOD_OVERRIDE=FQ","FILING_STATUS=OR","EQY_CONSOLIDATED=Y","Sort=A","Dates=H","DateFormat=P","Fill=—","Direction=H","UseDPDF=Y")</f>
        <v>#NAME?</v>
      </c>
      <c r="AT302" s="2" t="e">
        <f ca="1">_xll.BDH($C$278,"INVENTORY_5_YEAR_GROWTH","FQ4 2018","FQ4 2018","Currency=INR","Period=FQ","BEST_FPERIOD_OVERRIDE=FQ","FILING_STATUS=OR","EQY_CONSOLIDATED=Y","Sort=A","Dates=H","DateFormat=P","Fill=—","Direction=H","UseDPDF=Y")</f>
        <v>#NAME?</v>
      </c>
      <c r="AU302" s="2" t="e">
        <f ca="1">_xll.BDH($C$278,"NET_FIXED_ASSETS_5_YEAR_GROWTH","FQ4 2018","FQ4 2018","Currency=INR","Period=FQ","BEST_FPERIOD_OVERRIDE=FQ","FILING_STATUS=OR","EQY_CONSOLIDATED=Y","Sort=A","Dates=H","DateFormat=P","Fill=—","Direction=H","UseDPDF=Y")</f>
        <v>#NAME?</v>
      </c>
      <c r="AV302" s="2" t="e">
        <f ca="1">_xll.BDH($C$278,"GEO_GROW_TOT_ASSET","FQ4 2018","FQ4 2018","Currency=INR","Period=FQ","BEST_FPERIOD_OVERRIDE=FQ","FILING_STATUS=OR","EQY_CONSOLIDATED=Y","Sort=A","Dates=H","DateFormat=P","Fill=—","Direction=H","UseDPDF=Y")</f>
        <v>#NAME?</v>
      </c>
      <c r="AW302" s="2" t="e">
        <f ca="1">_xll.BDH($C$278,"MODIFIED_WORKING_CPTL_5YR_GRWTH","FQ4 2018","FQ4 2018","Currency=INR","Period=FQ","BEST_FPERIOD_OVERRIDE=FQ","FILING_STATUS=OR","EQY_CONSOLIDATED=Y","Sort=A","Dates=H","DateFormat=P","Fill=—","Direction=H","UseDPDF=Y")</f>
        <v>#NAME?</v>
      </c>
      <c r="AX302" s="2" t="e">
        <f ca="1">_xll.BDH($C$278,"WORKING_CAPITAL_5_YEAR_GROWTH","FQ4 2018","FQ4 2018","Currency=INR","Period=FQ","BEST_FPERIOD_OVERRIDE=FQ","FILING_STATUS=OR","EQY_CONSOLIDATED=Y","Sort=A","Dates=H","DateFormat=P","Fill=—","Direction=H","UseDPDF=Y")</f>
        <v>#NAME?</v>
      </c>
      <c r="AY302" s="2" t="e">
        <f ca="1">_xll.BDH($C$278,"ACCOUNTS_PAYABLE_5_YEAR_GROWTH","FQ4 2018","FQ4 2018","Currency=INR","Period=FQ","BEST_FPERIOD_OVERRIDE=FQ","FILING_STATUS=OR","EQY_CONSOLIDATED=Y","Sort=A","Dates=H","DateFormat=P","Fill=—","Direction=H","UseDPDF=Y")</f>
        <v>#NAME?</v>
      </c>
      <c r="AZ302" s="2" t="e">
        <f ca="1">_xll.BDH($C$278,"SHORT_TERM_DEBT_5_YEAR_GROWTH","FQ4 2018","FQ4 2018","Currency=INR","Period=FQ","BEST_FPERIOD_OVERRIDE=FQ","FILING_STATUS=OR","EQY_CONSOLIDATED=Y","Sort=A","Dates=H","DateFormat=P","Fill=—","Direction=H","UseDPDF=Y")</f>
        <v>#NAME?</v>
      </c>
      <c r="BA302" s="2" t="e">
        <f ca="1">_xll.BDH($C$278,"TOTAL_DEBT_5_YEAR_GROWTH","FQ4 2018","FQ4 2018","Currency=INR","Period=FQ","BEST_FPERIOD_OVERRIDE=FQ","FILING_STATUS=OR","EQY_CONSOLIDATED=Y","Sort=A","Dates=H","DateFormat=P","Fill=—","Direction=H","UseDPDF=Y")</f>
        <v>#NAME?</v>
      </c>
      <c r="BB302" s="2" t="e">
        <f ca="1">_xll.BDH($C$278,"GEO_GROW_TOT_SHRHLDR_EQY","FQ4 2018","FQ4 2018","Currency=INR","Period=FQ","BEST_FPERIOD_OVERRIDE=FQ","FILING_STATUS=OR","EQY_CONSOLIDATED=Y","Sort=A","Dates=H","DateFormat=P","Fill=—","Direction=H","UseDPDF=Y")</f>
        <v>#NAME?</v>
      </c>
      <c r="BC302" s="2" t="e">
        <f ca="1">_xll.BDH($C$278,"TOTAL_CAPITAL_5_YEAR_GROWTH","FQ4 2018","FQ4 2018","Currency=INR","Period=FQ","BEST_FPERIOD_OVERRIDE=FQ","FILING_STATUS=OR","EQY_CONSOLIDATED=Y","Sort=A","Dates=H","DateFormat=P","Fill=—","Direction=H","UseDPDF=Y")</f>
        <v>#NAME?</v>
      </c>
      <c r="BD302" s="2" t="e">
        <f ca="1">_xll.BDH($C$278,"GEO_GROW_BOOK_VAL","FQ4 2018","FQ4 2018","Currency=INR","Period=FQ","BEST_FPERIOD_OVERRIDE=FQ","FILING_STATUS=OR","EQY_CONSOLIDATED=Y","Sort=A","Dates=H","DateFormat=P","Fill=—","Direction=H","UseDPDF=Y")</f>
        <v>#NAME?</v>
      </c>
      <c r="BE302" s="2" t="e">
        <f ca="1">_xll.BDH($C$278,"GEO_GROW_CASH_OPER_ACT","FQ4 2018","FQ4 2018","Currency=INR","Period=FQ","BEST_FPERIOD_OVERRIDE=FQ","FILING_STATUS=OR","EQY_CONSOLIDATED=Y","Sort=A","Dates=H","DateFormat=P","Fill=—","Direction=H","UseDPDF=Y")</f>
        <v>#NAME?</v>
      </c>
      <c r="BF302" s="2" t="e">
        <f ca="1">_xll.BDH($C$278,"REVENUE_SEQUENTIAL_GROWTH","FQ4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302" s="2" t="e">
        <f ca="1">_xll.BDH($C$278,"EBITDA_SEQUENTIAL_GROWTH","FQ4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302" s="2" t="e">
        <f ca="1">_xll.BDH($C$278,"OPERATING_INCOME_SEQ_GROWTH","FQ4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302" s="2" t="e">
        <f ca="1">_xll.BDH($C$278,"NET_INCOME_TO_COMMON_SEQ_GROWTH","FQ4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302" s="2" t="e">
        <f ca="1">_xll.BDH($C$278,"EPS_DILUTED_SEQUENTIAL_GROWTH","FQ4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302" s="2" t="e">
        <f ca="1">_xll.BDH($C$278,"DPS_SEQUENTIAL_GROWTH","FQ4 2018","FQ4 2018","Currency=INR","Period=FQ","BEST_FPERIOD_OVERRIDE=FQ","FILING_STATUS=OR","EQY_CONSOLIDATED=Y","Sort=A","Dates=H","DateFormat=P","Fill=—","Direction=H","UseDPDF=Y")</f>
        <v>#NAME?</v>
      </c>
      <c r="BL302" s="2" t="e">
        <f ca="1">_xll.BDH($C$278,"ACCOUNTS_RECEIVABLE_SEQ_GROWTH","FQ4 2018","FQ4 2018","Currency=INR","Period=FQ","BEST_FPERIOD_OVERRIDE=FQ","FILING_STATUS=OR","EQY_CONSOLIDATED=Y","Sort=A","Dates=H","DateFormat=P","Fill=—","Direction=H","UseDPDF=Y")</f>
        <v>#NAME?</v>
      </c>
      <c r="BM302" s="2" t="e">
        <f ca="1">_xll.BDH($C$278,"INVENTORY_SEQUENTIAL_GROWTH","FQ4 2018","FQ4 2018","Currency=INR","Period=FQ","BEST_FPERIOD_OVERRIDE=FQ","FILING_STATUS=OR","EQY_CONSOLIDATED=Y","Sort=A","Dates=H","DateFormat=P","Fill=—","Direction=H","UseDPDF=Y")</f>
        <v>#NAME?</v>
      </c>
      <c r="BN302" s="2" t="e">
        <f ca="1">_xll.BDH($C$278,"FIXED_ASSETS_SEQUENTIAL_GROWTH","FQ4 2018","FQ4 2018","Currency=INR","Period=FQ","BEST_FPERIOD_OVERRIDE=FQ","FILING_STATUS=OR","EQY_CONSOLIDATED=Y","Sort=A","Dates=H","DateFormat=P","Fill=—","Direction=H","UseDPDF=Y")</f>
        <v>#NAME?</v>
      </c>
      <c r="BO302" s="2" t="e">
        <f ca="1">_xll.BDH($C$278,"TOTAL_ASSETS_SEQUENTIAL_GROWTH","FQ4 2018","FQ4 2018","Currency=INR","Period=FQ","BEST_FPERIOD_OVERRIDE=FQ","FILING_STATUS=OR","EQY_CONSOLIDATED=Y","Sort=A","Dates=H","DateFormat=P","Fill=—","Direction=H","UseDPDF=Y")</f>
        <v>#NAME?</v>
      </c>
      <c r="BP302" s="2" t="e">
        <f ca="1">_xll.BDH($C$278,"MODIFIED_WORKING_CPTL_SEQ_GRWTH","FQ4 2018","FQ4 2018","Currency=INR","Period=FQ","BEST_FPERIOD_OVERRIDE=FQ","FILING_STATUS=OR","EQY_CONSOLIDATED=Y","Sort=A","Dates=H","DateFormat=P","Fill=—","Direction=H","UseDPDF=Y")</f>
        <v>#NAME?</v>
      </c>
      <c r="BQ302" s="2" t="e">
        <f ca="1">_xll.BDH($C$278,"WORKING_CAPITAL_SEQ_GROWTH","FQ4 2018","FQ4 2018","Currency=INR","Period=FQ","BEST_FPERIOD_OVERRIDE=FQ","FILING_STATUS=OR","EQY_CONSOLIDATED=Y","Sort=A","Dates=H","DateFormat=P","Fill=—","Direction=H","UseDPDF=Y")</f>
        <v>#NAME?</v>
      </c>
      <c r="BR302" s="2" t="e">
        <f ca="1">_xll.BDH($C$278,"ACCOUNTS_PAYABLE_SEQ_GROWTH","FQ4 2018","FQ4 2018","Currency=INR","Period=FQ","BEST_FPERIOD_OVERRIDE=FQ","FILING_STATUS=OR","EQY_CONSOLIDATED=Y","Sort=A","Dates=H","DateFormat=P","Fill=—","Direction=H","UseDPDF=Y")</f>
        <v>#NAME?</v>
      </c>
      <c r="BS302" s="2" t="e">
        <f ca="1">_xll.BDH($C$278,"ST_DEBT_SEQUENTIAL_GROWTH","FQ4 2018","FQ4 2018","Currency=INR","Period=FQ","BEST_FPERIOD_OVERRIDE=FQ","FILING_STATUS=OR","EQY_CONSOLIDATED=Y","Sort=A","Dates=H","DateFormat=P","Fill=—","Direction=H","UseDPDF=Y")</f>
        <v>#NAME?</v>
      </c>
      <c r="BT302" s="2" t="e">
        <f ca="1">_xll.BDH($C$278,"TOTAL_DEBT_SEQUENTIAL_GROWTH","FQ4 2018","FQ4 2018","Currency=INR","Period=FQ","BEST_FPERIOD_OVERRIDE=FQ","FILING_STATUS=OR","EQY_CONSOLIDATED=Y","Sort=A","Dates=H","DateFormat=P","Fill=—","Direction=H","UseDPDF=Y")</f>
        <v>#NAME?</v>
      </c>
      <c r="BU302" s="2" t="e">
        <f ca="1">_xll.BDH($C$278,"TOTAL_EQUITY_SEQUENTIAL_GROWTH","FQ4 2018","FQ4 2018","Currency=INR","Period=FQ","BEST_FPERIOD_OVERRIDE=FQ","FILING_STATUS=OR","EQY_CONSOLIDATED=Y","Sort=A","Dates=H","DateFormat=P","Fill=—","Direction=H","UseDPDF=Y")</f>
        <v>#NAME?</v>
      </c>
      <c r="BV302" s="2" t="e">
        <f ca="1">_xll.BDH($C$278,"TOTAL_CAPITAL_SEQUENTIAL_GROWTH","FQ4 2018","FQ4 2018","Currency=INR","Period=FQ","BEST_FPERIOD_OVERRIDE=FQ","FILING_STATUS=OR","EQY_CONSOLIDATED=Y","Sort=A","Dates=H","DateFormat=P","Fill=—","Direction=H","UseDPDF=Y")</f>
        <v>#NAME?</v>
      </c>
      <c r="BW302" s="2" t="e">
        <f ca="1">_xll.BDH($C$278,"BPS_SEQUENTIAL_GROWTH","FQ4 2018","FQ4 2018","Currency=INR","Period=FQ","BEST_FPERIOD_OVERRIDE=FQ","FILING_STATUS=OR","EQY_CONSOLIDATED=Y","Sort=A","Dates=H","DateFormat=P","Fill=—","Direction=H","UseDPDF=Y")</f>
        <v>#NAME?</v>
      </c>
      <c r="BX302" s="2" t="e">
        <f ca="1">_xll.BDH($C$278,"CFO_SEQUENTIAL_GROWTH","FQ4 2018","FQ4 2018","Currency=INR","Period=FQ","BEST_FPERIOD_OVERRIDE=FQ","FILING_STATUS=OR","EQY_CONSOLIDATED=Y","Sort=A","Dates=H","DateFormat=P","Fill=—","Direction=H","UseDPDF=Y")</f>
        <v>#NAME?</v>
      </c>
      <c r="BY302" s="3" t="e">
        <f ca="1">_xll.BDH($C$278,"SHORT_AND_LONG_TERM_DEBT","FQ4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302" s="3" t="e">
        <f ca="1">_xll.BDH($C$278,"BS_ST_BORROW","FQ4 2018","FQ4 2018","Currency=INR","Period=FQ","BEST_FPERIOD_OVERRIDE=FQ","FILING_STATUS=OR","EQY_CONSOLIDATED=Y","SCALING_FORMAT=MLN","Sort=A","Dates=H","DateFormat=P","Fill=—","Direction=H","UseDPDF=Y")</f>
        <v>#NAME?</v>
      </c>
      <c r="CA302" s="3" t="e">
        <f ca="1">_xll.BDH($C$278,"BS_LT_BORROW","FQ4 2018","FQ4 2018","Currency=INR","Period=FQ","BEST_FPERIOD_OVERRIDE=FQ","FILING_STATUS=OR","EQY_CONSOLIDATED=Y","SCALING_FORMAT=MLN","Sort=A","Dates=H","DateFormat=P","Fill=—","Direction=H","UseDPDF=Y")</f>
        <v>#NAME?</v>
      </c>
      <c r="CB302" s="2" t="e">
        <f ca="1">_xll.BDH($C$278,"TOT_DEBT_TO_EBITDA","FQ4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302" s="2" t="e">
        <f ca="1">_xll.BDH($C$278,"NET_DEBT_TO_EBITDA","FQ4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302" s="2" t="e">
        <f ca="1">_xll.BDH($C$278,"TOTAL_DEBT_TO_EBIT","FQ4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302" s="2" t="e">
        <f ca="1">_xll.BDH($C$278,"NET_DEBT_TO_EBIT","FQ4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302" s="2" t="e">
        <f ca="1">_xll.BDH($C$278,"EBITDA_TO_INTEREST_EXPN","FQ4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302" s="2" t="e">
        <f ca="1">_xll.BDH($C$278,"COM_EQY_TO_TOT_ASSET","FQ4 2018","FQ4 2018","Currency=INR","Period=FQ","BEST_FPERIOD_OVERRIDE=FQ","FILING_STATUS=OR","EQY_CONSOLIDATED=Y","Sort=A","Dates=H","DateFormat=P","Fill=—","Direction=H","UseDPDF=Y")</f>
        <v>#NAME?</v>
      </c>
      <c r="CH302" s="2" t="e">
        <f ca="1">_xll.BDH($C$278,"LT_DEBT_TO_TOT_EQY","FQ4 2018","FQ4 2018","Currency=INR","Period=FQ","BEST_FPERIOD_OVERRIDE=FQ","FILING_STATUS=OR","EQY_CONSOLIDATED=Y","Sort=A","Dates=H","DateFormat=P","Fill=—","Direction=H","UseDPDF=Y")</f>
        <v>#NAME?</v>
      </c>
      <c r="CI302" s="2" t="e">
        <f ca="1">_xll.BDH($C$278,"LT_DEBT_TO_TOT_CAP","FQ4 2018","FQ4 2018","Currency=INR","Period=FQ","BEST_FPERIOD_OVERRIDE=FQ","FILING_STATUS=OR","EQY_CONSOLIDATED=Y","Sort=A","Dates=H","DateFormat=P","Fill=—","Direction=H","UseDPDF=Y")</f>
        <v>#NAME?</v>
      </c>
      <c r="CJ302" s="2" t="e">
        <f ca="1">_xll.BDH($C$278,"LT_DEBT_TO_TOT_ASSET","FQ4 2018","FQ4 2018","Currency=INR","Period=FQ","BEST_FPERIOD_OVERRIDE=FQ","FILING_STATUS=OR","EQY_CONSOLIDATED=Y","Sort=A","Dates=H","DateFormat=P","Fill=—","Direction=H","UseDPDF=Y")</f>
        <v>#NAME?</v>
      </c>
      <c r="CK302" s="2" t="e">
        <f ca="1">_xll.BDH($C$278,"TOT_DEBT_TO_TOT_EQY","FQ4 2018","FQ4 2018","Currency=INR","Period=FQ","BEST_FPERIOD_OVERRIDE=FQ","FILING_STATUS=OR","EQY_CONSOLIDATED=Y","Sort=A","Dates=H","DateFormat=P","Fill=—","Direction=H","UseDPDF=Y")</f>
        <v>#NAME?</v>
      </c>
      <c r="CL302" s="2" t="e">
        <f ca="1">_xll.BDH($C$278,"TOT_DEBT_TO_TOT_CAP","FQ4 2018","FQ4 2018","Currency=INR","Period=FQ","BEST_FPERIOD_OVERRIDE=FQ","FILING_STATUS=OR","EQY_CONSOLIDATED=Y","Sort=A","Dates=H","DateFormat=P","Fill=—","Direction=H","UseDPDF=Y")</f>
        <v>#NAME?</v>
      </c>
      <c r="CM302" s="2" t="e">
        <f ca="1">_xll.BDH($C$278,"TOT_DEBT_TO_TOT_ASSET","FQ4 2018","FQ4 2018","Currency=INR","Period=FQ","BEST_FPERIOD_OVERRIDE=FQ","FILING_STATUS=OR","EQY_CONSOLIDATED=Y","Sort=A","Dates=H","DateFormat=P","Fill=—","Direction=H","UseDPDF=Y")</f>
        <v>#NAME?</v>
      </c>
      <c r="CN302" s="2" t="e">
        <f ca="1">_xll.BDH($C$278,"NET_DEBT_TO_SHRHLDR_EQTY","FQ4 2018","FQ4 2018","Currency=INR","Period=FQ","BEST_FPERIOD_OVERRIDE=FQ","FILING_STATUS=OR","EQY_CONSOLIDATED=Y","Sort=A","Dates=H","DateFormat=P","Fill=—","Direction=H","UseDPDF=Y")</f>
        <v>#NAME?</v>
      </c>
      <c r="CO302" s="2" t="e">
        <f ca="1">_xll.BDH($C$278,"NET_DEBT_%_CAPITAL","FQ4 2018","FQ4 2018","Currency=INR","Period=FQ","BEST_FPERIOD_OVERRIDE=FQ","FILING_STATUS=OR","EQY_CONSOLIDATED=Y","Sort=A","Dates=H","DateFormat=P","Fill=—","Direction=H","UseDPDF=Y")</f>
        <v>#NAME?</v>
      </c>
      <c r="CP302" s="3" t="e">
        <f ca="1">_xll.BDH($C$278,"EBITDA","FQ4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302" s="3" t="e">
        <f ca="1">_xll.BDH($C$278,"EBITDA_AFTER_CAPEX","FQ4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302" s="3" t="e">
        <f ca="1">_xll.BDH($C$278,"IS_OPER_INC","FQ4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302" s="2" t="e">
        <f ca="1">_xll.BDH($C$278,"CASH_RATIO","FQ4 2018","FQ4 2018","Currency=INR","Period=FQ","BEST_FPERIOD_OVERRIDE=FQ","FILING_STATUS=OR","EQY_CONSOLIDATED=Y","Sort=A","Dates=H","DateFormat=P","Fill=—","Direction=H","UseDPDF=Y")</f>
        <v>#NAME?</v>
      </c>
      <c r="CT302" s="2" t="e">
        <f ca="1">_xll.BDH($C$278,"CUR_RATIO","FQ4 2018","FQ4 2018","Currency=INR","Period=FQ","BEST_FPERIOD_OVERRIDE=FQ","FILING_STATUS=OR","EQY_CONSOLIDATED=Y","Sort=A","Dates=H","DateFormat=P","Fill=—","Direction=H","UseDPDF=Y")</f>
        <v>#NAME?</v>
      </c>
      <c r="CU302" s="2" t="e">
        <f ca="1">_xll.BDH($C$278,"QUICK_RATIO","FQ4 2018","FQ4 2018","Currency=INR","Period=FQ","BEST_FPERIOD_OVERRIDE=FQ","FILING_STATUS=OR","EQY_CONSOLIDATED=Y","Sort=A","Dates=H","DateFormat=P","Fill=—","Direction=H","UseDPDF=Y")</f>
        <v>#NAME?</v>
      </c>
      <c r="CV302" s="2" t="e">
        <f ca="1">_xll.BDH($C$278,"ALTMAN_Z_SCORE","FQ4 2018","FQ4 2018","Currency=INR","Period=FQ","BEST_FPERIOD_OVERRIDE=FQ","FILING_STATUS=OR","EQY_CONSOLIDATED=Y","Sort=A","Dates=H","DateFormat=P","Fill=—","Direction=H","UseDPDF=Y")</f>
        <v>#NAME?</v>
      </c>
      <c r="CW302" s="4" t="e">
        <f ca="1">_xll.BDH($C$278,"ACCT_RCV_TURN","FQ4 2018","FQ4 2018","Currency=INR","Period=FQ","BEST_FPERIOD_OVERRIDE=FQ","FILING_STATUS=OR","EQY_CONSOLIDATED=Y","FA_ADJUSTED=GAAP","Sort=A","Dates=H","DateFormat=P","Fill=—","Direction=H","UseDPDF=Y")</f>
        <v>#NAME?</v>
      </c>
      <c r="CX302" s="2" t="e">
        <f ca="1">_xll.BDH($C$278,"ACCT_RCV_DAYS","FQ4 2018","FQ4 2018","Currency=INR","Period=FQ","BEST_FPERIOD_OVERRIDE=FQ","FILING_STATUS=OR","EQY_CONSOLIDATED=Y","FA_ADJUSTED=GAAP","Sort=A","Dates=H","DateFormat=P","Fill=—","Direction=H","UseDPDF=Y")</f>
        <v>#NAME?</v>
      </c>
      <c r="CY302" s="4" t="e">
        <f ca="1">_xll.BDH($C$278,"INVENT_TURN","FQ4 2018","FQ4 2018","Currency=INR","Period=FQ","BEST_FPERIOD_OVERRIDE=FQ","FILING_STATUS=OR","EQY_CONSOLIDATED=Y","FA_ADJUSTED=GAAP","Sort=A","Dates=H","DateFormat=P","Fill=—","Direction=H","UseDPDF=Y")</f>
        <v>#NAME?</v>
      </c>
      <c r="CZ302" s="2" t="e">
        <f ca="1">_xll.BDH($C$278,"INVENT_DAYS","FQ4 2018","FQ4 2018","Currency=INR","Period=FQ","BEST_FPERIOD_OVERRIDE=FQ","FILING_STATUS=OR","EQY_CONSOLIDATED=Y","FA_ADJUSTED=GAAP","Sort=A","Dates=H","DateFormat=P","Fill=—","Direction=H","UseDPDF=Y")</f>
        <v>#NAME?</v>
      </c>
      <c r="DA302" s="4" t="e">
        <f ca="1">_xll.BDH($C$278,"ACCOUNTS_PAYABLE_TURNOVER","FQ4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302" s="2" t="e">
        <f ca="1">_xll.BDH($C$278,"ACCOUNTS_PAYABLE_TURNOVER_DAYS","FQ4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302" s="4" t="e">
        <f ca="1">_xll.BDH($C$278,"CASH_CONVERSION_CYCLE","FQ4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302" s="4" t="e">
        <f ca="1">_xll.BDH($C$278,"INV_TO_CASH_DAYS","FQ4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302" s="5" t="e">
        <f ca="1">_xll.BDH($C$278,"BS_INVENTORIES","FQ4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302" s="3" t="e">
        <f ca="1">_xll.BDH($C$278,"INVTRY_RAW_MATERIALS","FQ4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302" s="3" t="e">
        <f ca="1">_xll.BDH($C$278,"INVTRY_IN_PROGRESS","FQ4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302" s="3" t="e">
        <f ca="1">_xll.BDH($C$278,"INVTRY_FINISHED_GOODS","FQ4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302" s="3" t="e">
        <f ca="1">_xll.BDH($C$278,"BS_OTHER_INV","FQ4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303" spans="1:113" x14ac:dyDescent="0.3">
      <c r="A303" s="6">
        <v>13</v>
      </c>
      <c r="B303" s="6" t="s">
        <v>108</v>
      </c>
      <c r="C303" s="6" t="s">
        <v>109</v>
      </c>
      <c r="D303" s="6" t="s">
        <v>76</v>
      </c>
      <c r="E303" t="s">
        <v>77</v>
      </c>
      <c r="F303" t="e">
        <f ca="1">_xll.BDH($C$303,"RETURN_COM_EQY","FY 2014","FY 2014","Currency=INR","Period=FY","BEST_FPERIOD_OVERRIDE=FY","FILING_STATUS=OR","EQY_CONSOLIDATED=Y","FA_ADJUSTED=GAAP","Sort=A","Dates=H","DateFormat=P","Fill=—","Direction=H","UseDPDF=Y")</f>
        <v>#NAME?</v>
      </c>
      <c r="G303" t="e">
        <f ca="1">_xll.BDH($C$303,"RETURN_ON_ASSET","FY 2014","FY 2014","Currency=INR","Period=FY","BEST_FPERIOD_OVERRIDE=FY","FILING_STATUS=OR","EQY_CONSOLIDATED=Y","FA_ADJUSTED=GAAP","Sort=A","Dates=H","DateFormat=P","Fill=—","Direction=H","UseDPDF=Y")</f>
        <v>#NAME?</v>
      </c>
      <c r="H303" t="e">
        <f ca="1">_xll.BDH($C$303,"RETURN_ON_CAP","FY 2014","FY 2014","Currency=INR","Period=FY","BEST_FPERIOD_OVERRIDE=FY","FILING_STATUS=OR","EQY_CONSOLIDATED=Y","FA_ADJUSTED=GAAP","Sort=A","Dates=H","DateFormat=P","Fill=—","Direction=H","UseDPDF=Y")</f>
        <v>#NAME?</v>
      </c>
      <c r="I303" t="e">
        <f ca="1">_xll.BDH($C$303,"RETURN_ON_INV_CAPITAL","FY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303" t="e">
        <f ca="1">_xll.BDH($C$303,"EBITDA_TO_REVENUE","FY 2014","FY 2014","Currency=INR","Period=FY","BEST_FPERIOD_OVERRIDE=FY","FILING_STATUS=OR","EQY_CONSOLIDATED=Y","FA_ADJUSTED=GAAP","Sort=A","Dates=H","DateFormat=P","Fill=—","Direction=H","UseDPDF=Y")</f>
        <v>#NAME?</v>
      </c>
      <c r="K303" t="e">
        <f ca="1">_xll.BDH($C$303,"OPER_MARGIN","FY 2014","FY 2014","Currency=INR","Period=FY","BEST_FPERIOD_OVERRIDE=FY","FILING_STATUS=OR","EQY_CONSOLIDATED=Y","FA_ADJUSTED=GAAP","Sort=A","Dates=H","DateFormat=P","Fill=—","Direction=H","UseDPDF=Y")</f>
        <v>#NAME?</v>
      </c>
      <c r="L303" t="e">
        <f ca="1">_xll.BDH($C$303,"INCREMENTAL_OPERATING_MARGIN","FY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303" t="e">
        <f ca="1">_xll.BDH($C$303,"PRETAX_INC_TO_NET_SALES","FY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303" t="e">
        <f ca="1">_xll.BDH($C$303,"INC_BEF_XO_ITEMS_TO_NET_SALES","FY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303" t="e">
        <f ca="1">_xll.BDH($C$303,"PROF_MARGIN","FY 2014","FY 2014","Currency=INR","Period=FY","BEST_FPERIOD_OVERRIDE=FY","FILING_STATUS=OR","EQY_CONSOLIDATED=Y","FA_ADJUSTED=GAAP","Sort=A","Dates=H","DateFormat=P","Fill=—","Direction=H","UseDPDF=Y")</f>
        <v>#NAME?</v>
      </c>
      <c r="P303" t="e">
        <f ca="1">_xll.BDH($C$303,"NET_INCOME_TO_COMMON_MARGIN","FY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303" t="e">
        <f ca="1">_xll.BDH($C$303,"EFF_TAX_RATE","FY 2014","FY 2014","Currency=INR","Period=FY","BEST_FPERIOD_OVERRIDE=FY","FILING_STATUS=OR","EQY_CONSOLIDATED=Y","FA_ADJUSTED=GAAP","Sort=A","Dates=H","DateFormat=P","Fill=—","Direction=H","UseDPDF=Y")</f>
        <v>#NAME?</v>
      </c>
      <c r="R303" t="e">
        <f ca="1">_xll.BDH($C$303,"DVD_PAYOUT_RATIO","FY 2014","FY 2014","Currency=INR","Period=FY","BEST_FPERIOD_OVERRIDE=FY","FILING_STATUS=OR","EQY_CONSOLIDATED=Y","FA_ADJUSTED=GAAP","Sort=A","Dates=H","DateFormat=P","Fill=—","Direction=H","UseDPDF=Y")</f>
        <v>#NAME?</v>
      </c>
      <c r="S303" t="e">
        <f ca="1">_xll.BDH($C$303,"SUSTAIN_GROWTH_RT","FY 2014","FY 2014","Currency=INR","Period=FY","BEST_FPERIOD_OVERRIDE=FY","FILING_STATUS=OR","EQY_CONSOLIDATED=Y","FA_ADJUSTED=GAAP","Sort=A","Dates=H","DateFormat=P","Fill=—","Direction=H","UseDPDF=Y")</f>
        <v>#NAME?</v>
      </c>
      <c r="T303" s="2" t="e">
        <f ca="1">_xll.BDH($C$303,"SALES_GROWTH","FY 2014","FY 2014","Currency=INR","Period=FY","BEST_FPERIOD_OVERRIDE=FY","FILING_STATUS=OR","EQY_CONSOLIDATED=Y","FA_ADJUSTED=GAAP","Sort=A","Dates=H","DateFormat=P","Fill=—","Direction=H","UseDPDF=Y")</f>
        <v>#NAME?</v>
      </c>
      <c r="U303" s="2" t="e">
        <f ca="1">_xll.BDH($C$303,"EBITDA_GROWTH","FY 2014","FY 2014","Currency=INR","Period=FY","BEST_FPERIOD_OVERRIDE=FY","FILING_STATUS=OR","EQY_CONSOLIDATED=Y","FA_ADJUSTED=GAAP","Sort=A","Dates=H","DateFormat=P","Fill=—","Direction=H","UseDPDF=Y")</f>
        <v>#NAME?</v>
      </c>
      <c r="V303" s="2" t="e">
        <f ca="1">_xll.BDH($C$303,"OPER_INC_GROWTH","FY 2014","FY 2014","Currency=INR","Period=FY","BEST_FPERIOD_OVERRIDE=FY","FILING_STATUS=OR","EQY_CONSOLIDATED=Y","FA_ADJUSTED=GAAP","Sort=A","Dates=H","DateFormat=P","Fill=—","Direction=H","UseDPDF=Y")</f>
        <v>#NAME?</v>
      </c>
      <c r="W303" s="2" t="e">
        <f ca="1">_xll.BDH($C$303,"EARN_FOR_COM_GROWTH","FY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303" s="2" t="e">
        <f ca="1">_xll.BDH($C$303,"DILUTED_EPS_AFT_XO_ITEMS_GROWTH","FY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303" s="2" t="e">
        <f ca="1">_xll.BDH($C$303,"DIVIDEND_PER_SHARE_1_YEAR_GROWTH","FY 2014","FY 2014","Currency=INR","Period=FY","BEST_FPERIOD_OVERRIDE=FY","FILING_STATUS=OR","EQY_CONSOLIDATED=Y","Sort=A","Dates=H","DateFormat=P","Fill=—","Direction=H","UseDPDF=Y")</f>
        <v>#NAME?</v>
      </c>
      <c r="Z303" s="2" t="e">
        <f ca="1">_xll.BDH($C$303,"ACCOUNTS_RECEIVABLE_GROWTH","FY 2014","FY 2014","Currency=INR","Period=FY","BEST_FPERIOD_OVERRIDE=FY","FILING_STATUS=OR","EQY_CONSOLIDATED=Y","Sort=A","Dates=H","DateFormat=P","Fill=—","Direction=H","UseDPDF=Y")</f>
        <v>#NAME?</v>
      </c>
      <c r="AA303" s="2" t="e">
        <f ca="1">_xll.BDH($C$303,"INVENTORY_GROWTH","FY 2014","FY 2014","Currency=INR","Period=FY","BEST_FPERIOD_OVERRIDE=FY","FILING_STATUS=OR","EQY_CONSOLIDATED=Y","Sort=A","Dates=H","DateFormat=P","Fill=—","Direction=H","UseDPDF=Y")</f>
        <v>#NAME?</v>
      </c>
      <c r="AB303" s="2" t="e">
        <f ca="1">_xll.BDH($C$303,"NET_FIXED_ASSETS_1_YEAR_GROWTH","FY 2014","FY 2014","Currency=INR","Period=FY","BEST_FPERIOD_OVERRIDE=FY","FILING_STATUS=OR","EQY_CONSOLIDATED=Y","Sort=A","Dates=H","DateFormat=P","Fill=—","Direction=H","UseDPDF=Y")</f>
        <v>#NAME?</v>
      </c>
      <c r="AC303" s="2" t="e">
        <f ca="1">_xll.BDH($C$303,"ASSET_GROWTH","FY 2014","FY 2014","Currency=INR","Period=FY","BEST_FPERIOD_OVERRIDE=FY","FILING_STATUS=OR","EQY_CONSOLIDATED=Y","Sort=A","Dates=H","DateFormat=P","Fill=—","Direction=H","UseDPDF=Y")</f>
        <v>#NAME?</v>
      </c>
      <c r="AD303" s="2" t="e">
        <f ca="1">_xll.BDH($C$303,"MODIFIED_WORK_CAP_GROWTH","FY 2014","FY 2014","Currency=INR","Period=FY","BEST_FPERIOD_OVERRIDE=FY","FILING_STATUS=OR","EQY_CONSOLIDATED=Y","Sort=A","Dates=H","DateFormat=P","Fill=—","Direction=H","UseDPDF=Y")</f>
        <v>#NAME?</v>
      </c>
      <c r="AE303" s="2" t="e">
        <f ca="1">_xll.BDH($C$303,"WORK_CAP_GROWTH","FY 2014","FY 2014","Currency=INR","Period=FY","BEST_FPERIOD_OVERRIDE=FY","FILING_STATUS=OR","EQY_CONSOLIDATED=Y","Sort=A","Dates=H","DateFormat=P","Fill=—","Direction=H","UseDPDF=Y")</f>
        <v>#NAME?</v>
      </c>
      <c r="AF303" s="2" t="e">
        <f ca="1">_xll.BDH($C$303,"ACCOUNTS_PAYABLE_GROWTH_1YR","FY 2014","FY 2014","Currency=INR","Period=FY","BEST_FPERIOD_OVERRIDE=FY","FILING_STATUS=OR","EQY_CONSOLIDATED=Y","Sort=A","Dates=H","DateFormat=P","Fill=—","Direction=H","UseDPDF=Y")</f>
        <v>#NAME?</v>
      </c>
      <c r="AG303" s="2" t="e">
        <f ca="1">_xll.BDH($C$303,"SHORT_TERM_DEBT_1_YEAR_GROWTH","FY 2014","FY 2014","Currency=INR","Period=FY","BEST_FPERIOD_OVERRIDE=FY","FILING_STATUS=OR","EQY_CONSOLIDATED=Y","Sort=A","Dates=H","DateFormat=P","Fill=—","Direction=H","UseDPDF=Y")</f>
        <v>#NAME?</v>
      </c>
      <c r="AH303" s="2" t="e">
        <f ca="1">_xll.BDH($C$303,"TOTAL_DEBT_1_YEAR_GROWTH","FY 2014","FY 2014","Currency=INR","Period=FY","BEST_FPERIOD_OVERRIDE=FY","FILING_STATUS=OR","EQY_CONSOLIDATED=Y","Sort=A","Dates=H","DateFormat=P","Fill=—","Direction=H","UseDPDF=Y")</f>
        <v>#NAME?</v>
      </c>
      <c r="AI303" s="2" t="e">
        <f ca="1">_xll.BDH($C$303,"TOTAL_EQUITY_1_YEAR_GROWTH","FY 2014","FY 2014","Currency=INR","Period=FY","BEST_FPERIOD_OVERRIDE=FY","FILING_STATUS=OR","EQY_CONSOLIDATED=Y","Sort=A","Dates=H","DateFormat=P","Fill=—","Direction=H","UseDPDF=Y")</f>
        <v>#NAME?</v>
      </c>
      <c r="AJ303" s="2" t="e">
        <f ca="1">_xll.BDH($C$303,"GROWTH_IN_CAP","FY 2014","FY 2014","Currency=INR","Period=FY","BEST_FPERIOD_OVERRIDE=FY","FILING_STATUS=OR","EQY_CONSOLIDATED=Y","Sort=A","Dates=H","DateFormat=P","Fill=—","Direction=H","UseDPDF=Y")</f>
        <v>#NAME?</v>
      </c>
      <c r="AK303" s="2" t="e">
        <f ca="1">_xll.BDH($C$303,"BVPS_GROWTH","FY 2014","FY 2014","Currency=INR","Period=FY","BEST_FPERIOD_OVERRIDE=FY","FILING_STATUS=OR","EQY_CONSOLIDATED=Y","Sort=A","Dates=H","DateFormat=P","Fill=—","Direction=H","UseDPDF=Y")</f>
        <v>#NAME?</v>
      </c>
      <c r="AL303" s="2" t="e">
        <f ca="1">_xll.BDH($C$303,"CASH_FLOW_GROWTH","FY 2014","FY 2014","Currency=INR","Period=FY","BEST_FPERIOD_OVERRIDE=FY","FILING_STATUS=OR","EQY_CONSOLIDATED=Y","Sort=A","Dates=H","DateFormat=P","Fill=—","Direction=H","UseDPDF=Y")</f>
        <v>#NAME?</v>
      </c>
      <c r="AM303" s="2" t="e">
        <f ca="1">_xll.BDH($C$303,"GEO_GROW_NET_SALES","FY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303" s="2" t="e">
        <f ca="1">_xll.BDH($C$303,"GEO_GROW_EBITDA","FY 2014","FY 2014","Currency=INR","Period=FY","BEST_FPERIOD_OVERRIDE=FY","FILING_STATUS=OR","EQY_CONSOLIDATED=Y","FA_ADJUSTED=GAAP","Sort=A","Dates=H","DateFormat=P","Fill=—","Direction=H","UseDPDF=Y")</f>
        <v>#NAME?</v>
      </c>
      <c r="AO303" s="2" t="e">
        <f ca="1">_xll.BDH($C$303,"GEO_GROW_OPER_INC","FY 2014","FY 2014","Currency=INR","Period=FY","BEST_FPERIOD_OVERRIDE=FY","FILING_STATUS=OR","EQY_CONSOLIDATED=Y","FA_ADJUSTED=GAAP","Sort=A","Dates=H","DateFormat=P","Fill=—","Direction=H","UseDPDF=Y")</f>
        <v>#NAME?</v>
      </c>
      <c r="AP303" s="2" t="e">
        <f ca="1">_xll.BDH($C$303,"NET_INCOME_TO_COMMON_5_YR_GROWTH","FY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303" s="2" t="e">
        <f ca="1">_xll.BDH($C$303,"5Y_GEO_GROWTH_DILUTED_EPS","FY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303" s="2" t="e">
        <f ca="1">_xll.BDH($C$303,"GEO_GROW_DVD_PER_SH","FY 2014","FY 2014","Currency=INR","Period=FY","BEST_FPERIOD_OVERRIDE=FY","FILING_STATUS=OR","EQY_CONSOLIDATED=Y","Sort=A","Dates=H","DateFormat=P","Fill=—","Direction=H","UseDPDF=Y")</f>
        <v>#NAME?</v>
      </c>
      <c r="AS303" s="2" t="e">
        <f ca="1">_xll.BDH($C$303,"ACCOUNTS_RECEIVABLE_5_YR_GROWTH","FY 2014","FY 2014","Currency=INR","Period=FY","BEST_FPERIOD_OVERRIDE=FY","FILING_STATUS=OR","EQY_CONSOLIDATED=Y","Sort=A","Dates=H","DateFormat=P","Fill=—","Direction=H","UseDPDF=Y")</f>
        <v>#NAME?</v>
      </c>
      <c r="AT303" s="2" t="e">
        <f ca="1">_xll.BDH($C$303,"INVENTORY_5_YEAR_GROWTH","FY 2014","FY 2014","Currency=INR","Period=FY","BEST_FPERIOD_OVERRIDE=FY","FILING_STATUS=OR","EQY_CONSOLIDATED=Y","Sort=A","Dates=H","DateFormat=P","Fill=—","Direction=H","UseDPDF=Y")</f>
        <v>#NAME?</v>
      </c>
      <c r="AU303" s="2" t="e">
        <f ca="1">_xll.BDH($C$303,"NET_FIXED_ASSETS_5_YEAR_GROWTH","FY 2014","FY 2014","Currency=INR","Period=FY","BEST_FPERIOD_OVERRIDE=FY","FILING_STATUS=OR","EQY_CONSOLIDATED=Y","Sort=A","Dates=H","DateFormat=P","Fill=—","Direction=H","UseDPDF=Y")</f>
        <v>#NAME?</v>
      </c>
      <c r="AV303" s="2" t="e">
        <f ca="1">_xll.BDH($C$303,"GEO_GROW_TOT_ASSET","FY 2014","FY 2014","Currency=INR","Period=FY","BEST_FPERIOD_OVERRIDE=FY","FILING_STATUS=OR","EQY_CONSOLIDATED=Y","Sort=A","Dates=H","DateFormat=P","Fill=—","Direction=H","UseDPDF=Y")</f>
        <v>#NAME?</v>
      </c>
      <c r="AW303" s="2" t="e">
        <f ca="1">_xll.BDH($C$303,"MODIFIED_WORKING_CPTL_5YR_GRWTH","FY 2014","FY 2014","Currency=INR","Period=FY","BEST_FPERIOD_OVERRIDE=FY","FILING_STATUS=OR","EQY_CONSOLIDATED=Y","Sort=A","Dates=H","DateFormat=P","Fill=—","Direction=H","UseDPDF=Y")</f>
        <v>#NAME?</v>
      </c>
      <c r="AX303" s="2" t="e">
        <f ca="1">_xll.BDH($C$303,"WORKING_CAPITAL_5_YEAR_GROWTH","FY 2014","FY 2014","Currency=INR","Period=FY","BEST_FPERIOD_OVERRIDE=FY","FILING_STATUS=OR","EQY_CONSOLIDATED=Y","Sort=A","Dates=H","DateFormat=P","Fill=—","Direction=H","UseDPDF=Y")</f>
        <v>#NAME?</v>
      </c>
      <c r="AY303" s="2" t="e">
        <f ca="1">_xll.BDH($C$303,"ACCOUNTS_PAYABLE_5_YEAR_GROWTH","FY 2014","FY 2014","Currency=INR","Period=FY","BEST_FPERIOD_OVERRIDE=FY","FILING_STATUS=OR","EQY_CONSOLIDATED=Y","Sort=A","Dates=H","DateFormat=P","Fill=—","Direction=H","UseDPDF=Y")</f>
        <v>#NAME?</v>
      </c>
      <c r="AZ303" s="2" t="e">
        <f ca="1">_xll.BDH($C$303,"SHORT_TERM_DEBT_5_YEAR_GROWTH","FY 2014","FY 2014","Currency=INR","Period=FY","BEST_FPERIOD_OVERRIDE=FY","FILING_STATUS=OR","EQY_CONSOLIDATED=Y","Sort=A","Dates=H","DateFormat=P","Fill=—","Direction=H","UseDPDF=Y")</f>
        <v>#NAME?</v>
      </c>
      <c r="BA303" s="2" t="e">
        <f ca="1">_xll.BDH($C$303,"TOTAL_DEBT_5_YEAR_GROWTH","FY 2014","FY 2014","Currency=INR","Period=FY","BEST_FPERIOD_OVERRIDE=FY","FILING_STATUS=OR","EQY_CONSOLIDATED=Y","Sort=A","Dates=H","DateFormat=P","Fill=—","Direction=H","UseDPDF=Y")</f>
        <v>#NAME?</v>
      </c>
      <c r="BB303" s="2" t="e">
        <f ca="1">_xll.BDH($C$303,"GEO_GROW_TOT_SHRHLDR_EQY","FY 2014","FY 2014","Currency=INR","Period=FY","BEST_FPERIOD_OVERRIDE=FY","FILING_STATUS=OR","EQY_CONSOLIDATED=Y","Sort=A","Dates=H","DateFormat=P","Fill=—","Direction=H","UseDPDF=Y")</f>
        <v>#NAME?</v>
      </c>
      <c r="BC303" s="2" t="e">
        <f ca="1">_xll.BDH($C$303,"TOTAL_CAPITAL_5_YEAR_GROWTH","FY 2014","FY 2014","Currency=INR","Period=FY","BEST_FPERIOD_OVERRIDE=FY","FILING_STATUS=OR","EQY_CONSOLIDATED=Y","Sort=A","Dates=H","DateFormat=P","Fill=—","Direction=H","UseDPDF=Y")</f>
        <v>#NAME?</v>
      </c>
      <c r="BD303" s="2" t="e">
        <f ca="1">_xll.BDH($C$303,"GEO_GROW_BOOK_VAL","FY 2014","FY 2014","Currency=INR","Period=FY","BEST_FPERIOD_OVERRIDE=FY","FILING_STATUS=OR","EQY_CONSOLIDATED=Y","Sort=A","Dates=H","DateFormat=P","Fill=—","Direction=H","UseDPDF=Y")</f>
        <v>#NAME?</v>
      </c>
      <c r="BE303" s="2" t="e">
        <f ca="1">_xll.BDH($C$303,"GEO_GROW_CASH_OPER_ACT","FY 2014","FY 2014","Currency=INR","Period=FY","BEST_FPERIOD_OVERRIDE=FY","FILING_STATUS=OR","EQY_CONSOLIDATED=Y","Sort=A","Dates=H","DateFormat=P","Fill=—","Direction=H","UseDPDF=Y")</f>
        <v>#NAME?</v>
      </c>
      <c r="BF303" s="2" t="e">
        <f ca="1">_xll.BDH($C$303,"REVENUE_SEQUENTIAL_GROWTH","FY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303" s="2" t="e">
        <f ca="1">_xll.BDH($C$303,"EBITDA_SEQUENTIAL_GROWTH","FY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303" s="2" t="e">
        <f ca="1">_xll.BDH($C$303,"OPERATING_INCOME_SEQ_GROWTH","FY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303" s="2" t="e">
        <f ca="1">_xll.BDH($C$303,"NET_INCOME_TO_COMMON_SEQ_GROWTH","FY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303" s="2" t="e">
        <f ca="1">_xll.BDH($C$303,"EPS_DILUTED_SEQUENTIAL_GROWTH","FY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303" s="2" t="e">
        <f ca="1">_xll.BDH($C$303,"DPS_SEQUENTIAL_GROWTH","FY 2014","FY 2014","Currency=INR","Period=FY","BEST_FPERIOD_OVERRIDE=FY","FILING_STATUS=OR","EQY_CONSOLIDATED=Y","Sort=A","Dates=H","DateFormat=P","Fill=—","Direction=H","UseDPDF=Y")</f>
        <v>#NAME?</v>
      </c>
      <c r="BL303" s="2" t="e">
        <f ca="1">_xll.BDH($C$303,"ACCOUNTS_RECEIVABLE_SEQ_GROWTH","FY 2014","FY 2014","Currency=INR","Period=FY","BEST_FPERIOD_OVERRIDE=FY","FILING_STATUS=OR","EQY_CONSOLIDATED=Y","Sort=A","Dates=H","DateFormat=P","Fill=—","Direction=H","UseDPDF=Y")</f>
        <v>#NAME?</v>
      </c>
      <c r="BM303" s="2" t="e">
        <f ca="1">_xll.BDH($C$303,"INVENTORY_SEQUENTIAL_GROWTH","FY 2014","FY 2014","Currency=INR","Period=FY","BEST_FPERIOD_OVERRIDE=FY","FILING_STATUS=OR","EQY_CONSOLIDATED=Y","Sort=A","Dates=H","DateFormat=P","Fill=—","Direction=H","UseDPDF=Y")</f>
        <v>#NAME?</v>
      </c>
      <c r="BN303" s="2" t="e">
        <f ca="1">_xll.BDH($C$303,"FIXED_ASSETS_SEQUENTIAL_GROWTH","FY 2014","FY 2014","Currency=INR","Period=FY","BEST_FPERIOD_OVERRIDE=FY","FILING_STATUS=OR","EQY_CONSOLIDATED=Y","Sort=A","Dates=H","DateFormat=P","Fill=—","Direction=H","UseDPDF=Y")</f>
        <v>#NAME?</v>
      </c>
      <c r="BO303" s="2" t="e">
        <f ca="1">_xll.BDH($C$303,"TOTAL_ASSETS_SEQUENTIAL_GROWTH","FY 2014","FY 2014","Currency=INR","Period=FY","BEST_FPERIOD_OVERRIDE=FY","FILING_STATUS=OR","EQY_CONSOLIDATED=Y","Sort=A","Dates=H","DateFormat=P","Fill=—","Direction=H","UseDPDF=Y")</f>
        <v>#NAME?</v>
      </c>
      <c r="BP303" s="2" t="e">
        <f ca="1">_xll.BDH($C$303,"MODIFIED_WORKING_CPTL_SEQ_GRWTH","FY 2014","FY 2014","Currency=INR","Period=FY","BEST_FPERIOD_OVERRIDE=FY","FILING_STATUS=OR","EQY_CONSOLIDATED=Y","Sort=A","Dates=H","DateFormat=P","Fill=—","Direction=H","UseDPDF=Y")</f>
        <v>#NAME?</v>
      </c>
      <c r="BQ303" s="2" t="e">
        <f ca="1">_xll.BDH($C$303,"WORKING_CAPITAL_SEQ_GROWTH","FY 2014","FY 2014","Currency=INR","Period=FY","BEST_FPERIOD_OVERRIDE=FY","FILING_STATUS=OR","EQY_CONSOLIDATED=Y","Sort=A","Dates=H","DateFormat=P","Fill=—","Direction=H","UseDPDF=Y")</f>
        <v>#NAME?</v>
      </c>
      <c r="BR303" s="2" t="e">
        <f ca="1">_xll.BDH($C$303,"ACCOUNTS_PAYABLE_SEQ_GROWTH","FY 2014","FY 2014","Currency=INR","Period=FY","BEST_FPERIOD_OVERRIDE=FY","FILING_STATUS=OR","EQY_CONSOLIDATED=Y","Sort=A","Dates=H","DateFormat=P","Fill=—","Direction=H","UseDPDF=Y")</f>
        <v>#NAME?</v>
      </c>
      <c r="BS303" s="2" t="e">
        <f ca="1">_xll.BDH($C$303,"ST_DEBT_SEQUENTIAL_GROWTH","FY 2014","FY 2014","Currency=INR","Period=FY","BEST_FPERIOD_OVERRIDE=FY","FILING_STATUS=OR","EQY_CONSOLIDATED=Y","Sort=A","Dates=H","DateFormat=P","Fill=—","Direction=H","UseDPDF=Y")</f>
        <v>#NAME?</v>
      </c>
      <c r="BT303" s="2" t="e">
        <f ca="1">_xll.BDH($C$303,"TOTAL_DEBT_SEQUENTIAL_GROWTH","FY 2014","FY 2014","Currency=INR","Period=FY","BEST_FPERIOD_OVERRIDE=FY","FILING_STATUS=OR","EQY_CONSOLIDATED=Y","Sort=A","Dates=H","DateFormat=P","Fill=—","Direction=H","UseDPDF=Y")</f>
        <v>#NAME?</v>
      </c>
      <c r="BU303" s="2" t="e">
        <f ca="1">_xll.BDH($C$303,"TOTAL_EQUITY_SEQUENTIAL_GROWTH","FY 2014","FY 2014","Currency=INR","Period=FY","BEST_FPERIOD_OVERRIDE=FY","FILING_STATUS=OR","EQY_CONSOLIDATED=Y","Sort=A","Dates=H","DateFormat=P","Fill=—","Direction=H","UseDPDF=Y")</f>
        <v>#NAME?</v>
      </c>
      <c r="BV303" s="2" t="e">
        <f ca="1">_xll.BDH($C$303,"TOTAL_CAPITAL_SEQUENTIAL_GROWTH","FY 2014","FY 2014","Currency=INR","Period=FY","BEST_FPERIOD_OVERRIDE=FY","FILING_STATUS=OR","EQY_CONSOLIDATED=Y","Sort=A","Dates=H","DateFormat=P","Fill=—","Direction=H","UseDPDF=Y")</f>
        <v>#NAME?</v>
      </c>
      <c r="BW303" s="2" t="e">
        <f ca="1">_xll.BDH($C$303,"BPS_SEQUENTIAL_GROWTH","FY 2014","FY 2014","Currency=INR","Period=FY","BEST_FPERIOD_OVERRIDE=FY","FILING_STATUS=OR","EQY_CONSOLIDATED=Y","Sort=A","Dates=H","DateFormat=P","Fill=—","Direction=H","UseDPDF=Y")</f>
        <v>#NAME?</v>
      </c>
      <c r="BX303" s="2" t="e">
        <f ca="1">_xll.BDH($C$303,"CFO_SEQUENTIAL_GROWTH","FY 2014","FY 2014","Currency=INR","Period=FY","BEST_FPERIOD_OVERRIDE=FY","FILING_STATUS=OR","EQY_CONSOLIDATED=Y","Sort=A","Dates=H","DateFormat=P","Fill=—","Direction=H","UseDPDF=Y")</f>
        <v>#NAME?</v>
      </c>
      <c r="BY303" s="3" t="e">
        <f ca="1">_xll.BDH($C$303,"SHORT_AND_LONG_TERM_DEBT","FY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303" s="3" t="e">
        <f ca="1">_xll.BDH($C$303,"BS_ST_BORROW","FY 2014","FY 2014","Currency=INR","Period=FY","BEST_FPERIOD_OVERRIDE=FY","FILING_STATUS=OR","EQY_CONSOLIDATED=Y","SCALING_FORMAT=MLN","Sort=A","Dates=H","DateFormat=P","Fill=—","Direction=H","UseDPDF=Y")</f>
        <v>#NAME?</v>
      </c>
      <c r="CA303" s="3" t="e">
        <f ca="1">_xll.BDH($C$303,"BS_LT_BORROW","FY 2014","FY 2014","Currency=INR","Period=FY","BEST_FPERIOD_OVERRIDE=FY","FILING_STATUS=OR","EQY_CONSOLIDATED=Y","SCALING_FORMAT=MLN","Sort=A","Dates=H","DateFormat=P","Fill=—","Direction=H","UseDPDF=Y")</f>
        <v>#NAME?</v>
      </c>
      <c r="CB303" s="2" t="e">
        <f ca="1">_xll.BDH($C$303,"TOT_DEBT_TO_EBITDA","FY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303" s="2" t="e">
        <f ca="1">_xll.BDH($C$303,"NET_DEBT_TO_EBITDA","FY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303" s="2" t="e">
        <f ca="1">_xll.BDH($C$303,"TOTAL_DEBT_TO_EBIT","FY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303" s="2" t="e">
        <f ca="1">_xll.BDH($C$303,"NET_DEBT_TO_EBIT","FY 2014","FY 2014","Currency=INR","Period=FY","BEST_FPERIOD_OVERRIDE=FY","FILING_STATUS=OR","EQY_CONSOLIDATED=Y","FA_ADJUSTED=GAAP","Sort=A","Dates=H","DateFormat=P","Fill=—","Direction=H","UseDPDF=Y")</f>
        <v>#NAME?</v>
      </c>
      <c r="CF303" s="2" t="e">
        <f ca="1">_xll.BDH($C$303,"EBITDA_TO_INTEREST_EXPN","FY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303" s="2" t="e">
        <f ca="1">_xll.BDH($C$303,"COM_EQY_TO_TOT_ASSET","FY 2014","FY 2014","Currency=INR","Period=FY","BEST_FPERIOD_OVERRIDE=FY","FILING_STATUS=OR","EQY_CONSOLIDATED=Y","Sort=A","Dates=H","DateFormat=P","Fill=—","Direction=H","UseDPDF=Y")</f>
        <v>#NAME?</v>
      </c>
      <c r="CH303" s="2" t="e">
        <f ca="1">_xll.BDH($C$303,"LT_DEBT_TO_TOT_EQY","FY 2014","FY 2014","Currency=INR","Period=FY","BEST_FPERIOD_OVERRIDE=FY","FILING_STATUS=OR","EQY_CONSOLIDATED=Y","Sort=A","Dates=H","DateFormat=P","Fill=—","Direction=H","UseDPDF=Y")</f>
        <v>#NAME?</v>
      </c>
      <c r="CI303" s="2" t="e">
        <f ca="1">_xll.BDH($C$303,"LT_DEBT_TO_TOT_CAP","FY 2014","FY 2014","Currency=INR","Period=FY","BEST_FPERIOD_OVERRIDE=FY","FILING_STATUS=OR","EQY_CONSOLIDATED=Y","Sort=A","Dates=H","DateFormat=P","Fill=—","Direction=H","UseDPDF=Y")</f>
        <v>#NAME?</v>
      </c>
      <c r="CJ303" s="2" t="e">
        <f ca="1">_xll.BDH($C$303,"LT_DEBT_TO_TOT_ASSET","FY 2014","FY 2014","Currency=INR","Period=FY","BEST_FPERIOD_OVERRIDE=FY","FILING_STATUS=OR","EQY_CONSOLIDATED=Y","Sort=A","Dates=H","DateFormat=P","Fill=—","Direction=H","UseDPDF=Y")</f>
        <v>#NAME?</v>
      </c>
      <c r="CK303" s="2" t="e">
        <f ca="1">_xll.BDH($C$303,"TOT_DEBT_TO_TOT_EQY","FY 2014","FY 2014","Currency=INR","Period=FY","BEST_FPERIOD_OVERRIDE=FY","FILING_STATUS=OR","EQY_CONSOLIDATED=Y","Sort=A","Dates=H","DateFormat=P","Fill=—","Direction=H","UseDPDF=Y")</f>
        <v>#NAME?</v>
      </c>
      <c r="CL303" s="2" t="e">
        <f ca="1">_xll.BDH($C$303,"TOT_DEBT_TO_TOT_CAP","FY 2014","FY 2014","Currency=INR","Period=FY","BEST_FPERIOD_OVERRIDE=FY","FILING_STATUS=OR","EQY_CONSOLIDATED=Y","Sort=A","Dates=H","DateFormat=P","Fill=—","Direction=H","UseDPDF=Y")</f>
        <v>#NAME?</v>
      </c>
      <c r="CM303" s="2" t="e">
        <f ca="1">_xll.BDH($C$303,"TOT_DEBT_TO_TOT_ASSET","FY 2014","FY 2014","Currency=INR","Period=FY","BEST_FPERIOD_OVERRIDE=FY","FILING_STATUS=OR","EQY_CONSOLIDATED=Y","Sort=A","Dates=H","DateFormat=P","Fill=—","Direction=H","UseDPDF=Y")</f>
        <v>#NAME?</v>
      </c>
      <c r="CN303" s="2" t="e">
        <f ca="1">_xll.BDH($C$303,"NET_DEBT_TO_SHRHLDR_EQTY","FY 2014","FY 2014","Currency=INR","Period=FY","BEST_FPERIOD_OVERRIDE=FY","FILING_STATUS=OR","EQY_CONSOLIDATED=Y","Sort=A","Dates=H","DateFormat=P","Fill=—","Direction=H","UseDPDF=Y")</f>
        <v>#NAME?</v>
      </c>
      <c r="CO303" s="2" t="e">
        <f ca="1">_xll.BDH($C$303,"NET_DEBT_%_CAPITAL","FY 2014","FY 2014","Currency=INR","Period=FY","BEST_FPERIOD_OVERRIDE=FY","FILING_STATUS=OR","EQY_CONSOLIDATED=Y","Sort=A","Dates=H","DateFormat=P","Fill=—","Direction=H","UseDPDF=Y")</f>
        <v>#NAME?</v>
      </c>
      <c r="CP303" s="3" t="e">
        <f ca="1">_xll.BDH($C$303,"EBITDA","FY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303" s="3" t="e">
        <f ca="1">_xll.BDH($C$303,"EBITDA_AFTER_CAPEX","FY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303" s="3" t="e">
        <f ca="1">_xll.BDH($C$303,"IS_OPER_INC","FY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303" s="2" t="e">
        <f ca="1">_xll.BDH($C$303,"CASH_RATIO","FY 2014","FY 2014","Currency=INR","Period=FY","BEST_FPERIOD_OVERRIDE=FY","FILING_STATUS=OR","EQY_CONSOLIDATED=Y","Sort=A","Dates=H","DateFormat=P","Fill=—","Direction=H","UseDPDF=Y")</f>
        <v>#NAME?</v>
      </c>
      <c r="CT303" s="2" t="e">
        <f ca="1">_xll.BDH($C$303,"CUR_RATIO","FY 2014","FY 2014","Currency=INR","Period=FY","BEST_FPERIOD_OVERRIDE=FY","FILING_STATUS=OR","EQY_CONSOLIDATED=Y","Sort=A","Dates=H","DateFormat=P","Fill=—","Direction=H","UseDPDF=Y")</f>
        <v>#NAME?</v>
      </c>
      <c r="CU303" s="2" t="e">
        <f ca="1">_xll.BDH($C$303,"QUICK_RATIO","FY 2014","FY 2014","Currency=INR","Period=FY","BEST_FPERIOD_OVERRIDE=FY","FILING_STATUS=OR","EQY_CONSOLIDATED=Y","Sort=A","Dates=H","DateFormat=P","Fill=—","Direction=H","UseDPDF=Y")</f>
        <v>#NAME?</v>
      </c>
      <c r="CV303" s="2" t="e">
        <f ca="1">_xll.BDH($C$303,"ALTMAN_Z_SCORE","FY 2014","FY 2014","Currency=INR","Period=FY","BEST_FPERIOD_OVERRIDE=FY","FILING_STATUS=OR","EQY_CONSOLIDATED=Y","Sort=A","Dates=H","DateFormat=P","Fill=—","Direction=H","UseDPDF=Y")</f>
        <v>#NAME?</v>
      </c>
      <c r="CW303" s="4" t="e">
        <f ca="1">_xll.BDH($C$303,"ACCT_RCV_TURN","FY 2014","FY 2014","Currency=INR","Period=FY","BEST_FPERIOD_OVERRIDE=FY","FILING_STATUS=OR","EQY_CONSOLIDATED=Y","FA_ADJUSTED=GAAP","Sort=A","Dates=H","DateFormat=P","Fill=—","Direction=H","UseDPDF=Y")</f>
        <v>#NAME?</v>
      </c>
      <c r="CX303" s="2" t="e">
        <f ca="1">_xll.BDH($C$303,"ACCT_RCV_DAYS","FY 2014","FY 2014","Currency=INR","Period=FY","BEST_FPERIOD_OVERRIDE=FY","FILING_STATUS=OR","EQY_CONSOLIDATED=Y","FA_ADJUSTED=GAAP","Sort=A","Dates=H","DateFormat=P","Fill=—","Direction=H","UseDPDF=Y")</f>
        <v>#NAME?</v>
      </c>
      <c r="CY303" s="4" t="e">
        <f ca="1">_xll.BDH($C$303,"INVENT_TURN","FY 2014","FY 2014","Currency=INR","Period=FY","BEST_FPERIOD_OVERRIDE=FY","FILING_STATUS=OR","EQY_CONSOLIDATED=Y","FA_ADJUSTED=GAAP","Sort=A","Dates=H","DateFormat=P","Fill=—","Direction=H","UseDPDF=Y")</f>
        <v>#NAME?</v>
      </c>
      <c r="CZ303" s="2" t="e">
        <f ca="1">_xll.BDH($C$303,"INVENT_DAYS","FY 2014","FY 2014","Currency=INR","Period=FY","BEST_FPERIOD_OVERRIDE=FY","FILING_STATUS=OR","EQY_CONSOLIDATED=Y","FA_ADJUSTED=GAAP","Sort=A","Dates=H","DateFormat=P","Fill=—","Direction=H","UseDPDF=Y")</f>
        <v>#NAME?</v>
      </c>
      <c r="DA303" s="4" t="e">
        <f ca="1">_xll.BDH($C$303,"ACCOUNTS_PAYABLE_TURNOVER","FY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303" s="2" t="e">
        <f ca="1">_xll.BDH($C$303,"ACCOUNTS_PAYABLE_TURNOVER_DAYS","FY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303" s="4" t="e">
        <f ca="1">_xll.BDH($C$303,"CASH_CONVERSION_CYCLE","FY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303" s="4" t="e">
        <f ca="1">_xll.BDH($C$303,"INV_TO_CASH_DAYS","FY 2014","FY 2014","Currency=INR","Period=FY","BEST_FPERIOD_OVERRIDE=FY","FILING_STATUS=OR","EQY_CONSOLIDATED=Y","FA_ADJUSTED=GAAP","Sort=A","Dates=H","DateFormat=P","Fill=—","Direction=H","UseDPDF=Y")</f>
        <v>#NAME?</v>
      </c>
      <c r="DE303" s="5" t="e">
        <f ca="1">_xll.BDH($C$303,"BS_INVENTORIES","FY 2014","FY 2014","Currency=INR","Period=FY","BEST_FPERIOD_OVERRIDE=FY","FILING_STATUS=OR","EQY_CONSOLIDATED=Y","SCALING_FORMAT=MLN","Sort=A","Dates=H","DateFormat=P","Fill=—","Direction=H","UseDPDF=Y")</f>
        <v>#NAME?</v>
      </c>
      <c r="DF303" s="3" t="e">
        <f ca="1">_xll.BDH($C$303,"INVTRY_RAW_MATERIALS","FY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303" s="3" t="e">
        <f ca="1">_xll.BDH($C$303,"INVTRY_IN_PROGRESS","FY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303" s="3" t="e">
        <f ca="1">_xll.BDH($C$303,"INVTRY_FINISHED_GOODS","FY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303" s="3" t="e">
        <f ca="1">_xll.BDH($C$303,"BS_OTHER_INV","FY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304" spans="1:113" x14ac:dyDescent="0.3">
      <c r="A304" s="6"/>
      <c r="B304" s="6"/>
      <c r="C304" s="6"/>
      <c r="D304" s="6"/>
      <c r="E304" t="s">
        <v>78</v>
      </c>
      <c r="F304" t="e">
        <f ca="1">_xll.BDH($C$303,"RETURN_COM_EQY","FQ1 2014","FQ1 2014","Currency=INR","Period=FQ","BEST_FPERIOD_OVERRIDE=FQ","FILING_STATUS=OR","EQY_CONSOLIDATED=Y","FA_ADJUSTED=GAAP","Sort=A","Dates=H","DateFormat=P","Fill=—","Direction=H","UseDPDF=Y")</f>
        <v>#NAME?</v>
      </c>
      <c r="G304" t="e">
        <f ca="1">_xll.BDH($C$303,"RETURN_ON_ASSET","FQ1 2014","FQ1 2014","Currency=INR","Period=FQ","BEST_FPERIOD_OVERRIDE=FQ","FILING_STATUS=OR","EQY_CONSOLIDATED=Y","FA_ADJUSTED=GAAP","Sort=A","Dates=H","DateFormat=P","Fill=—","Direction=H","UseDPDF=Y")</f>
        <v>#NAME?</v>
      </c>
      <c r="H304" t="e">
        <f ca="1">_xll.BDH($C$303,"RETURN_ON_CAP","FQ1 2014","FQ1 2014","Currency=INR","Period=FQ","BEST_FPERIOD_OVERRIDE=FQ","FILING_STATUS=OR","EQY_CONSOLIDATED=Y","FA_ADJUSTED=GAAP","Sort=A","Dates=H","DateFormat=P","Fill=—","Direction=H","UseDPDF=Y")</f>
        <v>#NAME?</v>
      </c>
      <c r="I304" t="e">
        <f ca="1">_xll.BDH($C$303,"RETURN_ON_INV_CAPITAL","FQ1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304" t="e">
        <f ca="1">_xll.BDH($C$303,"EBITDA_TO_REVENUE","FQ1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304" t="e">
        <f ca="1">_xll.BDH($C$303,"OPER_MARGIN","FQ1 2014","FQ1 2014","Currency=INR","Period=FQ","BEST_FPERIOD_OVERRIDE=FQ","FILING_STATUS=OR","EQY_CONSOLIDATED=Y","FA_ADJUSTED=GAAP","Sort=A","Dates=H","DateFormat=P","Fill=—","Direction=H","UseDPDF=Y")</f>
        <v>#NAME?</v>
      </c>
      <c r="L304" t="e">
        <f ca="1">_xll.BDH($C$303,"INCREMENTAL_OPERATING_MARGIN","FQ1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304" t="e">
        <f ca="1">_xll.BDH($C$303,"PRETAX_INC_TO_NET_SALES","FQ1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304" t="e">
        <f ca="1">_xll.BDH($C$303,"INC_BEF_XO_ITEMS_TO_NET_SALES","FQ1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304" t="e">
        <f ca="1">_xll.BDH($C$303,"PROF_MARGIN","FQ1 2014","FQ1 2014","Currency=INR","Period=FQ","BEST_FPERIOD_OVERRIDE=FQ","FILING_STATUS=OR","EQY_CONSOLIDATED=Y","FA_ADJUSTED=GAAP","Sort=A","Dates=H","DateFormat=P","Fill=—","Direction=H","UseDPDF=Y")</f>
        <v>#NAME?</v>
      </c>
      <c r="P304" t="e">
        <f ca="1">_xll.BDH($C$303,"NET_INCOME_TO_COMMON_MARGIN","FQ1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304" t="e">
        <f ca="1">_xll.BDH($C$303,"EFF_TAX_RATE","FQ1 2014","FQ1 2014","Currency=INR","Period=FQ","BEST_FPERIOD_OVERRIDE=FQ","FILING_STATUS=OR","EQY_CONSOLIDATED=Y","FA_ADJUSTED=GAAP","Sort=A","Dates=H","DateFormat=P","Fill=—","Direction=H","UseDPDF=Y")</f>
        <v>#NAME?</v>
      </c>
      <c r="R304" t="e">
        <f ca="1">_xll.BDH($C$303,"DVD_PAYOUT_RATIO","FQ1 2014","FQ1 2014","Currency=INR","Period=FQ","BEST_FPERIOD_OVERRIDE=FQ","FILING_STATUS=OR","EQY_CONSOLIDATED=Y","FA_ADJUSTED=GAAP","Sort=A","Dates=H","DateFormat=P","Fill=—","Direction=H","UseDPDF=Y")</f>
        <v>#NAME?</v>
      </c>
      <c r="S304" t="e">
        <f ca="1">_xll.BDH($C$303,"SUSTAIN_GROWTH_RT","FQ1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304" s="2" t="e">
        <f ca="1">_xll.BDH($C$303,"SALES_GROWTH","FQ1 2014","FQ1 2014","Currency=INR","Period=FQ","BEST_FPERIOD_OVERRIDE=FQ","FILING_STATUS=OR","EQY_CONSOLIDATED=Y","FA_ADJUSTED=GAAP","Sort=A","Dates=H","DateFormat=P","Fill=—","Direction=H","UseDPDF=Y")</f>
        <v>#NAME?</v>
      </c>
      <c r="U304" s="2" t="e">
        <f ca="1">_xll.BDH($C$303,"EBITDA_GROWTH","FQ1 2014","FQ1 2014","Currency=INR","Period=FQ","BEST_FPERIOD_OVERRIDE=FQ","FILING_STATUS=OR","EQY_CONSOLIDATED=Y","FA_ADJUSTED=GAAP","Sort=A","Dates=H","DateFormat=P","Fill=—","Direction=H","UseDPDF=Y")</f>
        <v>#NAME?</v>
      </c>
      <c r="V304" s="2" t="e">
        <f ca="1">_xll.BDH($C$303,"OPER_INC_GROWTH","FQ1 2014","FQ1 2014","Currency=INR","Period=FQ","BEST_FPERIOD_OVERRIDE=FQ","FILING_STATUS=OR","EQY_CONSOLIDATED=Y","FA_ADJUSTED=GAAP","Sort=A","Dates=H","DateFormat=P","Fill=—","Direction=H","UseDPDF=Y")</f>
        <v>#NAME?</v>
      </c>
      <c r="W304" s="2" t="e">
        <f ca="1">_xll.BDH($C$303,"EARN_FOR_COM_GROWTH","FQ1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304" s="2" t="e">
        <f ca="1">_xll.BDH($C$303,"DILUTED_EPS_AFT_XO_ITEMS_GROWTH","FQ1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304" s="2" t="e">
        <f ca="1">_xll.BDH($C$303,"DIVIDEND_PER_SHARE_1_YEAR_GROWTH","FQ1 2014","FQ1 2014","Currency=INR","Period=FQ","BEST_FPERIOD_OVERRIDE=FQ","FILING_STATUS=OR","EQY_CONSOLIDATED=Y","Sort=A","Dates=H","DateFormat=P","Fill=—","Direction=H","UseDPDF=Y")</f>
        <v>#NAME?</v>
      </c>
      <c r="Z304" s="2" t="e">
        <f ca="1">_xll.BDH($C$303,"ACCOUNTS_RECEIVABLE_GROWTH","FQ1 2014","FQ1 2014","Currency=INR","Period=FQ","BEST_FPERIOD_OVERRIDE=FQ","FILING_STATUS=OR","EQY_CONSOLIDATED=Y","Sort=A","Dates=H","DateFormat=P","Fill=—","Direction=H","UseDPDF=Y")</f>
        <v>#NAME?</v>
      </c>
      <c r="AA304" s="2" t="e">
        <f ca="1">_xll.BDH($C$303,"INVENTORY_GROWTH","FQ1 2014","FQ1 2014","Currency=INR","Period=FQ","BEST_FPERIOD_OVERRIDE=FQ","FILING_STATUS=OR","EQY_CONSOLIDATED=Y","Sort=A","Dates=H","DateFormat=P","Fill=—","Direction=H","UseDPDF=Y")</f>
        <v>#NAME?</v>
      </c>
      <c r="AB304" s="2" t="e">
        <f ca="1">_xll.BDH($C$303,"NET_FIXED_ASSETS_1_YEAR_GROWTH","FQ1 2014","FQ1 2014","Currency=INR","Period=FQ","BEST_FPERIOD_OVERRIDE=FQ","FILING_STATUS=OR","EQY_CONSOLIDATED=Y","Sort=A","Dates=H","DateFormat=P","Fill=—","Direction=H","UseDPDF=Y")</f>
        <v>#NAME?</v>
      </c>
      <c r="AC304" s="2" t="e">
        <f ca="1">_xll.BDH($C$303,"ASSET_GROWTH","FQ1 2014","FQ1 2014","Currency=INR","Period=FQ","BEST_FPERIOD_OVERRIDE=FQ","FILING_STATUS=OR","EQY_CONSOLIDATED=Y","Sort=A","Dates=H","DateFormat=P","Fill=—","Direction=H","UseDPDF=Y")</f>
        <v>#NAME?</v>
      </c>
      <c r="AD304" s="2" t="e">
        <f ca="1">_xll.BDH($C$303,"MODIFIED_WORK_CAP_GROWTH","FQ1 2014","FQ1 2014","Currency=INR","Period=FQ","BEST_FPERIOD_OVERRIDE=FQ","FILING_STATUS=OR","EQY_CONSOLIDATED=Y","Sort=A","Dates=H","DateFormat=P","Fill=—","Direction=H","UseDPDF=Y")</f>
        <v>#NAME?</v>
      </c>
      <c r="AE304" s="2" t="e">
        <f ca="1">_xll.BDH($C$303,"WORK_CAP_GROWTH","FQ1 2014","FQ1 2014","Currency=INR","Period=FQ","BEST_FPERIOD_OVERRIDE=FQ","FILING_STATUS=OR","EQY_CONSOLIDATED=Y","Sort=A","Dates=H","DateFormat=P","Fill=—","Direction=H","UseDPDF=Y")</f>
        <v>#NAME?</v>
      </c>
      <c r="AF304" s="2" t="e">
        <f ca="1">_xll.BDH($C$303,"ACCOUNTS_PAYABLE_GROWTH_1YR","FQ1 2014","FQ1 2014","Currency=INR","Period=FQ","BEST_FPERIOD_OVERRIDE=FQ","FILING_STATUS=OR","EQY_CONSOLIDATED=Y","Sort=A","Dates=H","DateFormat=P","Fill=—","Direction=H","UseDPDF=Y")</f>
        <v>#NAME?</v>
      </c>
      <c r="AG304" s="2" t="e">
        <f ca="1">_xll.BDH($C$303,"SHORT_TERM_DEBT_1_YEAR_GROWTH","FQ1 2014","FQ1 2014","Currency=INR","Period=FQ","BEST_FPERIOD_OVERRIDE=FQ","FILING_STATUS=OR","EQY_CONSOLIDATED=Y","Sort=A","Dates=H","DateFormat=P","Fill=—","Direction=H","UseDPDF=Y")</f>
        <v>#NAME?</v>
      </c>
      <c r="AH304" s="2" t="e">
        <f ca="1">_xll.BDH($C$303,"TOTAL_DEBT_1_YEAR_GROWTH","FQ1 2014","FQ1 2014","Currency=INR","Period=FQ","BEST_FPERIOD_OVERRIDE=FQ","FILING_STATUS=OR","EQY_CONSOLIDATED=Y","Sort=A","Dates=H","DateFormat=P","Fill=—","Direction=H","UseDPDF=Y")</f>
        <v>#NAME?</v>
      </c>
      <c r="AI304" s="2" t="e">
        <f ca="1">_xll.BDH($C$303,"TOTAL_EQUITY_1_YEAR_GROWTH","FQ1 2014","FQ1 2014","Currency=INR","Period=FQ","BEST_FPERIOD_OVERRIDE=FQ","FILING_STATUS=OR","EQY_CONSOLIDATED=Y","Sort=A","Dates=H","DateFormat=P","Fill=—","Direction=H","UseDPDF=Y")</f>
        <v>#NAME?</v>
      </c>
      <c r="AJ304" s="2" t="e">
        <f ca="1">_xll.BDH($C$303,"GROWTH_IN_CAP","FQ1 2014","FQ1 2014","Currency=INR","Period=FQ","BEST_FPERIOD_OVERRIDE=FQ","FILING_STATUS=OR","EQY_CONSOLIDATED=Y","Sort=A","Dates=H","DateFormat=P","Fill=—","Direction=H","UseDPDF=Y")</f>
        <v>#NAME?</v>
      </c>
      <c r="AK304" s="2" t="e">
        <f ca="1">_xll.BDH($C$303,"BVPS_GROWTH","FQ1 2014","FQ1 2014","Currency=INR","Period=FQ","BEST_FPERIOD_OVERRIDE=FQ","FILING_STATUS=OR","EQY_CONSOLIDATED=Y","Sort=A","Dates=H","DateFormat=P","Fill=—","Direction=H","UseDPDF=Y")</f>
        <v>#NAME?</v>
      </c>
      <c r="AL304" s="2" t="e">
        <f ca="1">_xll.BDH($C$303,"CASH_FLOW_GROWTH","FQ1 2014","FQ1 2014","Currency=INR","Period=FQ","BEST_FPERIOD_OVERRIDE=FQ","FILING_STATUS=OR","EQY_CONSOLIDATED=Y","Sort=A","Dates=H","DateFormat=P","Fill=—","Direction=H","UseDPDF=Y")</f>
        <v>#NAME?</v>
      </c>
      <c r="AM304" s="2" t="e">
        <f ca="1">_xll.BDH($C$303,"GEO_GROW_NET_SALES","FQ1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304" s="2" t="e">
        <f ca="1">_xll.BDH($C$303,"GEO_GROW_EBITDA","FQ1 2014","FQ1 2014","Currency=INR","Period=FQ","BEST_FPERIOD_OVERRIDE=FQ","FILING_STATUS=OR","EQY_CONSOLIDATED=Y","FA_ADJUSTED=GAAP","Sort=A","Dates=H","DateFormat=P","Fill=—","Direction=H","UseDPDF=Y")</f>
        <v>#NAME?</v>
      </c>
      <c r="AO304" s="2" t="e">
        <f ca="1">_xll.BDH($C$303,"GEO_GROW_OPER_INC","FQ1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304" s="2" t="e">
        <f ca="1">_xll.BDH($C$303,"NET_INCOME_TO_COMMON_5_YR_GROWTH","FQ1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304" s="2" t="e">
        <f ca="1">_xll.BDH($C$303,"5Y_GEO_GROWTH_DILUTED_EPS","FQ1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304" s="2" t="e">
        <f ca="1">_xll.BDH($C$303,"GEO_GROW_DVD_PER_SH","FQ1 2014","FQ1 2014","Currency=INR","Period=FQ","BEST_FPERIOD_OVERRIDE=FQ","FILING_STATUS=OR","EQY_CONSOLIDATED=Y","Sort=A","Dates=H","DateFormat=P","Fill=—","Direction=H","UseDPDF=Y")</f>
        <v>#NAME?</v>
      </c>
      <c r="AS304" s="2" t="e">
        <f ca="1">_xll.BDH($C$303,"ACCOUNTS_RECEIVABLE_5_YR_GROWTH","FQ1 2014","FQ1 2014","Currency=INR","Period=FQ","BEST_FPERIOD_OVERRIDE=FQ","FILING_STATUS=OR","EQY_CONSOLIDATED=Y","Sort=A","Dates=H","DateFormat=P","Fill=—","Direction=H","UseDPDF=Y")</f>
        <v>#NAME?</v>
      </c>
      <c r="AT304" s="2" t="e">
        <f ca="1">_xll.BDH($C$303,"INVENTORY_5_YEAR_GROWTH","FQ1 2014","FQ1 2014","Currency=INR","Period=FQ","BEST_FPERIOD_OVERRIDE=FQ","FILING_STATUS=OR","EQY_CONSOLIDATED=Y","Sort=A","Dates=H","DateFormat=P","Fill=—","Direction=H","UseDPDF=Y")</f>
        <v>#NAME?</v>
      </c>
      <c r="AU304" s="2" t="e">
        <f ca="1">_xll.BDH($C$303,"NET_FIXED_ASSETS_5_YEAR_GROWTH","FQ1 2014","FQ1 2014","Currency=INR","Period=FQ","BEST_FPERIOD_OVERRIDE=FQ","FILING_STATUS=OR","EQY_CONSOLIDATED=Y","Sort=A","Dates=H","DateFormat=P","Fill=—","Direction=H","UseDPDF=Y")</f>
        <v>#NAME?</v>
      </c>
      <c r="AV304" s="2" t="e">
        <f ca="1">_xll.BDH($C$303,"GEO_GROW_TOT_ASSET","FQ1 2014","FQ1 2014","Currency=INR","Period=FQ","BEST_FPERIOD_OVERRIDE=FQ","FILING_STATUS=OR","EQY_CONSOLIDATED=Y","Sort=A","Dates=H","DateFormat=P","Fill=—","Direction=H","UseDPDF=Y")</f>
        <v>#NAME?</v>
      </c>
      <c r="AW304" s="2" t="e">
        <f ca="1">_xll.BDH($C$303,"MODIFIED_WORKING_CPTL_5YR_GRWTH","FQ1 2014","FQ1 2014","Currency=INR","Period=FQ","BEST_FPERIOD_OVERRIDE=FQ","FILING_STATUS=OR","EQY_CONSOLIDATED=Y","Sort=A","Dates=H","DateFormat=P","Fill=—","Direction=H","UseDPDF=Y")</f>
        <v>#NAME?</v>
      </c>
      <c r="AX304" s="2" t="e">
        <f ca="1">_xll.BDH($C$303,"WORKING_CAPITAL_5_YEAR_GROWTH","FQ1 2014","FQ1 2014","Currency=INR","Period=FQ","BEST_FPERIOD_OVERRIDE=FQ","FILING_STATUS=OR","EQY_CONSOLIDATED=Y","Sort=A","Dates=H","DateFormat=P","Fill=—","Direction=H","UseDPDF=Y")</f>
        <v>#NAME?</v>
      </c>
      <c r="AY304" s="2" t="e">
        <f ca="1">_xll.BDH($C$303,"ACCOUNTS_PAYABLE_5_YEAR_GROWTH","FQ1 2014","FQ1 2014","Currency=INR","Period=FQ","BEST_FPERIOD_OVERRIDE=FQ","FILING_STATUS=OR","EQY_CONSOLIDATED=Y","Sort=A","Dates=H","DateFormat=P","Fill=—","Direction=H","UseDPDF=Y")</f>
        <v>#NAME?</v>
      </c>
      <c r="AZ304" s="2" t="e">
        <f ca="1">_xll.BDH($C$303,"SHORT_TERM_DEBT_5_YEAR_GROWTH","FQ1 2014","FQ1 2014","Currency=INR","Period=FQ","BEST_FPERIOD_OVERRIDE=FQ","FILING_STATUS=OR","EQY_CONSOLIDATED=Y","Sort=A","Dates=H","DateFormat=P","Fill=—","Direction=H","UseDPDF=Y")</f>
        <v>#NAME?</v>
      </c>
      <c r="BA304" s="2" t="e">
        <f ca="1">_xll.BDH($C$303,"TOTAL_DEBT_5_YEAR_GROWTH","FQ1 2014","FQ1 2014","Currency=INR","Period=FQ","BEST_FPERIOD_OVERRIDE=FQ","FILING_STATUS=OR","EQY_CONSOLIDATED=Y","Sort=A","Dates=H","DateFormat=P","Fill=—","Direction=H","UseDPDF=Y")</f>
        <v>#NAME?</v>
      </c>
      <c r="BB304" s="2" t="e">
        <f ca="1">_xll.BDH($C$303,"GEO_GROW_TOT_SHRHLDR_EQY","FQ1 2014","FQ1 2014","Currency=INR","Period=FQ","BEST_FPERIOD_OVERRIDE=FQ","FILING_STATUS=OR","EQY_CONSOLIDATED=Y","Sort=A","Dates=H","DateFormat=P","Fill=—","Direction=H","UseDPDF=Y")</f>
        <v>#NAME?</v>
      </c>
      <c r="BC304" s="2" t="e">
        <f ca="1">_xll.BDH($C$303,"TOTAL_CAPITAL_5_YEAR_GROWTH","FQ1 2014","FQ1 2014","Currency=INR","Period=FQ","BEST_FPERIOD_OVERRIDE=FQ","FILING_STATUS=OR","EQY_CONSOLIDATED=Y","Sort=A","Dates=H","DateFormat=P","Fill=—","Direction=H","UseDPDF=Y")</f>
        <v>#NAME?</v>
      </c>
      <c r="BD304" s="2" t="e">
        <f ca="1">_xll.BDH($C$303,"GEO_GROW_BOOK_VAL","FQ1 2014","FQ1 2014","Currency=INR","Period=FQ","BEST_FPERIOD_OVERRIDE=FQ","FILING_STATUS=OR","EQY_CONSOLIDATED=Y","Sort=A","Dates=H","DateFormat=P","Fill=—","Direction=H","UseDPDF=Y")</f>
        <v>#NAME?</v>
      </c>
      <c r="BE304" s="2" t="e">
        <f ca="1">_xll.BDH($C$303,"GEO_GROW_CASH_OPER_ACT","FQ1 2014","FQ1 2014","Currency=INR","Period=FQ","BEST_FPERIOD_OVERRIDE=FQ","FILING_STATUS=OR","EQY_CONSOLIDATED=Y","Sort=A","Dates=H","DateFormat=P","Fill=—","Direction=H","UseDPDF=Y")</f>
        <v>#NAME?</v>
      </c>
      <c r="BF304" s="2" t="e">
        <f ca="1">_xll.BDH($C$303,"REVENUE_SEQUENTIAL_GROWTH","FQ1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304" s="2" t="e">
        <f ca="1">_xll.BDH($C$303,"EBITDA_SEQUENTIAL_GROWTH","FQ1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304" s="2" t="e">
        <f ca="1">_xll.BDH($C$303,"OPERATING_INCOME_SEQ_GROWTH","FQ1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304" s="2" t="e">
        <f ca="1">_xll.BDH($C$303,"NET_INCOME_TO_COMMON_SEQ_GROWTH","FQ1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304" s="2" t="e">
        <f ca="1">_xll.BDH($C$303,"EPS_DILUTED_SEQUENTIAL_GROWTH","FQ1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304" s="2" t="e">
        <f ca="1">_xll.BDH($C$303,"DPS_SEQUENTIAL_GROWTH","FQ1 2014","FQ1 2014","Currency=INR","Period=FQ","BEST_FPERIOD_OVERRIDE=FQ","FILING_STATUS=OR","EQY_CONSOLIDATED=Y","Sort=A","Dates=H","DateFormat=P","Fill=—","Direction=H","UseDPDF=Y")</f>
        <v>#NAME?</v>
      </c>
      <c r="BL304" s="2" t="e">
        <f ca="1">_xll.BDH($C$303,"ACCOUNTS_RECEIVABLE_SEQ_GROWTH","FQ1 2014","FQ1 2014","Currency=INR","Period=FQ","BEST_FPERIOD_OVERRIDE=FQ","FILING_STATUS=OR","EQY_CONSOLIDATED=Y","Sort=A","Dates=H","DateFormat=P","Fill=—","Direction=H","UseDPDF=Y")</f>
        <v>#NAME?</v>
      </c>
      <c r="BM304" s="2" t="e">
        <f ca="1">_xll.BDH($C$303,"INVENTORY_SEQUENTIAL_GROWTH","FQ1 2014","FQ1 2014","Currency=INR","Period=FQ","BEST_FPERIOD_OVERRIDE=FQ","FILING_STATUS=OR","EQY_CONSOLIDATED=Y","Sort=A","Dates=H","DateFormat=P","Fill=—","Direction=H","UseDPDF=Y")</f>
        <v>#NAME?</v>
      </c>
      <c r="BN304" s="2" t="e">
        <f ca="1">_xll.BDH($C$303,"FIXED_ASSETS_SEQUENTIAL_GROWTH","FQ1 2014","FQ1 2014","Currency=INR","Period=FQ","BEST_FPERIOD_OVERRIDE=FQ","FILING_STATUS=OR","EQY_CONSOLIDATED=Y","Sort=A","Dates=H","DateFormat=P","Fill=—","Direction=H","UseDPDF=Y")</f>
        <v>#NAME?</v>
      </c>
      <c r="BO304" s="2" t="e">
        <f ca="1">_xll.BDH($C$303,"TOTAL_ASSETS_SEQUENTIAL_GROWTH","FQ1 2014","FQ1 2014","Currency=INR","Period=FQ","BEST_FPERIOD_OVERRIDE=FQ","FILING_STATUS=OR","EQY_CONSOLIDATED=Y","Sort=A","Dates=H","DateFormat=P","Fill=—","Direction=H","UseDPDF=Y")</f>
        <v>#NAME?</v>
      </c>
      <c r="BP304" s="2" t="e">
        <f ca="1">_xll.BDH($C$303,"MODIFIED_WORKING_CPTL_SEQ_GRWTH","FQ1 2014","FQ1 2014","Currency=INR","Period=FQ","BEST_FPERIOD_OVERRIDE=FQ","FILING_STATUS=OR","EQY_CONSOLIDATED=Y","Sort=A","Dates=H","DateFormat=P","Fill=—","Direction=H","UseDPDF=Y")</f>
        <v>#NAME?</v>
      </c>
      <c r="BQ304" s="2" t="e">
        <f ca="1">_xll.BDH($C$303,"WORKING_CAPITAL_SEQ_GROWTH","FQ1 2014","FQ1 2014","Currency=INR","Period=FQ","BEST_FPERIOD_OVERRIDE=FQ","FILING_STATUS=OR","EQY_CONSOLIDATED=Y","Sort=A","Dates=H","DateFormat=P","Fill=—","Direction=H","UseDPDF=Y")</f>
        <v>#NAME?</v>
      </c>
      <c r="BR304" s="2" t="e">
        <f ca="1">_xll.BDH($C$303,"ACCOUNTS_PAYABLE_SEQ_GROWTH","FQ1 2014","FQ1 2014","Currency=INR","Period=FQ","BEST_FPERIOD_OVERRIDE=FQ","FILING_STATUS=OR","EQY_CONSOLIDATED=Y","Sort=A","Dates=H","DateFormat=P","Fill=—","Direction=H","UseDPDF=Y")</f>
        <v>#NAME?</v>
      </c>
      <c r="BS304" s="2" t="e">
        <f ca="1">_xll.BDH($C$303,"ST_DEBT_SEQUENTIAL_GROWTH","FQ1 2014","FQ1 2014","Currency=INR","Period=FQ","BEST_FPERIOD_OVERRIDE=FQ","FILING_STATUS=OR","EQY_CONSOLIDATED=Y","Sort=A","Dates=H","DateFormat=P","Fill=—","Direction=H","UseDPDF=Y")</f>
        <v>#NAME?</v>
      </c>
      <c r="BT304" s="2" t="e">
        <f ca="1">_xll.BDH($C$303,"TOTAL_DEBT_SEQUENTIAL_GROWTH","FQ1 2014","FQ1 2014","Currency=INR","Period=FQ","BEST_FPERIOD_OVERRIDE=FQ","FILING_STATUS=OR","EQY_CONSOLIDATED=Y","Sort=A","Dates=H","DateFormat=P","Fill=—","Direction=H","UseDPDF=Y")</f>
        <v>#NAME?</v>
      </c>
      <c r="BU304" s="2" t="e">
        <f ca="1">_xll.BDH($C$303,"TOTAL_EQUITY_SEQUENTIAL_GROWTH","FQ1 2014","FQ1 2014","Currency=INR","Period=FQ","BEST_FPERIOD_OVERRIDE=FQ","FILING_STATUS=OR","EQY_CONSOLIDATED=Y","Sort=A","Dates=H","DateFormat=P","Fill=—","Direction=H","UseDPDF=Y")</f>
        <v>#NAME?</v>
      </c>
      <c r="BV304" s="2" t="e">
        <f ca="1">_xll.BDH($C$303,"TOTAL_CAPITAL_SEQUENTIAL_GROWTH","FQ1 2014","FQ1 2014","Currency=INR","Period=FQ","BEST_FPERIOD_OVERRIDE=FQ","FILING_STATUS=OR","EQY_CONSOLIDATED=Y","Sort=A","Dates=H","DateFormat=P","Fill=—","Direction=H","UseDPDF=Y")</f>
        <v>#NAME?</v>
      </c>
      <c r="BW304" s="2" t="e">
        <f ca="1">_xll.BDH($C$303,"BPS_SEQUENTIAL_GROWTH","FQ1 2014","FQ1 2014","Currency=INR","Period=FQ","BEST_FPERIOD_OVERRIDE=FQ","FILING_STATUS=OR","EQY_CONSOLIDATED=Y","Sort=A","Dates=H","DateFormat=P","Fill=—","Direction=H","UseDPDF=Y")</f>
        <v>#NAME?</v>
      </c>
      <c r="BX304" s="2" t="e">
        <f ca="1">_xll.BDH($C$303,"CFO_SEQUENTIAL_GROWTH","FQ1 2014","FQ1 2014","Currency=INR","Period=FQ","BEST_FPERIOD_OVERRIDE=FQ","FILING_STATUS=OR","EQY_CONSOLIDATED=Y","Sort=A","Dates=H","DateFormat=P","Fill=—","Direction=H","UseDPDF=Y")</f>
        <v>#NAME?</v>
      </c>
      <c r="BY304" s="3" t="e">
        <f ca="1">_xll.BDH($C$303,"SHORT_AND_LONG_TERM_DEBT","FQ1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304" s="3" t="e">
        <f ca="1">_xll.BDH($C$303,"BS_ST_BORROW","FQ1 2014","FQ1 2014","Currency=INR","Period=FQ","BEST_FPERIOD_OVERRIDE=FQ","FILING_STATUS=OR","EQY_CONSOLIDATED=Y","SCALING_FORMAT=MLN","Sort=A","Dates=H","DateFormat=P","Fill=—","Direction=H","UseDPDF=Y")</f>
        <v>#NAME?</v>
      </c>
      <c r="CA304" s="3" t="e">
        <f ca="1">_xll.BDH($C$303,"BS_LT_BORROW","FQ1 2014","FQ1 2014","Currency=INR","Period=FQ","BEST_FPERIOD_OVERRIDE=FQ","FILING_STATUS=OR","EQY_CONSOLIDATED=Y","SCALING_FORMAT=MLN","Sort=A","Dates=H","DateFormat=P","Fill=—","Direction=H","UseDPDF=Y")</f>
        <v>#NAME?</v>
      </c>
      <c r="CB304" s="2" t="e">
        <f ca="1">_xll.BDH($C$303,"TOT_DEBT_TO_EBITDA","FQ1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304" s="2" t="e">
        <f ca="1">_xll.BDH($C$303,"NET_DEBT_TO_EBITDA","FQ1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304" s="2" t="e">
        <f ca="1">_xll.BDH($C$303,"TOTAL_DEBT_TO_EBIT","FQ1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304" s="2" t="e">
        <f ca="1">_xll.BDH($C$303,"NET_DEBT_TO_EBIT","FQ1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304" s="2" t="e">
        <f ca="1">_xll.BDH($C$303,"EBITDA_TO_INTEREST_EXPN","FQ1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304" s="2" t="e">
        <f ca="1">_xll.BDH($C$303,"COM_EQY_TO_TOT_ASSET","FQ1 2014","FQ1 2014","Currency=INR","Period=FQ","BEST_FPERIOD_OVERRIDE=FQ","FILING_STATUS=OR","EQY_CONSOLIDATED=Y","Sort=A","Dates=H","DateFormat=P","Fill=—","Direction=H","UseDPDF=Y")</f>
        <v>#NAME?</v>
      </c>
      <c r="CH304" s="2" t="e">
        <f ca="1">_xll.BDH($C$303,"LT_DEBT_TO_TOT_EQY","FQ1 2014","FQ1 2014","Currency=INR","Period=FQ","BEST_FPERIOD_OVERRIDE=FQ","FILING_STATUS=OR","EQY_CONSOLIDATED=Y","Sort=A","Dates=H","DateFormat=P","Fill=—","Direction=H","UseDPDF=Y")</f>
        <v>#NAME?</v>
      </c>
      <c r="CI304" s="2" t="e">
        <f ca="1">_xll.BDH($C$303,"LT_DEBT_TO_TOT_CAP","FQ1 2014","FQ1 2014","Currency=INR","Period=FQ","BEST_FPERIOD_OVERRIDE=FQ","FILING_STATUS=OR","EQY_CONSOLIDATED=Y","Sort=A","Dates=H","DateFormat=P","Fill=—","Direction=H","UseDPDF=Y")</f>
        <v>#NAME?</v>
      </c>
      <c r="CJ304" s="2" t="e">
        <f ca="1">_xll.BDH($C$303,"LT_DEBT_TO_TOT_ASSET","FQ1 2014","FQ1 2014","Currency=INR","Period=FQ","BEST_FPERIOD_OVERRIDE=FQ","FILING_STATUS=OR","EQY_CONSOLIDATED=Y","Sort=A","Dates=H","DateFormat=P","Fill=—","Direction=H","UseDPDF=Y")</f>
        <v>#NAME?</v>
      </c>
      <c r="CK304" s="2" t="e">
        <f ca="1">_xll.BDH($C$303,"TOT_DEBT_TO_TOT_EQY","FQ1 2014","FQ1 2014","Currency=INR","Period=FQ","BEST_FPERIOD_OVERRIDE=FQ","FILING_STATUS=OR","EQY_CONSOLIDATED=Y","Sort=A","Dates=H","DateFormat=P","Fill=—","Direction=H","UseDPDF=Y")</f>
        <v>#NAME?</v>
      </c>
      <c r="CL304" s="2" t="e">
        <f ca="1">_xll.BDH($C$303,"TOT_DEBT_TO_TOT_CAP","FQ1 2014","FQ1 2014","Currency=INR","Period=FQ","BEST_FPERIOD_OVERRIDE=FQ","FILING_STATUS=OR","EQY_CONSOLIDATED=Y","Sort=A","Dates=H","DateFormat=P","Fill=—","Direction=H","UseDPDF=Y")</f>
        <v>#NAME?</v>
      </c>
      <c r="CM304" s="2" t="e">
        <f ca="1">_xll.BDH($C$303,"TOT_DEBT_TO_TOT_ASSET","FQ1 2014","FQ1 2014","Currency=INR","Period=FQ","BEST_FPERIOD_OVERRIDE=FQ","FILING_STATUS=OR","EQY_CONSOLIDATED=Y","Sort=A","Dates=H","DateFormat=P","Fill=—","Direction=H","UseDPDF=Y")</f>
        <v>#NAME?</v>
      </c>
      <c r="CN304" s="2" t="e">
        <f ca="1">_xll.BDH($C$303,"NET_DEBT_TO_SHRHLDR_EQTY","FQ1 2014","FQ1 2014","Currency=INR","Period=FQ","BEST_FPERIOD_OVERRIDE=FQ","FILING_STATUS=OR","EQY_CONSOLIDATED=Y","Sort=A","Dates=H","DateFormat=P","Fill=—","Direction=H","UseDPDF=Y")</f>
        <v>#NAME?</v>
      </c>
      <c r="CO304" s="2" t="e">
        <f ca="1">_xll.BDH($C$303,"NET_DEBT_%_CAPITAL","FQ1 2014","FQ1 2014","Currency=INR","Period=FQ","BEST_FPERIOD_OVERRIDE=FQ","FILING_STATUS=OR","EQY_CONSOLIDATED=Y","Sort=A","Dates=H","DateFormat=P","Fill=—","Direction=H","UseDPDF=Y")</f>
        <v>#NAME?</v>
      </c>
      <c r="CP304" s="3" t="e">
        <f ca="1">_xll.BDH($C$303,"EBITDA","FQ1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304" s="3" t="e">
        <f ca="1">_xll.BDH($C$303,"EBITDA_AFTER_CAPEX","FQ1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304" s="3" t="e">
        <f ca="1">_xll.BDH($C$303,"IS_OPER_INC","FQ1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304" s="2" t="e">
        <f ca="1">_xll.BDH($C$303,"CASH_RATIO","FQ1 2014","FQ1 2014","Currency=INR","Period=FQ","BEST_FPERIOD_OVERRIDE=FQ","FILING_STATUS=OR","EQY_CONSOLIDATED=Y","Sort=A","Dates=H","DateFormat=P","Fill=—","Direction=H","UseDPDF=Y")</f>
        <v>#NAME?</v>
      </c>
      <c r="CT304" s="2" t="e">
        <f ca="1">_xll.BDH($C$303,"CUR_RATIO","FQ1 2014","FQ1 2014","Currency=INR","Period=FQ","BEST_FPERIOD_OVERRIDE=FQ","FILING_STATUS=OR","EQY_CONSOLIDATED=Y","Sort=A","Dates=H","DateFormat=P","Fill=—","Direction=H","UseDPDF=Y")</f>
        <v>#NAME?</v>
      </c>
      <c r="CU304" s="2" t="e">
        <f ca="1">_xll.BDH($C$303,"QUICK_RATIO","FQ1 2014","FQ1 2014","Currency=INR","Period=FQ","BEST_FPERIOD_OVERRIDE=FQ","FILING_STATUS=OR","EQY_CONSOLIDATED=Y","Sort=A","Dates=H","DateFormat=P","Fill=—","Direction=H","UseDPDF=Y")</f>
        <v>#NAME?</v>
      </c>
      <c r="CV304" s="2" t="e">
        <f ca="1">_xll.BDH($C$303,"ALTMAN_Z_SCORE","FQ1 2014","FQ1 2014","Currency=INR","Period=FQ","BEST_FPERIOD_OVERRIDE=FQ","FILING_STATUS=OR","EQY_CONSOLIDATED=Y","Sort=A","Dates=H","DateFormat=P","Fill=—","Direction=H","UseDPDF=Y")</f>
        <v>#NAME?</v>
      </c>
      <c r="CW304" s="4" t="e">
        <f ca="1">_xll.BDH($C$303,"ACCT_RCV_TURN","FQ1 2014","FQ1 2014","Currency=INR","Period=FQ","BEST_FPERIOD_OVERRIDE=FQ","FILING_STATUS=OR","EQY_CONSOLIDATED=Y","FA_ADJUSTED=GAAP","Sort=A","Dates=H","DateFormat=P","Fill=—","Direction=H","UseDPDF=Y")</f>
        <v>#NAME?</v>
      </c>
      <c r="CX304" s="2" t="e">
        <f ca="1">_xll.BDH($C$303,"ACCT_RCV_DAYS","FQ1 2014","FQ1 2014","Currency=INR","Period=FQ","BEST_FPERIOD_OVERRIDE=FQ","FILING_STATUS=OR","EQY_CONSOLIDATED=Y","FA_ADJUSTED=GAAP","Sort=A","Dates=H","DateFormat=P","Fill=—","Direction=H","UseDPDF=Y")</f>
        <v>#NAME?</v>
      </c>
      <c r="CY304" s="4" t="e">
        <f ca="1">_xll.BDH($C$303,"INVENT_TURN","FQ1 2014","FQ1 2014","Currency=INR","Period=FQ","BEST_FPERIOD_OVERRIDE=FQ","FILING_STATUS=OR","EQY_CONSOLIDATED=Y","FA_ADJUSTED=GAAP","Sort=A","Dates=H","DateFormat=P","Fill=—","Direction=H","UseDPDF=Y")</f>
        <v>#NAME?</v>
      </c>
      <c r="CZ304" s="2" t="e">
        <f ca="1">_xll.BDH($C$303,"INVENT_DAYS","FQ1 2014","FQ1 2014","Currency=INR","Period=FQ","BEST_FPERIOD_OVERRIDE=FQ","FILING_STATUS=OR","EQY_CONSOLIDATED=Y","FA_ADJUSTED=GAAP","Sort=A","Dates=H","DateFormat=P","Fill=—","Direction=H","UseDPDF=Y")</f>
        <v>#NAME?</v>
      </c>
      <c r="DA304" s="4" t="e">
        <f ca="1">_xll.BDH($C$303,"ACCOUNTS_PAYABLE_TURNOVER","FQ1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304" s="2" t="e">
        <f ca="1">_xll.BDH($C$303,"ACCOUNTS_PAYABLE_TURNOVER_DAYS","FQ1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304" s="4" t="e">
        <f ca="1">_xll.BDH($C$303,"CASH_CONVERSION_CYCLE","FQ1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304" s="4" t="e">
        <f ca="1">_xll.BDH($C$303,"INV_TO_CASH_DAYS","FQ1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304" s="5" t="e">
        <f ca="1">_xll.BDH($C$303,"BS_INVENTORIES","FQ1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304" s="3" t="e">
        <f ca="1">_xll.BDH($C$303,"INVTRY_RAW_MATERIALS","FQ1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304" s="3" t="e">
        <f ca="1">_xll.BDH($C$303,"INVTRY_IN_PROGRESS","FQ1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304" s="3" t="e">
        <f ca="1">_xll.BDH($C$303,"INVTRY_FINISHED_GOODS","FQ1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304" s="3" t="e">
        <f ca="1">_xll.BDH($C$303,"BS_OTHER_INV","FQ1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305" spans="1:113" x14ac:dyDescent="0.3">
      <c r="A305" s="6"/>
      <c r="B305" s="6"/>
      <c r="C305" s="6"/>
      <c r="D305" s="6"/>
      <c r="E305" t="s">
        <v>79</v>
      </c>
      <c r="F305" t="e">
        <f ca="1">_xll.BDH($C$303,"RETURN_COM_EQY","FQ2 2014","FQ2 2014","Currency=INR","Period=FQ","BEST_FPERIOD_OVERRIDE=FQ","FILING_STATUS=OR","EQY_CONSOLIDATED=Y","FA_ADJUSTED=GAAP","Sort=A","Dates=H","DateFormat=P","Fill=—","Direction=H","UseDPDF=Y")</f>
        <v>#NAME?</v>
      </c>
      <c r="G305" t="e">
        <f ca="1">_xll.BDH($C$303,"RETURN_ON_ASSET","FQ2 2014","FQ2 2014","Currency=INR","Period=FQ","BEST_FPERIOD_OVERRIDE=FQ","FILING_STATUS=OR","EQY_CONSOLIDATED=Y","FA_ADJUSTED=GAAP","Sort=A","Dates=H","DateFormat=P","Fill=—","Direction=H","UseDPDF=Y")</f>
        <v>#NAME?</v>
      </c>
      <c r="H305" t="e">
        <f ca="1">_xll.BDH($C$303,"RETURN_ON_CAP","FQ2 2014","FQ2 2014","Currency=INR","Period=FQ","BEST_FPERIOD_OVERRIDE=FQ","FILING_STATUS=OR","EQY_CONSOLIDATED=Y","FA_ADJUSTED=GAAP","Sort=A","Dates=H","DateFormat=P","Fill=—","Direction=H","UseDPDF=Y")</f>
        <v>#NAME?</v>
      </c>
      <c r="I305" t="e">
        <f ca="1">_xll.BDH($C$303,"RETURN_ON_INV_CAPITAL","FQ2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305" t="e">
        <f ca="1">_xll.BDH($C$303,"EBITDA_TO_REVENUE","FQ2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305" t="e">
        <f ca="1">_xll.BDH($C$303,"OPER_MARGIN","FQ2 2014","FQ2 2014","Currency=INR","Period=FQ","BEST_FPERIOD_OVERRIDE=FQ","FILING_STATUS=OR","EQY_CONSOLIDATED=Y","FA_ADJUSTED=GAAP","Sort=A","Dates=H","DateFormat=P","Fill=—","Direction=H","UseDPDF=Y")</f>
        <v>#NAME?</v>
      </c>
      <c r="L305" t="e">
        <f ca="1">_xll.BDH($C$303,"INCREMENTAL_OPERATING_MARGIN","FQ2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305" t="e">
        <f ca="1">_xll.BDH($C$303,"PRETAX_INC_TO_NET_SALES","FQ2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305" t="e">
        <f ca="1">_xll.BDH($C$303,"INC_BEF_XO_ITEMS_TO_NET_SALES","FQ2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305" t="e">
        <f ca="1">_xll.BDH($C$303,"PROF_MARGIN","FQ2 2014","FQ2 2014","Currency=INR","Period=FQ","BEST_FPERIOD_OVERRIDE=FQ","FILING_STATUS=OR","EQY_CONSOLIDATED=Y","FA_ADJUSTED=GAAP","Sort=A","Dates=H","DateFormat=P","Fill=—","Direction=H","UseDPDF=Y")</f>
        <v>#NAME?</v>
      </c>
      <c r="P305" t="e">
        <f ca="1">_xll.BDH($C$303,"NET_INCOME_TO_COMMON_MARGIN","FQ2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305" t="e">
        <f ca="1">_xll.BDH($C$303,"EFF_TAX_RATE","FQ2 2014","FQ2 2014","Currency=INR","Period=FQ","BEST_FPERIOD_OVERRIDE=FQ","FILING_STATUS=OR","EQY_CONSOLIDATED=Y","FA_ADJUSTED=GAAP","Sort=A","Dates=H","DateFormat=P","Fill=—","Direction=H","UseDPDF=Y")</f>
        <v>#NAME?</v>
      </c>
      <c r="R305" t="e">
        <f ca="1">_xll.BDH($C$303,"DVD_PAYOUT_RATIO","FQ2 2014","FQ2 2014","Currency=INR","Period=FQ","BEST_FPERIOD_OVERRIDE=FQ","FILING_STATUS=OR","EQY_CONSOLIDATED=Y","FA_ADJUSTED=GAAP","Sort=A","Dates=H","DateFormat=P","Fill=—","Direction=H","UseDPDF=Y")</f>
        <v>#NAME?</v>
      </c>
      <c r="S305" t="e">
        <f ca="1">_xll.BDH($C$303,"SUSTAIN_GROWTH_RT","FQ2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305" s="2" t="e">
        <f ca="1">_xll.BDH($C$303,"SALES_GROWTH","FQ2 2014","FQ2 2014","Currency=INR","Period=FQ","BEST_FPERIOD_OVERRIDE=FQ","FILING_STATUS=OR","EQY_CONSOLIDATED=Y","FA_ADJUSTED=GAAP","Sort=A","Dates=H","DateFormat=P","Fill=—","Direction=H","UseDPDF=Y")</f>
        <v>#NAME?</v>
      </c>
      <c r="U305" s="2" t="e">
        <f ca="1">_xll.BDH($C$303,"EBITDA_GROWTH","FQ2 2014","FQ2 2014","Currency=INR","Period=FQ","BEST_FPERIOD_OVERRIDE=FQ","FILING_STATUS=OR","EQY_CONSOLIDATED=Y","FA_ADJUSTED=GAAP","Sort=A","Dates=H","DateFormat=P","Fill=—","Direction=H","UseDPDF=Y")</f>
        <v>#NAME?</v>
      </c>
      <c r="V305" s="2" t="e">
        <f ca="1">_xll.BDH($C$303,"OPER_INC_GROWTH","FQ2 2014","FQ2 2014","Currency=INR","Period=FQ","BEST_FPERIOD_OVERRIDE=FQ","FILING_STATUS=OR","EQY_CONSOLIDATED=Y","FA_ADJUSTED=GAAP","Sort=A","Dates=H","DateFormat=P","Fill=—","Direction=H","UseDPDF=Y")</f>
        <v>#NAME?</v>
      </c>
      <c r="W305" s="2" t="e">
        <f ca="1">_xll.BDH($C$303,"EARN_FOR_COM_GROWTH","FQ2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305" s="2" t="e">
        <f ca="1">_xll.BDH($C$303,"DILUTED_EPS_AFT_XO_ITEMS_GROWTH","FQ2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305" s="2" t="e">
        <f ca="1">_xll.BDH($C$303,"DIVIDEND_PER_SHARE_1_YEAR_GROWTH","FQ2 2014","FQ2 2014","Currency=INR","Period=FQ","BEST_FPERIOD_OVERRIDE=FQ","FILING_STATUS=OR","EQY_CONSOLIDATED=Y","Sort=A","Dates=H","DateFormat=P","Fill=—","Direction=H","UseDPDF=Y")</f>
        <v>#NAME?</v>
      </c>
      <c r="Z305" s="2" t="e">
        <f ca="1">_xll.BDH($C$303,"ACCOUNTS_RECEIVABLE_GROWTH","FQ2 2014","FQ2 2014","Currency=INR","Period=FQ","BEST_FPERIOD_OVERRIDE=FQ","FILING_STATUS=OR","EQY_CONSOLIDATED=Y","Sort=A","Dates=H","DateFormat=P","Fill=—","Direction=H","UseDPDF=Y")</f>
        <v>#NAME?</v>
      </c>
      <c r="AA305" s="2" t="e">
        <f ca="1">_xll.BDH($C$303,"INVENTORY_GROWTH","FQ2 2014","FQ2 2014","Currency=INR","Period=FQ","BEST_FPERIOD_OVERRIDE=FQ","FILING_STATUS=OR","EQY_CONSOLIDATED=Y","Sort=A","Dates=H","DateFormat=P","Fill=—","Direction=H","UseDPDF=Y")</f>
        <v>#NAME?</v>
      </c>
      <c r="AB305" s="2" t="e">
        <f ca="1">_xll.BDH($C$303,"NET_FIXED_ASSETS_1_YEAR_GROWTH","FQ2 2014","FQ2 2014","Currency=INR","Period=FQ","BEST_FPERIOD_OVERRIDE=FQ","FILING_STATUS=OR","EQY_CONSOLIDATED=Y","Sort=A","Dates=H","DateFormat=P","Fill=—","Direction=H","UseDPDF=Y")</f>
        <v>#NAME?</v>
      </c>
      <c r="AC305" s="2" t="e">
        <f ca="1">_xll.BDH($C$303,"ASSET_GROWTH","FQ2 2014","FQ2 2014","Currency=INR","Period=FQ","BEST_FPERIOD_OVERRIDE=FQ","FILING_STATUS=OR","EQY_CONSOLIDATED=Y","Sort=A","Dates=H","DateFormat=P","Fill=—","Direction=H","UseDPDF=Y")</f>
        <v>#NAME?</v>
      </c>
      <c r="AD305" s="2" t="e">
        <f ca="1">_xll.BDH($C$303,"MODIFIED_WORK_CAP_GROWTH","FQ2 2014","FQ2 2014","Currency=INR","Period=FQ","BEST_FPERIOD_OVERRIDE=FQ","FILING_STATUS=OR","EQY_CONSOLIDATED=Y","Sort=A","Dates=H","DateFormat=P","Fill=—","Direction=H","UseDPDF=Y")</f>
        <v>#NAME?</v>
      </c>
      <c r="AE305" s="2" t="e">
        <f ca="1">_xll.BDH($C$303,"WORK_CAP_GROWTH","FQ2 2014","FQ2 2014","Currency=INR","Period=FQ","BEST_FPERIOD_OVERRIDE=FQ","FILING_STATUS=OR","EQY_CONSOLIDATED=Y","Sort=A","Dates=H","DateFormat=P","Fill=—","Direction=H","UseDPDF=Y")</f>
        <v>#NAME?</v>
      </c>
      <c r="AF305" s="2" t="e">
        <f ca="1">_xll.BDH($C$303,"ACCOUNTS_PAYABLE_GROWTH_1YR","FQ2 2014","FQ2 2014","Currency=INR","Period=FQ","BEST_FPERIOD_OVERRIDE=FQ","FILING_STATUS=OR","EQY_CONSOLIDATED=Y","Sort=A","Dates=H","DateFormat=P","Fill=—","Direction=H","UseDPDF=Y")</f>
        <v>#NAME?</v>
      </c>
      <c r="AG305" s="2" t="e">
        <f ca="1">_xll.BDH($C$303,"SHORT_TERM_DEBT_1_YEAR_GROWTH","FQ2 2014","FQ2 2014","Currency=INR","Period=FQ","BEST_FPERIOD_OVERRIDE=FQ","FILING_STATUS=OR","EQY_CONSOLIDATED=Y","Sort=A","Dates=H","DateFormat=P","Fill=—","Direction=H","UseDPDF=Y")</f>
        <v>#NAME?</v>
      </c>
      <c r="AH305" s="2" t="e">
        <f ca="1">_xll.BDH($C$303,"TOTAL_DEBT_1_YEAR_GROWTH","FQ2 2014","FQ2 2014","Currency=INR","Period=FQ","BEST_FPERIOD_OVERRIDE=FQ","FILING_STATUS=OR","EQY_CONSOLIDATED=Y","Sort=A","Dates=H","DateFormat=P","Fill=—","Direction=H","UseDPDF=Y")</f>
        <v>#NAME?</v>
      </c>
      <c r="AI305" s="2" t="e">
        <f ca="1">_xll.BDH($C$303,"TOTAL_EQUITY_1_YEAR_GROWTH","FQ2 2014","FQ2 2014","Currency=INR","Period=FQ","BEST_FPERIOD_OVERRIDE=FQ","FILING_STATUS=OR","EQY_CONSOLIDATED=Y","Sort=A","Dates=H","DateFormat=P","Fill=—","Direction=H","UseDPDF=Y")</f>
        <v>#NAME?</v>
      </c>
      <c r="AJ305" s="2" t="e">
        <f ca="1">_xll.BDH($C$303,"GROWTH_IN_CAP","FQ2 2014","FQ2 2014","Currency=INR","Period=FQ","BEST_FPERIOD_OVERRIDE=FQ","FILING_STATUS=OR","EQY_CONSOLIDATED=Y","Sort=A","Dates=H","DateFormat=P","Fill=—","Direction=H","UseDPDF=Y")</f>
        <v>#NAME?</v>
      </c>
      <c r="AK305" s="2" t="e">
        <f ca="1">_xll.BDH($C$303,"BVPS_GROWTH","FQ2 2014","FQ2 2014","Currency=INR","Period=FQ","BEST_FPERIOD_OVERRIDE=FQ","FILING_STATUS=OR","EQY_CONSOLIDATED=Y","Sort=A","Dates=H","DateFormat=P","Fill=—","Direction=H","UseDPDF=Y")</f>
        <v>#NAME?</v>
      </c>
      <c r="AL305" s="2" t="e">
        <f ca="1">_xll.BDH($C$303,"CASH_FLOW_GROWTH","FQ2 2014","FQ2 2014","Currency=INR","Period=FQ","BEST_FPERIOD_OVERRIDE=FQ","FILING_STATUS=OR","EQY_CONSOLIDATED=Y","Sort=A","Dates=H","DateFormat=P","Fill=—","Direction=H","UseDPDF=Y")</f>
        <v>#NAME?</v>
      </c>
      <c r="AM305" s="2" t="e">
        <f ca="1">_xll.BDH($C$303,"GEO_GROW_NET_SALES","FQ2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305" s="2" t="e">
        <f ca="1">_xll.BDH($C$303,"GEO_GROW_EBITDA","FQ2 2014","FQ2 2014","Currency=INR","Period=FQ","BEST_FPERIOD_OVERRIDE=FQ","FILING_STATUS=OR","EQY_CONSOLIDATED=Y","FA_ADJUSTED=GAAP","Sort=A","Dates=H","DateFormat=P","Fill=—","Direction=H","UseDPDF=Y")</f>
        <v>#NAME?</v>
      </c>
      <c r="AO305" s="2" t="e">
        <f ca="1">_xll.BDH($C$303,"GEO_GROW_OPER_INC","FQ2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305" s="2" t="e">
        <f ca="1">_xll.BDH($C$303,"NET_INCOME_TO_COMMON_5_YR_GROWTH","FQ2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305" s="2" t="e">
        <f ca="1">_xll.BDH($C$303,"5Y_GEO_GROWTH_DILUTED_EPS","FQ2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305" s="2" t="e">
        <f ca="1">_xll.BDH($C$303,"GEO_GROW_DVD_PER_SH","FQ2 2014","FQ2 2014","Currency=INR","Period=FQ","BEST_FPERIOD_OVERRIDE=FQ","FILING_STATUS=OR","EQY_CONSOLIDATED=Y","Sort=A","Dates=H","DateFormat=P","Fill=—","Direction=H","UseDPDF=Y")</f>
        <v>#NAME?</v>
      </c>
      <c r="AS305" s="2" t="e">
        <f ca="1">_xll.BDH($C$303,"ACCOUNTS_RECEIVABLE_5_YR_GROWTH","FQ2 2014","FQ2 2014","Currency=INR","Period=FQ","BEST_FPERIOD_OVERRIDE=FQ","FILING_STATUS=OR","EQY_CONSOLIDATED=Y","Sort=A","Dates=H","DateFormat=P","Fill=—","Direction=H","UseDPDF=Y")</f>
        <v>#NAME?</v>
      </c>
      <c r="AT305" s="2" t="e">
        <f ca="1">_xll.BDH($C$303,"INVENTORY_5_YEAR_GROWTH","FQ2 2014","FQ2 2014","Currency=INR","Period=FQ","BEST_FPERIOD_OVERRIDE=FQ","FILING_STATUS=OR","EQY_CONSOLIDATED=Y","Sort=A","Dates=H","DateFormat=P","Fill=—","Direction=H","UseDPDF=Y")</f>
        <v>#NAME?</v>
      </c>
      <c r="AU305" s="2" t="e">
        <f ca="1">_xll.BDH($C$303,"NET_FIXED_ASSETS_5_YEAR_GROWTH","FQ2 2014","FQ2 2014","Currency=INR","Period=FQ","BEST_FPERIOD_OVERRIDE=FQ","FILING_STATUS=OR","EQY_CONSOLIDATED=Y","Sort=A","Dates=H","DateFormat=P","Fill=—","Direction=H","UseDPDF=Y")</f>
        <v>#NAME?</v>
      </c>
      <c r="AV305" s="2" t="e">
        <f ca="1">_xll.BDH($C$303,"GEO_GROW_TOT_ASSET","FQ2 2014","FQ2 2014","Currency=INR","Period=FQ","BEST_FPERIOD_OVERRIDE=FQ","FILING_STATUS=OR","EQY_CONSOLIDATED=Y","Sort=A","Dates=H","DateFormat=P","Fill=—","Direction=H","UseDPDF=Y")</f>
        <v>#NAME?</v>
      </c>
      <c r="AW305" s="2" t="e">
        <f ca="1">_xll.BDH($C$303,"MODIFIED_WORKING_CPTL_5YR_GRWTH","FQ2 2014","FQ2 2014","Currency=INR","Period=FQ","BEST_FPERIOD_OVERRIDE=FQ","FILING_STATUS=OR","EQY_CONSOLIDATED=Y","Sort=A","Dates=H","DateFormat=P","Fill=—","Direction=H","UseDPDF=Y")</f>
        <v>#NAME?</v>
      </c>
      <c r="AX305" s="2" t="e">
        <f ca="1">_xll.BDH($C$303,"WORKING_CAPITAL_5_YEAR_GROWTH","FQ2 2014","FQ2 2014","Currency=INR","Period=FQ","BEST_FPERIOD_OVERRIDE=FQ","FILING_STATUS=OR","EQY_CONSOLIDATED=Y","Sort=A","Dates=H","DateFormat=P","Fill=—","Direction=H","UseDPDF=Y")</f>
        <v>#NAME?</v>
      </c>
      <c r="AY305" s="2" t="e">
        <f ca="1">_xll.BDH($C$303,"ACCOUNTS_PAYABLE_5_YEAR_GROWTH","FQ2 2014","FQ2 2014","Currency=INR","Period=FQ","BEST_FPERIOD_OVERRIDE=FQ","FILING_STATUS=OR","EQY_CONSOLIDATED=Y","Sort=A","Dates=H","DateFormat=P","Fill=—","Direction=H","UseDPDF=Y")</f>
        <v>#NAME?</v>
      </c>
      <c r="AZ305" s="2" t="e">
        <f ca="1">_xll.BDH($C$303,"SHORT_TERM_DEBT_5_YEAR_GROWTH","FQ2 2014","FQ2 2014","Currency=INR","Period=FQ","BEST_FPERIOD_OVERRIDE=FQ","FILING_STATUS=OR","EQY_CONSOLIDATED=Y","Sort=A","Dates=H","DateFormat=P","Fill=—","Direction=H","UseDPDF=Y")</f>
        <v>#NAME?</v>
      </c>
      <c r="BA305" s="2" t="e">
        <f ca="1">_xll.BDH($C$303,"TOTAL_DEBT_5_YEAR_GROWTH","FQ2 2014","FQ2 2014","Currency=INR","Period=FQ","BEST_FPERIOD_OVERRIDE=FQ","FILING_STATUS=OR","EQY_CONSOLIDATED=Y","Sort=A","Dates=H","DateFormat=P","Fill=—","Direction=H","UseDPDF=Y")</f>
        <v>#NAME?</v>
      </c>
      <c r="BB305" s="2" t="e">
        <f ca="1">_xll.BDH($C$303,"GEO_GROW_TOT_SHRHLDR_EQY","FQ2 2014","FQ2 2014","Currency=INR","Period=FQ","BEST_FPERIOD_OVERRIDE=FQ","FILING_STATUS=OR","EQY_CONSOLIDATED=Y","Sort=A","Dates=H","DateFormat=P","Fill=—","Direction=H","UseDPDF=Y")</f>
        <v>#NAME?</v>
      </c>
      <c r="BC305" s="2" t="e">
        <f ca="1">_xll.BDH($C$303,"TOTAL_CAPITAL_5_YEAR_GROWTH","FQ2 2014","FQ2 2014","Currency=INR","Period=FQ","BEST_FPERIOD_OVERRIDE=FQ","FILING_STATUS=OR","EQY_CONSOLIDATED=Y","Sort=A","Dates=H","DateFormat=P","Fill=—","Direction=H","UseDPDF=Y")</f>
        <v>#NAME?</v>
      </c>
      <c r="BD305" s="2" t="e">
        <f ca="1">_xll.BDH($C$303,"GEO_GROW_BOOK_VAL","FQ2 2014","FQ2 2014","Currency=INR","Period=FQ","BEST_FPERIOD_OVERRIDE=FQ","FILING_STATUS=OR","EQY_CONSOLIDATED=Y","Sort=A","Dates=H","DateFormat=P","Fill=—","Direction=H","UseDPDF=Y")</f>
        <v>#NAME?</v>
      </c>
      <c r="BE305" s="2" t="e">
        <f ca="1">_xll.BDH($C$303,"GEO_GROW_CASH_OPER_ACT","FQ2 2014","FQ2 2014","Currency=INR","Period=FQ","BEST_FPERIOD_OVERRIDE=FQ","FILING_STATUS=OR","EQY_CONSOLIDATED=Y","Sort=A","Dates=H","DateFormat=P","Fill=—","Direction=H","UseDPDF=Y")</f>
        <v>#NAME?</v>
      </c>
      <c r="BF305" s="2" t="e">
        <f ca="1">_xll.BDH($C$303,"REVENUE_SEQUENTIAL_GROWTH","FQ2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305" s="2" t="e">
        <f ca="1">_xll.BDH($C$303,"EBITDA_SEQUENTIAL_GROWTH","FQ2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305" s="2" t="e">
        <f ca="1">_xll.BDH($C$303,"OPERATING_INCOME_SEQ_GROWTH","FQ2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305" s="2" t="e">
        <f ca="1">_xll.BDH($C$303,"NET_INCOME_TO_COMMON_SEQ_GROWTH","FQ2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305" s="2" t="e">
        <f ca="1">_xll.BDH($C$303,"EPS_DILUTED_SEQUENTIAL_GROWTH","FQ2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305" s="2" t="e">
        <f ca="1">_xll.BDH($C$303,"DPS_SEQUENTIAL_GROWTH","FQ2 2014","FQ2 2014","Currency=INR","Period=FQ","BEST_FPERIOD_OVERRIDE=FQ","FILING_STATUS=OR","EQY_CONSOLIDATED=Y","Sort=A","Dates=H","DateFormat=P","Fill=—","Direction=H","UseDPDF=Y")</f>
        <v>#NAME?</v>
      </c>
      <c r="BL305" s="2" t="e">
        <f ca="1">_xll.BDH($C$303,"ACCOUNTS_RECEIVABLE_SEQ_GROWTH","FQ2 2014","FQ2 2014","Currency=INR","Period=FQ","BEST_FPERIOD_OVERRIDE=FQ","FILING_STATUS=OR","EQY_CONSOLIDATED=Y","Sort=A","Dates=H","DateFormat=P","Fill=—","Direction=H","UseDPDF=Y")</f>
        <v>#NAME?</v>
      </c>
      <c r="BM305" s="2" t="e">
        <f ca="1">_xll.BDH($C$303,"INVENTORY_SEQUENTIAL_GROWTH","FQ2 2014","FQ2 2014","Currency=INR","Period=FQ","BEST_FPERIOD_OVERRIDE=FQ","FILING_STATUS=OR","EQY_CONSOLIDATED=Y","Sort=A","Dates=H","DateFormat=P","Fill=—","Direction=H","UseDPDF=Y")</f>
        <v>#NAME?</v>
      </c>
      <c r="BN305" s="2" t="e">
        <f ca="1">_xll.BDH($C$303,"FIXED_ASSETS_SEQUENTIAL_GROWTH","FQ2 2014","FQ2 2014","Currency=INR","Period=FQ","BEST_FPERIOD_OVERRIDE=FQ","FILING_STATUS=OR","EQY_CONSOLIDATED=Y","Sort=A","Dates=H","DateFormat=P","Fill=—","Direction=H","UseDPDF=Y")</f>
        <v>#NAME?</v>
      </c>
      <c r="BO305" s="2" t="e">
        <f ca="1">_xll.BDH($C$303,"TOTAL_ASSETS_SEQUENTIAL_GROWTH","FQ2 2014","FQ2 2014","Currency=INR","Period=FQ","BEST_FPERIOD_OVERRIDE=FQ","FILING_STATUS=OR","EQY_CONSOLIDATED=Y","Sort=A","Dates=H","DateFormat=P","Fill=—","Direction=H","UseDPDF=Y")</f>
        <v>#NAME?</v>
      </c>
      <c r="BP305" s="2" t="e">
        <f ca="1">_xll.BDH($C$303,"MODIFIED_WORKING_CPTL_SEQ_GRWTH","FQ2 2014","FQ2 2014","Currency=INR","Period=FQ","BEST_FPERIOD_OVERRIDE=FQ","FILING_STATUS=OR","EQY_CONSOLIDATED=Y","Sort=A","Dates=H","DateFormat=P","Fill=—","Direction=H","UseDPDF=Y")</f>
        <v>#NAME?</v>
      </c>
      <c r="BQ305" s="2" t="e">
        <f ca="1">_xll.BDH($C$303,"WORKING_CAPITAL_SEQ_GROWTH","FQ2 2014","FQ2 2014","Currency=INR","Period=FQ","BEST_FPERIOD_OVERRIDE=FQ","FILING_STATUS=OR","EQY_CONSOLIDATED=Y","Sort=A","Dates=H","DateFormat=P","Fill=—","Direction=H","UseDPDF=Y")</f>
        <v>#NAME?</v>
      </c>
      <c r="BR305" s="2" t="e">
        <f ca="1">_xll.BDH($C$303,"ACCOUNTS_PAYABLE_SEQ_GROWTH","FQ2 2014","FQ2 2014","Currency=INR","Period=FQ","BEST_FPERIOD_OVERRIDE=FQ","FILING_STATUS=OR","EQY_CONSOLIDATED=Y","Sort=A","Dates=H","DateFormat=P","Fill=—","Direction=H","UseDPDF=Y")</f>
        <v>#NAME?</v>
      </c>
      <c r="BS305" s="2" t="e">
        <f ca="1">_xll.BDH($C$303,"ST_DEBT_SEQUENTIAL_GROWTH","FQ2 2014","FQ2 2014","Currency=INR","Period=FQ","BEST_FPERIOD_OVERRIDE=FQ","FILING_STATUS=OR","EQY_CONSOLIDATED=Y","Sort=A","Dates=H","DateFormat=P","Fill=—","Direction=H","UseDPDF=Y")</f>
        <v>#NAME?</v>
      </c>
      <c r="BT305" s="2" t="e">
        <f ca="1">_xll.BDH($C$303,"TOTAL_DEBT_SEQUENTIAL_GROWTH","FQ2 2014","FQ2 2014","Currency=INR","Period=FQ","BEST_FPERIOD_OVERRIDE=FQ","FILING_STATUS=OR","EQY_CONSOLIDATED=Y","Sort=A","Dates=H","DateFormat=P","Fill=—","Direction=H","UseDPDF=Y")</f>
        <v>#NAME?</v>
      </c>
      <c r="BU305" s="2" t="e">
        <f ca="1">_xll.BDH($C$303,"TOTAL_EQUITY_SEQUENTIAL_GROWTH","FQ2 2014","FQ2 2014","Currency=INR","Period=FQ","BEST_FPERIOD_OVERRIDE=FQ","FILING_STATUS=OR","EQY_CONSOLIDATED=Y","Sort=A","Dates=H","DateFormat=P","Fill=—","Direction=H","UseDPDF=Y")</f>
        <v>#NAME?</v>
      </c>
      <c r="BV305" s="2" t="e">
        <f ca="1">_xll.BDH($C$303,"TOTAL_CAPITAL_SEQUENTIAL_GROWTH","FQ2 2014","FQ2 2014","Currency=INR","Period=FQ","BEST_FPERIOD_OVERRIDE=FQ","FILING_STATUS=OR","EQY_CONSOLIDATED=Y","Sort=A","Dates=H","DateFormat=P","Fill=—","Direction=H","UseDPDF=Y")</f>
        <v>#NAME?</v>
      </c>
      <c r="BW305" s="2" t="e">
        <f ca="1">_xll.BDH($C$303,"BPS_SEQUENTIAL_GROWTH","FQ2 2014","FQ2 2014","Currency=INR","Period=FQ","BEST_FPERIOD_OVERRIDE=FQ","FILING_STATUS=OR","EQY_CONSOLIDATED=Y","Sort=A","Dates=H","DateFormat=P","Fill=—","Direction=H","UseDPDF=Y")</f>
        <v>#NAME?</v>
      </c>
      <c r="BX305" s="2" t="e">
        <f ca="1">_xll.BDH($C$303,"CFO_SEQUENTIAL_GROWTH","FQ2 2014","FQ2 2014","Currency=INR","Period=FQ","BEST_FPERIOD_OVERRIDE=FQ","FILING_STATUS=OR","EQY_CONSOLIDATED=Y","Sort=A","Dates=H","DateFormat=P","Fill=—","Direction=H","UseDPDF=Y")</f>
        <v>#NAME?</v>
      </c>
      <c r="BY305" s="3" t="e">
        <f ca="1">_xll.BDH($C$303,"SHORT_AND_LONG_TERM_DEBT","FQ2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305" s="3" t="e">
        <f ca="1">_xll.BDH($C$303,"BS_ST_BORROW","FQ2 2014","FQ2 2014","Currency=INR","Period=FQ","BEST_FPERIOD_OVERRIDE=FQ","FILING_STATUS=OR","EQY_CONSOLIDATED=Y","SCALING_FORMAT=MLN","Sort=A","Dates=H","DateFormat=P","Fill=—","Direction=H","UseDPDF=Y")</f>
        <v>#NAME?</v>
      </c>
      <c r="CA305" s="3" t="e">
        <f ca="1">_xll.BDH($C$303,"BS_LT_BORROW","FQ2 2014","FQ2 2014","Currency=INR","Period=FQ","BEST_FPERIOD_OVERRIDE=FQ","FILING_STATUS=OR","EQY_CONSOLIDATED=Y","SCALING_FORMAT=MLN","Sort=A","Dates=H","DateFormat=P","Fill=—","Direction=H","UseDPDF=Y")</f>
        <v>#NAME?</v>
      </c>
      <c r="CB305" s="2" t="e">
        <f ca="1">_xll.BDH($C$303,"TOT_DEBT_TO_EBITDA","FQ2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305" s="2" t="e">
        <f ca="1">_xll.BDH($C$303,"NET_DEBT_TO_EBITDA","FQ2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305" s="2" t="e">
        <f ca="1">_xll.BDH($C$303,"TOTAL_DEBT_TO_EBIT","FQ2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305" s="2" t="e">
        <f ca="1">_xll.BDH($C$303,"NET_DEBT_TO_EBIT","FQ2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305" s="2" t="e">
        <f ca="1">_xll.BDH($C$303,"EBITDA_TO_INTEREST_EXPN","FQ2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305" s="2" t="e">
        <f ca="1">_xll.BDH($C$303,"COM_EQY_TO_TOT_ASSET","FQ2 2014","FQ2 2014","Currency=INR","Period=FQ","BEST_FPERIOD_OVERRIDE=FQ","FILING_STATUS=OR","EQY_CONSOLIDATED=Y","Sort=A","Dates=H","DateFormat=P","Fill=—","Direction=H","UseDPDF=Y")</f>
        <v>#NAME?</v>
      </c>
      <c r="CH305" s="2" t="e">
        <f ca="1">_xll.BDH($C$303,"LT_DEBT_TO_TOT_EQY","FQ2 2014","FQ2 2014","Currency=INR","Period=FQ","BEST_FPERIOD_OVERRIDE=FQ","FILING_STATUS=OR","EQY_CONSOLIDATED=Y","Sort=A","Dates=H","DateFormat=P","Fill=—","Direction=H","UseDPDF=Y")</f>
        <v>#NAME?</v>
      </c>
      <c r="CI305" s="2" t="e">
        <f ca="1">_xll.BDH($C$303,"LT_DEBT_TO_TOT_CAP","FQ2 2014","FQ2 2014","Currency=INR","Period=FQ","BEST_FPERIOD_OVERRIDE=FQ","FILING_STATUS=OR","EQY_CONSOLIDATED=Y","Sort=A","Dates=H","DateFormat=P","Fill=—","Direction=H","UseDPDF=Y")</f>
        <v>#NAME?</v>
      </c>
      <c r="CJ305" s="2" t="e">
        <f ca="1">_xll.BDH($C$303,"LT_DEBT_TO_TOT_ASSET","FQ2 2014","FQ2 2014","Currency=INR","Period=FQ","BEST_FPERIOD_OVERRIDE=FQ","FILING_STATUS=OR","EQY_CONSOLIDATED=Y","Sort=A","Dates=H","DateFormat=P","Fill=—","Direction=H","UseDPDF=Y")</f>
        <v>#NAME?</v>
      </c>
      <c r="CK305" s="2" t="e">
        <f ca="1">_xll.BDH($C$303,"TOT_DEBT_TO_TOT_EQY","FQ2 2014","FQ2 2014","Currency=INR","Period=FQ","BEST_FPERIOD_OVERRIDE=FQ","FILING_STATUS=OR","EQY_CONSOLIDATED=Y","Sort=A","Dates=H","DateFormat=P","Fill=—","Direction=H","UseDPDF=Y")</f>
        <v>#NAME?</v>
      </c>
      <c r="CL305" s="2" t="e">
        <f ca="1">_xll.BDH($C$303,"TOT_DEBT_TO_TOT_CAP","FQ2 2014","FQ2 2014","Currency=INR","Period=FQ","BEST_FPERIOD_OVERRIDE=FQ","FILING_STATUS=OR","EQY_CONSOLIDATED=Y","Sort=A","Dates=H","DateFormat=P","Fill=—","Direction=H","UseDPDF=Y")</f>
        <v>#NAME?</v>
      </c>
      <c r="CM305" s="2" t="e">
        <f ca="1">_xll.BDH($C$303,"TOT_DEBT_TO_TOT_ASSET","FQ2 2014","FQ2 2014","Currency=INR","Period=FQ","BEST_FPERIOD_OVERRIDE=FQ","FILING_STATUS=OR","EQY_CONSOLIDATED=Y","Sort=A","Dates=H","DateFormat=P","Fill=—","Direction=H","UseDPDF=Y")</f>
        <v>#NAME?</v>
      </c>
      <c r="CN305" s="2" t="e">
        <f ca="1">_xll.BDH($C$303,"NET_DEBT_TO_SHRHLDR_EQTY","FQ2 2014","FQ2 2014","Currency=INR","Period=FQ","BEST_FPERIOD_OVERRIDE=FQ","FILING_STATUS=OR","EQY_CONSOLIDATED=Y","Sort=A","Dates=H","DateFormat=P","Fill=—","Direction=H","UseDPDF=Y")</f>
        <v>#NAME?</v>
      </c>
      <c r="CO305" s="2" t="e">
        <f ca="1">_xll.BDH($C$303,"NET_DEBT_%_CAPITAL","FQ2 2014","FQ2 2014","Currency=INR","Period=FQ","BEST_FPERIOD_OVERRIDE=FQ","FILING_STATUS=OR","EQY_CONSOLIDATED=Y","Sort=A","Dates=H","DateFormat=P","Fill=—","Direction=H","UseDPDF=Y")</f>
        <v>#NAME?</v>
      </c>
      <c r="CP305" s="3" t="e">
        <f ca="1">_xll.BDH($C$303,"EBITDA","FQ2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305" s="3" t="e">
        <f ca="1">_xll.BDH($C$303,"EBITDA_AFTER_CAPEX","FQ2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305" s="3" t="e">
        <f ca="1">_xll.BDH($C$303,"IS_OPER_INC","FQ2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305" s="2" t="e">
        <f ca="1">_xll.BDH($C$303,"CASH_RATIO","FQ2 2014","FQ2 2014","Currency=INR","Period=FQ","BEST_FPERIOD_OVERRIDE=FQ","FILING_STATUS=OR","EQY_CONSOLIDATED=Y","Sort=A","Dates=H","DateFormat=P","Fill=—","Direction=H","UseDPDF=Y")</f>
        <v>#NAME?</v>
      </c>
      <c r="CT305" s="2" t="e">
        <f ca="1">_xll.BDH($C$303,"CUR_RATIO","FQ2 2014","FQ2 2014","Currency=INR","Period=FQ","BEST_FPERIOD_OVERRIDE=FQ","FILING_STATUS=OR","EQY_CONSOLIDATED=Y","Sort=A","Dates=H","DateFormat=P","Fill=—","Direction=H","UseDPDF=Y")</f>
        <v>#NAME?</v>
      </c>
      <c r="CU305" s="2" t="e">
        <f ca="1">_xll.BDH($C$303,"QUICK_RATIO","FQ2 2014","FQ2 2014","Currency=INR","Period=FQ","BEST_FPERIOD_OVERRIDE=FQ","FILING_STATUS=OR","EQY_CONSOLIDATED=Y","Sort=A","Dates=H","DateFormat=P","Fill=—","Direction=H","UseDPDF=Y")</f>
        <v>#NAME?</v>
      </c>
      <c r="CV305" s="2" t="e">
        <f ca="1">_xll.BDH($C$303,"ALTMAN_Z_SCORE","FQ2 2014","FQ2 2014","Currency=INR","Period=FQ","BEST_FPERIOD_OVERRIDE=FQ","FILING_STATUS=OR","EQY_CONSOLIDATED=Y","Sort=A","Dates=H","DateFormat=P","Fill=—","Direction=H","UseDPDF=Y")</f>
        <v>#NAME?</v>
      </c>
      <c r="CW305" s="4" t="e">
        <f ca="1">_xll.BDH($C$303,"ACCT_RCV_TURN","FQ2 2014","FQ2 2014","Currency=INR","Period=FQ","BEST_FPERIOD_OVERRIDE=FQ","FILING_STATUS=OR","EQY_CONSOLIDATED=Y","FA_ADJUSTED=GAAP","Sort=A","Dates=H","DateFormat=P","Fill=—","Direction=H","UseDPDF=Y")</f>
        <v>#NAME?</v>
      </c>
      <c r="CX305" s="2" t="e">
        <f ca="1">_xll.BDH($C$303,"ACCT_RCV_DAYS","FQ2 2014","FQ2 2014","Currency=INR","Period=FQ","BEST_FPERIOD_OVERRIDE=FQ","FILING_STATUS=OR","EQY_CONSOLIDATED=Y","FA_ADJUSTED=GAAP","Sort=A","Dates=H","DateFormat=P","Fill=—","Direction=H","UseDPDF=Y")</f>
        <v>#NAME?</v>
      </c>
      <c r="CY305" s="4" t="e">
        <f ca="1">_xll.BDH($C$303,"INVENT_TURN","FQ2 2014","FQ2 2014","Currency=INR","Period=FQ","BEST_FPERIOD_OVERRIDE=FQ","FILING_STATUS=OR","EQY_CONSOLIDATED=Y","FA_ADJUSTED=GAAP","Sort=A","Dates=H","DateFormat=P","Fill=—","Direction=H","UseDPDF=Y")</f>
        <v>#NAME?</v>
      </c>
      <c r="CZ305" s="2" t="e">
        <f ca="1">_xll.BDH($C$303,"INVENT_DAYS","FQ2 2014","FQ2 2014","Currency=INR","Period=FQ","BEST_FPERIOD_OVERRIDE=FQ","FILING_STATUS=OR","EQY_CONSOLIDATED=Y","FA_ADJUSTED=GAAP","Sort=A","Dates=H","DateFormat=P","Fill=—","Direction=H","UseDPDF=Y")</f>
        <v>#NAME?</v>
      </c>
      <c r="DA305" s="4" t="e">
        <f ca="1">_xll.BDH($C$303,"ACCOUNTS_PAYABLE_TURNOVER","FQ2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305" s="2" t="e">
        <f ca="1">_xll.BDH($C$303,"ACCOUNTS_PAYABLE_TURNOVER_DAYS","FQ2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305" s="4" t="e">
        <f ca="1">_xll.BDH($C$303,"CASH_CONVERSION_CYCLE","FQ2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305" s="4" t="e">
        <f ca="1">_xll.BDH($C$303,"INV_TO_CASH_DAYS","FQ2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305" s="5" t="e">
        <f ca="1">_xll.BDH($C$303,"BS_INVENTORIES","FQ2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305" s="3" t="e">
        <f ca="1">_xll.BDH($C$303,"INVTRY_RAW_MATERIALS","FQ2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305" s="3" t="e">
        <f ca="1">_xll.BDH($C$303,"INVTRY_IN_PROGRESS","FQ2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305" s="3" t="e">
        <f ca="1">_xll.BDH($C$303,"INVTRY_FINISHED_GOODS","FQ2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305" s="3" t="e">
        <f ca="1">_xll.BDH($C$303,"BS_OTHER_INV","FQ2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306" spans="1:113" x14ac:dyDescent="0.3">
      <c r="A306" s="6"/>
      <c r="B306" s="6"/>
      <c r="C306" s="6"/>
      <c r="D306" s="6"/>
      <c r="E306" t="s">
        <v>80</v>
      </c>
      <c r="F306" t="e">
        <f ca="1">_xll.BDH($C$303,"RETURN_COM_EQY","FQ3 2014","FQ3 2014","Currency=INR","Period=FQ","BEST_FPERIOD_OVERRIDE=FQ","FILING_STATUS=OR","EQY_CONSOLIDATED=Y","FA_ADJUSTED=GAAP","Sort=A","Dates=H","DateFormat=P","Fill=—","Direction=H","UseDPDF=Y")</f>
        <v>#NAME?</v>
      </c>
      <c r="G306" t="e">
        <f ca="1">_xll.BDH($C$303,"RETURN_ON_ASSET","FQ3 2014","FQ3 2014","Currency=INR","Period=FQ","BEST_FPERIOD_OVERRIDE=FQ","FILING_STATUS=OR","EQY_CONSOLIDATED=Y","FA_ADJUSTED=GAAP","Sort=A","Dates=H","DateFormat=P","Fill=—","Direction=H","UseDPDF=Y")</f>
        <v>#NAME?</v>
      </c>
      <c r="H306" t="e">
        <f ca="1">_xll.BDH($C$303,"RETURN_ON_CAP","FQ3 2014","FQ3 2014","Currency=INR","Period=FQ","BEST_FPERIOD_OVERRIDE=FQ","FILING_STATUS=OR","EQY_CONSOLIDATED=Y","FA_ADJUSTED=GAAP","Sort=A","Dates=H","DateFormat=P","Fill=—","Direction=H","UseDPDF=Y")</f>
        <v>#NAME?</v>
      </c>
      <c r="I306" t="e">
        <f ca="1">_xll.BDH($C$303,"RETURN_ON_INV_CAPITAL","FQ3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306" t="e">
        <f ca="1">_xll.BDH($C$303,"EBITDA_TO_REVENUE","FQ3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306" t="e">
        <f ca="1">_xll.BDH($C$303,"OPER_MARGIN","FQ3 2014","FQ3 2014","Currency=INR","Period=FQ","BEST_FPERIOD_OVERRIDE=FQ","FILING_STATUS=OR","EQY_CONSOLIDATED=Y","FA_ADJUSTED=GAAP","Sort=A","Dates=H","DateFormat=P","Fill=—","Direction=H","UseDPDF=Y")</f>
        <v>#NAME?</v>
      </c>
      <c r="L306" t="e">
        <f ca="1">_xll.BDH($C$303,"INCREMENTAL_OPERATING_MARGIN","FQ3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306" t="e">
        <f ca="1">_xll.BDH($C$303,"PRETAX_INC_TO_NET_SALES","FQ3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306" t="e">
        <f ca="1">_xll.BDH($C$303,"INC_BEF_XO_ITEMS_TO_NET_SALES","FQ3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306" t="e">
        <f ca="1">_xll.BDH($C$303,"PROF_MARGIN","FQ3 2014","FQ3 2014","Currency=INR","Period=FQ","BEST_FPERIOD_OVERRIDE=FQ","FILING_STATUS=OR","EQY_CONSOLIDATED=Y","FA_ADJUSTED=GAAP","Sort=A","Dates=H","DateFormat=P","Fill=—","Direction=H","UseDPDF=Y")</f>
        <v>#NAME?</v>
      </c>
      <c r="P306" t="e">
        <f ca="1">_xll.BDH($C$303,"NET_INCOME_TO_COMMON_MARGIN","FQ3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306" t="e">
        <f ca="1">_xll.BDH($C$303,"EFF_TAX_RATE","FQ3 2014","FQ3 2014","Currency=INR","Period=FQ","BEST_FPERIOD_OVERRIDE=FQ","FILING_STATUS=OR","EQY_CONSOLIDATED=Y","FA_ADJUSTED=GAAP","Sort=A","Dates=H","DateFormat=P","Fill=—","Direction=H","UseDPDF=Y")</f>
        <v>#NAME?</v>
      </c>
      <c r="R306" t="e">
        <f ca="1">_xll.BDH($C$303,"DVD_PAYOUT_RATIO","FQ3 2014","FQ3 2014","Currency=INR","Period=FQ","BEST_FPERIOD_OVERRIDE=FQ","FILING_STATUS=OR","EQY_CONSOLIDATED=Y","FA_ADJUSTED=GAAP","Sort=A","Dates=H","DateFormat=P","Fill=—","Direction=H","UseDPDF=Y")</f>
        <v>#NAME?</v>
      </c>
      <c r="S306" t="e">
        <f ca="1">_xll.BDH($C$303,"SUSTAIN_GROWTH_RT","FQ3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306" s="2" t="e">
        <f ca="1">_xll.BDH($C$303,"SALES_GROWTH","FQ3 2014","FQ3 2014","Currency=INR","Period=FQ","BEST_FPERIOD_OVERRIDE=FQ","FILING_STATUS=OR","EQY_CONSOLIDATED=Y","FA_ADJUSTED=GAAP","Sort=A","Dates=H","DateFormat=P","Fill=—","Direction=H","UseDPDF=Y")</f>
        <v>#NAME?</v>
      </c>
      <c r="U306" s="2" t="e">
        <f ca="1">_xll.BDH($C$303,"EBITDA_GROWTH","FQ3 2014","FQ3 2014","Currency=INR","Period=FQ","BEST_FPERIOD_OVERRIDE=FQ","FILING_STATUS=OR","EQY_CONSOLIDATED=Y","FA_ADJUSTED=GAAP","Sort=A","Dates=H","DateFormat=P","Fill=—","Direction=H","UseDPDF=Y")</f>
        <v>#NAME?</v>
      </c>
      <c r="V306" s="2" t="e">
        <f ca="1">_xll.BDH($C$303,"OPER_INC_GROWTH","FQ3 2014","FQ3 2014","Currency=INR","Period=FQ","BEST_FPERIOD_OVERRIDE=FQ","FILING_STATUS=OR","EQY_CONSOLIDATED=Y","FA_ADJUSTED=GAAP","Sort=A","Dates=H","DateFormat=P","Fill=—","Direction=H","UseDPDF=Y")</f>
        <v>#NAME?</v>
      </c>
      <c r="W306" s="2" t="e">
        <f ca="1">_xll.BDH($C$303,"EARN_FOR_COM_GROWTH","FQ3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306" s="2" t="e">
        <f ca="1">_xll.BDH($C$303,"DILUTED_EPS_AFT_XO_ITEMS_GROWTH","FQ3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306" s="2" t="e">
        <f ca="1">_xll.BDH($C$303,"DIVIDEND_PER_SHARE_1_YEAR_GROWTH","FQ3 2014","FQ3 2014","Currency=INR","Period=FQ","BEST_FPERIOD_OVERRIDE=FQ","FILING_STATUS=OR","EQY_CONSOLIDATED=Y","Sort=A","Dates=H","DateFormat=P","Fill=—","Direction=H","UseDPDF=Y")</f>
        <v>#NAME?</v>
      </c>
      <c r="Z306" s="2" t="e">
        <f ca="1">_xll.BDH($C$303,"ACCOUNTS_RECEIVABLE_GROWTH","FQ3 2014","FQ3 2014","Currency=INR","Period=FQ","BEST_FPERIOD_OVERRIDE=FQ","FILING_STATUS=OR","EQY_CONSOLIDATED=Y","Sort=A","Dates=H","DateFormat=P","Fill=—","Direction=H","UseDPDF=Y")</f>
        <v>#NAME?</v>
      </c>
      <c r="AA306" s="2" t="e">
        <f ca="1">_xll.BDH($C$303,"INVENTORY_GROWTH","FQ3 2014","FQ3 2014","Currency=INR","Period=FQ","BEST_FPERIOD_OVERRIDE=FQ","FILING_STATUS=OR","EQY_CONSOLIDATED=Y","Sort=A","Dates=H","DateFormat=P","Fill=—","Direction=H","UseDPDF=Y")</f>
        <v>#NAME?</v>
      </c>
      <c r="AB306" s="2" t="e">
        <f ca="1">_xll.BDH($C$303,"NET_FIXED_ASSETS_1_YEAR_GROWTH","FQ3 2014","FQ3 2014","Currency=INR","Period=FQ","BEST_FPERIOD_OVERRIDE=FQ","FILING_STATUS=OR","EQY_CONSOLIDATED=Y","Sort=A","Dates=H","DateFormat=P","Fill=—","Direction=H","UseDPDF=Y")</f>
        <v>#NAME?</v>
      </c>
      <c r="AC306" s="2" t="e">
        <f ca="1">_xll.BDH($C$303,"ASSET_GROWTH","FQ3 2014","FQ3 2014","Currency=INR","Period=FQ","BEST_FPERIOD_OVERRIDE=FQ","FILING_STATUS=OR","EQY_CONSOLIDATED=Y","Sort=A","Dates=H","DateFormat=P","Fill=—","Direction=H","UseDPDF=Y")</f>
        <v>#NAME?</v>
      </c>
      <c r="AD306" s="2" t="e">
        <f ca="1">_xll.BDH($C$303,"MODIFIED_WORK_CAP_GROWTH","FQ3 2014","FQ3 2014","Currency=INR","Period=FQ","BEST_FPERIOD_OVERRIDE=FQ","FILING_STATUS=OR","EQY_CONSOLIDATED=Y","Sort=A","Dates=H","DateFormat=P","Fill=—","Direction=H","UseDPDF=Y")</f>
        <v>#NAME?</v>
      </c>
      <c r="AE306" s="2" t="e">
        <f ca="1">_xll.BDH($C$303,"WORK_CAP_GROWTH","FQ3 2014","FQ3 2014","Currency=INR","Period=FQ","BEST_FPERIOD_OVERRIDE=FQ","FILING_STATUS=OR","EQY_CONSOLIDATED=Y","Sort=A","Dates=H","DateFormat=P","Fill=—","Direction=H","UseDPDF=Y")</f>
        <v>#NAME?</v>
      </c>
      <c r="AF306" s="2" t="e">
        <f ca="1">_xll.BDH($C$303,"ACCOUNTS_PAYABLE_GROWTH_1YR","FQ3 2014","FQ3 2014","Currency=INR","Period=FQ","BEST_FPERIOD_OVERRIDE=FQ","FILING_STATUS=OR","EQY_CONSOLIDATED=Y","Sort=A","Dates=H","DateFormat=P","Fill=—","Direction=H","UseDPDF=Y")</f>
        <v>#NAME?</v>
      </c>
      <c r="AG306" s="2" t="e">
        <f ca="1">_xll.BDH($C$303,"SHORT_TERM_DEBT_1_YEAR_GROWTH","FQ3 2014","FQ3 2014","Currency=INR","Period=FQ","BEST_FPERIOD_OVERRIDE=FQ","FILING_STATUS=OR","EQY_CONSOLIDATED=Y","Sort=A","Dates=H","DateFormat=P","Fill=—","Direction=H","UseDPDF=Y")</f>
        <v>#NAME?</v>
      </c>
      <c r="AH306" s="2" t="e">
        <f ca="1">_xll.BDH($C$303,"TOTAL_DEBT_1_YEAR_GROWTH","FQ3 2014","FQ3 2014","Currency=INR","Period=FQ","BEST_FPERIOD_OVERRIDE=FQ","FILING_STATUS=OR","EQY_CONSOLIDATED=Y","Sort=A","Dates=H","DateFormat=P","Fill=—","Direction=H","UseDPDF=Y")</f>
        <v>#NAME?</v>
      </c>
      <c r="AI306" s="2" t="e">
        <f ca="1">_xll.BDH($C$303,"TOTAL_EQUITY_1_YEAR_GROWTH","FQ3 2014","FQ3 2014","Currency=INR","Period=FQ","BEST_FPERIOD_OVERRIDE=FQ","FILING_STATUS=OR","EQY_CONSOLIDATED=Y","Sort=A","Dates=H","DateFormat=P","Fill=—","Direction=H","UseDPDF=Y")</f>
        <v>#NAME?</v>
      </c>
      <c r="AJ306" s="2" t="e">
        <f ca="1">_xll.BDH($C$303,"GROWTH_IN_CAP","FQ3 2014","FQ3 2014","Currency=INR","Period=FQ","BEST_FPERIOD_OVERRIDE=FQ","FILING_STATUS=OR","EQY_CONSOLIDATED=Y","Sort=A","Dates=H","DateFormat=P","Fill=—","Direction=H","UseDPDF=Y")</f>
        <v>#NAME?</v>
      </c>
      <c r="AK306" s="2" t="e">
        <f ca="1">_xll.BDH($C$303,"BVPS_GROWTH","FQ3 2014","FQ3 2014","Currency=INR","Period=FQ","BEST_FPERIOD_OVERRIDE=FQ","FILING_STATUS=OR","EQY_CONSOLIDATED=Y","Sort=A","Dates=H","DateFormat=P","Fill=—","Direction=H","UseDPDF=Y")</f>
        <v>#NAME?</v>
      </c>
      <c r="AL306" s="2" t="e">
        <f ca="1">_xll.BDH($C$303,"CASH_FLOW_GROWTH","FQ3 2014","FQ3 2014","Currency=INR","Period=FQ","BEST_FPERIOD_OVERRIDE=FQ","FILING_STATUS=OR","EQY_CONSOLIDATED=Y","Sort=A","Dates=H","DateFormat=P","Fill=—","Direction=H","UseDPDF=Y")</f>
        <v>#NAME?</v>
      </c>
      <c r="AM306" s="2" t="e">
        <f ca="1">_xll.BDH($C$303,"GEO_GROW_NET_SALES","FQ3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306" s="2" t="e">
        <f ca="1">_xll.BDH($C$303,"GEO_GROW_EBITDA","FQ3 2014","FQ3 2014","Currency=INR","Period=FQ","BEST_FPERIOD_OVERRIDE=FQ","FILING_STATUS=OR","EQY_CONSOLIDATED=Y","FA_ADJUSTED=GAAP","Sort=A","Dates=H","DateFormat=P","Fill=—","Direction=H","UseDPDF=Y")</f>
        <v>#NAME?</v>
      </c>
      <c r="AO306" s="2" t="e">
        <f ca="1">_xll.BDH($C$303,"GEO_GROW_OPER_INC","FQ3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306" s="2" t="e">
        <f ca="1">_xll.BDH($C$303,"NET_INCOME_TO_COMMON_5_YR_GROWTH","FQ3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306" s="2" t="e">
        <f ca="1">_xll.BDH($C$303,"5Y_GEO_GROWTH_DILUTED_EPS","FQ3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306" s="2" t="e">
        <f ca="1">_xll.BDH($C$303,"GEO_GROW_DVD_PER_SH","FQ3 2014","FQ3 2014","Currency=INR","Period=FQ","BEST_FPERIOD_OVERRIDE=FQ","FILING_STATUS=OR","EQY_CONSOLIDATED=Y","Sort=A","Dates=H","DateFormat=P","Fill=—","Direction=H","UseDPDF=Y")</f>
        <v>#NAME?</v>
      </c>
      <c r="AS306" s="2" t="e">
        <f ca="1">_xll.BDH($C$303,"ACCOUNTS_RECEIVABLE_5_YR_GROWTH","FQ3 2014","FQ3 2014","Currency=INR","Period=FQ","BEST_FPERIOD_OVERRIDE=FQ","FILING_STATUS=OR","EQY_CONSOLIDATED=Y","Sort=A","Dates=H","DateFormat=P","Fill=—","Direction=H","UseDPDF=Y")</f>
        <v>#NAME?</v>
      </c>
      <c r="AT306" s="2" t="e">
        <f ca="1">_xll.BDH($C$303,"INVENTORY_5_YEAR_GROWTH","FQ3 2014","FQ3 2014","Currency=INR","Period=FQ","BEST_FPERIOD_OVERRIDE=FQ","FILING_STATUS=OR","EQY_CONSOLIDATED=Y","Sort=A","Dates=H","DateFormat=P","Fill=—","Direction=H","UseDPDF=Y")</f>
        <v>#NAME?</v>
      </c>
      <c r="AU306" s="2" t="e">
        <f ca="1">_xll.BDH($C$303,"NET_FIXED_ASSETS_5_YEAR_GROWTH","FQ3 2014","FQ3 2014","Currency=INR","Period=FQ","BEST_FPERIOD_OVERRIDE=FQ","FILING_STATUS=OR","EQY_CONSOLIDATED=Y","Sort=A","Dates=H","DateFormat=P","Fill=—","Direction=H","UseDPDF=Y")</f>
        <v>#NAME?</v>
      </c>
      <c r="AV306" s="2" t="e">
        <f ca="1">_xll.BDH($C$303,"GEO_GROW_TOT_ASSET","FQ3 2014","FQ3 2014","Currency=INR","Period=FQ","BEST_FPERIOD_OVERRIDE=FQ","FILING_STATUS=OR","EQY_CONSOLIDATED=Y","Sort=A","Dates=H","DateFormat=P","Fill=—","Direction=H","UseDPDF=Y")</f>
        <v>#NAME?</v>
      </c>
      <c r="AW306" s="2" t="e">
        <f ca="1">_xll.BDH($C$303,"MODIFIED_WORKING_CPTL_5YR_GRWTH","FQ3 2014","FQ3 2014","Currency=INR","Period=FQ","BEST_FPERIOD_OVERRIDE=FQ","FILING_STATUS=OR","EQY_CONSOLIDATED=Y","Sort=A","Dates=H","DateFormat=P","Fill=—","Direction=H","UseDPDF=Y")</f>
        <v>#NAME?</v>
      </c>
      <c r="AX306" s="2" t="e">
        <f ca="1">_xll.BDH($C$303,"WORKING_CAPITAL_5_YEAR_GROWTH","FQ3 2014","FQ3 2014","Currency=INR","Period=FQ","BEST_FPERIOD_OVERRIDE=FQ","FILING_STATUS=OR","EQY_CONSOLIDATED=Y","Sort=A","Dates=H","DateFormat=P","Fill=—","Direction=H","UseDPDF=Y")</f>
        <v>#NAME?</v>
      </c>
      <c r="AY306" s="2" t="e">
        <f ca="1">_xll.BDH($C$303,"ACCOUNTS_PAYABLE_5_YEAR_GROWTH","FQ3 2014","FQ3 2014","Currency=INR","Period=FQ","BEST_FPERIOD_OVERRIDE=FQ","FILING_STATUS=OR","EQY_CONSOLIDATED=Y","Sort=A","Dates=H","DateFormat=P","Fill=—","Direction=H","UseDPDF=Y")</f>
        <v>#NAME?</v>
      </c>
      <c r="AZ306" s="2" t="e">
        <f ca="1">_xll.BDH($C$303,"SHORT_TERM_DEBT_5_YEAR_GROWTH","FQ3 2014","FQ3 2014","Currency=INR","Period=FQ","BEST_FPERIOD_OVERRIDE=FQ","FILING_STATUS=OR","EQY_CONSOLIDATED=Y","Sort=A","Dates=H","DateFormat=P","Fill=—","Direction=H","UseDPDF=Y")</f>
        <v>#NAME?</v>
      </c>
      <c r="BA306" s="2" t="e">
        <f ca="1">_xll.BDH($C$303,"TOTAL_DEBT_5_YEAR_GROWTH","FQ3 2014","FQ3 2014","Currency=INR","Period=FQ","BEST_FPERIOD_OVERRIDE=FQ","FILING_STATUS=OR","EQY_CONSOLIDATED=Y","Sort=A","Dates=H","DateFormat=P","Fill=—","Direction=H","UseDPDF=Y")</f>
        <v>#NAME?</v>
      </c>
      <c r="BB306" s="2" t="e">
        <f ca="1">_xll.BDH($C$303,"GEO_GROW_TOT_SHRHLDR_EQY","FQ3 2014","FQ3 2014","Currency=INR","Period=FQ","BEST_FPERIOD_OVERRIDE=FQ","FILING_STATUS=OR","EQY_CONSOLIDATED=Y","Sort=A","Dates=H","DateFormat=P","Fill=—","Direction=H","UseDPDF=Y")</f>
        <v>#NAME?</v>
      </c>
      <c r="BC306" s="2" t="e">
        <f ca="1">_xll.BDH($C$303,"TOTAL_CAPITAL_5_YEAR_GROWTH","FQ3 2014","FQ3 2014","Currency=INR","Period=FQ","BEST_FPERIOD_OVERRIDE=FQ","FILING_STATUS=OR","EQY_CONSOLIDATED=Y","Sort=A","Dates=H","DateFormat=P","Fill=—","Direction=H","UseDPDF=Y")</f>
        <v>#NAME?</v>
      </c>
      <c r="BD306" s="2" t="e">
        <f ca="1">_xll.BDH($C$303,"GEO_GROW_BOOK_VAL","FQ3 2014","FQ3 2014","Currency=INR","Period=FQ","BEST_FPERIOD_OVERRIDE=FQ","FILING_STATUS=OR","EQY_CONSOLIDATED=Y","Sort=A","Dates=H","DateFormat=P","Fill=—","Direction=H","UseDPDF=Y")</f>
        <v>#NAME?</v>
      </c>
      <c r="BE306" s="2" t="e">
        <f ca="1">_xll.BDH($C$303,"GEO_GROW_CASH_OPER_ACT","FQ3 2014","FQ3 2014","Currency=INR","Period=FQ","BEST_FPERIOD_OVERRIDE=FQ","FILING_STATUS=OR","EQY_CONSOLIDATED=Y","Sort=A","Dates=H","DateFormat=P","Fill=—","Direction=H","UseDPDF=Y")</f>
        <v>#NAME?</v>
      </c>
      <c r="BF306" s="2" t="e">
        <f ca="1">_xll.BDH($C$303,"REVENUE_SEQUENTIAL_GROWTH","FQ3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306" s="2" t="e">
        <f ca="1">_xll.BDH($C$303,"EBITDA_SEQUENTIAL_GROWTH","FQ3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306" s="2" t="e">
        <f ca="1">_xll.BDH($C$303,"OPERATING_INCOME_SEQ_GROWTH","FQ3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306" s="2" t="e">
        <f ca="1">_xll.BDH($C$303,"NET_INCOME_TO_COMMON_SEQ_GROWTH","FQ3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306" s="2" t="e">
        <f ca="1">_xll.BDH($C$303,"EPS_DILUTED_SEQUENTIAL_GROWTH","FQ3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306" s="2" t="e">
        <f ca="1">_xll.BDH($C$303,"DPS_SEQUENTIAL_GROWTH","FQ3 2014","FQ3 2014","Currency=INR","Period=FQ","BEST_FPERIOD_OVERRIDE=FQ","FILING_STATUS=OR","EQY_CONSOLIDATED=Y","Sort=A","Dates=H","DateFormat=P","Fill=—","Direction=H","UseDPDF=Y")</f>
        <v>#NAME?</v>
      </c>
      <c r="BL306" s="2" t="e">
        <f ca="1">_xll.BDH($C$303,"ACCOUNTS_RECEIVABLE_SEQ_GROWTH","FQ3 2014","FQ3 2014","Currency=INR","Period=FQ","BEST_FPERIOD_OVERRIDE=FQ","FILING_STATUS=OR","EQY_CONSOLIDATED=Y","Sort=A","Dates=H","DateFormat=P","Fill=—","Direction=H","UseDPDF=Y")</f>
        <v>#NAME?</v>
      </c>
      <c r="BM306" s="2" t="e">
        <f ca="1">_xll.BDH($C$303,"INVENTORY_SEQUENTIAL_GROWTH","FQ3 2014","FQ3 2014","Currency=INR","Period=FQ","BEST_FPERIOD_OVERRIDE=FQ","FILING_STATUS=OR","EQY_CONSOLIDATED=Y","Sort=A","Dates=H","DateFormat=P","Fill=—","Direction=H","UseDPDF=Y")</f>
        <v>#NAME?</v>
      </c>
      <c r="BN306" s="2" t="e">
        <f ca="1">_xll.BDH($C$303,"FIXED_ASSETS_SEQUENTIAL_GROWTH","FQ3 2014","FQ3 2014","Currency=INR","Period=FQ","BEST_FPERIOD_OVERRIDE=FQ","FILING_STATUS=OR","EQY_CONSOLIDATED=Y","Sort=A","Dates=H","DateFormat=P","Fill=—","Direction=H","UseDPDF=Y")</f>
        <v>#NAME?</v>
      </c>
      <c r="BO306" s="2" t="e">
        <f ca="1">_xll.BDH($C$303,"TOTAL_ASSETS_SEQUENTIAL_GROWTH","FQ3 2014","FQ3 2014","Currency=INR","Period=FQ","BEST_FPERIOD_OVERRIDE=FQ","FILING_STATUS=OR","EQY_CONSOLIDATED=Y","Sort=A","Dates=H","DateFormat=P","Fill=—","Direction=H","UseDPDF=Y")</f>
        <v>#NAME?</v>
      </c>
      <c r="BP306" s="2" t="e">
        <f ca="1">_xll.BDH($C$303,"MODIFIED_WORKING_CPTL_SEQ_GRWTH","FQ3 2014","FQ3 2014","Currency=INR","Period=FQ","BEST_FPERIOD_OVERRIDE=FQ","FILING_STATUS=OR","EQY_CONSOLIDATED=Y","Sort=A","Dates=H","DateFormat=P","Fill=—","Direction=H","UseDPDF=Y")</f>
        <v>#NAME?</v>
      </c>
      <c r="BQ306" s="2" t="e">
        <f ca="1">_xll.BDH($C$303,"WORKING_CAPITAL_SEQ_GROWTH","FQ3 2014","FQ3 2014","Currency=INR","Period=FQ","BEST_FPERIOD_OVERRIDE=FQ","FILING_STATUS=OR","EQY_CONSOLIDATED=Y","Sort=A","Dates=H","DateFormat=P","Fill=—","Direction=H","UseDPDF=Y")</f>
        <v>#NAME?</v>
      </c>
      <c r="BR306" s="2" t="e">
        <f ca="1">_xll.BDH($C$303,"ACCOUNTS_PAYABLE_SEQ_GROWTH","FQ3 2014","FQ3 2014","Currency=INR","Period=FQ","BEST_FPERIOD_OVERRIDE=FQ","FILING_STATUS=OR","EQY_CONSOLIDATED=Y","Sort=A","Dates=H","DateFormat=P","Fill=—","Direction=H","UseDPDF=Y")</f>
        <v>#NAME?</v>
      </c>
      <c r="BS306" s="2" t="e">
        <f ca="1">_xll.BDH($C$303,"ST_DEBT_SEQUENTIAL_GROWTH","FQ3 2014","FQ3 2014","Currency=INR","Period=FQ","BEST_FPERIOD_OVERRIDE=FQ","FILING_STATUS=OR","EQY_CONSOLIDATED=Y","Sort=A","Dates=H","DateFormat=P","Fill=—","Direction=H","UseDPDF=Y")</f>
        <v>#NAME?</v>
      </c>
      <c r="BT306" s="2" t="e">
        <f ca="1">_xll.BDH($C$303,"TOTAL_DEBT_SEQUENTIAL_GROWTH","FQ3 2014","FQ3 2014","Currency=INR","Period=FQ","BEST_FPERIOD_OVERRIDE=FQ","FILING_STATUS=OR","EQY_CONSOLIDATED=Y","Sort=A","Dates=H","DateFormat=P","Fill=—","Direction=H","UseDPDF=Y")</f>
        <v>#NAME?</v>
      </c>
      <c r="BU306" s="2" t="e">
        <f ca="1">_xll.BDH($C$303,"TOTAL_EQUITY_SEQUENTIAL_GROWTH","FQ3 2014","FQ3 2014","Currency=INR","Period=FQ","BEST_FPERIOD_OVERRIDE=FQ","FILING_STATUS=OR","EQY_CONSOLIDATED=Y","Sort=A","Dates=H","DateFormat=P","Fill=—","Direction=H","UseDPDF=Y")</f>
        <v>#NAME?</v>
      </c>
      <c r="BV306" s="2" t="e">
        <f ca="1">_xll.BDH($C$303,"TOTAL_CAPITAL_SEQUENTIAL_GROWTH","FQ3 2014","FQ3 2014","Currency=INR","Period=FQ","BEST_FPERIOD_OVERRIDE=FQ","FILING_STATUS=OR","EQY_CONSOLIDATED=Y","Sort=A","Dates=H","DateFormat=P","Fill=—","Direction=H","UseDPDF=Y")</f>
        <v>#NAME?</v>
      </c>
      <c r="BW306" s="2" t="e">
        <f ca="1">_xll.BDH($C$303,"BPS_SEQUENTIAL_GROWTH","FQ3 2014","FQ3 2014","Currency=INR","Period=FQ","BEST_FPERIOD_OVERRIDE=FQ","FILING_STATUS=OR","EQY_CONSOLIDATED=Y","Sort=A","Dates=H","DateFormat=P","Fill=—","Direction=H","UseDPDF=Y")</f>
        <v>#NAME?</v>
      </c>
      <c r="BX306" s="2" t="e">
        <f ca="1">_xll.BDH($C$303,"CFO_SEQUENTIAL_GROWTH","FQ3 2014","FQ3 2014","Currency=INR","Period=FQ","BEST_FPERIOD_OVERRIDE=FQ","FILING_STATUS=OR","EQY_CONSOLIDATED=Y","Sort=A","Dates=H","DateFormat=P","Fill=—","Direction=H","UseDPDF=Y")</f>
        <v>#NAME?</v>
      </c>
      <c r="BY306" s="3" t="e">
        <f ca="1">_xll.BDH($C$303,"SHORT_AND_LONG_TERM_DEBT","FQ3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306" s="3" t="e">
        <f ca="1">_xll.BDH($C$303,"BS_ST_BORROW","FQ3 2014","FQ3 2014","Currency=INR","Period=FQ","BEST_FPERIOD_OVERRIDE=FQ","FILING_STATUS=OR","EQY_CONSOLIDATED=Y","SCALING_FORMAT=MLN","Sort=A","Dates=H","DateFormat=P","Fill=—","Direction=H","UseDPDF=Y")</f>
        <v>#NAME?</v>
      </c>
      <c r="CA306" s="3" t="e">
        <f ca="1">_xll.BDH($C$303,"BS_LT_BORROW","FQ3 2014","FQ3 2014","Currency=INR","Period=FQ","BEST_FPERIOD_OVERRIDE=FQ","FILING_STATUS=OR","EQY_CONSOLIDATED=Y","SCALING_FORMAT=MLN","Sort=A","Dates=H","DateFormat=P","Fill=—","Direction=H","UseDPDF=Y")</f>
        <v>#NAME?</v>
      </c>
      <c r="CB306" s="2" t="e">
        <f ca="1">_xll.BDH($C$303,"TOT_DEBT_TO_EBITDA","FQ3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306" s="2" t="e">
        <f ca="1">_xll.BDH($C$303,"NET_DEBT_TO_EBITDA","FQ3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306" s="2" t="e">
        <f ca="1">_xll.BDH($C$303,"TOTAL_DEBT_TO_EBIT","FQ3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306" s="2" t="e">
        <f ca="1">_xll.BDH($C$303,"NET_DEBT_TO_EBIT","FQ3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306" s="2" t="e">
        <f ca="1">_xll.BDH($C$303,"EBITDA_TO_INTEREST_EXPN","FQ3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306" s="2" t="e">
        <f ca="1">_xll.BDH($C$303,"COM_EQY_TO_TOT_ASSET","FQ3 2014","FQ3 2014","Currency=INR","Period=FQ","BEST_FPERIOD_OVERRIDE=FQ","FILING_STATUS=OR","EQY_CONSOLIDATED=Y","Sort=A","Dates=H","DateFormat=P","Fill=—","Direction=H","UseDPDF=Y")</f>
        <v>#NAME?</v>
      </c>
      <c r="CH306" s="2" t="e">
        <f ca="1">_xll.BDH($C$303,"LT_DEBT_TO_TOT_EQY","FQ3 2014","FQ3 2014","Currency=INR","Period=FQ","BEST_FPERIOD_OVERRIDE=FQ","FILING_STATUS=OR","EQY_CONSOLIDATED=Y","Sort=A","Dates=H","DateFormat=P","Fill=—","Direction=H","UseDPDF=Y")</f>
        <v>#NAME?</v>
      </c>
      <c r="CI306" s="2" t="e">
        <f ca="1">_xll.BDH($C$303,"LT_DEBT_TO_TOT_CAP","FQ3 2014","FQ3 2014","Currency=INR","Period=FQ","BEST_FPERIOD_OVERRIDE=FQ","FILING_STATUS=OR","EQY_CONSOLIDATED=Y","Sort=A","Dates=H","DateFormat=P","Fill=—","Direction=H","UseDPDF=Y")</f>
        <v>#NAME?</v>
      </c>
      <c r="CJ306" s="2" t="e">
        <f ca="1">_xll.BDH($C$303,"LT_DEBT_TO_TOT_ASSET","FQ3 2014","FQ3 2014","Currency=INR","Period=FQ","BEST_FPERIOD_OVERRIDE=FQ","FILING_STATUS=OR","EQY_CONSOLIDATED=Y","Sort=A","Dates=H","DateFormat=P","Fill=—","Direction=H","UseDPDF=Y")</f>
        <v>#NAME?</v>
      </c>
      <c r="CK306" s="2" t="e">
        <f ca="1">_xll.BDH($C$303,"TOT_DEBT_TO_TOT_EQY","FQ3 2014","FQ3 2014","Currency=INR","Period=FQ","BEST_FPERIOD_OVERRIDE=FQ","FILING_STATUS=OR","EQY_CONSOLIDATED=Y","Sort=A","Dates=H","DateFormat=P","Fill=—","Direction=H","UseDPDF=Y")</f>
        <v>#NAME?</v>
      </c>
      <c r="CL306" s="2" t="e">
        <f ca="1">_xll.BDH($C$303,"TOT_DEBT_TO_TOT_CAP","FQ3 2014","FQ3 2014","Currency=INR","Period=FQ","BEST_FPERIOD_OVERRIDE=FQ","FILING_STATUS=OR","EQY_CONSOLIDATED=Y","Sort=A","Dates=H","DateFormat=P","Fill=—","Direction=H","UseDPDF=Y")</f>
        <v>#NAME?</v>
      </c>
      <c r="CM306" s="2" t="e">
        <f ca="1">_xll.BDH($C$303,"TOT_DEBT_TO_TOT_ASSET","FQ3 2014","FQ3 2014","Currency=INR","Period=FQ","BEST_FPERIOD_OVERRIDE=FQ","FILING_STATUS=OR","EQY_CONSOLIDATED=Y","Sort=A","Dates=H","DateFormat=P","Fill=—","Direction=H","UseDPDF=Y")</f>
        <v>#NAME?</v>
      </c>
      <c r="CN306" s="2" t="e">
        <f ca="1">_xll.BDH($C$303,"NET_DEBT_TO_SHRHLDR_EQTY","FQ3 2014","FQ3 2014","Currency=INR","Period=FQ","BEST_FPERIOD_OVERRIDE=FQ","FILING_STATUS=OR","EQY_CONSOLIDATED=Y","Sort=A","Dates=H","DateFormat=P","Fill=—","Direction=H","UseDPDF=Y")</f>
        <v>#NAME?</v>
      </c>
      <c r="CO306" s="2" t="e">
        <f ca="1">_xll.BDH($C$303,"NET_DEBT_%_CAPITAL","FQ3 2014","FQ3 2014","Currency=INR","Period=FQ","BEST_FPERIOD_OVERRIDE=FQ","FILING_STATUS=OR","EQY_CONSOLIDATED=Y","Sort=A","Dates=H","DateFormat=P","Fill=—","Direction=H","UseDPDF=Y")</f>
        <v>#NAME?</v>
      </c>
      <c r="CP306" s="3" t="e">
        <f ca="1">_xll.BDH($C$303,"EBITDA","FQ3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306" s="3" t="e">
        <f ca="1">_xll.BDH($C$303,"EBITDA_AFTER_CAPEX","FQ3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306" s="3" t="e">
        <f ca="1">_xll.BDH($C$303,"IS_OPER_INC","FQ3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306" s="2" t="e">
        <f ca="1">_xll.BDH($C$303,"CASH_RATIO","FQ3 2014","FQ3 2014","Currency=INR","Period=FQ","BEST_FPERIOD_OVERRIDE=FQ","FILING_STATUS=OR","EQY_CONSOLIDATED=Y","Sort=A","Dates=H","DateFormat=P","Fill=—","Direction=H","UseDPDF=Y")</f>
        <v>#NAME?</v>
      </c>
      <c r="CT306" s="2" t="e">
        <f ca="1">_xll.BDH($C$303,"CUR_RATIO","FQ3 2014","FQ3 2014","Currency=INR","Period=FQ","BEST_FPERIOD_OVERRIDE=FQ","FILING_STATUS=OR","EQY_CONSOLIDATED=Y","Sort=A","Dates=H","DateFormat=P","Fill=—","Direction=H","UseDPDF=Y")</f>
        <v>#NAME?</v>
      </c>
      <c r="CU306" s="2" t="e">
        <f ca="1">_xll.BDH($C$303,"QUICK_RATIO","FQ3 2014","FQ3 2014","Currency=INR","Period=FQ","BEST_FPERIOD_OVERRIDE=FQ","FILING_STATUS=OR","EQY_CONSOLIDATED=Y","Sort=A","Dates=H","DateFormat=P","Fill=—","Direction=H","UseDPDF=Y")</f>
        <v>#NAME?</v>
      </c>
      <c r="CV306" s="2" t="e">
        <f ca="1">_xll.BDH($C$303,"ALTMAN_Z_SCORE","FQ3 2014","FQ3 2014","Currency=INR","Period=FQ","BEST_FPERIOD_OVERRIDE=FQ","FILING_STATUS=OR","EQY_CONSOLIDATED=Y","Sort=A","Dates=H","DateFormat=P","Fill=—","Direction=H","UseDPDF=Y")</f>
        <v>#NAME?</v>
      </c>
      <c r="CW306" s="4" t="e">
        <f ca="1">_xll.BDH($C$303,"ACCT_RCV_TURN","FQ3 2014","FQ3 2014","Currency=INR","Period=FQ","BEST_FPERIOD_OVERRIDE=FQ","FILING_STATUS=OR","EQY_CONSOLIDATED=Y","FA_ADJUSTED=GAAP","Sort=A","Dates=H","DateFormat=P","Fill=—","Direction=H","UseDPDF=Y")</f>
        <v>#NAME?</v>
      </c>
      <c r="CX306" s="2" t="e">
        <f ca="1">_xll.BDH($C$303,"ACCT_RCV_DAYS","FQ3 2014","FQ3 2014","Currency=INR","Period=FQ","BEST_FPERIOD_OVERRIDE=FQ","FILING_STATUS=OR","EQY_CONSOLIDATED=Y","FA_ADJUSTED=GAAP","Sort=A","Dates=H","DateFormat=P","Fill=—","Direction=H","UseDPDF=Y")</f>
        <v>#NAME?</v>
      </c>
      <c r="CY306" s="4" t="e">
        <f ca="1">_xll.BDH($C$303,"INVENT_TURN","FQ3 2014","FQ3 2014","Currency=INR","Period=FQ","BEST_FPERIOD_OVERRIDE=FQ","FILING_STATUS=OR","EQY_CONSOLIDATED=Y","FA_ADJUSTED=GAAP","Sort=A","Dates=H","DateFormat=P","Fill=—","Direction=H","UseDPDF=Y")</f>
        <v>#NAME?</v>
      </c>
      <c r="CZ306" s="2" t="e">
        <f ca="1">_xll.BDH($C$303,"INVENT_DAYS","FQ3 2014","FQ3 2014","Currency=INR","Period=FQ","BEST_FPERIOD_OVERRIDE=FQ","FILING_STATUS=OR","EQY_CONSOLIDATED=Y","FA_ADJUSTED=GAAP","Sort=A","Dates=H","DateFormat=P","Fill=—","Direction=H","UseDPDF=Y")</f>
        <v>#NAME?</v>
      </c>
      <c r="DA306" s="4" t="e">
        <f ca="1">_xll.BDH($C$303,"ACCOUNTS_PAYABLE_TURNOVER","FQ3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306" s="2" t="e">
        <f ca="1">_xll.BDH($C$303,"ACCOUNTS_PAYABLE_TURNOVER_DAYS","FQ3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306" s="4" t="e">
        <f ca="1">_xll.BDH($C$303,"CASH_CONVERSION_CYCLE","FQ3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306" s="4" t="e">
        <f ca="1">_xll.BDH($C$303,"INV_TO_CASH_DAYS","FQ3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306" s="5" t="e">
        <f ca="1">_xll.BDH($C$303,"BS_INVENTORIES","FQ3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306" s="3" t="e">
        <f ca="1">_xll.BDH($C$303,"INVTRY_RAW_MATERIALS","FQ3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306" s="3" t="e">
        <f ca="1">_xll.BDH($C$303,"INVTRY_IN_PROGRESS","FQ3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306" s="3" t="e">
        <f ca="1">_xll.BDH($C$303,"INVTRY_FINISHED_GOODS","FQ3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306" s="3" t="e">
        <f ca="1">_xll.BDH($C$303,"BS_OTHER_INV","FQ3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307" spans="1:113" x14ac:dyDescent="0.3">
      <c r="A307" s="6"/>
      <c r="B307" s="6"/>
      <c r="C307" s="6"/>
      <c r="D307" s="6"/>
      <c r="E307" t="s">
        <v>81</v>
      </c>
      <c r="F307" t="e">
        <f ca="1">_xll.BDH($C$303,"RETURN_COM_EQY","FQ4 2014","FQ4 2014","Currency=INR","Period=FQ","BEST_FPERIOD_OVERRIDE=FQ","FILING_STATUS=OR","EQY_CONSOLIDATED=Y","FA_ADJUSTED=GAAP","Sort=A","Dates=H","DateFormat=P","Fill=—","Direction=H","UseDPDF=Y")</f>
        <v>#NAME?</v>
      </c>
      <c r="G307" t="e">
        <f ca="1">_xll.BDH($C$303,"RETURN_ON_ASSET","FQ4 2014","FQ4 2014","Currency=INR","Period=FQ","BEST_FPERIOD_OVERRIDE=FQ","FILING_STATUS=OR","EQY_CONSOLIDATED=Y","FA_ADJUSTED=GAAP","Sort=A","Dates=H","DateFormat=P","Fill=—","Direction=H","UseDPDF=Y")</f>
        <v>#NAME?</v>
      </c>
      <c r="H307" t="e">
        <f ca="1">_xll.BDH($C$303,"RETURN_ON_CAP","FQ4 2014","FQ4 2014","Currency=INR","Period=FQ","BEST_FPERIOD_OVERRIDE=FQ","FILING_STATUS=OR","EQY_CONSOLIDATED=Y","FA_ADJUSTED=GAAP","Sort=A","Dates=H","DateFormat=P","Fill=—","Direction=H","UseDPDF=Y")</f>
        <v>#NAME?</v>
      </c>
      <c r="I307" t="e">
        <f ca="1">_xll.BDH($C$303,"RETURN_ON_INV_CAPITAL","FQ4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307" t="e">
        <f ca="1">_xll.BDH($C$303,"EBITDA_TO_REVENUE","FQ4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307" t="e">
        <f ca="1">_xll.BDH($C$303,"OPER_MARGIN","FQ4 2014","FQ4 2014","Currency=INR","Period=FQ","BEST_FPERIOD_OVERRIDE=FQ","FILING_STATUS=OR","EQY_CONSOLIDATED=Y","FA_ADJUSTED=GAAP","Sort=A","Dates=H","DateFormat=P","Fill=—","Direction=H","UseDPDF=Y")</f>
        <v>#NAME?</v>
      </c>
      <c r="L307" t="e">
        <f ca="1">_xll.BDH($C$303,"INCREMENTAL_OPERATING_MARGIN","FQ4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307" t="e">
        <f ca="1">_xll.BDH($C$303,"PRETAX_INC_TO_NET_SALES","FQ4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307" t="e">
        <f ca="1">_xll.BDH($C$303,"INC_BEF_XO_ITEMS_TO_NET_SALES","FQ4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307" t="e">
        <f ca="1">_xll.BDH($C$303,"PROF_MARGIN","FQ4 2014","FQ4 2014","Currency=INR","Period=FQ","BEST_FPERIOD_OVERRIDE=FQ","FILING_STATUS=OR","EQY_CONSOLIDATED=Y","FA_ADJUSTED=GAAP","Sort=A","Dates=H","DateFormat=P","Fill=—","Direction=H","UseDPDF=Y")</f>
        <v>#NAME?</v>
      </c>
      <c r="P307" t="e">
        <f ca="1">_xll.BDH($C$303,"NET_INCOME_TO_COMMON_MARGIN","FQ4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307" t="e">
        <f ca="1">_xll.BDH($C$303,"EFF_TAX_RATE","FQ4 2014","FQ4 2014","Currency=INR","Period=FQ","BEST_FPERIOD_OVERRIDE=FQ","FILING_STATUS=OR","EQY_CONSOLIDATED=Y","FA_ADJUSTED=GAAP","Sort=A","Dates=H","DateFormat=P","Fill=—","Direction=H","UseDPDF=Y")</f>
        <v>#NAME?</v>
      </c>
      <c r="R307" t="e">
        <f ca="1">_xll.BDH($C$303,"DVD_PAYOUT_RATIO","FQ4 2014","FQ4 2014","Currency=INR","Period=FQ","BEST_FPERIOD_OVERRIDE=FQ","FILING_STATUS=OR","EQY_CONSOLIDATED=Y","FA_ADJUSTED=GAAP","Sort=A","Dates=H","DateFormat=P","Fill=—","Direction=H","UseDPDF=Y")</f>
        <v>#NAME?</v>
      </c>
      <c r="S307" t="e">
        <f ca="1">_xll.BDH($C$303,"SUSTAIN_GROWTH_RT","FQ4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307" s="2" t="e">
        <f ca="1">_xll.BDH($C$303,"SALES_GROWTH","FQ4 2014","FQ4 2014","Currency=INR","Period=FQ","BEST_FPERIOD_OVERRIDE=FQ","FILING_STATUS=OR","EQY_CONSOLIDATED=Y","FA_ADJUSTED=GAAP","Sort=A","Dates=H","DateFormat=P","Fill=—","Direction=H","UseDPDF=Y")</f>
        <v>#NAME?</v>
      </c>
      <c r="U307" s="2" t="e">
        <f ca="1">_xll.BDH($C$303,"EBITDA_GROWTH","FQ4 2014","FQ4 2014","Currency=INR","Period=FQ","BEST_FPERIOD_OVERRIDE=FQ","FILING_STATUS=OR","EQY_CONSOLIDATED=Y","FA_ADJUSTED=GAAP","Sort=A","Dates=H","DateFormat=P","Fill=—","Direction=H","UseDPDF=Y")</f>
        <v>#NAME?</v>
      </c>
      <c r="V307" s="2" t="e">
        <f ca="1">_xll.BDH($C$303,"OPER_INC_GROWTH","FQ4 2014","FQ4 2014","Currency=INR","Period=FQ","BEST_FPERIOD_OVERRIDE=FQ","FILING_STATUS=OR","EQY_CONSOLIDATED=Y","FA_ADJUSTED=GAAP","Sort=A","Dates=H","DateFormat=P","Fill=—","Direction=H","UseDPDF=Y")</f>
        <v>#NAME?</v>
      </c>
      <c r="W307" s="2" t="e">
        <f ca="1">_xll.BDH($C$303,"EARN_FOR_COM_GROWTH","FQ4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307" s="2" t="e">
        <f ca="1">_xll.BDH($C$303,"DILUTED_EPS_AFT_XO_ITEMS_GROWTH","FQ4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307" s="2" t="e">
        <f ca="1">_xll.BDH($C$303,"DIVIDEND_PER_SHARE_1_YEAR_GROWTH","FQ4 2014","FQ4 2014","Currency=INR","Period=FQ","BEST_FPERIOD_OVERRIDE=FQ","FILING_STATUS=OR","EQY_CONSOLIDATED=Y","Sort=A","Dates=H","DateFormat=P","Fill=—","Direction=H","UseDPDF=Y")</f>
        <v>#NAME?</v>
      </c>
      <c r="Z307" s="2" t="e">
        <f ca="1">_xll.BDH($C$303,"ACCOUNTS_RECEIVABLE_GROWTH","FQ4 2014","FQ4 2014","Currency=INR","Period=FQ","BEST_FPERIOD_OVERRIDE=FQ","FILING_STATUS=OR","EQY_CONSOLIDATED=Y","Sort=A","Dates=H","DateFormat=P","Fill=—","Direction=H","UseDPDF=Y")</f>
        <v>#NAME?</v>
      </c>
      <c r="AA307" s="2" t="e">
        <f ca="1">_xll.BDH($C$303,"INVENTORY_GROWTH","FQ4 2014","FQ4 2014","Currency=INR","Period=FQ","BEST_FPERIOD_OVERRIDE=FQ","FILING_STATUS=OR","EQY_CONSOLIDATED=Y","Sort=A","Dates=H","DateFormat=P","Fill=—","Direction=H","UseDPDF=Y")</f>
        <v>#NAME?</v>
      </c>
      <c r="AB307" s="2" t="e">
        <f ca="1">_xll.BDH($C$303,"NET_FIXED_ASSETS_1_YEAR_GROWTH","FQ4 2014","FQ4 2014","Currency=INR","Period=FQ","BEST_FPERIOD_OVERRIDE=FQ","FILING_STATUS=OR","EQY_CONSOLIDATED=Y","Sort=A","Dates=H","DateFormat=P","Fill=—","Direction=H","UseDPDF=Y")</f>
        <v>#NAME?</v>
      </c>
      <c r="AC307" s="2" t="e">
        <f ca="1">_xll.BDH($C$303,"ASSET_GROWTH","FQ4 2014","FQ4 2014","Currency=INR","Period=FQ","BEST_FPERIOD_OVERRIDE=FQ","FILING_STATUS=OR","EQY_CONSOLIDATED=Y","Sort=A","Dates=H","DateFormat=P","Fill=—","Direction=H","UseDPDF=Y")</f>
        <v>#NAME?</v>
      </c>
      <c r="AD307" s="2" t="e">
        <f ca="1">_xll.BDH($C$303,"MODIFIED_WORK_CAP_GROWTH","FQ4 2014","FQ4 2014","Currency=INR","Period=FQ","BEST_FPERIOD_OVERRIDE=FQ","FILING_STATUS=OR","EQY_CONSOLIDATED=Y","Sort=A","Dates=H","DateFormat=P","Fill=—","Direction=H","UseDPDF=Y")</f>
        <v>#NAME?</v>
      </c>
      <c r="AE307" s="2" t="e">
        <f ca="1">_xll.BDH($C$303,"WORK_CAP_GROWTH","FQ4 2014","FQ4 2014","Currency=INR","Period=FQ","BEST_FPERIOD_OVERRIDE=FQ","FILING_STATUS=OR","EQY_CONSOLIDATED=Y","Sort=A","Dates=H","DateFormat=P","Fill=—","Direction=H","UseDPDF=Y")</f>
        <v>#NAME?</v>
      </c>
      <c r="AF307" s="2" t="e">
        <f ca="1">_xll.BDH($C$303,"ACCOUNTS_PAYABLE_GROWTH_1YR","FQ4 2014","FQ4 2014","Currency=INR","Period=FQ","BEST_FPERIOD_OVERRIDE=FQ","FILING_STATUS=OR","EQY_CONSOLIDATED=Y","Sort=A","Dates=H","DateFormat=P","Fill=—","Direction=H","UseDPDF=Y")</f>
        <v>#NAME?</v>
      </c>
      <c r="AG307" s="2" t="e">
        <f ca="1">_xll.BDH($C$303,"SHORT_TERM_DEBT_1_YEAR_GROWTH","FQ4 2014","FQ4 2014","Currency=INR","Period=FQ","BEST_FPERIOD_OVERRIDE=FQ","FILING_STATUS=OR","EQY_CONSOLIDATED=Y","Sort=A","Dates=H","DateFormat=P","Fill=—","Direction=H","UseDPDF=Y")</f>
        <v>#NAME?</v>
      </c>
      <c r="AH307" s="2" t="e">
        <f ca="1">_xll.BDH($C$303,"TOTAL_DEBT_1_YEAR_GROWTH","FQ4 2014","FQ4 2014","Currency=INR","Period=FQ","BEST_FPERIOD_OVERRIDE=FQ","FILING_STATUS=OR","EQY_CONSOLIDATED=Y","Sort=A","Dates=H","DateFormat=P","Fill=—","Direction=H","UseDPDF=Y")</f>
        <v>#NAME?</v>
      </c>
      <c r="AI307" s="2" t="e">
        <f ca="1">_xll.BDH($C$303,"TOTAL_EQUITY_1_YEAR_GROWTH","FQ4 2014","FQ4 2014","Currency=INR","Period=FQ","BEST_FPERIOD_OVERRIDE=FQ","FILING_STATUS=OR","EQY_CONSOLIDATED=Y","Sort=A","Dates=H","DateFormat=P","Fill=—","Direction=H","UseDPDF=Y")</f>
        <v>#NAME?</v>
      </c>
      <c r="AJ307" s="2" t="e">
        <f ca="1">_xll.BDH($C$303,"GROWTH_IN_CAP","FQ4 2014","FQ4 2014","Currency=INR","Period=FQ","BEST_FPERIOD_OVERRIDE=FQ","FILING_STATUS=OR","EQY_CONSOLIDATED=Y","Sort=A","Dates=H","DateFormat=P","Fill=—","Direction=H","UseDPDF=Y")</f>
        <v>#NAME?</v>
      </c>
      <c r="AK307" s="2" t="e">
        <f ca="1">_xll.BDH($C$303,"BVPS_GROWTH","FQ4 2014","FQ4 2014","Currency=INR","Period=FQ","BEST_FPERIOD_OVERRIDE=FQ","FILING_STATUS=OR","EQY_CONSOLIDATED=Y","Sort=A","Dates=H","DateFormat=P","Fill=—","Direction=H","UseDPDF=Y")</f>
        <v>#NAME?</v>
      </c>
      <c r="AL307" s="2" t="e">
        <f ca="1">_xll.BDH($C$303,"CASH_FLOW_GROWTH","FQ4 2014","FQ4 2014","Currency=INR","Period=FQ","BEST_FPERIOD_OVERRIDE=FQ","FILING_STATUS=OR","EQY_CONSOLIDATED=Y","Sort=A","Dates=H","DateFormat=P","Fill=—","Direction=H","UseDPDF=Y")</f>
        <v>#NAME?</v>
      </c>
      <c r="AM307" s="2" t="e">
        <f ca="1">_xll.BDH($C$303,"GEO_GROW_NET_SALES","FQ4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307" s="2" t="e">
        <f ca="1">_xll.BDH($C$303,"GEO_GROW_EBITDA","FQ4 2014","FQ4 2014","Currency=INR","Period=FQ","BEST_FPERIOD_OVERRIDE=FQ","FILING_STATUS=OR","EQY_CONSOLIDATED=Y","FA_ADJUSTED=GAAP","Sort=A","Dates=H","DateFormat=P","Fill=—","Direction=H","UseDPDF=Y")</f>
        <v>#NAME?</v>
      </c>
      <c r="AO307" s="2" t="e">
        <f ca="1">_xll.BDH($C$303,"GEO_GROW_OPER_INC","FQ4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307" s="2" t="e">
        <f ca="1">_xll.BDH($C$303,"NET_INCOME_TO_COMMON_5_YR_GROWTH","FQ4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307" s="2" t="e">
        <f ca="1">_xll.BDH($C$303,"5Y_GEO_GROWTH_DILUTED_EPS","FQ4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307" s="2" t="e">
        <f ca="1">_xll.BDH($C$303,"GEO_GROW_DVD_PER_SH","FQ4 2014","FQ4 2014","Currency=INR","Period=FQ","BEST_FPERIOD_OVERRIDE=FQ","FILING_STATUS=OR","EQY_CONSOLIDATED=Y","Sort=A","Dates=H","DateFormat=P","Fill=—","Direction=H","UseDPDF=Y")</f>
        <v>#NAME?</v>
      </c>
      <c r="AS307" s="2" t="e">
        <f ca="1">_xll.BDH($C$303,"ACCOUNTS_RECEIVABLE_5_YR_GROWTH","FQ4 2014","FQ4 2014","Currency=INR","Period=FQ","BEST_FPERIOD_OVERRIDE=FQ","FILING_STATUS=OR","EQY_CONSOLIDATED=Y","Sort=A","Dates=H","DateFormat=P","Fill=—","Direction=H","UseDPDF=Y")</f>
        <v>#NAME?</v>
      </c>
      <c r="AT307" s="2" t="e">
        <f ca="1">_xll.BDH($C$303,"INVENTORY_5_YEAR_GROWTH","FQ4 2014","FQ4 2014","Currency=INR","Period=FQ","BEST_FPERIOD_OVERRIDE=FQ","FILING_STATUS=OR","EQY_CONSOLIDATED=Y","Sort=A","Dates=H","DateFormat=P","Fill=—","Direction=H","UseDPDF=Y")</f>
        <v>#NAME?</v>
      </c>
      <c r="AU307" s="2" t="e">
        <f ca="1">_xll.BDH($C$303,"NET_FIXED_ASSETS_5_YEAR_GROWTH","FQ4 2014","FQ4 2014","Currency=INR","Period=FQ","BEST_FPERIOD_OVERRIDE=FQ","FILING_STATUS=OR","EQY_CONSOLIDATED=Y","Sort=A","Dates=H","DateFormat=P","Fill=—","Direction=H","UseDPDF=Y")</f>
        <v>#NAME?</v>
      </c>
      <c r="AV307" s="2" t="e">
        <f ca="1">_xll.BDH($C$303,"GEO_GROW_TOT_ASSET","FQ4 2014","FQ4 2014","Currency=INR","Period=FQ","BEST_FPERIOD_OVERRIDE=FQ","FILING_STATUS=OR","EQY_CONSOLIDATED=Y","Sort=A","Dates=H","DateFormat=P","Fill=—","Direction=H","UseDPDF=Y")</f>
        <v>#NAME?</v>
      </c>
      <c r="AW307" s="2" t="e">
        <f ca="1">_xll.BDH($C$303,"MODIFIED_WORKING_CPTL_5YR_GRWTH","FQ4 2014","FQ4 2014","Currency=INR","Period=FQ","BEST_FPERIOD_OVERRIDE=FQ","FILING_STATUS=OR","EQY_CONSOLIDATED=Y","Sort=A","Dates=H","DateFormat=P","Fill=—","Direction=H","UseDPDF=Y")</f>
        <v>#NAME?</v>
      </c>
      <c r="AX307" s="2" t="e">
        <f ca="1">_xll.BDH($C$303,"WORKING_CAPITAL_5_YEAR_GROWTH","FQ4 2014","FQ4 2014","Currency=INR","Period=FQ","BEST_FPERIOD_OVERRIDE=FQ","FILING_STATUS=OR","EQY_CONSOLIDATED=Y","Sort=A","Dates=H","DateFormat=P","Fill=—","Direction=H","UseDPDF=Y")</f>
        <v>#NAME?</v>
      </c>
      <c r="AY307" s="2" t="e">
        <f ca="1">_xll.BDH($C$303,"ACCOUNTS_PAYABLE_5_YEAR_GROWTH","FQ4 2014","FQ4 2014","Currency=INR","Period=FQ","BEST_FPERIOD_OVERRIDE=FQ","FILING_STATUS=OR","EQY_CONSOLIDATED=Y","Sort=A","Dates=H","DateFormat=P","Fill=—","Direction=H","UseDPDF=Y")</f>
        <v>#NAME?</v>
      </c>
      <c r="AZ307" s="2" t="e">
        <f ca="1">_xll.BDH($C$303,"SHORT_TERM_DEBT_5_YEAR_GROWTH","FQ4 2014","FQ4 2014","Currency=INR","Period=FQ","BEST_FPERIOD_OVERRIDE=FQ","FILING_STATUS=OR","EQY_CONSOLIDATED=Y","Sort=A","Dates=H","DateFormat=P","Fill=—","Direction=H","UseDPDF=Y")</f>
        <v>#NAME?</v>
      </c>
      <c r="BA307" s="2" t="e">
        <f ca="1">_xll.BDH($C$303,"TOTAL_DEBT_5_YEAR_GROWTH","FQ4 2014","FQ4 2014","Currency=INR","Period=FQ","BEST_FPERIOD_OVERRIDE=FQ","FILING_STATUS=OR","EQY_CONSOLIDATED=Y","Sort=A","Dates=H","DateFormat=P","Fill=—","Direction=H","UseDPDF=Y")</f>
        <v>#NAME?</v>
      </c>
      <c r="BB307" s="2" t="e">
        <f ca="1">_xll.BDH($C$303,"GEO_GROW_TOT_SHRHLDR_EQY","FQ4 2014","FQ4 2014","Currency=INR","Period=FQ","BEST_FPERIOD_OVERRIDE=FQ","FILING_STATUS=OR","EQY_CONSOLIDATED=Y","Sort=A","Dates=H","DateFormat=P","Fill=—","Direction=H","UseDPDF=Y")</f>
        <v>#NAME?</v>
      </c>
      <c r="BC307" s="2" t="e">
        <f ca="1">_xll.BDH($C$303,"TOTAL_CAPITAL_5_YEAR_GROWTH","FQ4 2014","FQ4 2014","Currency=INR","Period=FQ","BEST_FPERIOD_OVERRIDE=FQ","FILING_STATUS=OR","EQY_CONSOLIDATED=Y","Sort=A","Dates=H","DateFormat=P","Fill=—","Direction=H","UseDPDF=Y")</f>
        <v>#NAME?</v>
      </c>
      <c r="BD307" s="2" t="e">
        <f ca="1">_xll.BDH($C$303,"GEO_GROW_BOOK_VAL","FQ4 2014","FQ4 2014","Currency=INR","Period=FQ","BEST_FPERIOD_OVERRIDE=FQ","FILING_STATUS=OR","EQY_CONSOLIDATED=Y","Sort=A","Dates=H","DateFormat=P","Fill=—","Direction=H","UseDPDF=Y")</f>
        <v>#NAME?</v>
      </c>
      <c r="BE307" s="2" t="e">
        <f ca="1">_xll.BDH($C$303,"GEO_GROW_CASH_OPER_ACT","FQ4 2014","FQ4 2014","Currency=INR","Period=FQ","BEST_FPERIOD_OVERRIDE=FQ","FILING_STATUS=OR","EQY_CONSOLIDATED=Y","Sort=A","Dates=H","DateFormat=P","Fill=—","Direction=H","UseDPDF=Y")</f>
        <v>#NAME?</v>
      </c>
      <c r="BF307" s="2" t="e">
        <f ca="1">_xll.BDH($C$303,"REVENUE_SEQUENTIAL_GROWTH","FQ4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307" s="2" t="e">
        <f ca="1">_xll.BDH($C$303,"EBITDA_SEQUENTIAL_GROWTH","FQ4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307" s="2" t="e">
        <f ca="1">_xll.BDH($C$303,"OPERATING_INCOME_SEQ_GROWTH","FQ4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307" s="2" t="e">
        <f ca="1">_xll.BDH($C$303,"NET_INCOME_TO_COMMON_SEQ_GROWTH","FQ4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307" s="2" t="e">
        <f ca="1">_xll.BDH($C$303,"EPS_DILUTED_SEQUENTIAL_GROWTH","FQ4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307" s="2" t="e">
        <f ca="1">_xll.BDH($C$303,"DPS_SEQUENTIAL_GROWTH","FQ4 2014","FQ4 2014","Currency=INR","Period=FQ","BEST_FPERIOD_OVERRIDE=FQ","FILING_STATUS=OR","EQY_CONSOLIDATED=Y","Sort=A","Dates=H","DateFormat=P","Fill=—","Direction=H","UseDPDF=Y")</f>
        <v>#NAME?</v>
      </c>
      <c r="BL307" s="2" t="e">
        <f ca="1">_xll.BDH($C$303,"ACCOUNTS_RECEIVABLE_SEQ_GROWTH","FQ4 2014","FQ4 2014","Currency=INR","Period=FQ","BEST_FPERIOD_OVERRIDE=FQ","FILING_STATUS=OR","EQY_CONSOLIDATED=Y","Sort=A","Dates=H","DateFormat=P","Fill=—","Direction=H","UseDPDF=Y")</f>
        <v>#NAME?</v>
      </c>
      <c r="BM307" s="2" t="e">
        <f ca="1">_xll.BDH($C$303,"INVENTORY_SEQUENTIAL_GROWTH","FQ4 2014","FQ4 2014","Currency=INR","Period=FQ","BEST_FPERIOD_OVERRIDE=FQ","FILING_STATUS=OR","EQY_CONSOLIDATED=Y","Sort=A","Dates=H","DateFormat=P","Fill=—","Direction=H","UseDPDF=Y")</f>
        <v>#NAME?</v>
      </c>
      <c r="BN307" s="2" t="e">
        <f ca="1">_xll.BDH($C$303,"FIXED_ASSETS_SEQUENTIAL_GROWTH","FQ4 2014","FQ4 2014","Currency=INR","Period=FQ","BEST_FPERIOD_OVERRIDE=FQ","FILING_STATUS=OR","EQY_CONSOLIDATED=Y","Sort=A","Dates=H","DateFormat=P","Fill=—","Direction=H","UseDPDF=Y")</f>
        <v>#NAME?</v>
      </c>
      <c r="BO307" s="2" t="e">
        <f ca="1">_xll.BDH($C$303,"TOTAL_ASSETS_SEQUENTIAL_GROWTH","FQ4 2014","FQ4 2014","Currency=INR","Period=FQ","BEST_FPERIOD_OVERRIDE=FQ","FILING_STATUS=OR","EQY_CONSOLIDATED=Y","Sort=A","Dates=H","DateFormat=P","Fill=—","Direction=H","UseDPDF=Y")</f>
        <v>#NAME?</v>
      </c>
      <c r="BP307" s="2" t="e">
        <f ca="1">_xll.BDH($C$303,"MODIFIED_WORKING_CPTL_SEQ_GRWTH","FQ4 2014","FQ4 2014","Currency=INR","Period=FQ","BEST_FPERIOD_OVERRIDE=FQ","FILING_STATUS=OR","EQY_CONSOLIDATED=Y","Sort=A","Dates=H","DateFormat=P","Fill=—","Direction=H","UseDPDF=Y")</f>
        <v>#NAME?</v>
      </c>
      <c r="BQ307" s="2" t="e">
        <f ca="1">_xll.BDH($C$303,"WORKING_CAPITAL_SEQ_GROWTH","FQ4 2014","FQ4 2014","Currency=INR","Period=FQ","BEST_FPERIOD_OVERRIDE=FQ","FILING_STATUS=OR","EQY_CONSOLIDATED=Y","Sort=A","Dates=H","DateFormat=P","Fill=—","Direction=H","UseDPDF=Y")</f>
        <v>#NAME?</v>
      </c>
      <c r="BR307" s="2" t="e">
        <f ca="1">_xll.BDH($C$303,"ACCOUNTS_PAYABLE_SEQ_GROWTH","FQ4 2014","FQ4 2014","Currency=INR","Period=FQ","BEST_FPERIOD_OVERRIDE=FQ","FILING_STATUS=OR","EQY_CONSOLIDATED=Y","Sort=A","Dates=H","DateFormat=P","Fill=—","Direction=H","UseDPDF=Y")</f>
        <v>#NAME?</v>
      </c>
      <c r="BS307" s="2" t="e">
        <f ca="1">_xll.BDH($C$303,"ST_DEBT_SEQUENTIAL_GROWTH","FQ4 2014","FQ4 2014","Currency=INR","Period=FQ","BEST_FPERIOD_OVERRIDE=FQ","FILING_STATUS=OR","EQY_CONSOLIDATED=Y","Sort=A","Dates=H","DateFormat=P","Fill=—","Direction=H","UseDPDF=Y")</f>
        <v>#NAME?</v>
      </c>
      <c r="BT307" s="2" t="e">
        <f ca="1">_xll.BDH($C$303,"TOTAL_DEBT_SEQUENTIAL_GROWTH","FQ4 2014","FQ4 2014","Currency=INR","Period=FQ","BEST_FPERIOD_OVERRIDE=FQ","FILING_STATUS=OR","EQY_CONSOLIDATED=Y","Sort=A","Dates=H","DateFormat=P","Fill=—","Direction=H","UseDPDF=Y")</f>
        <v>#NAME?</v>
      </c>
      <c r="BU307" s="2" t="e">
        <f ca="1">_xll.BDH($C$303,"TOTAL_EQUITY_SEQUENTIAL_GROWTH","FQ4 2014","FQ4 2014","Currency=INR","Period=FQ","BEST_FPERIOD_OVERRIDE=FQ","FILING_STATUS=OR","EQY_CONSOLIDATED=Y","Sort=A","Dates=H","DateFormat=P","Fill=—","Direction=H","UseDPDF=Y")</f>
        <v>#NAME?</v>
      </c>
      <c r="BV307" s="2" t="e">
        <f ca="1">_xll.BDH($C$303,"TOTAL_CAPITAL_SEQUENTIAL_GROWTH","FQ4 2014","FQ4 2014","Currency=INR","Period=FQ","BEST_FPERIOD_OVERRIDE=FQ","FILING_STATUS=OR","EQY_CONSOLIDATED=Y","Sort=A","Dates=H","DateFormat=P","Fill=—","Direction=H","UseDPDF=Y")</f>
        <v>#NAME?</v>
      </c>
      <c r="BW307" s="2" t="e">
        <f ca="1">_xll.BDH($C$303,"BPS_SEQUENTIAL_GROWTH","FQ4 2014","FQ4 2014","Currency=INR","Period=FQ","BEST_FPERIOD_OVERRIDE=FQ","FILING_STATUS=OR","EQY_CONSOLIDATED=Y","Sort=A","Dates=H","DateFormat=P","Fill=—","Direction=H","UseDPDF=Y")</f>
        <v>#NAME?</v>
      </c>
      <c r="BX307" s="2" t="e">
        <f ca="1">_xll.BDH($C$303,"CFO_SEQUENTIAL_GROWTH","FQ4 2014","FQ4 2014","Currency=INR","Period=FQ","BEST_FPERIOD_OVERRIDE=FQ","FILING_STATUS=OR","EQY_CONSOLIDATED=Y","Sort=A","Dates=H","DateFormat=P","Fill=—","Direction=H","UseDPDF=Y")</f>
        <v>#NAME?</v>
      </c>
      <c r="BY307" s="3" t="e">
        <f ca="1">_xll.BDH($C$303,"SHORT_AND_LONG_TERM_DEBT","FQ4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307" s="3" t="e">
        <f ca="1">_xll.BDH($C$303,"BS_ST_BORROW","FQ4 2014","FQ4 2014","Currency=INR","Period=FQ","BEST_FPERIOD_OVERRIDE=FQ","FILING_STATUS=OR","EQY_CONSOLIDATED=Y","SCALING_FORMAT=MLN","Sort=A","Dates=H","DateFormat=P","Fill=—","Direction=H","UseDPDF=Y")</f>
        <v>#NAME?</v>
      </c>
      <c r="CA307" s="3" t="e">
        <f ca="1">_xll.BDH($C$303,"BS_LT_BORROW","FQ4 2014","FQ4 2014","Currency=INR","Period=FQ","BEST_FPERIOD_OVERRIDE=FQ","FILING_STATUS=OR","EQY_CONSOLIDATED=Y","SCALING_FORMAT=MLN","Sort=A","Dates=H","DateFormat=P","Fill=—","Direction=H","UseDPDF=Y")</f>
        <v>#NAME?</v>
      </c>
      <c r="CB307" s="2" t="e">
        <f ca="1">_xll.BDH($C$303,"TOT_DEBT_TO_EBITDA","FQ4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307" s="2" t="e">
        <f ca="1">_xll.BDH($C$303,"NET_DEBT_TO_EBITDA","FQ4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307" s="2" t="e">
        <f ca="1">_xll.BDH($C$303,"TOTAL_DEBT_TO_EBIT","FQ4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307" s="2" t="e">
        <f ca="1">_xll.BDH($C$303,"NET_DEBT_TO_EBIT","FQ4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307" s="2" t="e">
        <f ca="1">_xll.BDH($C$303,"EBITDA_TO_INTEREST_EXPN","FQ4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307" s="2" t="e">
        <f ca="1">_xll.BDH($C$303,"COM_EQY_TO_TOT_ASSET","FQ4 2014","FQ4 2014","Currency=INR","Period=FQ","BEST_FPERIOD_OVERRIDE=FQ","FILING_STATUS=OR","EQY_CONSOLIDATED=Y","Sort=A","Dates=H","DateFormat=P","Fill=—","Direction=H","UseDPDF=Y")</f>
        <v>#NAME?</v>
      </c>
      <c r="CH307" s="2" t="e">
        <f ca="1">_xll.BDH($C$303,"LT_DEBT_TO_TOT_EQY","FQ4 2014","FQ4 2014","Currency=INR","Period=FQ","BEST_FPERIOD_OVERRIDE=FQ","FILING_STATUS=OR","EQY_CONSOLIDATED=Y","Sort=A","Dates=H","DateFormat=P","Fill=—","Direction=H","UseDPDF=Y")</f>
        <v>#NAME?</v>
      </c>
      <c r="CI307" s="2" t="e">
        <f ca="1">_xll.BDH($C$303,"LT_DEBT_TO_TOT_CAP","FQ4 2014","FQ4 2014","Currency=INR","Period=FQ","BEST_FPERIOD_OVERRIDE=FQ","FILING_STATUS=OR","EQY_CONSOLIDATED=Y","Sort=A","Dates=H","DateFormat=P","Fill=—","Direction=H","UseDPDF=Y")</f>
        <v>#NAME?</v>
      </c>
      <c r="CJ307" s="2" t="e">
        <f ca="1">_xll.BDH($C$303,"LT_DEBT_TO_TOT_ASSET","FQ4 2014","FQ4 2014","Currency=INR","Period=FQ","BEST_FPERIOD_OVERRIDE=FQ","FILING_STATUS=OR","EQY_CONSOLIDATED=Y","Sort=A","Dates=H","DateFormat=P","Fill=—","Direction=H","UseDPDF=Y")</f>
        <v>#NAME?</v>
      </c>
      <c r="CK307" s="2" t="e">
        <f ca="1">_xll.BDH($C$303,"TOT_DEBT_TO_TOT_EQY","FQ4 2014","FQ4 2014","Currency=INR","Period=FQ","BEST_FPERIOD_OVERRIDE=FQ","FILING_STATUS=OR","EQY_CONSOLIDATED=Y","Sort=A","Dates=H","DateFormat=P","Fill=—","Direction=H","UseDPDF=Y")</f>
        <v>#NAME?</v>
      </c>
      <c r="CL307" s="2" t="e">
        <f ca="1">_xll.BDH($C$303,"TOT_DEBT_TO_TOT_CAP","FQ4 2014","FQ4 2014","Currency=INR","Period=FQ","BEST_FPERIOD_OVERRIDE=FQ","FILING_STATUS=OR","EQY_CONSOLIDATED=Y","Sort=A","Dates=H","DateFormat=P","Fill=—","Direction=H","UseDPDF=Y")</f>
        <v>#NAME?</v>
      </c>
      <c r="CM307" s="2" t="e">
        <f ca="1">_xll.BDH($C$303,"TOT_DEBT_TO_TOT_ASSET","FQ4 2014","FQ4 2014","Currency=INR","Period=FQ","BEST_FPERIOD_OVERRIDE=FQ","FILING_STATUS=OR","EQY_CONSOLIDATED=Y","Sort=A","Dates=H","DateFormat=P","Fill=—","Direction=H","UseDPDF=Y")</f>
        <v>#NAME?</v>
      </c>
      <c r="CN307" s="2" t="e">
        <f ca="1">_xll.BDH($C$303,"NET_DEBT_TO_SHRHLDR_EQTY","FQ4 2014","FQ4 2014","Currency=INR","Period=FQ","BEST_FPERIOD_OVERRIDE=FQ","FILING_STATUS=OR","EQY_CONSOLIDATED=Y","Sort=A","Dates=H","DateFormat=P","Fill=—","Direction=H","UseDPDF=Y")</f>
        <v>#NAME?</v>
      </c>
      <c r="CO307" s="2" t="e">
        <f ca="1">_xll.BDH($C$303,"NET_DEBT_%_CAPITAL","FQ4 2014","FQ4 2014","Currency=INR","Period=FQ","BEST_FPERIOD_OVERRIDE=FQ","FILING_STATUS=OR","EQY_CONSOLIDATED=Y","Sort=A","Dates=H","DateFormat=P","Fill=—","Direction=H","UseDPDF=Y")</f>
        <v>#NAME?</v>
      </c>
      <c r="CP307" s="3" t="e">
        <f ca="1">_xll.BDH($C$303,"EBITDA","FQ4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307" s="3" t="e">
        <f ca="1">_xll.BDH($C$303,"EBITDA_AFTER_CAPEX","FQ4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307" s="3" t="e">
        <f ca="1">_xll.BDH($C$303,"IS_OPER_INC","FQ4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307" s="2" t="e">
        <f ca="1">_xll.BDH($C$303,"CASH_RATIO","FQ4 2014","FQ4 2014","Currency=INR","Period=FQ","BEST_FPERIOD_OVERRIDE=FQ","FILING_STATUS=OR","EQY_CONSOLIDATED=Y","Sort=A","Dates=H","DateFormat=P","Fill=—","Direction=H","UseDPDF=Y")</f>
        <v>#NAME?</v>
      </c>
      <c r="CT307" s="2" t="e">
        <f ca="1">_xll.BDH($C$303,"CUR_RATIO","FQ4 2014","FQ4 2014","Currency=INR","Period=FQ","BEST_FPERIOD_OVERRIDE=FQ","FILING_STATUS=OR","EQY_CONSOLIDATED=Y","Sort=A","Dates=H","DateFormat=P","Fill=—","Direction=H","UseDPDF=Y")</f>
        <v>#NAME?</v>
      </c>
      <c r="CU307" s="2" t="e">
        <f ca="1">_xll.BDH($C$303,"QUICK_RATIO","FQ4 2014","FQ4 2014","Currency=INR","Period=FQ","BEST_FPERIOD_OVERRIDE=FQ","FILING_STATUS=OR","EQY_CONSOLIDATED=Y","Sort=A","Dates=H","DateFormat=P","Fill=—","Direction=H","UseDPDF=Y")</f>
        <v>#NAME?</v>
      </c>
      <c r="CV307" s="2" t="e">
        <f ca="1">_xll.BDH($C$303,"ALTMAN_Z_SCORE","FQ4 2014","FQ4 2014","Currency=INR","Period=FQ","BEST_FPERIOD_OVERRIDE=FQ","FILING_STATUS=OR","EQY_CONSOLIDATED=Y","Sort=A","Dates=H","DateFormat=P","Fill=—","Direction=H","UseDPDF=Y")</f>
        <v>#NAME?</v>
      </c>
      <c r="CW307" s="4" t="e">
        <f ca="1">_xll.BDH($C$303,"ACCT_RCV_TURN","FQ4 2014","FQ4 2014","Currency=INR","Period=FQ","BEST_FPERIOD_OVERRIDE=FQ","FILING_STATUS=OR","EQY_CONSOLIDATED=Y","FA_ADJUSTED=GAAP","Sort=A","Dates=H","DateFormat=P","Fill=—","Direction=H","UseDPDF=Y")</f>
        <v>#NAME?</v>
      </c>
      <c r="CX307" s="2" t="e">
        <f ca="1">_xll.BDH($C$303,"ACCT_RCV_DAYS","FQ4 2014","FQ4 2014","Currency=INR","Period=FQ","BEST_FPERIOD_OVERRIDE=FQ","FILING_STATUS=OR","EQY_CONSOLIDATED=Y","FA_ADJUSTED=GAAP","Sort=A","Dates=H","DateFormat=P","Fill=—","Direction=H","UseDPDF=Y")</f>
        <v>#NAME?</v>
      </c>
      <c r="CY307" s="4" t="e">
        <f ca="1">_xll.BDH($C$303,"INVENT_TURN","FQ4 2014","FQ4 2014","Currency=INR","Period=FQ","BEST_FPERIOD_OVERRIDE=FQ","FILING_STATUS=OR","EQY_CONSOLIDATED=Y","FA_ADJUSTED=GAAP","Sort=A","Dates=H","DateFormat=P","Fill=—","Direction=H","UseDPDF=Y")</f>
        <v>#NAME?</v>
      </c>
      <c r="CZ307" s="2" t="e">
        <f ca="1">_xll.BDH($C$303,"INVENT_DAYS","FQ4 2014","FQ4 2014","Currency=INR","Period=FQ","BEST_FPERIOD_OVERRIDE=FQ","FILING_STATUS=OR","EQY_CONSOLIDATED=Y","FA_ADJUSTED=GAAP","Sort=A","Dates=H","DateFormat=P","Fill=—","Direction=H","UseDPDF=Y")</f>
        <v>#NAME?</v>
      </c>
      <c r="DA307" s="4" t="e">
        <f ca="1">_xll.BDH($C$303,"ACCOUNTS_PAYABLE_TURNOVER","FQ4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307" s="2" t="e">
        <f ca="1">_xll.BDH($C$303,"ACCOUNTS_PAYABLE_TURNOVER_DAYS","FQ4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307" s="4" t="e">
        <f ca="1">_xll.BDH($C$303,"CASH_CONVERSION_CYCLE","FQ4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307" s="4" t="e">
        <f ca="1">_xll.BDH($C$303,"INV_TO_CASH_DAYS","FQ4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307" s="5" t="e">
        <f ca="1">_xll.BDH($C$303,"BS_INVENTORIES","FQ4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307" s="3" t="e">
        <f ca="1">_xll.BDH($C$303,"INVTRY_RAW_MATERIALS","FQ4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307" s="3" t="e">
        <f ca="1">_xll.BDH($C$303,"INVTRY_IN_PROGRESS","FQ4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307" s="3" t="e">
        <f ca="1">_xll.BDH($C$303,"INVTRY_FINISHED_GOODS","FQ4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307" s="3" t="e">
        <f ca="1">_xll.BDH($C$303,"BS_OTHER_INV","FQ4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308" spans="1:113" x14ac:dyDescent="0.3">
      <c r="A308" s="6"/>
      <c r="B308" s="6"/>
      <c r="C308" s="6"/>
      <c r="D308" s="6" t="s">
        <v>82</v>
      </c>
      <c r="E308" t="s">
        <v>77</v>
      </c>
      <c r="F308" t="e">
        <f ca="1">_xll.BDH($C$303,"RETURN_COM_EQY","FY 2015","FY 2015","Currency=INR","Period=FY","BEST_FPERIOD_OVERRIDE=FY","FILING_STATUS=OR","EQY_CONSOLIDATED=Y","FA_ADJUSTED=GAAP","Sort=A","Dates=H","DateFormat=P","Fill=—","Direction=H","UseDPDF=Y")</f>
        <v>#NAME?</v>
      </c>
      <c r="G308" t="e">
        <f ca="1">_xll.BDH($C$303,"RETURN_ON_ASSET","FY 2015","FY 2015","Currency=INR","Period=FY","BEST_FPERIOD_OVERRIDE=FY","FILING_STATUS=OR","EQY_CONSOLIDATED=Y","FA_ADJUSTED=GAAP","Sort=A","Dates=H","DateFormat=P","Fill=—","Direction=H","UseDPDF=Y")</f>
        <v>#NAME?</v>
      </c>
      <c r="H308" t="e">
        <f ca="1">_xll.BDH($C$303,"RETURN_ON_CAP","FY 2015","FY 2015","Currency=INR","Period=FY","BEST_FPERIOD_OVERRIDE=FY","FILING_STATUS=OR","EQY_CONSOLIDATED=Y","FA_ADJUSTED=GAAP","Sort=A","Dates=H","DateFormat=P","Fill=—","Direction=H","UseDPDF=Y")</f>
        <v>#NAME?</v>
      </c>
      <c r="I308" t="e">
        <f ca="1">_xll.BDH($C$303,"RETURN_ON_INV_CAPITAL","FY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308" t="e">
        <f ca="1">_xll.BDH($C$303,"EBITDA_TO_REVENUE","FY 2015","FY 2015","Currency=INR","Period=FY","BEST_FPERIOD_OVERRIDE=FY","FILING_STATUS=OR","EQY_CONSOLIDATED=Y","FA_ADJUSTED=GAAP","Sort=A","Dates=H","DateFormat=P","Fill=—","Direction=H","UseDPDF=Y")</f>
        <v>#NAME?</v>
      </c>
      <c r="K308" t="e">
        <f ca="1">_xll.BDH($C$303,"OPER_MARGIN","FY 2015","FY 2015","Currency=INR","Period=FY","BEST_FPERIOD_OVERRIDE=FY","FILING_STATUS=OR","EQY_CONSOLIDATED=Y","FA_ADJUSTED=GAAP","Sort=A","Dates=H","DateFormat=P","Fill=—","Direction=H","UseDPDF=Y")</f>
        <v>#NAME?</v>
      </c>
      <c r="L308" t="e">
        <f ca="1">_xll.BDH($C$303,"INCREMENTAL_OPERATING_MARGIN","FY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308" t="e">
        <f ca="1">_xll.BDH($C$303,"PRETAX_INC_TO_NET_SALES","FY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308" t="e">
        <f ca="1">_xll.BDH($C$303,"INC_BEF_XO_ITEMS_TO_NET_SALES","FY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308" t="e">
        <f ca="1">_xll.BDH($C$303,"PROF_MARGIN","FY 2015","FY 2015","Currency=INR","Period=FY","BEST_FPERIOD_OVERRIDE=FY","FILING_STATUS=OR","EQY_CONSOLIDATED=Y","FA_ADJUSTED=GAAP","Sort=A","Dates=H","DateFormat=P","Fill=—","Direction=H","UseDPDF=Y")</f>
        <v>#NAME?</v>
      </c>
      <c r="P308" t="e">
        <f ca="1">_xll.BDH($C$303,"NET_INCOME_TO_COMMON_MARGIN","FY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308" t="e">
        <f ca="1">_xll.BDH($C$303,"EFF_TAX_RATE","FY 2015","FY 2015","Currency=INR","Period=FY","BEST_FPERIOD_OVERRIDE=FY","FILING_STATUS=OR","EQY_CONSOLIDATED=Y","FA_ADJUSTED=GAAP","Sort=A","Dates=H","DateFormat=P","Fill=—","Direction=H","UseDPDF=Y")</f>
        <v>#NAME?</v>
      </c>
      <c r="R308" t="e">
        <f ca="1">_xll.BDH($C$303,"DVD_PAYOUT_RATIO","FY 2015","FY 2015","Currency=INR","Period=FY","BEST_FPERIOD_OVERRIDE=FY","FILING_STATUS=OR","EQY_CONSOLIDATED=Y","FA_ADJUSTED=GAAP","Sort=A","Dates=H","DateFormat=P","Fill=—","Direction=H","UseDPDF=Y")</f>
        <v>#NAME?</v>
      </c>
      <c r="S308" t="e">
        <f ca="1">_xll.BDH($C$303,"SUSTAIN_GROWTH_RT","FY 2015","FY 2015","Currency=INR","Period=FY","BEST_FPERIOD_OVERRIDE=FY","FILING_STATUS=OR","EQY_CONSOLIDATED=Y","FA_ADJUSTED=GAAP","Sort=A","Dates=H","DateFormat=P","Fill=—","Direction=H","UseDPDF=Y")</f>
        <v>#NAME?</v>
      </c>
      <c r="T308" s="2" t="e">
        <f ca="1">_xll.BDH($C$303,"SALES_GROWTH","FY 2015","FY 2015","Currency=INR","Period=FY","BEST_FPERIOD_OVERRIDE=FY","FILING_STATUS=OR","EQY_CONSOLIDATED=Y","FA_ADJUSTED=GAAP","Sort=A","Dates=H","DateFormat=P","Fill=—","Direction=H","UseDPDF=Y")</f>
        <v>#NAME?</v>
      </c>
      <c r="U308" s="2" t="e">
        <f ca="1">_xll.BDH($C$303,"EBITDA_GROWTH","FY 2015","FY 2015","Currency=INR","Period=FY","BEST_FPERIOD_OVERRIDE=FY","FILING_STATUS=OR","EQY_CONSOLIDATED=Y","FA_ADJUSTED=GAAP","Sort=A","Dates=H","DateFormat=P","Fill=—","Direction=H","UseDPDF=Y")</f>
        <v>#NAME?</v>
      </c>
      <c r="V308" s="2" t="e">
        <f ca="1">_xll.BDH($C$303,"OPER_INC_GROWTH","FY 2015","FY 2015","Currency=INR","Period=FY","BEST_FPERIOD_OVERRIDE=FY","FILING_STATUS=OR","EQY_CONSOLIDATED=Y","FA_ADJUSTED=GAAP","Sort=A","Dates=H","DateFormat=P","Fill=—","Direction=H","UseDPDF=Y")</f>
        <v>#NAME?</v>
      </c>
      <c r="W308" s="2" t="e">
        <f ca="1">_xll.BDH($C$303,"EARN_FOR_COM_GROWTH","FY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308" s="2" t="e">
        <f ca="1">_xll.BDH($C$303,"DILUTED_EPS_AFT_XO_ITEMS_GROWTH","FY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308" s="2" t="e">
        <f ca="1">_xll.BDH($C$303,"DIVIDEND_PER_SHARE_1_YEAR_GROWTH","FY 2015","FY 2015","Currency=INR","Period=FY","BEST_FPERIOD_OVERRIDE=FY","FILING_STATUS=OR","EQY_CONSOLIDATED=Y","Sort=A","Dates=H","DateFormat=P","Fill=—","Direction=H","UseDPDF=Y")</f>
        <v>#NAME?</v>
      </c>
      <c r="Z308" s="2" t="e">
        <f ca="1">_xll.BDH($C$303,"ACCOUNTS_RECEIVABLE_GROWTH","FY 2015","FY 2015","Currency=INR","Period=FY","BEST_FPERIOD_OVERRIDE=FY","FILING_STATUS=OR","EQY_CONSOLIDATED=Y","Sort=A","Dates=H","DateFormat=P","Fill=—","Direction=H","UseDPDF=Y")</f>
        <v>#NAME?</v>
      </c>
      <c r="AA308" s="2" t="e">
        <f ca="1">_xll.BDH($C$303,"INVENTORY_GROWTH","FY 2015","FY 2015","Currency=INR","Period=FY","BEST_FPERIOD_OVERRIDE=FY","FILING_STATUS=OR","EQY_CONSOLIDATED=Y","Sort=A","Dates=H","DateFormat=P","Fill=—","Direction=H","UseDPDF=Y")</f>
        <v>#NAME?</v>
      </c>
      <c r="AB308" s="2" t="e">
        <f ca="1">_xll.BDH($C$303,"NET_FIXED_ASSETS_1_YEAR_GROWTH","FY 2015","FY 2015","Currency=INR","Period=FY","BEST_FPERIOD_OVERRIDE=FY","FILING_STATUS=OR","EQY_CONSOLIDATED=Y","Sort=A","Dates=H","DateFormat=P","Fill=—","Direction=H","UseDPDF=Y")</f>
        <v>#NAME?</v>
      </c>
      <c r="AC308" s="2" t="e">
        <f ca="1">_xll.BDH($C$303,"ASSET_GROWTH","FY 2015","FY 2015","Currency=INR","Period=FY","BEST_FPERIOD_OVERRIDE=FY","FILING_STATUS=OR","EQY_CONSOLIDATED=Y","Sort=A","Dates=H","DateFormat=P","Fill=—","Direction=H","UseDPDF=Y")</f>
        <v>#NAME?</v>
      </c>
      <c r="AD308" s="2" t="e">
        <f ca="1">_xll.BDH($C$303,"MODIFIED_WORK_CAP_GROWTH","FY 2015","FY 2015","Currency=INR","Period=FY","BEST_FPERIOD_OVERRIDE=FY","FILING_STATUS=OR","EQY_CONSOLIDATED=Y","Sort=A","Dates=H","DateFormat=P","Fill=—","Direction=H","UseDPDF=Y")</f>
        <v>#NAME?</v>
      </c>
      <c r="AE308" s="2" t="e">
        <f ca="1">_xll.BDH($C$303,"WORK_CAP_GROWTH","FY 2015","FY 2015","Currency=INR","Period=FY","BEST_FPERIOD_OVERRIDE=FY","FILING_STATUS=OR","EQY_CONSOLIDATED=Y","Sort=A","Dates=H","DateFormat=P","Fill=—","Direction=H","UseDPDF=Y")</f>
        <v>#NAME?</v>
      </c>
      <c r="AF308" s="2" t="e">
        <f ca="1">_xll.BDH($C$303,"ACCOUNTS_PAYABLE_GROWTH_1YR","FY 2015","FY 2015","Currency=INR","Period=FY","BEST_FPERIOD_OVERRIDE=FY","FILING_STATUS=OR","EQY_CONSOLIDATED=Y","Sort=A","Dates=H","DateFormat=P","Fill=—","Direction=H","UseDPDF=Y")</f>
        <v>#NAME?</v>
      </c>
      <c r="AG308" s="2" t="e">
        <f ca="1">_xll.BDH($C$303,"SHORT_TERM_DEBT_1_YEAR_GROWTH","FY 2015","FY 2015","Currency=INR","Period=FY","BEST_FPERIOD_OVERRIDE=FY","FILING_STATUS=OR","EQY_CONSOLIDATED=Y","Sort=A","Dates=H","DateFormat=P","Fill=—","Direction=H","UseDPDF=Y")</f>
        <v>#NAME?</v>
      </c>
      <c r="AH308" s="2" t="e">
        <f ca="1">_xll.BDH($C$303,"TOTAL_DEBT_1_YEAR_GROWTH","FY 2015","FY 2015","Currency=INR","Period=FY","BEST_FPERIOD_OVERRIDE=FY","FILING_STATUS=OR","EQY_CONSOLIDATED=Y","Sort=A","Dates=H","DateFormat=P","Fill=—","Direction=H","UseDPDF=Y")</f>
        <v>#NAME?</v>
      </c>
      <c r="AI308" s="2" t="e">
        <f ca="1">_xll.BDH($C$303,"TOTAL_EQUITY_1_YEAR_GROWTH","FY 2015","FY 2015","Currency=INR","Period=FY","BEST_FPERIOD_OVERRIDE=FY","FILING_STATUS=OR","EQY_CONSOLIDATED=Y","Sort=A","Dates=H","DateFormat=P","Fill=—","Direction=H","UseDPDF=Y")</f>
        <v>#NAME?</v>
      </c>
      <c r="AJ308" s="2" t="e">
        <f ca="1">_xll.BDH($C$303,"GROWTH_IN_CAP","FY 2015","FY 2015","Currency=INR","Period=FY","BEST_FPERIOD_OVERRIDE=FY","FILING_STATUS=OR","EQY_CONSOLIDATED=Y","Sort=A","Dates=H","DateFormat=P","Fill=—","Direction=H","UseDPDF=Y")</f>
        <v>#NAME?</v>
      </c>
      <c r="AK308" s="2" t="e">
        <f ca="1">_xll.BDH($C$303,"BVPS_GROWTH","FY 2015","FY 2015","Currency=INR","Period=FY","BEST_FPERIOD_OVERRIDE=FY","FILING_STATUS=OR","EQY_CONSOLIDATED=Y","Sort=A","Dates=H","DateFormat=P","Fill=—","Direction=H","UseDPDF=Y")</f>
        <v>#NAME?</v>
      </c>
      <c r="AL308" s="2" t="e">
        <f ca="1">_xll.BDH($C$303,"CASH_FLOW_GROWTH","FY 2015","FY 2015","Currency=INR","Period=FY","BEST_FPERIOD_OVERRIDE=FY","FILING_STATUS=OR","EQY_CONSOLIDATED=Y","Sort=A","Dates=H","DateFormat=P","Fill=—","Direction=H","UseDPDF=Y")</f>
        <v>#NAME?</v>
      </c>
      <c r="AM308" s="2" t="e">
        <f ca="1">_xll.BDH($C$303,"GEO_GROW_NET_SALES","FY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308" s="2" t="e">
        <f ca="1">_xll.BDH($C$303,"GEO_GROW_EBITDA","FY 2015","FY 2015","Currency=INR","Period=FY","BEST_FPERIOD_OVERRIDE=FY","FILING_STATUS=OR","EQY_CONSOLIDATED=Y","FA_ADJUSTED=GAAP","Sort=A","Dates=H","DateFormat=P","Fill=—","Direction=H","UseDPDF=Y")</f>
        <v>#NAME?</v>
      </c>
      <c r="AO308" s="2" t="e">
        <f ca="1">_xll.BDH($C$303,"GEO_GROW_OPER_INC","FY 2015","FY 2015","Currency=INR","Period=FY","BEST_FPERIOD_OVERRIDE=FY","FILING_STATUS=OR","EQY_CONSOLIDATED=Y","FA_ADJUSTED=GAAP","Sort=A","Dates=H","DateFormat=P","Fill=—","Direction=H","UseDPDF=Y")</f>
        <v>#NAME?</v>
      </c>
      <c r="AP308" s="2" t="e">
        <f ca="1">_xll.BDH($C$303,"NET_INCOME_TO_COMMON_5_YR_GROWTH","FY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308" s="2" t="e">
        <f ca="1">_xll.BDH($C$303,"5Y_GEO_GROWTH_DILUTED_EPS","FY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308" s="2" t="e">
        <f ca="1">_xll.BDH($C$303,"GEO_GROW_DVD_PER_SH","FY 2015","FY 2015","Currency=INR","Period=FY","BEST_FPERIOD_OVERRIDE=FY","FILING_STATUS=OR","EQY_CONSOLIDATED=Y","Sort=A","Dates=H","DateFormat=P","Fill=—","Direction=H","UseDPDF=Y")</f>
        <v>#NAME?</v>
      </c>
      <c r="AS308" s="2" t="e">
        <f ca="1">_xll.BDH($C$303,"ACCOUNTS_RECEIVABLE_5_YR_GROWTH","FY 2015","FY 2015","Currency=INR","Period=FY","BEST_FPERIOD_OVERRIDE=FY","FILING_STATUS=OR","EQY_CONSOLIDATED=Y","Sort=A","Dates=H","DateFormat=P","Fill=—","Direction=H","UseDPDF=Y")</f>
        <v>#NAME?</v>
      </c>
      <c r="AT308" s="2" t="e">
        <f ca="1">_xll.BDH($C$303,"INVENTORY_5_YEAR_GROWTH","FY 2015","FY 2015","Currency=INR","Period=FY","BEST_FPERIOD_OVERRIDE=FY","FILING_STATUS=OR","EQY_CONSOLIDATED=Y","Sort=A","Dates=H","DateFormat=P","Fill=—","Direction=H","UseDPDF=Y")</f>
        <v>#NAME?</v>
      </c>
      <c r="AU308" s="2" t="e">
        <f ca="1">_xll.BDH($C$303,"NET_FIXED_ASSETS_5_YEAR_GROWTH","FY 2015","FY 2015","Currency=INR","Period=FY","BEST_FPERIOD_OVERRIDE=FY","FILING_STATUS=OR","EQY_CONSOLIDATED=Y","Sort=A","Dates=H","DateFormat=P","Fill=—","Direction=H","UseDPDF=Y")</f>
        <v>#NAME?</v>
      </c>
      <c r="AV308" s="2" t="e">
        <f ca="1">_xll.BDH($C$303,"GEO_GROW_TOT_ASSET","FY 2015","FY 2015","Currency=INR","Period=FY","BEST_FPERIOD_OVERRIDE=FY","FILING_STATUS=OR","EQY_CONSOLIDATED=Y","Sort=A","Dates=H","DateFormat=P","Fill=—","Direction=H","UseDPDF=Y")</f>
        <v>#NAME?</v>
      </c>
      <c r="AW308" s="2" t="e">
        <f ca="1">_xll.BDH($C$303,"MODIFIED_WORKING_CPTL_5YR_GRWTH","FY 2015","FY 2015","Currency=INR","Period=FY","BEST_FPERIOD_OVERRIDE=FY","FILING_STATUS=OR","EQY_CONSOLIDATED=Y","Sort=A","Dates=H","DateFormat=P","Fill=—","Direction=H","UseDPDF=Y")</f>
        <v>#NAME?</v>
      </c>
      <c r="AX308" s="2" t="e">
        <f ca="1">_xll.BDH($C$303,"WORKING_CAPITAL_5_YEAR_GROWTH","FY 2015","FY 2015","Currency=INR","Period=FY","BEST_FPERIOD_OVERRIDE=FY","FILING_STATUS=OR","EQY_CONSOLIDATED=Y","Sort=A","Dates=H","DateFormat=P","Fill=—","Direction=H","UseDPDF=Y")</f>
        <v>#NAME?</v>
      </c>
      <c r="AY308" s="2" t="e">
        <f ca="1">_xll.BDH($C$303,"ACCOUNTS_PAYABLE_5_YEAR_GROWTH","FY 2015","FY 2015","Currency=INR","Period=FY","BEST_FPERIOD_OVERRIDE=FY","FILING_STATUS=OR","EQY_CONSOLIDATED=Y","Sort=A","Dates=H","DateFormat=P","Fill=—","Direction=H","UseDPDF=Y")</f>
        <v>#NAME?</v>
      </c>
      <c r="AZ308" s="2" t="e">
        <f ca="1">_xll.BDH($C$303,"SHORT_TERM_DEBT_5_YEAR_GROWTH","FY 2015","FY 2015","Currency=INR","Period=FY","BEST_FPERIOD_OVERRIDE=FY","FILING_STATUS=OR","EQY_CONSOLIDATED=Y","Sort=A","Dates=H","DateFormat=P","Fill=—","Direction=H","UseDPDF=Y")</f>
        <v>#NAME?</v>
      </c>
      <c r="BA308" s="2" t="e">
        <f ca="1">_xll.BDH($C$303,"TOTAL_DEBT_5_YEAR_GROWTH","FY 2015","FY 2015","Currency=INR","Period=FY","BEST_FPERIOD_OVERRIDE=FY","FILING_STATUS=OR","EQY_CONSOLIDATED=Y","Sort=A","Dates=H","DateFormat=P","Fill=—","Direction=H","UseDPDF=Y")</f>
        <v>#NAME?</v>
      </c>
      <c r="BB308" s="2" t="e">
        <f ca="1">_xll.BDH($C$303,"GEO_GROW_TOT_SHRHLDR_EQY","FY 2015","FY 2015","Currency=INR","Period=FY","BEST_FPERIOD_OVERRIDE=FY","FILING_STATUS=OR","EQY_CONSOLIDATED=Y","Sort=A","Dates=H","DateFormat=P","Fill=—","Direction=H","UseDPDF=Y")</f>
        <v>#NAME?</v>
      </c>
      <c r="BC308" s="2" t="e">
        <f ca="1">_xll.BDH($C$303,"TOTAL_CAPITAL_5_YEAR_GROWTH","FY 2015","FY 2015","Currency=INR","Period=FY","BEST_FPERIOD_OVERRIDE=FY","FILING_STATUS=OR","EQY_CONSOLIDATED=Y","Sort=A","Dates=H","DateFormat=P","Fill=—","Direction=H","UseDPDF=Y")</f>
        <v>#NAME?</v>
      </c>
      <c r="BD308" s="2" t="e">
        <f ca="1">_xll.BDH($C$303,"GEO_GROW_BOOK_VAL","FY 2015","FY 2015","Currency=INR","Period=FY","BEST_FPERIOD_OVERRIDE=FY","FILING_STATUS=OR","EQY_CONSOLIDATED=Y","Sort=A","Dates=H","DateFormat=P","Fill=—","Direction=H","UseDPDF=Y")</f>
        <v>#NAME?</v>
      </c>
      <c r="BE308" s="2" t="e">
        <f ca="1">_xll.BDH($C$303,"GEO_GROW_CASH_OPER_ACT","FY 2015","FY 2015","Currency=INR","Period=FY","BEST_FPERIOD_OVERRIDE=FY","FILING_STATUS=OR","EQY_CONSOLIDATED=Y","Sort=A","Dates=H","DateFormat=P","Fill=—","Direction=H","UseDPDF=Y")</f>
        <v>#NAME?</v>
      </c>
      <c r="BF308" s="2" t="e">
        <f ca="1">_xll.BDH($C$303,"REVENUE_SEQUENTIAL_GROWTH","FY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308" s="2" t="e">
        <f ca="1">_xll.BDH($C$303,"EBITDA_SEQUENTIAL_GROWTH","FY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308" s="2" t="e">
        <f ca="1">_xll.BDH($C$303,"OPERATING_INCOME_SEQ_GROWTH","FY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308" s="2" t="e">
        <f ca="1">_xll.BDH($C$303,"NET_INCOME_TO_COMMON_SEQ_GROWTH","FY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308" s="2" t="e">
        <f ca="1">_xll.BDH($C$303,"EPS_DILUTED_SEQUENTIAL_GROWTH","FY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308" s="2" t="e">
        <f ca="1">_xll.BDH($C$303,"DPS_SEQUENTIAL_GROWTH","FY 2015","FY 2015","Currency=INR","Period=FY","BEST_FPERIOD_OVERRIDE=FY","FILING_STATUS=OR","EQY_CONSOLIDATED=Y","Sort=A","Dates=H","DateFormat=P","Fill=—","Direction=H","UseDPDF=Y")</f>
        <v>#NAME?</v>
      </c>
      <c r="BL308" s="2" t="e">
        <f ca="1">_xll.BDH($C$303,"ACCOUNTS_RECEIVABLE_SEQ_GROWTH","FY 2015","FY 2015","Currency=INR","Period=FY","BEST_FPERIOD_OVERRIDE=FY","FILING_STATUS=OR","EQY_CONSOLIDATED=Y","Sort=A","Dates=H","DateFormat=P","Fill=—","Direction=H","UseDPDF=Y")</f>
        <v>#NAME?</v>
      </c>
      <c r="BM308" s="2" t="e">
        <f ca="1">_xll.BDH($C$303,"INVENTORY_SEQUENTIAL_GROWTH","FY 2015","FY 2015","Currency=INR","Period=FY","BEST_FPERIOD_OVERRIDE=FY","FILING_STATUS=OR","EQY_CONSOLIDATED=Y","Sort=A","Dates=H","DateFormat=P","Fill=—","Direction=H","UseDPDF=Y")</f>
        <v>#NAME?</v>
      </c>
      <c r="BN308" s="2" t="e">
        <f ca="1">_xll.BDH($C$303,"FIXED_ASSETS_SEQUENTIAL_GROWTH","FY 2015","FY 2015","Currency=INR","Period=FY","BEST_FPERIOD_OVERRIDE=FY","FILING_STATUS=OR","EQY_CONSOLIDATED=Y","Sort=A","Dates=H","DateFormat=P","Fill=—","Direction=H","UseDPDF=Y")</f>
        <v>#NAME?</v>
      </c>
      <c r="BO308" s="2" t="e">
        <f ca="1">_xll.BDH($C$303,"TOTAL_ASSETS_SEQUENTIAL_GROWTH","FY 2015","FY 2015","Currency=INR","Period=FY","BEST_FPERIOD_OVERRIDE=FY","FILING_STATUS=OR","EQY_CONSOLIDATED=Y","Sort=A","Dates=H","DateFormat=P","Fill=—","Direction=H","UseDPDF=Y")</f>
        <v>#NAME?</v>
      </c>
      <c r="BP308" s="2" t="e">
        <f ca="1">_xll.BDH($C$303,"MODIFIED_WORKING_CPTL_SEQ_GRWTH","FY 2015","FY 2015","Currency=INR","Period=FY","BEST_FPERIOD_OVERRIDE=FY","FILING_STATUS=OR","EQY_CONSOLIDATED=Y","Sort=A","Dates=H","DateFormat=P","Fill=—","Direction=H","UseDPDF=Y")</f>
        <v>#NAME?</v>
      </c>
      <c r="BQ308" s="2" t="e">
        <f ca="1">_xll.BDH($C$303,"WORKING_CAPITAL_SEQ_GROWTH","FY 2015","FY 2015","Currency=INR","Period=FY","BEST_FPERIOD_OVERRIDE=FY","FILING_STATUS=OR","EQY_CONSOLIDATED=Y","Sort=A","Dates=H","DateFormat=P","Fill=—","Direction=H","UseDPDF=Y")</f>
        <v>#NAME?</v>
      </c>
      <c r="BR308" s="2" t="e">
        <f ca="1">_xll.BDH($C$303,"ACCOUNTS_PAYABLE_SEQ_GROWTH","FY 2015","FY 2015","Currency=INR","Period=FY","BEST_FPERIOD_OVERRIDE=FY","FILING_STATUS=OR","EQY_CONSOLIDATED=Y","Sort=A","Dates=H","DateFormat=P","Fill=—","Direction=H","UseDPDF=Y")</f>
        <v>#NAME?</v>
      </c>
      <c r="BS308" s="2" t="e">
        <f ca="1">_xll.BDH($C$303,"ST_DEBT_SEQUENTIAL_GROWTH","FY 2015","FY 2015","Currency=INR","Period=FY","BEST_FPERIOD_OVERRIDE=FY","FILING_STATUS=OR","EQY_CONSOLIDATED=Y","Sort=A","Dates=H","DateFormat=P","Fill=—","Direction=H","UseDPDF=Y")</f>
        <v>#NAME?</v>
      </c>
      <c r="BT308" s="2" t="e">
        <f ca="1">_xll.BDH($C$303,"TOTAL_DEBT_SEQUENTIAL_GROWTH","FY 2015","FY 2015","Currency=INR","Period=FY","BEST_FPERIOD_OVERRIDE=FY","FILING_STATUS=OR","EQY_CONSOLIDATED=Y","Sort=A","Dates=H","DateFormat=P","Fill=—","Direction=H","UseDPDF=Y")</f>
        <v>#NAME?</v>
      </c>
      <c r="BU308" s="2" t="e">
        <f ca="1">_xll.BDH($C$303,"TOTAL_EQUITY_SEQUENTIAL_GROWTH","FY 2015","FY 2015","Currency=INR","Period=FY","BEST_FPERIOD_OVERRIDE=FY","FILING_STATUS=OR","EQY_CONSOLIDATED=Y","Sort=A","Dates=H","DateFormat=P","Fill=—","Direction=H","UseDPDF=Y")</f>
        <v>#NAME?</v>
      </c>
      <c r="BV308" s="2" t="e">
        <f ca="1">_xll.BDH($C$303,"TOTAL_CAPITAL_SEQUENTIAL_GROWTH","FY 2015","FY 2015","Currency=INR","Period=FY","BEST_FPERIOD_OVERRIDE=FY","FILING_STATUS=OR","EQY_CONSOLIDATED=Y","Sort=A","Dates=H","DateFormat=P","Fill=—","Direction=H","UseDPDF=Y")</f>
        <v>#NAME?</v>
      </c>
      <c r="BW308" s="2" t="e">
        <f ca="1">_xll.BDH($C$303,"BPS_SEQUENTIAL_GROWTH","FY 2015","FY 2015","Currency=INR","Period=FY","BEST_FPERIOD_OVERRIDE=FY","FILING_STATUS=OR","EQY_CONSOLIDATED=Y","Sort=A","Dates=H","DateFormat=P","Fill=—","Direction=H","UseDPDF=Y")</f>
        <v>#NAME?</v>
      </c>
      <c r="BX308" s="2" t="e">
        <f ca="1">_xll.BDH($C$303,"CFO_SEQUENTIAL_GROWTH","FY 2015","FY 2015","Currency=INR","Period=FY","BEST_FPERIOD_OVERRIDE=FY","FILING_STATUS=OR","EQY_CONSOLIDATED=Y","Sort=A","Dates=H","DateFormat=P","Fill=—","Direction=H","UseDPDF=Y")</f>
        <v>#NAME?</v>
      </c>
      <c r="BY308" s="3" t="e">
        <f ca="1">_xll.BDH($C$303,"SHORT_AND_LONG_TERM_DEBT","FY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308" s="3" t="e">
        <f ca="1">_xll.BDH($C$303,"BS_ST_BORROW","FY 2015","FY 2015","Currency=INR","Period=FY","BEST_FPERIOD_OVERRIDE=FY","FILING_STATUS=OR","EQY_CONSOLIDATED=Y","SCALING_FORMAT=MLN","Sort=A","Dates=H","DateFormat=P","Fill=—","Direction=H","UseDPDF=Y")</f>
        <v>#NAME?</v>
      </c>
      <c r="CA308" s="3" t="e">
        <f ca="1">_xll.BDH($C$303,"BS_LT_BORROW","FY 2015","FY 2015","Currency=INR","Period=FY","BEST_FPERIOD_OVERRIDE=FY","FILING_STATUS=OR","EQY_CONSOLIDATED=Y","SCALING_FORMAT=MLN","Sort=A","Dates=H","DateFormat=P","Fill=—","Direction=H","UseDPDF=Y")</f>
        <v>#NAME?</v>
      </c>
      <c r="CB308" s="2" t="e">
        <f ca="1">_xll.BDH($C$303,"TOT_DEBT_TO_EBITDA","FY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308" s="2" t="e">
        <f ca="1">_xll.BDH($C$303,"NET_DEBT_TO_EBITDA","FY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308" s="2" t="e">
        <f ca="1">_xll.BDH($C$303,"TOTAL_DEBT_TO_EBIT","FY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308" s="2" t="e">
        <f ca="1">_xll.BDH($C$303,"NET_DEBT_TO_EBIT","FY 2015","FY 2015","Currency=INR","Period=FY","BEST_FPERIOD_OVERRIDE=FY","FILING_STATUS=OR","EQY_CONSOLIDATED=Y","FA_ADJUSTED=GAAP","Sort=A","Dates=H","DateFormat=P","Fill=—","Direction=H","UseDPDF=Y")</f>
        <v>#NAME?</v>
      </c>
      <c r="CF308" s="2" t="e">
        <f ca="1">_xll.BDH($C$303,"EBITDA_TO_INTEREST_EXPN","FY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308" s="2" t="e">
        <f ca="1">_xll.BDH($C$303,"COM_EQY_TO_TOT_ASSET","FY 2015","FY 2015","Currency=INR","Period=FY","BEST_FPERIOD_OVERRIDE=FY","FILING_STATUS=OR","EQY_CONSOLIDATED=Y","Sort=A","Dates=H","DateFormat=P","Fill=—","Direction=H","UseDPDF=Y")</f>
        <v>#NAME?</v>
      </c>
      <c r="CH308" s="2" t="e">
        <f ca="1">_xll.BDH($C$303,"LT_DEBT_TO_TOT_EQY","FY 2015","FY 2015","Currency=INR","Period=FY","BEST_FPERIOD_OVERRIDE=FY","FILING_STATUS=OR","EQY_CONSOLIDATED=Y","Sort=A","Dates=H","DateFormat=P","Fill=—","Direction=H","UseDPDF=Y")</f>
        <v>#NAME?</v>
      </c>
      <c r="CI308" s="2" t="e">
        <f ca="1">_xll.BDH($C$303,"LT_DEBT_TO_TOT_CAP","FY 2015","FY 2015","Currency=INR","Period=FY","BEST_FPERIOD_OVERRIDE=FY","FILING_STATUS=OR","EQY_CONSOLIDATED=Y","Sort=A","Dates=H","DateFormat=P","Fill=—","Direction=H","UseDPDF=Y")</f>
        <v>#NAME?</v>
      </c>
      <c r="CJ308" s="2" t="e">
        <f ca="1">_xll.BDH($C$303,"LT_DEBT_TO_TOT_ASSET","FY 2015","FY 2015","Currency=INR","Period=FY","BEST_FPERIOD_OVERRIDE=FY","FILING_STATUS=OR","EQY_CONSOLIDATED=Y","Sort=A","Dates=H","DateFormat=P","Fill=—","Direction=H","UseDPDF=Y")</f>
        <v>#NAME?</v>
      </c>
      <c r="CK308" s="2" t="e">
        <f ca="1">_xll.BDH($C$303,"TOT_DEBT_TO_TOT_EQY","FY 2015","FY 2015","Currency=INR","Period=FY","BEST_FPERIOD_OVERRIDE=FY","FILING_STATUS=OR","EQY_CONSOLIDATED=Y","Sort=A","Dates=H","DateFormat=P","Fill=—","Direction=H","UseDPDF=Y")</f>
        <v>#NAME?</v>
      </c>
      <c r="CL308" s="2" t="e">
        <f ca="1">_xll.BDH($C$303,"TOT_DEBT_TO_TOT_CAP","FY 2015","FY 2015","Currency=INR","Period=FY","BEST_FPERIOD_OVERRIDE=FY","FILING_STATUS=OR","EQY_CONSOLIDATED=Y","Sort=A","Dates=H","DateFormat=P","Fill=—","Direction=H","UseDPDF=Y")</f>
        <v>#NAME?</v>
      </c>
      <c r="CM308" s="2" t="e">
        <f ca="1">_xll.BDH($C$303,"TOT_DEBT_TO_TOT_ASSET","FY 2015","FY 2015","Currency=INR","Period=FY","BEST_FPERIOD_OVERRIDE=FY","FILING_STATUS=OR","EQY_CONSOLIDATED=Y","Sort=A","Dates=H","DateFormat=P","Fill=—","Direction=H","UseDPDF=Y")</f>
        <v>#NAME?</v>
      </c>
      <c r="CN308" s="2" t="e">
        <f ca="1">_xll.BDH($C$303,"NET_DEBT_TO_SHRHLDR_EQTY","FY 2015","FY 2015","Currency=INR","Period=FY","BEST_FPERIOD_OVERRIDE=FY","FILING_STATUS=OR","EQY_CONSOLIDATED=Y","Sort=A","Dates=H","DateFormat=P","Fill=—","Direction=H","UseDPDF=Y")</f>
        <v>#NAME?</v>
      </c>
      <c r="CO308" s="2" t="e">
        <f ca="1">_xll.BDH($C$303,"NET_DEBT_%_CAPITAL","FY 2015","FY 2015","Currency=INR","Period=FY","BEST_FPERIOD_OVERRIDE=FY","FILING_STATUS=OR","EQY_CONSOLIDATED=Y","Sort=A","Dates=H","DateFormat=P","Fill=—","Direction=H","UseDPDF=Y")</f>
        <v>#NAME?</v>
      </c>
      <c r="CP308" s="3" t="e">
        <f ca="1">_xll.BDH($C$303,"EBITDA","FY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308" s="3" t="e">
        <f ca="1">_xll.BDH($C$303,"EBITDA_AFTER_CAPEX","FY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308" s="3" t="e">
        <f ca="1">_xll.BDH($C$303,"IS_OPER_INC","FY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308" s="2" t="e">
        <f ca="1">_xll.BDH($C$303,"CASH_RATIO","FY 2015","FY 2015","Currency=INR","Period=FY","BEST_FPERIOD_OVERRIDE=FY","FILING_STATUS=OR","EQY_CONSOLIDATED=Y","Sort=A","Dates=H","DateFormat=P","Fill=—","Direction=H","UseDPDF=Y")</f>
        <v>#NAME?</v>
      </c>
      <c r="CT308" s="2" t="e">
        <f ca="1">_xll.BDH($C$303,"CUR_RATIO","FY 2015","FY 2015","Currency=INR","Period=FY","BEST_FPERIOD_OVERRIDE=FY","FILING_STATUS=OR","EQY_CONSOLIDATED=Y","Sort=A","Dates=H","DateFormat=P","Fill=—","Direction=H","UseDPDF=Y")</f>
        <v>#NAME?</v>
      </c>
      <c r="CU308" s="2" t="e">
        <f ca="1">_xll.BDH($C$303,"QUICK_RATIO","FY 2015","FY 2015","Currency=INR","Period=FY","BEST_FPERIOD_OVERRIDE=FY","FILING_STATUS=OR","EQY_CONSOLIDATED=Y","Sort=A","Dates=H","DateFormat=P","Fill=—","Direction=H","UseDPDF=Y")</f>
        <v>#NAME?</v>
      </c>
      <c r="CV308" s="2" t="e">
        <f ca="1">_xll.BDH($C$303,"ALTMAN_Z_SCORE","FY 2015","FY 2015","Currency=INR","Period=FY","BEST_FPERIOD_OVERRIDE=FY","FILING_STATUS=OR","EQY_CONSOLIDATED=Y","Sort=A","Dates=H","DateFormat=P","Fill=—","Direction=H","UseDPDF=Y")</f>
        <v>#NAME?</v>
      </c>
      <c r="CW308" s="4" t="e">
        <f ca="1">_xll.BDH($C$303,"ACCT_RCV_TURN","FY 2015","FY 2015","Currency=INR","Period=FY","BEST_FPERIOD_OVERRIDE=FY","FILING_STATUS=OR","EQY_CONSOLIDATED=Y","FA_ADJUSTED=GAAP","Sort=A","Dates=H","DateFormat=P","Fill=—","Direction=H","UseDPDF=Y")</f>
        <v>#NAME?</v>
      </c>
      <c r="CX308" s="2" t="e">
        <f ca="1">_xll.BDH($C$303,"ACCT_RCV_DAYS","FY 2015","FY 2015","Currency=INR","Period=FY","BEST_FPERIOD_OVERRIDE=FY","FILING_STATUS=OR","EQY_CONSOLIDATED=Y","FA_ADJUSTED=GAAP","Sort=A","Dates=H","DateFormat=P","Fill=—","Direction=H","UseDPDF=Y")</f>
        <v>#NAME?</v>
      </c>
      <c r="CY308" s="4" t="e">
        <f ca="1">_xll.BDH($C$303,"INVENT_TURN","FY 2015","FY 2015","Currency=INR","Period=FY","BEST_FPERIOD_OVERRIDE=FY","FILING_STATUS=OR","EQY_CONSOLIDATED=Y","FA_ADJUSTED=GAAP","Sort=A","Dates=H","DateFormat=P","Fill=—","Direction=H","UseDPDF=Y")</f>
        <v>#NAME?</v>
      </c>
      <c r="CZ308" s="2" t="e">
        <f ca="1">_xll.BDH($C$303,"INVENT_DAYS","FY 2015","FY 2015","Currency=INR","Period=FY","BEST_FPERIOD_OVERRIDE=FY","FILING_STATUS=OR","EQY_CONSOLIDATED=Y","FA_ADJUSTED=GAAP","Sort=A","Dates=H","DateFormat=P","Fill=—","Direction=H","UseDPDF=Y")</f>
        <v>#NAME?</v>
      </c>
      <c r="DA308" s="4" t="e">
        <f ca="1">_xll.BDH($C$303,"ACCOUNTS_PAYABLE_TURNOVER","FY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308" s="2" t="e">
        <f ca="1">_xll.BDH($C$303,"ACCOUNTS_PAYABLE_TURNOVER_DAYS","FY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308" s="4" t="e">
        <f ca="1">_xll.BDH($C$303,"CASH_CONVERSION_CYCLE","FY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308" s="4" t="e">
        <f ca="1">_xll.BDH($C$303,"INV_TO_CASH_DAYS","FY 2015","FY 2015","Currency=INR","Period=FY","BEST_FPERIOD_OVERRIDE=FY","FILING_STATUS=OR","EQY_CONSOLIDATED=Y","FA_ADJUSTED=GAAP","Sort=A","Dates=H","DateFormat=P","Fill=—","Direction=H","UseDPDF=Y")</f>
        <v>#NAME?</v>
      </c>
      <c r="DE308" s="5" t="e">
        <f ca="1">_xll.BDH($C$303,"BS_INVENTORIES","FY 2015","FY 2015","Currency=INR","Period=FY","BEST_FPERIOD_OVERRIDE=FY","FILING_STATUS=OR","EQY_CONSOLIDATED=Y","SCALING_FORMAT=MLN","Sort=A","Dates=H","DateFormat=P","Fill=—","Direction=H","UseDPDF=Y")</f>
        <v>#NAME?</v>
      </c>
      <c r="DF308" s="3" t="e">
        <f ca="1">_xll.BDH($C$303,"INVTRY_RAW_MATERIALS","FY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308" s="3" t="e">
        <f ca="1">_xll.BDH($C$303,"INVTRY_IN_PROGRESS","FY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308" s="3" t="e">
        <f ca="1">_xll.BDH($C$303,"INVTRY_FINISHED_GOODS","FY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308" s="3" t="e">
        <f ca="1">_xll.BDH($C$303,"BS_OTHER_INV","FY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309" spans="1:113" x14ac:dyDescent="0.3">
      <c r="A309" s="6"/>
      <c r="B309" s="6"/>
      <c r="C309" s="6"/>
      <c r="D309" s="6"/>
      <c r="E309" t="s">
        <v>78</v>
      </c>
      <c r="F309" t="e">
        <f ca="1">_xll.BDH($C$303,"RETURN_COM_EQY","FQ1 2015","FQ1 2015","Currency=INR","Period=FQ","BEST_FPERIOD_OVERRIDE=FQ","FILING_STATUS=OR","EQY_CONSOLIDATED=Y","FA_ADJUSTED=GAAP","Sort=A","Dates=H","DateFormat=P","Fill=—","Direction=H","UseDPDF=Y")</f>
        <v>#NAME?</v>
      </c>
      <c r="G309" t="e">
        <f ca="1">_xll.BDH($C$303,"RETURN_ON_ASSET","FQ1 2015","FQ1 2015","Currency=INR","Period=FQ","BEST_FPERIOD_OVERRIDE=FQ","FILING_STATUS=OR","EQY_CONSOLIDATED=Y","FA_ADJUSTED=GAAP","Sort=A","Dates=H","DateFormat=P","Fill=—","Direction=H","UseDPDF=Y")</f>
        <v>#NAME?</v>
      </c>
      <c r="H309" t="e">
        <f ca="1">_xll.BDH($C$303,"RETURN_ON_CAP","FQ1 2015","FQ1 2015","Currency=INR","Period=FQ","BEST_FPERIOD_OVERRIDE=FQ","FILING_STATUS=OR","EQY_CONSOLIDATED=Y","FA_ADJUSTED=GAAP","Sort=A","Dates=H","DateFormat=P","Fill=—","Direction=H","UseDPDF=Y")</f>
        <v>#NAME?</v>
      </c>
      <c r="I309" t="e">
        <f ca="1">_xll.BDH($C$303,"RETURN_ON_INV_CAPITAL","FQ1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309" t="e">
        <f ca="1">_xll.BDH($C$303,"EBITDA_TO_REVENUE","FQ1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309" t="e">
        <f ca="1">_xll.BDH($C$303,"OPER_MARGIN","FQ1 2015","FQ1 2015","Currency=INR","Period=FQ","BEST_FPERIOD_OVERRIDE=FQ","FILING_STATUS=OR","EQY_CONSOLIDATED=Y","FA_ADJUSTED=GAAP","Sort=A","Dates=H","DateFormat=P","Fill=—","Direction=H","UseDPDF=Y")</f>
        <v>#NAME?</v>
      </c>
      <c r="L309" t="e">
        <f ca="1">_xll.BDH($C$303,"INCREMENTAL_OPERATING_MARGIN","FQ1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309" t="e">
        <f ca="1">_xll.BDH($C$303,"PRETAX_INC_TO_NET_SALES","FQ1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309" t="e">
        <f ca="1">_xll.BDH($C$303,"INC_BEF_XO_ITEMS_TO_NET_SALES","FQ1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309" t="e">
        <f ca="1">_xll.BDH($C$303,"PROF_MARGIN","FQ1 2015","FQ1 2015","Currency=INR","Period=FQ","BEST_FPERIOD_OVERRIDE=FQ","FILING_STATUS=OR","EQY_CONSOLIDATED=Y","FA_ADJUSTED=GAAP","Sort=A","Dates=H","DateFormat=P","Fill=—","Direction=H","UseDPDF=Y")</f>
        <v>#NAME?</v>
      </c>
      <c r="P309" t="e">
        <f ca="1">_xll.BDH($C$303,"NET_INCOME_TO_COMMON_MARGIN","FQ1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309" t="e">
        <f ca="1">_xll.BDH($C$303,"EFF_TAX_RATE","FQ1 2015","FQ1 2015","Currency=INR","Period=FQ","BEST_FPERIOD_OVERRIDE=FQ","FILING_STATUS=OR","EQY_CONSOLIDATED=Y","FA_ADJUSTED=GAAP","Sort=A","Dates=H","DateFormat=P","Fill=—","Direction=H","UseDPDF=Y")</f>
        <v>#NAME?</v>
      </c>
      <c r="R309" t="e">
        <f ca="1">_xll.BDH($C$303,"DVD_PAYOUT_RATIO","FQ1 2015","FQ1 2015","Currency=INR","Period=FQ","BEST_FPERIOD_OVERRIDE=FQ","FILING_STATUS=OR","EQY_CONSOLIDATED=Y","FA_ADJUSTED=GAAP","Sort=A","Dates=H","DateFormat=P","Fill=—","Direction=H","UseDPDF=Y")</f>
        <v>#NAME?</v>
      </c>
      <c r="S309" t="e">
        <f ca="1">_xll.BDH($C$303,"SUSTAIN_GROWTH_RT","FQ1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309" s="2" t="e">
        <f ca="1">_xll.BDH($C$303,"SALES_GROWTH","FQ1 2015","FQ1 2015","Currency=INR","Period=FQ","BEST_FPERIOD_OVERRIDE=FQ","FILING_STATUS=OR","EQY_CONSOLIDATED=Y","FA_ADJUSTED=GAAP","Sort=A","Dates=H","DateFormat=P","Fill=—","Direction=H","UseDPDF=Y")</f>
        <v>#NAME?</v>
      </c>
      <c r="U309" s="2" t="e">
        <f ca="1">_xll.BDH($C$303,"EBITDA_GROWTH","FQ1 2015","FQ1 2015","Currency=INR","Period=FQ","BEST_FPERIOD_OVERRIDE=FQ","FILING_STATUS=OR","EQY_CONSOLIDATED=Y","FA_ADJUSTED=GAAP","Sort=A","Dates=H","DateFormat=P","Fill=—","Direction=H","UseDPDF=Y")</f>
        <v>#NAME?</v>
      </c>
      <c r="V309" s="2" t="e">
        <f ca="1">_xll.BDH($C$303,"OPER_INC_GROWTH","FQ1 2015","FQ1 2015","Currency=INR","Period=FQ","BEST_FPERIOD_OVERRIDE=FQ","FILING_STATUS=OR","EQY_CONSOLIDATED=Y","FA_ADJUSTED=GAAP","Sort=A","Dates=H","DateFormat=P","Fill=—","Direction=H","UseDPDF=Y")</f>
        <v>#NAME?</v>
      </c>
      <c r="W309" s="2" t="e">
        <f ca="1">_xll.BDH($C$303,"EARN_FOR_COM_GROWTH","FQ1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309" s="2" t="e">
        <f ca="1">_xll.BDH($C$303,"DILUTED_EPS_AFT_XO_ITEMS_GROWTH","FQ1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309" s="2" t="e">
        <f ca="1">_xll.BDH($C$303,"DIVIDEND_PER_SHARE_1_YEAR_GROWTH","FQ1 2015","FQ1 2015","Currency=INR","Period=FQ","BEST_FPERIOD_OVERRIDE=FQ","FILING_STATUS=OR","EQY_CONSOLIDATED=Y","Sort=A","Dates=H","DateFormat=P","Fill=—","Direction=H","UseDPDF=Y")</f>
        <v>#NAME?</v>
      </c>
      <c r="Z309" s="2" t="e">
        <f ca="1">_xll.BDH($C$303,"ACCOUNTS_RECEIVABLE_GROWTH","FQ1 2015","FQ1 2015","Currency=INR","Period=FQ","BEST_FPERIOD_OVERRIDE=FQ","FILING_STATUS=OR","EQY_CONSOLIDATED=Y","Sort=A","Dates=H","DateFormat=P","Fill=—","Direction=H","UseDPDF=Y")</f>
        <v>#NAME?</v>
      </c>
      <c r="AA309" s="2" t="e">
        <f ca="1">_xll.BDH($C$303,"INVENTORY_GROWTH","FQ1 2015","FQ1 2015","Currency=INR","Period=FQ","BEST_FPERIOD_OVERRIDE=FQ","FILING_STATUS=OR","EQY_CONSOLIDATED=Y","Sort=A","Dates=H","DateFormat=P","Fill=—","Direction=H","UseDPDF=Y")</f>
        <v>#NAME?</v>
      </c>
      <c r="AB309" s="2" t="e">
        <f ca="1">_xll.BDH($C$303,"NET_FIXED_ASSETS_1_YEAR_GROWTH","FQ1 2015","FQ1 2015","Currency=INR","Period=FQ","BEST_FPERIOD_OVERRIDE=FQ","FILING_STATUS=OR","EQY_CONSOLIDATED=Y","Sort=A","Dates=H","DateFormat=P","Fill=—","Direction=H","UseDPDF=Y")</f>
        <v>#NAME?</v>
      </c>
      <c r="AC309" s="2" t="e">
        <f ca="1">_xll.BDH($C$303,"ASSET_GROWTH","FQ1 2015","FQ1 2015","Currency=INR","Period=FQ","BEST_FPERIOD_OVERRIDE=FQ","FILING_STATUS=OR","EQY_CONSOLIDATED=Y","Sort=A","Dates=H","DateFormat=P","Fill=—","Direction=H","UseDPDF=Y")</f>
        <v>#NAME?</v>
      </c>
      <c r="AD309" s="2" t="e">
        <f ca="1">_xll.BDH($C$303,"MODIFIED_WORK_CAP_GROWTH","FQ1 2015","FQ1 2015","Currency=INR","Period=FQ","BEST_FPERIOD_OVERRIDE=FQ","FILING_STATUS=OR","EQY_CONSOLIDATED=Y","Sort=A","Dates=H","DateFormat=P","Fill=—","Direction=H","UseDPDF=Y")</f>
        <v>#NAME?</v>
      </c>
      <c r="AE309" s="2" t="e">
        <f ca="1">_xll.BDH($C$303,"WORK_CAP_GROWTH","FQ1 2015","FQ1 2015","Currency=INR","Period=FQ","BEST_FPERIOD_OVERRIDE=FQ","FILING_STATUS=OR","EQY_CONSOLIDATED=Y","Sort=A","Dates=H","DateFormat=P","Fill=—","Direction=H","UseDPDF=Y")</f>
        <v>#NAME?</v>
      </c>
      <c r="AF309" s="2" t="e">
        <f ca="1">_xll.BDH($C$303,"ACCOUNTS_PAYABLE_GROWTH_1YR","FQ1 2015","FQ1 2015","Currency=INR","Period=FQ","BEST_FPERIOD_OVERRIDE=FQ","FILING_STATUS=OR","EQY_CONSOLIDATED=Y","Sort=A","Dates=H","DateFormat=P","Fill=—","Direction=H","UseDPDF=Y")</f>
        <v>#NAME?</v>
      </c>
      <c r="AG309" s="2" t="e">
        <f ca="1">_xll.BDH($C$303,"SHORT_TERM_DEBT_1_YEAR_GROWTH","FQ1 2015","FQ1 2015","Currency=INR","Period=FQ","BEST_FPERIOD_OVERRIDE=FQ","FILING_STATUS=OR","EQY_CONSOLIDATED=Y","Sort=A","Dates=H","DateFormat=P","Fill=—","Direction=H","UseDPDF=Y")</f>
        <v>#NAME?</v>
      </c>
      <c r="AH309" s="2" t="e">
        <f ca="1">_xll.BDH($C$303,"TOTAL_DEBT_1_YEAR_GROWTH","FQ1 2015","FQ1 2015","Currency=INR","Period=FQ","BEST_FPERIOD_OVERRIDE=FQ","FILING_STATUS=OR","EQY_CONSOLIDATED=Y","Sort=A","Dates=H","DateFormat=P","Fill=—","Direction=H","UseDPDF=Y")</f>
        <v>#NAME?</v>
      </c>
      <c r="AI309" s="2" t="e">
        <f ca="1">_xll.BDH($C$303,"TOTAL_EQUITY_1_YEAR_GROWTH","FQ1 2015","FQ1 2015","Currency=INR","Period=FQ","BEST_FPERIOD_OVERRIDE=FQ","FILING_STATUS=OR","EQY_CONSOLIDATED=Y","Sort=A","Dates=H","DateFormat=P","Fill=—","Direction=H","UseDPDF=Y")</f>
        <v>#NAME?</v>
      </c>
      <c r="AJ309" s="2" t="e">
        <f ca="1">_xll.BDH($C$303,"GROWTH_IN_CAP","FQ1 2015","FQ1 2015","Currency=INR","Period=FQ","BEST_FPERIOD_OVERRIDE=FQ","FILING_STATUS=OR","EQY_CONSOLIDATED=Y","Sort=A","Dates=H","DateFormat=P","Fill=—","Direction=H","UseDPDF=Y")</f>
        <v>#NAME?</v>
      </c>
      <c r="AK309" s="2" t="e">
        <f ca="1">_xll.BDH($C$303,"BVPS_GROWTH","FQ1 2015","FQ1 2015","Currency=INR","Period=FQ","BEST_FPERIOD_OVERRIDE=FQ","FILING_STATUS=OR","EQY_CONSOLIDATED=Y","Sort=A","Dates=H","DateFormat=P","Fill=—","Direction=H","UseDPDF=Y")</f>
        <v>#NAME?</v>
      </c>
      <c r="AL309" s="2" t="e">
        <f ca="1">_xll.BDH($C$303,"CASH_FLOW_GROWTH","FQ1 2015","FQ1 2015","Currency=INR","Period=FQ","BEST_FPERIOD_OVERRIDE=FQ","FILING_STATUS=OR","EQY_CONSOLIDATED=Y","Sort=A","Dates=H","DateFormat=P","Fill=—","Direction=H","UseDPDF=Y")</f>
        <v>#NAME?</v>
      </c>
      <c r="AM309" s="2" t="e">
        <f ca="1">_xll.BDH($C$303,"GEO_GROW_NET_SALES","FQ1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309" s="2" t="e">
        <f ca="1">_xll.BDH($C$303,"GEO_GROW_EBITDA","FQ1 2015","FQ1 2015","Currency=INR","Period=FQ","BEST_FPERIOD_OVERRIDE=FQ","FILING_STATUS=OR","EQY_CONSOLIDATED=Y","FA_ADJUSTED=GAAP","Sort=A","Dates=H","DateFormat=P","Fill=—","Direction=H","UseDPDF=Y")</f>
        <v>#NAME?</v>
      </c>
      <c r="AO309" s="2" t="e">
        <f ca="1">_xll.BDH($C$303,"GEO_GROW_OPER_INC","FQ1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309" s="2" t="e">
        <f ca="1">_xll.BDH($C$303,"NET_INCOME_TO_COMMON_5_YR_GROWTH","FQ1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309" s="2" t="e">
        <f ca="1">_xll.BDH($C$303,"5Y_GEO_GROWTH_DILUTED_EPS","FQ1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309" s="2" t="e">
        <f ca="1">_xll.BDH($C$303,"GEO_GROW_DVD_PER_SH","FQ1 2015","FQ1 2015","Currency=INR","Period=FQ","BEST_FPERIOD_OVERRIDE=FQ","FILING_STATUS=OR","EQY_CONSOLIDATED=Y","Sort=A","Dates=H","DateFormat=P","Fill=—","Direction=H","UseDPDF=Y")</f>
        <v>#NAME?</v>
      </c>
      <c r="AS309" s="2" t="e">
        <f ca="1">_xll.BDH($C$303,"ACCOUNTS_RECEIVABLE_5_YR_GROWTH","FQ1 2015","FQ1 2015","Currency=INR","Period=FQ","BEST_FPERIOD_OVERRIDE=FQ","FILING_STATUS=OR","EQY_CONSOLIDATED=Y","Sort=A","Dates=H","DateFormat=P","Fill=—","Direction=H","UseDPDF=Y")</f>
        <v>#NAME?</v>
      </c>
      <c r="AT309" s="2" t="e">
        <f ca="1">_xll.BDH($C$303,"INVENTORY_5_YEAR_GROWTH","FQ1 2015","FQ1 2015","Currency=INR","Period=FQ","BEST_FPERIOD_OVERRIDE=FQ","FILING_STATUS=OR","EQY_CONSOLIDATED=Y","Sort=A","Dates=H","DateFormat=P","Fill=—","Direction=H","UseDPDF=Y")</f>
        <v>#NAME?</v>
      </c>
      <c r="AU309" s="2" t="e">
        <f ca="1">_xll.BDH($C$303,"NET_FIXED_ASSETS_5_YEAR_GROWTH","FQ1 2015","FQ1 2015","Currency=INR","Period=FQ","BEST_FPERIOD_OVERRIDE=FQ","FILING_STATUS=OR","EQY_CONSOLIDATED=Y","Sort=A","Dates=H","DateFormat=P","Fill=—","Direction=H","UseDPDF=Y")</f>
        <v>#NAME?</v>
      </c>
      <c r="AV309" s="2" t="e">
        <f ca="1">_xll.BDH($C$303,"GEO_GROW_TOT_ASSET","FQ1 2015","FQ1 2015","Currency=INR","Period=FQ","BEST_FPERIOD_OVERRIDE=FQ","FILING_STATUS=OR","EQY_CONSOLIDATED=Y","Sort=A","Dates=H","DateFormat=P","Fill=—","Direction=H","UseDPDF=Y")</f>
        <v>#NAME?</v>
      </c>
      <c r="AW309" s="2" t="e">
        <f ca="1">_xll.BDH($C$303,"MODIFIED_WORKING_CPTL_5YR_GRWTH","FQ1 2015","FQ1 2015","Currency=INR","Period=FQ","BEST_FPERIOD_OVERRIDE=FQ","FILING_STATUS=OR","EQY_CONSOLIDATED=Y","Sort=A","Dates=H","DateFormat=P","Fill=—","Direction=H","UseDPDF=Y")</f>
        <v>#NAME?</v>
      </c>
      <c r="AX309" s="2" t="e">
        <f ca="1">_xll.BDH($C$303,"WORKING_CAPITAL_5_YEAR_GROWTH","FQ1 2015","FQ1 2015","Currency=INR","Period=FQ","BEST_FPERIOD_OVERRIDE=FQ","FILING_STATUS=OR","EQY_CONSOLIDATED=Y","Sort=A","Dates=H","DateFormat=P","Fill=—","Direction=H","UseDPDF=Y")</f>
        <v>#NAME?</v>
      </c>
      <c r="AY309" s="2" t="e">
        <f ca="1">_xll.BDH($C$303,"ACCOUNTS_PAYABLE_5_YEAR_GROWTH","FQ1 2015","FQ1 2015","Currency=INR","Period=FQ","BEST_FPERIOD_OVERRIDE=FQ","FILING_STATUS=OR","EQY_CONSOLIDATED=Y","Sort=A","Dates=H","DateFormat=P","Fill=—","Direction=H","UseDPDF=Y")</f>
        <v>#NAME?</v>
      </c>
      <c r="AZ309" s="2" t="e">
        <f ca="1">_xll.BDH($C$303,"SHORT_TERM_DEBT_5_YEAR_GROWTH","FQ1 2015","FQ1 2015","Currency=INR","Period=FQ","BEST_FPERIOD_OVERRIDE=FQ","FILING_STATUS=OR","EQY_CONSOLIDATED=Y","Sort=A","Dates=H","DateFormat=P","Fill=—","Direction=H","UseDPDF=Y")</f>
        <v>#NAME?</v>
      </c>
      <c r="BA309" s="2" t="e">
        <f ca="1">_xll.BDH($C$303,"TOTAL_DEBT_5_YEAR_GROWTH","FQ1 2015","FQ1 2015","Currency=INR","Period=FQ","BEST_FPERIOD_OVERRIDE=FQ","FILING_STATUS=OR","EQY_CONSOLIDATED=Y","Sort=A","Dates=H","DateFormat=P","Fill=—","Direction=H","UseDPDF=Y")</f>
        <v>#NAME?</v>
      </c>
      <c r="BB309" s="2" t="e">
        <f ca="1">_xll.BDH($C$303,"GEO_GROW_TOT_SHRHLDR_EQY","FQ1 2015","FQ1 2015","Currency=INR","Period=FQ","BEST_FPERIOD_OVERRIDE=FQ","FILING_STATUS=OR","EQY_CONSOLIDATED=Y","Sort=A","Dates=H","DateFormat=P","Fill=—","Direction=H","UseDPDF=Y")</f>
        <v>#NAME?</v>
      </c>
      <c r="BC309" s="2" t="e">
        <f ca="1">_xll.BDH($C$303,"TOTAL_CAPITAL_5_YEAR_GROWTH","FQ1 2015","FQ1 2015","Currency=INR","Period=FQ","BEST_FPERIOD_OVERRIDE=FQ","FILING_STATUS=OR","EQY_CONSOLIDATED=Y","Sort=A","Dates=H","DateFormat=P","Fill=—","Direction=H","UseDPDF=Y")</f>
        <v>#NAME?</v>
      </c>
      <c r="BD309" s="2" t="e">
        <f ca="1">_xll.BDH($C$303,"GEO_GROW_BOOK_VAL","FQ1 2015","FQ1 2015","Currency=INR","Period=FQ","BEST_FPERIOD_OVERRIDE=FQ","FILING_STATUS=OR","EQY_CONSOLIDATED=Y","Sort=A","Dates=H","DateFormat=P","Fill=—","Direction=H","UseDPDF=Y")</f>
        <v>#NAME?</v>
      </c>
      <c r="BE309" s="2" t="e">
        <f ca="1">_xll.BDH($C$303,"GEO_GROW_CASH_OPER_ACT","FQ1 2015","FQ1 2015","Currency=INR","Period=FQ","BEST_FPERIOD_OVERRIDE=FQ","FILING_STATUS=OR","EQY_CONSOLIDATED=Y","Sort=A","Dates=H","DateFormat=P","Fill=—","Direction=H","UseDPDF=Y")</f>
        <v>#NAME?</v>
      </c>
      <c r="BF309" s="2" t="e">
        <f ca="1">_xll.BDH($C$303,"REVENUE_SEQUENTIAL_GROWTH","FQ1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309" s="2" t="e">
        <f ca="1">_xll.BDH($C$303,"EBITDA_SEQUENTIAL_GROWTH","FQ1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309" s="2" t="e">
        <f ca="1">_xll.BDH($C$303,"OPERATING_INCOME_SEQ_GROWTH","FQ1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309" s="2" t="e">
        <f ca="1">_xll.BDH($C$303,"NET_INCOME_TO_COMMON_SEQ_GROWTH","FQ1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309" s="2" t="e">
        <f ca="1">_xll.BDH($C$303,"EPS_DILUTED_SEQUENTIAL_GROWTH","FQ1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309" s="2" t="e">
        <f ca="1">_xll.BDH($C$303,"DPS_SEQUENTIAL_GROWTH","FQ1 2015","FQ1 2015","Currency=INR","Period=FQ","BEST_FPERIOD_OVERRIDE=FQ","FILING_STATUS=OR","EQY_CONSOLIDATED=Y","Sort=A","Dates=H","DateFormat=P","Fill=—","Direction=H","UseDPDF=Y")</f>
        <v>#NAME?</v>
      </c>
      <c r="BL309" s="2" t="e">
        <f ca="1">_xll.BDH($C$303,"ACCOUNTS_RECEIVABLE_SEQ_GROWTH","FQ1 2015","FQ1 2015","Currency=INR","Period=FQ","BEST_FPERIOD_OVERRIDE=FQ","FILING_STATUS=OR","EQY_CONSOLIDATED=Y","Sort=A","Dates=H","DateFormat=P","Fill=—","Direction=H","UseDPDF=Y")</f>
        <v>#NAME?</v>
      </c>
      <c r="BM309" s="2" t="e">
        <f ca="1">_xll.BDH($C$303,"INVENTORY_SEQUENTIAL_GROWTH","FQ1 2015","FQ1 2015","Currency=INR","Period=FQ","BEST_FPERIOD_OVERRIDE=FQ","FILING_STATUS=OR","EQY_CONSOLIDATED=Y","Sort=A","Dates=H","DateFormat=P","Fill=—","Direction=H","UseDPDF=Y")</f>
        <v>#NAME?</v>
      </c>
      <c r="BN309" s="2" t="e">
        <f ca="1">_xll.BDH($C$303,"FIXED_ASSETS_SEQUENTIAL_GROWTH","FQ1 2015","FQ1 2015","Currency=INR","Period=FQ","BEST_FPERIOD_OVERRIDE=FQ","FILING_STATUS=OR","EQY_CONSOLIDATED=Y","Sort=A","Dates=H","DateFormat=P","Fill=—","Direction=H","UseDPDF=Y")</f>
        <v>#NAME?</v>
      </c>
      <c r="BO309" s="2" t="e">
        <f ca="1">_xll.BDH($C$303,"TOTAL_ASSETS_SEQUENTIAL_GROWTH","FQ1 2015","FQ1 2015","Currency=INR","Period=FQ","BEST_FPERIOD_OVERRIDE=FQ","FILING_STATUS=OR","EQY_CONSOLIDATED=Y","Sort=A","Dates=H","DateFormat=P","Fill=—","Direction=H","UseDPDF=Y")</f>
        <v>#NAME?</v>
      </c>
      <c r="BP309" s="2" t="e">
        <f ca="1">_xll.BDH($C$303,"MODIFIED_WORKING_CPTL_SEQ_GRWTH","FQ1 2015","FQ1 2015","Currency=INR","Period=FQ","BEST_FPERIOD_OVERRIDE=FQ","FILING_STATUS=OR","EQY_CONSOLIDATED=Y","Sort=A","Dates=H","DateFormat=P","Fill=—","Direction=H","UseDPDF=Y")</f>
        <v>#NAME?</v>
      </c>
      <c r="BQ309" s="2" t="e">
        <f ca="1">_xll.BDH($C$303,"WORKING_CAPITAL_SEQ_GROWTH","FQ1 2015","FQ1 2015","Currency=INR","Period=FQ","BEST_FPERIOD_OVERRIDE=FQ","FILING_STATUS=OR","EQY_CONSOLIDATED=Y","Sort=A","Dates=H","DateFormat=P","Fill=—","Direction=H","UseDPDF=Y")</f>
        <v>#NAME?</v>
      </c>
      <c r="BR309" s="2" t="e">
        <f ca="1">_xll.BDH($C$303,"ACCOUNTS_PAYABLE_SEQ_GROWTH","FQ1 2015","FQ1 2015","Currency=INR","Period=FQ","BEST_FPERIOD_OVERRIDE=FQ","FILING_STATUS=OR","EQY_CONSOLIDATED=Y","Sort=A","Dates=H","DateFormat=P","Fill=—","Direction=H","UseDPDF=Y")</f>
        <v>#NAME?</v>
      </c>
      <c r="BS309" s="2" t="e">
        <f ca="1">_xll.BDH($C$303,"ST_DEBT_SEQUENTIAL_GROWTH","FQ1 2015","FQ1 2015","Currency=INR","Period=FQ","BEST_FPERIOD_OVERRIDE=FQ","FILING_STATUS=OR","EQY_CONSOLIDATED=Y","Sort=A","Dates=H","DateFormat=P","Fill=—","Direction=H","UseDPDF=Y")</f>
        <v>#NAME?</v>
      </c>
      <c r="BT309" s="2" t="e">
        <f ca="1">_xll.BDH($C$303,"TOTAL_DEBT_SEQUENTIAL_GROWTH","FQ1 2015","FQ1 2015","Currency=INR","Period=FQ","BEST_FPERIOD_OVERRIDE=FQ","FILING_STATUS=OR","EQY_CONSOLIDATED=Y","Sort=A","Dates=H","DateFormat=P","Fill=—","Direction=H","UseDPDF=Y")</f>
        <v>#NAME?</v>
      </c>
      <c r="BU309" s="2" t="e">
        <f ca="1">_xll.BDH($C$303,"TOTAL_EQUITY_SEQUENTIAL_GROWTH","FQ1 2015","FQ1 2015","Currency=INR","Period=FQ","BEST_FPERIOD_OVERRIDE=FQ","FILING_STATUS=OR","EQY_CONSOLIDATED=Y","Sort=A","Dates=H","DateFormat=P","Fill=—","Direction=H","UseDPDF=Y")</f>
        <v>#NAME?</v>
      </c>
      <c r="BV309" s="2" t="e">
        <f ca="1">_xll.BDH($C$303,"TOTAL_CAPITAL_SEQUENTIAL_GROWTH","FQ1 2015","FQ1 2015","Currency=INR","Period=FQ","BEST_FPERIOD_OVERRIDE=FQ","FILING_STATUS=OR","EQY_CONSOLIDATED=Y","Sort=A","Dates=H","DateFormat=P","Fill=—","Direction=H","UseDPDF=Y")</f>
        <v>#NAME?</v>
      </c>
      <c r="BW309" s="2" t="e">
        <f ca="1">_xll.BDH($C$303,"BPS_SEQUENTIAL_GROWTH","FQ1 2015","FQ1 2015","Currency=INR","Period=FQ","BEST_FPERIOD_OVERRIDE=FQ","FILING_STATUS=OR","EQY_CONSOLIDATED=Y","Sort=A","Dates=H","DateFormat=P","Fill=—","Direction=H","UseDPDF=Y")</f>
        <v>#NAME?</v>
      </c>
      <c r="BX309" s="2" t="e">
        <f ca="1">_xll.BDH($C$303,"CFO_SEQUENTIAL_GROWTH","FQ1 2015","FQ1 2015","Currency=INR","Period=FQ","BEST_FPERIOD_OVERRIDE=FQ","FILING_STATUS=OR","EQY_CONSOLIDATED=Y","Sort=A","Dates=H","DateFormat=P","Fill=—","Direction=H","UseDPDF=Y")</f>
        <v>#NAME?</v>
      </c>
      <c r="BY309" s="3" t="e">
        <f ca="1">_xll.BDH($C$303,"SHORT_AND_LONG_TERM_DEBT","FQ1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309" s="3" t="e">
        <f ca="1">_xll.BDH($C$303,"BS_ST_BORROW","FQ1 2015","FQ1 2015","Currency=INR","Period=FQ","BEST_FPERIOD_OVERRIDE=FQ","FILING_STATUS=OR","EQY_CONSOLIDATED=Y","SCALING_FORMAT=MLN","Sort=A","Dates=H","DateFormat=P","Fill=—","Direction=H","UseDPDF=Y")</f>
        <v>#NAME?</v>
      </c>
      <c r="CA309" s="3" t="e">
        <f ca="1">_xll.BDH($C$303,"BS_LT_BORROW","FQ1 2015","FQ1 2015","Currency=INR","Period=FQ","BEST_FPERIOD_OVERRIDE=FQ","FILING_STATUS=OR","EQY_CONSOLIDATED=Y","SCALING_FORMAT=MLN","Sort=A","Dates=H","DateFormat=P","Fill=—","Direction=H","UseDPDF=Y")</f>
        <v>#NAME?</v>
      </c>
      <c r="CB309" s="2" t="e">
        <f ca="1">_xll.BDH($C$303,"TOT_DEBT_TO_EBITDA","FQ1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309" s="2" t="e">
        <f ca="1">_xll.BDH($C$303,"NET_DEBT_TO_EBITDA","FQ1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309" s="2" t="e">
        <f ca="1">_xll.BDH($C$303,"TOTAL_DEBT_TO_EBIT","FQ1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309" s="2" t="e">
        <f ca="1">_xll.BDH($C$303,"NET_DEBT_TO_EBIT","FQ1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309" s="2" t="e">
        <f ca="1">_xll.BDH($C$303,"EBITDA_TO_INTEREST_EXPN","FQ1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309" s="2" t="e">
        <f ca="1">_xll.BDH($C$303,"COM_EQY_TO_TOT_ASSET","FQ1 2015","FQ1 2015","Currency=INR","Period=FQ","BEST_FPERIOD_OVERRIDE=FQ","FILING_STATUS=OR","EQY_CONSOLIDATED=Y","Sort=A","Dates=H","DateFormat=P","Fill=—","Direction=H","UseDPDF=Y")</f>
        <v>#NAME?</v>
      </c>
      <c r="CH309" s="2" t="e">
        <f ca="1">_xll.BDH($C$303,"LT_DEBT_TO_TOT_EQY","FQ1 2015","FQ1 2015","Currency=INR","Period=FQ","BEST_FPERIOD_OVERRIDE=FQ","FILING_STATUS=OR","EQY_CONSOLIDATED=Y","Sort=A","Dates=H","DateFormat=P","Fill=—","Direction=H","UseDPDF=Y")</f>
        <v>#NAME?</v>
      </c>
      <c r="CI309" s="2" t="e">
        <f ca="1">_xll.BDH($C$303,"LT_DEBT_TO_TOT_CAP","FQ1 2015","FQ1 2015","Currency=INR","Period=FQ","BEST_FPERIOD_OVERRIDE=FQ","FILING_STATUS=OR","EQY_CONSOLIDATED=Y","Sort=A","Dates=H","DateFormat=P","Fill=—","Direction=H","UseDPDF=Y")</f>
        <v>#NAME?</v>
      </c>
      <c r="CJ309" s="2" t="e">
        <f ca="1">_xll.BDH($C$303,"LT_DEBT_TO_TOT_ASSET","FQ1 2015","FQ1 2015","Currency=INR","Period=FQ","BEST_FPERIOD_OVERRIDE=FQ","FILING_STATUS=OR","EQY_CONSOLIDATED=Y","Sort=A","Dates=H","DateFormat=P","Fill=—","Direction=H","UseDPDF=Y")</f>
        <v>#NAME?</v>
      </c>
      <c r="CK309" s="2" t="e">
        <f ca="1">_xll.BDH($C$303,"TOT_DEBT_TO_TOT_EQY","FQ1 2015","FQ1 2015","Currency=INR","Period=FQ","BEST_FPERIOD_OVERRIDE=FQ","FILING_STATUS=OR","EQY_CONSOLIDATED=Y","Sort=A","Dates=H","DateFormat=P","Fill=—","Direction=H","UseDPDF=Y")</f>
        <v>#NAME?</v>
      </c>
      <c r="CL309" s="2" t="e">
        <f ca="1">_xll.BDH($C$303,"TOT_DEBT_TO_TOT_CAP","FQ1 2015","FQ1 2015","Currency=INR","Period=FQ","BEST_FPERIOD_OVERRIDE=FQ","FILING_STATUS=OR","EQY_CONSOLIDATED=Y","Sort=A","Dates=H","DateFormat=P","Fill=—","Direction=H","UseDPDF=Y")</f>
        <v>#NAME?</v>
      </c>
      <c r="CM309" s="2" t="e">
        <f ca="1">_xll.BDH($C$303,"TOT_DEBT_TO_TOT_ASSET","FQ1 2015","FQ1 2015","Currency=INR","Period=FQ","BEST_FPERIOD_OVERRIDE=FQ","FILING_STATUS=OR","EQY_CONSOLIDATED=Y","Sort=A","Dates=H","DateFormat=P","Fill=—","Direction=H","UseDPDF=Y")</f>
        <v>#NAME?</v>
      </c>
      <c r="CN309" s="2" t="e">
        <f ca="1">_xll.BDH($C$303,"NET_DEBT_TO_SHRHLDR_EQTY","FQ1 2015","FQ1 2015","Currency=INR","Period=FQ","BEST_FPERIOD_OVERRIDE=FQ","FILING_STATUS=OR","EQY_CONSOLIDATED=Y","Sort=A","Dates=H","DateFormat=P","Fill=—","Direction=H","UseDPDF=Y")</f>
        <v>#NAME?</v>
      </c>
      <c r="CO309" s="2" t="e">
        <f ca="1">_xll.BDH($C$303,"NET_DEBT_%_CAPITAL","FQ1 2015","FQ1 2015","Currency=INR","Period=FQ","BEST_FPERIOD_OVERRIDE=FQ","FILING_STATUS=OR","EQY_CONSOLIDATED=Y","Sort=A","Dates=H","DateFormat=P","Fill=—","Direction=H","UseDPDF=Y")</f>
        <v>#NAME?</v>
      </c>
      <c r="CP309" s="3" t="e">
        <f ca="1">_xll.BDH($C$303,"EBITDA","FQ1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309" s="3" t="e">
        <f ca="1">_xll.BDH($C$303,"EBITDA_AFTER_CAPEX","FQ1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309" s="3" t="e">
        <f ca="1">_xll.BDH($C$303,"IS_OPER_INC","FQ1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309" s="2" t="e">
        <f ca="1">_xll.BDH($C$303,"CASH_RATIO","FQ1 2015","FQ1 2015","Currency=INR","Period=FQ","BEST_FPERIOD_OVERRIDE=FQ","FILING_STATUS=OR","EQY_CONSOLIDATED=Y","Sort=A","Dates=H","DateFormat=P","Fill=—","Direction=H","UseDPDF=Y")</f>
        <v>#NAME?</v>
      </c>
      <c r="CT309" s="2" t="e">
        <f ca="1">_xll.BDH($C$303,"CUR_RATIO","FQ1 2015","FQ1 2015","Currency=INR","Period=FQ","BEST_FPERIOD_OVERRIDE=FQ","FILING_STATUS=OR","EQY_CONSOLIDATED=Y","Sort=A","Dates=H","DateFormat=P","Fill=—","Direction=H","UseDPDF=Y")</f>
        <v>#NAME?</v>
      </c>
      <c r="CU309" s="2" t="e">
        <f ca="1">_xll.BDH($C$303,"QUICK_RATIO","FQ1 2015","FQ1 2015","Currency=INR","Period=FQ","BEST_FPERIOD_OVERRIDE=FQ","FILING_STATUS=OR","EQY_CONSOLIDATED=Y","Sort=A","Dates=H","DateFormat=P","Fill=—","Direction=H","UseDPDF=Y")</f>
        <v>#NAME?</v>
      </c>
      <c r="CV309" s="2" t="e">
        <f ca="1">_xll.BDH($C$303,"ALTMAN_Z_SCORE","FQ1 2015","FQ1 2015","Currency=INR","Period=FQ","BEST_FPERIOD_OVERRIDE=FQ","FILING_STATUS=OR","EQY_CONSOLIDATED=Y","Sort=A","Dates=H","DateFormat=P","Fill=—","Direction=H","UseDPDF=Y")</f>
        <v>#NAME?</v>
      </c>
      <c r="CW309" s="4" t="e">
        <f ca="1">_xll.BDH($C$303,"ACCT_RCV_TURN","FQ1 2015","FQ1 2015","Currency=INR","Period=FQ","BEST_FPERIOD_OVERRIDE=FQ","FILING_STATUS=OR","EQY_CONSOLIDATED=Y","FA_ADJUSTED=GAAP","Sort=A","Dates=H","DateFormat=P","Fill=—","Direction=H","UseDPDF=Y")</f>
        <v>#NAME?</v>
      </c>
      <c r="CX309" s="2" t="e">
        <f ca="1">_xll.BDH($C$303,"ACCT_RCV_DAYS","FQ1 2015","FQ1 2015","Currency=INR","Period=FQ","BEST_FPERIOD_OVERRIDE=FQ","FILING_STATUS=OR","EQY_CONSOLIDATED=Y","FA_ADJUSTED=GAAP","Sort=A","Dates=H","DateFormat=P","Fill=—","Direction=H","UseDPDF=Y")</f>
        <v>#NAME?</v>
      </c>
      <c r="CY309" s="4" t="e">
        <f ca="1">_xll.BDH($C$303,"INVENT_TURN","FQ1 2015","FQ1 2015","Currency=INR","Period=FQ","BEST_FPERIOD_OVERRIDE=FQ","FILING_STATUS=OR","EQY_CONSOLIDATED=Y","FA_ADJUSTED=GAAP","Sort=A","Dates=H","DateFormat=P","Fill=—","Direction=H","UseDPDF=Y")</f>
        <v>#NAME?</v>
      </c>
      <c r="CZ309" s="2" t="e">
        <f ca="1">_xll.BDH($C$303,"INVENT_DAYS","FQ1 2015","FQ1 2015","Currency=INR","Period=FQ","BEST_FPERIOD_OVERRIDE=FQ","FILING_STATUS=OR","EQY_CONSOLIDATED=Y","FA_ADJUSTED=GAAP","Sort=A","Dates=H","DateFormat=P","Fill=—","Direction=H","UseDPDF=Y")</f>
        <v>#NAME?</v>
      </c>
      <c r="DA309" s="4" t="e">
        <f ca="1">_xll.BDH($C$303,"ACCOUNTS_PAYABLE_TURNOVER","FQ1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309" s="2" t="e">
        <f ca="1">_xll.BDH($C$303,"ACCOUNTS_PAYABLE_TURNOVER_DAYS","FQ1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309" s="4" t="e">
        <f ca="1">_xll.BDH($C$303,"CASH_CONVERSION_CYCLE","FQ1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309" s="4" t="e">
        <f ca="1">_xll.BDH($C$303,"INV_TO_CASH_DAYS","FQ1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309" s="5" t="e">
        <f ca="1">_xll.BDH($C$303,"BS_INVENTORIES","FQ1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309" s="3" t="e">
        <f ca="1">_xll.BDH($C$303,"INVTRY_RAW_MATERIALS","FQ1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309" s="3" t="e">
        <f ca="1">_xll.BDH($C$303,"INVTRY_IN_PROGRESS","FQ1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309" s="3" t="e">
        <f ca="1">_xll.BDH($C$303,"INVTRY_FINISHED_GOODS","FQ1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309" s="3" t="e">
        <f ca="1">_xll.BDH($C$303,"BS_OTHER_INV","FQ1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310" spans="1:113" x14ac:dyDescent="0.3">
      <c r="A310" s="6"/>
      <c r="B310" s="6"/>
      <c r="C310" s="6"/>
      <c r="D310" s="6"/>
      <c r="E310" t="s">
        <v>79</v>
      </c>
      <c r="F310" t="e">
        <f ca="1">_xll.BDH($C$303,"RETURN_COM_EQY","FQ2 2015","FQ2 2015","Currency=INR","Period=FQ","BEST_FPERIOD_OVERRIDE=FQ","FILING_STATUS=OR","EQY_CONSOLIDATED=Y","FA_ADJUSTED=GAAP","Sort=A","Dates=H","DateFormat=P","Fill=—","Direction=H","UseDPDF=Y")</f>
        <v>#NAME?</v>
      </c>
      <c r="G310" t="e">
        <f ca="1">_xll.BDH($C$303,"RETURN_ON_ASSET","FQ2 2015","FQ2 2015","Currency=INR","Period=FQ","BEST_FPERIOD_OVERRIDE=FQ","FILING_STATUS=OR","EQY_CONSOLIDATED=Y","FA_ADJUSTED=GAAP","Sort=A","Dates=H","DateFormat=P","Fill=—","Direction=H","UseDPDF=Y")</f>
        <v>#NAME?</v>
      </c>
      <c r="H310" t="e">
        <f ca="1">_xll.BDH($C$303,"RETURN_ON_CAP","FQ2 2015","FQ2 2015","Currency=INR","Period=FQ","BEST_FPERIOD_OVERRIDE=FQ","FILING_STATUS=OR","EQY_CONSOLIDATED=Y","FA_ADJUSTED=GAAP","Sort=A","Dates=H","DateFormat=P","Fill=—","Direction=H","UseDPDF=Y")</f>
        <v>#NAME?</v>
      </c>
      <c r="I310" t="e">
        <f ca="1">_xll.BDH($C$303,"RETURN_ON_INV_CAPITAL","FQ2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310" t="e">
        <f ca="1">_xll.BDH($C$303,"EBITDA_TO_REVENUE","FQ2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310" t="e">
        <f ca="1">_xll.BDH($C$303,"OPER_MARGIN","FQ2 2015","FQ2 2015","Currency=INR","Period=FQ","BEST_FPERIOD_OVERRIDE=FQ","FILING_STATUS=OR","EQY_CONSOLIDATED=Y","FA_ADJUSTED=GAAP","Sort=A","Dates=H","DateFormat=P","Fill=—","Direction=H","UseDPDF=Y")</f>
        <v>#NAME?</v>
      </c>
      <c r="L310" t="e">
        <f ca="1">_xll.BDH($C$303,"INCREMENTAL_OPERATING_MARGIN","FQ2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310" t="e">
        <f ca="1">_xll.BDH($C$303,"PRETAX_INC_TO_NET_SALES","FQ2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310" t="e">
        <f ca="1">_xll.BDH($C$303,"INC_BEF_XO_ITEMS_TO_NET_SALES","FQ2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310" t="e">
        <f ca="1">_xll.BDH($C$303,"PROF_MARGIN","FQ2 2015","FQ2 2015","Currency=INR","Period=FQ","BEST_FPERIOD_OVERRIDE=FQ","FILING_STATUS=OR","EQY_CONSOLIDATED=Y","FA_ADJUSTED=GAAP","Sort=A","Dates=H","DateFormat=P","Fill=—","Direction=H","UseDPDF=Y")</f>
        <v>#NAME?</v>
      </c>
      <c r="P310" t="e">
        <f ca="1">_xll.BDH($C$303,"NET_INCOME_TO_COMMON_MARGIN","FQ2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310" t="e">
        <f ca="1">_xll.BDH($C$303,"EFF_TAX_RATE","FQ2 2015","FQ2 2015","Currency=INR","Period=FQ","BEST_FPERIOD_OVERRIDE=FQ","FILING_STATUS=OR","EQY_CONSOLIDATED=Y","FA_ADJUSTED=GAAP","Sort=A","Dates=H","DateFormat=P","Fill=—","Direction=H","UseDPDF=Y")</f>
        <v>#NAME?</v>
      </c>
      <c r="R310" t="e">
        <f ca="1">_xll.BDH($C$303,"DVD_PAYOUT_RATIO","FQ2 2015","FQ2 2015","Currency=INR","Period=FQ","BEST_FPERIOD_OVERRIDE=FQ","FILING_STATUS=OR","EQY_CONSOLIDATED=Y","FA_ADJUSTED=GAAP","Sort=A","Dates=H","DateFormat=P","Fill=—","Direction=H","UseDPDF=Y")</f>
        <v>#NAME?</v>
      </c>
      <c r="S310" t="e">
        <f ca="1">_xll.BDH($C$303,"SUSTAIN_GROWTH_RT","FQ2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310" s="2" t="e">
        <f ca="1">_xll.BDH($C$303,"SALES_GROWTH","FQ2 2015","FQ2 2015","Currency=INR","Period=FQ","BEST_FPERIOD_OVERRIDE=FQ","FILING_STATUS=OR","EQY_CONSOLIDATED=Y","FA_ADJUSTED=GAAP","Sort=A","Dates=H","DateFormat=P","Fill=—","Direction=H","UseDPDF=Y")</f>
        <v>#NAME?</v>
      </c>
      <c r="U310" s="2" t="e">
        <f ca="1">_xll.BDH($C$303,"EBITDA_GROWTH","FQ2 2015","FQ2 2015","Currency=INR","Period=FQ","BEST_FPERIOD_OVERRIDE=FQ","FILING_STATUS=OR","EQY_CONSOLIDATED=Y","FA_ADJUSTED=GAAP","Sort=A","Dates=H","DateFormat=P","Fill=—","Direction=H","UseDPDF=Y")</f>
        <v>#NAME?</v>
      </c>
      <c r="V310" s="2" t="e">
        <f ca="1">_xll.BDH($C$303,"OPER_INC_GROWTH","FQ2 2015","FQ2 2015","Currency=INR","Period=FQ","BEST_FPERIOD_OVERRIDE=FQ","FILING_STATUS=OR","EQY_CONSOLIDATED=Y","FA_ADJUSTED=GAAP","Sort=A","Dates=H","DateFormat=P","Fill=—","Direction=H","UseDPDF=Y")</f>
        <v>#NAME?</v>
      </c>
      <c r="W310" s="2" t="e">
        <f ca="1">_xll.BDH($C$303,"EARN_FOR_COM_GROWTH","FQ2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310" s="2" t="e">
        <f ca="1">_xll.BDH($C$303,"DILUTED_EPS_AFT_XO_ITEMS_GROWTH","FQ2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310" s="2" t="e">
        <f ca="1">_xll.BDH($C$303,"DIVIDEND_PER_SHARE_1_YEAR_GROWTH","FQ2 2015","FQ2 2015","Currency=INR","Period=FQ","BEST_FPERIOD_OVERRIDE=FQ","FILING_STATUS=OR","EQY_CONSOLIDATED=Y","Sort=A","Dates=H","DateFormat=P","Fill=—","Direction=H","UseDPDF=Y")</f>
        <v>#NAME?</v>
      </c>
      <c r="Z310" s="2" t="e">
        <f ca="1">_xll.BDH($C$303,"ACCOUNTS_RECEIVABLE_GROWTH","FQ2 2015","FQ2 2015","Currency=INR","Period=FQ","BEST_FPERIOD_OVERRIDE=FQ","FILING_STATUS=OR","EQY_CONSOLIDATED=Y","Sort=A","Dates=H","DateFormat=P","Fill=—","Direction=H","UseDPDF=Y")</f>
        <v>#NAME?</v>
      </c>
      <c r="AA310" s="2" t="e">
        <f ca="1">_xll.BDH($C$303,"INVENTORY_GROWTH","FQ2 2015","FQ2 2015","Currency=INR","Period=FQ","BEST_FPERIOD_OVERRIDE=FQ","FILING_STATUS=OR","EQY_CONSOLIDATED=Y","Sort=A","Dates=H","DateFormat=P","Fill=—","Direction=H","UseDPDF=Y")</f>
        <v>#NAME?</v>
      </c>
      <c r="AB310" s="2" t="e">
        <f ca="1">_xll.BDH($C$303,"NET_FIXED_ASSETS_1_YEAR_GROWTH","FQ2 2015","FQ2 2015","Currency=INR","Period=FQ","BEST_FPERIOD_OVERRIDE=FQ","FILING_STATUS=OR","EQY_CONSOLIDATED=Y","Sort=A","Dates=H","DateFormat=P","Fill=—","Direction=H","UseDPDF=Y")</f>
        <v>#NAME?</v>
      </c>
      <c r="AC310" s="2" t="e">
        <f ca="1">_xll.BDH($C$303,"ASSET_GROWTH","FQ2 2015","FQ2 2015","Currency=INR","Period=FQ","BEST_FPERIOD_OVERRIDE=FQ","FILING_STATUS=OR","EQY_CONSOLIDATED=Y","Sort=A","Dates=H","DateFormat=P","Fill=—","Direction=H","UseDPDF=Y")</f>
        <v>#NAME?</v>
      </c>
      <c r="AD310" s="2" t="e">
        <f ca="1">_xll.BDH($C$303,"MODIFIED_WORK_CAP_GROWTH","FQ2 2015","FQ2 2015","Currency=INR","Period=FQ","BEST_FPERIOD_OVERRIDE=FQ","FILING_STATUS=OR","EQY_CONSOLIDATED=Y","Sort=A","Dates=H","DateFormat=P","Fill=—","Direction=H","UseDPDF=Y")</f>
        <v>#NAME?</v>
      </c>
      <c r="AE310" s="2" t="e">
        <f ca="1">_xll.BDH($C$303,"WORK_CAP_GROWTH","FQ2 2015","FQ2 2015","Currency=INR","Period=FQ","BEST_FPERIOD_OVERRIDE=FQ","FILING_STATUS=OR","EQY_CONSOLIDATED=Y","Sort=A","Dates=H","DateFormat=P","Fill=—","Direction=H","UseDPDF=Y")</f>
        <v>#NAME?</v>
      </c>
      <c r="AF310" s="2" t="e">
        <f ca="1">_xll.BDH($C$303,"ACCOUNTS_PAYABLE_GROWTH_1YR","FQ2 2015","FQ2 2015","Currency=INR","Period=FQ","BEST_FPERIOD_OVERRIDE=FQ","FILING_STATUS=OR","EQY_CONSOLIDATED=Y","Sort=A","Dates=H","DateFormat=P","Fill=—","Direction=H","UseDPDF=Y")</f>
        <v>#NAME?</v>
      </c>
      <c r="AG310" s="2" t="e">
        <f ca="1">_xll.BDH($C$303,"SHORT_TERM_DEBT_1_YEAR_GROWTH","FQ2 2015","FQ2 2015","Currency=INR","Period=FQ","BEST_FPERIOD_OVERRIDE=FQ","FILING_STATUS=OR","EQY_CONSOLIDATED=Y","Sort=A","Dates=H","DateFormat=P","Fill=—","Direction=H","UseDPDF=Y")</f>
        <v>#NAME?</v>
      </c>
      <c r="AH310" s="2" t="e">
        <f ca="1">_xll.BDH($C$303,"TOTAL_DEBT_1_YEAR_GROWTH","FQ2 2015","FQ2 2015","Currency=INR","Period=FQ","BEST_FPERIOD_OVERRIDE=FQ","FILING_STATUS=OR","EQY_CONSOLIDATED=Y","Sort=A","Dates=H","DateFormat=P","Fill=—","Direction=H","UseDPDF=Y")</f>
        <v>#NAME?</v>
      </c>
      <c r="AI310" s="2" t="e">
        <f ca="1">_xll.BDH($C$303,"TOTAL_EQUITY_1_YEAR_GROWTH","FQ2 2015","FQ2 2015","Currency=INR","Period=FQ","BEST_FPERIOD_OVERRIDE=FQ","FILING_STATUS=OR","EQY_CONSOLIDATED=Y","Sort=A","Dates=H","DateFormat=P","Fill=—","Direction=H","UseDPDF=Y")</f>
        <v>#NAME?</v>
      </c>
      <c r="AJ310" s="2" t="e">
        <f ca="1">_xll.BDH($C$303,"GROWTH_IN_CAP","FQ2 2015","FQ2 2015","Currency=INR","Period=FQ","BEST_FPERIOD_OVERRIDE=FQ","FILING_STATUS=OR","EQY_CONSOLIDATED=Y","Sort=A","Dates=H","DateFormat=P","Fill=—","Direction=H","UseDPDF=Y")</f>
        <v>#NAME?</v>
      </c>
      <c r="AK310" s="2" t="e">
        <f ca="1">_xll.BDH($C$303,"BVPS_GROWTH","FQ2 2015","FQ2 2015","Currency=INR","Period=FQ","BEST_FPERIOD_OVERRIDE=FQ","FILING_STATUS=OR","EQY_CONSOLIDATED=Y","Sort=A","Dates=H","DateFormat=P","Fill=—","Direction=H","UseDPDF=Y")</f>
        <v>#NAME?</v>
      </c>
      <c r="AL310" s="2" t="e">
        <f ca="1">_xll.BDH($C$303,"CASH_FLOW_GROWTH","FQ2 2015","FQ2 2015","Currency=INR","Period=FQ","BEST_FPERIOD_OVERRIDE=FQ","FILING_STATUS=OR","EQY_CONSOLIDATED=Y","Sort=A","Dates=H","DateFormat=P","Fill=—","Direction=H","UseDPDF=Y")</f>
        <v>#NAME?</v>
      </c>
      <c r="AM310" s="2" t="e">
        <f ca="1">_xll.BDH($C$303,"GEO_GROW_NET_SALES","FQ2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310" s="2" t="e">
        <f ca="1">_xll.BDH($C$303,"GEO_GROW_EBITDA","FQ2 2015","FQ2 2015","Currency=INR","Period=FQ","BEST_FPERIOD_OVERRIDE=FQ","FILING_STATUS=OR","EQY_CONSOLIDATED=Y","FA_ADJUSTED=GAAP","Sort=A","Dates=H","DateFormat=P","Fill=—","Direction=H","UseDPDF=Y")</f>
        <v>#NAME?</v>
      </c>
      <c r="AO310" s="2" t="e">
        <f ca="1">_xll.BDH($C$303,"GEO_GROW_OPER_INC","FQ2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310" s="2" t="e">
        <f ca="1">_xll.BDH($C$303,"NET_INCOME_TO_COMMON_5_YR_GROWTH","FQ2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310" s="2" t="e">
        <f ca="1">_xll.BDH($C$303,"5Y_GEO_GROWTH_DILUTED_EPS","FQ2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310" s="2" t="e">
        <f ca="1">_xll.BDH($C$303,"GEO_GROW_DVD_PER_SH","FQ2 2015","FQ2 2015","Currency=INR","Period=FQ","BEST_FPERIOD_OVERRIDE=FQ","FILING_STATUS=OR","EQY_CONSOLIDATED=Y","Sort=A","Dates=H","DateFormat=P","Fill=—","Direction=H","UseDPDF=Y")</f>
        <v>#NAME?</v>
      </c>
      <c r="AS310" s="2" t="e">
        <f ca="1">_xll.BDH($C$303,"ACCOUNTS_RECEIVABLE_5_YR_GROWTH","FQ2 2015","FQ2 2015","Currency=INR","Period=FQ","BEST_FPERIOD_OVERRIDE=FQ","FILING_STATUS=OR","EQY_CONSOLIDATED=Y","Sort=A","Dates=H","DateFormat=P","Fill=—","Direction=H","UseDPDF=Y")</f>
        <v>#NAME?</v>
      </c>
      <c r="AT310" s="2" t="e">
        <f ca="1">_xll.BDH($C$303,"INVENTORY_5_YEAR_GROWTH","FQ2 2015","FQ2 2015","Currency=INR","Period=FQ","BEST_FPERIOD_OVERRIDE=FQ","FILING_STATUS=OR","EQY_CONSOLIDATED=Y","Sort=A","Dates=H","DateFormat=P","Fill=—","Direction=H","UseDPDF=Y")</f>
        <v>#NAME?</v>
      </c>
      <c r="AU310" s="2" t="e">
        <f ca="1">_xll.BDH($C$303,"NET_FIXED_ASSETS_5_YEAR_GROWTH","FQ2 2015","FQ2 2015","Currency=INR","Period=FQ","BEST_FPERIOD_OVERRIDE=FQ","FILING_STATUS=OR","EQY_CONSOLIDATED=Y","Sort=A","Dates=H","DateFormat=P","Fill=—","Direction=H","UseDPDF=Y")</f>
        <v>#NAME?</v>
      </c>
      <c r="AV310" s="2" t="e">
        <f ca="1">_xll.BDH($C$303,"GEO_GROW_TOT_ASSET","FQ2 2015","FQ2 2015","Currency=INR","Period=FQ","BEST_FPERIOD_OVERRIDE=FQ","FILING_STATUS=OR","EQY_CONSOLIDATED=Y","Sort=A","Dates=H","DateFormat=P","Fill=—","Direction=H","UseDPDF=Y")</f>
        <v>#NAME?</v>
      </c>
      <c r="AW310" s="2" t="e">
        <f ca="1">_xll.BDH($C$303,"MODIFIED_WORKING_CPTL_5YR_GRWTH","FQ2 2015","FQ2 2015","Currency=INR","Period=FQ","BEST_FPERIOD_OVERRIDE=FQ","FILING_STATUS=OR","EQY_CONSOLIDATED=Y","Sort=A","Dates=H","DateFormat=P","Fill=—","Direction=H","UseDPDF=Y")</f>
        <v>#NAME?</v>
      </c>
      <c r="AX310" s="2" t="e">
        <f ca="1">_xll.BDH($C$303,"WORKING_CAPITAL_5_YEAR_GROWTH","FQ2 2015","FQ2 2015","Currency=INR","Period=FQ","BEST_FPERIOD_OVERRIDE=FQ","FILING_STATUS=OR","EQY_CONSOLIDATED=Y","Sort=A","Dates=H","DateFormat=P","Fill=—","Direction=H","UseDPDF=Y")</f>
        <v>#NAME?</v>
      </c>
      <c r="AY310" s="2" t="e">
        <f ca="1">_xll.BDH($C$303,"ACCOUNTS_PAYABLE_5_YEAR_GROWTH","FQ2 2015","FQ2 2015","Currency=INR","Period=FQ","BEST_FPERIOD_OVERRIDE=FQ","FILING_STATUS=OR","EQY_CONSOLIDATED=Y","Sort=A","Dates=H","DateFormat=P","Fill=—","Direction=H","UseDPDF=Y")</f>
        <v>#NAME?</v>
      </c>
      <c r="AZ310" s="2" t="e">
        <f ca="1">_xll.BDH($C$303,"SHORT_TERM_DEBT_5_YEAR_GROWTH","FQ2 2015","FQ2 2015","Currency=INR","Period=FQ","BEST_FPERIOD_OVERRIDE=FQ","FILING_STATUS=OR","EQY_CONSOLIDATED=Y","Sort=A","Dates=H","DateFormat=P","Fill=—","Direction=H","UseDPDF=Y")</f>
        <v>#NAME?</v>
      </c>
      <c r="BA310" s="2" t="e">
        <f ca="1">_xll.BDH($C$303,"TOTAL_DEBT_5_YEAR_GROWTH","FQ2 2015","FQ2 2015","Currency=INR","Period=FQ","BEST_FPERIOD_OVERRIDE=FQ","FILING_STATUS=OR","EQY_CONSOLIDATED=Y","Sort=A","Dates=H","DateFormat=P","Fill=—","Direction=H","UseDPDF=Y")</f>
        <v>#NAME?</v>
      </c>
      <c r="BB310" s="2" t="e">
        <f ca="1">_xll.BDH($C$303,"GEO_GROW_TOT_SHRHLDR_EQY","FQ2 2015","FQ2 2015","Currency=INR","Period=FQ","BEST_FPERIOD_OVERRIDE=FQ","FILING_STATUS=OR","EQY_CONSOLIDATED=Y","Sort=A","Dates=H","DateFormat=P","Fill=—","Direction=H","UseDPDF=Y")</f>
        <v>#NAME?</v>
      </c>
      <c r="BC310" s="2" t="e">
        <f ca="1">_xll.BDH($C$303,"TOTAL_CAPITAL_5_YEAR_GROWTH","FQ2 2015","FQ2 2015","Currency=INR","Period=FQ","BEST_FPERIOD_OVERRIDE=FQ","FILING_STATUS=OR","EQY_CONSOLIDATED=Y","Sort=A","Dates=H","DateFormat=P","Fill=—","Direction=H","UseDPDF=Y")</f>
        <v>#NAME?</v>
      </c>
      <c r="BD310" s="2" t="e">
        <f ca="1">_xll.BDH($C$303,"GEO_GROW_BOOK_VAL","FQ2 2015","FQ2 2015","Currency=INR","Period=FQ","BEST_FPERIOD_OVERRIDE=FQ","FILING_STATUS=OR","EQY_CONSOLIDATED=Y","Sort=A","Dates=H","DateFormat=P","Fill=—","Direction=H","UseDPDF=Y")</f>
        <v>#NAME?</v>
      </c>
      <c r="BE310" s="2" t="e">
        <f ca="1">_xll.BDH($C$303,"GEO_GROW_CASH_OPER_ACT","FQ2 2015","FQ2 2015","Currency=INR","Period=FQ","BEST_FPERIOD_OVERRIDE=FQ","FILING_STATUS=OR","EQY_CONSOLIDATED=Y","Sort=A","Dates=H","DateFormat=P","Fill=—","Direction=H","UseDPDF=Y")</f>
        <v>#NAME?</v>
      </c>
      <c r="BF310" s="2" t="e">
        <f ca="1">_xll.BDH($C$303,"REVENUE_SEQUENTIAL_GROWTH","FQ2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310" s="2" t="e">
        <f ca="1">_xll.BDH($C$303,"EBITDA_SEQUENTIAL_GROWTH","FQ2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310" s="2" t="e">
        <f ca="1">_xll.BDH($C$303,"OPERATING_INCOME_SEQ_GROWTH","FQ2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310" s="2" t="e">
        <f ca="1">_xll.BDH($C$303,"NET_INCOME_TO_COMMON_SEQ_GROWTH","FQ2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310" s="2" t="e">
        <f ca="1">_xll.BDH($C$303,"EPS_DILUTED_SEQUENTIAL_GROWTH","FQ2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310" s="2" t="e">
        <f ca="1">_xll.BDH($C$303,"DPS_SEQUENTIAL_GROWTH","FQ2 2015","FQ2 2015","Currency=INR","Period=FQ","BEST_FPERIOD_OVERRIDE=FQ","FILING_STATUS=OR","EQY_CONSOLIDATED=Y","Sort=A","Dates=H","DateFormat=P","Fill=—","Direction=H","UseDPDF=Y")</f>
        <v>#NAME?</v>
      </c>
      <c r="BL310" s="2" t="e">
        <f ca="1">_xll.BDH($C$303,"ACCOUNTS_RECEIVABLE_SEQ_GROWTH","FQ2 2015","FQ2 2015","Currency=INR","Period=FQ","BEST_FPERIOD_OVERRIDE=FQ","FILING_STATUS=OR","EQY_CONSOLIDATED=Y","Sort=A","Dates=H","DateFormat=P","Fill=—","Direction=H","UseDPDF=Y")</f>
        <v>#NAME?</v>
      </c>
      <c r="BM310" s="2" t="e">
        <f ca="1">_xll.BDH($C$303,"INVENTORY_SEQUENTIAL_GROWTH","FQ2 2015","FQ2 2015","Currency=INR","Period=FQ","BEST_FPERIOD_OVERRIDE=FQ","FILING_STATUS=OR","EQY_CONSOLIDATED=Y","Sort=A","Dates=H","DateFormat=P","Fill=—","Direction=H","UseDPDF=Y")</f>
        <v>#NAME?</v>
      </c>
      <c r="BN310" s="2" t="e">
        <f ca="1">_xll.BDH($C$303,"FIXED_ASSETS_SEQUENTIAL_GROWTH","FQ2 2015","FQ2 2015","Currency=INR","Period=FQ","BEST_FPERIOD_OVERRIDE=FQ","FILING_STATUS=OR","EQY_CONSOLIDATED=Y","Sort=A","Dates=H","DateFormat=P","Fill=—","Direction=H","UseDPDF=Y")</f>
        <v>#NAME?</v>
      </c>
      <c r="BO310" s="2" t="e">
        <f ca="1">_xll.BDH($C$303,"TOTAL_ASSETS_SEQUENTIAL_GROWTH","FQ2 2015","FQ2 2015","Currency=INR","Period=FQ","BEST_FPERIOD_OVERRIDE=FQ","FILING_STATUS=OR","EQY_CONSOLIDATED=Y","Sort=A","Dates=H","DateFormat=P","Fill=—","Direction=H","UseDPDF=Y")</f>
        <v>#NAME?</v>
      </c>
      <c r="BP310" s="2" t="e">
        <f ca="1">_xll.BDH($C$303,"MODIFIED_WORKING_CPTL_SEQ_GRWTH","FQ2 2015","FQ2 2015","Currency=INR","Period=FQ","BEST_FPERIOD_OVERRIDE=FQ","FILING_STATUS=OR","EQY_CONSOLIDATED=Y","Sort=A","Dates=H","DateFormat=P","Fill=—","Direction=H","UseDPDF=Y")</f>
        <v>#NAME?</v>
      </c>
      <c r="BQ310" s="2" t="e">
        <f ca="1">_xll.BDH($C$303,"WORKING_CAPITAL_SEQ_GROWTH","FQ2 2015","FQ2 2015","Currency=INR","Period=FQ","BEST_FPERIOD_OVERRIDE=FQ","FILING_STATUS=OR","EQY_CONSOLIDATED=Y","Sort=A","Dates=H","DateFormat=P","Fill=—","Direction=H","UseDPDF=Y")</f>
        <v>#NAME?</v>
      </c>
      <c r="BR310" s="2" t="e">
        <f ca="1">_xll.BDH($C$303,"ACCOUNTS_PAYABLE_SEQ_GROWTH","FQ2 2015","FQ2 2015","Currency=INR","Period=FQ","BEST_FPERIOD_OVERRIDE=FQ","FILING_STATUS=OR","EQY_CONSOLIDATED=Y","Sort=A","Dates=H","DateFormat=P","Fill=—","Direction=H","UseDPDF=Y")</f>
        <v>#NAME?</v>
      </c>
      <c r="BS310" s="2" t="e">
        <f ca="1">_xll.BDH($C$303,"ST_DEBT_SEQUENTIAL_GROWTH","FQ2 2015","FQ2 2015","Currency=INR","Period=FQ","BEST_FPERIOD_OVERRIDE=FQ","FILING_STATUS=OR","EQY_CONSOLIDATED=Y","Sort=A","Dates=H","DateFormat=P","Fill=—","Direction=H","UseDPDF=Y")</f>
        <v>#NAME?</v>
      </c>
      <c r="BT310" s="2" t="e">
        <f ca="1">_xll.BDH($C$303,"TOTAL_DEBT_SEQUENTIAL_GROWTH","FQ2 2015","FQ2 2015","Currency=INR","Period=FQ","BEST_FPERIOD_OVERRIDE=FQ","FILING_STATUS=OR","EQY_CONSOLIDATED=Y","Sort=A","Dates=H","DateFormat=P","Fill=—","Direction=H","UseDPDF=Y")</f>
        <v>#NAME?</v>
      </c>
      <c r="BU310" s="2" t="e">
        <f ca="1">_xll.BDH($C$303,"TOTAL_EQUITY_SEQUENTIAL_GROWTH","FQ2 2015","FQ2 2015","Currency=INR","Period=FQ","BEST_FPERIOD_OVERRIDE=FQ","FILING_STATUS=OR","EQY_CONSOLIDATED=Y","Sort=A","Dates=H","DateFormat=P","Fill=—","Direction=H","UseDPDF=Y")</f>
        <v>#NAME?</v>
      </c>
      <c r="BV310" s="2" t="e">
        <f ca="1">_xll.BDH($C$303,"TOTAL_CAPITAL_SEQUENTIAL_GROWTH","FQ2 2015","FQ2 2015","Currency=INR","Period=FQ","BEST_FPERIOD_OVERRIDE=FQ","FILING_STATUS=OR","EQY_CONSOLIDATED=Y","Sort=A","Dates=H","DateFormat=P","Fill=—","Direction=H","UseDPDF=Y")</f>
        <v>#NAME?</v>
      </c>
      <c r="BW310" s="2" t="e">
        <f ca="1">_xll.BDH($C$303,"BPS_SEQUENTIAL_GROWTH","FQ2 2015","FQ2 2015","Currency=INR","Period=FQ","BEST_FPERIOD_OVERRIDE=FQ","FILING_STATUS=OR","EQY_CONSOLIDATED=Y","Sort=A","Dates=H","DateFormat=P","Fill=—","Direction=H","UseDPDF=Y")</f>
        <v>#NAME?</v>
      </c>
      <c r="BX310" s="2" t="e">
        <f ca="1">_xll.BDH($C$303,"CFO_SEQUENTIAL_GROWTH","FQ2 2015","FQ2 2015","Currency=INR","Period=FQ","BEST_FPERIOD_OVERRIDE=FQ","FILING_STATUS=OR","EQY_CONSOLIDATED=Y","Sort=A","Dates=H","DateFormat=P","Fill=—","Direction=H","UseDPDF=Y")</f>
        <v>#NAME?</v>
      </c>
      <c r="BY310" s="3" t="e">
        <f ca="1">_xll.BDH($C$303,"SHORT_AND_LONG_TERM_DEBT","FQ2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310" s="3" t="e">
        <f ca="1">_xll.BDH($C$303,"BS_ST_BORROW","FQ2 2015","FQ2 2015","Currency=INR","Period=FQ","BEST_FPERIOD_OVERRIDE=FQ","FILING_STATUS=OR","EQY_CONSOLIDATED=Y","SCALING_FORMAT=MLN","Sort=A","Dates=H","DateFormat=P","Fill=—","Direction=H","UseDPDF=Y")</f>
        <v>#NAME?</v>
      </c>
      <c r="CA310" s="3" t="e">
        <f ca="1">_xll.BDH($C$303,"BS_LT_BORROW","FQ2 2015","FQ2 2015","Currency=INR","Period=FQ","BEST_FPERIOD_OVERRIDE=FQ","FILING_STATUS=OR","EQY_CONSOLIDATED=Y","SCALING_FORMAT=MLN","Sort=A","Dates=H","DateFormat=P","Fill=—","Direction=H","UseDPDF=Y")</f>
        <v>#NAME?</v>
      </c>
      <c r="CB310" s="2" t="e">
        <f ca="1">_xll.BDH($C$303,"TOT_DEBT_TO_EBITDA","FQ2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310" s="2" t="e">
        <f ca="1">_xll.BDH($C$303,"NET_DEBT_TO_EBITDA","FQ2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310" s="2" t="e">
        <f ca="1">_xll.BDH($C$303,"TOTAL_DEBT_TO_EBIT","FQ2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310" s="2" t="e">
        <f ca="1">_xll.BDH($C$303,"NET_DEBT_TO_EBIT","FQ2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310" s="2" t="e">
        <f ca="1">_xll.BDH($C$303,"EBITDA_TO_INTEREST_EXPN","FQ2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310" s="2" t="e">
        <f ca="1">_xll.BDH($C$303,"COM_EQY_TO_TOT_ASSET","FQ2 2015","FQ2 2015","Currency=INR","Period=FQ","BEST_FPERIOD_OVERRIDE=FQ","FILING_STATUS=OR","EQY_CONSOLIDATED=Y","Sort=A","Dates=H","DateFormat=P","Fill=—","Direction=H","UseDPDF=Y")</f>
        <v>#NAME?</v>
      </c>
      <c r="CH310" s="2" t="e">
        <f ca="1">_xll.BDH($C$303,"LT_DEBT_TO_TOT_EQY","FQ2 2015","FQ2 2015","Currency=INR","Period=FQ","BEST_FPERIOD_OVERRIDE=FQ","FILING_STATUS=OR","EQY_CONSOLIDATED=Y","Sort=A","Dates=H","DateFormat=P","Fill=—","Direction=H","UseDPDF=Y")</f>
        <v>#NAME?</v>
      </c>
      <c r="CI310" s="2" t="e">
        <f ca="1">_xll.BDH($C$303,"LT_DEBT_TO_TOT_CAP","FQ2 2015","FQ2 2015","Currency=INR","Period=FQ","BEST_FPERIOD_OVERRIDE=FQ","FILING_STATUS=OR","EQY_CONSOLIDATED=Y","Sort=A","Dates=H","DateFormat=P","Fill=—","Direction=H","UseDPDF=Y")</f>
        <v>#NAME?</v>
      </c>
      <c r="CJ310" s="2" t="e">
        <f ca="1">_xll.BDH($C$303,"LT_DEBT_TO_TOT_ASSET","FQ2 2015","FQ2 2015","Currency=INR","Period=FQ","BEST_FPERIOD_OVERRIDE=FQ","FILING_STATUS=OR","EQY_CONSOLIDATED=Y","Sort=A","Dates=H","DateFormat=P","Fill=—","Direction=H","UseDPDF=Y")</f>
        <v>#NAME?</v>
      </c>
      <c r="CK310" s="2" t="e">
        <f ca="1">_xll.BDH($C$303,"TOT_DEBT_TO_TOT_EQY","FQ2 2015","FQ2 2015","Currency=INR","Period=FQ","BEST_FPERIOD_OVERRIDE=FQ","FILING_STATUS=OR","EQY_CONSOLIDATED=Y","Sort=A","Dates=H","DateFormat=P","Fill=—","Direction=H","UseDPDF=Y")</f>
        <v>#NAME?</v>
      </c>
      <c r="CL310" s="2" t="e">
        <f ca="1">_xll.BDH($C$303,"TOT_DEBT_TO_TOT_CAP","FQ2 2015","FQ2 2015","Currency=INR","Period=FQ","BEST_FPERIOD_OVERRIDE=FQ","FILING_STATUS=OR","EQY_CONSOLIDATED=Y","Sort=A","Dates=H","DateFormat=P","Fill=—","Direction=H","UseDPDF=Y")</f>
        <v>#NAME?</v>
      </c>
      <c r="CM310" s="2" t="e">
        <f ca="1">_xll.BDH($C$303,"TOT_DEBT_TO_TOT_ASSET","FQ2 2015","FQ2 2015","Currency=INR","Period=FQ","BEST_FPERIOD_OVERRIDE=FQ","FILING_STATUS=OR","EQY_CONSOLIDATED=Y","Sort=A","Dates=H","DateFormat=P","Fill=—","Direction=H","UseDPDF=Y")</f>
        <v>#NAME?</v>
      </c>
      <c r="CN310" s="2" t="e">
        <f ca="1">_xll.BDH($C$303,"NET_DEBT_TO_SHRHLDR_EQTY","FQ2 2015","FQ2 2015","Currency=INR","Period=FQ","BEST_FPERIOD_OVERRIDE=FQ","FILING_STATUS=OR","EQY_CONSOLIDATED=Y","Sort=A","Dates=H","DateFormat=P","Fill=—","Direction=H","UseDPDF=Y")</f>
        <v>#NAME?</v>
      </c>
      <c r="CO310" s="2" t="e">
        <f ca="1">_xll.BDH($C$303,"NET_DEBT_%_CAPITAL","FQ2 2015","FQ2 2015","Currency=INR","Period=FQ","BEST_FPERIOD_OVERRIDE=FQ","FILING_STATUS=OR","EQY_CONSOLIDATED=Y","Sort=A","Dates=H","DateFormat=P","Fill=—","Direction=H","UseDPDF=Y")</f>
        <v>#NAME?</v>
      </c>
      <c r="CP310" s="3" t="e">
        <f ca="1">_xll.BDH($C$303,"EBITDA","FQ2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310" s="3" t="e">
        <f ca="1">_xll.BDH($C$303,"EBITDA_AFTER_CAPEX","FQ2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310" s="3" t="e">
        <f ca="1">_xll.BDH($C$303,"IS_OPER_INC","FQ2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310" s="2" t="e">
        <f ca="1">_xll.BDH($C$303,"CASH_RATIO","FQ2 2015","FQ2 2015","Currency=INR","Period=FQ","BEST_FPERIOD_OVERRIDE=FQ","FILING_STATUS=OR","EQY_CONSOLIDATED=Y","Sort=A","Dates=H","DateFormat=P","Fill=—","Direction=H","UseDPDF=Y")</f>
        <v>#NAME?</v>
      </c>
      <c r="CT310" s="2" t="e">
        <f ca="1">_xll.BDH($C$303,"CUR_RATIO","FQ2 2015","FQ2 2015","Currency=INR","Period=FQ","BEST_FPERIOD_OVERRIDE=FQ","FILING_STATUS=OR","EQY_CONSOLIDATED=Y","Sort=A","Dates=H","DateFormat=P","Fill=—","Direction=H","UseDPDF=Y")</f>
        <v>#NAME?</v>
      </c>
      <c r="CU310" s="2" t="e">
        <f ca="1">_xll.BDH($C$303,"QUICK_RATIO","FQ2 2015","FQ2 2015","Currency=INR","Period=FQ","BEST_FPERIOD_OVERRIDE=FQ","FILING_STATUS=OR","EQY_CONSOLIDATED=Y","Sort=A","Dates=H","DateFormat=P","Fill=—","Direction=H","UseDPDF=Y")</f>
        <v>#NAME?</v>
      </c>
      <c r="CV310" s="2" t="e">
        <f ca="1">_xll.BDH($C$303,"ALTMAN_Z_SCORE","FQ2 2015","FQ2 2015","Currency=INR","Period=FQ","BEST_FPERIOD_OVERRIDE=FQ","FILING_STATUS=OR","EQY_CONSOLIDATED=Y","Sort=A","Dates=H","DateFormat=P","Fill=—","Direction=H","UseDPDF=Y")</f>
        <v>#NAME?</v>
      </c>
      <c r="CW310" s="4" t="e">
        <f ca="1">_xll.BDH($C$303,"ACCT_RCV_TURN","FQ2 2015","FQ2 2015","Currency=INR","Period=FQ","BEST_FPERIOD_OVERRIDE=FQ","FILING_STATUS=OR","EQY_CONSOLIDATED=Y","FA_ADJUSTED=GAAP","Sort=A","Dates=H","DateFormat=P","Fill=—","Direction=H","UseDPDF=Y")</f>
        <v>#NAME?</v>
      </c>
      <c r="CX310" s="2" t="e">
        <f ca="1">_xll.BDH($C$303,"ACCT_RCV_DAYS","FQ2 2015","FQ2 2015","Currency=INR","Period=FQ","BEST_FPERIOD_OVERRIDE=FQ","FILING_STATUS=OR","EQY_CONSOLIDATED=Y","FA_ADJUSTED=GAAP","Sort=A","Dates=H","DateFormat=P","Fill=—","Direction=H","UseDPDF=Y")</f>
        <v>#NAME?</v>
      </c>
      <c r="CY310" s="4" t="e">
        <f ca="1">_xll.BDH($C$303,"INVENT_TURN","FQ2 2015","FQ2 2015","Currency=INR","Period=FQ","BEST_FPERIOD_OVERRIDE=FQ","FILING_STATUS=OR","EQY_CONSOLIDATED=Y","FA_ADJUSTED=GAAP","Sort=A","Dates=H","DateFormat=P","Fill=—","Direction=H","UseDPDF=Y")</f>
        <v>#NAME?</v>
      </c>
      <c r="CZ310" s="2" t="e">
        <f ca="1">_xll.BDH($C$303,"INVENT_DAYS","FQ2 2015","FQ2 2015","Currency=INR","Period=FQ","BEST_FPERIOD_OVERRIDE=FQ","FILING_STATUS=OR","EQY_CONSOLIDATED=Y","FA_ADJUSTED=GAAP","Sort=A","Dates=H","DateFormat=P","Fill=—","Direction=H","UseDPDF=Y")</f>
        <v>#NAME?</v>
      </c>
      <c r="DA310" s="4" t="e">
        <f ca="1">_xll.BDH($C$303,"ACCOUNTS_PAYABLE_TURNOVER","FQ2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310" s="2" t="e">
        <f ca="1">_xll.BDH($C$303,"ACCOUNTS_PAYABLE_TURNOVER_DAYS","FQ2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310" s="4" t="e">
        <f ca="1">_xll.BDH($C$303,"CASH_CONVERSION_CYCLE","FQ2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310" s="4" t="e">
        <f ca="1">_xll.BDH($C$303,"INV_TO_CASH_DAYS","FQ2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310" s="5" t="e">
        <f ca="1">_xll.BDH($C$303,"BS_INVENTORIES","FQ2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310" s="3" t="e">
        <f ca="1">_xll.BDH($C$303,"INVTRY_RAW_MATERIALS","FQ2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310" s="3" t="e">
        <f ca="1">_xll.BDH($C$303,"INVTRY_IN_PROGRESS","FQ2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310" s="3" t="e">
        <f ca="1">_xll.BDH($C$303,"INVTRY_FINISHED_GOODS","FQ2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310" s="3" t="e">
        <f ca="1">_xll.BDH($C$303,"BS_OTHER_INV","FQ2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311" spans="1:113" x14ac:dyDescent="0.3">
      <c r="A311" s="6"/>
      <c r="B311" s="6"/>
      <c r="C311" s="6"/>
      <c r="D311" s="6"/>
      <c r="E311" t="s">
        <v>80</v>
      </c>
      <c r="F311" t="e">
        <f ca="1">_xll.BDH($C$303,"RETURN_COM_EQY","FQ3 2015","FQ3 2015","Currency=INR","Period=FQ","BEST_FPERIOD_OVERRIDE=FQ","FILING_STATUS=OR","EQY_CONSOLIDATED=Y","FA_ADJUSTED=GAAP","Sort=A","Dates=H","DateFormat=P","Fill=—","Direction=H","UseDPDF=Y")</f>
        <v>#NAME?</v>
      </c>
      <c r="G311" t="e">
        <f ca="1">_xll.BDH($C$303,"RETURN_ON_ASSET","FQ3 2015","FQ3 2015","Currency=INR","Period=FQ","BEST_FPERIOD_OVERRIDE=FQ","FILING_STATUS=OR","EQY_CONSOLIDATED=Y","FA_ADJUSTED=GAAP","Sort=A","Dates=H","DateFormat=P","Fill=—","Direction=H","UseDPDF=Y")</f>
        <v>#NAME?</v>
      </c>
      <c r="H311" t="e">
        <f ca="1">_xll.BDH($C$303,"RETURN_ON_CAP","FQ3 2015","FQ3 2015","Currency=INR","Period=FQ","BEST_FPERIOD_OVERRIDE=FQ","FILING_STATUS=OR","EQY_CONSOLIDATED=Y","FA_ADJUSTED=GAAP","Sort=A","Dates=H","DateFormat=P","Fill=—","Direction=H","UseDPDF=Y")</f>
        <v>#NAME?</v>
      </c>
      <c r="I311" t="e">
        <f ca="1">_xll.BDH($C$303,"RETURN_ON_INV_CAPITAL","FQ3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311" t="e">
        <f ca="1">_xll.BDH($C$303,"EBITDA_TO_REVENUE","FQ3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311" t="e">
        <f ca="1">_xll.BDH($C$303,"OPER_MARGIN","FQ3 2015","FQ3 2015","Currency=INR","Period=FQ","BEST_FPERIOD_OVERRIDE=FQ","FILING_STATUS=OR","EQY_CONSOLIDATED=Y","FA_ADJUSTED=GAAP","Sort=A","Dates=H","DateFormat=P","Fill=—","Direction=H","UseDPDF=Y")</f>
        <v>#NAME?</v>
      </c>
      <c r="L311" t="e">
        <f ca="1">_xll.BDH($C$303,"INCREMENTAL_OPERATING_MARGIN","FQ3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311" t="e">
        <f ca="1">_xll.BDH($C$303,"PRETAX_INC_TO_NET_SALES","FQ3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311" t="e">
        <f ca="1">_xll.BDH($C$303,"INC_BEF_XO_ITEMS_TO_NET_SALES","FQ3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311" t="e">
        <f ca="1">_xll.BDH($C$303,"PROF_MARGIN","FQ3 2015","FQ3 2015","Currency=INR","Period=FQ","BEST_FPERIOD_OVERRIDE=FQ","FILING_STATUS=OR","EQY_CONSOLIDATED=Y","FA_ADJUSTED=GAAP","Sort=A","Dates=H","DateFormat=P","Fill=—","Direction=H","UseDPDF=Y")</f>
        <v>#NAME?</v>
      </c>
      <c r="P311" t="e">
        <f ca="1">_xll.BDH($C$303,"NET_INCOME_TO_COMMON_MARGIN","FQ3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311" t="e">
        <f ca="1">_xll.BDH($C$303,"EFF_TAX_RATE","FQ3 2015","FQ3 2015","Currency=INR","Period=FQ","BEST_FPERIOD_OVERRIDE=FQ","FILING_STATUS=OR","EQY_CONSOLIDATED=Y","FA_ADJUSTED=GAAP","Sort=A","Dates=H","DateFormat=P","Fill=—","Direction=H","UseDPDF=Y")</f>
        <v>#NAME?</v>
      </c>
      <c r="R311" t="e">
        <f ca="1">_xll.BDH($C$303,"DVD_PAYOUT_RATIO","FQ3 2015","FQ3 2015","Currency=INR","Period=FQ","BEST_FPERIOD_OVERRIDE=FQ","FILING_STATUS=OR","EQY_CONSOLIDATED=Y","FA_ADJUSTED=GAAP","Sort=A","Dates=H","DateFormat=P","Fill=—","Direction=H","UseDPDF=Y")</f>
        <v>#NAME?</v>
      </c>
      <c r="S311" t="e">
        <f ca="1">_xll.BDH($C$303,"SUSTAIN_GROWTH_RT","FQ3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311" s="2" t="e">
        <f ca="1">_xll.BDH($C$303,"SALES_GROWTH","FQ3 2015","FQ3 2015","Currency=INR","Period=FQ","BEST_FPERIOD_OVERRIDE=FQ","FILING_STATUS=OR","EQY_CONSOLIDATED=Y","FA_ADJUSTED=GAAP","Sort=A","Dates=H","DateFormat=P","Fill=—","Direction=H","UseDPDF=Y")</f>
        <v>#NAME?</v>
      </c>
      <c r="U311" s="2" t="e">
        <f ca="1">_xll.BDH($C$303,"EBITDA_GROWTH","FQ3 2015","FQ3 2015","Currency=INR","Period=FQ","BEST_FPERIOD_OVERRIDE=FQ","FILING_STATUS=OR","EQY_CONSOLIDATED=Y","FA_ADJUSTED=GAAP","Sort=A","Dates=H","DateFormat=P","Fill=—","Direction=H","UseDPDF=Y")</f>
        <v>#NAME?</v>
      </c>
      <c r="V311" s="2" t="e">
        <f ca="1">_xll.BDH($C$303,"OPER_INC_GROWTH","FQ3 2015","FQ3 2015","Currency=INR","Period=FQ","BEST_FPERIOD_OVERRIDE=FQ","FILING_STATUS=OR","EQY_CONSOLIDATED=Y","FA_ADJUSTED=GAAP","Sort=A","Dates=H","DateFormat=P","Fill=—","Direction=H","UseDPDF=Y")</f>
        <v>#NAME?</v>
      </c>
      <c r="W311" s="2" t="e">
        <f ca="1">_xll.BDH($C$303,"EARN_FOR_COM_GROWTH","FQ3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311" s="2" t="e">
        <f ca="1">_xll.BDH($C$303,"DILUTED_EPS_AFT_XO_ITEMS_GROWTH","FQ3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311" s="2" t="e">
        <f ca="1">_xll.BDH($C$303,"DIVIDEND_PER_SHARE_1_YEAR_GROWTH","FQ3 2015","FQ3 2015","Currency=INR","Period=FQ","BEST_FPERIOD_OVERRIDE=FQ","FILING_STATUS=OR","EQY_CONSOLIDATED=Y","Sort=A","Dates=H","DateFormat=P","Fill=—","Direction=H","UseDPDF=Y")</f>
        <v>#NAME?</v>
      </c>
      <c r="Z311" s="2" t="e">
        <f ca="1">_xll.BDH($C$303,"ACCOUNTS_RECEIVABLE_GROWTH","FQ3 2015","FQ3 2015","Currency=INR","Period=FQ","BEST_FPERIOD_OVERRIDE=FQ","FILING_STATUS=OR","EQY_CONSOLIDATED=Y","Sort=A","Dates=H","DateFormat=P","Fill=—","Direction=H","UseDPDF=Y")</f>
        <v>#NAME?</v>
      </c>
      <c r="AA311" s="2" t="e">
        <f ca="1">_xll.BDH($C$303,"INVENTORY_GROWTH","FQ3 2015","FQ3 2015","Currency=INR","Period=FQ","BEST_FPERIOD_OVERRIDE=FQ","FILING_STATUS=OR","EQY_CONSOLIDATED=Y","Sort=A","Dates=H","DateFormat=P","Fill=—","Direction=H","UseDPDF=Y")</f>
        <v>#NAME?</v>
      </c>
      <c r="AB311" s="2" t="e">
        <f ca="1">_xll.BDH($C$303,"NET_FIXED_ASSETS_1_YEAR_GROWTH","FQ3 2015","FQ3 2015","Currency=INR","Period=FQ","BEST_FPERIOD_OVERRIDE=FQ","FILING_STATUS=OR","EQY_CONSOLIDATED=Y","Sort=A","Dates=H","DateFormat=P","Fill=—","Direction=H","UseDPDF=Y")</f>
        <v>#NAME?</v>
      </c>
      <c r="AC311" s="2" t="e">
        <f ca="1">_xll.BDH($C$303,"ASSET_GROWTH","FQ3 2015","FQ3 2015","Currency=INR","Period=FQ","BEST_FPERIOD_OVERRIDE=FQ","FILING_STATUS=OR","EQY_CONSOLIDATED=Y","Sort=A","Dates=H","DateFormat=P","Fill=—","Direction=H","UseDPDF=Y")</f>
        <v>#NAME?</v>
      </c>
      <c r="AD311" s="2" t="e">
        <f ca="1">_xll.BDH($C$303,"MODIFIED_WORK_CAP_GROWTH","FQ3 2015","FQ3 2015","Currency=INR","Period=FQ","BEST_FPERIOD_OVERRIDE=FQ","FILING_STATUS=OR","EQY_CONSOLIDATED=Y","Sort=A","Dates=H","DateFormat=P","Fill=—","Direction=H","UseDPDF=Y")</f>
        <v>#NAME?</v>
      </c>
      <c r="AE311" s="2" t="e">
        <f ca="1">_xll.BDH($C$303,"WORK_CAP_GROWTH","FQ3 2015","FQ3 2015","Currency=INR","Period=FQ","BEST_FPERIOD_OVERRIDE=FQ","FILING_STATUS=OR","EQY_CONSOLIDATED=Y","Sort=A","Dates=H","DateFormat=P","Fill=—","Direction=H","UseDPDF=Y")</f>
        <v>#NAME?</v>
      </c>
      <c r="AF311" s="2" t="e">
        <f ca="1">_xll.BDH($C$303,"ACCOUNTS_PAYABLE_GROWTH_1YR","FQ3 2015","FQ3 2015","Currency=INR","Period=FQ","BEST_FPERIOD_OVERRIDE=FQ","FILING_STATUS=OR","EQY_CONSOLIDATED=Y","Sort=A","Dates=H","DateFormat=P","Fill=—","Direction=H","UseDPDF=Y")</f>
        <v>#NAME?</v>
      </c>
      <c r="AG311" s="2" t="e">
        <f ca="1">_xll.BDH($C$303,"SHORT_TERM_DEBT_1_YEAR_GROWTH","FQ3 2015","FQ3 2015","Currency=INR","Period=FQ","BEST_FPERIOD_OVERRIDE=FQ","FILING_STATUS=OR","EQY_CONSOLIDATED=Y","Sort=A","Dates=H","DateFormat=P","Fill=—","Direction=H","UseDPDF=Y")</f>
        <v>#NAME?</v>
      </c>
      <c r="AH311" s="2" t="e">
        <f ca="1">_xll.BDH($C$303,"TOTAL_DEBT_1_YEAR_GROWTH","FQ3 2015","FQ3 2015","Currency=INR","Period=FQ","BEST_FPERIOD_OVERRIDE=FQ","FILING_STATUS=OR","EQY_CONSOLIDATED=Y","Sort=A","Dates=H","DateFormat=P","Fill=—","Direction=H","UseDPDF=Y")</f>
        <v>#NAME?</v>
      </c>
      <c r="AI311" s="2" t="e">
        <f ca="1">_xll.BDH($C$303,"TOTAL_EQUITY_1_YEAR_GROWTH","FQ3 2015","FQ3 2015","Currency=INR","Period=FQ","BEST_FPERIOD_OVERRIDE=FQ","FILING_STATUS=OR","EQY_CONSOLIDATED=Y","Sort=A","Dates=H","DateFormat=P","Fill=—","Direction=H","UseDPDF=Y")</f>
        <v>#NAME?</v>
      </c>
      <c r="AJ311" s="2" t="e">
        <f ca="1">_xll.BDH($C$303,"GROWTH_IN_CAP","FQ3 2015","FQ3 2015","Currency=INR","Period=FQ","BEST_FPERIOD_OVERRIDE=FQ","FILING_STATUS=OR","EQY_CONSOLIDATED=Y","Sort=A","Dates=H","DateFormat=P","Fill=—","Direction=H","UseDPDF=Y")</f>
        <v>#NAME?</v>
      </c>
      <c r="AK311" s="2" t="e">
        <f ca="1">_xll.BDH($C$303,"BVPS_GROWTH","FQ3 2015","FQ3 2015","Currency=INR","Period=FQ","BEST_FPERIOD_OVERRIDE=FQ","FILING_STATUS=OR","EQY_CONSOLIDATED=Y","Sort=A","Dates=H","DateFormat=P","Fill=—","Direction=H","UseDPDF=Y")</f>
        <v>#NAME?</v>
      </c>
      <c r="AL311" s="2" t="e">
        <f ca="1">_xll.BDH($C$303,"CASH_FLOW_GROWTH","FQ3 2015","FQ3 2015","Currency=INR","Period=FQ","BEST_FPERIOD_OVERRIDE=FQ","FILING_STATUS=OR","EQY_CONSOLIDATED=Y","Sort=A","Dates=H","DateFormat=P","Fill=—","Direction=H","UseDPDF=Y")</f>
        <v>#NAME?</v>
      </c>
      <c r="AM311" s="2" t="e">
        <f ca="1">_xll.BDH($C$303,"GEO_GROW_NET_SALES","FQ3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311" s="2" t="e">
        <f ca="1">_xll.BDH($C$303,"GEO_GROW_EBITDA","FQ3 2015","FQ3 2015","Currency=INR","Period=FQ","BEST_FPERIOD_OVERRIDE=FQ","FILING_STATUS=OR","EQY_CONSOLIDATED=Y","FA_ADJUSTED=GAAP","Sort=A","Dates=H","DateFormat=P","Fill=—","Direction=H","UseDPDF=Y")</f>
        <v>#NAME?</v>
      </c>
      <c r="AO311" s="2" t="e">
        <f ca="1">_xll.BDH($C$303,"GEO_GROW_OPER_INC","FQ3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311" s="2" t="e">
        <f ca="1">_xll.BDH($C$303,"NET_INCOME_TO_COMMON_5_YR_GROWTH","FQ3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311" s="2" t="e">
        <f ca="1">_xll.BDH($C$303,"5Y_GEO_GROWTH_DILUTED_EPS","FQ3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311" s="2" t="e">
        <f ca="1">_xll.BDH($C$303,"GEO_GROW_DVD_PER_SH","FQ3 2015","FQ3 2015","Currency=INR","Period=FQ","BEST_FPERIOD_OVERRIDE=FQ","FILING_STATUS=OR","EQY_CONSOLIDATED=Y","Sort=A","Dates=H","DateFormat=P","Fill=—","Direction=H","UseDPDF=Y")</f>
        <v>#NAME?</v>
      </c>
      <c r="AS311" s="2" t="e">
        <f ca="1">_xll.BDH($C$303,"ACCOUNTS_RECEIVABLE_5_YR_GROWTH","FQ3 2015","FQ3 2015","Currency=INR","Period=FQ","BEST_FPERIOD_OVERRIDE=FQ","FILING_STATUS=OR","EQY_CONSOLIDATED=Y","Sort=A","Dates=H","DateFormat=P","Fill=—","Direction=H","UseDPDF=Y")</f>
        <v>#NAME?</v>
      </c>
      <c r="AT311" s="2" t="e">
        <f ca="1">_xll.BDH($C$303,"INVENTORY_5_YEAR_GROWTH","FQ3 2015","FQ3 2015","Currency=INR","Period=FQ","BEST_FPERIOD_OVERRIDE=FQ","FILING_STATUS=OR","EQY_CONSOLIDATED=Y","Sort=A","Dates=H","DateFormat=P","Fill=—","Direction=H","UseDPDF=Y")</f>
        <v>#NAME?</v>
      </c>
      <c r="AU311" s="2" t="e">
        <f ca="1">_xll.BDH($C$303,"NET_FIXED_ASSETS_5_YEAR_GROWTH","FQ3 2015","FQ3 2015","Currency=INR","Period=FQ","BEST_FPERIOD_OVERRIDE=FQ","FILING_STATUS=OR","EQY_CONSOLIDATED=Y","Sort=A","Dates=H","DateFormat=P","Fill=—","Direction=H","UseDPDF=Y")</f>
        <v>#NAME?</v>
      </c>
      <c r="AV311" s="2" t="e">
        <f ca="1">_xll.BDH($C$303,"GEO_GROW_TOT_ASSET","FQ3 2015","FQ3 2015","Currency=INR","Period=FQ","BEST_FPERIOD_OVERRIDE=FQ","FILING_STATUS=OR","EQY_CONSOLIDATED=Y","Sort=A","Dates=H","DateFormat=P","Fill=—","Direction=H","UseDPDF=Y")</f>
        <v>#NAME?</v>
      </c>
      <c r="AW311" s="2" t="e">
        <f ca="1">_xll.BDH($C$303,"MODIFIED_WORKING_CPTL_5YR_GRWTH","FQ3 2015","FQ3 2015","Currency=INR","Period=FQ","BEST_FPERIOD_OVERRIDE=FQ","FILING_STATUS=OR","EQY_CONSOLIDATED=Y","Sort=A","Dates=H","DateFormat=P","Fill=—","Direction=H","UseDPDF=Y")</f>
        <v>#NAME?</v>
      </c>
      <c r="AX311" s="2" t="e">
        <f ca="1">_xll.BDH($C$303,"WORKING_CAPITAL_5_YEAR_GROWTH","FQ3 2015","FQ3 2015","Currency=INR","Period=FQ","BEST_FPERIOD_OVERRIDE=FQ","FILING_STATUS=OR","EQY_CONSOLIDATED=Y","Sort=A","Dates=H","DateFormat=P","Fill=—","Direction=H","UseDPDF=Y")</f>
        <v>#NAME?</v>
      </c>
      <c r="AY311" s="2" t="e">
        <f ca="1">_xll.BDH($C$303,"ACCOUNTS_PAYABLE_5_YEAR_GROWTH","FQ3 2015","FQ3 2015","Currency=INR","Period=FQ","BEST_FPERIOD_OVERRIDE=FQ","FILING_STATUS=OR","EQY_CONSOLIDATED=Y","Sort=A","Dates=H","DateFormat=P","Fill=—","Direction=H","UseDPDF=Y")</f>
        <v>#NAME?</v>
      </c>
      <c r="AZ311" s="2" t="e">
        <f ca="1">_xll.BDH($C$303,"SHORT_TERM_DEBT_5_YEAR_GROWTH","FQ3 2015","FQ3 2015","Currency=INR","Period=FQ","BEST_FPERIOD_OVERRIDE=FQ","FILING_STATUS=OR","EQY_CONSOLIDATED=Y","Sort=A","Dates=H","DateFormat=P","Fill=—","Direction=H","UseDPDF=Y")</f>
        <v>#NAME?</v>
      </c>
      <c r="BA311" s="2" t="e">
        <f ca="1">_xll.BDH($C$303,"TOTAL_DEBT_5_YEAR_GROWTH","FQ3 2015","FQ3 2015","Currency=INR","Period=FQ","BEST_FPERIOD_OVERRIDE=FQ","FILING_STATUS=OR","EQY_CONSOLIDATED=Y","Sort=A","Dates=H","DateFormat=P","Fill=—","Direction=H","UseDPDF=Y")</f>
        <v>#NAME?</v>
      </c>
      <c r="BB311" s="2" t="e">
        <f ca="1">_xll.BDH($C$303,"GEO_GROW_TOT_SHRHLDR_EQY","FQ3 2015","FQ3 2015","Currency=INR","Period=FQ","BEST_FPERIOD_OVERRIDE=FQ","FILING_STATUS=OR","EQY_CONSOLIDATED=Y","Sort=A","Dates=H","DateFormat=P","Fill=—","Direction=H","UseDPDF=Y")</f>
        <v>#NAME?</v>
      </c>
      <c r="BC311" s="2" t="e">
        <f ca="1">_xll.BDH($C$303,"TOTAL_CAPITAL_5_YEAR_GROWTH","FQ3 2015","FQ3 2015","Currency=INR","Period=FQ","BEST_FPERIOD_OVERRIDE=FQ","FILING_STATUS=OR","EQY_CONSOLIDATED=Y","Sort=A","Dates=H","DateFormat=P","Fill=—","Direction=H","UseDPDF=Y")</f>
        <v>#NAME?</v>
      </c>
      <c r="BD311" s="2" t="e">
        <f ca="1">_xll.BDH($C$303,"GEO_GROW_BOOK_VAL","FQ3 2015","FQ3 2015","Currency=INR","Period=FQ","BEST_FPERIOD_OVERRIDE=FQ","FILING_STATUS=OR","EQY_CONSOLIDATED=Y","Sort=A","Dates=H","DateFormat=P","Fill=—","Direction=H","UseDPDF=Y")</f>
        <v>#NAME?</v>
      </c>
      <c r="BE311" s="2" t="e">
        <f ca="1">_xll.BDH($C$303,"GEO_GROW_CASH_OPER_ACT","FQ3 2015","FQ3 2015","Currency=INR","Period=FQ","BEST_FPERIOD_OVERRIDE=FQ","FILING_STATUS=OR","EQY_CONSOLIDATED=Y","Sort=A","Dates=H","DateFormat=P","Fill=—","Direction=H","UseDPDF=Y")</f>
        <v>#NAME?</v>
      </c>
      <c r="BF311" s="2" t="e">
        <f ca="1">_xll.BDH($C$303,"REVENUE_SEQUENTIAL_GROWTH","FQ3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311" s="2" t="e">
        <f ca="1">_xll.BDH($C$303,"EBITDA_SEQUENTIAL_GROWTH","FQ3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311" s="2" t="e">
        <f ca="1">_xll.BDH($C$303,"OPERATING_INCOME_SEQ_GROWTH","FQ3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311" s="2" t="e">
        <f ca="1">_xll.BDH($C$303,"NET_INCOME_TO_COMMON_SEQ_GROWTH","FQ3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311" s="2" t="e">
        <f ca="1">_xll.BDH($C$303,"EPS_DILUTED_SEQUENTIAL_GROWTH","FQ3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311" s="2" t="e">
        <f ca="1">_xll.BDH($C$303,"DPS_SEQUENTIAL_GROWTH","FQ3 2015","FQ3 2015","Currency=INR","Period=FQ","BEST_FPERIOD_OVERRIDE=FQ","FILING_STATUS=OR","EQY_CONSOLIDATED=Y","Sort=A","Dates=H","DateFormat=P","Fill=—","Direction=H","UseDPDF=Y")</f>
        <v>#NAME?</v>
      </c>
      <c r="BL311" s="2" t="e">
        <f ca="1">_xll.BDH($C$303,"ACCOUNTS_RECEIVABLE_SEQ_GROWTH","FQ3 2015","FQ3 2015","Currency=INR","Period=FQ","BEST_FPERIOD_OVERRIDE=FQ","FILING_STATUS=OR","EQY_CONSOLIDATED=Y","Sort=A","Dates=H","DateFormat=P","Fill=—","Direction=H","UseDPDF=Y")</f>
        <v>#NAME?</v>
      </c>
      <c r="BM311" s="2" t="e">
        <f ca="1">_xll.BDH($C$303,"INVENTORY_SEQUENTIAL_GROWTH","FQ3 2015","FQ3 2015","Currency=INR","Period=FQ","BEST_FPERIOD_OVERRIDE=FQ","FILING_STATUS=OR","EQY_CONSOLIDATED=Y","Sort=A","Dates=H","DateFormat=P","Fill=—","Direction=H","UseDPDF=Y")</f>
        <v>#NAME?</v>
      </c>
      <c r="BN311" s="2" t="e">
        <f ca="1">_xll.BDH($C$303,"FIXED_ASSETS_SEQUENTIAL_GROWTH","FQ3 2015","FQ3 2015","Currency=INR","Period=FQ","BEST_FPERIOD_OVERRIDE=FQ","FILING_STATUS=OR","EQY_CONSOLIDATED=Y","Sort=A","Dates=H","DateFormat=P","Fill=—","Direction=H","UseDPDF=Y")</f>
        <v>#NAME?</v>
      </c>
      <c r="BO311" s="2" t="e">
        <f ca="1">_xll.BDH($C$303,"TOTAL_ASSETS_SEQUENTIAL_GROWTH","FQ3 2015","FQ3 2015","Currency=INR","Period=FQ","BEST_FPERIOD_OVERRIDE=FQ","FILING_STATUS=OR","EQY_CONSOLIDATED=Y","Sort=A","Dates=H","DateFormat=P","Fill=—","Direction=H","UseDPDF=Y")</f>
        <v>#NAME?</v>
      </c>
      <c r="BP311" s="2" t="e">
        <f ca="1">_xll.BDH($C$303,"MODIFIED_WORKING_CPTL_SEQ_GRWTH","FQ3 2015","FQ3 2015","Currency=INR","Period=FQ","BEST_FPERIOD_OVERRIDE=FQ","FILING_STATUS=OR","EQY_CONSOLIDATED=Y","Sort=A","Dates=H","DateFormat=P","Fill=—","Direction=H","UseDPDF=Y")</f>
        <v>#NAME?</v>
      </c>
      <c r="BQ311" s="2" t="e">
        <f ca="1">_xll.BDH($C$303,"WORKING_CAPITAL_SEQ_GROWTH","FQ3 2015","FQ3 2015","Currency=INR","Period=FQ","BEST_FPERIOD_OVERRIDE=FQ","FILING_STATUS=OR","EQY_CONSOLIDATED=Y","Sort=A","Dates=H","DateFormat=P","Fill=—","Direction=H","UseDPDF=Y")</f>
        <v>#NAME?</v>
      </c>
      <c r="BR311" s="2" t="e">
        <f ca="1">_xll.BDH($C$303,"ACCOUNTS_PAYABLE_SEQ_GROWTH","FQ3 2015","FQ3 2015","Currency=INR","Period=FQ","BEST_FPERIOD_OVERRIDE=FQ","FILING_STATUS=OR","EQY_CONSOLIDATED=Y","Sort=A","Dates=H","DateFormat=P","Fill=—","Direction=H","UseDPDF=Y")</f>
        <v>#NAME?</v>
      </c>
      <c r="BS311" s="2" t="e">
        <f ca="1">_xll.BDH($C$303,"ST_DEBT_SEQUENTIAL_GROWTH","FQ3 2015","FQ3 2015","Currency=INR","Period=FQ","BEST_FPERIOD_OVERRIDE=FQ","FILING_STATUS=OR","EQY_CONSOLIDATED=Y","Sort=A","Dates=H","DateFormat=P","Fill=—","Direction=H","UseDPDF=Y")</f>
        <v>#NAME?</v>
      </c>
      <c r="BT311" s="2" t="e">
        <f ca="1">_xll.BDH($C$303,"TOTAL_DEBT_SEQUENTIAL_GROWTH","FQ3 2015","FQ3 2015","Currency=INR","Period=FQ","BEST_FPERIOD_OVERRIDE=FQ","FILING_STATUS=OR","EQY_CONSOLIDATED=Y","Sort=A","Dates=H","DateFormat=P","Fill=—","Direction=H","UseDPDF=Y")</f>
        <v>#NAME?</v>
      </c>
      <c r="BU311" s="2" t="e">
        <f ca="1">_xll.BDH($C$303,"TOTAL_EQUITY_SEQUENTIAL_GROWTH","FQ3 2015","FQ3 2015","Currency=INR","Period=FQ","BEST_FPERIOD_OVERRIDE=FQ","FILING_STATUS=OR","EQY_CONSOLIDATED=Y","Sort=A","Dates=H","DateFormat=P","Fill=—","Direction=H","UseDPDF=Y")</f>
        <v>#NAME?</v>
      </c>
      <c r="BV311" s="2" t="e">
        <f ca="1">_xll.BDH($C$303,"TOTAL_CAPITAL_SEQUENTIAL_GROWTH","FQ3 2015","FQ3 2015","Currency=INR","Period=FQ","BEST_FPERIOD_OVERRIDE=FQ","FILING_STATUS=OR","EQY_CONSOLIDATED=Y","Sort=A","Dates=H","DateFormat=P","Fill=—","Direction=H","UseDPDF=Y")</f>
        <v>#NAME?</v>
      </c>
      <c r="BW311" s="2" t="e">
        <f ca="1">_xll.BDH($C$303,"BPS_SEQUENTIAL_GROWTH","FQ3 2015","FQ3 2015","Currency=INR","Period=FQ","BEST_FPERIOD_OVERRIDE=FQ","FILING_STATUS=OR","EQY_CONSOLIDATED=Y","Sort=A","Dates=H","DateFormat=P","Fill=—","Direction=H","UseDPDF=Y")</f>
        <v>#NAME?</v>
      </c>
      <c r="BX311" s="2" t="e">
        <f ca="1">_xll.BDH($C$303,"CFO_SEQUENTIAL_GROWTH","FQ3 2015","FQ3 2015","Currency=INR","Period=FQ","BEST_FPERIOD_OVERRIDE=FQ","FILING_STATUS=OR","EQY_CONSOLIDATED=Y","Sort=A","Dates=H","DateFormat=P","Fill=—","Direction=H","UseDPDF=Y")</f>
        <v>#NAME?</v>
      </c>
      <c r="BY311" s="3" t="e">
        <f ca="1">_xll.BDH($C$303,"SHORT_AND_LONG_TERM_DEBT","FQ3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311" s="3" t="e">
        <f ca="1">_xll.BDH($C$303,"BS_ST_BORROW","FQ3 2015","FQ3 2015","Currency=INR","Period=FQ","BEST_FPERIOD_OVERRIDE=FQ","FILING_STATUS=OR","EQY_CONSOLIDATED=Y","SCALING_FORMAT=MLN","Sort=A","Dates=H","DateFormat=P","Fill=—","Direction=H","UseDPDF=Y")</f>
        <v>#NAME?</v>
      </c>
      <c r="CA311" s="3" t="e">
        <f ca="1">_xll.BDH($C$303,"BS_LT_BORROW","FQ3 2015","FQ3 2015","Currency=INR","Period=FQ","BEST_FPERIOD_OVERRIDE=FQ","FILING_STATUS=OR","EQY_CONSOLIDATED=Y","SCALING_FORMAT=MLN","Sort=A","Dates=H","DateFormat=P","Fill=—","Direction=H","UseDPDF=Y")</f>
        <v>#NAME?</v>
      </c>
      <c r="CB311" s="2" t="e">
        <f ca="1">_xll.BDH($C$303,"TOT_DEBT_TO_EBITDA","FQ3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311" s="2" t="e">
        <f ca="1">_xll.BDH($C$303,"NET_DEBT_TO_EBITDA","FQ3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311" s="2" t="e">
        <f ca="1">_xll.BDH($C$303,"TOTAL_DEBT_TO_EBIT","FQ3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311" s="2" t="e">
        <f ca="1">_xll.BDH($C$303,"NET_DEBT_TO_EBIT","FQ3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311" s="2" t="e">
        <f ca="1">_xll.BDH($C$303,"EBITDA_TO_INTEREST_EXPN","FQ3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311" s="2" t="e">
        <f ca="1">_xll.BDH($C$303,"COM_EQY_TO_TOT_ASSET","FQ3 2015","FQ3 2015","Currency=INR","Period=FQ","BEST_FPERIOD_OVERRIDE=FQ","FILING_STATUS=OR","EQY_CONSOLIDATED=Y","Sort=A","Dates=H","DateFormat=P","Fill=—","Direction=H","UseDPDF=Y")</f>
        <v>#NAME?</v>
      </c>
      <c r="CH311" s="2" t="e">
        <f ca="1">_xll.BDH($C$303,"LT_DEBT_TO_TOT_EQY","FQ3 2015","FQ3 2015","Currency=INR","Period=FQ","BEST_FPERIOD_OVERRIDE=FQ","FILING_STATUS=OR","EQY_CONSOLIDATED=Y","Sort=A","Dates=H","DateFormat=P","Fill=—","Direction=H","UseDPDF=Y")</f>
        <v>#NAME?</v>
      </c>
      <c r="CI311" s="2" t="e">
        <f ca="1">_xll.BDH($C$303,"LT_DEBT_TO_TOT_CAP","FQ3 2015","FQ3 2015","Currency=INR","Period=FQ","BEST_FPERIOD_OVERRIDE=FQ","FILING_STATUS=OR","EQY_CONSOLIDATED=Y","Sort=A","Dates=H","DateFormat=P","Fill=—","Direction=H","UseDPDF=Y")</f>
        <v>#NAME?</v>
      </c>
      <c r="CJ311" s="2" t="e">
        <f ca="1">_xll.BDH($C$303,"LT_DEBT_TO_TOT_ASSET","FQ3 2015","FQ3 2015","Currency=INR","Period=FQ","BEST_FPERIOD_OVERRIDE=FQ","FILING_STATUS=OR","EQY_CONSOLIDATED=Y","Sort=A","Dates=H","DateFormat=P","Fill=—","Direction=H","UseDPDF=Y")</f>
        <v>#NAME?</v>
      </c>
      <c r="CK311" s="2" t="e">
        <f ca="1">_xll.BDH($C$303,"TOT_DEBT_TO_TOT_EQY","FQ3 2015","FQ3 2015","Currency=INR","Period=FQ","BEST_FPERIOD_OVERRIDE=FQ","FILING_STATUS=OR","EQY_CONSOLIDATED=Y","Sort=A","Dates=H","DateFormat=P","Fill=—","Direction=H","UseDPDF=Y")</f>
        <v>#NAME?</v>
      </c>
      <c r="CL311" s="2" t="e">
        <f ca="1">_xll.BDH($C$303,"TOT_DEBT_TO_TOT_CAP","FQ3 2015","FQ3 2015","Currency=INR","Period=FQ","BEST_FPERIOD_OVERRIDE=FQ","FILING_STATUS=OR","EQY_CONSOLIDATED=Y","Sort=A","Dates=H","DateFormat=P","Fill=—","Direction=H","UseDPDF=Y")</f>
        <v>#NAME?</v>
      </c>
      <c r="CM311" s="2" t="e">
        <f ca="1">_xll.BDH($C$303,"TOT_DEBT_TO_TOT_ASSET","FQ3 2015","FQ3 2015","Currency=INR","Period=FQ","BEST_FPERIOD_OVERRIDE=FQ","FILING_STATUS=OR","EQY_CONSOLIDATED=Y","Sort=A","Dates=H","DateFormat=P","Fill=—","Direction=H","UseDPDF=Y")</f>
        <v>#NAME?</v>
      </c>
      <c r="CN311" s="2" t="e">
        <f ca="1">_xll.BDH($C$303,"NET_DEBT_TO_SHRHLDR_EQTY","FQ3 2015","FQ3 2015","Currency=INR","Period=FQ","BEST_FPERIOD_OVERRIDE=FQ","FILING_STATUS=OR","EQY_CONSOLIDATED=Y","Sort=A","Dates=H","DateFormat=P","Fill=—","Direction=H","UseDPDF=Y")</f>
        <v>#NAME?</v>
      </c>
      <c r="CO311" s="2" t="e">
        <f ca="1">_xll.BDH($C$303,"NET_DEBT_%_CAPITAL","FQ3 2015","FQ3 2015","Currency=INR","Period=FQ","BEST_FPERIOD_OVERRIDE=FQ","FILING_STATUS=OR","EQY_CONSOLIDATED=Y","Sort=A","Dates=H","DateFormat=P","Fill=—","Direction=H","UseDPDF=Y")</f>
        <v>#NAME?</v>
      </c>
      <c r="CP311" s="3" t="e">
        <f ca="1">_xll.BDH($C$303,"EBITDA","FQ3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311" s="3" t="e">
        <f ca="1">_xll.BDH($C$303,"EBITDA_AFTER_CAPEX","FQ3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311" s="3" t="e">
        <f ca="1">_xll.BDH($C$303,"IS_OPER_INC","FQ3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311" s="2" t="e">
        <f ca="1">_xll.BDH($C$303,"CASH_RATIO","FQ3 2015","FQ3 2015","Currency=INR","Period=FQ","BEST_FPERIOD_OVERRIDE=FQ","FILING_STATUS=OR","EQY_CONSOLIDATED=Y","Sort=A","Dates=H","DateFormat=P","Fill=—","Direction=H","UseDPDF=Y")</f>
        <v>#NAME?</v>
      </c>
      <c r="CT311" s="2" t="e">
        <f ca="1">_xll.BDH($C$303,"CUR_RATIO","FQ3 2015","FQ3 2015","Currency=INR","Period=FQ","BEST_FPERIOD_OVERRIDE=FQ","FILING_STATUS=OR","EQY_CONSOLIDATED=Y","Sort=A","Dates=H","DateFormat=P","Fill=—","Direction=H","UseDPDF=Y")</f>
        <v>#NAME?</v>
      </c>
      <c r="CU311" s="2" t="e">
        <f ca="1">_xll.BDH($C$303,"QUICK_RATIO","FQ3 2015","FQ3 2015","Currency=INR","Period=FQ","BEST_FPERIOD_OVERRIDE=FQ","FILING_STATUS=OR","EQY_CONSOLIDATED=Y","Sort=A","Dates=H","DateFormat=P","Fill=—","Direction=H","UseDPDF=Y")</f>
        <v>#NAME?</v>
      </c>
      <c r="CV311" s="2" t="e">
        <f ca="1">_xll.BDH($C$303,"ALTMAN_Z_SCORE","FQ3 2015","FQ3 2015","Currency=INR","Period=FQ","BEST_FPERIOD_OVERRIDE=FQ","FILING_STATUS=OR","EQY_CONSOLIDATED=Y","Sort=A","Dates=H","DateFormat=P","Fill=—","Direction=H","UseDPDF=Y")</f>
        <v>#NAME?</v>
      </c>
      <c r="CW311" s="4" t="e">
        <f ca="1">_xll.BDH($C$303,"ACCT_RCV_TURN","FQ3 2015","FQ3 2015","Currency=INR","Period=FQ","BEST_FPERIOD_OVERRIDE=FQ","FILING_STATUS=OR","EQY_CONSOLIDATED=Y","FA_ADJUSTED=GAAP","Sort=A","Dates=H","DateFormat=P","Fill=—","Direction=H","UseDPDF=Y")</f>
        <v>#NAME?</v>
      </c>
      <c r="CX311" s="2" t="e">
        <f ca="1">_xll.BDH($C$303,"ACCT_RCV_DAYS","FQ3 2015","FQ3 2015","Currency=INR","Period=FQ","BEST_FPERIOD_OVERRIDE=FQ","FILING_STATUS=OR","EQY_CONSOLIDATED=Y","FA_ADJUSTED=GAAP","Sort=A","Dates=H","DateFormat=P","Fill=—","Direction=H","UseDPDF=Y")</f>
        <v>#NAME?</v>
      </c>
      <c r="CY311" s="4" t="e">
        <f ca="1">_xll.BDH($C$303,"INVENT_TURN","FQ3 2015","FQ3 2015","Currency=INR","Period=FQ","BEST_FPERIOD_OVERRIDE=FQ","FILING_STATUS=OR","EQY_CONSOLIDATED=Y","FA_ADJUSTED=GAAP","Sort=A","Dates=H","DateFormat=P","Fill=—","Direction=H","UseDPDF=Y")</f>
        <v>#NAME?</v>
      </c>
      <c r="CZ311" s="2" t="e">
        <f ca="1">_xll.BDH($C$303,"INVENT_DAYS","FQ3 2015","FQ3 2015","Currency=INR","Period=FQ","BEST_FPERIOD_OVERRIDE=FQ","FILING_STATUS=OR","EQY_CONSOLIDATED=Y","FA_ADJUSTED=GAAP","Sort=A","Dates=H","DateFormat=P","Fill=—","Direction=H","UseDPDF=Y")</f>
        <v>#NAME?</v>
      </c>
      <c r="DA311" s="4" t="e">
        <f ca="1">_xll.BDH($C$303,"ACCOUNTS_PAYABLE_TURNOVER","FQ3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311" s="2" t="e">
        <f ca="1">_xll.BDH($C$303,"ACCOUNTS_PAYABLE_TURNOVER_DAYS","FQ3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311" s="4" t="e">
        <f ca="1">_xll.BDH($C$303,"CASH_CONVERSION_CYCLE","FQ3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311" s="4" t="e">
        <f ca="1">_xll.BDH($C$303,"INV_TO_CASH_DAYS","FQ3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311" s="5" t="e">
        <f ca="1">_xll.BDH($C$303,"BS_INVENTORIES","FQ3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311" s="3" t="e">
        <f ca="1">_xll.BDH($C$303,"INVTRY_RAW_MATERIALS","FQ3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311" s="3" t="e">
        <f ca="1">_xll.BDH($C$303,"INVTRY_IN_PROGRESS","FQ3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311" s="3" t="e">
        <f ca="1">_xll.BDH($C$303,"INVTRY_FINISHED_GOODS","FQ3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311" s="3" t="e">
        <f ca="1">_xll.BDH($C$303,"BS_OTHER_INV","FQ3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312" spans="1:113" x14ac:dyDescent="0.3">
      <c r="A312" s="6"/>
      <c r="B312" s="6"/>
      <c r="C312" s="6"/>
      <c r="D312" s="6"/>
      <c r="E312" t="s">
        <v>81</v>
      </c>
      <c r="F312" t="e">
        <f ca="1">_xll.BDH($C$303,"RETURN_COM_EQY","FQ4 2015","FQ4 2015","Currency=INR","Period=FQ","BEST_FPERIOD_OVERRIDE=FQ","FILING_STATUS=OR","EQY_CONSOLIDATED=Y","FA_ADJUSTED=GAAP","Sort=A","Dates=H","DateFormat=P","Fill=—","Direction=H","UseDPDF=Y")</f>
        <v>#NAME?</v>
      </c>
      <c r="G312" t="e">
        <f ca="1">_xll.BDH($C$303,"RETURN_ON_ASSET","FQ4 2015","FQ4 2015","Currency=INR","Period=FQ","BEST_FPERIOD_OVERRIDE=FQ","FILING_STATUS=OR","EQY_CONSOLIDATED=Y","FA_ADJUSTED=GAAP","Sort=A","Dates=H","DateFormat=P","Fill=—","Direction=H","UseDPDF=Y")</f>
        <v>#NAME?</v>
      </c>
      <c r="H312" t="e">
        <f ca="1">_xll.BDH($C$303,"RETURN_ON_CAP","FQ4 2015","FQ4 2015","Currency=INR","Period=FQ","BEST_FPERIOD_OVERRIDE=FQ","FILING_STATUS=OR","EQY_CONSOLIDATED=Y","FA_ADJUSTED=GAAP","Sort=A","Dates=H","DateFormat=P","Fill=—","Direction=H","UseDPDF=Y")</f>
        <v>#NAME?</v>
      </c>
      <c r="I312" t="e">
        <f ca="1">_xll.BDH($C$303,"RETURN_ON_INV_CAPITAL","FQ4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312" t="e">
        <f ca="1">_xll.BDH($C$303,"EBITDA_TO_REVENUE","FQ4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312" t="e">
        <f ca="1">_xll.BDH($C$303,"OPER_MARGIN","FQ4 2015","FQ4 2015","Currency=INR","Period=FQ","BEST_FPERIOD_OVERRIDE=FQ","FILING_STATUS=OR","EQY_CONSOLIDATED=Y","FA_ADJUSTED=GAAP","Sort=A","Dates=H","DateFormat=P","Fill=—","Direction=H","UseDPDF=Y")</f>
        <v>#NAME?</v>
      </c>
      <c r="L312" t="e">
        <f ca="1">_xll.BDH($C$303,"INCREMENTAL_OPERATING_MARGIN","FQ4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312" t="e">
        <f ca="1">_xll.BDH($C$303,"PRETAX_INC_TO_NET_SALES","FQ4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312" t="e">
        <f ca="1">_xll.BDH($C$303,"INC_BEF_XO_ITEMS_TO_NET_SALES","FQ4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312" t="e">
        <f ca="1">_xll.BDH($C$303,"PROF_MARGIN","FQ4 2015","FQ4 2015","Currency=INR","Period=FQ","BEST_FPERIOD_OVERRIDE=FQ","FILING_STATUS=OR","EQY_CONSOLIDATED=Y","FA_ADJUSTED=GAAP","Sort=A","Dates=H","DateFormat=P","Fill=—","Direction=H","UseDPDF=Y")</f>
        <v>#NAME?</v>
      </c>
      <c r="P312" t="e">
        <f ca="1">_xll.BDH($C$303,"NET_INCOME_TO_COMMON_MARGIN","FQ4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312" t="e">
        <f ca="1">_xll.BDH($C$303,"EFF_TAX_RATE","FQ4 2015","FQ4 2015","Currency=INR","Period=FQ","BEST_FPERIOD_OVERRIDE=FQ","FILING_STATUS=OR","EQY_CONSOLIDATED=Y","FA_ADJUSTED=GAAP","Sort=A","Dates=H","DateFormat=P","Fill=—","Direction=H","UseDPDF=Y")</f>
        <v>#NAME?</v>
      </c>
      <c r="R312" t="e">
        <f ca="1">_xll.BDH($C$303,"DVD_PAYOUT_RATIO","FQ4 2015","FQ4 2015","Currency=INR","Period=FQ","BEST_FPERIOD_OVERRIDE=FQ","FILING_STATUS=OR","EQY_CONSOLIDATED=Y","FA_ADJUSTED=GAAP","Sort=A","Dates=H","DateFormat=P","Fill=—","Direction=H","UseDPDF=Y")</f>
        <v>#NAME?</v>
      </c>
      <c r="S312" t="e">
        <f ca="1">_xll.BDH($C$303,"SUSTAIN_GROWTH_RT","FQ4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312" s="2" t="e">
        <f ca="1">_xll.BDH($C$303,"SALES_GROWTH","FQ4 2015","FQ4 2015","Currency=INR","Period=FQ","BEST_FPERIOD_OVERRIDE=FQ","FILING_STATUS=OR","EQY_CONSOLIDATED=Y","FA_ADJUSTED=GAAP","Sort=A","Dates=H","DateFormat=P","Fill=—","Direction=H","UseDPDF=Y")</f>
        <v>#NAME?</v>
      </c>
      <c r="U312" s="2" t="e">
        <f ca="1">_xll.BDH($C$303,"EBITDA_GROWTH","FQ4 2015","FQ4 2015","Currency=INR","Period=FQ","BEST_FPERIOD_OVERRIDE=FQ","FILING_STATUS=OR","EQY_CONSOLIDATED=Y","FA_ADJUSTED=GAAP","Sort=A","Dates=H","DateFormat=P","Fill=—","Direction=H","UseDPDF=Y")</f>
        <v>#NAME?</v>
      </c>
      <c r="V312" s="2" t="e">
        <f ca="1">_xll.BDH($C$303,"OPER_INC_GROWTH","FQ4 2015","FQ4 2015","Currency=INR","Period=FQ","BEST_FPERIOD_OVERRIDE=FQ","FILING_STATUS=OR","EQY_CONSOLIDATED=Y","FA_ADJUSTED=GAAP","Sort=A","Dates=H","DateFormat=P","Fill=—","Direction=H","UseDPDF=Y")</f>
        <v>#NAME?</v>
      </c>
      <c r="W312" s="2" t="e">
        <f ca="1">_xll.BDH($C$303,"EARN_FOR_COM_GROWTH","FQ4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312" s="2" t="e">
        <f ca="1">_xll.BDH($C$303,"DILUTED_EPS_AFT_XO_ITEMS_GROWTH","FQ4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312" s="2" t="e">
        <f ca="1">_xll.BDH($C$303,"DIVIDEND_PER_SHARE_1_YEAR_GROWTH","FQ4 2015","FQ4 2015","Currency=INR","Period=FQ","BEST_FPERIOD_OVERRIDE=FQ","FILING_STATUS=OR","EQY_CONSOLIDATED=Y","Sort=A","Dates=H","DateFormat=P","Fill=—","Direction=H","UseDPDF=Y")</f>
        <v>#NAME?</v>
      </c>
      <c r="Z312" s="2" t="e">
        <f ca="1">_xll.BDH($C$303,"ACCOUNTS_RECEIVABLE_GROWTH","FQ4 2015","FQ4 2015","Currency=INR","Period=FQ","BEST_FPERIOD_OVERRIDE=FQ","FILING_STATUS=OR","EQY_CONSOLIDATED=Y","Sort=A","Dates=H","DateFormat=P","Fill=—","Direction=H","UseDPDF=Y")</f>
        <v>#NAME?</v>
      </c>
      <c r="AA312" s="2" t="e">
        <f ca="1">_xll.BDH($C$303,"INVENTORY_GROWTH","FQ4 2015","FQ4 2015","Currency=INR","Period=FQ","BEST_FPERIOD_OVERRIDE=FQ","FILING_STATUS=OR","EQY_CONSOLIDATED=Y","Sort=A","Dates=H","DateFormat=P","Fill=—","Direction=H","UseDPDF=Y")</f>
        <v>#NAME?</v>
      </c>
      <c r="AB312" s="2" t="e">
        <f ca="1">_xll.BDH($C$303,"NET_FIXED_ASSETS_1_YEAR_GROWTH","FQ4 2015","FQ4 2015","Currency=INR","Period=FQ","BEST_FPERIOD_OVERRIDE=FQ","FILING_STATUS=OR","EQY_CONSOLIDATED=Y","Sort=A","Dates=H","DateFormat=P","Fill=—","Direction=H","UseDPDF=Y")</f>
        <v>#NAME?</v>
      </c>
      <c r="AC312" s="2" t="e">
        <f ca="1">_xll.BDH($C$303,"ASSET_GROWTH","FQ4 2015","FQ4 2015","Currency=INR","Period=FQ","BEST_FPERIOD_OVERRIDE=FQ","FILING_STATUS=OR","EQY_CONSOLIDATED=Y","Sort=A","Dates=H","DateFormat=P","Fill=—","Direction=H","UseDPDF=Y")</f>
        <v>#NAME?</v>
      </c>
      <c r="AD312" s="2" t="e">
        <f ca="1">_xll.BDH($C$303,"MODIFIED_WORK_CAP_GROWTH","FQ4 2015","FQ4 2015","Currency=INR","Period=FQ","BEST_FPERIOD_OVERRIDE=FQ","FILING_STATUS=OR","EQY_CONSOLIDATED=Y","Sort=A","Dates=H","DateFormat=P","Fill=—","Direction=H","UseDPDF=Y")</f>
        <v>#NAME?</v>
      </c>
      <c r="AE312" s="2" t="e">
        <f ca="1">_xll.BDH($C$303,"WORK_CAP_GROWTH","FQ4 2015","FQ4 2015","Currency=INR","Period=FQ","BEST_FPERIOD_OVERRIDE=FQ","FILING_STATUS=OR","EQY_CONSOLIDATED=Y","Sort=A","Dates=H","DateFormat=P","Fill=—","Direction=H","UseDPDF=Y")</f>
        <v>#NAME?</v>
      </c>
      <c r="AF312" s="2" t="e">
        <f ca="1">_xll.BDH($C$303,"ACCOUNTS_PAYABLE_GROWTH_1YR","FQ4 2015","FQ4 2015","Currency=INR","Period=FQ","BEST_FPERIOD_OVERRIDE=FQ","FILING_STATUS=OR","EQY_CONSOLIDATED=Y","Sort=A","Dates=H","DateFormat=P","Fill=—","Direction=H","UseDPDF=Y")</f>
        <v>#NAME?</v>
      </c>
      <c r="AG312" s="2" t="e">
        <f ca="1">_xll.BDH($C$303,"SHORT_TERM_DEBT_1_YEAR_GROWTH","FQ4 2015","FQ4 2015","Currency=INR","Period=FQ","BEST_FPERIOD_OVERRIDE=FQ","FILING_STATUS=OR","EQY_CONSOLIDATED=Y","Sort=A","Dates=H","DateFormat=P","Fill=—","Direction=H","UseDPDF=Y")</f>
        <v>#NAME?</v>
      </c>
      <c r="AH312" s="2" t="e">
        <f ca="1">_xll.BDH($C$303,"TOTAL_DEBT_1_YEAR_GROWTH","FQ4 2015","FQ4 2015","Currency=INR","Period=FQ","BEST_FPERIOD_OVERRIDE=FQ","FILING_STATUS=OR","EQY_CONSOLIDATED=Y","Sort=A","Dates=H","DateFormat=P","Fill=—","Direction=H","UseDPDF=Y")</f>
        <v>#NAME?</v>
      </c>
      <c r="AI312" s="2" t="e">
        <f ca="1">_xll.BDH($C$303,"TOTAL_EQUITY_1_YEAR_GROWTH","FQ4 2015","FQ4 2015","Currency=INR","Period=FQ","BEST_FPERIOD_OVERRIDE=FQ","FILING_STATUS=OR","EQY_CONSOLIDATED=Y","Sort=A","Dates=H","DateFormat=P","Fill=—","Direction=H","UseDPDF=Y")</f>
        <v>#NAME?</v>
      </c>
      <c r="AJ312" s="2" t="e">
        <f ca="1">_xll.BDH($C$303,"GROWTH_IN_CAP","FQ4 2015","FQ4 2015","Currency=INR","Period=FQ","BEST_FPERIOD_OVERRIDE=FQ","FILING_STATUS=OR","EQY_CONSOLIDATED=Y","Sort=A","Dates=H","DateFormat=P","Fill=—","Direction=H","UseDPDF=Y")</f>
        <v>#NAME?</v>
      </c>
      <c r="AK312" s="2" t="e">
        <f ca="1">_xll.BDH($C$303,"BVPS_GROWTH","FQ4 2015","FQ4 2015","Currency=INR","Period=FQ","BEST_FPERIOD_OVERRIDE=FQ","FILING_STATUS=OR","EQY_CONSOLIDATED=Y","Sort=A","Dates=H","DateFormat=P","Fill=—","Direction=H","UseDPDF=Y")</f>
        <v>#NAME?</v>
      </c>
      <c r="AL312" s="2" t="e">
        <f ca="1">_xll.BDH($C$303,"CASH_FLOW_GROWTH","FQ4 2015","FQ4 2015","Currency=INR","Period=FQ","BEST_FPERIOD_OVERRIDE=FQ","FILING_STATUS=OR","EQY_CONSOLIDATED=Y","Sort=A","Dates=H","DateFormat=P","Fill=—","Direction=H","UseDPDF=Y")</f>
        <v>#NAME?</v>
      </c>
      <c r="AM312" s="2" t="e">
        <f ca="1">_xll.BDH($C$303,"GEO_GROW_NET_SALES","FQ4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312" s="2" t="e">
        <f ca="1">_xll.BDH($C$303,"GEO_GROW_EBITDA","FQ4 2015","FQ4 2015","Currency=INR","Period=FQ","BEST_FPERIOD_OVERRIDE=FQ","FILING_STATUS=OR","EQY_CONSOLIDATED=Y","FA_ADJUSTED=GAAP","Sort=A","Dates=H","DateFormat=P","Fill=—","Direction=H","UseDPDF=Y")</f>
        <v>#NAME?</v>
      </c>
      <c r="AO312" s="2" t="e">
        <f ca="1">_xll.BDH($C$303,"GEO_GROW_OPER_INC","FQ4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312" s="2" t="e">
        <f ca="1">_xll.BDH($C$303,"NET_INCOME_TO_COMMON_5_YR_GROWTH","FQ4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312" s="2" t="e">
        <f ca="1">_xll.BDH($C$303,"5Y_GEO_GROWTH_DILUTED_EPS","FQ4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312" s="2" t="e">
        <f ca="1">_xll.BDH($C$303,"GEO_GROW_DVD_PER_SH","FQ4 2015","FQ4 2015","Currency=INR","Period=FQ","BEST_FPERIOD_OVERRIDE=FQ","FILING_STATUS=OR","EQY_CONSOLIDATED=Y","Sort=A","Dates=H","DateFormat=P","Fill=—","Direction=H","UseDPDF=Y")</f>
        <v>#NAME?</v>
      </c>
      <c r="AS312" s="2" t="e">
        <f ca="1">_xll.BDH($C$303,"ACCOUNTS_RECEIVABLE_5_YR_GROWTH","FQ4 2015","FQ4 2015","Currency=INR","Period=FQ","BEST_FPERIOD_OVERRIDE=FQ","FILING_STATUS=OR","EQY_CONSOLIDATED=Y","Sort=A","Dates=H","DateFormat=P","Fill=—","Direction=H","UseDPDF=Y")</f>
        <v>#NAME?</v>
      </c>
      <c r="AT312" s="2" t="e">
        <f ca="1">_xll.BDH($C$303,"INVENTORY_5_YEAR_GROWTH","FQ4 2015","FQ4 2015","Currency=INR","Period=FQ","BEST_FPERIOD_OVERRIDE=FQ","FILING_STATUS=OR","EQY_CONSOLIDATED=Y","Sort=A","Dates=H","DateFormat=P","Fill=—","Direction=H","UseDPDF=Y")</f>
        <v>#NAME?</v>
      </c>
      <c r="AU312" s="2" t="e">
        <f ca="1">_xll.BDH($C$303,"NET_FIXED_ASSETS_5_YEAR_GROWTH","FQ4 2015","FQ4 2015","Currency=INR","Period=FQ","BEST_FPERIOD_OVERRIDE=FQ","FILING_STATUS=OR","EQY_CONSOLIDATED=Y","Sort=A","Dates=H","DateFormat=P","Fill=—","Direction=H","UseDPDF=Y")</f>
        <v>#NAME?</v>
      </c>
      <c r="AV312" s="2" t="e">
        <f ca="1">_xll.BDH($C$303,"GEO_GROW_TOT_ASSET","FQ4 2015","FQ4 2015","Currency=INR","Period=FQ","BEST_FPERIOD_OVERRIDE=FQ","FILING_STATUS=OR","EQY_CONSOLIDATED=Y","Sort=A","Dates=H","DateFormat=P","Fill=—","Direction=H","UseDPDF=Y")</f>
        <v>#NAME?</v>
      </c>
      <c r="AW312" s="2" t="e">
        <f ca="1">_xll.BDH($C$303,"MODIFIED_WORKING_CPTL_5YR_GRWTH","FQ4 2015","FQ4 2015","Currency=INR","Period=FQ","BEST_FPERIOD_OVERRIDE=FQ","FILING_STATUS=OR","EQY_CONSOLIDATED=Y","Sort=A","Dates=H","DateFormat=P","Fill=—","Direction=H","UseDPDF=Y")</f>
        <v>#NAME?</v>
      </c>
      <c r="AX312" s="2" t="e">
        <f ca="1">_xll.BDH($C$303,"WORKING_CAPITAL_5_YEAR_GROWTH","FQ4 2015","FQ4 2015","Currency=INR","Period=FQ","BEST_FPERIOD_OVERRIDE=FQ","FILING_STATUS=OR","EQY_CONSOLIDATED=Y","Sort=A","Dates=H","DateFormat=P","Fill=—","Direction=H","UseDPDF=Y")</f>
        <v>#NAME?</v>
      </c>
      <c r="AY312" s="2" t="e">
        <f ca="1">_xll.BDH($C$303,"ACCOUNTS_PAYABLE_5_YEAR_GROWTH","FQ4 2015","FQ4 2015","Currency=INR","Period=FQ","BEST_FPERIOD_OVERRIDE=FQ","FILING_STATUS=OR","EQY_CONSOLIDATED=Y","Sort=A","Dates=H","DateFormat=P","Fill=—","Direction=H","UseDPDF=Y")</f>
        <v>#NAME?</v>
      </c>
      <c r="AZ312" s="2" t="e">
        <f ca="1">_xll.BDH($C$303,"SHORT_TERM_DEBT_5_YEAR_GROWTH","FQ4 2015","FQ4 2015","Currency=INR","Period=FQ","BEST_FPERIOD_OVERRIDE=FQ","FILING_STATUS=OR","EQY_CONSOLIDATED=Y","Sort=A","Dates=H","DateFormat=P","Fill=—","Direction=H","UseDPDF=Y")</f>
        <v>#NAME?</v>
      </c>
      <c r="BA312" s="2" t="e">
        <f ca="1">_xll.BDH($C$303,"TOTAL_DEBT_5_YEAR_GROWTH","FQ4 2015","FQ4 2015","Currency=INR","Period=FQ","BEST_FPERIOD_OVERRIDE=FQ","FILING_STATUS=OR","EQY_CONSOLIDATED=Y","Sort=A","Dates=H","DateFormat=P","Fill=—","Direction=H","UseDPDF=Y")</f>
        <v>#NAME?</v>
      </c>
      <c r="BB312" s="2" t="e">
        <f ca="1">_xll.BDH($C$303,"GEO_GROW_TOT_SHRHLDR_EQY","FQ4 2015","FQ4 2015","Currency=INR","Period=FQ","BEST_FPERIOD_OVERRIDE=FQ","FILING_STATUS=OR","EQY_CONSOLIDATED=Y","Sort=A","Dates=H","DateFormat=P","Fill=—","Direction=H","UseDPDF=Y")</f>
        <v>#NAME?</v>
      </c>
      <c r="BC312" s="2" t="e">
        <f ca="1">_xll.BDH($C$303,"TOTAL_CAPITAL_5_YEAR_GROWTH","FQ4 2015","FQ4 2015","Currency=INR","Period=FQ","BEST_FPERIOD_OVERRIDE=FQ","FILING_STATUS=OR","EQY_CONSOLIDATED=Y","Sort=A","Dates=H","DateFormat=P","Fill=—","Direction=H","UseDPDF=Y")</f>
        <v>#NAME?</v>
      </c>
      <c r="BD312" s="2" t="e">
        <f ca="1">_xll.BDH($C$303,"GEO_GROW_BOOK_VAL","FQ4 2015","FQ4 2015","Currency=INR","Period=FQ","BEST_FPERIOD_OVERRIDE=FQ","FILING_STATUS=OR","EQY_CONSOLIDATED=Y","Sort=A","Dates=H","DateFormat=P","Fill=—","Direction=H","UseDPDF=Y")</f>
        <v>#NAME?</v>
      </c>
      <c r="BE312" s="2" t="e">
        <f ca="1">_xll.BDH($C$303,"GEO_GROW_CASH_OPER_ACT","FQ4 2015","FQ4 2015","Currency=INR","Period=FQ","BEST_FPERIOD_OVERRIDE=FQ","FILING_STATUS=OR","EQY_CONSOLIDATED=Y","Sort=A","Dates=H","DateFormat=P","Fill=—","Direction=H","UseDPDF=Y")</f>
        <v>#NAME?</v>
      </c>
      <c r="BF312" s="2" t="e">
        <f ca="1">_xll.BDH($C$303,"REVENUE_SEQUENTIAL_GROWTH","FQ4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312" s="2" t="e">
        <f ca="1">_xll.BDH($C$303,"EBITDA_SEQUENTIAL_GROWTH","FQ4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312" s="2" t="e">
        <f ca="1">_xll.BDH($C$303,"OPERATING_INCOME_SEQ_GROWTH","FQ4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312" s="2" t="e">
        <f ca="1">_xll.BDH($C$303,"NET_INCOME_TO_COMMON_SEQ_GROWTH","FQ4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312" s="2" t="e">
        <f ca="1">_xll.BDH($C$303,"EPS_DILUTED_SEQUENTIAL_GROWTH","FQ4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312" s="2" t="e">
        <f ca="1">_xll.BDH($C$303,"DPS_SEQUENTIAL_GROWTH","FQ4 2015","FQ4 2015","Currency=INR","Period=FQ","BEST_FPERIOD_OVERRIDE=FQ","FILING_STATUS=OR","EQY_CONSOLIDATED=Y","Sort=A","Dates=H","DateFormat=P","Fill=—","Direction=H","UseDPDF=Y")</f>
        <v>#NAME?</v>
      </c>
      <c r="BL312" s="2" t="e">
        <f ca="1">_xll.BDH($C$303,"ACCOUNTS_RECEIVABLE_SEQ_GROWTH","FQ4 2015","FQ4 2015","Currency=INR","Period=FQ","BEST_FPERIOD_OVERRIDE=FQ","FILING_STATUS=OR","EQY_CONSOLIDATED=Y","Sort=A","Dates=H","DateFormat=P","Fill=—","Direction=H","UseDPDF=Y")</f>
        <v>#NAME?</v>
      </c>
      <c r="BM312" s="2" t="e">
        <f ca="1">_xll.BDH($C$303,"INVENTORY_SEQUENTIAL_GROWTH","FQ4 2015","FQ4 2015","Currency=INR","Period=FQ","BEST_FPERIOD_OVERRIDE=FQ","FILING_STATUS=OR","EQY_CONSOLIDATED=Y","Sort=A","Dates=H","DateFormat=P","Fill=—","Direction=H","UseDPDF=Y")</f>
        <v>#NAME?</v>
      </c>
      <c r="BN312" s="2" t="e">
        <f ca="1">_xll.BDH($C$303,"FIXED_ASSETS_SEQUENTIAL_GROWTH","FQ4 2015","FQ4 2015","Currency=INR","Period=FQ","BEST_FPERIOD_OVERRIDE=FQ","FILING_STATUS=OR","EQY_CONSOLIDATED=Y","Sort=A","Dates=H","DateFormat=P","Fill=—","Direction=H","UseDPDF=Y")</f>
        <v>#NAME?</v>
      </c>
      <c r="BO312" s="2" t="e">
        <f ca="1">_xll.BDH($C$303,"TOTAL_ASSETS_SEQUENTIAL_GROWTH","FQ4 2015","FQ4 2015","Currency=INR","Period=FQ","BEST_FPERIOD_OVERRIDE=FQ","FILING_STATUS=OR","EQY_CONSOLIDATED=Y","Sort=A","Dates=H","DateFormat=P","Fill=—","Direction=H","UseDPDF=Y")</f>
        <v>#NAME?</v>
      </c>
      <c r="BP312" s="2" t="e">
        <f ca="1">_xll.BDH($C$303,"MODIFIED_WORKING_CPTL_SEQ_GRWTH","FQ4 2015","FQ4 2015","Currency=INR","Period=FQ","BEST_FPERIOD_OVERRIDE=FQ","FILING_STATUS=OR","EQY_CONSOLIDATED=Y","Sort=A","Dates=H","DateFormat=P","Fill=—","Direction=H","UseDPDF=Y")</f>
        <v>#NAME?</v>
      </c>
      <c r="BQ312" s="2" t="e">
        <f ca="1">_xll.BDH($C$303,"WORKING_CAPITAL_SEQ_GROWTH","FQ4 2015","FQ4 2015","Currency=INR","Period=FQ","BEST_FPERIOD_OVERRIDE=FQ","FILING_STATUS=OR","EQY_CONSOLIDATED=Y","Sort=A","Dates=H","DateFormat=P","Fill=—","Direction=H","UseDPDF=Y")</f>
        <v>#NAME?</v>
      </c>
      <c r="BR312" s="2" t="e">
        <f ca="1">_xll.BDH($C$303,"ACCOUNTS_PAYABLE_SEQ_GROWTH","FQ4 2015","FQ4 2015","Currency=INR","Period=FQ","BEST_FPERIOD_OVERRIDE=FQ","FILING_STATUS=OR","EQY_CONSOLIDATED=Y","Sort=A","Dates=H","DateFormat=P","Fill=—","Direction=H","UseDPDF=Y")</f>
        <v>#NAME?</v>
      </c>
      <c r="BS312" s="2" t="e">
        <f ca="1">_xll.BDH($C$303,"ST_DEBT_SEQUENTIAL_GROWTH","FQ4 2015","FQ4 2015","Currency=INR","Period=FQ","BEST_FPERIOD_OVERRIDE=FQ","FILING_STATUS=OR","EQY_CONSOLIDATED=Y","Sort=A","Dates=H","DateFormat=P","Fill=—","Direction=H","UseDPDF=Y")</f>
        <v>#NAME?</v>
      </c>
      <c r="BT312" s="2" t="e">
        <f ca="1">_xll.BDH($C$303,"TOTAL_DEBT_SEQUENTIAL_GROWTH","FQ4 2015","FQ4 2015","Currency=INR","Period=FQ","BEST_FPERIOD_OVERRIDE=FQ","FILING_STATUS=OR","EQY_CONSOLIDATED=Y","Sort=A","Dates=H","DateFormat=P","Fill=—","Direction=H","UseDPDF=Y")</f>
        <v>#NAME?</v>
      </c>
      <c r="BU312" s="2" t="e">
        <f ca="1">_xll.BDH($C$303,"TOTAL_EQUITY_SEQUENTIAL_GROWTH","FQ4 2015","FQ4 2015","Currency=INR","Period=FQ","BEST_FPERIOD_OVERRIDE=FQ","FILING_STATUS=OR","EQY_CONSOLIDATED=Y","Sort=A","Dates=H","DateFormat=P","Fill=—","Direction=H","UseDPDF=Y")</f>
        <v>#NAME?</v>
      </c>
      <c r="BV312" s="2" t="e">
        <f ca="1">_xll.BDH($C$303,"TOTAL_CAPITAL_SEQUENTIAL_GROWTH","FQ4 2015","FQ4 2015","Currency=INR","Period=FQ","BEST_FPERIOD_OVERRIDE=FQ","FILING_STATUS=OR","EQY_CONSOLIDATED=Y","Sort=A","Dates=H","DateFormat=P","Fill=—","Direction=H","UseDPDF=Y")</f>
        <v>#NAME?</v>
      </c>
      <c r="BW312" s="2" t="e">
        <f ca="1">_xll.BDH($C$303,"BPS_SEQUENTIAL_GROWTH","FQ4 2015","FQ4 2015","Currency=INR","Period=FQ","BEST_FPERIOD_OVERRIDE=FQ","FILING_STATUS=OR","EQY_CONSOLIDATED=Y","Sort=A","Dates=H","DateFormat=P","Fill=—","Direction=H","UseDPDF=Y")</f>
        <v>#NAME?</v>
      </c>
      <c r="BX312" s="2" t="e">
        <f ca="1">_xll.BDH($C$303,"CFO_SEQUENTIAL_GROWTH","FQ4 2015","FQ4 2015","Currency=INR","Period=FQ","BEST_FPERIOD_OVERRIDE=FQ","FILING_STATUS=OR","EQY_CONSOLIDATED=Y","Sort=A","Dates=H","DateFormat=P","Fill=—","Direction=H","UseDPDF=Y")</f>
        <v>#NAME?</v>
      </c>
      <c r="BY312" s="3" t="e">
        <f ca="1">_xll.BDH($C$303,"SHORT_AND_LONG_TERM_DEBT","FQ4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312" s="3" t="e">
        <f ca="1">_xll.BDH($C$303,"BS_ST_BORROW","FQ4 2015","FQ4 2015","Currency=INR","Period=FQ","BEST_FPERIOD_OVERRIDE=FQ","FILING_STATUS=OR","EQY_CONSOLIDATED=Y","SCALING_FORMAT=MLN","Sort=A","Dates=H","DateFormat=P","Fill=—","Direction=H","UseDPDF=Y")</f>
        <v>#NAME?</v>
      </c>
      <c r="CA312" s="3" t="e">
        <f ca="1">_xll.BDH($C$303,"BS_LT_BORROW","FQ4 2015","FQ4 2015","Currency=INR","Period=FQ","BEST_FPERIOD_OVERRIDE=FQ","FILING_STATUS=OR","EQY_CONSOLIDATED=Y","SCALING_FORMAT=MLN","Sort=A","Dates=H","DateFormat=P","Fill=—","Direction=H","UseDPDF=Y")</f>
        <v>#NAME?</v>
      </c>
      <c r="CB312" s="2" t="e">
        <f ca="1">_xll.BDH($C$303,"TOT_DEBT_TO_EBITDA","FQ4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312" s="2" t="e">
        <f ca="1">_xll.BDH($C$303,"NET_DEBT_TO_EBITDA","FQ4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312" s="2" t="e">
        <f ca="1">_xll.BDH($C$303,"TOTAL_DEBT_TO_EBIT","FQ4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312" s="2" t="e">
        <f ca="1">_xll.BDH($C$303,"NET_DEBT_TO_EBIT","FQ4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312" s="2" t="e">
        <f ca="1">_xll.BDH($C$303,"EBITDA_TO_INTEREST_EXPN","FQ4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312" s="2" t="e">
        <f ca="1">_xll.BDH($C$303,"COM_EQY_TO_TOT_ASSET","FQ4 2015","FQ4 2015","Currency=INR","Period=FQ","BEST_FPERIOD_OVERRIDE=FQ","FILING_STATUS=OR","EQY_CONSOLIDATED=Y","Sort=A","Dates=H","DateFormat=P","Fill=—","Direction=H","UseDPDF=Y")</f>
        <v>#NAME?</v>
      </c>
      <c r="CH312" s="2" t="e">
        <f ca="1">_xll.BDH($C$303,"LT_DEBT_TO_TOT_EQY","FQ4 2015","FQ4 2015","Currency=INR","Period=FQ","BEST_FPERIOD_OVERRIDE=FQ","FILING_STATUS=OR","EQY_CONSOLIDATED=Y","Sort=A","Dates=H","DateFormat=P","Fill=—","Direction=H","UseDPDF=Y")</f>
        <v>#NAME?</v>
      </c>
      <c r="CI312" s="2" t="e">
        <f ca="1">_xll.BDH($C$303,"LT_DEBT_TO_TOT_CAP","FQ4 2015","FQ4 2015","Currency=INR","Period=FQ","BEST_FPERIOD_OVERRIDE=FQ","FILING_STATUS=OR","EQY_CONSOLIDATED=Y","Sort=A","Dates=H","DateFormat=P","Fill=—","Direction=H","UseDPDF=Y")</f>
        <v>#NAME?</v>
      </c>
      <c r="CJ312" s="2" t="e">
        <f ca="1">_xll.BDH($C$303,"LT_DEBT_TO_TOT_ASSET","FQ4 2015","FQ4 2015","Currency=INR","Period=FQ","BEST_FPERIOD_OVERRIDE=FQ","FILING_STATUS=OR","EQY_CONSOLIDATED=Y","Sort=A","Dates=H","DateFormat=P","Fill=—","Direction=H","UseDPDF=Y")</f>
        <v>#NAME?</v>
      </c>
      <c r="CK312" s="2" t="e">
        <f ca="1">_xll.BDH($C$303,"TOT_DEBT_TO_TOT_EQY","FQ4 2015","FQ4 2015","Currency=INR","Period=FQ","BEST_FPERIOD_OVERRIDE=FQ","FILING_STATUS=OR","EQY_CONSOLIDATED=Y","Sort=A","Dates=H","DateFormat=P","Fill=—","Direction=H","UseDPDF=Y")</f>
        <v>#NAME?</v>
      </c>
      <c r="CL312" s="2" t="e">
        <f ca="1">_xll.BDH($C$303,"TOT_DEBT_TO_TOT_CAP","FQ4 2015","FQ4 2015","Currency=INR","Period=FQ","BEST_FPERIOD_OVERRIDE=FQ","FILING_STATUS=OR","EQY_CONSOLIDATED=Y","Sort=A","Dates=H","DateFormat=P","Fill=—","Direction=H","UseDPDF=Y")</f>
        <v>#NAME?</v>
      </c>
      <c r="CM312" s="2" t="e">
        <f ca="1">_xll.BDH($C$303,"TOT_DEBT_TO_TOT_ASSET","FQ4 2015","FQ4 2015","Currency=INR","Period=FQ","BEST_FPERIOD_OVERRIDE=FQ","FILING_STATUS=OR","EQY_CONSOLIDATED=Y","Sort=A","Dates=H","DateFormat=P","Fill=—","Direction=H","UseDPDF=Y")</f>
        <v>#NAME?</v>
      </c>
      <c r="CN312" s="2" t="e">
        <f ca="1">_xll.BDH($C$303,"NET_DEBT_TO_SHRHLDR_EQTY","FQ4 2015","FQ4 2015","Currency=INR","Period=FQ","BEST_FPERIOD_OVERRIDE=FQ","FILING_STATUS=OR","EQY_CONSOLIDATED=Y","Sort=A","Dates=H","DateFormat=P","Fill=—","Direction=H","UseDPDF=Y")</f>
        <v>#NAME?</v>
      </c>
      <c r="CO312" s="2" t="e">
        <f ca="1">_xll.BDH($C$303,"NET_DEBT_%_CAPITAL","FQ4 2015","FQ4 2015","Currency=INR","Period=FQ","BEST_FPERIOD_OVERRIDE=FQ","FILING_STATUS=OR","EQY_CONSOLIDATED=Y","Sort=A","Dates=H","DateFormat=P","Fill=—","Direction=H","UseDPDF=Y")</f>
        <v>#NAME?</v>
      </c>
      <c r="CP312" s="3" t="e">
        <f ca="1">_xll.BDH($C$303,"EBITDA","FQ4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312" s="3" t="e">
        <f ca="1">_xll.BDH($C$303,"EBITDA_AFTER_CAPEX","FQ4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312" s="3" t="e">
        <f ca="1">_xll.BDH($C$303,"IS_OPER_INC","FQ4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312" s="2" t="e">
        <f ca="1">_xll.BDH($C$303,"CASH_RATIO","FQ4 2015","FQ4 2015","Currency=INR","Period=FQ","BEST_FPERIOD_OVERRIDE=FQ","FILING_STATUS=OR","EQY_CONSOLIDATED=Y","Sort=A","Dates=H","DateFormat=P","Fill=—","Direction=H","UseDPDF=Y")</f>
        <v>#NAME?</v>
      </c>
      <c r="CT312" s="2" t="e">
        <f ca="1">_xll.BDH($C$303,"CUR_RATIO","FQ4 2015","FQ4 2015","Currency=INR","Period=FQ","BEST_FPERIOD_OVERRIDE=FQ","FILING_STATUS=OR","EQY_CONSOLIDATED=Y","Sort=A","Dates=H","DateFormat=P","Fill=—","Direction=H","UseDPDF=Y")</f>
        <v>#NAME?</v>
      </c>
      <c r="CU312" s="2" t="e">
        <f ca="1">_xll.BDH($C$303,"QUICK_RATIO","FQ4 2015","FQ4 2015","Currency=INR","Period=FQ","BEST_FPERIOD_OVERRIDE=FQ","FILING_STATUS=OR","EQY_CONSOLIDATED=Y","Sort=A","Dates=H","DateFormat=P","Fill=—","Direction=H","UseDPDF=Y")</f>
        <v>#NAME?</v>
      </c>
      <c r="CV312" s="2" t="e">
        <f ca="1">_xll.BDH($C$303,"ALTMAN_Z_SCORE","FQ4 2015","FQ4 2015","Currency=INR","Period=FQ","BEST_FPERIOD_OVERRIDE=FQ","FILING_STATUS=OR","EQY_CONSOLIDATED=Y","Sort=A","Dates=H","DateFormat=P","Fill=—","Direction=H","UseDPDF=Y")</f>
        <v>#NAME?</v>
      </c>
      <c r="CW312" s="4" t="e">
        <f ca="1">_xll.BDH($C$303,"ACCT_RCV_TURN","FQ4 2015","FQ4 2015","Currency=INR","Period=FQ","BEST_FPERIOD_OVERRIDE=FQ","FILING_STATUS=OR","EQY_CONSOLIDATED=Y","FA_ADJUSTED=GAAP","Sort=A","Dates=H","DateFormat=P","Fill=—","Direction=H","UseDPDF=Y")</f>
        <v>#NAME?</v>
      </c>
      <c r="CX312" s="2" t="e">
        <f ca="1">_xll.BDH($C$303,"ACCT_RCV_DAYS","FQ4 2015","FQ4 2015","Currency=INR","Period=FQ","BEST_FPERIOD_OVERRIDE=FQ","FILING_STATUS=OR","EQY_CONSOLIDATED=Y","FA_ADJUSTED=GAAP","Sort=A","Dates=H","DateFormat=P","Fill=—","Direction=H","UseDPDF=Y")</f>
        <v>#NAME?</v>
      </c>
      <c r="CY312" s="4" t="e">
        <f ca="1">_xll.BDH($C$303,"INVENT_TURN","FQ4 2015","FQ4 2015","Currency=INR","Period=FQ","BEST_FPERIOD_OVERRIDE=FQ","FILING_STATUS=OR","EQY_CONSOLIDATED=Y","FA_ADJUSTED=GAAP","Sort=A","Dates=H","DateFormat=P","Fill=—","Direction=H","UseDPDF=Y")</f>
        <v>#NAME?</v>
      </c>
      <c r="CZ312" s="2" t="e">
        <f ca="1">_xll.BDH($C$303,"INVENT_DAYS","FQ4 2015","FQ4 2015","Currency=INR","Period=FQ","BEST_FPERIOD_OVERRIDE=FQ","FILING_STATUS=OR","EQY_CONSOLIDATED=Y","FA_ADJUSTED=GAAP","Sort=A","Dates=H","DateFormat=P","Fill=—","Direction=H","UseDPDF=Y")</f>
        <v>#NAME?</v>
      </c>
      <c r="DA312" s="4" t="e">
        <f ca="1">_xll.BDH($C$303,"ACCOUNTS_PAYABLE_TURNOVER","FQ4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312" s="2" t="e">
        <f ca="1">_xll.BDH($C$303,"ACCOUNTS_PAYABLE_TURNOVER_DAYS","FQ4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312" s="4" t="e">
        <f ca="1">_xll.BDH($C$303,"CASH_CONVERSION_CYCLE","FQ4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312" s="4" t="e">
        <f ca="1">_xll.BDH($C$303,"INV_TO_CASH_DAYS","FQ4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312" s="5" t="e">
        <f ca="1">_xll.BDH($C$303,"BS_INVENTORIES","FQ4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312" s="3" t="e">
        <f ca="1">_xll.BDH($C$303,"INVTRY_RAW_MATERIALS","FQ4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312" s="3" t="e">
        <f ca="1">_xll.BDH($C$303,"INVTRY_IN_PROGRESS","FQ4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312" s="3" t="e">
        <f ca="1">_xll.BDH($C$303,"INVTRY_FINISHED_GOODS","FQ4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312" s="3" t="e">
        <f ca="1">_xll.BDH($C$303,"BS_OTHER_INV","FQ4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313" spans="1:113" x14ac:dyDescent="0.3">
      <c r="A313" s="6"/>
      <c r="B313" s="6"/>
      <c r="C313" s="6"/>
      <c r="D313" s="6" t="s">
        <v>83</v>
      </c>
      <c r="E313" t="s">
        <v>77</v>
      </c>
      <c r="F313" t="e">
        <f ca="1">_xll.BDH($C$303,"RETURN_COM_EQY","FY 2016","FY 2016","Currency=INR","Period=FY","BEST_FPERIOD_OVERRIDE=FY","FILING_STATUS=OR","EQY_CONSOLIDATED=Y","FA_ADJUSTED=GAAP","Sort=A","Dates=H","DateFormat=P","Fill=—","Direction=H","UseDPDF=Y")</f>
        <v>#NAME?</v>
      </c>
      <c r="G313" t="e">
        <f ca="1">_xll.BDH($C$303,"RETURN_ON_ASSET","FY 2016","FY 2016","Currency=INR","Period=FY","BEST_FPERIOD_OVERRIDE=FY","FILING_STATUS=OR","EQY_CONSOLIDATED=Y","FA_ADJUSTED=GAAP","Sort=A","Dates=H","DateFormat=P","Fill=—","Direction=H","UseDPDF=Y")</f>
        <v>#NAME?</v>
      </c>
      <c r="H313" t="e">
        <f ca="1">_xll.BDH($C$303,"RETURN_ON_CAP","FY 2016","FY 2016","Currency=INR","Period=FY","BEST_FPERIOD_OVERRIDE=FY","FILING_STATUS=OR","EQY_CONSOLIDATED=Y","FA_ADJUSTED=GAAP","Sort=A","Dates=H","DateFormat=P","Fill=—","Direction=H","UseDPDF=Y")</f>
        <v>#NAME?</v>
      </c>
      <c r="I313" t="e">
        <f ca="1">_xll.BDH($C$303,"RETURN_ON_INV_CAPITAL","FY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313" t="e">
        <f ca="1">_xll.BDH($C$303,"EBITDA_TO_REVENUE","FY 2016","FY 2016","Currency=INR","Period=FY","BEST_FPERIOD_OVERRIDE=FY","FILING_STATUS=OR","EQY_CONSOLIDATED=Y","FA_ADJUSTED=GAAP","Sort=A","Dates=H","DateFormat=P","Fill=—","Direction=H","UseDPDF=Y")</f>
        <v>#NAME?</v>
      </c>
      <c r="K313" t="e">
        <f ca="1">_xll.BDH($C$303,"OPER_MARGIN","FY 2016","FY 2016","Currency=INR","Period=FY","BEST_FPERIOD_OVERRIDE=FY","FILING_STATUS=OR","EQY_CONSOLIDATED=Y","FA_ADJUSTED=GAAP","Sort=A","Dates=H","DateFormat=P","Fill=—","Direction=H","UseDPDF=Y")</f>
        <v>#NAME?</v>
      </c>
      <c r="L313" t="e">
        <f ca="1">_xll.BDH($C$303,"INCREMENTAL_OPERATING_MARGIN","FY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313" t="e">
        <f ca="1">_xll.BDH($C$303,"PRETAX_INC_TO_NET_SALES","FY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313" t="e">
        <f ca="1">_xll.BDH($C$303,"INC_BEF_XO_ITEMS_TO_NET_SALES","FY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313" t="e">
        <f ca="1">_xll.BDH($C$303,"PROF_MARGIN","FY 2016","FY 2016","Currency=INR","Period=FY","BEST_FPERIOD_OVERRIDE=FY","FILING_STATUS=OR","EQY_CONSOLIDATED=Y","FA_ADJUSTED=GAAP","Sort=A","Dates=H","DateFormat=P","Fill=—","Direction=H","UseDPDF=Y")</f>
        <v>#NAME?</v>
      </c>
      <c r="P313" t="e">
        <f ca="1">_xll.BDH($C$303,"NET_INCOME_TO_COMMON_MARGIN","FY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313" t="e">
        <f ca="1">_xll.BDH($C$303,"EFF_TAX_RATE","FY 2016","FY 2016","Currency=INR","Period=FY","BEST_FPERIOD_OVERRIDE=FY","FILING_STATUS=OR","EQY_CONSOLIDATED=Y","FA_ADJUSTED=GAAP","Sort=A","Dates=H","DateFormat=P","Fill=—","Direction=H","UseDPDF=Y")</f>
        <v>#NAME?</v>
      </c>
      <c r="R313" t="e">
        <f ca="1">_xll.BDH($C$303,"DVD_PAYOUT_RATIO","FY 2016","FY 2016","Currency=INR","Period=FY","BEST_FPERIOD_OVERRIDE=FY","FILING_STATUS=OR","EQY_CONSOLIDATED=Y","FA_ADJUSTED=GAAP","Sort=A","Dates=H","DateFormat=P","Fill=—","Direction=H","UseDPDF=Y")</f>
        <v>#NAME?</v>
      </c>
      <c r="S313" t="e">
        <f ca="1">_xll.BDH($C$303,"SUSTAIN_GROWTH_RT","FY 2016","FY 2016","Currency=INR","Period=FY","BEST_FPERIOD_OVERRIDE=FY","FILING_STATUS=OR","EQY_CONSOLIDATED=Y","FA_ADJUSTED=GAAP","Sort=A","Dates=H","DateFormat=P","Fill=—","Direction=H","UseDPDF=Y")</f>
        <v>#NAME?</v>
      </c>
      <c r="T313" s="2" t="e">
        <f ca="1">_xll.BDH($C$303,"SALES_GROWTH","FY 2016","FY 2016","Currency=INR","Period=FY","BEST_FPERIOD_OVERRIDE=FY","FILING_STATUS=OR","EQY_CONSOLIDATED=Y","FA_ADJUSTED=GAAP","Sort=A","Dates=H","DateFormat=P","Fill=—","Direction=H","UseDPDF=Y")</f>
        <v>#NAME?</v>
      </c>
      <c r="U313" s="2" t="e">
        <f ca="1">_xll.BDH($C$303,"EBITDA_GROWTH","FY 2016","FY 2016","Currency=INR","Period=FY","BEST_FPERIOD_OVERRIDE=FY","FILING_STATUS=OR","EQY_CONSOLIDATED=Y","FA_ADJUSTED=GAAP","Sort=A","Dates=H","DateFormat=P","Fill=—","Direction=H","UseDPDF=Y")</f>
        <v>#NAME?</v>
      </c>
      <c r="V313" s="2" t="e">
        <f ca="1">_xll.BDH($C$303,"OPER_INC_GROWTH","FY 2016","FY 2016","Currency=INR","Period=FY","BEST_FPERIOD_OVERRIDE=FY","FILING_STATUS=OR","EQY_CONSOLIDATED=Y","FA_ADJUSTED=GAAP","Sort=A","Dates=H","DateFormat=P","Fill=—","Direction=H","UseDPDF=Y")</f>
        <v>#NAME?</v>
      </c>
      <c r="W313" s="2" t="e">
        <f ca="1">_xll.BDH($C$303,"EARN_FOR_COM_GROWTH","FY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313" s="2" t="e">
        <f ca="1">_xll.BDH($C$303,"DILUTED_EPS_AFT_XO_ITEMS_GROWTH","FY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313" s="2" t="e">
        <f ca="1">_xll.BDH($C$303,"DIVIDEND_PER_SHARE_1_YEAR_GROWTH","FY 2016","FY 2016","Currency=INR","Period=FY","BEST_FPERIOD_OVERRIDE=FY","FILING_STATUS=OR","EQY_CONSOLIDATED=Y","Sort=A","Dates=H","DateFormat=P","Fill=—","Direction=H","UseDPDF=Y")</f>
        <v>#NAME?</v>
      </c>
      <c r="Z313" s="2" t="e">
        <f ca="1">_xll.BDH($C$303,"ACCOUNTS_RECEIVABLE_GROWTH","FY 2016","FY 2016","Currency=INR","Period=FY","BEST_FPERIOD_OVERRIDE=FY","FILING_STATUS=OR","EQY_CONSOLIDATED=Y","Sort=A","Dates=H","DateFormat=P","Fill=—","Direction=H","UseDPDF=Y")</f>
        <v>#NAME?</v>
      </c>
      <c r="AA313" s="2" t="e">
        <f ca="1">_xll.BDH($C$303,"INVENTORY_GROWTH","FY 2016","FY 2016","Currency=INR","Period=FY","BEST_FPERIOD_OVERRIDE=FY","FILING_STATUS=OR","EQY_CONSOLIDATED=Y","Sort=A","Dates=H","DateFormat=P","Fill=—","Direction=H","UseDPDF=Y")</f>
        <v>#NAME?</v>
      </c>
      <c r="AB313" s="2" t="e">
        <f ca="1">_xll.BDH($C$303,"NET_FIXED_ASSETS_1_YEAR_GROWTH","FY 2016","FY 2016","Currency=INR","Period=FY","BEST_FPERIOD_OVERRIDE=FY","FILING_STATUS=OR","EQY_CONSOLIDATED=Y","Sort=A","Dates=H","DateFormat=P","Fill=—","Direction=H","UseDPDF=Y")</f>
        <v>#NAME?</v>
      </c>
      <c r="AC313" s="2" t="e">
        <f ca="1">_xll.BDH($C$303,"ASSET_GROWTH","FY 2016","FY 2016","Currency=INR","Period=FY","BEST_FPERIOD_OVERRIDE=FY","FILING_STATUS=OR","EQY_CONSOLIDATED=Y","Sort=A","Dates=H","DateFormat=P","Fill=—","Direction=H","UseDPDF=Y")</f>
        <v>#NAME?</v>
      </c>
      <c r="AD313" s="2" t="e">
        <f ca="1">_xll.BDH($C$303,"MODIFIED_WORK_CAP_GROWTH","FY 2016","FY 2016","Currency=INR","Period=FY","BEST_FPERIOD_OVERRIDE=FY","FILING_STATUS=OR","EQY_CONSOLIDATED=Y","Sort=A","Dates=H","DateFormat=P","Fill=—","Direction=H","UseDPDF=Y")</f>
        <v>#NAME?</v>
      </c>
      <c r="AE313" s="2" t="e">
        <f ca="1">_xll.BDH($C$303,"WORK_CAP_GROWTH","FY 2016","FY 2016","Currency=INR","Period=FY","BEST_FPERIOD_OVERRIDE=FY","FILING_STATUS=OR","EQY_CONSOLIDATED=Y","Sort=A","Dates=H","DateFormat=P","Fill=—","Direction=H","UseDPDF=Y")</f>
        <v>#NAME?</v>
      </c>
      <c r="AF313" s="2" t="e">
        <f ca="1">_xll.BDH($C$303,"ACCOUNTS_PAYABLE_GROWTH_1YR","FY 2016","FY 2016","Currency=INR","Period=FY","BEST_FPERIOD_OVERRIDE=FY","FILING_STATUS=OR","EQY_CONSOLIDATED=Y","Sort=A","Dates=H","DateFormat=P","Fill=—","Direction=H","UseDPDF=Y")</f>
        <v>#NAME?</v>
      </c>
      <c r="AG313" s="2" t="e">
        <f ca="1">_xll.BDH($C$303,"SHORT_TERM_DEBT_1_YEAR_GROWTH","FY 2016","FY 2016","Currency=INR","Period=FY","BEST_FPERIOD_OVERRIDE=FY","FILING_STATUS=OR","EQY_CONSOLIDATED=Y","Sort=A","Dates=H","DateFormat=P","Fill=—","Direction=H","UseDPDF=Y")</f>
        <v>#NAME?</v>
      </c>
      <c r="AH313" s="2" t="e">
        <f ca="1">_xll.BDH($C$303,"TOTAL_DEBT_1_YEAR_GROWTH","FY 2016","FY 2016","Currency=INR","Period=FY","BEST_FPERIOD_OVERRIDE=FY","FILING_STATUS=OR","EQY_CONSOLIDATED=Y","Sort=A","Dates=H","DateFormat=P","Fill=—","Direction=H","UseDPDF=Y")</f>
        <v>#NAME?</v>
      </c>
      <c r="AI313" s="2" t="e">
        <f ca="1">_xll.BDH($C$303,"TOTAL_EQUITY_1_YEAR_GROWTH","FY 2016","FY 2016","Currency=INR","Period=FY","BEST_FPERIOD_OVERRIDE=FY","FILING_STATUS=OR","EQY_CONSOLIDATED=Y","Sort=A","Dates=H","DateFormat=P","Fill=—","Direction=H","UseDPDF=Y")</f>
        <v>#NAME?</v>
      </c>
      <c r="AJ313" s="2" t="e">
        <f ca="1">_xll.BDH($C$303,"GROWTH_IN_CAP","FY 2016","FY 2016","Currency=INR","Period=FY","BEST_FPERIOD_OVERRIDE=FY","FILING_STATUS=OR","EQY_CONSOLIDATED=Y","Sort=A","Dates=H","DateFormat=P","Fill=—","Direction=H","UseDPDF=Y")</f>
        <v>#NAME?</v>
      </c>
      <c r="AK313" s="2" t="e">
        <f ca="1">_xll.BDH($C$303,"BVPS_GROWTH","FY 2016","FY 2016","Currency=INR","Period=FY","BEST_FPERIOD_OVERRIDE=FY","FILING_STATUS=OR","EQY_CONSOLIDATED=Y","Sort=A","Dates=H","DateFormat=P","Fill=—","Direction=H","UseDPDF=Y")</f>
        <v>#NAME?</v>
      </c>
      <c r="AL313" s="2" t="e">
        <f ca="1">_xll.BDH($C$303,"CASH_FLOW_GROWTH","FY 2016","FY 2016","Currency=INR","Period=FY","BEST_FPERIOD_OVERRIDE=FY","FILING_STATUS=OR","EQY_CONSOLIDATED=Y","Sort=A","Dates=H","DateFormat=P","Fill=—","Direction=H","UseDPDF=Y")</f>
        <v>#NAME?</v>
      </c>
      <c r="AM313" s="2" t="e">
        <f ca="1">_xll.BDH($C$303,"GEO_GROW_NET_SALES","FY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313" s="2" t="e">
        <f ca="1">_xll.BDH($C$303,"GEO_GROW_EBITDA","FY 2016","FY 2016","Currency=INR","Period=FY","BEST_FPERIOD_OVERRIDE=FY","FILING_STATUS=OR","EQY_CONSOLIDATED=Y","FA_ADJUSTED=GAAP","Sort=A","Dates=H","DateFormat=P","Fill=—","Direction=H","UseDPDF=Y")</f>
        <v>#NAME?</v>
      </c>
      <c r="AO313" s="2" t="e">
        <f ca="1">_xll.BDH($C$303,"GEO_GROW_OPER_INC","FY 2016","FY 2016","Currency=INR","Period=FY","BEST_FPERIOD_OVERRIDE=FY","FILING_STATUS=OR","EQY_CONSOLIDATED=Y","FA_ADJUSTED=GAAP","Sort=A","Dates=H","DateFormat=P","Fill=—","Direction=H","UseDPDF=Y")</f>
        <v>#NAME?</v>
      </c>
      <c r="AP313" s="2" t="e">
        <f ca="1">_xll.BDH($C$303,"NET_INCOME_TO_COMMON_5_YR_GROWTH","FY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313" s="2" t="e">
        <f ca="1">_xll.BDH($C$303,"5Y_GEO_GROWTH_DILUTED_EPS","FY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313" s="2" t="e">
        <f ca="1">_xll.BDH($C$303,"GEO_GROW_DVD_PER_SH","FY 2016","FY 2016","Currency=INR","Period=FY","BEST_FPERIOD_OVERRIDE=FY","FILING_STATUS=OR","EQY_CONSOLIDATED=Y","Sort=A","Dates=H","DateFormat=P","Fill=—","Direction=H","UseDPDF=Y")</f>
        <v>#NAME?</v>
      </c>
      <c r="AS313" s="2" t="e">
        <f ca="1">_xll.BDH($C$303,"ACCOUNTS_RECEIVABLE_5_YR_GROWTH","FY 2016","FY 2016","Currency=INR","Period=FY","BEST_FPERIOD_OVERRIDE=FY","FILING_STATUS=OR","EQY_CONSOLIDATED=Y","Sort=A","Dates=H","DateFormat=P","Fill=—","Direction=H","UseDPDF=Y")</f>
        <v>#NAME?</v>
      </c>
      <c r="AT313" s="2" t="e">
        <f ca="1">_xll.BDH($C$303,"INVENTORY_5_YEAR_GROWTH","FY 2016","FY 2016","Currency=INR","Period=FY","BEST_FPERIOD_OVERRIDE=FY","FILING_STATUS=OR","EQY_CONSOLIDATED=Y","Sort=A","Dates=H","DateFormat=P","Fill=—","Direction=H","UseDPDF=Y")</f>
        <v>#NAME?</v>
      </c>
      <c r="AU313" s="2" t="e">
        <f ca="1">_xll.BDH($C$303,"NET_FIXED_ASSETS_5_YEAR_GROWTH","FY 2016","FY 2016","Currency=INR","Period=FY","BEST_FPERIOD_OVERRIDE=FY","FILING_STATUS=OR","EQY_CONSOLIDATED=Y","Sort=A","Dates=H","DateFormat=P","Fill=—","Direction=H","UseDPDF=Y")</f>
        <v>#NAME?</v>
      </c>
      <c r="AV313" s="2" t="e">
        <f ca="1">_xll.BDH($C$303,"GEO_GROW_TOT_ASSET","FY 2016","FY 2016","Currency=INR","Period=FY","BEST_FPERIOD_OVERRIDE=FY","FILING_STATUS=OR","EQY_CONSOLIDATED=Y","Sort=A","Dates=H","DateFormat=P","Fill=—","Direction=H","UseDPDF=Y")</f>
        <v>#NAME?</v>
      </c>
      <c r="AW313" s="2" t="e">
        <f ca="1">_xll.BDH($C$303,"MODIFIED_WORKING_CPTL_5YR_GRWTH","FY 2016","FY 2016","Currency=INR","Period=FY","BEST_FPERIOD_OVERRIDE=FY","FILING_STATUS=OR","EQY_CONSOLIDATED=Y","Sort=A","Dates=H","DateFormat=P","Fill=—","Direction=H","UseDPDF=Y")</f>
        <v>#NAME?</v>
      </c>
      <c r="AX313" s="2" t="e">
        <f ca="1">_xll.BDH($C$303,"WORKING_CAPITAL_5_YEAR_GROWTH","FY 2016","FY 2016","Currency=INR","Period=FY","BEST_FPERIOD_OVERRIDE=FY","FILING_STATUS=OR","EQY_CONSOLIDATED=Y","Sort=A","Dates=H","DateFormat=P","Fill=—","Direction=H","UseDPDF=Y")</f>
        <v>#NAME?</v>
      </c>
      <c r="AY313" s="2" t="e">
        <f ca="1">_xll.BDH($C$303,"ACCOUNTS_PAYABLE_5_YEAR_GROWTH","FY 2016","FY 2016","Currency=INR","Period=FY","BEST_FPERIOD_OVERRIDE=FY","FILING_STATUS=OR","EQY_CONSOLIDATED=Y","Sort=A","Dates=H","DateFormat=P","Fill=—","Direction=H","UseDPDF=Y")</f>
        <v>#NAME?</v>
      </c>
      <c r="AZ313" s="2" t="e">
        <f ca="1">_xll.BDH($C$303,"SHORT_TERM_DEBT_5_YEAR_GROWTH","FY 2016","FY 2016","Currency=INR","Period=FY","BEST_FPERIOD_OVERRIDE=FY","FILING_STATUS=OR","EQY_CONSOLIDATED=Y","Sort=A","Dates=H","DateFormat=P","Fill=—","Direction=H","UseDPDF=Y")</f>
        <v>#NAME?</v>
      </c>
      <c r="BA313" s="2" t="e">
        <f ca="1">_xll.BDH($C$303,"TOTAL_DEBT_5_YEAR_GROWTH","FY 2016","FY 2016","Currency=INR","Period=FY","BEST_FPERIOD_OVERRIDE=FY","FILING_STATUS=OR","EQY_CONSOLIDATED=Y","Sort=A","Dates=H","DateFormat=P","Fill=—","Direction=H","UseDPDF=Y")</f>
        <v>#NAME?</v>
      </c>
      <c r="BB313" s="2" t="e">
        <f ca="1">_xll.BDH($C$303,"GEO_GROW_TOT_SHRHLDR_EQY","FY 2016","FY 2016","Currency=INR","Period=FY","BEST_FPERIOD_OVERRIDE=FY","FILING_STATUS=OR","EQY_CONSOLIDATED=Y","Sort=A","Dates=H","DateFormat=P","Fill=—","Direction=H","UseDPDF=Y")</f>
        <v>#NAME?</v>
      </c>
      <c r="BC313" s="2" t="e">
        <f ca="1">_xll.BDH($C$303,"TOTAL_CAPITAL_5_YEAR_GROWTH","FY 2016","FY 2016","Currency=INR","Period=FY","BEST_FPERIOD_OVERRIDE=FY","FILING_STATUS=OR","EQY_CONSOLIDATED=Y","Sort=A","Dates=H","DateFormat=P","Fill=—","Direction=H","UseDPDF=Y")</f>
        <v>#NAME?</v>
      </c>
      <c r="BD313" s="2" t="e">
        <f ca="1">_xll.BDH($C$303,"GEO_GROW_BOOK_VAL","FY 2016","FY 2016","Currency=INR","Period=FY","BEST_FPERIOD_OVERRIDE=FY","FILING_STATUS=OR","EQY_CONSOLIDATED=Y","Sort=A","Dates=H","DateFormat=P","Fill=—","Direction=H","UseDPDF=Y")</f>
        <v>#NAME?</v>
      </c>
      <c r="BE313" s="2" t="e">
        <f ca="1">_xll.BDH($C$303,"GEO_GROW_CASH_OPER_ACT","FY 2016","FY 2016","Currency=INR","Period=FY","BEST_FPERIOD_OVERRIDE=FY","FILING_STATUS=OR","EQY_CONSOLIDATED=Y","Sort=A","Dates=H","DateFormat=P","Fill=—","Direction=H","UseDPDF=Y")</f>
        <v>#NAME?</v>
      </c>
      <c r="BF313" s="2" t="e">
        <f ca="1">_xll.BDH($C$303,"REVENUE_SEQUENTIAL_GROWTH","FY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313" s="2" t="e">
        <f ca="1">_xll.BDH($C$303,"EBITDA_SEQUENTIAL_GROWTH","FY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313" s="2" t="e">
        <f ca="1">_xll.BDH($C$303,"OPERATING_INCOME_SEQ_GROWTH","FY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313" s="2" t="e">
        <f ca="1">_xll.BDH($C$303,"NET_INCOME_TO_COMMON_SEQ_GROWTH","FY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313" s="2" t="e">
        <f ca="1">_xll.BDH($C$303,"EPS_DILUTED_SEQUENTIAL_GROWTH","FY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313" s="2" t="e">
        <f ca="1">_xll.BDH($C$303,"DPS_SEQUENTIAL_GROWTH","FY 2016","FY 2016","Currency=INR","Period=FY","BEST_FPERIOD_OVERRIDE=FY","FILING_STATUS=OR","EQY_CONSOLIDATED=Y","Sort=A","Dates=H","DateFormat=P","Fill=—","Direction=H","UseDPDF=Y")</f>
        <v>#NAME?</v>
      </c>
      <c r="BL313" s="2" t="e">
        <f ca="1">_xll.BDH($C$303,"ACCOUNTS_RECEIVABLE_SEQ_GROWTH","FY 2016","FY 2016","Currency=INR","Period=FY","BEST_FPERIOD_OVERRIDE=FY","FILING_STATUS=OR","EQY_CONSOLIDATED=Y","Sort=A","Dates=H","DateFormat=P","Fill=—","Direction=H","UseDPDF=Y")</f>
        <v>#NAME?</v>
      </c>
      <c r="BM313" s="2" t="e">
        <f ca="1">_xll.BDH($C$303,"INVENTORY_SEQUENTIAL_GROWTH","FY 2016","FY 2016","Currency=INR","Period=FY","BEST_FPERIOD_OVERRIDE=FY","FILING_STATUS=OR","EQY_CONSOLIDATED=Y","Sort=A","Dates=H","DateFormat=P","Fill=—","Direction=H","UseDPDF=Y")</f>
        <v>#NAME?</v>
      </c>
      <c r="BN313" s="2" t="e">
        <f ca="1">_xll.BDH($C$303,"FIXED_ASSETS_SEQUENTIAL_GROWTH","FY 2016","FY 2016","Currency=INR","Period=FY","BEST_FPERIOD_OVERRIDE=FY","FILING_STATUS=OR","EQY_CONSOLIDATED=Y","Sort=A","Dates=H","DateFormat=P","Fill=—","Direction=H","UseDPDF=Y")</f>
        <v>#NAME?</v>
      </c>
      <c r="BO313" s="2" t="e">
        <f ca="1">_xll.BDH($C$303,"TOTAL_ASSETS_SEQUENTIAL_GROWTH","FY 2016","FY 2016","Currency=INR","Period=FY","BEST_FPERIOD_OVERRIDE=FY","FILING_STATUS=OR","EQY_CONSOLIDATED=Y","Sort=A","Dates=H","DateFormat=P","Fill=—","Direction=H","UseDPDF=Y")</f>
        <v>#NAME?</v>
      </c>
      <c r="BP313" s="2" t="e">
        <f ca="1">_xll.BDH($C$303,"MODIFIED_WORKING_CPTL_SEQ_GRWTH","FY 2016","FY 2016","Currency=INR","Period=FY","BEST_FPERIOD_OVERRIDE=FY","FILING_STATUS=OR","EQY_CONSOLIDATED=Y","Sort=A","Dates=H","DateFormat=P","Fill=—","Direction=H","UseDPDF=Y")</f>
        <v>#NAME?</v>
      </c>
      <c r="BQ313" s="2" t="e">
        <f ca="1">_xll.BDH($C$303,"WORKING_CAPITAL_SEQ_GROWTH","FY 2016","FY 2016","Currency=INR","Period=FY","BEST_FPERIOD_OVERRIDE=FY","FILING_STATUS=OR","EQY_CONSOLIDATED=Y","Sort=A","Dates=H","DateFormat=P","Fill=—","Direction=H","UseDPDF=Y")</f>
        <v>#NAME?</v>
      </c>
      <c r="BR313" s="2" t="e">
        <f ca="1">_xll.BDH($C$303,"ACCOUNTS_PAYABLE_SEQ_GROWTH","FY 2016","FY 2016","Currency=INR","Period=FY","BEST_FPERIOD_OVERRIDE=FY","FILING_STATUS=OR","EQY_CONSOLIDATED=Y","Sort=A","Dates=H","DateFormat=P","Fill=—","Direction=H","UseDPDF=Y")</f>
        <v>#NAME?</v>
      </c>
      <c r="BS313" s="2" t="e">
        <f ca="1">_xll.BDH($C$303,"ST_DEBT_SEQUENTIAL_GROWTH","FY 2016","FY 2016","Currency=INR","Period=FY","BEST_FPERIOD_OVERRIDE=FY","FILING_STATUS=OR","EQY_CONSOLIDATED=Y","Sort=A","Dates=H","DateFormat=P","Fill=—","Direction=H","UseDPDF=Y")</f>
        <v>#NAME?</v>
      </c>
      <c r="BT313" s="2" t="e">
        <f ca="1">_xll.BDH($C$303,"TOTAL_DEBT_SEQUENTIAL_GROWTH","FY 2016","FY 2016","Currency=INR","Period=FY","BEST_FPERIOD_OVERRIDE=FY","FILING_STATUS=OR","EQY_CONSOLIDATED=Y","Sort=A","Dates=H","DateFormat=P","Fill=—","Direction=H","UseDPDF=Y")</f>
        <v>#NAME?</v>
      </c>
      <c r="BU313" s="2" t="e">
        <f ca="1">_xll.BDH($C$303,"TOTAL_EQUITY_SEQUENTIAL_GROWTH","FY 2016","FY 2016","Currency=INR","Period=FY","BEST_FPERIOD_OVERRIDE=FY","FILING_STATUS=OR","EQY_CONSOLIDATED=Y","Sort=A","Dates=H","DateFormat=P","Fill=—","Direction=H","UseDPDF=Y")</f>
        <v>#NAME?</v>
      </c>
      <c r="BV313" s="2" t="e">
        <f ca="1">_xll.BDH($C$303,"TOTAL_CAPITAL_SEQUENTIAL_GROWTH","FY 2016","FY 2016","Currency=INR","Period=FY","BEST_FPERIOD_OVERRIDE=FY","FILING_STATUS=OR","EQY_CONSOLIDATED=Y","Sort=A","Dates=H","DateFormat=P","Fill=—","Direction=H","UseDPDF=Y")</f>
        <v>#NAME?</v>
      </c>
      <c r="BW313" s="2" t="e">
        <f ca="1">_xll.BDH($C$303,"BPS_SEQUENTIAL_GROWTH","FY 2016","FY 2016","Currency=INR","Period=FY","BEST_FPERIOD_OVERRIDE=FY","FILING_STATUS=OR","EQY_CONSOLIDATED=Y","Sort=A","Dates=H","DateFormat=P","Fill=—","Direction=H","UseDPDF=Y")</f>
        <v>#NAME?</v>
      </c>
      <c r="BX313" s="2" t="e">
        <f ca="1">_xll.BDH($C$303,"CFO_SEQUENTIAL_GROWTH","FY 2016","FY 2016","Currency=INR","Period=FY","BEST_FPERIOD_OVERRIDE=FY","FILING_STATUS=OR","EQY_CONSOLIDATED=Y","Sort=A","Dates=H","DateFormat=P","Fill=—","Direction=H","UseDPDF=Y")</f>
        <v>#NAME?</v>
      </c>
      <c r="BY313" s="3" t="e">
        <f ca="1">_xll.BDH($C$303,"SHORT_AND_LONG_TERM_DEBT","FY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313" s="3" t="e">
        <f ca="1">_xll.BDH($C$303,"BS_ST_BORROW","FY 2016","FY 2016","Currency=INR","Period=FY","BEST_FPERIOD_OVERRIDE=FY","FILING_STATUS=OR","EQY_CONSOLIDATED=Y","SCALING_FORMAT=MLN","Sort=A","Dates=H","DateFormat=P","Fill=—","Direction=H","UseDPDF=Y")</f>
        <v>#NAME?</v>
      </c>
      <c r="CA313" s="3" t="e">
        <f ca="1">_xll.BDH($C$303,"BS_LT_BORROW","FY 2016","FY 2016","Currency=INR","Period=FY","BEST_FPERIOD_OVERRIDE=FY","FILING_STATUS=OR","EQY_CONSOLIDATED=Y","SCALING_FORMAT=MLN","Sort=A","Dates=H","DateFormat=P","Fill=—","Direction=H","UseDPDF=Y")</f>
        <v>#NAME?</v>
      </c>
      <c r="CB313" s="2" t="e">
        <f ca="1">_xll.BDH($C$303,"TOT_DEBT_TO_EBITDA","FY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313" s="2" t="e">
        <f ca="1">_xll.BDH($C$303,"NET_DEBT_TO_EBITDA","FY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313" s="2" t="e">
        <f ca="1">_xll.BDH($C$303,"TOTAL_DEBT_TO_EBIT","FY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313" s="2" t="e">
        <f ca="1">_xll.BDH($C$303,"NET_DEBT_TO_EBIT","FY 2016","FY 2016","Currency=INR","Period=FY","BEST_FPERIOD_OVERRIDE=FY","FILING_STATUS=OR","EQY_CONSOLIDATED=Y","FA_ADJUSTED=GAAP","Sort=A","Dates=H","DateFormat=P","Fill=—","Direction=H","UseDPDF=Y")</f>
        <v>#NAME?</v>
      </c>
      <c r="CF313" s="2" t="e">
        <f ca="1">_xll.BDH($C$303,"EBITDA_TO_INTEREST_EXPN","FY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313" s="2" t="e">
        <f ca="1">_xll.BDH($C$303,"COM_EQY_TO_TOT_ASSET","FY 2016","FY 2016","Currency=INR","Period=FY","BEST_FPERIOD_OVERRIDE=FY","FILING_STATUS=OR","EQY_CONSOLIDATED=Y","Sort=A","Dates=H","DateFormat=P","Fill=—","Direction=H","UseDPDF=Y")</f>
        <v>#NAME?</v>
      </c>
      <c r="CH313" s="2" t="e">
        <f ca="1">_xll.BDH($C$303,"LT_DEBT_TO_TOT_EQY","FY 2016","FY 2016","Currency=INR","Period=FY","BEST_FPERIOD_OVERRIDE=FY","FILING_STATUS=OR","EQY_CONSOLIDATED=Y","Sort=A","Dates=H","DateFormat=P","Fill=—","Direction=H","UseDPDF=Y")</f>
        <v>#NAME?</v>
      </c>
      <c r="CI313" s="2" t="e">
        <f ca="1">_xll.BDH($C$303,"LT_DEBT_TO_TOT_CAP","FY 2016","FY 2016","Currency=INR","Period=FY","BEST_FPERIOD_OVERRIDE=FY","FILING_STATUS=OR","EQY_CONSOLIDATED=Y","Sort=A","Dates=H","DateFormat=P","Fill=—","Direction=H","UseDPDF=Y")</f>
        <v>#NAME?</v>
      </c>
      <c r="CJ313" s="2" t="e">
        <f ca="1">_xll.BDH($C$303,"LT_DEBT_TO_TOT_ASSET","FY 2016","FY 2016","Currency=INR","Period=FY","BEST_FPERIOD_OVERRIDE=FY","FILING_STATUS=OR","EQY_CONSOLIDATED=Y","Sort=A","Dates=H","DateFormat=P","Fill=—","Direction=H","UseDPDF=Y")</f>
        <v>#NAME?</v>
      </c>
      <c r="CK313" s="2" t="e">
        <f ca="1">_xll.BDH($C$303,"TOT_DEBT_TO_TOT_EQY","FY 2016","FY 2016","Currency=INR","Period=FY","BEST_FPERIOD_OVERRIDE=FY","FILING_STATUS=OR","EQY_CONSOLIDATED=Y","Sort=A","Dates=H","DateFormat=P","Fill=—","Direction=H","UseDPDF=Y")</f>
        <v>#NAME?</v>
      </c>
      <c r="CL313" s="2" t="e">
        <f ca="1">_xll.BDH($C$303,"TOT_DEBT_TO_TOT_CAP","FY 2016","FY 2016","Currency=INR","Period=FY","BEST_FPERIOD_OVERRIDE=FY","FILING_STATUS=OR","EQY_CONSOLIDATED=Y","Sort=A","Dates=H","DateFormat=P","Fill=—","Direction=H","UseDPDF=Y")</f>
        <v>#NAME?</v>
      </c>
      <c r="CM313" s="2" t="e">
        <f ca="1">_xll.BDH($C$303,"TOT_DEBT_TO_TOT_ASSET","FY 2016","FY 2016","Currency=INR","Period=FY","BEST_FPERIOD_OVERRIDE=FY","FILING_STATUS=OR","EQY_CONSOLIDATED=Y","Sort=A","Dates=H","DateFormat=P","Fill=—","Direction=H","UseDPDF=Y")</f>
        <v>#NAME?</v>
      </c>
      <c r="CN313" s="2" t="e">
        <f ca="1">_xll.BDH($C$303,"NET_DEBT_TO_SHRHLDR_EQTY","FY 2016","FY 2016","Currency=INR","Period=FY","BEST_FPERIOD_OVERRIDE=FY","FILING_STATUS=OR","EQY_CONSOLIDATED=Y","Sort=A","Dates=H","DateFormat=P","Fill=—","Direction=H","UseDPDF=Y")</f>
        <v>#NAME?</v>
      </c>
      <c r="CO313" s="2" t="e">
        <f ca="1">_xll.BDH($C$303,"NET_DEBT_%_CAPITAL","FY 2016","FY 2016","Currency=INR","Period=FY","BEST_FPERIOD_OVERRIDE=FY","FILING_STATUS=OR","EQY_CONSOLIDATED=Y","Sort=A","Dates=H","DateFormat=P","Fill=—","Direction=H","UseDPDF=Y")</f>
        <v>#NAME?</v>
      </c>
      <c r="CP313" s="3" t="e">
        <f ca="1">_xll.BDH($C$303,"EBITDA","FY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313" s="3" t="e">
        <f ca="1">_xll.BDH($C$303,"EBITDA_AFTER_CAPEX","FY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313" s="3" t="e">
        <f ca="1">_xll.BDH($C$303,"IS_OPER_INC","FY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313" s="2" t="e">
        <f ca="1">_xll.BDH($C$303,"CASH_RATIO","FY 2016","FY 2016","Currency=INR","Period=FY","BEST_FPERIOD_OVERRIDE=FY","FILING_STATUS=OR","EQY_CONSOLIDATED=Y","Sort=A","Dates=H","DateFormat=P","Fill=—","Direction=H","UseDPDF=Y")</f>
        <v>#NAME?</v>
      </c>
      <c r="CT313" s="2" t="e">
        <f ca="1">_xll.BDH($C$303,"CUR_RATIO","FY 2016","FY 2016","Currency=INR","Period=FY","BEST_FPERIOD_OVERRIDE=FY","FILING_STATUS=OR","EQY_CONSOLIDATED=Y","Sort=A","Dates=H","DateFormat=P","Fill=—","Direction=H","UseDPDF=Y")</f>
        <v>#NAME?</v>
      </c>
      <c r="CU313" s="2" t="e">
        <f ca="1">_xll.BDH($C$303,"QUICK_RATIO","FY 2016","FY 2016","Currency=INR","Period=FY","BEST_FPERIOD_OVERRIDE=FY","FILING_STATUS=OR","EQY_CONSOLIDATED=Y","Sort=A","Dates=H","DateFormat=P","Fill=—","Direction=H","UseDPDF=Y")</f>
        <v>#NAME?</v>
      </c>
      <c r="CV313" s="2" t="e">
        <f ca="1">_xll.BDH($C$303,"ALTMAN_Z_SCORE","FY 2016","FY 2016","Currency=INR","Period=FY","BEST_FPERIOD_OVERRIDE=FY","FILING_STATUS=OR","EQY_CONSOLIDATED=Y","Sort=A","Dates=H","DateFormat=P","Fill=—","Direction=H","UseDPDF=Y")</f>
        <v>#NAME?</v>
      </c>
      <c r="CW313" s="4" t="e">
        <f ca="1">_xll.BDH($C$303,"ACCT_RCV_TURN","FY 2016","FY 2016","Currency=INR","Period=FY","BEST_FPERIOD_OVERRIDE=FY","FILING_STATUS=OR","EQY_CONSOLIDATED=Y","FA_ADJUSTED=GAAP","Sort=A","Dates=H","DateFormat=P","Fill=—","Direction=H","UseDPDF=Y")</f>
        <v>#NAME?</v>
      </c>
      <c r="CX313" s="2" t="e">
        <f ca="1">_xll.BDH($C$303,"ACCT_RCV_DAYS","FY 2016","FY 2016","Currency=INR","Period=FY","BEST_FPERIOD_OVERRIDE=FY","FILING_STATUS=OR","EQY_CONSOLIDATED=Y","FA_ADJUSTED=GAAP","Sort=A","Dates=H","DateFormat=P","Fill=—","Direction=H","UseDPDF=Y")</f>
        <v>#NAME?</v>
      </c>
      <c r="CY313" s="4" t="e">
        <f ca="1">_xll.BDH($C$303,"INVENT_TURN","FY 2016","FY 2016","Currency=INR","Period=FY","BEST_FPERIOD_OVERRIDE=FY","FILING_STATUS=OR","EQY_CONSOLIDATED=Y","FA_ADJUSTED=GAAP","Sort=A","Dates=H","DateFormat=P","Fill=—","Direction=H","UseDPDF=Y")</f>
        <v>#NAME?</v>
      </c>
      <c r="CZ313" s="2" t="e">
        <f ca="1">_xll.BDH($C$303,"INVENT_DAYS","FY 2016","FY 2016","Currency=INR","Period=FY","BEST_FPERIOD_OVERRIDE=FY","FILING_STATUS=OR","EQY_CONSOLIDATED=Y","FA_ADJUSTED=GAAP","Sort=A","Dates=H","DateFormat=P","Fill=—","Direction=H","UseDPDF=Y")</f>
        <v>#NAME?</v>
      </c>
      <c r="DA313" s="4" t="e">
        <f ca="1">_xll.BDH($C$303,"ACCOUNTS_PAYABLE_TURNOVER","FY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313" s="2" t="e">
        <f ca="1">_xll.BDH($C$303,"ACCOUNTS_PAYABLE_TURNOVER_DAYS","FY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313" s="4" t="e">
        <f ca="1">_xll.BDH($C$303,"CASH_CONVERSION_CYCLE","FY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313" s="4" t="e">
        <f ca="1">_xll.BDH($C$303,"INV_TO_CASH_DAYS","FY 2016","FY 2016","Currency=INR","Period=FY","BEST_FPERIOD_OVERRIDE=FY","FILING_STATUS=OR","EQY_CONSOLIDATED=Y","FA_ADJUSTED=GAAP","Sort=A","Dates=H","DateFormat=P","Fill=—","Direction=H","UseDPDF=Y")</f>
        <v>#NAME?</v>
      </c>
      <c r="DE313" s="5" t="e">
        <f ca="1">_xll.BDH($C$303,"BS_INVENTORIES","FY 2016","FY 2016","Currency=INR","Period=FY","BEST_FPERIOD_OVERRIDE=FY","FILING_STATUS=OR","EQY_CONSOLIDATED=Y","SCALING_FORMAT=MLN","Sort=A","Dates=H","DateFormat=P","Fill=—","Direction=H","UseDPDF=Y")</f>
        <v>#NAME?</v>
      </c>
      <c r="DF313" s="3" t="e">
        <f ca="1">_xll.BDH($C$303,"INVTRY_RAW_MATERIALS","FY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313" s="3" t="e">
        <f ca="1">_xll.BDH($C$303,"INVTRY_IN_PROGRESS","FY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313" s="3" t="e">
        <f ca="1">_xll.BDH($C$303,"INVTRY_FINISHED_GOODS","FY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313" s="3" t="e">
        <f ca="1">_xll.BDH($C$303,"BS_OTHER_INV","FY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314" spans="1:113" x14ac:dyDescent="0.3">
      <c r="A314" s="6"/>
      <c r="B314" s="6"/>
      <c r="C314" s="6"/>
      <c r="D314" s="6"/>
      <c r="E314" t="s">
        <v>78</v>
      </c>
      <c r="F314" t="e">
        <f ca="1">_xll.BDH($C$303,"RETURN_COM_EQY","FQ1 2016","FQ1 2016","Currency=INR","Period=FQ","BEST_FPERIOD_OVERRIDE=FQ","FILING_STATUS=OR","EQY_CONSOLIDATED=Y","FA_ADJUSTED=GAAP","Sort=A","Dates=H","DateFormat=P","Fill=—","Direction=H","UseDPDF=Y")</f>
        <v>#NAME?</v>
      </c>
      <c r="G314" t="e">
        <f ca="1">_xll.BDH($C$303,"RETURN_ON_ASSET","FQ1 2016","FQ1 2016","Currency=INR","Period=FQ","BEST_FPERIOD_OVERRIDE=FQ","FILING_STATUS=OR","EQY_CONSOLIDATED=Y","FA_ADJUSTED=GAAP","Sort=A","Dates=H","DateFormat=P","Fill=—","Direction=H","UseDPDF=Y")</f>
        <v>#NAME?</v>
      </c>
      <c r="H314" t="e">
        <f ca="1">_xll.BDH($C$303,"RETURN_ON_CAP","FQ1 2016","FQ1 2016","Currency=INR","Period=FQ","BEST_FPERIOD_OVERRIDE=FQ","FILING_STATUS=OR","EQY_CONSOLIDATED=Y","FA_ADJUSTED=GAAP","Sort=A","Dates=H","DateFormat=P","Fill=—","Direction=H","UseDPDF=Y")</f>
        <v>#NAME?</v>
      </c>
      <c r="I314" t="e">
        <f ca="1">_xll.BDH($C$303,"RETURN_ON_INV_CAPITAL","FQ1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314" t="e">
        <f ca="1">_xll.BDH($C$303,"EBITDA_TO_REVENUE","FQ1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314" t="e">
        <f ca="1">_xll.BDH($C$303,"OPER_MARGIN","FQ1 2016","FQ1 2016","Currency=INR","Period=FQ","BEST_FPERIOD_OVERRIDE=FQ","FILING_STATUS=OR","EQY_CONSOLIDATED=Y","FA_ADJUSTED=GAAP","Sort=A","Dates=H","DateFormat=P","Fill=—","Direction=H","UseDPDF=Y")</f>
        <v>#NAME?</v>
      </c>
      <c r="L314" t="e">
        <f ca="1">_xll.BDH($C$303,"INCREMENTAL_OPERATING_MARGIN","FQ1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314" t="e">
        <f ca="1">_xll.BDH($C$303,"PRETAX_INC_TO_NET_SALES","FQ1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314" t="e">
        <f ca="1">_xll.BDH($C$303,"INC_BEF_XO_ITEMS_TO_NET_SALES","FQ1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314" t="e">
        <f ca="1">_xll.BDH($C$303,"PROF_MARGIN","FQ1 2016","FQ1 2016","Currency=INR","Period=FQ","BEST_FPERIOD_OVERRIDE=FQ","FILING_STATUS=OR","EQY_CONSOLIDATED=Y","FA_ADJUSTED=GAAP","Sort=A","Dates=H","DateFormat=P","Fill=—","Direction=H","UseDPDF=Y")</f>
        <v>#NAME?</v>
      </c>
      <c r="P314" t="e">
        <f ca="1">_xll.BDH($C$303,"NET_INCOME_TO_COMMON_MARGIN","FQ1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314" t="e">
        <f ca="1">_xll.BDH($C$303,"EFF_TAX_RATE","FQ1 2016","FQ1 2016","Currency=INR","Period=FQ","BEST_FPERIOD_OVERRIDE=FQ","FILING_STATUS=OR","EQY_CONSOLIDATED=Y","FA_ADJUSTED=GAAP","Sort=A","Dates=H","DateFormat=P","Fill=—","Direction=H","UseDPDF=Y")</f>
        <v>#NAME?</v>
      </c>
      <c r="R314" t="e">
        <f ca="1">_xll.BDH($C$303,"DVD_PAYOUT_RATIO","FQ1 2016","FQ1 2016","Currency=INR","Period=FQ","BEST_FPERIOD_OVERRIDE=FQ","FILING_STATUS=OR","EQY_CONSOLIDATED=Y","FA_ADJUSTED=GAAP","Sort=A","Dates=H","DateFormat=P","Fill=—","Direction=H","UseDPDF=Y")</f>
        <v>#NAME?</v>
      </c>
      <c r="S314" t="e">
        <f ca="1">_xll.BDH($C$303,"SUSTAIN_GROWTH_RT","FQ1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314" s="2" t="e">
        <f ca="1">_xll.BDH($C$303,"SALES_GROWTH","FQ1 2016","FQ1 2016","Currency=INR","Period=FQ","BEST_FPERIOD_OVERRIDE=FQ","FILING_STATUS=OR","EQY_CONSOLIDATED=Y","FA_ADJUSTED=GAAP","Sort=A","Dates=H","DateFormat=P","Fill=—","Direction=H","UseDPDF=Y")</f>
        <v>#NAME?</v>
      </c>
      <c r="U314" s="2" t="e">
        <f ca="1">_xll.BDH($C$303,"EBITDA_GROWTH","FQ1 2016","FQ1 2016","Currency=INR","Period=FQ","BEST_FPERIOD_OVERRIDE=FQ","FILING_STATUS=OR","EQY_CONSOLIDATED=Y","FA_ADJUSTED=GAAP","Sort=A","Dates=H","DateFormat=P","Fill=—","Direction=H","UseDPDF=Y")</f>
        <v>#NAME?</v>
      </c>
      <c r="V314" s="2" t="e">
        <f ca="1">_xll.BDH($C$303,"OPER_INC_GROWTH","FQ1 2016","FQ1 2016","Currency=INR","Period=FQ","BEST_FPERIOD_OVERRIDE=FQ","FILING_STATUS=OR","EQY_CONSOLIDATED=Y","FA_ADJUSTED=GAAP","Sort=A","Dates=H","DateFormat=P","Fill=—","Direction=H","UseDPDF=Y")</f>
        <v>#NAME?</v>
      </c>
      <c r="W314" s="2" t="e">
        <f ca="1">_xll.BDH($C$303,"EARN_FOR_COM_GROWTH","FQ1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314" s="2" t="e">
        <f ca="1">_xll.BDH($C$303,"DILUTED_EPS_AFT_XO_ITEMS_GROWTH","FQ1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314" s="2" t="e">
        <f ca="1">_xll.BDH($C$303,"DIVIDEND_PER_SHARE_1_YEAR_GROWTH","FQ1 2016","FQ1 2016","Currency=INR","Period=FQ","BEST_FPERIOD_OVERRIDE=FQ","FILING_STATUS=OR","EQY_CONSOLIDATED=Y","Sort=A","Dates=H","DateFormat=P","Fill=—","Direction=H","UseDPDF=Y")</f>
        <v>#NAME?</v>
      </c>
      <c r="Z314" s="2" t="e">
        <f ca="1">_xll.BDH($C$303,"ACCOUNTS_RECEIVABLE_GROWTH","FQ1 2016","FQ1 2016","Currency=INR","Period=FQ","BEST_FPERIOD_OVERRIDE=FQ","FILING_STATUS=OR","EQY_CONSOLIDATED=Y","Sort=A","Dates=H","DateFormat=P","Fill=—","Direction=H","UseDPDF=Y")</f>
        <v>#NAME?</v>
      </c>
      <c r="AA314" s="2" t="e">
        <f ca="1">_xll.BDH($C$303,"INVENTORY_GROWTH","FQ1 2016","FQ1 2016","Currency=INR","Period=FQ","BEST_FPERIOD_OVERRIDE=FQ","FILING_STATUS=OR","EQY_CONSOLIDATED=Y","Sort=A","Dates=H","DateFormat=P","Fill=—","Direction=H","UseDPDF=Y")</f>
        <v>#NAME?</v>
      </c>
      <c r="AB314" s="2" t="e">
        <f ca="1">_xll.BDH($C$303,"NET_FIXED_ASSETS_1_YEAR_GROWTH","FQ1 2016","FQ1 2016","Currency=INR","Period=FQ","BEST_FPERIOD_OVERRIDE=FQ","FILING_STATUS=OR","EQY_CONSOLIDATED=Y","Sort=A","Dates=H","DateFormat=P","Fill=—","Direction=H","UseDPDF=Y")</f>
        <v>#NAME?</v>
      </c>
      <c r="AC314" s="2" t="e">
        <f ca="1">_xll.BDH($C$303,"ASSET_GROWTH","FQ1 2016","FQ1 2016","Currency=INR","Period=FQ","BEST_FPERIOD_OVERRIDE=FQ","FILING_STATUS=OR","EQY_CONSOLIDATED=Y","Sort=A","Dates=H","DateFormat=P","Fill=—","Direction=H","UseDPDF=Y")</f>
        <v>#NAME?</v>
      </c>
      <c r="AD314" s="2" t="e">
        <f ca="1">_xll.BDH($C$303,"MODIFIED_WORK_CAP_GROWTH","FQ1 2016","FQ1 2016","Currency=INR","Period=FQ","BEST_FPERIOD_OVERRIDE=FQ","FILING_STATUS=OR","EQY_CONSOLIDATED=Y","Sort=A","Dates=H","DateFormat=P","Fill=—","Direction=H","UseDPDF=Y")</f>
        <v>#NAME?</v>
      </c>
      <c r="AE314" s="2" t="e">
        <f ca="1">_xll.BDH($C$303,"WORK_CAP_GROWTH","FQ1 2016","FQ1 2016","Currency=INR","Period=FQ","BEST_FPERIOD_OVERRIDE=FQ","FILING_STATUS=OR","EQY_CONSOLIDATED=Y","Sort=A","Dates=H","DateFormat=P","Fill=—","Direction=H","UseDPDF=Y")</f>
        <v>#NAME?</v>
      </c>
      <c r="AF314" s="2" t="e">
        <f ca="1">_xll.BDH($C$303,"ACCOUNTS_PAYABLE_GROWTH_1YR","FQ1 2016","FQ1 2016","Currency=INR","Period=FQ","BEST_FPERIOD_OVERRIDE=FQ","FILING_STATUS=OR","EQY_CONSOLIDATED=Y","Sort=A","Dates=H","DateFormat=P","Fill=—","Direction=H","UseDPDF=Y")</f>
        <v>#NAME?</v>
      </c>
      <c r="AG314" s="2" t="e">
        <f ca="1">_xll.BDH($C$303,"SHORT_TERM_DEBT_1_YEAR_GROWTH","FQ1 2016","FQ1 2016","Currency=INR","Period=FQ","BEST_FPERIOD_OVERRIDE=FQ","FILING_STATUS=OR","EQY_CONSOLIDATED=Y","Sort=A","Dates=H","DateFormat=P","Fill=—","Direction=H","UseDPDF=Y")</f>
        <v>#NAME?</v>
      </c>
      <c r="AH314" s="2" t="e">
        <f ca="1">_xll.BDH($C$303,"TOTAL_DEBT_1_YEAR_GROWTH","FQ1 2016","FQ1 2016","Currency=INR","Period=FQ","BEST_FPERIOD_OVERRIDE=FQ","FILING_STATUS=OR","EQY_CONSOLIDATED=Y","Sort=A","Dates=H","DateFormat=P","Fill=—","Direction=H","UseDPDF=Y")</f>
        <v>#NAME?</v>
      </c>
      <c r="AI314" s="2" t="e">
        <f ca="1">_xll.BDH($C$303,"TOTAL_EQUITY_1_YEAR_GROWTH","FQ1 2016","FQ1 2016","Currency=INR","Period=FQ","BEST_FPERIOD_OVERRIDE=FQ","FILING_STATUS=OR","EQY_CONSOLIDATED=Y","Sort=A","Dates=H","DateFormat=P","Fill=—","Direction=H","UseDPDF=Y")</f>
        <v>#NAME?</v>
      </c>
      <c r="AJ314" s="2" t="e">
        <f ca="1">_xll.BDH($C$303,"GROWTH_IN_CAP","FQ1 2016","FQ1 2016","Currency=INR","Period=FQ","BEST_FPERIOD_OVERRIDE=FQ","FILING_STATUS=OR","EQY_CONSOLIDATED=Y","Sort=A","Dates=H","DateFormat=P","Fill=—","Direction=H","UseDPDF=Y")</f>
        <v>#NAME?</v>
      </c>
      <c r="AK314" s="2" t="e">
        <f ca="1">_xll.BDH($C$303,"BVPS_GROWTH","FQ1 2016","FQ1 2016","Currency=INR","Period=FQ","BEST_FPERIOD_OVERRIDE=FQ","FILING_STATUS=OR","EQY_CONSOLIDATED=Y","Sort=A","Dates=H","DateFormat=P","Fill=—","Direction=H","UseDPDF=Y")</f>
        <v>#NAME?</v>
      </c>
      <c r="AL314" s="2" t="e">
        <f ca="1">_xll.BDH($C$303,"CASH_FLOW_GROWTH","FQ1 2016","FQ1 2016","Currency=INR","Period=FQ","BEST_FPERIOD_OVERRIDE=FQ","FILING_STATUS=OR","EQY_CONSOLIDATED=Y","Sort=A","Dates=H","DateFormat=P","Fill=—","Direction=H","UseDPDF=Y")</f>
        <v>#NAME?</v>
      </c>
      <c r="AM314" s="2" t="e">
        <f ca="1">_xll.BDH($C$303,"GEO_GROW_NET_SALES","FQ1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314" s="2" t="e">
        <f ca="1">_xll.BDH($C$303,"GEO_GROW_EBITDA","FQ1 2016","FQ1 2016","Currency=INR","Period=FQ","BEST_FPERIOD_OVERRIDE=FQ","FILING_STATUS=OR","EQY_CONSOLIDATED=Y","FA_ADJUSTED=GAAP","Sort=A","Dates=H","DateFormat=P","Fill=—","Direction=H","UseDPDF=Y")</f>
        <v>#NAME?</v>
      </c>
      <c r="AO314" s="2" t="e">
        <f ca="1">_xll.BDH($C$303,"GEO_GROW_OPER_INC","FQ1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314" s="2" t="e">
        <f ca="1">_xll.BDH($C$303,"NET_INCOME_TO_COMMON_5_YR_GROWTH","FQ1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314" s="2" t="e">
        <f ca="1">_xll.BDH($C$303,"5Y_GEO_GROWTH_DILUTED_EPS","FQ1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314" s="2" t="e">
        <f ca="1">_xll.BDH($C$303,"GEO_GROW_DVD_PER_SH","FQ1 2016","FQ1 2016","Currency=INR","Period=FQ","BEST_FPERIOD_OVERRIDE=FQ","FILING_STATUS=OR","EQY_CONSOLIDATED=Y","Sort=A","Dates=H","DateFormat=P","Fill=—","Direction=H","UseDPDF=Y")</f>
        <v>#NAME?</v>
      </c>
      <c r="AS314" s="2" t="e">
        <f ca="1">_xll.BDH($C$303,"ACCOUNTS_RECEIVABLE_5_YR_GROWTH","FQ1 2016","FQ1 2016","Currency=INR","Period=FQ","BEST_FPERIOD_OVERRIDE=FQ","FILING_STATUS=OR","EQY_CONSOLIDATED=Y","Sort=A","Dates=H","DateFormat=P","Fill=—","Direction=H","UseDPDF=Y")</f>
        <v>#NAME?</v>
      </c>
      <c r="AT314" s="2" t="e">
        <f ca="1">_xll.BDH($C$303,"INVENTORY_5_YEAR_GROWTH","FQ1 2016","FQ1 2016","Currency=INR","Period=FQ","BEST_FPERIOD_OVERRIDE=FQ","FILING_STATUS=OR","EQY_CONSOLIDATED=Y","Sort=A","Dates=H","DateFormat=P","Fill=—","Direction=H","UseDPDF=Y")</f>
        <v>#NAME?</v>
      </c>
      <c r="AU314" s="2" t="e">
        <f ca="1">_xll.BDH($C$303,"NET_FIXED_ASSETS_5_YEAR_GROWTH","FQ1 2016","FQ1 2016","Currency=INR","Period=FQ","BEST_FPERIOD_OVERRIDE=FQ","FILING_STATUS=OR","EQY_CONSOLIDATED=Y","Sort=A","Dates=H","DateFormat=P","Fill=—","Direction=H","UseDPDF=Y")</f>
        <v>#NAME?</v>
      </c>
      <c r="AV314" s="2" t="e">
        <f ca="1">_xll.BDH($C$303,"GEO_GROW_TOT_ASSET","FQ1 2016","FQ1 2016","Currency=INR","Period=FQ","BEST_FPERIOD_OVERRIDE=FQ","FILING_STATUS=OR","EQY_CONSOLIDATED=Y","Sort=A","Dates=H","DateFormat=P","Fill=—","Direction=H","UseDPDF=Y")</f>
        <v>#NAME?</v>
      </c>
      <c r="AW314" s="2" t="e">
        <f ca="1">_xll.BDH($C$303,"MODIFIED_WORKING_CPTL_5YR_GRWTH","FQ1 2016","FQ1 2016","Currency=INR","Period=FQ","BEST_FPERIOD_OVERRIDE=FQ","FILING_STATUS=OR","EQY_CONSOLIDATED=Y","Sort=A","Dates=H","DateFormat=P","Fill=—","Direction=H","UseDPDF=Y")</f>
        <v>#NAME?</v>
      </c>
      <c r="AX314" s="2" t="e">
        <f ca="1">_xll.BDH($C$303,"WORKING_CAPITAL_5_YEAR_GROWTH","FQ1 2016","FQ1 2016","Currency=INR","Period=FQ","BEST_FPERIOD_OVERRIDE=FQ","FILING_STATUS=OR","EQY_CONSOLIDATED=Y","Sort=A","Dates=H","DateFormat=P","Fill=—","Direction=H","UseDPDF=Y")</f>
        <v>#NAME?</v>
      </c>
      <c r="AY314" s="2" t="e">
        <f ca="1">_xll.BDH($C$303,"ACCOUNTS_PAYABLE_5_YEAR_GROWTH","FQ1 2016","FQ1 2016","Currency=INR","Period=FQ","BEST_FPERIOD_OVERRIDE=FQ","FILING_STATUS=OR","EQY_CONSOLIDATED=Y","Sort=A","Dates=H","DateFormat=P","Fill=—","Direction=H","UseDPDF=Y")</f>
        <v>#NAME?</v>
      </c>
      <c r="AZ314" s="2" t="e">
        <f ca="1">_xll.BDH($C$303,"SHORT_TERM_DEBT_5_YEAR_GROWTH","FQ1 2016","FQ1 2016","Currency=INR","Period=FQ","BEST_FPERIOD_OVERRIDE=FQ","FILING_STATUS=OR","EQY_CONSOLIDATED=Y","Sort=A","Dates=H","DateFormat=P","Fill=—","Direction=H","UseDPDF=Y")</f>
        <v>#NAME?</v>
      </c>
      <c r="BA314" s="2" t="e">
        <f ca="1">_xll.BDH($C$303,"TOTAL_DEBT_5_YEAR_GROWTH","FQ1 2016","FQ1 2016","Currency=INR","Period=FQ","BEST_FPERIOD_OVERRIDE=FQ","FILING_STATUS=OR","EQY_CONSOLIDATED=Y","Sort=A","Dates=H","DateFormat=P","Fill=—","Direction=H","UseDPDF=Y")</f>
        <v>#NAME?</v>
      </c>
      <c r="BB314" s="2" t="e">
        <f ca="1">_xll.BDH($C$303,"GEO_GROW_TOT_SHRHLDR_EQY","FQ1 2016","FQ1 2016","Currency=INR","Period=FQ","BEST_FPERIOD_OVERRIDE=FQ","FILING_STATUS=OR","EQY_CONSOLIDATED=Y","Sort=A","Dates=H","DateFormat=P","Fill=—","Direction=H","UseDPDF=Y")</f>
        <v>#NAME?</v>
      </c>
      <c r="BC314" s="2" t="e">
        <f ca="1">_xll.BDH($C$303,"TOTAL_CAPITAL_5_YEAR_GROWTH","FQ1 2016","FQ1 2016","Currency=INR","Period=FQ","BEST_FPERIOD_OVERRIDE=FQ","FILING_STATUS=OR","EQY_CONSOLIDATED=Y","Sort=A","Dates=H","DateFormat=P","Fill=—","Direction=H","UseDPDF=Y")</f>
        <v>#NAME?</v>
      </c>
      <c r="BD314" s="2" t="e">
        <f ca="1">_xll.BDH($C$303,"GEO_GROW_BOOK_VAL","FQ1 2016","FQ1 2016","Currency=INR","Period=FQ","BEST_FPERIOD_OVERRIDE=FQ","FILING_STATUS=OR","EQY_CONSOLIDATED=Y","Sort=A","Dates=H","DateFormat=P","Fill=—","Direction=H","UseDPDF=Y")</f>
        <v>#NAME?</v>
      </c>
      <c r="BE314" s="2" t="e">
        <f ca="1">_xll.BDH($C$303,"GEO_GROW_CASH_OPER_ACT","FQ1 2016","FQ1 2016","Currency=INR","Period=FQ","BEST_FPERIOD_OVERRIDE=FQ","FILING_STATUS=OR","EQY_CONSOLIDATED=Y","Sort=A","Dates=H","DateFormat=P","Fill=—","Direction=H","UseDPDF=Y")</f>
        <v>#NAME?</v>
      </c>
      <c r="BF314" s="2" t="e">
        <f ca="1">_xll.BDH($C$303,"REVENUE_SEQUENTIAL_GROWTH","FQ1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314" s="2" t="e">
        <f ca="1">_xll.BDH($C$303,"EBITDA_SEQUENTIAL_GROWTH","FQ1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314" s="2" t="e">
        <f ca="1">_xll.BDH($C$303,"OPERATING_INCOME_SEQ_GROWTH","FQ1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314" s="2" t="e">
        <f ca="1">_xll.BDH($C$303,"NET_INCOME_TO_COMMON_SEQ_GROWTH","FQ1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314" s="2" t="e">
        <f ca="1">_xll.BDH($C$303,"EPS_DILUTED_SEQUENTIAL_GROWTH","FQ1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314" s="2" t="e">
        <f ca="1">_xll.BDH($C$303,"DPS_SEQUENTIAL_GROWTH","FQ1 2016","FQ1 2016","Currency=INR","Period=FQ","BEST_FPERIOD_OVERRIDE=FQ","FILING_STATUS=OR","EQY_CONSOLIDATED=Y","Sort=A","Dates=H","DateFormat=P","Fill=—","Direction=H","UseDPDF=Y")</f>
        <v>#NAME?</v>
      </c>
      <c r="BL314" s="2" t="e">
        <f ca="1">_xll.BDH($C$303,"ACCOUNTS_RECEIVABLE_SEQ_GROWTH","FQ1 2016","FQ1 2016","Currency=INR","Period=FQ","BEST_FPERIOD_OVERRIDE=FQ","FILING_STATUS=OR","EQY_CONSOLIDATED=Y","Sort=A","Dates=H","DateFormat=P","Fill=—","Direction=H","UseDPDF=Y")</f>
        <v>#NAME?</v>
      </c>
      <c r="BM314" s="2" t="e">
        <f ca="1">_xll.BDH($C$303,"INVENTORY_SEQUENTIAL_GROWTH","FQ1 2016","FQ1 2016","Currency=INR","Period=FQ","BEST_FPERIOD_OVERRIDE=FQ","FILING_STATUS=OR","EQY_CONSOLIDATED=Y","Sort=A","Dates=H","DateFormat=P","Fill=—","Direction=H","UseDPDF=Y")</f>
        <v>#NAME?</v>
      </c>
      <c r="BN314" s="2" t="e">
        <f ca="1">_xll.BDH($C$303,"FIXED_ASSETS_SEQUENTIAL_GROWTH","FQ1 2016","FQ1 2016","Currency=INR","Period=FQ","BEST_FPERIOD_OVERRIDE=FQ","FILING_STATUS=OR","EQY_CONSOLIDATED=Y","Sort=A","Dates=H","DateFormat=P","Fill=—","Direction=H","UseDPDF=Y")</f>
        <v>#NAME?</v>
      </c>
      <c r="BO314" s="2" t="e">
        <f ca="1">_xll.BDH($C$303,"TOTAL_ASSETS_SEQUENTIAL_GROWTH","FQ1 2016","FQ1 2016","Currency=INR","Period=FQ","BEST_FPERIOD_OVERRIDE=FQ","FILING_STATUS=OR","EQY_CONSOLIDATED=Y","Sort=A","Dates=H","DateFormat=P","Fill=—","Direction=H","UseDPDF=Y")</f>
        <v>#NAME?</v>
      </c>
      <c r="BP314" s="2" t="e">
        <f ca="1">_xll.BDH($C$303,"MODIFIED_WORKING_CPTL_SEQ_GRWTH","FQ1 2016","FQ1 2016","Currency=INR","Period=FQ","BEST_FPERIOD_OVERRIDE=FQ","FILING_STATUS=OR","EQY_CONSOLIDATED=Y","Sort=A","Dates=H","DateFormat=P","Fill=—","Direction=H","UseDPDF=Y")</f>
        <v>#NAME?</v>
      </c>
      <c r="BQ314" s="2" t="e">
        <f ca="1">_xll.BDH($C$303,"WORKING_CAPITAL_SEQ_GROWTH","FQ1 2016","FQ1 2016","Currency=INR","Period=FQ","BEST_FPERIOD_OVERRIDE=FQ","FILING_STATUS=OR","EQY_CONSOLIDATED=Y","Sort=A","Dates=H","DateFormat=P","Fill=—","Direction=H","UseDPDF=Y")</f>
        <v>#NAME?</v>
      </c>
      <c r="BR314" s="2" t="e">
        <f ca="1">_xll.BDH($C$303,"ACCOUNTS_PAYABLE_SEQ_GROWTH","FQ1 2016","FQ1 2016","Currency=INR","Period=FQ","BEST_FPERIOD_OVERRIDE=FQ","FILING_STATUS=OR","EQY_CONSOLIDATED=Y","Sort=A","Dates=H","DateFormat=P","Fill=—","Direction=H","UseDPDF=Y")</f>
        <v>#NAME?</v>
      </c>
      <c r="BS314" s="2" t="e">
        <f ca="1">_xll.BDH($C$303,"ST_DEBT_SEQUENTIAL_GROWTH","FQ1 2016","FQ1 2016","Currency=INR","Period=FQ","BEST_FPERIOD_OVERRIDE=FQ","FILING_STATUS=OR","EQY_CONSOLIDATED=Y","Sort=A","Dates=H","DateFormat=P","Fill=—","Direction=H","UseDPDF=Y")</f>
        <v>#NAME?</v>
      </c>
      <c r="BT314" s="2" t="e">
        <f ca="1">_xll.BDH($C$303,"TOTAL_DEBT_SEQUENTIAL_GROWTH","FQ1 2016","FQ1 2016","Currency=INR","Period=FQ","BEST_FPERIOD_OVERRIDE=FQ","FILING_STATUS=OR","EQY_CONSOLIDATED=Y","Sort=A","Dates=H","DateFormat=P","Fill=—","Direction=H","UseDPDF=Y")</f>
        <v>#NAME?</v>
      </c>
      <c r="BU314" s="2" t="e">
        <f ca="1">_xll.BDH($C$303,"TOTAL_EQUITY_SEQUENTIAL_GROWTH","FQ1 2016","FQ1 2016","Currency=INR","Period=FQ","BEST_FPERIOD_OVERRIDE=FQ","FILING_STATUS=OR","EQY_CONSOLIDATED=Y","Sort=A","Dates=H","DateFormat=P","Fill=—","Direction=H","UseDPDF=Y")</f>
        <v>#NAME?</v>
      </c>
      <c r="BV314" s="2" t="e">
        <f ca="1">_xll.BDH($C$303,"TOTAL_CAPITAL_SEQUENTIAL_GROWTH","FQ1 2016","FQ1 2016","Currency=INR","Period=FQ","BEST_FPERIOD_OVERRIDE=FQ","FILING_STATUS=OR","EQY_CONSOLIDATED=Y","Sort=A","Dates=H","DateFormat=P","Fill=—","Direction=H","UseDPDF=Y")</f>
        <v>#NAME?</v>
      </c>
      <c r="BW314" s="2" t="e">
        <f ca="1">_xll.BDH($C$303,"BPS_SEQUENTIAL_GROWTH","FQ1 2016","FQ1 2016","Currency=INR","Period=FQ","BEST_FPERIOD_OVERRIDE=FQ","FILING_STATUS=OR","EQY_CONSOLIDATED=Y","Sort=A","Dates=H","DateFormat=P","Fill=—","Direction=H","UseDPDF=Y")</f>
        <v>#NAME?</v>
      </c>
      <c r="BX314" s="2" t="e">
        <f ca="1">_xll.BDH($C$303,"CFO_SEQUENTIAL_GROWTH","FQ1 2016","FQ1 2016","Currency=INR","Period=FQ","BEST_FPERIOD_OVERRIDE=FQ","FILING_STATUS=OR","EQY_CONSOLIDATED=Y","Sort=A","Dates=H","DateFormat=P","Fill=—","Direction=H","UseDPDF=Y")</f>
        <v>#NAME?</v>
      </c>
      <c r="BY314" s="3" t="e">
        <f ca="1">_xll.BDH($C$303,"SHORT_AND_LONG_TERM_DEBT","FQ1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314" s="3" t="e">
        <f ca="1">_xll.BDH($C$303,"BS_ST_BORROW","FQ1 2016","FQ1 2016","Currency=INR","Period=FQ","BEST_FPERIOD_OVERRIDE=FQ","FILING_STATUS=OR","EQY_CONSOLIDATED=Y","SCALING_FORMAT=MLN","Sort=A","Dates=H","DateFormat=P","Fill=—","Direction=H","UseDPDF=Y")</f>
        <v>#NAME?</v>
      </c>
      <c r="CA314" s="3" t="e">
        <f ca="1">_xll.BDH($C$303,"BS_LT_BORROW","FQ1 2016","FQ1 2016","Currency=INR","Period=FQ","BEST_FPERIOD_OVERRIDE=FQ","FILING_STATUS=OR","EQY_CONSOLIDATED=Y","SCALING_FORMAT=MLN","Sort=A","Dates=H","DateFormat=P","Fill=—","Direction=H","UseDPDF=Y")</f>
        <v>#NAME?</v>
      </c>
      <c r="CB314" s="2" t="e">
        <f ca="1">_xll.BDH($C$303,"TOT_DEBT_TO_EBITDA","FQ1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314" s="2" t="e">
        <f ca="1">_xll.BDH($C$303,"NET_DEBT_TO_EBITDA","FQ1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314" s="2" t="e">
        <f ca="1">_xll.BDH($C$303,"TOTAL_DEBT_TO_EBIT","FQ1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314" s="2" t="e">
        <f ca="1">_xll.BDH($C$303,"NET_DEBT_TO_EBIT","FQ1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314" s="2" t="e">
        <f ca="1">_xll.BDH($C$303,"EBITDA_TO_INTEREST_EXPN","FQ1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314" s="2" t="e">
        <f ca="1">_xll.BDH($C$303,"COM_EQY_TO_TOT_ASSET","FQ1 2016","FQ1 2016","Currency=INR","Period=FQ","BEST_FPERIOD_OVERRIDE=FQ","FILING_STATUS=OR","EQY_CONSOLIDATED=Y","Sort=A","Dates=H","DateFormat=P","Fill=—","Direction=H","UseDPDF=Y")</f>
        <v>#NAME?</v>
      </c>
      <c r="CH314" s="2" t="e">
        <f ca="1">_xll.BDH($C$303,"LT_DEBT_TO_TOT_EQY","FQ1 2016","FQ1 2016","Currency=INR","Period=FQ","BEST_FPERIOD_OVERRIDE=FQ","FILING_STATUS=OR","EQY_CONSOLIDATED=Y","Sort=A","Dates=H","DateFormat=P","Fill=—","Direction=H","UseDPDF=Y")</f>
        <v>#NAME?</v>
      </c>
      <c r="CI314" s="2" t="e">
        <f ca="1">_xll.BDH($C$303,"LT_DEBT_TO_TOT_CAP","FQ1 2016","FQ1 2016","Currency=INR","Period=FQ","BEST_FPERIOD_OVERRIDE=FQ","FILING_STATUS=OR","EQY_CONSOLIDATED=Y","Sort=A","Dates=H","DateFormat=P","Fill=—","Direction=H","UseDPDF=Y")</f>
        <v>#NAME?</v>
      </c>
      <c r="CJ314" s="2" t="e">
        <f ca="1">_xll.BDH($C$303,"LT_DEBT_TO_TOT_ASSET","FQ1 2016","FQ1 2016","Currency=INR","Period=FQ","BEST_FPERIOD_OVERRIDE=FQ","FILING_STATUS=OR","EQY_CONSOLIDATED=Y","Sort=A","Dates=H","DateFormat=P","Fill=—","Direction=H","UseDPDF=Y")</f>
        <v>#NAME?</v>
      </c>
      <c r="CK314" s="2" t="e">
        <f ca="1">_xll.BDH($C$303,"TOT_DEBT_TO_TOT_EQY","FQ1 2016","FQ1 2016","Currency=INR","Period=FQ","BEST_FPERIOD_OVERRIDE=FQ","FILING_STATUS=OR","EQY_CONSOLIDATED=Y","Sort=A","Dates=H","DateFormat=P","Fill=—","Direction=H","UseDPDF=Y")</f>
        <v>#NAME?</v>
      </c>
      <c r="CL314" s="2" t="e">
        <f ca="1">_xll.BDH($C$303,"TOT_DEBT_TO_TOT_CAP","FQ1 2016","FQ1 2016","Currency=INR","Period=FQ","BEST_FPERIOD_OVERRIDE=FQ","FILING_STATUS=OR","EQY_CONSOLIDATED=Y","Sort=A","Dates=H","DateFormat=P","Fill=—","Direction=H","UseDPDF=Y")</f>
        <v>#NAME?</v>
      </c>
      <c r="CM314" s="2" t="e">
        <f ca="1">_xll.BDH($C$303,"TOT_DEBT_TO_TOT_ASSET","FQ1 2016","FQ1 2016","Currency=INR","Period=FQ","BEST_FPERIOD_OVERRIDE=FQ","FILING_STATUS=OR","EQY_CONSOLIDATED=Y","Sort=A","Dates=H","DateFormat=P","Fill=—","Direction=H","UseDPDF=Y")</f>
        <v>#NAME?</v>
      </c>
      <c r="CN314" s="2" t="e">
        <f ca="1">_xll.BDH($C$303,"NET_DEBT_TO_SHRHLDR_EQTY","FQ1 2016","FQ1 2016","Currency=INR","Period=FQ","BEST_FPERIOD_OVERRIDE=FQ","FILING_STATUS=OR","EQY_CONSOLIDATED=Y","Sort=A","Dates=H","DateFormat=P","Fill=—","Direction=H","UseDPDF=Y")</f>
        <v>#NAME?</v>
      </c>
      <c r="CO314" s="2" t="e">
        <f ca="1">_xll.BDH($C$303,"NET_DEBT_%_CAPITAL","FQ1 2016","FQ1 2016","Currency=INR","Period=FQ","BEST_FPERIOD_OVERRIDE=FQ","FILING_STATUS=OR","EQY_CONSOLIDATED=Y","Sort=A","Dates=H","DateFormat=P","Fill=—","Direction=H","UseDPDF=Y")</f>
        <v>#NAME?</v>
      </c>
      <c r="CP314" s="3" t="e">
        <f ca="1">_xll.BDH($C$303,"EBITDA","FQ1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314" s="3" t="e">
        <f ca="1">_xll.BDH($C$303,"EBITDA_AFTER_CAPEX","FQ1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314" s="3" t="e">
        <f ca="1">_xll.BDH($C$303,"IS_OPER_INC","FQ1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314" s="2" t="e">
        <f ca="1">_xll.BDH($C$303,"CASH_RATIO","FQ1 2016","FQ1 2016","Currency=INR","Period=FQ","BEST_FPERIOD_OVERRIDE=FQ","FILING_STATUS=OR","EQY_CONSOLIDATED=Y","Sort=A","Dates=H","DateFormat=P","Fill=—","Direction=H","UseDPDF=Y")</f>
        <v>#NAME?</v>
      </c>
      <c r="CT314" s="2" t="e">
        <f ca="1">_xll.BDH($C$303,"CUR_RATIO","FQ1 2016","FQ1 2016","Currency=INR","Period=FQ","BEST_FPERIOD_OVERRIDE=FQ","FILING_STATUS=OR","EQY_CONSOLIDATED=Y","Sort=A","Dates=H","DateFormat=P","Fill=—","Direction=H","UseDPDF=Y")</f>
        <v>#NAME?</v>
      </c>
      <c r="CU314" s="2" t="e">
        <f ca="1">_xll.BDH($C$303,"QUICK_RATIO","FQ1 2016","FQ1 2016","Currency=INR","Period=FQ","BEST_FPERIOD_OVERRIDE=FQ","FILING_STATUS=OR","EQY_CONSOLIDATED=Y","Sort=A","Dates=H","DateFormat=P","Fill=—","Direction=H","UseDPDF=Y")</f>
        <v>#NAME?</v>
      </c>
      <c r="CV314" s="2" t="e">
        <f ca="1">_xll.BDH($C$303,"ALTMAN_Z_SCORE","FQ1 2016","FQ1 2016","Currency=INR","Period=FQ","BEST_FPERIOD_OVERRIDE=FQ","FILING_STATUS=OR","EQY_CONSOLIDATED=Y","Sort=A","Dates=H","DateFormat=P","Fill=—","Direction=H","UseDPDF=Y")</f>
        <v>#NAME?</v>
      </c>
      <c r="CW314" s="4" t="e">
        <f ca="1">_xll.BDH($C$303,"ACCT_RCV_TURN","FQ1 2016","FQ1 2016","Currency=INR","Period=FQ","BEST_FPERIOD_OVERRIDE=FQ","FILING_STATUS=OR","EQY_CONSOLIDATED=Y","FA_ADJUSTED=GAAP","Sort=A","Dates=H","DateFormat=P","Fill=—","Direction=H","UseDPDF=Y")</f>
        <v>#NAME?</v>
      </c>
      <c r="CX314" s="2" t="e">
        <f ca="1">_xll.BDH($C$303,"ACCT_RCV_DAYS","FQ1 2016","FQ1 2016","Currency=INR","Period=FQ","BEST_FPERIOD_OVERRIDE=FQ","FILING_STATUS=OR","EQY_CONSOLIDATED=Y","FA_ADJUSTED=GAAP","Sort=A","Dates=H","DateFormat=P","Fill=—","Direction=H","UseDPDF=Y")</f>
        <v>#NAME?</v>
      </c>
      <c r="CY314" s="4" t="e">
        <f ca="1">_xll.BDH($C$303,"INVENT_TURN","FQ1 2016","FQ1 2016","Currency=INR","Period=FQ","BEST_FPERIOD_OVERRIDE=FQ","FILING_STATUS=OR","EQY_CONSOLIDATED=Y","FA_ADJUSTED=GAAP","Sort=A","Dates=H","DateFormat=P","Fill=—","Direction=H","UseDPDF=Y")</f>
        <v>#NAME?</v>
      </c>
      <c r="CZ314" s="2" t="e">
        <f ca="1">_xll.BDH($C$303,"INVENT_DAYS","FQ1 2016","FQ1 2016","Currency=INR","Period=FQ","BEST_FPERIOD_OVERRIDE=FQ","FILING_STATUS=OR","EQY_CONSOLIDATED=Y","FA_ADJUSTED=GAAP","Sort=A","Dates=H","DateFormat=P","Fill=—","Direction=H","UseDPDF=Y")</f>
        <v>#NAME?</v>
      </c>
      <c r="DA314" s="4" t="e">
        <f ca="1">_xll.BDH($C$303,"ACCOUNTS_PAYABLE_TURNOVER","FQ1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314" s="2" t="e">
        <f ca="1">_xll.BDH($C$303,"ACCOUNTS_PAYABLE_TURNOVER_DAYS","FQ1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314" s="4" t="e">
        <f ca="1">_xll.BDH($C$303,"CASH_CONVERSION_CYCLE","FQ1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314" s="4" t="e">
        <f ca="1">_xll.BDH($C$303,"INV_TO_CASH_DAYS","FQ1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314" s="5" t="e">
        <f ca="1">_xll.BDH($C$303,"BS_INVENTORIES","FQ1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314" s="3" t="e">
        <f ca="1">_xll.BDH($C$303,"INVTRY_RAW_MATERIALS","FQ1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314" s="3" t="e">
        <f ca="1">_xll.BDH($C$303,"INVTRY_IN_PROGRESS","FQ1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314" s="3" t="e">
        <f ca="1">_xll.BDH($C$303,"INVTRY_FINISHED_GOODS","FQ1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314" s="3" t="e">
        <f ca="1">_xll.BDH($C$303,"BS_OTHER_INV","FQ1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315" spans="1:113" x14ac:dyDescent="0.3">
      <c r="A315" s="6"/>
      <c r="B315" s="6"/>
      <c r="C315" s="6"/>
      <c r="D315" s="6"/>
      <c r="E315" t="s">
        <v>79</v>
      </c>
      <c r="F315" t="e">
        <f ca="1">_xll.BDH($C$303,"RETURN_COM_EQY","FQ2 2016","FQ2 2016","Currency=INR","Period=FQ","BEST_FPERIOD_OVERRIDE=FQ","FILING_STATUS=OR","EQY_CONSOLIDATED=Y","FA_ADJUSTED=GAAP","Sort=A","Dates=H","DateFormat=P","Fill=—","Direction=H","UseDPDF=Y")</f>
        <v>#NAME?</v>
      </c>
      <c r="G315" t="e">
        <f ca="1">_xll.BDH($C$303,"RETURN_ON_ASSET","FQ2 2016","FQ2 2016","Currency=INR","Period=FQ","BEST_FPERIOD_OVERRIDE=FQ","FILING_STATUS=OR","EQY_CONSOLIDATED=Y","FA_ADJUSTED=GAAP","Sort=A","Dates=H","DateFormat=P","Fill=—","Direction=H","UseDPDF=Y")</f>
        <v>#NAME?</v>
      </c>
      <c r="H315" t="e">
        <f ca="1">_xll.BDH($C$303,"RETURN_ON_CAP","FQ2 2016","FQ2 2016","Currency=INR","Period=FQ","BEST_FPERIOD_OVERRIDE=FQ","FILING_STATUS=OR","EQY_CONSOLIDATED=Y","FA_ADJUSTED=GAAP","Sort=A","Dates=H","DateFormat=P","Fill=—","Direction=H","UseDPDF=Y")</f>
        <v>#NAME?</v>
      </c>
      <c r="I315" t="e">
        <f ca="1">_xll.BDH($C$303,"RETURN_ON_INV_CAPITAL","FQ2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315" t="e">
        <f ca="1">_xll.BDH($C$303,"EBITDA_TO_REVENUE","FQ2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315" t="e">
        <f ca="1">_xll.BDH($C$303,"OPER_MARGIN","FQ2 2016","FQ2 2016","Currency=INR","Period=FQ","BEST_FPERIOD_OVERRIDE=FQ","FILING_STATUS=OR","EQY_CONSOLIDATED=Y","FA_ADJUSTED=GAAP","Sort=A","Dates=H","DateFormat=P","Fill=—","Direction=H","UseDPDF=Y")</f>
        <v>#NAME?</v>
      </c>
      <c r="L315" t="e">
        <f ca="1">_xll.BDH($C$303,"INCREMENTAL_OPERATING_MARGIN","FQ2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315" t="e">
        <f ca="1">_xll.BDH($C$303,"PRETAX_INC_TO_NET_SALES","FQ2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315" t="e">
        <f ca="1">_xll.BDH($C$303,"INC_BEF_XO_ITEMS_TO_NET_SALES","FQ2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315" t="e">
        <f ca="1">_xll.BDH($C$303,"PROF_MARGIN","FQ2 2016","FQ2 2016","Currency=INR","Period=FQ","BEST_FPERIOD_OVERRIDE=FQ","FILING_STATUS=OR","EQY_CONSOLIDATED=Y","FA_ADJUSTED=GAAP","Sort=A","Dates=H","DateFormat=P","Fill=—","Direction=H","UseDPDF=Y")</f>
        <v>#NAME?</v>
      </c>
      <c r="P315" t="e">
        <f ca="1">_xll.BDH($C$303,"NET_INCOME_TO_COMMON_MARGIN","FQ2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315" t="e">
        <f ca="1">_xll.BDH($C$303,"EFF_TAX_RATE","FQ2 2016","FQ2 2016","Currency=INR","Period=FQ","BEST_FPERIOD_OVERRIDE=FQ","FILING_STATUS=OR","EQY_CONSOLIDATED=Y","FA_ADJUSTED=GAAP","Sort=A","Dates=H","DateFormat=P","Fill=—","Direction=H","UseDPDF=Y")</f>
        <v>#NAME?</v>
      </c>
      <c r="R315" t="e">
        <f ca="1">_xll.BDH($C$303,"DVD_PAYOUT_RATIO","FQ2 2016","FQ2 2016","Currency=INR","Period=FQ","BEST_FPERIOD_OVERRIDE=FQ","FILING_STATUS=OR","EQY_CONSOLIDATED=Y","FA_ADJUSTED=GAAP","Sort=A","Dates=H","DateFormat=P","Fill=—","Direction=H","UseDPDF=Y")</f>
        <v>#NAME?</v>
      </c>
      <c r="S315" t="e">
        <f ca="1">_xll.BDH($C$303,"SUSTAIN_GROWTH_RT","FQ2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315" s="2" t="e">
        <f ca="1">_xll.BDH($C$303,"SALES_GROWTH","FQ2 2016","FQ2 2016","Currency=INR","Period=FQ","BEST_FPERIOD_OVERRIDE=FQ","FILING_STATUS=OR","EQY_CONSOLIDATED=Y","FA_ADJUSTED=GAAP","Sort=A","Dates=H","DateFormat=P","Fill=—","Direction=H","UseDPDF=Y")</f>
        <v>#NAME?</v>
      </c>
      <c r="U315" s="2" t="e">
        <f ca="1">_xll.BDH($C$303,"EBITDA_GROWTH","FQ2 2016","FQ2 2016","Currency=INR","Period=FQ","BEST_FPERIOD_OVERRIDE=FQ","FILING_STATUS=OR","EQY_CONSOLIDATED=Y","FA_ADJUSTED=GAAP","Sort=A","Dates=H","DateFormat=P","Fill=—","Direction=H","UseDPDF=Y")</f>
        <v>#NAME?</v>
      </c>
      <c r="V315" s="2" t="e">
        <f ca="1">_xll.BDH($C$303,"OPER_INC_GROWTH","FQ2 2016","FQ2 2016","Currency=INR","Period=FQ","BEST_FPERIOD_OVERRIDE=FQ","FILING_STATUS=OR","EQY_CONSOLIDATED=Y","FA_ADJUSTED=GAAP","Sort=A","Dates=H","DateFormat=P","Fill=—","Direction=H","UseDPDF=Y")</f>
        <v>#NAME?</v>
      </c>
      <c r="W315" s="2" t="e">
        <f ca="1">_xll.BDH($C$303,"EARN_FOR_COM_GROWTH","FQ2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315" s="2" t="e">
        <f ca="1">_xll.BDH($C$303,"DILUTED_EPS_AFT_XO_ITEMS_GROWTH","FQ2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315" s="2" t="e">
        <f ca="1">_xll.BDH($C$303,"DIVIDEND_PER_SHARE_1_YEAR_GROWTH","FQ2 2016","FQ2 2016","Currency=INR","Period=FQ","BEST_FPERIOD_OVERRIDE=FQ","FILING_STATUS=OR","EQY_CONSOLIDATED=Y","Sort=A","Dates=H","DateFormat=P","Fill=—","Direction=H","UseDPDF=Y")</f>
        <v>#NAME?</v>
      </c>
      <c r="Z315" s="2" t="e">
        <f ca="1">_xll.BDH($C$303,"ACCOUNTS_RECEIVABLE_GROWTH","FQ2 2016","FQ2 2016","Currency=INR","Period=FQ","BEST_FPERIOD_OVERRIDE=FQ","FILING_STATUS=OR","EQY_CONSOLIDATED=Y","Sort=A","Dates=H","DateFormat=P","Fill=—","Direction=H","UseDPDF=Y")</f>
        <v>#NAME?</v>
      </c>
      <c r="AA315" s="2" t="e">
        <f ca="1">_xll.BDH($C$303,"INVENTORY_GROWTH","FQ2 2016","FQ2 2016","Currency=INR","Period=FQ","BEST_FPERIOD_OVERRIDE=FQ","FILING_STATUS=OR","EQY_CONSOLIDATED=Y","Sort=A","Dates=H","DateFormat=P","Fill=—","Direction=H","UseDPDF=Y")</f>
        <v>#NAME?</v>
      </c>
      <c r="AB315" s="2" t="e">
        <f ca="1">_xll.BDH($C$303,"NET_FIXED_ASSETS_1_YEAR_GROWTH","FQ2 2016","FQ2 2016","Currency=INR","Period=FQ","BEST_FPERIOD_OVERRIDE=FQ","FILING_STATUS=OR","EQY_CONSOLIDATED=Y","Sort=A","Dates=H","DateFormat=P","Fill=—","Direction=H","UseDPDF=Y")</f>
        <v>#NAME?</v>
      </c>
      <c r="AC315" s="2" t="e">
        <f ca="1">_xll.BDH($C$303,"ASSET_GROWTH","FQ2 2016","FQ2 2016","Currency=INR","Period=FQ","BEST_FPERIOD_OVERRIDE=FQ","FILING_STATUS=OR","EQY_CONSOLIDATED=Y","Sort=A","Dates=H","DateFormat=P","Fill=—","Direction=H","UseDPDF=Y")</f>
        <v>#NAME?</v>
      </c>
      <c r="AD315" s="2" t="e">
        <f ca="1">_xll.BDH($C$303,"MODIFIED_WORK_CAP_GROWTH","FQ2 2016","FQ2 2016","Currency=INR","Period=FQ","BEST_FPERIOD_OVERRIDE=FQ","FILING_STATUS=OR","EQY_CONSOLIDATED=Y","Sort=A","Dates=H","DateFormat=P","Fill=—","Direction=H","UseDPDF=Y")</f>
        <v>#NAME?</v>
      </c>
      <c r="AE315" s="2" t="e">
        <f ca="1">_xll.BDH($C$303,"WORK_CAP_GROWTH","FQ2 2016","FQ2 2016","Currency=INR","Period=FQ","BEST_FPERIOD_OVERRIDE=FQ","FILING_STATUS=OR","EQY_CONSOLIDATED=Y","Sort=A","Dates=H","DateFormat=P","Fill=—","Direction=H","UseDPDF=Y")</f>
        <v>#NAME?</v>
      </c>
      <c r="AF315" s="2" t="e">
        <f ca="1">_xll.BDH($C$303,"ACCOUNTS_PAYABLE_GROWTH_1YR","FQ2 2016","FQ2 2016","Currency=INR","Period=FQ","BEST_FPERIOD_OVERRIDE=FQ","FILING_STATUS=OR","EQY_CONSOLIDATED=Y","Sort=A","Dates=H","DateFormat=P","Fill=—","Direction=H","UseDPDF=Y")</f>
        <v>#NAME?</v>
      </c>
      <c r="AG315" s="2" t="e">
        <f ca="1">_xll.BDH($C$303,"SHORT_TERM_DEBT_1_YEAR_GROWTH","FQ2 2016","FQ2 2016","Currency=INR","Period=FQ","BEST_FPERIOD_OVERRIDE=FQ","FILING_STATUS=OR","EQY_CONSOLIDATED=Y","Sort=A","Dates=H","DateFormat=P","Fill=—","Direction=H","UseDPDF=Y")</f>
        <v>#NAME?</v>
      </c>
      <c r="AH315" s="2" t="e">
        <f ca="1">_xll.BDH($C$303,"TOTAL_DEBT_1_YEAR_GROWTH","FQ2 2016","FQ2 2016","Currency=INR","Period=FQ","BEST_FPERIOD_OVERRIDE=FQ","FILING_STATUS=OR","EQY_CONSOLIDATED=Y","Sort=A","Dates=H","DateFormat=P","Fill=—","Direction=H","UseDPDF=Y")</f>
        <v>#NAME?</v>
      </c>
      <c r="AI315" s="2" t="e">
        <f ca="1">_xll.BDH($C$303,"TOTAL_EQUITY_1_YEAR_GROWTH","FQ2 2016","FQ2 2016","Currency=INR","Period=FQ","BEST_FPERIOD_OVERRIDE=FQ","FILING_STATUS=OR","EQY_CONSOLIDATED=Y","Sort=A","Dates=H","DateFormat=P","Fill=—","Direction=H","UseDPDF=Y")</f>
        <v>#NAME?</v>
      </c>
      <c r="AJ315" s="2" t="e">
        <f ca="1">_xll.BDH($C$303,"GROWTH_IN_CAP","FQ2 2016","FQ2 2016","Currency=INR","Period=FQ","BEST_FPERIOD_OVERRIDE=FQ","FILING_STATUS=OR","EQY_CONSOLIDATED=Y","Sort=A","Dates=H","DateFormat=P","Fill=—","Direction=H","UseDPDF=Y")</f>
        <v>#NAME?</v>
      </c>
      <c r="AK315" s="2" t="e">
        <f ca="1">_xll.BDH($C$303,"BVPS_GROWTH","FQ2 2016","FQ2 2016","Currency=INR","Period=FQ","BEST_FPERIOD_OVERRIDE=FQ","FILING_STATUS=OR","EQY_CONSOLIDATED=Y","Sort=A","Dates=H","DateFormat=P","Fill=—","Direction=H","UseDPDF=Y")</f>
        <v>#NAME?</v>
      </c>
      <c r="AL315" s="2" t="e">
        <f ca="1">_xll.BDH($C$303,"CASH_FLOW_GROWTH","FQ2 2016","FQ2 2016","Currency=INR","Period=FQ","BEST_FPERIOD_OVERRIDE=FQ","FILING_STATUS=OR","EQY_CONSOLIDATED=Y","Sort=A","Dates=H","DateFormat=P","Fill=—","Direction=H","UseDPDF=Y")</f>
        <v>#NAME?</v>
      </c>
      <c r="AM315" s="2" t="e">
        <f ca="1">_xll.BDH($C$303,"GEO_GROW_NET_SALES","FQ2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315" s="2" t="e">
        <f ca="1">_xll.BDH($C$303,"GEO_GROW_EBITDA","FQ2 2016","FQ2 2016","Currency=INR","Period=FQ","BEST_FPERIOD_OVERRIDE=FQ","FILING_STATUS=OR","EQY_CONSOLIDATED=Y","FA_ADJUSTED=GAAP","Sort=A","Dates=H","DateFormat=P","Fill=—","Direction=H","UseDPDF=Y")</f>
        <v>#NAME?</v>
      </c>
      <c r="AO315" s="2" t="e">
        <f ca="1">_xll.BDH($C$303,"GEO_GROW_OPER_INC","FQ2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315" s="2" t="e">
        <f ca="1">_xll.BDH($C$303,"NET_INCOME_TO_COMMON_5_YR_GROWTH","FQ2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315" s="2" t="e">
        <f ca="1">_xll.BDH($C$303,"5Y_GEO_GROWTH_DILUTED_EPS","FQ2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315" s="2" t="e">
        <f ca="1">_xll.BDH($C$303,"GEO_GROW_DVD_PER_SH","FQ2 2016","FQ2 2016","Currency=INR","Period=FQ","BEST_FPERIOD_OVERRIDE=FQ","FILING_STATUS=OR","EQY_CONSOLIDATED=Y","Sort=A","Dates=H","DateFormat=P","Fill=—","Direction=H","UseDPDF=Y")</f>
        <v>#NAME?</v>
      </c>
      <c r="AS315" s="2" t="e">
        <f ca="1">_xll.BDH($C$303,"ACCOUNTS_RECEIVABLE_5_YR_GROWTH","FQ2 2016","FQ2 2016","Currency=INR","Period=FQ","BEST_FPERIOD_OVERRIDE=FQ","FILING_STATUS=OR","EQY_CONSOLIDATED=Y","Sort=A","Dates=H","DateFormat=P","Fill=—","Direction=H","UseDPDF=Y")</f>
        <v>#NAME?</v>
      </c>
      <c r="AT315" s="2" t="e">
        <f ca="1">_xll.BDH($C$303,"INVENTORY_5_YEAR_GROWTH","FQ2 2016","FQ2 2016","Currency=INR","Period=FQ","BEST_FPERIOD_OVERRIDE=FQ","FILING_STATUS=OR","EQY_CONSOLIDATED=Y","Sort=A","Dates=H","DateFormat=P","Fill=—","Direction=H","UseDPDF=Y")</f>
        <v>#NAME?</v>
      </c>
      <c r="AU315" s="2" t="e">
        <f ca="1">_xll.BDH($C$303,"NET_FIXED_ASSETS_5_YEAR_GROWTH","FQ2 2016","FQ2 2016","Currency=INR","Period=FQ","BEST_FPERIOD_OVERRIDE=FQ","FILING_STATUS=OR","EQY_CONSOLIDATED=Y","Sort=A","Dates=H","DateFormat=P","Fill=—","Direction=H","UseDPDF=Y")</f>
        <v>#NAME?</v>
      </c>
      <c r="AV315" s="2" t="e">
        <f ca="1">_xll.BDH($C$303,"GEO_GROW_TOT_ASSET","FQ2 2016","FQ2 2016","Currency=INR","Period=FQ","BEST_FPERIOD_OVERRIDE=FQ","FILING_STATUS=OR","EQY_CONSOLIDATED=Y","Sort=A","Dates=H","DateFormat=P","Fill=—","Direction=H","UseDPDF=Y")</f>
        <v>#NAME?</v>
      </c>
      <c r="AW315" s="2" t="e">
        <f ca="1">_xll.BDH($C$303,"MODIFIED_WORKING_CPTL_5YR_GRWTH","FQ2 2016","FQ2 2016","Currency=INR","Period=FQ","BEST_FPERIOD_OVERRIDE=FQ","FILING_STATUS=OR","EQY_CONSOLIDATED=Y","Sort=A","Dates=H","DateFormat=P","Fill=—","Direction=H","UseDPDF=Y")</f>
        <v>#NAME?</v>
      </c>
      <c r="AX315" s="2" t="e">
        <f ca="1">_xll.BDH($C$303,"WORKING_CAPITAL_5_YEAR_GROWTH","FQ2 2016","FQ2 2016","Currency=INR","Period=FQ","BEST_FPERIOD_OVERRIDE=FQ","FILING_STATUS=OR","EQY_CONSOLIDATED=Y","Sort=A","Dates=H","DateFormat=P","Fill=—","Direction=H","UseDPDF=Y")</f>
        <v>#NAME?</v>
      </c>
      <c r="AY315" s="2" t="e">
        <f ca="1">_xll.BDH($C$303,"ACCOUNTS_PAYABLE_5_YEAR_GROWTH","FQ2 2016","FQ2 2016","Currency=INR","Period=FQ","BEST_FPERIOD_OVERRIDE=FQ","FILING_STATUS=OR","EQY_CONSOLIDATED=Y","Sort=A","Dates=H","DateFormat=P","Fill=—","Direction=H","UseDPDF=Y")</f>
        <v>#NAME?</v>
      </c>
      <c r="AZ315" s="2" t="e">
        <f ca="1">_xll.BDH($C$303,"SHORT_TERM_DEBT_5_YEAR_GROWTH","FQ2 2016","FQ2 2016","Currency=INR","Period=FQ","BEST_FPERIOD_OVERRIDE=FQ","FILING_STATUS=OR","EQY_CONSOLIDATED=Y","Sort=A","Dates=H","DateFormat=P","Fill=—","Direction=H","UseDPDF=Y")</f>
        <v>#NAME?</v>
      </c>
      <c r="BA315" s="2" t="e">
        <f ca="1">_xll.BDH($C$303,"TOTAL_DEBT_5_YEAR_GROWTH","FQ2 2016","FQ2 2016","Currency=INR","Period=FQ","BEST_FPERIOD_OVERRIDE=FQ","FILING_STATUS=OR","EQY_CONSOLIDATED=Y","Sort=A","Dates=H","DateFormat=P","Fill=—","Direction=H","UseDPDF=Y")</f>
        <v>#NAME?</v>
      </c>
      <c r="BB315" s="2" t="e">
        <f ca="1">_xll.BDH($C$303,"GEO_GROW_TOT_SHRHLDR_EQY","FQ2 2016","FQ2 2016","Currency=INR","Period=FQ","BEST_FPERIOD_OVERRIDE=FQ","FILING_STATUS=OR","EQY_CONSOLIDATED=Y","Sort=A","Dates=H","DateFormat=P","Fill=—","Direction=H","UseDPDF=Y")</f>
        <v>#NAME?</v>
      </c>
      <c r="BC315" s="2" t="e">
        <f ca="1">_xll.BDH($C$303,"TOTAL_CAPITAL_5_YEAR_GROWTH","FQ2 2016","FQ2 2016","Currency=INR","Period=FQ","BEST_FPERIOD_OVERRIDE=FQ","FILING_STATUS=OR","EQY_CONSOLIDATED=Y","Sort=A","Dates=H","DateFormat=P","Fill=—","Direction=H","UseDPDF=Y")</f>
        <v>#NAME?</v>
      </c>
      <c r="BD315" s="2" t="e">
        <f ca="1">_xll.BDH($C$303,"GEO_GROW_BOOK_VAL","FQ2 2016","FQ2 2016","Currency=INR","Period=FQ","BEST_FPERIOD_OVERRIDE=FQ","FILING_STATUS=OR","EQY_CONSOLIDATED=Y","Sort=A","Dates=H","DateFormat=P","Fill=—","Direction=H","UseDPDF=Y")</f>
        <v>#NAME?</v>
      </c>
      <c r="BE315" s="2" t="e">
        <f ca="1">_xll.BDH($C$303,"GEO_GROW_CASH_OPER_ACT","FQ2 2016","FQ2 2016","Currency=INR","Period=FQ","BEST_FPERIOD_OVERRIDE=FQ","FILING_STATUS=OR","EQY_CONSOLIDATED=Y","Sort=A","Dates=H","DateFormat=P","Fill=—","Direction=H","UseDPDF=Y")</f>
        <v>#NAME?</v>
      </c>
      <c r="BF315" s="2" t="e">
        <f ca="1">_xll.BDH($C$303,"REVENUE_SEQUENTIAL_GROWTH","FQ2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315" s="2" t="e">
        <f ca="1">_xll.BDH($C$303,"EBITDA_SEQUENTIAL_GROWTH","FQ2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315" s="2" t="e">
        <f ca="1">_xll.BDH($C$303,"OPERATING_INCOME_SEQ_GROWTH","FQ2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315" s="2" t="e">
        <f ca="1">_xll.BDH($C$303,"NET_INCOME_TO_COMMON_SEQ_GROWTH","FQ2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315" s="2" t="e">
        <f ca="1">_xll.BDH($C$303,"EPS_DILUTED_SEQUENTIAL_GROWTH","FQ2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315" s="2" t="e">
        <f ca="1">_xll.BDH($C$303,"DPS_SEQUENTIAL_GROWTH","FQ2 2016","FQ2 2016","Currency=INR","Period=FQ","BEST_FPERIOD_OVERRIDE=FQ","FILING_STATUS=OR","EQY_CONSOLIDATED=Y","Sort=A","Dates=H","DateFormat=P","Fill=—","Direction=H","UseDPDF=Y")</f>
        <v>#NAME?</v>
      </c>
      <c r="BL315" s="2" t="e">
        <f ca="1">_xll.BDH($C$303,"ACCOUNTS_RECEIVABLE_SEQ_GROWTH","FQ2 2016","FQ2 2016","Currency=INR","Period=FQ","BEST_FPERIOD_OVERRIDE=FQ","FILING_STATUS=OR","EQY_CONSOLIDATED=Y","Sort=A","Dates=H","DateFormat=P","Fill=—","Direction=H","UseDPDF=Y")</f>
        <v>#NAME?</v>
      </c>
      <c r="BM315" s="2" t="e">
        <f ca="1">_xll.BDH($C$303,"INVENTORY_SEQUENTIAL_GROWTH","FQ2 2016","FQ2 2016","Currency=INR","Period=FQ","BEST_FPERIOD_OVERRIDE=FQ","FILING_STATUS=OR","EQY_CONSOLIDATED=Y","Sort=A","Dates=H","DateFormat=P","Fill=—","Direction=H","UseDPDF=Y")</f>
        <v>#NAME?</v>
      </c>
      <c r="BN315" s="2" t="e">
        <f ca="1">_xll.BDH($C$303,"FIXED_ASSETS_SEQUENTIAL_GROWTH","FQ2 2016","FQ2 2016","Currency=INR","Period=FQ","BEST_FPERIOD_OVERRIDE=FQ","FILING_STATUS=OR","EQY_CONSOLIDATED=Y","Sort=A","Dates=H","DateFormat=P","Fill=—","Direction=H","UseDPDF=Y")</f>
        <v>#NAME?</v>
      </c>
      <c r="BO315" s="2" t="e">
        <f ca="1">_xll.BDH($C$303,"TOTAL_ASSETS_SEQUENTIAL_GROWTH","FQ2 2016","FQ2 2016","Currency=INR","Period=FQ","BEST_FPERIOD_OVERRIDE=FQ","FILING_STATUS=OR","EQY_CONSOLIDATED=Y","Sort=A","Dates=H","DateFormat=P","Fill=—","Direction=H","UseDPDF=Y")</f>
        <v>#NAME?</v>
      </c>
      <c r="BP315" s="2" t="e">
        <f ca="1">_xll.BDH($C$303,"MODIFIED_WORKING_CPTL_SEQ_GRWTH","FQ2 2016","FQ2 2016","Currency=INR","Period=FQ","BEST_FPERIOD_OVERRIDE=FQ","FILING_STATUS=OR","EQY_CONSOLIDATED=Y","Sort=A","Dates=H","DateFormat=P","Fill=—","Direction=H","UseDPDF=Y")</f>
        <v>#NAME?</v>
      </c>
      <c r="BQ315" s="2" t="e">
        <f ca="1">_xll.BDH($C$303,"WORKING_CAPITAL_SEQ_GROWTH","FQ2 2016","FQ2 2016","Currency=INR","Period=FQ","BEST_FPERIOD_OVERRIDE=FQ","FILING_STATUS=OR","EQY_CONSOLIDATED=Y","Sort=A","Dates=H","DateFormat=P","Fill=—","Direction=H","UseDPDF=Y")</f>
        <v>#NAME?</v>
      </c>
      <c r="BR315" s="2" t="e">
        <f ca="1">_xll.BDH($C$303,"ACCOUNTS_PAYABLE_SEQ_GROWTH","FQ2 2016","FQ2 2016","Currency=INR","Period=FQ","BEST_FPERIOD_OVERRIDE=FQ","FILING_STATUS=OR","EQY_CONSOLIDATED=Y","Sort=A","Dates=H","DateFormat=P","Fill=—","Direction=H","UseDPDF=Y")</f>
        <v>#NAME?</v>
      </c>
      <c r="BS315" s="2" t="e">
        <f ca="1">_xll.BDH($C$303,"ST_DEBT_SEQUENTIAL_GROWTH","FQ2 2016","FQ2 2016","Currency=INR","Period=FQ","BEST_FPERIOD_OVERRIDE=FQ","FILING_STATUS=OR","EQY_CONSOLIDATED=Y","Sort=A","Dates=H","DateFormat=P","Fill=—","Direction=H","UseDPDF=Y")</f>
        <v>#NAME?</v>
      </c>
      <c r="BT315" s="2" t="e">
        <f ca="1">_xll.BDH($C$303,"TOTAL_DEBT_SEQUENTIAL_GROWTH","FQ2 2016","FQ2 2016","Currency=INR","Period=FQ","BEST_FPERIOD_OVERRIDE=FQ","FILING_STATUS=OR","EQY_CONSOLIDATED=Y","Sort=A","Dates=H","DateFormat=P","Fill=—","Direction=H","UseDPDF=Y")</f>
        <v>#NAME?</v>
      </c>
      <c r="BU315" s="2" t="e">
        <f ca="1">_xll.BDH($C$303,"TOTAL_EQUITY_SEQUENTIAL_GROWTH","FQ2 2016","FQ2 2016","Currency=INR","Period=FQ","BEST_FPERIOD_OVERRIDE=FQ","FILING_STATUS=OR","EQY_CONSOLIDATED=Y","Sort=A","Dates=H","DateFormat=P","Fill=—","Direction=H","UseDPDF=Y")</f>
        <v>#NAME?</v>
      </c>
      <c r="BV315" s="2" t="e">
        <f ca="1">_xll.BDH($C$303,"TOTAL_CAPITAL_SEQUENTIAL_GROWTH","FQ2 2016","FQ2 2016","Currency=INR","Period=FQ","BEST_FPERIOD_OVERRIDE=FQ","FILING_STATUS=OR","EQY_CONSOLIDATED=Y","Sort=A","Dates=H","DateFormat=P","Fill=—","Direction=H","UseDPDF=Y")</f>
        <v>#NAME?</v>
      </c>
      <c r="BW315" s="2" t="e">
        <f ca="1">_xll.BDH($C$303,"BPS_SEQUENTIAL_GROWTH","FQ2 2016","FQ2 2016","Currency=INR","Period=FQ","BEST_FPERIOD_OVERRIDE=FQ","FILING_STATUS=OR","EQY_CONSOLIDATED=Y","Sort=A","Dates=H","DateFormat=P","Fill=—","Direction=H","UseDPDF=Y")</f>
        <v>#NAME?</v>
      </c>
      <c r="BX315" s="2" t="e">
        <f ca="1">_xll.BDH($C$303,"CFO_SEQUENTIAL_GROWTH","FQ2 2016","FQ2 2016","Currency=INR","Period=FQ","BEST_FPERIOD_OVERRIDE=FQ","FILING_STATUS=OR","EQY_CONSOLIDATED=Y","Sort=A","Dates=H","DateFormat=P","Fill=—","Direction=H","UseDPDF=Y")</f>
        <v>#NAME?</v>
      </c>
      <c r="BY315" s="3" t="e">
        <f ca="1">_xll.BDH($C$303,"SHORT_AND_LONG_TERM_DEBT","FQ2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315" s="3" t="e">
        <f ca="1">_xll.BDH($C$303,"BS_ST_BORROW","FQ2 2016","FQ2 2016","Currency=INR","Period=FQ","BEST_FPERIOD_OVERRIDE=FQ","FILING_STATUS=OR","EQY_CONSOLIDATED=Y","SCALING_FORMAT=MLN","Sort=A","Dates=H","DateFormat=P","Fill=—","Direction=H","UseDPDF=Y")</f>
        <v>#NAME?</v>
      </c>
      <c r="CA315" s="3" t="e">
        <f ca="1">_xll.BDH($C$303,"BS_LT_BORROW","FQ2 2016","FQ2 2016","Currency=INR","Period=FQ","BEST_FPERIOD_OVERRIDE=FQ","FILING_STATUS=OR","EQY_CONSOLIDATED=Y","SCALING_FORMAT=MLN","Sort=A","Dates=H","DateFormat=P","Fill=—","Direction=H","UseDPDF=Y")</f>
        <v>#NAME?</v>
      </c>
      <c r="CB315" s="2" t="e">
        <f ca="1">_xll.BDH($C$303,"TOT_DEBT_TO_EBITDA","FQ2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315" s="2" t="e">
        <f ca="1">_xll.BDH($C$303,"NET_DEBT_TO_EBITDA","FQ2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315" s="2" t="e">
        <f ca="1">_xll.BDH($C$303,"TOTAL_DEBT_TO_EBIT","FQ2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315" s="2" t="e">
        <f ca="1">_xll.BDH($C$303,"NET_DEBT_TO_EBIT","FQ2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315" s="2" t="e">
        <f ca="1">_xll.BDH($C$303,"EBITDA_TO_INTEREST_EXPN","FQ2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315" s="2" t="e">
        <f ca="1">_xll.BDH($C$303,"COM_EQY_TO_TOT_ASSET","FQ2 2016","FQ2 2016","Currency=INR","Period=FQ","BEST_FPERIOD_OVERRIDE=FQ","FILING_STATUS=OR","EQY_CONSOLIDATED=Y","Sort=A","Dates=H","DateFormat=P","Fill=—","Direction=H","UseDPDF=Y")</f>
        <v>#NAME?</v>
      </c>
      <c r="CH315" s="2" t="e">
        <f ca="1">_xll.BDH($C$303,"LT_DEBT_TO_TOT_EQY","FQ2 2016","FQ2 2016","Currency=INR","Period=FQ","BEST_FPERIOD_OVERRIDE=FQ","FILING_STATUS=OR","EQY_CONSOLIDATED=Y","Sort=A","Dates=H","DateFormat=P","Fill=—","Direction=H","UseDPDF=Y")</f>
        <v>#NAME?</v>
      </c>
      <c r="CI315" s="2" t="e">
        <f ca="1">_xll.BDH($C$303,"LT_DEBT_TO_TOT_CAP","FQ2 2016","FQ2 2016","Currency=INR","Period=FQ","BEST_FPERIOD_OVERRIDE=FQ","FILING_STATUS=OR","EQY_CONSOLIDATED=Y","Sort=A","Dates=H","DateFormat=P","Fill=—","Direction=H","UseDPDF=Y")</f>
        <v>#NAME?</v>
      </c>
      <c r="CJ315" s="2" t="e">
        <f ca="1">_xll.BDH($C$303,"LT_DEBT_TO_TOT_ASSET","FQ2 2016","FQ2 2016","Currency=INR","Period=FQ","BEST_FPERIOD_OVERRIDE=FQ","FILING_STATUS=OR","EQY_CONSOLIDATED=Y","Sort=A","Dates=H","DateFormat=P","Fill=—","Direction=H","UseDPDF=Y")</f>
        <v>#NAME?</v>
      </c>
      <c r="CK315" s="2" t="e">
        <f ca="1">_xll.BDH($C$303,"TOT_DEBT_TO_TOT_EQY","FQ2 2016","FQ2 2016","Currency=INR","Period=FQ","BEST_FPERIOD_OVERRIDE=FQ","FILING_STATUS=OR","EQY_CONSOLIDATED=Y","Sort=A","Dates=H","DateFormat=P","Fill=—","Direction=H","UseDPDF=Y")</f>
        <v>#NAME?</v>
      </c>
      <c r="CL315" s="2" t="e">
        <f ca="1">_xll.BDH($C$303,"TOT_DEBT_TO_TOT_CAP","FQ2 2016","FQ2 2016","Currency=INR","Period=FQ","BEST_FPERIOD_OVERRIDE=FQ","FILING_STATUS=OR","EQY_CONSOLIDATED=Y","Sort=A","Dates=H","DateFormat=P","Fill=—","Direction=H","UseDPDF=Y")</f>
        <v>#NAME?</v>
      </c>
      <c r="CM315" s="2" t="e">
        <f ca="1">_xll.BDH($C$303,"TOT_DEBT_TO_TOT_ASSET","FQ2 2016","FQ2 2016","Currency=INR","Period=FQ","BEST_FPERIOD_OVERRIDE=FQ","FILING_STATUS=OR","EQY_CONSOLIDATED=Y","Sort=A","Dates=H","DateFormat=P","Fill=—","Direction=H","UseDPDF=Y")</f>
        <v>#NAME?</v>
      </c>
      <c r="CN315" s="2" t="e">
        <f ca="1">_xll.BDH($C$303,"NET_DEBT_TO_SHRHLDR_EQTY","FQ2 2016","FQ2 2016","Currency=INR","Period=FQ","BEST_FPERIOD_OVERRIDE=FQ","FILING_STATUS=OR","EQY_CONSOLIDATED=Y","Sort=A","Dates=H","DateFormat=P","Fill=—","Direction=H","UseDPDF=Y")</f>
        <v>#NAME?</v>
      </c>
      <c r="CO315" s="2" t="e">
        <f ca="1">_xll.BDH($C$303,"NET_DEBT_%_CAPITAL","FQ2 2016","FQ2 2016","Currency=INR","Period=FQ","BEST_FPERIOD_OVERRIDE=FQ","FILING_STATUS=OR","EQY_CONSOLIDATED=Y","Sort=A","Dates=H","DateFormat=P","Fill=—","Direction=H","UseDPDF=Y")</f>
        <v>#NAME?</v>
      </c>
      <c r="CP315" s="3" t="e">
        <f ca="1">_xll.BDH($C$303,"EBITDA","FQ2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315" s="3" t="e">
        <f ca="1">_xll.BDH($C$303,"EBITDA_AFTER_CAPEX","FQ2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315" s="3" t="e">
        <f ca="1">_xll.BDH($C$303,"IS_OPER_INC","FQ2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315" s="2" t="e">
        <f ca="1">_xll.BDH($C$303,"CASH_RATIO","FQ2 2016","FQ2 2016","Currency=INR","Period=FQ","BEST_FPERIOD_OVERRIDE=FQ","FILING_STATUS=OR","EQY_CONSOLIDATED=Y","Sort=A","Dates=H","DateFormat=P","Fill=—","Direction=H","UseDPDF=Y")</f>
        <v>#NAME?</v>
      </c>
      <c r="CT315" s="2" t="e">
        <f ca="1">_xll.BDH($C$303,"CUR_RATIO","FQ2 2016","FQ2 2016","Currency=INR","Period=FQ","BEST_FPERIOD_OVERRIDE=FQ","FILING_STATUS=OR","EQY_CONSOLIDATED=Y","Sort=A","Dates=H","DateFormat=P","Fill=—","Direction=H","UseDPDF=Y")</f>
        <v>#NAME?</v>
      </c>
      <c r="CU315" s="2" t="e">
        <f ca="1">_xll.BDH($C$303,"QUICK_RATIO","FQ2 2016","FQ2 2016","Currency=INR","Period=FQ","BEST_FPERIOD_OVERRIDE=FQ","FILING_STATUS=OR","EQY_CONSOLIDATED=Y","Sort=A","Dates=H","DateFormat=P","Fill=—","Direction=H","UseDPDF=Y")</f>
        <v>#NAME?</v>
      </c>
      <c r="CV315" s="2" t="e">
        <f ca="1">_xll.BDH($C$303,"ALTMAN_Z_SCORE","FQ2 2016","FQ2 2016","Currency=INR","Period=FQ","BEST_FPERIOD_OVERRIDE=FQ","FILING_STATUS=OR","EQY_CONSOLIDATED=Y","Sort=A","Dates=H","DateFormat=P","Fill=—","Direction=H","UseDPDF=Y")</f>
        <v>#NAME?</v>
      </c>
      <c r="CW315" s="4" t="e">
        <f ca="1">_xll.BDH($C$303,"ACCT_RCV_TURN","FQ2 2016","FQ2 2016","Currency=INR","Period=FQ","BEST_FPERIOD_OVERRIDE=FQ","FILING_STATUS=OR","EQY_CONSOLIDATED=Y","FA_ADJUSTED=GAAP","Sort=A","Dates=H","DateFormat=P","Fill=—","Direction=H","UseDPDF=Y")</f>
        <v>#NAME?</v>
      </c>
      <c r="CX315" s="2" t="e">
        <f ca="1">_xll.BDH($C$303,"ACCT_RCV_DAYS","FQ2 2016","FQ2 2016","Currency=INR","Period=FQ","BEST_FPERIOD_OVERRIDE=FQ","FILING_STATUS=OR","EQY_CONSOLIDATED=Y","FA_ADJUSTED=GAAP","Sort=A","Dates=H","DateFormat=P","Fill=—","Direction=H","UseDPDF=Y")</f>
        <v>#NAME?</v>
      </c>
      <c r="CY315" s="4" t="e">
        <f ca="1">_xll.BDH($C$303,"INVENT_TURN","FQ2 2016","FQ2 2016","Currency=INR","Period=FQ","BEST_FPERIOD_OVERRIDE=FQ","FILING_STATUS=OR","EQY_CONSOLIDATED=Y","FA_ADJUSTED=GAAP","Sort=A","Dates=H","DateFormat=P","Fill=—","Direction=H","UseDPDF=Y")</f>
        <v>#NAME?</v>
      </c>
      <c r="CZ315" s="2" t="e">
        <f ca="1">_xll.BDH($C$303,"INVENT_DAYS","FQ2 2016","FQ2 2016","Currency=INR","Period=FQ","BEST_FPERIOD_OVERRIDE=FQ","FILING_STATUS=OR","EQY_CONSOLIDATED=Y","FA_ADJUSTED=GAAP","Sort=A","Dates=H","DateFormat=P","Fill=—","Direction=H","UseDPDF=Y")</f>
        <v>#NAME?</v>
      </c>
      <c r="DA315" s="4" t="e">
        <f ca="1">_xll.BDH($C$303,"ACCOUNTS_PAYABLE_TURNOVER","FQ2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315" s="2" t="e">
        <f ca="1">_xll.BDH($C$303,"ACCOUNTS_PAYABLE_TURNOVER_DAYS","FQ2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315" s="4" t="e">
        <f ca="1">_xll.BDH($C$303,"CASH_CONVERSION_CYCLE","FQ2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315" s="4" t="e">
        <f ca="1">_xll.BDH($C$303,"INV_TO_CASH_DAYS","FQ2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315" s="5" t="e">
        <f ca="1">_xll.BDH($C$303,"BS_INVENTORIES","FQ2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315" s="3" t="e">
        <f ca="1">_xll.BDH($C$303,"INVTRY_RAW_MATERIALS","FQ2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315" s="3" t="e">
        <f ca="1">_xll.BDH($C$303,"INVTRY_IN_PROGRESS","FQ2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315" s="3" t="e">
        <f ca="1">_xll.BDH($C$303,"INVTRY_FINISHED_GOODS","FQ2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315" s="3" t="e">
        <f ca="1">_xll.BDH($C$303,"BS_OTHER_INV","FQ2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316" spans="1:113" x14ac:dyDescent="0.3">
      <c r="A316" s="6"/>
      <c r="B316" s="6"/>
      <c r="C316" s="6"/>
      <c r="D316" s="6"/>
      <c r="E316" t="s">
        <v>80</v>
      </c>
      <c r="F316" t="e">
        <f ca="1">_xll.BDH($C$303,"RETURN_COM_EQY","FQ3 2016","FQ3 2016","Currency=INR","Period=FQ","BEST_FPERIOD_OVERRIDE=FQ","FILING_STATUS=OR","EQY_CONSOLIDATED=Y","FA_ADJUSTED=GAAP","Sort=A","Dates=H","DateFormat=P","Fill=—","Direction=H","UseDPDF=Y")</f>
        <v>#NAME?</v>
      </c>
      <c r="G316" t="e">
        <f ca="1">_xll.BDH($C$303,"RETURN_ON_ASSET","FQ3 2016","FQ3 2016","Currency=INR","Period=FQ","BEST_FPERIOD_OVERRIDE=FQ","FILING_STATUS=OR","EQY_CONSOLIDATED=Y","FA_ADJUSTED=GAAP","Sort=A","Dates=H","DateFormat=P","Fill=—","Direction=H","UseDPDF=Y")</f>
        <v>#NAME?</v>
      </c>
      <c r="H316" t="e">
        <f ca="1">_xll.BDH($C$303,"RETURN_ON_CAP","FQ3 2016","FQ3 2016","Currency=INR","Period=FQ","BEST_FPERIOD_OVERRIDE=FQ","FILING_STATUS=OR","EQY_CONSOLIDATED=Y","FA_ADJUSTED=GAAP","Sort=A","Dates=H","DateFormat=P","Fill=—","Direction=H","UseDPDF=Y")</f>
        <v>#NAME?</v>
      </c>
      <c r="I316" t="e">
        <f ca="1">_xll.BDH($C$303,"RETURN_ON_INV_CAPITAL","FQ3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316" t="e">
        <f ca="1">_xll.BDH($C$303,"EBITDA_TO_REVENUE","FQ3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316" t="e">
        <f ca="1">_xll.BDH($C$303,"OPER_MARGIN","FQ3 2016","FQ3 2016","Currency=INR","Period=FQ","BEST_FPERIOD_OVERRIDE=FQ","FILING_STATUS=OR","EQY_CONSOLIDATED=Y","FA_ADJUSTED=GAAP","Sort=A","Dates=H","DateFormat=P","Fill=—","Direction=H","UseDPDF=Y")</f>
        <v>#NAME?</v>
      </c>
      <c r="L316" t="e">
        <f ca="1">_xll.BDH($C$303,"INCREMENTAL_OPERATING_MARGIN","FQ3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316" t="e">
        <f ca="1">_xll.BDH($C$303,"PRETAX_INC_TO_NET_SALES","FQ3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316" t="e">
        <f ca="1">_xll.BDH($C$303,"INC_BEF_XO_ITEMS_TO_NET_SALES","FQ3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316" t="e">
        <f ca="1">_xll.BDH($C$303,"PROF_MARGIN","FQ3 2016","FQ3 2016","Currency=INR","Period=FQ","BEST_FPERIOD_OVERRIDE=FQ","FILING_STATUS=OR","EQY_CONSOLIDATED=Y","FA_ADJUSTED=GAAP","Sort=A","Dates=H","DateFormat=P","Fill=—","Direction=H","UseDPDF=Y")</f>
        <v>#NAME?</v>
      </c>
      <c r="P316" t="e">
        <f ca="1">_xll.BDH($C$303,"NET_INCOME_TO_COMMON_MARGIN","FQ3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316" t="e">
        <f ca="1">_xll.BDH($C$303,"EFF_TAX_RATE","FQ3 2016","FQ3 2016","Currency=INR","Period=FQ","BEST_FPERIOD_OVERRIDE=FQ","FILING_STATUS=OR","EQY_CONSOLIDATED=Y","FA_ADJUSTED=GAAP","Sort=A","Dates=H","DateFormat=P","Fill=—","Direction=H","UseDPDF=Y")</f>
        <v>#NAME?</v>
      </c>
      <c r="R316" t="e">
        <f ca="1">_xll.BDH($C$303,"DVD_PAYOUT_RATIO","FQ3 2016","FQ3 2016","Currency=INR","Period=FQ","BEST_FPERIOD_OVERRIDE=FQ","FILING_STATUS=OR","EQY_CONSOLIDATED=Y","FA_ADJUSTED=GAAP","Sort=A","Dates=H","DateFormat=P","Fill=—","Direction=H","UseDPDF=Y")</f>
        <v>#NAME?</v>
      </c>
      <c r="S316" t="e">
        <f ca="1">_xll.BDH($C$303,"SUSTAIN_GROWTH_RT","FQ3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316" s="2" t="e">
        <f ca="1">_xll.BDH($C$303,"SALES_GROWTH","FQ3 2016","FQ3 2016","Currency=INR","Period=FQ","BEST_FPERIOD_OVERRIDE=FQ","FILING_STATUS=OR","EQY_CONSOLIDATED=Y","FA_ADJUSTED=GAAP","Sort=A","Dates=H","DateFormat=P","Fill=—","Direction=H","UseDPDF=Y")</f>
        <v>#NAME?</v>
      </c>
      <c r="U316" s="2" t="e">
        <f ca="1">_xll.BDH($C$303,"EBITDA_GROWTH","FQ3 2016","FQ3 2016","Currency=INR","Period=FQ","BEST_FPERIOD_OVERRIDE=FQ","FILING_STATUS=OR","EQY_CONSOLIDATED=Y","FA_ADJUSTED=GAAP","Sort=A","Dates=H","DateFormat=P","Fill=—","Direction=H","UseDPDF=Y")</f>
        <v>#NAME?</v>
      </c>
      <c r="V316" s="2" t="e">
        <f ca="1">_xll.BDH($C$303,"OPER_INC_GROWTH","FQ3 2016","FQ3 2016","Currency=INR","Period=FQ","BEST_FPERIOD_OVERRIDE=FQ","FILING_STATUS=OR","EQY_CONSOLIDATED=Y","FA_ADJUSTED=GAAP","Sort=A","Dates=H","DateFormat=P","Fill=—","Direction=H","UseDPDF=Y")</f>
        <v>#NAME?</v>
      </c>
      <c r="W316" s="2" t="e">
        <f ca="1">_xll.BDH($C$303,"EARN_FOR_COM_GROWTH","FQ3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316" s="2" t="e">
        <f ca="1">_xll.BDH($C$303,"DILUTED_EPS_AFT_XO_ITEMS_GROWTH","FQ3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316" s="2" t="e">
        <f ca="1">_xll.BDH($C$303,"DIVIDEND_PER_SHARE_1_YEAR_GROWTH","FQ3 2016","FQ3 2016","Currency=INR","Period=FQ","BEST_FPERIOD_OVERRIDE=FQ","FILING_STATUS=OR","EQY_CONSOLIDATED=Y","Sort=A","Dates=H","DateFormat=P","Fill=—","Direction=H","UseDPDF=Y")</f>
        <v>#NAME?</v>
      </c>
      <c r="Z316" s="2" t="e">
        <f ca="1">_xll.BDH($C$303,"ACCOUNTS_RECEIVABLE_GROWTH","FQ3 2016","FQ3 2016","Currency=INR","Period=FQ","BEST_FPERIOD_OVERRIDE=FQ","FILING_STATUS=OR","EQY_CONSOLIDATED=Y","Sort=A","Dates=H","DateFormat=P","Fill=—","Direction=H","UseDPDF=Y")</f>
        <v>#NAME?</v>
      </c>
      <c r="AA316" s="2" t="e">
        <f ca="1">_xll.BDH($C$303,"INVENTORY_GROWTH","FQ3 2016","FQ3 2016","Currency=INR","Period=FQ","BEST_FPERIOD_OVERRIDE=FQ","FILING_STATUS=OR","EQY_CONSOLIDATED=Y","Sort=A","Dates=H","DateFormat=P","Fill=—","Direction=H","UseDPDF=Y")</f>
        <v>#NAME?</v>
      </c>
      <c r="AB316" s="2" t="e">
        <f ca="1">_xll.BDH($C$303,"NET_FIXED_ASSETS_1_YEAR_GROWTH","FQ3 2016","FQ3 2016","Currency=INR","Period=FQ","BEST_FPERIOD_OVERRIDE=FQ","FILING_STATUS=OR","EQY_CONSOLIDATED=Y","Sort=A","Dates=H","DateFormat=P","Fill=—","Direction=H","UseDPDF=Y")</f>
        <v>#NAME?</v>
      </c>
      <c r="AC316" s="2" t="e">
        <f ca="1">_xll.BDH($C$303,"ASSET_GROWTH","FQ3 2016","FQ3 2016","Currency=INR","Period=FQ","BEST_FPERIOD_OVERRIDE=FQ","FILING_STATUS=OR","EQY_CONSOLIDATED=Y","Sort=A","Dates=H","DateFormat=P","Fill=—","Direction=H","UseDPDF=Y")</f>
        <v>#NAME?</v>
      </c>
      <c r="AD316" s="2" t="e">
        <f ca="1">_xll.BDH($C$303,"MODIFIED_WORK_CAP_GROWTH","FQ3 2016","FQ3 2016","Currency=INR","Period=FQ","BEST_FPERIOD_OVERRIDE=FQ","FILING_STATUS=OR","EQY_CONSOLIDATED=Y","Sort=A","Dates=H","DateFormat=P","Fill=—","Direction=H","UseDPDF=Y")</f>
        <v>#NAME?</v>
      </c>
      <c r="AE316" s="2" t="e">
        <f ca="1">_xll.BDH($C$303,"WORK_CAP_GROWTH","FQ3 2016","FQ3 2016","Currency=INR","Period=FQ","BEST_FPERIOD_OVERRIDE=FQ","FILING_STATUS=OR","EQY_CONSOLIDATED=Y","Sort=A","Dates=H","DateFormat=P","Fill=—","Direction=H","UseDPDF=Y")</f>
        <v>#NAME?</v>
      </c>
      <c r="AF316" s="2" t="e">
        <f ca="1">_xll.BDH($C$303,"ACCOUNTS_PAYABLE_GROWTH_1YR","FQ3 2016","FQ3 2016","Currency=INR","Period=FQ","BEST_FPERIOD_OVERRIDE=FQ","FILING_STATUS=OR","EQY_CONSOLIDATED=Y","Sort=A","Dates=H","DateFormat=P","Fill=—","Direction=H","UseDPDF=Y")</f>
        <v>#NAME?</v>
      </c>
      <c r="AG316" s="2" t="e">
        <f ca="1">_xll.BDH($C$303,"SHORT_TERM_DEBT_1_YEAR_GROWTH","FQ3 2016","FQ3 2016","Currency=INR","Period=FQ","BEST_FPERIOD_OVERRIDE=FQ","FILING_STATUS=OR","EQY_CONSOLIDATED=Y","Sort=A","Dates=H","DateFormat=P","Fill=—","Direction=H","UseDPDF=Y")</f>
        <v>#NAME?</v>
      </c>
      <c r="AH316" s="2" t="e">
        <f ca="1">_xll.BDH($C$303,"TOTAL_DEBT_1_YEAR_GROWTH","FQ3 2016","FQ3 2016","Currency=INR","Period=FQ","BEST_FPERIOD_OVERRIDE=FQ","FILING_STATUS=OR","EQY_CONSOLIDATED=Y","Sort=A","Dates=H","DateFormat=P","Fill=—","Direction=H","UseDPDF=Y")</f>
        <v>#NAME?</v>
      </c>
      <c r="AI316" s="2" t="e">
        <f ca="1">_xll.BDH($C$303,"TOTAL_EQUITY_1_YEAR_GROWTH","FQ3 2016","FQ3 2016","Currency=INR","Period=FQ","BEST_FPERIOD_OVERRIDE=FQ","FILING_STATUS=OR","EQY_CONSOLIDATED=Y","Sort=A","Dates=H","DateFormat=P","Fill=—","Direction=H","UseDPDF=Y")</f>
        <v>#NAME?</v>
      </c>
      <c r="AJ316" s="2" t="e">
        <f ca="1">_xll.BDH($C$303,"GROWTH_IN_CAP","FQ3 2016","FQ3 2016","Currency=INR","Period=FQ","BEST_FPERIOD_OVERRIDE=FQ","FILING_STATUS=OR","EQY_CONSOLIDATED=Y","Sort=A","Dates=H","DateFormat=P","Fill=—","Direction=H","UseDPDF=Y")</f>
        <v>#NAME?</v>
      </c>
      <c r="AK316" s="2" t="e">
        <f ca="1">_xll.BDH($C$303,"BVPS_GROWTH","FQ3 2016","FQ3 2016","Currency=INR","Period=FQ","BEST_FPERIOD_OVERRIDE=FQ","FILING_STATUS=OR","EQY_CONSOLIDATED=Y","Sort=A","Dates=H","DateFormat=P","Fill=—","Direction=H","UseDPDF=Y")</f>
        <v>#NAME?</v>
      </c>
      <c r="AL316" s="2" t="e">
        <f ca="1">_xll.BDH($C$303,"CASH_FLOW_GROWTH","FQ3 2016","FQ3 2016","Currency=INR","Period=FQ","BEST_FPERIOD_OVERRIDE=FQ","FILING_STATUS=OR","EQY_CONSOLIDATED=Y","Sort=A","Dates=H","DateFormat=P","Fill=—","Direction=H","UseDPDF=Y")</f>
        <v>#NAME?</v>
      </c>
      <c r="AM316" s="2" t="e">
        <f ca="1">_xll.BDH($C$303,"GEO_GROW_NET_SALES","FQ3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316" s="2" t="e">
        <f ca="1">_xll.BDH($C$303,"GEO_GROW_EBITDA","FQ3 2016","FQ3 2016","Currency=INR","Period=FQ","BEST_FPERIOD_OVERRIDE=FQ","FILING_STATUS=OR","EQY_CONSOLIDATED=Y","FA_ADJUSTED=GAAP","Sort=A","Dates=H","DateFormat=P","Fill=—","Direction=H","UseDPDF=Y")</f>
        <v>#NAME?</v>
      </c>
      <c r="AO316" s="2" t="e">
        <f ca="1">_xll.BDH($C$303,"GEO_GROW_OPER_INC","FQ3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316" s="2" t="e">
        <f ca="1">_xll.BDH($C$303,"NET_INCOME_TO_COMMON_5_YR_GROWTH","FQ3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316" s="2" t="e">
        <f ca="1">_xll.BDH($C$303,"5Y_GEO_GROWTH_DILUTED_EPS","FQ3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316" s="2" t="e">
        <f ca="1">_xll.BDH($C$303,"GEO_GROW_DVD_PER_SH","FQ3 2016","FQ3 2016","Currency=INR","Period=FQ","BEST_FPERIOD_OVERRIDE=FQ","FILING_STATUS=OR","EQY_CONSOLIDATED=Y","Sort=A","Dates=H","DateFormat=P","Fill=—","Direction=H","UseDPDF=Y")</f>
        <v>#NAME?</v>
      </c>
      <c r="AS316" s="2" t="e">
        <f ca="1">_xll.BDH($C$303,"ACCOUNTS_RECEIVABLE_5_YR_GROWTH","FQ3 2016","FQ3 2016","Currency=INR","Period=FQ","BEST_FPERIOD_OVERRIDE=FQ","FILING_STATUS=OR","EQY_CONSOLIDATED=Y","Sort=A","Dates=H","DateFormat=P","Fill=—","Direction=H","UseDPDF=Y")</f>
        <v>#NAME?</v>
      </c>
      <c r="AT316" s="2" t="e">
        <f ca="1">_xll.BDH($C$303,"INVENTORY_5_YEAR_GROWTH","FQ3 2016","FQ3 2016","Currency=INR","Period=FQ","BEST_FPERIOD_OVERRIDE=FQ","FILING_STATUS=OR","EQY_CONSOLIDATED=Y","Sort=A","Dates=H","DateFormat=P","Fill=—","Direction=H","UseDPDF=Y")</f>
        <v>#NAME?</v>
      </c>
      <c r="AU316" s="2" t="e">
        <f ca="1">_xll.BDH($C$303,"NET_FIXED_ASSETS_5_YEAR_GROWTH","FQ3 2016","FQ3 2016","Currency=INR","Period=FQ","BEST_FPERIOD_OVERRIDE=FQ","FILING_STATUS=OR","EQY_CONSOLIDATED=Y","Sort=A","Dates=H","DateFormat=P","Fill=—","Direction=H","UseDPDF=Y")</f>
        <v>#NAME?</v>
      </c>
      <c r="AV316" s="2" t="e">
        <f ca="1">_xll.BDH($C$303,"GEO_GROW_TOT_ASSET","FQ3 2016","FQ3 2016","Currency=INR","Period=FQ","BEST_FPERIOD_OVERRIDE=FQ","FILING_STATUS=OR","EQY_CONSOLIDATED=Y","Sort=A","Dates=H","DateFormat=P","Fill=—","Direction=H","UseDPDF=Y")</f>
        <v>#NAME?</v>
      </c>
      <c r="AW316" s="2" t="e">
        <f ca="1">_xll.BDH($C$303,"MODIFIED_WORKING_CPTL_5YR_GRWTH","FQ3 2016","FQ3 2016","Currency=INR","Period=FQ","BEST_FPERIOD_OVERRIDE=FQ","FILING_STATUS=OR","EQY_CONSOLIDATED=Y","Sort=A","Dates=H","DateFormat=P","Fill=—","Direction=H","UseDPDF=Y")</f>
        <v>#NAME?</v>
      </c>
      <c r="AX316" s="2" t="e">
        <f ca="1">_xll.BDH($C$303,"WORKING_CAPITAL_5_YEAR_GROWTH","FQ3 2016","FQ3 2016","Currency=INR","Period=FQ","BEST_FPERIOD_OVERRIDE=FQ","FILING_STATUS=OR","EQY_CONSOLIDATED=Y","Sort=A","Dates=H","DateFormat=P","Fill=—","Direction=H","UseDPDF=Y")</f>
        <v>#NAME?</v>
      </c>
      <c r="AY316" s="2" t="e">
        <f ca="1">_xll.BDH($C$303,"ACCOUNTS_PAYABLE_5_YEAR_GROWTH","FQ3 2016","FQ3 2016","Currency=INR","Period=FQ","BEST_FPERIOD_OVERRIDE=FQ","FILING_STATUS=OR","EQY_CONSOLIDATED=Y","Sort=A","Dates=H","DateFormat=P","Fill=—","Direction=H","UseDPDF=Y")</f>
        <v>#NAME?</v>
      </c>
      <c r="AZ316" s="2" t="e">
        <f ca="1">_xll.BDH($C$303,"SHORT_TERM_DEBT_5_YEAR_GROWTH","FQ3 2016","FQ3 2016","Currency=INR","Period=FQ","BEST_FPERIOD_OVERRIDE=FQ","FILING_STATUS=OR","EQY_CONSOLIDATED=Y","Sort=A","Dates=H","DateFormat=P","Fill=—","Direction=H","UseDPDF=Y")</f>
        <v>#NAME?</v>
      </c>
      <c r="BA316" s="2" t="e">
        <f ca="1">_xll.BDH($C$303,"TOTAL_DEBT_5_YEAR_GROWTH","FQ3 2016","FQ3 2016","Currency=INR","Period=FQ","BEST_FPERIOD_OVERRIDE=FQ","FILING_STATUS=OR","EQY_CONSOLIDATED=Y","Sort=A","Dates=H","DateFormat=P","Fill=—","Direction=H","UseDPDF=Y")</f>
        <v>#NAME?</v>
      </c>
      <c r="BB316" s="2" t="e">
        <f ca="1">_xll.BDH($C$303,"GEO_GROW_TOT_SHRHLDR_EQY","FQ3 2016","FQ3 2016","Currency=INR","Period=FQ","BEST_FPERIOD_OVERRIDE=FQ","FILING_STATUS=OR","EQY_CONSOLIDATED=Y","Sort=A","Dates=H","DateFormat=P","Fill=—","Direction=H","UseDPDF=Y")</f>
        <v>#NAME?</v>
      </c>
      <c r="BC316" s="2" t="e">
        <f ca="1">_xll.BDH($C$303,"TOTAL_CAPITAL_5_YEAR_GROWTH","FQ3 2016","FQ3 2016","Currency=INR","Period=FQ","BEST_FPERIOD_OVERRIDE=FQ","FILING_STATUS=OR","EQY_CONSOLIDATED=Y","Sort=A","Dates=H","DateFormat=P","Fill=—","Direction=H","UseDPDF=Y")</f>
        <v>#NAME?</v>
      </c>
      <c r="BD316" s="2" t="e">
        <f ca="1">_xll.BDH($C$303,"GEO_GROW_BOOK_VAL","FQ3 2016","FQ3 2016","Currency=INR","Period=FQ","BEST_FPERIOD_OVERRIDE=FQ","FILING_STATUS=OR","EQY_CONSOLIDATED=Y","Sort=A","Dates=H","DateFormat=P","Fill=—","Direction=H","UseDPDF=Y")</f>
        <v>#NAME?</v>
      </c>
      <c r="BE316" s="2" t="e">
        <f ca="1">_xll.BDH($C$303,"GEO_GROW_CASH_OPER_ACT","FQ3 2016","FQ3 2016","Currency=INR","Period=FQ","BEST_FPERIOD_OVERRIDE=FQ","FILING_STATUS=OR","EQY_CONSOLIDATED=Y","Sort=A","Dates=H","DateFormat=P","Fill=—","Direction=H","UseDPDF=Y")</f>
        <v>#NAME?</v>
      </c>
      <c r="BF316" s="2" t="e">
        <f ca="1">_xll.BDH($C$303,"REVENUE_SEQUENTIAL_GROWTH","FQ3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316" s="2" t="e">
        <f ca="1">_xll.BDH($C$303,"EBITDA_SEQUENTIAL_GROWTH","FQ3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316" s="2" t="e">
        <f ca="1">_xll.BDH($C$303,"OPERATING_INCOME_SEQ_GROWTH","FQ3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316" s="2" t="e">
        <f ca="1">_xll.BDH($C$303,"NET_INCOME_TO_COMMON_SEQ_GROWTH","FQ3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316" s="2" t="e">
        <f ca="1">_xll.BDH($C$303,"EPS_DILUTED_SEQUENTIAL_GROWTH","FQ3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316" s="2" t="e">
        <f ca="1">_xll.BDH($C$303,"DPS_SEQUENTIAL_GROWTH","FQ3 2016","FQ3 2016","Currency=INR","Period=FQ","BEST_FPERIOD_OVERRIDE=FQ","FILING_STATUS=OR","EQY_CONSOLIDATED=Y","Sort=A","Dates=H","DateFormat=P","Fill=—","Direction=H","UseDPDF=Y")</f>
        <v>#NAME?</v>
      </c>
      <c r="BL316" s="2" t="e">
        <f ca="1">_xll.BDH($C$303,"ACCOUNTS_RECEIVABLE_SEQ_GROWTH","FQ3 2016","FQ3 2016","Currency=INR","Period=FQ","BEST_FPERIOD_OVERRIDE=FQ","FILING_STATUS=OR","EQY_CONSOLIDATED=Y","Sort=A","Dates=H","DateFormat=P","Fill=—","Direction=H","UseDPDF=Y")</f>
        <v>#NAME?</v>
      </c>
      <c r="BM316" s="2" t="e">
        <f ca="1">_xll.BDH($C$303,"INVENTORY_SEQUENTIAL_GROWTH","FQ3 2016","FQ3 2016","Currency=INR","Period=FQ","BEST_FPERIOD_OVERRIDE=FQ","FILING_STATUS=OR","EQY_CONSOLIDATED=Y","Sort=A","Dates=H","DateFormat=P","Fill=—","Direction=H","UseDPDF=Y")</f>
        <v>#NAME?</v>
      </c>
      <c r="BN316" s="2" t="e">
        <f ca="1">_xll.BDH($C$303,"FIXED_ASSETS_SEQUENTIAL_GROWTH","FQ3 2016","FQ3 2016","Currency=INR","Period=FQ","BEST_FPERIOD_OVERRIDE=FQ","FILING_STATUS=OR","EQY_CONSOLIDATED=Y","Sort=A","Dates=H","DateFormat=P","Fill=—","Direction=H","UseDPDF=Y")</f>
        <v>#NAME?</v>
      </c>
      <c r="BO316" s="2" t="e">
        <f ca="1">_xll.BDH($C$303,"TOTAL_ASSETS_SEQUENTIAL_GROWTH","FQ3 2016","FQ3 2016","Currency=INR","Period=FQ","BEST_FPERIOD_OVERRIDE=FQ","FILING_STATUS=OR","EQY_CONSOLIDATED=Y","Sort=A","Dates=H","DateFormat=P","Fill=—","Direction=H","UseDPDF=Y")</f>
        <v>#NAME?</v>
      </c>
      <c r="BP316" s="2" t="e">
        <f ca="1">_xll.BDH($C$303,"MODIFIED_WORKING_CPTL_SEQ_GRWTH","FQ3 2016","FQ3 2016","Currency=INR","Period=FQ","BEST_FPERIOD_OVERRIDE=FQ","FILING_STATUS=OR","EQY_CONSOLIDATED=Y","Sort=A","Dates=H","DateFormat=P","Fill=—","Direction=H","UseDPDF=Y")</f>
        <v>#NAME?</v>
      </c>
      <c r="BQ316" s="2" t="e">
        <f ca="1">_xll.BDH($C$303,"WORKING_CAPITAL_SEQ_GROWTH","FQ3 2016","FQ3 2016","Currency=INR","Period=FQ","BEST_FPERIOD_OVERRIDE=FQ","FILING_STATUS=OR","EQY_CONSOLIDATED=Y","Sort=A","Dates=H","DateFormat=P","Fill=—","Direction=H","UseDPDF=Y")</f>
        <v>#NAME?</v>
      </c>
      <c r="BR316" s="2" t="e">
        <f ca="1">_xll.BDH($C$303,"ACCOUNTS_PAYABLE_SEQ_GROWTH","FQ3 2016","FQ3 2016","Currency=INR","Period=FQ","BEST_FPERIOD_OVERRIDE=FQ","FILING_STATUS=OR","EQY_CONSOLIDATED=Y","Sort=A","Dates=H","DateFormat=P","Fill=—","Direction=H","UseDPDF=Y")</f>
        <v>#NAME?</v>
      </c>
      <c r="BS316" s="2" t="e">
        <f ca="1">_xll.BDH($C$303,"ST_DEBT_SEQUENTIAL_GROWTH","FQ3 2016","FQ3 2016","Currency=INR","Period=FQ","BEST_FPERIOD_OVERRIDE=FQ","FILING_STATUS=OR","EQY_CONSOLIDATED=Y","Sort=A","Dates=H","DateFormat=P","Fill=—","Direction=H","UseDPDF=Y")</f>
        <v>#NAME?</v>
      </c>
      <c r="BT316" s="2" t="e">
        <f ca="1">_xll.BDH($C$303,"TOTAL_DEBT_SEQUENTIAL_GROWTH","FQ3 2016","FQ3 2016","Currency=INR","Period=FQ","BEST_FPERIOD_OVERRIDE=FQ","FILING_STATUS=OR","EQY_CONSOLIDATED=Y","Sort=A","Dates=H","DateFormat=P","Fill=—","Direction=H","UseDPDF=Y")</f>
        <v>#NAME?</v>
      </c>
      <c r="BU316" s="2" t="e">
        <f ca="1">_xll.BDH($C$303,"TOTAL_EQUITY_SEQUENTIAL_GROWTH","FQ3 2016","FQ3 2016","Currency=INR","Period=FQ","BEST_FPERIOD_OVERRIDE=FQ","FILING_STATUS=OR","EQY_CONSOLIDATED=Y","Sort=A","Dates=H","DateFormat=P","Fill=—","Direction=H","UseDPDF=Y")</f>
        <v>#NAME?</v>
      </c>
      <c r="BV316" s="2" t="e">
        <f ca="1">_xll.BDH($C$303,"TOTAL_CAPITAL_SEQUENTIAL_GROWTH","FQ3 2016","FQ3 2016","Currency=INR","Period=FQ","BEST_FPERIOD_OVERRIDE=FQ","FILING_STATUS=OR","EQY_CONSOLIDATED=Y","Sort=A","Dates=H","DateFormat=P","Fill=—","Direction=H","UseDPDF=Y")</f>
        <v>#NAME?</v>
      </c>
      <c r="BW316" s="2" t="e">
        <f ca="1">_xll.BDH($C$303,"BPS_SEQUENTIAL_GROWTH","FQ3 2016","FQ3 2016","Currency=INR","Period=FQ","BEST_FPERIOD_OVERRIDE=FQ","FILING_STATUS=OR","EQY_CONSOLIDATED=Y","Sort=A","Dates=H","DateFormat=P","Fill=—","Direction=H","UseDPDF=Y")</f>
        <v>#NAME?</v>
      </c>
      <c r="BX316" s="2" t="e">
        <f ca="1">_xll.BDH($C$303,"CFO_SEQUENTIAL_GROWTH","FQ3 2016","FQ3 2016","Currency=INR","Period=FQ","BEST_FPERIOD_OVERRIDE=FQ","FILING_STATUS=OR","EQY_CONSOLIDATED=Y","Sort=A","Dates=H","DateFormat=P","Fill=—","Direction=H","UseDPDF=Y")</f>
        <v>#NAME?</v>
      </c>
      <c r="BY316" s="3" t="e">
        <f ca="1">_xll.BDH($C$303,"SHORT_AND_LONG_TERM_DEBT","FQ3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316" s="3" t="e">
        <f ca="1">_xll.BDH($C$303,"BS_ST_BORROW","FQ3 2016","FQ3 2016","Currency=INR","Period=FQ","BEST_FPERIOD_OVERRIDE=FQ","FILING_STATUS=OR","EQY_CONSOLIDATED=Y","SCALING_FORMAT=MLN","Sort=A","Dates=H","DateFormat=P","Fill=—","Direction=H","UseDPDF=Y")</f>
        <v>#NAME?</v>
      </c>
      <c r="CA316" s="3" t="e">
        <f ca="1">_xll.BDH($C$303,"BS_LT_BORROW","FQ3 2016","FQ3 2016","Currency=INR","Period=FQ","BEST_FPERIOD_OVERRIDE=FQ","FILING_STATUS=OR","EQY_CONSOLIDATED=Y","SCALING_FORMAT=MLN","Sort=A","Dates=H","DateFormat=P","Fill=—","Direction=H","UseDPDF=Y")</f>
        <v>#NAME?</v>
      </c>
      <c r="CB316" s="2" t="e">
        <f ca="1">_xll.BDH($C$303,"TOT_DEBT_TO_EBITDA","FQ3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316" s="2" t="e">
        <f ca="1">_xll.BDH($C$303,"NET_DEBT_TO_EBITDA","FQ3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316" s="2" t="e">
        <f ca="1">_xll.BDH($C$303,"TOTAL_DEBT_TO_EBIT","FQ3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316" s="2" t="e">
        <f ca="1">_xll.BDH($C$303,"NET_DEBT_TO_EBIT","FQ3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316" s="2" t="e">
        <f ca="1">_xll.BDH($C$303,"EBITDA_TO_INTEREST_EXPN","FQ3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316" s="2" t="e">
        <f ca="1">_xll.BDH($C$303,"COM_EQY_TO_TOT_ASSET","FQ3 2016","FQ3 2016","Currency=INR","Period=FQ","BEST_FPERIOD_OVERRIDE=FQ","FILING_STATUS=OR","EQY_CONSOLIDATED=Y","Sort=A","Dates=H","DateFormat=P","Fill=—","Direction=H","UseDPDF=Y")</f>
        <v>#NAME?</v>
      </c>
      <c r="CH316" s="2" t="e">
        <f ca="1">_xll.BDH($C$303,"LT_DEBT_TO_TOT_EQY","FQ3 2016","FQ3 2016","Currency=INR","Period=FQ","BEST_FPERIOD_OVERRIDE=FQ","FILING_STATUS=OR","EQY_CONSOLIDATED=Y","Sort=A","Dates=H","DateFormat=P","Fill=—","Direction=H","UseDPDF=Y")</f>
        <v>#NAME?</v>
      </c>
      <c r="CI316" s="2" t="e">
        <f ca="1">_xll.BDH($C$303,"LT_DEBT_TO_TOT_CAP","FQ3 2016","FQ3 2016","Currency=INR","Period=FQ","BEST_FPERIOD_OVERRIDE=FQ","FILING_STATUS=OR","EQY_CONSOLIDATED=Y","Sort=A","Dates=H","DateFormat=P","Fill=—","Direction=H","UseDPDF=Y")</f>
        <v>#NAME?</v>
      </c>
      <c r="CJ316" s="2" t="e">
        <f ca="1">_xll.BDH($C$303,"LT_DEBT_TO_TOT_ASSET","FQ3 2016","FQ3 2016","Currency=INR","Period=FQ","BEST_FPERIOD_OVERRIDE=FQ","FILING_STATUS=OR","EQY_CONSOLIDATED=Y","Sort=A","Dates=H","DateFormat=P","Fill=—","Direction=H","UseDPDF=Y")</f>
        <v>#NAME?</v>
      </c>
      <c r="CK316" s="2" t="e">
        <f ca="1">_xll.BDH($C$303,"TOT_DEBT_TO_TOT_EQY","FQ3 2016","FQ3 2016","Currency=INR","Period=FQ","BEST_FPERIOD_OVERRIDE=FQ","FILING_STATUS=OR","EQY_CONSOLIDATED=Y","Sort=A","Dates=H","DateFormat=P","Fill=—","Direction=H","UseDPDF=Y")</f>
        <v>#NAME?</v>
      </c>
      <c r="CL316" s="2" t="e">
        <f ca="1">_xll.BDH($C$303,"TOT_DEBT_TO_TOT_CAP","FQ3 2016","FQ3 2016","Currency=INR","Period=FQ","BEST_FPERIOD_OVERRIDE=FQ","FILING_STATUS=OR","EQY_CONSOLIDATED=Y","Sort=A","Dates=H","DateFormat=P","Fill=—","Direction=H","UseDPDF=Y")</f>
        <v>#NAME?</v>
      </c>
      <c r="CM316" s="2" t="e">
        <f ca="1">_xll.BDH($C$303,"TOT_DEBT_TO_TOT_ASSET","FQ3 2016","FQ3 2016","Currency=INR","Period=FQ","BEST_FPERIOD_OVERRIDE=FQ","FILING_STATUS=OR","EQY_CONSOLIDATED=Y","Sort=A","Dates=H","DateFormat=P","Fill=—","Direction=H","UseDPDF=Y")</f>
        <v>#NAME?</v>
      </c>
      <c r="CN316" s="2" t="e">
        <f ca="1">_xll.BDH($C$303,"NET_DEBT_TO_SHRHLDR_EQTY","FQ3 2016","FQ3 2016","Currency=INR","Period=FQ","BEST_FPERIOD_OVERRIDE=FQ","FILING_STATUS=OR","EQY_CONSOLIDATED=Y","Sort=A","Dates=H","DateFormat=P","Fill=—","Direction=H","UseDPDF=Y")</f>
        <v>#NAME?</v>
      </c>
      <c r="CO316" s="2" t="e">
        <f ca="1">_xll.BDH($C$303,"NET_DEBT_%_CAPITAL","FQ3 2016","FQ3 2016","Currency=INR","Period=FQ","BEST_FPERIOD_OVERRIDE=FQ","FILING_STATUS=OR","EQY_CONSOLIDATED=Y","Sort=A","Dates=H","DateFormat=P","Fill=—","Direction=H","UseDPDF=Y")</f>
        <v>#NAME?</v>
      </c>
      <c r="CP316" s="3" t="e">
        <f ca="1">_xll.BDH($C$303,"EBITDA","FQ3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316" s="3" t="e">
        <f ca="1">_xll.BDH($C$303,"EBITDA_AFTER_CAPEX","FQ3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316" s="3" t="e">
        <f ca="1">_xll.BDH($C$303,"IS_OPER_INC","FQ3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316" s="2" t="e">
        <f ca="1">_xll.BDH($C$303,"CASH_RATIO","FQ3 2016","FQ3 2016","Currency=INR","Period=FQ","BEST_FPERIOD_OVERRIDE=FQ","FILING_STATUS=OR","EQY_CONSOLIDATED=Y","Sort=A","Dates=H","DateFormat=P","Fill=—","Direction=H","UseDPDF=Y")</f>
        <v>#NAME?</v>
      </c>
      <c r="CT316" s="2" t="e">
        <f ca="1">_xll.BDH($C$303,"CUR_RATIO","FQ3 2016","FQ3 2016","Currency=INR","Period=FQ","BEST_FPERIOD_OVERRIDE=FQ","FILING_STATUS=OR","EQY_CONSOLIDATED=Y","Sort=A","Dates=H","DateFormat=P","Fill=—","Direction=H","UseDPDF=Y")</f>
        <v>#NAME?</v>
      </c>
      <c r="CU316" s="2" t="e">
        <f ca="1">_xll.BDH($C$303,"QUICK_RATIO","FQ3 2016","FQ3 2016","Currency=INR","Period=FQ","BEST_FPERIOD_OVERRIDE=FQ","FILING_STATUS=OR","EQY_CONSOLIDATED=Y","Sort=A","Dates=H","DateFormat=P","Fill=—","Direction=H","UseDPDF=Y")</f>
        <v>#NAME?</v>
      </c>
      <c r="CV316" s="2" t="e">
        <f ca="1">_xll.BDH($C$303,"ALTMAN_Z_SCORE","FQ3 2016","FQ3 2016","Currency=INR","Period=FQ","BEST_FPERIOD_OVERRIDE=FQ","FILING_STATUS=OR","EQY_CONSOLIDATED=Y","Sort=A","Dates=H","DateFormat=P","Fill=—","Direction=H","UseDPDF=Y")</f>
        <v>#NAME?</v>
      </c>
      <c r="CW316" s="4" t="e">
        <f ca="1">_xll.BDH($C$303,"ACCT_RCV_TURN","FQ3 2016","FQ3 2016","Currency=INR","Period=FQ","BEST_FPERIOD_OVERRIDE=FQ","FILING_STATUS=OR","EQY_CONSOLIDATED=Y","FA_ADJUSTED=GAAP","Sort=A","Dates=H","DateFormat=P","Fill=—","Direction=H","UseDPDF=Y")</f>
        <v>#NAME?</v>
      </c>
      <c r="CX316" s="2" t="e">
        <f ca="1">_xll.BDH($C$303,"ACCT_RCV_DAYS","FQ3 2016","FQ3 2016","Currency=INR","Period=FQ","BEST_FPERIOD_OVERRIDE=FQ","FILING_STATUS=OR","EQY_CONSOLIDATED=Y","FA_ADJUSTED=GAAP","Sort=A","Dates=H","DateFormat=P","Fill=—","Direction=H","UseDPDF=Y")</f>
        <v>#NAME?</v>
      </c>
      <c r="CY316" s="4" t="e">
        <f ca="1">_xll.BDH($C$303,"INVENT_TURN","FQ3 2016","FQ3 2016","Currency=INR","Period=FQ","BEST_FPERIOD_OVERRIDE=FQ","FILING_STATUS=OR","EQY_CONSOLIDATED=Y","FA_ADJUSTED=GAAP","Sort=A","Dates=H","DateFormat=P","Fill=—","Direction=H","UseDPDF=Y")</f>
        <v>#NAME?</v>
      </c>
      <c r="CZ316" s="2" t="e">
        <f ca="1">_xll.BDH($C$303,"INVENT_DAYS","FQ3 2016","FQ3 2016","Currency=INR","Period=FQ","BEST_FPERIOD_OVERRIDE=FQ","FILING_STATUS=OR","EQY_CONSOLIDATED=Y","FA_ADJUSTED=GAAP","Sort=A","Dates=H","DateFormat=P","Fill=—","Direction=H","UseDPDF=Y")</f>
        <v>#NAME?</v>
      </c>
      <c r="DA316" s="4" t="e">
        <f ca="1">_xll.BDH($C$303,"ACCOUNTS_PAYABLE_TURNOVER","FQ3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316" s="2" t="e">
        <f ca="1">_xll.BDH($C$303,"ACCOUNTS_PAYABLE_TURNOVER_DAYS","FQ3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316" s="4" t="e">
        <f ca="1">_xll.BDH($C$303,"CASH_CONVERSION_CYCLE","FQ3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316" s="4" t="e">
        <f ca="1">_xll.BDH($C$303,"INV_TO_CASH_DAYS","FQ3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316" s="5" t="e">
        <f ca="1">_xll.BDH($C$303,"BS_INVENTORIES","FQ3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316" s="3" t="e">
        <f ca="1">_xll.BDH($C$303,"INVTRY_RAW_MATERIALS","FQ3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316" s="3" t="e">
        <f ca="1">_xll.BDH($C$303,"INVTRY_IN_PROGRESS","FQ3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316" s="3" t="e">
        <f ca="1">_xll.BDH($C$303,"INVTRY_FINISHED_GOODS","FQ3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316" s="3" t="e">
        <f ca="1">_xll.BDH($C$303,"BS_OTHER_INV","FQ3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317" spans="1:113" x14ac:dyDescent="0.3">
      <c r="A317" s="6"/>
      <c r="B317" s="6"/>
      <c r="C317" s="6"/>
      <c r="D317" s="6"/>
      <c r="E317" t="s">
        <v>81</v>
      </c>
      <c r="F317" t="e">
        <f ca="1">_xll.BDH($C$303,"RETURN_COM_EQY","FQ4 2016","FQ4 2016","Currency=INR","Period=FQ","BEST_FPERIOD_OVERRIDE=FQ","FILING_STATUS=OR","EQY_CONSOLIDATED=Y","FA_ADJUSTED=GAAP","Sort=A","Dates=H","DateFormat=P","Fill=—","Direction=H","UseDPDF=Y")</f>
        <v>#NAME?</v>
      </c>
      <c r="G317" t="e">
        <f ca="1">_xll.BDH($C$303,"RETURN_ON_ASSET","FQ4 2016","FQ4 2016","Currency=INR","Period=FQ","BEST_FPERIOD_OVERRIDE=FQ","FILING_STATUS=OR","EQY_CONSOLIDATED=Y","FA_ADJUSTED=GAAP","Sort=A","Dates=H","DateFormat=P","Fill=—","Direction=H","UseDPDF=Y")</f>
        <v>#NAME?</v>
      </c>
      <c r="H317" t="e">
        <f ca="1">_xll.BDH($C$303,"RETURN_ON_CAP","FQ4 2016","FQ4 2016","Currency=INR","Period=FQ","BEST_FPERIOD_OVERRIDE=FQ","FILING_STATUS=OR","EQY_CONSOLIDATED=Y","FA_ADJUSTED=GAAP","Sort=A","Dates=H","DateFormat=P","Fill=—","Direction=H","UseDPDF=Y")</f>
        <v>#NAME?</v>
      </c>
      <c r="I317" t="e">
        <f ca="1">_xll.BDH($C$303,"RETURN_ON_INV_CAPITAL","FQ4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317" t="e">
        <f ca="1">_xll.BDH($C$303,"EBITDA_TO_REVENUE","FQ4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317" t="e">
        <f ca="1">_xll.BDH($C$303,"OPER_MARGIN","FQ4 2016","FQ4 2016","Currency=INR","Period=FQ","BEST_FPERIOD_OVERRIDE=FQ","FILING_STATUS=OR","EQY_CONSOLIDATED=Y","FA_ADJUSTED=GAAP","Sort=A","Dates=H","DateFormat=P","Fill=—","Direction=H","UseDPDF=Y")</f>
        <v>#NAME?</v>
      </c>
      <c r="L317" t="e">
        <f ca="1">_xll.BDH($C$303,"INCREMENTAL_OPERATING_MARGIN","FQ4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317" t="e">
        <f ca="1">_xll.BDH($C$303,"PRETAX_INC_TO_NET_SALES","FQ4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317" t="e">
        <f ca="1">_xll.BDH($C$303,"INC_BEF_XO_ITEMS_TO_NET_SALES","FQ4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317" t="e">
        <f ca="1">_xll.BDH($C$303,"PROF_MARGIN","FQ4 2016","FQ4 2016","Currency=INR","Period=FQ","BEST_FPERIOD_OVERRIDE=FQ","FILING_STATUS=OR","EQY_CONSOLIDATED=Y","FA_ADJUSTED=GAAP","Sort=A","Dates=H","DateFormat=P","Fill=—","Direction=H","UseDPDF=Y")</f>
        <v>#NAME?</v>
      </c>
      <c r="P317" t="e">
        <f ca="1">_xll.BDH($C$303,"NET_INCOME_TO_COMMON_MARGIN","FQ4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317" t="e">
        <f ca="1">_xll.BDH($C$303,"EFF_TAX_RATE","FQ4 2016","FQ4 2016","Currency=INR","Period=FQ","BEST_FPERIOD_OVERRIDE=FQ","FILING_STATUS=OR","EQY_CONSOLIDATED=Y","FA_ADJUSTED=GAAP","Sort=A","Dates=H","DateFormat=P","Fill=—","Direction=H","UseDPDF=Y")</f>
        <v>#NAME?</v>
      </c>
      <c r="R317" t="e">
        <f ca="1">_xll.BDH($C$303,"DVD_PAYOUT_RATIO","FQ4 2016","FQ4 2016","Currency=INR","Period=FQ","BEST_FPERIOD_OVERRIDE=FQ","FILING_STATUS=OR","EQY_CONSOLIDATED=Y","FA_ADJUSTED=GAAP","Sort=A","Dates=H","DateFormat=P","Fill=—","Direction=H","UseDPDF=Y")</f>
        <v>#NAME?</v>
      </c>
      <c r="S317" t="e">
        <f ca="1">_xll.BDH($C$303,"SUSTAIN_GROWTH_RT","FQ4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317" s="2" t="e">
        <f ca="1">_xll.BDH($C$303,"SALES_GROWTH","FQ4 2016","FQ4 2016","Currency=INR","Period=FQ","BEST_FPERIOD_OVERRIDE=FQ","FILING_STATUS=OR","EQY_CONSOLIDATED=Y","FA_ADJUSTED=GAAP","Sort=A","Dates=H","DateFormat=P","Fill=—","Direction=H","UseDPDF=Y")</f>
        <v>#NAME?</v>
      </c>
      <c r="U317" s="2" t="e">
        <f ca="1">_xll.BDH($C$303,"EBITDA_GROWTH","FQ4 2016","FQ4 2016","Currency=INR","Period=FQ","BEST_FPERIOD_OVERRIDE=FQ","FILING_STATUS=OR","EQY_CONSOLIDATED=Y","FA_ADJUSTED=GAAP","Sort=A","Dates=H","DateFormat=P","Fill=—","Direction=H","UseDPDF=Y")</f>
        <v>#NAME?</v>
      </c>
      <c r="V317" s="2" t="e">
        <f ca="1">_xll.BDH($C$303,"OPER_INC_GROWTH","FQ4 2016","FQ4 2016","Currency=INR","Period=FQ","BEST_FPERIOD_OVERRIDE=FQ","FILING_STATUS=OR","EQY_CONSOLIDATED=Y","FA_ADJUSTED=GAAP","Sort=A","Dates=H","DateFormat=P","Fill=—","Direction=H","UseDPDF=Y")</f>
        <v>#NAME?</v>
      </c>
      <c r="W317" s="2" t="e">
        <f ca="1">_xll.BDH($C$303,"EARN_FOR_COM_GROWTH","FQ4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317" s="2" t="e">
        <f ca="1">_xll.BDH($C$303,"DILUTED_EPS_AFT_XO_ITEMS_GROWTH","FQ4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317" s="2" t="e">
        <f ca="1">_xll.BDH($C$303,"DIVIDEND_PER_SHARE_1_YEAR_GROWTH","FQ4 2016","FQ4 2016","Currency=INR","Period=FQ","BEST_FPERIOD_OVERRIDE=FQ","FILING_STATUS=OR","EQY_CONSOLIDATED=Y","Sort=A","Dates=H","DateFormat=P","Fill=—","Direction=H","UseDPDF=Y")</f>
        <v>#NAME?</v>
      </c>
      <c r="Z317" s="2" t="e">
        <f ca="1">_xll.BDH($C$303,"ACCOUNTS_RECEIVABLE_GROWTH","FQ4 2016","FQ4 2016","Currency=INR","Period=FQ","BEST_FPERIOD_OVERRIDE=FQ","FILING_STATUS=OR","EQY_CONSOLIDATED=Y","Sort=A","Dates=H","DateFormat=P","Fill=—","Direction=H","UseDPDF=Y")</f>
        <v>#NAME?</v>
      </c>
      <c r="AA317" s="2" t="e">
        <f ca="1">_xll.BDH($C$303,"INVENTORY_GROWTH","FQ4 2016","FQ4 2016","Currency=INR","Period=FQ","BEST_FPERIOD_OVERRIDE=FQ","FILING_STATUS=OR","EQY_CONSOLIDATED=Y","Sort=A","Dates=H","DateFormat=P","Fill=—","Direction=H","UseDPDF=Y")</f>
        <v>#NAME?</v>
      </c>
      <c r="AB317" s="2" t="e">
        <f ca="1">_xll.BDH($C$303,"NET_FIXED_ASSETS_1_YEAR_GROWTH","FQ4 2016","FQ4 2016","Currency=INR","Period=FQ","BEST_FPERIOD_OVERRIDE=FQ","FILING_STATUS=OR","EQY_CONSOLIDATED=Y","Sort=A","Dates=H","DateFormat=P","Fill=—","Direction=H","UseDPDF=Y")</f>
        <v>#NAME?</v>
      </c>
      <c r="AC317" s="2" t="e">
        <f ca="1">_xll.BDH($C$303,"ASSET_GROWTH","FQ4 2016","FQ4 2016","Currency=INR","Period=FQ","BEST_FPERIOD_OVERRIDE=FQ","FILING_STATUS=OR","EQY_CONSOLIDATED=Y","Sort=A","Dates=H","DateFormat=P","Fill=—","Direction=H","UseDPDF=Y")</f>
        <v>#NAME?</v>
      </c>
      <c r="AD317" s="2" t="e">
        <f ca="1">_xll.BDH($C$303,"MODIFIED_WORK_CAP_GROWTH","FQ4 2016","FQ4 2016","Currency=INR","Period=FQ","BEST_FPERIOD_OVERRIDE=FQ","FILING_STATUS=OR","EQY_CONSOLIDATED=Y","Sort=A","Dates=H","DateFormat=P","Fill=—","Direction=H","UseDPDF=Y")</f>
        <v>#NAME?</v>
      </c>
      <c r="AE317" s="2" t="e">
        <f ca="1">_xll.BDH($C$303,"WORK_CAP_GROWTH","FQ4 2016","FQ4 2016","Currency=INR","Period=FQ","BEST_FPERIOD_OVERRIDE=FQ","FILING_STATUS=OR","EQY_CONSOLIDATED=Y","Sort=A","Dates=H","DateFormat=P","Fill=—","Direction=H","UseDPDF=Y")</f>
        <v>#NAME?</v>
      </c>
      <c r="AF317" s="2" t="e">
        <f ca="1">_xll.BDH($C$303,"ACCOUNTS_PAYABLE_GROWTH_1YR","FQ4 2016","FQ4 2016","Currency=INR","Period=FQ","BEST_FPERIOD_OVERRIDE=FQ","FILING_STATUS=OR","EQY_CONSOLIDATED=Y","Sort=A","Dates=H","DateFormat=P","Fill=—","Direction=H","UseDPDF=Y")</f>
        <v>#NAME?</v>
      </c>
      <c r="AG317" s="2" t="e">
        <f ca="1">_xll.BDH($C$303,"SHORT_TERM_DEBT_1_YEAR_GROWTH","FQ4 2016","FQ4 2016","Currency=INR","Period=FQ","BEST_FPERIOD_OVERRIDE=FQ","FILING_STATUS=OR","EQY_CONSOLIDATED=Y","Sort=A","Dates=H","DateFormat=P","Fill=—","Direction=H","UseDPDF=Y")</f>
        <v>#NAME?</v>
      </c>
      <c r="AH317" s="2" t="e">
        <f ca="1">_xll.BDH($C$303,"TOTAL_DEBT_1_YEAR_GROWTH","FQ4 2016","FQ4 2016","Currency=INR","Period=FQ","BEST_FPERIOD_OVERRIDE=FQ","FILING_STATUS=OR","EQY_CONSOLIDATED=Y","Sort=A","Dates=H","DateFormat=P","Fill=—","Direction=H","UseDPDF=Y")</f>
        <v>#NAME?</v>
      </c>
      <c r="AI317" s="2" t="e">
        <f ca="1">_xll.BDH($C$303,"TOTAL_EQUITY_1_YEAR_GROWTH","FQ4 2016","FQ4 2016","Currency=INR","Period=FQ","BEST_FPERIOD_OVERRIDE=FQ","FILING_STATUS=OR","EQY_CONSOLIDATED=Y","Sort=A","Dates=H","DateFormat=P","Fill=—","Direction=H","UseDPDF=Y")</f>
        <v>#NAME?</v>
      </c>
      <c r="AJ317" s="2" t="e">
        <f ca="1">_xll.BDH($C$303,"GROWTH_IN_CAP","FQ4 2016","FQ4 2016","Currency=INR","Period=FQ","BEST_FPERIOD_OVERRIDE=FQ","FILING_STATUS=OR","EQY_CONSOLIDATED=Y","Sort=A","Dates=H","DateFormat=P","Fill=—","Direction=H","UseDPDF=Y")</f>
        <v>#NAME?</v>
      </c>
      <c r="AK317" s="2" t="e">
        <f ca="1">_xll.BDH($C$303,"BVPS_GROWTH","FQ4 2016","FQ4 2016","Currency=INR","Period=FQ","BEST_FPERIOD_OVERRIDE=FQ","FILING_STATUS=OR","EQY_CONSOLIDATED=Y","Sort=A","Dates=H","DateFormat=P","Fill=—","Direction=H","UseDPDF=Y")</f>
        <v>#NAME?</v>
      </c>
      <c r="AL317" s="2" t="e">
        <f ca="1">_xll.BDH($C$303,"CASH_FLOW_GROWTH","FQ4 2016","FQ4 2016","Currency=INR","Period=FQ","BEST_FPERIOD_OVERRIDE=FQ","FILING_STATUS=OR","EQY_CONSOLIDATED=Y","Sort=A","Dates=H","DateFormat=P","Fill=—","Direction=H","UseDPDF=Y")</f>
        <v>#NAME?</v>
      </c>
      <c r="AM317" s="2" t="e">
        <f ca="1">_xll.BDH($C$303,"GEO_GROW_NET_SALES","FQ4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317" s="2" t="e">
        <f ca="1">_xll.BDH($C$303,"GEO_GROW_EBITDA","FQ4 2016","FQ4 2016","Currency=INR","Period=FQ","BEST_FPERIOD_OVERRIDE=FQ","FILING_STATUS=OR","EQY_CONSOLIDATED=Y","FA_ADJUSTED=GAAP","Sort=A","Dates=H","DateFormat=P","Fill=—","Direction=H","UseDPDF=Y")</f>
        <v>#NAME?</v>
      </c>
      <c r="AO317" s="2" t="e">
        <f ca="1">_xll.BDH($C$303,"GEO_GROW_OPER_INC","FQ4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317" s="2" t="e">
        <f ca="1">_xll.BDH($C$303,"NET_INCOME_TO_COMMON_5_YR_GROWTH","FQ4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317" s="2" t="e">
        <f ca="1">_xll.BDH($C$303,"5Y_GEO_GROWTH_DILUTED_EPS","FQ4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317" s="2" t="e">
        <f ca="1">_xll.BDH($C$303,"GEO_GROW_DVD_PER_SH","FQ4 2016","FQ4 2016","Currency=INR","Period=FQ","BEST_FPERIOD_OVERRIDE=FQ","FILING_STATUS=OR","EQY_CONSOLIDATED=Y","Sort=A","Dates=H","DateFormat=P","Fill=—","Direction=H","UseDPDF=Y")</f>
        <v>#NAME?</v>
      </c>
      <c r="AS317" s="2" t="e">
        <f ca="1">_xll.BDH($C$303,"ACCOUNTS_RECEIVABLE_5_YR_GROWTH","FQ4 2016","FQ4 2016","Currency=INR","Period=FQ","BEST_FPERIOD_OVERRIDE=FQ","FILING_STATUS=OR","EQY_CONSOLIDATED=Y","Sort=A","Dates=H","DateFormat=P","Fill=—","Direction=H","UseDPDF=Y")</f>
        <v>#NAME?</v>
      </c>
      <c r="AT317" s="2" t="e">
        <f ca="1">_xll.BDH($C$303,"INVENTORY_5_YEAR_GROWTH","FQ4 2016","FQ4 2016","Currency=INR","Period=FQ","BEST_FPERIOD_OVERRIDE=FQ","FILING_STATUS=OR","EQY_CONSOLIDATED=Y","Sort=A","Dates=H","DateFormat=P","Fill=—","Direction=H","UseDPDF=Y")</f>
        <v>#NAME?</v>
      </c>
      <c r="AU317" s="2" t="e">
        <f ca="1">_xll.BDH($C$303,"NET_FIXED_ASSETS_5_YEAR_GROWTH","FQ4 2016","FQ4 2016","Currency=INR","Period=FQ","BEST_FPERIOD_OVERRIDE=FQ","FILING_STATUS=OR","EQY_CONSOLIDATED=Y","Sort=A","Dates=H","DateFormat=P","Fill=—","Direction=H","UseDPDF=Y")</f>
        <v>#NAME?</v>
      </c>
      <c r="AV317" s="2" t="e">
        <f ca="1">_xll.BDH($C$303,"GEO_GROW_TOT_ASSET","FQ4 2016","FQ4 2016","Currency=INR","Period=FQ","BEST_FPERIOD_OVERRIDE=FQ","FILING_STATUS=OR","EQY_CONSOLIDATED=Y","Sort=A","Dates=H","DateFormat=P","Fill=—","Direction=H","UseDPDF=Y")</f>
        <v>#NAME?</v>
      </c>
      <c r="AW317" s="2" t="e">
        <f ca="1">_xll.BDH($C$303,"MODIFIED_WORKING_CPTL_5YR_GRWTH","FQ4 2016","FQ4 2016","Currency=INR","Period=FQ","BEST_FPERIOD_OVERRIDE=FQ","FILING_STATUS=OR","EQY_CONSOLIDATED=Y","Sort=A","Dates=H","DateFormat=P","Fill=—","Direction=H","UseDPDF=Y")</f>
        <v>#NAME?</v>
      </c>
      <c r="AX317" s="2" t="e">
        <f ca="1">_xll.BDH($C$303,"WORKING_CAPITAL_5_YEAR_GROWTH","FQ4 2016","FQ4 2016","Currency=INR","Period=FQ","BEST_FPERIOD_OVERRIDE=FQ","FILING_STATUS=OR","EQY_CONSOLIDATED=Y","Sort=A","Dates=H","DateFormat=P","Fill=—","Direction=H","UseDPDF=Y")</f>
        <v>#NAME?</v>
      </c>
      <c r="AY317" s="2" t="e">
        <f ca="1">_xll.BDH($C$303,"ACCOUNTS_PAYABLE_5_YEAR_GROWTH","FQ4 2016","FQ4 2016","Currency=INR","Period=FQ","BEST_FPERIOD_OVERRIDE=FQ","FILING_STATUS=OR","EQY_CONSOLIDATED=Y","Sort=A","Dates=H","DateFormat=P","Fill=—","Direction=H","UseDPDF=Y")</f>
        <v>#NAME?</v>
      </c>
      <c r="AZ317" s="2" t="e">
        <f ca="1">_xll.BDH($C$303,"SHORT_TERM_DEBT_5_YEAR_GROWTH","FQ4 2016","FQ4 2016","Currency=INR","Period=FQ","BEST_FPERIOD_OVERRIDE=FQ","FILING_STATUS=OR","EQY_CONSOLIDATED=Y","Sort=A","Dates=H","DateFormat=P","Fill=—","Direction=H","UseDPDF=Y")</f>
        <v>#NAME?</v>
      </c>
      <c r="BA317" s="2" t="e">
        <f ca="1">_xll.BDH($C$303,"TOTAL_DEBT_5_YEAR_GROWTH","FQ4 2016","FQ4 2016","Currency=INR","Period=FQ","BEST_FPERIOD_OVERRIDE=FQ","FILING_STATUS=OR","EQY_CONSOLIDATED=Y","Sort=A","Dates=H","DateFormat=P","Fill=—","Direction=H","UseDPDF=Y")</f>
        <v>#NAME?</v>
      </c>
      <c r="BB317" s="2" t="e">
        <f ca="1">_xll.BDH($C$303,"GEO_GROW_TOT_SHRHLDR_EQY","FQ4 2016","FQ4 2016","Currency=INR","Period=FQ","BEST_FPERIOD_OVERRIDE=FQ","FILING_STATUS=OR","EQY_CONSOLIDATED=Y","Sort=A","Dates=H","DateFormat=P","Fill=—","Direction=H","UseDPDF=Y")</f>
        <v>#NAME?</v>
      </c>
      <c r="BC317" s="2" t="e">
        <f ca="1">_xll.BDH($C$303,"TOTAL_CAPITAL_5_YEAR_GROWTH","FQ4 2016","FQ4 2016","Currency=INR","Period=FQ","BEST_FPERIOD_OVERRIDE=FQ","FILING_STATUS=OR","EQY_CONSOLIDATED=Y","Sort=A","Dates=H","DateFormat=P","Fill=—","Direction=H","UseDPDF=Y")</f>
        <v>#NAME?</v>
      </c>
      <c r="BD317" s="2" t="e">
        <f ca="1">_xll.BDH($C$303,"GEO_GROW_BOOK_VAL","FQ4 2016","FQ4 2016","Currency=INR","Period=FQ","BEST_FPERIOD_OVERRIDE=FQ","FILING_STATUS=OR","EQY_CONSOLIDATED=Y","Sort=A","Dates=H","DateFormat=P","Fill=—","Direction=H","UseDPDF=Y")</f>
        <v>#NAME?</v>
      </c>
      <c r="BE317" s="2" t="e">
        <f ca="1">_xll.BDH($C$303,"GEO_GROW_CASH_OPER_ACT","FQ4 2016","FQ4 2016","Currency=INR","Period=FQ","BEST_FPERIOD_OVERRIDE=FQ","FILING_STATUS=OR","EQY_CONSOLIDATED=Y","Sort=A","Dates=H","DateFormat=P","Fill=—","Direction=H","UseDPDF=Y")</f>
        <v>#NAME?</v>
      </c>
      <c r="BF317" s="2" t="e">
        <f ca="1">_xll.BDH($C$303,"REVENUE_SEQUENTIAL_GROWTH","FQ4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317" s="2" t="e">
        <f ca="1">_xll.BDH($C$303,"EBITDA_SEQUENTIAL_GROWTH","FQ4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317" s="2" t="e">
        <f ca="1">_xll.BDH($C$303,"OPERATING_INCOME_SEQ_GROWTH","FQ4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317" s="2" t="e">
        <f ca="1">_xll.BDH($C$303,"NET_INCOME_TO_COMMON_SEQ_GROWTH","FQ4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317" s="2" t="e">
        <f ca="1">_xll.BDH($C$303,"EPS_DILUTED_SEQUENTIAL_GROWTH","FQ4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317" s="2" t="e">
        <f ca="1">_xll.BDH($C$303,"DPS_SEQUENTIAL_GROWTH","FQ4 2016","FQ4 2016","Currency=INR","Period=FQ","BEST_FPERIOD_OVERRIDE=FQ","FILING_STATUS=OR","EQY_CONSOLIDATED=Y","Sort=A","Dates=H","DateFormat=P","Fill=—","Direction=H","UseDPDF=Y")</f>
        <v>#NAME?</v>
      </c>
      <c r="BL317" s="2" t="e">
        <f ca="1">_xll.BDH($C$303,"ACCOUNTS_RECEIVABLE_SEQ_GROWTH","FQ4 2016","FQ4 2016","Currency=INR","Period=FQ","BEST_FPERIOD_OVERRIDE=FQ","FILING_STATUS=OR","EQY_CONSOLIDATED=Y","Sort=A","Dates=H","DateFormat=P","Fill=—","Direction=H","UseDPDF=Y")</f>
        <v>#NAME?</v>
      </c>
      <c r="BM317" s="2" t="e">
        <f ca="1">_xll.BDH($C$303,"INVENTORY_SEQUENTIAL_GROWTH","FQ4 2016","FQ4 2016","Currency=INR","Period=FQ","BEST_FPERIOD_OVERRIDE=FQ","FILING_STATUS=OR","EQY_CONSOLIDATED=Y","Sort=A","Dates=H","DateFormat=P","Fill=—","Direction=H","UseDPDF=Y")</f>
        <v>#NAME?</v>
      </c>
      <c r="BN317" s="2" t="e">
        <f ca="1">_xll.BDH($C$303,"FIXED_ASSETS_SEQUENTIAL_GROWTH","FQ4 2016","FQ4 2016","Currency=INR","Period=FQ","BEST_FPERIOD_OVERRIDE=FQ","FILING_STATUS=OR","EQY_CONSOLIDATED=Y","Sort=A","Dates=H","DateFormat=P","Fill=—","Direction=H","UseDPDF=Y")</f>
        <v>#NAME?</v>
      </c>
      <c r="BO317" s="2" t="e">
        <f ca="1">_xll.BDH($C$303,"TOTAL_ASSETS_SEQUENTIAL_GROWTH","FQ4 2016","FQ4 2016","Currency=INR","Period=FQ","BEST_FPERIOD_OVERRIDE=FQ","FILING_STATUS=OR","EQY_CONSOLIDATED=Y","Sort=A","Dates=H","DateFormat=P","Fill=—","Direction=H","UseDPDF=Y")</f>
        <v>#NAME?</v>
      </c>
      <c r="BP317" s="2" t="e">
        <f ca="1">_xll.BDH($C$303,"MODIFIED_WORKING_CPTL_SEQ_GRWTH","FQ4 2016","FQ4 2016","Currency=INR","Period=FQ","BEST_FPERIOD_OVERRIDE=FQ","FILING_STATUS=OR","EQY_CONSOLIDATED=Y","Sort=A","Dates=H","DateFormat=P","Fill=—","Direction=H","UseDPDF=Y")</f>
        <v>#NAME?</v>
      </c>
      <c r="BQ317" s="2" t="e">
        <f ca="1">_xll.BDH($C$303,"WORKING_CAPITAL_SEQ_GROWTH","FQ4 2016","FQ4 2016","Currency=INR","Period=FQ","BEST_FPERIOD_OVERRIDE=FQ","FILING_STATUS=OR","EQY_CONSOLIDATED=Y","Sort=A","Dates=H","DateFormat=P","Fill=—","Direction=H","UseDPDF=Y")</f>
        <v>#NAME?</v>
      </c>
      <c r="BR317" s="2" t="e">
        <f ca="1">_xll.BDH($C$303,"ACCOUNTS_PAYABLE_SEQ_GROWTH","FQ4 2016","FQ4 2016","Currency=INR","Period=FQ","BEST_FPERIOD_OVERRIDE=FQ","FILING_STATUS=OR","EQY_CONSOLIDATED=Y","Sort=A","Dates=H","DateFormat=P","Fill=—","Direction=H","UseDPDF=Y")</f>
        <v>#NAME?</v>
      </c>
      <c r="BS317" s="2" t="e">
        <f ca="1">_xll.BDH($C$303,"ST_DEBT_SEQUENTIAL_GROWTH","FQ4 2016","FQ4 2016","Currency=INR","Period=FQ","BEST_FPERIOD_OVERRIDE=FQ","FILING_STATUS=OR","EQY_CONSOLIDATED=Y","Sort=A","Dates=H","DateFormat=P","Fill=—","Direction=H","UseDPDF=Y")</f>
        <v>#NAME?</v>
      </c>
      <c r="BT317" s="2" t="e">
        <f ca="1">_xll.BDH($C$303,"TOTAL_DEBT_SEQUENTIAL_GROWTH","FQ4 2016","FQ4 2016","Currency=INR","Period=FQ","BEST_FPERIOD_OVERRIDE=FQ","FILING_STATUS=OR","EQY_CONSOLIDATED=Y","Sort=A","Dates=H","DateFormat=P","Fill=—","Direction=H","UseDPDF=Y")</f>
        <v>#NAME?</v>
      </c>
      <c r="BU317" s="2" t="e">
        <f ca="1">_xll.BDH($C$303,"TOTAL_EQUITY_SEQUENTIAL_GROWTH","FQ4 2016","FQ4 2016","Currency=INR","Period=FQ","BEST_FPERIOD_OVERRIDE=FQ","FILING_STATUS=OR","EQY_CONSOLIDATED=Y","Sort=A","Dates=H","DateFormat=P","Fill=—","Direction=H","UseDPDF=Y")</f>
        <v>#NAME?</v>
      </c>
      <c r="BV317" s="2" t="e">
        <f ca="1">_xll.BDH($C$303,"TOTAL_CAPITAL_SEQUENTIAL_GROWTH","FQ4 2016","FQ4 2016","Currency=INR","Period=FQ","BEST_FPERIOD_OVERRIDE=FQ","FILING_STATUS=OR","EQY_CONSOLIDATED=Y","Sort=A","Dates=H","DateFormat=P","Fill=—","Direction=H","UseDPDF=Y")</f>
        <v>#NAME?</v>
      </c>
      <c r="BW317" s="2" t="e">
        <f ca="1">_xll.BDH($C$303,"BPS_SEQUENTIAL_GROWTH","FQ4 2016","FQ4 2016","Currency=INR","Period=FQ","BEST_FPERIOD_OVERRIDE=FQ","FILING_STATUS=OR","EQY_CONSOLIDATED=Y","Sort=A","Dates=H","DateFormat=P","Fill=—","Direction=H","UseDPDF=Y")</f>
        <v>#NAME?</v>
      </c>
      <c r="BX317" s="2" t="e">
        <f ca="1">_xll.BDH($C$303,"CFO_SEQUENTIAL_GROWTH","FQ4 2016","FQ4 2016","Currency=INR","Period=FQ","BEST_FPERIOD_OVERRIDE=FQ","FILING_STATUS=OR","EQY_CONSOLIDATED=Y","Sort=A","Dates=H","DateFormat=P","Fill=—","Direction=H","UseDPDF=Y")</f>
        <v>#NAME?</v>
      </c>
      <c r="BY317" s="3" t="e">
        <f ca="1">_xll.BDH($C$303,"SHORT_AND_LONG_TERM_DEBT","FQ4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317" s="3" t="e">
        <f ca="1">_xll.BDH($C$303,"BS_ST_BORROW","FQ4 2016","FQ4 2016","Currency=INR","Period=FQ","BEST_FPERIOD_OVERRIDE=FQ","FILING_STATUS=OR","EQY_CONSOLIDATED=Y","SCALING_FORMAT=MLN","Sort=A","Dates=H","DateFormat=P","Fill=—","Direction=H","UseDPDF=Y")</f>
        <v>#NAME?</v>
      </c>
      <c r="CA317" s="3" t="e">
        <f ca="1">_xll.BDH($C$303,"BS_LT_BORROW","FQ4 2016","FQ4 2016","Currency=INR","Period=FQ","BEST_FPERIOD_OVERRIDE=FQ","FILING_STATUS=OR","EQY_CONSOLIDATED=Y","SCALING_FORMAT=MLN","Sort=A","Dates=H","DateFormat=P","Fill=—","Direction=H","UseDPDF=Y")</f>
        <v>#NAME?</v>
      </c>
      <c r="CB317" s="2" t="e">
        <f ca="1">_xll.BDH($C$303,"TOT_DEBT_TO_EBITDA","FQ4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317" s="2" t="e">
        <f ca="1">_xll.BDH($C$303,"NET_DEBT_TO_EBITDA","FQ4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317" s="2" t="e">
        <f ca="1">_xll.BDH($C$303,"TOTAL_DEBT_TO_EBIT","FQ4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317" s="2" t="e">
        <f ca="1">_xll.BDH($C$303,"NET_DEBT_TO_EBIT","FQ4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317" s="2" t="e">
        <f ca="1">_xll.BDH($C$303,"EBITDA_TO_INTEREST_EXPN","FQ4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317" s="2" t="e">
        <f ca="1">_xll.BDH($C$303,"COM_EQY_TO_TOT_ASSET","FQ4 2016","FQ4 2016","Currency=INR","Period=FQ","BEST_FPERIOD_OVERRIDE=FQ","FILING_STATUS=OR","EQY_CONSOLIDATED=Y","Sort=A","Dates=H","DateFormat=P","Fill=—","Direction=H","UseDPDF=Y")</f>
        <v>#NAME?</v>
      </c>
      <c r="CH317" s="2" t="e">
        <f ca="1">_xll.BDH($C$303,"LT_DEBT_TO_TOT_EQY","FQ4 2016","FQ4 2016","Currency=INR","Period=FQ","BEST_FPERIOD_OVERRIDE=FQ","FILING_STATUS=OR","EQY_CONSOLIDATED=Y","Sort=A","Dates=H","DateFormat=P","Fill=—","Direction=H","UseDPDF=Y")</f>
        <v>#NAME?</v>
      </c>
      <c r="CI317" s="2" t="e">
        <f ca="1">_xll.BDH($C$303,"LT_DEBT_TO_TOT_CAP","FQ4 2016","FQ4 2016","Currency=INR","Period=FQ","BEST_FPERIOD_OVERRIDE=FQ","FILING_STATUS=OR","EQY_CONSOLIDATED=Y","Sort=A","Dates=H","DateFormat=P","Fill=—","Direction=H","UseDPDF=Y")</f>
        <v>#NAME?</v>
      </c>
      <c r="CJ317" s="2" t="e">
        <f ca="1">_xll.BDH($C$303,"LT_DEBT_TO_TOT_ASSET","FQ4 2016","FQ4 2016","Currency=INR","Period=FQ","BEST_FPERIOD_OVERRIDE=FQ","FILING_STATUS=OR","EQY_CONSOLIDATED=Y","Sort=A","Dates=H","DateFormat=P","Fill=—","Direction=H","UseDPDF=Y")</f>
        <v>#NAME?</v>
      </c>
      <c r="CK317" s="2" t="e">
        <f ca="1">_xll.BDH($C$303,"TOT_DEBT_TO_TOT_EQY","FQ4 2016","FQ4 2016","Currency=INR","Period=FQ","BEST_FPERIOD_OVERRIDE=FQ","FILING_STATUS=OR","EQY_CONSOLIDATED=Y","Sort=A","Dates=H","DateFormat=P","Fill=—","Direction=H","UseDPDF=Y")</f>
        <v>#NAME?</v>
      </c>
      <c r="CL317" s="2" t="e">
        <f ca="1">_xll.BDH($C$303,"TOT_DEBT_TO_TOT_CAP","FQ4 2016","FQ4 2016","Currency=INR","Period=FQ","BEST_FPERIOD_OVERRIDE=FQ","FILING_STATUS=OR","EQY_CONSOLIDATED=Y","Sort=A","Dates=H","DateFormat=P","Fill=—","Direction=H","UseDPDF=Y")</f>
        <v>#NAME?</v>
      </c>
      <c r="CM317" s="2" t="e">
        <f ca="1">_xll.BDH($C$303,"TOT_DEBT_TO_TOT_ASSET","FQ4 2016","FQ4 2016","Currency=INR","Period=FQ","BEST_FPERIOD_OVERRIDE=FQ","FILING_STATUS=OR","EQY_CONSOLIDATED=Y","Sort=A","Dates=H","DateFormat=P","Fill=—","Direction=H","UseDPDF=Y")</f>
        <v>#NAME?</v>
      </c>
      <c r="CN317" s="2" t="e">
        <f ca="1">_xll.BDH($C$303,"NET_DEBT_TO_SHRHLDR_EQTY","FQ4 2016","FQ4 2016","Currency=INR","Period=FQ","BEST_FPERIOD_OVERRIDE=FQ","FILING_STATUS=OR","EQY_CONSOLIDATED=Y","Sort=A","Dates=H","DateFormat=P","Fill=—","Direction=H","UseDPDF=Y")</f>
        <v>#NAME?</v>
      </c>
      <c r="CO317" s="2" t="e">
        <f ca="1">_xll.BDH($C$303,"NET_DEBT_%_CAPITAL","FQ4 2016","FQ4 2016","Currency=INR","Period=FQ","BEST_FPERIOD_OVERRIDE=FQ","FILING_STATUS=OR","EQY_CONSOLIDATED=Y","Sort=A","Dates=H","DateFormat=P","Fill=—","Direction=H","UseDPDF=Y")</f>
        <v>#NAME?</v>
      </c>
      <c r="CP317" s="3" t="e">
        <f ca="1">_xll.BDH($C$303,"EBITDA","FQ4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317" s="3" t="e">
        <f ca="1">_xll.BDH($C$303,"EBITDA_AFTER_CAPEX","FQ4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317" s="3" t="e">
        <f ca="1">_xll.BDH($C$303,"IS_OPER_INC","FQ4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317" s="2" t="e">
        <f ca="1">_xll.BDH($C$303,"CASH_RATIO","FQ4 2016","FQ4 2016","Currency=INR","Period=FQ","BEST_FPERIOD_OVERRIDE=FQ","FILING_STATUS=OR","EQY_CONSOLIDATED=Y","Sort=A","Dates=H","DateFormat=P","Fill=—","Direction=H","UseDPDF=Y")</f>
        <v>#NAME?</v>
      </c>
      <c r="CT317" s="2" t="e">
        <f ca="1">_xll.BDH($C$303,"CUR_RATIO","FQ4 2016","FQ4 2016","Currency=INR","Period=FQ","BEST_FPERIOD_OVERRIDE=FQ","FILING_STATUS=OR","EQY_CONSOLIDATED=Y","Sort=A","Dates=H","DateFormat=P","Fill=—","Direction=H","UseDPDF=Y")</f>
        <v>#NAME?</v>
      </c>
      <c r="CU317" s="2" t="e">
        <f ca="1">_xll.BDH($C$303,"QUICK_RATIO","FQ4 2016","FQ4 2016","Currency=INR","Period=FQ","BEST_FPERIOD_OVERRIDE=FQ","FILING_STATUS=OR","EQY_CONSOLIDATED=Y","Sort=A","Dates=H","DateFormat=P","Fill=—","Direction=H","UseDPDF=Y")</f>
        <v>#NAME?</v>
      </c>
      <c r="CV317" s="2" t="e">
        <f ca="1">_xll.BDH($C$303,"ALTMAN_Z_SCORE","FQ4 2016","FQ4 2016","Currency=INR","Period=FQ","BEST_FPERIOD_OVERRIDE=FQ","FILING_STATUS=OR","EQY_CONSOLIDATED=Y","Sort=A","Dates=H","DateFormat=P","Fill=—","Direction=H","UseDPDF=Y")</f>
        <v>#NAME?</v>
      </c>
      <c r="CW317" s="4" t="e">
        <f ca="1">_xll.BDH($C$303,"ACCT_RCV_TURN","FQ4 2016","FQ4 2016","Currency=INR","Period=FQ","BEST_FPERIOD_OVERRIDE=FQ","FILING_STATUS=OR","EQY_CONSOLIDATED=Y","FA_ADJUSTED=GAAP","Sort=A","Dates=H","DateFormat=P","Fill=—","Direction=H","UseDPDF=Y")</f>
        <v>#NAME?</v>
      </c>
      <c r="CX317" s="2" t="e">
        <f ca="1">_xll.BDH($C$303,"ACCT_RCV_DAYS","FQ4 2016","FQ4 2016","Currency=INR","Period=FQ","BEST_FPERIOD_OVERRIDE=FQ","FILING_STATUS=OR","EQY_CONSOLIDATED=Y","FA_ADJUSTED=GAAP","Sort=A","Dates=H","DateFormat=P","Fill=—","Direction=H","UseDPDF=Y")</f>
        <v>#NAME?</v>
      </c>
      <c r="CY317" s="4" t="e">
        <f ca="1">_xll.BDH($C$303,"INVENT_TURN","FQ4 2016","FQ4 2016","Currency=INR","Period=FQ","BEST_FPERIOD_OVERRIDE=FQ","FILING_STATUS=OR","EQY_CONSOLIDATED=Y","FA_ADJUSTED=GAAP","Sort=A","Dates=H","DateFormat=P","Fill=—","Direction=H","UseDPDF=Y")</f>
        <v>#NAME?</v>
      </c>
      <c r="CZ317" s="2" t="e">
        <f ca="1">_xll.BDH($C$303,"INVENT_DAYS","FQ4 2016","FQ4 2016","Currency=INR","Period=FQ","BEST_FPERIOD_OVERRIDE=FQ","FILING_STATUS=OR","EQY_CONSOLIDATED=Y","FA_ADJUSTED=GAAP","Sort=A","Dates=H","DateFormat=P","Fill=—","Direction=H","UseDPDF=Y")</f>
        <v>#NAME?</v>
      </c>
      <c r="DA317" s="4" t="e">
        <f ca="1">_xll.BDH($C$303,"ACCOUNTS_PAYABLE_TURNOVER","FQ4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317" s="2" t="e">
        <f ca="1">_xll.BDH($C$303,"ACCOUNTS_PAYABLE_TURNOVER_DAYS","FQ4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317" s="4" t="e">
        <f ca="1">_xll.BDH($C$303,"CASH_CONVERSION_CYCLE","FQ4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317" s="4" t="e">
        <f ca="1">_xll.BDH($C$303,"INV_TO_CASH_DAYS","FQ4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317" s="5" t="e">
        <f ca="1">_xll.BDH($C$303,"BS_INVENTORIES","FQ4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317" s="3" t="e">
        <f ca="1">_xll.BDH($C$303,"INVTRY_RAW_MATERIALS","FQ4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317" s="3" t="e">
        <f ca="1">_xll.BDH($C$303,"INVTRY_IN_PROGRESS","FQ4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317" s="3" t="e">
        <f ca="1">_xll.BDH($C$303,"INVTRY_FINISHED_GOODS","FQ4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317" s="3" t="e">
        <f ca="1">_xll.BDH($C$303,"BS_OTHER_INV","FQ4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318" spans="1:113" x14ac:dyDescent="0.3">
      <c r="A318" s="6"/>
      <c r="B318" s="6"/>
      <c r="C318" s="6"/>
      <c r="D318" s="6" t="s">
        <v>84</v>
      </c>
      <c r="E318" t="s">
        <v>77</v>
      </c>
      <c r="F318" t="e">
        <f ca="1">_xll.BDH($C$303,"RETURN_COM_EQY","FY 2017","FY 2017","Currency=INR","Period=FY","BEST_FPERIOD_OVERRIDE=FY","FILING_STATUS=OR","EQY_CONSOLIDATED=Y","FA_ADJUSTED=GAAP","Sort=A","Dates=H","DateFormat=P","Fill=—","Direction=H","UseDPDF=Y")</f>
        <v>#NAME?</v>
      </c>
      <c r="G318" t="e">
        <f ca="1">_xll.BDH($C$303,"RETURN_ON_ASSET","FY 2017","FY 2017","Currency=INR","Period=FY","BEST_FPERIOD_OVERRIDE=FY","FILING_STATUS=OR","EQY_CONSOLIDATED=Y","FA_ADJUSTED=GAAP","Sort=A","Dates=H","DateFormat=P","Fill=—","Direction=H","UseDPDF=Y")</f>
        <v>#NAME?</v>
      </c>
      <c r="H318" t="e">
        <f ca="1">_xll.BDH($C$303,"RETURN_ON_CAP","FY 2017","FY 2017","Currency=INR","Period=FY","BEST_FPERIOD_OVERRIDE=FY","FILING_STATUS=OR","EQY_CONSOLIDATED=Y","FA_ADJUSTED=GAAP","Sort=A","Dates=H","DateFormat=P","Fill=—","Direction=H","UseDPDF=Y")</f>
        <v>#NAME?</v>
      </c>
      <c r="I318" t="e">
        <f ca="1">_xll.BDH($C$303,"RETURN_ON_INV_CAPITAL","FY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318" t="e">
        <f ca="1">_xll.BDH($C$303,"EBITDA_TO_REVENUE","FY 2017","FY 2017","Currency=INR","Period=FY","BEST_FPERIOD_OVERRIDE=FY","FILING_STATUS=OR","EQY_CONSOLIDATED=Y","FA_ADJUSTED=GAAP","Sort=A","Dates=H","DateFormat=P","Fill=—","Direction=H","UseDPDF=Y")</f>
        <v>#NAME?</v>
      </c>
      <c r="K318" t="e">
        <f ca="1">_xll.BDH($C$303,"OPER_MARGIN","FY 2017","FY 2017","Currency=INR","Period=FY","BEST_FPERIOD_OVERRIDE=FY","FILING_STATUS=OR","EQY_CONSOLIDATED=Y","FA_ADJUSTED=GAAP","Sort=A","Dates=H","DateFormat=P","Fill=—","Direction=H","UseDPDF=Y")</f>
        <v>#NAME?</v>
      </c>
      <c r="L318" t="e">
        <f ca="1">_xll.BDH($C$303,"INCREMENTAL_OPERATING_MARGIN","FY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318" t="e">
        <f ca="1">_xll.BDH($C$303,"PRETAX_INC_TO_NET_SALES","FY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318" t="e">
        <f ca="1">_xll.BDH($C$303,"INC_BEF_XO_ITEMS_TO_NET_SALES","FY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318" t="e">
        <f ca="1">_xll.BDH($C$303,"PROF_MARGIN","FY 2017","FY 2017","Currency=INR","Period=FY","BEST_FPERIOD_OVERRIDE=FY","FILING_STATUS=OR","EQY_CONSOLIDATED=Y","FA_ADJUSTED=GAAP","Sort=A","Dates=H","DateFormat=P","Fill=—","Direction=H","UseDPDF=Y")</f>
        <v>#NAME?</v>
      </c>
      <c r="P318" t="e">
        <f ca="1">_xll.BDH($C$303,"NET_INCOME_TO_COMMON_MARGIN","FY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318" t="e">
        <f ca="1">_xll.BDH($C$303,"EFF_TAX_RATE","FY 2017","FY 2017","Currency=INR","Period=FY","BEST_FPERIOD_OVERRIDE=FY","FILING_STATUS=OR","EQY_CONSOLIDATED=Y","FA_ADJUSTED=GAAP","Sort=A","Dates=H","DateFormat=P","Fill=—","Direction=H","UseDPDF=Y")</f>
        <v>#NAME?</v>
      </c>
      <c r="R318" t="e">
        <f ca="1">_xll.BDH($C$303,"DVD_PAYOUT_RATIO","FY 2017","FY 2017","Currency=INR","Period=FY","BEST_FPERIOD_OVERRIDE=FY","FILING_STATUS=OR","EQY_CONSOLIDATED=Y","FA_ADJUSTED=GAAP","Sort=A","Dates=H","DateFormat=P","Fill=—","Direction=H","UseDPDF=Y")</f>
        <v>#NAME?</v>
      </c>
      <c r="S318" t="e">
        <f ca="1">_xll.BDH($C$303,"SUSTAIN_GROWTH_RT","FY 2017","FY 2017","Currency=INR","Period=FY","BEST_FPERIOD_OVERRIDE=FY","FILING_STATUS=OR","EQY_CONSOLIDATED=Y","FA_ADJUSTED=GAAP","Sort=A","Dates=H","DateFormat=P","Fill=—","Direction=H","UseDPDF=Y")</f>
        <v>#NAME?</v>
      </c>
      <c r="T318" s="2" t="e">
        <f ca="1">_xll.BDH($C$303,"SALES_GROWTH","FY 2017","FY 2017","Currency=INR","Period=FY","BEST_FPERIOD_OVERRIDE=FY","FILING_STATUS=OR","EQY_CONSOLIDATED=Y","FA_ADJUSTED=GAAP","Sort=A","Dates=H","DateFormat=P","Fill=—","Direction=H","UseDPDF=Y")</f>
        <v>#NAME?</v>
      </c>
      <c r="U318" s="2" t="e">
        <f ca="1">_xll.BDH($C$303,"EBITDA_GROWTH","FY 2017","FY 2017","Currency=INR","Period=FY","BEST_FPERIOD_OVERRIDE=FY","FILING_STATUS=OR","EQY_CONSOLIDATED=Y","FA_ADJUSTED=GAAP","Sort=A","Dates=H","DateFormat=P","Fill=—","Direction=H","UseDPDF=Y")</f>
        <v>#NAME?</v>
      </c>
      <c r="V318" s="2" t="e">
        <f ca="1">_xll.BDH($C$303,"OPER_INC_GROWTH","FY 2017","FY 2017","Currency=INR","Period=FY","BEST_FPERIOD_OVERRIDE=FY","FILING_STATUS=OR","EQY_CONSOLIDATED=Y","FA_ADJUSTED=GAAP","Sort=A","Dates=H","DateFormat=P","Fill=—","Direction=H","UseDPDF=Y")</f>
        <v>#NAME?</v>
      </c>
      <c r="W318" s="2" t="e">
        <f ca="1">_xll.BDH($C$303,"EARN_FOR_COM_GROWTH","FY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318" s="2" t="e">
        <f ca="1">_xll.BDH($C$303,"DILUTED_EPS_AFT_XO_ITEMS_GROWTH","FY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318" s="2" t="e">
        <f ca="1">_xll.BDH($C$303,"DIVIDEND_PER_SHARE_1_YEAR_GROWTH","FY 2017","FY 2017","Currency=INR","Period=FY","BEST_FPERIOD_OVERRIDE=FY","FILING_STATUS=OR","EQY_CONSOLIDATED=Y","Sort=A","Dates=H","DateFormat=P","Fill=—","Direction=H","UseDPDF=Y")</f>
        <v>#NAME?</v>
      </c>
      <c r="Z318" s="2" t="e">
        <f ca="1">_xll.BDH($C$303,"ACCOUNTS_RECEIVABLE_GROWTH","FY 2017","FY 2017","Currency=INR","Period=FY","BEST_FPERIOD_OVERRIDE=FY","FILING_STATUS=OR","EQY_CONSOLIDATED=Y","Sort=A","Dates=H","DateFormat=P","Fill=—","Direction=H","UseDPDF=Y")</f>
        <v>#NAME?</v>
      </c>
      <c r="AA318" s="2" t="e">
        <f ca="1">_xll.BDH($C$303,"INVENTORY_GROWTH","FY 2017","FY 2017","Currency=INR","Period=FY","BEST_FPERIOD_OVERRIDE=FY","FILING_STATUS=OR","EQY_CONSOLIDATED=Y","Sort=A","Dates=H","DateFormat=P","Fill=—","Direction=H","UseDPDF=Y")</f>
        <v>#NAME?</v>
      </c>
      <c r="AB318" s="2" t="e">
        <f ca="1">_xll.BDH($C$303,"NET_FIXED_ASSETS_1_YEAR_GROWTH","FY 2017","FY 2017","Currency=INR","Period=FY","BEST_FPERIOD_OVERRIDE=FY","FILING_STATUS=OR","EQY_CONSOLIDATED=Y","Sort=A","Dates=H","DateFormat=P","Fill=—","Direction=H","UseDPDF=Y")</f>
        <v>#NAME?</v>
      </c>
      <c r="AC318" s="2" t="e">
        <f ca="1">_xll.BDH($C$303,"ASSET_GROWTH","FY 2017","FY 2017","Currency=INR","Period=FY","BEST_FPERIOD_OVERRIDE=FY","FILING_STATUS=OR","EQY_CONSOLIDATED=Y","Sort=A","Dates=H","DateFormat=P","Fill=—","Direction=H","UseDPDF=Y")</f>
        <v>#NAME?</v>
      </c>
      <c r="AD318" s="2" t="e">
        <f ca="1">_xll.BDH($C$303,"MODIFIED_WORK_CAP_GROWTH","FY 2017","FY 2017","Currency=INR","Period=FY","BEST_FPERIOD_OVERRIDE=FY","FILING_STATUS=OR","EQY_CONSOLIDATED=Y","Sort=A","Dates=H","DateFormat=P","Fill=—","Direction=H","UseDPDF=Y")</f>
        <v>#NAME?</v>
      </c>
      <c r="AE318" s="2" t="e">
        <f ca="1">_xll.BDH($C$303,"WORK_CAP_GROWTH","FY 2017","FY 2017","Currency=INR","Period=FY","BEST_FPERIOD_OVERRIDE=FY","FILING_STATUS=OR","EQY_CONSOLIDATED=Y","Sort=A","Dates=H","DateFormat=P","Fill=—","Direction=H","UseDPDF=Y")</f>
        <v>#NAME?</v>
      </c>
      <c r="AF318" s="2" t="e">
        <f ca="1">_xll.BDH($C$303,"ACCOUNTS_PAYABLE_GROWTH_1YR","FY 2017","FY 2017","Currency=INR","Period=FY","BEST_FPERIOD_OVERRIDE=FY","FILING_STATUS=OR","EQY_CONSOLIDATED=Y","Sort=A","Dates=H","DateFormat=P","Fill=—","Direction=H","UseDPDF=Y")</f>
        <v>#NAME?</v>
      </c>
      <c r="AG318" s="2" t="e">
        <f ca="1">_xll.BDH($C$303,"SHORT_TERM_DEBT_1_YEAR_GROWTH","FY 2017","FY 2017","Currency=INR","Period=FY","BEST_FPERIOD_OVERRIDE=FY","FILING_STATUS=OR","EQY_CONSOLIDATED=Y","Sort=A","Dates=H","DateFormat=P","Fill=—","Direction=H","UseDPDF=Y")</f>
        <v>#NAME?</v>
      </c>
      <c r="AH318" s="2" t="e">
        <f ca="1">_xll.BDH($C$303,"TOTAL_DEBT_1_YEAR_GROWTH","FY 2017","FY 2017","Currency=INR","Period=FY","BEST_FPERIOD_OVERRIDE=FY","FILING_STATUS=OR","EQY_CONSOLIDATED=Y","Sort=A","Dates=H","DateFormat=P","Fill=—","Direction=H","UseDPDF=Y")</f>
        <v>#NAME?</v>
      </c>
      <c r="AI318" s="2" t="e">
        <f ca="1">_xll.BDH($C$303,"TOTAL_EQUITY_1_YEAR_GROWTH","FY 2017","FY 2017","Currency=INR","Period=FY","BEST_FPERIOD_OVERRIDE=FY","FILING_STATUS=OR","EQY_CONSOLIDATED=Y","Sort=A","Dates=H","DateFormat=P","Fill=—","Direction=H","UseDPDF=Y")</f>
        <v>#NAME?</v>
      </c>
      <c r="AJ318" s="2" t="e">
        <f ca="1">_xll.BDH($C$303,"GROWTH_IN_CAP","FY 2017","FY 2017","Currency=INR","Period=FY","BEST_FPERIOD_OVERRIDE=FY","FILING_STATUS=OR","EQY_CONSOLIDATED=Y","Sort=A","Dates=H","DateFormat=P","Fill=—","Direction=H","UseDPDF=Y")</f>
        <v>#NAME?</v>
      </c>
      <c r="AK318" s="2" t="e">
        <f ca="1">_xll.BDH($C$303,"BVPS_GROWTH","FY 2017","FY 2017","Currency=INR","Period=FY","BEST_FPERIOD_OVERRIDE=FY","FILING_STATUS=OR","EQY_CONSOLIDATED=Y","Sort=A","Dates=H","DateFormat=P","Fill=—","Direction=H","UseDPDF=Y")</f>
        <v>#NAME?</v>
      </c>
      <c r="AL318" s="2" t="e">
        <f ca="1">_xll.BDH($C$303,"CASH_FLOW_GROWTH","FY 2017","FY 2017","Currency=INR","Period=FY","BEST_FPERIOD_OVERRIDE=FY","FILING_STATUS=OR","EQY_CONSOLIDATED=Y","Sort=A","Dates=H","DateFormat=P","Fill=—","Direction=H","UseDPDF=Y")</f>
        <v>#NAME?</v>
      </c>
      <c r="AM318" s="2" t="e">
        <f ca="1">_xll.BDH($C$303,"GEO_GROW_NET_SALES","FY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318" s="2" t="e">
        <f ca="1">_xll.BDH($C$303,"GEO_GROW_EBITDA","FY 2017","FY 2017","Currency=INR","Period=FY","BEST_FPERIOD_OVERRIDE=FY","FILING_STATUS=OR","EQY_CONSOLIDATED=Y","FA_ADJUSTED=GAAP","Sort=A","Dates=H","DateFormat=P","Fill=—","Direction=H","UseDPDF=Y")</f>
        <v>#NAME?</v>
      </c>
      <c r="AO318" s="2" t="e">
        <f ca="1">_xll.BDH($C$303,"GEO_GROW_OPER_INC","FY 2017","FY 2017","Currency=INR","Period=FY","BEST_FPERIOD_OVERRIDE=FY","FILING_STATUS=OR","EQY_CONSOLIDATED=Y","FA_ADJUSTED=GAAP","Sort=A","Dates=H","DateFormat=P","Fill=—","Direction=H","UseDPDF=Y")</f>
        <v>#NAME?</v>
      </c>
      <c r="AP318" s="2" t="e">
        <f ca="1">_xll.BDH($C$303,"NET_INCOME_TO_COMMON_5_YR_GROWTH","FY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318" s="2" t="e">
        <f ca="1">_xll.BDH($C$303,"5Y_GEO_GROWTH_DILUTED_EPS","FY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318" s="2" t="e">
        <f ca="1">_xll.BDH($C$303,"GEO_GROW_DVD_PER_SH","FY 2017","FY 2017","Currency=INR","Period=FY","BEST_FPERIOD_OVERRIDE=FY","FILING_STATUS=OR","EQY_CONSOLIDATED=Y","Sort=A","Dates=H","DateFormat=P","Fill=—","Direction=H","UseDPDF=Y")</f>
        <v>#NAME?</v>
      </c>
      <c r="AS318" s="2" t="e">
        <f ca="1">_xll.BDH($C$303,"ACCOUNTS_RECEIVABLE_5_YR_GROWTH","FY 2017","FY 2017","Currency=INR","Period=FY","BEST_FPERIOD_OVERRIDE=FY","FILING_STATUS=OR","EQY_CONSOLIDATED=Y","Sort=A","Dates=H","DateFormat=P","Fill=—","Direction=H","UseDPDF=Y")</f>
        <v>#NAME?</v>
      </c>
      <c r="AT318" s="2" t="e">
        <f ca="1">_xll.BDH($C$303,"INVENTORY_5_YEAR_GROWTH","FY 2017","FY 2017","Currency=INR","Period=FY","BEST_FPERIOD_OVERRIDE=FY","FILING_STATUS=OR","EQY_CONSOLIDATED=Y","Sort=A","Dates=H","DateFormat=P","Fill=—","Direction=H","UseDPDF=Y")</f>
        <v>#NAME?</v>
      </c>
      <c r="AU318" s="2" t="e">
        <f ca="1">_xll.BDH($C$303,"NET_FIXED_ASSETS_5_YEAR_GROWTH","FY 2017","FY 2017","Currency=INR","Period=FY","BEST_FPERIOD_OVERRIDE=FY","FILING_STATUS=OR","EQY_CONSOLIDATED=Y","Sort=A","Dates=H","DateFormat=P","Fill=—","Direction=H","UseDPDF=Y")</f>
        <v>#NAME?</v>
      </c>
      <c r="AV318" s="2" t="e">
        <f ca="1">_xll.BDH($C$303,"GEO_GROW_TOT_ASSET","FY 2017","FY 2017","Currency=INR","Period=FY","BEST_FPERIOD_OVERRIDE=FY","FILING_STATUS=OR","EQY_CONSOLIDATED=Y","Sort=A","Dates=H","DateFormat=P","Fill=—","Direction=H","UseDPDF=Y")</f>
        <v>#NAME?</v>
      </c>
      <c r="AW318" s="2" t="e">
        <f ca="1">_xll.BDH($C$303,"MODIFIED_WORKING_CPTL_5YR_GRWTH","FY 2017","FY 2017","Currency=INR","Period=FY","BEST_FPERIOD_OVERRIDE=FY","FILING_STATUS=OR","EQY_CONSOLIDATED=Y","Sort=A","Dates=H","DateFormat=P","Fill=—","Direction=H","UseDPDF=Y")</f>
        <v>#NAME?</v>
      </c>
      <c r="AX318" s="2" t="e">
        <f ca="1">_xll.BDH($C$303,"WORKING_CAPITAL_5_YEAR_GROWTH","FY 2017","FY 2017","Currency=INR","Period=FY","BEST_FPERIOD_OVERRIDE=FY","FILING_STATUS=OR","EQY_CONSOLIDATED=Y","Sort=A","Dates=H","DateFormat=P","Fill=—","Direction=H","UseDPDF=Y")</f>
        <v>#NAME?</v>
      </c>
      <c r="AY318" s="2" t="e">
        <f ca="1">_xll.BDH($C$303,"ACCOUNTS_PAYABLE_5_YEAR_GROWTH","FY 2017","FY 2017","Currency=INR","Period=FY","BEST_FPERIOD_OVERRIDE=FY","FILING_STATUS=OR","EQY_CONSOLIDATED=Y","Sort=A","Dates=H","DateFormat=P","Fill=—","Direction=H","UseDPDF=Y")</f>
        <v>#NAME?</v>
      </c>
      <c r="AZ318" s="2" t="e">
        <f ca="1">_xll.BDH($C$303,"SHORT_TERM_DEBT_5_YEAR_GROWTH","FY 2017","FY 2017","Currency=INR","Period=FY","BEST_FPERIOD_OVERRIDE=FY","FILING_STATUS=OR","EQY_CONSOLIDATED=Y","Sort=A","Dates=H","DateFormat=P","Fill=—","Direction=H","UseDPDF=Y")</f>
        <v>#NAME?</v>
      </c>
      <c r="BA318" s="2" t="e">
        <f ca="1">_xll.BDH($C$303,"TOTAL_DEBT_5_YEAR_GROWTH","FY 2017","FY 2017","Currency=INR","Period=FY","BEST_FPERIOD_OVERRIDE=FY","FILING_STATUS=OR","EQY_CONSOLIDATED=Y","Sort=A","Dates=H","DateFormat=P","Fill=—","Direction=H","UseDPDF=Y")</f>
        <v>#NAME?</v>
      </c>
      <c r="BB318" s="2" t="e">
        <f ca="1">_xll.BDH($C$303,"GEO_GROW_TOT_SHRHLDR_EQY","FY 2017","FY 2017","Currency=INR","Period=FY","BEST_FPERIOD_OVERRIDE=FY","FILING_STATUS=OR","EQY_CONSOLIDATED=Y","Sort=A","Dates=H","DateFormat=P","Fill=—","Direction=H","UseDPDF=Y")</f>
        <v>#NAME?</v>
      </c>
      <c r="BC318" s="2" t="e">
        <f ca="1">_xll.BDH($C$303,"TOTAL_CAPITAL_5_YEAR_GROWTH","FY 2017","FY 2017","Currency=INR","Period=FY","BEST_FPERIOD_OVERRIDE=FY","FILING_STATUS=OR","EQY_CONSOLIDATED=Y","Sort=A","Dates=H","DateFormat=P","Fill=—","Direction=H","UseDPDF=Y")</f>
        <v>#NAME?</v>
      </c>
      <c r="BD318" s="2" t="e">
        <f ca="1">_xll.BDH($C$303,"GEO_GROW_BOOK_VAL","FY 2017","FY 2017","Currency=INR","Period=FY","BEST_FPERIOD_OVERRIDE=FY","FILING_STATUS=OR","EQY_CONSOLIDATED=Y","Sort=A","Dates=H","DateFormat=P","Fill=—","Direction=H","UseDPDF=Y")</f>
        <v>#NAME?</v>
      </c>
      <c r="BE318" s="2" t="e">
        <f ca="1">_xll.BDH($C$303,"GEO_GROW_CASH_OPER_ACT","FY 2017","FY 2017","Currency=INR","Period=FY","BEST_FPERIOD_OVERRIDE=FY","FILING_STATUS=OR","EQY_CONSOLIDATED=Y","Sort=A","Dates=H","DateFormat=P","Fill=—","Direction=H","UseDPDF=Y")</f>
        <v>#NAME?</v>
      </c>
      <c r="BF318" s="2" t="e">
        <f ca="1">_xll.BDH($C$303,"REVENUE_SEQUENTIAL_GROWTH","FY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318" s="2" t="e">
        <f ca="1">_xll.BDH($C$303,"EBITDA_SEQUENTIAL_GROWTH","FY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318" s="2" t="e">
        <f ca="1">_xll.BDH($C$303,"OPERATING_INCOME_SEQ_GROWTH","FY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318" s="2" t="e">
        <f ca="1">_xll.BDH($C$303,"NET_INCOME_TO_COMMON_SEQ_GROWTH","FY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318" s="2" t="e">
        <f ca="1">_xll.BDH($C$303,"EPS_DILUTED_SEQUENTIAL_GROWTH","FY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318" s="2" t="e">
        <f ca="1">_xll.BDH($C$303,"DPS_SEQUENTIAL_GROWTH","FY 2017","FY 2017","Currency=INR","Period=FY","BEST_FPERIOD_OVERRIDE=FY","FILING_STATUS=OR","EQY_CONSOLIDATED=Y","Sort=A","Dates=H","DateFormat=P","Fill=—","Direction=H","UseDPDF=Y")</f>
        <v>#NAME?</v>
      </c>
      <c r="BL318" s="2" t="e">
        <f ca="1">_xll.BDH($C$303,"ACCOUNTS_RECEIVABLE_SEQ_GROWTH","FY 2017","FY 2017","Currency=INR","Period=FY","BEST_FPERIOD_OVERRIDE=FY","FILING_STATUS=OR","EQY_CONSOLIDATED=Y","Sort=A","Dates=H","DateFormat=P","Fill=—","Direction=H","UseDPDF=Y")</f>
        <v>#NAME?</v>
      </c>
      <c r="BM318" s="2" t="e">
        <f ca="1">_xll.BDH($C$303,"INVENTORY_SEQUENTIAL_GROWTH","FY 2017","FY 2017","Currency=INR","Period=FY","BEST_FPERIOD_OVERRIDE=FY","FILING_STATUS=OR","EQY_CONSOLIDATED=Y","Sort=A","Dates=H","DateFormat=P","Fill=—","Direction=H","UseDPDF=Y")</f>
        <v>#NAME?</v>
      </c>
      <c r="BN318" s="2" t="e">
        <f ca="1">_xll.BDH($C$303,"FIXED_ASSETS_SEQUENTIAL_GROWTH","FY 2017","FY 2017","Currency=INR","Period=FY","BEST_FPERIOD_OVERRIDE=FY","FILING_STATUS=OR","EQY_CONSOLIDATED=Y","Sort=A","Dates=H","DateFormat=P","Fill=—","Direction=H","UseDPDF=Y")</f>
        <v>#NAME?</v>
      </c>
      <c r="BO318" s="2" t="e">
        <f ca="1">_xll.BDH($C$303,"TOTAL_ASSETS_SEQUENTIAL_GROWTH","FY 2017","FY 2017","Currency=INR","Period=FY","BEST_FPERIOD_OVERRIDE=FY","FILING_STATUS=OR","EQY_CONSOLIDATED=Y","Sort=A","Dates=H","DateFormat=P","Fill=—","Direction=H","UseDPDF=Y")</f>
        <v>#NAME?</v>
      </c>
      <c r="BP318" s="2" t="e">
        <f ca="1">_xll.BDH($C$303,"MODIFIED_WORKING_CPTL_SEQ_GRWTH","FY 2017","FY 2017","Currency=INR","Period=FY","BEST_FPERIOD_OVERRIDE=FY","FILING_STATUS=OR","EQY_CONSOLIDATED=Y","Sort=A","Dates=H","DateFormat=P","Fill=—","Direction=H","UseDPDF=Y")</f>
        <v>#NAME?</v>
      </c>
      <c r="BQ318" s="2" t="e">
        <f ca="1">_xll.BDH($C$303,"WORKING_CAPITAL_SEQ_GROWTH","FY 2017","FY 2017","Currency=INR","Period=FY","BEST_FPERIOD_OVERRIDE=FY","FILING_STATUS=OR","EQY_CONSOLIDATED=Y","Sort=A","Dates=H","DateFormat=P","Fill=—","Direction=H","UseDPDF=Y")</f>
        <v>#NAME?</v>
      </c>
      <c r="BR318" s="2" t="e">
        <f ca="1">_xll.BDH($C$303,"ACCOUNTS_PAYABLE_SEQ_GROWTH","FY 2017","FY 2017","Currency=INR","Period=FY","BEST_FPERIOD_OVERRIDE=FY","FILING_STATUS=OR","EQY_CONSOLIDATED=Y","Sort=A","Dates=H","DateFormat=P","Fill=—","Direction=H","UseDPDF=Y")</f>
        <v>#NAME?</v>
      </c>
      <c r="BS318" s="2" t="e">
        <f ca="1">_xll.BDH($C$303,"ST_DEBT_SEQUENTIAL_GROWTH","FY 2017","FY 2017","Currency=INR","Period=FY","BEST_FPERIOD_OVERRIDE=FY","FILING_STATUS=OR","EQY_CONSOLIDATED=Y","Sort=A","Dates=H","DateFormat=P","Fill=—","Direction=H","UseDPDF=Y")</f>
        <v>#NAME?</v>
      </c>
      <c r="BT318" s="2" t="e">
        <f ca="1">_xll.BDH($C$303,"TOTAL_DEBT_SEQUENTIAL_GROWTH","FY 2017","FY 2017","Currency=INR","Period=FY","BEST_FPERIOD_OVERRIDE=FY","FILING_STATUS=OR","EQY_CONSOLIDATED=Y","Sort=A","Dates=H","DateFormat=P","Fill=—","Direction=H","UseDPDF=Y")</f>
        <v>#NAME?</v>
      </c>
      <c r="BU318" s="2" t="e">
        <f ca="1">_xll.BDH($C$303,"TOTAL_EQUITY_SEQUENTIAL_GROWTH","FY 2017","FY 2017","Currency=INR","Period=FY","BEST_FPERIOD_OVERRIDE=FY","FILING_STATUS=OR","EQY_CONSOLIDATED=Y","Sort=A","Dates=H","DateFormat=P","Fill=—","Direction=H","UseDPDF=Y")</f>
        <v>#NAME?</v>
      </c>
      <c r="BV318" s="2" t="e">
        <f ca="1">_xll.BDH($C$303,"TOTAL_CAPITAL_SEQUENTIAL_GROWTH","FY 2017","FY 2017","Currency=INR","Period=FY","BEST_FPERIOD_OVERRIDE=FY","FILING_STATUS=OR","EQY_CONSOLIDATED=Y","Sort=A","Dates=H","DateFormat=P","Fill=—","Direction=H","UseDPDF=Y")</f>
        <v>#NAME?</v>
      </c>
      <c r="BW318" s="2" t="e">
        <f ca="1">_xll.BDH($C$303,"BPS_SEQUENTIAL_GROWTH","FY 2017","FY 2017","Currency=INR","Period=FY","BEST_FPERIOD_OVERRIDE=FY","FILING_STATUS=OR","EQY_CONSOLIDATED=Y","Sort=A","Dates=H","DateFormat=P","Fill=—","Direction=H","UseDPDF=Y")</f>
        <v>#NAME?</v>
      </c>
      <c r="BX318" s="2" t="e">
        <f ca="1">_xll.BDH($C$303,"CFO_SEQUENTIAL_GROWTH","FY 2017","FY 2017","Currency=INR","Period=FY","BEST_FPERIOD_OVERRIDE=FY","FILING_STATUS=OR","EQY_CONSOLIDATED=Y","Sort=A","Dates=H","DateFormat=P","Fill=—","Direction=H","UseDPDF=Y")</f>
        <v>#NAME?</v>
      </c>
      <c r="BY318" s="3" t="e">
        <f ca="1">_xll.BDH($C$303,"SHORT_AND_LONG_TERM_DEBT","FY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318" s="3" t="e">
        <f ca="1">_xll.BDH($C$303,"BS_ST_BORROW","FY 2017","FY 2017","Currency=INR","Period=FY","BEST_FPERIOD_OVERRIDE=FY","FILING_STATUS=OR","EQY_CONSOLIDATED=Y","SCALING_FORMAT=MLN","Sort=A","Dates=H","DateFormat=P","Fill=—","Direction=H","UseDPDF=Y")</f>
        <v>#NAME?</v>
      </c>
      <c r="CA318" s="3" t="e">
        <f ca="1">_xll.BDH($C$303,"BS_LT_BORROW","FY 2017","FY 2017","Currency=INR","Period=FY","BEST_FPERIOD_OVERRIDE=FY","FILING_STATUS=OR","EQY_CONSOLIDATED=Y","SCALING_FORMAT=MLN","Sort=A","Dates=H","DateFormat=P","Fill=—","Direction=H","UseDPDF=Y")</f>
        <v>#NAME?</v>
      </c>
      <c r="CB318" s="2" t="e">
        <f ca="1">_xll.BDH($C$303,"TOT_DEBT_TO_EBITDA","FY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318" s="2" t="e">
        <f ca="1">_xll.BDH($C$303,"NET_DEBT_TO_EBITDA","FY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318" s="2" t="e">
        <f ca="1">_xll.BDH($C$303,"TOTAL_DEBT_TO_EBIT","FY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318" s="2" t="e">
        <f ca="1">_xll.BDH($C$303,"NET_DEBT_TO_EBIT","FY 2017","FY 2017","Currency=INR","Period=FY","BEST_FPERIOD_OVERRIDE=FY","FILING_STATUS=OR","EQY_CONSOLIDATED=Y","FA_ADJUSTED=GAAP","Sort=A","Dates=H","DateFormat=P","Fill=—","Direction=H","UseDPDF=Y")</f>
        <v>#NAME?</v>
      </c>
      <c r="CF318" s="2" t="e">
        <f ca="1">_xll.BDH($C$303,"EBITDA_TO_INTEREST_EXPN","FY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318" s="2" t="e">
        <f ca="1">_xll.BDH($C$303,"COM_EQY_TO_TOT_ASSET","FY 2017","FY 2017","Currency=INR","Period=FY","BEST_FPERIOD_OVERRIDE=FY","FILING_STATUS=OR","EQY_CONSOLIDATED=Y","Sort=A","Dates=H","DateFormat=P","Fill=—","Direction=H","UseDPDF=Y")</f>
        <v>#NAME?</v>
      </c>
      <c r="CH318" s="2" t="e">
        <f ca="1">_xll.BDH($C$303,"LT_DEBT_TO_TOT_EQY","FY 2017","FY 2017","Currency=INR","Period=FY","BEST_FPERIOD_OVERRIDE=FY","FILING_STATUS=OR","EQY_CONSOLIDATED=Y","Sort=A","Dates=H","DateFormat=P","Fill=—","Direction=H","UseDPDF=Y")</f>
        <v>#NAME?</v>
      </c>
      <c r="CI318" s="2" t="e">
        <f ca="1">_xll.BDH($C$303,"LT_DEBT_TO_TOT_CAP","FY 2017","FY 2017","Currency=INR","Period=FY","BEST_FPERIOD_OVERRIDE=FY","FILING_STATUS=OR","EQY_CONSOLIDATED=Y","Sort=A","Dates=H","DateFormat=P","Fill=—","Direction=H","UseDPDF=Y")</f>
        <v>#NAME?</v>
      </c>
      <c r="CJ318" s="2" t="e">
        <f ca="1">_xll.BDH($C$303,"LT_DEBT_TO_TOT_ASSET","FY 2017","FY 2017","Currency=INR","Period=FY","BEST_FPERIOD_OVERRIDE=FY","FILING_STATUS=OR","EQY_CONSOLIDATED=Y","Sort=A","Dates=H","DateFormat=P","Fill=—","Direction=H","UseDPDF=Y")</f>
        <v>#NAME?</v>
      </c>
      <c r="CK318" s="2" t="e">
        <f ca="1">_xll.BDH($C$303,"TOT_DEBT_TO_TOT_EQY","FY 2017","FY 2017","Currency=INR","Period=FY","BEST_FPERIOD_OVERRIDE=FY","FILING_STATUS=OR","EQY_CONSOLIDATED=Y","Sort=A","Dates=H","DateFormat=P","Fill=—","Direction=H","UseDPDF=Y")</f>
        <v>#NAME?</v>
      </c>
      <c r="CL318" s="2" t="e">
        <f ca="1">_xll.BDH($C$303,"TOT_DEBT_TO_TOT_CAP","FY 2017","FY 2017","Currency=INR","Period=FY","BEST_FPERIOD_OVERRIDE=FY","FILING_STATUS=OR","EQY_CONSOLIDATED=Y","Sort=A","Dates=H","DateFormat=P","Fill=—","Direction=H","UseDPDF=Y")</f>
        <v>#NAME?</v>
      </c>
      <c r="CM318" s="2" t="e">
        <f ca="1">_xll.BDH($C$303,"TOT_DEBT_TO_TOT_ASSET","FY 2017","FY 2017","Currency=INR","Period=FY","BEST_FPERIOD_OVERRIDE=FY","FILING_STATUS=OR","EQY_CONSOLIDATED=Y","Sort=A","Dates=H","DateFormat=P","Fill=—","Direction=H","UseDPDF=Y")</f>
        <v>#NAME?</v>
      </c>
      <c r="CN318" s="2" t="e">
        <f ca="1">_xll.BDH($C$303,"NET_DEBT_TO_SHRHLDR_EQTY","FY 2017","FY 2017","Currency=INR","Period=FY","BEST_FPERIOD_OVERRIDE=FY","FILING_STATUS=OR","EQY_CONSOLIDATED=Y","Sort=A","Dates=H","DateFormat=P","Fill=—","Direction=H","UseDPDF=Y")</f>
        <v>#NAME?</v>
      </c>
      <c r="CO318" s="2" t="e">
        <f ca="1">_xll.BDH($C$303,"NET_DEBT_%_CAPITAL","FY 2017","FY 2017","Currency=INR","Period=FY","BEST_FPERIOD_OVERRIDE=FY","FILING_STATUS=OR","EQY_CONSOLIDATED=Y","Sort=A","Dates=H","DateFormat=P","Fill=—","Direction=H","UseDPDF=Y")</f>
        <v>#NAME?</v>
      </c>
      <c r="CP318" s="3" t="e">
        <f ca="1">_xll.BDH($C$303,"EBITDA","FY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318" s="3" t="e">
        <f ca="1">_xll.BDH($C$303,"EBITDA_AFTER_CAPEX","FY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318" s="3" t="e">
        <f ca="1">_xll.BDH($C$303,"IS_OPER_INC","FY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318" s="2" t="e">
        <f ca="1">_xll.BDH($C$303,"CASH_RATIO","FY 2017","FY 2017","Currency=INR","Period=FY","BEST_FPERIOD_OVERRIDE=FY","FILING_STATUS=OR","EQY_CONSOLIDATED=Y","Sort=A","Dates=H","DateFormat=P","Fill=—","Direction=H","UseDPDF=Y")</f>
        <v>#NAME?</v>
      </c>
      <c r="CT318" s="2" t="e">
        <f ca="1">_xll.BDH($C$303,"CUR_RATIO","FY 2017","FY 2017","Currency=INR","Period=FY","BEST_FPERIOD_OVERRIDE=FY","FILING_STATUS=OR","EQY_CONSOLIDATED=Y","Sort=A","Dates=H","DateFormat=P","Fill=—","Direction=H","UseDPDF=Y")</f>
        <v>#NAME?</v>
      </c>
      <c r="CU318" s="2" t="e">
        <f ca="1">_xll.BDH($C$303,"QUICK_RATIO","FY 2017","FY 2017","Currency=INR","Period=FY","BEST_FPERIOD_OVERRIDE=FY","FILING_STATUS=OR","EQY_CONSOLIDATED=Y","Sort=A","Dates=H","DateFormat=P","Fill=—","Direction=H","UseDPDF=Y")</f>
        <v>#NAME?</v>
      </c>
      <c r="CV318" s="2" t="e">
        <f ca="1">_xll.BDH($C$303,"ALTMAN_Z_SCORE","FY 2017","FY 2017","Currency=INR","Period=FY","BEST_FPERIOD_OVERRIDE=FY","FILING_STATUS=OR","EQY_CONSOLIDATED=Y","Sort=A","Dates=H","DateFormat=P","Fill=—","Direction=H","UseDPDF=Y")</f>
        <v>#NAME?</v>
      </c>
      <c r="CW318" s="4" t="e">
        <f ca="1">_xll.BDH($C$303,"ACCT_RCV_TURN","FY 2017","FY 2017","Currency=INR","Period=FY","BEST_FPERIOD_OVERRIDE=FY","FILING_STATUS=OR","EQY_CONSOLIDATED=Y","FA_ADJUSTED=GAAP","Sort=A","Dates=H","DateFormat=P","Fill=—","Direction=H","UseDPDF=Y")</f>
        <v>#NAME?</v>
      </c>
      <c r="CX318" s="2" t="e">
        <f ca="1">_xll.BDH($C$303,"ACCT_RCV_DAYS","FY 2017","FY 2017","Currency=INR","Period=FY","BEST_FPERIOD_OVERRIDE=FY","FILING_STATUS=OR","EQY_CONSOLIDATED=Y","FA_ADJUSTED=GAAP","Sort=A","Dates=H","DateFormat=P","Fill=—","Direction=H","UseDPDF=Y")</f>
        <v>#NAME?</v>
      </c>
      <c r="CY318" s="4" t="e">
        <f ca="1">_xll.BDH($C$303,"INVENT_TURN","FY 2017","FY 2017","Currency=INR","Period=FY","BEST_FPERIOD_OVERRIDE=FY","FILING_STATUS=OR","EQY_CONSOLIDATED=Y","FA_ADJUSTED=GAAP","Sort=A","Dates=H","DateFormat=P","Fill=—","Direction=H","UseDPDF=Y")</f>
        <v>#NAME?</v>
      </c>
      <c r="CZ318" s="2" t="e">
        <f ca="1">_xll.BDH($C$303,"INVENT_DAYS","FY 2017","FY 2017","Currency=INR","Period=FY","BEST_FPERIOD_OVERRIDE=FY","FILING_STATUS=OR","EQY_CONSOLIDATED=Y","FA_ADJUSTED=GAAP","Sort=A","Dates=H","DateFormat=P","Fill=—","Direction=H","UseDPDF=Y")</f>
        <v>#NAME?</v>
      </c>
      <c r="DA318" s="4" t="e">
        <f ca="1">_xll.BDH($C$303,"ACCOUNTS_PAYABLE_TURNOVER","FY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318" s="2" t="e">
        <f ca="1">_xll.BDH($C$303,"ACCOUNTS_PAYABLE_TURNOVER_DAYS","FY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318" s="4" t="e">
        <f ca="1">_xll.BDH($C$303,"CASH_CONVERSION_CYCLE","FY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318" s="4" t="e">
        <f ca="1">_xll.BDH($C$303,"INV_TO_CASH_DAYS","FY 2017","FY 2017","Currency=INR","Period=FY","BEST_FPERIOD_OVERRIDE=FY","FILING_STATUS=OR","EQY_CONSOLIDATED=Y","FA_ADJUSTED=GAAP","Sort=A","Dates=H","DateFormat=P","Fill=—","Direction=H","UseDPDF=Y")</f>
        <v>#NAME?</v>
      </c>
      <c r="DE318" s="5" t="e">
        <f ca="1">_xll.BDH($C$303,"BS_INVENTORIES","FY 2017","FY 2017","Currency=INR","Period=FY","BEST_FPERIOD_OVERRIDE=FY","FILING_STATUS=OR","EQY_CONSOLIDATED=Y","SCALING_FORMAT=MLN","Sort=A","Dates=H","DateFormat=P","Fill=—","Direction=H","UseDPDF=Y")</f>
        <v>#NAME?</v>
      </c>
      <c r="DF318" s="3" t="e">
        <f ca="1">_xll.BDH($C$303,"INVTRY_RAW_MATERIALS","FY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318" s="3" t="e">
        <f ca="1">_xll.BDH($C$303,"INVTRY_IN_PROGRESS","FY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318" s="3" t="e">
        <f ca="1">_xll.BDH($C$303,"INVTRY_FINISHED_GOODS","FY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318" s="3" t="e">
        <f ca="1">_xll.BDH($C$303,"BS_OTHER_INV","FY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319" spans="1:113" x14ac:dyDescent="0.3">
      <c r="A319" s="6"/>
      <c r="B319" s="6"/>
      <c r="C319" s="6"/>
      <c r="D319" s="6"/>
      <c r="E319" t="s">
        <v>78</v>
      </c>
      <c r="F319" t="e">
        <f ca="1">_xll.BDH($C$303,"RETURN_COM_EQY","FQ1 2017","FQ1 2017","Currency=INR","Period=FQ","BEST_FPERIOD_OVERRIDE=FQ","FILING_STATUS=OR","EQY_CONSOLIDATED=Y","FA_ADJUSTED=GAAP","Sort=A","Dates=H","DateFormat=P","Fill=—","Direction=H","UseDPDF=Y")</f>
        <v>#NAME?</v>
      </c>
      <c r="G319" t="e">
        <f ca="1">_xll.BDH($C$303,"RETURN_ON_ASSET","FQ1 2017","FQ1 2017","Currency=INR","Period=FQ","BEST_FPERIOD_OVERRIDE=FQ","FILING_STATUS=OR","EQY_CONSOLIDATED=Y","FA_ADJUSTED=GAAP","Sort=A","Dates=H","DateFormat=P","Fill=—","Direction=H","UseDPDF=Y")</f>
        <v>#NAME?</v>
      </c>
      <c r="H319" t="e">
        <f ca="1">_xll.BDH($C$303,"RETURN_ON_CAP","FQ1 2017","FQ1 2017","Currency=INR","Period=FQ","BEST_FPERIOD_OVERRIDE=FQ","FILING_STATUS=OR","EQY_CONSOLIDATED=Y","FA_ADJUSTED=GAAP","Sort=A","Dates=H","DateFormat=P","Fill=—","Direction=H","UseDPDF=Y")</f>
        <v>#NAME?</v>
      </c>
      <c r="I319" t="e">
        <f ca="1">_xll.BDH($C$303,"RETURN_ON_INV_CAPITAL","FQ1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319" t="e">
        <f ca="1">_xll.BDH($C$303,"EBITDA_TO_REVENUE","FQ1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319" t="e">
        <f ca="1">_xll.BDH($C$303,"OPER_MARGIN","FQ1 2017","FQ1 2017","Currency=INR","Period=FQ","BEST_FPERIOD_OVERRIDE=FQ","FILING_STATUS=OR","EQY_CONSOLIDATED=Y","FA_ADJUSTED=GAAP","Sort=A","Dates=H","DateFormat=P","Fill=—","Direction=H","UseDPDF=Y")</f>
        <v>#NAME?</v>
      </c>
      <c r="L319" t="e">
        <f ca="1">_xll.BDH($C$303,"INCREMENTAL_OPERATING_MARGIN","FQ1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319" t="e">
        <f ca="1">_xll.BDH($C$303,"PRETAX_INC_TO_NET_SALES","FQ1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319" t="e">
        <f ca="1">_xll.BDH($C$303,"INC_BEF_XO_ITEMS_TO_NET_SALES","FQ1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319" t="e">
        <f ca="1">_xll.BDH($C$303,"PROF_MARGIN","FQ1 2017","FQ1 2017","Currency=INR","Period=FQ","BEST_FPERIOD_OVERRIDE=FQ","FILING_STATUS=OR","EQY_CONSOLIDATED=Y","FA_ADJUSTED=GAAP","Sort=A","Dates=H","DateFormat=P","Fill=—","Direction=H","UseDPDF=Y")</f>
        <v>#NAME?</v>
      </c>
      <c r="P319" t="e">
        <f ca="1">_xll.BDH($C$303,"NET_INCOME_TO_COMMON_MARGIN","FQ1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319" t="e">
        <f ca="1">_xll.BDH($C$303,"EFF_TAX_RATE","FQ1 2017","FQ1 2017","Currency=INR","Period=FQ","BEST_FPERIOD_OVERRIDE=FQ","FILING_STATUS=OR","EQY_CONSOLIDATED=Y","FA_ADJUSTED=GAAP","Sort=A","Dates=H","DateFormat=P","Fill=—","Direction=H","UseDPDF=Y")</f>
        <v>#NAME?</v>
      </c>
      <c r="R319" t="e">
        <f ca="1">_xll.BDH($C$303,"DVD_PAYOUT_RATIO","FQ1 2017","FQ1 2017","Currency=INR","Period=FQ","BEST_FPERIOD_OVERRIDE=FQ","FILING_STATUS=OR","EQY_CONSOLIDATED=Y","FA_ADJUSTED=GAAP","Sort=A","Dates=H","DateFormat=P","Fill=—","Direction=H","UseDPDF=Y")</f>
        <v>#NAME?</v>
      </c>
      <c r="S319" t="e">
        <f ca="1">_xll.BDH($C$303,"SUSTAIN_GROWTH_RT","FQ1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319" s="2" t="e">
        <f ca="1">_xll.BDH($C$303,"SALES_GROWTH","FQ1 2017","FQ1 2017","Currency=INR","Period=FQ","BEST_FPERIOD_OVERRIDE=FQ","FILING_STATUS=OR","EQY_CONSOLIDATED=Y","FA_ADJUSTED=GAAP","Sort=A","Dates=H","DateFormat=P","Fill=—","Direction=H","UseDPDF=Y")</f>
        <v>#NAME?</v>
      </c>
      <c r="U319" s="2" t="e">
        <f ca="1">_xll.BDH($C$303,"EBITDA_GROWTH","FQ1 2017","FQ1 2017","Currency=INR","Period=FQ","BEST_FPERIOD_OVERRIDE=FQ","FILING_STATUS=OR","EQY_CONSOLIDATED=Y","FA_ADJUSTED=GAAP","Sort=A","Dates=H","DateFormat=P","Fill=—","Direction=H","UseDPDF=Y")</f>
        <v>#NAME?</v>
      </c>
      <c r="V319" s="2" t="e">
        <f ca="1">_xll.BDH($C$303,"OPER_INC_GROWTH","FQ1 2017","FQ1 2017","Currency=INR","Period=FQ","BEST_FPERIOD_OVERRIDE=FQ","FILING_STATUS=OR","EQY_CONSOLIDATED=Y","FA_ADJUSTED=GAAP","Sort=A","Dates=H","DateFormat=P","Fill=—","Direction=H","UseDPDF=Y")</f>
        <v>#NAME?</v>
      </c>
      <c r="W319" s="2" t="e">
        <f ca="1">_xll.BDH($C$303,"EARN_FOR_COM_GROWTH","FQ1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319" s="2" t="e">
        <f ca="1">_xll.BDH($C$303,"DILUTED_EPS_AFT_XO_ITEMS_GROWTH","FQ1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319" s="2" t="e">
        <f ca="1">_xll.BDH($C$303,"DIVIDEND_PER_SHARE_1_YEAR_GROWTH","FQ1 2017","FQ1 2017","Currency=INR","Period=FQ","BEST_FPERIOD_OVERRIDE=FQ","FILING_STATUS=OR","EQY_CONSOLIDATED=Y","Sort=A","Dates=H","DateFormat=P","Fill=—","Direction=H","UseDPDF=Y")</f>
        <v>#NAME?</v>
      </c>
      <c r="Z319" s="2" t="e">
        <f ca="1">_xll.BDH($C$303,"ACCOUNTS_RECEIVABLE_GROWTH","FQ1 2017","FQ1 2017","Currency=INR","Period=FQ","BEST_FPERIOD_OVERRIDE=FQ","FILING_STATUS=OR","EQY_CONSOLIDATED=Y","Sort=A","Dates=H","DateFormat=P","Fill=—","Direction=H","UseDPDF=Y")</f>
        <v>#NAME?</v>
      </c>
      <c r="AA319" s="2" t="e">
        <f ca="1">_xll.BDH($C$303,"INVENTORY_GROWTH","FQ1 2017","FQ1 2017","Currency=INR","Period=FQ","BEST_FPERIOD_OVERRIDE=FQ","FILING_STATUS=OR","EQY_CONSOLIDATED=Y","Sort=A","Dates=H","DateFormat=P","Fill=—","Direction=H","UseDPDF=Y")</f>
        <v>#NAME?</v>
      </c>
      <c r="AB319" s="2" t="e">
        <f ca="1">_xll.BDH($C$303,"NET_FIXED_ASSETS_1_YEAR_GROWTH","FQ1 2017","FQ1 2017","Currency=INR","Period=FQ","BEST_FPERIOD_OVERRIDE=FQ","FILING_STATUS=OR","EQY_CONSOLIDATED=Y","Sort=A","Dates=H","DateFormat=P","Fill=—","Direction=H","UseDPDF=Y")</f>
        <v>#NAME?</v>
      </c>
      <c r="AC319" s="2" t="e">
        <f ca="1">_xll.BDH($C$303,"ASSET_GROWTH","FQ1 2017","FQ1 2017","Currency=INR","Period=FQ","BEST_FPERIOD_OVERRIDE=FQ","FILING_STATUS=OR","EQY_CONSOLIDATED=Y","Sort=A","Dates=H","DateFormat=P","Fill=—","Direction=H","UseDPDF=Y")</f>
        <v>#NAME?</v>
      </c>
      <c r="AD319" s="2" t="e">
        <f ca="1">_xll.BDH($C$303,"MODIFIED_WORK_CAP_GROWTH","FQ1 2017","FQ1 2017","Currency=INR","Period=FQ","BEST_FPERIOD_OVERRIDE=FQ","FILING_STATUS=OR","EQY_CONSOLIDATED=Y","Sort=A","Dates=H","DateFormat=P","Fill=—","Direction=H","UseDPDF=Y")</f>
        <v>#NAME?</v>
      </c>
      <c r="AE319" s="2" t="e">
        <f ca="1">_xll.BDH($C$303,"WORK_CAP_GROWTH","FQ1 2017","FQ1 2017","Currency=INR","Period=FQ","BEST_FPERIOD_OVERRIDE=FQ","FILING_STATUS=OR","EQY_CONSOLIDATED=Y","Sort=A","Dates=H","DateFormat=P","Fill=—","Direction=H","UseDPDF=Y")</f>
        <v>#NAME?</v>
      </c>
      <c r="AF319" s="2" t="e">
        <f ca="1">_xll.BDH($C$303,"ACCOUNTS_PAYABLE_GROWTH_1YR","FQ1 2017","FQ1 2017","Currency=INR","Period=FQ","BEST_FPERIOD_OVERRIDE=FQ","FILING_STATUS=OR","EQY_CONSOLIDATED=Y","Sort=A","Dates=H","DateFormat=P","Fill=—","Direction=H","UseDPDF=Y")</f>
        <v>#NAME?</v>
      </c>
      <c r="AG319" s="2" t="e">
        <f ca="1">_xll.BDH($C$303,"SHORT_TERM_DEBT_1_YEAR_GROWTH","FQ1 2017","FQ1 2017","Currency=INR","Period=FQ","BEST_FPERIOD_OVERRIDE=FQ","FILING_STATUS=OR","EQY_CONSOLIDATED=Y","Sort=A","Dates=H","DateFormat=P","Fill=—","Direction=H","UseDPDF=Y")</f>
        <v>#NAME?</v>
      </c>
      <c r="AH319" s="2" t="e">
        <f ca="1">_xll.BDH($C$303,"TOTAL_DEBT_1_YEAR_GROWTH","FQ1 2017","FQ1 2017","Currency=INR","Period=FQ","BEST_FPERIOD_OVERRIDE=FQ","FILING_STATUS=OR","EQY_CONSOLIDATED=Y","Sort=A","Dates=H","DateFormat=P","Fill=—","Direction=H","UseDPDF=Y")</f>
        <v>#NAME?</v>
      </c>
      <c r="AI319" s="2" t="e">
        <f ca="1">_xll.BDH($C$303,"TOTAL_EQUITY_1_YEAR_GROWTH","FQ1 2017","FQ1 2017","Currency=INR","Period=FQ","BEST_FPERIOD_OVERRIDE=FQ","FILING_STATUS=OR","EQY_CONSOLIDATED=Y","Sort=A","Dates=H","DateFormat=P","Fill=—","Direction=H","UseDPDF=Y")</f>
        <v>#NAME?</v>
      </c>
      <c r="AJ319" s="2" t="e">
        <f ca="1">_xll.BDH($C$303,"GROWTH_IN_CAP","FQ1 2017","FQ1 2017","Currency=INR","Period=FQ","BEST_FPERIOD_OVERRIDE=FQ","FILING_STATUS=OR","EQY_CONSOLIDATED=Y","Sort=A","Dates=H","DateFormat=P","Fill=—","Direction=H","UseDPDF=Y")</f>
        <v>#NAME?</v>
      </c>
      <c r="AK319" s="2" t="e">
        <f ca="1">_xll.BDH($C$303,"BVPS_GROWTH","FQ1 2017","FQ1 2017","Currency=INR","Period=FQ","BEST_FPERIOD_OVERRIDE=FQ","FILING_STATUS=OR","EQY_CONSOLIDATED=Y","Sort=A","Dates=H","DateFormat=P","Fill=—","Direction=H","UseDPDF=Y")</f>
        <v>#NAME?</v>
      </c>
      <c r="AL319" s="2" t="e">
        <f ca="1">_xll.BDH($C$303,"CASH_FLOW_GROWTH","FQ1 2017","FQ1 2017","Currency=INR","Period=FQ","BEST_FPERIOD_OVERRIDE=FQ","FILING_STATUS=OR","EQY_CONSOLIDATED=Y","Sort=A","Dates=H","DateFormat=P","Fill=—","Direction=H","UseDPDF=Y")</f>
        <v>#NAME?</v>
      </c>
      <c r="AM319" s="2" t="e">
        <f ca="1">_xll.BDH($C$303,"GEO_GROW_NET_SALES","FQ1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319" s="2" t="e">
        <f ca="1">_xll.BDH($C$303,"GEO_GROW_EBITDA","FQ1 2017","FQ1 2017","Currency=INR","Period=FQ","BEST_FPERIOD_OVERRIDE=FQ","FILING_STATUS=OR","EQY_CONSOLIDATED=Y","FA_ADJUSTED=GAAP","Sort=A","Dates=H","DateFormat=P","Fill=—","Direction=H","UseDPDF=Y")</f>
        <v>#NAME?</v>
      </c>
      <c r="AO319" s="2" t="e">
        <f ca="1">_xll.BDH($C$303,"GEO_GROW_OPER_INC","FQ1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319" s="2" t="e">
        <f ca="1">_xll.BDH($C$303,"NET_INCOME_TO_COMMON_5_YR_GROWTH","FQ1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319" s="2" t="e">
        <f ca="1">_xll.BDH($C$303,"5Y_GEO_GROWTH_DILUTED_EPS","FQ1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319" s="2" t="e">
        <f ca="1">_xll.BDH($C$303,"GEO_GROW_DVD_PER_SH","FQ1 2017","FQ1 2017","Currency=INR","Period=FQ","BEST_FPERIOD_OVERRIDE=FQ","FILING_STATUS=OR","EQY_CONSOLIDATED=Y","Sort=A","Dates=H","DateFormat=P","Fill=—","Direction=H","UseDPDF=Y")</f>
        <v>#NAME?</v>
      </c>
      <c r="AS319" s="2" t="e">
        <f ca="1">_xll.BDH($C$303,"ACCOUNTS_RECEIVABLE_5_YR_GROWTH","FQ1 2017","FQ1 2017","Currency=INR","Period=FQ","BEST_FPERIOD_OVERRIDE=FQ","FILING_STATUS=OR","EQY_CONSOLIDATED=Y","Sort=A","Dates=H","DateFormat=P","Fill=—","Direction=H","UseDPDF=Y")</f>
        <v>#NAME?</v>
      </c>
      <c r="AT319" s="2" t="e">
        <f ca="1">_xll.BDH($C$303,"INVENTORY_5_YEAR_GROWTH","FQ1 2017","FQ1 2017","Currency=INR","Period=FQ","BEST_FPERIOD_OVERRIDE=FQ","FILING_STATUS=OR","EQY_CONSOLIDATED=Y","Sort=A","Dates=H","DateFormat=P","Fill=—","Direction=H","UseDPDF=Y")</f>
        <v>#NAME?</v>
      </c>
      <c r="AU319" s="2" t="e">
        <f ca="1">_xll.BDH($C$303,"NET_FIXED_ASSETS_5_YEAR_GROWTH","FQ1 2017","FQ1 2017","Currency=INR","Period=FQ","BEST_FPERIOD_OVERRIDE=FQ","FILING_STATUS=OR","EQY_CONSOLIDATED=Y","Sort=A","Dates=H","DateFormat=P","Fill=—","Direction=H","UseDPDF=Y")</f>
        <v>#NAME?</v>
      </c>
      <c r="AV319" s="2" t="e">
        <f ca="1">_xll.BDH($C$303,"GEO_GROW_TOT_ASSET","FQ1 2017","FQ1 2017","Currency=INR","Period=FQ","BEST_FPERIOD_OVERRIDE=FQ","FILING_STATUS=OR","EQY_CONSOLIDATED=Y","Sort=A","Dates=H","DateFormat=P","Fill=—","Direction=H","UseDPDF=Y")</f>
        <v>#NAME?</v>
      </c>
      <c r="AW319" s="2" t="e">
        <f ca="1">_xll.BDH($C$303,"MODIFIED_WORKING_CPTL_5YR_GRWTH","FQ1 2017","FQ1 2017","Currency=INR","Period=FQ","BEST_FPERIOD_OVERRIDE=FQ","FILING_STATUS=OR","EQY_CONSOLIDATED=Y","Sort=A","Dates=H","DateFormat=P","Fill=—","Direction=H","UseDPDF=Y")</f>
        <v>#NAME?</v>
      </c>
      <c r="AX319" s="2" t="e">
        <f ca="1">_xll.BDH($C$303,"WORKING_CAPITAL_5_YEAR_GROWTH","FQ1 2017","FQ1 2017","Currency=INR","Period=FQ","BEST_FPERIOD_OVERRIDE=FQ","FILING_STATUS=OR","EQY_CONSOLIDATED=Y","Sort=A","Dates=H","DateFormat=P","Fill=—","Direction=H","UseDPDF=Y")</f>
        <v>#NAME?</v>
      </c>
      <c r="AY319" s="2" t="e">
        <f ca="1">_xll.BDH($C$303,"ACCOUNTS_PAYABLE_5_YEAR_GROWTH","FQ1 2017","FQ1 2017","Currency=INR","Period=FQ","BEST_FPERIOD_OVERRIDE=FQ","FILING_STATUS=OR","EQY_CONSOLIDATED=Y","Sort=A","Dates=H","DateFormat=P","Fill=—","Direction=H","UseDPDF=Y")</f>
        <v>#NAME?</v>
      </c>
      <c r="AZ319" s="2" t="e">
        <f ca="1">_xll.BDH($C$303,"SHORT_TERM_DEBT_5_YEAR_GROWTH","FQ1 2017","FQ1 2017","Currency=INR","Period=FQ","BEST_FPERIOD_OVERRIDE=FQ","FILING_STATUS=OR","EQY_CONSOLIDATED=Y","Sort=A","Dates=H","DateFormat=P","Fill=—","Direction=H","UseDPDF=Y")</f>
        <v>#NAME?</v>
      </c>
      <c r="BA319" s="2" t="e">
        <f ca="1">_xll.BDH($C$303,"TOTAL_DEBT_5_YEAR_GROWTH","FQ1 2017","FQ1 2017","Currency=INR","Period=FQ","BEST_FPERIOD_OVERRIDE=FQ","FILING_STATUS=OR","EQY_CONSOLIDATED=Y","Sort=A","Dates=H","DateFormat=P","Fill=—","Direction=H","UseDPDF=Y")</f>
        <v>#NAME?</v>
      </c>
      <c r="BB319" s="2" t="e">
        <f ca="1">_xll.BDH($C$303,"GEO_GROW_TOT_SHRHLDR_EQY","FQ1 2017","FQ1 2017","Currency=INR","Period=FQ","BEST_FPERIOD_OVERRIDE=FQ","FILING_STATUS=OR","EQY_CONSOLIDATED=Y","Sort=A","Dates=H","DateFormat=P","Fill=—","Direction=H","UseDPDF=Y")</f>
        <v>#NAME?</v>
      </c>
      <c r="BC319" s="2" t="e">
        <f ca="1">_xll.BDH($C$303,"TOTAL_CAPITAL_5_YEAR_GROWTH","FQ1 2017","FQ1 2017","Currency=INR","Period=FQ","BEST_FPERIOD_OVERRIDE=FQ","FILING_STATUS=OR","EQY_CONSOLIDATED=Y","Sort=A","Dates=H","DateFormat=P","Fill=—","Direction=H","UseDPDF=Y")</f>
        <v>#NAME?</v>
      </c>
      <c r="BD319" s="2" t="e">
        <f ca="1">_xll.BDH($C$303,"GEO_GROW_BOOK_VAL","FQ1 2017","FQ1 2017","Currency=INR","Period=FQ","BEST_FPERIOD_OVERRIDE=FQ","FILING_STATUS=OR","EQY_CONSOLIDATED=Y","Sort=A","Dates=H","DateFormat=P","Fill=—","Direction=H","UseDPDF=Y")</f>
        <v>#NAME?</v>
      </c>
      <c r="BE319" s="2" t="e">
        <f ca="1">_xll.BDH($C$303,"GEO_GROW_CASH_OPER_ACT","FQ1 2017","FQ1 2017","Currency=INR","Period=FQ","BEST_FPERIOD_OVERRIDE=FQ","FILING_STATUS=OR","EQY_CONSOLIDATED=Y","Sort=A","Dates=H","DateFormat=P","Fill=—","Direction=H","UseDPDF=Y")</f>
        <v>#NAME?</v>
      </c>
      <c r="BF319" s="2" t="e">
        <f ca="1">_xll.BDH($C$303,"REVENUE_SEQUENTIAL_GROWTH","FQ1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319" s="2" t="e">
        <f ca="1">_xll.BDH($C$303,"EBITDA_SEQUENTIAL_GROWTH","FQ1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319" s="2" t="e">
        <f ca="1">_xll.BDH($C$303,"OPERATING_INCOME_SEQ_GROWTH","FQ1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319" s="2" t="e">
        <f ca="1">_xll.BDH($C$303,"NET_INCOME_TO_COMMON_SEQ_GROWTH","FQ1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319" s="2" t="e">
        <f ca="1">_xll.BDH($C$303,"EPS_DILUTED_SEQUENTIAL_GROWTH","FQ1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319" s="2" t="e">
        <f ca="1">_xll.BDH($C$303,"DPS_SEQUENTIAL_GROWTH","FQ1 2017","FQ1 2017","Currency=INR","Period=FQ","BEST_FPERIOD_OVERRIDE=FQ","FILING_STATUS=OR","EQY_CONSOLIDATED=Y","Sort=A","Dates=H","DateFormat=P","Fill=—","Direction=H","UseDPDF=Y")</f>
        <v>#NAME?</v>
      </c>
      <c r="BL319" s="2" t="e">
        <f ca="1">_xll.BDH($C$303,"ACCOUNTS_RECEIVABLE_SEQ_GROWTH","FQ1 2017","FQ1 2017","Currency=INR","Period=FQ","BEST_FPERIOD_OVERRIDE=FQ","FILING_STATUS=OR","EQY_CONSOLIDATED=Y","Sort=A","Dates=H","DateFormat=P","Fill=—","Direction=H","UseDPDF=Y")</f>
        <v>#NAME?</v>
      </c>
      <c r="BM319" s="2" t="e">
        <f ca="1">_xll.BDH($C$303,"INVENTORY_SEQUENTIAL_GROWTH","FQ1 2017","FQ1 2017","Currency=INR","Period=FQ","BEST_FPERIOD_OVERRIDE=FQ","FILING_STATUS=OR","EQY_CONSOLIDATED=Y","Sort=A","Dates=H","DateFormat=P","Fill=—","Direction=H","UseDPDF=Y")</f>
        <v>#NAME?</v>
      </c>
      <c r="BN319" s="2" t="e">
        <f ca="1">_xll.BDH($C$303,"FIXED_ASSETS_SEQUENTIAL_GROWTH","FQ1 2017","FQ1 2017","Currency=INR","Period=FQ","BEST_FPERIOD_OVERRIDE=FQ","FILING_STATUS=OR","EQY_CONSOLIDATED=Y","Sort=A","Dates=H","DateFormat=P","Fill=—","Direction=H","UseDPDF=Y")</f>
        <v>#NAME?</v>
      </c>
      <c r="BO319" s="2" t="e">
        <f ca="1">_xll.BDH($C$303,"TOTAL_ASSETS_SEQUENTIAL_GROWTH","FQ1 2017","FQ1 2017","Currency=INR","Period=FQ","BEST_FPERIOD_OVERRIDE=FQ","FILING_STATUS=OR","EQY_CONSOLIDATED=Y","Sort=A","Dates=H","DateFormat=P","Fill=—","Direction=H","UseDPDF=Y")</f>
        <v>#NAME?</v>
      </c>
      <c r="BP319" s="2" t="e">
        <f ca="1">_xll.BDH($C$303,"MODIFIED_WORKING_CPTL_SEQ_GRWTH","FQ1 2017","FQ1 2017","Currency=INR","Period=FQ","BEST_FPERIOD_OVERRIDE=FQ","FILING_STATUS=OR","EQY_CONSOLIDATED=Y","Sort=A","Dates=H","DateFormat=P","Fill=—","Direction=H","UseDPDF=Y")</f>
        <v>#NAME?</v>
      </c>
      <c r="BQ319" s="2" t="e">
        <f ca="1">_xll.BDH($C$303,"WORKING_CAPITAL_SEQ_GROWTH","FQ1 2017","FQ1 2017","Currency=INR","Period=FQ","BEST_FPERIOD_OVERRIDE=FQ","FILING_STATUS=OR","EQY_CONSOLIDATED=Y","Sort=A","Dates=H","DateFormat=P","Fill=—","Direction=H","UseDPDF=Y")</f>
        <v>#NAME?</v>
      </c>
      <c r="BR319" s="2" t="e">
        <f ca="1">_xll.BDH($C$303,"ACCOUNTS_PAYABLE_SEQ_GROWTH","FQ1 2017","FQ1 2017","Currency=INR","Period=FQ","BEST_FPERIOD_OVERRIDE=FQ","FILING_STATUS=OR","EQY_CONSOLIDATED=Y","Sort=A","Dates=H","DateFormat=P","Fill=—","Direction=H","UseDPDF=Y")</f>
        <v>#NAME?</v>
      </c>
      <c r="BS319" s="2" t="e">
        <f ca="1">_xll.BDH($C$303,"ST_DEBT_SEQUENTIAL_GROWTH","FQ1 2017","FQ1 2017","Currency=INR","Period=FQ","BEST_FPERIOD_OVERRIDE=FQ","FILING_STATUS=OR","EQY_CONSOLIDATED=Y","Sort=A","Dates=H","DateFormat=P","Fill=—","Direction=H","UseDPDF=Y")</f>
        <v>#NAME?</v>
      </c>
      <c r="BT319" s="2" t="e">
        <f ca="1">_xll.BDH($C$303,"TOTAL_DEBT_SEQUENTIAL_GROWTH","FQ1 2017","FQ1 2017","Currency=INR","Period=FQ","BEST_FPERIOD_OVERRIDE=FQ","FILING_STATUS=OR","EQY_CONSOLIDATED=Y","Sort=A","Dates=H","DateFormat=P","Fill=—","Direction=H","UseDPDF=Y")</f>
        <v>#NAME?</v>
      </c>
      <c r="BU319" s="2" t="e">
        <f ca="1">_xll.BDH($C$303,"TOTAL_EQUITY_SEQUENTIAL_GROWTH","FQ1 2017","FQ1 2017","Currency=INR","Period=FQ","BEST_FPERIOD_OVERRIDE=FQ","FILING_STATUS=OR","EQY_CONSOLIDATED=Y","Sort=A","Dates=H","DateFormat=P","Fill=—","Direction=H","UseDPDF=Y")</f>
        <v>#NAME?</v>
      </c>
      <c r="BV319" s="2" t="e">
        <f ca="1">_xll.BDH($C$303,"TOTAL_CAPITAL_SEQUENTIAL_GROWTH","FQ1 2017","FQ1 2017","Currency=INR","Period=FQ","BEST_FPERIOD_OVERRIDE=FQ","FILING_STATUS=OR","EQY_CONSOLIDATED=Y","Sort=A","Dates=H","DateFormat=P","Fill=—","Direction=H","UseDPDF=Y")</f>
        <v>#NAME?</v>
      </c>
      <c r="BW319" s="2" t="e">
        <f ca="1">_xll.BDH($C$303,"BPS_SEQUENTIAL_GROWTH","FQ1 2017","FQ1 2017","Currency=INR","Period=FQ","BEST_FPERIOD_OVERRIDE=FQ","FILING_STATUS=OR","EQY_CONSOLIDATED=Y","Sort=A","Dates=H","DateFormat=P","Fill=—","Direction=H","UseDPDF=Y")</f>
        <v>#NAME?</v>
      </c>
      <c r="BX319" s="2" t="e">
        <f ca="1">_xll.BDH($C$303,"CFO_SEQUENTIAL_GROWTH","FQ1 2017","FQ1 2017","Currency=INR","Period=FQ","BEST_FPERIOD_OVERRIDE=FQ","FILING_STATUS=OR","EQY_CONSOLIDATED=Y","Sort=A","Dates=H","DateFormat=P","Fill=—","Direction=H","UseDPDF=Y")</f>
        <v>#NAME?</v>
      </c>
      <c r="BY319" s="3" t="e">
        <f ca="1">_xll.BDH($C$303,"SHORT_AND_LONG_TERM_DEBT","FQ1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319" s="3" t="e">
        <f ca="1">_xll.BDH($C$303,"BS_ST_BORROW","FQ1 2017","FQ1 2017","Currency=INR","Period=FQ","BEST_FPERIOD_OVERRIDE=FQ","FILING_STATUS=OR","EQY_CONSOLIDATED=Y","SCALING_FORMAT=MLN","Sort=A","Dates=H","DateFormat=P","Fill=—","Direction=H","UseDPDF=Y")</f>
        <v>#NAME?</v>
      </c>
      <c r="CA319" s="3" t="e">
        <f ca="1">_xll.BDH($C$303,"BS_LT_BORROW","FQ1 2017","FQ1 2017","Currency=INR","Period=FQ","BEST_FPERIOD_OVERRIDE=FQ","FILING_STATUS=OR","EQY_CONSOLIDATED=Y","SCALING_FORMAT=MLN","Sort=A","Dates=H","DateFormat=P","Fill=—","Direction=H","UseDPDF=Y")</f>
        <v>#NAME?</v>
      </c>
      <c r="CB319" s="2" t="e">
        <f ca="1">_xll.BDH($C$303,"TOT_DEBT_TO_EBITDA","FQ1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319" s="2" t="e">
        <f ca="1">_xll.BDH($C$303,"NET_DEBT_TO_EBITDA","FQ1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319" s="2" t="e">
        <f ca="1">_xll.BDH($C$303,"TOTAL_DEBT_TO_EBIT","FQ1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319" s="2" t="e">
        <f ca="1">_xll.BDH($C$303,"NET_DEBT_TO_EBIT","FQ1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319" s="2" t="e">
        <f ca="1">_xll.BDH($C$303,"EBITDA_TO_INTEREST_EXPN","FQ1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319" s="2" t="e">
        <f ca="1">_xll.BDH($C$303,"COM_EQY_TO_TOT_ASSET","FQ1 2017","FQ1 2017","Currency=INR","Period=FQ","BEST_FPERIOD_OVERRIDE=FQ","FILING_STATUS=OR","EQY_CONSOLIDATED=Y","Sort=A","Dates=H","DateFormat=P","Fill=—","Direction=H","UseDPDF=Y")</f>
        <v>#NAME?</v>
      </c>
      <c r="CH319" s="2" t="e">
        <f ca="1">_xll.BDH($C$303,"LT_DEBT_TO_TOT_EQY","FQ1 2017","FQ1 2017","Currency=INR","Period=FQ","BEST_FPERIOD_OVERRIDE=FQ","FILING_STATUS=OR","EQY_CONSOLIDATED=Y","Sort=A","Dates=H","DateFormat=P","Fill=—","Direction=H","UseDPDF=Y")</f>
        <v>#NAME?</v>
      </c>
      <c r="CI319" s="2" t="e">
        <f ca="1">_xll.BDH($C$303,"LT_DEBT_TO_TOT_CAP","FQ1 2017","FQ1 2017","Currency=INR","Period=FQ","BEST_FPERIOD_OVERRIDE=FQ","FILING_STATUS=OR","EQY_CONSOLIDATED=Y","Sort=A","Dates=H","DateFormat=P","Fill=—","Direction=H","UseDPDF=Y")</f>
        <v>#NAME?</v>
      </c>
      <c r="CJ319" s="2" t="e">
        <f ca="1">_xll.BDH($C$303,"LT_DEBT_TO_TOT_ASSET","FQ1 2017","FQ1 2017","Currency=INR","Period=FQ","BEST_FPERIOD_OVERRIDE=FQ","FILING_STATUS=OR","EQY_CONSOLIDATED=Y","Sort=A","Dates=H","DateFormat=P","Fill=—","Direction=H","UseDPDF=Y")</f>
        <v>#NAME?</v>
      </c>
      <c r="CK319" s="2" t="e">
        <f ca="1">_xll.BDH($C$303,"TOT_DEBT_TO_TOT_EQY","FQ1 2017","FQ1 2017","Currency=INR","Period=FQ","BEST_FPERIOD_OVERRIDE=FQ","FILING_STATUS=OR","EQY_CONSOLIDATED=Y","Sort=A","Dates=H","DateFormat=P","Fill=—","Direction=H","UseDPDF=Y")</f>
        <v>#NAME?</v>
      </c>
      <c r="CL319" s="2" t="e">
        <f ca="1">_xll.BDH($C$303,"TOT_DEBT_TO_TOT_CAP","FQ1 2017","FQ1 2017","Currency=INR","Period=FQ","BEST_FPERIOD_OVERRIDE=FQ","FILING_STATUS=OR","EQY_CONSOLIDATED=Y","Sort=A","Dates=H","DateFormat=P","Fill=—","Direction=H","UseDPDF=Y")</f>
        <v>#NAME?</v>
      </c>
      <c r="CM319" s="2" t="e">
        <f ca="1">_xll.BDH($C$303,"TOT_DEBT_TO_TOT_ASSET","FQ1 2017","FQ1 2017","Currency=INR","Period=FQ","BEST_FPERIOD_OVERRIDE=FQ","FILING_STATUS=OR","EQY_CONSOLIDATED=Y","Sort=A","Dates=H","DateFormat=P","Fill=—","Direction=H","UseDPDF=Y")</f>
        <v>#NAME?</v>
      </c>
      <c r="CN319" s="2" t="e">
        <f ca="1">_xll.BDH($C$303,"NET_DEBT_TO_SHRHLDR_EQTY","FQ1 2017","FQ1 2017","Currency=INR","Period=FQ","BEST_FPERIOD_OVERRIDE=FQ","FILING_STATUS=OR","EQY_CONSOLIDATED=Y","Sort=A","Dates=H","DateFormat=P","Fill=—","Direction=H","UseDPDF=Y")</f>
        <v>#NAME?</v>
      </c>
      <c r="CO319" s="2" t="e">
        <f ca="1">_xll.BDH($C$303,"NET_DEBT_%_CAPITAL","FQ1 2017","FQ1 2017","Currency=INR","Period=FQ","BEST_FPERIOD_OVERRIDE=FQ","FILING_STATUS=OR","EQY_CONSOLIDATED=Y","Sort=A","Dates=H","DateFormat=P","Fill=—","Direction=H","UseDPDF=Y")</f>
        <v>#NAME?</v>
      </c>
      <c r="CP319" s="3" t="e">
        <f ca="1">_xll.BDH($C$303,"EBITDA","FQ1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319" s="3" t="e">
        <f ca="1">_xll.BDH($C$303,"EBITDA_AFTER_CAPEX","FQ1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319" s="3" t="e">
        <f ca="1">_xll.BDH($C$303,"IS_OPER_INC","FQ1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319" s="2" t="e">
        <f ca="1">_xll.BDH($C$303,"CASH_RATIO","FQ1 2017","FQ1 2017","Currency=INR","Period=FQ","BEST_FPERIOD_OVERRIDE=FQ","FILING_STATUS=OR","EQY_CONSOLIDATED=Y","Sort=A","Dates=H","DateFormat=P","Fill=—","Direction=H","UseDPDF=Y")</f>
        <v>#NAME?</v>
      </c>
      <c r="CT319" s="2" t="e">
        <f ca="1">_xll.BDH($C$303,"CUR_RATIO","FQ1 2017","FQ1 2017","Currency=INR","Period=FQ","BEST_FPERIOD_OVERRIDE=FQ","FILING_STATUS=OR","EQY_CONSOLIDATED=Y","Sort=A","Dates=H","DateFormat=P","Fill=—","Direction=H","UseDPDF=Y")</f>
        <v>#NAME?</v>
      </c>
      <c r="CU319" s="2" t="e">
        <f ca="1">_xll.BDH($C$303,"QUICK_RATIO","FQ1 2017","FQ1 2017","Currency=INR","Period=FQ","BEST_FPERIOD_OVERRIDE=FQ","FILING_STATUS=OR","EQY_CONSOLIDATED=Y","Sort=A","Dates=H","DateFormat=P","Fill=—","Direction=H","UseDPDF=Y")</f>
        <v>#NAME?</v>
      </c>
      <c r="CV319" s="2" t="e">
        <f ca="1">_xll.BDH($C$303,"ALTMAN_Z_SCORE","FQ1 2017","FQ1 2017","Currency=INR","Period=FQ","BEST_FPERIOD_OVERRIDE=FQ","FILING_STATUS=OR","EQY_CONSOLIDATED=Y","Sort=A","Dates=H","DateFormat=P","Fill=—","Direction=H","UseDPDF=Y")</f>
        <v>#NAME?</v>
      </c>
      <c r="CW319" s="4" t="e">
        <f ca="1">_xll.BDH($C$303,"ACCT_RCV_TURN","FQ1 2017","FQ1 2017","Currency=INR","Period=FQ","BEST_FPERIOD_OVERRIDE=FQ","FILING_STATUS=OR","EQY_CONSOLIDATED=Y","FA_ADJUSTED=GAAP","Sort=A","Dates=H","DateFormat=P","Fill=—","Direction=H","UseDPDF=Y")</f>
        <v>#NAME?</v>
      </c>
      <c r="CX319" s="2" t="e">
        <f ca="1">_xll.BDH($C$303,"ACCT_RCV_DAYS","FQ1 2017","FQ1 2017","Currency=INR","Period=FQ","BEST_FPERIOD_OVERRIDE=FQ","FILING_STATUS=OR","EQY_CONSOLIDATED=Y","FA_ADJUSTED=GAAP","Sort=A","Dates=H","DateFormat=P","Fill=—","Direction=H","UseDPDF=Y")</f>
        <v>#NAME?</v>
      </c>
      <c r="CY319" s="4" t="e">
        <f ca="1">_xll.BDH($C$303,"INVENT_TURN","FQ1 2017","FQ1 2017","Currency=INR","Period=FQ","BEST_FPERIOD_OVERRIDE=FQ","FILING_STATUS=OR","EQY_CONSOLIDATED=Y","FA_ADJUSTED=GAAP","Sort=A","Dates=H","DateFormat=P","Fill=—","Direction=H","UseDPDF=Y")</f>
        <v>#NAME?</v>
      </c>
      <c r="CZ319" s="2" t="e">
        <f ca="1">_xll.BDH($C$303,"INVENT_DAYS","FQ1 2017","FQ1 2017","Currency=INR","Period=FQ","BEST_FPERIOD_OVERRIDE=FQ","FILING_STATUS=OR","EQY_CONSOLIDATED=Y","FA_ADJUSTED=GAAP","Sort=A","Dates=H","DateFormat=P","Fill=—","Direction=H","UseDPDF=Y")</f>
        <v>#NAME?</v>
      </c>
      <c r="DA319" s="4" t="e">
        <f ca="1">_xll.BDH($C$303,"ACCOUNTS_PAYABLE_TURNOVER","FQ1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319" s="2" t="e">
        <f ca="1">_xll.BDH($C$303,"ACCOUNTS_PAYABLE_TURNOVER_DAYS","FQ1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319" s="4" t="e">
        <f ca="1">_xll.BDH($C$303,"CASH_CONVERSION_CYCLE","FQ1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319" s="4" t="e">
        <f ca="1">_xll.BDH($C$303,"INV_TO_CASH_DAYS","FQ1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319" s="5" t="e">
        <f ca="1">_xll.BDH($C$303,"BS_INVENTORIES","FQ1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319" s="3" t="e">
        <f ca="1">_xll.BDH($C$303,"INVTRY_RAW_MATERIALS","FQ1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319" s="3" t="e">
        <f ca="1">_xll.BDH($C$303,"INVTRY_IN_PROGRESS","FQ1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319" s="3" t="e">
        <f ca="1">_xll.BDH($C$303,"INVTRY_FINISHED_GOODS","FQ1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319" s="3" t="e">
        <f ca="1">_xll.BDH($C$303,"BS_OTHER_INV","FQ1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320" spans="1:113" x14ac:dyDescent="0.3">
      <c r="A320" s="6"/>
      <c r="B320" s="6"/>
      <c r="C320" s="6"/>
      <c r="D320" s="6"/>
      <c r="E320" t="s">
        <v>79</v>
      </c>
      <c r="F320" t="e">
        <f ca="1">_xll.BDH($C$303,"RETURN_COM_EQY","FQ2 2017","FQ2 2017","Currency=INR","Period=FQ","BEST_FPERIOD_OVERRIDE=FQ","FILING_STATUS=OR","EQY_CONSOLIDATED=Y","FA_ADJUSTED=GAAP","Sort=A","Dates=H","DateFormat=P","Fill=—","Direction=H","UseDPDF=Y")</f>
        <v>#NAME?</v>
      </c>
      <c r="G320" t="e">
        <f ca="1">_xll.BDH($C$303,"RETURN_ON_ASSET","FQ2 2017","FQ2 2017","Currency=INR","Period=FQ","BEST_FPERIOD_OVERRIDE=FQ","FILING_STATUS=OR","EQY_CONSOLIDATED=Y","FA_ADJUSTED=GAAP","Sort=A","Dates=H","DateFormat=P","Fill=—","Direction=H","UseDPDF=Y")</f>
        <v>#NAME?</v>
      </c>
      <c r="H320" t="e">
        <f ca="1">_xll.BDH($C$303,"RETURN_ON_CAP","FQ2 2017","FQ2 2017","Currency=INR","Period=FQ","BEST_FPERIOD_OVERRIDE=FQ","FILING_STATUS=OR","EQY_CONSOLIDATED=Y","FA_ADJUSTED=GAAP","Sort=A","Dates=H","DateFormat=P","Fill=—","Direction=H","UseDPDF=Y")</f>
        <v>#NAME?</v>
      </c>
      <c r="I320" t="e">
        <f ca="1">_xll.BDH($C$303,"RETURN_ON_INV_CAPITAL","FQ2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320" t="e">
        <f ca="1">_xll.BDH($C$303,"EBITDA_TO_REVENUE","FQ2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320" t="e">
        <f ca="1">_xll.BDH($C$303,"OPER_MARGIN","FQ2 2017","FQ2 2017","Currency=INR","Period=FQ","BEST_FPERIOD_OVERRIDE=FQ","FILING_STATUS=OR","EQY_CONSOLIDATED=Y","FA_ADJUSTED=GAAP","Sort=A","Dates=H","DateFormat=P","Fill=—","Direction=H","UseDPDF=Y")</f>
        <v>#NAME?</v>
      </c>
      <c r="L320" t="e">
        <f ca="1">_xll.BDH($C$303,"INCREMENTAL_OPERATING_MARGIN","FQ2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320" t="e">
        <f ca="1">_xll.BDH($C$303,"PRETAX_INC_TO_NET_SALES","FQ2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320" t="e">
        <f ca="1">_xll.BDH($C$303,"INC_BEF_XO_ITEMS_TO_NET_SALES","FQ2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320" t="e">
        <f ca="1">_xll.BDH($C$303,"PROF_MARGIN","FQ2 2017","FQ2 2017","Currency=INR","Period=FQ","BEST_FPERIOD_OVERRIDE=FQ","FILING_STATUS=OR","EQY_CONSOLIDATED=Y","FA_ADJUSTED=GAAP","Sort=A","Dates=H","DateFormat=P","Fill=—","Direction=H","UseDPDF=Y")</f>
        <v>#NAME?</v>
      </c>
      <c r="P320" t="e">
        <f ca="1">_xll.BDH($C$303,"NET_INCOME_TO_COMMON_MARGIN","FQ2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320" t="e">
        <f ca="1">_xll.BDH($C$303,"EFF_TAX_RATE","FQ2 2017","FQ2 2017","Currency=INR","Period=FQ","BEST_FPERIOD_OVERRIDE=FQ","FILING_STATUS=OR","EQY_CONSOLIDATED=Y","FA_ADJUSTED=GAAP","Sort=A","Dates=H","DateFormat=P","Fill=—","Direction=H","UseDPDF=Y")</f>
        <v>#NAME?</v>
      </c>
      <c r="R320" t="e">
        <f ca="1">_xll.BDH($C$303,"DVD_PAYOUT_RATIO","FQ2 2017","FQ2 2017","Currency=INR","Period=FQ","BEST_FPERIOD_OVERRIDE=FQ","FILING_STATUS=OR","EQY_CONSOLIDATED=Y","FA_ADJUSTED=GAAP","Sort=A","Dates=H","DateFormat=P","Fill=—","Direction=H","UseDPDF=Y")</f>
        <v>#NAME?</v>
      </c>
      <c r="S320" t="e">
        <f ca="1">_xll.BDH($C$303,"SUSTAIN_GROWTH_RT","FQ2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320" s="2" t="e">
        <f ca="1">_xll.BDH($C$303,"SALES_GROWTH","FQ2 2017","FQ2 2017","Currency=INR","Period=FQ","BEST_FPERIOD_OVERRIDE=FQ","FILING_STATUS=OR","EQY_CONSOLIDATED=Y","FA_ADJUSTED=GAAP","Sort=A","Dates=H","DateFormat=P","Fill=—","Direction=H","UseDPDF=Y")</f>
        <v>#NAME?</v>
      </c>
      <c r="U320" s="2" t="e">
        <f ca="1">_xll.BDH($C$303,"EBITDA_GROWTH","FQ2 2017","FQ2 2017","Currency=INR","Period=FQ","BEST_FPERIOD_OVERRIDE=FQ","FILING_STATUS=OR","EQY_CONSOLIDATED=Y","FA_ADJUSTED=GAAP","Sort=A","Dates=H","DateFormat=P","Fill=—","Direction=H","UseDPDF=Y")</f>
        <v>#NAME?</v>
      </c>
      <c r="V320" s="2" t="e">
        <f ca="1">_xll.BDH($C$303,"OPER_INC_GROWTH","FQ2 2017","FQ2 2017","Currency=INR","Period=FQ","BEST_FPERIOD_OVERRIDE=FQ","FILING_STATUS=OR","EQY_CONSOLIDATED=Y","FA_ADJUSTED=GAAP","Sort=A","Dates=H","DateFormat=P","Fill=—","Direction=H","UseDPDF=Y")</f>
        <v>#NAME?</v>
      </c>
      <c r="W320" s="2" t="e">
        <f ca="1">_xll.BDH($C$303,"EARN_FOR_COM_GROWTH","FQ2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320" s="2" t="e">
        <f ca="1">_xll.BDH($C$303,"DILUTED_EPS_AFT_XO_ITEMS_GROWTH","FQ2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320" s="2" t="e">
        <f ca="1">_xll.BDH($C$303,"DIVIDEND_PER_SHARE_1_YEAR_GROWTH","FQ2 2017","FQ2 2017","Currency=INR","Period=FQ","BEST_FPERIOD_OVERRIDE=FQ","FILING_STATUS=OR","EQY_CONSOLIDATED=Y","Sort=A","Dates=H","DateFormat=P","Fill=—","Direction=H","UseDPDF=Y")</f>
        <v>#NAME?</v>
      </c>
      <c r="Z320" s="2" t="e">
        <f ca="1">_xll.BDH($C$303,"ACCOUNTS_RECEIVABLE_GROWTH","FQ2 2017","FQ2 2017","Currency=INR","Period=FQ","BEST_FPERIOD_OVERRIDE=FQ","FILING_STATUS=OR","EQY_CONSOLIDATED=Y","Sort=A","Dates=H","DateFormat=P","Fill=—","Direction=H","UseDPDF=Y")</f>
        <v>#NAME?</v>
      </c>
      <c r="AA320" s="2" t="e">
        <f ca="1">_xll.BDH($C$303,"INVENTORY_GROWTH","FQ2 2017","FQ2 2017","Currency=INR","Period=FQ","BEST_FPERIOD_OVERRIDE=FQ","FILING_STATUS=OR","EQY_CONSOLIDATED=Y","Sort=A","Dates=H","DateFormat=P","Fill=—","Direction=H","UseDPDF=Y")</f>
        <v>#NAME?</v>
      </c>
      <c r="AB320" s="2" t="e">
        <f ca="1">_xll.BDH($C$303,"NET_FIXED_ASSETS_1_YEAR_GROWTH","FQ2 2017","FQ2 2017","Currency=INR","Period=FQ","BEST_FPERIOD_OVERRIDE=FQ","FILING_STATUS=OR","EQY_CONSOLIDATED=Y","Sort=A","Dates=H","DateFormat=P","Fill=—","Direction=H","UseDPDF=Y")</f>
        <v>#NAME?</v>
      </c>
      <c r="AC320" s="2" t="e">
        <f ca="1">_xll.BDH($C$303,"ASSET_GROWTH","FQ2 2017","FQ2 2017","Currency=INR","Period=FQ","BEST_FPERIOD_OVERRIDE=FQ","FILING_STATUS=OR","EQY_CONSOLIDATED=Y","Sort=A","Dates=H","DateFormat=P","Fill=—","Direction=H","UseDPDF=Y")</f>
        <v>#NAME?</v>
      </c>
      <c r="AD320" s="2" t="e">
        <f ca="1">_xll.BDH($C$303,"MODIFIED_WORK_CAP_GROWTH","FQ2 2017","FQ2 2017","Currency=INR","Period=FQ","BEST_FPERIOD_OVERRIDE=FQ","FILING_STATUS=OR","EQY_CONSOLIDATED=Y","Sort=A","Dates=H","DateFormat=P","Fill=—","Direction=H","UseDPDF=Y")</f>
        <v>#NAME?</v>
      </c>
      <c r="AE320" s="2" t="e">
        <f ca="1">_xll.BDH($C$303,"WORK_CAP_GROWTH","FQ2 2017","FQ2 2017","Currency=INR","Period=FQ","BEST_FPERIOD_OVERRIDE=FQ","FILING_STATUS=OR","EQY_CONSOLIDATED=Y","Sort=A","Dates=H","DateFormat=P","Fill=—","Direction=H","UseDPDF=Y")</f>
        <v>#NAME?</v>
      </c>
      <c r="AF320" s="2" t="e">
        <f ca="1">_xll.BDH($C$303,"ACCOUNTS_PAYABLE_GROWTH_1YR","FQ2 2017","FQ2 2017","Currency=INR","Period=FQ","BEST_FPERIOD_OVERRIDE=FQ","FILING_STATUS=OR","EQY_CONSOLIDATED=Y","Sort=A","Dates=H","DateFormat=P","Fill=—","Direction=H","UseDPDF=Y")</f>
        <v>#NAME?</v>
      </c>
      <c r="AG320" s="2" t="e">
        <f ca="1">_xll.BDH($C$303,"SHORT_TERM_DEBT_1_YEAR_GROWTH","FQ2 2017","FQ2 2017","Currency=INR","Period=FQ","BEST_FPERIOD_OVERRIDE=FQ","FILING_STATUS=OR","EQY_CONSOLIDATED=Y","Sort=A","Dates=H","DateFormat=P","Fill=—","Direction=H","UseDPDF=Y")</f>
        <v>#NAME?</v>
      </c>
      <c r="AH320" s="2" t="e">
        <f ca="1">_xll.BDH($C$303,"TOTAL_DEBT_1_YEAR_GROWTH","FQ2 2017","FQ2 2017","Currency=INR","Period=FQ","BEST_FPERIOD_OVERRIDE=FQ","FILING_STATUS=OR","EQY_CONSOLIDATED=Y","Sort=A","Dates=H","DateFormat=P","Fill=—","Direction=H","UseDPDF=Y")</f>
        <v>#NAME?</v>
      </c>
      <c r="AI320" s="2" t="e">
        <f ca="1">_xll.BDH($C$303,"TOTAL_EQUITY_1_YEAR_GROWTH","FQ2 2017","FQ2 2017","Currency=INR","Period=FQ","BEST_FPERIOD_OVERRIDE=FQ","FILING_STATUS=OR","EQY_CONSOLIDATED=Y","Sort=A","Dates=H","DateFormat=P","Fill=—","Direction=H","UseDPDF=Y")</f>
        <v>#NAME?</v>
      </c>
      <c r="AJ320" s="2" t="e">
        <f ca="1">_xll.BDH($C$303,"GROWTH_IN_CAP","FQ2 2017","FQ2 2017","Currency=INR","Period=FQ","BEST_FPERIOD_OVERRIDE=FQ","FILING_STATUS=OR","EQY_CONSOLIDATED=Y","Sort=A","Dates=H","DateFormat=P","Fill=—","Direction=H","UseDPDF=Y")</f>
        <v>#NAME?</v>
      </c>
      <c r="AK320" s="2" t="e">
        <f ca="1">_xll.BDH($C$303,"BVPS_GROWTH","FQ2 2017","FQ2 2017","Currency=INR","Period=FQ","BEST_FPERIOD_OVERRIDE=FQ","FILING_STATUS=OR","EQY_CONSOLIDATED=Y","Sort=A","Dates=H","DateFormat=P","Fill=—","Direction=H","UseDPDF=Y")</f>
        <v>#NAME?</v>
      </c>
      <c r="AL320" s="2" t="e">
        <f ca="1">_xll.BDH($C$303,"CASH_FLOW_GROWTH","FQ2 2017","FQ2 2017","Currency=INR","Period=FQ","BEST_FPERIOD_OVERRIDE=FQ","FILING_STATUS=OR","EQY_CONSOLIDATED=Y","Sort=A","Dates=H","DateFormat=P","Fill=—","Direction=H","UseDPDF=Y")</f>
        <v>#NAME?</v>
      </c>
      <c r="AM320" s="2" t="e">
        <f ca="1">_xll.BDH($C$303,"GEO_GROW_NET_SALES","FQ2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320" s="2" t="e">
        <f ca="1">_xll.BDH($C$303,"GEO_GROW_EBITDA","FQ2 2017","FQ2 2017","Currency=INR","Period=FQ","BEST_FPERIOD_OVERRIDE=FQ","FILING_STATUS=OR","EQY_CONSOLIDATED=Y","FA_ADJUSTED=GAAP","Sort=A","Dates=H","DateFormat=P","Fill=—","Direction=H","UseDPDF=Y")</f>
        <v>#NAME?</v>
      </c>
      <c r="AO320" s="2" t="e">
        <f ca="1">_xll.BDH($C$303,"GEO_GROW_OPER_INC","FQ2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320" s="2" t="e">
        <f ca="1">_xll.BDH($C$303,"NET_INCOME_TO_COMMON_5_YR_GROWTH","FQ2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320" s="2" t="e">
        <f ca="1">_xll.BDH($C$303,"5Y_GEO_GROWTH_DILUTED_EPS","FQ2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320" s="2" t="e">
        <f ca="1">_xll.BDH($C$303,"GEO_GROW_DVD_PER_SH","FQ2 2017","FQ2 2017","Currency=INR","Period=FQ","BEST_FPERIOD_OVERRIDE=FQ","FILING_STATUS=OR","EQY_CONSOLIDATED=Y","Sort=A","Dates=H","DateFormat=P","Fill=—","Direction=H","UseDPDF=Y")</f>
        <v>#NAME?</v>
      </c>
      <c r="AS320" s="2" t="e">
        <f ca="1">_xll.BDH($C$303,"ACCOUNTS_RECEIVABLE_5_YR_GROWTH","FQ2 2017","FQ2 2017","Currency=INR","Period=FQ","BEST_FPERIOD_OVERRIDE=FQ","FILING_STATUS=OR","EQY_CONSOLIDATED=Y","Sort=A","Dates=H","DateFormat=P","Fill=—","Direction=H","UseDPDF=Y")</f>
        <v>#NAME?</v>
      </c>
      <c r="AT320" s="2" t="e">
        <f ca="1">_xll.BDH($C$303,"INVENTORY_5_YEAR_GROWTH","FQ2 2017","FQ2 2017","Currency=INR","Period=FQ","BEST_FPERIOD_OVERRIDE=FQ","FILING_STATUS=OR","EQY_CONSOLIDATED=Y","Sort=A","Dates=H","DateFormat=P","Fill=—","Direction=H","UseDPDF=Y")</f>
        <v>#NAME?</v>
      </c>
      <c r="AU320" s="2" t="e">
        <f ca="1">_xll.BDH($C$303,"NET_FIXED_ASSETS_5_YEAR_GROWTH","FQ2 2017","FQ2 2017","Currency=INR","Period=FQ","BEST_FPERIOD_OVERRIDE=FQ","FILING_STATUS=OR","EQY_CONSOLIDATED=Y","Sort=A","Dates=H","DateFormat=P","Fill=—","Direction=H","UseDPDF=Y")</f>
        <v>#NAME?</v>
      </c>
      <c r="AV320" s="2" t="e">
        <f ca="1">_xll.BDH($C$303,"GEO_GROW_TOT_ASSET","FQ2 2017","FQ2 2017","Currency=INR","Period=FQ","BEST_FPERIOD_OVERRIDE=FQ","FILING_STATUS=OR","EQY_CONSOLIDATED=Y","Sort=A","Dates=H","DateFormat=P","Fill=—","Direction=H","UseDPDF=Y")</f>
        <v>#NAME?</v>
      </c>
      <c r="AW320" s="2" t="e">
        <f ca="1">_xll.BDH($C$303,"MODIFIED_WORKING_CPTL_5YR_GRWTH","FQ2 2017","FQ2 2017","Currency=INR","Period=FQ","BEST_FPERIOD_OVERRIDE=FQ","FILING_STATUS=OR","EQY_CONSOLIDATED=Y","Sort=A","Dates=H","DateFormat=P","Fill=—","Direction=H","UseDPDF=Y")</f>
        <v>#NAME?</v>
      </c>
      <c r="AX320" s="2" t="e">
        <f ca="1">_xll.BDH($C$303,"WORKING_CAPITAL_5_YEAR_GROWTH","FQ2 2017","FQ2 2017","Currency=INR","Period=FQ","BEST_FPERIOD_OVERRIDE=FQ","FILING_STATUS=OR","EQY_CONSOLIDATED=Y","Sort=A","Dates=H","DateFormat=P","Fill=—","Direction=H","UseDPDF=Y")</f>
        <v>#NAME?</v>
      </c>
      <c r="AY320" s="2" t="e">
        <f ca="1">_xll.BDH($C$303,"ACCOUNTS_PAYABLE_5_YEAR_GROWTH","FQ2 2017","FQ2 2017","Currency=INR","Period=FQ","BEST_FPERIOD_OVERRIDE=FQ","FILING_STATUS=OR","EQY_CONSOLIDATED=Y","Sort=A","Dates=H","DateFormat=P","Fill=—","Direction=H","UseDPDF=Y")</f>
        <v>#NAME?</v>
      </c>
      <c r="AZ320" s="2" t="e">
        <f ca="1">_xll.BDH($C$303,"SHORT_TERM_DEBT_5_YEAR_GROWTH","FQ2 2017","FQ2 2017","Currency=INR","Period=FQ","BEST_FPERIOD_OVERRIDE=FQ","FILING_STATUS=OR","EQY_CONSOLIDATED=Y","Sort=A","Dates=H","DateFormat=P","Fill=—","Direction=H","UseDPDF=Y")</f>
        <v>#NAME?</v>
      </c>
      <c r="BA320" s="2" t="e">
        <f ca="1">_xll.BDH($C$303,"TOTAL_DEBT_5_YEAR_GROWTH","FQ2 2017","FQ2 2017","Currency=INR","Period=FQ","BEST_FPERIOD_OVERRIDE=FQ","FILING_STATUS=OR","EQY_CONSOLIDATED=Y","Sort=A","Dates=H","DateFormat=P","Fill=—","Direction=H","UseDPDF=Y")</f>
        <v>#NAME?</v>
      </c>
      <c r="BB320" s="2" t="e">
        <f ca="1">_xll.BDH($C$303,"GEO_GROW_TOT_SHRHLDR_EQY","FQ2 2017","FQ2 2017","Currency=INR","Period=FQ","BEST_FPERIOD_OVERRIDE=FQ","FILING_STATUS=OR","EQY_CONSOLIDATED=Y","Sort=A","Dates=H","DateFormat=P","Fill=—","Direction=H","UseDPDF=Y")</f>
        <v>#NAME?</v>
      </c>
      <c r="BC320" s="2" t="e">
        <f ca="1">_xll.BDH($C$303,"TOTAL_CAPITAL_5_YEAR_GROWTH","FQ2 2017","FQ2 2017","Currency=INR","Period=FQ","BEST_FPERIOD_OVERRIDE=FQ","FILING_STATUS=OR","EQY_CONSOLIDATED=Y","Sort=A","Dates=H","DateFormat=P","Fill=—","Direction=H","UseDPDF=Y")</f>
        <v>#NAME?</v>
      </c>
      <c r="BD320" s="2" t="e">
        <f ca="1">_xll.BDH($C$303,"GEO_GROW_BOOK_VAL","FQ2 2017","FQ2 2017","Currency=INR","Period=FQ","BEST_FPERIOD_OVERRIDE=FQ","FILING_STATUS=OR","EQY_CONSOLIDATED=Y","Sort=A","Dates=H","DateFormat=P","Fill=—","Direction=H","UseDPDF=Y")</f>
        <v>#NAME?</v>
      </c>
      <c r="BE320" s="2" t="e">
        <f ca="1">_xll.BDH($C$303,"GEO_GROW_CASH_OPER_ACT","FQ2 2017","FQ2 2017","Currency=INR","Period=FQ","BEST_FPERIOD_OVERRIDE=FQ","FILING_STATUS=OR","EQY_CONSOLIDATED=Y","Sort=A","Dates=H","DateFormat=P","Fill=—","Direction=H","UseDPDF=Y")</f>
        <v>#NAME?</v>
      </c>
      <c r="BF320" s="2" t="e">
        <f ca="1">_xll.BDH($C$303,"REVENUE_SEQUENTIAL_GROWTH","FQ2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320" s="2" t="e">
        <f ca="1">_xll.BDH($C$303,"EBITDA_SEQUENTIAL_GROWTH","FQ2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320" s="2" t="e">
        <f ca="1">_xll.BDH($C$303,"OPERATING_INCOME_SEQ_GROWTH","FQ2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320" s="2" t="e">
        <f ca="1">_xll.BDH($C$303,"NET_INCOME_TO_COMMON_SEQ_GROWTH","FQ2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320" s="2" t="e">
        <f ca="1">_xll.BDH($C$303,"EPS_DILUTED_SEQUENTIAL_GROWTH","FQ2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320" s="2" t="e">
        <f ca="1">_xll.BDH($C$303,"DPS_SEQUENTIAL_GROWTH","FQ2 2017","FQ2 2017","Currency=INR","Period=FQ","BEST_FPERIOD_OVERRIDE=FQ","FILING_STATUS=OR","EQY_CONSOLIDATED=Y","Sort=A","Dates=H","DateFormat=P","Fill=—","Direction=H","UseDPDF=Y")</f>
        <v>#NAME?</v>
      </c>
      <c r="BL320" s="2" t="e">
        <f ca="1">_xll.BDH($C$303,"ACCOUNTS_RECEIVABLE_SEQ_GROWTH","FQ2 2017","FQ2 2017","Currency=INR","Period=FQ","BEST_FPERIOD_OVERRIDE=FQ","FILING_STATUS=OR","EQY_CONSOLIDATED=Y","Sort=A","Dates=H","DateFormat=P","Fill=—","Direction=H","UseDPDF=Y")</f>
        <v>#NAME?</v>
      </c>
      <c r="BM320" s="2" t="e">
        <f ca="1">_xll.BDH($C$303,"INVENTORY_SEQUENTIAL_GROWTH","FQ2 2017","FQ2 2017","Currency=INR","Period=FQ","BEST_FPERIOD_OVERRIDE=FQ","FILING_STATUS=OR","EQY_CONSOLIDATED=Y","Sort=A","Dates=H","DateFormat=P","Fill=—","Direction=H","UseDPDF=Y")</f>
        <v>#NAME?</v>
      </c>
      <c r="BN320" s="2" t="e">
        <f ca="1">_xll.BDH($C$303,"FIXED_ASSETS_SEQUENTIAL_GROWTH","FQ2 2017","FQ2 2017","Currency=INR","Period=FQ","BEST_FPERIOD_OVERRIDE=FQ","FILING_STATUS=OR","EQY_CONSOLIDATED=Y","Sort=A","Dates=H","DateFormat=P","Fill=—","Direction=H","UseDPDF=Y")</f>
        <v>#NAME?</v>
      </c>
      <c r="BO320" s="2" t="e">
        <f ca="1">_xll.BDH($C$303,"TOTAL_ASSETS_SEQUENTIAL_GROWTH","FQ2 2017","FQ2 2017","Currency=INR","Period=FQ","BEST_FPERIOD_OVERRIDE=FQ","FILING_STATUS=OR","EQY_CONSOLIDATED=Y","Sort=A","Dates=H","DateFormat=P","Fill=—","Direction=H","UseDPDF=Y")</f>
        <v>#NAME?</v>
      </c>
      <c r="BP320" s="2" t="e">
        <f ca="1">_xll.BDH($C$303,"MODIFIED_WORKING_CPTL_SEQ_GRWTH","FQ2 2017","FQ2 2017","Currency=INR","Period=FQ","BEST_FPERIOD_OVERRIDE=FQ","FILING_STATUS=OR","EQY_CONSOLIDATED=Y","Sort=A","Dates=H","DateFormat=P","Fill=—","Direction=H","UseDPDF=Y")</f>
        <v>#NAME?</v>
      </c>
      <c r="BQ320" s="2" t="e">
        <f ca="1">_xll.BDH($C$303,"WORKING_CAPITAL_SEQ_GROWTH","FQ2 2017","FQ2 2017","Currency=INR","Period=FQ","BEST_FPERIOD_OVERRIDE=FQ","FILING_STATUS=OR","EQY_CONSOLIDATED=Y","Sort=A","Dates=H","DateFormat=P","Fill=—","Direction=H","UseDPDF=Y")</f>
        <v>#NAME?</v>
      </c>
      <c r="BR320" s="2" t="e">
        <f ca="1">_xll.BDH($C$303,"ACCOUNTS_PAYABLE_SEQ_GROWTH","FQ2 2017","FQ2 2017","Currency=INR","Period=FQ","BEST_FPERIOD_OVERRIDE=FQ","FILING_STATUS=OR","EQY_CONSOLIDATED=Y","Sort=A","Dates=H","DateFormat=P","Fill=—","Direction=H","UseDPDF=Y")</f>
        <v>#NAME?</v>
      </c>
      <c r="BS320" s="2" t="e">
        <f ca="1">_xll.BDH($C$303,"ST_DEBT_SEQUENTIAL_GROWTH","FQ2 2017","FQ2 2017","Currency=INR","Period=FQ","BEST_FPERIOD_OVERRIDE=FQ","FILING_STATUS=OR","EQY_CONSOLIDATED=Y","Sort=A","Dates=H","DateFormat=P","Fill=—","Direction=H","UseDPDF=Y")</f>
        <v>#NAME?</v>
      </c>
      <c r="BT320" s="2" t="e">
        <f ca="1">_xll.BDH($C$303,"TOTAL_DEBT_SEQUENTIAL_GROWTH","FQ2 2017","FQ2 2017","Currency=INR","Period=FQ","BEST_FPERIOD_OVERRIDE=FQ","FILING_STATUS=OR","EQY_CONSOLIDATED=Y","Sort=A","Dates=H","DateFormat=P","Fill=—","Direction=H","UseDPDF=Y")</f>
        <v>#NAME?</v>
      </c>
      <c r="BU320" s="2" t="e">
        <f ca="1">_xll.BDH($C$303,"TOTAL_EQUITY_SEQUENTIAL_GROWTH","FQ2 2017","FQ2 2017","Currency=INR","Period=FQ","BEST_FPERIOD_OVERRIDE=FQ","FILING_STATUS=OR","EQY_CONSOLIDATED=Y","Sort=A","Dates=H","DateFormat=P","Fill=—","Direction=H","UseDPDF=Y")</f>
        <v>#NAME?</v>
      </c>
      <c r="BV320" s="2" t="e">
        <f ca="1">_xll.BDH($C$303,"TOTAL_CAPITAL_SEQUENTIAL_GROWTH","FQ2 2017","FQ2 2017","Currency=INR","Period=FQ","BEST_FPERIOD_OVERRIDE=FQ","FILING_STATUS=OR","EQY_CONSOLIDATED=Y","Sort=A","Dates=H","DateFormat=P","Fill=—","Direction=H","UseDPDF=Y")</f>
        <v>#NAME?</v>
      </c>
      <c r="BW320" s="2" t="e">
        <f ca="1">_xll.BDH($C$303,"BPS_SEQUENTIAL_GROWTH","FQ2 2017","FQ2 2017","Currency=INR","Period=FQ","BEST_FPERIOD_OVERRIDE=FQ","FILING_STATUS=OR","EQY_CONSOLIDATED=Y","Sort=A","Dates=H","DateFormat=P","Fill=—","Direction=H","UseDPDF=Y")</f>
        <v>#NAME?</v>
      </c>
      <c r="BX320" s="2" t="e">
        <f ca="1">_xll.BDH($C$303,"CFO_SEQUENTIAL_GROWTH","FQ2 2017","FQ2 2017","Currency=INR","Period=FQ","BEST_FPERIOD_OVERRIDE=FQ","FILING_STATUS=OR","EQY_CONSOLIDATED=Y","Sort=A","Dates=H","DateFormat=P","Fill=—","Direction=H","UseDPDF=Y")</f>
        <v>#NAME?</v>
      </c>
      <c r="BY320" s="3" t="e">
        <f ca="1">_xll.BDH($C$303,"SHORT_AND_LONG_TERM_DEBT","FQ2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320" s="3" t="e">
        <f ca="1">_xll.BDH($C$303,"BS_ST_BORROW","FQ2 2017","FQ2 2017","Currency=INR","Period=FQ","BEST_FPERIOD_OVERRIDE=FQ","FILING_STATUS=OR","EQY_CONSOLIDATED=Y","SCALING_FORMAT=MLN","Sort=A","Dates=H","DateFormat=P","Fill=—","Direction=H","UseDPDF=Y")</f>
        <v>#NAME?</v>
      </c>
      <c r="CA320" s="3" t="e">
        <f ca="1">_xll.BDH($C$303,"BS_LT_BORROW","FQ2 2017","FQ2 2017","Currency=INR","Period=FQ","BEST_FPERIOD_OVERRIDE=FQ","FILING_STATUS=OR","EQY_CONSOLIDATED=Y","SCALING_FORMAT=MLN","Sort=A","Dates=H","DateFormat=P","Fill=—","Direction=H","UseDPDF=Y")</f>
        <v>#NAME?</v>
      </c>
      <c r="CB320" s="2" t="e">
        <f ca="1">_xll.BDH($C$303,"TOT_DEBT_TO_EBITDA","FQ2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320" s="2" t="e">
        <f ca="1">_xll.BDH($C$303,"NET_DEBT_TO_EBITDA","FQ2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320" s="2" t="e">
        <f ca="1">_xll.BDH($C$303,"TOTAL_DEBT_TO_EBIT","FQ2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320" s="2" t="e">
        <f ca="1">_xll.BDH($C$303,"NET_DEBT_TO_EBIT","FQ2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320" s="2" t="e">
        <f ca="1">_xll.BDH($C$303,"EBITDA_TO_INTEREST_EXPN","FQ2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320" s="2" t="e">
        <f ca="1">_xll.BDH($C$303,"COM_EQY_TO_TOT_ASSET","FQ2 2017","FQ2 2017","Currency=INR","Period=FQ","BEST_FPERIOD_OVERRIDE=FQ","FILING_STATUS=OR","EQY_CONSOLIDATED=Y","Sort=A","Dates=H","DateFormat=P","Fill=—","Direction=H","UseDPDF=Y")</f>
        <v>#NAME?</v>
      </c>
      <c r="CH320" s="2" t="e">
        <f ca="1">_xll.BDH($C$303,"LT_DEBT_TO_TOT_EQY","FQ2 2017","FQ2 2017","Currency=INR","Period=FQ","BEST_FPERIOD_OVERRIDE=FQ","FILING_STATUS=OR","EQY_CONSOLIDATED=Y","Sort=A","Dates=H","DateFormat=P","Fill=—","Direction=H","UseDPDF=Y")</f>
        <v>#NAME?</v>
      </c>
      <c r="CI320" s="2" t="e">
        <f ca="1">_xll.BDH($C$303,"LT_DEBT_TO_TOT_CAP","FQ2 2017","FQ2 2017","Currency=INR","Period=FQ","BEST_FPERIOD_OVERRIDE=FQ","FILING_STATUS=OR","EQY_CONSOLIDATED=Y","Sort=A","Dates=H","DateFormat=P","Fill=—","Direction=H","UseDPDF=Y")</f>
        <v>#NAME?</v>
      </c>
      <c r="CJ320" s="2" t="e">
        <f ca="1">_xll.BDH($C$303,"LT_DEBT_TO_TOT_ASSET","FQ2 2017","FQ2 2017","Currency=INR","Period=FQ","BEST_FPERIOD_OVERRIDE=FQ","FILING_STATUS=OR","EQY_CONSOLIDATED=Y","Sort=A","Dates=H","DateFormat=P","Fill=—","Direction=H","UseDPDF=Y")</f>
        <v>#NAME?</v>
      </c>
      <c r="CK320" s="2" t="e">
        <f ca="1">_xll.BDH($C$303,"TOT_DEBT_TO_TOT_EQY","FQ2 2017","FQ2 2017","Currency=INR","Period=FQ","BEST_FPERIOD_OVERRIDE=FQ","FILING_STATUS=OR","EQY_CONSOLIDATED=Y","Sort=A","Dates=H","DateFormat=P","Fill=—","Direction=H","UseDPDF=Y")</f>
        <v>#NAME?</v>
      </c>
      <c r="CL320" s="2" t="e">
        <f ca="1">_xll.BDH($C$303,"TOT_DEBT_TO_TOT_CAP","FQ2 2017","FQ2 2017","Currency=INR","Period=FQ","BEST_FPERIOD_OVERRIDE=FQ","FILING_STATUS=OR","EQY_CONSOLIDATED=Y","Sort=A","Dates=H","DateFormat=P","Fill=—","Direction=H","UseDPDF=Y")</f>
        <v>#NAME?</v>
      </c>
      <c r="CM320" s="2" t="e">
        <f ca="1">_xll.BDH($C$303,"TOT_DEBT_TO_TOT_ASSET","FQ2 2017","FQ2 2017","Currency=INR","Period=FQ","BEST_FPERIOD_OVERRIDE=FQ","FILING_STATUS=OR","EQY_CONSOLIDATED=Y","Sort=A","Dates=H","DateFormat=P","Fill=—","Direction=H","UseDPDF=Y")</f>
        <v>#NAME?</v>
      </c>
      <c r="CN320" s="2" t="e">
        <f ca="1">_xll.BDH($C$303,"NET_DEBT_TO_SHRHLDR_EQTY","FQ2 2017","FQ2 2017","Currency=INR","Period=FQ","BEST_FPERIOD_OVERRIDE=FQ","FILING_STATUS=OR","EQY_CONSOLIDATED=Y","Sort=A","Dates=H","DateFormat=P","Fill=—","Direction=H","UseDPDF=Y")</f>
        <v>#NAME?</v>
      </c>
      <c r="CO320" s="2" t="e">
        <f ca="1">_xll.BDH($C$303,"NET_DEBT_%_CAPITAL","FQ2 2017","FQ2 2017","Currency=INR","Period=FQ","BEST_FPERIOD_OVERRIDE=FQ","FILING_STATUS=OR","EQY_CONSOLIDATED=Y","Sort=A","Dates=H","DateFormat=P","Fill=—","Direction=H","UseDPDF=Y")</f>
        <v>#NAME?</v>
      </c>
      <c r="CP320" s="3" t="e">
        <f ca="1">_xll.BDH($C$303,"EBITDA","FQ2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320" s="3" t="e">
        <f ca="1">_xll.BDH($C$303,"EBITDA_AFTER_CAPEX","FQ2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320" s="3" t="e">
        <f ca="1">_xll.BDH($C$303,"IS_OPER_INC","FQ2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320" s="2" t="e">
        <f ca="1">_xll.BDH($C$303,"CASH_RATIO","FQ2 2017","FQ2 2017","Currency=INR","Period=FQ","BEST_FPERIOD_OVERRIDE=FQ","FILING_STATUS=OR","EQY_CONSOLIDATED=Y","Sort=A","Dates=H","DateFormat=P","Fill=—","Direction=H","UseDPDF=Y")</f>
        <v>#NAME?</v>
      </c>
      <c r="CT320" s="2" t="e">
        <f ca="1">_xll.BDH($C$303,"CUR_RATIO","FQ2 2017","FQ2 2017","Currency=INR","Period=FQ","BEST_FPERIOD_OVERRIDE=FQ","FILING_STATUS=OR","EQY_CONSOLIDATED=Y","Sort=A","Dates=H","DateFormat=P","Fill=—","Direction=H","UseDPDF=Y")</f>
        <v>#NAME?</v>
      </c>
      <c r="CU320" s="2" t="e">
        <f ca="1">_xll.BDH($C$303,"QUICK_RATIO","FQ2 2017","FQ2 2017","Currency=INR","Period=FQ","BEST_FPERIOD_OVERRIDE=FQ","FILING_STATUS=OR","EQY_CONSOLIDATED=Y","Sort=A","Dates=H","DateFormat=P","Fill=—","Direction=H","UseDPDF=Y")</f>
        <v>#NAME?</v>
      </c>
      <c r="CV320" s="2" t="e">
        <f ca="1">_xll.BDH($C$303,"ALTMAN_Z_SCORE","FQ2 2017","FQ2 2017","Currency=INR","Period=FQ","BEST_FPERIOD_OVERRIDE=FQ","FILING_STATUS=OR","EQY_CONSOLIDATED=Y","Sort=A","Dates=H","DateFormat=P","Fill=—","Direction=H","UseDPDF=Y")</f>
        <v>#NAME?</v>
      </c>
      <c r="CW320" s="4" t="e">
        <f ca="1">_xll.BDH($C$303,"ACCT_RCV_TURN","FQ2 2017","FQ2 2017","Currency=INR","Period=FQ","BEST_FPERIOD_OVERRIDE=FQ","FILING_STATUS=OR","EQY_CONSOLIDATED=Y","FA_ADJUSTED=GAAP","Sort=A","Dates=H","DateFormat=P","Fill=—","Direction=H","UseDPDF=Y")</f>
        <v>#NAME?</v>
      </c>
      <c r="CX320" s="2" t="e">
        <f ca="1">_xll.BDH($C$303,"ACCT_RCV_DAYS","FQ2 2017","FQ2 2017","Currency=INR","Period=FQ","BEST_FPERIOD_OVERRIDE=FQ","FILING_STATUS=OR","EQY_CONSOLIDATED=Y","FA_ADJUSTED=GAAP","Sort=A","Dates=H","DateFormat=P","Fill=—","Direction=H","UseDPDF=Y")</f>
        <v>#NAME?</v>
      </c>
      <c r="CY320" s="4" t="e">
        <f ca="1">_xll.BDH($C$303,"INVENT_TURN","FQ2 2017","FQ2 2017","Currency=INR","Period=FQ","BEST_FPERIOD_OVERRIDE=FQ","FILING_STATUS=OR","EQY_CONSOLIDATED=Y","FA_ADJUSTED=GAAP","Sort=A","Dates=H","DateFormat=P","Fill=—","Direction=H","UseDPDF=Y")</f>
        <v>#NAME?</v>
      </c>
      <c r="CZ320" s="2" t="e">
        <f ca="1">_xll.BDH($C$303,"INVENT_DAYS","FQ2 2017","FQ2 2017","Currency=INR","Period=FQ","BEST_FPERIOD_OVERRIDE=FQ","FILING_STATUS=OR","EQY_CONSOLIDATED=Y","FA_ADJUSTED=GAAP","Sort=A","Dates=H","DateFormat=P","Fill=—","Direction=H","UseDPDF=Y")</f>
        <v>#NAME?</v>
      </c>
      <c r="DA320" s="4" t="e">
        <f ca="1">_xll.BDH($C$303,"ACCOUNTS_PAYABLE_TURNOVER","FQ2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320" s="2" t="e">
        <f ca="1">_xll.BDH($C$303,"ACCOUNTS_PAYABLE_TURNOVER_DAYS","FQ2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320" s="4" t="e">
        <f ca="1">_xll.BDH($C$303,"CASH_CONVERSION_CYCLE","FQ2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320" s="4" t="e">
        <f ca="1">_xll.BDH($C$303,"INV_TO_CASH_DAYS","FQ2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320" s="5" t="e">
        <f ca="1">_xll.BDH($C$303,"BS_INVENTORIES","FQ2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320" s="3" t="e">
        <f ca="1">_xll.BDH($C$303,"INVTRY_RAW_MATERIALS","FQ2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320" s="3" t="e">
        <f ca="1">_xll.BDH($C$303,"INVTRY_IN_PROGRESS","FQ2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320" s="3" t="e">
        <f ca="1">_xll.BDH($C$303,"INVTRY_FINISHED_GOODS","FQ2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320" s="3" t="e">
        <f ca="1">_xll.BDH($C$303,"BS_OTHER_INV","FQ2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321" spans="1:113" x14ac:dyDescent="0.3">
      <c r="A321" s="6"/>
      <c r="B321" s="6"/>
      <c r="C321" s="6"/>
      <c r="D321" s="6"/>
      <c r="E321" t="s">
        <v>80</v>
      </c>
      <c r="F321" t="e">
        <f ca="1">_xll.BDH($C$303,"RETURN_COM_EQY","FQ3 2017","FQ3 2017","Currency=INR","Period=FQ","BEST_FPERIOD_OVERRIDE=FQ","FILING_STATUS=OR","EQY_CONSOLIDATED=Y","FA_ADJUSTED=GAAP","Sort=A","Dates=H","DateFormat=P","Fill=—","Direction=H","UseDPDF=Y")</f>
        <v>#NAME?</v>
      </c>
      <c r="G321" t="e">
        <f ca="1">_xll.BDH($C$303,"RETURN_ON_ASSET","FQ3 2017","FQ3 2017","Currency=INR","Period=FQ","BEST_FPERIOD_OVERRIDE=FQ","FILING_STATUS=OR","EQY_CONSOLIDATED=Y","FA_ADJUSTED=GAAP","Sort=A","Dates=H","DateFormat=P","Fill=—","Direction=H","UseDPDF=Y")</f>
        <v>#NAME?</v>
      </c>
      <c r="H321" t="e">
        <f ca="1">_xll.BDH($C$303,"RETURN_ON_CAP","FQ3 2017","FQ3 2017","Currency=INR","Period=FQ","BEST_FPERIOD_OVERRIDE=FQ","FILING_STATUS=OR","EQY_CONSOLIDATED=Y","FA_ADJUSTED=GAAP","Sort=A","Dates=H","DateFormat=P","Fill=—","Direction=H","UseDPDF=Y")</f>
        <v>#NAME?</v>
      </c>
      <c r="I321" t="e">
        <f ca="1">_xll.BDH($C$303,"RETURN_ON_INV_CAPITAL","FQ3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321" t="e">
        <f ca="1">_xll.BDH($C$303,"EBITDA_TO_REVENUE","FQ3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321" t="e">
        <f ca="1">_xll.BDH($C$303,"OPER_MARGIN","FQ3 2017","FQ3 2017","Currency=INR","Period=FQ","BEST_FPERIOD_OVERRIDE=FQ","FILING_STATUS=OR","EQY_CONSOLIDATED=Y","FA_ADJUSTED=GAAP","Sort=A","Dates=H","DateFormat=P","Fill=—","Direction=H","UseDPDF=Y")</f>
        <v>#NAME?</v>
      </c>
      <c r="L321" t="e">
        <f ca="1">_xll.BDH($C$303,"INCREMENTAL_OPERATING_MARGIN","FQ3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321" t="e">
        <f ca="1">_xll.BDH($C$303,"PRETAX_INC_TO_NET_SALES","FQ3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321" t="e">
        <f ca="1">_xll.BDH($C$303,"INC_BEF_XO_ITEMS_TO_NET_SALES","FQ3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321" t="e">
        <f ca="1">_xll.BDH($C$303,"PROF_MARGIN","FQ3 2017","FQ3 2017","Currency=INR","Period=FQ","BEST_FPERIOD_OVERRIDE=FQ","FILING_STATUS=OR","EQY_CONSOLIDATED=Y","FA_ADJUSTED=GAAP","Sort=A","Dates=H","DateFormat=P","Fill=—","Direction=H","UseDPDF=Y")</f>
        <v>#NAME?</v>
      </c>
      <c r="P321" t="e">
        <f ca="1">_xll.BDH($C$303,"NET_INCOME_TO_COMMON_MARGIN","FQ3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321" t="e">
        <f ca="1">_xll.BDH($C$303,"EFF_TAX_RATE","FQ3 2017","FQ3 2017","Currency=INR","Period=FQ","BEST_FPERIOD_OVERRIDE=FQ","FILING_STATUS=OR","EQY_CONSOLIDATED=Y","FA_ADJUSTED=GAAP","Sort=A","Dates=H","DateFormat=P","Fill=—","Direction=H","UseDPDF=Y")</f>
        <v>#NAME?</v>
      </c>
      <c r="R321" t="e">
        <f ca="1">_xll.BDH($C$303,"DVD_PAYOUT_RATIO","FQ3 2017","FQ3 2017","Currency=INR","Period=FQ","BEST_FPERIOD_OVERRIDE=FQ","FILING_STATUS=OR","EQY_CONSOLIDATED=Y","FA_ADJUSTED=GAAP","Sort=A","Dates=H","DateFormat=P","Fill=—","Direction=H","UseDPDF=Y")</f>
        <v>#NAME?</v>
      </c>
      <c r="S321" t="e">
        <f ca="1">_xll.BDH($C$303,"SUSTAIN_GROWTH_RT","FQ3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321" s="2" t="e">
        <f ca="1">_xll.BDH($C$303,"SALES_GROWTH","FQ3 2017","FQ3 2017","Currency=INR","Period=FQ","BEST_FPERIOD_OVERRIDE=FQ","FILING_STATUS=OR","EQY_CONSOLIDATED=Y","FA_ADJUSTED=GAAP","Sort=A","Dates=H","DateFormat=P","Fill=—","Direction=H","UseDPDF=Y")</f>
        <v>#NAME?</v>
      </c>
      <c r="U321" s="2" t="e">
        <f ca="1">_xll.BDH($C$303,"EBITDA_GROWTH","FQ3 2017","FQ3 2017","Currency=INR","Period=FQ","BEST_FPERIOD_OVERRIDE=FQ","FILING_STATUS=OR","EQY_CONSOLIDATED=Y","FA_ADJUSTED=GAAP","Sort=A","Dates=H","DateFormat=P","Fill=—","Direction=H","UseDPDF=Y")</f>
        <v>#NAME?</v>
      </c>
      <c r="V321" s="2" t="e">
        <f ca="1">_xll.BDH($C$303,"OPER_INC_GROWTH","FQ3 2017","FQ3 2017","Currency=INR","Period=FQ","BEST_FPERIOD_OVERRIDE=FQ","FILING_STATUS=OR","EQY_CONSOLIDATED=Y","FA_ADJUSTED=GAAP","Sort=A","Dates=H","DateFormat=P","Fill=—","Direction=H","UseDPDF=Y")</f>
        <v>#NAME?</v>
      </c>
      <c r="W321" s="2" t="e">
        <f ca="1">_xll.BDH($C$303,"EARN_FOR_COM_GROWTH","FQ3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321" s="2" t="e">
        <f ca="1">_xll.BDH($C$303,"DILUTED_EPS_AFT_XO_ITEMS_GROWTH","FQ3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321" s="2" t="e">
        <f ca="1">_xll.BDH($C$303,"DIVIDEND_PER_SHARE_1_YEAR_GROWTH","FQ3 2017","FQ3 2017","Currency=INR","Period=FQ","BEST_FPERIOD_OVERRIDE=FQ","FILING_STATUS=OR","EQY_CONSOLIDATED=Y","Sort=A","Dates=H","DateFormat=P","Fill=—","Direction=H","UseDPDF=Y")</f>
        <v>#NAME?</v>
      </c>
      <c r="Z321" s="2" t="e">
        <f ca="1">_xll.BDH($C$303,"ACCOUNTS_RECEIVABLE_GROWTH","FQ3 2017","FQ3 2017","Currency=INR","Period=FQ","BEST_FPERIOD_OVERRIDE=FQ","FILING_STATUS=OR","EQY_CONSOLIDATED=Y","Sort=A","Dates=H","DateFormat=P","Fill=—","Direction=H","UseDPDF=Y")</f>
        <v>#NAME?</v>
      </c>
      <c r="AA321" s="2" t="e">
        <f ca="1">_xll.BDH($C$303,"INVENTORY_GROWTH","FQ3 2017","FQ3 2017","Currency=INR","Period=FQ","BEST_FPERIOD_OVERRIDE=FQ","FILING_STATUS=OR","EQY_CONSOLIDATED=Y","Sort=A","Dates=H","DateFormat=P","Fill=—","Direction=H","UseDPDF=Y")</f>
        <v>#NAME?</v>
      </c>
      <c r="AB321" s="2" t="e">
        <f ca="1">_xll.BDH($C$303,"NET_FIXED_ASSETS_1_YEAR_GROWTH","FQ3 2017","FQ3 2017","Currency=INR","Period=FQ","BEST_FPERIOD_OVERRIDE=FQ","FILING_STATUS=OR","EQY_CONSOLIDATED=Y","Sort=A","Dates=H","DateFormat=P","Fill=—","Direction=H","UseDPDF=Y")</f>
        <v>#NAME?</v>
      </c>
      <c r="AC321" s="2" t="e">
        <f ca="1">_xll.BDH($C$303,"ASSET_GROWTH","FQ3 2017","FQ3 2017","Currency=INR","Period=FQ","BEST_FPERIOD_OVERRIDE=FQ","FILING_STATUS=OR","EQY_CONSOLIDATED=Y","Sort=A","Dates=H","DateFormat=P","Fill=—","Direction=H","UseDPDF=Y")</f>
        <v>#NAME?</v>
      </c>
      <c r="AD321" s="2" t="e">
        <f ca="1">_xll.BDH($C$303,"MODIFIED_WORK_CAP_GROWTH","FQ3 2017","FQ3 2017","Currency=INR","Period=FQ","BEST_FPERIOD_OVERRIDE=FQ","FILING_STATUS=OR","EQY_CONSOLIDATED=Y","Sort=A","Dates=H","DateFormat=P","Fill=—","Direction=H","UseDPDF=Y")</f>
        <v>#NAME?</v>
      </c>
      <c r="AE321" s="2" t="e">
        <f ca="1">_xll.BDH($C$303,"WORK_CAP_GROWTH","FQ3 2017","FQ3 2017","Currency=INR","Period=FQ","BEST_FPERIOD_OVERRIDE=FQ","FILING_STATUS=OR","EQY_CONSOLIDATED=Y","Sort=A","Dates=H","DateFormat=P","Fill=—","Direction=H","UseDPDF=Y")</f>
        <v>#NAME?</v>
      </c>
      <c r="AF321" s="2" t="e">
        <f ca="1">_xll.BDH($C$303,"ACCOUNTS_PAYABLE_GROWTH_1YR","FQ3 2017","FQ3 2017","Currency=INR","Period=FQ","BEST_FPERIOD_OVERRIDE=FQ","FILING_STATUS=OR","EQY_CONSOLIDATED=Y","Sort=A","Dates=H","DateFormat=P","Fill=—","Direction=H","UseDPDF=Y")</f>
        <v>#NAME?</v>
      </c>
      <c r="AG321" s="2" t="e">
        <f ca="1">_xll.BDH($C$303,"SHORT_TERM_DEBT_1_YEAR_GROWTH","FQ3 2017","FQ3 2017","Currency=INR","Period=FQ","BEST_FPERIOD_OVERRIDE=FQ","FILING_STATUS=OR","EQY_CONSOLIDATED=Y","Sort=A","Dates=H","DateFormat=P","Fill=—","Direction=H","UseDPDF=Y")</f>
        <v>#NAME?</v>
      </c>
      <c r="AH321" s="2" t="e">
        <f ca="1">_xll.BDH($C$303,"TOTAL_DEBT_1_YEAR_GROWTH","FQ3 2017","FQ3 2017","Currency=INR","Period=FQ","BEST_FPERIOD_OVERRIDE=FQ","FILING_STATUS=OR","EQY_CONSOLIDATED=Y","Sort=A","Dates=H","DateFormat=P","Fill=—","Direction=H","UseDPDF=Y")</f>
        <v>#NAME?</v>
      </c>
      <c r="AI321" s="2" t="e">
        <f ca="1">_xll.BDH($C$303,"TOTAL_EQUITY_1_YEAR_GROWTH","FQ3 2017","FQ3 2017","Currency=INR","Period=FQ","BEST_FPERIOD_OVERRIDE=FQ","FILING_STATUS=OR","EQY_CONSOLIDATED=Y","Sort=A","Dates=H","DateFormat=P","Fill=—","Direction=H","UseDPDF=Y")</f>
        <v>#NAME?</v>
      </c>
      <c r="AJ321" s="2" t="e">
        <f ca="1">_xll.BDH($C$303,"GROWTH_IN_CAP","FQ3 2017","FQ3 2017","Currency=INR","Period=FQ","BEST_FPERIOD_OVERRIDE=FQ","FILING_STATUS=OR","EQY_CONSOLIDATED=Y","Sort=A","Dates=H","DateFormat=P","Fill=—","Direction=H","UseDPDF=Y")</f>
        <v>#NAME?</v>
      </c>
      <c r="AK321" s="2" t="e">
        <f ca="1">_xll.BDH($C$303,"BVPS_GROWTH","FQ3 2017","FQ3 2017","Currency=INR","Period=FQ","BEST_FPERIOD_OVERRIDE=FQ","FILING_STATUS=OR","EQY_CONSOLIDATED=Y","Sort=A","Dates=H","DateFormat=P","Fill=—","Direction=H","UseDPDF=Y")</f>
        <v>#NAME?</v>
      </c>
      <c r="AL321" s="2" t="e">
        <f ca="1">_xll.BDH($C$303,"CASH_FLOW_GROWTH","FQ3 2017","FQ3 2017","Currency=INR","Period=FQ","BEST_FPERIOD_OVERRIDE=FQ","FILING_STATUS=OR","EQY_CONSOLIDATED=Y","Sort=A","Dates=H","DateFormat=P","Fill=—","Direction=H","UseDPDF=Y")</f>
        <v>#NAME?</v>
      </c>
      <c r="AM321" s="2" t="e">
        <f ca="1">_xll.BDH($C$303,"GEO_GROW_NET_SALES","FQ3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321" s="2" t="e">
        <f ca="1">_xll.BDH($C$303,"GEO_GROW_EBITDA","FQ3 2017","FQ3 2017","Currency=INR","Period=FQ","BEST_FPERIOD_OVERRIDE=FQ","FILING_STATUS=OR","EQY_CONSOLIDATED=Y","FA_ADJUSTED=GAAP","Sort=A","Dates=H","DateFormat=P","Fill=—","Direction=H","UseDPDF=Y")</f>
        <v>#NAME?</v>
      </c>
      <c r="AO321" s="2" t="e">
        <f ca="1">_xll.BDH($C$303,"GEO_GROW_OPER_INC","FQ3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321" s="2" t="e">
        <f ca="1">_xll.BDH($C$303,"NET_INCOME_TO_COMMON_5_YR_GROWTH","FQ3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321" s="2" t="e">
        <f ca="1">_xll.BDH($C$303,"5Y_GEO_GROWTH_DILUTED_EPS","FQ3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321" s="2" t="e">
        <f ca="1">_xll.BDH($C$303,"GEO_GROW_DVD_PER_SH","FQ3 2017","FQ3 2017","Currency=INR","Period=FQ","BEST_FPERIOD_OVERRIDE=FQ","FILING_STATUS=OR","EQY_CONSOLIDATED=Y","Sort=A","Dates=H","DateFormat=P","Fill=—","Direction=H","UseDPDF=Y")</f>
        <v>#NAME?</v>
      </c>
      <c r="AS321" s="2" t="e">
        <f ca="1">_xll.BDH($C$303,"ACCOUNTS_RECEIVABLE_5_YR_GROWTH","FQ3 2017","FQ3 2017","Currency=INR","Period=FQ","BEST_FPERIOD_OVERRIDE=FQ","FILING_STATUS=OR","EQY_CONSOLIDATED=Y","Sort=A","Dates=H","DateFormat=P","Fill=—","Direction=H","UseDPDF=Y")</f>
        <v>#NAME?</v>
      </c>
      <c r="AT321" s="2" t="e">
        <f ca="1">_xll.BDH($C$303,"INVENTORY_5_YEAR_GROWTH","FQ3 2017","FQ3 2017","Currency=INR","Period=FQ","BEST_FPERIOD_OVERRIDE=FQ","FILING_STATUS=OR","EQY_CONSOLIDATED=Y","Sort=A","Dates=H","DateFormat=P","Fill=—","Direction=H","UseDPDF=Y")</f>
        <v>#NAME?</v>
      </c>
      <c r="AU321" s="2" t="e">
        <f ca="1">_xll.BDH($C$303,"NET_FIXED_ASSETS_5_YEAR_GROWTH","FQ3 2017","FQ3 2017","Currency=INR","Period=FQ","BEST_FPERIOD_OVERRIDE=FQ","FILING_STATUS=OR","EQY_CONSOLIDATED=Y","Sort=A","Dates=H","DateFormat=P","Fill=—","Direction=H","UseDPDF=Y")</f>
        <v>#NAME?</v>
      </c>
      <c r="AV321" s="2" t="e">
        <f ca="1">_xll.BDH($C$303,"GEO_GROW_TOT_ASSET","FQ3 2017","FQ3 2017","Currency=INR","Period=FQ","BEST_FPERIOD_OVERRIDE=FQ","FILING_STATUS=OR","EQY_CONSOLIDATED=Y","Sort=A","Dates=H","DateFormat=P","Fill=—","Direction=H","UseDPDF=Y")</f>
        <v>#NAME?</v>
      </c>
      <c r="AW321" s="2" t="e">
        <f ca="1">_xll.BDH($C$303,"MODIFIED_WORKING_CPTL_5YR_GRWTH","FQ3 2017","FQ3 2017","Currency=INR","Period=FQ","BEST_FPERIOD_OVERRIDE=FQ","FILING_STATUS=OR","EQY_CONSOLIDATED=Y","Sort=A","Dates=H","DateFormat=P","Fill=—","Direction=H","UseDPDF=Y")</f>
        <v>#NAME?</v>
      </c>
      <c r="AX321" s="2" t="e">
        <f ca="1">_xll.BDH($C$303,"WORKING_CAPITAL_5_YEAR_GROWTH","FQ3 2017","FQ3 2017","Currency=INR","Period=FQ","BEST_FPERIOD_OVERRIDE=FQ","FILING_STATUS=OR","EQY_CONSOLIDATED=Y","Sort=A","Dates=H","DateFormat=P","Fill=—","Direction=H","UseDPDF=Y")</f>
        <v>#NAME?</v>
      </c>
      <c r="AY321" s="2" t="e">
        <f ca="1">_xll.BDH($C$303,"ACCOUNTS_PAYABLE_5_YEAR_GROWTH","FQ3 2017","FQ3 2017","Currency=INR","Period=FQ","BEST_FPERIOD_OVERRIDE=FQ","FILING_STATUS=OR","EQY_CONSOLIDATED=Y","Sort=A","Dates=H","DateFormat=P","Fill=—","Direction=H","UseDPDF=Y")</f>
        <v>#NAME?</v>
      </c>
      <c r="AZ321" s="2" t="e">
        <f ca="1">_xll.BDH($C$303,"SHORT_TERM_DEBT_5_YEAR_GROWTH","FQ3 2017","FQ3 2017","Currency=INR","Period=FQ","BEST_FPERIOD_OVERRIDE=FQ","FILING_STATUS=OR","EQY_CONSOLIDATED=Y","Sort=A","Dates=H","DateFormat=P","Fill=—","Direction=H","UseDPDF=Y")</f>
        <v>#NAME?</v>
      </c>
      <c r="BA321" s="2" t="e">
        <f ca="1">_xll.BDH($C$303,"TOTAL_DEBT_5_YEAR_GROWTH","FQ3 2017","FQ3 2017","Currency=INR","Period=FQ","BEST_FPERIOD_OVERRIDE=FQ","FILING_STATUS=OR","EQY_CONSOLIDATED=Y","Sort=A","Dates=H","DateFormat=P","Fill=—","Direction=H","UseDPDF=Y")</f>
        <v>#NAME?</v>
      </c>
      <c r="BB321" s="2" t="e">
        <f ca="1">_xll.BDH($C$303,"GEO_GROW_TOT_SHRHLDR_EQY","FQ3 2017","FQ3 2017","Currency=INR","Period=FQ","BEST_FPERIOD_OVERRIDE=FQ","FILING_STATUS=OR","EQY_CONSOLIDATED=Y","Sort=A","Dates=H","DateFormat=P","Fill=—","Direction=H","UseDPDF=Y")</f>
        <v>#NAME?</v>
      </c>
      <c r="BC321" s="2" t="e">
        <f ca="1">_xll.BDH($C$303,"TOTAL_CAPITAL_5_YEAR_GROWTH","FQ3 2017","FQ3 2017","Currency=INR","Period=FQ","BEST_FPERIOD_OVERRIDE=FQ","FILING_STATUS=OR","EQY_CONSOLIDATED=Y","Sort=A","Dates=H","DateFormat=P","Fill=—","Direction=H","UseDPDF=Y")</f>
        <v>#NAME?</v>
      </c>
      <c r="BD321" s="2" t="e">
        <f ca="1">_xll.BDH($C$303,"GEO_GROW_BOOK_VAL","FQ3 2017","FQ3 2017","Currency=INR","Period=FQ","BEST_FPERIOD_OVERRIDE=FQ","FILING_STATUS=OR","EQY_CONSOLIDATED=Y","Sort=A","Dates=H","DateFormat=P","Fill=—","Direction=H","UseDPDF=Y")</f>
        <v>#NAME?</v>
      </c>
      <c r="BE321" s="2" t="e">
        <f ca="1">_xll.BDH($C$303,"GEO_GROW_CASH_OPER_ACT","FQ3 2017","FQ3 2017","Currency=INR","Period=FQ","BEST_FPERIOD_OVERRIDE=FQ","FILING_STATUS=OR","EQY_CONSOLIDATED=Y","Sort=A","Dates=H","DateFormat=P","Fill=—","Direction=H","UseDPDF=Y")</f>
        <v>#NAME?</v>
      </c>
      <c r="BF321" s="2" t="e">
        <f ca="1">_xll.BDH($C$303,"REVENUE_SEQUENTIAL_GROWTH","FQ3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321" s="2" t="e">
        <f ca="1">_xll.BDH($C$303,"EBITDA_SEQUENTIAL_GROWTH","FQ3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321" s="2" t="e">
        <f ca="1">_xll.BDH($C$303,"OPERATING_INCOME_SEQ_GROWTH","FQ3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321" s="2" t="e">
        <f ca="1">_xll.BDH($C$303,"NET_INCOME_TO_COMMON_SEQ_GROWTH","FQ3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321" s="2" t="e">
        <f ca="1">_xll.BDH($C$303,"EPS_DILUTED_SEQUENTIAL_GROWTH","FQ3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321" s="2" t="e">
        <f ca="1">_xll.BDH($C$303,"DPS_SEQUENTIAL_GROWTH","FQ3 2017","FQ3 2017","Currency=INR","Period=FQ","BEST_FPERIOD_OVERRIDE=FQ","FILING_STATUS=OR","EQY_CONSOLIDATED=Y","Sort=A","Dates=H","DateFormat=P","Fill=—","Direction=H","UseDPDF=Y")</f>
        <v>#NAME?</v>
      </c>
      <c r="BL321" s="2" t="e">
        <f ca="1">_xll.BDH($C$303,"ACCOUNTS_RECEIVABLE_SEQ_GROWTH","FQ3 2017","FQ3 2017","Currency=INR","Period=FQ","BEST_FPERIOD_OVERRIDE=FQ","FILING_STATUS=OR","EQY_CONSOLIDATED=Y","Sort=A","Dates=H","DateFormat=P","Fill=—","Direction=H","UseDPDF=Y")</f>
        <v>#NAME?</v>
      </c>
      <c r="BM321" s="2" t="e">
        <f ca="1">_xll.BDH($C$303,"INVENTORY_SEQUENTIAL_GROWTH","FQ3 2017","FQ3 2017","Currency=INR","Period=FQ","BEST_FPERIOD_OVERRIDE=FQ","FILING_STATUS=OR","EQY_CONSOLIDATED=Y","Sort=A","Dates=H","DateFormat=P","Fill=—","Direction=H","UseDPDF=Y")</f>
        <v>#NAME?</v>
      </c>
      <c r="BN321" s="2" t="e">
        <f ca="1">_xll.BDH($C$303,"FIXED_ASSETS_SEQUENTIAL_GROWTH","FQ3 2017","FQ3 2017","Currency=INR","Period=FQ","BEST_FPERIOD_OVERRIDE=FQ","FILING_STATUS=OR","EQY_CONSOLIDATED=Y","Sort=A","Dates=H","DateFormat=P","Fill=—","Direction=H","UseDPDF=Y")</f>
        <v>#NAME?</v>
      </c>
      <c r="BO321" s="2" t="e">
        <f ca="1">_xll.BDH($C$303,"TOTAL_ASSETS_SEQUENTIAL_GROWTH","FQ3 2017","FQ3 2017","Currency=INR","Period=FQ","BEST_FPERIOD_OVERRIDE=FQ","FILING_STATUS=OR","EQY_CONSOLIDATED=Y","Sort=A","Dates=H","DateFormat=P","Fill=—","Direction=H","UseDPDF=Y")</f>
        <v>#NAME?</v>
      </c>
      <c r="BP321" s="2" t="e">
        <f ca="1">_xll.BDH($C$303,"MODIFIED_WORKING_CPTL_SEQ_GRWTH","FQ3 2017","FQ3 2017","Currency=INR","Period=FQ","BEST_FPERIOD_OVERRIDE=FQ","FILING_STATUS=OR","EQY_CONSOLIDATED=Y","Sort=A","Dates=H","DateFormat=P","Fill=—","Direction=H","UseDPDF=Y")</f>
        <v>#NAME?</v>
      </c>
      <c r="BQ321" s="2" t="e">
        <f ca="1">_xll.BDH($C$303,"WORKING_CAPITAL_SEQ_GROWTH","FQ3 2017","FQ3 2017","Currency=INR","Period=FQ","BEST_FPERIOD_OVERRIDE=FQ","FILING_STATUS=OR","EQY_CONSOLIDATED=Y","Sort=A","Dates=H","DateFormat=P","Fill=—","Direction=H","UseDPDF=Y")</f>
        <v>#NAME?</v>
      </c>
      <c r="BR321" s="2" t="e">
        <f ca="1">_xll.BDH($C$303,"ACCOUNTS_PAYABLE_SEQ_GROWTH","FQ3 2017","FQ3 2017","Currency=INR","Period=FQ","BEST_FPERIOD_OVERRIDE=FQ","FILING_STATUS=OR","EQY_CONSOLIDATED=Y","Sort=A","Dates=H","DateFormat=P","Fill=—","Direction=H","UseDPDF=Y")</f>
        <v>#NAME?</v>
      </c>
      <c r="BS321" s="2" t="e">
        <f ca="1">_xll.BDH($C$303,"ST_DEBT_SEQUENTIAL_GROWTH","FQ3 2017","FQ3 2017","Currency=INR","Period=FQ","BEST_FPERIOD_OVERRIDE=FQ","FILING_STATUS=OR","EQY_CONSOLIDATED=Y","Sort=A","Dates=H","DateFormat=P","Fill=—","Direction=H","UseDPDF=Y")</f>
        <v>#NAME?</v>
      </c>
      <c r="BT321" s="2" t="e">
        <f ca="1">_xll.BDH($C$303,"TOTAL_DEBT_SEQUENTIAL_GROWTH","FQ3 2017","FQ3 2017","Currency=INR","Period=FQ","BEST_FPERIOD_OVERRIDE=FQ","FILING_STATUS=OR","EQY_CONSOLIDATED=Y","Sort=A","Dates=H","DateFormat=P","Fill=—","Direction=H","UseDPDF=Y")</f>
        <v>#NAME?</v>
      </c>
      <c r="BU321" s="2" t="e">
        <f ca="1">_xll.BDH($C$303,"TOTAL_EQUITY_SEQUENTIAL_GROWTH","FQ3 2017","FQ3 2017","Currency=INR","Period=FQ","BEST_FPERIOD_OVERRIDE=FQ","FILING_STATUS=OR","EQY_CONSOLIDATED=Y","Sort=A","Dates=H","DateFormat=P","Fill=—","Direction=H","UseDPDF=Y")</f>
        <v>#NAME?</v>
      </c>
      <c r="BV321" s="2" t="e">
        <f ca="1">_xll.BDH($C$303,"TOTAL_CAPITAL_SEQUENTIAL_GROWTH","FQ3 2017","FQ3 2017","Currency=INR","Period=FQ","BEST_FPERIOD_OVERRIDE=FQ","FILING_STATUS=OR","EQY_CONSOLIDATED=Y","Sort=A","Dates=H","DateFormat=P","Fill=—","Direction=H","UseDPDF=Y")</f>
        <v>#NAME?</v>
      </c>
      <c r="BW321" s="2" t="e">
        <f ca="1">_xll.BDH($C$303,"BPS_SEQUENTIAL_GROWTH","FQ3 2017","FQ3 2017","Currency=INR","Period=FQ","BEST_FPERIOD_OVERRIDE=FQ","FILING_STATUS=OR","EQY_CONSOLIDATED=Y","Sort=A","Dates=H","DateFormat=P","Fill=—","Direction=H","UseDPDF=Y")</f>
        <v>#NAME?</v>
      </c>
      <c r="BX321" s="2" t="e">
        <f ca="1">_xll.BDH($C$303,"CFO_SEQUENTIAL_GROWTH","FQ3 2017","FQ3 2017","Currency=INR","Period=FQ","BEST_FPERIOD_OVERRIDE=FQ","FILING_STATUS=OR","EQY_CONSOLIDATED=Y","Sort=A","Dates=H","DateFormat=P","Fill=—","Direction=H","UseDPDF=Y")</f>
        <v>#NAME?</v>
      </c>
      <c r="BY321" s="3" t="e">
        <f ca="1">_xll.BDH($C$303,"SHORT_AND_LONG_TERM_DEBT","FQ3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321" s="3" t="e">
        <f ca="1">_xll.BDH($C$303,"BS_ST_BORROW","FQ3 2017","FQ3 2017","Currency=INR","Period=FQ","BEST_FPERIOD_OVERRIDE=FQ","FILING_STATUS=OR","EQY_CONSOLIDATED=Y","SCALING_FORMAT=MLN","Sort=A","Dates=H","DateFormat=P","Fill=—","Direction=H","UseDPDF=Y")</f>
        <v>#NAME?</v>
      </c>
      <c r="CA321" s="3" t="e">
        <f ca="1">_xll.BDH($C$303,"BS_LT_BORROW","FQ3 2017","FQ3 2017","Currency=INR","Period=FQ","BEST_FPERIOD_OVERRIDE=FQ","FILING_STATUS=OR","EQY_CONSOLIDATED=Y","SCALING_FORMAT=MLN","Sort=A","Dates=H","DateFormat=P","Fill=—","Direction=H","UseDPDF=Y")</f>
        <v>#NAME?</v>
      </c>
      <c r="CB321" s="2" t="e">
        <f ca="1">_xll.BDH($C$303,"TOT_DEBT_TO_EBITDA","FQ3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321" s="2" t="e">
        <f ca="1">_xll.BDH($C$303,"NET_DEBT_TO_EBITDA","FQ3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321" s="2" t="e">
        <f ca="1">_xll.BDH($C$303,"TOTAL_DEBT_TO_EBIT","FQ3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321" s="2" t="e">
        <f ca="1">_xll.BDH($C$303,"NET_DEBT_TO_EBIT","FQ3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321" s="2" t="e">
        <f ca="1">_xll.BDH($C$303,"EBITDA_TO_INTEREST_EXPN","FQ3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321" s="2" t="e">
        <f ca="1">_xll.BDH($C$303,"COM_EQY_TO_TOT_ASSET","FQ3 2017","FQ3 2017","Currency=INR","Period=FQ","BEST_FPERIOD_OVERRIDE=FQ","FILING_STATUS=OR","EQY_CONSOLIDATED=Y","Sort=A","Dates=H","DateFormat=P","Fill=—","Direction=H","UseDPDF=Y")</f>
        <v>#NAME?</v>
      </c>
      <c r="CH321" s="2" t="e">
        <f ca="1">_xll.BDH($C$303,"LT_DEBT_TO_TOT_EQY","FQ3 2017","FQ3 2017","Currency=INR","Period=FQ","BEST_FPERIOD_OVERRIDE=FQ","FILING_STATUS=OR","EQY_CONSOLIDATED=Y","Sort=A","Dates=H","DateFormat=P","Fill=—","Direction=H","UseDPDF=Y")</f>
        <v>#NAME?</v>
      </c>
      <c r="CI321" s="2" t="e">
        <f ca="1">_xll.BDH($C$303,"LT_DEBT_TO_TOT_CAP","FQ3 2017","FQ3 2017","Currency=INR","Period=FQ","BEST_FPERIOD_OVERRIDE=FQ","FILING_STATUS=OR","EQY_CONSOLIDATED=Y","Sort=A","Dates=H","DateFormat=P","Fill=—","Direction=H","UseDPDF=Y")</f>
        <v>#NAME?</v>
      </c>
      <c r="CJ321" s="2" t="e">
        <f ca="1">_xll.BDH($C$303,"LT_DEBT_TO_TOT_ASSET","FQ3 2017","FQ3 2017","Currency=INR","Period=FQ","BEST_FPERIOD_OVERRIDE=FQ","FILING_STATUS=OR","EQY_CONSOLIDATED=Y","Sort=A","Dates=H","DateFormat=P","Fill=—","Direction=H","UseDPDF=Y")</f>
        <v>#NAME?</v>
      </c>
      <c r="CK321" s="2" t="e">
        <f ca="1">_xll.BDH($C$303,"TOT_DEBT_TO_TOT_EQY","FQ3 2017","FQ3 2017","Currency=INR","Period=FQ","BEST_FPERIOD_OVERRIDE=FQ","FILING_STATUS=OR","EQY_CONSOLIDATED=Y","Sort=A","Dates=H","DateFormat=P","Fill=—","Direction=H","UseDPDF=Y")</f>
        <v>#NAME?</v>
      </c>
      <c r="CL321" s="2" t="e">
        <f ca="1">_xll.BDH($C$303,"TOT_DEBT_TO_TOT_CAP","FQ3 2017","FQ3 2017","Currency=INR","Period=FQ","BEST_FPERIOD_OVERRIDE=FQ","FILING_STATUS=OR","EQY_CONSOLIDATED=Y","Sort=A","Dates=H","DateFormat=P","Fill=—","Direction=H","UseDPDF=Y")</f>
        <v>#NAME?</v>
      </c>
      <c r="CM321" s="2" t="e">
        <f ca="1">_xll.BDH($C$303,"TOT_DEBT_TO_TOT_ASSET","FQ3 2017","FQ3 2017","Currency=INR","Period=FQ","BEST_FPERIOD_OVERRIDE=FQ","FILING_STATUS=OR","EQY_CONSOLIDATED=Y","Sort=A","Dates=H","DateFormat=P","Fill=—","Direction=H","UseDPDF=Y")</f>
        <v>#NAME?</v>
      </c>
      <c r="CN321" s="2" t="e">
        <f ca="1">_xll.BDH($C$303,"NET_DEBT_TO_SHRHLDR_EQTY","FQ3 2017","FQ3 2017","Currency=INR","Period=FQ","BEST_FPERIOD_OVERRIDE=FQ","FILING_STATUS=OR","EQY_CONSOLIDATED=Y","Sort=A","Dates=H","DateFormat=P","Fill=—","Direction=H","UseDPDF=Y")</f>
        <v>#NAME?</v>
      </c>
      <c r="CO321" s="2" t="e">
        <f ca="1">_xll.BDH($C$303,"NET_DEBT_%_CAPITAL","FQ3 2017","FQ3 2017","Currency=INR","Period=FQ","BEST_FPERIOD_OVERRIDE=FQ","FILING_STATUS=OR","EQY_CONSOLIDATED=Y","Sort=A","Dates=H","DateFormat=P","Fill=—","Direction=H","UseDPDF=Y")</f>
        <v>#NAME?</v>
      </c>
      <c r="CP321" s="3" t="e">
        <f ca="1">_xll.BDH($C$303,"EBITDA","FQ3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321" s="3" t="e">
        <f ca="1">_xll.BDH($C$303,"EBITDA_AFTER_CAPEX","FQ3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321" s="3" t="e">
        <f ca="1">_xll.BDH($C$303,"IS_OPER_INC","FQ3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321" s="2" t="e">
        <f ca="1">_xll.BDH($C$303,"CASH_RATIO","FQ3 2017","FQ3 2017","Currency=INR","Period=FQ","BEST_FPERIOD_OVERRIDE=FQ","FILING_STATUS=OR","EQY_CONSOLIDATED=Y","Sort=A","Dates=H","DateFormat=P","Fill=—","Direction=H","UseDPDF=Y")</f>
        <v>#NAME?</v>
      </c>
      <c r="CT321" s="2" t="e">
        <f ca="1">_xll.BDH($C$303,"CUR_RATIO","FQ3 2017","FQ3 2017","Currency=INR","Period=FQ","BEST_FPERIOD_OVERRIDE=FQ","FILING_STATUS=OR","EQY_CONSOLIDATED=Y","Sort=A","Dates=H","DateFormat=P","Fill=—","Direction=H","UseDPDF=Y")</f>
        <v>#NAME?</v>
      </c>
      <c r="CU321" s="2" t="e">
        <f ca="1">_xll.BDH($C$303,"QUICK_RATIO","FQ3 2017","FQ3 2017","Currency=INR","Period=FQ","BEST_FPERIOD_OVERRIDE=FQ","FILING_STATUS=OR","EQY_CONSOLIDATED=Y","Sort=A","Dates=H","DateFormat=P","Fill=—","Direction=H","UseDPDF=Y")</f>
        <v>#NAME?</v>
      </c>
      <c r="CV321" s="2" t="e">
        <f ca="1">_xll.BDH($C$303,"ALTMAN_Z_SCORE","FQ3 2017","FQ3 2017","Currency=INR","Period=FQ","BEST_FPERIOD_OVERRIDE=FQ","FILING_STATUS=OR","EQY_CONSOLIDATED=Y","Sort=A","Dates=H","DateFormat=P","Fill=—","Direction=H","UseDPDF=Y")</f>
        <v>#NAME?</v>
      </c>
      <c r="CW321" s="4" t="e">
        <f ca="1">_xll.BDH($C$303,"ACCT_RCV_TURN","FQ3 2017","FQ3 2017","Currency=INR","Period=FQ","BEST_FPERIOD_OVERRIDE=FQ","FILING_STATUS=OR","EQY_CONSOLIDATED=Y","FA_ADJUSTED=GAAP","Sort=A","Dates=H","DateFormat=P","Fill=—","Direction=H","UseDPDF=Y")</f>
        <v>#NAME?</v>
      </c>
      <c r="CX321" s="2" t="e">
        <f ca="1">_xll.BDH($C$303,"ACCT_RCV_DAYS","FQ3 2017","FQ3 2017","Currency=INR","Period=FQ","BEST_FPERIOD_OVERRIDE=FQ","FILING_STATUS=OR","EQY_CONSOLIDATED=Y","FA_ADJUSTED=GAAP","Sort=A","Dates=H","DateFormat=P","Fill=—","Direction=H","UseDPDF=Y")</f>
        <v>#NAME?</v>
      </c>
      <c r="CY321" s="4" t="e">
        <f ca="1">_xll.BDH($C$303,"INVENT_TURN","FQ3 2017","FQ3 2017","Currency=INR","Period=FQ","BEST_FPERIOD_OVERRIDE=FQ","FILING_STATUS=OR","EQY_CONSOLIDATED=Y","FA_ADJUSTED=GAAP","Sort=A","Dates=H","DateFormat=P","Fill=—","Direction=H","UseDPDF=Y")</f>
        <v>#NAME?</v>
      </c>
      <c r="CZ321" s="2" t="e">
        <f ca="1">_xll.BDH($C$303,"INVENT_DAYS","FQ3 2017","FQ3 2017","Currency=INR","Period=FQ","BEST_FPERIOD_OVERRIDE=FQ","FILING_STATUS=OR","EQY_CONSOLIDATED=Y","FA_ADJUSTED=GAAP","Sort=A","Dates=H","DateFormat=P","Fill=—","Direction=H","UseDPDF=Y")</f>
        <v>#NAME?</v>
      </c>
      <c r="DA321" s="4" t="e">
        <f ca="1">_xll.BDH($C$303,"ACCOUNTS_PAYABLE_TURNOVER","FQ3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321" s="2" t="e">
        <f ca="1">_xll.BDH($C$303,"ACCOUNTS_PAYABLE_TURNOVER_DAYS","FQ3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321" s="4" t="e">
        <f ca="1">_xll.BDH($C$303,"CASH_CONVERSION_CYCLE","FQ3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321" s="4" t="e">
        <f ca="1">_xll.BDH($C$303,"INV_TO_CASH_DAYS","FQ3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321" s="5" t="e">
        <f ca="1">_xll.BDH($C$303,"BS_INVENTORIES","FQ3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321" s="3" t="e">
        <f ca="1">_xll.BDH($C$303,"INVTRY_RAW_MATERIALS","FQ3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321" s="3" t="e">
        <f ca="1">_xll.BDH($C$303,"INVTRY_IN_PROGRESS","FQ3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321" s="3" t="e">
        <f ca="1">_xll.BDH($C$303,"INVTRY_FINISHED_GOODS","FQ3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321" s="3" t="e">
        <f ca="1">_xll.BDH($C$303,"BS_OTHER_INV","FQ3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322" spans="1:113" x14ac:dyDescent="0.3">
      <c r="A322" s="6"/>
      <c r="B322" s="6"/>
      <c r="C322" s="6"/>
      <c r="D322" s="6"/>
      <c r="E322" t="s">
        <v>81</v>
      </c>
      <c r="F322" t="e">
        <f ca="1">_xll.BDH($C$303,"RETURN_COM_EQY","FQ4 2017","FQ4 2017","Currency=INR","Period=FQ","BEST_FPERIOD_OVERRIDE=FQ","FILING_STATUS=OR","EQY_CONSOLIDATED=Y","FA_ADJUSTED=GAAP","Sort=A","Dates=H","DateFormat=P","Fill=—","Direction=H","UseDPDF=Y")</f>
        <v>#NAME?</v>
      </c>
      <c r="G322" t="e">
        <f ca="1">_xll.BDH($C$303,"RETURN_ON_ASSET","FQ4 2017","FQ4 2017","Currency=INR","Period=FQ","BEST_FPERIOD_OVERRIDE=FQ","FILING_STATUS=OR","EQY_CONSOLIDATED=Y","FA_ADJUSTED=GAAP","Sort=A","Dates=H","DateFormat=P","Fill=—","Direction=H","UseDPDF=Y")</f>
        <v>#NAME?</v>
      </c>
      <c r="H322" t="e">
        <f ca="1">_xll.BDH($C$303,"RETURN_ON_CAP","FQ4 2017","FQ4 2017","Currency=INR","Period=FQ","BEST_FPERIOD_OVERRIDE=FQ","FILING_STATUS=OR","EQY_CONSOLIDATED=Y","FA_ADJUSTED=GAAP","Sort=A","Dates=H","DateFormat=P","Fill=—","Direction=H","UseDPDF=Y")</f>
        <v>#NAME?</v>
      </c>
      <c r="I322" t="e">
        <f ca="1">_xll.BDH($C$303,"RETURN_ON_INV_CAPITAL","FQ4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322" t="e">
        <f ca="1">_xll.BDH($C$303,"EBITDA_TO_REVENUE","FQ4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322" t="e">
        <f ca="1">_xll.BDH($C$303,"OPER_MARGIN","FQ4 2017","FQ4 2017","Currency=INR","Period=FQ","BEST_FPERIOD_OVERRIDE=FQ","FILING_STATUS=OR","EQY_CONSOLIDATED=Y","FA_ADJUSTED=GAAP","Sort=A","Dates=H","DateFormat=P","Fill=—","Direction=H","UseDPDF=Y")</f>
        <v>#NAME?</v>
      </c>
      <c r="L322" t="e">
        <f ca="1">_xll.BDH($C$303,"INCREMENTAL_OPERATING_MARGIN","FQ4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322" t="e">
        <f ca="1">_xll.BDH($C$303,"PRETAX_INC_TO_NET_SALES","FQ4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322" t="e">
        <f ca="1">_xll.BDH($C$303,"INC_BEF_XO_ITEMS_TO_NET_SALES","FQ4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322" t="e">
        <f ca="1">_xll.BDH($C$303,"PROF_MARGIN","FQ4 2017","FQ4 2017","Currency=INR","Period=FQ","BEST_FPERIOD_OVERRIDE=FQ","FILING_STATUS=OR","EQY_CONSOLIDATED=Y","FA_ADJUSTED=GAAP","Sort=A","Dates=H","DateFormat=P","Fill=—","Direction=H","UseDPDF=Y")</f>
        <v>#NAME?</v>
      </c>
      <c r="P322" t="e">
        <f ca="1">_xll.BDH($C$303,"NET_INCOME_TO_COMMON_MARGIN","FQ4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322" t="e">
        <f ca="1">_xll.BDH($C$303,"EFF_TAX_RATE","FQ4 2017","FQ4 2017","Currency=INR","Period=FQ","BEST_FPERIOD_OVERRIDE=FQ","FILING_STATUS=OR","EQY_CONSOLIDATED=Y","FA_ADJUSTED=GAAP","Sort=A","Dates=H","DateFormat=P","Fill=—","Direction=H","UseDPDF=Y")</f>
        <v>#NAME?</v>
      </c>
      <c r="R322" t="e">
        <f ca="1">_xll.BDH($C$303,"DVD_PAYOUT_RATIO","FQ4 2017","FQ4 2017","Currency=INR","Period=FQ","BEST_FPERIOD_OVERRIDE=FQ","FILING_STATUS=OR","EQY_CONSOLIDATED=Y","FA_ADJUSTED=GAAP","Sort=A","Dates=H","DateFormat=P","Fill=—","Direction=H","UseDPDF=Y")</f>
        <v>#NAME?</v>
      </c>
      <c r="S322" t="e">
        <f ca="1">_xll.BDH($C$303,"SUSTAIN_GROWTH_RT","FQ4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322" s="2" t="e">
        <f ca="1">_xll.BDH($C$303,"SALES_GROWTH","FQ4 2017","FQ4 2017","Currency=INR","Period=FQ","BEST_FPERIOD_OVERRIDE=FQ","FILING_STATUS=OR","EQY_CONSOLIDATED=Y","FA_ADJUSTED=GAAP","Sort=A","Dates=H","DateFormat=P","Fill=—","Direction=H","UseDPDF=Y")</f>
        <v>#NAME?</v>
      </c>
      <c r="U322" s="2" t="e">
        <f ca="1">_xll.BDH($C$303,"EBITDA_GROWTH","FQ4 2017","FQ4 2017","Currency=INR","Period=FQ","BEST_FPERIOD_OVERRIDE=FQ","FILING_STATUS=OR","EQY_CONSOLIDATED=Y","FA_ADJUSTED=GAAP","Sort=A","Dates=H","DateFormat=P","Fill=—","Direction=H","UseDPDF=Y")</f>
        <v>#NAME?</v>
      </c>
      <c r="V322" s="2" t="e">
        <f ca="1">_xll.BDH($C$303,"OPER_INC_GROWTH","FQ4 2017","FQ4 2017","Currency=INR","Period=FQ","BEST_FPERIOD_OVERRIDE=FQ","FILING_STATUS=OR","EQY_CONSOLIDATED=Y","FA_ADJUSTED=GAAP","Sort=A","Dates=H","DateFormat=P","Fill=—","Direction=H","UseDPDF=Y")</f>
        <v>#NAME?</v>
      </c>
      <c r="W322" s="2" t="e">
        <f ca="1">_xll.BDH($C$303,"EARN_FOR_COM_GROWTH","FQ4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322" s="2" t="e">
        <f ca="1">_xll.BDH($C$303,"DILUTED_EPS_AFT_XO_ITEMS_GROWTH","FQ4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322" s="2" t="e">
        <f ca="1">_xll.BDH($C$303,"DIVIDEND_PER_SHARE_1_YEAR_GROWTH","FQ4 2017","FQ4 2017","Currency=INR","Period=FQ","BEST_FPERIOD_OVERRIDE=FQ","FILING_STATUS=OR","EQY_CONSOLIDATED=Y","Sort=A","Dates=H","DateFormat=P","Fill=—","Direction=H","UseDPDF=Y")</f>
        <v>#NAME?</v>
      </c>
      <c r="Z322" s="2" t="e">
        <f ca="1">_xll.BDH($C$303,"ACCOUNTS_RECEIVABLE_GROWTH","FQ4 2017","FQ4 2017","Currency=INR","Period=FQ","BEST_FPERIOD_OVERRIDE=FQ","FILING_STATUS=OR","EQY_CONSOLIDATED=Y","Sort=A","Dates=H","DateFormat=P","Fill=—","Direction=H","UseDPDF=Y")</f>
        <v>#NAME?</v>
      </c>
      <c r="AA322" s="2" t="e">
        <f ca="1">_xll.BDH($C$303,"INVENTORY_GROWTH","FQ4 2017","FQ4 2017","Currency=INR","Period=FQ","BEST_FPERIOD_OVERRIDE=FQ","FILING_STATUS=OR","EQY_CONSOLIDATED=Y","Sort=A","Dates=H","DateFormat=P","Fill=—","Direction=H","UseDPDF=Y")</f>
        <v>#NAME?</v>
      </c>
      <c r="AB322" s="2" t="e">
        <f ca="1">_xll.BDH($C$303,"NET_FIXED_ASSETS_1_YEAR_GROWTH","FQ4 2017","FQ4 2017","Currency=INR","Period=FQ","BEST_FPERIOD_OVERRIDE=FQ","FILING_STATUS=OR","EQY_CONSOLIDATED=Y","Sort=A","Dates=H","DateFormat=P","Fill=—","Direction=H","UseDPDF=Y")</f>
        <v>#NAME?</v>
      </c>
      <c r="AC322" s="2" t="e">
        <f ca="1">_xll.BDH($C$303,"ASSET_GROWTH","FQ4 2017","FQ4 2017","Currency=INR","Period=FQ","BEST_FPERIOD_OVERRIDE=FQ","FILING_STATUS=OR","EQY_CONSOLIDATED=Y","Sort=A","Dates=H","DateFormat=P","Fill=—","Direction=H","UseDPDF=Y")</f>
        <v>#NAME?</v>
      </c>
      <c r="AD322" s="2" t="e">
        <f ca="1">_xll.BDH($C$303,"MODIFIED_WORK_CAP_GROWTH","FQ4 2017","FQ4 2017","Currency=INR","Period=FQ","BEST_FPERIOD_OVERRIDE=FQ","FILING_STATUS=OR","EQY_CONSOLIDATED=Y","Sort=A","Dates=H","DateFormat=P","Fill=—","Direction=H","UseDPDF=Y")</f>
        <v>#NAME?</v>
      </c>
      <c r="AE322" s="2" t="e">
        <f ca="1">_xll.BDH($C$303,"WORK_CAP_GROWTH","FQ4 2017","FQ4 2017","Currency=INR","Period=FQ","BEST_FPERIOD_OVERRIDE=FQ","FILING_STATUS=OR","EQY_CONSOLIDATED=Y","Sort=A","Dates=H","DateFormat=P","Fill=—","Direction=H","UseDPDF=Y")</f>
        <v>#NAME?</v>
      </c>
      <c r="AF322" s="2" t="e">
        <f ca="1">_xll.BDH($C$303,"ACCOUNTS_PAYABLE_GROWTH_1YR","FQ4 2017","FQ4 2017","Currency=INR","Period=FQ","BEST_FPERIOD_OVERRIDE=FQ","FILING_STATUS=OR","EQY_CONSOLIDATED=Y","Sort=A","Dates=H","DateFormat=P","Fill=—","Direction=H","UseDPDF=Y")</f>
        <v>#NAME?</v>
      </c>
      <c r="AG322" s="2" t="e">
        <f ca="1">_xll.BDH($C$303,"SHORT_TERM_DEBT_1_YEAR_GROWTH","FQ4 2017","FQ4 2017","Currency=INR","Period=FQ","BEST_FPERIOD_OVERRIDE=FQ","FILING_STATUS=OR","EQY_CONSOLIDATED=Y","Sort=A","Dates=H","DateFormat=P","Fill=—","Direction=H","UseDPDF=Y")</f>
        <v>#NAME?</v>
      </c>
      <c r="AH322" s="2" t="e">
        <f ca="1">_xll.BDH($C$303,"TOTAL_DEBT_1_YEAR_GROWTH","FQ4 2017","FQ4 2017","Currency=INR","Period=FQ","BEST_FPERIOD_OVERRIDE=FQ","FILING_STATUS=OR","EQY_CONSOLIDATED=Y","Sort=A","Dates=H","DateFormat=P","Fill=—","Direction=H","UseDPDF=Y")</f>
        <v>#NAME?</v>
      </c>
      <c r="AI322" s="2" t="e">
        <f ca="1">_xll.BDH($C$303,"TOTAL_EQUITY_1_YEAR_GROWTH","FQ4 2017","FQ4 2017","Currency=INR","Period=FQ","BEST_FPERIOD_OVERRIDE=FQ","FILING_STATUS=OR","EQY_CONSOLIDATED=Y","Sort=A","Dates=H","DateFormat=P","Fill=—","Direction=H","UseDPDF=Y")</f>
        <v>#NAME?</v>
      </c>
      <c r="AJ322" s="2" t="e">
        <f ca="1">_xll.BDH($C$303,"GROWTH_IN_CAP","FQ4 2017","FQ4 2017","Currency=INR","Period=FQ","BEST_FPERIOD_OVERRIDE=FQ","FILING_STATUS=OR","EQY_CONSOLIDATED=Y","Sort=A","Dates=H","DateFormat=P","Fill=—","Direction=H","UseDPDF=Y")</f>
        <v>#NAME?</v>
      </c>
      <c r="AK322" s="2" t="e">
        <f ca="1">_xll.BDH($C$303,"BVPS_GROWTH","FQ4 2017","FQ4 2017","Currency=INR","Period=FQ","BEST_FPERIOD_OVERRIDE=FQ","FILING_STATUS=OR","EQY_CONSOLIDATED=Y","Sort=A","Dates=H","DateFormat=P","Fill=—","Direction=H","UseDPDF=Y")</f>
        <v>#NAME?</v>
      </c>
      <c r="AL322" s="2" t="e">
        <f ca="1">_xll.BDH($C$303,"CASH_FLOW_GROWTH","FQ4 2017","FQ4 2017","Currency=INR","Period=FQ","BEST_FPERIOD_OVERRIDE=FQ","FILING_STATUS=OR","EQY_CONSOLIDATED=Y","Sort=A","Dates=H","DateFormat=P","Fill=—","Direction=H","UseDPDF=Y")</f>
        <v>#NAME?</v>
      </c>
      <c r="AM322" s="2" t="e">
        <f ca="1">_xll.BDH($C$303,"GEO_GROW_NET_SALES","FQ4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322" s="2" t="e">
        <f ca="1">_xll.BDH($C$303,"GEO_GROW_EBITDA","FQ4 2017","FQ4 2017","Currency=INR","Period=FQ","BEST_FPERIOD_OVERRIDE=FQ","FILING_STATUS=OR","EQY_CONSOLIDATED=Y","FA_ADJUSTED=GAAP","Sort=A","Dates=H","DateFormat=P","Fill=—","Direction=H","UseDPDF=Y")</f>
        <v>#NAME?</v>
      </c>
      <c r="AO322" s="2" t="e">
        <f ca="1">_xll.BDH($C$303,"GEO_GROW_OPER_INC","FQ4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322" s="2" t="e">
        <f ca="1">_xll.BDH($C$303,"NET_INCOME_TO_COMMON_5_YR_GROWTH","FQ4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322" s="2" t="e">
        <f ca="1">_xll.BDH($C$303,"5Y_GEO_GROWTH_DILUTED_EPS","FQ4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322" s="2" t="e">
        <f ca="1">_xll.BDH($C$303,"GEO_GROW_DVD_PER_SH","FQ4 2017","FQ4 2017","Currency=INR","Period=FQ","BEST_FPERIOD_OVERRIDE=FQ","FILING_STATUS=OR","EQY_CONSOLIDATED=Y","Sort=A","Dates=H","DateFormat=P","Fill=—","Direction=H","UseDPDF=Y")</f>
        <v>#NAME?</v>
      </c>
      <c r="AS322" s="2" t="e">
        <f ca="1">_xll.BDH($C$303,"ACCOUNTS_RECEIVABLE_5_YR_GROWTH","FQ4 2017","FQ4 2017","Currency=INR","Period=FQ","BEST_FPERIOD_OVERRIDE=FQ","FILING_STATUS=OR","EQY_CONSOLIDATED=Y","Sort=A","Dates=H","DateFormat=P","Fill=—","Direction=H","UseDPDF=Y")</f>
        <v>#NAME?</v>
      </c>
      <c r="AT322" s="2" t="e">
        <f ca="1">_xll.BDH($C$303,"INVENTORY_5_YEAR_GROWTH","FQ4 2017","FQ4 2017","Currency=INR","Period=FQ","BEST_FPERIOD_OVERRIDE=FQ","FILING_STATUS=OR","EQY_CONSOLIDATED=Y","Sort=A","Dates=H","DateFormat=P","Fill=—","Direction=H","UseDPDF=Y")</f>
        <v>#NAME?</v>
      </c>
      <c r="AU322" s="2" t="e">
        <f ca="1">_xll.BDH($C$303,"NET_FIXED_ASSETS_5_YEAR_GROWTH","FQ4 2017","FQ4 2017","Currency=INR","Period=FQ","BEST_FPERIOD_OVERRIDE=FQ","FILING_STATUS=OR","EQY_CONSOLIDATED=Y","Sort=A","Dates=H","DateFormat=P","Fill=—","Direction=H","UseDPDF=Y")</f>
        <v>#NAME?</v>
      </c>
      <c r="AV322" s="2" t="e">
        <f ca="1">_xll.BDH($C$303,"GEO_GROW_TOT_ASSET","FQ4 2017","FQ4 2017","Currency=INR","Period=FQ","BEST_FPERIOD_OVERRIDE=FQ","FILING_STATUS=OR","EQY_CONSOLIDATED=Y","Sort=A","Dates=H","DateFormat=P","Fill=—","Direction=H","UseDPDF=Y")</f>
        <v>#NAME?</v>
      </c>
      <c r="AW322" s="2" t="e">
        <f ca="1">_xll.BDH($C$303,"MODIFIED_WORKING_CPTL_5YR_GRWTH","FQ4 2017","FQ4 2017","Currency=INR","Period=FQ","BEST_FPERIOD_OVERRIDE=FQ","FILING_STATUS=OR","EQY_CONSOLIDATED=Y","Sort=A","Dates=H","DateFormat=P","Fill=—","Direction=H","UseDPDF=Y")</f>
        <v>#NAME?</v>
      </c>
      <c r="AX322" s="2" t="e">
        <f ca="1">_xll.BDH($C$303,"WORKING_CAPITAL_5_YEAR_GROWTH","FQ4 2017","FQ4 2017","Currency=INR","Period=FQ","BEST_FPERIOD_OVERRIDE=FQ","FILING_STATUS=OR","EQY_CONSOLIDATED=Y","Sort=A","Dates=H","DateFormat=P","Fill=—","Direction=H","UseDPDF=Y")</f>
        <v>#NAME?</v>
      </c>
      <c r="AY322" s="2" t="e">
        <f ca="1">_xll.BDH($C$303,"ACCOUNTS_PAYABLE_5_YEAR_GROWTH","FQ4 2017","FQ4 2017","Currency=INR","Period=FQ","BEST_FPERIOD_OVERRIDE=FQ","FILING_STATUS=OR","EQY_CONSOLIDATED=Y","Sort=A","Dates=H","DateFormat=P","Fill=—","Direction=H","UseDPDF=Y")</f>
        <v>#NAME?</v>
      </c>
      <c r="AZ322" s="2" t="e">
        <f ca="1">_xll.BDH($C$303,"SHORT_TERM_DEBT_5_YEAR_GROWTH","FQ4 2017","FQ4 2017","Currency=INR","Period=FQ","BEST_FPERIOD_OVERRIDE=FQ","FILING_STATUS=OR","EQY_CONSOLIDATED=Y","Sort=A","Dates=H","DateFormat=P","Fill=—","Direction=H","UseDPDF=Y")</f>
        <v>#NAME?</v>
      </c>
      <c r="BA322" s="2" t="e">
        <f ca="1">_xll.BDH($C$303,"TOTAL_DEBT_5_YEAR_GROWTH","FQ4 2017","FQ4 2017","Currency=INR","Period=FQ","BEST_FPERIOD_OVERRIDE=FQ","FILING_STATUS=OR","EQY_CONSOLIDATED=Y","Sort=A","Dates=H","DateFormat=P","Fill=—","Direction=H","UseDPDF=Y")</f>
        <v>#NAME?</v>
      </c>
      <c r="BB322" s="2" t="e">
        <f ca="1">_xll.BDH($C$303,"GEO_GROW_TOT_SHRHLDR_EQY","FQ4 2017","FQ4 2017","Currency=INR","Period=FQ","BEST_FPERIOD_OVERRIDE=FQ","FILING_STATUS=OR","EQY_CONSOLIDATED=Y","Sort=A","Dates=H","DateFormat=P","Fill=—","Direction=H","UseDPDF=Y")</f>
        <v>#NAME?</v>
      </c>
      <c r="BC322" s="2" t="e">
        <f ca="1">_xll.BDH($C$303,"TOTAL_CAPITAL_5_YEAR_GROWTH","FQ4 2017","FQ4 2017","Currency=INR","Period=FQ","BEST_FPERIOD_OVERRIDE=FQ","FILING_STATUS=OR","EQY_CONSOLIDATED=Y","Sort=A","Dates=H","DateFormat=P","Fill=—","Direction=H","UseDPDF=Y")</f>
        <v>#NAME?</v>
      </c>
      <c r="BD322" s="2" t="e">
        <f ca="1">_xll.BDH($C$303,"GEO_GROW_BOOK_VAL","FQ4 2017","FQ4 2017","Currency=INR","Period=FQ","BEST_FPERIOD_OVERRIDE=FQ","FILING_STATUS=OR","EQY_CONSOLIDATED=Y","Sort=A","Dates=H","DateFormat=P","Fill=—","Direction=H","UseDPDF=Y")</f>
        <v>#NAME?</v>
      </c>
      <c r="BE322" s="2" t="e">
        <f ca="1">_xll.BDH($C$303,"GEO_GROW_CASH_OPER_ACT","FQ4 2017","FQ4 2017","Currency=INR","Period=FQ","BEST_FPERIOD_OVERRIDE=FQ","FILING_STATUS=OR","EQY_CONSOLIDATED=Y","Sort=A","Dates=H","DateFormat=P","Fill=—","Direction=H","UseDPDF=Y")</f>
        <v>#NAME?</v>
      </c>
      <c r="BF322" s="2" t="e">
        <f ca="1">_xll.BDH($C$303,"REVENUE_SEQUENTIAL_GROWTH","FQ4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322" s="2" t="e">
        <f ca="1">_xll.BDH($C$303,"EBITDA_SEQUENTIAL_GROWTH","FQ4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322" s="2" t="e">
        <f ca="1">_xll.BDH($C$303,"OPERATING_INCOME_SEQ_GROWTH","FQ4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322" s="2" t="e">
        <f ca="1">_xll.BDH($C$303,"NET_INCOME_TO_COMMON_SEQ_GROWTH","FQ4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322" s="2" t="e">
        <f ca="1">_xll.BDH($C$303,"EPS_DILUTED_SEQUENTIAL_GROWTH","FQ4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322" s="2" t="e">
        <f ca="1">_xll.BDH($C$303,"DPS_SEQUENTIAL_GROWTH","FQ4 2017","FQ4 2017","Currency=INR","Period=FQ","BEST_FPERIOD_OVERRIDE=FQ","FILING_STATUS=OR","EQY_CONSOLIDATED=Y","Sort=A","Dates=H","DateFormat=P","Fill=—","Direction=H","UseDPDF=Y")</f>
        <v>#NAME?</v>
      </c>
      <c r="BL322" s="2" t="e">
        <f ca="1">_xll.BDH($C$303,"ACCOUNTS_RECEIVABLE_SEQ_GROWTH","FQ4 2017","FQ4 2017","Currency=INR","Period=FQ","BEST_FPERIOD_OVERRIDE=FQ","FILING_STATUS=OR","EQY_CONSOLIDATED=Y","Sort=A","Dates=H","DateFormat=P","Fill=—","Direction=H","UseDPDF=Y")</f>
        <v>#NAME?</v>
      </c>
      <c r="BM322" s="2" t="e">
        <f ca="1">_xll.BDH($C$303,"INVENTORY_SEQUENTIAL_GROWTH","FQ4 2017","FQ4 2017","Currency=INR","Period=FQ","BEST_FPERIOD_OVERRIDE=FQ","FILING_STATUS=OR","EQY_CONSOLIDATED=Y","Sort=A","Dates=H","DateFormat=P","Fill=—","Direction=H","UseDPDF=Y")</f>
        <v>#NAME?</v>
      </c>
      <c r="BN322" s="2" t="e">
        <f ca="1">_xll.BDH($C$303,"FIXED_ASSETS_SEQUENTIAL_GROWTH","FQ4 2017","FQ4 2017","Currency=INR","Period=FQ","BEST_FPERIOD_OVERRIDE=FQ","FILING_STATUS=OR","EQY_CONSOLIDATED=Y","Sort=A","Dates=H","DateFormat=P","Fill=—","Direction=H","UseDPDF=Y")</f>
        <v>#NAME?</v>
      </c>
      <c r="BO322" s="2" t="e">
        <f ca="1">_xll.BDH($C$303,"TOTAL_ASSETS_SEQUENTIAL_GROWTH","FQ4 2017","FQ4 2017","Currency=INR","Period=FQ","BEST_FPERIOD_OVERRIDE=FQ","FILING_STATUS=OR","EQY_CONSOLIDATED=Y","Sort=A","Dates=H","DateFormat=P","Fill=—","Direction=H","UseDPDF=Y")</f>
        <v>#NAME?</v>
      </c>
      <c r="BP322" s="2" t="e">
        <f ca="1">_xll.BDH($C$303,"MODIFIED_WORKING_CPTL_SEQ_GRWTH","FQ4 2017","FQ4 2017","Currency=INR","Period=FQ","BEST_FPERIOD_OVERRIDE=FQ","FILING_STATUS=OR","EQY_CONSOLIDATED=Y","Sort=A","Dates=H","DateFormat=P","Fill=—","Direction=H","UseDPDF=Y")</f>
        <v>#NAME?</v>
      </c>
      <c r="BQ322" s="2" t="e">
        <f ca="1">_xll.BDH($C$303,"WORKING_CAPITAL_SEQ_GROWTH","FQ4 2017","FQ4 2017","Currency=INR","Period=FQ","BEST_FPERIOD_OVERRIDE=FQ","FILING_STATUS=OR","EQY_CONSOLIDATED=Y","Sort=A","Dates=H","DateFormat=P","Fill=—","Direction=H","UseDPDF=Y")</f>
        <v>#NAME?</v>
      </c>
      <c r="BR322" s="2" t="e">
        <f ca="1">_xll.BDH($C$303,"ACCOUNTS_PAYABLE_SEQ_GROWTH","FQ4 2017","FQ4 2017","Currency=INR","Period=FQ","BEST_FPERIOD_OVERRIDE=FQ","FILING_STATUS=OR","EQY_CONSOLIDATED=Y","Sort=A","Dates=H","DateFormat=P","Fill=—","Direction=H","UseDPDF=Y")</f>
        <v>#NAME?</v>
      </c>
      <c r="BS322" s="2" t="e">
        <f ca="1">_xll.BDH($C$303,"ST_DEBT_SEQUENTIAL_GROWTH","FQ4 2017","FQ4 2017","Currency=INR","Period=FQ","BEST_FPERIOD_OVERRIDE=FQ","FILING_STATUS=OR","EQY_CONSOLIDATED=Y","Sort=A","Dates=H","DateFormat=P","Fill=—","Direction=H","UseDPDF=Y")</f>
        <v>#NAME?</v>
      </c>
      <c r="BT322" s="2" t="e">
        <f ca="1">_xll.BDH($C$303,"TOTAL_DEBT_SEQUENTIAL_GROWTH","FQ4 2017","FQ4 2017","Currency=INR","Period=FQ","BEST_FPERIOD_OVERRIDE=FQ","FILING_STATUS=OR","EQY_CONSOLIDATED=Y","Sort=A","Dates=H","DateFormat=P","Fill=—","Direction=H","UseDPDF=Y")</f>
        <v>#NAME?</v>
      </c>
      <c r="BU322" s="2" t="e">
        <f ca="1">_xll.BDH($C$303,"TOTAL_EQUITY_SEQUENTIAL_GROWTH","FQ4 2017","FQ4 2017","Currency=INR","Period=FQ","BEST_FPERIOD_OVERRIDE=FQ","FILING_STATUS=OR","EQY_CONSOLIDATED=Y","Sort=A","Dates=H","DateFormat=P","Fill=—","Direction=H","UseDPDF=Y")</f>
        <v>#NAME?</v>
      </c>
      <c r="BV322" s="2" t="e">
        <f ca="1">_xll.BDH($C$303,"TOTAL_CAPITAL_SEQUENTIAL_GROWTH","FQ4 2017","FQ4 2017","Currency=INR","Period=FQ","BEST_FPERIOD_OVERRIDE=FQ","FILING_STATUS=OR","EQY_CONSOLIDATED=Y","Sort=A","Dates=H","DateFormat=P","Fill=—","Direction=H","UseDPDF=Y")</f>
        <v>#NAME?</v>
      </c>
      <c r="BW322" s="2" t="e">
        <f ca="1">_xll.BDH($C$303,"BPS_SEQUENTIAL_GROWTH","FQ4 2017","FQ4 2017","Currency=INR","Period=FQ","BEST_FPERIOD_OVERRIDE=FQ","FILING_STATUS=OR","EQY_CONSOLIDATED=Y","Sort=A","Dates=H","DateFormat=P","Fill=—","Direction=H","UseDPDF=Y")</f>
        <v>#NAME?</v>
      </c>
      <c r="BX322" s="2" t="e">
        <f ca="1">_xll.BDH($C$303,"CFO_SEQUENTIAL_GROWTH","FQ4 2017","FQ4 2017","Currency=INR","Period=FQ","BEST_FPERIOD_OVERRIDE=FQ","FILING_STATUS=OR","EQY_CONSOLIDATED=Y","Sort=A","Dates=H","DateFormat=P","Fill=—","Direction=H","UseDPDF=Y")</f>
        <v>#NAME?</v>
      </c>
      <c r="BY322" s="3" t="e">
        <f ca="1">_xll.BDH($C$303,"SHORT_AND_LONG_TERM_DEBT","FQ4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322" s="3" t="e">
        <f ca="1">_xll.BDH($C$303,"BS_ST_BORROW","FQ4 2017","FQ4 2017","Currency=INR","Period=FQ","BEST_FPERIOD_OVERRIDE=FQ","FILING_STATUS=OR","EQY_CONSOLIDATED=Y","SCALING_FORMAT=MLN","Sort=A","Dates=H","DateFormat=P","Fill=—","Direction=H","UseDPDF=Y")</f>
        <v>#NAME?</v>
      </c>
      <c r="CA322" s="3" t="e">
        <f ca="1">_xll.BDH($C$303,"BS_LT_BORROW","FQ4 2017","FQ4 2017","Currency=INR","Period=FQ","BEST_FPERIOD_OVERRIDE=FQ","FILING_STATUS=OR","EQY_CONSOLIDATED=Y","SCALING_FORMAT=MLN","Sort=A","Dates=H","DateFormat=P","Fill=—","Direction=H","UseDPDF=Y")</f>
        <v>#NAME?</v>
      </c>
      <c r="CB322" s="2" t="e">
        <f ca="1">_xll.BDH($C$303,"TOT_DEBT_TO_EBITDA","FQ4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322" s="2" t="e">
        <f ca="1">_xll.BDH($C$303,"NET_DEBT_TO_EBITDA","FQ4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322" s="2" t="e">
        <f ca="1">_xll.BDH($C$303,"TOTAL_DEBT_TO_EBIT","FQ4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322" s="2" t="e">
        <f ca="1">_xll.BDH($C$303,"NET_DEBT_TO_EBIT","FQ4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322" s="2" t="e">
        <f ca="1">_xll.BDH($C$303,"EBITDA_TO_INTEREST_EXPN","FQ4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322" s="2" t="e">
        <f ca="1">_xll.BDH($C$303,"COM_EQY_TO_TOT_ASSET","FQ4 2017","FQ4 2017","Currency=INR","Period=FQ","BEST_FPERIOD_OVERRIDE=FQ","FILING_STATUS=OR","EQY_CONSOLIDATED=Y","Sort=A","Dates=H","DateFormat=P","Fill=—","Direction=H","UseDPDF=Y")</f>
        <v>#NAME?</v>
      </c>
      <c r="CH322" s="2" t="e">
        <f ca="1">_xll.BDH($C$303,"LT_DEBT_TO_TOT_EQY","FQ4 2017","FQ4 2017","Currency=INR","Period=FQ","BEST_FPERIOD_OVERRIDE=FQ","FILING_STATUS=OR","EQY_CONSOLIDATED=Y","Sort=A","Dates=H","DateFormat=P","Fill=—","Direction=H","UseDPDF=Y")</f>
        <v>#NAME?</v>
      </c>
      <c r="CI322" s="2" t="e">
        <f ca="1">_xll.BDH($C$303,"LT_DEBT_TO_TOT_CAP","FQ4 2017","FQ4 2017","Currency=INR","Period=FQ","BEST_FPERIOD_OVERRIDE=FQ","FILING_STATUS=OR","EQY_CONSOLIDATED=Y","Sort=A","Dates=H","DateFormat=P","Fill=—","Direction=H","UseDPDF=Y")</f>
        <v>#NAME?</v>
      </c>
      <c r="CJ322" s="2" t="e">
        <f ca="1">_xll.BDH($C$303,"LT_DEBT_TO_TOT_ASSET","FQ4 2017","FQ4 2017","Currency=INR","Period=FQ","BEST_FPERIOD_OVERRIDE=FQ","FILING_STATUS=OR","EQY_CONSOLIDATED=Y","Sort=A","Dates=H","DateFormat=P","Fill=—","Direction=H","UseDPDF=Y")</f>
        <v>#NAME?</v>
      </c>
      <c r="CK322" s="2" t="e">
        <f ca="1">_xll.BDH($C$303,"TOT_DEBT_TO_TOT_EQY","FQ4 2017","FQ4 2017","Currency=INR","Period=FQ","BEST_FPERIOD_OVERRIDE=FQ","FILING_STATUS=OR","EQY_CONSOLIDATED=Y","Sort=A","Dates=H","DateFormat=P","Fill=—","Direction=H","UseDPDF=Y")</f>
        <v>#NAME?</v>
      </c>
      <c r="CL322" s="2" t="e">
        <f ca="1">_xll.BDH($C$303,"TOT_DEBT_TO_TOT_CAP","FQ4 2017","FQ4 2017","Currency=INR","Period=FQ","BEST_FPERIOD_OVERRIDE=FQ","FILING_STATUS=OR","EQY_CONSOLIDATED=Y","Sort=A","Dates=H","DateFormat=P","Fill=—","Direction=H","UseDPDF=Y")</f>
        <v>#NAME?</v>
      </c>
      <c r="CM322" s="2" t="e">
        <f ca="1">_xll.BDH($C$303,"TOT_DEBT_TO_TOT_ASSET","FQ4 2017","FQ4 2017","Currency=INR","Period=FQ","BEST_FPERIOD_OVERRIDE=FQ","FILING_STATUS=OR","EQY_CONSOLIDATED=Y","Sort=A","Dates=H","DateFormat=P","Fill=—","Direction=H","UseDPDF=Y")</f>
        <v>#NAME?</v>
      </c>
      <c r="CN322" s="2" t="e">
        <f ca="1">_xll.BDH($C$303,"NET_DEBT_TO_SHRHLDR_EQTY","FQ4 2017","FQ4 2017","Currency=INR","Period=FQ","BEST_FPERIOD_OVERRIDE=FQ","FILING_STATUS=OR","EQY_CONSOLIDATED=Y","Sort=A","Dates=H","DateFormat=P","Fill=—","Direction=H","UseDPDF=Y")</f>
        <v>#NAME?</v>
      </c>
      <c r="CO322" s="2" t="e">
        <f ca="1">_xll.BDH($C$303,"NET_DEBT_%_CAPITAL","FQ4 2017","FQ4 2017","Currency=INR","Period=FQ","BEST_FPERIOD_OVERRIDE=FQ","FILING_STATUS=OR","EQY_CONSOLIDATED=Y","Sort=A","Dates=H","DateFormat=P","Fill=—","Direction=H","UseDPDF=Y")</f>
        <v>#NAME?</v>
      </c>
      <c r="CP322" s="3" t="e">
        <f ca="1">_xll.BDH($C$303,"EBITDA","FQ4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322" s="3" t="e">
        <f ca="1">_xll.BDH($C$303,"EBITDA_AFTER_CAPEX","FQ4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322" s="3" t="e">
        <f ca="1">_xll.BDH($C$303,"IS_OPER_INC","FQ4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322" s="2" t="e">
        <f ca="1">_xll.BDH($C$303,"CASH_RATIO","FQ4 2017","FQ4 2017","Currency=INR","Period=FQ","BEST_FPERIOD_OVERRIDE=FQ","FILING_STATUS=OR","EQY_CONSOLIDATED=Y","Sort=A","Dates=H","DateFormat=P","Fill=—","Direction=H","UseDPDF=Y")</f>
        <v>#NAME?</v>
      </c>
      <c r="CT322" s="2" t="e">
        <f ca="1">_xll.BDH($C$303,"CUR_RATIO","FQ4 2017","FQ4 2017","Currency=INR","Period=FQ","BEST_FPERIOD_OVERRIDE=FQ","FILING_STATUS=OR","EQY_CONSOLIDATED=Y","Sort=A","Dates=H","DateFormat=P","Fill=—","Direction=H","UseDPDF=Y")</f>
        <v>#NAME?</v>
      </c>
      <c r="CU322" s="2" t="e">
        <f ca="1">_xll.BDH($C$303,"QUICK_RATIO","FQ4 2017","FQ4 2017","Currency=INR","Period=FQ","BEST_FPERIOD_OVERRIDE=FQ","FILING_STATUS=OR","EQY_CONSOLIDATED=Y","Sort=A","Dates=H","DateFormat=P","Fill=—","Direction=H","UseDPDF=Y")</f>
        <v>#NAME?</v>
      </c>
      <c r="CV322" s="2" t="e">
        <f ca="1">_xll.BDH($C$303,"ALTMAN_Z_SCORE","FQ4 2017","FQ4 2017","Currency=INR","Period=FQ","BEST_FPERIOD_OVERRIDE=FQ","FILING_STATUS=OR","EQY_CONSOLIDATED=Y","Sort=A","Dates=H","DateFormat=P","Fill=—","Direction=H","UseDPDF=Y")</f>
        <v>#NAME?</v>
      </c>
      <c r="CW322" s="4" t="e">
        <f ca="1">_xll.BDH($C$303,"ACCT_RCV_TURN","FQ4 2017","FQ4 2017","Currency=INR","Period=FQ","BEST_FPERIOD_OVERRIDE=FQ","FILING_STATUS=OR","EQY_CONSOLIDATED=Y","FA_ADJUSTED=GAAP","Sort=A","Dates=H","DateFormat=P","Fill=—","Direction=H","UseDPDF=Y")</f>
        <v>#NAME?</v>
      </c>
      <c r="CX322" s="2" t="e">
        <f ca="1">_xll.BDH($C$303,"ACCT_RCV_DAYS","FQ4 2017","FQ4 2017","Currency=INR","Period=FQ","BEST_FPERIOD_OVERRIDE=FQ","FILING_STATUS=OR","EQY_CONSOLIDATED=Y","FA_ADJUSTED=GAAP","Sort=A","Dates=H","DateFormat=P","Fill=—","Direction=H","UseDPDF=Y")</f>
        <v>#NAME?</v>
      </c>
      <c r="CY322" s="4" t="e">
        <f ca="1">_xll.BDH($C$303,"INVENT_TURN","FQ4 2017","FQ4 2017","Currency=INR","Period=FQ","BEST_FPERIOD_OVERRIDE=FQ","FILING_STATUS=OR","EQY_CONSOLIDATED=Y","FA_ADJUSTED=GAAP","Sort=A","Dates=H","DateFormat=P","Fill=—","Direction=H","UseDPDF=Y")</f>
        <v>#NAME?</v>
      </c>
      <c r="CZ322" s="2" t="e">
        <f ca="1">_xll.BDH($C$303,"INVENT_DAYS","FQ4 2017","FQ4 2017","Currency=INR","Period=FQ","BEST_FPERIOD_OVERRIDE=FQ","FILING_STATUS=OR","EQY_CONSOLIDATED=Y","FA_ADJUSTED=GAAP","Sort=A","Dates=H","DateFormat=P","Fill=—","Direction=H","UseDPDF=Y")</f>
        <v>#NAME?</v>
      </c>
      <c r="DA322" s="4" t="e">
        <f ca="1">_xll.BDH($C$303,"ACCOUNTS_PAYABLE_TURNOVER","FQ4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322" s="2" t="e">
        <f ca="1">_xll.BDH($C$303,"ACCOUNTS_PAYABLE_TURNOVER_DAYS","FQ4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322" s="4" t="e">
        <f ca="1">_xll.BDH($C$303,"CASH_CONVERSION_CYCLE","FQ4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322" s="4" t="e">
        <f ca="1">_xll.BDH($C$303,"INV_TO_CASH_DAYS","FQ4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322" s="5" t="e">
        <f ca="1">_xll.BDH($C$303,"BS_INVENTORIES","FQ4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322" s="3" t="e">
        <f ca="1">_xll.BDH($C$303,"INVTRY_RAW_MATERIALS","FQ4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322" s="3" t="e">
        <f ca="1">_xll.BDH($C$303,"INVTRY_IN_PROGRESS","FQ4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322" s="3" t="e">
        <f ca="1">_xll.BDH($C$303,"INVTRY_FINISHED_GOODS","FQ4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322" s="3" t="e">
        <f ca="1">_xll.BDH($C$303,"BS_OTHER_INV","FQ4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323" spans="1:113" x14ac:dyDescent="0.3">
      <c r="A323" s="6"/>
      <c r="B323" s="6"/>
      <c r="C323" s="6"/>
      <c r="D323" s="6" t="s">
        <v>85</v>
      </c>
      <c r="E323" t="s">
        <v>77</v>
      </c>
      <c r="F323" t="e">
        <f ca="1">_xll.BDH($C$303,"RETURN_COM_EQY","FY 2018","FY 2018","Currency=INR","Period=FY","BEST_FPERIOD_OVERRIDE=FY","FILING_STATUS=OR","EQY_CONSOLIDATED=Y","FA_ADJUSTED=GAAP","Sort=A","Dates=H","DateFormat=P","Fill=—","Direction=H","UseDPDF=Y")</f>
        <v>#NAME?</v>
      </c>
      <c r="G323" t="e">
        <f ca="1">_xll.BDH($C$303,"RETURN_ON_ASSET","FY 2018","FY 2018","Currency=INR","Period=FY","BEST_FPERIOD_OVERRIDE=FY","FILING_STATUS=OR","EQY_CONSOLIDATED=Y","FA_ADJUSTED=GAAP","Sort=A","Dates=H","DateFormat=P","Fill=—","Direction=H","UseDPDF=Y")</f>
        <v>#NAME?</v>
      </c>
      <c r="H323" t="e">
        <f ca="1">_xll.BDH($C$303,"RETURN_ON_CAP","FY 2018","FY 2018","Currency=INR","Period=FY","BEST_FPERIOD_OVERRIDE=FY","FILING_STATUS=OR","EQY_CONSOLIDATED=Y","FA_ADJUSTED=GAAP","Sort=A","Dates=H","DateFormat=P","Fill=—","Direction=H","UseDPDF=Y")</f>
        <v>#NAME?</v>
      </c>
      <c r="I323" t="e">
        <f ca="1">_xll.BDH($C$303,"RETURN_ON_INV_CAPITAL","FY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323" t="e">
        <f ca="1">_xll.BDH($C$303,"EBITDA_TO_REVENUE","FY 2018","FY 2018","Currency=INR","Period=FY","BEST_FPERIOD_OVERRIDE=FY","FILING_STATUS=OR","EQY_CONSOLIDATED=Y","FA_ADJUSTED=GAAP","Sort=A","Dates=H","DateFormat=P","Fill=—","Direction=H","UseDPDF=Y")</f>
        <v>#NAME?</v>
      </c>
      <c r="K323" t="e">
        <f ca="1">_xll.BDH($C$303,"OPER_MARGIN","FY 2018","FY 2018","Currency=INR","Period=FY","BEST_FPERIOD_OVERRIDE=FY","FILING_STATUS=OR","EQY_CONSOLIDATED=Y","FA_ADJUSTED=GAAP","Sort=A","Dates=H","DateFormat=P","Fill=—","Direction=H","UseDPDF=Y")</f>
        <v>#NAME?</v>
      </c>
      <c r="L323" t="e">
        <f ca="1">_xll.BDH($C$303,"INCREMENTAL_OPERATING_MARGIN","FY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323" t="e">
        <f ca="1">_xll.BDH($C$303,"PRETAX_INC_TO_NET_SALES","FY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323" t="e">
        <f ca="1">_xll.BDH($C$303,"INC_BEF_XO_ITEMS_TO_NET_SALES","FY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323" t="e">
        <f ca="1">_xll.BDH($C$303,"PROF_MARGIN","FY 2018","FY 2018","Currency=INR","Period=FY","BEST_FPERIOD_OVERRIDE=FY","FILING_STATUS=OR","EQY_CONSOLIDATED=Y","FA_ADJUSTED=GAAP","Sort=A","Dates=H","DateFormat=P","Fill=—","Direction=H","UseDPDF=Y")</f>
        <v>#NAME?</v>
      </c>
      <c r="P323" t="e">
        <f ca="1">_xll.BDH($C$303,"NET_INCOME_TO_COMMON_MARGIN","FY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323" t="e">
        <f ca="1">_xll.BDH($C$303,"EFF_TAX_RATE","FY 2018","FY 2018","Currency=INR","Period=FY","BEST_FPERIOD_OVERRIDE=FY","FILING_STATUS=OR","EQY_CONSOLIDATED=Y","FA_ADJUSTED=GAAP","Sort=A","Dates=H","DateFormat=P","Fill=—","Direction=H","UseDPDF=Y")</f>
        <v>#NAME?</v>
      </c>
      <c r="R323" t="e">
        <f ca="1">_xll.BDH($C$303,"DVD_PAYOUT_RATIO","FY 2018","FY 2018","Currency=INR","Period=FY","BEST_FPERIOD_OVERRIDE=FY","FILING_STATUS=OR","EQY_CONSOLIDATED=Y","FA_ADJUSTED=GAAP","Sort=A","Dates=H","DateFormat=P","Fill=—","Direction=H","UseDPDF=Y")</f>
        <v>#NAME?</v>
      </c>
      <c r="S323" t="e">
        <f ca="1">_xll.BDH($C$303,"SUSTAIN_GROWTH_RT","FY 2018","FY 2018","Currency=INR","Period=FY","BEST_FPERIOD_OVERRIDE=FY","FILING_STATUS=OR","EQY_CONSOLIDATED=Y","FA_ADJUSTED=GAAP","Sort=A","Dates=H","DateFormat=P","Fill=—","Direction=H","UseDPDF=Y")</f>
        <v>#NAME?</v>
      </c>
      <c r="T323" s="2" t="e">
        <f ca="1">_xll.BDH($C$303,"SALES_GROWTH","FY 2018","FY 2018","Currency=INR","Period=FY","BEST_FPERIOD_OVERRIDE=FY","FILING_STATUS=OR","EQY_CONSOLIDATED=Y","FA_ADJUSTED=GAAP","Sort=A","Dates=H","DateFormat=P","Fill=—","Direction=H","UseDPDF=Y")</f>
        <v>#NAME?</v>
      </c>
      <c r="U323" s="2" t="e">
        <f ca="1">_xll.BDH($C$303,"EBITDA_GROWTH","FY 2018","FY 2018","Currency=INR","Period=FY","BEST_FPERIOD_OVERRIDE=FY","FILING_STATUS=OR","EQY_CONSOLIDATED=Y","FA_ADJUSTED=GAAP","Sort=A","Dates=H","DateFormat=P","Fill=—","Direction=H","UseDPDF=Y")</f>
        <v>#NAME?</v>
      </c>
      <c r="V323" s="2" t="e">
        <f ca="1">_xll.BDH($C$303,"OPER_INC_GROWTH","FY 2018","FY 2018","Currency=INR","Period=FY","BEST_FPERIOD_OVERRIDE=FY","FILING_STATUS=OR","EQY_CONSOLIDATED=Y","FA_ADJUSTED=GAAP","Sort=A","Dates=H","DateFormat=P","Fill=—","Direction=H","UseDPDF=Y")</f>
        <v>#NAME?</v>
      </c>
      <c r="W323" s="2" t="e">
        <f ca="1">_xll.BDH($C$303,"EARN_FOR_COM_GROWTH","FY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323" s="2" t="e">
        <f ca="1">_xll.BDH($C$303,"DILUTED_EPS_AFT_XO_ITEMS_GROWTH","FY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323" s="2" t="e">
        <f ca="1">_xll.BDH($C$303,"DIVIDEND_PER_SHARE_1_YEAR_GROWTH","FY 2018","FY 2018","Currency=INR","Period=FY","BEST_FPERIOD_OVERRIDE=FY","FILING_STATUS=OR","EQY_CONSOLIDATED=Y","Sort=A","Dates=H","DateFormat=P","Fill=—","Direction=H","UseDPDF=Y")</f>
        <v>#NAME?</v>
      </c>
      <c r="Z323" s="2" t="e">
        <f ca="1">_xll.BDH($C$303,"ACCOUNTS_RECEIVABLE_GROWTH","FY 2018","FY 2018","Currency=INR","Period=FY","BEST_FPERIOD_OVERRIDE=FY","FILING_STATUS=OR","EQY_CONSOLIDATED=Y","Sort=A","Dates=H","DateFormat=P","Fill=—","Direction=H","UseDPDF=Y")</f>
        <v>#NAME?</v>
      </c>
      <c r="AA323" s="2" t="e">
        <f ca="1">_xll.BDH($C$303,"INVENTORY_GROWTH","FY 2018","FY 2018","Currency=INR","Period=FY","BEST_FPERIOD_OVERRIDE=FY","FILING_STATUS=OR","EQY_CONSOLIDATED=Y","Sort=A","Dates=H","DateFormat=P","Fill=—","Direction=H","UseDPDF=Y")</f>
        <v>#NAME?</v>
      </c>
      <c r="AB323" s="2" t="e">
        <f ca="1">_xll.BDH($C$303,"NET_FIXED_ASSETS_1_YEAR_GROWTH","FY 2018","FY 2018","Currency=INR","Period=FY","BEST_FPERIOD_OVERRIDE=FY","FILING_STATUS=OR","EQY_CONSOLIDATED=Y","Sort=A","Dates=H","DateFormat=P","Fill=—","Direction=H","UseDPDF=Y")</f>
        <v>#NAME?</v>
      </c>
      <c r="AC323" s="2" t="e">
        <f ca="1">_xll.BDH($C$303,"ASSET_GROWTH","FY 2018","FY 2018","Currency=INR","Period=FY","BEST_FPERIOD_OVERRIDE=FY","FILING_STATUS=OR","EQY_CONSOLIDATED=Y","Sort=A","Dates=H","DateFormat=P","Fill=—","Direction=H","UseDPDF=Y")</f>
        <v>#NAME?</v>
      </c>
      <c r="AD323" s="2" t="e">
        <f ca="1">_xll.BDH($C$303,"MODIFIED_WORK_CAP_GROWTH","FY 2018","FY 2018","Currency=INR","Period=FY","BEST_FPERIOD_OVERRIDE=FY","FILING_STATUS=OR","EQY_CONSOLIDATED=Y","Sort=A","Dates=H","DateFormat=P","Fill=—","Direction=H","UseDPDF=Y")</f>
        <v>#NAME?</v>
      </c>
      <c r="AE323" s="2" t="e">
        <f ca="1">_xll.BDH($C$303,"WORK_CAP_GROWTH","FY 2018","FY 2018","Currency=INR","Period=FY","BEST_FPERIOD_OVERRIDE=FY","FILING_STATUS=OR","EQY_CONSOLIDATED=Y","Sort=A","Dates=H","DateFormat=P","Fill=—","Direction=H","UseDPDF=Y")</f>
        <v>#NAME?</v>
      </c>
      <c r="AF323" s="2" t="e">
        <f ca="1">_xll.BDH($C$303,"ACCOUNTS_PAYABLE_GROWTH_1YR","FY 2018","FY 2018","Currency=INR","Period=FY","BEST_FPERIOD_OVERRIDE=FY","FILING_STATUS=OR","EQY_CONSOLIDATED=Y","Sort=A","Dates=H","DateFormat=P","Fill=—","Direction=H","UseDPDF=Y")</f>
        <v>#NAME?</v>
      </c>
      <c r="AG323" s="2" t="e">
        <f ca="1">_xll.BDH($C$303,"SHORT_TERM_DEBT_1_YEAR_GROWTH","FY 2018","FY 2018","Currency=INR","Period=FY","BEST_FPERIOD_OVERRIDE=FY","FILING_STATUS=OR","EQY_CONSOLIDATED=Y","Sort=A","Dates=H","DateFormat=P","Fill=—","Direction=H","UseDPDF=Y")</f>
        <v>#NAME?</v>
      </c>
      <c r="AH323" s="2" t="e">
        <f ca="1">_xll.BDH($C$303,"TOTAL_DEBT_1_YEAR_GROWTH","FY 2018","FY 2018","Currency=INR","Period=FY","BEST_FPERIOD_OVERRIDE=FY","FILING_STATUS=OR","EQY_CONSOLIDATED=Y","Sort=A","Dates=H","DateFormat=P","Fill=—","Direction=H","UseDPDF=Y")</f>
        <v>#NAME?</v>
      </c>
      <c r="AI323" s="2" t="e">
        <f ca="1">_xll.BDH($C$303,"TOTAL_EQUITY_1_YEAR_GROWTH","FY 2018","FY 2018","Currency=INR","Period=FY","BEST_FPERIOD_OVERRIDE=FY","FILING_STATUS=OR","EQY_CONSOLIDATED=Y","Sort=A","Dates=H","DateFormat=P","Fill=—","Direction=H","UseDPDF=Y")</f>
        <v>#NAME?</v>
      </c>
      <c r="AJ323" s="2" t="e">
        <f ca="1">_xll.BDH($C$303,"GROWTH_IN_CAP","FY 2018","FY 2018","Currency=INR","Period=FY","BEST_FPERIOD_OVERRIDE=FY","FILING_STATUS=OR","EQY_CONSOLIDATED=Y","Sort=A","Dates=H","DateFormat=P","Fill=—","Direction=H","UseDPDF=Y")</f>
        <v>#NAME?</v>
      </c>
      <c r="AK323" s="2" t="e">
        <f ca="1">_xll.BDH($C$303,"BVPS_GROWTH","FY 2018","FY 2018","Currency=INR","Period=FY","BEST_FPERIOD_OVERRIDE=FY","FILING_STATUS=OR","EQY_CONSOLIDATED=Y","Sort=A","Dates=H","DateFormat=P","Fill=—","Direction=H","UseDPDF=Y")</f>
        <v>#NAME?</v>
      </c>
      <c r="AL323" s="2" t="e">
        <f ca="1">_xll.BDH($C$303,"CASH_FLOW_GROWTH","FY 2018","FY 2018","Currency=INR","Period=FY","BEST_FPERIOD_OVERRIDE=FY","FILING_STATUS=OR","EQY_CONSOLIDATED=Y","Sort=A","Dates=H","DateFormat=P","Fill=—","Direction=H","UseDPDF=Y")</f>
        <v>#NAME?</v>
      </c>
      <c r="AM323" s="2" t="e">
        <f ca="1">_xll.BDH($C$303,"GEO_GROW_NET_SALES","FY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323" s="2" t="e">
        <f ca="1">_xll.BDH($C$303,"GEO_GROW_EBITDA","FY 2018","FY 2018","Currency=INR","Period=FY","BEST_FPERIOD_OVERRIDE=FY","FILING_STATUS=OR","EQY_CONSOLIDATED=Y","FA_ADJUSTED=GAAP","Sort=A","Dates=H","DateFormat=P","Fill=—","Direction=H","UseDPDF=Y")</f>
        <v>#NAME?</v>
      </c>
      <c r="AO323" s="2" t="e">
        <f ca="1">_xll.BDH($C$303,"GEO_GROW_OPER_INC","FY 2018","FY 2018","Currency=INR","Period=FY","BEST_FPERIOD_OVERRIDE=FY","FILING_STATUS=OR","EQY_CONSOLIDATED=Y","FA_ADJUSTED=GAAP","Sort=A","Dates=H","DateFormat=P","Fill=—","Direction=H","UseDPDF=Y")</f>
        <v>#NAME?</v>
      </c>
      <c r="AP323" s="2" t="e">
        <f ca="1">_xll.BDH($C$303,"NET_INCOME_TO_COMMON_5_YR_GROWTH","FY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323" s="2" t="e">
        <f ca="1">_xll.BDH($C$303,"5Y_GEO_GROWTH_DILUTED_EPS","FY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323" s="2" t="e">
        <f ca="1">_xll.BDH($C$303,"GEO_GROW_DVD_PER_SH","FY 2018","FY 2018","Currency=INR","Period=FY","BEST_FPERIOD_OVERRIDE=FY","FILING_STATUS=OR","EQY_CONSOLIDATED=Y","Sort=A","Dates=H","DateFormat=P","Fill=—","Direction=H","UseDPDF=Y")</f>
        <v>#NAME?</v>
      </c>
      <c r="AS323" s="2" t="e">
        <f ca="1">_xll.BDH($C$303,"ACCOUNTS_RECEIVABLE_5_YR_GROWTH","FY 2018","FY 2018","Currency=INR","Period=FY","BEST_FPERIOD_OVERRIDE=FY","FILING_STATUS=OR","EQY_CONSOLIDATED=Y","Sort=A","Dates=H","DateFormat=P","Fill=—","Direction=H","UseDPDF=Y")</f>
        <v>#NAME?</v>
      </c>
      <c r="AT323" s="2" t="e">
        <f ca="1">_xll.BDH($C$303,"INVENTORY_5_YEAR_GROWTH","FY 2018","FY 2018","Currency=INR","Period=FY","BEST_FPERIOD_OVERRIDE=FY","FILING_STATUS=OR","EQY_CONSOLIDATED=Y","Sort=A","Dates=H","DateFormat=P","Fill=—","Direction=H","UseDPDF=Y")</f>
        <v>#NAME?</v>
      </c>
      <c r="AU323" s="2" t="e">
        <f ca="1">_xll.BDH($C$303,"NET_FIXED_ASSETS_5_YEAR_GROWTH","FY 2018","FY 2018","Currency=INR","Period=FY","BEST_FPERIOD_OVERRIDE=FY","FILING_STATUS=OR","EQY_CONSOLIDATED=Y","Sort=A","Dates=H","DateFormat=P","Fill=—","Direction=H","UseDPDF=Y")</f>
        <v>#NAME?</v>
      </c>
      <c r="AV323" s="2" t="e">
        <f ca="1">_xll.BDH($C$303,"GEO_GROW_TOT_ASSET","FY 2018","FY 2018","Currency=INR","Period=FY","BEST_FPERIOD_OVERRIDE=FY","FILING_STATUS=OR","EQY_CONSOLIDATED=Y","Sort=A","Dates=H","DateFormat=P","Fill=—","Direction=H","UseDPDF=Y")</f>
        <v>#NAME?</v>
      </c>
      <c r="AW323" s="2" t="e">
        <f ca="1">_xll.BDH($C$303,"MODIFIED_WORKING_CPTL_5YR_GRWTH","FY 2018","FY 2018","Currency=INR","Period=FY","BEST_FPERIOD_OVERRIDE=FY","FILING_STATUS=OR","EQY_CONSOLIDATED=Y","Sort=A","Dates=H","DateFormat=P","Fill=—","Direction=H","UseDPDF=Y")</f>
        <v>#NAME?</v>
      </c>
      <c r="AX323" s="2" t="e">
        <f ca="1">_xll.BDH($C$303,"WORKING_CAPITAL_5_YEAR_GROWTH","FY 2018","FY 2018","Currency=INR","Period=FY","BEST_FPERIOD_OVERRIDE=FY","FILING_STATUS=OR","EQY_CONSOLIDATED=Y","Sort=A","Dates=H","DateFormat=P","Fill=—","Direction=H","UseDPDF=Y")</f>
        <v>#NAME?</v>
      </c>
      <c r="AY323" s="2" t="e">
        <f ca="1">_xll.BDH($C$303,"ACCOUNTS_PAYABLE_5_YEAR_GROWTH","FY 2018","FY 2018","Currency=INR","Period=FY","BEST_FPERIOD_OVERRIDE=FY","FILING_STATUS=OR","EQY_CONSOLIDATED=Y","Sort=A","Dates=H","DateFormat=P","Fill=—","Direction=H","UseDPDF=Y")</f>
        <v>#NAME?</v>
      </c>
      <c r="AZ323" s="2" t="e">
        <f ca="1">_xll.BDH($C$303,"SHORT_TERM_DEBT_5_YEAR_GROWTH","FY 2018","FY 2018","Currency=INR","Period=FY","BEST_FPERIOD_OVERRIDE=FY","FILING_STATUS=OR","EQY_CONSOLIDATED=Y","Sort=A","Dates=H","DateFormat=P","Fill=—","Direction=H","UseDPDF=Y")</f>
        <v>#NAME?</v>
      </c>
      <c r="BA323" s="2" t="e">
        <f ca="1">_xll.BDH($C$303,"TOTAL_DEBT_5_YEAR_GROWTH","FY 2018","FY 2018","Currency=INR","Period=FY","BEST_FPERIOD_OVERRIDE=FY","FILING_STATUS=OR","EQY_CONSOLIDATED=Y","Sort=A","Dates=H","DateFormat=P","Fill=—","Direction=H","UseDPDF=Y")</f>
        <v>#NAME?</v>
      </c>
      <c r="BB323" s="2" t="e">
        <f ca="1">_xll.BDH($C$303,"GEO_GROW_TOT_SHRHLDR_EQY","FY 2018","FY 2018","Currency=INR","Period=FY","BEST_FPERIOD_OVERRIDE=FY","FILING_STATUS=OR","EQY_CONSOLIDATED=Y","Sort=A","Dates=H","DateFormat=P","Fill=—","Direction=H","UseDPDF=Y")</f>
        <v>#NAME?</v>
      </c>
      <c r="BC323" s="2" t="e">
        <f ca="1">_xll.BDH($C$303,"TOTAL_CAPITAL_5_YEAR_GROWTH","FY 2018","FY 2018","Currency=INR","Period=FY","BEST_FPERIOD_OVERRIDE=FY","FILING_STATUS=OR","EQY_CONSOLIDATED=Y","Sort=A","Dates=H","DateFormat=P","Fill=—","Direction=H","UseDPDF=Y")</f>
        <v>#NAME?</v>
      </c>
      <c r="BD323" s="2" t="e">
        <f ca="1">_xll.BDH($C$303,"GEO_GROW_BOOK_VAL","FY 2018","FY 2018","Currency=INR","Period=FY","BEST_FPERIOD_OVERRIDE=FY","FILING_STATUS=OR","EQY_CONSOLIDATED=Y","Sort=A","Dates=H","DateFormat=P","Fill=—","Direction=H","UseDPDF=Y")</f>
        <v>#NAME?</v>
      </c>
      <c r="BE323" s="2" t="e">
        <f ca="1">_xll.BDH($C$303,"GEO_GROW_CASH_OPER_ACT","FY 2018","FY 2018","Currency=INR","Period=FY","BEST_FPERIOD_OVERRIDE=FY","FILING_STATUS=OR","EQY_CONSOLIDATED=Y","Sort=A","Dates=H","DateFormat=P","Fill=—","Direction=H","UseDPDF=Y")</f>
        <v>#NAME?</v>
      </c>
      <c r="BF323" s="2" t="e">
        <f ca="1">_xll.BDH($C$303,"REVENUE_SEQUENTIAL_GROWTH","FY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323" s="2" t="e">
        <f ca="1">_xll.BDH($C$303,"EBITDA_SEQUENTIAL_GROWTH","FY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323" s="2" t="e">
        <f ca="1">_xll.BDH($C$303,"OPERATING_INCOME_SEQ_GROWTH","FY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323" s="2" t="e">
        <f ca="1">_xll.BDH($C$303,"NET_INCOME_TO_COMMON_SEQ_GROWTH","FY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323" s="2" t="e">
        <f ca="1">_xll.BDH($C$303,"EPS_DILUTED_SEQUENTIAL_GROWTH","FY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323" s="2" t="e">
        <f ca="1">_xll.BDH($C$303,"DPS_SEQUENTIAL_GROWTH","FY 2018","FY 2018","Currency=INR","Period=FY","BEST_FPERIOD_OVERRIDE=FY","FILING_STATUS=OR","EQY_CONSOLIDATED=Y","Sort=A","Dates=H","DateFormat=P","Fill=—","Direction=H","UseDPDF=Y")</f>
        <v>#NAME?</v>
      </c>
      <c r="BL323" s="2" t="e">
        <f ca="1">_xll.BDH($C$303,"ACCOUNTS_RECEIVABLE_SEQ_GROWTH","FY 2018","FY 2018","Currency=INR","Period=FY","BEST_FPERIOD_OVERRIDE=FY","FILING_STATUS=OR","EQY_CONSOLIDATED=Y","Sort=A","Dates=H","DateFormat=P","Fill=—","Direction=H","UseDPDF=Y")</f>
        <v>#NAME?</v>
      </c>
      <c r="BM323" s="2" t="e">
        <f ca="1">_xll.BDH($C$303,"INVENTORY_SEQUENTIAL_GROWTH","FY 2018","FY 2018","Currency=INR","Period=FY","BEST_FPERIOD_OVERRIDE=FY","FILING_STATUS=OR","EQY_CONSOLIDATED=Y","Sort=A","Dates=H","DateFormat=P","Fill=—","Direction=H","UseDPDF=Y")</f>
        <v>#NAME?</v>
      </c>
      <c r="BN323" s="2" t="e">
        <f ca="1">_xll.BDH($C$303,"FIXED_ASSETS_SEQUENTIAL_GROWTH","FY 2018","FY 2018","Currency=INR","Period=FY","BEST_FPERIOD_OVERRIDE=FY","FILING_STATUS=OR","EQY_CONSOLIDATED=Y","Sort=A","Dates=H","DateFormat=P","Fill=—","Direction=H","UseDPDF=Y")</f>
        <v>#NAME?</v>
      </c>
      <c r="BO323" s="2" t="e">
        <f ca="1">_xll.BDH($C$303,"TOTAL_ASSETS_SEQUENTIAL_GROWTH","FY 2018","FY 2018","Currency=INR","Period=FY","BEST_FPERIOD_OVERRIDE=FY","FILING_STATUS=OR","EQY_CONSOLIDATED=Y","Sort=A","Dates=H","DateFormat=P","Fill=—","Direction=H","UseDPDF=Y")</f>
        <v>#NAME?</v>
      </c>
      <c r="BP323" s="2" t="e">
        <f ca="1">_xll.BDH($C$303,"MODIFIED_WORKING_CPTL_SEQ_GRWTH","FY 2018","FY 2018","Currency=INR","Period=FY","BEST_FPERIOD_OVERRIDE=FY","FILING_STATUS=OR","EQY_CONSOLIDATED=Y","Sort=A","Dates=H","DateFormat=P","Fill=—","Direction=H","UseDPDF=Y")</f>
        <v>#NAME?</v>
      </c>
      <c r="BQ323" s="2" t="e">
        <f ca="1">_xll.BDH($C$303,"WORKING_CAPITAL_SEQ_GROWTH","FY 2018","FY 2018","Currency=INR","Period=FY","BEST_FPERIOD_OVERRIDE=FY","FILING_STATUS=OR","EQY_CONSOLIDATED=Y","Sort=A","Dates=H","DateFormat=P","Fill=—","Direction=H","UseDPDF=Y")</f>
        <v>#NAME?</v>
      </c>
      <c r="BR323" s="2" t="e">
        <f ca="1">_xll.BDH($C$303,"ACCOUNTS_PAYABLE_SEQ_GROWTH","FY 2018","FY 2018","Currency=INR","Period=FY","BEST_FPERIOD_OVERRIDE=FY","FILING_STATUS=OR","EQY_CONSOLIDATED=Y","Sort=A","Dates=H","DateFormat=P","Fill=—","Direction=H","UseDPDF=Y")</f>
        <v>#NAME?</v>
      </c>
      <c r="BS323" s="2" t="e">
        <f ca="1">_xll.BDH($C$303,"ST_DEBT_SEQUENTIAL_GROWTH","FY 2018","FY 2018","Currency=INR","Period=FY","BEST_FPERIOD_OVERRIDE=FY","FILING_STATUS=OR","EQY_CONSOLIDATED=Y","Sort=A","Dates=H","DateFormat=P","Fill=—","Direction=H","UseDPDF=Y")</f>
        <v>#NAME?</v>
      </c>
      <c r="BT323" s="2" t="e">
        <f ca="1">_xll.BDH($C$303,"TOTAL_DEBT_SEQUENTIAL_GROWTH","FY 2018","FY 2018","Currency=INR","Period=FY","BEST_FPERIOD_OVERRIDE=FY","FILING_STATUS=OR","EQY_CONSOLIDATED=Y","Sort=A","Dates=H","DateFormat=P","Fill=—","Direction=H","UseDPDF=Y")</f>
        <v>#NAME?</v>
      </c>
      <c r="BU323" s="2" t="e">
        <f ca="1">_xll.BDH($C$303,"TOTAL_EQUITY_SEQUENTIAL_GROWTH","FY 2018","FY 2018","Currency=INR","Period=FY","BEST_FPERIOD_OVERRIDE=FY","FILING_STATUS=OR","EQY_CONSOLIDATED=Y","Sort=A","Dates=H","DateFormat=P","Fill=—","Direction=H","UseDPDF=Y")</f>
        <v>#NAME?</v>
      </c>
      <c r="BV323" s="2" t="e">
        <f ca="1">_xll.BDH($C$303,"TOTAL_CAPITAL_SEQUENTIAL_GROWTH","FY 2018","FY 2018","Currency=INR","Period=FY","BEST_FPERIOD_OVERRIDE=FY","FILING_STATUS=OR","EQY_CONSOLIDATED=Y","Sort=A","Dates=H","DateFormat=P","Fill=—","Direction=H","UseDPDF=Y")</f>
        <v>#NAME?</v>
      </c>
      <c r="BW323" s="2" t="e">
        <f ca="1">_xll.BDH($C$303,"BPS_SEQUENTIAL_GROWTH","FY 2018","FY 2018","Currency=INR","Period=FY","BEST_FPERIOD_OVERRIDE=FY","FILING_STATUS=OR","EQY_CONSOLIDATED=Y","Sort=A","Dates=H","DateFormat=P","Fill=—","Direction=H","UseDPDF=Y")</f>
        <v>#NAME?</v>
      </c>
      <c r="BX323" s="2" t="e">
        <f ca="1">_xll.BDH($C$303,"CFO_SEQUENTIAL_GROWTH","FY 2018","FY 2018","Currency=INR","Period=FY","BEST_FPERIOD_OVERRIDE=FY","FILING_STATUS=OR","EQY_CONSOLIDATED=Y","Sort=A","Dates=H","DateFormat=P","Fill=—","Direction=H","UseDPDF=Y")</f>
        <v>#NAME?</v>
      </c>
      <c r="BY323" s="3" t="e">
        <f ca="1">_xll.BDH($C$303,"SHORT_AND_LONG_TERM_DEBT","FY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323" s="3" t="e">
        <f ca="1">_xll.BDH($C$303,"BS_ST_BORROW","FY 2018","FY 2018","Currency=INR","Period=FY","BEST_FPERIOD_OVERRIDE=FY","FILING_STATUS=OR","EQY_CONSOLIDATED=Y","SCALING_FORMAT=MLN","Sort=A","Dates=H","DateFormat=P","Fill=—","Direction=H","UseDPDF=Y")</f>
        <v>#NAME?</v>
      </c>
      <c r="CA323" s="3" t="e">
        <f ca="1">_xll.BDH($C$303,"BS_LT_BORROW","FY 2018","FY 2018","Currency=INR","Period=FY","BEST_FPERIOD_OVERRIDE=FY","FILING_STATUS=OR","EQY_CONSOLIDATED=Y","SCALING_FORMAT=MLN","Sort=A","Dates=H","DateFormat=P","Fill=—","Direction=H","UseDPDF=Y")</f>
        <v>#NAME?</v>
      </c>
      <c r="CB323" s="2" t="e">
        <f ca="1">_xll.BDH($C$303,"TOT_DEBT_TO_EBITDA","FY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323" s="2" t="e">
        <f ca="1">_xll.BDH($C$303,"NET_DEBT_TO_EBITDA","FY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323" s="2" t="e">
        <f ca="1">_xll.BDH($C$303,"TOTAL_DEBT_TO_EBIT","FY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323" s="2" t="e">
        <f ca="1">_xll.BDH($C$303,"NET_DEBT_TO_EBIT","FY 2018","FY 2018","Currency=INR","Period=FY","BEST_FPERIOD_OVERRIDE=FY","FILING_STATUS=OR","EQY_CONSOLIDATED=Y","FA_ADJUSTED=GAAP","Sort=A","Dates=H","DateFormat=P","Fill=—","Direction=H","UseDPDF=Y")</f>
        <v>#NAME?</v>
      </c>
      <c r="CF323" s="2" t="e">
        <f ca="1">_xll.BDH($C$303,"EBITDA_TO_INTEREST_EXPN","FY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323" s="2" t="e">
        <f ca="1">_xll.BDH($C$303,"COM_EQY_TO_TOT_ASSET","FY 2018","FY 2018","Currency=INR","Period=FY","BEST_FPERIOD_OVERRIDE=FY","FILING_STATUS=OR","EQY_CONSOLIDATED=Y","Sort=A","Dates=H","DateFormat=P","Fill=—","Direction=H","UseDPDF=Y")</f>
        <v>#NAME?</v>
      </c>
      <c r="CH323" s="2" t="e">
        <f ca="1">_xll.BDH($C$303,"LT_DEBT_TO_TOT_EQY","FY 2018","FY 2018","Currency=INR","Period=FY","BEST_FPERIOD_OVERRIDE=FY","FILING_STATUS=OR","EQY_CONSOLIDATED=Y","Sort=A","Dates=H","DateFormat=P","Fill=—","Direction=H","UseDPDF=Y")</f>
        <v>#NAME?</v>
      </c>
      <c r="CI323" s="2" t="e">
        <f ca="1">_xll.BDH($C$303,"LT_DEBT_TO_TOT_CAP","FY 2018","FY 2018","Currency=INR","Period=FY","BEST_FPERIOD_OVERRIDE=FY","FILING_STATUS=OR","EQY_CONSOLIDATED=Y","Sort=A","Dates=H","DateFormat=P","Fill=—","Direction=H","UseDPDF=Y")</f>
        <v>#NAME?</v>
      </c>
      <c r="CJ323" s="2" t="e">
        <f ca="1">_xll.BDH($C$303,"LT_DEBT_TO_TOT_ASSET","FY 2018","FY 2018","Currency=INR","Period=FY","BEST_FPERIOD_OVERRIDE=FY","FILING_STATUS=OR","EQY_CONSOLIDATED=Y","Sort=A","Dates=H","DateFormat=P","Fill=—","Direction=H","UseDPDF=Y")</f>
        <v>#NAME?</v>
      </c>
      <c r="CK323" s="2" t="e">
        <f ca="1">_xll.BDH($C$303,"TOT_DEBT_TO_TOT_EQY","FY 2018","FY 2018","Currency=INR","Period=FY","BEST_FPERIOD_OVERRIDE=FY","FILING_STATUS=OR","EQY_CONSOLIDATED=Y","Sort=A","Dates=H","DateFormat=P","Fill=—","Direction=H","UseDPDF=Y")</f>
        <v>#NAME?</v>
      </c>
      <c r="CL323" s="2" t="e">
        <f ca="1">_xll.BDH($C$303,"TOT_DEBT_TO_TOT_CAP","FY 2018","FY 2018","Currency=INR","Period=FY","BEST_FPERIOD_OVERRIDE=FY","FILING_STATUS=OR","EQY_CONSOLIDATED=Y","Sort=A","Dates=H","DateFormat=P","Fill=—","Direction=H","UseDPDF=Y")</f>
        <v>#NAME?</v>
      </c>
      <c r="CM323" s="2" t="e">
        <f ca="1">_xll.BDH($C$303,"TOT_DEBT_TO_TOT_ASSET","FY 2018","FY 2018","Currency=INR","Period=FY","BEST_FPERIOD_OVERRIDE=FY","FILING_STATUS=OR","EQY_CONSOLIDATED=Y","Sort=A","Dates=H","DateFormat=P","Fill=—","Direction=H","UseDPDF=Y")</f>
        <v>#NAME?</v>
      </c>
      <c r="CN323" s="2" t="e">
        <f ca="1">_xll.BDH($C$303,"NET_DEBT_TO_SHRHLDR_EQTY","FY 2018","FY 2018","Currency=INR","Period=FY","BEST_FPERIOD_OVERRIDE=FY","FILING_STATUS=OR","EQY_CONSOLIDATED=Y","Sort=A","Dates=H","DateFormat=P","Fill=—","Direction=H","UseDPDF=Y")</f>
        <v>#NAME?</v>
      </c>
      <c r="CO323" s="2" t="e">
        <f ca="1">_xll.BDH($C$303,"NET_DEBT_%_CAPITAL","FY 2018","FY 2018","Currency=INR","Period=FY","BEST_FPERIOD_OVERRIDE=FY","FILING_STATUS=OR","EQY_CONSOLIDATED=Y","Sort=A","Dates=H","DateFormat=P","Fill=—","Direction=H","UseDPDF=Y")</f>
        <v>#NAME?</v>
      </c>
      <c r="CP323" s="3" t="e">
        <f ca="1">_xll.BDH($C$303,"EBITDA","FY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323" s="3" t="e">
        <f ca="1">_xll.BDH($C$303,"EBITDA_AFTER_CAPEX","FY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323" s="3" t="e">
        <f ca="1">_xll.BDH($C$303,"IS_OPER_INC","FY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323" s="2" t="e">
        <f ca="1">_xll.BDH($C$303,"CASH_RATIO","FY 2018","FY 2018","Currency=INR","Period=FY","BEST_FPERIOD_OVERRIDE=FY","FILING_STATUS=OR","EQY_CONSOLIDATED=Y","Sort=A","Dates=H","DateFormat=P","Fill=—","Direction=H","UseDPDF=Y")</f>
        <v>#NAME?</v>
      </c>
      <c r="CT323" s="2" t="e">
        <f ca="1">_xll.BDH($C$303,"CUR_RATIO","FY 2018","FY 2018","Currency=INR","Period=FY","BEST_FPERIOD_OVERRIDE=FY","FILING_STATUS=OR","EQY_CONSOLIDATED=Y","Sort=A","Dates=H","DateFormat=P","Fill=—","Direction=H","UseDPDF=Y")</f>
        <v>#NAME?</v>
      </c>
      <c r="CU323" s="2" t="e">
        <f ca="1">_xll.BDH($C$303,"QUICK_RATIO","FY 2018","FY 2018","Currency=INR","Period=FY","BEST_FPERIOD_OVERRIDE=FY","FILING_STATUS=OR","EQY_CONSOLIDATED=Y","Sort=A","Dates=H","DateFormat=P","Fill=—","Direction=H","UseDPDF=Y")</f>
        <v>#NAME?</v>
      </c>
      <c r="CV323" s="2" t="e">
        <f ca="1">_xll.BDH($C$303,"ALTMAN_Z_SCORE","FY 2018","FY 2018","Currency=INR","Period=FY","BEST_FPERIOD_OVERRIDE=FY","FILING_STATUS=OR","EQY_CONSOLIDATED=Y","Sort=A","Dates=H","DateFormat=P","Fill=—","Direction=H","UseDPDF=Y")</f>
        <v>#NAME?</v>
      </c>
      <c r="CW323" s="4" t="e">
        <f ca="1">_xll.BDH($C$303,"ACCT_RCV_TURN","FY 2018","FY 2018","Currency=INR","Period=FY","BEST_FPERIOD_OVERRIDE=FY","FILING_STATUS=OR","EQY_CONSOLIDATED=Y","FA_ADJUSTED=GAAP","Sort=A","Dates=H","DateFormat=P","Fill=—","Direction=H","UseDPDF=Y")</f>
        <v>#NAME?</v>
      </c>
      <c r="CX323" s="2" t="e">
        <f ca="1">_xll.BDH($C$303,"ACCT_RCV_DAYS","FY 2018","FY 2018","Currency=INR","Period=FY","BEST_FPERIOD_OVERRIDE=FY","FILING_STATUS=OR","EQY_CONSOLIDATED=Y","FA_ADJUSTED=GAAP","Sort=A","Dates=H","DateFormat=P","Fill=—","Direction=H","UseDPDF=Y")</f>
        <v>#NAME?</v>
      </c>
      <c r="CY323" s="4" t="e">
        <f ca="1">_xll.BDH($C$303,"INVENT_TURN","FY 2018","FY 2018","Currency=INR","Period=FY","BEST_FPERIOD_OVERRIDE=FY","FILING_STATUS=OR","EQY_CONSOLIDATED=Y","FA_ADJUSTED=GAAP","Sort=A","Dates=H","DateFormat=P","Fill=—","Direction=H","UseDPDF=Y")</f>
        <v>#NAME?</v>
      </c>
      <c r="CZ323" s="2" t="e">
        <f ca="1">_xll.BDH($C$303,"INVENT_DAYS","FY 2018","FY 2018","Currency=INR","Period=FY","BEST_FPERIOD_OVERRIDE=FY","FILING_STATUS=OR","EQY_CONSOLIDATED=Y","FA_ADJUSTED=GAAP","Sort=A","Dates=H","DateFormat=P","Fill=—","Direction=H","UseDPDF=Y")</f>
        <v>#NAME?</v>
      </c>
      <c r="DA323" s="4" t="e">
        <f ca="1">_xll.BDH($C$303,"ACCOUNTS_PAYABLE_TURNOVER","FY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323" s="2" t="e">
        <f ca="1">_xll.BDH($C$303,"ACCOUNTS_PAYABLE_TURNOVER_DAYS","FY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323" s="4" t="e">
        <f ca="1">_xll.BDH($C$303,"CASH_CONVERSION_CYCLE","FY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323" s="4" t="e">
        <f ca="1">_xll.BDH($C$303,"INV_TO_CASH_DAYS","FY 2018","FY 2018","Currency=INR","Period=FY","BEST_FPERIOD_OVERRIDE=FY","FILING_STATUS=OR","EQY_CONSOLIDATED=Y","FA_ADJUSTED=GAAP","Sort=A","Dates=H","DateFormat=P","Fill=—","Direction=H","UseDPDF=Y")</f>
        <v>#NAME?</v>
      </c>
      <c r="DE323" s="5" t="e">
        <f ca="1">_xll.BDH($C$303,"BS_INVENTORIES","FY 2018","FY 2018","Currency=INR","Period=FY","BEST_FPERIOD_OVERRIDE=FY","FILING_STATUS=OR","EQY_CONSOLIDATED=Y","SCALING_FORMAT=MLN","Sort=A","Dates=H","DateFormat=P","Fill=—","Direction=H","UseDPDF=Y")</f>
        <v>#NAME?</v>
      </c>
      <c r="DF323" s="3" t="e">
        <f ca="1">_xll.BDH($C$303,"INVTRY_RAW_MATERIALS","FY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323" s="3" t="e">
        <f ca="1">_xll.BDH($C$303,"INVTRY_IN_PROGRESS","FY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323" s="3" t="e">
        <f ca="1">_xll.BDH($C$303,"INVTRY_FINISHED_GOODS","FY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323" s="3" t="e">
        <f ca="1">_xll.BDH($C$303,"BS_OTHER_INV","FY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324" spans="1:113" x14ac:dyDescent="0.3">
      <c r="A324" s="6"/>
      <c r="B324" s="6"/>
      <c r="C324" s="6"/>
      <c r="D324" s="6"/>
      <c r="E324" t="s">
        <v>78</v>
      </c>
      <c r="F324" t="e">
        <f ca="1">_xll.BDH($C$303,"RETURN_COM_EQY","FQ1 2018","FQ1 2018","Currency=INR","Period=FQ","BEST_FPERIOD_OVERRIDE=FQ","FILING_STATUS=OR","EQY_CONSOLIDATED=Y","FA_ADJUSTED=GAAP","Sort=A","Dates=H","DateFormat=P","Fill=—","Direction=H","UseDPDF=Y")</f>
        <v>#NAME?</v>
      </c>
      <c r="G324" t="e">
        <f ca="1">_xll.BDH($C$303,"RETURN_ON_ASSET","FQ1 2018","FQ1 2018","Currency=INR","Period=FQ","BEST_FPERIOD_OVERRIDE=FQ","FILING_STATUS=OR","EQY_CONSOLIDATED=Y","FA_ADJUSTED=GAAP","Sort=A","Dates=H","DateFormat=P","Fill=—","Direction=H","UseDPDF=Y")</f>
        <v>#NAME?</v>
      </c>
      <c r="H324" t="e">
        <f ca="1">_xll.BDH($C$303,"RETURN_ON_CAP","FQ1 2018","FQ1 2018","Currency=INR","Period=FQ","BEST_FPERIOD_OVERRIDE=FQ","FILING_STATUS=OR","EQY_CONSOLIDATED=Y","FA_ADJUSTED=GAAP","Sort=A","Dates=H","DateFormat=P","Fill=—","Direction=H","UseDPDF=Y")</f>
        <v>#NAME?</v>
      </c>
      <c r="I324" t="e">
        <f ca="1">_xll.BDH($C$303,"RETURN_ON_INV_CAPITAL","FQ1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324" t="e">
        <f ca="1">_xll.BDH($C$303,"EBITDA_TO_REVENUE","FQ1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324" t="e">
        <f ca="1">_xll.BDH($C$303,"OPER_MARGIN","FQ1 2018","FQ1 2018","Currency=INR","Period=FQ","BEST_FPERIOD_OVERRIDE=FQ","FILING_STATUS=OR","EQY_CONSOLIDATED=Y","FA_ADJUSTED=GAAP","Sort=A","Dates=H","DateFormat=P","Fill=—","Direction=H","UseDPDF=Y")</f>
        <v>#NAME?</v>
      </c>
      <c r="L324" t="e">
        <f ca="1">_xll.BDH($C$303,"INCREMENTAL_OPERATING_MARGIN","FQ1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324" t="e">
        <f ca="1">_xll.BDH($C$303,"PRETAX_INC_TO_NET_SALES","FQ1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324" t="e">
        <f ca="1">_xll.BDH($C$303,"INC_BEF_XO_ITEMS_TO_NET_SALES","FQ1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324" t="e">
        <f ca="1">_xll.BDH($C$303,"PROF_MARGIN","FQ1 2018","FQ1 2018","Currency=INR","Period=FQ","BEST_FPERIOD_OVERRIDE=FQ","FILING_STATUS=OR","EQY_CONSOLIDATED=Y","FA_ADJUSTED=GAAP","Sort=A","Dates=H","DateFormat=P","Fill=—","Direction=H","UseDPDF=Y")</f>
        <v>#NAME?</v>
      </c>
      <c r="P324" t="e">
        <f ca="1">_xll.BDH($C$303,"NET_INCOME_TO_COMMON_MARGIN","FQ1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324" t="e">
        <f ca="1">_xll.BDH($C$303,"EFF_TAX_RATE","FQ1 2018","FQ1 2018","Currency=INR","Period=FQ","BEST_FPERIOD_OVERRIDE=FQ","FILING_STATUS=OR","EQY_CONSOLIDATED=Y","FA_ADJUSTED=GAAP","Sort=A","Dates=H","DateFormat=P","Fill=—","Direction=H","UseDPDF=Y")</f>
        <v>#NAME?</v>
      </c>
      <c r="R324" t="e">
        <f ca="1">_xll.BDH($C$303,"DVD_PAYOUT_RATIO","FQ1 2018","FQ1 2018","Currency=INR","Period=FQ","BEST_FPERIOD_OVERRIDE=FQ","FILING_STATUS=OR","EQY_CONSOLIDATED=Y","FA_ADJUSTED=GAAP","Sort=A","Dates=H","DateFormat=P","Fill=—","Direction=H","UseDPDF=Y")</f>
        <v>#NAME?</v>
      </c>
      <c r="S324" t="e">
        <f ca="1">_xll.BDH($C$303,"SUSTAIN_GROWTH_RT","FQ1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324" s="2" t="e">
        <f ca="1">_xll.BDH($C$303,"SALES_GROWTH","FQ1 2018","FQ1 2018","Currency=INR","Period=FQ","BEST_FPERIOD_OVERRIDE=FQ","FILING_STATUS=OR","EQY_CONSOLIDATED=Y","FA_ADJUSTED=GAAP","Sort=A","Dates=H","DateFormat=P","Fill=—","Direction=H","UseDPDF=Y")</f>
        <v>#NAME?</v>
      </c>
      <c r="U324" s="2" t="e">
        <f ca="1">_xll.BDH($C$303,"EBITDA_GROWTH","FQ1 2018","FQ1 2018","Currency=INR","Period=FQ","BEST_FPERIOD_OVERRIDE=FQ","FILING_STATUS=OR","EQY_CONSOLIDATED=Y","FA_ADJUSTED=GAAP","Sort=A","Dates=H","DateFormat=P","Fill=—","Direction=H","UseDPDF=Y")</f>
        <v>#NAME?</v>
      </c>
      <c r="V324" s="2" t="e">
        <f ca="1">_xll.BDH($C$303,"OPER_INC_GROWTH","FQ1 2018","FQ1 2018","Currency=INR","Period=FQ","BEST_FPERIOD_OVERRIDE=FQ","FILING_STATUS=OR","EQY_CONSOLIDATED=Y","FA_ADJUSTED=GAAP","Sort=A","Dates=H","DateFormat=P","Fill=—","Direction=H","UseDPDF=Y")</f>
        <v>#NAME?</v>
      </c>
      <c r="W324" s="2" t="e">
        <f ca="1">_xll.BDH($C$303,"EARN_FOR_COM_GROWTH","FQ1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324" s="2" t="e">
        <f ca="1">_xll.BDH($C$303,"DILUTED_EPS_AFT_XO_ITEMS_GROWTH","FQ1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324" s="2" t="e">
        <f ca="1">_xll.BDH($C$303,"DIVIDEND_PER_SHARE_1_YEAR_GROWTH","FQ1 2018","FQ1 2018","Currency=INR","Period=FQ","BEST_FPERIOD_OVERRIDE=FQ","FILING_STATUS=OR","EQY_CONSOLIDATED=Y","Sort=A","Dates=H","DateFormat=P","Fill=—","Direction=H","UseDPDF=Y")</f>
        <v>#NAME?</v>
      </c>
      <c r="Z324" s="2" t="e">
        <f ca="1">_xll.BDH($C$303,"ACCOUNTS_RECEIVABLE_GROWTH","FQ1 2018","FQ1 2018","Currency=INR","Period=FQ","BEST_FPERIOD_OVERRIDE=FQ","FILING_STATUS=OR","EQY_CONSOLIDATED=Y","Sort=A","Dates=H","DateFormat=P","Fill=—","Direction=H","UseDPDF=Y")</f>
        <v>#NAME?</v>
      </c>
      <c r="AA324" s="2" t="e">
        <f ca="1">_xll.BDH($C$303,"INVENTORY_GROWTH","FQ1 2018","FQ1 2018","Currency=INR","Period=FQ","BEST_FPERIOD_OVERRIDE=FQ","FILING_STATUS=OR","EQY_CONSOLIDATED=Y","Sort=A","Dates=H","DateFormat=P","Fill=—","Direction=H","UseDPDF=Y")</f>
        <v>#NAME?</v>
      </c>
      <c r="AB324" s="2" t="e">
        <f ca="1">_xll.BDH($C$303,"NET_FIXED_ASSETS_1_YEAR_GROWTH","FQ1 2018","FQ1 2018","Currency=INR","Period=FQ","BEST_FPERIOD_OVERRIDE=FQ","FILING_STATUS=OR","EQY_CONSOLIDATED=Y","Sort=A","Dates=H","DateFormat=P","Fill=—","Direction=H","UseDPDF=Y")</f>
        <v>#NAME?</v>
      </c>
      <c r="AC324" s="2" t="e">
        <f ca="1">_xll.BDH($C$303,"ASSET_GROWTH","FQ1 2018","FQ1 2018","Currency=INR","Period=FQ","BEST_FPERIOD_OVERRIDE=FQ","FILING_STATUS=OR","EQY_CONSOLIDATED=Y","Sort=A","Dates=H","DateFormat=P","Fill=—","Direction=H","UseDPDF=Y")</f>
        <v>#NAME?</v>
      </c>
      <c r="AD324" s="2" t="e">
        <f ca="1">_xll.BDH($C$303,"MODIFIED_WORK_CAP_GROWTH","FQ1 2018","FQ1 2018","Currency=INR","Period=FQ","BEST_FPERIOD_OVERRIDE=FQ","FILING_STATUS=OR","EQY_CONSOLIDATED=Y","Sort=A","Dates=H","DateFormat=P","Fill=—","Direction=H","UseDPDF=Y")</f>
        <v>#NAME?</v>
      </c>
      <c r="AE324" s="2" t="e">
        <f ca="1">_xll.BDH($C$303,"WORK_CAP_GROWTH","FQ1 2018","FQ1 2018","Currency=INR","Period=FQ","BEST_FPERIOD_OVERRIDE=FQ","FILING_STATUS=OR","EQY_CONSOLIDATED=Y","Sort=A","Dates=H","DateFormat=P","Fill=—","Direction=H","UseDPDF=Y")</f>
        <v>#NAME?</v>
      </c>
      <c r="AF324" s="2" t="e">
        <f ca="1">_xll.BDH($C$303,"ACCOUNTS_PAYABLE_GROWTH_1YR","FQ1 2018","FQ1 2018","Currency=INR","Period=FQ","BEST_FPERIOD_OVERRIDE=FQ","FILING_STATUS=OR","EQY_CONSOLIDATED=Y","Sort=A","Dates=H","DateFormat=P","Fill=—","Direction=H","UseDPDF=Y")</f>
        <v>#NAME?</v>
      </c>
      <c r="AG324" s="2" t="e">
        <f ca="1">_xll.BDH($C$303,"SHORT_TERM_DEBT_1_YEAR_GROWTH","FQ1 2018","FQ1 2018","Currency=INR","Period=FQ","BEST_FPERIOD_OVERRIDE=FQ","FILING_STATUS=OR","EQY_CONSOLIDATED=Y","Sort=A","Dates=H","DateFormat=P","Fill=—","Direction=H","UseDPDF=Y")</f>
        <v>#NAME?</v>
      </c>
      <c r="AH324" s="2" t="e">
        <f ca="1">_xll.BDH($C$303,"TOTAL_DEBT_1_YEAR_GROWTH","FQ1 2018","FQ1 2018","Currency=INR","Period=FQ","BEST_FPERIOD_OVERRIDE=FQ","FILING_STATUS=OR","EQY_CONSOLIDATED=Y","Sort=A","Dates=H","DateFormat=P","Fill=—","Direction=H","UseDPDF=Y")</f>
        <v>#NAME?</v>
      </c>
      <c r="AI324" s="2" t="e">
        <f ca="1">_xll.BDH($C$303,"TOTAL_EQUITY_1_YEAR_GROWTH","FQ1 2018","FQ1 2018","Currency=INR","Period=FQ","BEST_FPERIOD_OVERRIDE=FQ","FILING_STATUS=OR","EQY_CONSOLIDATED=Y","Sort=A","Dates=H","DateFormat=P","Fill=—","Direction=H","UseDPDF=Y")</f>
        <v>#NAME?</v>
      </c>
      <c r="AJ324" s="2" t="e">
        <f ca="1">_xll.BDH($C$303,"GROWTH_IN_CAP","FQ1 2018","FQ1 2018","Currency=INR","Period=FQ","BEST_FPERIOD_OVERRIDE=FQ","FILING_STATUS=OR","EQY_CONSOLIDATED=Y","Sort=A","Dates=H","DateFormat=P","Fill=—","Direction=H","UseDPDF=Y")</f>
        <v>#NAME?</v>
      </c>
      <c r="AK324" s="2" t="e">
        <f ca="1">_xll.BDH($C$303,"BVPS_GROWTH","FQ1 2018","FQ1 2018","Currency=INR","Period=FQ","BEST_FPERIOD_OVERRIDE=FQ","FILING_STATUS=OR","EQY_CONSOLIDATED=Y","Sort=A","Dates=H","DateFormat=P","Fill=—","Direction=H","UseDPDF=Y")</f>
        <v>#NAME?</v>
      </c>
      <c r="AL324" s="2" t="e">
        <f ca="1">_xll.BDH($C$303,"CASH_FLOW_GROWTH","FQ1 2018","FQ1 2018","Currency=INR","Period=FQ","BEST_FPERIOD_OVERRIDE=FQ","FILING_STATUS=OR","EQY_CONSOLIDATED=Y","Sort=A","Dates=H","DateFormat=P","Fill=—","Direction=H","UseDPDF=Y")</f>
        <v>#NAME?</v>
      </c>
      <c r="AM324" s="2" t="e">
        <f ca="1">_xll.BDH($C$303,"GEO_GROW_NET_SALES","FQ1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324" s="2" t="e">
        <f ca="1">_xll.BDH($C$303,"GEO_GROW_EBITDA","FQ1 2018","FQ1 2018","Currency=INR","Period=FQ","BEST_FPERIOD_OVERRIDE=FQ","FILING_STATUS=OR","EQY_CONSOLIDATED=Y","FA_ADJUSTED=GAAP","Sort=A","Dates=H","DateFormat=P","Fill=—","Direction=H","UseDPDF=Y")</f>
        <v>#NAME?</v>
      </c>
      <c r="AO324" s="2" t="e">
        <f ca="1">_xll.BDH($C$303,"GEO_GROW_OPER_INC","FQ1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324" s="2" t="e">
        <f ca="1">_xll.BDH($C$303,"NET_INCOME_TO_COMMON_5_YR_GROWTH","FQ1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324" s="2" t="e">
        <f ca="1">_xll.BDH($C$303,"5Y_GEO_GROWTH_DILUTED_EPS","FQ1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324" s="2" t="e">
        <f ca="1">_xll.BDH($C$303,"GEO_GROW_DVD_PER_SH","FQ1 2018","FQ1 2018","Currency=INR","Period=FQ","BEST_FPERIOD_OVERRIDE=FQ","FILING_STATUS=OR","EQY_CONSOLIDATED=Y","Sort=A","Dates=H","DateFormat=P","Fill=—","Direction=H","UseDPDF=Y")</f>
        <v>#NAME?</v>
      </c>
      <c r="AS324" s="2" t="e">
        <f ca="1">_xll.BDH($C$303,"ACCOUNTS_RECEIVABLE_5_YR_GROWTH","FQ1 2018","FQ1 2018","Currency=INR","Period=FQ","BEST_FPERIOD_OVERRIDE=FQ","FILING_STATUS=OR","EQY_CONSOLIDATED=Y","Sort=A","Dates=H","DateFormat=P","Fill=—","Direction=H","UseDPDF=Y")</f>
        <v>#NAME?</v>
      </c>
      <c r="AT324" s="2" t="e">
        <f ca="1">_xll.BDH($C$303,"INVENTORY_5_YEAR_GROWTH","FQ1 2018","FQ1 2018","Currency=INR","Period=FQ","BEST_FPERIOD_OVERRIDE=FQ","FILING_STATUS=OR","EQY_CONSOLIDATED=Y","Sort=A","Dates=H","DateFormat=P","Fill=—","Direction=H","UseDPDF=Y")</f>
        <v>#NAME?</v>
      </c>
      <c r="AU324" s="2" t="e">
        <f ca="1">_xll.BDH($C$303,"NET_FIXED_ASSETS_5_YEAR_GROWTH","FQ1 2018","FQ1 2018","Currency=INR","Period=FQ","BEST_FPERIOD_OVERRIDE=FQ","FILING_STATUS=OR","EQY_CONSOLIDATED=Y","Sort=A","Dates=H","DateFormat=P","Fill=—","Direction=H","UseDPDF=Y")</f>
        <v>#NAME?</v>
      </c>
      <c r="AV324" s="2" t="e">
        <f ca="1">_xll.BDH($C$303,"GEO_GROW_TOT_ASSET","FQ1 2018","FQ1 2018","Currency=INR","Period=FQ","BEST_FPERIOD_OVERRIDE=FQ","FILING_STATUS=OR","EQY_CONSOLIDATED=Y","Sort=A","Dates=H","DateFormat=P","Fill=—","Direction=H","UseDPDF=Y")</f>
        <v>#NAME?</v>
      </c>
      <c r="AW324" s="2" t="e">
        <f ca="1">_xll.BDH($C$303,"MODIFIED_WORKING_CPTL_5YR_GRWTH","FQ1 2018","FQ1 2018","Currency=INR","Period=FQ","BEST_FPERIOD_OVERRIDE=FQ","FILING_STATUS=OR","EQY_CONSOLIDATED=Y","Sort=A","Dates=H","DateFormat=P","Fill=—","Direction=H","UseDPDF=Y")</f>
        <v>#NAME?</v>
      </c>
      <c r="AX324" s="2" t="e">
        <f ca="1">_xll.BDH($C$303,"WORKING_CAPITAL_5_YEAR_GROWTH","FQ1 2018","FQ1 2018","Currency=INR","Period=FQ","BEST_FPERIOD_OVERRIDE=FQ","FILING_STATUS=OR","EQY_CONSOLIDATED=Y","Sort=A","Dates=H","DateFormat=P","Fill=—","Direction=H","UseDPDF=Y")</f>
        <v>#NAME?</v>
      </c>
      <c r="AY324" s="2" t="e">
        <f ca="1">_xll.BDH($C$303,"ACCOUNTS_PAYABLE_5_YEAR_GROWTH","FQ1 2018","FQ1 2018","Currency=INR","Period=FQ","BEST_FPERIOD_OVERRIDE=FQ","FILING_STATUS=OR","EQY_CONSOLIDATED=Y","Sort=A","Dates=H","DateFormat=P","Fill=—","Direction=H","UseDPDF=Y")</f>
        <v>#NAME?</v>
      </c>
      <c r="AZ324" s="2" t="e">
        <f ca="1">_xll.BDH($C$303,"SHORT_TERM_DEBT_5_YEAR_GROWTH","FQ1 2018","FQ1 2018","Currency=INR","Period=FQ","BEST_FPERIOD_OVERRIDE=FQ","FILING_STATUS=OR","EQY_CONSOLIDATED=Y","Sort=A","Dates=H","DateFormat=P","Fill=—","Direction=H","UseDPDF=Y")</f>
        <v>#NAME?</v>
      </c>
      <c r="BA324" s="2" t="e">
        <f ca="1">_xll.BDH($C$303,"TOTAL_DEBT_5_YEAR_GROWTH","FQ1 2018","FQ1 2018","Currency=INR","Period=FQ","BEST_FPERIOD_OVERRIDE=FQ","FILING_STATUS=OR","EQY_CONSOLIDATED=Y","Sort=A","Dates=H","DateFormat=P","Fill=—","Direction=H","UseDPDF=Y")</f>
        <v>#NAME?</v>
      </c>
      <c r="BB324" s="2" t="e">
        <f ca="1">_xll.BDH($C$303,"GEO_GROW_TOT_SHRHLDR_EQY","FQ1 2018","FQ1 2018","Currency=INR","Period=FQ","BEST_FPERIOD_OVERRIDE=FQ","FILING_STATUS=OR","EQY_CONSOLIDATED=Y","Sort=A","Dates=H","DateFormat=P","Fill=—","Direction=H","UseDPDF=Y")</f>
        <v>#NAME?</v>
      </c>
      <c r="BC324" s="2" t="e">
        <f ca="1">_xll.BDH($C$303,"TOTAL_CAPITAL_5_YEAR_GROWTH","FQ1 2018","FQ1 2018","Currency=INR","Period=FQ","BEST_FPERIOD_OVERRIDE=FQ","FILING_STATUS=OR","EQY_CONSOLIDATED=Y","Sort=A","Dates=H","DateFormat=P","Fill=—","Direction=H","UseDPDF=Y")</f>
        <v>#NAME?</v>
      </c>
      <c r="BD324" s="2" t="e">
        <f ca="1">_xll.BDH($C$303,"GEO_GROW_BOOK_VAL","FQ1 2018","FQ1 2018","Currency=INR","Period=FQ","BEST_FPERIOD_OVERRIDE=FQ","FILING_STATUS=OR","EQY_CONSOLIDATED=Y","Sort=A","Dates=H","DateFormat=P","Fill=—","Direction=H","UseDPDF=Y")</f>
        <v>#NAME?</v>
      </c>
      <c r="BE324" s="2" t="e">
        <f ca="1">_xll.BDH($C$303,"GEO_GROW_CASH_OPER_ACT","FQ1 2018","FQ1 2018","Currency=INR","Period=FQ","BEST_FPERIOD_OVERRIDE=FQ","FILING_STATUS=OR","EQY_CONSOLIDATED=Y","Sort=A","Dates=H","DateFormat=P","Fill=—","Direction=H","UseDPDF=Y")</f>
        <v>#NAME?</v>
      </c>
      <c r="BF324" s="2" t="e">
        <f ca="1">_xll.BDH($C$303,"REVENUE_SEQUENTIAL_GROWTH","FQ1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324" s="2" t="e">
        <f ca="1">_xll.BDH($C$303,"EBITDA_SEQUENTIAL_GROWTH","FQ1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324" s="2" t="e">
        <f ca="1">_xll.BDH($C$303,"OPERATING_INCOME_SEQ_GROWTH","FQ1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324" s="2" t="e">
        <f ca="1">_xll.BDH($C$303,"NET_INCOME_TO_COMMON_SEQ_GROWTH","FQ1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324" s="2" t="e">
        <f ca="1">_xll.BDH($C$303,"EPS_DILUTED_SEQUENTIAL_GROWTH","FQ1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324" s="2" t="e">
        <f ca="1">_xll.BDH($C$303,"DPS_SEQUENTIAL_GROWTH","FQ1 2018","FQ1 2018","Currency=INR","Period=FQ","BEST_FPERIOD_OVERRIDE=FQ","FILING_STATUS=OR","EQY_CONSOLIDATED=Y","Sort=A","Dates=H","DateFormat=P","Fill=—","Direction=H","UseDPDF=Y")</f>
        <v>#NAME?</v>
      </c>
      <c r="BL324" s="2" t="e">
        <f ca="1">_xll.BDH($C$303,"ACCOUNTS_RECEIVABLE_SEQ_GROWTH","FQ1 2018","FQ1 2018","Currency=INR","Period=FQ","BEST_FPERIOD_OVERRIDE=FQ","FILING_STATUS=OR","EQY_CONSOLIDATED=Y","Sort=A","Dates=H","DateFormat=P","Fill=—","Direction=H","UseDPDF=Y")</f>
        <v>#NAME?</v>
      </c>
      <c r="BM324" s="2" t="e">
        <f ca="1">_xll.BDH($C$303,"INVENTORY_SEQUENTIAL_GROWTH","FQ1 2018","FQ1 2018","Currency=INR","Period=FQ","BEST_FPERIOD_OVERRIDE=FQ","FILING_STATUS=OR","EQY_CONSOLIDATED=Y","Sort=A","Dates=H","DateFormat=P","Fill=—","Direction=H","UseDPDF=Y")</f>
        <v>#NAME?</v>
      </c>
      <c r="BN324" s="2" t="e">
        <f ca="1">_xll.BDH($C$303,"FIXED_ASSETS_SEQUENTIAL_GROWTH","FQ1 2018","FQ1 2018","Currency=INR","Period=FQ","BEST_FPERIOD_OVERRIDE=FQ","FILING_STATUS=OR","EQY_CONSOLIDATED=Y","Sort=A","Dates=H","DateFormat=P","Fill=—","Direction=H","UseDPDF=Y")</f>
        <v>#NAME?</v>
      </c>
      <c r="BO324" s="2" t="e">
        <f ca="1">_xll.BDH($C$303,"TOTAL_ASSETS_SEQUENTIAL_GROWTH","FQ1 2018","FQ1 2018","Currency=INR","Period=FQ","BEST_FPERIOD_OVERRIDE=FQ","FILING_STATUS=OR","EQY_CONSOLIDATED=Y","Sort=A","Dates=H","DateFormat=P","Fill=—","Direction=H","UseDPDF=Y")</f>
        <v>#NAME?</v>
      </c>
      <c r="BP324" s="2" t="e">
        <f ca="1">_xll.BDH($C$303,"MODIFIED_WORKING_CPTL_SEQ_GRWTH","FQ1 2018","FQ1 2018","Currency=INR","Period=FQ","BEST_FPERIOD_OVERRIDE=FQ","FILING_STATUS=OR","EQY_CONSOLIDATED=Y","Sort=A","Dates=H","DateFormat=P","Fill=—","Direction=H","UseDPDF=Y")</f>
        <v>#NAME?</v>
      </c>
      <c r="BQ324" s="2" t="e">
        <f ca="1">_xll.BDH($C$303,"WORKING_CAPITAL_SEQ_GROWTH","FQ1 2018","FQ1 2018","Currency=INR","Period=FQ","BEST_FPERIOD_OVERRIDE=FQ","FILING_STATUS=OR","EQY_CONSOLIDATED=Y","Sort=A","Dates=H","DateFormat=P","Fill=—","Direction=H","UseDPDF=Y")</f>
        <v>#NAME?</v>
      </c>
      <c r="BR324" s="2" t="e">
        <f ca="1">_xll.BDH($C$303,"ACCOUNTS_PAYABLE_SEQ_GROWTH","FQ1 2018","FQ1 2018","Currency=INR","Period=FQ","BEST_FPERIOD_OVERRIDE=FQ","FILING_STATUS=OR","EQY_CONSOLIDATED=Y","Sort=A","Dates=H","DateFormat=P","Fill=—","Direction=H","UseDPDF=Y")</f>
        <v>#NAME?</v>
      </c>
      <c r="BS324" s="2" t="e">
        <f ca="1">_xll.BDH($C$303,"ST_DEBT_SEQUENTIAL_GROWTH","FQ1 2018","FQ1 2018","Currency=INR","Period=FQ","BEST_FPERIOD_OVERRIDE=FQ","FILING_STATUS=OR","EQY_CONSOLIDATED=Y","Sort=A","Dates=H","DateFormat=P","Fill=—","Direction=H","UseDPDF=Y")</f>
        <v>#NAME?</v>
      </c>
      <c r="BT324" s="2" t="e">
        <f ca="1">_xll.BDH($C$303,"TOTAL_DEBT_SEQUENTIAL_GROWTH","FQ1 2018","FQ1 2018","Currency=INR","Period=FQ","BEST_FPERIOD_OVERRIDE=FQ","FILING_STATUS=OR","EQY_CONSOLIDATED=Y","Sort=A","Dates=H","DateFormat=P","Fill=—","Direction=H","UseDPDF=Y")</f>
        <v>#NAME?</v>
      </c>
      <c r="BU324" s="2" t="e">
        <f ca="1">_xll.BDH($C$303,"TOTAL_EQUITY_SEQUENTIAL_GROWTH","FQ1 2018","FQ1 2018","Currency=INR","Period=FQ","BEST_FPERIOD_OVERRIDE=FQ","FILING_STATUS=OR","EQY_CONSOLIDATED=Y","Sort=A","Dates=H","DateFormat=P","Fill=—","Direction=H","UseDPDF=Y")</f>
        <v>#NAME?</v>
      </c>
      <c r="BV324" s="2" t="e">
        <f ca="1">_xll.BDH($C$303,"TOTAL_CAPITAL_SEQUENTIAL_GROWTH","FQ1 2018","FQ1 2018","Currency=INR","Period=FQ","BEST_FPERIOD_OVERRIDE=FQ","FILING_STATUS=OR","EQY_CONSOLIDATED=Y","Sort=A","Dates=H","DateFormat=P","Fill=—","Direction=H","UseDPDF=Y")</f>
        <v>#NAME?</v>
      </c>
      <c r="BW324" s="2" t="e">
        <f ca="1">_xll.BDH($C$303,"BPS_SEQUENTIAL_GROWTH","FQ1 2018","FQ1 2018","Currency=INR","Period=FQ","BEST_FPERIOD_OVERRIDE=FQ","FILING_STATUS=OR","EQY_CONSOLIDATED=Y","Sort=A","Dates=H","DateFormat=P","Fill=—","Direction=H","UseDPDF=Y")</f>
        <v>#NAME?</v>
      </c>
      <c r="BX324" s="2" t="e">
        <f ca="1">_xll.BDH($C$303,"CFO_SEQUENTIAL_GROWTH","FQ1 2018","FQ1 2018","Currency=INR","Period=FQ","BEST_FPERIOD_OVERRIDE=FQ","FILING_STATUS=OR","EQY_CONSOLIDATED=Y","Sort=A","Dates=H","DateFormat=P","Fill=—","Direction=H","UseDPDF=Y")</f>
        <v>#NAME?</v>
      </c>
      <c r="BY324" s="3" t="e">
        <f ca="1">_xll.BDH($C$303,"SHORT_AND_LONG_TERM_DEBT","FQ1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324" s="3" t="e">
        <f ca="1">_xll.BDH($C$303,"BS_ST_BORROW","FQ1 2018","FQ1 2018","Currency=INR","Period=FQ","BEST_FPERIOD_OVERRIDE=FQ","FILING_STATUS=OR","EQY_CONSOLIDATED=Y","SCALING_FORMAT=MLN","Sort=A","Dates=H","DateFormat=P","Fill=—","Direction=H","UseDPDF=Y")</f>
        <v>#NAME?</v>
      </c>
      <c r="CA324" s="3" t="e">
        <f ca="1">_xll.BDH($C$303,"BS_LT_BORROW","FQ1 2018","FQ1 2018","Currency=INR","Period=FQ","BEST_FPERIOD_OVERRIDE=FQ","FILING_STATUS=OR","EQY_CONSOLIDATED=Y","SCALING_FORMAT=MLN","Sort=A","Dates=H","DateFormat=P","Fill=—","Direction=H","UseDPDF=Y")</f>
        <v>#NAME?</v>
      </c>
      <c r="CB324" s="2" t="e">
        <f ca="1">_xll.BDH($C$303,"TOT_DEBT_TO_EBITDA","FQ1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324" s="2" t="e">
        <f ca="1">_xll.BDH($C$303,"NET_DEBT_TO_EBITDA","FQ1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324" s="2" t="e">
        <f ca="1">_xll.BDH($C$303,"TOTAL_DEBT_TO_EBIT","FQ1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324" s="2" t="e">
        <f ca="1">_xll.BDH($C$303,"NET_DEBT_TO_EBIT","FQ1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324" s="2" t="e">
        <f ca="1">_xll.BDH($C$303,"EBITDA_TO_INTEREST_EXPN","FQ1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324" s="2" t="e">
        <f ca="1">_xll.BDH($C$303,"COM_EQY_TO_TOT_ASSET","FQ1 2018","FQ1 2018","Currency=INR","Period=FQ","BEST_FPERIOD_OVERRIDE=FQ","FILING_STATUS=OR","EQY_CONSOLIDATED=Y","Sort=A","Dates=H","DateFormat=P","Fill=—","Direction=H","UseDPDF=Y")</f>
        <v>#NAME?</v>
      </c>
      <c r="CH324" s="2" t="e">
        <f ca="1">_xll.BDH($C$303,"LT_DEBT_TO_TOT_EQY","FQ1 2018","FQ1 2018","Currency=INR","Period=FQ","BEST_FPERIOD_OVERRIDE=FQ","FILING_STATUS=OR","EQY_CONSOLIDATED=Y","Sort=A","Dates=H","DateFormat=P","Fill=—","Direction=H","UseDPDF=Y")</f>
        <v>#NAME?</v>
      </c>
      <c r="CI324" s="2" t="e">
        <f ca="1">_xll.BDH($C$303,"LT_DEBT_TO_TOT_CAP","FQ1 2018","FQ1 2018","Currency=INR","Period=FQ","BEST_FPERIOD_OVERRIDE=FQ","FILING_STATUS=OR","EQY_CONSOLIDATED=Y","Sort=A","Dates=H","DateFormat=P","Fill=—","Direction=H","UseDPDF=Y")</f>
        <v>#NAME?</v>
      </c>
      <c r="CJ324" s="2" t="e">
        <f ca="1">_xll.BDH($C$303,"LT_DEBT_TO_TOT_ASSET","FQ1 2018","FQ1 2018","Currency=INR","Period=FQ","BEST_FPERIOD_OVERRIDE=FQ","FILING_STATUS=OR","EQY_CONSOLIDATED=Y","Sort=A","Dates=H","DateFormat=P","Fill=—","Direction=H","UseDPDF=Y")</f>
        <v>#NAME?</v>
      </c>
      <c r="CK324" s="2" t="e">
        <f ca="1">_xll.BDH($C$303,"TOT_DEBT_TO_TOT_EQY","FQ1 2018","FQ1 2018","Currency=INR","Period=FQ","BEST_FPERIOD_OVERRIDE=FQ","FILING_STATUS=OR","EQY_CONSOLIDATED=Y","Sort=A","Dates=H","DateFormat=P","Fill=—","Direction=H","UseDPDF=Y")</f>
        <v>#NAME?</v>
      </c>
      <c r="CL324" s="2" t="e">
        <f ca="1">_xll.BDH($C$303,"TOT_DEBT_TO_TOT_CAP","FQ1 2018","FQ1 2018","Currency=INR","Period=FQ","BEST_FPERIOD_OVERRIDE=FQ","FILING_STATUS=OR","EQY_CONSOLIDATED=Y","Sort=A","Dates=H","DateFormat=P","Fill=—","Direction=H","UseDPDF=Y")</f>
        <v>#NAME?</v>
      </c>
      <c r="CM324" s="2" t="e">
        <f ca="1">_xll.BDH($C$303,"TOT_DEBT_TO_TOT_ASSET","FQ1 2018","FQ1 2018","Currency=INR","Period=FQ","BEST_FPERIOD_OVERRIDE=FQ","FILING_STATUS=OR","EQY_CONSOLIDATED=Y","Sort=A","Dates=H","DateFormat=P","Fill=—","Direction=H","UseDPDF=Y")</f>
        <v>#NAME?</v>
      </c>
      <c r="CN324" s="2" t="e">
        <f ca="1">_xll.BDH($C$303,"NET_DEBT_TO_SHRHLDR_EQTY","FQ1 2018","FQ1 2018","Currency=INR","Period=FQ","BEST_FPERIOD_OVERRIDE=FQ","FILING_STATUS=OR","EQY_CONSOLIDATED=Y","Sort=A","Dates=H","DateFormat=P","Fill=—","Direction=H","UseDPDF=Y")</f>
        <v>#NAME?</v>
      </c>
      <c r="CO324" s="2" t="e">
        <f ca="1">_xll.BDH($C$303,"NET_DEBT_%_CAPITAL","FQ1 2018","FQ1 2018","Currency=INR","Period=FQ","BEST_FPERIOD_OVERRIDE=FQ","FILING_STATUS=OR","EQY_CONSOLIDATED=Y","Sort=A","Dates=H","DateFormat=P","Fill=—","Direction=H","UseDPDF=Y")</f>
        <v>#NAME?</v>
      </c>
      <c r="CP324" s="3" t="e">
        <f ca="1">_xll.BDH($C$303,"EBITDA","FQ1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324" s="3" t="e">
        <f ca="1">_xll.BDH($C$303,"EBITDA_AFTER_CAPEX","FQ1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324" s="3" t="e">
        <f ca="1">_xll.BDH($C$303,"IS_OPER_INC","FQ1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324" s="2" t="e">
        <f ca="1">_xll.BDH($C$303,"CASH_RATIO","FQ1 2018","FQ1 2018","Currency=INR","Period=FQ","BEST_FPERIOD_OVERRIDE=FQ","FILING_STATUS=OR","EQY_CONSOLIDATED=Y","Sort=A","Dates=H","DateFormat=P","Fill=—","Direction=H","UseDPDF=Y")</f>
        <v>#NAME?</v>
      </c>
      <c r="CT324" s="2" t="e">
        <f ca="1">_xll.BDH($C$303,"CUR_RATIO","FQ1 2018","FQ1 2018","Currency=INR","Period=FQ","BEST_FPERIOD_OVERRIDE=FQ","FILING_STATUS=OR","EQY_CONSOLIDATED=Y","Sort=A","Dates=H","DateFormat=P","Fill=—","Direction=H","UseDPDF=Y")</f>
        <v>#NAME?</v>
      </c>
      <c r="CU324" s="2" t="e">
        <f ca="1">_xll.BDH($C$303,"QUICK_RATIO","FQ1 2018","FQ1 2018","Currency=INR","Period=FQ","BEST_FPERIOD_OVERRIDE=FQ","FILING_STATUS=OR","EQY_CONSOLIDATED=Y","Sort=A","Dates=H","DateFormat=P","Fill=—","Direction=H","UseDPDF=Y")</f>
        <v>#NAME?</v>
      </c>
      <c r="CV324" s="2" t="e">
        <f ca="1">_xll.BDH($C$303,"ALTMAN_Z_SCORE","FQ1 2018","FQ1 2018","Currency=INR","Period=FQ","BEST_FPERIOD_OVERRIDE=FQ","FILING_STATUS=OR","EQY_CONSOLIDATED=Y","Sort=A","Dates=H","DateFormat=P","Fill=—","Direction=H","UseDPDF=Y")</f>
        <v>#NAME?</v>
      </c>
      <c r="CW324" s="4" t="e">
        <f ca="1">_xll.BDH($C$303,"ACCT_RCV_TURN","FQ1 2018","FQ1 2018","Currency=INR","Period=FQ","BEST_FPERIOD_OVERRIDE=FQ","FILING_STATUS=OR","EQY_CONSOLIDATED=Y","FA_ADJUSTED=GAAP","Sort=A","Dates=H","DateFormat=P","Fill=—","Direction=H","UseDPDF=Y")</f>
        <v>#NAME?</v>
      </c>
      <c r="CX324" s="2" t="e">
        <f ca="1">_xll.BDH($C$303,"ACCT_RCV_DAYS","FQ1 2018","FQ1 2018","Currency=INR","Period=FQ","BEST_FPERIOD_OVERRIDE=FQ","FILING_STATUS=OR","EQY_CONSOLIDATED=Y","FA_ADJUSTED=GAAP","Sort=A","Dates=H","DateFormat=P","Fill=—","Direction=H","UseDPDF=Y")</f>
        <v>#NAME?</v>
      </c>
      <c r="CY324" s="4" t="e">
        <f ca="1">_xll.BDH($C$303,"INVENT_TURN","FQ1 2018","FQ1 2018","Currency=INR","Period=FQ","BEST_FPERIOD_OVERRIDE=FQ","FILING_STATUS=OR","EQY_CONSOLIDATED=Y","FA_ADJUSTED=GAAP","Sort=A","Dates=H","DateFormat=P","Fill=—","Direction=H","UseDPDF=Y")</f>
        <v>#NAME?</v>
      </c>
      <c r="CZ324" s="2" t="e">
        <f ca="1">_xll.BDH($C$303,"INVENT_DAYS","FQ1 2018","FQ1 2018","Currency=INR","Period=FQ","BEST_FPERIOD_OVERRIDE=FQ","FILING_STATUS=OR","EQY_CONSOLIDATED=Y","FA_ADJUSTED=GAAP","Sort=A","Dates=H","DateFormat=P","Fill=—","Direction=H","UseDPDF=Y")</f>
        <v>#NAME?</v>
      </c>
      <c r="DA324" s="4" t="e">
        <f ca="1">_xll.BDH($C$303,"ACCOUNTS_PAYABLE_TURNOVER","FQ1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324" s="2" t="e">
        <f ca="1">_xll.BDH($C$303,"ACCOUNTS_PAYABLE_TURNOVER_DAYS","FQ1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324" s="4" t="e">
        <f ca="1">_xll.BDH($C$303,"CASH_CONVERSION_CYCLE","FQ1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324" s="4" t="e">
        <f ca="1">_xll.BDH($C$303,"INV_TO_CASH_DAYS","FQ1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324" s="5" t="e">
        <f ca="1">_xll.BDH($C$303,"BS_INVENTORIES","FQ1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324" s="3" t="e">
        <f ca="1">_xll.BDH($C$303,"INVTRY_RAW_MATERIALS","FQ1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324" s="3" t="e">
        <f ca="1">_xll.BDH($C$303,"INVTRY_IN_PROGRESS","FQ1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324" s="3" t="e">
        <f ca="1">_xll.BDH($C$303,"INVTRY_FINISHED_GOODS","FQ1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324" s="3" t="e">
        <f ca="1">_xll.BDH($C$303,"BS_OTHER_INV","FQ1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325" spans="1:113" x14ac:dyDescent="0.3">
      <c r="A325" s="6"/>
      <c r="B325" s="6"/>
      <c r="C325" s="6"/>
      <c r="D325" s="6"/>
      <c r="E325" t="s">
        <v>79</v>
      </c>
      <c r="F325" t="e">
        <f ca="1">_xll.BDH($C$303,"RETURN_COM_EQY","FQ2 2018","FQ2 2018","Currency=INR","Period=FQ","BEST_FPERIOD_OVERRIDE=FQ","FILING_STATUS=OR","EQY_CONSOLIDATED=Y","FA_ADJUSTED=GAAP","Sort=A","Dates=H","DateFormat=P","Fill=—","Direction=H","UseDPDF=Y")</f>
        <v>#NAME?</v>
      </c>
      <c r="G325" t="e">
        <f ca="1">_xll.BDH($C$303,"RETURN_ON_ASSET","FQ2 2018","FQ2 2018","Currency=INR","Period=FQ","BEST_FPERIOD_OVERRIDE=FQ","FILING_STATUS=OR","EQY_CONSOLIDATED=Y","FA_ADJUSTED=GAAP","Sort=A","Dates=H","DateFormat=P","Fill=—","Direction=H","UseDPDF=Y")</f>
        <v>#NAME?</v>
      </c>
      <c r="H325" t="e">
        <f ca="1">_xll.BDH($C$303,"RETURN_ON_CAP","FQ2 2018","FQ2 2018","Currency=INR","Period=FQ","BEST_FPERIOD_OVERRIDE=FQ","FILING_STATUS=OR","EQY_CONSOLIDATED=Y","FA_ADJUSTED=GAAP","Sort=A","Dates=H","DateFormat=P","Fill=—","Direction=H","UseDPDF=Y")</f>
        <v>#NAME?</v>
      </c>
      <c r="I325" t="e">
        <f ca="1">_xll.BDH($C$303,"RETURN_ON_INV_CAPITAL","FQ2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325" t="e">
        <f ca="1">_xll.BDH($C$303,"EBITDA_TO_REVENUE","FQ2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325" t="e">
        <f ca="1">_xll.BDH($C$303,"OPER_MARGIN","FQ2 2018","FQ2 2018","Currency=INR","Period=FQ","BEST_FPERIOD_OVERRIDE=FQ","FILING_STATUS=OR","EQY_CONSOLIDATED=Y","FA_ADJUSTED=GAAP","Sort=A","Dates=H","DateFormat=P","Fill=—","Direction=H","UseDPDF=Y")</f>
        <v>#NAME?</v>
      </c>
      <c r="L325" t="e">
        <f ca="1">_xll.BDH($C$303,"INCREMENTAL_OPERATING_MARGIN","FQ2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325" t="e">
        <f ca="1">_xll.BDH($C$303,"PRETAX_INC_TO_NET_SALES","FQ2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325" t="e">
        <f ca="1">_xll.BDH($C$303,"INC_BEF_XO_ITEMS_TO_NET_SALES","FQ2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325" t="e">
        <f ca="1">_xll.BDH($C$303,"PROF_MARGIN","FQ2 2018","FQ2 2018","Currency=INR","Period=FQ","BEST_FPERIOD_OVERRIDE=FQ","FILING_STATUS=OR","EQY_CONSOLIDATED=Y","FA_ADJUSTED=GAAP","Sort=A","Dates=H","DateFormat=P","Fill=—","Direction=H","UseDPDF=Y")</f>
        <v>#NAME?</v>
      </c>
      <c r="P325" t="e">
        <f ca="1">_xll.BDH($C$303,"NET_INCOME_TO_COMMON_MARGIN","FQ2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325" t="e">
        <f ca="1">_xll.BDH($C$303,"EFF_TAX_RATE","FQ2 2018","FQ2 2018","Currency=INR","Period=FQ","BEST_FPERIOD_OVERRIDE=FQ","FILING_STATUS=OR","EQY_CONSOLIDATED=Y","FA_ADJUSTED=GAAP","Sort=A","Dates=H","DateFormat=P","Fill=—","Direction=H","UseDPDF=Y")</f>
        <v>#NAME?</v>
      </c>
      <c r="R325" t="e">
        <f ca="1">_xll.BDH($C$303,"DVD_PAYOUT_RATIO","FQ2 2018","FQ2 2018","Currency=INR","Period=FQ","BEST_FPERIOD_OVERRIDE=FQ","FILING_STATUS=OR","EQY_CONSOLIDATED=Y","FA_ADJUSTED=GAAP","Sort=A","Dates=H","DateFormat=P","Fill=—","Direction=H","UseDPDF=Y")</f>
        <v>#NAME?</v>
      </c>
      <c r="S325" t="e">
        <f ca="1">_xll.BDH($C$303,"SUSTAIN_GROWTH_RT","FQ2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325" s="2" t="e">
        <f ca="1">_xll.BDH($C$303,"SALES_GROWTH","FQ2 2018","FQ2 2018","Currency=INR","Period=FQ","BEST_FPERIOD_OVERRIDE=FQ","FILING_STATUS=OR","EQY_CONSOLIDATED=Y","FA_ADJUSTED=GAAP","Sort=A","Dates=H","DateFormat=P","Fill=—","Direction=H","UseDPDF=Y")</f>
        <v>#NAME?</v>
      </c>
      <c r="U325" s="2" t="e">
        <f ca="1">_xll.BDH($C$303,"EBITDA_GROWTH","FQ2 2018","FQ2 2018","Currency=INR","Period=FQ","BEST_FPERIOD_OVERRIDE=FQ","FILING_STATUS=OR","EQY_CONSOLIDATED=Y","FA_ADJUSTED=GAAP","Sort=A","Dates=H","DateFormat=P","Fill=—","Direction=H","UseDPDF=Y")</f>
        <v>#NAME?</v>
      </c>
      <c r="V325" s="2" t="e">
        <f ca="1">_xll.BDH($C$303,"OPER_INC_GROWTH","FQ2 2018","FQ2 2018","Currency=INR","Period=FQ","BEST_FPERIOD_OVERRIDE=FQ","FILING_STATUS=OR","EQY_CONSOLIDATED=Y","FA_ADJUSTED=GAAP","Sort=A","Dates=H","DateFormat=P","Fill=—","Direction=H","UseDPDF=Y")</f>
        <v>#NAME?</v>
      </c>
      <c r="W325" s="2" t="e">
        <f ca="1">_xll.BDH($C$303,"EARN_FOR_COM_GROWTH","FQ2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325" s="2" t="e">
        <f ca="1">_xll.BDH($C$303,"DILUTED_EPS_AFT_XO_ITEMS_GROWTH","FQ2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325" s="2" t="e">
        <f ca="1">_xll.BDH($C$303,"DIVIDEND_PER_SHARE_1_YEAR_GROWTH","FQ2 2018","FQ2 2018","Currency=INR","Period=FQ","BEST_FPERIOD_OVERRIDE=FQ","FILING_STATUS=OR","EQY_CONSOLIDATED=Y","Sort=A","Dates=H","DateFormat=P","Fill=—","Direction=H","UseDPDF=Y")</f>
        <v>#NAME?</v>
      </c>
      <c r="Z325" s="2" t="e">
        <f ca="1">_xll.BDH($C$303,"ACCOUNTS_RECEIVABLE_GROWTH","FQ2 2018","FQ2 2018","Currency=INR","Period=FQ","BEST_FPERIOD_OVERRIDE=FQ","FILING_STATUS=OR","EQY_CONSOLIDATED=Y","Sort=A","Dates=H","DateFormat=P","Fill=—","Direction=H","UseDPDF=Y")</f>
        <v>#NAME?</v>
      </c>
      <c r="AA325" s="2" t="e">
        <f ca="1">_xll.BDH($C$303,"INVENTORY_GROWTH","FQ2 2018","FQ2 2018","Currency=INR","Period=FQ","BEST_FPERIOD_OVERRIDE=FQ","FILING_STATUS=OR","EQY_CONSOLIDATED=Y","Sort=A","Dates=H","DateFormat=P","Fill=—","Direction=H","UseDPDF=Y")</f>
        <v>#NAME?</v>
      </c>
      <c r="AB325" s="2" t="e">
        <f ca="1">_xll.BDH($C$303,"NET_FIXED_ASSETS_1_YEAR_GROWTH","FQ2 2018","FQ2 2018","Currency=INR","Period=FQ","BEST_FPERIOD_OVERRIDE=FQ","FILING_STATUS=OR","EQY_CONSOLIDATED=Y","Sort=A","Dates=H","DateFormat=P","Fill=—","Direction=H","UseDPDF=Y")</f>
        <v>#NAME?</v>
      </c>
      <c r="AC325" s="2" t="e">
        <f ca="1">_xll.BDH($C$303,"ASSET_GROWTH","FQ2 2018","FQ2 2018","Currency=INR","Period=FQ","BEST_FPERIOD_OVERRIDE=FQ","FILING_STATUS=OR","EQY_CONSOLIDATED=Y","Sort=A","Dates=H","DateFormat=P","Fill=—","Direction=H","UseDPDF=Y")</f>
        <v>#NAME?</v>
      </c>
      <c r="AD325" s="2" t="e">
        <f ca="1">_xll.BDH($C$303,"MODIFIED_WORK_CAP_GROWTH","FQ2 2018","FQ2 2018","Currency=INR","Period=FQ","BEST_FPERIOD_OVERRIDE=FQ","FILING_STATUS=OR","EQY_CONSOLIDATED=Y","Sort=A","Dates=H","DateFormat=P","Fill=—","Direction=H","UseDPDF=Y")</f>
        <v>#NAME?</v>
      </c>
      <c r="AE325" s="2" t="e">
        <f ca="1">_xll.BDH($C$303,"WORK_CAP_GROWTH","FQ2 2018","FQ2 2018","Currency=INR","Period=FQ","BEST_FPERIOD_OVERRIDE=FQ","FILING_STATUS=OR","EQY_CONSOLIDATED=Y","Sort=A","Dates=H","DateFormat=P","Fill=—","Direction=H","UseDPDF=Y")</f>
        <v>#NAME?</v>
      </c>
      <c r="AF325" s="2" t="e">
        <f ca="1">_xll.BDH($C$303,"ACCOUNTS_PAYABLE_GROWTH_1YR","FQ2 2018","FQ2 2018","Currency=INR","Period=FQ","BEST_FPERIOD_OVERRIDE=FQ","FILING_STATUS=OR","EQY_CONSOLIDATED=Y","Sort=A","Dates=H","DateFormat=P","Fill=—","Direction=H","UseDPDF=Y")</f>
        <v>#NAME?</v>
      </c>
      <c r="AG325" s="2" t="e">
        <f ca="1">_xll.BDH($C$303,"SHORT_TERM_DEBT_1_YEAR_GROWTH","FQ2 2018","FQ2 2018","Currency=INR","Period=FQ","BEST_FPERIOD_OVERRIDE=FQ","FILING_STATUS=OR","EQY_CONSOLIDATED=Y","Sort=A","Dates=H","DateFormat=P","Fill=—","Direction=H","UseDPDF=Y")</f>
        <v>#NAME?</v>
      </c>
      <c r="AH325" s="2" t="e">
        <f ca="1">_xll.BDH($C$303,"TOTAL_DEBT_1_YEAR_GROWTH","FQ2 2018","FQ2 2018","Currency=INR","Period=FQ","BEST_FPERIOD_OVERRIDE=FQ","FILING_STATUS=OR","EQY_CONSOLIDATED=Y","Sort=A","Dates=H","DateFormat=P","Fill=—","Direction=H","UseDPDF=Y")</f>
        <v>#NAME?</v>
      </c>
      <c r="AI325" s="2" t="e">
        <f ca="1">_xll.BDH($C$303,"TOTAL_EQUITY_1_YEAR_GROWTH","FQ2 2018","FQ2 2018","Currency=INR","Period=FQ","BEST_FPERIOD_OVERRIDE=FQ","FILING_STATUS=OR","EQY_CONSOLIDATED=Y","Sort=A","Dates=H","DateFormat=P","Fill=—","Direction=H","UseDPDF=Y")</f>
        <v>#NAME?</v>
      </c>
      <c r="AJ325" s="2" t="e">
        <f ca="1">_xll.BDH($C$303,"GROWTH_IN_CAP","FQ2 2018","FQ2 2018","Currency=INR","Period=FQ","BEST_FPERIOD_OVERRIDE=FQ","FILING_STATUS=OR","EQY_CONSOLIDATED=Y","Sort=A","Dates=H","DateFormat=P","Fill=—","Direction=H","UseDPDF=Y")</f>
        <v>#NAME?</v>
      </c>
      <c r="AK325" s="2" t="e">
        <f ca="1">_xll.BDH($C$303,"BVPS_GROWTH","FQ2 2018","FQ2 2018","Currency=INR","Period=FQ","BEST_FPERIOD_OVERRIDE=FQ","FILING_STATUS=OR","EQY_CONSOLIDATED=Y","Sort=A","Dates=H","DateFormat=P","Fill=—","Direction=H","UseDPDF=Y")</f>
        <v>#NAME?</v>
      </c>
      <c r="AL325" s="2" t="e">
        <f ca="1">_xll.BDH($C$303,"CASH_FLOW_GROWTH","FQ2 2018","FQ2 2018","Currency=INR","Period=FQ","BEST_FPERIOD_OVERRIDE=FQ","FILING_STATUS=OR","EQY_CONSOLIDATED=Y","Sort=A","Dates=H","DateFormat=P","Fill=—","Direction=H","UseDPDF=Y")</f>
        <v>#NAME?</v>
      </c>
      <c r="AM325" s="2" t="e">
        <f ca="1">_xll.BDH($C$303,"GEO_GROW_NET_SALES","FQ2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325" s="2" t="e">
        <f ca="1">_xll.BDH($C$303,"GEO_GROW_EBITDA","FQ2 2018","FQ2 2018","Currency=INR","Period=FQ","BEST_FPERIOD_OVERRIDE=FQ","FILING_STATUS=OR","EQY_CONSOLIDATED=Y","FA_ADJUSTED=GAAP","Sort=A","Dates=H","DateFormat=P","Fill=—","Direction=H","UseDPDF=Y")</f>
        <v>#NAME?</v>
      </c>
      <c r="AO325" s="2" t="e">
        <f ca="1">_xll.BDH($C$303,"GEO_GROW_OPER_INC","FQ2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325" s="2" t="e">
        <f ca="1">_xll.BDH($C$303,"NET_INCOME_TO_COMMON_5_YR_GROWTH","FQ2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325" s="2" t="e">
        <f ca="1">_xll.BDH($C$303,"5Y_GEO_GROWTH_DILUTED_EPS","FQ2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325" s="2" t="e">
        <f ca="1">_xll.BDH($C$303,"GEO_GROW_DVD_PER_SH","FQ2 2018","FQ2 2018","Currency=INR","Period=FQ","BEST_FPERIOD_OVERRIDE=FQ","FILING_STATUS=OR","EQY_CONSOLIDATED=Y","Sort=A","Dates=H","DateFormat=P","Fill=—","Direction=H","UseDPDF=Y")</f>
        <v>#NAME?</v>
      </c>
      <c r="AS325" s="2" t="e">
        <f ca="1">_xll.BDH($C$303,"ACCOUNTS_RECEIVABLE_5_YR_GROWTH","FQ2 2018","FQ2 2018","Currency=INR","Period=FQ","BEST_FPERIOD_OVERRIDE=FQ","FILING_STATUS=OR","EQY_CONSOLIDATED=Y","Sort=A","Dates=H","DateFormat=P","Fill=—","Direction=H","UseDPDF=Y")</f>
        <v>#NAME?</v>
      </c>
      <c r="AT325" s="2" t="e">
        <f ca="1">_xll.BDH($C$303,"INVENTORY_5_YEAR_GROWTH","FQ2 2018","FQ2 2018","Currency=INR","Period=FQ","BEST_FPERIOD_OVERRIDE=FQ","FILING_STATUS=OR","EQY_CONSOLIDATED=Y","Sort=A","Dates=H","DateFormat=P","Fill=—","Direction=H","UseDPDF=Y")</f>
        <v>#NAME?</v>
      </c>
      <c r="AU325" s="2" t="e">
        <f ca="1">_xll.BDH($C$303,"NET_FIXED_ASSETS_5_YEAR_GROWTH","FQ2 2018","FQ2 2018","Currency=INR","Period=FQ","BEST_FPERIOD_OVERRIDE=FQ","FILING_STATUS=OR","EQY_CONSOLIDATED=Y","Sort=A","Dates=H","DateFormat=P","Fill=—","Direction=H","UseDPDF=Y")</f>
        <v>#NAME?</v>
      </c>
      <c r="AV325" s="2" t="e">
        <f ca="1">_xll.BDH($C$303,"GEO_GROW_TOT_ASSET","FQ2 2018","FQ2 2018","Currency=INR","Period=FQ","BEST_FPERIOD_OVERRIDE=FQ","FILING_STATUS=OR","EQY_CONSOLIDATED=Y","Sort=A","Dates=H","DateFormat=P","Fill=—","Direction=H","UseDPDF=Y")</f>
        <v>#NAME?</v>
      </c>
      <c r="AW325" s="2" t="e">
        <f ca="1">_xll.BDH($C$303,"MODIFIED_WORKING_CPTL_5YR_GRWTH","FQ2 2018","FQ2 2018","Currency=INR","Period=FQ","BEST_FPERIOD_OVERRIDE=FQ","FILING_STATUS=OR","EQY_CONSOLIDATED=Y","Sort=A","Dates=H","DateFormat=P","Fill=—","Direction=H","UseDPDF=Y")</f>
        <v>#NAME?</v>
      </c>
      <c r="AX325" s="2" t="e">
        <f ca="1">_xll.BDH($C$303,"WORKING_CAPITAL_5_YEAR_GROWTH","FQ2 2018","FQ2 2018","Currency=INR","Period=FQ","BEST_FPERIOD_OVERRIDE=FQ","FILING_STATUS=OR","EQY_CONSOLIDATED=Y","Sort=A","Dates=H","DateFormat=P","Fill=—","Direction=H","UseDPDF=Y")</f>
        <v>#NAME?</v>
      </c>
      <c r="AY325" s="2" t="e">
        <f ca="1">_xll.BDH($C$303,"ACCOUNTS_PAYABLE_5_YEAR_GROWTH","FQ2 2018","FQ2 2018","Currency=INR","Period=FQ","BEST_FPERIOD_OVERRIDE=FQ","FILING_STATUS=OR","EQY_CONSOLIDATED=Y","Sort=A","Dates=H","DateFormat=P","Fill=—","Direction=H","UseDPDF=Y")</f>
        <v>#NAME?</v>
      </c>
      <c r="AZ325" s="2" t="e">
        <f ca="1">_xll.BDH($C$303,"SHORT_TERM_DEBT_5_YEAR_GROWTH","FQ2 2018","FQ2 2018","Currency=INR","Period=FQ","BEST_FPERIOD_OVERRIDE=FQ","FILING_STATUS=OR","EQY_CONSOLIDATED=Y","Sort=A","Dates=H","DateFormat=P","Fill=—","Direction=H","UseDPDF=Y")</f>
        <v>#NAME?</v>
      </c>
      <c r="BA325" s="2" t="e">
        <f ca="1">_xll.BDH($C$303,"TOTAL_DEBT_5_YEAR_GROWTH","FQ2 2018","FQ2 2018","Currency=INR","Period=FQ","BEST_FPERIOD_OVERRIDE=FQ","FILING_STATUS=OR","EQY_CONSOLIDATED=Y","Sort=A","Dates=H","DateFormat=P","Fill=—","Direction=H","UseDPDF=Y")</f>
        <v>#NAME?</v>
      </c>
      <c r="BB325" s="2" t="e">
        <f ca="1">_xll.BDH($C$303,"GEO_GROW_TOT_SHRHLDR_EQY","FQ2 2018","FQ2 2018","Currency=INR","Period=FQ","BEST_FPERIOD_OVERRIDE=FQ","FILING_STATUS=OR","EQY_CONSOLIDATED=Y","Sort=A","Dates=H","DateFormat=P","Fill=—","Direction=H","UseDPDF=Y")</f>
        <v>#NAME?</v>
      </c>
      <c r="BC325" s="2" t="e">
        <f ca="1">_xll.BDH($C$303,"TOTAL_CAPITAL_5_YEAR_GROWTH","FQ2 2018","FQ2 2018","Currency=INR","Period=FQ","BEST_FPERIOD_OVERRIDE=FQ","FILING_STATUS=OR","EQY_CONSOLIDATED=Y","Sort=A","Dates=H","DateFormat=P","Fill=—","Direction=H","UseDPDF=Y")</f>
        <v>#NAME?</v>
      </c>
      <c r="BD325" s="2" t="e">
        <f ca="1">_xll.BDH($C$303,"GEO_GROW_BOOK_VAL","FQ2 2018","FQ2 2018","Currency=INR","Period=FQ","BEST_FPERIOD_OVERRIDE=FQ","FILING_STATUS=OR","EQY_CONSOLIDATED=Y","Sort=A","Dates=H","DateFormat=P","Fill=—","Direction=H","UseDPDF=Y")</f>
        <v>#NAME?</v>
      </c>
      <c r="BE325" s="2" t="e">
        <f ca="1">_xll.BDH($C$303,"GEO_GROW_CASH_OPER_ACT","FQ2 2018","FQ2 2018","Currency=INR","Period=FQ","BEST_FPERIOD_OVERRIDE=FQ","FILING_STATUS=OR","EQY_CONSOLIDATED=Y","Sort=A","Dates=H","DateFormat=P","Fill=—","Direction=H","UseDPDF=Y")</f>
        <v>#NAME?</v>
      </c>
      <c r="BF325" s="2" t="e">
        <f ca="1">_xll.BDH($C$303,"REVENUE_SEQUENTIAL_GROWTH","FQ2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325" s="2" t="e">
        <f ca="1">_xll.BDH($C$303,"EBITDA_SEQUENTIAL_GROWTH","FQ2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325" s="2" t="e">
        <f ca="1">_xll.BDH($C$303,"OPERATING_INCOME_SEQ_GROWTH","FQ2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325" s="2" t="e">
        <f ca="1">_xll.BDH($C$303,"NET_INCOME_TO_COMMON_SEQ_GROWTH","FQ2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325" s="2" t="e">
        <f ca="1">_xll.BDH($C$303,"EPS_DILUTED_SEQUENTIAL_GROWTH","FQ2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325" s="2" t="e">
        <f ca="1">_xll.BDH($C$303,"DPS_SEQUENTIAL_GROWTH","FQ2 2018","FQ2 2018","Currency=INR","Period=FQ","BEST_FPERIOD_OVERRIDE=FQ","FILING_STATUS=OR","EQY_CONSOLIDATED=Y","Sort=A","Dates=H","DateFormat=P","Fill=—","Direction=H","UseDPDF=Y")</f>
        <v>#NAME?</v>
      </c>
      <c r="BL325" s="2" t="e">
        <f ca="1">_xll.BDH($C$303,"ACCOUNTS_RECEIVABLE_SEQ_GROWTH","FQ2 2018","FQ2 2018","Currency=INR","Period=FQ","BEST_FPERIOD_OVERRIDE=FQ","FILING_STATUS=OR","EQY_CONSOLIDATED=Y","Sort=A","Dates=H","DateFormat=P","Fill=—","Direction=H","UseDPDF=Y")</f>
        <v>#NAME?</v>
      </c>
      <c r="BM325" s="2" t="e">
        <f ca="1">_xll.BDH($C$303,"INVENTORY_SEQUENTIAL_GROWTH","FQ2 2018","FQ2 2018","Currency=INR","Period=FQ","BEST_FPERIOD_OVERRIDE=FQ","FILING_STATUS=OR","EQY_CONSOLIDATED=Y","Sort=A","Dates=H","DateFormat=P","Fill=—","Direction=H","UseDPDF=Y")</f>
        <v>#NAME?</v>
      </c>
      <c r="BN325" s="2" t="e">
        <f ca="1">_xll.BDH($C$303,"FIXED_ASSETS_SEQUENTIAL_GROWTH","FQ2 2018","FQ2 2018","Currency=INR","Period=FQ","BEST_FPERIOD_OVERRIDE=FQ","FILING_STATUS=OR","EQY_CONSOLIDATED=Y","Sort=A","Dates=H","DateFormat=P","Fill=—","Direction=H","UseDPDF=Y")</f>
        <v>#NAME?</v>
      </c>
      <c r="BO325" s="2" t="e">
        <f ca="1">_xll.BDH($C$303,"TOTAL_ASSETS_SEQUENTIAL_GROWTH","FQ2 2018","FQ2 2018","Currency=INR","Period=FQ","BEST_FPERIOD_OVERRIDE=FQ","FILING_STATUS=OR","EQY_CONSOLIDATED=Y","Sort=A","Dates=H","DateFormat=P","Fill=—","Direction=H","UseDPDF=Y")</f>
        <v>#NAME?</v>
      </c>
      <c r="BP325" s="2" t="e">
        <f ca="1">_xll.BDH($C$303,"MODIFIED_WORKING_CPTL_SEQ_GRWTH","FQ2 2018","FQ2 2018","Currency=INR","Period=FQ","BEST_FPERIOD_OVERRIDE=FQ","FILING_STATUS=OR","EQY_CONSOLIDATED=Y","Sort=A","Dates=H","DateFormat=P","Fill=—","Direction=H","UseDPDF=Y")</f>
        <v>#NAME?</v>
      </c>
      <c r="BQ325" s="2" t="e">
        <f ca="1">_xll.BDH($C$303,"WORKING_CAPITAL_SEQ_GROWTH","FQ2 2018","FQ2 2018","Currency=INR","Period=FQ","BEST_FPERIOD_OVERRIDE=FQ","FILING_STATUS=OR","EQY_CONSOLIDATED=Y","Sort=A","Dates=H","DateFormat=P","Fill=—","Direction=H","UseDPDF=Y")</f>
        <v>#NAME?</v>
      </c>
      <c r="BR325" s="2" t="e">
        <f ca="1">_xll.BDH($C$303,"ACCOUNTS_PAYABLE_SEQ_GROWTH","FQ2 2018","FQ2 2018","Currency=INR","Period=FQ","BEST_FPERIOD_OVERRIDE=FQ","FILING_STATUS=OR","EQY_CONSOLIDATED=Y","Sort=A","Dates=H","DateFormat=P","Fill=—","Direction=H","UseDPDF=Y")</f>
        <v>#NAME?</v>
      </c>
      <c r="BS325" s="2" t="e">
        <f ca="1">_xll.BDH($C$303,"ST_DEBT_SEQUENTIAL_GROWTH","FQ2 2018","FQ2 2018","Currency=INR","Period=FQ","BEST_FPERIOD_OVERRIDE=FQ","FILING_STATUS=OR","EQY_CONSOLIDATED=Y","Sort=A","Dates=H","DateFormat=P","Fill=—","Direction=H","UseDPDF=Y")</f>
        <v>#NAME?</v>
      </c>
      <c r="BT325" s="2" t="e">
        <f ca="1">_xll.BDH($C$303,"TOTAL_DEBT_SEQUENTIAL_GROWTH","FQ2 2018","FQ2 2018","Currency=INR","Period=FQ","BEST_FPERIOD_OVERRIDE=FQ","FILING_STATUS=OR","EQY_CONSOLIDATED=Y","Sort=A","Dates=H","DateFormat=P","Fill=—","Direction=H","UseDPDF=Y")</f>
        <v>#NAME?</v>
      </c>
      <c r="BU325" s="2" t="e">
        <f ca="1">_xll.BDH($C$303,"TOTAL_EQUITY_SEQUENTIAL_GROWTH","FQ2 2018","FQ2 2018","Currency=INR","Period=FQ","BEST_FPERIOD_OVERRIDE=FQ","FILING_STATUS=OR","EQY_CONSOLIDATED=Y","Sort=A","Dates=H","DateFormat=P","Fill=—","Direction=H","UseDPDF=Y")</f>
        <v>#NAME?</v>
      </c>
      <c r="BV325" s="2" t="e">
        <f ca="1">_xll.BDH($C$303,"TOTAL_CAPITAL_SEQUENTIAL_GROWTH","FQ2 2018","FQ2 2018","Currency=INR","Period=FQ","BEST_FPERIOD_OVERRIDE=FQ","FILING_STATUS=OR","EQY_CONSOLIDATED=Y","Sort=A","Dates=H","DateFormat=P","Fill=—","Direction=H","UseDPDF=Y")</f>
        <v>#NAME?</v>
      </c>
      <c r="BW325" s="2" t="e">
        <f ca="1">_xll.BDH($C$303,"BPS_SEQUENTIAL_GROWTH","FQ2 2018","FQ2 2018","Currency=INR","Period=FQ","BEST_FPERIOD_OVERRIDE=FQ","FILING_STATUS=OR","EQY_CONSOLIDATED=Y","Sort=A","Dates=H","DateFormat=P","Fill=—","Direction=H","UseDPDF=Y")</f>
        <v>#NAME?</v>
      </c>
      <c r="BX325" s="2" t="e">
        <f ca="1">_xll.BDH($C$303,"CFO_SEQUENTIAL_GROWTH","FQ2 2018","FQ2 2018","Currency=INR","Period=FQ","BEST_FPERIOD_OVERRIDE=FQ","FILING_STATUS=OR","EQY_CONSOLIDATED=Y","Sort=A","Dates=H","DateFormat=P","Fill=—","Direction=H","UseDPDF=Y")</f>
        <v>#NAME?</v>
      </c>
      <c r="BY325" s="3" t="e">
        <f ca="1">_xll.BDH($C$303,"SHORT_AND_LONG_TERM_DEBT","FQ2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325" s="3" t="e">
        <f ca="1">_xll.BDH($C$303,"BS_ST_BORROW","FQ2 2018","FQ2 2018","Currency=INR","Period=FQ","BEST_FPERIOD_OVERRIDE=FQ","FILING_STATUS=OR","EQY_CONSOLIDATED=Y","SCALING_FORMAT=MLN","Sort=A","Dates=H","DateFormat=P","Fill=—","Direction=H","UseDPDF=Y")</f>
        <v>#NAME?</v>
      </c>
      <c r="CA325" s="3" t="e">
        <f ca="1">_xll.BDH($C$303,"BS_LT_BORROW","FQ2 2018","FQ2 2018","Currency=INR","Period=FQ","BEST_FPERIOD_OVERRIDE=FQ","FILING_STATUS=OR","EQY_CONSOLIDATED=Y","SCALING_FORMAT=MLN","Sort=A","Dates=H","DateFormat=P","Fill=—","Direction=H","UseDPDF=Y")</f>
        <v>#NAME?</v>
      </c>
      <c r="CB325" s="2" t="e">
        <f ca="1">_xll.BDH($C$303,"TOT_DEBT_TO_EBITDA","FQ2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325" s="2" t="e">
        <f ca="1">_xll.BDH($C$303,"NET_DEBT_TO_EBITDA","FQ2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325" s="2" t="e">
        <f ca="1">_xll.BDH($C$303,"TOTAL_DEBT_TO_EBIT","FQ2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325" s="2" t="e">
        <f ca="1">_xll.BDH($C$303,"NET_DEBT_TO_EBIT","FQ2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325" s="2" t="e">
        <f ca="1">_xll.BDH($C$303,"EBITDA_TO_INTEREST_EXPN","FQ2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325" s="2" t="e">
        <f ca="1">_xll.BDH($C$303,"COM_EQY_TO_TOT_ASSET","FQ2 2018","FQ2 2018","Currency=INR","Period=FQ","BEST_FPERIOD_OVERRIDE=FQ","FILING_STATUS=OR","EQY_CONSOLIDATED=Y","Sort=A","Dates=H","DateFormat=P","Fill=—","Direction=H","UseDPDF=Y")</f>
        <v>#NAME?</v>
      </c>
      <c r="CH325" s="2" t="e">
        <f ca="1">_xll.BDH($C$303,"LT_DEBT_TO_TOT_EQY","FQ2 2018","FQ2 2018","Currency=INR","Period=FQ","BEST_FPERIOD_OVERRIDE=FQ","FILING_STATUS=OR","EQY_CONSOLIDATED=Y","Sort=A","Dates=H","DateFormat=P","Fill=—","Direction=H","UseDPDF=Y")</f>
        <v>#NAME?</v>
      </c>
      <c r="CI325" s="2" t="e">
        <f ca="1">_xll.BDH($C$303,"LT_DEBT_TO_TOT_CAP","FQ2 2018","FQ2 2018","Currency=INR","Period=FQ","BEST_FPERIOD_OVERRIDE=FQ","FILING_STATUS=OR","EQY_CONSOLIDATED=Y","Sort=A","Dates=H","DateFormat=P","Fill=—","Direction=H","UseDPDF=Y")</f>
        <v>#NAME?</v>
      </c>
      <c r="CJ325" s="2" t="e">
        <f ca="1">_xll.BDH($C$303,"LT_DEBT_TO_TOT_ASSET","FQ2 2018","FQ2 2018","Currency=INR","Period=FQ","BEST_FPERIOD_OVERRIDE=FQ","FILING_STATUS=OR","EQY_CONSOLIDATED=Y","Sort=A","Dates=H","DateFormat=P","Fill=—","Direction=H","UseDPDF=Y")</f>
        <v>#NAME?</v>
      </c>
      <c r="CK325" s="2" t="e">
        <f ca="1">_xll.BDH($C$303,"TOT_DEBT_TO_TOT_EQY","FQ2 2018","FQ2 2018","Currency=INR","Period=FQ","BEST_FPERIOD_OVERRIDE=FQ","FILING_STATUS=OR","EQY_CONSOLIDATED=Y","Sort=A","Dates=H","DateFormat=P","Fill=—","Direction=H","UseDPDF=Y")</f>
        <v>#NAME?</v>
      </c>
      <c r="CL325" s="2" t="e">
        <f ca="1">_xll.BDH($C$303,"TOT_DEBT_TO_TOT_CAP","FQ2 2018","FQ2 2018","Currency=INR","Period=FQ","BEST_FPERIOD_OVERRIDE=FQ","FILING_STATUS=OR","EQY_CONSOLIDATED=Y","Sort=A","Dates=H","DateFormat=P","Fill=—","Direction=H","UseDPDF=Y")</f>
        <v>#NAME?</v>
      </c>
      <c r="CM325" s="2" t="e">
        <f ca="1">_xll.BDH($C$303,"TOT_DEBT_TO_TOT_ASSET","FQ2 2018","FQ2 2018","Currency=INR","Period=FQ","BEST_FPERIOD_OVERRIDE=FQ","FILING_STATUS=OR","EQY_CONSOLIDATED=Y","Sort=A","Dates=H","DateFormat=P","Fill=—","Direction=H","UseDPDF=Y")</f>
        <v>#NAME?</v>
      </c>
      <c r="CN325" s="2" t="e">
        <f ca="1">_xll.BDH($C$303,"NET_DEBT_TO_SHRHLDR_EQTY","FQ2 2018","FQ2 2018","Currency=INR","Period=FQ","BEST_FPERIOD_OVERRIDE=FQ","FILING_STATUS=OR","EQY_CONSOLIDATED=Y","Sort=A","Dates=H","DateFormat=P","Fill=—","Direction=H","UseDPDF=Y")</f>
        <v>#NAME?</v>
      </c>
      <c r="CO325" s="2" t="e">
        <f ca="1">_xll.BDH($C$303,"NET_DEBT_%_CAPITAL","FQ2 2018","FQ2 2018","Currency=INR","Period=FQ","BEST_FPERIOD_OVERRIDE=FQ","FILING_STATUS=OR","EQY_CONSOLIDATED=Y","Sort=A","Dates=H","DateFormat=P","Fill=—","Direction=H","UseDPDF=Y")</f>
        <v>#NAME?</v>
      </c>
      <c r="CP325" s="3" t="e">
        <f ca="1">_xll.BDH($C$303,"EBITDA","FQ2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325" s="3" t="e">
        <f ca="1">_xll.BDH($C$303,"EBITDA_AFTER_CAPEX","FQ2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325" s="3" t="e">
        <f ca="1">_xll.BDH($C$303,"IS_OPER_INC","FQ2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325" s="2" t="e">
        <f ca="1">_xll.BDH($C$303,"CASH_RATIO","FQ2 2018","FQ2 2018","Currency=INR","Period=FQ","BEST_FPERIOD_OVERRIDE=FQ","FILING_STATUS=OR","EQY_CONSOLIDATED=Y","Sort=A","Dates=H","DateFormat=P","Fill=—","Direction=H","UseDPDF=Y")</f>
        <v>#NAME?</v>
      </c>
      <c r="CT325" s="2" t="e">
        <f ca="1">_xll.BDH($C$303,"CUR_RATIO","FQ2 2018","FQ2 2018","Currency=INR","Period=FQ","BEST_FPERIOD_OVERRIDE=FQ","FILING_STATUS=OR","EQY_CONSOLIDATED=Y","Sort=A","Dates=H","DateFormat=P","Fill=—","Direction=H","UseDPDF=Y")</f>
        <v>#NAME?</v>
      </c>
      <c r="CU325" s="2" t="e">
        <f ca="1">_xll.BDH($C$303,"QUICK_RATIO","FQ2 2018","FQ2 2018","Currency=INR","Period=FQ","BEST_FPERIOD_OVERRIDE=FQ","FILING_STATUS=OR","EQY_CONSOLIDATED=Y","Sort=A","Dates=H","DateFormat=P","Fill=—","Direction=H","UseDPDF=Y")</f>
        <v>#NAME?</v>
      </c>
      <c r="CV325" s="2" t="e">
        <f ca="1">_xll.BDH($C$303,"ALTMAN_Z_SCORE","FQ2 2018","FQ2 2018","Currency=INR","Period=FQ","BEST_FPERIOD_OVERRIDE=FQ","FILING_STATUS=OR","EQY_CONSOLIDATED=Y","Sort=A","Dates=H","DateFormat=P","Fill=—","Direction=H","UseDPDF=Y")</f>
        <v>#NAME?</v>
      </c>
      <c r="CW325" s="4" t="e">
        <f ca="1">_xll.BDH($C$303,"ACCT_RCV_TURN","FQ2 2018","FQ2 2018","Currency=INR","Period=FQ","BEST_FPERIOD_OVERRIDE=FQ","FILING_STATUS=OR","EQY_CONSOLIDATED=Y","FA_ADJUSTED=GAAP","Sort=A","Dates=H","DateFormat=P","Fill=—","Direction=H","UseDPDF=Y")</f>
        <v>#NAME?</v>
      </c>
      <c r="CX325" s="2" t="e">
        <f ca="1">_xll.BDH($C$303,"ACCT_RCV_DAYS","FQ2 2018","FQ2 2018","Currency=INR","Period=FQ","BEST_FPERIOD_OVERRIDE=FQ","FILING_STATUS=OR","EQY_CONSOLIDATED=Y","FA_ADJUSTED=GAAP","Sort=A","Dates=H","DateFormat=P","Fill=—","Direction=H","UseDPDF=Y")</f>
        <v>#NAME?</v>
      </c>
      <c r="CY325" s="4" t="e">
        <f ca="1">_xll.BDH($C$303,"INVENT_TURN","FQ2 2018","FQ2 2018","Currency=INR","Period=FQ","BEST_FPERIOD_OVERRIDE=FQ","FILING_STATUS=OR","EQY_CONSOLIDATED=Y","FA_ADJUSTED=GAAP","Sort=A","Dates=H","DateFormat=P","Fill=—","Direction=H","UseDPDF=Y")</f>
        <v>#NAME?</v>
      </c>
      <c r="CZ325" s="2" t="e">
        <f ca="1">_xll.BDH($C$303,"INVENT_DAYS","FQ2 2018","FQ2 2018","Currency=INR","Period=FQ","BEST_FPERIOD_OVERRIDE=FQ","FILING_STATUS=OR","EQY_CONSOLIDATED=Y","FA_ADJUSTED=GAAP","Sort=A","Dates=H","DateFormat=P","Fill=—","Direction=H","UseDPDF=Y")</f>
        <v>#NAME?</v>
      </c>
      <c r="DA325" s="4" t="e">
        <f ca="1">_xll.BDH($C$303,"ACCOUNTS_PAYABLE_TURNOVER","FQ2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325" s="2" t="e">
        <f ca="1">_xll.BDH($C$303,"ACCOUNTS_PAYABLE_TURNOVER_DAYS","FQ2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325" s="4" t="e">
        <f ca="1">_xll.BDH($C$303,"CASH_CONVERSION_CYCLE","FQ2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325" s="4" t="e">
        <f ca="1">_xll.BDH($C$303,"INV_TO_CASH_DAYS","FQ2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325" s="5" t="e">
        <f ca="1">_xll.BDH($C$303,"BS_INVENTORIES","FQ2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325" s="3" t="e">
        <f ca="1">_xll.BDH($C$303,"INVTRY_RAW_MATERIALS","FQ2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325" s="3" t="e">
        <f ca="1">_xll.BDH($C$303,"INVTRY_IN_PROGRESS","FQ2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325" s="3" t="e">
        <f ca="1">_xll.BDH($C$303,"INVTRY_FINISHED_GOODS","FQ2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325" s="3" t="e">
        <f ca="1">_xll.BDH($C$303,"BS_OTHER_INV","FQ2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326" spans="1:113" x14ac:dyDescent="0.3">
      <c r="A326" s="6"/>
      <c r="B326" s="6"/>
      <c r="C326" s="6"/>
      <c r="D326" s="6"/>
      <c r="E326" t="s">
        <v>80</v>
      </c>
      <c r="F326" t="e">
        <f ca="1">_xll.BDH($C$303,"RETURN_COM_EQY","FQ3 2018","FQ3 2018","Currency=INR","Period=FQ","BEST_FPERIOD_OVERRIDE=FQ","FILING_STATUS=OR","EQY_CONSOLIDATED=Y","FA_ADJUSTED=GAAP","Sort=A","Dates=H","DateFormat=P","Fill=—","Direction=H","UseDPDF=Y")</f>
        <v>#NAME?</v>
      </c>
      <c r="G326" t="e">
        <f ca="1">_xll.BDH($C$303,"RETURN_ON_ASSET","FQ3 2018","FQ3 2018","Currency=INR","Period=FQ","BEST_FPERIOD_OVERRIDE=FQ","FILING_STATUS=OR","EQY_CONSOLIDATED=Y","FA_ADJUSTED=GAAP","Sort=A","Dates=H","DateFormat=P","Fill=—","Direction=H","UseDPDF=Y")</f>
        <v>#NAME?</v>
      </c>
      <c r="H326" t="e">
        <f ca="1">_xll.BDH($C$303,"RETURN_ON_CAP","FQ3 2018","FQ3 2018","Currency=INR","Period=FQ","BEST_FPERIOD_OVERRIDE=FQ","FILING_STATUS=OR","EQY_CONSOLIDATED=Y","FA_ADJUSTED=GAAP","Sort=A","Dates=H","DateFormat=P","Fill=—","Direction=H","UseDPDF=Y")</f>
        <v>#NAME?</v>
      </c>
      <c r="I326" t="e">
        <f ca="1">_xll.BDH($C$303,"RETURN_ON_INV_CAPITAL","FQ3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326" t="e">
        <f ca="1">_xll.BDH($C$303,"EBITDA_TO_REVENUE","FQ3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326" t="e">
        <f ca="1">_xll.BDH($C$303,"OPER_MARGIN","FQ3 2018","FQ3 2018","Currency=INR","Period=FQ","BEST_FPERIOD_OVERRIDE=FQ","FILING_STATUS=OR","EQY_CONSOLIDATED=Y","FA_ADJUSTED=GAAP","Sort=A","Dates=H","DateFormat=P","Fill=—","Direction=H","UseDPDF=Y")</f>
        <v>#NAME?</v>
      </c>
      <c r="L326" t="e">
        <f ca="1">_xll.BDH($C$303,"INCREMENTAL_OPERATING_MARGIN","FQ3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326" t="e">
        <f ca="1">_xll.BDH($C$303,"PRETAX_INC_TO_NET_SALES","FQ3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326" t="e">
        <f ca="1">_xll.BDH($C$303,"INC_BEF_XO_ITEMS_TO_NET_SALES","FQ3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326" t="e">
        <f ca="1">_xll.BDH($C$303,"PROF_MARGIN","FQ3 2018","FQ3 2018","Currency=INR","Period=FQ","BEST_FPERIOD_OVERRIDE=FQ","FILING_STATUS=OR","EQY_CONSOLIDATED=Y","FA_ADJUSTED=GAAP","Sort=A","Dates=H","DateFormat=P","Fill=—","Direction=H","UseDPDF=Y")</f>
        <v>#NAME?</v>
      </c>
      <c r="P326" t="e">
        <f ca="1">_xll.BDH($C$303,"NET_INCOME_TO_COMMON_MARGIN","FQ3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326" t="e">
        <f ca="1">_xll.BDH($C$303,"EFF_TAX_RATE","FQ3 2018","FQ3 2018","Currency=INR","Period=FQ","BEST_FPERIOD_OVERRIDE=FQ","FILING_STATUS=OR","EQY_CONSOLIDATED=Y","FA_ADJUSTED=GAAP","Sort=A","Dates=H","DateFormat=P","Fill=—","Direction=H","UseDPDF=Y")</f>
        <v>#NAME?</v>
      </c>
      <c r="R326" t="e">
        <f ca="1">_xll.BDH($C$303,"DVD_PAYOUT_RATIO","FQ3 2018","FQ3 2018","Currency=INR","Period=FQ","BEST_FPERIOD_OVERRIDE=FQ","FILING_STATUS=OR","EQY_CONSOLIDATED=Y","FA_ADJUSTED=GAAP","Sort=A","Dates=H","DateFormat=P","Fill=—","Direction=H","UseDPDF=Y")</f>
        <v>#NAME?</v>
      </c>
      <c r="S326" t="e">
        <f ca="1">_xll.BDH($C$303,"SUSTAIN_GROWTH_RT","FQ3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326" s="2" t="e">
        <f ca="1">_xll.BDH($C$303,"SALES_GROWTH","FQ3 2018","FQ3 2018","Currency=INR","Period=FQ","BEST_FPERIOD_OVERRIDE=FQ","FILING_STATUS=OR","EQY_CONSOLIDATED=Y","FA_ADJUSTED=GAAP","Sort=A","Dates=H","DateFormat=P","Fill=—","Direction=H","UseDPDF=Y")</f>
        <v>#NAME?</v>
      </c>
      <c r="U326" s="2" t="e">
        <f ca="1">_xll.BDH($C$303,"EBITDA_GROWTH","FQ3 2018","FQ3 2018","Currency=INR","Period=FQ","BEST_FPERIOD_OVERRIDE=FQ","FILING_STATUS=OR","EQY_CONSOLIDATED=Y","FA_ADJUSTED=GAAP","Sort=A","Dates=H","DateFormat=P","Fill=—","Direction=H","UseDPDF=Y")</f>
        <v>#NAME?</v>
      </c>
      <c r="V326" s="2" t="e">
        <f ca="1">_xll.BDH($C$303,"OPER_INC_GROWTH","FQ3 2018","FQ3 2018","Currency=INR","Period=FQ","BEST_FPERIOD_OVERRIDE=FQ","FILING_STATUS=OR","EQY_CONSOLIDATED=Y","FA_ADJUSTED=GAAP","Sort=A","Dates=H","DateFormat=P","Fill=—","Direction=H","UseDPDF=Y")</f>
        <v>#NAME?</v>
      </c>
      <c r="W326" s="2" t="e">
        <f ca="1">_xll.BDH($C$303,"EARN_FOR_COM_GROWTH","FQ3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326" s="2" t="e">
        <f ca="1">_xll.BDH($C$303,"DILUTED_EPS_AFT_XO_ITEMS_GROWTH","FQ3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326" s="2" t="e">
        <f ca="1">_xll.BDH($C$303,"DIVIDEND_PER_SHARE_1_YEAR_GROWTH","FQ3 2018","FQ3 2018","Currency=INR","Period=FQ","BEST_FPERIOD_OVERRIDE=FQ","FILING_STATUS=OR","EQY_CONSOLIDATED=Y","Sort=A","Dates=H","DateFormat=P","Fill=—","Direction=H","UseDPDF=Y")</f>
        <v>#NAME?</v>
      </c>
      <c r="Z326" s="2" t="e">
        <f ca="1">_xll.BDH($C$303,"ACCOUNTS_RECEIVABLE_GROWTH","FQ3 2018","FQ3 2018","Currency=INR","Period=FQ","BEST_FPERIOD_OVERRIDE=FQ","FILING_STATUS=OR","EQY_CONSOLIDATED=Y","Sort=A","Dates=H","DateFormat=P","Fill=—","Direction=H","UseDPDF=Y")</f>
        <v>#NAME?</v>
      </c>
      <c r="AA326" s="2" t="e">
        <f ca="1">_xll.BDH($C$303,"INVENTORY_GROWTH","FQ3 2018","FQ3 2018","Currency=INR","Period=FQ","BEST_FPERIOD_OVERRIDE=FQ","FILING_STATUS=OR","EQY_CONSOLIDATED=Y","Sort=A","Dates=H","DateFormat=P","Fill=—","Direction=H","UseDPDF=Y")</f>
        <v>#NAME?</v>
      </c>
      <c r="AB326" s="2" t="e">
        <f ca="1">_xll.BDH($C$303,"NET_FIXED_ASSETS_1_YEAR_GROWTH","FQ3 2018","FQ3 2018","Currency=INR","Period=FQ","BEST_FPERIOD_OVERRIDE=FQ","FILING_STATUS=OR","EQY_CONSOLIDATED=Y","Sort=A","Dates=H","DateFormat=P","Fill=—","Direction=H","UseDPDF=Y")</f>
        <v>#NAME?</v>
      </c>
      <c r="AC326" s="2" t="e">
        <f ca="1">_xll.BDH($C$303,"ASSET_GROWTH","FQ3 2018","FQ3 2018","Currency=INR","Period=FQ","BEST_FPERIOD_OVERRIDE=FQ","FILING_STATUS=OR","EQY_CONSOLIDATED=Y","Sort=A","Dates=H","DateFormat=P","Fill=—","Direction=H","UseDPDF=Y")</f>
        <v>#NAME?</v>
      </c>
      <c r="AD326" s="2" t="e">
        <f ca="1">_xll.BDH($C$303,"MODIFIED_WORK_CAP_GROWTH","FQ3 2018","FQ3 2018","Currency=INR","Period=FQ","BEST_FPERIOD_OVERRIDE=FQ","FILING_STATUS=OR","EQY_CONSOLIDATED=Y","Sort=A","Dates=H","DateFormat=P","Fill=—","Direction=H","UseDPDF=Y")</f>
        <v>#NAME?</v>
      </c>
      <c r="AE326" s="2" t="e">
        <f ca="1">_xll.BDH($C$303,"WORK_CAP_GROWTH","FQ3 2018","FQ3 2018","Currency=INR","Period=FQ","BEST_FPERIOD_OVERRIDE=FQ","FILING_STATUS=OR","EQY_CONSOLIDATED=Y","Sort=A","Dates=H","DateFormat=P","Fill=—","Direction=H","UseDPDF=Y")</f>
        <v>#NAME?</v>
      </c>
      <c r="AF326" s="2" t="e">
        <f ca="1">_xll.BDH($C$303,"ACCOUNTS_PAYABLE_GROWTH_1YR","FQ3 2018","FQ3 2018","Currency=INR","Period=FQ","BEST_FPERIOD_OVERRIDE=FQ","FILING_STATUS=OR","EQY_CONSOLIDATED=Y","Sort=A","Dates=H","DateFormat=P","Fill=—","Direction=H","UseDPDF=Y")</f>
        <v>#NAME?</v>
      </c>
      <c r="AG326" s="2" t="e">
        <f ca="1">_xll.BDH($C$303,"SHORT_TERM_DEBT_1_YEAR_GROWTH","FQ3 2018","FQ3 2018","Currency=INR","Period=FQ","BEST_FPERIOD_OVERRIDE=FQ","FILING_STATUS=OR","EQY_CONSOLIDATED=Y","Sort=A","Dates=H","DateFormat=P","Fill=—","Direction=H","UseDPDF=Y")</f>
        <v>#NAME?</v>
      </c>
      <c r="AH326" s="2" t="e">
        <f ca="1">_xll.BDH($C$303,"TOTAL_DEBT_1_YEAR_GROWTH","FQ3 2018","FQ3 2018","Currency=INR","Period=FQ","BEST_FPERIOD_OVERRIDE=FQ","FILING_STATUS=OR","EQY_CONSOLIDATED=Y","Sort=A","Dates=H","DateFormat=P","Fill=—","Direction=H","UseDPDF=Y")</f>
        <v>#NAME?</v>
      </c>
      <c r="AI326" s="2" t="e">
        <f ca="1">_xll.BDH($C$303,"TOTAL_EQUITY_1_YEAR_GROWTH","FQ3 2018","FQ3 2018","Currency=INR","Period=FQ","BEST_FPERIOD_OVERRIDE=FQ","FILING_STATUS=OR","EQY_CONSOLIDATED=Y","Sort=A","Dates=H","DateFormat=P","Fill=—","Direction=H","UseDPDF=Y")</f>
        <v>#NAME?</v>
      </c>
      <c r="AJ326" s="2" t="e">
        <f ca="1">_xll.BDH($C$303,"GROWTH_IN_CAP","FQ3 2018","FQ3 2018","Currency=INR","Period=FQ","BEST_FPERIOD_OVERRIDE=FQ","FILING_STATUS=OR","EQY_CONSOLIDATED=Y","Sort=A","Dates=H","DateFormat=P","Fill=—","Direction=H","UseDPDF=Y")</f>
        <v>#NAME?</v>
      </c>
      <c r="AK326" s="2" t="e">
        <f ca="1">_xll.BDH($C$303,"BVPS_GROWTH","FQ3 2018","FQ3 2018","Currency=INR","Period=FQ","BEST_FPERIOD_OVERRIDE=FQ","FILING_STATUS=OR","EQY_CONSOLIDATED=Y","Sort=A","Dates=H","DateFormat=P","Fill=—","Direction=H","UseDPDF=Y")</f>
        <v>#NAME?</v>
      </c>
      <c r="AL326" s="2" t="e">
        <f ca="1">_xll.BDH($C$303,"CASH_FLOW_GROWTH","FQ3 2018","FQ3 2018","Currency=INR","Period=FQ","BEST_FPERIOD_OVERRIDE=FQ","FILING_STATUS=OR","EQY_CONSOLIDATED=Y","Sort=A","Dates=H","DateFormat=P","Fill=—","Direction=H","UseDPDF=Y")</f>
        <v>#NAME?</v>
      </c>
      <c r="AM326" s="2" t="e">
        <f ca="1">_xll.BDH($C$303,"GEO_GROW_NET_SALES","FQ3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326" s="2" t="e">
        <f ca="1">_xll.BDH($C$303,"GEO_GROW_EBITDA","FQ3 2018","FQ3 2018","Currency=INR","Period=FQ","BEST_FPERIOD_OVERRIDE=FQ","FILING_STATUS=OR","EQY_CONSOLIDATED=Y","FA_ADJUSTED=GAAP","Sort=A","Dates=H","DateFormat=P","Fill=—","Direction=H","UseDPDF=Y")</f>
        <v>#NAME?</v>
      </c>
      <c r="AO326" s="2" t="e">
        <f ca="1">_xll.BDH($C$303,"GEO_GROW_OPER_INC","FQ3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326" s="2" t="e">
        <f ca="1">_xll.BDH($C$303,"NET_INCOME_TO_COMMON_5_YR_GROWTH","FQ3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326" s="2" t="e">
        <f ca="1">_xll.BDH($C$303,"5Y_GEO_GROWTH_DILUTED_EPS","FQ3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326" s="2" t="e">
        <f ca="1">_xll.BDH($C$303,"GEO_GROW_DVD_PER_SH","FQ3 2018","FQ3 2018","Currency=INR","Period=FQ","BEST_FPERIOD_OVERRIDE=FQ","FILING_STATUS=OR","EQY_CONSOLIDATED=Y","Sort=A","Dates=H","DateFormat=P","Fill=—","Direction=H","UseDPDF=Y")</f>
        <v>#NAME?</v>
      </c>
      <c r="AS326" s="2" t="e">
        <f ca="1">_xll.BDH($C$303,"ACCOUNTS_RECEIVABLE_5_YR_GROWTH","FQ3 2018","FQ3 2018","Currency=INR","Period=FQ","BEST_FPERIOD_OVERRIDE=FQ","FILING_STATUS=OR","EQY_CONSOLIDATED=Y","Sort=A","Dates=H","DateFormat=P","Fill=—","Direction=H","UseDPDF=Y")</f>
        <v>#NAME?</v>
      </c>
      <c r="AT326" s="2" t="e">
        <f ca="1">_xll.BDH($C$303,"INVENTORY_5_YEAR_GROWTH","FQ3 2018","FQ3 2018","Currency=INR","Period=FQ","BEST_FPERIOD_OVERRIDE=FQ","FILING_STATUS=OR","EQY_CONSOLIDATED=Y","Sort=A","Dates=H","DateFormat=P","Fill=—","Direction=H","UseDPDF=Y")</f>
        <v>#NAME?</v>
      </c>
      <c r="AU326" s="2" t="e">
        <f ca="1">_xll.BDH($C$303,"NET_FIXED_ASSETS_5_YEAR_GROWTH","FQ3 2018","FQ3 2018","Currency=INR","Period=FQ","BEST_FPERIOD_OVERRIDE=FQ","FILING_STATUS=OR","EQY_CONSOLIDATED=Y","Sort=A","Dates=H","DateFormat=P","Fill=—","Direction=H","UseDPDF=Y")</f>
        <v>#NAME?</v>
      </c>
      <c r="AV326" s="2" t="e">
        <f ca="1">_xll.BDH($C$303,"GEO_GROW_TOT_ASSET","FQ3 2018","FQ3 2018","Currency=INR","Period=FQ","BEST_FPERIOD_OVERRIDE=FQ","FILING_STATUS=OR","EQY_CONSOLIDATED=Y","Sort=A","Dates=H","DateFormat=P","Fill=—","Direction=H","UseDPDF=Y")</f>
        <v>#NAME?</v>
      </c>
      <c r="AW326" s="2" t="e">
        <f ca="1">_xll.BDH($C$303,"MODIFIED_WORKING_CPTL_5YR_GRWTH","FQ3 2018","FQ3 2018","Currency=INR","Period=FQ","BEST_FPERIOD_OVERRIDE=FQ","FILING_STATUS=OR","EQY_CONSOLIDATED=Y","Sort=A","Dates=H","DateFormat=P","Fill=—","Direction=H","UseDPDF=Y")</f>
        <v>#NAME?</v>
      </c>
      <c r="AX326" s="2" t="e">
        <f ca="1">_xll.BDH($C$303,"WORKING_CAPITAL_5_YEAR_GROWTH","FQ3 2018","FQ3 2018","Currency=INR","Period=FQ","BEST_FPERIOD_OVERRIDE=FQ","FILING_STATUS=OR","EQY_CONSOLIDATED=Y","Sort=A","Dates=H","DateFormat=P","Fill=—","Direction=H","UseDPDF=Y")</f>
        <v>#NAME?</v>
      </c>
      <c r="AY326" s="2" t="e">
        <f ca="1">_xll.BDH($C$303,"ACCOUNTS_PAYABLE_5_YEAR_GROWTH","FQ3 2018","FQ3 2018","Currency=INR","Period=FQ","BEST_FPERIOD_OVERRIDE=FQ","FILING_STATUS=OR","EQY_CONSOLIDATED=Y","Sort=A","Dates=H","DateFormat=P","Fill=—","Direction=H","UseDPDF=Y")</f>
        <v>#NAME?</v>
      </c>
      <c r="AZ326" s="2" t="e">
        <f ca="1">_xll.BDH($C$303,"SHORT_TERM_DEBT_5_YEAR_GROWTH","FQ3 2018","FQ3 2018","Currency=INR","Period=FQ","BEST_FPERIOD_OVERRIDE=FQ","FILING_STATUS=OR","EQY_CONSOLIDATED=Y","Sort=A","Dates=H","DateFormat=P","Fill=—","Direction=H","UseDPDF=Y")</f>
        <v>#NAME?</v>
      </c>
      <c r="BA326" s="2" t="e">
        <f ca="1">_xll.BDH($C$303,"TOTAL_DEBT_5_YEAR_GROWTH","FQ3 2018","FQ3 2018","Currency=INR","Period=FQ","BEST_FPERIOD_OVERRIDE=FQ","FILING_STATUS=OR","EQY_CONSOLIDATED=Y","Sort=A","Dates=H","DateFormat=P","Fill=—","Direction=H","UseDPDF=Y")</f>
        <v>#NAME?</v>
      </c>
      <c r="BB326" s="2" t="e">
        <f ca="1">_xll.BDH($C$303,"GEO_GROW_TOT_SHRHLDR_EQY","FQ3 2018","FQ3 2018","Currency=INR","Period=FQ","BEST_FPERIOD_OVERRIDE=FQ","FILING_STATUS=OR","EQY_CONSOLIDATED=Y","Sort=A","Dates=H","DateFormat=P","Fill=—","Direction=H","UseDPDF=Y")</f>
        <v>#NAME?</v>
      </c>
      <c r="BC326" s="2" t="e">
        <f ca="1">_xll.BDH($C$303,"TOTAL_CAPITAL_5_YEAR_GROWTH","FQ3 2018","FQ3 2018","Currency=INR","Period=FQ","BEST_FPERIOD_OVERRIDE=FQ","FILING_STATUS=OR","EQY_CONSOLIDATED=Y","Sort=A","Dates=H","DateFormat=P","Fill=—","Direction=H","UseDPDF=Y")</f>
        <v>#NAME?</v>
      </c>
      <c r="BD326" s="2" t="e">
        <f ca="1">_xll.BDH($C$303,"GEO_GROW_BOOK_VAL","FQ3 2018","FQ3 2018","Currency=INR","Period=FQ","BEST_FPERIOD_OVERRIDE=FQ","FILING_STATUS=OR","EQY_CONSOLIDATED=Y","Sort=A","Dates=H","DateFormat=P","Fill=—","Direction=H","UseDPDF=Y")</f>
        <v>#NAME?</v>
      </c>
      <c r="BE326" s="2" t="e">
        <f ca="1">_xll.BDH($C$303,"GEO_GROW_CASH_OPER_ACT","FQ3 2018","FQ3 2018","Currency=INR","Period=FQ","BEST_FPERIOD_OVERRIDE=FQ","FILING_STATUS=OR","EQY_CONSOLIDATED=Y","Sort=A","Dates=H","DateFormat=P","Fill=—","Direction=H","UseDPDF=Y")</f>
        <v>#NAME?</v>
      </c>
      <c r="BF326" s="2" t="e">
        <f ca="1">_xll.BDH($C$303,"REVENUE_SEQUENTIAL_GROWTH","FQ3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326" s="2" t="e">
        <f ca="1">_xll.BDH($C$303,"EBITDA_SEQUENTIAL_GROWTH","FQ3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326" s="2" t="e">
        <f ca="1">_xll.BDH($C$303,"OPERATING_INCOME_SEQ_GROWTH","FQ3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326" s="2" t="e">
        <f ca="1">_xll.BDH($C$303,"NET_INCOME_TO_COMMON_SEQ_GROWTH","FQ3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326" s="2" t="e">
        <f ca="1">_xll.BDH($C$303,"EPS_DILUTED_SEQUENTIAL_GROWTH","FQ3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326" s="2" t="e">
        <f ca="1">_xll.BDH($C$303,"DPS_SEQUENTIAL_GROWTH","FQ3 2018","FQ3 2018","Currency=INR","Period=FQ","BEST_FPERIOD_OVERRIDE=FQ","FILING_STATUS=OR","EQY_CONSOLIDATED=Y","Sort=A","Dates=H","DateFormat=P","Fill=—","Direction=H","UseDPDF=Y")</f>
        <v>#NAME?</v>
      </c>
      <c r="BL326" s="2" t="e">
        <f ca="1">_xll.BDH($C$303,"ACCOUNTS_RECEIVABLE_SEQ_GROWTH","FQ3 2018","FQ3 2018","Currency=INR","Period=FQ","BEST_FPERIOD_OVERRIDE=FQ","FILING_STATUS=OR","EQY_CONSOLIDATED=Y","Sort=A","Dates=H","DateFormat=P","Fill=—","Direction=H","UseDPDF=Y")</f>
        <v>#NAME?</v>
      </c>
      <c r="BM326" s="2" t="e">
        <f ca="1">_xll.BDH($C$303,"INVENTORY_SEQUENTIAL_GROWTH","FQ3 2018","FQ3 2018","Currency=INR","Period=FQ","BEST_FPERIOD_OVERRIDE=FQ","FILING_STATUS=OR","EQY_CONSOLIDATED=Y","Sort=A","Dates=H","DateFormat=P","Fill=—","Direction=H","UseDPDF=Y")</f>
        <v>#NAME?</v>
      </c>
      <c r="BN326" s="2" t="e">
        <f ca="1">_xll.BDH($C$303,"FIXED_ASSETS_SEQUENTIAL_GROWTH","FQ3 2018","FQ3 2018","Currency=INR","Period=FQ","BEST_FPERIOD_OVERRIDE=FQ","FILING_STATUS=OR","EQY_CONSOLIDATED=Y","Sort=A","Dates=H","DateFormat=P","Fill=—","Direction=H","UseDPDF=Y")</f>
        <v>#NAME?</v>
      </c>
      <c r="BO326" s="2" t="e">
        <f ca="1">_xll.BDH($C$303,"TOTAL_ASSETS_SEQUENTIAL_GROWTH","FQ3 2018","FQ3 2018","Currency=INR","Period=FQ","BEST_FPERIOD_OVERRIDE=FQ","FILING_STATUS=OR","EQY_CONSOLIDATED=Y","Sort=A","Dates=H","DateFormat=P","Fill=—","Direction=H","UseDPDF=Y")</f>
        <v>#NAME?</v>
      </c>
      <c r="BP326" s="2" t="e">
        <f ca="1">_xll.BDH($C$303,"MODIFIED_WORKING_CPTL_SEQ_GRWTH","FQ3 2018","FQ3 2018","Currency=INR","Period=FQ","BEST_FPERIOD_OVERRIDE=FQ","FILING_STATUS=OR","EQY_CONSOLIDATED=Y","Sort=A","Dates=H","DateFormat=P","Fill=—","Direction=H","UseDPDF=Y")</f>
        <v>#NAME?</v>
      </c>
      <c r="BQ326" s="2" t="e">
        <f ca="1">_xll.BDH($C$303,"WORKING_CAPITAL_SEQ_GROWTH","FQ3 2018","FQ3 2018","Currency=INR","Period=FQ","BEST_FPERIOD_OVERRIDE=FQ","FILING_STATUS=OR","EQY_CONSOLIDATED=Y","Sort=A","Dates=H","DateFormat=P","Fill=—","Direction=H","UseDPDF=Y")</f>
        <v>#NAME?</v>
      </c>
      <c r="BR326" s="2" t="e">
        <f ca="1">_xll.BDH($C$303,"ACCOUNTS_PAYABLE_SEQ_GROWTH","FQ3 2018","FQ3 2018","Currency=INR","Period=FQ","BEST_FPERIOD_OVERRIDE=FQ","FILING_STATUS=OR","EQY_CONSOLIDATED=Y","Sort=A","Dates=H","DateFormat=P","Fill=—","Direction=H","UseDPDF=Y")</f>
        <v>#NAME?</v>
      </c>
      <c r="BS326" s="2" t="e">
        <f ca="1">_xll.BDH($C$303,"ST_DEBT_SEQUENTIAL_GROWTH","FQ3 2018","FQ3 2018","Currency=INR","Period=FQ","BEST_FPERIOD_OVERRIDE=FQ","FILING_STATUS=OR","EQY_CONSOLIDATED=Y","Sort=A","Dates=H","DateFormat=P","Fill=—","Direction=H","UseDPDF=Y")</f>
        <v>#NAME?</v>
      </c>
      <c r="BT326" s="2" t="e">
        <f ca="1">_xll.BDH($C$303,"TOTAL_DEBT_SEQUENTIAL_GROWTH","FQ3 2018","FQ3 2018","Currency=INR","Period=FQ","BEST_FPERIOD_OVERRIDE=FQ","FILING_STATUS=OR","EQY_CONSOLIDATED=Y","Sort=A","Dates=H","DateFormat=P","Fill=—","Direction=H","UseDPDF=Y")</f>
        <v>#NAME?</v>
      </c>
      <c r="BU326" s="2" t="e">
        <f ca="1">_xll.BDH($C$303,"TOTAL_EQUITY_SEQUENTIAL_GROWTH","FQ3 2018","FQ3 2018","Currency=INR","Period=FQ","BEST_FPERIOD_OVERRIDE=FQ","FILING_STATUS=OR","EQY_CONSOLIDATED=Y","Sort=A","Dates=H","DateFormat=P","Fill=—","Direction=H","UseDPDF=Y")</f>
        <v>#NAME?</v>
      </c>
      <c r="BV326" s="2" t="e">
        <f ca="1">_xll.BDH($C$303,"TOTAL_CAPITAL_SEQUENTIAL_GROWTH","FQ3 2018","FQ3 2018","Currency=INR","Period=FQ","BEST_FPERIOD_OVERRIDE=FQ","FILING_STATUS=OR","EQY_CONSOLIDATED=Y","Sort=A","Dates=H","DateFormat=P","Fill=—","Direction=H","UseDPDF=Y")</f>
        <v>#NAME?</v>
      </c>
      <c r="BW326" s="2" t="e">
        <f ca="1">_xll.BDH($C$303,"BPS_SEQUENTIAL_GROWTH","FQ3 2018","FQ3 2018","Currency=INR","Period=FQ","BEST_FPERIOD_OVERRIDE=FQ","FILING_STATUS=OR","EQY_CONSOLIDATED=Y","Sort=A","Dates=H","DateFormat=P","Fill=—","Direction=H","UseDPDF=Y")</f>
        <v>#NAME?</v>
      </c>
      <c r="BX326" s="2" t="e">
        <f ca="1">_xll.BDH($C$303,"CFO_SEQUENTIAL_GROWTH","FQ3 2018","FQ3 2018","Currency=INR","Period=FQ","BEST_FPERIOD_OVERRIDE=FQ","FILING_STATUS=OR","EQY_CONSOLIDATED=Y","Sort=A","Dates=H","DateFormat=P","Fill=—","Direction=H","UseDPDF=Y")</f>
        <v>#NAME?</v>
      </c>
      <c r="BY326" s="3" t="e">
        <f ca="1">_xll.BDH($C$303,"SHORT_AND_LONG_TERM_DEBT","FQ3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326" s="3" t="e">
        <f ca="1">_xll.BDH($C$303,"BS_ST_BORROW","FQ3 2018","FQ3 2018","Currency=INR","Period=FQ","BEST_FPERIOD_OVERRIDE=FQ","FILING_STATUS=OR","EQY_CONSOLIDATED=Y","SCALING_FORMAT=MLN","Sort=A","Dates=H","DateFormat=P","Fill=—","Direction=H","UseDPDF=Y")</f>
        <v>#NAME?</v>
      </c>
      <c r="CA326" s="3" t="e">
        <f ca="1">_xll.BDH($C$303,"BS_LT_BORROW","FQ3 2018","FQ3 2018","Currency=INR","Period=FQ","BEST_FPERIOD_OVERRIDE=FQ","FILING_STATUS=OR","EQY_CONSOLIDATED=Y","SCALING_FORMAT=MLN","Sort=A","Dates=H","DateFormat=P","Fill=—","Direction=H","UseDPDF=Y")</f>
        <v>#NAME?</v>
      </c>
      <c r="CB326" s="2" t="e">
        <f ca="1">_xll.BDH($C$303,"TOT_DEBT_TO_EBITDA","FQ3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326" s="2" t="e">
        <f ca="1">_xll.BDH($C$303,"NET_DEBT_TO_EBITDA","FQ3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326" s="2" t="e">
        <f ca="1">_xll.BDH($C$303,"TOTAL_DEBT_TO_EBIT","FQ3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326" s="2" t="e">
        <f ca="1">_xll.BDH($C$303,"NET_DEBT_TO_EBIT","FQ3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326" s="2" t="e">
        <f ca="1">_xll.BDH($C$303,"EBITDA_TO_INTEREST_EXPN","FQ3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326" s="2" t="e">
        <f ca="1">_xll.BDH($C$303,"COM_EQY_TO_TOT_ASSET","FQ3 2018","FQ3 2018","Currency=INR","Period=FQ","BEST_FPERIOD_OVERRIDE=FQ","FILING_STATUS=OR","EQY_CONSOLIDATED=Y","Sort=A","Dates=H","DateFormat=P","Fill=—","Direction=H","UseDPDF=Y")</f>
        <v>#NAME?</v>
      </c>
      <c r="CH326" s="2" t="e">
        <f ca="1">_xll.BDH($C$303,"LT_DEBT_TO_TOT_EQY","FQ3 2018","FQ3 2018","Currency=INR","Period=FQ","BEST_FPERIOD_OVERRIDE=FQ","FILING_STATUS=OR","EQY_CONSOLIDATED=Y","Sort=A","Dates=H","DateFormat=P","Fill=—","Direction=H","UseDPDF=Y")</f>
        <v>#NAME?</v>
      </c>
      <c r="CI326" s="2" t="e">
        <f ca="1">_xll.BDH($C$303,"LT_DEBT_TO_TOT_CAP","FQ3 2018","FQ3 2018","Currency=INR","Period=FQ","BEST_FPERIOD_OVERRIDE=FQ","FILING_STATUS=OR","EQY_CONSOLIDATED=Y","Sort=A","Dates=H","DateFormat=P","Fill=—","Direction=H","UseDPDF=Y")</f>
        <v>#NAME?</v>
      </c>
      <c r="CJ326" s="2" t="e">
        <f ca="1">_xll.BDH($C$303,"LT_DEBT_TO_TOT_ASSET","FQ3 2018","FQ3 2018","Currency=INR","Period=FQ","BEST_FPERIOD_OVERRIDE=FQ","FILING_STATUS=OR","EQY_CONSOLIDATED=Y","Sort=A","Dates=H","DateFormat=P","Fill=—","Direction=H","UseDPDF=Y")</f>
        <v>#NAME?</v>
      </c>
      <c r="CK326" s="2" t="e">
        <f ca="1">_xll.BDH($C$303,"TOT_DEBT_TO_TOT_EQY","FQ3 2018","FQ3 2018","Currency=INR","Period=FQ","BEST_FPERIOD_OVERRIDE=FQ","FILING_STATUS=OR","EQY_CONSOLIDATED=Y","Sort=A","Dates=H","DateFormat=P","Fill=—","Direction=H","UseDPDF=Y")</f>
        <v>#NAME?</v>
      </c>
      <c r="CL326" s="2" t="e">
        <f ca="1">_xll.BDH($C$303,"TOT_DEBT_TO_TOT_CAP","FQ3 2018","FQ3 2018","Currency=INR","Period=FQ","BEST_FPERIOD_OVERRIDE=FQ","FILING_STATUS=OR","EQY_CONSOLIDATED=Y","Sort=A","Dates=H","DateFormat=P","Fill=—","Direction=H","UseDPDF=Y")</f>
        <v>#NAME?</v>
      </c>
      <c r="CM326" s="2" t="e">
        <f ca="1">_xll.BDH($C$303,"TOT_DEBT_TO_TOT_ASSET","FQ3 2018","FQ3 2018","Currency=INR","Period=FQ","BEST_FPERIOD_OVERRIDE=FQ","FILING_STATUS=OR","EQY_CONSOLIDATED=Y","Sort=A","Dates=H","DateFormat=P","Fill=—","Direction=H","UseDPDF=Y")</f>
        <v>#NAME?</v>
      </c>
      <c r="CN326" s="2" t="e">
        <f ca="1">_xll.BDH($C$303,"NET_DEBT_TO_SHRHLDR_EQTY","FQ3 2018","FQ3 2018","Currency=INR","Period=FQ","BEST_FPERIOD_OVERRIDE=FQ","FILING_STATUS=OR","EQY_CONSOLIDATED=Y","Sort=A","Dates=H","DateFormat=P","Fill=—","Direction=H","UseDPDF=Y")</f>
        <v>#NAME?</v>
      </c>
      <c r="CO326" s="2" t="e">
        <f ca="1">_xll.BDH($C$303,"NET_DEBT_%_CAPITAL","FQ3 2018","FQ3 2018","Currency=INR","Period=FQ","BEST_FPERIOD_OVERRIDE=FQ","FILING_STATUS=OR","EQY_CONSOLIDATED=Y","Sort=A","Dates=H","DateFormat=P","Fill=—","Direction=H","UseDPDF=Y")</f>
        <v>#NAME?</v>
      </c>
      <c r="CP326" s="3" t="e">
        <f ca="1">_xll.BDH($C$303,"EBITDA","FQ3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326" s="3" t="e">
        <f ca="1">_xll.BDH($C$303,"EBITDA_AFTER_CAPEX","FQ3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326" s="3" t="e">
        <f ca="1">_xll.BDH($C$303,"IS_OPER_INC","FQ3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326" s="2" t="e">
        <f ca="1">_xll.BDH($C$303,"CASH_RATIO","FQ3 2018","FQ3 2018","Currency=INR","Period=FQ","BEST_FPERIOD_OVERRIDE=FQ","FILING_STATUS=OR","EQY_CONSOLIDATED=Y","Sort=A","Dates=H","DateFormat=P","Fill=—","Direction=H","UseDPDF=Y")</f>
        <v>#NAME?</v>
      </c>
      <c r="CT326" s="2" t="e">
        <f ca="1">_xll.BDH($C$303,"CUR_RATIO","FQ3 2018","FQ3 2018","Currency=INR","Period=FQ","BEST_FPERIOD_OVERRIDE=FQ","FILING_STATUS=OR","EQY_CONSOLIDATED=Y","Sort=A","Dates=H","DateFormat=P","Fill=—","Direction=H","UseDPDF=Y")</f>
        <v>#NAME?</v>
      </c>
      <c r="CU326" s="2" t="e">
        <f ca="1">_xll.BDH($C$303,"QUICK_RATIO","FQ3 2018","FQ3 2018","Currency=INR","Period=FQ","BEST_FPERIOD_OVERRIDE=FQ","FILING_STATUS=OR","EQY_CONSOLIDATED=Y","Sort=A","Dates=H","DateFormat=P","Fill=—","Direction=H","UseDPDF=Y")</f>
        <v>#NAME?</v>
      </c>
      <c r="CV326" s="2" t="e">
        <f ca="1">_xll.BDH($C$303,"ALTMAN_Z_SCORE","FQ3 2018","FQ3 2018","Currency=INR","Period=FQ","BEST_FPERIOD_OVERRIDE=FQ","FILING_STATUS=OR","EQY_CONSOLIDATED=Y","Sort=A","Dates=H","DateFormat=P","Fill=—","Direction=H","UseDPDF=Y")</f>
        <v>#NAME?</v>
      </c>
      <c r="CW326" s="4" t="e">
        <f ca="1">_xll.BDH($C$303,"ACCT_RCV_TURN","FQ3 2018","FQ3 2018","Currency=INR","Period=FQ","BEST_FPERIOD_OVERRIDE=FQ","FILING_STATUS=OR","EQY_CONSOLIDATED=Y","FA_ADJUSTED=GAAP","Sort=A","Dates=H","DateFormat=P","Fill=—","Direction=H","UseDPDF=Y")</f>
        <v>#NAME?</v>
      </c>
      <c r="CX326" s="2" t="e">
        <f ca="1">_xll.BDH($C$303,"ACCT_RCV_DAYS","FQ3 2018","FQ3 2018","Currency=INR","Period=FQ","BEST_FPERIOD_OVERRIDE=FQ","FILING_STATUS=OR","EQY_CONSOLIDATED=Y","FA_ADJUSTED=GAAP","Sort=A","Dates=H","DateFormat=P","Fill=—","Direction=H","UseDPDF=Y")</f>
        <v>#NAME?</v>
      </c>
      <c r="CY326" s="4" t="e">
        <f ca="1">_xll.BDH($C$303,"INVENT_TURN","FQ3 2018","FQ3 2018","Currency=INR","Period=FQ","BEST_FPERIOD_OVERRIDE=FQ","FILING_STATUS=OR","EQY_CONSOLIDATED=Y","FA_ADJUSTED=GAAP","Sort=A","Dates=H","DateFormat=P","Fill=—","Direction=H","UseDPDF=Y")</f>
        <v>#NAME?</v>
      </c>
      <c r="CZ326" s="2" t="e">
        <f ca="1">_xll.BDH($C$303,"INVENT_DAYS","FQ3 2018","FQ3 2018","Currency=INR","Period=FQ","BEST_FPERIOD_OVERRIDE=FQ","FILING_STATUS=OR","EQY_CONSOLIDATED=Y","FA_ADJUSTED=GAAP","Sort=A","Dates=H","DateFormat=P","Fill=—","Direction=H","UseDPDF=Y")</f>
        <v>#NAME?</v>
      </c>
      <c r="DA326" s="4" t="e">
        <f ca="1">_xll.BDH($C$303,"ACCOUNTS_PAYABLE_TURNOVER","FQ3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326" s="2" t="e">
        <f ca="1">_xll.BDH($C$303,"ACCOUNTS_PAYABLE_TURNOVER_DAYS","FQ3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326" s="4" t="e">
        <f ca="1">_xll.BDH($C$303,"CASH_CONVERSION_CYCLE","FQ3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326" s="4" t="e">
        <f ca="1">_xll.BDH($C$303,"INV_TO_CASH_DAYS","FQ3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326" s="5" t="e">
        <f ca="1">_xll.BDH($C$303,"BS_INVENTORIES","FQ3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326" s="3" t="e">
        <f ca="1">_xll.BDH($C$303,"INVTRY_RAW_MATERIALS","FQ3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326" s="3" t="e">
        <f ca="1">_xll.BDH($C$303,"INVTRY_IN_PROGRESS","FQ3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326" s="3" t="e">
        <f ca="1">_xll.BDH($C$303,"INVTRY_FINISHED_GOODS","FQ3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326" s="3" t="e">
        <f ca="1">_xll.BDH($C$303,"BS_OTHER_INV","FQ3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327" spans="1:113" x14ac:dyDescent="0.3">
      <c r="A327" s="6"/>
      <c r="B327" s="6"/>
      <c r="C327" s="6"/>
      <c r="D327" s="6"/>
      <c r="E327" t="s">
        <v>81</v>
      </c>
      <c r="F327" t="e">
        <f ca="1">_xll.BDH($C$303,"RETURN_COM_EQY","FQ4 2018","FQ4 2018","Currency=INR","Period=FQ","BEST_FPERIOD_OVERRIDE=FQ","FILING_STATUS=OR","EQY_CONSOLIDATED=Y","FA_ADJUSTED=GAAP","Sort=A","Dates=H","DateFormat=P","Fill=—","Direction=H","UseDPDF=Y")</f>
        <v>#NAME?</v>
      </c>
      <c r="G327" t="e">
        <f ca="1">_xll.BDH($C$303,"RETURN_ON_ASSET","FQ4 2018","FQ4 2018","Currency=INR","Period=FQ","BEST_FPERIOD_OVERRIDE=FQ","FILING_STATUS=OR","EQY_CONSOLIDATED=Y","FA_ADJUSTED=GAAP","Sort=A","Dates=H","DateFormat=P","Fill=—","Direction=H","UseDPDF=Y")</f>
        <v>#NAME?</v>
      </c>
      <c r="H327" t="e">
        <f ca="1">_xll.BDH($C$303,"RETURN_ON_CAP","FQ4 2018","FQ4 2018","Currency=INR","Period=FQ","BEST_FPERIOD_OVERRIDE=FQ","FILING_STATUS=OR","EQY_CONSOLIDATED=Y","FA_ADJUSTED=GAAP","Sort=A","Dates=H","DateFormat=P","Fill=—","Direction=H","UseDPDF=Y")</f>
        <v>#NAME?</v>
      </c>
      <c r="I327" t="e">
        <f ca="1">_xll.BDH($C$303,"RETURN_ON_INV_CAPITAL","FQ4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327" t="e">
        <f ca="1">_xll.BDH($C$303,"EBITDA_TO_REVENUE","FQ4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327" t="e">
        <f ca="1">_xll.BDH($C$303,"OPER_MARGIN","FQ4 2018","FQ4 2018","Currency=INR","Period=FQ","BEST_FPERIOD_OVERRIDE=FQ","FILING_STATUS=OR","EQY_CONSOLIDATED=Y","FA_ADJUSTED=GAAP","Sort=A","Dates=H","DateFormat=P","Fill=—","Direction=H","UseDPDF=Y")</f>
        <v>#NAME?</v>
      </c>
      <c r="L327" t="e">
        <f ca="1">_xll.BDH($C$303,"INCREMENTAL_OPERATING_MARGIN","FQ4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327" t="e">
        <f ca="1">_xll.BDH($C$303,"PRETAX_INC_TO_NET_SALES","FQ4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327" t="e">
        <f ca="1">_xll.BDH($C$303,"INC_BEF_XO_ITEMS_TO_NET_SALES","FQ4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327" t="e">
        <f ca="1">_xll.BDH($C$303,"PROF_MARGIN","FQ4 2018","FQ4 2018","Currency=INR","Period=FQ","BEST_FPERIOD_OVERRIDE=FQ","FILING_STATUS=OR","EQY_CONSOLIDATED=Y","FA_ADJUSTED=GAAP","Sort=A","Dates=H","DateFormat=P","Fill=—","Direction=H","UseDPDF=Y")</f>
        <v>#NAME?</v>
      </c>
      <c r="P327" t="e">
        <f ca="1">_xll.BDH($C$303,"NET_INCOME_TO_COMMON_MARGIN","FQ4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327" t="e">
        <f ca="1">_xll.BDH($C$303,"EFF_TAX_RATE","FQ4 2018","FQ4 2018","Currency=INR","Period=FQ","BEST_FPERIOD_OVERRIDE=FQ","FILING_STATUS=OR","EQY_CONSOLIDATED=Y","FA_ADJUSTED=GAAP","Sort=A","Dates=H","DateFormat=P","Fill=—","Direction=H","UseDPDF=Y")</f>
        <v>#NAME?</v>
      </c>
      <c r="R327" t="e">
        <f ca="1">_xll.BDH($C$303,"DVD_PAYOUT_RATIO","FQ4 2018","FQ4 2018","Currency=INR","Period=FQ","BEST_FPERIOD_OVERRIDE=FQ","FILING_STATUS=OR","EQY_CONSOLIDATED=Y","FA_ADJUSTED=GAAP","Sort=A","Dates=H","DateFormat=P","Fill=—","Direction=H","UseDPDF=Y")</f>
        <v>#NAME?</v>
      </c>
      <c r="S327" t="e">
        <f ca="1">_xll.BDH($C$303,"SUSTAIN_GROWTH_RT","FQ4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327" s="2" t="e">
        <f ca="1">_xll.BDH($C$303,"SALES_GROWTH","FQ4 2018","FQ4 2018","Currency=INR","Period=FQ","BEST_FPERIOD_OVERRIDE=FQ","FILING_STATUS=OR","EQY_CONSOLIDATED=Y","FA_ADJUSTED=GAAP","Sort=A","Dates=H","DateFormat=P","Fill=—","Direction=H","UseDPDF=Y")</f>
        <v>#NAME?</v>
      </c>
      <c r="U327" s="2" t="e">
        <f ca="1">_xll.BDH($C$303,"EBITDA_GROWTH","FQ4 2018","FQ4 2018","Currency=INR","Period=FQ","BEST_FPERIOD_OVERRIDE=FQ","FILING_STATUS=OR","EQY_CONSOLIDATED=Y","FA_ADJUSTED=GAAP","Sort=A","Dates=H","DateFormat=P","Fill=—","Direction=H","UseDPDF=Y")</f>
        <v>#NAME?</v>
      </c>
      <c r="V327" s="2" t="e">
        <f ca="1">_xll.BDH($C$303,"OPER_INC_GROWTH","FQ4 2018","FQ4 2018","Currency=INR","Period=FQ","BEST_FPERIOD_OVERRIDE=FQ","FILING_STATUS=OR","EQY_CONSOLIDATED=Y","FA_ADJUSTED=GAAP","Sort=A","Dates=H","DateFormat=P","Fill=—","Direction=H","UseDPDF=Y")</f>
        <v>#NAME?</v>
      </c>
      <c r="W327" s="2" t="e">
        <f ca="1">_xll.BDH($C$303,"EARN_FOR_COM_GROWTH","FQ4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327" s="2" t="e">
        <f ca="1">_xll.BDH($C$303,"DILUTED_EPS_AFT_XO_ITEMS_GROWTH","FQ4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327" s="2" t="e">
        <f ca="1">_xll.BDH($C$303,"DIVIDEND_PER_SHARE_1_YEAR_GROWTH","FQ4 2018","FQ4 2018","Currency=INR","Period=FQ","BEST_FPERIOD_OVERRIDE=FQ","FILING_STATUS=OR","EQY_CONSOLIDATED=Y","Sort=A","Dates=H","DateFormat=P","Fill=—","Direction=H","UseDPDF=Y")</f>
        <v>#NAME?</v>
      </c>
      <c r="Z327" s="2" t="e">
        <f ca="1">_xll.BDH($C$303,"ACCOUNTS_RECEIVABLE_GROWTH","FQ4 2018","FQ4 2018","Currency=INR","Period=FQ","BEST_FPERIOD_OVERRIDE=FQ","FILING_STATUS=OR","EQY_CONSOLIDATED=Y","Sort=A","Dates=H","DateFormat=P","Fill=—","Direction=H","UseDPDF=Y")</f>
        <v>#NAME?</v>
      </c>
      <c r="AA327" s="2" t="e">
        <f ca="1">_xll.BDH($C$303,"INVENTORY_GROWTH","FQ4 2018","FQ4 2018","Currency=INR","Period=FQ","BEST_FPERIOD_OVERRIDE=FQ","FILING_STATUS=OR","EQY_CONSOLIDATED=Y","Sort=A","Dates=H","DateFormat=P","Fill=—","Direction=H","UseDPDF=Y")</f>
        <v>#NAME?</v>
      </c>
      <c r="AB327" s="2" t="e">
        <f ca="1">_xll.BDH($C$303,"NET_FIXED_ASSETS_1_YEAR_GROWTH","FQ4 2018","FQ4 2018","Currency=INR","Period=FQ","BEST_FPERIOD_OVERRIDE=FQ","FILING_STATUS=OR","EQY_CONSOLIDATED=Y","Sort=A","Dates=H","DateFormat=P","Fill=—","Direction=H","UseDPDF=Y")</f>
        <v>#NAME?</v>
      </c>
      <c r="AC327" s="2" t="e">
        <f ca="1">_xll.BDH($C$303,"ASSET_GROWTH","FQ4 2018","FQ4 2018","Currency=INR","Period=FQ","BEST_FPERIOD_OVERRIDE=FQ","FILING_STATUS=OR","EQY_CONSOLIDATED=Y","Sort=A","Dates=H","DateFormat=P","Fill=—","Direction=H","UseDPDF=Y")</f>
        <v>#NAME?</v>
      </c>
      <c r="AD327" s="2" t="e">
        <f ca="1">_xll.BDH($C$303,"MODIFIED_WORK_CAP_GROWTH","FQ4 2018","FQ4 2018","Currency=INR","Period=FQ","BEST_FPERIOD_OVERRIDE=FQ","FILING_STATUS=OR","EQY_CONSOLIDATED=Y","Sort=A","Dates=H","DateFormat=P","Fill=—","Direction=H","UseDPDF=Y")</f>
        <v>#NAME?</v>
      </c>
      <c r="AE327" s="2" t="e">
        <f ca="1">_xll.BDH($C$303,"WORK_CAP_GROWTH","FQ4 2018","FQ4 2018","Currency=INR","Period=FQ","BEST_FPERIOD_OVERRIDE=FQ","FILING_STATUS=OR","EQY_CONSOLIDATED=Y","Sort=A","Dates=H","DateFormat=P","Fill=—","Direction=H","UseDPDF=Y")</f>
        <v>#NAME?</v>
      </c>
      <c r="AF327" s="2" t="e">
        <f ca="1">_xll.BDH($C$303,"ACCOUNTS_PAYABLE_GROWTH_1YR","FQ4 2018","FQ4 2018","Currency=INR","Period=FQ","BEST_FPERIOD_OVERRIDE=FQ","FILING_STATUS=OR","EQY_CONSOLIDATED=Y","Sort=A","Dates=H","DateFormat=P","Fill=—","Direction=H","UseDPDF=Y")</f>
        <v>#NAME?</v>
      </c>
      <c r="AG327" s="2" t="e">
        <f ca="1">_xll.BDH($C$303,"SHORT_TERM_DEBT_1_YEAR_GROWTH","FQ4 2018","FQ4 2018","Currency=INR","Period=FQ","BEST_FPERIOD_OVERRIDE=FQ","FILING_STATUS=OR","EQY_CONSOLIDATED=Y","Sort=A","Dates=H","DateFormat=P","Fill=—","Direction=H","UseDPDF=Y")</f>
        <v>#NAME?</v>
      </c>
      <c r="AH327" s="2" t="e">
        <f ca="1">_xll.BDH($C$303,"TOTAL_DEBT_1_YEAR_GROWTH","FQ4 2018","FQ4 2018","Currency=INR","Period=FQ","BEST_FPERIOD_OVERRIDE=FQ","FILING_STATUS=OR","EQY_CONSOLIDATED=Y","Sort=A","Dates=H","DateFormat=P","Fill=—","Direction=H","UseDPDF=Y")</f>
        <v>#NAME?</v>
      </c>
      <c r="AI327" s="2" t="e">
        <f ca="1">_xll.BDH($C$303,"TOTAL_EQUITY_1_YEAR_GROWTH","FQ4 2018","FQ4 2018","Currency=INR","Period=FQ","BEST_FPERIOD_OVERRIDE=FQ","FILING_STATUS=OR","EQY_CONSOLIDATED=Y","Sort=A","Dates=H","DateFormat=P","Fill=—","Direction=H","UseDPDF=Y")</f>
        <v>#NAME?</v>
      </c>
      <c r="AJ327" s="2" t="e">
        <f ca="1">_xll.BDH($C$303,"GROWTH_IN_CAP","FQ4 2018","FQ4 2018","Currency=INR","Period=FQ","BEST_FPERIOD_OVERRIDE=FQ","FILING_STATUS=OR","EQY_CONSOLIDATED=Y","Sort=A","Dates=H","DateFormat=P","Fill=—","Direction=H","UseDPDF=Y")</f>
        <v>#NAME?</v>
      </c>
      <c r="AK327" s="2" t="e">
        <f ca="1">_xll.BDH($C$303,"BVPS_GROWTH","FQ4 2018","FQ4 2018","Currency=INR","Period=FQ","BEST_FPERIOD_OVERRIDE=FQ","FILING_STATUS=OR","EQY_CONSOLIDATED=Y","Sort=A","Dates=H","DateFormat=P","Fill=—","Direction=H","UseDPDF=Y")</f>
        <v>#NAME?</v>
      </c>
      <c r="AL327" s="2" t="e">
        <f ca="1">_xll.BDH($C$303,"CASH_FLOW_GROWTH","FQ4 2018","FQ4 2018","Currency=INR","Period=FQ","BEST_FPERIOD_OVERRIDE=FQ","FILING_STATUS=OR","EQY_CONSOLIDATED=Y","Sort=A","Dates=H","DateFormat=P","Fill=—","Direction=H","UseDPDF=Y")</f>
        <v>#NAME?</v>
      </c>
      <c r="AM327" s="2" t="e">
        <f ca="1">_xll.BDH($C$303,"GEO_GROW_NET_SALES","FQ4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327" s="2" t="e">
        <f ca="1">_xll.BDH($C$303,"GEO_GROW_EBITDA","FQ4 2018","FQ4 2018","Currency=INR","Period=FQ","BEST_FPERIOD_OVERRIDE=FQ","FILING_STATUS=OR","EQY_CONSOLIDATED=Y","FA_ADJUSTED=GAAP","Sort=A","Dates=H","DateFormat=P","Fill=—","Direction=H","UseDPDF=Y")</f>
        <v>#NAME?</v>
      </c>
      <c r="AO327" s="2" t="e">
        <f ca="1">_xll.BDH($C$303,"GEO_GROW_OPER_INC","FQ4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327" s="2" t="e">
        <f ca="1">_xll.BDH($C$303,"NET_INCOME_TO_COMMON_5_YR_GROWTH","FQ4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327" s="2" t="e">
        <f ca="1">_xll.BDH($C$303,"5Y_GEO_GROWTH_DILUTED_EPS","FQ4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327" s="2" t="e">
        <f ca="1">_xll.BDH($C$303,"GEO_GROW_DVD_PER_SH","FQ4 2018","FQ4 2018","Currency=INR","Period=FQ","BEST_FPERIOD_OVERRIDE=FQ","FILING_STATUS=OR","EQY_CONSOLIDATED=Y","Sort=A","Dates=H","DateFormat=P","Fill=—","Direction=H","UseDPDF=Y")</f>
        <v>#NAME?</v>
      </c>
      <c r="AS327" s="2" t="e">
        <f ca="1">_xll.BDH($C$303,"ACCOUNTS_RECEIVABLE_5_YR_GROWTH","FQ4 2018","FQ4 2018","Currency=INR","Period=FQ","BEST_FPERIOD_OVERRIDE=FQ","FILING_STATUS=OR","EQY_CONSOLIDATED=Y","Sort=A","Dates=H","DateFormat=P","Fill=—","Direction=H","UseDPDF=Y")</f>
        <v>#NAME?</v>
      </c>
      <c r="AT327" s="2" t="e">
        <f ca="1">_xll.BDH($C$303,"INVENTORY_5_YEAR_GROWTH","FQ4 2018","FQ4 2018","Currency=INR","Period=FQ","BEST_FPERIOD_OVERRIDE=FQ","FILING_STATUS=OR","EQY_CONSOLIDATED=Y","Sort=A","Dates=H","DateFormat=P","Fill=—","Direction=H","UseDPDF=Y")</f>
        <v>#NAME?</v>
      </c>
      <c r="AU327" s="2" t="e">
        <f ca="1">_xll.BDH($C$303,"NET_FIXED_ASSETS_5_YEAR_GROWTH","FQ4 2018","FQ4 2018","Currency=INR","Period=FQ","BEST_FPERIOD_OVERRIDE=FQ","FILING_STATUS=OR","EQY_CONSOLIDATED=Y","Sort=A","Dates=H","DateFormat=P","Fill=—","Direction=H","UseDPDF=Y")</f>
        <v>#NAME?</v>
      </c>
      <c r="AV327" s="2" t="e">
        <f ca="1">_xll.BDH($C$303,"GEO_GROW_TOT_ASSET","FQ4 2018","FQ4 2018","Currency=INR","Period=FQ","BEST_FPERIOD_OVERRIDE=FQ","FILING_STATUS=OR","EQY_CONSOLIDATED=Y","Sort=A","Dates=H","DateFormat=P","Fill=—","Direction=H","UseDPDF=Y")</f>
        <v>#NAME?</v>
      </c>
      <c r="AW327" s="2" t="e">
        <f ca="1">_xll.BDH($C$303,"MODIFIED_WORKING_CPTL_5YR_GRWTH","FQ4 2018","FQ4 2018","Currency=INR","Period=FQ","BEST_FPERIOD_OVERRIDE=FQ","FILING_STATUS=OR","EQY_CONSOLIDATED=Y","Sort=A","Dates=H","DateFormat=P","Fill=—","Direction=H","UseDPDF=Y")</f>
        <v>#NAME?</v>
      </c>
      <c r="AX327" s="2" t="e">
        <f ca="1">_xll.BDH($C$303,"WORKING_CAPITAL_5_YEAR_GROWTH","FQ4 2018","FQ4 2018","Currency=INR","Period=FQ","BEST_FPERIOD_OVERRIDE=FQ","FILING_STATUS=OR","EQY_CONSOLIDATED=Y","Sort=A","Dates=H","DateFormat=P","Fill=—","Direction=H","UseDPDF=Y")</f>
        <v>#NAME?</v>
      </c>
      <c r="AY327" s="2" t="e">
        <f ca="1">_xll.BDH($C$303,"ACCOUNTS_PAYABLE_5_YEAR_GROWTH","FQ4 2018","FQ4 2018","Currency=INR","Period=FQ","BEST_FPERIOD_OVERRIDE=FQ","FILING_STATUS=OR","EQY_CONSOLIDATED=Y","Sort=A","Dates=H","DateFormat=P","Fill=—","Direction=H","UseDPDF=Y")</f>
        <v>#NAME?</v>
      </c>
      <c r="AZ327" s="2" t="e">
        <f ca="1">_xll.BDH($C$303,"SHORT_TERM_DEBT_5_YEAR_GROWTH","FQ4 2018","FQ4 2018","Currency=INR","Period=FQ","BEST_FPERIOD_OVERRIDE=FQ","FILING_STATUS=OR","EQY_CONSOLIDATED=Y","Sort=A","Dates=H","DateFormat=P","Fill=—","Direction=H","UseDPDF=Y")</f>
        <v>#NAME?</v>
      </c>
      <c r="BA327" s="2" t="e">
        <f ca="1">_xll.BDH($C$303,"TOTAL_DEBT_5_YEAR_GROWTH","FQ4 2018","FQ4 2018","Currency=INR","Period=FQ","BEST_FPERIOD_OVERRIDE=FQ","FILING_STATUS=OR","EQY_CONSOLIDATED=Y","Sort=A","Dates=H","DateFormat=P","Fill=—","Direction=H","UseDPDF=Y")</f>
        <v>#NAME?</v>
      </c>
      <c r="BB327" s="2" t="e">
        <f ca="1">_xll.BDH($C$303,"GEO_GROW_TOT_SHRHLDR_EQY","FQ4 2018","FQ4 2018","Currency=INR","Period=FQ","BEST_FPERIOD_OVERRIDE=FQ","FILING_STATUS=OR","EQY_CONSOLIDATED=Y","Sort=A","Dates=H","DateFormat=P","Fill=—","Direction=H","UseDPDF=Y")</f>
        <v>#NAME?</v>
      </c>
      <c r="BC327" s="2" t="e">
        <f ca="1">_xll.BDH($C$303,"TOTAL_CAPITAL_5_YEAR_GROWTH","FQ4 2018","FQ4 2018","Currency=INR","Period=FQ","BEST_FPERIOD_OVERRIDE=FQ","FILING_STATUS=OR","EQY_CONSOLIDATED=Y","Sort=A","Dates=H","DateFormat=P","Fill=—","Direction=H","UseDPDF=Y")</f>
        <v>#NAME?</v>
      </c>
      <c r="BD327" s="2" t="e">
        <f ca="1">_xll.BDH($C$303,"GEO_GROW_BOOK_VAL","FQ4 2018","FQ4 2018","Currency=INR","Period=FQ","BEST_FPERIOD_OVERRIDE=FQ","FILING_STATUS=OR","EQY_CONSOLIDATED=Y","Sort=A","Dates=H","DateFormat=P","Fill=—","Direction=H","UseDPDF=Y")</f>
        <v>#NAME?</v>
      </c>
      <c r="BE327" s="2" t="e">
        <f ca="1">_xll.BDH($C$303,"GEO_GROW_CASH_OPER_ACT","FQ4 2018","FQ4 2018","Currency=INR","Period=FQ","BEST_FPERIOD_OVERRIDE=FQ","FILING_STATUS=OR","EQY_CONSOLIDATED=Y","Sort=A","Dates=H","DateFormat=P","Fill=—","Direction=H","UseDPDF=Y")</f>
        <v>#NAME?</v>
      </c>
      <c r="BF327" s="2" t="e">
        <f ca="1">_xll.BDH($C$303,"REVENUE_SEQUENTIAL_GROWTH","FQ4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327" s="2" t="e">
        <f ca="1">_xll.BDH($C$303,"EBITDA_SEQUENTIAL_GROWTH","FQ4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327" s="2" t="e">
        <f ca="1">_xll.BDH($C$303,"OPERATING_INCOME_SEQ_GROWTH","FQ4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327" s="2" t="e">
        <f ca="1">_xll.BDH($C$303,"NET_INCOME_TO_COMMON_SEQ_GROWTH","FQ4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327" s="2" t="e">
        <f ca="1">_xll.BDH($C$303,"EPS_DILUTED_SEQUENTIAL_GROWTH","FQ4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327" s="2" t="e">
        <f ca="1">_xll.BDH($C$303,"DPS_SEQUENTIAL_GROWTH","FQ4 2018","FQ4 2018","Currency=INR","Period=FQ","BEST_FPERIOD_OVERRIDE=FQ","FILING_STATUS=OR","EQY_CONSOLIDATED=Y","Sort=A","Dates=H","DateFormat=P","Fill=—","Direction=H","UseDPDF=Y")</f>
        <v>#NAME?</v>
      </c>
      <c r="BL327" s="2" t="e">
        <f ca="1">_xll.BDH($C$303,"ACCOUNTS_RECEIVABLE_SEQ_GROWTH","FQ4 2018","FQ4 2018","Currency=INR","Period=FQ","BEST_FPERIOD_OVERRIDE=FQ","FILING_STATUS=OR","EQY_CONSOLIDATED=Y","Sort=A","Dates=H","DateFormat=P","Fill=—","Direction=H","UseDPDF=Y")</f>
        <v>#NAME?</v>
      </c>
      <c r="BM327" s="2" t="e">
        <f ca="1">_xll.BDH($C$303,"INVENTORY_SEQUENTIAL_GROWTH","FQ4 2018","FQ4 2018","Currency=INR","Period=FQ","BEST_FPERIOD_OVERRIDE=FQ","FILING_STATUS=OR","EQY_CONSOLIDATED=Y","Sort=A","Dates=H","DateFormat=P","Fill=—","Direction=H","UseDPDF=Y")</f>
        <v>#NAME?</v>
      </c>
      <c r="BN327" s="2" t="e">
        <f ca="1">_xll.BDH($C$303,"FIXED_ASSETS_SEQUENTIAL_GROWTH","FQ4 2018","FQ4 2018","Currency=INR","Period=FQ","BEST_FPERIOD_OVERRIDE=FQ","FILING_STATUS=OR","EQY_CONSOLIDATED=Y","Sort=A","Dates=H","DateFormat=P","Fill=—","Direction=H","UseDPDF=Y")</f>
        <v>#NAME?</v>
      </c>
      <c r="BO327" s="2" t="e">
        <f ca="1">_xll.BDH($C$303,"TOTAL_ASSETS_SEQUENTIAL_GROWTH","FQ4 2018","FQ4 2018","Currency=INR","Period=FQ","BEST_FPERIOD_OVERRIDE=FQ","FILING_STATUS=OR","EQY_CONSOLIDATED=Y","Sort=A","Dates=H","DateFormat=P","Fill=—","Direction=H","UseDPDF=Y")</f>
        <v>#NAME?</v>
      </c>
      <c r="BP327" s="2" t="e">
        <f ca="1">_xll.BDH($C$303,"MODIFIED_WORKING_CPTL_SEQ_GRWTH","FQ4 2018","FQ4 2018","Currency=INR","Period=FQ","BEST_FPERIOD_OVERRIDE=FQ","FILING_STATUS=OR","EQY_CONSOLIDATED=Y","Sort=A","Dates=H","DateFormat=P","Fill=—","Direction=H","UseDPDF=Y")</f>
        <v>#NAME?</v>
      </c>
      <c r="BQ327" s="2" t="e">
        <f ca="1">_xll.BDH($C$303,"WORKING_CAPITAL_SEQ_GROWTH","FQ4 2018","FQ4 2018","Currency=INR","Period=FQ","BEST_FPERIOD_OVERRIDE=FQ","FILING_STATUS=OR","EQY_CONSOLIDATED=Y","Sort=A","Dates=H","DateFormat=P","Fill=—","Direction=H","UseDPDF=Y")</f>
        <v>#NAME?</v>
      </c>
      <c r="BR327" s="2" t="e">
        <f ca="1">_xll.BDH($C$303,"ACCOUNTS_PAYABLE_SEQ_GROWTH","FQ4 2018","FQ4 2018","Currency=INR","Period=FQ","BEST_FPERIOD_OVERRIDE=FQ","FILING_STATUS=OR","EQY_CONSOLIDATED=Y","Sort=A","Dates=H","DateFormat=P","Fill=—","Direction=H","UseDPDF=Y")</f>
        <v>#NAME?</v>
      </c>
      <c r="BS327" s="2" t="e">
        <f ca="1">_xll.BDH($C$303,"ST_DEBT_SEQUENTIAL_GROWTH","FQ4 2018","FQ4 2018","Currency=INR","Period=FQ","BEST_FPERIOD_OVERRIDE=FQ","FILING_STATUS=OR","EQY_CONSOLIDATED=Y","Sort=A","Dates=H","DateFormat=P","Fill=—","Direction=H","UseDPDF=Y")</f>
        <v>#NAME?</v>
      </c>
      <c r="BT327" s="2" t="e">
        <f ca="1">_xll.BDH($C$303,"TOTAL_DEBT_SEQUENTIAL_GROWTH","FQ4 2018","FQ4 2018","Currency=INR","Period=FQ","BEST_FPERIOD_OVERRIDE=FQ","FILING_STATUS=OR","EQY_CONSOLIDATED=Y","Sort=A","Dates=H","DateFormat=P","Fill=—","Direction=H","UseDPDF=Y")</f>
        <v>#NAME?</v>
      </c>
      <c r="BU327" s="2" t="e">
        <f ca="1">_xll.BDH($C$303,"TOTAL_EQUITY_SEQUENTIAL_GROWTH","FQ4 2018","FQ4 2018","Currency=INR","Period=FQ","BEST_FPERIOD_OVERRIDE=FQ","FILING_STATUS=OR","EQY_CONSOLIDATED=Y","Sort=A","Dates=H","DateFormat=P","Fill=—","Direction=H","UseDPDF=Y")</f>
        <v>#NAME?</v>
      </c>
      <c r="BV327" s="2" t="e">
        <f ca="1">_xll.BDH($C$303,"TOTAL_CAPITAL_SEQUENTIAL_GROWTH","FQ4 2018","FQ4 2018","Currency=INR","Period=FQ","BEST_FPERIOD_OVERRIDE=FQ","FILING_STATUS=OR","EQY_CONSOLIDATED=Y","Sort=A","Dates=H","DateFormat=P","Fill=—","Direction=H","UseDPDF=Y")</f>
        <v>#NAME?</v>
      </c>
      <c r="BW327" s="2" t="e">
        <f ca="1">_xll.BDH($C$303,"BPS_SEQUENTIAL_GROWTH","FQ4 2018","FQ4 2018","Currency=INR","Period=FQ","BEST_FPERIOD_OVERRIDE=FQ","FILING_STATUS=OR","EQY_CONSOLIDATED=Y","Sort=A","Dates=H","DateFormat=P","Fill=—","Direction=H","UseDPDF=Y")</f>
        <v>#NAME?</v>
      </c>
      <c r="BX327" s="2" t="e">
        <f ca="1">_xll.BDH($C$303,"CFO_SEQUENTIAL_GROWTH","FQ4 2018","FQ4 2018","Currency=INR","Period=FQ","BEST_FPERIOD_OVERRIDE=FQ","FILING_STATUS=OR","EQY_CONSOLIDATED=Y","Sort=A","Dates=H","DateFormat=P","Fill=—","Direction=H","UseDPDF=Y")</f>
        <v>#NAME?</v>
      </c>
      <c r="BY327" s="3" t="e">
        <f ca="1">_xll.BDH($C$303,"SHORT_AND_LONG_TERM_DEBT","FQ4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327" s="3" t="e">
        <f ca="1">_xll.BDH($C$303,"BS_ST_BORROW","FQ4 2018","FQ4 2018","Currency=INR","Period=FQ","BEST_FPERIOD_OVERRIDE=FQ","FILING_STATUS=OR","EQY_CONSOLIDATED=Y","SCALING_FORMAT=MLN","Sort=A","Dates=H","DateFormat=P","Fill=—","Direction=H","UseDPDF=Y")</f>
        <v>#NAME?</v>
      </c>
      <c r="CA327" s="3" t="e">
        <f ca="1">_xll.BDH($C$303,"BS_LT_BORROW","FQ4 2018","FQ4 2018","Currency=INR","Period=FQ","BEST_FPERIOD_OVERRIDE=FQ","FILING_STATUS=OR","EQY_CONSOLIDATED=Y","SCALING_FORMAT=MLN","Sort=A","Dates=H","DateFormat=P","Fill=—","Direction=H","UseDPDF=Y")</f>
        <v>#NAME?</v>
      </c>
      <c r="CB327" s="2" t="e">
        <f ca="1">_xll.BDH($C$303,"TOT_DEBT_TO_EBITDA","FQ4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327" s="2" t="e">
        <f ca="1">_xll.BDH($C$303,"NET_DEBT_TO_EBITDA","FQ4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327" s="2" t="e">
        <f ca="1">_xll.BDH($C$303,"TOTAL_DEBT_TO_EBIT","FQ4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327" s="2" t="e">
        <f ca="1">_xll.BDH($C$303,"NET_DEBT_TO_EBIT","FQ4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327" s="2" t="e">
        <f ca="1">_xll.BDH($C$303,"EBITDA_TO_INTEREST_EXPN","FQ4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327" s="2" t="e">
        <f ca="1">_xll.BDH($C$303,"COM_EQY_TO_TOT_ASSET","FQ4 2018","FQ4 2018","Currency=INR","Period=FQ","BEST_FPERIOD_OVERRIDE=FQ","FILING_STATUS=OR","EQY_CONSOLIDATED=Y","Sort=A","Dates=H","DateFormat=P","Fill=—","Direction=H","UseDPDF=Y")</f>
        <v>#NAME?</v>
      </c>
      <c r="CH327" s="2" t="e">
        <f ca="1">_xll.BDH($C$303,"LT_DEBT_TO_TOT_EQY","FQ4 2018","FQ4 2018","Currency=INR","Period=FQ","BEST_FPERIOD_OVERRIDE=FQ","FILING_STATUS=OR","EQY_CONSOLIDATED=Y","Sort=A","Dates=H","DateFormat=P","Fill=—","Direction=H","UseDPDF=Y")</f>
        <v>#NAME?</v>
      </c>
      <c r="CI327" s="2" t="e">
        <f ca="1">_xll.BDH($C$303,"LT_DEBT_TO_TOT_CAP","FQ4 2018","FQ4 2018","Currency=INR","Period=FQ","BEST_FPERIOD_OVERRIDE=FQ","FILING_STATUS=OR","EQY_CONSOLIDATED=Y","Sort=A","Dates=H","DateFormat=P","Fill=—","Direction=H","UseDPDF=Y")</f>
        <v>#NAME?</v>
      </c>
      <c r="CJ327" s="2" t="e">
        <f ca="1">_xll.BDH($C$303,"LT_DEBT_TO_TOT_ASSET","FQ4 2018","FQ4 2018","Currency=INR","Period=FQ","BEST_FPERIOD_OVERRIDE=FQ","FILING_STATUS=OR","EQY_CONSOLIDATED=Y","Sort=A","Dates=H","DateFormat=P","Fill=—","Direction=H","UseDPDF=Y")</f>
        <v>#NAME?</v>
      </c>
      <c r="CK327" s="2" t="e">
        <f ca="1">_xll.BDH($C$303,"TOT_DEBT_TO_TOT_EQY","FQ4 2018","FQ4 2018","Currency=INR","Period=FQ","BEST_FPERIOD_OVERRIDE=FQ","FILING_STATUS=OR","EQY_CONSOLIDATED=Y","Sort=A","Dates=H","DateFormat=P","Fill=—","Direction=H","UseDPDF=Y")</f>
        <v>#NAME?</v>
      </c>
      <c r="CL327" s="2" t="e">
        <f ca="1">_xll.BDH($C$303,"TOT_DEBT_TO_TOT_CAP","FQ4 2018","FQ4 2018","Currency=INR","Period=FQ","BEST_FPERIOD_OVERRIDE=FQ","FILING_STATUS=OR","EQY_CONSOLIDATED=Y","Sort=A","Dates=H","DateFormat=P","Fill=—","Direction=H","UseDPDF=Y")</f>
        <v>#NAME?</v>
      </c>
      <c r="CM327" s="2" t="e">
        <f ca="1">_xll.BDH($C$303,"TOT_DEBT_TO_TOT_ASSET","FQ4 2018","FQ4 2018","Currency=INR","Period=FQ","BEST_FPERIOD_OVERRIDE=FQ","FILING_STATUS=OR","EQY_CONSOLIDATED=Y","Sort=A","Dates=H","DateFormat=P","Fill=—","Direction=H","UseDPDF=Y")</f>
        <v>#NAME?</v>
      </c>
      <c r="CN327" s="2" t="e">
        <f ca="1">_xll.BDH($C$303,"NET_DEBT_TO_SHRHLDR_EQTY","FQ4 2018","FQ4 2018","Currency=INR","Period=FQ","BEST_FPERIOD_OVERRIDE=FQ","FILING_STATUS=OR","EQY_CONSOLIDATED=Y","Sort=A","Dates=H","DateFormat=P","Fill=—","Direction=H","UseDPDF=Y")</f>
        <v>#NAME?</v>
      </c>
      <c r="CO327" s="2" t="e">
        <f ca="1">_xll.BDH($C$303,"NET_DEBT_%_CAPITAL","FQ4 2018","FQ4 2018","Currency=INR","Period=FQ","BEST_FPERIOD_OVERRIDE=FQ","FILING_STATUS=OR","EQY_CONSOLIDATED=Y","Sort=A","Dates=H","DateFormat=P","Fill=—","Direction=H","UseDPDF=Y")</f>
        <v>#NAME?</v>
      </c>
      <c r="CP327" s="3" t="e">
        <f ca="1">_xll.BDH($C$303,"EBITDA","FQ4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327" s="3" t="e">
        <f ca="1">_xll.BDH($C$303,"EBITDA_AFTER_CAPEX","FQ4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327" s="3" t="e">
        <f ca="1">_xll.BDH($C$303,"IS_OPER_INC","FQ4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327" s="2" t="e">
        <f ca="1">_xll.BDH($C$303,"CASH_RATIO","FQ4 2018","FQ4 2018","Currency=INR","Period=FQ","BEST_FPERIOD_OVERRIDE=FQ","FILING_STATUS=OR","EQY_CONSOLIDATED=Y","Sort=A","Dates=H","DateFormat=P","Fill=—","Direction=H","UseDPDF=Y")</f>
        <v>#NAME?</v>
      </c>
      <c r="CT327" s="2" t="e">
        <f ca="1">_xll.BDH($C$303,"CUR_RATIO","FQ4 2018","FQ4 2018","Currency=INR","Period=FQ","BEST_FPERIOD_OVERRIDE=FQ","FILING_STATUS=OR","EQY_CONSOLIDATED=Y","Sort=A","Dates=H","DateFormat=P","Fill=—","Direction=H","UseDPDF=Y")</f>
        <v>#NAME?</v>
      </c>
      <c r="CU327" s="2" t="e">
        <f ca="1">_xll.BDH($C$303,"QUICK_RATIO","FQ4 2018","FQ4 2018","Currency=INR","Period=FQ","BEST_FPERIOD_OVERRIDE=FQ","FILING_STATUS=OR","EQY_CONSOLIDATED=Y","Sort=A","Dates=H","DateFormat=P","Fill=—","Direction=H","UseDPDF=Y")</f>
        <v>#NAME?</v>
      </c>
      <c r="CV327" s="2" t="e">
        <f ca="1">_xll.BDH($C$303,"ALTMAN_Z_SCORE","FQ4 2018","FQ4 2018","Currency=INR","Period=FQ","BEST_FPERIOD_OVERRIDE=FQ","FILING_STATUS=OR","EQY_CONSOLIDATED=Y","Sort=A","Dates=H","DateFormat=P","Fill=—","Direction=H","UseDPDF=Y")</f>
        <v>#NAME?</v>
      </c>
      <c r="CW327" s="4" t="e">
        <f ca="1">_xll.BDH($C$303,"ACCT_RCV_TURN","FQ4 2018","FQ4 2018","Currency=INR","Period=FQ","BEST_FPERIOD_OVERRIDE=FQ","FILING_STATUS=OR","EQY_CONSOLIDATED=Y","FA_ADJUSTED=GAAP","Sort=A","Dates=H","DateFormat=P","Fill=—","Direction=H","UseDPDF=Y")</f>
        <v>#NAME?</v>
      </c>
      <c r="CX327" s="2" t="e">
        <f ca="1">_xll.BDH($C$303,"ACCT_RCV_DAYS","FQ4 2018","FQ4 2018","Currency=INR","Period=FQ","BEST_FPERIOD_OVERRIDE=FQ","FILING_STATUS=OR","EQY_CONSOLIDATED=Y","FA_ADJUSTED=GAAP","Sort=A","Dates=H","DateFormat=P","Fill=—","Direction=H","UseDPDF=Y")</f>
        <v>#NAME?</v>
      </c>
      <c r="CY327" s="4" t="e">
        <f ca="1">_xll.BDH($C$303,"INVENT_TURN","FQ4 2018","FQ4 2018","Currency=INR","Period=FQ","BEST_FPERIOD_OVERRIDE=FQ","FILING_STATUS=OR","EQY_CONSOLIDATED=Y","FA_ADJUSTED=GAAP","Sort=A","Dates=H","DateFormat=P","Fill=—","Direction=H","UseDPDF=Y")</f>
        <v>#NAME?</v>
      </c>
      <c r="CZ327" s="2" t="e">
        <f ca="1">_xll.BDH($C$303,"INVENT_DAYS","FQ4 2018","FQ4 2018","Currency=INR","Period=FQ","BEST_FPERIOD_OVERRIDE=FQ","FILING_STATUS=OR","EQY_CONSOLIDATED=Y","FA_ADJUSTED=GAAP","Sort=A","Dates=H","DateFormat=P","Fill=—","Direction=H","UseDPDF=Y")</f>
        <v>#NAME?</v>
      </c>
      <c r="DA327" s="4" t="e">
        <f ca="1">_xll.BDH($C$303,"ACCOUNTS_PAYABLE_TURNOVER","FQ4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327" s="2" t="e">
        <f ca="1">_xll.BDH($C$303,"ACCOUNTS_PAYABLE_TURNOVER_DAYS","FQ4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327" s="4" t="e">
        <f ca="1">_xll.BDH($C$303,"CASH_CONVERSION_CYCLE","FQ4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327" s="4" t="e">
        <f ca="1">_xll.BDH($C$303,"INV_TO_CASH_DAYS","FQ4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327" s="5" t="e">
        <f ca="1">_xll.BDH($C$303,"BS_INVENTORIES","FQ4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327" s="3" t="e">
        <f ca="1">_xll.BDH($C$303,"INVTRY_RAW_MATERIALS","FQ4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327" s="3" t="e">
        <f ca="1">_xll.BDH($C$303,"INVTRY_IN_PROGRESS","FQ4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327" s="3" t="e">
        <f ca="1">_xll.BDH($C$303,"INVTRY_FINISHED_GOODS","FQ4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327" s="3" t="e">
        <f ca="1">_xll.BDH($C$303,"BS_OTHER_INV","FQ4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328" spans="1:113" x14ac:dyDescent="0.3">
      <c r="A328" s="6">
        <v>14</v>
      </c>
      <c r="B328" s="6" t="s">
        <v>110</v>
      </c>
      <c r="C328" s="6" t="s">
        <v>111</v>
      </c>
      <c r="D328" s="6" t="s">
        <v>76</v>
      </c>
      <c r="E328" t="s">
        <v>77</v>
      </c>
      <c r="F328" t="e">
        <f ca="1">_xll.BDH($C$328,"RETURN_COM_EQY","FY 2014","FY 2014","Currency=INR","Period=FY","BEST_FPERIOD_OVERRIDE=FY","FILING_STATUS=OR","EQY_CONSOLIDATED=Y","FA_ADJUSTED=GAAP","Sort=A","Dates=H","DateFormat=P","Fill=—","Direction=H","UseDPDF=Y")</f>
        <v>#NAME?</v>
      </c>
      <c r="G328" t="e">
        <f ca="1">_xll.BDH($C$328,"RETURN_ON_ASSET","FY 2014","FY 2014","Currency=INR","Period=FY","BEST_FPERIOD_OVERRIDE=FY","FILING_STATUS=OR","EQY_CONSOLIDATED=Y","FA_ADJUSTED=GAAP","Sort=A","Dates=H","DateFormat=P","Fill=—","Direction=H","UseDPDF=Y")</f>
        <v>#NAME?</v>
      </c>
      <c r="H328" t="e">
        <f ca="1">_xll.BDH($C$328,"RETURN_ON_CAP","FY 2014","FY 2014","Currency=INR","Period=FY","BEST_FPERIOD_OVERRIDE=FY","FILING_STATUS=OR","EQY_CONSOLIDATED=Y","FA_ADJUSTED=GAAP","Sort=A","Dates=H","DateFormat=P","Fill=—","Direction=H","UseDPDF=Y")</f>
        <v>#NAME?</v>
      </c>
      <c r="I328" t="e">
        <f ca="1">_xll.BDH($C$328,"RETURN_ON_INV_CAPITAL","FY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328" t="e">
        <f ca="1">_xll.BDH($C$328,"EBITDA_TO_REVENUE","FY 2014","FY 2014","Currency=INR","Period=FY","BEST_FPERIOD_OVERRIDE=FY","FILING_STATUS=OR","EQY_CONSOLIDATED=Y","FA_ADJUSTED=GAAP","Sort=A","Dates=H","DateFormat=P","Fill=—","Direction=H","UseDPDF=Y")</f>
        <v>#NAME?</v>
      </c>
      <c r="K328" t="e">
        <f ca="1">_xll.BDH($C$328,"OPER_MARGIN","FY 2014","FY 2014","Currency=INR","Period=FY","BEST_FPERIOD_OVERRIDE=FY","FILING_STATUS=OR","EQY_CONSOLIDATED=Y","FA_ADJUSTED=GAAP","Sort=A","Dates=H","DateFormat=P","Fill=—","Direction=H","UseDPDF=Y")</f>
        <v>#NAME?</v>
      </c>
      <c r="L328" t="e">
        <f ca="1">_xll.BDH($C$328,"INCREMENTAL_OPERATING_MARGIN","FY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328" t="e">
        <f ca="1">_xll.BDH($C$328,"PRETAX_INC_TO_NET_SALES","FY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328" t="e">
        <f ca="1">_xll.BDH($C$328,"INC_BEF_XO_ITEMS_TO_NET_SALES","FY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328" t="e">
        <f ca="1">_xll.BDH($C$328,"PROF_MARGIN","FY 2014","FY 2014","Currency=INR","Period=FY","BEST_FPERIOD_OVERRIDE=FY","FILING_STATUS=OR","EQY_CONSOLIDATED=Y","FA_ADJUSTED=GAAP","Sort=A","Dates=H","DateFormat=P","Fill=—","Direction=H","UseDPDF=Y")</f>
        <v>#NAME?</v>
      </c>
      <c r="P328" t="e">
        <f ca="1">_xll.BDH($C$328,"NET_INCOME_TO_COMMON_MARGIN","FY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328" t="e">
        <f ca="1">_xll.BDH($C$328,"EFF_TAX_RATE","FY 2014","FY 2014","Currency=INR","Period=FY","BEST_FPERIOD_OVERRIDE=FY","FILING_STATUS=OR","EQY_CONSOLIDATED=Y","FA_ADJUSTED=GAAP","Sort=A","Dates=H","DateFormat=P","Fill=—","Direction=H","UseDPDF=Y")</f>
        <v>#NAME?</v>
      </c>
      <c r="R328" t="e">
        <f ca="1">_xll.BDH($C$328,"DVD_PAYOUT_RATIO","FY 2014","FY 2014","Currency=INR","Period=FY","BEST_FPERIOD_OVERRIDE=FY","FILING_STATUS=OR","EQY_CONSOLIDATED=Y","FA_ADJUSTED=GAAP","Sort=A","Dates=H","DateFormat=P","Fill=—","Direction=H","UseDPDF=Y")</f>
        <v>#NAME?</v>
      </c>
      <c r="S328" t="e">
        <f ca="1">_xll.BDH($C$328,"SUSTAIN_GROWTH_RT","FY 2014","FY 2014","Currency=INR","Period=FY","BEST_FPERIOD_OVERRIDE=FY","FILING_STATUS=OR","EQY_CONSOLIDATED=Y","FA_ADJUSTED=GAAP","Sort=A","Dates=H","DateFormat=P","Fill=—","Direction=H","UseDPDF=Y")</f>
        <v>#NAME?</v>
      </c>
      <c r="T328" s="2" t="e">
        <f ca="1">_xll.BDH($C$328,"SALES_GROWTH","FY 2014","FY 2014","Currency=INR","Period=FY","BEST_FPERIOD_OVERRIDE=FY","FILING_STATUS=OR","EQY_CONSOLIDATED=Y","FA_ADJUSTED=GAAP","Sort=A","Dates=H","DateFormat=P","Fill=—","Direction=H","UseDPDF=Y")</f>
        <v>#NAME?</v>
      </c>
      <c r="U328" s="2" t="e">
        <f ca="1">_xll.BDH($C$328,"EBITDA_GROWTH","FY 2014","FY 2014","Currency=INR","Period=FY","BEST_FPERIOD_OVERRIDE=FY","FILING_STATUS=OR","EQY_CONSOLIDATED=Y","FA_ADJUSTED=GAAP","Sort=A","Dates=H","DateFormat=P","Fill=—","Direction=H","UseDPDF=Y")</f>
        <v>#NAME?</v>
      </c>
      <c r="V328" s="2" t="e">
        <f ca="1">_xll.BDH($C$328,"OPER_INC_GROWTH","FY 2014","FY 2014","Currency=INR","Period=FY","BEST_FPERIOD_OVERRIDE=FY","FILING_STATUS=OR","EQY_CONSOLIDATED=Y","FA_ADJUSTED=GAAP","Sort=A","Dates=H","DateFormat=P","Fill=—","Direction=H","UseDPDF=Y")</f>
        <v>#NAME?</v>
      </c>
      <c r="W328" s="2" t="e">
        <f ca="1">_xll.BDH($C$328,"EARN_FOR_COM_GROWTH","FY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328" s="2" t="e">
        <f ca="1">_xll.BDH($C$328,"DILUTED_EPS_AFT_XO_ITEMS_GROWTH","FY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328" s="2" t="e">
        <f ca="1">_xll.BDH($C$328,"DIVIDEND_PER_SHARE_1_YEAR_GROWTH","FY 2014","FY 2014","Currency=INR","Period=FY","BEST_FPERIOD_OVERRIDE=FY","FILING_STATUS=OR","EQY_CONSOLIDATED=Y","Sort=A","Dates=H","DateFormat=P","Fill=—","Direction=H","UseDPDF=Y")</f>
        <v>#NAME?</v>
      </c>
      <c r="Z328" s="2" t="e">
        <f ca="1">_xll.BDH($C$328,"ACCOUNTS_RECEIVABLE_GROWTH","FY 2014","FY 2014","Currency=INR","Period=FY","BEST_FPERIOD_OVERRIDE=FY","FILING_STATUS=OR","EQY_CONSOLIDATED=Y","Sort=A","Dates=H","DateFormat=P","Fill=—","Direction=H","UseDPDF=Y")</f>
        <v>#NAME?</v>
      </c>
      <c r="AA328" s="2" t="e">
        <f ca="1">_xll.BDH($C$328,"INVENTORY_GROWTH","FY 2014","FY 2014","Currency=INR","Period=FY","BEST_FPERIOD_OVERRIDE=FY","FILING_STATUS=OR","EQY_CONSOLIDATED=Y","Sort=A","Dates=H","DateFormat=P","Fill=—","Direction=H","UseDPDF=Y")</f>
        <v>#NAME?</v>
      </c>
      <c r="AB328" s="2" t="e">
        <f ca="1">_xll.BDH($C$328,"NET_FIXED_ASSETS_1_YEAR_GROWTH","FY 2014","FY 2014","Currency=INR","Period=FY","BEST_FPERIOD_OVERRIDE=FY","FILING_STATUS=OR","EQY_CONSOLIDATED=Y","Sort=A","Dates=H","DateFormat=P","Fill=—","Direction=H","UseDPDF=Y")</f>
        <v>#NAME?</v>
      </c>
      <c r="AC328" s="2" t="e">
        <f ca="1">_xll.BDH($C$328,"ASSET_GROWTH","FY 2014","FY 2014","Currency=INR","Period=FY","BEST_FPERIOD_OVERRIDE=FY","FILING_STATUS=OR","EQY_CONSOLIDATED=Y","Sort=A","Dates=H","DateFormat=P","Fill=—","Direction=H","UseDPDF=Y")</f>
        <v>#NAME?</v>
      </c>
      <c r="AD328" s="2" t="e">
        <f ca="1">_xll.BDH($C$328,"MODIFIED_WORK_CAP_GROWTH","FY 2014","FY 2014","Currency=INR","Period=FY","BEST_FPERIOD_OVERRIDE=FY","FILING_STATUS=OR","EQY_CONSOLIDATED=Y","Sort=A","Dates=H","DateFormat=P","Fill=—","Direction=H","UseDPDF=Y")</f>
        <v>#NAME?</v>
      </c>
      <c r="AE328" s="2" t="e">
        <f ca="1">_xll.BDH($C$328,"WORK_CAP_GROWTH","FY 2014","FY 2014","Currency=INR","Period=FY","BEST_FPERIOD_OVERRIDE=FY","FILING_STATUS=OR","EQY_CONSOLIDATED=Y","Sort=A","Dates=H","DateFormat=P","Fill=—","Direction=H","UseDPDF=Y")</f>
        <v>#NAME?</v>
      </c>
      <c r="AF328" s="2" t="e">
        <f ca="1">_xll.BDH($C$328,"ACCOUNTS_PAYABLE_GROWTH_1YR","FY 2014","FY 2014","Currency=INR","Period=FY","BEST_FPERIOD_OVERRIDE=FY","FILING_STATUS=OR","EQY_CONSOLIDATED=Y","Sort=A","Dates=H","DateFormat=P","Fill=—","Direction=H","UseDPDF=Y")</f>
        <v>#NAME?</v>
      </c>
      <c r="AG328" s="2" t="e">
        <f ca="1">_xll.BDH($C$328,"SHORT_TERM_DEBT_1_YEAR_GROWTH","FY 2014","FY 2014","Currency=INR","Period=FY","BEST_FPERIOD_OVERRIDE=FY","FILING_STATUS=OR","EQY_CONSOLIDATED=Y","Sort=A","Dates=H","DateFormat=P","Fill=—","Direction=H","UseDPDF=Y")</f>
        <v>#NAME?</v>
      </c>
      <c r="AH328" s="2" t="e">
        <f ca="1">_xll.BDH($C$328,"TOTAL_DEBT_1_YEAR_GROWTH","FY 2014","FY 2014","Currency=INR","Period=FY","BEST_FPERIOD_OVERRIDE=FY","FILING_STATUS=OR","EQY_CONSOLIDATED=Y","Sort=A","Dates=H","DateFormat=P","Fill=—","Direction=H","UseDPDF=Y")</f>
        <v>#NAME?</v>
      </c>
      <c r="AI328" s="2" t="e">
        <f ca="1">_xll.BDH($C$328,"TOTAL_EQUITY_1_YEAR_GROWTH","FY 2014","FY 2014","Currency=INR","Period=FY","BEST_FPERIOD_OVERRIDE=FY","FILING_STATUS=OR","EQY_CONSOLIDATED=Y","Sort=A","Dates=H","DateFormat=P","Fill=—","Direction=H","UseDPDF=Y")</f>
        <v>#NAME?</v>
      </c>
      <c r="AJ328" s="2" t="e">
        <f ca="1">_xll.BDH($C$328,"GROWTH_IN_CAP","FY 2014","FY 2014","Currency=INR","Period=FY","BEST_FPERIOD_OVERRIDE=FY","FILING_STATUS=OR","EQY_CONSOLIDATED=Y","Sort=A","Dates=H","DateFormat=P","Fill=—","Direction=H","UseDPDF=Y")</f>
        <v>#NAME?</v>
      </c>
      <c r="AK328" s="2" t="e">
        <f ca="1">_xll.BDH($C$328,"BVPS_GROWTH","FY 2014","FY 2014","Currency=INR","Period=FY","BEST_FPERIOD_OVERRIDE=FY","FILING_STATUS=OR","EQY_CONSOLIDATED=Y","Sort=A","Dates=H","DateFormat=P","Fill=—","Direction=H","UseDPDF=Y")</f>
        <v>#NAME?</v>
      </c>
      <c r="AL328" s="2" t="e">
        <f ca="1">_xll.BDH($C$328,"CASH_FLOW_GROWTH","FY 2014","FY 2014","Currency=INR","Period=FY","BEST_FPERIOD_OVERRIDE=FY","FILING_STATUS=OR","EQY_CONSOLIDATED=Y","Sort=A","Dates=H","DateFormat=P","Fill=—","Direction=H","UseDPDF=Y")</f>
        <v>#NAME?</v>
      </c>
      <c r="AM328" s="2" t="e">
        <f ca="1">_xll.BDH($C$328,"GEO_GROW_NET_SALES","FY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328" s="2" t="e">
        <f ca="1">_xll.BDH($C$328,"GEO_GROW_EBITDA","FY 2014","FY 2014","Currency=INR","Period=FY","BEST_FPERIOD_OVERRIDE=FY","FILING_STATUS=OR","EQY_CONSOLIDATED=Y","FA_ADJUSTED=GAAP","Sort=A","Dates=H","DateFormat=P","Fill=—","Direction=H","UseDPDF=Y")</f>
        <v>#NAME?</v>
      </c>
      <c r="AO328" s="2" t="e">
        <f ca="1">_xll.BDH($C$328,"GEO_GROW_OPER_INC","FY 2014","FY 2014","Currency=INR","Period=FY","BEST_FPERIOD_OVERRIDE=FY","FILING_STATUS=OR","EQY_CONSOLIDATED=Y","FA_ADJUSTED=GAAP","Sort=A","Dates=H","DateFormat=P","Fill=—","Direction=H","UseDPDF=Y")</f>
        <v>#NAME?</v>
      </c>
      <c r="AP328" s="2" t="e">
        <f ca="1">_xll.BDH($C$328,"NET_INCOME_TO_COMMON_5_YR_GROWTH","FY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328" s="2" t="e">
        <f ca="1">_xll.BDH($C$328,"5Y_GEO_GROWTH_DILUTED_EPS","FY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328" s="2" t="e">
        <f ca="1">_xll.BDH($C$328,"GEO_GROW_DVD_PER_SH","FY 2014","FY 2014","Currency=INR","Period=FY","BEST_FPERIOD_OVERRIDE=FY","FILING_STATUS=OR","EQY_CONSOLIDATED=Y","Sort=A","Dates=H","DateFormat=P","Fill=—","Direction=H","UseDPDF=Y")</f>
        <v>#NAME?</v>
      </c>
      <c r="AS328" s="2" t="e">
        <f ca="1">_xll.BDH($C$328,"ACCOUNTS_RECEIVABLE_5_YR_GROWTH","FY 2014","FY 2014","Currency=INR","Period=FY","BEST_FPERIOD_OVERRIDE=FY","FILING_STATUS=OR","EQY_CONSOLIDATED=Y","Sort=A","Dates=H","DateFormat=P","Fill=—","Direction=H","UseDPDF=Y")</f>
        <v>#NAME?</v>
      </c>
      <c r="AT328" s="2" t="e">
        <f ca="1">_xll.BDH($C$328,"INVENTORY_5_YEAR_GROWTH","FY 2014","FY 2014","Currency=INR","Period=FY","BEST_FPERIOD_OVERRIDE=FY","FILING_STATUS=OR","EQY_CONSOLIDATED=Y","Sort=A","Dates=H","DateFormat=P","Fill=—","Direction=H","UseDPDF=Y")</f>
        <v>#NAME?</v>
      </c>
      <c r="AU328" s="2" t="e">
        <f ca="1">_xll.BDH($C$328,"NET_FIXED_ASSETS_5_YEAR_GROWTH","FY 2014","FY 2014","Currency=INR","Period=FY","BEST_FPERIOD_OVERRIDE=FY","FILING_STATUS=OR","EQY_CONSOLIDATED=Y","Sort=A","Dates=H","DateFormat=P","Fill=—","Direction=H","UseDPDF=Y")</f>
        <v>#NAME?</v>
      </c>
      <c r="AV328" s="2" t="e">
        <f ca="1">_xll.BDH($C$328,"GEO_GROW_TOT_ASSET","FY 2014","FY 2014","Currency=INR","Period=FY","BEST_FPERIOD_OVERRIDE=FY","FILING_STATUS=OR","EQY_CONSOLIDATED=Y","Sort=A","Dates=H","DateFormat=P","Fill=—","Direction=H","UseDPDF=Y")</f>
        <v>#NAME?</v>
      </c>
      <c r="AW328" s="2" t="e">
        <f ca="1">_xll.BDH($C$328,"MODIFIED_WORKING_CPTL_5YR_GRWTH","FY 2014","FY 2014","Currency=INR","Period=FY","BEST_FPERIOD_OVERRIDE=FY","FILING_STATUS=OR","EQY_CONSOLIDATED=Y","Sort=A","Dates=H","DateFormat=P","Fill=—","Direction=H","UseDPDF=Y")</f>
        <v>#NAME?</v>
      </c>
      <c r="AX328" s="2" t="e">
        <f ca="1">_xll.BDH($C$328,"WORKING_CAPITAL_5_YEAR_GROWTH","FY 2014","FY 2014","Currency=INR","Period=FY","BEST_FPERIOD_OVERRIDE=FY","FILING_STATUS=OR","EQY_CONSOLIDATED=Y","Sort=A","Dates=H","DateFormat=P","Fill=—","Direction=H","UseDPDF=Y")</f>
        <v>#NAME?</v>
      </c>
      <c r="AY328" s="2" t="e">
        <f ca="1">_xll.BDH($C$328,"ACCOUNTS_PAYABLE_5_YEAR_GROWTH","FY 2014","FY 2014","Currency=INR","Period=FY","BEST_FPERIOD_OVERRIDE=FY","FILING_STATUS=OR","EQY_CONSOLIDATED=Y","Sort=A","Dates=H","DateFormat=P","Fill=—","Direction=H","UseDPDF=Y")</f>
        <v>#NAME?</v>
      </c>
      <c r="AZ328" s="2" t="e">
        <f ca="1">_xll.BDH($C$328,"SHORT_TERM_DEBT_5_YEAR_GROWTH","FY 2014","FY 2014","Currency=INR","Period=FY","BEST_FPERIOD_OVERRIDE=FY","FILING_STATUS=OR","EQY_CONSOLIDATED=Y","Sort=A","Dates=H","DateFormat=P","Fill=—","Direction=H","UseDPDF=Y")</f>
        <v>#NAME?</v>
      </c>
      <c r="BA328" s="2" t="e">
        <f ca="1">_xll.BDH($C$328,"TOTAL_DEBT_5_YEAR_GROWTH","FY 2014","FY 2014","Currency=INR","Period=FY","BEST_FPERIOD_OVERRIDE=FY","FILING_STATUS=OR","EQY_CONSOLIDATED=Y","Sort=A","Dates=H","DateFormat=P","Fill=—","Direction=H","UseDPDF=Y")</f>
        <v>#NAME?</v>
      </c>
      <c r="BB328" s="2" t="e">
        <f ca="1">_xll.BDH($C$328,"GEO_GROW_TOT_SHRHLDR_EQY","FY 2014","FY 2014","Currency=INR","Period=FY","BEST_FPERIOD_OVERRIDE=FY","FILING_STATUS=OR","EQY_CONSOLIDATED=Y","Sort=A","Dates=H","DateFormat=P","Fill=—","Direction=H","UseDPDF=Y")</f>
        <v>#NAME?</v>
      </c>
      <c r="BC328" s="2" t="e">
        <f ca="1">_xll.BDH($C$328,"TOTAL_CAPITAL_5_YEAR_GROWTH","FY 2014","FY 2014","Currency=INR","Period=FY","BEST_FPERIOD_OVERRIDE=FY","FILING_STATUS=OR","EQY_CONSOLIDATED=Y","Sort=A","Dates=H","DateFormat=P","Fill=—","Direction=H","UseDPDF=Y")</f>
        <v>#NAME?</v>
      </c>
      <c r="BD328" s="2" t="e">
        <f ca="1">_xll.BDH($C$328,"GEO_GROW_BOOK_VAL","FY 2014","FY 2014","Currency=INR","Period=FY","BEST_FPERIOD_OVERRIDE=FY","FILING_STATUS=OR","EQY_CONSOLIDATED=Y","Sort=A","Dates=H","DateFormat=P","Fill=—","Direction=H","UseDPDF=Y")</f>
        <v>#NAME?</v>
      </c>
      <c r="BE328" s="2" t="e">
        <f ca="1">_xll.BDH($C$328,"GEO_GROW_CASH_OPER_ACT","FY 2014","FY 2014","Currency=INR","Period=FY","BEST_FPERIOD_OVERRIDE=FY","FILING_STATUS=OR","EQY_CONSOLIDATED=Y","Sort=A","Dates=H","DateFormat=P","Fill=—","Direction=H","UseDPDF=Y")</f>
        <v>#NAME?</v>
      </c>
      <c r="BF328" s="2" t="e">
        <f ca="1">_xll.BDH($C$328,"REVENUE_SEQUENTIAL_GROWTH","FY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328" s="2" t="e">
        <f ca="1">_xll.BDH($C$328,"EBITDA_SEQUENTIAL_GROWTH","FY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328" s="2" t="e">
        <f ca="1">_xll.BDH($C$328,"OPERATING_INCOME_SEQ_GROWTH","FY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328" s="2" t="e">
        <f ca="1">_xll.BDH($C$328,"NET_INCOME_TO_COMMON_SEQ_GROWTH","FY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328" s="2" t="e">
        <f ca="1">_xll.BDH($C$328,"EPS_DILUTED_SEQUENTIAL_GROWTH","FY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328" s="2" t="e">
        <f ca="1">_xll.BDH($C$328,"DPS_SEQUENTIAL_GROWTH","FY 2014","FY 2014","Currency=INR","Period=FY","BEST_FPERIOD_OVERRIDE=FY","FILING_STATUS=OR","EQY_CONSOLIDATED=Y","Sort=A","Dates=H","DateFormat=P","Fill=—","Direction=H","UseDPDF=Y")</f>
        <v>#NAME?</v>
      </c>
      <c r="BL328" s="2" t="e">
        <f ca="1">_xll.BDH($C$328,"ACCOUNTS_RECEIVABLE_SEQ_GROWTH","FY 2014","FY 2014","Currency=INR","Period=FY","BEST_FPERIOD_OVERRIDE=FY","FILING_STATUS=OR","EQY_CONSOLIDATED=Y","Sort=A","Dates=H","DateFormat=P","Fill=—","Direction=H","UseDPDF=Y")</f>
        <v>#NAME?</v>
      </c>
      <c r="BM328" s="2" t="e">
        <f ca="1">_xll.BDH($C$328,"INVENTORY_SEQUENTIAL_GROWTH","FY 2014","FY 2014","Currency=INR","Period=FY","BEST_FPERIOD_OVERRIDE=FY","FILING_STATUS=OR","EQY_CONSOLIDATED=Y","Sort=A","Dates=H","DateFormat=P","Fill=—","Direction=H","UseDPDF=Y")</f>
        <v>#NAME?</v>
      </c>
      <c r="BN328" s="2" t="e">
        <f ca="1">_xll.BDH($C$328,"FIXED_ASSETS_SEQUENTIAL_GROWTH","FY 2014","FY 2014","Currency=INR","Period=FY","BEST_FPERIOD_OVERRIDE=FY","FILING_STATUS=OR","EQY_CONSOLIDATED=Y","Sort=A","Dates=H","DateFormat=P","Fill=—","Direction=H","UseDPDF=Y")</f>
        <v>#NAME?</v>
      </c>
      <c r="BO328" s="2" t="e">
        <f ca="1">_xll.BDH($C$328,"TOTAL_ASSETS_SEQUENTIAL_GROWTH","FY 2014","FY 2014","Currency=INR","Period=FY","BEST_FPERIOD_OVERRIDE=FY","FILING_STATUS=OR","EQY_CONSOLIDATED=Y","Sort=A","Dates=H","DateFormat=P","Fill=—","Direction=H","UseDPDF=Y")</f>
        <v>#NAME?</v>
      </c>
      <c r="BP328" s="2" t="e">
        <f ca="1">_xll.BDH($C$328,"MODIFIED_WORKING_CPTL_SEQ_GRWTH","FY 2014","FY 2014","Currency=INR","Period=FY","BEST_FPERIOD_OVERRIDE=FY","FILING_STATUS=OR","EQY_CONSOLIDATED=Y","Sort=A","Dates=H","DateFormat=P","Fill=—","Direction=H","UseDPDF=Y")</f>
        <v>#NAME?</v>
      </c>
      <c r="BQ328" s="2" t="e">
        <f ca="1">_xll.BDH($C$328,"WORKING_CAPITAL_SEQ_GROWTH","FY 2014","FY 2014","Currency=INR","Period=FY","BEST_FPERIOD_OVERRIDE=FY","FILING_STATUS=OR","EQY_CONSOLIDATED=Y","Sort=A","Dates=H","DateFormat=P","Fill=—","Direction=H","UseDPDF=Y")</f>
        <v>#NAME?</v>
      </c>
      <c r="BR328" s="2" t="e">
        <f ca="1">_xll.BDH($C$328,"ACCOUNTS_PAYABLE_SEQ_GROWTH","FY 2014","FY 2014","Currency=INR","Period=FY","BEST_FPERIOD_OVERRIDE=FY","FILING_STATUS=OR","EQY_CONSOLIDATED=Y","Sort=A","Dates=H","DateFormat=P","Fill=—","Direction=H","UseDPDF=Y")</f>
        <v>#NAME?</v>
      </c>
      <c r="BS328" s="2" t="e">
        <f ca="1">_xll.BDH($C$328,"ST_DEBT_SEQUENTIAL_GROWTH","FY 2014","FY 2014","Currency=INR","Period=FY","BEST_FPERIOD_OVERRIDE=FY","FILING_STATUS=OR","EQY_CONSOLIDATED=Y","Sort=A","Dates=H","DateFormat=P","Fill=—","Direction=H","UseDPDF=Y")</f>
        <v>#NAME?</v>
      </c>
      <c r="BT328" s="2" t="e">
        <f ca="1">_xll.BDH($C$328,"TOTAL_DEBT_SEQUENTIAL_GROWTH","FY 2014","FY 2014","Currency=INR","Period=FY","BEST_FPERIOD_OVERRIDE=FY","FILING_STATUS=OR","EQY_CONSOLIDATED=Y","Sort=A","Dates=H","DateFormat=P","Fill=—","Direction=H","UseDPDF=Y")</f>
        <v>#NAME?</v>
      </c>
      <c r="BU328" s="2" t="e">
        <f ca="1">_xll.BDH($C$328,"TOTAL_EQUITY_SEQUENTIAL_GROWTH","FY 2014","FY 2014","Currency=INR","Period=FY","BEST_FPERIOD_OVERRIDE=FY","FILING_STATUS=OR","EQY_CONSOLIDATED=Y","Sort=A","Dates=H","DateFormat=P","Fill=—","Direction=H","UseDPDF=Y")</f>
        <v>#NAME?</v>
      </c>
      <c r="BV328" s="2" t="e">
        <f ca="1">_xll.BDH($C$328,"TOTAL_CAPITAL_SEQUENTIAL_GROWTH","FY 2014","FY 2014","Currency=INR","Period=FY","BEST_FPERIOD_OVERRIDE=FY","FILING_STATUS=OR","EQY_CONSOLIDATED=Y","Sort=A","Dates=H","DateFormat=P","Fill=—","Direction=H","UseDPDF=Y")</f>
        <v>#NAME?</v>
      </c>
      <c r="BW328" s="2" t="e">
        <f ca="1">_xll.BDH($C$328,"BPS_SEQUENTIAL_GROWTH","FY 2014","FY 2014","Currency=INR","Period=FY","BEST_FPERIOD_OVERRIDE=FY","FILING_STATUS=OR","EQY_CONSOLIDATED=Y","Sort=A","Dates=H","DateFormat=P","Fill=—","Direction=H","UseDPDF=Y")</f>
        <v>#NAME?</v>
      </c>
      <c r="BX328" s="2" t="e">
        <f ca="1">_xll.BDH($C$328,"CFO_SEQUENTIAL_GROWTH","FY 2014","FY 2014","Currency=INR","Period=FY","BEST_FPERIOD_OVERRIDE=FY","FILING_STATUS=OR","EQY_CONSOLIDATED=Y","Sort=A","Dates=H","DateFormat=P","Fill=—","Direction=H","UseDPDF=Y")</f>
        <v>#NAME?</v>
      </c>
      <c r="BY328" s="3" t="e">
        <f ca="1">_xll.BDH($C$328,"SHORT_AND_LONG_TERM_DEBT","FY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328" s="3" t="e">
        <f ca="1">_xll.BDH($C$328,"BS_ST_BORROW","FY 2014","FY 2014","Currency=INR","Period=FY","BEST_FPERIOD_OVERRIDE=FY","FILING_STATUS=OR","EQY_CONSOLIDATED=Y","SCALING_FORMAT=MLN","Sort=A","Dates=H","DateFormat=P","Fill=—","Direction=H","UseDPDF=Y")</f>
        <v>#NAME?</v>
      </c>
      <c r="CA328" s="3" t="e">
        <f ca="1">_xll.BDH($C$328,"BS_LT_BORROW","FY 2014","FY 2014","Currency=INR","Period=FY","BEST_FPERIOD_OVERRIDE=FY","FILING_STATUS=OR","EQY_CONSOLIDATED=Y","SCALING_FORMAT=MLN","Sort=A","Dates=H","DateFormat=P","Fill=—","Direction=H","UseDPDF=Y")</f>
        <v>#NAME?</v>
      </c>
      <c r="CB328" s="2" t="e">
        <f ca="1">_xll.BDH($C$328,"TOT_DEBT_TO_EBITDA","FY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328" s="2" t="e">
        <f ca="1">_xll.BDH($C$328,"NET_DEBT_TO_EBITDA","FY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328" s="2" t="e">
        <f ca="1">_xll.BDH($C$328,"TOTAL_DEBT_TO_EBIT","FY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328" s="2" t="e">
        <f ca="1">_xll.BDH($C$328,"NET_DEBT_TO_EBIT","FY 2014","FY 2014","Currency=INR","Period=FY","BEST_FPERIOD_OVERRIDE=FY","FILING_STATUS=OR","EQY_CONSOLIDATED=Y","FA_ADJUSTED=GAAP","Sort=A","Dates=H","DateFormat=P","Fill=—","Direction=H","UseDPDF=Y")</f>
        <v>#NAME?</v>
      </c>
      <c r="CF328" s="2" t="e">
        <f ca="1">_xll.BDH($C$328,"EBITDA_TO_INTEREST_EXPN","FY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328" s="2" t="e">
        <f ca="1">_xll.BDH($C$328,"COM_EQY_TO_TOT_ASSET","FY 2014","FY 2014","Currency=INR","Period=FY","BEST_FPERIOD_OVERRIDE=FY","FILING_STATUS=OR","EQY_CONSOLIDATED=Y","Sort=A","Dates=H","DateFormat=P","Fill=—","Direction=H","UseDPDF=Y")</f>
        <v>#NAME?</v>
      </c>
      <c r="CH328" s="2" t="e">
        <f ca="1">_xll.BDH($C$328,"LT_DEBT_TO_TOT_EQY","FY 2014","FY 2014","Currency=INR","Period=FY","BEST_FPERIOD_OVERRIDE=FY","FILING_STATUS=OR","EQY_CONSOLIDATED=Y","Sort=A","Dates=H","DateFormat=P","Fill=—","Direction=H","UseDPDF=Y")</f>
        <v>#NAME?</v>
      </c>
      <c r="CI328" s="2" t="e">
        <f ca="1">_xll.BDH($C$328,"LT_DEBT_TO_TOT_CAP","FY 2014","FY 2014","Currency=INR","Period=FY","BEST_FPERIOD_OVERRIDE=FY","FILING_STATUS=OR","EQY_CONSOLIDATED=Y","Sort=A","Dates=H","DateFormat=P","Fill=—","Direction=H","UseDPDF=Y")</f>
        <v>#NAME?</v>
      </c>
      <c r="CJ328" s="2" t="e">
        <f ca="1">_xll.BDH($C$328,"LT_DEBT_TO_TOT_ASSET","FY 2014","FY 2014","Currency=INR","Period=FY","BEST_FPERIOD_OVERRIDE=FY","FILING_STATUS=OR","EQY_CONSOLIDATED=Y","Sort=A","Dates=H","DateFormat=P","Fill=—","Direction=H","UseDPDF=Y")</f>
        <v>#NAME?</v>
      </c>
      <c r="CK328" s="2" t="e">
        <f ca="1">_xll.BDH($C$328,"TOT_DEBT_TO_TOT_EQY","FY 2014","FY 2014","Currency=INR","Period=FY","BEST_FPERIOD_OVERRIDE=FY","FILING_STATUS=OR","EQY_CONSOLIDATED=Y","Sort=A","Dates=H","DateFormat=P","Fill=—","Direction=H","UseDPDF=Y")</f>
        <v>#NAME?</v>
      </c>
      <c r="CL328" s="2" t="e">
        <f ca="1">_xll.BDH($C$328,"TOT_DEBT_TO_TOT_CAP","FY 2014","FY 2014","Currency=INR","Period=FY","BEST_FPERIOD_OVERRIDE=FY","FILING_STATUS=OR","EQY_CONSOLIDATED=Y","Sort=A","Dates=H","DateFormat=P","Fill=—","Direction=H","UseDPDF=Y")</f>
        <v>#NAME?</v>
      </c>
      <c r="CM328" s="2" t="e">
        <f ca="1">_xll.BDH($C$328,"TOT_DEBT_TO_TOT_ASSET","FY 2014","FY 2014","Currency=INR","Period=FY","BEST_FPERIOD_OVERRIDE=FY","FILING_STATUS=OR","EQY_CONSOLIDATED=Y","Sort=A","Dates=H","DateFormat=P","Fill=—","Direction=H","UseDPDF=Y")</f>
        <v>#NAME?</v>
      </c>
      <c r="CN328" s="2" t="e">
        <f ca="1">_xll.BDH($C$328,"NET_DEBT_TO_SHRHLDR_EQTY","FY 2014","FY 2014","Currency=INR","Period=FY","BEST_FPERIOD_OVERRIDE=FY","FILING_STATUS=OR","EQY_CONSOLIDATED=Y","Sort=A","Dates=H","DateFormat=P","Fill=—","Direction=H","UseDPDF=Y")</f>
        <v>#NAME?</v>
      </c>
      <c r="CO328" s="2" t="e">
        <f ca="1">_xll.BDH($C$328,"NET_DEBT_%_CAPITAL","FY 2014","FY 2014","Currency=INR","Period=FY","BEST_FPERIOD_OVERRIDE=FY","FILING_STATUS=OR","EQY_CONSOLIDATED=Y","Sort=A","Dates=H","DateFormat=P","Fill=—","Direction=H","UseDPDF=Y")</f>
        <v>#NAME?</v>
      </c>
      <c r="CP328" s="3" t="e">
        <f ca="1">_xll.BDH($C$328,"EBITDA","FY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328" s="3" t="e">
        <f ca="1">_xll.BDH($C$328,"EBITDA_AFTER_CAPEX","FY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328" s="3" t="e">
        <f ca="1">_xll.BDH($C$328,"IS_OPER_INC","FY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328" s="2" t="e">
        <f ca="1">_xll.BDH($C$328,"CASH_RATIO","FY 2014","FY 2014","Currency=INR","Period=FY","BEST_FPERIOD_OVERRIDE=FY","FILING_STATUS=OR","EQY_CONSOLIDATED=Y","Sort=A","Dates=H","DateFormat=P","Fill=—","Direction=H","UseDPDF=Y")</f>
        <v>#NAME?</v>
      </c>
      <c r="CT328" s="2" t="e">
        <f ca="1">_xll.BDH($C$328,"CUR_RATIO","FY 2014","FY 2014","Currency=INR","Period=FY","BEST_FPERIOD_OVERRIDE=FY","FILING_STATUS=OR","EQY_CONSOLIDATED=Y","Sort=A","Dates=H","DateFormat=P","Fill=—","Direction=H","UseDPDF=Y")</f>
        <v>#NAME?</v>
      </c>
      <c r="CU328" s="2" t="e">
        <f ca="1">_xll.BDH($C$328,"QUICK_RATIO","FY 2014","FY 2014","Currency=INR","Period=FY","BEST_FPERIOD_OVERRIDE=FY","FILING_STATUS=OR","EQY_CONSOLIDATED=Y","Sort=A","Dates=H","DateFormat=P","Fill=—","Direction=H","UseDPDF=Y")</f>
        <v>#NAME?</v>
      </c>
      <c r="CV328" s="2" t="e">
        <f ca="1">_xll.BDH($C$328,"ALTMAN_Z_SCORE","FY 2014","FY 2014","Currency=INR","Period=FY","BEST_FPERIOD_OVERRIDE=FY","FILING_STATUS=OR","EQY_CONSOLIDATED=Y","Sort=A","Dates=H","DateFormat=P","Fill=—","Direction=H","UseDPDF=Y")</f>
        <v>#NAME?</v>
      </c>
      <c r="CW328" s="4" t="e">
        <f ca="1">_xll.BDH($C$328,"ACCT_RCV_TURN","FY 2014","FY 2014","Currency=INR","Period=FY","BEST_FPERIOD_OVERRIDE=FY","FILING_STATUS=OR","EQY_CONSOLIDATED=Y","FA_ADJUSTED=GAAP","Sort=A","Dates=H","DateFormat=P","Fill=—","Direction=H","UseDPDF=Y")</f>
        <v>#NAME?</v>
      </c>
      <c r="CX328" s="2" t="e">
        <f ca="1">_xll.BDH($C$328,"ACCT_RCV_DAYS","FY 2014","FY 2014","Currency=INR","Period=FY","BEST_FPERIOD_OVERRIDE=FY","FILING_STATUS=OR","EQY_CONSOLIDATED=Y","FA_ADJUSTED=GAAP","Sort=A","Dates=H","DateFormat=P","Fill=—","Direction=H","UseDPDF=Y")</f>
        <v>#NAME?</v>
      </c>
      <c r="CY328" s="4" t="e">
        <f ca="1">_xll.BDH($C$328,"INVENT_TURN","FY 2014","FY 2014","Currency=INR","Period=FY","BEST_FPERIOD_OVERRIDE=FY","FILING_STATUS=OR","EQY_CONSOLIDATED=Y","FA_ADJUSTED=GAAP","Sort=A","Dates=H","DateFormat=P","Fill=—","Direction=H","UseDPDF=Y")</f>
        <v>#NAME?</v>
      </c>
      <c r="CZ328" s="2" t="e">
        <f ca="1">_xll.BDH($C$328,"INVENT_DAYS","FY 2014","FY 2014","Currency=INR","Period=FY","BEST_FPERIOD_OVERRIDE=FY","FILING_STATUS=OR","EQY_CONSOLIDATED=Y","FA_ADJUSTED=GAAP","Sort=A","Dates=H","DateFormat=P","Fill=—","Direction=H","UseDPDF=Y")</f>
        <v>#NAME?</v>
      </c>
      <c r="DA328" s="4" t="e">
        <f ca="1">_xll.BDH($C$328,"ACCOUNTS_PAYABLE_TURNOVER","FY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328" s="2" t="e">
        <f ca="1">_xll.BDH($C$328,"ACCOUNTS_PAYABLE_TURNOVER_DAYS","FY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328" s="4" t="e">
        <f ca="1">_xll.BDH($C$328,"CASH_CONVERSION_CYCLE","FY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328" s="4" t="e">
        <f ca="1">_xll.BDH($C$328,"INV_TO_CASH_DAYS","FY 2014","FY 2014","Currency=INR","Period=FY","BEST_FPERIOD_OVERRIDE=FY","FILING_STATUS=OR","EQY_CONSOLIDATED=Y","FA_ADJUSTED=GAAP","Sort=A","Dates=H","DateFormat=P","Fill=—","Direction=H","UseDPDF=Y")</f>
        <v>#NAME?</v>
      </c>
      <c r="DE328" s="5" t="e">
        <f ca="1">_xll.BDH($C$328,"BS_INVENTORIES","FY 2014","FY 2014","Currency=INR","Period=FY","BEST_FPERIOD_OVERRIDE=FY","FILING_STATUS=OR","EQY_CONSOLIDATED=Y","SCALING_FORMAT=MLN","Sort=A","Dates=H","DateFormat=P","Fill=—","Direction=H","UseDPDF=Y")</f>
        <v>#NAME?</v>
      </c>
      <c r="DF328" s="3" t="e">
        <f ca="1">_xll.BDH($C$328,"INVTRY_RAW_MATERIALS","FY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328" s="3" t="e">
        <f ca="1">_xll.BDH($C$328,"INVTRY_IN_PROGRESS","FY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328" s="3" t="e">
        <f ca="1">_xll.BDH($C$328,"INVTRY_FINISHED_GOODS","FY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328" s="3" t="e">
        <f ca="1">_xll.BDH($C$328,"BS_OTHER_INV","FY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329" spans="1:113" x14ac:dyDescent="0.3">
      <c r="A329" s="6"/>
      <c r="B329" s="6"/>
      <c r="C329" s="6"/>
      <c r="D329" s="6"/>
      <c r="E329" t="s">
        <v>78</v>
      </c>
      <c r="F329" t="e">
        <f ca="1">_xll.BDH($C$328,"RETURN_COM_EQY","FQ1 2014","FQ1 2014","Currency=INR","Period=FQ","BEST_FPERIOD_OVERRIDE=FQ","FILING_STATUS=OR","EQY_CONSOLIDATED=Y","FA_ADJUSTED=GAAP","Sort=A","Dates=H","DateFormat=P","Fill=—","Direction=H","UseDPDF=Y")</f>
        <v>#NAME?</v>
      </c>
      <c r="G329" t="e">
        <f ca="1">_xll.BDH($C$328,"RETURN_ON_ASSET","FQ1 2014","FQ1 2014","Currency=INR","Period=FQ","BEST_FPERIOD_OVERRIDE=FQ","FILING_STATUS=OR","EQY_CONSOLIDATED=Y","FA_ADJUSTED=GAAP","Sort=A","Dates=H","DateFormat=P","Fill=—","Direction=H","UseDPDF=Y")</f>
        <v>#NAME?</v>
      </c>
      <c r="H329" t="e">
        <f ca="1">_xll.BDH($C$328,"RETURN_ON_CAP","FQ1 2014","FQ1 2014","Currency=INR","Period=FQ","BEST_FPERIOD_OVERRIDE=FQ","FILING_STATUS=OR","EQY_CONSOLIDATED=Y","FA_ADJUSTED=GAAP","Sort=A","Dates=H","DateFormat=P","Fill=—","Direction=H","UseDPDF=Y")</f>
        <v>#NAME?</v>
      </c>
      <c r="I329" t="e">
        <f ca="1">_xll.BDH($C$328,"RETURN_ON_INV_CAPITAL","FQ1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329" t="e">
        <f ca="1">_xll.BDH($C$328,"EBITDA_TO_REVENUE","FQ1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329" t="e">
        <f ca="1">_xll.BDH($C$328,"OPER_MARGIN","FQ1 2014","FQ1 2014","Currency=INR","Period=FQ","BEST_FPERIOD_OVERRIDE=FQ","FILING_STATUS=OR","EQY_CONSOLIDATED=Y","FA_ADJUSTED=GAAP","Sort=A","Dates=H","DateFormat=P","Fill=—","Direction=H","UseDPDF=Y")</f>
        <v>#NAME?</v>
      </c>
      <c r="L329" t="e">
        <f ca="1">_xll.BDH($C$328,"INCREMENTAL_OPERATING_MARGIN","FQ1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329" t="e">
        <f ca="1">_xll.BDH($C$328,"PRETAX_INC_TO_NET_SALES","FQ1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329" t="e">
        <f ca="1">_xll.BDH($C$328,"INC_BEF_XO_ITEMS_TO_NET_SALES","FQ1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329" t="e">
        <f ca="1">_xll.BDH($C$328,"PROF_MARGIN","FQ1 2014","FQ1 2014","Currency=INR","Period=FQ","BEST_FPERIOD_OVERRIDE=FQ","FILING_STATUS=OR","EQY_CONSOLIDATED=Y","FA_ADJUSTED=GAAP","Sort=A","Dates=H","DateFormat=P","Fill=—","Direction=H","UseDPDF=Y")</f>
        <v>#NAME?</v>
      </c>
      <c r="P329" t="e">
        <f ca="1">_xll.BDH($C$328,"NET_INCOME_TO_COMMON_MARGIN","FQ1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329" t="e">
        <f ca="1">_xll.BDH($C$328,"EFF_TAX_RATE","FQ1 2014","FQ1 2014","Currency=INR","Period=FQ","BEST_FPERIOD_OVERRIDE=FQ","FILING_STATUS=OR","EQY_CONSOLIDATED=Y","FA_ADJUSTED=GAAP","Sort=A","Dates=H","DateFormat=P","Fill=—","Direction=H","UseDPDF=Y")</f>
        <v>#NAME?</v>
      </c>
      <c r="R329" t="e">
        <f ca="1">_xll.BDH($C$328,"DVD_PAYOUT_RATIO","FQ1 2014","FQ1 2014","Currency=INR","Period=FQ","BEST_FPERIOD_OVERRIDE=FQ","FILING_STATUS=OR","EQY_CONSOLIDATED=Y","FA_ADJUSTED=GAAP","Sort=A","Dates=H","DateFormat=P","Fill=—","Direction=H","UseDPDF=Y")</f>
        <v>#NAME?</v>
      </c>
      <c r="S329" t="e">
        <f ca="1">_xll.BDH($C$328,"SUSTAIN_GROWTH_RT","FQ1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329" s="2" t="e">
        <f ca="1">_xll.BDH($C$328,"SALES_GROWTH","FQ1 2014","FQ1 2014","Currency=INR","Period=FQ","BEST_FPERIOD_OVERRIDE=FQ","FILING_STATUS=OR","EQY_CONSOLIDATED=Y","FA_ADJUSTED=GAAP","Sort=A","Dates=H","DateFormat=P","Fill=—","Direction=H","UseDPDF=Y")</f>
        <v>#NAME?</v>
      </c>
      <c r="U329" s="2" t="e">
        <f ca="1">_xll.BDH($C$328,"EBITDA_GROWTH","FQ1 2014","FQ1 2014","Currency=INR","Period=FQ","BEST_FPERIOD_OVERRIDE=FQ","FILING_STATUS=OR","EQY_CONSOLIDATED=Y","FA_ADJUSTED=GAAP","Sort=A","Dates=H","DateFormat=P","Fill=—","Direction=H","UseDPDF=Y")</f>
        <v>#NAME?</v>
      </c>
      <c r="V329" s="2" t="e">
        <f ca="1">_xll.BDH($C$328,"OPER_INC_GROWTH","FQ1 2014","FQ1 2014","Currency=INR","Period=FQ","BEST_FPERIOD_OVERRIDE=FQ","FILING_STATUS=OR","EQY_CONSOLIDATED=Y","FA_ADJUSTED=GAAP","Sort=A","Dates=H","DateFormat=P","Fill=—","Direction=H","UseDPDF=Y")</f>
        <v>#NAME?</v>
      </c>
      <c r="W329" s="2" t="e">
        <f ca="1">_xll.BDH($C$328,"EARN_FOR_COM_GROWTH","FQ1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329" s="2" t="e">
        <f ca="1">_xll.BDH($C$328,"DILUTED_EPS_AFT_XO_ITEMS_GROWTH","FQ1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329" s="2" t="e">
        <f ca="1">_xll.BDH($C$328,"DIVIDEND_PER_SHARE_1_YEAR_GROWTH","FQ1 2014","FQ1 2014","Currency=INR","Period=FQ","BEST_FPERIOD_OVERRIDE=FQ","FILING_STATUS=OR","EQY_CONSOLIDATED=Y","Sort=A","Dates=H","DateFormat=P","Fill=—","Direction=H","UseDPDF=Y")</f>
        <v>#NAME?</v>
      </c>
      <c r="Z329" s="2" t="e">
        <f ca="1">_xll.BDH($C$328,"ACCOUNTS_RECEIVABLE_GROWTH","FQ1 2014","FQ1 2014","Currency=INR","Period=FQ","BEST_FPERIOD_OVERRIDE=FQ","FILING_STATUS=OR","EQY_CONSOLIDATED=Y","Sort=A","Dates=H","DateFormat=P","Fill=—","Direction=H","UseDPDF=Y")</f>
        <v>#NAME?</v>
      </c>
      <c r="AA329" s="2" t="e">
        <f ca="1">_xll.BDH($C$328,"INVENTORY_GROWTH","FQ1 2014","FQ1 2014","Currency=INR","Period=FQ","BEST_FPERIOD_OVERRIDE=FQ","FILING_STATUS=OR","EQY_CONSOLIDATED=Y","Sort=A","Dates=H","DateFormat=P","Fill=—","Direction=H","UseDPDF=Y")</f>
        <v>#NAME?</v>
      </c>
      <c r="AB329" s="2" t="e">
        <f ca="1">_xll.BDH($C$328,"NET_FIXED_ASSETS_1_YEAR_GROWTH","FQ1 2014","FQ1 2014","Currency=INR","Period=FQ","BEST_FPERIOD_OVERRIDE=FQ","FILING_STATUS=OR","EQY_CONSOLIDATED=Y","Sort=A","Dates=H","DateFormat=P","Fill=—","Direction=H","UseDPDF=Y")</f>
        <v>#NAME?</v>
      </c>
      <c r="AC329" s="2" t="e">
        <f ca="1">_xll.BDH($C$328,"ASSET_GROWTH","FQ1 2014","FQ1 2014","Currency=INR","Period=FQ","BEST_FPERIOD_OVERRIDE=FQ","FILING_STATUS=OR","EQY_CONSOLIDATED=Y","Sort=A","Dates=H","DateFormat=P","Fill=—","Direction=H","UseDPDF=Y")</f>
        <v>#NAME?</v>
      </c>
      <c r="AD329" s="2" t="e">
        <f ca="1">_xll.BDH($C$328,"MODIFIED_WORK_CAP_GROWTH","FQ1 2014","FQ1 2014","Currency=INR","Period=FQ","BEST_FPERIOD_OVERRIDE=FQ","FILING_STATUS=OR","EQY_CONSOLIDATED=Y","Sort=A","Dates=H","DateFormat=P","Fill=—","Direction=H","UseDPDF=Y")</f>
        <v>#NAME?</v>
      </c>
      <c r="AE329" s="2" t="e">
        <f ca="1">_xll.BDH($C$328,"WORK_CAP_GROWTH","FQ1 2014","FQ1 2014","Currency=INR","Period=FQ","BEST_FPERIOD_OVERRIDE=FQ","FILING_STATUS=OR","EQY_CONSOLIDATED=Y","Sort=A","Dates=H","DateFormat=P","Fill=—","Direction=H","UseDPDF=Y")</f>
        <v>#NAME?</v>
      </c>
      <c r="AF329" s="2" t="e">
        <f ca="1">_xll.BDH($C$328,"ACCOUNTS_PAYABLE_GROWTH_1YR","FQ1 2014","FQ1 2014","Currency=INR","Period=FQ","BEST_FPERIOD_OVERRIDE=FQ","FILING_STATUS=OR","EQY_CONSOLIDATED=Y","Sort=A","Dates=H","DateFormat=P","Fill=—","Direction=H","UseDPDF=Y")</f>
        <v>#NAME?</v>
      </c>
      <c r="AG329" s="2" t="e">
        <f ca="1">_xll.BDH($C$328,"SHORT_TERM_DEBT_1_YEAR_GROWTH","FQ1 2014","FQ1 2014","Currency=INR","Period=FQ","BEST_FPERIOD_OVERRIDE=FQ","FILING_STATUS=OR","EQY_CONSOLIDATED=Y","Sort=A","Dates=H","DateFormat=P","Fill=—","Direction=H","UseDPDF=Y")</f>
        <v>#NAME?</v>
      </c>
      <c r="AH329" s="2" t="e">
        <f ca="1">_xll.BDH($C$328,"TOTAL_DEBT_1_YEAR_GROWTH","FQ1 2014","FQ1 2014","Currency=INR","Period=FQ","BEST_FPERIOD_OVERRIDE=FQ","FILING_STATUS=OR","EQY_CONSOLIDATED=Y","Sort=A","Dates=H","DateFormat=P","Fill=—","Direction=H","UseDPDF=Y")</f>
        <v>#NAME?</v>
      </c>
      <c r="AI329" s="2" t="e">
        <f ca="1">_xll.BDH($C$328,"TOTAL_EQUITY_1_YEAR_GROWTH","FQ1 2014","FQ1 2014","Currency=INR","Period=FQ","BEST_FPERIOD_OVERRIDE=FQ","FILING_STATUS=OR","EQY_CONSOLIDATED=Y","Sort=A","Dates=H","DateFormat=P","Fill=—","Direction=H","UseDPDF=Y")</f>
        <v>#NAME?</v>
      </c>
      <c r="AJ329" s="2" t="e">
        <f ca="1">_xll.BDH($C$328,"GROWTH_IN_CAP","FQ1 2014","FQ1 2014","Currency=INR","Period=FQ","BEST_FPERIOD_OVERRIDE=FQ","FILING_STATUS=OR","EQY_CONSOLIDATED=Y","Sort=A","Dates=H","DateFormat=P","Fill=—","Direction=H","UseDPDF=Y")</f>
        <v>#NAME?</v>
      </c>
      <c r="AK329" s="2" t="e">
        <f ca="1">_xll.BDH($C$328,"BVPS_GROWTH","FQ1 2014","FQ1 2014","Currency=INR","Period=FQ","BEST_FPERIOD_OVERRIDE=FQ","FILING_STATUS=OR","EQY_CONSOLIDATED=Y","Sort=A","Dates=H","DateFormat=P","Fill=—","Direction=H","UseDPDF=Y")</f>
        <v>#NAME?</v>
      </c>
      <c r="AL329" s="2" t="e">
        <f ca="1">_xll.BDH($C$328,"CASH_FLOW_GROWTH","FQ1 2014","FQ1 2014","Currency=INR","Period=FQ","BEST_FPERIOD_OVERRIDE=FQ","FILING_STATUS=OR","EQY_CONSOLIDATED=Y","Sort=A","Dates=H","DateFormat=P","Fill=—","Direction=H","UseDPDF=Y")</f>
        <v>#NAME?</v>
      </c>
      <c r="AM329" s="2" t="e">
        <f ca="1">_xll.BDH($C$328,"GEO_GROW_NET_SALES","FQ1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329" s="2" t="e">
        <f ca="1">_xll.BDH($C$328,"GEO_GROW_EBITDA","FQ1 2014","FQ1 2014","Currency=INR","Period=FQ","BEST_FPERIOD_OVERRIDE=FQ","FILING_STATUS=OR","EQY_CONSOLIDATED=Y","FA_ADJUSTED=GAAP","Sort=A","Dates=H","DateFormat=P","Fill=—","Direction=H","UseDPDF=Y")</f>
        <v>#NAME?</v>
      </c>
      <c r="AO329" s="2" t="e">
        <f ca="1">_xll.BDH($C$328,"GEO_GROW_OPER_INC","FQ1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329" s="2" t="e">
        <f ca="1">_xll.BDH($C$328,"NET_INCOME_TO_COMMON_5_YR_GROWTH","FQ1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329" s="2" t="e">
        <f ca="1">_xll.BDH($C$328,"5Y_GEO_GROWTH_DILUTED_EPS","FQ1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329" s="2" t="e">
        <f ca="1">_xll.BDH($C$328,"GEO_GROW_DVD_PER_SH","FQ1 2014","FQ1 2014","Currency=INR","Period=FQ","BEST_FPERIOD_OVERRIDE=FQ","FILING_STATUS=OR","EQY_CONSOLIDATED=Y","Sort=A","Dates=H","DateFormat=P","Fill=—","Direction=H","UseDPDF=Y")</f>
        <v>#NAME?</v>
      </c>
      <c r="AS329" s="2" t="e">
        <f ca="1">_xll.BDH($C$328,"ACCOUNTS_RECEIVABLE_5_YR_GROWTH","FQ1 2014","FQ1 2014","Currency=INR","Period=FQ","BEST_FPERIOD_OVERRIDE=FQ","FILING_STATUS=OR","EQY_CONSOLIDATED=Y","Sort=A","Dates=H","DateFormat=P","Fill=—","Direction=H","UseDPDF=Y")</f>
        <v>#NAME?</v>
      </c>
      <c r="AT329" s="2" t="e">
        <f ca="1">_xll.BDH($C$328,"INVENTORY_5_YEAR_GROWTH","FQ1 2014","FQ1 2014","Currency=INR","Period=FQ","BEST_FPERIOD_OVERRIDE=FQ","FILING_STATUS=OR","EQY_CONSOLIDATED=Y","Sort=A","Dates=H","DateFormat=P","Fill=—","Direction=H","UseDPDF=Y")</f>
        <v>#NAME?</v>
      </c>
      <c r="AU329" s="2" t="e">
        <f ca="1">_xll.BDH($C$328,"NET_FIXED_ASSETS_5_YEAR_GROWTH","FQ1 2014","FQ1 2014","Currency=INR","Period=FQ","BEST_FPERIOD_OVERRIDE=FQ","FILING_STATUS=OR","EQY_CONSOLIDATED=Y","Sort=A","Dates=H","DateFormat=P","Fill=—","Direction=H","UseDPDF=Y")</f>
        <v>#NAME?</v>
      </c>
      <c r="AV329" s="2" t="e">
        <f ca="1">_xll.BDH($C$328,"GEO_GROW_TOT_ASSET","FQ1 2014","FQ1 2014","Currency=INR","Period=FQ","BEST_FPERIOD_OVERRIDE=FQ","FILING_STATUS=OR","EQY_CONSOLIDATED=Y","Sort=A","Dates=H","DateFormat=P","Fill=—","Direction=H","UseDPDF=Y")</f>
        <v>#NAME?</v>
      </c>
      <c r="AW329" s="2" t="e">
        <f ca="1">_xll.BDH($C$328,"MODIFIED_WORKING_CPTL_5YR_GRWTH","FQ1 2014","FQ1 2014","Currency=INR","Period=FQ","BEST_FPERIOD_OVERRIDE=FQ","FILING_STATUS=OR","EQY_CONSOLIDATED=Y","Sort=A","Dates=H","DateFormat=P","Fill=—","Direction=H","UseDPDF=Y")</f>
        <v>#NAME?</v>
      </c>
      <c r="AX329" s="2" t="e">
        <f ca="1">_xll.BDH($C$328,"WORKING_CAPITAL_5_YEAR_GROWTH","FQ1 2014","FQ1 2014","Currency=INR","Period=FQ","BEST_FPERIOD_OVERRIDE=FQ","FILING_STATUS=OR","EQY_CONSOLIDATED=Y","Sort=A","Dates=H","DateFormat=P","Fill=—","Direction=H","UseDPDF=Y")</f>
        <v>#NAME?</v>
      </c>
      <c r="AY329" s="2" t="e">
        <f ca="1">_xll.BDH($C$328,"ACCOUNTS_PAYABLE_5_YEAR_GROWTH","FQ1 2014","FQ1 2014","Currency=INR","Period=FQ","BEST_FPERIOD_OVERRIDE=FQ","FILING_STATUS=OR","EQY_CONSOLIDATED=Y","Sort=A","Dates=H","DateFormat=P","Fill=—","Direction=H","UseDPDF=Y")</f>
        <v>#NAME?</v>
      </c>
      <c r="AZ329" s="2" t="e">
        <f ca="1">_xll.BDH($C$328,"SHORT_TERM_DEBT_5_YEAR_GROWTH","FQ1 2014","FQ1 2014","Currency=INR","Period=FQ","BEST_FPERIOD_OVERRIDE=FQ","FILING_STATUS=OR","EQY_CONSOLIDATED=Y","Sort=A","Dates=H","DateFormat=P","Fill=—","Direction=H","UseDPDF=Y")</f>
        <v>#NAME?</v>
      </c>
      <c r="BA329" s="2" t="e">
        <f ca="1">_xll.BDH($C$328,"TOTAL_DEBT_5_YEAR_GROWTH","FQ1 2014","FQ1 2014","Currency=INR","Period=FQ","BEST_FPERIOD_OVERRIDE=FQ","FILING_STATUS=OR","EQY_CONSOLIDATED=Y","Sort=A","Dates=H","DateFormat=P","Fill=—","Direction=H","UseDPDF=Y")</f>
        <v>#NAME?</v>
      </c>
      <c r="BB329" s="2" t="e">
        <f ca="1">_xll.BDH($C$328,"GEO_GROW_TOT_SHRHLDR_EQY","FQ1 2014","FQ1 2014","Currency=INR","Period=FQ","BEST_FPERIOD_OVERRIDE=FQ","FILING_STATUS=OR","EQY_CONSOLIDATED=Y","Sort=A","Dates=H","DateFormat=P","Fill=—","Direction=H","UseDPDF=Y")</f>
        <v>#NAME?</v>
      </c>
      <c r="BC329" s="2" t="e">
        <f ca="1">_xll.BDH($C$328,"TOTAL_CAPITAL_5_YEAR_GROWTH","FQ1 2014","FQ1 2014","Currency=INR","Period=FQ","BEST_FPERIOD_OVERRIDE=FQ","FILING_STATUS=OR","EQY_CONSOLIDATED=Y","Sort=A","Dates=H","DateFormat=P","Fill=—","Direction=H","UseDPDF=Y")</f>
        <v>#NAME?</v>
      </c>
      <c r="BD329" s="2" t="e">
        <f ca="1">_xll.BDH($C$328,"GEO_GROW_BOOK_VAL","FQ1 2014","FQ1 2014","Currency=INR","Period=FQ","BEST_FPERIOD_OVERRIDE=FQ","FILING_STATUS=OR","EQY_CONSOLIDATED=Y","Sort=A","Dates=H","DateFormat=P","Fill=—","Direction=H","UseDPDF=Y")</f>
        <v>#NAME?</v>
      </c>
      <c r="BE329" s="2" t="e">
        <f ca="1">_xll.BDH($C$328,"GEO_GROW_CASH_OPER_ACT","FQ1 2014","FQ1 2014","Currency=INR","Period=FQ","BEST_FPERIOD_OVERRIDE=FQ","FILING_STATUS=OR","EQY_CONSOLIDATED=Y","Sort=A","Dates=H","DateFormat=P","Fill=—","Direction=H","UseDPDF=Y")</f>
        <v>#NAME?</v>
      </c>
      <c r="BF329" s="2" t="e">
        <f ca="1">_xll.BDH($C$328,"REVENUE_SEQUENTIAL_GROWTH","FQ1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329" s="2" t="e">
        <f ca="1">_xll.BDH($C$328,"EBITDA_SEQUENTIAL_GROWTH","FQ1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329" s="2" t="e">
        <f ca="1">_xll.BDH($C$328,"OPERATING_INCOME_SEQ_GROWTH","FQ1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329" s="2" t="e">
        <f ca="1">_xll.BDH($C$328,"NET_INCOME_TO_COMMON_SEQ_GROWTH","FQ1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329" s="2" t="e">
        <f ca="1">_xll.BDH($C$328,"EPS_DILUTED_SEQUENTIAL_GROWTH","FQ1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329" s="2" t="e">
        <f ca="1">_xll.BDH($C$328,"DPS_SEQUENTIAL_GROWTH","FQ1 2014","FQ1 2014","Currency=INR","Period=FQ","BEST_FPERIOD_OVERRIDE=FQ","FILING_STATUS=OR","EQY_CONSOLIDATED=Y","Sort=A","Dates=H","DateFormat=P","Fill=—","Direction=H","UseDPDF=Y")</f>
        <v>#NAME?</v>
      </c>
      <c r="BL329" s="2" t="e">
        <f ca="1">_xll.BDH($C$328,"ACCOUNTS_RECEIVABLE_SEQ_GROWTH","FQ1 2014","FQ1 2014","Currency=INR","Period=FQ","BEST_FPERIOD_OVERRIDE=FQ","FILING_STATUS=OR","EQY_CONSOLIDATED=Y","Sort=A","Dates=H","DateFormat=P","Fill=—","Direction=H","UseDPDF=Y")</f>
        <v>#NAME?</v>
      </c>
      <c r="BM329" s="2" t="e">
        <f ca="1">_xll.BDH($C$328,"INVENTORY_SEQUENTIAL_GROWTH","FQ1 2014","FQ1 2014","Currency=INR","Period=FQ","BEST_FPERIOD_OVERRIDE=FQ","FILING_STATUS=OR","EQY_CONSOLIDATED=Y","Sort=A","Dates=H","DateFormat=P","Fill=—","Direction=H","UseDPDF=Y")</f>
        <v>#NAME?</v>
      </c>
      <c r="BN329" s="2" t="e">
        <f ca="1">_xll.BDH($C$328,"FIXED_ASSETS_SEQUENTIAL_GROWTH","FQ1 2014","FQ1 2014","Currency=INR","Period=FQ","BEST_FPERIOD_OVERRIDE=FQ","FILING_STATUS=OR","EQY_CONSOLIDATED=Y","Sort=A","Dates=H","DateFormat=P","Fill=—","Direction=H","UseDPDF=Y")</f>
        <v>#NAME?</v>
      </c>
      <c r="BO329" s="2" t="e">
        <f ca="1">_xll.BDH($C$328,"TOTAL_ASSETS_SEQUENTIAL_GROWTH","FQ1 2014","FQ1 2014","Currency=INR","Period=FQ","BEST_FPERIOD_OVERRIDE=FQ","FILING_STATUS=OR","EQY_CONSOLIDATED=Y","Sort=A","Dates=H","DateFormat=P","Fill=—","Direction=H","UseDPDF=Y")</f>
        <v>#NAME?</v>
      </c>
      <c r="BP329" s="2" t="e">
        <f ca="1">_xll.BDH($C$328,"MODIFIED_WORKING_CPTL_SEQ_GRWTH","FQ1 2014","FQ1 2014","Currency=INR","Period=FQ","BEST_FPERIOD_OVERRIDE=FQ","FILING_STATUS=OR","EQY_CONSOLIDATED=Y","Sort=A","Dates=H","DateFormat=P","Fill=—","Direction=H","UseDPDF=Y")</f>
        <v>#NAME?</v>
      </c>
      <c r="BQ329" s="2" t="e">
        <f ca="1">_xll.BDH($C$328,"WORKING_CAPITAL_SEQ_GROWTH","FQ1 2014","FQ1 2014","Currency=INR","Period=FQ","BEST_FPERIOD_OVERRIDE=FQ","FILING_STATUS=OR","EQY_CONSOLIDATED=Y","Sort=A","Dates=H","DateFormat=P","Fill=—","Direction=H","UseDPDF=Y")</f>
        <v>#NAME?</v>
      </c>
      <c r="BR329" s="2" t="e">
        <f ca="1">_xll.BDH($C$328,"ACCOUNTS_PAYABLE_SEQ_GROWTH","FQ1 2014","FQ1 2014","Currency=INR","Period=FQ","BEST_FPERIOD_OVERRIDE=FQ","FILING_STATUS=OR","EQY_CONSOLIDATED=Y","Sort=A","Dates=H","DateFormat=P","Fill=—","Direction=H","UseDPDF=Y")</f>
        <v>#NAME?</v>
      </c>
      <c r="BS329" s="2" t="e">
        <f ca="1">_xll.BDH($C$328,"ST_DEBT_SEQUENTIAL_GROWTH","FQ1 2014","FQ1 2014","Currency=INR","Period=FQ","BEST_FPERIOD_OVERRIDE=FQ","FILING_STATUS=OR","EQY_CONSOLIDATED=Y","Sort=A","Dates=H","DateFormat=P","Fill=—","Direction=H","UseDPDF=Y")</f>
        <v>#NAME?</v>
      </c>
      <c r="BT329" s="2" t="e">
        <f ca="1">_xll.BDH($C$328,"TOTAL_DEBT_SEQUENTIAL_GROWTH","FQ1 2014","FQ1 2014","Currency=INR","Period=FQ","BEST_FPERIOD_OVERRIDE=FQ","FILING_STATUS=OR","EQY_CONSOLIDATED=Y","Sort=A","Dates=H","DateFormat=P","Fill=—","Direction=H","UseDPDF=Y")</f>
        <v>#NAME?</v>
      </c>
      <c r="BU329" s="2" t="e">
        <f ca="1">_xll.BDH($C$328,"TOTAL_EQUITY_SEQUENTIAL_GROWTH","FQ1 2014","FQ1 2014","Currency=INR","Period=FQ","BEST_FPERIOD_OVERRIDE=FQ","FILING_STATUS=OR","EQY_CONSOLIDATED=Y","Sort=A","Dates=H","DateFormat=P","Fill=—","Direction=H","UseDPDF=Y")</f>
        <v>#NAME?</v>
      </c>
      <c r="BV329" s="2" t="e">
        <f ca="1">_xll.BDH($C$328,"TOTAL_CAPITAL_SEQUENTIAL_GROWTH","FQ1 2014","FQ1 2014","Currency=INR","Period=FQ","BEST_FPERIOD_OVERRIDE=FQ","FILING_STATUS=OR","EQY_CONSOLIDATED=Y","Sort=A","Dates=H","DateFormat=P","Fill=—","Direction=H","UseDPDF=Y")</f>
        <v>#NAME?</v>
      </c>
      <c r="BW329" s="2" t="e">
        <f ca="1">_xll.BDH($C$328,"BPS_SEQUENTIAL_GROWTH","FQ1 2014","FQ1 2014","Currency=INR","Period=FQ","BEST_FPERIOD_OVERRIDE=FQ","FILING_STATUS=OR","EQY_CONSOLIDATED=Y","Sort=A","Dates=H","DateFormat=P","Fill=—","Direction=H","UseDPDF=Y")</f>
        <v>#NAME?</v>
      </c>
      <c r="BX329" s="2" t="e">
        <f ca="1">_xll.BDH($C$328,"CFO_SEQUENTIAL_GROWTH","FQ1 2014","FQ1 2014","Currency=INR","Period=FQ","BEST_FPERIOD_OVERRIDE=FQ","FILING_STATUS=OR","EQY_CONSOLIDATED=Y","Sort=A","Dates=H","DateFormat=P","Fill=—","Direction=H","UseDPDF=Y")</f>
        <v>#NAME?</v>
      </c>
      <c r="BY329" s="3" t="e">
        <f ca="1">_xll.BDH($C$328,"SHORT_AND_LONG_TERM_DEBT","FQ1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329" s="3" t="e">
        <f ca="1">_xll.BDH($C$328,"BS_ST_BORROW","FQ1 2014","FQ1 2014","Currency=INR","Period=FQ","BEST_FPERIOD_OVERRIDE=FQ","FILING_STATUS=OR","EQY_CONSOLIDATED=Y","SCALING_FORMAT=MLN","Sort=A","Dates=H","DateFormat=P","Fill=—","Direction=H","UseDPDF=Y")</f>
        <v>#NAME?</v>
      </c>
      <c r="CA329" s="3" t="e">
        <f ca="1">_xll.BDH($C$328,"BS_LT_BORROW","FQ1 2014","FQ1 2014","Currency=INR","Period=FQ","BEST_FPERIOD_OVERRIDE=FQ","FILING_STATUS=OR","EQY_CONSOLIDATED=Y","SCALING_FORMAT=MLN","Sort=A","Dates=H","DateFormat=P","Fill=—","Direction=H","UseDPDF=Y")</f>
        <v>#NAME?</v>
      </c>
      <c r="CB329" s="2" t="e">
        <f ca="1">_xll.BDH($C$328,"TOT_DEBT_TO_EBITDA","FQ1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329" s="2" t="e">
        <f ca="1">_xll.BDH($C$328,"NET_DEBT_TO_EBITDA","FQ1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329" s="2" t="e">
        <f ca="1">_xll.BDH($C$328,"TOTAL_DEBT_TO_EBIT","FQ1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329" s="2" t="e">
        <f ca="1">_xll.BDH($C$328,"NET_DEBT_TO_EBIT","FQ1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329" s="2" t="e">
        <f ca="1">_xll.BDH($C$328,"EBITDA_TO_INTEREST_EXPN","FQ1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329" s="2" t="e">
        <f ca="1">_xll.BDH($C$328,"COM_EQY_TO_TOT_ASSET","FQ1 2014","FQ1 2014","Currency=INR","Period=FQ","BEST_FPERIOD_OVERRIDE=FQ","FILING_STATUS=OR","EQY_CONSOLIDATED=Y","Sort=A","Dates=H","DateFormat=P","Fill=—","Direction=H","UseDPDF=Y")</f>
        <v>#NAME?</v>
      </c>
      <c r="CH329" s="2" t="e">
        <f ca="1">_xll.BDH($C$328,"LT_DEBT_TO_TOT_EQY","FQ1 2014","FQ1 2014","Currency=INR","Period=FQ","BEST_FPERIOD_OVERRIDE=FQ","FILING_STATUS=OR","EQY_CONSOLIDATED=Y","Sort=A","Dates=H","DateFormat=P","Fill=—","Direction=H","UseDPDF=Y")</f>
        <v>#NAME?</v>
      </c>
      <c r="CI329" s="2" t="e">
        <f ca="1">_xll.BDH($C$328,"LT_DEBT_TO_TOT_CAP","FQ1 2014","FQ1 2014","Currency=INR","Period=FQ","BEST_FPERIOD_OVERRIDE=FQ","FILING_STATUS=OR","EQY_CONSOLIDATED=Y","Sort=A","Dates=H","DateFormat=P","Fill=—","Direction=H","UseDPDF=Y")</f>
        <v>#NAME?</v>
      </c>
      <c r="CJ329" s="2" t="e">
        <f ca="1">_xll.BDH($C$328,"LT_DEBT_TO_TOT_ASSET","FQ1 2014","FQ1 2014","Currency=INR","Period=FQ","BEST_FPERIOD_OVERRIDE=FQ","FILING_STATUS=OR","EQY_CONSOLIDATED=Y","Sort=A","Dates=H","DateFormat=P","Fill=—","Direction=H","UseDPDF=Y")</f>
        <v>#NAME?</v>
      </c>
      <c r="CK329" s="2" t="e">
        <f ca="1">_xll.BDH($C$328,"TOT_DEBT_TO_TOT_EQY","FQ1 2014","FQ1 2014","Currency=INR","Period=FQ","BEST_FPERIOD_OVERRIDE=FQ","FILING_STATUS=OR","EQY_CONSOLIDATED=Y","Sort=A","Dates=H","DateFormat=P","Fill=—","Direction=H","UseDPDF=Y")</f>
        <v>#NAME?</v>
      </c>
      <c r="CL329" s="2" t="e">
        <f ca="1">_xll.BDH($C$328,"TOT_DEBT_TO_TOT_CAP","FQ1 2014","FQ1 2014","Currency=INR","Period=FQ","BEST_FPERIOD_OVERRIDE=FQ","FILING_STATUS=OR","EQY_CONSOLIDATED=Y","Sort=A","Dates=H","DateFormat=P","Fill=—","Direction=H","UseDPDF=Y")</f>
        <v>#NAME?</v>
      </c>
      <c r="CM329" s="2" t="e">
        <f ca="1">_xll.BDH($C$328,"TOT_DEBT_TO_TOT_ASSET","FQ1 2014","FQ1 2014","Currency=INR","Period=FQ","BEST_FPERIOD_OVERRIDE=FQ","FILING_STATUS=OR","EQY_CONSOLIDATED=Y","Sort=A","Dates=H","DateFormat=P","Fill=—","Direction=H","UseDPDF=Y")</f>
        <v>#NAME?</v>
      </c>
      <c r="CN329" s="2" t="e">
        <f ca="1">_xll.BDH($C$328,"NET_DEBT_TO_SHRHLDR_EQTY","FQ1 2014","FQ1 2014","Currency=INR","Period=FQ","BEST_FPERIOD_OVERRIDE=FQ","FILING_STATUS=OR","EQY_CONSOLIDATED=Y","Sort=A","Dates=H","DateFormat=P","Fill=—","Direction=H","UseDPDF=Y")</f>
        <v>#NAME?</v>
      </c>
      <c r="CO329" s="2" t="e">
        <f ca="1">_xll.BDH($C$328,"NET_DEBT_%_CAPITAL","FQ1 2014","FQ1 2014","Currency=INR","Period=FQ","BEST_FPERIOD_OVERRIDE=FQ","FILING_STATUS=OR","EQY_CONSOLIDATED=Y","Sort=A","Dates=H","DateFormat=P","Fill=—","Direction=H","UseDPDF=Y")</f>
        <v>#NAME?</v>
      </c>
      <c r="CP329" s="3" t="e">
        <f ca="1">_xll.BDH($C$328,"EBITDA","FQ1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329" s="3" t="e">
        <f ca="1">_xll.BDH($C$328,"EBITDA_AFTER_CAPEX","FQ1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329" s="3" t="e">
        <f ca="1">_xll.BDH($C$328,"IS_OPER_INC","FQ1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329" s="2" t="e">
        <f ca="1">_xll.BDH($C$328,"CASH_RATIO","FQ1 2014","FQ1 2014","Currency=INR","Period=FQ","BEST_FPERIOD_OVERRIDE=FQ","FILING_STATUS=OR","EQY_CONSOLIDATED=Y","Sort=A","Dates=H","DateFormat=P","Fill=—","Direction=H","UseDPDF=Y")</f>
        <v>#NAME?</v>
      </c>
      <c r="CT329" s="2" t="e">
        <f ca="1">_xll.BDH($C$328,"CUR_RATIO","FQ1 2014","FQ1 2014","Currency=INR","Period=FQ","BEST_FPERIOD_OVERRIDE=FQ","FILING_STATUS=OR","EQY_CONSOLIDATED=Y","Sort=A","Dates=H","DateFormat=P","Fill=—","Direction=H","UseDPDF=Y")</f>
        <v>#NAME?</v>
      </c>
      <c r="CU329" s="2" t="e">
        <f ca="1">_xll.BDH($C$328,"QUICK_RATIO","FQ1 2014","FQ1 2014","Currency=INR","Period=FQ","BEST_FPERIOD_OVERRIDE=FQ","FILING_STATUS=OR","EQY_CONSOLIDATED=Y","Sort=A","Dates=H","DateFormat=P","Fill=—","Direction=H","UseDPDF=Y")</f>
        <v>#NAME?</v>
      </c>
      <c r="CV329" s="2" t="e">
        <f ca="1">_xll.BDH($C$328,"ALTMAN_Z_SCORE","FQ1 2014","FQ1 2014","Currency=INR","Period=FQ","BEST_FPERIOD_OVERRIDE=FQ","FILING_STATUS=OR","EQY_CONSOLIDATED=Y","Sort=A","Dates=H","DateFormat=P","Fill=—","Direction=H","UseDPDF=Y")</f>
        <v>#NAME?</v>
      </c>
      <c r="CW329" s="4" t="e">
        <f ca="1">_xll.BDH($C$328,"ACCT_RCV_TURN","FQ1 2014","FQ1 2014","Currency=INR","Period=FQ","BEST_FPERIOD_OVERRIDE=FQ","FILING_STATUS=OR","EQY_CONSOLIDATED=Y","FA_ADJUSTED=GAAP","Sort=A","Dates=H","DateFormat=P","Fill=—","Direction=H","UseDPDF=Y")</f>
        <v>#NAME?</v>
      </c>
      <c r="CX329" s="2" t="e">
        <f ca="1">_xll.BDH($C$328,"ACCT_RCV_DAYS","FQ1 2014","FQ1 2014","Currency=INR","Period=FQ","BEST_FPERIOD_OVERRIDE=FQ","FILING_STATUS=OR","EQY_CONSOLIDATED=Y","FA_ADJUSTED=GAAP","Sort=A","Dates=H","DateFormat=P","Fill=—","Direction=H","UseDPDF=Y")</f>
        <v>#NAME?</v>
      </c>
      <c r="CY329" s="4" t="e">
        <f ca="1">_xll.BDH($C$328,"INVENT_TURN","FQ1 2014","FQ1 2014","Currency=INR","Period=FQ","BEST_FPERIOD_OVERRIDE=FQ","FILING_STATUS=OR","EQY_CONSOLIDATED=Y","FA_ADJUSTED=GAAP","Sort=A","Dates=H","DateFormat=P","Fill=—","Direction=H","UseDPDF=Y")</f>
        <v>#NAME?</v>
      </c>
      <c r="CZ329" s="2" t="e">
        <f ca="1">_xll.BDH($C$328,"INVENT_DAYS","FQ1 2014","FQ1 2014","Currency=INR","Period=FQ","BEST_FPERIOD_OVERRIDE=FQ","FILING_STATUS=OR","EQY_CONSOLIDATED=Y","FA_ADJUSTED=GAAP","Sort=A","Dates=H","DateFormat=P","Fill=—","Direction=H","UseDPDF=Y")</f>
        <v>#NAME?</v>
      </c>
      <c r="DA329" s="4" t="e">
        <f ca="1">_xll.BDH($C$328,"ACCOUNTS_PAYABLE_TURNOVER","FQ1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329" s="2" t="e">
        <f ca="1">_xll.BDH($C$328,"ACCOUNTS_PAYABLE_TURNOVER_DAYS","FQ1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329" s="4" t="e">
        <f ca="1">_xll.BDH($C$328,"CASH_CONVERSION_CYCLE","FQ1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329" s="4" t="e">
        <f ca="1">_xll.BDH($C$328,"INV_TO_CASH_DAYS","FQ1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329" s="5" t="e">
        <f ca="1">_xll.BDH($C$328,"BS_INVENTORIES","FQ1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329" s="3" t="e">
        <f ca="1">_xll.BDH($C$328,"INVTRY_RAW_MATERIALS","FQ1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329" s="3" t="e">
        <f ca="1">_xll.BDH($C$328,"INVTRY_IN_PROGRESS","FQ1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329" s="3" t="e">
        <f ca="1">_xll.BDH($C$328,"INVTRY_FINISHED_GOODS","FQ1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329" s="3" t="e">
        <f ca="1">_xll.BDH($C$328,"BS_OTHER_INV","FQ1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330" spans="1:113" x14ac:dyDescent="0.3">
      <c r="A330" s="6"/>
      <c r="B330" s="6"/>
      <c r="C330" s="6"/>
      <c r="D330" s="6"/>
      <c r="E330" t="s">
        <v>79</v>
      </c>
      <c r="F330" t="e">
        <f ca="1">_xll.BDH($C$328,"RETURN_COM_EQY","FQ2 2014","FQ2 2014","Currency=INR","Period=FQ","BEST_FPERIOD_OVERRIDE=FQ","FILING_STATUS=OR","EQY_CONSOLIDATED=Y","FA_ADJUSTED=GAAP","Sort=A","Dates=H","DateFormat=P","Fill=—","Direction=H","UseDPDF=Y")</f>
        <v>#NAME?</v>
      </c>
      <c r="G330" t="e">
        <f ca="1">_xll.BDH($C$328,"RETURN_ON_ASSET","FQ2 2014","FQ2 2014","Currency=INR","Period=FQ","BEST_FPERIOD_OVERRIDE=FQ","FILING_STATUS=OR","EQY_CONSOLIDATED=Y","FA_ADJUSTED=GAAP","Sort=A","Dates=H","DateFormat=P","Fill=—","Direction=H","UseDPDF=Y")</f>
        <v>#NAME?</v>
      </c>
      <c r="H330" t="e">
        <f ca="1">_xll.BDH($C$328,"RETURN_ON_CAP","FQ2 2014","FQ2 2014","Currency=INR","Period=FQ","BEST_FPERIOD_OVERRIDE=FQ","FILING_STATUS=OR","EQY_CONSOLIDATED=Y","FA_ADJUSTED=GAAP","Sort=A","Dates=H","DateFormat=P","Fill=—","Direction=H","UseDPDF=Y")</f>
        <v>#NAME?</v>
      </c>
      <c r="I330" t="e">
        <f ca="1">_xll.BDH($C$328,"RETURN_ON_INV_CAPITAL","FQ2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330" t="e">
        <f ca="1">_xll.BDH($C$328,"EBITDA_TO_REVENUE","FQ2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330" t="e">
        <f ca="1">_xll.BDH($C$328,"OPER_MARGIN","FQ2 2014","FQ2 2014","Currency=INR","Period=FQ","BEST_FPERIOD_OVERRIDE=FQ","FILING_STATUS=OR","EQY_CONSOLIDATED=Y","FA_ADJUSTED=GAAP","Sort=A","Dates=H","DateFormat=P","Fill=—","Direction=H","UseDPDF=Y")</f>
        <v>#NAME?</v>
      </c>
      <c r="L330" t="e">
        <f ca="1">_xll.BDH($C$328,"INCREMENTAL_OPERATING_MARGIN","FQ2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330" t="e">
        <f ca="1">_xll.BDH($C$328,"PRETAX_INC_TO_NET_SALES","FQ2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330" t="e">
        <f ca="1">_xll.BDH($C$328,"INC_BEF_XO_ITEMS_TO_NET_SALES","FQ2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330" t="e">
        <f ca="1">_xll.BDH($C$328,"PROF_MARGIN","FQ2 2014","FQ2 2014","Currency=INR","Period=FQ","BEST_FPERIOD_OVERRIDE=FQ","FILING_STATUS=OR","EQY_CONSOLIDATED=Y","FA_ADJUSTED=GAAP","Sort=A","Dates=H","DateFormat=P","Fill=—","Direction=H","UseDPDF=Y")</f>
        <v>#NAME?</v>
      </c>
      <c r="P330" t="e">
        <f ca="1">_xll.BDH($C$328,"NET_INCOME_TO_COMMON_MARGIN","FQ2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330" t="e">
        <f ca="1">_xll.BDH($C$328,"EFF_TAX_RATE","FQ2 2014","FQ2 2014","Currency=INR","Period=FQ","BEST_FPERIOD_OVERRIDE=FQ","FILING_STATUS=OR","EQY_CONSOLIDATED=Y","FA_ADJUSTED=GAAP","Sort=A","Dates=H","DateFormat=P","Fill=—","Direction=H","UseDPDF=Y")</f>
        <v>#NAME?</v>
      </c>
      <c r="R330" t="e">
        <f ca="1">_xll.BDH($C$328,"DVD_PAYOUT_RATIO","FQ2 2014","FQ2 2014","Currency=INR","Period=FQ","BEST_FPERIOD_OVERRIDE=FQ","FILING_STATUS=OR","EQY_CONSOLIDATED=Y","FA_ADJUSTED=GAAP","Sort=A","Dates=H","DateFormat=P","Fill=—","Direction=H","UseDPDF=Y")</f>
        <v>#NAME?</v>
      </c>
      <c r="S330" t="e">
        <f ca="1">_xll.BDH($C$328,"SUSTAIN_GROWTH_RT","FQ2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330" s="2" t="e">
        <f ca="1">_xll.BDH($C$328,"SALES_GROWTH","FQ2 2014","FQ2 2014","Currency=INR","Period=FQ","BEST_FPERIOD_OVERRIDE=FQ","FILING_STATUS=OR","EQY_CONSOLIDATED=Y","FA_ADJUSTED=GAAP","Sort=A","Dates=H","DateFormat=P","Fill=—","Direction=H","UseDPDF=Y")</f>
        <v>#NAME?</v>
      </c>
      <c r="U330" s="2" t="e">
        <f ca="1">_xll.BDH($C$328,"EBITDA_GROWTH","FQ2 2014","FQ2 2014","Currency=INR","Period=FQ","BEST_FPERIOD_OVERRIDE=FQ","FILING_STATUS=OR","EQY_CONSOLIDATED=Y","FA_ADJUSTED=GAAP","Sort=A","Dates=H","DateFormat=P","Fill=—","Direction=H","UseDPDF=Y")</f>
        <v>#NAME?</v>
      </c>
      <c r="V330" s="2" t="e">
        <f ca="1">_xll.BDH($C$328,"OPER_INC_GROWTH","FQ2 2014","FQ2 2014","Currency=INR","Period=FQ","BEST_FPERIOD_OVERRIDE=FQ","FILING_STATUS=OR","EQY_CONSOLIDATED=Y","FA_ADJUSTED=GAAP","Sort=A","Dates=H","DateFormat=P","Fill=—","Direction=H","UseDPDF=Y")</f>
        <v>#NAME?</v>
      </c>
      <c r="W330" s="2" t="e">
        <f ca="1">_xll.BDH($C$328,"EARN_FOR_COM_GROWTH","FQ2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330" s="2" t="e">
        <f ca="1">_xll.BDH($C$328,"DILUTED_EPS_AFT_XO_ITEMS_GROWTH","FQ2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330" s="2" t="e">
        <f ca="1">_xll.BDH($C$328,"DIVIDEND_PER_SHARE_1_YEAR_GROWTH","FQ2 2014","FQ2 2014","Currency=INR","Period=FQ","BEST_FPERIOD_OVERRIDE=FQ","FILING_STATUS=OR","EQY_CONSOLIDATED=Y","Sort=A","Dates=H","DateFormat=P","Fill=—","Direction=H","UseDPDF=Y")</f>
        <v>#NAME?</v>
      </c>
      <c r="Z330" s="2" t="e">
        <f ca="1">_xll.BDH($C$328,"ACCOUNTS_RECEIVABLE_GROWTH","FQ2 2014","FQ2 2014","Currency=INR","Period=FQ","BEST_FPERIOD_OVERRIDE=FQ","FILING_STATUS=OR","EQY_CONSOLIDATED=Y","Sort=A","Dates=H","DateFormat=P","Fill=—","Direction=H","UseDPDF=Y")</f>
        <v>#NAME?</v>
      </c>
      <c r="AA330" s="2" t="e">
        <f ca="1">_xll.BDH($C$328,"INVENTORY_GROWTH","FQ2 2014","FQ2 2014","Currency=INR","Period=FQ","BEST_FPERIOD_OVERRIDE=FQ","FILING_STATUS=OR","EQY_CONSOLIDATED=Y","Sort=A","Dates=H","DateFormat=P","Fill=—","Direction=H","UseDPDF=Y")</f>
        <v>#NAME?</v>
      </c>
      <c r="AB330" s="2" t="e">
        <f ca="1">_xll.BDH($C$328,"NET_FIXED_ASSETS_1_YEAR_GROWTH","FQ2 2014","FQ2 2014","Currency=INR","Period=FQ","BEST_FPERIOD_OVERRIDE=FQ","FILING_STATUS=OR","EQY_CONSOLIDATED=Y","Sort=A","Dates=H","DateFormat=P","Fill=—","Direction=H","UseDPDF=Y")</f>
        <v>#NAME?</v>
      </c>
      <c r="AC330" s="2" t="e">
        <f ca="1">_xll.BDH($C$328,"ASSET_GROWTH","FQ2 2014","FQ2 2014","Currency=INR","Period=FQ","BEST_FPERIOD_OVERRIDE=FQ","FILING_STATUS=OR","EQY_CONSOLIDATED=Y","Sort=A","Dates=H","DateFormat=P","Fill=—","Direction=H","UseDPDF=Y")</f>
        <v>#NAME?</v>
      </c>
      <c r="AD330" s="2" t="e">
        <f ca="1">_xll.BDH($C$328,"MODIFIED_WORK_CAP_GROWTH","FQ2 2014","FQ2 2014","Currency=INR","Period=FQ","BEST_FPERIOD_OVERRIDE=FQ","FILING_STATUS=OR","EQY_CONSOLIDATED=Y","Sort=A","Dates=H","DateFormat=P","Fill=—","Direction=H","UseDPDF=Y")</f>
        <v>#NAME?</v>
      </c>
      <c r="AE330" s="2" t="e">
        <f ca="1">_xll.BDH($C$328,"WORK_CAP_GROWTH","FQ2 2014","FQ2 2014","Currency=INR","Period=FQ","BEST_FPERIOD_OVERRIDE=FQ","FILING_STATUS=OR","EQY_CONSOLIDATED=Y","Sort=A","Dates=H","DateFormat=P","Fill=—","Direction=H","UseDPDF=Y")</f>
        <v>#NAME?</v>
      </c>
      <c r="AF330" s="2" t="e">
        <f ca="1">_xll.BDH($C$328,"ACCOUNTS_PAYABLE_GROWTH_1YR","FQ2 2014","FQ2 2014","Currency=INR","Period=FQ","BEST_FPERIOD_OVERRIDE=FQ","FILING_STATUS=OR","EQY_CONSOLIDATED=Y","Sort=A","Dates=H","DateFormat=P","Fill=—","Direction=H","UseDPDF=Y")</f>
        <v>#NAME?</v>
      </c>
      <c r="AG330" s="2" t="e">
        <f ca="1">_xll.BDH($C$328,"SHORT_TERM_DEBT_1_YEAR_GROWTH","FQ2 2014","FQ2 2014","Currency=INR","Period=FQ","BEST_FPERIOD_OVERRIDE=FQ","FILING_STATUS=OR","EQY_CONSOLIDATED=Y","Sort=A","Dates=H","DateFormat=P","Fill=—","Direction=H","UseDPDF=Y")</f>
        <v>#NAME?</v>
      </c>
      <c r="AH330" s="2" t="e">
        <f ca="1">_xll.BDH($C$328,"TOTAL_DEBT_1_YEAR_GROWTH","FQ2 2014","FQ2 2014","Currency=INR","Period=FQ","BEST_FPERIOD_OVERRIDE=FQ","FILING_STATUS=OR","EQY_CONSOLIDATED=Y","Sort=A","Dates=H","DateFormat=P","Fill=—","Direction=H","UseDPDF=Y")</f>
        <v>#NAME?</v>
      </c>
      <c r="AI330" s="2" t="e">
        <f ca="1">_xll.BDH($C$328,"TOTAL_EQUITY_1_YEAR_GROWTH","FQ2 2014","FQ2 2014","Currency=INR","Period=FQ","BEST_FPERIOD_OVERRIDE=FQ","FILING_STATUS=OR","EQY_CONSOLIDATED=Y","Sort=A","Dates=H","DateFormat=P","Fill=—","Direction=H","UseDPDF=Y")</f>
        <v>#NAME?</v>
      </c>
      <c r="AJ330" s="2" t="e">
        <f ca="1">_xll.BDH($C$328,"GROWTH_IN_CAP","FQ2 2014","FQ2 2014","Currency=INR","Period=FQ","BEST_FPERIOD_OVERRIDE=FQ","FILING_STATUS=OR","EQY_CONSOLIDATED=Y","Sort=A","Dates=H","DateFormat=P","Fill=—","Direction=H","UseDPDF=Y")</f>
        <v>#NAME?</v>
      </c>
      <c r="AK330" s="2" t="e">
        <f ca="1">_xll.BDH($C$328,"BVPS_GROWTH","FQ2 2014","FQ2 2014","Currency=INR","Period=FQ","BEST_FPERIOD_OVERRIDE=FQ","FILING_STATUS=OR","EQY_CONSOLIDATED=Y","Sort=A","Dates=H","DateFormat=P","Fill=—","Direction=H","UseDPDF=Y")</f>
        <v>#NAME?</v>
      </c>
      <c r="AL330" s="2" t="e">
        <f ca="1">_xll.BDH($C$328,"CASH_FLOW_GROWTH","FQ2 2014","FQ2 2014","Currency=INR","Period=FQ","BEST_FPERIOD_OVERRIDE=FQ","FILING_STATUS=OR","EQY_CONSOLIDATED=Y","Sort=A","Dates=H","DateFormat=P","Fill=—","Direction=H","UseDPDF=Y")</f>
        <v>#NAME?</v>
      </c>
      <c r="AM330" s="2" t="e">
        <f ca="1">_xll.BDH($C$328,"GEO_GROW_NET_SALES","FQ2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330" s="2" t="e">
        <f ca="1">_xll.BDH($C$328,"GEO_GROW_EBITDA","FQ2 2014","FQ2 2014","Currency=INR","Period=FQ","BEST_FPERIOD_OVERRIDE=FQ","FILING_STATUS=OR","EQY_CONSOLIDATED=Y","FA_ADJUSTED=GAAP","Sort=A","Dates=H","DateFormat=P","Fill=—","Direction=H","UseDPDF=Y")</f>
        <v>#NAME?</v>
      </c>
      <c r="AO330" s="2" t="e">
        <f ca="1">_xll.BDH($C$328,"GEO_GROW_OPER_INC","FQ2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330" s="2" t="e">
        <f ca="1">_xll.BDH($C$328,"NET_INCOME_TO_COMMON_5_YR_GROWTH","FQ2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330" s="2" t="e">
        <f ca="1">_xll.BDH($C$328,"5Y_GEO_GROWTH_DILUTED_EPS","FQ2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330" s="2" t="e">
        <f ca="1">_xll.BDH($C$328,"GEO_GROW_DVD_PER_SH","FQ2 2014","FQ2 2014","Currency=INR","Period=FQ","BEST_FPERIOD_OVERRIDE=FQ","FILING_STATUS=OR","EQY_CONSOLIDATED=Y","Sort=A","Dates=H","DateFormat=P","Fill=—","Direction=H","UseDPDF=Y")</f>
        <v>#NAME?</v>
      </c>
      <c r="AS330" s="2" t="e">
        <f ca="1">_xll.BDH($C$328,"ACCOUNTS_RECEIVABLE_5_YR_GROWTH","FQ2 2014","FQ2 2014","Currency=INR","Period=FQ","BEST_FPERIOD_OVERRIDE=FQ","FILING_STATUS=OR","EQY_CONSOLIDATED=Y","Sort=A","Dates=H","DateFormat=P","Fill=—","Direction=H","UseDPDF=Y")</f>
        <v>#NAME?</v>
      </c>
      <c r="AT330" s="2" t="e">
        <f ca="1">_xll.BDH($C$328,"INVENTORY_5_YEAR_GROWTH","FQ2 2014","FQ2 2014","Currency=INR","Period=FQ","BEST_FPERIOD_OVERRIDE=FQ","FILING_STATUS=OR","EQY_CONSOLIDATED=Y","Sort=A","Dates=H","DateFormat=P","Fill=—","Direction=H","UseDPDF=Y")</f>
        <v>#NAME?</v>
      </c>
      <c r="AU330" s="2" t="e">
        <f ca="1">_xll.BDH($C$328,"NET_FIXED_ASSETS_5_YEAR_GROWTH","FQ2 2014","FQ2 2014","Currency=INR","Period=FQ","BEST_FPERIOD_OVERRIDE=FQ","FILING_STATUS=OR","EQY_CONSOLIDATED=Y","Sort=A","Dates=H","DateFormat=P","Fill=—","Direction=H","UseDPDF=Y")</f>
        <v>#NAME?</v>
      </c>
      <c r="AV330" s="2" t="e">
        <f ca="1">_xll.BDH($C$328,"GEO_GROW_TOT_ASSET","FQ2 2014","FQ2 2014","Currency=INR","Period=FQ","BEST_FPERIOD_OVERRIDE=FQ","FILING_STATUS=OR","EQY_CONSOLIDATED=Y","Sort=A","Dates=H","DateFormat=P","Fill=—","Direction=H","UseDPDF=Y")</f>
        <v>#NAME?</v>
      </c>
      <c r="AW330" s="2" t="e">
        <f ca="1">_xll.BDH($C$328,"MODIFIED_WORKING_CPTL_5YR_GRWTH","FQ2 2014","FQ2 2014","Currency=INR","Period=FQ","BEST_FPERIOD_OVERRIDE=FQ","FILING_STATUS=OR","EQY_CONSOLIDATED=Y","Sort=A","Dates=H","DateFormat=P","Fill=—","Direction=H","UseDPDF=Y")</f>
        <v>#NAME?</v>
      </c>
      <c r="AX330" s="2" t="e">
        <f ca="1">_xll.BDH($C$328,"WORKING_CAPITAL_5_YEAR_GROWTH","FQ2 2014","FQ2 2014","Currency=INR","Period=FQ","BEST_FPERIOD_OVERRIDE=FQ","FILING_STATUS=OR","EQY_CONSOLIDATED=Y","Sort=A","Dates=H","DateFormat=P","Fill=—","Direction=H","UseDPDF=Y")</f>
        <v>#NAME?</v>
      </c>
      <c r="AY330" s="2" t="e">
        <f ca="1">_xll.BDH($C$328,"ACCOUNTS_PAYABLE_5_YEAR_GROWTH","FQ2 2014","FQ2 2014","Currency=INR","Period=FQ","BEST_FPERIOD_OVERRIDE=FQ","FILING_STATUS=OR","EQY_CONSOLIDATED=Y","Sort=A","Dates=H","DateFormat=P","Fill=—","Direction=H","UseDPDF=Y")</f>
        <v>#NAME?</v>
      </c>
      <c r="AZ330" s="2" t="e">
        <f ca="1">_xll.BDH($C$328,"SHORT_TERM_DEBT_5_YEAR_GROWTH","FQ2 2014","FQ2 2014","Currency=INR","Period=FQ","BEST_FPERIOD_OVERRIDE=FQ","FILING_STATUS=OR","EQY_CONSOLIDATED=Y","Sort=A","Dates=H","DateFormat=P","Fill=—","Direction=H","UseDPDF=Y")</f>
        <v>#NAME?</v>
      </c>
      <c r="BA330" s="2" t="e">
        <f ca="1">_xll.BDH($C$328,"TOTAL_DEBT_5_YEAR_GROWTH","FQ2 2014","FQ2 2014","Currency=INR","Period=FQ","BEST_FPERIOD_OVERRIDE=FQ","FILING_STATUS=OR","EQY_CONSOLIDATED=Y","Sort=A","Dates=H","DateFormat=P","Fill=—","Direction=H","UseDPDF=Y")</f>
        <v>#NAME?</v>
      </c>
      <c r="BB330" s="2" t="e">
        <f ca="1">_xll.BDH($C$328,"GEO_GROW_TOT_SHRHLDR_EQY","FQ2 2014","FQ2 2014","Currency=INR","Period=FQ","BEST_FPERIOD_OVERRIDE=FQ","FILING_STATUS=OR","EQY_CONSOLIDATED=Y","Sort=A","Dates=H","DateFormat=P","Fill=—","Direction=H","UseDPDF=Y")</f>
        <v>#NAME?</v>
      </c>
      <c r="BC330" s="2" t="e">
        <f ca="1">_xll.BDH($C$328,"TOTAL_CAPITAL_5_YEAR_GROWTH","FQ2 2014","FQ2 2014","Currency=INR","Period=FQ","BEST_FPERIOD_OVERRIDE=FQ","FILING_STATUS=OR","EQY_CONSOLIDATED=Y","Sort=A","Dates=H","DateFormat=P","Fill=—","Direction=H","UseDPDF=Y")</f>
        <v>#NAME?</v>
      </c>
      <c r="BD330" s="2" t="e">
        <f ca="1">_xll.BDH($C$328,"GEO_GROW_BOOK_VAL","FQ2 2014","FQ2 2014","Currency=INR","Period=FQ","BEST_FPERIOD_OVERRIDE=FQ","FILING_STATUS=OR","EQY_CONSOLIDATED=Y","Sort=A","Dates=H","DateFormat=P","Fill=—","Direction=H","UseDPDF=Y")</f>
        <v>#NAME?</v>
      </c>
      <c r="BE330" s="2" t="e">
        <f ca="1">_xll.BDH($C$328,"GEO_GROW_CASH_OPER_ACT","FQ2 2014","FQ2 2014","Currency=INR","Period=FQ","BEST_FPERIOD_OVERRIDE=FQ","FILING_STATUS=OR","EQY_CONSOLIDATED=Y","Sort=A","Dates=H","DateFormat=P","Fill=—","Direction=H","UseDPDF=Y")</f>
        <v>#NAME?</v>
      </c>
      <c r="BF330" s="2" t="e">
        <f ca="1">_xll.BDH($C$328,"REVENUE_SEQUENTIAL_GROWTH","FQ2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330" s="2" t="e">
        <f ca="1">_xll.BDH($C$328,"EBITDA_SEQUENTIAL_GROWTH","FQ2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330" s="2" t="e">
        <f ca="1">_xll.BDH($C$328,"OPERATING_INCOME_SEQ_GROWTH","FQ2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330" s="2" t="e">
        <f ca="1">_xll.BDH($C$328,"NET_INCOME_TO_COMMON_SEQ_GROWTH","FQ2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330" s="2" t="e">
        <f ca="1">_xll.BDH($C$328,"EPS_DILUTED_SEQUENTIAL_GROWTH","FQ2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330" s="2" t="e">
        <f ca="1">_xll.BDH($C$328,"DPS_SEQUENTIAL_GROWTH","FQ2 2014","FQ2 2014","Currency=INR","Period=FQ","BEST_FPERIOD_OVERRIDE=FQ","FILING_STATUS=OR","EQY_CONSOLIDATED=Y","Sort=A","Dates=H","DateFormat=P","Fill=—","Direction=H","UseDPDF=Y")</f>
        <v>#NAME?</v>
      </c>
      <c r="BL330" s="2" t="e">
        <f ca="1">_xll.BDH($C$328,"ACCOUNTS_RECEIVABLE_SEQ_GROWTH","FQ2 2014","FQ2 2014","Currency=INR","Period=FQ","BEST_FPERIOD_OVERRIDE=FQ","FILING_STATUS=OR","EQY_CONSOLIDATED=Y","Sort=A","Dates=H","DateFormat=P","Fill=—","Direction=H","UseDPDF=Y")</f>
        <v>#NAME?</v>
      </c>
      <c r="BM330" s="2" t="e">
        <f ca="1">_xll.BDH($C$328,"INVENTORY_SEQUENTIAL_GROWTH","FQ2 2014","FQ2 2014","Currency=INR","Period=FQ","BEST_FPERIOD_OVERRIDE=FQ","FILING_STATUS=OR","EQY_CONSOLIDATED=Y","Sort=A","Dates=H","DateFormat=P","Fill=—","Direction=H","UseDPDF=Y")</f>
        <v>#NAME?</v>
      </c>
      <c r="BN330" s="2" t="e">
        <f ca="1">_xll.BDH($C$328,"FIXED_ASSETS_SEQUENTIAL_GROWTH","FQ2 2014","FQ2 2014","Currency=INR","Period=FQ","BEST_FPERIOD_OVERRIDE=FQ","FILING_STATUS=OR","EQY_CONSOLIDATED=Y","Sort=A","Dates=H","DateFormat=P","Fill=—","Direction=H","UseDPDF=Y")</f>
        <v>#NAME?</v>
      </c>
      <c r="BO330" s="2" t="e">
        <f ca="1">_xll.BDH($C$328,"TOTAL_ASSETS_SEQUENTIAL_GROWTH","FQ2 2014","FQ2 2014","Currency=INR","Period=FQ","BEST_FPERIOD_OVERRIDE=FQ","FILING_STATUS=OR","EQY_CONSOLIDATED=Y","Sort=A","Dates=H","DateFormat=P","Fill=—","Direction=H","UseDPDF=Y")</f>
        <v>#NAME?</v>
      </c>
      <c r="BP330" s="2" t="e">
        <f ca="1">_xll.BDH($C$328,"MODIFIED_WORKING_CPTL_SEQ_GRWTH","FQ2 2014","FQ2 2014","Currency=INR","Period=FQ","BEST_FPERIOD_OVERRIDE=FQ","FILING_STATUS=OR","EQY_CONSOLIDATED=Y","Sort=A","Dates=H","DateFormat=P","Fill=—","Direction=H","UseDPDF=Y")</f>
        <v>#NAME?</v>
      </c>
      <c r="BQ330" s="2" t="e">
        <f ca="1">_xll.BDH($C$328,"WORKING_CAPITAL_SEQ_GROWTH","FQ2 2014","FQ2 2014","Currency=INR","Period=FQ","BEST_FPERIOD_OVERRIDE=FQ","FILING_STATUS=OR","EQY_CONSOLIDATED=Y","Sort=A","Dates=H","DateFormat=P","Fill=—","Direction=H","UseDPDF=Y")</f>
        <v>#NAME?</v>
      </c>
      <c r="BR330" s="2" t="e">
        <f ca="1">_xll.BDH($C$328,"ACCOUNTS_PAYABLE_SEQ_GROWTH","FQ2 2014","FQ2 2014","Currency=INR","Period=FQ","BEST_FPERIOD_OVERRIDE=FQ","FILING_STATUS=OR","EQY_CONSOLIDATED=Y","Sort=A","Dates=H","DateFormat=P","Fill=—","Direction=H","UseDPDF=Y")</f>
        <v>#NAME?</v>
      </c>
      <c r="BS330" s="2" t="e">
        <f ca="1">_xll.BDH($C$328,"ST_DEBT_SEQUENTIAL_GROWTH","FQ2 2014","FQ2 2014","Currency=INR","Period=FQ","BEST_FPERIOD_OVERRIDE=FQ","FILING_STATUS=OR","EQY_CONSOLIDATED=Y","Sort=A","Dates=H","DateFormat=P","Fill=—","Direction=H","UseDPDF=Y")</f>
        <v>#NAME?</v>
      </c>
      <c r="BT330" s="2" t="e">
        <f ca="1">_xll.BDH($C$328,"TOTAL_DEBT_SEQUENTIAL_GROWTH","FQ2 2014","FQ2 2014","Currency=INR","Period=FQ","BEST_FPERIOD_OVERRIDE=FQ","FILING_STATUS=OR","EQY_CONSOLIDATED=Y","Sort=A","Dates=H","DateFormat=P","Fill=—","Direction=H","UseDPDF=Y")</f>
        <v>#NAME?</v>
      </c>
      <c r="BU330" s="2" t="e">
        <f ca="1">_xll.BDH($C$328,"TOTAL_EQUITY_SEQUENTIAL_GROWTH","FQ2 2014","FQ2 2014","Currency=INR","Period=FQ","BEST_FPERIOD_OVERRIDE=FQ","FILING_STATUS=OR","EQY_CONSOLIDATED=Y","Sort=A","Dates=H","DateFormat=P","Fill=—","Direction=H","UseDPDF=Y")</f>
        <v>#NAME?</v>
      </c>
      <c r="BV330" s="2" t="e">
        <f ca="1">_xll.BDH($C$328,"TOTAL_CAPITAL_SEQUENTIAL_GROWTH","FQ2 2014","FQ2 2014","Currency=INR","Period=FQ","BEST_FPERIOD_OVERRIDE=FQ","FILING_STATUS=OR","EQY_CONSOLIDATED=Y","Sort=A","Dates=H","DateFormat=P","Fill=—","Direction=H","UseDPDF=Y")</f>
        <v>#NAME?</v>
      </c>
      <c r="BW330" s="2" t="e">
        <f ca="1">_xll.BDH($C$328,"BPS_SEQUENTIAL_GROWTH","FQ2 2014","FQ2 2014","Currency=INR","Period=FQ","BEST_FPERIOD_OVERRIDE=FQ","FILING_STATUS=OR","EQY_CONSOLIDATED=Y","Sort=A","Dates=H","DateFormat=P","Fill=—","Direction=H","UseDPDF=Y")</f>
        <v>#NAME?</v>
      </c>
      <c r="BX330" s="2" t="e">
        <f ca="1">_xll.BDH($C$328,"CFO_SEQUENTIAL_GROWTH","FQ2 2014","FQ2 2014","Currency=INR","Period=FQ","BEST_FPERIOD_OVERRIDE=FQ","FILING_STATUS=OR","EQY_CONSOLIDATED=Y","Sort=A","Dates=H","DateFormat=P","Fill=—","Direction=H","UseDPDF=Y")</f>
        <v>#NAME?</v>
      </c>
      <c r="BY330" s="3" t="e">
        <f ca="1">_xll.BDH($C$328,"SHORT_AND_LONG_TERM_DEBT","FQ2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330" s="3" t="e">
        <f ca="1">_xll.BDH($C$328,"BS_ST_BORROW","FQ2 2014","FQ2 2014","Currency=INR","Period=FQ","BEST_FPERIOD_OVERRIDE=FQ","FILING_STATUS=OR","EQY_CONSOLIDATED=Y","SCALING_FORMAT=MLN","Sort=A","Dates=H","DateFormat=P","Fill=—","Direction=H","UseDPDF=Y")</f>
        <v>#NAME?</v>
      </c>
      <c r="CA330" s="3" t="e">
        <f ca="1">_xll.BDH($C$328,"BS_LT_BORROW","FQ2 2014","FQ2 2014","Currency=INR","Period=FQ","BEST_FPERIOD_OVERRIDE=FQ","FILING_STATUS=OR","EQY_CONSOLIDATED=Y","SCALING_FORMAT=MLN","Sort=A","Dates=H","DateFormat=P","Fill=—","Direction=H","UseDPDF=Y")</f>
        <v>#NAME?</v>
      </c>
      <c r="CB330" s="2" t="e">
        <f ca="1">_xll.BDH($C$328,"TOT_DEBT_TO_EBITDA","FQ2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330" s="2" t="e">
        <f ca="1">_xll.BDH($C$328,"NET_DEBT_TO_EBITDA","FQ2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330" s="2" t="e">
        <f ca="1">_xll.BDH($C$328,"TOTAL_DEBT_TO_EBIT","FQ2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330" s="2" t="e">
        <f ca="1">_xll.BDH($C$328,"NET_DEBT_TO_EBIT","FQ2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330" s="2" t="e">
        <f ca="1">_xll.BDH($C$328,"EBITDA_TO_INTEREST_EXPN","FQ2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330" s="2" t="e">
        <f ca="1">_xll.BDH($C$328,"COM_EQY_TO_TOT_ASSET","FQ2 2014","FQ2 2014","Currency=INR","Period=FQ","BEST_FPERIOD_OVERRIDE=FQ","FILING_STATUS=OR","EQY_CONSOLIDATED=Y","Sort=A","Dates=H","DateFormat=P","Fill=—","Direction=H","UseDPDF=Y")</f>
        <v>#NAME?</v>
      </c>
      <c r="CH330" s="2" t="e">
        <f ca="1">_xll.BDH($C$328,"LT_DEBT_TO_TOT_EQY","FQ2 2014","FQ2 2014","Currency=INR","Period=FQ","BEST_FPERIOD_OVERRIDE=FQ","FILING_STATUS=OR","EQY_CONSOLIDATED=Y","Sort=A","Dates=H","DateFormat=P","Fill=—","Direction=H","UseDPDF=Y")</f>
        <v>#NAME?</v>
      </c>
      <c r="CI330" s="2" t="e">
        <f ca="1">_xll.BDH($C$328,"LT_DEBT_TO_TOT_CAP","FQ2 2014","FQ2 2014","Currency=INR","Period=FQ","BEST_FPERIOD_OVERRIDE=FQ","FILING_STATUS=OR","EQY_CONSOLIDATED=Y","Sort=A","Dates=H","DateFormat=P","Fill=—","Direction=H","UseDPDF=Y")</f>
        <v>#NAME?</v>
      </c>
      <c r="CJ330" s="2" t="e">
        <f ca="1">_xll.BDH($C$328,"LT_DEBT_TO_TOT_ASSET","FQ2 2014","FQ2 2014","Currency=INR","Period=FQ","BEST_FPERIOD_OVERRIDE=FQ","FILING_STATUS=OR","EQY_CONSOLIDATED=Y","Sort=A","Dates=H","DateFormat=P","Fill=—","Direction=H","UseDPDF=Y")</f>
        <v>#NAME?</v>
      </c>
      <c r="CK330" s="2" t="e">
        <f ca="1">_xll.BDH($C$328,"TOT_DEBT_TO_TOT_EQY","FQ2 2014","FQ2 2014","Currency=INR","Period=FQ","BEST_FPERIOD_OVERRIDE=FQ","FILING_STATUS=OR","EQY_CONSOLIDATED=Y","Sort=A","Dates=H","DateFormat=P","Fill=—","Direction=H","UseDPDF=Y")</f>
        <v>#NAME?</v>
      </c>
      <c r="CL330" s="2" t="e">
        <f ca="1">_xll.BDH($C$328,"TOT_DEBT_TO_TOT_CAP","FQ2 2014","FQ2 2014","Currency=INR","Period=FQ","BEST_FPERIOD_OVERRIDE=FQ","FILING_STATUS=OR","EQY_CONSOLIDATED=Y","Sort=A","Dates=H","DateFormat=P","Fill=—","Direction=H","UseDPDF=Y")</f>
        <v>#NAME?</v>
      </c>
      <c r="CM330" s="2" t="e">
        <f ca="1">_xll.BDH($C$328,"TOT_DEBT_TO_TOT_ASSET","FQ2 2014","FQ2 2014","Currency=INR","Period=FQ","BEST_FPERIOD_OVERRIDE=FQ","FILING_STATUS=OR","EQY_CONSOLIDATED=Y","Sort=A","Dates=H","DateFormat=P","Fill=—","Direction=H","UseDPDF=Y")</f>
        <v>#NAME?</v>
      </c>
      <c r="CN330" s="2" t="e">
        <f ca="1">_xll.BDH($C$328,"NET_DEBT_TO_SHRHLDR_EQTY","FQ2 2014","FQ2 2014","Currency=INR","Period=FQ","BEST_FPERIOD_OVERRIDE=FQ","FILING_STATUS=OR","EQY_CONSOLIDATED=Y","Sort=A","Dates=H","DateFormat=P","Fill=—","Direction=H","UseDPDF=Y")</f>
        <v>#NAME?</v>
      </c>
      <c r="CO330" s="2" t="e">
        <f ca="1">_xll.BDH($C$328,"NET_DEBT_%_CAPITAL","FQ2 2014","FQ2 2014","Currency=INR","Period=FQ","BEST_FPERIOD_OVERRIDE=FQ","FILING_STATUS=OR","EQY_CONSOLIDATED=Y","Sort=A","Dates=H","DateFormat=P","Fill=—","Direction=H","UseDPDF=Y")</f>
        <v>#NAME?</v>
      </c>
      <c r="CP330" s="3" t="e">
        <f ca="1">_xll.BDH($C$328,"EBITDA","FQ2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330" s="3" t="e">
        <f ca="1">_xll.BDH($C$328,"EBITDA_AFTER_CAPEX","FQ2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330" s="3" t="e">
        <f ca="1">_xll.BDH($C$328,"IS_OPER_INC","FQ2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330" s="2" t="e">
        <f ca="1">_xll.BDH($C$328,"CASH_RATIO","FQ2 2014","FQ2 2014","Currency=INR","Period=FQ","BEST_FPERIOD_OVERRIDE=FQ","FILING_STATUS=OR","EQY_CONSOLIDATED=Y","Sort=A","Dates=H","DateFormat=P","Fill=—","Direction=H","UseDPDF=Y")</f>
        <v>#NAME?</v>
      </c>
      <c r="CT330" s="2" t="e">
        <f ca="1">_xll.BDH($C$328,"CUR_RATIO","FQ2 2014","FQ2 2014","Currency=INR","Period=FQ","BEST_FPERIOD_OVERRIDE=FQ","FILING_STATUS=OR","EQY_CONSOLIDATED=Y","Sort=A","Dates=H","DateFormat=P","Fill=—","Direction=H","UseDPDF=Y")</f>
        <v>#NAME?</v>
      </c>
      <c r="CU330" s="2" t="e">
        <f ca="1">_xll.BDH($C$328,"QUICK_RATIO","FQ2 2014","FQ2 2014","Currency=INR","Period=FQ","BEST_FPERIOD_OVERRIDE=FQ","FILING_STATUS=OR","EQY_CONSOLIDATED=Y","Sort=A","Dates=H","DateFormat=P","Fill=—","Direction=H","UseDPDF=Y")</f>
        <v>#NAME?</v>
      </c>
      <c r="CV330" s="2" t="e">
        <f ca="1">_xll.BDH($C$328,"ALTMAN_Z_SCORE","FQ2 2014","FQ2 2014","Currency=INR","Period=FQ","BEST_FPERIOD_OVERRIDE=FQ","FILING_STATUS=OR","EQY_CONSOLIDATED=Y","Sort=A","Dates=H","DateFormat=P","Fill=—","Direction=H","UseDPDF=Y")</f>
        <v>#NAME?</v>
      </c>
      <c r="CW330" s="4" t="e">
        <f ca="1">_xll.BDH($C$328,"ACCT_RCV_TURN","FQ2 2014","FQ2 2014","Currency=INR","Period=FQ","BEST_FPERIOD_OVERRIDE=FQ","FILING_STATUS=OR","EQY_CONSOLIDATED=Y","FA_ADJUSTED=GAAP","Sort=A","Dates=H","DateFormat=P","Fill=—","Direction=H","UseDPDF=Y")</f>
        <v>#NAME?</v>
      </c>
      <c r="CX330" s="2" t="e">
        <f ca="1">_xll.BDH($C$328,"ACCT_RCV_DAYS","FQ2 2014","FQ2 2014","Currency=INR","Period=FQ","BEST_FPERIOD_OVERRIDE=FQ","FILING_STATUS=OR","EQY_CONSOLIDATED=Y","FA_ADJUSTED=GAAP","Sort=A","Dates=H","DateFormat=P","Fill=—","Direction=H","UseDPDF=Y")</f>
        <v>#NAME?</v>
      </c>
      <c r="CY330" s="4" t="e">
        <f ca="1">_xll.BDH($C$328,"INVENT_TURN","FQ2 2014","FQ2 2014","Currency=INR","Period=FQ","BEST_FPERIOD_OVERRIDE=FQ","FILING_STATUS=OR","EQY_CONSOLIDATED=Y","FA_ADJUSTED=GAAP","Sort=A","Dates=H","DateFormat=P","Fill=—","Direction=H","UseDPDF=Y")</f>
        <v>#NAME?</v>
      </c>
      <c r="CZ330" s="2" t="e">
        <f ca="1">_xll.BDH($C$328,"INVENT_DAYS","FQ2 2014","FQ2 2014","Currency=INR","Period=FQ","BEST_FPERIOD_OVERRIDE=FQ","FILING_STATUS=OR","EQY_CONSOLIDATED=Y","FA_ADJUSTED=GAAP","Sort=A","Dates=H","DateFormat=P","Fill=—","Direction=H","UseDPDF=Y")</f>
        <v>#NAME?</v>
      </c>
      <c r="DA330" s="4" t="e">
        <f ca="1">_xll.BDH($C$328,"ACCOUNTS_PAYABLE_TURNOVER","FQ2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330" s="2" t="e">
        <f ca="1">_xll.BDH($C$328,"ACCOUNTS_PAYABLE_TURNOVER_DAYS","FQ2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330" s="4" t="e">
        <f ca="1">_xll.BDH($C$328,"CASH_CONVERSION_CYCLE","FQ2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330" s="4" t="e">
        <f ca="1">_xll.BDH($C$328,"INV_TO_CASH_DAYS","FQ2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330" s="5" t="e">
        <f ca="1">_xll.BDH($C$328,"BS_INVENTORIES","FQ2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330" s="3" t="e">
        <f ca="1">_xll.BDH($C$328,"INVTRY_RAW_MATERIALS","FQ2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330" s="3" t="e">
        <f ca="1">_xll.BDH($C$328,"INVTRY_IN_PROGRESS","FQ2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330" s="3" t="e">
        <f ca="1">_xll.BDH($C$328,"INVTRY_FINISHED_GOODS","FQ2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330" s="3" t="e">
        <f ca="1">_xll.BDH($C$328,"BS_OTHER_INV","FQ2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331" spans="1:113" x14ac:dyDescent="0.3">
      <c r="A331" s="6"/>
      <c r="B331" s="6"/>
      <c r="C331" s="6"/>
      <c r="D331" s="6"/>
      <c r="E331" t="s">
        <v>80</v>
      </c>
      <c r="F331" t="e">
        <f ca="1">_xll.BDH($C$328,"RETURN_COM_EQY","FQ3 2014","FQ3 2014","Currency=INR","Period=FQ","BEST_FPERIOD_OVERRIDE=FQ","FILING_STATUS=OR","EQY_CONSOLIDATED=Y","FA_ADJUSTED=GAAP","Sort=A","Dates=H","DateFormat=P","Fill=—","Direction=H","UseDPDF=Y")</f>
        <v>#NAME?</v>
      </c>
      <c r="G331" t="e">
        <f ca="1">_xll.BDH($C$328,"RETURN_ON_ASSET","FQ3 2014","FQ3 2014","Currency=INR","Period=FQ","BEST_FPERIOD_OVERRIDE=FQ","FILING_STATUS=OR","EQY_CONSOLIDATED=Y","FA_ADJUSTED=GAAP","Sort=A","Dates=H","DateFormat=P","Fill=—","Direction=H","UseDPDF=Y")</f>
        <v>#NAME?</v>
      </c>
      <c r="H331" t="e">
        <f ca="1">_xll.BDH($C$328,"RETURN_ON_CAP","FQ3 2014","FQ3 2014","Currency=INR","Period=FQ","BEST_FPERIOD_OVERRIDE=FQ","FILING_STATUS=OR","EQY_CONSOLIDATED=Y","FA_ADJUSTED=GAAP","Sort=A","Dates=H","DateFormat=P","Fill=—","Direction=H","UseDPDF=Y")</f>
        <v>#NAME?</v>
      </c>
      <c r="I331" t="e">
        <f ca="1">_xll.BDH($C$328,"RETURN_ON_INV_CAPITAL","FQ3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331" t="e">
        <f ca="1">_xll.BDH($C$328,"EBITDA_TO_REVENUE","FQ3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331" t="e">
        <f ca="1">_xll.BDH($C$328,"OPER_MARGIN","FQ3 2014","FQ3 2014","Currency=INR","Period=FQ","BEST_FPERIOD_OVERRIDE=FQ","FILING_STATUS=OR","EQY_CONSOLIDATED=Y","FA_ADJUSTED=GAAP","Sort=A","Dates=H","DateFormat=P","Fill=—","Direction=H","UseDPDF=Y")</f>
        <v>#NAME?</v>
      </c>
      <c r="L331" t="e">
        <f ca="1">_xll.BDH($C$328,"INCREMENTAL_OPERATING_MARGIN","FQ3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331" t="e">
        <f ca="1">_xll.BDH($C$328,"PRETAX_INC_TO_NET_SALES","FQ3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331" t="e">
        <f ca="1">_xll.BDH($C$328,"INC_BEF_XO_ITEMS_TO_NET_SALES","FQ3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331" t="e">
        <f ca="1">_xll.BDH($C$328,"PROF_MARGIN","FQ3 2014","FQ3 2014","Currency=INR","Period=FQ","BEST_FPERIOD_OVERRIDE=FQ","FILING_STATUS=OR","EQY_CONSOLIDATED=Y","FA_ADJUSTED=GAAP","Sort=A","Dates=H","DateFormat=P","Fill=—","Direction=H","UseDPDF=Y")</f>
        <v>#NAME?</v>
      </c>
      <c r="P331" t="e">
        <f ca="1">_xll.BDH($C$328,"NET_INCOME_TO_COMMON_MARGIN","FQ3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331" t="e">
        <f ca="1">_xll.BDH($C$328,"EFF_TAX_RATE","FQ3 2014","FQ3 2014","Currency=INR","Period=FQ","BEST_FPERIOD_OVERRIDE=FQ","FILING_STATUS=OR","EQY_CONSOLIDATED=Y","FA_ADJUSTED=GAAP","Sort=A","Dates=H","DateFormat=P","Fill=—","Direction=H","UseDPDF=Y")</f>
        <v>#NAME?</v>
      </c>
      <c r="R331" t="e">
        <f ca="1">_xll.BDH($C$328,"DVD_PAYOUT_RATIO","FQ3 2014","FQ3 2014","Currency=INR","Period=FQ","BEST_FPERIOD_OVERRIDE=FQ","FILING_STATUS=OR","EQY_CONSOLIDATED=Y","FA_ADJUSTED=GAAP","Sort=A","Dates=H","DateFormat=P","Fill=—","Direction=H","UseDPDF=Y")</f>
        <v>#NAME?</v>
      </c>
      <c r="S331" t="e">
        <f ca="1">_xll.BDH($C$328,"SUSTAIN_GROWTH_RT","FQ3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331" s="2" t="e">
        <f ca="1">_xll.BDH($C$328,"SALES_GROWTH","FQ3 2014","FQ3 2014","Currency=INR","Period=FQ","BEST_FPERIOD_OVERRIDE=FQ","FILING_STATUS=OR","EQY_CONSOLIDATED=Y","FA_ADJUSTED=GAAP","Sort=A","Dates=H","DateFormat=P","Fill=—","Direction=H","UseDPDF=Y")</f>
        <v>#NAME?</v>
      </c>
      <c r="U331" s="2" t="e">
        <f ca="1">_xll.BDH($C$328,"EBITDA_GROWTH","FQ3 2014","FQ3 2014","Currency=INR","Period=FQ","BEST_FPERIOD_OVERRIDE=FQ","FILING_STATUS=OR","EQY_CONSOLIDATED=Y","FA_ADJUSTED=GAAP","Sort=A","Dates=H","DateFormat=P","Fill=—","Direction=H","UseDPDF=Y")</f>
        <v>#NAME?</v>
      </c>
      <c r="V331" s="2" t="e">
        <f ca="1">_xll.BDH($C$328,"OPER_INC_GROWTH","FQ3 2014","FQ3 2014","Currency=INR","Period=FQ","BEST_FPERIOD_OVERRIDE=FQ","FILING_STATUS=OR","EQY_CONSOLIDATED=Y","FA_ADJUSTED=GAAP","Sort=A","Dates=H","DateFormat=P","Fill=—","Direction=H","UseDPDF=Y")</f>
        <v>#NAME?</v>
      </c>
      <c r="W331" s="2" t="e">
        <f ca="1">_xll.BDH($C$328,"EARN_FOR_COM_GROWTH","FQ3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331" s="2" t="e">
        <f ca="1">_xll.BDH($C$328,"DILUTED_EPS_AFT_XO_ITEMS_GROWTH","FQ3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331" s="2" t="e">
        <f ca="1">_xll.BDH($C$328,"DIVIDEND_PER_SHARE_1_YEAR_GROWTH","FQ3 2014","FQ3 2014","Currency=INR","Period=FQ","BEST_FPERIOD_OVERRIDE=FQ","FILING_STATUS=OR","EQY_CONSOLIDATED=Y","Sort=A","Dates=H","DateFormat=P","Fill=—","Direction=H","UseDPDF=Y")</f>
        <v>#NAME?</v>
      </c>
      <c r="Z331" s="2" t="e">
        <f ca="1">_xll.BDH($C$328,"ACCOUNTS_RECEIVABLE_GROWTH","FQ3 2014","FQ3 2014","Currency=INR","Period=FQ","BEST_FPERIOD_OVERRIDE=FQ","FILING_STATUS=OR","EQY_CONSOLIDATED=Y","Sort=A","Dates=H","DateFormat=P","Fill=—","Direction=H","UseDPDF=Y")</f>
        <v>#NAME?</v>
      </c>
      <c r="AA331" s="2" t="e">
        <f ca="1">_xll.BDH($C$328,"INVENTORY_GROWTH","FQ3 2014","FQ3 2014","Currency=INR","Period=FQ","BEST_FPERIOD_OVERRIDE=FQ","FILING_STATUS=OR","EQY_CONSOLIDATED=Y","Sort=A","Dates=H","DateFormat=P","Fill=—","Direction=H","UseDPDF=Y")</f>
        <v>#NAME?</v>
      </c>
      <c r="AB331" s="2" t="e">
        <f ca="1">_xll.BDH($C$328,"NET_FIXED_ASSETS_1_YEAR_GROWTH","FQ3 2014","FQ3 2014","Currency=INR","Period=FQ","BEST_FPERIOD_OVERRIDE=FQ","FILING_STATUS=OR","EQY_CONSOLIDATED=Y","Sort=A","Dates=H","DateFormat=P","Fill=—","Direction=H","UseDPDF=Y")</f>
        <v>#NAME?</v>
      </c>
      <c r="AC331" s="2" t="e">
        <f ca="1">_xll.BDH($C$328,"ASSET_GROWTH","FQ3 2014","FQ3 2014","Currency=INR","Period=FQ","BEST_FPERIOD_OVERRIDE=FQ","FILING_STATUS=OR","EQY_CONSOLIDATED=Y","Sort=A","Dates=H","DateFormat=P","Fill=—","Direction=H","UseDPDF=Y")</f>
        <v>#NAME?</v>
      </c>
      <c r="AD331" s="2" t="e">
        <f ca="1">_xll.BDH($C$328,"MODIFIED_WORK_CAP_GROWTH","FQ3 2014","FQ3 2014","Currency=INR","Period=FQ","BEST_FPERIOD_OVERRIDE=FQ","FILING_STATUS=OR","EQY_CONSOLIDATED=Y","Sort=A","Dates=H","DateFormat=P","Fill=—","Direction=H","UseDPDF=Y")</f>
        <v>#NAME?</v>
      </c>
      <c r="AE331" s="2" t="e">
        <f ca="1">_xll.BDH($C$328,"WORK_CAP_GROWTH","FQ3 2014","FQ3 2014","Currency=INR","Period=FQ","BEST_FPERIOD_OVERRIDE=FQ","FILING_STATUS=OR","EQY_CONSOLIDATED=Y","Sort=A","Dates=H","DateFormat=P","Fill=—","Direction=H","UseDPDF=Y")</f>
        <v>#NAME?</v>
      </c>
      <c r="AF331" s="2" t="e">
        <f ca="1">_xll.BDH($C$328,"ACCOUNTS_PAYABLE_GROWTH_1YR","FQ3 2014","FQ3 2014","Currency=INR","Period=FQ","BEST_FPERIOD_OVERRIDE=FQ","FILING_STATUS=OR","EQY_CONSOLIDATED=Y","Sort=A","Dates=H","DateFormat=P","Fill=—","Direction=H","UseDPDF=Y")</f>
        <v>#NAME?</v>
      </c>
      <c r="AG331" s="2" t="e">
        <f ca="1">_xll.BDH($C$328,"SHORT_TERM_DEBT_1_YEAR_GROWTH","FQ3 2014","FQ3 2014","Currency=INR","Period=FQ","BEST_FPERIOD_OVERRIDE=FQ","FILING_STATUS=OR","EQY_CONSOLIDATED=Y","Sort=A","Dates=H","DateFormat=P","Fill=—","Direction=H","UseDPDF=Y")</f>
        <v>#NAME?</v>
      </c>
      <c r="AH331" s="2" t="e">
        <f ca="1">_xll.BDH($C$328,"TOTAL_DEBT_1_YEAR_GROWTH","FQ3 2014","FQ3 2014","Currency=INR","Period=FQ","BEST_FPERIOD_OVERRIDE=FQ","FILING_STATUS=OR","EQY_CONSOLIDATED=Y","Sort=A","Dates=H","DateFormat=P","Fill=—","Direction=H","UseDPDF=Y")</f>
        <v>#NAME?</v>
      </c>
      <c r="AI331" s="2" t="e">
        <f ca="1">_xll.BDH($C$328,"TOTAL_EQUITY_1_YEAR_GROWTH","FQ3 2014","FQ3 2014","Currency=INR","Period=FQ","BEST_FPERIOD_OVERRIDE=FQ","FILING_STATUS=OR","EQY_CONSOLIDATED=Y","Sort=A","Dates=H","DateFormat=P","Fill=—","Direction=H","UseDPDF=Y")</f>
        <v>#NAME?</v>
      </c>
      <c r="AJ331" s="2" t="e">
        <f ca="1">_xll.BDH($C$328,"GROWTH_IN_CAP","FQ3 2014","FQ3 2014","Currency=INR","Period=FQ","BEST_FPERIOD_OVERRIDE=FQ","FILING_STATUS=OR","EQY_CONSOLIDATED=Y","Sort=A","Dates=H","DateFormat=P","Fill=—","Direction=H","UseDPDF=Y")</f>
        <v>#NAME?</v>
      </c>
      <c r="AK331" s="2" t="e">
        <f ca="1">_xll.BDH($C$328,"BVPS_GROWTH","FQ3 2014","FQ3 2014","Currency=INR","Period=FQ","BEST_FPERIOD_OVERRIDE=FQ","FILING_STATUS=OR","EQY_CONSOLIDATED=Y","Sort=A","Dates=H","DateFormat=P","Fill=—","Direction=H","UseDPDF=Y")</f>
        <v>#NAME?</v>
      </c>
      <c r="AL331" s="2" t="e">
        <f ca="1">_xll.BDH($C$328,"CASH_FLOW_GROWTH","FQ3 2014","FQ3 2014","Currency=INR","Period=FQ","BEST_FPERIOD_OVERRIDE=FQ","FILING_STATUS=OR","EQY_CONSOLIDATED=Y","Sort=A","Dates=H","DateFormat=P","Fill=—","Direction=H","UseDPDF=Y")</f>
        <v>#NAME?</v>
      </c>
      <c r="AM331" s="2" t="e">
        <f ca="1">_xll.BDH($C$328,"GEO_GROW_NET_SALES","FQ3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331" s="2" t="e">
        <f ca="1">_xll.BDH($C$328,"GEO_GROW_EBITDA","FQ3 2014","FQ3 2014","Currency=INR","Period=FQ","BEST_FPERIOD_OVERRIDE=FQ","FILING_STATUS=OR","EQY_CONSOLIDATED=Y","FA_ADJUSTED=GAAP","Sort=A","Dates=H","DateFormat=P","Fill=—","Direction=H","UseDPDF=Y")</f>
        <v>#NAME?</v>
      </c>
      <c r="AO331" s="2" t="e">
        <f ca="1">_xll.BDH($C$328,"GEO_GROW_OPER_INC","FQ3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331" s="2" t="e">
        <f ca="1">_xll.BDH($C$328,"NET_INCOME_TO_COMMON_5_YR_GROWTH","FQ3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331" s="2" t="e">
        <f ca="1">_xll.BDH($C$328,"5Y_GEO_GROWTH_DILUTED_EPS","FQ3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331" s="2" t="e">
        <f ca="1">_xll.BDH($C$328,"GEO_GROW_DVD_PER_SH","FQ3 2014","FQ3 2014","Currency=INR","Period=FQ","BEST_FPERIOD_OVERRIDE=FQ","FILING_STATUS=OR","EQY_CONSOLIDATED=Y","Sort=A","Dates=H","DateFormat=P","Fill=—","Direction=H","UseDPDF=Y")</f>
        <v>#NAME?</v>
      </c>
      <c r="AS331" s="2" t="e">
        <f ca="1">_xll.BDH($C$328,"ACCOUNTS_RECEIVABLE_5_YR_GROWTH","FQ3 2014","FQ3 2014","Currency=INR","Period=FQ","BEST_FPERIOD_OVERRIDE=FQ","FILING_STATUS=OR","EQY_CONSOLIDATED=Y","Sort=A","Dates=H","DateFormat=P","Fill=—","Direction=H","UseDPDF=Y")</f>
        <v>#NAME?</v>
      </c>
      <c r="AT331" s="2" t="e">
        <f ca="1">_xll.BDH($C$328,"INVENTORY_5_YEAR_GROWTH","FQ3 2014","FQ3 2014","Currency=INR","Period=FQ","BEST_FPERIOD_OVERRIDE=FQ","FILING_STATUS=OR","EQY_CONSOLIDATED=Y","Sort=A","Dates=H","DateFormat=P","Fill=—","Direction=H","UseDPDF=Y")</f>
        <v>#NAME?</v>
      </c>
      <c r="AU331" s="2" t="e">
        <f ca="1">_xll.BDH($C$328,"NET_FIXED_ASSETS_5_YEAR_GROWTH","FQ3 2014","FQ3 2014","Currency=INR","Period=FQ","BEST_FPERIOD_OVERRIDE=FQ","FILING_STATUS=OR","EQY_CONSOLIDATED=Y","Sort=A","Dates=H","DateFormat=P","Fill=—","Direction=H","UseDPDF=Y")</f>
        <v>#NAME?</v>
      </c>
      <c r="AV331" s="2" t="e">
        <f ca="1">_xll.BDH($C$328,"GEO_GROW_TOT_ASSET","FQ3 2014","FQ3 2014","Currency=INR","Period=FQ","BEST_FPERIOD_OVERRIDE=FQ","FILING_STATUS=OR","EQY_CONSOLIDATED=Y","Sort=A","Dates=H","DateFormat=P","Fill=—","Direction=H","UseDPDF=Y")</f>
        <v>#NAME?</v>
      </c>
      <c r="AW331" s="2" t="e">
        <f ca="1">_xll.BDH($C$328,"MODIFIED_WORKING_CPTL_5YR_GRWTH","FQ3 2014","FQ3 2014","Currency=INR","Period=FQ","BEST_FPERIOD_OVERRIDE=FQ","FILING_STATUS=OR","EQY_CONSOLIDATED=Y","Sort=A","Dates=H","DateFormat=P","Fill=—","Direction=H","UseDPDF=Y")</f>
        <v>#NAME?</v>
      </c>
      <c r="AX331" s="2" t="e">
        <f ca="1">_xll.BDH($C$328,"WORKING_CAPITAL_5_YEAR_GROWTH","FQ3 2014","FQ3 2014","Currency=INR","Period=FQ","BEST_FPERIOD_OVERRIDE=FQ","FILING_STATUS=OR","EQY_CONSOLIDATED=Y","Sort=A","Dates=H","DateFormat=P","Fill=—","Direction=H","UseDPDF=Y")</f>
        <v>#NAME?</v>
      </c>
      <c r="AY331" s="2" t="e">
        <f ca="1">_xll.BDH($C$328,"ACCOUNTS_PAYABLE_5_YEAR_GROWTH","FQ3 2014","FQ3 2014","Currency=INR","Period=FQ","BEST_FPERIOD_OVERRIDE=FQ","FILING_STATUS=OR","EQY_CONSOLIDATED=Y","Sort=A","Dates=H","DateFormat=P","Fill=—","Direction=H","UseDPDF=Y")</f>
        <v>#NAME?</v>
      </c>
      <c r="AZ331" s="2" t="e">
        <f ca="1">_xll.BDH($C$328,"SHORT_TERM_DEBT_5_YEAR_GROWTH","FQ3 2014","FQ3 2014","Currency=INR","Period=FQ","BEST_FPERIOD_OVERRIDE=FQ","FILING_STATUS=OR","EQY_CONSOLIDATED=Y","Sort=A","Dates=H","DateFormat=P","Fill=—","Direction=H","UseDPDF=Y")</f>
        <v>#NAME?</v>
      </c>
      <c r="BA331" s="2" t="e">
        <f ca="1">_xll.BDH($C$328,"TOTAL_DEBT_5_YEAR_GROWTH","FQ3 2014","FQ3 2014","Currency=INR","Period=FQ","BEST_FPERIOD_OVERRIDE=FQ","FILING_STATUS=OR","EQY_CONSOLIDATED=Y","Sort=A","Dates=H","DateFormat=P","Fill=—","Direction=H","UseDPDF=Y")</f>
        <v>#NAME?</v>
      </c>
      <c r="BB331" s="2" t="e">
        <f ca="1">_xll.BDH($C$328,"GEO_GROW_TOT_SHRHLDR_EQY","FQ3 2014","FQ3 2014","Currency=INR","Period=FQ","BEST_FPERIOD_OVERRIDE=FQ","FILING_STATUS=OR","EQY_CONSOLIDATED=Y","Sort=A","Dates=H","DateFormat=P","Fill=—","Direction=H","UseDPDF=Y")</f>
        <v>#NAME?</v>
      </c>
      <c r="BC331" s="2" t="e">
        <f ca="1">_xll.BDH($C$328,"TOTAL_CAPITAL_5_YEAR_GROWTH","FQ3 2014","FQ3 2014","Currency=INR","Period=FQ","BEST_FPERIOD_OVERRIDE=FQ","FILING_STATUS=OR","EQY_CONSOLIDATED=Y","Sort=A","Dates=H","DateFormat=P","Fill=—","Direction=H","UseDPDF=Y")</f>
        <v>#NAME?</v>
      </c>
      <c r="BD331" s="2" t="e">
        <f ca="1">_xll.BDH($C$328,"GEO_GROW_BOOK_VAL","FQ3 2014","FQ3 2014","Currency=INR","Period=FQ","BEST_FPERIOD_OVERRIDE=FQ","FILING_STATUS=OR","EQY_CONSOLIDATED=Y","Sort=A","Dates=H","DateFormat=P","Fill=—","Direction=H","UseDPDF=Y")</f>
        <v>#NAME?</v>
      </c>
      <c r="BE331" s="2" t="e">
        <f ca="1">_xll.BDH($C$328,"GEO_GROW_CASH_OPER_ACT","FQ3 2014","FQ3 2014","Currency=INR","Period=FQ","BEST_FPERIOD_OVERRIDE=FQ","FILING_STATUS=OR","EQY_CONSOLIDATED=Y","Sort=A","Dates=H","DateFormat=P","Fill=—","Direction=H","UseDPDF=Y")</f>
        <v>#NAME?</v>
      </c>
      <c r="BF331" s="2" t="e">
        <f ca="1">_xll.BDH($C$328,"REVENUE_SEQUENTIAL_GROWTH","FQ3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331" s="2" t="e">
        <f ca="1">_xll.BDH($C$328,"EBITDA_SEQUENTIAL_GROWTH","FQ3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331" s="2" t="e">
        <f ca="1">_xll.BDH($C$328,"OPERATING_INCOME_SEQ_GROWTH","FQ3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331" s="2" t="e">
        <f ca="1">_xll.BDH($C$328,"NET_INCOME_TO_COMMON_SEQ_GROWTH","FQ3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331" s="2" t="e">
        <f ca="1">_xll.BDH($C$328,"EPS_DILUTED_SEQUENTIAL_GROWTH","FQ3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331" s="2" t="e">
        <f ca="1">_xll.BDH($C$328,"DPS_SEQUENTIAL_GROWTH","FQ3 2014","FQ3 2014","Currency=INR","Period=FQ","BEST_FPERIOD_OVERRIDE=FQ","FILING_STATUS=OR","EQY_CONSOLIDATED=Y","Sort=A","Dates=H","DateFormat=P","Fill=—","Direction=H","UseDPDF=Y")</f>
        <v>#NAME?</v>
      </c>
      <c r="BL331" s="2" t="e">
        <f ca="1">_xll.BDH($C$328,"ACCOUNTS_RECEIVABLE_SEQ_GROWTH","FQ3 2014","FQ3 2014","Currency=INR","Period=FQ","BEST_FPERIOD_OVERRIDE=FQ","FILING_STATUS=OR","EQY_CONSOLIDATED=Y","Sort=A","Dates=H","DateFormat=P","Fill=—","Direction=H","UseDPDF=Y")</f>
        <v>#NAME?</v>
      </c>
      <c r="BM331" s="2" t="e">
        <f ca="1">_xll.BDH($C$328,"INVENTORY_SEQUENTIAL_GROWTH","FQ3 2014","FQ3 2014","Currency=INR","Period=FQ","BEST_FPERIOD_OVERRIDE=FQ","FILING_STATUS=OR","EQY_CONSOLIDATED=Y","Sort=A","Dates=H","DateFormat=P","Fill=—","Direction=H","UseDPDF=Y")</f>
        <v>#NAME?</v>
      </c>
      <c r="BN331" s="2" t="e">
        <f ca="1">_xll.BDH($C$328,"FIXED_ASSETS_SEQUENTIAL_GROWTH","FQ3 2014","FQ3 2014","Currency=INR","Period=FQ","BEST_FPERIOD_OVERRIDE=FQ","FILING_STATUS=OR","EQY_CONSOLIDATED=Y","Sort=A","Dates=H","DateFormat=P","Fill=—","Direction=H","UseDPDF=Y")</f>
        <v>#NAME?</v>
      </c>
      <c r="BO331" s="2" t="e">
        <f ca="1">_xll.BDH($C$328,"TOTAL_ASSETS_SEQUENTIAL_GROWTH","FQ3 2014","FQ3 2014","Currency=INR","Period=FQ","BEST_FPERIOD_OVERRIDE=FQ","FILING_STATUS=OR","EQY_CONSOLIDATED=Y","Sort=A","Dates=H","DateFormat=P","Fill=—","Direction=H","UseDPDF=Y")</f>
        <v>#NAME?</v>
      </c>
      <c r="BP331" s="2" t="e">
        <f ca="1">_xll.BDH($C$328,"MODIFIED_WORKING_CPTL_SEQ_GRWTH","FQ3 2014","FQ3 2014","Currency=INR","Period=FQ","BEST_FPERIOD_OVERRIDE=FQ","FILING_STATUS=OR","EQY_CONSOLIDATED=Y","Sort=A","Dates=H","DateFormat=P","Fill=—","Direction=H","UseDPDF=Y")</f>
        <v>#NAME?</v>
      </c>
      <c r="BQ331" s="2" t="e">
        <f ca="1">_xll.BDH($C$328,"WORKING_CAPITAL_SEQ_GROWTH","FQ3 2014","FQ3 2014","Currency=INR","Period=FQ","BEST_FPERIOD_OVERRIDE=FQ","FILING_STATUS=OR","EQY_CONSOLIDATED=Y","Sort=A","Dates=H","DateFormat=P","Fill=—","Direction=H","UseDPDF=Y")</f>
        <v>#NAME?</v>
      </c>
      <c r="BR331" s="2" t="e">
        <f ca="1">_xll.BDH($C$328,"ACCOUNTS_PAYABLE_SEQ_GROWTH","FQ3 2014","FQ3 2014","Currency=INR","Period=FQ","BEST_FPERIOD_OVERRIDE=FQ","FILING_STATUS=OR","EQY_CONSOLIDATED=Y","Sort=A","Dates=H","DateFormat=P","Fill=—","Direction=H","UseDPDF=Y")</f>
        <v>#NAME?</v>
      </c>
      <c r="BS331" s="2" t="e">
        <f ca="1">_xll.BDH($C$328,"ST_DEBT_SEQUENTIAL_GROWTH","FQ3 2014","FQ3 2014","Currency=INR","Period=FQ","BEST_FPERIOD_OVERRIDE=FQ","FILING_STATUS=OR","EQY_CONSOLIDATED=Y","Sort=A","Dates=H","DateFormat=P","Fill=—","Direction=H","UseDPDF=Y")</f>
        <v>#NAME?</v>
      </c>
      <c r="BT331" s="2" t="e">
        <f ca="1">_xll.BDH($C$328,"TOTAL_DEBT_SEQUENTIAL_GROWTH","FQ3 2014","FQ3 2014","Currency=INR","Period=FQ","BEST_FPERIOD_OVERRIDE=FQ","FILING_STATUS=OR","EQY_CONSOLIDATED=Y","Sort=A","Dates=H","DateFormat=P","Fill=—","Direction=H","UseDPDF=Y")</f>
        <v>#NAME?</v>
      </c>
      <c r="BU331" s="2" t="e">
        <f ca="1">_xll.BDH($C$328,"TOTAL_EQUITY_SEQUENTIAL_GROWTH","FQ3 2014","FQ3 2014","Currency=INR","Period=FQ","BEST_FPERIOD_OVERRIDE=FQ","FILING_STATUS=OR","EQY_CONSOLIDATED=Y","Sort=A","Dates=H","DateFormat=P","Fill=—","Direction=H","UseDPDF=Y")</f>
        <v>#NAME?</v>
      </c>
      <c r="BV331" s="2" t="e">
        <f ca="1">_xll.BDH($C$328,"TOTAL_CAPITAL_SEQUENTIAL_GROWTH","FQ3 2014","FQ3 2014","Currency=INR","Period=FQ","BEST_FPERIOD_OVERRIDE=FQ","FILING_STATUS=OR","EQY_CONSOLIDATED=Y","Sort=A","Dates=H","DateFormat=P","Fill=—","Direction=H","UseDPDF=Y")</f>
        <v>#NAME?</v>
      </c>
      <c r="BW331" s="2" t="e">
        <f ca="1">_xll.BDH($C$328,"BPS_SEQUENTIAL_GROWTH","FQ3 2014","FQ3 2014","Currency=INR","Period=FQ","BEST_FPERIOD_OVERRIDE=FQ","FILING_STATUS=OR","EQY_CONSOLIDATED=Y","Sort=A","Dates=H","DateFormat=P","Fill=—","Direction=H","UseDPDF=Y")</f>
        <v>#NAME?</v>
      </c>
      <c r="BX331" s="2" t="e">
        <f ca="1">_xll.BDH($C$328,"CFO_SEQUENTIAL_GROWTH","FQ3 2014","FQ3 2014","Currency=INR","Period=FQ","BEST_FPERIOD_OVERRIDE=FQ","FILING_STATUS=OR","EQY_CONSOLIDATED=Y","Sort=A","Dates=H","DateFormat=P","Fill=—","Direction=H","UseDPDF=Y")</f>
        <v>#NAME?</v>
      </c>
      <c r="BY331" s="3" t="e">
        <f ca="1">_xll.BDH($C$328,"SHORT_AND_LONG_TERM_DEBT","FQ3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331" s="3" t="e">
        <f ca="1">_xll.BDH($C$328,"BS_ST_BORROW","FQ3 2014","FQ3 2014","Currency=INR","Period=FQ","BEST_FPERIOD_OVERRIDE=FQ","FILING_STATUS=OR","EQY_CONSOLIDATED=Y","SCALING_FORMAT=MLN","Sort=A","Dates=H","DateFormat=P","Fill=—","Direction=H","UseDPDF=Y")</f>
        <v>#NAME?</v>
      </c>
      <c r="CA331" s="3" t="e">
        <f ca="1">_xll.BDH($C$328,"BS_LT_BORROW","FQ3 2014","FQ3 2014","Currency=INR","Period=FQ","BEST_FPERIOD_OVERRIDE=FQ","FILING_STATUS=OR","EQY_CONSOLIDATED=Y","SCALING_FORMAT=MLN","Sort=A","Dates=H","DateFormat=P","Fill=—","Direction=H","UseDPDF=Y")</f>
        <v>#NAME?</v>
      </c>
      <c r="CB331" s="2" t="e">
        <f ca="1">_xll.BDH($C$328,"TOT_DEBT_TO_EBITDA","FQ3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331" s="2" t="e">
        <f ca="1">_xll.BDH($C$328,"NET_DEBT_TO_EBITDA","FQ3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331" s="2" t="e">
        <f ca="1">_xll.BDH($C$328,"TOTAL_DEBT_TO_EBIT","FQ3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331" s="2" t="e">
        <f ca="1">_xll.BDH($C$328,"NET_DEBT_TO_EBIT","FQ3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331" s="2" t="e">
        <f ca="1">_xll.BDH($C$328,"EBITDA_TO_INTEREST_EXPN","FQ3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331" s="2" t="e">
        <f ca="1">_xll.BDH($C$328,"COM_EQY_TO_TOT_ASSET","FQ3 2014","FQ3 2014","Currency=INR","Period=FQ","BEST_FPERIOD_OVERRIDE=FQ","FILING_STATUS=OR","EQY_CONSOLIDATED=Y","Sort=A","Dates=H","DateFormat=P","Fill=—","Direction=H","UseDPDF=Y")</f>
        <v>#NAME?</v>
      </c>
      <c r="CH331" s="2" t="e">
        <f ca="1">_xll.BDH($C$328,"LT_DEBT_TO_TOT_EQY","FQ3 2014","FQ3 2014","Currency=INR","Period=FQ","BEST_FPERIOD_OVERRIDE=FQ","FILING_STATUS=OR","EQY_CONSOLIDATED=Y","Sort=A","Dates=H","DateFormat=P","Fill=—","Direction=H","UseDPDF=Y")</f>
        <v>#NAME?</v>
      </c>
      <c r="CI331" s="2" t="e">
        <f ca="1">_xll.BDH($C$328,"LT_DEBT_TO_TOT_CAP","FQ3 2014","FQ3 2014","Currency=INR","Period=FQ","BEST_FPERIOD_OVERRIDE=FQ","FILING_STATUS=OR","EQY_CONSOLIDATED=Y","Sort=A","Dates=H","DateFormat=P","Fill=—","Direction=H","UseDPDF=Y")</f>
        <v>#NAME?</v>
      </c>
      <c r="CJ331" s="2" t="e">
        <f ca="1">_xll.BDH($C$328,"LT_DEBT_TO_TOT_ASSET","FQ3 2014","FQ3 2014","Currency=INR","Period=FQ","BEST_FPERIOD_OVERRIDE=FQ","FILING_STATUS=OR","EQY_CONSOLIDATED=Y","Sort=A","Dates=H","DateFormat=P","Fill=—","Direction=H","UseDPDF=Y")</f>
        <v>#NAME?</v>
      </c>
      <c r="CK331" s="2" t="e">
        <f ca="1">_xll.BDH($C$328,"TOT_DEBT_TO_TOT_EQY","FQ3 2014","FQ3 2014","Currency=INR","Period=FQ","BEST_FPERIOD_OVERRIDE=FQ","FILING_STATUS=OR","EQY_CONSOLIDATED=Y","Sort=A","Dates=H","DateFormat=P","Fill=—","Direction=H","UseDPDF=Y")</f>
        <v>#NAME?</v>
      </c>
      <c r="CL331" s="2" t="e">
        <f ca="1">_xll.BDH($C$328,"TOT_DEBT_TO_TOT_CAP","FQ3 2014","FQ3 2014","Currency=INR","Period=FQ","BEST_FPERIOD_OVERRIDE=FQ","FILING_STATUS=OR","EQY_CONSOLIDATED=Y","Sort=A","Dates=H","DateFormat=P","Fill=—","Direction=H","UseDPDF=Y")</f>
        <v>#NAME?</v>
      </c>
      <c r="CM331" s="2" t="e">
        <f ca="1">_xll.BDH($C$328,"TOT_DEBT_TO_TOT_ASSET","FQ3 2014","FQ3 2014","Currency=INR","Period=FQ","BEST_FPERIOD_OVERRIDE=FQ","FILING_STATUS=OR","EQY_CONSOLIDATED=Y","Sort=A","Dates=H","DateFormat=P","Fill=—","Direction=H","UseDPDF=Y")</f>
        <v>#NAME?</v>
      </c>
      <c r="CN331" s="2" t="e">
        <f ca="1">_xll.BDH($C$328,"NET_DEBT_TO_SHRHLDR_EQTY","FQ3 2014","FQ3 2014","Currency=INR","Period=FQ","BEST_FPERIOD_OVERRIDE=FQ","FILING_STATUS=OR","EQY_CONSOLIDATED=Y","Sort=A","Dates=H","DateFormat=P","Fill=—","Direction=H","UseDPDF=Y")</f>
        <v>#NAME?</v>
      </c>
      <c r="CO331" s="2" t="e">
        <f ca="1">_xll.BDH($C$328,"NET_DEBT_%_CAPITAL","FQ3 2014","FQ3 2014","Currency=INR","Period=FQ","BEST_FPERIOD_OVERRIDE=FQ","FILING_STATUS=OR","EQY_CONSOLIDATED=Y","Sort=A","Dates=H","DateFormat=P","Fill=—","Direction=H","UseDPDF=Y")</f>
        <v>#NAME?</v>
      </c>
      <c r="CP331" s="3" t="e">
        <f ca="1">_xll.BDH($C$328,"EBITDA","FQ3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331" s="3" t="e">
        <f ca="1">_xll.BDH($C$328,"EBITDA_AFTER_CAPEX","FQ3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331" s="3" t="e">
        <f ca="1">_xll.BDH($C$328,"IS_OPER_INC","FQ3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331" s="2" t="e">
        <f ca="1">_xll.BDH($C$328,"CASH_RATIO","FQ3 2014","FQ3 2014","Currency=INR","Period=FQ","BEST_FPERIOD_OVERRIDE=FQ","FILING_STATUS=OR","EQY_CONSOLIDATED=Y","Sort=A","Dates=H","DateFormat=P","Fill=—","Direction=H","UseDPDF=Y")</f>
        <v>#NAME?</v>
      </c>
      <c r="CT331" s="2" t="e">
        <f ca="1">_xll.BDH($C$328,"CUR_RATIO","FQ3 2014","FQ3 2014","Currency=INR","Period=FQ","BEST_FPERIOD_OVERRIDE=FQ","FILING_STATUS=OR","EQY_CONSOLIDATED=Y","Sort=A","Dates=H","DateFormat=P","Fill=—","Direction=H","UseDPDF=Y")</f>
        <v>#NAME?</v>
      </c>
      <c r="CU331" s="2" t="e">
        <f ca="1">_xll.BDH($C$328,"QUICK_RATIO","FQ3 2014","FQ3 2014","Currency=INR","Period=FQ","BEST_FPERIOD_OVERRIDE=FQ","FILING_STATUS=OR","EQY_CONSOLIDATED=Y","Sort=A","Dates=H","DateFormat=P","Fill=—","Direction=H","UseDPDF=Y")</f>
        <v>#NAME?</v>
      </c>
      <c r="CV331" s="2" t="e">
        <f ca="1">_xll.BDH($C$328,"ALTMAN_Z_SCORE","FQ3 2014","FQ3 2014","Currency=INR","Period=FQ","BEST_FPERIOD_OVERRIDE=FQ","FILING_STATUS=OR","EQY_CONSOLIDATED=Y","Sort=A","Dates=H","DateFormat=P","Fill=—","Direction=H","UseDPDF=Y")</f>
        <v>#NAME?</v>
      </c>
      <c r="CW331" s="4" t="e">
        <f ca="1">_xll.BDH($C$328,"ACCT_RCV_TURN","FQ3 2014","FQ3 2014","Currency=INR","Period=FQ","BEST_FPERIOD_OVERRIDE=FQ","FILING_STATUS=OR","EQY_CONSOLIDATED=Y","FA_ADJUSTED=GAAP","Sort=A","Dates=H","DateFormat=P","Fill=—","Direction=H","UseDPDF=Y")</f>
        <v>#NAME?</v>
      </c>
      <c r="CX331" s="2" t="e">
        <f ca="1">_xll.BDH($C$328,"ACCT_RCV_DAYS","FQ3 2014","FQ3 2014","Currency=INR","Period=FQ","BEST_FPERIOD_OVERRIDE=FQ","FILING_STATUS=OR","EQY_CONSOLIDATED=Y","FA_ADJUSTED=GAAP","Sort=A","Dates=H","DateFormat=P","Fill=—","Direction=H","UseDPDF=Y")</f>
        <v>#NAME?</v>
      </c>
      <c r="CY331" s="4" t="e">
        <f ca="1">_xll.BDH($C$328,"INVENT_TURN","FQ3 2014","FQ3 2014","Currency=INR","Period=FQ","BEST_FPERIOD_OVERRIDE=FQ","FILING_STATUS=OR","EQY_CONSOLIDATED=Y","FA_ADJUSTED=GAAP","Sort=A","Dates=H","DateFormat=P","Fill=—","Direction=H","UseDPDF=Y")</f>
        <v>#NAME?</v>
      </c>
      <c r="CZ331" s="2" t="e">
        <f ca="1">_xll.BDH($C$328,"INVENT_DAYS","FQ3 2014","FQ3 2014","Currency=INR","Period=FQ","BEST_FPERIOD_OVERRIDE=FQ","FILING_STATUS=OR","EQY_CONSOLIDATED=Y","FA_ADJUSTED=GAAP","Sort=A","Dates=H","DateFormat=P","Fill=—","Direction=H","UseDPDF=Y")</f>
        <v>#NAME?</v>
      </c>
      <c r="DA331" s="4" t="e">
        <f ca="1">_xll.BDH($C$328,"ACCOUNTS_PAYABLE_TURNOVER","FQ3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331" s="2" t="e">
        <f ca="1">_xll.BDH($C$328,"ACCOUNTS_PAYABLE_TURNOVER_DAYS","FQ3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331" s="4" t="e">
        <f ca="1">_xll.BDH($C$328,"CASH_CONVERSION_CYCLE","FQ3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331" s="4" t="e">
        <f ca="1">_xll.BDH($C$328,"INV_TO_CASH_DAYS","FQ3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331" s="5" t="e">
        <f ca="1">_xll.BDH($C$328,"BS_INVENTORIES","FQ3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331" s="3" t="e">
        <f ca="1">_xll.BDH($C$328,"INVTRY_RAW_MATERIALS","FQ3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331" s="3" t="e">
        <f ca="1">_xll.BDH($C$328,"INVTRY_IN_PROGRESS","FQ3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331" s="3" t="e">
        <f ca="1">_xll.BDH($C$328,"INVTRY_FINISHED_GOODS","FQ3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331" s="3" t="e">
        <f ca="1">_xll.BDH($C$328,"BS_OTHER_INV","FQ3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332" spans="1:113" x14ac:dyDescent="0.3">
      <c r="A332" s="6"/>
      <c r="B332" s="6"/>
      <c r="C332" s="6"/>
      <c r="D332" s="6"/>
      <c r="E332" t="s">
        <v>81</v>
      </c>
      <c r="F332" t="e">
        <f ca="1">_xll.BDH($C$328,"RETURN_COM_EQY","FQ4 2014","FQ4 2014","Currency=INR","Period=FQ","BEST_FPERIOD_OVERRIDE=FQ","FILING_STATUS=OR","EQY_CONSOLIDATED=Y","FA_ADJUSTED=GAAP","Sort=A","Dates=H","DateFormat=P","Fill=—","Direction=H","UseDPDF=Y")</f>
        <v>#NAME?</v>
      </c>
      <c r="G332" t="e">
        <f ca="1">_xll.BDH($C$328,"RETURN_ON_ASSET","FQ4 2014","FQ4 2014","Currency=INR","Period=FQ","BEST_FPERIOD_OVERRIDE=FQ","FILING_STATUS=OR","EQY_CONSOLIDATED=Y","FA_ADJUSTED=GAAP","Sort=A","Dates=H","DateFormat=P","Fill=—","Direction=H","UseDPDF=Y")</f>
        <v>#NAME?</v>
      </c>
      <c r="H332" t="e">
        <f ca="1">_xll.BDH($C$328,"RETURN_ON_CAP","FQ4 2014","FQ4 2014","Currency=INR","Period=FQ","BEST_FPERIOD_OVERRIDE=FQ","FILING_STATUS=OR","EQY_CONSOLIDATED=Y","FA_ADJUSTED=GAAP","Sort=A","Dates=H","DateFormat=P","Fill=—","Direction=H","UseDPDF=Y")</f>
        <v>#NAME?</v>
      </c>
      <c r="I332" t="e">
        <f ca="1">_xll.BDH($C$328,"RETURN_ON_INV_CAPITAL","FQ4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332" t="e">
        <f ca="1">_xll.BDH($C$328,"EBITDA_TO_REVENUE","FQ4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332" t="e">
        <f ca="1">_xll.BDH($C$328,"OPER_MARGIN","FQ4 2014","FQ4 2014","Currency=INR","Period=FQ","BEST_FPERIOD_OVERRIDE=FQ","FILING_STATUS=OR","EQY_CONSOLIDATED=Y","FA_ADJUSTED=GAAP","Sort=A","Dates=H","DateFormat=P","Fill=—","Direction=H","UseDPDF=Y")</f>
        <v>#NAME?</v>
      </c>
      <c r="L332" t="e">
        <f ca="1">_xll.BDH($C$328,"INCREMENTAL_OPERATING_MARGIN","FQ4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332" t="e">
        <f ca="1">_xll.BDH($C$328,"PRETAX_INC_TO_NET_SALES","FQ4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332" t="e">
        <f ca="1">_xll.BDH($C$328,"INC_BEF_XO_ITEMS_TO_NET_SALES","FQ4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332" t="e">
        <f ca="1">_xll.BDH($C$328,"PROF_MARGIN","FQ4 2014","FQ4 2014","Currency=INR","Period=FQ","BEST_FPERIOD_OVERRIDE=FQ","FILING_STATUS=OR","EQY_CONSOLIDATED=Y","FA_ADJUSTED=GAAP","Sort=A","Dates=H","DateFormat=P","Fill=—","Direction=H","UseDPDF=Y")</f>
        <v>#NAME?</v>
      </c>
      <c r="P332" t="e">
        <f ca="1">_xll.BDH($C$328,"NET_INCOME_TO_COMMON_MARGIN","FQ4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332" t="e">
        <f ca="1">_xll.BDH($C$328,"EFF_TAX_RATE","FQ4 2014","FQ4 2014","Currency=INR","Period=FQ","BEST_FPERIOD_OVERRIDE=FQ","FILING_STATUS=OR","EQY_CONSOLIDATED=Y","FA_ADJUSTED=GAAP","Sort=A","Dates=H","DateFormat=P","Fill=—","Direction=H","UseDPDF=Y")</f>
        <v>#NAME?</v>
      </c>
      <c r="R332" t="e">
        <f ca="1">_xll.BDH($C$328,"DVD_PAYOUT_RATIO","FQ4 2014","FQ4 2014","Currency=INR","Period=FQ","BEST_FPERIOD_OVERRIDE=FQ","FILING_STATUS=OR","EQY_CONSOLIDATED=Y","FA_ADJUSTED=GAAP","Sort=A","Dates=H","DateFormat=P","Fill=—","Direction=H","UseDPDF=Y")</f>
        <v>#NAME?</v>
      </c>
      <c r="S332" t="e">
        <f ca="1">_xll.BDH($C$328,"SUSTAIN_GROWTH_RT","FQ4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332" s="2" t="e">
        <f ca="1">_xll.BDH($C$328,"SALES_GROWTH","FQ4 2014","FQ4 2014","Currency=INR","Period=FQ","BEST_FPERIOD_OVERRIDE=FQ","FILING_STATUS=OR","EQY_CONSOLIDATED=Y","FA_ADJUSTED=GAAP","Sort=A","Dates=H","DateFormat=P","Fill=—","Direction=H","UseDPDF=Y")</f>
        <v>#NAME?</v>
      </c>
      <c r="U332" s="2" t="e">
        <f ca="1">_xll.BDH($C$328,"EBITDA_GROWTH","FQ4 2014","FQ4 2014","Currency=INR","Period=FQ","BEST_FPERIOD_OVERRIDE=FQ","FILING_STATUS=OR","EQY_CONSOLIDATED=Y","FA_ADJUSTED=GAAP","Sort=A","Dates=H","DateFormat=P","Fill=—","Direction=H","UseDPDF=Y")</f>
        <v>#NAME?</v>
      </c>
      <c r="V332" s="2" t="e">
        <f ca="1">_xll.BDH($C$328,"OPER_INC_GROWTH","FQ4 2014","FQ4 2014","Currency=INR","Period=FQ","BEST_FPERIOD_OVERRIDE=FQ","FILING_STATUS=OR","EQY_CONSOLIDATED=Y","FA_ADJUSTED=GAAP","Sort=A","Dates=H","DateFormat=P","Fill=—","Direction=H","UseDPDF=Y")</f>
        <v>#NAME?</v>
      </c>
      <c r="W332" s="2" t="e">
        <f ca="1">_xll.BDH($C$328,"EARN_FOR_COM_GROWTH","FQ4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332" s="2" t="e">
        <f ca="1">_xll.BDH($C$328,"DILUTED_EPS_AFT_XO_ITEMS_GROWTH","FQ4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332" s="2" t="e">
        <f ca="1">_xll.BDH($C$328,"DIVIDEND_PER_SHARE_1_YEAR_GROWTH","FQ4 2014","FQ4 2014","Currency=INR","Period=FQ","BEST_FPERIOD_OVERRIDE=FQ","FILING_STATUS=OR","EQY_CONSOLIDATED=Y","Sort=A","Dates=H","DateFormat=P","Fill=—","Direction=H","UseDPDF=Y")</f>
        <v>#NAME?</v>
      </c>
      <c r="Z332" s="2" t="e">
        <f ca="1">_xll.BDH($C$328,"ACCOUNTS_RECEIVABLE_GROWTH","FQ4 2014","FQ4 2014","Currency=INR","Period=FQ","BEST_FPERIOD_OVERRIDE=FQ","FILING_STATUS=OR","EQY_CONSOLIDATED=Y","Sort=A","Dates=H","DateFormat=P","Fill=—","Direction=H","UseDPDF=Y")</f>
        <v>#NAME?</v>
      </c>
      <c r="AA332" s="2" t="e">
        <f ca="1">_xll.BDH($C$328,"INVENTORY_GROWTH","FQ4 2014","FQ4 2014","Currency=INR","Period=FQ","BEST_FPERIOD_OVERRIDE=FQ","FILING_STATUS=OR","EQY_CONSOLIDATED=Y","Sort=A","Dates=H","DateFormat=P","Fill=—","Direction=H","UseDPDF=Y")</f>
        <v>#NAME?</v>
      </c>
      <c r="AB332" s="2" t="e">
        <f ca="1">_xll.BDH($C$328,"NET_FIXED_ASSETS_1_YEAR_GROWTH","FQ4 2014","FQ4 2014","Currency=INR","Period=FQ","BEST_FPERIOD_OVERRIDE=FQ","FILING_STATUS=OR","EQY_CONSOLIDATED=Y","Sort=A","Dates=H","DateFormat=P","Fill=—","Direction=H","UseDPDF=Y")</f>
        <v>#NAME?</v>
      </c>
      <c r="AC332" s="2" t="e">
        <f ca="1">_xll.BDH($C$328,"ASSET_GROWTH","FQ4 2014","FQ4 2014","Currency=INR","Period=FQ","BEST_FPERIOD_OVERRIDE=FQ","FILING_STATUS=OR","EQY_CONSOLIDATED=Y","Sort=A","Dates=H","DateFormat=P","Fill=—","Direction=H","UseDPDF=Y")</f>
        <v>#NAME?</v>
      </c>
      <c r="AD332" s="2" t="e">
        <f ca="1">_xll.BDH($C$328,"MODIFIED_WORK_CAP_GROWTH","FQ4 2014","FQ4 2014","Currency=INR","Period=FQ","BEST_FPERIOD_OVERRIDE=FQ","FILING_STATUS=OR","EQY_CONSOLIDATED=Y","Sort=A","Dates=H","DateFormat=P","Fill=—","Direction=H","UseDPDF=Y")</f>
        <v>#NAME?</v>
      </c>
      <c r="AE332" s="2" t="e">
        <f ca="1">_xll.BDH($C$328,"WORK_CAP_GROWTH","FQ4 2014","FQ4 2014","Currency=INR","Period=FQ","BEST_FPERIOD_OVERRIDE=FQ","FILING_STATUS=OR","EQY_CONSOLIDATED=Y","Sort=A","Dates=H","DateFormat=P","Fill=—","Direction=H","UseDPDF=Y")</f>
        <v>#NAME?</v>
      </c>
      <c r="AF332" s="2" t="e">
        <f ca="1">_xll.BDH($C$328,"ACCOUNTS_PAYABLE_GROWTH_1YR","FQ4 2014","FQ4 2014","Currency=INR","Period=FQ","BEST_FPERIOD_OVERRIDE=FQ","FILING_STATUS=OR","EQY_CONSOLIDATED=Y","Sort=A","Dates=H","DateFormat=P","Fill=—","Direction=H","UseDPDF=Y")</f>
        <v>#NAME?</v>
      </c>
      <c r="AG332" s="2" t="e">
        <f ca="1">_xll.BDH($C$328,"SHORT_TERM_DEBT_1_YEAR_GROWTH","FQ4 2014","FQ4 2014","Currency=INR","Period=FQ","BEST_FPERIOD_OVERRIDE=FQ","FILING_STATUS=OR","EQY_CONSOLIDATED=Y","Sort=A","Dates=H","DateFormat=P","Fill=—","Direction=H","UseDPDF=Y")</f>
        <v>#NAME?</v>
      </c>
      <c r="AH332" s="2" t="e">
        <f ca="1">_xll.BDH($C$328,"TOTAL_DEBT_1_YEAR_GROWTH","FQ4 2014","FQ4 2014","Currency=INR","Period=FQ","BEST_FPERIOD_OVERRIDE=FQ","FILING_STATUS=OR","EQY_CONSOLIDATED=Y","Sort=A","Dates=H","DateFormat=P","Fill=—","Direction=H","UseDPDF=Y")</f>
        <v>#NAME?</v>
      </c>
      <c r="AI332" s="2" t="e">
        <f ca="1">_xll.BDH($C$328,"TOTAL_EQUITY_1_YEAR_GROWTH","FQ4 2014","FQ4 2014","Currency=INR","Period=FQ","BEST_FPERIOD_OVERRIDE=FQ","FILING_STATUS=OR","EQY_CONSOLIDATED=Y","Sort=A","Dates=H","DateFormat=P","Fill=—","Direction=H","UseDPDF=Y")</f>
        <v>#NAME?</v>
      </c>
      <c r="AJ332" s="2" t="e">
        <f ca="1">_xll.BDH($C$328,"GROWTH_IN_CAP","FQ4 2014","FQ4 2014","Currency=INR","Period=FQ","BEST_FPERIOD_OVERRIDE=FQ","FILING_STATUS=OR","EQY_CONSOLIDATED=Y","Sort=A","Dates=H","DateFormat=P","Fill=—","Direction=H","UseDPDF=Y")</f>
        <v>#NAME?</v>
      </c>
      <c r="AK332" s="2" t="e">
        <f ca="1">_xll.BDH($C$328,"BVPS_GROWTH","FQ4 2014","FQ4 2014","Currency=INR","Period=FQ","BEST_FPERIOD_OVERRIDE=FQ","FILING_STATUS=OR","EQY_CONSOLIDATED=Y","Sort=A","Dates=H","DateFormat=P","Fill=—","Direction=H","UseDPDF=Y")</f>
        <v>#NAME?</v>
      </c>
      <c r="AL332" s="2" t="e">
        <f ca="1">_xll.BDH($C$328,"CASH_FLOW_GROWTH","FQ4 2014","FQ4 2014","Currency=INR","Period=FQ","BEST_FPERIOD_OVERRIDE=FQ","FILING_STATUS=OR","EQY_CONSOLIDATED=Y","Sort=A","Dates=H","DateFormat=P","Fill=—","Direction=H","UseDPDF=Y")</f>
        <v>#NAME?</v>
      </c>
      <c r="AM332" s="2" t="e">
        <f ca="1">_xll.BDH($C$328,"GEO_GROW_NET_SALES","FQ4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332" s="2" t="e">
        <f ca="1">_xll.BDH($C$328,"GEO_GROW_EBITDA","FQ4 2014","FQ4 2014","Currency=INR","Period=FQ","BEST_FPERIOD_OVERRIDE=FQ","FILING_STATUS=OR","EQY_CONSOLIDATED=Y","FA_ADJUSTED=GAAP","Sort=A","Dates=H","DateFormat=P","Fill=—","Direction=H","UseDPDF=Y")</f>
        <v>#NAME?</v>
      </c>
      <c r="AO332" s="2" t="e">
        <f ca="1">_xll.BDH($C$328,"GEO_GROW_OPER_INC","FQ4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332" s="2" t="e">
        <f ca="1">_xll.BDH($C$328,"NET_INCOME_TO_COMMON_5_YR_GROWTH","FQ4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332" s="2" t="e">
        <f ca="1">_xll.BDH($C$328,"5Y_GEO_GROWTH_DILUTED_EPS","FQ4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332" s="2" t="e">
        <f ca="1">_xll.BDH($C$328,"GEO_GROW_DVD_PER_SH","FQ4 2014","FQ4 2014","Currency=INR","Period=FQ","BEST_FPERIOD_OVERRIDE=FQ","FILING_STATUS=OR","EQY_CONSOLIDATED=Y","Sort=A","Dates=H","DateFormat=P","Fill=—","Direction=H","UseDPDF=Y")</f>
        <v>#NAME?</v>
      </c>
      <c r="AS332" s="2" t="e">
        <f ca="1">_xll.BDH($C$328,"ACCOUNTS_RECEIVABLE_5_YR_GROWTH","FQ4 2014","FQ4 2014","Currency=INR","Period=FQ","BEST_FPERIOD_OVERRIDE=FQ","FILING_STATUS=OR","EQY_CONSOLIDATED=Y","Sort=A","Dates=H","DateFormat=P","Fill=—","Direction=H","UseDPDF=Y")</f>
        <v>#NAME?</v>
      </c>
      <c r="AT332" s="2" t="e">
        <f ca="1">_xll.BDH($C$328,"INVENTORY_5_YEAR_GROWTH","FQ4 2014","FQ4 2014","Currency=INR","Period=FQ","BEST_FPERIOD_OVERRIDE=FQ","FILING_STATUS=OR","EQY_CONSOLIDATED=Y","Sort=A","Dates=H","DateFormat=P","Fill=—","Direction=H","UseDPDF=Y")</f>
        <v>#NAME?</v>
      </c>
      <c r="AU332" s="2" t="e">
        <f ca="1">_xll.BDH($C$328,"NET_FIXED_ASSETS_5_YEAR_GROWTH","FQ4 2014","FQ4 2014","Currency=INR","Period=FQ","BEST_FPERIOD_OVERRIDE=FQ","FILING_STATUS=OR","EQY_CONSOLIDATED=Y","Sort=A","Dates=H","DateFormat=P","Fill=—","Direction=H","UseDPDF=Y")</f>
        <v>#NAME?</v>
      </c>
      <c r="AV332" s="2" t="e">
        <f ca="1">_xll.BDH($C$328,"GEO_GROW_TOT_ASSET","FQ4 2014","FQ4 2014","Currency=INR","Period=FQ","BEST_FPERIOD_OVERRIDE=FQ","FILING_STATUS=OR","EQY_CONSOLIDATED=Y","Sort=A","Dates=H","DateFormat=P","Fill=—","Direction=H","UseDPDF=Y")</f>
        <v>#NAME?</v>
      </c>
      <c r="AW332" s="2" t="e">
        <f ca="1">_xll.BDH($C$328,"MODIFIED_WORKING_CPTL_5YR_GRWTH","FQ4 2014","FQ4 2014","Currency=INR","Period=FQ","BEST_FPERIOD_OVERRIDE=FQ","FILING_STATUS=OR","EQY_CONSOLIDATED=Y","Sort=A","Dates=H","DateFormat=P","Fill=—","Direction=H","UseDPDF=Y")</f>
        <v>#NAME?</v>
      </c>
      <c r="AX332" s="2" t="e">
        <f ca="1">_xll.BDH($C$328,"WORKING_CAPITAL_5_YEAR_GROWTH","FQ4 2014","FQ4 2014","Currency=INR","Period=FQ","BEST_FPERIOD_OVERRIDE=FQ","FILING_STATUS=OR","EQY_CONSOLIDATED=Y","Sort=A","Dates=H","DateFormat=P","Fill=—","Direction=H","UseDPDF=Y")</f>
        <v>#NAME?</v>
      </c>
      <c r="AY332" s="2" t="e">
        <f ca="1">_xll.BDH($C$328,"ACCOUNTS_PAYABLE_5_YEAR_GROWTH","FQ4 2014","FQ4 2014","Currency=INR","Period=FQ","BEST_FPERIOD_OVERRIDE=FQ","FILING_STATUS=OR","EQY_CONSOLIDATED=Y","Sort=A","Dates=H","DateFormat=P","Fill=—","Direction=H","UseDPDF=Y")</f>
        <v>#NAME?</v>
      </c>
      <c r="AZ332" s="2" t="e">
        <f ca="1">_xll.BDH($C$328,"SHORT_TERM_DEBT_5_YEAR_GROWTH","FQ4 2014","FQ4 2014","Currency=INR","Period=FQ","BEST_FPERIOD_OVERRIDE=FQ","FILING_STATUS=OR","EQY_CONSOLIDATED=Y","Sort=A","Dates=H","DateFormat=P","Fill=—","Direction=H","UseDPDF=Y")</f>
        <v>#NAME?</v>
      </c>
      <c r="BA332" s="2" t="e">
        <f ca="1">_xll.BDH($C$328,"TOTAL_DEBT_5_YEAR_GROWTH","FQ4 2014","FQ4 2014","Currency=INR","Period=FQ","BEST_FPERIOD_OVERRIDE=FQ","FILING_STATUS=OR","EQY_CONSOLIDATED=Y","Sort=A","Dates=H","DateFormat=P","Fill=—","Direction=H","UseDPDF=Y")</f>
        <v>#NAME?</v>
      </c>
      <c r="BB332" s="2" t="e">
        <f ca="1">_xll.BDH($C$328,"GEO_GROW_TOT_SHRHLDR_EQY","FQ4 2014","FQ4 2014","Currency=INR","Period=FQ","BEST_FPERIOD_OVERRIDE=FQ","FILING_STATUS=OR","EQY_CONSOLIDATED=Y","Sort=A","Dates=H","DateFormat=P","Fill=—","Direction=H","UseDPDF=Y")</f>
        <v>#NAME?</v>
      </c>
      <c r="BC332" s="2" t="e">
        <f ca="1">_xll.BDH($C$328,"TOTAL_CAPITAL_5_YEAR_GROWTH","FQ4 2014","FQ4 2014","Currency=INR","Period=FQ","BEST_FPERIOD_OVERRIDE=FQ","FILING_STATUS=OR","EQY_CONSOLIDATED=Y","Sort=A","Dates=H","DateFormat=P","Fill=—","Direction=H","UseDPDF=Y")</f>
        <v>#NAME?</v>
      </c>
      <c r="BD332" s="2" t="e">
        <f ca="1">_xll.BDH($C$328,"GEO_GROW_BOOK_VAL","FQ4 2014","FQ4 2014","Currency=INR","Period=FQ","BEST_FPERIOD_OVERRIDE=FQ","FILING_STATUS=OR","EQY_CONSOLIDATED=Y","Sort=A","Dates=H","DateFormat=P","Fill=—","Direction=H","UseDPDF=Y")</f>
        <v>#NAME?</v>
      </c>
      <c r="BE332" s="2" t="e">
        <f ca="1">_xll.BDH($C$328,"GEO_GROW_CASH_OPER_ACT","FQ4 2014","FQ4 2014","Currency=INR","Period=FQ","BEST_FPERIOD_OVERRIDE=FQ","FILING_STATUS=OR","EQY_CONSOLIDATED=Y","Sort=A","Dates=H","DateFormat=P","Fill=—","Direction=H","UseDPDF=Y")</f>
        <v>#NAME?</v>
      </c>
      <c r="BF332" s="2" t="e">
        <f ca="1">_xll.BDH($C$328,"REVENUE_SEQUENTIAL_GROWTH","FQ4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332" s="2" t="e">
        <f ca="1">_xll.BDH($C$328,"EBITDA_SEQUENTIAL_GROWTH","FQ4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332" s="2" t="e">
        <f ca="1">_xll.BDH($C$328,"OPERATING_INCOME_SEQ_GROWTH","FQ4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332" s="2" t="e">
        <f ca="1">_xll.BDH($C$328,"NET_INCOME_TO_COMMON_SEQ_GROWTH","FQ4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332" s="2" t="e">
        <f ca="1">_xll.BDH($C$328,"EPS_DILUTED_SEQUENTIAL_GROWTH","FQ4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332" s="2" t="e">
        <f ca="1">_xll.BDH($C$328,"DPS_SEQUENTIAL_GROWTH","FQ4 2014","FQ4 2014","Currency=INR","Period=FQ","BEST_FPERIOD_OVERRIDE=FQ","FILING_STATUS=OR","EQY_CONSOLIDATED=Y","Sort=A","Dates=H","DateFormat=P","Fill=—","Direction=H","UseDPDF=Y")</f>
        <v>#NAME?</v>
      </c>
      <c r="BL332" s="2" t="e">
        <f ca="1">_xll.BDH($C$328,"ACCOUNTS_RECEIVABLE_SEQ_GROWTH","FQ4 2014","FQ4 2014","Currency=INR","Period=FQ","BEST_FPERIOD_OVERRIDE=FQ","FILING_STATUS=OR","EQY_CONSOLIDATED=Y","Sort=A","Dates=H","DateFormat=P","Fill=—","Direction=H","UseDPDF=Y")</f>
        <v>#NAME?</v>
      </c>
      <c r="BM332" s="2" t="e">
        <f ca="1">_xll.BDH($C$328,"INVENTORY_SEQUENTIAL_GROWTH","FQ4 2014","FQ4 2014","Currency=INR","Period=FQ","BEST_FPERIOD_OVERRIDE=FQ","FILING_STATUS=OR","EQY_CONSOLIDATED=Y","Sort=A","Dates=H","DateFormat=P","Fill=—","Direction=H","UseDPDF=Y")</f>
        <v>#NAME?</v>
      </c>
      <c r="BN332" s="2" t="e">
        <f ca="1">_xll.BDH($C$328,"FIXED_ASSETS_SEQUENTIAL_GROWTH","FQ4 2014","FQ4 2014","Currency=INR","Period=FQ","BEST_FPERIOD_OVERRIDE=FQ","FILING_STATUS=OR","EQY_CONSOLIDATED=Y","Sort=A","Dates=H","DateFormat=P","Fill=—","Direction=H","UseDPDF=Y")</f>
        <v>#NAME?</v>
      </c>
      <c r="BO332" s="2" t="e">
        <f ca="1">_xll.BDH($C$328,"TOTAL_ASSETS_SEQUENTIAL_GROWTH","FQ4 2014","FQ4 2014","Currency=INR","Period=FQ","BEST_FPERIOD_OVERRIDE=FQ","FILING_STATUS=OR","EQY_CONSOLIDATED=Y","Sort=A","Dates=H","DateFormat=P","Fill=—","Direction=H","UseDPDF=Y")</f>
        <v>#NAME?</v>
      </c>
      <c r="BP332" s="2" t="e">
        <f ca="1">_xll.BDH($C$328,"MODIFIED_WORKING_CPTL_SEQ_GRWTH","FQ4 2014","FQ4 2014","Currency=INR","Period=FQ","BEST_FPERIOD_OVERRIDE=FQ","FILING_STATUS=OR","EQY_CONSOLIDATED=Y","Sort=A","Dates=H","DateFormat=P","Fill=—","Direction=H","UseDPDF=Y")</f>
        <v>#NAME?</v>
      </c>
      <c r="BQ332" s="2" t="e">
        <f ca="1">_xll.BDH($C$328,"WORKING_CAPITAL_SEQ_GROWTH","FQ4 2014","FQ4 2014","Currency=INR","Period=FQ","BEST_FPERIOD_OVERRIDE=FQ","FILING_STATUS=OR","EQY_CONSOLIDATED=Y","Sort=A","Dates=H","DateFormat=P","Fill=—","Direction=H","UseDPDF=Y")</f>
        <v>#NAME?</v>
      </c>
      <c r="BR332" s="2" t="e">
        <f ca="1">_xll.BDH($C$328,"ACCOUNTS_PAYABLE_SEQ_GROWTH","FQ4 2014","FQ4 2014","Currency=INR","Period=FQ","BEST_FPERIOD_OVERRIDE=FQ","FILING_STATUS=OR","EQY_CONSOLIDATED=Y","Sort=A","Dates=H","DateFormat=P","Fill=—","Direction=H","UseDPDF=Y")</f>
        <v>#NAME?</v>
      </c>
      <c r="BS332" s="2" t="e">
        <f ca="1">_xll.BDH($C$328,"ST_DEBT_SEQUENTIAL_GROWTH","FQ4 2014","FQ4 2014","Currency=INR","Period=FQ","BEST_FPERIOD_OVERRIDE=FQ","FILING_STATUS=OR","EQY_CONSOLIDATED=Y","Sort=A","Dates=H","DateFormat=P","Fill=—","Direction=H","UseDPDF=Y")</f>
        <v>#NAME?</v>
      </c>
      <c r="BT332" s="2" t="e">
        <f ca="1">_xll.BDH($C$328,"TOTAL_DEBT_SEQUENTIAL_GROWTH","FQ4 2014","FQ4 2014","Currency=INR","Period=FQ","BEST_FPERIOD_OVERRIDE=FQ","FILING_STATUS=OR","EQY_CONSOLIDATED=Y","Sort=A","Dates=H","DateFormat=P","Fill=—","Direction=H","UseDPDF=Y")</f>
        <v>#NAME?</v>
      </c>
      <c r="BU332" s="2" t="e">
        <f ca="1">_xll.BDH($C$328,"TOTAL_EQUITY_SEQUENTIAL_GROWTH","FQ4 2014","FQ4 2014","Currency=INR","Period=FQ","BEST_FPERIOD_OVERRIDE=FQ","FILING_STATUS=OR","EQY_CONSOLIDATED=Y","Sort=A","Dates=H","DateFormat=P","Fill=—","Direction=H","UseDPDF=Y")</f>
        <v>#NAME?</v>
      </c>
      <c r="BV332" s="2" t="e">
        <f ca="1">_xll.BDH($C$328,"TOTAL_CAPITAL_SEQUENTIAL_GROWTH","FQ4 2014","FQ4 2014","Currency=INR","Period=FQ","BEST_FPERIOD_OVERRIDE=FQ","FILING_STATUS=OR","EQY_CONSOLIDATED=Y","Sort=A","Dates=H","DateFormat=P","Fill=—","Direction=H","UseDPDF=Y")</f>
        <v>#NAME?</v>
      </c>
      <c r="BW332" s="2" t="e">
        <f ca="1">_xll.BDH($C$328,"BPS_SEQUENTIAL_GROWTH","FQ4 2014","FQ4 2014","Currency=INR","Period=FQ","BEST_FPERIOD_OVERRIDE=FQ","FILING_STATUS=OR","EQY_CONSOLIDATED=Y","Sort=A","Dates=H","DateFormat=P","Fill=—","Direction=H","UseDPDF=Y")</f>
        <v>#NAME?</v>
      </c>
      <c r="BX332" s="2" t="e">
        <f ca="1">_xll.BDH($C$328,"CFO_SEQUENTIAL_GROWTH","FQ4 2014","FQ4 2014","Currency=INR","Period=FQ","BEST_FPERIOD_OVERRIDE=FQ","FILING_STATUS=OR","EQY_CONSOLIDATED=Y","Sort=A","Dates=H","DateFormat=P","Fill=—","Direction=H","UseDPDF=Y")</f>
        <v>#NAME?</v>
      </c>
      <c r="BY332" s="3" t="e">
        <f ca="1">_xll.BDH($C$328,"SHORT_AND_LONG_TERM_DEBT","FQ4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332" s="3" t="e">
        <f ca="1">_xll.BDH($C$328,"BS_ST_BORROW","FQ4 2014","FQ4 2014","Currency=INR","Period=FQ","BEST_FPERIOD_OVERRIDE=FQ","FILING_STATUS=OR","EQY_CONSOLIDATED=Y","SCALING_FORMAT=MLN","Sort=A","Dates=H","DateFormat=P","Fill=—","Direction=H","UseDPDF=Y")</f>
        <v>#NAME?</v>
      </c>
      <c r="CA332" s="3" t="e">
        <f ca="1">_xll.BDH($C$328,"BS_LT_BORROW","FQ4 2014","FQ4 2014","Currency=INR","Period=FQ","BEST_FPERIOD_OVERRIDE=FQ","FILING_STATUS=OR","EQY_CONSOLIDATED=Y","SCALING_FORMAT=MLN","Sort=A","Dates=H","DateFormat=P","Fill=—","Direction=H","UseDPDF=Y")</f>
        <v>#NAME?</v>
      </c>
      <c r="CB332" s="2" t="e">
        <f ca="1">_xll.BDH($C$328,"TOT_DEBT_TO_EBITDA","FQ4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332" s="2" t="e">
        <f ca="1">_xll.BDH($C$328,"NET_DEBT_TO_EBITDA","FQ4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332" s="2" t="e">
        <f ca="1">_xll.BDH($C$328,"TOTAL_DEBT_TO_EBIT","FQ4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332" s="2" t="e">
        <f ca="1">_xll.BDH($C$328,"NET_DEBT_TO_EBIT","FQ4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332" s="2" t="e">
        <f ca="1">_xll.BDH($C$328,"EBITDA_TO_INTEREST_EXPN","FQ4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332" s="2" t="e">
        <f ca="1">_xll.BDH($C$328,"COM_EQY_TO_TOT_ASSET","FQ4 2014","FQ4 2014","Currency=INR","Period=FQ","BEST_FPERIOD_OVERRIDE=FQ","FILING_STATUS=OR","EQY_CONSOLIDATED=Y","Sort=A","Dates=H","DateFormat=P","Fill=—","Direction=H","UseDPDF=Y")</f>
        <v>#NAME?</v>
      </c>
      <c r="CH332" s="2" t="e">
        <f ca="1">_xll.BDH($C$328,"LT_DEBT_TO_TOT_EQY","FQ4 2014","FQ4 2014","Currency=INR","Period=FQ","BEST_FPERIOD_OVERRIDE=FQ","FILING_STATUS=OR","EQY_CONSOLIDATED=Y","Sort=A","Dates=H","DateFormat=P","Fill=—","Direction=H","UseDPDF=Y")</f>
        <v>#NAME?</v>
      </c>
      <c r="CI332" s="2" t="e">
        <f ca="1">_xll.BDH($C$328,"LT_DEBT_TO_TOT_CAP","FQ4 2014","FQ4 2014","Currency=INR","Period=FQ","BEST_FPERIOD_OVERRIDE=FQ","FILING_STATUS=OR","EQY_CONSOLIDATED=Y","Sort=A","Dates=H","DateFormat=P","Fill=—","Direction=H","UseDPDF=Y")</f>
        <v>#NAME?</v>
      </c>
      <c r="CJ332" s="2" t="e">
        <f ca="1">_xll.BDH($C$328,"LT_DEBT_TO_TOT_ASSET","FQ4 2014","FQ4 2014","Currency=INR","Period=FQ","BEST_FPERIOD_OVERRIDE=FQ","FILING_STATUS=OR","EQY_CONSOLIDATED=Y","Sort=A","Dates=H","DateFormat=P","Fill=—","Direction=H","UseDPDF=Y")</f>
        <v>#NAME?</v>
      </c>
      <c r="CK332" s="2" t="e">
        <f ca="1">_xll.BDH($C$328,"TOT_DEBT_TO_TOT_EQY","FQ4 2014","FQ4 2014","Currency=INR","Period=FQ","BEST_FPERIOD_OVERRIDE=FQ","FILING_STATUS=OR","EQY_CONSOLIDATED=Y","Sort=A","Dates=H","DateFormat=P","Fill=—","Direction=H","UseDPDF=Y")</f>
        <v>#NAME?</v>
      </c>
      <c r="CL332" s="2" t="e">
        <f ca="1">_xll.BDH($C$328,"TOT_DEBT_TO_TOT_CAP","FQ4 2014","FQ4 2014","Currency=INR","Period=FQ","BEST_FPERIOD_OVERRIDE=FQ","FILING_STATUS=OR","EQY_CONSOLIDATED=Y","Sort=A","Dates=H","DateFormat=P","Fill=—","Direction=H","UseDPDF=Y")</f>
        <v>#NAME?</v>
      </c>
      <c r="CM332" s="2" t="e">
        <f ca="1">_xll.BDH($C$328,"TOT_DEBT_TO_TOT_ASSET","FQ4 2014","FQ4 2014","Currency=INR","Period=FQ","BEST_FPERIOD_OVERRIDE=FQ","FILING_STATUS=OR","EQY_CONSOLIDATED=Y","Sort=A","Dates=H","DateFormat=P","Fill=—","Direction=H","UseDPDF=Y")</f>
        <v>#NAME?</v>
      </c>
      <c r="CN332" s="2" t="e">
        <f ca="1">_xll.BDH($C$328,"NET_DEBT_TO_SHRHLDR_EQTY","FQ4 2014","FQ4 2014","Currency=INR","Period=FQ","BEST_FPERIOD_OVERRIDE=FQ","FILING_STATUS=OR","EQY_CONSOLIDATED=Y","Sort=A","Dates=H","DateFormat=P","Fill=—","Direction=H","UseDPDF=Y")</f>
        <v>#NAME?</v>
      </c>
      <c r="CO332" s="2" t="e">
        <f ca="1">_xll.BDH($C$328,"NET_DEBT_%_CAPITAL","FQ4 2014","FQ4 2014","Currency=INR","Period=FQ","BEST_FPERIOD_OVERRIDE=FQ","FILING_STATUS=OR","EQY_CONSOLIDATED=Y","Sort=A","Dates=H","DateFormat=P","Fill=—","Direction=H","UseDPDF=Y")</f>
        <v>#NAME?</v>
      </c>
      <c r="CP332" s="3" t="e">
        <f ca="1">_xll.BDH($C$328,"EBITDA","FQ4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332" s="3" t="e">
        <f ca="1">_xll.BDH($C$328,"EBITDA_AFTER_CAPEX","FQ4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332" s="3" t="e">
        <f ca="1">_xll.BDH($C$328,"IS_OPER_INC","FQ4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332" s="2" t="e">
        <f ca="1">_xll.BDH($C$328,"CASH_RATIO","FQ4 2014","FQ4 2014","Currency=INR","Period=FQ","BEST_FPERIOD_OVERRIDE=FQ","FILING_STATUS=OR","EQY_CONSOLIDATED=Y","Sort=A","Dates=H","DateFormat=P","Fill=—","Direction=H","UseDPDF=Y")</f>
        <v>#NAME?</v>
      </c>
      <c r="CT332" s="2" t="e">
        <f ca="1">_xll.BDH($C$328,"CUR_RATIO","FQ4 2014","FQ4 2014","Currency=INR","Period=FQ","BEST_FPERIOD_OVERRIDE=FQ","FILING_STATUS=OR","EQY_CONSOLIDATED=Y","Sort=A","Dates=H","DateFormat=P","Fill=—","Direction=H","UseDPDF=Y")</f>
        <v>#NAME?</v>
      </c>
      <c r="CU332" s="2" t="e">
        <f ca="1">_xll.BDH($C$328,"QUICK_RATIO","FQ4 2014","FQ4 2014","Currency=INR","Period=FQ","BEST_FPERIOD_OVERRIDE=FQ","FILING_STATUS=OR","EQY_CONSOLIDATED=Y","Sort=A","Dates=H","DateFormat=P","Fill=—","Direction=H","UseDPDF=Y")</f>
        <v>#NAME?</v>
      </c>
      <c r="CV332" s="2" t="e">
        <f ca="1">_xll.BDH($C$328,"ALTMAN_Z_SCORE","FQ4 2014","FQ4 2014","Currency=INR","Period=FQ","BEST_FPERIOD_OVERRIDE=FQ","FILING_STATUS=OR","EQY_CONSOLIDATED=Y","Sort=A","Dates=H","DateFormat=P","Fill=—","Direction=H","UseDPDF=Y")</f>
        <v>#NAME?</v>
      </c>
      <c r="CW332" s="4" t="e">
        <f ca="1">_xll.BDH($C$328,"ACCT_RCV_TURN","FQ4 2014","FQ4 2014","Currency=INR","Period=FQ","BEST_FPERIOD_OVERRIDE=FQ","FILING_STATUS=OR","EQY_CONSOLIDATED=Y","FA_ADJUSTED=GAAP","Sort=A","Dates=H","DateFormat=P","Fill=—","Direction=H","UseDPDF=Y")</f>
        <v>#NAME?</v>
      </c>
      <c r="CX332" s="2" t="e">
        <f ca="1">_xll.BDH($C$328,"ACCT_RCV_DAYS","FQ4 2014","FQ4 2014","Currency=INR","Period=FQ","BEST_FPERIOD_OVERRIDE=FQ","FILING_STATUS=OR","EQY_CONSOLIDATED=Y","FA_ADJUSTED=GAAP","Sort=A","Dates=H","DateFormat=P","Fill=—","Direction=H","UseDPDF=Y")</f>
        <v>#NAME?</v>
      </c>
      <c r="CY332" s="4" t="e">
        <f ca="1">_xll.BDH($C$328,"INVENT_TURN","FQ4 2014","FQ4 2014","Currency=INR","Period=FQ","BEST_FPERIOD_OVERRIDE=FQ","FILING_STATUS=OR","EQY_CONSOLIDATED=Y","FA_ADJUSTED=GAAP","Sort=A","Dates=H","DateFormat=P","Fill=—","Direction=H","UseDPDF=Y")</f>
        <v>#NAME?</v>
      </c>
      <c r="CZ332" s="2" t="e">
        <f ca="1">_xll.BDH($C$328,"INVENT_DAYS","FQ4 2014","FQ4 2014","Currency=INR","Period=FQ","BEST_FPERIOD_OVERRIDE=FQ","FILING_STATUS=OR","EQY_CONSOLIDATED=Y","FA_ADJUSTED=GAAP","Sort=A","Dates=H","DateFormat=P","Fill=—","Direction=H","UseDPDF=Y")</f>
        <v>#NAME?</v>
      </c>
      <c r="DA332" s="4" t="e">
        <f ca="1">_xll.BDH($C$328,"ACCOUNTS_PAYABLE_TURNOVER","FQ4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332" s="2" t="e">
        <f ca="1">_xll.BDH($C$328,"ACCOUNTS_PAYABLE_TURNOVER_DAYS","FQ4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332" s="4" t="e">
        <f ca="1">_xll.BDH($C$328,"CASH_CONVERSION_CYCLE","FQ4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332" s="4" t="e">
        <f ca="1">_xll.BDH($C$328,"INV_TO_CASH_DAYS","FQ4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332" s="5" t="e">
        <f ca="1">_xll.BDH($C$328,"BS_INVENTORIES","FQ4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332" s="3" t="e">
        <f ca="1">_xll.BDH($C$328,"INVTRY_RAW_MATERIALS","FQ4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332" s="3" t="e">
        <f ca="1">_xll.BDH($C$328,"INVTRY_IN_PROGRESS","FQ4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332" s="3" t="e">
        <f ca="1">_xll.BDH($C$328,"INVTRY_FINISHED_GOODS","FQ4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332" s="3" t="e">
        <f ca="1">_xll.BDH($C$328,"BS_OTHER_INV","FQ4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333" spans="1:113" x14ac:dyDescent="0.3">
      <c r="A333" s="6"/>
      <c r="B333" s="6"/>
      <c r="C333" s="6"/>
      <c r="D333" s="6" t="s">
        <v>82</v>
      </c>
      <c r="E333" t="s">
        <v>77</v>
      </c>
      <c r="F333" t="e">
        <f ca="1">_xll.BDH($C$328,"RETURN_COM_EQY","FY 2015","FY 2015","Currency=INR","Period=FY","BEST_FPERIOD_OVERRIDE=FY","FILING_STATUS=OR","EQY_CONSOLIDATED=Y","FA_ADJUSTED=GAAP","Sort=A","Dates=H","DateFormat=P","Fill=—","Direction=H","UseDPDF=Y")</f>
        <v>#NAME?</v>
      </c>
      <c r="G333" t="e">
        <f ca="1">_xll.BDH($C$328,"RETURN_ON_ASSET","FY 2015","FY 2015","Currency=INR","Period=FY","BEST_FPERIOD_OVERRIDE=FY","FILING_STATUS=OR","EQY_CONSOLIDATED=Y","FA_ADJUSTED=GAAP","Sort=A","Dates=H","DateFormat=P","Fill=—","Direction=H","UseDPDF=Y")</f>
        <v>#NAME?</v>
      </c>
      <c r="H333" t="e">
        <f ca="1">_xll.BDH($C$328,"RETURN_ON_CAP","FY 2015","FY 2015","Currency=INR","Period=FY","BEST_FPERIOD_OVERRIDE=FY","FILING_STATUS=OR","EQY_CONSOLIDATED=Y","FA_ADJUSTED=GAAP","Sort=A","Dates=H","DateFormat=P","Fill=—","Direction=H","UseDPDF=Y")</f>
        <v>#NAME?</v>
      </c>
      <c r="I333" t="e">
        <f ca="1">_xll.BDH($C$328,"RETURN_ON_INV_CAPITAL","FY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333" t="e">
        <f ca="1">_xll.BDH($C$328,"EBITDA_TO_REVENUE","FY 2015","FY 2015","Currency=INR","Period=FY","BEST_FPERIOD_OVERRIDE=FY","FILING_STATUS=OR","EQY_CONSOLIDATED=Y","FA_ADJUSTED=GAAP","Sort=A","Dates=H","DateFormat=P","Fill=—","Direction=H","UseDPDF=Y")</f>
        <v>#NAME?</v>
      </c>
      <c r="K333" t="e">
        <f ca="1">_xll.BDH($C$328,"OPER_MARGIN","FY 2015","FY 2015","Currency=INR","Period=FY","BEST_FPERIOD_OVERRIDE=FY","FILING_STATUS=OR","EQY_CONSOLIDATED=Y","FA_ADJUSTED=GAAP","Sort=A","Dates=H","DateFormat=P","Fill=—","Direction=H","UseDPDF=Y")</f>
        <v>#NAME?</v>
      </c>
      <c r="L333" t="e">
        <f ca="1">_xll.BDH($C$328,"INCREMENTAL_OPERATING_MARGIN","FY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333" t="e">
        <f ca="1">_xll.BDH($C$328,"PRETAX_INC_TO_NET_SALES","FY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333" t="e">
        <f ca="1">_xll.BDH($C$328,"INC_BEF_XO_ITEMS_TO_NET_SALES","FY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333" t="e">
        <f ca="1">_xll.BDH($C$328,"PROF_MARGIN","FY 2015","FY 2015","Currency=INR","Period=FY","BEST_FPERIOD_OVERRIDE=FY","FILING_STATUS=OR","EQY_CONSOLIDATED=Y","FA_ADJUSTED=GAAP","Sort=A","Dates=H","DateFormat=P","Fill=—","Direction=H","UseDPDF=Y")</f>
        <v>#NAME?</v>
      </c>
      <c r="P333" t="e">
        <f ca="1">_xll.BDH($C$328,"NET_INCOME_TO_COMMON_MARGIN","FY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333" t="e">
        <f ca="1">_xll.BDH($C$328,"EFF_TAX_RATE","FY 2015","FY 2015","Currency=INR","Period=FY","BEST_FPERIOD_OVERRIDE=FY","FILING_STATUS=OR","EQY_CONSOLIDATED=Y","FA_ADJUSTED=GAAP","Sort=A","Dates=H","DateFormat=P","Fill=—","Direction=H","UseDPDF=Y")</f>
        <v>#NAME?</v>
      </c>
      <c r="R333" t="e">
        <f ca="1">_xll.BDH($C$328,"DVD_PAYOUT_RATIO","FY 2015","FY 2015","Currency=INR","Period=FY","BEST_FPERIOD_OVERRIDE=FY","FILING_STATUS=OR","EQY_CONSOLIDATED=Y","FA_ADJUSTED=GAAP","Sort=A","Dates=H","DateFormat=P","Fill=—","Direction=H","UseDPDF=Y")</f>
        <v>#NAME?</v>
      </c>
      <c r="S333" t="e">
        <f ca="1">_xll.BDH($C$328,"SUSTAIN_GROWTH_RT","FY 2015","FY 2015","Currency=INR","Period=FY","BEST_FPERIOD_OVERRIDE=FY","FILING_STATUS=OR","EQY_CONSOLIDATED=Y","FA_ADJUSTED=GAAP","Sort=A","Dates=H","DateFormat=P","Fill=—","Direction=H","UseDPDF=Y")</f>
        <v>#NAME?</v>
      </c>
      <c r="T333" s="2" t="e">
        <f ca="1">_xll.BDH($C$328,"SALES_GROWTH","FY 2015","FY 2015","Currency=INR","Period=FY","BEST_FPERIOD_OVERRIDE=FY","FILING_STATUS=OR","EQY_CONSOLIDATED=Y","FA_ADJUSTED=GAAP","Sort=A","Dates=H","DateFormat=P","Fill=—","Direction=H","UseDPDF=Y")</f>
        <v>#NAME?</v>
      </c>
      <c r="U333" s="2" t="e">
        <f ca="1">_xll.BDH($C$328,"EBITDA_GROWTH","FY 2015","FY 2015","Currency=INR","Period=FY","BEST_FPERIOD_OVERRIDE=FY","FILING_STATUS=OR","EQY_CONSOLIDATED=Y","FA_ADJUSTED=GAAP","Sort=A","Dates=H","DateFormat=P","Fill=—","Direction=H","UseDPDF=Y")</f>
        <v>#NAME?</v>
      </c>
      <c r="V333" s="2" t="e">
        <f ca="1">_xll.BDH($C$328,"OPER_INC_GROWTH","FY 2015","FY 2015","Currency=INR","Period=FY","BEST_FPERIOD_OVERRIDE=FY","FILING_STATUS=OR","EQY_CONSOLIDATED=Y","FA_ADJUSTED=GAAP","Sort=A","Dates=H","DateFormat=P","Fill=—","Direction=H","UseDPDF=Y")</f>
        <v>#NAME?</v>
      </c>
      <c r="W333" s="2" t="e">
        <f ca="1">_xll.BDH($C$328,"EARN_FOR_COM_GROWTH","FY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333" s="2" t="e">
        <f ca="1">_xll.BDH($C$328,"DILUTED_EPS_AFT_XO_ITEMS_GROWTH","FY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333" s="2" t="e">
        <f ca="1">_xll.BDH($C$328,"DIVIDEND_PER_SHARE_1_YEAR_GROWTH","FY 2015","FY 2015","Currency=INR","Period=FY","BEST_FPERIOD_OVERRIDE=FY","FILING_STATUS=OR","EQY_CONSOLIDATED=Y","Sort=A","Dates=H","DateFormat=P","Fill=—","Direction=H","UseDPDF=Y")</f>
        <v>#NAME?</v>
      </c>
      <c r="Z333" s="2" t="e">
        <f ca="1">_xll.BDH($C$328,"ACCOUNTS_RECEIVABLE_GROWTH","FY 2015","FY 2015","Currency=INR","Period=FY","BEST_FPERIOD_OVERRIDE=FY","FILING_STATUS=OR","EQY_CONSOLIDATED=Y","Sort=A","Dates=H","DateFormat=P","Fill=—","Direction=H","UseDPDF=Y")</f>
        <v>#NAME?</v>
      </c>
      <c r="AA333" s="2" t="e">
        <f ca="1">_xll.BDH($C$328,"INVENTORY_GROWTH","FY 2015","FY 2015","Currency=INR","Period=FY","BEST_FPERIOD_OVERRIDE=FY","FILING_STATUS=OR","EQY_CONSOLIDATED=Y","Sort=A","Dates=H","DateFormat=P","Fill=—","Direction=H","UseDPDF=Y")</f>
        <v>#NAME?</v>
      </c>
      <c r="AB333" s="2" t="e">
        <f ca="1">_xll.BDH($C$328,"NET_FIXED_ASSETS_1_YEAR_GROWTH","FY 2015","FY 2015","Currency=INR","Period=FY","BEST_FPERIOD_OVERRIDE=FY","FILING_STATUS=OR","EQY_CONSOLIDATED=Y","Sort=A","Dates=H","DateFormat=P","Fill=—","Direction=H","UseDPDF=Y")</f>
        <v>#NAME?</v>
      </c>
      <c r="AC333" s="2" t="e">
        <f ca="1">_xll.BDH($C$328,"ASSET_GROWTH","FY 2015","FY 2015","Currency=INR","Period=FY","BEST_FPERIOD_OVERRIDE=FY","FILING_STATUS=OR","EQY_CONSOLIDATED=Y","Sort=A","Dates=H","DateFormat=P","Fill=—","Direction=H","UseDPDF=Y")</f>
        <v>#NAME?</v>
      </c>
      <c r="AD333" s="2" t="e">
        <f ca="1">_xll.BDH($C$328,"MODIFIED_WORK_CAP_GROWTH","FY 2015","FY 2015","Currency=INR","Period=FY","BEST_FPERIOD_OVERRIDE=FY","FILING_STATUS=OR","EQY_CONSOLIDATED=Y","Sort=A","Dates=H","DateFormat=P","Fill=—","Direction=H","UseDPDF=Y")</f>
        <v>#NAME?</v>
      </c>
      <c r="AE333" s="2" t="e">
        <f ca="1">_xll.BDH($C$328,"WORK_CAP_GROWTH","FY 2015","FY 2015","Currency=INR","Period=FY","BEST_FPERIOD_OVERRIDE=FY","FILING_STATUS=OR","EQY_CONSOLIDATED=Y","Sort=A","Dates=H","DateFormat=P","Fill=—","Direction=H","UseDPDF=Y")</f>
        <v>#NAME?</v>
      </c>
      <c r="AF333" s="2" t="e">
        <f ca="1">_xll.BDH($C$328,"ACCOUNTS_PAYABLE_GROWTH_1YR","FY 2015","FY 2015","Currency=INR","Period=FY","BEST_FPERIOD_OVERRIDE=FY","FILING_STATUS=OR","EQY_CONSOLIDATED=Y","Sort=A","Dates=H","DateFormat=P","Fill=—","Direction=H","UseDPDF=Y")</f>
        <v>#NAME?</v>
      </c>
      <c r="AG333" s="2" t="e">
        <f ca="1">_xll.BDH($C$328,"SHORT_TERM_DEBT_1_YEAR_GROWTH","FY 2015","FY 2015","Currency=INR","Period=FY","BEST_FPERIOD_OVERRIDE=FY","FILING_STATUS=OR","EQY_CONSOLIDATED=Y","Sort=A","Dates=H","DateFormat=P","Fill=—","Direction=H","UseDPDF=Y")</f>
        <v>#NAME?</v>
      </c>
      <c r="AH333" s="2" t="e">
        <f ca="1">_xll.BDH($C$328,"TOTAL_DEBT_1_YEAR_GROWTH","FY 2015","FY 2015","Currency=INR","Period=FY","BEST_FPERIOD_OVERRIDE=FY","FILING_STATUS=OR","EQY_CONSOLIDATED=Y","Sort=A","Dates=H","DateFormat=P","Fill=—","Direction=H","UseDPDF=Y")</f>
        <v>#NAME?</v>
      </c>
      <c r="AI333" s="2" t="e">
        <f ca="1">_xll.BDH($C$328,"TOTAL_EQUITY_1_YEAR_GROWTH","FY 2015","FY 2015","Currency=INR","Period=FY","BEST_FPERIOD_OVERRIDE=FY","FILING_STATUS=OR","EQY_CONSOLIDATED=Y","Sort=A","Dates=H","DateFormat=P","Fill=—","Direction=H","UseDPDF=Y")</f>
        <v>#NAME?</v>
      </c>
      <c r="AJ333" s="2" t="e">
        <f ca="1">_xll.BDH($C$328,"GROWTH_IN_CAP","FY 2015","FY 2015","Currency=INR","Period=FY","BEST_FPERIOD_OVERRIDE=FY","FILING_STATUS=OR","EQY_CONSOLIDATED=Y","Sort=A","Dates=H","DateFormat=P","Fill=—","Direction=H","UseDPDF=Y")</f>
        <v>#NAME?</v>
      </c>
      <c r="AK333" s="2" t="e">
        <f ca="1">_xll.BDH($C$328,"BVPS_GROWTH","FY 2015","FY 2015","Currency=INR","Period=FY","BEST_FPERIOD_OVERRIDE=FY","FILING_STATUS=OR","EQY_CONSOLIDATED=Y","Sort=A","Dates=H","DateFormat=P","Fill=—","Direction=H","UseDPDF=Y")</f>
        <v>#NAME?</v>
      </c>
      <c r="AL333" s="2" t="e">
        <f ca="1">_xll.BDH($C$328,"CASH_FLOW_GROWTH","FY 2015","FY 2015","Currency=INR","Period=FY","BEST_FPERIOD_OVERRIDE=FY","FILING_STATUS=OR","EQY_CONSOLIDATED=Y","Sort=A","Dates=H","DateFormat=P","Fill=—","Direction=H","UseDPDF=Y")</f>
        <v>#NAME?</v>
      </c>
      <c r="AM333" s="2" t="e">
        <f ca="1">_xll.BDH($C$328,"GEO_GROW_NET_SALES","FY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333" s="2" t="e">
        <f ca="1">_xll.BDH($C$328,"GEO_GROW_EBITDA","FY 2015","FY 2015","Currency=INR","Period=FY","BEST_FPERIOD_OVERRIDE=FY","FILING_STATUS=OR","EQY_CONSOLIDATED=Y","FA_ADJUSTED=GAAP","Sort=A","Dates=H","DateFormat=P","Fill=—","Direction=H","UseDPDF=Y")</f>
        <v>#NAME?</v>
      </c>
      <c r="AO333" s="2" t="e">
        <f ca="1">_xll.BDH($C$328,"GEO_GROW_OPER_INC","FY 2015","FY 2015","Currency=INR","Period=FY","BEST_FPERIOD_OVERRIDE=FY","FILING_STATUS=OR","EQY_CONSOLIDATED=Y","FA_ADJUSTED=GAAP","Sort=A","Dates=H","DateFormat=P","Fill=—","Direction=H","UseDPDF=Y")</f>
        <v>#NAME?</v>
      </c>
      <c r="AP333" s="2" t="e">
        <f ca="1">_xll.BDH($C$328,"NET_INCOME_TO_COMMON_5_YR_GROWTH","FY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333" s="2" t="e">
        <f ca="1">_xll.BDH($C$328,"5Y_GEO_GROWTH_DILUTED_EPS","FY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333" s="2" t="e">
        <f ca="1">_xll.BDH($C$328,"GEO_GROW_DVD_PER_SH","FY 2015","FY 2015","Currency=INR","Period=FY","BEST_FPERIOD_OVERRIDE=FY","FILING_STATUS=OR","EQY_CONSOLIDATED=Y","Sort=A","Dates=H","DateFormat=P","Fill=—","Direction=H","UseDPDF=Y")</f>
        <v>#NAME?</v>
      </c>
      <c r="AS333" s="2" t="e">
        <f ca="1">_xll.BDH($C$328,"ACCOUNTS_RECEIVABLE_5_YR_GROWTH","FY 2015","FY 2015","Currency=INR","Period=FY","BEST_FPERIOD_OVERRIDE=FY","FILING_STATUS=OR","EQY_CONSOLIDATED=Y","Sort=A","Dates=H","DateFormat=P","Fill=—","Direction=H","UseDPDF=Y")</f>
        <v>#NAME?</v>
      </c>
      <c r="AT333" s="2" t="e">
        <f ca="1">_xll.BDH($C$328,"INVENTORY_5_YEAR_GROWTH","FY 2015","FY 2015","Currency=INR","Period=FY","BEST_FPERIOD_OVERRIDE=FY","FILING_STATUS=OR","EQY_CONSOLIDATED=Y","Sort=A","Dates=H","DateFormat=P","Fill=—","Direction=H","UseDPDF=Y")</f>
        <v>#NAME?</v>
      </c>
      <c r="AU333" s="2" t="e">
        <f ca="1">_xll.BDH($C$328,"NET_FIXED_ASSETS_5_YEAR_GROWTH","FY 2015","FY 2015","Currency=INR","Period=FY","BEST_FPERIOD_OVERRIDE=FY","FILING_STATUS=OR","EQY_CONSOLIDATED=Y","Sort=A","Dates=H","DateFormat=P","Fill=—","Direction=H","UseDPDF=Y")</f>
        <v>#NAME?</v>
      </c>
      <c r="AV333" s="2" t="e">
        <f ca="1">_xll.BDH($C$328,"GEO_GROW_TOT_ASSET","FY 2015","FY 2015","Currency=INR","Period=FY","BEST_FPERIOD_OVERRIDE=FY","FILING_STATUS=OR","EQY_CONSOLIDATED=Y","Sort=A","Dates=H","DateFormat=P","Fill=—","Direction=H","UseDPDF=Y")</f>
        <v>#NAME?</v>
      </c>
      <c r="AW333" s="2" t="e">
        <f ca="1">_xll.BDH($C$328,"MODIFIED_WORKING_CPTL_5YR_GRWTH","FY 2015","FY 2015","Currency=INR","Period=FY","BEST_FPERIOD_OVERRIDE=FY","FILING_STATUS=OR","EQY_CONSOLIDATED=Y","Sort=A","Dates=H","DateFormat=P","Fill=—","Direction=H","UseDPDF=Y")</f>
        <v>#NAME?</v>
      </c>
      <c r="AX333" s="2" t="e">
        <f ca="1">_xll.BDH($C$328,"WORKING_CAPITAL_5_YEAR_GROWTH","FY 2015","FY 2015","Currency=INR","Period=FY","BEST_FPERIOD_OVERRIDE=FY","FILING_STATUS=OR","EQY_CONSOLIDATED=Y","Sort=A","Dates=H","DateFormat=P","Fill=—","Direction=H","UseDPDF=Y")</f>
        <v>#NAME?</v>
      </c>
      <c r="AY333" s="2" t="e">
        <f ca="1">_xll.BDH($C$328,"ACCOUNTS_PAYABLE_5_YEAR_GROWTH","FY 2015","FY 2015","Currency=INR","Period=FY","BEST_FPERIOD_OVERRIDE=FY","FILING_STATUS=OR","EQY_CONSOLIDATED=Y","Sort=A","Dates=H","DateFormat=P","Fill=—","Direction=H","UseDPDF=Y")</f>
        <v>#NAME?</v>
      </c>
      <c r="AZ333" s="2" t="e">
        <f ca="1">_xll.BDH($C$328,"SHORT_TERM_DEBT_5_YEAR_GROWTH","FY 2015","FY 2015","Currency=INR","Period=FY","BEST_FPERIOD_OVERRIDE=FY","FILING_STATUS=OR","EQY_CONSOLIDATED=Y","Sort=A","Dates=H","DateFormat=P","Fill=—","Direction=H","UseDPDF=Y")</f>
        <v>#NAME?</v>
      </c>
      <c r="BA333" s="2" t="e">
        <f ca="1">_xll.BDH($C$328,"TOTAL_DEBT_5_YEAR_GROWTH","FY 2015","FY 2015","Currency=INR","Period=FY","BEST_FPERIOD_OVERRIDE=FY","FILING_STATUS=OR","EQY_CONSOLIDATED=Y","Sort=A","Dates=H","DateFormat=P","Fill=—","Direction=H","UseDPDF=Y")</f>
        <v>#NAME?</v>
      </c>
      <c r="BB333" s="2" t="e">
        <f ca="1">_xll.BDH($C$328,"GEO_GROW_TOT_SHRHLDR_EQY","FY 2015","FY 2015","Currency=INR","Period=FY","BEST_FPERIOD_OVERRIDE=FY","FILING_STATUS=OR","EQY_CONSOLIDATED=Y","Sort=A","Dates=H","DateFormat=P","Fill=—","Direction=H","UseDPDF=Y")</f>
        <v>#NAME?</v>
      </c>
      <c r="BC333" s="2" t="e">
        <f ca="1">_xll.BDH($C$328,"TOTAL_CAPITAL_5_YEAR_GROWTH","FY 2015","FY 2015","Currency=INR","Period=FY","BEST_FPERIOD_OVERRIDE=FY","FILING_STATUS=OR","EQY_CONSOLIDATED=Y","Sort=A","Dates=H","DateFormat=P","Fill=—","Direction=H","UseDPDF=Y")</f>
        <v>#NAME?</v>
      </c>
      <c r="BD333" s="2" t="e">
        <f ca="1">_xll.BDH($C$328,"GEO_GROW_BOOK_VAL","FY 2015","FY 2015","Currency=INR","Period=FY","BEST_FPERIOD_OVERRIDE=FY","FILING_STATUS=OR","EQY_CONSOLIDATED=Y","Sort=A","Dates=H","DateFormat=P","Fill=—","Direction=H","UseDPDF=Y")</f>
        <v>#NAME?</v>
      </c>
      <c r="BE333" s="2" t="e">
        <f ca="1">_xll.BDH($C$328,"GEO_GROW_CASH_OPER_ACT","FY 2015","FY 2015","Currency=INR","Period=FY","BEST_FPERIOD_OVERRIDE=FY","FILING_STATUS=OR","EQY_CONSOLIDATED=Y","Sort=A","Dates=H","DateFormat=P","Fill=—","Direction=H","UseDPDF=Y")</f>
        <v>#NAME?</v>
      </c>
      <c r="BF333" s="2" t="e">
        <f ca="1">_xll.BDH($C$328,"REVENUE_SEQUENTIAL_GROWTH","FY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333" s="2" t="e">
        <f ca="1">_xll.BDH($C$328,"EBITDA_SEQUENTIAL_GROWTH","FY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333" s="2" t="e">
        <f ca="1">_xll.BDH($C$328,"OPERATING_INCOME_SEQ_GROWTH","FY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333" s="2" t="e">
        <f ca="1">_xll.BDH($C$328,"NET_INCOME_TO_COMMON_SEQ_GROWTH","FY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333" s="2" t="e">
        <f ca="1">_xll.BDH($C$328,"EPS_DILUTED_SEQUENTIAL_GROWTH","FY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333" s="2" t="e">
        <f ca="1">_xll.BDH($C$328,"DPS_SEQUENTIAL_GROWTH","FY 2015","FY 2015","Currency=INR","Period=FY","BEST_FPERIOD_OVERRIDE=FY","FILING_STATUS=OR","EQY_CONSOLIDATED=Y","Sort=A","Dates=H","DateFormat=P","Fill=—","Direction=H","UseDPDF=Y")</f>
        <v>#NAME?</v>
      </c>
      <c r="BL333" s="2" t="e">
        <f ca="1">_xll.BDH($C$328,"ACCOUNTS_RECEIVABLE_SEQ_GROWTH","FY 2015","FY 2015","Currency=INR","Period=FY","BEST_FPERIOD_OVERRIDE=FY","FILING_STATUS=OR","EQY_CONSOLIDATED=Y","Sort=A","Dates=H","DateFormat=P","Fill=—","Direction=H","UseDPDF=Y")</f>
        <v>#NAME?</v>
      </c>
      <c r="BM333" s="2" t="e">
        <f ca="1">_xll.BDH($C$328,"INVENTORY_SEQUENTIAL_GROWTH","FY 2015","FY 2015","Currency=INR","Period=FY","BEST_FPERIOD_OVERRIDE=FY","FILING_STATUS=OR","EQY_CONSOLIDATED=Y","Sort=A","Dates=H","DateFormat=P","Fill=—","Direction=H","UseDPDF=Y")</f>
        <v>#NAME?</v>
      </c>
      <c r="BN333" s="2" t="e">
        <f ca="1">_xll.BDH($C$328,"FIXED_ASSETS_SEQUENTIAL_GROWTH","FY 2015","FY 2015","Currency=INR","Period=FY","BEST_FPERIOD_OVERRIDE=FY","FILING_STATUS=OR","EQY_CONSOLIDATED=Y","Sort=A","Dates=H","DateFormat=P","Fill=—","Direction=H","UseDPDF=Y")</f>
        <v>#NAME?</v>
      </c>
      <c r="BO333" s="2" t="e">
        <f ca="1">_xll.BDH($C$328,"TOTAL_ASSETS_SEQUENTIAL_GROWTH","FY 2015","FY 2015","Currency=INR","Period=FY","BEST_FPERIOD_OVERRIDE=FY","FILING_STATUS=OR","EQY_CONSOLIDATED=Y","Sort=A","Dates=H","DateFormat=P","Fill=—","Direction=H","UseDPDF=Y")</f>
        <v>#NAME?</v>
      </c>
      <c r="BP333" s="2" t="e">
        <f ca="1">_xll.BDH($C$328,"MODIFIED_WORKING_CPTL_SEQ_GRWTH","FY 2015","FY 2015","Currency=INR","Period=FY","BEST_FPERIOD_OVERRIDE=FY","FILING_STATUS=OR","EQY_CONSOLIDATED=Y","Sort=A","Dates=H","DateFormat=P","Fill=—","Direction=H","UseDPDF=Y")</f>
        <v>#NAME?</v>
      </c>
      <c r="BQ333" s="2" t="e">
        <f ca="1">_xll.BDH($C$328,"WORKING_CAPITAL_SEQ_GROWTH","FY 2015","FY 2015","Currency=INR","Period=FY","BEST_FPERIOD_OVERRIDE=FY","FILING_STATUS=OR","EQY_CONSOLIDATED=Y","Sort=A","Dates=H","DateFormat=P","Fill=—","Direction=H","UseDPDF=Y")</f>
        <v>#NAME?</v>
      </c>
      <c r="BR333" s="2" t="e">
        <f ca="1">_xll.BDH($C$328,"ACCOUNTS_PAYABLE_SEQ_GROWTH","FY 2015","FY 2015","Currency=INR","Period=FY","BEST_FPERIOD_OVERRIDE=FY","FILING_STATUS=OR","EQY_CONSOLIDATED=Y","Sort=A","Dates=H","DateFormat=P","Fill=—","Direction=H","UseDPDF=Y")</f>
        <v>#NAME?</v>
      </c>
      <c r="BS333" s="2" t="e">
        <f ca="1">_xll.BDH($C$328,"ST_DEBT_SEQUENTIAL_GROWTH","FY 2015","FY 2015","Currency=INR","Period=FY","BEST_FPERIOD_OVERRIDE=FY","FILING_STATUS=OR","EQY_CONSOLIDATED=Y","Sort=A","Dates=H","DateFormat=P","Fill=—","Direction=H","UseDPDF=Y")</f>
        <v>#NAME?</v>
      </c>
      <c r="BT333" s="2" t="e">
        <f ca="1">_xll.BDH($C$328,"TOTAL_DEBT_SEQUENTIAL_GROWTH","FY 2015","FY 2015","Currency=INR","Period=FY","BEST_FPERIOD_OVERRIDE=FY","FILING_STATUS=OR","EQY_CONSOLIDATED=Y","Sort=A","Dates=H","DateFormat=P","Fill=—","Direction=H","UseDPDF=Y")</f>
        <v>#NAME?</v>
      </c>
      <c r="BU333" s="2" t="e">
        <f ca="1">_xll.BDH($C$328,"TOTAL_EQUITY_SEQUENTIAL_GROWTH","FY 2015","FY 2015","Currency=INR","Period=FY","BEST_FPERIOD_OVERRIDE=FY","FILING_STATUS=OR","EQY_CONSOLIDATED=Y","Sort=A","Dates=H","DateFormat=P","Fill=—","Direction=H","UseDPDF=Y")</f>
        <v>#NAME?</v>
      </c>
      <c r="BV333" s="2" t="e">
        <f ca="1">_xll.BDH($C$328,"TOTAL_CAPITAL_SEQUENTIAL_GROWTH","FY 2015","FY 2015","Currency=INR","Period=FY","BEST_FPERIOD_OVERRIDE=FY","FILING_STATUS=OR","EQY_CONSOLIDATED=Y","Sort=A","Dates=H","DateFormat=P","Fill=—","Direction=H","UseDPDF=Y")</f>
        <v>#NAME?</v>
      </c>
      <c r="BW333" s="2" t="e">
        <f ca="1">_xll.BDH($C$328,"BPS_SEQUENTIAL_GROWTH","FY 2015","FY 2015","Currency=INR","Period=FY","BEST_FPERIOD_OVERRIDE=FY","FILING_STATUS=OR","EQY_CONSOLIDATED=Y","Sort=A","Dates=H","DateFormat=P","Fill=—","Direction=H","UseDPDF=Y")</f>
        <v>#NAME?</v>
      </c>
      <c r="BX333" s="2" t="e">
        <f ca="1">_xll.BDH($C$328,"CFO_SEQUENTIAL_GROWTH","FY 2015","FY 2015","Currency=INR","Period=FY","BEST_FPERIOD_OVERRIDE=FY","FILING_STATUS=OR","EQY_CONSOLIDATED=Y","Sort=A","Dates=H","DateFormat=P","Fill=—","Direction=H","UseDPDF=Y")</f>
        <v>#NAME?</v>
      </c>
      <c r="BY333" s="3" t="e">
        <f ca="1">_xll.BDH($C$328,"SHORT_AND_LONG_TERM_DEBT","FY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333" s="3" t="e">
        <f ca="1">_xll.BDH($C$328,"BS_ST_BORROW","FY 2015","FY 2015","Currency=INR","Period=FY","BEST_FPERIOD_OVERRIDE=FY","FILING_STATUS=OR","EQY_CONSOLIDATED=Y","SCALING_FORMAT=MLN","Sort=A","Dates=H","DateFormat=P","Fill=—","Direction=H","UseDPDF=Y")</f>
        <v>#NAME?</v>
      </c>
      <c r="CA333" s="3" t="e">
        <f ca="1">_xll.BDH($C$328,"BS_LT_BORROW","FY 2015","FY 2015","Currency=INR","Period=FY","BEST_FPERIOD_OVERRIDE=FY","FILING_STATUS=OR","EQY_CONSOLIDATED=Y","SCALING_FORMAT=MLN","Sort=A","Dates=H","DateFormat=P","Fill=—","Direction=H","UseDPDF=Y")</f>
        <v>#NAME?</v>
      </c>
      <c r="CB333" s="2" t="e">
        <f ca="1">_xll.BDH($C$328,"TOT_DEBT_TO_EBITDA","FY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333" s="2" t="e">
        <f ca="1">_xll.BDH($C$328,"NET_DEBT_TO_EBITDA","FY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333" s="2" t="e">
        <f ca="1">_xll.BDH($C$328,"TOTAL_DEBT_TO_EBIT","FY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333" s="2" t="e">
        <f ca="1">_xll.BDH($C$328,"NET_DEBT_TO_EBIT","FY 2015","FY 2015","Currency=INR","Period=FY","BEST_FPERIOD_OVERRIDE=FY","FILING_STATUS=OR","EQY_CONSOLIDATED=Y","FA_ADJUSTED=GAAP","Sort=A","Dates=H","DateFormat=P","Fill=—","Direction=H","UseDPDF=Y")</f>
        <v>#NAME?</v>
      </c>
      <c r="CF333" s="2" t="e">
        <f ca="1">_xll.BDH($C$328,"EBITDA_TO_INTEREST_EXPN","FY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333" s="2" t="e">
        <f ca="1">_xll.BDH($C$328,"COM_EQY_TO_TOT_ASSET","FY 2015","FY 2015","Currency=INR","Period=FY","BEST_FPERIOD_OVERRIDE=FY","FILING_STATUS=OR","EQY_CONSOLIDATED=Y","Sort=A","Dates=H","DateFormat=P","Fill=—","Direction=H","UseDPDF=Y")</f>
        <v>#NAME?</v>
      </c>
      <c r="CH333" s="2" t="e">
        <f ca="1">_xll.BDH($C$328,"LT_DEBT_TO_TOT_EQY","FY 2015","FY 2015","Currency=INR","Period=FY","BEST_FPERIOD_OVERRIDE=FY","FILING_STATUS=OR","EQY_CONSOLIDATED=Y","Sort=A","Dates=H","DateFormat=P","Fill=—","Direction=H","UseDPDF=Y")</f>
        <v>#NAME?</v>
      </c>
      <c r="CI333" s="2" t="e">
        <f ca="1">_xll.BDH($C$328,"LT_DEBT_TO_TOT_CAP","FY 2015","FY 2015","Currency=INR","Period=FY","BEST_FPERIOD_OVERRIDE=FY","FILING_STATUS=OR","EQY_CONSOLIDATED=Y","Sort=A","Dates=H","DateFormat=P","Fill=—","Direction=H","UseDPDF=Y")</f>
        <v>#NAME?</v>
      </c>
      <c r="CJ333" s="2" t="e">
        <f ca="1">_xll.BDH($C$328,"LT_DEBT_TO_TOT_ASSET","FY 2015","FY 2015","Currency=INR","Period=FY","BEST_FPERIOD_OVERRIDE=FY","FILING_STATUS=OR","EQY_CONSOLIDATED=Y","Sort=A","Dates=H","DateFormat=P","Fill=—","Direction=H","UseDPDF=Y")</f>
        <v>#NAME?</v>
      </c>
      <c r="CK333" s="2" t="e">
        <f ca="1">_xll.BDH($C$328,"TOT_DEBT_TO_TOT_EQY","FY 2015","FY 2015","Currency=INR","Period=FY","BEST_FPERIOD_OVERRIDE=FY","FILING_STATUS=OR","EQY_CONSOLIDATED=Y","Sort=A","Dates=H","DateFormat=P","Fill=—","Direction=H","UseDPDF=Y")</f>
        <v>#NAME?</v>
      </c>
      <c r="CL333" s="2" t="e">
        <f ca="1">_xll.BDH($C$328,"TOT_DEBT_TO_TOT_CAP","FY 2015","FY 2015","Currency=INR","Period=FY","BEST_FPERIOD_OVERRIDE=FY","FILING_STATUS=OR","EQY_CONSOLIDATED=Y","Sort=A","Dates=H","DateFormat=P","Fill=—","Direction=H","UseDPDF=Y")</f>
        <v>#NAME?</v>
      </c>
      <c r="CM333" s="2" t="e">
        <f ca="1">_xll.BDH($C$328,"TOT_DEBT_TO_TOT_ASSET","FY 2015","FY 2015","Currency=INR","Period=FY","BEST_FPERIOD_OVERRIDE=FY","FILING_STATUS=OR","EQY_CONSOLIDATED=Y","Sort=A","Dates=H","DateFormat=P","Fill=—","Direction=H","UseDPDF=Y")</f>
        <v>#NAME?</v>
      </c>
      <c r="CN333" s="2" t="e">
        <f ca="1">_xll.BDH($C$328,"NET_DEBT_TO_SHRHLDR_EQTY","FY 2015","FY 2015","Currency=INR","Period=FY","BEST_FPERIOD_OVERRIDE=FY","FILING_STATUS=OR","EQY_CONSOLIDATED=Y","Sort=A","Dates=H","DateFormat=P","Fill=—","Direction=H","UseDPDF=Y")</f>
        <v>#NAME?</v>
      </c>
      <c r="CO333" s="2" t="e">
        <f ca="1">_xll.BDH($C$328,"NET_DEBT_%_CAPITAL","FY 2015","FY 2015","Currency=INR","Period=FY","BEST_FPERIOD_OVERRIDE=FY","FILING_STATUS=OR","EQY_CONSOLIDATED=Y","Sort=A","Dates=H","DateFormat=P","Fill=—","Direction=H","UseDPDF=Y")</f>
        <v>#NAME?</v>
      </c>
      <c r="CP333" s="3" t="e">
        <f ca="1">_xll.BDH($C$328,"EBITDA","FY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333" s="3" t="e">
        <f ca="1">_xll.BDH($C$328,"EBITDA_AFTER_CAPEX","FY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333" s="3" t="e">
        <f ca="1">_xll.BDH($C$328,"IS_OPER_INC","FY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333" s="2" t="e">
        <f ca="1">_xll.BDH($C$328,"CASH_RATIO","FY 2015","FY 2015","Currency=INR","Period=FY","BEST_FPERIOD_OVERRIDE=FY","FILING_STATUS=OR","EQY_CONSOLIDATED=Y","Sort=A","Dates=H","DateFormat=P","Fill=—","Direction=H","UseDPDF=Y")</f>
        <v>#NAME?</v>
      </c>
      <c r="CT333" s="2" t="e">
        <f ca="1">_xll.BDH($C$328,"CUR_RATIO","FY 2015","FY 2015","Currency=INR","Period=FY","BEST_FPERIOD_OVERRIDE=FY","FILING_STATUS=OR","EQY_CONSOLIDATED=Y","Sort=A","Dates=H","DateFormat=P","Fill=—","Direction=H","UseDPDF=Y")</f>
        <v>#NAME?</v>
      </c>
      <c r="CU333" s="2" t="e">
        <f ca="1">_xll.BDH($C$328,"QUICK_RATIO","FY 2015","FY 2015","Currency=INR","Period=FY","BEST_FPERIOD_OVERRIDE=FY","FILING_STATUS=OR","EQY_CONSOLIDATED=Y","Sort=A","Dates=H","DateFormat=P","Fill=—","Direction=H","UseDPDF=Y")</f>
        <v>#NAME?</v>
      </c>
      <c r="CV333" s="2" t="e">
        <f ca="1">_xll.BDH($C$328,"ALTMAN_Z_SCORE","FY 2015","FY 2015","Currency=INR","Period=FY","BEST_FPERIOD_OVERRIDE=FY","FILING_STATUS=OR","EQY_CONSOLIDATED=Y","Sort=A","Dates=H","DateFormat=P","Fill=—","Direction=H","UseDPDF=Y")</f>
        <v>#NAME?</v>
      </c>
      <c r="CW333" s="4" t="e">
        <f ca="1">_xll.BDH($C$328,"ACCT_RCV_TURN","FY 2015","FY 2015","Currency=INR","Period=FY","BEST_FPERIOD_OVERRIDE=FY","FILING_STATUS=OR","EQY_CONSOLIDATED=Y","FA_ADJUSTED=GAAP","Sort=A","Dates=H","DateFormat=P","Fill=—","Direction=H","UseDPDF=Y")</f>
        <v>#NAME?</v>
      </c>
      <c r="CX333" s="2" t="e">
        <f ca="1">_xll.BDH($C$328,"ACCT_RCV_DAYS","FY 2015","FY 2015","Currency=INR","Period=FY","BEST_FPERIOD_OVERRIDE=FY","FILING_STATUS=OR","EQY_CONSOLIDATED=Y","FA_ADJUSTED=GAAP","Sort=A","Dates=H","DateFormat=P","Fill=—","Direction=H","UseDPDF=Y")</f>
        <v>#NAME?</v>
      </c>
      <c r="CY333" s="4" t="e">
        <f ca="1">_xll.BDH($C$328,"INVENT_TURN","FY 2015","FY 2015","Currency=INR","Period=FY","BEST_FPERIOD_OVERRIDE=FY","FILING_STATUS=OR","EQY_CONSOLIDATED=Y","FA_ADJUSTED=GAAP","Sort=A","Dates=H","DateFormat=P","Fill=—","Direction=H","UseDPDF=Y")</f>
        <v>#NAME?</v>
      </c>
      <c r="CZ333" s="2" t="e">
        <f ca="1">_xll.BDH($C$328,"INVENT_DAYS","FY 2015","FY 2015","Currency=INR","Period=FY","BEST_FPERIOD_OVERRIDE=FY","FILING_STATUS=OR","EQY_CONSOLIDATED=Y","FA_ADJUSTED=GAAP","Sort=A","Dates=H","DateFormat=P","Fill=—","Direction=H","UseDPDF=Y")</f>
        <v>#NAME?</v>
      </c>
      <c r="DA333" s="4" t="e">
        <f ca="1">_xll.BDH($C$328,"ACCOUNTS_PAYABLE_TURNOVER","FY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333" s="2" t="e">
        <f ca="1">_xll.BDH($C$328,"ACCOUNTS_PAYABLE_TURNOVER_DAYS","FY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333" s="4" t="e">
        <f ca="1">_xll.BDH($C$328,"CASH_CONVERSION_CYCLE","FY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333" s="4" t="e">
        <f ca="1">_xll.BDH($C$328,"INV_TO_CASH_DAYS","FY 2015","FY 2015","Currency=INR","Period=FY","BEST_FPERIOD_OVERRIDE=FY","FILING_STATUS=OR","EQY_CONSOLIDATED=Y","FA_ADJUSTED=GAAP","Sort=A","Dates=H","DateFormat=P","Fill=—","Direction=H","UseDPDF=Y")</f>
        <v>#NAME?</v>
      </c>
      <c r="DE333" s="5" t="e">
        <f ca="1">_xll.BDH($C$328,"BS_INVENTORIES","FY 2015","FY 2015","Currency=INR","Period=FY","BEST_FPERIOD_OVERRIDE=FY","FILING_STATUS=OR","EQY_CONSOLIDATED=Y","SCALING_FORMAT=MLN","Sort=A","Dates=H","DateFormat=P","Fill=—","Direction=H","UseDPDF=Y")</f>
        <v>#NAME?</v>
      </c>
      <c r="DF333" s="3" t="e">
        <f ca="1">_xll.BDH($C$328,"INVTRY_RAW_MATERIALS","FY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333" s="3" t="e">
        <f ca="1">_xll.BDH($C$328,"INVTRY_IN_PROGRESS","FY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333" s="3" t="e">
        <f ca="1">_xll.BDH($C$328,"INVTRY_FINISHED_GOODS","FY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333" s="3" t="e">
        <f ca="1">_xll.BDH($C$328,"BS_OTHER_INV","FY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334" spans="1:113" x14ac:dyDescent="0.3">
      <c r="A334" s="6"/>
      <c r="B334" s="6"/>
      <c r="C334" s="6"/>
      <c r="D334" s="6"/>
      <c r="E334" t="s">
        <v>78</v>
      </c>
      <c r="F334" t="e">
        <f ca="1">_xll.BDH($C$328,"RETURN_COM_EQY","FQ1 2015","FQ1 2015","Currency=INR","Period=FQ","BEST_FPERIOD_OVERRIDE=FQ","FILING_STATUS=OR","EQY_CONSOLIDATED=Y","FA_ADJUSTED=GAAP","Sort=A","Dates=H","DateFormat=P","Fill=—","Direction=H","UseDPDF=Y")</f>
        <v>#NAME?</v>
      </c>
      <c r="G334" t="e">
        <f ca="1">_xll.BDH($C$328,"RETURN_ON_ASSET","FQ1 2015","FQ1 2015","Currency=INR","Period=FQ","BEST_FPERIOD_OVERRIDE=FQ","FILING_STATUS=OR","EQY_CONSOLIDATED=Y","FA_ADJUSTED=GAAP","Sort=A","Dates=H","DateFormat=P","Fill=—","Direction=H","UseDPDF=Y")</f>
        <v>#NAME?</v>
      </c>
      <c r="H334" t="e">
        <f ca="1">_xll.BDH($C$328,"RETURN_ON_CAP","FQ1 2015","FQ1 2015","Currency=INR","Period=FQ","BEST_FPERIOD_OVERRIDE=FQ","FILING_STATUS=OR","EQY_CONSOLIDATED=Y","FA_ADJUSTED=GAAP","Sort=A","Dates=H","DateFormat=P","Fill=—","Direction=H","UseDPDF=Y")</f>
        <v>#NAME?</v>
      </c>
      <c r="I334" t="e">
        <f ca="1">_xll.BDH($C$328,"RETURN_ON_INV_CAPITAL","FQ1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334" t="e">
        <f ca="1">_xll.BDH($C$328,"EBITDA_TO_REVENUE","FQ1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334" t="e">
        <f ca="1">_xll.BDH($C$328,"OPER_MARGIN","FQ1 2015","FQ1 2015","Currency=INR","Period=FQ","BEST_FPERIOD_OVERRIDE=FQ","FILING_STATUS=OR","EQY_CONSOLIDATED=Y","FA_ADJUSTED=GAAP","Sort=A","Dates=H","DateFormat=P","Fill=—","Direction=H","UseDPDF=Y")</f>
        <v>#NAME?</v>
      </c>
      <c r="L334" t="e">
        <f ca="1">_xll.BDH($C$328,"INCREMENTAL_OPERATING_MARGIN","FQ1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334" t="e">
        <f ca="1">_xll.BDH($C$328,"PRETAX_INC_TO_NET_SALES","FQ1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334" t="e">
        <f ca="1">_xll.BDH($C$328,"INC_BEF_XO_ITEMS_TO_NET_SALES","FQ1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334" t="e">
        <f ca="1">_xll.BDH($C$328,"PROF_MARGIN","FQ1 2015","FQ1 2015","Currency=INR","Period=FQ","BEST_FPERIOD_OVERRIDE=FQ","FILING_STATUS=OR","EQY_CONSOLIDATED=Y","FA_ADJUSTED=GAAP","Sort=A","Dates=H","DateFormat=P","Fill=—","Direction=H","UseDPDF=Y")</f>
        <v>#NAME?</v>
      </c>
      <c r="P334" t="e">
        <f ca="1">_xll.BDH($C$328,"NET_INCOME_TO_COMMON_MARGIN","FQ1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334" t="e">
        <f ca="1">_xll.BDH($C$328,"EFF_TAX_RATE","FQ1 2015","FQ1 2015","Currency=INR","Period=FQ","BEST_FPERIOD_OVERRIDE=FQ","FILING_STATUS=OR","EQY_CONSOLIDATED=Y","FA_ADJUSTED=GAAP","Sort=A","Dates=H","DateFormat=P","Fill=—","Direction=H","UseDPDF=Y")</f>
        <v>#NAME?</v>
      </c>
      <c r="R334" t="e">
        <f ca="1">_xll.BDH($C$328,"DVD_PAYOUT_RATIO","FQ1 2015","FQ1 2015","Currency=INR","Period=FQ","BEST_FPERIOD_OVERRIDE=FQ","FILING_STATUS=OR","EQY_CONSOLIDATED=Y","FA_ADJUSTED=GAAP","Sort=A","Dates=H","DateFormat=P","Fill=—","Direction=H","UseDPDF=Y")</f>
        <v>#NAME?</v>
      </c>
      <c r="S334" t="e">
        <f ca="1">_xll.BDH($C$328,"SUSTAIN_GROWTH_RT","FQ1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334" s="2" t="e">
        <f ca="1">_xll.BDH($C$328,"SALES_GROWTH","FQ1 2015","FQ1 2015","Currency=INR","Period=FQ","BEST_FPERIOD_OVERRIDE=FQ","FILING_STATUS=OR","EQY_CONSOLIDATED=Y","FA_ADJUSTED=GAAP","Sort=A","Dates=H","DateFormat=P","Fill=—","Direction=H","UseDPDF=Y")</f>
        <v>#NAME?</v>
      </c>
      <c r="U334" s="2" t="e">
        <f ca="1">_xll.BDH($C$328,"EBITDA_GROWTH","FQ1 2015","FQ1 2015","Currency=INR","Period=FQ","BEST_FPERIOD_OVERRIDE=FQ","FILING_STATUS=OR","EQY_CONSOLIDATED=Y","FA_ADJUSTED=GAAP","Sort=A","Dates=H","DateFormat=P","Fill=—","Direction=H","UseDPDF=Y")</f>
        <v>#NAME?</v>
      </c>
      <c r="V334" s="2" t="e">
        <f ca="1">_xll.BDH($C$328,"OPER_INC_GROWTH","FQ1 2015","FQ1 2015","Currency=INR","Period=FQ","BEST_FPERIOD_OVERRIDE=FQ","FILING_STATUS=OR","EQY_CONSOLIDATED=Y","FA_ADJUSTED=GAAP","Sort=A","Dates=H","DateFormat=P","Fill=—","Direction=H","UseDPDF=Y")</f>
        <v>#NAME?</v>
      </c>
      <c r="W334" s="2" t="e">
        <f ca="1">_xll.BDH($C$328,"EARN_FOR_COM_GROWTH","FQ1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334" s="2" t="e">
        <f ca="1">_xll.BDH($C$328,"DILUTED_EPS_AFT_XO_ITEMS_GROWTH","FQ1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334" s="2" t="e">
        <f ca="1">_xll.BDH($C$328,"DIVIDEND_PER_SHARE_1_YEAR_GROWTH","FQ1 2015","FQ1 2015","Currency=INR","Period=FQ","BEST_FPERIOD_OVERRIDE=FQ","FILING_STATUS=OR","EQY_CONSOLIDATED=Y","Sort=A","Dates=H","DateFormat=P","Fill=—","Direction=H","UseDPDF=Y")</f>
        <v>#NAME?</v>
      </c>
      <c r="Z334" s="2" t="e">
        <f ca="1">_xll.BDH($C$328,"ACCOUNTS_RECEIVABLE_GROWTH","FQ1 2015","FQ1 2015","Currency=INR","Period=FQ","BEST_FPERIOD_OVERRIDE=FQ","FILING_STATUS=OR","EQY_CONSOLIDATED=Y","Sort=A","Dates=H","DateFormat=P","Fill=—","Direction=H","UseDPDF=Y")</f>
        <v>#NAME?</v>
      </c>
      <c r="AA334" s="2" t="e">
        <f ca="1">_xll.BDH($C$328,"INVENTORY_GROWTH","FQ1 2015","FQ1 2015","Currency=INR","Period=FQ","BEST_FPERIOD_OVERRIDE=FQ","FILING_STATUS=OR","EQY_CONSOLIDATED=Y","Sort=A","Dates=H","DateFormat=P","Fill=—","Direction=H","UseDPDF=Y")</f>
        <v>#NAME?</v>
      </c>
      <c r="AB334" s="2" t="e">
        <f ca="1">_xll.BDH($C$328,"NET_FIXED_ASSETS_1_YEAR_GROWTH","FQ1 2015","FQ1 2015","Currency=INR","Period=FQ","BEST_FPERIOD_OVERRIDE=FQ","FILING_STATUS=OR","EQY_CONSOLIDATED=Y","Sort=A","Dates=H","DateFormat=P","Fill=—","Direction=H","UseDPDF=Y")</f>
        <v>#NAME?</v>
      </c>
      <c r="AC334" s="2" t="e">
        <f ca="1">_xll.BDH($C$328,"ASSET_GROWTH","FQ1 2015","FQ1 2015","Currency=INR","Period=FQ","BEST_FPERIOD_OVERRIDE=FQ","FILING_STATUS=OR","EQY_CONSOLIDATED=Y","Sort=A","Dates=H","DateFormat=P","Fill=—","Direction=H","UseDPDF=Y")</f>
        <v>#NAME?</v>
      </c>
      <c r="AD334" s="2" t="e">
        <f ca="1">_xll.BDH($C$328,"MODIFIED_WORK_CAP_GROWTH","FQ1 2015","FQ1 2015","Currency=INR","Period=FQ","BEST_FPERIOD_OVERRIDE=FQ","FILING_STATUS=OR","EQY_CONSOLIDATED=Y","Sort=A","Dates=H","DateFormat=P","Fill=—","Direction=H","UseDPDF=Y")</f>
        <v>#NAME?</v>
      </c>
      <c r="AE334" s="2" t="e">
        <f ca="1">_xll.BDH($C$328,"WORK_CAP_GROWTH","FQ1 2015","FQ1 2015","Currency=INR","Period=FQ","BEST_FPERIOD_OVERRIDE=FQ","FILING_STATUS=OR","EQY_CONSOLIDATED=Y","Sort=A","Dates=H","DateFormat=P","Fill=—","Direction=H","UseDPDF=Y")</f>
        <v>#NAME?</v>
      </c>
      <c r="AF334" s="2" t="e">
        <f ca="1">_xll.BDH($C$328,"ACCOUNTS_PAYABLE_GROWTH_1YR","FQ1 2015","FQ1 2015","Currency=INR","Period=FQ","BEST_FPERIOD_OVERRIDE=FQ","FILING_STATUS=OR","EQY_CONSOLIDATED=Y","Sort=A","Dates=H","DateFormat=P","Fill=—","Direction=H","UseDPDF=Y")</f>
        <v>#NAME?</v>
      </c>
      <c r="AG334" s="2" t="e">
        <f ca="1">_xll.BDH($C$328,"SHORT_TERM_DEBT_1_YEAR_GROWTH","FQ1 2015","FQ1 2015","Currency=INR","Period=FQ","BEST_FPERIOD_OVERRIDE=FQ","FILING_STATUS=OR","EQY_CONSOLIDATED=Y","Sort=A","Dates=H","DateFormat=P","Fill=—","Direction=H","UseDPDF=Y")</f>
        <v>#NAME?</v>
      </c>
      <c r="AH334" s="2" t="e">
        <f ca="1">_xll.BDH($C$328,"TOTAL_DEBT_1_YEAR_GROWTH","FQ1 2015","FQ1 2015","Currency=INR","Period=FQ","BEST_FPERIOD_OVERRIDE=FQ","FILING_STATUS=OR","EQY_CONSOLIDATED=Y","Sort=A","Dates=H","DateFormat=P","Fill=—","Direction=H","UseDPDF=Y")</f>
        <v>#NAME?</v>
      </c>
      <c r="AI334" s="2" t="e">
        <f ca="1">_xll.BDH($C$328,"TOTAL_EQUITY_1_YEAR_GROWTH","FQ1 2015","FQ1 2015","Currency=INR","Period=FQ","BEST_FPERIOD_OVERRIDE=FQ","FILING_STATUS=OR","EQY_CONSOLIDATED=Y","Sort=A","Dates=H","DateFormat=P","Fill=—","Direction=H","UseDPDF=Y")</f>
        <v>#NAME?</v>
      </c>
      <c r="AJ334" s="2" t="e">
        <f ca="1">_xll.BDH($C$328,"GROWTH_IN_CAP","FQ1 2015","FQ1 2015","Currency=INR","Period=FQ","BEST_FPERIOD_OVERRIDE=FQ","FILING_STATUS=OR","EQY_CONSOLIDATED=Y","Sort=A","Dates=H","DateFormat=P","Fill=—","Direction=H","UseDPDF=Y")</f>
        <v>#NAME?</v>
      </c>
      <c r="AK334" s="2" t="e">
        <f ca="1">_xll.BDH($C$328,"BVPS_GROWTH","FQ1 2015","FQ1 2015","Currency=INR","Period=FQ","BEST_FPERIOD_OVERRIDE=FQ","FILING_STATUS=OR","EQY_CONSOLIDATED=Y","Sort=A","Dates=H","DateFormat=P","Fill=—","Direction=H","UseDPDF=Y")</f>
        <v>#NAME?</v>
      </c>
      <c r="AL334" s="2" t="e">
        <f ca="1">_xll.BDH($C$328,"CASH_FLOW_GROWTH","FQ1 2015","FQ1 2015","Currency=INR","Period=FQ","BEST_FPERIOD_OVERRIDE=FQ","FILING_STATUS=OR","EQY_CONSOLIDATED=Y","Sort=A","Dates=H","DateFormat=P","Fill=—","Direction=H","UseDPDF=Y")</f>
        <v>#NAME?</v>
      </c>
      <c r="AM334" s="2" t="e">
        <f ca="1">_xll.BDH($C$328,"GEO_GROW_NET_SALES","FQ1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334" s="2" t="e">
        <f ca="1">_xll.BDH($C$328,"GEO_GROW_EBITDA","FQ1 2015","FQ1 2015","Currency=INR","Period=FQ","BEST_FPERIOD_OVERRIDE=FQ","FILING_STATUS=OR","EQY_CONSOLIDATED=Y","FA_ADJUSTED=GAAP","Sort=A","Dates=H","DateFormat=P","Fill=—","Direction=H","UseDPDF=Y")</f>
        <v>#NAME?</v>
      </c>
      <c r="AO334" s="2" t="e">
        <f ca="1">_xll.BDH($C$328,"GEO_GROW_OPER_INC","FQ1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334" s="2" t="e">
        <f ca="1">_xll.BDH($C$328,"NET_INCOME_TO_COMMON_5_YR_GROWTH","FQ1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334" s="2" t="e">
        <f ca="1">_xll.BDH($C$328,"5Y_GEO_GROWTH_DILUTED_EPS","FQ1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334" s="2" t="e">
        <f ca="1">_xll.BDH($C$328,"GEO_GROW_DVD_PER_SH","FQ1 2015","FQ1 2015","Currency=INR","Period=FQ","BEST_FPERIOD_OVERRIDE=FQ","FILING_STATUS=OR","EQY_CONSOLIDATED=Y","Sort=A","Dates=H","DateFormat=P","Fill=—","Direction=H","UseDPDF=Y")</f>
        <v>#NAME?</v>
      </c>
      <c r="AS334" s="2" t="e">
        <f ca="1">_xll.BDH($C$328,"ACCOUNTS_RECEIVABLE_5_YR_GROWTH","FQ1 2015","FQ1 2015","Currency=INR","Period=FQ","BEST_FPERIOD_OVERRIDE=FQ","FILING_STATUS=OR","EQY_CONSOLIDATED=Y","Sort=A","Dates=H","DateFormat=P","Fill=—","Direction=H","UseDPDF=Y")</f>
        <v>#NAME?</v>
      </c>
      <c r="AT334" s="2" t="e">
        <f ca="1">_xll.BDH($C$328,"INVENTORY_5_YEAR_GROWTH","FQ1 2015","FQ1 2015","Currency=INR","Period=FQ","BEST_FPERIOD_OVERRIDE=FQ","FILING_STATUS=OR","EQY_CONSOLIDATED=Y","Sort=A","Dates=H","DateFormat=P","Fill=—","Direction=H","UseDPDF=Y")</f>
        <v>#NAME?</v>
      </c>
      <c r="AU334" s="2" t="e">
        <f ca="1">_xll.BDH($C$328,"NET_FIXED_ASSETS_5_YEAR_GROWTH","FQ1 2015","FQ1 2015","Currency=INR","Period=FQ","BEST_FPERIOD_OVERRIDE=FQ","FILING_STATUS=OR","EQY_CONSOLIDATED=Y","Sort=A","Dates=H","DateFormat=P","Fill=—","Direction=H","UseDPDF=Y")</f>
        <v>#NAME?</v>
      </c>
      <c r="AV334" s="2" t="e">
        <f ca="1">_xll.BDH($C$328,"GEO_GROW_TOT_ASSET","FQ1 2015","FQ1 2015","Currency=INR","Period=FQ","BEST_FPERIOD_OVERRIDE=FQ","FILING_STATUS=OR","EQY_CONSOLIDATED=Y","Sort=A","Dates=H","DateFormat=P","Fill=—","Direction=H","UseDPDF=Y")</f>
        <v>#NAME?</v>
      </c>
      <c r="AW334" s="2" t="e">
        <f ca="1">_xll.BDH($C$328,"MODIFIED_WORKING_CPTL_5YR_GRWTH","FQ1 2015","FQ1 2015","Currency=INR","Period=FQ","BEST_FPERIOD_OVERRIDE=FQ","FILING_STATUS=OR","EQY_CONSOLIDATED=Y","Sort=A","Dates=H","DateFormat=P","Fill=—","Direction=H","UseDPDF=Y")</f>
        <v>#NAME?</v>
      </c>
      <c r="AX334" s="2" t="e">
        <f ca="1">_xll.BDH($C$328,"WORKING_CAPITAL_5_YEAR_GROWTH","FQ1 2015","FQ1 2015","Currency=INR","Period=FQ","BEST_FPERIOD_OVERRIDE=FQ","FILING_STATUS=OR","EQY_CONSOLIDATED=Y","Sort=A","Dates=H","DateFormat=P","Fill=—","Direction=H","UseDPDF=Y")</f>
        <v>#NAME?</v>
      </c>
      <c r="AY334" s="2" t="e">
        <f ca="1">_xll.BDH($C$328,"ACCOUNTS_PAYABLE_5_YEAR_GROWTH","FQ1 2015","FQ1 2015","Currency=INR","Period=FQ","BEST_FPERIOD_OVERRIDE=FQ","FILING_STATUS=OR","EQY_CONSOLIDATED=Y","Sort=A","Dates=H","DateFormat=P","Fill=—","Direction=H","UseDPDF=Y")</f>
        <v>#NAME?</v>
      </c>
      <c r="AZ334" s="2" t="e">
        <f ca="1">_xll.BDH($C$328,"SHORT_TERM_DEBT_5_YEAR_GROWTH","FQ1 2015","FQ1 2015","Currency=INR","Period=FQ","BEST_FPERIOD_OVERRIDE=FQ","FILING_STATUS=OR","EQY_CONSOLIDATED=Y","Sort=A","Dates=H","DateFormat=P","Fill=—","Direction=H","UseDPDF=Y")</f>
        <v>#NAME?</v>
      </c>
      <c r="BA334" s="2" t="e">
        <f ca="1">_xll.BDH($C$328,"TOTAL_DEBT_5_YEAR_GROWTH","FQ1 2015","FQ1 2015","Currency=INR","Period=FQ","BEST_FPERIOD_OVERRIDE=FQ","FILING_STATUS=OR","EQY_CONSOLIDATED=Y","Sort=A","Dates=H","DateFormat=P","Fill=—","Direction=H","UseDPDF=Y")</f>
        <v>#NAME?</v>
      </c>
      <c r="BB334" s="2" t="e">
        <f ca="1">_xll.BDH($C$328,"GEO_GROW_TOT_SHRHLDR_EQY","FQ1 2015","FQ1 2015","Currency=INR","Period=FQ","BEST_FPERIOD_OVERRIDE=FQ","FILING_STATUS=OR","EQY_CONSOLIDATED=Y","Sort=A","Dates=H","DateFormat=P","Fill=—","Direction=H","UseDPDF=Y")</f>
        <v>#NAME?</v>
      </c>
      <c r="BC334" s="2" t="e">
        <f ca="1">_xll.BDH($C$328,"TOTAL_CAPITAL_5_YEAR_GROWTH","FQ1 2015","FQ1 2015","Currency=INR","Period=FQ","BEST_FPERIOD_OVERRIDE=FQ","FILING_STATUS=OR","EQY_CONSOLIDATED=Y","Sort=A","Dates=H","DateFormat=P","Fill=—","Direction=H","UseDPDF=Y")</f>
        <v>#NAME?</v>
      </c>
      <c r="BD334" s="2" t="e">
        <f ca="1">_xll.BDH($C$328,"GEO_GROW_BOOK_VAL","FQ1 2015","FQ1 2015","Currency=INR","Period=FQ","BEST_FPERIOD_OVERRIDE=FQ","FILING_STATUS=OR","EQY_CONSOLIDATED=Y","Sort=A","Dates=H","DateFormat=P","Fill=—","Direction=H","UseDPDF=Y")</f>
        <v>#NAME?</v>
      </c>
      <c r="BE334" s="2" t="e">
        <f ca="1">_xll.BDH($C$328,"GEO_GROW_CASH_OPER_ACT","FQ1 2015","FQ1 2015","Currency=INR","Period=FQ","BEST_FPERIOD_OVERRIDE=FQ","FILING_STATUS=OR","EQY_CONSOLIDATED=Y","Sort=A","Dates=H","DateFormat=P","Fill=—","Direction=H","UseDPDF=Y")</f>
        <v>#NAME?</v>
      </c>
      <c r="BF334" s="2" t="e">
        <f ca="1">_xll.BDH($C$328,"REVENUE_SEQUENTIAL_GROWTH","FQ1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334" s="2" t="e">
        <f ca="1">_xll.BDH($C$328,"EBITDA_SEQUENTIAL_GROWTH","FQ1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334" s="2" t="e">
        <f ca="1">_xll.BDH($C$328,"OPERATING_INCOME_SEQ_GROWTH","FQ1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334" s="2" t="e">
        <f ca="1">_xll.BDH($C$328,"NET_INCOME_TO_COMMON_SEQ_GROWTH","FQ1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334" s="2" t="e">
        <f ca="1">_xll.BDH($C$328,"EPS_DILUTED_SEQUENTIAL_GROWTH","FQ1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334" s="2" t="e">
        <f ca="1">_xll.BDH($C$328,"DPS_SEQUENTIAL_GROWTH","FQ1 2015","FQ1 2015","Currency=INR","Period=FQ","BEST_FPERIOD_OVERRIDE=FQ","FILING_STATUS=OR","EQY_CONSOLIDATED=Y","Sort=A","Dates=H","DateFormat=P","Fill=—","Direction=H","UseDPDF=Y")</f>
        <v>#NAME?</v>
      </c>
      <c r="BL334" s="2" t="e">
        <f ca="1">_xll.BDH($C$328,"ACCOUNTS_RECEIVABLE_SEQ_GROWTH","FQ1 2015","FQ1 2015","Currency=INR","Period=FQ","BEST_FPERIOD_OVERRIDE=FQ","FILING_STATUS=OR","EQY_CONSOLIDATED=Y","Sort=A","Dates=H","DateFormat=P","Fill=—","Direction=H","UseDPDF=Y")</f>
        <v>#NAME?</v>
      </c>
      <c r="BM334" s="2" t="e">
        <f ca="1">_xll.BDH($C$328,"INVENTORY_SEQUENTIAL_GROWTH","FQ1 2015","FQ1 2015","Currency=INR","Period=FQ","BEST_FPERIOD_OVERRIDE=FQ","FILING_STATUS=OR","EQY_CONSOLIDATED=Y","Sort=A","Dates=H","DateFormat=P","Fill=—","Direction=H","UseDPDF=Y")</f>
        <v>#NAME?</v>
      </c>
      <c r="BN334" s="2" t="e">
        <f ca="1">_xll.BDH($C$328,"FIXED_ASSETS_SEQUENTIAL_GROWTH","FQ1 2015","FQ1 2015","Currency=INR","Period=FQ","BEST_FPERIOD_OVERRIDE=FQ","FILING_STATUS=OR","EQY_CONSOLIDATED=Y","Sort=A","Dates=H","DateFormat=P","Fill=—","Direction=H","UseDPDF=Y")</f>
        <v>#NAME?</v>
      </c>
      <c r="BO334" s="2" t="e">
        <f ca="1">_xll.BDH($C$328,"TOTAL_ASSETS_SEQUENTIAL_GROWTH","FQ1 2015","FQ1 2015","Currency=INR","Period=FQ","BEST_FPERIOD_OVERRIDE=FQ","FILING_STATUS=OR","EQY_CONSOLIDATED=Y","Sort=A","Dates=H","DateFormat=P","Fill=—","Direction=H","UseDPDF=Y")</f>
        <v>#NAME?</v>
      </c>
      <c r="BP334" s="2" t="e">
        <f ca="1">_xll.BDH($C$328,"MODIFIED_WORKING_CPTL_SEQ_GRWTH","FQ1 2015","FQ1 2015","Currency=INR","Period=FQ","BEST_FPERIOD_OVERRIDE=FQ","FILING_STATUS=OR","EQY_CONSOLIDATED=Y","Sort=A","Dates=H","DateFormat=P","Fill=—","Direction=H","UseDPDF=Y")</f>
        <v>#NAME?</v>
      </c>
      <c r="BQ334" s="2" t="e">
        <f ca="1">_xll.BDH($C$328,"WORKING_CAPITAL_SEQ_GROWTH","FQ1 2015","FQ1 2015","Currency=INR","Period=FQ","BEST_FPERIOD_OVERRIDE=FQ","FILING_STATUS=OR","EQY_CONSOLIDATED=Y","Sort=A","Dates=H","DateFormat=P","Fill=—","Direction=H","UseDPDF=Y")</f>
        <v>#NAME?</v>
      </c>
      <c r="BR334" s="2" t="e">
        <f ca="1">_xll.BDH($C$328,"ACCOUNTS_PAYABLE_SEQ_GROWTH","FQ1 2015","FQ1 2015","Currency=INR","Period=FQ","BEST_FPERIOD_OVERRIDE=FQ","FILING_STATUS=OR","EQY_CONSOLIDATED=Y","Sort=A","Dates=H","DateFormat=P","Fill=—","Direction=H","UseDPDF=Y")</f>
        <v>#NAME?</v>
      </c>
      <c r="BS334" s="2" t="e">
        <f ca="1">_xll.BDH($C$328,"ST_DEBT_SEQUENTIAL_GROWTH","FQ1 2015","FQ1 2015","Currency=INR","Period=FQ","BEST_FPERIOD_OVERRIDE=FQ","FILING_STATUS=OR","EQY_CONSOLIDATED=Y","Sort=A","Dates=H","DateFormat=P","Fill=—","Direction=H","UseDPDF=Y")</f>
        <v>#NAME?</v>
      </c>
      <c r="BT334" s="2" t="e">
        <f ca="1">_xll.BDH($C$328,"TOTAL_DEBT_SEQUENTIAL_GROWTH","FQ1 2015","FQ1 2015","Currency=INR","Period=FQ","BEST_FPERIOD_OVERRIDE=FQ","FILING_STATUS=OR","EQY_CONSOLIDATED=Y","Sort=A","Dates=H","DateFormat=P","Fill=—","Direction=H","UseDPDF=Y")</f>
        <v>#NAME?</v>
      </c>
      <c r="BU334" s="2" t="e">
        <f ca="1">_xll.BDH($C$328,"TOTAL_EQUITY_SEQUENTIAL_GROWTH","FQ1 2015","FQ1 2015","Currency=INR","Period=FQ","BEST_FPERIOD_OVERRIDE=FQ","FILING_STATUS=OR","EQY_CONSOLIDATED=Y","Sort=A","Dates=H","DateFormat=P","Fill=—","Direction=H","UseDPDF=Y")</f>
        <v>#NAME?</v>
      </c>
      <c r="BV334" s="2" t="e">
        <f ca="1">_xll.BDH($C$328,"TOTAL_CAPITAL_SEQUENTIAL_GROWTH","FQ1 2015","FQ1 2015","Currency=INR","Period=FQ","BEST_FPERIOD_OVERRIDE=FQ","FILING_STATUS=OR","EQY_CONSOLIDATED=Y","Sort=A","Dates=H","DateFormat=P","Fill=—","Direction=H","UseDPDF=Y")</f>
        <v>#NAME?</v>
      </c>
      <c r="BW334" s="2" t="e">
        <f ca="1">_xll.BDH($C$328,"BPS_SEQUENTIAL_GROWTH","FQ1 2015","FQ1 2015","Currency=INR","Period=FQ","BEST_FPERIOD_OVERRIDE=FQ","FILING_STATUS=OR","EQY_CONSOLIDATED=Y","Sort=A","Dates=H","DateFormat=P","Fill=—","Direction=H","UseDPDF=Y")</f>
        <v>#NAME?</v>
      </c>
      <c r="BX334" s="2" t="e">
        <f ca="1">_xll.BDH($C$328,"CFO_SEQUENTIAL_GROWTH","FQ1 2015","FQ1 2015","Currency=INR","Period=FQ","BEST_FPERIOD_OVERRIDE=FQ","FILING_STATUS=OR","EQY_CONSOLIDATED=Y","Sort=A","Dates=H","DateFormat=P","Fill=—","Direction=H","UseDPDF=Y")</f>
        <v>#NAME?</v>
      </c>
      <c r="BY334" s="3" t="e">
        <f ca="1">_xll.BDH($C$328,"SHORT_AND_LONG_TERM_DEBT","FQ1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334" s="3" t="e">
        <f ca="1">_xll.BDH($C$328,"BS_ST_BORROW","FQ1 2015","FQ1 2015","Currency=INR","Period=FQ","BEST_FPERIOD_OVERRIDE=FQ","FILING_STATUS=OR","EQY_CONSOLIDATED=Y","SCALING_FORMAT=MLN","Sort=A","Dates=H","DateFormat=P","Fill=—","Direction=H","UseDPDF=Y")</f>
        <v>#NAME?</v>
      </c>
      <c r="CA334" s="3" t="e">
        <f ca="1">_xll.BDH($C$328,"BS_LT_BORROW","FQ1 2015","FQ1 2015","Currency=INR","Period=FQ","BEST_FPERIOD_OVERRIDE=FQ","FILING_STATUS=OR","EQY_CONSOLIDATED=Y","SCALING_FORMAT=MLN","Sort=A","Dates=H","DateFormat=P","Fill=—","Direction=H","UseDPDF=Y")</f>
        <v>#NAME?</v>
      </c>
      <c r="CB334" s="2" t="e">
        <f ca="1">_xll.BDH($C$328,"TOT_DEBT_TO_EBITDA","FQ1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334" s="2" t="e">
        <f ca="1">_xll.BDH($C$328,"NET_DEBT_TO_EBITDA","FQ1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334" s="2" t="e">
        <f ca="1">_xll.BDH($C$328,"TOTAL_DEBT_TO_EBIT","FQ1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334" s="2" t="e">
        <f ca="1">_xll.BDH($C$328,"NET_DEBT_TO_EBIT","FQ1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334" s="2" t="e">
        <f ca="1">_xll.BDH($C$328,"EBITDA_TO_INTEREST_EXPN","FQ1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334" s="2" t="e">
        <f ca="1">_xll.BDH($C$328,"COM_EQY_TO_TOT_ASSET","FQ1 2015","FQ1 2015","Currency=INR","Period=FQ","BEST_FPERIOD_OVERRIDE=FQ","FILING_STATUS=OR","EQY_CONSOLIDATED=Y","Sort=A","Dates=H","DateFormat=P","Fill=—","Direction=H","UseDPDF=Y")</f>
        <v>#NAME?</v>
      </c>
      <c r="CH334" s="2" t="e">
        <f ca="1">_xll.BDH($C$328,"LT_DEBT_TO_TOT_EQY","FQ1 2015","FQ1 2015","Currency=INR","Period=FQ","BEST_FPERIOD_OVERRIDE=FQ","FILING_STATUS=OR","EQY_CONSOLIDATED=Y","Sort=A","Dates=H","DateFormat=P","Fill=—","Direction=H","UseDPDF=Y")</f>
        <v>#NAME?</v>
      </c>
      <c r="CI334" s="2" t="e">
        <f ca="1">_xll.BDH($C$328,"LT_DEBT_TO_TOT_CAP","FQ1 2015","FQ1 2015","Currency=INR","Period=FQ","BEST_FPERIOD_OVERRIDE=FQ","FILING_STATUS=OR","EQY_CONSOLIDATED=Y","Sort=A","Dates=H","DateFormat=P","Fill=—","Direction=H","UseDPDF=Y")</f>
        <v>#NAME?</v>
      </c>
      <c r="CJ334" s="2" t="e">
        <f ca="1">_xll.BDH($C$328,"LT_DEBT_TO_TOT_ASSET","FQ1 2015","FQ1 2015","Currency=INR","Period=FQ","BEST_FPERIOD_OVERRIDE=FQ","FILING_STATUS=OR","EQY_CONSOLIDATED=Y","Sort=A","Dates=H","DateFormat=P","Fill=—","Direction=H","UseDPDF=Y")</f>
        <v>#NAME?</v>
      </c>
      <c r="CK334" s="2" t="e">
        <f ca="1">_xll.BDH($C$328,"TOT_DEBT_TO_TOT_EQY","FQ1 2015","FQ1 2015","Currency=INR","Period=FQ","BEST_FPERIOD_OVERRIDE=FQ","FILING_STATUS=OR","EQY_CONSOLIDATED=Y","Sort=A","Dates=H","DateFormat=P","Fill=—","Direction=H","UseDPDF=Y")</f>
        <v>#NAME?</v>
      </c>
      <c r="CL334" s="2" t="e">
        <f ca="1">_xll.BDH($C$328,"TOT_DEBT_TO_TOT_CAP","FQ1 2015","FQ1 2015","Currency=INR","Period=FQ","BEST_FPERIOD_OVERRIDE=FQ","FILING_STATUS=OR","EQY_CONSOLIDATED=Y","Sort=A","Dates=H","DateFormat=P","Fill=—","Direction=H","UseDPDF=Y")</f>
        <v>#NAME?</v>
      </c>
      <c r="CM334" s="2" t="e">
        <f ca="1">_xll.BDH($C$328,"TOT_DEBT_TO_TOT_ASSET","FQ1 2015","FQ1 2015","Currency=INR","Period=FQ","BEST_FPERIOD_OVERRIDE=FQ","FILING_STATUS=OR","EQY_CONSOLIDATED=Y","Sort=A","Dates=H","DateFormat=P","Fill=—","Direction=H","UseDPDF=Y")</f>
        <v>#NAME?</v>
      </c>
      <c r="CN334" s="2" t="e">
        <f ca="1">_xll.BDH($C$328,"NET_DEBT_TO_SHRHLDR_EQTY","FQ1 2015","FQ1 2015","Currency=INR","Period=FQ","BEST_FPERIOD_OVERRIDE=FQ","FILING_STATUS=OR","EQY_CONSOLIDATED=Y","Sort=A","Dates=H","DateFormat=P","Fill=—","Direction=H","UseDPDF=Y")</f>
        <v>#NAME?</v>
      </c>
      <c r="CO334" s="2" t="e">
        <f ca="1">_xll.BDH($C$328,"NET_DEBT_%_CAPITAL","FQ1 2015","FQ1 2015","Currency=INR","Period=FQ","BEST_FPERIOD_OVERRIDE=FQ","FILING_STATUS=OR","EQY_CONSOLIDATED=Y","Sort=A","Dates=H","DateFormat=P","Fill=—","Direction=H","UseDPDF=Y")</f>
        <v>#NAME?</v>
      </c>
      <c r="CP334" s="3" t="e">
        <f ca="1">_xll.BDH($C$328,"EBITDA","FQ1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334" s="3" t="e">
        <f ca="1">_xll.BDH($C$328,"EBITDA_AFTER_CAPEX","FQ1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334" s="3" t="e">
        <f ca="1">_xll.BDH($C$328,"IS_OPER_INC","FQ1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334" s="2" t="e">
        <f ca="1">_xll.BDH($C$328,"CASH_RATIO","FQ1 2015","FQ1 2015","Currency=INR","Period=FQ","BEST_FPERIOD_OVERRIDE=FQ","FILING_STATUS=OR","EQY_CONSOLIDATED=Y","Sort=A","Dates=H","DateFormat=P","Fill=—","Direction=H","UseDPDF=Y")</f>
        <v>#NAME?</v>
      </c>
      <c r="CT334" s="2" t="e">
        <f ca="1">_xll.BDH($C$328,"CUR_RATIO","FQ1 2015","FQ1 2015","Currency=INR","Period=FQ","BEST_FPERIOD_OVERRIDE=FQ","FILING_STATUS=OR","EQY_CONSOLIDATED=Y","Sort=A","Dates=H","DateFormat=P","Fill=—","Direction=H","UseDPDF=Y")</f>
        <v>#NAME?</v>
      </c>
      <c r="CU334" s="2" t="e">
        <f ca="1">_xll.BDH($C$328,"QUICK_RATIO","FQ1 2015","FQ1 2015","Currency=INR","Period=FQ","BEST_FPERIOD_OVERRIDE=FQ","FILING_STATUS=OR","EQY_CONSOLIDATED=Y","Sort=A","Dates=H","DateFormat=P","Fill=—","Direction=H","UseDPDF=Y")</f>
        <v>#NAME?</v>
      </c>
      <c r="CV334" s="2" t="e">
        <f ca="1">_xll.BDH($C$328,"ALTMAN_Z_SCORE","FQ1 2015","FQ1 2015","Currency=INR","Period=FQ","BEST_FPERIOD_OVERRIDE=FQ","FILING_STATUS=OR","EQY_CONSOLIDATED=Y","Sort=A","Dates=H","DateFormat=P","Fill=—","Direction=H","UseDPDF=Y")</f>
        <v>#NAME?</v>
      </c>
      <c r="CW334" s="4" t="e">
        <f ca="1">_xll.BDH($C$328,"ACCT_RCV_TURN","FQ1 2015","FQ1 2015","Currency=INR","Period=FQ","BEST_FPERIOD_OVERRIDE=FQ","FILING_STATUS=OR","EQY_CONSOLIDATED=Y","FA_ADJUSTED=GAAP","Sort=A","Dates=H","DateFormat=P","Fill=—","Direction=H","UseDPDF=Y")</f>
        <v>#NAME?</v>
      </c>
      <c r="CX334" s="2" t="e">
        <f ca="1">_xll.BDH($C$328,"ACCT_RCV_DAYS","FQ1 2015","FQ1 2015","Currency=INR","Period=FQ","BEST_FPERIOD_OVERRIDE=FQ","FILING_STATUS=OR","EQY_CONSOLIDATED=Y","FA_ADJUSTED=GAAP","Sort=A","Dates=H","DateFormat=P","Fill=—","Direction=H","UseDPDF=Y")</f>
        <v>#NAME?</v>
      </c>
      <c r="CY334" s="4" t="e">
        <f ca="1">_xll.BDH($C$328,"INVENT_TURN","FQ1 2015","FQ1 2015","Currency=INR","Period=FQ","BEST_FPERIOD_OVERRIDE=FQ","FILING_STATUS=OR","EQY_CONSOLIDATED=Y","FA_ADJUSTED=GAAP","Sort=A","Dates=H","DateFormat=P","Fill=—","Direction=H","UseDPDF=Y")</f>
        <v>#NAME?</v>
      </c>
      <c r="CZ334" s="2" t="e">
        <f ca="1">_xll.BDH($C$328,"INVENT_DAYS","FQ1 2015","FQ1 2015","Currency=INR","Period=FQ","BEST_FPERIOD_OVERRIDE=FQ","FILING_STATUS=OR","EQY_CONSOLIDATED=Y","FA_ADJUSTED=GAAP","Sort=A","Dates=H","DateFormat=P","Fill=—","Direction=H","UseDPDF=Y")</f>
        <v>#NAME?</v>
      </c>
      <c r="DA334" s="4" t="e">
        <f ca="1">_xll.BDH($C$328,"ACCOUNTS_PAYABLE_TURNOVER","FQ1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334" s="2" t="e">
        <f ca="1">_xll.BDH($C$328,"ACCOUNTS_PAYABLE_TURNOVER_DAYS","FQ1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334" s="4" t="e">
        <f ca="1">_xll.BDH($C$328,"CASH_CONVERSION_CYCLE","FQ1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334" s="4" t="e">
        <f ca="1">_xll.BDH($C$328,"INV_TO_CASH_DAYS","FQ1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334" s="5" t="e">
        <f ca="1">_xll.BDH($C$328,"BS_INVENTORIES","FQ1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334" s="3" t="e">
        <f ca="1">_xll.BDH($C$328,"INVTRY_RAW_MATERIALS","FQ1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334" s="3" t="e">
        <f ca="1">_xll.BDH($C$328,"INVTRY_IN_PROGRESS","FQ1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334" s="3" t="e">
        <f ca="1">_xll.BDH($C$328,"INVTRY_FINISHED_GOODS","FQ1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334" s="3" t="e">
        <f ca="1">_xll.BDH($C$328,"BS_OTHER_INV","FQ1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335" spans="1:113" x14ac:dyDescent="0.3">
      <c r="A335" s="6"/>
      <c r="B335" s="6"/>
      <c r="C335" s="6"/>
      <c r="D335" s="6"/>
      <c r="E335" t="s">
        <v>79</v>
      </c>
      <c r="F335" t="e">
        <f ca="1">_xll.BDH($C$328,"RETURN_COM_EQY","FQ2 2015","FQ2 2015","Currency=INR","Period=FQ","BEST_FPERIOD_OVERRIDE=FQ","FILING_STATUS=OR","EQY_CONSOLIDATED=Y","FA_ADJUSTED=GAAP","Sort=A","Dates=H","DateFormat=P","Fill=—","Direction=H","UseDPDF=Y")</f>
        <v>#NAME?</v>
      </c>
      <c r="G335" t="e">
        <f ca="1">_xll.BDH($C$328,"RETURN_ON_ASSET","FQ2 2015","FQ2 2015","Currency=INR","Period=FQ","BEST_FPERIOD_OVERRIDE=FQ","FILING_STATUS=OR","EQY_CONSOLIDATED=Y","FA_ADJUSTED=GAAP","Sort=A","Dates=H","DateFormat=P","Fill=—","Direction=H","UseDPDF=Y")</f>
        <v>#NAME?</v>
      </c>
      <c r="H335" t="e">
        <f ca="1">_xll.BDH($C$328,"RETURN_ON_CAP","FQ2 2015","FQ2 2015","Currency=INR","Period=FQ","BEST_FPERIOD_OVERRIDE=FQ","FILING_STATUS=OR","EQY_CONSOLIDATED=Y","FA_ADJUSTED=GAAP","Sort=A","Dates=H","DateFormat=P","Fill=—","Direction=H","UseDPDF=Y")</f>
        <v>#NAME?</v>
      </c>
      <c r="I335" t="e">
        <f ca="1">_xll.BDH($C$328,"RETURN_ON_INV_CAPITAL","FQ2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335" t="e">
        <f ca="1">_xll.BDH($C$328,"EBITDA_TO_REVENUE","FQ2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335" t="e">
        <f ca="1">_xll.BDH($C$328,"OPER_MARGIN","FQ2 2015","FQ2 2015","Currency=INR","Period=FQ","BEST_FPERIOD_OVERRIDE=FQ","FILING_STATUS=OR","EQY_CONSOLIDATED=Y","FA_ADJUSTED=GAAP","Sort=A","Dates=H","DateFormat=P","Fill=—","Direction=H","UseDPDF=Y")</f>
        <v>#NAME?</v>
      </c>
      <c r="L335" t="e">
        <f ca="1">_xll.BDH($C$328,"INCREMENTAL_OPERATING_MARGIN","FQ2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335" t="e">
        <f ca="1">_xll.BDH($C$328,"PRETAX_INC_TO_NET_SALES","FQ2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335" t="e">
        <f ca="1">_xll.BDH($C$328,"INC_BEF_XO_ITEMS_TO_NET_SALES","FQ2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335" t="e">
        <f ca="1">_xll.BDH($C$328,"PROF_MARGIN","FQ2 2015","FQ2 2015","Currency=INR","Period=FQ","BEST_FPERIOD_OVERRIDE=FQ","FILING_STATUS=OR","EQY_CONSOLIDATED=Y","FA_ADJUSTED=GAAP","Sort=A","Dates=H","DateFormat=P","Fill=—","Direction=H","UseDPDF=Y")</f>
        <v>#NAME?</v>
      </c>
      <c r="P335" t="e">
        <f ca="1">_xll.BDH($C$328,"NET_INCOME_TO_COMMON_MARGIN","FQ2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335" t="e">
        <f ca="1">_xll.BDH($C$328,"EFF_TAX_RATE","FQ2 2015","FQ2 2015","Currency=INR","Period=FQ","BEST_FPERIOD_OVERRIDE=FQ","FILING_STATUS=OR","EQY_CONSOLIDATED=Y","FA_ADJUSTED=GAAP","Sort=A","Dates=H","DateFormat=P","Fill=—","Direction=H","UseDPDF=Y")</f>
        <v>#NAME?</v>
      </c>
      <c r="R335" t="e">
        <f ca="1">_xll.BDH($C$328,"DVD_PAYOUT_RATIO","FQ2 2015","FQ2 2015","Currency=INR","Period=FQ","BEST_FPERIOD_OVERRIDE=FQ","FILING_STATUS=OR","EQY_CONSOLIDATED=Y","FA_ADJUSTED=GAAP","Sort=A","Dates=H","DateFormat=P","Fill=—","Direction=H","UseDPDF=Y")</f>
        <v>#NAME?</v>
      </c>
      <c r="S335" t="e">
        <f ca="1">_xll.BDH($C$328,"SUSTAIN_GROWTH_RT","FQ2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335" s="2" t="e">
        <f ca="1">_xll.BDH($C$328,"SALES_GROWTH","FQ2 2015","FQ2 2015","Currency=INR","Period=FQ","BEST_FPERIOD_OVERRIDE=FQ","FILING_STATUS=OR","EQY_CONSOLIDATED=Y","FA_ADJUSTED=GAAP","Sort=A","Dates=H","DateFormat=P","Fill=—","Direction=H","UseDPDF=Y")</f>
        <v>#NAME?</v>
      </c>
      <c r="U335" s="2" t="e">
        <f ca="1">_xll.BDH($C$328,"EBITDA_GROWTH","FQ2 2015","FQ2 2015","Currency=INR","Period=FQ","BEST_FPERIOD_OVERRIDE=FQ","FILING_STATUS=OR","EQY_CONSOLIDATED=Y","FA_ADJUSTED=GAAP","Sort=A","Dates=H","DateFormat=P","Fill=—","Direction=H","UseDPDF=Y")</f>
        <v>#NAME?</v>
      </c>
      <c r="V335" s="2" t="e">
        <f ca="1">_xll.BDH($C$328,"OPER_INC_GROWTH","FQ2 2015","FQ2 2015","Currency=INR","Period=FQ","BEST_FPERIOD_OVERRIDE=FQ","FILING_STATUS=OR","EQY_CONSOLIDATED=Y","FA_ADJUSTED=GAAP","Sort=A","Dates=H","DateFormat=P","Fill=—","Direction=H","UseDPDF=Y")</f>
        <v>#NAME?</v>
      </c>
      <c r="W335" s="2" t="e">
        <f ca="1">_xll.BDH($C$328,"EARN_FOR_COM_GROWTH","FQ2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335" s="2" t="e">
        <f ca="1">_xll.BDH($C$328,"DILUTED_EPS_AFT_XO_ITEMS_GROWTH","FQ2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335" s="2" t="e">
        <f ca="1">_xll.BDH($C$328,"DIVIDEND_PER_SHARE_1_YEAR_GROWTH","FQ2 2015","FQ2 2015","Currency=INR","Period=FQ","BEST_FPERIOD_OVERRIDE=FQ","FILING_STATUS=OR","EQY_CONSOLIDATED=Y","Sort=A","Dates=H","DateFormat=P","Fill=—","Direction=H","UseDPDF=Y")</f>
        <v>#NAME?</v>
      </c>
      <c r="Z335" s="2" t="e">
        <f ca="1">_xll.BDH($C$328,"ACCOUNTS_RECEIVABLE_GROWTH","FQ2 2015","FQ2 2015","Currency=INR","Period=FQ","BEST_FPERIOD_OVERRIDE=FQ","FILING_STATUS=OR","EQY_CONSOLIDATED=Y","Sort=A","Dates=H","DateFormat=P","Fill=—","Direction=H","UseDPDF=Y")</f>
        <v>#NAME?</v>
      </c>
      <c r="AA335" s="2" t="e">
        <f ca="1">_xll.BDH($C$328,"INVENTORY_GROWTH","FQ2 2015","FQ2 2015","Currency=INR","Period=FQ","BEST_FPERIOD_OVERRIDE=FQ","FILING_STATUS=OR","EQY_CONSOLIDATED=Y","Sort=A","Dates=H","DateFormat=P","Fill=—","Direction=H","UseDPDF=Y")</f>
        <v>#NAME?</v>
      </c>
      <c r="AB335" s="2" t="e">
        <f ca="1">_xll.BDH($C$328,"NET_FIXED_ASSETS_1_YEAR_GROWTH","FQ2 2015","FQ2 2015","Currency=INR","Period=FQ","BEST_FPERIOD_OVERRIDE=FQ","FILING_STATUS=OR","EQY_CONSOLIDATED=Y","Sort=A","Dates=H","DateFormat=P","Fill=—","Direction=H","UseDPDF=Y")</f>
        <v>#NAME?</v>
      </c>
      <c r="AC335" s="2" t="e">
        <f ca="1">_xll.BDH($C$328,"ASSET_GROWTH","FQ2 2015","FQ2 2015","Currency=INR","Period=FQ","BEST_FPERIOD_OVERRIDE=FQ","FILING_STATUS=OR","EQY_CONSOLIDATED=Y","Sort=A","Dates=H","DateFormat=P","Fill=—","Direction=H","UseDPDF=Y")</f>
        <v>#NAME?</v>
      </c>
      <c r="AD335" s="2" t="e">
        <f ca="1">_xll.BDH($C$328,"MODIFIED_WORK_CAP_GROWTH","FQ2 2015","FQ2 2015","Currency=INR","Period=FQ","BEST_FPERIOD_OVERRIDE=FQ","FILING_STATUS=OR","EQY_CONSOLIDATED=Y","Sort=A","Dates=H","DateFormat=P","Fill=—","Direction=H","UseDPDF=Y")</f>
        <v>#NAME?</v>
      </c>
      <c r="AE335" s="2" t="e">
        <f ca="1">_xll.BDH($C$328,"WORK_CAP_GROWTH","FQ2 2015","FQ2 2015","Currency=INR","Period=FQ","BEST_FPERIOD_OVERRIDE=FQ","FILING_STATUS=OR","EQY_CONSOLIDATED=Y","Sort=A","Dates=H","DateFormat=P","Fill=—","Direction=H","UseDPDF=Y")</f>
        <v>#NAME?</v>
      </c>
      <c r="AF335" s="2" t="e">
        <f ca="1">_xll.BDH($C$328,"ACCOUNTS_PAYABLE_GROWTH_1YR","FQ2 2015","FQ2 2015","Currency=INR","Period=FQ","BEST_FPERIOD_OVERRIDE=FQ","FILING_STATUS=OR","EQY_CONSOLIDATED=Y","Sort=A","Dates=H","DateFormat=P","Fill=—","Direction=H","UseDPDF=Y")</f>
        <v>#NAME?</v>
      </c>
      <c r="AG335" s="2" t="e">
        <f ca="1">_xll.BDH($C$328,"SHORT_TERM_DEBT_1_YEAR_GROWTH","FQ2 2015","FQ2 2015","Currency=INR","Period=FQ","BEST_FPERIOD_OVERRIDE=FQ","FILING_STATUS=OR","EQY_CONSOLIDATED=Y","Sort=A","Dates=H","DateFormat=P","Fill=—","Direction=H","UseDPDF=Y")</f>
        <v>#NAME?</v>
      </c>
      <c r="AH335" s="2" t="e">
        <f ca="1">_xll.BDH($C$328,"TOTAL_DEBT_1_YEAR_GROWTH","FQ2 2015","FQ2 2015","Currency=INR","Period=FQ","BEST_FPERIOD_OVERRIDE=FQ","FILING_STATUS=OR","EQY_CONSOLIDATED=Y","Sort=A","Dates=H","DateFormat=P","Fill=—","Direction=H","UseDPDF=Y")</f>
        <v>#NAME?</v>
      </c>
      <c r="AI335" s="2" t="e">
        <f ca="1">_xll.BDH($C$328,"TOTAL_EQUITY_1_YEAR_GROWTH","FQ2 2015","FQ2 2015","Currency=INR","Period=FQ","BEST_FPERIOD_OVERRIDE=FQ","FILING_STATUS=OR","EQY_CONSOLIDATED=Y","Sort=A","Dates=H","DateFormat=P","Fill=—","Direction=H","UseDPDF=Y")</f>
        <v>#NAME?</v>
      </c>
      <c r="AJ335" s="2" t="e">
        <f ca="1">_xll.BDH($C$328,"GROWTH_IN_CAP","FQ2 2015","FQ2 2015","Currency=INR","Period=FQ","BEST_FPERIOD_OVERRIDE=FQ","FILING_STATUS=OR","EQY_CONSOLIDATED=Y","Sort=A","Dates=H","DateFormat=P","Fill=—","Direction=H","UseDPDF=Y")</f>
        <v>#NAME?</v>
      </c>
      <c r="AK335" s="2" t="e">
        <f ca="1">_xll.BDH($C$328,"BVPS_GROWTH","FQ2 2015","FQ2 2015","Currency=INR","Period=FQ","BEST_FPERIOD_OVERRIDE=FQ","FILING_STATUS=OR","EQY_CONSOLIDATED=Y","Sort=A","Dates=H","DateFormat=P","Fill=—","Direction=H","UseDPDF=Y")</f>
        <v>#NAME?</v>
      </c>
      <c r="AL335" s="2" t="e">
        <f ca="1">_xll.BDH($C$328,"CASH_FLOW_GROWTH","FQ2 2015","FQ2 2015","Currency=INR","Period=FQ","BEST_FPERIOD_OVERRIDE=FQ","FILING_STATUS=OR","EQY_CONSOLIDATED=Y","Sort=A","Dates=H","DateFormat=P","Fill=—","Direction=H","UseDPDF=Y")</f>
        <v>#NAME?</v>
      </c>
      <c r="AM335" s="2" t="e">
        <f ca="1">_xll.BDH($C$328,"GEO_GROW_NET_SALES","FQ2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335" s="2" t="e">
        <f ca="1">_xll.BDH($C$328,"GEO_GROW_EBITDA","FQ2 2015","FQ2 2015","Currency=INR","Period=FQ","BEST_FPERIOD_OVERRIDE=FQ","FILING_STATUS=OR","EQY_CONSOLIDATED=Y","FA_ADJUSTED=GAAP","Sort=A","Dates=H","DateFormat=P","Fill=—","Direction=H","UseDPDF=Y")</f>
        <v>#NAME?</v>
      </c>
      <c r="AO335" s="2" t="e">
        <f ca="1">_xll.BDH($C$328,"GEO_GROW_OPER_INC","FQ2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335" s="2" t="e">
        <f ca="1">_xll.BDH($C$328,"NET_INCOME_TO_COMMON_5_YR_GROWTH","FQ2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335" s="2" t="e">
        <f ca="1">_xll.BDH($C$328,"5Y_GEO_GROWTH_DILUTED_EPS","FQ2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335" s="2" t="e">
        <f ca="1">_xll.BDH($C$328,"GEO_GROW_DVD_PER_SH","FQ2 2015","FQ2 2015","Currency=INR","Period=FQ","BEST_FPERIOD_OVERRIDE=FQ","FILING_STATUS=OR","EQY_CONSOLIDATED=Y","Sort=A","Dates=H","DateFormat=P","Fill=—","Direction=H","UseDPDF=Y")</f>
        <v>#NAME?</v>
      </c>
      <c r="AS335" s="2" t="e">
        <f ca="1">_xll.BDH($C$328,"ACCOUNTS_RECEIVABLE_5_YR_GROWTH","FQ2 2015","FQ2 2015","Currency=INR","Period=FQ","BEST_FPERIOD_OVERRIDE=FQ","FILING_STATUS=OR","EQY_CONSOLIDATED=Y","Sort=A","Dates=H","DateFormat=P","Fill=—","Direction=H","UseDPDF=Y")</f>
        <v>#NAME?</v>
      </c>
      <c r="AT335" s="2" t="e">
        <f ca="1">_xll.BDH($C$328,"INVENTORY_5_YEAR_GROWTH","FQ2 2015","FQ2 2015","Currency=INR","Period=FQ","BEST_FPERIOD_OVERRIDE=FQ","FILING_STATUS=OR","EQY_CONSOLIDATED=Y","Sort=A","Dates=H","DateFormat=P","Fill=—","Direction=H","UseDPDF=Y")</f>
        <v>#NAME?</v>
      </c>
      <c r="AU335" s="2" t="e">
        <f ca="1">_xll.BDH($C$328,"NET_FIXED_ASSETS_5_YEAR_GROWTH","FQ2 2015","FQ2 2015","Currency=INR","Period=FQ","BEST_FPERIOD_OVERRIDE=FQ","FILING_STATUS=OR","EQY_CONSOLIDATED=Y","Sort=A","Dates=H","DateFormat=P","Fill=—","Direction=H","UseDPDF=Y")</f>
        <v>#NAME?</v>
      </c>
      <c r="AV335" s="2" t="e">
        <f ca="1">_xll.BDH($C$328,"GEO_GROW_TOT_ASSET","FQ2 2015","FQ2 2015","Currency=INR","Period=FQ","BEST_FPERIOD_OVERRIDE=FQ","FILING_STATUS=OR","EQY_CONSOLIDATED=Y","Sort=A","Dates=H","DateFormat=P","Fill=—","Direction=H","UseDPDF=Y")</f>
        <v>#NAME?</v>
      </c>
      <c r="AW335" s="2" t="e">
        <f ca="1">_xll.BDH($C$328,"MODIFIED_WORKING_CPTL_5YR_GRWTH","FQ2 2015","FQ2 2015","Currency=INR","Period=FQ","BEST_FPERIOD_OVERRIDE=FQ","FILING_STATUS=OR","EQY_CONSOLIDATED=Y","Sort=A","Dates=H","DateFormat=P","Fill=—","Direction=H","UseDPDF=Y")</f>
        <v>#NAME?</v>
      </c>
      <c r="AX335" s="2" t="e">
        <f ca="1">_xll.BDH($C$328,"WORKING_CAPITAL_5_YEAR_GROWTH","FQ2 2015","FQ2 2015","Currency=INR","Period=FQ","BEST_FPERIOD_OVERRIDE=FQ","FILING_STATUS=OR","EQY_CONSOLIDATED=Y","Sort=A","Dates=H","DateFormat=P","Fill=—","Direction=H","UseDPDF=Y")</f>
        <v>#NAME?</v>
      </c>
      <c r="AY335" s="2" t="e">
        <f ca="1">_xll.BDH($C$328,"ACCOUNTS_PAYABLE_5_YEAR_GROWTH","FQ2 2015","FQ2 2015","Currency=INR","Period=FQ","BEST_FPERIOD_OVERRIDE=FQ","FILING_STATUS=OR","EQY_CONSOLIDATED=Y","Sort=A","Dates=H","DateFormat=P","Fill=—","Direction=H","UseDPDF=Y")</f>
        <v>#NAME?</v>
      </c>
      <c r="AZ335" s="2" t="e">
        <f ca="1">_xll.BDH($C$328,"SHORT_TERM_DEBT_5_YEAR_GROWTH","FQ2 2015","FQ2 2015","Currency=INR","Period=FQ","BEST_FPERIOD_OVERRIDE=FQ","FILING_STATUS=OR","EQY_CONSOLIDATED=Y","Sort=A","Dates=H","DateFormat=P","Fill=—","Direction=H","UseDPDF=Y")</f>
        <v>#NAME?</v>
      </c>
      <c r="BA335" s="2" t="e">
        <f ca="1">_xll.BDH($C$328,"TOTAL_DEBT_5_YEAR_GROWTH","FQ2 2015","FQ2 2015","Currency=INR","Period=FQ","BEST_FPERIOD_OVERRIDE=FQ","FILING_STATUS=OR","EQY_CONSOLIDATED=Y","Sort=A","Dates=H","DateFormat=P","Fill=—","Direction=H","UseDPDF=Y")</f>
        <v>#NAME?</v>
      </c>
      <c r="BB335" s="2" t="e">
        <f ca="1">_xll.BDH($C$328,"GEO_GROW_TOT_SHRHLDR_EQY","FQ2 2015","FQ2 2015","Currency=INR","Period=FQ","BEST_FPERIOD_OVERRIDE=FQ","FILING_STATUS=OR","EQY_CONSOLIDATED=Y","Sort=A","Dates=H","DateFormat=P","Fill=—","Direction=H","UseDPDF=Y")</f>
        <v>#NAME?</v>
      </c>
      <c r="BC335" s="2" t="e">
        <f ca="1">_xll.BDH($C$328,"TOTAL_CAPITAL_5_YEAR_GROWTH","FQ2 2015","FQ2 2015","Currency=INR","Period=FQ","BEST_FPERIOD_OVERRIDE=FQ","FILING_STATUS=OR","EQY_CONSOLIDATED=Y","Sort=A","Dates=H","DateFormat=P","Fill=—","Direction=H","UseDPDF=Y")</f>
        <v>#NAME?</v>
      </c>
      <c r="BD335" s="2" t="e">
        <f ca="1">_xll.BDH($C$328,"GEO_GROW_BOOK_VAL","FQ2 2015","FQ2 2015","Currency=INR","Period=FQ","BEST_FPERIOD_OVERRIDE=FQ","FILING_STATUS=OR","EQY_CONSOLIDATED=Y","Sort=A","Dates=H","DateFormat=P","Fill=—","Direction=H","UseDPDF=Y")</f>
        <v>#NAME?</v>
      </c>
      <c r="BE335" s="2" t="e">
        <f ca="1">_xll.BDH($C$328,"GEO_GROW_CASH_OPER_ACT","FQ2 2015","FQ2 2015","Currency=INR","Period=FQ","BEST_FPERIOD_OVERRIDE=FQ","FILING_STATUS=OR","EQY_CONSOLIDATED=Y","Sort=A","Dates=H","DateFormat=P","Fill=—","Direction=H","UseDPDF=Y")</f>
        <v>#NAME?</v>
      </c>
      <c r="BF335" s="2" t="e">
        <f ca="1">_xll.BDH($C$328,"REVENUE_SEQUENTIAL_GROWTH","FQ2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335" s="2" t="e">
        <f ca="1">_xll.BDH($C$328,"EBITDA_SEQUENTIAL_GROWTH","FQ2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335" s="2" t="e">
        <f ca="1">_xll.BDH($C$328,"OPERATING_INCOME_SEQ_GROWTH","FQ2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335" s="2" t="e">
        <f ca="1">_xll.BDH($C$328,"NET_INCOME_TO_COMMON_SEQ_GROWTH","FQ2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335" s="2" t="e">
        <f ca="1">_xll.BDH($C$328,"EPS_DILUTED_SEQUENTIAL_GROWTH","FQ2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335" s="2" t="e">
        <f ca="1">_xll.BDH($C$328,"DPS_SEQUENTIAL_GROWTH","FQ2 2015","FQ2 2015","Currency=INR","Period=FQ","BEST_FPERIOD_OVERRIDE=FQ","FILING_STATUS=OR","EQY_CONSOLIDATED=Y","Sort=A","Dates=H","DateFormat=P","Fill=—","Direction=H","UseDPDF=Y")</f>
        <v>#NAME?</v>
      </c>
      <c r="BL335" s="2" t="e">
        <f ca="1">_xll.BDH($C$328,"ACCOUNTS_RECEIVABLE_SEQ_GROWTH","FQ2 2015","FQ2 2015","Currency=INR","Period=FQ","BEST_FPERIOD_OVERRIDE=FQ","FILING_STATUS=OR","EQY_CONSOLIDATED=Y","Sort=A","Dates=H","DateFormat=P","Fill=—","Direction=H","UseDPDF=Y")</f>
        <v>#NAME?</v>
      </c>
      <c r="BM335" s="2" t="e">
        <f ca="1">_xll.BDH($C$328,"INVENTORY_SEQUENTIAL_GROWTH","FQ2 2015","FQ2 2015","Currency=INR","Period=FQ","BEST_FPERIOD_OVERRIDE=FQ","FILING_STATUS=OR","EQY_CONSOLIDATED=Y","Sort=A","Dates=H","DateFormat=P","Fill=—","Direction=H","UseDPDF=Y")</f>
        <v>#NAME?</v>
      </c>
      <c r="BN335" s="2" t="e">
        <f ca="1">_xll.BDH($C$328,"FIXED_ASSETS_SEQUENTIAL_GROWTH","FQ2 2015","FQ2 2015","Currency=INR","Period=FQ","BEST_FPERIOD_OVERRIDE=FQ","FILING_STATUS=OR","EQY_CONSOLIDATED=Y","Sort=A","Dates=H","DateFormat=P","Fill=—","Direction=H","UseDPDF=Y")</f>
        <v>#NAME?</v>
      </c>
      <c r="BO335" s="2" t="e">
        <f ca="1">_xll.BDH($C$328,"TOTAL_ASSETS_SEQUENTIAL_GROWTH","FQ2 2015","FQ2 2015","Currency=INR","Period=FQ","BEST_FPERIOD_OVERRIDE=FQ","FILING_STATUS=OR","EQY_CONSOLIDATED=Y","Sort=A","Dates=H","DateFormat=P","Fill=—","Direction=H","UseDPDF=Y")</f>
        <v>#NAME?</v>
      </c>
      <c r="BP335" s="2" t="e">
        <f ca="1">_xll.BDH($C$328,"MODIFIED_WORKING_CPTL_SEQ_GRWTH","FQ2 2015","FQ2 2015","Currency=INR","Period=FQ","BEST_FPERIOD_OVERRIDE=FQ","FILING_STATUS=OR","EQY_CONSOLIDATED=Y","Sort=A","Dates=H","DateFormat=P","Fill=—","Direction=H","UseDPDF=Y")</f>
        <v>#NAME?</v>
      </c>
      <c r="BQ335" s="2" t="e">
        <f ca="1">_xll.BDH($C$328,"WORKING_CAPITAL_SEQ_GROWTH","FQ2 2015","FQ2 2015","Currency=INR","Period=FQ","BEST_FPERIOD_OVERRIDE=FQ","FILING_STATUS=OR","EQY_CONSOLIDATED=Y","Sort=A","Dates=H","DateFormat=P","Fill=—","Direction=H","UseDPDF=Y")</f>
        <v>#NAME?</v>
      </c>
      <c r="BR335" s="2" t="e">
        <f ca="1">_xll.BDH($C$328,"ACCOUNTS_PAYABLE_SEQ_GROWTH","FQ2 2015","FQ2 2015","Currency=INR","Period=FQ","BEST_FPERIOD_OVERRIDE=FQ","FILING_STATUS=OR","EQY_CONSOLIDATED=Y","Sort=A","Dates=H","DateFormat=P","Fill=—","Direction=H","UseDPDF=Y")</f>
        <v>#NAME?</v>
      </c>
      <c r="BS335" s="2" t="e">
        <f ca="1">_xll.BDH($C$328,"ST_DEBT_SEQUENTIAL_GROWTH","FQ2 2015","FQ2 2015","Currency=INR","Period=FQ","BEST_FPERIOD_OVERRIDE=FQ","FILING_STATUS=OR","EQY_CONSOLIDATED=Y","Sort=A","Dates=H","DateFormat=P","Fill=—","Direction=H","UseDPDF=Y")</f>
        <v>#NAME?</v>
      </c>
      <c r="BT335" s="2" t="e">
        <f ca="1">_xll.BDH($C$328,"TOTAL_DEBT_SEQUENTIAL_GROWTH","FQ2 2015","FQ2 2015","Currency=INR","Period=FQ","BEST_FPERIOD_OVERRIDE=FQ","FILING_STATUS=OR","EQY_CONSOLIDATED=Y","Sort=A","Dates=H","DateFormat=P","Fill=—","Direction=H","UseDPDF=Y")</f>
        <v>#NAME?</v>
      </c>
      <c r="BU335" s="2" t="e">
        <f ca="1">_xll.BDH($C$328,"TOTAL_EQUITY_SEQUENTIAL_GROWTH","FQ2 2015","FQ2 2015","Currency=INR","Period=FQ","BEST_FPERIOD_OVERRIDE=FQ","FILING_STATUS=OR","EQY_CONSOLIDATED=Y","Sort=A","Dates=H","DateFormat=P","Fill=—","Direction=H","UseDPDF=Y")</f>
        <v>#NAME?</v>
      </c>
      <c r="BV335" s="2" t="e">
        <f ca="1">_xll.BDH($C$328,"TOTAL_CAPITAL_SEQUENTIAL_GROWTH","FQ2 2015","FQ2 2015","Currency=INR","Period=FQ","BEST_FPERIOD_OVERRIDE=FQ","FILING_STATUS=OR","EQY_CONSOLIDATED=Y","Sort=A","Dates=H","DateFormat=P","Fill=—","Direction=H","UseDPDF=Y")</f>
        <v>#NAME?</v>
      </c>
      <c r="BW335" s="2" t="e">
        <f ca="1">_xll.BDH($C$328,"BPS_SEQUENTIAL_GROWTH","FQ2 2015","FQ2 2015","Currency=INR","Period=FQ","BEST_FPERIOD_OVERRIDE=FQ","FILING_STATUS=OR","EQY_CONSOLIDATED=Y","Sort=A","Dates=H","DateFormat=P","Fill=—","Direction=H","UseDPDF=Y")</f>
        <v>#NAME?</v>
      </c>
      <c r="BX335" s="2" t="e">
        <f ca="1">_xll.BDH($C$328,"CFO_SEQUENTIAL_GROWTH","FQ2 2015","FQ2 2015","Currency=INR","Period=FQ","BEST_FPERIOD_OVERRIDE=FQ","FILING_STATUS=OR","EQY_CONSOLIDATED=Y","Sort=A","Dates=H","DateFormat=P","Fill=—","Direction=H","UseDPDF=Y")</f>
        <v>#NAME?</v>
      </c>
      <c r="BY335" s="3" t="e">
        <f ca="1">_xll.BDH($C$328,"SHORT_AND_LONG_TERM_DEBT","FQ2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335" s="3" t="e">
        <f ca="1">_xll.BDH($C$328,"BS_ST_BORROW","FQ2 2015","FQ2 2015","Currency=INR","Period=FQ","BEST_FPERIOD_OVERRIDE=FQ","FILING_STATUS=OR","EQY_CONSOLIDATED=Y","SCALING_FORMAT=MLN","Sort=A","Dates=H","DateFormat=P","Fill=—","Direction=H","UseDPDF=Y")</f>
        <v>#NAME?</v>
      </c>
      <c r="CA335" s="3" t="e">
        <f ca="1">_xll.BDH($C$328,"BS_LT_BORROW","FQ2 2015","FQ2 2015","Currency=INR","Period=FQ","BEST_FPERIOD_OVERRIDE=FQ","FILING_STATUS=OR","EQY_CONSOLIDATED=Y","SCALING_FORMAT=MLN","Sort=A","Dates=H","DateFormat=P","Fill=—","Direction=H","UseDPDF=Y")</f>
        <v>#NAME?</v>
      </c>
      <c r="CB335" s="2" t="e">
        <f ca="1">_xll.BDH($C$328,"TOT_DEBT_TO_EBITDA","FQ2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335" s="2" t="e">
        <f ca="1">_xll.BDH($C$328,"NET_DEBT_TO_EBITDA","FQ2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335" s="2" t="e">
        <f ca="1">_xll.BDH($C$328,"TOTAL_DEBT_TO_EBIT","FQ2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335" s="2" t="e">
        <f ca="1">_xll.BDH($C$328,"NET_DEBT_TO_EBIT","FQ2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335" s="2" t="e">
        <f ca="1">_xll.BDH($C$328,"EBITDA_TO_INTEREST_EXPN","FQ2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335" s="2" t="e">
        <f ca="1">_xll.BDH($C$328,"COM_EQY_TO_TOT_ASSET","FQ2 2015","FQ2 2015","Currency=INR","Period=FQ","BEST_FPERIOD_OVERRIDE=FQ","FILING_STATUS=OR","EQY_CONSOLIDATED=Y","Sort=A","Dates=H","DateFormat=P","Fill=—","Direction=H","UseDPDF=Y")</f>
        <v>#NAME?</v>
      </c>
      <c r="CH335" s="2" t="e">
        <f ca="1">_xll.BDH($C$328,"LT_DEBT_TO_TOT_EQY","FQ2 2015","FQ2 2015","Currency=INR","Period=FQ","BEST_FPERIOD_OVERRIDE=FQ","FILING_STATUS=OR","EQY_CONSOLIDATED=Y","Sort=A","Dates=H","DateFormat=P","Fill=—","Direction=H","UseDPDF=Y")</f>
        <v>#NAME?</v>
      </c>
      <c r="CI335" s="2" t="e">
        <f ca="1">_xll.BDH($C$328,"LT_DEBT_TO_TOT_CAP","FQ2 2015","FQ2 2015","Currency=INR","Period=FQ","BEST_FPERIOD_OVERRIDE=FQ","FILING_STATUS=OR","EQY_CONSOLIDATED=Y","Sort=A","Dates=H","DateFormat=P","Fill=—","Direction=H","UseDPDF=Y")</f>
        <v>#NAME?</v>
      </c>
      <c r="CJ335" s="2" t="e">
        <f ca="1">_xll.BDH($C$328,"LT_DEBT_TO_TOT_ASSET","FQ2 2015","FQ2 2015","Currency=INR","Period=FQ","BEST_FPERIOD_OVERRIDE=FQ","FILING_STATUS=OR","EQY_CONSOLIDATED=Y","Sort=A","Dates=H","DateFormat=P","Fill=—","Direction=H","UseDPDF=Y")</f>
        <v>#NAME?</v>
      </c>
      <c r="CK335" s="2" t="e">
        <f ca="1">_xll.BDH($C$328,"TOT_DEBT_TO_TOT_EQY","FQ2 2015","FQ2 2015","Currency=INR","Period=FQ","BEST_FPERIOD_OVERRIDE=FQ","FILING_STATUS=OR","EQY_CONSOLIDATED=Y","Sort=A","Dates=H","DateFormat=P","Fill=—","Direction=H","UseDPDF=Y")</f>
        <v>#NAME?</v>
      </c>
      <c r="CL335" s="2" t="e">
        <f ca="1">_xll.BDH($C$328,"TOT_DEBT_TO_TOT_CAP","FQ2 2015","FQ2 2015","Currency=INR","Period=FQ","BEST_FPERIOD_OVERRIDE=FQ","FILING_STATUS=OR","EQY_CONSOLIDATED=Y","Sort=A","Dates=H","DateFormat=P","Fill=—","Direction=H","UseDPDF=Y")</f>
        <v>#NAME?</v>
      </c>
      <c r="CM335" s="2" t="e">
        <f ca="1">_xll.BDH($C$328,"TOT_DEBT_TO_TOT_ASSET","FQ2 2015","FQ2 2015","Currency=INR","Period=FQ","BEST_FPERIOD_OVERRIDE=FQ","FILING_STATUS=OR","EQY_CONSOLIDATED=Y","Sort=A","Dates=H","DateFormat=P","Fill=—","Direction=H","UseDPDF=Y")</f>
        <v>#NAME?</v>
      </c>
      <c r="CN335" s="2" t="e">
        <f ca="1">_xll.BDH($C$328,"NET_DEBT_TO_SHRHLDR_EQTY","FQ2 2015","FQ2 2015","Currency=INR","Period=FQ","BEST_FPERIOD_OVERRIDE=FQ","FILING_STATUS=OR","EQY_CONSOLIDATED=Y","Sort=A","Dates=H","DateFormat=P","Fill=—","Direction=H","UseDPDF=Y")</f>
        <v>#NAME?</v>
      </c>
      <c r="CO335" s="2" t="e">
        <f ca="1">_xll.BDH($C$328,"NET_DEBT_%_CAPITAL","FQ2 2015","FQ2 2015","Currency=INR","Period=FQ","BEST_FPERIOD_OVERRIDE=FQ","FILING_STATUS=OR","EQY_CONSOLIDATED=Y","Sort=A","Dates=H","DateFormat=P","Fill=—","Direction=H","UseDPDF=Y")</f>
        <v>#NAME?</v>
      </c>
      <c r="CP335" s="3" t="e">
        <f ca="1">_xll.BDH($C$328,"EBITDA","FQ2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335" s="3" t="e">
        <f ca="1">_xll.BDH($C$328,"EBITDA_AFTER_CAPEX","FQ2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335" s="3" t="e">
        <f ca="1">_xll.BDH($C$328,"IS_OPER_INC","FQ2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335" s="2" t="e">
        <f ca="1">_xll.BDH($C$328,"CASH_RATIO","FQ2 2015","FQ2 2015","Currency=INR","Period=FQ","BEST_FPERIOD_OVERRIDE=FQ","FILING_STATUS=OR","EQY_CONSOLIDATED=Y","Sort=A","Dates=H","DateFormat=P","Fill=—","Direction=H","UseDPDF=Y")</f>
        <v>#NAME?</v>
      </c>
      <c r="CT335" s="2" t="e">
        <f ca="1">_xll.BDH($C$328,"CUR_RATIO","FQ2 2015","FQ2 2015","Currency=INR","Period=FQ","BEST_FPERIOD_OVERRIDE=FQ","FILING_STATUS=OR","EQY_CONSOLIDATED=Y","Sort=A","Dates=H","DateFormat=P","Fill=—","Direction=H","UseDPDF=Y")</f>
        <v>#NAME?</v>
      </c>
      <c r="CU335" s="2" t="e">
        <f ca="1">_xll.BDH($C$328,"QUICK_RATIO","FQ2 2015","FQ2 2015","Currency=INR","Period=FQ","BEST_FPERIOD_OVERRIDE=FQ","FILING_STATUS=OR","EQY_CONSOLIDATED=Y","Sort=A","Dates=H","DateFormat=P","Fill=—","Direction=H","UseDPDF=Y")</f>
        <v>#NAME?</v>
      </c>
      <c r="CV335" s="2" t="e">
        <f ca="1">_xll.BDH($C$328,"ALTMAN_Z_SCORE","FQ2 2015","FQ2 2015","Currency=INR","Period=FQ","BEST_FPERIOD_OVERRIDE=FQ","FILING_STATUS=OR","EQY_CONSOLIDATED=Y","Sort=A","Dates=H","DateFormat=P","Fill=—","Direction=H","UseDPDF=Y")</f>
        <v>#NAME?</v>
      </c>
      <c r="CW335" s="4" t="e">
        <f ca="1">_xll.BDH($C$328,"ACCT_RCV_TURN","FQ2 2015","FQ2 2015","Currency=INR","Period=FQ","BEST_FPERIOD_OVERRIDE=FQ","FILING_STATUS=OR","EQY_CONSOLIDATED=Y","FA_ADJUSTED=GAAP","Sort=A","Dates=H","DateFormat=P","Fill=—","Direction=H","UseDPDF=Y")</f>
        <v>#NAME?</v>
      </c>
      <c r="CX335" s="2" t="e">
        <f ca="1">_xll.BDH($C$328,"ACCT_RCV_DAYS","FQ2 2015","FQ2 2015","Currency=INR","Period=FQ","BEST_FPERIOD_OVERRIDE=FQ","FILING_STATUS=OR","EQY_CONSOLIDATED=Y","FA_ADJUSTED=GAAP","Sort=A","Dates=H","DateFormat=P","Fill=—","Direction=H","UseDPDF=Y")</f>
        <v>#NAME?</v>
      </c>
      <c r="CY335" s="4" t="e">
        <f ca="1">_xll.BDH($C$328,"INVENT_TURN","FQ2 2015","FQ2 2015","Currency=INR","Period=FQ","BEST_FPERIOD_OVERRIDE=FQ","FILING_STATUS=OR","EQY_CONSOLIDATED=Y","FA_ADJUSTED=GAAP","Sort=A","Dates=H","DateFormat=P","Fill=—","Direction=H","UseDPDF=Y")</f>
        <v>#NAME?</v>
      </c>
      <c r="CZ335" s="2" t="e">
        <f ca="1">_xll.BDH($C$328,"INVENT_DAYS","FQ2 2015","FQ2 2015","Currency=INR","Period=FQ","BEST_FPERIOD_OVERRIDE=FQ","FILING_STATUS=OR","EQY_CONSOLIDATED=Y","FA_ADJUSTED=GAAP","Sort=A","Dates=H","DateFormat=P","Fill=—","Direction=H","UseDPDF=Y")</f>
        <v>#NAME?</v>
      </c>
      <c r="DA335" s="4" t="e">
        <f ca="1">_xll.BDH($C$328,"ACCOUNTS_PAYABLE_TURNOVER","FQ2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335" s="2" t="e">
        <f ca="1">_xll.BDH($C$328,"ACCOUNTS_PAYABLE_TURNOVER_DAYS","FQ2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335" s="4" t="e">
        <f ca="1">_xll.BDH($C$328,"CASH_CONVERSION_CYCLE","FQ2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335" s="4" t="e">
        <f ca="1">_xll.BDH($C$328,"INV_TO_CASH_DAYS","FQ2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335" s="5" t="e">
        <f ca="1">_xll.BDH($C$328,"BS_INVENTORIES","FQ2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335" s="3" t="e">
        <f ca="1">_xll.BDH($C$328,"INVTRY_RAW_MATERIALS","FQ2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335" s="3" t="e">
        <f ca="1">_xll.BDH($C$328,"INVTRY_IN_PROGRESS","FQ2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335" s="3" t="e">
        <f ca="1">_xll.BDH($C$328,"INVTRY_FINISHED_GOODS","FQ2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335" s="3" t="e">
        <f ca="1">_xll.BDH($C$328,"BS_OTHER_INV","FQ2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336" spans="1:113" x14ac:dyDescent="0.3">
      <c r="A336" s="6"/>
      <c r="B336" s="6"/>
      <c r="C336" s="6"/>
      <c r="D336" s="6"/>
      <c r="E336" t="s">
        <v>80</v>
      </c>
      <c r="F336" t="e">
        <f ca="1">_xll.BDH($C$328,"RETURN_COM_EQY","FQ3 2015","FQ3 2015","Currency=INR","Period=FQ","BEST_FPERIOD_OVERRIDE=FQ","FILING_STATUS=OR","EQY_CONSOLIDATED=Y","FA_ADJUSTED=GAAP","Sort=A","Dates=H","DateFormat=P","Fill=—","Direction=H","UseDPDF=Y")</f>
        <v>#NAME?</v>
      </c>
      <c r="G336" t="e">
        <f ca="1">_xll.BDH($C$328,"RETURN_ON_ASSET","FQ3 2015","FQ3 2015","Currency=INR","Period=FQ","BEST_FPERIOD_OVERRIDE=FQ","FILING_STATUS=OR","EQY_CONSOLIDATED=Y","FA_ADJUSTED=GAAP","Sort=A","Dates=H","DateFormat=P","Fill=—","Direction=H","UseDPDF=Y")</f>
        <v>#NAME?</v>
      </c>
      <c r="H336" t="e">
        <f ca="1">_xll.BDH($C$328,"RETURN_ON_CAP","FQ3 2015","FQ3 2015","Currency=INR","Period=FQ","BEST_FPERIOD_OVERRIDE=FQ","FILING_STATUS=OR","EQY_CONSOLIDATED=Y","FA_ADJUSTED=GAAP","Sort=A","Dates=H","DateFormat=P","Fill=—","Direction=H","UseDPDF=Y")</f>
        <v>#NAME?</v>
      </c>
      <c r="I336" t="e">
        <f ca="1">_xll.BDH($C$328,"RETURN_ON_INV_CAPITAL","FQ3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336" t="e">
        <f ca="1">_xll.BDH($C$328,"EBITDA_TO_REVENUE","FQ3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336" t="e">
        <f ca="1">_xll.BDH($C$328,"OPER_MARGIN","FQ3 2015","FQ3 2015","Currency=INR","Period=FQ","BEST_FPERIOD_OVERRIDE=FQ","FILING_STATUS=OR","EQY_CONSOLIDATED=Y","FA_ADJUSTED=GAAP","Sort=A","Dates=H","DateFormat=P","Fill=—","Direction=H","UseDPDF=Y")</f>
        <v>#NAME?</v>
      </c>
      <c r="L336" t="e">
        <f ca="1">_xll.BDH($C$328,"INCREMENTAL_OPERATING_MARGIN","FQ3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336" t="e">
        <f ca="1">_xll.BDH($C$328,"PRETAX_INC_TO_NET_SALES","FQ3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336" t="e">
        <f ca="1">_xll.BDH($C$328,"INC_BEF_XO_ITEMS_TO_NET_SALES","FQ3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336" t="e">
        <f ca="1">_xll.BDH($C$328,"PROF_MARGIN","FQ3 2015","FQ3 2015","Currency=INR","Period=FQ","BEST_FPERIOD_OVERRIDE=FQ","FILING_STATUS=OR","EQY_CONSOLIDATED=Y","FA_ADJUSTED=GAAP","Sort=A","Dates=H","DateFormat=P","Fill=—","Direction=H","UseDPDF=Y")</f>
        <v>#NAME?</v>
      </c>
      <c r="P336" t="e">
        <f ca="1">_xll.BDH($C$328,"NET_INCOME_TO_COMMON_MARGIN","FQ3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336" t="e">
        <f ca="1">_xll.BDH($C$328,"EFF_TAX_RATE","FQ3 2015","FQ3 2015","Currency=INR","Period=FQ","BEST_FPERIOD_OVERRIDE=FQ","FILING_STATUS=OR","EQY_CONSOLIDATED=Y","FA_ADJUSTED=GAAP","Sort=A","Dates=H","DateFormat=P","Fill=—","Direction=H","UseDPDF=Y")</f>
        <v>#NAME?</v>
      </c>
      <c r="R336" t="e">
        <f ca="1">_xll.BDH($C$328,"DVD_PAYOUT_RATIO","FQ3 2015","FQ3 2015","Currency=INR","Period=FQ","BEST_FPERIOD_OVERRIDE=FQ","FILING_STATUS=OR","EQY_CONSOLIDATED=Y","FA_ADJUSTED=GAAP","Sort=A","Dates=H","DateFormat=P","Fill=—","Direction=H","UseDPDF=Y")</f>
        <v>#NAME?</v>
      </c>
      <c r="S336" t="e">
        <f ca="1">_xll.BDH($C$328,"SUSTAIN_GROWTH_RT","FQ3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336" s="2" t="e">
        <f ca="1">_xll.BDH($C$328,"SALES_GROWTH","FQ3 2015","FQ3 2015","Currency=INR","Period=FQ","BEST_FPERIOD_OVERRIDE=FQ","FILING_STATUS=OR","EQY_CONSOLIDATED=Y","FA_ADJUSTED=GAAP","Sort=A","Dates=H","DateFormat=P","Fill=—","Direction=H","UseDPDF=Y")</f>
        <v>#NAME?</v>
      </c>
      <c r="U336" s="2" t="e">
        <f ca="1">_xll.BDH($C$328,"EBITDA_GROWTH","FQ3 2015","FQ3 2015","Currency=INR","Period=FQ","BEST_FPERIOD_OVERRIDE=FQ","FILING_STATUS=OR","EQY_CONSOLIDATED=Y","FA_ADJUSTED=GAAP","Sort=A","Dates=H","DateFormat=P","Fill=—","Direction=H","UseDPDF=Y")</f>
        <v>#NAME?</v>
      </c>
      <c r="V336" s="2" t="e">
        <f ca="1">_xll.BDH($C$328,"OPER_INC_GROWTH","FQ3 2015","FQ3 2015","Currency=INR","Period=FQ","BEST_FPERIOD_OVERRIDE=FQ","FILING_STATUS=OR","EQY_CONSOLIDATED=Y","FA_ADJUSTED=GAAP","Sort=A","Dates=H","DateFormat=P","Fill=—","Direction=H","UseDPDF=Y")</f>
        <v>#NAME?</v>
      </c>
      <c r="W336" s="2" t="e">
        <f ca="1">_xll.BDH($C$328,"EARN_FOR_COM_GROWTH","FQ3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336" s="2" t="e">
        <f ca="1">_xll.BDH($C$328,"DILUTED_EPS_AFT_XO_ITEMS_GROWTH","FQ3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336" s="2" t="e">
        <f ca="1">_xll.BDH($C$328,"DIVIDEND_PER_SHARE_1_YEAR_GROWTH","FQ3 2015","FQ3 2015","Currency=INR","Period=FQ","BEST_FPERIOD_OVERRIDE=FQ","FILING_STATUS=OR","EQY_CONSOLIDATED=Y","Sort=A","Dates=H","DateFormat=P","Fill=—","Direction=H","UseDPDF=Y")</f>
        <v>#NAME?</v>
      </c>
      <c r="Z336" s="2" t="e">
        <f ca="1">_xll.BDH($C$328,"ACCOUNTS_RECEIVABLE_GROWTH","FQ3 2015","FQ3 2015","Currency=INR","Period=FQ","BEST_FPERIOD_OVERRIDE=FQ","FILING_STATUS=OR","EQY_CONSOLIDATED=Y","Sort=A","Dates=H","DateFormat=P","Fill=—","Direction=H","UseDPDF=Y")</f>
        <v>#NAME?</v>
      </c>
      <c r="AA336" s="2" t="e">
        <f ca="1">_xll.BDH($C$328,"INVENTORY_GROWTH","FQ3 2015","FQ3 2015","Currency=INR","Period=FQ","BEST_FPERIOD_OVERRIDE=FQ","FILING_STATUS=OR","EQY_CONSOLIDATED=Y","Sort=A","Dates=H","DateFormat=P","Fill=—","Direction=H","UseDPDF=Y")</f>
        <v>#NAME?</v>
      </c>
      <c r="AB336" s="2" t="e">
        <f ca="1">_xll.BDH($C$328,"NET_FIXED_ASSETS_1_YEAR_GROWTH","FQ3 2015","FQ3 2015","Currency=INR","Period=FQ","BEST_FPERIOD_OVERRIDE=FQ","FILING_STATUS=OR","EQY_CONSOLIDATED=Y","Sort=A","Dates=H","DateFormat=P","Fill=—","Direction=H","UseDPDF=Y")</f>
        <v>#NAME?</v>
      </c>
      <c r="AC336" s="2" t="e">
        <f ca="1">_xll.BDH($C$328,"ASSET_GROWTH","FQ3 2015","FQ3 2015","Currency=INR","Period=FQ","BEST_FPERIOD_OVERRIDE=FQ","FILING_STATUS=OR","EQY_CONSOLIDATED=Y","Sort=A","Dates=H","DateFormat=P","Fill=—","Direction=H","UseDPDF=Y")</f>
        <v>#NAME?</v>
      </c>
      <c r="AD336" s="2" t="e">
        <f ca="1">_xll.BDH($C$328,"MODIFIED_WORK_CAP_GROWTH","FQ3 2015","FQ3 2015","Currency=INR","Period=FQ","BEST_FPERIOD_OVERRIDE=FQ","FILING_STATUS=OR","EQY_CONSOLIDATED=Y","Sort=A","Dates=H","DateFormat=P","Fill=—","Direction=H","UseDPDF=Y")</f>
        <v>#NAME?</v>
      </c>
      <c r="AE336" s="2" t="e">
        <f ca="1">_xll.BDH($C$328,"WORK_CAP_GROWTH","FQ3 2015","FQ3 2015","Currency=INR","Period=FQ","BEST_FPERIOD_OVERRIDE=FQ","FILING_STATUS=OR","EQY_CONSOLIDATED=Y","Sort=A","Dates=H","DateFormat=P","Fill=—","Direction=H","UseDPDF=Y")</f>
        <v>#NAME?</v>
      </c>
      <c r="AF336" s="2" t="e">
        <f ca="1">_xll.BDH($C$328,"ACCOUNTS_PAYABLE_GROWTH_1YR","FQ3 2015","FQ3 2015","Currency=INR","Period=FQ","BEST_FPERIOD_OVERRIDE=FQ","FILING_STATUS=OR","EQY_CONSOLIDATED=Y","Sort=A","Dates=H","DateFormat=P","Fill=—","Direction=H","UseDPDF=Y")</f>
        <v>#NAME?</v>
      </c>
      <c r="AG336" s="2" t="e">
        <f ca="1">_xll.BDH($C$328,"SHORT_TERM_DEBT_1_YEAR_GROWTH","FQ3 2015","FQ3 2015","Currency=INR","Period=FQ","BEST_FPERIOD_OVERRIDE=FQ","FILING_STATUS=OR","EQY_CONSOLIDATED=Y","Sort=A","Dates=H","DateFormat=P","Fill=—","Direction=H","UseDPDF=Y")</f>
        <v>#NAME?</v>
      </c>
      <c r="AH336" s="2" t="e">
        <f ca="1">_xll.BDH($C$328,"TOTAL_DEBT_1_YEAR_GROWTH","FQ3 2015","FQ3 2015","Currency=INR","Period=FQ","BEST_FPERIOD_OVERRIDE=FQ","FILING_STATUS=OR","EQY_CONSOLIDATED=Y","Sort=A","Dates=H","DateFormat=P","Fill=—","Direction=H","UseDPDF=Y")</f>
        <v>#NAME?</v>
      </c>
      <c r="AI336" s="2" t="e">
        <f ca="1">_xll.BDH($C$328,"TOTAL_EQUITY_1_YEAR_GROWTH","FQ3 2015","FQ3 2015","Currency=INR","Period=FQ","BEST_FPERIOD_OVERRIDE=FQ","FILING_STATUS=OR","EQY_CONSOLIDATED=Y","Sort=A","Dates=H","DateFormat=P","Fill=—","Direction=H","UseDPDF=Y")</f>
        <v>#NAME?</v>
      </c>
      <c r="AJ336" s="2" t="e">
        <f ca="1">_xll.BDH($C$328,"GROWTH_IN_CAP","FQ3 2015","FQ3 2015","Currency=INR","Period=FQ","BEST_FPERIOD_OVERRIDE=FQ","FILING_STATUS=OR","EQY_CONSOLIDATED=Y","Sort=A","Dates=H","DateFormat=P","Fill=—","Direction=H","UseDPDF=Y")</f>
        <v>#NAME?</v>
      </c>
      <c r="AK336" s="2" t="e">
        <f ca="1">_xll.BDH($C$328,"BVPS_GROWTH","FQ3 2015","FQ3 2015","Currency=INR","Period=FQ","BEST_FPERIOD_OVERRIDE=FQ","FILING_STATUS=OR","EQY_CONSOLIDATED=Y","Sort=A","Dates=H","DateFormat=P","Fill=—","Direction=H","UseDPDF=Y")</f>
        <v>#NAME?</v>
      </c>
      <c r="AL336" s="2" t="e">
        <f ca="1">_xll.BDH($C$328,"CASH_FLOW_GROWTH","FQ3 2015","FQ3 2015","Currency=INR","Period=FQ","BEST_FPERIOD_OVERRIDE=FQ","FILING_STATUS=OR","EQY_CONSOLIDATED=Y","Sort=A","Dates=H","DateFormat=P","Fill=—","Direction=H","UseDPDF=Y")</f>
        <v>#NAME?</v>
      </c>
      <c r="AM336" s="2" t="e">
        <f ca="1">_xll.BDH($C$328,"GEO_GROW_NET_SALES","FQ3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336" s="2" t="e">
        <f ca="1">_xll.BDH($C$328,"GEO_GROW_EBITDA","FQ3 2015","FQ3 2015","Currency=INR","Period=FQ","BEST_FPERIOD_OVERRIDE=FQ","FILING_STATUS=OR","EQY_CONSOLIDATED=Y","FA_ADJUSTED=GAAP","Sort=A","Dates=H","DateFormat=P","Fill=—","Direction=H","UseDPDF=Y")</f>
        <v>#NAME?</v>
      </c>
      <c r="AO336" s="2" t="e">
        <f ca="1">_xll.BDH($C$328,"GEO_GROW_OPER_INC","FQ3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336" s="2" t="e">
        <f ca="1">_xll.BDH($C$328,"NET_INCOME_TO_COMMON_5_YR_GROWTH","FQ3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336" s="2" t="e">
        <f ca="1">_xll.BDH($C$328,"5Y_GEO_GROWTH_DILUTED_EPS","FQ3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336" s="2" t="e">
        <f ca="1">_xll.BDH($C$328,"GEO_GROW_DVD_PER_SH","FQ3 2015","FQ3 2015","Currency=INR","Period=FQ","BEST_FPERIOD_OVERRIDE=FQ","FILING_STATUS=OR","EQY_CONSOLIDATED=Y","Sort=A","Dates=H","DateFormat=P","Fill=—","Direction=H","UseDPDF=Y")</f>
        <v>#NAME?</v>
      </c>
      <c r="AS336" s="2" t="e">
        <f ca="1">_xll.BDH($C$328,"ACCOUNTS_RECEIVABLE_5_YR_GROWTH","FQ3 2015","FQ3 2015","Currency=INR","Period=FQ","BEST_FPERIOD_OVERRIDE=FQ","FILING_STATUS=OR","EQY_CONSOLIDATED=Y","Sort=A","Dates=H","DateFormat=P","Fill=—","Direction=H","UseDPDF=Y")</f>
        <v>#NAME?</v>
      </c>
      <c r="AT336" s="2" t="e">
        <f ca="1">_xll.BDH($C$328,"INVENTORY_5_YEAR_GROWTH","FQ3 2015","FQ3 2015","Currency=INR","Period=FQ","BEST_FPERIOD_OVERRIDE=FQ","FILING_STATUS=OR","EQY_CONSOLIDATED=Y","Sort=A","Dates=H","DateFormat=P","Fill=—","Direction=H","UseDPDF=Y")</f>
        <v>#NAME?</v>
      </c>
      <c r="AU336" s="2" t="e">
        <f ca="1">_xll.BDH($C$328,"NET_FIXED_ASSETS_5_YEAR_GROWTH","FQ3 2015","FQ3 2015","Currency=INR","Period=FQ","BEST_FPERIOD_OVERRIDE=FQ","FILING_STATUS=OR","EQY_CONSOLIDATED=Y","Sort=A","Dates=H","DateFormat=P","Fill=—","Direction=H","UseDPDF=Y")</f>
        <v>#NAME?</v>
      </c>
      <c r="AV336" s="2" t="e">
        <f ca="1">_xll.BDH($C$328,"GEO_GROW_TOT_ASSET","FQ3 2015","FQ3 2015","Currency=INR","Period=FQ","BEST_FPERIOD_OVERRIDE=FQ","FILING_STATUS=OR","EQY_CONSOLIDATED=Y","Sort=A","Dates=H","DateFormat=P","Fill=—","Direction=H","UseDPDF=Y")</f>
        <v>#NAME?</v>
      </c>
      <c r="AW336" s="2" t="e">
        <f ca="1">_xll.BDH($C$328,"MODIFIED_WORKING_CPTL_5YR_GRWTH","FQ3 2015","FQ3 2015","Currency=INR","Period=FQ","BEST_FPERIOD_OVERRIDE=FQ","FILING_STATUS=OR","EQY_CONSOLIDATED=Y","Sort=A","Dates=H","DateFormat=P","Fill=—","Direction=H","UseDPDF=Y")</f>
        <v>#NAME?</v>
      </c>
      <c r="AX336" s="2" t="e">
        <f ca="1">_xll.BDH($C$328,"WORKING_CAPITAL_5_YEAR_GROWTH","FQ3 2015","FQ3 2015","Currency=INR","Period=FQ","BEST_FPERIOD_OVERRIDE=FQ","FILING_STATUS=OR","EQY_CONSOLIDATED=Y","Sort=A","Dates=H","DateFormat=P","Fill=—","Direction=H","UseDPDF=Y")</f>
        <v>#NAME?</v>
      </c>
      <c r="AY336" s="2" t="e">
        <f ca="1">_xll.BDH($C$328,"ACCOUNTS_PAYABLE_5_YEAR_GROWTH","FQ3 2015","FQ3 2015","Currency=INR","Period=FQ","BEST_FPERIOD_OVERRIDE=FQ","FILING_STATUS=OR","EQY_CONSOLIDATED=Y","Sort=A","Dates=H","DateFormat=P","Fill=—","Direction=H","UseDPDF=Y")</f>
        <v>#NAME?</v>
      </c>
      <c r="AZ336" s="2" t="e">
        <f ca="1">_xll.BDH($C$328,"SHORT_TERM_DEBT_5_YEAR_GROWTH","FQ3 2015","FQ3 2015","Currency=INR","Period=FQ","BEST_FPERIOD_OVERRIDE=FQ","FILING_STATUS=OR","EQY_CONSOLIDATED=Y","Sort=A","Dates=H","DateFormat=P","Fill=—","Direction=H","UseDPDF=Y")</f>
        <v>#NAME?</v>
      </c>
      <c r="BA336" s="2" t="e">
        <f ca="1">_xll.BDH($C$328,"TOTAL_DEBT_5_YEAR_GROWTH","FQ3 2015","FQ3 2015","Currency=INR","Period=FQ","BEST_FPERIOD_OVERRIDE=FQ","FILING_STATUS=OR","EQY_CONSOLIDATED=Y","Sort=A","Dates=H","DateFormat=P","Fill=—","Direction=H","UseDPDF=Y")</f>
        <v>#NAME?</v>
      </c>
      <c r="BB336" s="2" t="e">
        <f ca="1">_xll.BDH($C$328,"GEO_GROW_TOT_SHRHLDR_EQY","FQ3 2015","FQ3 2015","Currency=INR","Period=FQ","BEST_FPERIOD_OVERRIDE=FQ","FILING_STATUS=OR","EQY_CONSOLIDATED=Y","Sort=A","Dates=H","DateFormat=P","Fill=—","Direction=H","UseDPDF=Y")</f>
        <v>#NAME?</v>
      </c>
      <c r="BC336" s="2" t="e">
        <f ca="1">_xll.BDH($C$328,"TOTAL_CAPITAL_5_YEAR_GROWTH","FQ3 2015","FQ3 2015","Currency=INR","Period=FQ","BEST_FPERIOD_OVERRIDE=FQ","FILING_STATUS=OR","EQY_CONSOLIDATED=Y","Sort=A","Dates=H","DateFormat=P","Fill=—","Direction=H","UseDPDF=Y")</f>
        <v>#NAME?</v>
      </c>
      <c r="BD336" s="2" t="e">
        <f ca="1">_xll.BDH($C$328,"GEO_GROW_BOOK_VAL","FQ3 2015","FQ3 2015","Currency=INR","Period=FQ","BEST_FPERIOD_OVERRIDE=FQ","FILING_STATUS=OR","EQY_CONSOLIDATED=Y","Sort=A","Dates=H","DateFormat=P","Fill=—","Direction=H","UseDPDF=Y")</f>
        <v>#NAME?</v>
      </c>
      <c r="BE336" s="2" t="e">
        <f ca="1">_xll.BDH($C$328,"GEO_GROW_CASH_OPER_ACT","FQ3 2015","FQ3 2015","Currency=INR","Period=FQ","BEST_FPERIOD_OVERRIDE=FQ","FILING_STATUS=OR","EQY_CONSOLIDATED=Y","Sort=A","Dates=H","DateFormat=P","Fill=—","Direction=H","UseDPDF=Y")</f>
        <v>#NAME?</v>
      </c>
      <c r="BF336" s="2" t="e">
        <f ca="1">_xll.BDH($C$328,"REVENUE_SEQUENTIAL_GROWTH","FQ3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336" s="2" t="e">
        <f ca="1">_xll.BDH($C$328,"EBITDA_SEQUENTIAL_GROWTH","FQ3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336" s="2" t="e">
        <f ca="1">_xll.BDH($C$328,"OPERATING_INCOME_SEQ_GROWTH","FQ3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336" s="2" t="e">
        <f ca="1">_xll.BDH($C$328,"NET_INCOME_TO_COMMON_SEQ_GROWTH","FQ3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336" s="2" t="e">
        <f ca="1">_xll.BDH($C$328,"EPS_DILUTED_SEQUENTIAL_GROWTH","FQ3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336" s="2" t="e">
        <f ca="1">_xll.BDH($C$328,"DPS_SEQUENTIAL_GROWTH","FQ3 2015","FQ3 2015","Currency=INR","Period=FQ","BEST_FPERIOD_OVERRIDE=FQ","FILING_STATUS=OR","EQY_CONSOLIDATED=Y","Sort=A","Dates=H","DateFormat=P","Fill=—","Direction=H","UseDPDF=Y")</f>
        <v>#NAME?</v>
      </c>
      <c r="BL336" s="2" t="e">
        <f ca="1">_xll.BDH($C$328,"ACCOUNTS_RECEIVABLE_SEQ_GROWTH","FQ3 2015","FQ3 2015","Currency=INR","Period=FQ","BEST_FPERIOD_OVERRIDE=FQ","FILING_STATUS=OR","EQY_CONSOLIDATED=Y","Sort=A","Dates=H","DateFormat=P","Fill=—","Direction=H","UseDPDF=Y")</f>
        <v>#NAME?</v>
      </c>
      <c r="BM336" s="2" t="e">
        <f ca="1">_xll.BDH($C$328,"INVENTORY_SEQUENTIAL_GROWTH","FQ3 2015","FQ3 2015","Currency=INR","Period=FQ","BEST_FPERIOD_OVERRIDE=FQ","FILING_STATUS=OR","EQY_CONSOLIDATED=Y","Sort=A","Dates=H","DateFormat=P","Fill=—","Direction=H","UseDPDF=Y")</f>
        <v>#NAME?</v>
      </c>
      <c r="BN336" s="2" t="e">
        <f ca="1">_xll.BDH($C$328,"FIXED_ASSETS_SEQUENTIAL_GROWTH","FQ3 2015","FQ3 2015","Currency=INR","Period=FQ","BEST_FPERIOD_OVERRIDE=FQ","FILING_STATUS=OR","EQY_CONSOLIDATED=Y","Sort=A","Dates=H","DateFormat=P","Fill=—","Direction=H","UseDPDF=Y")</f>
        <v>#NAME?</v>
      </c>
      <c r="BO336" s="2" t="e">
        <f ca="1">_xll.BDH($C$328,"TOTAL_ASSETS_SEQUENTIAL_GROWTH","FQ3 2015","FQ3 2015","Currency=INR","Period=FQ","BEST_FPERIOD_OVERRIDE=FQ","FILING_STATUS=OR","EQY_CONSOLIDATED=Y","Sort=A","Dates=H","DateFormat=P","Fill=—","Direction=H","UseDPDF=Y")</f>
        <v>#NAME?</v>
      </c>
      <c r="BP336" s="2" t="e">
        <f ca="1">_xll.BDH($C$328,"MODIFIED_WORKING_CPTL_SEQ_GRWTH","FQ3 2015","FQ3 2015","Currency=INR","Period=FQ","BEST_FPERIOD_OVERRIDE=FQ","FILING_STATUS=OR","EQY_CONSOLIDATED=Y","Sort=A","Dates=H","DateFormat=P","Fill=—","Direction=H","UseDPDF=Y")</f>
        <v>#NAME?</v>
      </c>
      <c r="BQ336" s="2" t="e">
        <f ca="1">_xll.BDH($C$328,"WORKING_CAPITAL_SEQ_GROWTH","FQ3 2015","FQ3 2015","Currency=INR","Period=FQ","BEST_FPERIOD_OVERRIDE=FQ","FILING_STATUS=OR","EQY_CONSOLIDATED=Y","Sort=A","Dates=H","DateFormat=P","Fill=—","Direction=H","UseDPDF=Y")</f>
        <v>#NAME?</v>
      </c>
      <c r="BR336" s="2" t="e">
        <f ca="1">_xll.BDH($C$328,"ACCOUNTS_PAYABLE_SEQ_GROWTH","FQ3 2015","FQ3 2015","Currency=INR","Period=FQ","BEST_FPERIOD_OVERRIDE=FQ","FILING_STATUS=OR","EQY_CONSOLIDATED=Y","Sort=A","Dates=H","DateFormat=P","Fill=—","Direction=H","UseDPDF=Y")</f>
        <v>#NAME?</v>
      </c>
      <c r="BS336" s="2" t="e">
        <f ca="1">_xll.BDH($C$328,"ST_DEBT_SEQUENTIAL_GROWTH","FQ3 2015","FQ3 2015","Currency=INR","Period=FQ","BEST_FPERIOD_OVERRIDE=FQ","FILING_STATUS=OR","EQY_CONSOLIDATED=Y","Sort=A","Dates=H","DateFormat=P","Fill=—","Direction=H","UseDPDF=Y")</f>
        <v>#NAME?</v>
      </c>
      <c r="BT336" s="2" t="e">
        <f ca="1">_xll.BDH($C$328,"TOTAL_DEBT_SEQUENTIAL_GROWTH","FQ3 2015","FQ3 2015","Currency=INR","Period=FQ","BEST_FPERIOD_OVERRIDE=FQ","FILING_STATUS=OR","EQY_CONSOLIDATED=Y","Sort=A","Dates=H","DateFormat=P","Fill=—","Direction=H","UseDPDF=Y")</f>
        <v>#NAME?</v>
      </c>
      <c r="BU336" s="2" t="e">
        <f ca="1">_xll.BDH($C$328,"TOTAL_EQUITY_SEQUENTIAL_GROWTH","FQ3 2015","FQ3 2015","Currency=INR","Period=FQ","BEST_FPERIOD_OVERRIDE=FQ","FILING_STATUS=OR","EQY_CONSOLIDATED=Y","Sort=A","Dates=H","DateFormat=P","Fill=—","Direction=H","UseDPDF=Y")</f>
        <v>#NAME?</v>
      </c>
      <c r="BV336" s="2" t="e">
        <f ca="1">_xll.BDH($C$328,"TOTAL_CAPITAL_SEQUENTIAL_GROWTH","FQ3 2015","FQ3 2015","Currency=INR","Period=FQ","BEST_FPERIOD_OVERRIDE=FQ","FILING_STATUS=OR","EQY_CONSOLIDATED=Y","Sort=A","Dates=H","DateFormat=P","Fill=—","Direction=H","UseDPDF=Y")</f>
        <v>#NAME?</v>
      </c>
      <c r="BW336" s="2" t="e">
        <f ca="1">_xll.BDH($C$328,"BPS_SEQUENTIAL_GROWTH","FQ3 2015","FQ3 2015","Currency=INR","Period=FQ","BEST_FPERIOD_OVERRIDE=FQ","FILING_STATUS=OR","EQY_CONSOLIDATED=Y","Sort=A","Dates=H","DateFormat=P","Fill=—","Direction=H","UseDPDF=Y")</f>
        <v>#NAME?</v>
      </c>
      <c r="BX336" s="2" t="e">
        <f ca="1">_xll.BDH($C$328,"CFO_SEQUENTIAL_GROWTH","FQ3 2015","FQ3 2015","Currency=INR","Period=FQ","BEST_FPERIOD_OVERRIDE=FQ","FILING_STATUS=OR","EQY_CONSOLIDATED=Y","Sort=A","Dates=H","DateFormat=P","Fill=—","Direction=H","UseDPDF=Y")</f>
        <v>#NAME?</v>
      </c>
      <c r="BY336" s="3" t="e">
        <f ca="1">_xll.BDH($C$328,"SHORT_AND_LONG_TERM_DEBT","FQ3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336" s="3" t="e">
        <f ca="1">_xll.BDH($C$328,"BS_ST_BORROW","FQ3 2015","FQ3 2015","Currency=INR","Period=FQ","BEST_FPERIOD_OVERRIDE=FQ","FILING_STATUS=OR","EQY_CONSOLIDATED=Y","SCALING_FORMAT=MLN","Sort=A","Dates=H","DateFormat=P","Fill=—","Direction=H","UseDPDF=Y")</f>
        <v>#NAME?</v>
      </c>
      <c r="CA336" s="3" t="e">
        <f ca="1">_xll.BDH($C$328,"BS_LT_BORROW","FQ3 2015","FQ3 2015","Currency=INR","Period=FQ","BEST_FPERIOD_OVERRIDE=FQ","FILING_STATUS=OR","EQY_CONSOLIDATED=Y","SCALING_FORMAT=MLN","Sort=A","Dates=H","DateFormat=P","Fill=—","Direction=H","UseDPDF=Y")</f>
        <v>#NAME?</v>
      </c>
      <c r="CB336" s="2" t="e">
        <f ca="1">_xll.BDH($C$328,"TOT_DEBT_TO_EBITDA","FQ3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336" s="2" t="e">
        <f ca="1">_xll.BDH($C$328,"NET_DEBT_TO_EBITDA","FQ3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336" s="2" t="e">
        <f ca="1">_xll.BDH($C$328,"TOTAL_DEBT_TO_EBIT","FQ3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336" s="2" t="e">
        <f ca="1">_xll.BDH($C$328,"NET_DEBT_TO_EBIT","FQ3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336" s="2" t="e">
        <f ca="1">_xll.BDH($C$328,"EBITDA_TO_INTEREST_EXPN","FQ3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336" s="2" t="e">
        <f ca="1">_xll.BDH($C$328,"COM_EQY_TO_TOT_ASSET","FQ3 2015","FQ3 2015","Currency=INR","Period=FQ","BEST_FPERIOD_OVERRIDE=FQ","FILING_STATUS=OR","EQY_CONSOLIDATED=Y","Sort=A","Dates=H","DateFormat=P","Fill=—","Direction=H","UseDPDF=Y")</f>
        <v>#NAME?</v>
      </c>
      <c r="CH336" s="2" t="e">
        <f ca="1">_xll.BDH($C$328,"LT_DEBT_TO_TOT_EQY","FQ3 2015","FQ3 2015","Currency=INR","Period=FQ","BEST_FPERIOD_OVERRIDE=FQ","FILING_STATUS=OR","EQY_CONSOLIDATED=Y","Sort=A","Dates=H","DateFormat=P","Fill=—","Direction=H","UseDPDF=Y")</f>
        <v>#NAME?</v>
      </c>
      <c r="CI336" s="2" t="e">
        <f ca="1">_xll.BDH($C$328,"LT_DEBT_TO_TOT_CAP","FQ3 2015","FQ3 2015","Currency=INR","Period=FQ","BEST_FPERIOD_OVERRIDE=FQ","FILING_STATUS=OR","EQY_CONSOLIDATED=Y","Sort=A","Dates=H","DateFormat=P","Fill=—","Direction=H","UseDPDF=Y")</f>
        <v>#NAME?</v>
      </c>
      <c r="CJ336" s="2" t="e">
        <f ca="1">_xll.BDH($C$328,"LT_DEBT_TO_TOT_ASSET","FQ3 2015","FQ3 2015","Currency=INR","Period=FQ","BEST_FPERIOD_OVERRIDE=FQ","FILING_STATUS=OR","EQY_CONSOLIDATED=Y","Sort=A","Dates=H","DateFormat=P","Fill=—","Direction=H","UseDPDF=Y")</f>
        <v>#NAME?</v>
      </c>
      <c r="CK336" s="2" t="e">
        <f ca="1">_xll.BDH($C$328,"TOT_DEBT_TO_TOT_EQY","FQ3 2015","FQ3 2015","Currency=INR","Period=FQ","BEST_FPERIOD_OVERRIDE=FQ","FILING_STATUS=OR","EQY_CONSOLIDATED=Y","Sort=A","Dates=H","DateFormat=P","Fill=—","Direction=H","UseDPDF=Y")</f>
        <v>#NAME?</v>
      </c>
      <c r="CL336" s="2" t="e">
        <f ca="1">_xll.BDH($C$328,"TOT_DEBT_TO_TOT_CAP","FQ3 2015","FQ3 2015","Currency=INR","Period=FQ","BEST_FPERIOD_OVERRIDE=FQ","FILING_STATUS=OR","EQY_CONSOLIDATED=Y","Sort=A","Dates=H","DateFormat=P","Fill=—","Direction=H","UseDPDF=Y")</f>
        <v>#NAME?</v>
      </c>
      <c r="CM336" s="2" t="e">
        <f ca="1">_xll.BDH($C$328,"TOT_DEBT_TO_TOT_ASSET","FQ3 2015","FQ3 2015","Currency=INR","Period=FQ","BEST_FPERIOD_OVERRIDE=FQ","FILING_STATUS=OR","EQY_CONSOLIDATED=Y","Sort=A","Dates=H","DateFormat=P","Fill=—","Direction=H","UseDPDF=Y")</f>
        <v>#NAME?</v>
      </c>
      <c r="CN336" s="2" t="e">
        <f ca="1">_xll.BDH($C$328,"NET_DEBT_TO_SHRHLDR_EQTY","FQ3 2015","FQ3 2015","Currency=INR","Period=FQ","BEST_FPERIOD_OVERRIDE=FQ","FILING_STATUS=OR","EQY_CONSOLIDATED=Y","Sort=A","Dates=H","DateFormat=P","Fill=—","Direction=H","UseDPDF=Y")</f>
        <v>#NAME?</v>
      </c>
      <c r="CO336" s="2" t="e">
        <f ca="1">_xll.BDH($C$328,"NET_DEBT_%_CAPITAL","FQ3 2015","FQ3 2015","Currency=INR","Period=FQ","BEST_FPERIOD_OVERRIDE=FQ","FILING_STATUS=OR","EQY_CONSOLIDATED=Y","Sort=A","Dates=H","DateFormat=P","Fill=—","Direction=H","UseDPDF=Y")</f>
        <v>#NAME?</v>
      </c>
      <c r="CP336" s="3" t="e">
        <f ca="1">_xll.BDH($C$328,"EBITDA","FQ3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336" s="3" t="e">
        <f ca="1">_xll.BDH($C$328,"EBITDA_AFTER_CAPEX","FQ3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336" s="3" t="e">
        <f ca="1">_xll.BDH($C$328,"IS_OPER_INC","FQ3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336" s="2" t="e">
        <f ca="1">_xll.BDH($C$328,"CASH_RATIO","FQ3 2015","FQ3 2015","Currency=INR","Period=FQ","BEST_FPERIOD_OVERRIDE=FQ","FILING_STATUS=OR","EQY_CONSOLIDATED=Y","Sort=A","Dates=H","DateFormat=P","Fill=—","Direction=H","UseDPDF=Y")</f>
        <v>#NAME?</v>
      </c>
      <c r="CT336" s="2" t="e">
        <f ca="1">_xll.BDH($C$328,"CUR_RATIO","FQ3 2015","FQ3 2015","Currency=INR","Period=FQ","BEST_FPERIOD_OVERRIDE=FQ","FILING_STATUS=OR","EQY_CONSOLIDATED=Y","Sort=A","Dates=H","DateFormat=P","Fill=—","Direction=H","UseDPDF=Y")</f>
        <v>#NAME?</v>
      </c>
      <c r="CU336" s="2" t="e">
        <f ca="1">_xll.BDH($C$328,"QUICK_RATIO","FQ3 2015","FQ3 2015","Currency=INR","Period=FQ","BEST_FPERIOD_OVERRIDE=FQ","FILING_STATUS=OR","EQY_CONSOLIDATED=Y","Sort=A","Dates=H","DateFormat=P","Fill=—","Direction=H","UseDPDF=Y")</f>
        <v>#NAME?</v>
      </c>
      <c r="CV336" s="2" t="e">
        <f ca="1">_xll.BDH($C$328,"ALTMAN_Z_SCORE","FQ3 2015","FQ3 2015","Currency=INR","Period=FQ","BEST_FPERIOD_OVERRIDE=FQ","FILING_STATUS=OR","EQY_CONSOLIDATED=Y","Sort=A","Dates=H","DateFormat=P","Fill=—","Direction=H","UseDPDF=Y")</f>
        <v>#NAME?</v>
      </c>
      <c r="CW336" s="4" t="e">
        <f ca="1">_xll.BDH($C$328,"ACCT_RCV_TURN","FQ3 2015","FQ3 2015","Currency=INR","Period=FQ","BEST_FPERIOD_OVERRIDE=FQ","FILING_STATUS=OR","EQY_CONSOLIDATED=Y","FA_ADJUSTED=GAAP","Sort=A","Dates=H","DateFormat=P","Fill=—","Direction=H","UseDPDF=Y")</f>
        <v>#NAME?</v>
      </c>
      <c r="CX336" s="2" t="e">
        <f ca="1">_xll.BDH($C$328,"ACCT_RCV_DAYS","FQ3 2015","FQ3 2015","Currency=INR","Period=FQ","BEST_FPERIOD_OVERRIDE=FQ","FILING_STATUS=OR","EQY_CONSOLIDATED=Y","FA_ADJUSTED=GAAP","Sort=A","Dates=H","DateFormat=P","Fill=—","Direction=H","UseDPDF=Y")</f>
        <v>#NAME?</v>
      </c>
      <c r="CY336" s="4" t="e">
        <f ca="1">_xll.BDH($C$328,"INVENT_TURN","FQ3 2015","FQ3 2015","Currency=INR","Period=FQ","BEST_FPERIOD_OVERRIDE=FQ","FILING_STATUS=OR","EQY_CONSOLIDATED=Y","FA_ADJUSTED=GAAP","Sort=A","Dates=H","DateFormat=P","Fill=—","Direction=H","UseDPDF=Y")</f>
        <v>#NAME?</v>
      </c>
      <c r="CZ336" s="2" t="e">
        <f ca="1">_xll.BDH($C$328,"INVENT_DAYS","FQ3 2015","FQ3 2015","Currency=INR","Period=FQ","BEST_FPERIOD_OVERRIDE=FQ","FILING_STATUS=OR","EQY_CONSOLIDATED=Y","FA_ADJUSTED=GAAP","Sort=A","Dates=H","DateFormat=P","Fill=—","Direction=H","UseDPDF=Y")</f>
        <v>#NAME?</v>
      </c>
      <c r="DA336" s="4" t="e">
        <f ca="1">_xll.BDH($C$328,"ACCOUNTS_PAYABLE_TURNOVER","FQ3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336" s="2" t="e">
        <f ca="1">_xll.BDH($C$328,"ACCOUNTS_PAYABLE_TURNOVER_DAYS","FQ3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336" s="4" t="e">
        <f ca="1">_xll.BDH($C$328,"CASH_CONVERSION_CYCLE","FQ3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336" s="4" t="e">
        <f ca="1">_xll.BDH($C$328,"INV_TO_CASH_DAYS","FQ3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336" s="5" t="e">
        <f ca="1">_xll.BDH($C$328,"BS_INVENTORIES","FQ3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336" s="3" t="e">
        <f ca="1">_xll.BDH($C$328,"INVTRY_RAW_MATERIALS","FQ3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336" s="3" t="e">
        <f ca="1">_xll.BDH($C$328,"INVTRY_IN_PROGRESS","FQ3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336" s="3" t="e">
        <f ca="1">_xll.BDH($C$328,"INVTRY_FINISHED_GOODS","FQ3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336" s="3" t="e">
        <f ca="1">_xll.BDH($C$328,"BS_OTHER_INV","FQ3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337" spans="1:113" x14ac:dyDescent="0.3">
      <c r="A337" s="6"/>
      <c r="B337" s="6"/>
      <c r="C337" s="6"/>
      <c r="D337" s="6"/>
      <c r="E337" t="s">
        <v>81</v>
      </c>
      <c r="F337" t="e">
        <f ca="1">_xll.BDH($C$328,"RETURN_COM_EQY","FQ4 2015","FQ4 2015","Currency=INR","Period=FQ","BEST_FPERIOD_OVERRIDE=FQ","FILING_STATUS=OR","EQY_CONSOLIDATED=Y","FA_ADJUSTED=GAAP","Sort=A","Dates=H","DateFormat=P","Fill=—","Direction=H","UseDPDF=Y")</f>
        <v>#NAME?</v>
      </c>
      <c r="G337" t="e">
        <f ca="1">_xll.BDH($C$328,"RETURN_ON_ASSET","FQ4 2015","FQ4 2015","Currency=INR","Period=FQ","BEST_FPERIOD_OVERRIDE=FQ","FILING_STATUS=OR","EQY_CONSOLIDATED=Y","FA_ADJUSTED=GAAP","Sort=A","Dates=H","DateFormat=P","Fill=—","Direction=H","UseDPDF=Y")</f>
        <v>#NAME?</v>
      </c>
      <c r="H337" t="e">
        <f ca="1">_xll.BDH($C$328,"RETURN_ON_CAP","FQ4 2015","FQ4 2015","Currency=INR","Period=FQ","BEST_FPERIOD_OVERRIDE=FQ","FILING_STATUS=OR","EQY_CONSOLIDATED=Y","FA_ADJUSTED=GAAP","Sort=A","Dates=H","DateFormat=P","Fill=—","Direction=H","UseDPDF=Y")</f>
        <v>#NAME?</v>
      </c>
      <c r="I337" t="e">
        <f ca="1">_xll.BDH($C$328,"RETURN_ON_INV_CAPITAL","FQ4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337" t="e">
        <f ca="1">_xll.BDH($C$328,"EBITDA_TO_REVENUE","FQ4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337" t="e">
        <f ca="1">_xll.BDH($C$328,"OPER_MARGIN","FQ4 2015","FQ4 2015","Currency=INR","Period=FQ","BEST_FPERIOD_OVERRIDE=FQ","FILING_STATUS=OR","EQY_CONSOLIDATED=Y","FA_ADJUSTED=GAAP","Sort=A","Dates=H","DateFormat=P","Fill=—","Direction=H","UseDPDF=Y")</f>
        <v>#NAME?</v>
      </c>
      <c r="L337" t="e">
        <f ca="1">_xll.BDH($C$328,"INCREMENTAL_OPERATING_MARGIN","FQ4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337" t="e">
        <f ca="1">_xll.BDH($C$328,"PRETAX_INC_TO_NET_SALES","FQ4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337" t="e">
        <f ca="1">_xll.BDH($C$328,"INC_BEF_XO_ITEMS_TO_NET_SALES","FQ4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337" t="e">
        <f ca="1">_xll.BDH($C$328,"PROF_MARGIN","FQ4 2015","FQ4 2015","Currency=INR","Period=FQ","BEST_FPERIOD_OVERRIDE=FQ","FILING_STATUS=OR","EQY_CONSOLIDATED=Y","FA_ADJUSTED=GAAP","Sort=A","Dates=H","DateFormat=P","Fill=—","Direction=H","UseDPDF=Y")</f>
        <v>#NAME?</v>
      </c>
      <c r="P337" t="e">
        <f ca="1">_xll.BDH($C$328,"NET_INCOME_TO_COMMON_MARGIN","FQ4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337" t="e">
        <f ca="1">_xll.BDH($C$328,"EFF_TAX_RATE","FQ4 2015","FQ4 2015","Currency=INR","Period=FQ","BEST_FPERIOD_OVERRIDE=FQ","FILING_STATUS=OR","EQY_CONSOLIDATED=Y","FA_ADJUSTED=GAAP","Sort=A","Dates=H","DateFormat=P","Fill=—","Direction=H","UseDPDF=Y")</f>
        <v>#NAME?</v>
      </c>
      <c r="R337" t="e">
        <f ca="1">_xll.BDH($C$328,"DVD_PAYOUT_RATIO","FQ4 2015","FQ4 2015","Currency=INR","Period=FQ","BEST_FPERIOD_OVERRIDE=FQ","FILING_STATUS=OR","EQY_CONSOLIDATED=Y","FA_ADJUSTED=GAAP","Sort=A","Dates=H","DateFormat=P","Fill=—","Direction=H","UseDPDF=Y")</f>
        <v>#NAME?</v>
      </c>
      <c r="S337" t="e">
        <f ca="1">_xll.BDH($C$328,"SUSTAIN_GROWTH_RT","FQ4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337" s="2" t="e">
        <f ca="1">_xll.BDH($C$328,"SALES_GROWTH","FQ4 2015","FQ4 2015","Currency=INR","Period=FQ","BEST_FPERIOD_OVERRIDE=FQ","FILING_STATUS=OR","EQY_CONSOLIDATED=Y","FA_ADJUSTED=GAAP","Sort=A","Dates=H","DateFormat=P","Fill=—","Direction=H","UseDPDF=Y")</f>
        <v>#NAME?</v>
      </c>
      <c r="U337" s="2" t="e">
        <f ca="1">_xll.BDH($C$328,"EBITDA_GROWTH","FQ4 2015","FQ4 2015","Currency=INR","Period=FQ","BEST_FPERIOD_OVERRIDE=FQ","FILING_STATUS=OR","EQY_CONSOLIDATED=Y","FA_ADJUSTED=GAAP","Sort=A","Dates=H","DateFormat=P","Fill=—","Direction=H","UseDPDF=Y")</f>
        <v>#NAME?</v>
      </c>
      <c r="V337" s="2" t="e">
        <f ca="1">_xll.BDH($C$328,"OPER_INC_GROWTH","FQ4 2015","FQ4 2015","Currency=INR","Period=FQ","BEST_FPERIOD_OVERRIDE=FQ","FILING_STATUS=OR","EQY_CONSOLIDATED=Y","FA_ADJUSTED=GAAP","Sort=A","Dates=H","DateFormat=P","Fill=—","Direction=H","UseDPDF=Y")</f>
        <v>#NAME?</v>
      </c>
      <c r="W337" s="2" t="e">
        <f ca="1">_xll.BDH($C$328,"EARN_FOR_COM_GROWTH","FQ4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337" s="2" t="e">
        <f ca="1">_xll.BDH($C$328,"DILUTED_EPS_AFT_XO_ITEMS_GROWTH","FQ4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337" s="2" t="e">
        <f ca="1">_xll.BDH($C$328,"DIVIDEND_PER_SHARE_1_YEAR_GROWTH","FQ4 2015","FQ4 2015","Currency=INR","Period=FQ","BEST_FPERIOD_OVERRIDE=FQ","FILING_STATUS=OR","EQY_CONSOLIDATED=Y","Sort=A","Dates=H","DateFormat=P","Fill=—","Direction=H","UseDPDF=Y")</f>
        <v>#NAME?</v>
      </c>
      <c r="Z337" s="2" t="e">
        <f ca="1">_xll.BDH($C$328,"ACCOUNTS_RECEIVABLE_GROWTH","FQ4 2015","FQ4 2015","Currency=INR","Period=FQ","BEST_FPERIOD_OVERRIDE=FQ","FILING_STATUS=OR","EQY_CONSOLIDATED=Y","Sort=A","Dates=H","DateFormat=P","Fill=—","Direction=H","UseDPDF=Y")</f>
        <v>#NAME?</v>
      </c>
      <c r="AA337" s="2" t="e">
        <f ca="1">_xll.BDH($C$328,"INVENTORY_GROWTH","FQ4 2015","FQ4 2015","Currency=INR","Period=FQ","BEST_FPERIOD_OVERRIDE=FQ","FILING_STATUS=OR","EQY_CONSOLIDATED=Y","Sort=A","Dates=H","DateFormat=P","Fill=—","Direction=H","UseDPDF=Y")</f>
        <v>#NAME?</v>
      </c>
      <c r="AB337" s="2" t="e">
        <f ca="1">_xll.BDH($C$328,"NET_FIXED_ASSETS_1_YEAR_GROWTH","FQ4 2015","FQ4 2015","Currency=INR","Period=FQ","BEST_FPERIOD_OVERRIDE=FQ","FILING_STATUS=OR","EQY_CONSOLIDATED=Y","Sort=A","Dates=H","DateFormat=P","Fill=—","Direction=H","UseDPDF=Y")</f>
        <v>#NAME?</v>
      </c>
      <c r="AC337" s="2" t="e">
        <f ca="1">_xll.BDH($C$328,"ASSET_GROWTH","FQ4 2015","FQ4 2015","Currency=INR","Period=FQ","BEST_FPERIOD_OVERRIDE=FQ","FILING_STATUS=OR","EQY_CONSOLIDATED=Y","Sort=A","Dates=H","DateFormat=P","Fill=—","Direction=H","UseDPDF=Y")</f>
        <v>#NAME?</v>
      </c>
      <c r="AD337" s="2" t="e">
        <f ca="1">_xll.BDH($C$328,"MODIFIED_WORK_CAP_GROWTH","FQ4 2015","FQ4 2015","Currency=INR","Period=FQ","BEST_FPERIOD_OVERRIDE=FQ","FILING_STATUS=OR","EQY_CONSOLIDATED=Y","Sort=A","Dates=H","DateFormat=P","Fill=—","Direction=H","UseDPDF=Y")</f>
        <v>#NAME?</v>
      </c>
      <c r="AE337" s="2" t="e">
        <f ca="1">_xll.BDH($C$328,"WORK_CAP_GROWTH","FQ4 2015","FQ4 2015","Currency=INR","Period=FQ","BEST_FPERIOD_OVERRIDE=FQ","FILING_STATUS=OR","EQY_CONSOLIDATED=Y","Sort=A","Dates=H","DateFormat=P","Fill=—","Direction=H","UseDPDF=Y")</f>
        <v>#NAME?</v>
      </c>
      <c r="AF337" s="2" t="e">
        <f ca="1">_xll.BDH($C$328,"ACCOUNTS_PAYABLE_GROWTH_1YR","FQ4 2015","FQ4 2015","Currency=INR","Period=FQ","BEST_FPERIOD_OVERRIDE=FQ","FILING_STATUS=OR","EQY_CONSOLIDATED=Y","Sort=A","Dates=H","DateFormat=P","Fill=—","Direction=H","UseDPDF=Y")</f>
        <v>#NAME?</v>
      </c>
      <c r="AG337" s="2" t="e">
        <f ca="1">_xll.BDH($C$328,"SHORT_TERM_DEBT_1_YEAR_GROWTH","FQ4 2015","FQ4 2015","Currency=INR","Period=FQ","BEST_FPERIOD_OVERRIDE=FQ","FILING_STATUS=OR","EQY_CONSOLIDATED=Y","Sort=A","Dates=H","DateFormat=P","Fill=—","Direction=H","UseDPDF=Y")</f>
        <v>#NAME?</v>
      </c>
      <c r="AH337" s="2" t="e">
        <f ca="1">_xll.BDH($C$328,"TOTAL_DEBT_1_YEAR_GROWTH","FQ4 2015","FQ4 2015","Currency=INR","Period=FQ","BEST_FPERIOD_OVERRIDE=FQ","FILING_STATUS=OR","EQY_CONSOLIDATED=Y","Sort=A","Dates=H","DateFormat=P","Fill=—","Direction=H","UseDPDF=Y")</f>
        <v>#NAME?</v>
      </c>
      <c r="AI337" s="2" t="e">
        <f ca="1">_xll.BDH($C$328,"TOTAL_EQUITY_1_YEAR_GROWTH","FQ4 2015","FQ4 2015","Currency=INR","Period=FQ","BEST_FPERIOD_OVERRIDE=FQ","FILING_STATUS=OR","EQY_CONSOLIDATED=Y","Sort=A","Dates=H","DateFormat=P","Fill=—","Direction=H","UseDPDF=Y")</f>
        <v>#NAME?</v>
      </c>
      <c r="AJ337" s="2" t="e">
        <f ca="1">_xll.BDH($C$328,"GROWTH_IN_CAP","FQ4 2015","FQ4 2015","Currency=INR","Period=FQ","BEST_FPERIOD_OVERRIDE=FQ","FILING_STATUS=OR","EQY_CONSOLIDATED=Y","Sort=A","Dates=H","DateFormat=P","Fill=—","Direction=H","UseDPDF=Y")</f>
        <v>#NAME?</v>
      </c>
      <c r="AK337" s="2" t="e">
        <f ca="1">_xll.BDH($C$328,"BVPS_GROWTH","FQ4 2015","FQ4 2015","Currency=INR","Period=FQ","BEST_FPERIOD_OVERRIDE=FQ","FILING_STATUS=OR","EQY_CONSOLIDATED=Y","Sort=A","Dates=H","DateFormat=P","Fill=—","Direction=H","UseDPDF=Y")</f>
        <v>#NAME?</v>
      </c>
      <c r="AL337" s="2" t="e">
        <f ca="1">_xll.BDH($C$328,"CASH_FLOW_GROWTH","FQ4 2015","FQ4 2015","Currency=INR","Period=FQ","BEST_FPERIOD_OVERRIDE=FQ","FILING_STATUS=OR","EQY_CONSOLIDATED=Y","Sort=A","Dates=H","DateFormat=P","Fill=—","Direction=H","UseDPDF=Y")</f>
        <v>#NAME?</v>
      </c>
      <c r="AM337" s="2" t="e">
        <f ca="1">_xll.BDH($C$328,"GEO_GROW_NET_SALES","FQ4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337" s="2" t="e">
        <f ca="1">_xll.BDH($C$328,"GEO_GROW_EBITDA","FQ4 2015","FQ4 2015","Currency=INR","Period=FQ","BEST_FPERIOD_OVERRIDE=FQ","FILING_STATUS=OR","EQY_CONSOLIDATED=Y","FA_ADJUSTED=GAAP","Sort=A","Dates=H","DateFormat=P","Fill=—","Direction=H","UseDPDF=Y")</f>
        <v>#NAME?</v>
      </c>
      <c r="AO337" s="2" t="e">
        <f ca="1">_xll.BDH($C$328,"GEO_GROW_OPER_INC","FQ4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337" s="2" t="e">
        <f ca="1">_xll.BDH($C$328,"NET_INCOME_TO_COMMON_5_YR_GROWTH","FQ4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337" s="2" t="e">
        <f ca="1">_xll.BDH($C$328,"5Y_GEO_GROWTH_DILUTED_EPS","FQ4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337" s="2" t="e">
        <f ca="1">_xll.BDH($C$328,"GEO_GROW_DVD_PER_SH","FQ4 2015","FQ4 2015","Currency=INR","Period=FQ","BEST_FPERIOD_OVERRIDE=FQ","FILING_STATUS=OR","EQY_CONSOLIDATED=Y","Sort=A","Dates=H","DateFormat=P","Fill=—","Direction=H","UseDPDF=Y")</f>
        <v>#NAME?</v>
      </c>
      <c r="AS337" s="2" t="e">
        <f ca="1">_xll.BDH($C$328,"ACCOUNTS_RECEIVABLE_5_YR_GROWTH","FQ4 2015","FQ4 2015","Currency=INR","Period=FQ","BEST_FPERIOD_OVERRIDE=FQ","FILING_STATUS=OR","EQY_CONSOLIDATED=Y","Sort=A","Dates=H","DateFormat=P","Fill=—","Direction=H","UseDPDF=Y")</f>
        <v>#NAME?</v>
      </c>
      <c r="AT337" s="2" t="e">
        <f ca="1">_xll.BDH($C$328,"INVENTORY_5_YEAR_GROWTH","FQ4 2015","FQ4 2015","Currency=INR","Period=FQ","BEST_FPERIOD_OVERRIDE=FQ","FILING_STATUS=OR","EQY_CONSOLIDATED=Y","Sort=A","Dates=H","DateFormat=P","Fill=—","Direction=H","UseDPDF=Y")</f>
        <v>#NAME?</v>
      </c>
      <c r="AU337" s="2" t="e">
        <f ca="1">_xll.BDH($C$328,"NET_FIXED_ASSETS_5_YEAR_GROWTH","FQ4 2015","FQ4 2015","Currency=INR","Period=FQ","BEST_FPERIOD_OVERRIDE=FQ","FILING_STATUS=OR","EQY_CONSOLIDATED=Y","Sort=A","Dates=H","DateFormat=P","Fill=—","Direction=H","UseDPDF=Y")</f>
        <v>#NAME?</v>
      </c>
      <c r="AV337" s="2" t="e">
        <f ca="1">_xll.BDH($C$328,"GEO_GROW_TOT_ASSET","FQ4 2015","FQ4 2015","Currency=INR","Period=FQ","BEST_FPERIOD_OVERRIDE=FQ","FILING_STATUS=OR","EQY_CONSOLIDATED=Y","Sort=A","Dates=H","DateFormat=P","Fill=—","Direction=H","UseDPDF=Y")</f>
        <v>#NAME?</v>
      </c>
      <c r="AW337" s="2" t="e">
        <f ca="1">_xll.BDH($C$328,"MODIFIED_WORKING_CPTL_5YR_GRWTH","FQ4 2015","FQ4 2015","Currency=INR","Period=FQ","BEST_FPERIOD_OVERRIDE=FQ","FILING_STATUS=OR","EQY_CONSOLIDATED=Y","Sort=A","Dates=H","DateFormat=P","Fill=—","Direction=H","UseDPDF=Y")</f>
        <v>#NAME?</v>
      </c>
      <c r="AX337" s="2" t="e">
        <f ca="1">_xll.BDH($C$328,"WORKING_CAPITAL_5_YEAR_GROWTH","FQ4 2015","FQ4 2015","Currency=INR","Period=FQ","BEST_FPERIOD_OVERRIDE=FQ","FILING_STATUS=OR","EQY_CONSOLIDATED=Y","Sort=A","Dates=H","DateFormat=P","Fill=—","Direction=H","UseDPDF=Y")</f>
        <v>#NAME?</v>
      </c>
      <c r="AY337" s="2" t="e">
        <f ca="1">_xll.BDH($C$328,"ACCOUNTS_PAYABLE_5_YEAR_GROWTH","FQ4 2015","FQ4 2015","Currency=INR","Period=FQ","BEST_FPERIOD_OVERRIDE=FQ","FILING_STATUS=OR","EQY_CONSOLIDATED=Y","Sort=A","Dates=H","DateFormat=P","Fill=—","Direction=H","UseDPDF=Y")</f>
        <v>#NAME?</v>
      </c>
      <c r="AZ337" s="2" t="e">
        <f ca="1">_xll.BDH($C$328,"SHORT_TERM_DEBT_5_YEAR_GROWTH","FQ4 2015","FQ4 2015","Currency=INR","Period=FQ","BEST_FPERIOD_OVERRIDE=FQ","FILING_STATUS=OR","EQY_CONSOLIDATED=Y","Sort=A","Dates=H","DateFormat=P","Fill=—","Direction=H","UseDPDF=Y")</f>
        <v>#NAME?</v>
      </c>
      <c r="BA337" s="2" t="e">
        <f ca="1">_xll.BDH($C$328,"TOTAL_DEBT_5_YEAR_GROWTH","FQ4 2015","FQ4 2015","Currency=INR","Period=FQ","BEST_FPERIOD_OVERRIDE=FQ","FILING_STATUS=OR","EQY_CONSOLIDATED=Y","Sort=A","Dates=H","DateFormat=P","Fill=—","Direction=H","UseDPDF=Y")</f>
        <v>#NAME?</v>
      </c>
      <c r="BB337" s="2" t="e">
        <f ca="1">_xll.BDH($C$328,"GEO_GROW_TOT_SHRHLDR_EQY","FQ4 2015","FQ4 2015","Currency=INR","Period=FQ","BEST_FPERIOD_OVERRIDE=FQ","FILING_STATUS=OR","EQY_CONSOLIDATED=Y","Sort=A","Dates=H","DateFormat=P","Fill=—","Direction=H","UseDPDF=Y")</f>
        <v>#NAME?</v>
      </c>
      <c r="BC337" s="2" t="e">
        <f ca="1">_xll.BDH($C$328,"TOTAL_CAPITAL_5_YEAR_GROWTH","FQ4 2015","FQ4 2015","Currency=INR","Period=FQ","BEST_FPERIOD_OVERRIDE=FQ","FILING_STATUS=OR","EQY_CONSOLIDATED=Y","Sort=A","Dates=H","DateFormat=P","Fill=—","Direction=H","UseDPDF=Y")</f>
        <v>#NAME?</v>
      </c>
      <c r="BD337" s="2" t="e">
        <f ca="1">_xll.BDH($C$328,"GEO_GROW_BOOK_VAL","FQ4 2015","FQ4 2015","Currency=INR","Period=FQ","BEST_FPERIOD_OVERRIDE=FQ","FILING_STATUS=OR","EQY_CONSOLIDATED=Y","Sort=A","Dates=H","DateFormat=P","Fill=—","Direction=H","UseDPDF=Y")</f>
        <v>#NAME?</v>
      </c>
      <c r="BE337" s="2" t="e">
        <f ca="1">_xll.BDH($C$328,"GEO_GROW_CASH_OPER_ACT","FQ4 2015","FQ4 2015","Currency=INR","Period=FQ","BEST_FPERIOD_OVERRIDE=FQ","FILING_STATUS=OR","EQY_CONSOLIDATED=Y","Sort=A","Dates=H","DateFormat=P","Fill=—","Direction=H","UseDPDF=Y")</f>
        <v>#NAME?</v>
      </c>
      <c r="BF337" s="2" t="e">
        <f ca="1">_xll.BDH($C$328,"REVENUE_SEQUENTIAL_GROWTH","FQ4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337" s="2" t="e">
        <f ca="1">_xll.BDH($C$328,"EBITDA_SEQUENTIAL_GROWTH","FQ4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337" s="2" t="e">
        <f ca="1">_xll.BDH($C$328,"OPERATING_INCOME_SEQ_GROWTH","FQ4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337" s="2" t="e">
        <f ca="1">_xll.BDH($C$328,"NET_INCOME_TO_COMMON_SEQ_GROWTH","FQ4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337" s="2" t="e">
        <f ca="1">_xll.BDH($C$328,"EPS_DILUTED_SEQUENTIAL_GROWTH","FQ4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337" s="2" t="e">
        <f ca="1">_xll.BDH($C$328,"DPS_SEQUENTIAL_GROWTH","FQ4 2015","FQ4 2015","Currency=INR","Period=FQ","BEST_FPERIOD_OVERRIDE=FQ","FILING_STATUS=OR","EQY_CONSOLIDATED=Y","Sort=A","Dates=H","DateFormat=P","Fill=—","Direction=H","UseDPDF=Y")</f>
        <v>#NAME?</v>
      </c>
      <c r="BL337" s="2" t="e">
        <f ca="1">_xll.BDH($C$328,"ACCOUNTS_RECEIVABLE_SEQ_GROWTH","FQ4 2015","FQ4 2015","Currency=INR","Period=FQ","BEST_FPERIOD_OVERRIDE=FQ","FILING_STATUS=OR","EQY_CONSOLIDATED=Y","Sort=A","Dates=H","DateFormat=P","Fill=—","Direction=H","UseDPDF=Y")</f>
        <v>#NAME?</v>
      </c>
      <c r="BM337" s="2" t="e">
        <f ca="1">_xll.BDH($C$328,"INVENTORY_SEQUENTIAL_GROWTH","FQ4 2015","FQ4 2015","Currency=INR","Period=FQ","BEST_FPERIOD_OVERRIDE=FQ","FILING_STATUS=OR","EQY_CONSOLIDATED=Y","Sort=A","Dates=H","DateFormat=P","Fill=—","Direction=H","UseDPDF=Y")</f>
        <v>#NAME?</v>
      </c>
      <c r="BN337" s="2" t="e">
        <f ca="1">_xll.BDH($C$328,"FIXED_ASSETS_SEQUENTIAL_GROWTH","FQ4 2015","FQ4 2015","Currency=INR","Period=FQ","BEST_FPERIOD_OVERRIDE=FQ","FILING_STATUS=OR","EQY_CONSOLIDATED=Y","Sort=A","Dates=H","DateFormat=P","Fill=—","Direction=H","UseDPDF=Y")</f>
        <v>#NAME?</v>
      </c>
      <c r="BO337" s="2" t="e">
        <f ca="1">_xll.BDH($C$328,"TOTAL_ASSETS_SEQUENTIAL_GROWTH","FQ4 2015","FQ4 2015","Currency=INR","Period=FQ","BEST_FPERIOD_OVERRIDE=FQ","FILING_STATUS=OR","EQY_CONSOLIDATED=Y","Sort=A","Dates=H","DateFormat=P","Fill=—","Direction=H","UseDPDF=Y")</f>
        <v>#NAME?</v>
      </c>
      <c r="BP337" s="2" t="e">
        <f ca="1">_xll.BDH($C$328,"MODIFIED_WORKING_CPTL_SEQ_GRWTH","FQ4 2015","FQ4 2015","Currency=INR","Period=FQ","BEST_FPERIOD_OVERRIDE=FQ","FILING_STATUS=OR","EQY_CONSOLIDATED=Y","Sort=A","Dates=H","DateFormat=P","Fill=—","Direction=H","UseDPDF=Y")</f>
        <v>#NAME?</v>
      </c>
      <c r="BQ337" s="2" t="e">
        <f ca="1">_xll.BDH($C$328,"WORKING_CAPITAL_SEQ_GROWTH","FQ4 2015","FQ4 2015","Currency=INR","Period=FQ","BEST_FPERIOD_OVERRIDE=FQ","FILING_STATUS=OR","EQY_CONSOLIDATED=Y","Sort=A","Dates=H","DateFormat=P","Fill=—","Direction=H","UseDPDF=Y")</f>
        <v>#NAME?</v>
      </c>
      <c r="BR337" s="2" t="e">
        <f ca="1">_xll.BDH($C$328,"ACCOUNTS_PAYABLE_SEQ_GROWTH","FQ4 2015","FQ4 2015","Currency=INR","Period=FQ","BEST_FPERIOD_OVERRIDE=FQ","FILING_STATUS=OR","EQY_CONSOLIDATED=Y","Sort=A","Dates=H","DateFormat=P","Fill=—","Direction=H","UseDPDF=Y")</f>
        <v>#NAME?</v>
      </c>
      <c r="BS337" s="2" t="e">
        <f ca="1">_xll.BDH($C$328,"ST_DEBT_SEQUENTIAL_GROWTH","FQ4 2015","FQ4 2015","Currency=INR","Period=FQ","BEST_FPERIOD_OVERRIDE=FQ","FILING_STATUS=OR","EQY_CONSOLIDATED=Y","Sort=A","Dates=H","DateFormat=P","Fill=—","Direction=H","UseDPDF=Y")</f>
        <v>#NAME?</v>
      </c>
      <c r="BT337" s="2" t="e">
        <f ca="1">_xll.BDH($C$328,"TOTAL_DEBT_SEQUENTIAL_GROWTH","FQ4 2015","FQ4 2015","Currency=INR","Period=FQ","BEST_FPERIOD_OVERRIDE=FQ","FILING_STATUS=OR","EQY_CONSOLIDATED=Y","Sort=A","Dates=H","DateFormat=P","Fill=—","Direction=H","UseDPDF=Y")</f>
        <v>#NAME?</v>
      </c>
      <c r="BU337" s="2" t="e">
        <f ca="1">_xll.BDH($C$328,"TOTAL_EQUITY_SEQUENTIAL_GROWTH","FQ4 2015","FQ4 2015","Currency=INR","Period=FQ","BEST_FPERIOD_OVERRIDE=FQ","FILING_STATUS=OR","EQY_CONSOLIDATED=Y","Sort=A","Dates=H","DateFormat=P","Fill=—","Direction=H","UseDPDF=Y")</f>
        <v>#NAME?</v>
      </c>
      <c r="BV337" s="2" t="e">
        <f ca="1">_xll.BDH($C$328,"TOTAL_CAPITAL_SEQUENTIAL_GROWTH","FQ4 2015","FQ4 2015","Currency=INR","Period=FQ","BEST_FPERIOD_OVERRIDE=FQ","FILING_STATUS=OR","EQY_CONSOLIDATED=Y","Sort=A","Dates=H","DateFormat=P","Fill=—","Direction=H","UseDPDF=Y")</f>
        <v>#NAME?</v>
      </c>
      <c r="BW337" s="2" t="e">
        <f ca="1">_xll.BDH($C$328,"BPS_SEQUENTIAL_GROWTH","FQ4 2015","FQ4 2015","Currency=INR","Period=FQ","BEST_FPERIOD_OVERRIDE=FQ","FILING_STATUS=OR","EQY_CONSOLIDATED=Y","Sort=A","Dates=H","DateFormat=P","Fill=—","Direction=H","UseDPDF=Y")</f>
        <v>#NAME?</v>
      </c>
      <c r="BX337" s="2" t="e">
        <f ca="1">_xll.BDH($C$328,"CFO_SEQUENTIAL_GROWTH","FQ4 2015","FQ4 2015","Currency=INR","Period=FQ","BEST_FPERIOD_OVERRIDE=FQ","FILING_STATUS=OR","EQY_CONSOLIDATED=Y","Sort=A","Dates=H","DateFormat=P","Fill=—","Direction=H","UseDPDF=Y")</f>
        <v>#NAME?</v>
      </c>
      <c r="BY337" s="3" t="e">
        <f ca="1">_xll.BDH($C$328,"SHORT_AND_LONG_TERM_DEBT","FQ4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337" s="3" t="e">
        <f ca="1">_xll.BDH($C$328,"BS_ST_BORROW","FQ4 2015","FQ4 2015","Currency=INR","Period=FQ","BEST_FPERIOD_OVERRIDE=FQ","FILING_STATUS=OR","EQY_CONSOLIDATED=Y","SCALING_FORMAT=MLN","Sort=A","Dates=H","DateFormat=P","Fill=—","Direction=H","UseDPDF=Y")</f>
        <v>#NAME?</v>
      </c>
      <c r="CA337" s="3" t="e">
        <f ca="1">_xll.BDH($C$328,"BS_LT_BORROW","FQ4 2015","FQ4 2015","Currency=INR","Period=FQ","BEST_FPERIOD_OVERRIDE=FQ","FILING_STATUS=OR","EQY_CONSOLIDATED=Y","SCALING_FORMAT=MLN","Sort=A","Dates=H","DateFormat=P","Fill=—","Direction=H","UseDPDF=Y")</f>
        <v>#NAME?</v>
      </c>
      <c r="CB337" s="2" t="e">
        <f ca="1">_xll.BDH($C$328,"TOT_DEBT_TO_EBITDA","FQ4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337" s="2" t="e">
        <f ca="1">_xll.BDH($C$328,"NET_DEBT_TO_EBITDA","FQ4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337" s="2" t="e">
        <f ca="1">_xll.BDH($C$328,"TOTAL_DEBT_TO_EBIT","FQ4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337" s="2" t="e">
        <f ca="1">_xll.BDH($C$328,"NET_DEBT_TO_EBIT","FQ4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337" s="2" t="e">
        <f ca="1">_xll.BDH($C$328,"EBITDA_TO_INTEREST_EXPN","FQ4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337" s="2" t="e">
        <f ca="1">_xll.BDH($C$328,"COM_EQY_TO_TOT_ASSET","FQ4 2015","FQ4 2015","Currency=INR","Period=FQ","BEST_FPERIOD_OVERRIDE=FQ","FILING_STATUS=OR","EQY_CONSOLIDATED=Y","Sort=A","Dates=H","DateFormat=P","Fill=—","Direction=H","UseDPDF=Y")</f>
        <v>#NAME?</v>
      </c>
      <c r="CH337" s="2" t="e">
        <f ca="1">_xll.BDH($C$328,"LT_DEBT_TO_TOT_EQY","FQ4 2015","FQ4 2015","Currency=INR","Period=FQ","BEST_FPERIOD_OVERRIDE=FQ","FILING_STATUS=OR","EQY_CONSOLIDATED=Y","Sort=A","Dates=H","DateFormat=P","Fill=—","Direction=H","UseDPDF=Y")</f>
        <v>#NAME?</v>
      </c>
      <c r="CI337" s="2" t="e">
        <f ca="1">_xll.BDH($C$328,"LT_DEBT_TO_TOT_CAP","FQ4 2015","FQ4 2015","Currency=INR","Period=FQ","BEST_FPERIOD_OVERRIDE=FQ","FILING_STATUS=OR","EQY_CONSOLIDATED=Y","Sort=A","Dates=H","DateFormat=P","Fill=—","Direction=H","UseDPDF=Y")</f>
        <v>#NAME?</v>
      </c>
      <c r="CJ337" s="2" t="e">
        <f ca="1">_xll.BDH($C$328,"LT_DEBT_TO_TOT_ASSET","FQ4 2015","FQ4 2015","Currency=INR","Period=FQ","BEST_FPERIOD_OVERRIDE=FQ","FILING_STATUS=OR","EQY_CONSOLIDATED=Y","Sort=A","Dates=H","DateFormat=P","Fill=—","Direction=H","UseDPDF=Y")</f>
        <v>#NAME?</v>
      </c>
      <c r="CK337" s="2" t="e">
        <f ca="1">_xll.BDH($C$328,"TOT_DEBT_TO_TOT_EQY","FQ4 2015","FQ4 2015","Currency=INR","Period=FQ","BEST_FPERIOD_OVERRIDE=FQ","FILING_STATUS=OR","EQY_CONSOLIDATED=Y","Sort=A","Dates=H","DateFormat=P","Fill=—","Direction=H","UseDPDF=Y")</f>
        <v>#NAME?</v>
      </c>
      <c r="CL337" s="2" t="e">
        <f ca="1">_xll.BDH($C$328,"TOT_DEBT_TO_TOT_CAP","FQ4 2015","FQ4 2015","Currency=INR","Period=FQ","BEST_FPERIOD_OVERRIDE=FQ","FILING_STATUS=OR","EQY_CONSOLIDATED=Y","Sort=A","Dates=H","DateFormat=P","Fill=—","Direction=H","UseDPDF=Y")</f>
        <v>#NAME?</v>
      </c>
      <c r="CM337" s="2" t="e">
        <f ca="1">_xll.BDH($C$328,"TOT_DEBT_TO_TOT_ASSET","FQ4 2015","FQ4 2015","Currency=INR","Period=FQ","BEST_FPERIOD_OVERRIDE=FQ","FILING_STATUS=OR","EQY_CONSOLIDATED=Y","Sort=A","Dates=H","DateFormat=P","Fill=—","Direction=H","UseDPDF=Y")</f>
        <v>#NAME?</v>
      </c>
      <c r="CN337" s="2" t="e">
        <f ca="1">_xll.BDH($C$328,"NET_DEBT_TO_SHRHLDR_EQTY","FQ4 2015","FQ4 2015","Currency=INR","Period=FQ","BEST_FPERIOD_OVERRIDE=FQ","FILING_STATUS=OR","EQY_CONSOLIDATED=Y","Sort=A","Dates=H","DateFormat=P","Fill=—","Direction=H","UseDPDF=Y")</f>
        <v>#NAME?</v>
      </c>
      <c r="CO337" s="2" t="e">
        <f ca="1">_xll.BDH($C$328,"NET_DEBT_%_CAPITAL","FQ4 2015","FQ4 2015","Currency=INR","Period=FQ","BEST_FPERIOD_OVERRIDE=FQ","FILING_STATUS=OR","EQY_CONSOLIDATED=Y","Sort=A","Dates=H","DateFormat=P","Fill=—","Direction=H","UseDPDF=Y")</f>
        <v>#NAME?</v>
      </c>
      <c r="CP337" s="3" t="e">
        <f ca="1">_xll.BDH($C$328,"EBITDA","FQ4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337" s="3" t="e">
        <f ca="1">_xll.BDH($C$328,"EBITDA_AFTER_CAPEX","FQ4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337" s="3" t="e">
        <f ca="1">_xll.BDH($C$328,"IS_OPER_INC","FQ4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337" s="2" t="e">
        <f ca="1">_xll.BDH($C$328,"CASH_RATIO","FQ4 2015","FQ4 2015","Currency=INR","Period=FQ","BEST_FPERIOD_OVERRIDE=FQ","FILING_STATUS=OR","EQY_CONSOLIDATED=Y","Sort=A","Dates=H","DateFormat=P","Fill=—","Direction=H","UseDPDF=Y")</f>
        <v>#NAME?</v>
      </c>
      <c r="CT337" s="2" t="e">
        <f ca="1">_xll.BDH($C$328,"CUR_RATIO","FQ4 2015","FQ4 2015","Currency=INR","Period=FQ","BEST_FPERIOD_OVERRIDE=FQ","FILING_STATUS=OR","EQY_CONSOLIDATED=Y","Sort=A","Dates=H","DateFormat=P","Fill=—","Direction=H","UseDPDF=Y")</f>
        <v>#NAME?</v>
      </c>
      <c r="CU337" s="2" t="e">
        <f ca="1">_xll.BDH($C$328,"QUICK_RATIO","FQ4 2015","FQ4 2015","Currency=INR","Period=FQ","BEST_FPERIOD_OVERRIDE=FQ","FILING_STATUS=OR","EQY_CONSOLIDATED=Y","Sort=A","Dates=H","DateFormat=P","Fill=—","Direction=H","UseDPDF=Y")</f>
        <v>#NAME?</v>
      </c>
      <c r="CV337" s="2" t="e">
        <f ca="1">_xll.BDH($C$328,"ALTMAN_Z_SCORE","FQ4 2015","FQ4 2015","Currency=INR","Period=FQ","BEST_FPERIOD_OVERRIDE=FQ","FILING_STATUS=OR","EQY_CONSOLIDATED=Y","Sort=A","Dates=H","DateFormat=P","Fill=—","Direction=H","UseDPDF=Y")</f>
        <v>#NAME?</v>
      </c>
      <c r="CW337" s="4" t="e">
        <f ca="1">_xll.BDH($C$328,"ACCT_RCV_TURN","FQ4 2015","FQ4 2015","Currency=INR","Period=FQ","BEST_FPERIOD_OVERRIDE=FQ","FILING_STATUS=OR","EQY_CONSOLIDATED=Y","FA_ADJUSTED=GAAP","Sort=A","Dates=H","DateFormat=P","Fill=—","Direction=H","UseDPDF=Y")</f>
        <v>#NAME?</v>
      </c>
      <c r="CX337" s="2" t="e">
        <f ca="1">_xll.BDH($C$328,"ACCT_RCV_DAYS","FQ4 2015","FQ4 2015","Currency=INR","Period=FQ","BEST_FPERIOD_OVERRIDE=FQ","FILING_STATUS=OR","EQY_CONSOLIDATED=Y","FA_ADJUSTED=GAAP","Sort=A","Dates=H","DateFormat=P","Fill=—","Direction=H","UseDPDF=Y")</f>
        <v>#NAME?</v>
      </c>
      <c r="CY337" s="4" t="e">
        <f ca="1">_xll.BDH($C$328,"INVENT_TURN","FQ4 2015","FQ4 2015","Currency=INR","Period=FQ","BEST_FPERIOD_OVERRIDE=FQ","FILING_STATUS=OR","EQY_CONSOLIDATED=Y","FA_ADJUSTED=GAAP","Sort=A","Dates=H","DateFormat=P","Fill=—","Direction=H","UseDPDF=Y")</f>
        <v>#NAME?</v>
      </c>
      <c r="CZ337" s="2" t="e">
        <f ca="1">_xll.BDH($C$328,"INVENT_DAYS","FQ4 2015","FQ4 2015","Currency=INR","Period=FQ","BEST_FPERIOD_OVERRIDE=FQ","FILING_STATUS=OR","EQY_CONSOLIDATED=Y","FA_ADJUSTED=GAAP","Sort=A","Dates=H","DateFormat=P","Fill=—","Direction=H","UseDPDF=Y")</f>
        <v>#NAME?</v>
      </c>
      <c r="DA337" s="4" t="e">
        <f ca="1">_xll.BDH($C$328,"ACCOUNTS_PAYABLE_TURNOVER","FQ4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337" s="2" t="e">
        <f ca="1">_xll.BDH($C$328,"ACCOUNTS_PAYABLE_TURNOVER_DAYS","FQ4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337" s="4" t="e">
        <f ca="1">_xll.BDH($C$328,"CASH_CONVERSION_CYCLE","FQ4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337" s="4" t="e">
        <f ca="1">_xll.BDH($C$328,"INV_TO_CASH_DAYS","FQ4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337" s="5" t="e">
        <f ca="1">_xll.BDH($C$328,"BS_INVENTORIES","FQ4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337" s="3" t="e">
        <f ca="1">_xll.BDH($C$328,"INVTRY_RAW_MATERIALS","FQ4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337" s="3" t="e">
        <f ca="1">_xll.BDH($C$328,"INVTRY_IN_PROGRESS","FQ4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337" s="3" t="e">
        <f ca="1">_xll.BDH($C$328,"INVTRY_FINISHED_GOODS","FQ4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337" s="3" t="e">
        <f ca="1">_xll.BDH($C$328,"BS_OTHER_INV","FQ4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338" spans="1:113" x14ac:dyDescent="0.3">
      <c r="A338" s="6"/>
      <c r="B338" s="6"/>
      <c r="C338" s="6"/>
      <c r="D338" s="6" t="s">
        <v>83</v>
      </c>
      <c r="E338" t="s">
        <v>77</v>
      </c>
      <c r="F338" t="e">
        <f ca="1">_xll.BDH($C$328,"RETURN_COM_EQY","FY 2016","FY 2016","Currency=INR","Period=FY","BEST_FPERIOD_OVERRIDE=FY","FILING_STATUS=OR","EQY_CONSOLIDATED=Y","FA_ADJUSTED=GAAP","Sort=A","Dates=H","DateFormat=P","Fill=—","Direction=H","UseDPDF=Y")</f>
        <v>#NAME?</v>
      </c>
      <c r="G338" t="e">
        <f ca="1">_xll.BDH($C$328,"RETURN_ON_ASSET","FY 2016","FY 2016","Currency=INR","Period=FY","BEST_FPERIOD_OVERRIDE=FY","FILING_STATUS=OR","EQY_CONSOLIDATED=Y","FA_ADJUSTED=GAAP","Sort=A","Dates=H","DateFormat=P","Fill=—","Direction=H","UseDPDF=Y")</f>
        <v>#NAME?</v>
      </c>
      <c r="H338" t="e">
        <f ca="1">_xll.BDH($C$328,"RETURN_ON_CAP","FY 2016","FY 2016","Currency=INR","Period=FY","BEST_FPERIOD_OVERRIDE=FY","FILING_STATUS=OR","EQY_CONSOLIDATED=Y","FA_ADJUSTED=GAAP","Sort=A","Dates=H","DateFormat=P","Fill=—","Direction=H","UseDPDF=Y")</f>
        <v>#NAME?</v>
      </c>
      <c r="I338" t="e">
        <f ca="1">_xll.BDH($C$328,"RETURN_ON_INV_CAPITAL","FY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338" t="e">
        <f ca="1">_xll.BDH($C$328,"EBITDA_TO_REVENUE","FY 2016","FY 2016","Currency=INR","Period=FY","BEST_FPERIOD_OVERRIDE=FY","FILING_STATUS=OR","EQY_CONSOLIDATED=Y","FA_ADJUSTED=GAAP","Sort=A","Dates=H","DateFormat=P","Fill=—","Direction=H","UseDPDF=Y")</f>
        <v>#NAME?</v>
      </c>
      <c r="K338" t="e">
        <f ca="1">_xll.BDH($C$328,"OPER_MARGIN","FY 2016","FY 2016","Currency=INR","Period=FY","BEST_FPERIOD_OVERRIDE=FY","FILING_STATUS=OR","EQY_CONSOLIDATED=Y","FA_ADJUSTED=GAAP","Sort=A","Dates=H","DateFormat=P","Fill=—","Direction=H","UseDPDF=Y")</f>
        <v>#NAME?</v>
      </c>
      <c r="L338" t="e">
        <f ca="1">_xll.BDH($C$328,"INCREMENTAL_OPERATING_MARGIN","FY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338" t="e">
        <f ca="1">_xll.BDH($C$328,"PRETAX_INC_TO_NET_SALES","FY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338" t="e">
        <f ca="1">_xll.BDH($C$328,"INC_BEF_XO_ITEMS_TO_NET_SALES","FY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338" t="e">
        <f ca="1">_xll.BDH($C$328,"PROF_MARGIN","FY 2016","FY 2016","Currency=INR","Period=FY","BEST_FPERIOD_OVERRIDE=FY","FILING_STATUS=OR","EQY_CONSOLIDATED=Y","FA_ADJUSTED=GAAP","Sort=A","Dates=H","DateFormat=P","Fill=—","Direction=H","UseDPDF=Y")</f>
        <v>#NAME?</v>
      </c>
      <c r="P338" t="e">
        <f ca="1">_xll.BDH($C$328,"NET_INCOME_TO_COMMON_MARGIN","FY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338" t="e">
        <f ca="1">_xll.BDH($C$328,"EFF_TAX_RATE","FY 2016","FY 2016","Currency=INR","Period=FY","BEST_FPERIOD_OVERRIDE=FY","FILING_STATUS=OR","EQY_CONSOLIDATED=Y","FA_ADJUSTED=GAAP","Sort=A","Dates=H","DateFormat=P","Fill=—","Direction=H","UseDPDF=Y")</f>
        <v>#NAME?</v>
      </c>
      <c r="R338" t="e">
        <f ca="1">_xll.BDH($C$328,"DVD_PAYOUT_RATIO","FY 2016","FY 2016","Currency=INR","Period=FY","BEST_FPERIOD_OVERRIDE=FY","FILING_STATUS=OR","EQY_CONSOLIDATED=Y","FA_ADJUSTED=GAAP","Sort=A","Dates=H","DateFormat=P","Fill=—","Direction=H","UseDPDF=Y")</f>
        <v>#NAME?</v>
      </c>
      <c r="S338" t="e">
        <f ca="1">_xll.BDH($C$328,"SUSTAIN_GROWTH_RT","FY 2016","FY 2016","Currency=INR","Period=FY","BEST_FPERIOD_OVERRIDE=FY","FILING_STATUS=OR","EQY_CONSOLIDATED=Y","FA_ADJUSTED=GAAP","Sort=A","Dates=H","DateFormat=P","Fill=—","Direction=H","UseDPDF=Y")</f>
        <v>#NAME?</v>
      </c>
      <c r="T338" s="2" t="e">
        <f ca="1">_xll.BDH($C$328,"SALES_GROWTH","FY 2016","FY 2016","Currency=INR","Period=FY","BEST_FPERIOD_OVERRIDE=FY","FILING_STATUS=OR","EQY_CONSOLIDATED=Y","FA_ADJUSTED=GAAP","Sort=A","Dates=H","DateFormat=P","Fill=—","Direction=H","UseDPDF=Y")</f>
        <v>#NAME?</v>
      </c>
      <c r="U338" s="2" t="e">
        <f ca="1">_xll.BDH($C$328,"EBITDA_GROWTH","FY 2016","FY 2016","Currency=INR","Period=FY","BEST_FPERIOD_OVERRIDE=FY","FILING_STATUS=OR","EQY_CONSOLIDATED=Y","FA_ADJUSTED=GAAP","Sort=A","Dates=H","DateFormat=P","Fill=—","Direction=H","UseDPDF=Y")</f>
        <v>#NAME?</v>
      </c>
      <c r="V338" s="2" t="e">
        <f ca="1">_xll.BDH($C$328,"OPER_INC_GROWTH","FY 2016","FY 2016","Currency=INR","Period=FY","BEST_FPERIOD_OVERRIDE=FY","FILING_STATUS=OR","EQY_CONSOLIDATED=Y","FA_ADJUSTED=GAAP","Sort=A","Dates=H","DateFormat=P","Fill=—","Direction=H","UseDPDF=Y")</f>
        <v>#NAME?</v>
      </c>
      <c r="W338" s="2" t="e">
        <f ca="1">_xll.BDH($C$328,"EARN_FOR_COM_GROWTH","FY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338" s="2" t="e">
        <f ca="1">_xll.BDH($C$328,"DILUTED_EPS_AFT_XO_ITEMS_GROWTH","FY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338" s="2" t="e">
        <f ca="1">_xll.BDH($C$328,"DIVIDEND_PER_SHARE_1_YEAR_GROWTH","FY 2016","FY 2016","Currency=INR","Period=FY","BEST_FPERIOD_OVERRIDE=FY","FILING_STATUS=OR","EQY_CONSOLIDATED=Y","Sort=A","Dates=H","DateFormat=P","Fill=—","Direction=H","UseDPDF=Y")</f>
        <v>#NAME?</v>
      </c>
      <c r="Z338" s="2" t="e">
        <f ca="1">_xll.BDH($C$328,"ACCOUNTS_RECEIVABLE_GROWTH","FY 2016","FY 2016","Currency=INR","Period=FY","BEST_FPERIOD_OVERRIDE=FY","FILING_STATUS=OR","EQY_CONSOLIDATED=Y","Sort=A","Dates=H","DateFormat=P","Fill=—","Direction=H","UseDPDF=Y")</f>
        <v>#NAME?</v>
      </c>
      <c r="AA338" s="2" t="e">
        <f ca="1">_xll.BDH($C$328,"INVENTORY_GROWTH","FY 2016","FY 2016","Currency=INR","Period=FY","BEST_FPERIOD_OVERRIDE=FY","FILING_STATUS=OR","EQY_CONSOLIDATED=Y","Sort=A","Dates=H","DateFormat=P","Fill=—","Direction=H","UseDPDF=Y")</f>
        <v>#NAME?</v>
      </c>
      <c r="AB338" s="2" t="e">
        <f ca="1">_xll.BDH($C$328,"NET_FIXED_ASSETS_1_YEAR_GROWTH","FY 2016","FY 2016","Currency=INR","Period=FY","BEST_FPERIOD_OVERRIDE=FY","FILING_STATUS=OR","EQY_CONSOLIDATED=Y","Sort=A","Dates=H","DateFormat=P","Fill=—","Direction=H","UseDPDF=Y")</f>
        <v>#NAME?</v>
      </c>
      <c r="AC338" s="2" t="e">
        <f ca="1">_xll.BDH($C$328,"ASSET_GROWTH","FY 2016","FY 2016","Currency=INR","Period=FY","BEST_FPERIOD_OVERRIDE=FY","FILING_STATUS=OR","EQY_CONSOLIDATED=Y","Sort=A","Dates=H","DateFormat=P","Fill=—","Direction=H","UseDPDF=Y")</f>
        <v>#NAME?</v>
      </c>
      <c r="AD338" s="2" t="e">
        <f ca="1">_xll.BDH($C$328,"MODIFIED_WORK_CAP_GROWTH","FY 2016","FY 2016","Currency=INR","Period=FY","BEST_FPERIOD_OVERRIDE=FY","FILING_STATUS=OR","EQY_CONSOLIDATED=Y","Sort=A","Dates=H","DateFormat=P","Fill=—","Direction=H","UseDPDF=Y")</f>
        <v>#NAME?</v>
      </c>
      <c r="AE338" s="2" t="e">
        <f ca="1">_xll.BDH($C$328,"WORK_CAP_GROWTH","FY 2016","FY 2016","Currency=INR","Period=FY","BEST_FPERIOD_OVERRIDE=FY","FILING_STATUS=OR","EQY_CONSOLIDATED=Y","Sort=A","Dates=H","DateFormat=P","Fill=—","Direction=H","UseDPDF=Y")</f>
        <v>#NAME?</v>
      </c>
      <c r="AF338" s="2" t="e">
        <f ca="1">_xll.BDH($C$328,"ACCOUNTS_PAYABLE_GROWTH_1YR","FY 2016","FY 2016","Currency=INR","Period=FY","BEST_FPERIOD_OVERRIDE=FY","FILING_STATUS=OR","EQY_CONSOLIDATED=Y","Sort=A","Dates=H","DateFormat=P","Fill=—","Direction=H","UseDPDF=Y")</f>
        <v>#NAME?</v>
      </c>
      <c r="AG338" s="2" t="e">
        <f ca="1">_xll.BDH($C$328,"SHORT_TERM_DEBT_1_YEAR_GROWTH","FY 2016","FY 2016","Currency=INR","Period=FY","BEST_FPERIOD_OVERRIDE=FY","FILING_STATUS=OR","EQY_CONSOLIDATED=Y","Sort=A","Dates=H","DateFormat=P","Fill=—","Direction=H","UseDPDF=Y")</f>
        <v>#NAME?</v>
      </c>
      <c r="AH338" s="2" t="e">
        <f ca="1">_xll.BDH($C$328,"TOTAL_DEBT_1_YEAR_GROWTH","FY 2016","FY 2016","Currency=INR","Period=FY","BEST_FPERIOD_OVERRIDE=FY","FILING_STATUS=OR","EQY_CONSOLIDATED=Y","Sort=A","Dates=H","DateFormat=P","Fill=—","Direction=H","UseDPDF=Y")</f>
        <v>#NAME?</v>
      </c>
      <c r="AI338" s="2" t="e">
        <f ca="1">_xll.BDH($C$328,"TOTAL_EQUITY_1_YEAR_GROWTH","FY 2016","FY 2016","Currency=INR","Period=FY","BEST_FPERIOD_OVERRIDE=FY","FILING_STATUS=OR","EQY_CONSOLIDATED=Y","Sort=A","Dates=H","DateFormat=P","Fill=—","Direction=H","UseDPDF=Y")</f>
        <v>#NAME?</v>
      </c>
      <c r="AJ338" s="2" t="e">
        <f ca="1">_xll.BDH($C$328,"GROWTH_IN_CAP","FY 2016","FY 2016","Currency=INR","Period=FY","BEST_FPERIOD_OVERRIDE=FY","FILING_STATUS=OR","EQY_CONSOLIDATED=Y","Sort=A","Dates=H","DateFormat=P","Fill=—","Direction=H","UseDPDF=Y")</f>
        <v>#NAME?</v>
      </c>
      <c r="AK338" s="2" t="e">
        <f ca="1">_xll.BDH($C$328,"BVPS_GROWTH","FY 2016","FY 2016","Currency=INR","Period=FY","BEST_FPERIOD_OVERRIDE=FY","FILING_STATUS=OR","EQY_CONSOLIDATED=Y","Sort=A","Dates=H","DateFormat=P","Fill=—","Direction=H","UseDPDF=Y")</f>
        <v>#NAME?</v>
      </c>
      <c r="AL338" s="2" t="e">
        <f ca="1">_xll.BDH($C$328,"CASH_FLOW_GROWTH","FY 2016","FY 2016","Currency=INR","Period=FY","BEST_FPERIOD_OVERRIDE=FY","FILING_STATUS=OR","EQY_CONSOLIDATED=Y","Sort=A","Dates=H","DateFormat=P","Fill=—","Direction=H","UseDPDF=Y")</f>
        <v>#NAME?</v>
      </c>
      <c r="AM338" s="2" t="e">
        <f ca="1">_xll.BDH($C$328,"GEO_GROW_NET_SALES","FY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338" s="2" t="e">
        <f ca="1">_xll.BDH($C$328,"GEO_GROW_EBITDA","FY 2016","FY 2016","Currency=INR","Period=FY","BEST_FPERIOD_OVERRIDE=FY","FILING_STATUS=OR","EQY_CONSOLIDATED=Y","FA_ADJUSTED=GAAP","Sort=A","Dates=H","DateFormat=P","Fill=—","Direction=H","UseDPDF=Y")</f>
        <v>#NAME?</v>
      </c>
      <c r="AO338" s="2" t="e">
        <f ca="1">_xll.BDH($C$328,"GEO_GROW_OPER_INC","FY 2016","FY 2016","Currency=INR","Period=FY","BEST_FPERIOD_OVERRIDE=FY","FILING_STATUS=OR","EQY_CONSOLIDATED=Y","FA_ADJUSTED=GAAP","Sort=A","Dates=H","DateFormat=P","Fill=—","Direction=H","UseDPDF=Y")</f>
        <v>#NAME?</v>
      </c>
      <c r="AP338" s="2" t="e">
        <f ca="1">_xll.BDH($C$328,"NET_INCOME_TO_COMMON_5_YR_GROWTH","FY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338" s="2" t="e">
        <f ca="1">_xll.BDH($C$328,"5Y_GEO_GROWTH_DILUTED_EPS","FY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338" s="2" t="e">
        <f ca="1">_xll.BDH($C$328,"GEO_GROW_DVD_PER_SH","FY 2016","FY 2016","Currency=INR","Period=FY","BEST_FPERIOD_OVERRIDE=FY","FILING_STATUS=OR","EQY_CONSOLIDATED=Y","Sort=A","Dates=H","DateFormat=P","Fill=—","Direction=H","UseDPDF=Y")</f>
        <v>#NAME?</v>
      </c>
      <c r="AS338" s="2" t="e">
        <f ca="1">_xll.BDH($C$328,"ACCOUNTS_RECEIVABLE_5_YR_GROWTH","FY 2016","FY 2016","Currency=INR","Period=FY","BEST_FPERIOD_OVERRIDE=FY","FILING_STATUS=OR","EQY_CONSOLIDATED=Y","Sort=A","Dates=H","DateFormat=P","Fill=—","Direction=H","UseDPDF=Y")</f>
        <v>#NAME?</v>
      </c>
      <c r="AT338" s="2" t="e">
        <f ca="1">_xll.BDH($C$328,"INVENTORY_5_YEAR_GROWTH","FY 2016","FY 2016","Currency=INR","Period=FY","BEST_FPERIOD_OVERRIDE=FY","FILING_STATUS=OR","EQY_CONSOLIDATED=Y","Sort=A","Dates=H","DateFormat=P","Fill=—","Direction=H","UseDPDF=Y")</f>
        <v>#NAME?</v>
      </c>
      <c r="AU338" s="2" t="e">
        <f ca="1">_xll.BDH($C$328,"NET_FIXED_ASSETS_5_YEAR_GROWTH","FY 2016","FY 2016","Currency=INR","Period=FY","BEST_FPERIOD_OVERRIDE=FY","FILING_STATUS=OR","EQY_CONSOLIDATED=Y","Sort=A","Dates=H","DateFormat=P","Fill=—","Direction=H","UseDPDF=Y")</f>
        <v>#NAME?</v>
      </c>
      <c r="AV338" s="2" t="e">
        <f ca="1">_xll.BDH($C$328,"GEO_GROW_TOT_ASSET","FY 2016","FY 2016","Currency=INR","Period=FY","BEST_FPERIOD_OVERRIDE=FY","FILING_STATUS=OR","EQY_CONSOLIDATED=Y","Sort=A","Dates=H","DateFormat=P","Fill=—","Direction=H","UseDPDF=Y")</f>
        <v>#NAME?</v>
      </c>
      <c r="AW338" s="2" t="e">
        <f ca="1">_xll.BDH($C$328,"MODIFIED_WORKING_CPTL_5YR_GRWTH","FY 2016","FY 2016","Currency=INR","Period=FY","BEST_FPERIOD_OVERRIDE=FY","FILING_STATUS=OR","EQY_CONSOLIDATED=Y","Sort=A","Dates=H","DateFormat=P","Fill=—","Direction=H","UseDPDF=Y")</f>
        <v>#NAME?</v>
      </c>
      <c r="AX338" s="2" t="e">
        <f ca="1">_xll.BDH($C$328,"WORKING_CAPITAL_5_YEAR_GROWTH","FY 2016","FY 2016","Currency=INR","Period=FY","BEST_FPERIOD_OVERRIDE=FY","FILING_STATUS=OR","EQY_CONSOLIDATED=Y","Sort=A","Dates=H","DateFormat=P","Fill=—","Direction=H","UseDPDF=Y")</f>
        <v>#NAME?</v>
      </c>
      <c r="AY338" s="2" t="e">
        <f ca="1">_xll.BDH($C$328,"ACCOUNTS_PAYABLE_5_YEAR_GROWTH","FY 2016","FY 2016","Currency=INR","Period=FY","BEST_FPERIOD_OVERRIDE=FY","FILING_STATUS=OR","EQY_CONSOLIDATED=Y","Sort=A","Dates=H","DateFormat=P","Fill=—","Direction=H","UseDPDF=Y")</f>
        <v>#NAME?</v>
      </c>
      <c r="AZ338" s="2" t="e">
        <f ca="1">_xll.BDH($C$328,"SHORT_TERM_DEBT_5_YEAR_GROWTH","FY 2016","FY 2016","Currency=INR","Period=FY","BEST_FPERIOD_OVERRIDE=FY","FILING_STATUS=OR","EQY_CONSOLIDATED=Y","Sort=A","Dates=H","DateFormat=P","Fill=—","Direction=H","UseDPDF=Y")</f>
        <v>#NAME?</v>
      </c>
      <c r="BA338" s="2" t="e">
        <f ca="1">_xll.BDH($C$328,"TOTAL_DEBT_5_YEAR_GROWTH","FY 2016","FY 2016","Currency=INR","Period=FY","BEST_FPERIOD_OVERRIDE=FY","FILING_STATUS=OR","EQY_CONSOLIDATED=Y","Sort=A","Dates=H","DateFormat=P","Fill=—","Direction=H","UseDPDF=Y")</f>
        <v>#NAME?</v>
      </c>
      <c r="BB338" s="2" t="e">
        <f ca="1">_xll.BDH($C$328,"GEO_GROW_TOT_SHRHLDR_EQY","FY 2016","FY 2016","Currency=INR","Period=FY","BEST_FPERIOD_OVERRIDE=FY","FILING_STATUS=OR","EQY_CONSOLIDATED=Y","Sort=A","Dates=H","DateFormat=P","Fill=—","Direction=H","UseDPDF=Y")</f>
        <v>#NAME?</v>
      </c>
      <c r="BC338" s="2" t="e">
        <f ca="1">_xll.BDH($C$328,"TOTAL_CAPITAL_5_YEAR_GROWTH","FY 2016","FY 2016","Currency=INR","Period=FY","BEST_FPERIOD_OVERRIDE=FY","FILING_STATUS=OR","EQY_CONSOLIDATED=Y","Sort=A","Dates=H","DateFormat=P","Fill=—","Direction=H","UseDPDF=Y")</f>
        <v>#NAME?</v>
      </c>
      <c r="BD338" s="2" t="e">
        <f ca="1">_xll.BDH($C$328,"GEO_GROW_BOOK_VAL","FY 2016","FY 2016","Currency=INR","Period=FY","BEST_FPERIOD_OVERRIDE=FY","FILING_STATUS=OR","EQY_CONSOLIDATED=Y","Sort=A","Dates=H","DateFormat=P","Fill=—","Direction=H","UseDPDF=Y")</f>
        <v>#NAME?</v>
      </c>
      <c r="BE338" s="2" t="e">
        <f ca="1">_xll.BDH($C$328,"GEO_GROW_CASH_OPER_ACT","FY 2016","FY 2016","Currency=INR","Period=FY","BEST_FPERIOD_OVERRIDE=FY","FILING_STATUS=OR","EQY_CONSOLIDATED=Y","Sort=A","Dates=H","DateFormat=P","Fill=—","Direction=H","UseDPDF=Y")</f>
        <v>#NAME?</v>
      </c>
      <c r="BF338" s="2" t="e">
        <f ca="1">_xll.BDH($C$328,"REVENUE_SEQUENTIAL_GROWTH","FY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338" s="2" t="e">
        <f ca="1">_xll.BDH($C$328,"EBITDA_SEQUENTIAL_GROWTH","FY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338" s="2" t="e">
        <f ca="1">_xll.BDH($C$328,"OPERATING_INCOME_SEQ_GROWTH","FY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338" s="2" t="e">
        <f ca="1">_xll.BDH($C$328,"NET_INCOME_TO_COMMON_SEQ_GROWTH","FY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338" s="2" t="e">
        <f ca="1">_xll.BDH($C$328,"EPS_DILUTED_SEQUENTIAL_GROWTH","FY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338" s="2" t="e">
        <f ca="1">_xll.BDH($C$328,"DPS_SEQUENTIAL_GROWTH","FY 2016","FY 2016","Currency=INR","Period=FY","BEST_FPERIOD_OVERRIDE=FY","FILING_STATUS=OR","EQY_CONSOLIDATED=Y","Sort=A","Dates=H","DateFormat=P","Fill=—","Direction=H","UseDPDF=Y")</f>
        <v>#NAME?</v>
      </c>
      <c r="BL338" s="2" t="e">
        <f ca="1">_xll.BDH($C$328,"ACCOUNTS_RECEIVABLE_SEQ_GROWTH","FY 2016","FY 2016","Currency=INR","Period=FY","BEST_FPERIOD_OVERRIDE=FY","FILING_STATUS=OR","EQY_CONSOLIDATED=Y","Sort=A","Dates=H","DateFormat=P","Fill=—","Direction=H","UseDPDF=Y")</f>
        <v>#NAME?</v>
      </c>
      <c r="BM338" s="2" t="e">
        <f ca="1">_xll.BDH($C$328,"INVENTORY_SEQUENTIAL_GROWTH","FY 2016","FY 2016","Currency=INR","Period=FY","BEST_FPERIOD_OVERRIDE=FY","FILING_STATUS=OR","EQY_CONSOLIDATED=Y","Sort=A","Dates=H","DateFormat=P","Fill=—","Direction=H","UseDPDF=Y")</f>
        <v>#NAME?</v>
      </c>
      <c r="BN338" s="2" t="e">
        <f ca="1">_xll.BDH($C$328,"FIXED_ASSETS_SEQUENTIAL_GROWTH","FY 2016","FY 2016","Currency=INR","Period=FY","BEST_FPERIOD_OVERRIDE=FY","FILING_STATUS=OR","EQY_CONSOLIDATED=Y","Sort=A","Dates=H","DateFormat=P","Fill=—","Direction=H","UseDPDF=Y")</f>
        <v>#NAME?</v>
      </c>
      <c r="BO338" s="2" t="e">
        <f ca="1">_xll.BDH($C$328,"TOTAL_ASSETS_SEQUENTIAL_GROWTH","FY 2016","FY 2016","Currency=INR","Period=FY","BEST_FPERIOD_OVERRIDE=FY","FILING_STATUS=OR","EQY_CONSOLIDATED=Y","Sort=A","Dates=H","DateFormat=P","Fill=—","Direction=H","UseDPDF=Y")</f>
        <v>#NAME?</v>
      </c>
      <c r="BP338" s="2" t="e">
        <f ca="1">_xll.BDH($C$328,"MODIFIED_WORKING_CPTL_SEQ_GRWTH","FY 2016","FY 2016","Currency=INR","Period=FY","BEST_FPERIOD_OVERRIDE=FY","FILING_STATUS=OR","EQY_CONSOLIDATED=Y","Sort=A","Dates=H","DateFormat=P","Fill=—","Direction=H","UseDPDF=Y")</f>
        <v>#NAME?</v>
      </c>
      <c r="BQ338" s="2" t="e">
        <f ca="1">_xll.BDH($C$328,"WORKING_CAPITAL_SEQ_GROWTH","FY 2016","FY 2016","Currency=INR","Period=FY","BEST_FPERIOD_OVERRIDE=FY","FILING_STATUS=OR","EQY_CONSOLIDATED=Y","Sort=A","Dates=H","DateFormat=P","Fill=—","Direction=H","UseDPDF=Y")</f>
        <v>#NAME?</v>
      </c>
      <c r="BR338" s="2" t="e">
        <f ca="1">_xll.BDH($C$328,"ACCOUNTS_PAYABLE_SEQ_GROWTH","FY 2016","FY 2016","Currency=INR","Period=FY","BEST_FPERIOD_OVERRIDE=FY","FILING_STATUS=OR","EQY_CONSOLIDATED=Y","Sort=A","Dates=H","DateFormat=P","Fill=—","Direction=H","UseDPDF=Y")</f>
        <v>#NAME?</v>
      </c>
      <c r="BS338" s="2" t="e">
        <f ca="1">_xll.BDH($C$328,"ST_DEBT_SEQUENTIAL_GROWTH","FY 2016","FY 2016","Currency=INR","Period=FY","BEST_FPERIOD_OVERRIDE=FY","FILING_STATUS=OR","EQY_CONSOLIDATED=Y","Sort=A","Dates=H","DateFormat=P","Fill=—","Direction=H","UseDPDF=Y")</f>
        <v>#NAME?</v>
      </c>
      <c r="BT338" s="2" t="e">
        <f ca="1">_xll.BDH($C$328,"TOTAL_DEBT_SEQUENTIAL_GROWTH","FY 2016","FY 2016","Currency=INR","Period=FY","BEST_FPERIOD_OVERRIDE=FY","FILING_STATUS=OR","EQY_CONSOLIDATED=Y","Sort=A","Dates=H","DateFormat=P","Fill=—","Direction=H","UseDPDF=Y")</f>
        <v>#NAME?</v>
      </c>
      <c r="BU338" s="2" t="e">
        <f ca="1">_xll.BDH($C$328,"TOTAL_EQUITY_SEQUENTIAL_GROWTH","FY 2016","FY 2016","Currency=INR","Period=FY","BEST_FPERIOD_OVERRIDE=FY","FILING_STATUS=OR","EQY_CONSOLIDATED=Y","Sort=A","Dates=H","DateFormat=P","Fill=—","Direction=H","UseDPDF=Y")</f>
        <v>#NAME?</v>
      </c>
      <c r="BV338" s="2" t="e">
        <f ca="1">_xll.BDH($C$328,"TOTAL_CAPITAL_SEQUENTIAL_GROWTH","FY 2016","FY 2016","Currency=INR","Period=FY","BEST_FPERIOD_OVERRIDE=FY","FILING_STATUS=OR","EQY_CONSOLIDATED=Y","Sort=A","Dates=H","DateFormat=P","Fill=—","Direction=H","UseDPDF=Y")</f>
        <v>#NAME?</v>
      </c>
      <c r="BW338" s="2" t="e">
        <f ca="1">_xll.BDH($C$328,"BPS_SEQUENTIAL_GROWTH","FY 2016","FY 2016","Currency=INR","Period=FY","BEST_FPERIOD_OVERRIDE=FY","FILING_STATUS=OR","EQY_CONSOLIDATED=Y","Sort=A","Dates=H","DateFormat=P","Fill=—","Direction=H","UseDPDF=Y")</f>
        <v>#NAME?</v>
      </c>
      <c r="BX338" s="2" t="e">
        <f ca="1">_xll.BDH($C$328,"CFO_SEQUENTIAL_GROWTH","FY 2016","FY 2016","Currency=INR","Period=FY","BEST_FPERIOD_OVERRIDE=FY","FILING_STATUS=OR","EQY_CONSOLIDATED=Y","Sort=A","Dates=H","DateFormat=P","Fill=—","Direction=H","UseDPDF=Y")</f>
        <v>#NAME?</v>
      </c>
      <c r="BY338" s="3" t="e">
        <f ca="1">_xll.BDH($C$328,"SHORT_AND_LONG_TERM_DEBT","FY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338" s="3" t="e">
        <f ca="1">_xll.BDH($C$328,"BS_ST_BORROW","FY 2016","FY 2016","Currency=INR","Period=FY","BEST_FPERIOD_OVERRIDE=FY","FILING_STATUS=OR","EQY_CONSOLIDATED=Y","SCALING_FORMAT=MLN","Sort=A","Dates=H","DateFormat=P","Fill=—","Direction=H","UseDPDF=Y")</f>
        <v>#NAME?</v>
      </c>
      <c r="CA338" s="3" t="e">
        <f ca="1">_xll.BDH($C$328,"BS_LT_BORROW","FY 2016","FY 2016","Currency=INR","Period=FY","BEST_FPERIOD_OVERRIDE=FY","FILING_STATUS=OR","EQY_CONSOLIDATED=Y","SCALING_FORMAT=MLN","Sort=A","Dates=H","DateFormat=P","Fill=—","Direction=H","UseDPDF=Y")</f>
        <v>#NAME?</v>
      </c>
      <c r="CB338" s="2" t="e">
        <f ca="1">_xll.BDH($C$328,"TOT_DEBT_TO_EBITDA","FY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338" s="2" t="e">
        <f ca="1">_xll.BDH($C$328,"NET_DEBT_TO_EBITDA","FY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338" s="2" t="e">
        <f ca="1">_xll.BDH($C$328,"TOTAL_DEBT_TO_EBIT","FY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338" s="2" t="e">
        <f ca="1">_xll.BDH($C$328,"NET_DEBT_TO_EBIT","FY 2016","FY 2016","Currency=INR","Period=FY","BEST_FPERIOD_OVERRIDE=FY","FILING_STATUS=OR","EQY_CONSOLIDATED=Y","FA_ADJUSTED=GAAP","Sort=A","Dates=H","DateFormat=P","Fill=—","Direction=H","UseDPDF=Y")</f>
        <v>#NAME?</v>
      </c>
      <c r="CF338" s="2" t="e">
        <f ca="1">_xll.BDH($C$328,"EBITDA_TO_INTEREST_EXPN","FY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338" s="2" t="e">
        <f ca="1">_xll.BDH($C$328,"COM_EQY_TO_TOT_ASSET","FY 2016","FY 2016","Currency=INR","Period=FY","BEST_FPERIOD_OVERRIDE=FY","FILING_STATUS=OR","EQY_CONSOLIDATED=Y","Sort=A","Dates=H","DateFormat=P","Fill=—","Direction=H","UseDPDF=Y")</f>
        <v>#NAME?</v>
      </c>
      <c r="CH338" s="2" t="e">
        <f ca="1">_xll.BDH($C$328,"LT_DEBT_TO_TOT_EQY","FY 2016","FY 2016","Currency=INR","Period=FY","BEST_FPERIOD_OVERRIDE=FY","FILING_STATUS=OR","EQY_CONSOLIDATED=Y","Sort=A","Dates=H","DateFormat=P","Fill=—","Direction=H","UseDPDF=Y")</f>
        <v>#NAME?</v>
      </c>
      <c r="CI338" s="2" t="e">
        <f ca="1">_xll.BDH($C$328,"LT_DEBT_TO_TOT_CAP","FY 2016","FY 2016","Currency=INR","Period=FY","BEST_FPERIOD_OVERRIDE=FY","FILING_STATUS=OR","EQY_CONSOLIDATED=Y","Sort=A","Dates=H","DateFormat=P","Fill=—","Direction=H","UseDPDF=Y")</f>
        <v>#NAME?</v>
      </c>
      <c r="CJ338" s="2" t="e">
        <f ca="1">_xll.BDH($C$328,"LT_DEBT_TO_TOT_ASSET","FY 2016","FY 2016","Currency=INR","Period=FY","BEST_FPERIOD_OVERRIDE=FY","FILING_STATUS=OR","EQY_CONSOLIDATED=Y","Sort=A","Dates=H","DateFormat=P","Fill=—","Direction=H","UseDPDF=Y")</f>
        <v>#NAME?</v>
      </c>
      <c r="CK338" s="2" t="e">
        <f ca="1">_xll.BDH($C$328,"TOT_DEBT_TO_TOT_EQY","FY 2016","FY 2016","Currency=INR","Period=FY","BEST_FPERIOD_OVERRIDE=FY","FILING_STATUS=OR","EQY_CONSOLIDATED=Y","Sort=A","Dates=H","DateFormat=P","Fill=—","Direction=H","UseDPDF=Y")</f>
        <v>#NAME?</v>
      </c>
      <c r="CL338" s="2" t="e">
        <f ca="1">_xll.BDH($C$328,"TOT_DEBT_TO_TOT_CAP","FY 2016","FY 2016","Currency=INR","Period=FY","BEST_FPERIOD_OVERRIDE=FY","FILING_STATUS=OR","EQY_CONSOLIDATED=Y","Sort=A","Dates=H","DateFormat=P","Fill=—","Direction=H","UseDPDF=Y")</f>
        <v>#NAME?</v>
      </c>
      <c r="CM338" s="2" t="e">
        <f ca="1">_xll.BDH($C$328,"TOT_DEBT_TO_TOT_ASSET","FY 2016","FY 2016","Currency=INR","Period=FY","BEST_FPERIOD_OVERRIDE=FY","FILING_STATUS=OR","EQY_CONSOLIDATED=Y","Sort=A","Dates=H","DateFormat=P","Fill=—","Direction=H","UseDPDF=Y")</f>
        <v>#NAME?</v>
      </c>
      <c r="CN338" s="2" t="e">
        <f ca="1">_xll.BDH($C$328,"NET_DEBT_TO_SHRHLDR_EQTY","FY 2016","FY 2016","Currency=INR","Period=FY","BEST_FPERIOD_OVERRIDE=FY","FILING_STATUS=OR","EQY_CONSOLIDATED=Y","Sort=A","Dates=H","DateFormat=P","Fill=—","Direction=H","UseDPDF=Y")</f>
        <v>#NAME?</v>
      </c>
      <c r="CO338" s="2" t="e">
        <f ca="1">_xll.BDH($C$328,"NET_DEBT_%_CAPITAL","FY 2016","FY 2016","Currency=INR","Period=FY","BEST_FPERIOD_OVERRIDE=FY","FILING_STATUS=OR","EQY_CONSOLIDATED=Y","Sort=A","Dates=H","DateFormat=P","Fill=—","Direction=H","UseDPDF=Y")</f>
        <v>#NAME?</v>
      </c>
      <c r="CP338" s="3" t="e">
        <f ca="1">_xll.BDH($C$328,"EBITDA","FY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338" s="3" t="e">
        <f ca="1">_xll.BDH($C$328,"EBITDA_AFTER_CAPEX","FY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338" s="3" t="e">
        <f ca="1">_xll.BDH($C$328,"IS_OPER_INC","FY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338" s="2" t="e">
        <f ca="1">_xll.BDH($C$328,"CASH_RATIO","FY 2016","FY 2016","Currency=INR","Period=FY","BEST_FPERIOD_OVERRIDE=FY","FILING_STATUS=OR","EQY_CONSOLIDATED=Y","Sort=A","Dates=H","DateFormat=P","Fill=—","Direction=H","UseDPDF=Y")</f>
        <v>#NAME?</v>
      </c>
      <c r="CT338" s="2" t="e">
        <f ca="1">_xll.BDH($C$328,"CUR_RATIO","FY 2016","FY 2016","Currency=INR","Period=FY","BEST_FPERIOD_OVERRIDE=FY","FILING_STATUS=OR","EQY_CONSOLIDATED=Y","Sort=A","Dates=H","DateFormat=P","Fill=—","Direction=H","UseDPDF=Y")</f>
        <v>#NAME?</v>
      </c>
      <c r="CU338" s="2" t="e">
        <f ca="1">_xll.BDH($C$328,"QUICK_RATIO","FY 2016","FY 2016","Currency=INR","Period=FY","BEST_FPERIOD_OVERRIDE=FY","FILING_STATUS=OR","EQY_CONSOLIDATED=Y","Sort=A","Dates=H","DateFormat=P","Fill=—","Direction=H","UseDPDF=Y")</f>
        <v>#NAME?</v>
      </c>
      <c r="CV338" s="2" t="e">
        <f ca="1">_xll.BDH($C$328,"ALTMAN_Z_SCORE","FY 2016","FY 2016","Currency=INR","Period=FY","BEST_FPERIOD_OVERRIDE=FY","FILING_STATUS=OR","EQY_CONSOLIDATED=Y","Sort=A","Dates=H","DateFormat=P","Fill=—","Direction=H","UseDPDF=Y")</f>
        <v>#NAME?</v>
      </c>
      <c r="CW338" s="4" t="e">
        <f ca="1">_xll.BDH($C$328,"ACCT_RCV_TURN","FY 2016","FY 2016","Currency=INR","Period=FY","BEST_FPERIOD_OVERRIDE=FY","FILING_STATUS=OR","EQY_CONSOLIDATED=Y","FA_ADJUSTED=GAAP","Sort=A","Dates=H","DateFormat=P","Fill=—","Direction=H","UseDPDF=Y")</f>
        <v>#NAME?</v>
      </c>
      <c r="CX338" s="2" t="e">
        <f ca="1">_xll.BDH($C$328,"ACCT_RCV_DAYS","FY 2016","FY 2016","Currency=INR","Period=FY","BEST_FPERIOD_OVERRIDE=FY","FILING_STATUS=OR","EQY_CONSOLIDATED=Y","FA_ADJUSTED=GAAP","Sort=A","Dates=H","DateFormat=P","Fill=—","Direction=H","UseDPDF=Y")</f>
        <v>#NAME?</v>
      </c>
      <c r="CY338" s="4" t="e">
        <f ca="1">_xll.BDH($C$328,"INVENT_TURN","FY 2016","FY 2016","Currency=INR","Period=FY","BEST_FPERIOD_OVERRIDE=FY","FILING_STATUS=OR","EQY_CONSOLIDATED=Y","FA_ADJUSTED=GAAP","Sort=A","Dates=H","DateFormat=P","Fill=—","Direction=H","UseDPDF=Y")</f>
        <v>#NAME?</v>
      </c>
      <c r="CZ338" s="2" t="e">
        <f ca="1">_xll.BDH($C$328,"INVENT_DAYS","FY 2016","FY 2016","Currency=INR","Period=FY","BEST_FPERIOD_OVERRIDE=FY","FILING_STATUS=OR","EQY_CONSOLIDATED=Y","FA_ADJUSTED=GAAP","Sort=A","Dates=H","DateFormat=P","Fill=—","Direction=H","UseDPDF=Y")</f>
        <v>#NAME?</v>
      </c>
      <c r="DA338" s="4" t="e">
        <f ca="1">_xll.BDH($C$328,"ACCOUNTS_PAYABLE_TURNOVER","FY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338" s="2" t="e">
        <f ca="1">_xll.BDH($C$328,"ACCOUNTS_PAYABLE_TURNOVER_DAYS","FY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338" s="4" t="e">
        <f ca="1">_xll.BDH($C$328,"CASH_CONVERSION_CYCLE","FY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338" s="4" t="e">
        <f ca="1">_xll.BDH($C$328,"INV_TO_CASH_DAYS","FY 2016","FY 2016","Currency=INR","Period=FY","BEST_FPERIOD_OVERRIDE=FY","FILING_STATUS=OR","EQY_CONSOLIDATED=Y","FA_ADJUSTED=GAAP","Sort=A","Dates=H","DateFormat=P","Fill=—","Direction=H","UseDPDF=Y")</f>
        <v>#NAME?</v>
      </c>
      <c r="DE338" s="5" t="e">
        <f ca="1">_xll.BDH($C$328,"BS_INVENTORIES","FY 2016","FY 2016","Currency=INR","Period=FY","BEST_FPERIOD_OVERRIDE=FY","FILING_STATUS=OR","EQY_CONSOLIDATED=Y","SCALING_FORMAT=MLN","Sort=A","Dates=H","DateFormat=P","Fill=—","Direction=H","UseDPDF=Y")</f>
        <v>#NAME?</v>
      </c>
      <c r="DF338" s="3" t="e">
        <f ca="1">_xll.BDH($C$328,"INVTRY_RAW_MATERIALS","FY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338" s="3" t="e">
        <f ca="1">_xll.BDH($C$328,"INVTRY_IN_PROGRESS","FY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338" s="3" t="e">
        <f ca="1">_xll.BDH($C$328,"INVTRY_FINISHED_GOODS","FY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338" s="3" t="e">
        <f ca="1">_xll.BDH($C$328,"BS_OTHER_INV","FY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339" spans="1:113" x14ac:dyDescent="0.3">
      <c r="A339" s="6"/>
      <c r="B339" s="6"/>
      <c r="C339" s="6"/>
      <c r="D339" s="6"/>
      <c r="E339" t="s">
        <v>78</v>
      </c>
      <c r="F339" t="e">
        <f ca="1">_xll.BDH($C$328,"RETURN_COM_EQY","FQ1 2016","FQ1 2016","Currency=INR","Period=FQ","BEST_FPERIOD_OVERRIDE=FQ","FILING_STATUS=OR","EQY_CONSOLIDATED=Y","FA_ADJUSTED=GAAP","Sort=A","Dates=H","DateFormat=P","Fill=—","Direction=H","UseDPDF=Y")</f>
        <v>#NAME?</v>
      </c>
      <c r="G339" t="e">
        <f ca="1">_xll.BDH($C$328,"RETURN_ON_ASSET","FQ1 2016","FQ1 2016","Currency=INR","Period=FQ","BEST_FPERIOD_OVERRIDE=FQ","FILING_STATUS=OR","EQY_CONSOLIDATED=Y","FA_ADJUSTED=GAAP","Sort=A","Dates=H","DateFormat=P","Fill=—","Direction=H","UseDPDF=Y")</f>
        <v>#NAME?</v>
      </c>
      <c r="H339" t="e">
        <f ca="1">_xll.BDH($C$328,"RETURN_ON_CAP","FQ1 2016","FQ1 2016","Currency=INR","Period=FQ","BEST_FPERIOD_OVERRIDE=FQ","FILING_STATUS=OR","EQY_CONSOLIDATED=Y","FA_ADJUSTED=GAAP","Sort=A","Dates=H","DateFormat=P","Fill=—","Direction=H","UseDPDF=Y")</f>
        <v>#NAME?</v>
      </c>
      <c r="I339" t="e">
        <f ca="1">_xll.BDH($C$328,"RETURN_ON_INV_CAPITAL","FQ1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339" t="e">
        <f ca="1">_xll.BDH($C$328,"EBITDA_TO_REVENUE","FQ1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339" t="e">
        <f ca="1">_xll.BDH($C$328,"OPER_MARGIN","FQ1 2016","FQ1 2016","Currency=INR","Period=FQ","BEST_FPERIOD_OVERRIDE=FQ","FILING_STATUS=OR","EQY_CONSOLIDATED=Y","FA_ADJUSTED=GAAP","Sort=A","Dates=H","DateFormat=P","Fill=—","Direction=H","UseDPDF=Y")</f>
        <v>#NAME?</v>
      </c>
      <c r="L339" t="e">
        <f ca="1">_xll.BDH($C$328,"INCREMENTAL_OPERATING_MARGIN","FQ1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339" t="e">
        <f ca="1">_xll.BDH($C$328,"PRETAX_INC_TO_NET_SALES","FQ1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339" t="e">
        <f ca="1">_xll.BDH($C$328,"INC_BEF_XO_ITEMS_TO_NET_SALES","FQ1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339" t="e">
        <f ca="1">_xll.BDH($C$328,"PROF_MARGIN","FQ1 2016","FQ1 2016","Currency=INR","Period=FQ","BEST_FPERIOD_OVERRIDE=FQ","FILING_STATUS=OR","EQY_CONSOLIDATED=Y","FA_ADJUSTED=GAAP","Sort=A","Dates=H","DateFormat=P","Fill=—","Direction=H","UseDPDF=Y")</f>
        <v>#NAME?</v>
      </c>
      <c r="P339" t="e">
        <f ca="1">_xll.BDH($C$328,"NET_INCOME_TO_COMMON_MARGIN","FQ1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339" t="e">
        <f ca="1">_xll.BDH($C$328,"EFF_TAX_RATE","FQ1 2016","FQ1 2016","Currency=INR","Period=FQ","BEST_FPERIOD_OVERRIDE=FQ","FILING_STATUS=OR","EQY_CONSOLIDATED=Y","FA_ADJUSTED=GAAP","Sort=A","Dates=H","DateFormat=P","Fill=—","Direction=H","UseDPDF=Y")</f>
        <v>#NAME?</v>
      </c>
      <c r="R339" t="e">
        <f ca="1">_xll.BDH($C$328,"DVD_PAYOUT_RATIO","FQ1 2016","FQ1 2016","Currency=INR","Period=FQ","BEST_FPERIOD_OVERRIDE=FQ","FILING_STATUS=OR","EQY_CONSOLIDATED=Y","FA_ADJUSTED=GAAP","Sort=A","Dates=H","DateFormat=P","Fill=—","Direction=H","UseDPDF=Y")</f>
        <v>#NAME?</v>
      </c>
      <c r="S339" t="e">
        <f ca="1">_xll.BDH($C$328,"SUSTAIN_GROWTH_RT","FQ1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339" s="2" t="e">
        <f ca="1">_xll.BDH($C$328,"SALES_GROWTH","FQ1 2016","FQ1 2016","Currency=INR","Period=FQ","BEST_FPERIOD_OVERRIDE=FQ","FILING_STATUS=OR","EQY_CONSOLIDATED=Y","FA_ADJUSTED=GAAP","Sort=A","Dates=H","DateFormat=P","Fill=—","Direction=H","UseDPDF=Y")</f>
        <v>#NAME?</v>
      </c>
      <c r="U339" s="2" t="e">
        <f ca="1">_xll.BDH($C$328,"EBITDA_GROWTH","FQ1 2016","FQ1 2016","Currency=INR","Period=FQ","BEST_FPERIOD_OVERRIDE=FQ","FILING_STATUS=OR","EQY_CONSOLIDATED=Y","FA_ADJUSTED=GAAP","Sort=A","Dates=H","DateFormat=P","Fill=—","Direction=H","UseDPDF=Y")</f>
        <v>#NAME?</v>
      </c>
      <c r="V339" s="2" t="e">
        <f ca="1">_xll.BDH($C$328,"OPER_INC_GROWTH","FQ1 2016","FQ1 2016","Currency=INR","Period=FQ","BEST_FPERIOD_OVERRIDE=FQ","FILING_STATUS=OR","EQY_CONSOLIDATED=Y","FA_ADJUSTED=GAAP","Sort=A","Dates=H","DateFormat=P","Fill=—","Direction=H","UseDPDF=Y")</f>
        <v>#NAME?</v>
      </c>
      <c r="W339" s="2" t="e">
        <f ca="1">_xll.BDH($C$328,"EARN_FOR_COM_GROWTH","FQ1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339" s="2" t="e">
        <f ca="1">_xll.BDH($C$328,"DILUTED_EPS_AFT_XO_ITEMS_GROWTH","FQ1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339" s="2" t="e">
        <f ca="1">_xll.BDH($C$328,"DIVIDEND_PER_SHARE_1_YEAR_GROWTH","FQ1 2016","FQ1 2016","Currency=INR","Period=FQ","BEST_FPERIOD_OVERRIDE=FQ","FILING_STATUS=OR","EQY_CONSOLIDATED=Y","Sort=A","Dates=H","DateFormat=P","Fill=—","Direction=H","UseDPDF=Y")</f>
        <v>#NAME?</v>
      </c>
      <c r="Z339" s="2" t="e">
        <f ca="1">_xll.BDH($C$328,"ACCOUNTS_RECEIVABLE_GROWTH","FQ1 2016","FQ1 2016","Currency=INR","Period=FQ","BEST_FPERIOD_OVERRIDE=FQ","FILING_STATUS=OR","EQY_CONSOLIDATED=Y","Sort=A","Dates=H","DateFormat=P","Fill=—","Direction=H","UseDPDF=Y")</f>
        <v>#NAME?</v>
      </c>
      <c r="AA339" s="2" t="e">
        <f ca="1">_xll.BDH($C$328,"INVENTORY_GROWTH","FQ1 2016","FQ1 2016","Currency=INR","Period=FQ","BEST_FPERIOD_OVERRIDE=FQ","FILING_STATUS=OR","EQY_CONSOLIDATED=Y","Sort=A","Dates=H","DateFormat=P","Fill=—","Direction=H","UseDPDF=Y")</f>
        <v>#NAME?</v>
      </c>
      <c r="AB339" s="2" t="e">
        <f ca="1">_xll.BDH($C$328,"NET_FIXED_ASSETS_1_YEAR_GROWTH","FQ1 2016","FQ1 2016","Currency=INR","Period=FQ","BEST_FPERIOD_OVERRIDE=FQ","FILING_STATUS=OR","EQY_CONSOLIDATED=Y","Sort=A","Dates=H","DateFormat=P","Fill=—","Direction=H","UseDPDF=Y")</f>
        <v>#NAME?</v>
      </c>
      <c r="AC339" s="2" t="e">
        <f ca="1">_xll.BDH($C$328,"ASSET_GROWTH","FQ1 2016","FQ1 2016","Currency=INR","Period=FQ","BEST_FPERIOD_OVERRIDE=FQ","FILING_STATUS=OR","EQY_CONSOLIDATED=Y","Sort=A","Dates=H","DateFormat=P","Fill=—","Direction=H","UseDPDF=Y")</f>
        <v>#NAME?</v>
      </c>
      <c r="AD339" s="2" t="e">
        <f ca="1">_xll.BDH($C$328,"MODIFIED_WORK_CAP_GROWTH","FQ1 2016","FQ1 2016","Currency=INR","Period=FQ","BEST_FPERIOD_OVERRIDE=FQ","FILING_STATUS=OR","EQY_CONSOLIDATED=Y","Sort=A","Dates=H","DateFormat=P","Fill=—","Direction=H","UseDPDF=Y")</f>
        <v>#NAME?</v>
      </c>
      <c r="AE339" s="2" t="e">
        <f ca="1">_xll.BDH($C$328,"WORK_CAP_GROWTH","FQ1 2016","FQ1 2016","Currency=INR","Period=FQ","BEST_FPERIOD_OVERRIDE=FQ","FILING_STATUS=OR","EQY_CONSOLIDATED=Y","Sort=A","Dates=H","DateFormat=P","Fill=—","Direction=H","UseDPDF=Y")</f>
        <v>#NAME?</v>
      </c>
      <c r="AF339" s="2" t="e">
        <f ca="1">_xll.BDH($C$328,"ACCOUNTS_PAYABLE_GROWTH_1YR","FQ1 2016","FQ1 2016","Currency=INR","Period=FQ","BEST_FPERIOD_OVERRIDE=FQ","FILING_STATUS=OR","EQY_CONSOLIDATED=Y","Sort=A","Dates=H","DateFormat=P","Fill=—","Direction=H","UseDPDF=Y")</f>
        <v>#NAME?</v>
      </c>
      <c r="AG339" s="2" t="e">
        <f ca="1">_xll.BDH($C$328,"SHORT_TERM_DEBT_1_YEAR_GROWTH","FQ1 2016","FQ1 2016","Currency=INR","Period=FQ","BEST_FPERIOD_OVERRIDE=FQ","FILING_STATUS=OR","EQY_CONSOLIDATED=Y","Sort=A","Dates=H","DateFormat=P","Fill=—","Direction=H","UseDPDF=Y")</f>
        <v>#NAME?</v>
      </c>
      <c r="AH339" s="2" t="e">
        <f ca="1">_xll.BDH($C$328,"TOTAL_DEBT_1_YEAR_GROWTH","FQ1 2016","FQ1 2016","Currency=INR","Period=FQ","BEST_FPERIOD_OVERRIDE=FQ","FILING_STATUS=OR","EQY_CONSOLIDATED=Y","Sort=A","Dates=H","DateFormat=P","Fill=—","Direction=H","UseDPDF=Y")</f>
        <v>#NAME?</v>
      </c>
      <c r="AI339" s="2" t="e">
        <f ca="1">_xll.BDH($C$328,"TOTAL_EQUITY_1_YEAR_GROWTH","FQ1 2016","FQ1 2016","Currency=INR","Period=FQ","BEST_FPERIOD_OVERRIDE=FQ","FILING_STATUS=OR","EQY_CONSOLIDATED=Y","Sort=A","Dates=H","DateFormat=P","Fill=—","Direction=H","UseDPDF=Y")</f>
        <v>#NAME?</v>
      </c>
      <c r="AJ339" s="2" t="e">
        <f ca="1">_xll.BDH($C$328,"GROWTH_IN_CAP","FQ1 2016","FQ1 2016","Currency=INR","Period=FQ","BEST_FPERIOD_OVERRIDE=FQ","FILING_STATUS=OR","EQY_CONSOLIDATED=Y","Sort=A","Dates=H","DateFormat=P","Fill=—","Direction=H","UseDPDF=Y")</f>
        <v>#NAME?</v>
      </c>
      <c r="AK339" s="2" t="e">
        <f ca="1">_xll.BDH($C$328,"BVPS_GROWTH","FQ1 2016","FQ1 2016","Currency=INR","Period=FQ","BEST_FPERIOD_OVERRIDE=FQ","FILING_STATUS=OR","EQY_CONSOLIDATED=Y","Sort=A","Dates=H","DateFormat=P","Fill=—","Direction=H","UseDPDF=Y")</f>
        <v>#NAME?</v>
      </c>
      <c r="AL339" s="2" t="e">
        <f ca="1">_xll.BDH($C$328,"CASH_FLOW_GROWTH","FQ1 2016","FQ1 2016","Currency=INR","Period=FQ","BEST_FPERIOD_OVERRIDE=FQ","FILING_STATUS=OR","EQY_CONSOLIDATED=Y","Sort=A","Dates=H","DateFormat=P","Fill=—","Direction=H","UseDPDF=Y")</f>
        <v>#NAME?</v>
      </c>
      <c r="AM339" s="2" t="e">
        <f ca="1">_xll.BDH($C$328,"GEO_GROW_NET_SALES","FQ1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339" s="2" t="e">
        <f ca="1">_xll.BDH($C$328,"GEO_GROW_EBITDA","FQ1 2016","FQ1 2016","Currency=INR","Period=FQ","BEST_FPERIOD_OVERRIDE=FQ","FILING_STATUS=OR","EQY_CONSOLIDATED=Y","FA_ADJUSTED=GAAP","Sort=A","Dates=H","DateFormat=P","Fill=—","Direction=H","UseDPDF=Y")</f>
        <v>#NAME?</v>
      </c>
      <c r="AO339" s="2" t="e">
        <f ca="1">_xll.BDH($C$328,"GEO_GROW_OPER_INC","FQ1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339" s="2" t="e">
        <f ca="1">_xll.BDH($C$328,"NET_INCOME_TO_COMMON_5_YR_GROWTH","FQ1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339" s="2" t="e">
        <f ca="1">_xll.BDH($C$328,"5Y_GEO_GROWTH_DILUTED_EPS","FQ1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339" s="2" t="e">
        <f ca="1">_xll.BDH($C$328,"GEO_GROW_DVD_PER_SH","FQ1 2016","FQ1 2016","Currency=INR","Period=FQ","BEST_FPERIOD_OVERRIDE=FQ","FILING_STATUS=OR","EQY_CONSOLIDATED=Y","Sort=A","Dates=H","DateFormat=P","Fill=—","Direction=H","UseDPDF=Y")</f>
        <v>#NAME?</v>
      </c>
      <c r="AS339" s="2" t="e">
        <f ca="1">_xll.BDH($C$328,"ACCOUNTS_RECEIVABLE_5_YR_GROWTH","FQ1 2016","FQ1 2016","Currency=INR","Period=FQ","BEST_FPERIOD_OVERRIDE=FQ","FILING_STATUS=OR","EQY_CONSOLIDATED=Y","Sort=A","Dates=H","DateFormat=P","Fill=—","Direction=H","UseDPDF=Y")</f>
        <v>#NAME?</v>
      </c>
      <c r="AT339" s="2" t="e">
        <f ca="1">_xll.BDH($C$328,"INVENTORY_5_YEAR_GROWTH","FQ1 2016","FQ1 2016","Currency=INR","Period=FQ","BEST_FPERIOD_OVERRIDE=FQ","FILING_STATUS=OR","EQY_CONSOLIDATED=Y","Sort=A","Dates=H","DateFormat=P","Fill=—","Direction=H","UseDPDF=Y")</f>
        <v>#NAME?</v>
      </c>
      <c r="AU339" s="2" t="e">
        <f ca="1">_xll.BDH($C$328,"NET_FIXED_ASSETS_5_YEAR_GROWTH","FQ1 2016","FQ1 2016","Currency=INR","Period=FQ","BEST_FPERIOD_OVERRIDE=FQ","FILING_STATUS=OR","EQY_CONSOLIDATED=Y","Sort=A","Dates=H","DateFormat=P","Fill=—","Direction=H","UseDPDF=Y")</f>
        <v>#NAME?</v>
      </c>
      <c r="AV339" s="2" t="e">
        <f ca="1">_xll.BDH($C$328,"GEO_GROW_TOT_ASSET","FQ1 2016","FQ1 2016","Currency=INR","Period=FQ","BEST_FPERIOD_OVERRIDE=FQ","FILING_STATUS=OR","EQY_CONSOLIDATED=Y","Sort=A","Dates=H","DateFormat=P","Fill=—","Direction=H","UseDPDF=Y")</f>
        <v>#NAME?</v>
      </c>
      <c r="AW339" s="2" t="e">
        <f ca="1">_xll.BDH($C$328,"MODIFIED_WORKING_CPTL_5YR_GRWTH","FQ1 2016","FQ1 2016","Currency=INR","Period=FQ","BEST_FPERIOD_OVERRIDE=FQ","FILING_STATUS=OR","EQY_CONSOLIDATED=Y","Sort=A","Dates=H","DateFormat=P","Fill=—","Direction=H","UseDPDF=Y")</f>
        <v>#NAME?</v>
      </c>
      <c r="AX339" s="2" t="e">
        <f ca="1">_xll.BDH($C$328,"WORKING_CAPITAL_5_YEAR_GROWTH","FQ1 2016","FQ1 2016","Currency=INR","Period=FQ","BEST_FPERIOD_OVERRIDE=FQ","FILING_STATUS=OR","EQY_CONSOLIDATED=Y","Sort=A","Dates=H","DateFormat=P","Fill=—","Direction=H","UseDPDF=Y")</f>
        <v>#NAME?</v>
      </c>
      <c r="AY339" s="2" t="e">
        <f ca="1">_xll.BDH($C$328,"ACCOUNTS_PAYABLE_5_YEAR_GROWTH","FQ1 2016","FQ1 2016","Currency=INR","Period=FQ","BEST_FPERIOD_OVERRIDE=FQ","FILING_STATUS=OR","EQY_CONSOLIDATED=Y","Sort=A","Dates=H","DateFormat=P","Fill=—","Direction=H","UseDPDF=Y")</f>
        <v>#NAME?</v>
      </c>
      <c r="AZ339" s="2" t="e">
        <f ca="1">_xll.BDH($C$328,"SHORT_TERM_DEBT_5_YEAR_GROWTH","FQ1 2016","FQ1 2016","Currency=INR","Period=FQ","BEST_FPERIOD_OVERRIDE=FQ","FILING_STATUS=OR","EQY_CONSOLIDATED=Y","Sort=A","Dates=H","DateFormat=P","Fill=—","Direction=H","UseDPDF=Y")</f>
        <v>#NAME?</v>
      </c>
      <c r="BA339" s="2" t="e">
        <f ca="1">_xll.BDH($C$328,"TOTAL_DEBT_5_YEAR_GROWTH","FQ1 2016","FQ1 2016","Currency=INR","Period=FQ","BEST_FPERIOD_OVERRIDE=FQ","FILING_STATUS=OR","EQY_CONSOLIDATED=Y","Sort=A","Dates=H","DateFormat=P","Fill=—","Direction=H","UseDPDF=Y")</f>
        <v>#NAME?</v>
      </c>
      <c r="BB339" s="2" t="e">
        <f ca="1">_xll.BDH($C$328,"GEO_GROW_TOT_SHRHLDR_EQY","FQ1 2016","FQ1 2016","Currency=INR","Period=FQ","BEST_FPERIOD_OVERRIDE=FQ","FILING_STATUS=OR","EQY_CONSOLIDATED=Y","Sort=A","Dates=H","DateFormat=P","Fill=—","Direction=H","UseDPDF=Y")</f>
        <v>#NAME?</v>
      </c>
      <c r="BC339" s="2" t="e">
        <f ca="1">_xll.BDH($C$328,"TOTAL_CAPITAL_5_YEAR_GROWTH","FQ1 2016","FQ1 2016","Currency=INR","Period=FQ","BEST_FPERIOD_OVERRIDE=FQ","FILING_STATUS=OR","EQY_CONSOLIDATED=Y","Sort=A","Dates=H","DateFormat=P","Fill=—","Direction=H","UseDPDF=Y")</f>
        <v>#NAME?</v>
      </c>
      <c r="BD339" s="2" t="e">
        <f ca="1">_xll.BDH($C$328,"GEO_GROW_BOOK_VAL","FQ1 2016","FQ1 2016","Currency=INR","Period=FQ","BEST_FPERIOD_OVERRIDE=FQ","FILING_STATUS=OR","EQY_CONSOLIDATED=Y","Sort=A","Dates=H","DateFormat=P","Fill=—","Direction=H","UseDPDF=Y")</f>
        <v>#NAME?</v>
      </c>
      <c r="BE339" s="2" t="e">
        <f ca="1">_xll.BDH($C$328,"GEO_GROW_CASH_OPER_ACT","FQ1 2016","FQ1 2016","Currency=INR","Period=FQ","BEST_FPERIOD_OVERRIDE=FQ","FILING_STATUS=OR","EQY_CONSOLIDATED=Y","Sort=A","Dates=H","DateFormat=P","Fill=—","Direction=H","UseDPDF=Y")</f>
        <v>#NAME?</v>
      </c>
      <c r="BF339" s="2" t="e">
        <f ca="1">_xll.BDH($C$328,"REVENUE_SEQUENTIAL_GROWTH","FQ1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339" s="2" t="e">
        <f ca="1">_xll.BDH($C$328,"EBITDA_SEQUENTIAL_GROWTH","FQ1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339" s="2" t="e">
        <f ca="1">_xll.BDH($C$328,"OPERATING_INCOME_SEQ_GROWTH","FQ1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339" s="2" t="e">
        <f ca="1">_xll.BDH($C$328,"NET_INCOME_TO_COMMON_SEQ_GROWTH","FQ1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339" s="2" t="e">
        <f ca="1">_xll.BDH($C$328,"EPS_DILUTED_SEQUENTIAL_GROWTH","FQ1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339" s="2" t="e">
        <f ca="1">_xll.BDH($C$328,"DPS_SEQUENTIAL_GROWTH","FQ1 2016","FQ1 2016","Currency=INR","Period=FQ","BEST_FPERIOD_OVERRIDE=FQ","FILING_STATUS=OR","EQY_CONSOLIDATED=Y","Sort=A","Dates=H","DateFormat=P","Fill=—","Direction=H","UseDPDF=Y")</f>
        <v>#NAME?</v>
      </c>
      <c r="BL339" s="2" t="e">
        <f ca="1">_xll.BDH($C$328,"ACCOUNTS_RECEIVABLE_SEQ_GROWTH","FQ1 2016","FQ1 2016","Currency=INR","Period=FQ","BEST_FPERIOD_OVERRIDE=FQ","FILING_STATUS=OR","EQY_CONSOLIDATED=Y","Sort=A","Dates=H","DateFormat=P","Fill=—","Direction=H","UseDPDF=Y")</f>
        <v>#NAME?</v>
      </c>
      <c r="BM339" s="2" t="e">
        <f ca="1">_xll.BDH($C$328,"INVENTORY_SEQUENTIAL_GROWTH","FQ1 2016","FQ1 2016","Currency=INR","Period=FQ","BEST_FPERIOD_OVERRIDE=FQ","FILING_STATUS=OR","EQY_CONSOLIDATED=Y","Sort=A","Dates=H","DateFormat=P","Fill=—","Direction=H","UseDPDF=Y")</f>
        <v>#NAME?</v>
      </c>
      <c r="BN339" s="2" t="e">
        <f ca="1">_xll.BDH($C$328,"FIXED_ASSETS_SEQUENTIAL_GROWTH","FQ1 2016","FQ1 2016","Currency=INR","Period=FQ","BEST_FPERIOD_OVERRIDE=FQ","FILING_STATUS=OR","EQY_CONSOLIDATED=Y","Sort=A","Dates=H","DateFormat=P","Fill=—","Direction=H","UseDPDF=Y")</f>
        <v>#NAME?</v>
      </c>
      <c r="BO339" s="2" t="e">
        <f ca="1">_xll.BDH($C$328,"TOTAL_ASSETS_SEQUENTIAL_GROWTH","FQ1 2016","FQ1 2016","Currency=INR","Period=FQ","BEST_FPERIOD_OVERRIDE=FQ","FILING_STATUS=OR","EQY_CONSOLIDATED=Y","Sort=A","Dates=H","DateFormat=P","Fill=—","Direction=H","UseDPDF=Y")</f>
        <v>#NAME?</v>
      </c>
      <c r="BP339" s="2" t="e">
        <f ca="1">_xll.BDH($C$328,"MODIFIED_WORKING_CPTL_SEQ_GRWTH","FQ1 2016","FQ1 2016","Currency=INR","Period=FQ","BEST_FPERIOD_OVERRIDE=FQ","FILING_STATUS=OR","EQY_CONSOLIDATED=Y","Sort=A","Dates=H","DateFormat=P","Fill=—","Direction=H","UseDPDF=Y")</f>
        <v>#NAME?</v>
      </c>
      <c r="BQ339" s="2" t="e">
        <f ca="1">_xll.BDH($C$328,"WORKING_CAPITAL_SEQ_GROWTH","FQ1 2016","FQ1 2016","Currency=INR","Period=FQ","BEST_FPERIOD_OVERRIDE=FQ","FILING_STATUS=OR","EQY_CONSOLIDATED=Y","Sort=A","Dates=H","DateFormat=P","Fill=—","Direction=H","UseDPDF=Y")</f>
        <v>#NAME?</v>
      </c>
      <c r="BR339" s="2" t="e">
        <f ca="1">_xll.BDH($C$328,"ACCOUNTS_PAYABLE_SEQ_GROWTH","FQ1 2016","FQ1 2016","Currency=INR","Period=FQ","BEST_FPERIOD_OVERRIDE=FQ","FILING_STATUS=OR","EQY_CONSOLIDATED=Y","Sort=A","Dates=H","DateFormat=P","Fill=—","Direction=H","UseDPDF=Y")</f>
        <v>#NAME?</v>
      </c>
      <c r="BS339" s="2" t="e">
        <f ca="1">_xll.BDH($C$328,"ST_DEBT_SEQUENTIAL_GROWTH","FQ1 2016","FQ1 2016","Currency=INR","Period=FQ","BEST_FPERIOD_OVERRIDE=FQ","FILING_STATUS=OR","EQY_CONSOLIDATED=Y","Sort=A","Dates=H","DateFormat=P","Fill=—","Direction=H","UseDPDF=Y")</f>
        <v>#NAME?</v>
      </c>
      <c r="BT339" s="2" t="e">
        <f ca="1">_xll.BDH($C$328,"TOTAL_DEBT_SEQUENTIAL_GROWTH","FQ1 2016","FQ1 2016","Currency=INR","Period=FQ","BEST_FPERIOD_OVERRIDE=FQ","FILING_STATUS=OR","EQY_CONSOLIDATED=Y","Sort=A","Dates=H","DateFormat=P","Fill=—","Direction=H","UseDPDF=Y")</f>
        <v>#NAME?</v>
      </c>
      <c r="BU339" s="2" t="e">
        <f ca="1">_xll.BDH($C$328,"TOTAL_EQUITY_SEQUENTIAL_GROWTH","FQ1 2016","FQ1 2016","Currency=INR","Period=FQ","BEST_FPERIOD_OVERRIDE=FQ","FILING_STATUS=OR","EQY_CONSOLIDATED=Y","Sort=A","Dates=H","DateFormat=P","Fill=—","Direction=H","UseDPDF=Y")</f>
        <v>#NAME?</v>
      </c>
      <c r="BV339" s="2" t="e">
        <f ca="1">_xll.BDH($C$328,"TOTAL_CAPITAL_SEQUENTIAL_GROWTH","FQ1 2016","FQ1 2016","Currency=INR","Period=FQ","BEST_FPERIOD_OVERRIDE=FQ","FILING_STATUS=OR","EQY_CONSOLIDATED=Y","Sort=A","Dates=H","DateFormat=P","Fill=—","Direction=H","UseDPDF=Y")</f>
        <v>#NAME?</v>
      </c>
      <c r="BW339" s="2" t="e">
        <f ca="1">_xll.BDH($C$328,"BPS_SEQUENTIAL_GROWTH","FQ1 2016","FQ1 2016","Currency=INR","Period=FQ","BEST_FPERIOD_OVERRIDE=FQ","FILING_STATUS=OR","EQY_CONSOLIDATED=Y","Sort=A","Dates=H","DateFormat=P","Fill=—","Direction=H","UseDPDF=Y")</f>
        <v>#NAME?</v>
      </c>
      <c r="BX339" s="2" t="e">
        <f ca="1">_xll.BDH($C$328,"CFO_SEQUENTIAL_GROWTH","FQ1 2016","FQ1 2016","Currency=INR","Period=FQ","BEST_FPERIOD_OVERRIDE=FQ","FILING_STATUS=OR","EQY_CONSOLIDATED=Y","Sort=A","Dates=H","DateFormat=P","Fill=—","Direction=H","UseDPDF=Y")</f>
        <v>#NAME?</v>
      </c>
      <c r="BY339" s="3" t="e">
        <f ca="1">_xll.BDH($C$328,"SHORT_AND_LONG_TERM_DEBT","FQ1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339" s="3" t="e">
        <f ca="1">_xll.BDH($C$328,"BS_ST_BORROW","FQ1 2016","FQ1 2016","Currency=INR","Period=FQ","BEST_FPERIOD_OVERRIDE=FQ","FILING_STATUS=OR","EQY_CONSOLIDATED=Y","SCALING_FORMAT=MLN","Sort=A","Dates=H","DateFormat=P","Fill=—","Direction=H","UseDPDF=Y")</f>
        <v>#NAME?</v>
      </c>
      <c r="CA339" s="3" t="e">
        <f ca="1">_xll.BDH($C$328,"BS_LT_BORROW","FQ1 2016","FQ1 2016","Currency=INR","Period=FQ","BEST_FPERIOD_OVERRIDE=FQ","FILING_STATUS=OR","EQY_CONSOLIDATED=Y","SCALING_FORMAT=MLN","Sort=A","Dates=H","DateFormat=P","Fill=—","Direction=H","UseDPDF=Y")</f>
        <v>#NAME?</v>
      </c>
      <c r="CB339" s="2" t="e">
        <f ca="1">_xll.BDH($C$328,"TOT_DEBT_TO_EBITDA","FQ1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339" s="2" t="e">
        <f ca="1">_xll.BDH($C$328,"NET_DEBT_TO_EBITDA","FQ1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339" s="2" t="e">
        <f ca="1">_xll.BDH($C$328,"TOTAL_DEBT_TO_EBIT","FQ1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339" s="2" t="e">
        <f ca="1">_xll.BDH($C$328,"NET_DEBT_TO_EBIT","FQ1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339" s="2" t="e">
        <f ca="1">_xll.BDH($C$328,"EBITDA_TO_INTEREST_EXPN","FQ1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339" s="2" t="e">
        <f ca="1">_xll.BDH($C$328,"COM_EQY_TO_TOT_ASSET","FQ1 2016","FQ1 2016","Currency=INR","Period=FQ","BEST_FPERIOD_OVERRIDE=FQ","FILING_STATUS=OR","EQY_CONSOLIDATED=Y","Sort=A","Dates=H","DateFormat=P","Fill=—","Direction=H","UseDPDF=Y")</f>
        <v>#NAME?</v>
      </c>
      <c r="CH339" s="2" t="e">
        <f ca="1">_xll.BDH($C$328,"LT_DEBT_TO_TOT_EQY","FQ1 2016","FQ1 2016","Currency=INR","Period=FQ","BEST_FPERIOD_OVERRIDE=FQ","FILING_STATUS=OR","EQY_CONSOLIDATED=Y","Sort=A","Dates=H","DateFormat=P","Fill=—","Direction=H","UseDPDF=Y")</f>
        <v>#NAME?</v>
      </c>
      <c r="CI339" s="2" t="e">
        <f ca="1">_xll.BDH($C$328,"LT_DEBT_TO_TOT_CAP","FQ1 2016","FQ1 2016","Currency=INR","Period=FQ","BEST_FPERIOD_OVERRIDE=FQ","FILING_STATUS=OR","EQY_CONSOLIDATED=Y","Sort=A","Dates=H","DateFormat=P","Fill=—","Direction=H","UseDPDF=Y")</f>
        <v>#NAME?</v>
      </c>
      <c r="CJ339" s="2" t="e">
        <f ca="1">_xll.BDH($C$328,"LT_DEBT_TO_TOT_ASSET","FQ1 2016","FQ1 2016","Currency=INR","Period=FQ","BEST_FPERIOD_OVERRIDE=FQ","FILING_STATUS=OR","EQY_CONSOLIDATED=Y","Sort=A","Dates=H","DateFormat=P","Fill=—","Direction=H","UseDPDF=Y")</f>
        <v>#NAME?</v>
      </c>
      <c r="CK339" s="2" t="e">
        <f ca="1">_xll.BDH($C$328,"TOT_DEBT_TO_TOT_EQY","FQ1 2016","FQ1 2016","Currency=INR","Period=FQ","BEST_FPERIOD_OVERRIDE=FQ","FILING_STATUS=OR","EQY_CONSOLIDATED=Y","Sort=A","Dates=H","DateFormat=P","Fill=—","Direction=H","UseDPDF=Y")</f>
        <v>#NAME?</v>
      </c>
      <c r="CL339" s="2" t="e">
        <f ca="1">_xll.BDH($C$328,"TOT_DEBT_TO_TOT_CAP","FQ1 2016","FQ1 2016","Currency=INR","Period=FQ","BEST_FPERIOD_OVERRIDE=FQ","FILING_STATUS=OR","EQY_CONSOLIDATED=Y","Sort=A","Dates=H","DateFormat=P","Fill=—","Direction=H","UseDPDF=Y")</f>
        <v>#NAME?</v>
      </c>
      <c r="CM339" s="2" t="e">
        <f ca="1">_xll.BDH($C$328,"TOT_DEBT_TO_TOT_ASSET","FQ1 2016","FQ1 2016","Currency=INR","Period=FQ","BEST_FPERIOD_OVERRIDE=FQ","FILING_STATUS=OR","EQY_CONSOLIDATED=Y","Sort=A","Dates=H","DateFormat=P","Fill=—","Direction=H","UseDPDF=Y")</f>
        <v>#NAME?</v>
      </c>
      <c r="CN339" s="2" t="e">
        <f ca="1">_xll.BDH($C$328,"NET_DEBT_TO_SHRHLDR_EQTY","FQ1 2016","FQ1 2016","Currency=INR","Period=FQ","BEST_FPERIOD_OVERRIDE=FQ","FILING_STATUS=OR","EQY_CONSOLIDATED=Y","Sort=A","Dates=H","DateFormat=P","Fill=—","Direction=H","UseDPDF=Y")</f>
        <v>#NAME?</v>
      </c>
      <c r="CO339" s="2" t="e">
        <f ca="1">_xll.BDH($C$328,"NET_DEBT_%_CAPITAL","FQ1 2016","FQ1 2016","Currency=INR","Period=FQ","BEST_FPERIOD_OVERRIDE=FQ","FILING_STATUS=OR","EQY_CONSOLIDATED=Y","Sort=A","Dates=H","DateFormat=P","Fill=—","Direction=H","UseDPDF=Y")</f>
        <v>#NAME?</v>
      </c>
      <c r="CP339" s="3" t="e">
        <f ca="1">_xll.BDH($C$328,"EBITDA","FQ1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339" s="3" t="e">
        <f ca="1">_xll.BDH($C$328,"EBITDA_AFTER_CAPEX","FQ1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339" s="3" t="e">
        <f ca="1">_xll.BDH($C$328,"IS_OPER_INC","FQ1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339" s="2" t="e">
        <f ca="1">_xll.BDH($C$328,"CASH_RATIO","FQ1 2016","FQ1 2016","Currency=INR","Period=FQ","BEST_FPERIOD_OVERRIDE=FQ","FILING_STATUS=OR","EQY_CONSOLIDATED=Y","Sort=A","Dates=H","DateFormat=P","Fill=—","Direction=H","UseDPDF=Y")</f>
        <v>#NAME?</v>
      </c>
      <c r="CT339" s="2" t="e">
        <f ca="1">_xll.BDH($C$328,"CUR_RATIO","FQ1 2016","FQ1 2016","Currency=INR","Period=FQ","BEST_FPERIOD_OVERRIDE=FQ","FILING_STATUS=OR","EQY_CONSOLIDATED=Y","Sort=A","Dates=H","DateFormat=P","Fill=—","Direction=H","UseDPDF=Y")</f>
        <v>#NAME?</v>
      </c>
      <c r="CU339" s="2" t="e">
        <f ca="1">_xll.BDH($C$328,"QUICK_RATIO","FQ1 2016","FQ1 2016","Currency=INR","Period=FQ","BEST_FPERIOD_OVERRIDE=FQ","FILING_STATUS=OR","EQY_CONSOLIDATED=Y","Sort=A","Dates=H","DateFormat=P","Fill=—","Direction=H","UseDPDF=Y")</f>
        <v>#NAME?</v>
      </c>
      <c r="CV339" s="2" t="e">
        <f ca="1">_xll.BDH($C$328,"ALTMAN_Z_SCORE","FQ1 2016","FQ1 2016","Currency=INR","Period=FQ","BEST_FPERIOD_OVERRIDE=FQ","FILING_STATUS=OR","EQY_CONSOLIDATED=Y","Sort=A","Dates=H","DateFormat=P","Fill=—","Direction=H","UseDPDF=Y")</f>
        <v>#NAME?</v>
      </c>
      <c r="CW339" s="4" t="e">
        <f ca="1">_xll.BDH($C$328,"ACCT_RCV_TURN","FQ1 2016","FQ1 2016","Currency=INR","Period=FQ","BEST_FPERIOD_OVERRIDE=FQ","FILING_STATUS=OR","EQY_CONSOLIDATED=Y","FA_ADJUSTED=GAAP","Sort=A","Dates=H","DateFormat=P","Fill=—","Direction=H","UseDPDF=Y")</f>
        <v>#NAME?</v>
      </c>
      <c r="CX339" s="2" t="e">
        <f ca="1">_xll.BDH($C$328,"ACCT_RCV_DAYS","FQ1 2016","FQ1 2016","Currency=INR","Period=FQ","BEST_FPERIOD_OVERRIDE=FQ","FILING_STATUS=OR","EQY_CONSOLIDATED=Y","FA_ADJUSTED=GAAP","Sort=A","Dates=H","DateFormat=P","Fill=—","Direction=H","UseDPDF=Y")</f>
        <v>#NAME?</v>
      </c>
      <c r="CY339" s="4" t="e">
        <f ca="1">_xll.BDH($C$328,"INVENT_TURN","FQ1 2016","FQ1 2016","Currency=INR","Period=FQ","BEST_FPERIOD_OVERRIDE=FQ","FILING_STATUS=OR","EQY_CONSOLIDATED=Y","FA_ADJUSTED=GAAP","Sort=A","Dates=H","DateFormat=P","Fill=—","Direction=H","UseDPDF=Y")</f>
        <v>#NAME?</v>
      </c>
      <c r="CZ339" s="2" t="e">
        <f ca="1">_xll.BDH($C$328,"INVENT_DAYS","FQ1 2016","FQ1 2016","Currency=INR","Period=FQ","BEST_FPERIOD_OVERRIDE=FQ","FILING_STATUS=OR","EQY_CONSOLIDATED=Y","FA_ADJUSTED=GAAP","Sort=A","Dates=H","DateFormat=P","Fill=—","Direction=H","UseDPDF=Y")</f>
        <v>#NAME?</v>
      </c>
      <c r="DA339" s="4" t="e">
        <f ca="1">_xll.BDH($C$328,"ACCOUNTS_PAYABLE_TURNOVER","FQ1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339" s="2" t="e">
        <f ca="1">_xll.BDH($C$328,"ACCOUNTS_PAYABLE_TURNOVER_DAYS","FQ1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339" s="4" t="e">
        <f ca="1">_xll.BDH($C$328,"CASH_CONVERSION_CYCLE","FQ1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339" s="4" t="e">
        <f ca="1">_xll.BDH($C$328,"INV_TO_CASH_DAYS","FQ1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339" s="5" t="e">
        <f ca="1">_xll.BDH($C$328,"BS_INVENTORIES","FQ1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339" s="3" t="e">
        <f ca="1">_xll.BDH($C$328,"INVTRY_RAW_MATERIALS","FQ1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339" s="3" t="e">
        <f ca="1">_xll.BDH($C$328,"INVTRY_IN_PROGRESS","FQ1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339" s="3" t="e">
        <f ca="1">_xll.BDH($C$328,"INVTRY_FINISHED_GOODS","FQ1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339" s="3" t="e">
        <f ca="1">_xll.BDH($C$328,"BS_OTHER_INV","FQ1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340" spans="1:113" x14ac:dyDescent="0.3">
      <c r="A340" s="6"/>
      <c r="B340" s="6"/>
      <c r="C340" s="6"/>
      <c r="D340" s="6"/>
      <c r="E340" t="s">
        <v>79</v>
      </c>
      <c r="F340" t="e">
        <f ca="1">_xll.BDH($C$328,"RETURN_COM_EQY","FQ2 2016","FQ2 2016","Currency=INR","Period=FQ","BEST_FPERIOD_OVERRIDE=FQ","FILING_STATUS=OR","EQY_CONSOLIDATED=Y","FA_ADJUSTED=GAAP","Sort=A","Dates=H","DateFormat=P","Fill=—","Direction=H","UseDPDF=Y")</f>
        <v>#NAME?</v>
      </c>
      <c r="G340" t="e">
        <f ca="1">_xll.BDH($C$328,"RETURN_ON_ASSET","FQ2 2016","FQ2 2016","Currency=INR","Period=FQ","BEST_FPERIOD_OVERRIDE=FQ","FILING_STATUS=OR","EQY_CONSOLIDATED=Y","FA_ADJUSTED=GAAP","Sort=A","Dates=H","DateFormat=P","Fill=—","Direction=H","UseDPDF=Y")</f>
        <v>#NAME?</v>
      </c>
      <c r="H340" t="e">
        <f ca="1">_xll.BDH($C$328,"RETURN_ON_CAP","FQ2 2016","FQ2 2016","Currency=INR","Period=FQ","BEST_FPERIOD_OVERRIDE=FQ","FILING_STATUS=OR","EQY_CONSOLIDATED=Y","FA_ADJUSTED=GAAP","Sort=A","Dates=H","DateFormat=P","Fill=—","Direction=H","UseDPDF=Y")</f>
        <v>#NAME?</v>
      </c>
      <c r="I340" t="e">
        <f ca="1">_xll.BDH($C$328,"RETURN_ON_INV_CAPITAL","FQ2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340" t="e">
        <f ca="1">_xll.BDH($C$328,"EBITDA_TO_REVENUE","FQ2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340" t="e">
        <f ca="1">_xll.BDH($C$328,"OPER_MARGIN","FQ2 2016","FQ2 2016","Currency=INR","Period=FQ","BEST_FPERIOD_OVERRIDE=FQ","FILING_STATUS=OR","EQY_CONSOLIDATED=Y","FA_ADJUSTED=GAAP","Sort=A","Dates=H","DateFormat=P","Fill=—","Direction=H","UseDPDF=Y")</f>
        <v>#NAME?</v>
      </c>
      <c r="L340" t="e">
        <f ca="1">_xll.BDH($C$328,"INCREMENTAL_OPERATING_MARGIN","FQ2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340" t="e">
        <f ca="1">_xll.BDH($C$328,"PRETAX_INC_TO_NET_SALES","FQ2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340" t="e">
        <f ca="1">_xll.BDH($C$328,"INC_BEF_XO_ITEMS_TO_NET_SALES","FQ2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340" t="e">
        <f ca="1">_xll.BDH($C$328,"PROF_MARGIN","FQ2 2016","FQ2 2016","Currency=INR","Period=FQ","BEST_FPERIOD_OVERRIDE=FQ","FILING_STATUS=OR","EQY_CONSOLIDATED=Y","FA_ADJUSTED=GAAP","Sort=A","Dates=H","DateFormat=P","Fill=—","Direction=H","UseDPDF=Y")</f>
        <v>#NAME?</v>
      </c>
      <c r="P340" t="e">
        <f ca="1">_xll.BDH($C$328,"NET_INCOME_TO_COMMON_MARGIN","FQ2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340" t="e">
        <f ca="1">_xll.BDH($C$328,"EFF_TAX_RATE","FQ2 2016","FQ2 2016","Currency=INR","Period=FQ","BEST_FPERIOD_OVERRIDE=FQ","FILING_STATUS=OR","EQY_CONSOLIDATED=Y","FA_ADJUSTED=GAAP","Sort=A","Dates=H","DateFormat=P","Fill=—","Direction=H","UseDPDF=Y")</f>
        <v>#NAME?</v>
      </c>
      <c r="R340" t="e">
        <f ca="1">_xll.BDH($C$328,"DVD_PAYOUT_RATIO","FQ2 2016","FQ2 2016","Currency=INR","Period=FQ","BEST_FPERIOD_OVERRIDE=FQ","FILING_STATUS=OR","EQY_CONSOLIDATED=Y","FA_ADJUSTED=GAAP","Sort=A","Dates=H","DateFormat=P","Fill=—","Direction=H","UseDPDF=Y")</f>
        <v>#NAME?</v>
      </c>
      <c r="S340" t="e">
        <f ca="1">_xll.BDH($C$328,"SUSTAIN_GROWTH_RT","FQ2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340" s="2" t="e">
        <f ca="1">_xll.BDH($C$328,"SALES_GROWTH","FQ2 2016","FQ2 2016","Currency=INR","Period=FQ","BEST_FPERIOD_OVERRIDE=FQ","FILING_STATUS=OR","EQY_CONSOLIDATED=Y","FA_ADJUSTED=GAAP","Sort=A","Dates=H","DateFormat=P","Fill=—","Direction=H","UseDPDF=Y")</f>
        <v>#NAME?</v>
      </c>
      <c r="U340" s="2" t="e">
        <f ca="1">_xll.BDH($C$328,"EBITDA_GROWTH","FQ2 2016","FQ2 2016","Currency=INR","Period=FQ","BEST_FPERIOD_OVERRIDE=FQ","FILING_STATUS=OR","EQY_CONSOLIDATED=Y","FA_ADJUSTED=GAAP","Sort=A","Dates=H","DateFormat=P","Fill=—","Direction=H","UseDPDF=Y")</f>
        <v>#NAME?</v>
      </c>
      <c r="V340" s="2" t="e">
        <f ca="1">_xll.BDH($C$328,"OPER_INC_GROWTH","FQ2 2016","FQ2 2016","Currency=INR","Period=FQ","BEST_FPERIOD_OVERRIDE=FQ","FILING_STATUS=OR","EQY_CONSOLIDATED=Y","FA_ADJUSTED=GAAP","Sort=A","Dates=H","DateFormat=P","Fill=—","Direction=H","UseDPDF=Y")</f>
        <v>#NAME?</v>
      </c>
      <c r="W340" s="2" t="e">
        <f ca="1">_xll.BDH($C$328,"EARN_FOR_COM_GROWTH","FQ2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340" s="2" t="e">
        <f ca="1">_xll.BDH($C$328,"DILUTED_EPS_AFT_XO_ITEMS_GROWTH","FQ2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340" s="2" t="e">
        <f ca="1">_xll.BDH($C$328,"DIVIDEND_PER_SHARE_1_YEAR_GROWTH","FQ2 2016","FQ2 2016","Currency=INR","Period=FQ","BEST_FPERIOD_OVERRIDE=FQ","FILING_STATUS=OR","EQY_CONSOLIDATED=Y","Sort=A","Dates=H","DateFormat=P","Fill=—","Direction=H","UseDPDF=Y")</f>
        <v>#NAME?</v>
      </c>
      <c r="Z340" s="2" t="e">
        <f ca="1">_xll.BDH($C$328,"ACCOUNTS_RECEIVABLE_GROWTH","FQ2 2016","FQ2 2016","Currency=INR","Period=FQ","BEST_FPERIOD_OVERRIDE=FQ","FILING_STATUS=OR","EQY_CONSOLIDATED=Y","Sort=A","Dates=H","DateFormat=P","Fill=—","Direction=H","UseDPDF=Y")</f>
        <v>#NAME?</v>
      </c>
      <c r="AA340" s="2" t="e">
        <f ca="1">_xll.BDH($C$328,"INVENTORY_GROWTH","FQ2 2016","FQ2 2016","Currency=INR","Period=FQ","BEST_FPERIOD_OVERRIDE=FQ","FILING_STATUS=OR","EQY_CONSOLIDATED=Y","Sort=A","Dates=H","DateFormat=P","Fill=—","Direction=H","UseDPDF=Y")</f>
        <v>#NAME?</v>
      </c>
      <c r="AB340" s="2" t="e">
        <f ca="1">_xll.BDH($C$328,"NET_FIXED_ASSETS_1_YEAR_GROWTH","FQ2 2016","FQ2 2016","Currency=INR","Period=FQ","BEST_FPERIOD_OVERRIDE=FQ","FILING_STATUS=OR","EQY_CONSOLIDATED=Y","Sort=A","Dates=H","DateFormat=P","Fill=—","Direction=H","UseDPDF=Y")</f>
        <v>#NAME?</v>
      </c>
      <c r="AC340" s="2" t="e">
        <f ca="1">_xll.BDH($C$328,"ASSET_GROWTH","FQ2 2016","FQ2 2016","Currency=INR","Period=FQ","BEST_FPERIOD_OVERRIDE=FQ","FILING_STATUS=OR","EQY_CONSOLIDATED=Y","Sort=A","Dates=H","DateFormat=P","Fill=—","Direction=H","UseDPDF=Y")</f>
        <v>#NAME?</v>
      </c>
      <c r="AD340" s="2" t="e">
        <f ca="1">_xll.BDH($C$328,"MODIFIED_WORK_CAP_GROWTH","FQ2 2016","FQ2 2016","Currency=INR","Period=FQ","BEST_FPERIOD_OVERRIDE=FQ","FILING_STATUS=OR","EQY_CONSOLIDATED=Y","Sort=A","Dates=H","DateFormat=P","Fill=—","Direction=H","UseDPDF=Y")</f>
        <v>#NAME?</v>
      </c>
      <c r="AE340" s="2" t="e">
        <f ca="1">_xll.BDH($C$328,"WORK_CAP_GROWTH","FQ2 2016","FQ2 2016","Currency=INR","Period=FQ","BEST_FPERIOD_OVERRIDE=FQ","FILING_STATUS=OR","EQY_CONSOLIDATED=Y","Sort=A","Dates=H","DateFormat=P","Fill=—","Direction=H","UseDPDF=Y")</f>
        <v>#NAME?</v>
      </c>
      <c r="AF340" s="2" t="e">
        <f ca="1">_xll.BDH($C$328,"ACCOUNTS_PAYABLE_GROWTH_1YR","FQ2 2016","FQ2 2016","Currency=INR","Period=FQ","BEST_FPERIOD_OVERRIDE=FQ","FILING_STATUS=OR","EQY_CONSOLIDATED=Y","Sort=A","Dates=H","DateFormat=P","Fill=—","Direction=H","UseDPDF=Y")</f>
        <v>#NAME?</v>
      </c>
      <c r="AG340" s="2" t="e">
        <f ca="1">_xll.BDH($C$328,"SHORT_TERM_DEBT_1_YEAR_GROWTH","FQ2 2016","FQ2 2016","Currency=INR","Period=FQ","BEST_FPERIOD_OVERRIDE=FQ","FILING_STATUS=OR","EQY_CONSOLIDATED=Y","Sort=A","Dates=H","DateFormat=P","Fill=—","Direction=H","UseDPDF=Y")</f>
        <v>#NAME?</v>
      </c>
      <c r="AH340" s="2" t="e">
        <f ca="1">_xll.BDH($C$328,"TOTAL_DEBT_1_YEAR_GROWTH","FQ2 2016","FQ2 2016","Currency=INR","Period=FQ","BEST_FPERIOD_OVERRIDE=FQ","FILING_STATUS=OR","EQY_CONSOLIDATED=Y","Sort=A","Dates=H","DateFormat=P","Fill=—","Direction=H","UseDPDF=Y")</f>
        <v>#NAME?</v>
      </c>
      <c r="AI340" s="2" t="e">
        <f ca="1">_xll.BDH($C$328,"TOTAL_EQUITY_1_YEAR_GROWTH","FQ2 2016","FQ2 2016","Currency=INR","Period=FQ","BEST_FPERIOD_OVERRIDE=FQ","FILING_STATUS=OR","EQY_CONSOLIDATED=Y","Sort=A","Dates=H","DateFormat=P","Fill=—","Direction=H","UseDPDF=Y")</f>
        <v>#NAME?</v>
      </c>
      <c r="AJ340" s="2" t="e">
        <f ca="1">_xll.BDH($C$328,"GROWTH_IN_CAP","FQ2 2016","FQ2 2016","Currency=INR","Period=FQ","BEST_FPERIOD_OVERRIDE=FQ","FILING_STATUS=OR","EQY_CONSOLIDATED=Y","Sort=A","Dates=H","DateFormat=P","Fill=—","Direction=H","UseDPDF=Y")</f>
        <v>#NAME?</v>
      </c>
      <c r="AK340" s="2" t="e">
        <f ca="1">_xll.BDH($C$328,"BVPS_GROWTH","FQ2 2016","FQ2 2016","Currency=INR","Period=FQ","BEST_FPERIOD_OVERRIDE=FQ","FILING_STATUS=OR","EQY_CONSOLIDATED=Y","Sort=A","Dates=H","DateFormat=P","Fill=—","Direction=H","UseDPDF=Y")</f>
        <v>#NAME?</v>
      </c>
      <c r="AL340" s="2" t="e">
        <f ca="1">_xll.BDH($C$328,"CASH_FLOW_GROWTH","FQ2 2016","FQ2 2016","Currency=INR","Period=FQ","BEST_FPERIOD_OVERRIDE=FQ","FILING_STATUS=OR","EQY_CONSOLIDATED=Y","Sort=A","Dates=H","DateFormat=P","Fill=—","Direction=H","UseDPDF=Y")</f>
        <v>#NAME?</v>
      </c>
      <c r="AM340" s="2" t="e">
        <f ca="1">_xll.BDH($C$328,"GEO_GROW_NET_SALES","FQ2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340" s="2" t="e">
        <f ca="1">_xll.BDH($C$328,"GEO_GROW_EBITDA","FQ2 2016","FQ2 2016","Currency=INR","Period=FQ","BEST_FPERIOD_OVERRIDE=FQ","FILING_STATUS=OR","EQY_CONSOLIDATED=Y","FA_ADJUSTED=GAAP","Sort=A","Dates=H","DateFormat=P","Fill=—","Direction=H","UseDPDF=Y")</f>
        <v>#NAME?</v>
      </c>
      <c r="AO340" s="2" t="e">
        <f ca="1">_xll.BDH($C$328,"GEO_GROW_OPER_INC","FQ2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340" s="2" t="e">
        <f ca="1">_xll.BDH($C$328,"NET_INCOME_TO_COMMON_5_YR_GROWTH","FQ2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340" s="2" t="e">
        <f ca="1">_xll.BDH($C$328,"5Y_GEO_GROWTH_DILUTED_EPS","FQ2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340" s="2" t="e">
        <f ca="1">_xll.BDH($C$328,"GEO_GROW_DVD_PER_SH","FQ2 2016","FQ2 2016","Currency=INR","Period=FQ","BEST_FPERIOD_OVERRIDE=FQ","FILING_STATUS=OR","EQY_CONSOLIDATED=Y","Sort=A","Dates=H","DateFormat=P","Fill=—","Direction=H","UseDPDF=Y")</f>
        <v>#NAME?</v>
      </c>
      <c r="AS340" s="2" t="e">
        <f ca="1">_xll.BDH($C$328,"ACCOUNTS_RECEIVABLE_5_YR_GROWTH","FQ2 2016","FQ2 2016","Currency=INR","Period=FQ","BEST_FPERIOD_OVERRIDE=FQ","FILING_STATUS=OR","EQY_CONSOLIDATED=Y","Sort=A","Dates=H","DateFormat=P","Fill=—","Direction=H","UseDPDF=Y")</f>
        <v>#NAME?</v>
      </c>
      <c r="AT340" s="2" t="e">
        <f ca="1">_xll.BDH($C$328,"INVENTORY_5_YEAR_GROWTH","FQ2 2016","FQ2 2016","Currency=INR","Period=FQ","BEST_FPERIOD_OVERRIDE=FQ","FILING_STATUS=OR","EQY_CONSOLIDATED=Y","Sort=A","Dates=H","DateFormat=P","Fill=—","Direction=H","UseDPDF=Y")</f>
        <v>#NAME?</v>
      </c>
      <c r="AU340" s="2" t="e">
        <f ca="1">_xll.BDH($C$328,"NET_FIXED_ASSETS_5_YEAR_GROWTH","FQ2 2016","FQ2 2016","Currency=INR","Period=FQ","BEST_FPERIOD_OVERRIDE=FQ","FILING_STATUS=OR","EQY_CONSOLIDATED=Y","Sort=A","Dates=H","DateFormat=P","Fill=—","Direction=H","UseDPDF=Y")</f>
        <v>#NAME?</v>
      </c>
      <c r="AV340" s="2" t="e">
        <f ca="1">_xll.BDH($C$328,"GEO_GROW_TOT_ASSET","FQ2 2016","FQ2 2016","Currency=INR","Period=FQ","BEST_FPERIOD_OVERRIDE=FQ","FILING_STATUS=OR","EQY_CONSOLIDATED=Y","Sort=A","Dates=H","DateFormat=P","Fill=—","Direction=H","UseDPDF=Y")</f>
        <v>#NAME?</v>
      </c>
      <c r="AW340" s="2" t="e">
        <f ca="1">_xll.BDH($C$328,"MODIFIED_WORKING_CPTL_5YR_GRWTH","FQ2 2016","FQ2 2016","Currency=INR","Period=FQ","BEST_FPERIOD_OVERRIDE=FQ","FILING_STATUS=OR","EQY_CONSOLIDATED=Y","Sort=A","Dates=H","DateFormat=P","Fill=—","Direction=H","UseDPDF=Y")</f>
        <v>#NAME?</v>
      </c>
      <c r="AX340" s="2" t="e">
        <f ca="1">_xll.BDH($C$328,"WORKING_CAPITAL_5_YEAR_GROWTH","FQ2 2016","FQ2 2016","Currency=INR","Period=FQ","BEST_FPERIOD_OVERRIDE=FQ","FILING_STATUS=OR","EQY_CONSOLIDATED=Y","Sort=A","Dates=H","DateFormat=P","Fill=—","Direction=H","UseDPDF=Y")</f>
        <v>#NAME?</v>
      </c>
      <c r="AY340" s="2" t="e">
        <f ca="1">_xll.BDH($C$328,"ACCOUNTS_PAYABLE_5_YEAR_GROWTH","FQ2 2016","FQ2 2016","Currency=INR","Period=FQ","BEST_FPERIOD_OVERRIDE=FQ","FILING_STATUS=OR","EQY_CONSOLIDATED=Y","Sort=A","Dates=H","DateFormat=P","Fill=—","Direction=H","UseDPDF=Y")</f>
        <v>#NAME?</v>
      </c>
      <c r="AZ340" s="2" t="e">
        <f ca="1">_xll.BDH($C$328,"SHORT_TERM_DEBT_5_YEAR_GROWTH","FQ2 2016","FQ2 2016","Currency=INR","Period=FQ","BEST_FPERIOD_OVERRIDE=FQ","FILING_STATUS=OR","EQY_CONSOLIDATED=Y","Sort=A","Dates=H","DateFormat=P","Fill=—","Direction=H","UseDPDF=Y")</f>
        <v>#NAME?</v>
      </c>
      <c r="BA340" s="2" t="e">
        <f ca="1">_xll.BDH($C$328,"TOTAL_DEBT_5_YEAR_GROWTH","FQ2 2016","FQ2 2016","Currency=INR","Period=FQ","BEST_FPERIOD_OVERRIDE=FQ","FILING_STATUS=OR","EQY_CONSOLIDATED=Y","Sort=A","Dates=H","DateFormat=P","Fill=—","Direction=H","UseDPDF=Y")</f>
        <v>#NAME?</v>
      </c>
      <c r="BB340" s="2" t="e">
        <f ca="1">_xll.BDH($C$328,"GEO_GROW_TOT_SHRHLDR_EQY","FQ2 2016","FQ2 2016","Currency=INR","Period=FQ","BEST_FPERIOD_OVERRIDE=FQ","FILING_STATUS=OR","EQY_CONSOLIDATED=Y","Sort=A","Dates=H","DateFormat=P","Fill=—","Direction=H","UseDPDF=Y")</f>
        <v>#NAME?</v>
      </c>
      <c r="BC340" s="2" t="e">
        <f ca="1">_xll.BDH($C$328,"TOTAL_CAPITAL_5_YEAR_GROWTH","FQ2 2016","FQ2 2016","Currency=INR","Period=FQ","BEST_FPERIOD_OVERRIDE=FQ","FILING_STATUS=OR","EQY_CONSOLIDATED=Y","Sort=A","Dates=H","DateFormat=P","Fill=—","Direction=H","UseDPDF=Y")</f>
        <v>#NAME?</v>
      </c>
      <c r="BD340" s="2" t="e">
        <f ca="1">_xll.BDH($C$328,"GEO_GROW_BOOK_VAL","FQ2 2016","FQ2 2016","Currency=INR","Period=FQ","BEST_FPERIOD_OVERRIDE=FQ","FILING_STATUS=OR","EQY_CONSOLIDATED=Y","Sort=A","Dates=H","DateFormat=P","Fill=—","Direction=H","UseDPDF=Y")</f>
        <v>#NAME?</v>
      </c>
      <c r="BE340" s="2" t="e">
        <f ca="1">_xll.BDH($C$328,"GEO_GROW_CASH_OPER_ACT","FQ2 2016","FQ2 2016","Currency=INR","Period=FQ","BEST_FPERIOD_OVERRIDE=FQ","FILING_STATUS=OR","EQY_CONSOLIDATED=Y","Sort=A","Dates=H","DateFormat=P","Fill=—","Direction=H","UseDPDF=Y")</f>
        <v>#NAME?</v>
      </c>
      <c r="BF340" s="2" t="e">
        <f ca="1">_xll.BDH($C$328,"REVENUE_SEQUENTIAL_GROWTH","FQ2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340" s="2" t="e">
        <f ca="1">_xll.BDH($C$328,"EBITDA_SEQUENTIAL_GROWTH","FQ2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340" s="2" t="e">
        <f ca="1">_xll.BDH($C$328,"OPERATING_INCOME_SEQ_GROWTH","FQ2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340" s="2" t="e">
        <f ca="1">_xll.BDH($C$328,"NET_INCOME_TO_COMMON_SEQ_GROWTH","FQ2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340" s="2" t="e">
        <f ca="1">_xll.BDH($C$328,"EPS_DILUTED_SEQUENTIAL_GROWTH","FQ2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340" s="2" t="e">
        <f ca="1">_xll.BDH($C$328,"DPS_SEQUENTIAL_GROWTH","FQ2 2016","FQ2 2016","Currency=INR","Period=FQ","BEST_FPERIOD_OVERRIDE=FQ","FILING_STATUS=OR","EQY_CONSOLIDATED=Y","Sort=A","Dates=H","DateFormat=P","Fill=—","Direction=H","UseDPDF=Y")</f>
        <v>#NAME?</v>
      </c>
      <c r="BL340" s="2" t="e">
        <f ca="1">_xll.BDH($C$328,"ACCOUNTS_RECEIVABLE_SEQ_GROWTH","FQ2 2016","FQ2 2016","Currency=INR","Period=FQ","BEST_FPERIOD_OVERRIDE=FQ","FILING_STATUS=OR","EQY_CONSOLIDATED=Y","Sort=A","Dates=H","DateFormat=P","Fill=—","Direction=H","UseDPDF=Y")</f>
        <v>#NAME?</v>
      </c>
      <c r="BM340" s="2" t="e">
        <f ca="1">_xll.BDH($C$328,"INVENTORY_SEQUENTIAL_GROWTH","FQ2 2016","FQ2 2016","Currency=INR","Period=FQ","BEST_FPERIOD_OVERRIDE=FQ","FILING_STATUS=OR","EQY_CONSOLIDATED=Y","Sort=A","Dates=H","DateFormat=P","Fill=—","Direction=H","UseDPDF=Y")</f>
        <v>#NAME?</v>
      </c>
      <c r="BN340" s="2" t="e">
        <f ca="1">_xll.BDH($C$328,"FIXED_ASSETS_SEQUENTIAL_GROWTH","FQ2 2016","FQ2 2016","Currency=INR","Period=FQ","BEST_FPERIOD_OVERRIDE=FQ","FILING_STATUS=OR","EQY_CONSOLIDATED=Y","Sort=A","Dates=H","DateFormat=P","Fill=—","Direction=H","UseDPDF=Y")</f>
        <v>#NAME?</v>
      </c>
      <c r="BO340" s="2" t="e">
        <f ca="1">_xll.BDH($C$328,"TOTAL_ASSETS_SEQUENTIAL_GROWTH","FQ2 2016","FQ2 2016","Currency=INR","Period=FQ","BEST_FPERIOD_OVERRIDE=FQ","FILING_STATUS=OR","EQY_CONSOLIDATED=Y","Sort=A","Dates=H","DateFormat=P","Fill=—","Direction=H","UseDPDF=Y")</f>
        <v>#NAME?</v>
      </c>
      <c r="BP340" s="2" t="e">
        <f ca="1">_xll.BDH($C$328,"MODIFIED_WORKING_CPTL_SEQ_GRWTH","FQ2 2016","FQ2 2016","Currency=INR","Period=FQ","BEST_FPERIOD_OVERRIDE=FQ","FILING_STATUS=OR","EQY_CONSOLIDATED=Y","Sort=A","Dates=H","DateFormat=P","Fill=—","Direction=H","UseDPDF=Y")</f>
        <v>#NAME?</v>
      </c>
      <c r="BQ340" s="2" t="e">
        <f ca="1">_xll.BDH($C$328,"WORKING_CAPITAL_SEQ_GROWTH","FQ2 2016","FQ2 2016","Currency=INR","Period=FQ","BEST_FPERIOD_OVERRIDE=FQ","FILING_STATUS=OR","EQY_CONSOLIDATED=Y","Sort=A","Dates=H","DateFormat=P","Fill=—","Direction=H","UseDPDF=Y")</f>
        <v>#NAME?</v>
      </c>
      <c r="BR340" s="2" t="e">
        <f ca="1">_xll.BDH($C$328,"ACCOUNTS_PAYABLE_SEQ_GROWTH","FQ2 2016","FQ2 2016","Currency=INR","Period=FQ","BEST_FPERIOD_OVERRIDE=FQ","FILING_STATUS=OR","EQY_CONSOLIDATED=Y","Sort=A","Dates=H","DateFormat=P","Fill=—","Direction=H","UseDPDF=Y")</f>
        <v>#NAME?</v>
      </c>
      <c r="BS340" s="2" t="e">
        <f ca="1">_xll.BDH($C$328,"ST_DEBT_SEQUENTIAL_GROWTH","FQ2 2016","FQ2 2016","Currency=INR","Period=FQ","BEST_FPERIOD_OVERRIDE=FQ","FILING_STATUS=OR","EQY_CONSOLIDATED=Y","Sort=A","Dates=H","DateFormat=P","Fill=—","Direction=H","UseDPDF=Y")</f>
        <v>#NAME?</v>
      </c>
      <c r="BT340" s="2" t="e">
        <f ca="1">_xll.BDH($C$328,"TOTAL_DEBT_SEQUENTIAL_GROWTH","FQ2 2016","FQ2 2016","Currency=INR","Period=FQ","BEST_FPERIOD_OVERRIDE=FQ","FILING_STATUS=OR","EQY_CONSOLIDATED=Y","Sort=A","Dates=H","DateFormat=P","Fill=—","Direction=H","UseDPDF=Y")</f>
        <v>#NAME?</v>
      </c>
      <c r="BU340" s="2" t="e">
        <f ca="1">_xll.BDH($C$328,"TOTAL_EQUITY_SEQUENTIAL_GROWTH","FQ2 2016","FQ2 2016","Currency=INR","Period=FQ","BEST_FPERIOD_OVERRIDE=FQ","FILING_STATUS=OR","EQY_CONSOLIDATED=Y","Sort=A","Dates=H","DateFormat=P","Fill=—","Direction=H","UseDPDF=Y")</f>
        <v>#NAME?</v>
      </c>
      <c r="BV340" s="2" t="e">
        <f ca="1">_xll.BDH($C$328,"TOTAL_CAPITAL_SEQUENTIAL_GROWTH","FQ2 2016","FQ2 2016","Currency=INR","Period=FQ","BEST_FPERIOD_OVERRIDE=FQ","FILING_STATUS=OR","EQY_CONSOLIDATED=Y","Sort=A","Dates=H","DateFormat=P","Fill=—","Direction=H","UseDPDF=Y")</f>
        <v>#NAME?</v>
      </c>
      <c r="BW340" s="2" t="e">
        <f ca="1">_xll.BDH($C$328,"BPS_SEQUENTIAL_GROWTH","FQ2 2016","FQ2 2016","Currency=INR","Period=FQ","BEST_FPERIOD_OVERRIDE=FQ","FILING_STATUS=OR","EQY_CONSOLIDATED=Y","Sort=A","Dates=H","DateFormat=P","Fill=—","Direction=H","UseDPDF=Y")</f>
        <v>#NAME?</v>
      </c>
      <c r="BX340" s="2" t="e">
        <f ca="1">_xll.BDH($C$328,"CFO_SEQUENTIAL_GROWTH","FQ2 2016","FQ2 2016","Currency=INR","Period=FQ","BEST_FPERIOD_OVERRIDE=FQ","FILING_STATUS=OR","EQY_CONSOLIDATED=Y","Sort=A","Dates=H","DateFormat=P","Fill=—","Direction=H","UseDPDF=Y")</f>
        <v>#NAME?</v>
      </c>
      <c r="BY340" s="3" t="e">
        <f ca="1">_xll.BDH($C$328,"SHORT_AND_LONG_TERM_DEBT","FQ2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340" s="3" t="e">
        <f ca="1">_xll.BDH($C$328,"BS_ST_BORROW","FQ2 2016","FQ2 2016","Currency=INR","Period=FQ","BEST_FPERIOD_OVERRIDE=FQ","FILING_STATUS=OR","EQY_CONSOLIDATED=Y","SCALING_FORMAT=MLN","Sort=A","Dates=H","DateFormat=P","Fill=—","Direction=H","UseDPDF=Y")</f>
        <v>#NAME?</v>
      </c>
      <c r="CA340" s="3" t="e">
        <f ca="1">_xll.BDH($C$328,"BS_LT_BORROW","FQ2 2016","FQ2 2016","Currency=INR","Period=FQ","BEST_FPERIOD_OVERRIDE=FQ","FILING_STATUS=OR","EQY_CONSOLIDATED=Y","SCALING_FORMAT=MLN","Sort=A","Dates=H","DateFormat=P","Fill=—","Direction=H","UseDPDF=Y")</f>
        <v>#NAME?</v>
      </c>
      <c r="CB340" s="2" t="e">
        <f ca="1">_xll.BDH($C$328,"TOT_DEBT_TO_EBITDA","FQ2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340" s="2" t="e">
        <f ca="1">_xll.BDH($C$328,"NET_DEBT_TO_EBITDA","FQ2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340" s="2" t="e">
        <f ca="1">_xll.BDH($C$328,"TOTAL_DEBT_TO_EBIT","FQ2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340" s="2" t="e">
        <f ca="1">_xll.BDH($C$328,"NET_DEBT_TO_EBIT","FQ2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340" s="2" t="e">
        <f ca="1">_xll.BDH($C$328,"EBITDA_TO_INTEREST_EXPN","FQ2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340" s="2" t="e">
        <f ca="1">_xll.BDH($C$328,"COM_EQY_TO_TOT_ASSET","FQ2 2016","FQ2 2016","Currency=INR","Period=FQ","BEST_FPERIOD_OVERRIDE=FQ","FILING_STATUS=OR","EQY_CONSOLIDATED=Y","Sort=A","Dates=H","DateFormat=P","Fill=—","Direction=H","UseDPDF=Y")</f>
        <v>#NAME?</v>
      </c>
      <c r="CH340" s="2" t="e">
        <f ca="1">_xll.BDH($C$328,"LT_DEBT_TO_TOT_EQY","FQ2 2016","FQ2 2016","Currency=INR","Period=FQ","BEST_FPERIOD_OVERRIDE=FQ","FILING_STATUS=OR","EQY_CONSOLIDATED=Y","Sort=A","Dates=H","DateFormat=P","Fill=—","Direction=H","UseDPDF=Y")</f>
        <v>#NAME?</v>
      </c>
      <c r="CI340" s="2" t="e">
        <f ca="1">_xll.BDH($C$328,"LT_DEBT_TO_TOT_CAP","FQ2 2016","FQ2 2016","Currency=INR","Period=FQ","BEST_FPERIOD_OVERRIDE=FQ","FILING_STATUS=OR","EQY_CONSOLIDATED=Y","Sort=A","Dates=H","DateFormat=P","Fill=—","Direction=H","UseDPDF=Y")</f>
        <v>#NAME?</v>
      </c>
      <c r="CJ340" s="2" t="e">
        <f ca="1">_xll.BDH($C$328,"LT_DEBT_TO_TOT_ASSET","FQ2 2016","FQ2 2016","Currency=INR","Period=FQ","BEST_FPERIOD_OVERRIDE=FQ","FILING_STATUS=OR","EQY_CONSOLIDATED=Y","Sort=A","Dates=H","DateFormat=P","Fill=—","Direction=H","UseDPDF=Y")</f>
        <v>#NAME?</v>
      </c>
      <c r="CK340" s="2" t="e">
        <f ca="1">_xll.BDH($C$328,"TOT_DEBT_TO_TOT_EQY","FQ2 2016","FQ2 2016","Currency=INR","Period=FQ","BEST_FPERIOD_OVERRIDE=FQ","FILING_STATUS=OR","EQY_CONSOLIDATED=Y","Sort=A","Dates=H","DateFormat=P","Fill=—","Direction=H","UseDPDF=Y")</f>
        <v>#NAME?</v>
      </c>
      <c r="CL340" s="2" t="e">
        <f ca="1">_xll.BDH($C$328,"TOT_DEBT_TO_TOT_CAP","FQ2 2016","FQ2 2016","Currency=INR","Period=FQ","BEST_FPERIOD_OVERRIDE=FQ","FILING_STATUS=OR","EQY_CONSOLIDATED=Y","Sort=A","Dates=H","DateFormat=P","Fill=—","Direction=H","UseDPDF=Y")</f>
        <v>#NAME?</v>
      </c>
      <c r="CM340" s="2" t="e">
        <f ca="1">_xll.BDH($C$328,"TOT_DEBT_TO_TOT_ASSET","FQ2 2016","FQ2 2016","Currency=INR","Period=FQ","BEST_FPERIOD_OVERRIDE=FQ","FILING_STATUS=OR","EQY_CONSOLIDATED=Y","Sort=A","Dates=H","DateFormat=P","Fill=—","Direction=H","UseDPDF=Y")</f>
        <v>#NAME?</v>
      </c>
      <c r="CN340" s="2" t="e">
        <f ca="1">_xll.BDH($C$328,"NET_DEBT_TO_SHRHLDR_EQTY","FQ2 2016","FQ2 2016","Currency=INR","Period=FQ","BEST_FPERIOD_OVERRIDE=FQ","FILING_STATUS=OR","EQY_CONSOLIDATED=Y","Sort=A","Dates=H","DateFormat=P","Fill=—","Direction=H","UseDPDF=Y")</f>
        <v>#NAME?</v>
      </c>
      <c r="CO340" s="2" t="e">
        <f ca="1">_xll.BDH($C$328,"NET_DEBT_%_CAPITAL","FQ2 2016","FQ2 2016","Currency=INR","Period=FQ","BEST_FPERIOD_OVERRIDE=FQ","FILING_STATUS=OR","EQY_CONSOLIDATED=Y","Sort=A","Dates=H","DateFormat=P","Fill=—","Direction=H","UseDPDF=Y")</f>
        <v>#NAME?</v>
      </c>
      <c r="CP340" s="3" t="e">
        <f ca="1">_xll.BDH($C$328,"EBITDA","FQ2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340" s="3" t="e">
        <f ca="1">_xll.BDH($C$328,"EBITDA_AFTER_CAPEX","FQ2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340" s="3" t="e">
        <f ca="1">_xll.BDH($C$328,"IS_OPER_INC","FQ2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340" s="2" t="e">
        <f ca="1">_xll.BDH($C$328,"CASH_RATIO","FQ2 2016","FQ2 2016","Currency=INR","Period=FQ","BEST_FPERIOD_OVERRIDE=FQ","FILING_STATUS=OR","EQY_CONSOLIDATED=Y","Sort=A","Dates=H","DateFormat=P","Fill=—","Direction=H","UseDPDF=Y")</f>
        <v>#NAME?</v>
      </c>
      <c r="CT340" s="2" t="e">
        <f ca="1">_xll.BDH($C$328,"CUR_RATIO","FQ2 2016","FQ2 2016","Currency=INR","Period=FQ","BEST_FPERIOD_OVERRIDE=FQ","FILING_STATUS=OR","EQY_CONSOLIDATED=Y","Sort=A","Dates=H","DateFormat=P","Fill=—","Direction=H","UseDPDF=Y")</f>
        <v>#NAME?</v>
      </c>
      <c r="CU340" s="2" t="e">
        <f ca="1">_xll.BDH($C$328,"QUICK_RATIO","FQ2 2016","FQ2 2016","Currency=INR","Period=FQ","BEST_FPERIOD_OVERRIDE=FQ","FILING_STATUS=OR","EQY_CONSOLIDATED=Y","Sort=A","Dates=H","DateFormat=P","Fill=—","Direction=H","UseDPDF=Y")</f>
        <v>#NAME?</v>
      </c>
      <c r="CV340" s="2" t="e">
        <f ca="1">_xll.BDH($C$328,"ALTMAN_Z_SCORE","FQ2 2016","FQ2 2016","Currency=INR","Period=FQ","BEST_FPERIOD_OVERRIDE=FQ","FILING_STATUS=OR","EQY_CONSOLIDATED=Y","Sort=A","Dates=H","DateFormat=P","Fill=—","Direction=H","UseDPDF=Y")</f>
        <v>#NAME?</v>
      </c>
      <c r="CW340" s="4" t="e">
        <f ca="1">_xll.BDH($C$328,"ACCT_RCV_TURN","FQ2 2016","FQ2 2016","Currency=INR","Period=FQ","BEST_FPERIOD_OVERRIDE=FQ","FILING_STATUS=OR","EQY_CONSOLIDATED=Y","FA_ADJUSTED=GAAP","Sort=A","Dates=H","DateFormat=P","Fill=—","Direction=H","UseDPDF=Y")</f>
        <v>#NAME?</v>
      </c>
      <c r="CX340" s="2" t="e">
        <f ca="1">_xll.BDH($C$328,"ACCT_RCV_DAYS","FQ2 2016","FQ2 2016","Currency=INR","Period=FQ","BEST_FPERIOD_OVERRIDE=FQ","FILING_STATUS=OR","EQY_CONSOLIDATED=Y","FA_ADJUSTED=GAAP","Sort=A","Dates=H","DateFormat=P","Fill=—","Direction=H","UseDPDF=Y")</f>
        <v>#NAME?</v>
      </c>
      <c r="CY340" s="4" t="e">
        <f ca="1">_xll.BDH($C$328,"INVENT_TURN","FQ2 2016","FQ2 2016","Currency=INR","Period=FQ","BEST_FPERIOD_OVERRIDE=FQ","FILING_STATUS=OR","EQY_CONSOLIDATED=Y","FA_ADJUSTED=GAAP","Sort=A","Dates=H","DateFormat=P","Fill=—","Direction=H","UseDPDF=Y")</f>
        <v>#NAME?</v>
      </c>
      <c r="CZ340" s="2" t="e">
        <f ca="1">_xll.BDH($C$328,"INVENT_DAYS","FQ2 2016","FQ2 2016","Currency=INR","Period=FQ","BEST_FPERIOD_OVERRIDE=FQ","FILING_STATUS=OR","EQY_CONSOLIDATED=Y","FA_ADJUSTED=GAAP","Sort=A","Dates=H","DateFormat=P","Fill=—","Direction=H","UseDPDF=Y")</f>
        <v>#NAME?</v>
      </c>
      <c r="DA340" s="4" t="e">
        <f ca="1">_xll.BDH($C$328,"ACCOUNTS_PAYABLE_TURNOVER","FQ2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340" s="2" t="e">
        <f ca="1">_xll.BDH($C$328,"ACCOUNTS_PAYABLE_TURNOVER_DAYS","FQ2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340" s="4" t="e">
        <f ca="1">_xll.BDH($C$328,"CASH_CONVERSION_CYCLE","FQ2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340" s="4" t="e">
        <f ca="1">_xll.BDH($C$328,"INV_TO_CASH_DAYS","FQ2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340" s="5" t="e">
        <f ca="1">_xll.BDH($C$328,"BS_INVENTORIES","FQ2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340" s="3" t="e">
        <f ca="1">_xll.BDH($C$328,"INVTRY_RAW_MATERIALS","FQ2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340" s="3" t="e">
        <f ca="1">_xll.BDH($C$328,"INVTRY_IN_PROGRESS","FQ2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340" s="3" t="e">
        <f ca="1">_xll.BDH($C$328,"INVTRY_FINISHED_GOODS","FQ2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340" s="3" t="e">
        <f ca="1">_xll.BDH($C$328,"BS_OTHER_INV","FQ2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341" spans="1:113" x14ac:dyDescent="0.3">
      <c r="A341" s="6"/>
      <c r="B341" s="6"/>
      <c r="C341" s="6"/>
      <c r="D341" s="6"/>
      <c r="E341" t="s">
        <v>80</v>
      </c>
      <c r="F341" t="e">
        <f ca="1">_xll.BDH($C$328,"RETURN_COM_EQY","FQ3 2016","FQ3 2016","Currency=INR","Period=FQ","BEST_FPERIOD_OVERRIDE=FQ","FILING_STATUS=OR","EQY_CONSOLIDATED=Y","FA_ADJUSTED=GAAP","Sort=A","Dates=H","DateFormat=P","Fill=—","Direction=H","UseDPDF=Y")</f>
        <v>#NAME?</v>
      </c>
      <c r="G341" t="e">
        <f ca="1">_xll.BDH($C$328,"RETURN_ON_ASSET","FQ3 2016","FQ3 2016","Currency=INR","Period=FQ","BEST_FPERIOD_OVERRIDE=FQ","FILING_STATUS=OR","EQY_CONSOLIDATED=Y","FA_ADJUSTED=GAAP","Sort=A","Dates=H","DateFormat=P","Fill=—","Direction=H","UseDPDF=Y")</f>
        <v>#NAME?</v>
      </c>
      <c r="H341" t="e">
        <f ca="1">_xll.BDH($C$328,"RETURN_ON_CAP","FQ3 2016","FQ3 2016","Currency=INR","Period=FQ","BEST_FPERIOD_OVERRIDE=FQ","FILING_STATUS=OR","EQY_CONSOLIDATED=Y","FA_ADJUSTED=GAAP","Sort=A","Dates=H","DateFormat=P","Fill=—","Direction=H","UseDPDF=Y")</f>
        <v>#NAME?</v>
      </c>
      <c r="I341" t="e">
        <f ca="1">_xll.BDH($C$328,"RETURN_ON_INV_CAPITAL","FQ3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341" t="e">
        <f ca="1">_xll.BDH($C$328,"EBITDA_TO_REVENUE","FQ3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341" t="e">
        <f ca="1">_xll.BDH($C$328,"OPER_MARGIN","FQ3 2016","FQ3 2016","Currency=INR","Period=FQ","BEST_FPERIOD_OVERRIDE=FQ","FILING_STATUS=OR","EQY_CONSOLIDATED=Y","FA_ADJUSTED=GAAP","Sort=A","Dates=H","DateFormat=P","Fill=—","Direction=H","UseDPDF=Y")</f>
        <v>#NAME?</v>
      </c>
      <c r="L341" t="e">
        <f ca="1">_xll.BDH($C$328,"INCREMENTAL_OPERATING_MARGIN","FQ3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341" t="e">
        <f ca="1">_xll.BDH($C$328,"PRETAX_INC_TO_NET_SALES","FQ3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341" t="e">
        <f ca="1">_xll.BDH($C$328,"INC_BEF_XO_ITEMS_TO_NET_SALES","FQ3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341" t="e">
        <f ca="1">_xll.BDH($C$328,"PROF_MARGIN","FQ3 2016","FQ3 2016","Currency=INR","Period=FQ","BEST_FPERIOD_OVERRIDE=FQ","FILING_STATUS=OR","EQY_CONSOLIDATED=Y","FA_ADJUSTED=GAAP","Sort=A","Dates=H","DateFormat=P","Fill=—","Direction=H","UseDPDF=Y")</f>
        <v>#NAME?</v>
      </c>
      <c r="P341" t="e">
        <f ca="1">_xll.BDH($C$328,"NET_INCOME_TO_COMMON_MARGIN","FQ3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341" t="e">
        <f ca="1">_xll.BDH($C$328,"EFF_TAX_RATE","FQ3 2016","FQ3 2016","Currency=INR","Period=FQ","BEST_FPERIOD_OVERRIDE=FQ","FILING_STATUS=OR","EQY_CONSOLIDATED=Y","FA_ADJUSTED=GAAP","Sort=A","Dates=H","DateFormat=P","Fill=—","Direction=H","UseDPDF=Y")</f>
        <v>#NAME?</v>
      </c>
      <c r="R341" t="e">
        <f ca="1">_xll.BDH($C$328,"DVD_PAYOUT_RATIO","FQ3 2016","FQ3 2016","Currency=INR","Period=FQ","BEST_FPERIOD_OVERRIDE=FQ","FILING_STATUS=OR","EQY_CONSOLIDATED=Y","FA_ADJUSTED=GAAP","Sort=A","Dates=H","DateFormat=P","Fill=—","Direction=H","UseDPDF=Y")</f>
        <v>#NAME?</v>
      </c>
      <c r="S341" t="e">
        <f ca="1">_xll.BDH($C$328,"SUSTAIN_GROWTH_RT","FQ3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341" s="2" t="e">
        <f ca="1">_xll.BDH($C$328,"SALES_GROWTH","FQ3 2016","FQ3 2016","Currency=INR","Period=FQ","BEST_FPERIOD_OVERRIDE=FQ","FILING_STATUS=OR","EQY_CONSOLIDATED=Y","FA_ADJUSTED=GAAP","Sort=A","Dates=H","DateFormat=P","Fill=—","Direction=H","UseDPDF=Y")</f>
        <v>#NAME?</v>
      </c>
      <c r="U341" s="2" t="e">
        <f ca="1">_xll.BDH($C$328,"EBITDA_GROWTH","FQ3 2016","FQ3 2016","Currency=INR","Period=FQ","BEST_FPERIOD_OVERRIDE=FQ","FILING_STATUS=OR","EQY_CONSOLIDATED=Y","FA_ADJUSTED=GAAP","Sort=A","Dates=H","DateFormat=P","Fill=—","Direction=H","UseDPDF=Y")</f>
        <v>#NAME?</v>
      </c>
      <c r="V341" s="2" t="e">
        <f ca="1">_xll.BDH($C$328,"OPER_INC_GROWTH","FQ3 2016","FQ3 2016","Currency=INR","Period=FQ","BEST_FPERIOD_OVERRIDE=FQ","FILING_STATUS=OR","EQY_CONSOLIDATED=Y","FA_ADJUSTED=GAAP","Sort=A","Dates=H","DateFormat=P","Fill=—","Direction=H","UseDPDF=Y")</f>
        <v>#NAME?</v>
      </c>
      <c r="W341" s="2" t="e">
        <f ca="1">_xll.BDH($C$328,"EARN_FOR_COM_GROWTH","FQ3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341" s="2" t="e">
        <f ca="1">_xll.BDH($C$328,"DILUTED_EPS_AFT_XO_ITEMS_GROWTH","FQ3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341" s="2" t="e">
        <f ca="1">_xll.BDH($C$328,"DIVIDEND_PER_SHARE_1_YEAR_GROWTH","FQ3 2016","FQ3 2016","Currency=INR","Period=FQ","BEST_FPERIOD_OVERRIDE=FQ","FILING_STATUS=OR","EQY_CONSOLIDATED=Y","Sort=A","Dates=H","DateFormat=P","Fill=—","Direction=H","UseDPDF=Y")</f>
        <v>#NAME?</v>
      </c>
      <c r="Z341" s="2" t="e">
        <f ca="1">_xll.BDH($C$328,"ACCOUNTS_RECEIVABLE_GROWTH","FQ3 2016","FQ3 2016","Currency=INR","Period=FQ","BEST_FPERIOD_OVERRIDE=FQ","FILING_STATUS=OR","EQY_CONSOLIDATED=Y","Sort=A","Dates=H","DateFormat=P","Fill=—","Direction=H","UseDPDF=Y")</f>
        <v>#NAME?</v>
      </c>
      <c r="AA341" s="2" t="e">
        <f ca="1">_xll.BDH($C$328,"INVENTORY_GROWTH","FQ3 2016","FQ3 2016","Currency=INR","Period=FQ","BEST_FPERIOD_OVERRIDE=FQ","FILING_STATUS=OR","EQY_CONSOLIDATED=Y","Sort=A","Dates=H","DateFormat=P","Fill=—","Direction=H","UseDPDF=Y")</f>
        <v>#NAME?</v>
      </c>
      <c r="AB341" s="2" t="e">
        <f ca="1">_xll.BDH($C$328,"NET_FIXED_ASSETS_1_YEAR_GROWTH","FQ3 2016","FQ3 2016","Currency=INR","Period=FQ","BEST_FPERIOD_OVERRIDE=FQ","FILING_STATUS=OR","EQY_CONSOLIDATED=Y","Sort=A","Dates=H","DateFormat=P","Fill=—","Direction=H","UseDPDF=Y")</f>
        <v>#NAME?</v>
      </c>
      <c r="AC341" s="2" t="e">
        <f ca="1">_xll.BDH($C$328,"ASSET_GROWTH","FQ3 2016","FQ3 2016","Currency=INR","Period=FQ","BEST_FPERIOD_OVERRIDE=FQ","FILING_STATUS=OR","EQY_CONSOLIDATED=Y","Sort=A","Dates=H","DateFormat=P","Fill=—","Direction=H","UseDPDF=Y")</f>
        <v>#NAME?</v>
      </c>
      <c r="AD341" s="2" t="e">
        <f ca="1">_xll.BDH($C$328,"MODIFIED_WORK_CAP_GROWTH","FQ3 2016","FQ3 2016","Currency=INR","Period=FQ","BEST_FPERIOD_OVERRIDE=FQ","FILING_STATUS=OR","EQY_CONSOLIDATED=Y","Sort=A","Dates=H","DateFormat=P","Fill=—","Direction=H","UseDPDF=Y")</f>
        <v>#NAME?</v>
      </c>
      <c r="AE341" s="2" t="e">
        <f ca="1">_xll.BDH($C$328,"WORK_CAP_GROWTH","FQ3 2016","FQ3 2016","Currency=INR","Period=FQ","BEST_FPERIOD_OVERRIDE=FQ","FILING_STATUS=OR","EQY_CONSOLIDATED=Y","Sort=A","Dates=H","DateFormat=P","Fill=—","Direction=H","UseDPDF=Y")</f>
        <v>#NAME?</v>
      </c>
      <c r="AF341" s="2" t="e">
        <f ca="1">_xll.BDH($C$328,"ACCOUNTS_PAYABLE_GROWTH_1YR","FQ3 2016","FQ3 2016","Currency=INR","Period=FQ","BEST_FPERIOD_OVERRIDE=FQ","FILING_STATUS=OR","EQY_CONSOLIDATED=Y","Sort=A","Dates=H","DateFormat=P","Fill=—","Direction=H","UseDPDF=Y")</f>
        <v>#NAME?</v>
      </c>
      <c r="AG341" s="2" t="e">
        <f ca="1">_xll.BDH($C$328,"SHORT_TERM_DEBT_1_YEAR_GROWTH","FQ3 2016","FQ3 2016","Currency=INR","Period=FQ","BEST_FPERIOD_OVERRIDE=FQ","FILING_STATUS=OR","EQY_CONSOLIDATED=Y","Sort=A","Dates=H","DateFormat=P","Fill=—","Direction=H","UseDPDF=Y")</f>
        <v>#NAME?</v>
      </c>
      <c r="AH341" s="2" t="e">
        <f ca="1">_xll.BDH($C$328,"TOTAL_DEBT_1_YEAR_GROWTH","FQ3 2016","FQ3 2016","Currency=INR","Period=FQ","BEST_FPERIOD_OVERRIDE=FQ","FILING_STATUS=OR","EQY_CONSOLIDATED=Y","Sort=A","Dates=H","DateFormat=P","Fill=—","Direction=H","UseDPDF=Y")</f>
        <v>#NAME?</v>
      </c>
      <c r="AI341" s="2" t="e">
        <f ca="1">_xll.BDH($C$328,"TOTAL_EQUITY_1_YEAR_GROWTH","FQ3 2016","FQ3 2016","Currency=INR","Period=FQ","BEST_FPERIOD_OVERRIDE=FQ","FILING_STATUS=OR","EQY_CONSOLIDATED=Y","Sort=A","Dates=H","DateFormat=P","Fill=—","Direction=H","UseDPDF=Y")</f>
        <v>#NAME?</v>
      </c>
      <c r="AJ341" s="2" t="e">
        <f ca="1">_xll.BDH($C$328,"GROWTH_IN_CAP","FQ3 2016","FQ3 2016","Currency=INR","Period=FQ","BEST_FPERIOD_OVERRIDE=FQ","FILING_STATUS=OR","EQY_CONSOLIDATED=Y","Sort=A","Dates=H","DateFormat=P","Fill=—","Direction=H","UseDPDF=Y")</f>
        <v>#NAME?</v>
      </c>
      <c r="AK341" s="2" t="e">
        <f ca="1">_xll.BDH($C$328,"BVPS_GROWTH","FQ3 2016","FQ3 2016","Currency=INR","Period=FQ","BEST_FPERIOD_OVERRIDE=FQ","FILING_STATUS=OR","EQY_CONSOLIDATED=Y","Sort=A","Dates=H","DateFormat=P","Fill=—","Direction=H","UseDPDF=Y")</f>
        <v>#NAME?</v>
      </c>
      <c r="AL341" s="2" t="e">
        <f ca="1">_xll.BDH($C$328,"CASH_FLOW_GROWTH","FQ3 2016","FQ3 2016","Currency=INR","Period=FQ","BEST_FPERIOD_OVERRIDE=FQ","FILING_STATUS=OR","EQY_CONSOLIDATED=Y","Sort=A","Dates=H","DateFormat=P","Fill=—","Direction=H","UseDPDF=Y")</f>
        <v>#NAME?</v>
      </c>
      <c r="AM341" s="2" t="e">
        <f ca="1">_xll.BDH($C$328,"GEO_GROW_NET_SALES","FQ3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341" s="2" t="e">
        <f ca="1">_xll.BDH($C$328,"GEO_GROW_EBITDA","FQ3 2016","FQ3 2016","Currency=INR","Period=FQ","BEST_FPERIOD_OVERRIDE=FQ","FILING_STATUS=OR","EQY_CONSOLIDATED=Y","FA_ADJUSTED=GAAP","Sort=A","Dates=H","DateFormat=P","Fill=—","Direction=H","UseDPDF=Y")</f>
        <v>#NAME?</v>
      </c>
      <c r="AO341" s="2" t="e">
        <f ca="1">_xll.BDH($C$328,"GEO_GROW_OPER_INC","FQ3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341" s="2" t="e">
        <f ca="1">_xll.BDH($C$328,"NET_INCOME_TO_COMMON_5_YR_GROWTH","FQ3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341" s="2" t="e">
        <f ca="1">_xll.BDH($C$328,"5Y_GEO_GROWTH_DILUTED_EPS","FQ3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341" s="2" t="e">
        <f ca="1">_xll.BDH($C$328,"GEO_GROW_DVD_PER_SH","FQ3 2016","FQ3 2016","Currency=INR","Period=FQ","BEST_FPERIOD_OVERRIDE=FQ","FILING_STATUS=OR","EQY_CONSOLIDATED=Y","Sort=A","Dates=H","DateFormat=P","Fill=—","Direction=H","UseDPDF=Y")</f>
        <v>#NAME?</v>
      </c>
      <c r="AS341" s="2" t="e">
        <f ca="1">_xll.BDH($C$328,"ACCOUNTS_RECEIVABLE_5_YR_GROWTH","FQ3 2016","FQ3 2016","Currency=INR","Period=FQ","BEST_FPERIOD_OVERRIDE=FQ","FILING_STATUS=OR","EQY_CONSOLIDATED=Y","Sort=A","Dates=H","DateFormat=P","Fill=—","Direction=H","UseDPDF=Y")</f>
        <v>#NAME?</v>
      </c>
      <c r="AT341" s="2" t="e">
        <f ca="1">_xll.BDH($C$328,"INVENTORY_5_YEAR_GROWTH","FQ3 2016","FQ3 2016","Currency=INR","Period=FQ","BEST_FPERIOD_OVERRIDE=FQ","FILING_STATUS=OR","EQY_CONSOLIDATED=Y","Sort=A","Dates=H","DateFormat=P","Fill=—","Direction=H","UseDPDF=Y")</f>
        <v>#NAME?</v>
      </c>
      <c r="AU341" s="2" t="e">
        <f ca="1">_xll.BDH($C$328,"NET_FIXED_ASSETS_5_YEAR_GROWTH","FQ3 2016","FQ3 2016","Currency=INR","Period=FQ","BEST_FPERIOD_OVERRIDE=FQ","FILING_STATUS=OR","EQY_CONSOLIDATED=Y","Sort=A","Dates=H","DateFormat=P","Fill=—","Direction=H","UseDPDF=Y")</f>
        <v>#NAME?</v>
      </c>
      <c r="AV341" s="2" t="e">
        <f ca="1">_xll.BDH($C$328,"GEO_GROW_TOT_ASSET","FQ3 2016","FQ3 2016","Currency=INR","Period=FQ","BEST_FPERIOD_OVERRIDE=FQ","FILING_STATUS=OR","EQY_CONSOLIDATED=Y","Sort=A","Dates=H","DateFormat=P","Fill=—","Direction=H","UseDPDF=Y")</f>
        <v>#NAME?</v>
      </c>
      <c r="AW341" s="2" t="e">
        <f ca="1">_xll.BDH($C$328,"MODIFIED_WORKING_CPTL_5YR_GRWTH","FQ3 2016","FQ3 2016","Currency=INR","Period=FQ","BEST_FPERIOD_OVERRIDE=FQ","FILING_STATUS=OR","EQY_CONSOLIDATED=Y","Sort=A","Dates=H","DateFormat=P","Fill=—","Direction=H","UseDPDF=Y")</f>
        <v>#NAME?</v>
      </c>
      <c r="AX341" s="2" t="e">
        <f ca="1">_xll.BDH($C$328,"WORKING_CAPITAL_5_YEAR_GROWTH","FQ3 2016","FQ3 2016","Currency=INR","Period=FQ","BEST_FPERIOD_OVERRIDE=FQ","FILING_STATUS=OR","EQY_CONSOLIDATED=Y","Sort=A","Dates=H","DateFormat=P","Fill=—","Direction=H","UseDPDF=Y")</f>
        <v>#NAME?</v>
      </c>
      <c r="AY341" s="2" t="e">
        <f ca="1">_xll.BDH($C$328,"ACCOUNTS_PAYABLE_5_YEAR_GROWTH","FQ3 2016","FQ3 2016","Currency=INR","Period=FQ","BEST_FPERIOD_OVERRIDE=FQ","FILING_STATUS=OR","EQY_CONSOLIDATED=Y","Sort=A","Dates=H","DateFormat=P","Fill=—","Direction=H","UseDPDF=Y")</f>
        <v>#NAME?</v>
      </c>
      <c r="AZ341" s="2" t="e">
        <f ca="1">_xll.BDH($C$328,"SHORT_TERM_DEBT_5_YEAR_GROWTH","FQ3 2016","FQ3 2016","Currency=INR","Period=FQ","BEST_FPERIOD_OVERRIDE=FQ","FILING_STATUS=OR","EQY_CONSOLIDATED=Y","Sort=A","Dates=H","DateFormat=P","Fill=—","Direction=H","UseDPDF=Y")</f>
        <v>#NAME?</v>
      </c>
      <c r="BA341" s="2" t="e">
        <f ca="1">_xll.BDH($C$328,"TOTAL_DEBT_5_YEAR_GROWTH","FQ3 2016","FQ3 2016","Currency=INR","Period=FQ","BEST_FPERIOD_OVERRIDE=FQ","FILING_STATUS=OR","EQY_CONSOLIDATED=Y","Sort=A","Dates=H","DateFormat=P","Fill=—","Direction=H","UseDPDF=Y")</f>
        <v>#NAME?</v>
      </c>
      <c r="BB341" s="2" t="e">
        <f ca="1">_xll.BDH($C$328,"GEO_GROW_TOT_SHRHLDR_EQY","FQ3 2016","FQ3 2016","Currency=INR","Period=FQ","BEST_FPERIOD_OVERRIDE=FQ","FILING_STATUS=OR","EQY_CONSOLIDATED=Y","Sort=A","Dates=H","DateFormat=P","Fill=—","Direction=H","UseDPDF=Y")</f>
        <v>#NAME?</v>
      </c>
      <c r="BC341" s="2" t="e">
        <f ca="1">_xll.BDH($C$328,"TOTAL_CAPITAL_5_YEAR_GROWTH","FQ3 2016","FQ3 2016","Currency=INR","Period=FQ","BEST_FPERIOD_OVERRIDE=FQ","FILING_STATUS=OR","EQY_CONSOLIDATED=Y","Sort=A","Dates=H","DateFormat=P","Fill=—","Direction=H","UseDPDF=Y")</f>
        <v>#NAME?</v>
      </c>
      <c r="BD341" s="2" t="e">
        <f ca="1">_xll.BDH($C$328,"GEO_GROW_BOOK_VAL","FQ3 2016","FQ3 2016","Currency=INR","Period=FQ","BEST_FPERIOD_OVERRIDE=FQ","FILING_STATUS=OR","EQY_CONSOLIDATED=Y","Sort=A","Dates=H","DateFormat=P","Fill=—","Direction=H","UseDPDF=Y")</f>
        <v>#NAME?</v>
      </c>
      <c r="BE341" s="2" t="e">
        <f ca="1">_xll.BDH($C$328,"GEO_GROW_CASH_OPER_ACT","FQ3 2016","FQ3 2016","Currency=INR","Period=FQ","BEST_FPERIOD_OVERRIDE=FQ","FILING_STATUS=OR","EQY_CONSOLIDATED=Y","Sort=A","Dates=H","DateFormat=P","Fill=—","Direction=H","UseDPDF=Y")</f>
        <v>#NAME?</v>
      </c>
      <c r="BF341" s="2" t="e">
        <f ca="1">_xll.BDH($C$328,"REVENUE_SEQUENTIAL_GROWTH","FQ3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341" s="2" t="e">
        <f ca="1">_xll.BDH($C$328,"EBITDA_SEQUENTIAL_GROWTH","FQ3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341" s="2" t="e">
        <f ca="1">_xll.BDH($C$328,"OPERATING_INCOME_SEQ_GROWTH","FQ3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341" s="2" t="e">
        <f ca="1">_xll.BDH($C$328,"NET_INCOME_TO_COMMON_SEQ_GROWTH","FQ3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341" s="2" t="e">
        <f ca="1">_xll.BDH($C$328,"EPS_DILUTED_SEQUENTIAL_GROWTH","FQ3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341" s="2" t="e">
        <f ca="1">_xll.BDH($C$328,"DPS_SEQUENTIAL_GROWTH","FQ3 2016","FQ3 2016","Currency=INR","Period=FQ","BEST_FPERIOD_OVERRIDE=FQ","FILING_STATUS=OR","EQY_CONSOLIDATED=Y","Sort=A","Dates=H","DateFormat=P","Fill=—","Direction=H","UseDPDF=Y")</f>
        <v>#NAME?</v>
      </c>
      <c r="BL341" s="2" t="e">
        <f ca="1">_xll.BDH($C$328,"ACCOUNTS_RECEIVABLE_SEQ_GROWTH","FQ3 2016","FQ3 2016","Currency=INR","Period=FQ","BEST_FPERIOD_OVERRIDE=FQ","FILING_STATUS=OR","EQY_CONSOLIDATED=Y","Sort=A","Dates=H","DateFormat=P","Fill=—","Direction=H","UseDPDF=Y")</f>
        <v>#NAME?</v>
      </c>
      <c r="BM341" s="2" t="e">
        <f ca="1">_xll.BDH($C$328,"INVENTORY_SEQUENTIAL_GROWTH","FQ3 2016","FQ3 2016","Currency=INR","Period=FQ","BEST_FPERIOD_OVERRIDE=FQ","FILING_STATUS=OR","EQY_CONSOLIDATED=Y","Sort=A","Dates=H","DateFormat=P","Fill=—","Direction=H","UseDPDF=Y")</f>
        <v>#NAME?</v>
      </c>
      <c r="BN341" s="2" t="e">
        <f ca="1">_xll.BDH($C$328,"FIXED_ASSETS_SEQUENTIAL_GROWTH","FQ3 2016","FQ3 2016","Currency=INR","Period=FQ","BEST_FPERIOD_OVERRIDE=FQ","FILING_STATUS=OR","EQY_CONSOLIDATED=Y","Sort=A","Dates=H","DateFormat=P","Fill=—","Direction=H","UseDPDF=Y")</f>
        <v>#NAME?</v>
      </c>
      <c r="BO341" s="2" t="e">
        <f ca="1">_xll.BDH($C$328,"TOTAL_ASSETS_SEQUENTIAL_GROWTH","FQ3 2016","FQ3 2016","Currency=INR","Period=FQ","BEST_FPERIOD_OVERRIDE=FQ","FILING_STATUS=OR","EQY_CONSOLIDATED=Y","Sort=A","Dates=H","DateFormat=P","Fill=—","Direction=H","UseDPDF=Y")</f>
        <v>#NAME?</v>
      </c>
      <c r="BP341" s="2" t="e">
        <f ca="1">_xll.BDH($C$328,"MODIFIED_WORKING_CPTL_SEQ_GRWTH","FQ3 2016","FQ3 2016","Currency=INR","Period=FQ","BEST_FPERIOD_OVERRIDE=FQ","FILING_STATUS=OR","EQY_CONSOLIDATED=Y","Sort=A","Dates=H","DateFormat=P","Fill=—","Direction=H","UseDPDF=Y")</f>
        <v>#NAME?</v>
      </c>
      <c r="BQ341" s="2" t="e">
        <f ca="1">_xll.BDH($C$328,"WORKING_CAPITAL_SEQ_GROWTH","FQ3 2016","FQ3 2016","Currency=INR","Period=FQ","BEST_FPERIOD_OVERRIDE=FQ","FILING_STATUS=OR","EQY_CONSOLIDATED=Y","Sort=A","Dates=H","DateFormat=P","Fill=—","Direction=H","UseDPDF=Y")</f>
        <v>#NAME?</v>
      </c>
      <c r="BR341" s="2" t="e">
        <f ca="1">_xll.BDH($C$328,"ACCOUNTS_PAYABLE_SEQ_GROWTH","FQ3 2016","FQ3 2016","Currency=INR","Period=FQ","BEST_FPERIOD_OVERRIDE=FQ","FILING_STATUS=OR","EQY_CONSOLIDATED=Y","Sort=A","Dates=H","DateFormat=P","Fill=—","Direction=H","UseDPDF=Y")</f>
        <v>#NAME?</v>
      </c>
      <c r="BS341" s="2" t="e">
        <f ca="1">_xll.BDH($C$328,"ST_DEBT_SEQUENTIAL_GROWTH","FQ3 2016","FQ3 2016","Currency=INR","Period=FQ","BEST_FPERIOD_OVERRIDE=FQ","FILING_STATUS=OR","EQY_CONSOLIDATED=Y","Sort=A","Dates=H","DateFormat=P","Fill=—","Direction=H","UseDPDF=Y")</f>
        <v>#NAME?</v>
      </c>
      <c r="BT341" s="2" t="e">
        <f ca="1">_xll.BDH($C$328,"TOTAL_DEBT_SEQUENTIAL_GROWTH","FQ3 2016","FQ3 2016","Currency=INR","Period=FQ","BEST_FPERIOD_OVERRIDE=FQ","FILING_STATUS=OR","EQY_CONSOLIDATED=Y","Sort=A","Dates=H","DateFormat=P","Fill=—","Direction=H","UseDPDF=Y")</f>
        <v>#NAME?</v>
      </c>
      <c r="BU341" s="2" t="e">
        <f ca="1">_xll.BDH($C$328,"TOTAL_EQUITY_SEQUENTIAL_GROWTH","FQ3 2016","FQ3 2016","Currency=INR","Period=FQ","BEST_FPERIOD_OVERRIDE=FQ","FILING_STATUS=OR","EQY_CONSOLIDATED=Y","Sort=A","Dates=H","DateFormat=P","Fill=—","Direction=H","UseDPDF=Y")</f>
        <v>#NAME?</v>
      </c>
      <c r="BV341" s="2" t="e">
        <f ca="1">_xll.BDH($C$328,"TOTAL_CAPITAL_SEQUENTIAL_GROWTH","FQ3 2016","FQ3 2016","Currency=INR","Period=FQ","BEST_FPERIOD_OVERRIDE=FQ","FILING_STATUS=OR","EQY_CONSOLIDATED=Y","Sort=A","Dates=H","DateFormat=P","Fill=—","Direction=H","UseDPDF=Y")</f>
        <v>#NAME?</v>
      </c>
      <c r="BW341" s="2" t="e">
        <f ca="1">_xll.BDH($C$328,"BPS_SEQUENTIAL_GROWTH","FQ3 2016","FQ3 2016","Currency=INR","Period=FQ","BEST_FPERIOD_OVERRIDE=FQ","FILING_STATUS=OR","EQY_CONSOLIDATED=Y","Sort=A","Dates=H","DateFormat=P","Fill=—","Direction=H","UseDPDF=Y")</f>
        <v>#NAME?</v>
      </c>
      <c r="BX341" s="2" t="e">
        <f ca="1">_xll.BDH($C$328,"CFO_SEQUENTIAL_GROWTH","FQ3 2016","FQ3 2016","Currency=INR","Period=FQ","BEST_FPERIOD_OVERRIDE=FQ","FILING_STATUS=OR","EQY_CONSOLIDATED=Y","Sort=A","Dates=H","DateFormat=P","Fill=—","Direction=H","UseDPDF=Y")</f>
        <v>#NAME?</v>
      </c>
      <c r="BY341" s="3" t="e">
        <f ca="1">_xll.BDH($C$328,"SHORT_AND_LONG_TERM_DEBT","FQ3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341" s="3" t="e">
        <f ca="1">_xll.BDH($C$328,"BS_ST_BORROW","FQ3 2016","FQ3 2016","Currency=INR","Period=FQ","BEST_FPERIOD_OVERRIDE=FQ","FILING_STATUS=OR","EQY_CONSOLIDATED=Y","SCALING_FORMAT=MLN","Sort=A","Dates=H","DateFormat=P","Fill=—","Direction=H","UseDPDF=Y")</f>
        <v>#NAME?</v>
      </c>
      <c r="CA341" s="3" t="e">
        <f ca="1">_xll.BDH($C$328,"BS_LT_BORROW","FQ3 2016","FQ3 2016","Currency=INR","Period=FQ","BEST_FPERIOD_OVERRIDE=FQ","FILING_STATUS=OR","EQY_CONSOLIDATED=Y","SCALING_FORMAT=MLN","Sort=A","Dates=H","DateFormat=P","Fill=—","Direction=H","UseDPDF=Y")</f>
        <v>#NAME?</v>
      </c>
      <c r="CB341" s="2" t="e">
        <f ca="1">_xll.BDH($C$328,"TOT_DEBT_TO_EBITDA","FQ3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341" s="2" t="e">
        <f ca="1">_xll.BDH($C$328,"NET_DEBT_TO_EBITDA","FQ3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341" s="2" t="e">
        <f ca="1">_xll.BDH($C$328,"TOTAL_DEBT_TO_EBIT","FQ3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341" s="2" t="e">
        <f ca="1">_xll.BDH($C$328,"NET_DEBT_TO_EBIT","FQ3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341" s="2" t="e">
        <f ca="1">_xll.BDH($C$328,"EBITDA_TO_INTEREST_EXPN","FQ3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341" s="2" t="e">
        <f ca="1">_xll.BDH($C$328,"COM_EQY_TO_TOT_ASSET","FQ3 2016","FQ3 2016","Currency=INR","Period=FQ","BEST_FPERIOD_OVERRIDE=FQ","FILING_STATUS=OR","EQY_CONSOLIDATED=Y","Sort=A","Dates=H","DateFormat=P","Fill=—","Direction=H","UseDPDF=Y")</f>
        <v>#NAME?</v>
      </c>
      <c r="CH341" s="2" t="e">
        <f ca="1">_xll.BDH($C$328,"LT_DEBT_TO_TOT_EQY","FQ3 2016","FQ3 2016","Currency=INR","Period=FQ","BEST_FPERIOD_OVERRIDE=FQ","FILING_STATUS=OR","EQY_CONSOLIDATED=Y","Sort=A","Dates=H","DateFormat=P","Fill=—","Direction=H","UseDPDF=Y")</f>
        <v>#NAME?</v>
      </c>
      <c r="CI341" s="2" t="e">
        <f ca="1">_xll.BDH($C$328,"LT_DEBT_TO_TOT_CAP","FQ3 2016","FQ3 2016","Currency=INR","Period=FQ","BEST_FPERIOD_OVERRIDE=FQ","FILING_STATUS=OR","EQY_CONSOLIDATED=Y","Sort=A","Dates=H","DateFormat=P","Fill=—","Direction=H","UseDPDF=Y")</f>
        <v>#NAME?</v>
      </c>
      <c r="CJ341" s="2" t="e">
        <f ca="1">_xll.BDH($C$328,"LT_DEBT_TO_TOT_ASSET","FQ3 2016","FQ3 2016","Currency=INR","Period=FQ","BEST_FPERIOD_OVERRIDE=FQ","FILING_STATUS=OR","EQY_CONSOLIDATED=Y","Sort=A","Dates=H","DateFormat=P","Fill=—","Direction=H","UseDPDF=Y")</f>
        <v>#NAME?</v>
      </c>
      <c r="CK341" s="2" t="e">
        <f ca="1">_xll.BDH($C$328,"TOT_DEBT_TO_TOT_EQY","FQ3 2016","FQ3 2016","Currency=INR","Period=FQ","BEST_FPERIOD_OVERRIDE=FQ","FILING_STATUS=OR","EQY_CONSOLIDATED=Y","Sort=A","Dates=H","DateFormat=P","Fill=—","Direction=H","UseDPDF=Y")</f>
        <v>#NAME?</v>
      </c>
      <c r="CL341" s="2" t="e">
        <f ca="1">_xll.BDH($C$328,"TOT_DEBT_TO_TOT_CAP","FQ3 2016","FQ3 2016","Currency=INR","Period=FQ","BEST_FPERIOD_OVERRIDE=FQ","FILING_STATUS=OR","EQY_CONSOLIDATED=Y","Sort=A","Dates=H","DateFormat=P","Fill=—","Direction=H","UseDPDF=Y")</f>
        <v>#NAME?</v>
      </c>
      <c r="CM341" s="2" t="e">
        <f ca="1">_xll.BDH($C$328,"TOT_DEBT_TO_TOT_ASSET","FQ3 2016","FQ3 2016","Currency=INR","Period=FQ","BEST_FPERIOD_OVERRIDE=FQ","FILING_STATUS=OR","EQY_CONSOLIDATED=Y","Sort=A","Dates=H","DateFormat=P","Fill=—","Direction=H","UseDPDF=Y")</f>
        <v>#NAME?</v>
      </c>
      <c r="CN341" s="2" t="e">
        <f ca="1">_xll.BDH($C$328,"NET_DEBT_TO_SHRHLDR_EQTY","FQ3 2016","FQ3 2016","Currency=INR","Period=FQ","BEST_FPERIOD_OVERRIDE=FQ","FILING_STATUS=OR","EQY_CONSOLIDATED=Y","Sort=A","Dates=H","DateFormat=P","Fill=—","Direction=H","UseDPDF=Y")</f>
        <v>#NAME?</v>
      </c>
      <c r="CO341" s="2" t="e">
        <f ca="1">_xll.BDH($C$328,"NET_DEBT_%_CAPITAL","FQ3 2016","FQ3 2016","Currency=INR","Period=FQ","BEST_FPERIOD_OVERRIDE=FQ","FILING_STATUS=OR","EQY_CONSOLIDATED=Y","Sort=A","Dates=H","DateFormat=P","Fill=—","Direction=H","UseDPDF=Y")</f>
        <v>#NAME?</v>
      </c>
      <c r="CP341" s="3" t="e">
        <f ca="1">_xll.BDH($C$328,"EBITDA","FQ3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341" s="3" t="e">
        <f ca="1">_xll.BDH($C$328,"EBITDA_AFTER_CAPEX","FQ3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341" s="3" t="e">
        <f ca="1">_xll.BDH($C$328,"IS_OPER_INC","FQ3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341" s="2" t="e">
        <f ca="1">_xll.BDH($C$328,"CASH_RATIO","FQ3 2016","FQ3 2016","Currency=INR","Period=FQ","BEST_FPERIOD_OVERRIDE=FQ","FILING_STATUS=OR","EQY_CONSOLIDATED=Y","Sort=A","Dates=H","DateFormat=P","Fill=—","Direction=H","UseDPDF=Y")</f>
        <v>#NAME?</v>
      </c>
      <c r="CT341" s="2" t="e">
        <f ca="1">_xll.BDH($C$328,"CUR_RATIO","FQ3 2016","FQ3 2016","Currency=INR","Period=FQ","BEST_FPERIOD_OVERRIDE=FQ","FILING_STATUS=OR","EQY_CONSOLIDATED=Y","Sort=A","Dates=H","DateFormat=P","Fill=—","Direction=H","UseDPDF=Y")</f>
        <v>#NAME?</v>
      </c>
      <c r="CU341" s="2" t="e">
        <f ca="1">_xll.BDH($C$328,"QUICK_RATIO","FQ3 2016","FQ3 2016","Currency=INR","Period=FQ","BEST_FPERIOD_OVERRIDE=FQ","FILING_STATUS=OR","EQY_CONSOLIDATED=Y","Sort=A","Dates=H","DateFormat=P","Fill=—","Direction=H","UseDPDF=Y")</f>
        <v>#NAME?</v>
      </c>
      <c r="CV341" s="2" t="e">
        <f ca="1">_xll.BDH($C$328,"ALTMAN_Z_SCORE","FQ3 2016","FQ3 2016","Currency=INR","Period=FQ","BEST_FPERIOD_OVERRIDE=FQ","FILING_STATUS=OR","EQY_CONSOLIDATED=Y","Sort=A","Dates=H","DateFormat=P","Fill=—","Direction=H","UseDPDF=Y")</f>
        <v>#NAME?</v>
      </c>
      <c r="CW341" s="4" t="e">
        <f ca="1">_xll.BDH($C$328,"ACCT_RCV_TURN","FQ3 2016","FQ3 2016","Currency=INR","Period=FQ","BEST_FPERIOD_OVERRIDE=FQ","FILING_STATUS=OR","EQY_CONSOLIDATED=Y","FA_ADJUSTED=GAAP","Sort=A","Dates=H","DateFormat=P","Fill=—","Direction=H","UseDPDF=Y")</f>
        <v>#NAME?</v>
      </c>
      <c r="CX341" s="2" t="e">
        <f ca="1">_xll.BDH($C$328,"ACCT_RCV_DAYS","FQ3 2016","FQ3 2016","Currency=INR","Period=FQ","BEST_FPERIOD_OVERRIDE=FQ","FILING_STATUS=OR","EQY_CONSOLIDATED=Y","FA_ADJUSTED=GAAP","Sort=A","Dates=H","DateFormat=P","Fill=—","Direction=H","UseDPDF=Y")</f>
        <v>#NAME?</v>
      </c>
      <c r="CY341" s="4" t="e">
        <f ca="1">_xll.BDH($C$328,"INVENT_TURN","FQ3 2016","FQ3 2016","Currency=INR","Period=FQ","BEST_FPERIOD_OVERRIDE=FQ","FILING_STATUS=OR","EQY_CONSOLIDATED=Y","FA_ADJUSTED=GAAP","Sort=A","Dates=H","DateFormat=P","Fill=—","Direction=H","UseDPDF=Y")</f>
        <v>#NAME?</v>
      </c>
      <c r="CZ341" s="2" t="e">
        <f ca="1">_xll.BDH($C$328,"INVENT_DAYS","FQ3 2016","FQ3 2016","Currency=INR","Period=FQ","BEST_FPERIOD_OVERRIDE=FQ","FILING_STATUS=OR","EQY_CONSOLIDATED=Y","FA_ADJUSTED=GAAP","Sort=A","Dates=H","DateFormat=P","Fill=—","Direction=H","UseDPDF=Y")</f>
        <v>#NAME?</v>
      </c>
      <c r="DA341" s="4" t="e">
        <f ca="1">_xll.BDH($C$328,"ACCOUNTS_PAYABLE_TURNOVER","FQ3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341" s="2" t="e">
        <f ca="1">_xll.BDH($C$328,"ACCOUNTS_PAYABLE_TURNOVER_DAYS","FQ3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341" s="4" t="e">
        <f ca="1">_xll.BDH($C$328,"CASH_CONVERSION_CYCLE","FQ3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341" s="4" t="e">
        <f ca="1">_xll.BDH($C$328,"INV_TO_CASH_DAYS","FQ3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341" s="5" t="e">
        <f ca="1">_xll.BDH($C$328,"BS_INVENTORIES","FQ3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341" s="3" t="e">
        <f ca="1">_xll.BDH($C$328,"INVTRY_RAW_MATERIALS","FQ3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341" s="3" t="e">
        <f ca="1">_xll.BDH($C$328,"INVTRY_IN_PROGRESS","FQ3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341" s="3" t="e">
        <f ca="1">_xll.BDH($C$328,"INVTRY_FINISHED_GOODS","FQ3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341" s="3" t="e">
        <f ca="1">_xll.BDH($C$328,"BS_OTHER_INV","FQ3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342" spans="1:113" x14ac:dyDescent="0.3">
      <c r="A342" s="6"/>
      <c r="B342" s="6"/>
      <c r="C342" s="6"/>
      <c r="D342" s="6"/>
      <c r="E342" t="s">
        <v>81</v>
      </c>
      <c r="F342" t="e">
        <f ca="1">_xll.BDH($C$328,"RETURN_COM_EQY","FQ4 2016","FQ4 2016","Currency=INR","Period=FQ","BEST_FPERIOD_OVERRIDE=FQ","FILING_STATUS=OR","EQY_CONSOLIDATED=Y","FA_ADJUSTED=GAAP","Sort=A","Dates=H","DateFormat=P","Fill=—","Direction=H","UseDPDF=Y")</f>
        <v>#NAME?</v>
      </c>
      <c r="G342" t="e">
        <f ca="1">_xll.BDH($C$328,"RETURN_ON_ASSET","FQ4 2016","FQ4 2016","Currency=INR","Period=FQ","BEST_FPERIOD_OVERRIDE=FQ","FILING_STATUS=OR","EQY_CONSOLIDATED=Y","FA_ADJUSTED=GAAP","Sort=A","Dates=H","DateFormat=P","Fill=—","Direction=H","UseDPDF=Y")</f>
        <v>#NAME?</v>
      </c>
      <c r="H342" t="e">
        <f ca="1">_xll.BDH($C$328,"RETURN_ON_CAP","FQ4 2016","FQ4 2016","Currency=INR","Period=FQ","BEST_FPERIOD_OVERRIDE=FQ","FILING_STATUS=OR","EQY_CONSOLIDATED=Y","FA_ADJUSTED=GAAP","Sort=A","Dates=H","DateFormat=P","Fill=—","Direction=H","UseDPDF=Y")</f>
        <v>#NAME?</v>
      </c>
      <c r="I342" t="e">
        <f ca="1">_xll.BDH($C$328,"RETURN_ON_INV_CAPITAL","FQ4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342" t="e">
        <f ca="1">_xll.BDH($C$328,"EBITDA_TO_REVENUE","FQ4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342" t="e">
        <f ca="1">_xll.BDH($C$328,"OPER_MARGIN","FQ4 2016","FQ4 2016","Currency=INR","Period=FQ","BEST_FPERIOD_OVERRIDE=FQ","FILING_STATUS=OR","EQY_CONSOLIDATED=Y","FA_ADJUSTED=GAAP","Sort=A","Dates=H","DateFormat=P","Fill=—","Direction=H","UseDPDF=Y")</f>
        <v>#NAME?</v>
      </c>
      <c r="L342" t="e">
        <f ca="1">_xll.BDH($C$328,"INCREMENTAL_OPERATING_MARGIN","FQ4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342" t="e">
        <f ca="1">_xll.BDH($C$328,"PRETAX_INC_TO_NET_SALES","FQ4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342" t="e">
        <f ca="1">_xll.BDH($C$328,"INC_BEF_XO_ITEMS_TO_NET_SALES","FQ4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342" t="e">
        <f ca="1">_xll.BDH($C$328,"PROF_MARGIN","FQ4 2016","FQ4 2016","Currency=INR","Period=FQ","BEST_FPERIOD_OVERRIDE=FQ","FILING_STATUS=OR","EQY_CONSOLIDATED=Y","FA_ADJUSTED=GAAP","Sort=A","Dates=H","DateFormat=P","Fill=—","Direction=H","UseDPDF=Y")</f>
        <v>#NAME?</v>
      </c>
      <c r="P342" t="e">
        <f ca="1">_xll.BDH($C$328,"NET_INCOME_TO_COMMON_MARGIN","FQ4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342" t="e">
        <f ca="1">_xll.BDH($C$328,"EFF_TAX_RATE","FQ4 2016","FQ4 2016","Currency=INR","Period=FQ","BEST_FPERIOD_OVERRIDE=FQ","FILING_STATUS=OR","EQY_CONSOLIDATED=Y","FA_ADJUSTED=GAAP","Sort=A","Dates=H","DateFormat=P","Fill=—","Direction=H","UseDPDF=Y")</f>
        <v>#NAME?</v>
      </c>
      <c r="R342" t="e">
        <f ca="1">_xll.BDH($C$328,"DVD_PAYOUT_RATIO","FQ4 2016","FQ4 2016","Currency=INR","Period=FQ","BEST_FPERIOD_OVERRIDE=FQ","FILING_STATUS=OR","EQY_CONSOLIDATED=Y","FA_ADJUSTED=GAAP","Sort=A","Dates=H","DateFormat=P","Fill=—","Direction=H","UseDPDF=Y")</f>
        <v>#NAME?</v>
      </c>
      <c r="S342" t="e">
        <f ca="1">_xll.BDH($C$328,"SUSTAIN_GROWTH_RT","FQ4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342" s="2" t="e">
        <f ca="1">_xll.BDH($C$328,"SALES_GROWTH","FQ4 2016","FQ4 2016","Currency=INR","Period=FQ","BEST_FPERIOD_OVERRIDE=FQ","FILING_STATUS=OR","EQY_CONSOLIDATED=Y","FA_ADJUSTED=GAAP","Sort=A","Dates=H","DateFormat=P","Fill=—","Direction=H","UseDPDF=Y")</f>
        <v>#NAME?</v>
      </c>
      <c r="U342" s="2" t="e">
        <f ca="1">_xll.BDH($C$328,"EBITDA_GROWTH","FQ4 2016","FQ4 2016","Currency=INR","Period=FQ","BEST_FPERIOD_OVERRIDE=FQ","FILING_STATUS=OR","EQY_CONSOLIDATED=Y","FA_ADJUSTED=GAAP","Sort=A","Dates=H","DateFormat=P","Fill=—","Direction=H","UseDPDF=Y")</f>
        <v>#NAME?</v>
      </c>
      <c r="V342" s="2" t="e">
        <f ca="1">_xll.BDH($C$328,"OPER_INC_GROWTH","FQ4 2016","FQ4 2016","Currency=INR","Period=FQ","BEST_FPERIOD_OVERRIDE=FQ","FILING_STATUS=OR","EQY_CONSOLIDATED=Y","FA_ADJUSTED=GAAP","Sort=A","Dates=H","DateFormat=P","Fill=—","Direction=H","UseDPDF=Y")</f>
        <v>#NAME?</v>
      </c>
      <c r="W342" s="2" t="e">
        <f ca="1">_xll.BDH($C$328,"EARN_FOR_COM_GROWTH","FQ4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342" s="2" t="e">
        <f ca="1">_xll.BDH($C$328,"DILUTED_EPS_AFT_XO_ITEMS_GROWTH","FQ4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342" s="2" t="e">
        <f ca="1">_xll.BDH($C$328,"DIVIDEND_PER_SHARE_1_YEAR_GROWTH","FQ4 2016","FQ4 2016","Currency=INR","Period=FQ","BEST_FPERIOD_OVERRIDE=FQ","FILING_STATUS=OR","EQY_CONSOLIDATED=Y","Sort=A","Dates=H","DateFormat=P","Fill=—","Direction=H","UseDPDF=Y")</f>
        <v>#NAME?</v>
      </c>
      <c r="Z342" s="2" t="e">
        <f ca="1">_xll.BDH($C$328,"ACCOUNTS_RECEIVABLE_GROWTH","FQ4 2016","FQ4 2016","Currency=INR","Period=FQ","BEST_FPERIOD_OVERRIDE=FQ","FILING_STATUS=OR","EQY_CONSOLIDATED=Y","Sort=A","Dates=H","DateFormat=P","Fill=—","Direction=H","UseDPDF=Y")</f>
        <v>#NAME?</v>
      </c>
      <c r="AA342" s="2" t="e">
        <f ca="1">_xll.BDH($C$328,"INVENTORY_GROWTH","FQ4 2016","FQ4 2016","Currency=INR","Period=FQ","BEST_FPERIOD_OVERRIDE=FQ","FILING_STATUS=OR","EQY_CONSOLIDATED=Y","Sort=A","Dates=H","DateFormat=P","Fill=—","Direction=H","UseDPDF=Y")</f>
        <v>#NAME?</v>
      </c>
      <c r="AB342" s="2" t="e">
        <f ca="1">_xll.BDH($C$328,"NET_FIXED_ASSETS_1_YEAR_GROWTH","FQ4 2016","FQ4 2016","Currency=INR","Period=FQ","BEST_FPERIOD_OVERRIDE=FQ","FILING_STATUS=OR","EQY_CONSOLIDATED=Y","Sort=A","Dates=H","DateFormat=P","Fill=—","Direction=H","UseDPDF=Y")</f>
        <v>#NAME?</v>
      </c>
      <c r="AC342" s="2" t="e">
        <f ca="1">_xll.BDH($C$328,"ASSET_GROWTH","FQ4 2016","FQ4 2016","Currency=INR","Period=FQ","BEST_FPERIOD_OVERRIDE=FQ","FILING_STATUS=OR","EQY_CONSOLIDATED=Y","Sort=A","Dates=H","DateFormat=P","Fill=—","Direction=H","UseDPDF=Y")</f>
        <v>#NAME?</v>
      </c>
      <c r="AD342" s="2" t="e">
        <f ca="1">_xll.BDH($C$328,"MODIFIED_WORK_CAP_GROWTH","FQ4 2016","FQ4 2016","Currency=INR","Period=FQ","BEST_FPERIOD_OVERRIDE=FQ","FILING_STATUS=OR","EQY_CONSOLIDATED=Y","Sort=A","Dates=H","DateFormat=P","Fill=—","Direction=H","UseDPDF=Y")</f>
        <v>#NAME?</v>
      </c>
      <c r="AE342" s="2" t="e">
        <f ca="1">_xll.BDH($C$328,"WORK_CAP_GROWTH","FQ4 2016","FQ4 2016","Currency=INR","Period=FQ","BEST_FPERIOD_OVERRIDE=FQ","FILING_STATUS=OR","EQY_CONSOLIDATED=Y","Sort=A","Dates=H","DateFormat=P","Fill=—","Direction=H","UseDPDF=Y")</f>
        <v>#NAME?</v>
      </c>
      <c r="AF342" s="2" t="e">
        <f ca="1">_xll.BDH($C$328,"ACCOUNTS_PAYABLE_GROWTH_1YR","FQ4 2016","FQ4 2016","Currency=INR","Period=FQ","BEST_FPERIOD_OVERRIDE=FQ","FILING_STATUS=OR","EQY_CONSOLIDATED=Y","Sort=A","Dates=H","DateFormat=P","Fill=—","Direction=H","UseDPDF=Y")</f>
        <v>#NAME?</v>
      </c>
      <c r="AG342" s="2" t="e">
        <f ca="1">_xll.BDH($C$328,"SHORT_TERM_DEBT_1_YEAR_GROWTH","FQ4 2016","FQ4 2016","Currency=INR","Period=FQ","BEST_FPERIOD_OVERRIDE=FQ","FILING_STATUS=OR","EQY_CONSOLIDATED=Y","Sort=A","Dates=H","DateFormat=P","Fill=—","Direction=H","UseDPDF=Y")</f>
        <v>#NAME?</v>
      </c>
      <c r="AH342" s="2" t="e">
        <f ca="1">_xll.BDH($C$328,"TOTAL_DEBT_1_YEAR_GROWTH","FQ4 2016","FQ4 2016","Currency=INR","Period=FQ","BEST_FPERIOD_OVERRIDE=FQ","FILING_STATUS=OR","EQY_CONSOLIDATED=Y","Sort=A","Dates=H","DateFormat=P","Fill=—","Direction=H","UseDPDF=Y")</f>
        <v>#NAME?</v>
      </c>
      <c r="AI342" s="2" t="e">
        <f ca="1">_xll.BDH($C$328,"TOTAL_EQUITY_1_YEAR_GROWTH","FQ4 2016","FQ4 2016","Currency=INR","Period=FQ","BEST_FPERIOD_OVERRIDE=FQ","FILING_STATUS=OR","EQY_CONSOLIDATED=Y","Sort=A","Dates=H","DateFormat=P","Fill=—","Direction=H","UseDPDF=Y")</f>
        <v>#NAME?</v>
      </c>
      <c r="AJ342" s="2" t="e">
        <f ca="1">_xll.BDH($C$328,"GROWTH_IN_CAP","FQ4 2016","FQ4 2016","Currency=INR","Period=FQ","BEST_FPERIOD_OVERRIDE=FQ","FILING_STATUS=OR","EQY_CONSOLIDATED=Y","Sort=A","Dates=H","DateFormat=P","Fill=—","Direction=H","UseDPDF=Y")</f>
        <v>#NAME?</v>
      </c>
      <c r="AK342" s="2" t="e">
        <f ca="1">_xll.BDH($C$328,"BVPS_GROWTH","FQ4 2016","FQ4 2016","Currency=INR","Period=FQ","BEST_FPERIOD_OVERRIDE=FQ","FILING_STATUS=OR","EQY_CONSOLIDATED=Y","Sort=A","Dates=H","DateFormat=P","Fill=—","Direction=H","UseDPDF=Y")</f>
        <v>#NAME?</v>
      </c>
      <c r="AL342" s="2" t="e">
        <f ca="1">_xll.BDH($C$328,"CASH_FLOW_GROWTH","FQ4 2016","FQ4 2016","Currency=INR","Period=FQ","BEST_FPERIOD_OVERRIDE=FQ","FILING_STATUS=OR","EQY_CONSOLIDATED=Y","Sort=A","Dates=H","DateFormat=P","Fill=—","Direction=H","UseDPDF=Y")</f>
        <v>#NAME?</v>
      </c>
      <c r="AM342" s="2" t="e">
        <f ca="1">_xll.BDH($C$328,"GEO_GROW_NET_SALES","FQ4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342" s="2" t="e">
        <f ca="1">_xll.BDH($C$328,"GEO_GROW_EBITDA","FQ4 2016","FQ4 2016","Currency=INR","Period=FQ","BEST_FPERIOD_OVERRIDE=FQ","FILING_STATUS=OR","EQY_CONSOLIDATED=Y","FA_ADJUSTED=GAAP","Sort=A","Dates=H","DateFormat=P","Fill=—","Direction=H","UseDPDF=Y")</f>
        <v>#NAME?</v>
      </c>
      <c r="AO342" s="2" t="e">
        <f ca="1">_xll.BDH($C$328,"GEO_GROW_OPER_INC","FQ4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342" s="2" t="e">
        <f ca="1">_xll.BDH($C$328,"NET_INCOME_TO_COMMON_5_YR_GROWTH","FQ4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342" s="2" t="e">
        <f ca="1">_xll.BDH($C$328,"5Y_GEO_GROWTH_DILUTED_EPS","FQ4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342" s="2" t="e">
        <f ca="1">_xll.BDH($C$328,"GEO_GROW_DVD_PER_SH","FQ4 2016","FQ4 2016","Currency=INR","Period=FQ","BEST_FPERIOD_OVERRIDE=FQ","FILING_STATUS=OR","EQY_CONSOLIDATED=Y","Sort=A","Dates=H","DateFormat=P","Fill=—","Direction=H","UseDPDF=Y")</f>
        <v>#NAME?</v>
      </c>
      <c r="AS342" s="2" t="e">
        <f ca="1">_xll.BDH($C$328,"ACCOUNTS_RECEIVABLE_5_YR_GROWTH","FQ4 2016","FQ4 2016","Currency=INR","Period=FQ","BEST_FPERIOD_OVERRIDE=FQ","FILING_STATUS=OR","EQY_CONSOLIDATED=Y","Sort=A","Dates=H","DateFormat=P","Fill=—","Direction=H","UseDPDF=Y")</f>
        <v>#NAME?</v>
      </c>
      <c r="AT342" s="2" t="e">
        <f ca="1">_xll.BDH($C$328,"INVENTORY_5_YEAR_GROWTH","FQ4 2016","FQ4 2016","Currency=INR","Period=FQ","BEST_FPERIOD_OVERRIDE=FQ","FILING_STATUS=OR","EQY_CONSOLIDATED=Y","Sort=A","Dates=H","DateFormat=P","Fill=—","Direction=H","UseDPDF=Y")</f>
        <v>#NAME?</v>
      </c>
      <c r="AU342" s="2" t="e">
        <f ca="1">_xll.BDH($C$328,"NET_FIXED_ASSETS_5_YEAR_GROWTH","FQ4 2016","FQ4 2016","Currency=INR","Period=FQ","BEST_FPERIOD_OVERRIDE=FQ","FILING_STATUS=OR","EQY_CONSOLIDATED=Y","Sort=A","Dates=H","DateFormat=P","Fill=—","Direction=H","UseDPDF=Y")</f>
        <v>#NAME?</v>
      </c>
      <c r="AV342" s="2" t="e">
        <f ca="1">_xll.BDH($C$328,"GEO_GROW_TOT_ASSET","FQ4 2016","FQ4 2016","Currency=INR","Period=FQ","BEST_FPERIOD_OVERRIDE=FQ","FILING_STATUS=OR","EQY_CONSOLIDATED=Y","Sort=A","Dates=H","DateFormat=P","Fill=—","Direction=H","UseDPDF=Y")</f>
        <v>#NAME?</v>
      </c>
      <c r="AW342" s="2" t="e">
        <f ca="1">_xll.BDH($C$328,"MODIFIED_WORKING_CPTL_5YR_GRWTH","FQ4 2016","FQ4 2016","Currency=INR","Period=FQ","BEST_FPERIOD_OVERRIDE=FQ","FILING_STATUS=OR","EQY_CONSOLIDATED=Y","Sort=A","Dates=H","DateFormat=P","Fill=—","Direction=H","UseDPDF=Y")</f>
        <v>#NAME?</v>
      </c>
      <c r="AX342" s="2" t="e">
        <f ca="1">_xll.BDH($C$328,"WORKING_CAPITAL_5_YEAR_GROWTH","FQ4 2016","FQ4 2016","Currency=INR","Period=FQ","BEST_FPERIOD_OVERRIDE=FQ","FILING_STATUS=OR","EQY_CONSOLIDATED=Y","Sort=A","Dates=H","DateFormat=P","Fill=—","Direction=H","UseDPDF=Y")</f>
        <v>#NAME?</v>
      </c>
      <c r="AY342" s="2" t="e">
        <f ca="1">_xll.BDH($C$328,"ACCOUNTS_PAYABLE_5_YEAR_GROWTH","FQ4 2016","FQ4 2016","Currency=INR","Period=FQ","BEST_FPERIOD_OVERRIDE=FQ","FILING_STATUS=OR","EQY_CONSOLIDATED=Y","Sort=A","Dates=H","DateFormat=P","Fill=—","Direction=H","UseDPDF=Y")</f>
        <v>#NAME?</v>
      </c>
      <c r="AZ342" s="2" t="e">
        <f ca="1">_xll.BDH($C$328,"SHORT_TERM_DEBT_5_YEAR_GROWTH","FQ4 2016","FQ4 2016","Currency=INR","Period=FQ","BEST_FPERIOD_OVERRIDE=FQ","FILING_STATUS=OR","EQY_CONSOLIDATED=Y","Sort=A","Dates=H","DateFormat=P","Fill=—","Direction=H","UseDPDF=Y")</f>
        <v>#NAME?</v>
      </c>
      <c r="BA342" s="2" t="e">
        <f ca="1">_xll.BDH($C$328,"TOTAL_DEBT_5_YEAR_GROWTH","FQ4 2016","FQ4 2016","Currency=INR","Period=FQ","BEST_FPERIOD_OVERRIDE=FQ","FILING_STATUS=OR","EQY_CONSOLIDATED=Y","Sort=A","Dates=H","DateFormat=P","Fill=—","Direction=H","UseDPDF=Y")</f>
        <v>#NAME?</v>
      </c>
      <c r="BB342" s="2" t="e">
        <f ca="1">_xll.BDH($C$328,"GEO_GROW_TOT_SHRHLDR_EQY","FQ4 2016","FQ4 2016","Currency=INR","Period=FQ","BEST_FPERIOD_OVERRIDE=FQ","FILING_STATUS=OR","EQY_CONSOLIDATED=Y","Sort=A","Dates=H","DateFormat=P","Fill=—","Direction=H","UseDPDF=Y")</f>
        <v>#NAME?</v>
      </c>
      <c r="BC342" s="2" t="e">
        <f ca="1">_xll.BDH($C$328,"TOTAL_CAPITAL_5_YEAR_GROWTH","FQ4 2016","FQ4 2016","Currency=INR","Period=FQ","BEST_FPERIOD_OVERRIDE=FQ","FILING_STATUS=OR","EQY_CONSOLIDATED=Y","Sort=A","Dates=H","DateFormat=P","Fill=—","Direction=H","UseDPDF=Y")</f>
        <v>#NAME?</v>
      </c>
      <c r="BD342" s="2" t="e">
        <f ca="1">_xll.BDH($C$328,"GEO_GROW_BOOK_VAL","FQ4 2016","FQ4 2016","Currency=INR","Period=FQ","BEST_FPERIOD_OVERRIDE=FQ","FILING_STATUS=OR","EQY_CONSOLIDATED=Y","Sort=A","Dates=H","DateFormat=P","Fill=—","Direction=H","UseDPDF=Y")</f>
        <v>#NAME?</v>
      </c>
      <c r="BE342" s="2" t="e">
        <f ca="1">_xll.BDH($C$328,"GEO_GROW_CASH_OPER_ACT","FQ4 2016","FQ4 2016","Currency=INR","Period=FQ","BEST_FPERIOD_OVERRIDE=FQ","FILING_STATUS=OR","EQY_CONSOLIDATED=Y","Sort=A","Dates=H","DateFormat=P","Fill=—","Direction=H","UseDPDF=Y")</f>
        <v>#NAME?</v>
      </c>
      <c r="BF342" s="2" t="e">
        <f ca="1">_xll.BDH($C$328,"REVENUE_SEQUENTIAL_GROWTH","FQ4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342" s="2" t="e">
        <f ca="1">_xll.BDH($C$328,"EBITDA_SEQUENTIAL_GROWTH","FQ4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342" s="2" t="e">
        <f ca="1">_xll.BDH($C$328,"OPERATING_INCOME_SEQ_GROWTH","FQ4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342" s="2" t="e">
        <f ca="1">_xll.BDH($C$328,"NET_INCOME_TO_COMMON_SEQ_GROWTH","FQ4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342" s="2" t="e">
        <f ca="1">_xll.BDH($C$328,"EPS_DILUTED_SEQUENTIAL_GROWTH","FQ4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342" s="2" t="e">
        <f ca="1">_xll.BDH($C$328,"DPS_SEQUENTIAL_GROWTH","FQ4 2016","FQ4 2016","Currency=INR","Period=FQ","BEST_FPERIOD_OVERRIDE=FQ","FILING_STATUS=OR","EQY_CONSOLIDATED=Y","Sort=A","Dates=H","DateFormat=P","Fill=—","Direction=H","UseDPDF=Y")</f>
        <v>#NAME?</v>
      </c>
      <c r="BL342" s="2" t="e">
        <f ca="1">_xll.BDH($C$328,"ACCOUNTS_RECEIVABLE_SEQ_GROWTH","FQ4 2016","FQ4 2016","Currency=INR","Period=FQ","BEST_FPERIOD_OVERRIDE=FQ","FILING_STATUS=OR","EQY_CONSOLIDATED=Y","Sort=A","Dates=H","DateFormat=P","Fill=—","Direction=H","UseDPDF=Y")</f>
        <v>#NAME?</v>
      </c>
      <c r="BM342" s="2" t="e">
        <f ca="1">_xll.BDH($C$328,"INVENTORY_SEQUENTIAL_GROWTH","FQ4 2016","FQ4 2016","Currency=INR","Period=FQ","BEST_FPERIOD_OVERRIDE=FQ","FILING_STATUS=OR","EQY_CONSOLIDATED=Y","Sort=A","Dates=H","DateFormat=P","Fill=—","Direction=H","UseDPDF=Y")</f>
        <v>#NAME?</v>
      </c>
      <c r="BN342" s="2" t="e">
        <f ca="1">_xll.BDH($C$328,"FIXED_ASSETS_SEQUENTIAL_GROWTH","FQ4 2016","FQ4 2016","Currency=INR","Period=FQ","BEST_FPERIOD_OVERRIDE=FQ","FILING_STATUS=OR","EQY_CONSOLIDATED=Y","Sort=A","Dates=H","DateFormat=P","Fill=—","Direction=H","UseDPDF=Y")</f>
        <v>#NAME?</v>
      </c>
      <c r="BO342" s="2" t="e">
        <f ca="1">_xll.BDH($C$328,"TOTAL_ASSETS_SEQUENTIAL_GROWTH","FQ4 2016","FQ4 2016","Currency=INR","Period=FQ","BEST_FPERIOD_OVERRIDE=FQ","FILING_STATUS=OR","EQY_CONSOLIDATED=Y","Sort=A","Dates=H","DateFormat=P","Fill=—","Direction=H","UseDPDF=Y")</f>
        <v>#NAME?</v>
      </c>
      <c r="BP342" s="2" t="e">
        <f ca="1">_xll.BDH($C$328,"MODIFIED_WORKING_CPTL_SEQ_GRWTH","FQ4 2016","FQ4 2016","Currency=INR","Period=FQ","BEST_FPERIOD_OVERRIDE=FQ","FILING_STATUS=OR","EQY_CONSOLIDATED=Y","Sort=A","Dates=H","DateFormat=P","Fill=—","Direction=H","UseDPDF=Y")</f>
        <v>#NAME?</v>
      </c>
      <c r="BQ342" s="2" t="e">
        <f ca="1">_xll.BDH($C$328,"WORKING_CAPITAL_SEQ_GROWTH","FQ4 2016","FQ4 2016","Currency=INR","Period=FQ","BEST_FPERIOD_OVERRIDE=FQ","FILING_STATUS=OR","EQY_CONSOLIDATED=Y","Sort=A","Dates=H","DateFormat=P","Fill=—","Direction=H","UseDPDF=Y")</f>
        <v>#NAME?</v>
      </c>
      <c r="BR342" s="2" t="e">
        <f ca="1">_xll.BDH($C$328,"ACCOUNTS_PAYABLE_SEQ_GROWTH","FQ4 2016","FQ4 2016","Currency=INR","Period=FQ","BEST_FPERIOD_OVERRIDE=FQ","FILING_STATUS=OR","EQY_CONSOLIDATED=Y","Sort=A","Dates=H","DateFormat=P","Fill=—","Direction=H","UseDPDF=Y")</f>
        <v>#NAME?</v>
      </c>
      <c r="BS342" s="2" t="e">
        <f ca="1">_xll.BDH($C$328,"ST_DEBT_SEQUENTIAL_GROWTH","FQ4 2016","FQ4 2016","Currency=INR","Period=FQ","BEST_FPERIOD_OVERRIDE=FQ","FILING_STATUS=OR","EQY_CONSOLIDATED=Y","Sort=A","Dates=H","DateFormat=P","Fill=—","Direction=H","UseDPDF=Y")</f>
        <v>#NAME?</v>
      </c>
      <c r="BT342" s="2" t="e">
        <f ca="1">_xll.BDH($C$328,"TOTAL_DEBT_SEQUENTIAL_GROWTH","FQ4 2016","FQ4 2016","Currency=INR","Period=FQ","BEST_FPERIOD_OVERRIDE=FQ","FILING_STATUS=OR","EQY_CONSOLIDATED=Y","Sort=A","Dates=H","DateFormat=P","Fill=—","Direction=H","UseDPDF=Y")</f>
        <v>#NAME?</v>
      </c>
      <c r="BU342" s="2" t="e">
        <f ca="1">_xll.BDH($C$328,"TOTAL_EQUITY_SEQUENTIAL_GROWTH","FQ4 2016","FQ4 2016","Currency=INR","Period=FQ","BEST_FPERIOD_OVERRIDE=FQ","FILING_STATUS=OR","EQY_CONSOLIDATED=Y","Sort=A","Dates=H","DateFormat=P","Fill=—","Direction=H","UseDPDF=Y")</f>
        <v>#NAME?</v>
      </c>
      <c r="BV342" s="2" t="e">
        <f ca="1">_xll.BDH($C$328,"TOTAL_CAPITAL_SEQUENTIAL_GROWTH","FQ4 2016","FQ4 2016","Currency=INR","Period=FQ","BEST_FPERIOD_OVERRIDE=FQ","FILING_STATUS=OR","EQY_CONSOLIDATED=Y","Sort=A","Dates=H","DateFormat=P","Fill=—","Direction=H","UseDPDF=Y")</f>
        <v>#NAME?</v>
      </c>
      <c r="BW342" s="2" t="e">
        <f ca="1">_xll.BDH($C$328,"BPS_SEQUENTIAL_GROWTH","FQ4 2016","FQ4 2016","Currency=INR","Period=FQ","BEST_FPERIOD_OVERRIDE=FQ","FILING_STATUS=OR","EQY_CONSOLIDATED=Y","Sort=A","Dates=H","DateFormat=P","Fill=—","Direction=H","UseDPDF=Y")</f>
        <v>#NAME?</v>
      </c>
      <c r="BX342" s="2" t="e">
        <f ca="1">_xll.BDH($C$328,"CFO_SEQUENTIAL_GROWTH","FQ4 2016","FQ4 2016","Currency=INR","Period=FQ","BEST_FPERIOD_OVERRIDE=FQ","FILING_STATUS=OR","EQY_CONSOLIDATED=Y","Sort=A","Dates=H","DateFormat=P","Fill=—","Direction=H","UseDPDF=Y")</f>
        <v>#NAME?</v>
      </c>
      <c r="BY342" s="3" t="e">
        <f ca="1">_xll.BDH($C$328,"SHORT_AND_LONG_TERM_DEBT","FQ4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342" s="3" t="e">
        <f ca="1">_xll.BDH($C$328,"BS_ST_BORROW","FQ4 2016","FQ4 2016","Currency=INR","Period=FQ","BEST_FPERIOD_OVERRIDE=FQ","FILING_STATUS=OR","EQY_CONSOLIDATED=Y","SCALING_FORMAT=MLN","Sort=A","Dates=H","DateFormat=P","Fill=—","Direction=H","UseDPDF=Y")</f>
        <v>#NAME?</v>
      </c>
      <c r="CA342" s="3" t="e">
        <f ca="1">_xll.BDH($C$328,"BS_LT_BORROW","FQ4 2016","FQ4 2016","Currency=INR","Period=FQ","BEST_FPERIOD_OVERRIDE=FQ","FILING_STATUS=OR","EQY_CONSOLIDATED=Y","SCALING_FORMAT=MLN","Sort=A","Dates=H","DateFormat=P","Fill=—","Direction=H","UseDPDF=Y")</f>
        <v>#NAME?</v>
      </c>
      <c r="CB342" s="2" t="e">
        <f ca="1">_xll.BDH($C$328,"TOT_DEBT_TO_EBITDA","FQ4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342" s="2" t="e">
        <f ca="1">_xll.BDH($C$328,"NET_DEBT_TO_EBITDA","FQ4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342" s="2" t="e">
        <f ca="1">_xll.BDH($C$328,"TOTAL_DEBT_TO_EBIT","FQ4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342" s="2" t="e">
        <f ca="1">_xll.BDH($C$328,"NET_DEBT_TO_EBIT","FQ4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342" s="2" t="e">
        <f ca="1">_xll.BDH($C$328,"EBITDA_TO_INTEREST_EXPN","FQ4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342" s="2" t="e">
        <f ca="1">_xll.BDH($C$328,"COM_EQY_TO_TOT_ASSET","FQ4 2016","FQ4 2016","Currency=INR","Period=FQ","BEST_FPERIOD_OVERRIDE=FQ","FILING_STATUS=OR","EQY_CONSOLIDATED=Y","Sort=A","Dates=H","DateFormat=P","Fill=—","Direction=H","UseDPDF=Y")</f>
        <v>#NAME?</v>
      </c>
      <c r="CH342" s="2" t="e">
        <f ca="1">_xll.BDH($C$328,"LT_DEBT_TO_TOT_EQY","FQ4 2016","FQ4 2016","Currency=INR","Period=FQ","BEST_FPERIOD_OVERRIDE=FQ","FILING_STATUS=OR","EQY_CONSOLIDATED=Y","Sort=A","Dates=H","DateFormat=P","Fill=—","Direction=H","UseDPDF=Y")</f>
        <v>#NAME?</v>
      </c>
      <c r="CI342" s="2" t="e">
        <f ca="1">_xll.BDH($C$328,"LT_DEBT_TO_TOT_CAP","FQ4 2016","FQ4 2016","Currency=INR","Period=FQ","BEST_FPERIOD_OVERRIDE=FQ","FILING_STATUS=OR","EQY_CONSOLIDATED=Y","Sort=A","Dates=H","DateFormat=P","Fill=—","Direction=H","UseDPDF=Y")</f>
        <v>#NAME?</v>
      </c>
      <c r="CJ342" s="2" t="e">
        <f ca="1">_xll.BDH($C$328,"LT_DEBT_TO_TOT_ASSET","FQ4 2016","FQ4 2016","Currency=INR","Period=FQ","BEST_FPERIOD_OVERRIDE=FQ","FILING_STATUS=OR","EQY_CONSOLIDATED=Y","Sort=A","Dates=H","DateFormat=P","Fill=—","Direction=H","UseDPDF=Y")</f>
        <v>#NAME?</v>
      </c>
      <c r="CK342" s="2" t="e">
        <f ca="1">_xll.BDH($C$328,"TOT_DEBT_TO_TOT_EQY","FQ4 2016","FQ4 2016","Currency=INR","Period=FQ","BEST_FPERIOD_OVERRIDE=FQ","FILING_STATUS=OR","EQY_CONSOLIDATED=Y","Sort=A","Dates=H","DateFormat=P","Fill=—","Direction=H","UseDPDF=Y")</f>
        <v>#NAME?</v>
      </c>
      <c r="CL342" s="2" t="e">
        <f ca="1">_xll.BDH($C$328,"TOT_DEBT_TO_TOT_CAP","FQ4 2016","FQ4 2016","Currency=INR","Period=FQ","BEST_FPERIOD_OVERRIDE=FQ","FILING_STATUS=OR","EQY_CONSOLIDATED=Y","Sort=A","Dates=H","DateFormat=P","Fill=—","Direction=H","UseDPDF=Y")</f>
        <v>#NAME?</v>
      </c>
      <c r="CM342" s="2" t="e">
        <f ca="1">_xll.BDH($C$328,"TOT_DEBT_TO_TOT_ASSET","FQ4 2016","FQ4 2016","Currency=INR","Period=FQ","BEST_FPERIOD_OVERRIDE=FQ","FILING_STATUS=OR","EQY_CONSOLIDATED=Y","Sort=A","Dates=H","DateFormat=P","Fill=—","Direction=H","UseDPDF=Y")</f>
        <v>#NAME?</v>
      </c>
      <c r="CN342" s="2" t="e">
        <f ca="1">_xll.BDH($C$328,"NET_DEBT_TO_SHRHLDR_EQTY","FQ4 2016","FQ4 2016","Currency=INR","Period=FQ","BEST_FPERIOD_OVERRIDE=FQ","FILING_STATUS=OR","EQY_CONSOLIDATED=Y","Sort=A","Dates=H","DateFormat=P","Fill=—","Direction=H","UseDPDF=Y")</f>
        <v>#NAME?</v>
      </c>
      <c r="CO342" s="2" t="e">
        <f ca="1">_xll.BDH($C$328,"NET_DEBT_%_CAPITAL","FQ4 2016","FQ4 2016","Currency=INR","Period=FQ","BEST_FPERIOD_OVERRIDE=FQ","FILING_STATUS=OR","EQY_CONSOLIDATED=Y","Sort=A","Dates=H","DateFormat=P","Fill=—","Direction=H","UseDPDF=Y")</f>
        <v>#NAME?</v>
      </c>
      <c r="CP342" s="3" t="e">
        <f ca="1">_xll.BDH($C$328,"EBITDA","FQ4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342" s="3" t="e">
        <f ca="1">_xll.BDH($C$328,"EBITDA_AFTER_CAPEX","FQ4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342" s="3" t="e">
        <f ca="1">_xll.BDH($C$328,"IS_OPER_INC","FQ4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342" s="2" t="e">
        <f ca="1">_xll.BDH($C$328,"CASH_RATIO","FQ4 2016","FQ4 2016","Currency=INR","Period=FQ","BEST_FPERIOD_OVERRIDE=FQ","FILING_STATUS=OR","EQY_CONSOLIDATED=Y","Sort=A","Dates=H","DateFormat=P","Fill=—","Direction=H","UseDPDF=Y")</f>
        <v>#NAME?</v>
      </c>
      <c r="CT342" s="2" t="e">
        <f ca="1">_xll.BDH($C$328,"CUR_RATIO","FQ4 2016","FQ4 2016","Currency=INR","Period=FQ","BEST_FPERIOD_OVERRIDE=FQ","FILING_STATUS=OR","EQY_CONSOLIDATED=Y","Sort=A","Dates=H","DateFormat=P","Fill=—","Direction=H","UseDPDF=Y")</f>
        <v>#NAME?</v>
      </c>
      <c r="CU342" s="2" t="e">
        <f ca="1">_xll.BDH($C$328,"QUICK_RATIO","FQ4 2016","FQ4 2016","Currency=INR","Period=FQ","BEST_FPERIOD_OVERRIDE=FQ","FILING_STATUS=OR","EQY_CONSOLIDATED=Y","Sort=A","Dates=H","DateFormat=P","Fill=—","Direction=H","UseDPDF=Y")</f>
        <v>#NAME?</v>
      </c>
      <c r="CV342" s="2" t="e">
        <f ca="1">_xll.BDH($C$328,"ALTMAN_Z_SCORE","FQ4 2016","FQ4 2016","Currency=INR","Period=FQ","BEST_FPERIOD_OVERRIDE=FQ","FILING_STATUS=OR","EQY_CONSOLIDATED=Y","Sort=A","Dates=H","DateFormat=P","Fill=—","Direction=H","UseDPDF=Y")</f>
        <v>#NAME?</v>
      </c>
      <c r="CW342" s="4" t="e">
        <f ca="1">_xll.BDH($C$328,"ACCT_RCV_TURN","FQ4 2016","FQ4 2016","Currency=INR","Period=FQ","BEST_FPERIOD_OVERRIDE=FQ","FILING_STATUS=OR","EQY_CONSOLIDATED=Y","FA_ADJUSTED=GAAP","Sort=A","Dates=H","DateFormat=P","Fill=—","Direction=H","UseDPDF=Y")</f>
        <v>#NAME?</v>
      </c>
      <c r="CX342" s="2" t="e">
        <f ca="1">_xll.BDH($C$328,"ACCT_RCV_DAYS","FQ4 2016","FQ4 2016","Currency=INR","Period=FQ","BEST_FPERIOD_OVERRIDE=FQ","FILING_STATUS=OR","EQY_CONSOLIDATED=Y","FA_ADJUSTED=GAAP","Sort=A","Dates=H","DateFormat=P","Fill=—","Direction=H","UseDPDF=Y")</f>
        <v>#NAME?</v>
      </c>
      <c r="CY342" s="4" t="e">
        <f ca="1">_xll.BDH($C$328,"INVENT_TURN","FQ4 2016","FQ4 2016","Currency=INR","Period=FQ","BEST_FPERIOD_OVERRIDE=FQ","FILING_STATUS=OR","EQY_CONSOLIDATED=Y","FA_ADJUSTED=GAAP","Sort=A","Dates=H","DateFormat=P","Fill=—","Direction=H","UseDPDF=Y")</f>
        <v>#NAME?</v>
      </c>
      <c r="CZ342" s="2" t="e">
        <f ca="1">_xll.BDH($C$328,"INVENT_DAYS","FQ4 2016","FQ4 2016","Currency=INR","Period=FQ","BEST_FPERIOD_OVERRIDE=FQ","FILING_STATUS=OR","EQY_CONSOLIDATED=Y","FA_ADJUSTED=GAAP","Sort=A","Dates=H","DateFormat=P","Fill=—","Direction=H","UseDPDF=Y")</f>
        <v>#NAME?</v>
      </c>
      <c r="DA342" s="4" t="e">
        <f ca="1">_xll.BDH($C$328,"ACCOUNTS_PAYABLE_TURNOVER","FQ4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342" s="2" t="e">
        <f ca="1">_xll.BDH($C$328,"ACCOUNTS_PAYABLE_TURNOVER_DAYS","FQ4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342" s="4" t="e">
        <f ca="1">_xll.BDH($C$328,"CASH_CONVERSION_CYCLE","FQ4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342" s="4" t="e">
        <f ca="1">_xll.BDH($C$328,"INV_TO_CASH_DAYS","FQ4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342" s="5" t="e">
        <f ca="1">_xll.BDH($C$328,"BS_INVENTORIES","FQ4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342" s="3" t="e">
        <f ca="1">_xll.BDH($C$328,"INVTRY_RAW_MATERIALS","FQ4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342" s="3" t="e">
        <f ca="1">_xll.BDH($C$328,"INVTRY_IN_PROGRESS","FQ4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342" s="3" t="e">
        <f ca="1">_xll.BDH($C$328,"INVTRY_FINISHED_GOODS","FQ4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342" s="3" t="e">
        <f ca="1">_xll.BDH($C$328,"BS_OTHER_INV","FQ4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343" spans="1:113" x14ac:dyDescent="0.3">
      <c r="A343" s="6"/>
      <c r="B343" s="6"/>
      <c r="C343" s="6"/>
      <c r="D343" s="6" t="s">
        <v>84</v>
      </c>
      <c r="E343" t="s">
        <v>77</v>
      </c>
      <c r="F343" t="e">
        <f ca="1">_xll.BDH($C$328,"RETURN_COM_EQY","FY 2017","FY 2017","Currency=INR","Period=FY","BEST_FPERIOD_OVERRIDE=FY","FILING_STATUS=OR","EQY_CONSOLIDATED=Y","FA_ADJUSTED=GAAP","Sort=A","Dates=H","DateFormat=P","Fill=—","Direction=H","UseDPDF=Y")</f>
        <v>#NAME?</v>
      </c>
      <c r="G343" t="e">
        <f ca="1">_xll.BDH($C$328,"RETURN_ON_ASSET","FY 2017","FY 2017","Currency=INR","Period=FY","BEST_FPERIOD_OVERRIDE=FY","FILING_STATUS=OR","EQY_CONSOLIDATED=Y","FA_ADJUSTED=GAAP","Sort=A","Dates=H","DateFormat=P","Fill=—","Direction=H","UseDPDF=Y")</f>
        <v>#NAME?</v>
      </c>
      <c r="H343" t="e">
        <f ca="1">_xll.BDH($C$328,"RETURN_ON_CAP","FY 2017","FY 2017","Currency=INR","Period=FY","BEST_FPERIOD_OVERRIDE=FY","FILING_STATUS=OR","EQY_CONSOLIDATED=Y","FA_ADJUSTED=GAAP","Sort=A","Dates=H","DateFormat=P","Fill=—","Direction=H","UseDPDF=Y")</f>
        <v>#NAME?</v>
      </c>
      <c r="I343" t="e">
        <f ca="1">_xll.BDH($C$328,"RETURN_ON_INV_CAPITAL","FY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343" t="e">
        <f ca="1">_xll.BDH($C$328,"EBITDA_TO_REVENUE","FY 2017","FY 2017","Currency=INR","Period=FY","BEST_FPERIOD_OVERRIDE=FY","FILING_STATUS=OR","EQY_CONSOLIDATED=Y","FA_ADJUSTED=GAAP","Sort=A","Dates=H","DateFormat=P","Fill=—","Direction=H","UseDPDF=Y")</f>
        <v>#NAME?</v>
      </c>
      <c r="K343" t="e">
        <f ca="1">_xll.BDH($C$328,"OPER_MARGIN","FY 2017","FY 2017","Currency=INR","Period=FY","BEST_FPERIOD_OVERRIDE=FY","FILING_STATUS=OR","EQY_CONSOLIDATED=Y","FA_ADJUSTED=GAAP","Sort=A","Dates=H","DateFormat=P","Fill=—","Direction=H","UseDPDF=Y")</f>
        <v>#NAME?</v>
      </c>
      <c r="L343" t="e">
        <f ca="1">_xll.BDH($C$328,"INCREMENTAL_OPERATING_MARGIN","FY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343" t="e">
        <f ca="1">_xll.BDH($C$328,"PRETAX_INC_TO_NET_SALES","FY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343" t="e">
        <f ca="1">_xll.BDH($C$328,"INC_BEF_XO_ITEMS_TO_NET_SALES","FY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343" t="e">
        <f ca="1">_xll.BDH($C$328,"PROF_MARGIN","FY 2017","FY 2017","Currency=INR","Period=FY","BEST_FPERIOD_OVERRIDE=FY","FILING_STATUS=OR","EQY_CONSOLIDATED=Y","FA_ADJUSTED=GAAP","Sort=A","Dates=H","DateFormat=P","Fill=—","Direction=H","UseDPDF=Y")</f>
        <v>#NAME?</v>
      </c>
      <c r="P343" t="e">
        <f ca="1">_xll.BDH($C$328,"NET_INCOME_TO_COMMON_MARGIN","FY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343" t="e">
        <f ca="1">_xll.BDH($C$328,"EFF_TAX_RATE","FY 2017","FY 2017","Currency=INR","Period=FY","BEST_FPERIOD_OVERRIDE=FY","FILING_STATUS=OR","EQY_CONSOLIDATED=Y","FA_ADJUSTED=GAAP","Sort=A","Dates=H","DateFormat=P","Fill=—","Direction=H","UseDPDF=Y")</f>
        <v>#NAME?</v>
      </c>
      <c r="R343" t="e">
        <f ca="1">_xll.BDH($C$328,"DVD_PAYOUT_RATIO","FY 2017","FY 2017","Currency=INR","Period=FY","BEST_FPERIOD_OVERRIDE=FY","FILING_STATUS=OR","EQY_CONSOLIDATED=Y","FA_ADJUSTED=GAAP","Sort=A","Dates=H","DateFormat=P","Fill=—","Direction=H","UseDPDF=Y")</f>
        <v>#NAME?</v>
      </c>
      <c r="S343" t="e">
        <f ca="1">_xll.BDH($C$328,"SUSTAIN_GROWTH_RT","FY 2017","FY 2017","Currency=INR","Period=FY","BEST_FPERIOD_OVERRIDE=FY","FILING_STATUS=OR","EQY_CONSOLIDATED=Y","FA_ADJUSTED=GAAP","Sort=A","Dates=H","DateFormat=P","Fill=—","Direction=H","UseDPDF=Y")</f>
        <v>#NAME?</v>
      </c>
      <c r="T343" s="2" t="e">
        <f ca="1">_xll.BDH($C$328,"SALES_GROWTH","FY 2017","FY 2017","Currency=INR","Period=FY","BEST_FPERIOD_OVERRIDE=FY","FILING_STATUS=OR","EQY_CONSOLIDATED=Y","FA_ADJUSTED=GAAP","Sort=A","Dates=H","DateFormat=P","Fill=—","Direction=H","UseDPDF=Y")</f>
        <v>#NAME?</v>
      </c>
      <c r="U343" s="2" t="e">
        <f ca="1">_xll.BDH($C$328,"EBITDA_GROWTH","FY 2017","FY 2017","Currency=INR","Period=FY","BEST_FPERIOD_OVERRIDE=FY","FILING_STATUS=OR","EQY_CONSOLIDATED=Y","FA_ADJUSTED=GAAP","Sort=A","Dates=H","DateFormat=P","Fill=—","Direction=H","UseDPDF=Y")</f>
        <v>#NAME?</v>
      </c>
      <c r="V343" s="2" t="e">
        <f ca="1">_xll.BDH($C$328,"OPER_INC_GROWTH","FY 2017","FY 2017","Currency=INR","Period=FY","BEST_FPERIOD_OVERRIDE=FY","FILING_STATUS=OR","EQY_CONSOLIDATED=Y","FA_ADJUSTED=GAAP","Sort=A","Dates=H","DateFormat=P","Fill=—","Direction=H","UseDPDF=Y")</f>
        <v>#NAME?</v>
      </c>
      <c r="W343" s="2" t="e">
        <f ca="1">_xll.BDH($C$328,"EARN_FOR_COM_GROWTH","FY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343" s="2" t="e">
        <f ca="1">_xll.BDH($C$328,"DILUTED_EPS_AFT_XO_ITEMS_GROWTH","FY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343" s="2" t="e">
        <f ca="1">_xll.BDH($C$328,"DIVIDEND_PER_SHARE_1_YEAR_GROWTH","FY 2017","FY 2017","Currency=INR","Period=FY","BEST_FPERIOD_OVERRIDE=FY","FILING_STATUS=OR","EQY_CONSOLIDATED=Y","Sort=A","Dates=H","DateFormat=P","Fill=—","Direction=H","UseDPDF=Y")</f>
        <v>#NAME?</v>
      </c>
      <c r="Z343" s="2" t="e">
        <f ca="1">_xll.BDH($C$328,"ACCOUNTS_RECEIVABLE_GROWTH","FY 2017","FY 2017","Currency=INR","Period=FY","BEST_FPERIOD_OVERRIDE=FY","FILING_STATUS=OR","EQY_CONSOLIDATED=Y","Sort=A","Dates=H","DateFormat=P","Fill=—","Direction=H","UseDPDF=Y")</f>
        <v>#NAME?</v>
      </c>
      <c r="AA343" s="2" t="e">
        <f ca="1">_xll.BDH($C$328,"INVENTORY_GROWTH","FY 2017","FY 2017","Currency=INR","Period=FY","BEST_FPERIOD_OVERRIDE=FY","FILING_STATUS=OR","EQY_CONSOLIDATED=Y","Sort=A","Dates=H","DateFormat=P","Fill=—","Direction=H","UseDPDF=Y")</f>
        <v>#NAME?</v>
      </c>
      <c r="AB343" s="2" t="e">
        <f ca="1">_xll.BDH($C$328,"NET_FIXED_ASSETS_1_YEAR_GROWTH","FY 2017","FY 2017","Currency=INR","Period=FY","BEST_FPERIOD_OVERRIDE=FY","FILING_STATUS=OR","EQY_CONSOLIDATED=Y","Sort=A","Dates=H","DateFormat=P","Fill=—","Direction=H","UseDPDF=Y")</f>
        <v>#NAME?</v>
      </c>
      <c r="AC343" s="2" t="e">
        <f ca="1">_xll.BDH($C$328,"ASSET_GROWTH","FY 2017","FY 2017","Currency=INR","Period=FY","BEST_FPERIOD_OVERRIDE=FY","FILING_STATUS=OR","EQY_CONSOLIDATED=Y","Sort=A","Dates=H","DateFormat=P","Fill=—","Direction=H","UseDPDF=Y")</f>
        <v>#NAME?</v>
      </c>
      <c r="AD343" s="2" t="e">
        <f ca="1">_xll.BDH($C$328,"MODIFIED_WORK_CAP_GROWTH","FY 2017","FY 2017","Currency=INR","Period=FY","BEST_FPERIOD_OVERRIDE=FY","FILING_STATUS=OR","EQY_CONSOLIDATED=Y","Sort=A","Dates=H","DateFormat=P","Fill=—","Direction=H","UseDPDF=Y")</f>
        <v>#NAME?</v>
      </c>
      <c r="AE343" s="2" t="e">
        <f ca="1">_xll.BDH($C$328,"WORK_CAP_GROWTH","FY 2017","FY 2017","Currency=INR","Period=FY","BEST_FPERIOD_OVERRIDE=FY","FILING_STATUS=OR","EQY_CONSOLIDATED=Y","Sort=A","Dates=H","DateFormat=P","Fill=—","Direction=H","UseDPDF=Y")</f>
        <v>#NAME?</v>
      </c>
      <c r="AF343" s="2" t="e">
        <f ca="1">_xll.BDH($C$328,"ACCOUNTS_PAYABLE_GROWTH_1YR","FY 2017","FY 2017","Currency=INR","Period=FY","BEST_FPERIOD_OVERRIDE=FY","FILING_STATUS=OR","EQY_CONSOLIDATED=Y","Sort=A","Dates=H","DateFormat=P","Fill=—","Direction=H","UseDPDF=Y")</f>
        <v>#NAME?</v>
      </c>
      <c r="AG343" s="2" t="e">
        <f ca="1">_xll.BDH($C$328,"SHORT_TERM_DEBT_1_YEAR_GROWTH","FY 2017","FY 2017","Currency=INR","Period=FY","BEST_FPERIOD_OVERRIDE=FY","FILING_STATUS=OR","EQY_CONSOLIDATED=Y","Sort=A","Dates=H","DateFormat=P","Fill=—","Direction=H","UseDPDF=Y")</f>
        <v>#NAME?</v>
      </c>
      <c r="AH343" s="2" t="e">
        <f ca="1">_xll.BDH($C$328,"TOTAL_DEBT_1_YEAR_GROWTH","FY 2017","FY 2017","Currency=INR","Period=FY","BEST_FPERIOD_OVERRIDE=FY","FILING_STATUS=OR","EQY_CONSOLIDATED=Y","Sort=A","Dates=H","DateFormat=P","Fill=—","Direction=H","UseDPDF=Y")</f>
        <v>#NAME?</v>
      </c>
      <c r="AI343" s="2" t="e">
        <f ca="1">_xll.BDH($C$328,"TOTAL_EQUITY_1_YEAR_GROWTH","FY 2017","FY 2017","Currency=INR","Period=FY","BEST_FPERIOD_OVERRIDE=FY","FILING_STATUS=OR","EQY_CONSOLIDATED=Y","Sort=A","Dates=H","DateFormat=P","Fill=—","Direction=H","UseDPDF=Y")</f>
        <v>#NAME?</v>
      </c>
      <c r="AJ343" s="2" t="e">
        <f ca="1">_xll.BDH($C$328,"GROWTH_IN_CAP","FY 2017","FY 2017","Currency=INR","Period=FY","BEST_FPERIOD_OVERRIDE=FY","FILING_STATUS=OR","EQY_CONSOLIDATED=Y","Sort=A","Dates=H","DateFormat=P","Fill=—","Direction=H","UseDPDF=Y")</f>
        <v>#NAME?</v>
      </c>
      <c r="AK343" s="2" t="e">
        <f ca="1">_xll.BDH($C$328,"BVPS_GROWTH","FY 2017","FY 2017","Currency=INR","Period=FY","BEST_FPERIOD_OVERRIDE=FY","FILING_STATUS=OR","EQY_CONSOLIDATED=Y","Sort=A","Dates=H","DateFormat=P","Fill=—","Direction=H","UseDPDF=Y")</f>
        <v>#NAME?</v>
      </c>
      <c r="AL343" s="2" t="e">
        <f ca="1">_xll.BDH($C$328,"CASH_FLOW_GROWTH","FY 2017","FY 2017","Currency=INR","Period=FY","BEST_FPERIOD_OVERRIDE=FY","FILING_STATUS=OR","EQY_CONSOLIDATED=Y","Sort=A","Dates=H","DateFormat=P","Fill=—","Direction=H","UseDPDF=Y")</f>
        <v>#NAME?</v>
      </c>
      <c r="AM343" s="2" t="e">
        <f ca="1">_xll.BDH($C$328,"GEO_GROW_NET_SALES","FY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343" s="2" t="e">
        <f ca="1">_xll.BDH($C$328,"GEO_GROW_EBITDA","FY 2017","FY 2017","Currency=INR","Period=FY","BEST_FPERIOD_OVERRIDE=FY","FILING_STATUS=OR","EQY_CONSOLIDATED=Y","FA_ADJUSTED=GAAP","Sort=A","Dates=H","DateFormat=P","Fill=—","Direction=H","UseDPDF=Y")</f>
        <v>#NAME?</v>
      </c>
      <c r="AO343" s="2" t="e">
        <f ca="1">_xll.BDH($C$328,"GEO_GROW_OPER_INC","FY 2017","FY 2017","Currency=INR","Period=FY","BEST_FPERIOD_OVERRIDE=FY","FILING_STATUS=OR","EQY_CONSOLIDATED=Y","FA_ADJUSTED=GAAP","Sort=A","Dates=H","DateFormat=P","Fill=—","Direction=H","UseDPDF=Y")</f>
        <v>#NAME?</v>
      </c>
      <c r="AP343" s="2" t="e">
        <f ca="1">_xll.BDH($C$328,"NET_INCOME_TO_COMMON_5_YR_GROWTH","FY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343" s="2" t="e">
        <f ca="1">_xll.BDH($C$328,"5Y_GEO_GROWTH_DILUTED_EPS","FY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343" s="2" t="e">
        <f ca="1">_xll.BDH($C$328,"GEO_GROW_DVD_PER_SH","FY 2017","FY 2017","Currency=INR","Period=FY","BEST_FPERIOD_OVERRIDE=FY","FILING_STATUS=OR","EQY_CONSOLIDATED=Y","Sort=A","Dates=H","DateFormat=P","Fill=—","Direction=H","UseDPDF=Y")</f>
        <v>#NAME?</v>
      </c>
      <c r="AS343" s="2" t="e">
        <f ca="1">_xll.BDH($C$328,"ACCOUNTS_RECEIVABLE_5_YR_GROWTH","FY 2017","FY 2017","Currency=INR","Period=FY","BEST_FPERIOD_OVERRIDE=FY","FILING_STATUS=OR","EQY_CONSOLIDATED=Y","Sort=A","Dates=H","DateFormat=P","Fill=—","Direction=H","UseDPDF=Y")</f>
        <v>#NAME?</v>
      </c>
      <c r="AT343" s="2" t="e">
        <f ca="1">_xll.BDH($C$328,"INVENTORY_5_YEAR_GROWTH","FY 2017","FY 2017","Currency=INR","Period=FY","BEST_FPERIOD_OVERRIDE=FY","FILING_STATUS=OR","EQY_CONSOLIDATED=Y","Sort=A","Dates=H","DateFormat=P","Fill=—","Direction=H","UseDPDF=Y")</f>
        <v>#NAME?</v>
      </c>
      <c r="AU343" s="2" t="e">
        <f ca="1">_xll.BDH($C$328,"NET_FIXED_ASSETS_5_YEAR_GROWTH","FY 2017","FY 2017","Currency=INR","Period=FY","BEST_FPERIOD_OVERRIDE=FY","FILING_STATUS=OR","EQY_CONSOLIDATED=Y","Sort=A","Dates=H","DateFormat=P","Fill=—","Direction=H","UseDPDF=Y")</f>
        <v>#NAME?</v>
      </c>
      <c r="AV343" s="2" t="e">
        <f ca="1">_xll.BDH($C$328,"GEO_GROW_TOT_ASSET","FY 2017","FY 2017","Currency=INR","Period=FY","BEST_FPERIOD_OVERRIDE=FY","FILING_STATUS=OR","EQY_CONSOLIDATED=Y","Sort=A","Dates=H","DateFormat=P","Fill=—","Direction=H","UseDPDF=Y")</f>
        <v>#NAME?</v>
      </c>
      <c r="AW343" s="2" t="e">
        <f ca="1">_xll.BDH($C$328,"MODIFIED_WORKING_CPTL_5YR_GRWTH","FY 2017","FY 2017","Currency=INR","Period=FY","BEST_FPERIOD_OVERRIDE=FY","FILING_STATUS=OR","EQY_CONSOLIDATED=Y","Sort=A","Dates=H","DateFormat=P","Fill=—","Direction=H","UseDPDF=Y")</f>
        <v>#NAME?</v>
      </c>
      <c r="AX343" s="2" t="e">
        <f ca="1">_xll.BDH($C$328,"WORKING_CAPITAL_5_YEAR_GROWTH","FY 2017","FY 2017","Currency=INR","Period=FY","BEST_FPERIOD_OVERRIDE=FY","FILING_STATUS=OR","EQY_CONSOLIDATED=Y","Sort=A","Dates=H","DateFormat=P","Fill=—","Direction=H","UseDPDF=Y")</f>
        <v>#NAME?</v>
      </c>
      <c r="AY343" s="2" t="e">
        <f ca="1">_xll.BDH($C$328,"ACCOUNTS_PAYABLE_5_YEAR_GROWTH","FY 2017","FY 2017","Currency=INR","Period=FY","BEST_FPERIOD_OVERRIDE=FY","FILING_STATUS=OR","EQY_CONSOLIDATED=Y","Sort=A","Dates=H","DateFormat=P","Fill=—","Direction=H","UseDPDF=Y")</f>
        <v>#NAME?</v>
      </c>
      <c r="AZ343" s="2" t="e">
        <f ca="1">_xll.BDH($C$328,"SHORT_TERM_DEBT_5_YEAR_GROWTH","FY 2017","FY 2017","Currency=INR","Period=FY","BEST_FPERIOD_OVERRIDE=FY","FILING_STATUS=OR","EQY_CONSOLIDATED=Y","Sort=A","Dates=H","DateFormat=P","Fill=—","Direction=H","UseDPDF=Y")</f>
        <v>#NAME?</v>
      </c>
      <c r="BA343" s="2" t="e">
        <f ca="1">_xll.BDH($C$328,"TOTAL_DEBT_5_YEAR_GROWTH","FY 2017","FY 2017","Currency=INR","Period=FY","BEST_FPERIOD_OVERRIDE=FY","FILING_STATUS=OR","EQY_CONSOLIDATED=Y","Sort=A","Dates=H","DateFormat=P","Fill=—","Direction=H","UseDPDF=Y")</f>
        <v>#NAME?</v>
      </c>
      <c r="BB343" s="2" t="e">
        <f ca="1">_xll.BDH($C$328,"GEO_GROW_TOT_SHRHLDR_EQY","FY 2017","FY 2017","Currency=INR","Period=FY","BEST_FPERIOD_OVERRIDE=FY","FILING_STATUS=OR","EQY_CONSOLIDATED=Y","Sort=A","Dates=H","DateFormat=P","Fill=—","Direction=H","UseDPDF=Y")</f>
        <v>#NAME?</v>
      </c>
      <c r="BC343" s="2" t="e">
        <f ca="1">_xll.BDH($C$328,"TOTAL_CAPITAL_5_YEAR_GROWTH","FY 2017","FY 2017","Currency=INR","Period=FY","BEST_FPERIOD_OVERRIDE=FY","FILING_STATUS=OR","EQY_CONSOLIDATED=Y","Sort=A","Dates=H","DateFormat=P","Fill=—","Direction=H","UseDPDF=Y")</f>
        <v>#NAME?</v>
      </c>
      <c r="BD343" s="2" t="e">
        <f ca="1">_xll.BDH($C$328,"GEO_GROW_BOOK_VAL","FY 2017","FY 2017","Currency=INR","Period=FY","BEST_FPERIOD_OVERRIDE=FY","FILING_STATUS=OR","EQY_CONSOLIDATED=Y","Sort=A","Dates=H","DateFormat=P","Fill=—","Direction=H","UseDPDF=Y")</f>
        <v>#NAME?</v>
      </c>
      <c r="BE343" s="2" t="e">
        <f ca="1">_xll.BDH($C$328,"GEO_GROW_CASH_OPER_ACT","FY 2017","FY 2017","Currency=INR","Period=FY","BEST_FPERIOD_OVERRIDE=FY","FILING_STATUS=OR","EQY_CONSOLIDATED=Y","Sort=A","Dates=H","DateFormat=P","Fill=—","Direction=H","UseDPDF=Y")</f>
        <v>#NAME?</v>
      </c>
      <c r="BF343" s="2" t="e">
        <f ca="1">_xll.BDH($C$328,"REVENUE_SEQUENTIAL_GROWTH","FY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343" s="2" t="e">
        <f ca="1">_xll.BDH($C$328,"EBITDA_SEQUENTIAL_GROWTH","FY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343" s="2" t="e">
        <f ca="1">_xll.BDH($C$328,"OPERATING_INCOME_SEQ_GROWTH","FY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343" s="2" t="e">
        <f ca="1">_xll.BDH($C$328,"NET_INCOME_TO_COMMON_SEQ_GROWTH","FY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343" s="2" t="e">
        <f ca="1">_xll.BDH($C$328,"EPS_DILUTED_SEQUENTIAL_GROWTH","FY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343" s="2" t="e">
        <f ca="1">_xll.BDH($C$328,"DPS_SEQUENTIAL_GROWTH","FY 2017","FY 2017","Currency=INR","Period=FY","BEST_FPERIOD_OVERRIDE=FY","FILING_STATUS=OR","EQY_CONSOLIDATED=Y","Sort=A","Dates=H","DateFormat=P","Fill=—","Direction=H","UseDPDF=Y")</f>
        <v>#NAME?</v>
      </c>
      <c r="BL343" s="2" t="e">
        <f ca="1">_xll.BDH($C$328,"ACCOUNTS_RECEIVABLE_SEQ_GROWTH","FY 2017","FY 2017","Currency=INR","Period=FY","BEST_FPERIOD_OVERRIDE=FY","FILING_STATUS=OR","EQY_CONSOLIDATED=Y","Sort=A","Dates=H","DateFormat=P","Fill=—","Direction=H","UseDPDF=Y")</f>
        <v>#NAME?</v>
      </c>
      <c r="BM343" s="2" t="e">
        <f ca="1">_xll.BDH($C$328,"INVENTORY_SEQUENTIAL_GROWTH","FY 2017","FY 2017","Currency=INR","Period=FY","BEST_FPERIOD_OVERRIDE=FY","FILING_STATUS=OR","EQY_CONSOLIDATED=Y","Sort=A","Dates=H","DateFormat=P","Fill=—","Direction=H","UseDPDF=Y")</f>
        <v>#NAME?</v>
      </c>
      <c r="BN343" s="2" t="e">
        <f ca="1">_xll.BDH($C$328,"FIXED_ASSETS_SEQUENTIAL_GROWTH","FY 2017","FY 2017","Currency=INR","Period=FY","BEST_FPERIOD_OVERRIDE=FY","FILING_STATUS=OR","EQY_CONSOLIDATED=Y","Sort=A","Dates=H","DateFormat=P","Fill=—","Direction=H","UseDPDF=Y")</f>
        <v>#NAME?</v>
      </c>
      <c r="BO343" s="2" t="e">
        <f ca="1">_xll.BDH($C$328,"TOTAL_ASSETS_SEQUENTIAL_GROWTH","FY 2017","FY 2017","Currency=INR","Period=FY","BEST_FPERIOD_OVERRIDE=FY","FILING_STATUS=OR","EQY_CONSOLIDATED=Y","Sort=A","Dates=H","DateFormat=P","Fill=—","Direction=H","UseDPDF=Y")</f>
        <v>#NAME?</v>
      </c>
      <c r="BP343" s="2" t="e">
        <f ca="1">_xll.BDH($C$328,"MODIFIED_WORKING_CPTL_SEQ_GRWTH","FY 2017","FY 2017","Currency=INR","Period=FY","BEST_FPERIOD_OVERRIDE=FY","FILING_STATUS=OR","EQY_CONSOLIDATED=Y","Sort=A","Dates=H","DateFormat=P","Fill=—","Direction=H","UseDPDF=Y")</f>
        <v>#NAME?</v>
      </c>
      <c r="BQ343" s="2" t="e">
        <f ca="1">_xll.BDH($C$328,"WORKING_CAPITAL_SEQ_GROWTH","FY 2017","FY 2017","Currency=INR","Period=FY","BEST_FPERIOD_OVERRIDE=FY","FILING_STATUS=OR","EQY_CONSOLIDATED=Y","Sort=A","Dates=H","DateFormat=P","Fill=—","Direction=H","UseDPDF=Y")</f>
        <v>#NAME?</v>
      </c>
      <c r="BR343" s="2" t="e">
        <f ca="1">_xll.BDH($C$328,"ACCOUNTS_PAYABLE_SEQ_GROWTH","FY 2017","FY 2017","Currency=INR","Period=FY","BEST_FPERIOD_OVERRIDE=FY","FILING_STATUS=OR","EQY_CONSOLIDATED=Y","Sort=A","Dates=H","DateFormat=P","Fill=—","Direction=H","UseDPDF=Y")</f>
        <v>#NAME?</v>
      </c>
      <c r="BS343" s="2" t="e">
        <f ca="1">_xll.BDH($C$328,"ST_DEBT_SEQUENTIAL_GROWTH","FY 2017","FY 2017","Currency=INR","Period=FY","BEST_FPERIOD_OVERRIDE=FY","FILING_STATUS=OR","EQY_CONSOLIDATED=Y","Sort=A","Dates=H","DateFormat=P","Fill=—","Direction=H","UseDPDF=Y")</f>
        <v>#NAME?</v>
      </c>
      <c r="BT343" s="2" t="e">
        <f ca="1">_xll.BDH($C$328,"TOTAL_DEBT_SEQUENTIAL_GROWTH","FY 2017","FY 2017","Currency=INR","Period=FY","BEST_FPERIOD_OVERRIDE=FY","FILING_STATUS=OR","EQY_CONSOLIDATED=Y","Sort=A","Dates=H","DateFormat=P","Fill=—","Direction=H","UseDPDF=Y")</f>
        <v>#NAME?</v>
      </c>
      <c r="BU343" s="2" t="e">
        <f ca="1">_xll.BDH($C$328,"TOTAL_EQUITY_SEQUENTIAL_GROWTH","FY 2017","FY 2017","Currency=INR","Period=FY","BEST_FPERIOD_OVERRIDE=FY","FILING_STATUS=OR","EQY_CONSOLIDATED=Y","Sort=A","Dates=H","DateFormat=P","Fill=—","Direction=H","UseDPDF=Y")</f>
        <v>#NAME?</v>
      </c>
      <c r="BV343" s="2" t="e">
        <f ca="1">_xll.BDH($C$328,"TOTAL_CAPITAL_SEQUENTIAL_GROWTH","FY 2017","FY 2017","Currency=INR","Period=FY","BEST_FPERIOD_OVERRIDE=FY","FILING_STATUS=OR","EQY_CONSOLIDATED=Y","Sort=A","Dates=H","DateFormat=P","Fill=—","Direction=H","UseDPDF=Y")</f>
        <v>#NAME?</v>
      </c>
      <c r="BW343" s="2" t="e">
        <f ca="1">_xll.BDH($C$328,"BPS_SEQUENTIAL_GROWTH","FY 2017","FY 2017","Currency=INR","Period=FY","BEST_FPERIOD_OVERRIDE=FY","FILING_STATUS=OR","EQY_CONSOLIDATED=Y","Sort=A","Dates=H","DateFormat=P","Fill=—","Direction=H","UseDPDF=Y")</f>
        <v>#NAME?</v>
      </c>
      <c r="BX343" s="2" t="e">
        <f ca="1">_xll.BDH($C$328,"CFO_SEQUENTIAL_GROWTH","FY 2017","FY 2017","Currency=INR","Period=FY","BEST_FPERIOD_OVERRIDE=FY","FILING_STATUS=OR","EQY_CONSOLIDATED=Y","Sort=A","Dates=H","DateFormat=P","Fill=—","Direction=H","UseDPDF=Y")</f>
        <v>#NAME?</v>
      </c>
      <c r="BY343" s="3" t="e">
        <f ca="1">_xll.BDH($C$328,"SHORT_AND_LONG_TERM_DEBT","FY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343" s="3" t="e">
        <f ca="1">_xll.BDH($C$328,"BS_ST_BORROW","FY 2017","FY 2017","Currency=INR","Period=FY","BEST_FPERIOD_OVERRIDE=FY","FILING_STATUS=OR","EQY_CONSOLIDATED=Y","SCALING_FORMAT=MLN","Sort=A","Dates=H","DateFormat=P","Fill=—","Direction=H","UseDPDF=Y")</f>
        <v>#NAME?</v>
      </c>
      <c r="CA343" s="3" t="e">
        <f ca="1">_xll.BDH($C$328,"BS_LT_BORROW","FY 2017","FY 2017","Currency=INR","Period=FY","BEST_FPERIOD_OVERRIDE=FY","FILING_STATUS=OR","EQY_CONSOLIDATED=Y","SCALING_FORMAT=MLN","Sort=A","Dates=H","DateFormat=P","Fill=—","Direction=H","UseDPDF=Y")</f>
        <v>#NAME?</v>
      </c>
      <c r="CB343" s="2" t="e">
        <f ca="1">_xll.BDH($C$328,"TOT_DEBT_TO_EBITDA","FY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343" s="2" t="e">
        <f ca="1">_xll.BDH($C$328,"NET_DEBT_TO_EBITDA","FY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343" s="2" t="e">
        <f ca="1">_xll.BDH($C$328,"TOTAL_DEBT_TO_EBIT","FY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343" s="2" t="e">
        <f ca="1">_xll.BDH($C$328,"NET_DEBT_TO_EBIT","FY 2017","FY 2017","Currency=INR","Period=FY","BEST_FPERIOD_OVERRIDE=FY","FILING_STATUS=OR","EQY_CONSOLIDATED=Y","FA_ADJUSTED=GAAP","Sort=A","Dates=H","DateFormat=P","Fill=—","Direction=H","UseDPDF=Y")</f>
        <v>#NAME?</v>
      </c>
      <c r="CF343" s="2" t="e">
        <f ca="1">_xll.BDH($C$328,"EBITDA_TO_INTEREST_EXPN","FY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343" s="2" t="e">
        <f ca="1">_xll.BDH($C$328,"COM_EQY_TO_TOT_ASSET","FY 2017","FY 2017","Currency=INR","Period=FY","BEST_FPERIOD_OVERRIDE=FY","FILING_STATUS=OR","EQY_CONSOLIDATED=Y","Sort=A","Dates=H","DateFormat=P","Fill=—","Direction=H","UseDPDF=Y")</f>
        <v>#NAME?</v>
      </c>
      <c r="CH343" s="2" t="e">
        <f ca="1">_xll.BDH($C$328,"LT_DEBT_TO_TOT_EQY","FY 2017","FY 2017","Currency=INR","Period=FY","BEST_FPERIOD_OVERRIDE=FY","FILING_STATUS=OR","EQY_CONSOLIDATED=Y","Sort=A","Dates=H","DateFormat=P","Fill=—","Direction=H","UseDPDF=Y")</f>
        <v>#NAME?</v>
      </c>
      <c r="CI343" s="2" t="e">
        <f ca="1">_xll.BDH($C$328,"LT_DEBT_TO_TOT_CAP","FY 2017","FY 2017","Currency=INR","Period=FY","BEST_FPERIOD_OVERRIDE=FY","FILING_STATUS=OR","EQY_CONSOLIDATED=Y","Sort=A","Dates=H","DateFormat=P","Fill=—","Direction=H","UseDPDF=Y")</f>
        <v>#NAME?</v>
      </c>
      <c r="CJ343" s="2" t="e">
        <f ca="1">_xll.BDH($C$328,"LT_DEBT_TO_TOT_ASSET","FY 2017","FY 2017","Currency=INR","Period=FY","BEST_FPERIOD_OVERRIDE=FY","FILING_STATUS=OR","EQY_CONSOLIDATED=Y","Sort=A","Dates=H","DateFormat=P","Fill=—","Direction=H","UseDPDF=Y")</f>
        <v>#NAME?</v>
      </c>
      <c r="CK343" s="2" t="e">
        <f ca="1">_xll.BDH($C$328,"TOT_DEBT_TO_TOT_EQY","FY 2017","FY 2017","Currency=INR","Period=FY","BEST_FPERIOD_OVERRIDE=FY","FILING_STATUS=OR","EQY_CONSOLIDATED=Y","Sort=A","Dates=H","DateFormat=P","Fill=—","Direction=H","UseDPDF=Y")</f>
        <v>#NAME?</v>
      </c>
      <c r="CL343" s="2" t="e">
        <f ca="1">_xll.BDH($C$328,"TOT_DEBT_TO_TOT_CAP","FY 2017","FY 2017","Currency=INR","Period=FY","BEST_FPERIOD_OVERRIDE=FY","FILING_STATUS=OR","EQY_CONSOLIDATED=Y","Sort=A","Dates=H","DateFormat=P","Fill=—","Direction=H","UseDPDF=Y")</f>
        <v>#NAME?</v>
      </c>
      <c r="CM343" s="2" t="e">
        <f ca="1">_xll.BDH($C$328,"TOT_DEBT_TO_TOT_ASSET","FY 2017","FY 2017","Currency=INR","Period=FY","BEST_FPERIOD_OVERRIDE=FY","FILING_STATUS=OR","EQY_CONSOLIDATED=Y","Sort=A","Dates=H","DateFormat=P","Fill=—","Direction=H","UseDPDF=Y")</f>
        <v>#NAME?</v>
      </c>
      <c r="CN343" s="2" t="e">
        <f ca="1">_xll.BDH($C$328,"NET_DEBT_TO_SHRHLDR_EQTY","FY 2017","FY 2017","Currency=INR","Period=FY","BEST_FPERIOD_OVERRIDE=FY","FILING_STATUS=OR","EQY_CONSOLIDATED=Y","Sort=A","Dates=H","DateFormat=P","Fill=—","Direction=H","UseDPDF=Y")</f>
        <v>#NAME?</v>
      </c>
      <c r="CO343" s="2" t="e">
        <f ca="1">_xll.BDH($C$328,"NET_DEBT_%_CAPITAL","FY 2017","FY 2017","Currency=INR","Period=FY","BEST_FPERIOD_OVERRIDE=FY","FILING_STATUS=OR","EQY_CONSOLIDATED=Y","Sort=A","Dates=H","DateFormat=P","Fill=—","Direction=H","UseDPDF=Y")</f>
        <v>#NAME?</v>
      </c>
      <c r="CP343" s="3" t="e">
        <f ca="1">_xll.BDH($C$328,"EBITDA","FY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343" s="3" t="e">
        <f ca="1">_xll.BDH($C$328,"EBITDA_AFTER_CAPEX","FY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343" s="3" t="e">
        <f ca="1">_xll.BDH($C$328,"IS_OPER_INC","FY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343" s="2" t="e">
        <f ca="1">_xll.BDH($C$328,"CASH_RATIO","FY 2017","FY 2017","Currency=INR","Period=FY","BEST_FPERIOD_OVERRIDE=FY","FILING_STATUS=OR","EQY_CONSOLIDATED=Y","Sort=A","Dates=H","DateFormat=P","Fill=—","Direction=H","UseDPDF=Y")</f>
        <v>#NAME?</v>
      </c>
      <c r="CT343" s="2" t="e">
        <f ca="1">_xll.BDH($C$328,"CUR_RATIO","FY 2017","FY 2017","Currency=INR","Period=FY","BEST_FPERIOD_OVERRIDE=FY","FILING_STATUS=OR","EQY_CONSOLIDATED=Y","Sort=A","Dates=H","DateFormat=P","Fill=—","Direction=H","UseDPDF=Y")</f>
        <v>#NAME?</v>
      </c>
      <c r="CU343" s="2" t="e">
        <f ca="1">_xll.BDH($C$328,"QUICK_RATIO","FY 2017","FY 2017","Currency=INR","Period=FY","BEST_FPERIOD_OVERRIDE=FY","FILING_STATUS=OR","EQY_CONSOLIDATED=Y","Sort=A","Dates=H","DateFormat=P","Fill=—","Direction=H","UseDPDF=Y")</f>
        <v>#NAME?</v>
      </c>
      <c r="CV343" s="2" t="e">
        <f ca="1">_xll.BDH($C$328,"ALTMAN_Z_SCORE","FY 2017","FY 2017","Currency=INR","Period=FY","BEST_FPERIOD_OVERRIDE=FY","FILING_STATUS=OR","EQY_CONSOLIDATED=Y","Sort=A","Dates=H","DateFormat=P","Fill=—","Direction=H","UseDPDF=Y")</f>
        <v>#NAME?</v>
      </c>
      <c r="CW343" s="4" t="e">
        <f ca="1">_xll.BDH($C$328,"ACCT_RCV_TURN","FY 2017","FY 2017","Currency=INR","Period=FY","BEST_FPERIOD_OVERRIDE=FY","FILING_STATUS=OR","EQY_CONSOLIDATED=Y","FA_ADJUSTED=GAAP","Sort=A","Dates=H","DateFormat=P","Fill=—","Direction=H","UseDPDF=Y")</f>
        <v>#NAME?</v>
      </c>
      <c r="CX343" s="2" t="e">
        <f ca="1">_xll.BDH($C$328,"ACCT_RCV_DAYS","FY 2017","FY 2017","Currency=INR","Period=FY","BEST_FPERIOD_OVERRIDE=FY","FILING_STATUS=OR","EQY_CONSOLIDATED=Y","FA_ADJUSTED=GAAP","Sort=A","Dates=H","DateFormat=P","Fill=—","Direction=H","UseDPDF=Y")</f>
        <v>#NAME?</v>
      </c>
      <c r="CY343" s="4" t="e">
        <f ca="1">_xll.BDH($C$328,"INVENT_TURN","FY 2017","FY 2017","Currency=INR","Period=FY","BEST_FPERIOD_OVERRIDE=FY","FILING_STATUS=OR","EQY_CONSOLIDATED=Y","FA_ADJUSTED=GAAP","Sort=A","Dates=H","DateFormat=P","Fill=—","Direction=H","UseDPDF=Y")</f>
        <v>#NAME?</v>
      </c>
      <c r="CZ343" s="2" t="e">
        <f ca="1">_xll.BDH($C$328,"INVENT_DAYS","FY 2017","FY 2017","Currency=INR","Period=FY","BEST_FPERIOD_OVERRIDE=FY","FILING_STATUS=OR","EQY_CONSOLIDATED=Y","FA_ADJUSTED=GAAP","Sort=A","Dates=H","DateFormat=P","Fill=—","Direction=H","UseDPDF=Y")</f>
        <v>#NAME?</v>
      </c>
      <c r="DA343" s="4" t="e">
        <f ca="1">_xll.BDH($C$328,"ACCOUNTS_PAYABLE_TURNOVER","FY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343" s="2" t="e">
        <f ca="1">_xll.BDH($C$328,"ACCOUNTS_PAYABLE_TURNOVER_DAYS","FY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343" s="4" t="e">
        <f ca="1">_xll.BDH($C$328,"CASH_CONVERSION_CYCLE","FY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343" s="4" t="e">
        <f ca="1">_xll.BDH($C$328,"INV_TO_CASH_DAYS","FY 2017","FY 2017","Currency=INR","Period=FY","BEST_FPERIOD_OVERRIDE=FY","FILING_STATUS=OR","EQY_CONSOLIDATED=Y","FA_ADJUSTED=GAAP","Sort=A","Dates=H","DateFormat=P","Fill=—","Direction=H","UseDPDF=Y")</f>
        <v>#NAME?</v>
      </c>
      <c r="DE343" s="5" t="e">
        <f ca="1">_xll.BDH($C$328,"BS_INVENTORIES","FY 2017","FY 2017","Currency=INR","Period=FY","BEST_FPERIOD_OVERRIDE=FY","FILING_STATUS=OR","EQY_CONSOLIDATED=Y","SCALING_FORMAT=MLN","Sort=A","Dates=H","DateFormat=P","Fill=—","Direction=H","UseDPDF=Y")</f>
        <v>#NAME?</v>
      </c>
      <c r="DF343" s="3" t="e">
        <f ca="1">_xll.BDH($C$328,"INVTRY_RAW_MATERIALS","FY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343" s="3" t="e">
        <f ca="1">_xll.BDH($C$328,"INVTRY_IN_PROGRESS","FY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343" s="3" t="e">
        <f ca="1">_xll.BDH($C$328,"INVTRY_FINISHED_GOODS","FY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343" s="3" t="e">
        <f ca="1">_xll.BDH($C$328,"BS_OTHER_INV","FY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344" spans="1:113" x14ac:dyDescent="0.3">
      <c r="A344" s="6"/>
      <c r="B344" s="6"/>
      <c r="C344" s="6"/>
      <c r="D344" s="6"/>
      <c r="E344" t="s">
        <v>78</v>
      </c>
      <c r="F344" t="e">
        <f ca="1">_xll.BDH($C$328,"RETURN_COM_EQY","FQ1 2017","FQ1 2017","Currency=INR","Period=FQ","BEST_FPERIOD_OVERRIDE=FQ","FILING_STATUS=OR","EQY_CONSOLIDATED=Y","FA_ADJUSTED=GAAP","Sort=A","Dates=H","DateFormat=P","Fill=—","Direction=H","UseDPDF=Y")</f>
        <v>#NAME?</v>
      </c>
      <c r="G344" t="e">
        <f ca="1">_xll.BDH($C$328,"RETURN_ON_ASSET","FQ1 2017","FQ1 2017","Currency=INR","Period=FQ","BEST_FPERIOD_OVERRIDE=FQ","FILING_STATUS=OR","EQY_CONSOLIDATED=Y","FA_ADJUSTED=GAAP","Sort=A","Dates=H","DateFormat=P","Fill=—","Direction=H","UseDPDF=Y")</f>
        <v>#NAME?</v>
      </c>
      <c r="H344" t="e">
        <f ca="1">_xll.BDH($C$328,"RETURN_ON_CAP","FQ1 2017","FQ1 2017","Currency=INR","Period=FQ","BEST_FPERIOD_OVERRIDE=FQ","FILING_STATUS=OR","EQY_CONSOLIDATED=Y","FA_ADJUSTED=GAAP","Sort=A","Dates=H","DateFormat=P","Fill=—","Direction=H","UseDPDF=Y")</f>
        <v>#NAME?</v>
      </c>
      <c r="I344" t="e">
        <f ca="1">_xll.BDH($C$328,"RETURN_ON_INV_CAPITAL","FQ1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344" t="e">
        <f ca="1">_xll.BDH($C$328,"EBITDA_TO_REVENUE","FQ1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344" t="e">
        <f ca="1">_xll.BDH($C$328,"OPER_MARGIN","FQ1 2017","FQ1 2017","Currency=INR","Period=FQ","BEST_FPERIOD_OVERRIDE=FQ","FILING_STATUS=OR","EQY_CONSOLIDATED=Y","FA_ADJUSTED=GAAP","Sort=A","Dates=H","DateFormat=P","Fill=—","Direction=H","UseDPDF=Y")</f>
        <v>#NAME?</v>
      </c>
      <c r="L344" t="e">
        <f ca="1">_xll.BDH($C$328,"INCREMENTAL_OPERATING_MARGIN","FQ1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344" t="e">
        <f ca="1">_xll.BDH($C$328,"PRETAX_INC_TO_NET_SALES","FQ1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344" t="e">
        <f ca="1">_xll.BDH($C$328,"INC_BEF_XO_ITEMS_TO_NET_SALES","FQ1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344" t="e">
        <f ca="1">_xll.BDH($C$328,"PROF_MARGIN","FQ1 2017","FQ1 2017","Currency=INR","Period=FQ","BEST_FPERIOD_OVERRIDE=FQ","FILING_STATUS=OR","EQY_CONSOLIDATED=Y","FA_ADJUSTED=GAAP","Sort=A","Dates=H","DateFormat=P","Fill=—","Direction=H","UseDPDF=Y")</f>
        <v>#NAME?</v>
      </c>
      <c r="P344" t="e">
        <f ca="1">_xll.BDH($C$328,"NET_INCOME_TO_COMMON_MARGIN","FQ1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344" t="e">
        <f ca="1">_xll.BDH($C$328,"EFF_TAX_RATE","FQ1 2017","FQ1 2017","Currency=INR","Period=FQ","BEST_FPERIOD_OVERRIDE=FQ","FILING_STATUS=OR","EQY_CONSOLIDATED=Y","FA_ADJUSTED=GAAP","Sort=A","Dates=H","DateFormat=P","Fill=—","Direction=H","UseDPDF=Y")</f>
        <v>#NAME?</v>
      </c>
      <c r="R344" t="e">
        <f ca="1">_xll.BDH($C$328,"DVD_PAYOUT_RATIO","FQ1 2017","FQ1 2017","Currency=INR","Period=FQ","BEST_FPERIOD_OVERRIDE=FQ","FILING_STATUS=OR","EQY_CONSOLIDATED=Y","FA_ADJUSTED=GAAP","Sort=A","Dates=H","DateFormat=P","Fill=—","Direction=H","UseDPDF=Y")</f>
        <v>#NAME?</v>
      </c>
      <c r="S344" t="e">
        <f ca="1">_xll.BDH($C$328,"SUSTAIN_GROWTH_RT","FQ1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344" s="2" t="e">
        <f ca="1">_xll.BDH($C$328,"SALES_GROWTH","FQ1 2017","FQ1 2017","Currency=INR","Period=FQ","BEST_FPERIOD_OVERRIDE=FQ","FILING_STATUS=OR","EQY_CONSOLIDATED=Y","FA_ADJUSTED=GAAP","Sort=A","Dates=H","DateFormat=P","Fill=—","Direction=H","UseDPDF=Y")</f>
        <v>#NAME?</v>
      </c>
      <c r="U344" s="2" t="e">
        <f ca="1">_xll.BDH($C$328,"EBITDA_GROWTH","FQ1 2017","FQ1 2017","Currency=INR","Period=FQ","BEST_FPERIOD_OVERRIDE=FQ","FILING_STATUS=OR","EQY_CONSOLIDATED=Y","FA_ADJUSTED=GAAP","Sort=A","Dates=H","DateFormat=P","Fill=—","Direction=H","UseDPDF=Y")</f>
        <v>#NAME?</v>
      </c>
      <c r="V344" s="2" t="e">
        <f ca="1">_xll.BDH($C$328,"OPER_INC_GROWTH","FQ1 2017","FQ1 2017","Currency=INR","Period=FQ","BEST_FPERIOD_OVERRIDE=FQ","FILING_STATUS=OR","EQY_CONSOLIDATED=Y","FA_ADJUSTED=GAAP","Sort=A","Dates=H","DateFormat=P","Fill=—","Direction=H","UseDPDF=Y")</f>
        <v>#NAME?</v>
      </c>
      <c r="W344" s="2" t="e">
        <f ca="1">_xll.BDH($C$328,"EARN_FOR_COM_GROWTH","FQ1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344" s="2" t="e">
        <f ca="1">_xll.BDH($C$328,"DILUTED_EPS_AFT_XO_ITEMS_GROWTH","FQ1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344" s="2" t="e">
        <f ca="1">_xll.BDH($C$328,"DIVIDEND_PER_SHARE_1_YEAR_GROWTH","FQ1 2017","FQ1 2017","Currency=INR","Period=FQ","BEST_FPERIOD_OVERRIDE=FQ","FILING_STATUS=OR","EQY_CONSOLIDATED=Y","Sort=A","Dates=H","DateFormat=P","Fill=—","Direction=H","UseDPDF=Y")</f>
        <v>#NAME?</v>
      </c>
      <c r="Z344" s="2" t="e">
        <f ca="1">_xll.BDH($C$328,"ACCOUNTS_RECEIVABLE_GROWTH","FQ1 2017","FQ1 2017","Currency=INR","Period=FQ","BEST_FPERIOD_OVERRIDE=FQ","FILING_STATUS=OR","EQY_CONSOLIDATED=Y","Sort=A","Dates=H","DateFormat=P","Fill=—","Direction=H","UseDPDF=Y")</f>
        <v>#NAME?</v>
      </c>
      <c r="AA344" s="2" t="e">
        <f ca="1">_xll.BDH($C$328,"INVENTORY_GROWTH","FQ1 2017","FQ1 2017","Currency=INR","Period=FQ","BEST_FPERIOD_OVERRIDE=FQ","FILING_STATUS=OR","EQY_CONSOLIDATED=Y","Sort=A","Dates=H","DateFormat=P","Fill=—","Direction=H","UseDPDF=Y")</f>
        <v>#NAME?</v>
      </c>
      <c r="AB344" s="2" t="e">
        <f ca="1">_xll.BDH($C$328,"NET_FIXED_ASSETS_1_YEAR_GROWTH","FQ1 2017","FQ1 2017","Currency=INR","Period=FQ","BEST_FPERIOD_OVERRIDE=FQ","FILING_STATUS=OR","EQY_CONSOLIDATED=Y","Sort=A","Dates=H","DateFormat=P","Fill=—","Direction=H","UseDPDF=Y")</f>
        <v>#NAME?</v>
      </c>
      <c r="AC344" s="2" t="e">
        <f ca="1">_xll.BDH($C$328,"ASSET_GROWTH","FQ1 2017","FQ1 2017","Currency=INR","Period=FQ","BEST_FPERIOD_OVERRIDE=FQ","FILING_STATUS=OR","EQY_CONSOLIDATED=Y","Sort=A","Dates=H","DateFormat=P","Fill=—","Direction=H","UseDPDF=Y")</f>
        <v>#NAME?</v>
      </c>
      <c r="AD344" s="2" t="e">
        <f ca="1">_xll.BDH($C$328,"MODIFIED_WORK_CAP_GROWTH","FQ1 2017","FQ1 2017","Currency=INR","Period=FQ","BEST_FPERIOD_OVERRIDE=FQ","FILING_STATUS=OR","EQY_CONSOLIDATED=Y","Sort=A","Dates=H","DateFormat=P","Fill=—","Direction=H","UseDPDF=Y")</f>
        <v>#NAME?</v>
      </c>
      <c r="AE344" s="2" t="e">
        <f ca="1">_xll.BDH($C$328,"WORK_CAP_GROWTH","FQ1 2017","FQ1 2017","Currency=INR","Period=FQ","BEST_FPERIOD_OVERRIDE=FQ","FILING_STATUS=OR","EQY_CONSOLIDATED=Y","Sort=A","Dates=H","DateFormat=P","Fill=—","Direction=H","UseDPDF=Y")</f>
        <v>#NAME?</v>
      </c>
      <c r="AF344" s="2" t="e">
        <f ca="1">_xll.BDH($C$328,"ACCOUNTS_PAYABLE_GROWTH_1YR","FQ1 2017","FQ1 2017","Currency=INR","Period=FQ","BEST_FPERIOD_OVERRIDE=FQ","FILING_STATUS=OR","EQY_CONSOLIDATED=Y","Sort=A","Dates=H","DateFormat=P","Fill=—","Direction=H","UseDPDF=Y")</f>
        <v>#NAME?</v>
      </c>
      <c r="AG344" s="2" t="e">
        <f ca="1">_xll.BDH($C$328,"SHORT_TERM_DEBT_1_YEAR_GROWTH","FQ1 2017","FQ1 2017","Currency=INR","Period=FQ","BEST_FPERIOD_OVERRIDE=FQ","FILING_STATUS=OR","EQY_CONSOLIDATED=Y","Sort=A","Dates=H","DateFormat=P","Fill=—","Direction=H","UseDPDF=Y")</f>
        <v>#NAME?</v>
      </c>
      <c r="AH344" s="2" t="e">
        <f ca="1">_xll.BDH($C$328,"TOTAL_DEBT_1_YEAR_GROWTH","FQ1 2017","FQ1 2017","Currency=INR","Period=FQ","BEST_FPERIOD_OVERRIDE=FQ","FILING_STATUS=OR","EQY_CONSOLIDATED=Y","Sort=A","Dates=H","DateFormat=P","Fill=—","Direction=H","UseDPDF=Y")</f>
        <v>#NAME?</v>
      </c>
      <c r="AI344" s="2" t="e">
        <f ca="1">_xll.BDH($C$328,"TOTAL_EQUITY_1_YEAR_GROWTH","FQ1 2017","FQ1 2017","Currency=INR","Period=FQ","BEST_FPERIOD_OVERRIDE=FQ","FILING_STATUS=OR","EQY_CONSOLIDATED=Y","Sort=A","Dates=H","DateFormat=P","Fill=—","Direction=H","UseDPDF=Y")</f>
        <v>#NAME?</v>
      </c>
      <c r="AJ344" s="2" t="e">
        <f ca="1">_xll.BDH($C$328,"GROWTH_IN_CAP","FQ1 2017","FQ1 2017","Currency=INR","Period=FQ","BEST_FPERIOD_OVERRIDE=FQ","FILING_STATUS=OR","EQY_CONSOLIDATED=Y","Sort=A","Dates=H","DateFormat=P","Fill=—","Direction=H","UseDPDF=Y")</f>
        <v>#NAME?</v>
      </c>
      <c r="AK344" s="2" t="e">
        <f ca="1">_xll.BDH($C$328,"BVPS_GROWTH","FQ1 2017","FQ1 2017","Currency=INR","Period=FQ","BEST_FPERIOD_OVERRIDE=FQ","FILING_STATUS=OR","EQY_CONSOLIDATED=Y","Sort=A","Dates=H","DateFormat=P","Fill=—","Direction=H","UseDPDF=Y")</f>
        <v>#NAME?</v>
      </c>
      <c r="AL344" s="2" t="e">
        <f ca="1">_xll.BDH($C$328,"CASH_FLOW_GROWTH","FQ1 2017","FQ1 2017","Currency=INR","Period=FQ","BEST_FPERIOD_OVERRIDE=FQ","FILING_STATUS=OR","EQY_CONSOLIDATED=Y","Sort=A","Dates=H","DateFormat=P","Fill=—","Direction=H","UseDPDF=Y")</f>
        <v>#NAME?</v>
      </c>
      <c r="AM344" s="2" t="e">
        <f ca="1">_xll.BDH($C$328,"GEO_GROW_NET_SALES","FQ1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344" s="2" t="e">
        <f ca="1">_xll.BDH($C$328,"GEO_GROW_EBITDA","FQ1 2017","FQ1 2017","Currency=INR","Period=FQ","BEST_FPERIOD_OVERRIDE=FQ","FILING_STATUS=OR","EQY_CONSOLIDATED=Y","FA_ADJUSTED=GAAP","Sort=A","Dates=H","DateFormat=P","Fill=—","Direction=H","UseDPDF=Y")</f>
        <v>#NAME?</v>
      </c>
      <c r="AO344" s="2" t="e">
        <f ca="1">_xll.BDH($C$328,"GEO_GROW_OPER_INC","FQ1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344" s="2" t="e">
        <f ca="1">_xll.BDH($C$328,"NET_INCOME_TO_COMMON_5_YR_GROWTH","FQ1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344" s="2" t="e">
        <f ca="1">_xll.BDH($C$328,"5Y_GEO_GROWTH_DILUTED_EPS","FQ1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344" s="2" t="e">
        <f ca="1">_xll.BDH($C$328,"GEO_GROW_DVD_PER_SH","FQ1 2017","FQ1 2017","Currency=INR","Period=FQ","BEST_FPERIOD_OVERRIDE=FQ","FILING_STATUS=OR","EQY_CONSOLIDATED=Y","Sort=A","Dates=H","DateFormat=P","Fill=—","Direction=H","UseDPDF=Y")</f>
        <v>#NAME?</v>
      </c>
      <c r="AS344" s="2" t="e">
        <f ca="1">_xll.BDH($C$328,"ACCOUNTS_RECEIVABLE_5_YR_GROWTH","FQ1 2017","FQ1 2017","Currency=INR","Period=FQ","BEST_FPERIOD_OVERRIDE=FQ","FILING_STATUS=OR","EQY_CONSOLIDATED=Y","Sort=A","Dates=H","DateFormat=P","Fill=—","Direction=H","UseDPDF=Y")</f>
        <v>#NAME?</v>
      </c>
      <c r="AT344" s="2" t="e">
        <f ca="1">_xll.BDH($C$328,"INVENTORY_5_YEAR_GROWTH","FQ1 2017","FQ1 2017","Currency=INR","Period=FQ","BEST_FPERIOD_OVERRIDE=FQ","FILING_STATUS=OR","EQY_CONSOLIDATED=Y","Sort=A","Dates=H","DateFormat=P","Fill=—","Direction=H","UseDPDF=Y")</f>
        <v>#NAME?</v>
      </c>
      <c r="AU344" s="2" t="e">
        <f ca="1">_xll.BDH($C$328,"NET_FIXED_ASSETS_5_YEAR_GROWTH","FQ1 2017","FQ1 2017","Currency=INR","Period=FQ","BEST_FPERIOD_OVERRIDE=FQ","FILING_STATUS=OR","EQY_CONSOLIDATED=Y","Sort=A","Dates=H","DateFormat=P","Fill=—","Direction=H","UseDPDF=Y")</f>
        <v>#NAME?</v>
      </c>
      <c r="AV344" s="2" t="e">
        <f ca="1">_xll.BDH($C$328,"GEO_GROW_TOT_ASSET","FQ1 2017","FQ1 2017","Currency=INR","Period=FQ","BEST_FPERIOD_OVERRIDE=FQ","FILING_STATUS=OR","EQY_CONSOLIDATED=Y","Sort=A","Dates=H","DateFormat=P","Fill=—","Direction=H","UseDPDF=Y")</f>
        <v>#NAME?</v>
      </c>
      <c r="AW344" s="2" t="e">
        <f ca="1">_xll.BDH($C$328,"MODIFIED_WORKING_CPTL_5YR_GRWTH","FQ1 2017","FQ1 2017","Currency=INR","Period=FQ","BEST_FPERIOD_OVERRIDE=FQ","FILING_STATUS=OR","EQY_CONSOLIDATED=Y","Sort=A","Dates=H","DateFormat=P","Fill=—","Direction=H","UseDPDF=Y")</f>
        <v>#NAME?</v>
      </c>
      <c r="AX344" s="2" t="e">
        <f ca="1">_xll.BDH($C$328,"WORKING_CAPITAL_5_YEAR_GROWTH","FQ1 2017","FQ1 2017","Currency=INR","Period=FQ","BEST_FPERIOD_OVERRIDE=FQ","FILING_STATUS=OR","EQY_CONSOLIDATED=Y","Sort=A","Dates=H","DateFormat=P","Fill=—","Direction=H","UseDPDF=Y")</f>
        <v>#NAME?</v>
      </c>
      <c r="AY344" s="2" t="e">
        <f ca="1">_xll.BDH($C$328,"ACCOUNTS_PAYABLE_5_YEAR_GROWTH","FQ1 2017","FQ1 2017","Currency=INR","Period=FQ","BEST_FPERIOD_OVERRIDE=FQ","FILING_STATUS=OR","EQY_CONSOLIDATED=Y","Sort=A","Dates=H","DateFormat=P","Fill=—","Direction=H","UseDPDF=Y")</f>
        <v>#NAME?</v>
      </c>
      <c r="AZ344" s="2" t="e">
        <f ca="1">_xll.BDH($C$328,"SHORT_TERM_DEBT_5_YEAR_GROWTH","FQ1 2017","FQ1 2017","Currency=INR","Period=FQ","BEST_FPERIOD_OVERRIDE=FQ","FILING_STATUS=OR","EQY_CONSOLIDATED=Y","Sort=A","Dates=H","DateFormat=P","Fill=—","Direction=H","UseDPDF=Y")</f>
        <v>#NAME?</v>
      </c>
      <c r="BA344" s="2" t="e">
        <f ca="1">_xll.BDH($C$328,"TOTAL_DEBT_5_YEAR_GROWTH","FQ1 2017","FQ1 2017","Currency=INR","Period=FQ","BEST_FPERIOD_OVERRIDE=FQ","FILING_STATUS=OR","EQY_CONSOLIDATED=Y","Sort=A","Dates=H","DateFormat=P","Fill=—","Direction=H","UseDPDF=Y")</f>
        <v>#NAME?</v>
      </c>
      <c r="BB344" s="2" t="e">
        <f ca="1">_xll.BDH($C$328,"GEO_GROW_TOT_SHRHLDR_EQY","FQ1 2017","FQ1 2017","Currency=INR","Period=FQ","BEST_FPERIOD_OVERRIDE=FQ","FILING_STATUS=OR","EQY_CONSOLIDATED=Y","Sort=A","Dates=H","DateFormat=P","Fill=—","Direction=H","UseDPDF=Y")</f>
        <v>#NAME?</v>
      </c>
      <c r="BC344" s="2" t="e">
        <f ca="1">_xll.BDH($C$328,"TOTAL_CAPITAL_5_YEAR_GROWTH","FQ1 2017","FQ1 2017","Currency=INR","Period=FQ","BEST_FPERIOD_OVERRIDE=FQ","FILING_STATUS=OR","EQY_CONSOLIDATED=Y","Sort=A","Dates=H","DateFormat=P","Fill=—","Direction=H","UseDPDF=Y")</f>
        <v>#NAME?</v>
      </c>
      <c r="BD344" s="2" t="e">
        <f ca="1">_xll.BDH($C$328,"GEO_GROW_BOOK_VAL","FQ1 2017","FQ1 2017","Currency=INR","Period=FQ","BEST_FPERIOD_OVERRIDE=FQ","FILING_STATUS=OR","EQY_CONSOLIDATED=Y","Sort=A","Dates=H","DateFormat=P","Fill=—","Direction=H","UseDPDF=Y")</f>
        <v>#NAME?</v>
      </c>
      <c r="BE344" s="2" t="e">
        <f ca="1">_xll.BDH($C$328,"GEO_GROW_CASH_OPER_ACT","FQ1 2017","FQ1 2017","Currency=INR","Period=FQ","BEST_FPERIOD_OVERRIDE=FQ","FILING_STATUS=OR","EQY_CONSOLIDATED=Y","Sort=A","Dates=H","DateFormat=P","Fill=—","Direction=H","UseDPDF=Y")</f>
        <v>#NAME?</v>
      </c>
      <c r="BF344" s="2" t="e">
        <f ca="1">_xll.BDH($C$328,"REVENUE_SEQUENTIAL_GROWTH","FQ1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344" s="2" t="e">
        <f ca="1">_xll.BDH($C$328,"EBITDA_SEQUENTIAL_GROWTH","FQ1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344" s="2" t="e">
        <f ca="1">_xll.BDH($C$328,"OPERATING_INCOME_SEQ_GROWTH","FQ1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344" s="2" t="e">
        <f ca="1">_xll.BDH($C$328,"NET_INCOME_TO_COMMON_SEQ_GROWTH","FQ1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344" s="2" t="e">
        <f ca="1">_xll.BDH($C$328,"EPS_DILUTED_SEQUENTIAL_GROWTH","FQ1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344" s="2" t="e">
        <f ca="1">_xll.BDH($C$328,"DPS_SEQUENTIAL_GROWTH","FQ1 2017","FQ1 2017","Currency=INR","Period=FQ","BEST_FPERIOD_OVERRIDE=FQ","FILING_STATUS=OR","EQY_CONSOLIDATED=Y","Sort=A","Dates=H","DateFormat=P","Fill=—","Direction=H","UseDPDF=Y")</f>
        <v>#NAME?</v>
      </c>
      <c r="BL344" s="2" t="e">
        <f ca="1">_xll.BDH($C$328,"ACCOUNTS_RECEIVABLE_SEQ_GROWTH","FQ1 2017","FQ1 2017","Currency=INR","Period=FQ","BEST_FPERIOD_OVERRIDE=FQ","FILING_STATUS=OR","EQY_CONSOLIDATED=Y","Sort=A","Dates=H","DateFormat=P","Fill=—","Direction=H","UseDPDF=Y")</f>
        <v>#NAME?</v>
      </c>
      <c r="BM344" s="2" t="e">
        <f ca="1">_xll.BDH($C$328,"INVENTORY_SEQUENTIAL_GROWTH","FQ1 2017","FQ1 2017","Currency=INR","Period=FQ","BEST_FPERIOD_OVERRIDE=FQ","FILING_STATUS=OR","EQY_CONSOLIDATED=Y","Sort=A","Dates=H","DateFormat=P","Fill=—","Direction=H","UseDPDF=Y")</f>
        <v>#NAME?</v>
      </c>
      <c r="BN344" s="2" t="e">
        <f ca="1">_xll.BDH($C$328,"FIXED_ASSETS_SEQUENTIAL_GROWTH","FQ1 2017","FQ1 2017","Currency=INR","Period=FQ","BEST_FPERIOD_OVERRIDE=FQ","FILING_STATUS=OR","EQY_CONSOLIDATED=Y","Sort=A","Dates=H","DateFormat=P","Fill=—","Direction=H","UseDPDF=Y")</f>
        <v>#NAME?</v>
      </c>
      <c r="BO344" s="2" t="e">
        <f ca="1">_xll.BDH($C$328,"TOTAL_ASSETS_SEQUENTIAL_GROWTH","FQ1 2017","FQ1 2017","Currency=INR","Period=FQ","BEST_FPERIOD_OVERRIDE=FQ","FILING_STATUS=OR","EQY_CONSOLIDATED=Y","Sort=A","Dates=H","DateFormat=P","Fill=—","Direction=H","UseDPDF=Y")</f>
        <v>#NAME?</v>
      </c>
      <c r="BP344" s="2" t="e">
        <f ca="1">_xll.BDH($C$328,"MODIFIED_WORKING_CPTL_SEQ_GRWTH","FQ1 2017","FQ1 2017","Currency=INR","Period=FQ","BEST_FPERIOD_OVERRIDE=FQ","FILING_STATUS=OR","EQY_CONSOLIDATED=Y","Sort=A","Dates=H","DateFormat=P","Fill=—","Direction=H","UseDPDF=Y")</f>
        <v>#NAME?</v>
      </c>
      <c r="BQ344" s="2" t="e">
        <f ca="1">_xll.BDH($C$328,"WORKING_CAPITAL_SEQ_GROWTH","FQ1 2017","FQ1 2017","Currency=INR","Period=FQ","BEST_FPERIOD_OVERRIDE=FQ","FILING_STATUS=OR","EQY_CONSOLIDATED=Y","Sort=A","Dates=H","DateFormat=P","Fill=—","Direction=H","UseDPDF=Y")</f>
        <v>#NAME?</v>
      </c>
      <c r="BR344" s="2" t="e">
        <f ca="1">_xll.BDH($C$328,"ACCOUNTS_PAYABLE_SEQ_GROWTH","FQ1 2017","FQ1 2017","Currency=INR","Period=FQ","BEST_FPERIOD_OVERRIDE=FQ","FILING_STATUS=OR","EQY_CONSOLIDATED=Y","Sort=A","Dates=H","DateFormat=P","Fill=—","Direction=H","UseDPDF=Y")</f>
        <v>#NAME?</v>
      </c>
      <c r="BS344" s="2" t="e">
        <f ca="1">_xll.BDH($C$328,"ST_DEBT_SEQUENTIAL_GROWTH","FQ1 2017","FQ1 2017","Currency=INR","Period=FQ","BEST_FPERIOD_OVERRIDE=FQ","FILING_STATUS=OR","EQY_CONSOLIDATED=Y","Sort=A","Dates=H","DateFormat=P","Fill=—","Direction=H","UseDPDF=Y")</f>
        <v>#NAME?</v>
      </c>
      <c r="BT344" s="2" t="e">
        <f ca="1">_xll.BDH($C$328,"TOTAL_DEBT_SEQUENTIAL_GROWTH","FQ1 2017","FQ1 2017","Currency=INR","Period=FQ","BEST_FPERIOD_OVERRIDE=FQ","FILING_STATUS=OR","EQY_CONSOLIDATED=Y","Sort=A","Dates=H","DateFormat=P","Fill=—","Direction=H","UseDPDF=Y")</f>
        <v>#NAME?</v>
      </c>
      <c r="BU344" s="2" t="e">
        <f ca="1">_xll.BDH($C$328,"TOTAL_EQUITY_SEQUENTIAL_GROWTH","FQ1 2017","FQ1 2017","Currency=INR","Period=FQ","BEST_FPERIOD_OVERRIDE=FQ","FILING_STATUS=OR","EQY_CONSOLIDATED=Y","Sort=A","Dates=H","DateFormat=P","Fill=—","Direction=H","UseDPDF=Y")</f>
        <v>#NAME?</v>
      </c>
      <c r="BV344" s="2" t="e">
        <f ca="1">_xll.BDH($C$328,"TOTAL_CAPITAL_SEQUENTIAL_GROWTH","FQ1 2017","FQ1 2017","Currency=INR","Period=FQ","BEST_FPERIOD_OVERRIDE=FQ","FILING_STATUS=OR","EQY_CONSOLIDATED=Y","Sort=A","Dates=H","DateFormat=P","Fill=—","Direction=H","UseDPDF=Y")</f>
        <v>#NAME?</v>
      </c>
      <c r="BW344" s="2" t="e">
        <f ca="1">_xll.BDH($C$328,"BPS_SEQUENTIAL_GROWTH","FQ1 2017","FQ1 2017","Currency=INR","Period=FQ","BEST_FPERIOD_OVERRIDE=FQ","FILING_STATUS=OR","EQY_CONSOLIDATED=Y","Sort=A","Dates=H","DateFormat=P","Fill=—","Direction=H","UseDPDF=Y")</f>
        <v>#NAME?</v>
      </c>
      <c r="BX344" s="2" t="e">
        <f ca="1">_xll.BDH($C$328,"CFO_SEQUENTIAL_GROWTH","FQ1 2017","FQ1 2017","Currency=INR","Period=FQ","BEST_FPERIOD_OVERRIDE=FQ","FILING_STATUS=OR","EQY_CONSOLIDATED=Y","Sort=A","Dates=H","DateFormat=P","Fill=—","Direction=H","UseDPDF=Y")</f>
        <v>#NAME?</v>
      </c>
      <c r="BY344" s="3" t="e">
        <f ca="1">_xll.BDH($C$328,"SHORT_AND_LONG_TERM_DEBT","FQ1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344" s="3" t="e">
        <f ca="1">_xll.BDH($C$328,"BS_ST_BORROW","FQ1 2017","FQ1 2017","Currency=INR","Period=FQ","BEST_FPERIOD_OVERRIDE=FQ","FILING_STATUS=OR","EQY_CONSOLIDATED=Y","SCALING_FORMAT=MLN","Sort=A","Dates=H","DateFormat=P","Fill=—","Direction=H","UseDPDF=Y")</f>
        <v>#NAME?</v>
      </c>
      <c r="CA344" s="3" t="e">
        <f ca="1">_xll.BDH($C$328,"BS_LT_BORROW","FQ1 2017","FQ1 2017","Currency=INR","Period=FQ","BEST_FPERIOD_OVERRIDE=FQ","FILING_STATUS=OR","EQY_CONSOLIDATED=Y","SCALING_FORMAT=MLN","Sort=A","Dates=H","DateFormat=P","Fill=—","Direction=H","UseDPDF=Y")</f>
        <v>#NAME?</v>
      </c>
      <c r="CB344" s="2" t="e">
        <f ca="1">_xll.BDH($C$328,"TOT_DEBT_TO_EBITDA","FQ1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344" s="2" t="e">
        <f ca="1">_xll.BDH($C$328,"NET_DEBT_TO_EBITDA","FQ1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344" s="2" t="e">
        <f ca="1">_xll.BDH($C$328,"TOTAL_DEBT_TO_EBIT","FQ1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344" s="2" t="e">
        <f ca="1">_xll.BDH($C$328,"NET_DEBT_TO_EBIT","FQ1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344" s="2" t="e">
        <f ca="1">_xll.BDH($C$328,"EBITDA_TO_INTEREST_EXPN","FQ1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344" s="2" t="e">
        <f ca="1">_xll.BDH($C$328,"COM_EQY_TO_TOT_ASSET","FQ1 2017","FQ1 2017","Currency=INR","Period=FQ","BEST_FPERIOD_OVERRIDE=FQ","FILING_STATUS=OR","EQY_CONSOLIDATED=Y","Sort=A","Dates=H","DateFormat=P","Fill=—","Direction=H","UseDPDF=Y")</f>
        <v>#NAME?</v>
      </c>
      <c r="CH344" s="2" t="e">
        <f ca="1">_xll.BDH($C$328,"LT_DEBT_TO_TOT_EQY","FQ1 2017","FQ1 2017","Currency=INR","Period=FQ","BEST_FPERIOD_OVERRIDE=FQ","FILING_STATUS=OR","EQY_CONSOLIDATED=Y","Sort=A","Dates=H","DateFormat=P","Fill=—","Direction=H","UseDPDF=Y")</f>
        <v>#NAME?</v>
      </c>
      <c r="CI344" s="2" t="e">
        <f ca="1">_xll.BDH($C$328,"LT_DEBT_TO_TOT_CAP","FQ1 2017","FQ1 2017","Currency=INR","Period=FQ","BEST_FPERIOD_OVERRIDE=FQ","FILING_STATUS=OR","EQY_CONSOLIDATED=Y","Sort=A","Dates=H","DateFormat=P","Fill=—","Direction=H","UseDPDF=Y")</f>
        <v>#NAME?</v>
      </c>
      <c r="CJ344" s="2" t="e">
        <f ca="1">_xll.BDH($C$328,"LT_DEBT_TO_TOT_ASSET","FQ1 2017","FQ1 2017","Currency=INR","Period=FQ","BEST_FPERIOD_OVERRIDE=FQ","FILING_STATUS=OR","EQY_CONSOLIDATED=Y","Sort=A","Dates=H","DateFormat=P","Fill=—","Direction=H","UseDPDF=Y")</f>
        <v>#NAME?</v>
      </c>
      <c r="CK344" s="2" t="e">
        <f ca="1">_xll.BDH($C$328,"TOT_DEBT_TO_TOT_EQY","FQ1 2017","FQ1 2017","Currency=INR","Period=FQ","BEST_FPERIOD_OVERRIDE=FQ","FILING_STATUS=OR","EQY_CONSOLIDATED=Y","Sort=A","Dates=H","DateFormat=P","Fill=—","Direction=H","UseDPDF=Y")</f>
        <v>#NAME?</v>
      </c>
      <c r="CL344" s="2" t="e">
        <f ca="1">_xll.BDH($C$328,"TOT_DEBT_TO_TOT_CAP","FQ1 2017","FQ1 2017","Currency=INR","Period=FQ","BEST_FPERIOD_OVERRIDE=FQ","FILING_STATUS=OR","EQY_CONSOLIDATED=Y","Sort=A","Dates=H","DateFormat=P","Fill=—","Direction=H","UseDPDF=Y")</f>
        <v>#NAME?</v>
      </c>
      <c r="CM344" s="2" t="e">
        <f ca="1">_xll.BDH($C$328,"TOT_DEBT_TO_TOT_ASSET","FQ1 2017","FQ1 2017","Currency=INR","Period=FQ","BEST_FPERIOD_OVERRIDE=FQ","FILING_STATUS=OR","EQY_CONSOLIDATED=Y","Sort=A","Dates=H","DateFormat=P","Fill=—","Direction=H","UseDPDF=Y")</f>
        <v>#NAME?</v>
      </c>
      <c r="CN344" s="2" t="e">
        <f ca="1">_xll.BDH($C$328,"NET_DEBT_TO_SHRHLDR_EQTY","FQ1 2017","FQ1 2017","Currency=INR","Period=FQ","BEST_FPERIOD_OVERRIDE=FQ","FILING_STATUS=OR","EQY_CONSOLIDATED=Y","Sort=A","Dates=H","DateFormat=P","Fill=—","Direction=H","UseDPDF=Y")</f>
        <v>#NAME?</v>
      </c>
      <c r="CO344" s="2" t="e">
        <f ca="1">_xll.BDH($C$328,"NET_DEBT_%_CAPITAL","FQ1 2017","FQ1 2017","Currency=INR","Period=FQ","BEST_FPERIOD_OVERRIDE=FQ","FILING_STATUS=OR","EQY_CONSOLIDATED=Y","Sort=A","Dates=H","DateFormat=P","Fill=—","Direction=H","UseDPDF=Y")</f>
        <v>#NAME?</v>
      </c>
      <c r="CP344" s="3" t="e">
        <f ca="1">_xll.BDH($C$328,"EBITDA","FQ1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344" s="3" t="e">
        <f ca="1">_xll.BDH($C$328,"EBITDA_AFTER_CAPEX","FQ1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344" s="3" t="e">
        <f ca="1">_xll.BDH($C$328,"IS_OPER_INC","FQ1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344" s="2" t="e">
        <f ca="1">_xll.BDH($C$328,"CASH_RATIO","FQ1 2017","FQ1 2017","Currency=INR","Period=FQ","BEST_FPERIOD_OVERRIDE=FQ","FILING_STATUS=OR","EQY_CONSOLIDATED=Y","Sort=A","Dates=H","DateFormat=P","Fill=—","Direction=H","UseDPDF=Y")</f>
        <v>#NAME?</v>
      </c>
      <c r="CT344" s="2" t="e">
        <f ca="1">_xll.BDH($C$328,"CUR_RATIO","FQ1 2017","FQ1 2017","Currency=INR","Period=FQ","BEST_FPERIOD_OVERRIDE=FQ","FILING_STATUS=OR","EQY_CONSOLIDATED=Y","Sort=A","Dates=H","DateFormat=P","Fill=—","Direction=H","UseDPDF=Y")</f>
        <v>#NAME?</v>
      </c>
      <c r="CU344" s="2" t="e">
        <f ca="1">_xll.BDH($C$328,"QUICK_RATIO","FQ1 2017","FQ1 2017","Currency=INR","Period=FQ","BEST_FPERIOD_OVERRIDE=FQ","FILING_STATUS=OR","EQY_CONSOLIDATED=Y","Sort=A","Dates=H","DateFormat=P","Fill=—","Direction=H","UseDPDF=Y")</f>
        <v>#NAME?</v>
      </c>
      <c r="CV344" s="2" t="e">
        <f ca="1">_xll.BDH($C$328,"ALTMAN_Z_SCORE","FQ1 2017","FQ1 2017","Currency=INR","Period=FQ","BEST_FPERIOD_OVERRIDE=FQ","FILING_STATUS=OR","EQY_CONSOLIDATED=Y","Sort=A","Dates=H","DateFormat=P","Fill=—","Direction=H","UseDPDF=Y")</f>
        <v>#NAME?</v>
      </c>
      <c r="CW344" s="4" t="e">
        <f ca="1">_xll.BDH($C$328,"ACCT_RCV_TURN","FQ1 2017","FQ1 2017","Currency=INR","Period=FQ","BEST_FPERIOD_OVERRIDE=FQ","FILING_STATUS=OR","EQY_CONSOLIDATED=Y","FA_ADJUSTED=GAAP","Sort=A","Dates=H","DateFormat=P","Fill=—","Direction=H","UseDPDF=Y")</f>
        <v>#NAME?</v>
      </c>
      <c r="CX344" s="2" t="e">
        <f ca="1">_xll.BDH($C$328,"ACCT_RCV_DAYS","FQ1 2017","FQ1 2017","Currency=INR","Period=FQ","BEST_FPERIOD_OVERRIDE=FQ","FILING_STATUS=OR","EQY_CONSOLIDATED=Y","FA_ADJUSTED=GAAP","Sort=A","Dates=H","DateFormat=P","Fill=—","Direction=H","UseDPDF=Y")</f>
        <v>#NAME?</v>
      </c>
      <c r="CY344" s="4" t="e">
        <f ca="1">_xll.BDH($C$328,"INVENT_TURN","FQ1 2017","FQ1 2017","Currency=INR","Period=FQ","BEST_FPERIOD_OVERRIDE=FQ","FILING_STATUS=OR","EQY_CONSOLIDATED=Y","FA_ADJUSTED=GAAP","Sort=A","Dates=H","DateFormat=P","Fill=—","Direction=H","UseDPDF=Y")</f>
        <v>#NAME?</v>
      </c>
      <c r="CZ344" s="2" t="e">
        <f ca="1">_xll.BDH($C$328,"INVENT_DAYS","FQ1 2017","FQ1 2017","Currency=INR","Period=FQ","BEST_FPERIOD_OVERRIDE=FQ","FILING_STATUS=OR","EQY_CONSOLIDATED=Y","FA_ADJUSTED=GAAP","Sort=A","Dates=H","DateFormat=P","Fill=—","Direction=H","UseDPDF=Y")</f>
        <v>#NAME?</v>
      </c>
      <c r="DA344" s="4" t="e">
        <f ca="1">_xll.BDH($C$328,"ACCOUNTS_PAYABLE_TURNOVER","FQ1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344" s="2" t="e">
        <f ca="1">_xll.BDH($C$328,"ACCOUNTS_PAYABLE_TURNOVER_DAYS","FQ1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344" s="4" t="e">
        <f ca="1">_xll.BDH($C$328,"CASH_CONVERSION_CYCLE","FQ1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344" s="4" t="e">
        <f ca="1">_xll.BDH($C$328,"INV_TO_CASH_DAYS","FQ1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344" s="5" t="e">
        <f ca="1">_xll.BDH($C$328,"BS_INVENTORIES","FQ1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344" s="3" t="e">
        <f ca="1">_xll.BDH($C$328,"INVTRY_RAW_MATERIALS","FQ1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344" s="3" t="e">
        <f ca="1">_xll.BDH($C$328,"INVTRY_IN_PROGRESS","FQ1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344" s="3" t="e">
        <f ca="1">_xll.BDH($C$328,"INVTRY_FINISHED_GOODS","FQ1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344" s="3" t="e">
        <f ca="1">_xll.BDH($C$328,"BS_OTHER_INV","FQ1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345" spans="1:113" x14ac:dyDescent="0.3">
      <c r="A345" s="6"/>
      <c r="B345" s="6"/>
      <c r="C345" s="6"/>
      <c r="D345" s="6"/>
      <c r="E345" t="s">
        <v>79</v>
      </c>
      <c r="F345" t="e">
        <f ca="1">_xll.BDH($C$328,"RETURN_COM_EQY","FQ2 2017","FQ2 2017","Currency=INR","Period=FQ","BEST_FPERIOD_OVERRIDE=FQ","FILING_STATUS=OR","EQY_CONSOLIDATED=Y","FA_ADJUSTED=GAAP","Sort=A","Dates=H","DateFormat=P","Fill=—","Direction=H","UseDPDF=Y")</f>
        <v>#NAME?</v>
      </c>
      <c r="G345" t="e">
        <f ca="1">_xll.BDH($C$328,"RETURN_ON_ASSET","FQ2 2017","FQ2 2017","Currency=INR","Period=FQ","BEST_FPERIOD_OVERRIDE=FQ","FILING_STATUS=OR","EQY_CONSOLIDATED=Y","FA_ADJUSTED=GAAP","Sort=A","Dates=H","DateFormat=P","Fill=—","Direction=H","UseDPDF=Y")</f>
        <v>#NAME?</v>
      </c>
      <c r="H345" t="e">
        <f ca="1">_xll.BDH($C$328,"RETURN_ON_CAP","FQ2 2017","FQ2 2017","Currency=INR","Period=FQ","BEST_FPERIOD_OVERRIDE=FQ","FILING_STATUS=OR","EQY_CONSOLIDATED=Y","FA_ADJUSTED=GAAP","Sort=A","Dates=H","DateFormat=P","Fill=—","Direction=H","UseDPDF=Y")</f>
        <v>#NAME?</v>
      </c>
      <c r="I345" t="e">
        <f ca="1">_xll.BDH($C$328,"RETURN_ON_INV_CAPITAL","FQ2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345" t="e">
        <f ca="1">_xll.BDH($C$328,"EBITDA_TO_REVENUE","FQ2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345" t="e">
        <f ca="1">_xll.BDH($C$328,"OPER_MARGIN","FQ2 2017","FQ2 2017","Currency=INR","Period=FQ","BEST_FPERIOD_OVERRIDE=FQ","FILING_STATUS=OR","EQY_CONSOLIDATED=Y","FA_ADJUSTED=GAAP","Sort=A","Dates=H","DateFormat=P","Fill=—","Direction=H","UseDPDF=Y")</f>
        <v>#NAME?</v>
      </c>
      <c r="L345" t="e">
        <f ca="1">_xll.BDH($C$328,"INCREMENTAL_OPERATING_MARGIN","FQ2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345" t="e">
        <f ca="1">_xll.BDH($C$328,"PRETAX_INC_TO_NET_SALES","FQ2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345" t="e">
        <f ca="1">_xll.BDH($C$328,"INC_BEF_XO_ITEMS_TO_NET_SALES","FQ2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345" t="e">
        <f ca="1">_xll.BDH($C$328,"PROF_MARGIN","FQ2 2017","FQ2 2017","Currency=INR","Period=FQ","BEST_FPERIOD_OVERRIDE=FQ","FILING_STATUS=OR","EQY_CONSOLIDATED=Y","FA_ADJUSTED=GAAP","Sort=A","Dates=H","DateFormat=P","Fill=—","Direction=H","UseDPDF=Y")</f>
        <v>#NAME?</v>
      </c>
      <c r="P345" t="e">
        <f ca="1">_xll.BDH($C$328,"NET_INCOME_TO_COMMON_MARGIN","FQ2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345" t="e">
        <f ca="1">_xll.BDH($C$328,"EFF_TAX_RATE","FQ2 2017","FQ2 2017","Currency=INR","Period=FQ","BEST_FPERIOD_OVERRIDE=FQ","FILING_STATUS=OR","EQY_CONSOLIDATED=Y","FA_ADJUSTED=GAAP","Sort=A","Dates=H","DateFormat=P","Fill=—","Direction=H","UseDPDF=Y")</f>
        <v>#NAME?</v>
      </c>
      <c r="R345" t="e">
        <f ca="1">_xll.BDH($C$328,"DVD_PAYOUT_RATIO","FQ2 2017","FQ2 2017","Currency=INR","Period=FQ","BEST_FPERIOD_OVERRIDE=FQ","FILING_STATUS=OR","EQY_CONSOLIDATED=Y","FA_ADJUSTED=GAAP","Sort=A","Dates=H","DateFormat=P","Fill=—","Direction=H","UseDPDF=Y")</f>
        <v>#NAME?</v>
      </c>
      <c r="S345" t="e">
        <f ca="1">_xll.BDH($C$328,"SUSTAIN_GROWTH_RT","FQ2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345" s="2" t="e">
        <f ca="1">_xll.BDH($C$328,"SALES_GROWTH","FQ2 2017","FQ2 2017","Currency=INR","Period=FQ","BEST_FPERIOD_OVERRIDE=FQ","FILING_STATUS=OR","EQY_CONSOLIDATED=Y","FA_ADJUSTED=GAAP","Sort=A","Dates=H","DateFormat=P","Fill=—","Direction=H","UseDPDF=Y")</f>
        <v>#NAME?</v>
      </c>
      <c r="U345" s="2" t="e">
        <f ca="1">_xll.BDH($C$328,"EBITDA_GROWTH","FQ2 2017","FQ2 2017","Currency=INR","Period=FQ","BEST_FPERIOD_OVERRIDE=FQ","FILING_STATUS=OR","EQY_CONSOLIDATED=Y","FA_ADJUSTED=GAAP","Sort=A","Dates=H","DateFormat=P","Fill=—","Direction=H","UseDPDF=Y")</f>
        <v>#NAME?</v>
      </c>
      <c r="V345" s="2" t="e">
        <f ca="1">_xll.BDH($C$328,"OPER_INC_GROWTH","FQ2 2017","FQ2 2017","Currency=INR","Period=FQ","BEST_FPERIOD_OVERRIDE=FQ","FILING_STATUS=OR","EQY_CONSOLIDATED=Y","FA_ADJUSTED=GAAP","Sort=A","Dates=H","DateFormat=P","Fill=—","Direction=H","UseDPDF=Y")</f>
        <v>#NAME?</v>
      </c>
      <c r="W345" s="2" t="e">
        <f ca="1">_xll.BDH($C$328,"EARN_FOR_COM_GROWTH","FQ2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345" s="2" t="e">
        <f ca="1">_xll.BDH($C$328,"DILUTED_EPS_AFT_XO_ITEMS_GROWTH","FQ2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345" s="2" t="e">
        <f ca="1">_xll.BDH($C$328,"DIVIDEND_PER_SHARE_1_YEAR_GROWTH","FQ2 2017","FQ2 2017","Currency=INR","Period=FQ","BEST_FPERIOD_OVERRIDE=FQ","FILING_STATUS=OR","EQY_CONSOLIDATED=Y","Sort=A","Dates=H","DateFormat=P","Fill=—","Direction=H","UseDPDF=Y")</f>
        <v>#NAME?</v>
      </c>
      <c r="Z345" s="2" t="e">
        <f ca="1">_xll.BDH($C$328,"ACCOUNTS_RECEIVABLE_GROWTH","FQ2 2017","FQ2 2017","Currency=INR","Period=FQ","BEST_FPERIOD_OVERRIDE=FQ","FILING_STATUS=OR","EQY_CONSOLIDATED=Y","Sort=A","Dates=H","DateFormat=P","Fill=—","Direction=H","UseDPDF=Y")</f>
        <v>#NAME?</v>
      </c>
      <c r="AA345" s="2" t="e">
        <f ca="1">_xll.BDH($C$328,"INVENTORY_GROWTH","FQ2 2017","FQ2 2017","Currency=INR","Period=FQ","BEST_FPERIOD_OVERRIDE=FQ","FILING_STATUS=OR","EQY_CONSOLIDATED=Y","Sort=A","Dates=H","DateFormat=P","Fill=—","Direction=H","UseDPDF=Y")</f>
        <v>#NAME?</v>
      </c>
      <c r="AB345" s="2" t="e">
        <f ca="1">_xll.BDH($C$328,"NET_FIXED_ASSETS_1_YEAR_GROWTH","FQ2 2017","FQ2 2017","Currency=INR","Period=FQ","BEST_FPERIOD_OVERRIDE=FQ","FILING_STATUS=OR","EQY_CONSOLIDATED=Y","Sort=A","Dates=H","DateFormat=P","Fill=—","Direction=H","UseDPDF=Y")</f>
        <v>#NAME?</v>
      </c>
      <c r="AC345" s="2" t="e">
        <f ca="1">_xll.BDH($C$328,"ASSET_GROWTH","FQ2 2017","FQ2 2017","Currency=INR","Period=FQ","BEST_FPERIOD_OVERRIDE=FQ","FILING_STATUS=OR","EQY_CONSOLIDATED=Y","Sort=A","Dates=H","DateFormat=P","Fill=—","Direction=H","UseDPDF=Y")</f>
        <v>#NAME?</v>
      </c>
      <c r="AD345" s="2" t="e">
        <f ca="1">_xll.BDH($C$328,"MODIFIED_WORK_CAP_GROWTH","FQ2 2017","FQ2 2017","Currency=INR","Period=FQ","BEST_FPERIOD_OVERRIDE=FQ","FILING_STATUS=OR","EQY_CONSOLIDATED=Y","Sort=A","Dates=H","DateFormat=P","Fill=—","Direction=H","UseDPDF=Y")</f>
        <v>#NAME?</v>
      </c>
      <c r="AE345" s="2" t="e">
        <f ca="1">_xll.BDH($C$328,"WORK_CAP_GROWTH","FQ2 2017","FQ2 2017","Currency=INR","Period=FQ","BEST_FPERIOD_OVERRIDE=FQ","FILING_STATUS=OR","EQY_CONSOLIDATED=Y","Sort=A","Dates=H","DateFormat=P","Fill=—","Direction=H","UseDPDF=Y")</f>
        <v>#NAME?</v>
      </c>
      <c r="AF345" s="2" t="e">
        <f ca="1">_xll.BDH($C$328,"ACCOUNTS_PAYABLE_GROWTH_1YR","FQ2 2017","FQ2 2017","Currency=INR","Period=FQ","BEST_FPERIOD_OVERRIDE=FQ","FILING_STATUS=OR","EQY_CONSOLIDATED=Y","Sort=A","Dates=H","DateFormat=P","Fill=—","Direction=H","UseDPDF=Y")</f>
        <v>#NAME?</v>
      </c>
      <c r="AG345" s="2" t="e">
        <f ca="1">_xll.BDH($C$328,"SHORT_TERM_DEBT_1_YEAR_GROWTH","FQ2 2017","FQ2 2017","Currency=INR","Period=FQ","BEST_FPERIOD_OVERRIDE=FQ","FILING_STATUS=OR","EQY_CONSOLIDATED=Y","Sort=A","Dates=H","DateFormat=P","Fill=—","Direction=H","UseDPDF=Y")</f>
        <v>#NAME?</v>
      </c>
      <c r="AH345" s="2" t="e">
        <f ca="1">_xll.BDH($C$328,"TOTAL_DEBT_1_YEAR_GROWTH","FQ2 2017","FQ2 2017","Currency=INR","Period=FQ","BEST_FPERIOD_OVERRIDE=FQ","FILING_STATUS=OR","EQY_CONSOLIDATED=Y","Sort=A","Dates=H","DateFormat=P","Fill=—","Direction=H","UseDPDF=Y")</f>
        <v>#NAME?</v>
      </c>
      <c r="AI345" s="2" t="e">
        <f ca="1">_xll.BDH($C$328,"TOTAL_EQUITY_1_YEAR_GROWTH","FQ2 2017","FQ2 2017","Currency=INR","Period=FQ","BEST_FPERIOD_OVERRIDE=FQ","FILING_STATUS=OR","EQY_CONSOLIDATED=Y","Sort=A","Dates=H","DateFormat=P","Fill=—","Direction=H","UseDPDF=Y")</f>
        <v>#NAME?</v>
      </c>
      <c r="AJ345" s="2" t="e">
        <f ca="1">_xll.BDH($C$328,"GROWTH_IN_CAP","FQ2 2017","FQ2 2017","Currency=INR","Period=FQ","BEST_FPERIOD_OVERRIDE=FQ","FILING_STATUS=OR","EQY_CONSOLIDATED=Y","Sort=A","Dates=H","DateFormat=P","Fill=—","Direction=H","UseDPDF=Y")</f>
        <v>#NAME?</v>
      </c>
      <c r="AK345" s="2" t="e">
        <f ca="1">_xll.BDH($C$328,"BVPS_GROWTH","FQ2 2017","FQ2 2017","Currency=INR","Period=FQ","BEST_FPERIOD_OVERRIDE=FQ","FILING_STATUS=OR","EQY_CONSOLIDATED=Y","Sort=A","Dates=H","DateFormat=P","Fill=—","Direction=H","UseDPDF=Y")</f>
        <v>#NAME?</v>
      </c>
      <c r="AL345" s="2" t="e">
        <f ca="1">_xll.BDH($C$328,"CASH_FLOW_GROWTH","FQ2 2017","FQ2 2017","Currency=INR","Period=FQ","BEST_FPERIOD_OVERRIDE=FQ","FILING_STATUS=OR","EQY_CONSOLIDATED=Y","Sort=A","Dates=H","DateFormat=P","Fill=—","Direction=H","UseDPDF=Y")</f>
        <v>#NAME?</v>
      </c>
      <c r="AM345" s="2" t="e">
        <f ca="1">_xll.BDH($C$328,"GEO_GROW_NET_SALES","FQ2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345" s="2" t="e">
        <f ca="1">_xll.BDH($C$328,"GEO_GROW_EBITDA","FQ2 2017","FQ2 2017","Currency=INR","Period=FQ","BEST_FPERIOD_OVERRIDE=FQ","FILING_STATUS=OR","EQY_CONSOLIDATED=Y","FA_ADJUSTED=GAAP","Sort=A","Dates=H","DateFormat=P","Fill=—","Direction=H","UseDPDF=Y")</f>
        <v>#NAME?</v>
      </c>
      <c r="AO345" s="2" t="e">
        <f ca="1">_xll.BDH($C$328,"GEO_GROW_OPER_INC","FQ2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345" s="2" t="e">
        <f ca="1">_xll.BDH($C$328,"NET_INCOME_TO_COMMON_5_YR_GROWTH","FQ2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345" s="2" t="e">
        <f ca="1">_xll.BDH($C$328,"5Y_GEO_GROWTH_DILUTED_EPS","FQ2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345" s="2" t="e">
        <f ca="1">_xll.BDH($C$328,"GEO_GROW_DVD_PER_SH","FQ2 2017","FQ2 2017","Currency=INR","Period=FQ","BEST_FPERIOD_OVERRIDE=FQ","FILING_STATUS=OR","EQY_CONSOLIDATED=Y","Sort=A","Dates=H","DateFormat=P","Fill=—","Direction=H","UseDPDF=Y")</f>
        <v>#NAME?</v>
      </c>
      <c r="AS345" s="2" t="e">
        <f ca="1">_xll.BDH($C$328,"ACCOUNTS_RECEIVABLE_5_YR_GROWTH","FQ2 2017","FQ2 2017","Currency=INR","Period=FQ","BEST_FPERIOD_OVERRIDE=FQ","FILING_STATUS=OR","EQY_CONSOLIDATED=Y","Sort=A","Dates=H","DateFormat=P","Fill=—","Direction=H","UseDPDF=Y")</f>
        <v>#NAME?</v>
      </c>
      <c r="AT345" s="2" t="e">
        <f ca="1">_xll.BDH($C$328,"INVENTORY_5_YEAR_GROWTH","FQ2 2017","FQ2 2017","Currency=INR","Period=FQ","BEST_FPERIOD_OVERRIDE=FQ","FILING_STATUS=OR","EQY_CONSOLIDATED=Y","Sort=A","Dates=H","DateFormat=P","Fill=—","Direction=H","UseDPDF=Y")</f>
        <v>#NAME?</v>
      </c>
      <c r="AU345" s="2" t="e">
        <f ca="1">_xll.BDH($C$328,"NET_FIXED_ASSETS_5_YEAR_GROWTH","FQ2 2017","FQ2 2017","Currency=INR","Period=FQ","BEST_FPERIOD_OVERRIDE=FQ","FILING_STATUS=OR","EQY_CONSOLIDATED=Y","Sort=A","Dates=H","DateFormat=P","Fill=—","Direction=H","UseDPDF=Y")</f>
        <v>#NAME?</v>
      </c>
      <c r="AV345" s="2" t="e">
        <f ca="1">_xll.BDH($C$328,"GEO_GROW_TOT_ASSET","FQ2 2017","FQ2 2017","Currency=INR","Period=FQ","BEST_FPERIOD_OVERRIDE=FQ","FILING_STATUS=OR","EQY_CONSOLIDATED=Y","Sort=A","Dates=H","DateFormat=P","Fill=—","Direction=H","UseDPDF=Y")</f>
        <v>#NAME?</v>
      </c>
      <c r="AW345" s="2" t="e">
        <f ca="1">_xll.BDH($C$328,"MODIFIED_WORKING_CPTL_5YR_GRWTH","FQ2 2017","FQ2 2017","Currency=INR","Period=FQ","BEST_FPERIOD_OVERRIDE=FQ","FILING_STATUS=OR","EQY_CONSOLIDATED=Y","Sort=A","Dates=H","DateFormat=P","Fill=—","Direction=H","UseDPDF=Y")</f>
        <v>#NAME?</v>
      </c>
      <c r="AX345" s="2" t="e">
        <f ca="1">_xll.BDH($C$328,"WORKING_CAPITAL_5_YEAR_GROWTH","FQ2 2017","FQ2 2017","Currency=INR","Period=FQ","BEST_FPERIOD_OVERRIDE=FQ","FILING_STATUS=OR","EQY_CONSOLIDATED=Y","Sort=A","Dates=H","DateFormat=P","Fill=—","Direction=H","UseDPDF=Y")</f>
        <v>#NAME?</v>
      </c>
      <c r="AY345" s="2" t="e">
        <f ca="1">_xll.BDH($C$328,"ACCOUNTS_PAYABLE_5_YEAR_GROWTH","FQ2 2017","FQ2 2017","Currency=INR","Period=FQ","BEST_FPERIOD_OVERRIDE=FQ","FILING_STATUS=OR","EQY_CONSOLIDATED=Y","Sort=A","Dates=H","DateFormat=P","Fill=—","Direction=H","UseDPDF=Y")</f>
        <v>#NAME?</v>
      </c>
      <c r="AZ345" s="2" t="e">
        <f ca="1">_xll.BDH($C$328,"SHORT_TERM_DEBT_5_YEAR_GROWTH","FQ2 2017","FQ2 2017","Currency=INR","Period=FQ","BEST_FPERIOD_OVERRIDE=FQ","FILING_STATUS=OR","EQY_CONSOLIDATED=Y","Sort=A","Dates=H","DateFormat=P","Fill=—","Direction=H","UseDPDF=Y")</f>
        <v>#NAME?</v>
      </c>
      <c r="BA345" s="2" t="e">
        <f ca="1">_xll.BDH($C$328,"TOTAL_DEBT_5_YEAR_GROWTH","FQ2 2017","FQ2 2017","Currency=INR","Period=FQ","BEST_FPERIOD_OVERRIDE=FQ","FILING_STATUS=OR","EQY_CONSOLIDATED=Y","Sort=A","Dates=H","DateFormat=P","Fill=—","Direction=H","UseDPDF=Y")</f>
        <v>#NAME?</v>
      </c>
      <c r="BB345" s="2" t="e">
        <f ca="1">_xll.BDH($C$328,"GEO_GROW_TOT_SHRHLDR_EQY","FQ2 2017","FQ2 2017","Currency=INR","Period=FQ","BEST_FPERIOD_OVERRIDE=FQ","FILING_STATUS=OR","EQY_CONSOLIDATED=Y","Sort=A","Dates=H","DateFormat=P","Fill=—","Direction=H","UseDPDF=Y")</f>
        <v>#NAME?</v>
      </c>
      <c r="BC345" s="2" t="e">
        <f ca="1">_xll.BDH($C$328,"TOTAL_CAPITAL_5_YEAR_GROWTH","FQ2 2017","FQ2 2017","Currency=INR","Period=FQ","BEST_FPERIOD_OVERRIDE=FQ","FILING_STATUS=OR","EQY_CONSOLIDATED=Y","Sort=A","Dates=H","DateFormat=P","Fill=—","Direction=H","UseDPDF=Y")</f>
        <v>#NAME?</v>
      </c>
      <c r="BD345" s="2" t="e">
        <f ca="1">_xll.BDH($C$328,"GEO_GROW_BOOK_VAL","FQ2 2017","FQ2 2017","Currency=INR","Period=FQ","BEST_FPERIOD_OVERRIDE=FQ","FILING_STATUS=OR","EQY_CONSOLIDATED=Y","Sort=A","Dates=H","DateFormat=P","Fill=—","Direction=H","UseDPDF=Y")</f>
        <v>#NAME?</v>
      </c>
      <c r="BE345" s="2" t="e">
        <f ca="1">_xll.BDH($C$328,"GEO_GROW_CASH_OPER_ACT","FQ2 2017","FQ2 2017","Currency=INR","Period=FQ","BEST_FPERIOD_OVERRIDE=FQ","FILING_STATUS=OR","EQY_CONSOLIDATED=Y","Sort=A","Dates=H","DateFormat=P","Fill=—","Direction=H","UseDPDF=Y")</f>
        <v>#NAME?</v>
      </c>
      <c r="BF345" s="2" t="e">
        <f ca="1">_xll.BDH($C$328,"REVENUE_SEQUENTIAL_GROWTH","FQ2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345" s="2" t="e">
        <f ca="1">_xll.BDH($C$328,"EBITDA_SEQUENTIAL_GROWTH","FQ2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345" s="2" t="e">
        <f ca="1">_xll.BDH($C$328,"OPERATING_INCOME_SEQ_GROWTH","FQ2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345" s="2" t="e">
        <f ca="1">_xll.BDH($C$328,"NET_INCOME_TO_COMMON_SEQ_GROWTH","FQ2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345" s="2" t="e">
        <f ca="1">_xll.BDH($C$328,"EPS_DILUTED_SEQUENTIAL_GROWTH","FQ2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345" s="2" t="e">
        <f ca="1">_xll.BDH($C$328,"DPS_SEQUENTIAL_GROWTH","FQ2 2017","FQ2 2017","Currency=INR","Period=FQ","BEST_FPERIOD_OVERRIDE=FQ","FILING_STATUS=OR","EQY_CONSOLIDATED=Y","Sort=A","Dates=H","DateFormat=P","Fill=—","Direction=H","UseDPDF=Y")</f>
        <v>#NAME?</v>
      </c>
      <c r="BL345" s="2" t="e">
        <f ca="1">_xll.BDH($C$328,"ACCOUNTS_RECEIVABLE_SEQ_GROWTH","FQ2 2017","FQ2 2017","Currency=INR","Period=FQ","BEST_FPERIOD_OVERRIDE=FQ","FILING_STATUS=OR","EQY_CONSOLIDATED=Y","Sort=A","Dates=H","DateFormat=P","Fill=—","Direction=H","UseDPDF=Y")</f>
        <v>#NAME?</v>
      </c>
      <c r="BM345" s="2" t="e">
        <f ca="1">_xll.BDH($C$328,"INVENTORY_SEQUENTIAL_GROWTH","FQ2 2017","FQ2 2017","Currency=INR","Period=FQ","BEST_FPERIOD_OVERRIDE=FQ","FILING_STATUS=OR","EQY_CONSOLIDATED=Y","Sort=A","Dates=H","DateFormat=P","Fill=—","Direction=H","UseDPDF=Y")</f>
        <v>#NAME?</v>
      </c>
      <c r="BN345" s="2" t="e">
        <f ca="1">_xll.BDH($C$328,"FIXED_ASSETS_SEQUENTIAL_GROWTH","FQ2 2017","FQ2 2017","Currency=INR","Period=FQ","BEST_FPERIOD_OVERRIDE=FQ","FILING_STATUS=OR","EQY_CONSOLIDATED=Y","Sort=A","Dates=H","DateFormat=P","Fill=—","Direction=H","UseDPDF=Y")</f>
        <v>#NAME?</v>
      </c>
      <c r="BO345" s="2" t="e">
        <f ca="1">_xll.BDH($C$328,"TOTAL_ASSETS_SEQUENTIAL_GROWTH","FQ2 2017","FQ2 2017","Currency=INR","Period=FQ","BEST_FPERIOD_OVERRIDE=FQ","FILING_STATUS=OR","EQY_CONSOLIDATED=Y","Sort=A","Dates=H","DateFormat=P","Fill=—","Direction=H","UseDPDF=Y")</f>
        <v>#NAME?</v>
      </c>
      <c r="BP345" s="2" t="e">
        <f ca="1">_xll.BDH($C$328,"MODIFIED_WORKING_CPTL_SEQ_GRWTH","FQ2 2017","FQ2 2017","Currency=INR","Period=FQ","BEST_FPERIOD_OVERRIDE=FQ","FILING_STATUS=OR","EQY_CONSOLIDATED=Y","Sort=A","Dates=H","DateFormat=P","Fill=—","Direction=H","UseDPDF=Y")</f>
        <v>#NAME?</v>
      </c>
      <c r="BQ345" s="2" t="e">
        <f ca="1">_xll.BDH($C$328,"WORKING_CAPITAL_SEQ_GROWTH","FQ2 2017","FQ2 2017","Currency=INR","Period=FQ","BEST_FPERIOD_OVERRIDE=FQ","FILING_STATUS=OR","EQY_CONSOLIDATED=Y","Sort=A","Dates=H","DateFormat=P","Fill=—","Direction=H","UseDPDF=Y")</f>
        <v>#NAME?</v>
      </c>
      <c r="BR345" s="2" t="e">
        <f ca="1">_xll.BDH($C$328,"ACCOUNTS_PAYABLE_SEQ_GROWTH","FQ2 2017","FQ2 2017","Currency=INR","Period=FQ","BEST_FPERIOD_OVERRIDE=FQ","FILING_STATUS=OR","EQY_CONSOLIDATED=Y","Sort=A","Dates=H","DateFormat=P","Fill=—","Direction=H","UseDPDF=Y")</f>
        <v>#NAME?</v>
      </c>
      <c r="BS345" s="2" t="e">
        <f ca="1">_xll.BDH($C$328,"ST_DEBT_SEQUENTIAL_GROWTH","FQ2 2017","FQ2 2017","Currency=INR","Period=FQ","BEST_FPERIOD_OVERRIDE=FQ","FILING_STATUS=OR","EQY_CONSOLIDATED=Y","Sort=A","Dates=H","DateFormat=P","Fill=—","Direction=H","UseDPDF=Y")</f>
        <v>#NAME?</v>
      </c>
      <c r="BT345" s="2" t="e">
        <f ca="1">_xll.BDH($C$328,"TOTAL_DEBT_SEQUENTIAL_GROWTH","FQ2 2017","FQ2 2017","Currency=INR","Period=FQ","BEST_FPERIOD_OVERRIDE=FQ","FILING_STATUS=OR","EQY_CONSOLIDATED=Y","Sort=A","Dates=H","DateFormat=P","Fill=—","Direction=H","UseDPDF=Y")</f>
        <v>#NAME?</v>
      </c>
      <c r="BU345" s="2" t="e">
        <f ca="1">_xll.BDH($C$328,"TOTAL_EQUITY_SEQUENTIAL_GROWTH","FQ2 2017","FQ2 2017","Currency=INR","Period=FQ","BEST_FPERIOD_OVERRIDE=FQ","FILING_STATUS=OR","EQY_CONSOLIDATED=Y","Sort=A","Dates=H","DateFormat=P","Fill=—","Direction=H","UseDPDF=Y")</f>
        <v>#NAME?</v>
      </c>
      <c r="BV345" s="2" t="e">
        <f ca="1">_xll.BDH($C$328,"TOTAL_CAPITAL_SEQUENTIAL_GROWTH","FQ2 2017","FQ2 2017","Currency=INR","Period=FQ","BEST_FPERIOD_OVERRIDE=FQ","FILING_STATUS=OR","EQY_CONSOLIDATED=Y","Sort=A","Dates=H","DateFormat=P","Fill=—","Direction=H","UseDPDF=Y")</f>
        <v>#NAME?</v>
      </c>
      <c r="BW345" s="2" t="e">
        <f ca="1">_xll.BDH($C$328,"BPS_SEQUENTIAL_GROWTH","FQ2 2017","FQ2 2017","Currency=INR","Period=FQ","BEST_FPERIOD_OVERRIDE=FQ","FILING_STATUS=OR","EQY_CONSOLIDATED=Y","Sort=A","Dates=H","DateFormat=P","Fill=—","Direction=H","UseDPDF=Y")</f>
        <v>#NAME?</v>
      </c>
      <c r="BX345" s="2" t="e">
        <f ca="1">_xll.BDH($C$328,"CFO_SEQUENTIAL_GROWTH","FQ2 2017","FQ2 2017","Currency=INR","Period=FQ","BEST_FPERIOD_OVERRIDE=FQ","FILING_STATUS=OR","EQY_CONSOLIDATED=Y","Sort=A","Dates=H","DateFormat=P","Fill=—","Direction=H","UseDPDF=Y")</f>
        <v>#NAME?</v>
      </c>
      <c r="BY345" s="3" t="e">
        <f ca="1">_xll.BDH($C$328,"SHORT_AND_LONG_TERM_DEBT","FQ2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345" s="3" t="e">
        <f ca="1">_xll.BDH($C$328,"BS_ST_BORROW","FQ2 2017","FQ2 2017","Currency=INR","Period=FQ","BEST_FPERIOD_OVERRIDE=FQ","FILING_STATUS=OR","EQY_CONSOLIDATED=Y","SCALING_FORMAT=MLN","Sort=A","Dates=H","DateFormat=P","Fill=—","Direction=H","UseDPDF=Y")</f>
        <v>#NAME?</v>
      </c>
      <c r="CA345" s="3" t="e">
        <f ca="1">_xll.BDH($C$328,"BS_LT_BORROW","FQ2 2017","FQ2 2017","Currency=INR","Period=FQ","BEST_FPERIOD_OVERRIDE=FQ","FILING_STATUS=OR","EQY_CONSOLIDATED=Y","SCALING_FORMAT=MLN","Sort=A","Dates=H","DateFormat=P","Fill=—","Direction=H","UseDPDF=Y")</f>
        <v>#NAME?</v>
      </c>
      <c r="CB345" s="2" t="e">
        <f ca="1">_xll.BDH($C$328,"TOT_DEBT_TO_EBITDA","FQ2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345" s="2" t="e">
        <f ca="1">_xll.BDH($C$328,"NET_DEBT_TO_EBITDA","FQ2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345" s="2" t="e">
        <f ca="1">_xll.BDH($C$328,"TOTAL_DEBT_TO_EBIT","FQ2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345" s="2" t="e">
        <f ca="1">_xll.BDH($C$328,"NET_DEBT_TO_EBIT","FQ2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345" s="2" t="e">
        <f ca="1">_xll.BDH($C$328,"EBITDA_TO_INTEREST_EXPN","FQ2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345" s="2" t="e">
        <f ca="1">_xll.BDH($C$328,"COM_EQY_TO_TOT_ASSET","FQ2 2017","FQ2 2017","Currency=INR","Period=FQ","BEST_FPERIOD_OVERRIDE=FQ","FILING_STATUS=OR","EQY_CONSOLIDATED=Y","Sort=A","Dates=H","DateFormat=P","Fill=—","Direction=H","UseDPDF=Y")</f>
        <v>#NAME?</v>
      </c>
      <c r="CH345" s="2" t="e">
        <f ca="1">_xll.BDH($C$328,"LT_DEBT_TO_TOT_EQY","FQ2 2017","FQ2 2017","Currency=INR","Period=FQ","BEST_FPERIOD_OVERRIDE=FQ","FILING_STATUS=OR","EQY_CONSOLIDATED=Y","Sort=A","Dates=H","DateFormat=P","Fill=—","Direction=H","UseDPDF=Y")</f>
        <v>#NAME?</v>
      </c>
      <c r="CI345" s="2" t="e">
        <f ca="1">_xll.BDH($C$328,"LT_DEBT_TO_TOT_CAP","FQ2 2017","FQ2 2017","Currency=INR","Period=FQ","BEST_FPERIOD_OVERRIDE=FQ","FILING_STATUS=OR","EQY_CONSOLIDATED=Y","Sort=A","Dates=H","DateFormat=P","Fill=—","Direction=H","UseDPDF=Y")</f>
        <v>#NAME?</v>
      </c>
      <c r="CJ345" s="2" t="e">
        <f ca="1">_xll.BDH($C$328,"LT_DEBT_TO_TOT_ASSET","FQ2 2017","FQ2 2017","Currency=INR","Period=FQ","BEST_FPERIOD_OVERRIDE=FQ","FILING_STATUS=OR","EQY_CONSOLIDATED=Y","Sort=A","Dates=H","DateFormat=P","Fill=—","Direction=H","UseDPDF=Y")</f>
        <v>#NAME?</v>
      </c>
      <c r="CK345" s="2" t="e">
        <f ca="1">_xll.BDH($C$328,"TOT_DEBT_TO_TOT_EQY","FQ2 2017","FQ2 2017","Currency=INR","Period=FQ","BEST_FPERIOD_OVERRIDE=FQ","FILING_STATUS=OR","EQY_CONSOLIDATED=Y","Sort=A","Dates=H","DateFormat=P","Fill=—","Direction=H","UseDPDF=Y")</f>
        <v>#NAME?</v>
      </c>
      <c r="CL345" s="2" t="e">
        <f ca="1">_xll.BDH($C$328,"TOT_DEBT_TO_TOT_CAP","FQ2 2017","FQ2 2017","Currency=INR","Period=FQ","BEST_FPERIOD_OVERRIDE=FQ","FILING_STATUS=OR","EQY_CONSOLIDATED=Y","Sort=A","Dates=H","DateFormat=P","Fill=—","Direction=H","UseDPDF=Y")</f>
        <v>#NAME?</v>
      </c>
      <c r="CM345" s="2" t="e">
        <f ca="1">_xll.BDH($C$328,"TOT_DEBT_TO_TOT_ASSET","FQ2 2017","FQ2 2017","Currency=INR","Period=FQ","BEST_FPERIOD_OVERRIDE=FQ","FILING_STATUS=OR","EQY_CONSOLIDATED=Y","Sort=A","Dates=H","DateFormat=P","Fill=—","Direction=H","UseDPDF=Y")</f>
        <v>#NAME?</v>
      </c>
      <c r="CN345" s="2" t="e">
        <f ca="1">_xll.BDH($C$328,"NET_DEBT_TO_SHRHLDR_EQTY","FQ2 2017","FQ2 2017","Currency=INR","Period=FQ","BEST_FPERIOD_OVERRIDE=FQ","FILING_STATUS=OR","EQY_CONSOLIDATED=Y","Sort=A","Dates=H","DateFormat=P","Fill=—","Direction=H","UseDPDF=Y")</f>
        <v>#NAME?</v>
      </c>
      <c r="CO345" s="2" t="e">
        <f ca="1">_xll.BDH($C$328,"NET_DEBT_%_CAPITAL","FQ2 2017","FQ2 2017","Currency=INR","Period=FQ","BEST_FPERIOD_OVERRIDE=FQ","FILING_STATUS=OR","EQY_CONSOLIDATED=Y","Sort=A","Dates=H","DateFormat=P","Fill=—","Direction=H","UseDPDF=Y")</f>
        <v>#NAME?</v>
      </c>
      <c r="CP345" s="3" t="e">
        <f ca="1">_xll.BDH($C$328,"EBITDA","FQ2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345" s="3" t="e">
        <f ca="1">_xll.BDH($C$328,"EBITDA_AFTER_CAPEX","FQ2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345" s="3" t="e">
        <f ca="1">_xll.BDH($C$328,"IS_OPER_INC","FQ2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345" s="2" t="e">
        <f ca="1">_xll.BDH($C$328,"CASH_RATIO","FQ2 2017","FQ2 2017","Currency=INR","Period=FQ","BEST_FPERIOD_OVERRIDE=FQ","FILING_STATUS=OR","EQY_CONSOLIDATED=Y","Sort=A","Dates=H","DateFormat=P","Fill=—","Direction=H","UseDPDF=Y")</f>
        <v>#NAME?</v>
      </c>
      <c r="CT345" s="2" t="e">
        <f ca="1">_xll.BDH($C$328,"CUR_RATIO","FQ2 2017","FQ2 2017","Currency=INR","Period=FQ","BEST_FPERIOD_OVERRIDE=FQ","FILING_STATUS=OR","EQY_CONSOLIDATED=Y","Sort=A","Dates=H","DateFormat=P","Fill=—","Direction=H","UseDPDF=Y")</f>
        <v>#NAME?</v>
      </c>
      <c r="CU345" s="2" t="e">
        <f ca="1">_xll.BDH($C$328,"QUICK_RATIO","FQ2 2017","FQ2 2017","Currency=INR","Period=FQ","BEST_FPERIOD_OVERRIDE=FQ","FILING_STATUS=OR","EQY_CONSOLIDATED=Y","Sort=A","Dates=H","DateFormat=P","Fill=—","Direction=H","UseDPDF=Y")</f>
        <v>#NAME?</v>
      </c>
      <c r="CV345" s="2" t="e">
        <f ca="1">_xll.BDH($C$328,"ALTMAN_Z_SCORE","FQ2 2017","FQ2 2017","Currency=INR","Period=FQ","BEST_FPERIOD_OVERRIDE=FQ","FILING_STATUS=OR","EQY_CONSOLIDATED=Y","Sort=A","Dates=H","DateFormat=P","Fill=—","Direction=H","UseDPDF=Y")</f>
        <v>#NAME?</v>
      </c>
      <c r="CW345" s="4" t="e">
        <f ca="1">_xll.BDH($C$328,"ACCT_RCV_TURN","FQ2 2017","FQ2 2017","Currency=INR","Period=FQ","BEST_FPERIOD_OVERRIDE=FQ","FILING_STATUS=OR","EQY_CONSOLIDATED=Y","FA_ADJUSTED=GAAP","Sort=A","Dates=H","DateFormat=P","Fill=—","Direction=H","UseDPDF=Y")</f>
        <v>#NAME?</v>
      </c>
      <c r="CX345" s="2" t="e">
        <f ca="1">_xll.BDH($C$328,"ACCT_RCV_DAYS","FQ2 2017","FQ2 2017","Currency=INR","Period=FQ","BEST_FPERIOD_OVERRIDE=FQ","FILING_STATUS=OR","EQY_CONSOLIDATED=Y","FA_ADJUSTED=GAAP","Sort=A","Dates=H","DateFormat=P","Fill=—","Direction=H","UseDPDF=Y")</f>
        <v>#NAME?</v>
      </c>
      <c r="CY345" s="4" t="e">
        <f ca="1">_xll.BDH($C$328,"INVENT_TURN","FQ2 2017","FQ2 2017","Currency=INR","Period=FQ","BEST_FPERIOD_OVERRIDE=FQ","FILING_STATUS=OR","EQY_CONSOLIDATED=Y","FA_ADJUSTED=GAAP","Sort=A","Dates=H","DateFormat=P","Fill=—","Direction=H","UseDPDF=Y")</f>
        <v>#NAME?</v>
      </c>
      <c r="CZ345" s="2" t="e">
        <f ca="1">_xll.BDH($C$328,"INVENT_DAYS","FQ2 2017","FQ2 2017","Currency=INR","Period=FQ","BEST_FPERIOD_OVERRIDE=FQ","FILING_STATUS=OR","EQY_CONSOLIDATED=Y","FA_ADJUSTED=GAAP","Sort=A","Dates=H","DateFormat=P","Fill=—","Direction=H","UseDPDF=Y")</f>
        <v>#NAME?</v>
      </c>
      <c r="DA345" s="4" t="e">
        <f ca="1">_xll.BDH($C$328,"ACCOUNTS_PAYABLE_TURNOVER","FQ2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345" s="2" t="e">
        <f ca="1">_xll.BDH($C$328,"ACCOUNTS_PAYABLE_TURNOVER_DAYS","FQ2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345" s="4" t="e">
        <f ca="1">_xll.BDH($C$328,"CASH_CONVERSION_CYCLE","FQ2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345" s="4" t="e">
        <f ca="1">_xll.BDH($C$328,"INV_TO_CASH_DAYS","FQ2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345" s="5" t="e">
        <f ca="1">_xll.BDH($C$328,"BS_INVENTORIES","FQ2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345" s="3" t="e">
        <f ca="1">_xll.BDH($C$328,"INVTRY_RAW_MATERIALS","FQ2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345" s="3" t="e">
        <f ca="1">_xll.BDH($C$328,"INVTRY_IN_PROGRESS","FQ2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345" s="3" t="e">
        <f ca="1">_xll.BDH($C$328,"INVTRY_FINISHED_GOODS","FQ2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345" s="3" t="e">
        <f ca="1">_xll.BDH($C$328,"BS_OTHER_INV","FQ2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346" spans="1:113" x14ac:dyDescent="0.3">
      <c r="A346" s="6"/>
      <c r="B346" s="6"/>
      <c r="C346" s="6"/>
      <c r="D346" s="6"/>
      <c r="E346" t="s">
        <v>80</v>
      </c>
      <c r="F346" t="e">
        <f ca="1">_xll.BDH($C$328,"RETURN_COM_EQY","FQ3 2017","FQ3 2017","Currency=INR","Period=FQ","BEST_FPERIOD_OVERRIDE=FQ","FILING_STATUS=OR","EQY_CONSOLIDATED=Y","FA_ADJUSTED=GAAP","Sort=A","Dates=H","DateFormat=P","Fill=—","Direction=H","UseDPDF=Y")</f>
        <v>#NAME?</v>
      </c>
      <c r="G346" t="e">
        <f ca="1">_xll.BDH($C$328,"RETURN_ON_ASSET","FQ3 2017","FQ3 2017","Currency=INR","Period=FQ","BEST_FPERIOD_OVERRIDE=FQ","FILING_STATUS=OR","EQY_CONSOLIDATED=Y","FA_ADJUSTED=GAAP","Sort=A","Dates=H","DateFormat=P","Fill=—","Direction=H","UseDPDF=Y")</f>
        <v>#NAME?</v>
      </c>
      <c r="H346" t="e">
        <f ca="1">_xll.BDH($C$328,"RETURN_ON_CAP","FQ3 2017","FQ3 2017","Currency=INR","Period=FQ","BEST_FPERIOD_OVERRIDE=FQ","FILING_STATUS=OR","EQY_CONSOLIDATED=Y","FA_ADJUSTED=GAAP","Sort=A","Dates=H","DateFormat=P","Fill=—","Direction=H","UseDPDF=Y")</f>
        <v>#NAME?</v>
      </c>
      <c r="I346" t="e">
        <f ca="1">_xll.BDH($C$328,"RETURN_ON_INV_CAPITAL","FQ3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346" t="e">
        <f ca="1">_xll.BDH($C$328,"EBITDA_TO_REVENUE","FQ3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346" t="e">
        <f ca="1">_xll.BDH($C$328,"OPER_MARGIN","FQ3 2017","FQ3 2017","Currency=INR","Period=FQ","BEST_FPERIOD_OVERRIDE=FQ","FILING_STATUS=OR","EQY_CONSOLIDATED=Y","FA_ADJUSTED=GAAP","Sort=A","Dates=H","DateFormat=P","Fill=—","Direction=H","UseDPDF=Y")</f>
        <v>#NAME?</v>
      </c>
      <c r="L346" t="e">
        <f ca="1">_xll.BDH($C$328,"INCREMENTAL_OPERATING_MARGIN","FQ3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346" t="e">
        <f ca="1">_xll.BDH($C$328,"PRETAX_INC_TO_NET_SALES","FQ3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346" t="e">
        <f ca="1">_xll.BDH($C$328,"INC_BEF_XO_ITEMS_TO_NET_SALES","FQ3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346" t="e">
        <f ca="1">_xll.BDH($C$328,"PROF_MARGIN","FQ3 2017","FQ3 2017","Currency=INR","Period=FQ","BEST_FPERIOD_OVERRIDE=FQ","FILING_STATUS=OR","EQY_CONSOLIDATED=Y","FA_ADJUSTED=GAAP","Sort=A","Dates=H","DateFormat=P","Fill=—","Direction=H","UseDPDF=Y")</f>
        <v>#NAME?</v>
      </c>
      <c r="P346" t="e">
        <f ca="1">_xll.BDH($C$328,"NET_INCOME_TO_COMMON_MARGIN","FQ3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346" t="e">
        <f ca="1">_xll.BDH($C$328,"EFF_TAX_RATE","FQ3 2017","FQ3 2017","Currency=INR","Period=FQ","BEST_FPERIOD_OVERRIDE=FQ","FILING_STATUS=OR","EQY_CONSOLIDATED=Y","FA_ADJUSTED=GAAP","Sort=A","Dates=H","DateFormat=P","Fill=—","Direction=H","UseDPDF=Y")</f>
        <v>#NAME?</v>
      </c>
      <c r="R346" t="e">
        <f ca="1">_xll.BDH($C$328,"DVD_PAYOUT_RATIO","FQ3 2017","FQ3 2017","Currency=INR","Period=FQ","BEST_FPERIOD_OVERRIDE=FQ","FILING_STATUS=OR","EQY_CONSOLIDATED=Y","FA_ADJUSTED=GAAP","Sort=A","Dates=H","DateFormat=P","Fill=—","Direction=H","UseDPDF=Y")</f>
        <v>#NAME?</v>
      </c>
      <c r="S346" t="e">
        <f ca="1">_xll.BDH($C$328,"SUSTAIN_GROWTH_RT","FQ3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346" s="2" t="e">
        <f ca="1">_xll.BDH($C$328,"SALES_GROWTH","FQ3 2017","FQ3 2017","Currency=INR","Period=FQ","BEST_FPERIOD_OVERRIDE=FQ","FILING_STATUS=OR","EQY_CONSOLIDATED=Y","FA_ADJUSTED=GAAP","Sort=A","Dates=H","DateFormat=P","Fill=—","Direction=H","UseDPDF=Y")</f>
        <v>#NAME?</v>
      </c>
      <c r="U346" s="2" t="e">
        <f ca="1">_xll.BDH($C$328,"EBITDA_GROWTH","FQ3 2017","FQ3 2017","Currency=INR","Period=FQ","BEST_FPERIOD_OVERRIDE=FQ","FILING_STATUS=OR","EQY_CONSOLIDATED=Y","FA_ADJUSTED=GAAP","Sort=A","Dates=H","DateFormat=P","Fill=—","Direction=H","UseDPDF=Y")</f>
        <v>#NAME?</v>
      </c>
      <c r="V346" s="2" t="e">
        <f ca="1">_xll.BDH($C$328,"OPER_INC_GROWTH","FQ3 2017","FQ3 2017","Currency=INR","Period=FQ","BEST_FPERIOD_OVERRIDE=FQ","FILING_STATUS=OR","EQY_CONSOLIDATED=Y","FA_ADJUSTED=GAAP","Sort=A","Dates=H","DateFormat=P","Fill=—","Direction=H","UseDPDF=Y")</f>
        <v>#NAME?</v>
      </c>
      <c r="W346" s="2" t="e">
        <f ca="1">_xll.BDH($C$328,"EARN_FOR_COM_GROWTH","FQ3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346" s="2" t="e">
        <f ca="1">_xll.BDH($C$328,"DILUTED_EPS_AFT_XO_ITEMS_GROWTH","FQ3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346" s="2" t="e">
        <f ca="1">_xll.BDH($C$328,"DIVIDEND_PER_SHARE_1_YEAR_GROWTH","FQ3 2017","FQ3 2017","Currency=INR","Period=FQ","BEST_FPERIOD_OVERRIDE=FQ","FILING_STATUS=OR","EQY_CONSOLIDATED=Y","Sort=A","Dates=H","DateFormat=P","Fill=—","Direction=H","UseDPDF=Y")</f>
        <v>#NAME?</v>
      </c>
      <c r="Z346" s="2" t="e">
        <f ca="1">_xll.BDH($C$328,"ACCOUNTS_RECEIVABLE_GROWTH","FQ3 2017","FQ3 2017","Currency=INR","Period=FQ","BEST_FPERIOD_OVERRIDE=FQ","FILING_STATUS=OR","EQY_CONSOLIDATED=Y","Sort=A","Dates=H","DateFormat=P","Fill=—","Direction=H","UseDPDF=Y")</f>
        <v>#NAME?</v>
      </c>
      <c r="AA346" s="2" t="e">
        <f ca="1">_xll.BDH($C$328,"INVENTORY_GROWTH","FQ3 2017","FQ3 2017","Currency=INR","Period=FQ","BEST_FPERIOD_OVERRIDE=FQ","FILING_STATUS=OR","EQY_CONSOLIDATED=Y","Sort=A","Dates=H","DateFormat=P","Fill=—","Direction=H","UseDPDF=Y")</f>
        <v>#NAME?</v>
      </c>
      <c r="AB346" s="2" t="e">
        <f ca="1">_xll.BDH($C$328,"NET_FIXED_ASSETS_1_YEAR_GROWTH","FQ3 2017","FQ3 2017","Currency=INR","Period=FQ","BEST_FPERIOD_OVERRIDE=FQ","FILING_STATUS=OR","EQY_CONSOLIDATED=Y","Sort=A","Dates=H","DateFormat=P","Fill=—","Direction=H","UseDPDF=Y")</f>
        <v>#NAME?</v>
      </c>
      <c r="AC346" s="2" t="e">
        <f ca="1">_xll.BDH($C$328,"ASSET_GROWTH","FQ3 2017","FQ3 2017","Currency=INR","Period=FQ","BEST_FPERIOD_OVERRIDE=FQ","FILING_STATUS=OR","EQY_CONSOLIDATED=Y","Sort=A","Dates=H","DateFormat=P","Fill=—","Direction=H","UseDPDF=Y")</f>
        <v>#NAME?</v>
      </c>
      <c r="AD346" s="2" t="e">
        <f ca="1">_xll.BDH($C$328,"MODIFIED_WORK_CAP_GROWTH","FQ3 2017","FQ3 2017","Currency=INR","Period=FQ","BEST_FPERIOD_OVERRIDE=FQ","FILING_STATUS=OR","EQY_CONSOLIDATED=Y","Sort=A","Dates=H","DateFormat=P","Fill=—","Direction=H","UseDPDF=Y")</f>
        <v>#NAME?</v>
      </c>
      <c r="AE346" s="2" t="e">
        <f ca="1">_xll.BDH($C$328,"WORK_CAP_GROWTH","FQ3 2017","FQ3 2017","Currency=INR","Period=FQ","BEST_FPERIOD_OVERRIDE=FQ","FILING_STATUS=OR","EQY_CONSOLIDATED=Y","Sort=A","Dates=H","DateFormat=P","Fill=—","Direction=H","UseDPDF=Y")</f>
        <v>#NAME?</v>
      </c>
      <c r="AF346" s="2" t="e">
        <f ca="1">_xll.BDH($C$328,"ACCOUNTS_PAYABLE_GROWTH_1YR","FQ3 2017","FQ3 2017","Currency=INR","Period=FQ","BEST_FPERIOD_OVERRIDE=FQ","FILING_STATUS=OR","EQY_CONSOLIDATED=Y","Sort=A","Dates=H","DateFormat=P","Fill=—","Direction=H","UseDPDF=Y")</f>
        <v>#NAME?</v>
      </c>
      <c r="AG346" s="2" t="e">
        <f ca="1">_xll.BDH($C$328,"SHORT_TERM_DEBT_1_YEAR_GROWTH","FQ3 2017","FQ3 2017","Currency=INR","Period=FQ","BEST_FPERIOD_OVERRIDE=FQ","FILING_STATUS=OR","EQY_CONSOLIDATED=Y","Sort=A","Dates=H","DateFormat=P","Fill=—","Direction=H","UseDPDF=Y")</f>
        <v>#NAME?</v>
      </c>
      <c r="AH346" s="2" t="e">
        <f ca="1">_xll.BDH($C$328,"TOTAL_DEBT_1_YEAR_GROWTH","FQ3 2017","FQ3 2017","Currency=INR","Period=FQ","BEST_FPERIOD_OVERRIDE=FQ","FILING_STATUS=OR","EQY_CONSOLIDATED=Y","Sort=A","Dates=H","DateFormat=P","Fill=—","Direction=H","UseDPDF=Y")</f>
        <v>#NAME?</v>
      </c>
      <c r="AI346" s="2" t="e">
        <f ca="1">_xll.BDH($C$328,"TOTAL_EQUITY_1_YEAR_GROWTH","FQ3 2017","FQ3 2017","Currency=INR","Period=FQ","BEST_FPERIOD_OVERRIDE=FQ","FILING_STATUS=OR","EQY_CONSOLIDATED=Y","Sort=A","Dates=H","DateFormat=P","Fill=—","Direction=H","UseDPDF=Y")</f>
        <v>#NAME?</v>
      </c>
      <c r="AJ346" s="2" t="e">
        <f ca="1">_xll.BDH($C$328,"GROWTH_IN_CAP","FQ3 2017","FQ3 2017","Currency=INR","Period=FQ","BEST_FPERIOD_OVERRIDE=FQ","FILING_STATUS=OR","EQY_CONSOLIDATED=Y","Sort=A","Dates=H","DateFormat=P","Fill=—","Direction=H","UseDPDF=Y")</f>
        <v>#NAME?</v>
      </c>
      <c r="AK346" s="2" t="e">
        <f ca="1">_xll.BDH($C$328,"BVPS_GROWTH","FQ3 2017","FQ3 2017","Currency=INR","Period=FQ","BEST_FPERIOD_OVERRIDE=FQ","FILING_STATUS=OR","EQY_CONSOLIDATED=Y","Sort=A","Dates=H","DateFormat=P","Fill=—","Direction=H","UseDPDF=Y")</f>
        <v>#NAME?</v>
      </c>
      <c r="AL346" s="2" t="e">
        <f ca="1">_xll.BDH($C$328,"CASH_FLOW_GROWTH","FQ3 2017","FQ3 2017","Currency=INR","Period=FQ","BEST_FPERIOD_OVERRIDE=FQ","FILING_STATUS=OR","EQY_CONSOLIDATED=Y","Sort=A","Dates=H","DateFormat=P","Fill=—","Direction=H","UseDPDF=Y")</f>
        <v>#NAME?</v>
      </c>
      <c r="AM346" s="2" t="e">
        <f ca="1">_xll.BDH($C$328,"GEO_GROW_NET_SALES","FQ3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346" s="2" t="e">
        <f ca="1">_xll.BDH($C$328,"GEO_GROW_EBITDA","FQ3 2017","FQ3 2017","Currency=INR","Period=FQ","BEST_FPERIOD_OVERRIDE=FQ","FILING_STATUS=OR","EQY_CONSOLIDATED=Y","FA_ADJUSTED=GAAP","Sort=A","Dates=H","DateFormat=P","Fill=—","Direction=H","UseDPDF=Y")</f>
        <v>#NAME?</v>
      </c>
      <c r="AO346" s="2" t="e">
        <f ca="1">_xll.BDH($C$328,"GEO_GROW_OPER_INC","FQ3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346" s="2" t="e">
        <f ca="1">_xll.BDH($C$328,"NET_INCOME_TO_COMMON_5_YR_GROWTH","FQ3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346" s="2" t="e">
        <f ca="1">_xll.BDH($C$328,"5Y_GEO_GROWTH_DILUTED_EPS","FQ3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346" s="2" t="e">
        <f ca="1">_xll.BDH($C$328,"GEO_GROW_DVD_PER_SH","FQ3 2017","FQ3 2017","Currency=INR","Period=FQ","BEST_FPERIOD_OVERRIDE=FQ","FILING_STATUS=OR","EQY_CONSOLIDATED=Y","Sort=A","Dates=H","DateFormat=P","Fill=—","Direction=H","UseDPDF=Y")</f>
        <v>#NAME?</v>
      </c>
      <c r="AS346" s="2" t="e">
        <f ca="1">_xll.BDH($C$328,"ACCOUNTS_RECEIVABLE_5_YR_GROWTH","FQ3 2017","FQ3 2017","Currency=INR","Period=FQ","BEST_FPERIOD_OVERRIDE=FQ","FILING_STATUS=OR","EQY_CONSOLIDATED=Y","Sort=A","Dates=H","DateFormat=P","Fill=—","Direction=H","UseDPDF=Y")</f>
        <v>#NAME?</v>
      </c>
      <c r="AT346" s="2" t="e">
        <f ca="1">_xll.BDH($C$328,"INVENTORY_5_YEAR_GROWTH","FQ3 2017","FQ3 2017","Currency=INR","Period=FQ","BEST_FPERIOD_OVERRIDE=FQ","FILING_STATUS=OR","EQY_CONSOLIDATED=Y","Sort=A","Dates=H","DateFormat=P","Fill=—","Direction=H","UseDPDF=Y")</f>
        <v>#NAME?</v>
      </c>
      <c r="AU346" s="2" t="e">
        <f ca="1">_xll.BDH($C$328,"NET_FIXED_ASSETS_5_YEAR_GROWTH","FQ3 2017","FQ3 2017","Currency=INR","Period=FQ","BEST_FPERIOD_OVERRIDE=FQ","FILING_STATUS=OR","EQY_CONSOLIDATED=Y","Sort=A","Dates=H","DateFormat=P","Fill=—","Direction=H","UseDPDF=Y")</f>
        <v>#NAME?</v>
      </c>
      <c r="AV346" s="2" t="e">
        <f ca="1">_xll.BDH($C$328,"GEO_GROW_TOT_ASSET","FQ3 2017","FQ3 2017","Currency=INR","Period=FQ","BEST_FPERIOD_OVERRIDE=FQ","FILING_STATUS=OR","EQY_CONSOLIDATED=Y","Sort=A","Dates=H","DateFormat=P","Fill=—","Direction=H","UseDPDF=Y")</f>
        <v>#NAME?</v>
      </c>
      <c r="AW346" s="2" t="e">
        <f ca="1">_xll.BDH($C$328,"MODIFIED_WORKING_CPTL_5YR_GRWTH","FQ3 2017","FQ3 2017","Currency=INR","Period=FQ","BEST_FPERIOD_OVERRIDE=FQ","FILING_STATUS=OR","EQY_CONSOLIDATED=Y","Sort=A","Dates=H","DateFormat=P","Fill=—","Direction=H","UseDPDF=Y")</f>
        <v>#NAME?</v>
      </c>
      <c r="AX346" s="2" t="e">
        <f ca="1">_xll.BDH($C$328,"WORKING_CAPITAL_5_YEAR_GROWTH","FQ3 2017","FQ3 2017","Currency=INR","Period=FQ","BEST_FPERIOD_OVERRIDE=FQ","FILING_STATUS=OR","EQY_CONSOLIDATED=Y","Sort=A","Dates=H","DateFormat=P","Fill=—","Direction=H","UseDPDF=Y")</f>
        <v>#NAME?</v>
      </c>
      <c r="AY346" s="2" t="e">
        <f ca="1">_xll.BDH($C$328,"ACCOUNTS_PAYABLE_5_YEAR_GROWTH","FQ3 2017","FQ3 2017","Currency=INR","Period=FQ","BEST_FPERIOD_OVERRIDE=FQ","FILING_STATUS=OR","EQY_CONSOLIDATED=Y","Sort=A","Dates=H","DateFormat=P","Fill=—","Direction=H","UseDPDF=Y")</f>
        <v>#NAME?</v>
      </c>
      <c r="AZ346" s="2" t="e">
        <f ca="1">_xll.BDH($C$328,"SHORT_TERM_DEBT_5_YEAR_GROWTH","FQ3 2017","FQ3 2017","Currency=INR","Period=FQ","BEST_FPERIOD_OVERRIDE=FQ","FILING_STATUS=OR","EQY_CONSOLIDATED=Y","Sort=A","Dates=H","DateFormat=P","Fill=—","Direction=H","UseDPDF=Y")</f>
        <v>#NAME?</v>
      </c>
      <c r="BA346" s="2" t="e">
        <f ca="1">_xll.BDH($C$328,"TOTAL_DEBT_5_YEAR_GROWTH","FQ3 2017","FQ3 2017","Currency=INR","Period=FQ","BEST_FPERIOD_OVERRIDE=FQ","FILING_STATUS=OR","EQY_CONSOLIDATED=Y","Sort=A","Dates=H","DateFormat=P","Fill=—","Direction=H","UseDPDF=Y")</f>
        <v>#NAME?</v>
      </c>
      <c r="BB346" s="2" t="e">
        <f ca="1">_xll.BDH($C$328,"GEO_GROW_TOT_SHRHLDR_EQY","FQ3 2017","FQ3 2017","Currency=INR","Period=FQ","BEST_FPERIOD_OVERRIDE=FQ","FILING_STATUS=OR","EQY_CONSOLIDATED=Y","Sort=A","Dates=H","DateFormat=P","Fill=—","Direction=H","UseDPDF=Y")</f>
        <v>#NAME?</v>
      </c>
      <c r="BC346" s="2" t="e">
        <f ca="1">_xll.BDH($C$328,"TOTAL_CAPITAL_5_YEAR_GROWTH","FQ3 2017","FQ3 2017","Currency=INR","Period=FQ","BEST_FPERIOD_OVERRIDE=FQ","FILING_STATUS=OR","EQY_CONSOLIDATED=Y","Sort=A","Dates=H","DateFormat=P","Fill=—","Direction=H","UseDPDF=Y")</f>
        <v>#NAME?</v>
      </c>
      <c r="BD346" s="2" t="e">
        <f ca="1">_xll.BDH($C$328,"GEO_GROW_BOOK_VAL","FQ3 2017","FQ3 2017","Currency=INR","Period=FQ","BEST_FPERIOD_OVERRIDE=FQ","FILING_STATUS=OR","EQY_CONSOLIDATED=Y","Sort=A","Dates=H","DateFormat=P","Fill=—","Direction=H","UseDPDF=Y")</f>
        <v>#NAME?</v>
      </c>
      <c r="BE346" s="2" t="e">
        <f ca="1">_xll.BDH($C$328,"GEO_GROW_CASH_OPER_ACT","FQ3 2017","FQ3 2017","Currency=INR","Period=FQ","BEST_FPERIOD_OVERRIDE=FQ","FILING_STATUS=OR","EQY_CONSOLIDATED=Y","Sort=A","Dates=H","DateFormat=P","Fill=—","Direction=H","UseDPDF=Y")</f>
        <v>#NAME?</v>
      </c>
      <c r="BF346" s="2" t="e">
        <f ca="1">_xll.BDH($C$328,"REVENUE_SEQUENTIAL_GROWTH","FQ3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346" s="2" t="e">
        <f ca="1">_xll.BDH($C$328,"EBITDA_SEQUENTIAL_GROWTH","FQ3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346" s="2" t="e">
        <f ca="1">_xll.BDH($C$328,"OPERATING_INCOME_SEQ_GROWTH","FQ3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346" s="2" t="e">
        <f ca="1">_xll.BDH($C$328,"NET_INCOME_TO_COMMON_SEQ_GROWTH","FQ3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346" s="2" t="e">
        <f ca="1">_xll.BDH($C$328,"EPS_DILUTED_SEQUENTIAL_GROWTH","FQ3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346" s="2" t="e">
        <f ca="1">_xll.BDH($C$328,"DPS_SEQUENTIAL_GROWTH","FQ3 2017","FQ3 2017","Currency=INR","Period=FQ","BEST_FPERIOD_OVERRIDE=FQ","FILING_STATUS=OR","EQY_CONSOLIDATED=Y","Sort=A","Dates=H","DateFormat=P","Fill=—","Direction=H","UseDPDF=Y")</f>
        <v>#NAME?</v>
      </c>
      <c r="BL346" s="2" t="e">
        <f ca="1">_xll.BDH($C$328,"ACCOUNTS_RECEIVABLE_SEQ_GROWTH","FQ3 2017","FQ3 2017","Currency=INR","Period=FQ","BEST_FPERIOD_OVERRIDE=FQ","FILING_STATUS=OR","EQY_CONSOLIDATED=Y","Sort=A","Dates=H","DateFormat=P","Fill=—","Direction=H","UseDPDF=Y")</f>
        <v>#NAME?</v>
      </c>
      <c r="BM346" s="2" t="e">
        <f ca="1">_xll.BDH($C$328,"INVENTORY_SEQUENTIAL_GROWTH","FQ3 2017","FQ3 2017","Currency=INR","Period=FQ","BEST_FPERIOD_OVERRIDE=FQ","FILING_STATUS=OR","EQY_CONSOLIDATED=Y","Sort=A","Dates=H","DateFormat=P","Fill=—","Direction=H","UseDPDF=Y")</f>
        <v>#NAME?</v>
      </c>
      <c r="BN346" s="2" t="e">
        <f ca="1">_xll.BDH($C$328,"FIXED_ASSETS_SEQUENTIAL_GROWTH","FQ3 2017","FQ3 2017","Currency=INR","Period=FQ","BEST_FPERIOD_OVERRIDE=FQ","FILING_STATUS=OR","EQY_CONSOLIDATED=Y","Sort=A","Dates=H","DateFormat=P","Fill=—","Direction=H","UseDPDF=Y")</f>
        <v>#NAME?</v>
      </c>
      <c r="BO346" s="2" t="e">
        <f ca="1">_xll.BDH($C$328,"TOTAL_ASSETS_SEQUENTIAL_GROWTH","FQ3 2017","FQ3 2017","Currency=INR","Period=FQ","BEST_FPERIOD_OVERRIDE=FQ","FILING_STATUS=OR","EQY_CONSOLIDATED=Y","Sort=A","Dates=H","DateFormat=P","Fill=—","Direction=H","UseDPDF=Y")</f>
        <v>#NAME?</v>
      </c>
      <c r="BP346" s="2" t="e">
        <f ca="1">_xll.BDH($C$328,"MODIFIED_WORKING_CPTL_SEQ_GRWTH","FQ3 2017","FQ3 2017","Currency=INR","Period=FQ","BEST_FPERIOD_OVERRIDE=FQ","FILING_STATUS=OR","EQY_CONSOLIDATED=Y","Sort=A","Dates=H","DateFormat=P","Fill=—","Direction=H","UseDPDF=Y")</f>
        <v>#NAME?</v>
      </c>
      <c r="BQ346" s="2" t="e">
        <f ca="1">_xll.BDH($C$328,"WORKING_CAPITAL_SEQ_GROWTH","FQ3 2017","FQ3 2017","Currency=INR","Period=FQ","BEST_FPERIOD_OVERRIDE=FQ","FILING_STATUS=OR","EQY_CONSOLIDATED=Y","Sort=A","Dates=H","DateFormat=P","Fill=—","Direction=H","UseDPDF=Y")</f>
        <v>#NAME?</v>
      </c>
      <c r="BR346" s="2" t="e">
        <f ca="1">_xll.BDH($C$328,"ACCOUNTS_PAYABLE_SEQ_GROWTH","FQ3 2017","FQ3 2017","Currency=INR","Period=FQ","BEST_FPERIOD_OVERRIDE=FQ","FILING_STATUS=OR","EQY_CONSOLIDATED=Y","Sort=A","Dates=H","DateFormat=P","Fill=—","Direction=H","UseDPDF=Y")</f>
        <v>#NAME?</v>
      </c>
      <c r="BS346" s="2" t="e">
        <f ca="1">_xll.BDH($C$328,"ST_DEBT_SEQUENTIAL_GROWTH","FQ3 2017","FQ3 2017","Currency=INR","Period=FQ","BEST_FPERIOD_OVERRIDE=FQ","FILING_STATUS=OR","EQY_CONSOLIDATED=Y","Sort=A","Dates=H","DateFormat=P","Fill=—","Direction=H","UseDPDF=Y")</f>
        <v>#NAME?</v>
      </c>
      <c r="BT346" s="2" t="e">
        <f ca="1">_xll.BDH($C$328,"TOTAL_DEBT_SEQUENTIAL_GROWTH","FQ3 2017","FQ3 2017","Currency=INR","Period=FQ","BEST_FPERIOD_OVERRIDE=FQ","FILING_STATUS=OR","EQY_CONSOLIDATED=Y","Sort=A","Dates=H","DateFormat=P","Fill=—","Direction=H","UseDPDF=Y")</f>
        <v>#NAME?</v>
      </c>
      <c r="BU346" s="2" t="e">
        <f ca="1">_xll.BDH($C$328,"TOTAL_EQUITY_SEQUENTIAL_GROWTH","FQ3 2017","FQ3 2017","Currency=INR","Period=FQ","BEST_FPERIOD_OVERRIDE=FQ","FILING_STATUS=OR","EQY_CONSOLIDATED=Y","Sort=A","Dates=H","DateFormat=P","Fill=—","Direction=H","UseDPDF=Y")</f>
        <v>#NAME?</v>
      </c>
      <c r="BV346" s="2" t="e">
        <f ca="1">_xll.BDH($C$328,"TOTAL_CAPITAL_SEQUENTIAL_GROWTH","FQ3 2017","FQ3 2017","Currency=INR","Period=FQ","BEST_FPERIOD_OVERRIDE=FQ","FILING_STATUS=OR","EQY_CONSOLIDATED=Y","Sort=A","Dates=H","DateFormat=P","Fill=—","Direction=H","UseDPDF=Y")</f>
        <v>#NAME?</v>
      </c>
      <c r="BW346" s="2" t="e">
        <f ca="1">_xll.BDH($C$328,"BPS_SEQUENTIAL_GROWTH","FQ3 2017","FQ3 2017","Currency=INR","Period=FQ","BEST_FPERIOD_OVERRIDE=FQ","FILING_STATUS=OR","EQY_CONSOLIDATED=Y","Sort=A","Dates=H","DateFormat=P","Fill=—","Direction=H","UseDPDF=Y")</f>
        <v>#NAME?</v>
      </c>
      <c r="BX346" s="2" t="e">
        <f ca="1">_xll.BDH($C$328,"CFO_SEQUENTIAL_GROWTH","FQ3 2017","FQ3 2017","Currency=INR","Period=FQ","BEST_FPERIOD_OVERRIDE=FQ","FILING_STATUS=OR","EQY_CONSOLIDATED=Y","Sort=A","Dates=H","DateFormat=P","Fill=—","Direction=H","UseDPDF=Y")</f>
        <v>#NAME?</v>
      </c>
      <c r="BY346" s="3" t="e">
        <f ca="1">_xll.BDH($C$328,"SHORT_AND_LONG_TERM_DEBT","FQ3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346" s="3" t="e">
        <f ca="1">_xll.BDH($C$328,"BS_ST_BORROW","FQ3 2017","FQ3 2017","Currency=INR","Period=FQ","BEST_FPERIOD_OVERRIDE=FQ","FILING_STATUS=OR","EQY_CONSOLIDATED=Y","SCALING_FORMAT=MLN","Sort=A","Dates=H","DateFormat=P","Fill=—","Direction=H","UseDPDF=Y")</f>
        <v>#NAME?</v>
      </c>
      <c r="CA346" s="3" t="e">
        <f ca="1">_xll.BDH($C$328,"BS_LT_BORROW","FQ3 2017","FQ3 2017","Currency=INR","Period=FQ","BEST_FPERIOD_OVERRIDE=FQ","FILING_STATUS=OR","EQY_CONSOLIDATED=Y","SCALING_FORMAT=MLN","Sort=A","Dates=H","DateFormat=P","Fill=—","Direction=H","UseDPDF=Y")</f>
        <v>#NAME?</v>
      </c>
      <c r="CB346" s="2" t="e">
        <f ca="1">_xll.BDH($C$328,"TOT_DEBT_TO_EBITDA","FQ3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346" s="2" t="e">
        <f ca="1">_xll.BDH($C$328,"NET_DEBT_TO_EBITDA","FQ3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346" s="2" t="e">
        <f ca="1">_xll.BDH($C$328,"TOTAL_DEBT_TO_EBIT","FQ3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346" s="2" t="e">
        <f ca="1">_xll.BDH($C$328,"NET_DEBT_TO_EBIT","FQ3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346" s="2" t="e">
        <f ca="1">_xll.BDH($C$328,"EBITDA_TO_INTEREST_EXPN","FQ3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346" s="2" t="e">
        <f ca="1">_xll.BDH($C$328,"COM_EQY_TO_TOT_ASSET","FQ3 2017","FQ3 2017","Currency=INR","Period=FQ","BEST_FPERIOD_OVERRIDE=FQ","FILING_STATUS=OR","EQY_CONSOLIDATED=Y","Sort=A","Dates=H","DateFormat=P","Fill=—","Direction=H","UseDPDF=Y")</f>
        <v>#NAME?</v>
      </c>
      <c r="CH346" s="2" t="e">
        <f ca="1">_xll.BDH($C$328,"LT_DEBT_TO_TOT_EQY","FQ3 2017","FQ3 2017","Currency=INR","Period=FQ","BEST_FPERIOD_OVERRIDE=FQ","FILING_STATUS=OR","EQY_CONSOLIDATED=Y","Sort=A","Dates=H","DateFormat=P","Fill=—","Direction=H","UseDPDF=Y")</f>
        <v>#NAME?</v>
      </c>
      <c r="CI346" s="2" t="e">
        <f ca="1">_xll.BDH($C$328,"LT_DEBT_TO_TOT_CAP","FQ3 2017","FQ3 2017","Currency=INR","Period=FQ","BEST_FPERIOD_OVERRIDE=FQ","FILING_STATUS=OR","EQY_CONSOLIDATED=Y","Sort=A","Dates=H","DateFormat=P","Fill=—","Direction=H","UseDPDF=Y")</f>
        <v>#NAME?</v>
      </c>
      <c r="CJ346" s="2" t="e">
        <f ca="1">_xll.BDH($C$328,"LT_DEBT_TO_TOT_ASSET","FQ3 2017","FQ3 2017","Currency=INR","Period=FQ","BEST_FPERIOD_OVERRIDE=FQ","FILING_STATUS=OR","EQY_CONSOLIDATED=Y","Sort=A","Dates=H","DateFormat=P","Fill=—","Direction=H","UseDPDF=Y")</f>
        <v>#NAME?</v>
      </c>
      <c r="CK346" s="2" t="e">
        <f ca="1">_xll.BDH($C$328,"TOT_DEBT_TO_TOT_EQY","FQ3 2017","FQ3 2017","Currency=INR","Period=FQ","BEST_FPERIOD_OVERRIDE=FQ","FILING_STATUS=OR","EQY_CONSOLIDATED=Y","Sort=A","Dates=H","DateFormat=P","Fill=—","Direction=H","UseDPDF=Y")</f>
        <v>#NAME?</v>
      </c>
      <c r="CL346" s="2" t="e">
        <f ca="1">_xll.BDH($C$328,"TOT_DEBT_TO_TOT_CAP","FQ3 2017","FQ3 2017","Currency=INR","Period=FQ","BEST_FPERIOD_OVERRIDE=FQ","FILING_STATUS=OR","EQY_CONSOLIDATED=Y","Sort=A","Dates=H","DateFormat=P","Fill=—","Direction=H","UseDPDF=Y")</f>
        <v>#NAME?</v>
      </c>
      <c r="CM346" s="2" t="e">
        <f ca="1">_xll.BDH($C$328,"TOT_DEBT_TO_TOT_ASSET","FQ3 2017","FQ3 2017","Currency=INR","Period=FQ","BEST_FPERIOD_OVERRIDE=FQ","FILING_STATUS=OR","EQY_CONSOLIDATED=Y","Sort=A","Dates=H","DateFormat=P","Fill=—","Direction=H","UseDPDF=Y")</f>
        <v>#NAME?</v>
      </c>
      <c r="CN346" s="2" t="e">
        <f ca="1">_xll.BDH($C$328,"NET_DEBT_TO_SHRHLDR_EQTY","FQ3 2017","FQ3 2017","Currency=INR","Period=FQ","BEST_FPERIOD_OVERRIDE=FQ","FILING_STATUS=OR","EQY_CONSOLIDATED=Y","Sort=A","Dates=H","DateFormat=P","Fill=—","Direction=H","UseDPDF=Y")</f>
        <v>#NAME?</v>
      </c>
      <c r="CO346" s="2" t="e">
        <f ca="1">_xll.BDH($C$328,"NET_DEBT_%_CAPITAL","FQ3 2017","FQ3 2017","Currency=INR","Period=FQ","BEST_FPERIOD_OVERRIDE=FQ","FILING_STATUS=OR","EQY_CONSOLIDATED=Y","Sort=A","Dates=H","DateFormat=P","Fill=—","Direction=H","UseDPDF=Y")</f>
        <v>#NAME?</v>
      </c>
      <c r="CP346" s="3" t="e">
        <f ca="1">_xll.BDH($C$328,"EBITDA","FQ3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346" s="3" t="e">
        <f ca="1">_xll.BDH($C$328,"EBITDA_AFTER_CAPEX","FQ3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346" s="3" t="e">
        <f ca="1">_xll.BDH($C$328,"IS_OPER_INC","FQ3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346" s="2" t="e">
        <f ca="1">_xll.BDH($C$328,"CASH_RATIO","FQ3 2017","FQ3 2017","Currency=INR","Period=FQ","BEST_FPERIOD_OVERRIDE=FQ","FILING_STATUS=OR","EQY_CONSOLIDATED=Y","Sort=A","Dates=H","DateFormat=P","Fill=—","Direction=H","UseDPDF=Y")</f>
        <v>#NAME?</v>
      </c>
      <c r="CT346" s="2" t="e">
        <f ca="1">_xll.BDH($C$328,"CUR_RATIO","FQ3 2017","FQ3 2017","Currency=INR","Period=FQ","BEST_FPERIOD_OVERRIDE=FQ","FILING_STATUS=OR","EQY_CONSOLIDATED=Y","Sort=A","Dates=H","DateFormat=P","Fill=—","Direction=H","UseDPDF=Y")</f>
        <v>#NAME?</v>
      </c>
      <c r="CU346" s="2" t="e">
        <f ca="1">_xll.BDH($C$328,"QUICK_RATIO","FQ3 2017","FQ3 2017","Currency=INR","Period=FQ","BEST_FPERIOD_OVERRIDE=FQ","FILING_STATUS=OR","EQY_CONSOLIDATED=Y","Sort=A","Dates=H","DateFormat=P","Fill=—","Direction=H","UseDPDF=Y")</f>
        <v>#NAME?</v>
      </c>
      <c r="CV346" s="2" t="e">
        <f ca="1">_xll.BDH($C$328,"ALTMAN_Z_SCORE","FQ3 2017","FQ3 2017","Currency=INR","Period=FQ","BEST_FPERIOD_OVERRIDE=FQ","FILING_STATUS=OR","EQY_CONSOLIDATED=Y","Sort=A","Dates=H","DateFormat=P","Fill=—","Direction=H","UseDPDF=Y")</f>
        <v>#NAME?</v>
      </c>
      <c r="CW346" s="4" t="e">
        <f ca="1">_xll.BDH($C$328,"ACCT_RCV_TURN","FQ3 2017","FQ3 2017","Currency=INR","Period=FQ","BEST_FPERIOD_OVERRIDE=FQ","FILING_STATUS=OR","EQY_CONSOLIDATED=Y","FA_ADJUSTED=GAAP","Sort=A","Dates=H","DateFormat=P","Fill=—","Direction=H","UseDPDF=Y")</f>
        <v>#NAME?</v>
      </c>
      <c r="CX346" s="2" t="e">
        <f ca="1">_xll.BDH($C$328,"ACCT_RCV_DAYS","FQ3 2017","FQ3 2017","Currency=INR","Period=FQ","BEST_FPERIOD_OVERRIDE=FQ","FILING_STATUS=OR","EQY_CONSOLIDATED=Y","FA_ADJUSTED=GAAP","Sort=A","Dates=H","DateFormat=P","Fill=—","Direction=H","UseDPDF=Y")</f>
        <v>#NAME?</v>
      </c>
      <c r="CY346" s="4" t="e">
        <f ca="1">_xll.BDH($C$328,"INVENT_TURN","FQ3 2017","FQ3 2017","Currency=INR","Period=FQ","BEST_FPERIOD_OVERRIDE=FQ","FILING_STATUS=OR","EQY_CONSOLIDATED=Y","FA_ADJUSTED=GAAP","Sort=A","Dates=H","DateFormat=P","Fill=—","Direction=H","UseDPDF=Y")</f>
        <v>#NAME?</v>
      </c>
      <c r="CZ346" s="2" t="e">
        <f ca="1">_xll.BDH($C$328,"INVENT_DAYS","FQ3 2017","FQ3 2017","Currency=INR","Period=FQ","BEST_FPERIOD_OVERRIDE=FQ","FILING_STATUS=OR","EQY_CONSOLIDATED=Y","FA_ADJUSTED=GAAP","Sort=A","Dates=H","DateFormat=P","Fill=—","Direction=H","UseDPDF=Y")</f>
        <v>#NAME?</v>
      </c>
      <c r="DA346" s="4" t="e">
        <f ca="1">_xll.BDH($C$328,"ACCOUNTS_PAYABLE_TURNOVER","FQ3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346" s="2" t="e">
        <f ca="1">_xll.BDH($C$328,"ACCOUNTS_PAYABLE_TURNOVER_DAYS","FQ3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346" s="4" t="e">
        <f ca="1">_xll.BDH($C$328,"CASH_CONVERSION_CYCLE","FQ3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346" s="4" t="e">
        <f ca="1">_xll.BDH($C$328,"INV_TO_CASH_DAYS","FQ3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346" s="5" t="e">
        <f ca="1">_xll.BDH($C$328,"BS_INVENTORIES","FQ3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346" s="3" t="e">
        <f ca="1">_xll.BDH($C$328,"INVTRY_RAW_MATERIALS","FQ3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346" s="3" t="e">
        <f ca="1">_xll.BDH($C$328,"INVTRY_IN_PROGRESS","FQ3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346" s="3" t="e">
        <f ca="1">_xll.BDH($C$328,"INVTRY_FINISHED_GOODS","FQ3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346" s="3" t="e">
        <f ca="1">_xll.BDH($C$328,"BS_OTHER_INV","FQ3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347" spans="1:113" x14ac:dyDescent="0.3">
      <c r="A347" s="6"/>
      <c r="B347" s="6"/>
      <c r="C347" s="6"/>
      <c r="D347" s="6"/>
      <c r="E347" t="s">
        <v>81</v>
      </c>
      <c r="F347" t="e">
        <f ca="1">_xll.BDH($C$328,"RETURN_COM_EQY","FQ4 2017","FQ4 2017","Currency=INR","Period=FQ","BEST_FPERIOD_OVERRIDE=FQ","FILING_STATUS=OR","EQY_CONSOLIDATED=Y","FA_ADJUSTED=GAAP","Sort=A","Dates=H","DateFormat=P","Fill=—","Direction=H","UseDPDF=Y")</f>
        <v>#NAME?</v>
      </c>
      <c r="G347" t="e">
        <f ca="1">_xll.BDH($C$328,"RETURN_ON_ASSET","FQ4 2017","FQ4 2017","Currency=INR","Period=FQ","BEST_FPERIOD_OVERRIDE=FQ","FILING_STATUS=OR","EQY_CONSOLIDATED=Y","FA_ADJUSTED=GAAP","Sort=A","Dates=H","DateFormat=P","Fill=—","Direction=H","UseDPDF=Y")</f>
        <v>#NAME?</v>
      </c>
      <c r="H347" t="e">
        <f ca="1">_xll.BDH($C$328,"RETURN_ON_CAP","FQ4 2017","FQ4 2017","Currency=INR","Period=FQ","BEST_FPERIOD_OVERRIDE=FQ","FILING_STATUS=OR","EQY_CONSOLIDATED=Y","FA_ADJUSTED=GAAP","Sort=A","Dates=H","DateFormat=P","Fill=—","Direction=H","UseDPDF=Y")</f>
        <v>#NAME?</v>
      </c>
      <c r="I347" t="e">
        <f ca="1">_xll.BDH($C$328,"RETURN_ON_INV_CAPITAL","FQ4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347" t="e">
        <f ca="1">_xll.BDH($C$328,"EBITDA_TO_REVENUE","FQ4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347" t="e">
        <f ca="1">_xll.BDH($C$328,"OPER_MARGIN","FQ4 2017","FQ4 2017","Currency=INR","Period=FQ","BEST_FPERIOD_OVERRIDE=FQ","FILING_STATUS=OR","EQY_CONSOLIDATED=Y","FA_ADJUSTED=GAAP","Sort=A","Dates=H","DateFormat=P","Fill=—","Direction=H","UseDPDF=Y")</f>
        <v>#NAME?</v>
      </c>
      <c r="L347" t="e">
        <f ca="1">_xll.BDH($C$328,"INCREMENTAL_OPERATING_MARGIN","FQ4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347" t="e">
        <f ca="1">_xll.BDH($C$328,"PRETAX_INC_TO_NET_SALES","FQ4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347" t="e">
        <f ca="1">_xll.BDH($C$328,"INC_BEF_XO_ITEMS_TO_NET_SALES","FQ4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347" t="e">
        <f ca="1">_xll.BDH($C$328,"PROF_MARGIN","FQ4 2017","FQ4 2017","Currency=INR","Period=FQ","BEST_FPERIOD_OVERRIDE=FQ","FILING_STATUS=OR","EQY_CONSOLIDATED=Y","FA_ADJUSTED=GAAP","Sort=A","Dates=H","DateFormat=P","Fill=—","Direction=H","UseDPDF=Y")</f>
        <v>#NAME?</v>
      </c>
      <c r="P347" t="e">
        <f ca="1">_xll.BDH($C$328,"NET_INCOME_TO_COMMON_MARGIN","FQ4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347" t="e">
        <f ca="1">_xll.BDH($C$328,"EFF_TAX_RATE","FQ4 2017","FQ4 2017","Currency=INR","Period=FQ","BEST_FPERIOD_OVERRIDE=FQ","FILING_STATUS=OR","EQY_CONSOLIDATED=Y","FA_ADJUSTED=GAAP","Sort=A","Dates=H","DateFormat=P","Fill=—","Direction=H","UseDPDF=Y")</f>
        <v>#NAME?</v>
      </c>
      <c r="R347" t="e">
        <f ca="1">_xll.BDH($C$328,"DVD_PAYOUT_RATIO","FQ4 2017","FQ4 2017","Currency=INR","Period=FQ","BEST_FPERIOD_OVERRIDE=FQ","FILING_STATUS=OR","EQY_CONSOLIDATED=Y","FA_ADJUSTED=GAAP","Sort=A","Dates=H","DateFormat=P","Fill=—","Direction=H","UseDPDF=Y")</f>
        <v>#NAME?</v>
      </c>
      <c r="S347" t="e">
        <f ca="1">_xll.BDH($C$328,"SUSTAIN_GROWTH_RT","FQ4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347" s="2" t="e">
        <f ca="1">_xll.BDH($C$328,"SALES_GROWTH","FQ4 2017","FQ4 2017","Currency=INR","Period=FQ","BEST_FPERIOD_OVERRIDE=FQ","FILING_STATUS=OR","EQY_CONSOLIDATED=Y","FA_ADJUSTED=GAAP","Sort=A","Dates=H","DateFormat=P","Fill=—","Direction=H","UseDPDF=Y")</f>
        <v>#NAME?</v>
      </c>
      <c r="U347" s="2" t="e">
        <f ca="1">_xll.BDH($C$328,"EBITDA_GROWTH","FQ4 2017","FQ4 2017","Currency=INR","Period=FQ","BEST_FPERIOD_OVERRIDE=FQ","FILING_STATUS=OR","EQY_CONSOLIDATED=Y","FA_ADJUSTED=GAAP","Sort=A","Dates=H","DateFormat=P","Fill=—","Direction=H","UseDPDF=Y")</f>
        <v>#NAME?</v>
      </c>
      <c r="V347" s="2" t="e">
        <f ca="1">_xll.BDH($C$328,"OPER_INC_GROWTH","FQ4 2017","FQ4 2017","Currency=INR","Period=FQ","BEST_FPERIOD_OVERRIDE=FQ","FILING_STATUS=OR","EQY_CONSOLIDATED=Y","FA_ADJUSTED=GAAP","Sort=A","Dates=H","DateFormat=P","Fill=—","Direction=H","UseDPDF=Y")</f>
        <v>#NAME?</v>
      </c>
      <c r="W347" s="2" t="e">
        <f ca="1">_xll.BDH($C$328,"EARN_FOR_COM_GROWTH","FQ4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347" s="2" t="e">
        <f ca="1">_xll.BDH($C$328,"DILUTED_EPS_AFT_XO_ITEMS_GROWTH","FQ4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347" s="2" t="e">
        <f ca="1">_xll.BDH($C$328,"DIVIDEND_PER_SHARE_1_YEAR_GROWTH","FQ4 2017","FQ4 2017","Currency=INR","Period=FQ","BEST_FPERIOD_OVERRIDE=FQ","FILING_STATUS=OR","EQY_CONSOLIDATED=Y","Sort=A","Dates=H","DateFormat=P","Fill=—","Direction=H","UseDPDF=Y")</f>
        <v>#NAME?</v>
      </c>
      <c r="Z347" s="2" t="e">
        <f ca="1">_xll.BDH($C$328,"ACCOUNTS_RECEIVABLE_GROWTH","FQ4 2017","FQ4 2017","Currency=INR","Period=FQ","BEST_FPERIOD_OVERRIDE=FQ","FILING_STATUS=OR","EQY_CONSOLIDATED=Y","Sort=A","Dates=H","DateFormat=P","Fill=—","Direction=H","UseDPDF=Y")</f>
        <v>#NAME?</v>
      </c>
      <c r="AA347" s="2" t="e">
        <f ca="1">_xll.BDH($C$328,"INVENTORY_GROWTH","FQ4 2017","FQ4 2017","Currency=INR","Period=FQ","BEST_FPERIOD_OVERRIDE=FQ","FILING_STATUS=OR","EQY_CONSOLIDATED=Y","Sort=A","Dates=H","DateFormat=P","Fill=—","Direction=H","UseDPDF=Y")</f>
        <v>#NAME?</v>
      </c>
      <c r="AB347" s="2" t="e">
        <f ca="1">_xll.BDH($C$328,"NET_FIXED_ASSETS_1_YEAR_GROWTH","FQ4 2017","FQ4 2017","Currency=INR","Period=FQ","BEST_FPERIOD_OVERRIDE=FQ","FILING_STATUS=OR","EQY_CONSOLIDATED=Y","Sort=A","Dates=H","DateFormat=P","Fill=—","Direction=H","UseDPDF=Y")</f>
        <v>#NAME?</v>
      </c>
      <c r="AC347" s="2" t="e">
        <f ca="1">_xll.BDH($C$328,"ASSET_GROWTH","FQ4 2017","FQ4 2017","Currency=INR","Period=FQ","BEST_FPERIOD_OVERRIDE=FQ","FILING_STATUS=OR","EQY_CONSOLIDATED=Y","Sort=A","Dates=H","DateFormat=P","Fill=—","Direction=H","UseDPDF=Y")</f>
        <v>#NAME?</v>
      </c>
      <c r="AD347" s="2" t="e">
        <f ca="1">_xll.BDH($C$328,"MODIFIED_WORK_CAP_GROWTH","FQ4 2017","FQ4 2017","Currency=INR","Period=FQ","BEST_FPERIOD_OVERRIDE=FQ","FILING_STATUS=OR","EQY_CONSOLIDATED=Y","Sort=A","Dates=H","DateFormat=P","Fill=—","Direction=H","UseDPDF=Y")</f>
        <v>#NAME?</v>
      </c>
      <c r="AE347" s="2" t="e">
        <f ca="1">_xll.BDH($C$328,"WORK_CAP_GROWTH","FQ4 2017","FQ4 2017","Currency=INR","Period=FQ","BEST_FPERIOD_OVERRIDE=FQ","FILING_STATUS=OR","EQY_CONSOLIDATED=Y","Sort=A","Dates=H","DateFormat=P","Fill=—","Direction=H","UseDPDF=Y")</f>
        <v>#NAME?</v>
      </c>
      <c r="AF347" s="2" t="e">
        <f ca="1">_xll.BDH($C$328,"ACCOUNTS_PAYABLE_GROWTH_1YR","FQ4 2017","FQ4 2017","Currency=INR","Period=FQ","BEST_FPERIOD_OVERRIDE=FQ","FILING_STATUS=OR","EQY_CONSOLIDATED=Y","Sort=A","Dates=H","DateFormat=P","Fill=—","Direction=H","UseDPDF=Y")</f>
        <v>#NAME?</v>
      </c>
      <c r="AG347" s="2" t="e">
        <f ca="1">_xll.BDH($C$328,"SHORT_TERM_DEBT_1_YEAR_GROWTH","FQ4 2017","FQ4 2017","Currency=INR","Period=FQ","BEST_FPERIOD_OVERRIDE=FQ","FILING_STATUS=OR","EQY_CONSOLIDATED=Y","Sort=A","Dates=H","DateFormat=P","Fill=—","Direction=H","UseDPDF=Y")</f>
        <v>#NAME?</v>
      </c>
      <c r="AH347" s="2" t="e">
        <f ca="1">_xll.BDH($C$328,"TOTAL_DEBT_1_YEAR_GROWTH","FQ4 2017","FQ4 2017","Currency=INR","Period=FQ","BEST_FPERIOD_OVERRIDE=FQ","FILING_STATUS=OR","EQY_CONSOLIDATED=Y","Sort=A","Dates=H","DateFormat=P","Fill=—","Direction=H","UseDPDF=Y")</f>
        <v>#NAME?</v>
      </c>
      <c r="AI347" s="2" t="e">
        <f ca="1">_xll.BDH($C$328,"TOTAL_EQUITY_1_YEAR_GROWTH","FQ4 2017","FQ4 2017","Currency=INR","Period=FQ","BEST_FPERIOD_OVERRIDE=FQ","FILING_STATUS=OR","EQY_CONSOLIDATED=Y","Sort=A","Dates=H","DateFormat=P","Fill=—","Direction=H","UseDPDF=Y")</f>
        <v>#NAME?</v>
      </c>
      <c r="AJ347" s="2" t="e">
        <f ca="1">_xll.BDH($C$328,"GROWTH_IN_CAP","FQ4 2017","FQ4 2017","Currency=INR","Period=FQ","BEST_FPERIOD_OVERRIDE=FQ","FILING_STATUS=OR","EQY_CONSOLIDATED=Y","Sort=A","Dates=H","DateFormat=P","Fill=—","Direction=H","UseDPDF=Y")</f>
        <v>#NAME?</v>
      </c>
      <c r="AK347" s="2" t="e">
        <f ca="1">_xll.BDH($C$328,"BVPS_GROWTH","FQ4 2017","FQ4 2017","Currency=INR","Period=FQ","BEST_FPERIOD_OVERRIDE=FQ","FILING_STATUS=OR","EQY_CONSOLIDATED=Y","Sort=A","Dates=H","DateFormat=P","Fill=—","Direction=H","UseDPDF=Y")</f>
        <v>#NAME?</v>
      </c>
      <c r="AL347" s="2" t="e">
        <f ca="1">_xll.BDH($C$328,"CASH_FLOW_GROWTH","FQ4 2017","FQ4 2017","Currency=INR","Period=FQ","BEST_FPERIOD_OVERRIDE=FQ","FILING_STATUS=OR","EQY_CONSOLIDATED=Y","Sort=A","Dates=H","DateFormat=P","Fill=—","Direction=H","UseDPDF=Y")</f>
        <v>#NAME?</v>
      </c>
      <c r="AM347" s="2" t="e">
        <f ca="1">_xll.BDH($C$328,"GEO_GROW_NET_SALES","FQ4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347" s="2" t="e">
        <f ca="1">_xll.BDH($C$328,"GEO_GROW_EBITDA","FQ4 2017","FQ4 2017","Currency=INR","Period=FQ","BEST_FPERIOD_OVERRIDE=FQ","FILING_STATUS=OR","EQY_CONSOLIDATED=Y","FA_ADJUSTED=GAAP","Sort=A","Dates=H","DateFormat=P","Fill=—","Direction=H","UseDPDF=Y")</f>
        <v>#NAME?</v>
      </c>
      <c r="AO347" s="2" t="e">
        <f ca="1">_xll.BDH($C$328,"GEO_GROW_OPER_INC","FQ4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347" s="2" t="e">
        <f ca="1">_xll.BDH($C$328,"NET_INCOME_TO_COMMON_5_YR_GROWTH","FQ4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347" s="2" t="e">
        <f ca="1">_xll.BDH($C$328,"5Y_GEO_GROWTH_DILUTED_EPS","FQ4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347" s="2" t="e">
        <f ca="1">_xll.BDH($C$328,"GEO_GROW_DVD_PER_SH","FQ4 2017","FQ4 2017","Currency=INR","Period=FQ","BEST_FPERIOD_OVERRIDE=FQ","FILING_STATUS=OR","EQY_CONSOLIDATED=Y","Sort=A","Dates=H","DateFormat=P","Fill=—","Direction=H","UseDPDF=Y")</f>
        <v>#NAME?</v>
      </c>
      <c r="AS347" s="2" t="e">
        <f ca="1">_xll.BDH($C$328,"ACCOUNTS_RECEIVABLE_5_YR_GROWTH","FQ4 2017","FQ4 2017","Currency=INR","Period=FQ","BEST_FPERIOD_OVERRIDE=FQ","FILING_STATUS=OR","EQY_CONSOLIDATED=Y","Sort=A","Dates=H","DateFormat=P","Fill=—","Direction=H","UseDPDF=Y")</f>
        <v>#NAME?</v>
      </c>
      <c r="AT347" s="2" t="e">
        <f ca="1">_xll.BDH($C$328,"INVENTORY_5_YEAR_GROWTH","FQ4 2017","FQ4 2017","Currency=INR","Period=FQ","BEST_FPERIOD_OVERRIDE=FQ","FILING_STATUS=OR","EQY_CONSOLIDATED=Y","Sort=A","Dates=H","DateFormat=P","Fill=—","Direction=H","UseDPDF=Y")</f>
        <v>#NAME?</v>
      </c>
      <c r="AU347" s="2" t="e">
        <f ca="1">_xll.BDH($C$328,"NET_FIXED_ASSETS_5_YEAR_GROWTH","FQ4 2017","FQ4 2017","Currency=INR","Period=FQ","BEST_FPERIOD_OVERRIDE=FQ","FILING_STATUS=OR","EQY_CONSOLIDATED=Y","Sort=A","Dates=H","DateFormat=P","Fill=—","Direction=H","UseDPDF=Y")</f>
        <v>#NAME?</v>
      </c>
      <c r="AV347" s="2" t="e">
        <f ca="1">_xll.BDH($C$328,"GEO_GROW_TOT_ASSET","FQ4 2017","FQ4 2017","Currency=INR","Period=FQ","BEST_FPERIOD_OVERRIDE=FQ","FILING_STATUS=OR","EQY_CONSOLIDATED=Y","Sort=A","Dates=H","DateFormat=P","Fill=—","Direction=H","UseDPDF=Y")</f>
        <v>#NAME?</v>
      </c>
      <c r="AW347" s="2" t="e">
        <f ca="1">_xll.BDH($C$328,"MODIFIED_WORKING_CPTL_5YR_GRWTH","FQ4 2017","FQ4 2017","Currency=INR","Period=FQ","BEST_FPERIOD_OVERRIDE=FQ","FILING_STATUS=OR","EQY_CONSOLIDATED=Y","Sort=A","Dates=H","DateFormat=P","Fill=—","Direction=H","UseDPDF=Y")</f>
        <v>#NAME?</v>
      </c>
      <c r="AX347" s="2" t="e">
        <f ca="1">_xll.BDH($C$328,"WORKING_CAPITAL_5_YEAR_GROWTH","FQ4 2017","FQ4 2017","Currency=INR","Period=FQ","BEST_FPERIOD_OVERRIDE=FQ","FILING_STATUS=OR","EQY_CONSOLIDATED=Y","Sort=A","Dates=H","DateFormat=P","Fill=—","Direction=H","UseDPDF=Y")</f>
        <v>#NAME?</v>
      </c>
      <c r="AY347" s="2" t="e">
        <f ca="1">_xll.BDH($C$328,"ACCOUNTS_PAYABLE_5_YEAR_GROWTH","FQ4 2017","FQ4 2017","Currency=INR","Period=FQ","BEST_FPERIOD_OVERRIDE=FQ","FILING_STATUS=OR","EQY_CONSOLIDATED=Y","Sort=A","Dates=H","DateFormat=P","Fill=—","Direction=H","UseDPDF=Y")</f>
        <v>#NAME?</v>
      </c>
      <c r="AZ347" s="2" t="e">
        <f ca="1">_xll.BDH($C$328,"SHORT_TERM_DEBT_5_YEAR_GROWTH","FQ4 2017","FQ4 2017","Currency=INR","Period=FQ","BEST_FPERIOD_OVERRIDE=FQ","FILING_STATUS=OR","EQY_CONSOLIDATED=Y","Sort=A","Dates=H","DateFormat=P","Fill=—","Direction=H","UseDPDF=Y")</f>
        <v>#NAME?</v>
      </c>
      <c r="BA347" s="2" t="e">
        <f ca="1">_xll.BDH($C$328,"TOTAL_DEBT_5_YEAR_GROWTH","FQ4 2017","FQ4 2017","Currency=INR","Period=FQ","BEST_FPERIOD_OVERRIDE=FQ","FILING_STATUS=OR","EQY_CONSOLIDATED=Y","Sort=A","Dates=H","DateFormat=P","Fill=—","Direction=H","UseDPDF=Y")</f>
        <v>#NAME?</v>
      </c>
      <c r="BB347" s="2" t="e">
        <f ca="1">_xll.BDH($C$328,"GEO_GROW_TOT_SHRHLDR_EQY","FQ4 2017","FQ4 2017","Currency=INR","Period=FQ","BEST_FPERIOD_OVERRIDE=FQ","FILING_STATUS=OR","EQY_CONSOLIDATED=Y","Sort=A","Dates=H","DateFormat=P","Fill=—","Direction=H","UseDPDF=Y")</f>
        <v>#NAME?</v>
      </c>
      <c r="BC347" s="2" t="e">
        <f ca="1">_xll.BDH($C$328,"TOTAL_CAPITAL_5_YEAR_GROWTH","FQ4 2017","FQ4 2017","Currency=INR","Period=FQ","BEST_FPERIOD_OVERRIDE=FQ","FILING_STATUS=OR","EQY_CONSOLIDATED=Y","Sort=A","Dates=H","DateFormat=P","Fill=—","Direction=H","UseDPDF=Y")</f>
        <v>#NAME?</v>
      </c>
      <c r="BD347" s="2" t="e">
        <f ca="1">_xll.BDH($C$328,"GEO_GROW_BOOK_VAL","FQ4 2017","FQ4 2017","Currency=INR","Period=FQ","BEST_FPERIOD_OVERRIDE=FQ","FILING_STATUS=OR","EQY_CONSOLIDATED=Y","Sort=A","Dates=H","DateFormat=P","Fill=—","Direction=H","UseDPDF=Y")</f>
        <v>#NAME?</v>
      </c>
      <c r="BE347" s="2" t="e">
        <f ca="1">_xll.BDH($C$328,"GEO_GROW_CASH_OPER_ACT","FQ4 2017","FQ4 2017","Currency=INR","Period=FQ","BEST_FPERIOD_OVERRIDE=FQ","FILING_STATUS=OR","EQY_CONSOLIDATED=Y","Sort=A","Dates=H","DateFormat=P","Fill=—","Direction=H","UseDPDF=Y")</f>
        <v>#NAME?</v>
      </c>
      <c r="BF347" s="2" t="e">
        <f ca="1">_xll.BDH($C$328,"REVENUE_SEQUENTIAL_GROWTH","FQ4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347" s="2" t="e">
        <f ca="1">_xll.BDH($C$328,"EBITDA_SEQUENTIAL_GROWTH","FQ4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347" s="2" t="e">
        <f ca="1">_xll.BDH($C$328,"OPERATING_INCOME_SEQ_GROWTH","FQ4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347" s="2" t="e">
        <f ca="1">_xll.BDH($C$328,"NET_INCOME_TO_COMMON_SEQ_GROWTH","FQ4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347" s="2" t="e">
        <f ca="1">_xll.BDH($C$328,"EPS_DILUTED_SEQUENTIAL_GROWTH","FQ4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347" s="2" t="e">
        <f ca="1">_xll.BDH($C$328,"DPS_SEQUENTIAL_GROWTH","FQ4 2017","FQ4 2017","Currency=INR","Period=FQ","BEST_FPERIOD_OVERRIDE=FQ","FILING_STATUS=OR","EQY_CONSOLIDATED=Y","Sort=A","Dates=H","DateFormat=P","Fill=—","Direction=H","UseDPDF=Y")</f>
        <v>#NAME?</v>
      </c>
      <c r="BL347" s="2" t="e">
        <f ca="1">_xll.BDH($C$328,"ACCOUNTS_RECEIVABLE_SEQ_GROWTH","FQ4 2017","FQ4 2017","Currency=INR","Period=FQ","BEST_FPERIOD_OVERRIDE=FQ","FILING_STATUS=OR","EQY_CONSOLIDATED=Y","Sort=A","Dates=H","DateFormat=P","Fill=—","Direction=H","UseDPDF=Y")</f>
        <v>#NAME?</v>
      </c>
      <c r="BM347" s="2" t="e">
        <f ca="1">_xll.BDH($C$328,"INVENTORY_SEQUENTIAL_GROWTH","FQ4 2017","FQ4 2017","Currency=INR","Period=FQ","BEST_FPERIOD_OVERRIDE=FQ","FILING_STATUS=OR","EQY_CONSOLIDATED=Y","Sort=A","Dates=H","DateFormat=P","Fill=—","Direction=H","UseDPDF=Y")</f>
        <v>#NAME?</v>
      </c>
      <c r="BN347" s="2" t="e">
        <f ca="1">_xll.BDH($C$328,"FIXED_ASSETS_SEQUENTIAL_GROWTH","FQ4 2017","FQ4 2017","Currency=INR","Period=FQ","BEST_FPERIOD_OVERRIDE=FQ","FILING_STATUS=OR","EQY_CONSOLIDATED=Y","Sort=A","Dates=H","DateFormat=P","Fill=—","Direction=H","UseDPDF=Y")</f>
        <v>#NAME?</v>
      </c>
      <c r="BO347" s="2" t="e">
        <f ca="1">_xll.BDH($C$328,"TOTAL_ASSETS_SEQUENTIAL_GROWTH","FQ4 2017","FQ4 2017","Currency=INR","Period=FQ","BEST_FPERIOD_OVERRIDE=FQ","FILING_STATUS=OR","EQY_CONSOLIDATED=Y","Sort=A","Dates=H","DateFormat=P","Fill=—","Direction=H","UseDPDF=Y")</f>
        <v>#NAME?</v>
      </c>
      <c r="BP347" s="2" t="e">
        <f ca="1">_xll.BDH($C$328,"MODIFIED_WORKING_CPTL_SEQ_GRWTH","FQ4 2017","FQ4 2017","Currency=INR","Period=FQ","BEST_FPERIOD_OVERRIDE=FQ","FILING_STATUS=OR","EQY_CONSOLIDATED=Y","Sort=A","Dates=H","DateFormat=P","Fill=—","Direction=H","UseDPDF=Y")</f>
        <v>#NAME?</v>
      </c>
      <c r="BQ347" s="2" t="e">
        <f ca="1">_xll.BDH($C$328,"WORKING_CAPITAL_SEQ_GROWTH","FQ4 2017","FQ4 2017","Currency=INR","Period=FQ","BEST_FPERIOD_OVERRIDE=FQ","FILING_STATUS=OR","EQY_CONSOLIDATED=Y","Sort=A","Dates=H","DateFormat=P","Fill=—","Direction=H","UseDPDF=Y")</f>
        <v>#NAME?</v>
      </c>
      <c r="BR347" s="2" t="e">
        <f ca="1">_xll.BDH($C$328,"ACCOUNTS_PAYABLE_SEQ_GROWTH","FQ4 2017","FQ4 2017","Currency=INR","Period=FQ","BEST_FPERIOD_OVERRIDE=FQ","FILING_STATUS=OR","EQY_CONSOLIDATED=Y","Sort=A","Dates=H","DateFormat=P","Fill=—","Direction=H","UseDPDF=Y")</f>
        <v>#NAME?</v>
      </c>
      <c r="BS347" s="2" t="e">
        <f ca="1">_xll.BDH($C$328,"ST_DEBT_SEQUENTIAL_GROWTH","FQ4 2017","FQ4 2017","Currency=INR","Period=FQ","BEST_FPERIOD_OVERRIDE=FQ","FILING_STATUS=OR","EQY_CONSOLIDATED=Y","Sort=A","Dates=H","DateFormat=P","Fill=—","Direction=H","UseDPDF=Y")</f>
        <v>#NAME?</v>
      </c>
      <c r="BT347" s="2" t="e">
        <f ca="1">_xll.BDH($C$328,"TOTAL_DEBT_SEQUENTIAL_GROWTH","FQ4 2017","FQ4 2017","Currency=INR","Period=FQ","BEST_FPERIOD_OVERRIDE=FQ","FILING_STATUS=OR","EQY_CONSOLIDATED=Y","Sort=A","Dates=H","DateFormat=P","Fill=—","Direction=H","UseDPDF=Y")</f>
        <v>#NAME?</v>
      </c>
      <c r="BU347" s="2" t="e">
        <f ca="1">_xll.BDH($C$328,"TOTAL_EQUITY_SEQUENTIAL_GROWTH","FQ4 2017","FQ4 2017","Currency=INR","Period=FQ","BEST_FPERIOD_OVERRIDE=FQ","FILING_STATUS=OR","EQY_CONSOLIDATED=Y","Sort=A","Dates=H","DateFormat=P","Fill=—","Direction=H","UseDPDF=Y")</f>
        <v>#NAME?</v>
      </c>
      <c r="BV347" s="2" t="e">
        <f ca="1">_xll.BDH($C$328,"TOTAL_CAPITAL_SEQUENTIAL_GROWTH","FQ4 2017","FQ4 2017","Currency=INR","Period=FQ","BEST_FPERIOD_OVERRIDE=FQ","FILING_STATUS=OR","EQY_CONSOLIDATED=Y","Sort=A","Dates=H","DateFormat=P","Fill=—","Direction=H","UseDPDF=Y")</f>
        <v>#NAME?</v>
      </c>
      <c r="BW347" s="2" t="e">
        <f ca="1">_xll.BDH($C$328,"BPS_SEQUENTIAL_GROWTH","FQ4 2017","FQ4 2017","Currency=INR","Period=FQ","BEST_FPERIOD_OVERRIDE=FQ","FILING_STATUS=OR","EQY_CONSOLIDATED=Y","Sort=A","Dates=H","DateFormat=P","Fill=—","Direction=H","UseDPDF=Y")</f>
        <v>#NAME?</v>
      </c>
      <c r="BX347" s="2" t="e">
        <f ca="1">_xll.BDH($C$328,"CFO_SEQUENTIAL_GROWTH","FQ4 2017","FQ4 2017","Currency=INR","Period=FQ","BEST_FPERIOD_OVERRIDE=FQ","FILING_STATUS=OR","EQY_CONSOLIDATED=Y","Sort=A","Dates=H","DateFormat=P","Fill=—","Direction=H","UseDPDF=Y")</f>
        <v>#NAME?</v>
      </c>
      <c r="BY347" s="3" t="e">
        <f ca="1">_xll.BDH($C$328,"SHORT_AND_LONG_TERM_DEBT","FQ4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347" s="3" t="e">
        <f ca="1">_xll.BDH($C$328,"BS_ST_BORROW","FQ4 2017","FQ4 2017","Currency=INR","Period=FQ","BEST_FPERIOD_OVERRIDE=FQ","FILING_STATUS=OR","EQY_CONSOLIDATED=Y","SCALING_FORMAT=MLN","Sort=A","Dates=H","DateFormat=P","Fill=—","Direction=H","UseDPDF=Y")</f>
        <v>#NAME?</v>
      </c>
      <c r="CA347" s="3" t="e">
        <f ca="1">_xll.BDH($C$328,"BS_LT_BORROW","FQ4 2017","FQ4 2017","Currency=INR","Period=FQ","BEST_FPERIOD_OVERRIDE=FQ","FILING_STATUS=OR","EQY_CONSOLIDATED=Y","SCALING_FORMAT=MLN","Sort=A","Dates=H","DateFormat=P","Fill=—","Direction=H","UseDPDF=Y")</f>
        <v>#NAME?</v>
      </c>
      <c r="CB347" s="2" t="e">
        <f ca="1">_xll.BDH($C$328,"TOT_DEBT_TO_EBITDA","FQ4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347" s="2" t="e">
        <f ca="1">_xll.BDH($C$328,"NET_DEBT_TO_EBITDA","FQ4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347" s="2" t="e">
        <f ca="1">_xll.BDH($C$328,"TOTAL_DEBT_TO_EBIT","FQ4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347" s="2" t="e">
        <f ca="1">_xll.BDH($C$328,"NET_DEBT_TO_EBIT","FQ4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347" s="2" t="e">
        <f ca="1">_xll.BDH($C$328,"EBITDA_TO_INTEREST_EXPN","FQ4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347" s="2" t="e">
        <f ca="1">_xll.BDH($C$328,"COM_EQY_TO_TOT_ASSET","FQ4 2017","FQ4 2017","Currency=INR","Period=FQ","BEST_FPERIOD_OVERRIDE=FQ","FILING_STATUS=OR","EQY_CONSOLIDATED=Y","Sort=A","Dates=H","DateFormat=P","Fill=—","Direction=H","UseDPDF=Y")</f>
        <v>#NAME?</v>
      </c>
      <c r="CH347" s="2" t="e">
        <f ca="1">_xll.BDH($C$328,"LT_DEBT_TO_TOT_EQY","FQ4 2017","FQ4 2017","Currency=INR","Period=FQ","BEST_FPERIOD_OVERRIDE=FQ","FILING_STATUS=OR","EQY_CONSOLIDATED=Y","Sort=A","Dates=H","DateFormat=P","Fill=—","Direction=H","UseDPDF=Y")</f>
        <v>#NAME?</v>
      </c>
      <c r="CI347" s="2" t="e">
        <f ca="1">_xll.BDH($C$328,"LT_DEBT_TO_TOT_CAP","FQ4 2017","FQ4 2017","Currency=INR","Period=FQ","BEST_FPERIOD_OVERRIDE=FQ","FILING_STATUS=OR","EQY_CONSOLIDATED=Y","Sort=A","Dates=H","DateFormat=P","Fill=—","Direction=H","UseDPDF=Y")</f>
        <v>#NAME?</v>
      </c>
      <c r="CJ347" s="2" t="e">
        <f ca="1">_xll.BDH($C$328,"LT_DEBT_TO_TOT_ASSET","FQ4 2017","FQ4 2017","Currency=INR","Period=FQ","BEST_FPERIOD_OVERRIDE=FQ","FILING_STATUS=OR","EQY_CONSOLIDATED=Y","Sort=A","Dates=H","DateFormat=P","Fill=—","Direction=H","UseDPDF=Y")</f>
        <v>#NAME?</v>
      </c>
      <c r="CK347" s="2" t="e">
        <f ca="1">_xll.BDH($C$328,"TOT_DEBT_TO_TOT_EQY","FQ4 2017","FQ4 2017","Currency=INR","Period=FQ","BEST_FPERIOD_OVERRIDE=FQ","FILING_STATUS=OR","EQY_CONSOLIDATED=Y","Sort=A","Dates=H","DateFormat=P","Fill=—","Direction=H","UseDPDF=Y")</f>
        <v>#NAME?</v>
      </c>
      <c r="CL347" s="2" t="e">
        <f ca="1">_xll.BDH($C$328,"TOT_DEBT_TO_TOT_CAP","FQ4 2017","FQ4 2017","Currency=INR","Period=FQ","BEST_FPERIOD_OVERRIDE=FQ","FILING_STATUS=OR","EQY_CONSOLIDATED=Y","Sort=A","Dates=H","DateFormat=P","Fill=—","Direction=H","UseDPDF=Y")</f>
        <v>#NAME?</v>
      </c>
      <c r="CM347" s="2" t="e">
        <f ca="1">_xll.BDH($C$328,"TOT_DEBT_TO_TOT_ASSET","FQ4 2017","FQ4 2017","Currency=INR","Period=FQ","BEST_FPERIOD_OVERRIDE=FQ","FILING_STATUS=OR","EQY_CONSOLIDATED=Y","Sort=A","Dates=H","DateFormat=P","Fill=—","Direction=H","UseDPDF=Y")</f>
        <v>#NAME?</v>
      </c>
      <c r="CN347" s="2" t="e">
        <f ca="1">_xll.BDH($C$328,"NET_DEBT_TO_SHRHLDR_EQTY","FQ4 2017","FQ4 2017","Currency=INR","Period=FQ","BEST_FPERIOD_OVERRIDE=FQ","FILING_STATUS=OR","EQY_CONSOLIDATED=Y","Sort=A","Dates=H","DateFormat=P","Fill=—","Direction=H","UseDPDF=Y")</f>
        <v>#NAME?</v>
      </c>
      <c r="CO347" s="2" t="e">
        <f ca="1">_xll.BDH($C$328,"NET_DEBT_%_CAPITAL","FQ4 2017","FQ4 2017","Currency=INR","Period=FQ","BEST_FPERIOD_OVERRIDE=FQ","FILING_STATUS=OR","EQY_CONSOLIDATED=Y","Sort=A","Dates=H","DateFormat=P","Fill=—","Direction=H","UseDPDF=Y")</f>
        <v>#NAME?</v>
      </c>
      <c r="CP347" s="3" t="e">
        <f ca="1">_xll.BDH($C$328,"EBITDA","FQ4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347" s="3" t="e">
        <f ca="1">_xll.BDH($C$328,"EBITDA_AFTER_CAPEX","FQ4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347" s="3" t="e">
        <f ca="1">_xll.BDH($C$328,"IS_OPER_INC","FQ4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347" s="2" t="e">
        <f ca="1">_xll.BDH($C$328,"CASH_RATIO","FQ4 2017","FQ4 2017","Currency=INR","Period=FQ","BEST_FPERIOD_OVERRIDE=FQ","FILING_STATUS=OR","EQY_CONSOLIDATED=Y","Sort=A","Dates=H","DateFormat=P","Fill=—","Direction=H","UseDPDF=Y")</f>
        <v>#NAME?</v>
      </c>
      <c r="CT347" s="2" t="e">
        <f ca="1">_xll.BDH($C$328,"CUR_RATIO","FQ4 2017","FQ4 2017","Currency=INR","Period=FQ","BEST_FPERIOD_OVERRIDE=FQ","FILING_STATUS=OR","EQY_CONSOLIDATED=Y","Sort=A","Dates=H","DateFormat=P","Fill=—","Direction=H","UseDPDF=Y")</f>
        <v>#NAME?</v>
      </c>
      <c r="CU347" s="2" t="e">
        <f ca="1">_xll.BDH($C$328,"QUICK_RATIO","FQ4 2017","FQ4 2017","Currency=INR","Period=FQ","BEST_FPERIOD_OVERRIDE=FQ","FILING_STATUS=OR","EQY_CONSOLIDATED=Y","Sort=A","Dates=H","DateFormat=P","Fill=—","Direction=H","UseDPDF=Y")</f>
        <v>#NAME?</v>
      </c>
      <c r="CV347" s="2" t="e">
        <f ca="1">_xll.BDH($C$328,"ALTMAN_Z_SCORE","FQ4 2017","FQ4 2017","Currency=INR","Period=FQ","BEST_FPERIOD_OVERRIDE=FQ","FILING_STATUS=OR","EQY_CONSOLIDATED=Y","Sort=A","Dates=H","DateFormat=P","Fill=—","Direction=H","UseDPDF=Y")</f>
        <v>#NAME?</v>
      </c>
      <c r="CW347" s="4" t="e">
        <f ca="1">_xll.BDH($C$328,"ACCT_RCV_TURN","FQ4 2017","FQ4 2017","Currency=INR","Period=FQ","BEST_FPERIOD_OVERRIDE=FQ","FILING_STATUS=OR","EQY_CONSOLIDATED=Y","FA_ADJUSTED=GAAP","Sort=A","Dates=H","DateFormat=P","Fill=—","Direction=H","UseDPDF=Y")</f>
        <v>#NAME?</v>
      </c>
      <c r="CX347" s="2" t="e">
        <f ca="1">_xll.BDH($C$328,"ACCT_RCV_DAYS","FQ4 2017","FQ4 2017","Currency=INR","Period=FQ","BEST_FPERIOD_OVERRIDE=FQ","FILING_STATUS=OR","EQY_CONSOLIDATED=Y","FA_ADJUSTED=GAAP","Sort=A","Dates=H","DateFormat=P","Fill=—","Direction=H","UseDPDF=Y")</f>
        <v>#NAME?</v>
      </c>
      <c r="CY347" s="4" t="e">
        <f ca="1">_xll.BDH($C$328,"INVENT_TURN","FQ4 2017","FQ4 2017","Currency=INR","Period=FQ","BEST_FPERIOD_OVERRIDE=FQ","FILING_STATUS=OR","EQY_CONSOLIDATED=Y","FA_ADJUSTED=GAAP","Sort=A","Dates=H","DateFormat=P","Fill=—","Direction=H","UseDPDF=Y")</f>
        <v>#NAME?</v>
      </c>
      <c r="CZ347" s="2" t="e">
        <f ca="1">_xll.BDH($C$328,"INVENT_DAYS","FQ4 2017","FQ4 2017","Currency=INR","Period=FQ","BEST_FPERIOD_OVERRIDE=FQ","FILING_STATUS=OR","EQY_CONSOLIDATED=Y","FA_ADJUSTED=GAAP","Sort=A","Dates=H","DateFormat=P","Fill=—","Direction=H","UseDPDF=Y")</f>
        <v>#NAME?</v>
      </c>
      <c r="DA347" s="4" t="e">
        <f ca="1">_xll.BDH($C$328,"ACCOUNTS_PAYABLE_TURNOVER","FQ4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347" s="2" t="e">
        <f ca="1">_xll.BDH($C$328,"ACCOUNTS_PAYABLE_TURNOVER_DAYS","FQ4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347" s="4" t="e">
        <f ca="1">_xll.BDH($C$328,"CASH_CONVERSION_CYCLE","FQ4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347" s="4" t="e">
        <f ca="1">_xll.BDH($C$328,"INV_TO_CASH_DAYS","FQ4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347" s="5" t="e">
        <f ca="1">_xll.BDH($C$328,"BS_INVENTORIES","FQ4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347" s="3" t="e">
        <f ca="1">_xll.BDH($C$328,"INVTRY_RAW_MATERIALS","FQ4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347" s="3" t="e">
        <f ca="1">_xll.BDH($C$328,"INVTRY_IN_PROGRESS","FQ4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347" s="3" t="e">
        <f ca="1">_xll.BDH($C$328,"INVTRY_FINISHED_GOODS","FQ4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347" s="3" t="e">
        <f ca="1">_xll.BDH($C$328,"BS_OTHER_INV","FQ4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348" spans="1:113" x14ac:dyDescent="0.3">
      <c r="A348" s="6"/>
      <c r="B348" s="6"/>
      <c r="C348" s="6"/>
      <c r="D348" s="6" t="s">
        <v>85</v>
      </c>
      <c r="E348" t="s">
        <v>77</v>
      </c>
      <c r="F348" t="e">
        <f ca="1">_xll.BDH($C$328,"RETURN_COM_EQY","FY 2018","FY 2018","Currency=INR","Period=FY","BEST_FPERIOD_OVERRIDE=FY","FILING_STATUS=OR","EQY_CONSOLIDATED=Y","FA_ADJUSTED=GAAP","Sort=A","Dates=H","DateFormat=P","Fill=—","Direction=H","UseDPDF=Y")</f>
        <v>#NAME?</v>
      </c>
      <c r="G348" t="e">
        <f ca="1">_xll.BDH($C$328,"RETURN_ON_ASSET","FY 2018","FY 2018","Currency=INR","Period=FY","BEST_FPERIOD_OVERRIDE=FY","FILING_STATUS=OR","EQY_CONSOLIDATED=Y","FA_ADJUSTED=GAAP","Sort=A","Dates=H","DateFormat=P","Fill=—","Direction=H","UseDPDF=Y")</f>
        <v>#NAME?</v>
      </c>
      <c r="H348" t="e">
        <f ca="1">_xll.BDH($C$328,"RETURN_ON_CAP","FY 2018","FY 2018","Currency=INR","Period=FY","BEST_FPERIOD_OVERRIDE=FY","FILING_STATUS=OR","EQY_CONSOLIDATED=Y","FA_ADJUSTED=GAAP","Sort=A","Dates=H","DateFormat=P","Fill=—","Direction=H","UseDPDF=Y")</f>
        <v>#NAME?</v>
      </c>
      <c r="I348" t="e">
        <f ca="1">_xll.BDH($C$328,"RETURN_ON_INV_CAPITAL","FY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348" t="e">
        <f ca="1">_xll.BDH($C$328,"EBITDA_TO_REVENUE","FY 2018","FY 2018","Currency=INR","Period=FY","BEST_FPERIOD_OVERRIDE=FY","FILING_STATUS=OR","EQY_CONSOLIDATED=Y","FA_ADJUSTED=GAAP","Sort=A","Dates=H","DateFormat=P","Fill=—","Direction=H","UseDPDF=Y")</f>
        <v>#NAME?</v>
      </c>
      <c r="K348" t="e">
        <f ca="1">_xll.BDH($C$328,"OPER_MARGIN","FY 2018","FY 2018","Currency=INR","Period=FY","BEST_FPERIOD_OVERRIDE=FY","FILING_STATUS=OR","EQY_CONSOLIDATED=Y","FA_ADJUSTED=GAAP","Sort=A","Dates=H","DateFormat=P","Fill=—","Direction=H","UseDPDF=Y")</f>
        <v>#NAME?</v>
      </c>
      <c r="L348" t="e">
        <f ca="1">_xll.BDH($C$328,"INCREMENTAL_OPERATING_MARGIN","FY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348" t="e">
        <f ca="1">_xll.BDH($C$328,"PRETAX_INC_TO_NET_SALES","FY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348" t="e">
        <f ca="1">_xll.BDH($C$328,"INC_BEF_XO_ITEMS_TO_NET_SALES","FY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348" t="e">
        <f ca="1">_xll.BDH($C$328,"PROF_MARGIN","FY 2018","FY 2018","Currency=INR","Period=FY","BEST_FPERIOD_OVERRIDE=FY","FILING_STATUS=OR","EQY_CONSOLIDATED=Y","FA_ADJUSTED=GAAP","Sort=A","Dates=H","DateFormat=P","Fill=—","Direction=H","UseDPDF=Y")</f>
        <v>#NAME?</v>
      </c>
      <c r="P348" t="e">
        <f ca="1">_xll.BDH($C$328,"NET_INCOME_TO_COMMON_MARGIN","FY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348" t="e">
        <f ca="1">_xll.BDH($C$328,"EFF_TAX_RATE","FY 2018","FY 2018","Currency=INR","Period=FY","BEST_FPERIOD_OVERRIDE=FY","FILING_STATUS=OR","EQY_CONSOLIDATED=Y","FA_ADJUSTED=GAAP","Sort=A","Dates=H","DateFormat=P","Fill=—","Direction=H","UseDPDF=Y")</f>
        <v>#NAME?</v>
      </c>
      <c r="R348" t="e">
        <f ca="1">_xll.BDH($C$328,"DVD_PAYOUT_RATIO","FY 2018","FY 2018","Currency=INR","Period=FY","BEST_FPERIOD_OVERRIDE=FY","FILING_STATUS=OR","EQY_CONSOLIDATED=Y","FA_ADJUSTED=GAAP","Sort=A","Dates=H","DateFormat=P","Fill=—","Direction=H","UseDPDF=Y")</f>
        <v>#NAME?</v>
      </c>
      <c r="S348" t="e">
        <f ca="1">_xll.BDH($C$328,"SUSTAIN_GROWTH_RT","FY 2018","FY 2018","Currency=INR","Period=FY","BEST_FPERIOD_OVERRIDE=FY","FILING_STATUS=OR","EQY_CONSOLIDATED=Y","FA_ADJUSTED=GAAP","Sort=A","Dates=H","DateFormat=P","Fill=—","Direction=H","UseDPDF=Y")</f>
        <v>#NAME?</v>
      </c>
      <c r="T348" s="2" t="e">
        <f ca="1">_xll.BDH($C$328,"SALES_GROWTH","FY 2018","FY 2018","Currency=INR","Period=FY","BEST_FPERIOD_OVERRIDE=FY","FILING_STATUS=OR","EQY_CONSOLIDATED=Y","FA_ADJUSTED=GAAP","Sort=A","Dates=H","DateFormat=P","Fill=—","Direction=H","UseDPDF=Y")</f>
        <v>#NAME?</v>
      </c>
      <c r="U348" s="2" t="e">
        <f ca="1">_xll.BDH($C$328,"EBITDA_GROWTH","FY 2018","FY 2018","Currency=INR","Period=FY","BEST_FPERIOD_OVERRIDE=FY","FILING_STATUS=OR","EQY_CONSOLIDATED=Y","FA_ADJUSTED=GAAP","Sort=A","Dates=H","DateFormat=P","Fill=—","Direction=H","UseDPDF=Y")</f>
        <v>#NAME?</v>
      </c>
      <c r="V348" s="2" t="e">
        <f ca="1">_xll.BDH($C$328,"OPER_INC_GROWTH","FY 2018","FY 2018","Currency=INR","Period=FY","BEST_FPERIOD_OVERRIDE=FY","FILING_STATUS=OR","EQY_CONSOLIDATED=Y","FA_ADJUSTED=GAAP","Sort=A","Dates=H","DateFormat=P","Fill=—","Direction=H","UseDPDF=Y")</f>
        <v>#NAME?</v>
      </c>
      <c r="W348" s="2" t="e">
        <f ca="1">_xll.BDH($C$328,"EARN_FOR_COM_GROWTH","FY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348" s="2" t="e">
        <f ca="1">_xll.BDH($C$328,"DILUTED_EPS_AFT_XO_ITEMS_GROWTH","FY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348" s="2" t="e">
        <f ca="1">_xll.BDH($C$328,"DIVIDEND_PER_SHARE_1_YEAR_GROWTH","FY 2018","FY 2018","Currency=INR","Period=FY","BEST_FPERIOD_OVERRIDE=FY","FILING_STATUS=OR","EQY_CONSOLIDATED=Y","Sort=A","Dates=H","DateFormat=P","Fill=—","Direction=H","UseDPDF=Y")</f>
        <v>#NAME?</v>
      </c>
      <c r="Z348" s="2" t="e">
        <f ca="1">_xll.BDH($C$328,"ACCOUNTS_RECEIVABLE_GROWTH","FY 2018","FY 2018","Currency=INR","Period=FY","BEST_FPERIOD_OVERRIDE=FY","FILING_STATUS=OR","EQY_CONSOLIDATED=Y","Sort=A","Dates=H","DateFormat=P","Fill=—","Direction=H","UseDPDF=Y")</f>
        <v>#NAME?</v>
      </c>
      <c r="AA348" s="2" t="e">
        <f ca="1">_xll.BDH($C$328,"INVENTORY_GROWTH","FY 2018","FY 2018","Currency=INR","Period=FY","BEST_FPERIOD_OVERRIDE=FY","FILING_STATUS=OR","EQY_CONSOLIDATED=Y","Sort=A","Dates=H","DateFormat=P","Fill=—","Direction=H","UseDPDF=Y")</f>
        <v>#NAME?</v>
      </c>
      <c r="AB348" s="2" t="e">
        <f ca="1">_xll.BDH($C$328,"NET_FIXED_ASSETS_1_YEAR_GROWTH","FY 2018","FY 2018","Currency=INR","Period=FY","BEST_FPERIOD_OVERRIDE=FY","FILING_STATUS=OR","EQY_CONSOLIDATED=Y","Sort=A","Dates=H","DateFormat=P","Fill=—","Direction=H","UseDPDF=Y")</f>
        <v>#NAME?</v>
      </c>
      <c r="AC348" s="2" t="e">
        <f ca="1">_xll.BDH($C$328,"ASSET_GROWTH","FY 2018","FY 2018","Currency=INR","Period=FY","BEST_FPERIOD_OVERRIDE=FY","FILING_STATUS=OR","EQY_CONSOLIDATED=Y","Sort=A","Dates=H","DateFormat=P","Fill=—","Direction=H","UseDPDF=Y")</f>
        <v>#NAME?</v>
      </c>
      <c r="AD348" s="2" t="e">
        <f ca="1">_xll.BDH($C$328,"MODIFIED_WORK_CAP_GROWTH","FY 2018","FY 2018","Currency=INR","Period=FY","BEST_FPERIOD_OVERRIDE=FY","FILING_STATUS=OR","EQY_CONSOLIDATED=Y","Sort=A","Dates=H","DateFormat=P","Fill=—","Direction=H","UseDPDF=Y")</f>
        <v>#NAME?</v>
      </c>
      <c r="AE348" s="2" t="e">
        <f ca="1">_xll.BDH($C$328,"WORK_CAP_GROWTH","FY 2018","FY 2018","Currency=INR","Period=FY","BEST_FPERIOD_OVERRIDE=FY","FILING_STATUS=OR","EQY_CONSOLIDATED=Y","Sort=A","Dates=H","DateFormat=P","Fill=—","Direction=H","UseDPDF=Y")</f>
        <v>#NAME?</v>
      </c>
      <c r="AF348" s="2" t="e">
        <f ca="1">_xll.BDH($C$328,"ACCOUNTS_PAYABLE_GROWTH_1YR","FY 2018","FY 2018","Currency=INR","Period=FY","BEST_FPERIOD_OVERRIDE=FY","FILING_STATUS=OR","EQY_CONSOLIDATED=Y","Sort=A","Dates=H","DateFormat=P","Fill=—","Direction=H","UseDPDF=Y")</f>
        <v>#NAME?</v>
      </c>
      <c r="AG348" s="2" t="e">
        <f ca="1">_xll.BDH($C$328,"SHORT_TERM_DEBT_1_YEAR_GROWTH","FY 2018","FY 2018","Currency=INR","Period=FY","BEST_FPERIOD_OVERRIDE=FY","FILING_STATUS=OR","EQY_CONSOLIDATED=Y","Sort=A","Dates=H","DateFormat=P","Fill=—","Direction=H","UseDPDF=Y")</f>
        <v>#NAME?</v>
      </c>
      <c r="AH348" s="2" t="e">
        <f ca="1">_xll.BDH($C$328,"TOTAL_DEBT_1_YEAR_GROWTH","FY 2018","FY 2018","Currency=INR","Period=FY","BEST_FPERIOD_OVERRIDE=FY","FILING_STATUS=OR","EQY_CONSOLIDATED=Y","Sort=A","Dates=H","DateFormat=P","Fill=—","Direction=H","UseDPDF=Y")</f>
        <v>#NAME?</v>
      </c>
      <c r="AI348" s="2" t="e">
        <f ca="1">_xll.BDH($C$328,"TOTAL_EQUITY_1_YEAR_GROWTH","FY 2018","FY 2018","Currency=INR","Period=FY","BEST_FPERIOD_OVERRIDE=FY","FILING_STATUS=OR","EQY_CONSOLIDATED=Y","Sort=A","Dates=H","DateFormat=P","Fill=—","Direction=H","UseDPDF=Y")</f>
        <v>#NAME?</v>
      </c>
      <c r="AJ348" s="2" t="e">
        <f ca="1">_xll.BDH($C$328,"GROWTH_IN_CAP","FY 2018","FY 2018","Currency=INR","Period=FY","BEST_FPERIOD_OVERRIDE=FY","FILING_STATUS=OR","EQY_CONSOLIDATED=Y","Sort=A","Dates=H","DateFormat=P","Fill=—","Direction=H","UseDPDF=Y")</f>
        <v>#NAME?</v>
      </c>
      <c r="AK348" s="2" t="e">
        <f ca="1">_xll.BDH($C$328,"BVPS_GROWTH","FY 2018","FY 2018","Currency=INR","Period=FY","BEST_FPERIOD_OVERRIDE=FY","FILING_STATUS=OR","EQY_CONSOLIDATED=Y","Sort=A","Dates=H","DateFormat=P","Fill=—","Direction=H","UseDPDF=Y")</f>
        <v>#NAME?</v>
      </c>
      <c r="AL348" s="2" t="e">
        <f ca="1">_xll.BDH($C$328,"CASH_FLOW_GROWTH","FY 2018","FY 2018","Currency=INR","Period=FY","BEST_FPERIOD_OVERRIDE=FY","FILING_STATUS=OR","EQY_CONSOLIDATED=Y","Sort=A","Dates=H","DateFormat=P","Fill=—","Direction=H","UseDPDF=Y")</f>
        <v>#NAME?</v>
      </c>
      <c r="AM348" s="2" t="e">
        <f ca="1">_xll.BDH($C$328,"GEO_GROW_NET_SALES","FY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348" s="2" t="e">
        <f ca="1">_xll.BDH($C$328,"GEO_GROW_EBITDA","FY 2018","FY 2018","Currency=INR","Period=FY","BEST_FPERIOD_OVERRIDE=FY","FILING_STATUS=OR","EQY_CONSOLIDATED=Y","FA_ADJUSTED=GAAP","Sort=A","Dates=H","DateFormat=P","Fill=—","Direction=H","UseDPDF=Y")</f>
        <v>#NAME?</v>
      </c>
      <c r="AO348" s="2" t="e">
        <f ca="1">_xll.BDH($C$328,"GEO_GROW_OPER_INC","FY 2018","FY 2018","Currency=INR","Period=FY","BEST_FPERIOD_OVERRIDE=FY","FILING_STATUS=OR","EQY_CONSOLIDATED=Y","FA_ADJUSTED=GAAP","Sort=A","Dates=H","DateFormat=P","Fill=—","Direction=H","UseDPDF=Y")</f>
        <v>#NAME?</v>
      </c>
      <c r="AP348" s="2" t="e">
        <f ca="1">_xll.BDH($C$328,"NET_INCOME_TO_COMMON_5_YR_GROWTH","FY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348" s="2" t="e">
        <f ca="1">_xll.BDH($C$328,"5Y_GEO_GROWTH_DILUTED_EPS","FY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348" s="2" t="e">
        <f ca="1">_xll.BDH($C$328,"GEO_GROW_DVD_PER_SH","FY 2018","FY 2018","Currency=INR","Period=FY","BEST_FPERIOD_OVERRIDE=FY","FILING_STATUS=OR","EQY_CONSOLIDATED=Y","Sort=A","Dates=H","DateFormat=P","Fill=—","Direction=H","UseDPDF=Y")</f>
        <v>#NAME?</v>
      </c>
      <c r="AS348" s="2" t="e">
        <f ca="1">_xll.BDH($C$328,"ACCOUNTS_RECEIVABLE_5_YR_GROWTH","FY 2018","FY 2018","Currency=INR","Period=FY","BEST_FPERIOD_OVERRIDE=FY","FILING_STATUS=OR","EQY_CONSOLIDATED=Y","Sort=A","Dates=H","DateFormat=P","Fill=—","Direction=H","UseDPDF=Y")</f>
        <v>#NAME?</v>
      </c>
      <c r="AT348" s="2" t="e">
        <f ca="1">_xll.BDH($C$328,"INVENTORY_5_YEAR_GROWTH","FY 2018","FY 2018","Currency=INR","Period=FY","BEST_FPERIOD_OVERRIDE=FY","FILING_STATUS=OR","EQY_CONSOLIDATED=Y","Sort=A","Dates=H","DateFormat=P","Fill=—","Direction=H","UseDPDF=Y")</f>
        <v>#NAME?</v>
      </c>
      <c r="AU348" s="2" t="e">
        <f ca="1">_xll.BDH($C$328,"NET_FIXED_ASSETS_5_YEAR_GROWTH","FY 2018","FY 2018","Currency=INR","Period=FY","BEST_FPERIOD_OVERRIDE=FY","FILING_STATUS=OR","EQY_CONSOLIDATED=Y","Sort=A","Dates=H","DateFormat=P","Fill=—","Direction=H","UseDPDF=Y")</f>
        <v>#NAME?</v>
      </c>
      <c r="AV348" s="2" t="e">
        <f ca="1">_xll.BDH($C$328,"GEO_GROW_TOT_ASSET","FY 2018","FY 2018","Currency=INR","Period=FY","BEST_FPERIOD_OVERRIDE=FY","FILING_STATUS=OR","EQY_CONSOLIDATED=Y","Sort=A","Dates=H","DateFormat=P","Fill=—","Direction=H","UseDPDF=Y")</f>
        <v>#NAME?</v>
      </c>
      <c r="AW348" s="2" t="e">
        <f ca="1">_xll.BDH($C$328,"MODIFIED_WORKING_CPTL_5YR_GRWTH","FY 2018","FY 2018","Currency=INR","Period=FY","BEST_FPERIOD_OVERRIDE=FY","FILING_STATUS=OR","EQY_CONSOLIDATED=Y","Sort=A","Dates=H","DateFormat=P","Fill=—","Direction=H","UseDPDF=Y")</f>
        <v>#NAME?</v>
      </c>
      <c r="AX348" s="2" t="e">
        <f ca="1">_xll.BDH($C$328,"WORKING_CAPITAL_5_YEAR_GROWTH","FY 2018","FY 2018","Currency=INR","Period=FY","BEST_FPERIOD_OVERRIDE=FY","FILING_STATUS=OR","EQY_CONSOLIDATED=Y","Sort=A","Dates=H","DateFormat=P","Fill=—","Direction=H","UseDPDF=Y")</f>
        <v>#NAME?</v>
      </c>
      <c r="AY348" s="2" t="e">
        <f ca="1">_xll.BDH($C$328,"ACCOUNTS_PAYABLE_5_YEAR_GROWTH","FY 2018","FY 2018","Currency=INR","Period=FY","BEST_FPERIOD_OVERRIDE=FY","FILING_STATUS=OR","EQY_CONSOLIDATED=Y","Sort=A","Dates=H","DateFormat=P","Fill=—","Direction=H","UseDPDF=Y")</f>
        <v>#NAME?</v>
      </c>
      <c r="AZ348" s="2" t="e">
        <f ca="1">_xll.BDH($C$328,"SHORT_TERM_DEBT_5_YEAR_GROWTH","FY 2018","FY 2018","Currency=INR","Period=FY","BEST_FPERIOD_OVERRIDE=FY","FILING_STATUS=OR","EQY_CONSOLIDATED=Y","Sort=A","Dates=H","DateFormat=P","Fill=—","Direction=H","UseDPDF=Y")</f>
        <v>#NAME?</v>
      </c>
      <c r="BA348" s="2" t="e">
        <f ca="1">_xll.BDH($C$328,"TOTAL_DEBT_5_YEAR_GROWTH","FY 2018","FY 2018","Currency=INR","Period=FY","BEST_FPERIOD_OVERRIDE=FY","FILING_STATUS=OR","EQY_CONSOLIDATED=Y","Sort=A","Dates=H","DateFormat=P","Fill=—","Direction=H","UseDPDF=Y")</f>
        <v>#NAME?</v>
      </c>
      <c r="BB348" s="2" t="e">
        <f ca="1">_xll.BDH($C$328,"GEO_GROW_TOT_SHRHLDR_EQY","FY 2018","FY 2018","Currency=INR","Period=FY","BEST_FPERIOD_OVERRIDE=FY","FILING_STATUS=OR","EQY_CONSOLIDATED=Y","Sort=A","Dates=H","DateFormat=P","Fill=—","Direction=H","UseDPDF=Y")</f>
        <v>#NAME?</v>
      </c>
      <c r="BC348" s="2" t="e">
        <f ca="1">_xll.BDH($C$328,"TOTAL_CAPITAL_5_YEAR_GROWTH","FY 2018","FY 2018","Currency=INR","Period=FY","BEST_FPERIOD_OVERRIDE=FY","FILING_STATUS=OR","EQY_CONSOLIDATED=Y","Sort=A","Dates=H","DateFormat=P","Fill=—","Direction=H","UseDPDF=Y")</f>
        <v>#NAME?</v>
      </c>
      <c r="BD348" s="2" t="e">
        <f ca="1">_xll.BDH($C$328,"GEO_GROW_BOOK_VAL","FY 2018","FY 2018","Currency=INR","Period=FY","BEST_FPERIOD_OVERRIDE=FY","FILING_STATUS=OR","EQY_CONSOLIDATED=Y","Sort=A","Dates=H","DateFormat=P","Fill=—","Direction=H","UseDPDF=Y")</f>
        <v>#NAME?</v>
      </c>
      <c r="BE348" s="2" t="e">
        <f ca="1">_xll.BDH($C$328,"GEO_GROW_CASH_OPER_ACT","FY 2018","FY 2018","Currency=INR","Period=FY","BEST_FPERIOD_OVERRIDE=FY","FILING_STATUS=OR","EQY_CONSOLIDATED=Y","Sort=A","Dates=H","DateFormat=P","Fill=—","Direction=H","UseDPDF=Y")</f>
        <v>#NAME?</v>
      </c>
      <c r="BF348" s="2" t="e">
        <f ca="1">_xll.BDH($C$328,"REVENUE_SEQUENTIAL_GROWTH","FY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348" s="2" t="e">
        <f ca="1">_xll.BDH($C$328,"EBITDA_SEQUENTIAL_GROWTH","FY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348" s="2" t="e">
        <f ca="1">_xll.BDH($C$328,"OPERATING_INCOME_SEQ_GROWTH","FY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348" s="2" t="e">
        <f ca="1">_xll.BDH($C$328,"NET_INCOME_TO_COMMON_SEQ_GROWTH","FY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348" s="2" t="e">
        <f ca="1">_xll.BDH($C$328,"EPS_DILUTED_SEQUENTIAL_GROWTH","FY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348" s="2" t="e">
        <f ca="1">_xll.BDH($C$328,"DPS_SEQUENTIAL_GROWTH","FY 2018","FY 2018","Currency=INR","Period=FY","BEST_FPERIOD_OVERRIDE=FY","FILING_STATUS=OR","EQY_CONSOLIDATED=Y","Sort=A","Dates=H","DateFormat=P","Fill=—","Direction=H","UseDPDF=Y")</f>
        <v>#NAME?</v>
      </c>
      <c r="BL348" s="2" t="e">
        <f ca="1">_xll.BDH($C$328,"ACCOUNTS_RECEIVABLE_SEQ_GROWTH","FY 2018","FY 2018","Currency=INR","Period=FY","BEST_FPERIOD_OVERRIDE=FY","FILING_STATUS=OR","EQY_CONSOLIDATED=Y","Sort=A","Dates=H","DateFormat=P","Fill=—","Direction=H","UseDPDF=Y")</f>
        <v>#NAME?</v>
      </c>
      <c r="BM348" s="2" t="e">
        <f ca="1">_xll.BDH($C$328,"INVENTORY_SEQUENTIAL_GROWTH","FY 2018","FY 2018","Currency=INR","Period=FY","BEST_FPERIOD_OVERRIDE=FY","FILING_STATUS=OR","EQY_CONSOLIDATED=Y","Sort=A","Dates=H","DateFormat=P","Fill=—","Direction=H","UseDPDF=Y")</f>
        <v>#NAME?</v>
      </c>
      <c r="BN348" s="2" t="e">
        <f ca="1">_xll.BDH($C$328,"FIXED_ASSETS_SEQUENTIAL_GROWTH","FY 2018","FY 2018","Currency=INR","Period=FY","BEST_FPERIOD_OVERRIDE=FY","FILING_STATUS=OR","EQY_CONSOLIDATED=Y","Sort=A","Dates=H","DateFormat=P","Fill=—","Direction=H","UseDPDF=Y")</f>
        <v>#NAME?</v>
      </c>
      <c r="BO348" s="2" t="e">
        <f ca="1">_xll.BDH($C$328,"TOTAL_ASSETS_SEQUENTIAL_GROWTH","FY 2018","FY 2018","Currency=INR","Period=FY","BEST_FPERIOD_OVERRIDE=FY","FILING_STATUS=OR","EQY_CONSOLIDATED=Y","Sort=A","Dates=H","DateFormat=P","Fill=—","Direction=H","UseDPDF=Y")</f>
        <v>#NAME?</v>
      </c>
      <c r="BP348" s="2" t="e">
        <f ca="1">_xll.BDH($C$328,"MODIFIED_WORKING_CPTL_SEQ_GRWTH","FY 2018","FY 2018","Currency=INR","Period=FY","BEST_FPERIOD_OVERRIDE=FY","FILING_STATUS=OR","EQY_CONSOLIDATED=Y","Sort=A","Dates=H","DateFormat=P","Fill=—","Direction=H","UseDPDF=Y")</f>
        <v>#NAME?</v>
      </c>
      <c r="BQ348" s="2" t="e">
        <f ca="1">_xll.BDH($C$328,"WORKING_CAPITAL_SEQ_GROWTH","FY 2018","FY 2018","Currency=INR","Period=FY","BEST_FPERIOD_OVERRIDE=FY","FILING_STATUS=OR","EQY_CONSOLIDATED=Y","Sort=A","Dates=H","DateFormat=P","Fill=—","Direction=H","UseDPDF=Y")</f>
        <v>#NAME?</v>
      </c>
      <c r="BR348" s="2" t="e">
        <f ca="1">_xll.BDH($C$328,"ACCOUNTS_PAYABLE_SEQ_GROWTH","FY 2018","FY 2018","Currency=INR","Period=FY","BEST_FPERIOD_OVERRIDE=FY","FILING_STATUS=OR","EQY_CONSOLIDATED=Y","Sort=A","Dates=H","DateFormat=P","Fill=—","Direction=H","UseDPDF=Y")</f>
        <v>#NAME?</v>
      </c>
      <c r="BS348" s="2" t="e">
        <f ca="1">_xll.BDH($C$328,"ST_DEBT_SEQUENTIAL_GROWTH","FY 2018","FY 2018","Currency=INR","Period=FY","BEST_FPERIOD_OVERRIDE=FY","FILING_STATUS=OR","EQY_CONSOLIDATED=Y","Sort=A","Dates=H","DateFormat=P","Fill=—","Direction=H","UseDPDF=Y")</f>
        <v>#NAME?</v>
      </c>
      <c r="BT348" s="2" t="e">
        <f ca="1">_xll.BDH($C$328,"TOTAL_DEBT_SEQUENTIAL_GROWTH","FY 2018","FY 2018","Currency=INR","Period=FY","BEST_FPERIOD_OVERRIDE=FY","FILING_STATUS=OR","EQY_CONSOLIDATED=Y","Sort=A","Dates=H","DateFormat=P","Fill=—","Direction=H","UseDPDF=Y")</f>
        <v>#NAME?</v>
      </c>
      <c r="BU348" s="2" t="e">
        <f ca="1">_xll.BDH($C$328,"TOTAL_EQUITY_SEQUENTIAL_GROWTH","FY 2018","FY 2018","Currency=INR","Period=FY","BEST_FPERIOD_OVERRIDE=FY","FILING_STATUS=OR","EQY_CONSOLIDATED=Y","Sort=A","Dates=H","DateFormat=P","Fill=—","Direction=H","UseDPDF=Y")</f>
        <v>#NAME?</v>
      </c>
      <c r="BV348" s="2" t="e">
        <f ca="1">_xll.BDH($C$328,"TOTAL_CAPITAL_SEQUENTIAL_GROWTH","FY 2018","FY 2018","Currency=INR","Period=FY","BEST_FPERIOD_OVERRIDE=FY","FILING_STATUS=OR","EQY_CONSOLIDATED=Y","Sort=A","Dates=H","DateFormat=P","Fill=—","Direction=H","UseDPDF=Y")</f>
        <v>#NAME?</v>
      </c>
      <c r="BW348" s="2" t="e">
        <f ca="1">_xll.BDH($C$328,"BPS_SEQUENTIAL_GROWTH","FY 2018","FY 2018","Currency=INR","Period=FY","BEST_FPERIOD_OVERRIDE=FY","FILING_STATUS=OR","EQY_CONSOLIDATED=Y","Sort=A","Dates=H","DateFormat=P","Fill=—","Direction=H","UseDPDF=Y")</f>
        <v>#NAME?</v>
      </c>
      <c r="BX348" s="2" t="e">
        <f ca="1">_xll.BDH($C$328,"CFO_SEQUENTIAL_GROWTH","FY 2018","FY 2018","Currency=INR","Period=FY","BEST_FPERIOD_OVERRIDE=FY","FILING_STATUS=OR","EQY_CONSOLIDATED=Y","Sort=A","Dates=H","DateFormat=P","Fill=—","Direction=H","UseDPDF=Y")</f>
        <v>#NAME?</v>
      </c>
      <c r="BY348" s="3" t="e">
        <f ca="1">_xll.BDH($C$328,"SHORT_AND_LONG_TERM_DEBT","FY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348" s="3" t="e">
        <f ca="1">_xll.BDH($C$328,"BS_ST_BORROW","FY 2018","FY 2018","Currency=INR","Period=FY","BEST_FPERIOD_OVERRIDE=FY","FILING_STATUS=OR","EQY_CONSOLIDATED=Y","SCALING_FORMAT=MLN","Sort=A","Dates=H","DateFormat=P","Fill=—","Direction=H","UseDPDF=Y")</f>
        <v>#NAME?</v>
      </c>
      <c r="CA348" s="3" t="e">
        <f ca="1">_xll.BDH($C$328,"BS_LT_BORROW","FY 2018","FY 2018","Currency=INR","Period=FY","BEST_FPERIOD_OVERRIDE=FY","FILING_STATUS=OR","EQY_CONSOLIDATED=Y","SCALING_FORMAT=MLN","Sort=A","Dates=H","DateFormat=P","Fill=—","Direction=H","UseDPDF=Y")</f>
        <v>#NAME?</v>
      </c>
      <c r="CB348" s="2" t="e">
        <f ca="1">_xll.BDH($C$328,"TOT_DEBT_TO_EBITDA","FY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348" s="2" t="e">
        <f ca="1">_xll.BDH($C$328,"NET_DEBT_TO_EBITDA","FY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348" s="2" t="e">
        <f ca="1">_xll.BDH($C$328,"TOTAL_DEBT_TO_EBIT","FY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348" s="2" t="e">
        <f ca="1">_xll.BDH($C$328,"NET_DEBT_TO_EBIT","FY 2018","FY 2018","Currency=INR","Period=FY","BEST_FPERIOD_OVERRIDE=FY","FILING_STATUS=OR","EQY_CONSOLIDATED=Y","FA_ADJUSTED=GAAP","Sort=A","Dates=H","DateFormat=P","Fill=—","Direction=H","UseDPDF=Y")</f>
        <v>#NAME?</v>
      </c>
      <c r="CF348" s="2" t="e">
        <f ca="1">_xll.BDH($C$328,"EBITDA_TO_INTEREST_EXPN","FY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348" s="2" t="e">
        <f ca="1">_xll.BDH($C$328,"COM_EQY_TO_TOT_ASSET","FY 2018","FY 2018","Currency=INR","Period=FY","BEST_FPERIOD_OVERRIDE=FY","FILING_STATUS=OR","EQY_CONSOLIDATED=Y","Sort=A","Dates=H","DateFormat=P","Fill=—","Direction=H","UseDPDF=Y")</f>
        <v>#NAME?</v>
      </c>
      <c r="CH348" s="2" t="e">
        <f ca="1">_xll.BDH($C$328,"LT_DEBT_TO_TOT_EQY","FY 2018","FY 2018","Currency=INR","Period=FY","BEST_FPERIOD_OVERRIDE=FY","FILING_STATUS=OR","EQY_CONSOLIDATED=Y","Sort=A","Dates=H","DateFormat=P","Fill=—","Direction=H","UseDPDF=Y")</f>
        <v>#NAME?</v>
      </c>
      <c r="CI348" s="2" t="e">
        <f ca="1">_xll.BDH($C$328,"LT_DEBT_TO_TOT_CAP","FY 2018","FY 2018","Currency=INR","Period=FY","BEST_FPERIOD_OVERRIDE=FY","FILING_STATUS=OR","EQY_CONSOLIDATED=Y","Sort=A","Dates=H","DateFormat=P","Fill=—","Direction=H","UseDPDF=Y")</f>
        <v>#NAME?</v>
      </c>
      <c r="CJ348" s="2" t="e">
        <f ca="1">_xll.BDH($C$328,"LT_DEBT_TO_TOT_ASSET","FY 2018","FY 2018","Currency=INR","Period=FY","BEST_FPERIOD_OVERRIDE=FY","FILING_STATUS=OR","EQY_CONSOLIDATED=Y","Sort=A","Dates=H","DateFormat=P","Fill=—","Direction=H","UseDPDF=Y")</f>
        <v>#NAME?</v>
      </c>
      <c r="CK348" s="2" t="e">
        <f ca="1">_xll.BDH($C$328,"TOT_DEBT_TO_TOT_EQY","FY 2018","FY 2018","Currency=INR","Period=FY","BEST_FPERIOD_OVERRIDE=FY","FILING_STATUS=OR","EQY_CONSOLIDATED=Y","Sort=A","Dates=H","DateFormat=P","Fill=—","Direction=H","UseDPDF=Y")</f>
        <v>#NAME?</v>
      </c>
      <c r="CL348" s="2" t="e">
        <f ca="1">_xll.BDH($C$328,"TOT_DEBT_TO_TOT_CAP","FY 2018","FY 2018","Currency=INR","Period=FY","BEST_FPERIOD_OVERRIDE=FY","FILING_STATUS=OR","EQY_CONSOLIDATED=Y","Sort=A","Dates=H","DateFormat=P","Fill=—","Direction=H","UseDPDF=Y")</f>
        <v>#NAME?</v>
      </c>
      <c r="CM348" s="2" t="e">
        <f ca="1">_xll.BDH($C$328,"TOT_DEBT_TO_TOT_ASSET","FY 2018","FY 2018","Currency=INR","Period=FY","BEST_FPERIOD_OVERRIDE=FY","FILING_STATUS=OR","EQY_CONSOLIDATED=Y","Sort=A","Dates=H","DateFormat=P","Fill=—","Direction=H","UseDPDF=Y")</f>
        <v>#NAME?</v>
      </c>
      <c r="CN348" s="2" t="e">
        <f ca="1">_xll.BDH($C$328,"NET_DEBT_TO_SHRHLDR_EQTY","FY 2018","FY 2018","Currency=INR","Period=FY","BEST_FPERIOD_OVERRIDE=FY","FILING_STATUS=OR","EQY_CONSOLIDATED=Y","Sort=A","Dates=H","DateFormat=P","Fill=—","Direction=H","UseDPDF=Y")</f>
        <v>#NAME?</v>
      </c>
      <c r="CO348" s="2" t="e">
        <f ca="1">_xll.BDH($C$328,"NET_DEBT_%_CAPITAL","FY 2018","FY 2018","Currency=INR","Period=FY","BEST_FPERIOD_OVERRIDE=FY","FILING_STATUS=OR","EQY_CONSOLIDATED=Y","Sort=A","Dates=H","DateFormat=P","Fill=—","Direction=H","UseDPDF=Y")</f>
        <v>#NAME?</v>
      </c>
      <c r="CP348" s="3" t="e">
        <f ca="1">_xll.BDH($C$328,"EBITDA","FY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348" s="3" t="e">
        <f ca="1">_xll.BDH($C$328,"EBITDA_AFTER_CAPEX","FY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348" s="3" t="e">
        <f ca="1">_xll.BDH($C$328,"IS_OPER_INC","FY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348" s="2" t="e">
        <f ca="1">_xll.BDH($C$328,"CASH_RATIO","FY 2018","FY 2018","Currency=INR","Period=FY","BEST_FPERIOD_OVERRIDE=FY","FILING_STATUS=OR","EQY_CONSOLIDATED=Y","Sort=A","Dates=H","DateFormat=P","Fill=—","Direction=H","UseDPDF=Y")</f>
        <v>#NAME?</v>
      </c>
      <c r="CT348" s="2" t="e">
        <f ca="1">_xll.BDH($C$328,"CUR_RATIO","FY 2018","FY 2018","Currency=INR","Period=FY","BEST_FPERIOD_OVERRIDE=FY","FILING_STATUS=OR","EQY_CONSOLIDATED=Y","Sort=A","Dates=H","DateFormat=P","Fill=—","Direction=H","UseDPDF=Y")</f>
        <v>#NAME?</v>
      </c>
      <c r="CU348" s="2" t="e">
        <f ca="1">_xll.BDH($C$328,"QUICK_RATIO","FY 2018","FY 2018","Currency=INR","Period=FY","BEST_FPERIOD_OVERRIDE=FY","FILING_STATUS=OR","EQY_CONSOLIDATED=Y","Sort=A","Dates=H","DateFormat=P","Fill=—","Direction=H","UseDPDF=Y")</f>
        <v>#NAME?</v>
      </c>
      <c r="CV348" s="2" t="e">
        <f ca="1">_xll.BDH($C$328,"ALTMAN_Z_SCORE","FY 2018","FY 2018","Currency=INR","Period=FY","BEST_FPERIOD_OVERRIDE=FY","FILING_STATUS=OR","EQY_CONSOLIDATED=Y","Sort=A","Dates=H","DateFormat=P","Fill=—","Direction=H","UseDPDF=Y")</f>
        <v>#NAME?</v>
      </c>
      <c r="CW348" s="4" t="e">
        <f ca="1">_xll.BDH($C$328,"ACCT_RCV_TURN","FY 2018","FY 2018","Currency=INR","Period=FY","BEST_FPERIOD_OVERRIDE=FY","FILING_STATUS=OR","EQY_CONSOLIDATED=Y","FA_ADJUSTED=GAAP","Sort=A","Dates=H","DateFormat=P","Fill=—","Direction=H","UseDPDF=Y")</f>
        <v>#NAME?</v>
      </c>
      <c r="CX348" s="2" t="e">
        <f ca="1">_xll.BDH($C$328,"ACCT_RCV_DAYS","FY 2018","FY 2018","Currency=INR","Period=FY","BEST_FPERIOD_OVERRIDE=FY","FILING_STATUS=OR","EQY_CONSOLIDATED=Y","FA_ADJUSTED=GAAP","Sort=A","Dates=H","DateFormat=P","Fill=—","Direction=H","UseDPDF=Y")</f>
        <v>#NAME?</v>
      </c>
      <c r="CY348" s="4" t="e">
        <f ca="1">_xll.BDH($C$328,"INVENT_TURN","FY 2018","FY 2018","Currency=INR","Period=FY","BEST_FPERIOD_OVERRIDE=FY","FILING_STATUS=OR","EQY_CONSOLIDATED=Y","FA_ADJUSTED=GAAP","Sort=A","Dates=H","DateFormat=P","Fill=—","Direction=H","UseDPDF=Y")</f>
        <v>#NAME?</v>
      </c>
      <c r="CZ348" s="2" t="e">
        <f ca="1">_xll.BDH($C$328,"INVENT_DAYS","FY 2018","FY 2018","Currency=INR","Period=FY","BEST_FPERIOD_OVERRIDE=FY","FILING_STATUS=OR","EQY_CONSOLIDATED=Y","FA_ADJUSTED=GAAP","Sort=A","Dates=H","DateFormat=P","Fill=—","Direction=H","UseDPDF=Y")</f>
        <v>#NAME?</v>
      </c>
      <c r="DA348" s="4" t="e">
        <f ca="1">_xll.BDH($C$328,"ACCOUNTS_PAYABLE_TURNOVER","FY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348" s="2" t="e">
        <f ca="1">_xll.BDH($C$328,"ACCOUNTS_PAYABLE_TURNOVER_DAYS","FY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348" s="4" t="e">
        <f ca="1">_xll.BDH($C$328,"CASH_CONVERSION_CYCLE","FY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348" s="4" t="e">
        <f ca="1">_xll.BDH($C$328,"INV_TO_CASH_DAYS","FY 2018","FY 2018","Currency=INR","Period=FY","BEST_FPERIOD_OVERRIDE=FY","FILING_STATUS=OR","EQY_CONSOLIDATED=Y","FA_ADJUSTED=GAAP","Sort=A","Dates=H","DateFormat=P","Fill=—","Direction=H","UseDPDF=Y")</f>
        <v>#NAME?</v>
      </c>
      <c r="DE348" s="5" t="e">
        <f ca="1">_xll.BDH($C$328,"BS_INVENTORIES","FY 2018","FY 2018","Currency=INR","Period=FY","BEST_FPERIOD_OVERRIDE=FY","FILING_STATUS=OR","EQY_CONSOLIDATED=Y","SCALING_FORMAT=MLN","Sort=A","Dates=H","DateFormat=P","Fill=—","Direction=H","UseDPDF=Y")</f>
        <v>#NAME?</v>
      </c>
      <c r="DF348" s="3" t="e">
        <f ca="1">_xll.BDH($C$328,"INVTRY_RAW_MATERIALS","FY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348" s="3" t="e">
        <f ca="1">_xll.BDH($C$328,"INVTRY_IN_PROGRESS","FY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348" s="3" t="e">
        <f ca="1">_xll.BDH($C$328,"INVTRY_FINISHED_GOODS","FY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348" s="3" t="e">
        <f ca="1">_xll.BDH($C$328,"BS_OTHER_INV","FY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349" spans="1:113" x14ac:dyDescent="0.3">
      <c r="A349" s="6"/>
      <c r="B349" s="6"/>
      <c r="C349" s="6"/>
      <c r="D349" s="6"/>
      <c r="E349" t="s">
        <v>78</v>
      </c>
      <c r="F349" t="e">
        <f ca="1">_xll.BDH($C$328,"RETURN_COM_EQY","FQ1 2018","FQ1 2018","Currency=INR","Period=FQ","BEST_FPERIOD_OVERRIDE=FQ","FILING_STATUS=OR","EQY_CONSOLIDATED=Y","FA_ADJUSTED=GAAP","Sort=A","Dates=H","DateFormat=P","Fill=—","Direction=H","UseDPDF=Y")</f>
        <v>#NAME?</v>
      </c>
      <c r="G349" t="e">
        <f ca="1">_xll.BDH($C$328,"RETURN_ON_ASSET","FQ1 2018","FQ1 2018","Currency=INR","Period=FQ","BEST_FPERIOD_OVERRIDE=FQ","FILING_STATUS=OR","EQY_CONSOLIDATED=Y","FA_ADJUSTED=GAAP","Sort=A","Dates=H","DateFormat=P","Fill=—","Direction=H","UseDPDF=Y")</f>
        <v>#NAME?</v>
      </c>
      <c r="H349" t="e">
        <f ca="1">_xll.BDH($C$328,"RETURN_ON_CAP","FQ1 2018","FQ1 2018","Currency=INR","Period=FQ","BEST_FPERIOD_OVERRIDE=FQ","FILING_STATUS=OR","EQY_CONSOLIDATED=Y","FA_ADJUSTED=GAAP","Sort=A","Dates=H","DateFormat=P","Fill=—","Direction=H","UseDPDF=Y")</f>
        <v>#NAME?</v>
      </c>
      <c r="I349" t="e">
        <f ca="1">_xll.BDH($C$328,"RETURN_ON_INV_CAPITAL","FQ1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349" t="e">
        <f ca="1">_xll.BDH($C$328,"EBITDA_TO_REVENUE","FQ1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349" t="e">
        <f ca="1">_xll.BDH($C$328,"OPER_MARGIN","FQ1 2018","FQ1 2018","Currency=INR","Period=FQ","BEST_FPERIOD_OVERRIDE=FQ","FILING_STATUS=OR","EQY_CONSOLIDATED=Y","FA_ADJUSTED=GAAP","Sort=A","Dates=H","DateFormat=P","Fill=—","Direction=H","UseDPDF=Y")</f>
        <v>#NAME?</v>
      </c>
      <c r="L349" t="e">
        <f ca="1">_xll.BDH($C$328,"INCREMENTAL_OPERATING_MARGIN","FQ1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349" t="e">
        <f ca="1">_xll.BDH($C$328,"PRETAX_INC_TO_NET_SALES","FQ1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349" t="e">
        <f ca="1">_xll.BDH($C$328,"INC_BEF_XO_ITEMS_TO_NET_SALES","FQ1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349" t="e">
        <f ca="1">_xll.BDH($C$328,"PROF_MARGIN","FQ1 2018","FQ1 2018","Currency=INR","Period=FQ","BEST_FPERIOD_OVERRIDE=FQ","FILING_STATUS=OR","EQY_CONSOLIDATED=Y","FA_ADJUSTED=GAAP","Sort=A","Dates=H","DateFormat=P","Fill=—","Direction=H","UseDPDF=Y")</f>
        <v>#NAME?</v>
      </c>
      <c r="P349" t="e">
        <f ca="1">_xll.BDH($C$328,"NET_INCOME_TO_COMMON_MARGIN","FQ1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349" t="e">
        <f ca="1">_xll.BDH($C$328,"EFF_TAX_RATE","FQ1 2018","FQ1 2018","Currency=INR","Period=FQ","BEST_FPERIOD_OVERRIDE=FQ","FILING_STATUS=OR","EQY_CONSOLIDATED=Y","FA_ADJUSTED=GAAP","Sort=A","Dates=H","DateFormat=P","Fill=—","Direction=H","UseDPDF=Y")</f>
        <v>#NAME?</v>
      </c>
      <c r="R349" t="e">
        <f ca="1">_xll.BDH($C$328,"DVD_PAYOUT_RATIO","FQ1 2018","FQ1 2018","Currency=INR","Period=FQ","BEST_FPERIOD_OVERRIDE=FQ","FILING_STATUS=OR","EQY_CONSOLIDATED=Y","FA_ADJUSTED=GAAP","Sort=A","Dates=H","DateFormat=P","Fill=—","Direction=H","UseDPDF=Y")</f>
        <v>#NAME?</v>
      </c>
      <c r="S349" t="e">
        <f ca="1">_xll.BDH($C$328,"SUSTAIN_GROWTH_RT","FQ1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349" s="2" t="e">
        <f ca="1">_xll.BDH($C$328,"SALES_GROWTH","FQ1 2018","FQ1 2018","Currency=INR","Period=FQ","BEST_FPERIOD_OVERRIDE=FQ","FILING_STATUS=OR","EQY_CONSOLIDATED=Y","FA_ADJUSTED=GAAP","Sort=A","Dates=H","DateFormat=P","Fill=—","Direction=H","UseDPDF=Y")</f>
        <v>#NAME?</v>
      </c>
      <c r="U349" s="2" t="e">
        <f ca="1">_xll.BDH($C$328,"EBITDA_GROWTH","FQ1 2018","FQ1 2018","Currency=INR","Period=FQ","BEST_FPERIOD_OVERRIDE=FQ","FILING_STATUS=OR","EQY_CONSOLIDATED=Y","FA_ADJUSTED=GAAP","Sort=A","Dates=H","DateFormat=P","Fill=—","Direction=H","UseDPDF=Y")</f>
        <v>#NAME?</v>
      </c>
      <c r="V349" s="2" t="e">
        <f ca="1">_xll.BDH($C$328,"OPER_INC_GROWTH","FQ1 2018","FQ1 2018","Currency=INR","Period=FQ","BEST_FPERIOD_OVERRIDE=FQ","FILING_STATUS=OR","EQY_CONSOLIDATED=Y","FA_ADJUSTED=GAAP","Sort=A","Dates=H","DateFormat=P","Fill=—","Direction=H","UseDPDF=Y")</f>
        <v>#NAME?</v>
      </c>
      <c r="W349" s="2" t="e">
        <f ca="1">_xll.BDH($C$328,"EARN_FOR_COM_GROWTH","FQ1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349" s="2" t="e">
        <f ca="1">_xll.BDH($C$328,"DILUTED_EPS_AFT_XO_ITEMS_GROWTH","FQ1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349" s="2" t="e">
        <f ca="1">_xll.BDH($C$328,"DIVIDEND_PER_SHARE_1_YEAR_GROWTH","FQ1 2018","FQ1 2018","Currency=INR","Period=FQ","BEST_FPERIOD_OVERRIDE=FQ","FILING_STATUS=OR","EQY_CONSOLIDATED=Y","Sort=A","Dates=H","DateFormat=P","Fill=—","Direction=H","UseDPDF=Y")</f>
        <v>#NAME?</v>
      </c>
      <c r="Z349" s="2" t="e">
        <f ca="1">_xll.BDH($C$328,"ACCOUNTS_RECEIVABLE_GROWTH","FQ1 2018","FQ1 2018","Currency=INR","Period=FQ","BEST_FPERIOD_OVERRIDE=FQ","FILING_STATUS=OR","EQY_CONSOLIDATED=Y","Sort=A","Dates=H","DateFormat=P","Fill=—","Direction=H","UseDPDF=Y")</f>
        <v>#NAME?</v>
      </c>
      <c r="AA349" s="2" t="e">
        <f ca="1">_xll.BDH($C$328,"INVENTORY_GROWTH","FQ1 2018","FQ1 2018","Currency=INR","Period=FQ","BEST_FPERIOD_OVERRIDE=FQ","FILING_STATUS=OR","EQY_CONSOLIDATED=Y","Sort=A","Dates=H","DateFormat=P","Fill=—","Direction=H","UseDPDF=Y")</f>
        <v>#NAME?</v>
      </c>
      <c r="AB349" s="2" t="e">
        <f ca="1">_xll.BDH($C$328,"NET_FIXED_ASSETS_1_YEAR_GROWTH","FQ1 2018","FQ1 2018","Currency=INR","Period=FQ","BEST_FPERIOD_OVERRIDE=FQ","FILING_STATUS=OR","EQY_CONSOLIDATED=Y","Sort=A","Dates=H","DateFormat=P","Fill=—","Direction=H","UseDPDF=Y")</f>
        <v>#NAME?</v>
      </c>
      <c r="AC349" s="2" t="e">
        <f ca="1">_xll.BDH($C$328,"ASSET_GROWTH","FQ1 2018","FQ1 2018","Currency=INR","Period=FQ","BEST_FPERIOD_OVERRIDE=FQ","FILING_STATUS=OR","EQY_CONSOLIDATED=Y","Sort=A","Dates=H","DateFormat=P","Fill=—","Direction=H","UseDPDF=Y")</f>
        <v>#NAME?</v>
      </c>
      <c r="AD349" s="2" t="e">
        <f ca="1">_xll.BDH($C$328,"MODIFIED_WORK_CAP_GROWTH","FQ1 2018","FQ1 2018","Currency=INR","Period=FQ","BEST_FPERIOD_OVERRIDE=FQ","FILING_STATUS=OR","EQY_CONSOLIDATED=Y","Sort=A","Dates=H","DateFormat=P","Fill=—","Direction=H","UseDPDF=Y")</f>
        <v>#NAME?</v>
      </c>
      <c r="AE349" s="2" t="e">
        <f ca="1">_xll.BDH($C$328,"WORK_CAP_GROWTH","FQ1 2018","FQ1 2018","Currency=INR","Period=FQ","BEST_FPERIOD_OVERRIDE=FQ","FILING_STATUS=OR","EQY_CONSOLIDATED=Y","Sort=A","Dates=H","DateFormat=P","Fill=—","Direction=H","UseDPDF=Y")</f>
        <v>#NAME?</v>
      </c>
      <c r="AF349" s="2" t="e">
        <f ca="1">_xll.BDH($C$328,"ACCOUNTS_PAYABLE_GROWTH_1YR","FQ1 2018","FQ1 2018","Currency=INR","Period=FQ","BEST_FPERIOD_OVERRIDE=FQ","FILING_STATUS=OR","EQY_CONSOLIDATED=Y","Sort=A","Dates=H","DateFormat=P","Fill=—","Direction=H","UseDPDF=Y")</f>
        <v>#NAME?</v>
      </c>
      <c r="AG349" s="2" t="e">
        <f ca="1">_xll.BDH($C$328,"SHORT_TERM_DEBT_1_YEAR_GROWTH","FQ1 2018","FQ1 2018","Currency=INR","Period=FQ","BEST_FPERIOD_OVERRIDE=FQ","FILING_STATUS=OR","EQY_CONSOLIDATED=Y","Sort=A","Dates=H","DateFormat=P","Fill=—","Direction=H","UseDPDF=Y")</f>
        <v>#NAME?</v>
      </c>
      <c r="AH349" s="2" t="e">
        <f ca="1">_xll.BDH($C$328,"TOTAL_DEBT_1_YEAR_GROWTH","FQ1 2018","FQ1 2018","Currency=INR","Period=FQ","BEST_FPERIOD_OVERRIDE=FQ","FILING_STATUS=OR","EQY_CONSOLIDATED=Y","Sort=A","Dates=H","DateFormat=P","Fill=—","Direction=H","UseDPDF=Y")</f>
        <v>#NAME?</v>
      </c>
      <c r="AI349" s="2" t="e">
        <f ca="1">_xll.BDH($C$328,"TOTAL_EQUITY_1_YEAR_GROWTH","FQ1 2018","FQ1 2018","Currency=INR","Period=FQ","BEST_FPERIOD_OVERRIDE=FQ","FILING_STATUS=OR","EQY_CONSOLIDATED=Y","Sort=A","Dates=H","DateFormat=P","Fill=—","Direction=H","UseDPDF=Y")</f>
        <v>#NAME?</v>
      </c>
      <c r="AJ349" s="2" t="e">
        <f ca="1">_xll.BDH($C$328,"GROWTH_IN_CAP","FQ1 2018","FQ1 2018","Currency=INR","Period=FQ","BEST_FPERIOD_OVERRIDE=FQ","FILING_STATUS=OR","EQY_CONSOLIDATED=Y","Sort=A","Dates=H","DateFormat=P","Fill=—","Direction=H","UseDPDF=Y")</f>
        <v>#NAME?</v>
      </c>
      <c r="AK349" s="2" t="e">
        <f ca="1">_xll.BDH($C$328,"BVPS_GROWTH","FQ1 2018","FQ1 2018","Currency=INR","Period=FQ","BEST_FPERIOD_OVERRIDE=FQ","FILING_STATUS=OR","EQY_CONSOLIDATED=Y","Sort=A","Dates=H","DateFormat=P","Fill=—","Direction=H","UseDPDF=Y")</f>
        <v>#NAME?</v>
      </c>
      <c r="AL349" s="2" t="e">
        <f ca="1">_xll.BDH($C$328,"CASH_FLOW_GROWTH","FQ1 2018","FQ1 2018","Currency=INR","Period=FQ","BEST_FPERIOD_OVERRIDE=FQ","FILING_STATUS=OR","EQY_CONSOLIDATED=Y","Sort=A","Dates=H","DateFormat=P","Fill=—","Direction=H","UseDPDF=Y")</f>
        <v>#NAME?</v>
      </c>
      <c r="AM349" s="2" t="e">
        <f ca="1">_xll.BDH($C$328,"GEO_GROW_NET_SALES","FQ1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349" s="2" t="e">
        <f ca="1">_xll.BDH($C$328,"GEO_GROW_EBITDA","FQ1 2018","FQ1 2018","Currency=INR","Period=FQ","BEST_FPERIOD_OVERRIDE=FQ","FILING_STATUS=OR","EQY_CONSOLIDATED=Y","FA_ADJUSTED=GAAP","Sort=A","Dates=H","DateFormat=P","Fill=—","Direction=H","UseDPDF=Y")</f>
        <v>#NAME?</v>
      </c>
      <c r="AO349" s="2" t="e">
        <f ca="1">_xll.BDH($C$328,"GEO_GROW_OPER_INC","FQ1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349" s="2" t="e">
        <f ca="1">_xll.BDH($C$328,"NET_INCOME_TO_COMMON_5_YR_GROWTH","FQ1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349" s="2" t="e">
        <f ca="1">_xll.BDH($C$328,"5Y_GEO_GROWTH_DILUTED_EPS","FQ1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349" s="2" t="e">
        <f ca="1">_xll.BDH($C$328,"GEO_GROW_DVD_PER_SH","FQ1 2018","FQ1 2018","Currency=INR","Period=FQ","BEST_FPERIOD_OVERRIDE=FQ","FILING_STATUS=OR","EQY_CONSOLIDATED=Y","Sort=A","Dates=H","DateFormat=P","Fill=—","Direction=H","UseDPDF=Y")</f>
        <v>#NAME?</v>
      </c>
      <c r="AS349" s="2" t="e">
        <f ca="1">_xll.BDH($C$328,"ACCOUNTS_RECEIVABLE_5_YR_GROWTH","FQ1 2018","FQ1 2018","Currency=INR","Period=FQ","BEST_FPERIOD_OVERRIDE=FQ","FILING_STATUS=OR","EQY_CONSOLIDATED=Y","Sort=A","Dates=H","DateFormat=P","Fill=—","Direction=H","UseDPDF=Y")</f>
        <v>#NAME?</v>
      </c>
      <c r="AT349" s="2" t="e">
        <f ca="1">_xll.BDH($C$328,"INVENTORY_5_YEAR_GROWTH","FQ1 2018","FQ1 2018","Currency=INR","Period=FQ","BEST_FPERIOD_OVERRIDE=FQ","FILING_STATUS=OR","EQY_CONSOLIDATED=Y","Sort=A","Dates=H","DateFormat=P","Fill=—","Direction=H","UseDPDF=Y")</f>
        <v>#NAME?</v>
      </c>
      <c r="AU349" s="2" t="e">
        <f ca="1">_xll.BDH($C$328,"NET_FIXED_ASSETS_5_YEAR_GROWTH","FQ1 2018","FQ1 2018","Currency=INR","Period=FQ","BEST_FPERIOD_OVERRIDE=FQ","FILING_STATUS=OR","EQY_CONSOLIDATED=Y","Sort=A","Dates=H","DateFormat=P","Fill=—","Direction=H","UseDPDF=Y")</f>
        <v>#NAME?</v>
      </c>
      <c r="AV349" s="2" t="e">
        <f ca="1">_xll.BDH($C$328,"GEO_GROW_TOT_ASSET","FQ1 2018","FQ1 2018","Currency=INR","Period=FQ","BEST_FPERIOD_OVERRIDE=FQ","FILING_STATUS=OR","EQY_CONSOLIDATED=Y","Sort=A","Dates=H","DateFormat=P","Fill=—","Direction=H","UseDPDF=Y")</f>
        <v>#NAME?</v>
      </c>
      <c r="AW349" s="2" t="e">
        <f ca="1">_xll.BDH($C$328,"MODIFIED_WORKING_CPTL_5YR_GRWTH","FQ1 2018","FQ1 2018","Currency=INR","Period=FQ","BEST_FPERIOD_OVERRIDE=FQ","FILING_STATUS=OR","EQY_CONSOLIDATED=Y","Sort=A","Dates=H","DateFormat=P","Fill=—","Direction=H","UseDPDF=Y")</f>
        <v>#NAME?</v>
      </c>
      <c r="AX349" s="2" t="e">
        <f ca="1">_xll.BDH($C$328,"WORKING_CAPITAL_5_YEAR_GROWTH","FQ1 2018","FQ1 2018","Currency=INR","Period=FQ","BEST_FPERIOD_OVERRIDE=FQ","FILING_STATUS=OR","EQY_CONSOLIDATED=Y","Sort=A","Dates=H","DateFormat=P","Fill=—","Direction=H","UseDPDF=Y")</f>
        <v>#NAME?</v>
      </c>
      <c r="AY349" s="2" t="e">
        <f ca="1">_xll.BDH($C$328,"ACCOUNTS_PAYABLE_5_YEAR_GROWTH","FQ1 2018","FQ1 2018","Currency=INR","Period=FQ","BEST_FPERIOD_OVERRIDE=FQ","FILING_STATUS=OR","EQY_CONSOLIDATED=Y","Sort=A","Dates=H","DateFormat=P","Fill=—","Direction=H","UseDPDF=Y")</f>
        <v>#NAME?</v>
      </c>
      <c r="AZ349" s="2" t="e">
        <f ca="1">_xll.BDH($C$328,"SHORT_TERM_DEBT_5_YEAR_GROWTH","FQ1 2018","FQ1 2018","Currency=INR","Period=FQ","BEST_FPERIOD_OVERRIDE=FQ","FILING_STATUS=OR","EQY_CONSOLIDATED=Y","Sort=A","Dates=H","DateFormat=P","Fill=—","Direction=H","UseDPDF=Y")</f>
        <v>#NAME?</v>
      </c>
      <c r="BA349" s="2" t="e">
        <f ca="1">_xll.BDH($C$328,"TOTAL_DEBT_5_YEAR_GROWTH","FQ1 2018","FQ1 2018","Currency=INR","Period=FQ","BEST_FPERIOD_OVERRIDE=FQ","FILING_STATUS=OR","EQY_CONSOLIDATED=Y","Sort=A","Dates=H","DateFormat=P","Fill=—","Direction=H","UseDPDF=Y")</f>
        <v>#NAME?</v>
      </c>
      <c r="BB349" s="2" t="e">
        <f ca="1">_xll.BDH($C$328,"GEO_GROW_TOT_SHRHLDR_EQY","FQ1 2018","FQ1 2018","Currency=INR","Period=FQ","BEST_FPERIOD_OVERRIDE=FQ","FILING_STATUS=OR","EQY_CONSOLIDATED=Y","Sort=A","Dates=H","DateFormat=P","Fill=—","Direction=H","UseDPDF=Y")</f>
        <v>#NAME?</v>
      </c>
      <c r="BC349" s="2" t="e">
        <f ca="1">_xll.BDH($C$328,"TOTAL_CAPITAL_5_YEAR_GROWTH","FQ1 2018","FQ1 2018","Currency=INR","Period=FQ","BEST_FPERIOD_OVERRIDE=FQ","FILING_STATUS=OR","EQY_CONSOLIDATED=Y","Sort=A","Dates=H","DateFormat=P","Fill=—","Direction=H","UseDPDF=Y")</f>
        <v>#NAME?</v>
      </c>
      <c r="BD349" s="2" t="e">
        <f ca="1">_xll.BDH($C$328,"GEO_GROW_BOOK_VAL","FQ1 2018","FQ1 2018","Currency=INR","Period=FQ","BEST_FPERIOD_OVERRIDE=FQ","FILING_STATUS=OR","EQY_CONSOLIDATED=Y","Sort=A","Dates=H","DateFormat=P","Fill=—","Direction=H","UseDPDF=Y")</f>
        <v>#NAME?</v>
      </c>
      <c r="BE349" s="2" t="e">
        <f ca="1">_xll.BDH($C$328,"GEO_GROW_CASH_OPER_ACT","FQ1 2018","FQ1 2018","Currency=INR","Period=FQ","BEST_FPERIOD_OVERRIDE=FQ","FILING_STATUS=OR","EQY_CONSOLIDATED=Y","Sort=A","Dates=H","DateFormat=P","Fill=—","Direction=H","UseDPDF=Y")</f>
        <v>#NAME?</v>
      </c>
      <c r="BF349" s="2" t="e">
        <f ca="1">_xll.BDH($C$328,"REVENUE_SEQUENTIAL_GROWTH","FQ1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349" s="2" t="e">
        <f ca="1">_xll.BDH($C$328,"EBITDA_SEQUENTIAL_GROWTH","FQ1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349" s="2" t="e">
        <f ca="1">_xll.BDH($C$328,"OPERATING_INCOME_SEQ_GROWTH","FQ1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349" s="2" t="e">
        <f ca="1">_xll.BDH($C$328,"NET_INCOME_TO_COMMON_SEQ_GROWTH","FQ1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349" s="2" t="e">
        <f ca="1">_xll.BDH($C$328,"EPS_DILUTED_SEQUENTIAL_GROWTH","FQ1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349" s="2" t="e">
        <f ca="1">_xll.BDH($C$328,"DPS_SEQUENTIAL_GROWTH","FQ1 2018","FQ1 2018","Currency=INR","Period=FQ","BEST_FPERIOD_OVERRIDE=FQ","FILING_STATUS=OR","EQY_CONSOLIDATED=Y","Sort=A","Dates=H","DateFormat=P","Fill=—","Direction=H","UseDPDF=Y")</f>
        <v>#NAME?</v>
      </c>
      <c r="BL349" s="2" t="e">
        <f ca="1">_xll.BDH($C$328,"ACCOUNTS_RECEIVABLE_SEQ_GROWTH","FQ1 2018","FQ1 2018","Currency=INR","Period=FQ","BEST_FPERIOD_OVERRIDE=FQ","FILING_STATUS=OR","EQY_CONSOLIDATED=Y","Sort=A","Dates=H","DateFormat=P","Fill=—","Direction=H","UseDPDF=Y")</f>
        <v>#NAME?</v>
      </c>
      <c r="BM349" s="2" t="e">
        <f ca="1">_xll.BDH($C$328,"INVENTORY_SEQUENTIAL_GROWTH","FQ1 2018","FQ1 2018","Currency=INR","Period=FQ","BEST_FPERIOD_OVERRIDE=FQ","FILING_STATUS=OR","EQY_CONSOLIDATED=Y","Sort=A","Dates=H","DateFormat=P","Fill=—","Direction=H","UseDPDF=Y")</f>
        <v>#NAME?</v>
      </c>
      <c r="BN349" s="2" t="e">
        <f ca="1">_xll.BDH($C$328,"FIXED_ASSETS_SEQUENTIAL_GROWTH","FQ1 2018","FQ1 2018","Currency=INR","Period=FQ","BEST_FPERIOD_OVERRIDE=FQ","FILING_STATUS=OR","EQY_CONSOLIDATED=Y","Sort=A","Dates=H","DateFormat=P","Fill=—","Direction=H","UseDPDF=Y")</f>
        <v>#NAME?</v>
      </c>
      <c r="BO349" s="2" t="e">
        <f ca="1">_xll.BDH($C$328,"TOTAL_ASSETS_SEQUENTIAL_GROWTH","FQ1 2018","FQ1 2018","Currency=INR","Period=FQ","BEST_FPERIOD_OVERRIDE=FQ","FILING_STATUS=OR","EQY_CONSOLIDATED=Y","Sort=A","Dates=H","DateFormat=P","Fill=—","Direction=H","UseDPDF=Y")</f>
        <v>#NAME?</v>
      </c>
      <c r="BP349" s="2" t="e">
        <f ca="1">_xll.BDH($C$328,"MODIFIED_WORKING_CPTL_SEQ_GRWTH","FQ1 2018","FQ1 2018","Currency=INR","Period=FQ","BEST_FPERIOD_OVERRIDE=FQ","FILING_STATUS=OR","EQY_CONSOLIDATED=Y","Sort=A","Dates=H","DateFormat=P","Fill=—","Direction=H","UseDPDF=Y")</f>
        <v>#NAME?</v>
      </c>
      <c r="BQ349" s="2" t="e">
        <f ca="1">_xll.BDH($C$328,"WORKING_CAPITAL_SEQ_GROWTH","FQ1 2018","FQ1 2018","Currency=INR","Period=FQ","BEST_FPERIOD_OVERRIDE=FQ","FILING_STATUS=OR","EQY_CONSOLIDATED=Y","Sort=A","Dates=H","DateFormat=P","Fill=—","Direction=H","UseDPDF=Y")</f>
        <v>#NAME?</v>
      </c>
      <c r="BR349" s="2" t="e">
        <f ca="1">_xll.BDH($C$328,"ACCOUNTS_PAYABLE_SEQ_GROWTH","FQ1 2018","FQ1 2018","Currency=INR","Period=FQ","BEST_FPERIOD_OVERRIDE=FQ","FILING_STATUS=OR","EQY_CONSOLIDATED=Y","Sort=A","Dates=H","DateFormat=P","Fill=—","Direction=H","UseDPDF=Y")</f>
        <v>#NAME?</v>
      </c>
      <c r="BS349" s="2" t="e">
        <f ca="1">_xll.BDH($C$328,"ST_DEBT_SEQUENTIAL_GROWTH","FQ1 2018","FQ1 2018","Currency=INR","Period=FQ","BEST_FPERIOD_OVERRIDE=FQ","FILING_STATUS=OR","EQY_CONSOLIDATED=Y","Sort=A","Dates=H","DateFormat=P","Fill=—","Direction=H","UseDPDF=Y")</f>
        <v>#NAME?</v>
      </c>
      <c r="BT349" s="2" t="e">
        <f ca="1">_xll.BDH($C$328,"TOTAL_DEBT_SEQUENTIAL_GROWTH","FQ1 2018","FQ1 2018","Currency=INR","Period=FQ","BEST_FPERIOD_OVERRIDE=FQ","FILING_STATUS=OR","EQY_CONSOLIDATED=Y","Sort=A","Dates=H","DateFormat=P","Fill=—","Direction=H","UseDPDF=Y")</f>
        <v>#NAME?</v>
      </c>
      <c r="BU349" s="2" t="e">
        <f ca="1">_xll.BDH($C$328,"TOTAL_EQUITY_SEQUENTIAL_GROWTH","FQ1 2018","FQ1 2018","Currency=INR","Period=FQ","BEST_FPERIOD_OVERRIDE=FQ","FILING_STATUS=OR","EQY_CONSOLIDATED=Y","Sort=A","Dates=H","DateFormat=P","Fill=—","Direction=H","UseDPDF=Y")</f>
        <v>#NAME?</v>
      </c>
      <c r="BV349" s="2" t="e">
        <f ca="1">_xll.BDH($C$328,"TOTAL_CAPITAL_SEQUENTIAL_GROWTH","FQ1 2018","FQ1 2018","Currency=INR","Period=FQ","BEST_FPERIOD_OVERRIDE=FQ","FILING_STATUS=OR","EQY_CONSOLIDATED=Y","Sort=A","Dates=H","DateFormat=P","Fill=—","Direction=H","UseDPDF=Y")</f>
        <v>#NAME?</v>
      </c>
      <c r="BW349" s="2" t="e">
        <f ca="1">_xll.BDH($C$328,"BPS_SEQUENTIAL_GROWTH","FQ1 2018","FQ1 2018","Currency=INR","Period=FQ","BEST_FPERIOD_OVERRIDE=FQ","FILING_STATUS=OR","EQY_CONSOLIDATED=Y","Sort=A","Dates=H","DateFormat=P","Fill=—","Direction=H","UseDPDF=Y")</f>
        <v>#NAME?</v>
      </c>
      <c r="BX349" s="2" t="e">
        <f ca="1">_xll.BDH($C$328,"CFO_SEQUENTIAL_GROWTH","FQ1 2018","FQ1 2018","Currency=INR","Period=FQ","BEST_FPERIOD_OVERRIDE=FQ","FILING_STATUS=OR","EQY_CONSOLIDATED=Y","Sort=A","Dates=H","DateFormat=P","Fill=—","Direction=H","UseDPDF=Y")</f>
        <v>#NAME?</v>
      </c>
      <c r="BY349" s="3" t="e">
        <f ca="1">_xll.BDH($C$328,"SHORT_AND_LONG_TERM_DEBT","FQ1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349" s="3" t="e">
        <f ca="1">_xll.BDH($C$328,"BS_ST_BORROW","FQ1 2018","FQ1 2018","Currency=INR","Period=FQ","BEST_FPERIOD_OVERRIDE=FQ","FILING_STATUS=OR","EQY_CONSOLIDATED=Y","SCALING_FORMAT=MLN","Sort=A","Dates=H","DateFormat=P","Fill=—","Direction=H","UseDPDF=Y")</f>
        <v>#NAME?</v>
      </c>
      <c r="CA349" s="3" t="e">
        <f ca="1">_xll.BDH($C$328,"BS_LT_BORROW","FQ1 2018","FQ1 2018","Currency=INR","Period=FQ","BEST_FPERIOD_OVERRIDE=FQ","FILING_STATUS=OR","EQY_CONSOLIDATED=Y","SCALING_FORMAT=MLN","Sort=A","Dates=H","DateFormat=P","Fill=—","Direction=H","UseDPDF=Y")</f>
        <v>#NAME?</v>
      </c>
      <c r="CB349" s="2" t="e">
        <f ca="1">_xll.BDH($C$328,"TOT_DEBT_TO_EBITDA","FQ1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349" s="2" t="e">
        <f ca="1">_xll.BDH($C$328,"NET_DEBT_TO_EBITDA","FQ1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349" s="2" t="e">
        <f ca="1">_xll.BDH($C$328,"TOTAL_DEBT_TO_EBIT","FQ1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349" s="2" t="e">
        <f ca="1">_xll.BDH($C$328,"NET_DEBT_TO_EBIT","FQ1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349" s="2" t="e">
        <f ca="1">_xll.BDH($C$328,"EBITDA_TO_INTEREST_EXPN","FQ1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349" s="2" t="e">
        <f ca="1">_xll.BDH($C$328,"COM_EQY_TO_TOT_ASSET","FQ1 2018","FQ1 2018","Currency=INR","Period=FQ","BEST_FPERIOD_OVERRIDE=FQ","FILING_STATUS=OR","EQY_CONSOLIDATED=Y","Sort=A","Dates=H","DateFormat=P","Fill=—","Direction=H","UseDPDF=Y")</f>
        <v>#NAME?</v>
      </c>
      <c r="CH349" s="2" t="e">
        <f ca="1">_xll.BDH($C$328,"LT_DEBT_TO_TOT_EQY","FQ1 2018","FQ1 2018","Currency=INR","Period=FQ","BEST_FPERIOD_OVERRIDE=FQ","FILING_STATUS=OR","EQY_CONSOLIDATED=Y","Sort=A","Dates=H","DateFormat=P","Fill=—","Direction=H","UseDPDF=Y")</f>
        <v>#NAME?</v>
      </c>
      <c r="CI349" s="2" t="e">
        <f ca="1">_xll.BDH($C$328,"LT_DEBT_TO_TOT_CAP","FQ1 2018","FQ1 2018","Currency=INR","Period=FQ","BEST_FPERIOD_OVERRIDE=FQ","FILING_STATUS=OR","EQY_CONSOLIDATED=Y","Sort=A","Dates=H","DateFormat=P","Fill=—","Direction=H","UseDPDF=Y")</f>
        <v>#NAME?</v>
      </c>
      <c r="CJ349" s="2" t="e">
        <f ca="1">_xll.BDH($C$328,"LT_DEBT_TO_TOT_ASSET","FQ1 2018","FQ1 2018","Currency=INR","Period=FQ","BEST_FPERIOD_OVERRIDE=FQ","FILING_STATUS=OR","EQY_CONSOLIDATED=Y","Sort=A","Dates=H","DateFormat=P","Fill=—","Direction=H","UseDPDF=Y")</f>
        <v>#NAME?</v>
      </c>
      <c r="CK349" s="2" t="e">
        <f ca="1">_xll.BDH($C$328,"TOT_DEBT_TO_TOT_EQY","FQ1 2018","FQ1 2018","Currency=INR","Period=FQ","BEST_FPERIOD_OVERRIDE=FQ","FILING_STATUS=OR","EQY_CONSOLIDATED=Y","Sort=A","Dates=H","DateFormat=P","Fill=—","Direction=H","UseDPDF=Y")</f>
        <v>#NAME?</v>
      </c>
      <c r="CL349" s="2" t="e">
        <f ca="1">_xll.BDH($C$328,"TOT_DEBT_TO_TOT_CAP","FQ1 2018","FQ1 2018","Currency=INR","Period=FQ","BEST_FPERIOD_OVERRIDE=FQ","FILING_STATUS=OR","EQY_CONSOLIDATED=Y","Sort=A","Dates=H","DateFormat=P","Fill=—","Direction=H","UseDPDF=Y")</f>
        <v>#NAME?</v>
      </c>
      <c r="CM349" s="2" t="e">
        <f ca="1">_xll.BDH($C$328,"TOT_DEBT_TO_TOT_ASSET","FQ1 2018","FQ1 2018","Currency=INR","Period=FQ","BEST_FPERIOD_OVERRIDE=FQ","FILING_STATUS=OR","EQY_CONSOLIDATED=Y","Sort=A","Dates=H","DateFormat=P","Fill=—","Direction=H","UseDPDF=Y")</f>
        <v>#NAME?</v>
      </c>
      <c r="CN349" s="2" t="e">
        <f ca="1">_xll.BDH($C$328,"NET_DEBT_TO_SHRHLDR_EQTY","FQ1 2018","FQ1 2018","Currency=INR","Period=FQ","BEST_FPERIOD_OVERRIDE=FQ","FILING_STATUS=OR","EQY_CONSOLIDATED=Y","Sort=A","Dates=H","DateFormat=P","Fill=—","Direction=H","UseDPDF=Y")</f>
        <v>#NAME?</v>
      </c>
      <c r="CO349" s="2" t="e">
        <f ca="1">_xll.BDH($C$328,"NET_DEBT_%_CAPITAL","FQ1 2018","FQ1 2018","Currency=INR","Period=FQ","BEST_FPERIOD_OVERRIDE=FQ","FILING_STATUS=OR","EQY_CONSOLIDATED=Y","Sort=A","Dates=H","DateFormat=P","Fill=—","Direction=H","UseDPDF=Y")</f>
        <v>#NAME?</v>
      </c>
      <c r="CP349" s="3" t="e">
        <f ca="1">_xll.BDH($C$328,"EBITDA","FQ1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349" s="3" t="e">
        <f ca="1">_xll.BDH($C$328,"EBITDA_AFTER_CAPEX","FQ1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349" s="3" t="e">
        <f ca="1">_xll.BDH($C$328,"IS_OPER_INC","FQ1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349" s="2" t="e">
        <f ca="1">_xll.BDH($C$328,"CASH_RATIO","FQ1 2018","FQ1 2018","Currency=INR","Period=FQ","BEST_FPERIOD_OVERRIDE=FQ","FILING_STATUS=OR","EQY_CONSOLIDATED=Y","Sort=A","Dates=H","DateFormat=P","Fill=—","Direction=H","UseDPDF=Y")</f>
        <v>#NAME?</v>
      </c>
      <c r="CT349" s="2" t="e">
        <f ca="1">_xll.BDH($C$328,"CUR_RATIO","FQ1 2018","FQ1 2018","Currency=INR","Period=FQ","BEST_FPERIOD_OVERRIDE=FQ","FILING_STATUS=OR","EQY_CONSOLIDATED=Y","Sort=A","Dates=H","DateFormat=P","Fill=—","Direction=H","UseDPDF=Y")</f>
        <v>#NAME?</v>
      </c>
      <c r="CU349" s="2" t="e">
        <f ca="1">_xll.BDH($C$328,"QUICK_RATIO","FQ1 2018","FQ1 2018","Currency=INR","Period=FQ","BEST_FPERIOD_OVERRIDE=FQ","FILING_STATUS=OR","EQY_CONSOLIDATED=Y","Sort=A","Dates=H","DateFormat=P","Fill=—","Direction=H","UseDPDF=Y")</f>
        <v>#NAME?</v>
      </c>
      <c r="CV349" s="2" t="e">
        <f ca="1">_xll.BDH($C$328,"ALTMAN_Z_SCORE","FQ1 2018","FQ1 2018","Currency=INR","Period=FQ","BEST_FPERIOD_OVERRIDE=FQ","FILING_STATUS=OR","EQY_CONSOLIDATED=Y","Sort=A","Dates=H","DateFormat=P","Fill=—","Direction=H","UseDPDF=Y")</f>
        <v>#NAME?</v>
      </c>
      <c r="CW349" s="4" t="e">
        <f ca="1">_xll.BDH($C$328,"ACCT_RCV_TURN","FQ1 2018","FQ1 2018","Currency=INR","Period=FQ","BEST_FPERIOD_OVERRIDE=FQ","FILING_STATUS=OR","EQY_CONSOLIDATED=Y","FA_ADJUSTED=GAAP","Sort=A","Dates=H","DateFormat=P","Fill=—","Direction=H","UseDPDF=Y")</f>
        <v>#NAME?</v>
      </c>
      <c r="CX349" s="2" t="e">
        <f ca="1">_xll.BDH($C$328,"ACCT_RCV_DAYS","FQ1 2018","FQ1 2018","Currency=INR","Period=FQ","BEST_FPERIOD_OVERRIDE=FQ","FILING_STATUS=OR","EQY_CONSOLIDATED=Y","FA_ADJUSTED=GAAP","Sort=A","Dates=H","DateFormat=P","Fill=—","Direction=H","UseDPDF=Y")</f>
        <v>#NAME?</v>
      </c>
      <c r="CY349" s="4" t="e">
        <f ca="1">_xll.BDH($C$328,"INVENT_TURN","FQ1 2018","FQ1 2018","Currency=INR","Period=FQ","BEST_FPERIOD_OVERRIDE=FQ","FILING_STATUS=OR","EQY_CONSOLIDATED=Y","FA_ADJUSTED=GAAP","Sort=A","Dates=H","DateFormat=P","Fill=—","Direction=H","UseDPDF=Y")</f>
        <v>#NAME?</v>
      </c>
      <c r="CZ349" s="2" t="e">
        <f ca="1">_xll.BDH($C$328,"INVENT_DAYS","FQ1 2018","FQ1 2018","Currency=INR","Period=FQ","BEST_FPERIOD_OVERRIDE=FQ","FILING_STATUS=OR","EQY_CONSOLIDATED=Y","FA_ADJUSTED=GAAP","Sort=A","Dates=H","DateFormat=P","Fill=—","Direction=H","UseDPDF=Y")</f>
        <v>#NAME?</v>
      </c>
      <c r="DA349" s="4" t="e">
        <f ca="1">_xll.BDH($C$328,"ACCOUNTS_PAYABLE_TURNOVER","FQ1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349" s="2" t="e">
        <f ca="1">_xll.BDH($C$328,"ACCOUNTS_PAYABLE_TURNOVER_DAYS","FQ1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349" s="4" t="e">
        <f ca="1">_xll.BDH($C$328,"CASH_CONVERSION_CYCLE","FQ1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349" s="4" t="e">
        <f ca="1">_xll.BDH($C$328,"INV_TO_CASH_DAYS","FQ1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349" s="5" t="e">
        <f ca="1">_xll.BDH($C$328,"BS_INVENTORIES","FQ1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349" s="3" t="e">
        <f ca="1">_xll.BDH($C$328,"INVTRY_RAW_MATERIALS","FQ1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349" s="3" t="e">
        <f ca="1">_xll.BDH($C$328,"INVTRY_IN_PROGRESS","FQ1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349" s="3" t="e">
        <f ca="1">_xll.BDH($C$328,"INVTRY_FINISHED_GOODS","FQ1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349" s="3" t="e">
        <f ca="1">_xll.BDH($C$328,"BS_OTHER_INV","FQ1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350" spans="1:113" x14ac:dyDescent="0.3">
      <c r="A350" s="6"/>
      <c r="B350" s="6"/>
      <c r="C350" s="6"/>
      <c r="D350" s="6"/>
      <c r="E350" t="s">
        <v>79</v>
      </c>
      <c r="F350" t="e">
        <f ca="1">_xll.BDH($C$328,"RETURN_COM_EQY","FQ2 2018","FQ2 2018","Currency=INR","Period=FQ","BEST_FPERIOD_OVERRIDE=FQ","FILING_STATUS=OR","EQY_CONSOLIDATED=Y","FA_ADJUSTED=GAAP","Sort=A","Dates=H","DateFormat=P","Fill=—","Direction=H","UseDPDF=Y")</f>
        <v>#NAME?</v>
      </c>
      <c r="G350" t="e">
        <f ca="1">_xll.BDH($C$328,"RETURN_ON_ASSET","FQ2 2018","FQ2 2018","Currency=INR","Period=FQ","BEST_FPERIOD_OVERRIDE=FQ","FILING_STATUS=OR","EQY_CONSOLIDATED=Y","FA_ADJUSTED=GAAP","Sort=A","Dates=H","DateFormat=P","Fill=—","Direction=H","UseDPDF=Y")</f>
        <v>#NAME?</v>
      </c>
      <c r="H350" t="e">
        <f ca="1">_xll.BDH($C$328,"RETURN_ON_CAP","FQ2 2018","FQ2 2018","Currency=INR","Period=FQ","BEST_FPERIOD_OVERRIDE=FQ","FILING_STATUS=OR","EQY_CONSOLIDATED=Y","FA_ADJUSTED=GAAP","Sort=A","Dates=H","DateFormat=P","Fill=—","Direction=H","UseDPDF=Y")</f>
        <v>#NAME?</v>
      </c>
      <c r="I350" t="e">
        <f ca="1">_xll.BDH($C$328,"RETURN_ON_INV_CAPITAL","FQ2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350" t="e">
        <f ca="1">_xll.BDH($C$328,"EBITDA_TO_REVENUE","FQ2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350" t="e">
        <f ca="1">_xll.BDH($C$328,"OPER_MARGIN","FQ2 2018","FQ2 2018","Currency=INR","Period=FQ","BEST_FPERIOD_OVERRIDE=FQ","FILING_STATUS=OR","EQY_CONSOLIDATED=Y","FA_ADJUSTED=GAAP","Sort=A","Dates=H","DateFormat=P","Fill=—","Direction=H","UseDPDF=Y")</f>
        <v>#NAME?</v>
      </c>
      <c r="L350" t="e">
        <f ca="1">_xll.BDH($C$328,"INCREMENTAL_OPERATING_MARGIN","FQ2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350" t="e">
        <f ca="1">_xll.BDH($C$328,"PRETAX_INC_TO_NET_SALES","FQ2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350" t="e">
        <f ca="1">_xll.BDH($C$328,"INC_BEF_XO_ITEMS_TO_NET_SALES","FQ2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350" t="e">
        <f ca="1">_xll.BDH($C$328,"PROF_MARGIN","FQ2 2018","FQ2 2018","Currency=INR","Period=FQ","BEST_FPERIOD_OVERRIDE=FQ","FILING_STATUS=OR","EQY_CONSOLIDATED=Y","FA_ADJUSTED=GAAP","Sort=A","Dates=H","DateFormat=P","Fill=—","Direction=H","UseDPDF=Y")</f>
        <v>#NAME?</v>
      </c>
      <c r="P350" t="e">
        <f ca="1">_xll.BDH($C$328,"NET_INCOME_TO_COMMON_MARGIN","FQ2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350" t="e">
        <f ca="1">_xll.BDH($C$328,"EFF_TAX_RATE","FQ2 2018","FQ2 2018","Currency=INR","Period=FQ","BEST_FPERIOD_OVERRIDE=FQ","FILING_STATUS=OR","EQY_CONSOLIDATED=Y","FA_ADJUSTED=GAAP","Sort=A","Dates=H","DateFormat=P","Fill=—","Direction=H","UseDPDF=Y")</f>
        <v>#NAME?</v>
      </c>
      <c r="R350" t="e">
        <f ca="1">_xll.BDH($C$328,"DVD_PAYOUT_RATIO","FQ2 2018","FQ2 2018","Currency=INR","Period=FQ","BEST_FPERIOD_OVERRIDE=FQ","FILING_STATUS=OR","EQY_CONSOLIDATED=Y","FA_ADJUSTED=GAAP","Sort=A","Dates=H","DateFormat=P","Fill=—","Direction=H","UseDPDF=Y")</f>
        <v>#NAME?</v>
      </c>
      <c r="S350" t="e">
        <f ca="1">_xll.BDH($C$328,"SUSTAIN_GROWTH_RT","FQ2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350" s="2" t="e">
        <f ca="1">_xll.BDH($C$328,"SALES_GROWTH","FQ2 2018","FQ2 2018","Currency=INR","Period=FQ","BEST_FPERIOD_OVERRIDE=FQ","FILING_STATUS=OR","EQY_CONSOLIDATED=Y","FA_ADJUSTED=GAAP","Sort=A","Dates=H","DateFormat=P","Fill=—","Direction=H","UseDPDF=Y")</f>
        <v>#NAME?</v>
      </c>
      <c r="U350" s="2" t="e">
        <f ca="1">_xll.BDH($C$328,"EBITDA_GROWTH","FQ2 2018","FQ2 2018","Currency=INR","Period=FQ","BEST_FPERIOD_OVERRIDE=FQ","FILING_STATUS=OR","EQY_CONSOLIDATED=Y","FA_ADJUSTED=GAAP","Sort=A","Dates=H","DateFormat=P","Fill=—","Direction=H","UseDPDF=Y")</f>
        <v>#NAME?</v>
      </c>
      <c r="V350" s="2" t="e">
        <f ca="1">_xll.BDH($C$328,"OPER_INC_GROWTH","FQ2 2018","FQ2 2018","Currency=INR","Period=FQ","BEST_FPERIOD_OVERRIDE=FQ","FILING_STATUS=OR","EQY_CONSOLIDATED=Y","FA_ADJUSTED=GAAP","Sort=A","Dates=H","DateFormat=P","Fill=—","Direction=H","UseDPDF=Y")</f>
        <v>#NAME?</v>
      </c>
      <c r="W350" s="2" t="e">
        <f ca="1">_xll.BDH($C$328,"EARN_FOR_COM_GROWTH","FQ2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350" s="2" t="e">
        <f ca="1">_xll.BDH($C$328,"DILUTED_EPS_AFT_XO_ITEMS_GROWTH","FQ2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350" s="2" t="e">
        <f ca="1">_xll.BDH($C$328,"DIVIDEND_PER_SHARE_1_YEAR_GROWTH","FQ2 2018","FQ2 2018","Currency=INR","Period=FQ","BEST_FPERIOD_OVERRIDE=FQ","FILING_STATUS=OR","EQY_CONSOLIDATED=Y","Sort=A","Dates=H","DateFormat=P","Fill=—","Direction=H","UseDPDF=Y")</f>
        <v>#NAME?</v>
      </c>
      <c r="Z350" s="2" t="e">
        <f ca="1">_xll.BDH($C$328,"ACCOUNTS_RECEIVABLE_GROWTH","FQ2 2018","FQ2 2018","Currency=INR","Period=FQ","BEST_FPERIOD_OVERRIDE=FQ","FILING_STATUS=OR","EQY_CONSOLIDATED=Y","Sort=A","Dates=H","DateFormat=P","Fill=—","Direction=H","UseDPDF=Y")</f>
        <v>#NAME?</v>
      </c>
      <c r="AA350" s="2" t="e">
        <f ca="1">_xll.BDH($C$328,"INVENTORY_GROWTH","FQ2 2018","FQ2 2018","Currency=INR","Period=FQ","BEST_FPERIOD_OVERRIDE=FQ","FILING_STATUS=OR","EQY_CONSOLIDATED=Y","Sort=A","Dates=H","DateFormat=P","Fill=—","Direction=H","UseDPDF=Y")</f>
        <v>#NAME?</v>
      </c>
      <c r="AB350" s="2" t="e">
        <f ca="1">_xll.BDH($C$328,"NET_FIXED_ASSETS_1_YEAR_GROWTH","FQ2 2018","FQ2 2018","Currency=INR","Period=FQ","BEST_FPERIOD_OVERRIDE=FQ","FILING_STATUS=OR","EQY_CONSOLIDATED=Y","Sort=A","Dates=H","DateFormat=P","Fill=—","Direction=H","UseDPDF=Y")</f>
        <v>#NAME?</v>
      </c>
      <c r="AC350" s="2" t="e">
        <f ca="1">_xll.BDH($C$328,"ASSET_GROWTH","FQ2 2018","FQ2 2018","Currency=INR","Period=FQ","BEST_FPERIOD_OVERRIDE=FQ","FILING_STATUS=OR","EQY_CONSOLIDATED=Y","Sort=A","Dates=H","DateFormat=P","Fill=—","Direction=H","UseDPDF=Y")</f>
        <v>#NAME?</v>
      </c>
      <c r="AD350" s="2" t="e">
        <f ca="1">_xll.BDH($C$328,"MODIFIED_WORK_CAP_GROWTH","FQ2 2018","FQ2 2018","Currency=INR","Period=FQ","BEST_FPERIOD_OVERRIDE=FQ","FILING_STATUS=OR","EQY_CONSOLIDATED=Y","Sort=A","Dates=H","DateFormat=P","Fill=—","Direction=H","UseDPDF=Y")</f>
        <v>#NAME?</v>
      </c>
      <c r="AE350" s="2" t="e">
        <f ca="1">_xll.BDH($C$328,"WORK_CAP_GROWTH","FQ2 2018","FQ2 2018","Currency=INR","Period=FQ","BEST_FPERIOD_OVERRIDE=FQ","FILING_STATUS=OR","EQY_CONSOLIDATED=Y","Sort=A","Dates=H","DateFormat=P","Fill=—","Direction=H","UseDPDF=Y")</f>
        <v>#NAME?</v>
      </c>
      <c r="AF350" s="2" t="e">
        <f ca="1">_xll.BDH($C$328,"ACCOUNTS_PAYABLE_GROWTH_1YR","FQ2 2018","FQ2 2018","Currency=INR","Period=FQ","BEST_FPERIOD_OVERRIDE=FQ","FILING_STATUS=OR","EQY_CONSOLIDATED=Y","Sort=A","Dates=H","DateFormat=P","Fill=—","Direction=H","UseDPDF=Y")</f>
        <v>#NAME?</v>
      </c>
      <c r="AG350" s="2" t="e">
        <f ca="1">_xll.BDH($C$328,"SHORT_TERM_DEBT_1_YEAR_GROWTH","FQ2 2018","FQ2 2018","Currency=INR","Period=FQ","BEST_FPERIOD_OVERRIDE=FQ","FILING_STATUS=OR","EQY_CONSOLIDATED=Y","Sort=A","Dates=H","DateFormat=P","Fill=—","Direction=H","UseDPDF=Y")</f>
        <v>#NAME?</v>
      </c>
      <c r="AH350" s="2" t="e">
        <f ca="1">_xll.BDH($C$328,"TOTAL_DEBT_1_YEAR_GROWTH","FQ2 2018","FQ2 2018","Currency=INR","Period=FQ","BEST_FPERIOD_OVERRIDE=FQ","FILING_STATUS=OR","EQY_CONSOLIDATED=Y","Sort=A","Dates=H","DateFormat=P","Fill=—","Direction=H","UseDPDF=Y")</f>
        <v>#NAME?</v>
      </c>
      <c r="AI350" s="2" t="e">
        <f ca="1">_xll.BDH($C$328,"TOTAL_EQUITY_1_YEAR_GROWTH","FQ2 2018","FQ2 2018","Currency=INR","Period=FQ","BEST_FPERIOD_OVERRIDE=FQ","FILING_STATUS=OR","EQY_CONSOLIDATED=Y","Sort=A","Dates=H","DateFormat=P","Fill=—","Direction=H","UseDPDF=Y")</f>
        <v>#NAME?</v>
      </c>
      <c r="AJ350" s="2" t="e">
        <f ca="1">_xll.BDH($C$328,"GROWTH_IN_CAP","FQ2 2018","FQ2 2018","Currency=INR","Period=FQ","BEST_FPERIOD_OVERRIDE=FQ","FILING_STATUS=OR","EQY_CONSOLIDATED=Y","Sort=A","Dates=H","DateFormat=P","Fill=—","Direction=H","UseDPDF=Y")</f>
        <v>#NAME?</v>
      </c>
      <c r="AK350" s="2" t="e">
        <f ca="1">_xll.BDH($C$328,"BVPS_GROWTH","FQ2 2018","FQ2 2018","Currency=INR","Period=FQ","BEST_FPERIOD_OVERRIDE=FQ","FILING_STATUS=OR","EQY_CONSOLIDATED=Y","Sort=A","Dates=H","DateFormat=P","Fill=—","Direction=H","UseDPDF=Y")</f>
        <v>#NAME?</v>
      </c>
      <c r="AL350" s="2" t="e">
        <f ca="1">_xll.BDH($C$328,"CASH_FLOW_GROWTH","FQ2 2018","FQ2 2018","Currency=INR","Period=FQ","BEST_FPERIOD_OVERRIDE=FQ","FILING_STATUS=OR","EQY_CONSOLIDATED=Y","Sort=A","Dates=H","DateFormat=P","Fill=—","Direction=H","UseDPDF=Y")</f>
        <v>#NAME?</v>
      </c>
      <c r="AM350" s="2" t="e">
        <f ca="1">_xll.BDH($C$328,"GEO_GROW_NET_SALES","FQ2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350" s="2" t="e">
        <f ca="1">_xll.BDH($C$328,"GEO_GROW_EBITDA","FQ2 2018","FQ2 2018","Currency=INR","Period=FQ","BEST_FPERIOD_OVERRIDE=FQ","FILING_STATUS=OR","EQY_CONSOLIDATED=Y","FA_ADJUSTED=GAAP","Sort=A","Dates=H","DateFormat=P","Fill=—","Direction=H","UseDPDF=Y")</f>
        <v>#NAME?</v>
      </c>
      <c r="AO350" s="2" t="e">
        <f ca="1">_xll.BDH($C$328,"GEO_GROW_OPER_INC","FQ2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350" s="2" t="e">
        <f ca="1">_xll.BDH($C$328,"NET_INCOME_TO_COMMON_5_YR_GROWTH","FQ2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350" s="2" t="e">
        <f ca="1">_xll.BDH($C$328,"5Y_GEO_GROWTH_DILUTED_EPS","FQ2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350" s="2" t="e">
        <f ca="1">_xll.BDH($C$328,"GEO_GROW_DVD_PER_SH","FQ2 2018","FQ2 2018","Currency=INR","Period=FQ","BEST_FPERIOD_OVERRIDE=FQ","FILING_STATUS=OR","EQY_CONSOLIDATED=Y","Sort=A","Dates=H","DateFormat=P","Fill=—","Direction=H","UseDPDF=Y")</f>
        <v>#NAME?</v>
      </c>
      <c r="AS350" s="2" t="e">
        <f ca="1">_xll.BDH($C$328,"ACCOUNTS_RECEIVABLE_5_YR_GROWTH","FQ2 2018","FQ2 2018","Currency=INR","Period=FQ","BEST_FPERIOD_OVERRIDE=FQ","FILING_STATUS=OR","EQY_CONSOLIDATED=Y","Sort=A","Dates=H","DateFormat=P","Fill=—","Direction=H","UseDPDF=Y")</f>
        <v>#NAME?</v>
      </c>
      <c r="AT350" s="2" t="e">
        <f ca="1">_xll.BDH($C$328,"INVENTORY_5_YEAR_GROWTH","FQ2 2018","FQ2 2018","Currency=INR","Period=FQ","BEST_FPERIOD_OVERRIDE=FQ","FILING_STATUS=OR","EQY_CONSOLIDATED=Y","Sort=A","Dates=H","DateFormat=P","Fill=—","Direction=H","UseDPDF=Y")</f>
        <v>#NAME?</v>
      </c>
      <c r="AU350" s="2" t="e">
        <f ca="1">_xll.BDH($C$328,"NET_FIXED_ASSETS_5_YEAR_GROWTH","FQ2 2018","FQ2 2018","Currency=INR","Period=FQ","BEST_FPERIOD_OVERRIDE=FQ","FILING_STATUS=OR","EQY_CONSOLIDATED=Y","Sort=A","Dates=H","DateFormat=P","Fill=—","Direction=H","UseDPDF=Y")</f>
        <v>#NAME?</v>
      </c>
      <c r="AV350" s="2" t="e">
        <f ca="1">_xll.BDH($C$328,"GEO_GROW_TOT_ASSET","FQ2 2018","FQ2 2018","Currency=INR","Period=FQ","BEST_FPERIOD_OVERRIDE=FQ","FILING_STATUS=OR","EQY_CONSOLIDATED=Y","Sort=A","Dates=H","DateFormat=P","Fill=—","Direction=H","UseDPDF=Y")</f>
        <v>#NAME?</v>
      </c>
      <c r="AW350" s="2" t="e">
        <f ca="1">_xll.BDH($C$328,"MODIFIED_WORKING_CPTL_5YR_GRWTH","FQ2 2018","FQ2 2018","Currency=INR","Period=FQ","BEST_FPERIOD_OVERRIDE=FQ","FILING_STATUS=OR","EQY_CONSOLIDATED=Y","Sort=A","Dates=H","DateFormat=P","Fill=—","Direction=H","UseDPDF=Y")</f>
        <v>#NAME?</v>
      </c>
      <c r="AX350" s="2" t="e">
        <f ca="1">_xll.BDH($C$328,"WORKING_CAPITAL_5_YEAR_GROWTH","FQ2 2018","FQ2 2018","Currency=INR","Period=FQ","BEST_FPERIOD_OVERRIDE=FQ","FILING_STATUS=OR","EQY_CONSOLIDATED=Y","Sort=A","Dates=H","DateFormat=P","Fill=—","Direction=H","UseDPDF=Y")</f>
        <v>#NAME?</v>
      </c>
      <c r="AY350" s="2" t="e">
        <f ca="1">_xll.BDH($C$328,"ACCOUNTS_PAYABLE_5_YEAR_GROWTH","FQ2 2018","FQ2 2018","Currency=INR","Period=FQ","BEST_FPERIOD_OVERRIDE=FQ","FILING_STATUS=OR","EQY_CONSOLIDATED=Y","Sort=A","Dates=H","DateFormat=P","Fill=—","Direction=H","UseDPDF=Y")</f>
        <v>#NAME?</v>
      </c>
      <c r="AZ350" s="2" t="e">
        <f ca="1">_xll.BDH($C$328,"SHORT_TERM_DEBT_5_YEAR_GROWTH","FQ2 2018","FQ2 2018","Currency=INR","Period=FQ","BEST_FPERIOD_OVERRIDE=FQ","FILING_STATUS=OR","EQY_CONSOLIDATED=Y","Sort=A","Dates=H","DateFormat=P","Fill=—","Direction=H","UseDPDF=Y")</f>
        <v>#NAME?</v>
      </c>
      <c r="BA350" s="2" t="e">
        <f ca="1">_xll.BDH($C$328,"TOTAL_DEBT_5_YEAR_GROWTH","FQ2 2018","FQ2 2018","Currency=INR","Period=FQ","BEST_FPERIOD_OVERRIDE=FQ","FILING_STATUS=OR","EQY_CONSOLIDATED=Y","Sort=A","Dates=H","DateFormat=P","Fill=—","Direction=H","UseDPDF=Y")</f>
        <v>#NAME?</v>
      </c>
      <c r="BB350" s="2" t="e">
        <f ca="1">_xll.BDH($C$328,"GEO_GROW_TOT_SHRHLDR_EQY","FQ2 2018","FQ2 2018","Currency=INR","Period=FQ","BEST_FPERIOD_OVERRIDE=FQ","FILING_STATUS=OR","EQY_CONSOLIDATED=Y","Sort=A","Dates=H","DateFormat=P","Fill=—","Direction=H","UseDPDF=Y")</f>
        <v>#NAME?</v>
      </c>
      <c r="BC350" s="2" t="e">
        <f ca="1">_xll.BDH($C$328,"TOTAL_CAPITAL_5_YEAR_GROWTH","FQ2 2018","FQ2 2018","Currency=INR","Period=FQ","BEST_FPERIOD_OVERRIDE=FQ","FILING_STATUS=OR","EQY_CONSOLIDATED=Y","Sort=A","Dates=H","DateFormat=P","Fill=—","Direction=H","UseDPDF=Y")</f>
        <v>#NAME?</v>
      </c>
      <c r="BD350" s="2" t="e">
        <f ca="1">_xll.BDH($C$328,"GEO_GROW_BOOK_VAL","FQ2 2018","FQ2 2018","Currency=INR","Period=FQ","BEST_FPERIOD_OVERRIDE=FQ","FILING_STATUS=OR","EQY_CONSOLIDATED=Y","Sort=A","Dates=H","DateFormat=P","Fill=—","Direction=H","UseDPDF=Y")</f>
        <v>#NAME?</v>
      </c>
      <c r="BE350" s="2" t="e">
        <f ca="1">_xll.BDH($C$328,"GEO_GROW_CASH_OPER_ACT","FQ2 2018","FQ2 2018","Currency=INR","Period=FQ","BEST_FPERIOD_OVERRIDE=FQ","FILING_STATUS=OR","EQY_CONSOLIDATED=Y","Sort=A","Dates=H","DateFormat=P","Fill=—","Direction=H","UseDPDF=Y")</f>
        <v>#NAME?</v>
      </c>
      <c r="BF350" s="2" t="e">
        <f ca="1">_xll.BDH($C$328,"REVENUE_SEQUENTIAL_GROWTH","FQ2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350" s="2" t="e">
        <f ca="1">_xll.BDH($C$328,"EBITDA_SEQUENTIAL_GROWTH","FQ2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350" s="2" t="e">
        <f ca="1">_xll.BDH($C$328,"OPERATING_INCOME_SEQ_GROWTH","FQ2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350" s="2" t="e">
        <f ca="1">_xll.BDH($C$328,"NET_INCOME_TO_COMMON_SEQ_GROWTH","FQ2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350" s="2" t="e">
        <f ca="1">_xll.BDH($C$328,"EPS_DILUTED_SEQUENTIAL_GROWTH","FQ2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350" s="2" t="e">
        <f ca="1">_xll.BDH($C$328,"DPS_SEQUENTIAL_GROWTH","FQ2 2018","FQ2 2018","Currency=INR","Period=FQ","BEST_FPERIOD_OVERRIDE=FQ","FILING_STATUS=OR","EQY_CONSOLIDATED=Y","Sort=A","Dates=H","DateFormat=P","Fill=—","Direction=H","UseDPDF=Y")</f>
        <v>#NAME?</v>
      </c>
      <c r="BL350" s="2" t="e">
        <f ca="1">_xll.BDH($C$328,"ACCOUNTS_RECEIVABLE_SEQ_GROWTH","FQ2 2018","FQ2 2018","Currency=INR","Period=FQ","BEST_FPERIOD_OVERRIDE=FQ","FILING_STATUS=OR","EQY_CONSOLIDATED=Y","Sort=A","Dates=H","DateFormat=P","Fill=—","Direction=H","UseDPDF=Y")</f>
        <v>#NAME?</v>
      </c>
      <c r="BM350" s="2" t="e">
        <f ca="1">_xll.BDH($C$328,"INVENTORY_SEQUENTIAL_GROWTH","FQ2 2018","FQ2 2018","Currency=INR","Period=FQ","BEST_FPERIOD_OVERRIDE=FQ","FILING_STATUS=OR","EQY_CONSOLIDATED=Y","Sort=A","Dates=H","DateFormat=P","Fill=—","Direction=H","UseDPDF=Y")</f>
        <v>#NAME?</v>
      </c>
      <c r="BN350" s="2" t="e">
        <f ca="1">_xll.BDH($C$328,"FIXED_ASSETS_SEQUENTIAL_GROWTH","FQ2 2018","FQ2 2018","Currency=INR","Period=FQ","BEST_FPERIOD_OVERRIDE=FQ","FILING_STATUS=OR","EQY_CONSOLIDATED=Y","Sort=A","Dates=H","DateFormat=P","Fill=—","Direction=H","UseDPDF=Y")</f>
        <v>#NAME?</v>
      </c>
      <c r="BO350" s="2" t="e">
        <f ca="1">_xll.BDH($C$328,"TOTAL_ASSETS_SEQUENTIAL_GROWTH","FQ2 2018","FQ2 2018","Currency=INR","Period=FQ","BEST_FPERIOD_OVERRIDE=FQ","FILING_STATUS=OR","EQY_CONSOLIDATED=Y","Sort=A","Dates=H","DateFormat=P","Fill=—","Direction=H","UseDPDF=Y")</f>
        <v>#NAME?</v>
      </c>
      <c r="BP350" s="2" t="e">
        <f ca="1">_xll.BDH($C$328,"MODIFIED_WORKING_CPTL_SEQ_GRWTH","FQ2 2018","FQ2 2018","Currency=INR","Period=FQ","BEST_FPERIOD_OVERRIDE=FQ","FILING_STATUS=OR","EQY_CONSOLIDATED=Y","Sort=A","Dates=H","DateFormat=P","Fill=—","Direction=H","UseDPDF=Y")</f>
        <v>#NAME?</v>
      </c>
      <c r="BQ350" s="2" t="e">
        <f ca="1">_xll.BDH($C$328,"WORKING_CAPITAL_SEQ_GROWTH","FQ2 2018","FQ2 2018","Currency=INR","Period=FQ","BEST_FPERIOD_OVERRIDE=FQ","FILING_STATUS=OR","EQY_CONSOLIDATED=Y","Sort=A","Dates=H","DateFormat=P","Fill=—","Direction=H","UseDPDF=Y")</f>
        <v>#NAME?</v>
      </c>
      <c r="BR350" s="2" t="e">
        <f ca="1">_xll.BDH($C$328,"ACCOUNTS_PAYABLE_SEQ_GROWTH","FQ2 2018","FQ2 2018","Currency=INR","Period=FQ","BEST_FPERIOD_OVERRIDE=FQ","FILING_STATUS=OR","EQY_CONSOLIDATED=Y","Sort=A","Dates=H","DateFormat=P","Fill=—","Direction=H","UseDPDF=Y")</f>
        <v>#NAME?</v>
      </c>
      <c r="BS350" s="2" t="e">
        <f ca="1">_xll.BDH($C$328,"ST_DEBT_SEQUENTIAL_GROWTH","FQ2 2018","FQ2 2018","Currency=INR","Period=FQ","BEST_FPERIOD_OVERRIDE=FQ","FILING_STATUS=OR","EQY_CONSOLIDATED=Y","Sort=A","Dates=H","DateFormat=P","Fill=—","Direction=H","UseDPDF=Y")</f>
        <v>#NAME?</v>
      </c>
      <c r="BT350" s="2" t="e">
        <f ca="1">_xll.BDH($C$328,"TOTAL_DEBT_SEQUENTIAL_GROWTH","FQ2 2018","FQ2 2018","Currency=INR","Period=FQ","BEST_FPERIOD_OVERRIDE=FQ","FILING_STATUS=OR","EQY_CONSOLIDATED=Y","Sort=A","Dates=H","DateFormat=P","Fill=—","Direction=H","UseDPDF=Y")</f>
        <v>#NAME?</v>
      </c>
      <c r="BU350" s="2" t="e">
        <f ca="1">_xll.BDH($C$328,"TOTAL_EQUITY_SEQUENTIAL_GROWTH","FQ2 2018","FQ2 2018","Currency=INR","Period=FQ","BEST_FPERIOD_OVERRIDE=FQ","FILING_STATUS=OR","EQY_CONSOLIDATED=Y","Sort=A","Dates=H","DateFormat=P","Fill=—","Direction=H","UseDPDF=Y")</f>
        <v>#NAME?</v>
      </c>
      <c r="BV350" s="2" t="e">
        <f ca="1">_xll.BDH($C$328,"TOTAL_CAPITAL_SEQUENTIAL_GROWTH","FQ2 2018","FQ2 2018","Currency=INR","Period=FQ","BEST_FPERIOD_OVERRIDE=FQ","FILING_STATUS=OR","EQY_CONSOLIDATED=Y","Sort=A","Dates=H","DateFormat=P","Fill=—","Direction=H","UseDPDF=Y")</f>
        <v>#NAME?</v>
      </c>
      <c r="BW350" s="2" t="e">
        <f ca="1">_xll.BDH($C$328,"BPS_SEQUENTIAL_GROWTH","FQ2 2018","FQ2 2018","Currency=INR","Period=FQ","BEST_FPERIOD_OVERRIDE=FQ","FILING_STATUS=OR","EQY_CONSOLIDATED=Y","Sort=A","Dates=H","DateFormat=P","Fill=—","Direction=H","UseDPDF=Y")</f>
        <v>#NAME?</v>
      </c>
      <c r="BX350" s="2" t="e">
        <f ca="1">_xll.BDH($C$328,"CFO_SEQUENTIAL_GROWTH","FQ2 2018","FQ2 2018","Currency=INR","Period=FQ","BEST_FPERIOD_OVERRIDE=FQ","FILING_STATUS=OR","EQY_CONSOLIDATED=Y","Sort=A","Dates=H","DateFormat=P","Fill=—","Direction=H","UseDPDF=Y")</f>
        <v>#NAME?</v>
      </c>
      <c r="BY350" s="3" t="e">
        <f ca="1">_xll.BDH($C$328,"SHORT_AND_LONG_TERM_DEBT","FQ2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350" s="3" t="e">
        <f ca="1">_xll.BDH($C$328,"BS_ST_BORROW","FQ2 2018","FQ2 2018","Currency=INR","Period=FQ","BEST_FPERIOD_OVERRIDE=FQ","FILING_STATUS=OR","EQY_CONSOLIDATED=Y","SCALING_FORMAT=MLN","Sort=A","Dates=H","DateFormat=P","Fill=—","Direction=H","UseDPDF=Y")</f>
        <v>#NAME?</v>
      </c>
      <c r="CA350" s="3" t="e">
        <f ca="1">_xll.BDH($C$328,"BS_LT_BORROW","FQ2 2018","FQ2 2018","Currency=INR","Period=FQ","BEST_FPERIOD_OVERRIDE=FQ","FILING_STATUS=OR","EQY_CONSOLIDATED=Y","SCALING_FORMAT=MLN","Sort=A","Dates=H","DateFormat=P","Fill=—","Direction=H","UseDPDF=Y")</f>
        <v>#NAME?</v>
      </c>
      <c r="CB350" s="2" t="e">
        <f ca="1">_xll.BDH($C$328,"TOT_DEBT_TO_EBITDA","FQ2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350" s="2" t="e">
        <f ca="1">_xll.BDH($C$328,"NET_DEBT_TO_EBITDA","FQ2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350" s="2" t="e">
        <f ca="1">_xll.BDH($C$328,"TOTAL_DEBT_TO_EBIT","FQ2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350" s="2" t="e">
        <f ca="1">_xll.BDH($C$328,"NET_DEBT_TO_EBIT","FQ2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350" s="2" t="e">
        <f ca="1">_xll.BDH($C$328,"EBITDA_TO_INTEREST_EXPN","FQ2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350" s="2" t="e">
        <f ca="1">_xll.BDH($C$328,"COM_EQY_TO_TOT_ASSET","FQ2 2018","FQ2 2018","Currency=INR","Period=FQ","BEST_FPERIOD_OVERRIDE=FQ","FILING_STATUS=OR","EQY_CONSOLIDATED=Y","Sort=A","Dates=H","DateFormat=P","Fill=—","Direction=H","UseDPDF=Y")</f>
        <v>#NAME?</v>
      </c>
      <c r="CH350" s="2" t="e">
        <f ca="1">_xll.BDH($C$328,"LT_DEBT_TO_TOT_EQY","FQ2 2018","FQ2 2018","Currency=INR","Period=FQ","BEST_FPERIOD_OVERRIDE=FQ","FILING_STATUS=OR","EQY_CONSOLIDATED=Y","Sort=A","Dates=H","DateFormat=P","Fill=—","Direction=H","UseDPDF=Y")</f>
        <v>#NAME?</v>
      </c>
      <c r="CI350" s="2" t="e">
        <f ca="1">_xll.BDH($C$328,"LT_DEBT_TO_TOT_CAP","FQ2 2018","FQ2 2018","Currency=INR","Period=FQ","BEST_FPERIOD_OVERRIDE=FQ","FILING_STATUS=OR","EQY_CONSOLIDATED=Y","Sort=A","Dates=H","DateFormat=P","Fill=—","Direction=H","UseDPDF=Y")</f>
        <v>#NAME?</v>
      </c>
      <c r="CJ350" s="2" t="e">
        <f ca="1">_xll.BDH($C$328,"LT_DEBT_TO_TOT_ASSET","FQ2 2018","FQ2 2018","Currency=INR","Period=FQ","BEST_FPERIOD_OVERRIDE=FQ","FILING_STATUS=OR","EQY_CONSOLIDATED=Y","Sort=A","Dates=H","DateFormat=P","Fill=—","Direction=H","UseDPDF=Y")</f>
        <v>#NAME?</v>
      </c>
      <c r="CK350" s="2" t="e">
        <f ca="1">_xll.BDH($C$328,"TOT_DEBT_TO_TOT_EQY","FQ2 2018","FQ2 2018","Currency=INR","Period=FQ","BEST_FPERIOD_OVERRIDE=FQ","FILING_STATUS=OR","EQY_CONSOLIDATED=Y","Sort=A","Dates=H","DateFormat=P","Fill=—","Direction=H","UseDPDF=Y")</f>
        <v>#NAME?</v>
      </c>
      <c r="CL350" s="2" t="e">
        <f ca="1">_xll.BDH($C$328,"TOT_DEBT_TO_TOT_CAP","FQ2 2018","FQ2 2018","Currency=INR","Period=FQ","BEST_FPERIOD_OVERRIDE=FQ","FILING_STATUS=OR","EQY_CONSOLIDATED=Y","Sort=A","Dates=H","DateFormat=P","Fill=—","Direction=H","UseDPDF=Y")</f>
        <v>#NAME?</v>
      </c>
      <c r="CM350" s="2" t="e">
        <f ca="1">_xll.BDH($C$328,"TOT_DEBT_TO_TOT_ASSET","FQ2 2018","FQ2 2018","Currency=INR","Period=FQ","BEST_FPERIOD_OVERRIDE=FQ","FILING_STATUS=OR","EQY_CONSOLIDATED=Y","Sort=A","Dates=H","DateFormat=P","Fill=—","Direction=H","UseDPDF=Y")</f>
        <v>#NAME?</v>
      </c>
      <c r="CN350" s="2" t="e">
        <f ca="1">_xll.BDH($C$328,"NET_DEBT_TO_SHRHLDR_EQTY","FQ2 2018","FQ2 2018","Currency=INR","Period=FQ","BEST_FPERIOD_OVERRIDE=FQ","FILING_STATUS=OR","EQY_CONSOLIDATED=Y","Sort=A","Dates=H","DateFormat=P","Fill=—","Direction=H","UseDPDF=Y")</f>
        <v>#NAME?</v>
      </c>
      <c r="CO350" s="2" t="e">
        <f ca="1">_xll.BDH($C$328,"NET_DEBT_%_CAPITAL","FQ2 2018","FQ2 2018","Currency=INR","Period=FQ","BEST_FPERIOD_OVERRIDE=FQ","FILING_STATUS=OR","EQY_CONSOLIDATED=Y","Sort=A","Dates=H","DateFormat=P","Fill=—","Direction=H","UseDPDF=Y")</f>
        <v>#NAME?</v>
      </c>
      <c r="CP350" s="3" t="e">
        <f ca="1">_xll.BDH($C$328,"EBITDA","FQ2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350" s="3" t="e">
        <f ca="1">_xll.BDH($C$328,"EBITDA_AFTER_CAPEX","FQ2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350" s="3" t="e">
        <f ca="1">_xll.BDH($C$328,"IS_OPER_INC","FQ2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350" s="2" t="e">
        <f ca="1">_xll.BDH($C$328,"CASH_RATIO","FQ2 2018","FQ2 2018","Currency=INR","Period=FQ","BEST_FPERIOD_OVERRIDE=FQ","FILING_STATUS=OR","EQY_CONSOLIDATED=Y","Sort=A","Dates=H","DateFormat=P","Fill=—","Direction=H","UseDPDF=Y")</f>
        <v>#NAME?</v>
      </c>
      <c r="CT350" s="2" t="e">
        <f ca="1">_xll.BDH($C$328,"CUR_RATIO","FQ2 2018","FQ2 2018","Currency=INR","Period=FQ","BEST_FPERIOD_OVERRIDE=FQ","FILING_STATUS=OR","EQY_CONSOLIDATED=Y","Sort=A","Dates=H","DateFormat=P","Fill=—","Direction=H","UseDPDF=Y")</f>
        <v>#NAME?</v>
      </c>
      <c r="CU350" s="2" t="e">
        <f ca="1">_xll.BDH($C$328,"QUICK_RATIO","FQ2 2018","FQ2 2018","Currency=INR","Period=FQ","BEST_FPERIOD_OVERRIDE=FQ","FILING_STATUS=OR","EQY_CONSOLIDATED=Y","Sort=A","Dates=H","DateFormat=P","Fill=—","Direction=H","UseDPDF=Y")</f>
        <v>#NAME?</v>
      </c>
      <c r="CV350" s="2" t="e">
        <f ca="1">_xll.BDH($C$328,"ALTMAN_Z_SCORE","FQ2 2018","FQ2 2018","Currency=INR","Period=FQ","BEST_FPERIOD_OVERRIDE=FQ","FILING_STATUS=OR","EQY_CONSOLIDATED=Y","Sort=A","Dates=H","DateFormat=P","Fill=—","Direction=H","UseDPDF=Y")</f>
        <v>#NAME?</v>
      </c>
      <c r="CW350" s="4" t="e">
        <f ca="1">_xll.BDH($C$328,"ACCT_RCV_TURN","FQ2 2018","FQ2 2018","Currency=INR","Period=FQ","BEST_FPERIOD_OVERRIDE=FQ","FILING_STATUS=OR","EQY_CONSOLIDATED=Y","FA_ADJUSTED=GAAP","Sort=A","Dates=H","DateFormat=P","Fill=—","Direction=H","UseDPDF=Y")</f>
        <v>#NAME?</v>
      </c>
      <c r="CX350" s="2" t="e">
        <f ca="1">_xll.BDH($C$328,"ACCT_RCV_DAYS","FQ2 2018","FQ2 2018","Currency=INR","Period=FQ","BEST_FPERIOD_OVERRIDE=FQ","FILING_STATUS=OR","EQY_CONSOLIDATED=Y","FA_ADJUSTED=GAAP","Sort=A","Dates=H","DateFormat=P","Fill=—","Direction=H","UseDPDF=Y")</f>
        <v>#NAME?</v>
      </c>
      <c r="CY350" s="4" t="e">
        <f ca="1">_xll.BDH($C$328,"INVENT_TURN","FQ2 2018","FQ2 2018","Currency=INR","Period=FQ","BEST_FPERIOD_OVERRIDE=FQ","FILING_STATUS=OR","EQY_CONSOLIDATED=Y","FA_ADJUSTED=GAAP","Sort=A","Dates=H","DateFormat=P","Fill=—","Direction=H","UseDPDF=Y")</f>
        <v>#NAME?</v>
      </c>
      <c r="CZ350" s="2" t="e">
        <f ca="1">_xll.BDH($C$328,"INVENT_DAYS","FQ2 2018","FQ2 2018","Currency=INR","Period=FQ","BEST_FPERIOD_OVERRIDE=FQ","FILING_STATUS=OR","EQY_CONSOLIDATED=Y","FA_ADJUSTED=GAAP","Sort=A","Dates=H","DateFormat=P","Fill=—","Direction=H","UseDPDF=Y")</f>
        <v>#NAME?</v>
      </c>
      <c r="DA350" s="4" t="e">
        <f ca="1">_xll.BDH($C$328,"ACCOUNTS_PAYABLE_TURNOVER","FQ2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350" s="2" t="e">
        <f ca="1">_xll.BDH($C$328,"ACCOUNTS_PAYABLE_TURNOVER_DAYS","FQ2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350" s="4" t="e">
        <f ca="1">_xll.BDH($C$328,"CASH_CONVERSION_CYCLE","FQ2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350" s="4" t="e">
        <f ca="1">_xll.BDH($C$328,"INV_TO_CASH_DAYS","FQ2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350" s="5" t="e">
        <f ca="1">_xll.BDH($C$328,"BS_INVENTORIES","FQ2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350" s="3" t="e">
        <f ca="1">_xll.BDH($C$328,"INVTRY_RAW_MATERIALS","FQ2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350" s="3" t="e">
        <f ca="1">_xll.BDH($C$328,"INVTRY_IN_PROGRESS","FQ2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350" s="3" t="e">
        <f ca="1">_xll.BDH($C$328,"INVTRY_FINISHED_GOODS","FQ2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350" s="3" t="e">
        <f ca="1">_xll.BDH($C$328,"BS_OTHER_INV","FQ2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351" spans="1:113" x14ac:dyDescent="0.3">
      <c r="A351" s="6"/>
      <c r="B351" s="6"/>
      <c r="C351" s="6"/>
      <c r="D351" s="6"/>
      <c r="E351" t="s">
        <v>80</v>
      </c>
      <c r="F351" t="e">
        <f ca="1">_xll.BDH($C$328,"RETURN_COM_EQY","FQ3 2018","FQ3 2018","Currency=INR","Period=FQ","BEST_FPERIOD_OVERRIDE=FQ","FILING_STATUS=OR","EQY_CONSOLIDATED=Y","FA_ADJUSTED=GAAP","Sort=A","Dates=H","DateFormat=P","Fill=—","Direction=H","UseDPDF=Y")</f>
        <v>#NAME?</v>
      </c>
      <c r="G351" t="e">
        <f ca="1">_xll.BDH($C$328,"RETURN_ON_ASSET","FQ3 2018","FQ3 2018","Currency=INR","Period=FQ","BEST_FPERIOD_OVERRIDE=FQ","FILING_STATUS=OR","EQY_CONSOLIDATED=Y","FA_ADJUSTED=GAAP","Sort=A","Dates=H","DateFormat=P","Fill=—","Direction=H","UseDPDF=Y")</f>
        <v>#NAME?</v>
      </c>
      <c r="H351" t="e">
        <f ca="1">_xll.BDH($C$328,"RETURN_ON_CAP","FQ3 2018","FQ3 2018","Currency=INR","Period=FQ","BEST_FPERIOD_OVERRIDE=FQ","FILING_STATUS=OR","EQY_CONSOLIDATED=Y","FA_ADJUSTED=GAAP","Sort=A","Dates=H","DateFormat=P","Fill=—","Direction=H","UseDPDF=Y")</f>
        <v>#NAME?</v>
      </c>
      <c r="I351" t="e">
        <f ca="1">_xll.BDH($C$328,"RETURN_ON_INV_CAPITAL","FQ3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351" t="e">
        <f ca="1">_xll.BDH($C$328,"EBITDA_TO_REVENUE","FQ3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351" t="e">
        <f ca="1">_xll.BDH($C$328,"OPER_MARGIN","FQ3 2018","FQ3 2018","Currency=INR","Period=FQ","BEST_FPERIOD_OVERRIDE=FQ","FILING_STATUS=OR","EQY_CONSOLIDATED=Y","FA_ADJUSTED=GAAP","Sort=A","Dates=H","DateFormat=P","Fill=—","Direction=H","UseDPDF=Y")</f>
        <v>#NAME?</v>
      </c>
      <c r="L351" t="e">
        <f ca="1">_xll.BDH($C$328,"INCREMENTAL_OPERATING_MARGIN","FQ3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351" t="e">
        <f ca="1">_xll.BDH($C$328,"PRETAX_INC_TO_NET_SALES","FQ3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351" t="e">
        <f ca="1">_xll.BDH($C$328,"INC_BEF_XO_ITEMS_TO_NET_SALES","FQ3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351" t="e">
        <f ca="1">_xll.BDH($C$328,"PROF_MARGIN","FQ3 2018","FQ3 2018","Currency=INR","Period=FQ","BEST_FPERIOD_OVERRIDE=FQ","FILING_STATUS=OR","EQY_CONSOLIDATED=Y","FA_ADJUSTED=GAAP","Sort=A","Dates=H","DateFormat=P","Fill=—","Direction=H","UseDPDF=Y")</f>
        <v>#NAME?</v>
      </c>
      <c r="P351" t="e">
        <f ca="1">_xll.BDH($C$328,"NET_INCOME_TO_COMMON_MARGIN","FQ3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351" t="e">
        <f ca="1">_xll.BDH($C$328,"EFF_TAX_RATE","FQ3 2018","FQ3 2018","Currency=INR","Period=FQ","BEST_FPERIOD_OVERRIDE=FQ","FILING_STATUS=OR","EQY_CONSOLIDATED=Y","FA_ADJUSTED=GAAP","Sort=A","Dates=H","DateFormat=P","Fill=—","Direction=H","UseDPDF=Y")</f>
        <v>#NAME?</v>
      </c>
      <c r="R351" t="e">
        <f ca="1">_xll.BDH($C$328,"DVD_PAYOUT_RATIO","FQ3 2018","FQ3 2018","Currency=INR","Period=FQ","BEST_FPERIOD_OVERRIDE=FQ","FILING_STATUS=OR","EQY_CONSOLIDATED=Y","FA_ADJUSTED=GAAP","Sort=A","Dates=H","DateFormat=P","Fill=—","Direction=H","UseDPDF=Y")</f>
        <v>#NAME?</v>
      </c>
      <c r="S351" t="e">
        <f ca="1">_xll.BDH($C$328,"SUSTAIN_GROWTH_RT","FQ3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351" s="2" t="e">
        <f ca="1">_xll.BDH($C$328,"SALES_GROWTH","FQ3 2018","FQ3 2018","Currency=INR","Period=FQ","BEST_FPERIOD_OVERRIDE=FQ","FILING_STATUS=OR","EQY_CONSOLIDATED=Y","FA_ADJUSTED=GAAP","Sort=A","Dates=H","DateFormat=P","Fill=—","Direction=H","UseDPDF=Y")</f>
        <v>#NAME?</v>
      </c>
      <c r="U351" s="2" t="e">
        <f ca="1">_xll.BDH($C$328,"EBITDA_GROWTH","FQ3 2018","FQ3 2018","Currency=INR","Period=FQ","BEST_FPERIOD_OVERRIDE=FQ","FILING_STATUS=OR","EQY_CONSOLIDATED=Y","FA_ADJUSTED=GAAP","Sort=A","Dates=H","DateFormat=P","Fill=—","Direction=H","UseDPDF=Y")</f>
        <v>#NAME?</v>
      </c>
      <c r="V351" s="2" t="e">
        <f ca="1">_xll.BDH($C$328,"OPER_INC_GROWTH","FQ3 2018","FQ3 2018","Currency=INR","Period=FQ","BEST_FPERIOD_OVERRIDE=FQ","FILING_STATUS=OR","EQY_CONSOLIDATED=Y","FA_ADJUSTED=GAAP","Sort=A","Dates=H","DateFormat=P","Fill=—","Direction=H","UseDPDF=Y")</f>
        <v>#NAME?</v>
      </c>
      <c r="W351" s="2" t="e">
        <f ca="1">_xll.BDH($C$328,"EARN_FOR_COM_GROWTH","FQ3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351" s="2" t="e">
        <f ca="1">_xll.BDH($C$328,"DILUTED_EPS_AFT_XO_ITEMS_GROWTH","FQ3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351" s="2" t="e">
        <f ca="1">_xll.BDH($C$328,"DIVIDEND_PER_SHARE_1_YEAR_GROWTH","FQ3 2018","FQ3 2018","Currency=INR","Period=FQ","BEST_FPERIOD_OVERRIDE=FQ","FILING_STATUS=OR","EQY_CONSOLIDATED=Y","Sort=A","Dates=H","DateFormat=P","Fill=—","Direction=H","UseDPDF=Y")</f>
        <v>#NAME?</v>
      </c>
      <c r="Z351" s="2" t="e">
        <f ca="1">_xll.BDH($C$328,"ACCOUNTS_RECEIVABLE_GROWTH","FQ3 2018","FQ3 2018","Currency=INR","Period=FQ","BEST_FPERIOD_OVERRIDE=FQ","FILING_STATUS=OR","EQY_CONSOLIDATED=Y","Sort=A","Dates=H","DateFormat=P","Fill=—","Direction=H","UseDPDF=Y")</f>
        <v>#NAME?</v>
      </c>
      <c r="AA351" s="2" t="e">
        <f ca="1">_xll.BDH($C$328,"INVENTORY_GROWTH","FQ3 2018","FQ3 2018","Currency=INR","Period=FQ","BEST_FPERIOD_OVERRIDE=FQ","FILING_STATUS=OR","EQY_CONSOLIDATED=Y","Sort=A","Dates=H","DateFormat=P","Fill=—","Direction=H","UseDPDF=Y")</f>
        <v>#NAME?</v>
      </c>
      <c r="AB351" s="2" t="e">
        <f ca="1">_xll.BDH($C$328,"NET_FIXED_ASSETS_1_YEAR_GROWTH","FQ3 2018","FQ3 2018","Currency=INR","Period=FQ","BEST_FPERIOD_OVERRIDE=FQ","FILING_STATUS=OR","EQY_CONSOLIDATED=Y","Sort=A","Dates=H","DateFormat=P","Fill=—","Direction=H","UseDPDF=Y")</f>
        <v>#NAME?</v>
      </c>
      <c r="AC351" s="2" t="e">
        <f ca="1">_xll.BDH($C$328,"ASSET_GROWTH","FQ3 2018","FQ3 2018","Currency=INR","Period=FQ","BEST_FPERIOD_OVERRIDE=FQ","FILING_STATUS=OR","EQY_CONSOLIDATED=Y","Sort=A","Dates=H","DateFormat=P","Fill=—","Direction=H","UseDPDF=Y")</f>
        <v>#NAME?</v>
      </c>
      <c r="AD351" s="2" t="e">
        <f ca="1">_xll.BDH($C$328,"MODIFIED_WORK_CAP_GROWTH","FQ3 2018","FQ3 2018","Currency=INR","Period=FQ","BEST_FPERIOD_OVERRIDE=FQ","FILING_STATUS=OR","EQY_CONSOLIDATED=Y","Sort=A","Dates=H","DateFormat=P","Fill=—","Direction=H","UseDPDF=Y")</f>
        <v>#NAME?</v>
      </c>
      <c r="AE351" s="2" t="e">
        <f ca="1">_xll.BDH($C$328,"WORK_CAP_GROWTH","FQ3 2018","FQ3 2018","Currency=INR","Period=FQ","BEST_FPERIOD_OVERRIDE=FQ","FILING_STATUS=OR","EQY_CONSOLIDATED=Y","Sort=A","Dates=H","DateFormat=P","Fill=—","Direction=H","UseDPDF=Y")</f>
        <v>#NAME?</v>
      </c>
      <c r="AF351" s="2" t="e">
        <f ca="1">_xll.BDH($C$328,"ACCOUNTS_PAYABLE_GROWTH_1YR","FQ3 2018","FQ3 2018","Currency=INR","Period=FQ","BEST_FPERIOD_OVERRIDE=FQ","FILING_STATUS=OR","EQY_CONSOLIDATED=Y","Sort=A","Dates=H","DateFormat=P","Fill=—","Direction=H","UseDPDF=Y")</f>
        <v>#NAME?</v>
      </c>
      <c r="AG351" s="2" t="e">
        <f ca="1">_xll.BDH($C$328,"SHORT_TERM_DEBT_1_YEAR_GROWTH","FQ3 2018","FQ3 2018","Currency=INR","Period=FQ","BEST_FPERIOD_OVERRIDE=FQ","FILING_STATUS=OR","EQY_CONSOLIDATED=Y","Sort=A","Dates=H","DateFormat=P","Fill=—","Direction=H","UseDPDF=Y")</f>
        <v>#NAME?</v>
      </c>
      <c r="AH351" s="2" t="e">
        <f ca="1">_xll.BDH($C$328,"TOTAL_DEBT_1_YEAR_GROWTH","FQ3 2018","FQ3 2018","Currency=INR","Period=FQ","BEST_FPERIOD_OVERRIDE=FQ","FILING_STATUS=OR","EQY_CONSOLIDATED=Y","Sort=A","Dates=H","DateFormat=P","Fill=—","Direction=H","UseDPDF=Y")</f>
        <v>#NAME?</v>
      </c>
      <c r="AI351" s="2" t="e">
        <f ca="1">_xll.BDH($C$328,"TOTAL_EQUITY_1_YEAR_GROWTH","FQ3 2018","FQ3 2018","Currency=INR","Period=FQ","BEST_FPERIOD_OVERRIDE=FQ","FILING_STATUS=OR","EQY_CONSOLIDATED=Y","Sort=A","Dates=H","DateFormat=P","Fill=—","Direction=H","UseDPDF=Y")</f>
        <v>#NAME?</v>
      </c>
      <c r="AJ351" s="2" t="e">
        <f ca="1">_xll.BDH($C$328,"GROWTH_IN_CAP","FQ3 2018","FQ3 2018","Currency=INR","Period=FQ","BEST_FPERIOD_OVERRIDE=FQ","FILING_STATUS=OR","EQY_CONSOLIDATED=Y","Sort=A","Dates=H","DateFormat=P","Fill=—","Direction=H","UseDPDF=Y")</f>
        <v>#NAME?</v>
      </c>
      <c r="AK351" s="2" t="e">
        <f ca="1">_xll.BDH($C$328,"BVPS_GROWTH","FQ3 2018","FQ3 2018","Currency=INR","Period=FQ","BEST_FPERIOD_OVERRIDE=FQ","FILING_STATUS=OR","EQY_CONSOLIDATED=Y","Sort=A","Dates=H","DateFormat=P","Fill=—","Direction=H","UseDPDF=Y")</f>
        <v>#NAME?</v>
      </c>
      <c r="AL351" s="2" t="e">
        <f ca="1">_xll.BDH($C$328,"CASH_FLOW_GROWTH","FQ3 2018","FQ3 2018","Currency=INR","Period=FQ","BEST_FPERIOD_OVERRIDE=FQ","FILING_STATUS=OR","EQY_CONSOLIDATED=Y","Sort=A","Dates=H","DateFormat=P","Fill=—","Direction=H","UseDPDF=Y")</f>
        <v>#NAME?</v>
      </c>
      <c r="AM351" s="2" t="e">
        <f ca="1">_xll.BDH($C$328,"GEO_GROW_NET_SALES","FQ3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351" s="2" t="e">
        <f ca="1">_xll.BDH($C$328,"GEO_GROW_EBITDA","FQ3 2018","FQ3 2018","Currency=INR","Period=FQ","BEST_FPERIOD_OVERRIDE=FQ","FILING_STATUS=OR","EQY_CONSOLIDATED=Y","FA_ADJUSTED=GAAP","Sort=A","Dates=H","DateFormat=P","Fill=—","Direction=H","UseDPDF=Y")</f>
        <v>#NAME?</v>
      </c>
      <c r="AO351" s="2" t="e">
        <f ca="1">_xll.BDH($C$328,"GEO_GROW_OPER_INC","FQ3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351" s="2" t="e">
        <f ca="1">_xll.BDH($C$328,"NET_INCOME_TO_COMMON_5_YR_GROWTH","FQ3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351" s="2" t="e">
        <f ca="1">_xll.BDH($C$328,"5Y_GEO_GROWTH_DILUTED_EPS","FQ3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351" s="2" t="e">
        <f ca="1">_xll.BDH($C$328,"GEO_GROW_DVD_PER_SH","FQ3 2018","FQ3 2018","Currency=INR","Period=FQ","BEST_FPERIOD_OVERRIDE=FQ","FILING_STATUS=OR","EQY_CONSOLIDATED=Y","Sort=A","Dates=H","DateFormat=P","Fill=—","Direction=H","UseDPDF=Y")</f>
        <v>#NAME?</v>
      </c>
      <c r="AS351" s="2" t="e">
        <f ca="1">_xll.BDH($C$328,"ACCOUNTS_RECEIVABLE_5_YR_GROWTH","FQ3 2018","FQ3 2018","Currency=INR","Period=FQ","BEST_FPERIOD_OVERRIDE=FQ","FILING_STATUS=OR","EQY_CONSOLIDATED=Y","Sort=A","Dates=H","DateFormat=P","Fill=—","Direction=H","UseDPDF=Y")</f>
        <v>#NAME?</v>
      </c>
      <c r="AT351" s="2" t="e">
        <f ca="1">_xll.BDH($C$328,"INVENTORY_5_YEAR_GROWTH","FQ3 2018","FQ3 2018","Currency=INR","Period=FQ","BEST_FPERIOD_OVERRIDE=FQ","FILING_STATUS=OR","EQY_CONSOLIDATED=Y","Sort=A","Dates=H","DateFormat=P","Fill=—","Direction=H","UseDPDF=Y")</f>
        <v>#NAME?</v>
      </c>
      <c r="AU351" s="2" t="e">
        <f ca="1">_xll.BDH($C$328,"NET_FIXED_ASSETS_5_YEAR_GROWTH","FQ3 2018","FQ3 2018","Currency=INR","Period=FQ","BEST_FPERIOD_OVERRIDE=FQ","FILING_STATUS=OR","EQY_CONSOLIDATED=Y","Sort=A","Dates=H","DateFormat=P","Fill=—","Direction=H","UseDPDF=Y")</f>
        <v>#NAME?</v>
      </c>
      <c r="AV351" s="2" t="e">
        <f ca="1">_xll.BDH($C$328,"GEO_GROW_TOT_ASSET","FQ3 2018","FQ3 2018","Currency=INR","Period=FQ","BEST_FPERIOD_OVERRIDE=FQ","FILING_STATUS=OR","EQY_CONSOLIDATED=Y","Sort=A","Dates=H","DateFormat=P","Fill=—","Direction=H","UseDPDF=Y")</f>
        <v>#NAME?</v>
      </c>
      <c r="AW351" s="2" t="e">
        <f ca="1">_xll.BDH($C$328,"MODIFIED_WORKING_CPTL_5YR_GRWTH","FQ3 2018","FQ3 2018","Currency=INR","Period=FQ","BEST_FPERIOD_OVERRIDE=FQ","FILING_STATUS=OR","EQY_CONSOLIDATED=Y","Sort=A","Dates=H","DateFormat=P","Fill=—","Direction=H","UseDPDF=Y")</f>
        <v>#NAME?</v>
      </c>
      <c r="AX351" s="2" t="e">
        <f ca="1">_xll.BDH($C$328,"WORKING_CAPITAL_5_YEAR_GROWTH","FQ3 2018","FQ3 2018","Currency=INR","Period=FQ","BEST_FPERIOD_OVERRIDE=FQ","FILING_STATUS=OR","EQY_CONSOLIDATED=Y","Sort=A","Dates=H","DateFormat=P","Fill=—","Direction=H","UseDPDF=Y")</f>
        <v>#NAME?</v>
      </c>
      <c r="AY351" s="2" t="e">
        <f ca="1">_xll.BDH($C$328,"ACCOUNTS_PAYABLE_5_YEAR_GROWTH","FQ3 2018","FQ3 2018","Currency=INR","Period=FQ","BEST_FPERIOD_OVERRIDE=FQ","FILING_STATUS=OR","EQY_CONSOLIDATED=Y","Sort=A","Dates=H","DateFormat=P","Fill=—","Direction=H","UseDPDF=Y")</f>
        <v>#NAME?</v>
      </c>
      <c r="AZ351" s="2" t="e">
        <f ca="1">_xll.BDH($C$328,"SHORT_TERM_DEBT_5_YEAR_GROWTH","FQ3 2018","FQ3 2018","Currency=INR","Period=FQ","BEST_FPERIOD_OVERRIDE=FQ","FILING_STATUS=OR","EQY_CONSOLIDATED=Y","Sort=A","Dates=H","DateFormat=P","Fill=—","Direction=H","UseDPDF=Y")</f>
        <v>#NAME?</v>
      </c>
      <c r="BA351" s="2" t="e">
        <f ca="1">_xll.BDH($C$328,"TOTAL_DEBT_5_YEAR_GROWTH","FQ3 2018","FQ3 2018","Currency=INR","Period=FQ","BEST_FPERIOD_OVERRIDE=FQ","FILING_STATUS=OR","EQY_CONSOLIDATED=Y","Sort=A","Dates=H","DateFormat=P","Fill=—","Direction=H","UseDPDF=Y")</f>
        <v>#NAME?</v>
      </c>
      <c r="BB351" s="2" t="e">
        <f ca="1">_xll.BDH($C$328,"GEO_GROW_TOT_SHRHLDR_EQY","FQ3 2018","FQ3 2018","Currency=INR","Period=FQ","BEST_FPERIOD_OVERRIDE=FQ","FILING_STATUS=OR","EQY_CONSOLIDATED=Y","Sort=A","Dates=H","DateFormat=P","Fill=—","Direction=H","UseDPDF=Y")</f>
        <v>#NAME?</v>
      </c>
      <c r="BC351" s="2" t="e">
        <f ca="1">_xll.BDH($C$328,"TOTAL_CAPITAL_5_YEAR_GROWTH","FQ3 2018","FQ3 2018","Currency=INR","Period=FQ","BEST_FPERIOD_OVERRIDE=FQ","FILING_STATUS=OR","EQY_CONSOLIDATED=Y","Sort=A","Dates=H","DateFormat=P","Fill=—","Direction=H","UseDPDF=Y")</f>
        <v>#NAME?</v>
      </c>
      <c r="BD351" s="2" t="e">
        <f ca="1">_xll.BDH($C$328,"GEO_GROW_BOOK_VAL","FQ3 2018","FQ3 2018","Currency=INR","Period=FQ","BEST_FPERIOD_OVERRIDE=FQ","FILING_STATUS=OR","EQY_CONSOLIDATED=Y","Sort=A","Dates=H","DateFormat=P","Fill=—","Direction=H","UseDPDF=Y")</f>
        <v>#NAME?</v>
      </c>
      <c r="BE351" s="2" t="e">
        <f ca="1">_xll.BDH($C$328,"GEO_GROW_CASH_OPER_ACT","FQ3 2018","FQ3 2018","Currency=INR","Period=FQ","BEST_FPERIOD_OVERRIDE=FQ","FILING_STATUS=OR","EQY_CONSOLIDATED=Y","Sort=A","Dates=H","DateFormat=P","Fill=—","Direction=H","UseDPDF=Y")</f>
        <v>#NAME?</v>
      </c>
      <c r="BF351" s="2" t="e">
        <f ca="1">_xll.BDH($C$328,"REVENUE_SEQUENTIAL_GROWTH","FQ3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351" s="2" t="e">
        <f ca="1">_xll.BDH($C$328,"EBITDA_SEQUENTIAL_GROWTH","FQ3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351" s="2" t="e">
        <f ca="1">_xll.BDH($C$328,"OPERATING_INCOME_SEQ_GROWTH","FQ3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351" s="2" t="e">
        <f ca="1">_xll.BDH($C$328,"NET_INCOME_TO_COMMON_SEQ_GROWTH","FQ3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351" s="2" t="e">
        <f ca="1">_xll.BDH($C$328,"EPS_DILUTED_SEQUENTIAL_GROWTH","FQ3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351" s="2" t="e">
        <f ca="1">_xll.BDH($C$328,"DPS_SEQUENTIAL_GROWTH","FQ3 2018","FQ3 2018","Currency=INR","Period=FQ","BEST_FPERIOD_OVERRIDE=FQ","FILING_STATUS=OR","EQY_CONSOLIDATED=Y","Sort=A","Dates=H","DateFormat=P","Fill=—","Direction=H","UseDPDF=Y")</f>
        <v>#NAME?</v>
      </c>
      <c r="BL351" s="2" t="e">
        <f ca="1">_xll.BDH($C$328,"ACCOUNTS_RECEIVABLE_SEQ_GROWTH","FQ3 2018","FQ3 2018","Currency=INR","Period=FQ","BEST_FPERIOD_OVERRIDE=FQ","FILING_STATUS=OR","EQY_CONSOLIDATED=Y","Sort=A","Dates=H","DateFormat=P","Fill=—","Direction=H","UseDPDF=Y")</f>
        <v>#NAME?</v>
      </c>
      <c r="BM351" s="2" t="e">
        <f ca="1">_xll.BDH($C$328,"INVENTORY_SEQUENTIAL_GROWTH","FQ3 2018","FQ3 2018","Currency=INR","Period=FQ","BEST_FPERIOD_OVERRIDE=FQ","FILING_STATUS=OR","EQY_CONSOLIDATED=Y","Sort=A","Dates=H","DateFormat=P","Fill=—","Direction=H","UseDPDF=Y")</f>
        <v>#NAME?</v>
      </c>
      <c r="BN351" s="2" t="e">
        <f ca="1">_xll.BDH($C$328,"FIXED_ASSETS_SEQUENTIAL_GROWTH","FQ3 2018","FQ3 2018","Currency=INR","Period=FQ","BEST_FPERIOD_OVERRIDE=FQ","FILING_STATUS=OR","EQY_CONSOLIDATED=Y","Sort=A","Dates=H","DateFormat=P","Fill=—","Direction=H","UseDPDF=Y")</f>
        <v>#NAME?</v>
      </c>
      <c r="BO351" s="2" t="e">
        <f ca="1">_xll.BDH($C$328,"TOTAL_ASSETS_SEQUENTIAL_GROWTH","FQ3 2018","FQ3 2018","Currency=INR","Period=FQ","BEST_FPERIOD_OVERRIDE=FQ","FILING_STATUS=OR","EQY_CONSOLIDATED=Y","Sort=A","Dates=H","DateFormat=P","Fill=—","Direction=H","UseDPDF=Y")</f>
        <v>#NAME?</v>
      </c>
      <c r="BP351" s="2" t="e">
        <f ca="1">_xll.BDH($C$328,"MODIFIED_WORKING_CPTL_SEQ_GRWTH","FQ3 2018","FQ3 2018","Currency=INR","Period=FQ","BEST_FPERIOD_OVERRIDE=FQ","FILING_STATUS=OR","EQY_CONSOLIDATED=Y","Sort=A","Dates=H","DateFormat=P","Fill=—","Direction=H","UseDPDF=Y")</f>
        <v>#NAME?</v>
      </c>
      <c r="BQ351" s="2" t="e">
        <f ca="1">_xll.BDH($C$328,"WORKING_CAPITAL_SEQ_GROWTH","FQ3 2018","FQ3 2018","Currency=INR","Period=FQ","BEST_FPERIOD_OVERRIDE=FQ","FILING_STATUS=OR","EQY_CONSOLIDATED=Y","Sort=A","Dates=H","DateFormat=P","Fill=—","Direction=H","UseDPDF=Y")</f>
        <v>#NAME?</v>
      </c>
      <c r="BR351" s="2" t="e">
        <f ca="1">_xll.BDH($C$328,"ACCOUNTS_PAYABLE_SEQ_GROWTH","FQ3 2018","FQ3 2018","Currency=INR","Period=FQ","BEST_FPERIOD_OVERRIDE=FQ","FILING_STATUS=OR","EQY_CONSOLIDATED=Y","Sort=A","Dates=H","DateFormat=P","Fill=—","Direction=H","UseDPDF=Y")</f>
        <v>#NAME?</v>
      </c>
      <c r="BS351" s="2" t="e">
        <f ca="1">_xll.BDH($C$328,"ST_DEBT_SEQUENTIAL_GROWTH","FQ3 2018","FQ3 2018","Currency=INR","Period=FQ","BEST_FPERIOD_OVERRIDE=FQ","FILING_STATUS=OR","EQY_CONSOLIDATED=Y","Sort=A","Dates=H","DateFormat=P","Fill=—","Direction=H","UseDPDF=Y")</f>
        <v>#NAME?</v>
      </c>
      <c r="BT351" s="2" t="e">
        <f ca="1">_xll.BDH($C$328,"TOTAL_DEBT_SEQUENTIAL_GROWTH","FQ3 2018","FQ3 2018","Currency=INR","Period=FQ","BEST_FPERIOD_OVERRIDE=FQ","FILING_STATUS=OR","EQY_CONSOLIDATED=Y","Sort=A","Dates=H","DateFormat=P","Fill=—","Direction=H","UseDPDF=Y")</f>
        <v>#NAME?</v>
      </c>
      <c r="BU351" s="2" t="e">
        <f ca="1">_xll.BDH($C$328,"TOTAL_EQUITY_SEQUENTIAL_GROWTH","FQ3 2018","FQ3 2018","Currency=INR","Period=FQ","BEST_FPERIOD_OVERRIDE=FQ","FILING_STATUS=OR","EQY_CONSOLIDATED=Y","Sort=A","Dates=H","DateFormat=P","Fill=—","Direction=H","UseDPDF=Y")</f>
        <v>#NAME?</v>
      </c>
      <c r="BV351" s="2" t="e">
        <f ca="1">_xll.BDH($C$328,"TOTAL_CAPITAL_SEQUENTIAL_GROWTH","FQ3 2018","FQ3 2018","Currency=INR","Period=FQ","BEST_FPERIOD_OVERRIDE=FQ","FILING_STATUS=OR","EQY_CONSOLIDATED=Y","Sort=A","Dates=H","DateFormat=P","Fill=—","Direction=H","UseDPDF=Y")</f>
        <v>#NAME?</v>
      </c>
      <c r="BW351" s="2" t="e">
        <f ca="1">_xll.BDH($C$328,"BPS_SEQUENTIAL_GROWTH","FQ3 2018","FQ3 2018","Currency=INR","Period=FQ","BEST_FPERIOD_OVERRIDE=FQ","FILING_STATUS=OR","EQY_CONSOLIDATED=Y","Sort=A","Dates=H","DateFormat=P","Fill=—","Direction=H","UseDPDF=Y")</f>
        <v>#NAME?</v>
      </c>
      <c r="BX351" s="2" t="e">
        <f ca="1">_xll.BDH($C$328,"CFO_SEQUENTIAL_GROWTH","FQ3 2018","FQ3 2018","Currency=INR","Period=FQ","BEST_FPERIOD_OVERRIDE=FQ","FILING_STATUS=OR","EQY_CONSOLIDATED=Y","Sort=A","Dates=H","DateFormat=P","Fill=—","Direction=H","UseDPDF=Y")</f>
        <v>#NAME?</v>
      </c>
      <c r="BY351" s="3" t="e">
        <f ca="1">_xll.BDH($C$328,"SHORT_AND_LONG_TERM_DEBT","FQ3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351" s="3" t="e">
        <f ca="1">_xll.BDH($C$328,"BS_ST_BORROW","FQ3 2018","FQ3 2018","Currency=INR","Period=FQ","BEST_FPERIOD_OVERRIDE=FQ","FILING_STATUS=OR","EQY_CONSOLIDATED=Y","SCALING_FORMAT=MLN","Sort=A","Dates=H","DateFormat=P","Fill=—","Direction=H","UseDPDF=Y")</f>
        <v>#NAME?</v>
      </c>
      <c r="CA351" s="3" t="e">
        <f ca="1">_xll.BDH($C$328,"BS_LT_BORROW","FQ3 2018","FQ3 2018","Currency=INR","Period=FQ","BEST_FPERIOD_OVERRIDE=FQ","FILING_STATUS=OR","EQY_CONSOLIDATED=Y","SCALING_FORMAT=MLN","Sort=A","Dates=H","DateFormat=P","Fill=—","Direction=H","UseDPDF=Y")</f>
        <v>#NAME?</v>
      </c>
      <c r="CB351" s="2" t="e">
        <f ca="1">_xll.BDH($C$328,"TOT_DEBT_TO_EBITDA","FQ3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351" s="2" t="e">
        <f ca="1">_xll.BDH($C$328,"NET_DEBT_TO_EBITDA","FQ3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351" s="2" t="e">
        <f ca="1">_xll.BDH($C$328,"TOTAL_DEBT_TO_EBIT","FQ3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351" s="2" t="e">
        <f ca="1">_xll.BDH($C$328,"NET_DEBT_TO_EBIT","FQ3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351" s="2" t="e">
        <f ca="1">_xll.BDH($C$328,"EBITDA_TO_INTEREST_EXPN","FQ3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351" s="2" t="e">
        <f ca="1">_xll.BDH($C$328,"COM_EQY_TO_TOT_ASSET","FQ3 2018","FQ3 2018","Currency=INR","Period=FQ","BEST_FPERIOD_OVERRIDE=FQ","FILING_STATUS=OR","EQY_CONSOLIDATED=Y","Sort=A","Dates=H","DateFormat=P","Fill=—","Direction=H","UseDPDF=Y")</f>
        <v>#NAME?</v>
      </c>
      <c r="CH351" s="2" t="e">
        <f ca="1">_xll.BDH($C$328,"LT_DEBT_TO_TOT_EQY","FQ3 2018","FQ3 2018","Currency=INR","Period=FQ","BEST_FPERIOD_OVERRIDE=FQ","FILING_STATUS=OR","EQY_CONSOLIDATED=Y","Sort=A","Dates=H","DateFormat=P","Fill=—","Direction=H","UseDPDF=Y")</f>
        <v>#NAME?</v>
      </c>
      <c r="CI351" s="2" t="e">
        <f ca="1">_xll.BDH($C$328,"LT_DEBT_TO_TOT_CAP","FQ3 2018","FQ3 2018","Currency=INR","Period=FQ","BEST_FPERIOD_OVERRIDE=FQ","FILING_STATUS=OR","EQY_CONSOLIDATED=Y","Sort=A","Dates=H","DateFormat=P","Fill=—","Direction=H","UseDPDF=Y")</f>
        <v>#NAME?</v>
      </c>
      <c r="CJ351" s="2" t="e">
        <f ca="1">_xll.BDH($C$328,"LT_DEBT_TO_TOT_ASSET","FQ3 2018","FQ3 2018","Currency=INR","Period=FQ","BEST_FPERIOD_OVERRIDE=FQ","FILING_STATUS=OR","EQY_CONSOLIDATED=Y","Sort=A","Dates=H","DateFormat=P","Fill=—","Direction=H","UseDPDF=Y")</f>
        <v>#NAME?</v>
      </c>
      <c r="CK351" s="2" t="e">
        <f ca="1">_xll.BDH($C$328,"TOT_DEBT_TO_TOT_EQY","FQ3 2018","FQ3 2018","Currency=INR","Period=FQ","BEST_FPERIOD_OVERRIDE=FQ","FILING_STATUS=OR","EQY_CONSOLIDATED=Y","Sort=A","Dates=H","DateFormat=P","Fill=—","Direction=H","UseDPDF=Y")</f>
        <v>#NAME?</v>
      </c>
      <c r="CL351" s="2" t="e">
        <f ca="1">_xll.BDH($C$328,"TOT_DEBT_TO_TOT_CAP","FQ3 2018","FQ3 2018","Currency=INR","Period=FQ","BEST_FPERIOD_OVERRIDE=FQ","FILING_STATUS=OR","EQY_CONSOLIDATED=Y","Sort=A","Dates=H","DateFormat=P","Fill=—","Direction=H","UseDPDF=Y")</f>
        <v>#NAME?</v>
      </c>
      <c r="CM351" s="2" t="e">
        <f ca="1">_xll.BDH($C$328,"TOT_DEBT_TO_TOT_ASSET","FQ3 2018","FQ3 2018","Currency=INR","Period=FQ","BEST_FPERIOD_OVERRIDE=FQ","FILING_STATUS=OR","EQY_CONSOLIDATED=Y","Sort=A","Dates=H","DateFormat=P","Fill=—","Direction=H","UseDPDF=Y")</f>
        <v>#NAME?</v>
      </c>
      <c r="CN351" s="2" t="e">
        <f ca="1">_xll.BDH($C$328,"NET_DEBT_TO_SHRHLDR_EQTY","FQ3 2018","FQ3 2018","Currency=INR","Period=FQ","BEST_FPERIOD_OVERRIDE=FQ","FILING_STATUS=OR","EQY_CONSOLIDATED=Y","Sort=A","Dates=H","DateFormat=P","Fill=—","Direction=H","UseDPDF=Y")</f>
        <v>#NAME?</v>
      </c>
      <c r="CO351" s="2" t="e">
        <f ca="1">_xll.BDH($C$328,"NET_DEBT_%_CAPITAL","FQ3 2018","FQ3 2018","Currency=INR","Period=FQ","BEST_FPERIOD_OVERRIDE=FQ","FILING_STATUS=OR","EQY_CONSOLIDATED=Y","Sort=A","Dates=H","DateFormat=P","Fill=—","Direction=H","UseDPDF=Y")</f>
        <v>#NAME?</v>
      </c>
      <c r="CP351" s="3" t="e">
        <f ca="1">_xll.BDH($C$328,"EBITDA","FQ3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351" s="3" t="e">
        <f ca="1">_xll.BDH($C$328,"EBITDA_AFTER_CAPEX","FQ3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351" s="3" t="e">
        <f ca="1">_xll.BDH($C$328,"IS_OPER_INC","FQ3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351" s="2" t="e">
        <f ca="1">_xll.BDH($C$328,"CASH_RATIO","FQ3 2018","FQ3 2018","Currency=INR","Period=FQ","BEST_FPERIOD_OVERRIDE=FQ","FILING_STATUS=OR","EQY_CONSOLIDATED=Y","Sort=A","Dates=H","DateFormat=P","Fill=—","Direction=H","UseDPDF=Y")</f>
        <v>#NAME?</v>
      </c>
      <c r="CT351" s="2" t="e">
        <f ca="1">_xll.BDH($C$328,"CUR_RATIO","FQ3 2018","FQ3 2018","Currency=INR","Period=FQ","BEST_FPERIOD_OVERRIDE=FQ","FILING_STATUS=OR","EQY_CONSOLIDATED=Y","Sort=A","Dates=H","DateFormat=P","Fill=—","Direction=H","UseDPDF=Y")</f>
        <v>#NAME?</v>
      </c>
      <c r="CU351" s="2" t="e">
        <f ca="1">_xll.BDH($C$328,"QUICK_RATIO","FQ3 2018","FQ3 2018","Currency=INR","Period=FQ","BEST_FPERIOD_OVERRIDE=FQ","FILING_STATUS=OR","EQY_CONSOLIDATED=Y","Sort=A","Dates=H","DateFormat=P","Fill=—","Direction=H","UseDPDF=Y")</f>
        <v>#NAME?</v>
      </c>
      <c r="CV351" s="2" t="e">
        <f ca="1">_xll.BDH($C$328,"ALTMAN_Z_SCORE","FQ3 2018","FQ3 2018","Currency=INR","Period=FQ","BEST_FPERIOD_OVERRIDE=FQ","FILING_STATUS=OR","EQY_CONSOLIDATED=Y","Sort=A","Dates=H","DateFormat=P","Fill=—","Direction=H","UseDPDF=Y")</f>
        <v>#NAME?</v>
      </c>
      <c r="CW351" s="4" t="e">
        <f ca="1">_xll.BDH($C$328,"ACCT_RCV_TURN","FQ3 2018","FQ3 2018","Currency=INR","Period=FQ","BEST_FPERIOD_OVERRIDE=FQ","FILING_STATUS=OR","EQY_CONSOLIDATED=Y","FA_ADJUSTED=GAAP","Sort=A","Dates=H","DateFormat=P","Fill=—","Direction=H","UseDPDF=Y")</f>
        <v>#NAME?</v>
      </c>
      <c r="CX351" s="2" t="e">
        <f ca="1">_xll.BDH($C$328,"ACCT_RCV_DAYS","FQ3 2018","FQ3 2018","Currency=INR","Period=FQ","BEST_FPERIOD_OVERRIDE=FQ","FILING_STATUS=OR","EQY_CONSOLIDATED=Y","FA_ADJUSTED=GAAP","Sort=A","Dates=H","DateFormat=P","Fill=—","Direction=H","UseDPDF=Y")</f>
        <v>#NAME?</v>
      </c>
      <c r="CY351" s="4" t="e">
        <f ca="1">_xll.BDH($C$328,"INVENT_TURN","FQ3 2018","FQ3 2018","Currency=INR","Period=FQ","BEST_FPERIOD_OVERRIDE=FQ","FILING_STATUS=OR","EQY_CONSOLIDATED=Y","FA_ADJUSTED=GAAP","Sort=A","Dates=H","DateFormat=P","Fill=—","Direction=H","UseDPDF=Y")</f>
        <v>#NAME?</v>
      </c>
      <c r="CZ351" s="2" t="e">
        <f ca="1">_xll.BDH($C$328,"INVENT_DAYS","FQ3 2018","FQ3 2018","Currency=INR","Period=FQ","BEST_FPERIOD_OVERRIDE=FQ","FILING_STATUS=OR","EQY_CONSOLIDATED=Y","FA_ADJUSTED=GAAP","Sort=A","Dates=H","DateFormat=P","Fill=—","Direction=H","UseDPDF=Y")</f>
        <v>#NAME?</v>
      </c>
      <c r="DA351" s="4" t="e">
        <f ca="1">_xll.BDH($C$328,"ACCOUNTS_PAYABLE_TURNOVER","FQ3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351" s="2" t="e">
        <f ca="1">_xll.BDH($C$328,"ACCOUNTS_PAYABLE_TURNOVER_DAYS","FQ3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351" s="4" t="e">
        <f ca="1">_xll.BDH($C$328,"CASH_CONVERSION_CYCLE","FQ3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351" s="4" t="e">
        <f ca="1">_xll.BDH($C$328,"INV_TO_CASH_DAYS","FQ3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351" s="5" t="e">
        <f ca="1">_xll.BDH($C$328,"BS_INVENTORIES","FQ3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351" s="3" t="e">
        <f ca="1">_xll.BDH($C$328,"INVTRY_RAW_MATERIALS","FQ3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351" s="3" t="e">
        <f ca="1">_xll.BDH($C$328,"INVTRY_IN_PROGRESS","FQ3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351" s="3" t="e">
        <f ca="1">_xll.BDH($C$328,"INVTRY_FINISHED_GOODS","FQ3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351" s="3" t="e">
        <f ca="1">_xll.BDH($C$328,"BS_OTHER_INV","FQ3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352" spans="1:113" x14ac:dyDescent="0.3">
      <c r="A352" s="6"/>
      <c r="B352" s="6"/>
      <c r="C352" s="6"/>
      <c r="D352" s="6"/>
      <c r="E352" t="s">
        <v>81</v>
      </c>
      <c r="F352" t="e">
        <f ca="1">_xll.BDH($C$328,"RETURN_COM_EQY","FQ4 2018","FQ4 2018","Currency=INR","Period=FQ","BEST_FPERIOD_OVERRIDE=FQ","FILING_STATUS=OR","EQY_CONSOLIDATED=Y","FA_ADJUSTED=GAAP","Sort=A","Dates=H","DateFormat=P","Fill=—","Direction=H","UseDPDF=Y")</f>
        <v>#NAME?</v>
      </c>
      <c r="G352" t="e">
        <f ca="1">_xll.BDH($C$328,"RETURN_ON_ASSET","FQ4 2018","FQ4 2018","Currency=INR","Period=FQ","BEST_FPERIOD_OVERRIDE=FQ","FILING_STATUS=OR","EQY_CONSOLIDATED=Y","FA_ADJUSTED=GAAP","Sort=A","Dates=H","DateFormat=P","Fill=—","Direction=H","UseDPDF=Y")</f>
        <v>#NAME?</v>
      </c>
      <c r="H352" t="e">
        <f ca="1">_xll.BDH($C$328,"RETURN_ON_CAP","FQ4 2018","FQ4 2018","Currency=INR","Period=FQ","BEST_FPERIOD_OVERRIDE=FQ","FILING_STATUS=OR","EQY_CONSOLIDATED=Y","FA_ADJUSTED=GAAP","Sort=A","Dates=H","DateFormat=P","Fill=—","Direction=H","UseDPDF=Y")</f>
        <v>#NAME?</v>
      </c>
      <c r="I352" t="e">
        <f ca="1">_xll.BDH($C$328,"RETURN_ON_INV_CAPITAL","FQ4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352" t="e">
        <f ca="1">_xll.BDH($C$328,"EBITDA_TO_REVENUE","FQ4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352" t="e">
        <f ca="1">_xll.BDH($C$328,"OPER_MARGIN","FQ4 2018","FQ4 2018","Currency=INR","Period=FQ","BEST_FPERIOD_OVERRIDE=FQ","FILING_STATUS=OR","EQY_CONSOLIDATED=Y","FA_ADJUSTED=GAAP","Sort=A","Dates=H","DateFormat=P","Fill=—","Direction=H","UseDPDF=Y")</f>
        <v>#NAME?</v>
      </c>
      <c r="L352" t="e">
        <f ca="1">_xll.BDH($C$328,"INCREMENTAL_OPERATING_MARGIN","FQ4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352" t="e">
        <f ca="1">_xll.BDH($C$328,"PRETAX_INC_TO_NET_SALES","FQ4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352" t="e">
        <f ca="1">_xll.BDH($C$328,"INC_BEF_XO_ITEMS_TO_NET_SALES","FQ4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352" t="e">
        <f ca="1">_xll.BDH($C$328,"PROF_MARGIN","FQ4 2018","FQ4 2018","Currency=INR","Period=FQ","BEST_FPERIOD_OVERRIDE=FQ","FILING_STATUS=OR","EQY_CONSOLIDATED=Y","FA_ADJUSTED=GAAP","Sort=A","Dates=H","DateFormat=P","Fill=—","Direction=H","UseDPDF=Y")</f>
        <v>#NAME?</v>
      </c>
      <c r="P352" t="e">
        <f ca="1">_xll.BDH($C$328,"NET_INCOME_TO_COMMON_MARGIN","FQ4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352" t="e">
        <f ca="1">_xll.BDH($C$328,"EFF_TAX_RATE","FQ4 2018","FQ4 2018","Currency=INR","Period=FQ","BEST_FPERIOD_OVERRIDE=FQ","FILING_STATUS=OR","EQY_CONSOLIDATED=Y","FA_ADJUSTED=GAAP","Sort=A","Dates=H","DateFormat=P","Fill=—","Direction=H","UseDPDF=Y")</f>
        <v>#NAME?</v>
      </c>
      <c r="R352" t="e">
        <f ca="1">_xll.BDH($C$328,"DVD_PAYOUT_RATIO","FQ4 2018","FQ4 2018","Currency=INR","Period=FQ","BEST_FPERIOD_OVERRIDE=FQ","FILING_STATUS=OR","EQY_CONSOLIDATED=Y","FA_ADJUSTED=GAAP","Sort=A","Dates=H","DateFormat=P","Fill=—","Direction=H","UseDPDF=Y")</f>
        <v>#NAME?</v>
      </c>
      <c r="S352" t="e">
        <f ca="1">_xll.BDH($C$328,"SUSTAIN_GROWTH_RT","FQ4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352" s="2" t="e">
        <f ca="1">_xll.BDH($C$328,"SALES_GROWTH","FQ4 2018","FQ4 2018","Currency=INR","Period=FQ","BEST_FPERIOD_OVERRIDE=FQ","FILING_STATUS=OR","EQY_CONSOLIDATED=Y","FA_ADJUSTED=GAAP","Sort=A","Dates=H","DateFormat=P","Fill=—","Direction=H","UseDPDF=Y")</f>
        <v>#NAME?</v>
      </c>
      <c r="U352" s="2" t="e">
        <f ca="1">_xll.BDH($C$328,"EBITDA_GROWTH","FQ4 2018","FQ4 2018","Currency=INR","Period=FQ","BEST_FPERIOD_OVERRIDE=FQ","FILING_STATUS=OR","EQY_CONSOLIDATED=Y","FA_ADJUSTED=GAAP","Sort=A","Dates=H","DateFormat=P","Fill=—","Direction=H","UseDPDF=Y")</f>
        <v>#NAME?</v>
      </c>
      <c r="V352" s="2" t="e">
        <f ca="1">_xll.BDH($C$328,"OPER_INC_GROWTH","FQ4 2018","FQ4 2018","Currency=INR","Period=FQ","BEST_FPERIOD_OVERRIDE=FQ","FILING_STATUS=OR","EQY_CONSOLIDATED=Y","FA_ADJUSTED=GAAP","Sort=A","Dates=H","DateFormat=P","Fill=—","Direction=H","UseDPDF=Y")</f>
        <v>#NAME?</v>
      </c>
      <c r="W352" s="2" t="e">
        <f ca="1">_xll.BDH($C$328,"EARN_FOR_COM_GROWTH","FQ4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352" s="2" t="e">
        <f ca="1">_xll.BDH($C$328,"DILUTED_EPS_AFT_XO_ITEMS_GROWTH","FQ4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352" s="2" t="e">
        <f ca="1">_xll.BDH($C$328,"DIVIDEND_PER_SHARE_1_YEAR_GROWTH","FQ4 2018","FQ4 2018","Currency=INR","Period=FQ","BEST_FPERIOD_OVERRIDE=FQ","FILING_STATUS=OR","EQY_CONSOLIDATED=Y","Sort=A","Dates=H","DateFormat=P","Fill=—","Direction=H","UseDPDF=Y")</f>
        <v>#NAME?</v>
      </c>
      <c r="Z352" s="2" t="e">
        <f ca="1">_xll.BDH($C$328,"ACCOUNTS_RECEIVABLE_GROWTH","FQ4 2018","FQ4 2018","Currency=INR","Period=FQ","BEST_FPERIOD_OVERRIDE=FQ","FILING_STATUS=OR","EQY_CONSOLIDATED=Y","Sort=A","Dates=H","DateFormat=P","Fill=—","Direction=H","UseDPDF=Y")</f>
        <v>#NAME?</v>
      </c>
      <c r="AA352" s="2" t="e">
        <f ca="1">_xll.BDH($C$328,"INVENTORY_GROWTH","FQ4 2018","FQ4 2018","Currency=INR","Period=FQ","BEST_FPERIOD_OVERRIDE=FQ","FILING_STATUS=OR","EQY_CONSOLIDATED=Y","Sort=A","Dates=H","DateFormat=P","Fill=—","Direction=H","UseDPDF=Y")</f>
        <v>#NAME?</v>
      </c>
      <c r="AB352" s="2" t="e">
        <f ca="1">_xll.BDH($C$328,"NET_FIXED_ASSETS_1_YEAR_GROWTH","FQ4 2018","FQ4 2018","Currency=INR","Period=FQ","BEST_FPERIOD_OVERRIDE=FQ","FILING_STATUS=OR","EQY_CONSOLIDATED=Y","Sort=A","Dates=H","DateFormat=P","Fill=—","Direction=H","UseDPDF=Y")</f>
        <v>#NAME?</v>
      </c>
      <c r="AC352" s="2" t="e">
        <f ca="1">_xll.BDH($C$328,"ASSET_GROWTH","FQ4 2018","FQ4 2018","Currency=INR","Period=FQ","BEST_FPERIOD_OVERRIDE=FQ","FILING_STATUS=OR","EQY_CONSOLIDATED=Y","Sort=A","Dates=H","DateFormat=P","Fill=—","Direction=H","UseDPDF=Y")</f>
        <v>#NAME?</v>
      </c>
      <c r="AD352" s="2" t="e">
        <f ca="1">_xll.BDH($C$328,"MODIFIED_WORK_CAP_GROWTH","FQ4 2018","FQ4 2018","Currency=INR","Period=FQ","BEST_FPERIOD_OVERRIDE=FQ","FILING_STATUS=OR","EQY_CONSOLIDATED=Y","Sort=A","Dates=H","DateFormat=P","Fill=—","Direction=H","UseDPDF=Y")</f>
        <v>#NAME?</v>
      </c>
      <c r="AE352" s="2" t="e">
        <f ca="1">_xll.BDH($C$328,"WORK_CAP_GROWTH","FQ4 2018","FQ4 2018","Currency=INR","Period=FQ","BEST_FPERIOD_OVERRIDE=FQ","FILING_STATUS=OR","EQY_CONSOLIDATED=Y","Sort=A","Dates=H","DateFormat=P","Fill=—","Direction=H","UseDPDF=Y")</f>
        <v>#NAME?</v>
      </c>
      <c r="AF352" s="2" t="e">
        <f ca="1">_xll.BDH($C$328,"ACCOUNTS_PAYABLE_GROWTH_1YR","FQ4 2018","FQ4 2018","Currency=INR","Period=FQ","BEST_FPERIOD_OVERRIDE=FQ","FILING_STATUS=OR","EQY_CONSOLIDATED=Y","Sort=A","Dates=H","DateFormat=P","Fill=—","Direction=H","UseDPDF=Y")</f>
        <v>#NAME?</v>
      </c>
      <c r="AG352" s="2" t="e">
        <f ca="1">_xll.BDH($C$328,"SHORT_TERM_DEBT_1_YEAR_GROWTH","FQ4 2018","FQ4 2018","Currency=INR","Period=FQ","BEST_FPERIOD_OVERRIDE=FQ","FILING_STATUS=OR","EQY_CONSOLIDATED=Y","Sort=A","Dates=H","DateFormat=P","Fill=—","Direction=H","UseDPDF=Y")</f>
        <v>#NAME?</v>
      </c>
      <c r="AH352" s="2" t="e">
        <f ca="1">_xll.BDH($C$328,"TOTAL_DEBT_1_YEAR_GROWTH","FQ4 2018","FQ4 2018","Currency=INR","Period=FQ","BEST_FPERIOD_OVERRIDE=FQ","FILING_STATUS=OR","EQY_CONSOLIDATED=Y","Sort=A","Dates=H","DateFormat=P","Fill=—","Direction=H","UseDPDF=Y")</f>
        <v>#NAME?</v>
      </c>
      <c r="AI352" s="2" t="e">
        <f ca="1">_xll.BDH($C$328,"TOTAL_EQUITY_1_YEAR_GROWTH","FQ4 2018","FQ4 2018","Currency=INR","Period=FQ","BEST_FPERIOD_OVERRIDE=FQ","FILING_STATUS=OR","EQY_CONSOLIDATED=Y","Sort=A","Dates=H","DateFormat=P","Fill=—","Direction=H","UseDPDF=Y")</f>
        <v>#NAME?</v>
      </c>
      <c r="AJ352" s="2" t="e">
        <f ca="1">_xll.BDH($C$328,"GROWTH_IN_CAP","FQ4 2018","FQ4 2018","Currency=INR","Period=FQ","BEST_FPERIOD_OVERRIDE=FQ","FILING_STATUS=OR","EQY_CONSOLIDATED=Y","Sort=A","Dates=H","DateFormat=P","Fill=—","Direction=H","UseDPDF=Y")</f>
        <v>#NAME?</v>
      </c>
      <c r="AK352" s="2" t="e">
        <f ca="1">_xll.BDH($C$328,"BVPS_GROWTH","FQ4 2018","FQ4 2018","Currency=INR","Period=FQ","BEST_FPERIOD_OVERRIDE=FQ","FILING_STATUS=OR","EQY_CONSOLIDATED=Y","Sort=A","Dates=H","DateFormat=P","Fill=—","Direction=H","UseDPDF=Y")</f>
        <v>#NAME?</v>
      </c>
      <c r="AL352" s="2" t="e">
        <f ca="1">_xll.BDH($C$328,"CASH_FLOW_GROWTH","FQ4 2018","FQ4 2018","Currency=INR","Period=FQ","BEST_FPERIOD_OVERRIDE=FQ","FILING_STATUS=OR","EQY_CONSOLIDATED=Y","Sort=A","Dates=H","DateFormat=P","Fill=—","Direction=H","UseDPDF=Y")</f>
        <v>#NAME?</v>
      </c>
      <c r="AM352" s="2" t="e">
        <f ca="1">_xll.BDH($C$328,"GEO_GROW_NET_SALES","FQ4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352" s="2" t="e">
        <f ca="1">_xll.BDH($C$328,"GEO_GROW_EBITDA","FQ4 2018","FQ4 2018","Currency=INR","Period=FQ","BEST_FPERIOD_OVERRIDE=FQ","FILING_STATUS=OR","EQY_CONSOLIDATED=Y","FA_ADJUSTED=GAAP","Sort=A","Dates=H","DateFormat=P","Fill=—","Direction=H","UseDPDF=Y")</f>
        <v>#NAME?</v>
      </c>
      <c r="AO352" s="2" t="e">
        <f ca="1">_xll.BDH($C$328,"GEO_GROW_OPER_INC","FQ4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352" s="2" t="e">
        <f ca="1">_xll.BDH($C$328,"NET_INCOME_TO_COMMON_5_YR_GROWTH","FQ4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352" s="2" t="e">
        <f ca="1">_xll.BDH($C$328,"5Y_GEO_GROWTH_DILUTED_EPS","FQ4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352" s="2" t="e">
        <f ca="1">_xll.BDH($C$328,"GEO_GROW_DVD_PER_SH","FQ4 2018","FQ4 2018","Currency=INR","Period=FQ","BEST_FPERIOD_OVERRIDE=FQ","FILING_STATUS=OR","EQY_CONSOLIDATED=Y","Sort=A","Dates=H","DateFormat=P","Fill=—","Direction=H","UseDPDF=Y")</f>
        <v>#NAME?</v>
      </c>
      <c r="AS352" s="2" t="e">
        <f ca="1">_xll.BDH($C$328,"ACCOUNTS_RECEIVABLE_5_YR_GROWTH","FQ4 2018","FQ4 2018","Currency=INR","Period=FQ","BEST_FPERIOD_OVERRIDE=FQ","FILING_STATUS=OR","EQY_CONSOLIDATED=Y","Sort=A","Dates=H","DateFormat=P","Fill=—","Direction=H","UseDPDF=Y")</f>
        <v>#NAME?</v>
      </c>
      <c r="AT352" s="2" t="e">
        <f ca="1">_xll.BDH($C$328,"INVENTORY_5_YEAR_GROWTH","FQ4 2018","FQ4 2018","Currency=INR","Period=FQ","BEST_FPERIOD_OVERRIDE=FQ","FILING_STATUS=OR","EQY_CONSOLIDATED=Y","Sort=A","Dates=H","DateFormat=P","Fill=—","Direction=H","UseDPDF=Y")</f>
        <v>#NAME?</v>
      </c>
      <c r="AU352" s="2" t="e">
        <f ca="1">_xll.BDH($C$328,"NET_FIXED_ASSETS_5_YEAR_GROWTH","FQ4 2018","FQ4 2018","Currency=INR","Period=FQ","BEST_FPERIOD_OVERRIDE=FQ","FILING_STATUS=OR","EQY_CONSOLIDATED=Y","Sort=A","Dates=H","DateFormat=P","Fill=—","Direction=H","UseDPDF=Y")</f>
        <v>#NAME?</v>
      </c>
      <c r="AV352" s="2" t="e">
        <f ca="1">_xll.BDH($C$328,"GEO_GROW_TOT_ASSET","FQ4 2018","FQ4 2018","Currency=INR","Period=FQ","BEST_FPERIOD_OVERRIDE=FQ","FILING_STATUS=OR","EQY_CONSOLIDATED=Y","Sort=A","Dates=H","DateFormat=P","Fill=—","Direction=H","UseDPDF=Y")</f>
        <v>#NAME?</v>
      </c>
      <c r="AW352" s="2" t="e">
        <f ca="1">_xll.BDH($C$328,"MODIFIED_WORKING_CPTL_5YR_GRWTH","FQ4 2018","FQ4 2018","Currency=INR","Period=FQ","BEST_FPERIOD_OVERRIDE=FQ","FILING_STATUS=OR","EQY_CONSOLIDATED=Y","Sort=A","Dates=H","DateFormat=P","Fill=—","Direction=H","UseDPDF=Y")</f>
        <v>#NAME?</v>
      </c>
      <c r="AX352" s="2" t="e">
        <f ca="1">_xll.BDH($C$328,"WORKING_CAPITAL_5_YEAR_GROWTH","FQ4 2018","FQ4 2018","Currency=INR","Period=FQ","BEST_FPERIOD_OVERRIDE=FQ","FILING_STATUS=OR","EQY_CONSOLIDATED=Y","Sort=A","Dates=H","DateFormat=P","Fill=—","Direction=H","UseDPDF=Y")</f>
        <v>#NAME?</v>
      </c>
      <c r="AY352" s="2" t="e">
        <f ca="1">_xll.BDH($C$328,"ACCOUNTS_PAYABLE_5_YEAR_GROWTH","FQ4 2018","FQ4 2018","Currency=INR","Period=FQ","BEST_FPERIOD_OVERRIDE=FQ","FILING_STATUS=OR","EQY_CONSOLIDATED=Y","Sort=A","Dates=H","DateFormat=P","Fill=—","Direction=H","UseDPDF=Y")</f>
        <v>#NAME?</v>
      </c>
      <c r="AZ352" s="2" t="e">
        <f ca="1">_xll.BDH($C$328,"SHORT_TERM_DEBT_5_YEAR_GROWTH","FQ4 2018","FQ4 2018","Currency=INR","Period=FQ","BEST_FPERIOD_OVERRIDE=FQ","FILING_STATUS=OR","EQY_CONSOLIDATED=Y","Sort=A","Dates=H","DateFormat=P","Fill=—","Direction=H","UseDPDF=Y")</f>
        <v>#NAME?</v>
      </c>
      <c r="BA352" s="2" t="e">
        <f ca="1">_xll.BDH($C$328,"TOTAL_DEBT_5_YEAR_GROWTH","FQ4 2018","FQ4 2018","Currency=INR","Period=FQ","BEST_FPERIOD_OVERRIDE=FQ","FILING_STATUS=OR","EQY_CONSOLIDATED=Y","Sort=A","Dates=H","DateFormat=P","Fill=—","Direction=H","UseDPDF=Y")</f>
        <v>#NAME?</v>
      </c>
      <c r="BB352" s="2" t="e">
        <f ca="1">_xll.BDH($C$328,"GEO_GROW_TOT_SHRHLDR_EQY","FQ4 2018","FQ4 2018","Currency=INR","Period=FQ","BEST_FPERIOD_OVERRIDE=FQ","FILING_STATUS=OR","EQY_CONSOLIDATED=Y","Sort=A","Dates=H","DateFormat=P","Fill=—","Direction=H","UseDPDF=Y")</f>
        <v>#NAME?</v>
      </c>
      <c r="BC352" s="2" t="e">
        <f ca="1">_xll.BDH($C$328,"TOTAL_CAPITAL_5_YEAR_GROWTH","FQ4 2018","FQ4 2018","Currency=INR","Period=FQ","BEST_FPERIOD_OVERRIDE=FQ","FILING_STATUS=OR","EQY_CONSOLIDATED=Y","Sort=A","Dates=H","DateFormat=P","Fill=—","Direction=H","UseDPDF=Y")</f>
        <v>#NAME?</v>
      </c>
      <c r="BD352" s="2" t="e">
        <f ca="1">_xll.BDH($C$328,"GEO_GROW_BOOK_VAL","FQ4 2018","FQ4 2018","Currency=INR","Period=FQ","BEST_FPERIOD_OVERRIDE=FQ","FILING_STATUS=OR","EQY_CONSOLIDATED=Y","Sort=A","Dates=H","DateFormat=P","Fill=—","Direction=H","UseDPDF=Y")</f>
        <v>#NAME?</v>
      </c>
      <c r="BE352" s="2" t="e">
        <f ca="1">_xll.BDH($C$328,"GEO_GROW_CASH_OPER_ACT","FQ4 2018","FQ4 2018","Currency=INR","Period=FQ","BEST_FPERIOD_OVERRIDE=FQ","FILING_STATUS=OR","EQY_CONSOLIDATED=Y","Sort=A","Dates=H","DateFormat=P","Fill=—","Direction=H","UseDPDF=Y")</f>
        <v>#NAME?</v>
      </c>
      <c r="BF352" s="2" t="e">
        <f ca="1">_xll.BDH($C$328,"REVENUE_SEQUENTIAL_GROWTH","FQ4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352" s="2" t="e">
        <f ca="1">_xll.BDH($C$328,"EBITDA_SEQUENTIAL_GROWTH","FQ4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352" s="2" t="e">
        <f ca="1">_xll.BDH($C$328,"OPERATING_INCOME_SEQ_GROWTH","FQ4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352" s="2" t="e">
        <f ca="1">_xll.BDH($C$328,"NET_INCOME_TO_COMMON_SEQ_GROWTH","FQ4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352" s="2" t="e">
        <f ca="1">_xll.BDH($C$328,"EPS_DILUTED_SEQUENTIAL_GROWTH","FQ4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352" s="2" t="e">
        <f ca="1">_xll.BDH($C$328,"DPS_SEQUENTIAL_GROWTH","FQ4 2018","FQ4 2018","Currency=INR","Period=FQ","BEST_FPERIOD_OVERRIDE=FQ","FILING_STATUS=OR","EQY_CONSOLIDATED=Y","Sort=A","Dates=H","DateFormat=P","Fill=—","Direction=H","UseDPDF=Y")</f>
        <v>#NAME?</v>
      </c>
      <c r="BL352" s="2" t="e">
        <f ca="1">_xll.BDH($C$328,"ACCOUNTS_RECEIVABLE_SEQ_GROWTH","FQ4 2018","FQ4 2018","Currency=INR","Period=FQ","BEST_FPERIOD_OVERRIDE=FQ","FILING_STATUS=OR","EQY_CONSOLIDATED=Y","Sort=A","Dates=H","DateFormat=P","Fill=—","Direction=H","UseDPDF=Y")</f>
        <v>#NAME?</v>
      </c>
      <c r="BM352" s="2" t="e">
        <f ca="1">_xll.BDH($C$328,"INVENTORY_SEQUENTIAL_GROWTH","FQ4 2018","FQ4 2018","Currency=INR","Period=FQ","BEST_FPERIOD_OVERRIDE=FQ","FILING_STATUS=OR","EQY_CONSOLIDATED=Y","Sort=A","Dates=H","DateFormat=P","Fill=—","Direction=H","UseDPDF=Y")</f>
        <v>#NAME?</v>
      </c>
      <c r="BN352" s="2" t="e">
        <f ca="1">_xll.BDH($C$328,"FIXED_ASSETS_SEQUENTIAL_GROWTH","FQ4 2018","FQ4 2018","Currency=INR","Period=FQ","BEST_FPERIOD_OVERRIDE=FQ","FILING_STATUS=OR","EQY_CONSOLIDATED=Y","Sort=A","Dates=H","DateFormat=P","Fill=—","Direction=H","UseDPDF=Y")</f>
        <v>#NAME?</v>
      </c>
      <c r="BO352" s="2" t="e">
        <f ca="1">_xll.BDH($C$328,"TOTAL_ASSETS_SEQUENTIAL_GROWTH","FQ4 2018","FQ4 2018","Currency=INR","Period=FQ","BEST_FPERIOD_OVERRIDE=FQ","FILING_STATUS=OR","EQY_CONSOLIDATED=Y","Sort=A","Dates=H","DateFormat=P","Fill=—","Direction=H","UseDPDF=Y")</f>
        <v>#NAME?</v>
      </c>
      <c r="BP352" s="2" t="e">
        <f ca="1">_xll.BDH($C$328,"MODIFIED_WORKING_CPTL_SEQ_GRWTH","FQ4 2018","FQ4 2018","Currency=INR","Period=FQ","BEST_FPERIOD_OVERRIDE=FQ","FILING_STATUS=OR","EQY_CONSOLIDATED=Y","Sort=A","Dates=H","DateFormat=P","Fill=—","Direction=H","UseDPDF=Y")</f>
        <v>#NAME?</v>
      </c>
      <c r="BQ352" s="2" t="e">
        <f ca="1">_xll.BDH($C$328,"WORKING_CAPITAL_SEQ_GROWTH","FQ4 2018","FQ4 2018","Currency=INR","Period=FQ","BEST_FPERIOD_OVERRIDE=FQ","FILING_STATUS=OR","EQY_CONSOLIDATED=Y","Sort=A","Dates=H","DateFormat=P","Fill=—","Direction=H","UseDPDF=Y")</f>
        <v>#NAME?</v>
      </c>
      <c r="BR352" s="2" t="e">
        <f ca="1">_xll.BDH($C$328,"ACCOUNTS_PAYABLE_SEQ_GROWTH","FQ4 2018","FQ4 2018","Currency=INR","Period=FQ","BEST_FPERIOD_OVERRIDE=FQ","FILING_STATUS=OR","EQY_CONSOLIDATED=Y","Sort=A","Dates=H","DateFormat=P","Fill=—","Direction=H","UseDPDF=Y")</f>
        <v>#NAME?</v>
      </c>
      <c r="BS352" s="2" t="e">
        <f ca="1">_xll.BDH($C$328,"ST_DEBT_SEQUENTIAL_GROWTH","FQ4 2018","FQ4 2018","Currency=INR","Period=FQ","BEST_FPERIOD_OVERRIDE=FQ","FILING_STATUS=OR","EQY_CONSOLIDATED=Y","Sort=A","Dates=H","DateFormat=P","Fill=—","Direction=H","UseDPDF=Y")</f>
        <v>#NAME?</v>
      </c>
      <c r="BT352" s="2" t="e">
        <f ca="1">_xll.BDH($C$328,"TOTAL_DEBT_SEQUENTIAL_GROWTH","FQ4 2018","FQ4 2018","Currency=INR","Period=FQ","BEST_FPERIOD_OVERRIDE=FQ","FILING_STATUS=OR","EQY_CONSOLIDATED=Y","Sort=A","Dates=H","DateFormat=P","Fill=—","Direction=H","UseDPDF=Y")</f>
        <v>#NAME?</v>
      </c>
      <c r="BU352" s="2" t="e">
        <f ca="1">_xll.BDH($C$328,"TOTAL_EQUITY_SEQUENTIAL_GROWTH","FQ4 2018","FQ4 2018","Currency=INR","Period=FQ","BEST_FPERIOD_OVERRIDE=FQ","FILING_STATUS=OR","EQY_CONSOLIDATED=Y","Sort=A","Dates=H","DateFormat=P","Fill=—","Direction=H","UseDPDF=Y")</f>
        <v>#NAME?</v>
      </c>
      <c r="BV352" s="2" t="e">
        <f ca="1">_xll.BDH($C$328,"TOTAL_CAPITAL_SEQUENTIAL_GROWTH","FQ4 2018","FQ4 2018","Currency=INR","Period=FQ","BEST_FPERIOD_OVERRIDE=FQ","FILING_STATUS=OR","EQY_CONSOLIDATED=Y","Sort=A","Dates=H","DateFormat=P","Fill=—","Direction=H","UseDPDF=Y")</f>
        <v>#NAME?</v>
      </c>
      <c r="BW352" s="2" t="e">
        <f ca="1">_xll.BDH($C$328,"BPS_SEQUENTIAL_GROWTH","FQ4 2018","FQ4 2018","Currency=INR","Period=FQ","BEST_FPERIOD_OVERRIDE=FQ","FILING_STATUS=OR","EQY_CONSOLIDATED=Y","Sort=A","Dates=H","DateFormat=P","Fill=—","Direction=H","UseDPDF=Y")</f>
        <v>#NAME?</v>
      </c>
      <c r="BX352" s="2" t="e">
        <f ca="1">_xll.BDH($C$328,"CFO_SEQUENTIAL_GROWTH","FQ4 2018","FQ4 2018","Currency=INR","Period=FQ","BEST_FPERIOD_OVERRIDE=FQ","FILING_STATUS=OR","EQY_CONSOLIDATED=Y","Sort=A","Dates=H","DateFormat=P","Fill=—","Direction=H","UseDPDF=Y")</f>
        <v>#NAME?</v>
      </c>
      <c r="BY352" s="3" t="e">
        <f ca="1">_xll.BDH($C$328,"SHORT_AND_LONG_TERM_DEBT","FQ4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352" s="3" t="e">
        <f ca="1">_xll.BDH($C$328,"BS_ST_BORROW","FQ4 2018","FQ4 2018","Currency=INR","Period=FQ","BEST_FPERIOD_OVERRIDE=FQ","FILING_STATUS=OR","EQY_CONSOLIDATED=Y","SCALING_FORMAT=MLN","Sort=A","Dates=H","DateFormat=P","Fill=—","Direction=H","UseDPDF=Y")</f>
        <v>#NAME?</v>
      </c>
      <c r="CA352" s="3" t="e">
        <f ca="1">_xll.BDH($C$328,"BS_LT_BORROW","FQ4 2018","FQ4 2018","Currency=INR","Period=FQ","BEST_FPERIOD_OVERRIDE=FQ","FILING_STATUS=OR","EQY_CONSOLIDATED=Y","SCALING_FORMAT=MLN","Sort=A","Dates=H","DateFormat=P","Fill=—","Direction=H","UseDPDF=Y")</f>
        <v>#NAME?</v>
      </c>
      <c r="CB352" s="2" t="e">
        <f ca="1">_xll.BDH($C$328,"TOT_DEBT_TO_EBITDA","FQ4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352" s="2" t="e">
        <f ca="1">_xll.BDH($C$328,"NET_DEBT_TO_EBITDA","FQ4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352" s="2" t="e">
        <f ca="1">_xll.BDH($C$328,"TOTAL_DEBT_TO_EBIT","FQ4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352" s="2" t="e">
        <f ca="1">_xll.BDH($C$328,"NET_DEBT_TO_EBIT","FQ4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352" s="2" t="e">
        <f ca="1">_xll.BDH($C$328,"EBITDA_TO_INTEREST_EXPN","FQ4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352" s="2" t="e">
        <f ca="1">_xll.BDH($C$328,"COM_EQY_TO_TOT_ASSET","FQ4 2018","FQ4 2018","Currency=INR","Period=FQ","BEST_FPERIOD_OVERRIDE=FQ","FILING_STATUS=OR","EQY_CONSOLIDATED=Y","Sort=A","Dates=H","DateFormat=P","Fill=—","Direction=H","UseDPDF=Y")</f>
        <v>#NAME?</v>
      </c>
      <c r="CH352" s="2" t="e">
        <f ca="1">_xll.BDH($C$328,"LT_DEBT_TO_TOT_EQY","FQ4 2018","FQ4 2018","Currency=INR","Period=FQ","BEST_FPERIOD_OVERRIDE=FQ","FILING_STATUS=OR","EQY_CONSOLIDATED=Y","Sort=A","Dates=H","DateFormat=P","Fill=—","Direction=H","UseDPDF=Y")</f>
        <v>#NAME?</v>
      </c>
      <c r="CI352" s="2" t="e">
        <f ca="1">_xll.BDH($C$328,"LT_DEBT_TO_TOT_CAP","FQ4 2018","FQ4 2018","Currency=INR","Period=FQ","BEST_FPERIOD_OVERRIDE=FQ","FILING_STATUS=OR","EQY_CONSOLIDATED=Y","Sort=A","Dates=H","DateFormat=P","Fill=—","Direction=H","UseDPDF=Y")</f>
        <v>#NAME?</v>
      </c>
      <c r="CJ352" s="2" t="e">
        <f ca="1">_xll.BDH($C$328,"LT_DEBT_TO_TOT_ASSET","FQ4 2018","FQ4 2018","Currency=INR","Period=FQ","BEST_FPERIOD_OVERRIDE=FQ","FILING_STATUS=OR","EQY_CONSOLIDATED=Y","Sort=A","Dates=H","DateFormat=P","Fill=—","Direction=H","UseDPDF=Y")</f>
        <v>#NAME?</v>
      </c>
      <c r="CK352" s="2" t="e">
        <f ca="1">_xll.BDH($C$328,"TOT_DEBT_TO_TOT_EQY","FQ4 2018","FQ4 2018","Currency=INR","Period=FQ","BEST_FPERIOD_OVERRIDE=FQ","FILING_STATUS=OR","EQY_CONSOLIDATED=Y","Sort=A","Dates=H","DateFormat=P","Fill=—","Direction=H","UseDPDF=Y")</f>
        <v>#NAME?</v>
      </c>
      <c r="CL352" s="2" t="e">
        <f ca="1">_xll.BDH($C$328,"TOT_DEBT_TO_TOT_CAP","FQ4 2018","FQ4 2018","Currency=INR","Period=FQ","BEST_FPERIOD_OVERRIDE=FQ","FILING_STATUS=OR","EQY_CONSOLIDATED=Y","Sort=A","Dates=H","DateFormat=P","Fill=—","Direction=H","UseDPDF=Y")</f>
        <v>#NAME?</v>
      </c>
      <c r="CM352" s="2" t="e">
        <f ca="1">_xll.BDH($C$328,"TOT_DEBT_TO_TOT_ASSET","FQ4 2018","FQ4 2018","Currency=INR","Period=FQ","BEST_FPERIOD_OVERRIDE=FQ","FILING_STATUS=OR","EQY_CONSOLIDATED=Y","Sort=A","Dates=H","DateFormat=P","Fill=—","Direction=H","UseDPDF=Y")</f>
        <v>#NAME?</v>
      </c>
      <c r="CN352" s="2" t="e">
        <f ca="1">_xll.BDH($C$328,"NET_DEBT_TO_SHRHLDR_EQTY","FQ4 2018","FQ4 2018","Currency=INR","Period=FQ","BEST_FPERIOD_OVERRIDE=FQ","FILING_STATUS=OR","EQY_CONSOLIDATED=Y","Sort=A","Dates=H","DateFormat=P","Fill=—","Direction=H","UseDPDF=Y")</f>
        <v>#NAME?</v>
      </c>
      <c r="CO352" s="2" t="e">
        <f ca="1">_xll.BDH($C$328,"NET_DEBT_%_CAPITAL","FQ4 2018","FQ4 2018","Currency=INR","Period=FQ","BEST_FPERIOD_OVERRIDE=FQ","FILING_STATUS=OR","EQY_CONSOLIDATED=Y","Sort=A","Dates=H","DateFormat=P","Fill=—","Direction=H","UseDPDF=Y")</f>
        <v>#NAME?</v>
      </c>
      <c r="CP352" s="3" t="e">
        <f ca="1">_xll.BDH($C$328,"EBITDA","FQ4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352" s="3" t="e">
        <f ca="1">_xll.BDH($C$328,"EBITDA_AFTER_CAPEX","FQ4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352" s="3" t="e">
        <f ca="1">_xll.BDH($C$328,"IS_OPER_INC","FQ4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352" s="2" t="e">
        <f ca="1">_xll.BDH($C$328,"CASH_RATIO","FQ4 2018","FQ4 2018","Currency=INR","Period=FQ","BEST_FPERIOD_OVERRIDE=FQ","FILING_STATUS=OR","EQY_CONSOLIDATED=Y","Sort=A","Dates=H","DateFormat=P","Fill=—","Direction=H","UseDPDF=Y")</f>
        <v>#NAME?</v>
      </c>
      <c r="CT352" s="2" t="e">
        <f ca="1">_xll.BDH($C$328,"CUR_RATIO","FQ4 2018","FQ4 2018","Currency=INR","Period=FQ","BEST_FPERIOD_OVERRIDE=FQ","FILING_STATUS=OR","EQY_CONSOLIDATED=Y","Sort=A","Dates=H","DateFormat=P","Fill=—","Direction=H","UseDPDF=Y")</f>
        <v>#NAME?</v>
      </c>
      <c r="CU352" s="2" t="e">
        <f ca="1">_xll.BDH($C$328,"QUICK_RATIO","FQ4 2018","FQ4 2018","Currency=INR","Period=FQ","BEST_FPERIOD_OVERRIDE=FQ","FILING_STATUS=OR","EQY_CONSOLIDATED=Y","Sort=A","Dates=H","DateFormat=P","Fill=—","Direction=H","UseDPDF=Y")</f>
        <v>#NAME?</v>
      </c>
      <c r="CV352" s="2" t="e">
        <f ca="1">_xll.BDH($C$328,"ALTMAN_Z_SCORE","FQ4 2018","FQ4 2018","Currency=INR","Period=FQ","BEST_FPERIOD_OVERRIDE=FQ","FILING_STATUS=OR","EQY_CONSOLIDATED=Y","Sort=A","Dates=H","DateFormat=P","Fill=—","Direction=H","UseDPDF=Y")</f>
        <v>#NAME?</v>
      </c>
      <c r="CW352" s="4" t="e">
        <f ca="1">_xll.BDH($C$328,"ACCT_RCV_TURN","FQ4 2018","FQ4 2018","Currency=INR","Period=FQ","BEST_FPERIOD_OVERRIDE=FQ","FILING_STATUS=OR","EQY_CONSOLIDATED=Y","FA_ADJUSTED=GAAP","Sort=A","Dates=H","DateFormat=P","Fill=—","Direction=H","UseDPDF=Y")</f>
        <v>#NAME?</v>
      </c>
      <c r="CX352" s="2" t="e">
        <f ca="1">_xll.BDH($C$328,"ACCT_RCV_DAYS","FQ4 2018","FQ4 2018","Currency=INR","Period=FQ","BEST_FPERIOD_OVERRIDE=FQ","FILING_STATUS=OR","EQY_CONSOLIDATED=Y","FA_ADJUSTED=GAAP","Sort=A","Dates=H","DateFormat=P","Fill=—","Direction=H","UseDPDF=Y")</f>
        <v>#NAME?</v>
      </c>
      <c r="CY352" s="4" t="e">
        <f ca="1">_xll.BDH($C$328,"INVENT_TURN","FQ4 2018","FQ4 2018","Currency=INR","Period=FQ","BEST_FPERIOD_OVERRIDE=FQ","FILING_STATUS=OR","EQY_CONSOLIDATED=Y","FA_ADJUSTED=GAAP","Sort=A","Dates=H","DateFormat=P","Fill=—","Direction=H","UseDPDF=Y")</f>
        <v>#NAME?</v>
      </c>
      <c r="CZ352" s="2" t="e">
        <f ca="1">_xll.BDH($C$328,"INVENT_DAYS","FQ4 2018","FQ4 2018","Currency=INR","Period=FQ","BEST_FPERIOD_OVERRIDE=FQ","FILING_STATUS=OR","EQY_CONSOLIDATED=Y","FA_ADJUSTED=GAAP","Sort=A","Dates=H","DateFormat=P","Fill=—","Direction=H","UseDPDF=Y")</f>
        <v>#NAME?</v>
      </c>
      <c r="DA352" s="4" t="e">
        <f ca="1">_xll.BDH($C$328,"ACCOUNTS_PAYABLE_TURNOVER","FQ4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352" s="2" t="e">
        <f ca="1">_xll.BDH($C$328,"ACCOUNTS_PAYABLE_TURNOVER_DAYS","FQ4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352" s="4" t="e">
        <f ca="1">_xll.BDH($C$328,"CASH_CONVERSION_CYCLE","FQ4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352" s="4" t="e">
        <f ca="1">_xll.BDH($C$328,"INV_TO_CASH_DAYS","FQ4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352" s="5" t="e">
        <f ca="1">_xll.BDH($C$328,"BS_INVENTORIES","FQ4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352" s="3" t="e">
        <f ca="1">_xll.BDH($C$328,"INVTRY_RAW_MATERIALS","FQ4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352" s="3" t="e">
        <f ca="1">_xll.BDH($C$328,"INVTRY_IN_PROGRESS","FQ4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352" s="3" t="e">
        <f ca="1">_xll.BDH($C$328,"INVTRY_FINISHED_GOODS","FQ4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352" s="3" t="e">
        <f ca="1">_xll.BDH($C$328,"BS_OTHER_INV","FQ4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353" spans="1:113" x14ac:dyDescent="0.3">
      <c r="A353" s="6">
        <v>15</v>
      </c>
      <c r="B353" s="6" t="s">
        <v>112</v>
      </c>
      <c r="C353" s="6" t="s">
        <v>113</v>
      </c>
      <c r="D353" s="6" t="s">
        <v>76</v>
      </c>
      <c r="E353" t="s">
        <v>77</v>
      </c>
      <c r="F353" t="e">
        <f ca="1">_xll.BDH($C$353,"RETURN_COM_EQY","FY 2014","FY 2014","Currency=INR","Period=FY","BEST_FPERIOD_OVERRIDE=FY","FILING_STATUS=OR","EQY_CONSOLIDATED=Y","FA_ADJUSTED=GAAP","Sort=A","Dates=H","DateFormat=P","Fill=—","Direction=H","UseDPDF=Y")</f>
        <v>#NAME?</v>
      </c>
      <c r="G353" t="e">
        <f ca="1">_xll.BDH($C$353,"RETURN_ON_ASSET","FY 2014","FY 2014","Currency=INR","Period=FY","BEST_FPERIOD_OVERRIDE=FY","FILING_STATUS=OR","EQY_CONSOLIDATED=Y","FA_ADJUSTED=GAAP","Sort=A","Dates=H","DateFormat=P","Fill=—","Direction=H","UseDPDF=Y")</f>
        <v>#NAME?</v>
      </c>
      <c r="H353" t="e">
        <f ca="1">_xll.BDH($C$353,"RETURN_ON_CAP","FY 2014","FY 2014","Currency=INR","Period=FY","BEST_FPERIOD_OVERRIDE=FY","FILING_STATUS=OR","EQY_CONSOLIDATED=Y","FA_ADJUSTED=GAAP","Sort=A","Dates=H","DateFormat=P","Fill=—","Direction=H","UseDPDF=Y")</f>
        <v>#NAME?</v>
      </c>
      <c r="I353" t="e">
        <f ca="1">_xll.BDH($C$353,"RETURN_ON_INV_CAPITAL","FY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353" t="e">
        <f ca="1">_xll.BDH($C$353,"EBITDA_TO_REVENUE","FY 2014","FY 2014","Currency=INR","Period=FY","BEST_FPERIOD_OVERRIDE=FY","FILING_STATUS=OR","EQY_CONSOLIDATED=Y","FA_ADJUSTED=GAAP","Sort=A","Dates=H","DateFormat=P","Fill=—","Direction=H","UseDPDF=Y")</f>
        <v>#NAME?</v>
      </c>
      <c r="K353" t="e">
        <f ca="1">_xll.BDH($C$353,"OPER_MARGIN","FY 2014","FY 2014","Currency=INR","Period=FY","BEST_FPERIOD_OVERRIDE=FY","FILING_STATUS=OR","EQY_CONSOLIDATED=Y","FA_ADJUSTED=GAAP","Sort=A","Dates=H","DateFormat=P","Fill=—","Direction=H","UseDPDF=Y")</f>
        <v>#NAME?</v>
      </c>
      <c r="L353" t="e">
        <f ca="1">_xll.BDH($C$353,"INCREMENTAL_OPERATING_MARGIN","FY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353" t="e">
        <f ca="1">_xll.BDH($C$353,"PRETAX_INC_TO_NET_SALES","FY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353" t="e">
        <f ca="1">_xll.BDH($C$353,"INC_BEF_XO_ITEMS_TO_NET_SALES","FY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353" t="e">
        <f ca="1">_xll.BDH($C$353,"PROF_MARGIN","FY 2014","FY 2014","Currency=INR","Period=FY","BEST_FPERIOD_OVERRIDE=FY","FILING_STATUS=OR","EQY_CONSOLIDATED=Y","FA_ADJUSTED=GAAP","Sort=A","Dates=H","DateFormat=P","Fill=—","Direction=H","UseDPDF=Y")</f>
        <v>#NAME?</v>
      </c>
      <c r="P353" t="e">
        <f ca="1">_xll.BDH($C$353,"NET_INCOME_TO_COMMON_MARGIN","FY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353" t="e">
        <f ca="1">_xll.BDH($C$353,"EFF_TAX_RATE","FY 2014","FY 2014","Currency=INR","Period=FY","BEST_FPERIOD_OVERRIDE=FY","FILING_STATUS=OR","EQY_CONSOLIDATED=Y","FA_ADJUSTED=GAAP","Sort=A","Dates=H","DateFormat=P","Fill=—","Direction=H","UseDPDF=Y")</f>
        <v>#NAME?</v>
      </c>
      <c r="R353" t="e">
        <f ca="1">_xll.BDH($C$353,"DVD_PAYOUT_RATIO","FY 2014","FY 2014","Currency=INR","Period=FY","BEST_FPERIOD_OVERRIDE=FY","FILING_STATUS=OR","EQY_CONSOLIDATED=Y","FA_ADJUSTED=GAAP","Sort=A","Dates=H","DateFormat=P","Fill=—","Direction=H","UseDPDF=Y")</f>
        <v>#NAME?</v>
      </c>
      <c r="S353" t="e">
        <f ca="1">_xll.BDH($C$353,"SUSTAIN_GROWTH_RT","FY 2014","FY 2014","Currency=INR","Period=FY","BEST_FPERIOD_OVERRIDE=FY","FILING_STATUS=OR","EQY_CONSOLIDATED=Y","FA_ADJUSTED=GAAP","Sort=A","Dates=H","DateFormat=P","Fill=—","Direction=H","UseDPDF=Y")</f>
        <v>#NAME?</v>
      </c>
      <c r="T353" s="2" t="e">
        <f ca="1">_xll.BDH($C$353,"SALES_GROWTH","FY 2014","FY 2014","Currency=INR","Period=FY","BEST_FPERIOD_OVERRIDE=FY","FILING_STATUS=OR","EQY_CONSOLIDATED=Y","FA_ADJUSTED=GAAP","Sort=A","Dates=H","DateFormat=P","Fill=—","Direction=H","UseDPDF=Y")</f>
        <v>#NAME?</v>
      </c>
      <c r="U353" s="2" t="e">
        <f ca="1">_xll.BDH($C$353,"EBITDA_GROWTH","FY 2014","FY 2014","Currency=INR","Period=FY","BEST_FPERIOD_OVERRIDE=FY","FILING_STATUS=OR","EQY_CONSOLIDATED=Y","FA_ADJUSTED=GAAP","Sort=A","Dates=H","DateFormat=P","Fill=—","Direction=H","UseDPDF=Y")</f>
        <v>#NAME?</v>
      </c>
      <c r="V353" s="2" t="e">
        <f ca="1">_xll.BDH($C$353,"OPER_INC_GROWTH","FY 2014","FY 2014","Currency=INR","Period=FY","BEST_FPERIOD_OVERRIDE=FY","FILING_STATUS=OR","EQY_CONSOLIDATED=Y","FA_ADJUSTED=GAAP","Sort=A","Dates=H","DateFormat=P","Fill=—","Direction=H","UseDPDF=Y")</f>
        <v>#NAME?</v>
      </c>
      <c r="W353" s="2" t="e">
        <f ca="1">_xll.BDH($C$353,"EARN_FOR_COM_GROWTH","FY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353" s="2" t="e">
        <f ca="1">_xll.BDH($C$353,"DILUTED_EPS_AFT_XO_ITEMS_GROWTH","FY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353" s="2" t="e">
        <f ca="1">_xll.BDH($C$353,"DIVIDEND_PER_SHARE_1_YEAR_GROWTH","FY 2014","FY 2014","Currency=INR","Period=FY","BEST_FPERIOD_OVERRIDE=FY","FILING_STATUS=OR","EQY_CONSOLIDATED=Y","Sort=A","Dates=H","DateFormat=P","Fill=—","Direction=H","UseDPDF=Y")</f>
        <v>#NAME?</v>
      </c>
      <c r="Z353" s="2" t="e">
        <f ca="1">_xll.BDH($C$353,"ACCOUNTS_RECEIVABLE_GROWTH","FY 2014","FY 2014","Currency=INR","Period=FY","BEST_FPERIOD_OVERRIDE=FY","FILING_STATUS=OR","EQY_CONSOLIDATED=Y","Sort=A","Dates=H","DateFormat=P","Fill=—","Direction=H","UseDPDF=Y")</f>
        <v>#NAME?</v>
      </c>
      <c r="AA353" s="2" t="e">
        <f ca="1">_xll.BDH($C$353,"INVENTORY_GROWTH","FY 2014","FY 2014","Currency=INR","Period=FY","BEST_FPERIOD_OVERRIDE=FY","FILING_STATUS=OR","EQY_CONSOLIDATED=Y","Sort=A","Dates=H","DateFormat=P","Fill=—","Direction=H","UseDPDF=Y")</f>
        <v>#NAME?</v>
      </c>
      <c r="AB353" s="2" t="e">
        <f ca="1">_xll.BDH($C$353,"NET_FIXED_ASSETS_1_YEAR_GROWTH","FY 2014","FY 2014","Currency=INR","Period=FY","BEST_FPERIOD_OVERRIDE=FY","FILING_STATUS=OR","EQY_CONSOLIDATED=Y","Sort=A","Dates=H","DateFormat=P","Fill=—","Direction=H","UseDPDF=Y")</f>
        <v>#NAME?</v>
      </c>
      <c r="AC353" s="2" t="e">
        <f ca="1">_xll.BDH($C$353,"ASSET_GROWTH","FY 2014","FY 2014","Currency=INR","Period=FY","BEST_FPERIOD_OVERRIDE=FY","FILING_STATUS=OR","EQY_CONSOLIDATED=Y","Sort=A","Dates=H","DateFormat=P","Fill=—","Direction=H","UseDPDF=Y")</f>
        <v>#NAME?</v>
      </c>
      <c r="AD353" s="2" t="e">
        <f ca="1">_xll.BDH($C$353,"MODIFIED_WORK_CAP_GROWTH","FY 2014","FY 2014","Currency=INR","Period=FY","BEST_FPERIOD_OVERRIDE=FY","FILING_STATUS=OR","EQY_CONSOLIDATED=Y","Sort=A","Dates=H","DateFormat=P","Fill=—","Direction=H","UseDPDF=Y")</f>
        <v>#NAME?</v>
      </c>
      <c r="AE353" s="2" t="e">
        <f ca="1">_xll.BDH($C$353,"WORK_CAP_GROWTH","FY 2014","FY 2014","Currency=INR","Period=FY","BEST_FPERIOD_OVERRIDE=FY","FILING_STATUS=OR","EQY_CONSOLIDATED=Y","Sort=A","Dates=H","DateFormat=P","Fill=—","Direction=H","UseDPDF=Y")</f>
        <v>#NAME?</v>
      </c>
      <c r="AF353" s="2" t="e">
        <f ca="1">_xll.BDH($C$353,"ACCOUNTS_PAYABLE_GROWTH_1YR","FY 2014","FY 2014","Currency=INR","Period=FY","BEST_FPERIOD_OVERRIDE=FY","FILING_STATUS=OR","EQY_CONSOLIDATED=Y","Sort=A","Dates=H","DateFormat=P","Fill=—","Direction=H","UseDPDF=Y")</f>
        <v>#NAME?</v>
      </c>
      <c r="AG353" s="2" t="e">
        <f ca="1">_xll.BDH($C$353,"SHORT_TERM_DEBT_1_YEAR_GROWTH","FY 2014","FY 2014","Currency=INR","Period=FY","BEST_FPERIOD_OVERRIDE=FY","FILING_STATUS=OR","EQY_CONSOLIDATED=Y","Sort=A","Dates=H","DateFormat=P","Fill=—","Direction=H","UseDPDF=Y")</f>
        <v>#NAME?</v>
      </c>
      <c r="AH353" s="2" t="e">
        <f ca="1">_xll.BDH($C$353,"TOTAL_DEBT_1_YEAR_GROWTH","FY 2014","FY 2014","Currency=INR","Period=FY","BEST_FPERIOD_OVERRIDE=FY","FILING_STATUS=OR","EQY_CONSOLIDATED=Y","Sort=A","Dates=H","DateFormat=P","Fill=—","Direction=H","UseDPDF=Y")</f>
        <v>#NAME?</v>
      </c>
      <c r="AI353" s="2" t="e">
        <f ca="1">_xll.BDH($C$353,"TOTAL_EQUITY_1_YEAR_GROWTH","FY 2014","FY 2014","Currency=INR","Period=FY","BEST_FPERIOD_OVERRIDE=FY","FILING_STATUS=OR","EQY_CONSOLIDATED=Y","Sort=A","Dates=H","DateFormat=P","Fill=—","Direction=H","UseDPDF=Y")</f>
        <v>#NAME?</v>
      </c>
      <c r="AJ353" s="2" t="e">
        <f ca="1">_xll.BDH($C$353,"GROWTH_IN_CAP","FY 2014","FY 2014","Currency=INR","Period=FY","BEST_FPERIOD_OVERRIDE=FY","FILING_STATUS=OR","EQY_CONSOLIDATED=Y","Sort=A","Dates=H","DateFormat=P","Fill=—","Direction=H","UseDPDF=Y")</f>
        <v>#NAME?</v>
      </c>
      <c r="AK353" s="2" t="e">
        <f ca="1">_xll.BDH($C$353,"BVPS_GROWTH","FY 2014","FY 2014","Currency=INR","Period=FY","BEST_FPERIOD_OVERRIDE=FY","FILING_STATUS=OR","EQY_CONSOLIDATED=Y","Sort=A","Dates=H","DateFormat=P","Fill=—","Direction=H","UseDPDF=Y")</f>
        <v>#NAME?</v>
      </c>
      <c r="AL353" s="2" t="e">
        <f ca="1">_xll.BDH($C$353,"CASH_FLOW_GROWTH","FY 2014","FY 2014","Currency=INR","Period=FY","BEST_FPERIOD_OVERRIDE=FY","FILING_STATUS=OR","EQY_CONSOLIDATED=Y","Sort=A","Dates=H","DateFormat=P","Fill=—","Direction=H","UseDPDF=Y")</f>
        <v>#NAME?</v>
      </c>
      <c r="AM353" s="2" t="e">
        <f ca="1">_xll.BDH($C$353,"GEO_GROW_NET_SALES","FY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353" s="2" t="e">
        <f ca="1">_xll.BDH($C$353,"GEO_GROW_EBITDA","FY 2014","FY 2014","Currency=INR","Period=FY","BEST_FPERIOD_OVERRIDE=FY","FILING_STATUS=OR","EQY_CONSOLIDATED=Y","FA_ADJUSTED=GAAP","Sort=A","Dates=H","DateFormat=P","Fill=—","Direction=H","UseDPDF=Y")</f>
        <v>#NAME?</v>
      </c>
      <c r="AO353" s="2" t="e">
        <f ca="1">_xll.BDH($C$353,"GEO_GROW_OPER_INC","FY 2014","FY 2014","Currency=INR","Period=FY","BEST_FPERIOD_OVERRIDE=FY","FILING_STATUS=OR","EQY_CONSOLIDATED=Y","FA_ADJUSTED=GAAP","Sort=A","Dates=H","DateFormat=P","Fill=—","Direction=H","UseDPDF=Y")</f>
        <v>#NAME?</v>
      </c>
      <c r="AP353" s="2" t="e">
        <f ca="1">_xll.BDH($C$353,"NET_INCOME_TO_COMMON_5_YR_GROWTH","FY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353" s="2" t="e">
        <f ca="1">_xll.BDH($C$353,"5Y_GEO_GROWTH_DILUTED_EPS","FY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353" s="2" t="e">
        <f ca="1">_xll.BDH($C$353,"GEO_GROW_DVD_PER_SH","FY 2014","FY 2014","Currency=INR","Period=FY","BEST_FPERIOD_OVERRIDE=FY","FILING_STATUS=OR","EQY_CONSOLIDATED=Y","Sort=A","Dates=H","DateFormat=P","Fill=—","Direction=H","UseDPDF=Y")</f>
        <v>#NAME?</v>
      </c>
      <c r="AS353" s="2" t="e">
        <f ca="1">_xll.BDH($C$353,"ACCOUNTS_RECEIVABLE_5_YR_GROWTH","FY 2014","FY 2014","Currency=INR","Period=FY","BEST_FPERIOD_OVERRIDE=FY","FILING_STATUS=OR","EQY_CONSOLIDATED=Y","Sort=A","Dates=H","DateFormat=P","Fill=—","Direction=H","UseDPDF=Y")</f>
        <v>#NAME?</v>
      </c>
      <c r="AT353" s="2" t="e">
        <f ca="1">_xll.BDH($C$353,"INVENTORY_5_YEAR_GROWTH","FY 2014","FY 2014","Currency=INR","Period=FY","BEST_FPERIOD_OVERRIDE=FY","FILING_STATUS=OR","EQY_CONSOLIDATED=Y","Sort=A","Dates=H","DateFormat=P","Fill=—","Direction=H","UseDPDF=Y")</f>
        <v>#NAME?</v>
      </c>
      <c r="AU353" s="2" t="e">
        <f ca="1">_xll.BDH($C$353,"NET_FIXED_ASSETS_5_YEAR_GROWTH","FY 2014","FY 2014","Currency=INR","Period=FY","BEST_FPERIOD_OVERRIDE=FY","FILING_STATUS=OR","EQY_CONSOLIDATED=Y","Sort=A","Dates=H","DateFormat=P","Fill=—","Direction=H","UseDPDF=Y")</f>
        <v>#NAME?</v>
      </c>
      <c r="AV353" s="2" t="e">
        <f ca="1">_xll.BDH($C$353,"GEO_GROW_TOT_ASSET","FY 2014","FY 2014","Currency=INR","Period=FY","BEST_FPERIOD_OVERRIDE=FY","FILING_STATUS=OR","EQY_CONSOLIDATED=Y","Sort=A","Dates=H","DateFormat=P","Fill=—","Direction=H","UseDPDF=Y")</f>
        <v>#NAME?</v>
      </c>
      <c r="AW353" s="2" t="e">
        <f ca="1">_xll.BDH($C$353,"MODIFIED_WORKING_CPTL_5YR_GRWTH","FY 2014","FY 2014","Currency=INR","Period=FY","BEST_FPERIOD_OVERRIDE=FY","FILING_STATUS=OR","EQY_CONSOLIDATED=Y","Sort=A","Dates=H","DateFormat=P","Fill=—","Direction=H","UseDPDF=Y")</f>
        <v>#NAME?</v>
      </c>
      <c r="AX353" s="2" t="e">
        <f ca="1">_xll.BDH($C$353,"WORKING_CAPITAL_5_YEAR_GROWTH","FY 2014","FY 2014","Currency=INR","Period=FY","BEST_FPERIOD_OVERRIDE=FY","FILING_STATUS=OR","EQY_CONSOLIDATED=Y","Sort=A","Dates=H","DateFormat=P","Fill=—","Direction=H","UseDPDF=Y")</f>
        <v>#NAME?</v>
      </c>
      <c r="AY353" s="2" t="e">
        <f ca="1">_xll.BDH($C$353,"ACCOUNTS_PAYABLE_5_YEAR_GROWTH","FY 2014","FY 2014","Currency=INR","Period=FY","BEST_FPERIOD_OVERRIDE=FY","FILING_STATUS=OR","EQY_CONSOLIDATED=Y","Sort=A","Dates=H","DateFormat=P","Fill=—","Direction=H","UseDPDF=Y")</f>
        <v>#NAME?</v>
      </c>
      <c r="AZ353" s="2" t="e">
        <f ca="1">_xll.BDH($C$353,"SHORT_TERM_DEBT_5_YEAR_GROWTH","FY 2014","FY 2014","Currency=INR","Period=FY","BEST_FPERIOD_OVERRIDE=FY","FILING_STATUS=OR","EQY_CONSOLIDATED=Y","Sort=A","Dates=H","DateFormat=P","Fill=—","Direction=H","UseDPDF=Y")</f>
        <v>#NAME?</v>
      </c>
      <c r="BA353" s="2" t="e">
        <f ca="1">_xll.BDH($C$353,"TOTAL_DEBT_5_YEAR_GROWTH","FY 2014","FY 2014","Currency=INR","Period=FY","BEST_FPERIOD_OVERRIDE=FY","FILING_STATUS=OR","EQY_CONSOLIDATED=Y","Sort=A","Dates=H","DateFormat=P","Fill=—","Direction=H","UseDPDF=Y")</f>
        <v>#NAME?</v>
      </c>
      <c r="BB353" s="2" t="e">
        <f ca="1">_xll.BDH($C$353,"GEO_GROW_TOT_SHRHLDR_EQY","FY 2014","FY 2014","Currency=INR","Period=FY","BEST_FPERIOD_OVERRIDE=FY","FILING_STATUS=OR","EQY_CONSOLIDATED=Y","Sort=A","Dates=H","DateFormat=P","Fill=—","Direction=H","UseDPDF=Y")</f>
        <v>#NAME?</v>
      </c>
      <c r="BC353" s="2" t="e">
        <f ca="1">_xll.BDH($C$353,"TOTAL_CAPITAL_5_YEAR_GROWTH","FY 2014","FY 2014","Currency=INR","Period=FY","BEST_FPERIOD_OVERRIDE=FY","FILING_STATUS=OR","EQY_CONSOLIDATED=Y","Sort=A","Dates=H","DateFormat=P","Fill=—","Direction=H","UseDPDF=Y")</f>
        <v>#NAME?</v>
      </c>
      <c r="BD353" s="2" t="e">
        <f ca="1">_xll.BDH($C$353,"GEO_GROW_BOOK_VAL","FY 2014","FY 2014","Currency=INR","Period=FY","BEST_FPERIOD_OVERRIDE=FY","FILING_STATUS=OR","EQY_CONSOLIDATED=Y","Sort=A","Dates=H","DateFormat=P","Fill=—","Direction=H","UseDPDF=Y")</f>
        <v>#NAME?</v>
      </c>
      <c r="BE353" s="2" t="e">
        <f ca="1">_xll.BDH($C$353,"GEO_GROW_CASH_OPER_ACT","FY 2014","FY 2014","Currency=INR","Period=FY","BEST_FPERIOD_OVERRIDE=FY","FILING_STATUS=OR","EQY_CONSOLIDATED=Y","Sort=A","Dates=H","DateFormat=P","Fill=—","Direction=H","UseDPDF=Y")</f>
        <v>#NAME?</v>
      </c>
      <c r="BF353" s="2" t="e">
        <f ca="1">_xll.BDH($C$353,"REVENUE_SEQUENTIAL_GROWTH","FY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353" s="2" t="e">
        <f ca="1">_xll.BDH($C$353,"EBITDA_SEQUENTIAL_GROWTH","FY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353" s="2" t="e">
        <f ca="1">_xll.BDH($C$353,"OPERATING_INCOME_SEQ_GROWTH","FY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353" s="2" t="e">
        <f ca="1">_xll.BDH($C$353,"NET_INCOME_TO_COMMON_SEQ_GROWTH","FY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353" s="2" t="e">
        <f ca="1">_xll.BDH($C$353,"EPS_DILUTED_SEQUENTIAL_GROWTH","FY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353" s="2" t="e">
        <f ca="1">_xll.BDH($C$353,"DPS_SEQUENTIAL_GROWTH","FY 2014","FY 2014","Currency=INR","Period=FY","BEST_FPERIOD_OVERRIDE=FY","FILING_STATUS=OR","EQY_CONSOLIDATED=Y","Sort=A","Dates=H","DateFormat=P","Fill=—","Direction=H","UseDPDF=Y")</f>
        <v>#NAME?</v>
      </c>
      <c r="BL353" s="2" t="e">
        <f ca="1">_xll.BDH($C$353,"ACCOUNTS_RECEIVABLE_SEQ_GROWTH","FY 2014","FY 2014","Currency=INR","Period=FY","BEST_FPERIOD_OVERRIDE=FY","FILING_STATUS=OR","EQY_CONSOLIDATED=Y","Sort=A","Dates=H","DateFormat=P","Fill=—","Direction=H","UseDPDF=Y")</f>
        <v>#NAME?</v>
      </c>
      <c r="BM353" s="2" t="e">
        <f ca="1">_xll.BDH($C$353,"INVENTORY_SEQUENTIAL_GROWTH","FY 2014","FY 2014","Currency=INR","Period=FY","BEST_FPERIOD_OVERRIDE=FY","FILING_STATUS=OR","EQY_CONSOLIDATED=Y","Sort=A","Dates=H","DateFormat=P","Fill=—","Direction=H","UseDPDF=Y")</f>
        <v>#NAME?</v>
      </c>
      <c r="BN353" s="2" t="e">
        <f ca="1">_xll.BDH($C$353,"FIXED_ASSETS_SEQUENTIAL_GROWTH","FY 2014","FY 2014","Currency=INR","Period=FY","BEST_FPERIOD_OVERRIDE=FY","FILING_STATUS=OR","EQY_CONSOLIDATED=Y","Sort=A","Dates=H","DateFormat=P","Fill=—","Direction=H","UseDPDF=Y")</f>
        <v>#NAME?</v>
      </c>
      <c r="BO353" s="2" t="e">
        <f ca="1">_xll.BDH($C$353,"TOTAL_ASSETS_SEQUENTIAL_GROWTH","FY 2014","FY 2014","Currency=INR","Period=FY","BEST_FPERIOD_OVERRIDE=FY","FILING_STATUS=OR","EQY_CONSOLIDATED=Y","Sort=A","Dates=H","DateFormat=P","Fill=—","Direction=H","UseDPDF=Y")</f>
        <v>#NAME?</v>
      </c>
      <c r="BP353" s="2" t="e">
        <f ca="1">_xll.BDH($C$353,"MODIFIED_WORKING_CPTL_SEQ_GRWTH","FY 2014","FY 2014","Currency=INR","Period=FY","BEST_FPERIOD_OVERRIDE=FY","FILING_STATUS=OR","EQY_CONSOLIDATED=Y","Sort=A","Dates=H","DateFormat=P","Fill=—","Direction=H","UseDPDF=Y")</f>
        <v>#NAME?</v>
      </c>
      <c r="BQ353" s="2" t="e">
        <f ca="1">_xll.BDH($C$353,"WORKING_CAPITAL_SEQ_GROWTH","FY 2014","FY 2014","Currency=INR","Period=FY","BEST_FPERIOD_OVERRIDE=FY","FILING_STATUS=OR","EQY_CONSOLIDATED=Y","Sort=A","Dates=H","DateFormat=P","Fill=—","Direction=H","UseDPDF=Y")</f>
        <v>#NAME?</v>
      </c>
      <c r="BR353" s="2" t="e">
        <f ca="1">_xll.BDH($C$353,"ACCOUNTS_PAYABLE_SEQ_GROWTH","FY 2014","FY 2014","Currency=INR","Period=FY","BEST_FPERIOD_OVERRIDE=FY","FILING_STATUS=OR","EQY_CONSOLIDATED=Y","Sort=A","Dates=H","DateFormat=P","Fill=—","Direction=H","UseDPDF=Y")</f>
        <v>#NAME?</v>
      </c>
      <c r="BS353" s="2" t="e">
        <f ca="1">_xll.BDH($C$353,"ST_DEBT_SEQUENTIAL_GROWTH","FY 2014","FY 2014","Currency=INR","Period=FY","BEST_FPERIOD_OVERRIDE=FY","FILING_STATUS=OR","EQY_CONSOLIDATED=Y","Sort=A","Dates=H","DateFormat=P","Fill=—","Direction=H","UseDPDF=Y")</f>
        <v>#NAME?</v>
      </c>
      <c r="BT353" s="2" t="e">
        <f ca="1">_xll.BDH($C$353,"TOTAL_DEBT_SEQUENTIAL_GROWTH","FY 2014","FY 2014","Currency=INR","Period=FY","BEST_FPERIOD_OVERRIDE=FY","FILING_STATUS=OR","EQY_CONSOLIDATED=Y","Sort=A","Dates=H","DateFormat=P","Fill=—","Direction=H","UseDPDF=Y")</f>
        <v>#NAME?</v>
      </c>
      <c r="BU353" s="2" t="e">
        <f ca="1">_xll.BDH($C$353,"TOTAL_EQUITY_SEQUENTIAL_GROWTH","FY 2014","FY 2014","Currency=INR","Period=FY","BEST_FPERIOD_OVERRIDE=FY","FILING_STATUS=OR","EQY_CONSOLIDATED=Y","Sort=A","Dates=H","DateFormat=P","Fill=—","Direction=H","UseDPDF=Y")</f>
        <v>#NAME?</v>
      </c>
      <c r="BV353" s="2" t="e">
        <f ca="1">_xll.BDH($C$353,"TOTAL_CAPITAL_SEQUENTIAL_GROWTH","FY 2014","FY 2014","Currency=INR","Period=FY","BEST_FPERIOD_OVERRIDE=FY","FILING_STATUS=OR","EQY_CONSOLIDATED=Y","Sort=A","Dates=H","DateFormat=P","Fill=—","Direction=H","UseDPDF=Y")</f>
        <v>#NAME?</v>
      </c>
      <c r="BW353" s="2" t="e">
        <f ca="1">_xll.BDH($C$353,"BPS_SEQUENTIAL_GROWTH","FY 2014","FY 2014","Currency=INR","Period=FY","BEST_FPERIOD_OVERRIDE=FY","FILING_STATUS=OR","EQY_CONSOLIDATED=Y","Sort=A","Dates=H","DateFormat=P","Fill=—","Direction=H","UseDPDF=Y")</f>
        <v>#NAME?</v>
      </c>
      <c r="BX353" s="2" t="e">
        <f ca="1">_xll.BDH($C$353,"CFO_SEQUENTIAL_GROWTH","FY 2014","FY 2014","Currency=INR","Period=FY","BEST_FPERIOD_OVERRIDE=FY","FILING_STATUS=OR","EQY_CONSOLIDATED=Y","Sort=A","Dates=H","DateFormat=P","Fill=—","Direction=H","UseDPDF=Y")</f>
        <v>#NAME?</v>
      </c>
      <c r="BY353" s="3" t="e">
        <f ca="1">_xll.BDH($C$353,"SHORT_AND_LONG_TERM_DEBT","FY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353" s="3" t="e">
        <f ca="1">_xll.BDH($C$353,"BS_ST_BORROW","FY 2014","FY 2014","Currency=INR","Period=FY","BEST_FPERIOD_OVERRIDE=FY","FILING_STATUS=OR","EQY_CONSOLIDATED=Y","SCALING_FORMAT=MLN","Sort=A","Dates=H","DateFormat=P","Fill=—","Direction=H","UseDPDF=Y")</f>
        <v>#NAME?</v>
      </c>
      <c r="CA353" s="3" t="e">
        <f ca="1">_xll.BDH($C$353,"BS_LT_BORROW","FY 2014","FY 2014","Currency=INR","Period=FY","BEST_FPERIOD_OVERRIDE=FY","FILING_STATUS=OR","EQY_CONSOLIDATED=Y","SCALING_FORMAT=MLN","Sort=A","Dates=H","DateFormat=P","Fill=—","Direction=H","UseDPDF=Y")</f>
        <v>#NAME?</v>
      </c>
      <c r="CB353" s="2" t="e">
        <f ca="1">_xll.BDH($C$353,"TOT_DEBT_TO_EBITDA","FY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353" s="2" t="e">
        <f ca="1">_xll.BDH($C$353,"NET_DEBT_TO_EBITDA","FY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353" s="2" t="e">
        <f ca="1">_xll.BDH($C$353,"TOTAL_DEBT_TO_EBIT","FY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353" s="2" t="e">
        <f ca="1">_xll.BDH($C$353,"NET_DEBT_TO_EBIT","FY 2014","FY 2014","Currency=INR","Period=FY","BEST_FPERIOD_OVERRIDE=FY","FILING_STATUS=OR","EQY_CONSOLIDATED=Y","FA_ADJUSTED=GAAP","Sort=A","Dates=H","DateFormat=P","Fill=—","Direction=H","UseDPDF=Y")</f>
        <v>#NAME?</v>
      </c>
      <c r="CF353" s="2" t="e">
        <f ca="1">_xll.BDH($C$353,"EBITDA_TO_INTEREST_EXPN","FY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353" s="2" t="e">
        <f ca="1">_xll.BDH($C$353,"COM_EQY_TO_TOT_ASSET","FY 2014","FY 2014","Currency=INR","Period=FY","BEST_FPERIOD_OVERRIDE=FY","FILING_STATUS=OR","EQY_CONSOLIDATED=Y","Sort=A","Dates=H","DateFormat=P","Fill=—","Direction=H","UseDPDF=Y")</f>
        <v>#NAME?</v>
      </c>
      <c r="CH353" s="2" t="e">
        <f ca="1">_xll.BDH($C$353,"LT_DEBT_TO_TOT_EQY","FY 2014","FY 2014","Currency=INR","Period=FY","BEST_FPERIOD_OVERRIDE=FY","FILING_STATUS=OR","EQY_CONSOLIDATED=Y","Sort=A","Dates=H","DateFormat=P","Fill=—","Direction=H","UseDPDF=Y")</f>
        <v>#NAME?</v>
      </c>
      <c r="CI353" s="2" t="e">
        <f ca="1">_xll.BDH($C$353,"LT_DEBT_TO_TOT_CAP","FY 2014","FY 2014","Currency=INR","Period=FY","BEST_FPERIOD_OVERRIDE=FY","FILING_STATUS=OR","EQY_CONSOLIDATED=Y","Sort=A","Dates=H","DateFormat=P","Fill=—","Direction=H","UseDPDF=Y")</f>
        <v>#NAME?</v>
      </c>
      <c r="CJ353" s="2" t="e">
        <f ca="1">_xll.BDH($C$353,"LT_DEBT_TO_TOT_ASSET","FY 2014","FY 2014","Currency=INR","Period=FY","BEST_FPERIOD_OVERRIDE=FY","FILING_STATUS=OR","EQY_CONSOLIDATED=Y","Sort=A","Dates=H","DateFormat=P","Fill=—","Direction=H","UseDPDF=Y")</f>
        <v>#NAME?</v>
      </c>
      <c r="CK353" s="2" t="e">
        <f ca="1">_xll.BDH($C$353,"TOT_DEBT_TO_TOT_EQY","FY 2014","FY 2014","Currency=INR","Period=FY","BEST_FPERIOD_OVERRIDE=FY","FILING_STATUS=OR","EQY_CONSOLIDATED=Y","Sort=A","Dates=H","DateFormat=P","Fill=—","Direction=H","UseDPDF=Y")</f>
        <v>#NAME?</v>
      </c>
      <c r="CL353" s="2" t="e">
        <f ca="1">_xll.BDH($C$353,"TOT_DEBT_TO_TOT_CAP","FY 2014","FY 2014","Currency=INR","Period=FY","BEST_FPERIOD_OVERRIDE=FY","FILING_STATUS=OR","EQY_CONSOLIDATED=Y","Sort=A","Dates=H","DateFormat=P","Fill=—","Direction=H","UseDPDF=Y")</f>
        <v>#NAME?</v>
      </c>
      <c r="CM353" s="2" t="e">
        <f ca="1">_xll.BDH($C$353,"TOT_DEBT_TO_TOT_ASSET","FY 2014","FY 2014","Currency=INR","Period=FY","BEST_FPERIOD_OVERRIDE=FY","FILING_STATUS=OR","EQY_CONSOLIDATED=Y","Sort=A","Dates=H","DateFormat=P","Fill=—","Direction=H","UseDPDF=Y")</f>
        <v>#NAME?</v>
      </c>
      <c r="CN353" s="2" t="e">
        <f ca="1">_xll.BDH($C$353,"NET_DEBT_TO_SHRHLDR_EQTY","FY 2014","FY 2014","Currency=INR","Period=FY","BEST_FPERIOD_OVERRIDE=FY","FILING_STATUS=OR","EQY_CONSOLIDATED=Y","Sort=A","Dates=H","DateFormat=P","Fill=—","Direction=H","UseDPDF=Y")</f>
        <v>#NAME?</v>
      </c>
      <c r="CO353" s="2" t="e">
        <f ca="1">_xll.BDH($C$353,"NET_DEBT_%_CAPITAL","FY 2014","FY 2014","Currency=INR","Period=FY","BEST_FPERIOD_OVERRIDE=FY","FILING_STATUS=OR","EQY_CONSOLIDATED=Y","Sort=A","Dates=H","DateFormat=P","Fill=—","Direction=H","UseDPDF=Y")</f>
        <v>#NAME?</v>
      </c>
      <c r="CP353" s="3" t="e">
        <f ca="1">_xll.BDH($C$353,"EBITDA","FY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353" s="3" t="e">
        <f ca="1">_xll.BDH($C$353,"EBITDA_AFTER_CAPEX","FY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353" s="3" t="e">
        <f ca="1">_xll.BDH($C$353,"IS_OPER_INC","FY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353" s="2" t="e">
        <f ca="1">_xll.BDH($C$353,"CASH_RATIO","FY 2014","FY 2014","Currency=INR","Period=FY","BEST_FPERIOD_OVERRIDE=FY","FILING_STATUS=OR","EQY_CONSOLIDATED=Y","Sort=A","Dates=H","DateFormat=P","Fill=—","Direction=H","UseDPDF=Y")</f>
        <v>#NAME?</v>
      </c>
      <c r="CT353" s="2" t="e">
        <f ca="1">_xll.BDH($C$353,"CUR_RATIO","FY 2014","FY 2014","Currency=INR","Period=FY","BEST_FPERIOD_OVERRIDE=FY","FILING_STATUS=OR","EQY_CONSOLIDATED=Y","Sort=A","Dates=H","DateFormat=P","Fill=—","Direction=H","UseDPDF=Y")</f>
        <v>#NAME?</v>
      </c>
      <c r="CU353" s="2" t="e">
        <f ca="1">_xll.BDH($C$353,"QUICK_RATIO","FY 2014","FY 2014","Currency=INR","Period=FY","BEST_FPERIOD_OVERRIDE=FY","FILING_STATUS=OR","EQY_CONSOLIDATED=Y","Sort=A","Dates=H","DateFormat=P","Fill=—","Direction=H","UseDPDF=Y")</f>
        <v>#NAME?</v>
      </c>
      <c r="CV353" s="2" t="e">
        <f ca="1">_xll.BDH($C$353,"ALTMAN_Z_SCORE","FY 2014","FY 2014","Currency=INR","Period=FY","BEST_FPERIOD_OVERRIDE=FY","FILING_STATUS=OR","EQY_CONSOLIDATED=Y","Sort=A","Dates=H","DateFormat=P","Fill=—","Direction=H","UseDPDF=Y")</f>
        <v>#NAME?</v>
      </c>
      <c r="CW353" s="4" t="e">
        <f ca="1">_xll.BDH($C$353,"ACCT_RCV_TURN","FY 2014","FY 2014","Currency=INR","Period=FY","BEST_FPERIOD_OVERRIDE=FY","FILING_STATUS=OR","EQY_CONSOLIDATED=Y","FA_ADJUSTED=GAAP","Sort=A","Dates=H","DateFormat=P","Fill=—","Direction=H","UseDPDF=Y")</f>
        <v>#NAME?</v>
      </c>
      <c r="CX353" s="2" t="e">
        <f ca="1">_xll.BDH($C$353,"ACCT_RCV_DAYS","FY 2014","FY 2014","Currency=INR","Period=FY","BEST_FPERIOD_OVERRIDE=FY","FILING_STATUS=OR","EQY_CONSOLIDATED=Y","FA_ADJUSTED=GAAP","Sort=A","Dates=H","DateFormat=P","Fill=—","Direction=H","UseDPDF=Y")</f>
        <v>#NAME?</v>
      </c>
      <c r="CY353" s="4" t="e">
        <f ca="1">_xll.BDH($C$353,"INVENT_TURN","FY 2014","FY 2014","Currency=INR","Period=FY","BEST_FPERIOD_OVERRIDE=FY","FILING_STATUS=OR","EQY_CONSOLIDATED=Y","FA_ADJUSTED=GAAP","Sort=A","Dates=H","DateFormat=P","Fill=—","Direction=H","UseDPDF=Y")</f>
        <v>#NAME?</v>
      </c>
      <c r="CZ353" s="2" t="e">
        <f ca="1">_xll.BDH($C$353,"INVENT_DAYS","FY 2014","FY 2014","Currency=INR","Period=FY","BEST_FPERIOD_OVERRIDE=FY","FILING_STATUS=OR","EQY_CONSOLIDATED=Y","FA_ADJUSTED=GAAP","Sort=A","Dates=H","DateFormat=P","Fill=—","Direction=H","UseDPDF=Y")</f>
        <v>#NAME?</v>
      </c>
      <c r="DA353" s="4" t="e">
        <f ca="1">_xll.BDH($C$353,"ACCOUNTS_PAYABLE_TURNOVER","FY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353" s="2" t="e">
        <f ca="1">_xll.BDH($C$353,"ACCOUNTS_PAYABLE_TURNOVER_DAYS","FY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353" s="4" t="e">
        <f ca="1">_xll.BDH($C$353,"CASH_CONVERSION_CYCLE","FY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353" s="4" t="e">
        <f ca="1">_xll.BDH($C$353,"INV_TO_CASH_DAYS","FY 2014","FY 2014","Currency=INR","Period=FY","BEST_FPERIOD_OVERRIDE=FY","FILING_STATUS=OR","EQY_CONSOLIDATED=Y","FA_ADJUSTED=GAAP","Sort=A","Dates=H","DateFormat=P","Fill=—","Direction=H","UseDPDF=Y")</f>
        <v>#NAME?</v>
      </c>
      <c r="DE353" s="5" t="e">
        <f ca="1">_xll.BDH($C$353,"BS_INVENTORIES","FY 2014","FY 2014","Currency=INR","Period=FY","BEST_FPERIOD_OVERRIDE=FY","FILING_STATUS=OR","EQY_CONSOLIDATED=Y","SCALING_FORMAT=MLN","Sort=A","Dates=H","DateFormat=P","Fill=—","Direction=H","UseDPDF=Y")</f>
        <v>#NAME?</v>
      </c>
      <c r="DF353" s="3" t="e">
        <f ca="1">_xll.BDH($C$353,"INVTRY_RAW_MATERIALS","FY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353" s="3" t="e">
        <f ca="1">_xll.BDH($C$353,"INVTRY_IN_PROGRESS","FY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353" s="3" t="e">
        <f ca="1">_xll.BDH($C$353,"INVTRY_FINISHED_GOODS","FY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353" s="3" t="e">
        <f ca="1">_xll.BDH($C$353,"BS_OTHER_INV","FY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354" spans="1:113" x14ac:dyDescent="0.3">
      <c r="A354" s="6"/>
      <c r="B354" s="6"/>
      <c r="C354" s="6"/>
      <c r="D354" s="6"/>
      <c r="E354" t="s">
        <v>78</v>
      </c>
      <c r="F354" t="e">
        <f ca="1">_xll.BDH($C$353,"RETURN_COM_EQY","FQ1 2014","FQ1 2014","Currency=INR","Period=FQ","BEST_FPERIOD_OVERRIDE=FQ","FILING_STATUS=OR","EQY_CONSOLIDATED=Y","FA_ADJUSTED=GAAP","Sort=A","Dates=H","DateFormat=P","Fill=—","Direction=H","UseDPDF=Y")</f>
        <v>#NAME?</v>
      </c>
      <c r="G354" t="e">
        <f ca="1">_xll.BDH($C$353,"RETURN_ON_ASSET","FQ1 2014","FQ1 2014","Currency=INR","Period=FQ","BEST_FPERIOD_OVERRIDE=FQ","FILING_STATUS=OR","EQY_CONSOLIDATED=Y","FA_ADJUSTED=GAAP","Sort=A","Dates=H","DateFormat=P","Fill=—","Direction=H","UseDPDF=Y")</f>
        <v>#NAME?</v>
      </c>
      <c r="H354" t="e">
        <f ca="1">_xll.BDH($C$353,"RETURN_ON_CAP","FQ1 2014","FQ1 2014","Currency=INR","Period=FQ","BEST_FPERIOD_OVERRIDE=FQ","FILING_STATUS=OR","EQY_CONSOLIDATED=Y","FA_ADJUSTED=GAAP","Sort=A","Dates=H","DateFormat=P","Fill=—","Direction=H","UseDPDF=Y")</f>
        <v>#NAME?</v>
      </c>
      <c r="I354" t="e">
        <f ca="1">_xll.BDH($C$353,"RETURN_ON_INV_CAPITAL","FQ1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354" t="e">
        <f ca="1">_xll.BDH($C$353,"EBITDA_TO_REVENUE","FQ1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354" t="e">
        <f ca="1">_xll.BDH($C$353,"OPER_MARGIN","FQ1 2014","FQ1 2014","Currency=INR","Period=FQ","BEST_FPERIOD_OVERRIDE=FQ","FILING_STATUS=OR","EQY_CONSOLIDATED=Y","FA_ADJUSTED=GAAP","Sort=A","Dates=H","DateFormat=P","Fill=—","Direction=H","UseDPDF=Y")</f>
        <v>#NAME?</v>
      </c>
      <c r="L354" t="e">
        <f ca="1">_xll.BDH($C$353,"INCREMENTAL_OPERATING_MARGIN","FQ1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354" t="e">
        <f ca="1">_xll.BDH($C$353,"PRETAX_INC_TO_NET_SALES","FQ1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354" t="e">
        <f ca="1">_xll.BDH($C$353,"INC_BEF_XO_ITEMS_TO_NET_SALES","FQ1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354" t="e">
        <f ca="1">_xll.BDH($C$353,"PROF_MARGIN","FQ1 2014","FQ1 2014","Currency=INR","Period=FQ","BEST_FPERIOD_OVERRIDE=FQ","FILING_STATUS=OR","EQY_CONSOLIDATED=Y","FA_ADJUSTED=GAAP","Sort=A","Dates=H","DateFormat=P","Fill=—","Direction=H","UseDPDF=Y")</f>
        <v>#NAME?</v>
      </c>
      <c r="P354" t="e">
        <f ca="1">_xll.BDH($C$353,"NET_INCOME_TO_COMMON_MARGIN","FQ1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354" t="e">
        <f ca="1">_xll.BDH($C$353,"EFF_TAX_RATE","FQ1 2014","FQ1 2014","Currency=INR","Period=FQ","BEST_FPERIOD_OVERRIDE=FQ","FILING_STATUS=OR","EQY_CONSOLIDATED=Y","FA_ADJUSTED=GAAP","Sort=A","Dates=H","DateFormat=P","Fill=—","Direction=H","UseDPDF=Y")</f>
        <v>#NAME?</v>
      </c>
      <c r="R354" t="e">
        <f ca="1">_xll.BDH($C$353,"DVD_PAYOUT_RATIO","FQ1 2014","FQ1 2014","Currency=INR","Period=FQ","BEST_FPERIOD_OVERRIDE=FQ","FILING_STATUS=OR","EQY_CONSOLIDATED=Y","FA_ADJUSTED=GAAP","Sort=A","Dates=H","DateFormat=P","Fill=—","Direction=H","UseDPDF=Y")</f>
        <v>#NAME?</v>
      </c>
      <c r="S354" t="e">
        <f ca="1">_xll.BDH($C$353,"SUSTAIN_GROWTH_RT","FQ1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354" s="2" t="e">
        <f ca="1">_xll.BDH($C$353,"SALES_GROWTH","FQ1 2014","FQ1 2014","Currency=INR","Period=FQ","BEST_FPERIOD_OVERRIDE=FQ","FILING_STATUS=OR","EQY_CONSOLIDATED=Y","FA_ADJUSTED=GAAP","Sort=A","Dates=H","DateFormat=P","Fill=—","Direction=H","UseDPDF=Y")</f>
        <v>#NAME?</v>
      </c>
      <c r="U354" s="2" t="e">
        <f ca="1">_xll.BDH($C$353,"EBITDA_GROWTH","FQ1 2014","FQ1 2014","Currency=INR","Period=FQ","BEST_FPERIOD_OVERRIDE=FQ","FILING_STATUS=OR","EQY_CONSOLIDATED=Y","FA_ADJUSTED=GAAP","Sort=A","Dates=H","DateFormat=P","Fill=—","Direction=H","UseDPDF=Y")</f>
        <v>#NAME?</v>
      </c>
      <c r="V354" s="2" t="e">
        <f ca="1">_xll.BDH($C$353,"OPER_INC_GROWTH","FQ1 2014","FQ1 2014","Currency=INR","Period=FQ","BEST_FPERIOD_OVERRIDE=FQ","FILING_STATUS=OR","EQY_CONSOLIDATED=Y","FA_ADJUSTED=GAAP","Sort=A","Dates=H","DateFormat=P","Fill=—","Direction=H","UseDPDF=Y")</f>
        <v>#NAME?</v>
      </c>
      <c r="W354" s="2" t="e">
        <f ca="1">_xll.BDH($C$353,"EARN_FOR_COM_GROWTH","FQ1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354" s="2" t="e">
        <f ca="1">_xll.BDH($C$353,"DILUTED_EPS_AFT_XO_ITEMS_GROWTH","FQ1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354" s="2" t="e">
        <f ca="1">_xll.BDH($C$353,"DIVIDEND_PER_SHARE_1_YEAR_GROWTH","FQ1 2014","FQ1 2014","Currency=INR","Period=FQ","BEST_FPERIOD_OVERRIDE=FQ","FILING_STATUS=OR","EQY_CONSOLIDATED=Y","Sort=A","Dates=H","DateFormat=P","Fill=—","Direction=H","UseDPDF=Y")</f>
        <v>#NAME?</v>
      </c>
      <c r="Z354" s="2" t="e">
        <f ca="1">_xll.BDH($C$353,"ACCOUNTS_RECEIVABLE_GROWTH","FQ1 2014","FQ1 2014","Currency=INR","Period=FQ","BEST_FPERIOD_OVERRIDE=FQ","FILING_STATUS=OR","EQY_CONSOLIDATED=Y","Sort=A","Dates=H","DateFormat=P","Fill=—","Direction=H","UseDPDF=Y")</f>
        <v>#NAME?</v>
      </c>
      <c r="AA354" s="2" t="e">
        <f ca="1">_xll.BDH($C$353,"INVENTORY_GROWTH","FQ1 2014","FQ1 2014","Currency=INR","Period=FQ","BEST_FPERIOD_OVERRIDE=FQ","FILING_STATUS=OR","EQY_CONSOLIDATED=Y","Sort=A","Dates=H","DateFormat=P","Fill=—","Direction=H","UseDPDF=Y")</f>
        <v>#NAME?</v>
      </c>
      <c r="AB354" s="2" t="e">
        <f ca="1">_xll.BDH($C$353,"NET_FIXED_ASSETS_1_YEAR_GROWTH","FQ1 2014","FQ1 2014","Currency=INR","Period=FQ","BEST_FPERIOD_OVERRIDE=FQ","FILING_STATUS=OR","EQY_CONSOLIDATED=Y","Sort=A","Dates=H","DateFormat=P","Fill=—","Direction=H","UseDPDF=Y")</f>
        <v>#NAME?</v>
      </c>
      <c r="AC354" s="2" t="e">
        <f ca="1">_xll.BDH($C$353,"ASSET_GROWTH","FQ1 2014","FQ1 2014","Currency=INR","Period=FQ","BEST_FPERIOD_OVERRIDE=FQ","FILING_STATUS=OR","EQY_CONSOLIDATED=Y","Sort=A","Dates=H","DateFormat=P","Fill=—","Direction=H","UseDPDF=Y")</f>
        <v>#NAME?</v>
      </c>
      <c r="AD354" s="2" t="e">
        <f ca="1">_xll.BDH($C$353,"MODIFIED_WORK_CAP_GROWTH","FQ1 2014","FQ1 2014","Currency=INR","Period=FQ","BEST_FPERIOD_OVERRIDE=FQ","FILING_STATUS=OR","EQY_CONSOLIDATED=Y","Sort=A","Dates=H","DateFormat=P","Fill=—","Direction=H","UseDPDF=Y")</f>
        <v>#NAME?</v>
      </c>
      <c r="AE354" s="2" t="e">
        <f ca="1">_xll.BDH($C$353,"WORK_CAP_GROWTH","FQ1 2014","FQ1 2014","Currency=INR","Period=FQ","BEST_FPERIOD_OVERRIDE=FQ","FILING_STATUS=OR","EQY_CONSOLIDATED=Y","Sort=A","Dates=H","DateFormat=P","Fill=—","Direction=H","UseDPDF=Y")</f>
        <v>#NAME?</v>
      </c>
      <c r="AF354" s="2" t="e">
        <f ca="1">_xll.BDH($C$353,"ACCOUNTS_PAYABLE_GROWTH_1YR","FQ1 2014","FQ1 2014","Currency=INR","Period=FQ","BEST_FPERIOD_OVERRIDE=FQ","FILING_STATUS=OR","EQY_CONSOLIDATED=Y","Sort=A","Dates=H","DateFormat=P","Fill=—","Direction=H","UseDPDF=Y")</f>
        <v>#NAME?</v>
      </c>
      <c r="AG354" s="2" t="e">
        <f ca="1">_xll.BDH($C$353,"SHORT_TERM_DEBT_1_YEAR_GROWTH","FQ1 2014","FQ1 2014","Currency=INR","Period=FQ","BEST_FPERIOD_OVERRIDE=FQ","FILING_STATUS=OR","EQY_CONSOLIDATED=Y","Sort=A","Dates=H","DateFormat=P","Fill=—","Direction=H","UseDPDF=Y")</f>
        <v>#NAME?</v>
      </c>
      <c r="AH354" s="2" t="e">
        <f ca="1">_xll.BDH($C$353,"TOTAL_DEBT_1_YEAR_GROWTH","FQ1 2014","FQ1 2014","Currency=INR","Period=FQ","BEST_FPERIOD_OVERRIDE=FQ","FILING_STATUS=OR","EQY_CONSOLIDATED=Y","Sort=A","Dates=H","DateFormat=P","Fill=—","Direction=H","UseDPDF=Y")</f>
        <v>#NAME?</v>
      </c>
      <c r="AI354" s="2" t="e">
        <f ca="1">_xll.BDH($C$353,"TOTAL_EQUITY_1_YEAR_GROWTH","FQ1 2014","FQ1 2014","Currency=INR","Period=FQ","BEST_FPERIOD_OVERRIDE=FQ","FILING_STATUS=OR","EQY_CONSOLIDATED=Y","Sort=A","Dates=H","DateFormat=P","Fill=—","Direction=H","UseDPDF=Y")</f>
        <v>#NAME?</v>
      </c>
      <c r="AJ354" s="2" t="e">
        <f ca="1">_xll.BDH($C$353,"GROWTH_IN_CAP","FQ1 2014","FQ1 2014","Currency=INR","Period=FQ","BEST_FPERIOD_OVERRIDE=FQ","FILING_STATUS=OR","EQY_CONSOLIDATED=Y","Sort=A","Dates=H","DateFormat=P","Fill=—","Direction=H","UseDPDF=Y")</f>
        <v>#NAME?</v>
      </c>
      <c r="AK354" s="2" t="e">
        <f ca="1">_xll.BDH($C$353,"BVPS_GROWTH","FQ1 2014","FQ1 2014","Currency=INR","Period=FQ","BEST_FPERIOD_OVERRIDE=FQ","FILING_STATUS=OR","EQY_CONSOLIDATED=Y","Sort=A","Dates=H","DateFormat=P","Fill=—","Direction=H","UseDPDF=Y")</f>
        <v>#NAME?</v>
      </c>
      <c r="AL354" s="2" t="e">
        <f ca="1">_xll.BDH($C$353,"CASH_FLOW_GROWTH","FQ1 2014","FQ1 2014","Currency=INR","Period=FQ","BEST_FPERIOD_OVERRIDE=FQ","FILING_STATUS=OR","EQY_CONSOLIDATED=Y","Sort=A","Dates=H","DateFormat=P","Fill=—","Direction=H","UseDPDF=Y")</f>
        <v>#NAME?</v>
      </c>
      <c r="AM354" s="2" t="e">
        <f ca="1">_xll.BDH($C$353,"GEO_GROW_NET_SALES","FQ1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354" s="2" t="e">
        <f ca="1">_xll.BDH($C$353,"GEO_GROW_EBITDA","FQ1 2014","FQ1 2014","Currency=INR","Period=FQ","BEST_FPERIOD_OVERRIDE=FQ","FILING_STATUS=OR","EQY_CONSOLIDATED=Y","FA_ADJUSTED=GAAP","Sort=A","Dates=H","DateFormat=P","Fill=—","Direction=H","UseDPDF=Y")</f>
        <v>#NAME?</v>
      </c>
      <c r="AO354" s="2" t="e">
        <f ca="1">_xll.BDH($C$353,"GEO_GROW_OPER_INC","FQ1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354" s="2" t="e">
        <f ca="1">_xll.BDH($C$353,"NET_INCOME_TO_COMMON_5_YR_GROWTH","FQ1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354" s="2" t="e">
        <f ca="1">_xll.BDH($C$353,"5Y_GEO_GROWTH_DILUTED_EPS","FQ1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354" s="2" t="e">
        <f ca="1">_xll.BDH($C$353,"GEO_GROW_DVD_PER_SH","FQ1 2014","FQ1 2014","Currency=INR","Period=FQ","BEST_FPERIOD_OVERRIDE=FQ","FILING_STATUS=OR","EQY_CONSOLIDATED=Y","Sort=A","Dates=H","DateFormat=P","Fill=—","Direction=H","UseDPDF=Y")</f>
        <v>#NAME?</v>
      </c>
      <c r="AS354" s="2" t="e">
        <f ca="1">_xll.BDH($C$353,"ACCOUNTS_RECEIVABLE_5_YR_GROWTH","FQ1 2014","FQ1 2014","Currency=INR","Period=FQ","BEST_FPERIOD_OVERRIDE=FQ","FILING_STATUS=OR","EQY_CONSOLIDATED=Y","Sort=A","Dates=H","DateFormat=P","Fill=—","Direction=H","UseDPDF=Y")</f>
        <v>#NAME?</v>
      </c>
      <c r="AT354" s="2" t="e">
        <f ca="1">_xll.BDH($C$353,"INVENTORY_5_YEAR_GROWTH","FQ1 2014","FQ1 2014","Currency=INR","Period=FQ","BEST_FPERIOD_OVERRIDE=FQ","FILING_STATUS=OR","EQY_CONSOLIDATED=Y","Sort=A","Dates=H","DateFormat=P","Fill=—","Direction=H","UseDPDF=Y")</f>
        <v>#NAME?</v>
      </c>
      <c r="AU354" s="2" t="e">
        <f ca="1">_xll.BDH($C$353,"NET_FIXED_ASSETS_5_YEAR_GROWTH","FQ1 2014","FQ1 2014","Currency=INR","Period=FQ","BEST_FPERIOD_OVERRIDE=FQ","FILING_STATUS=OR","EQY_CONSOLIDATED=Y","Sort=A","Dates=H","DateFormat=P","Fill=—","Direction=H","UseDPDF=Y")</f>
        <v>#NAME?</v>
      </c>
      <c r="AV354" s="2" t="e">
        <f ca="1">_xll.BDH($C$353,"GEO_GROW_TOT_ASSET","FQ1 2014","FQ1 2014","Currency=INR","Period=FQ","BEST_FPERIOD_OVERRIDE=FQ","FILING_STATUS=OR","EQY_CONSOLIDATED=Y","Sort=A","Dates=H","DateFormat=P","Fill=—","Direction=H","UseDPDF=Y")</f>
        <v>#NAME?</v>
      </c>
      <c r="AW354" s="2" t="e">
        <f ca="1">_xll.BDH($C$353,"MODIFIED_WORKING_CPTL_5YR_GRWTH","FQ1 2014","FQ1 2014","Currency=INR","Period=FQ","BEST_FPERIOD_OVERRIDE=FQ","FILING_STATUS=OR","EQY_CONSOLIDATED=Y","Sort=A","Dates=H","DateFormat=P","Fill=—","Direction=H","UseDPDF=Y")</f>
        <v>#NAME?</v>
      </c>
      <c r="AX354" s="2" t="e">
        <f ca="1">_xll.BDH($C$353,"WORKING_CAPITAL_5_YEAR_GROWTH","FQ1 2014","FQ1 2014","Currency=INR","Period=FQ","BEST_FPERIOD_OVERRIDE=FQ","FILING_STATUS=OR","EQY_CONSOLIDATED=Y","Sort=A","Dates=H","DateFormat=P","Fill=—","Direction=H","UseDPDF=Y")</f>
        <v>#NAME?</v>
      </c>
      <c r="AY354" s="2" t="e">
        <f ca="1">_xll.BDH($C$353,"ACCOUNTS_PAYABLE_5_YEAR_GROWTH","FQ1 2014","FQ1 2014","Currency=INR","Period=FQ","BEST_FPERIOD_OVERRIDE=FQ","FILING_STATUS=OR","EQY_CONSOLIDATED=Y","Sort=A","Dates=H","DateFormat=P","Fill=—","Direction=H","UseDPDF=Y")</f>
        <v>#NAME?</v>
      </c>
      <c r="AZ354" s="2" t="e">
        <f ca="1">_xll.BDH($C$353,"SHORT_TERM_DEBT_5_YEAR_GROWTH","FQ1 2014","FQ1 2014","Currency=INR","Period=FQ","BEST_FPERIOD_OVERRIDE=FQ","FILING_STATUS=OR","EQY_CONSOLIDATED=Y","Sort=A","Dates=H","DateFormat=P","Fill=—","Direction=H","UseDPDF=Y")</f>
        <v>#NAME?</v>
      </c>
      <c r="BA354" s="2" t="e">
        <f ca="1">_xll.BDH($C$353,"TOTAL_DEBT_5_YEAR_GROWTH","FQ1 2014","FQ1 2014","Currency=INR","Period=FQ","BEST_FPERIOD_OVERRIDE=FQ","FILING_STATUS=OR","EQY_CONSOLIDATED=Y","Sort=A","Dates=H","DateFormat=P","Fill=—","Direction=H","UseDPDF=Y")</f>
        <v>#NAME?</v>
      </c>
      <c r="BB354" s="2" t="e">
        <f ca="1">_xll.BDH($C$353,"GEO_GROW_TOT_SHRHLDR_EQY","FQ1 2014","FQ1 2014","Currency=INR","Period=FQ","BEST_FPERIOD_OVERRIDE=FQ","FILING_STATUS=OR","EQY_CONSOLIDATED=Y","Sort=A","Dates=H","DateFormat=P","Fill=—","Direction=H","UseDPDF=Y")</f>
        <v>#NAME?</v>
      </c>
      <c r="BC354" s="2" t="e">
        <f ca="1">_xll.BDH($C$353,"TOTAL_CAPITAL_5_YEAR_GROWTH","FQ1 2014","FQ1 2014","Currency=INR","Period=FQ","BEST_FPERIOD_OVERRIDE=FQ","FILING_STATUS=OR","EQY_CONSOLIDATED=Y","Sort=A","Dates=H","DateFormat=P","Fill=—","Direction=H","UseDPDF=Y")</f>
        <v>#NAME?</v>
      </c>
      <c r="BD354" s="2" t="e">
        <f ca="1">_xll.BDH($C$353,"GEO_GROW_BOOK_VAL","FQ1 2014","FQ1 2014","Currency=INR","Period=FQ","BEST_FPERIOD_OVERRIDE=FQ","FILING_STATUS=OR","EQY_CONSOLIDATED=Y","Sort=A","Dates=H","DateFormat=P","Fill=—","Direction=H","UseDPDF=Y")</f>
        <v>#NAME?</v>
      </c>
      <c r="BE354" s="2" t="e">
        <f ca="1">_xll.BDH($C$353,"GEO_GROW_CASH_OPER_ACT","FQ1 2014","FQ1 2014","Currency=INR","Period=FQ","BEST_FPERIOD_OVERRIDE=FQ","FILING_STATUS=OR","EQY_CONSOLIDATED=Y","Sort=A","Dates=H","DateFormat=P","Fill=—","Direction=H","UseDPDF=Y")</f>
        <v>#NAME?</v>
      </c>
      <c r="BF354" s="2" t="e">
        <f ca="1">_xll.BDH($C$353,"REVENUE_SEQUENTIAL_GROWTH","FQ1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354" s="2" t="e">
        <f ca="1">_xll.BDH($C$353,"EBITDA_SEQUENTIAL_GROWTH","FQ1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354" s="2" t="e">
        <f ca="1">_xll.BDH($C$353,"OPERATING_INCOME_SEQ_GROWTH","FQ1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354" s="2" t="e">
        <f ca="1">_xll.BDH($C$353,"NET_INCOME_TO_COMMON_SEQ_GROWTH","FQ1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354" s="2" t="e">
        <f ca="1">_xll.BDH($C$353,"EPS_DILUTED_SEQUENTIAL_GROWTH","FQ1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354" s="2" t="e">
        <f ca="1">_xll.BDH($C$353,"DPS_SEQUENTIAL_GROWTH","FQ1 2014","FQ1 2014","Currency=INR","Period=FQ","BEST_FPERIOD_OVERRIDE=FQ","FILING_STATUS=OR","EQY_CONSOLIDATED=Y","Sort=A","Dates=H","DateFormat=P","Fill=—","Direction=H","UseDPDF=Y")</f>
        <v>#NAME?</v>
      </c>
      <c r="BL354" s="2" t="e">
        <f ca="1">_xll.BDH($C$353,"ACCOUNTS_RECEIVABLE_SEQ_GROWTH","FQ1 2014","FQ1 2014","Currency=INR","Period=FQ","BEST_FPERIOD_OVERRIDE=FQ","FILING_STATUS=OR","EQY_CONSOLIDATED=Y","Sort=A","Dates=H","DateFormat=P","Fill=—","Direction=H","UseDPDF=Y")</f>
        <v>#NAME?</v>
      </c>
      <c r="BM354" s="2" t="e">
        <f ca="1">_xll.BDH($C$353,"INVENTORY_SEQUENTIAL_GROWTH","FQ1 2014","FQ1 2014","Currency=INR","Period=FQ","BEST_FPERIOD_OVERRIDE=FQ","FILING_STATUS=OR","EQY_CONSOLIDATED=Y","Sort=A","Dates=H","DateFormat=P","Fill=—","Direction=H","UseDPDF=Y")</f>
        <v>#NAME?</v>
      </c>
      <c r="BN354" s="2" t="e">
        <f ca="1">_xll.BDH($C$353,"FIXED_ASSETS_SEQUENTIAL_GROWTH","FQ1 2014","FQ1 2014","Currency=INR","Period=FQ","BEST_FPERIOD_OVERRIDE=FQ","FILING_STATUS=OR","EQY_CONSOLIDATED=Y","Sort=A","Dates=H","DateFormat=P","Fill=—","Direction=H","UseDPDF=Y")</f>
        <v>#NAME?</v>
      </c>
      <c r="BO354" s="2" t="e">
        <f ca="1">_xll.BDH($C$353,"TOTAL_ASSETS_SEQUENTIAL_GROWTH","FQ1 2014","FQ1 2014","Currency=INR","Period=FQ","BEST_FPERIOD_OVERRIDE=FQ","FILING_STATUS=OR","EQY_CONSOLIDATED=Y","Sort=A","Dates=H","DateFormat=P","Fill=—","Direction=H","UseDPDF=Y")</f>
        <v>#NAME?</v>
      </c>
      <c r="BP354" s="2" t="e">
        <f ca="1">_xll.BDH($C$353,"MODIFIED_WORKING_CPTL_SEQ_GRWTH","FQ1 2014","FQ1 2014","Currency=INR","Period=FQ","BEST_FPERIOD_OVERRIDE=FQ","FILING_STATUS=OR","EQY_CONSOLIDATED=Y","Sort=A","Dates=H","DateFormat=P","Fill=—","Direction=H","UseDPDF=Y")</f>
        <v>#NAME?</v>
      </c>
      <c r="BQ354" s="2" t="e">
        <f ca="1">_xll.BDH($C$353,"WORKING_CAPITAL_SEQ_GROWTH","FQ1 2014","FQ1 2014","Currency=INR","Period=FQ","BEST_FPERIOD_OVERRIDE=FQ","FILING_STATUS=OR","EQY_CONSOLIDATED=Y","Sort=A","Dates=H","DateFormat=P","Fill=—","Direction=H","UseDPDF=Y")</f>
        <v>#NAME?</v>
      </c>
      <c r="BR354" s="2" t="e">
        <f ca="1">_xll.BDH($C$353,"ACCOUNTS_PAYABLE_SEQ_GROWTH","FQ1 2014","FQ1 2014","Currency=INR","Period=FQ","BEST_FPERIOD_OVERRIDE=FQ","FILING_STATUS=OR","EQY_CONSOLIDATED=Y","Sort=A","Dates=H","DateFormat=P","Fill=—","Direction=H","UseDPDF=Y")</f>
        <v>#NAME?</v>
      </c>
      <c r="BS354" s="2" t="e">
        <f ca="1">_xll.BDH($C$353,"ST_DEBT_SEQUENTIAL_GROWTH","FQ1 2014","FQ1 2014","Currency=INR","Period=FQ","BEST_FPERIOD_OVERRIDE=FQ","FILING_STATUS=OR","EQY_CONSOLIDATED=Y","Sort=A","Dates=H","DateFormat=P","Fill=—","Direction=H","UseDPDF=Y")</f>
        <v>#NAME?</v>
      </c>
      <c r="BT354" s="2" t="e">
        <f ca="1">_xll.BDH($C$353,"TOTAL_DEBT_SEQUENTIAL_GROWTH","FQ1 2014","FQ1 2014","Currency=INR","Period=FQ","BEST_FPERIOD_OVERRIDE=FQ","FILING_STATUS=OR","EQY_CONSOLIDATED=Y","Sort=A","Dates=H","DateFormat=P","Fill=—","Direction=H","UseDPDF=Y")</f>
        <v>#NAME?</v>
      </c>
      <c r="BU354" s="2" t="e">
        <f ca="1">_xll.BDH($C$353,"TOTAL_EQUITY_SEQUENTIAL_GROWTH","FQ1 2014","FQ1 2014","Currency=INR","Period=FQ","BEST_FPERIOD_OVERRIDE=FQ","FILING_STATUS=OR","EQY_CONSOLIDATED=Y","Sort=A","Dates=H","DateFormat=P","Fill=—","Direction=H","UseDPDF=Y")</f>
        <v>#NAME?</v>
      </c>
      <c r="BV354" s="2" t="e">
        <f ca="1">_xll.BDH($C$353,"TOTAL_CAPITAL_SEQUENTIAL_GROWTH","FQ1 2014","FQ1 2014","Currency=INR","Period=FQ","BEST_FPERIOD_OVERRIDE=FQ","FILING_STATUS=OR","EQY_CONSOLIDATED=Y","Sort=A","Dates=H","DateFormat=P","Fill=—","Direction=H","UseDPDF=Y")</f>
        <v>#NAME?</v>
      </c>
      <c r="BW354" s="2" t="e">
        <f ca="1">_xll.BDH($C$353,"BPS_SEQUENTIAL_GROWTH","FQ1 2014","FQ1 2014","Currency=INR","Period=FQ","BEST_FPERIOD_OVERRIDE=FQ","FILING_STATUS=OR","EQY_CONSOLIDATED=Y","Sort=A","Dates=H","DateFormat=P","Fill=—","Direction=H","UseDPDF=Y")</f>
        <v>#NAME?</v>
      </c>
      <c r="BX354" s="2" t="e">
        <f ca="1">_xll.BDH($C$353,"CFO_SEQUENTIAL_GROWTH","FQ1 2014","FQ1 2014","Currency=INR","Period=FQ","BEST_FPERIOD_OVERRIDE=FQ","FILING_STATUS=OR","EQY_CONSOLIDATED=Y","Sort=A","Dates=H","DateFormat=P","Fill=—","Direction=H","UseDPDF=Y")</f>
        <v>#NAME?</v>
      </c>
      <c r="BY354" s="3" t="e">
        <f ca="1">_xll.BDH($C$353,"SHORT_AND_LONG_TERM_DEBT","FQ1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354" s="3" t="e">
        <f ca="1">_xll.BDH($C$353,"BS_ST_BORROW","FQ1 2014","FQ1 2014","Currency=INR","Period=FQ","BEST_FPERIOD_OVERRIDE=FQ","FILING_STATUS=OR","EQY_CONSOLIDATED=Y","SCALING_FORMAT=MLN","Sort=A","Dates=H","DateFormat=P","Fill=—","Direction=H","UseDPDF=Y")</f>
        <v>#NAME?</v>
      </c>
      <c r="CA354" s="3" t="e">
        <f ca="1">_xll.BDH($C$353,"BS_LT_BORROW","FQ1 2014","FQ1 2014","Currency=INR","Period=FQ","BEST_FPERIOD_OVERRIDE=FQ","FILING_STATUS=OR","EQY_CONSOLIDATED=Y","SCALING_FORMAT=MLN","Sort=A","Dates=H","DateFormat=P","Fill=—","Direction=H","UseDPDF=Y")</f>
        <v>#NAME?</v>
      </c>
      <c r="CB354" s="2" t="e">
        <f ca="1">_xll.BDH($C$353,"TOT_DEBT_TO_EBITDA","FQ1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354" s="2" t="e">
        <f ca="1">_xll.BDH($C$353,"NET_DEBT_TO_EBITDA","FQ1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354" s="2" t="e">
        <f ca="1">_xll.BDH($C$353,"TOTAL_DEBT_TO_EBIT","FQ1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354" s="2" t="e">
        <f ca="1">_xll.BDH($C$353,"NET_DEBT_TO_EBIT","FQ1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354" s="2" t="e">
        <f ca="1">_xll.BDH($C$353,"EBITDA_TO_INTEREST_EXPN","FQ1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354" s="2" t="e">
        <f ca="1">_xll.BDH($C$353,"COM_EQY_TO_TOT_ASSET","FQ1 2014","FQ1 2014","Currency=INR","Period=FQ","BEST_FPERIOD_OVERRIDE=FQ","FILING_STATUS=OR","EQY_CONSOLIDATED=Y","Sort=A","Dates=H","DateFormat=P","Fill=—","Direction=H","UseDPDF=Y")</f>
        <v>#NAME?</v>
      </c>
      <c r="CH354" s="2" t="e">
        <f ca="1">_xll.BDH($C$353,"LT_DEBT_TO_TOT_EQY","FQ1 2014","FQ1 2014","Currency=INR","Period=FQ","BEST_FPERIOD_OVERRIDE=FQ","FILING_STATUS=OR","EQY_CONSOLIDATED=Y","Sort=A","Dates=H","DateFormat=P","Fill=—","Direction=H","UseDPDF=Y")</f>
        <v>#NAME?</v>
      </c>
      <c r="CI354" s="2" t="e">
        <f ca="1">_xll.BDH($C$353,"LT_DEBT_TO_TOT_CAP","FQ1 2014","FQ1 2014","Currency=INR","Period=FQ","BEST_FPERIOD_OVERRIDE=FQ","FILING_STATUS=OR","EQY_CONSOLIDATED=Y","Sort=A","Dates=H","DateFormat=P","Fill=—","Direction=H","UseDPDF=Y")</f>
        <v>#NAME?</v>
      </c>
      <c r="CJ354" s="2" t="e">
        <f ca="1">_xll.BDH($C$353,"LT_DEBT_TO_TOT_ASSET","FQ1 2014","FQ1 2014","Currency=INR","Period=FQ","BEST_FPERIOD_OVERRIDE=FQ","FILING_STATUS=OR","EQY_CONSOLIDATED=Y","Sort=A","Dates=H","DateFormat=P","Fill=—","Direction=H","UseDPDF=Y")</f>
        <v>#NAME?</v>
      </c>
      <c r="CK354" s="2" t="e">
        <f ca="1">_xll.BDH($C$353,"TOT_DEBT_TO_TOT_EQY","FQ1 2014","FQ1 2014","Currency=INR","Period=FQ","BEST_FPERIOD_OVERRIDE=FQ","FILING_STATUS=OR","EQY_CONSOLIDATED=Y","Sort=A","Dates=H","DateFormat=P","Fill=—","Direction=H","UseDPDF=Y")</f>
        <v>#NAME?</v>
      </c>
      <c r="CL354" s="2" t="e">
        <f ca="1">_xll.BDH($C$353,"TOT_DEBT_TO_TOT_CAP","FQ1 2014","FQ1 2014","Currency=INR","Period=FQ","BEST_FPERIOD_OVERRIDE=FQ","FILING_STATUS=OR","EQY_CONSOLIDATED=Y","Sort=A","Dates=H","DateFormat=P","Fill=—","Direction=H","UseDPDF=Y")</f>
        <v>#NAME?</v>
      </c>
      <c r="CM354" s="2" t="e">
        <f ca="1">_xll.BDH($C$353,"TOT_DEBT_TO_TOT_ASSET","FQ1 2014","FQ1 2014","Currency=INR","Period=FQ","BEST_FPERIOD_OVERRIDE=FQ","FILING_STATUS=OR","EQY_CONSOLIDATED=Y","Sort=A","Dates=H","DateFormat=P","Fill=—","Direction=H","UseDPDF=Y")</f>
        <v>#NAME?</v>
      </c>
      <c r="CN354" s="2" t="e">
        <f ca="1">_xll.BDH($C$353,"NET_DEBT_TO_SHRHLDR_EQTY","FQ1 2014","FQ1 2014","Currency=INR","Period=FQ","BEST_FPERIOD_OVERRIDE=FQ","FILING_STATUS=OR","EQY_CONSOLIDATED=Y","Sort=A","Dates=H","DateFormat=P","Fill=—","Direction=H","UseDPDF=Y")</f>
        <v>#NAME?</v>
      </c>
      <c r="CO354" s="2" t="e">
        <f ca="1">_xll.BDH($C$353,"NET_DEBT_%_CAPITAL","FQ1 2014","FQ1 2014","Currency=INR","Period=FQ","BEST_FPERIOD_OVERRIDE=FQ","FILING_STATUS=OR","EQY_CONSOLIDATED=Y","Sort=A","Dates=H","DateFormat=P","Fill=—","Direction=H","UseDPDF=Y")</f>
        <v>#NAME?</v>
      </c>
      <c r="CP354" s="3" t="e">
        <f ca="1">_xll.BDH($C$353,"EBITDA","FQ1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354" s="3" t="e">
        <f ca="1">_xll.BDH($C$353,"EBITDA_AFTER_CAPEX","FQ1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354" s="3" t="e">
        <f ca="1">_xll.BDH($C$353,"IS_OPER_INC","FQ1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354" s="2" t="e">
        <f ca="1">_xll.BDH($C$353,"CASH_RATIO","FQ1 2014","FQ1 2014","Currency=INR","Period=FQ","BEST_FPERIOD_OVERRIDE=FQ","FILING_STATUS=OR","EQY_CONSOLIDATED=Y","Sort=A","Dates=H","DateFormat=P","Fill=—","Direction=H","UseDPDF=Y")</f>
        <v>#NAME?</v>
      </c>
      <c r="CT354" s="2" t="e">
        <f ca="1">_xll.BDH($C$353,"CUR_RATIO","FQ1 2014","FQ1 2014","Currency=INR","Period=FQ","BEST_FPERIOD_OVERRIDE=FQ","FILING_STATUS=OR","EQY_CONSOLIDATED=Y","Sort=A","Dates=H","DateFormat=P","Fill=—","Direction=H","UseDPDF=Y")</f>
        <v>#NAME?</v>
      </c>
      <c r="CU354" s="2" t="e">
        <f ca="1">_xll.BDH($C$353,"QUICK_RATIO","FQ1 2014","FQ1 2014","Currency=INR","Period=FQ","BEST_FPERIOD_OVERRIDE=FQ","FILING_STATUS=OR","EQY_CONSOLIDATED=Y","Sort=A","Dates=H","DateFormat=P","Fill=—","Direction=H","UseDPDF=Y")</f>
        <v>#NAME?</v>
      </c>
      <c r="CV354" s="2" t="e">
        <f ca="1">_xll.BDH($C$353,"ALTMAN_Z_SCORE","FQ1 2014","FQ1 2014","Currency=INR","Period=FQ","BEST_FPERIOD_OVERRIDE=FQ","FILING_STATUS=OR","EQY_CONSOLIDATED=Y","Sort=A","Dates=H","DateFormat=P","Fill=—","Direction=H","UseDPDF=Y")</f>
        <v>#NAME?</v>
      </c>
      <c r="CW354" s="4" t="e">
        <f ca="1">_xll.BDH($C$353,"ACCT_RCV_TURN","FQ1 2014","FQ1 2014","Currency=INR","Period=FQ","BEST_FPERIOD_OVERRIDE=FQ","FILING_STATUS=OR","EQY_CONSOLIDATED=Y","FA_ADJUSTED=GAAP","Sort=A","Dates=H","DateFormat=P","Fill=—","Direction=H","UseDPDF=Y")</f>
        <v>#NAME?</v>
      </c>
      <c r="CX354" s="2" t="e">
        <f ca="1">_xll.BDH($C$353,"ACCT_RCV_DAYS","FQ1 2014","FQ1 2014","Currency=INR","Period=FQ","BEST_FPERIOD_OVERRIDE=FQ","FILING_STATUS=OR","EQY_CONSOLIDATED=Y","FA_ADJUSTED=GAAP","Sort=A","Dates=H","DateFormat=P","Fill=—","Direction=H","UseDPDF=Y")</f>
        <v>#NAME?</v>
      </c>
      <c r="CY354" s="4" t="e">
        <f ca="1">_xll.BDH($C$353,"INVENT_TURN","FQ1 2014","FQ1 2014","Currency=INR","Period=FQ","BEST_FPERIOD_OVERRIDE=FQ","FILING_STATUS=OR","EQY_CONSOLIDATED=Y","FA_ADJUSTED=GAAP","Sort=A","Dates=H","DateFormat=P","Fill=—","Direction=H","UseDPDF=Y")</f>
        <v>#NAME?</v>
      </c>
      <c r="CZ354" s="2" t="e">
        <f ca="1">_xll.BDH($C$353,"INVENT_DAYS","FQ1 2014","FQ1 2014","Currency=INR","Period=FQ","BEST_FPERIOD_OVERRIDE=FQ","FILING_STATUS=OR","EQY_CONSOLIDATED=Y","FA_ADJUSTED=GAAP","Sort=A","Dates=H","DateFormat=P","Fill=—","Direction=H","UseDPDF=Y")</f>
        <v>#NAME?</v>
      </c>
      <c r="DA354" s="4" t="e">
        <f ca="1">_xll.BDH($C$353,"ACCOUNTS_PAYABLE_TURNOVER","FQ1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354" s="2" t="e">
        <f ca="1">_xll.BDH($C$353,"ACCOUNTS_PAYABLE_TURNOVER_DAYS","FQ1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354" s="4" t="e">
        <f ca="1">_xll.BDH($C$353,"CASH_CONVERSION_CYCLE","FQ1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354" s="4" t="e">
        <f ca="1">_xll.BDH($C$353,"INV_TO_CASH_DAYS","FQ1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354" s="5" t="e">
        <f ca="1">_xll.BDH($C$353,"BS_INVENTORIES","FQ1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354" s="3" t="e">
        <f ca="1">_xll.BDH($C$353,"INVTRY_RAW_MATERIALS","FQ1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354" s="3" t="e">
        <f ca="1">_xll.BDH($C$353,"INVTRY_IN_PROGRESS","FQ1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354" s="3" t="e">
        <f ca="1">_xll.BDH($C$353,"INVTRY_FINISHED_GOODS","FQ1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354" s="3" t="e">
        <f ca="1">_xll.BDH($C$353,"BS_OTHER_INV","FQ1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355" spans="1:113" x14ac:dyDescent="0.3">
      <c r="A355" s="6"/>
      <c r="B355" s="6"/>
      <c r="C355" s="6"/>
      <c r="D355" s="6"/>
      <c r="E355" t="s">
        <v>79</v>
      </c>
      <c r="F355" t="e">
        <f ca="1">_xll.BDH($C$353,"RETURN_COM_EQY","FQ2 2014","FQ2 2014","Currency=INR","Period=FQ","BEST_FPERIOD_OVERRIDE=FQ","FILING_STATUS=OR","EQY_CONSOLIDATED=Y","FA_ADJUSTED=GAAP","Sort=A","Dates=H","DateFormat=P","Fill=—","Direction=H","UseDPDF=Y")</f>
        <v>#NAME?</v>
      </c>
      <c r="G355" t="e">
        <f ca="1">_xll.BDH($C$353,"RETURN_ON_ASSET","FQ2 2014","FQ2 2014","Currency=INR","Period=FQ","BEST_FPERIOD_OVERRIDE=FQ","FILING_STATUS=OR","EQY_CONSOLIDATED=Y","FA_ADJUSTED=GAAP","Sort=A","Dates=H","DateFormat=P","Fill=—","Direction=H","UseDPDF=Y")</f>
        <v>#NAME?</v>
      </c>
      <c r="H355" t="e">
        <f ca="1">_xll.BDH($C$353,"RETURN_ON_CAP","FQ2 2014","FQ2 2014","Currency=INR","Period=FQ","BEST_FPERIOD_OVERRIDE=FQ","FILING_STATUS=OR","EQY_CONSOLIDATED=Y","FA_ADJUSTED=GAAP","Sort=A","Dates=H","DateFormat=P","Fill=—","Direction=H","UseDPDF=Y")</f>
        <v>#NAME?</v>
      </c>
      <c r="I355" t="e">
        <f ca="1">_xll.BDH($C$353,"RETURN_ON_INV_CAPITAL","FQ2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355" t="e">
        <f ca="1">_xll.BDH($C$353,"EBITDA_TO_REVENUE","FQ2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355" t="e">
        <f ca="1">_xll.BDH($C$353,"OPER_MARGIN","FQ2 2014","FQ2 2014","Currency=INR","Period=FQ","BEST_FPERIOD_OVERRIDE=FQ","FILING_STATUS=OR","EQY_CONSOLIDATED=Y","FA_ADJUSTED=GAAP","Sort=A","Dates=H","DateFormat=P","Fill=—","Direction=H","UseDPDF=Y")</f>
        <v>#NAME?</v>
      </c>
      <c r="L355" t="e">
        <f ca="1">_xll.BDH($C$353,"INCREMENTAL_OPERATING_MARGIN","FQ2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355" t="e">
        <f ca="1">_xll.BDH($C$353,"PRETAX_INC_TO_NET_SALES","FQ2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355" t="e">
        <f ca="1">_xll.BDH($C$353,"INC_BEF_XO_ITEMS_TO_NET_SALES","FQ2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355" t="e">
        <f ca="1">_xll.BDH($C$353,"PROF_MARGIN","FQ2 2014","FQ2 2014","Currency=INR","Period=FQ","BEST_FPERIOD_OVERRIDE=FQ","FILING_STATUS=OR","EQY_CONSOLIDATED=Y","FA_ADJUSTED=GAAP","Sort=A","Dates=H","DateFormat=P","Fill=—","Direction=H","UseDPDF=Y")</f>
        <v>#NAME?</v>
      </c>
      <c r="P355" t="e">
        <f ca="1">_xll.BDH($C$353,"NET_INCOME_TO_COMMON_MARGIN","FQ2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355" t="e">
        <f ca="1">_xll.BDH($C$353,"EFF_TAX_RATE","FQ2 2014","FQ2 2014","Currency=INR","Period=FQ","BEST_FPERIOD_OVERRIDE=FQ","FILING_STATUS=OR","EQY_CONSOLIDATED=Y","FA_ADJUSTED=GAAP","Sort=A","Dates=H","DateFormat=P","Fill=—","Direction=H","UseDPDF=Y")</f>
        <v>#NAME?</v>
      </c>
      <c r="R355" t="e">
        <f ca="1">_xll.BDH($C$353,"DVD_PAYOUT_RATIO","FQ2 2014","FQ2 2014","Currency=INR","Period=FQ","BEST_FPERIOD_OVERRIDE=FQ","FILING_STATUS=OR","EQY_CONSOLIDATED=Y","FA_ADJUSTED=GAAP","Sort=A","Dates=H","DateFormat=P","Fill=—","Direction=H","UseDPDF=Y")</f>
        <v>#NAME?</v>
      </c>
      <c r="S355" t="e">
        <f ca="1">_xll.BDH($C$353,"SUSTAIN_GROWTH_RT","FQ2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355" s="2" t="e">
        <f ca="1">_xll.BDH($C$353,"SALES_GROWTH","FQ2 2014","FQ2 2014","Currency=INR","Period=FQ","BEST_FPERIOD_OVERRIDE=FQ","FILING_STATUS=OR","EQY_CONSOLIDATED=Y","FA_ADJUSTED=GAAP","Sort=A","Dates=H","DateFormat=P","Fill=—","Direction=H","UseDPDF=Y")</f>
        <v>#NAME?</v>
      </c>
      <c r="U355" s="2" t="e">
        <f ca="1">_xll.BDH($C$353,"EBITDA_GROWTH","FQ2 2014","FQ2 2014","Currency=INR","Period=FQ","BEST_FPERIOD_OVERRIDE=FQ","FILING_STATUS=OR","EQY_CONSOLIDATED=Y","FA_ADJUSTED=GAAP","Sort=A","Dates=H","DateFormat=P","Fill=—","Direction=H","UseDPDF=Y")</f>
        <v>#NAME?</v>
      </c>
      <c r="V355" s="2" t="e">
        <f ca="1">_xll.BDH($C$353,"OPER_INC_GROWTH","FQ2 2014","FQ2 2014","Currency=INR","Period=FQ","BEST_FPERIOD_OVERRIDE=FQ","FILING_STATUS=OR","EQY_CONSOLIDATED=Y","FA_ADJUSTED=GAAP","Sort=A","Dates=H","DateFormat=P","Fill=—","Direction=H","UseDPDF=Y")</f>
        <v>#NAME?</v>
      </c>
      <c r="W355" s="2" t="e">
        <f ca="1">_xll.BDH($C$353,"EARN_FOR_COM_GROWTH","FQ2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355" s="2" t="e">
        <f ca="1">_xll.BDH($C$353,"DILUTED_EPS_AFT_XO_ITEMS_GROWTH","FQ2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355" s="2" t="e">
        <f ca="1">_xll.BDH($C$353,"DIVIDEND_PER_SHARE_1_YEAR_GROWTH","FQ2 2014","FQ2 2014","Currency=INR","Period=FQ","BEST_FPERIOD_OVERRIDE=FQ","FILING_STATUS=OR","EQY_CONSOLIDATED=Y","Sort=A","Dates=H","DateFormat=P","Fill=—","Direction=H","UseDPDF=Y")</f>
        <v>#NAME?</v>
      </c>
      <c r="Z355" s="2" t="e">
        <f ca="1">_xll.BDH($C$353,"ACCOUNTS_RECEIVABLE_GROWTH","FQ2 2014","FQ2 2014","Currency=INR","Period=FQ","BEST_FPERIOD_OVERRIDE=FQ","FILING_STATUS=OR","EQY_CONSOLIDATED=Y","Sort=A","Dates=H","DateFormat=P","Fill=—","Direction=H","UseDPDF=Y")</f>
        <v>#NAME?</v>
      </c>
      <c r="AA355" s="2" t="e">
        <f ca="1">_xll.BDH($C$353,"INVENTORY_GROWTH","FQ2 2014","FQ2 2014","Currency=INR","Period=FQ","BEST_FPERIOD_OVERRIDE=FQ","FILING_STATUS=OR","EQY_CONSOLIDATED=Y","Sort=A","Dates=H","DateFormat=P","Fill=—","Direction=H","UseDPDF=Y")</f>
        <v>#NAME?</v>
      </c>
      <c r="AB355" s="2" t="e">
        <f ca="1">_xll.BDH($C$353,"NET_FIXED_ASSETS_1_YEAR_GROWTH","FQ2 2014","FQ2 2014","Currency=INR","Period=FQ","BEST_FPERIOD_OVERRIDE=FQ","FILING_STATUS=OR","EQY_CONSOLIDATED=Y","Sort=A","Dates=H","DateFormat=P","Fill=—","Direction=H","UseDPDF=Y")</f>
        <v>#NAME?</v>
      </c>
      <c r="AC355" s="2" t="e">
        <f ca="1">_xll.BDH($C$353,"ASSET_GROWTH","FQ2 2014","FQ2 2014","Currency=INR","Period=FQ","BEST_FPERIOD_OVERRIDE=FQ","FILING_STATUS=OR","EQY_CONSOLIDATED=Y","Sort=A","Dates=H","DateFormat=P","Fill=—","Direction=H","UseDPDF=Y")</f>
        <v>#NAME?</v>
      </c>
      <c r="AD355" s="2" t="e">
        <f ca="1">_xll.BDH($C$353,"MODIFIED_WORK_CAP_GROWTH","FQ2 2014","FQ2 2014","Currency=INR","Period=FQ","BEST_FPERIOD_OVERRIDE=FQ","FILING_STATUS=OR","EQY_CONSOLIDATED=Y","Sort=A","Dates=H","DateFormat=P","Fill=—","Direction=H","UseDPDF=Y")</f>
        <v>#NAME?</v>
      </c>
      <c r="AE355" s="2" t="e">
        <f ca="1">_xll.BDH($C$353,"WORK_CAP_GROWTH","FQ2 2014","FQ2 2014","Currency=INR","Period=FQ","BEST_FPERIOD_OVERRIDE=FQ","FILING_STATUS=OR","EQY_CONSOLIDATED=Y","Sort=A","Dates=H","DateFormat=P","Fill=—","Direction=H","UseDPDF=Y")</f>
        <v>#NAME?</v>
      </c>
      <c r="AF355" s="2" t="e">
        <f ca="1">_xll.BDH($C$353,"ACCOUNTS_PAYABLE_GROWTH_1YR","FQ2 2014","FQ2 2014","Currency=INR","Period=FQ","BEST_FPERIOD_OVERRIDE=FQ","FILING_STATUS=OR","EQY_CONSOLIDATED=Y","Sort=A","Dates=H","DateFormat=P","Fill=—","Direction=H","UseDPDF=Y")</f>
        <v>#NAME?</v>
      </c>
      <c r="AG355" s="2" t="e">
        <f ca="1">_xll.BDH($C$353,"SHORT_TERM_DEBT_1_YEAR_GROWTH","FQ2 2014","FQ2 2014","Currency=INR","Period=FQ","BEST_FPERIOD_OVERRIDE=FQ","FILING_STATUS=OR","EQY_CONSOLIDATED=Y","Sort=A","Dates=H","DateFormat=P","Fill=—","Direction=H","UseDPDF=Y")</f>
        <v>#NAME?</v>
      </c>
      <c r="AH355" s="2" t="e">
        <f ca="1">_xll.BDH($C$353,"TOTAL_DEBT_1_YEAR_GROWTH","FQ2 2014","FQ2 2014","Currency=INR","Period=FQ","BEST_FPERIOD_OVERRIDE=FQ","FILING_STATUS=OR","EQY_CONSOLIDATED=Y","Sort=A","Dates=H","DateFormat=P","Fill=—","Direction=H","UseDPDF=Y")</f>
        <v>#NAME?</v>
      </c>
      <c r="AI355" s="2" t="e">
        <f ca="1">_xll.BDH($C$353,"TOTAL_EQUITY_1_YEAR_GROWTH","FQ2 2014","FQ2 2014","Currency=INR","Period=FQ","BEST_FPERIOD_OVERRIDE=FQ","FILING_STATUS=OR","EQY_CONSOLIDATED=Y","Sort=A","Dates=H","DateFormat=P","Fill=—","Direction=H","UseDPDF=Y")</f>
        <v>#NAME?</v>
      </c>
      <c r="AJ355" s="2" t="e">
        <f ca="1">_xll.BDH($C$353,"GROWTH_IN_CAP","FQ2 2014","FQ2 2014","Currency=INR","Period=FQ","BEST_FPERIOD_OVERRIDE=FQ","FILING_STATUS=OR","EQY_CONSOLIDATED=Y","Sort=A","Dates=H","DateFormat=P","Fill=—","Direction=H","UseDPDF=Y")</f>
        <v>#NAME?</v>
      </c>
      <c r="AK355" s="2" t="e">
        <f ca="1">_xll.BDH($C$353,"BVPS_GROWTH","FQ2 2014","FQ2 2014","Currency=INR","Period=FQ","BEST_FPERIOD_OVERRIDE=FQ","FILING_STATUS=OR","EQY_CONSOLIDATED=Y","Sort=A","Dates=H","DateFormat=P","Fill=—","Direction=H","UseDPDF=Y")</f>
        <v>#NAME?</v>
      </c>
      <c r="AL355" s="2" t="e">
        <f ca="1">_xll.BDH($C$353,"CASH_FLOW_GROWTH","FQ2 2014","FQ2 2014","Currency=INR","Period=FQ","BEST_FPERIOD_OVERRIDE=FQ","FILING_STATUS=OR","EQY_CONSOLIDATED=Y","Sort=A","Dates=H","DateFormat=P","Fill=—","Direction=H","UseDPDF=Y")</f>
        <v>#NAME?</v>
      </c>
      <c r="AM355" s="2" t="e">
        <f ca="1">_xll.BDH($C$353,"GEO_GROW_NET_SALES","FQ2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355" s="2" t="e">
        <f ca="1">_xll.BDH($C$353,"GEO_GROW_EBITDA","FQ2 2014","FQ2 2014","Currency=INR","Period=FQ","BEST_FPERIOD_OVERRIDE=FQ","FILING_STATUS=OR","EQY_CONSOLIDATED=Y","FA_ADJUSTED=GAAP","Sort=A","Dates=H","DateFormat=P","Fill=—","Direction=H","UseDPDF=Y")</f>
        <v>#NAME?</v>
      </c>
      <c r="AO355" s="2" t="e">
        <f ca="1">_xll.BDH($C$353,"GEO_GROW_OPER_INC","FQ2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355" s="2" t="e">
        <f ca="1">_xll.BDH($C$353,"NET_INCOME_TO_COMMON_5_YR_GROWTH","FQ2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355" s="2" t="e">
        <f ca="1">_xll.BDH($C$353,"5Y_GEO_GROWTH_DILUTED_EPS","FQ2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355" s="2" t="e">
        <f ca="1">_xll.BDH($C$353,"GEO_GROW_DVD_PER_SH","FQ2 2014","FQ2 2014","Currency=INR","Period=FQ","BEST_FPERIOD_OVERRIDE=FQ","FILING_STATUS=OR","EQY_CONSOLIDATED=Y","Sort=A","Dates=H","DateFormat=P","Fill=—","Direction=H","UseDPDF=Y")</f>
        <v>#NAME?</v>
      </c>
      <c r="AS355" s="2" t="e">
        <f ca="1">_xll.BDH($C$353,"ACCOUNTS_RECEIVABLE_5_YR_GROWTH","FQ2 2014","FQ2 2014","Currency=INR","Period=FQ","BEST_FPERIOD_OVERRIDE=FQ","FILING_STATUS=OR","EQY_CONSOLIDATED=Y","Sort=A","Dates=H","DateFormat=P","Fill=—","Direction=H","UseDPDF=Y")</f>
        <v>#NAME?</v>
      </c>
      <c r="AT355" s="2" t="e">
        <f ca="1">_xll.BDH($C$353,"INVENTORY_5_YEAR_GROWTH","FQ2 2014","FQ2 2014","Currency=INR","Period=FQ","BEST_FPERIOD_OVERRIDE=FQ","FILING_STATUS=OR","EQY_CONSOLIDATED=Y","Sort=A","Dates=H","DateFormat=P","Fill=—","Direction=H","UseDPDF=Y")</f>
        <v>#NAME?</v>
      </c>
      <c r="AU355" s="2" t="e">
        <f ca="1">_xll.BDH($C$353,"NET_FIXED_ASSETS_5_YEAR_GROWTH","FQ2 2014","FQ2 2014","Currency=INR","Period=FQ","BEST_FPERIOD_OVERRIDE=FQ","FILING_STATUS=OR","EQY_CONSOLIDATED=Y","Sort=A","Dates=H","DateFormat=P","Fill=—","Direction=H","UseDPDF=Y")</f>
        <v>#NAME?</v>
      </c>
      <c r="AV355" s="2" t="e">
        <f ca="1">_xll.BDH($C$353,"GEO_GROW_TOT_ASSET","FQ2 2014","FQ2 2014","Currency=INR","Period=FQ","BEST_FPERIOD_OVERRIDE=FQ","FILING_STATUS=OR","EQY_CONSOLIDATED=Y","Sort=A","Dates=H","DateFormat=P","Fill=—","Direction=H","UseDPDF=Y")</f>
        <v>#NAME?</v>
      </c>
      <c r="AW355" s="2" t="e">
        <f ca="1">_xll.BDH($C$353,"MODIFIED_WORKING_CPTL_5YR_GRWTH","FQ2 2014","FQ2 2014","Currency=INR","Period=FQ","BEST_FPERIOD_OVERRIDE=FQ","FILING_STATUS=OR","EQY_CONSOLIDATED=Y","Sort=A","Dates=H","DateFormat=P","Fill=—","Direction=H","UseDPDF=Y")</f>
        <v>#NAME?</v>
      </c>
      <c r="AX355" s="2" t="e">
        <f ca="1">_xll.BDH($C$353,"WORKING_CAPITAL_5_YEAR_GROWTH","FQ2 2014","FQ2 2014","Currency=INR","Period=FQ","BEST_FPERIOD_OVERRIDE=FQ","FILING_STATUS=OR","EQY_CONSOLIDATED=Y","Sort=A","Dates=H","DateFormat=P","Fill=—","Direction=H","UseDPDF=Y")</f>
        <v>#NAME?</v>
      </c>
      <c r="AY355" s="2" t="e">
        <f ca="1">_xll.BDH($C$353,"ACCOUNTS_PAYABLE_5_YEAR_GROWTH","FQ2 2014","FQ2 2014","Currency=INR","Period=FQ","BEST_FPERIOD_OVERRIDE=FQ","FILING_STATUS=OR","EQY_CONSOLIDATED=Y","Sort=A","Dates=H","DateFormat=P","Fill=—","Direction=H","UseDPDF=Y")</f>
        <v>#NAME?</v>
      </c>
      <c r="AZ355" s="2" t="e">
        <f ca="1">_xll.BDH($C$353,"SHORT_TERM_DEBT_5_YEAR_GROWTH","FQ2 2014","FQ2 2014","Currency=INR","Period=FQ","BEST_FPERIOD_OVERRIDE=FQ","FILING_STATUS=OR","EQY_CONSOLIDATED=Y","Sort=A","Dates=H","DateFormat=P","Fill=—","Direction=H","UseDPDF=Y")</f>
        <v>#NAME?</v>
      </c>
      <c r="BA355" s="2" t="e">
        <f ca="1">_xll.BDH($C$353,"TOTAL_DEBT_5_YEAR_GROWTH","FQ2 2014","FQ2 2014","Currency=INR","Period=FQ","BEST_FPERIOD_OVERRIDE=FQ","FILING_STATUS=OR","EQY_CONSOLIDATED=Y","Sort=A","Dates=H","DateFormat=P","Fill=—","Direction=H","UseDPDF=Y")</f>
        <v>#NAME?</v>
      </c>
      <c r="BB355" s="2" t="e">
        <f ca="1">_xll.BDH($C$353,"GEO_GROW_TOT_SHRHLDR_EQY","FQ2 2014","FQ2 2014","Currency=INR","Period=FQ","BEST_FPERIOD_OVERRIDE=FQ","FILING_STATUS=OR","EQY_CONSOLIDATED=Y","Sort=A","Dates=H","DateFormat=P","Fill=—","Direction=H","UseDPDF=Y")</f>
        <v>#NAME?</v>
      </c>
      <c r="BC355" s="2" t="e">
        <f ca="1">_xll.BDH($C$353,"TOTAL_CAPITAL_5_YEAR_GROWTH","FQ2 2014","FQ2 2014","Currency=INR","Period=FQ","BEST_FPERIOD_OVERRIDE=FQ","FILING_STATUS=OR","EQY_CONSOLIDATED=Y","Sort=A","Dates=H","DateFormat=P","Fill=—","Direction=H","UseDPDF=Y")</f>
        <v>#NAME?</v>
      </c>
      <c r="BD355" s="2" t="e">
        <f ca="1">_xll.BDH($C$353,"GEO_GROW_BOOK_VAL","FQ2 2014","FQ2 2014","Currency=INR","Period=FQ","BEST_FPERIOD_OVERRIDE=FQ","FILING_STATUS=OR","EQY_CONSOLIDATED=Y","Sort=A","Dates=H","DateFormat=P","Fill=—","Direction=H","UseDPDF=Y")</f>
        <v>#NAME?</v>
      </c>
      <c r="BE355" s="2" t="e">
        <f ca="1">_xll.BDH($C$353,"GEO_GROW_CASH_OPER_ACT","FQ2 2014","FQ2 2014","Currency=INR","Period=FQ","BEST_FPERIOD_OVERRIDE=FQ","FILING_STATUS=OR","EQY_CONSOLIDATED=Y","Sort=A","Dates=H","DateFormat=P","Fill=—","Direction=H","UseDPDF=Y")</f>
        <v>#NAME?</v>
      </c>
      <c r="BF355" s="2" t="e">
        <f ca="1">_xll.BDH($C$353,"REVENUE_SEQUENTIAL_GROWTH","FQ2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355" s="2" t="e">
        <f ca="1">_xll.BDH($C$353,"EBITDA_SEQUENTIAL_GROWTH","FQ2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355" s="2" t="e">
        <f ca="1">_xll.BDH($C$353,"OPERATING_INCOME_SEQ_GROWTH","FQ2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355" s="2" t="e">
        <f ca="1">_xll.BDH($C$353,"NET_INCOME_TO_COMMON_SEQ_GROWTH","FQ2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355" s="2" t="e">
        <f ca="1">_xll.BDH($C$353,"EPS_DILUTED_SEQUENTIAL_GROWTH","FQ2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355" s="2" t="e">
        <f ca="1">_xll.BDH($C$353,"DPS_SEQUENTIAL_GROWTH","FQ2 2014","FQ2 2014","Currency=INR","Period=FQ","BEST_FPERIOD_OVERRIDE=FQ","FILING_STATUS=OR","EQY_CONSOLIDATED=Y","Sort=A","Dates=H","DateFormat=P","Fill=—","Direction=H","UseDPDF=Y")</f>
        <v>#NAME?</v>
      </c>
      <c r="BL355" s="2" t="e">
        <f ca="1">_xll.BDH($C$353,"ACCOUNTS_RECEIVABLE_SEQ_GROWTH","FQ2 2014","FQ2 2014","Currency=INR","Period=FQ","BEST_FPERIOD_OVERRIDE=FQ","FILING_STATUS=OR","EQY_CONSOLIDATED=Y","Sort=A","Dates=H","DateFormat=P","Fill=—","Direction=H","UseDPDF=Y")</f>
        <v>#NAME?</v>
      </c>
      <c r="BM355" s="2" t="e">
        <f ca="1">_xll.BDH($C$353,"INVENTORY_SEQUENTIAL_GROWTH","FQ2 2014","FQ2 2014","Currency=INR","Period=FQ","BEST_FPERIOD_OVERRIDE=FQ","FILING_STATUS=OR","EQY_CONSOLIDATED=Y","Sort=A","Dates=H","DateFormat=P","Fill=—","Direction=H","UseDPDF=Y")</f>
        <v>#NAME?</v>
      </c>
      <c r="BN355" s="2" t="e">
        <f ca="1">_xll.BDH($C$353,"FIXED_ASSETS_SEQUENTIAL_GROWTH","FQ2 2014","FQ2 2014","Currency=INR","Period=FQ","BEST_FPERIOD_OVERRIDE=FQ","FILING_STATUS=OR","EQY_CONSOLIDATED=Y","Sort=A","Dates=H","DateFormat=P","Fill=—","Direction=H","UseDPDF=Y")</f>
        <v>#NAME?</v>
      </c>
      <c r="BO355" s="2" t="e">
        <f ca="1">_xll.BDH($C$353,"TOTAL_ASSETS_SEQUENTIAL_GROWTH","FQ2 2014","FQ2 2014","Currency=INR","Period=FQ","BEST_FPERIOD_OVERRIDE=FQ","FILING_STATUS=OR","EQY_CONSOLIDATED=Y","Sort=A","Dates=H","DateFormat=P","Fill=—","Direction=H","UseDPDF=Y")</f>
        <v>#NAME?</v>
      </c>
      <c r="BP355" s="2" t="e">
        <f ca="1">_xll.BDH($C$353,"MODIFIED_WORKING_CPTL_SEQ_GRWTH","FQ2 2014","FQ2 2014","Currency=INR","Period=FQ","BEST_FPERIOD_OVERRIDE=FQ","FILING_STATUS=OR","EQY_CONSOLIDATED=Y","Sort=A","Dates=H","DateFormat=P","Fill=—","Direction=H","UseDPDF=Y")</f>
        <v>#NAME?</v>
      </c>
      <c r="BQ355" s="2" t="e">
        <f ca="1">_xll.BDH($C$353,"WORKING_CAPITAL_SEQ_GROWTH","FQ2 2014","FQ2 2014","Currency=INR","Period=FQ","BEST_FPERIOD_OVERRIDE=FQ","FILING_STATUS=OR","EQY_CONSOLIDATED=Y","Sort=A","Dates=H","DateFormat=P","Fill=—","Direction=H","UseDPDF=Y")</f>
        <v>#NAME?</v>
      </c>
      <c r="BR355" s="2" t="e">
        <f ca="1">_xll.BDH($C$353,"ACCOUNTS_PAYABLE_SEQ_GROWTH","FQ2 2014","FQ2 2014","Currency=INR","Period=FQ","BEST_FPERIOD_OVERRIDE=FQ","FILING_STATUS=OR","EQY_CONSOLIDATED=Y","Sort=A","Dates=H","DateFormat=P","Fill=—","Direction=H","UseDPDF=Y")</f>
        <v>#NAME?</v>
      </c>
      <c r="BS355" s="2" t="e">
        <f ca="1">_xll.BDH($C$353,"ST_DEBT_SEQUENTIAL_GROWTH","FQ2 2014","FQ2 2014","Currency=INR","Period=FQ","BEST_FPERIOD_OVERRIDE=FQ","FILING_STATUS=OR","EQY_CONSOLIDATED=Y","Sort=A","Dates=H","DateFormat=P","Fill=—","Direction=H","UseDPDF=Y")</f>
        <v>#NAME?</v>
      </c>
      <c r="BT355" s="2" t="e">
        <f ca="1">_xll.BDH($C$353,"TOTAL_DEBT_SEQUENTIAL_GROWTH","FQ2 2014","FQ2 2014","Currency=INR","Period=FQ","BEST_FPERIOD_OVERRIDE=FQ","FILING_STATUS=OR","EQY_CONSOLIDATED=Y","Sort=A","Dates=H","DateFormat=P","Fill=—","Direction=H","UseDPDF=Y")</f>
        <v>#NAME?</v>
      </c>
      <c r="BU355" s="2" t="e">
        <f ca="1">_xll.BDH($C$353,"TOTAL_EQUITY_SEQUENTIAL_GROWTH","FQ2 2014","FQ2 2014","Currency=INR","Period=FQ","BEST_FPERIOD_OVERRIDE=FQ","FILING_STATUS=OR","EQY_CONSOLIDATED=Y","Sort=A","Dates=H","DateFormat=P","Fill=—","Direction=H","UseDPDF=Y")</f>
        <v>#NAME?</v>
      </c>
      <c r="BV355" s="2" t="e">
        <f ca="1">_xll.BDH($C$353,"TOTAL_CAPITAL_SEQUENTIAL_GROWTH","FQ2 2014","FQ2 2014","Currency=INR","Period=FQ","BEST_FPERIOD_OVERRIDE=FQ","FILING_STATUS=OR","EQY_CONSOLIDATED=Y","Sort=A","Dates=H","DateFormat=P","Fill=—","Direction=H","UseDPDF=Y")</f>
        <v>#NAME?</v>
      </c>
      <c r="BW355" s="2" t="e">
        <f ca="1">_xll.BDH($C$353,"BPS_SEQUENTIAL_GROWTH","FQ2 2014","FQ2 2014","Currency=INR","Period=FQ","BEST_FPERIOD_OVERRIDE=FQ","FILING_STATUS=OR","EQY_CONSOLIDATED=Y","Sort=A","Dates=H","DateFormat=P","Fill=—","Direction=H","UseDPDF=Y")</f>
        <v>#NAME?</v>
      </c>
      <c r="BX355" s="2" t="e">
        <f ca="1">_xll.BDH($C$353,"CFO_SEQUENTIAL_GROWTH","FQ2 2014","FQ2 2014","Currency=INR","Period=FQ","BEST_FPERIOD_OVERRIDE=FQ","FILING_STATUS=OR","EQY_CONSOLIDATED=Y","Sort=A","Dates=H","DateFormat=P","Fill=—","Direction=H","UseDPDF=Y")</f>
        <v>#NAME?</v>
      </c>
      <c r="BY355" s="3" t="e">
        <f ca="1">_xll.BDH($C$353,"SHORT_AND_LONG_TERM_DEBT","FQ2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355" s="3" t="e">
        <f ca="1">_xll.BDH($C$353,"BS_ST_BORROW","FQ2 2014","FQ2 2014","Currency=INR","Period=FQ","BEST_FPERIOD_OVERRIDE=FQ","FILING_STATUS=OR","EQY_CONSOLIDATED=Y","SCALING_FORMAT=MLN","Sort=A","Dates=H","DateFormat=P","Fill=—","Direction=H","UseDPDF=Y")</f>
        <v>#NAME?</v>
      </c>
      <c r="CA355" s="3" t="e">
        <f ca="1">_xll.BDH($C$353,"BS_LT_BORROW","FQ2 2014","FQ2 2014","Currency=INR","Period=FQ","BEST_FPERIOD_OVERRIDE=FQ","FILING_STATUS=OR","EQY_CONSOLIDATED=Y","SCALING_FORMAT=MLN","Sort=A","Dates=H","DateFormat=P","Fill=—","Direction=H","UseDPDF=Y")</f>
        <v>#NAME?</v>
      </c>
      <c r="CB355" s="2" t="e">
        <f ca="1">_xll.BDH($C$353,"TOT_DEBT_TO_EBITDA","FQ2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355" s="2" t="e">
        <f ca="1">_xll.BDH($C$353,"NET_DEBT_TO_EBITDA","FQ2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355" s="2" t="e">
        <f ca="1">_xll.BDH($C$353,"TOTAL_DEBT_TO_EBIT","FQ2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355" s="2" t="e">
        <f ca="1">_xll.BDH($C$353,"NET_DEBT_TO_EBIT","FQ2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355" s="2" t="e">
        <f ca="1">_xll.BDH($C$353,"EBITDA_TO_INTEREST_EXPN","FQ2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355" s="2" t="e">
        <f ca="1">_xll.BDH($C$353,"COM_EQY_TO_TOT_ASSET","FQ2 2014","FQ2 2014","Currency=INR","Period=FQ","BEST_FPERIOD_OVERRIDE=FQ","FILING_STATUS=OR","EQY_CONSOLIDATED=Y","Sort=A","Dates=H","DateFormat=P","Fill=—","Direction=H","UseDPDF=Y")</f>
        <v>#NAME?</v>
      </c>
      <c r="CH355" s="2" t="e">
        <f ca="1">_xll.BDH($C$353,"LT_DEBT_TO_TOT_EQY","FQ2 2014","FQ2 2014","Currency=INR","Period=FQ","BEST_FPERIOD_OVERRIDE=FQ","FILING_STATUS=OR","EQY_CONSOLIDATED=Y","Sort=A","Dates=H","DateFormat=P","Fill=—","Direction=H","UseDPDF=Y")</f>
        <v>#NAME?</v>
      </c>
      <c r="CI355" s="2" t="e">
        <f ca="1">_xll.BDH($C$353,"LT_DEBT_TO_TOT_CAP","FQ2 2014","FQ2 2014","Currency=INR","Period=FQ","BEST_FPERIOD_OVERRIDE=FQ","FILING_STATUS=OR","EQY_CONSOLIDATED=Y","Sort=A","Dates=H","DateFormat=P","Fill=—","Direction=H","UseDPDF=Y")</f>
        <v>#NAME?</v>
      </c>
      <c r="CJ355" s="2" t="e">
        <f ca="1">_xll.BDH($C$353,"LT_DEBT_TO_TOT_ASSET","FQ2 2014","FQ2 2014","Currency=INR","Period=FQ","BEST_FPERIOD_OVERRIDE=FQ","FILING_STATUS=OR","EQY_CONSOLIDATED=Y","Sort=A","Dates=H","DateFormat=P","Fill=—","Direction=H","UseDPDF=Y")</f>
        <v>#NAME?</v>
      </c>
      <c r="CK355" s="2" t="e">
        <f ca="1">_xll.BDH($C$353,"TOT_DEBT_TO_TOT_EQY","FQ2 2014","FQ2 2014","Currency=INR","Period=FQ","BEST_FPERIOD_OVERRIDE=FQ","FILING_STATUS=OR","EQY_CONSOLIDATED=Y","Sort=A","Dates=H","DateFormat=P","Fill=—","Direction=H","UseDPDF=Y")</f>
        <v>#NAME?</v>
      </c>
      <c r="CL355" s="2" t="e">
        <f ca="1">_xll.BDH($C$353,"TOT_DEBT_TO_TOT_CAP","FQ2 2014","FQ2 2014","Currency=INR","Period=FQ","BEST_FPERIOD_OVERRIDE=FQ","FILING_STATUS=OR","EQY_CONSOLIDATED=Y","Sort=A","Dates=H","DateFormat=P","Fill=—","Direction=H","UseDPDF=Y")</f>
        <v>#NAME?</v>
      </c>
      <c r="CM355" s="2" t="e">
        <f ca="1">_xll.BDH($C$353,"TOT_DEBT_TO_TOT_ASSET","FQ2 2014","FQ2 2014","Currency=INR","Period=FQ","BEST_FPERIOD_OVERRIDE=FQ","FILING_STATUS=OR","EQY_CONSOLIDATED=Y","Sort=A","Dates=H","DateFormat=P","Fill=—","Direction=H","UseDPDF=Y")</f>
        <v>#NAME?</v>
      </c>
      <c r="CN355" s="2" t="e">
        <f ca="1">_xll.BDH($C$353,"NET_DEBT_TO_SHRHLDR_EQTY","FQ2 2014","FQ2 2014","Currency=INR","Period=FQ","BEST_FPERIOD_OVERRIDE=FQ","FILING_STATUS=OR","EQY_CONSOLIDATED=Y","Sort=A","Dates=H","DateFormat=P","Fill=—","Direction=H","UseDPDF=Y")</f>
        <v>#NAME?</v>
      </c>
      <c r="CO355" s="2" t="e">
        <f ca="1">_xll.BDH($C$353,"NET_DEBT_%_CAPITAL","FQ2 2014","FQ2 2014","Currency=INR","Period=FQ","BEST_FPERIOD_OVERRIDE=FQ","FILING_STATUS=OR","EQY_CONSOLIDATED=Y","Sort=A","Dates=H","DateFormat=P","Fill=—","Direction=H","UseDPDF=Y")</f>
        <v>#NAME?</v>
      </c>
      <c r="CP355" s="3" t="e">
        <f ca="1">_xll.BDH($C$353,"EBITDA","FQ2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355" s="3" t="e">
        <f ca="1">_xll.BDH($C$353,"EBITDA_AFTER_CAPEX","FQ2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355" s="3" t="e">
        <f ca="1">_xll.BDH($C$353,"IS_OPER_INC","FQ2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355" s="2" t="e">
        <f ca="1">_xll.BDH($C$353,"CASH_RATIO","FQ2 2014","FQ2 2014","Currency=INR","Period=FQ","BEST_FPERIOD_OVERRIDE=FQ","FILING_STATUS=OR","EQY_CONSOLIDATED=Y","Sort=A","Dates=H","DateFormat=P","Fill=—","Direction=H","UseDPDF=Y")</f>
        <v>#NAME?</v>
      </c>
      <c r="CT355" s="2" t="e">
        <f ca="1">_xll.BDH($C$353,"CUR_RATIO","FQ2 2014","FQ2 2014","Currency=INR","Period=FQ","BEST_FPERIOD_OVERRIDE=FQ","FILING_STATUS=OR","EQY_CONSOLIDATED=Y","Sort=A","Dates=H","DateFormat=P","Fill=—","Direction=H","UseDPDF=Y")</f>
        <v>#NAME?</v>
      </c>
      <c r="CU355" s="2" t="e">
        <f ca="1">_xll.BDH($C$353,"QUICK_RATIO","FQ2 2014","FQ2 2014","Currency=INR","Period=FQ","BEST_FPERIOD_OVERRIDE=FQ","FILING_STATUS=OR","EQY_CONSOLIDATED=Y","Sort=A","Dates=H","DateFormat=P","Fill=—","Direction=H","UseDPDF=Y")</f>
        <v>#NAME?</v>
      </c>
      <c r="CV355" s="2" t="e">
        <f ca="1">_xll.BDH($C$353,"ALTMAN_Z_SCORE","FQ2 2014","FQ2 2014","Currency=INR","Period=FQ","BEST_FPERIOD_OVERRIDE=FQ","FILING_STATUS=OR","EQY_CONSOLIDATED=Y","Sort=A","Dates=H","DateFormat=P","Fill=—","Direction=H","UseDPDF=Y")</f>
        <v>#NAME?</v>
      </c>
      <c r="CW355" s="4" t="e">
        <f ca="1">_xll.BDH($C$353,"ACCT_RCV_TURN","FQ2 2014","FQ2 2014","Currency=INR","Period=FQ","BEST_FPERIOD_OVERRIDE=FQ","FILING_STATUS=OR","EQY_CONSOLIDATED=Y","FA_ADJUSTED=GAAP","Sort=A","Dates=H","DateFormat=P","Fill=—","Direction=H","UseDPDF=Y")</f>
        <v>#NAME?</v>
      </c>
      <c r="CX355" s="2" t="e">
        <f ca="1">_xll.BDH($C$353,"ACCT_RCV_DAYS","FQ2 2014","FQ2 2014","Currency=INR","Period=FQ","BEST_FPERIOD_OVERRIDE=FQ","FILING_STATUS=OR","EQY_CONSOLIDATED=Y","FA_ADJUSTED=GAAP","Sort=A","Dates=H","DateFormat=P","Fill=—","Direction=H","UseDPDF=Y")</f>
        <v>#NAME?</v>
      </c>
      <c r="CY355" s="4" t="e">
        <f ca="1">_xll.BDH($C$353,"INVENT_TURN","FQ2 2014","FQ2 2014","Currency=INR","Period=FQ","BEST_FPERIOD_OVERRIDE=FQ","FILING_STATUS=OR","EQY_CONSOLIDATED=Y","FA_ADJUSTED=GAAP","Sort=A","Dates=H","DateFormat=P","Fill=—","Direction=H","UseDPDF=Y")</f>
        <v>#NAME?</v>
      </c>
      <c r="CZ355" s="2" t="e">
        <f ca="1">_xll.BDH($C$353,"INVENT_DAYS","FQ2 2014","FQ2 2014","Currency=INR","Period=FQ","BEST_FPERIOD_OVERRIDE=FQ","FILING_STATUS=OR","EQY_CONSOLIDATED=Y","FA_ADJUSTED=GAAP","Sort=A","Dates=H","DateFormat=P","Fill=—","Direction=H","UseDPDF=Y")</f>
        <v>#NAME?</v>
      </c>
      <c r="DA355" s="4" t="e">
        <f ca="1">_xll.BDH($C$353,"ACCOUNTS_PAYABLE_TURNOVER","FQ2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355" s="2" t="e">
        <f ca="1">_xll.BDH($C$353,"ACCOUNTS_PAYABLE_TURNOVER_DAYS","FQ2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355" s="4" t="e">
        <f ca="1">_xll.BDH($C$353,"CASH_CONVERSION_CYCLE","FQ2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355" s="4" t="e">
        <f ca="1">_xll.BDH($C$353,"INV_TO_CASH_DAYS","FQ2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355" s="5" t="e">
        <f ca="1">_xll.BDH($C$353,"BS_INVENTORIES","FQ2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355" s="3" t="e">
        <f ca="1">_xll.BDH($C$353,"INVTRY_RAW_MATERIALS","FQ2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355" s="3" t="e">
        <f ca="1">_xll.BDH($C$353,"INVTRY_IN_PROGRESS","FQ2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355" s="3" t="e">
        <f ca="1">_xll.BDH($C$353,"INVTRY_FINISHED_GOODS","FQ2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355" s="3" t="e">
        <f ca="1">_xll.BDH($C$353,"BS_OTHER_INV","FQ2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356" spans="1:113" x14ac:dyDescent="0.3">
      <c r="A356" s="6"/>
      <c r="B356" s="6"/>
      <c r="C356" s="6"/>
      <c r="D356" s="6"/>
      <c r="E356" t="s">
        <v>80</v>
      </c>
      <c r="F356" t="e">
        <f ca="1">_xll.BDH($C$353,"RETURN_COM_EQY","FQ3 2014","FQ3 2014","Currency=INR","Period=FQ","BEST_FPERIOD_OVERRIDE=FQ","FILING_STATUS=OR","EQY_CONSOLIDATED=Y","FA_ADJUSTED=GAAP","Sort=A","Dates=H","DateFormat=P","Fill=—","Direction=H","UseDPDF=Y")</f>
        <v>#NAME?</v>
      </c>
      <c r="G356" t="e">
        <f ca="1">_xll.BDH($C$353,"RETURN_ON_ASSET","FQ3 2014","FQ3 2014","Currency=INR","Period=FQ","BEST_FPERIOD_OVERRIDE=FQ","FILING_STATUS=OR","EQY_CONSOLIDATED=Y","FA_ADJUSTED=GAAP","Sort=A","Dates=H","DateFormat=P","Fill=—","Direction=H","UseDPDF=Y")</f>
        <v>#NAME?</v>
      </c>
      <c r="H356" t="e">
        <f ca="1">_xll.BDH($C$353,"RETURN_ON_CAP","FQ3 2014","FQ3 2014","Currency=INR","Period=FQ","BEST_FPERIOD_OVERRIDE=FQ","FILING_STATUS=OR","EQY_CONSOLIDATED=Y","FA_ADJUSTED=GAAP","Sort=A","Dates=H","DateFormat=P","Fill=—","Direction=H","UseDPDF=Y")</f>
        <v>#NAME?</v>
      </c>
      <c r="I356" t="e">
        <f ca="1">_xll.BDH($C$353,"RETURN_ON_INV_CAPITAL","FQ3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356" t="e">
        <f ca="1">_xll.BDH($C$353,"EBITDA_TO_REVENUE","FQ3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356" t="e">
        <f ca="1">_xll.BDH($C$353,"OPER_MARGIN","FQ3 2014","FQ3 2014","Currency=INR","Period=FQ","BEST_FPERIOD_OVERRIDE=FQ","FILING_STATUS=OR","EQY_CONSOLIDATED=Y","FA_ADJUSTED=GAAP","Sort=A","Dates=H","DateFormat=P","Fill=—","Direction=H","UseDPDF=Y")</f>
        <v>#NAME?</v>
      </c>
      <c r="L356" t="e">
        <f ca="1">_xll.BDH($C$353,"INCREMENTAL_OPERATING_MARGIN","FQ3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356" t="e">
        <f ca="1">_xll.BDH($C$353,"PRETAX_INC_TO_NET_SALES","FQ3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356" t="e">
        <f ca="1">_xll.BDH($C$353,"INC_BEF_XO_ITEMS_TO_NET_SALES","FQ3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356" t="e">
        <f ca="1">_xll.BDH($C$353,"PROF_MARGIN","FQ3 2014","FQ3 2014","Currency=INR","Period=FQ","BEST_FPERIOD_OVERRIDE=FQ","FILING_STATUS=OR","EQY_CONSOLIDATED=Y","FA_ADJUSTED=GAAP","Sort=A","Dates=H","DateFormat=P","Fill=—","Direction=H","UseDPDF=Y")</f>
        <v>#NAME?</v>
      </c>
      <c r="P356" t="e">
        <f ca="1">_xll.BDH($C$353,"NET_INCOME_TO_COMMON_MARGIN","FQ3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356" t="e">
        <f ca="1">_xll.BDH($C$353,"EFF_TAX_RATE","FQ3 2014","FQ3 2014","Currency=INR","Period=FQ","BEST_FPERIOD_OVERRIDE=FQ","FILING_STATUS=OR","EQY_CONSOLIDATED=Y","FA_ADJUSTED=GAAP","Sort=A","Dates=H","DateFormat=P","Fill=—","Direction=H","UseDPDF=Y")</f>
        <v>#NAME?</v>
      </c>
      <c r="R356" t="e">
        <f ca="1">_xll.BDH($C$353,"DVD_PAYOUT_RATIO","FQ3 2014","FQ3 2014","Currency=INR","Period=FQ","BEST_FPERIOD_OVERRIDE=FQ","FILING_STATUS=OR","EQY_CONSOLIDATED=Y","FA_ADJUSTED=GAAP","Sort=A","Dates=H","DateFormat=P","Fill=—","Direction=H","UseDPDF=Y")</f>
        <v>#NAME?</v>
      </c>
      <c r="S356" t="e">
        <f ca="1">_xll.BDH($C$353,"SUSTAIN_GROWTH_RT","FQ3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356" s="2" t="e">
        <f ca="1">_xll.BDH($C$353,"SALES_GROWTH","FQ3 2014","FQ3 2014","Currency=INR","Period=FQ","BEST_FPERIOD_OVERRIDE=FQ","FILING_STATUS=OR","EQY_CONSOLIDATED=Y","FA_ADJUSTED=GAAP","Sort=A","Dates=H","DateFormat=P","Fill=—","Direction=H","UseDPDF=Y")</f>
        <v>#NAME?</v>
      </c>
      <c r="U356" s="2" t="e">
        <f ca="1">_xll.BDH($C$353,"EBITDA_GROWTH","FQ3 2014","FQ3 2014","Currency=INR","Period=FQ","BEST_FPERIOD_OVERRIDE=FQ","FILING_STATUS=OR","EQY_CONSOLIDATED=Y","FA_ADJUSTED=GAAP","Sort=A","Dates=H","DateFormat=P","Fill=—","Direction=H","UseDPDF=Y")</f>
        <v>#NAME?</v>
      </c>
      <c r="V356" s="2" t="e">
        <f ca="1">_xll.BDH($C$353,"OPER_INC_GROWTH","FQ3 2014","FQ3 2014","Currency=INR","Period=FQ","BEST_FPERIOD_OVERRIDE=FQ","FILING_STATUS=OR","EQY_CONSOLIDATED=Y","FA_ADJUSTED=GAAP","Sort=A","Dates=H","DateFormat=P","Fill=—","Direction=H","UseDPDF=Y")</f>
        <v>#NAME?</v>
      </c>
      <c r="W356" s="2" t="e">
        <f ca="1">_xll.BDH($C$353,"EARN_FOR_COM_GROWTH","FQ3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356" s="2" t="e">
        <f ca="1">_xll.BDH($C$353,"DILUTED_EPS_AFT_XO_ITEMS_GROWTH","FQ3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356" s="2" t="e">
        <f ca="1">_xll.BDH($C$353,"DIVIDEND_PER_SHARE_1_YEAR_GROWTH","FQ3 2014","FQ3 2014","Currency=INR","Period=FQ","BEST_FPERIOD_OVERRIDE=FQ","FILING_STATUS=OR","EQY_CONSOLIDATED=Y","Sort=A","Dates=H","DateFormat=P","Fill=—","Direction=H","UseDPDF=Y")</f>
        <v>#NAME?</v>
      </c>
      <c r="Z356" s="2" t="e">
        <f ca="1">_xll.BDH($C$353,"ACCOUNTS_RECEIVABLE_GROWTH","FQ3 2014","FQ3 2014","Currency=INR","Period=FQ","BEST_FPERIOD_OVERRIDE=FQ","FILING_STATUS=OR","EQY_CONSOLIDATED=Y","Sort=A","Dates=H","DateFormat=P","Fill=—","Direction=H","UseDPDF=Y")</f>
        <v>#NAME?</v>
      </c>
      <c r="AA356" s="2" t="e">
        <f ca="1">_xll.BDH($C$353,"INVENTORY_GROWTH","FQ3 2014","FQ3 2014","Currency=INR","Period=FQ","BEST_FPERIOD_OVERRIDE=FQ","FILING_STATUS=OR","EQY_CONSOLIDATED=Y","Sort=A","Dates=H","DateFormat=P","Fill=—","Direction=H","UseDPDF=Y")</f>
        <v>#NAME?</v>
      </c>
      <c r="AB356" s="2" t="e">
        <f ca="1">_xll.BDH($C$353,"NET_FIXED_ASSETS_1_YEAR_GROWTH","FQ3 2014","FQ3 2014","Currency=INR","Period=FQ","BEST_FPERIOD_OVERRIDE=FQ","FILING_STATUS=OR","EQY_CONSOLIDATED=Y","Sort=A","Dates=H","DateFormat=P","Fill=—","Direction=H","UseDPDF=Y")</f>
        <v>#NAME?</v>
      </c>
      <c r="AC356" s="2" t="e">
        <f ca="1">_xll.BDH($C$353,"ASSET_GROWTH","FQ3 2014","FQ3 2014","Currency=INR","Period=FQ","BEST_FPERIOD_OVERRIDE=FQ","FILING_STATUS=OR","EQY_CONSOLIDATED=Y","Sort=A","Dates=H","DateFormat=P","Fill=—","Direction=H","UseDPDF=Y")</f>
        <v>#NAME?</v>
      </c>
      <c r="AD356" s="2" t="e">
        <f ca="1">_xll.BDH($C$353,"MODIFIED_WORK_CAP_GROWTH","FQ3 2014","FQ3 2014","Currency=INR","Period=FQ","BEST_FPERIOD_OVERRIDE=FQ","FILING_STATUS=OR","EQY_CONSOLIDATED=Y","Sort=A","Dates=H","DateFormat=P","Fill=—","Direction=H","UseDPDF=Y")</f>
        <v>#NAME?</v>
      </c>
      <c r="AE356" s="2" t="e">
        <f ca="1">_xll.BDH($C$353,"WORK_CAP_GROWTH","FQ3 2014","FQ3 2014","Currency=INR","Period=FQ","BEST_FPERIOD_OVERRIDE=FQ","FILING_STATUS=OR","EQY_CONSOLIDATED=Y","Sort=A","Dates=H","DateFormat=P","Fill=—","Direction=H","UseDPDF=Y")</f>
        <v>#NAME?</v>
      </c>
      <c r="AF356" s="2" t="e">
        <f ca="1">_xll.BDH($C$353,"ACCOUNTS_PAYABLE_GROWTH_1YR","FQ3 2014","FQ3 2014","Currency=INR","Period=FQ","BEST_FPERIOD_OVERRIDE=FQ","FILING_STATUS=OR","EQY_CONSOLIDATED=Y","Sort=A","Dates=H","DateFormat=P","Fill=—","Direction=H","UseDPDF=Y")</f>
        <v>#NAME?</v>
      </c>
      <c r="AG356" s="2" t="e">
        <f ca="1">_xll.BDH($C$353,"SHORT_TERM_DEBT_1_YEAR_GROWTH","FQ3 2014","FQ3 2014","Currency=INR","Period=FQ","BEST_FPERIOD_OVERRIDE=FQ","FILING_STATUS=OR","EQY_CONSOLIDATED=Y","Sort=A","Dates=H","DateFormat=P","Fill=—","Direction=H","UseDPDF=Y")</f>
        <v>#NAME?</v>
      </c>
      <c r="AH356" s="2" t="e">
        <f ca="1">_xll.BDH($C$353,"TOTAL_DEBT_1_YEAR_GROWTH","FQ3 2014","FQ3 2014","Currency=INR","Period=FQ","BEST_FPERIOD_OVERRIDE=FQ","FILING_STATUS=OR","EQY_CONSOLIDATED=Y","Sort=A","Dates=H","DateFormat=P","Fill=—","Direction=H","UseDPDF=Y")</f>
        <v>#NAME?</v>
      </c>
      <c r="AI356" s="2" t="e">
        <f ca="1">_xll.BDH($C$353,"TOTAL_EQUITY_1_YEAR_GROWTH","FQ3 2014","FQ3 2014","Currency=INR","Period=FQ","BEST_FPERIOD_OVERRIDE=FQ","FILING_STATUS=OR","EQY_CONSOLIDATED=Y","Sort=A","Dates=H","DateFormat=P","Fill=—","Direction=H","UseDPDF=Y")</f>
        <v>#NAME?</v>
      </c>
      <c r="AJ356" s="2" t="e">
        <f ca="1">_xll.BDH($C$353,"GROWTH_IN_CAP","FQ3 2014","FQ3 2014","Currency=INR","Period=FQ","BEST_FPERIOD_OVERRIDE=FQ","FILING_STATUS=OR","EQY_CONSOLIDATED=Y","Sort=A","Dates=H","DateFormat=P","Fill=—","Direction=H","UseDPDF=Y")</f>
        <v>#NAME?</v>
      </c>
      <c r="AK356" s="2" t="e">
        <f ca="1">_xll.BDH($C$353,"BVPS_GROWTH","FQ3 2014","FQ3 2014","Currency=INR","Period=FQ","BEST_FPERIOD_OVERRIDE=FQ","FILING_STATUS=OR","EQY_CONSOLIDATED=Y","Sort=A","Dates=H","DateFormat=P","Fill=—","Direction=H","UseDPDF=Y")</f>
        <v>#NAME?</v>
      </c>
      <c r="AL356" s="2" t="e">
        <f ca="1">_xll.BDH($C$353,"CASH_FLOW_GROWTH","FQ3 2014","FQ3 2014","Currency=INR","Period=FQ","BEST_FPERIOD_OVERRIDE=FQ","FILING_STATUS=OR","EQY_CONSOLIDATED=Y","Sort=A","Dates=H","DateFormat=P","Fill=—","Direction=H","UseDPDF=Y")</f>
        <v>#NAME?</v>
      </c>
      <c r="AM356" s="2" t="e">
        <f ca="1">_xll.BDH($C$353,"GEO_GROW_NET_SALES","FQ3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356" s="2" t="e">
        <f ca="1">_xll.BDH($C$353,"GEO_GROW_EBITDA","FQ3 2014","FQ3 2014","Currency=INR","Period=FQ","BEST_FPERIOD_OVERRIDE=FQ","FILING_STATUS=OR","EQY_CONSOLIDATED=Y","FA_ADJUSTED=GAAP","Sort=A","Dates=H","DateFormat=P","Fill=—","Direction=H","UseDPDF=Y")</f>
        <v>#NAME?</v>
      </c>
      <c r="AO356" s="2" t="e">
        <f ca="1">_xll.BDH($C$353,"GEO_GROW_OPER_INC","FQ3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356" s="2" t="e">
        <f ca="1">_xll.BDH($C$353,"NET_INCOME_TO_COMMON_5_YR_GROWTH","FQ3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356" s="2" t="e">
        <f ca="1">_xll.BDH($C$353,"5Y_GEO_GROWTH_DILUTED_EPS","FQ3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356" s="2" t="e">
        <f ca="1">_xll.BDH($C$353,"GEO_GROW_DVD_PER_SH","FQ3 2014","FQ3 2014","Currency=INR","Period=FQ","BEST_FPERIOD_OVERRIDE=FQ","FILING_STATUS=OR","EQY_CONSOLIDATED=Y","Sort=A","Dates=H","DateFormat=P","Fill=—","Direction=H","UseDPDF=Y")</f>
        <v>#NAME?</v>
      </c>
      <c r="AS356" s="2" t="e">
        <f ca="1">_xll.BDH($C$353,"ACCOUNTS_RECEIVABLE_5_YR_GROWTH","FQ3 2014","FQ3 2014","Currency=INR","Period=FQ","BEST_FPERIOD_OVERRIDE=FQ","FILING_STATUS=OR","EQY_CONSOLIDATED=Y","Sort=A","Dates=H","DateFormat=P","Fill=—","Direction=H","UseDPDF=Y")</f>
        <v>#NAME?</v>
      </c>
      <c r="AT356" s="2" t="e">
        <f ca="1">_xll.BDH($C$353,"INVENTORY_5_YEAR_GROWTH","FQ3 2014","FQ3 2014","Currency=INR","Period=FQ","BEST_FPERIOD_OVERRIDE=FQ","FILING_STATUS=OR","EQY_CONSOLIDATED=Y","Sort=A","Dates=H","DateFormat=P","Fill=—","Direction=H","UseDPDF=Y")</f>
        <v>#NAME?</v>
      </c>
      <c r="AU356" s="2" t="e">
        <f ca="1">_xll.BDH($C$353,"NET_FIXED_ASSETS_5_YEAR_GROWTH","FQ3 2014","FQ3 2014","Currency=INR","Period=FQ","BEST_FPERIOD_OVERRIDE=FQ","FILING_STATUS=OR","EQY_CONSOLIDATED=Y","Sort=A","Dates=H","DateFormat=P","Fill=—","Direction=H","UseDPDF=Y")</f>
        <v>#NAME?</v>
      </c>
      <c r="AV356" s="2" t="e">
        <f ca="1">_xll.BDH($C$353,"GEO_GROW_TOT_ASSET","FQ3 2014","FQ3 2014","Currency=INR","Period=FQ","BEST_FPERIOD_OVERRIDE=FQ","FILING_STATUS=OR","EQY_CONSOLIDATED=Y","Sort=A","Dates=H","DateFormat=P","Fill=—","Direction=H","UseDPDF=Y")</f>
        <v>#NAME?</v>
      </c>
      <c r="AW356" s="2" t="e">
        <f ca="1">_xll.BDH($C$353,"MODIFIED_WORKING_CPTL_5YR_GRWTH","FQ3 2014","FQ3 2014","Currency=INR","Period=FQ","BEST_FPERIOD_OVERRIDE=FQ","FILING_STATUS=OR","EQY_CONSOLIDATED=Y","Sort=A","Dates=H","DateFormat=P","Fill=—","Direction=H","UseDPDF=Y")</f>
        <v>#NAME?</v>
      </c>
      <c r="AX356" s="2" t="e">
        <f ca="1">_xll.BDH($C$353,"WORKING_CAPITAL_5_YEAR_GROWTH","FQ3 2014","FQ3 2014","Currency=INR","Period=FQ","BEST_FPERIOD_OVERRIDE=FQ","FILING_STATUS=OR","EQY_CONSOLIDATED=Y","Sort=A","Dates=H","DateFormat=P","Fill=—","Direction=H","UseDPDF=Y")</f>
        <v>#NAME?</v>
      </c>
      <c r="AY356" s="2" t="e">
        <f ca="1">_xll.BDH($C$353,"ACCOUNTS_PAYABLE_5_YEAR_GROWTH","FQ3 2014","FQ3 2014","Currency=INR","Period=FQ","BEST_FPERIOD_OVERRIDE=FQ","FILING_STATUS=OR","EQY_CONSOLIDATED=Y","Sort=A","Dates=H","DateFormat=P","Fill=—","Direction=H","UseDPDF=Y")</f>
        <v>#NAME?</v>
      </c>
      <c r="AZ356" s="2" t="e">
        <f ca="1">_xll.BDH($C$353,"SHORT_TERM_DEBT_5_YEAR_GROWTH","FQ3 2014","FQ3 2014","Currency=INR","Period=FQ","BEST_FPERIOD_OVERRIDE=FQ","FILING_STATUS=OR","EQY_CONSOLIDATED=Y","Sort=A","Dates=H","DateFormat=P","Fill=—","Direction=H","UseDPDF=Y")</f>
        <v>#NAME?</v>
      </c>
      <c r="BA356" s="2" t="e">
        <f ca="1">_xll.BDH($C$353,"TOTAL_DEBT_5_YEAR_GROWTH","FQ3 2014","FQ3 2014","Currency=INR","Period=FQ","BEST_FPERIOD_OVERRIDE=FQ","FILING_STATUS=OR","EQY_CONSOLIDATED=Y","Sort=A","Dates=H","DateFormat=P","Fill=—","Direction=H","UseDPDF=Y")</f>
        <v>#NAME?</v>
      </c>
      <c r="BB356" s="2" t="e">
        <f ca="1">_xll.BDH($C$353,"GEO_GROW_TOT_SHRHLDR_EQY","FQ3 2014","FQ3 2014","Currency=INR","Period=FQ","BEST_FPERIOD_OVERRIDE=FQ","FILING_STATUS=OR","EQY_CONSOLIDATED=Y","Sort=A","Dates=H","DateFormat=P","Fill=—","Direction=H","UseDPDF=Y")</f>
        <v>#NAME?</v>
      </c>
      <c r="BC356" s="2" t="e">
        <f ca="1">_xll.BDH($C$353,"TOTAL_CAPITAL_5_YEAR_GROWTH","FQ3 2014","FQ3 2014","Currency=INR","Period=FQ","BEST_FPERIOD_OVERRIDE=FQ","FILING_STATUS=OR","EQY_CONSOLIDATED=Y","Sort=A","Dates=H","DateFormat=P","Fill=—","Direction=H","UseDPDF=Y")</f>
        <v>#NAME?</v>
      </c>
      <c r="BD356" s="2" t="e">
        <f ca="1">_xll.BDH($C$353,"GEO_GROW_BOOK_VAL","FQ3 2014","FQ3 2014","Currency=INR","Period=FQ","BEST_FPERIOD_OVERRIDE=FQ","FILING_STATUS=OR","EQY_CONSOLIDATED=Y","Sort=A","Dates=H","DateFormat=P","Fill=—","Direction=H","UseDPDF=Y")</f>
        <v>#NAME?</v>
      </c>
      <c r="BE356" s="2" t="e">
        <f ca="1">_xll.BDH($C$353,"GEO_GROW_CASH_OPER_ACT","FQ3 2014","FQ3 2014","Currency=INR","Period=FQ","BEST_FPERIOD_OVERRIDE=FQ","FILING_STATUS=OR","EQY_CONSOLIDATED=Y","Sort=A","Dates=H","DateFormat=P","Fill=—","Direction=H","UseDPDF=Y")</f>
        <v>#NAME?</v>
      </c>
      <c r="BF356" s="2" t="e">
        <f ca="1">_xll.BDH($C$353,"REVENUE_SEQUENTIAL_GROWTH","FQ3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356" s="2" t="e">
        <f ca="1">_xll.BDH($C$353,"EBITDA_SEQUENTIAL_GROWTH","FQ3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356" s="2" t="e">
        <f ca="1">_xll.BDH($C$353,"OPERATING_INCOME_SEQ_GROWTH","FQ3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356" s="2" t="e">
        <f ca="1">_xll.BDH($C$353,"NET_INCOME_TO_COMMON_SEQ_GROWTH","FQ3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356" s="2" t="e">
        <f ca="1">_xll.BDH($C$353,"EPS_DILUTED_SEQUENTIAL_GROWTH","FQ3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356" s="2" t="e">
        <f ca="1">_xll.BDH($C$353,"DPS_SEQUENTIAL_GROWTH","FQ3 2014","FQ3 2014","Currency=INR","Period=FQ","BEST_FPERIOD_OVERRIDE=FQ","FILING_STATUS=OR","EQY_CONSOLIDATED=Y","Sort=A","Dates=H","DateFormat=P","Fill=—","Direction=H","UseDPDF=Y")</f>
        <v>#NAME?</v>
      </c>
      <c r="BL356" s="2" t="e">
        <f ca="1">_xll.BDH($C$353,"ACCOUNTS_RECEIVABLE_SEQ_GROWTH","FQ3 2014","FQ3 2014","Currency=INR","Period=FQ","BEST_FPERIOD_OVERRIDE=FQ","FILING_STATUS=OR","EQY_CONSOLIDATED=Y","Sort=A","Dates=H","DateFormat=P","Fill=—","Direction=H","UseDPDF=Y")</f>
        <v>#NAME?</v>
      </c>
      <c r="BM356" s="2" t="e">
        <f ca="1">_xll.BDH($C$353,"INVENTORY_SEQUENTIAL_GROWTH","FQ3 2014","FQ3 2014","Currency=INR","Period=FQ","BEST_FPERIOD_OVERRIDE=FQ","FILING_STATUS=OR","EQY_CONSOLIDATED=Y","Sort=A","Dates=H","DateFormat=P","Fill=—","Direction=H","UseDPDF=Y")</f>
        <v>#NAME?</v>
      </c>
      <c r="BN356" s="2" t="e">
        <f ca="1">_xll.BDH($C$353,"FIXED_ASSETS_SEQUENTIAL_GROWTH","FQ3 2014","FQ3 2014","Currency=INR","Period=FQ","BEST_FPERIOD_OVERRIDE=FQ","FILING_STATUS=OR","EQY_CONSOLIDATED=Y","Sort=A","Dates=H","DateFormat=P","Fill=—","Direction=H","UseDPDF=Y")</f>
        <v>#NAME?</v>
      </c>
      <c r="BO356" s="2" t="e">
        <f ca="1">_xll.BDH($C$353,"TOTAL_ASSETS_SEQUENTIAL_GROWTH","FQ3 2014","FQ3 2014","Currency=INR","Period=FQ","BEST_FPERIOD_OVERRIDE=FQ","FILING_STATUS=OR","EQY_CONSOLIDATED=Y","Sort=A","Dates=H","DateFormat=P","Fill=—","Direction=H","UseDPDF=Y")</f>
        <v>#NAME?</v>
      </c>
      <c r="BP356" s="2" t="e">
        <f ca="1">_xll.BDH($C$353,"MODIFIED_WORKING_CPTL_SEQ_GRWTH","FQ3 2014","FQ3 2014","Currency=INR","Period=FQ","BEST_FPERIOD_OVERRIDE=FQ","FILING_STATUS=OR","EQY_CONSOLIDATED=Y","Sort=A","Dates=H","DateFormat=P","Fill=—","Direction=H","UseDPDF=Y")</f>
        <v>#NAME?</v>
      </c>
      <c r="BQ356" s="2" t="e">
        <f ca="1">_xll.BDH($C$353,"WORKING_CAPITAL_SEQ_GROWTH","FQ3 2014","FQ3 2014","Currency=INR","Period=FQ","BEST_FPERIOD_OVERRIDE=FQ","FILING_STATUS=OR","EQY_CONSOLIDATED=Y","Sort=A","Dates=H","DateFormat=P","Fill=—","Direction=H","UseDPDF=Y")</f>
        <v>#NAME?</v>
      </c>
      <c r="BR356" s="2" t="e">
        <f ca="1">_xll.BDH($C$353,"ACCOUNTS_PAYABLE_SEQ_GROWTH","FQ3 2014","FQ3 2014","Currency=INR","Period=FQ","BEST_FPERIOD_OVERRIDE=FQ","FILING_STATUS=OR","EQY_CONSOLIDATED=Y","Sort=A","Dates=H","DateFormat=P","Fill=—","Direction=H","UseDPDF=Y")</f>
        <v>#NAME?</v>
      </c>
      <c r="BS356" s="2" t="e">
        <f ca="1">_xll.BDH($C$353,"ST_DEBT_SEQUENTIAL_GROWTH","FQ3 2014","FQ3 2014","Currency=INR","Period=FQ","BEST_FPERIOD_OVERRIDE=FQ","FILING_STATUS=OR","EQY_CONSOLIDATED=Y","Sort=A","Dates=H","DateFormat=P","Fill=—","Direction=H","UseDPDF=Y")</f>
        <v>#NAME?</v>
      </c>
      <c r="BT356" s="2" t="e">
        <f ca="1">_xll.BDH($C$353,"TOTAL_DEBT_SEQUENTIAL_GROWTH","FQ3 2014","FQ3 2014","Currency=INR","Period=FQ","BEST_FPERIOD_OVERRIDE=FQ","FILING_STATUS=OR","EQY_CONSOLIDATED=Y","Sort=A","Dates=H","DateFormat=P","Fill=—","Direction=H","UseDPDF=Y")</f>
        <v>#NAME?</v>
      </c>
      <c r="BU356" s="2" t="e">
        <f ca="1">_xll.BDH($C$353,"TOTAL_EQUITY_SEQUENTIAL_GROWTH","FQ3 2014","FQ3 2014","Currency=INR","Period=FQ","BEST_FPERIOD_OVERRIDE=FQ","FILING_STATUS=OR","EQY_CONSOLIDATED=Y","Sort=A","Dates=H","DateFormat=P","Fill=—","Direction=H","UseDPDF=Y")</f>
        <v>#NAME?</v>
      </c>
      <c r="BV356" s="2" t="e">
        <f ca="1">_xll.BDH($C$353,"TOTAL_CAPITAL_SEQUENTIAL_GROWTH","FQ3 2014","FQ3 2014","Currency=INR","Period=FQ","BEST_FPERIOD_OVERRIDE=FQ","FILING_STATUS=OR","EQY_CONSOLIDATED=Y","Sort=A","Dates=H","DateFormat=P","Fill=—","Direction=H","UseDPDF=Y")</f>
        <v>#NAME?</v>
      </c>
      <c r="BW356" s="2" t="e">
        <f ca="1">_xll.BDH($C$353,"BPS_SEQUENTIAL_GROWTH","FQ3 2014","FQ3 2014","Currency=INR","Period=FQ","BEST_FPERIOD_OVERRIDE=FQ","FILING_STATUS=OR","EQY_CONSOLIDATED=Y","Sort=A","Dates=H","DateFormat=P","Fill=—","Direction=H","UseDPDF=Y")</f>
        <v>#NAME?</v>
      </c>
      <c r="BX356" s="2" t="e">
        <f ca="1">_xll.BDH($C$353,"CFO_SEQUENTIAL_GROWTH","FQ3 2014","FQ3 2014","Currency=INR","Period=FQ","BEST_FPERIOD_OVERRIDE=FQ","FILING_STATUS=OR","EQY_CONSOLIDATED=Y","Sort=A","Dates=H","DateFormat=P","Fill=—","Direction=H","UseDPDF=Y")</f>
        <v>#NAME?</v>
      </c>
      <c r="BY356" s="3" t="e">
        <f ca="1">_xll.BDH($C$353,"SHORT_AND_LONG_TERM_DEBT","FQ3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356" s="3" t="e">
        <f ca="1">_xll.BDH($C$353,"BS_ST_BORROW","FQ3 2014","FQ3 2014","Currency=INR","Period=FQ","BEST_FPERIOD_OVERRIDE=FQ","FILING_STATUS=OR","EQY_CONSOLIDATED=Y","SCALING_FORMAT=MLN","Sort=A","Dates=H","DateFormat=P","Fill=—","Direction=H","UseDPDF=Y")</f>
        <v>#NAME?</v>
      </c>
      <c r="CA356" s="3" t="e">
        <f ca="1">_xll.BDH($C$353,"BS_LT_BORROW","FQ3 2014","FQ3 2014","Currency=INR","Period=FQ","BEST_FPERIOD_OVERRIDE=FQ","FILING_STATUS=OR","EQY_CONSOLIDATED=Y","SCALING_FORMAT=MLN","Sort=A","Dates=H","DateFormat=P","Fill=—","Direction=H","UseDPDF=Y")</f>
        <v>#NAME?</v>
      </c>
      <c r="CB356" s="2" t="e">
        <f ca="1">_xll.BDH($C$353,"TOT_DEBT_TO_EBITDA","FQ3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356" s="2" t="e">
        <f ca="1">_xll.BDH($C$353,"NET_DEBT_TO_EBITDA","FQ3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356" s="2" t="e">
        <f ca="1">_xll.BDH($C$353,"TOTAL_DEBT_TO_EBIT","FQ3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356" s="2" t="e">
        <f ca="1">_xll.BDH($C$353,"NET_DEBT_TO_EBIT","FQ3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356" s="2" t="e">
        <f ca="1">_xll.BDH($C$353,"EBITDA_TO_INTEREST_EXPN","FQ3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356" s="2" t="e">
        <f ca="1">_xll.BDH($C$353,"COM_EQY_TO_TOT_ASSET","FQ3 2014","FQ3 2014","Currency=INR","Period=FQ","BEST_FPERIOD_OVERRIDE=FQ","FILING_STATUS=OR","EQY_CONSOLIDATED=Y","Sort=A","Dates=H","DateFormat=P","Fill=—","Direction=H","UseDPDF=Y")</f>
        <v>#NAME?</v>
      </c>
      <c r="CH356" s="2" t="e">
        <f ca="1">_xll.BDH($C$353,"LT_DEBT_TO_TOT_EQY","FQ3 2014","FQ3 2014","Currency=INR","Period=FQ","BEST_FPERIOD_OVERRIDE=FQ","FILING_STATUS=OR","EQY_CONSOLIDATED=Y","Sort=A","Dates=H","DateFormat=P","Fill=—","Direction=H","UseDPDF=Y")</f>
        <v>#NAME?</v>
      </c>
      <c r="CI356" s="2" t="e">
        <f ca="1">_xll.BDH($C$353,"LT_DEBT_TO_TOT_CAP","FQ3 2014","FQ3 2014","Currency=INR","Period=FQ","BEST_FPERIOD_OVERRIDE=FQ","FILING_STATUS=OR","EQY_CONSOLIDATED=Y","Sort=A","Dates=H","DateFormat=P","Fill=—","Direction=H","UseDPDF=Y")</f>
        <v>#NAME?</v>
      </c>
      <c r="CJ356" s="2" t="e">
        <f ca="1">_xll.BDH($C$353,"LT_DEBT_TO_TOT_ASSET","FQ3 2014","FQ3 2014","Currency=INR","Period=FQ","BEST_FPERIOD_OVERRIDE=FQ","FILING_STATUS=OR","EQY_CONSOLIDATED=Y","Sort=A","Dates=H","DateFormat=P","Fill=—","Direction=H","UseDPDF=Y")</f>
        <v>#NAME?</v>
      </c>
      <c r="CK356" s="2" t="e">
        <f ca="1">_xll.BDH($C$353,"TOT_DEBT_TO_TOT_EQY","FQ3 2014","FQ3 2014","Currency=INR","Period=FQ","BEST_FPERIOD_OVERRIDE=FQ","FILING_STATUS=OR","EQY_CONSOLIDATED=Y","Sort=A","Dates=H","DateFormat=P","Fill=—","Direction=H","UseDPDF=Y")</f>
        <v>#NAME?</v>
      </c>
      <c r="CL356" s="2" t="e">
        <f ca="1">_xll.BDH($C$353,"TOT_DEBT_TO_TOT_CAP","FQ3 2014","FQ3 2014","Currency=INR","Period=FQ","BEST_FPERIOD_OVERRIDE=FQ","FILING_STATUS=OR","EQY_CONSOLIDATED=Y","Sort=A","Dates=H","DateFormat=P","Fill=—","Direction=H","UseDPDF=Y")</f>
        <v>#NAME?</v>
      </c>
      <c r="CM356" s="2" t="e">
        <f ca="1">_xll.BDH($C$353,"TOT_DEBT_TO_TOT_ASSET","FQ3 2014","FQ3 2014","Currency=INR","Period=FQ","BEST_FPERIOD_OVERRIDE=FQ","FILING_STATUS=OR","EQY_CONSOLIDATED=Y","Sort=A","Dates=H","DateFormat=P","Fill=—","Direction=H","UseDPDF=Y")</f>
        <v>#NAME?</v>
      </c>
      <c r="CN356" s="2" t="e">
        <f ca="1">_xll.BDH($C$353,"NET_DEBT_TO_SHRHLDR_EQTY","FQ3 2014","FQ3 2014","Currency=INR","Period=FQ","BEST_FPERIOD_OVERRIDE=FQ","FILING_STATUS=OR","EQY_CONSOLIDATED=Y","Sort=A","Dates=H","DateFormat=P","Fill=—","Direction=H","UseDPDF=Y")</f>
        <v>#NAME?</v>
      </c>
      <c r="CO356" s="2" t="e">
        <f ca="1">_xll.BDH($C$353,"NET_DEBT_%_CAPITAL","FQ3 2014","FQ3 2014","Currency=INR","Period=FQ","BEST_FPERIOD_OVERRIDE=FQ","FILING_STATUS=OR","EQY_CONSOLIDATED=Y","Sort=A","Dates=H","DateFormat=P","Fill=—","Direction=H","UseDPDF=Y")</f>
        <v>#NAME?</v>
      </c>
      <c r="CP356" s="3" t="e">
        <f ca="1">_xll.BDH($C$353,"EBITDA","FQ3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356" s="3" t="e">
        <f ca="1">_xll.BDH($C$353,"EBITDA_AFTER_CAPEX","FQ3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356" s="3" t="e">
        <f ca="1">_xll.BDH($C$353,"IS_OPER_INC","FQ3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356" s="2" t="e">
        <f ca="1">_xll.BDH($C$353,"CASH_RATIO","FQ3 2014","FQ3 2014","Currency=INR","Period=FQ","BEST_FPERIOD_OVERRIDE=FQ","FILING_STATUS=OR","EQY_CONSOLIDATED=Y","Sort=A","Dates=H","DateFormat=P","Fill=—","Direction=H","UseDPDF=Y")</f>
        <v>#NAME?</v>
      </c>
      <c r="CT356" s="2" t="e">
        <f ca="1">_xll.BDH($C$353,"CUR_RATIO","FQ3 2014","FQ3 2014","Currency=INR","Period=FQ","BEST_FPERIOD_OVERRIDE=FQ","FILING_STATUS=OR","EQY_CONSOLIDATED=Y","Sort=A","Dates=H","DateFormat=P","Fill=—","Direction=H","UseDPDF=Y")</f>
        <v>#NAME?</v>
      </c>
      <c r="CU356" s="2" t="e">
        <f ca="1">_xll.BDH($C$353,"QUICK_RATIO","FQ3 2014","FQ3 2014","Currency=INR","Period=FQ","BEST_FPERIOD_OVERRIDE=FQ","FILING_STATUS=OR","EQY_CONSOLIDATED=Y","Sort=A","Dates=H","DateFormat=P","Fill=—","Direction=H","UseDPDF=Y")</f>
        <v>#NAME?</v>
      </c>
      <c r="CV356" s="2" t="e">
        <f ca="1">_xll.BDH($C$353,"ALTMAN_Z_SCORE","FQ3 2014","FQ3 2014","Currency=INR","Period=FQ","BEST_FPERIOD_OVERRIDE=FQ","FILING_STATUS=OR","EQY_CONSOLIDATED=Y","Sort=A","Dates=H","DateFormat=P","Fill=—","Direction=H","UseDPDF=Y")</f>
        <v>#NAME?</v>
      </c>
      <c r="CW356" s="4" t="e">
        <f ca="1">_xll.BDH($C$353,"ACCT_RCV_TURN","FQ3 2014","FQ3 2014","Currency=INR","Period=FQ","BEST_FPERIOD_OVERRIDE=FQ","FILING_STATUS=OR","EQY_CONSOLIDATED=Y","FA_ADJUSTED=GAAP","Sort=A","Dates=H","DateFormat=P","Fill=—","Direction=H","UseDPDF=Y")</f>
        <v>#NAME?</v>
      </c>
      <c r="CX356" s="2" t="e">
        <f ca="1">_xll.BDH($C$353,"ACCT_RCV_DAYS","FQ3 2014","FQ3 2014","Currency=INR","Period=FQ","BEST_FPERIOD_OVERRIDE=FQ","FILING_STATUS=OR","EQY_CONSOLIDATED=Y","FA_ADJUSTED=GAAP","Sort=A","Dates=H","DateFormat=P","Fill=—","Direction=H","UseDPDF=Y")</f>
        <v>#NAME?</v>
      </c>
      <c r="CY356" s="4" t="e">
        <f ca="1">_xll.BDH($C$353,"INVENT_TURN","FQ3 2014","FQ3 2014","Currency=INR","Period=FQ","BEST_FPERIOD_OVERRIDE=FQ","FILING_STATUS=OR","EQY_CONSOLIDATED=Y","FA_ADJUSTED=GAAP","Sort=A","Dates=H","DateFormat=P","Fill=—","Direction=H","UseDPDF=Y")</f>
        <v>#NAME?</v>
      </c>
      <c r="CZ356" s="2" t="e">
        <f ca="1">_xll.BDH($C$353,"INVENT_DAYS","FQ3 2014","FQ3 2014","Currency=INR","Period=FQ","BEST_FPERIOD_OVERRIDE=FQ","FILING_STATUS=OR","EQY_CONSOLIDATED=Y","FA_ADJUSTED=GAAP","Sort=A","Dates=H","DateFormat=P","Fill=—","Direction=H","UseDPDF=Y")</f>
        <v>#NAME?</v>
      </c>
      <c r="DA356" s="4" t="e">
        <f ca="1">_xll.BDH($C$353,"ACCOUNTS_PAYABLE_TURNOVER","FQ3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356" s="2" t="e">
        <f ca="1">_xll.BDH($C$353,"ACCOUNTS_PAYABLE_TURNOVER_DAYS","FQ3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356" s="4" t="e">
        <f ca="1">_xll.BDH($C$353,"CASH_CONVERSION_CYCLE","FQ3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356" s="4" t="e">
        <f ca="1">_xll.BDH($C$353,"INV_TO_CASH_DAYS","FQ3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356" s="5" t="e">
        <f ca="1">_xll.BDH($C$353,"BS_INVENTORIES","FQ3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356" s="3" t="e">
        <f ca="1">_xll.BDH($C$353,"INVTRY_RAW_MATERIALS","FQ3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356" s="3" t="e">
        <f ca="1">_xll.BDH($C$353,"INVTRY_IN_PROGRESS","FQ3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356" s="3" t="e">
        <f ca="1">_xll.BDH($C$353,"INVTRY_FINISHED_GOODS","FQ3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356" s="3" t="e">
        <f ca="1">_xll.BDH($C$353,"BS_OTHER_INV","FQ3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357" spans="1:113" x14ac:dyDescent="0.3">
      <c r="A357" s="6"/>
      <c r="B357" s="6"/>
      <c r="C357" s="6"/>
      <c r="D357" s="6"/>
      <c r="E357" t="s">
        <v>81</v>
      </c>
      <c r="F357" t="e">
        <f ca="1">_xll.BDH($C$353,"RETURN_COM_EQY","FQ4 2014","FQ4 2014","Currency=INR","Period=FQ","BEST_FPERIOD_OVERRIDE=FQ","FILING_STATUS=OR","EQY_CONSOLIDATED=Y","FA_ADJUSTED=GAAP","Sort=A","Dates=H","DateFormat=P","Fill=—","Direction=H","UseDPDF=Y")</f>
        <v>#NAME?</v>
      </c>
      <c r="G357" t="e">
        <f ca="1">_xll.BDH($C$353,"RETURN_ON_ASSET","FQ4 2014","FQ4 2014","Currency=INR","Period=FQ","BEST_FPERIOD_OVERRIDE=FQ","FILING_STATUS=OR","EQY_CONSOLIDATED=Y","FA_ADJUSTED=GAAP","Sort=A","Dates=H","DateFormat=P","Fill=—","Direction=H","UseDPDF=Y")</f>
        <v>#NAME?</v>
      </c>
      <c r="H357" t="e">
        <f ca="1">_xll.BDH($C$353,"RETURN_ON_CAP","FQ4 2014","FQ4 2014","Currency=INR","Period=FQ","BEST_FPERIOD_OVERRIDE=FQ","FILING_STATUS=OR","EQY_CONSOLIDATED=Y","FA_ADJUSTED=GAAP","Sort=A","Dates=H","DateFormat=P","Fill=—","Direction=H","UseDPDF=Y")</f>
        <v>#NAME?</v>
      </c>
      <c r="I357" t="e">
        <f ca="1">_xll.BDH($C$353,"RETURN_ON_INV_CAPITAL","FQ4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357" t="e">
        <f ca="1">_xll.BDH($C$353,"EBITDA_TO_REVENUE","FQ4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357" t="e">
        <f ca="1">_xll.BDH($C$353,"OPER_MARGIN","FQ4 2014","FQ4 2014","Currency=INR","Period=FQ","BEST_FPERIOD_OVERRIDE=FQ","FILING_STATUS=OR","EQY_CONSOLIDATED=Y","FA_ADJUSTED=GAAP","Sort=A","Dates=H","DateFormat=P","Fill=—","Direction=H","UseDPDF=Y")</f>
        <v>#NAME?</v>
      </c>
      <c r="L357" t="e">
        <f ca="1">_xll.BDH($C$353,"INCREMENTAL_OPERATING_MARGIN","FQ4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357" t="e">
        <f ca="1">_xll.BDH($C$353,"PRETAX_INC_TO_NET_SALES","FQ4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357" t="e">
        <f ca="1">_xll.BDH($C$353,"INC_BEF_XO_ITEMS_TO_NET_SALES","FQ4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357" t="e">
        <f ca="1">_xll.BDH($C$353,"PROF_MARGIN","FQ4 2014","FQ4 2014","Currency=INR","Period=FQ","BEST_FPERIOD_OVERRIDE=FQ","FILING_STATUS=OR","EQY_CONSOLIDATED=Y","FA_ADJUSTED=GAAP","Sort=A","Dates=H","DateFormat=P","Fill=—","Direction=H","UseDPDF=Y")</f>
        <v>#NAME?</v>
      </c>
      <c r="P357" t="e">
        <f ca="1">_xll.BDH($C$353,"NET_INCOME_TO_COMMON_MARGIN","FQ4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357" t="e">
        <f ca="1">_xll.BDH($C$353,"EFF_TAX_RATE","FQ4 2014","FQ4 2014","Currency=INR","Period=FQ","BEST_FPERIOD_OVERRIDE=FQ","FILING_STATUS=OR","EQY_CONSOLIDATED=Y","FA_ADJUSTED=GAAP","Sort=A","Dates=H","DateFormat=P","Fill=—","Direction=H","UseDPDF=Y")</f>
        <v>#NAME?</v>
      </c>
      <c r="R357" t="e">
        <f ca="1">_xll.BDH($C$353,"DVD_PAYOUT_RATIO","FQ4 2014","FQ4 2014","Currency=INR","Period=FQ","BEST_FPERIOD_OVERRIDE=FQ","FILING_STATUS=OR","EQY_CONSOLIDATED=Y","FA_ADJUSTED=GAAP","Sort=A","Dates=H","DateFormat=P","Fill=—","Direction=H","UseDPDF=Y")</f>
        <v>#NAME?</v>
      </c>
      <c r="S357" t="e">
        <f ca="1">_xll.BDH($C$353,"SUSTAIN_GROWTH_RT","FQ4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357" s="2" t="e">
        <f ca="1">_xll.BDH($C$353,"SALES_GROWTH","FQ4 2014","FQ4 2014","Currency=INR","Period=FQ","BEST_FPERIOD_OVERRIDE=FQ","FILING_STATUS=OR","EQY_CONSOLIDATED=Y","FA_ADJUSTED=GAAP","Sort=A","Dates=H","DateFormat=P","Fill=—","Direction=H","UseDPDF=Y")</f>
        <v>#NAME?</v>
      </c>
      <c r="U357" s="2" t="e">
        <f ca="1">_xll.BDH($C$353,"EBITDA_GROWTH","FQ4 2014","FQ4 2014","Currency=INR","Period=FQ","BEST_FPERIOD_OVERRIDE=FQ","FILING_STATUS=OR","EQY_CONSOLIDATED=Y","FA_ADJUSTED=GAAP","Sort=A","Dates=H","DateFormat=P","Fill=—","Direction=H","UseDPDF=Y")</f>
        <v>#NAME?</v>
      </c>
      <c r="V357" s="2" t="e">
        <f ca="1">_xll.BDH($C$353,"OPER_INC_GROWTH","FQ4 2014","FQ4 2014","Currency=INR","Period=FQ","BEST_FPERIOD_OVERRIDE=FQ","FILING_STATUS=OR","EQY_CONSOLIDATED=Y","FA_ADJUSTED=GAAP","Sort=A","Dates=H","DateFormat=P","Fill=—","Direction=H","UseDPDF=Y")</f>
        <v>#NAME?</v>
      </c>
      <c r="W357" s="2" t="e">
        <f ca="1">_xll.BDH($C$353,"EARN_FOR_COM_GROWTH","FQ4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357" s="2" t="e">
        <f ca="1">_xll.BDH($C$353,"DILUTED_EPS_AFT_XO_ITEMS_GROWTH","FQ4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357" s="2" t="e">
        <f ca="1">_xll.BDH($C$353,"DIVIDEND_PER_SHARE_1_YEAR_GROWTH","FQ4 2014","FQ4 2014","Currency=INR","Period=FQ","BEST_FPERIOD_OVERRIDE=FQ","FILING_STATUS=OR","EQY_CONSOLIDATED=Y","Sort=A","Dates=H","DateFormat=P","Fill=—","Direction=H","UseDPDF=Y")</f>
        <v>#NAME?</v>
      </c>
      <c r="Z357" s="2" t="e">
        <f ca="1">_xll.BDH($C$353,"ACCOUNTS_RECEIVABLE_GROWTH","FQ4 2014","FQ4 2014","Currency=INR","Period=FQ","BEST_FPERIOD_OVERRIDE=FQ","FILING_STATUS=OR","EQY_CONSOLIDATED=Y","Sort=A","Dates=H","DateFormat=P","Fill=—","Direction=H","UseDPDF=Y")</f>
        <v>#NAME?</v>
      </c>
      <c r="AA357" s="2" t="e">
        <f ca="1">_xll.BDH($C$353,"INVENTORY_GROWTH","FQ4 2014","FQ4 2014","Currency=INR","Period=FQ","BEST_FPERIOD_OVERRIDE=FQ","FILING_STATUS=OR","EQY_CONSOLIDATED=Y","Sort=A","Dates=H","DateFormat=P","Fill=—","Direction=H","UseDPDF=Y")</f>
        <v>#NAME?</v>
      </c>
      <c r="AB357" s="2" t="e">
        <f ca="1">_xll.BDH($C$353,"NET_FIXED_ASSETS_1_YEAR_GROWTH","FQ4 2014","FQ4 2014","Currency=INR","Period=FQ","BEST_FPERIOD_OVERRIDE=FQ","FILING_STATUS=OR","EQY_CONSOLIDATED=Y","Sort=A","Dates=H","DateFormat=P","Fill=—","Direction=H","UseDPDF=Y")</f>
        <v>#NAME?</v>
      </c>
      <c r="AC357" s="2" t="e">
        <f ca="1">_xll.BDH($C$353,"ASSET_GROWTH","FQ4 2014","FQ4 2014","Currency=INR","Period=FQ","BEST_FPERIOD_OVERRIDE=FQ","FILING_STATUS=OR","EQY_CONSOLIDATED=Y","Sort=A","Dates=H","DateFormat=P","Fill=—","Direction=H","UseDPDF=Y")</f>
        <v>#NAME?</v>
      </c>
      <c r="AD357" s="2" t="e">
        <f ca="1">_xll.BDH($C$353,"MODIFIED_WORK_CAP_GROWTH","FQ4 2014","FQ4 2014","Currency=INR","Period=FQ","BEST_FPERIOD_OVERRIDE=FQ","FILING_STATUS=OR","EQY_CONSOLIDATED=Y","Sort=A","Dates=H","DateFormat=P","Fill=—","Direction=H","UseDPDF=Y")</f>
        <v>#NAME?</v>
      </c>
      <c r="AE357" s="2" t="e">
        <f ca="1">_xll.BDH($C$353,"WORK_CAP_GROWTH","FQ4 2014","FQ4 2014","Currency=INR","Period=FQ","BEST_FPERIOD_OVERRIDE=FQ","FILING_STATUS=OR","EQY_CONSOLIDATED=Y","Sort=A","Dates=H","DateFormat=P","Fill=—","Direction=H","UseDPDF=Y")</f>
        <v>#NAME?</v>
      </c>
      <c r="AF357" s="2" t="e">
        <f ca="1">_xll.BDH($C$353,"ACCOUNTS_PAYABLE_GROWTH_1YR","FQ4 2014","FQ4 2014","Currency=INR","Period=FQ","BEST_FPERIOD_OVERRIDE=FQ","FILING_STATUS=OR","EQY_CONSOLIDATED=Y","Sort=A","Dates=H","DateFormat=P","Fill=—","Direction=H","UseDPDF=Y")</f>
        <v>#NAME?</v>
      </c>
      <c r="AG357" s="2" t="e">
        <f ca="1">_xll.BDH($C$353,"SHORT_TERM_DEBT_1_YEAR_GROWTH","FQ4 2014","FQ4 2014","Currency=INR","Period=FQ","BEST_FPERIOD_OVERRIDE=FQ","FILING_STATUS=OR","EQY_CONSOLIDATED=Y","Sort=A","Dates=H","DateFormat=P","Fill=—","Direction=H","UseDPDF=Y")</f>
        <v>#NAME?</v>
      </c>
      <c r="AH357" s="2" t="e">
        <f ca="1">_xll.BDH($C$353,"TOTAL_DEBT_1_YEAR_GROWTH","FQ4 2014","FQ4 2014","Currency=INR","Period=FQ","BEST_FPERIOD_OVERRIDE=FQ","FILING_STATUS=OR","EQY_CONSOLIDATED=Y","Sort=A","Dates=H","DateFormat=P","Fill=—","Direction=H","UseDPDF=Y")</f>
        <v>#NAME?</v>
      </c>
      <c r="AI357" s="2" t="e">
        <f ca="1">_xll.BDH($C$353,"TOTAL_EQUITY_1_YEAR_GROWTH","FQ4 2014","FQ4 2014","Currency=INR","Period=FQ","BEST_FPERIOD_OVERRIDE=FQ","FILING_STATUS=OR","EQY_CONSOLIDATED=Y","Sort=A","Dates=H","DateFormat=P","Fill=—","Direction=H","UseDPDF=Y")</f>
        <v>#NAME?</v>
      </c>
      <c r="AJ357" s="2" t="e">
        <f ca="1">_xll.BDH($C$353,"GROWTH_IN_CAP","FQ4 2014","FQ4 2014","Currency=INR","Period=FQ","BEST_FPERIOD_OVERRIDE=FQ","FILING_STATUS=OR","EQY_CONSOLIDATED=Y","Sort=A","Dates=H","DateFormat=P","Fill=—","Direction=H","UseDPDF=Y")</f>
        <v>#NAME?</v>
      </c>
      <c r="AK357" s="2" t="e">
        <f ca="1">_xll.BDH($C$353,"BVPS_GROWTH","FQ4 2014","FQ4 2014","Currency=INR","Period=FQ","BEST_FPERIOD_OVERRIDE=FQ","FILING_STATUS=OR","EQY_CONSOLIDATED=Y","Sort=A","Dates=H","DateFormat=P","Fill=—","Direction=H","UseDPDF=Y")</f>
        <v>#NAME?</v>
      </c>
      <c r="AL357" s="2" t="e">
        <f ca="1">_xll.BDH($C$353,"CASH_FLOW_GROWTH","FQ4 2014","FQ4 2014","Currency=INR","Period=FQ","BEST_FPERIOD_OVERRIDE=FQ","FILING_STATUS=OR","EQY_CONSOLIDATED=Y","Sort=A","Dates=H","DateFormat=P","Fill=—","Direction=H","UseDPDF=Y")</f>
        <v>#NAME?</v>
      </c>
      <c r="AM357" s="2" t="e">
        <f ca="1">_xll.BDH($C$353,"GEO_GROW_NET_SALES","FQ4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357" s="2" t="e">
        <f ca="1">_xll.BDH($C$353,"GEO_GROW_EBITDA","FQ4 2014","FQ4 2014","Currency=INR","Period=FQ","BEST_FPERIOD_OVERRIDE=FQ","FILING_STATUS=OR","EQY_CONSOLIDATED=Y","FA_ADJUSTED=GAAP","Sort=A","Dates=H","DateFormat=P","Fill=—","Direction=H","UseDPDF=Y")</f>
        <v>#NAME?</v>
      </c>
      <c r="AO357" s="2" t="e">
        <f ca="1">_xll.BDH($C$353,"GEO_GROW_OPER_INC","FQ4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357" s="2" t="e">
        <f ca="1">_xll.BDH($C$353,"NET_INCOME_TO_COMMON_5_YR_GROWTH","FQ4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357" s="2" t="e">
        <f ca="1">_xll.BDH($C$353,"5Y_GEO_GROWTH_DILUTED_EPS","FQ4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357" s="2" t="e">
        <f ca="1">_xll.BDH($C$353,"GEO_GROW_DVD_PER_SH","FQ4 2014","FQ4 2014","Currency=INR","Period=FQ","BEST_FPERIOD_OVERRIDE=FQ","FILING_STATUS=OR","EQY_CONSOLIDATED=Y","Sort=A","Dates=H","DateFormat=P","Fill=—","Direction=H","UseDPDF=Y")</f>
        <v>#NAME?</v>
      </c>
      <c r="AS357" s="2" t="e">
        <f ca="1">_xll.BDH($C$353,"ACCOUNTS_RECEIVABLE_5_YR_GROWTH","FQ4 2014","FQ4 2014","Currency=INR","Period=FQ","BEST_FPERIOD_OVERRIDE=FQ","FILING_STATUS=OR","EQY_CONSOLIDATED=Y","Sort=A","Dates=H","DateFormat=P","Fill=—","Direction=H","UseDPDF=Y")</f>
        <v>#NAME?</v>
      </c>
      <c r="AT357" s="2" t="e">
        <f ca="1">_xll.BDH($C$353,"INVENTORY_5_YEAR_GROWTH","FQ4 2014","FQ4 2014","Currency=INR","Period=FQ","BEST_FPERIOD_OVERRIDE=FQ","FILING_STATUS=OR","EQY_CONSOLIDATED=Y","Sort=A","Dates=H","DateFormat=P","Fill=—","Direction=H","UseDPDF=Y")</f>
        <v>#NAME?</v>
      </c>
      <c r="AU357" s="2" t="e">
        <f ca="1">_xll.BDH($C$353,"NET_FIXED_ASSETS_5_YEAR_GROWTH","FQ4 2014","FQ4 2014","Currency=INR","Period=FQ","BEST_FPERIOD_OVERRIDE=FQ","FILING_STATUS=OR","EQY_CONSOLIDATED=Y","Sort=A","Dates=H","DateFormat=P","Fill=—","Direction=H","UseDPDF=Y")</f>
        <v>#NAME?</v>
      </c>
      <c r="AV357" s="2" t="e">
        <f ca="1">_xll.BDH($C$353,"GEO_GROW_TOT_ASSET","FQ4 2014","FQ4 2014","Currency=INR","Period=FQ","BEST_FPERIOD_OVERRIDE=FQ","FILING_STATUS=OR","EQY_CONSOLIDATED=Y","Sort=A","Dates=H","DateFormat=P","Fill=—","Direction=H","UseDPDF=Y")</f>
        <v>#NAME?</v>
      </c>
      <c r="AW357" s="2" t="e">
        <f ca="1">_xll.BDH($C$353,"MODIFIED_WORKING_CPTL_5YR_GRWTH","FQ4 2014","FQ4 2014","Currency=INR","Period=FQ","BEST_FPERIOD_OVERRIDE=FQ","FILING_STATUS=OR","EQY_CONSOLIDATED=Y","Sort=A","Dates=H","DateFormat=P","Fill=—","Direction=H","UseDPDF=Y")</f>
        <v>#NAME?</v>
      </c>
      <c r="AX357" s="2" t="e">
        <f ca="1">_xll.BDH($C$353,"WORKING_CAPITAL_5_YEAR_GROWTH","FQ4 2014","FQ4 2014","Currency=INR","Period=FQ","BEST_FPERIOD_OVERRIDE=FQ","FILING_STATUS=OR","EQY_CONSOLIDATED=Y","Sort=A","Dates=H","DateFormat=P","Fill=—","Direction=H","UseDPDF=Y")</f>
        <v>#NAME?</v>
      </c>
      <c r="AY357" s="2" t="e">
        <f ca="1">_xll.BDH($C$353,"ACCOUNTS_PAYABLE_5_YEAR_GROWTH","FQ4 2014","FQ4 2014","Currency=INR","Period=FQ","BEST_FPERIOD_OVERRIDE=FQ","FILING_STATUS=OR","EQY_CONSOLIDATED=Y","Sort=A","Dates=H","DateFormat=P","Fill=—","Direction=H","UseDPDF=Y")</f>
        <v>#NAME?</v>
      </c>
      <c r="AZ357" s="2" t="e">
        <f ca="1">_xll.BDH($C$353,"SHORT_TERM_DEBT_5_YEAR_GROWTH","FQ4 2014","FQ4 2014","Currency=INR","Period=FQ","BEST_FPERIOD_OVERRIDE=FQ","FILING_STATUS=OR","EQY_CONSOLIDATED=Y","Sort=A","Dates=H","DateFormat=P","Fill=—","Direction=H","UseDPDF=Y")</f>
        <v>#NAME?</v>
      </c>
      <c r="BA357" s="2" t="e">
        <f ca="1">_xll.BDH($C$353,"TOTAL_DEBT_5_YEAR_GROWTH","FQ4 2014","FQ4 2014","Currency=INR","Period=FQ","BEST_FPERIOD_OVERRIDE=FQ","FILING_STATUS=OR","EQY_CONSOLIDATED=Y","Sort=A","Dates=H","DateFormat=P","Fill=—","Direction=H","UseDPDF=Y")</f>
        <v>#NAME?</v>
      </c>
      <c r="BB357" s="2" t="e">
        <f ca="1">_xll.BDH($C$353,"GEO_GROW_TOT_SHRHLDR_EQY","FQ4 2014","FQ4 2014","Currency=INR","Period=FQ","BEST_FPERIOD_OVERRIDE=FQ","FILING_STATUS=OR","EQY_CONSOLIDATED=Y","Sort=A","Dates=H","DateFormat=P","Fill=—","Direction=H","UseDPDF=Y")</f>
        <v>#NAME?</v>
      </c>
      <c r="BC357" s="2" t="e">
        <f ca="1">_xll.BDH($C$353,"TOTAL_CAPITAL_5_YEAR_GROWTH","FQ4 2014","FQ4 2014","Currency=INR","Period=FQ","BEST_FPERIOD_OVERRIDE=FQ","FILING_STATUS=OR","EQY_CONSOLIDATED=Y","Sort=A","Dates=H","DateFormat=P","Fill=—","Direction=H","UseDPDF=Y")</f>
        <v>#NAME?</v>
      </c>
      <c r="BD357" s="2" t="e">
        <f ca="1">_xll.BDH($C$353,"GEO_GROW_BOOK_VAL","FQ4 2014","FQ4 2014","Currency=INR","Period=FQ","BEST_FPERIOD_OVERRIDE=FQ","FILING_STATUS=OR","EQY_CONSOLIDATED=Y","Sort=A","Dates=H","DateFormat=P","Fill=—","Direction=H","UseDPDF=Y")</f>
        <v>#NAME?</v>
      </c>
      <c r="BE357" s="2" t="e">
        <f ca="1">_xll.BDH($C$353,"GEO_GROW_CASH_OPER_ACT","FQ4 2014","FQ4 2014","Currency=INR","Period=FQ","BEST_FPERIOD_OVERRIDE=FQ","FILING_STATUS=OR","EQY_CONSOLIDATED=Y","Sort=A","Dates=H","DateFormat=P","Fill=—","Direction=H","UseDPDF=Y")</f>
        <v>#NAME?</v>
      </c>
      <c r="BF357" s="2" t="e">
        <f ca="1">_xll.BDH($C$353,"REVENUE_SEQUENTIAL_GROWTH","FQ4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357" s="2" t="e">
        <f ca="1">_xll.BDH($C$353,"EBITDA_SEQUENTIAL_GROWTH","FQ4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357" s="2" t="e">
        <f ca="1">_xll.BDH($C$353,"OPERATING_INCOME_SEQ_GROWTH","FQ4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357" s="2" t="e">
        <f ca="1">_xll.BDH($C$353,"NET_INCOME_TO_COMMON_SEQ_GROWTH","FQ4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357" s="2" t="e">
        <f ca="1">_xll.BDH($C$353,"EPS_DILUTED_SEQUENTIAL_GROWTH","FQ4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357" s="2" t="e">
        <f ca="1">_xll.BDH($C$353,"DPS_SEQUENTIAL_GROWTH","FQ4 2014","FQ4 2014","Currency=INR","Period=FQ","BEST_FPERIOD_OVERRIDE=FQ","FILING_STATUS=OR","EQY_CONSOLIDATED=Y","Sort=A","Dates=H","DateFormat=P","Fill=—","Direction=H","UseDPDF=Y")</f>
        <v>#NAME?</v>
      </c>
      <c r="BL357" s="2" t="e">
        <f ca="1">_xll.BDH($C$353,"ACCOUNTS_RECEIVABLE_SEQ_GROWTH","FQ4 2014","FQ4 2014","Currency=INR","Period=FQ","BEST_FPERIOD_OVERRIDE=FQ","FILING_STATUS=OR","EQY_CONSOLIDATED=Y","Sort=A","Dates=H","DateFormat=P","Fill=—","Direction=H","UseDPDF=Y")</f>
        <v>#NAME?</v>
      </c>
      <c r="BM357" s="2" t="e">
        <f ca="1">_xll.BDH($C$353,"INVENTORY_SEQUENTIAL_GROWTH","FQ4 2014","FQ4 2014","Currency=INR","Period=FQ","BEST_FPERIOD_OVERRIDE=FQ","FILING_STATUS=OR","EQY_CONSOLIDATED=Y","Sort=A","Dates=H","DateFormat=P","Fill=—","Direction=H","UseDPDF=Y")</f>
        <v>#NAME?</v>
      </c>
      <c r="BN357" s="2" t="e">
        <f ca="1">_xll.BDH($C$353,"FIXED_ASSETS_SEQUENTIAL_GROWTH","FQ4 2014","FQ4 2014","Currency=INR","Period=FQ","BEST_FPERIOD_OVERRIDE=FQ","FILING_STATUS=OR","EQY_CONSOLIDATED=Y","Sort=A","Dates=H","DateFormat=P","Fill=—","Direction=H","UseDPDF=Y")</f>
        <v>#NAME?</v>
      </c>
      <c r="BO357" s="2" t="e">
        <f ca="1">_xll.BDH($C$353,"TOTAL_ASSETS_SEQUENTIAL_GROWTH","FQ4 2014","FQ4 2014","Currency=INR","Period=FQ","BEST_FPERIOD_OVERRIDE=FQ","FILING_STATUS=OR","EQY_CONSOLIDATED=Y","Sort=A","Dates=H","DateFormat=P","Fill=—","Direction=H","UseDPDF=Y")</f>
        <v>#NAME?</v>
      </c>
      <c r="BP357" s="2" t="e">
        <f ca="1">_xll.BDH($C$353,"MODIFIED_WORKING_CPTL_SEQ_GRWTH","FQ4 2014","FQ4 2014","Currency=INR","Period=FQ","BEST_FPERIOD_OVERRIDE=FQ","FILING_STATUS=OR","EQY_CONSOLIDATED=Y","Sort=A","Dates=H","DateFormat=P","Fill=—","Direction=H","UseDPDF=Y")</f>
        <v>#NAME?</v>
      </c>
      <c r="BQ357" s="2" t="e">
        <f ca="1">_xll.BDH($C$353,"WORKING_CAPITAL_SEQ_GROWTH","FQ4 2014","FQ4 2014","Currency=INR","Period=FQ","BEST_FPERIOD_OVERRIDE=FQ","FILING_STATUS=OR","EQY_CONSOLIDATED=Y","Sort=A","Dates=H","DateFormat=P","Fill=—","Direction=H","UseDPDF=Y")</f>
        <v>#NAME?</v>
      </c>
      <c r="BR357" s="2" t="e">
        <f ca="1">_xll.BDH($C$353,"ACCOUNTS_PAYABLE_SEQ_GROWTH","FQ4 2014","FQ4 2014","Currency=INR","Period=FQ","BEST_FPERIOD_OVERRIDE=FQ","FILING_STATUS=OR","EQY_CONSOLIDATED=Y","Sort=A","Dates=H","DateFormat=P","Fill=—","Direction=H","UseDPDF=Y")</f>
        <v>#NAME?</v>
      </c>
      <c r="BS357" s="2" t="e">
        <f ca="1">_xll.BDH($C$353,"ST_DEBT_SEQUENTIAL_GROWTH","FQ4 2014","FQ4 2014","Currency=INR","Period=FQ","BEST_FPERIOD_OVERRIDE=FQ","FILING_STATUS=OR","EQY_CONSOLIDATED=Y","Sort=A","Dates=H","DateFormat=P","Fill=—","Direction=H","UseDPDF=Y")</f>
        <v>#NAME?</v>
      </c>
      <c r="BT357" s="2" t="e">
        <f ca="1">_xll.BDH($C$353,"TOTAL_DEBT_SEQUENTIAL_GROWTH","FQ4 2014","FQ4 2014","Currency=INR","Period=FQ","BEST_FPERIOD_OVERRIDE=FQ","FILING_STATUS=OR","EQY_CONSOLIDATED=Y","Sort=A","Dates=H","DateFormat=P","Fill=—","Direction=H","UseDPDF=Y")</f>
        <v>#NAME?</v>
      </c>
      <c r="BU357" s="2" t="e">
        <f ca="1">_xll.BDH($C$353,"TOTAL_EQUITY_SEQUENTIAL_GROWTH","FQ4 2014","FQ4 2014","Currency=INR","Period=FQ","BEST_FPERIOD_OVERRIDE=FQ","FILING_STATUS=OR","EQY_CONSOLIDATED=Y","Sort=A","Dates=H","DateFormat=P","Fill=—","Direction=H","UseDPDF=Y")</f>
        <v>#NAME?</v>
      </c>
      <c r="BV357" s="2" t="e">
        <f ca="1">_xll.BDH($C$353,"TOTAL_CAPITAL_SEQUENTIAL_GROWTH","FQ4 2014","FQ4 2014","Currency=INR","Period=FQ","BEST_FPERIOD_OVERRIDE=FQ","FILING_STATUS=OR","EQY_CONSOLIDATED=Y","Sort=A","Dates=H","DateFormat=P","Fill=—","Direction=H","UseDPDF=Y")</f>
        <v>#NAME?</v>
      </c>
      <c r="BW357" s="2" t="e">
        <f ca="1">_xll.BDH($C$353,"BPS_SEQUENTIAL_GROWTH","FQ4 2014","FQ4 2014","Currency=INR","Period=FQ","BEST_FPERIOD_OVERRIDE=FQ","FILING_STATUS=OR","EQY_CONSOLIDATED=Y","Sort=A","Dates=H","DateFormat=P","Fill=—","Direction=H","UseDPDF=Y")</f>
        <v>#NAME?</v>
      </c>
      <c r="BX357" s="2" t="e">
        <f ca="1">_xll.BDH($C$353,"CFO_SEQUENTIAL_GROWTH","FQ4 2014","FQ4 2014","Currency=INR","Period=FQ","BEST_FPERIOD_OVERRIDE=FQ","FILING_STATUS=OR","EQY_CONSOLIDATED=Y","Sort=A","Dates=H","DateFormat=P","Fill=—","Direction=H","UseDPDF=Y")</f>
        <v>#NAME?</v>
      </c>
      <c r="BY357" s="3" t="e">
        <f ca="1">_xll.BDH($C$353,"SHORT_AND_LONG_TERM_DEBT","FQ4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357" s="3" t="e">
        <f ca="1">_xll.BDH($C$353,"BS_ST_BORROW","FQ4 2014","FQ4 2014","Currency=INR","Period=FQ","BEST_FPERIOD_OVERRIDE=FQ","FILING_STATUS=OR","EQY_CONSOLIDATED=Y","SCALING_FORMAT=MLN","Sort=A","Dates=H","DateFormat=P","Fill=—","Direction=H","UseDPDF=Y")</f>
        <v>#NAME?</v>
      </c>
      <c r="CA357" s="3" t="e">
        <f ca="1">_xll.BDH($C$353,"BS_LT_BORROW","FQ4 2014","FQ4 2014","Currency=INR","Period=FQ","BEST_FPERIOD_OVERRIDE=FQ","FILING_STATUS=OR","EQY_CONSOLIDATED=Y","SCALING_FORMAT=MLN","Sort=A","Dates=H","DateFormat=P","Fill=—","Direction=H","UseDPDF=Y")</f>
        <v>#NAME?</v>
      </c>
      <c r="CB357" s="2" t="e">
        <f ca="1">_xll.BDH($C$353,"TOT_DEBT_TO_EBITDA","FQ4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357" s="2" t="e">
        <f ca="1">_xll.BDH($C$353,"NET_DEBT_TO_EBITDA","FQ4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357" s="2" t="e">
        <f ca="1">_xll.BDH($C$353,"TOTAL_DEBT_TO_EBIT","FQ4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357" s="2" t="e">
        <f ca="1">_xll.BDH($C$353,"NET_DEBT_TO_EBIT","FQ4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357" s="2" t="e">
        <f ca="1">_xll.BDH($C$353,"EBITDA_TO_INTEREST_EXPN","FQ4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357" s="2" t="e">
        <f ca="1">_xll.BDH($C$353,"COM_EQY_TO_TOT_ASSET","FQ4 2014","FQ4 2014","Currency=INR","Period=FQ","BEST_FPERIOD_OVERRIDE=FQ","FILING_STATUS=OR","EQY_CONSOLIDATED=Y","Sort=A","Dates=H","DateFormat=P","Fill=—","Direction=H","UseDPDF=Y")</f>
        <v>#NAME?</v>
      </c>
      <c r="CH357" s="2" t="e">
        <f ca="1">_xll.BDH($C$353,"LT_DEBT_TO_TOT_EQY","FQ4 2014","FQ4 2014","Currency=INR","Period=FQ","BEST_FPERIOD_OVERRIDE=FQ","FILING_STATUS=OR","EQY_CONSOLIDATED=Y","Sort=A","Dates=H","DateFormat=P","Fill=—","Direction=H","UseDPDF=Y")</f>
        <v>#NAME?</v>
      </c>
      <c r="CI357" s="2" t="e">
        <f ca="1">_xll.BDH($C$353,"LT_DEBT_TO_TOT_CAP","FQ4 2014","FQ4 2014","Currency=INR","Period=FQ","BEST_FPERIOD_OVERRIDE=FQ","FILING_STATUS=OR","EQY_CONSOLIDATED=Y","Sort=A","Dates=H","DateFormat=P","Fill=—","Direction=H","UseDPDF=Y")</f>
        <v>#NAME?</v>
      </c>
      <c r="CJ357" s="2" t="e">
        <f ca="1">_xll.BDH($C$353,"LT_DEBT_TO_TOT_ASSET","FQ4 2014","FQ4 2014","Currency=INR","Period=FQ","BEST_FPERIOD_OVERRIDE=FQ","FILING_STATUS=OR","EQY_CONSOLIDATED=Y","Sort=A","Dates=H","DateFormat=P","Fill=—","Direction=H","UseDPDF=Y")</f>
        <v>#NAME?</v>
      </c>
      <c r="CK357" s="2" t="e">
        <f ca="1">_xll.BDH($C$353,"TOT_DEBT_TO_TOT_EQY","FQ4 2014","FQ4 2014","Currency=INR","Period=FQ","BEST_FPERIOD_OVERRIDE=FQ","FILING_STATUS=OR","EQY_CONSOLIDATED=Y","Sort=A","Dates=H","DateFormat=P","Fill=—","Direction=H","UseDPDF=Y")</f>
        <v>#NAME?</v>
      </c>
      <c r="CL357" s="2" t="e">
        <f ca="1">_xll.BDH($C$353,"TOT_DEBT_TO_TOT_CAP","FQ4 2014","FQ4 2014","Currency=INR","Period=FQ","BEST_FPERIOD_OVERRIDE=FQ","FILING_STATUS=OR","EQY_CONSOLIDATED=Y","Sort=A","Dates=H","DateFormat=P","Fill=—","Direction=H","UseDPDF=Y")</f>
        <v>#NAME?</v>
      </c>
      <c r="CM357" s="2" t="e">
        <f ca="1">_xll.BDH($C$353,"TOT_DEBT_TO_TOT_ASSET","FQ4 2014","FQ4 2014","Currency=INR","Period=FQ","BEST_FPERIOD_OVERRIDE=FQ","FILING_STATUS=OR","EQY_CONSOLIDATED=Y","Sort=A","Dates=H","DateFormat=P","Fill=—","Direction=H","UseDPDF=Y")</f>
        <v>#NAME?</v>
      </c>
      <c r="CN357" s="2" t="e">
        <f ca="1">_xll.BDH($C$353,"NET_DEBT_TO_SHRHLDR_EQTY","FQ4 2014","FQ4 2014","Currency=INR","Period=FQ","BEST_FPERIOD_OVERRIDE=FQ","FILING_STATUS=OR","EQY_CONSOLIDATED=Y","Sort=A","Dates=H","DateFormat=P","Fill=—","Direction=H","UseDPDF=Y")</f>
        <v>#NAME?</v>
      </c>
      <c r="CO357" s="2" t="e">
        <f ca="1">_xll.BDH($C$353,"NET_DEBT_%_CAPITAL","FQ4 2014","FQ4 2014","Currency=INR","Period=FQ","BEST_FPERIOD_OVERRIDE=FQ","FILING_STATUS=OR","EQY_CONSOLIDATED=Y","Sort=A","Dates=H","DateFormat=P","Fill=—","Direction=H","UseDPDF=Y")</f>
        <v>#NAME?</v>
      </c>
      <c r="CP357" s="3" t="e">
        <f ca="1">_xll.BDH($C$353,"EBITDA","FQ4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357" s="3" t="e">
        <f ca="1">_xll.BDH($C$353,"EBITDA_AFTER_CAPEX","FQ4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357" s="3" t="e">
        <f ca="1">_xll.BDH($C$353,"IS_OPER_INC","FQ4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357" s="2" t="e">
        <f ca="1">_xll.BDH($C$353,"CASH_RATIO","FQ4 2014","FQ4 2014","Currency=INR","Period=FQ","BEST_FPERIOD_OVERRIDE=FQ","FILING_STATUS=OR","EQY_CONSOLIDATED=Y","Sort=A","Dates=H","DateFormat=P","Fill=—","Direction=H","UseDPDF=Y")</f>
        <v>#NAME?</v>
      </c>
      <c r="CT357" s="2" t="e">
        <f ca="1">_xll.BDH($C$353,"CUR_RATIO","FQ4 2014","FQ4 2014","Currency=INR","Period=FQ","BEST_FPERIOD_OVERRIDE=FQ","FILING_STATUS=OR","EQY_CONSOLIDATED=Y","Sort=A","Dates=H","DateFormat=P","Fill=—","Direction=H","UseDPDF=Y")</f>
        <v>#NAME?</v>
      </c>
      <c r="CU357" s="2" t="e">
        <f ca="1">_xll.BDH($C$353,"QUICK_RATIO","FQ4 2014","FQ4 2014","Currency=INR","Period=FQ","BEST_FPERIOD_OVERRIDE=FQ","FILING_STATUS=OR","EQY_CONSOLIDATED=Y","Sort=A","Dates=H","DateFormat=P","Fill=—","Direction=H","UseDPDF=Y")</f>
        <v>#NAME?</v>
      </c>
      <c r="CV357" s="2" t="e">
        <f ca="1">_xll.BDH($C$353,"ALTMAN_Z_SCORE","FQ4 2014","FQ4 2014","Currency=INR","Period=FQ","BEST_FPERIOD_OVERRIDE=FQ","FILING_STATUS=OR","EQY_CONSOLIDATED=Y","Sort=A","Dates=H","DateFormat=P","Fill=—","Direction=H","UseDPDF=Y")</f>
        <v>#NAME?</v>
      </c>
      <c r="CW357" s="4" t="e">
        <f ca="1">_xll.BDH($C$353,"ACCT_RCV_TURN","FQ4 2014","FQ4 2014","Currency=INR","Period=FQ","BEST_FPERIOD_OVERRIDE=FQ","FILING_STATUS=OR","EQY_CONSOLIDATED=Y","FA_ADJUSTED=GAAP","Sort=A","Dates=H","DateFormat=P","Fill=—","Direction=H","UseDPDF=Y")</f>
        <v>#NAME?</v>
      </c>
      <c r="CX357" s="2" t="e">
        <f ca="1">_xll.BDH($C$353,"ACCT_RCV_DAYS","FQ4 2014","FQ4 2014","Currency=INR","Period=FQ","BEST_FPERIOD_OVERRIDE=FQ","FILING_STATUS=OR","EQY_CONSOLIDATED=Y","FA_ADJUSTED=GAAP","Sort=A","Dates=H","DateFormat=P","Fill=—","Direction=H","UseDPDF=Y")</f>
        <v>#NAME?</v>
      </c>
      <c r="CY357" s="4" t="e">
        <f ca="1">_xll.BDH($C$353,"INVENT_TURN","FQ4 2014","FQ4 2014","Currency=INR","Period=FQ","BEST_FPERIOD_OVERRIDE=FQ","FILING_STATUS=OR","EQY_CONSOLIDATED=Y","FA_ADJUSTED=GAAP","Sort=A","Dates=H","DateFormat=P","Fill=—","Direction=H","UseDPDF=Y")</f>
        <v>#NAME?</v>
      </c>
      <c r="CZ357" s="2" t="e">
        <f ca="1">_xll.BDH($C$353,"INVENT_DAYS","FQ4 2014","FQ4 2014","Currency=INR","Period=FQ","BEST_FPERIOD_OVERRIDE=FQ","FILING_STATUS=OR","EQY_CONSOLIDATED=Y","FA_ADJUSTED=GAAP","Sort=A","Dates=H","DateFormat=P","Fill=—","Direction=H","UseDPDF=Y")</f>
        <v>#NAME?</v>
      </c>
      <c r="DA357" s="4" t="e">
        <f ca="1">_xll.BDH($C$353,"ACCOUNTS_PAYABLE_TURNOVER","FQ4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357" s="2" t="e">
        <f ca="1">_xll.BDH($C$353,"ACCOUNTS_PAYABLE_TURNOVER_DAYS","FQ4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357" s="4" t="e">
        <f ca="1">_xll.BDH($C$353,"CASH_CONVERSION_CYCLE","FQ4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357" s="4" t="e">
        <f ca="1">_xll.BDH($C$353,"INV_TO_CASH_DAYS","FQ4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357" s="5" t="e">
        <f ca="1">_xll.BDH($C$353,"BS_INVENTORIES","FQ4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357" s="3" t="e">
        <f ca="1">_xll.BDH($C$353,"INVTRY_RAW_MATERIALS","FQ4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357" s="3" t="e">
        <f ca="1">_xll.BDH($C$353,"INVTRY_IN_PROGRESS","FQ4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357" s="3" t="e">
        <f ca="1">_xll.BDH($C$353,"INVTRY_FINISHED_GOODS","FQ4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357" s="3" t="e">
        <f ca="1">_xll.BDH($C$353,"BS_OTHER_INV","FQ4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358" spans="1:113" x14ac:dyDescent="0.3">
      <c r="A358" s="6"/>
      <c r="B358" s="6"/>
      <c r="C358" s="6"/>
      <c r="D358" s="6" t="s">
        <v>82</v>
      </c>
      <c r="E358" t="s">
        <v>77</v>
      </c>
      <c r="F358" t="e">
        <f ca="1">_xll.BDH($C$353,"RETURN_COM_EQY","FY 2015","FY 2015","Currency=INR","Period=FY","BEST_FPERIOD_OVERRIDE=FY","FILING_STATUS=OR","EQY_CONSOLIDATED=Y","FA_ADJUSTED=GAAP","Sort=A","Dates=H","DateFormat=P","Fill=—","Direction=H","UseDPDF=Y")</f>
        <v>#NAME?</v>
      </c>
      <c r="G358" t="e">
        <f ca="1">_xll.BDH($C$353,"RETURN_ON_ASSET","FY 2015","FY 2015","Currency=INR","Period=FY","BEST_FPERIOD_OVERRIDE=FY","FILING_STATUS=OR","EQY_CONSOLIDATED=Y","FA_ADJUSTED=GAAP","Sort=A","Dates=H","DateFormat=P","Fill=—","Direction=H","UseDPDF=Y")</f>
        <v>#NAME?</v>
      </c>
      <c r="H358" t="e">
        <f ca="1">_xll.BDH($C$353,"RETURN_ON_CAP","FY 2015","FY 2015","Currency=INR","Period=FY","BEST_FPERIOD_OVERRIDE=FY","FILING_STATUS=OR","EQY_CONSOLIDATED=Y","FA_ADJUSTED=GAAP","Sort=A","Dates=H","DateFormat=P","Fill=—","Direction=H","UseDPDF=Y")</f>
        <v>#NAME?</v>
      </c>
      <c r="I358" t="e">
        <f ca="1">_xll.BDH($C$353,"RETURN_ON_INV_CAPITAL","FY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358" t="e">
        <f ca="1">_xll.BDH($C$353,"EBITDA_TO_REVENUE","FY 2015","FY 2015","Currency=INR","Period=FY","BEST_FPERIOD_OVERRIDE=FY","FILING_STATUS=OR","EQY_CONSOLIDATED=Y","FA_ADJUSTED=GAAP","Sort=A","Dates=H","DateFormat=P","Fill=—","Direction=H","UseDPDF=Y")</f>
        <v>#NAME?</v>
      </c>
      <c r="K358" t="e">
        <f ca="1">_xll.BDH($C$353,"OPER_MARGIN","FY 2015","FY 2015","Currency=INR","Period=FY","BEST_FPERIOD_OVERRIDE=FY","FILING_STATUS=OR","EQY_CONSOLIDATED=Y","FA_ADJUSTED=GAAP","Sort=A","Dates=H","DateFormat=P","Fill=—","Direction=H","UseDPDF=Y")</f>
        <v>#NAME?</v>
      </c>
      <c r="L358" t="e">
        <f ca="1">_xll.BDH($C$353,"INCREMENTAL_OPERATING_MARGIN","FY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358" t="e">
        <f ca="1">_xll.BDH($C$353,"PRETAX_INC_TO_NET_SALES","FY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358" t="e">
        <f ca="1">_xll.BDH($C$353,"INC_BEF_XO_ITEMS_TO_NET_SALES","FY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358" t="e">
        <f ca="1">_xll.BDH($C$353,"PROF_MARGIN","FY 2015","FY 2015","Currency=INR","Period=FY","BEST_FPERIOD_OVERRIDE=FY","FILING_STATUS=OR","EQY_CONSOLIDATED=Y","FA_ADJUSTED=GAAP","Sort=A","Dates=H","DateFormat=P","Fill=—","Direction=H","UseDPDF=Y")</f>
        <v>#NAME?</v>
      </c>
      <c r="P358" t="e">
        <f ca="1">_xll.BDH($C$353,"NET_INCOME_TO_COMMON_MARGIN","FY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358" t="e">
        <f ca="1">_xll.BDH($C$353,"EFF_TAX_RATE","FY 2015","FY 2015","Currency=INR","Period=FY","BEST_FPERIOD_OVERRIDE=FY","FILING_STATUS=OR","EQY_CONSOLIDATED=Y","FA_ADJUSTED=GAAP","Sort=A","Dates=H","DateFormat=P","Fill=—","Direction=H","UseDPDF=Y")</f>
        <v>#NAME?</v>
      </c>
      <c r="R358" t="e">
        <f ca="1">_xll.BDH($C$353,"DVD_PAYOUT_RATIO","FY 2015","FY 2015","Currency=INR","Period=FY","BEST_FPERIOD_OVERRIDE=FY","FILING_STATUS=OR","EQY_CONSOLIDATED=Y","FA_ADJUSTED=GAAP","Sort=A","Dates=H","DateFormat=P","Fill=—","Direction=H","UseDPDF=Y")</f>
        <v>#NAME?</v>
      </c>
      <c r="S358" t="e">
        <f ca="1">_xll.BDH($C$353,"SUSTAIN_GROWTH_RT","FY 2015","FY 2015","Currency=INR","Period=FY","BEST_FPERIOD_OVERRIDE=FY","FILING_STATUS=OR","EQY_CONSOLIDATED=Y","FA_ADJUSTED=GAAP","Sort=A","Dates=H","DateFormat=P","Fill=—","Direction=H","UseDPDF=Y")</f>
        <v>#NAME?</v>
      </c>
      <c r="T358" s="2" t="e">
        <f ca="1">_xll.BDH($C$353,"SALES_GROWTH","FY 2015","FY 2015","Currency=INR","Period=FY","BEST_FPERIOD_OVERRIDE=FY","FILING_STATUS=OR","EQY_CONSOLIDATED=Y","FA_ADJUSTED=GAAP","Sort=A","Dates=H","DateFormat=P","Fill=—","Direction=H","UseDPDF=Y")</f>
        <v>#NAME?</v>
      </c>
      <c r="U358" s="2" t="e">
        <f ca="1">_xll.BDH($C$353,"EBITDA_GROWTH","FY 2015","FY 2015","Currency=INR","Period=FY","BEST_FPERIOD_OVERRIDE=FY","FILING_STATUS=OR","EQY_CONSOLIDATED=Y","FA_ADJUSTED=GAAP","Sort=A","Dates=H","DateFormat=P","Fill=—","Direction=H","UseDPDF=Y")</f>
        <v>#NAME?</v>
      </c>
      <c r="V358" s="2" t="e">
        <f ca="1">_xll.BDH($C$353,"OPER_INC_GROWTH","FY 2015","FY 2015","Currency=INR","Period=FY","BEST_FPERIOD_OVERRIDE=FY","FILING_STATUS=OR","EQY_CONSOLIDATED=Y","FA_ADJUSTED=GAAP","Sort=A","Dates=H","DateFormat=P","Fill=—","Direction=H","UseDPDF=Y")</f>
        <v>#NAME?</v>
      </c>
      <c r="W358" s="2" t="e">
        <f ca="1">_xll.BDH($C$353,"EARN_FOR_COM_GROWTH","FY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358" s="2" t="e">
        <f ca="1">_xll.BDH($C$353,"DILUTED_EPS_AFT_XO_ITEMS_GROWTH","FY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358" s="2" t="e">
        <f ca="1">_xll.BDH($C$353,"DIVIDEND_PER_SHARE_1_YEAR_GROWTH","FY 2015","FY 2015","Currency=INR","Period=FY","BEST_FPERIOD_OVERRIDE=FY","FILING_STATUS=OR","EQY_CONSOLIDATED=Y","Sort=A","Dates=H","DateFormat=P","Fill=—","Direction=H","UseDPDF=Y")</f>
        <v>#NAME?</v>
      </c>
      <c r="Z358" s="2" t="e">
        <f ca="1">_xll.BDH($C$353,"ACCOUNTS_RECEIVABLE_GROWTH","FY 2015","FY 2015","Currency=INR","Period=FY","BEST_FPERIOD_OVERRIDE=FY","FILING_STATUS=OR","EQY_CONSOLIDATED=Y","Sort=A","Dates=H","DateFormat=P","Fill=—","Direction=H","UseDPDF=Y")</f>
        <v>#NAME?</v>
      </c>
      <c r="AA358" s="2" t="e">
        <f ca="1">_xll.BDH($C$353,"INVENTORY_GROWTH","FY 2015","FY 2015","Currency=INR","Period=FY","BEST_FPERIOD_OVERRIDE=FY","FILING_STATUS=OR","EQY_CONSOLIDATED=Y","Sort=A","Dates=H","DateFormat=P","Fill=—","Direction=H","UseDPDF=Y")</f>
        <v>#NAME?</v>
      </c>
      <c r="AB358" s="2" t="e">
        <f ca="1">_xll.BDH($C$353,"NET_FIXED_ASSETS_1_YEAR_GROWTH","FY 2015","FY 2015","Currency=INR","Period=FY","BEST_FPERIOD_OVERRIDE=FY","FILING_STATUS=OR","EQY_CONSOLIDATED=Y","Sort=A","Dates=H","DateFormat=P","Fill=—","Direction=H","UseDPDF=Y")</f>
        <v>#NAME?</v>
      </c>
      <c r="AC358" s="2" t="e">
        <f ca="1">_xll.BDH($C$353,"ASSET_GROWTH","FY 2015","FY 2015","Currency=INR","Period=FY","BEST_FPERIOD_OVERRIDE=FY","FILING_STATUS=OR","EQY_CONSOLIDATED=Y","Sort=A","Dates=H","DateFormat=P","Fill=—","Direction=H","UseDPDF=Y")</f>
        <v>#NAME?</v>
      </c>
      <c r="AD358" s="2" t="e">
        <f ca="1">_xll.BDH($C$353,"MODIFIED_WORK_CAP_GROWTH","FY 2015","FY 2015","Currency=INR","Period=FY","BEST_FPERIOD_OVERRIDE=FY","FILING_STATUS=OR","EQY_CONSOLIDATED=Y","Sort=A","Dates=H","DateFormat=P","Fill=—","Direction=H","UseDPDF=Y")</f>
        <v>#NAME?</v>
      </c>
      <c r="AE358" s="2" t="e">
        <f ca="1">_xll.BDH($C$353,"WORK_CAP_GROWTH","FY 2015","FY 2015","Currency=INR","Period=FY","BEST_FPERIOD_OVERRIDE=FY","FILING_STATUS=OR","EQY_CONSOLIDATED=Y","Sort=A","Dates=H","DateFormat=P","Fill=—","Direction=H","UseDPDF=Y")</f>
        <v>#NAME?</v>
      </c>
      <c r="AF358" s="2" t="e">
        <f ca="1">_xll.BDH($C$353,"ACCOUNTS_PAYABLE_GROWTH_1YR","FY 2015","FY 2015","Currency=INR","Period=FY","BEST_FPERIOD_OVERRIDE=FY","FILING_STATUS=OR","EQY_CONSOLIDATED=Y","Sort=A","Dates=H","DateFormat=P","Fill=—","Direction=H","UseDPDF=Y")</f>
        <v>#NAME?</v>
      </c>
      <c r="AG358" s="2" t="e">
        <f ca="1">_xll.BDH($C$353,"SHORT_TERM_DEBT_1_YEAR_GROWTH","FY 2015","FY 2015","Currency=INR","Period=FY","BEST_FPERIOD_OVERRIDE=FY","FILING_STATUS=OR","EQY_CONSOLIDATED=Y","Sort=A","Dates=H","DateFormat=P","Fill=—","Direction=H","UseDPDF=Y")</f>
        <v>#NAME?</v>
      </c>
      <c r="AH358" s="2" t="e">
        <f ca="1">_xll.BDH($C$353,"TOTAL_DEBT_1_YEAR_GROWTH","FY 2015","FY 2015","Currency=INR","Period=FY","BEST_FPERIOD_OVERRIDE=FY","FILING_STATUS=OR","EQY_CONSOLIDATED=Y","Sort=A","Dates=H","DateFormat=P","Fill=—","Direction=H","UseDPDF=Y")</f>
        <v>#NAME?</v>
      </c>
      <c r="AI358" s="2" t="e">
        <f ca="1">_xll.BDH($C$353,"TOTAL_EQUITY_1_YEAR_GROWTH","FY 2015","FY 2015","Currency=INR","Period=FY","BEST_FPERIOD_OVERRIDE=FY","FILING_STATUS=OR","EQY_CONSOLIDATED=Y","Sort=A","Dates=H","DateFormat=P","Fill=—","Direction=H","UseDPDF=Y")</f>
        <v>#NAME?</v>
      </c>
      <c r="AJ358" s="2" t="e">
        <f ca="1">_xll.BDH($C$353,"GROWTH_IN_CAP","FY 2015","FY 2015","Currency=INR","Period=FY","BEST_FPERIOD_OVERRIDE=FY","FILING_STATUS=OR","EQY_CONSOLIDATED=Y","Sort=A","Dates=H","DateFormat=P","Fill=—","Direction=H","UseDPDF=Y")</f>
        <v>#NAME?</v>
      </c>
      <c r="AK358" s="2" t="e">
        <f ca="1">_xll.BDH($C$353,"BVPS_GROWTH","FY 2015","FY 2015","Currency=INR","Period=FY","BEST_FPERIOD_OVERRIDE=FY","FILING_STATUS=OR","EQY_CONSOLIDATED=Y","Sort=A","Dates=H","DateFormat=P","Fill=—","Direction=H","UseDPDF=Y")</f>
        <v>#NAME?</v>
      </c>
      <c r="AL358" s="2" t="e">
        <f ca="1">_xll.BDH($C$353,"CASH_FLOW_GROWTH","FY 2015","FY 2015","Currency=INR","Period=FY","BEST_FPERIOD_OVERRIDE=FY","FILING_STATUS=OR","EQY_CONSOLIDATED=Y","Sort=A","Dates=H","DateFormat=P","Fill=—","Direction=H","UseDPDF=Y")</f>
        <v>#NAME?</v>
      </c>
      <c r="AM358" s="2" t="e">
        <f ca="1">_xll.BDH($C$353,"GEO_GROW_NET_SALES","FY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358" s="2" t="e">
        <f ca="1">_xll.BDH($C$353,"GEO_GROW_EBITDA","FY 2015","FY 2015","Currency=INR","Period=FY","BEST_FPERIOD_OVERRIDE=FY","FILING_STATUS=OR","EQY_CONSOLIDATED=Y","FA_ADJUSTED=GAAP","Sort=A","Dates=H","DateFormat=P","Fill=—","Direction=H","UseDPDF=Y")</f>
        <v>#NAME?</v>
      </c>
      <c r="AO358" s="2" t="e">
        <f ca="1">_xll.BDH($C$353,"GEO_GROW_OPER_INC","FY 2015","FY 2015","Currency=INR","Period=FY","BEST_FPERIOD_OVERRIDE=FY","FILING_STATUS=OR","EQY_CONSOLIDATED=Y","FA_ADJUSTED=GAAP","Sort=A","Dates=H","DateFormat=P","Fill=—","Direction=H","UseDPDF=Y")</f>
        <v>#NAME?</v>
      </c>
      <c r="AP358" s="2" t="e">
        <f ca="1">_xll.BDH($C$353,"NET_INCOME_TO_COMMON_5_YR_GROWTH","FY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358" s="2" t="e">
        <f ca="1">_xll.BDH($C$353,"5Y_GEO_GROWTH_DILUTED_EPS","FY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358" s="2" t="e">
        <f ca="1">_xll.BDH($C$353,"GEO_GROW_DVD_PER_SH","FY 2015","FY 2015","Currency=INR","Period=FY","BEST_FPERIOD_OVERRIDE=FY","FILING_STATUS=OR","EQY_CONSOLIDATED=Y","Sort=A","Dates=H","DateFormat=P","Fill=—","Direction=H","UseDPDF=Y")</f>
        <v>#NAME?</v>
      </c>
      <c r="AS358" s="2" t="e">
        <f ca="1">_xll.BDH($C$353,"ACCOUNTS_RECEIVABLE_5_YR_GROWTH","FY 2015","FY 2015","Currency=INR","Period=FY","BEST_FPERIOD_OVERRIDE=FY","FILING_STATUS=OR","EQY_CONSOLIDATED=Y","Sort=A","Dates=H","DateFormat=P","Fill=—","Direction=H","UseDPDF=Y")</f>
        <v>#NAME?</v>
      </c>
      <c r="AT358" s="2" t="e">
        <f ca="1">_xll.BDH($C$353,"INVENTORY_5_YEAR_GROWTH","FY 2015","FY 2015","Currency=INR","Period=FY","BEST_FPERIOD_OVERRIDE=FY","FILING_STATUS=OR","EQY_CONSOLIDATED=Y","Sort=A","Dates=H","DateFormat=P","Fill=—","Direction=H","UseDPDF=Y")</f>
        <v>#NAME?</v>
      </c>
      <c r="AU358" s="2" t="e">
        <f ca="1">_xll.BDH($C$353,"NET_FIXED_ASSETS_5_YEAR_GROWTH","FY 2015","FY 2015","Currency=INR","Period=FY","BEST_FPERIOD_OVERRIDE=FY","FILING_STATUS=OR","EQY_CONSOLIDATED=Y","Sort=A","Dates=H","DateFormat=P","Fill=—","Direction=H","UseDPDF=Y")</f>
        <v>#NAME?</v>
      </c>
      <c r="AV358" s="2" t="e">
        <f ca="1">_xll.BDH($C$353,"GEO_GROW_TOT_ASSET","FY 2015","FY 2015","Currency=INR","Period=FY","BEST_FPERIOD_OVERRIDE=FY","FILING_STATUS=OR","EQY_CONSOLIDATED=Y","Sort=A","Dates=H","DateFormat=P","Fill=—","Direction=H","UseDPDF=Y")</f>
        <v>#NAME?</v>
      </c>
      <c r="AW358" s="2" t="e">
        <f ca="1">_xll.BDH($C$353,"MODIFIED_WORKING_CPTL_5YR_GRWTH","FY 2015","FY 2015","Currency=INR","Period=FY","BEST_FPERIOD_OVERRIDE=FY","FILING_STATUS=OR","EQY_CONSOLIDATED=Y","Sort=A","Dates=H","DateFormat=P","Fill=—","Direction=H","UseDPDF=Y")</f>
        <v>#NAME?</v>
      </c>
      <c r="AX358" s="2" t="e">
        <f ca="1">_xll.BDH($C$353,"WORKING_CAPITAL_5_YEAR_GROWTH","FY 2015","FY 2015","Currency=INR","Period=FY","BEST_FPERIOD_OVERRIDE=FY","FILING_STATUS=OR","EQY_CONSOLIDATED=Y","Sort=A","Dates=H","DateFormat=P","Fill=—","Direction=H","UseDPDF=Y")</f>
        <v>#NAME?</v>
      </c>
      <c r="AY358" s="2" t="e">
        <f ca="1">_xll.BDH($C$353,"ACCOUNTS_PAYABLE_5_YEAR_GROWTH","FY 2015","FY 2015","Currency=INR","Period=FY","BEST_FPERIOD_OVERRIDE=FY","FILING_STATUS=OR","EQY_CONSOLIDATED=Y","Sort=A","Dates=H","DateFormat=P","Fill=—","Direction=H","UseDPDF=Y")</f>
        <v>#NAME?</v>
      </c>
      <c r="AZ358" s="2" t="e">
        <f ca="1">_xll.BDH($C$353,"SHORT_TERM_DEBT_5_YEAR_GROWTH","FY 2015","FY 2015","Currency=INR","Period=FY","BEST_FPERIOD_OVERRIDE=FY","FILING_STATUS=OR","EQY_CONSOLIDATED=Y","Sort=A","Dates=H","DateFormat=P","Fill=—","Direction=H","UseDPDF=Y")</f>
        <v>#NAME?</v>
      </c>
      <c r="BA358" s="2" t="e">
        <f ca="1">_xll.BDH($C$353,"TOTAL_DEBT_5_YEAR_GROWTH","FY 2015","FY 2015","Currency=INR","Period=FY","BEST_FPERIOD_OVERRIDE=FY","FILING_STATUS=OR","EQY_CONSOLIDATED=Y","Sort=A","Dates=H","DateFormat=P","Fill=—","Direction=H","UseDPDF=Y")</f>
        <v>#NAME?</v>
      </c>
      <c r="BB358" s="2" t="e">
        <f ca="1">_xll.BDH($C$353,"GEO_GROW_TOT_SHRHLDR_EQY","FY 2015","FY 2015","Currency=INR","Period=FY","BEST_FPERIOD_OVERRIDE=FY","FILING_STATUS=OR","EQY_CONSOLIDATED=Y","Sort=A","Dates=H","DateFormat=P","Fill=—","Direction=H","UseDPDF=Y")</f>
        <v>#NAME?</v>
      </c>
      <c r="BC358" s="2" t="e">
        <f ca="1">_xll.BDH($C$353,"TOTAL_CAPITAL_5_YEAR_GROWTH","FY 2015","FY 2015","Currency=INR","Period=FY","BEST_FPERIOD_OVERRIDE=FY","FILING_STATUS=OR","EQY_CONSOLIDATED=Y","Sort=A","Dates=H","DateFormat=P","Fill=—","Direction=H","UseDPDF=Y")</f>
        <v>#NAME?</v>
      </c>
      <c r="BD358" s="2" t="e">
        <f ca="1">_xll.BDH($C$353,"GEO_GROW_BOOK_VAL","FY 2015","FY 2015","Currency=INR","Period=FY","BEST_FPERIOD_OVERRIDE=FY","FILING_STATUS=OR","EQY_CONSOLIDATED=Y","Sort=A","Dates=H","DateFormat=P","Fill=—","Direction=H","UseDPDF=Y")</f>
        <v>#NAME?</v>
      </c>
      <c r="BE358" s="2" t="e">
        <f ca="1">_xll.BDH($C$353,"GEO_GROW_CASH_OPER_ACT","FY 2015","FY 2015","Currency=INR","Period=FY","BEST_FPERIOD_OVERRIDE=FY","FILING_STATUS=OR","EQY_CONSOLIDATED=Y","Sort=A","Dates=H","DateFormat=P","Fill=—","Direction=H","UseDPDF=Y")</f>
        <v>#NAME?</v>
      </c>
      <c r="BF358" s="2" t="e">
        <f ca="1">_xll.BDH($C$353,"REVENUE_SEQUENTIAL_GROWTH","FY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358" s="2" t="e">
        <f ca="1">_xll.BDH($C$353,"EBITDA_SEQUENTIAL_GROWTH","FY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358" s="2" t="e">
        <f ca="1">_xll.BDH($C$353,"OPERATING_INCOME_SEQ_GROWTH","FY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358" s="2" t="e">
        <f ca="1">_xll.BDH($C$353,"NET_INCOME_TO_COMMON_SEQ_GROWTH","FY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358" s="2" t="e">
        <f ca="1">_xll.BDH($C$353,"EPS_DILUTED_SEQUENTIAL_GROWTH","FY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358" s="2" t="e">
        <f ca="1">_xll.BDH($C$353,"DPS_SEQUENTIAL_GROWTH","FY 2015","FY 2015","Currency=INR","Period=FY","BEST_FPERIOD_OVERRIDE=FY","FILING_STATUS=OR","EQY_CONSOLIDATED=Y","Sort=A","Dates=H","DateFormat=P","Fill=—","Direction=H","UseDPDF=Y")</f>
        <v>#NAME?</v>
      </c>
      <c r="BL358" s="2" t="e">
        <f ca="1">_xll.BDH($C$353,"ACCOUNTS_RECEIVABLE_SEQ_GROWTH","FY 2015","FY 2015","Currency=INR","Period=FY","BEST_FPERIOD_OVERRIDE=FY","FILING_STATUS=OR","EQY_CONSOLIDATED=Y","Sort=A","Dates=H","DateFormat=P","Fill=—","Direction=H","UseDPDF=Y")</f>
        <v>#NAME?</v>
      </c>
      <c r="BM358" s="2" t="e">
        <f ca="1">_xll.BDH($C$353,"INVENTORY_SEQUENTIAL_GROWTH","FY 2015","FY 2015","Currency=INR","Period=FY","BEST_FPERIOD_OVERRIDE=FY","FILING_STATUS=OR","EQY_CONSOLIDATED=Y","Sort=A","Dates=H","DateFormat=P","Fill=—","Direction=H","UseDPDF=Y")</f>
        <v>#NAME?</v>
      </c>
      <c r="BN358" s="2" t="e">
        <f ca="1">_xll.BDH($C$353,"FIXED_ASSETS_SEQUENTIAL_GROWTH","FY 2015","FY 2015","Currency=INR","Period=FY","BEST_FPERIOD_OVERRIDE=FY","FILING_STATUS=OR","EQY_CONSOLIDATED=Y","Sort=A","Dates=H","DateFormat=P","Fill=—","Direction=H","UseDPDF=Y")</f>
        <v>#NAME?</v>
      </c>
      <c r="BO358" s="2" t="e">
        <f ca="1">_xll.BDH($C$353,"TOTAL_ASSETS_SEQUENTIAL_GROWTH","FY 2015","FY 2015","Currency=INR","Period=FY","BEST_FPERIOD_OVERRIDE=FY","FILING_STATUS=OR","EQY_CONSOLIDATED=Y","Sort=A","Dates=H","DateFormat=P","Fill=—","Direction=H","UseDPDF=Y")</f>
        <v>#NAME?</v>
      </c>
      <c r="BP358" s="2" t="e">
        <f ca="1">_xll.BDH($C$353,"MODIFIED_WORKING_CPTL_SEQ_GRWTH","FY 2015","FY 2015","Currency=INR","Period=FY","BEST_FPERIOD_OVERRIDE=FY","FILING_STATUS=OR","EQY_CONSOLIDATED=Y","Sort=A","Dates=H","DateFormat=P","Fill=—","Direction=H","UseDPDF=Y")</f>
        <v>#NAME?</v>
      </c>
      <c r="BQ358" s="2" t="e">
        <f ca="1">_xll.BDH($C$353,"WORKING_CAPITAL_SEQ_GROWTH","FY 2015","FY 2015","Currency=INR","Period=FY","BEST_FPERIOD_OVERRIDE=FY","FILING_STATUS=OR","EQY_CONSOLIDATED=Y","Sort=A","Dates=H","DateFormat=P","Fill=—","Direction=H","UseDPDF=Y")</f>
        <v>#NAME?</v>
      </c>
      <c r="BR358" s="2" t="e">
        <f ca="1">_xll.BDH($C$353,"ACCOUNTS_PAYABLE_SEQ_GROWTH","FY 2015","FY 2015","Currency=INR","Period=FY","BEST_FPERIOD_OVERRIDE=FY","FILING_STATUS=OR","EQY_CONSOLIDATED=Y","Sort=A","Dates=H","DateFormat=P","Fill=—","Direction=H","UseDPDF=Y")</f>
        <v>#NAME?</v>
      </c>
      <c r="BS358" s="2" t="e">
        <f ca="1">_xll.BDH($C$353,"ST_DEBT_SEQUENTIAL_GROWTH","FY 2015","FY 2015","Currency=INR","Period=FY","BEST_FPERIOD_OVERRIDE=FY","FILING_STATUS=OR","EQY_CONSOLIDATED=Y","Sort=A","Dates=H","DateFormat=P","Fill=—","Direction=H","UseDPDF=Y")</f>
        <v>#NAME?</v>
      </c>
      <c r="BT358" s="2" t="e">
        <f ca="1">_xll.BDH($C$353,"TOTAL_DEBT_SEQUENTIAL_GROWTH","FY 2015","FY 2015","Currency=INR","Period=FY","BEST_FPERIOD_OVERRIDE=FY","FILING_STATUS=OR","EQY_CONSOLIDATED=Y","Sort=A","Dates=H","DateFormat=P","Fill=—","Direction=H","UseDPDF=Y")</f>
        <v>#NAME?</v>
      </c>
      <c r="BU358" s="2" t="e">
        <f ca="1">_xll.BDH($C$353,"TOTAL_EQUITY_SEQUENTIAL_GROWTH","FY 2015","FY 2015","Currency=INR","Period=FY","BEST_FPERIOD_OVERRIDE=FY","FILING_STATUS=OR","EQY_CONSOLIDATED=Y","Sort=A","Dates=H","DateFormat=P","Fill=—","Direction=H","UseDPDF=Y")</f>
        <v>#NAME?</v>
      </c>
      <c r="BV358" s="2" t="e">
        <f ca="1">_xll.BDH($C$353,"TOTAL_CAPITAL_SEQUENTIAL_GROWTH","FY 2015","FY 2015","Currency=INR","Period=FY","BEST_FPERIOD_OVERRIDE=FY","FILING_STATUS=OR","EQY_CONSOLIDATED=Y","Sort=A","Dates=H","DateFormat=P","Fill=—","Direction=H","UseDPDF=Y")</f>
        <v>#NAME?</v>
      </c>
      <c r="BW358" s="2" t="e">
        <f ca="1">_xll.BDH($C$353,"BPS_SEQUENTIAL_GROWTH","FY 2015","FY 2015","Currency=INR","Period=FY","BEST_FPERIOD_OVERRIDE=FY","FILING_STATUS=OR","EQY_CONSOLIDATED=Y","Sort=A","Dates=H","DateFormat=P","Fill=—","Direction=H","UseDPDF=Y")</f>
        <v>#NAME?</v>
      </c>
      <c r="BX358" s="2" t="e">
        <f ca="1">_xll.BDH($C$353,"CFO_SEQUENTIAL_GROWTH","FY 2015","FY 2015","Currency=INR","Period=FY","BEST_FPERIOD_OVERRIDE=FY","FILING_STATUS=OR","EQY_CONSOLIDATED=Y","Sort=A","Dates=H","DateFormat=P","Fill=—","Direction=H","UseDPDF=Y")</f>
        <v>#NAME?</v>
      </c>
      <c r="BY358" s="3" t="e">
        <f ca="1">_xll.BDH($C$353,"SHORT_AND_LONG_TERM_DEBT","FY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358" s="3" t="e">
        <f ca="1">_xll.BDH($C$353,"BS_ST_BORROW","FY 2015","FY 2015","Currency=INR","Period=FY","BEST_FPERIOD_OVERRIDE=FY","FILING_STATUS=OR","EQY_CONSOLIDATED=Y","SCALING_FORMAT=MLN","Sort=A","Dates=H","DateFormat=P","Fill=—","Direction=H","UseDPDF=Y")</f>
        <v>#NAME?</v>
      </c>
      <c r="CA358" s="3" t="e">
        <f ca="1">_xll.BDH($C$353,"BS_LT_BORROW","FY 2015","FY 2015","Currency=INR","Period=FY","BEST_FPERIOD_OVERRIDE=FY","FILING_STATUS=OR","EQY_CONSOLIDATED=Y","SCALING_FORMAT=MLN","Sort=A","Dates=H","DateFormat=P","Fill=—","Direction=H","UseDPDF=Y")</f>
        <v>#NAME?</v>
      </c>
      <c r="CB358" s="2" t="e">
        <f ca="1">_xll.BDH($C$353,"TOT_DEBT_TO_EBITDA","FY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358" s="2" t="e">
        <f ca="1">_xll.BDH($C$353,"NET_DEBT_TO_EBITDA","FY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358" s="2" t="e">
        <f ca="1">_xll.BDH($C$353,"TOTAL_DEBT_TO_EBIT","FY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358" s="2" t="e">
        <f ca="1">_xll.BDH($C$353,"NET_DEBT_TO_EBIT","FY 2015","FY 2015","Currency=INR","Period=FY","BEST_FPERIOD_OVERRIDE=FY","FILING_STATUS=OR","EQY_CONSOLIDATED=Y","FA_ADJUSTED=GAAP","Sort=A","Dates=H","DateFormat=P","Fill=—","Direction=H","UseDPDF=Y")</f>
        <v>#NAME?</v>
      </c>
      <c r="CF358" s="2" t="e">
        <f ca="1">_xll.BDH($C$353,"EBITDA_TO_INTEREST_EXPN","FY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358" s="2" t="e">
        <f ca="1">_xll.BDH($C$353,"COM_EQY_TO_TOT_ASSET","FY 2015","FY 2015","Currency=INR","Period=FY","BEST_FPERIOD_OVERRIDE=FY","FILING_STATUS=OR","EQY_CONSOLIDATED=Y","Sort=A","Dates=H","DateFormat=P","Fill=—","Direction=H","UseDPDF=Y")</f>
        <v>#NAME?</v>
      </c>
      <c r="CH358" s="2" t="e">
        <f ca="1">_xll.BDH($C$353,"LT_DEBT_TO_TOT_EQY","FY 2015","FY 2015","Currency=INR","Period=FY","BEST_FPERIOD_OVERRIDE=FY","FILING_STATUS=OR","EQY_CONSOLIDATED=Y","Sort=A","Dates=H","DateFormat=P","Fill=—","Direction=H","UseDPDF=Y")</f>
        <v>#NAME?</v>
      </c>
      <c r="CI358" s="2" t="e">
        <f ca="1">_xll.BDH($C$353,"LT_DEBT_TO_TOT_CAP","FY 2015","FY 2015","Currency=INR","Period=FY","BEST_FPERIOD_OVERRIDE=FY","FILING_STATUS=OR","EQY_CONSOLIDATED=Y","Sort=A","Dates=H","DateFormat=P","Fill=—","Direction=H","UseDPDF=Y")</f>
        <v>#NAME?</v>
      </c>
      <c r="CJ358" s="2" t="e">
        <f ca="1">_xll.BDH($C$353,"LT_DEBT_TO_TOT_ASSET","FY 2015","FY 2015","Currency=INR","Period=FY","BEST_FPERIOD_OVERRIDE=FY","FILING_STATUS=OR","EQY_CONSOLIDATED=Y","Sort=A","Dates=H","DateFormat=P","Fill=—","Direction=H","UseDPDF=Y")</f>
        <v>#NAME?</v>
      </c>
      <c r="CK358" s="2" t="e">
        <f ca="1">_xll.BDH($C$353,"TOT_DEBT_TO_TOT_EQY","FY 2015","FY 2015","Currency=INR","Period=FY","BEST_FPERIOD_OVERRIDE=FY","FILING_STATUS=OR","EQY_CONSOLIDATED=Y","Sort=A","Dates=H","DateFormat=P","Fill=—","Direction=H","UseDPDF=Y")</f>
        <v>#NAME?</v>
      </c>
      <c r="CL358" s="2" t="e">
        <f ca="1">_xll.BDH($C$353,"TOT_DEBT_TO_TOT_CAP","FY 2015","FY 2015","Currency=INR","Period=FY","BEST_FPERIOD_OVERRIDE=FY","FILING_STATUS=OR","EQY_CONSOLIDATED=Y","Sort=A","Dates=H","DateFormat=P","Fill=—","Direction=H","UseDPDF=Y")</f>
        <v>#NAME?</v>
      </c>
      <c r="CM358" s="2" t="e">
        <f ca="1">_xll.BDH($C$353,"TOT_DEBT_TO_TOT_ASSET","FY 2015","FY 2015","Currency=INR","Period=FY","BEST_FPERIOD_OVERRIDE=FY","FILING_STATUS=OR","EQY_CONSOLIDATED=Y","Sort=A","Dates=H","DateFormat=P","Fill=—","Direction=H","UseDPDF=Y")</f>
        <v>#NAME?</v>
      </c>
      <c r="CN358" s="2" t="e">
        <f ca="1">_xll.BDH($C$353,"NET_DEBT_TO_SHRHLDR_EQTY","FY 2015","FY 2015","Currency=INR","Period=FY","BEST_FPERIOD_OVERRIDE=FY","FILING_STATUS=OR","EQY_CONSOLIDATED=Y","Sort=A","Dates=H","DateFormat=P","Fill=—","Direction=H","UseDPDF=Y")</f>
        <v>#NAME?</v>
      </c>
      <c r="CO358" s="2" t="e">
        <f ca="1">_xll.BDH($C$353,"NET_DEBT_%_CAPITAL","FY 2015","FY 2015","Currency=INR","Period=FY","BEST_FPERIOD_OVERRIDE=FY","FILING_STATUS=OR","EQY_CONSOLIDATED=Y","Sort=A","Dates=H","DateFormat=P","Fill=—","Direction=H","UseDPDF=Y")</f>
        <v>#NAME?</v>
      </c>
      <c r="CP358" s="3" t="e">
        <f ca="1">_xll.BDH($C$353,"EBITDA","FY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358" s="3" t="e">
        <f ca="1">_xll.BDH($C$353,"EBITDA_AFTER_CAPEX","FY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358" s="3" t="e">
        <f ca="1">_xll.BDH($C$353,"IS_OPER_INC","FY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358" s="2" t="e">
        <f ca="1">_xll.BDH($C$353,"CASH_RATIO","FY 2015","FY 2015","Currency=INR","Period=FY","BEST_FPERIOD_OVERRIDE=FY","FILING_STATUS=OR","EQY_CONSOLIDATED=Y","Sort=A","Dates=H","DateFormat=P","Fill=—","Direction=H","UseDPDF=Y")</f>
        <v>#NAME?</v>
      </c>
      <c r="CT358" s="2" t="e">
        <f ca="1">_xll.BDH($C$353,"CUR_RATIO","FY 2015","FY 2015","Currency=INR","Period=FY","BEST_FPERIOD_OVERRIDE=FY","FILING_STATUS=OR","EQY_CONSOLIDATED=Y","Sort=A","Dates=H","DateFormat=P","Fill=—","Direction=H","UseDPDF=Y")</f>
        <v>#NAME?</v>
      </c>
      <c r="CU358" s="2" t="e">
        <f ca="1">_xll.BDH($C$353,"QUICK_RATIO","FY 2015","FY 2015","Currency=INR","Period=FY","BEST_FPERIOD_OVERRIDE=FY","FILING_STATUS=OR","EQY_CONSOLIDATED=Y","Sort=A","Dates=H","DateFormat=P","Fill=—","Direction=H","UseDPDF=Y")</f>
        <v>#NAME?</v>
      </c>
      <c r="CV358" s="2" t="e">
        <f ca="1">_xll.BDH($C$353,"ALTMAN_Z_SCORE","FY 2015","FY 2015","Currency=INR","Period=FY","BEST_FPERIOD_OVERRIDE=FY","FILING_STATUS=OR","EQY_CONSOLIDATED=Y","Sort=A","Dates=H","DateFormat=P","Fill=—","Direction=H","UseDPDF=Y")</f>
        <v>#NAME?</v>
      </c>
      <c r="CW358" s="4" t="e">
        <f ca="1">_xll.BDH($C$353,"ACCT_RCV_TURN","FY 2015","FY 2015","Currency=INR","Period=FY","BEST_FPERIOD_OVERRIDE=FY","FILING_STATUS=OR","EQY_CONSOLIDATED=Y","FA_ADJUSTED=GAAP","Sort=A","Dates=H","DateFormat=P","Fill=—","Direction=H","UseDPDF=Y")</f>
        <v>#NAME?</v>
      </c>
      <c r="CX358" s="2" t="e">
        <f ca="1">_xll.BDH($C$353,"ACCT_RCV_DAYS","FY 2015","FY 2015","Currency=INR","Period=FY","BEST_FPERIOD_OVERRIDE=FY","FILING_STATUS=OR","EQY_CONSOLIDATED=Y","FA_ADJUSTED=GAAP","Sort=A","Dates=H","DateFormat=P","Fill=—","Direction=H","UseDPDF=Y")</f>
        <v>#NAME?</v>
      </c>
      <c r="CY358" s="4" t="e">
        <f ca="1">_xll.BDH($C$353,"INVENT_TURN","FY 2015","FY 2015","Currency=INR","Period=FY","BEST_FPERIOD_OVERRIDE=FY","FILING_STATUS=OR","EQY_CONSOLIDATED=Y","FA_ADJUSTED=GAAP","Sort=A","Dates=H","DateFormat=P","Fill=—","Direction=H","UseDPDF=Y")</f>
        <v>#NAME?</v>
      </c>
      <c r="CZ358" s="2" t="e">
        <f ca="1">_xll.BDH($C$353,"INVENT_DAYS","FY 2015","FY 2015","Currency=INR","Period=FY","BEST_FPERIOD_OVERRIDE=FY","FILING_STATUS=OR","EQY_CONSOLIDATED=Y","FA_ADJUSTED=GAAP","Sort=A","Dates=H","DateFormat=P","Fill=—","Direction=H","UseDPDF=Y")</f>
        <v>#NAME?</v>
      </c>
      <c r="DA358" s="4" t="e">
        <f ca="1">_xll.BDH($C$353,"ACCOUNTS_PAYABLE_TURNOVER","FY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358" s="2" t="e">
        <f ca="1">_xll.BDH($C$353,"ACCOUNTS_PAYABLE_TURNOVER_DAYS","FY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358" s="4" t="e">
        <f ca="1">_xll.BDH($C$353,"CASH_CONVERSION_CYCLE","FY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358" s="4" t="e">
        <f ca="1">_xll.BDH($C$353,"INV_TO_CASH_DAYS","FY 2015","FY 2015","Currency=INR","Period=FY","BEST_FPERIOD_OVERRIDE=FY","FILING_STATUS=OR","EQY_CONSOLIDATED=Y","FA_ADJUSTED=GAAP","Sort=A","Dates=H","DateFormat=P","Fill=—","Direction=H","UseDPDF=Y")</f>
        <v>#NAME?</v>
      </c>
      <c r="DE358" s="5" t="e">
        <f ca="1">_xll.BDH($C$353,"BS_INVENTORIES","FY 2015","FY 2015","Currency=INR","Period=FY","BEST_FPERIOD_OVERRIDE=FY","FILING_STATUS=OR","EQY_CONSOLIDATED=Y","SCALING_FORMAT=MLN","Sort=A","Dates=H","DateFormat=P","Fill=—","Direction=H","UseDPDF=Y")</f>
        <v>#NAME?</v>
      </c>
      <c r="DF358" s="3" t="e">
        <f ca="1">_xll.BDH($C$353,"INVTRY_RAW_MATERIALS","FY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358" s="3" t="e">
        <f ca="1">_xll.BDH($C$353,"INVTRY_IN_PROGRESS","FY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358" s="3" t="e">
        <f ca="1">_xll.BDH($C$353,"INVTRY_FINISHED_GOODS","FY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358" s="3" t="e">
        <f ca="1">_xll.BDH($C$353,"BS_OTHER_INV","FY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359" spans="1:113" x14ac:dyDescent="0.3">
      <c r="A359" s="6"/>
      <c r="B359" s="6"/>
      <c r="C359" s="6"/>
      <c r="D359" s="6"/>
      <c r="E359" t="s">
        <v>78</v>
      </c>
      <c r="F359" t="e">
        <f ca="1">_xll.BDH($C$353,"RETURN_COM_EQY","FQ1 2015","FQ1 2015","Currency=INR","Period=FQ","BEST_FPERIOD_OVERRIDE=FQ","FILING_STATUS=OR","EQY_CONSOLIDATED=Y","FA_ADJUSTED=GAAP","Sort=A","Dates=H","DateFormat=P","Fill=—","Direction=H","UseDPDF=Y")</f>
        <v>#NAME?</v>
      </c>
      <c r="G359" t="e">
        <f ca="1">_xll.BDH($C$353,"RETURN_ON_ASSET","FQ1 2015","FQ1 2015","Currency=INR","Period=FQ","BEST_FPERIOD_OVERRIDE=FQ","FILING_STATUS=OR","EQY_CONSOLIDATED=Y","FA_ADJUSTED=GAAP","Sort=A","Dates=H","DateFormat=P","Fill=—","Direction=H","UseDPDF=Y")</f>
        <v>#NAME?</v>
      </c>
      <c r="H359" t="e">
        <f ca="1">_xll.BDH($C$353,"RETURN_ON_CAP","FQ1 2015","FQ1 2015","Currency=INR","Period=FQ","BEST_FPERIOD_OVERRIDE=FQ","FILING_STATUS=OR","EQY_CONSOLIDATED=Y","FA_ADJUSTED=GAAP","Sort=A","Dates=H","DateFormat=P","Fill=—","Direction=H","UseDPDF=Y")</f>
        <v>#NAME?</v>
      </c>
      <c r="I359" t="e">
        <f ca="1">_xll.BDH($C$353,"RETURN_ON_INV_CAPITAL","FQ1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359" t="e">
        <f ca="1">_xll.BDH($C$353,"EBITDA_TO_REVENUE","FQ1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359" t="e">
        <f ca="1">_xll.BDH($C$353,"OPER_MARGIN","FQ1 2015","FQ1 2015","Currency=INR","Period=FQ","BEST_FPERIOD_OVERRIDE=FQ","FILING_STATUS=OR","EQY_CONSOLIDATED=Y","FA_ADJUSTED=GAAP","Sort=A","Dates=H","DateFormat=P","Fill=—","Direction=H","UseDPDF=Y")</f>
        <v>#NAME?</v>
      </c>
      <c r="L359" t="e">
        <f ca="1">_xll.BDH($C$353,"INCREMENTAL_OPERATING_MARGIN","FQ1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359" t="e">
        <f ca="1">_xll.BDH($C$353,"PRETAX_INC_TO_NET_SALES","FQ1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359" t="e">
        <f ca="1">_xll.BDH($C$353,"INC_BEF_XO_ITEMS_TO_NET_SALES","FQ1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359" t="e">
        <f ca="1">_xll.BDH($C$353,"PROF_MARGIN","FQ1 2015","FQ1 2015","Currency=INR","Period=FQ","BEST_FPERIOD_OVERRIDE=FQ","FILING_STATUS=OR","EQY_CONSOLIDATED=Y","FA_ADJUSTED=GAAP","Sort=A","Dates=H","DateFormat=P","Fill=—","Direction=H","UseDPDF=Y")</f>
        <v>#NAME?</v>
      </c>
      <c r="P359" t="e">
        <f ca="1">_xll.BDH($C$353,"NET_INCOME_TO_COMMON_MARGIN","FQ1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359" t="e">
        <f ca="1">_xll.BDH($C$353,"EFF_TAX_RATE","FQ1 2015","FQ1 2015","Currency=INR","Period=FQ","BEST_FPERIOD_OVERRIDE=FQ","FILING_STATUS=OR","EQY_CONSOLIDATED=Y","FA_ADJUSTED=GAAP","Sort=A","Dates=H","DateFormat=P","Fill=—","Direction=H","UseDPDF=Y")</f>
        <v>#NAME?</v>
      </c>
      <c r="R359" t="e">
        <f ca="1">_xll.BDH($C$353,"DVD_PAYOUT_RATIO","FQ1 2015","FQ1 2015","Currency=INR","Period=FQ","BEST_FPERIOD_OVERRIDE=FQ","FILING_STATUS=OR","EQY_CONSOLIDATED=Y","FA_ADJUSTED=GAAP","Sort=A","Dates=H","DateFormat=P","Fill=—","Direction=H","UseDPDF=Y")</f>
        <v>#NAME?</v>
      </c>
      <c r="S359" t="e">
        <f ca="1">_xll.BDH($C$353,"SUSTAIN_GROWTH_RT","FQ1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359" s="2" t="e">
        <f ca="1">_xll.BDH($C$353,"SALES_GROWTH","FQ1 2015","FQ1 2015","Currency=INR","Period=FQ","BEST_FPERIOD_OVERRIDE=FQ","FILING_STATUS=OR","EQY_CONSOLIDATED=Y","FA_ADJUSTED=GAAP","Sort=A","Dates=H","DateFormat=P","Fill=—","Direction=H","UseDPDF=Y")</f>
        <v>#NAME?</v>
      </c>
      <c r="U359" s="2" t="e">
        <f ca="1">_xll.BDH($C$353,"EBITDA_GROWTH","FQ1 2015","FQ1 2015","Currency=INR","Period=FQ","BEST_FPERIOD_OVERRIDE=FQ","FILING_STATUS=OR","EQY_CONSOLIDATED=Y","FA_ADJUSTED=GAAP","Sort=A","Dates=H","DateFormat=P","Fill=—","Direction=H","UseDPDF=Y")</f>
        <v>#NAME?</v>
      </c>
      <c r="V359" s="2" t="e">
        <f ca="1">_xll.BDH($C$353,"OPER_INC_GROWTH","FQ1 2015","FQ1 2015","Currency=INR","Period=FQ","BEST_FPERIOD_OVERRIDE=FQ","FILING_STATUS=OR","EQY_CONSOLIDATED=Y","FA_ADJUSTED=GAAP","Sort=A","Dates=H","DateFormat=P","Fill=—","Direction=H","UseDPDF=Y")</f>
        <v>#NAME?</v>
      </c>
      <c r="W359" s="2" t="e">
        <f ca="1">_xll.BDH($C$353,"EARN_FOR_COM_GROWTH","FQ1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359" s="2" t="e">
        <f ca="1">_xll.BDH($C$353,"DILUTED_EPS_AFT_XO_ITEMS_GROWTH","FQ1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359" s="2" t="e">
        <f ca="1">_xll.BDH($C$353,"DIVIDEND_PER_SHARE_1_YEAR_GROWTH","FQ1 2015","FQ1 2015","Currency=INR","Period=FQ","BEST_FPERIOD_OVERRIDE=FQ","FILING_STATUS=OR","EQY_CONSOLIDATED=Y","Sort=A","Dates=H","DateFormat=P","Fill=—","Direction=H","UseDPDF=Y")</f>
        <v>#NAME?</v>
      </c>
      <c r="Z359" s="2" t="e">
        <f ca="1">_xll.BDH($C$353,"ACCOUNTS_RECEIVABLE_GROWTH","FQ1 2015","FQ1 2015","Currency=INR","Period=FQ","BEST_FPERIOD_OVERRIDE=FQ","FILING_STATUS=OR","EQY_CONSOLIDATED=Y","Sort=A","Dates=H","DateFormat=P","Fill=—","Direction=H","UseDPDF=Y")</f>
        <v>#NAME?</v>
      </c>
      <c r="AA359" s="2" t="e">
        <f ca="1">_xll.BDH($C$353,"INVENTORY_GROWTH","FQ1 2015","FQ1 2015","Currency=INR","Period=FQ","BEST_FPERIOD_OVERRIDE=FQ","FILING_STATUS=OR","EQY_CONSOLIDATED=Y","Sort=A","Dates=H","DateFormat=P","Fill=—","Direction=H","UseDPDF=Y")</f>
        <v>#NAME?</v>
      </c>
      <c r="AB359" s="2" t="e">
        <f ca="1">_xll.BDH($C$353,"NET_FIXED_ASSETS_1_YEAR_GROWTH","FQ1 2015","FQ1 2015","Currency=INR","Period=FQ","BEST_FPERIOD_OVERRIDE=FQ","FILING_STATUS=OR","EQY_CONSOLIDATED=Y","Sort=A","Dates=H","DateFormat=P","Fill=—","Direction=H","UseDPDF=Y")</f>
        <v>#NAME?</v>
      </c>
      <c r="AC359" s="2" t="e">
        <f ca="1">_xll.BDH($C$353,"ASSET_GROWTH","FQ1 2015","FQ1 2015","Currency=INR","Period=FQ","BEST_FPERIOD_OVERRIDE=FQ","FILING_STATUS=OR","EQY_CONSOLIDATED=Y","Sort=A","Dates=H","DateFormat=P","Fill=—","Direction=H","UseDPDF=Y")</f>
        <v>#NAME?</v>
      </c>
      <c r="AD359" s="2" t="e">
        <f ca="1">_xll.BDH($C$353,"MODIFIED_WORK_CAP_GROWTH","FQ1 2015","FQ1 2015","Currency=INR","Period=FQ","BEST_FPERIOD_OVERRIDE=FQ","FILING_STATUS=OR","EQY_CONSOLIDATED=Y","Sort=A","Dates=H","DateFormat=P","Fill=—","Direction=H","UseDPDF=Y")</f>
        <v>#NAME?</v>
      </c>
      <c r="AE359" s="2" t="e">
        <f ca="1">_xll.BDH($C$353,"WORK_CAP_GROWTH","FQ1 2015","FQ1 2015","Currency=INR","Period=FQ","BEST_FPERIOD_OVERRIDE=FQ","FILING_STATUS=OR","EQY_CONSOLIDATED=Y","Sort=A","Dates=H","DateFormat=P","Fill=—","Direction=H","UseDPDF=Y")</f>
        <v>#NAME?</v>
      </c>
      <c r="AF359" s="2" t="e">
        <f ca="1">_xll.BDH($C$353,"ACCOUNTS_PAYABLE_GROWTH_1YR","FQ1 2015","FQ1 2015","Currency=INR","Period=FQ","BEST_FPERIOD_OVERRIDE=FQ","FILING_STATUS=OR","EQY_CONSOLIDATED=Y","Sort=A","Dates=H","DateFormat=P","Fill=—","Direction=H","UseDPDF=Y")</f>
        <v>#NAME?</v>
      </c>
      <c r="AG359" s="2" t="e">
        <f ca="1">_xll.BDH($C$353,"SHORT_TERM_DEBT_1_YEAR_GROWTH","FQ1 2015","FQ1 2015","Currency=INR","Period=FQ","BEST_FPERIOD_OVERRIDE=FQ","FILING_STATUS=OR","EQY_CONSOLIDATED=Y","Sort=A","Dates=H","DateFormat=P","Fill=—","Direction=H","UseDPDF=Y")</f>
        <v>#NAME?</v>
      </c>
      <c r="AH359" s="2" t="e">
        <f ca="1">_xll.BDH($C$353,"TOTAL_DEBT_1_YEAR_GROWTH","FQ1 2015","FQ1 2015","Currency=INR","Period=FQ","BEST_FPERIOD_OVERRIDE=FQ","FILING_STATUS=OR","EQY_CONSOLIDATED=Y","Sort=A","Dates=H","DateFormat=P","Fill=—","Direction=H","UseDPDF=Y")</f>
        <v>#NAME?</v>
      </c>
      <c r="AI359" s="2" t="e">
        <f ca="1">_xll.BDH($C$353,"TOTAL_EQUITY_1_YEAR_GROWTH","FQ1 2015","FQ1 2015","Currency=INR","Period=FQ","BEST_FPERIOD_OVERRIDE=FQ","FILING_STATUS=OR","EQY_CONSOLIDATED=Y","Sort=A","Dates=H","DateFormat=P","Fill=—","Direction=H","UseDPDF=Y")</f>
        <v>#NAME?</v>
      </c>
      <c r="AJ359" s="2" t="e">
        <f ca="1">_xll.BDH($C$353,"GROWTH_IN_CAP","FQ1 2015","FQ1 2015","Currency=INR","Period=FQ","BEST_FPERIOD_OVERRIDE=FQ","FILING_STATUS=OR","EQY_CONSOLIDATED=Y","Sort=A","Dates=H","DateFormat=P","Fill=—","Direction=H","UseDPDF=Y")</f>
        <v>#NAME?</v>
      </c>
      <c r="AK359" s="2" t="e">
        <f ca="1">_xll.BDH($C$353,"BVPS_GROWTH","FQ1 2015","FQ1 2015","Currency=INR","Period=FQ","BEST_FPERIOD_OVERRIDE=FQ","FILING_STATUS=OR","EQY_CONSOLIDATED=Y","Sort=A","Dates=H","DateFormat=P","Fill=—","Direction=H","UseDPDF=Y")</f>
        <v>#NAME?</v>
      </c>
      <c r="AL359" s="2" t="e">
        <f ca="1">_xll.BDH($C$353,"CASH_FLOW_GROWTH","FQ1 2015","FQ1 2015","Currency=INR","Period=FQ","BEST_FPERIOD_OVERRIDE=FQ","FILING_STATUS=OR","EQY_CONSOLIDATED=Y","Sort=A","Dates=H","DateFormat=P","Fill=—","Direction=H","UseDPDF=Y")</f>
        <v>#NAME?</v>
      </c>
      <c r="AM359" s="2" t="e">
        <f ca="1">_xll.BDH($C$353,"GEO_GROW_NET_SALES","FQ1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359" s="2" t="e">
        <f ca="1">_xll.BDH($C$353,"GEO_GROW_EBITDA","FQ1 2015","FQ1 2015","Currency=INR","Period=FQ","BEST_FPERIOD_OVERRIDE=FQ","FILING_STATUS=OR","EQY_CONSOLIDATED=Y","FA_ADJUSTED=GAAP","Sort=A","Dates=H","DateFormat=P","Fill=—","Direction=H","UseDPDF=Y")</f>
        <v>#NAME?</v>
      </c>
      <c r="AO359" s="2" t="e">
        <f ca="1">_xll.BDH($C$353,"GEO_GROW_OPER_INC","FQ1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359" s="2" t="e">
        <f ca="1">_xll.BDH($C$353,"NET_INCOME_TO_COMMON_5_YR_GROWTH","FQ1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359" s="2" t="e">
        <f ca="1">_xll.BDH($C$353,"5Y_GEO_GROWTH_DILUTED_EPS","FQ1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359" s="2" t="e">
        <f ca="1">_xll.BDH($C$353,"GEO_GROW_DVD_PER_SH","FQ1 2015","FQ1 2015","Currency=INR","Period=FQ","BEST_FPERIOD_OVERRIDE=FQ","FILING_STATUS=OR","EQY_CONSOLIDATED=Y","Sort=A","Dates=H","DateFormat=P","Fill=—","Direction=H","UseDPDF=Y")</f>
        <v>#NAME?</v>
      </c>
      <c r="AS359" s="2" t="e">
        <f ca="1">_xll.BDH($C$353,"ACCOUNTS_RECEIVABLE_5_YR_GROWTH","FQ1 2015","FQ1 2015","Currency=INR","Period=FQ","BEST_FPERIOD_OVERRIDE=FQ","FILING_STATUS=OR","EQY_CONSOLIDATED=Y","Sort=A","Dates=H","DateFormat=P","Fill=—","Direction=H","UseDPDF=Y")</f>
        <v>#NAME?</v>
      </c>
      <c r="AT359" s="2" t="e">
        <f ca="1">_xll.BDH($C$353,"INVENTORY_5_YEAR_GROWTH","FQ1 2015","FQ1 2015","Currency=INR","Period=FQ","BEST_FPERIOD_OVERRIDE=FQ","FILING_STATUS=OR","EQY_CONSOLIDATED=Y","Sort=A","Dates=H","DateFormat=P","Fill=—","Direction=H","UseDPDF=Y")</f>
        <v>#NAME?</v>
      </c>
      <c r="AU359" s="2" t="e">
        <f ca="1">_xll.BDH($C$353,"NET_FIXED_ASSETS_5_YEAR_GROWTH","FQ1 2015","FQ1 2015","Currency=INR","Period=FQ","BEST_FPERIOD_OVERRIDE=FQ","FILING_STATUS=OR","EQY_CONSOLIDATED=Y","Sort=A","Dates=H","DateFormat=P","Fill=—","Direction=H","UseDPDF=Y")</f>
        <v>#NAME?</v>
      </c>
      <c r="AV359" s="2" t="e">
        <f ca="1">_xll.BDH($C$353,"GEO_GROW_TOT_ASSET","FQ1 2015","FQ1 2015","Currency=INR","Period=FQ","BEST_FPERIOD_OVERRIDE=FQ","FILING_STATUS=OR","EQY_CONSOLIDATED=Y","Sort=A","Dates=H","DateFormat=P","Fill=—","Direction=H","UseDPDF=Y")</f>
        <v>#NAME?</v>
      </c>
      <c r="AW359" s="2" t="e">
        <f ca="1">_xll.BDH($C$353,"MODIFIED_WORKING_CPTL_5YR_GRWTH","FQ1 2015","FQ1 2015","Currency=INR","Period=FQ","BEST_FPERIOD_OVERRIDE=FQ","FILING_STATUS=OR","EQY_CONSOLIDATED=Y","Sort=A","Dates=H","DateFormat=P","Fill=—","Direction=H","UseDPDF=Y")</f>
        <v>#NAME?</v>
      </c>
      <c r="AX359" s="2" t="e">
        <f ca="1">_xll.BDH($C$353,"WORKING_CAPITAL_5_YEAR_GROWTH","FQ1 2015","FQ1 2015","Currency=INR","Period=FQ","BEST_FPERIOD_OVERRIDE=FQ","FILING_STATUS=OR","EQY_CONSOLIDATED=Y","Sort=A","Dates=H","DateFormat=P","Fill=—","Direction=H","UseDPDF=Y")</f>
        <v>#NAME?</v>
      </c>
      <c r="AY359" s="2" t="e">
        <f ca="1">_xll.BDH($C$353,"ACCOUNTS_PAYABLE_5_YEAR_GROWTH","FQ1 2015","FQ1 2015","Currency=INR","Period=FQ","BEST_FPERIOD_OVERRIDE=FQ","FILING_STATUS=OR","EQY_CONSOLIDATED=Y","Sort=A","Dates=H","DateFormat=P","Fill=—","Direction=H","UseDPDF=Y")</f>
        <v>#NAME?</v>
      </c>
      <c r="AZ359" s="2" t="e">
        <f ca="1">_xll.BDH($C$353,"SHORT_TERM_DEBT_5_YEAR_GROWTH","FQ1 2015","FQ1 2015","Currency=INR","Period=FQ","BEST_FPERIOD_OVERRIDE=FQ","FILING_STATUS=OR","EQY_CONSOLIDATED=Y","Sort=A","Dates=H","DateFormat=P","Fill=—","Direction=H","UseDPDF=Y")</f>
        <v>#NAME?</v>
      </c>
      <c r="BA359" s="2" t="e">
        <f ca="1">_xll.BDH($C$353,"TOTAL_DEBT_5_YEAR_GROWTH","FQ1 2015","FQ1 2015","Currency=INR","Period=FQ","BEST_FPERIOD_OVERRIDE=FQ","FILING_STATUS=OR","EQY_CONSOLIDATED=Y","Sort=A","Dates=H","DateFormat=P","Fill=—","Direction=H","UseDPDF=Y")</f>
        <v>#NAME?</v>
      </c>
      <c r="BB359" s="2" t="e">
        <f ca="1">_xll.BDH($C$353,"GEO_GROW_TOT_SHRHLDR_EQY","FQ1 2015","FQ1 2015","Currency=INR","Period=FQ","BEST_FPERIOD_OVERRIDE=FQ","FILING_STATUS=OR","EQY_CONSOLIDATED=Y","Sort=A","Dates=H","DateFormat=P","Fill=—","Direction=H","UseDPDF=Y")</f>
        <v>#NAME?</v>
      </c>
      <c r="BC359" s="2" t="e">
        <f ca="1">_xll.BDH($C$353,"TOTAL_CAPITAL_5_YEAR_GROWTH","FQ1 2015","FQ1 2015","Currency=INR","Period=FQ","BEST_FPERIOD_OVERRIDE=FQ","FILING_STATUS=OR","EQY_CONSOLIDATED=Y","Sort=A","Dates=H","DateFormat=P","Fill=—","Direction=H","UseDPDF=Y")</f>
        <v>#NAME?</v>
      </c>
      <c r="BD359" s="2" t="e">
        <f ca="1">_xll.BDH($C$353,"GEO_GROW_BOOK_VAL","FQ1 2015","FQ1 2015","Currency=INR","Period=FQ","BEST_FPERIOD_OVERRIDE=FQ","FILING_STATUS=OR","EQY_CONSOLIDATED=Y","Sort=A","Dates=H","DateFormat=P","Fill=—","Direction=H","UseDPDF=Y")</f>
        <v>#NAME?</v>
      </c>
      <c r="BE359" s="2" t="e">
        <f ca="1">_xll.BDH($C$353,"GEO_GROW_CASH_OPER_ACT","FQ1 2015","FQ1 2015","Currency=INR","Period=FQ","BEST_FPERIOD_OVERRIDE=FQ","FILING_STATUS=OR","EQY_CONSOLIDATED=Y","Sort=A","Dates=H","DateFormat=P","Fill=—","Direction=H","UseDPDF=Y")</f>
        <v>#NAME?</v>
      </c>
      <c r="BF359" s="2" t="e">
        <f ca="1">_xll.BDH($C$353,"REVENUE_SEQUENTIAL_GROWTH","FQ1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359" s="2" t="e">
        <f ca="1">_xll.BDH($C$353,"EBITDA_SEQUENTIAL_GROWTH","FQ1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359" s="2" t="e">
        <f ca="1">_xll.BDH($C$353,"OPERATING_INCOME_SEQ_GROWTH","FQ1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359" s="2" t="e">
        <f ca="1">_xll.BDH($C$353,"NET_INCOME_TO_COMMON_SEQ_GROWTH","FQ1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359" s="2" t="e">
        <f ca="1">_xll.BDH($C$353,"EPS_DILUTED_SEQUENTIAL_GROWTH","FQ1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359" s="2" t="e">
        <f ca="1">_xll.BDH($C$353,"DPS_SEQUENTIAL_GROWTH","FQ1 2015","FQ1 2015","Currency=INR","Period=FQ","BEST_FPERIOD_OVERRIDE=FQ","FILING_STATUS=OR","EQY_CONSOLIDATED=Y","Sort=A","Dates=H","DateFormat=P","Fill=—","Direction=H","UseDPDF=Y")</f>
        <v>#NAME?</v>
      </c>
      <c r="BL359" s="2" t="e">
        <f ca="1">_xll.BDH($C$353,"ACCOUNTS_RECEIVABLE_SEQ_GROWTH","FQ1 2015","FQ1 2015","Currency=INR","Period=FQ","BEST_FPERIOD_OVERRIDE=FQ","FILING_STATUS=OR","EQY_CONSOLIDATED=Y","Sort=A","Dates=H","DateFormat=P","Fill=—","Direction=H","UseDPDF=Y")</f>
        <v>#NAME?</v>
      </c>
      <c r="BM359" s="2" t="e">
        <f ca="1">_xll.BDH($C$353,"INVENTORY_SEQUENTIAL_GROWTH","FQ1 2015","FQ1 2015","Currency=INR","Period=FQ","BEST_FPERIOD_OVERRIDE=FQ","FILING_STATUS=OR","EQY_CONSOLIDATED=Y","Sort=A","Dates=H","DateFormat=P","Fill=—","Direction=H","UseDPDF=Y")</f>
        <v>#NAME?</v>
      </c>
      <c r="BN359" s="2" t="e">
        <f ca="1">_xll.BDH($C$353,"FIXED_ASSETS_SEQUENTIAL_GROWTH","FQ1 2015","FQ1 2015","Currency=INR","Period=FQ","BEST_FPERIOD_OVERRIDE=FQ","FILING_STATUS=OR","EQY_CONSOLIDATED=Y","Sort=A","Dates=H","DateFormat=P","Fill=—","Direction=H","UseDPDF=Y")</f>
        <v>#NAME?</v>
      </c>
      <c r="BO359" s="2" t="e">
        <f ca="1">_xll.BDH($C$353,"TOTAL_ASSETS_SEQUENTIAL_GROWTH","FQ1 2015","FQ1 2015","Currency=INR","Period=FQ","BEST_FPERIOD_OVERRIDE=FQ","FILING_STATUS=OR","EQY_CONSOLIDATED=Y","Sort=A","Dates=H","DateFormat=P","Fill=—","Direction=H","UseDPDF=Y")</f>
        <v>#NAME?</v>
      </c>
      <c r="BP359" s="2" t="e">
        <f ca="1">_xll.BDH($C$353,"MODIFIED_WORKING_CPTL_SEQ_GRWTH","FQ1 2015","FQ1 2015","Currency=INR","Period=FQ","BEST_FPERIOD_OVERRIDE=FQ","FILING_STATUS=OR","EQY_CONSOLIDATED=Y","Sort=A","Dates=H","DateFormat=P","Fill=—","Direction=H","UseDPDF=Y")</f>
        <v>#NAME?</v>
      </c>
      <c r="BQ359" s="2" t="e">
        <f ca="1">_xll.BDH($C$353,"WORKING_CAPITAL_SEQ_GROWTH","FQ1 2015","FQ1 2015","Currency=INR","Period=FQ","BEST_FPERIOD_OVERRIDE=FQ","FILING_STATUS=OR","EQY_CONSOLIDATED=Y","Sort=A","Dates=H","DateFormat=P","Fill=—","Direction=H","UseDPDF=Y")</f>
        <v>#NAME?</v>
      </c>
      <c r="BR359" s="2" t="e">
        <f ca="1">_xll.BDH($C$353,"ACCOUNTS_PAYABLE_SEQ_GROWTH","FQ1 2015","FQ1 2015","Currency=INR","Period=FQ","BEST_FPERIOD_OVERRIDE=FQ","FILING_STATUS=OR","EQY_CONSOLIDATED=Y","Sort=A","Dates=H","DateFormat=P","Fill=—","Direction=H","UseDPDF=Y")</f>
        <v>#NAME?</v>
      </c>
      <c r="BS359" s="2" t="e">
        <f ca="1">_xll.BDH($C$353,"ST_DEBT_SEQUENTIAL_GROWTH","FQ1 2015","FQ1 2015","Currency=INR","Period=FQ","BEST_FPERIOD_OVERRIDE=FQ","FILING_STATUS=OR","EQY_CONSOLIDATED=Y","Sort=A","Dates=H","DateFormat=P","Fill=—","Direction=H","UseDPDF=Y")</f>
        <v>#NAME?</v>
      </c>
      <c r="BT359" s="2" t="e">
        <f ca="1">_xll.BDH($C$353,"TOTAL_DEBT_SEQUENTIAL_GROWTH","FQ1 2015","FQ1 2015","Currency=INR","Period=FQ","BEST_FPERIOD_OVERRIDE=FQ","FILING_STATUS=OR","EQY_CONSOLIDATED=Y","Sort=A","Dates=H","DateFormat=P","Fill=—","Direction=H","UseDPDF=Y")</f>
        <v>#NAME?</v>
      </c>
      <c r="BU359" s="2" t="e">
        <f ca="1">_xll.BDH($C$353,"TOTAL_EQUITY_SEQUENTIAL_GROWTH","FQ1 2015","FQ1 2015","Currency=INR","Period=FQ","BEST_FPERIOD_OVERRIDE=FQ","FILING_STATUS=OR","EQY_CONSOLIDATED=Y","Sort=A","Dates=H","DateFormat=P","Fill=—","Direction=H","UseDPDF=Y")</f>
        <v>#NAME?</v>
      </c>
      <c r="BV359" s="2" t="e">
        <f ca="1">_xll.BDH($C$353,"TOTAL_CAPITAL_SEQUENTIAL_GROWTH","FQ1 2015","FQ1 2015","Currency=INR","Period=FQ","BEST_FPERIOD_OVERRIDE=FQ","FILING_STATUS=OR","EQY_CONSOLIDATED=Y","Sort=A","Dates=H","DateFormat=P","Fill=—","Direction=H","UseDPDF=Y")</f>
        <v>#NAME?</v>
      </c>
      <c r="BW359" s="2" t="e">
        <f ca="1">_xll.BDH($C$353,"BPS_SEQUENTIAL_GROWTH","FQ1 2015","FQ1 2015","Currency=INR","Period=FQ","BEST_FPERIOD_OVERRIDE=FQ","FILING_STATUS=OR","EQY_CONSOLIDATED=Y","Sort=A","Dates=H","DateFormat=P","Fill=—","Direction=H","UseDPDF=Y")</f>
        <v>#NAME?</v>
      </c>
      <c r="BX359" s="2" t="e">
        <f ca="1">_xll.BDH($C$353,"CFO_SEQUENTIAL_GROWTH","FQ1 2015","FQ1 2015","Currency=INR","Period=FQ","BEST_FPERIOD_OVERRIDE=FQ","FILING_STATUS=OR","EQY_CONSOLIDATED=Y","Sort=A","Dates=H","DateFormat=P","Fill=—","Direction=H","UseDPDF=Y")</f>
        <v>#NAME?</v>
      </c>
      <c r="BY359" s="3" t="e">
        <f ca="1">_xll.BDH($C$353,"SHORT_AND_LONG_TERM_DEBT","FQ1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359" s="3" t="e">
        <f ca="1">_xll.BDH($C$353,"BS_ST_BORROW","FQ1 2015","FQ1 2015","Currency=INR","Period=FQ","BEST_FPERIOD_OVERRIDE=FQ","FILING_STATUS=OR","EQY_CONSOLIDATED=Y","SCALING_FORMAT=MLN","Sort=A","Dates=H","DateFormat=P","Fill=—","Direction=H","UseDPDF=Y")</f>
        <v>#NAME?</v>
      </c>
      <c r="CA359" s="3" t="e">
        <f ca="1">_xll.BDH($C$353,"BS_LT_BORROW","FQ1 2015","FQ1 2015","Currency=INR","Period=FQ","BEST_FPERIOD_OVERRIDE=FQ","FILING_STATUS=OR","EQY_CONSOLIDATED=Y","SCALING_FORMAT=MLN","Sort=A","Dates=H","DateFormat=P","Fill=—","Direction=H","UseDPDF=Y")</f>
        <v>#NAME?</v>
      </c>
      <c r="CB359" s="2" t="e">
        <f ca="1">_xll.BDH($C$353,"TOT_DEBT_TO_EBITDA","FQ1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359" s="2" t="e">
        <f ca="1">_xll.BDH($C$353,"NET_DEBT_TO_EBITDA","FQ1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359" s="2" t="e">
        <f ca="1">_xll.BDH($C$353,"TOTAL_DEBT_TO_EBIT","FQ1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359" s="2" t="e">
        <f ca="1">_xll.BDH($C$353,"NET_DEBT_TO_EBIT","FQ1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359" s="2" t="e">
        <f ca="1">_xll.BDH($C$353,"EBITDA_TO_INTEREST_EXPN","FQ1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359" s="2" t="e">
        <f ca="1">_xll.BDH($C$353,"COM_EQY_TO_TOT_ASSET","FQ1 2015","FQ1 2015","Currency=INR","Period=FQ","BEST_FPERIOD_OVERRIDE=FQ","FILING_STATUS=OR","EQY_CONSOLIDATED=Y","Sort=A","Dates=H","DateFormat=P","Fill=—","Direction=H","UseDPDF=Y")</f>
        <v>#NAME?</v>
      </c>
      <c r="CH359" s="2" t="e">
        <f ca="1">_xll.BDH($C$353,"LT_DEBT_TO_TOT_EQY","FQ1 2015","FQ1 2015","Currency=INR","Period=FQ","BEST_FPERIOD_OVERRIDE=FQ","FILING_STATUS=OR","EQY_CONSOLIDATED=Y","Sort=A","Dates=H","DateFormat=P","Fill=—","Direction=H","UseDPDF=Y")</f>
        <v>#NAME?</v>
      </c>
      <c r="CI359" s="2" t="e">
        <f ca="1">_xll.BDH($C$353,"LT_DEBT_TO_TOT_CAP","FQ1 2015","FQ1 2015","Currency=INR","Period=FQ","BEST_FPERIOD_OVERRIDE=FQ","FILING_STATUS=OR","EQY_CONSOLIDATED=Y","Sort=A","Dates=H","DateFormat=P","Fill=—","Direction=H","UseDPDF=Y")</f>
        <v>#NAME?</v>
      </c>
      <c r="CJ359" s="2" t="e">
        <f ca="1">_xll.BDH($C$353,"LT_DEBT_TO_TOT_ASSET","FQ1 2015","FQ1 2015","Currency=INR","Period=FQ","BEST_FPERIOD_OVERRIDE=FQ","FILING_STATUS=OR","EQY_CONSOLIDATED=Y","Sort=A","Dates=H","DateFormat=P","Fill=—","Direction=H","UseDPDF=Y")</f>
        <v>#NAME?</v>
      </c>
      <c r="CK359" s="2" t="e">
        <f ca="1">_xll.BDH($C$353,"TOT_DEBT_TO_TOT_EQY","FQ1 2015","FQ1 2015","Currency=INR","Period=FQ","BEST_FPERIOD_OVERRIDE=FQ","FILING_STATUS=OR","EQY_CONSOLIDATED=Y","Sort=A","Dates=H","DateFormat=P","Fill=—","Direction=H","UseDPDF=Y")</f>
        <v>#NAME?</v>
      </c>
      <c r="CL359" s="2" t="e">
        <f ca="1">_xll.BDH($C$353,"TOT_DEBT_TO_TOT_CAP","FQ1 2015","FQ1 2015","Currency=INR","Period=FQ","BEST_FPERIOD_OVERRIDE=FQ","FILING_STATUS=OR","EQY_CONSOLIDATED=Y","Sort=A","Dates=H","DateFormat=P","Fill=—","Direction=H","UseDPDF=Y")</f>
        <v>#NAME?</v>
      </c>
      <c r="CM359" s="2" t="e">
        <f ca="1">_xll.BDH($C$353,"TOT_DEBT_TO_TOT_ASSET","FQ1 2015","FQ1 2015","Currency=INR","Period=FQ","BEST_FPERIOD_OVERRIDE=FQ","FILING_STATUS=OR","EQY_CONSOLIDATED=Y","Sort=A","Dates=H","DateFormat=P","Fill=—","Direction=H","UseDPDF=Y")</f>
        <v>#NAME?</v>
      </c>
      <c r="CN359" s="2" t="e">
        <f ca="1">_xll.BDH($C$353,"NET_DEBT_TO_SHRHLDR_EQTY","FQ1 2015","FQ1 2015","Currency=INR","Period=FQ","BEST_FPERIOD_OVERRIDE=FQ","FILING_STATUS=OR","EQY_CONSOLIDATED=Y","Sort=A","Dates=H","DateFormat=P","Fill=—","Direction=H","UseDPDF=Y")</f>
        <v>#NAME?</v>
      </c>
      <c r="CO359" s="2" t="e">
        <f ca="1">_xll.BDH($C$353,"NET_DEBT_%_CAPITAL","FQ1 2015","FQ1 2015","Currency=INR","Period=FQ","BEST_FPERIOD_OVERRIDE=FQ","FILING_STATUS=OR","EQY_CONSOLIDATED=Y","Sort=A","Dates=H","DateFormat=P","Fill=—","Direction=H","UseDPDF=Y")</f>
        <v>#NAME?</v>
      </c>
      <c r="CP359" s="3" t="e">
        <f ca="1">_xll.BDH($C$353,"EBITDA","FQ1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359" s="3" t="e">
        <f ca="1">_xll.BDH($C$353,"EBITDA_AFTER_CAPEX","FQ1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359" s="3" t="e">
        <f ca="1">_xll.BDH($C$353,"IS_OPER_INC","FQ1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359" s="2" t="e">
        <f ca="1">_xll.BDH($C$353,"CASH_RATIO","FQ1 2015","FQ1 2015","Currency=INR","Period=FQ","BEST_FPERIOD_OVERRIDE=FQ","FILING_STATUS=OR","EQY_CONSOLIDATED=Y","Sort=A","Dates=H","DateFormat=P","Fill=—","Direction=H","UseDPDF=Y")</f>
        <v>#NAME?</v>
      </c>
      <c r="CT359" s="2" t="e">
        <f ca="1">_xll.BDH($C$353,"CUR_RATIO","FQ1 2015","FQ1 2015","Currency=INR","Period=FQ","BEST_FPERIOD_OVERRIDE=FQ","FILING_STATUS=OR","EQY_CONSOLIDATED=Y","Sort=A","Dates=H","DateFormat=P","Fill=—","Direction=H","UseDPDF=Y")</f>
        <v>#NAME?</v>
      </c>
      <c r="CU359" s="2" t="e">
        <f ca="1">_xll.BDH($C$353,"QUICK_RATIO","FQ1 2015","FQ1 2015","Currency=INR","Period=FQ","BEST_FPERIOD_OVERRIDE=FQ","FILING_STATUS=OR","EQY_CONSOLIDATED=Y","Sort=A","Dates=H","DateFormat=P","Fill=—","Direction=H","UseDPDF=Y")</f>
        <v>#NAME?</v>
      </c>
      <c r="CV359" s="2" t="e">
        <f ca="1">_xll.BDH($C$353,"ALTMAN_Z_SCORE","FQ1 2015","FQ1 2015","Currency=INR","Period=FQ","BEST_FPERIOD_OVERRIDE=FQ","FILING_STATUS=OR","EQY_CONSOLIDATED=Y","Sort=A","Dates=H","DateFormat=P","Fill=—","Direction=H","UseDPDF=Y")</f>
        <v>#NAME?</v>
      </c>
      <c r="CW359" s="4" t="e">
        <f ca="1">_xll.BDH($C$353,"ACCT_RCV_TURN","FQ1 2015","FQ1 2015","Currency=INR","Period=FQ","BEST_FPERIOD_OVERRIDE=FQ","FILING_STATUS=OR","EQY_CONSOLIDATED=Y","FA_ADJUSTED=GAAP","Sort=A","Dates=H","DateFormat=P","Fill=—","Direction=H","UseDPDF=Y")</f>
        <v>#NAME?</v>
      </c>
      <c r="CX359" s="2" t="e">
        <f ca="1">_xll.BDH($C$353,"ACCT_RCV_DAYS","FQ1 2015","FQ1 2015","Currency=INR","Period=FQ","BEST_FPERIOD_OVERRIDE=FQ","FILING_STATUS=OR","EQY_CONSOLIDATED=Y","FA_ADJUSTED=GAAP","Sort=A","Dates=H","DateFormat=P","Fill=—","Direction=H","UseDPDF=Y")</f>
        <v>#NAME?</v>
      </c>
      <c r="CY359" s="4" t="e">
        <f ca="1">_xll.BDH($C$353,"INVENT_TURN","FQ1 2015","FQ1 2015","Currency=INR","Period=FQ","BEST_FPERIOD_OVERRIDE=FQ","FILING_STATUS=OR","EQY_CONSOLIDATED=Y","FA_ADJUSTED=GAAP","Sort=A","Dates=H","DateFormat=P","Fill=—","Direction=H","UseDPDF=Y")</f>
        <v>#NAME?</v>
      </c>
      <c r="CZ359" s="2" t="e">
        <f ca="1">_xll.BDH($C$353,"INVENT_DAYS","FQ1 2015","FQ1 2015","Currency=INR","Period=FQ","BEST_FPERIOD_OVERRIDE=FQ","FILING_STATUS=OR","EQY_CONSOLIDATED=Y","FA_ADJUSTED=GAAP","Sort=A","Dates=H","DateFormat=P","Fill=—","Direction=H","UseDPDF=Y")</f>
        <v>#NAME?</v>
      </c>
      <c r="DA359" s="4" t="e">
        <f ca="1">_xll.BDH($C$353,"ACCOUNTS_PAYABLE_TURNOVER","FQ1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359" s="2" t="e">
        <f ca="1">_xll.BDH($C$353,"ACCOUNTS_PAYABLE_TURNOVER_DAYS","FQ1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359" s="4" t="e">
        <f ca="1">_xll.BDH($C$353,"CASH_CONVERSION_CYCLE","FQ1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359" s="4" t="e">
        <f ca="1">_xll.BDH($C$353,"INV_TO_CASH_DAYS","FQ1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359" s="5" t="e">
        <f ca="1">_xll.BDH($C$353,"BS_INVENTORIES","FQ1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359" s="3" t="e">
        <f ca="1">_xll.BDH($C$353,"INVTRY_RAW_MATERIALS","FQ1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359" s="3" t="e">
        <f ca="1">_xll.BDH($C$353,"INVTRY_IN_PROGRESS","FQ1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359" s="3" t="e">
        <f ca="1">_xll.BDH($C$353,"INVTRY_FINISHED_GOODS","FQ1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359" s="3" t="e">
        <f ca="1">_xll.BDH($C$353,"BS_OTHER_INV","FQ1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360" spans="1:113" x14ac:dyDescent="0.3">
      <c r="A360" s="6"/>
      <c r="B360" s="6"/>
      <c r="C360" s="6"/>
      <c r="D360" s="6"/>
      <c r="E360" t="s">
        <v>79</v>
      </c>
      <c r="F360" t="e">
        <f ca="1">_xll.BDH($C$353,"RETURN_COM_EQY","FQ2 2015","FQ2 2015","Currency=INR","Period=FQ","BEST_FPERIOD_OVERRIDE=FQ","FILING_STATUS=OR","EQY_CONSOLIDATED=Y","FA_ADJUSTED=GAAP","Sort=A","Dates=H","DateFormat=P","Fill=—","Direction=H","UseDPDF=Y")</f>
        <v>#NAME?</v>
      </c>
      <c r="G360" t="e">
        <f ca="1">_xll.BDH($C$353,"RETURN_ON_ASSET","FQ2 2015","FQ2 2015","Currency=INR","Period=FQ","BEST_FPERIOD_OVERRIDE=FQ","FILING_STATUS=OR","EQY_CONSOLIDATED=Y","FA_ADJUSTED=GAAP","Sort=A","Dates=H","DateFormat=P","Fill=—","Direction=H","UseDPDF=Y")</f>
        <v>#NAME?</v>
      </c>
      <c r="H360" t="e">
        <f ca="1">_xll.BDH($C$353,"RETURN_ON_CAP","FQ2 2015","FQ2 2015","Currency=INR","Period=FQ","BEST_FPERIOD_OVERRIDE=FQ","FILING_STATUS=OR","EQY_CONSOLIDATED=Y","FA_ADJUSTED=GAAP","Sort=A","Dates=H","DateFormat=P","Fill=—","Direction=H","UseDPDF=Y")</f>
        <v>#NAME?</v>
      </c>
      <c r="I360" t="e">
        <f ca="1">_xll.BDH($C$353,"RETURN_ON_INV_CAPITAL","FQ2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360" t="e">
        <f ca="1">_xll.BDH($C$353,"EBITDA_TO_REVENUE","FQ2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360" t="e">
        <f ca="1">_xll.BDH($C$353,"OPER_MARGIN","FQ2 2015","FQ2 2015","Currency=INR","Period=FQ","BEST_FPERIOD_OVERRIDE=FQ","FILING_STATUS=OR","EQY_CONSOLIDATED=Y","FA_ADJUSTED=GAAP","Sort=A","Dates=H","DateFormat=P","Fill=—","Direction=H","UseDPDF=Y")</f>
        <v>#NAME?</v>
      </c>
      <c r="L360" t="e">
        <f ca="1">_xll.BDH($C$353,"INCREMENTAL_OPERATING_MARGIN","FQ2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360" t="e">
        <f ca="1">_xll.BDH($C$353,"PRETAX_INC_TO_NET_SALES","FQ2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360" t="e">
        <f ca="1">_xll.BDH($C$353,"INC_BEF_XO_ITEMS_TO_NET_SALES","FQ2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360" t="e">
        <f ca="1">_xll.BDH($C$353,"PROF_MARGIN","FQ2 2015","FQ2 2015","Currency=INR","Period=FQ","BEST_FPERIOD_OVERRIDE=FQ","FILING_STATUS=OR","EQY_CONSOLIDATED=Y","FA_ADJUSTED=GAAP","Sort=A","Dates=H","DateFormat=P","Fill=—","Direction=H","UseDPDF=Y")</f>
        <v>#NAME?</v>
      </c>
      <c r="P360" t="e">
        <f ca="1">_xll.BDH($C$353,"NET_INCOME_TO_COMMON_MARGIN","FQ2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360" t="e">
        <f ca="1">_xll.BDH($C$353,"EFF_TAX_RATE","FQ2 2015","FQ2 2015","Currency=INR","Period=FQ","BEST_FPERIOD_OVERRIDE=FQ","FILING_STATUS=OR","EQY_CONSOLIDATED=Y","FA_ADJUSTED=GAAP","Sort=A","Dates=H","DateFormat=P","Fill=—","Direction=H","UseDPDF=Y")</f>
        <v>#NAME?</v>
      </c>
      <c r="R360" t="e">
        <f ca="1">_xll.BDH($C$353,"DVD_PAYOUT_RATIO","FQ2 2015","FQ2 2015","Currency=INR","Period=FQ","BEST_FPERIOD_OVERRIDE=FQ","FILING_STATUS=OR","EQY_CONSOLIDATED=Y","FA_ADJUSTED=GAAP","Sort=A","Dates=H","DateFormat=P","Fill=—","Direction=H","UseDPDF=Y")</f>
        <v>#NAME?</v>
      </c>
      <c r="S360" t="e">
        <f ca="1">_xll.BDH($C$353,"SUSTAIN_GROWTH_RT","FQ2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360" s="2" t="e">
        <f ca="1">_xll.BDH($C$353,"SALES_GROWTH","FQ2 2015","FQ2 2015","Currency=INR","Period=FQ","BEST_FPERIOD_OVERRIDE=FQ","FILING_STATUS=OR","EQY_CONSOLIDATED=Y","FA_ADJUSTED=GAAP","Sort=A","Dates=H","DateFormat=P","Fill=—","Direction=H","UseDPDF=Y")</f>
        <v>#NAME?</v>
      </c>
      <c r="U360" s="2" t="e">
        <f ca="1">_xll.BDH($C$353,"EBITDA_GROWTH","FQ2 2015","FQ2 2015","Currency=INR","Period=FQ","BEST_FPERIOD_OVERRIDE=FQ","FILING_STATUS=OR","EQY_CONSOLIDATED=Y","FA_ADJUSTED=GAAP","Sort=A","Dates=H","DateFormat=P","Fill=—","Direction=H","UseDPDF=Y")</f>
        <v>#NAME?</v>
      </c>
      <c r="V360" s="2" t="e">
        <f ca="1">_xll.BDH($C$353,"OPER_INC_GROWTH","FQ2 2015","FQ2 2015","Currency=INR","Period=FQ","BEST_FPERIOD_OVERRIDE=FQ","FILING_STATUS=OR","EQY_CONSOLIDATED=Y","FA_ADJUSTED=GAAP","Sort=A","Dates=H","DateFormat=P","Fill=—","Direction=H","UseDPDF=Y")</f>
        <v>#NAME?</v>
      </c>
      <c r="W360" s="2" t="e">
        <f ca="1">_xll.BDH($C$353,"EARN_FOR_COM_GROWTH","FQ2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360" s="2" t="e">
        <f ca="1">_xll.BDH($C$353,"DILUTED_EPS_AFT_XO_ITEMS_GROWTH","FQ2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360" s="2" t="e">
        <f ca="1">_xll.BDH($C$353,"DIVIDEND_PER_SHARE_1_YEAR_GROWTH","FQ2 2015","FQ2 2015","Currency=INR","Period=FQ","BEST_FPERIOD_OVERRIDE=FQ","FILING_STATUS=OR","EQY_CONSOLIDATED=Y","Sort=A","Dates=H","DateFormat=P","Fill=—","Direction=H","UseDPDF=Y")</f>
        <v>#NAME?</v>
      </c>
      <c r="Z360" s="2" t="e">
        <f ca="1">_xll.BDH($C$353,"ACCOUNTS_RECEIVABLE_GROWTH","FQ2 2015","FQ2 2015","Currency=INR","Period=FQ","BEST_FPERIOD_OVERRIDE=FQ","FILING_STATUS=OR","EQY_CONSOLIDATED=Y","Sort=A","Dates=H","DateFormat=P","Fill=—","Direction=H","UseDPDF=Y")</f>
        <v>#NAME?</v>
      </c>
      <c r="AA360" s="2" t="e">
        <f ca="1">_xll.BDH($C$353,"INVENTORY_GROWTH","FQ2 2015","FQ2 2015","Currency=INR","Period=FQ","BEST_FPERIOD_OVERRIDE=FQ","FILING_STATUS=OR","EQY_CONSOLIDATED=Y","Sort=A","Dates=H","DateFormat=P","Fill=—","Direction=H","UseDPDF=Y")</f>
        <v>#NAME?</v>
      </c>
      <c r="AB360" s="2" t="e">
        <f ca="1">_xll.BDH($C$353,"NET_FIXED_ASSETS_1_YEAR_GROWTH","FQ2 2015","FQ2 2015","Currency=INR","Period=FQ","BEST_FPERIOD_OVERRIDE=FQ","FILING_STATUS=OR","EQY_CONSOLIDATED=Y","Sort=A","Dates=H","DateFormat=P","Fill=—","Direction=H","UseDPDF=Y")</f>
        <v>#NAME?</v>
      </c>
      <c r="AC360" s="2" t="e">
        <f ca="1">_xll.BDH($C$353,"ASSET_GROWTH","FQ2 2015","FQ2 2015","Currency=INR","Period=FQ","BEST_FPERIOD_OVERRIDE=FQ","FILING_STATUS=OR","EQY_CONSOLIDATED=Y","Sort=A","Dates=H","DateFormat=P","Fill=—","Direction=H","UseDPDF=Y")</f>
        <v>#NAME?</v>
      </c>
      <c r="AD360" s="2" t="e">
        <f ca="1">_xll.BDH($C$353,"MODIFIED_WORK_CAP_GROWTH","FQ2 2015","FQ2 2015","Currency=INR","Period=FQ","BEST_FPERIOD_OVERRIDE=FQ","FILING_STATUS=OR","EQY_CONSOLIDATED=Y","Sort=A","Dates=H","DateFormat=P","Fill=—","Direction=H","UseDPDF=Y")</f>
        <v>#NAME?</v>
      </c>
      <c r="AE360" s="2" t="e">
        <f ca="1">_xll.BDH($C$353,"WORK_CAP_GROWTH","FQ2 2015","FQ2 2015","Currency=INR","Period=FQ","BEST_FPERIOD_OVERRIDE=FQ","FILING_STATUS=OR","EQY_CONSOLIDATED=Y","Sort=A","Dates=H","DateFormat=P","Fill=—","Direction=H","UseDPDF=Y")</f>
        <v>#NAME?</v>
      </c>
      <c r="AF360" s="2" t="e">
        <f ca="1">_xll.BDH($C$353,"ACCOUNTS_PAYABLE_GROWTH_1YR","FQ2 2015","FQ2 2015","Currency=INR","Period=FQ","BEST_FPERIOD_OVERRIDE=FQ","FILING_STATUS=OR","EQY_CONSOLIDATED=Y","Sort=A","Dates=H","DateFormat=P","Fill=—","Direction=H","UseDPDF=Y")</f>
        <v>#NAME?</v>
      </c>
      <c r="AG360" s="2" t="e">
        <f ca="1">_xll.BDH($C$353,"SHORT_TERM_DEBT_1_YEAR_GROWTH","FQ2 2015","FQ2 2015","Currency=INR","Period=FQ","BEST_FPERIOD_OVERRIDE=FQ","FILING_STATUS=OR","EQY_CONSOLIDATED=Y","Sort=A","Dates=H","DateFormat=P","Fill=—","Direction=H","UseDPDF=Y")</f>
        <v>#NAME?</v>
      </c>
      <c r="AH360" s="2" t="e">
        <f ca="1">_xll.BDH($C$353,"TOTAL_DEBT_1_YEAR_GROWTH","FQ2 2015","FQ2 2015","Currency=INR","Period=FQ","BEST_FPERIOD_OVERRIDE=FQ","FILING_STATUS=OR","EQY_CONSOLIDATED=Y","Sort=A","Dates=H","DateFormat=P","Fill=—","Direction=H","UseDPDF=Y")</f>
        <v>#NAME?</v>
      </c>
      <c r="AI360" s="2" t="e">
        <f ca="1">_xll.BDH($C$353,"TOTAL_EQUITY_1_YEAR_GROWTH","FQ2 2015","FQ2 2015","Currency=INR","Period=FQ","BEST_FPERIOD_OVERRIDE=FQ","FILING_STATUS=OR","EQY_CONSOLIDATED=Y","Sort=A","Dates=H","DateFormat=P","Fill=—","Direction=H","UseDPDF=Y")</f>
        <v>#NAME?</v>
      </c>
      <c r="AJ360" s="2" t="e">
        <f ca="1">_xll.BDH($C$353,"GROWTH_IN_CAP","FQ2 2015","FQ2 2015","Currency=INR","Period=FQ","BEST_FPERIOD_OVERRIDE=FQ","FILING_STATUS=OR","EQY_CONSOLIDATED=Y","Sort=A","Dates=H","DateFormat=P","Fill=—","Direction=H","UseDPDF=Y")</f>
        <v>#NAME?</v>
      </c>
      <c r="AK360" s="2" t="e">
        <f ca="1">_xll.BDH($C$353,"BVPS_GROWTH","FQ2 2015","FQ2 2015","Currency=INR","Period=FQ","BEST_FPERIOD_OVERRIDE=FQ","FILING_STATUS=OR","EQY_CONSOLIDATED=Y","Sort=A","Dates=H","DateFormat=P","Fill=—","Direction=H","UseDPDF=Y")</f>
        <v>#NAME?</v>
      </c>
      <c r="AL360" s="2" t="e">
        <f ca="1">_xll.BDH($C$353,"CASH_FLOW_GROWTH","FQ2 2015","FQ2 2015","Currency=INR","Period=FQ","BEST_FPERIOD_OVERRIDE=FQ","FILING_STATUS=OR","EQY_CONSOLIDATED=Y","Sort=A","Dates=H","DateFormat=P","Fill=—","Direction=H","UseDPDF=Y")</f>
        <v>#NAME?</v>
      </c>
      <c r="AM360" s="2" t="e">
        <f ca="1">_xll.BDH($C$353,"GEO_GROW_NET_SALES","FQ2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360" s="2" t="e">
        <f ca="1">_xll.BDH($C$353,"GEO_GROW_EBITDA","FQ2 2015","FQ2 2015","Currency=INR","Period=FQ","BEST_FPERIOD_OVERRIDE=FQ","FILING_STATUS=OR","EQY_CONSOLIDATED=Y","FA_ADJUSTED=GAAP","Sort=A","Dates=H","DateFormat=P","Fill=—","Direction=H","UseDPDF=Y")</f>
        <v>#NAME?</v>
      </c>
      <c r="AO360" s="2" t="e">
        <f ca="1">_xll.BDH($C$353,"GEO_GROW_OPER_INC","FQ2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360" s="2" t="e">
        <f ca="1">_xll.BDH($C$353,"NET_INCOME_TO_COMMON_5_YR_GROWTH","FQ2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360" s="2" t="e">
        <f ca="1">_xll.BDH($C$353,"5Y_GEO_GROWTH_DILUTED_EPS","FQ2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360" s="2" t="e">
        <f ca="1">_xll.BDH($C$353,"GEO_GROW_DVD_PER_SH","FQ2 2015","FQ2 2015","Currency=INR","Period=FQ","BEST_FPERIOD_OVERRIDE=FQ","FILING_STATUS=OR","EQY_CONSOLIDATED=Y","Sort=A","Dates=H","DateFormat=P","Fill=—","Direction=H","UseDPDF=Y")</f>
        <v>#NAME?</v>
      </c>
      <c r="AS360" s="2" t="e">
        <f ca="1">_xll.BDH($C$353,"ACCOUNTS_RECEIVABLE_5_YR_GROWTH","FQ2 2015","FQ2 2015","Currency=INR","Period=FQ","BEST_FPERIOD_OVERRIDE=FQ","FILING_STATUS=OR","EQY_CONSOLIDATED=Y","Sort=A","Dates=H","DateFormat=P","Fill=—","Direction=H","UseDPDF=Y")</f>
        <v>#NAME?</v>
      </c>
      <c r="AT360" s="2" t="e">
        <f ca="1">_xll.BDH($C$353,"INVENTORY_5_YEAR_GROWTH","FQ2 2015","FQ2 2015","Currency=INR","Period=FQ","BEST_FPERIOD_OVERRIDE=FQ","FILING_STATUS=OR","EQY_CONSOLIDATED=Y","Sort=A","Dates=H","DateFormat=P","Fill=—","Direction=H","UseDPDF=Y")</f>
        <v>#NAME?</v>
      </c>
      <c r="AU360" s="2" t="e">
        <f ca="1">_xll.BDH($C$353,"NET_FIXED_ASSETS_5_YEAR_GROWTH","FQ2 2015","FQ2 2015","Currency=INR","Period=FQ","BEST_FPERIOD_OVERRIDE=FQ","FILING_STATUS=OR","EQY_CONSOLIDATED=Y","Sort=A","Dates=H","DateFormat=P","Fill=—","Direction=H","UseDPDF=Y")</f>
        <v>#NAME?</v>
      </c>
      <c r="AV360" s="2" t="e">
        <f ca="1">_xll.BDH($C$353,"GEO_GROW_TOT_ASSET","FQ2 2015","FQ2 2015","Currency=INR","Period=FQ","BEST_FPERIOD_OVERRIDE=FQ","FILING_STATUS=OR","EQY_CONSOLIDATED=Y","Sort=A","Dates=H","DateFormat=P","Fill=—","Direction=H","UseDPDF=Y")</f>
        <v>#NAME?</v>
      </c>
      <c r="AW360" s="2" t="e">
        <f ca="1">_xll.BDH($C$353,"MODIFIED_WORKING_CPTL_5YR_GRWTH","FQ2 2015","FQ2 2015","Currency=INR","Period=FQ","BEST_FPERIOD_OVERRIDE=FQ","FILING_STATUS=OR","EQY_CONSOLIDATED=Y","Sort=A","Dates=H","DateFormat=P","Fill=—","Direction=H","UseDPDF=Y")</f>
        <v>#NAME?</v>
      </c>
      <c r="AX360" s="2" t="e">
        <f ca="1">_xll.BDH($C$353,"WORKING_CAPITAL_5_YEAR_GROWTH","FQ2 2015","FQ2 2015","Currency=INR","Period=FQ","BEST_FPERIOD_OVERRIDE=FQ","FILING_STATUS=OR","EQY_CONSOLIDATED=Y","Sort=A","Dates=H","DateFormat=P","Fill=—","Direction=H","UseDPDF=Y")</f>
        <v>#NAME?</v>
      </c>
      <c r="AY360" s="2" t="e">
        <f ca="1">_xll.BDH($C$353,"ACCOUNTS_PAYABLE_5_YEAR_GROWTH","FQ2 2015","FQ2 2015","Currency=INR","Period=FQ","BEST_FPERIOD_OVERRIDE=FQ","FILING_STATUS=OR","EQY_CONSOLIDATED=Y","Sort=A","Dates=H","DateFormat=P","Fill=—","Direction=H","UseDPDF=Y")</f>
        <v>#NAME?</v>
      </c>
      <c r="AZ360" s="2" t="e">
        <f ca="1">_xll.BDH($C$353,"SHORT_TERM_DEBT_5_YEAR_GROWTH","FQ2 2015","FQ2 2015","Currency=INR","Period=FQ","BEST_FPERIOD_OVERRIDE=FQ","FILING_STATUS=OR","EQY_CONSOLIDATED=Y","Sort=A","Dates=H","DateFormat=P","Fill=—","Direction=H","UseDPDF=Y")</f>
        <v>#NAME?</v>
      </c>
      <c r="BA360" s="2" t="e">
        <f ca="1">_xll.BDH($C$353,"TOTAL_DEBT_5_YEAR_GROWTH","FQ2 2015","FQ2 2015","Currency=INR","Period=FQ","BEST_FPERIOD_OVERRIDE=FQ","FILING_STATUS=OR","EQY_CONSOLIDATED=Y","Sort=A","Dates=H","DateFormat=P","Fill=—","Direction=H","UseDPDF=Y")</f>
        <v>#NAME?</v>
      </c>
      <c r="BB360" s="2" t="e">
        <f ca="1">_xll.BDH($C$353,"GEO_GROW_TOT_SHRHLDR_EQY","FQ2 2015","FQ2 2015","Currency=INR","Period=FQ","BEST_FPERIOD_OVERRIDE=FQ","FILING_STATUS=OR","EQY_CONSOLIDATED=Y","Sort=A","Dates=H","DateFormat=P","Fill=—","Direction=H","UseDPDF=Y")</f>
        <v>#NAME?</v>
      </c>
      <c r="BC360" s="2" t="e">
        <f ca="1">_xll.BDH($C$353,"TOTAL_CAPITAL_5_YEAR_GROWTH","FQ2 2015","FQ2 2015","Currency=INR","Period=FQ","BEST_FPERIOD_OVERRIDE=FQ","FILING_STATUS=OR","EQY_CONSOLIDATED=Y","Sort=A","Dates=H","DateFormat=P","Fill=—","Direction=H","UseDPDF=Y")</f>
        <v>#NAME?</v>
      </c>
      <c r="BD360" s="2" t="e">
        <f ca="1">_xll.BDH($C$353,"GEO_GROW_BOOK_VAL","FQ2 2015","FQ2 2015","Currency=INR","Period=FQ","BEST_FPERIOD_OVERRIDE=FQ","FILING_STATUS=OR","EQY_CONSOLIDATED=Y","Sort=A","Dates=H","DateFormat=P","Fill=—","Direction=H","UseDPDF=Y")</f>
        <v>#NAME?</v>
      </c>
      <c r="BE360" s="2" t="e">
        <f ca="1">_xll.BDH($C$353,"GEO_GROW_CASH_OPER_ACT","FQ2 2015","FQ2 2015","Currency=INR","Period=FQ","BEST_FPERIOD_OVERRIDE=FQ","FILING_STATUS=OR","EQY_CONSOLIDATED=Y","Sort=A","Dates=H","DateFormat=P","Fill=—","Direction=H","UseDPDF=Y")</f>
        <v>#NAME?</v>
      </c>
      <c r="BF360" s="2" t="e">
        <f ca="1">_xll.BDH($C$353,"REVENUE_SEQUENTIAL_GROWTH","FQ2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360" s="2" t="e">
        <f ca="1">_xll.BDH($C$353,"EBITDA_SEQUENTIAL_GROWTH","FQ2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360" s="2" t="e">
        <f ca="1">_xll.BDH($C$353,"OPERATING_INCOME_SEQ_GROWTH","FQ2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360" s="2" t="e">
        <f ca="1">_xll.BDH($C$353,"NET_INCOME_TO_COMMON_SEQ_GROWTH","FQ2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360" s="2" t="e">
        <f ca="1">_xll.BDH($C$353,"EPS_DILUTED_SEQUENTIAL_GROWTH","FQ2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360" s="2" t="e">
        <f ca="1">_xll.BDH($C$353,"DPS_SEQUENTIAL_GROWTH","FQ2 2015","FQ2 2015","Currency=INR","Period=FQ","BEST_FPERIOD_OVERRIDE=FQ","FILING_STATUS=OR","EQY_CONSOLIDATED=Y","Sort=A","Dates=H","DateFormat=P","Fill=—","Direction=H","UseDPDF=Y")</f>
        <v>#NAME?</v>
      </c>
      <c r="BL360" s="2" t="e">
        <f ca="1">_xll.BDH($C$353,"ACCOUNTS_RECEIVABLE_SEQ_GROWTH","FQ2 2015","FQ2 2015","Currency=INR","Period=FQ","BEST_FPERIOD_OVERRIDE=FQ","FILING_STATUS=OR","EQY_CONSOLIDATED=Y","Sort=A","Dates=H","DateFormat=P","Fill=—","Direction=H","UseDPDF=Y")</f>
        <v>#NAME?</v>
      </c>
      <c r="BM360" s="2" t="e">
        <f ca="1">_xll.BDH($C$353,"INVENTORY_SEQUENTIAL_GROWTH","FQ2 2015","FQ2 2015","Currency=INR","Period=FQ","BEST_FPERIOD_OVERRIDE=FQ","FILING_STATUS=OR","EQY_CONSOLIDATED=Y","Sort=A","Dates=H","DateFormat=P","Fill=—","Direction=H","UseDPDF=Y")</f>
        <v>#NAME?</v>
      </c>
      <c r="BN360" s="2" t="e">
        <f ca="1">_xll.BDH($C$353,"FIXED_ASSETS_SEQUENTIAL_GROWTH","FQ2 2015","FQ2 2015","Currency=INR","Period=FQ","BEST_FPERIOD_OVERRIDE=FQ","FILING_STATUS=OR","EQY_CONSOLIDATED=Y","Sort=A","Dates=H","DateFormat=P","Fill=—","Direction=H","UseDPDF=Y")</f>
        <v>#NAME?</v>
      </c>
      <c r="BO360" s="2" t="e">
        <f ca="1">_xll.BDH($C$353,"TOTAL_ASSETS_SEQUENTIAL_GROWTH","FQ2 2015","FQ2 2015","Currency=INR","Period=FQ","BEST_FPERIOD_OVERRIDE=FQ","FILING_STATUS=OR","EQY_CONSOLIDATED=Y","Sort=A","Dates=H","DateFormat=P","Fill=—","Direction=H","UseDPDF=Y")</f>
        <v>#NAME?</v>
      </c>
      <c r="BP360" s="2" t="e">
        <f ca="1">_xll.BDH($C$353,"MODIFIED_WORKING_CPTL_SEQ_GRWTH","FQ2 2015","FQ2 2015","Currency=INR","Period=FQ","BEST_FPERIOD_OVERRIDE=FQ","FILING_STATUS=OR","EQY_CONSOLIDATED=Y","Sort=A","Dates=H","DateFormat=P","Fill=—","Direction=H","UseDPDF=Y")</f>
        <v>#NAME?</v>
      </c>
      <c r="BQ360" s="2" t="e">
        <f ca="1">_xll.BDH($C$353,"WORKING_CAPITAL_SEQ_GROWTH","FQ2 2015","FQ2 2015","Currency=INR","Period=FQ","BEST_FPERIOD_OVERRIDE=FQ","FILING_STATUS=OR","EQY_CONSOLIDATED=Y","Sort=A","Dates=H","DateFormat=P","Fill=—","Direction=H","UseDPDF=Y")</f>
        <v>#NAME?</v>
      </c>
      <c r="BR360" s="2" t="e">
        <f ca="1">_xll.BDH($C$353,"ACCOUNTS_PAYABLE_SEQ_GROWTH","FQ2 2015","FQ2 2015","Currency=INR","Period=FQ","BEST_FPERIOD_OVERRIDE=FQ","FILING_STATUS=OR","EQY_CONSOLIDATED=Y","Sort=A","Dates=H","DateFormat=P","Fill=—","Direction=H","UseDPDF=Y")</f>
        <v>#NAME?</v>
      </c>
      <c r="BS360" s="2" t="e">
        <f ca="1">_xll.BDH($C$353,"ST_DEBT_SEQUENTIAL_GROWTH","FQ2 2015","FQ2 2015","Currency=INR","Period=FQ","BEST_FPERIOD_OVERRIDE=FQ","FILING_STATUS=OR","EQY_CONSOLIDATED=Y","Sort=A","Dates=H","DateFormat=P","Fill=—","Direction=H","UseDPDF=Y")</f>
        <v>#NAME?</v>
      </c>
      <c r="BT360" s="2" t="e">
        <f ca="1">_xll.BDH($C$353,"TOTAL_DEBT_SEQUENTIAL_GROWTH","FQ2 2015","FQ2 2015","Currency=INR","Period=FQ","BEST_FPERIOD_OVERRIDE=FQ","FILING_STATUS=OR","EQY_CONSOLIDATED=Y","Sort=A","Dates=H","DateFormat=P","Fill=—","Direction=H","UseDPDF=Y")</f>
        <v>#NAME?</v>
      </c>
      <c r="BU360" s="2" t="e">
        <f ca="1">_xll.BDH($C$353,"TOTAL_EQUITY_SEQUENTIAL_GROWTH","FQ2 2015","FQ2 2015","Currency=INR","Period=FQ","BEST_FPERIOD_OVERRIDE=FQ","FILING_STATUS=OR","EQY_CONSOLIDATED=Y","Sort=A","Dates=H","DateFormat=P","Fill=—","Direction=H","UseDPDF=Y")</f>
        <v>#NAME?</v>
      </c>
      <c r="BV360" s="2" t="e">
        <f ca="1">_xll.BDH($C$353,"TOTAL_CAPITAL_SEQUENTIAL_GROWTH","FQ2 2015","FQ2 2015","Currency=INR","Period=FQ","BEST_FPERIOD_OVERRIDE=FQ","FILING_STATUS=OR","EQY_CONSOLIDATED=Y","Sort=A","Dates=H","DateFormat=P","Fill=—","Direction=H","UseDPDF=Y")</f>
        <v>#NAME?</v>
      </c>
      <c r="BW360" s="2" t="e">
        <f ca="1">_xll.BDH($C$353,"BPS_SEQUENTIAL_GROWTH","FQ2 2015","FQ2 2015","Currency=INR","Period=FQ","BEST_FPERIOD_OVERRIDE=FQ","FILING_STATUS=OR","EQY_CONSOLIDATED=Y","Sort=A","Dates=H","DateFormat=P","Fill=—","Direction=H","UseDPDF=Y")</f>
        <v>#NAME?</v>
      </c>
      <c r="BX360" s="2" t="e">
        <f ca="1">_xll.BDH($C$353,"CFO_SEQUENTIAL_GROWTH","FQ2 2015","FQ2 2015","Currency=INR","Period=FQ","BEST_FPERIOD_OVERRIDE=FQ","FILING_STATUS=OR","EQY_CONSOLIDATED=Y","Sort=A","Dates=H","DateFormat=P","Fill=—","Direction=H","UseDPDF=Y")</f>
        <v>#NAME?</v>
      </c>
      <c r="BY360" s="3" t="e">
        <f ca="1">_xll.BDH($C$353,"SHORT_AND_LONG_TERM_DEBT","FQ2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360" s="3" t="e">
        <f ca="1">_xll.BDH($C$353,"BS_ST_BORROW","FQ2 2015","FQ2 2015","Currency=INR","Period=FQ","BEST_FPERIOD_OVERRIDE=FQ","FILING_STATUS=OR","EQY_CONSOLIDATED=Y","SCALING_FORMAT=MLN","Sort=A","Dates=H","DateFormat=P","Fill=—","Direction=H","UseDPDF=Y")</f>
        <v>#NAME?</v>
      </c>
      <c r="CA360" s="3" t="e">
        <f ca="1">_xll.BDH($C$353,"BS_LT_BORROW","FQ2 2015","FQ2 2015","Currency=INR","Period=FQ","BEST_FPERIOD_OVERRIDE=FQ","FILING_STATUS=OR","EQY_CONSOLIDATED=Y","SCALING_FORMAT=MLN","Sort=A","Dates=H","DateFormat=P","Fill=—","Direction=H","UseDPDF=Y")</f>
        <v>#NAME?</v>
      </c>
      <c r="CB360" s="2" t="e">
        <f ca="1">_xll.BDH($C$353,"TOT_DEBT_TO_EBITDA","FQ2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360" s="2" t="e">
        <f ca="1">_xll.BDH($C$353,"NET_DEBT_TO_EBITDA","FQ2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360" s="2" t="e">
        <f ca="1">_xll.BDH($C$353,"TOTAL_DEBT_TO_EBIT","FQ2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360" s="2" t="e">
        <f ca="1">_xll.BDH($C$353,"NET_DEBT_TO_EBIT","FQ2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360" s="2" t="e">
        <f ca="1">_xll.BDH($C$353,"EBITDA_TO_INTEREST_EXPN","FQ2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360" s="2" t="e">
        <f ca="1">_xll.BDH($C$353,"COM_EQY_TO_TOT_ASSET","FQ2 2015","FQ2 2015","Currency=INR","Period=FQ","BEST_FPERIOD_OVERRIDE=FQ","FILING_STATUS=OR","EQY_CONSOLIDATED=Y","Sort=A","Dates=H","DateFormat=P","Fill=—","Direction=H","UseDPDF=Y")</f>
        <v>#NAME?</v>
      </c>
      <c r="CH360" s="2" t="e">
        <f ca="1">_xll.BDH($C$353,"LT_DEBT_TO_TOT_EQY","FQ2 2015","FQ2 2015","Currency=INR","Period=FQ","BEST_FPERIOD_OVERRIDE=FQ","FILING_STATUS=OR","EQY_CONSOLIDATED=Y","Sort=A","Dates=H","DateFormat=P","Fill=—","Direction=H","UseDPDF=Y")</f>
        <v>#NAME?</v>
      </c>
      <c r="CI360" s="2" t="e">
        <f ca="1">_xll.BDH($C$353,"LT_DEBT_TO_TOT_CAP","FQ2 2015","FQ2 2015","Currency=INR","Period=FQ","BEST_FPERIOD_OVERRIDE=FQ","FILING_STATUS=OR","EQY_CONSOLIDATED=Y","Sort=A","Dates=H","DateFormat=P","Fill=—","Direction=H","UseDPDF=Y")</f>
        <v>#NAME?</v>
      </c>
      <c r="CJ360" s="2" t="e">
        <f ca="1">_xll.BDH($C$353,"LT_DEBT_TO_TOT_ASSET","FQ2 2015","FQ2 2015","Currency=INR","Period=FQ","BEST_FPERIOD_OVERRIDE=FQ","FILING_STATUS=OR","EQY_CONSOLIDATED=Y","Sort=A","Dates=H","DateFormat=P","Fill=—","Direction=H","UseDPDF=Y")</f>
        <v>#NAME?</v>
      </c>
      <c r="CK360" s="2" t="e">
        <f ca="1">_xll.BDH($C$353,"TOT_DEBT_TO_TOT_EQY","FQ2 2015","FQ2 2015","Currency=INR","Period=FQ","BEST_FPERIOD_OVERRIDE=FQ","FILING_STATUS=OR","EQY_CONSOLIDATED=Y","Sort=A","Dates=H","DateFormat=P","Fill=—","Direction=H","UseDPDF=Y")</f>
        <v>#NAME?</v>
      </c>
      <c r="CL360" s="2" t="e">
        <f ca="1">_xll.BDH($C$353,"TOT_DEBT_TO_TOT_CAP","FQ2 2015","FQ2 2015","Currency=INR","Period=FQ","BEST_FPERIOD_OVERRIDE=FQ","FILING_STATUS=OR","EQY_CONSOLIDATED=Y","Sort=A","Dates=H","DateFormat=P","Fill=—","Direction=H","UseDPDF=Y")</f>
        <v>#NAME?</v>
      </c>
      <c r="CM360" s="2" t="e">
        <f ca="1">_xll.BDH($C$353,"TOT_DEBT_TO_TOT_ASSET","FQ2 2015","FQ2 2015","Currency=INR","Period=FQ","BEST_FPERIOD_OVERRIDE=FQ","FILING_STATUS=OR","EQY_CONSOLIDATED=Y","Sort=A","Dates=H","DateFormat=P","Fill=—","Direction=H","UseDPDF=Y")</f>
        <v>#NAME?</v>
      </c>
      <c r="CN360" s="2" t="e">
        <f ca="1">_xll.BDH($C$353,"NET_DEBT_TO_SHRHLDR_EQTY","FQ2 2015","FQ2 2015","Currency=INR","Period=FQ","BEST_FPERIOD_OVERRIDE=FQ","FILING_STATUS=OR","EQY_CONSOLIDATED=Y","Sort=A","Dates=H","DateFormat=P","Fill=—","Direction=H","UseDPDF=Y")</f>
        <v>#NAME?</v>
      </c>
      <c r="CO360" s="2" t="e">
        <f ca="1">_xll.BDH($C$353,"NET_DEBT_%_CAPITAL","FQ2 2015","FQ2 2015","Currency=INR","Period=FQ","BEST_FPERIOD_OVERRIDE=FQ","FILING_STATUS=OR","EQY_CONSOLIDATED=Y","Sort=A","Dates=H","DateFormat=P","Fill=—","Direction=H","UseDPDF=Y")</f>
        <v>#NAME?</v>
      </c>
      <c r="CP360" s="3" t="e">
        <f ca="1">_xll.BDH($C$353,"EBITDA","FQ2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360" s="3" t="e">
        <f ca="1">_xll.BDH($C$353,"EBITDA_AFTER_CAPEX","FQ2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360" s="3" t="e">
        <f ca="1">_xll.BDH($C$353,"IS_OPER_INC","FQ2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360" s="2" t="e">
        <f ca="1">_xll.BDH($C$353,"CASH_RATIO","FQ2 2015","FQ2 2015","Currency=INR","Period=FQ","BEST_FPERIOD_OVERRIDE=FQ","FILING_STATUS=OR","EQY_CONSOLIDATED=Y","Sort=A","Dates=H","DateFormat=P","Fill=—","Direction=H","UseDPDF=Y")</f>
        <v>#NAME?</v>
      </c>
      <c r="CT360" s="2" t="e">
        <f ca="1">_xll.BDH($C$353,"CUR_RATIO","FQ2 2015","FQ2 2015","Currency=INR","Period=FQ","BEST_FPERIOD_OVERRIDE=FQ","FILING_STATUS=OR","EQY_CONSOLIDATED=Y","Sort=A","Dates=H","DateFormat=P","Fill=—","Direction=H","UseDPDF=Y")</f>
        <v>#NAME?</v>
      </c>
      <c r="CU360" s="2" t="e">
        <f ca="1">_xll.BDH($C$353,"QUICK_RATIO","FQ2 2015","FQ2 2015","Currency=INR","Period=FQ","BEST_FPERIOD_OVERRIDE=FQ","FILING_STATUS=OR","EQY_CONSOLIDATED=Y","Sort=A","Dates=H","DateFormat=P","Fill=—","Direction=H","UseDPDF=Y")</f>
        <v>#NAME?</v>
      </c>
      <c r="CV360" s="2" t="e">
        <f ca="1">_xll.BDH($C$353,"ALTMAN_Z_SCORE","FQ2 2015","FQ2 2015","Currency=INR","Period=FQ","BEST_FPERIOD_OVERRIDE=FQ","FILING_STATUS=OR","EQY_CONSOLIDATED=Y","Sort=A","Dates=H","DateFormat=P","Fill=—","Direction=H","UseDPDF=Y")</f>
        <v>#NAME?</v>
      </c>
      <c r="CW360" s="4" t="e">
        <f ca="1">_xll.BDH($C$353,"ACCT_RCV_TURN","FQ2 2015","FQ2 2015","Currency=INR","Period=FQ","BEST_FPERIOD_OVERRIDE=FQ","FILING_STATUS=OR","EQY_CONSOLIDATED=Y","FA_ADJUSTED=GAAP","Sort=A","Dates=H","DateFormat=P","Fill=—","Direction=H","UseDPDF=Y")</f>
        <v>#NAME?</v>
      </c>
      <c r="CX360" s="2" t="e">
        <f ca="1">_xll.BDH($C$353,"ACCT_RCV_DAYS","FQ2 2015","FQ2 2015","Currency=INR","Period=FQ","BEST_FPERIOD_OVERRIDE=FQ","FILING_STATUS=OR","EQY_CONSOLIDATED=Y","FA_ADJUSTED=GAAP","Sort=A","Dates=H","DateFormat=P","Fill=—","Direction=H","UseDPDF=Y")</f>
        <v>#NAME?</v>
      </c>
      <c r="CY360" s="4" t="e">
        <f ca="1">_xll.BDH($C$353,"INVENT_TURN","FQ2 2015","FQ2 2015","Currency=INR","Period=FQ","BEST_FPERIOD_OVERRIDE=FQ","FILING_STATUS=OR","EQY_CONSOLIDATED=Y","FA_ADJUSTED=GAAP","Sort=A","Dates=H","DateFormat=P","Fill=—","Direction=H","UseDPDF=Y")</f>
        <v>#NAME?</v>
      </c>
      <c r="CZ360" s="2" t="e">
        <f ca="1">_xll.BDH($C$353,"INVENT_DAYS","FQ2 2015","FQ2 2015","Currency=INR","Period=FQ","BEST_FPERIOD_OVERRIDE=FQ","FILING_STATUS=OR","EQY_CONSOLIDATED=Y","FA_ADJUSTED=GAAP","Sort=A","Dates=H","DateFormat=P","Fill=—","Direction=H","UseDPDF=Y")</f>
        <v>#NAME?</v>
      </c>
      <c r="DA360" s="4" t="e">
        <f ca="1">_xll.BDH($C$353,"ACCOUNTS_PAYABLE_TURNOVER","FQ2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360" s="2" t="e">
        <f ca="1">_xll.BDH($C$353,"ACCOUNTS_PAYABLE_TURNOVER_DAYS","FQ2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360" s="4" t="e">
        <f ca="1">_xll.BDH($C$353,"CASH_CONVERSION_CYCLE","FQ2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360" s="4" t="e">
        <f ca="1">_xll.BDH($C$353,"INV_TO_CASH_DAYS","FQ2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360" s="5" t="e">
        <f ca="1">_xll.BDH($C$353,"BS_INVENTORIES","FQ2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360" s="3" t="e">
        <f ca="1">_xll.BDH($C$353,"INVTRY_RAW_MATERIALS","FQ2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360" s="3" t="e">
        <f ca="1">_xll.BDH($C$353,"INVTRY_IN_PROGRESS","FQ2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360" s="3" t="e">
        <f ca="1">_xll.BDH($C$353,"INVTRY_FINISHED_GOODS","FQ2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360" s="3" t="e">
        <f ca="1">_xll.BDH($C$353,"BS_OTHER_INV","FQ2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361" spans="1:113" x14ac:dyDescent="0.3">
      <c r="A361" s="6"/>
      <c r="B361" s="6"/>
      <c r="C361" s="6"/>
      <c r="D361" s="6"/>
      <c r="E361" t="s">
        <v>80</v>
      </c>
      <c r="F361" t="e">
        <f ca="1">_xll.BDH($C$353,"RETURN_COM_EQY","FQ3 2015","FQ3 2015","Currency=INR","Period=FQ","BEST_FPERIOD_OVERRIDE=FQ","FILING_STATUS=OR","EQY_CONSOLIDATED=Y","FA_ADJUSTED=GAAP","Sort=A","Dates=H","DateFormat=P","Fill=—","Direction=H","UseDPDF=Y")</f>
        <v>#NAME?</v>
      </c>
      <c r="G361" t="e">
        <f ca="1">_xll.BDH($C$353,"RETURN_ON_ASSET","FQ3 2015","FQ3 2015","Currency=INR","Period=FQ","BEST_FPERIOD_OVERRIDE=FQ","FILING_STATUS=OR","EQY_CONSOLIDATED=Y","FA_ADJUSTED=GAAP","Sort=A","Dates=H","DateFormat=P","Fill=—","Direction=H","UseDPDF=Y")</f>
        <v>#NAME?</v>
      </c>
      <c r="H361" t="e">
        <f ca="1">_xll.BDH($C$353,"RETURN_ON_CAP","FQ3 2015","FQ3 2015","Currency=INR","Period=FQ","BEST_FPERIOD_OVERRIDE=FQ","FILING_STATUS=OR","EQY_CONSOLIDATED=Y","FA_ADJUSTED=GAAP","Sort=A","Dates=H","DateFormat=P","Fill=—","Direction=H","UseDPDF=Y")</f>
        <v>#NAME?</v>
      </c>
      <c r="I361" t="e">
        <f ca="1">_xll.BDH($C$353,"RETURN_ON_INV_CAPITAL","FQ3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361" t="e">
        <f ca="1">_xll.BDH($C$353,"EBITDA_TO_REVENUE","FQ3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361" t="e">
        <f ca="1">_xll.BDH($C$353,"OPER_MARGIN","FQ3 2015","FQ3 2015","Currency=INR","Period=FQ","BEST_FPERIOD_OVERRIDE=FQ","FILING_STATUS=OR","EQY_CONSOLIDATED=Y","FA_ADJUSTED=GAAP","Sort=A","Dates=H","DateFormat=P","Fill=—","Direction=H","UseDPDF=Y")</f>
        <v>#NAME?</v>
      </c>
      <c r="L361" t="e">
        <f ca="1">_xll.BDH($C$353,"INCREMENTAL_OPERATING_MARGIN","FQ3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361" t="e">
        <f ca="1">_xll.BDH($C$353,"PRETAX_INC_TO_NET_SALES","FQ3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361" t="e">
        <f ca="1">_xll.BDH($C$353,"INC_BEF_XO_ITEMS_TO_NET_SALES","FQ3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361" t="e">
        <f ca="1">_xll.BDH($C$353,"PROF_MARGIN","FQ3 2015","FQ3 2015","Currency=INR","Period=FQ","BEST_FPERIOD_OVERRIDE=FQ","FILING_STATUS=OR","EQY_CONSOLIDATED=Y","FA_ADJUSTED=GAAP","Sort=A","Dates=H","DateFormat=P","Fill=—","Direction=H","UseDPDF=Y")</f>
        <v>#NAME?</v>
      </c>
      <c r="P361" t="e">
        <f ca="1">_xll.BDH($C$353,"NET_INCOME_TO_COMMON_MARGIN","FQ3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361" t="e">
        <f ca="1">_xll.BDH($C$353,"EFF_TAX_RATE","FQ3 2015","FQ3 2015","Currency=INR","Period=FQ","BEST_FPERIOD_OVERRIDE=FQ","FILING_STATUS=OR","EQY_CONSOLIDATED=Y","FA_ADJUSTED=GAAP","Sort=A","Dates=H","DateFormat=P","Fill=—","Direction=H","UseDPDF=Y")</f>
        <v>#NAME?</v>
      </c>
      <c r="R361" t="e">
        <f ca="1">_xll.BDH($C$353,"DVD_PAYOUT_RATIO","FQ3 2015","FQ3 2015","Currency=INR","Period=FQ","BEST_FPERIOD_OVERRIDE=FQ","FILING_STATUS=OR","EQY_CONSOLIDATED=Y","FA_ADJUSTED=GAAP","Sort=A","Dates=H","DateFormat=P","Fill=—","Direction=H","UseDPDF=Y")</f>
        <v>#NAME?</v>
      </c>
      <c r="S361" t="e">
        <f ca="1">_xll.BDH($C$353,"SUSTAIN_GROWTH_RT","FQ3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361" s="2" t="e">
        <f ca="1">_xll.BDH($C$353,"SALES_GROWTH","FQ3 2015","FQ3 2015","Currency=INR","Period=FQ","BEST_FPERIOD_OVERRIDE=FQ","FILING_STATUS=OR","EQY_CONSOLIDATED=Y","FA_ADJUSTED=GAAP","Sort=A","Dates=H","DateFormat=P","Fill=—","Direction=H","UseDPDF=Y")</f>
        <v>#NAME?</v>
      </c>
      <c r="U361" s="2" t="e">
        <f ca="1">_xll.BDH($C$353,"EBITDA_GROWTH","FQ3 2015","FQ3 2015","Currency=INR","Period=FQ","BEST_FPERIOD_OVERRIDE=FQ","FILING_STATUS=OR","EQY_CONSOLIDATED=Y","FA_ADJUSTED=GAAP","Sort=A","Dates=H","DateFormat=P","Fill=—","Direction=H","UseDPDF=Y")</f>
        <v>#NAME?</v>
      </c>
      <c r="V361" s="2" t="e">
        <f ca="1">_xll.BDH($C$353,"OPER_INC_GROWTH","FQ3 2015","FQ3 2015","Currency=INR","Period=FQ","BEST_FPERIOD_OVERRIDE=FQ","FILING_STATUS=OR","EQY_CONSOLIDATED=Y","FA_ADJUSTED=GAAP","Sort=A","Dates=H","DateFormat=P","Fill=—","Direction=H","UseDPDF=Y")</f>
        <v>#NAME?</v>
      </c>
      <c r="W361" s="2" t="e">
        <f ca="1">_xll.BDH($C$353,"EARN_FOR_COM_GROWTH","FQ3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361" s="2" t="e">
        <f ca="1">_xll.BDH($C$353,"DILUTED_EPS_AFT_XO_ITEMS_GROWTH","FQ3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361" s="2" t="e">
        <f ca="1">_xll.BDH($C$353,"DIVIDEND_PER_SHARE_1_YEAR_GROWTH","FQ3 2015","FQ3 2015","Currency=INR","Period=FQ","BEST_FPERIOD_OVERRIDE=FQ","FILING_STATUS=OR","EQY_CONSOLIDATED=Y","Sort=A","Dates=H","DateFormat=P","Fill=—","Direction=H","UseDPDF=Y")</f>
        <v>#NAME?</v>
      </c>
      <c r="Z361" s="2" t="e">
        <f ca="1">_xll.BDH($C$353,"ACCOUNTS_RECEIVABLE_GROWTH","FQ3 2015","FQ3 2015","Currency=INR","Period=FQ","BEST_FPERIOD_OVERRIDE=FQ","FILING_STATUS=OR","EQY_CONSOLIDATED=Y","Sort=A","Dates=H","DateFormat=P","Fill=—","Direction=H","UseDPDF=Y")</f>
        <v>#NAME?</v>
      </c>
      <c r="AA361" s="2" t="e">
        <f ca="1">_xll.BDH($C$353,"INVENTORY_GROWTH","FQ3 2015","FQ3 2015","Currency=INR","Period=FQ","BEST_FPERIOD_OVERRIDE=FQ","FILING_STATUS=OR","EQY_CONSOLIDATED=Y","Sort=A","Dates=H","DateFormat=P","Fill=—","Direction=H","UseDPDF=Y")</f>
        <v>#NAME?</v>
      </c>
      <c r="AB361" s="2" t="e">
        <f ca="1">_xll.BDH($C$353,"NET_FIXED_ASSETS_1_YEAR_GROWTH","FQ3 2015","FQ3 2015","Currency=INR","Period=FQ","BEST_FPERIOD_OVERRIDE=FQ","FILING_STATUS=OR","EQY_CONSOLIDATED=Y","Sort=A","Dates=H","DateFormat=P","Fill=—","Direction=H","UseDPDF=Y")</f>
        <v>#NAME?</v>
      </c>
      <c r="AC361" s="2" t="e">
        <f ca="1">_xll.BDH($C$353,"ASSET_GROWTH","FQ3 2015","FQ3 2015","Currency=INR","Period=FQ","BEST_FPERIOD_OVERRIDE=FQ","FILING_STATUS=OR","EQY_CONSOLIDATED=Y","Sort=A","Dates=H","DateFormat=P","Fill=—","Direction=H","UseDPDF=Y")</f>
        <v>#NAME?</v>
      </c>
      <c r="AD361" s="2" t="e">
        <f ca="1">_xll.BDH($C$353,"MODIFIED_WORK_CAP_GROWTH","FQ3 2015","FQ3 2015","Currency=INR","Period=FQ","BEST_FPERIOD_OVERRIDE=FQ","FILING_STATUS=OR","EQY_CONSOLIDATED=Y","Sort=A","Dates=H","DateFormat=P","Fill=—","Direction=H","UseDPDF=Y")</f>
        <v>#NAME?</v>
      </c>
      <c r="AE361" s="2" t="e">
        <f ca="1">_xll.BDH($C$353,"WORK_CAP_GROWTH","FQ3 2015","FQ3 2015","Currency=INR","Period=FQ","BEST_FPERIOD_OVERRIDE=FQ","FILING_STATUS=OR","EQY_CONSOLIDATED=Y","Sort=A","Dates=H","DateFormat=P","Fill=—","Direction=H","UseDPDF=Y")</f>
        <v>#NAME?</v>
      </c>
      <c r="AF361" s="2" t="e">
        <f ca="1">_xll.BDH($C$353,"ACCOUNTS_PAYABLE_GROWTH_1YR","FQ3 2015","FQ3 2015","Currency=INR","Period=FQ","BEST_FPERIOD_OVERRIDE=FQ","FILING_STATUS=OR","EQY_CONSOLIDATED=Y","Sort=A","Dates=H","DateFormat=P","Fill=—","Direction=H","UseDPDF=Y")</f>
        <v>#NAME?</v>
      </c>
      <c r="AG361" s="2" t="e">
        <f ca="1">_xll.BDH($C$353,"SHORT_TERM_DEBT_1_YEAR_GROWTH","FQ3 2015","FQ3 2015","Currency=INR","Period=FQ","BEST_FPERIOD_OVERRIDE=FQ","FILING_STATUS=OR","EQY_CONSOLIDATED=Y","Sort=A","Dates=H","DateFormat=P","Fill=—","Direction=H","UseDPDF=Y")</f>
        <v>#NAME?</v>
      </c>
      <c r="AH361" s="2" t="e">
        <f ca="1">_xll.BDH($C$353,"TOTAL_DEBT_1_YEAR_GROWTH","FQ3 2015","FQ3 2015","Currency=INR","Period=FQ","BEST_FPERIOD_OVERRIDE=FQ","FILING_STATUS=OR","EQY_CONSOLIDATED=Y","Sort=A","Dates=H","DateFormat=P","Fill=—","Direction=H","UseDPDF=Y")</f>
        <v>#NAME?</v>
      </c>
      <c r="AI361" s="2" t="e">
        <f ca="1">_xll.BDH($C$353,"TOTAL_EQUITY_1_YEAR_GROWTH","FQ3 2015","FQ3 2015","Currency=INR","Period=FQ","BEST_FPERIOD_OVERRIDE=FQ","FILING_STATUS=OR","EQY_CONSOLIDATED=Y","Sort=A","Dates=H","DateFormat=P","Fill=—","Direction=H","UseDPDF=Y")</f>
        <v>#NAME?</v>
      </c>
      <c r="AJ361" s="2" t="e">
        <f ca="1">_xll.BDH($C$353,"GROWTH_IN_CAP","FQ3 2015","FQ3 2015","Currency=INR","Period=FQ","BEST_FPERIOD_OVERRIDE=FQ","FILING_STATUS=OR","EQY_CONSOLIDATED=Y","Sort=A","Dates=H","DateFormat=P","Fill=—","Direction=H","UseDPDF=Y")</f>
        <v>#NAME?</v>
      </c>
      <c r="AK361" s="2" t="e">
        <f ca="1">_xll.BDH($C$353,"BVPS_GROWTH","FQ3 2015","FQ3 2015","Currency=INR","Period=FQ","BEST_FPERIOD_OVERRIDE=FQ","FILING_STATUS=OR","EQY_CONSOLIDATED=Y","Sort=A","Dates=H","DateFormat=P","Fill=—","Direction=H","UseDPDF=Y")</f>
        <v>#NAME?</v>
      </c>
      <c r="AL361" s="2" t="e">
        <f ca="1">_xll.BDH($C$353,"CASH_FLOW_GROWTH","FQ3 2015","FQ3 2015","Currency=INR","Period=FQ","BEST_FPERIOD_OVERRIDE=FQ","FILING_STATUS=OR","EQY_CONSOLIDATED=Y","Sort=A","Dates=H","DateFormat=P","Fill=—","Direction=H","UseDPDF=Y")</f>
        <v>#NAME?</v>
      </c>
      <c r="AM361" s="2" t="e">
        <f ca="1">_xll.BDH($C$353,"GEO_GROW_NET_SALES","FQ3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361" s="2" t="e">
        <f ca="1">_xll.BDH($C$353,"GEO_GROW_EBITDA","FQ3 2015","FQ3 2015","Currency=INR","Period=FQ","BEST_FPERIOD_OVERRIDE=FQ","FILING_STATUS=OR","EQY_CONSOLIDATED=Y","FA_ADJUSTED=GAAP","Sort=A","Dates=H","DateFormat=P","Fill=—","Direction=H","UseDPDF=Y")</f>
        <v>#NAME?</v>
      </c>
      <c r="AO361" s="2" t="e">
        <f ca="1">_xll.BDH($C$353,"GEO_GROW_OPER_INC","FQ3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361" s="2" t="e">
        <f ca="1">_xll.BDH($C$353,"NET_INCOME_TO_COMMON_5_YR_GROWTH","FQ3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361" s="2" t="e">
        <f ca="1">_xll.BDH($C$353,"5Y_GEO_GROWTH_DILUTED_EPS","FQ3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361" s="2" t="e">
        <f ca="1">_xll.BDH($C$353,"GEO_GROW_DVD_PER_SH","FQ3 2015","FQ3 2015","Currency=INR","Period=FQ","BEST_FPERIOD_OVERRIDE=FQ","FILING_STATUS=OR","EQY_CONSOLIDATED=Y","Sort=A","Dates=H","DateFormat=P","Fill=—","Direction=H","UseDPDF=Y")</f>
        <v>#NAME?</v>
      </c>
      <c r="AS361" s="2" t="e">
        <f ca="1">_xll.BDH($C$353,"ACCOUNTS_RECEIVABLE_5_YR_GROWTH","FQ3 2015","FQ3 2015","Currency=INR","Period=FQ","BEST_FPERIOD_OVERRIDE=FQ","FILING_STATUS=OR","EQY_CONSOLIDATED=Y","Sort=A","Dates=H","DateFormat=P","Fill=—","Direction=H","UseDPDF=Y")</f>
        <v>#NAME?</v>
      </c>
      <c r="AT361" s="2" t="e">
        <f ca="1">_xll.BDH($C$353,"INVENTORY_5_YEAR_GROWTH","FQ3 2015","FQ3 2015","Currency=INR","Period=FQ","BEST_FPERIOD_OVERRIDE=FQ","FILING_STATUS=OR","EQY_CONSOLIDATED=Y","Sort=A","Dates=H","DateFormat=P","Fill=—","Direction=H","UseDPDF=Y")</f>
        <v>#NAME?</v>
      </c>
      <c r="AU361" s="2" t="e">
        <f ca="1">_xll.BDH($C$353,"NET_FIXED_ASSETS_5_YEAR_GROWTH","FQ3 2015","FQ3 2015","Currency=INR","Period=FQ","BEST_FPERIOD_OVERRIDE=FQ","FILING_STATUS=OR","EQY_CONSOLIDATED=Y","Sort=A","Dates=H","DateFormat=P","Fill=—","Direction=H","UseDPDF=Y")</f>
        <v>#NAME?</v>
      </c>
      <c r="AV361" s="2" t="e">
        <f ca="1">_xll.BDH($C$353,"GEO_GROW_TOT_ASSET","FQ3 2015","FQ3 2015","Currency=INR","Period=FQ","BEST_FPERIOD_OVERRIDE=FQ","FILING_STATUS=OR","EQY_CONSOLIDATED=Y","Sort=A","Dates=H","DateFormat=P","Fill=—","Direction=H","UseDPDF=Y")</f>
        <v>#NAME?</v>
      </c>
      <c r="AW361" s="2" t="e">
        <f ca="1">_xll.BDH($C$353,"MODIFIED_WORKING_CPTL_5YR_GRWTH","FQ3 2015","FQ3 2015","Currency=INR","Period=FQ","BEST_FPERIOD_OVERRIDE=FQ","FILING_STATUS=OR","EQY_CONSOLIDATED=Y","Sort=A","Dates=H","DateFormat=P","Fill=—","Direction=H","UseDPDF=Y")</f>
        <v>#NAME?</v>
      </c>
      <c r="AX361" s="2" t="e">
        <f ca="1">_xll.BDH($C$353,"WORKING_CAPITAL_5_YEAR_GROWTH","FQ3 2015","FQ3 2015","Currency=INR","Period=FQ","BEST_FPERIOD_OVERRIDE=FQ","FILING_STATUS=OR","EQY_CONSOLIDATED=Y","Sort=A","Dates=H","DateFormat=P","Fill=—","Direction=H","UseDPDF=Y")</f>
        <v>#NAME?</v>
      </c>
      <c r="AY361" s="2" t="e">
        <f ca="1">_xll.BDH($C$353,"ACCOUNTS_PAYABLE_5_YEAR_GROWTH","FQ3 2015","FQ3 2015","Currency=INR","Period=FQ","BEST_FPERIOD_OVERRIDE=FQ","FILING_STATUS=OR","EQY_CONSOLIDATED=Y","Sort=A","Dates=H","DateFormat=P","Fill=—","Direction=H","UseDPDF=Y")</f>
        <v>#NAME?</v>
      </c>
      <c r="AZ361" s="2" t="e">
        <f ca="1">_xll.BDH($C$353,"SHORT_TERM_DEBT_5_YEAR_GROWTH","FQ3 2015","FQ3 2015","Currency=INR","Period=FQ","BEST_FPERIOD_OVERRIDE=FQ","FILING_STATUS=OR","EQY_CONSOLIDATED=Y","Sort=A","Dates=H","DateFormat=P","Fill=—","Direction=H","UseDPDF=Y")</f>
        <v>#NAME?</v>
      </c>
      <c r="BA361" s="2" t="e">
        <f ca="1">_xll.BDH($C$353,"TOTAL_DEBT_5_YEAR_GROWTH","FQ3 2015","FQ3 2015","Currency=INR","Period=FQ","BEST_FPERIOD_OVERRIDE=FQ","FILING_STATUS=OR","EQY_CONSOLIDATED=Y","Sort=A","Dates=H","DateFormat=P","Fill=—","Direction=H","UseDPDF=Y")</f>
        <v>#NAME?</v>
      </c>
      <c r="BB361" s="2" t="e">
        <f ca="1">_xll.BDH($C$353,"GEO_GROW_TOT_SHRHLDR_EQY","FQ3 2015","FQ3 2015","Currency=INR","Period=FQ","BEST_FPERIOD_OVERRIDE=FQ","FILING_STATUS=OR","EQY_CONSOLIDATED=Y","Sort=A","Dates=H","DateFormat=P","Fill=—","Direction=H","UseDPDF=Y")</f>
        <v>#NAME?</v>
      </c>
      <c r="BC361" s="2" t="e">
        <f ca="1">_xll.BDH($C$353,"TOTAL_CAPITAL_5_YEAR_GROWTH","FQ3 2015","FQ3 2015","Currency=INR","Period=FQ","BEST_FPERIOD_OVERRIDE=FQ","FILING_STATUS=OR","EQY_CONSOLIDATED=Y","Sort=A","Dates=H","DateFormat=P","Fill=—","Direction=H","UseDPDF=Y")</f>
        <v>#NAME?</v>
      </c>
      <c r="BD361" s="2" t="e">
        <f ca="1">_xll.BDH($C$353,"GEO_GROW_BOOK_VAL","FQ3 2015","FQ3 2015","Currency=INR","Period=FQ","BEST_FPERIOD_OVERRIDE=FQ","FILING_STATUS=OR","EQY_CONSOLIDATED=Y","Sort=A","Dates=H","DateFormat=P","Fill=—","Direction=H","UseDPDF=Y")</f>
        <v>#NAME?</v>
      </c>
      <c r="BE361" s="2" t="e">
        <f ca="1">_xll.BDH($C$353,"GEO_GROW_CASH_OPER_ACT","FQ3 2015","FQ3 2015","Currency=INR","Period=FQ","BEST_FPERIOD_OVERRIDE=FQ","FILING_STATUS=OR","EQY_CONSOLIDATED=Y","Sort=A","Dates=H","DateFormat=P","Fill=—","Direction=H","UseDPDF=Y")</f>
        <v>#NAME?</v>
      </c>
      <c r="BF361" s="2" t="e">
        <f ca="1">_xll.BDH($C$353,"REVENUE_SEQUENTIAL_GROWTH","FQ3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361" s="2" t="e">
        <f ca="1">_xll.BDH($C$353,"EBITDA_SEQUENTIAL_GROWTH","FQ3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361" s="2" t="e">
        <f ca="1">_xll.BDH($C$353,"OPERATING_INCOME_SEQ_GROWTH","FQ3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361" s="2" t="e">
        <f ca="1">_xll.BDH($C$353,"NET_INCOME_TO_COMMON_SEQ_GROWTH","FQ3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361" s="2" t="e">
        <f ca="1">_xll.BDH($C$353,"EPS_DILUTED_SEQUENTIAL_GROWTH","FQ3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361" s="2" t="e">
        <f ca="1">_xll.BDH($C$353,"DPS_SEQUENTIAL_GROWTH","FQ3 2015","FQ3 2015","Currency=INR","Period=FQ","BEST_FPERIOD_OVERRIDE=FQ","FILING_STATUS=OR","EQY_CONSOLIDATED=Y","Sort=A","Dates=H","DateFormat=P","Fill=—","Direction=H","UseDPDF=Y")</f>
        <v>#NAME?</v>
      </c>
      <c r="BL361" s="2" t="e">
        <f ca="1">_xll.BDH($C$353,"ACCOUNTS_RECEIVABLE_SEQ_GROWTH","FQ3 2015","FQ3 2015","Currency=INR","Period=FQ","BEST_FPERIOD_OVERRIDE=FQ","FILING_STATUS=OR","EQY_CONSOLIDATED=Y","Sort=A","Dates=H","DateFormat=P","Fill=—","Direction=H","UseDPDF=Y")</f>
        <v>#NAME?</v>
      </c>
      <c r="BM361" s="2" t="e">
        <f ca="1">_xll.BDH($C$353,"INVENTORY_SEQUENTIAL_GROWTH","FQ3 2015","FQ3 2015","Currency=INR","Period=FQ","BEST_FPERIOD_OVERRIDE=FQ","FILING_STATUS=OR","EQY_CONSOLIDATED=Y","Sort=A","Dates=H","DateFormat=P","Fill=—","Direction=H","UseDPDF=Y")</f>
        <v>#NAME?</v>
      </c>
      <c r="BN361" s="2" t="e">
        <f ca="1">_xll.BDH($C$353,"FIXED_ASSETS_SEQUENTIAL_GROWTH","FQ3 2015","FQ3 2015","Currency=INR","Period=FQ","BEST_FPERIOD_OVERRIDE=FQ","FILING_STATUS=OR","EQY_CONSOLIDATED=Y","Sort=A","Dates=H","DateFormat=P","Fill=—","Direction=H","UseDPDF=Y")</f>
        <v>#NAME?</v>
      </c>
      <c r="BO361" s="2" t="e">
        <f ca="1">_xll.BDH($C$353,"TOTAL_ASSETS_SEQUENTIAL_GROWTH","FQ3 2015","FQ3 2015","Currency=INR","Period=FQ","BEST_FPERIOD_OVERRIDE=FQ","FILING_STATUS=OR","EQY_CONSOLIDATED=Y","Sort=A","Dates=H","DateFormat=P","Fill=—","Direction=H","UseDPDF=Y")</f>
        <v>#NAME?</v>
      </c>
      <c r="BP361" s="2" t="e">
        <f ca="1">_xll.BDH($C$353,"MODIFIED_WORKING_CPTL_SEQ_GRWTH","FQ3 2015","FQ3 2015","Currency=INR","Period=FQ","BEST_FPERIOD_OVERRIDE=FQ","FILING_STATUS=OR","EQY_CONSOLIDATED=Y","Sort=A","Dates=H","DateFormat=P","Fill=—","Direction=H","UseDPDF=Y")</f>
        <v>#NAME?</v>
      </c>
      <c r="BQ361" s="2" t="e">
        <f ca="1">_xll.BDH($C$353,"WORKING_CAPITAL_SEQ_GROWTH","FQ3 2015","FQ3 2015","Currency=INR","Period=FQ","BEST_FPERIOD_OVERRIDE=FQ","FILING_STATUS=OR","EQY_CONSOLIDATED=Y","Sort=A","Dates=H","DateFormat=P","Fill=—","Direction=H","UseDPDF=Y")</f>
        <v>#NAME?</v>
      </c>
      <c r="BR361" s="2" t="e">
        <f ca="1">_xll.BDH($C$353,"ACCOUNTS_PAYABLE_SEQ_GROWTH","FQ3 2015","FQ3 2015","Currency=INR","Period=FQ","BEST_FPERIOD_OVERRIDE=FQ","FILING_STATUS=OR","EQY_CONSOLIDATED=Y","Sort=A","Dates=H","DateFormat=P","Fill=—","Direction=H","UseDPDF=Y")</f>
        <v>#NAME?</v>
      </c>
      <c r="BS361" s="2" t="e">
        <f ca="1">_xll.BDH($C$353,"ST_DEBT_SEQUENTIAL_GROWTH","FQ3 2015","FQ3 2015","Currency=INR","Period=FQ","BEST_FPERIOD_OVERRIDE=FQ","FILING_STATUS=OR","EQY_CONSOLIDATED=Y","Sort=A","Dates=H","DateFormat=P","Fill=—","Direction=H","UseDPDF=Y")</f>
        <v>#NAME?</v>
      </c>
      <c r="BT361" s="2" t="e">
        <f ca="1">_xll.BDH($C$353,"TOTAL_DEBT_SEQUENTIAL_GROWTH","FQ3 2015","FQ3 2015","Currency=INR","Period=FQ","BEST_FPERIOD_OVERRIDE=FQ","FILING_STATUS=OR","EQY_CONSOLIDATED=Y","Sort=A","Dates=H","DateFormat=P","Fill=—","Direction=H","UseDPDF=Y")</f>
        <v>#NAME?</v>
      </c>
      <c r="BU361" s="2" t="e">
        <f ca="1">_xll.BDH($C$353,"TOTAL_EQUITY_SEQUENTIAL_GROWTH","FQ3 2015","FQ3 2015","Currency=INR","Period=FQ","BEST_FPERIOD_OVERRIDE=FQ","FILING_STATUS=OR","EQY_CONSOLIDATED=Y","Sort=A","Dates=H","DateFormat=P","Fill=—","Direction=H","UseDPDF=Y")</f>
        <v>#NAME?</v>
      </c>
      <c r="BV361" s="2" t="e">
        <f ca="1">_xll.BDH($C$353,"TOTAL_CAPITAL_SEQUENTIAL_GROWTH","FQ3 2015","FQ3 2015","Currency=INR","Period=FQ","BEST_FPERIOD_OVERRIDE=FQ","FILING_STATUS=OR","EQY_CONSOLIDATED=Y","Sort=A","Dates=H","DateFormat=P","Fill=—","Direction=H","UseDPDF=Y")</f>
        <v>#NAME?</v>
      </c>
      <c r="BW361" s="2" t="e">
        <f ca="1">_xll.BDH($C$353,"BPS_SEQUENTIAL_GROWTH","FQ3 2015","FQ3 2015","Currency=INR","Period=FQ","BEST_FPERIOD_OVERRIDE=FQ","FILING_STATUS=OR","EQY_CONSOLIDATED=Y","Sort=A","Dates=H","DateFormat=P","Fill=—","Direction=H","UseDPDF=Y")</f>
        <v>#NAME?</v>
      </c>
      <c r="BX361" s="2" t="e">
        <f ca="1">_xll.BDH($C$353,"CFO_SEQUENTIAL_GROWTH","FQ3 2015","FQ3 2015","Currency=INR","Period=FQ","BEST_FPERIOD_OVERRIDE=FQ","FILING_STATUS=OR","EQY_CONSOLIDATED=Y","Sort=A","Dates=H","DateFormat=P","Fill=—","Direction=H","UseDPDF=Y")</f>
        <v>#NAME?</v>
      </c>
      <c r="BY361" s="3" t="e">
        <f ca="1">_xll.BDH($C$353,"SHORT_AND_LONG_TERM_DEBT","FQ3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361" s="3" t="e">
        <f ca="1">_xll.BDH($C$353,"BS_ST_BORROW","FQ3 2015","FQ3 2015","Currency=INR","Period=FQ","BEST_FPERIOD_OVERRIDE=FQ","FILING_STATUS=OR","EQY_CONSOLIDATED=Y","SCALING_FORMAT=MLN","Sort=A","Dates=H","DateFormat=P","Fill=—","Direction=H","UseDPDF=Y")</f>
        <v>#NAME?</v>
      </c>
      <c r="CA361" s="3" t="e">
        <f ca="1">_xll.BDH($C$353,"BS_LT_BORROW","FQ3 2015","FQ3 2015","Currency=INR","Period=FQ","BEST_FPERIOD_OVERRIDE=FQ","FILING_STATUS=OR","EQY_CONSOLIDATED=Y","SCALING_FORMAT=MLN","Sort=A","Dates=H","DateFormat=P","Fill=—","Direction=H","UseDPDF=Y")</f>
        <v>#NAME?</v>
      </c>
      <c r="CB361" s="2" t="e">
        <f ca="1">_xll.BDH($C$353,"TOT_DEBT_TO_EBITDA","FQ3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361" s="2" t="e">
        <f ca="1">_xll.BDH($C$353,"NET_DEBT_TO_EBITDA","FQ3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361" s="2" t="e">
        <f ca="1">_xll.BDH($C$353,"TOTAL_DEBT_TO_EBIT","FQ3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361" s="2" t="e">
        <f ca="1">_xll.BDH($C$353,"NET_DEBT_TO_EBIT","FQ3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361" s="2" t="e">
        <f ca="1">_xll.BDH($C$353,"EBITDA_TO_INTEREST_EXPN","FQ3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361" s="2" t="e">
        <f ca="1">_xll.BDH($C$353,"COM_EQY_TO_TOT_ASSET","FQ3 2015","FQ3 2015","Currency=INR","Period=FQ","BEST_FPERIOD_OVERRIDE=FQ","FILING_STATUS=OR","EQY_CONSOLIDATED=Y","Sort=A","Dates=H","DateFormat=P","Fill=—","Direction=H","UseDPDF=Y")</f>
        <v>#NAME?</v>
      </c>
      <c r="CH361" s="2" t="e">
        <f ca="1">_xll.BDH($C$353,"LT_DEBT_TO_TOT_EQY","FQ3 2015","FQ3 2015","Currency=INR","Period=FQ","BEST_FPERIOD_OVERRIDE=FQ","FILING_STATUS=OR","EQY_CONSOLIDATED=Y","Sort=A","Dates=H","DateFormat=P","Fill=—","Direction=H","UseDPDF=Y")</f>
        <v>#NAME?</v>
      </c>
      <c r="CI361" s="2" t="e">
        <f ca="1">_xll.BDH($C$353,"LT_DEBT_TO_TOT_CAP","FQ3 2015","FQ3 2015","Currency=INR","Period=FQ","BEST_FPERIOD_OVERRIDE=FQ","FILING_STATUS=OR","EQY_CONSOLIDATED=Y","Sort=A","Dates=H","DateFormat=P","Fill=—","Direction=H","UseDPDF=Y")</f>
        <v>#NAME?</v>
      </c>
      <c r="CJ361" s="2" t="e">
        <f ca="1">_xll.BDH($C$353,"LT_DEBT_TO_TOT_ASSET","FQ3 2015","FQ3 2015","Currency=INR","Period=FQ","BEST_FPERIOD_OVERRIDE=FQ","FILING_STATUS=OR","EQY_CONSOLIDATED=Y","Sort=A","Dates=H","DateFormat=P","Fill=—","Direction=H","UseDPDF=Y")</f>
        <v>#NAME?</v>
      </c>
      <c r="CK361" s="2" t="e">
        <f ca="1">_xll.BDH($C$353,"TOT_DEBT_TO_TOT_EQY","FQ3 2015","FQ3 2015","Currency=INR","Period=FQ","BEST_FPERIOD_OVERRIDE=FQ","FILING_STATUS=OR","EQY_CONSOLIDATED=Y","Sort=A","Dates=H","DateFormat=P","Fill=—","Direction=H","UseDPDF=Y")</f>
        <v>#NAME?</v>
      </c>
      <c r="CL361" s="2" t="e">
        <f ca="1">_xll.BDH($C$353,"TOT_DEBT_TO_TOT_CAP","FQ3 2015","FQ3 2015","Currency=INR","Period=FQ","BEST_FPERIOD_OVERRIDE=FQ","FILING_STATUS=OR","EQY_CONSOLIDATED=Y","Sort=A","Dates=H","DateFormat=P","Fill=—","Direction=H","UseDPDF=Y")</f>
        <v>#NAME?</v>
      </c>
      <c r="CM361" s="2" t="e">
        <f ca="1">_xll.BDH($C$353,"TOT_DEBT_TO_TOT_ASSET","FQ3 2015","FQ3 2015","Currency=INR","Period=FQ","BEST_FPERIOD_OVERRIDE=FQ","FILING_STATUS=OR","EQY_CONSOLIDATED=Y","Sort=A","Dates=H","DateFormat=P","Fill=—","Direction=H","UseDPDF=Y")</f>
        <v>#NAME?</v>
      </c>
      <c r="CN361" s="2" t="e">
        <f ca="1">_xll.BDH($C$353,"NET_DEBT_TO_SHRHLDR_EQTY","FQ3 2015","FQ3 2015","Currency=INR","Period=FQ","BEST_FPERIOD_OVERRIDE=FQ","FILING_STATUS=OR","EQY_CONSOLIDATED=Y","Sort=A","Dates=H","DateFormat=P","Fill=—","Direction=H","UseDPDF=Y")</f>
        <v>#NAME?</v>
      </c>
      <c r="CO361" s="2" t="e">
        <f ca="1">_xll.BDH($C$353,"NET_DEBT_%_CAPITAL","FQ3 2015","FQ3 2015","Currency=INR","Period=FQ","BEST_FPERIOD_OVERRIDE=FQ","FILING_STATUS=OR","EQY_CONSOLIDATED=Y","Sort=A","Dates=H","DateFormat=P","Fill=—","Direction=H","UseDPDF=Y")</f>
        <v>#NAME?</v>
      </c>
      <c r="CP361" s="3" t="e">
        <f ca="1">_xll.BDH($C$353,"EBITDA","FQ3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361" s="3" t="e">
        <f ca="1">_xll.BDH($C$353,"EBITDA_AFTER_CAPEX","FQ3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361" s="3" t="e">
        <f ca="1">_xll.BDH($C$353,"IS_OPER_INC","FQ3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361" s="2" t="e">
        <f ca="1">_xll.BDH($C$353,"CASH_RATIO","FQ3 2015","FQ3 2015","Currency=INR","Period=FQ","BEST_FPERIOD_OVERRIDE=FQ","FILING_STATUS=OR","EQY_CONSOLIDATED=Y","Sort=A","Dates=H","DateFormat=P","Fill=—","Direction=H","UseDPDF=Y")</f>
        <v>#NAME?</v>
      </c>
      <c r="CT361" s="2" t="e">
        <f ca="1">_xll.BDH($C$353,"CUR_RATIO","FQ3 2015","FQ3 2015","Currency=INR","Period=FQ","BEST_FPERIOD_OVERRIDE=FQ","FILING_STATUS=OR","EQY_CONSOLIDATED=Y","Sort=A","Dates=H","DateFormat=P","Fill=—","Direction=H","UseDPDF=Y")</f>
        <v>#NAME?</v>
      </c>
      <c r="CU361" s="2" t="e">
        <f ca="1">_xll.BDH($C$353,"QUICK_RATIO","FQ3 2015","FQ3 2015","Currency=INR","Period=FQ","BEST_FPERIOD_OVERRIDE=FQ","FILING_STATUS=OR","EQY_CONSOLIDATED=Y","Sort=A","Dates=H","DateFormat=P","Fill=—","Direction=H","UseDPDF=Y")</f>
        <v>#NAME?</v>
      </c>
      <c r="CV361" s="2" t="e">
        <f ca="1">_xll.BDH($C$353,"ALTMAN_Z_SCORE","FQ3 2015","FQ3 2015","Currency=INR","Period=FQ","BEST_FPERIOD_OVERRIDE=FQ","FILING_STATUS=OR","EQY_CONSOLIDATED=Y","Sort=A","Dates=H","DateFormat=P","Fill=—","Direction=H","UseDPDF=Y")</f>
        <v>#NAME?</v>
      </c>
      <c r="CW361" s="4" t="e">
        <f ca="1">_xll.BDH($C$353,"ACCT_RCV_TURN","FQ3 2015","FQ3 2015","Currency=INR","Period=FQ","BEST_FPERIOD_OVERRIDE=FQ","FILING_STATUS=OR","EQY_CONSOLIDATED=Y","FA_ADJUSTED=GAAP","Sort=A","Dates=H","DateFormat=P","Fill=—","Direction=H","UseDPDF=Y")</f>
        <v>#NAME?</v>
      </c>
      <c r="CX361" s="2" t="e">
        <f ca="1">_xll.BDH($C$353,"ACCT_RCV_DAYS","FQ3 2015","FQ3 2015","Currency=INR","Period=FQ","BEST_FPERIOD_OVERRIDE=FQ","FILING_STATUS=OR","EQY_CONSOLIDATED=Y","FA_ADJUSTED=GAAP","Sort=A","Dates=H","DateFormat=P","Fill=—","Direction=H","UseDPDF=Y")</f>
        <v>#NAME?</v>
      </c>
      <c r="CY361" s="4" t="e">
        <f ca="1">_xll.BDH($C$353,"INVENT_TURN","FQ3 2015","FQ3 2015","Currency=INR","Period=FQ","BEST_FPERIOD_OVERRIDE=FQ","FILING_STATUS=OR","EQY_CONSOLIDATED=Y","FA_ADJUSTED=GAAP","Sort=A","Dates=H","DateFormat=P","Fill=—","Direction=H","UseDPDF=Y")</f>
        <v>#NAME?</v>
      </c>
      <c r="CZ361" s="2" t="e">
        <f ca="1">_xll.BDH($C$353,"INVENT_DAYS","FQ3 2015","FQ3 2015","Currency=INR","Period=FQ","BEST_FPERIOD_OVERRIDE=FQ","FILING_STATUS=OR","EQY_CONSOLIDATED=Y","FA_ADJUSTED=GAAP","Sort=A","Dates=H","DateFormat=P","Fill=—","Direction=H","UseDPDF=Y")</f>
        <v>#NAME?</v>
      </c>
      <c r="DA361" s="4" t="e">
        <f ca="1">_xll.BDH($C$353,"ACCOUNTS_PAYABLE_TURNOVER","FQ3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361" s="2" t="e">
        <f ca="1">_xll.BDH($C$353,"ACCOUNTS_PAYABLE_TURNOVER_DAYS","FQ3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361" s="4" t="e">
        <f ca="1">_xll.BDH($C$353,"CASH_CONVERSION_CYCLE","FQ3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361" s="4" t="e">
        <f ca="1">_xll.BDH($C$353,"INV_TO_CASH_DAYS","FQ3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361" s="5" t="e">
        <f ca="1">_xll.BDH($C$353,"BS_INVENTORIES","FQ3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361" s="3" t="e">
        <f ca="1">_xll.BDH($C$353,"INVTRY_RAW_MATERIALS","FQ3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361" s="3" t="e">
        <f ca="1">_xll.BDH($C$353,"INVTRY_IN_PROGRESS","FQ3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361" s="3" t="e">
        <f ca="1">_xll.BDH($C$353,"INVTRY_FINISHED_GOODS","FQ3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361" s="3" t="e">
        <f ca="1">_xll.BDH($C$353,"BS_OTHER_INV","FQ3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362" spans="1:113" x14ac:dyDescent="0.3">
      <c r="A362" s="6"/>
      <c r="B362" s="6"/>
      <c r="C362" s="6"/>
      <c r="D362" s="6"/>
      <c r="E362" t="s">
        <v>81</v>
      </c>
      <c r="F362" t="e">
        <f ca="1">_xll.BDH($C$353,"RETURN_COM_EQY","FQ4 2015","FQ4 2015","Currency=INR","Period=FQ","BEST_FPERIOD_OVERRIDE=FQ","FILING_STATUS=OR","EQY_CONSOLIDATED=Y","FA_ADJUSTED=GAAP","Sort=A","Dates=H","DateFormat=P","Fill=—","Direction=H","UseDPDF=Y")</f>
        <v>#NAME?</v>
      </c>
      <c r="G362" t="e">
        <f ca="1">_xll.BDH($C$353,"RETURN_ON_ASSET","FQ4 2015","FQ4 2015","Currency=INR","Period=FQ","BEST_FPERIOD_OVERRIDE=FQ","FILING_STATUS=OR","EQY_CONSOLIDATED=Y","FA_ADJUSTED=GAAP","Sort=A","Dates=H","DateFormat=P","Fill=—","Direction=H","UseDPDF=Y")</f>
        <v>#NAME?</v>
      </c>
      <c r="H362" t="e">
        <f ca="1">_xll.BDH($C$353,"RETURN_ON_CAP","FQ4 2015","FQ4 2015","Currency=INR","Period=FQ","BEST_FPERIOD_OVERRIDE=FQ","FILING_STATUS=OR","EQY_CONSOLIDATED=Y","FA_ADJUSTED=GAAP","Sort=A","Dates=H","DateFormat=P","Fill=—","Direction=H","UseDPDF=Y")</f>
        <v>#NAME?</v>
      </c>
      <c r="I362" t="e">
        <f ca="1">_xll.BDH($C$353,"RETURN_ON_INV_CAPITAL","FQ4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362" t="e">
        <f ca="1">_xll.BDH($C$353,"EBITDA_TO_REVENUE","FQ4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362" t="e">
        <f ca="1">_xll.BDH($C$353,"OPER_MARGIN","FQ4 2015","FQ4 2015","Currency=INR","Period=FQ","BEST_FPERIOD_OVERRIDE=FQ","FILING_STATUS=OR","EQY_CONSOLIDATED=Y","FA_ADJUSTED=GAAP","Sort=A","Dates=H","DateFormat=P","Fill=—","Direction=H","UseDPDF=Y")</f>
        <v>#NAME?</v>
      </c>
      <c r="L362" t="e">
        <f ca="1">_xll.BDH($C$353,"INCREMENTAL_OPERATING_MARGIN","FQ4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362" t="e">
        <f ca="1">_xll.BDH($C$353,"PRETAX_INC_TO_NET_SALES","FQ4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362" t="e">
        <f ca="1">_xll.BDH($C$353,"INC_BEF_XO_ITEMS_TO_NET_SALES","FQ4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362" t="e">
        <f ca="1">_xll.BDH($C$353,"PROF_MARGIN","FQ4 2015","FQ4 2015","Currency=INR","Period=FQ","BEST_FPERIOD_OVERRIDE=FQ","FILING_STATUS=OR","EQY_CONSOLIDATED=Y","FA_ADJUSTED=GAAP","Sort=A","Dates=H","DateFormat=P","Fill=—","Direction=H","UseDPDF=Y")</f>
        <v>#NAME?</v>
      </c>
      <c r="P362" t="e">
        <f ca="1">_xll.BDH($C$353,"NET_INCOME_TO_COMMON_MARGIN","FQ4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362" t="e">
        <f ca="1">_xll.BDH($C$353,"EFF_TAX_RATE","FQ4 2015","FQ4 2015","Currency=INR","Period=FQ","BEST_FPERIOD_OVERRIDE=FQ","FILING_STATUS=OR","EQY_CONSOLIDATED=Y","FA_ADJUSTED=GAAP","Sort=A","Dates=H","DateFormat=P","Fill=—","Direction=H","UseDPDF=Y")</f>
        <v>#NAME?</v>
      </c>
      <c r="R362" t="e">
        <f ca="1">_xll.BDH($C$353,"DVD_PAYOUT_RATIO","FQ4 2015","FQ4 2015","Currency=INR","Period=FQ","BEST_FPERIOD_OVERRIDE=FQ","FILING_STATUS=OR","EQY_CONSOLIDATED=Y","FA_ADJUSTED=GAAP","Sort=A","Dates=H","DateFormat=P","Fill=—","Direction=H","UseDPDF=Y")</f>
        <v>#NAME?</v>
      </c>
      <c r="S362" t="e">
        <f ca="1">_xll.BDH($C$353,"SUSTAIN_GROWTH_RT","FQ4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362" s="2" t="e">
        <f ca="1">_xll.BDH($C$353,"SALES_GROWTH","FQ4 2015","FQ4 2015","Currency=INR","Period=FQ","BEST_FPERIOD_OVERRIDE=FQ","FILING_STATUS=OR","EQY_CONSOLIDATED=Y","FA_ADJUSTED=GAAP","Sort=A","Dates=H","DateFormat=P","Fill=—","Direction=H","UseDPDF=Y")</f>
        <v>#NAME?</v>
      </c>
      <c r="U362" s="2" t="e">
        <f ca="1">_xll.BDH($C$353,"EBITDA_GROWTH","FQ4 2015","FQ4 2015","Currency=INR","Period=FQ","BEST_FPERIOD_OVERRIDE=FQ","FILING_STATUS=OR","EQY_CONSOLIDATED=Y","FA_ADJUSTED=GAAP","Sort=A","Dates=H","DateFormat=P","Fill=—","Direction=H","UseDPDF=Y")</f>
        <v>#NAME?</v>
      </c>
      <c r="V362" s="2" t="e">
        <f ca="1">_xll.BDH($C$353,"OPER_INC_GROWTH","FQ4 2015","FQ4 2015","Currency=INR","Period=FQ","BEST_FPERIOD_OVERRIDE=FQ","FILING_STATUS=OR","EQY_CONSOLIDATED=Y","FA_ADJUSTED=GAAP","Sort=A","Dates=H","DateFormat=P","Fill=—","Direction=H","UseDPDF=Y")</f>
        <v>#NAME?</v>
      </c>
      <c r="W362" s="2" t="e">
        <f ca="1">_xll.BDH($C$353,"EARN_FOR_COM_GROWTH","FQ4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362" s="2" t="e">
        <f ca="1">_xll.BDH($C$353,"DILUTED_EPS_AFT_XO_ITEMS_GROWTH","FQ4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362" s="2" t="e">
        <f ca="1">_xll.BDH($C$353,"DIVIDEND_PER_SHARE_1_YEAR_GROWTH","FQ4 2015","FQ4 2015","Currency=INR","Period=FQ","BEST_FPERIOD_OVERRIDE=FQ","FILING_STATUS=OR","EQY_CONSOLIDATED=Y","Sort=A","Dates=H","DateFormat=P","Fill=—","Direction=H","UseDPDF=Y")</f>
        <v>#NAME?</v>
      </c>
      <c r="Z362" s="2" t="e">
        <f ca="1">_xll.BDH($C$353,"ACCOUNTS_RECEIVABLE_GROWTH","FQ4 2015","FQ4 2015","Currency=INR","Period=FQ","BEST_FPERIOD_OVERRIDE=FQ","FILING_STATUS=OR","EQY_CONSOLIDATED=Y","Sort=A","Dates=H","DateFormat=P","Fill=—","Direction=H","UseDPDF=Y")</f>
        <v>#NAME?</v>
      </c>
      <c r="AA362" s="2" t="e">
        <f ca="1">_xll.BDH($C$353,"INVENTORY_GROWTH","FQ4 2015","FQ4 2015","Currency=INR","Period=FQ","BEST_FPERIOD_OVERRIDE=FQ","FILING_STATUS=OR","EQY_CONSOLIDATED=Y","Sort=A","Dates=H","DateFormat=P","Fill=—","Direction=H","UseDPDF=Y")</f>
        <v>#NAME?</v>
      </c>
      <c r="AB362" s="2" t="e">
        <f ca="1">_xll.BDH($C$353,"NET_FIXED_ASSETS_1_YEAR_GROWTH","FQ4 2015","FQ4 2015","Currency=INR","Period=FQ","BEST_FPERIOD_OVERRIDE=FQ","FILING_STATUS=OR","EQY_CONSOLIDATED=Y","Sort=A","Dates=H","DateFormat=P","Fill=—","Direction=H","UseDPDF=Y")</f>
        <v>#NAME?</v>
      </c>
      <c r="AC362" s="2" t="e">
        <f ca="1">_xll.BDH($C$353,"ASSET_GROWTH","FQ4 2015","FQ4 2015","Currency=INR","Period=FQ","BEST_FPERIOD_OVERRIDE=FQ","FILING_STATUS=OR","EQY_CONSOLIDATED=Y","Sort=A","Dates=H","DateFormat=P","Fill=—","Direction=H","UseDPDF=Y")</f>
        <v>#NAME?</v>
      </c>
      <c r="AD362" s="2" t="e">
        <f ca="1">_xll.BDH($C$353,"MODIFIED_WORK_CAP_GROWTH","FQ4 2015","FQ4 2015","Currency=INR","Period=FQ","BEST_FPERIOD_OVERRIDE=FQ","FILING_STATUS=OR","EQY_CONSOLIDATED=Y","Sort=A","Dates=H","DateFormat=P","Fill=—","Direction=H","UseDPDF=Y")</f>
        <v>#NAME?</v>
      </c>
      <c r="AE362" s="2" t="e">
        <f ca="1">_xll.BDH($C$353,"WORK_CAP_GROWTH","FQ4 2015","FQ4 2015","Currency=INR","Period=FQ","BEST_FPERIOD_OVERRIDE=FQ","FILING_STATUS=OR","EQY_CONSOLIDATED=Y","Sort=A","Dates=H","DateFormat=P","Fill=—","Direction=H","UseDPDF=Y")</f>
        <v>#NAME?</v>
      </c>
      <c r="AF362" s="2" t="e">
        <f ca="1">_xll.BDH($C$353,"ACCOUNTS_PAYABLE_GROWTH_1YR","FQ4 2015","FQ4 2015","Currency=INR","Period=FQ","BEST_FPERIOD_OVERRIDE=FQ","FILING_STATUS=OR","EQY_CONSOLIDATED=Y","Sort=A","Dates=H","DateFormat=P","Fill=—","Direction=H","UseDPDF=Y")</f>
        <v>#NAME?</v>
      </c>
      <c r="AG362" s="2" t="e">
        <f ca="1">_xll.BDH($C$353,"SHORT_TERM_DEBT_1_YEAR_GROWTH","FQ4 2015","FQ4 2015","Currency=INR","Period=FQ","BEST_FPERIOD_OVERRIDE=FQ","FILING_STATUS=OR","EQY_CONSOLIDATED=Y","Sort=A","Dates=H","DateFormat=P","Fill=—","Direction=H","UseDPDF=Y")</f>
        <v>#NAME?</v>
      </c>
      <c r="AH362" s="2" t="e">
        <f ca="1">_xll.BDH($C$353,"TOTAL_DEBT_1_YEAR_GROWTH","FQ4 2015","FQ4 2015","Currency=INR","Period=FQ","BEST_FPERIOD_OVERRIDE=FQ","FILING_STATUS=OR","EQY_CONSOLIDATED=Y","Sort=A","Dates=H","DateFormat=P","Fill=—","Direction=H","UseDPDF=Y")</f>
        <v>#NAME?</v>
      </c>
      <c r="AI362" s="2" t="e">
        <f ca="1">_xll.BDH($C$353,"TOTAL_EQUITY_1_YEAR_GROWTH","FQ4 2015","FQ4 2015","Currency=INR","Period=FQ","BEST_FPERIOD_OVERRIDE=FQ","FILING_STATUS=OR","EQY_CONSOLIDATED=Y","Sort=A","Dates=H","DateFormat=P","Fill=—","Direction=H","UseDPDF=Y")</f>
        <v>#NAME?</v>
      </c>
      <c r="AJ362" s="2" t="e">
        <f ca="1">_xll.BDH($C$353,"GROWTH_IN_CAP","FQ4 2015","FQ4 2015","Currency=INR","Period=FQ","BEST_FPERIOD_OVERRIDE=FQ","FILING_STATUS=OR","EQY_CONSOLIDATED=Y","Sort=A","Dates=H","DateFormat=P","Fill=—","Direction=H","UseDPDF=Y")</f>
        <v>#NAME?</v>
      </c>
      <c r="AK362" s="2" t="e">
        <f ca="1">_xll.BDH($C$353,"BVPS_GROWTH","FQ4 2015","FQ4 2015","Currency=INR","Period=FQ","BEST_FPERIOD_OVERRIDE=FQ","FILING_STATUS=OR","EQY_CONSOLIDATED=Y","Sort=A","Dates=H","DateFormat=P","Fill=—","Direction=H","UseDPDF=Y")</f>
        <v>#NAME?</v>
      </c>
      <c r="AL362" s="2" t="e">
        <f ca="1">_xll.BDH($C$353,"CASH_FLOW_GROWTH","FQ4 2015","FQ4 2015","Currency=INR","Period=FQ","BEST_FPERIOD_OVERRIDE=FQ","FILING_STATUS=OR","EQY_CONSOLIDATED=Y","Sort=A","Dates=H","DateFormat=P","Fill=—","Direction=H","UseDPDF=Y")</f>
        <v>#NAME?</v>
      </c>
      <c r="AM362" s="2" t="e">
        <f ca="1">_xll.BDH($C$353,"GEO_GROW_NET_SALES","FQ4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362" s="2" t="e">
        <f ca="1">_xll.BDH($C$353,"GEO_GROW_EBITDA","FQ4 2015","FQ4 2015","Currency=INR","Period=FQ","BEST_FPERIOD_OVERRIDE=FQ","FILING_STATUS=OR","EQY_CONSOLIDATED=Y","FA_ADJUSTED=GAAP","Sort=A","Dates=H","DateFormat=P","Fill=—","Direction=H","UseDPDF=Y")</f>
        <v>#NAME?</v>
      </c>
      <c r="AO362" s="2" t="e">
        <f ca="1">_xll.BDH($C$353,"GEO_GROW_OPER_INC","FQ4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362" s="2" t="e">
        <f ca="1">_xll.BDH($C$353,"NET_INCOME_TO_COMMON_5_YR_GROWTH","FQ4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362" s="2" t="e">
        <f ca="1">_xll.BDH($C$353,"5Y_GEO_GROWTH_DILUTED_EPS","FQ4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362" s="2" t="e">
        <f ca="1">_xll.BDH($C$353,"GEO_GROW_DVD_PER_SH","FQ4 2015","FQ4 2015","Currency=INR","Period=FQ","BEST_FPERIOD_OVERRIDE=FQ","FILING_STATUS=OR","EQY_CONSOLIDATED=Y","Sort=A","Dates=H","DateFormat=P","Fill=—","Direction=H","UseDPDF=Y")</f>
        <v>#NAME?</v>
      </c>
      <c r="AS362" s="2" t="e">
        <f ca="1">_xll.BDH($C$353,"ACCOUNTS_RECEIVABLE_5_YR_GROWTH","FQ4 2015","FQ4 2015","Currency=INR","Period=FQ","BEST_FPERIOD_OVERRIDE=FQ","FILING_STATUS=OR","EQY_CONSOLIDATED=Y","Sort=A","Dates=H","DateFormat=P","Fill=—","Direction=H","UseDPDF=Y")</f>
        <v>#NAME?</v>
      </c>
      <c r="AT362" s="2" t="e">
        <f ca="1">_xll.BDH($C$353,"INVENTORY_5_YEAR_GROWTH","FQ4 2015","FQ4 2015","Currency=INR","Period=FQ","BEST_FPERIOD_OVERRIDE=FQ","FILING_STATUS=OR","EQY_CONSOLIDATED=Y","Sort=A","Dates=H","DateFormat=P","Fill=—","Direction=H","UseDPDF=Y")</f>
        <v>#NAME?</v>
      </c>
      <c r="AU362" s="2" t="e">
        <f ca="1">_xll.BDH($C$353,"NET_FIXED_ASSETS_5_YEAR_GROWTH","FQ4 2015","FQ4 2015","Currency=INR","Period=FQ","BEST_FPERIOD_OVERRIDE=FQ","FILING_STATUS=OR","EQY_CONSOLIDATED=Y","Sort=A","Dates=H","DateFormat=P","Fill=—","Direction=H","UseDPDF=Y")</f>
        <v>#NAME?</v>
      </c>
      <c r="AV362" s="2" t="e">
        <f ca="1">_xll.BDH($C$353,"GEO_GROW_TOT_ASSET","FQ4 2015","FQ4 2015","Currency=INR","Period=FQ","BEST_FPERIOD_OVERRIDE=FQ","FILING_STATUS=OR","EQY_CONSOLIDATED=Y","Sort=A","Dates=H","DateFormat=P","Fill=—","Direction=H","UseDPDF=Y")</f>
        <v>#NAME?</v>
      </c>
      <c r="AW362" s="2" t="e">
        <f ca="1">_xll.BDH($C$353,"MODIFIED_WORKING_CPTL_5YR_GRWTH","FQ4 2015","FQ4 2015","Currency=INR","Period=FQ","BEST_FPERIOD_OVERRIDE=FQ","FILING_STATUS=OR","EQY_CONSOLIDATED=Y","Sort=A","Dates=H","DateFormat=P","Fill=—","Direction=H","UseDPDF=Y")</f>
        <v>#NAME?</v>
      </c>
      <c r="AX362" s="2" t="e">
        <f ca="1">_xll.BDH($C$353,"WORKING_CAPITAL_5_YEAR_GROWTH","FQ4 2015","FQ4 2015","Currency=INR","Period=FQ","BEST_FPERIOD_OVERRIDE=FQ","FILING_STATUS=OR","EQY_CONSOLIDATED=Y","Sort=A","Dates=H","DateFormat=P","Fill=—","Direction=H","UseDPDF=Y")</f>
        <v>#NAME?</v>
      </c>
      <c r="AY362" s="2" t="e">
        <f ca="1">_xll.BDH($C$353,"ACCOUNTS_PAYABLE_5_YEAR_GROWTH","FQ4 2015","FQ4 2015","Currency=INR","Period=FQ","BEST_FPERIOD_OVERRIDE=FQ","FILING_STATUS=OR","EQY_CONSOLIDATED=Y","Sort=A","Dates=H","DateFormat=P","Fill=—","Direction=H","UseDPDF=Y")</f>
        <v>#NAME?</v>
      </c>
      <c r="AZ362" s="2" t="e">
        <f ca="1">_xll.BDH($C$353,"SHORT_TERM_DEBT_5_YEAR_GROWTH","FQ4 2015","FQ4 2015","Currency=INR","Period=FQ","BEST_FPERIOD_OVERRIDE=FQ","FILING_STATUS=OR","EQY_CONSOLIDATED=Y","Sort=A","Dates=H","DateFormat=P","Fill=—","Direction=H","UseDPDF=Y")</f>
        <v>#NAME?</v>
      </c>
      <c r="BA362" s="2" t="e">
        <f ca="1">_xll.BDH($C$353,"TOTAL_DEBT_5_YEAR_GROWTH","FQ4 2015","FQ4 2015","Currency=INR","Period=FQ","BEST_FPERIOD_OVERRIDE=FQ","FILING_STATUS=OR","EQY_CONSOLIDATED=Y","Sort=A","Dates=H","DateFormat=P","Fill=—","Direction=H","UseDPDF=Y")</f>
        <v>#NAME?</v>
      </c>
      <c r="BB362" s="2" t="e">
        <f ca="1">_xll.BDH($C$353,"GEO_GROW_TOT_SHRHLDR_EQY","FQ4 2015","FQ4 2015","Currency=INR","Period=FQ","BEST_FPERIOD_OVERRIDE=FQ","FILING_STATUS=OR","EQY_CONSOLIDATED=Y","Sort=A","Dates=H","DateFormat=P","Fill=—","Direction=H","UseDPDF=Y")</f>
        <v>#NAME?</v>
      </c>
      <c r="BC362" s="2" t="e">
        <f ca="1">_xll.BDH($C$353,"TOTAL_CAPITAL_5_YEAR_GROWTH","FQ4 2015","FQ4 2015","Currency=INR","Period=FQ","BEST_FPERIOD_OVERRIDE=FQ","FILING_STATUS=OR","EQY_CONSOLIDATED=Y","Sort=A","Dates=H","DateFormat=P","Fill=—","Direction=H","UseDPDF=Y")</f>
        <v>#NAME?</v>
      </c>
      <c r="BD362" s="2" t="e">
        <f ca="1">_xll.BDH($C$353,"GEO_GROW_BOOK_VAL","FQ4 2015","FQ4 2015","Currency=INR","Period=FQ","BEST_FPERIOD_OVERRIDE=FQ","FILING_STATUS=OR","EQY_CONSOLIDATED=Y","Sort=A","Dates=H","DateFormat=P","Fill=—","Direction=H","UseDPDF=Y")</f>
        <v>#NAME?</v>
      </c>
      <c r="BE362" s="2" t="e">
        <f ca="1">_xll.BDH($C$353,"GEO_GROW_CASH_OPER_ACT","FQ4 2015","FQ4 2015","Currency=INR","Period=FQ","BEST_FPERIOD_OVERRIDE=FQ","FILING_STATUS=OR","EQY_CONSOLIDATED=Y","Sort=A","Dates=H","DateFormat=P","Fill=—","Direction=H","UseDPDF=Y")</f>
        <v>#NAME?</v>
      </c>
      <c r="BF362" s="2" t="e">
        <f ca="1">_xll.BDH($C$353,"REVENUE_SEQUENTIAL_GROWTH","FQ4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362" s="2" t="e">
        <f ca="1">_xll.BDH($C$353,"EBITDA_SEQUENTIAL_GROWTH","FQ4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362" s="2" t="e">
        <f ca="1">_xll.BDH($C$353,"OPERATING_INCOME_SEQ_GROWTH","FQ4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362" s="2" t="e">
        <f ca="1">_xll.BDH($C$353,"NET_INCOME_TO_COMMON_SEQ_GROWTH","FQ4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362" s="2" t="e">
        <f ca="1">_xll.BDH($C$353,"EPS_DILUTED_SEQUENTIAL_GROWTH","FQ4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362" s="2" t="e">
        <f ca="1">_xll.BDH($C$353,"DPS_SEQUENTIAL_GROWTH","FQ4 2015","FQ4 2015","Currency=INR","Period=FQ","BEST_FPERIOD_OVERRIDE=FQ","FILING_STATUS=OR","EQY_CONSOLIDATED=Y","Sort=A","Dates=H","DateFormat=P","Fill=—","Direction=H","UseDPDF=Y")</f>
        <v>#NAME?</v>
      </c>
      <c r="BL362" s="2" t="e">
        <f ca="1">_xll.BDH($C$353,"ACCOUNTS_RECEIVABLE_SEQ_GROWTH","FQ4 2015","FQ4 2015","Currency=INR","Period=FQ","BEST_FPERIOD_OVERRIDE=FQ","FILING_STATUS=OR","EQY_CONSOLIDATED=Y","Sort=A","Dates=H","DateFormat=P","Fill=—","Direction=H","UseDPDF=Y")</f>
        <v>#NAME?</v>
      </c>
      <c r="BM362" s="2" t="e">
        <f ca="1">_xll.BDH($C$353,"INVENTORY_SEQUENTIAL_GROWTH","FQ4 2015","FQ4 2015","Currency=INR","Period=FQ","BEST_FPERIOD_OVERRIDE=FQ","FILING_STATUS=OR","EQY_CONSOLIDATED=Y","Sort=A","Dates=H","DateFormat=P","Fill=—","Direction=H","UseDPDF=Y")</f>
        <v>#NAME?</v>
      </c>
      <c r="BN362" s="2" t="e">
        <f ca="1">_xll.BDH($C$353,"FIXED_ASSETS_SEQUENTIAL_GROWTH","FQ4 2015","FQ4 2015","Currency=INR","Period=FQ","BEST_FPERIOD_OVERRIDE=FQ","FILING_STATUS=OR","EQY_CONSOLIDATED=Y","Sort=A","Dates=H","DateFormat=P","Fill=—","Direction=H","UseDPDF=Y")</f>
        <v>#NAME?</v>
      </c>
      <c r="BO362" s="2" t="e">
        <f ca="1">_xll.BDH($C$353,"TOTAL_ASSETS_SEQUENTIAL_GROWTH","FQ4 2015","FQ4 2015","Currency=INR","Period=FQ","BEST_FPERIOD_OVERRIDE=FQ","FILING_STATUS=OR","EQY_CONSOLIDATED=Y","Sort=A","Dates=H","DateFormat=P","Fill=—","Direction=H","UseDPDF=Y")</f>
        <v>#NAME?</v>
      </c>
      <c r="BP362" s="2" t="e">
        <f ca="1">_xll.BDH($C$353,"MODIFIED_WORKING_CPTL_SEQ_GRWTH","FQ4 2015","FQ4 2015","Currency=INR","Period=FQ","BEST_FPERIOD_OVERRIDE=FQ","FILING_STATUS=OR","EQY_CONSOLIDATED=Y","Sort=A","Dates=H","DateFormat=P","Fill=—","Direction=H","UseDPDF=Y")</f>
        <v>#NAME?</v>
      </c>
      <c r="BQ362" s="2" t="e">
        <f ca="1">_xll.BDH($C$353,"WORKING_CAPITAL_SEQ_GROWTH","FQ4 2015","FQ4 2015","Currency=INR","Period=FQ","BEST_FPERIOD_OVERRIDE=FQ","FILING_STATUS=OR","EQY_CONSOLIDATED=Y","Sort=A","Dates=H","DateFormat=P","Fill=—","Direction=H","UseDPDF=Y")</f>
        <v>#NAME?</v>
      </c>
      <c r="BR362" s="2" t="e">
        <f ca="1">_xll.BDH($C$353,"ACCOUNTS_PAYABLE_SEQ_GROWTH","FQ4 2015","FQ4 2015","Currency=INR","Period=FQ","BEST_FPERIOD_OVERRIDE=FQ","FILING_STATUS=OR","EQY_CONSOLIDATED=Y","Sort=A","Dates=H","DateFormat=P","Fill=—","Direction=H","UseDPDF=Y")</f>
        <v>#NAME?</v>
      </c>
      <c r="BS362" s="2" t="e">
        <f ca="1">_xll.BDH($C$353,"ST_DEBT_SEQUENTIAL_GROWTH","FQ4 2015","FQ4 2015","Currency=INR","Period=FQ","BEST_FPERIOD_OVERRIDE=FQ","FILING_STATUS=OR","EQY_CONSOLIDATED=Y","Sort=A","Dates=H","DateFormat=P","Fill=—","Direction=H","UseDPDF=Y")</f>
        <v>#NAME?</v>
      </c>
      <c r="BT362" s="2" t="e">
        <f ca="1">_xll.BDH($C$353,"TOTAL_DEBT_SEQUENTIAL_GROWTH","FQ4 2015","FQ4 2015","Currency=INR","Period=FQ","BEST_FPERIOD_OVERRIDE=FQ","FILING_STATUS=OR","EQY_CONSOLIDATED=Y","Sort=A","Dates=H","DateFormat=P","Fill=—","Direction=H","UseDPDF=Y")</f>
        <v>#NAME?</v>
      </c>
      <c r="BU362" s="2" t="e">
        <f ca="1">_xll.BDH($C$353,"TOTAL_EQUITY_SEQUENTIAL_GROWTH","FQ4 2015","FQ4 2015","Currency=INR","Period=FQ","BEST_FPERIOD_OVERRIDE=FQ","FILING_STATUS=OR","EQY_CONSOLIDATED=Y","Sort=A","Dates=H","DateFormat=P","Fill=—","Direction=H","UseDPDF=Y")</f>
        <v>#NAME?</v>
      </c>
      <c r="BV362" s="2" t="e">
        <f ca="1">_xll.BDH($C$353,"TOTAL_CAPITAL_SEQUENTIAL_GROWTH","FQ4 2015","FQ4 2015","Currency=INR","Period=FQ","BEST_FPERIOD_OVERRIDE=FQ","FILING_STATUS=OR","EQY_CONSOLIDATED=Y","Sort=A","Dates=H","DateFormat=P","Fill=—","Direction=H","UseDPDF=Y")</f>
        <v>#NAME?</v>
      </c>
      <c r="BW362" s="2" t="e">
        <f ca="1">_xll.BDH($C$353,"BPS_SEQUENTIAL_GROWTH","FQ4 2015","FQ4 2015","Currency=INR","Period=FQ","BEST_FPERIOD_OVERRIDE=FQ","FILING_STATUS=OR","EQY_CONSOLIDATED=Y","Sort=A","Dates=H","DateFormat=P","Fill=—","Direction=H","UseDPDF=Y")</f>
        <v>#NAME?</v>
      </c>
      <c r="BX362" s="2" t="e">
        <f ca="1">_xll.BDH($C$353,"CFO_SEQUENTIAL_GROWTH","FQ4 2015","FQ4 2015","Currency=INR","Period=FQ","BEST_FPERIOD_OVERRIDE=FQ","FILING_STATUS=OR","EQY_CONSOLIDATED=Y","Sort=A","Dates=H","DateFormat=P","Fill=—","Direction=H","UseDPDF=Y")</f>
        <v>#NAME?</v>
      </c>
      <c r="BY362" s="3" t="e">
        <f ca="1">_xll.BDH($C$353,"SHORT_AND_LONG_TERM_DEBT","FQ4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362" s="3" t="e">
        <f ca="1">_xll.BDH($C$353,"BS_ST_BORROW","FQ4 2015","FQ4 2015","Currency=INR","Period=FQ","BEST_FPERIOD_OVERRIDE=FQ","FILING_STATUS=OR","EQY_CONSOLIDATED=Y","SCALING_FORMAT=MLN","Sort=A","Dates=H","DateFormat=P","Fill=—","Direction=H","UseDPDF=Y")</f>
        <v>#NAME?</v>
      </c>
      <c r="CA362" s="3" t="e">
        <f ca="1">_xll.BDH($C$353,"BS_LT_BORROW","FQ4 2015","FQ4 2015","Currency=INR","Period=FQ","BEST_FPERIOD_OVERRIDE=FQ","FILING_STATUS=OR","EQY_CONSOLIDATED=Y","SCALING_FORMAT=MLN","Sort=A","Dates=H","DateFormat=P","Fill=—","Direction=H","UseDPDF=Y")</f>
        <v>#NAME?</v>
      </c>
      <c r="CB362" s="2" t="e">
        <f ca="1">_xll.BDH($C$353,"TOT_DEBT_TO_EBITDA","FQ4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362" s="2" t="e">
        <f ca="1">_xll.BDH($C$353,"NET_DEBT_TO_EBITDA","FQ4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362" s="2" t="e">
        <f ca="1">_xll.BDH($C$353,"TOTAL_DEBT_TO_EBIT","FQ4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362" s="2" t="e">
        <f ca="1">_xll.BDH($C$353,"NET_DEBT_TO_EBIT","FQ4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362" s="2" t="e">
        <f ca="1">_xll.BDH($C$353,"EBITDA_TO_INTEREST_EXPN","FQ4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362" s="2" t="e">
        <f ca="1">_xll.BDH($C$353,"COM_EQY_TO_TOT_ASSET","FQ4 2015","FQ4 2015","Currency=INR","Period=FQ","BEST_FPERIOD_OVERRIDE=FQ","FILING_STATUS=OR","EQY_CONSOLIDATED=Y","Sort=A","Dates=H","DateFormat=P","Fill=—","Direction=H","UseDPDF=Y")</f>
        <v>#NAME?</v>
      </c>
      <c r="CH362" s="2" t="e">
        <f ca="1">_xll.BDH($C$353,"LT_DEBT_TO_TOT_EQY","FQ4 2015","FQ4 2015","Currency=INR","Period=FQ","BEST_FPERIOD_OVERRIDE=FQ","FILING_STATUS=OR","EQY_CONSOLIDATED=Y","Sort=A","Dates=H","DateFormat=P","Fill=—","Direction=H","UseDPDF=Y")</f>
        <v>#NAME?</v>
      </c>
      <c r="CI362" s="2" t="e">
        <f ca="1">_xll.BDH($C$353,"LT_DEBT_TO_TOT_CAP","FQ4 2015","FQ4 2015","Currency=INR","Period=FQ","BEST_FPERIOD_OVERRIDE=FQ","FILING_STATUS=OR","EQY_CONSOLIDATED=Y","Sort=A","Dates=H","DateFormat=P","Fill=—","Direction=H","UseDPDF=Y")</f>
        <v>#NAME?</v>
      </c>
      <c r="CJ362" s="2" t="e">
        <f ca="1">_xll.BDH($C$353,"LT_DEBT_TO_TOT_ASSET","FQ4 2015","FQ4 2015","Currency=INR","Period=FQ","BEST_FPERIOD_OVERRIDE=FQ","FILING_STATUS=OR","EQY_CONSOLIDATED=Y","Sort=A","Dates=H","DateFormat=P","Fill=—","Direction=H","UseDPDF=Y")</f>
        <v>#NAME?</v>
      </c>
      <c r="CK362" s="2" t="e">
        <f ca="1">_xll.BDH($C$353,"TOT_DEBT_TO_TOT_EQY","FQ4 2015","FQ4 2015","Currency=INR","Period=FQ","BEST_FPERIOD_OVERRIDE=FQ","FILING_STATUS=OR","EQY_CONSOLIDATED=Y","Sort=A","Dates=H","DateFormat=P","Fill=—","Direction=H","UseDPDF=Y")</f>
        <v>#NAME?</v>
      </c>
      <c r="CL362" s="2" t="e">
        <f ca="1">_xll.BDH($C$353,"TOT_DEBT_TO_TOT_CAP","FQ4 2015","FQ4 2015","Currency=INR","Period=FQ","BEST_FPERIOD_OVERRIDE=FQ","FILING_STATUS=OR","EQY_CONSOLIDATED=Y","Sort=A","Dates=H","DateFormat=P","Fill=—","Direction=H","UseDPDF=Y")</f>
        <v>#NAME?</v>
      </c>
      <c r="CM362" s="2" t="e">
        <f ca="1">_xll.BDH($C$353,"TOT_DEBT_TO_TOT_ASSET","FQ4 2015","FQ4 2015","Currency=INR","Period=FQ","BEST_FPERIOD_OVERRIDE=FQ","FILING_STATUS=OR","EQY_CONSOLIDATED=Y","Sort=A","Dates=H","DateFormat=P","Fill=—","Direction=H","UseDPDF=Y")</f>
        <v>#NAME?</v>
      </c>
      <c r="CN362" s="2" t="e">
        <f ca="1">_xll.BDH($C$353,"NET_DEBT_TO_SHRHLDR_EQTY","FQ4 2015","FQ4 2015","Currency=INR","Period=FQ","BEST_FPERIOD_OVERRIDE=FQ","FILING_STATUS=OR","EQY_CONSOLIDATED=Y","Sort=A","Dates=H","DateFormat=P","Fill=—","Direction=H","UseDPDF=Y")</f>
        <v>#NAME?</v>
      </c>
      <c r="CO362" s="2" t="e">
        <f ca="1">_xll.BDH($C$353,"NET_DEBT_%_CAPITAL","FQ4 2015","FQ4 2015","Currency=INR","Period=FQ","BEST_FPERIOD_OVERRIDE=FQ","FILING_STATUS=OR","EQY_CONSOLIDATED=Y","Sort=A","Dates=H","DateFormat=P","Fill=—","Direction=H","UseDPDF=Y")</f>
        <v>#NAME?</v>
      </c>
      <c r="CP362" s="3" t="e">
        <f ca="1">_xll.BDH($C$353,"EBITDA","FQ4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362" s="3" t="e">
        <f ca="1">_xll.BDH($C$353,"EBITDA_AFTER_CAPEX","FQ4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362" s="3" t="e">
        <f ca="1">_xll.BDH($C$353,"IS_OPER_INC","FQ4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362" s="2" t="e">
        <f ca="1">_xll.BDH($C$353,"CASH_RATIO","FQ4 2015","FQ4 2015","Currency=INR","Period=FQ","BEST_FPERIOD_OVERRIDE=FQ","FILING_STATUS=OR","EQY_CONSOLIDATED=Y","Sort=A","Dates=H","DateFormat=P","Fill=—","Direction=H","UseDPDF=Y")</f>
        <v>#NAME?</v>
      </c>
      <c r="CT362" s="2" t="e">
        <f ca="1">_xll.BDH($C$353,"CUR_RATIO","FQ4 2015","FQ4 2015","Currency=INR","Period=FQ","BEST_FPERIOD_OVERRIDE=FQ","FILING_STATUS=OR","EQY_CONSOLIDATED=Y","Sort=A","Dates=H","DateFormat=P","Fill=—","Direction=H","UseDPDF=Y")</f>
        <v>#NAME?</v>
      </c>
      <c r="CU362" s="2" t="e">
        <f ca="1">_xll.BDH($C$353,"QUICK_RATIO","FQ4 2015","FQ4 2015","Currency=INR","Period=FQ","BEST_FPERIOD_OVERRIDE=FQ","FILING_STATUS=OR","EQY_CONSOLIDATED=Y","Sort=A","Dates=H","DateFormat=P","Fill=—","Direction=H","UseDPDF=Y")</f>
        <v>#NAME?</v>
      </c>
      <c r="CV362" s="2" t="e">
        <f ca="1">_xll.BDH($C$353,"ALTMAN_Z_SCORE","FQ4 2015","FQ4 2015","Currency=INR","Period=FQ","BEST_FPERIOD_OVERRIDE=FQ","FILING_STATUS=OR","EQY_CONSOLIDATED=Y","Sort=A","Dates=H","DateFormat=P","Fill=—","Direction=H","UseDPDF=Y")</f>
        <v>#NAME?</v>
      </c>
      <c r="CW362" s="4" t="e">
        <f ca="1">_xll.BDH($C$353,"ACCT_RCV_TURN","FQ4 2015","FQ4 2015","Currency=INR","Period=FQ","BEST_FPERIOD_OVERRIDE=FQ","FILING_STATUS=OR","EQY_CONSOLIDATED=Y","FA_ADJUSTED=GAAP","Sort=A","Dates=H","DateFormat=P","Fill=—","Direction=H","UseDPDF=Y")</f>
        <v>#NAME?</v>
      </c>
      <c r="CX362" s="2" t="e">
        <f ca="1">_xll.BDH($C$353,"ACCT_RCV_DAYS","FQ4 2015","FQ4 2015","Currency=INR","Period=FQ","BEST_FPERIOD_OVERRIDE=FQ","FILING_STATUS=OR","EQY_CONSOLIDATED=Y","FA_ADJUSTED=GAAP","Sort=A","Dates=H","DateFormat=P","Fill=—","Direction=H","UseDPDF=Y")</f>
        <v>#NAME?</v>
      </c>
      <c r="CY362" s="4" t="e">
        <f ca="1">_xll.BDH($C$353,"INVENT_TURN","FQ4 2015","FQ4 2015","Currency=INR","Period=FQ","BEST_FPERIOD_OVERRIDE=FQ","FILING_STATUS=OR","EQY_CONSOLIDATED=Y","FA_ADJUSTED=GAAP","Sort=A","Dates=H","DateFormat=P","Fill=—","Direction=H","UseDPDF=Y")</f>
        <v>#NAME?</v>
      </c>
      <c r="CZ362" s="2" t="e">
        <f ca="1">_xll.BDH($C$353,"INVENT_DAYS","FQ4 2015","FQ4 2015","Currency=INR","Period=FQ","BEST_FPERIOD_OVERRIDE=FQ","FILING_STATUS=OR","EQY_CONSOLIDATED=Y","FA_ADJUSTED=GAAP","Sort=A","Dates=H","DateFormat=P","Fill=—","Direction=H","UseDPDF=Y")</f>
        <v>#NAME?</v>
      </c>
      <c r="DA362" s="4" t="e">
        <f ca="1">_xll.BDH($C$353,"ACCOUNTS_PAYABLE_TURNOVER","FQ4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362" s="2" t="e">
        <f ca="1">_xll.BDH($C$353,"ACCOUNTS_PAYABLE_TURNOVER_DAYS","FQ4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362" s="4" t="e">
        <f ca="1">_xll.BDH($C$353,"CASH_CONVERSION_CYCLE","FQ4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362" s="4" t="e">
        <f ca="1">_xll.BDH($C$353,"INV_TO_CASH_DAYS","FQ4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362" s="5" t="e">
        <f ca="1">_xll.BDH($C$353,"BS_INVENTORIES","FQ4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362" s="3" t="e">
        <f ca="1">_xll.BDH($C$353,"INVTRY_RAW_MATERIALS","FQ4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362" s="3" t="e">
        <f ca="1">_xll.BDH($C$353,"INVTRY_IN_PROGRESS","FQ4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362" s="3" t="e">
        <f ca="1">_xll.BDH($C$353,"INVTRY_FINISHED_GOODS","FQ4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362" s="3" t="e">
        <f ca="1">_xll.BDH($C$353,"BS_OTHER_INV","FQ4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363" spans="1:113" x14ac:dyDescent="0.3">
      <c r="A363" s="6"/>
      <c r="B363" s="6"/>
      <c r="C363" s="6"/>
      <c r="D363" s="6" t="s">
        <v>83</v>
      </c>
      <c r="E363" t="s">
        <v>77</v>
      </c>
      <c r="F363" t="e">
        <f ca="1">_xll.BDH($C$353,"RETURN_COM_EQY","FY 2016","FY 2016","Currency=INR","Period=FY","BEST_FPERIOD_OVERRIDE=FY","FILING_STATUS=OR","EQY_CONSOLIDATED=Y","FA_ADJUSTED=GAAP","Sort=A","Dates=H","DateFormat=P","Fill=—","Direction=H","UseDPDF=Y")</f>
        <v>#NAME?</v>
      </c>
      <c r="G363" t="e">
        <f ca="1">_xll.BDH($C$353,"RETURN_ON_ASSET","FY 2016","FY 2016","Currency=INR","Period=FY","BEST_FPERIOD_OVERRIDE=FY","FILING_STATUS=OR","EQY_CONSOLIDATED=Y","FA_ADJUSTED=GAAP","Sort=A","Dates=H","DateFormat=P","Fill=—","Direction=H","UseDPDF=Y")</f>
        <v>#NAME?</v>
      </c>
      <c r="H363" t="e">
        <f ca="1">_xll.BDH($C$353,"RETURN_ON_CAP","FY 2016","FY 2016","Currency=INR","Period=FY","BEST_FPERIOD_OVERRIDE=FY","FILING_STATUS=OR","EQY_CONSOLIDATED=Y","FA_ADJUSTED=GAAP","Sort=A","Dates=H","DateFormat=P","Fill=—","Direction=H","UseDPDF=Y")</f>
        <v>#NAME?</v>
      </c>
      <c r="I363" t="e">
        <f ca="1">_xll.BDH($C$353,"RETURN_ON_INV_CAPITAL","FY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363" t="e">
        <f ca="1">_xll.BDH($C$353,"EBITDA_TO_REVENUE","FY 2016","FY 2016","Currency=INR","Period=FY","BEST_FPERIOD_OVERRIDE=FY","FILING_STATUS=OR","EQY_CONSOLIDATED=Y","FA_ADJUSTED=GAAP","Sort=A","Dates=H","DateFormat=P","Fill=—","Direction=H","UseDPDF=Y")</f>
        <v>#NAME?</v>
      </c>
      <c r="K363" t="e">
        <f ca="1">_xll.BDH($C$353,"OPER_MARGIN","FY 2016","FY 2016","Currency=INR","Period=FY","BEST_FPERIOD_OVERRIDE=FY","FILING_STATUS=OR","EQY_CONSOLIDATED=Y","FA_ADJUSTED=GAAP","Sort=A","Dates=H","DateFormat=P","Fill=—","Direction=H","UseDPDF=Y")</f>
        <v>#NAME?</v>
      </c>
      <c r="L363" t="e">
        <f ca="1">_xll.BDH($C$353,"INCREMENTAL_OPERATING_MARGIN","FY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363" t="e">
        <f ca="1">_xll.BDH($C$353,"PRETAX_INC_TO_NET_SALES","FY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363" t="e">
        <f ca="1">_xll.BDH($C$353,"INC_BEF_XO_ITEMS_TO_NET_SALES","FY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363" t="e">
        <f ca="1">_xll.BDH($C$353,"PROF_MARGIN","FY 2016","FY 2016","Currency=INR","Period=FY","BEST_FPERIOD_OVERRIDE=FY","FILING_STATUS=OR","EQY_CONSOLIDATED=Y","FA_ADJUSTED=GAAP","Sort=A","Dates=H","DateFormat=P","Fill=—","Direction=H","UseDPDF=Y")</f>
        <v>#NAME?</v>
      </c>
      <c r="P363" t="e">
        <f ca="1">_xll.BDH($C$353,"NET_INCOME_TO_COMMON_MARGIN","FY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363" t="e">
        <f ca="1">_xll.BDH($C$353,"EFF_TAX_RATE","FY 2016","FY 2016","Currency=INR","Period=FY","BEST_FPERIOD_OVERRIDE=FY","FILING_STATUS=OR","EQY_CONSOLIDATED=Y","FA_ADJUSTED=GAAP","Sort=A","Dates=H","DateFormat=P","Fill=—","Direction=H","UseDPDF=Y")</f>
        <v>#NAME?</v>
      </c>
      <c r="R363" t="e">
        <f ca="1">_xll.BDH($C$353,"DVD_PAYOUT_RATIO","FY 2016","FY 2016","Currency=INR","Period=FY","BEST_FPERIOD_OVERRIDE=FY","FILING_STATUS=OR","EQY_CONSOLIDATED=Y","FA_ADJUSTED=GAAP","Sort=A","Dates=H","DateFormat=P","Fill=—","Direction=H","UseDPDF=Y")</f>
        <v>#NAME?</v>
      </c>
      <c r="S363" t="e">
        <f ca="1">_xll.BDH($C$353,"SUSTAIN_GROWTH_RT","FY 2016","FY 2016","Currency=INR","Period=FY","BEST_FPERIOD_OVERRIDE=FY","FILING_STATUS=OR","EQY_CONSOLIDATED=Y","FA_ADJUSTED=GAAP","Sort=A","Dates=H","DateFormat=P","Fill=—","Direction=H","UseDPDF=Y")</f>
        <v>#NAME?</v>
      </c>
      <c r="T363" s="2" t="e">
        <f ca="1">_xll.BDH($C$353,"SALES_GROWTH","FY 2016","FY 2016","Currency=INR","Period=FY","BEST_FPERIOD_OVERRIDE=FY","FILING_STATUS=OR","EQY_CONSOLIDATED=Y","FA_ADJUSTED=GAAP","Sort=A","Dates=H","DateFormat=P","Fill=—","Direction=H","UseDPDF=Y")</f>
        <v>#NAME?</v>
      </c>
      <c r="U363" s="2" t="e">
        <f ca="1">_xll.BDH($C$353,"EBITDA_GROWTH","FY 2016","FY 2016","Currency=INR","Period=FY","BEST_FPERIOD_OVERRIDE=FY","FILING_STATUS=OR","EQY_CONSOLIDATED=Y","FA_ADJUSTED=GAAP","Sort=A","Dates=H","DateFormat=P","Fill=—","Direction=H","UseDPDF=Y")</f>
        <v>#NAME?</v>
      </c>
      <c r="V363" s="2" t="e">
        <f ca="1">_xll.BDH($C$353,"OPER_INC_GROWTH","FY 2016","FY 2016","Currency=INR","Period=FY","BEST_FPERIOD_OVERRIDE=FY","FILING_STATUS=OR","EQY_CONSOLIDATED=Y","FA_ADJUSTED=GAAP","Sort=A","Dates=H","DateFormat=P","Fill=—","Direction=H","UseDPDF=Y")</f>
        <v>#NAME?</v>
      </c>
      <c r="W363" s="2" t="e">
        <f ca="1">_xll.BDH($C$353,"EARN_FOR_COM_GROWTH","FY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363" s="2" t="e">
        <f ca="1">_xll.BDH($C$353,"DILUTED_EPS_AFT_XO_ITEMS_GROWTH","FY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363" s="2" t="e">
        <f ca="1">_xll.BDH($C$353,"DIVIDEND_PER_SHARE_1_YEAR_GROWTH","FY 2016","FY 2016","Currency=INR","Period=FY","BEST_FPERIOD_OVERRIDE=FY","FILING_STATUS=OR","EQY_CONSOLIDATED=Y","Sort=A","Dates=H","DateFormat=P","Fill=—","Direction=H","UseDPDF=Y")</f>
        <v>#NAME?</v>
      </c>
      <c r="Z363" s="2" t="e">
        <f ca="1">_xll.BDH($C$353,"ACCOUNTS_RECEIVABLE_GROWTH","FY 2016","FY 2016","Currency=INR","Period=FY","BEST_FPERIOD_OVERRIDE=FY","FILING_STATUS=OR","EQY_CONSOLIDATED=Y","Sort=A","Dates=H","DateFormat=P","Fill=—","Direction=H","UseDPDF=Y")</f>
        <v>#NAME?</v>
      </c>
      <c r="AA363" s="2" t="e">
        <f ca="1">_xll.BDH($C$353,"INVENTORY_GROWTH","FY 2016","FY 2016","Currency=INR","Period=FY","BEST_FPERIOD_OVERRIDE=FY","FILING_STATUS=OR","EQY_CONSOLIDATED=Y","Sort=A","Dates=H","DateFormat=P","Fill=—","Direction=H","UseDPDF=Y")</f>
        <v>#NAME?</v>
      </c>
      <c r="AB363" s="2" t="e">
        <f ca="1">_xll.BDH($C$353,"NET_FIXED_ASSETS_1_YEAR_GROWTH","FY 2016","FY 2016","Currency=INR","Period=FY","BEST_FPERIOD_OVERRIDE=FY","FILING_STATUS=OR","EQY_CONSOLIDATED=Y","Sort=A","Dates=H","DateFormat=P","Fill=—","Direction=H","UseDPDF=Y")</f>
        <v>#NAME?</v>
      </c>
      <c r="AC363" s="2" t="e">
        <f ca="1">_xll.BDH($C$353,"ASSET_GROWTH","FY 2016","FY 2016","Currency=INR","Period=FY","BEST_FPERIOD_OVERRIDE=FY","FILING_STATUS=OR","EQY_CONSOLIDATED=Y","Sort=A","Dates=H","DateFormat=P","Fill=—","Direction=H","UseDPDF=Y")</f>
        <v>#NAME?</v>
      </c>
      <c r="AD363" s="2" t="e">
        <f ca="1">_xll.BDH($C$353,"MODIFIED_WORK_CAP_GROWTH","FY 2016","FY 2016","Currency=INR","Period=FY","BEST_FPERIOD_OVERRIDE=FY","FILING_STATUS=OR","EQY_CONSOLIDATED=Y","Sort=A","Dates=H","DateFormat=P","Fill=—","Direction=H","UseDPDF=Y")</f>
        <v>#NAME?</v>
      </c>
      <c r="AE363" s="2" t="e">
        <f ca="1">_xll.BDH($C$353,"WORK_CAP_GROWTH","FY 2016","FY 2016","Currency=INR","Period=FY","BEST_FPERIOD_OVERRIDE=FY","FILING_STATUS=OR","EQY_CONSOLIDATED=Y","Sort=A","Dates=H","DateFormat=P","Fill=—","Direction=H","UseDPDF=Y")</f>
        <v>#NAME?</v>
      </c>
      <c r="AF363" s="2" t="e">
        <f ca="1">_xll.BDH($C$353,"ACCOUNTS_PAYABLE_GROWTH_1YR","FY 2016","FY 2016","Currency=INR","Period=FY","BEST_FPERIOD_OVERRIDE=FY","FILING_STATUS=OR","EQY_CONSOLIDATED=Y","Sort=A","Dates=H","DateFormat=P","Fill=—","Direction=H","UseDPDF=Y")</f>
        <v>#NAME?</v>
      </c>
      <c r="AG363" s="2" t="e">
        <f ca="1">_xll.BDH($C$353,"SHORT_TERM_DEBT_1_YEAR_GROWTH","FY 2016","FY 2016","Currency=INR","Period=FY","BEST_FPERIOD_OVERRIDE=FY","FILING_STATUS=OR","EQY_CONSOLIDATED=Y","Sort=A","Dates=H","DateFormat=P","Fill=—","Direction=H","UseDPDF=Y")</f>
        <v>#NAME?</v>
      </c>
      <c r="AH363" s="2" t="e">
        <f ca="1">_xll.BDH($C$353,"TOTAL_DEBT_1_YEAR_GROWTH","FY 2016","FY 2016","Currency=INR","Period=FY","BEST_FPERIOD_OVERRIDE=FY","FILING_STATUS=OR","EQY_CONSOLIDATED=Y","Sort=A","Dates=H","DateFormat=P","Fill=—","Direction=H","UseDPDF=Y")</f>
        <v>#NAME?</v>
      </c>
      <c r="AI363" s="2" t="e">
        <f ca="1">_xll.BDH($C$353,"TOTAL_EQUITY_1_YEAR_GROWTH","FY 2016","FY 2016","Currency=INR","Period=FY","BEST_FPERIOD_OVERRIDE=FY","FILING_STATUS=OR","EQY_CONSOLIDATED=Y","Sort=A","Dates=H","DateFormat=P","Fill=—","Direction=H","UseDPDF=Y")</f>
        <v>#NAME?</v>
      </c>
      <c r="AJ363" s="2" t="e">
        <f ca="1">_xll.BDH($C$353,"GROWTH_IN_CAP","FY 2016","FY 2016","Currency=INR","Period=FY","BEST_FPERIOD_OVERRIDE=FY","FILING_STATUS=OR","EQY_CONSOLIDATED=Y","Sort=A","Dates=H","DateFormat=P","Fill=—","Direction=H","UseDPDF=Y")</f>
        <v>#NAME?</v>
      </c>
      <c r="AK363" s="2" t="e">
        <f ca="1">_xll.BDH($C$353,"BVPS_GROWTH","FY 2016","FY 2016","Currency=INR","Period=FY","BEST_FPERIOD_OVERRIDE=FY","FILING_STATUS=OR","EQY_CONSOLIDATED=Y","Sort=A","Dates=H","DateFormat=P","Fill=—","Direction=H","UseDPDF=Y")</f>
        <v>#NAME?</v>
      </c>
      <c r="AL363" s="2" t="e">
        <f ca="1">_xll.BDH($C$353,"CASH_FLOW_GROWTH","FY 2016","FY 2016","Currency=INR","Period=FY","BEST_FPERIOD_OVERRIDE=FY","FILING_STATUS=OR","EQY_CONSOLIDATED=Y","Sort=A","Dates=H","DateFormat=P","Fill=—","Direction=H","UseDPDF=Y")</f>
        <v>#NAME?</v>
      </c>
      <c r="AM363" s="2" t="e">
        <f ca="1">_xll.BDH($C$353,"GEO_GROW_NET_SALES","FY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363" s="2" t="e">
        <f ca="1">_xll.BDH($C$353,"GEO_GROW_EBITDA","FY 2016","FY 2016","Currency=INR","Period=FY","BEST_FPERIOD_OVERRIDE=FY","FILING_STATUS=OR","EQY_CONSOLIDATED=Y","FA_ADJUSTED=GAAP","Sort=A","Dates=H","DateFormat=P","Fill=—","Direction=H","UseDPDF=Y")</f>
        <v>#NAME?</v>
      </c>
      <c r="AO363" s="2" t="e">
        <f ca="1">_xll.BDH($C$353,"GEO_GROW_OPER_INC","FY 2016","FY 2016","Currency=INR","Period=FY","BEST_FPERIOD_OVERRIDE=FY","FILING_STATUS=OR","EQY_CONSOLIDATED=Y","FA_ADJUSTED=GAAP","Sort=A","Dates=H","DateFormat=P","Fill=—","Direction=H","UseDPDF=Y")</f>
        <v>#NAME?</v>
      </c>
      <c r="AP363" s="2" t="e">
        <f ca="1">_xll.BDH($C$353,"NET_INCOME_TO_COMMON_5_YR_GROWTH","FY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363" s="2" t="e">
        <f ca="1">_xll.BDH($C$353,"5Y_GEO_GROWTH_DILUTED_EPS","FY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363" s="2" t="e">
        <f ca="1">_xll.BDH($C$353,"GEO_GROW_DVD_PER_SH","FY 2016","FY 2016","Currency=INR","Period=FY","BEST_FPERIOD_OVERRIDE=FY","FILING_STATUS=OR","EQY_CONSOLIDATED=Y","Sort=A","Dates=H","DateFormat=P","Fill=—","Direction=H","UseDPDF=Y")</f>
        <v>#NAME?</v>
      </c>
      <c r="AS363" s="2" t="e">
        <f ca="1">_xll.BDH($C$353,"ACCOUNTS_RECEIVABLE_5_YR_GROWTH","FY 2016","FY 2016","Currency=INR","Period=FY","BEST_FPERIOD_OVERRIDE=FY","FILING_STATUS=OR","EQY_CONSOLIDATED=Y","Sort=A","Dates=H","DateFormat=P","Fill=—","Direction=H","UseDPDF=Y")</f>
        <v>#NAME?</v>
      </c>
      <c r="AT363" s="2" t="e">
        <f ca="1">_xll.BDH($C$353,"INVENTORY_5_YEAR_GROWTH","FY 2016","FY 2016","Currency=INR","Period=FY","BEST_FPERIOD_OVERRIDE=FY","FILING_STATUS=OR","EQY_CONSOLIDATED=Y","Sort=A","Dates=H","DateFormat=P","Fill=—","Direction=H","UseDPDF=Y")</f>
        <v>#NAME?</v>
      </c>
      <c r="AU363" s="2" t="e">
        <f ca="1">_xll.BDH($C$353,"NET_FIXED_ASSETS_5_YEAR_GROWTH","FY 2016","FY 2016","Currency=INR","Period=FY","BEST_FPERIOD_OVERRIDE=FY","FILING_STATUS=OR","EQY_CONSOLIDATED=Y","Sort=A","Dates=H","DateFormat=P","Fill=—","Direction=H","UseDPDF=Y")</f>
        <v>#NAME?</v>
      </c>
      <c r="AV363" s="2" t="e">
        <f ca="1">_xll.BDH($C$353,"GEO_GROW_TOT_ASSET","FY 2016","FY 2016","Currency=INR","Period=FY","BEST_FPERIOD_OVERRIDE=FY","FILING_STATUS=OR","EQY_CONSOLIDATED=Y","Sort=A","Dates=H","DateFormat=P","Fill=—","Direction=H","UseDPDF=Y")</f>
        <v>#NAME?</v>
      </c>
      <c r="AW363" s="2" t="e">
        <f ca="1">_xll.BDH($C$353,"MODIFIED_WORKING_CPTL_5YR_GRWTH","FY 2016","FY 2016","Currency=INR","Period=FY","BEST_FPERIOD_OVERRIDE=FY","FILING_STATUS=OR","EQY_CONSOLIDATED=Y","Sort=A","Dates=H","DateFormat=P","Fill=—","Direction=H","UseDPDF=Y")</f>
        <v>#NAME?</v>
      </c>
      <c r="AX363" s="2" t="e">
        <f ca="1">_xll.BDH($C$353,"WORKING_CAPITAL_5_YEAR_GROWTH","FY 2016","FY 2016","Currency=INR","Period=FY","BEST_FPERIOD_OVERRIDE=FY","FILING_STATUS=OR","EQY_CONSOLIDATED=Y","Sort=A","Dates=H","DateFormat=P","Fill=—","Direction=H","UseDPDF=Y")</f>
        <v>#NAME?</v>
      </c>
      <c r="AY363" s="2" t="e">
        <f ca="1">_xll.BDH($C$353,"ACCOUNTS_PAYABLE_5_YEAR_GROWTH","FY 2016","FY 2016","Currency=INR","Period=FY","BEST_FPERIOD_OVERRIDE=FY","FILING_STATUS=OR","EQY_CONSOLIDATED=Y","Sort=A","Dates=H","DateFormat=P","Fill=—","Direction=H","UseDPDF=Y")</f>
        <v>#NAME?</v>
      </c>
      <c r="AZ363" s="2" t="e">
        <f ca="1">_xll.BDH($C$353,"SHORT_TERM_DEBT_5_YEAR_GROWTH","FY 2016","FY 2016","Currency=INR","Period=FY","BEST_FPERIOD_OVERRIDE=FY","FILING_STATUS=OR","EQY_CONSOLIDATED=Y","Sort=A","Dates=H","DateFormat=P","Fill=—","Direction=H","UseDPDF=Y")</f>
        <v>#NAME?</v>
      </c>
      <c r="BA363" s="2" t="e">
        <f ca="1">_xll.BDH($C$353,"TOTAL_DEBT_5_YEAR_GROWTH","FY 2016","FY 2016","Currency=INR","Period=FY","BEST_FPERIOD_OVERRIDE=FY","FILING_STATUS=OR","EQY_CONSOLIDATED=Y","Sort=A","Dates=H","DateFormat=P","Fill=—","Direction=H","UseDPDF=Y")</f>
        <v>#NAME?</v>
      </c>
      <c r="BB363" s="2" t="e">
        <f ca="1">_xll.BDH($C$353,"GEO_GROW_TOT_SHRHLDR_EQY","FY 2016","FY 2016","Currency=INR","Period=FY","BEST_FPERIOD_OVERRIDE=FY","FILING_STATUS=OR","EQY_CONSOLIDATED=Y","Sort=A","Dates=H","DateFormat=P","Fill=—","Direction=H","UseDPDF=Y")</f>
        <v>#NAME?</v>
      </c>
      <c r="BC363" s="2" t="e">
        <f ca="1">_xll.BDH($C$353,"TOTAL_CAPITAL_5_YEAR_GROWTH","FY 2016","FY 2016","Currency=INR","Period=FY","BEST_FPERIOD_OVERRIDE=FY","FILING_STATUS=OR","EQY_CONSOLIDATED=Y","Sort=A","Dates=H","DateFormat=P","Fill=—","Direction=H","UseDPDF=Y")</f>
        <v>#NAME?</v>
      </c>
      <c r="BD363" s="2" t="e">
        <f ca="1">_xll.BDH($C$353,"GEO_GROW_BOOK_VAL","FY 2016","FY 2016","Currency=INR","Period=FY","BEST_FPERIOD_OVERRIDE=FY","FILING_STATUS=OR","EQY_CONSOLIDATED=Y","Sort=A","Dates=H","DateFormat=P","Fill=—","Direction=H","UseDPDF=Y")</f>
        <v>#NAME?</v>
      </c>
      <c r="BE363" s="2" t="e">
        <f ca="1">_xll.BDH($C$353,"GEO_GROW_CASH_OPER_ACT","FY 2016","FY 2016","Currency=INR","Period=FY","BEST_FPERIOD_OVERRIDE=FY","FILING_STATUS=OR","EQY_CONSOLIDATED=Y","Sort=A","Dates=H","DateFormat=P","Fill=—","Direction=H","UseDPDF=Y")</f>
        <v>#NAME?</v>
      </c>
      <c r="BF363" s="2" t="e">
        <f ca="1">_xll.BDH($C$353,"REVENUE_SEQUENTIAL_GROWTH","FY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363" s="2" t="e">
        <f ca="1">_xll.BDH($C$353,"EBITDA_SEQUENTIAL_GROWTH","FY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363" s="2" t="e">
        <f ca="1">_xll.BDH($C$353,"OPERATING_INCOME_SEQ_GROWTH","FY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363" s="2" t="e">
        <f ca="1">_xll.BDH($C$353,"NET_INCOME_TO_COMMON_SEQ_GROWTH","FY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363" s="2" t="e">
        <f ca="1">_xll.BDH($C$353,"EPS_DILUTED_SEQUENTIAL_GROWTH","FY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363" s="2" t="e">
        <f ca="1">_xll.BDH($C$353,"DPS_SEQUENTIAL_GROWTH","FY 2016","FY 2016","Currency=INR","Period=FY","BEST_FPERIOD_OVERRIDE=FY","FILING_STATUS=OR","EQY_CONSOLIDATED=Y","Sort=A","Dates=H","DateFormat=P","Fill=—","Direction=H","UseDPDF=Y")</f>
        <v>#NAME?</v>
      </c>
      <c r="BL363" s="2" t="e">
        <f ca="1">_xll.BDH($C$353,"ACCOUNTS_RECEIVABLE_SEQ_GROWTH","FY 2016","FY 2016","Currency=INR","Period=FY","BEST_FPERIOD_OVERRIDE=FY","FILING_STATUS=OR","EQY_CONSOLIDATED=Y","Sort=A","Dates=H","DateFormat=P","Fill=—","Direction=H","UseDPDF=Y")</f>
        <v>#NAME?</v>
      </c>
      <c r="BM363" s="2" t="e">
        <f ca="1">_xll.BDH($C$353,"INVENTORY_SEQUENTIAL_GROWTH","FY 2016","FY 2016","Currency=INR","Period=FY","BEST_FPERIOD_OVERRIDE=FY","FILING_STATUS=OR","EQY_CONSOLIDATED=Y","Sort=A","Dates=H","DateFormat=P","Fill=—","Direction=H","UseDPDF=Y")</f>
        <v>#NAME?</v>
      </c>
      <c r="BN363" s="2" t="e">
        <f ca="1">_xll.BDH($C$353,"FIXED_ASSETS_SEQUENTIAL_GROWTH","FY 2016","FY 2016","Currency=INR","Period=FY","BEST_FPERIOD_OVERRIDE=FY","FILING_STATUS=OR","EQY_CONSOLIDATED=Y","Sort=A","Dates=H","DateFormat=P","Fill=—","Direction=H","UseDPDF=Y")</f>
        <v>#NAME?</v>
      </c>
      <c r="BO363" s="2" t="e">
        <f ca="1">_xll.BDH($C$353,"TOTAL_ASSETS_SEQUENTIAL_GROWTH","FY 2016","FY 2016","Currency=INR","Period=FY","BEST_FPERIOD_OVERRIDE=FY","FILING_STATUS=OR","EQY_CONSOLIDATED=Y","Sort=A","Dates=H","DateFormat=P","Fill=—","Direction=H","UseDPDF=Y")</f>
        <v>#NAME?</v>
      </c>
      <c r="BP363" s="2" t="e">
        <f ca="1">_xll.BDH($C$353,"MODIFIED_WORKING_CPTL_SEQ_GRWTH","FY 2016","FY 2016","Currency=INR","Period=FY","BEST_FPERIOD_OVERRIDE=FY","FILING_STATUS=OR","EQY_CONSOLIDATED=Y","Sort=A","Dates=H","DateFormat=P","Fill=—","Direction=H","UseDPDF=Y")</f>
        <v>#NAME?</v>
      </c>
      <c r="BQ363" s="2" t="e">
        <f ca="1">_xll.BDH($C$353,"WORKING_CAPITAL_SEQ_GROWTH","FY 2016","FY 2016","Currency=INR","Period=FY","BEST_FPERIOD_OVERRIDE=FY","FILING_STATUS=OR","EQY_CONSOLIDATED=Y","Sort=A","Dates=H","DateFormat=P","Fill=—","Direction=H","UseDPDF=Y")</f>
        <v>#NAME?</v>
      </c>
      <c r="BR363" s="2" t="e">
        <f ca="1">_xll.BDH($C$353,"ACCOUNTS_PAYABLE_SEQ_GROWTH","FY 2016","FY 2016","Currency=INR","Period=FY","BEST_FPERIOD_OVERRIDE=FY","FILING_STATUS=OR","EQY_CONSOLIDATED=Y","Sort=A","Dates=H","DateFormat=P","Fill=—","Direction=H","UseDPDF=Y")</f>
        <v>#NAME?</v>
      </c>
      <c r="BS363" s="2" t="e">
        <f ca="1">_xll.BDH($C$353,"ST_DEBT_SEQUENTIAL_GROWTH","FY 2016","FY 2016","Currency=INR","Period=FY","BEST_FPERIOD_OVERRIDE=FY","FILING_STATUS=OR","EQY_CONSOLIDATED=Y","Sort=A","Dates=H","DateFormat=P","Fill=—","Direction=H","UseDPDF=Y")</f>
        <v>#NAME?</v>
      </c>
      <c r="BT363" s="2" t="e">
        <f ca="1">_xll.BDH($C$353,"TOTAL_DEBT_SEQUENTIAL_GROWTH","FY 2016","FY 2016","Currency=INR","Period=FY","BEST_FPERIOD_OVERRIDE=FY","FILING_STATUS=OR","EQY_CONSOLIDATED=Y","Sort=A","Dates=H","DateFormat=P","Fill=—","Direction=H","UseDPDF=Y")</f>
        <v>#NAME?</v>
      </c>
      <c r="BU363" s="2" t="e">
        <f ca="1">_xll.BDH($C$353,"TOTAL_EQUITY_SEQUENTIAL_GROWTH","FY 2016","FY 2016","Currency=INR","Period=FY","BEST_FPERIOD_OVERRIDE=FY","FILING_STATUS=OR","EQY_CONSOLIDATED=Y","Sort=A","Dates=H","DateFormat=P","Fill=—","Direction=H","UseDPDF=Y")</f>
        <v>#NAME?</v>
      </c>
      <c r="BV363" s="2" t="e">
        <f ca="1">_xll.BDH($C$353,"TOTAL_CAPITAL_SEQUENTIAL_GROWTH","FY 2016","FY 2016","Currency=INR","Period=FY","BEST_FPERIOD_OVERRIDE=FY","FILING_STATUS=OR","EQY_CONSOLIDATED=Y","Sort=A","Dates=H","DateFormat=P","Fill=—","Direction=H","UseDPDF=Y")</f>
        <v>#NAME?</v>
      </c>
      <c r="BW363" s="2" t="e">
        <f ca="1">_xll.BDH($C$353,"BPS_SEQUENTIAL_GROWTH","FY 2016","FY 2016","Currency=INR","Period=FY","BEST_FPERIOD_OVERRIDE=FY","FILING_STATUS=OR","EQY_CONSOLIDATED=Y","Sort=A","Dates=H","DateFormat=P","Fill=—","Direction=H","UseDPDF=Y")</f>
        <v>#NAME?</v>
      </c>
      <c r="BX363" s="2" t="e">
        <f ca="1">_xll.BDH($C$353,"CFO_SEQUENTIAL_GROWTH","FY 2016","FY 2016","Currency=INR","Period=FY","BEST_FPERIOD_OVERRIDE=FY","FILING_STATUS=OR","EQY_CONSOLIDATED=Y","Sort=A","Dates=H","DateFormat=P","Fill=—","Direction=H","UseDPDF=Y")</f>
        <v>#NAME?</v>
      </c>
      <c r="BY363" s="3" t="e">
        <f ca="1">_xll.BDH($C$353,"SHORT_AND_LONG_TERM_DEBT","FY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363" s="3" t="e">
        <f ca="1">_xll.BDH($C$353,"BS_ST_BORROW","FY 2016","FY 2016","Currency=INR","Period=FY","BEST_FPERIOD_OVERRIDE=FY","FILING_STATUS=OR","EQY_CONSOLIDATED=Y","SCALING_FORMAT=MLN","Sort=A","Dates=H","DateFormat=P","Fill=—","Direction=H","UseDPDF=Y")</f>
        <v>#NAME?</v>
      </c>
      <c r="CA363" s="3" t="e">
        <f ca="1">_xll.BDH($C$353,"BS_LT_BORROW","FY 2016","FY 2016","Currency=INR","Period=FY","BEST_FPERIOD_OVERRIDE=FY","FILING_STATUS=OR","EQY_CONSOLIDATED=Y","SCALING_FORMAT=MLN","Sort=A","Dates=H","DateFormat=P","Fill=—","Direction=H","UseDPDF=Y")</f>
        <v>#NAME?</v>
      </c>
      <c r="CB363" s="2" t="e">
        <f ca="1">_xll.BDH($C$353,"TOT_DEBT_TO_EBITDA","FY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363" s="2" t="e">
        <f ca="1">_xll.BDH($C$353,"NET_DEBT_TO_EBITDA","FY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363" s="2" t="e">
        <f ca="1">_xll.BDH($C$353,"TOTAL_DEBT_TO_EBIT","FY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363" s="2" t="e">
        <f ca="1">_xll.BDH($C$353,"NET_DEBT_TO_EBIT","FY 2016","FY 2016","Currency=INR","Period=FY","BEST_FPERIOD_OVERRIDE=FY","FILING_STATUS=OR","EQY_CONSOLIDATED=Y","FA_ADJUSTED=GAAP","Sort=A","Dates=H","DateFormat=P","Fill=—","Direction=H","UseDPDF=Y")</f>
        <v>#NAME?</v>
      </c>
      <c r="CF363" s="2" t="e">
        <f ca="1">_xll.BDH($C$353,"EBITDA_TO_INTEREST_EXPN","FY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363" s="2" t="e">
        <f ca="1">_xll.BDH($C$353,"COM_EQY_TO_TOT_ASSET","FY 2016","FY 2016","Currency=INR","Period=FY","BEST_FPERIOD_OVERRIDE=FY","FILING_STATUS=OR","EQY_CONSOLIDATED=Y","Sort=A","Dates=H","DateFormat=P","Fill=—","Direction=H","UseDPDF=Y")</f>
        <v>#NAME?</v>
      </c>
      <c r="CH363" s="2" t="e">
        <f ca="1">_xll.BDH($C$353,"LT_DEBT_TO_TOT_EQY","FY 2016","FY 2016","Currency=INR","Period=FY","BEST_FPERIOD_OVERRIDE=FY","FILING_STATUS=OR","EQY_CONSOLIDATED=Y","Sort=A","Dates=H","DateFormat=P","Fill=—","Direction=H","UseDPDF=Y")</f>
        <v>#NAME?</v>
      </c>
      <c r="CI363" s="2" t="e">
        <f ca="1">_xll.BDH($C$353,"LT_DEBT_TO_TOT_CAP","FY 2016","FY 2016","Currency=INR","Period=FY","BEST_FPERIOD_OVERRIDE=FY","FILING_STATUS=OR","EQY_CONSOLIDATED=Y","Sort=A","Dates=H","DateFormat=P","Fill=—","Direction=H","UseDPDF=Y")</f>
        <v>#NAME?</v>
      </c>
      <c r="CJ363" s="2" t="e">
        <f ca="1">_xll.BDH($C$353,"LT_DEBT_TO_TOT_ASSET","FY 2016","FY 2016","Currency=INR","Period=FY","BEST_FPERIOD_OVERRIDE=FY","FILING_STATUS=OR","EQY_CONSOLIDATED=Y","Sort=A","Dates=H","DateFormat=P","Fill=—","Direction=H","UseDPDF=Y")</f>
        <v>#NAME?</v>
      </c>
      <c r="CK363" s="2" t="e">
        <f ca="1">_xll.BDH($C$353,"TOT_DEBT_TO_TOT_EQY","FY 2016","FY 2016","Currency=INR","Period=FY","BEST_FPERIOD_OVERRIDE=FY","FILING_STATUS=OR","EQY_CONSOLIDATED=Y","Sort=A","Dates=H","DateFormat=P","Fill=—","Direction=H","UseDPDF=Y")</f>
        <v>#NAME?</v>
      </c>
      <c r="CL363" s="2" t="e">
        <f ca="1">_xll.BDH($C$353,"TOT_DEBT_TO_TOT_CAP","FY 2016","FY 2016","Currency=INR","Period=FY","BEST_FPERIOD_OVERRIDE=FY","FILING_STATUS=OR","EQY_CONSOLIDATED=Y","Sort=A","Dates=H","DateFormat=P","Fill=—","Direction=H","UseDPDF=Y")</f>
        <v>#NAME?</v>
      </c>
      <c r="CM363" s="2" t="e">
        <f ca="1">_xll.BDH($C$353,"TOT_DEBT_TO_TOT_ASSET","FY 2016","FY 2016","Currency=INR","Period=FY","BEST_FPERIOD_OVERRIDE=FY","FILING_STATUS=OR","EQY_CONSOLIDATED=Y","Sort=A","Dates=H","DateFormat=P","Fill=—","Direction=H","UseDPDF=Y")</f>
        <v>#NAME?</v>
      </c>
      <c r="CN363" s="2" t="e">
        <f ca="1">_xll.BDH($C$353,"NET_DEBT_TO_SHRHLDR_EQTY","FY 2016","FY 2016","Currency=INR","Period=FY","BEST_FPERIOD_OVERRIDE=FY","FILING_STATUS=OR","EQY_CONSOLIDATED=Y","Sort=A","Dates=H","DateFormat=P","Fill=—","Direction=H","UseDPDF=Y")</f>
        <v>#NAME?</v>
      </c>
      <c r="CO363" s="2" t="e">
        <f ca="1">_xll.BDH($C$353,"NET_DEBT_%_CAPITAL","FY 2016","FY 2016","Currency=INR","Period=FY","BEST_FPERIOD_OVERRIDE=FY","FILING_STATUS=OR","EQY_CONSOLIDATED=Y","Sort=A","Dates=H","DateFormat=P","Fill=—","Direction=H","UseDPDF=Y")</f>
        <v>#NAME?</v>
      </c>
      <c r="CP363" s="3" t="e">
        <f ca="1">_xll.BDH($C$353,"EBITDA","FY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363" s="3" t="e">
        <f ca="1">_xll.BDH($C$353,"EBITDA_AFTER_CAPEX","FY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363" s="3" t="e">
        <f ca="1">_xll.BDH($C$353,"IS_OPER_INC","FY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363" s="2" t="e">
        <f ca="1">_xll.BDH($C$353,"CASH_RATIO","FY 2016","FY 2016","Currency=INR","Period=FY","BEST_FPERIOD_OVERRIDE=FY","FILING_STATUS=OR","EQY_CONSOLIDATED=Y","Sort=A","Dates=H","DateFormat=P","Fill=—","Direction=H","UseDPDF=Y")</f>
        <v>#NAME?</v>
      </c>
      <c r="CT363" s="2" t="e">
        <f ca="1">_xll.BDH($C$353,"CUR_RATIO","FY 2016","FY 2016","Currency=INR","Period=FY","BEST_FPERIOD_OVERRIDE=FY","FILING_STATUS=OR","EQY_CONSOLIDATED=Y","Sort=A","Dates=H","DateFormat=P","Fill=—","Direction=H","UseDPDF=Y")</f>
        <v>#NAME?</v>
      </c>
      <c r="CU363" s="2" t="e">
        <f ca="1">_xll.BDH($C$353,"QUICK_RATIO","FY 2016","FY 2016","Currency=INR","Period=FY","BEST_FPERIOD_OVERRIDE=FY","FILING_STATUS=OR","EQY_CONSOLIDATED=Y","Sort=A","Dates=H","DateFormat=P","Fill=—","Direction=H","UseDPDF=Y")</f>
        <v>#NAME?</v>
      </c>
      <c r="CV363" s="2" t="e">
        <f ca="1">_xll.BDH($C$353,"ALTMAN_Z_SCORE","FY 2016","FY 2016","Currency=INR","Period=FY","BEST_FPERIOD_OVERRIDE=FY","FILING_STATUS=OR","EQY_CONSOLIDATED=Y","Sort=A","Dates=H","DateFormat=P","Fill=—","Direction=H","UseDPDF=Y")</f>
        <v>#NAME?</v>
      </c>
      <c r="CW363" s="4" t="e">
        <f ca="1">_xll.BDH($C$353,"ACCT_RCV_TURN","FY 2016","FY 2016","Currency=INR","Period=FY","BEST_FPERIOD_OVERRIDE=FY","FILING_STATUS=OR","EQY_CONSOLIDATED=Y","FA_ADJUSTED=GAAP","Sort=A","Dates=H","DateFormat=P","Fill=—","Direction=H","UseDPDF=Y")</f>
        <v>#NAME?</v>
      </c>
      <c r="CX363" s="2" t="e">
        <f ca="1">_xll.BDH($C$353,"ACCT_RCV_DAYS","FY 2016","FY 2016","Currency=INR","Period=FY","BEST_FPERIOD_OVERRIDE=FY","FILING_STATUS=OR","EQY_CONSOLIDATED=Y","FA_ADJUSTED=GAAP","Sort=A","Dates=H","DateFormat=P","Fill=—","Direction=H","UseDPDF=Y")</f>
        <v>#NAME?</v>
      </c>
      <c r="CY363" s="4" t="e">
        <f ca="1">_xll.BDH($C$353,"INVENT_TURN","FY 2016","FY 2016","Currency=INR","Period=FY","BEST_FPERIOD_OVERRIDE=FY","FILING_STATUS=OR","EQY_CONSOLIDATED=Y","FA_ADJUSTED=GAAP","Sort=A","Dates=H","DateFormat=P","Fill=—","Direction=H","UseDPDF=Y")</f>
        <v>#NAME?</v>
      </c>
      <c r="CZ363" s="2" t="e">
        <f ca="1">_xll.BDH($C$353,"INVENT_DAYS","FY 2016","FY 2016","Currency=INR","Period=FY","BEST_FPERIOD_OVERRIDE=FY","FILING_STATUS=OR","EQY_CONSOLIDATED=Y","FA_ADJUSTED=GAAP","Sort=A","Dates=H","DateFormat=P","Fill=—","Direction=H","UseDPDF=Y")</f>
        <v>#NAME?</v>
      </c>
      <c r="DA363" s="4" t="e">
        <f ca="1">_xll.BDH($C$353,"ACCOUNTS_PAYABLE_TURNOVER","FY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363" s="2" t="e">
        <f ca="1">_xll.BDH($C$353,"ACCOUNTS_PAYABLE_TURNOVER_DAYS","FY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363" s="4" t="e">
        <f ca="1">_xll.BDH($C$353,"CASH_CONVERSION_CYCLE","FY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363" s="4" t="e">
        <f ca="1">_xll.BDH($C$353,"INV_TO_CASH_DAYS","FY 2016","FY 2016","Currency=INR","Period=FY","BEST_FPERIOD_OVERRIDE=FY","FILING_STATUS=OR","EQY_CONSOLIDATED=Y","FA_ADJUSTED=GAAP","Sort=A","Dates=H","DateFormat=P","Fill=—","Direction=H","UseDPDF=Y")</f>
        <v>#NAME?</v>
      </c>
      <c r="DE363" s="5" t="e">
        <f ca="1">_xll.BDH($C$353,"BS_INVENTORIES","FY 2016","FY 2016","Currency=INR","Period=FY","BEST_FPERIOD_OVERRIDE=FY","FILING_STATUS=OR","EQY_CONSOLIDATED=Y","SCALING_FORMAT=MLN","Sort=A","Dates=H","DateFormat=P","Fill=—","Direction=H","UseDPDF=Y")</f>
        <v>#NAME?</v>
      </c>
      <c r="DF363" s="3" t="e">
        <f ca="1">_xll.BDH($C$353,"INVTRY_RAW_MATERIALS","FY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363" s="3" t="e">
        <f ca="1">_xll.BDH($C$353,"INVTRY_IN_PROGRESS","FY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363" s="3" t="e">
        <f ca="1">_xll.BDH($C$353,"INVTRY_FINISHED_GOODS","FY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363" s="3" t="e">
        <f ca="1">_xll.BDH($C$353,"BS_OTHER_INV","FY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364" spans="1:113" x14ac:dyDescent="0.3">
      <c r="A364" s="6"/>
      <c r="B364" s="6"/>
      <c r="C364" s="6"/>
      <c r="D364" s="6"/>
      <c r="E364" t="s">
        <v>78</v>
      </c>
      <c r="F364" t="e">
        <f ca="1">_xll.BDH($C$353,"RETURN_COM_EQY","FQ1 2016","FQ1 2016","Currency=INR","Period=FQ","BEST_FPERIOD_OVERRIDE=FQ","FILING_STATUS=OR","EQY_CONSOLIDATED=Y","FA_ADJUSTED=GAAP","Sort=A","Dates=H","DateFormat=P","Fill=—","Direction=H","UseDPDF=Y")</f>
        <v>#NAME?</v>
      </c>
      <c r="G364" t="e">
        <f ca="1">_xll.BDH($C$353,"RETURN_ON_ASSET","FQ1 2016","FQ1 2016","Currency=INR","Period=FQ","BEST_FPERIOD_OVERRIDE=FQ","FILING_STATUS=OR","EQY_CONSOLIDATED=Y","FA_ADJUSTED=GAAP","Sort=A","Dates=H","DateFormat=P","Fill=—","Direction=H","UseDPDF=Y")</f>
        <v>#NAME?</v>
      </c>
      <c r="H364" t="e">
        <f ca="1">_xll.BDH($C$353,"RETURN_ON_CAP","FQ1 2016","FQ1 2016","Currency=INR","Period=FQ","BEST_FPERIOD_OVERRIDE=FQ","FILING_STATUS=OR","EQY_CONSOLIDATED=Y","FA_ADJUSTED=GAAP","Sort=A","Dates=H","DateFormat=P","Fill=—","Direction=H","UseDPDF=Y")</f>
        <v>#NAME?</v>
      </c>
      <c r="I364" t="e">
        <f ca="1">_xll.BDH($C$353,"RETURN_ON_INV_CAPITAL","FQ1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364" t="e">
        <f ca="1">_xll.BDH($C$353,"EBITDA_TO_REVENUE","FQ1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364" t="e">
        <f ca="1">_xll.BDH($C$353,"OPER_MARGIN","FQ1 2016","FQ1 2016","Currency=INR","Period=FQ","BEST_FPERIOD_OVERRIDE=FQ","FILING_STATUS=OR","EQY_CONSOLIDATED=Y","FA_ADJUSTED=GAAP","Sort=A","Dates=H","DateFormat=P","Fill=—","Direction=H","UseDPDF=Y")</f>
        <v>#NAME?</v>
      </c>
      <c r="L364" t="e">
        <f ca="1">_xll.BDH($C$353,"INCREMENTAL_OPERATING_MARGIN","FQ1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364" t="e">
        <f ca="1">_xll.BDH($C$353,"PRETAX_INC_TO_NET_SALES","FQ1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364" t="e">
        <f ca="1">_xll.BDH($C$353,"INC_BEF_XO_ITEMS_TO_NET_SALES","FQ1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364" t="e">
        <f ca="1">_xll.BDH($C$353,"PROF_MARGIN","FQ1 2016","FQ1 2016","Currency=INR","Period=FQ","BEST_FPERIOD_OVERRIDE=FQ","FILING_STATUS=OR","EQY_CONSOLIDATED=Y","FA_ADJUSTED=GAAP","Sort=A","Dates=H","DateFormat=P","Fill=—","Direction=H","UseDPDF=Y")</f>
        <v>#NAME?</v>
      </c>
      <c r="P364" t="e">
        <f ca="1">_xll.BDH($C$353,"NET_INCOME_TO_COMMON_MARGIN","FQ1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364" t="e">
        <f ca="1">_xll.BDH($C$353,"EFF_TAX_RATE","FQ1 2016","FQ1 2016","Currency=INR","Period=FQ","BEST_FPERIOD_OVERRIDE=FQ","FILING_STATUS=OR","EQY_CONSOLIDATED=Y","FA_ADJUSTED=GAAP","Sort=A","Dates=H","DateFormat=P","Fill=—","Direction=H","UseDPDF=Y")</f>
        <v>#NAME?</v>
      </c>
      <c r="R364" t="e">
        <f ca="1">_xll.BDH($C$353,"DVD_PAYOUT_RATIO","FQ1 2016","FQ1 2016","Currency=INR","Period=FQ","BEST_FPERIOD_OVERRIDE=FQ","FILING_STATUS=OR","EQY_CONSOLIDATED=Y","FA_ADJUSTED=GAAP","Sort=A","Dates=H","DateFormat=P","Fill=—","Direction=H","UseDPDF=Y")</f>
        <v>#NAME?</v>
      </c>
      <c r="S364" t="e">
        <f ca="1">_xll.BDH($C$353,"SUSTAIN_GROWTH_RT","FQ1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364" s="2" t="e">
        <f ca="1">_xll.BDH($C$353,"SALES_GROWTH","FQ1 2016","FQ1 2016","Currency=INR","Period=FQ","BEST_FPERIOD_OVERRIDE=FQ","FILING_STATUS=OR","EQY_CONSOLIDATED=Y","FA_ADJUSTED=GAAP","Sort=A","Dates=H","DateFormat=P","Fill=—","Direction=H","UseDPDF=Y")</f>
        <v>#NAME?</v>
      </c>
      <c r="U364" s="2" t="e">
        <f ca="1">_xll.BDH($C$353,"EBITDA_GROWTH","FQ1 2016","FQ1 2016","Currency=INR","Period=FQ","BEST_FPERIOD_OVERRIDE=FQ","FILING_STATUS=OR","EQY_CONSOLIDATED=Y","FA_ADJUSTED=GAAP","Sort=A","Dates=H","DateFormat=P","Fill=—","Direction=H","UseDPDF=Y")</f>
        <v>#NAME?</v>
      </c>
      <c r="V364" s="2" t="e">
        <f ca="1">_xll.BDH($C$353,"OPER_INC_GROWTH","FQ1 2016","FQ1 2016","Currency=INR","Period=FQ","BEST_FPERIOD_OVERRIDE=FQ","FILING_STATUS=OR","EQY_CONSOLIDATED=Y","FA_ADJUSTED=GAAP","Sort=A","Dates=H","DateFormat=P","Fill=—","Direction=H","UseDPDF=Y")</f>
        <v>#NAME?</v>
      </c>
      <c r="W364" s="2" t="e">
        <f ca="1">_xll.BDH($C$353,"EARN_FOR_COM_GROWTH","FQ1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364" s="2" t="e">
        <f ca="1">_xll.BDH($C$353,"DILUTED_EPS_AFT_XO_ITEMS_GROWTH","FQ1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364" s="2" t="e">
        <f ca="1">_xll.BDH($C$353,"DIVIDEND_PER_SHARE_1_YEAR_GROWTH","FQ1 2016","FQ1 2016","Currency=INR","Period=FQ","BEST_FPERIOD_OVERRIDE=FQ","FILING_STATUS=OR","EQY_CONSOLIDATED=Y","Sort=A","Dates=H","DateFormat=P","Fill=—","Direction=H","UseDPDF=Y")</f>
        <v>#NAME?</v>
      </c>
      <c r="Z364" s="2" t="e">
        <f ca="1">_xll.BDH($C$353,"ACCOUNTS_RECEIVABLE_GROWTH","FQ1 2016","FQ1 2016","Currency=INR","Period=FQ","BEST_FPERIOD_OVERRIDE=FQ","FILING_STATUS=OR","EQY_CONSOLIDATED=Y","Sort=A","Dates=H","DateFormat=P","Fill=—","Direction=H","UseDPDF=Y")</f>
        <v>#NAME?</v>
      </c>
      <c r="AA364" s="2" t="e">
        <f ca="1">_xll.BDH($C$353,"INVENTORY_GROWTH","FQ1 2016","FQ1 2016","Currency=INR","Period=FQ","BEST_FPERIOD_OVERRIDE=FQ","FILING_STATUS=OR","EQY_CONSOLIDATED=Y","Sort=A","Dates=H","DateFormat=P","Fill=—","Direction=H","UseDPDF=Y")</f>
        <v>#NAME?</v>
      </c>
      <c r="AB364" s="2" t="e">
        <f ca="1">_xll.BDH($C$353,"NET_FIXED_ASSETS_1_YEAR_GROWTH","FQ1 2016","FQ1 2016","Currency=INR","Period=FQ","BEST_FPERIOD_OVERRIDE=FQ","FILING_STATUS=OR","EQY_CONSOLIDATED=Y","Sort=A","Dates=H","DateFormat=P","Fill=—","Direction=H","UseDPDF=Y")</f>
        <v>#NAME?</v>
      </c>
      <c r="AC364" s="2" t="e">
        <f ca="1">_xll.BDH($C$353,"ASSET_GROWTH","FQ1 2016","FQ1 2016","Currency=INR","Period=FQ","BEST_FPERIOD_OVERRIDE=FQ","FILING_STATUS=OR","EQY_CONSOLIDATED=Y","Sort=A","Dates=H","DateFormat=P","Fill=—","Direction=H","UseDPDF=Y")</f>
        <v>#NAME?</v>
      </c>
      <c r="AD364" s="2" t="e">
        <f ca="1">_xll.BDH($C$353,"MODIFIED_WORK_CAP_GROWTH","FQ1 2016","FQ1 2016","Currency=INR","Period=FQ","BEST_FPERIOD_OVERRIDE=FQ","FILING_STATUS=OR","EQY_CONSOLIDATED=Y","Sort=A","Dates=H","DateFormat=P","Fill=—","Direction=H","UseDPDF=Y")</f>
        <v>#NAME?</v>
      </c>
      <c r="AE364" s="2" t="e">
        <f ca="1">_xll.BDH($C$353,"WORK_CAP_GROWTH","FQ1 2016","FQ1 2016","Currency=INR","Period=FQ","BEST_FPERIOD_OVERRIDE=FQ","FILING_STATUS=OR","EQY_CONSOLIDATED=Y","Sort=A","Dates=H","DateFormat=P","Fill=—","Direction=H","UseDPDF=Y")</f>
        <v>#NAME?</v>
      </c>
      <c r="AF364" s="2" t="e">
        <f ca="1">_xll.BDH($C$353,"ACCOUNTS_PAYABLE_GROWTH_1YR","FQ1 2016","FQ1 2016","Currency=INR","Period=FQ","BEST_FPERIOD_OVERRIDE=FQ","FILING_STATUS=OR","EQY_CONSOLIDATED=Y","Sort=A","Dates=H","DateFormat=P","Fill=—","Direction=H","UseDPDF=Y")</f>
        <v>#NAME?</v>
      </c>
      <c r="AG364" s="2" t="e">
        <f ca="1">_xll.BDH($C$353,"SHORT_TERM_DEBT_1_YEAR_GROWTH","FQ1 2016","FQ1 2016","Currency=INR","Period=FQ","BEST_FPERIOD_OVERRIDE=FQ","FILING_STATUS=OR","EQY_CONSOLIDATED=Y","Sort=A","Dates=H","DateFormat=P","Fill=—","Direction=H","UseDPDF=Y")</f>
        <v>#NAME?</v>
      </c>
      <c r="AH364" s="2" t="e">
        <f ca="1">_xll.BDH($C$353,"TOTAL_DEBT_1_YEAR_GROWTH","FQ1 2016","FQ1 2016","Currency=INR","Period=FQ","BEST_FPERIOD_OVERRIDE=FQ","FILING_STATUS=OR","EQY_CONSOLIDATED=Y","Sort=A","Dates=H","DateFormat=P","Fill=—","Direction=H","UseDPDF=Y")</f>
        <v>#NAME?</v>
      </c>
      <c r="AI364" s="2" t="e">
        <f ca="1">_xll.BDH($C$353,"TOTAL_EQUITY_1_YEAR_GROWTH","FQ1 2016","FQ1 2016","Currency=INR","Period=FQ","BEST_FPERIOD_OVERRIDE=FQ","FILING_STATUS=OR","EQY_CONSOLIDATED=Y","Sort=A","Dates=H","DateFormat=P","Fill=—","Direction=H","UseDPDF=Y")</f>
        <v>#NAME?</v>
      </c>
      <c r="AJ364" s="2" t="e">
        <f ca="1">_xll.BDH($C$353,"GROWTH_IN_CAP","FQ1 2016","FQ1 2016","Currency=INR","Period=FQ","BEST_FPERIOD_OVERRIDE=FQ","FILING_STATUS=OR","EQY_CONSOLIDATED=Y","Sort=A","Dates=H","DateFormat=P","Fill=—","Direction=H","UseDPDF=Y")</f>
        <v>#NAME?</v>
      </c>
      <c r="AK364" s="2" t="e">
        <f ca="1">_xll.BDH($C$353,"BVPS_GROWTH","FQ1 2016","FQ1 2016","Currency=INR","Period=FQ","BEST_FPERIOD_OVERRIDE=FQ","FILING_STATUS=OR","EQY_CONSOLIDATED=Y","Sort=A","Dates=H","DateFormat=P","Fill=—","Direction=H","UseDPDF=Y")</f>
        <v>#NAME?</v>
      </c>
      <c r="AL364" s="2" t="e">
        <f ca="1">_xll.BDH($C$353,"CASH_FLOW_GROWTH","FQ1 2016","FQ1 2016","Currency=INR","Period=FQ","BEST_FPERIOD_OVERRIDE=FQ","FILING_STATUS=OR","EQY_CONSOLIDATED=Y","Sort=A","Dates=H","DateFormat=P","Fill=—","Direction=H","UseDPDF=Y")</f>
        <v>#NAME?</v>
      </c>
      <c r="AM364" s="2" t="e">
        <f ca="1">_xll.BDH($C$353,"GEO_GROW_NET_SALES","FQ1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364" s="2" t="e">
        <f ca="1">_xll.BDH($C$353,"GEO_GROW_EBITDA","FQ1 2016","FQ1 2016","Currency=INR","Period=FQ","BEST_FPERIOD_OVERRIDE=FQ","FILING_STATUS=OR","EQY_CONSOLIDATED=Y","FA_ADJUSTED=GAAP","Sort=A","Dates=H","DateFormat=P","Fill=—","Direction=H","UseDPDF=Y")</f>
        <v>#NAME?</v>
      </c>
      <c r="AO364" s="2" t="e">
        <f ca="1">_xll.BDH($C$353,"GEO_GROW_OPER_INC","FQ1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364" s="2" t="e">
        <f ca="1">_xll.BDH($C$353,"NET_INCOME_TO_COMMON_5_YR_GROWTH","FQ1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364" s="2" t="e">
        <f ca="1">_xll.BDH($C$353,"5Y_GEO_GROWTH_DILUTED_EPS","FQ1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364" s="2" t="e">
        <f ca="1">_xll.BDH($C$353,"GEO_GROW_DVD_PER_SH","FQ1 2016","FQ1 2016","Currency=INR","Period=FQ","BEST_FPERIOD_OVERRIDE=FQ","FILING_STATUS=OR","EQY_CONSOLIDATED=Y","Sort=A","Dates=H","DateFormat=P","Fill=—","Direction=H","UseDPDF=Y")</f>
        <v>#NAME?</v>
      </c>
      <c r="AS364" s="2" t="e">
        <f ca="1">_xll.BDH($C$353,"ACCOUNTS_RECEIVABLE_5_YR_GROWTH","FQ1 2016","FQ1 2016","Currency=INR","Period=FQ","BEST_FPERIOD_OVERRIDE=FQ","FILING_STATUS=OR","EQY_CONSOLIDATED=Y","Sort=A","Dates=H","DateFormat=P","Fill=—","Direction=H","UseDPDF=Y")</f>
        <v>#NAME?</v>
      </c>
      <c r="AT364" s="2" t="e">
        <f ca="1">_xll.BDH($C$353,"INVENTORY_5_YEAR_GROWTH","FQ1 2016","FQ1 2016","Currency=INR","Period=FQ","BEST_FPERIOD_OVERRIDE=FQ","FILING_STATUS=OR","EQY_CONSOLIDATED=Y","Sort=A","Dates=H","DateFormat=P","Fill=—","Direction=H","UseDPDF=Y")</f>
        <v>#NAME?</v>
      </c>
      <c r="AU364" s="2" t="e">
        <f ca="1">_xll.BDH($C$353,"NET_FIXED_ASSETS_5_YEAR_GROWTH","FQ1 2016","FQ1 2016","Currency=INR","Period=FQ","BEST_FPERIOD_OVERRIDE=FQ","FILING_STATUS=OR","EQY_CONSOLIDATED=Y","Sort=A","Dates=H","DateFormat=P","Fill=—","Direction=H","UseDPDF=Y")</f>
        <v>#NAME?</v>
      </c>
      <c r="AV364" s="2" t="e">
        <f ca="1">_xll.BDH($C$353,"GEO_GROW_TOT_ASSET","FQ1 2016","FQ1 2016","Currency=INR","Period=FQ","BEST_FPERIOD_OVERRIDE=FQ","FILING_STATUS=OR","EQY_CONSOLIDATED=Y","Sort=A","Dates=H","DateFormat=P","Fill=—","Direction=H","UseDPDF=Y")</f>
        <v>#NAME?</v>
      </c>
      <c r="AW364" s="2" t="e">
        <f ca="1">_xll.BDH($C$353,"MODIFIED_WORKING_CPTL_5YR_GRWTH","FQ1 2016","FQ1 2016","Currency=INR","Period=FQ","BEST_FPERIOD_OVERRIDE=FQ","FILING_STATUS=OR","EQY_CONSOLIDATED=Y","Sort=A","Dates=H","DateFormat=P","Fill=—","Direction=H","UseDPDF=Y")</f>
        <v>#NAME?</v>
      </c>
      <c r="AX364" s="2" t="e">
        <f ca="1">_xll.BDH($C$353,"WORKING_CAPITAL_5_YEAR_GROWTH","FQ1 2016","FQ1 2016","Currency=INR","Period=FQ","BEST_FPERIOD_OVERRIDE=FQ","FILING_STATUS=OR","EQY_CONSOLIDATED=Y","Sort=A","Dates=H","DateFormat=P","Fill=—","Direction=H","UseDPDF=Y")</f>
        <v>#NAME?</v>
      </c>
      <c r="AY364" s="2" t="e">
        <f ca="1">_xll.BDH($C$353,"ACCOUNTS_PAYABLE_5_YEAR_GROWTH","FQ1 2016","FQ1 2016","Currency=INR","Period=FQ","BEST_FPERIOD_OVERRIDE=FQ","FILING_STATUS=OR","EQY_CONSOLIDATED=Y","Sort=A","Dates=H","DateFormat=P","Fill=—","Direction=H","UseDPDF=Y")</f>
        <v>#NAME?</v>
      </c>
      <c r="AZ364" s="2" t="e">
        <f ca="1">_xll.BDH($C$353,"SHORT_TERM_DEBT_5_YEAR_GROWTH","FQ1 2016","FQ1 2016","Currency=INR","Period=FQ","BEST_FPERIOD_OVERRIDE=FQ","FILING_STATUS=OR","EQY_CONSOLIDATED=Y","Sort=A","Dates=H","DateFormat=P","Fill=—","Direction=H","UseDPDF=Y")</f>
        <v>#NAME?</v>
      </c>
      <c r="BA364" s="2" t="e">
        <f ca="1">_xll.BDH($C$353,"TOTAL_DEBT_5_YEAR_GROWTH","FQ1 2016","FQ1 2016","Currency=INR","Period=FQ","BEST_FPERIOD_OVERRIDE=FQ","FILING_STATUS=OR","EQY_CONSOLIDATED=Y","Sort=A","Dates=H","DateFormat=P","Fill=—","Direction=H","UseDPDF=Y")</f>
        <v>#NAME?</v>
      </c>
      <c r="BB364" s="2" t="e">
        <f ca="1">_xll.BDH($C$353,"GEO_GROW_TOT_SHRHLDR_EQY","FQ1 2016","FQ1 2016","Currency=INR","Period=FQ","BEST_FPERIOD_OVERRIDE=FQ","FILING_STATUS=OR","EQY_CONSOLIDATED=Y","Sort=A","Dates=H","DateFormat=P","Fill=—","Direction=H","UseDPDF=Y")</f>
        <v>#NAME?</v>
      </c>
      <c r="BC364" s="2" t="e">
        <f ca="1">_xll.BDH($C$353,"TOTAL_CAPITAL_5_YEAR_GROWTH","FQ1 2016","FQ1 2016","Currency=INR","Period=FQ","BEST_FPERIOD_OVERRIDE=FQ","FILING_STATUS=OR","EQY_CONSOLIDATED=Y","Sort=A","Dates=H","DateFormat=P","Fill=—","Direction=H","UseDPDF=Y")</f>
        <v>#NAME?</v>
      </c>
      <c r="BD364" s="2" t="e">
        <f ca="1">_xll.BDH($C$353,"GEO_GROW_BOOK_VAL","FQ1 2016","FQ1 2016","Currency=INR","Period=FQ","BEST_FPERIOD_OVERRIDE=FQ","FILING_STATUS=OR","EQY_CONSOLIDATED=Y","Sort=A","Dates=H","DateFormat=P","Fill=—","Direction=H","UseDPDF=Y")</f>
        <v>#NAME?</v>
      </c>
      <c r="BE364" s="2" t="e">
        <f ca="1">_xll.BDH($C$353,"GEO_GROW_CASH_OPER_ACT","FQ1 2016","FQ1 2016","Currency=INR","Period=FQ","BEST_FPERIOD_OVERRIDE=FQ","FILING_STATUS=OR","EQY_CONSOLIDATED=Y","Sort=A","Dates=H","DateFormat=P","Fill=—","Direction=H","UseDPDF=Y")</f>
        <v>#NAME?</v>
      </c>
      <c r="BF364" s="2" t="e">
        <f ca="1">_xll.BDH($C$353,"REVENUE_SEQUENTIAL_GROWTH","FQ1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364" s="2" t="e">
        <f ca="1">_xll.BDH($C$353,"EBITDA_SEQUENTIAL_GROWTH","FQ1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364" s="2" t="e">
        <f ca="1">_xll.BDH($C$353,"OPERATING_INCOME_SEQ_GROWTH","FQ1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364" s="2" t="e">
        <f ca="1">_xll.BDH($C$353,"NET_INCOME_TO_COMMON_SEQ_GROWTH","FQ1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364" s="2" t="e">
        <f ca="1">_xll.BDH($C$353,"EPS_DILUTED_SEQUENTIAL_GROWTH","FQ1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364" s="2" t="e">
        <f ca="1">_xll.BDH($C$353,"DPS_SEQUENTIAL_GROWTH","FQ1 2016","FQ1 2016","Currency=INR","Period=FQ","BEST_FPERIOD_OVERRIDE=FQ","FILING_STATUS=OR","EQY_CONSOLIDATED=Y","Sort=A","Dates=H","DateFormat=P","Fill=—","Direction=H","UseDPDF=Y")</f>
        <v>#NAME?</v>
      </c>
      <c r="BL364" s="2" t="e">
        <f ca="1">_xll.BDH($C$353,"ACCOUNTS_RECEIVABLE_SEQ_GROWTH","FQ1 2016","FQ1 2016","Currency=INR","Period=FQ","BEST_FPERIOD_OVERRIDE=FQ","FILING_STATUS=OR","EQY_CONSOLIDATED=Y","Sort=A","Dates=H","DateFormat=P","Fill=—","Direction=H","UseDPDF=Y")</f>
        <v>#NAME?</v>
      </c>
      <c r="BM364" s="2" t="e">
        <f ca="1">_xll.BDH($C$353,"INVENTORY_SEQUENTIAL_GROWTH","FQ1 2016","FQ1 2016","Currency=INR","Period=FQ","BEST_FPERIOD_OVERRIDE=FQ","FILING_STATUS=OR","EQY_CONSOLIDATED=Y","Sort=A","Dates=H","DateFormat=P","Fill=—","Direction=H","UseDPDF=Y")</f>
        <v>#NAME?</v>
      </c>
      <c r="BN364" s="2" t="e">
        <f ca="1">_xll.BDH($C$353,"FIXED_ASSETS_SEQUENTIAL_GROWTH","FQ1 2016","FQ1 2016","Currency=INR","Period=FQ","BEST_FPERIOD_OVERRIDE=FQ","FILING_STATUS=OR","EQY_CONSOLIDATED=Y","Sort=A","Dates=H","DateFormat=P","Fill=—","Direction=H","UseDPDF=Y")</f>
        <v>#NAME?</v>
      </c>
      <c r="BO364" s="2" t="e">
        <f ca="1">_xll.BDH($C$353,"TOTAL_ASSETS_SEQUENTIAL_GROWTH","FQ1 2016","FQ1 2016","Currency=INR","Period=FQ","BEST_FPERIOD_OVERRIDE=FQ","FILING_STATUS=OR","EQY_CONSOLIDATED=Y","Sort=A","Dates=H","DateFormat=P","Fill=—","Direction=H","UseDPDF=Y")</f>
        <v>#NAME?</v>
      </c>
      <c r="BP364" s="2" t="e">
        <f ca="1">_xll.BDH($C$353,"MODIFIED_WORKING_CPTL_SEQ_GRWTH","FQ1 2016","FQ1 2016","Currency=INR","Period=FQ","BEST_FPERIOD_OVERRIDE=FQ","FILING_STATUS=OR","EQY_CONSOLIDATED=Y","Sort=A","Dates=H","DateFormat=P","Fill=—","Direction=H","UseDPDF=Y")</f>
        <v>#NAME?</v>
      </c>
      <c r="BQ364" s="2" t="e">
        <f ca="1">_xll.BDH($C$353,"WORKING_CAPITAL_SEQ_GROWTH","FQ1 2016","FQ1 2016","Currency=INR","Period=FQ","BEST_FPERIOD_OVERRIDE=FQ","FILING_STATUS=OR","EQY_CONSOLIDATED=Y","Sort=A","Dates=H","DateFormat=P","Fill=—","Direction=H","UseDPDF=Y")</f>
        <v>#NAME?</v>
      </c>
      <c r="BR364" s="2" t="e">
        <f ca="1">_xll.BDH($C$353,"ACCOUNTS_PAYABLE_SEQ_GROWTH","FQ1 2016","FQ1 2016","Currency=INR","Period=FQ","BEST_FPERIOD_OVERRIDE=FQ","FILING_STATUS=OR","EQY_CONSOLIDATED=Y","Sort=A","Dates=H","DateFormat=P","Fill=—","Direction=H","UseDPDF=Y")</f>
        <v>#NAME?</v>
      </c>
      <c r="BS364" s="2" t="e">
        <f ca="1">_xll.BDH($C$353,"ST_DEBT_SEQUENTIAL_GROWTH","FQ1 2016","FQ1 2016","Currency=INR","Period=FQ","BEST_FPERIOD_OVERRIDE=FQ","FILING_STATUS=OR","EQY_CONSOLIDATED=Y","Sort=A","Dates=H","DateFormat=P","Fill=—","Direction=H","UseDPDF=Y")</f>
        <v>#NAME?</v>
      </c>
      <c r="BT364" s="2" t="e">
        <f ca="1">_xll.BDH($C$353,"TOTAL_DEBT_SEQUENTIAL_GROWTH","FQ1 2016","FQ1 2016","Currency=INR","Period=FQ","BEST_FPERIOD_OVERRIDE=FQ","FILING_STATUS=OR","EQY_CONSOLIDATED=Y","Sort=A","Dates=H","DateFormat=P","Fill=—","Direction=H","UseDPDF=Y")</f>
        <v>#NAME?</v>
      </c>
      <c r="BU364" s="2" t="e">
        <f ca="1">_xll.BDH($C$353,"TOTAL_EQUITY_SEQUENTIAL_GROWTH","FQ1 2016","FQ1 2016","Currency=INR","Period=FQ","BEST_FPERIOD_OVERRIDE=FQ","FILING_STATUS=OR","EQY_CONSOLIDATED=Y","Sort=A","Dates=H","DateFormat=P","Fill=—","Direction=H","UseDPDF=Y")</f>
        <v>#NAME?</v>
      </c>
      <c r="BV364" s="2" t="e">
        <f ca="1">_xll.BDH($C$353,"TOTAL_CAPITAL_SEQUENTIAL_GROWTH","FQ1 2016","FQ1 2016","Currency=INR","Period=FQ","BEST_FPERIOD_OVERRIDE=FQ","FILING_STATUS=OR","EQY_CONSOLIDATED=Y","Sort=A","Dates=H","DateFormat=P","Fill=—","Direction=H","UseDPDF=Y")</f>
        <v>#NAME?</v>
      </c>
      <c r="BW364" s="2" t="e">
        <f ca="1">_xll.BDH($C$353,"BPS_SEQUENTIAL_GROWTH","FQ1 2016","FQ1 2016","Currency=INR","Period=FQ","BEST_FPERIOD_OVERRIDE=FQ","FILING_STATUS=OR","EQY_CONSOLIDATED=Y","Sort=A","Dates=H","DateFormat=P","Fill=—","Direction=H","UseDPDF=Y")</f>
        <v>#NAME?</v>
      </c>
      <c r="BX364" s="2" t="e">
        <f ca="1">_xll.BDH($C$353,"CFO_SEQUENTIAL_GROWTH","FQ1 2016","FQ1 2016","Currency=INR","Period=FQ","BEST_FPERIOD_OVERRIDE=FQ","FILING_STATUS=OR","EQY_CONSOLIDATED=Y","Sort=A","Dates=H","DateFormat=P","Fill=—","Direction=H","UseDPDF=Y")</f>
        <v>#NAME?</v>
      </c>
      <c r="BY364" s="3" t="e">
        <f ca="1">_xll.BDH($C$353,"SHORT_AND_LONG_TERM_DEBT","FQ1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364" s="3" t="e">
        <f ca="1">_xll.BDH($C$353,"BS_ST_BORROW","FQ1 2016","FQ1 2016","Currency=INR","Period=FQ","BEST_FPERIOD_OVERRIDE=FQ","FILING_STATUS=OR","EQY_CONSOLIDATED=Y","SCALING_FORMAT=MLN","Sort=A","Dates=H","DateFormat=P","Fill=—","Direction=H","UseDPDF=Y")</f>
        <v>#NAME?</v>
      </c>
      <c r="CA364" s="3" t="e">
        <f ca="1">_xll.BDH($C$353,"BS_LT_BORROW","FQ1 2016","FQ1 2016","Currency=INR","Period=FQ","BEST_FPERIOD_OVERRIDE=FQ","FILING_STATUS=OR","EQY_CONSOLIDATED=Y","SCALING_FORMAT=MLN","Sort=A","Dates=H","DateFormat=P","Fill=—","Direction=H","UseDPDF=Y")</f>
        <v>#NAME?</v>
      </c>
      <c r="CB364" s="2" t="e">
        <f ca="1">_xll.BDH($C$353,"TOT_DEBT_TO_EBITDA","FQ1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364" s="2" t="e">
        <f ca="1">_xll.BDH($C$353,"NET_DEBT_TO_EBITDA","FQ1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364" s="2" t="e">
        <f ca="1">_xll.BDH($C$353,"TOTAL_DEBT_TO_EBIT","FQ1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364" s="2" t="e">
        <f ca="1">_xll.BDH($C$353,"NET_DEBT_TO_EBIT","FQ1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364" s="2" t="e">
        <f ca="1">_xll.BDH($C$353,"EBITDA_TO_INTEREST_EXPN","FQ1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364" s="2" t="e">
        <f ca="1">_xll.BDH($C$353,"COM_EQY_TO_TOT_ASSET","FQ1 2016","FQ1 2016","Currency=INR","Period=FQ","BEST_FPERIOD_OVERRIDE=FQ","FILING_STATUS=OR","EQY_CONSOLIDATED=Y","Sort=A","Dates=H","DateFormat=P","Fill=—","Direction=H","UseDPDF=Y")</f>
        <v>#NAME?</v>
      </c>
      <c r="CH364" s="2" t="e">
        <f ca="1">_xll.BDH($C$353,"LT_DEBT_TO_TOT_EQY","FQ1 2016","FQ1 2016","Currency=INR","Period=FQ","BEST_FPERIOD_OVERRIDE=FQ","FILING_STATUS=OR","EQY_CONSOLIDATED=Y","Sort=A","Dates=H","DateFormat=P","Fill=—","Direction=H","UseDPDF=Y")</f>
        <v>#NAME?</v>
      </c>
      <c r="CI364" s="2" t="e">
        <f ca="1">_xll.BDH($C$353,"LT_DEBT_TO_TOT_CAP","FQ1 2016","FQ1 2016","Currency=INR","Period=FQ","BEST_FPERIOD_OVERRIDE=FQ","FILING_STATUS=OR","EQY_CONSOLIDATED=Y","Sort=A","Dates=H","DateFormat=P","Fill=—","Direction=H","UseDPDF=Y")</f>
        <v>#NAME?</v>
      </c>
      <c r="CJ364" s="2" t="e">
        <f ca="1">_xll.BDH($C$353,"LT_DEBT_TO_TOT_ASSET","FQ1 2016","FQ1 2016","Currency=INR","Period=FQ","BEST_FPERIOD_OVERRIDE=FQ","FILING_STATUS=OR","EQY_CONSOLIDATED=Y","Sort=A","Dates=H","DateFormat=P","Fill=—","Direction=H","UseDPDF=Y")</f>
        <v>#NAME?</v>
      </c>
      <c r="CK364" s="2" t="e">
        <f ca="1">_xll.BDH($C$353,"TOT_DEBT_TO_TOT_EQY","FQ1 2016","FQ1 2016","Currency=INR","Period=FQ","BEST_FPERIOD_OVERRIDE=FQ","FILING_STATUS=OR","EQY_CONSOLIDATED=Y","Sort=A","Dates=H","DateFormat=P","Fill=—","Direction=H","UseDPDF=Y")</f>
        <v>#NAME?</v>
      </c>
      <c r="CL364" s="2" t="e">
        <f ca="1">_xll.BDH($C$353,"TOT_DEBT_TO_TOT_CAP","FQ1 2016","FQ1 2016","Currency=INR","Period=FQ","BEST_FPERIOD_OVERRIDE=FQ","FILING_STATUS=OR","EQY_CONSOLIDATED=Y","Sort=A","Dates=H","DateFormat=P","Fill=—","Direction=H","UseDPDF=Y")</f>
        <v>#NAME?</v>
      </c>
      <c r="CM364" s="2" t="e">
        <f ca="1">_xll.BDH($C$353,"TOT_DEBT_TO_TOT_ASSET","FQ1 2016","FQ1 2016","Currency=INR","Period=FQ","BEST_FPERIOD_OVERRIDE=FQ","FILING_STATUS=OR","EQY_CONSOLIDATED=Y","Sort=A","Dates=H","DateFormat=P","Fill=—","Direction=H","UseDPDF=Y")</f>
        <v>#NAME?</v>
      </c>
      <c r="CN364" s="2" t="e">
        <f ca="1">_xll.BDH($C$353,"NET_DEBT_TO_SHRHLDR_EQTY","FQ1 2016","FQ1 2016","Currency=INR","Period=FQ","BEST_FPERIOD_OVERRIDE=FQ","FILING_STATUS=OR","EQY_CONSOLIDATED=Y","Sort=A","Dates=H","DateFormat=P","Fill=—","Direction=H","UseDPDF=Y")</f>
        <v>#NAME?</v>
      </c>
      <c r="CO364" s="2" t="e">
        <f ca="1">_xll.BDH($C$353,"NET_DEBT_%_CAPITAL","FQ1 2016","FQ1 2016","Currency=INR","Period=FQ","BEST_FPERIOD_OVERRIDE=FQ","FILING_STATUS=OR","EQY_CONSOLIDATED=Y","Sort=A","Dates=H","DateFormat=P","Fill=—","Direction=H","UseDPDF=Y")</f>
        <v>#NAME?</v>
      </c>
      <c r="CP364" s="3" t="e">
        <f ca="1">_xll.BDH($C$353,"EBITDA","FQ1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364" s="3" t="e">
        <f ca="1">_xll.BDH($C$353,"EBITDA_AFTER_CAPEX","FQ1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364" s="3" t="e">
        <f ca="1">_xll.BDH($C$353,"IS_OPER_INC","FQ1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364" s="2" t="e">
        <f ca="1">_xll.BDH($C$353,"CASH_RATIO","FQ1 2016","FQ1 2016","Currency=INR","Period=FQ","BEST_FPERIOD_OVERRIDE=FQ","FILING_STATUS=OR","EQY_CONSOLIDATED=Y","Sort=A","Dates=H","DateFormat=P","Fill=—","Direction=H","UseDPDF=Y")</f>
        <v>#NAME?</v>
      </c>
      <c r="CT364" s="2" t="e">
        <f ca="1">_xll.BDH($C$353,"CUR_RATIO","FQ1 2016","FQ1 2016","Currency=INR","Period=FQ","BEST_FPERIOD_OVERRIDE=FQ","FILING_STATUS=OR","EQY_CONSOLIDATED=Y","Sort=A","Dates=H","DateFormat=P","Fill=—","Direction=H","UseDPDF=Y")</f>
        <v>#NAME?</v>
      </c>
      <c r="CU364" s="2" t="e">
        <f ca="1">_xll.BDH($C$353,"QUICK_RATIO","FQ1 2016","FQ1 2016","Currency=INR","Period=FQ","BEST_FPERIOD_OVERRIDE=FQ","FILING_STATUS=OR","EQY_CONSOLIDATED=Y","Sort=A","Dates=H","DateFormat=P","Fill=—","Direction=H","UseDPDF=Y")</f>
        <v>#NAME?</v>
      </c>
      <c r="CV364" s="2" t="e">
        <f ca="1">_xll.BDH($C$353,"ALTMAN_Z_SCORE","FQ1 2016","FQ1 2016","Currency=INR","Period=FQ","BEST_FPERIOD_OVERRIDE=FQ","FILING_STATUS=OR","EQY_CONSOLIDATED=Y","Sort=A","Dates=H","DateFormat=P","Fill=—","Direction=H","UseDPDF=Y")</f>
        <v>#NAME?</v>
      </c>
      <c r="CW364" s="4" t="e">
        <f ca="1">_xll.BDH($C$353,"ACCT_RCV_TURN","FQ1 2016","FQ1 2016","Currency=INR","Period=FQ","BEST_FPERIOD_OVERRIDE=FQ","FILING_STATUS=OR","EQY_CONSOLIDATED=Y","FA_ADJUSTED=GAAP","Sort=A","Dates=H","DateFormat=P","Fill=—","Direction=H","UseDPDF=Y")</f>
        <v>#NAME?</v>
      </c>
      <c r="CX364" s="2" t="e">
        <f ca="1">_xll.BDH($C$353,"ACCT_RCV_DAYS","FQ1 2016","FQ1 2016","Currency=INR","Period=FQ","BEST_FPERIOD_OVERRIDE=FQ","FILING_STATUS=OR","EQY_CONSOLIDATED=Y","FA_ADJUSTED=GAAP","Sort=A","Dates=H","DateFormat=P","Fill=—","Direction=H","UseDPDF=Y")</f>
        <v>#NAME?</v>
      </c>
      <c r="CY364" s="4" t="e">
        <f ca="1">_xll.BDH($C$353,"INVENT_TURN","FQ1 2016","FQ1 2016","Currency=INR","Period=FQ","BEST_FPERIOD_OVERRIDE=FQ","FILING_STATUS=OR","EQY_CONSOLIDATED=Y","FA_ADJUSTED=GAAP","Sort=A","Dates=H","DateFormat=P","Fill=—","Direction=H","UseDPDF=Y")</f>
        <v>#NAME?</v>
      </c>
      <c r="CZ364" s="2" t="e">
        <f ca="1">_xll.BDH($C$353,"INVENT_DAYS","FQ1 2016","FQ1 2016","Currency=INR","Period=FQ","BEST_FPERIOD_OVERRIDE=FQ","FILING_STATUS=OR","EQY_CONSOLIDATED=Y","FA_ADJUSTED=GAAP","Sort=A","Dates=H","DateFormat=P","Fill=—","Direction=H","UseDPDF=Y")</f>
        <v>#NAME?</v>
      </c>
      <c r="DA364" s="4" t="e">
        <f ca="1">_xll.BDH($C$353,"ACCOUNTS_PAYABLE_TURNOVER","FQ1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364" s="2" t="e">
        <f ca="1">_xll.BDH($C$353,"ACCOUNTS_PAYABLE_TURNOVER_DAYS","FQ1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364" s="4" t="e">
        <f ca="1">_xll.BDH($C$353,"CASH_CONVERSION_CYCLE","FQ1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364" s="4" t="e">
        <f ca="1">_xll.BDH($C$353,"INV_TO_CASH_DAYS","FQ1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364" s="5" t="e">
        <f ca="1">_xll.BDH($C$353,"BS_INVENTORIES","FQ1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364" s="3" t="e">
        <f ca="1">_xll.BDH($C$353,"INVTRY_RAW_MATERIALS","FQ1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364" s="3" t="e">
        <f ca="1">_xll.BDH($C$353,"INVTRY_IN_PROGRESS","FQ1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364" s="3" t="e">
        <f ca="1">_xll.BDH($C$353,"INVTRY_FINISHED_GOODS","FQ1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364" s="3" t="e">
        <f ca="1">_xll.BDH($C$353,"BS_OTHER_INV","FQ1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365" spans="1:113" x14ac:dyDescent="0.3">
      <c r="A365" s="6"/>
      <c r="B365" s="6"/>
      <c r="C365" s="6"/>
      <c r="D365" s="6"/>
      <c r="E365" t="s">
        <v>79</v>
      </c>
      <c r="F365" t="e">
        <f ca="1">_xll.BDH($C$353,"RETURN_COM_EQY","FQ2 2016","FQ2 2016","Currency=INR","Period=FQ","BEST_FPERIOD_OVERRIDE=FQ","FILING_STATUS=OR","EQY_CONSOLIDATED=Y","FA_ADJUSTED=GAAP","Sort=A","Dates=H","DateFormat=P","Fill=—","Direction=H","UseDPDF=Y")</f>
        <v>#NAME?</v>
      </c>
      <c r="G365" t="e">
        <f ca="1">_xll.BDH($C$353,"RETURN_ON_ASSET","FQ2 2016","FQ2 2016","Currency=INR","Period=FQ","BEST_FPERIOD_OVERRIDE=FQ","FILING_STATUS=OR","EQY_CONSOLIDATED=Y","FA_ADJUSTED=GAAP","Sort=A","Dates=H","DateFormat=P","Fill=—","Direction=H","UseDPDF=Y")</f>
        <v>#NAME?</v>
      </c>
      <c r="H365" t="e">
        <f ca="1">_xll.BDH($C$353,"RETURN_ON_CAP","FQ2 2016","FQ2 2016","Currency=INR","Period=FQ","BEST_FPERIOD_OVERRIDE=FQ","FILING_STATUS=OR","EQY_CONSOLIDATED=Y","FA_ADJUSTED=GAAP","Sort=A","Dates=H","DateFormat=P","Fill=—","Direction=H","UseDPDF=Y")</f>
        <v>#NAME?</v>
      </c>
      <c r="I365" t="e">
        <f ca="1">_xll.BDH($C$353,"RETURN_ON_INV_CAPITAL","FQ2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365" t="e">
        <f ca="1">_xll.BDH($C$353,"EBITDA_TO_REVENUE","FQ2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365" t="e">
        <f ca="1">_xll.BDH($C$353,"OPER_MARGIN","FQ2 2016","FQ2 2016","Currency=INR","Period=FQ","BEST_FPERIOD_OVERRIDE=FQ","FILING_STATUS=OR","EQY_CONSOLIDATED=Y","FA_ADJUSTED=GAAP","Sort=A","Dates=H","DateFormat=P","Fill=—","Direction=H","UseDPDF=Y")</f>
        <v>#NAME?</v>
      </c>
      <c r="L365" t="e">
        <f ca="1">_xll.BDH($C$353,"INCREMENTAL_OPERATING_MARGIN","FQ2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365" t="e">
        <f ca="1">_xll.BDH($C$353,"PRETAX_INC_TO_NET_SALES","FQ2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365" t="e">
        <f ca="1">_xll.BDH($C$353,"INC_BEF_XO_ITEMS_TO_NET_SALES","FQ2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365" t="e">
        <f ca="1">_xll.BDH($C$353,"PROF_MARGIN","FQ2 2016","FQ2 2016","Currency=INR","Period=FQ","BEST_FPERIOD_OVERRIDE=FQ","FILING_STATUS=OR","EQY_CONSOLIDATED=Y","FA_ADJUSTED=GAAP","Sort=A","Dates=H","DateFormat=P","Fill=—","Direction=H","UseDPDF=Y")</f>
        <v>#NAME?</v>
      </c>
      <c r="P365" t="e">
        <f ca="1">_xll.BDH($C$353,"NET_INCOME_TO_COMMON_MARGIN","FQ2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365" t="e">
        <f ca="1">_xll.BDH($C$353,"EFF_TAX_RATE","FQ2 2016","FQ2 2016","Currency=INR","Period=FQ","BEST_FPERIOD_OVERRIDE=FQ","FILING_STATUS=OR","EQY_CONSOLIDATED=Y","FA_ADJUSTED=GAAP","Sort=A","Dates=H","DateFormat=P","Fill=—","Direction=H","UseDPDF=Y")</f>
        <v>#NAME?</v>
      </c>
      <c r="R365" t="e">
        <f ca="1">_xll.BDH($C$353,"DVD_PAYOUT_RATIO","FQ2 2016","FQ2 2016","Currency=INR","Period=FQ","BEST_FPERIOD_OVERRIDE=FQ","FILING_STATUS=OR","EQY_CONSOLIDATED=Y","FA_ADJUSTED=GAAP","Sort=A","Dates=H","DateFormat=P","Fill=—","Direction=H","UseDPDF=Y")</f>
        <v>#NAME?</v>
      </c>
      <c r="S365" t="e">
        <f ca="1">_xll.BDH($C$353,"SUSTAIN_GROWTH_RT","FQ2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365" s="2" t="e">
        <f ca="1">_xll.BDH($C$353,"SALES_GROWTH","FQ2 2016","FQ2 2016","Currency=INR","Period=FQ","BEST_FPERIOD_OVERRIDE=FQ","FILING_STATUS=OR","EQY_CONSOLIDATED=Y","FA_ADJUSTED=GAAP","Sort=A","Dates=H","DateFormat=P","Fill=—","Direction=H","UseDPDF=Y")</f>
        <v>#NAME?</v>
      </c>
      <c r="U365" s="2" t="e">
        <f ca="1">_xll.BDH($C$353,"EBITDA_GROWTH","FQ2 2016","FQ2 2016","Currency=INR","Period=FQ","BEST_FPERIOD_OVERRIDE=FQ","FILING_STATUS=OR","EQY_CONSOLIDATED=Y","FA_ADJUSTED=GAAP","Sort=A","Dates=H","DateFormat=P","Fill=—","Direction=H","UseDPDF=Y")</f>
        <v>#NAME?</v>
      </c>
      <c r="V365" s="2" t="e">
        <f ca="1">_xll.BDH($C$353,"OPER_INC_GROWTH","FQ2 2016","FQ2 2016","Currency=INR","Period=FQ","BEST_FPERIOD_OVERRIDE=FQ","FILING_STATUS=OR","EQY_CONSOLIDATED=Y","FA_ADJUSTED=GAAP","Sort=A","Dates=H","DateFormat=P","Fill=—","Direction=H","UseDPDF=Y")</f>
        <v>#NAME?</v>
      </c>
      <c r="W365" s="2" t="e">
        <f ca="1">_xll.BDH($C$353,"EARN_FOR_COM_GROWTH","FQ2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365" s="2" t="e">
        <f ca="1">_xll.BDH($C$353,"DILUTED_EPS_AFT_XO_ITEMS_GROWTH","FQ2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365" s="2" t="e">
        <f ca="1">_xll.BDH($C$353,"DIVIDEND_PER_SHARE_1_YEAR_GROWTH","FQ2 2016","FQ2 2016","Currency=INR","Period=FQ","BEST_FPERIOD_OVERRIDE=FQ","FILING_STATUS=OR","EQY_CONSOLIDATED=Y","Sort=A","Dates=H","DateFormat=P","Fill=—","Direction=H","UseDPDF=Y")</f>
        <v>#NAME?</v>
      </c>
      <c r="Z365" s="2" t="e">
        <f ca="1">_xll.BDH($C$353,"ACCOUNTS_RECEIVABLE_GROWTH","FQ2 2016","FQ2 2016","Currency=INR","Period=FQ","BEST_FPERIOD_OVERRIDE=FQ","FILING_STATUS=OR","EQY_CONSOLIDATED=Y","Sort=A","Dates=H","DateFormat=P","Fill=—","Direction=H","UseDPDF=Y")</f>
        <v>#NAME?</v>
      </c>
      <c r="AA365" s="2" t="e">
        <f ca="1">_xll.BDH($C$353,"INVENTORY_GROWTH","FQ2 2016","FQ2 2016","Currency=INR","Period=FQ","BEST_FPERIOD_OVERRIDE=FQ","FILING_STATUS=OR","EQY_CONSOLIDATED=Y","Sort=A","Dates=H","DateFormat=P","Fill=—","Direction=H","UseDPDF=Y")</f>
        <v>#NAME?</v>
      </c>
      <c r="AB365" s="2" t="e">
        <f ca="1">_xll.BDH($C$353,"NET_FIXED_ASSETS_1_YEAR_GROWTH","FQ2 2016","FQ2 2016","Currency=INR","Period=FQ","BEST_FPERIOD_OVERRIDE=FQ","FILING_STATUS=OR","EQY_CONSOLIDATED=Y","Sort=A","Dates=H","DateFormat=P","Fill=—","Direction=H","UseDPDF=Y")</f>
        <v>#NAME?</v>
      </c>
      <c r="AC365" s="2" t="e">
        <f ca="1">_xll.BDH($C$353,"ASSET_GROWTH","FQ2 2016","FQ2 2016","Currency=INR","Period=FQ","BEST_FPERIOD_OVERRIDE=FQ","FILING_STATUS=OR","EQY_CONSOLIDATED=Y","Sort=A","Dates=H","DateFormat=P","Fill=—","Direction=H","UseDPDF=Y")</f>
        <v>#NAME?</v>
      </c>
      <c r="AD365" s="2" t="e">
        <f ca="1">_xll.BDH($C$353,"MODIFIED_WORK_CAP_GROWTH","FQ2 2016","FQ2 2016","Currency=INR","Period=FQ","BEST_FPERIOD_OVERRIDE=FQ","FILING_STATUS=OR","EQY_CONSOLIDATED=Y","Sort=A","Dates=H","DateFormat=P","Fill=—","Direction=H","UseDPDF=Y")</f>
        <v>#NAME?</v>
      </c>
      <c r="AE365" s="2" t="e">
        <f ca="1">_xll.BDH($C$353,"WORK_CAP_GROWTH","FQ2 2016","FQ2 2016","Currency=INR","Period=FQ","BEST_FPERIOD_OVERRIDE=FQ","FILING_STATUS=OR","EQY_CONSOLIDATED=Y","Sort=A","Dates=H","DateFormat=P","Fill=—","Direction=H","UseDPDF=Y")</f>
        <v>#NAME?</v>
      </c>
      <c r="AF365" s="2" t="e">
        <f ca="1">_xll.BDH($C$353,"ACCOUNTS_PAYABLE_GROWTH_1YR","FQ2 2016","FQ2 2016","Currency=INR","Period=FQ","BEST_FPERIOD_OVERRIDE=FQ","FILING_STATUS=OR","EQY_CONSOLIDATED=Y","Sort=A","Dates=H","DateFormat=P","Fill=—","Direction=H","UseDPDF=Y")</f>
        <v>#NAME?</v>
      </c>
      <c r="AG365" s="2" t="e">
        <f ca="1">_xll.BDH($C$353,"SHORT_TERM_DEBT_1_YEAR_GROWTH","FQ2 2016","FQ2 2016","Currency=INR","Period=FQ","BEST_FPERIOD_OVERRIDE=FQ","FILING_STATUS=OR","EQY_CONSOLIDATED=Y","Sort=A","Dates=H","DateFormat=P","Fill=—","Direction=H","UseDPDF=Y")</f>
        <v>#NAME?</v>
      </c>
      <c r="AH365" s="2" t="e">
        <f ca="1">_xll.BDH($C$353,"TOTAL_DEBT_1_YEAR_GROWTH","FQ2 2016","FQ2 2016","Currency=INR","Period=FQ","BEST_FPERIOD_OVERRIDE=FQ","FILING_STATUS=OR","EQY_CONSOLIDATED=Y","Sort=A","Dates=H","DateFormat=P","Fill=—","Direction=H","UseDPDF=Y")</f>
        <v>#NAME?</v>
      </c>
      <c r="AI365" s="2" t="e">
        <f ca="1">_xll.BDH($C$353,"TOTAL_EQUITY_1_YEAR_GROWTH","FQ2 2016","FQ2 2016","Currency=INR","Period=FQ","BEST_FPERIOD_OVERRIDE=FQ","FILING_STATUS=OR","EQY_CONSOLIDATED=Y","Sort=A","Dates=H","DateFormat=P","Fill=—","Direction=H","UseDPDF=Y")</f>
        <v>#NAME?</v>
      </c>
      <c r="AJ365" s="2" t="e">
        <f ca="1">_xll.BDH($C$353,"GROWTH_IN_CAP","FQ2 2016","FQ2 2016","Currency=INR","Period=FQ","BEST_FPERIOD_OVERRIDE=FQ","FILING_STATUS=OR","EQY_CONSOLIDATED=Y","Sort=A","Dates=H","DateFormat=P","Fill=—","Direction=H","UseDPDF=Y")</f>
        <v>#NAME?</v>
      </c>
      <c r="AK365" s="2" t="e">
        <f ca="1">_xll.BDH($C$353,"BVPS_GROWTH","FQ2 2016","FQ2 2016","Currency=INR","Period=FQ","BEST_FPERIOD_OVERRIDE=FQ","FILING_STATUS=OR","EQY_CONSOLIDATED=Y","Sort=A","Dates=H","DateFormat=P","Fill=—","Direction=H","UseDPDF=Y")</f>
        <v>#NAME?</v>
      </c>
      <c r="AL365" s="2" t="e">
        <f ca="1">_xll.BDH($C$353,"CASH_FLOW_GROWTH","FQ2 2016","FQ2 2016","Currency=INR","Period=FQ","BEST_FPERIOD_OVERRIDE=FQ","FILING_STATUS=OR","EQY_CONSOLIDATED=Y","Sort=A","Dates=H","DateFormat=P","Fill=—","Direction=H","UseDPDF=Y")</f>
        <v>#NAME?</v>
      </c>
      <c r="AM365" s="2" t="e">
        <f ca="1">_xll.BDH($C$353,"GEO_GROW_NET_SALES","FQ2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365" s="2" t="e">
        <f ca="1">_xll.BDH($C$353,"GEO_GROW_EBITDA","FQ2 2016","FQ2 2016","Currency=INR","Period=FQ","BEST_FPERIOD_OVERRIDE=FQ","FILING_STATUS=OR","EQY_CONSOLIDATED=Y","FA_ADJUSTED=GAAP","Sort=A","Dates=H","DateFormat=P","Fill=—","Direction=H","UseDPDF=Y")</f>
        <v>#NAME?</v>
      </c>
      <c r="AO365" s="2" t="e">
        <f ca="1">_xll.BDH($C$353,"GEO_GROW_OPER_INC","FQ2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365" s="2" t="e">
        <f ca="1">_xll.BDH($C$353,"NET_INCOME_TO_COMMON_5_YR_GROWTH","FQ2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365" s="2" t="e">
        <f ca="1">_xll.BDH($C$353,"5Y_GEO_GROWTH_DILUTED_EPS","FQ2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365" s="2" t="e">
        <f ca="1">_xll.BDH($C$353,"GEO_GROW_DVD_PER_SH","FQ2 2016","FQ2 2016","Currency=INR","Period=FQ","BEST_FPERIOD_OVERRIDE=FQ","FILING_STATUS=OR","EQY_CONSOLIDATED=Y","Sort=A","Dates=H","DateFormat=P","Fill=—","Direction=H","UseDPDF=Y")</f>
        <v>#NAME?</v>
      </c>
      <c r="AS365" s="2" t="e">
        <f ca="1">_xll.BDH($C$353,"ACCOUNTS_RECEIVABLE_5_YR_GROWTH","FQ2 2016","FQ2 2016","Currency=INR","Period=FQ","BEST_FPERIOD_OVERRIDE=FQ","FILING_STATUS=OR","EQY_CONSOLIDATED=Y","Sort=A","Dates=H","DateFormat=P","Fill=—","Direction=H","UseDPDF=Y")</f>
        <v>#NAME?</v>
      </c>
      <c r="AT365" s="2" t="e">
        <f ca="1">_xll.BDH($C$353,"INVENTORY_5_YEAR_GROWTH","FQ2 2016","FQ2 2016","Currency=INR","Period=FQ","BEST_FPERIOD_OVERRIDE=FQ","FILING_STATUS=OR","EQY_CONSOLIDATED=Y","Sort=A","Dates=H","DateFormat=P","Fill=—","Direction=H","UseDPDF=Y")</f>
        <v>#NAME?</v>
      </c>
      <c r="AU365" s="2" t="e">
        <f ca="1">_xll.BDH($C$353,"NET_FIXED_ASSETS_5_YEAR_GROWTH","FQ2 2016","FQ2 2016","Currency=INR","Period=FQ","BEST_FPERIOD_OVERRIDE=FQ","FILING_STATUS=OR","EQY_CONSOLIDATED=Y","Sort=A","Dates=H","DateFormat=P","Fill=—","Direction=H","UseDPDF=Y")</f>
        <v>#NAME?</v>
      </c>
      <c r="AV365" s="2" t="e">
        <f ca="1">_xll.BDH($C$353,"GEO_GROW_TOT_ASSET","FQ2 2016","FQ2 2016","Currency=INR","Period=FQ","BEST_FPERIOD_OVERRIDE=FQ","FILING_STATUS=OR","EQY_CONSOLIDATED=Y","Sort=A","Dates=H","DateFormat=P","Fill=—","Direction=H","UseDPDF=Y")</f>
        <v>#NAME?</v>
      </c>
      <c r="AW365" s="2" t="e">
        <f ca="1">_xll.BDH($C$353,"MODIFIED_WORKING_CPTL_5YR_GRWTH","FQ2 2016","FQ2 2016","Currency=INR","Period=FQ","BEST_FPERIOD_OVERRIDE=FQ","FILING_STATUS=OR","EQY_CONSOLIDATED=Y","Sort=A","Dates=H","DateFormat=P","Fill=—","Direction=H","UseDPDF=Y")</f>
        <v>#NAME?</v>
      </c>
      <c r="AX365" s="2" t="e">
        <f ca="1">_xll.BDH($C$353,"WORKING_CAPITAL_5_YEAR_GROWTH","FQ2 2016","FQ2 2016","Currency=INR","Period=FQ","BEST_FPERIOD_OVERRIDE=FQ","FILING_STATUS=OR","EQY_CONSOLIDATED=Y","Sort=A","Dates=H","DateFormat=P","Fill=—","Direction=H","UseDPDF=Y")</f>
        <v>#NAME?</v>
      </c>
      <c r="AY365" s="2" t="e">
        <f ca="1">_xll.BDH($C$353,"ACCOUNTS_PAYABLE_5_YEAR_GROWTH","FQ2 2016","FQ2 2016","Currency=INR","Period=FQ","BEST_FPERIOD_OVERRIDE=FQ","FILING_STATUS=OR","EQY_CONSOLIDATED=Y","Sort=A","Dates=H","DateFormat=P","Fill=—","Direction=H","UseDPDF=Y")</f>
        <v>#NAME?</v>
      </c>
      <c r="AZ365" s="2" t="e">
        <f ca="1">_xll.BDH($C$353,"SHORT_TERM_DEBT_5_YEAR_GROWTH","FQ2 2016","FQ2 2016","Currency=INR","Period=FQ","BEST_FPERIOD_OVERRIDE=FQ","FILING_STATUS=OR","EQY_CONSOLIDATED=Y","Sort=A","Dates=H","DateFormat=P","Fill=—","Direction=H","UseDPDF=Y")</f>
        <v>#NAME?</v>
      </c>
      <c r="BA365" s="2" t="e">
        <f ca="1">_xll.BDH($C$353,"TOTAL_DEBT_5_YEAR_GROWTH","FQ2 2016","FQ2 2016","Currency=INR","Period=FQ","BEST_FPERIOD_OVERRIDE=FQ","FILING_STATUS=OR","EQY_CONSOLIDATED=Y","Sort=A","Dates=H","DateFormat=P","Fill=—","Direction=H","UseDPDF=Y")</f>
        <v>#NAME?</v>
      </c>
      <c r="BB365" s="2" t="e">
        <f ca="1">_xll.BDH($C$353,"GEO_GROW_TOT_SHRHLDR_EQY","FQ2 2016","FQ2 2016","Currency=INR","Period=FQ","BEST_FPERIOD_OVERRIDE=FQ","FILING_STATUS=OR","EQY_CONSOLIDATED=Y","Sort=A","Dates=H","DateFormat=P","Fill=—","Direction=H","UseDPDF=Y")</f>
        <v>#NAME?</v>
      </c>
      <c r="BC365" s="2" t="e">
        <f ca="1">_xll.BDH($C$353,"TOTAL_CAPITAL_5_YEAR_GROWTH","FQ2 2016","FQ2 2016","Currency=INR","Period=FQ","BEST_FPERIOD_OVERRIDE=FQ","FILING_STATUS=OR","EQY_CONSOLIDATED=Y","Sort=A","Dates=H","DateFormat=P","Fill=—","Direction=H","UseDPDF=Y")</f>
        <v>#NAME?</v>
      </c>
      <c r="BD365" s="2" t="e">
        <f ca="1">_xll.BDH($C$353,"GEO_GROW_BOOK_VAL","FQ2 2016","FQ2 2016","Currency=INR","Period=FQ","BEST_FPERIOD_OVERRIDE=FQ","FILING_STATUS=OR","EQY_CONSOLIDATED=Y","Sort=A","Dates=H","DateFormat=P","Fill=—","Direction=H","UseDPDF=Y")</f>
        <v>#NAME?</v>
      </c>
      <c r="BE365" s="2" t="e">
        <f ca="1">_xll.BDH($C$353,"GEO_GROW_CASH_OPER_ACT","FQ2 2016","FQ2 2016","Currency=INR","Period=FQ","BEST_FPERIOD_OVERRIDE=FQ","FILING_STATUS=OR","EQY_CONSOLIDATED=Y","Sort=A","Dates=H","DateFormat=P","Fill=—","Direction=H","UseDPDF=Y")</f>
        <v>#NAME?</v>
      </c>
      <c r="BF365" s="2" t="e">
        <f ca="1">_xll.BDH($C$353,"REVENUE_SEQUENTIAL_GROWTH","FQ2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365" s="2" t="e">
        <f ca="1">_xll.BDH($C$353,"EBITDA_SEQUENTIAL_GROWTH","FQ2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365" s="2" t="e">
        <f ca="1">_xll.BDH($C$353,"OPERATING_INCOME_SEQ_GROWTH","FQ2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365" s="2" t="e">
        <f ca="1">_xll.BDH($C$353,"NET_INCOME_TO_COMMON_SEQ_GROWTH","FQ2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365" s="2" t="e">
        <f ca="1">_xll.BDH($C$353,"EPS_DILUTED_SEQUENTIAL_GROWTH","FQ2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365" s="2" t="e">
        <f ca="1">_xll.BDH($C$353,"DPS_SEQUENTIAL_GROWTH","FQ2 2016","FQ2 2016","Currency=INR","Period=FQ","BEST_FPERIOD_OVERRIDE=FQ","FILING_STATUS=OR","EQY_CONSOLIDATED=Y","Sort=A","Dates=H","DateFormat=P","Fill=—","Direction=H","UseDPDF=Y")</f>
        <v>#NAME?</v>
      </c>
      <c r="BL365" s="2" t="e">
        <f ca="1">_xll.BDH($C$353,"ACCOUNTS_RECEIVABLE_SEQ_GROWTH","FQ2 2016","FQ2 2016","Currency=INR","Period=FQ","BEST_FPERIOD_OVERRIDE=FQ","FILING_STATUS=OR","EQY_CONSOLIDATED=Y","Sort=A","Dates=H","DateFormat=P","Fill=—","Direction=H","UseDPDF=Y")</f>
        <v>#NAME?</v>
      </c>
      <c r="BM365" s="2" t="e">
        <f ca="1">_xll.BDH($C$353,"INVENTORY_SEQUENTIAL_GROWTH","FQ2 2016","FQ2 2016","Currency=INR","Period=FQ","BEST_FPERIOD_OVERRIDE=FQ","FILING_STATUS=OR","EQY_CONSOLIDATED=Y","Sort=A","Dates=H","DateFormat=P","Fill=—","Direction=H","UseDPDF=Y")</f>
        <v>#NAME?</v>
      </c>
      <c r="BN365" s="2" t="e">
        <f ca="1">_xll.BDH($C$353,"FIXED_ASSETS_SEQUENTIAL_GROWTH","FQ2 2016","FQ2 2016","Currency=INR","Period=FQ","BEST_FPERIOD_OVERRIDE=FQ","FILING_STATUS=OR","EQY_CONSOLIDATED=Y","Sort=A","Dates=H","DateFormat=P","Fill=—","Direction=H","UseDPDF=Y")</f>
        <v>#NAME?</v>
      </c>
      <c r="BO365" s="2" t="e">
        <f ca="1">_xll.BDH($C$353,"TOTAL_ASSETS_SEQUENTIAL_GROWTH","FQ2 2016","FQ2 2016","Currency=INR","Period=FQ","BEST_FPERIOD_OVERRIDE=FQ","FILING_STATUS=OR","EQY_CONSOLIDATED=Y","Sort=A","Dates=H","DateFormat=P","Fill=—","Direction=H","UseDPDF=Y")</f>
        <v>#NAME?</v>
      </c>
      <c r="BP365" s="2" t="e">
        <f ca="1">_xll.BDH($C$353,"MODIFIED_WORKING_CPTL_SEQ_GRWTH","FQ2 2016","FQ2 2016","Currency=INR","Period=FQ","BEST_FPERIOD_OVERRIDE=FQ","FILING_STATUS=OR","EQY_CONSOLIDATED=Y","Sort=A","Dates=H","DateFormat=P","Fill=—","Direction=H","UseDPDF=Y")</f>
        <v>#NAME?</v>
      </c>
      <c r="BQ365" s="2" t="e">
        <f ca="1">_xll.BDH($C$353,"WORKING_CAPITAL_SEQ_GROWTH","FQ2 2016","FQ2 2016","Currency=INR","Period=FQ","BEST_FPERIOD_OVERRIDE=FQ","FILING_STATUS=OR","EQY_CONSOLIDATED=Y","Sort=A","Dates=H","DateFormat=P","Fill=—","Direction=H","UseDPDF=Y")</f>
        <v>#NAME?</v>
      </c>
      <c r="BR365" s="2" t="e">
        <f ca="1">_xll.BDH($C$353,"ACCOUNTS_PAYABLE_SEQ_GROWTH","FQ2 2016","FQ2 2016","Currency=INR","Period=FQ","BEST_FPERIOD_OVERRIDE=FQ","FILING_STATUS=OR","EQY_CONSOLIDATED=Y","Sort=A","Dates=H","DateFormat=P","Fill=—","Direction=H","UseDPDF=Y")</f>
        <v>#NAME?</v>
      </c>
      <c r="BS365" s="2" t="e">
        <f ca="1">_xll.BDH($C$353,"ST_DEBT_SEQUENTIAL_GROWTH","FQ2 2016","FQ2 2016","Currency=INR","Period=FQ","BEST_FPERIOD_OVERRIDE=FQ","FILING_STATUS=OR","EQY_CONSOLIDATED=Y","Sort=A","Dates=H","DateFormat=P","Fill=—","Direction=H","UseDPDF=Y")</f>
        <v>#NAME?</v>
      </c>
      <c r="BT365" s="2" t="e">
        <f ca="1">_xll.BDH($C$353,"TOTAL_DEBT_SEQUENTIAL_GROWTH","FQ2 2016","FQ2 2016","Currency=INR","Period=FQ","BEST_FPERIOD_OVERRIDE=FQ","FILING_STATUS=OR","EQY_CONSOLIDATED=Y","Sort=A","Dates=H","DateFormat=P","Fill=—","Direction=H","UseDPDF=Y")</f>
        <v>#NAME?</v>
      </c>
      <c r="BU365" s="2" t="e">
        <f ca="1">_xll.BDH($C$353,"TOTAL_EQUITY_SEQUENTIAL_GROWTH","FQ2 2016","FQ2 2016","Currency=INR","Period=FQ","BEST_FPERIOD_OVERRIDE=FQ","FILING_STATUS=OR","EQY_CONSOLIDATED=Y","Sort=A","Dates=H","DateFormat=P","Fill=—","Direction=H","UseDPDF=Y")</f>
        <v>#NAME?</v>
      </c>
      <c r="BV365" s="2" t="e">
        <f ca="1">_xll.BDH($C$353,"TOTAL_CAPITAL_SEQUENTIAL_GROWTH","FQ2 2016","FQ2 2016","Currency=INR","Period=FQ","BEST_FPERIOD_OVERRIDE=FQ","FILING_STATUS=OR","EQY_CONSOLIDATED=Y","Sort=A","Dates=H","DateFormat=P","Fill=—","Direction=H","UseDPDF=Y")</f>
        <v>#NAME?</v>
      </c>
      <c r="BW365" s="2" t="e">
        <f ca="1">_xll.BDH($C$353,"BPS_SEQUENTIAL_GROWTH","FQ2 2016","FQ2 2016","Currency=INR","Period=FQ","BEST_FPERIOD_OVERRIDE=FQ","FILING_STATUS=OR","EQY_CONSOLIDATED=Y","Sort=A","Dates=H","DateFormat=P","Fill=—","Direction=H","UseDPDF=Y")</f>
        <v>#NAME?</v>
      </c>
      <c r="BX365" s="2" t="e">
        <f ca="1">_xll.BDH($C$353,"CFO_SEQUENTIAL_GROWTH","FQ2 2016","FQ2 2016","Currency=INR","Period=FQ","BEST_FPERIOD_OVERRIDE=FQ","FILING_STATUS=OR","EQY_CONSOLIDATED=Y","Sort=A","Dates=H","DateFormat=P","Fill=—","Direction=H","UseDPDF=Y")</f>
        <v>#NAME?</v>
      </c>
      <c r="BY365" s="3" t="e">
        <f ca="1">_xll.BDH($C$353,"SHORT_AND_LONG_TERM_DEBT","FQ2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365" s="3" t="e">
        <f ca="1">_xll.BDH($C$353,"BS_ST_BORROW","FQ2 2016","FQ2 2016","Currency=INR","Period=FQ","BEST_FPERIOD_OVERRIDE=FQ","FILING_STATUS=OR","EQY_CONSOLIDATED=Y","SCALING_FORMAT=MLN","Sort=A","Dates=H","DateFormat=P","Fill=—","Direction=H","UseDPDF=Y")</f>
        <v>#NAME?</v>
      </c>
      <c r="CA365" s="3" t="e">
        <f ca="1">_xll.BDH($C$353,"BS_LT_BORROW","FQ2 2016","FQ2 2016","Currency=INR","Period=FQ","BEST_FPERIOD_OVERRIDE=FQ","FILING_STATUS=OR","EQY_CONSOLIDATED=Y","SCALING_FORMAT=MLN","Sort=A","Dates=H","DateFormat=P","Fill=—","Direction=H","UseDPDF=Y")</f>
        <v>#NAME?</v>
      </c>
      <c r="CB365" s="2" t="e">
        <f ca="1">_xll.BDH($C$353,"TOT_DEBT_TO_EBITDA","FQ2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365" s="2" t="e">
        <f ca="1">_xll.BDH($C$353,"NET_DEBT_TO_EBITDA","FQ2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365" s="2" t="e">
        <f ca="1">_xll.BDH($C$353,"TOTAL_DEBT_TO_EBIT","FQ2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365" s="2" t="e">
        <f ca="1">_xll.BDH($C$353,"NET_DEBT_TO_EBIT","FQ2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365" s="2" t="e">
        <f ca="1">_xll.BDH($C$353,"EBITDA_TO_INTEREST_EXPN","FQ2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365" s="2" t="e">
        <f ca="1">_xll.BDH($C$353,"COM_EQY_TO_TOT_ASSET","FQ2 2016","FQ2 2016","Currency=INR","Period=FQ","BEST_FPERIOD_OVERRIDE=FQ","FILING_STATUS=OR","EQY_CONSOLIDATED=Y","Sort=A","Dates=H","DateFormat=P","Fill=—","Direction=H","UseDPDF=Y")</f>
        <v>#NAME?</v>
      </c>
      <c r="CH365" s="2" t="e">
        <f ca="1">_xll.BDH($C$353,"LT_DEBT_TO_TOT_EQY","FQ2 2016","FQ2 2016","Currency=INR","Period=FQ","BEST_FPERIOD_OVERRIDE=FQ","FILING_STATUS=OR","EQY_CONSOLIDATED=Y","Sort=A","Dates=H","DateFormat=P","Fill=—","Direction=H","UseDPDF=Y")</f>
        <v>#NAME?</v>
      </c>
      <c r="CI365" s="2" t="e">
        <f ca="1">_xll.BDH($C$353,"LT_DEBT_TO_TOT_CAP","FQ2 2016","FQ2 2016","Currency=INR","Period=FQ","BEST_FPERIOD_OVERRIDE=FQ","FILING_STATUS=OR","EQY_CONSOLIDATED=Y","Sort=A","Dates=H","DateFormat=P","Fill=—","Direction=H","UseDPDF=Y")</f>
        <v>#NAME?</v>
      </c>
      <c r="CJ365" s="2" t="e">
        <f ca="1">_xll.BDH($C$353,"LT_DEBT_TO_TOT_ASSET","FQ2 2016","FQ2 2016","Currency=INR","Period=FQ","BEST_FPERIOD_OVERRIDE=FQ","FILING_STATUS=OR","EQY_CONSOLIDATED=Y","Sort=A","Dates=H","DateFormat=P","Fill=—","Direction=H","UseDPDF=Y")</f>
        <v>#NAME?</v>
      </c>
      <c r="CK365" s="2" t="e">
        <f ca="1">_xll.BDH($C$353,"TOT_DEBT_TO_TOT_EQY","FQ2 2016","FQ2 2016","Currency=INR","Period=FQ","BEST_FPERIOD_OVERRIDE=FQ","FILING_STATUS=OR","EQY_CONSOLIDATED=Y","Sort=A","Dates=H","DateFormat=P","Fill=—","Direction=H","UseDPDF=Y")</f>
        <v>#NAME?</v>
      </c>
      <c r="CL365" s="2" t="e">
        <f ca="1">_xll.BDH($C$353,"TOT_DEBT_TO_TOT_CAP","FQ2 2016","FQ2 2016","Currency=INR","Period=FQ","BEST_FPERIOD_OVERRIDE=FQ","FILING_STATUS=OR","EQY_CONSOLIDATED=Y","Sort=A","Dates=H","DateFormat=P","Fill=—","Direction=H","UseDPDF=Y")</f>
        <v>#NAME?</v>
      </c>
      <c r="CM365" s="2" t="e">
        <f ca="1">_xll.BDH($C$353,"TOT_DEBT_TO_TOT_ASSET","FQ2 2016","FQ2 2016","Currency=INR","Period=FQ","BEST_FPERIOD_OVERRIDE=FQ","FILING_STATUS=OR","EQY_CONSOLIDATED=Y","Sort=A","Dates=H","DateFormat=P","Fill=—","Direction=H","UseDPDF=Y")</f>
        <v>#NAME?</v>
      </c>
      <c r="CN365" s="2" t="e">
        <f ca="1">_xll.BDH($C$353,"NET_DEBT_TO_SHRHLDR_EQTY","FQ2 2016","FQ2 2016","Currency=INR","Period=FQ","BEST_FPERIOD_OVERRIDE=FQ","FILING_STATUS=OR","EQY_CONSOLIDATED=Y","Sort=A","Dates=H","DateFormat=P","Fill=—","Direction=H","UseDPDF=Y")</f>
        <v>#NAME?</v>
      </c>
      <c r="CO365" s="2" t="e">
        <f ca="1">_xll.BDH($C$353,"NET_DEBT_%_CAPITAL","FQ2 2016","FQ2 2016","Currency=INR","Period=FQ","BEST_FPERIOD_OVERRIDE=FQ","FILING_STATUS=OR","EQY_CONSOLIDATED=Y","Sort=A","Dates=H","DateFormat=P","Fill=—","Direction=H","UseDPDF=Y")</f>
        <v>#NAME?</v>
      </c>
      <c r="CP365" s="3" t="e">
        <f ca="1">_xll.BDH($C$353,"EBITDA","FQ2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365" s="3" t="e">
        <f ca="1">_xll.BDH($C$353,"EBITDA_AFTER_CAPEX","FQ2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365" s="3" t="e">
        <f ca="1">_xll.BDH($C$353,"IS_OPER_INC","FQ2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365" s="2" t="e">
        <f ca="1">_xll.BDH($C$353,"CASH_RATIO","FQ2 2016","FQ2 2016","Currency=INR","Period=FQ","BEST_FPERIOD_OVERRIDE=FQ","FILING_STATUS=OR","EQY_CONSOLIDATED=Y","Sort=A","Dates=H","DateFormat=P","Fill=—","Direction=H","UseDPDF=Y")</f>
        <v>#NAME?</v>
      </c>
      <c r="CT365" s="2" t="e">
        <f ca="1">_xll.BDH($C$353,"CUR_RATIO","FQ2 2016","FQ2 2016","Currency=INR","Period=FQ","BEST_FPERIOD_OVERRIDE=FQ","FILING_STATUS=OR","EQY_CONSOLIDATED=Y","Sort=A","Dates=H","DateFormat=P","Fill=—","Direction=H","UseDPDF=Y")</f>
        <v>#NAME?</v>
      </c>
      <c r="CU365" s="2" t="e">
        <f ca="1">_xll.BDH($C$353,"QUICK_RATIO","FQ2 2016","FQ2 2016","Currency=INR","Period=FQ","BEST_FPERIOD_OVERRIDE=FQ","FILING_STATUS=OR","EQY_CONSOLIDATED=Y","Sort=A","Dates=H","DateFormat=P","Fill=—","Direction=H","UseDPDF=Y")</f>
        <v>#NAME?</v>
      </c>
      <c r="CV365" s="2" t="e">
        <f ca="1">_xll.BDH($C$353,"ALTMAN_Z_SCORE","FQ2 2016","FQ2 2016","Currency=INR","Period=FQ","BEST_FPERIOD_OVERRIDE=FQ","FILING_STATUS=OR","EQY_CONSOLIDATED=Y","Sort=A","Dates=H","DateFormat=P","Fill=—","Direction=H","UseDPDF=Y")</f>
        <v>#NAME?</v>
      </c>
      <c r="CW365" s="4" t="e">
        <f ca="1">_xll.BDH($C$353,"ACCT_RCV_TURN","FQ2 2016","FQ2 2016","Currency=INR","Period=FQ","BEST_FPERIOD_OVERRIDE=FQ","FILING_STATUS=OR","EQY_CONSOLIDATED=Y","FA_ADJUSTED=GAAP","Sort=A","Dates=H","DateFormat=P","Fill=—","Direction=H","UseDPDF=Y")</f>
        <v>#NAME?</v>
      </c>
      <c r="CX365" s="2" t="e">
        <f ca="1">_xll.BDH($C$353,"ACCT_RCV_DAYS","FQ2 2016","FQ2 2016","Currency=INR","Period=FQ","BEST_FPERIOD_OVERRIDE=FQ","FILING_STATUS=OR","EQY_CONSOLIDATED=Y","FA_ADJUSTED=GAAP","Sort=A","Dates=H","DateFormat=P","Fill=—","Direction=H","UseDPDF=Y")</f>
        <v>#NAME?</v>
      </c>
      <c r="CY365" s="4" t="e">
        <f ca="1">_xll.BDH($C$353,"INVENT_TURN","FQ2 2016","FQ2 2016","Currency=INR","Period=FQ","BEST_FPERIOD_OVERRIDE=FQ","FILING_STATUS=OR","EQY_CONSOLIDATED=Y","FA_ADJUSTED=GAAP","Sort=A","Dates=H","DateFormat=P","Fill=—","Direction=H","UseDPDF=Y")</f>
        <v>#NAME?</v>
      </c>
      <c r="CZ365" s="2" t="e">
        <f ca="1">_xll.BDH($C$353,"INVENT_DAYS","FQ2 2016","FQ2 2016","Currency=INR","Period=FQ","BEST_FPERIOD_OVERRIDE=FQ","FILING_STATUS=OR","EQY_CONSOLIDATED=Y","FA_ADJUSTED=GAAP","Sort=A","Dates=H","DateFormat=P","Fill=—","Direction=H","UseDPDF=Y")</f>
        <v>#NAME?</v>
      </c>
      <c r="DA365" s="4" t="e">
        <f ca="1">_xll.BDH($C$353,"ACCOUNTS_PAYABLE_TURNOVER","FQ2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365" s="2" t="e">
        <f ca="1">_xll.BDH($C$353,"ACCOUNTS_PAYABLE_TURNOVER_DAYS","FQ2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365" s="4" t="e">
        <f ca="1">_xll.BDH($C$353,"CASH_CONVERSION_CYCLE","FQ2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365" s="4" t="e">
        <f ca="1">_xll.BDH($C$353,"INV_TO_CASH_DAYS","FQ2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365" s="5" t="e">
        <f ca="1">_xll.BDH($C$353,"BS_INVENTORIES","FQ2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365" s="3" t="e">
        <f ca="1">_xll.BDH($C$353,"INVTRY_RAW_MATERIALS","FQ2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365" s="3" t="e">
        <f ca="1">_xll.BDH($C$353,"INVTRY_IN_PROGRESS","FQ2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365" s="3" t="e">
        <f ca="1">_xll.BDH($C$353,"INVTRY_FINISHED_GOODS","FQ2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365" s="3" t="e">
        <f ca="1">_xll.BDH($C$353,"BS_OTHER_INV","FQ2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366" spans="1:113" x14ac:dyDescent="0.3">
      <c r="A366" s="6"/>
      <c r="B366" s="6"/>
      <c r="C366" s="6"/>
      <c r="D366" s="6"/>
      <c r="E366" t="s">
        <v>80</v>
      </c>
      <c r="F366" t="e">
        <f ca="1">_xll.BDH($C$353,"RETURN_COM_EQY","FQ3 2016","FQ3 2016","Currency=INR","Period=FQ","BEST_FPERIOD_OVERRIDE=FQ","FILING_STATUS=OR","EQY_CONSOLIDATED=Y","FA_ADJUSTED=GAAP","Sort=A","Dates=H","DateFormat=P","Fill=—","Direction=H","UseDPDF=Y")</f>
        <v>#NAME?</v>
      </c>
      <c r="G366" t="e">
        <f ca="1">_xll.BDH($C$353,"RETURN_ON_ASSET","FQ3 2016","FQ3 2016","Currency=INR","Period=FQ","BEST_FPERIOD_OVERRIDE=FQ","FILING_STATUS=OR","EQY_CONSOLIDATED=Y","FA_ADJUSTED=GAAP","Sort=A","Dates=H","DateFormat=P","Fill=—","Direction=H","UseDPDF=Y")</f>
        <v>#NAME?</v>
      </c>
      <c r="H366" t="e">
        <f ca="1">_xll.BDH($C$353,"RETURN_ON_CAP","FQ3 2016","FQ3 2016","Currency=INR","Period=FQ","BEST_FPERIOD_OVERRIDE=FQ","FILING_STATUS=OR","EQY_CONSOLIDATED=Y","FA_ADJUSTED=GAAP","Sort=A","Dates=H","DateFormat=P","Fill=—","Direction=H","UseDPDF=Y")</f>
        <v>#NAME?</v>
      </c>
      <c r="I366" t="e">
        <f ca="1">_xll.BDH($C$353,"RETURN_ON_INV_CAPITAL","FQ3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366" t="e">
        <f ca="1">_xll.BDH($C$353,"EBITDA_TO_REVENUE","FQ3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366" t="e">
        <f ca="1">_xll.BDH($C$353,"OPER_MARGIN","FQ3 2016","FQ3 2016","Currency=INR","Period=FQ","BEST_FPERIOD_OVERRIDE=FQ","FILING_STATUS=OR","EQY_CONSOLIDATED=Y","FA_ADJUSTED=GAAP","Sort=A","Dates=H","DateFormat=P","Fill=—","Direction=H","UseDPDF=Y")</f>
        <v>#NAME?</v>
      </c>
      <c r="L366" t="e">
        <f ca="1">_xll.BDH($C$353,"INCREMENTAL_OPERATING_MARGIN","FQ3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366" t="e">
        <f ca="1">_xll.BDH($C$353,"PRETAX_INC_TO_NET_SALES","FQ3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366" t="e">
        <f ca="1">_xll.BDH($C$353,"INC_BEF_XO_ITEMS_TO_NET_SALES","FQ3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366" t="e">
        <f ca="1">_xll.BDH($C$353,"PROF_MARGIN","FQ3 2016","FQ3 2016","Currency=INR","Period=FQ","BEST_FPERIOD_OVERRIDE=FQ","FILING_STATUS=OR","EQY_CONSOLIDATED=Y","FA_ADJUSTED=GAAP","Sort=A","Dates=H","DateFormat=P","Fill=—","Direction=H","UseDPDF=Y")</f>
        <v>#NAME?</v>
      </c>
      <c r="P366" t="e">
        <f ca="1">_xll.BDH($C$353,"NET_INCOME_TO_COMMON_MARGIN","FQ3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366" t="e">
        <f ca="1">_xll.BDH($C$353,"EFF_TAX_RATE","FQ3 2016","FQ3 2016","Currency=INR","Period=FQ","BEST_FPERIOD_OVERRIDE=FQ","FILING_STATUS=OR","EQY_CONSOLIDATED=Y","FA_ADJUSTED=GAAP","Sort=A","Dates=H","DateFormat=P","Fill=—","Direction=H","UseDPDF=Y")</f>
        <v>#NAME?</v>
      </c>
      <c r="R366" t="e">
        <f ca="1">_xll.BDH($C$353,"DVD_PAYOUT_RATIO","FQ3 2016","FQ3 2016","Currency=INR","Period=FQ","BEST_FPERIOD_OVERRIDE=FQ","FILING_STATUS=OR","EQY_CONSOLIDATED=Y","FA_ADJUSTED=GAAP","Sort=A","Dates=H","DateFormat=P","Fill=—","Direction=H","UseDPDF=Y")</f>
        <v>#NAME?</v>
      </c>
      <c r="S366" t="e">
        <f ca="1">_xll.BDH($C$353,"SUSTAIN_GROWTH_RT","FQ3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366" s="2" t="e">
        <f ca="1">_xll.BDH($C$353,"SALES_GROWTH","FQ3 2016","FQ3 2016","Currency=INR","Period=FQ","BEST_FPERIOD_OVERRIDE=FQ","FILING_STATUS=OR","EQY_CONSOLIDATED=Y","FA_ADJUSTED=GAAP","Sort=A","Dates=H","DateFormat=P","Fill=—","Direction=H","UseDPDF=Y")</f>
        <v>#NAME?</v>
      </c>
      <c r="U366" s="2" t="e">
        <f ca="1">_xll.BDH($C$353,"EBITDA_GROWTH","FQ3 2016","FQ3 2016","Currency=INR","Period=FQ","BEST_FPERIOD_OVERRIDE=FQ","FILING_STATUS=OR","EQY_CONSOLIDATED=Y","FA_ADJUSTED=GAAP","Sort=A","Dates=H","DateFormat=P","Fill=—","Direction=H","UseDPDF=Y")</f>
        <v>#NAME?</v>
      </c>
      <c r="V366" s="2" t="e">
        <f ca="1">_xll.BDH($C$353,"OPER_INC_GROWTH","FQ3 2016","FQ3 2016","Currency=INR","Period=FQ","BEST_FPERIOD_OVERRIDE=FQ","FILING_STATUS=OR","EQY_CONSOLIDATED=Y","FA_ADJUSTED=GAAP","Sort=A","Dates=H","DateFormat=P","Fill=—","Direction=H","UseDPDF=Y")</f>
        <v>#NAME?</v>
      </c>
      <c r="W366" s="2" t="e">
        <f ca="1">_xll.BDH($C$353,"EARN_FOR_COM_GROWTH","FQ3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366" s="2" t="e">
        <f ca="1">_xll.BDH($C$353,"DILUTED_EPS_AFT_XO_ITEMS_GROWTH","FQ3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366" s="2" t="e">
        <f ca="1">_xll.BDH($C$353,"DIVIDEND_PER_SHARE_1_YEAR_GROWTH","FQ3 2016","FQ3 2016","Currency=INR","Period=FQ","BEST_FPERIOD_OVERRIDE=FQ","FILING_STATUS=OR","EQY_CONSOLIDATED=Y","Sort=A","Dates=H","DateFormat=P","Fill=—","Direction=H","UseDPDF=Y")</f>
        <v>#NAME?</v>
      </c>
      <c r="Z366" s="2" t="e">
        <f ca="1">_xll.BDH($C$353,"ACCOUNTS_RECEIVABLE_GROWTH","FQ3 2016","FQ3 2016","Currency=INR","Period=FQ","BEST_FPERIOD_OVERRIDE=FQ","FILING_STATUS=OR","EQY_CONSOLIDATED=Y","Sort=A","Dates=H","DateFormat=P","Fill=—","Direction=H","UseDPDF=Y")</f>
        <v>#NAME?</v>
      </c>
      <c r="AA366" s="2" t="e">
        <f ca="1">_xll.BDH($C$353,"INVENTORY_GROWTH","FQ3 2016","FQ3 2016","Currency=INR","Period=FQ","BEST_FPERIOD_OVERRIDE=FQ","FILING_STATUS=OR","EQY_CONSOLIDATED=Y","Sort=A","Dates=H","DateFormat=P","Fill=—","Direction=H","UseDPDF=Y")</f>
        <v>#NAME?</v>
      </c>
      <c r="AB366" s="2" t="e">
        <f ca="1">_xll.BDH($C$353,"NET_FIXED_ASSETS_1_YEAR_GROWTH","FQ3 2016","FQ3 2016","Currency=INR","Period=FQ","BEST_FPERIOD_OVERRIDE=FQ","FILING_STATUS=OR","EQY_CONSOLIDATED=Y","Sort=A","Dates=H","DateFormat=P","Fill=—","Direction=H","UseDPDF=Y")</f>
        <v>#NAME?</v>
      </c>
      <c r="AC366" s="2" t="e">
        <f ca="1">_xll.BDH($C$353,"ASSET_GROWTH","FQ3 2016","FQ3 2016","Currency=INR","Period=FQ","BEST_FPERIOD_OVERRIDE=FQ","FILING_STATUS=OR","EQY_CONSOLIDATED=Y","Sort=A","Dates=H","DateFormat=P","Fill=—","Direction=H","UseDPDF=Y")</f>
        <v>#NAME?</v>
      </c>
      <c r="AD366" s="2" t="e">
        <f ca="1">_xll.BDH($C$353,"MODIFIED_WORK_CAP_GROWTH","FQ3 2016","FQ3 2016","Currency=INR","Period=FQ","BEST_FPERIOD_OVERRIDE=FQ","FILING_STATUS=OR","EQY_CONSOLIDATED=Y","Sort=A","Dates=H","DateFormat=P","Fill=—","Direction=H","UseDPDF=Y")</f>
        <v>#NAME?</v>
      </c>
      <c r="AE366" s="2" t="e">
        <f ca="1">_xll.BDH($C$353,"WORK_CAP_GROWTH","FQ3 2016","FQ3 2016","Currency=INR","Period=FQ","BEST_FPERIOD_OVERRIDE=FQ","FILING_STATUS=OR","EQY_CONSOLIDATED=Y","Sort=A","Dates=H","DateFormat=P","Fill=—","Direction=H","UseDPDF=Y")</f>
        <v>#NAME?</v>
      </c>
      <c r="AF366" s="2" t="e">
        <f ca="1">_xll.BDH($C$353,"ACCOUNTS_PAYABLE_GROWTH_1YR","FQ3 2016","FQ3 2016","Currency=INR","Period=FQ","BEST_FPERIOD_OVERRIDE=FQ","FILING_STATUS=OR","EQY_CONSOLIDATED=Y","Sort=A","Dates=H","DateFormat=P","Fill=—","Direction=H","UseDPDF=Y")</f>
        <v>#NAME?</v>
      </c>
      <c r="AG366" s="2" t="e">
        <f ca="1">_xll.BDH($C$353,"SHORT_TERM_DEBT_1_YEAR_GROWTH","FQ3 2016","FQ3 2016","Currency=INR","Period=FQ","BEST_FPERIOD_OVERRIDE=FQ","FILING_STATUS=OR","EQY_CONSOLIDATED=Y","Sort=A","Dates=H","DateFormat=P","Fill=—","Direction=H","UseDPDF=Y")</f>
        <v>#NAME?</v>
      </c>
      <c r="AH366" s="2" t="e">
        <f ca="1">_xll.BDH($C$353,"TOTAL_DEBT_1_YEAR_GROWTH","FQ3 2016","FQ3 2016","Currency=INR","Period=FQ","BEST_FPERIOD_OVERRIDE=FQ","FILING_STATUS=OR","EQY_CONSOLIDATED=Y","Sort=A","Dates=H","DateFormat=P","Fill=—","Direction=H","UseDPDF=Y")</f>
        <v>#NAME?</v>
      </c>
      <c r="AI366" s="2" t="e">
        <f ca="1">_xll.BDH($C$353,"TOTAL_EQUITY_1_YEAR_GROWTH","FQ3 2016","FQ3 2016","Currency=INR","Period=FQ","BEST_FPERIOD_OVERRIDE=FQ","FILING_STATUS=OR","EQY_CONSOLIDATED=Y","Sort=A","Dates=H","DateFormat=P","Fill=—","Direction=H","UseDPDF=Y")</f>
        <v>#NAME?</v>
      </c>
      <c r="AJ366" s="2" t="e">
        <f ca="1">_xll.BDH($C$353,"GROWTH_IN_CAP","FQ3 2016","FQ3 2016","Currency=INR","Period=FQ","BEST_FPERIOD_OVERRIDE=FQ","FILING_STATUS=OR","EQY_CONSOLIDATED=Y","Sort=A","Dates=H","DateFormat=P","Fill=—","Direction=H","UseDPDF=Y")</f>
        <v>#NAME?</v>
      </c>
      <c r="AK366" s="2" t="e">
        <f ca="1">_xll.BDH($C$353,"BVPS_GROWTH","FQ3 2016","FQ3 2016","Currency=INR","Period=FQ","BEST_FPERIOD_OVERRIDE=FQ","FILING_STATUS=OR","EQY_CONSOLIDATED=Y","Sort=A","Dates=H","DateFormat=P","Fill=—","Direction=H","UseDPDF=Y")</f>
        <v>#NAME?</v>
      </c>
      <c r="AL366" s="2" t="e">
        <f ca="1">_xll.BDH($C$353,"CASH_FLOW_GROWTH","FQ3 2016","FQ3 2016","Currency=INR","Period=FQ","BEST_FPERIOD_OVERRIDE=FQ","FILING_STATUS=OR","EQY_CONSOLIDATED=Y","Sort=A","Dates=H","DateFormat=P","Fill=—","Direction=H","UseDPDF=Y")</f>
        <v>#NAME?</v>
      </c>
      <c r="AM366" s="2" t="e">
        <f ca="1">_xll.BDH($C$353,"GEO_GROW_NET_SALES","FQ3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366" s="2" t="e">
        <f ca="1">_xll.BDH($C$353,"GEO_GROW_EBITDA","FQ3 2016","FQ3 2016","Currency=INR","Period=FQ","BEST_FPERIOD_OVERRIDE=FQ","FILING_STATUS=OR","EQY_CONSOLIDATED=Y","FA_ADJUSTED=GAAP","Sort=A","Dates=H","DateFormat=P","Fill=—","Direction=H","UseDPDF=Y")</f>
        <v>#NAME?</v>
      </c>
      <c r="AO366" s="2" t="e">
        <f ca="1">_xll.BDH($C$353,"GEO_GROW_OPER_INC","FQ3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366" s="2" t="e">
        <f ca="1">_xll.BDH($C$353,"NET_INCOME_TO_COMMON_5_YR_GROWTH","FQ3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366" s="2" t="e">
        <f ca="1">_xll.BDH($C$353,"5Y_GEO_GROWTH_DILUTED_EPS","FQ3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366" s="2" t="e">
        <f ca="1">_xll.BDH($C$353,"GEO_GROW_DVD_PER_SH","FQ3 2016","FQ3 2016","Currency=INR","Period=FQ","BEST_FPERIOD_OVERRIDE=FQ","FILING_STATUS=OR","EQY_CONSOLIDATED=Y","Sort=A","Dates=H","DateFormat=P","Fill=—","Direction=H","UseDPDF=Y")</f>
        <v>#NAME?</v>
      </c>
      <c r="AS366" s="2" t="e">
        <f ca="1">_xll.BDH($C$353,"ACCOUNTS_RECEIVABLE_5_YR_GROWTH","FQ3 2016","FQ3 2016","Currency=INR","Period=FQ","BEST_FPERIOD_OVERRIDE=FQ","FILING_STATUS=OR","EQY_CONSOLIDATED=Y","Sort=A","Dates=H","DateFormat=P","Fill=—","Direction=H","UseDPDF=Y")</f>
        <v>#NAME?</v>
      </c>
      <c r="AT366" s="2" t="e">
        <f ca="1">_xll.BDH($C$353,"INVENTORY_5_YEAR_GROWTH","FQ3 2016","FQ3 2016","Currency=INR","Period=FQ","BEST_FPERIOD_OVERRIDE=FQ","FILING_STATUS=OR","EQY_CONSOLIDATED=Y","Sort=A","Dates=H","DateFormat=P","Fill=—","Direction=H","UseDPDF=Y")</f>
        <v>#NAME?</v>
      </c>
      <c r="AU366" s="2" t="e">
        <f ca="1">_xll.BDH($C$353,"NET_FIXED_ASSETS_5_YEAR_GROWTH","FQ3 2016","FQ3 2016","Currency=INR","Period=FQ","BEST_FPERIOD_OVERRIDE=FQ","FILING_STATUS=OR","EQY_CONSOLIDATED=Y","Sort=A","Dates=H","DateFormat=P","Fill=—","Direction=H","UseDPDF=Y")</f>
        <v>#NAME?</v>
      </c>
      <c r="AV366" s="2" t="e">
        <f ca="1">_xll.BDH($C$353,"GEO_GROW_TOT_ASSET","FQ3 2016","FQ3 2016","Currency=INR","Period=FQ","BEST_FPERIOD_OVERRIDE=FQ","FILING_STATUS=OR","EQY_CONSOLIDATED=Y","Sort=A","Dates=H","DateFormat=P","Fill=—","Direction=H","UseDPDF=Y")</f>
        <v>#NAME?</v>
      </c>
      <c r="AW366" s="2" t="e">
        <f ca="1">_xll.BDH($C$353,"MODIFIED_WORKING_CPTL_5YR_GRWTH","FQ3 2016","FQ3 2016","Currency=INR","Period=FQ","BEST_FPERIOD_OVERRIDE=FQ","FILING_STATUS=OR","EQY_CONSOLIDATED=Y","Sort=A","Dates=H","DateFormat=P","Fill=—","Direction=H","UseDPDF=Y")</f>
        <v>#NAME?</v>
      </c>
      <c r="AX366" s="2" t="e">
        <f ca="1">_xll.BDH($C$353,"WORKING_CAPITAL_5_YEAR_GROWTH","FQ3 2016","FQ3 2016","Currency=INR","Period=FQ","BEST_FPERIOD_OVERRIDE=FQ","FILING_STATUS=OR","EQY_CONSOLIDATED=Y","Sort=A","Dates=H","DateFormat=P","Fill=—","Direction=H","UseDPDF=Y")</f>
        <v>#NAME?</v>
      </c>
      <c r="AY366" s="2" t="e">
        <f ca="1">_xll.BDH($C$353,"ACCOUNTS_PAYABLE_5_YEAR_GROWTH","FQ3 2016","FQ3 2016","Currency=INR","Period=FQ","BEST_FPERIOD_OVERRIDE=FQ","FILING_STATUS=OR","EQY_CONSOLIDATED=Y","Sort=A","Dates=H","DateFormat=P","Fill=—","Direction=H","UseDPDF=Y")</f>
        <v>#NAME?</v>
      </c>
      <c r="AZ366" s="2" t="e">
        <f ca="1">_xll.BDH($C$353,"SHORT_TERM_DEBT_5_YEAR_GROWTH","FQ3 2016","FQ3 2016","Currency=INR","Period=FQ","BEST_FPERIOD_OVERRIDE=FQ","FILING_STATUS=OR","EQY_CONSOLIDATED=Y","Sort=A","Dates=H","DateFormat=P","Fill=—","Direction=H","UseDPDF=Y")</f>
        <v>#NAME?</v>
      </c>
      <c r="BA366" s="2" t="e">
        <f ca="1">_xll.BDH($C$353,"TOTAL_DEBT_5_YEAR_GROWTH","FQ3 2016","FQ3 2016","Currency=INR","Period=FQ","BEST_FPERIOD_OVERRIDE=FQ","FILING_STATUS=OR","EQY_CONSOLIDATED=Y","Sort=A","Dates=H","DateFormat=P","Fill=—","Direction=H","UseDPDF=Y")</f>
        <v>#NAME?</v>
      </c>
      <c r="BB366" s="2" t="e">
        <f ca="1">_xll.BDH($C$353,"GEO_GROW_TOT_SHRHLDR_EQY","FQ3 2016","FQ3 2016","Currency=INR","Period=FQ","BEST_FPERIOD_OVERRIDE=FQ","FILING_STATUS=OR","EQY_CONSOLIDATED=Y","Sort=A","Dates=H","DateFormat=P","Fill=—","Direction=H","UseDPDF=Y")</f>
        <v>#NAME?</v>
      </c>
      <c r="BC366" s="2" t="e">
        <f ca="1">_xll.BDH($C$353,"TOTAL_CAPITAL_5_YEAR_GROWTH","FQ3 2016","FQ3 2016","Currency=INR","Period=FQ","BEST_FPERIOD_OVERRIDE=FQ","FILING_STATUS=OR","EQY_CONSOLIDATED=Y","Sort=A","Dates=H","DateFormat=P","Fill=—","Direction=H","UseDPDF=Y")</f>
        <v>#NAME?</v>
      </c>
      <c r="BD366" s="2" t="e">
        <f ca="1">_xll.BDH($C$353,"GEO_GROW_BOOK_VAL","FQ3 2016","FQ3 2016","Currency=INR","Period=FQ","BEST_FPERIOD_OVERRIDE=FQ","FILING_STATUS=OR","EQY_CONSOLIDATED=Y","Sort=A","Dates=H","DateFormat=P","Fill=—","Direction=H","UseDPDF=Y")</f>
        <v>#NAME?</v>
      </c>
      <c r="BE366" s="2" t="e">
        <f ca="1">_xll.BDH($C$353,"GEO_GROW_CASH_OPER_ACT","FQ3 2016","FQ3 2016","Currency=INR","Period=FQ","BEST_FPERIOD_OVERRIDE=FQ","FILING_STATUS=OR","EQY_CONSOLIDATED=Y","Sort=A","Dates=H","DateFormat=P","Fill=—","Direction=H","UseDPDF=Y")</f>
        <v>#NAME?</v>
      </c>
      <c r="BF366" s="2" t="e">
        <f ca="1">_xll.BDH($C$353,"REVENUE_SEQUENTIAL_GROWTH","FQ3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366" s="2" t="e">
        <f ca="1">_xll.BDH($C$353,"EBITDA_SEQUENTIAL_GROWTH","FQ3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366" s="2" t="e">
        <f ca="1">_xll.BDH($C$353,"OPERATING_INCOME_SEQ_GROWTH","FQ3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366" s="2" t="e">
        <f ca="1">_xll.BDH($C$353,"NET_INCOME_TO_COMMON_SEQ_GROWTH","FQ3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366" s="2" t="e">
        <f ca="1">_xll.BDH($C$353,"EPS_DILUTED_SEQUENTIAL_GROWTH","FQ3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366" s="2" t="e">
        <f ca="1">_xll.BDH($C$353,"DPS_SEQUENTIAL_GROWTH","FQ3 2016","FQ3 2016","Currency=INR","Period=FQ","BEST_FPERIOD_OVERRIDE=FQ","FILING_STATUS=OR","EQY_CONSOLIDATED=Y","Sort=A","Dates=H","DateFormat=P","Fill=—","Direction=H","UseDPDF=Y")</f>
        <v>#NAME?</v>
      </c>
      <c r="BL366" s="2" t="e">
        <f ca="1">_xll.BDH($C$353,"ACCOUNTS_RECEIVABLE_SEQ_GROWTH","FQ3 2016","FQ3 2016","Currency=INR","Period=FQ","BEST_FPERIOD_OVERRIDE=FQ","FILING_STATUS=OR","EQY_CONSOLIDATED=Y","Sort=A","Dates=H","DateFormat=P","Fill=—","Direction=H","UseDPDF=Y")</f>
        <v>#NAME?</v>
      </c>
      <c r="BM366" s="2" t="e">
        <f ca="1">_xll.BDH($C$353,"INVENTORY_SEQUENTIAL_GROWTH","FQ3 2016","FQ3 2016","Currency=INR","Period=FQ","BEST_FPERIOD_OVERRIDE=FQ","FILING_STATUS=OR","EQY_CONSOLIDATED=Y","Sort=A","Dates=H","DateFormat=P","Fill=—","Direction=H","UseDPDF=Y")</f>
        <v>#NAME?</v>
      </c>
      <c r="BN366" s="2" t="e">
        <f ca="1">_xll.BDH($C$353,"FIXED_ASSETS_SEQUENTIAL_GROWTH","FQ3 2016","FQ3 2016","Currency=INR","Period=FQ","BEST_FPERIOD_OVERRIDE=FQ","FILING_STATUS=OR","EQY_CONSOLIDATED=Y","Sort=A","Dates=H","DateFormat=P","Fill=—","Direction=H","UseDPDF=Y")</f>
        <v>#NAME?</v>
      </c>
      <c r="BO366" s="2" t="e">
        <f ca="1">_xll.BDH($C$353,"TOTAL_ASSETS_SEQUENTIAL_GROWTH","FQ3 2016","FQ3 2016","Currency=INR","Period=FQ","BEST_FPERIOD_OVERRIDE=FQ","FILING_STATUS=OR","EQY_CONSOLIDATED=Y","Sort=A","Dates=H","DateFormat=P","Fill=—","Direction=H","UseDPDF=Y")</f>
        <v>#NAME?</v>
      </c>
      <c r="BP366" s="2" t="e">
        <f ca="1">_xll.BDH($C$353,"MODIFIED_WORKING_CPTL_SEQ_GRWTH","FQ3 2016","FQ3 2016","Currency=INR","Period=FQ","BEST_FPERIOD_OVERRIDE=FQ","FILING_STATUS=OR","EQY_CONSOLIDATED=Y","Sort=A","Dates=H","DateFormat=P","Fill=—","Direction=H","UseDPDF=Y")</f>
        <v>#NAME?</v>
      </c>
      <c r="BQ366" s="2" t="e">
        <f ca="1">_xll.BDH($C$353,"WORKING_CAPITAL_SEQ_GROWTH","FQ3 2016","FQ3 2016","Currency=INR","Period=FQ","BEST_FPERIOD_OVERRIDE=FQ","FILING_STATUS=OR","EQY_CONSOLIDATED=Y","Sort=A","Dates=H","DateFormat=P","Fill=—","Direction=H","UseDPDF=Y")</f>
        <v>#NAME?</v>
      </c>
      <c r="BR366" s="2" t="e">
        <f ca="1">_xll.BDH($C$353,"ACCOUNTS_PAYABLE_SEQ_GROWTH","FQ3 2016","FQ3 2016","Currency=INR","Period=FQ","BEST_FPERIOD_OVERRIDE=FQ","FILING_STATUS=OR","EQY_CONSOLIDATED=Y","Sort=A","Dates=H","DateFormat=P","Fill=—","Direction=H","UseDPDF=Y")</f>
        <v>#NAME?</v>
      </c>
      <c r="BS366" s="2" t="e">
        <f ca="1">_xll.BDH($C$353,"ST_DEBT_SEQUENTIAL_GROWTH","FQ3 2016","FQ3 2016","Currency=INR","Period=FQ","BEST_FPERIOD_OVERRIDE=FQ","FILING_STATUS=OR","EQY_CONSOLIDATED=Y","Sort=A","Dates=H","DateFormat=P","Fill=—","Direction=H","UseDPDF=Y")</f>
        <v>#NAME?</v>
      </c>
      <c r="BT366" s="2" t="e">
        <f ca="1">_xll.BDH($C$353,"TOTAL_DEBT_SEQUENTIAL_GROWTH","FQ3 2016","FQ3 2016","Currency=INR","Period=FQ","BEST_FPERIOD_OVERRIDE=FQ","FILING_STATUS=OR","EQY_CONSOLIDATED=Y","Sort=A","Dates=H","DateFormat=P","Fill=—","Direction=H","UseDPDF=Y")</f>
        <v>#NAME?</v>
      </c>
      <c r="BU366" s="2" t="e">
        <f ca="1">_xll.BDH($C$353,"TOTAL_EQUITY_SEQUENTIAL_GROWTH","FQ3 2016","FQ3 2016","Currency=INR","Period=FQ","BEST_FPERIOD_OVERRIDE=FQ","FILING_STATUS=OR","EQY_CONSOLIDATED=Y","Sort=A","Dates=H","DateFormat=P","Fill=—","Direction=H","UseDPDF=Y")</f>
        <v>#NAME?</v>
      </c>
      <c r="BV366" s="2" t="e">
        <f ca="1">_xll.BDH($C$353,"TOTAL_CAPITAL_SEQUENTIAL_GROWTH","FQ3 2016","FQ3 2016","Currency=INR","Period=FQ","BEST_FPERIOD_OVERRIDE=FQ","FILING_STATUS=OR","EQY_CONSOLIDATED=Y","Sort=A","Dates=H","DateFormat=P","Fill=—","Direction=H","UseDPDF=Y")</f>
        <v>#NAME?</v>
      </c>
      <c r="BW366" s="2" t="e">
        <f ca="1">_xll.BDH($C$353,"BPS_SEQUENTIAL_GROWTH","FQ3 2016","FQ3 2016","Currency=INR","Period=FQ","BEST_FPERIOD_OVERRIDE=FQ","FILING_STATUS=OR","EQY_CONSOLIDATED=Y","Sort=A","Dates=H","DateFormat=P","Fill=—","Direction=H","UseDPDF=Y")</f>
        <v>#NAME?</v>
      </c>
      <c r="BX366" s="2" t="e">
        <f ca="1">_xll.BDH($C$353,"CFO_SEQUENTIAL_GROWTH","FQ3 2016","FQ3 2016","Currency=INR","Period=FQ","BEST_FPERIOD_OVERRIDE=FQ","FILING_STATUS=OR","EQY_CONSOLIDATED=Y","Sort=A","Dates=H","DateFormat=P","Fill=—","Direction=H","UseDPDF=Y")</f>
        <v>#NAME?</v>
      </c>
      <c r="BY366" s="3" t="e">
        <f ca="1">_xll.BDH($C$353,"SHORT_AND_LONG_TERM_DEBT","FQ3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366" s="3" t="e">
        <f ca="1">_xll.BDH($C$353,"BS_ST_BORROW","FQ3 2016","FQ3 2016","Currency=INR","Period=FQ","BEST_FPERIOD_OVERRIDE=FQ","FILING_STATUS=OR","EQY_CONSOLIDATED=Y","SCALING_FORMAT=MLN","Sort=A","Dates=H","DateFormat=P","Fill=—","Direction=H","UseDPDF=Y")</f>
        <v>#NAME?</v>
      </c>
      <c r="CA366" s="3" t="e">
        <f ca="1">_xll.BDH($C$353,"BS_LT_BORROW","FQ3 2016","FQ3 2016","Currency=INR","Period=FQ","BEST_FPERIOD_OVERRIDE=FQ","FILING_STATUS=OR","EQY_CONSOLIDATED=Y","SCALING_FORMAT=MLN","Sort=A","Dates=H","DateFormat=P","Fill=—","Direction=H","UseDPDF=Y")</f>
        <v>#NAME?</v>
      </c>
      <c r="CB366" s="2" t="e">
        <f ca="1">_xll.BDH($C$353,"TOT_DEBT_TO_EBITDA","FQ3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366" s="2" t="e">
        <f ca="1">_xll.BDH($C$353,"NET_DEBT_TO_EBITDA","FQ3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366" s="2" t="e">
        <f ca="1">_xll.BDH($C$353,"TOTAL_DEBT_TO_EBIT","FQ3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366" s="2" t="e">
        <f ca="1">_xll.BDH($C$353,"NET_DEBT_TO_EBIT","FQ3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366" s="2" t="e">
        <f ca="1">_xll.BDH($C$353,"EBITDA_TO_INTEREST_EXPN","FQ3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366" s="2" t="e">
        <f ca="1">_xll.BDH($C$353,"COM_EQY_TO_TOT_ASSET","FQ3 2016","FQ3 2016","Currency=INR","Period=FQ","BEST_FPERIOD_OVERRIDE=FQ","FILING_STATUS=OR","EQY_CONSOLIDATED=Y","Sort=A","Dates=H","DateFormat=P","Fill=—","Direction=H","UseDPDF=Y")</f>
        <v>#NAME?</v>
      </c>
      <c r="CH366" s="2" t="e">
        <f ca="1">_xll.BDH($C$353,"LT_DEBT_TO_TOT_EQY","FQ3 2016","FQ3 2016","Currency=INR","Period=FQ","BEST_FPERIOD_OVERRIDE=FQ","FILING_STATUS=OR","EQY_CONSOLIDATED=Y","Sort=A","Dates=H","DateFormat=P","Fill=—","Direction=H","UseDPDF=Y")</f>
        <v>#NAME?</v>
      </c>
      <c r="CI366" s="2" t="e">
        <f ca="1">_xll.BDH($C$353,"LT_DEBT_TO_TOT_CAP","FQ3 2016","FQ3 2016","Currency=INR","Period=FQ","BEST_FPERIOD_OVERRIDE=FQ","FILING_STATUS=OR","EQY_CONSOLIDATED=Y","Sort=A","Dates=H","DateFormat=P","Fill=—","Direction=H","UseDPDF=Y")</f>
        <v>#NAME?</v>
      </c>
      <c r="CJ366" s="2" t="e">
        <f ca="1">_xll.BDH($C$353,"LT_DEBT_TO_TOT_ASSET","FQ3 2016","FQ3 2016","Currency=INR","Period=FQ","BEST_FPERIOD_OVERRIDE=FQ","FILING_STATUS=OR","EQY_CONSOLIDATED=Y","Sort=A","Dates=H","DateFormat=P","Fill=—","Direction=H","UseDPDF=Y")</f>
        <v>#NAME?</v>
      </c>
      <c r="CK366" s="2" t="e">
        <f ca="1">_xll.BDH($C$353,"TOT_DEBT_TO_TOT_EQY","FQ3 2016","FQ3 2016","Currency=INR","Period=FQ","BEST_FPERIOD_OVERRIDE=FQ","FILING_STATUS=OR","EQY_CONSOLIDATED=Y","Sort=A","Dates=H","DateFormat=P","Fill=—","Direction=H","UseDPDF=Y")</f>
        <v>#NAME?</v>
      </c>
      <c r="CL366" s="2" t="e">
        <f ca="1">_xll.BDH($C$353,"TOT_DEBT_TO_TOT_CAP","FQ3 2016","FQ3 2016","Currency=INR","Period=FQ","BEST_FPERIOD_OVERRIDE=FQ","FILING_STATUS=OR","EQY_CONSOLIDATED=Y","Sort=A","Dates=H","DateFormat=P","Fill=—","Direction=H","UseDPDF=Y")</f>
        <v>#NAME?</v>
      </c>
      <c r="CM366" s="2" t="e">
        <f ca="1">_xll.BDH($C$353,"TOT_DEBT_TO_TOT_ASSET","FQ3 2016","FQ3 2016","Currency=INR","Period=FQ","BEST_FPERIOD_OVERRIDE=FQ","FILING_STATUS=OR","EQY_CONSOLIDATED=Y","Sort=A","Dates=H","DateFormat=P","Fill=—","Direction=H","UseDPDF=Y")</f>
        <v>#NAME?</v>
      </c>
      <c r="CN366" s="2" t="e">
        <f ca="1">_xll.BDH($C$353,"NET_DEBT_TO_SHRHLDR_EQTY","FQ3 2016","FQ3 2016","Currency=INR","Period=FQ","BEST_FPERIOD_OVERRIDE=FQ","FILING_STATUS=OR","EQY_CONSOLIDATED=Y","Sort=A","Dates=H","DateFormat=P","Fill=—","Direction=H","UseDPDF=Y")</f>
        <v>#NAME?</v>
      </c>
      <c r="CO366" s="2" t="e">
        <f ca="1">_xll.BDH($C$353,"NET_DEBT_%_CAPITAL","FQ3 2016","FQ3 2016","Currency=INR","Period=FQ","BEST_FPERIOD_OVERRIDE=FQ","FILING_STATUS=OR","EQY_CONSOLIDATED=Y","Sort=A","Dates=H","DateFormat=P","Fill=—","Direction=H","UseDPDF=Y")</f>
        <v>#NAME?</v>
      </c>
      <c r="CP366" s="3" t="e">
        <f ca="1">_xll.BDH($C$353,"EBITDA","FQ3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366" s="3" t="e">
        <f ca="1">_xll.BDH($C$353,"EBITDA_AFTER_CAPEX","FQ3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366" s="3" t="e">
        <f ca="1">_xll.BDH($C$353,"IS_OPER_INC","FQ3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366" s="2" t="e">
        <f ca="1">_xll.BDH($C$353,"CASH_RATIO","FQ3 2016","FQ3 2016","Currency=INR","Period=FQ","BEST_FPERIOD_OVERRIDE=FQ","FILING_STATUS=OR","EQY_CONSOLIDATED=Y","Sort=A","Dates=H","DateFormat=P","Fill=—","Direction=H","UseDPDF=Y")</f>
        <v>#NAME?</v>
      </c>
      <c r="CT366" s="2" t="e">
        <f ca="1">_xll.BDH($C$353,"CUR_RATIO","FQ3 2016","FQ3 2016","Currency=INR","Period=FQ","BEST_FPERIOD_OVERRIDE=FQ","FILING_STATUS=OR","EQY_CONSOLIDATED=Y","Sort=A","Dates=H","DateFormat=P","Fill=—","Direction=H","UseDPDF=Y")</f>
        <v>#NAME?</v>
      </c>
      <c r="CU366" s="2" t="e">
        <f ca="1">_xll.BDH($C$353,"QUICK_RATIO","FQ3 2016","FQ3 2016","Currency=INR","Period=FQ","BEST_FPERIOD_OVERRIDE=FQ","FILING_STATUS=OR","EQY_CONSOLIDATED=Y","Sort=A","Dates=H","DateFormat=P","Fill=—","Direction=H","UseDPDF=Y")</f>
        <v>#NAME?</v>
      </c>
      <c r="CV366" s="2" t="e">
        <f ca="1">_xll.BDH($C$353,"ALTMAN_Z_SCORE","FQ3 2016","FQ3 2016","Currency=INR","Period=FQ","BEST_FPERIOD_OVERRIDE=FQ","FILING_STATUS=OR","EQY_CONSOLIDATED=Y","Sort=A","Dates=H","DateFormat=P","Fill=—","Direction=H","UseDPDF=Y")</f>
        <v>#NAME?</v>
      </c>
      <c r="CW366" s="4" t="e">
        <f ca="1">_xll.BDH($C$353,"ACCT_RCV_TURN","FQ3 2016","FQ3 2016","Currency=INR","Period=FQ","BEST_FPERIOD_OVERRIDE=FQ","FILING_STATUS=OR","EQY_CONSOLIDATED=Y","FA_ADJUSTED=GAAP","Sort=A","Dates=H","DateFormat=P","Fill=—","Direction=H","UseDPDF=Y")</f>
        <v>#NAME?</v>
      </c>
      <c r="CX366" s="2" t="e">
        <f ca="1">_xll.BDH($C$353,"ACCT_RCV_DAYS","FQ3 2016","FQ3 2016","Currency=INR","Period=FQ","BEST_FPERIOD_OVERRIDE=FQ","FILING_STATUS=OR","EQY_CONSOLIDATED=Y","FA_ADJUSTED=GAAP","Sort=A","Dates=H","DateFormat=P","Fill=—","Direction=H","UseDPDF=Y")</f>
        <v>#NAME?</v>
      </c>
      <c r="CY366" s="4" t="e">
        <f ca="1">_xll.BDH($C$353,"INVENT_TURN","FQ3 2016","FQ3 2016","Currency=INR","Period=FQ","BEST_FPERIOD_OVERRIDE=FQ","FILING_STATUS=OR","EQY_CONSOLIDATED=Y","FA_ADJUSTED=GAAP","Sort=A","Dates=H","DateFormat=P","Fill=—","Direction=H","UseDPDF=Y")</f>
        <v>#NAME?</v>
      </c>
      <c r="CZ366" s="2" t="e">
        <f ca="1">_xll.BDH($C$353,"INVENT_DAYS","FQ3 2016","FQ3 2016","Currency=INR","Period=FQ","BEST_FPERIOD_OVERRIDE=FQ","FILING_STATUS=OR","EQY_CONSOLIDATED=Y","FA_ADJUSTED=GAAP","Sort=A","Dates=H","DateFormat=P","Fill=—","Direction=H","UseDPDF=Y")</f>
        <v>#NAME?</v>
      </c>
      <c r="DA366" s="4" t="e">
        <f ca="1">_xll.BDH($C$353,"ACCOUNTS_PAYABLE_TURNOVER","FQ3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366" s="2" t="e">
        <f ca="1">_xll.BDH($C$353,"ACCOUNTS_PAYABLE_TURNOVER_DAYS","FQ3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366" s="4" t="e">
        <f ca="1">_xll.BDH($C$353,"CASH_CONVERSION_CYCLE","FQ3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366" s="4" t="e">
        <f ca="1">_xll.BDH($C$353,"INV_TO_CASH_DAYS","FQ3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366" s="5" t="e">
        <f ca="1">_xll.BDH($C$353,"BS_INVENTORIES","FQ3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366" s="3" t="e">
        <f ca="1">_xll.BDH($C$353,"INVTRY_RAW_MATERIALS","FQ3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366" s="3" t="e">
        <f ca="1">_xll.BDH($C$353,"INVTRY_IN_PROGRESS","FQ3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366" s="3" t="e">
        <f ca="1">_xll.BDH($C$353,"INVTRY_FINISHED_GOODS","FQ3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366" s="3" t="e">
        <f ca="1">_xll.BDH($C$353,"BS_OTHER_INV","FQ3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367" spans="1:113" x14ac:dyDescent="0.3">
      <c r="A367" s="6"/>
      <c r="B367" s="6"/>
      <c r="C367" s="6"/>
      <c r="D367" s="6"/>
      <c r="E367" t="s">
        <v>81</v>
      </c>
      <c r="F367" t="e">
        <f ca="1">_xll.BDH($C$353,"RETURN_COM_EQY","FQ4 2016","FQ4 2016","Currency=INR","Period=FQ","BEST_FPERIOD_OVERRIDE=FQ","FILING_STATUS=OR","EQY_CONSOLIDATED=Y","FA_ADJUSTED=GAAP","Sort=A","Dates=H","DateFormat=P","Fill=—","Direction=H","UseDPDF=Y")</f>
        <v>#NAME?</v>
      </c>
      <c r="G367" t="e">
        <f ca="1">_xll.BDH($C$353,"RETURN_ON_ASSET","FQ4 2016","FQ4 2016","Currency=INR","Period=FQ","BEST_FPERIOD_OVERRIDE=FQ","FILING_STATUS=OR","EQY_CONSOLIDATED=Y","FA_ADJUSTED=GAAP","Sort=A","Dates=H","DateFormat=P","Fill=—","Direction=H","UseDPDF=Y")</f>
        <v>#NAME?</v>
      </c>
      <c r="H367" t="e">
        <f ca="1">_xll.BDH($C$353,"RETURN_ON_CAP","FQ4 2016","FQ4 2016","Currency=INR","Period=FQ","BEST_FPERIOD_OVERRIDE=FQ","FILING_STATUS=OR","EQY_CONSOLIDATED=Y","FA_ADJUSTED=GAAP","Sort=A","Dates=H","DateFormat=P","Fill=—","Direction=H","UseDPDF=Y")</f>
        <v>#NAME?</v>
      </c>
      <c r="I367" t="e">
        <f ca="1">_xll.BDH($C$353,"RETURN_ON_INV_CAPITAL","FQ4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367" t="e">
        <f ca="1">_xll.BDH($C$353,"EBITDA_TO_REVENUE","FQ4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367" t="e">
        <f ca="1">_xll.BDH($C$353,"OPER_MARGIN","FQ4 2016","FQ4 2016","Currency=INR","Period=FQ","BEST_FPERIOD_OVERRIDE=FQ","FILING_STATUS=OR","EQY_CONSOLIDATED=Y","FA_ADJUSTED=GAAP","Sort=A","Dates=H","DateFormat=P","Fill=—","Direction=H","UseDPDF=Y")</f>
        <v>#NAME?</v>
      </c>
      <c r="L367" t="e">
        <f ca="1">_xll.BDH($C$353,"INCREMENTAL_OPERATING_MARGIN","FQ4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367" t="e">
        <f ca="1">_xll.BDH($C$353,"PRETAX_INC_TO_NET_SALES","FQ4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367" t="e">
        <f ca="1">_xll.BDH($C$353,"INC_BEF_XO_ITEMS_TO_NET_SALES","FQ4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367" t="e">
        <f ca="1">_xll.BDH($C$353,"PROF_MARGIN","FQ4 2016","FQ4 2016","Currency=INR","Period=FQ","BEST_FPERIOD_OVERRIDE=FQ","FILING_STATUS=OR","EQY_CONSOLIDATED=Y","FA_ADJUSTED=GAAP","Sort=A","Dates=H","DateFormat=P","Fill=—","Direction=H","UseDPDF=Y")</f>
        <v>#NAME?</v>
      </c>
      <c r="P367" t="e">
        <f ca="1">_xll.BDH($C$353,"NET_INCOME_TO_COMMON_MARGIN","FQ4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367" t="e">
        <f ca="1">_xll.BDH($C$353,"EFF_TAX_RATE","FQ4 2016","FQ4 2016","Currency=INR","Period=FQ","BEST_FPERIOD_OVERRIDE=FQ","FILING_STATUS=OR","EQY_CONSOLIDATED=Y","FA_ADJUSTED=GAAP","Sort=A","Dates=H","DateFormat=P","Fill=—","Direction=H","UseDPDF=Y")</f>
        <v>#NAME?</v>
      </c>
      <c r="R367" t="e">
        <f ca="1">_xll.BDH($C$353,"DVD_PAYOUT_RATIO","FQ4 2016","FQ4 2016","Currency=INR","Period=FQ","BEST_FPERIOD_OVERRIDE=FQ","FILING_STATUS=OR","EQY_CONSOLIDATED=Y","FA_ADJUSTED=GAAP","Sort=A","Dates=H","DateFormat=P","Fill=—","Direction=H","UseDPDF=Y")</f>
        <v>#NAME?</v>
      </c>
      <c r="S367" t="e">
        <f ca="1">_xll.BDH($C$353,"SUSTAIN_GROWTH_RT","FQ4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367" s="2" t="e">
        <f ca="1">_xll.BDH($C$353,"SALES_GROWTH","FQ4 2016","FQ4 2016","Currency=INR","Period=FQ","BEST_FPERIOD_OVERRIDE=FQ","FILING_STATUS=OR","EQY_CONSOLIDATED=Y","FA_ADJUSTED=GAAP","Sort=A","Dates=H","DateFormat=P","Fill=—","Direction=H","UseDPDF=Y")</f>
        <v>#NAME?</v>
      </c>
      <c r="U367" s="2" t="e">
        <f ca="1">_xll.BDH($C$353,"EBITDA_GROWTH","FQ4 2016","FQ4 2016","Currency=INR","Period=FQ","BEST_FPERIOD_OVERRIDE=FQ","FILING_STATUS=OR","EQY_CONSOLIDATED=Y","FA_ADJUSTED=GAAP","Sort=A","Dates=H","DateFormat=P","Fill=—","Direction=H","UseDPDF=Y")</f>
        <v>#NAME?</v>
      </c>
      <c r="V367" s="2" t="e">
        <f ca="1">_xll.BDH($C$353,"OPER_INC_GROWTH","FQ4 2016","FQ4 2016","Currency=INR","Period=FQ","BEST_FPERIOD_OVERRIDE=FQ","FILING_STATUS=OR","EQY_CONSOLIDATED=Y","FA_ADJUSTED=GAAP","Sort=A","Dates=H","DateFormat=P","Fill=—","Direction=H","UseDPDF=Y")</f>
        <v>#NAME?</v>
      </c>
      <c r="W367" s="2" t="e">
        <f ca="1">_xll.BDH($C$353,"EARN_FOR_COM_GROWTH","FQ4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367" s="2" t="e">
        <f ca="1">_xll.BDH($C$353,"DILUTED_EPS_AFT_XO_ITEMS_GROWTH","FQ4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367" s="2" t="e">
        <f ca="1">_xll.BDH($C$353,"DIVIDEND_PER_SHARE_1_YEAR_GROWTH","FQ4 2016","FQ4 2016","Currency=INR","Period=FQ","BEST_FPERIOD_OVERRIDE=FQ","FILING_STATUS=OR","EQY_CONSOLIDATED=Y","Sort=A","Dates=H","DateFormat=P","Fill=—","Direction=H","UseDPDF=Y")</f>
        <v>#NAME?</v>
      </c>
      <c r="Z367" s="2" t="e">
        <f ca="1">_xll.BDH($C$353,"ACCOUNTS_RECEIVABLE_GROWTH","FQ4 2016","FQ4 2016","Currency=INR","Period=FQ","BEST_FPERIOD_OVERRIDE=FQ","FILING_STATUS=OR","EQY_CONSOLIDATED=Y","Sort=A","Dates=H","DateFormat=P","Fill=—","Direction=H","UseDPDF=Y")</f>
        <v>#NAME?</v>
      </c>
      <c r="AA367" s="2" t="e">
        <f ca="1">_xll.BDH($C$353,"INVENTORY_GROWTH","FQ4 2016","FQ4 2016","Currency=INR","Period=FQ","BEST_FPERIOD_OVERRIDE=FQ","FILING_STATUS=OR","EQY_CONSOLIDATED=Y","Sort=A","Dates=H","DateFormat=P","Fill=—","Direction=H","UseDPDF=Y")</f>
        <v>#NAME?</v>
      </c>
      <c r="AB367" s="2" t="e">
        <f ca="1">_xll.BDH($C$353,"NET_FIXED_ASSETS_1_YEAR_GROWTH","FQ4 2016","FQ4 2016","Currency=INR","Period=FQ","BEST_FPERIOD_OVERRIDE=FQ","FILING_STATUS=OR","EQY_CONSOLIDATED=Y","Sort=A","Dates=H","DateFormat=P","Fill=—","Direction=H","UseDPDF=Y")</f>
        <v>#NAME?</v>
      </c>
      <c r="AC367" s="2" t="e">
        <f ca="1">_xll.BDH($C$353,"ASSET_GROWTH","FQ4 2016","FQ4 2016","Currency=INR","Period=FQ","BEST_FPERIOD_OVERRIDE=FQ","FILING_STATUS=OR","EQY_CONSOLIDATED=Y","Sort=A","Dates=H","DateFormat=P","Fill=—","Direction=H","UseDPDF=Y")</f>
        <v>#NAME?</v>
      </c>
      <c r="AD367" s="2" t="e">
        <f ca="1">_xll.BDH($C$353,"MODIFIED_WORK_CAP_GROWTH","FQ4 2016","FQ4 2016","Currency=INR","Period=FQ","BEST_FPERIOD_OVERRIDE=FQ","FILING_STATUS=OR","EQY_CONSOLIDATED=Y","Sort=A","Dates=H","DateFormat=P","Fill=—","Direction=H","UseDPDF=Y")</f>
        <v>#NAME?</v>
      </c>
      <c r="AE367" s="2" t="e">
        <f ca="1">_xll.BDH($C$353,"WORK_CAP_GROWTH","FQ4 2016","FQ4 2016","Currency=INR","Period=FQ","BEST_FPERIOD_OVERRIDE=FQ","FILING_STATUS=OR","EQY_CONSOLIDATED=Y","Sort=A","Dates=H","DateFormat=P","Fill=—","Direction=H","UseDPDF=Y")</f>
        <v>#NAME?</v>
      </c>
      <c r="AF367" s="2" t="e">
        <f ca="1">_xll.BDH($C$353,"ACCOUNTS_PAYABLE_GROWTH_1YR","FQ4 2016","FQ4 2016","Currency=INR","Period=FQ","BEST_FPERIOD_OVERRIDE=FQ","FILING_STATUS=OR","EQY_CONSOLIDATED=Y","Sort=A","Dates=H","DateFormat=P","Fill=—","Direction=H","UseDPDF=Y")</f>
        <v>#NAME?</v>
      </c>
      <c r="AG367" s="2" t="e">
        <f ca="1">_xll.BDH($C$353,"SHORT_TERM_DEBT_1_YEAR_GROWTH","FQ4 2016","FQ4 2016","Currency=INR","Period=FQ","BEST_FPERIOD_OVERRIDE=FQ","FILING_STATUS=OR","EQY_CONSOLIDATED=Y","Sort=A","Dates=H","DateFormat=P","Fill=—","Direction=H","UseDPDF=Y")</f>
        <v>#NAME?</v>
      </c>
      <c r="AH367" s="2" t="e">
        <f ca="1">_xll.BDH($C$353,"TOTAL_DEBT_1_YEAR_GROWTH","FQ4 2016","FQ4 2016","Currency=INR","Period=FQ","BEST_FPERIOD_OVERRIDE=FQ","FILING_STATUS=OR","EQY_CONSOLIDATED=Y","Sort=A","Dates=H","DateFormat=P","Fill=—","Direction=H","UseDPDF=Y")</f>
        <v>#NAME?</v>
      </c>
      <c r="AI367" s="2" t="e">
        <f ca="1">_xll.BDH($C$353,"TOTAL_EQUITY_1_YEAR_GROWTH","FQ4 2016","FQ4 2016","Currency=INR","Period=FQ","BEST_FPERIOD_OVERRIDE=FQ","FILING_STATUS=OR","EQY_CONSOLIDATED=Y","Sort=A","Dates=H","DateFormat=P","Fill=—","Direction=H","UseDPDF=Y")</f>
        <v>#NAME?</v>
      </c>
      <c r="AJ367" s="2" t="e">
        <f ca="1">_xll.BDH($C$353,"GROWTH_IN_CAP","FQ4 2016","FQ4 2016","Currency=INR","Period=FQ","BEST_FPERIOD_OVERRIDE=FQ","FILING_STATUS=OR","EQY_CONSOLIDATED=Y","Sort=A","Dates=H","DateFormat=P","Fill=—","Direction=H","UseDPDF=Y")</f>
        <v>#NAME?</v>
      </c>
      <c r="AK367" s="2" t="e">
        <f ca="1">_xll.BDH($C$353,"BVPS_GROWTH","FQ4 2016","FQ4 2016","Currency=INR","Period=FQ","BEST_FPERIOD_OVERRIDE=FQ","FILING_STATUS=OR","EQY_CONSOLIDATED=Y","Sort=A","Dates=H","DateFormat=P","Fill=—","Direction=H","UseDPDF=Y")</f>
        <v>#NAME?</v>
      </c>
      <c r="AL367" s="2" t="e">
        <f ca="1">_xll.BDH($C$353,"CASH_FLOW_GROWTH","FQ4 2016","FQ4 2016","Currency=INR","Period=FQ","BEST_FPERIOD_OVERRIDE=FQ","FILING_STATUS=OR","EQY_CONSOLIDATED=Y","Sort=A","Dates=H","DateFormat=P","Fill=—","Direction=H","UseDPDF=Y")</f>
        <v>#NAME?</v>
      </c>
      <c r="AM367" s="2" t="e">
        <f ca="1">_xll.BDH($C$353,"GEO_GROW_NET_SALES","FQ4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367" s="2" t="e">
        <f ca="1">_xll.BDH($C$353,"GEO_GROW_EBITDA","FQ4 2016","FQ4 2016","Currency=INR","Period=FQ","BEST_FPERIOD_OVERRIDE=FQ","FILING_STATUS=OR","EQY_CONSOLIDATED=Y","FA_ADJUSTED=GAAP","Sort=A","Dates=H","DateFormat=P","Fill=—","Direction=H","UseDPDF=Y")</f>
        <v>#NAME?</v>
      </c>
      <c r="AO367" s="2" t="e">
        <f ca="1">_xll.BDH($C$353,"GEO_GROW_OPER_INC","FQ4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367" s="2" t="e">
        <f ca="1">_xll.BDH($C$353,"NET_INCOME_TO_COMMON_5_YR_GROWTH","FQ4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367" s="2" t="e">
        <f ca="1">_xll.BDH($C$353,"5Y_GEO_GROWTH_DILUTED_EPS","FQ4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367" s="2" t="e">
        <f ca="1">_xll.BDH($C$353,"GEO_GROW_DVD_PER_SH","FQ4 2016","FQ4 2016","Currency=INR","Period=FQ","BEST_FPERIOD_OVERRIDE=FQ","FILING_STATUS=OR","EQY_CONSOLIDATED=Y","Sort=A","Dates=H","DateFormat=P","Fill=—","Direction=H","UseDPDF=Y")</f>
        <v>#NAME?</v>
      </c>
      <c r="AS367" s="2" t="e">
        <f ca="1">_xll.BDH($C$353,"ACCOUNTS_RECEIVABLE_5_YR_GROWTH","FQ4 2016","FQ4 2016","Currency=INR","Period=FQ","BEST_FPERIOD_OVERRIDE=FQ","FILING_STATUS=OR","EQY_CONSOLIDATED=Y","Sort=A","Dates=H","DateFormat=P","Fill=—","Direction=H","UseDPDF=Y")</f>
        <v>#NAME?</v>
      </c>
      <c r="AT367" s="2" t="e">
        <f ca="1">_xll.BDH($C$353,"INVENTORY_5_YEAR_GROWTH","FQ4 2016","FQ4 2016","Currency=INR","Period=FQ","BEST_FPERIOD_OVERRIDE=FQ","FILING_STATUS=OR","EQY_CONSOLIDATED=Y","Sort=A","Dates=H","DateFormat=P","Fill=—","Direction=H","UseDPDF=Y")</f>
        <v>#NAME?</v>
      </c>
      <c r="AU367" s="2" t="e">
        <f ca="1">_xll.BDH($C$353,"NET_FIXED_ASSETS_5_YEAR_GROWTH","FQ4 2016","FQ4 2016","Currency=INR","Period=FQ","BEST_FPERIOD_OVERRIDE=FQ","FILING_STATUS=OR","EQY_CONSOLIDATED=Y","Sort=A","Dates=H","DateFormat=P","Fill=—","Direction=H","UseDPDF=Y")</f>
        <v>#NAME?</v>
      </c>
      <c r="AV367" s="2" t="e">
        <f ca="1">_xll.BDH($C$353,"GEO_GROW_TOT_ASSET","FQ4 2016","FQ4 2016","Currency=INR","Period=FQ","BEST_FPERIOD_OVERRIDE=FQ","FILING_STATUS=OR","EQY_CONSOLIDATED=Y","Sort=A","Dates=H","DateFormat=P","Fill=—","Direction=H","UseDPDF=Y")</f>
        <v>#NAME?</v>
      </c>
      <c r="AW367" s="2" t="e">
        <f ca="1">_xll.BDH($C$353,"MODIFIED_WORKING_CPTL_5YR_GRWTH","FQ4 2016","FQ4 2016","Currency=INR","Period=FQ","BEST_FPERIOD_OVERRIDE=FQ","FILING_STATUS=OR","EQY_CONSOLIDATED=Y","Sort=A","Dates=H","DateFormat=P","Fill=—","Direction=H","UseDPDF=Y")</f>
        <v>#NAME?</v>
      </c>
      <c r="AX367" s="2" t="e">
        <f ca="1">_xll.BDH($C$353,"WORKING_CAPITAL_5_YEAR_GROWTH","FQ4 2016","FQ4 2016","Currency=INR","Period=FQ","BEST_FPERIOD_OVERRIDE=FQ","FILING_STATUS=OR","EQY_CONSOLIDATED=Y","Sort=A","Dates=H","DateFormat=P","Fill=—","Direction=H","UseDPDF=Y")</f>
        <v>#NAME?</v>
      </c>
      <c r="AY367" s="2" t="e">
        <f ca="1">_xll.BDH($C$353,"ACCOUNTS_PAYABLE_5_YEAR_GROWTH","FQ4 2016","FQ4 2016","Currency=INR","Period=FQ","BEST_FPERIOD_OVERRIDE=FQ","FILING_STATUS=OR","EQY_CONSOLIDATED=Y","Sort=A","Dates=H","DateFormat=P","Fill=—","Direction=H","UseDPDF=Y")</f>
        <v>#NAME?</v>
      </c>
      <c r="AZ367" s="2" t="e">
        <f ca="1">_xll.BDH($C$353,"SHORT_TERM_DEBT_5_YEAR_GROWTH","FQ4 2016","FQ4 2016","Currency=INR","Period=FQ","BEST_FPERIOD_OVERRIDE=FQ","FILING_STATUS=OR","EQY_CONSOLIDATED=Y","Sort=A","Dates=H","DateFormat=P","Fill=—","Direction=H","UseDPDF=Y")</f>
        <v>#NAME?</v>
      </c>
      <c r="BA367" s="2" t="e">
        <f ca="1">_xll.BDH($C$353,"TOTAL_DEBT_5_YEAR_GROWTH","FQ4 2016","FQ4 2016","Currency=INR","Period=FQ","BEST_FPERIOD_OVERRIDE=FQ","FILING_STATUS=OR","EQY_CONSOLIDATED=Y","Sort=A","Dates=H","DateFormat=P","Fill=—","Direction=H","UseDPDF=Y")</f>
        <v>#NAME?</v>
      </c>
      <c r="BB367" s="2" t="e">
        <f ca="1">_xll.BDH($C$353,"GEO_GROW_TOT_SHRHLDR_EQY","FQ4 2016","FQ4 2016","Currency=INR","Period=FQ","BEST_FPERIOD_OVERRIDE=FQ","FILING_STATUS=OR","EQY_CONSOLIDATED=Y","Sort=A","Dates=H","DateFormat=P","Fill=—","Direction=H","UseDPDF=Y")</f>
        <v>#NAME?</v>
      </c>
      <c r="BC367" s="2" t="e">
        <f ca="1">_xll.BDH($C$353,"TOTAL_CAPITAL_5_YEAR_GROWTH","FQ4 2016","FQ4 2016","Currency=INR","Period=FQ","BEST_FPERIOD_OVERRIDE=FQ","FILING_STATUS=OR","EQY_CONSOLIDATED=Y","Sort=A","Dates=H","DateFormat=P","Fill=—","Direction=H","UseDPDF=Y")</f>
        <v>#NAME?</v>
      </c>
      <c r="BD367" s="2" t="e">
        <f ca="1">_xll.BDH($C$353,"GEO_GROW_BOOK_VAL","FQ4 2016","FQ4 2016","Currency=INR","Period=FQ","BEST_FPERIOD_OVERRIDE=FQ","FILING_STATUS=OR","EQY_CONSOLIDATED=Y","Sort=A","Dates=H","DateFormat=P","Fill=—","Direction=H","UseDPDF=Y")</f>
        <v>#NAME?</v>
      </c>
      <c r="BE367" s="2" t="e">
        <f ca="1">_xll.BDH($C$353,"GEO_GROW_CASH_OPER_ACT","FQ4 2016","FQ4 2016","Currency=INR","Period=FQ","BEST_FPERIOD_OVERRIDE=FQ","FILING_STATUS=OR","EQY_CONSOLIDATED=Y","Sort=A","Dates=H","DateFormat=P","Fill=—","Direction=H","UseDPDF=Y")</f>
        <v>#NAME?</v>
      </c>
      <c r="BF367" s="2" t="e">
        <f ca="1">_xll.BDH($C$353,"REVENUE_SEQUENTIAL_GROWTH","FQ4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367" s="2" t="e">
        <f ca="1">_xll.BDH($C$353,"EBITDA_SEQUENTIAL_GROWTH","FQ4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367" s="2" t="e">
        <f ca="1">_xll.BDH($C$353,"OPERATING_INCOME_SEQ_GROWTH","FQ4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367" s="2" t="e">
        <f ca="1">_xll.BDH($C$353,"NET_INCOME_TO_COMMON_SEQ_GROWTH","FQ4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367" s="2" t="e">
        <f ca="1">_xll.BDH($C$353,"EPS_DILUTED_SEQUENTIAL_GROWTH","FQ4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367" s="2" t="e">
        <f ca="1">_xll.BDH($C$353,"DPS_SEQUENTIAL_GROWTH","FQ4 2016","FQ4 2016","Currency=INR","Period=FQ","BEST_FPERIOD_OVERRIDE=FQ","FILING_STATUS=OR","EQY_CONSOLIDATED=Y","Sort=A","Dates=H","DateFormat=P","Fill=—","Direction=H","UseDPDF=Y")</f>
        <v>#NAME?</v>
      </c>
      <c r="BL367" s="2" t="e">
        <f ca="1">_xll.BDH($C$353,"ACCOUNTS_RECEIVABLE_SEQ_GROWTH","FQ4 2016","FQ4 2016","Currency=INR","Period=FQ","BEST_FPERIOD_OVERRIDE=FQ","FILING_STATUS=OR","EQY_CONSOLIDATED=Y","Sort=A","Dates=H","DateFormat=P","Fill=—","Direction=H","UseDPDF=Y")</f>
        <v>#NAME?</v>
      </c>
      <c r="BM367" s="2" t="e">
        <f ca="1">_xll.BDH($C$353,"INVENTORY_SEQUENTIAL_GROWTH","FQ4 2016","FQ4 2016","Currency=INR","Period=FQ","BEST_FPERIOD_OVERRIDE=FQ","FILING_STATUS=OR","EQY_CONSOLIDATED=Y","Sort=A","Dates=H","DateFormat=P","Fill=—","Direction=H","UseDPDF=Y")</f>
        <v>#NAME?</v>
      </c>
      <c r="BN367" s="2" t="e">
        <f ca="1">_xll.BDH($C$353,"FIXED_ASSETS_SEQUENTIAL_GROWTH","FQ4 2016","FQ4 2016","Currency=INR","Period=FQ","BEST_FPERIOD_OVERRIDE=FQ","FILING_STATUS=OR","EQY_CONSOLIDATED=Y","Sort=A","Dates=H","DateFormat=P","Fill=—","Direction=H","UseDPDF=Y")</f>
        <v>#NAME?</v>
      </c>
      <c r="BO367" s="2" t="e">
        <f ca="1">_xll.BDH($C$353,"TOTAL_ASSETS_SEQUENTIAL_GROWTH","FQ4 2016","FQ4 2016","Currency=INR","Period=FQ","BEST_FPERIOD_OVERRIDE=FQ","FILING_STATUS=OR","EQY_CONSOLIDATED=Y","Sort=A","Dates=H","DateFormat=P","Fill=—","Direction=H","UseDPDF=Y")</f>
        <v>#NAME?</v>
      </c>
      <c r="BP367" s="2" t="e">
        <f ca="1">_xll.BDH($C$353,"MODIFIED_WORKING_CPTL_SEQ_GRWTH","FQ4 2016","FQ4 2016","Currency=INR","Period=FQ","BEST_FPERIOD_OVERRIDE=FQ","FILING_STATUS=OR","EQY_CONSOLIDATED=Y","Sort=A","Dates=H","DateFormat=P","Fill=—","Direction=H","UseDPDF=Y")</f>
        <v>#NAME?</v>
      </c>
      <c r="BQ367" s="2" t="e">
        <f ca="1">_xll.BDH($C$353,"WORKING_CAPITAL_SEQ_GROWTH","FQ4 2016","FQ4 2016","Currency=INR","Period=FQ","BEST_FPERIOD_OVERRIDE=FQ","FILING_STATUS=OR","EQY_CONSOLIDATED=Y","Sort=A","Dates=H","DateFormat=P","Fill=—","Direction=H","UseDPDF=Y")</f>
        <v>#NAME?</v>
      </c>
      <c r="BR367" s="2" t="e">
        <f ca="1">_xll.BDH($C$353,"ACCOUNTS_PAYABLE_SEQ_GROWTH","FQ4 2016","FQ4 2016","Currency=INR","Period=FQ","BEST_FPERIOD_OVERRIDE=FQ","FILING_STATUS=OR","EQY_CONSOLIDATED=Y","Sort=A","Dates=H","DateFormat=P","Fill=—","Direction=H","UseDPDF=Y")</f>
        <v>#NAME?</v>
      </c>
      <c r="BS367" s="2" t="e">
        <f ca="1">_xll.BDH($C$353,"ST_DEBT_SEQUENTIAL_GROWTH","FQ4 2016","FQ4 2016","Currency=INR","Period=FQ","BEST_FPERIOD_OVERRIDE=FQ","FILING_STATUS=OR","EQY_CONSOLIDATED=Y","Sort=A","Dates=H","DateFormat=P","Fill=—","Direction=H","UseDPDF=Y")</f>
        <v>#NAME?</v>
      </c>
      <c r="BT367" s="2" t="e">
        <f ca="1">_xll.BDH($C$353,"TOTAL_DEBT_SEQUENTIAL_GROWTH","FQ4 2016","FQ4 2016","Currency=INR","Period=FQ","BEST_FPERIOD_OVERRIDE=FQ","FILING_STATUS=OR","EQY_CONSOLIDATED=Y","Sort=A","Dates=H","DateFormat=P","Fill=—","Direction=H","UseDPDF=Y")</f>
        <v>#NAME?</v>
      </c>
      <c r="BU367" s="2" t="e">
        <f ca="1">_xll.BDH($C$353,"TOTAL_EQUITY_SEQUENTIAL_GROWTH","FQ4 2016","FQ4 2016","Currency=INR","Period=FQ","BEST_FPERIOD_OVERRIDE=FQ","FILING_STATUS=OR","EQY_CONSOLIDATED=Y","Sort=A","Dates=H","DateFormat=P","Fill=—","Direction=H","UseDPDF=Y")</f>
        <v>#NAME?</v>
      </c>
      <c r="BV367" s="2" t="e">
        <f ca="1">_xll.BDH($C$353,"TOTAL_CAPITAL_SEQUENTIAL_GROWTH","FQ4 2016","FQ4 2016","Currency=INR","Period=FQ","BEST_FPERIOD_OVERRIDE=FQ","FILING_STATUS=OR","EQY_CONSOLIDATED=Y","Sort=A","Dates=H","DateFormat=P","Fill=—","Direction=H","UseDPDF=Y")</f>
        <v>#NAME?</v>
      </c>
      <c r="BW367" s="2" t="e">
        <f ca="1">_xll.BDH($C$353,"BPS_SEQUENTIAL_GROWTH","FQ4 2016","FQ4 2016","Currency=INR","Period=FQ","BEST_FPERIOD_OVERRIDE=FQ","FILING_STATUS=OR","EQY_CONSOLIDATED=Y","Sort=A","Dates=H","DateFormat=P","Fill=—","Direction=H","UseDPDF=Y")</f>
        <v>#NAME?</v>
      </c>
      <c r="BX367" s="2" t="e">
        <f ca="1">_xll.BDH($C$353,"CFO_SEQUENTIAL_GROWTH","FQ4 2016","FQ4 2016","Currency=INR","Period=FQ","BEST_FPERIOD_OVERRIDE=FQ","FILING_STATUS=OR","EQY_CONSOLIDATED=Y","Sort=A","Dates=H","DateFormat=P","Fill=—","Direction=H","UseDPDF=Y")</f>
        <v>#NAME?</v>
      </c>
      <c r="BY367" s="3" t="e">
        <f ca="1">_xll.BDH($C$353,"SHORT_AND_LONG_TERM_DEBT","FQ4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367" s="3" t="e">
        <f ca="1">_xll.BDH($C$353,"BS_ST_BORROW","FQ4 2016","FQ4 2016","Currency=INR","Period=FQ","BEST_FPERIOD_OVERRIDE=FQ","FILING_STATUS=OR","EQY_CONSOLIDATED=Y","SCALING_FORMAT=MLN","Sort=A","Dates=H","DateFormat=P","Fill=—","Direction=H","UseDPDF=Y")</f>
        <v>#NAME?</v>
      </c>
      <c r="CA367" s="3" t="e">
        <f ca="1">_xll.BDH($C$353,"BS_LT_BORROW","FQ4 2016","FQ4 2016","Currency=INR","Period=FQ","BEST_FPERIOD_OVERRIDE=FQ","FILING_STATUS=OR","EQY_CONSOLIDATED=Y","SCALING_FORMAT=MLN","Sort=A","Dates=H","DateFormat=P","Fill=—","Direction=H","UseDPDF=Y")</f>
        <v>#NAME?</v>
      </c>
      <c r="CB367" s="2" t="e">
        <f ca="1">_xll.BDH($C$353,"TOT_DEBT_TO_EBITDA","FQ4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367" s="2" t="e">
        <f ca="1">_xll.BDH($C$353,"NET_DEBT_TO_EBITDA","FQ4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367" s="2" t="e">
        <f ca="1">_xll.BDH($C$353,"TOTAL_DEBT_TO_EBIT","FQ4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367" s="2" t="e">
        <f ca="1">_xll.BDH($C$353,"NET_DEBT_TO_EBIT","FQ4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367" s="2" t="e">
        <f ca="1">_xll.BDH($C$353,"EBITDA_TO_INTEREST_EXPN","FQ4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367" s="2" t="e">
        <f ca="1">_xll.BDH($C$353,"COM_EQY_TO_TOT_ASSET","FQ4 2016","FQ4 2016","Currency=INR","Period=FQ","BEST_FPERIOD_OVERRIDE=FQ","FILING_STATUS=OR","EQY_CONSOLIDATED=Y","Sort=A","Dates=H","DateFormat=P","Fill=—","Direction=H","UseDPDF=Y")</f>
        <v>#NAME?</v>
      </c>
      <c r="CH367" s="2" t="e">
        <f ca="1">_xll.BDH($C$353,"LT_DEBT_TO_TOT_EQY","FQ4 2016","FQ4 2016","Currency=INR","Period=FQ","BEST_FPERIOD_OVERRIDE=FQ","FILING_STATUS=OR","EQY_CONSOLIDATED=Y","Sort=A","Dates=H","DateFormat=P","Fill=—","Direction=H","UseDPDF=Y")</f>
        <v>#NAME?</v>
      </c>
      <c r="CI367" s="2" t="e">
        <f ca="1">_xll.BDH($C$353,"LT_DEBT_TO_TOT_CAP","FQ4 2016","FQ4 2016","Currency=INR","Period=FQ","BEST_FPERIOD_OVERRIDE=FQ","FILING_STATUS=OR","EQY_CONSOLIDATED=Y","Sort=A","Dates=H","DateFormat=P","Fill=—","Direction=H","UseDPDF=Y")</f>
        <v>#NAME?</v>
      </c>
      <c r="CJ367" s="2" t="e">
        <f ca="1">_xll.BDH($C$353,"LT_DEBT_TO_TOT_ASSET","FQ4 2016","FQ4 2016","Currency=INR","Period=FQ","BEST_FPERIOD_OVERRIDE=FQ","FILING_STATUS=OR","EQY_CONSOLIDATED=Y","Sort=A","Dates=H","DateFormat=P","Fill=—","Direction=H","UseDPDF=Y")</f>
        <v>#NAME?</v>
      </c>
      <c r="CK367" s="2" t="e">
        <f ca="1">_xll.BDH($C$353,"TOT_DEBT_TO_TOT_EQY","FQ4 2016","FQ4 2016","Currency=INR","Period=FQ","BEST_FPERIOD_OVERRIDE=FQ","FILING_STATUS=OR","EQY_CONSOLIDATED=Y","Sort=A","Dates=H","DateFormat=P","Fill=—","Direction=H","UseDPDF=Y")</f>
        <v>#NAME?</v>
      </c>
      <c r="CL367" s="2" t="e">
        <f ca="1">_xll.BDH($C$353,"TOT_DEBT_TO_TOT_CAP","FQ4 2016","FQ4 2016","Currency=INR","Period=FQ","BEST_FPERIOD_OVERRIDE=FQ","FILING_STATUS=OR","EQY_CONSOLIDATED=Y","Sort=A","Dates=H","DateFormat=P","Fill=—","Direction=H","UseDPDF=Y")</f>
        <v>#NAME?</v>
      </c>
      <c r="CM367" s="2" t="e">
        <f ca="1">_xll.BDH($C$353,"TOT_DEBT_TO_TOT_ASSET","FQ4 2016","FQ4 2016","Currency=INR","Period=FQ","BEST_FPERIOD_OVERRIDE=FQ","FILING_STATUS=OR","EQY_CONSOLIDATED=Y","Sort=A","Dates=H","DateFormat=P","Fill=—","Direction=H","UseDPDF=Y")</f>
        <v>#NAME?</v>
      </c>
      <c r="CN367" s="2" t="e">
        <f ca="1">_xll.BDH($C$353,"NET_DEBT_TO_SHRHLDR_EQTY","FQ4 2016","FQ4 2016","Currency=INR","Period=FQ","BEST_FPERIOD_OVERRIDE=FQ","FILING_STATUS=OR","EQY_CONSOLIDATED=Y","Sort=A","Dates=H","DateFormat=P","Fill=—","Direction=H","UseDPDF=Y")</f>
        <v>#NAME?</v>
      </c>
      <c r="CO367" s="2" t="e">
        <f ca="1">_xll.BDH($C$353,"NET_DEBT_%_CAPITAL","FQ4 2016","FQ4 2016","Currency=INR","Period=FQ","BEST_FPERIOD_OVERRIDE=FQ","FILING_STATUS=OR","EQY_CONSOLIDATED=Y","Sort=A","Dates=H","DateFormat=P","Fill=—","Direction=H","UseDPDF=Y")</f>
        <v>#NAME?</v>
      </c>
      <c r="CP367" s="3" t="e">
        <f ca="1">_xll.BDH($C$353,"EBITDA","FQ4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367" s="3" t="e">
        <f ca="1">_xll.BDH($C$353,"EBITDA_AFTER_CAPEX","FQ4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367" s="3" t="e">
        <f ca="1">_xll.BDH($C$353,"IS_OPER_INC","FQ4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367" s="2" t="e">
        <f ca="1">_xll.BDH($C$353,"CASH_RATIO","FQ4 2016","FQ4 2016","Currency=INR","Period=FQ","BEST_FPERIOD_OVERRIDE=FQ","FILING_STATUS=OR","EQY_CONSOLIDATED=Y","Sort=A","Dates=H","DateFormat=P","Fill=—","Direction=H","UseDPDF=Y")</f>
        <v>#NAME?</v>
      </c>
      <c r="CT367" s="2" t="e">
        <f ca="1">_xll.BDH($C$353,"CUR_RATIO","FQ4 2016","FQ4 2016","Currency=INR","Period=FQ","BEST_FPERIOD_OVERRIDE=FQ","FILING_STATUS=OR","EQY_CONSOLIDATED=Y","Sort=A","Dates=H","DateFormat=P","Fill=—","Direction=H","UseDPDF=Y")</f>
        <v>#NAME?</v>
      </c>
      <c r="CU367" s="2" t="e">
        <f ca="1">_xll.BDH($C$353,"QUICK_RATIO","FQ4 2016","FQ4 2016","Currency=INR","Period=FQ","BEST_FPERIOD_OVERRIDE=FQ","FILING_STATUS=OR","EQY_CONSOLIDATED=Y","Sort=A","Dates=H","DateFormat=P","Fill=—","Direction=H","UseDPDF=Y")</f>
        <v>#NAME?</v>
      </c>
      <c r="CV367" s="2" t="e">
        <f ca="1">_xll.BDH($C$353,"ALTMAN_Z_SCORE","FQ4 2016","FQ4 2016","Currency=INR","Period=FQ","BEST_FPERIOD_OVERRIDE=FQ","FILING_STATUS=OR","EQY_CONSOLIDATED=Y","Sort=A","Dates=H","DateFormat=P","Fill=—","Direction=H","UseDPDF=Y")</f>
        <v>#NAME?</v>
      </c>
      <c r="CW367" s="4" t="e">
        <f ca="1">_xll.BDH($C$353,"ACCT_RCV_TURN","FQ4 2016","FQ4 2016","Currency=INR","Period=FQ","BEST_FPERIOD_OVERRIDE=FQ","FILING_STATUS=OR","EQY_CONSOLIDATED=Y","FA_ADJUSTED=GAAP","Sort=A","Dates=H","DateFormat=P","Fill=—","Direction=H","UseDPDF=Y")</f>
        <v>#NAME?</v>
      </c>
      <c r="CX367" s="2" t="e">
        <f ca="1">_xll.BDH($C$353,"ACCT_RCV_DAYS","FQ4 2016","FQ4 2016","Currency=INR","Period=FQ","BEST_FPERIOD_OVERRIDE=FQ","FILING_STATUS=OR","EQY_CONSOLIDATED=Y","FA_ADJUSTED=GAAP","Sort=A","Dates=H","DateFormat=P","Fill=—","Direction=H","UseDPDF=Y")</f>
        <v>#NAME?</v>
      </c>
      <c r="CY367" s="4" t="e">
        <f ca="1">_xll.BDH($C$353,"INVENT_TURN","FQ4 2016","FQ4 2016","Currency=INR","Period=FQ","BEST_FPERIOD_OVERRIDE=FQ","FILING_STATUS=OR","EQY_CONSOLIDATED=Y","FA_ADJUSTED=GAAP","Sort=A","Dates=H","DateFormat=P","Fill=—","Direction=H","UseDPDF=Y")</f>
        <v>#NAME?</v>
      </c>
      <c r="CZ367" s="2" t="e">
        <f ca="1">_xll.BDH($C$353,"INVENT_DAYS","FQ4 2016","FQ4 2016","Currency=INR","Period=FQ","BEST_FPERIOD_OVERRIDE=FQ","FILING_STATUS=OR","EQY_CONSOLIDATED=Y","FA_ADJUSTED=GAAP","Sort=A","Dates=H","DateFormat=P","Fill=—","Direction=H","UseDPDF=Y")</f>
        <v>#NAME?</v>
      </c>
      <c r="DA367" s="4" t="e">
        <f ca="1">_xll.BDH($C$353,"ACCOUNTS_PAYABLE_TURNOVER","FQ4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367" s="2" t="e">
        <f ca="1">_xll.BDH($C$353,"ACCOUNTS_PAYABLE_TURNOVER_DAYS","FQ4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367" s="4" t="e">
        <f ca="1">_xll.BDH($C$353,"CASH_CONVERSION_CYCLE","FQ4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367" s="4" t="e">
        <f ca="1">_xll.BDH($C$353,"INV_TO_CASH_DAYS","FQ4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367" s="5" t="e">
        <f ca="1">_xll.BDH($C$353,"BS_INVENTORIES","FQ4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367" s="3" t="e">
        <f ca="1">_xll.BDH($C$353,"INVTRY_RAW_MATERIALS","FQ4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367" s="3" t="e">
        <f ca="1">_xll.BDH($C$353,"INVTRY_IN_PROGRESS","FQ4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367" s="3" t="e">
        <f ca="1">_xll.BDH($C$353,"INVTRY_FINISHED_GOODS","FQ4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367" s="3" t="e">
        <f ca="1">_xll.BDH($C$353,"BS_OTHER_INV","FQ4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368" spans="1:113" x14ac:dyDescent="0.3">
      <c r="A368" s="6"/>
      <c r="B368" s="6"/>
      <c r="C368" s="6"/>
      <c r="D368" s="6" t="s">
        <v>84</v>
      </c>
      <c r="E368" t="s">
        <v>77</v>
      </c>
      <c r="F368" t="e">
        <f ca="1">_xll.BDH($C$353,"RETURN_COM_EQY","FY 2017","FY 2017","Currency=INR","Period=FY","BEST_FPERIOD_OVERRIDE=FY","FILING_STATUS=OR","EQY_CONSOLIDATED=Y","FA_ADJUSTED=GAAP","Sort=A","Dates=H","DateFormat=P","Fill=—","Direction=H","UseDPDF=Y")</f>
        <v>#NAME?</v>
      </c>
      <c r="G368" t="e">
        <f ca="1">_xll.BDH($C$353,"RETURN_ON_ASSET","FY 2017","FY 2017","Currency=INR","Period=FY","BEST_FPERIOD_OVERRIDE=FY","FILING_STATUS=OR","EQY_CONSOLIDATED=Y","FA_ADJUSTED=GAAP","Sort=A","Dates=H","DateFormat=P","Fill=—","Direction=H","UseDPDF=Y")</f>
        <v>#NAME?</v>
      </c>
      <c r="H368" t="e">
        <f ca="1">_xll.BDH($C$353,"RETURN_ON_CAP","FY 2017","FY 2017","Currency=INR","Period=FY","BEST_FPERIOD_OVERRIDE=FY","FILING_STATUS=OR","EQY_CONSOLIDATED=Y","FA_ADJUSTED=GAAP","Sort=A","Dates=H","DateFormat=P","Fill=—","Direction=H","UseDPDF=Y")</f>
        <v>#NAME?</v>
      </c>
      <c r="I368" t="e">
        <f ca="1">_xll.BDH($C$353,"RETURN_ON_INV_CAPITAL","FY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368" t="e">
        <f ca="1">_xll.BDH($C$353,"EBITDA_TO_REVENUE","FY 2017","FY 2017","Currency=INR","Period=FY","BEST_FPERIOD_OVERRIDE=FY","FILING_STATUS=OR","EQY_CONSOLIDATED=Y","FA_ADJUSTED=GAAP","Sort=A","Dates=H","DateFormat=P","Fill=—","Direction=H","UseDPDF=Y")</f>
        <v>#NAME?</v>
      </c>
      <c r="K368" t="e">
        <f ca="1">_xll.BDH($C$353,"OPER_MARGIN","FY 2017","FY 2017","Currency=INR","Period=FY","BEST_FPERIOD_OVERRIDE=FY","FILING_STATUS=OR","EQY_CONSOLIDATED=Y","FA_ADJUSTED=GAAP","Sort=A","Dates=H","DateFormat=P","Fill=—","Direction=H","UseDPDF=Y")</f>
        <v>#NAME?</v>
      </c>
      <c r="L368" t="e">
        <f ca="1">_xll.BDH($C$353,"INCREMENTAL_OPERATING_MARGIN","FY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368" t="e">
        <f ca="1">_xll.BDH($C$353,"PRETAX_INC_TO_NET_SALES","FY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368" t="e">
        <f ca="1">_xll.BDH($C$353,"INC_BEF_XO_ITEMS_TO_NET_SALES","FY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368" t="e">
        <f ca="1">_xll.BDH($C$353,"PROF_MARGIN","FY 2017","FY 2017","Currency=INR","Period=FY","BEST_FPERIOD_OVERRIDE=FY","FILING_STATUS=OR","EQY_CONSOLIDATED=Y","FA_ADJUSTED=GAAP","Sort=A","Dates=H","DateFormat=P","Fill=—","Direction=H","UseDPDF=Y")</f>
        <v>#NAME?</v>
      </c>
      <c r="P368" t="e">
        <f ca="1">_xll.BDH($C$353,"NET_INCOME_TO_COMMON_MARGIN","FY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368" t="e">
        <f ca="1">_xll.BDH($C$353,"EFF_TAX_RATE","FY 2017","FY 2017","Currency=INR","Period=FY","BEST_FPERIOD_OVERRIDE=FY","FILING_STATUS=OR","EQY_CONSOLIDATED=Y","FA_ADJUSTED=GAAP","Sort=A","Dates=H","DateFormat=P","Fill=—","Direction=H","UseDPDF=Y")</f>
        <v>#NAME?</v>
      </c>
      <c r="R368" t="e">
        <f ca="1">_xll.BDH($C$353,"DVD_PAYOUT_RATIO","FY 2017","FY 2017","Currency=INR","Period=FY","BEST_FPERIOD_OVERRIDE=FY","FILING_STATUS=OR","EQY_CONSOLIDATED=Y","FA_ADJUSTED=GAAP","Sort=A","Dates=H","DateFormat=P","Fill=—","Direction=H","UseDPDF=Y")</f>
        <v>#NAME?</v>
      </c>
      <c r="S368" t="e">
        <f ca="1">_xll.BDH($C$353,"SUSTAIN_GROWTH_RT","FY 2017","FY 2017","Currency=INR","Period=FY","BEST_FPERIOD_OVERRIDE=FY","FILING_STATUS=OR","EQY_CONSOLIDATED=Y","FA_ADJUSTED=GAAP","Sort=A","Dates=H","DateFormat=P","Fill=—","Direction=H","UseDPDF=Y")</f>
        <v>#NAME?</v>
      </c>
      <c r="T368" s="2" t="e">
        <f ca="1">_xll.BDH($C$353,"SALES_GROWTH","FY 2017","FY 2017","Currency=INR","Period=FY","BEST_FPERIOD_OVERRIDE=FY","FILING_STATUS=OR","EQY_CONSOLIDATED=Y","FA_ADJUSTED=GAAP","Sort=A","Dates=H","DateFormat=P","Fill=—","Direction=H","UseDPDF=Y")</f>
        <v>#NAME?</v>
      </c>
      <c r="U368" s="2" t="e">
        <f ca="1">_xll.BDH($C$353,"EBITDA_GROWTH","FY 2017","FY 2017","Currency=INR","Period=FY","BEST_FPERIOD_OVERRIDE=FY","FILING_STATUS=OR","EQY_CONSOLIDATED=Y","FA_ADJUSTED=GAAP","Sort=A","Dates=H","DateFormat=P","Fill=—","Direction=H","UseDPDF=Y")</f>
        <v>#NAME?</v>
      </c>
      <c r="V368" s="2" t="e">
        <f ca="1">_xll.BDH($C$353,"OPER_INC_GROWTH","FY 2017","FY 2017","Currency=INR","Period=FY","BEST_FPERIOD_OVERRIDE=FY","FILING_STATUS=OR","EQY_CONSOLIDATED=Y","FA_ADJUSTED=GAAP","Sort=A","Dates=H","DateFormat=P","Fill=—","Direction=H","UseDPDF=Y")</f>
        <v>#NAME?</v>
      </c>
      <c r="W368" s="2" t="e">
        <f ca="1">_xll.BDH($C$353,"EARN_FOR_COM_GROWTH","FY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368" s="2" t="e">
        <f ca="1">_xll.BDH($C$353,"DILUTED_EPS_AFT_XO_ITEMS_GROWTH","FY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368" s="2" t="e">
        <f ca="1">_xll.BDH($C$353,"DIVIDEND_PER_SHARE_1_YEAR_GROWTH","FY 2017","FY 2017","Currency=INR","Period=FY","BEST_FPERIOD_OVERRIDE=FY","FILING_STATUS=OR","EQY_CONSOLIDATED=Y","Sort=A","Dates=H","DateFormat=P","Fill=—","Direction=H","UseDPDF=Y")</f>
        <v>#NAME?</v>
      </c>
      <c r="Z368" s="2" t="e">
        <f ca="1">_xll.BDH($C$353,"ACCOUNTS_RECEIVABLE_GROWTH","FY 2017","FY 2017","Currency=INR","Period=FY","BEST_FPERIOD_OVERRIDE=FY","FILING_STATUS=OR","EQY_CONSOLIDATED=Y","Sort=A","Dates=H","DateFormat=P","Fill=—","Direction=H","UseDPDF=Y")</f>
        <v>#NAME?</v>
      </c>
      <c r="AA368" s="2" t="e">
        <f ca="1">_xll.BDH($C$353,"INVENTORY_GROWTH","FY 2017","FY 2017","Currency=INR","Period=FY","BEST_FPERIOD_OVERRIDE=FY","FILING_STATUS=OR","EQY_CONSOLIDATED=Y","Sort=A","Dates=H","DateFormat=P","Fill=—","Direction=H","UseDPDF=Y")</f>
        <v>#NAME?</v>
      </c>
      <c r="AB368" s="2" t="e">
        <f ca="1">_xll.BDH($C$353,"NET_FIXED_ASSETS_1_YEAR_GROWTH","FY 2017","FY 2017","Currency=INR","Period=FY","BEST_FPERIOD_OVERRIDE=FY","FILING_STATUS=OR","EQY_CONSOLIDATED=Y","Sort=A","Dates=H","DateFormat=P","Fill=—","Direction=H","UseDPDF=Y")</f>
        <v>#NAME?</v>
      </c>
      <c r="AC368" s="2" t="e">
        <f ca="1">_xll.BDH($C$353,"ASSET_GROWTH","FY 2017","FY 2017","Currency=INR","Period=FY","BEST_FPERIOD_OVERRIDE=FY","FILING_STATUS=OR","EQY_CONSOLIDATED=Y","Sort=A","Dates=H","DateFormat=P","Fill=—","Direction=H","UseDPDF=Y")</f>
        <v>#NAME?</v>
      </c>
      <c r="AD368" s="2" t="e">
        <f ca="1">_xll.BDH($C$353,"MODIFIED_WORK_CAP_GROWTH","FY 2017","FY 2017","Currency=INR","Period=FY","BEST_FPERIOD_OVERRIDE=FY","FILING_STATUS=OR","EQY_CONSOLIDATED=Y","Sort=A","Dates=H","DateFormat=P","Fill=—","Direction=H","UseDPDF=Y")</f>
        <v>#NAME?</v>
      </c>
      <c r="AE368" s="2" t="e">
        <f ca="1">_xll.BDH($C$353,"WORK_CAP_GROWTH","FY 2017","FY 2017","Currency=INR","Period=FY","BEST_FPERIOD_OVERRIDE=FY","FILING_STATUS=OR","EQY_CONSOLIDATED=Y","Sort=A","Dates=H","DateFormat=P","Fill=—","Direction=H","UseDPDF=Y")</f>
        <v>#NAME?</v>
      </c>
      <c r="AF368" s="2" t="e">
        <f ca="1">_xll.BDH($C$353,"ACCOUNTS_PAYABLE_GROWTH_1YR","FY 2017","FY 2017","Currency=INR","Period=FY","BEST_FPERIOD_OVERRIDE=FY","FILING_STATUS=OR","EQY_CONSOLIDATED=Y","Sort=A","Dates=H","DateFormat=P","Fill=—","Direction=H","UseDPDF=Y")</f>
        <v>#NAME?</v>
      </c>
      <c r="AG368" s="2" t="e">
        <f ca="1">_xll.BDH($C$353,"SHORT_TERM_DEBT_1_YEAR_GROWTH","FY 2017","FY 2017","Currency=INR","Period=FY","BEST_FPERIOD_OVERRIDE=FY","FILING_STATUS=OR","EQY_CONSOLIDATED=Y","Sort=A","Dates=H","DateFormat=P","Fill=—","Direction=H","UseDPDF=Y")</f>
        <v>#NAME?</v>
      </c>
      <c r="AH368" s="2" t="e">
        <f ca="1">_xll.BDH($C$353,"TOTAL_DEBT_1_YEAR_GROWTH","FY 2017","FY 2017","Currency=INR","Period=FY","BEST_FPERIOD_OVERRIDE=FY","FILING_STATUS=OR","EQY_CONSOLIDATED=Y","Sort=A","Dates=H","DateFormat=P","Fill=—","Direction=H","UseDPDF=Y")</f>
        <v>#NAME?</v>
      </c>
      <c r="AI368" s="2" t="e">
        <f ca="1">_xll.BDH($C$353,"TOTAL_EQUITY_1_YEAR_GROWTH","FY 2017","FY 2017","Currency=INR","Period=FY","BEST_FPERIOD_OVERRIDE=FY","FILING_STATUS=OR","EQY_CONSOLIDATED=Y","Sort=A","Dates=H","DateFormat=P","Fill=—","Direction=H","UseDPDF=Y")</f>
        <v>#NAME?</v>
      </c>
      <c r="AJ368" s="2" t="e">
        <f ca="1">_xll.BDH($C$353,"GROWTH_IN_CAP","FY 2017","FY 2017","Currency=INR","Period=FY","BEST_FPERIOD_OVERRIDE=FY","FILING_STATUS=OR","EQY_CONSOLIDATED=Y","Sort=A","Dates=H","DateFormat=P","Fill=—","Direction=H","UseDPDF=Y")</f>
        <v>#NAME?</v>
      </c>
      <c r="AK368" s="2" t="e">
        <f ca="1">_xll.BDH($C$353,"BVPS_GROWTH","FY 2017","FY 2017","Currency=INR","Period=FY","BEST_FPERIOD_OVERRIDE=FY","FILING_STATUS=OR","EQY_CONSOLIDATED=Y","Sort=A","Dates=H","DateFormat=P","Fill=—","Direction=H","UseDPDF=Y")</f>
        <v>#NAME?</v>
      </c>
      <c r="AL368" s="2" t="e">
        <f ca="1">_xll.BDH($C$353,"CASH_FLOW_GROWTH","FY 2017","FY 2017","Currency=INR","Period=FY","BEST_FPERIOD_OVERRIDE=FY","FILING_STATUS=OR","EQY_CONSOLIDATED=Y","Sort=A","Dates=H","DateFormat=P","Fill=—","Direction=H","UseDPDF=Y")</f>
        <v>#NAME?</v>
      </c>
      <c r="AM368" s="2" t="e">
        <f ca="1">_xll.BDH($C$353,"GEO_GROW_NET_SALES","FY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368" s="2" t="e">
        <f ca="1">_xll.BDH($C$353,"GEO_GROW_EBITDA","FY 2017","FY 2017","Currency=INR","Period=FY","BEST_FPERIOD_OVERRIDE=FY","FILING_STATUS=OR","EQY_CONSOLIDATED=Y","FA_ADJUSTED=GAAP","Sort=A","Dates=H","DateFormat=P","Fill=—","Direction=H","UseDPDF=Y")</f>
        <v>#NAME?</v>
      </c>
      <c r="AO368" s="2" t="e">
        <f ca="1">_xll.BDH($C$353,"GEO_GROW_OPER_INC","FY 2017","FY 2017","Currency=INR","Period=FY","BEST_FPERIOD_OVERRIDE=FY","FILING_STATUS=OR","EQY_CONSOLIDATED=Y","FA_ADJUSTED=GAAP","Sort=A","Dates=H","DateFormat=P","Fill=—","Direction=H","UseDPDF=Y")</f>
        <v>#NAME?</v>
      </c>
      <c r="AP368" s="2" t="e">
        <f ca="1">_xll.BDH($C$353,"NET_INCOME_TO_COMMON_5_YR_GROWTH","FY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368" s="2" t="e">
        <f ca="1">_xll.BDH($C$353,"5Y_GEO_GROWTH_DILUTED_EPS","FY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368" s="2" t="e">
        <f ca="1">_xll.BDH($C$353,"GEO_GROW_DVD_PER_SH","FY 2017","FY 2017","Currency=INR","Period=FY","BEST_FPERIOD_OVERRIDE=FY","FILING_STATUS=OR","EQY_CONSOLIDATED=Y","Sort=A","Dates=H","DateFormat=P","Fill=—","Direction=H","UseDPDF=Y")</f>
        <v>#NAME?</v>
      </c>
      <c r="AS368" s="2" t="e">
        <f ca="1">_xll.BDH($C$353,"ACCOUNTS_RECEIVABLE_5_YR_GROWTH","FY 2017","FY 2017","Currency=INR","Period=FY","BEST_FPERIOD_OVERRIDE=FY","FILING_STATUS=OR","EQY_CONSOLIDATED=Y","Sort=A","Dates=H","DateFormat=P","Fill=—","Direction=H","UseDPDF=Y")</f>
        <v>#NAME?</v>
      </c>
      <c r="AT368" s="2" t="e">
        <f ca="1">_xll.BDH($C$353,"INVENTORY_5_YEAR_GROWTH","FY 2017","FY 2017","Currency=INR","Period=FY","BEST_FPERIOD_OVERRIDE=FY","FILING_STATUS=OR","EQY_CONSOLIDATED=Y","Sort=A","Dates=H","DateFormat=P","Fill=—","Direction=H","UseDPDF=Y")</f>
        <v>#NAME?</v>
      </c>
      <c r="AU368" s="2" t="e">
        <f ca="1">_xll.BDH($C$353,"NET_FIXED_ASSETS_5_YEAR_GROWTH","FY 2017","FY 2017","Currency=INR","Period=FY","BEST_FPERIOD_OVERRIDE=FY","FILING_STATUS=OR","EQY_CONSOLIDATED=Y","Sort=A","Dates=H","DateFormat=P","Fill=—","Direction=H","UseDPDF=Y")</f>
        <v>#NAME?</v>
      </c>
      <c r="AV368" s="2" t="e">
        <f ca="1">_xll.BDH($C$353,"GEO_GROW_TOT_ASSET","FY 2017","FY 2017","Currency=INR","Period=FY","BEST_FPERIOD_OVERRIDE=FY","FILING_STATUS=OR","EQY_CONSOLIDATED=Y","Sort=A","Dates=H","DateFormat=P","Fill=—","Direction=H","UseDPDF=Y")</f>
        <v>#NAME?</v>
      </c>
      <c r="AW368" s="2" t="e">
        <f ca="1">_xll.BDH($C$353,"MODIFIED_WORKING_CPTL_5YR_GRWTH","FY 2017","FY 2017","Currency=INR","Period=FY","BEST_FPERIOD_OVERRIDE=FY","FILING_STATUS=OR","EQY_CONSOLIDATED=Y","Sort=A","Dates=H","DateFormat=P","Fill=—","Direction=H","UseDPDF=Y")</f>
        <v>#NAME?</v>
      </c>
      <c r="AX368" s="2" t="e">
        <f ca="1">_xll.BDH($C$353,"WORKING_CAPITAL_5_YEAR_GROWTH","FY 2017","FY 2017","Currency=INR","Period=FY","BEST_FPERIOD_OVERRIDE=FY","FILING_STATUS=OR","EQY_CONSOLIDATED=Y","Sort=A","Dates=H","DateFormat=P","Fill=—","Direction=H","UseDPDF=Y")</f>
        <v>#NAME?</v>
      </c>
      <c r="AY368" s="2" t="e">
        <f ca="1">_xll.BDH($C$353,"ACCOUNTS_PAYABLE_5_YEAR_GROWTH","FY 2017","FY 2017","Currency=INR","Period=FY","BEST_FPERIOD_OVERRIDE=FY","FILING_STATUS=OR","EQY_CONSOLIDATED=Y","Sort=A","Dates=H","DateFormat=P","Fill=—","Direction=H","UseDPDF=Y")</f>
        <v>#NAME?</v>
      </c>
      <c r="AZ368" s="2" t="e">
        <f ca="1">_xll.BDH($C$353,"SHORT_TERM_DEBT_5_YEAR_GROWTH","FY 2017","FY 2017","Currency=INR","Period=FY","BEST_FPERIOD_OVERRIDE=FY","FILING_STATUS=OR","EQY_CONSOLIDATED=Y","Sort=A","Dates=H","DateFormat=P","Fill=—","Direction=H","UseDPDF=Y")</f>
        <v>#NAME?</v>
      </c>
      <c r="BA368" s="2" t="e">
        <f ca="1">_xll.BDH($C$353,"TOTAL_DEBT_5_YEAR_GROWTH","FY 2017","FY 2017","Currency=INR","Period=FY","BEST_FPERIOD_OVERRIDE=FY","FILING_STATUS=OR","EQY_CONSOLIDATED=Y","Sort=A","Dates=H","DateFormat=P","Fill=—","Direction=H","UseDPDF=Y")</f>
        <v>#NAME?</v>
      </c>
      <c r="BB368" s="2" t="e">
        <f ca="1">_xll.BDH($C$353,"GEO_GROW_TOT_SHRHLDR_EQY","FY 2017","FY 2017","Currency=INR","Period=FY","BEST_FPERIOD_OVERRIDE=FY","FILING_STATUS=OR","EQY_CONSOLIDATED=Y","Sort=A","Dates=H","DateFormat=P","Fill=—","Direction=H","UseDPDF=Y")</f>
        <v>#NAME?</v>
      </c>
      <c r="BC368" s="2" t="e">
        <f ca="1">_xll.BDH($C$353,"TOTAL_CAPITAL_5_YEAR_GROWTH","FY 2017","FY 2017","Currency=INR","Period=FY","BEST_FPERIOD_OVERRIDE=FY","FILING_STATUS=OR","EQY_CONSOLIDATED=Y","Sort=A","Dates=H","DateFormat=P","Fill=—","Direction=H","UseDPDF=Y")</f>
        <v>#NAME?</v>
      </c>
      <c r="BD368" s="2" t="e">
        <f ca="1">_xll.BDH($C$353,"GEO_GROW_BOOK_VAL","FY 2017","FY 2017","Currency=INR","Period=FY","BEST_FPERIOD_OVERRIDE=FY","FILING_STATUS=OR","EQY_CONSOLIDATED=Y","Sort=A","Dates=H","DateFormat=P","Fill=—","Direction=H","UseDPDF=Y")</f>
        <v>#NAME?</v>
      </c>
      <c r="BE368" s="2" t="e">
        <f ca="1">_xll.BDH($C$353,"GEO_GROW_CASH_OPER_ACT","FY 2017","FY 2017","Currency=INR","Period=FY","BEST_FPERIOD_OVERRIDE=FY","FILING_STATUS=OR","EQY_CONSOLIDATED=Y","Sort=A","Dates=H","DateFormat=P","Fill=—","Direction=H","UseDPDF=Y")</f>
        <v>#NAME?</v>
      </c>
      <c r="BF368" s="2" t="e">
        <f ca="1">_xll.BDH($C$353,"REVENUE_SEQUENTIAL_GROWTH","FY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368" s="2" t="e">
        <f ca="1">_xll.BDH($C$353,"EBITDA_SEQUENTIAL_GROWTH","FY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368" s="2" t="e">
        <f ca="1">_xll.BDH($C$353,"OPERATING_INCOME_SEQ_GROWTH","FY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368" s="2" t="e">
        <f ca="1">_xll.BDH($C$353,"NET_INCOME_TO_COMMON_SEQ_GROWTH","FY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368" s="2" t="e">
        <f ca="1">_xll.BDH($C$353,"EPS_DILUTED_SEQUENTIAL_GROWTH","FY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368" s="2" t="e">
        <f ca="1">_xll.BDH($C$353,"DPS_SEQUENTIAL_GROWTH","FY 2017","FY 2017","Currency=INR","Period=FY","BEST_FPERIOD_OVERRIDE=FY","FILING_STATUS=OR","EQY_CONSOLIDATED=Y","Sort=A","Dates=H","DateFormat=P","Fill=—","Direction=H","UseDPDF=Y")</f>
        <v>#NAME?</v>
      </c>
      <c r="BL368" s="2" t="e">
        <f ca="1">_xll.BDH($C$353,"ACCOUNTS_RECEIVABLE_SEQ_GROWTH","FY 2017","FY 2017","Currency=INR","Period=FY","BEST_FPERIOD_OVERRIDE=FY","FILING_STATUS=OR","EQY_CONSOLIDATED=Y","Sort=A","Dates=H","DateFormat=P","Fill=—","Direction=H","UseDPDF=Y")</f>
        <v>#NAME?</v>
      </c>
      <c r="BM368" s="2" t="e">
        <f ca="1">_xll.BDH($C$353,"INVENTORY_SEQUENTIAL_GROWTH","FY 2017","FY 2017","Currency=INR","Period=FY","BEST_FPERIOD_OVERRIDE=FY","FILING_STATUS=OR","EQY_CONSOLIDATED=Y","Sort=A","Dates=H","DateFormat=P","Fill=—","Direction=H","UseDPDF=Y")</f>
        <v>#NAME?</v>
      </c>
      <c r="BN368" s="2" t="e">
        <f ca="1">_xll.BDH($C$353,"FIXED_ASSETS_SEQUENTIAL_GROWTH","FY 2017","FY 2017","Currency=INR","Period=FY","BEST_FPERIOD_OVERRIDE=FY","FILING_STATUS=OR","EQY_CONSOLIDATED=Y","Sort=A","Dates=H","DateFormat=P","Fill=—","Direction=H","UseDPDF=Y")</f>
        <v>#NAME?</v>
      </c>
      <c r="BO368" s="2" t="e">
        <f ca="1">_xll.BDH($C$353,"TOTAL_ASSETS_SEQUENTIAL_GROWTH","FY 2017","FY 2017","Currency=INR","Period=FY","BEST_FPERIOD_OVERRIDE=FY","FILING_STATUS=OR","EQY_CONSOLIDATED=Y","Sort=A","Dates=H","DateFormat=P","Fill=—","Direction=H","UseDPDF=Y")</f>
        <v>#NAME?</v>
      </c>
      <c r="BP368" s="2" t="e">
        <f ca="1">_xll.BDH($C$353,"MODIFIED_WORKING_CPTL_SEQ_GRWTH","FY 2017","FY 2017","Currency=INR","Period=FY","BEST_FPERIOD_OVERRIDE=FY","FILING_STATUS=OR","EQY_CONSOLIDATED=Y","Sort=A","Dates=H","DateFormat=P","Fill=—","Direction=H","UseDPDF=Y")</f>
        <v>#NAME?</v>
      </c>
      <c r="BQ368" s="2" t="e">
        <f ca="1">_xll.BDH($C$353,"WORKING_CAPITAL_SEQ_GROWTH","FY 2017","FY 2017","Currency=INR","Period=FY","BEST_FPERIOD_OVERRIDE=FY","FILING_STATUS=OR","EQY_CONSOLIDATED=Y","Sort=A","Dates=H","DateFormat=P","Fill=—","Direction=H","UseDPDF=Y")</f>
        <v>#NAME?</v>
      </c>
      <c r="BR368" s="2" t="e">
        <f ca="1">_xll.BDH($C$353,"ACCOUNTS_PAYABLE_SEQ_GROWTH","FY 2017","FY 2017","Currency=INR","Period=FY","BEST_FPERIOD_OVERRIDE=FY","FILING_STATUS=OR","EQY_CONSOLIDATED=Y","Sort=A","Dates=H","DateFormat=P","Fill=—","Direction=H","UseDPDF=Y")</f>
        <v>#NAME?</v>
      </c>
      <c r="BS368" s="2" t="e">
        <f ca="1">_xll.BDH($C$353,"ST_DEBT_SEQUENTIAL_GROWTH","FY 2017","FY 2017","Currency=INR","Period=FY","BEST_FPERIOD_OVERRIDE=FY","FILING_STATUS=OR","EQY_CONSOLIDATED=Y","Sort=A","Dates=H","DateFormat=P","Fill=—","Direction=H","UseDPDF=Y")</f>
        <v>#NAME?</v>
      </c>
      <c r="BT368" s="2" t="e">
        <f ca="1">_xll.BDH($C$353,"TOTAL_DEBT_SEQUENTIAL_GROWTH","FY 2017","FY 2017","Currency=INR","Period=FY","BEST_FPERIOD_OVERRIDE=FY","FILING_STATUS=OR","EQY_CONSOLIDATED=Y","Sort=A","Dates=H","DateFormat=P","Fill=—","Direction=H","UseDPDF=Y")</f>
        <v>#NAME?</v>
      </c>
      <c r="BU368" s="2" t="e">
        <f ca="1">_xll.BDH($C$353,"TOTAL_EQUITY_SEQUENTIAL_GROWTH","FY 2017","FY 2017","Currency=INR","Period=FY","BEST_FPERIOD_OVERRIDE=FY","FILING_STATUS=OR","EQY_CONSOLIDATED=Y","Sort=A","Dates=H","DateFormat=P","Fill=—","Direction=H","UseDPDF=Y")</f>
        <v>#NAME?</v>
      </c>
      <c r="BV368" s="2" t="e">
        <f ca="1">_xll.BDH($C$353,"TOTAL_CAPITAL_SEQUENTIAL_GROWTH","FY 2017","FY 2017","Currency=INR","Period=FY","BEST_FPERIOD_OVERRIDE=FY","FILING_STATUS=OR","EQY_CONSOLIDATED=Y","Sort=A","Dates=H","DateFormat=P","Fill=—","Direction=H","UseDPDF=Y")</f>
        <v>#NAME?</v>
      </c>
      <c r="BW368" s="2" t="e">
        <f ca="1">_xll.BDH($C$353,"BPS_SEQUENTIAL_GROWTH","FY 2017","FY 2017","Currency=INR","Period=FY","BEST_FPERIOD_OVERRIDE=FY","FILING_STATUS=OR","EQY_CONSOLIDATED=Y","Sort=A","Dates=H","DateFormat=P","Fill=—","Direction=H","UseDPDF=Y")</f>
        <v>#NAME?</v>
      </c>
      <c r="BX368" s="2" t="e">
        <f ca="1">_xll.BDH($C$353,"CFO_SEQUENTIAL_GROWTH","FY 2017","FY 2017","Currency=INR","Period=FY","BEST_FPERIOD_OVERRIDE=FY","FILING_STATUS=OR","EQY_CONSOLIDATED=Y","Sort=A","Dates=H","DateFormat=P","Fill=—","Direction=H","UseDPDF=Y")</f>
        <v>#NAME?</v>
      </c>
      <c r="BY368" s="3" t="e">
        <f ca="1">_xll.BDH($C$353,"SHORT_AND_LONG_TERM_DEBT","FY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368" s="3" t="e">
        <f ca="1">_xll.BDH($C$353,"BS_ST_BORROW","FY 2017","FY 2017","Currency=INR","Period=FY","BEST_FPERIOD_OVERRIDE=FY","FILING_STATUS=OR","EQY_CONSOLIDATED=Y","SCALING_FORMAT=MLN","Sort=A","Dates=H","DateFormat=P","Fill=—","Direction=H","UseDPDF=Y")</f>
        <v>#NAME?</v>
      </c>
      <c r="CA368" s="3" t="e">
        <f ca="1">_xll.BDH($C$353,"BS_LT_BORROW","FY 2017","FY 2017","Currency=INR","Period=FY","BEST_FPERIOD_OVERRIDE=FY","FILING_STATUS=OR","EQY_CONSOLIDATED=Y","SCALING_FORMAT=MLN","Sort=A","Dates=H","DateFormat=P","Fill=—","Direction=H","UseDPDF=Y")</f>
        <v>#NAME?</v>
      </c>
      <c r="CB368" s="2" t="e">
        <f ca="1">_xll.BDH($C$353,"TOT_DEBT_TO_EBITDA","FY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368" s="2" t="e">
        <f ca="1">_xll.BDH($C$353,"NET_DEBT_TO_EBITDA","FY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368" s="2" t="e">
        <f ca="1">_xll.BDH($C$353,"TOTAL_DEBT_TO_EBIT","FY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368" s="2" t="e">
        <f ca="1">_xll.BDH($C$353,"NET_DEBT_TO_EBIT","FY 2017","FY 2017","Currency=INR","Period=FY","BEST_FPERIOD_OVERRIDE=FY","FILING_STATUS=OR","EQY_CONSOLIDATED=Y","FA_ADJUSTED=GAAP","Sort=A","Dates=H","DateFormat=P","Fill=—","Direction=H","UseDPDF=Y")</f>
        <v>#NAME?</v>
      </c>
      <c r="CF368" s="2" t="e">
        <f ca="1">_xll.BDH($C$353,"EBITDA_TO_INTEREST_EXPN","FY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368" s="2" t="e">
        <f ca="1">_xll.BDH($C$353,"COM_EQY_TO_TOT_ASSET","FY 2017","FY 2017","Currency=INR","Period=FY","BEST_FPERIOD_OVERRIDE=FY","FILING_STATUS=OR","EQY_CONSOLIDATED=Y","Sort=A","Dates=H","DateFormat=P","Fill=—","Direction=H","UseDPDF=Y")</f>
        <v>#NAME?</v>
      </c>
      <c r="CH368" s="2" t="e">
        <f ca="1">_xll.BDH($C$353,"LT_DEBT_TO_TOT_EQY","FY 2017","FY 2017","Currency=INR","Period=FY","BEST_FPERIOD_OVERRIDE=FY","FILING_STATUS=OR","EQY_CONSOLIDATED=Y","Sort=A","Dates=H","DateFormat=P","Fill=—","Direction=H","UseDPDF=Y")</f>
        <v>#NAME?</v>
      </c>
      <c r="CI368" s="2" t="e">
        <f ca="1">_xll.BDH($C$353,"LT_DEBT_TO_TOT_CAP","FY 2017","FY 2017","Currency=INR","Period=FY","BEST_FPERIOD_OVERRIDE=FY","FILING_STATUS=OR","EQY_CONSOLIDATED=Y","Sort=A","Dates=H","DateFormat=P","Fill=—","Direction=H","UseDPDF=Y")</f>
        <v>#NAME?</v>
      </c>
      <c r="CJ368" s="2" t="e">
        <f ca="1">_xll.BDH($C$353,"LT_DEBT_TO_TOT_ASSET","FY 2017","FY 2017","Currency=INR","Period=FY","BEST_FPERIOD_OVERRIDE=FY","FILING_STATUS=OR","EQY_CONSOLIDATED=Y","Sort=A","Dates=H","DateFormat=P","Fill=—","Direction=H","UseDPDF=Y")</f>
        <v>#NAME?</v>
      </c>
      <c r="CK368" s="2" t="e">
        <f ca="1">_xll.BDH($C$353,"TOT_DEBT_TO_TOT_EQY","FY 2017","FY 2017","Currency=INR","Period=FY","BEST_FPERIOD_OVERRIDE=FY","FILING_STATUS=OR","EQY_CONSOLIDATED=Y","Sort=A","Dates=H","DateFormat=P","Fill=—","Direction=H","UseDPDF=Y")</f>
        <v>#NAME?</v>
      </c>
      <c r="CL368" s="2" t="e">
        <f ca="1">_xll.BDH($C$353,"TOT_DEBT_TO_TOT_CAP","FY 2017","FY 2017","Currency=INR","Period=FY","BEST_FPERIOD_OVERRIDE=FY","FILING_STATUS=OR","EQY_CONSOLIDATED=Y","Sort=A","Dates=H","DateFormat=P","Fill=—","Direction=H","UseDPDF=Y")</f>
        <v>#NAME?</v>
      </c>
      <c r="CM368" s="2" t="e">
        <f ca="1">_xll.BDH($C$353,"TOT_DEBT_TO_TOT_ASSET","FY 2017","FY 2017","Currency=INR","Period=FY","BEST_FPERIOD_OVERRIDE=FY","FILING_STATUS=OR","EQY_CONSOLIDATED=Y","Sort=A","Dates=H","DateFormat=P","Fill=—","Direction=H","UseDPDF=Y")</f>
        <v>#NAME?</v>
      </c>
      <c r="CN368" s="2" t="e">
        <f ca="1">_xll.BDH($C$353,"NET_DEBT_TO_SHRHLDR_EQTY","FY 2017","FY 2017","Currency=INR","Period=FY","BEST_FPERIOD_OVERRIDE=FY","FILING_STATUS=OR","EQY_CONSOLIDATED=Y","Sort=A","Dates=H","DateFormat=P","Fill=—","Direction=H","UseDPDF=Y")</f>
        <v>#NAME?</v>
      </c>
      <c r="CO368" s="2" t="e">
        <f ca="1">_xll.BDH($C$353,"NET_DEBT_%_CAPITAL","FY 2017","FY 2017","Currency=INR","Period=FY","BEST_FPERIOD_OVERRIDE=FY","FILING_STATUS=OR","EQY_CONSOLIDATED=Y","Sort=A","Dates=H","DateFormat=P","Fill=—","Direction=H","UseDPDF=Y")</f>
        <v>#NAME?</v>
      </c>
      <c r="CP368" s="3" t="e">
        <f ca="1">_xll.BDH($C$353,"EBITDA","FY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368" s="3" t="e">
        <f ca="1">_xll.BDH($C$353,"EBITDA_AFTER_CAPEX","FY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368" s="3" t="e">
        <f ca="1">_xll.BDH($C$353,"IS_OPER_INC","FY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368" s="2" t="e">
        <f ca="1">_xll.BDH($C$353,"CASH_RATIO","FY 2017","FY 2017","Currency=INR","Period=FY","BEST_FPERIOD_OVERRIDE=FY","FILING_STATUS=OR","EQY_CONSOLIDATED=Y","Sort=A","Dates=H","DateFormat=P","Fill=—","Direction=H","UseDPDF=Y")</f>
        <v>#NAME?</v>
      </c>
      <c r="CT368" s="2" t="e">
        <f ca="1">_xll.BDH($C$353,"CUR_RATIO","FY 2017","FY 2017","Currency=INR","Period=FY","BEST_FPERIOD_OVERRIDE=FY","FILING_STATUS=OR","EQY_CONSOLIDATED=Y","Sort=A","Dates=H","DateFormat=P","Fill=—","Direction=H","UseDPDF=Y")</f>
        <v>#NAME?</v>
      </c>
      <c r="CU368" s="2" t="e">
        <f ca="1">_xll.BDH($C$353,"QUICK_RATIO","FY 2017","FY 2017","Currency=INR","Period=FY","BEST_FPERIOD_OVERRIDE=FY","FILING_STATUS=OR","EQY_CONSOLIDATED=Y","Sort=A","Dates=H","DateFormat=P","Fill=—","Direction=H","UseDPDF=Y")</f>
        <v>#NAME?</v>
      </c>
      <c r="CV368" s="2" t="e">
        <f ca="1">_xll.BDH($C$353,"ALTMAN_Z_SCORE","FY 2017","FY 2017","Currency=INR","Period=FY","BEST_FPERIOD_OVERRIDE=FY","FILING_STATUS=OR","EQY_CONSOLIDATED=Y","Sort=A","Dates=H","DateFormat=P","Fill=—","Direction=H","UseDPDF=Y")</f>
        <v>#NAME?</v>
      </c>
      <c r="CW368" s="4" t="e">
        <f ca="1">_xll.BDH($C$353,"ACCT_RCV_TURN","FY 2017","FY 2017","Currency=INR","Period=FY","BEST_FPERIOD_OVERRIDE=FY","FILING_STATUS=OR","EQY_CONSOLIDATED=Y","FA_ADJUSTED=GAAP","Sort=A","Dates=H","DateFormat=P","Fill=—","Direction=H","UseDPDF=Y")</f>
        <v>#NAME?</v>
      </c>
      <c r="CX368" s="2" t="e">
        <f ca="1">_xll.BDH($C$353,"ACCT_RCV_DAYS","FY 2017","FY 2017","Currency=INR","Period=FY","BEST_FPERIOD_OVERRIDE=FY","FILING_STATUS=OR","EQY_CONSOLIDATED=Y","FA_ADJUSTED=GAAP","Sort=A","Dates=H","DateFormat=P","Fill=—","Direction=H","UseDPDF=Y")</f>
        <v>#NAME?</v>
      </c>
      <c r="CY368" s="4" t="e">
        <f ca="1">_xll.BDH($C$353,"INVENT_TURN","FY 2017","FY 2017","Currency=INR","Period=FY","BEST_FPERIOD_OVERRIDE=FY","FILING_STATUS=OR","EQY_CONSOLIDATED=Y","FA_ADJUSTED=GAAP","Sort=A","Dates=H","DateFormat=P","Fill=—","Direction=H","UseDPDF=Y")</f>
        <v>#NAME?</v>
      </c>
      <c r="CZ368" s="2" t="e">
        <f ca="1">_xll.BDH($C$353,"INVENT_DAYS","FY 2017","FY 2017","Currency=INR","Period=FY","BEST_FPERIOD_OVERRIDE=FY","FILING_STATUS=OR","EQY_CONSOLIDATED=Y","FA_ADJUSTED=GAAP","Sort=A","Dates=H","DateFormat=P","Fill=—","Direction=H","UseDPDF=Y")</f>
        <v>#NAME?</v>
      </c>
      <c r="DA368" s="4" t="e">
        <f ca="1">_xll.BDH($C$353,"ACCOUNTS_PAYABLE_TURNOVER","FY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368" s="2" t="e">
        <f ca="1">_xll.BDH($C$353,"ACCOUNTS_PAYABLE_TURNOVER_DAYS","FY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368" s="4" t="e">
        <f ca="1">_xll.BDH($C$353,"CASH_CONVERSION_CYCLE","FY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368" s="4" t="e">
        <f ca="1">_xll.BDH($C$353,"INV_TO_CASH_DAYS","FY 2017","FY 2017","Currency=INR","Period=FY","BEST_FPERIOD_OVERRIDE=FY","FILING_STATUS=OR","EQY_CONSOLIDATED=Y","FA_ADJUSTED=GAAP","Sort=A","Dates=H","DateFormat=P","Fill=—","Direction=H","UseDPDF=Y")</f>
        <v>#NAME?</v>
      </c>
      <c r="DE368" s="5" t="e">
        <f ca="1">_xll.BDH($C$353,"BS_INVENTORIES","FY 2017","FY 2017","Currency=INR","Period=FY","BEST_FPERIOD_OVERRIDE=FY","FILING_STATUS=OR","EQY_CONSOLIDATED=Y","SCALING_FORMAT=MLN","Sort=A","Dates=H","DateFormat=P","Fill=—","Direction=H","UseDPDF=Y")</f>
        <v>#NAME?</v>
      </c>
      <c r="DF368" s="3" t="e">
        <f ca="1">_xll.BDH($C$353,"INVTRY_RAW_MATERIALS","FY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368" s="3" t="e">
        <f ca="1">_xll.BDH($C$353,"INVTRY_IN_PROGRESS","FY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368" s="3" t="e">
        <f ca="1">_xll.BDH($C$353,"INVTRY_FINISHED_GOODS","FY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368" s="3" t="e">
        <f ca="1">_xll.BDH($C$353,"BS_OTHER_INV","FY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369" spans="1:113" x14ac:dyDescent="0.3">
      <c r="A369" s="6"/>
      <c r="B369" s="6"/>
      <c r="C369" s="6"/>
      <c r="D369" s="6"/>
      <c r="E369" t="s">
        <v>78</v>
      </c>
      <c r="F369" t="e">
        <f ca="1">_xll.BDH($C$353,"RETURN_COM_EQY","FQ1 2017","FQ1 2017","Currency=INR","Period=FQ","BEST_FPERIOD_OVERRIDE=FQ","FILING_STATUS=OR","EQY_CONSOLIDATED=Y","FA_ADJUSTED=GAAP","Sort=A","Dates=H","DateFormat=P","Fill=—","Direction=H","UseDPDF=Y")</f>
        <v>#NAME?</v>
      </c>
      <c r="G369" t="e">
        <f ca="1">_xll.BDH($C$353,"RETURN_ON_ASSET","FQ1 2017","FQ1 2017","Currency=INR","Period=FQ","BEST_FPERIOD_OVERRIDE=FQ","FILING_STATUS=OR","EQY_CONSOLIDATED=Y","FA_ADJUSTED=GAAP","Sort=A","Dates=H","DateFormat=P","Fill=—","Direction=H","UseDPDF=Y")</f>
        <v>#NAME?</v>
      </c>
      <c r="H369" t="e">
        <f ca="1">_xll.BDH($C$353,"RETURN_ON_CAP","FQ1 2017","FQ1 2017","Currency=INR","Period=FQ","BEST_FPERIOD_OVERRIDE=FQ","FILING_STATUS=OR","EQY_CONSOLIDATED=Y","FA_ADJUSTED=GAAP","Sort=A","Dates=H","DateFormat=P","Fill=—","Direction=H","UseDPDF=Y")</f>
        <v>#NAME?</v>
      </c>
      <c r="I369" t="e">
        <f ca="1">_xll.BDH($C$353,"RETURN_ON_INV_CAPITAL","FQ1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369" t="e">
        <f ca="1">_xll.BDH($C$353,"EBITDA_TO_REVENUE","FQ1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369" t="e">
        <f ca="1">_xll.BDH($C$353,"OPER_MARGIN","FQ1 2017","FQ1 2017","Currency=INR","Period=FQ","BEST_FPERIOD_OVERRIDE=FQ","FILING_STATUS=OR","EQY_CONSOLIDATED=Y","FA_ADJUSTED=GAAP","Sort=A","Dates=H","DateFormat=P","Fill=—","Direction=H","UseDPDF=Y")</f>
        <v>#NAME?</v>
      </c>
      <c r="L369" t="e">
        <f ca="1">_xll.BDH($C$353,"INCREMENTAL_OPERATING_MARGIN","FQ1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369" t="e">
        <f ca="1">_xll.BDH($C$353,"PRETAX_INC_TO_NET_SALES","FQ1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369" t="e">
        <f ca="1">_xll.BDH($C$353,"INC_BEF_XO_ITEMS_TO_NET_SALES","FQ1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369" t="e">
        <f ca="1">_xll.BDH($C$353,"PROF_MARGIN","FQ1 2017","FQ1 2017","Currency=INR","Period=FQ","BEST_FPERIOD_OVERRIDE=FQ","FILING_STATUS=OR","EQY_CONSOLIDATED=Y","FA_ADJUSTED=GAAP","Sort=A","Dates=H","DateFormat=P","Fill=—","Direction=H","UseDPDF=Y")</f>
        <v>#NAME?</v>
      </c>
      <c r="P369" t="e">
        <f ca="1">_xll.BDH($C$353,"NET_INCOME_TO_COMMON_MARGIN","FQ1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369" t="e">
        <f ca="1">_xll.BDH($C$353,"EFF_TAX_RATE","FQ1 2017","FQ1 2017","Currency=INR","Period=FQ","BEST_FPERIOD_OVERRIDE=FQ","FILING_STATUS=OR","EQY_CONSOLIDATED=Y","FA_ADJUSTED=GAAP","Sort=A","Dates=H","DateFormat=P","Fill=—","Direction=H","UseDPDF=Y")</f>
        <v>#NAME?</v>
      </c>
      <c r="R369" t="e">
        <f ca="1">_xll.BDH($C$353,"DVD_PAYOUT_RATIO","FQ1 2017","FQ1 2017","Currency=INR","Period=FQ","BEST_FPERIOD_OVERRIDE=FQ","FILING_STATUS=OR","EQY_CONSOLIDATED=Y","FA_ADJUSTED=GAAP","Sort=A","Dates=H","DateFormat=P","Fill=—","Direction=H","UseDPDF=Y")</f>
        <v>#NAME?</v>
      </c>
      <c r="S369" t="e">
        <f ca="1">_xll.BDH($C$353,"SUSTAIN_GROWTH_RT","FQ1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369" s="2" t="e">
        <f ca="1">_xll.BDH($C$353,"SALES_GROWTH","FQ1 2017","FQ1 2017","Currency=INR","Period=FQ","BEST_FPERIOD_OVERRIDE=FQ","FILING_STATUS=OR","EQY_CONSOLIDATED=Y","FA_ADJUSTED=GAAP","Sort=A","Dates=H","DateFormat=P","Fill=—","Direction=H","UseDPDF=Y")</f>
        <v>#NAME?</v>
      </c>
      <c r="U369" s="2" t="e">
        <f ca="1">_xll.BDH($C$353,"EBITDA_GROWTH","FQ1 2017","FQ1 2017","Currency=INR","Period=FQ","BEST_FPERIOD_OVERRIDE=FQ","FILING_STATUS=OR","EQY_CONSOLIDATED=Y","FA_ADJUSTED=GAAP","Sort=A","Dates=H","DateFormat=P","Fill=—","Direction=H","UseDPDF=Y")</f>
        <v>#NAME?</v>
      </c>
      <c r="V369" s="2" t="e">
        <f ca="1">_xll.BDH($C$353,"OPER_INC_GROWTH","FQ1 2017","FQ1 2017","Currency=INR","Period=FQ","BEST_FPERIOD_OVERRIDE=FQ","FILING_STATUS=OR","EQY_CONSOLIDATED=Y","FA_ADJUSTED=GAAP","Sort=A","Dates=H","DateFormat=P","Fill=—","Direction=H","UseDPDF=Y")</f>
        <v>#NAME?</v>
      </c>
      <c r="W369" s="2" t="e">
        <f ca="1">_xll.BDH($C$353,"EARN_FOR_COM_GROWTH","FQ1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369" s="2" t="e">
        <f ca="1">_xll.BDH($C$353,"DILUTED_EPS_AFT_XO_ITEMS_GROWTH","FQ1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369" s="2" t="e">
        <f ca="1">_xll.BDH($C$353,"DIVIDEND_PER_SHARE_1_YEAR_GROWTH","FQ1 2017","FQ1 2017","Currency=INR","Period=FQ","BEST_FPERIOD_OVERRIDE=FQ","FILING_STATUS=OR","EQY_CONSOLIDATED=Y","Sort=A","Dates=H","DateFormat=P","Fill=—","Direction=H","UseDPDF=Y")</f>
        <v>#NAME?</v>
      </c>
      <c r="Z369" s="2" t="e">
        <f ca="1">_xll.BDH($C$353,"ACCOUNTS_RECEIVABLE_GROWTH","FQ1 2017","FQ1 2017","Currency=INR","Period=FQ","BEST_FPERIOD_OVERRIDE=FQ","FILING_STATUS=OR","EQY_CONSOLIDATED=Y","Sort=A","Dates=H","DateFormat=P","Fill=—","Direction=H","UseDPDF=Y")</f>
        <v>#NAME?</v>
      </c>
      <c r="AA369" s="2" t="e">
        <f ca="1">_xll.BDH($C$353,"INVENTORY_GROWTH","FQ1 2017","FQ1 2017","Currency=INR","Period=FQ","BEST_FPERIOD_OVERRIDE=FQ","FILING_STATUS=OR","EQY_CONSOLIDATED=Y","Sort=A","Dates=H","DateFormat=P","Fill=—","Direction=H","UseDPDF=Y")</f>
        <v>#NAME?</v>
      </c>
      <c r="AB369" s="2" t="e">
        <f ca="1">_xll.BDH($C$353,"NET_FIXED_ASSETS_1_YEAR_GROWTH","FQ1 2017","FQ1 2017","Currency=INR","Period=FQ","BEST_FPERIOD_OVERRIDE=FQ","FILING_STATUS=OR","EQY_CONSOLIDATED=Y","Sort=A","Dates=H","DateFormat=P","Fill=—","Direction=H","UseDPDF=Y")</f>
        <v>#NAME?</v>
      </c>
      <c r="AC369" s="2" t="e">
        <f ca="1">_xll.BDH($C$353,"ASSET_GROWTH","FQ1 2017","FQ1 2017","Currency=INR","Period=FQ","BEST_FPERIOD_OVERRIDE=FQ","FILING_STATUS=OR","EQY_CONSOLIDATED=Y","Sort=A","Dates=H","DateFormat=P","Fill=—","Direction=H","UseDPDF=Y")</f>
        <v>#NAME?</v>
      </c>
      <c r="AD369" s="2" t="e">
        <f ca="1">_xll.BDH($C$353,"MODIFIED_WORK_CAP_GROWTH","FQ1 2017","FQ1 2017","Currency=INR","Period=FQ","BEST_FPERIOD_OVERRIDE=FQ","FILING_STATUS=OR","EQY_CONSOLIDATED=Y","Sort=A","Dates=H","DateFormat=P","Fill=—","Direction=H","UseDPDF=Y")</f>
        <v>#NAME?</v>
      </c>
      <c r="AE369" s="2" t="e">
        <f ca="1">_xll.BDH($C$353,"WORK_CAP_GROWTH","FQ1 2017","FQ1 2017","Currency=INR","Period=FQ","BEST_FPERIOD_OVERRIDE=FQ","FILING_STATUS=OR","EQY_CONSOLIDATED=Y","Sort=A","Dates=H","DateFormat=P","Fill=—","Direction=H","UseDPDF=Y")</f>
        <v>#NAME?</v>
      </c>
      <c r="AF369" s="2" t="e">
        <f ca="1">_xll.BDH($C$353,"ACCOUNTS_PAYABLE_GROWTH_1YR","FQ1 2017","FQ1 2017","Currency=INR","Period=FQ","BEST_FPERIOD_OVERRIDE=FQ","FILING_STATUS=OR","EQY_CONSOLIDATED=Y","Sort=A","Dates=H","DateFormat=P","Fill=—","Direction=H","UseDPDF=Y")</f>
        <v>#NAME?</v>
      </c>
      <c r="AG369" s="2" t="e">
        <f ca="1">_xll.BDH($C$353,"SHORT_TERM_DEBT_1_YEAR_GROWTH","FQ1 2017","FQ1 2017","Currency=INR","Period=FQ","BEST_FPERIOD_OVERRIDE=FQ","FILING_STATUS=OR","EQY_CONSOLIDATED=Y","Sort=A","Dates=H","DateFormat=P","Fill=—","Direction=H","UseDPDF=Y")</f>
        <v>#NAME?</v>
      </c>
      <c r="AH369" s="2" t="e">
        <f ca="1">_xll.BDH($C$353,"TOTAL_DEBT_1_YEAR_GROWTH","FQ1 2017","FQ1 2017","Currency=INR","Period=FQ","BEST_FPERIOD_OVERRIDE=FQ","FILING_STATUS=OR","EQY_CONSOLIDATED=Y","Sort=A","Dates=H","DateFormat=P","Fill=—","Direction=H","UseDPDF=Y")</f>
        <v>#NAME?</v>
      </c>
      <c r="AI369" s="2" t="e">
        <f ca="1">_xll.BDH($C$353,"TOTAL_EQUITY_1_YEAR_GROWTH","FQ1 2017","FQ1 2017","Currency=INR","Period=FQ","BEST_FPERIOD_OVERRIDE=FQ","FILING_STATUS=OR","EQY_CONSOLIDATED=Y","Sort=A","Dates=H","DateFormat=P","Fill=—","Direction=H","UseDPDF=Y")</f>
        <v>#NAME?</v>
      </c>
      <c r="AJ369" s="2" t="e">
        <f ca="1">_xll.BDH($C$353,"GROWTH_IN_CAP","FQ1 2017","FQ1 2017","Currency=INR","Period=FQ","BEST_FPERIOD_OVERRIDE=FQ","FILING_STATUS=OR","EQY_CONSOLIDATED=Y","Sort=A","Dates=H","DateFormat=P","Fill=—","Direction=H","UseDPDF=Y")</f>
        <v>#NAME?</v>
      </c>
      <c r="AK369" s="2" t="e">
        <f ca="1">_xll.BDH($C$353,"BVPS_GROWTH","FQ1 2017","FQ1 2017","Currency=INR","Period=FQ","BEST_FPERIOD_OVERRIDE=FQ","FILING_STATUS=OR","EQY_CONSOLIDATED=Y","Sort=A","Dates=H","DateFormat=P","Fill=—","Direction=H","UseDPDF=Y")</f>
        <v>#NAME?</v>
      </c>
      <c r="AL369" s="2" t="e">
        <f ca="1">_xll.BDH($C$353,"CASH_FLOW_GROWTH","FQ1 2017","FQ1 2017","Currency=INR","Period=FQ","BEST_FPERIOD_OVERRIDE=FQ","FILING_STATUS=OR","EQY_CONSOLIDATED=Y","Sort=A","Dates=H","DateFormat=P","Fill=—","Direction=H","UseDPDF=Y")</f>
        <v>#NAME?</v>
      </c>
      <c r="AM369" s="2" t="e">
        <f ca="1">_xll.BDH($C$353,"GEO_GROW_NET_SALES","FQ1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369" s="2" t="e">
        <f ca="1">_xll.BDH($C$353,"GEO_GROW_EBITDA","FQ1 2017","FQ1 2017","Currency=INR","Period=FQ","BEST_FPERIOD_OVERRIDE=FQ","FILING_STATUS=OR","EQY_CONSOLIDATED=Y","FA_ADJUSTED=GAAP","Sort=A","Dates=H","DateFormat=P","Fill=—","Direction=H","UseDPDF=Y")</f>
        <v>#NAME?</v>
      </c>
      <c r="AO369" s="2" t="e">
        <f ca="1">_xll.BDH($C$353,"GEO_GROW_OPER_INC","FQ1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369" s="2" t="e">
        <f ca="1">_xll.BDH($C$353,"NET_INCOME_TO_COMMON_5_YR_GROWTH","FQ1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369" s="2" t="e">
        <f ca="1">_xll.BDH($C$353,"5Y_GEO_GROWTH_DILUTED_EPS","FQ1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369" s="2" t="e">
        <f ca="1">_xll.BDH($C$353,"GEO_GROW_DVD_PER_SH","FQ1 2017","FQ1 2017","Currency=INR","Period=FQ","BEST_FPERIOD_OVERRIDE=FQ","FILING_STATUS=OR","EQY_CONSOLIDATED=Y","Sort=A","Dates=H","DateFormat=P","Fill=—","Direction=H","UseDPDF=Y")</f>
        <v>#NAME?</v>
      </c>
      <c r="AS369" s="2" t="e">
        <f ca="1">_xll.BDH($C$353,"ACCOUNTS_RECEIVABLE_5_YR_GROWTH","FQ1 2017","FQ1 2017","Currency=INR","Period=FQ","BEST_FPERIOD_OVERRIDE=FQ","FILING_STATUS=OR","EQY_CONSOLIDATED=Y","Sort=A","Dates=H","DateFormat=P","Fill=—","Direction=H","UseDPDF=Y")</f>
        <v>#NAME?</v>
      </c>
      <c r="AT369" s="2" t="e">
        <f ca="1">_xll.BDH($C$353,"INVENTORY_5_YEAR_GROWTH","FQ1 2017","FQ1 2017","Currency=INR","Period=FQ","BEST_FPERIOD_OVERRIDE=FQ","FILING_STATUS=OR","EQY_CONSOLIDATED=Y","Sort=A","Dates=H","DateFormat=P","Fill=—","Direction=H","UseDPDF=Y")</f>
        <v>#NAME?</v>
      </c>
      <c r="AU369" s="2" t="e">
        <f ca="1">_xll.BDH($C$353,"NET_FIXED_ASSETS_5_YEAR_GROWTH","FQ1 2017","FQ1 2017","Currency=INR","Period=FQ","BEST_FPERIOD_OVERRIDE=FQ","FILING_STATUS=OR","EQY_CONSOLIDATED=Y","Sort=A","Dates=H","DateFormat=P","Fill=—","Direction=H","UseDPDF=Y")</f>
        <v>#NAME?</v>
      </c>
      <c r="AV369" s="2" t="e">
        <f ca="1">_xll.BDH($C$353,"GEO_GROW_TOT_ASSET","FQ1 2017","FQ1 2017","Currency=INR","Period=FQ","BEST_FPERIOD_OVERRIDE=FQ","FILING_STATUS=OR","EQY_CONSOLIDATED=Y","Sort=A","Dates=H","DateFormat=P","Fill=—","Direction=H","UseDPDF=Y")</f>
        <v>#NAME?</v>
      </c>
      <c r="AW369" s="2" t="e">
        <f ca="1">_xll.BDH($C$353,"MODIFIED_WORKING_CPTL_5YR_GRWTH","FQ1 2017","FQ1 2017","Currency=INR","Period=FQ","BEST_FPERIOD_OVERRIDE=FQ","FILING_STATUS=OR","EQY_CONSOLIDATED=Y","Sort=A","Dates=H","DateFormat=P","Fill=—","Direction=H","UseDPDF=Y")</f>
        <v>#NAME?</v>
      </c>
      <c r="AX369" s="2" t="e">
        <f ca="1">_xll.BDH($C$353,"WORKING_CAPITAL_5_YEAR_GROWTH","FQ1 2017","FQ1 2017","Currency=INR","Period=FQ","BEST_FPERIOD_OVERRIDE=FQ","FILING_STATUS=OR","EQY_CONSOLIDATED=Y","Sort=A","Dates=H","DateFormat=P","Fill=—","Direction=H","UseDPDF=Y")</f>
        <v>#NAME?</v>
      </c>
      <c r="AY369" s="2" t="e">
        <f ca="1">_xll.BDH($C$353,"ACCOUNTS_PAYABLE_5_YEAR_GROWTH","FQ1 2017","FQ1 2017","Currency=INR","Period=FQ","BEST_FPERIOD_OVERRIDE=FQ","FILING_STATUS=OR","EQY_CONSOLIDATED=Y","Sort=A","Dates=H","DateFormat=P","Fill=—","Direction=H","UseDPDF=Y")</f>
        <v>#NAME?</v>
      </c>
      <c r="AZ369" s="2" t="e">
        <f ca="1">_xll.BDH($C$353,"SHORT_TERM_DEBT_5_YEAR_GROWTH","FQ1 2017","FQ1 2017","Currency=INR","Period=FQ","BEST_FPERIOD_OVERRIDE=FQ","FILING_STATUS=OR","EQY_CONSOLIDATED=Y","Sort=A","Dates=H","DateFormat=P","Fill=—","Direction=H","UseDPDF=Y")</f>
        <v>#NAME?</v>
      </c>
      <c r="BA369" s="2" t="e">
        <f ca="1">_xll.BDH($C$353,"TOTAL_DEBT_5_YEAR_GROWTH","FQ1 2017","FQ1 2017","Currency=INR","Period=FQ","BEST_FPERIOD_OVERRIDE=FQ","FILING_STATUS=OR","EQY_CONSOLIDATED=Y","Sort=A","Dates=H","DateFormat=P","Fill=—","Direction=H","UseDPDF=Y")</f>
        <v>#NAME?</v>
      </c>
      <c r="BB369" s="2" t="e">
        <f ca="1">_xll.BDH($C$353,"GEO_GROW_TOT_SHRHLDR_EQY","FQ1 2017","FQ1 2017","Currency=INR","Period=FQ","BEST_FPERIOD_OVERRIDE=FQ","FILING_STATUS=OR","EQY_CONSOLIDATED=Y","Sort=A","Dates=H","DateFormat=P","Fill=—","Direction=H","UseDPDF=Y")</f>
        <v>#NAME?</v>
      </c>
      <c r="BC369" s="2" t="e">
        <f ca="1">_xll.BDH($C$353,"TOTAL_CAPITAL_5_YEAR_GROWTH","FQ1 2017","FQ1 2017","Currency=INR","Period=FQ","BEST_FPERIOD_OVERRIDE=FQ","FILING_STATUS=OR","EQY_CONSOLIDATED=Y","Sort=A","Dates=H","DateFormat=P","Fill=—","Direction=H","UseDPDF=Y")</f>
        <v>#NAME?</v>
      </c>
      <c r="BD369" s="2" t="e">
        <f ca="1">_xll.BDH($C$353,"GEO_GROW_BOOK_VAL","FQ1 2017","FQ1 2017","Currency=INR","Period=FQ","BEST_FPERIOD_OVERRIDE=FQ","FILING_STATUS=OR","EQY_CONSOLIDATED=Y","Sort=A","Dates=H","DateFormat=P","Fill=—","Direction=H","UseDPDF=Y")</f>
        <v>#NAME?</v>
      </c>
      <c r="BE369" s="2" t="e">
        <f ca="1">_xll.BDH($C$353,"GEO_GROW_CASH_OPER_ACT","FQ1 2017","FQ1 2017","Currency=INR","Period=FQ","BEST_FPERIOD_OVERRIDE=FQ","FILING_STATUS=OR","EQY_CONSOLIDATED=Y","Sort=A","Dates=H","DateFormat=P","Fill=—","Direction=H","UseDPDF=Y")</f>
        <v>#NAME?</v>
      </c>
      <c r="BF369" s="2" t="e">
        <f ca="1">_xll.BDH($C$353,"REVENUE_SEQUENTIAL_GROWTH","FQ1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369" s="2" t="e">
        <f ca="1">_xll.BDH($C$353,"EBITDA_SEQUENTIAL_GROWTH","FQ1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369" s="2" t="e">
        <f ca="1">_xll.BDH($C$353,"OPERATING_INCOME_SEQ_GROWTH","FQ1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369" s="2" t="e">
        <f ca="1">_xll.BDH($C$353,"NET_INCOME_TO_COMMON_SEQ_GROWTH","FQ1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369" s="2" t="e">
        <f ca="1">_xll.BDH($C$353,"EPS_DILUTED_SEQUENTIAL_GROWTH","FQ1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369" s="2" t="e">
        <f ca="1">_xll.BDH($C$353,"DPS_SEQUENTIAL_GROWTH","FQ1 2017","FQ1 2017","Currency=INR","Period=FQ","BEST_FPERIOD_OVERRIDE=FQ","FILING_STATUS=OR","EQY_CONSOLIDATED=Y","Sort=A","Dates=H","DateFormat=P","Fill=—","Direction=H","UseDPDF=Y")</f>
        <v>#NAME?</v>
      </c>
      <c r="BL369" s="2" t="e">
        <f ca="1">_xll.BDH($C$353,"ACCOUNTS_RECEIVABLE_SEQ_GROWTH","FQ1 2017","FQ1 2017","Currency=INR","Period=FQ","BEST_FPERIOD_OVERRIDE=FQ","FILING_STATUS=OR","EQY_CONSOLIDATED=Y","Sort=A","Dates=H","DateFormat=P","Fill=—","Direction=H","UseDPDF=Y")</f>
        <v>#NAME?</v>
      </c>
      <c r="BM369" s="2" t="e">
        <f ca="1">_xll.BDH($C$353,"INVENTORY_SEQUENTIAL_GROWTH","FQ1 2017","FQ1 2017","Currency=INR","Period=FQ","BEST_FPERIOD_OVERRIDE=FQ","FILING_STATUS=OR","EQY_CONSOLIDATED=Y","Sort=A","Dates=H","DateFormat=P","Fill=—","Direction=H","UseDPDF=Y")</f>
        <v>#NAME?</v>
      </c>
      <c r="BN369" s="2" t="e">
        <f ca="1">_xll.BDH($C$353,"FIXED_ASSETS_SEQUENTIAL_GROWTH","FQ1 2017","FQ1 2017","Currency=INR","Period=FQ","BEST_FPERIOD_OVERRIDE=FQ","FILING_STATUS=OR","EQY_CONSOLIDATED=Y","Sort=A","Dates=H","DateFormat=P","Fill=—","Direction=H","UseDPDF=Y")</f>
        <v>#NAME?</v>
      </c>
      <c r="BO369" s="2" t="e">
        <f ca="1">_xll.BDH($C$353,"TOTAL_ASSETS_SEQUENTIAL_GROWTH","FQ1 2017","FQ1 2017","Currency=INR","Period=FQ","BEST_FPERIOD_OVERRIDE=FQ","FILING_STATUS=OR","EQY_CONSOLIDATED=Y","Sort=A","Dates=H","DateFormat=P","Fill=—","Direction=H","UseDPDF=Y")</f>
        <v>#NAME?</v>
      </c>
      <c r="BP369" s="2" t="e">
        <f ca="1">_xll.BDH($C$353,"MODIFIED_WORKING_CPTL_SEQ_GRWTH","FQ1 2017","FQ1 2017","Currency=INR","Period=FQ","BEST_FPERIOD_OVERRIDE=FQ","FILING_STATUS=OR","EQY_CONSOLIDATED=Y","Sort=A","Dates=H","DateFormat=P","Fill=—","Direction=H","UseDPDF=Y")</f>
        <v>#NAME?</v>
      </c>
      <c r="BQ369" s="2" t="e">
        <f ca="1">_xll.BDH($C$353,"WORKING_CAPITAL_SEQ_GROWTH","FQ1 2017","FQ1 2017","Currency=INR","Period=FQ","BEST_FPERIOD_OVERRIDE=FQ","FILING_STATUS=OR","EQY_CONSOLIDATED=Y","Sort=A","Dates=H","DateFormat=P","Fill=—","Direction=H","UseDPDF=Y")</f>
        <v>#NAME?</v>
      </c>
      <c r="BR369" s="2" t="e">
        <f ca="1">_xll.BDH($C$353,"ACCOUNTS_PAYABLE_SEQ_GROWTH","FQ1 2017","FQ1 2017","Currency=INR","Period=FQ","BEST_FPERIOD_OVERRIDE=FQ","FILING_STATUS=OR","EQY_CONSOLIDATED=Y","Sort=A","Dates=H","DateFormat=P","Fill=—","Direction=H","UseDPDF=Y")</f>
        <v>#NAME?</v>
      </c>
      <c r="BS369" s="2" t="e">
        <f ca="1">_xll.BDH($C$353,"ST_DEBT_SEQUENTIAL_GROWTH","FQ1 2017","FQ1 2017","Currency=INR","Period=FQ","BEST_FPERIOD_OVERRIDE=FQ","FILING_STATUS=OR","EQY_CONSOLIDATED=Y","Sort=A","Dates=H","DateFormat=P","Fill=—","Direction=H","UseDPDF=Y")</f>
        <v>#NAME?</v>
      </c>
      <c r="BT369" s="2" t="e">
        <f ca="1">_xll.BDH($C$353,"TOTAL_DEBT_SEQUENTIAL_GROWTH","FQ1 2017","FQ1 2017","Currency=INR","Period=FQ","BEST_FPERIOD_OVERRIDE=FQ","FILING_STATUS=OR","EQY_CONSOLIDATED=Y","Sort=A","Dates=H","DateFormat=P","Fill=—","Direction=H","UseDPDF=Y")</f>
        <v>#NAME?</v>
      </c>
      <c r="BU369" s="2" t="e">
        <f ca="1">_xll.BDH($C$353,"TOTAL_EQUITY_SEQUENTIAL_GROWTH","FQ1 2017","FQ1 2017","Currency=INR","Period=FQ","BEST_FPERIOD_OVERRIDE=FQ","FILING_STATUS=OR","EQY_CONSOLIDATED=Y","Sort=A","Dates=H","DateFormat=P","Fill=—","Direction=H","UseDPDF=Y")</f>
        <v>#NAME?</v>
      </c>
      <c r="BV369" s="2" t="e">
        <f ca="1">_xll.BDH($C$353,"TOTAL_CAPITAL_SEQUENTIAL_GROWTH","FQ1 2017","FQ1 2017","Currency=INR","Period=FQ","BEST_FPERIOD_OVERRIDE=FQ","FILING_STATUS=OR","EQY_CONSOLIDATED=Y","Sort=A","Dates=H","DateFormat=P","Fill=—","Direction=H","UseDPDF=Y")</f>
        <v>#NAME?</v>
      </c>
      <c r="BW369" s="2" t="e">
        <f ca="1">_xll.BDH($C$353,"BPS_SEQUENTIAL_GROWTH","FQ1 2017","FQ1 2017","Currency=INR","Period=FQ","BEST_FPERIOD_OVERRIDE=FQ","FILING_STATUS=OR","EQY_CONSOLIDATED=Y","Sort=A","Dates=H","DateFormat=P","Fill=—","Direction=H","UseDPDF=Y")</f>
        <v>#NAME?</v>
      </c>
      <c r="BX369" s="2" t="e">
        <f ca="1">_xll.BDH($C$353,"CFO_SEQUENTIAL_GROWTH","FQ1 2017","FQ1 2017","Currency=INR","Period=FQ","BEST_FPERIOD_OVERRIDE=FQ","FILING_STATUS=OR","EQY_CONSOLIDATED=Y","Sort=A","Dates=H","DateFormat=P","Fill=—","Direction=H","UseDPDF=Y")</f>
        <v>#NAME?</v>
      </c>
      <c r="BY369" s="3" t="e">
        <f ca="1">_xll.BDH($C$353,"SHORT_AND_LONG_TERM_DEBT","FQ1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369" s="3" t="e">
        <f ca="1">_xll.BDH($C$353,"BS_ST_BORROW","FQ1 2017","FQ1 2017","Currency=INR","Period=FQ","BEST_FPERIOD_OVERRIDE=FQ","FILING_STATUS=OR","EQY_CONSOLIDATED=Y","SCALING_FORMAT=MLN","Sort=A","Dates=H","DateFormat=P","Fill=—","Direction=H","UseDPDF=Y")</f>
        <v>#NAME?</v>
      </c>
      <c r="CA369" s="3" t="e">
        <f ca="1">_xll.BDH($C$353,"BS_LT_BORROW","FQ1 2017","FQ1 2017","Currency=INR","Period=FQ","BEST_FPERIOD_OVERRIDE=FQ","FILING_STATUS=OR","EQY_CONSOLIDATED=Y","SCALING_FORMAT=MLN","Sort=A","Dates=H","DateFormat=P","Fill=—","Direction=H","UseDPDF=Y")</f>
        <v>#NAME?</v>
      </c>
      <c r="CB369" s="2" t="e">
        <f ca="1">_xll.BDH($C$353,"TOT_DEBT_TO_EBITDA","FQ1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369" s="2" t="e">
        <f ca="1">_xll.BDH($C$353,"NET_DEBT_TO_EBITDA","FQ1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369" s="2" t="e">
        <f ca="1">_xll.BDH($C$353,"TOTAL_DEBT_TO_EBIT","FQ1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369" s="2" t="e">
        <f ca="1">_xll.BDH($C$353,"NET_DEBT_TO_EBIT","FQ1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369" s="2" t="e">
        <f ca="1">_xll.BDH($C$353,"EBITDA_TO_INTEREST_EXPN","FQ1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369" s="2" t="e">
        <f ca="1">_xll.BDH($C$353,"COM_EQY_TO_TOT_ASSET","FQ1 2017","FQ1 2017","Currency=INR","Period=FQ","BEST_FPERIOD_OVERRIDE=FQ","FILING_STATUS=OR","EQY_CONSOLIDATED=Y","Sort=A","Dates=H","DateFormat=P","Fill=—","Direction=H","UseDPDF=Y")</f>
        <v>#NAME?</v>
      </c>
      <c r="CH369" s="2" t="e">
        <f ca="1">_xll.BDH($C$353,"LT_DEBT_TO_TOT_EQY","FQ1 2017","FQ1 2017","Currency=INR","Period=FQ","BEST_FPERIOD_OVERRIDE=FQ","FILING_STATUS=OR","EQY_CONSOLIDATED=Y","Sort=A","Dates=H","DateFormat=P","Fill=—","Direction=H","UseDPDF=Y")</f>
        <v>#NAME?</v>
      </c>
      <c r="CI369" s="2" t="e">
        <f ca="1">_xll.BDH($C$353,"LT_DEBT_TO_TOT_CAP","FQ1 2017","FQ1 2017","Currency=INR","Period=FQ","BEST_FPERIOD_OVERRIDE=FQ","FILING_STATUS=OR","EQY_CONSOLIDATED=Y","Sort=A","Dates=H","DateFormat=P","Fill=—","Direction=H","UseDPDF=Y")</f>
        <v>#NAME?</v>
      </c>
      <c r="CJ369" s="2" t="e">
        <f ca="1">_xll.BDH($C$353,"LT_DEBT_TO_TOT_ASSET","FQ1 2017","FQ1 2017","Currency=INR","Period=FQ","BEST_FPERIOD_OVERRIDE=FQ","FILING_STATUS=OR","EQY_CONSOLIDATED=Y","Sort=A","Dates=H","DateFormat=P","Fill=—","Direction=H","UseDPDF=Y")</f>
        <v>#NAME?</v>
      </c>
      <c r="CK369" s="2" t="e">
        <f ca="1">_xll.BDH($C$353,"TOT_DEBT_TO_TOT_EQY","FQ1 2017","FQ1 2017","Currency=INR","Period=FQ","BEST_FPERIOD_OVERRIDE=FQ","FILING_STATUS=OR","EQY_CONSOLIDATED=Y","Sort=A","Dates=H","DateFormat=P","Fill=—","Direction=H","UseDPDF=Y")</f>
        <v>#NAME?</v>
      </c>
      <c r="CL369" s="2" t="e">
        <f ca="1">_xll.BDH($C$353,"TOT_DEBT_TO_TOT_CAP","FQ1 2017","FQ1 2017","Currency=INR","Period=FQ","BEST_FPERIOD_OVERRIDE=FQ","FILING_STATUS=OR","EQY_CONSOLIDATED=Y","Sort=A","Dates=H","DateFormat=P","Fill=—","Direction=H","UseDPDF=Y")</f>
        <v>#NAME?</v>
      </c>
      <c r="CM369" s="2" t="e">
        <f ca="1">_xll.BDH($C$353,"TOT_DEBT_TO_TOT_ASSET","FQ1 2017","FQ1 2017","Currency=INR","Period=FQ","BEST_FPERIOD_OVERRIDE=FQ","FILING_STATUS=OR","EQY_CONSOLIDATED=Y","Sort=A","Dates=H","DateFormat=P","Fill=—","Direction=H","UseDPDF=Y")</f>
        <v>#NAME?</v>
      </c>
      <c r="CN369" s="2" t="e">
        <f ca="1">_xll.BDH($C$353,"NET_DEBT_TO_SHRHLDR_EQTY","FQ1 2017","FQ1 2017","Currency=INR","Period=FQ","BEST_FPERIOD_OVERRIDE=FQ","FILING_STATUS=OR","EQY_CONSOLIDATED=Y","Sort=A","Dates=H","DateFormat=P","Fill=—","Direction=H","UseDPDF=Y")</f>
        <v>#NAME?</v>
      </c>
      <c r="CO369" s="2" t="e">
        <f ca="1">_xll.BDH($C$353,"NET_DEBT_%_CAPITAL","FQ1 2017","FQ1 2017","Currency=INR","Period=FQ","BEST_FPERIOD_OVERRIDE=FQ","FILING_STATUS=OR","EQY_CONSOLIDATED=Y","Sort=A","Dates=H","DateFormat=P","Fill=—","Direction=H","UseDPDF=Y")</f>
        <v>#NAME?</v>
      </c>
      <c r="CP369" s="3" t="e">
        <f ca="1">_xll.BDH($C$353,"EBITDA","FQ1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369" s="3" t="e">
        <f ca="1">_xll.BDH($C$353,"EBITDA_AFTER_CAPEX","FQ1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369" s="3" t="e">
        <f ca="1">_xll.BDH($C$353,"IS_OPER_INC","FQ1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369" s="2" t="e">
        <f ca="1">_xll.BDH($C$353,"CASH_RATIO","FQ1 2017","FQ1 2017","Currency=INR","Period=FQ","BEST_FPERIOD_OVERRIDE=FQ","FILING_STATUS=OR","EQY_CONSOLIDATED=Y","Sort=A","Dates=H","DateFormat=P","Fill=—","Direction=H","UseDPDF=Y")</f>
        <v>#NAME?</v>
      </c>
      <c r="CT369" s="2" t="e">
        <f ca="1">_xll.BDH($C$353,"CUR_RATIO","FQ1 2017","FQ1 2017","Currency=INR","Period=FQ","BEST_FPERIOD_OVERRIDE=FQ","FILING_STATUS=OR","EQY_CONSOLIDATED=Y","Sort=A","Dates=H","DateFormat=P","Fill=—","Direction=H","UseDPDF=Y")</f>
        <v>#NAME?</v>
      </c>
      <c r="CU369" s="2" t="e">
        <f ca="1">_xll.BDH($C$353,"QUICK_RATIO","FQ1 2017","FQ1 2017","Currency=INR","Period=FQ","BEST_FPERIOD_OVERRIDE=FQ","FILING_STATUS=OR","EQY_CONSOLIDATED=Y","Sort=A","Dates=H","DateFormat=P","Fill=—","Direction=H","UseDPDF=Y")</f>
        <v>#NAME?</v>
      </c>
      <c r="CV369" s="2" t="e">
        <f ca="1">_xll.BDH($C$353,"ALTMAN_Z_SCORE","FQ1 2017","FQ1 2017","Currency=INR","Period=FQ","BEST_FPERIOD_OVERRIDE=FQ","FILING_STATUS=OR","EQY_CONSOLIDATED=Y","Sort=A","Dates=H","DateFormat=P","Fill=—","Direction=H","UseDPDF=Y")</f>
        <v>#NAME?</v>
      </c>
      <c r="CW369" s="4" t="e">
        <f ca="1">_xll.BDH($C$353,"ACCT_RCV_TURN","FQ1 2017","FQ1 2017","Currency=INR","Period=FQ","BEST_FPERIOD_OVERRIDE=FQ","FILING_STATUS=OR","EQY_CONSOLIDATED=Y","FA_ADJUSTED=GAAP","Sort=A","Dates=H","DateFormat=P","Fill=—","Direction=H","UseDPDF=Y")</f>
        <v>#NAME?</v>
      </c>
      <c r="CX369" s="2" t="e">
        <f ca="1">_xll.BDH($C$353,"ACCT_RCV_DAYS","FQ1 2017","FQ1 2017","Currency=INR","Period=FQ","BEST_FPERIOD_OVERRIDE=FQ","FILING_STATUS=OR","EQY_CONSOLIDATED=Y","FA_ADJUSTED=GAAP","Sort=A","Dates=H","DateFormat=P","Fill=—","Direction=H","UseDPDF=Y")</f>
        <v>#NAME?</v>
      </c>
      <c r="CY369" s="4" t="e">
        <f ca="1">_xll.BDH($C$353,"INVENT_TURN","FQ1 2017","FQ1 2017","Currency=INR","Period=FQ","BEST_FPERIOD_OVERRIDE=FQ","FILING_STATUS=OR","EQY_CONSOLIDATED=Y","FA_ADJUSTED=GAAP","Sort=A","Dates=H","DateFormat=P","Fill=—","Direction=H","UseDPDF=Y")</f>
        <v>#NAME?</v>
      </c>
      <c r="CZ369" s="2" t="e">
        <f ca="1">_xll.BDH($C$353,"INVENT_DAYS","FQ1 2017","FQ1 2017","Currency=INR","Period=FQ","BEST_FPERIOD_OVERRIDE=FQ","FILING_STATUS=OR","EQY_CONSOLIDATED=Y","FA_ADJUSTED=GAAP","Sort=A","Dates=H","DateFormat=P","Fill=—","Direction=H","UseDPDF=Y")</f>
        <v>#NAME?</v>
      </c>
      <c r="DA369" s="4" t="e">
        <f ca="1">_xll.BDH($C$353,"ACCOUNTS_PAYABLE_TURNOVER","FQ1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369" s="2" t="e">
        <f ca="1">_xll.BDH($C$353,"ACCOUNTS_PAYABLE_TURNOVER_DAYS","FQ1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369" s="4" t="e">
        <f ca="1">_xll.BDH($C$353,"CASH_CONVERSION_CYCLE","FQ1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369" s="4" t="e">
        <f ca="1">_xll.BDH($C$353,"INV_TO_CASH_DAYS","FQ1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369" s="5" t="e">
        <f ca="1">_xll.BDH($C$353,"BS_INVENTORIES","FQ1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369" s="3" t="e">
        <f ca="1">_xll.BDH($C$353,"INVTRY_RAW_MATERIALS","FQ1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369" s="3" t="e">
        <f ca="1">_xll.BDH($C$353,"INVTRY_IN_PROGRESS","FQ1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369" s="3" t="e">
        <f ca="1">_xll.BDH($C$353,"INVTRY_FINISHED_GOODS","FQ1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369" s="3" t="e">
        <f ca="1">_xll.BDH($C$353,"BS_OTHER_INV","FQ1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370" spans="1:113" x14ac:dyDescent="0.3">
      <c r="A370" s="6"/>
      <c r="B370" s="6"/>
      <c r="C370" s="6"/>
      <c r="D370" s="6"/>
      <c r="E370" t="s">
        <v>79</v>
      </c>
      <c r="F370" t="e">
        <f ca="1">_xll.BDH($C$353,"RETURN_COM_EQY","FQ2 2017","FQ2 2017","Currency=INR","Period=FQ","BEST_FPERIOD_OVERRIDE=FQ","FILING_STATUS=OR","EQY_CONSOLIDATED=Y","FA_ADJUSTED=GAAP","Sort=A","Dates=H","DateFormat=P","Fill=—","Direction=H","UseDPDF=Y")</f>
        <v>#NAME?</v>
      </c>
      <c r="G370" t="e">
        <f ca="1">_xll.BDH($C$353,"RETURN_ON_ASSET","FQ2 2017","FQ2 2017","Currency=INR","Period=FQ","BEST_FPERIOD_OVERRIDE=FQ","FILING_STATUS=OR","EQY_CONSOLIDATED=Y","FA_ADJUSTED=GAAP","Sort=A","Dates=H","DateFormat=P","Fill=—","Direction=H","UseDPDF=Y")</f>
        <v>#NAME?</v>
      </c>
      <c r="H370" t="e">
        <f ca="1">_xll.BDH($C$353,"RETURN_ON_CAP","FQ2 2017","FQ2 2017","Currency=INR","Period=FQ","BEST_FPERIOD_OVERRIDE=FQ","FILING_STATUS=OR","EQY_CONSOLIDATED=Y","FA_ADJUSTED=GAAP","Sort=A","Dates=H","DateFormat=P","Fill=—","Direction=H","UseDPDF=Y")</f>
        <v>#NAME?</v>
      </c>
      <c r="I370" t="e">
        <f ca="1">_xll.BDH($C$353,"RETURN_ON_INV_CAPITAL","FQ2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370" t="e">
        <f ca="1">_xll.BDH($C$353,"EBITDA_TO_REVENUE","FQ2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370" t="e">
        <f ca="1">_xll.BDH($C$353,"OPER_MARGIN","FQ2 2017","FQ2 2017","Currency=INR","Period=FQ","BEST_FPERIOD_OVERRIDE=FQ","FILING_STATUS=OR","EQY_CONSOLIDATED=Y","FA_ADJUSTED=GAAP","Sort=A","Dates=H","DateFormat=P","Fill=—","Direction=H","UseDPDF=Y")</f>
        <v>#NAME?</v>
      </c>
      <c r="L370" t="e">
        <f ca="1">_xll.BDH($C$353,"INCREMENTAL_OPERATING_MARGIN","FQ2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370" t="e">
        <f ca="1">_xll.BDH($C$353,"PRETAX_INC_TO_NET_SALES","FQ2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370" t="e">
        <f ca="1">_xll.BDH($C$353,"INC_BEF_XO_ITEMS_TO_NET_SALES","FQ2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370" t="e">
        <f ca="1">_xll.BDH($C$353,"PROF_MARGIN","FQ2 2017","FQ2 2017","Currency=INR","Period=FQ","BEST_FPERIOD_OVERRIDE=FQ","FILING_STATUS=OR","EQY_CONSOLIDATED=Y","FA_ADJUSTED=GAAP","Sort=A","Dates=H","DateFormat=P","Fill=—","Direction=H","UseDPDF=Y")</f>
        <v>#NAME?</v>
      </c>
      <c r="P370" t="e">
        <f ca="1">_xll.BDH($C$353,"NET_INCOME_TO_COMMON_MARGIN","FQ2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370" t="e">
        <f ca="1">_xll.BDH($C$353,"EFF_TAX_RATE","FQ2 2017","FQ2 2017","Currency=INR","Period=FQ","BEST_FPERIOD_OVERRIDE=FQ","FILING_STATUS=OR","EQY_CONSOLIDATED=Y","FA_ADJUSTED=GAAP","Sort=A","Dates=H","DateFormat=P","Fill=—","Direction=H","UseDPDF=Y")</f>
        <v>#NAME?</v>
      </c>
      <c r="R370" t="e">
        <f ca="1">_xll.BDH($C$353,"DVD_PAYOUT_RATIO","FQ2 2017","FQ2 2017","Currency=INR","Period=FQ","BEST_FPERIOD_OVERRIDE=FQ","FILING_STATUS=OR","EQY_CONSOLIDATED=Y","FA_ADJUSTED=GAAP","Sort=A","Dates=H","DateFormat=P","Fill=—","Direction=H","UseDPDF=Y")</f>
        <v>#NAME?</v>
      </c>
      <c r="S370" t="e">
        <f ca="1">_xll.BDH($C$353,"SUSTAIN_GROWTH_RT","FQ2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370" s="2" t="e">
        <f ca="1">_xll.BDH($C$353,"SALES_GROWTH","FQ2 2017","FQ2 2017","Currency=INR","Period=FQ","BEST_FPERIOD_OVERRIDE=FQ","FILING_STATUS=OR","EQY_CONSOLIDATED=Y","FA_ADJUSTED=GAAP","Sort=A","Dates=H","DateFormat=P","Fill=—","Direction=H","UseDPDF=Y")</f>
        <v>#NAME?</v>
      </c>
      <c r="U370" s="2" t="e">
        <f ca="1">_xll.BDH($C$353,"EBITDA_GROWTH","FQ2 2017","FQ2 2017","Currency=INR","Period=FQ","BEST_FPERIOD_OVERRIDE=FQ","FILING_STATUS=OR","EQY_CONSOLIDATED=Y","FA_ADJUSTED=GAAP","Sort=A","Dates=H","DateFormat=P","Fill=—","Direction=H","UseDPDF=Y")</f>
        <v>#NAME?</v>
      </c>
      <c r="V370" s="2" t="e">
        <f ca="1">_xll.BDH($C$353,"OPER_INC_GROWTH","FQ2 2017","FQ2 2017","Currency=INR","Period=FQ","BEST_FPERIOD_OVERRIDE=FQ","FILING_STATUS=OR","EQY_CONSOLIDATED=Y","FA_ADJUSTED=GAAP","Sort=A","Dates=H","DateFormat=P","Fill=—","Direction=H","UseDPDF=Y")</f>
        <v>#NAME?</v>
      </c>
      <c r="W370" s="2" t="e">
        <f ca="1">_xll.BDH($C$353,"EARN_FOR_COM_GROWTH","FQ2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370" s="2" t="e">
        <f ca="1">_xll.BDH($C$353,"DILUTED_EPS_AFT_XO_ITEMS_GROWTH","FQ2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370" s="2" t="e">
        <f ca="1">_xll.BDH($C$353,"DIVIDEND_PER_SHARE_1_YEAR_GROWTH","FQ2 2017","FQ2 2017","Currency=INR","Period=FQ","BEST_FPERIOD_OVERRIDE=FQ","FILING_STATUS=OR","EQY_CONSOLIDATED=Y","Sort=A","Dates=H","DateFormat=P","Fill=—","Direction=H","UseDPDF=Y")</f>
        <v>#NAME?</v>
      </c>
      <c r="Z370" s="2" t="e">
        <f ca="1">_xll.BDH($C$353,"ACCOUNTS_RECEIVABLE_GROWTH","FQ2 2017","FQ2 2017","Currency=INR","Period=FQ","BEST_FPERIOD_OVERRIDE=FQ","FILING_STATUS=OR","EQY_CONSOLIDATED=Y","Sort=A","Dates=H","DateFormat=P","Fill=—","Direction=H","UseDPDF=Y")</f>
        <v>#NAME?</v>
      </c>
      <c r="AA370" s="2" t="e">
        <f ca="1">_xll.BDH($C$353,"INVENTORY_GROWTH","FQ2 2017","FQ2 2017","Currency=INR","Period=FQ","BEST_FPERIOD_OVERRIDE=FQ","FILING_STATUS=OR","EQY_CONSOLIDATED=Y","Sort=A","Dates=H","DateFormat=P","Fill=—","Direction=H","UseDPDF=Y")</f>
        <v>#NAME?</v>
      </c>
      <c r="AB370" s="2" t="e">
        <f ca="1">_xll.BDH($C$353,"NET_FIXED_ASSETS_1_YEAR_GROWTH","FQ2 2017","FQ2 2017","Currency=INR","Period=FQ","BEST_FPERIOD_OVERRIDE=FQ","FILING_STATUS=OR","EQY_CONSOLIDATED=Y","Sort=A","Dates=H","DateFormat=P","Fill=—","Direction=H","UseDPDF=Y")</f>
        <v>#NAME?</v>
      </c>
      <c r="AC370" s="2" t="e">
        <f ca="1">_xll.BDH($C$353,"ASSET_GROWTH","FQ2 2017","FQ2 2017","Currency=INR","Period=FQ","BEST_FPERIOD_OVERRIDE=FQ","FILING_STATUS=OR","EQY_CONSOLIDATED=Y","Sort=A","Dates=H","DateFormat=P","Fill=—","Direction=H","UseDPDF=Y")</f>
        <v>#NAME?</v>
      </c>
      <c r="AD370" s="2" t="e">
        <f ca="1">_xll.BDH($C$353,"MODIFIED_WORK_CAP_GROWTH","FQ2 2017","FQ2 2017","Currency=INR","Period=FQ","BEST_FPERIOD_OVERRIDE=FQ","FILING_STATUS=OR","EQY_CONSOLIDATED=Y","Sort=A","Dates=H","DateFormat=P","Fill=—","Direction=H","UseDPDF=Y")</f>
        <v>#NAME?</v>
      </c>
      <c r="AE370" s="2" t="e">
        <f ca="1">_xll.BDH($C$353,"WORK_CAP_GROWTH","FQ2 2017","FQ2 2017","Currency=INR","Period=FQ","BEST_FPERIOD_OVERRIDE=FQ","FILING_STATUS=OR","EQY_CONSOLIDATED=Y","Sort=A","Dates=H","DateFormat=P","Fill=—","Direction=H","UseDPDF=Y")</f>
        <v>#NAME?</v>
      </c>
      <c r="AF370" s="2" t="e">
        <f ca="1">_xll.BDH($C$353,"ACCOUNTS_PAYABLE_GROWTH_1YR","FQ2 2017","FQ2 2017","Currency=INR","Period=FQ","BEST_FPERIOD_OVERRIDE=FQ","FILING_STATUS=OR","EQY_CONSOLIDATED=Y","Sort=A","Dates=H","DateFormat=P","Fill=—","Direction=H","UseDPDF=Y")</f>
        <v>#NAME?</v>
      </c>
      <c r="AG370" s="2" t="e">
        <f ca="1">_xll.BDH($C$353,"SHORT_TERM_DEBT_1_YEAR_GROWTH","FQ2 2017","FQ2 2017","Currency=INR","Period=FQ","BEST_FPERIOD_OVERRIDE=FQ","FILING_STATUS=OR","EQY_CONSOLIDATED=Y","Sort=A","Dates=H","DateFormat=P","Fill=—","Direction=H","UseDPDF=Y")</f>
        <v>#NAME?</v>
      </c>
      <c r="AH370" s="2" t="e">
        <f ca="1">_xll.BDH($C$353,"TOTAL_DEBT_1_YEAR_GROWTH","FQ2 2017","FQ2 2017","Currency=INR","Period=FQ","BEST_FPERIOD_OVERRIDE=FQ","FILING_STATUS=OR","EQY_CONSOLIDATED=Y","Sort=A","Dates=H","DateFormat=P","Fill=—","Direction=H","UseDPDF=Y")</f>
        <v>#NAME?</v>
      </c>
      <c r="AI370" s="2" t="e">
        <f ca="1">_xll.BDH($C$353,"TOTAL_EQUITY_1_YEAR_GROWTH","FQ2 2017","FQ2 2017","Currency=INR","Period=FQ","BEST_FPERIOD_OVERRIDE=FQ","FILING_STATUS=OR","EQY_CONSOLIDATED=Y","Sort=A","Dates=H","DateFormat=P","Fill=—","Direction=H","UseDPDF=Y")</f>
        <v>#NAME?</v>
      </c>
      <c r="AJ370" s="2" t="e">
        <f ca="1">_xll.BDH($C$353,"GROWTH_IN_CAP","FQ2 2017","FQ2 2017","Currency=INR","Period=FQ","BEST_FPERIOD_OVERRIDE=FQ","FILING_STATUS=OR","EQY_CONSOLIDATED=Y","Sort=A","Dates=H","DateFormat=P","Fill=—","Direction=H","UseDPDF=Y")</f>
        <v>#NAME?</v>
      </c>
      <c r="AK370" s="2" t="e">
        <f ca="1">_xll.BDH($C$353,"BVPS_GROWTH","FQ2 2017","FQ2 2017","Currency=INR","Period=FQ","BEST_FPERIOD_OVERRIDE=FQ","FILING_STATUS=OR","EQY_CONSOLIDATED=Y","Sort=A","Dates=H","DateFormat=P","Fill=—","Direction=H","UseDPDF=Y")</f>
        <v>#NAME?</v>
      </c>
      <c r="AL370" s="2" t="e">
        <f ca="1">_xll.BDH($C$353,"CASH_FLOW_GROWTH","FQ2 2017","FQ2 2017","Currency=INR","Period=FQ","BEST_FPERIOD_OVERRIDE=FQ","FILING_STATUS=OR","EQY_CONSOLIDATED=Y","Sort=A","Dates=H","DateFormat=P","Fill=—","Direction=H","UseDPDF=Y")</f>
        <v>#NAME?</v>
      </c>
      <c r="AM370" s="2" t="e">
        <f ca="1">_xll.BDH($C$353,"GEO_GROW_NET_SALES","FQ2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370" s="2" t="e">
        <f ca="1">_xll.BDH($C$353,"GEO_GROW_EBITDA","FQ2 2017","FQ2 2017","Currency=INR","Period=FQ","BEST_FPERIOD_OVERRIDE=FQ","FILING_STATUS=OR","EQY_CONSOLIDATED=Y","FA_ADJUSTED=GAAP","Sort=A","Dates=H","DateFormat=P","Fill=—","Direction=H","UseDPDF=Y")</f>
        <v>#NAME?</v>
      </c>
      <c r="AO370" s="2" t="e">
        <f ca="1">_xll.BDH($C$353,"GEO_GROW_OPER_INC","FQ2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370" s="2" t="e">
        <f ca="1">_xll.BDH($C$353,"NET_INCOME_TO_COMMON_5_YR_GROWTH","FQ2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370" s="2" t="e">
        <f ca="1">_xll.BDH($C$353,"5Y_GEO_GROWTH_DILUTED_EPS","FQ2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370" s="2" t="e">
        <f ca="1">_xll.BDH($C$353,"GEO_GROW_DVD_PER_SH","FQ2 2017","FQ2 2017","Currency=INR","Period=FQ","BEST_FPERIOD_OVERRIDE=FQ","FILING_STATUS=OR","EQY_CONSOLIDATED=Y","Sort=A","Dates=H","DateFormat=P","Fill=—","Direction=H","UseDPDF=Y")</f>
        <v>#NAME?</v>
      </c>
      <c r="AS370" s="2" t="e">
        <f ca="1">_xll.BDH($C$353,"ACCOUNTS_RECEIVABLE_5_YR_GROWTH","FQ2 2017","FQ2 2017","Currency=INR","Period=FQ","BEST_FPERIOD_OVERRIDE=FQ","FILING_STATUS=OR","EQY_CONSOLIDATED=Y","Sort=A","Dates=H","DateFormat=P","Fill=—","Direction=H","UseDPDF=Y")</f>
        <v>#NAME?</v>
      </c>
      <c r="AT370" s="2" t="e">
        <f ca="1">_xll.BDH($C$353,"INVENTORY_5_YEAR_GROWTH","FQ2 2017","FQ2 2017","Currency=INR","Period=FQ","BEST_FPERIOD_OVERRIDE=FQ","FILING_STATUS=OR","EQY_CONSOLIDATED=Y","Sort=A","Dates=H","DateFormat=P","Fill=—","Direction=H","UseDPDF=Y")</f>
        <v>#NAME?</v>
      </c>
      <c r="AU370" s="2" t="e">
        <f ca="1">_xll.BDH($C$353,"NET_FIXED_ASSETS_5_YEAR_GROWTH","FQ2 2017","FQ2 2017","Currency=INR","Period=FQ","BEST_FPERIOD_OVERRIDE=FQ","FILING_STATUS=OR","EQY_CONSOLIDATED=Y","Sort=A","Dates=H","DateFormat=P","Fill=—","Direction=H","UseDPDF=Y")</f>
        <v>#NAME?</v>
      </c>
      <c r="AV370" s="2" t="e">
        <f ca="1">_xll.BDH($C$353,"GEO_GROW_TOT_ASSET","FQ2 2017","FQ2 2017","Currency=INR","Period=FQ","BEST_FPERIOD_OVERRIDE=FQ","FILING_STATUS=OR","EQY_CONSOLIDATED=Y","Sort=A","Dates=H","DateFormat=P","Fill=—","Direction=H","UseDPDF=Y")</f>
        <v>#NAME?</v>
      </c>
      <c r="AW370" s="2" t="e">
        <f ca="1">_xll.BDH($C$353,"MODIFIED_WORKING_CPTL_5YR_GRWTH","FQ2 2017","FQ2 2017","Currency=INR","Period=FQ","BEST_FPERIOD_OVERRIDE=FQ","FILING_STATUS=OR","EQY_CONSOLIDATED=Y","Sort=A","Dates=H","DateFormat=P","Fill=—","Direction=H","UseDPDF=Y")</f>
        <v>#NAME?</v>
      </c>
      <c r="AX370" s="2" t="e">
        <f ca="1">_xll.BDH($C$353,"WORKING_CAPITAL_5_YEAR_GROWTH","FQ2 2017","FQ2 2017","Currency=INR","Period=FQ","BEST_FPERIOD_OVERRIDE=FQ","FILING_STATUS=OR","EQY_CONSOLIDATED=Y","Sort=A","Dates=H","DateFormat=P","Fill=—","Direction=H","UseDPDF=Y")</f>
        <v>#NAME?</v>
      </c>
      <c r="AY370" s="2" t="e">
        <f ca="1">_xll.BDH($C$353,"ACCOUNTS_PAYABLE_5_YEAR_GROWTH","FQ2 2017","FQ2 2017","Currency=INR","Period=FQ","BEST_FPERIOD_OVERRIDE=FQ","FILING_STATUS=OR","EQY_CONSOLIDATED=Y","Sort=A","Dates=H","DateFormat=P","Fill=—","Direction=H","UseDPDF=Y")</f>
        <v>#NAME?</v>
      </c>
      <c r="AZ370" s="2" t="e">
        <f ca="1">_xll.BDH($C$353,"SHORT_TERM_DEBT_5_YEAR_GROWTH","FQ2 2017","FQ2 2017","Currency=INR","Period=FQ","BEST_FPERIOD_OVERRIDE=FQ","FILING_STATUS=OR","EQY_CONSOLIDATED=Y","Sort=A","Dates=H","DateFormat=P","Fill=—","Direction=H","UseDPDF=Y")</f>
        <v>#NAME?</v>
      </c>
      <c r="BA370" s="2" t="e">
        <f ca="1">_xll.BDH($C$353,"TOTAL_DEBT_5_YEAR_GROWTH","FQ2 2017","FQ2 2017","Currency=INR","Period=FQ","BEST_FPERIOD_OVERRIDE=FQ","FILING_STATUS=OR","EQY_CONSOLIDATED=Y","Sort=A","Dates=H","DateFormat=P","Fill=—","Direction=H","UseDPDF=Y")</f>
        <v>#NAME?</v>
      </c>
      <c r="BB370" s="2" t="e">
        <f ca="1">_xll.BDH($C$353,"GEO_GROW_TOT_SHRHLDR_EQY","FQ2 2017","FQ2 2017","Currency=INR","Period=FQ","BEST_FPERIOD_OVERRIDE=FQ","FILING_STATUS=OR","EQY_CONSOLIDATED=Y","Sort=A","Dates=H","DateFormat=P","Fill=—","Direction=H","UseDPDF=Y")</f>
        <v>#NAME?</v>
      </c>
      <c r="BC370" s="2" t="e">
        <f ca="1">_xll.BDH($C$353,"TOTAL_CAPITAL_5_YEAR_GROWTH","FQ2 2017","FQ2 2017","Currency=INR","Period=FQ","BEST_FPERIOD_OVERRIDE=FQ","FILING_STATUS=OR","EQY_CONSOLIDATED=Y","Sort=A","Dates=H","DateFormat=P","Fill=—","Direction=H","UseDPDF=Y")</f>
        <v>#NAME?</v>
      </c>
      <c r="BD370" s="2" t="e">
        <f ca="1">_xll.BDH($C$353,"GEO_GROW_BOOK_VAL","FQ2 2017","FQ2 2017","Currency=INR","Period=FQ","BEST_FPERIOD_OVERRIDE=FQ","FILING_STATUS=OR","EQY_CONSOLIDATED=Y","Sort=A","Dates=H","DateFormat=P","Fill=—","Direction=H","UseDPDF=Y")</f>
        <v>#NAME?</v>
      </c>
      <c r="BE370" s="2" t="e">
        <f ca="1">_xll.BDH($C$353,"GEO_GROW_CASH_OPER_ACT","FQ2 2017","FQ2 2017","Currency=INR","Period=FQ","BEST_FPERIOD_OVERRIDE=FQ","FILING_STATUS=OR","EQY_CONSOLIDATED=Y","Sort=A","Dates=H","DateFormat=P","Fill=—","Direction=H","UseDPDF=Y")</f>
        <v>#NAME?</v>
      </c>
      <c r="BF370" s="2" t="e">
        <f ca="1">_xll.BDH($C$353,"REVENUE_SEQUENTIAL_GROWTH","FQ2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370" s="2" t="e">
        <f ca="1">_xll.BDH($C$353,"EBITDA_SEQUENTIAL_GROWTH","FQ2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370" s="2" t="e">
        <f ca="1">_xll.BDH($C$353,"OPERATING_INCOME_SEQ_GROWTH","FQ2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370" s="2" t="e">
        <f ca="1">_xll.BDH($C$353,"NET_INCOME_TO_COMMON_SEQ_GROWTH","FQ2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370" s="2" t="e">
        <f ca="1">_xll.BDH($C$353,"EPS_DILUTED_SEQUENTIAL_GROWTH","FQ2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370" s="2" t="e">
        <f ca="1">_xll.BDH($C$353,"DPS_SEQUENTIAL_GROWTH","FQ2 2017","FQ2 2017","Currency=INR","Period=FQ","BEST_FPERIOD_OVERRIDE=FQ","FILING_STATUS=OR","EQY_CONSOLIDATED=Y","Sort=A","Dates=H","DateFormat=P","Fill=—","Direction=H","UseDPDF=Y")</f>
        <v>#NAME?</v>
      </c>
      <c r="BL370" s="2" t="e">
        <f ca="1">_xll.BDH($C$353,"ACCOUNTS_RECEIVABLE_SEQ_GROWTH","FQ2 2017","FQ2 2017","Currency=INR","Period=FQ","BEST_FPERIOD_OVERRIDE=FQ","FILING_STATUS=OR","EQY_CONSOLIDATED=Y","Sort=A","Dates=H","DateFormat=P","Fill=—","Direction=H","UseDPDF=Y")</f>
        <v>#NAME?</v>
      </c>
      <c r="BM370" s="2" t="e">
        <f ca="1">_xll.BDH($C$353,"INVENTORY_SEQUENTIAL_GROWTH","FQ2 2017","FQ2 2017","Currency=INR","Period=FQ","BEST_FPERIOD_OVERRIDE=FQ","FILING_STATUS=OR","EQY_CONSOLIDATED=Y","Sort=A","Dates=H","DateFormat=P","Fill=—","Direction=H","UseDPDF=Y")</f>
        <v>#NAME?</v>
      </c>
      <c r="BN370" s="2" t="e">
        <f ca="1">_xll.BDH($C$353,"FIXED_ASSETS_SEQUENTIAL_GROWTH","FQ2 2017","FQ2 2017","Currency=INR","Period=FQ","BEST_FPERIOD_OVERRIDE=FQ","FILING_STATUS=OR","EQY_CONSOLIDATED=Y","Sort=A","Dates=H","DateFormat=P","Fill=—","Direction=H","UseDPDF=Y")</f>
        <v>#NAME?</v>
      </c>
      <c r="BO370" s="2" t="e">
        <f ca="1">_xll.BDH($C$353,"TOTAL_ASSETS_SEQUENTIAL_GROWTH","FQ2 2017","FQ2 2017","Currency=INR","Period=FQ","BEST_FPERIOD_OVERRIDE=FQ","FILING_STATUS=OR","EQY_CONSOLIDATED=Y","Sort=A","Dates=H","DateFormat=P","Fill=—","Direction=H","UseDPDF=Y")</f>
        <v>#NAME?</v>
      </c>
      <c r="BP370" s="2" t="e">
        <f ca="1">_xll.BDH($C$353,"MODIFIED_WORKING_CPTL_SEQ_GRWTH","FQ2 2017","FQ2 2017","Currency=INR","Period=FQ","BEST_FPERIOD_OVERRIDE=FQ","FILING_STATUS=OR","EQY_CONSOLIDATED=Y","Sort=A","Dates=H","DateFormat=P","Fill=—","Direction=H","UseDPDF=Y")</f>
        <v>#NAME?</v>
      </c>
      <c r="BQ370" s="2" t="e">
        <f ca="1">_xll.BDH($C$353,"WORKING_CAPITAL_SEQ_GROWTH","FQ2 2017","FQ2 2017","Currency=INR","Period=FQ","BEST_FPERIOD_OVERRIDE=FQ","FILING_STATUS=OR","EQY_CONSOLIDATED=Y","Sort=A","Dates=H","DateFormat=P","Fill=—","Direction=H","UseDPDF=Y")</f>
        <v>#NAME?</v>
      </c>
      <c r="BR370" s="2" t="e">
        <f ca="1">_xll.BDH($C$353,"ACCOUNTS_PAYABLE_SEQ_GROWTH","FQ2 2017","FQ2 2017","Currency=INR","Period=FQ","BEST_FPERIOD_OVERRIDE=FQ","FILING_STATUS=OR","EQY_CONSOLIDATED=Y","Sort=A","Dates=H","DateFormat=P","Fill=—","Direction=H","UseDPDF=Y")</f>
        <v>#NAME?</v>
      </c>
      <c r="BS370" s="2" t="e">
        <f ca="1">_xll.BDH($C$353,"ST_DEBT_SEQUENTIAL_GROWTH","FQ2 2017","FQ2 2017","Currency=INR","Period=FQ","BEST_FPERIOD_OVERRIDE=FQ","FILING_STATUS=OR","EQY_CONSOLIDATED=Y","Sort=A","Dates=H","DateFormat=P","Fill=—","Direction=H","UseDPDF=Y")</f>
        <v>#NAME?</v>
      </c>
      <c r="BT370" s="2" t="e">
        <f ca="1">_xll.BDH($C$353,"TOTAL_DEBT_SEQUENTIAL_GROWTH","FQ2 2017","FQ2 2017","Currency=INR","Period=FQ","BEST_FPERIOD_OVERRIDE=FQ","FILING_STATUS=OR","EQY_CONSOLIDATED=Y","Sort=A","Dates=H","DateFormat=P","Fill=—","Direction=H","UseDPDF=Y")</f>
        <v>#NAME?</v>
      </c>
      <c r="BU370" s="2" t="e">
        <f ca="1">_xll.BDH($C$353,"TOTAL_EQUITY_SEQUENTIAL_GROWTH","FQ2 2017","FQ2 2017","Currency=INR","Period=FQ","BEST_FPERIOD_OVERRIDE=FQ","FILING_STATUS=OR","EQY_CONSOLIDATED=Y","Sort=A","Dates=H","DateFormat=P","Fill=—","Direction=H","UseDPDF=Y")</f>
        <v>#NAME?</v>
      </c>
      <c r="BV370" s="2" t="e">
        <f ca="1">_xll.BDH($C$353,"TOTAL_CAPITAL_SEQUENTIAL_GROWTH","FQ2 2017","FQ2 2017","Currency=INR","Period=FQ","BEST_FPERIOD_OVERRIDE=FQ","FILING_STATUS=OR","EQY_CONSOLIDATED=Y","Sort=A","Dates=H","DateFormat=P","Fill=—","Direction=H","UseDPDF=Y")</f>
        <v>#NAME?</v>
      </c>
      <c r="BW370" s="2" t="e">
        <f ca="1">_xll.BDH($C$353,"BPS_SEQUENTIAL_GROWTH","FQ2 2017","FQ2 2017","Currency=INR","Period=FQ","BEST_FPERIOD_OVERRIDE=FQ","FILING_STATUS=OR","EQY_CONSOLIDATED=Y","Sort=A","Dates=H","DateFormat=P","Fill=—","Direction=H","UseDPDF=Y")</f>
        <v>#NAME?</v>
      </c>
      <c r="BX370" s="2" t="e">
        <f ca="1">_xll.BDH($C$353,"CFO_SEQUENTIAL_GROWTH","FQ2 2017","FQ2 2017","Currency=INR","Period=FQ","BEST_FPERIOD_OVERRIDE=FQ","FILING_STATUS=OR","EQY_CONSOLIDATED=Y","Sort=A","Dates=H","DateFormat=P","Fill=—","Direction=H","UseDPDF=Y")</f>
        <v>#NAME?</v>
      </c>
      <c r="BY370" s="3" t="e">
        <f ca="1">_xll.BDH($C$353,"SHORT_AND_LONG_TERM_DEBT","FQ2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370" s="3" t="e">
        <f ca="1">_xll.BDH($C$353,"BS_ST_BORROW","FQ2 2017","FQ2 2017","Currency=INR","Period=FQ","BEST_FPERIOD_OVERRIDE=FQ","FILING_STATUS=OR","EQY_CONSOLIDATED=Y","SCALING_FORMAT=MLN","Sort=A","Dates=H","DateFormat=P","Fill=—","Direction=H","UseDPDF=Y")</f>
        <v>#NAME?</v>
      </c>
      <c r="CA370" s="3" t="e">
        <f ca="1">_xll.BDH($C$353,"BS_LT_BORROW","FQ2 2017","FQ2 2017","Currency=INR","Period=FQ","BEST_FPERIOD_OVERRIDE=FQ","FILING_STATUS=OR","EQY_CONSOLIDATED=Y","SCALING_FORMAT=MLN","Sort=A","Dates=H","DateFormat=P","Fill=—","Direction=H","UseDPDF=Y")</f>
        <v>#NAME?</v>
      </c>
      <c r="CB370" s="2" t="e">
        <f ca="1">_xll.BDH($C$353,"TOT_DEBT_TO_EBITDA","FQ2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370" s="2" t="e">
        <f ca="1">_xll.BDH($C$353,"NET_DEBT_TO_EBITDA","FQ2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370" s="2" t="e">
        <f ca="1">_xll.BDH($C$353,"TOTAL_DEBT_TO_EBIT","FQ2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370" s="2" t="e">
        <f ca="1">_xll.BDH($C$353,"NET_DEBT_TO_EBIT","FQ2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370" s="2" t="e">
        <f ca="1">_xll.BDH($C$353,"EBITDA_TO_INTEREST_EXPN","FQ2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370" s="2" t="e">
        <f ca="1">_xll.BDH($C$353,"COM_EQY_TO_TOT_ASSET","FQ2 2017","FQ2 2017","Currency=INR","Period=FQ","BEST_FPERIOD_OVERRIDE=FQ","FILING_STATUS=OR","EQY_CONSOLIDATED=Y","Sort=A","Dates=H","DateFormat=P","Fill=—","Direction=H","UseDPDF=Y")</f>
        <v>#NAME?</v>
      </c>
      <c r="CH370" s="2" t="e">
        <f ca="1">_xll.BDH($C$353,"LT_DEBT_TO_TOT_EQY","FQ2 2017","FQ2 2017","Currency=INR","Period=FQ","BEST_FPERIOD_OVERRIDE=FQ","FILING_STATUS=OR","EQY_CONSOLIDATED=Y","Sort=A","Dates=H","DateFormat=P","Fill=—","Direction=H","UseDPDF=Y")</f>
        <v>#NAME?</v>
      </c>
      <c r="CI370" s="2" t="e">
        <f ca="1">_xll.BDH($C$353,"LT_DEBT_TO_TOT_CAP","FQ2 2017","FQ2 2017","Currency=INR","Period=FQ","BEST_FPERIOD_OVERRIDE=FQ","FILING_STATUS=OR","EQY_CONSOLIDATED=Y","Sort=A","Dates=H","DateFormat=P","Fill=—","Direction=H","UseDPDF=Y")</f>
        <v>#NAME?</v>
      </c>
      <c r="CJ370" s="2" t="e">
        <f ca="1">_xll.BDH($C$353,"LT_DEBT_TO_TOT_ASSET","FQ2 2017","FQ2 2017","Currency=INR","Period=FQ","BEST_FPERIOD_OVERRIDE=FQ","FILING_STATUS=OR","EQY_CONSOLIDATED=Y","Sort=A","Dates=H","DateFormat=P","Fill=—","Direction=H","UseDPDF=Y")</f>
        <v>#NAME?</v>
      </c>
      <c r="CK370" s="2" t="e">
        <f ca="1">_xll.BDH($C$353,"TOT_DEBT_TO_TOT_EQY","FQ2 2017","FQ2 2017","Currency=INR","Period=FQ","BEST_FPERIOD_OVERRIDE=FQ","FILING_STATUS=OR","EQY_CONSOLIDATED=Y","Sort=A","Dates=H","DateFormat=P","Fill=—","Direction=H","UseDPDF=Y")</f>
        <v>#NAME?</v>
      </c>
      <c r="CL370" s="2" t="e">
        <f ca="1">_xll.BDH($C$353,"TOT_DEBT_TO_TOT_CAP","FQ2 2017","FQ2 2017","Currency=INR","Period=FQ","BEST_FPERIOD_OVERRIDE=FQ","FILING_STATUS=OR","EQY_CONSOLIDATED=Y","Sort=A","Dates=H","DateFormat=P","Fill=—","Direction=H","UseDPDF=Y")</f>
        <v>#NAME?</v>
      </c>
      <c r="CM370" s="2" t="e">
        <f ca="1">_xll.BDH($C$353,"TOT_DEBT_TO_TOT_ASSET","FQ2 2017","FQ2 2017","Currency=INR","Period=FQ","BEST_FPERIOD_OVERRIDE=FQ","FILING_STATUS=OR","EQY_CONSOLIDATED=Y","Sort=A","Dates=H","DateFormat=P","Fill=—","Direction=H","UseDPDF=Y")</f>
        <v>#NAME?</v>
      </c>
      <c r="CN370" s="2" t="e">
        <f ca="1">_xll.BDH($C$353,"NET_DEBT_TO_SHRHLDR_EQTY","FQ2 2017","FQ2 2017","Currency=INR","Period=FQ","BEST_FPERIOD_OVERRIDE=FQ","FILING_STATUS=OR","EQY_CONSOLIDATED=Y","Sort=A","Dates=H","DateFormat=P","Fill=—","Direction=H","UseDPDF=Y")</f>
        <v>#NAME?</v>
      </c>
      <c r="CO370" s="2" t="e">
        <f ca="1">_xll.BDH($C$353,"NET_DEBT_%_CAPITAL","FQ2 2017","FQ2 2017","Currency=INR","Period=FQ","BEST_FPERIOD_OVERRIDE=FQ","FILING_STATUS=OR","EQY_CONSOLIDATED=Y","Sort=A","Dates=H","DateFormat=P","Fill=—","Direction=H","UseDPDF=Y")</f>
        <v>#NAME?</v>
      </c>
      <c r="CP370" s="3" t="e">
        <f ca="1">_xll.BDH($C$353,"EBITDA","FQ2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370" s="3" t="e">
        <f ca="1">_xll.BDH($C$353,"EBITDA_AFTER_CAPEX","FQ2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370" s="3" t="e">
        <f ca="1">_xll.BDH($C$353,"IS_OPER_INC","FQ2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370" s="2" t="e">
        <f ca="1">_xll.BDH($C$353,"CASH_RATIO","FQ2 2017","FQ2 2017","Currency=INR","Period=FQ","BEST_FPERIOD_OVERRIDE=FQ","FILING_STATUS=OR","EQY_CONSOLIDATED=Y","Sort=A","Dates=H","DateFormat=P","Fill=—","Direction=H","UseDPDF=Y")</f>
        <v>#NAME?</v>
      </c>
      <c r="CT370" s="2" t="e">
        <f ca="1">_xll.BDH($C$353,"CUR_RATIO","FQ2 2017","FQ2 2017","Currency=INR","Period=FQ","BEST_FPERIOD_OVERRIDE=FQ","FILING_STATUS=OR","EQY_CONSOLIDATED=Y","Sort=A","Dates=H","DateFormat=P","Fill=—","Direction=H","UseDPDF=Y")</f>
        <v>#NAME?</v>
      </c>
      <c r="CU370" s="2" t="e">
        <f ca="1">_xll.BDH($C$353,"QUICK_RATIO","FQ2 2017","FQ2 2017","Currency=INR","Period=FQ","BEST_FPERIOD_OVERRIDE=FQ","FILING_STATUS=OR","EQY_CONSOLIDATED=Y","Sort=A","Dates=H","DateFormat=P","Fill=—","Direction=H","UseDPDF=Y")</f>
        <v>#NAME?</v>
      </c>
      <c r="CV370" s="2" t="e">
        <f ca="1">_xll.BDH($C$353,"ALTMAN_Z_SCORE","FQ2 2017","FQ2 2017","Currency=INR","Period=FQ","BEST_FPERIOD_OVERRIDE=FQ","FILING_STATUS=OR","EQY_CONSOLIDATED=Y","Sort=A","Dates=H","DateFormat=P","Fill=—","Direction=H","UseDPDF=Y")</f>
        <v>#NAME?</v>
      </c>
      <c r="CW370" s="4" t="e">
        <f ca="1">_xll.BDH($C$353,"ACCT_RCV_TURN","FQ2 2017","FQ2 2017","Currency=INR","Period=FQ","BEST_FPERIOD_OVERRIDE=FQ","FILING_STATUS=OR","EQY_CONSOLIDATED=Y","FA_ADJUSTED=GAAP","Sort=A","Dates=H","DateFormat=P","Fill=—","Direction=H","UseDPDF=Y")</f>
        <v>#NAME?</v>
      </c>
      <c r="CX370" s="2" t="e">
        <f ca="1">_xll.BDH($C$353,"ACCT_RCV_DAYS","FQ2 2017","FQ2 2017","Currency=INR","Period=FQ","BEST_FPERIOD_OVERRIDE=FQ","FILING_STATUS=OR","EQY_CONSOLIDATED=Y","FA_ADJUSTED=GAAP","Sort=A","Dates=H","DateFormat=P","Fill=—","Direction=H","UseDPDF=Y")</f>
        <v>#NAME?</v>
      </c>
      <c r="CY370" s="4" t="e">
        <f ca="1">_xll.BDH($C$353,"INVENT_TURN","FQ2 2017","FQ2 2017","Currency=INR","Period=FQ","BEST_FPERIOD_OVERRIDE=FQ","FILING_STATUS=OR","EQY_CONSOLIDATED=Y","FA_ADJUSTED=GAAP","Sort=A","Dates=H","DateFormat=P","Fill=—","Direction=H","UseDPDF=Y")</f>
        <v>#NAME?</v>
      </c>
      <c r="CZ370" s="2" t="e">
        <f ca="1">_xll.BDH($C$353,"INVENT_DAYS","FQ2 2017","FQ2 2017","Currency=INR","Period=FQ","BEST_FPERIOD_OVERRIDE=FQ","FILING_STATUS=OR","EQY_CONSOLIDATED=Y","FA_ADJUSTED=GAAP","Sort=A","Dates=H","DateFormat=P","Fill=—","Direction=H","UseDPDF=Y")</f>
        <v>#NAME?</v>
      </c>
      <c r="DA370" s="4" t="e">
        <f ca="1">_xll.BDH($C$353,"ACCOUNTS_PAYABLE_TURNOVER","FQ2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370" s="2" t="e">
        <f ca="1">_xll.BDH($C$353,"ACCOUNTS_PAYABLE_TURNOVER_DAYS","FQ2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370" s="4" t="e">
        <f ca="1">_xll.BDH($C$353,"CASH_CONVERSION_CYCLE","FQ2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370" s="4" t="e">
        <f ca="1">_xll.BDH($C$353,"INV_TO_CASH_DAYS","FQ2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370" s="5" t="e">
        <f ca="1">_xll.BDH($C$353,"BS_INVENTORIES","FQ2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370" s="3" t="e">
        <f ca="1">_xll.BDH($C$353,"INVTRY_RAW_MATERIALS","FQ2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370" s="3" t="e">
        <f ca="1">_xll.BDH($C$353,"INVTRY_IN_PROGRESS","FQ2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370" s="3" t="e">
        <f ca="1">_xll.BDH($C$353,"INVTRY_FINISHED_GOODS","FQ2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370" s="3" t="e">
        <f ca="1">_xll.BDH($C$353,"BS_OTHER_INV","FQ2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371" spans="1:113" x14ac:dyDescent="0.3">
      <c r="A371" s="6"/>
      <c r="B371" s="6"/>
      <c r="C371" s="6"/>
      <c r="D371" s="6"/>
      <c r="E371" t="s">
        <v>80</v>
      </c>
      <c r="F371" t="e">
        <f ca="1">_xll.BDH($C$353,"RETURN_COM_EQY","FQ3 2017","FQ3 2017","Currency=INR","Period=FQ","BEST_FPERIOD_OVERRIDE=FQ","FILING_STATUS=OR","EQY_CONSOLIDATED=Y","FA_ADJUSTED=GAAP","Sort=A","Dates=H","DateFormat=P","Fill=—","Direction=H","UseDPDF=Y")</f>
        <v>#NAME?</v>
      </c>
      <c r="G371" t="e">
        <f ca="1">_xll.BDH($C$353,"RETURN_ON_ASSET","FQ3 2017","FQ3 2017","Currency=INR","Period=FQ","BEST_FPERIOD_OVERRIDE=FQ","FILING_STATUS=OR","EQY_CONSOLIDATED=Y","FA_ADJUSTED=GAAP","Sort=A","Dates=H","DateFormat=P","Fill=—","Direction=H","UseDPDF=Y")</f>
        <v>#NAME?</v>
      </c>
      <c r="H371" t="e">
        <f ca="1">_xll.BDH($C$353,"RETURN_ON_CAP","FQ3 2017","FQ3 2017","Currency=INR","Period=FQ","BEST_FPERIOD_OVERRIDE=FQ","FILING_STATUS=OR","EQY_CONSOLIDATED=Y","FA_ADJUSTED=GAAP","Sort=A","Dates=H","DateFormat=P","Fill=—","Direction=H","UseDPDF=Y")</f>
        <v>#NAME?</v>
      </c>
      <c r="I371" t="e">
        <f ca="1">_xll.BDH($C$353,"RETURN_ON_INV_CAPITAL","FQ3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371" t="e">
        <f ca="1">_xll.BDH($C$353,"EBITDA_TO_REVENUE","FQ3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371" t="e">
        <f ca="1">_xll.BDH($C$353,"OPER_MARGIN","FQ3 2017","FQ3 2017","Currency=INR","Period=FQ","BEST_FPERIOD_OVERRIDE=FQ","FILING_STATUS=OR","EQY_CONSOLIDATED=Y","FA_ADJUSTED=GAAP","Sort=A","Dates=H","DateFormat=P","Fill=—","Direction=H","UseDPDF=Y")</f>
        <v>#NAME?</v>
      </c>
      <c r="L371" t="e">
        <f ca="1">_xll.BDH($C$353,"INCREMENTAL_OPERATING_MARGIN","FQ3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371" t="e">
        <f ca="1">_xll.BDH($C$353,"PRETAX_INC_TO_NET_SALES","FQ3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371" t="e">
        <f ca="1">_xll.BDH($C$353,"INC_BEF_XO_ITEMS_TO_NET_SALES","FQ3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371" t="e">
        <f ca="1">_xll.BDH($C$353,"PROF_MARGIN","FQ3 2017","FQ3 2017","Currency=INR","Period=FQ","BEST_FPERIOD_OVERRIDE=FQ","FILING_STATUS=OR","EQY_CONSOLIDATED=Y","FA_ADJUSTED=GAAP","Sort=A","Dates=H","DateFormat=P","Fill=—","Direction=H","UseDPDF=Y")</f>
        <v>#NAME?</v>
      </c>
      <c r="P371" t="e">
        <f ca="1">_xll.BDH($C$353,"NET_INCOME_TO_COMMON_MARGIN","FQ3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371" t="e">
        <f ca="1">_xll.BDH($C$353,"EFF_TAX_RATE","FQ3 2017","FQ3 2017","Currency=INR","Period=FQ","BEST_FPERIOD_OVERRIDE=FQ","FILING_STATUS=OR","EQY_CONSOLIDATED=Y","FA_ADJUSTED=GAAP","Sort=A","Dates=H","DateFormat=P","Fill=—","Direction=H","UseDPDF=Y")</f>
        <v>#NAME?</v>
      </c>
      <c r="R371" t="e">
        <f ca="1">_xll.BDH($C$353,"DVD_PAYOUT_RATIO","FQ3 2017","FQ3 2017","Currency=INR","Period=FQ","BEST_FPERIOD_OVERRIDE=FQ","FILING_STATUS=OR","EQY_CONSOLIDATED=Y","FA_ADJUSTED=GAAP","Sort=A","Dates=H","DateFormat=P","Fill=—","Direction=H","UseDPDF=Y")</f>
        <v>#NAME?</v>
      </c>
      <c r="S371" t="e">
        <f ca="1">_xll.BDH($C$353,"SUSTAIN_GROWTH_RT","FQ3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371" s="2" t="e">
        <f ca="1">_xll.BDH($C$353,"SALES_GROWTH","FQ3 2017","FQ3 2017","Currency=INR","Period=FQ","BEST_FPERIOD_OVERRIDE=FQ","FILING_STATUS=OR","EQY_CONSOLIDATED=Y","FA_ADJUSTED=GAAP","Sort=A","Dates=H","DateFormat=P","Fill=—","Direction=H","UseDPDF=Y")</f>
        <v>#NAME?</v>
      </c>
      <c r="U371" s="2" t="e">
        <f ca="1">_xll.BDH($C$353,"EBITDA_GROWTH","FQ3 2017","FQ3 2017","Currency=INR","Period=FQ","BEST_FPERIOD_OVERRIDE=FQ","FILING_STATUS=OR","EQY_CONSOLIDATED=Y","FA_ADJUSTED=GAAP","Sort=A","Dates=H","DateFormat=P","Fill=—","Direction=H","UseDPDF=Y")</f>
        <v>#NAME?</v>
      </c>
      <c r="V371" s="2" t="e">
        <f ca="1">_xll.BDH($C$353,"OPER_INC_GROWTH","FQ3 2017","FQ3 2017","Currency=INR","Period=FQ","BEST_FPERIOD_OVERRIDE=FQ","FILING_STATUS=OR","EQY_CONSOLIDATED=Y","FA_ADJUSTED=GAAP","Sort=A","Dates=H","DateFormat=P","Fill=—","Direction=H","UseDPDF=Y")</f>
        <v>#NAME?</v>
      </c>
      <c r="W371" s="2" t="e">
        <f ca="1">_xll.BDH($C$353,"EARN_FOR_COM_GROWTH","FQ3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371" s="2" t="e">
        <f ca="1">_xll.BDH($C$353,"DILUTED_EPS_AFT_XO_ITEMS_GROWTH","FQ3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371" s="2" t="e">
        <f ca="1">_xll.BDH($C$353,"DIVIDEND_PER_SHARE_1_YEAR_GROWTH","FQ3 2017","FQ3 2017","Currency=INR","Period=FQ","BEST_FPERIOD_OVERRIDE=FQ","FILING_STATUS=OR","EQY_CONSOLIDATED=Y","Sort=A","Dates=H","DateFormat=P","Fill=—","Direction=H","UseDPDF=Y")</f>
        <v>#NAME?</v>
      </c>
      <c r="Z371" s="2" t="e">
        <f ca="1">_xll.BDH($C$353,"ACCOUNTS_RECEIVABLE_GROWTH","FQ3 2017","FQ3 2017","Currency=INR","Period=FQ","BEST_FPERIOD_OVERRIDE=FQ","FILING_STATUS=OR","EQY_CONSOLIDATED=Y","Sort=A","Dates=H","DateFormat=P","Fill=—","Direction=H","UseDPDF=Y")</f>
        <v>#NAME?</v>
      </c>
      <c r="AA371" s="2" t="e">
        <f ca="1">_xll.BDH($C$353,"INVENTORY_GROWTH","FQ3 2017","FQ3 2017","Currency=INR","Period=FQ","BEST_FPERIOD_OVERRIDE=FQ","FILING_STATUS=OR","EQY_CONSOLIDATED=Y","Sort=A","Dates=H","DateFormat=P","Fill=—","Direction=H","UseDPDF=Y")</f>
        <v>#NAME?</v>
      </c>
      <c r="AB371" s="2" t="e">
        <f ca="1">_xll.BDH($C$353,"NET_FIXED_ASSETS_1_YEAR_GROWTH","FQ3 2017","FQ3 2017","Currency=INR","Period=FQ","BEST_FPERIOD_OVERRIDE=FQ","FILING_STATUS=OR","EQY_CONSOLIDATED=Y","Sort=A","Dates=H","DateFormat=P","Fill=—","Direction=H","UseDPDF=Y")</f>
        <v>#NAME?</v>
      </c>
      <c r="AC371" s="2" t="e">
        <f ca="1">_xll.BDH($C$353,"ASSET_GROWTH","FQ3 2017","FQ3 2017","Currency=INR","Period=FQ","BEST_FPERIOD_OVERRIDE=FQ","FILING_STATUS=OR","EQY_CONSOLIDATED=Y","Sort=A","Dates=H","DateFormat=P","Fill=—","Direction=H","UseDPDF=Y")</f>
        <v>#NAME?</v>
      </c>
      <c r="AD371" s="2" t="e">
        <f ca="1">_xll.BDH($C$353,"MODIFIED_WORK_CAP_GROWTH","FQ3 2017","FQ3 2017","Currency=INR","Period=FQ","BEST_FPERIOD_OVERRIDE=FQ","FILING_STATUS=OR","EQY_CONSOLIDATED=Y","Sort=A","Dates=H","DateFormat=P","Fill=—","Direction=H","UseDPDF=Y")</f>
        <v>#NAME?</v>
      </c>
      <c r="AE371" s="2" t="e">
        <f ca="1">_xll.BDH($C$353,"WORK_CAP_GROWTH","FQ3 2017","FQ3 2017","Currency=INR","Period=FQ","BEST_FPERIOD_OVERRIDE=FQ","FILING_STATUS=OR","EQY_CONSOLIDATED=Y","Sort=A","Dates=H","DateFormat=P","Fill=—","Direction=H","UseDPDF=Y")</f>
        <v>#NAME?</v>
      </c>
      <c r="AF371" s="2" t="e">
        <f ca="1">_xll.BDH($C$353,"ACCOUNTS_PAYABLE_GROWTH_1YR","FQ3 2017","FQ3 2017","Currency=INR","Period=FQ","BEST_FPERIOD_OVERRIDE=FQ","FILING_STATUS=OR","EQY_CONSOLIDATED=Y","Sort=A","Dates=H","DateFormat=P","Fill=—","Direction=H","UseDPDF=Y")</f>
        <v>#NAME?</v>
      </c>
      <c r="AG371" s="2" t="e">
        <f ca="1">_xll.BDH($C$353,"SHORT_TERM_DEBT_1_YEAR_GROWTH","FQ3 2017","FQ3 2017","Currency=INR","Period=FQ","BEST_FPERIOD_OVERRIDE=FQ","FILING_STATUS=OR","EQY_CONSOLIDATED=Y","Sort=A","Dates=H","DateFormat=P","Fill=—","Direction=H","UseDPDF=Y")</f>
        <v>#NAME?</v>
      </c>
      <c r="AH371" s="2" t="e">
        <f ca="1">_xll.BDH($C$353,"TOTAL_DEBT_1_YEAR_GROWTH","FQ3 2017","FQ3 2017","Currency=INR","Period=FQ","BEST_FPERIOD_OVERRIDE=FQ","FILING_STATUS=OR","EQY_CONSOLIDATED=Y","Sort=A","Dates=H","DateFormat=P","Fill=—","Direction=H","UseDPDF=Y")</f>
        <v>#NAME?</v>
      </c>
      <c r="AI371" s="2" t="e">
        <f ca="1">_xll.BDH($C$353,"TOTAL_EQUITY_1_YEAR_GROWTH","FQ3 2017","FQ3 2017","Currency=INR","Period=FQ","BEST_FPERIOD_OVERRIDE=FQ","FILING_STATUS=OR","EQY_CONSOLIDATED=Y","Sort=A","Dates=H","DateFormat=P","Fill=—","Direction=H","UseDPDF=Y")</f>
        <v>#NAME?</v>
      </c>
      <c r="AJ371" s="2" t="e">
        <f ca="1">_xll.BDH($C$353,"GROWTH_IN_CAP","FQ3 2017","FQ3 2017","Currency=INR","Period=FQ","BEST_FPERIOD_OVERRIDE=FQ","FILING_STATUS=OR","EQY_CONSOLIDATED=Y","Sort=A","Dates=H","DateFormat=P","Fill=—","Direction=H","UseDPDF=Y")</f>
        <v>#NAME?</v>
      </c>
      <c r="AK371" s="2" t="e">
        <f ca="1">_xll.BDH($C$353,"BVPS_GROWTH","FQ3 2017","FQ3 2017","Currency=INR","Period=FQ","BEST_FPERIOD_OVERRIDE=FQ","FILING_STATUS=OR","EQY_CONSOLIDATED=Y","Sort=A","Dates=H","DateFormat=P","Fill=—","Direction=H","UseDPDF=Y")</f>
        <v>#NAME?</v>
      </c>
      <c r="AL371" s="2" t="e">
        <f ca="1">_xll.BDH($C$353,"CASH_FLOW_GROWTH","FQ3 2017","FQ3 2017","Currency=INR","Period=FQ","BEST_FPERIOD_OVERRIDE=FQ","FILING_STATUS=OR","EQY_CONSOLIDATED=Y","Sort=A","Dates=H","DateFormat=P","Fill=—","Direction=H","UseDPDF=Y")</f>
        <v>#NAME?</v>
      </c>
      <c r="AM371" s="2" t="e">
        <f ca="1">_xll.BDH($C$353,"GEO_GROW_NET_SALES","FQ3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371" s="2" t="e">
        <f ca="1">_xll.BDH($C$353,"GEO_GROW_EBITDA","FQ3 2017","FQ3 2017","Currency=INR","Period=FQ","BEST_FPERIOD_OVERRIDE=FQ","FILING_STATUS=OR","EQY_CONSOLIDATED=Y","FA_ADJUSTED=GAAP","Sort=A","Dates=H","DateFormat=P","Fill=—","Direction=H","UseDPDF=Y")</f>
        <v>#NAME?</v>
      </c>
      <c r="AO371" s="2" t="e">
        <f ca="1">_xll.BDH($C$353,"GEO_GROW_OPER_INC","FQ3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371" s="2" t="e">
        <f ca="1">_xll.BDH($C$353,"NET_INCOME_TO_COMMON_5_YR_GROWTH","FQ3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371" s="2" t="e">
        <f ca="1">_xll.BDH($C$353,"5Y_GEO_GROWTH_DILUTED_EPS","FQ3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371" s="2" t="e">
        <f ca="1">_xll.BDH($C$353,"GEO_GROW_DVD_PER_SH","FQ3 2017","FQ3 2017","Currency=INR","Period=FQ","BEST_FPERIOD_OVERRIDE=FQ","FILING_STATUS=OR","EQY_CONSOLIDATED=Y","Sort=A","Dates=H","DateFormat=P","Fill=—","Direction=H","UseDPDF=Y")</f>
        <v>#NAME?</v>
      </c>
      <c r="AS371" s="2" t="e">
        <f ca="1">_xll.BDH($C$353,"ACCOUNTS_RECEIVABLE_5_YR_GROWTH","FQ3 2017","FQ3 2017","Currency=INR","Period=FQ","BEST_FPERIOD_OVERRIDE=FQ","FILING_STATUS=OR","EQY_CONSOLIDATED=Y","Sort=A","Dates=H","DateFormat=P","Fill=—","Direction=H","UseDPDF=Y")</f>
        <v>#NAME?</v>
      </c>
      <c r="AT371" s="2" t="e">
        <f ca="1">_xll.BDH($C$353,"INVENTORY_5_YEAR_GROWTH","FQ3 2017","FQ3 2017","Currency=INR","Period=FQ","BEST_FPERIOD_OVERRIDE=FQ","FILING_STATUS=OR","EQY_CONSOLIDATED=Y","Sort=A","Dates=H","DateFormat=P","Fill=—","Direction=H","UseDPDF=Y")</f>
        <v>#NAME?</v>
      </c>
      <c r="AU371" s="2" t="e">
        <f ca="1">_xll.BDH($C$353,"NET_FIXED_ASSETS_5_YEAR_GROWTH","FQ3 2017","FQ3 2017","Currency=INR","Period=FQ","BEST_FPERIOD_OVERRIDE=FQ","FILING_STATUS=OR","EQY_CONSOLIDATED=Y","Sort=A","Dates=H","DateFormat=P","Fill=—","Direction=H","UseDPDF=Y")</f>
        <v>#NAME?</v>
      </c>
      <c r="AV371" s="2" t="e">
        <f ca="1">_xll.BDH($C$353,"GEO_GROW_TOT_ASSET","FQ3 2017","FQ3 2017","Currency=INR","Period=FQ","BEST_FPERIOD_OVERRIDE=FQ","FILING_STATUS=OR","EQY_CONSOLIDATED=Y","Sort=A","Dates=H","DateFormat=P","Fill=—","Direction=H","UseDPDF=Y")</f>
        <v>#NAME?</v>
      </c>
      <c r="AW371" s="2" t="e">
        <f ca="1">_xll.BDH($C$353,"MODIFIED_WORKING_CPTL_5YR_GRWTH","FQ3 2017","FQ3 2017","Currency=INR","Period=FQ","BEST_FPERIOD_OVERRIDE=FQ","FILING_STATUS=OR","EQY_CONSOLIDATED=Y","Sort=A","Dates=H","DateFormat=P","Fill=—","Direction=H","UseDPDF=Y")</f>
        <v>#NAME?</v>
      </c>
      <c r="AX371" s="2" t="e">
        <f ca="1">_xll.BDH($C$353,"WORKING_CAPITAL_5_YEAR_GROWTH","FQ3 2017","FQ3 2017","Currency=INR","Period=FQ","BEST_FPERIOD_OVERRIDE=FQ","FILING_STATUS=OR","EQY_CONSOLIDATED=Y","Sort=A","Dates=H","DateFormat=P","Fill=—","Direction=H","UseDPDF=Y")</f>
        <v>#NAME?</v>
      </c>
      <c r="AY371" s="2" t="e">
        <f ca="1">_xll.BDH($C$353,"ACCOUNTS_PAYABLE_5_YEAR_GROWTH","FQ3 2017","FQ3 2017","Currency=INR","Period=FQ","BEST_FPERIOD_OVERRIDE=FQ","FILING_STATUS=OR","EQY_CONSOLIDATED=Y","Sort=A","Dates=H","DateFormat=P","Fill=—","Direction=H","UseDPDF=Y")</f>
        <v>#NAME?</v>
      </c>
      <c r="AZ371" s="2" t="e">
        <f ca="1">_xll.BDH($C$353,"SHORT_TERM_DEBT_5_YEAR_GROWTH","FQ3 2017","FQ3 2017","Currency=INR","Period=FQ","BEST_FPERIOD_OVERRIDE=FQ","FILING_STATUS=OR","EQY_CONSOLIDATED=Y","Sort=A","Dates=H","DateFormat=P","Fill=—","Direction=H","UseDPDF=Y")</f>
        <v>#NAME?</v>
      </c>
      <c r="BA371" s="2" t="e">
        <f ca="1">_xll.BDH($C$353,"TOTAL_DEBT_5_YEAR_GROWTH","FQ3 2017","FQ3 2017","Currency=INR","Period=FQ","BEST_FPERIOD_OVERRIDE=FQ","FILING_STATUS=OR","EQY_CONSOLIDATED=Y","Sort=A","Dates=H","DateFormat=P","Fill=—","Direction=H","UseDPDF=Y")</f>
        <v>#NAME?</v>
      </c>
      <c r="BB371" s="2" t="e">
        <f ca="1">_xll.BDH($C$353,"GEO_GROW_TOT_SHRHLDR_EQY","FQ3 2017","FQ3 2017","Currency=INR","Period=FQ","BEST_FPERIOD_OVERRIDE=FQ","FILING_STATUS=OR","EQY_CONSOLIDATED=Y","Sort=A","Dates=H","DateFormat=P","Fill=—","Direction=H","UseDPDF=Y")</f>
        <v>#NAME?</v>
      </c>
      <c r="BC371" s="2" t="e">
        <f ca="1">_xll.BDH($C$353,"TOTAL_CAPITAL_5_YEAR_GROWTH","FQ3 2017","FQ3 2017","Currency=INR","Period=FQ","BEST_FPERIOD_OVERRIDE=FQ","FILING_STATUS=OR","EQY_CONSOLIDATED=Y","Sort=A","Dates=H","DateFormat=P","Fill=—","Direction=H","UseDPDF=Y")</f>
        <v>#NAME?</v>
      </c>
      <c r="BD371" s="2" t="e">
        <f ca="1">_xll.BDH($C$353,"GEO_GROW_BOOK_VAL","FQ3 2017","FQ3 2017","Currency=INR","Period=FQ","BEST_FPERIOD_OVERRIDE=FQ","FILING_STATUS=OR","EQY_CONSOLIDATED=Y","Sort=A","Dates=H","DateFormat=P","Fill=—","Direction=H","UseDPDF=Y")</f>
        <v>#NAME?</v>
      </c>
      <c r="BE371" s="2" t="e">
        <f ca="1">_xll.BDH($C$353,"GEO_GROW_CASH_OPER_ACT","FQ3 2017","FQ3 2017","Currency=INR","Period=FQ","BEST_FPERIOD_OVERRIDE=FQ","FILING_STATUS=OR","EQY_CONSOLIDATED=Y","Sort=A","Dates=H","DateFormat=P","Fill=—","Direction=H","UseDPDF=Y")</f>
        <v>#NAME?</v>
      </c>
      <c r="BF371" s="2" t="e">
        <f ca="1">_xll.BDH($C$353,"REVENUE_SEQUENTIAL_GROWTH","FQ3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371" s="2" t="e">
        <f ca="1">_xll.BDH($C$353,"EBITDA_SEQUENTIAL_GROWTH","FQ3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371" s="2" t="e">
        <f ca="1">_xll.BDH($C$353,"OPERATING_INCOME_SEQ_GROWTH","FQ3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371" s="2" t="e">
        <f ca="1">_xll.BDH($C$353,"NET_INCOME_TO_COMMON_SEQ_GROWTH","FQ3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371" s="2" t="e">
        <f ca="1">_xll.BDH($C$353,"EPS_DILUTED_SEQUENTIAL_GROWTH","FQ3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371" s="2" t="e">
        <f ca="1">_xll.BDH($C$353,"DPS_SEQUENTIAL_GROWTH","FQ3 2017","FQ3 2017","Currency=INR","Period=FQ","BEST_FPERIOD_OVERRIDE=FQ","FILING_STATUS=OR","EQY_CONSOLIDATED=Y","Sort=A","Dates=H","DateFormat=P","Fill=—","Direction=H","UseDPDF=Y")</f>
        <v>#NAME?</v>
      </c>
      <c r="BL371" s="2" t="e">
        <f ca="1">_xll.BDH($C$353,"ACCOUNTS_RECEIVABLE_SEQ_GROWTH","FQ3 2017","FQ3 2017","Currency=INR","Period=FQ","BEST_FPERIOD_OVERRIDE=FQ","FILING_STATUS=OR","EQY_CONSOLIDATED=Y","Sort=A","Dates=H","DateFormat=P","Fill=—","Direction=H","UseDPDF=Y")</f>
        <v>#NAME?</v>
      </c>
      <c r="BM371" s="2" t="e">
        <f ca="1">_xll.BDH($C$353,"INVENTORY_SEQUENTIAL_GROWTH","FQ3 2017","FQ3 2017","Currency=INR","Period=FQ","BEST_FPERIOD_OVERRIDE=FQ","FILING_STATUS=OR","EQY_CONSOLIDATED=Y","Sort=A","Dates=H","DateFormat=P","Fill=—","Direction=H","UseDPDF=Y")</f>
        <v>#NAME?</v>
      </c>
      <c r="BN371" s="2" t="e">
        <f ca="1">_xll.BDH($C$353,"FIXED_ASSETS_SEQUENTIAL_GROWTH","FQ3 2017","FQ3 2017","Currency=INR","Period=FQ","BEST_FPERIOD_OVERRIDE=FQ","FILING_STATUS=OR","EQY_CONSOLIDATED=Y","Sort=A","Dates=H","DateFormat=P","Fill=—","Direction=H","UseDPDF=Y")</f>
        <v>#NAME?</v>
      </c>
      <c r="BO371" s="2" t="e">
        <f ca="1">_xll.BDH($C$353,"TOTAL_ASSETS_SEQUENTIAL_GROWTH","FQ3 2017","FQ3 2017","Currency=INR","Period=FQ","BEST_FPERIOD_OVERRIDE=FQ","FILING_STATUS=OR","EQY_CONSOLIDATED=Y","Sort=A","Dates=H","DateFormat=P","Fill=—","Direction=H","UseDPDF=Y")</f>
        <v>#NAME?</v>
      </c>
      <c r="BP371" s="2" t="e">
        <f ca="1">_xll.BDH($C$353,"MODIFIED_WORKING_CPTL_SEQ_GRWTH","FQ3 2017","FQ3 2017","Currency=INR","Period=FQ","BEST_FPERIOD_OVERRIDE=FQ","FILING_STATUS=OR","EQY_CONSOLIDATED=Y","Sort=A","Dates=H","DateFormat=P","Fill=—","Direction=H","UseDPDF=Y")</f>
        <v>#NAME?</v>
      </c>
      <c r="BQ371" s="2" t="e">
        <f ca="1">_xll.BDH($C$353,"WORKING_CAPITAL_SEQ_GROWTH","FQ3 2017","FQ3 2017","Currency=INR","Period=FQ","BEST_FPERIOD_OVERRIDE=FQ","FILING_STATUS=OR","EQY_CONSOLIDATED=Y","Sort=A","Dates=H","DateFormat=P","Fill=—","Direction=H","UseDPDF=Y")</f>
        <v>#NAME?</v>
      </c>
      <c r="BR371" s="2" t="e">
        <f ca="1">_xll.BDH($C$353,"ACCOUNTS_PAYABLE_SEQ_GROWTH","FQ3 2017","FQ3 2017","Currency=INR","Period=FQ","BEST_FPERIOD_OVERRIDE=FQ","FILING_STATUS=OR","EQY_CONSOLIDATED=Y","Sort=A","Dates=H","DateFormat=P","Fill=—","Direction=H","UseDPDF=Y")</f>
        <v>#NAME?</v>
      </c>
      <c r="BS371" s="2" t="e">
        <f ca="1">_xll.BDH($C$353,"ST_DEBT_SEQUENTIAL_GROWTH","FQ3 2017","FQ3 2017","Currency=INR","Period=FQ","BEST_FPERIOD_OVERRIDE=FQ","FILING_STATUS=OR","EQY_CONSOLIDATED=Y","Sort=A","Dates=H","DateFormat=P","Fill=—","Direction=H","UseDPDF=Y")</f>
        <v>#NAME?</v>
      </c>
      <c r="BT371" s="2" t="e">
        <f ca="1">_xll.BDH($C$353,"TOTAL_DEBT_SEQUENTIAL_GROWTH","FQ3 2017","FQ3 2017","Currency=INR","Period=FQ","BEST_FPERIOD_OVERRIDE=FQ","FILING_STATUS=OR","EQY_CONSOLIDATED=Y","Sort=A","Dates=H","DateFormat=P","Fill=—","Direction=H","UseDPDF=Y")</f>
        <v>#NAME?</v>
      </c>
      <c r="BU371" s="2" t="e">
        <f ca="1">_xll.BDH($C$353,"TOTAL_EQUITY_SEQUENTIAL_GROWTH","FQ3 2017","FQ3 2017","Currency=INR","Period=FQ","BEST_FPERIOD_OVERRIDE=FQ","FILING_STATUS=OR","EQY_CONSOLIDATED=Y","Sort=A","Dates=H","DateFormat=P","Fill=—","Direction=H","UseDPDF=Y")</f>
        <v>#NAME?</v>
      </c>
      <c r="BV371" s="2" t="e">
        <f ca="1">_xll.BDH($C$353,"TOTAL_CAPITAL_SEQUENTIAL_GROWTH","FQ3 2017","FQ3 2017","Currency=INR","Period=FQ","BEST_FPERIOD_OVERRIDE=FQ","FILING_STATUS=OR","EQY_CONSOLIDATED=Y","Sort=A","Dates=H","DateFormat=P","Fill=—","Direction=H","UseDPDF=Y")</f>
        <v>#NAME?</v>
      </c>
      <c r="BW371" s="2" t="e">
        <f ca="1">_xll.BDH($C$353,"BPS_SEQUENTIAL_GROWTH","FQ3 2017","FQ3 2017","Currency=INR","Period=FQ","BEST_FPERIOD_OVERRIDE=FQ","FILING_STATUS=OR","EQY_CONSOLIDATED=Y","Sort=A","Dates=H","DateFormat=P","Fill=—","Direction=H","UseDPDF=Y")</f>
        <v>#NAME?</v>
      </c>
      <c r="BX371" s="2" t="e">
        <f ca="1">_xll.BDH($C$353,"CFO_SEQUENTIAL_GROWTH","FQ3 2017","FQ3 2017","Currency=INR","Period=FQ","BEST_FPERIOD_OVERRIDE=FQ","FILING_STATUS=OR","EQY_CONSOLIDATED=Y","Sort=A","Dates=H","DateFormat=P","Fill=—","Direction=H","UseDPDF=Y")</f>
        <v>#NAME?</v>
      </c>
      <c r="BY371" s="3" t="e">
        <f ca="1">_xll.BDH($C$353,"SHORT_AND_LONG_TERM_DEBT","FQ3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371" s="3" t="e">
        <f ca="1">_xll.BDH($C$353,"BS_ST_BORROW","FQ3 2017","FQ3 2017","Currency=INR","Period=FQ","BEST_FPERIOD_OVERRIDE=FQ","FILING_STATUS=OR","EQY_CONSOLIDATED=Y","SCALING_FORMAT=MLN","Sort=A","Dates=H","DateFormat=P","Fill=—","Direction=H","UseDPDF=Y")</f>
        <v>#NAME?</v>
      </c>
      <c r="CA371" s="3" t="e">
        <f ca="1">_xll.BDH($C$353,"BS_LT_BORROW","FQ3 2017","FQ3 2017","Currency=INR","Period=FQ","BEST_FPERIOD_OVERRIDE=FQ","FILING_STATUS=OR","EQY_CONSOLIDATED=Y","SCALING_FORMAT=MLN","Sort=A","Dates=H","DateFormat=P","Fill=—","Direction=H","UseDPDF=Y")</f>
        <v>#NAME?</v>
      </c>
      <c r="CB371" s="2" t="e">
        <f ca="1">_xll.BDH($C$353,"TOT_DEBT_TO_EBITDA","FQ3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371" s="2" t="e">
        <f ca="1">_xll.BDH($C$353,"NET_DEBT_TO_EBITDA","FQ3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371" s="2" t="e">
        <f ca="1">_xll.BDH($C$353,"TOTAL_DEBT_TO_EBIT","FQ3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371" s="2" t="e">
        <f ca="1">_xll.BDH($C$353,"NET_DEBT_TO_EBIT","FQ3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371" s="2" t="e">
        <f ca="1">_xll.BDH($C$353,"EBITDA_TO_INTEREST_EXPN","FQ3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371" s="2" t="e">
        <f ca="1">_xll.BDH($C$353,"COM_EQY_TO_TOT_ASSET","FQ3 2017","FQ3 2017","Currency=INR","Period=FQ","BEST_FPERIOD_OVERRIDE=FQ","FILING_STATUS=OR","EQY_CONSOLIDATED=Y","Sort=A","Dates=H","DateFormat=P","Fill=—","Direction=H","UseDPDF=Y")</f>
        <v>#NAME?</v>
      </c>
      <c r="CH371" s="2" t="e">
        <f ca="1">_xll.BDH($C$353,"LT_DEBT_TO_TOT_EQY","FQ3 2017","FQ3 2017","Currency=INR","Period=FQ","BEST_FPERIOD_OVERRIDE=FQ","FILING_STATUS=OR","EQY_CONSOLIDATED=Y","Sort=A","Dates=H","DateFormat=P","Fill=—","Direction=H","UseDPDF=Y")</f>
        <v>#NAME?</v>
      </c>
      <c r="CI371" s="2" t="e">
        <f ca="1">_xll.BDH($C$353,"LT_DEBT_TO_TOT_CAP","FQ3 2017","FQ3 2017","Currency=INR","Period=FQ","BEST_FPERIOD_OVERRIDE=FQ","FILING_STATUS=OR","EQY_CONSOLIDATED=Y","Sort=A","Dates=H","DateFormat=P","Fill=—","Direction=H","UseDPDF=Y")</f>
        <v>#NAME?</v>
      </c>
      <c r="CJ371" s="2" t="e">
        <f ca="1">_xll.BDH($C$353,"LT_DEBT_TO_TOT_ASSET","FQ3 2017","FQ3 2017","Currency=INR","Period=FQ","BEST_FPERIOD_OVERRIDE=FQ","FILING_STATUS=OR","EQY_CONSOLIDATED=Y","Sort=A","Dates=H","DateFormat=P","Fill=—","Direction=H","UseDPDF=Y")</f>
        <v>#NAME?</v>
      </c>
      <c r="CK371" s="2" t="e">
        <f ca="1">_xll.BDH($C$353,"TOT_DEBT_TO_TOT_EQY","FQ3 2017","FQ3 2017","Currency=INR","Period=FQ","BEST_FPERIOD_OVERRIDE=FQ","FILING_STATUS=OR","EQY_CONSOLIDATED=Y","Sort=A","Dates=H","DateFormat=P","Fill=—","Direction=H","UseDPDF=Y")</f>
        <v>#NAME?</v>
      </c>
      <c r="CL371" s="2" t="e">
        <f ca="1">_xll.BDH($C$353,"TOT_DEBT_TO_TOT_CAP","FQ3 2017","FQ3 2017","Currency=INR","Period=FQ","BEST_FPERIOD_OVERRIDE=FQ","FILING_STATUS=OR","EQY_CONSOLIDATED=Y","Sort=A","Dates=H","DateFormat=P","Fill=—","Direction=H","UseDPDF=Y")</f>
        <v>#NAME?</v>
      </c>
      <c r="CM371" s="2" t="e">
        <f ca="1">_xll.BDH($C$353,"TOT_DEBT_TO_TOT_ASSET","FQ3 2017","FQ3 2017","Currency=INR","Period=FQ","BEST_FPERIOD_OVERRIDE=FQ","FILING_STATUS=OR","EQY_CONSOLIDATED=Y","Sort=A","Dates=H","DateFormat=P","Fill=—","Direction=H","UseDPDF=Y")</f>
        <v>#NAME?</v>
      </c>
      <c r="CN371" s="2" t="e">
        <f ca="1">_xll.BDH($C$353,"NET_DEBT_TO_SHRHLDR_EQTY","FQ3 2017","FQ3 2017","Currency=INR","Period=FQ","BEST_FPERIOD_OVERRIDE=FQ","FILING_STATUS=OR","EQY_CONSOLIDATED=Y","Sort=A","Dates=H","DateFormat=P","Fill=—","Direction=H","UseDPDF=Y")</f>
        <v>#NAME?</v>
      </c>
      <c r="CO371" s="2" t="e">
        <f ca="1">_xll.BDH($C$353,"NET_DEBT_%_CAPITAL","FQ3 2017","FQ3 2017","Currency=INR","Period=FQ","BEST_FPERIOD_OVERRIDE=FQ","FILING_STATUS=OR","EQY_CONSOLIDATED=Y","Sort=A","Dates=H","DateFormat=P","Fill=—","Direction=H","UseDPDF=Y")</f>
        <v>#NAME?</v>
      </c>
      <c r="CP371" s="3" t="e">
        <f ca="1">_xll.BDH($C$353,"EBITDA","FQ3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371" s="3" t="e">
        <f ca="1">_xll.BDH($C$353,"EBITDA_AFTER_CAPEX","FQ3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371" s="3" t="e">
        <f ca="1">_xll.BDH($C$353,"IS_OPER_INC","FQ3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371" s="2" t="e">
        <f ca="1">_xll.BDH($C$353,"CASH_RATIO","FQ3 2017","FQ3 2017","Currency=INR","Period=FQ","BEST_FPERIOD_OVERRIDE=FQ","FILING_STATUS=OR","EQY_CONSOLIDATED=Y","Sort=A","Dates=H","DateFormat=P","Fill=—","Direction=H","UseDPDF=Y")</f>
        <v>#NAME?</v>
      </c>
      <c r="CT371" s="2" t="e">
        <f ca="1">_xll.BDH($C$353,"CUR_RATIO","FQ3 2017","FQ3 2017","Currency=INR","Period=FQ","BEST_FPERIOD_OVERRIDE=FQ","FILING_STATUS=OR","EQY_CONSOLIDATED=Y","Sort=A","Dates=H","DateFormat=P","Fill=—","Direction=H","UseDPDF=Y")</f>
        <v>#NAME?</v>
      </c>
      <c r="CU371" s="2" t="e">
        <f ca="1">_xll.BDH($C$353,"QUICK_RATIO","FQ3 2017","FQ3 2017","Currency=INR","Period=FQ","BEST_FPERIOD_OVERRIDE=FQ","FILING_STATUS=OR","EQY_CONSOLIDATED=Y","Sort=A","Dates=H","DateFormat=P","Fill=—","Direction=H","UseDPDF=Y")</f>
        <v>#NAME?</v>
      </c>
      <c r="CV371" s="2" t="e">
        <f ca="1">_xll.BDH($C$353,"ALTMAN_Z_SCORE","FQ3 2017","FQ3 2017","Currency=INR","Period=FQ","BEST_FPERIOD_OVERRIDE=FQ","FILING_STATUS=OR","EQY_CONSOLIDATED=Y","Sort=A","Dates=H","DateFormat=P","Fill=—","Direction=H","UseDPDF=Y")</f>
        <v>#NAME?</v>
      </c>
      <c r="CW371" s="4" t="e">
        <f ca="1">_xll.BDH($C$353,"ACCT_RCV_TURN","FQ3 2017","FQ3 2017","Currency=INR","Period=FQ","BEST_FPERIOD_OVERRIDE=FQ","FILING_STATUS=OR","EQY_CONSOLIDATED=Y","FA_ADJUSTED=GAAP","Sort=A","Dates=H","DateFormat=P","Fill=—","Direction=H","UseDPDF=Y")</f>
        <v>#NAME?</v>
      </c>
      <c r="CX371" s="2" t="e">
        <f ca="1">_xll.BDH($C$353,"ACCT_RCV_DAYS","FQ3 2017","FQ3 2017","Currency=INR","Period=FQ","BEST_FPERIOD_OVERRIDE=FQ","FILING_STATUS=OR","EQY_CONSOLIDATED=Y","FA_ADJUSTED=GAAP","Sort=A","Dates=H","DateFormat=P","Fill=—","Direction=H","UseDPDF=Y")</f>
        <v>#NAME?</v>
      </c>
      <c r="CY371" s="4" t="e">
        <f ca="1">_xll.BDH($C$353,"INVENT_TURN","FQ3 2017","FQ3 2017","Currency=INR","Period=FQ","BEST_FPERIOD_OVERRIDE=FQ","FILING_STATUS=OR","EQY_CONSOLIDATED=Y","FA_ADJUSTED=GAAP","Sort=A","Dates=H","DateFormat=P","Fill=—","Direction=H","UseDPDF=Y")</f>
        <v>#NAME?</v>
      </c>
      <c r="CZ371" s="2" t="e">
        <f ca="1">_xll.BDH($C$353,"INVENT_DAYS","FQ3 2017","FQ3 2017","Currency=INR","Period=FQ","BEST_FPERIOD_OVERRIDE=FQ","FILING_STATUS=OR","EQY_CONSOLIDATED=Y","FA_ADJUSTED=GAAP","Sort=A","Dates=H","DateFormat=P","Fill=—","Direction=H","UseDPDF=Y")</f>
        <v>#NAME?</v>
      </c>
      <c r="DA371" s="4" t="e">
        <f ca="1">_xll.BDH($C$353,"ACCOUNTS_PAYABLE_TURNOVER","FQ3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371" s="2" t="e">
        <f ca="1">_xll.BDH($C$353,"ACCOUNTS_PAYABLE_TURNOVER_DAYS","FQ3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371" s="4" t="e">
        <f ca="1">_xll.BDH($C$353,"CASH_CONVERSION_CYCLE","FQ3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371" s="4" t="e">
        <f ca="1">_xll.BDH($C$353,"INV_TO_CASH_DAYS","FQ3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371" s="5" t="e">
        <f ca="1">_xll.BDH($C$353,"BS_INVENTORIES","FQ3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371" s="3" t="e">
        <f ca="1">_xll.BDH($C$353,"INVTRY_RAW_MATERIALS","FQ3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371" s="3" t="e">
        <f ca="1">_xll.BDH($C$353,"INVTRY_IN_PROGRESS","FQ3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371" s="3" t="e">
        <f ca="1">_xll.BDH($C$353,"INVTRY_FINISHED_GOODS","FQ3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371" s="3" t="e">
        <f ca="1">_xll.BDH($C$353,"BS_OTHER_INV","FQ3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372" spans="1:113" x14ac:dyDescent="0.3">
      <c r="A372" s="6"/>
      <c r="B372" s="6"/>
      <c r="C372" s="6"/>
      <c r="D372" s="6"/>
      <c r="E372" t="s">
        <v>81</v>
      </c>
      <c r="F372" t="e">
        <f ca="1">_xll.BDH($C$353,"RETURN_COM_EQY","FQ4 2017","FQ4 2017","Currency=INR","Period=FQ","BEST_FPERIOD_OVERRIDE=FQ","FILING_STATUS=OR","EQY_CONSOLIDATED=Y","FA_ADJUSTED=GAAP","Sort=A","Dates=H","DateFormat=P","Fill=—","Direction=H","UseDPDF=Y")</f>
        <v>#NAME?</v>
      </c>
      <c r="G372" t="e">
        <f ca="1">_xll.BDH($C$353,"RETURN_ON_ASSET","FQ4 2017","FQ4 2017","Currency=INR","Period=FQ","BEST_FPERIOD_OVERRIDE=FQ","FILING_STATUS=OR","EQY_CONSOLIDATED=Y","FA_ADJUSTED=GAAP","Sort=A","Dates=H","DateFormat=P","Fill=—","Direction=H","UseDPDF=Y")</f>
        <v>#NAME?</v>
      </c>
      <c r="H372" t="e">
        <f ca="1">_xll.BDH($C$353,"RETURN_ON_CAP","FQ4 2017","FQ4 2017","Currency=INR","Period=FQ","BEST_FPERIOD_OVERRIDE=FQ","FILING_STATUS=OR","EQY_CONSOLIDATED=Y","FA_ADJUSTED=GAAP","Sort=A","Dates=H","DateFormat=P","Fill=—","Direction=H","UseDPDF=Y")</f>
        <v>#NAME?</v>
      </c>
      <c r="I372" t="e">
        <f ca="1">_xll.BDH($C$353,"RETURN_ON_INV_CAPITAL","FQ4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372" t="e">
        <f ca="1">_xll.BDH($C$353,"EBITDA_TO_REVENUE","FQ4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372" t="e">
        <f ca="1">_xll.BDH($C$353,"OPER_MARGIN","FQ4 2017","FQ4 2017","Currency=INR","Period=FQ","BEST_FPERIOD_OVERRIDE=FQ","FILING_STATUS=OR","EQY_CONSOLIDATED=Y","FA_ADJUSTED=GAAP","Sort=A","Dates=H","DateFormat=P","Fill=—","Direction=H","UseDPDF=Y")</f>
        <v>#NAME?</v>
      </c>
      <c r="L372" t="e">
        <f ca="1">_xll.BDH($C$353,"INCREMENTAL_OPERATING_MARGIN","FQ4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372" t="e">
        <f ca="1">_xll.BDH($C$353,"PRETAX_INC_TO_NET_SALES","FQ4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372" t="e">
        <f ca="1">_xll.BDH($C$353,"INC_BEF_XO_ITEMS_TO_NET_SALES","FQ4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372" t="e">
        <f ca="1">_xll.BDH($C$353,"PROF_MARGIN","FQ4 2017","FQ4 2017","Currency=INR","Period=FQ","BEST_FPERIOD_OVERRIDE=FQ","FILING_STATUS=OR","EQY_CONSOLIDATED=Y","FA_ADJUSTED=GAAP","Sort=A","Dates=H","DateFormat=P","Fill=—","Direction=H","UseDPDF=Y")</f>
        <v>#NAME?</v>
      </c>
      <c r="P372" t="e">
        <f ca="1">_xll.BDH($C$353,"NET_INCOME_TO_COMMON_MARGIN","FQ4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372" t="e">
        <f ca="1">_xll.BDH($C$353,"EFF_TAX_RATE","FQ4 2017","FQ4 2017","Currency=INR","Period=FQ","BEST_FPERIOD_OVERRIDE=FQ","FILING_STATUS=OR","EQY_CONSOLIDATED=Y","FA_ADJUSTED=GAAP","Sort=A","Dates=H","DateFormat=P","Fill=—","Direction=H","UseDPDF=Y")</f>
        <v>#NAME?</v>
      </c>
      <c r="R372" t="e">
        <f ca="1">_xll.BDH($C$353,"DVD_PAYOUT_RATIO","FQ4 2017","FQ4 2017","Currency=INR","Period=FQ","BEST_FPERIOD_OVERRIDE=FQ","FILING_STATUS=OR","EQY_CONSOLIDATED=Y","FA_ADJUSTED=GAAP","Sort=A","Dates=H","DateFormat=P","Fill=—","Direction=H","UseDPDF=Y")</f>
        <v>#NAME?</v>
      </c>
      <c r="S372" t="e">
        <f ca="1">_xll.BDH($C$353,"SUSTAIN_GROWTH_RT","FQ4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372" s="2" t="e">
        <f ca="1">_xll.BDH($C$353,"SALES_GROWTH","FQ4 2017","FQ4 2017","Currency=INR","Period=FQ","BEST_FPERIOD_OVERRIDE=FQ","FILING_STATUS=OR","EQY_CONSOLIDATED=Y","FA_ADJUSTED=GAAP","Sort=A","Dates=H","DateFormat=P","Fill=—","Direction=H","UseDPDF=Y")</f>
        <v>#NAME?</v>
      </c>
      <c r="U372" s="2" t="e">
        <f ca="1">_xll.BDH($C$353,"EBITDA_GROWTH","FQ4 2017","FQ4 2017","Currency=INR","Period=FQ","BEST_FPERIOD_OVERRIDE=FQ","FILING_STATUS=OR","EQY_CONSOLIDATED=Y","FA_ADJUSTED=GAAP","Sort=A","Dates=H","DateFormat=P","Fill=—","Direction=H","UseDPDF=Y")</f>
        <v>#NAME?</v>
      </c>
      <c r="V372" s="2" t="e">
        <f ca="1">_xll.BDH($C$353,"OPER_INC_GROWTH","FQ4 2017","FQ4 2017","Currency=INR","Period=FQ","BEST_FPERIOD_OVERRIDE=FQ","FILING_STATUS=OR","EQY_CONSOLIDATED=Y","FA_ADJUSTED=GAAP","Sort=A","Dates=H","DateFormat=P","Fill=—","Direction=H","UseDPDF=Y")</f>
        <v>#NAME?</v>
      </c>
      <c r="W372" s="2" t="e">
        <f ca="1">_xll.BDH($C$353,"EARN_FOR_COM_GROWTH","FQ4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372" s="2" t="e">
        <f ca="1">_xll.BDH($C$353,"DILUTED_EPS_AFT_XO_ITEMS_GROWTH","FQ4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372" s="2" t="e">
        <f ca="1">_xll.BDH($C$353,"DIVIDEND_PER_SHARE_1_YEAR_GROWTH","FQ4 2017","FQ4 2017","Currency=INR","Period=FQ","BEST_FPERIOD_OVERRIDE=FQ","FILING_STATUS=OR","EQY_CONSOLIDATED=Y","Sort=A","Dates=H","DateFormat=P","Fill=—","Direction=H","UseDPDF=Y")</f>
        <v>#NAME?</v>
      </c>
      <c r="Z372" s="2" t="e">
        <f ca="1">_xll.BDH($C$353,"ACCOUNTS_RECEIVABLE_GROWTH","FQ4 2017","FQ4 2017","Currency=INR","Period=FQ","BEST_FPERIOD_OVERRIDE=FQ","FILING_STATUS=OR","EQY_CONSOLIDATED=Y","Sort=A","Dates=H","DateFormat=P","Fill=—","Direction=H","UseDPDF=Y")</f>
        <v>#NAME?</v>
      </c>
      <c r="AA372" s="2" t="e">
        <f ca="1">_xll.BDH($C$353,"INVENTORY_GROWTH","FQ4 2017","FQ4 2017","Currency=INR","Period=FQ","BEST_FPERIOD_OVERRIDE=FQ","FILING_STATUS=OR","EQY_CONSOLIDATED=Y","Sort=A","Dates=H","DateFormat=P","Fill=—","Direction=H","UseDPDF=Y")</f>
        <v>#NAME?</v>
      </c>
      <c r="AB372" s="2" t="e">
        <f ca="1">_xll.BDH($C$353,"NET_FIXED_ASSETS_1_YEAR_GROWTH","FQ4 2017","FQ4 2017","Currency=INR","Period=FQ","BEST_FPERIOD_OVERRIDE=FQ","FILING_STATUS=OR","EQY_CONSOLIDATED=Y","Sort=A","Dates=H","DateFormat=P","Fill=—","Direction=H","UseDPDF=Y")</f>
        <v>#NAME?</v>
      </c>
      <c r="AC372" s="2" t="e">
        <f ca="1">_xll.BDH($C$353,"ASSET_GROWTH","FQ4 2017","FQ4 2017","Currency=INR","Period=FQ","BEST_FPERIOD_OVERRIDE=FQ","FILING_STATUS=OR","EQY_CONSOLIDATED=Y","Sort=A","Dates=H","DateFormat=P","Fill=—","Direction=H","UseDPDF=Y")</f>
        <v>#NAME?</v>
      </c>
      <c r="AD372" s="2" t="e">
        <f ca="1">_xll.BDH($C$353,"MODIFIED_WORK_CAP_GROWTH","FQ4 2017","FQ4 2017","Currency=INR","Period=FQ","BEST_FPERIOD_OVERRIDE=FQ","FILING_STATUS=OR","EQY_CONSOLIDATED=Y","Sort=A","Dates=H","DateFormat=P","Fill=—","Direction=H","UseDPDF=Y")</f>
        <v>#NAME?</v>
      </c>
      <c r="AE372" s="2" t="e">
        <f ca="1">_xll.BDH($C$353,"WORK_CAP_GROWTH","FQ4 2017","FQ4 2017","Currency=INR","Period=FQ","BEST_FPERIOD_OVERRIDE=FQ","FILING_STATUS=OR","EQY_CONSOLIDATED=Y","Sort=A","Dates=H","DateFormat=P","Fill=—","Direction=H","UseDPDF=Y")</f>
        <v>#NAME?</v>
      </c>
      <c r="AF372" s="2" t="e">
        <f ca="1">_xll.BDH($C$353,"ACCOUNTS_PAYABLE_GROWTH_1YR","FQ4 2017","FQ4 2017","Currency=INR","Period=FQ","BEST_FPERIOD_OVERRIDE=FQ","FILING_STATUS=OR","EQY_CONSOLIDATED=Y","Sort=A","Dates=H","DateFormat=P","Fill=—","Direction=H","UseDPDF=Y")</f>
        <v>#NAME?</v>
      </c>
      <c r="AG372" s="2" t="e">
        <f ca="1">_xll.BDH($C$353,"SHORT_TERM_DEBT_1_YEAR_GROWTH","FQ4 2017","FQ4 2017","Currency=INR","Period=FQ","BEST_FPERIOD_OVERRIDE=FQ","FILING_STATUS=OR","EQY_CONSOLIDATED=Y","Sort=A","Dates=H","DateFormat=P","Fill=—","Direction=H","UseDPDF=Y")</f>
        <v>#NAME?</v>
      </c>
      <c r="AH372" s="2" t="e">
        <f ca="1">_xll.BDH($C$353,"TOTAL_DEBT_1_YEAR_GROWTH","FQ4 2017","FQ4 2017","Currency=INR","Period=FQ","BEST_FPERIOD_OVERRIDE=FQ","FILING_STATUS=OR","EQY_CONSOLIDATED=Y","Sort=A","Dates=H","DateFormat=P","Fill=—","Direction=H","UseDPDF=Y")</f>
        <v>#NAME?</v>
      </c>
      <c r="AI372" s="2" t="e">
        <f ca="1">_xll.BDH($C$353,"TOTAL_EQUITY_1_YEAR_GROWTH","FQ4 2017","FQ4 2017","Currency=INR","Period=FQ","BEST_FPERIOD_OVERRIDE=FQ","FILING_STATUS=OR","EQY_CONSOLIDATED=Y","Sort=A","Dates=H","DateFormat=P","Fill=—","Direction=H","UseDPDF=Y")</f>
        <v>#NAME?</v>
      </c>
      <c r="AJ372" s="2" t="e">
        <f ca="1">_xll.BDH($C$353,"GROWTH_IN_CAP","FQ4 2017","FQ4 2017","Currency=INR","Period=FQ","BEST_FPERIOD_OVERRIDE=FQ","FILING_STATUS=OR","EQY_CONSOLIDATED=Y","Sort=A","Dates=H","DateFormat=P","Fill=—","Direction=H","UseDPDF=Y")</f>
        <v>#NAME?</v>
      </c>
      <c r="AK372" s="2" t="e">
        <f ca="1">_xll.BDH($C$353,"BVPS_GROWTH","FQ4 2017","FQ4 2017","Currency=INR","Period=FQ","BEST_FPERIOD_OVERRIDE=FQ","FILING_STATUS=OR","EQY_CONSOLIDATED=Y","Sort=A","Dates=H","DateFormat=P","Fill=—","Direction=H","UseDPDF=Y")</f>
        <v>#NAME?</v>
      </c>
      <c r="AL372" s="2" t="e">
        <f ca="1">_xll.BDH($C$353,"CASH_FLOW_GROWTH","FQ4 2017","FQ4 2017","Currency=INR","Period=FQ","BEST_FPERIOD_OVERRIDE=FQ","FILING_STATUS=OR","EQY_CONSOLIDATED=Y","Sort=A","Dates=H","DateFormat=P","Fill=—","Direction=H","UseDPDF=Y")</f>
        <v>#NAME?</v>
      </c>
      <c r="AM372" s="2" t="e">
        <f ca="1">_xll.BDH($C$353,"GEO_GROW_NET_SALES","FQ4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372" s="2" t="e">
        <f ca="1">_xll.BDH($C$353,"GEO_GROW_EBITDA","FQ4 2017","FQ4 2017","Currency=INR","Period=FQ","BEST_FPERIOD_OVERRIDE=FQ","FILING_STATUS=OR","EQY_CONSOLIDATED=Y","FA_ADJUSTED=GAAP","Sort=A","Dates=H","DateFormat=P","Fill=—","Direction=H","UseDPDF=Y")</f>
        <v>#NAME?</v>
      </c>
      <c r="AO372" s="2" t="e">
        <f ca="1">_xll.BDH($C$353,"GEO_GROW_OPER_INC","FQ4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372" s="2" t="e">
        <f ca="1">_xll.BDH($C$353,"NET_INCOME_TO_COMMON_5_YR_GROWTH","FQ4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372" s="2" t="e">
        <f ca="1">_xll.BDH($C$353,"5Y_GEO_GROWTH_DILUTED_EPS","FQ4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372" s="2" t="e">
        <f ca="1">_xll.BDH($C$353,"GEO_GROW_DVD_PER_SH","FQ4 2017","FQ4 2017","Currency=INR","Period=FQ","BEST_FPERIOD_OVERRIDE=FQ","FILING_STATUS=OR","EQY_CONSOLIDATED=Y","Sort=A","Dates=H","DateFormat=P","Fill=—","Direction=H","UseDPDF=Y")</f>
        <v>#NAME?</v>
      </c>
      <c r="AS372" s="2" t="e">
        <f ca="1">_xll.BDH($C$353,"ACCOUNTS_RECEIVABLE_5_YR_GROWTH","FQ4 2017","FQ4 2017","Currency=INR","Period=FQ","BEST_FPERIOD_OVERRIDE=FQ","FILING_STATUS=OR","EQY_CONSOLIDATED=Y","Sort=A","Dates=H","DateFormat=P","Fill=—","Direction=H","UseDPDF=Y")</f>
        <v>#NAME?</v>
      </c>
      <c r="AT372" s="2" t="e">
        <f ca="1">_xll.BDH($C$353,"INVENTORY_5_YEAR_GROWTH","FQ4 2017","FQ4 2017","Currency=INR","Period=FQ","BEST_FPERIOD_OVERRIDE=FQ","FILING_STATUS=OR","EQY_CONSOLIDATED=Y","Sort=A","Dates=H","DateFormat=P","Fill=—","Direction=H","UseDPDF=Y")</f>
        <v>#NAME?</v>
      </c>
      <c r="AU372" s="2" t="e">
        <f ca="1">_xll.BDH($C$353,"NET_FIXED_ASSETS_5_YEAR_GROWTH","FQ4 2017","FQ4 2017","Currency=INR","Period=FQ","BEST_FPERIOD_OVERRIDE=FQ","FILING_STATUS=OR","EQY_CONSOLIDATED=Y","Sort=A","Dates=H","DateFormat=P","Fill=—","Direction=H","UseDPDF=Y")</f>
        <v>#NAME?</v>
      </c>
      <c r="AV372" s="2" t="e">
        <f ca="1">_xll.BDH($C$353,"GEO_GROW_TOT_ASSET","FQ4 2017","FQ4 2017","Currency=INR","Period=FQ","BEST_FPERIOD_OVERRIDE=FQ","FILING_STATUS=OR","EQY_CONSOLIDATED=Y","Sort=A","Dates=H","DateFormat=P","Fill=—","Direction=H","UseDPDF=Y")</f>
        <v>#NAME?</v>
      </c>
      <c r="AW372" s="2" t="e">
        <f ca="1">_xll.BDH($C$353,"MODIFIED_WORKING_CPTL_5YR_GRWTH","FQ4 2017","FQ4 2017","Currency=INR","Period=FQ","BEST_FPERIOD_OVERRIDE=FQ","FILING_STATUS=OR","EQY_CONSOLIDATED=Y","Sort=A","Dates=H","DateFormat=P","Fill=—","Direction=H","UseDPDF=Y")</f>
        <v>#NAME?</v>
      </c>
      <c r="AX372" s="2" t="e">
        <f ca="1">_xll.BDH($C$353,"WORKING_CAPITAL_5_YEAR_GROWTH","FQ4 2017","FQ4 2017","Currency=INR","Period=FQ","BEST_FPERIOD_OVERRIDE=FQ","FILING_STATUS=OR","EQY_CONSOLIDATED=Y","Sort=A","Dates=H","DateFormat=P","Fill=—","Direction=H","UseDPDF=Y")</f>
        <v>#NAME?</v>
      </c>
      <c r="AY372" s="2" t="e">
        <f ca="1">_xll.BDH($C$353,"ACCOUNTS_PAYABLE_5_YEAR_GROWTH","FQ4 2017","FQ4 2017","Currency=INR","Period=FQ","BEST_FPERIOD_OVERRIDE=FQ","FILING_STATUS=OR","EQY_CONSOLIDATED=Y","Sort=A","Dates=H","DateFormat=P","Fill=—","Direction=H","UseDPDF=Y")</f>
        <v>#NAME?</v>
      </c>
      <c r="AZ372" s="2" t="e">
        <f ca="1">_xll.BDH($C$353,"SHORT_TERM_DEBT_5_YEAR_GROWTH","FQ4 2017","FQ4 2017","Currency=INR","Period=FQ","BEST_FPERIOD_OVERRIDE=FQ","FILING_STATUS=OR","EQY_CONSOLIDATED=Y","Sort=A","Dates=H","DateFormat=P","Fill=—","Direction=H","UseDPDF=Y")</f>
        <v>#NAME?</v>
      </c>
      <c r="BA372" s="2" t="e">
        <f ca="1">_xll.BDH($C$353,"TOTAL_DEBT_5_YEAR_GROWTH","FQ4 2017","FQ4 2017","Currency=INR","Period=FQ","BEST_FPERIOD_OVERRIDE=FQ","FILING_STATUS=OR","EQY_CONSOLIDATED=Y","Sort=A","Dates=H","DateFormat=P","Fill=—","Direction=H","UseDPDF=Y")</f>
        <v>#NAME?</v>
      </c>
      <c r="BB372" s="2" t="e">
        <f ca="1">_xll.BDH($C$353,"GEO_GROW_TOT_SHRHLDR_EQY","FQ4 2017","FQ4 2017","Currency=INR","Period=FQ","BEST_FPERIOD_OVERRIDE=FQ","FILING_STATUS=OR","EQY_CONSOLIDATED=Y","Sort=A","Dates=H","DateFormat=P","Fill=—","Direction=H","UseDPDF=Y")</f>
        <v>#NAME?</v>
      </c>
      <c r="BC372" s="2" t="e">
        <f ca="1">_xll.BDH($C$353,"TOTAL_CAPITAL_5_YEAR_GROWTH","FQ4 2017","FQ4 2017","Currency=INR","Period=FQ","BEST_FPERIOD_OVERRIDE=FQ","FILING_STATUS=OR","EQY_CONSOLIDATED=Y","Sort=A","Dates=H","DateFormat=P","Fill=—","Direction=H","UseDPDF=Y")</f>
        <v>#NAME?</v>
      </c>
      <c r="BD372" s="2" t="e">
        <f ca="1">_xll.BDH($C$353,"GEO_GROW_BOOK_VAL","FQ4 2017","FQ4 2017","Currency=INR","Period=FQ","BEST_FPERIOD_OVERRIDE=FQ","FILING_STATUS=OR","EQY_CONSOLIDATED=Y","Sort=A","Dates=H","DateFormat=P","Fill=—","Direction=H","UseDPDF=Y")</f>
        <v>#NAME?</v>
      </c>
      <c r="BE372" s="2" t="e">
        <f ca="1">_xll.BDH($C$353,"GEO_GROW_CASH_OPER_ACT","FQ4 2017","FQ4 2017","Currency=INR","Period=FQ","BEST_FPERIOD_OVERRIDE=FQ","FILING_STATUS=OR","EQY_CONSOLIDATED=Y","Sort=A","Dates=H","DateFormat=P","Fill=—","Direction=H","UseDPDF=Y")</f>
        <v>#NAME?</v>
      </c>
      <c r="BF372" s="2" t="e">
        <f ca="1">_xll.BDH($C$353,"REVENUE_SEQUENTIAL_GROWTH","FQ4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372" s="2" t="e">
        <f ca="1">_xll.BDH($C$353,"EBITDA_SEQUENTIAL_GROWTH","FQ4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372" s="2" t="e">
        <f ca="1">_xll.BDH($C$353,"OPERATING_INCOME_SEQ_GROWTH","FQ4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372" s="2" t="e">
        <f ca="1">_xll.BDH($C$353,"NET_INCOME_TO_COMMON_SEQ_GROWTH","FQ4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372" s="2" t="e">
        <f ca="1">_xll.BDH($C$353,"EPS_DILUTED_SEQUENTIAL_GROWTH","FQ4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372" s="2" t="e">
        <f ca="1">_xll.BDH($C$353,"DPS_SEQUENTIAL_GROWTH","FQ4 2017","FQ4 2017","Currency=INR","Period=FQ","BEST_FPERIOD_OVERRIDE=FQ","FILING_STATUS=OR","EQY_CONSOLIDATED=Y","Sort=A","Dates=H","DateFormat=P","Fill=—","Direction=H","UseDPDF=Y")</f>
        <v>#NAME?</v>
      </c>
      <c r="BL372" s="2" t="e">
        <f ca="1">_xll.BDH($C$353,"ACCOUNTS_RECEIVABLE_SEQ_GROWTH","FQ4 2017","FQ4 2017","Currency=INR","Period=FQ","BEST_FPERIOD_OVERRIDE=FQ","FILING_STATUS=OR","EQY_CONSOLIDATED=Y","Sort=A","Dates=H","DateFormat=P","Fill=—","Direction=H","UseDPDF=Y")</f>
        <v>#NAME?</v>
      </c>
      <c r="BM372" s="2" t="e">
        <f ca="1">_xll.BDH($C$353,"INVENTORY_SEQUENTIAL_GROWTH","FQ4 2017","FQ4 2017","Currency=INR","Period=FQ","BEST_FPERIOD_OVERRIDE=FQ","FILING_STATUS=OR","EQY_CONSOLIDATED=Y","Sort=A","Dates=H","DateFormat=P","Fill=—","Direction=H","UseDPDF=Y")</f>
        <v>#NAME?</v>
      </c>
      <c r="BN372" s="2" t="e">
        <f ca="1">_xll.BDH($C$353,"FIXED_ASSETS_SEQUENTIAL_GROWTH","FQ4 2017","FQ4 2017","Currency=INR","Period=FQ","BEST_FPERIOD_OVERRIDE=FQ","FILING_STATUS=OR","EQY_CONSOLIDATED=Y","Sort=A","Dates=H","DateFormat=P","Fill=—","Direction=H","UseDPDF=Y")</f>
        <v>#NAME?</v>
      </c>
      <c r="BO372" s="2" t="e">
        <f ca="1">_xll.BDH($C$353,"TOTAL_ASSETS_SEQUENTIAL_GROWTH","FQ4 2017","FQ4 2017","Currency=INR","Period=FQ","BEST_FPERIOD_OVERRIDE=FQ","FILING_STATUS=OR","EQY_CONSOLIDATED=Y","Sort=A","Dates=H","DateFormat=P","Fill=—","Direction=H","UseDPDF=Y")</f>
        <v>#NAME?</v>
      </c>
      <c r="BP372" s="2" t="e">
        <f ca="1">_xll.BDH($C$353,"MODIFIED_WORKING_CPTL_SEQ_GRWTH","FQ4 2017","FQ4 2017","Currency=INR","Period=FQ","BEST_FPERIOD_OVERRIDE=FQ","FILING_STATUS=OR","EQY_CONSOLIDATED=Y","Sort=A","Dates=H","DateFormat=P","Fill=—","Direction=H","UseDPDF=Y")</f>
        <v>#NAME?</v>
      </c>
      <c r="BQ372" s="2" t="e">
        <f ca="1">_xll.BDH($C$353,"WORKING_CAPITAL_SEQ_GROWTH","FQ4 2017","FQ4 2017","Currency=INR","Period=FQ","BEST_FPERIOD_OVERRIDE=FQ","FILING_STATUS=OR","EQY_CONSOLIDATED=Y","Sort=A","Dates=H","DateFormat=P","Fill=—","Direction=H","UseDPDF=Y")</f>
        <v>#NAME?</v>
      </c>
      <c r="BR372" s="2" t="e">
        <f ca="1">_xll.BDH($C$353,"ACCOUNTS_PAYABLE_SEQ_GROWTH","FQ4 2017","FQ4 2017","Currency=INR","Period=FQ","BEST_FPERIOD_OVERRIDE=FQ","FILING_STATUS=OR","EQY_CONSOLIDATED=Y","Sort=A","Dates=H","DateFormat=P","Fill=—","Direction=H","UseDPDF=Y")</f>
        <v>#NAME?</v>
      </c>
      <c r="BS372" s="2" t="e">
        <f ca="1">_xll.BDH($C$353,"ST_DEBT_SEQUENTIAL_GROWTH","FQ4 2017","FQ4 2017","Currency=INR","Period=FQ","BEST_FPERIOD_OVERRIDE=FQ","FILING_STATUS=OR","EQY_CONSOLIDATED=Y","Sort=A","Dates=H","DateFormat=P","Fill=—","Direction=H","UseDPDF=Y")</f>
        <v>#NAME?</v>
      </c>
      <c r="BT372" s="2" t="e">
        <f ca="1">_xll.BDH($C$353,"TOTAL_DEBT_SEQUENTIAL_GROWTH","FQ4 2017","FQ4 2017","Currency=INR","Period=FQ","BEST_FPERIOD_OVERRIDE=FQ","FILING_STATUS=OR","EQY_CONSOLIDATED=Y","Sort=A","Dates=H","DateFormat=P","Fill=—","Direction=H","UseDPDF=Y")</f>
        <v>#NAME?</v>
      </c>
      <c r="BU372" s="2" t="e">
        <f ca="1">_xll.BDH($C$353,"TOTAL_EQUITY_SEQUENTIAL_GROWTH","FQ4 2017","FQ4 2017","Currency=INR","Period=FQ","BEST_FPERIOD_OVERRIDE=FQ","FILING_STATUS=OR","EQY_CONSOLIDATED=Y","Sort=A","Dates=H","DateFormat=P","Fill=—","Direction=H","UseDPDF=Y")</f>
        <v>#NAME?</v>
      </c>
      <c r="BV372" s="2" t="e">
        <f ca="1">_xll.BDH($C$353,"TOTAL_CAPITAL_SEQUENTIAL_GROWTH","FQ4 2017","FQ4 2017","Currency=INR","Period=FQ","BEST_FPERIOD_OVERRIDE=FQ","FILING_STATUS=OR","EQY_CONSOLIDATED=Y","Sort=A","Dates=H","DateFormat=P","Fill=—","Direction=H","UseDPDF=Y")</f>
        <v>#NAME?</v>
      </c>
      <c r="BW372" s="2" t="e">
        <f ca="1">_xll.BDH($C$353,"BPS_SEQUENTIAL_GROWTH","FQ4 2017","FQ4 2017","Currency=INR","Period=FQ","BEST_FPERIOD_OVERRIDE=FQ","FILING_STATUS=OR","EQY_CONSOLIDATED=Y","Sort=A","Dates=H","DateFormat=P","Fill=—","Direction=H","UseDPDF=Y")</f>
        <v>#NAME?</v>
      </c>
      <c r="BX372" s="2" t="e">
        <f ca="1">_xll.BDH($C$353,"CFO_SEQUENTIAL_GROWTH","FQ4 2017","FQ4 2017","Currency=INR","Period=FQ","BEST_FPERIOD_OVERRIDE=FQ","FILING_STATUS=OR","EQY_CONSOLIDATED=Y","Sort=A","Dates=H","DateFormat=P","Fill=—","Direction=H","UseDPDF=Y")</f>
        <v>#NAME?</v>
      </c>
      <c r="BY372" s="3" t="e">
        <f ca="1">_xll.BDH($C$353,"SHORT_AND_LONG_TERM_DEBT","FQ4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372" s="3" t="e">
        <f ca="1">_xll.BDH($C$353,"BS_ST_BORROW","FQ4 2017","FQ4 2017","Currency=INR","Period=FQ","BEST_FPERIOD_OVERRIDE=FQ","FILING_STATUS=OR","EQY_CONSOLIDATED=Y","SCALING_FORMAT=MLN","Sort=A","Dates=H","DateFormat=P","Fill=—","Direction=H","UseDPDF=Y")</f>
        <v>#NAME?</v>
      </c>
      <c r="CA372" s="3" t="e">
        <f ca="1">_xll.BDH($C$353,"BS_LT_BORROW","FQ4 2017","FQ4 2017","Currency=INR","Period=FQ","BEST_FPERIOD_OVERRIDE=FQ","FILING_STATUS=OR","EQY_CONSOLIDATED=Y","SCALING_FORMAT=MLN","Sort=A","Dates=H","DateFormat=P","Fill=—","Direction=H","UseDPDF=Y")</f>
        <v>#NAME?</v>
      </c>
      <c r="CB372" s="2" t="e">
        <f ca="1">_xll.BDH($C$353,"TOT_DEBT_TO_EBITDA","FQ4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372" s="2" t="e">
        <f ca="1">_xll.BDH($C$353,"NET_DEBT_TO_EBITDA","FQ4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372" s="2" t="e">
        <f ca="1">_xll.BDH($C$353,"TOTAL_DEBT_TO_EBIT","FQ4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372" s="2" t="e">
        <f ca="1">_xll.BDH($C$353,"NET_DEBT_TO_EBIT","FQ4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372" s="2" t="e">
        <f ca="1">_xll.BDH($C$353,"EBITDA_TO_INTEREST_EXPN","FQ4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372" s="2" t="e">
        <f ca="1">_xll.BDH($C$353,"COM_EQY_TO_TOT_ASSET","FQ4 2017","FQ4 2017","Currency=INR","Period=FQ","BEST_FPERIOD_OVERRIDE=FQ","FILING_STATUS=OR","EQY_CONSOLIDATED=Y","Sort=A","Dates=H","DateFormat=P","Fill=—","Direction=H","UseDPDF=Y")</f>
        <v>#NAME?</v>
      </c>
      <c r="CH372" s="2" t="e">
        <f ca="1">_xll.BDH($C$353,"LT_DEBT_TO_TOT_EQY","FQ4 2017","FQ4 2017","Currency=INR","Period=FQ","BEST_FPERIOD_OVERRIDE=FQ","FILING_STATUS=OR","EQY_CONSOLIDATED=Y","Sort=A","Dates=H","DateFormat=P","Fill=—","Direction=H","UseDPDF=Y")</f>
        <v>#NAME?</v>
      </c>
      <c r="CI372" s="2" t="e">
        <f ca="1">_xll.BDH($C$353,"LT_DEBT_TO_TOT_CAP","FQ4 2017","FQ4 2017","Currency=INR","Period=FQ","BEST_FPERIOD_OVERRIDE=FQ","FILING_STATUS=OR","EQY_CONSOLIDATED=Y","Sort=A","Dates=H","DateFormat=P","Fill=—","Direction=H","UseDPDF=Y")</f>
        <v>#NAME?</v>
      </c>
      <c r="CJ372" s="2" t="e">
        <f ca="1">_xll.BDH($C$353,"LT_DEBT_TO_TOT_ASSET","FQ4 2017","FQ4 2017","Currency=INR","Period=FQ","BEST_FPERIOD_OVERRIDE=FQ","FILING_STATUS=OR","EQY_CONSOLIDATED=Y","Sort=A","Dates=H","DateFormat=P","Fill=—","Direction=H","UseDPDF=Y")</f>
        <v>#NAME?</v>
      </c>
      <c r="CK372" s="2" t="e">
        <f ca="1">_xll.BDH($C$353,"TOT_DEBT_TO_TOT_EQY","FQ4 2017","FQ4 2017","Currency=INR","Period=FQ","BEST_FPERIOD_OVERRIDE=FQ","FILING_STATUS=OR","EQY_CONSOLIDATED=Y","Sort=A","Dates=H","DateFormat=P","Fill=—","Direction=H","UseDPDF=Y")</f>
        <v>#NAME?</v>
      </c>
      <c r="CL372" s="2" t="e">
        <f ca="1">_xll.BDH($C$353,"TOT_DEBT_TO_TOT_CAP","FQ4 2017","FQ4 2017","Currency=INR","Period=FQ","BEST_FPERIOD_OVERRIDE=FQ","FILING_STATUS=OR","EQY_CONSOLIDATED=Y","Sort=A","Dates=H","DateFormat=P","Fill=—","Direction=H","UseDPDF=Y")</f>
        <v>#NAME?</v>
      </c>
      <c r="CM372" s="2" t="e">
        <f ca="1">_xll.BDH($C$353,"TOT_DEBT_TO_TOT_ASSET","FQ4 2017","FQ4 2017","Currency=INR","Period=FQ","BEST_FPERIOD_OVERRIDE=FQ","FILING_STATUS=OR","EQY_CONSOLIDATED=Y","Sort=A","Dates=H","DateFormat=P","Fill=—","Direction=H","UseDPDF=Y")</f>
        <v>#NAME?</v>
      </c>
      <c r="CN372" s="2" t="e">
        <f ca="1">_xll.BDH($C$353,"NET_DEBT_TO_SHRHLDR_EQTY","FQ4 2017","FQ4 2017","Currency=INR","Period=FQ","BEST_FPERIOD_OVERRIDE=FQ","FILING_STATUS=OR","EQY_CONSOLIDATED=Y","Sort=A","Dates=H","DateFormat=P","Fill=—","Direction=H","UseDPDF=Y")</f>
        <v>#NAME?</v>
      </c>
      <c r="CO372" s="2" t="e">
        <f ca="1">_xll.BDH($C$353,"NET_DEBT_%_CAPITAL","FQ4 2017","FQ4 2017","Currency=INR","Period=FQ","BEST_FPERIOD_OVERRIDE=FQ","FILING_STATUS=OR","EQY_CONSOLIDATED=Y","Sort=A","Dates=H","DateFormat=P","Fill=—","Direction=H","UseDPDF=Y")</f>
        <v>#NAME?</v>
      </c>
      <c r="CP372" s="3" t="e">
        <f ca="1">_xll.BDH($C$353,"EBITDA","FQ4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372" s="3" t="e">
        <f ca="1">_xll.BDH($C$353,"EBITDA_AFTER_CAPEX","FQ4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372" s="3" t="e">
        <f ca="1">_xll.BDH($C$353,"IS_OPER_INC","FQ4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372" s="2" t="e">
        <f ca="1">_xll.BDH($C$353,"CASH_RATIO","FQ4 2017","FQ4 2017","Currency=INR","Period=FQ","BEST_FPERIOD_OVERRIDE=FQ","FILING_STATUS=OR","EQY_CONSOLIDATED=Y","Sort=A","Dates=H","DateFormat=P","Fill=—","Direction=H","UseDPDF=Y")</f>
        <v>#NAME?</v>
      </c>
      <c r="CT372" s="2" t="e">
        <f ca="1">_xll.BDH($C$353,"CUR_RATIO","FQ4 2017","FQ4 2017","Currency=INR","Period=FQ","BEST_FPERIOD_OVERRIDE=FQ","FILING_STATUS=OR","EQY_CONSOLIDATED=Y","Sort=A","Dates=H","DateFormat=P","Fill=—","Direction=H","UseDPDF=Y")</f>
        <v>#NAME?</v>
      </c>
      <c r="CU372" s="2" t="e">
        <f ca="1">_xll.BDH($C$353,"QUICK_RATIO","FQ4 2017","FQ4 2017","Currency=INR","Period=FQ","BEST_FPERIOD_OVERRIDE=FQ","FILING_STATUS=OR","EQY_CONSOLIDATED=Y","Sort=A","Dates=H","DateFormat=P","Fill=—","Direction=H","UseDPDF=Y")</f>
        <v>#NAME?</v>
      </c>
      <c r="CV372" s="2" t="e">
        <f ca="1">_xll.BDH($C$353,"ALTMAN_Z_SCORE","FQ4 2017","FQ4 2017","Currency=INR","Period=FQ","BEST_FPERIOD_OVERRIDE=FQ","FILING_STATUS=OR","EQY_CONSOLIDATED=Y","Sort=A","Dates=H","DateFormat=P","Fill=—","Direction=H","UseDPDF=Y")</f>
        <v>#NAME?</v>
      </c>
      <c r="CW372" s="4" t="e">
        <f ca="1">_xll.BDH($C$353,"ACCT_RCV_TURN","FQ4 2017","FQ4 2017","Currency=INR","Period=FQ","BEST_FPERIOD_OVERRIDE=FQ","FILING_STATUS=OR","EQY_CONSOLIDATED=Y","FA_ADJUSTED=GAAP","Sort=A","Dates=H","DateFormat=P","Fill=—","Direction=H","UseDPDF=Y")</f>
        <v>#NAME?</v>
      </c>
      <c r="CX372" s="2" t="e">
        <f ca="1">_xll.BDH($C$353,"ACCT_RCV_DAYS","FQ4 2017","FQ4 2017","Currency=INR","Period=FQ","BEST_FPERIOD_OVERRIDE=FQ","FILING_STATUS=OR","EQY_CONSOLIDATED=Y","FA_ADJUSTED=GAAP","Sort=A","Dates=H","DateFormat=P","Fill=—","Direction=H","UseDPDF=Y")</f>
        <v>#NAME?</v>
      </c>
      <c r="CY372" s="4" t="e">
        <f ca="1">_xll.BDH($C$353,"INVENT_TURN","FQ4 2017","FQ4 2017","Currency=INR","Period=FQ","BEST_FPERIOD_OVERRIDE=FQ","FILING_STATUS=OR","EQY_CONSOLIDATED=Y","FA_ADJUSTED=GAAP","Sort=A","Dates=H","DateFormat=P","Fill=—","Direction=H","UseDPDF=Y")</f>
        <v>#NAME?</v>
      </c>
      <c r="CZ372" s="2" t="e">
        <f ca="1">_xll.BDH($C$353,"INVENT_DAYS","FQ4 2017","FQ4 2017","Currency=INR","Period=FQ","BEST_FPERIOD_OVERRIDE=FQ","FILING_STATUS=OR","EQY_CONSOLIDATED=Y","FA_ADJUSTED=GAAP","Sort=A","Dates=H","DateFormat=P","Fill=—","Direction=H","UseDPDF=Y")</f>
        <v>#NAME?</v>
      </c>
      <c r="DA372" s="4" t="e">
        <f ca="1">_xll.BDH($C$353,"ACCOUNTS_PAYABLE_TURNOVER","FQ4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372" s="2" t="e">
        <f ca="1">_xll.BDH($C$353,"ACCOUNTS_PAYABLE_TURNOVER_DAYS","FQ4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372" s="4" t="e">
        <f ca="1">_xll.BDH($C$353,"CASH_CONVERSION_CYCLE","FQ4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372" s="4" t="e">
        <f ca="1">_xll.BDH($C$353,"INV_TO_CASH_DAYS","FQ4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372" s="5" t="e">
        <f ca="1">_xll.BDH($C$353,"BS_INVENTORIES","FQ4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372" s="3" t="e">
        <f ca="1">_xll.BDH($C$353,"INVTRY_RAW_MATERIALS","FQ4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372" s="3" t="e">
        <f ca="1">_xll.BDH($C$353,"INVTRY_IN_PROGRESS","FQ4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372" s="3" t="e">
        <f ca="1">_xll.BDH($C$353,"INVTRY_FINISHED_GOODS","FQ4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372" s="3" t="e">
        <f ca="1">_xll.BDH($C$353,"BS_OTHER_INV","FQ4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373" spans="1:113" x14ac:dyDescent="0.3">
      <c r="A373" s="6"/>
      <c r="B373" s="6"/>
      <c r="C373" s="6"/>
      <c r="D373" s="6" t="s">
        <v>85</v>
      </c>
      <c r="E373" t="s">
        <v>77</v>
      </c>
      <c r="F373" t="e">
        <f ca="1">_xll.BDH($C$353,"RETURN_COM_EQY","FY 2018","FY 2018","Currency=INR","Period=FY","BEST_FPERIOD_OVERRIDE=FY","FILING_STATUS=OR","EQY_CONSOLIDATED=Y","FA_ADJUSTED=GAAP","Sort=A","Dates=H","DateFormat=P","Fill=—","Direction=H","UseDPDF=Y")</f>
        <v>#NAME?</v>
      </c>
      <c r="G373" t="e">
        <f ca="1">_xll.BDH($C$353,"RETURN_ON_ASSET","FY 2018","FY 2018","Currency=INR","Period=FY","BEST_FPERIOD_OVERRIDE=FY","FILING_STATUS=OR","EQY_CONSOLIDATED=Y","FA_ADJUSTED=GAAP","Sort=A","Dates=H","DateFormat=P","Fill=—","Direction=H","UseDPDF=Y")</f>
        <v>#NAME?</v>
      </c>
      <c r="H373" t="e">
        <f ca="1">_xll.BDH($C$353,"RETURN_ON_CAP","FY 2018","FY 2018","Currency=INR","Period=FY","BEST_FPERIOD_OVERRIDE=FY","FILING_STATUS=OR","EQY_CONSOLIDATED=Y","FA_ADJUSTED=GAAP","Sort=A","Dates=H","DateFormat=P","Fill=—","Direction=H","UseDPDF=Y")</f>
        <v>#NAME?</v>
      </c>
      <c r="I373" t="e">
        <f ca="1">_xll.BDH($C$353,"RETURN_ON_INV_CAPITAL","FY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373" t="e">
        <f ca="1">_xll.BDH($C$353,"EBITDA_TO_REVENUE","FY 2018","FY 2018","Currency=INR","Period=FY","BEST_FPERIOD_OVERRIDE=FY","FILING_STATUS=OR","EQY_CONSOLIDATED=Y","FA_ADJUSTED=GAAP","Sort=A","Dates=H","DateFormat=P","Fill=—","Direction=H","UseDPDF=Y")</f>
        <v>#NAME?</v>
      </c>
      <c r="K373" t="e">
        <f ca="1">_xll.BDH($C$353,"OPER_MARGIN","FY 2018","FY 2018","Currency=INR","Period=FY","BEST_FPERIOD_OVERRIDE=FY","FILING_STATUS=OR","EQY_CONSOLIDATED=Y","FA_ADJUSTED=GAAP","Sort=A","Dates=H","DateFormat=P","Fill=—","Direction=H","UseDPDF=Y")</f>
        <v>#NAME?</v>
      </c>
      <c r="L373" t="e">
        <f ca="1">_xll.BDH($C$353,"INCREMENTAL_OPERATING_MARGIN","FY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373" t="e">
        <f ca="1">_xll.BDH($C$353,"PRETAX_INC_TO_NET_SALES","FY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373" t="e">
        <f ca="1">_xll.BDH($C$353,"INC_BEF_XO_ITEMS_TO_NET_SALES","FY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373" t="e">
        <f ca="1">_xll.BDH($C$353,"PROF_MARGIN","FY 2018","FY 2018","Currency=INR","Period=FY","BEST_FPERIOD_OVERRIDE=FY","FILING_STATUS=OR","EQY_CONSOLIDATED=Y","FA_ADJUSTED=GAAP","Sort=A","Dates=H","DateFormat=P","Fill=—","Direction=H","UseDPDF=Y")</f>
        <v>#NAME?</v>
      </c>
      <c r="P373" t="e">
        <f ca="1">_xll.BDH($C$353,"NET_INCOME_TO_COMMON_MARGIN","FY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373" t="e">
        <f ca="1">_xll.BDH($C$353,"EFF_TAX_RATE","FY 2018","FY 2018","Currency=INR","Period=FY","BEST_FPERIOD_OVERRIDE=FY","FILING_STATUS=OR","EQY_CONSOLIDATED=Y","FA_ADJUSTED=GAAP","Sort=A","Dates=H","DateFormat=P","Fill=—","Direction=H","UseDPDF=Y")</f>
        <v>#NAME?</v>
      </c>
      <c r="R373" t="e">
        <f ca="1">_xll.BDH($C$353,"DVD_PAYOUT_RATIO","FY 2018","FY 2018","Currency=INR","Period=FY","BEST_FPERIOD_OVERRIDE=FY","FILING_STATUS=OR","EQY_CONSOLIDATED=Y","FA_ADJUSTED=GAAP","Sort=A","Dates=H","DateFormat=P","Fill=—","Direction=H","UseDPDF=Y")</f>
        <v>#NAME?</v>
      </c>
      <c r="S373" t="e">
        <f ca="1">_xll.BDH($C$353,"SUSTAIN_GROWTH_RT","FY 2018","FY 2018","Currency=INR","Period=FY","BEST_FPERIOD_OVERRIDE=FY","FILING_STATUS=OR","EQY_CONSOLIDATED=Y","FA_ADJUSTED=GAAP","Sort=A","Dates=H","DateFormat=P","Fill=—","Direction=H","UseDPDF=Y")</f>
        <v>#NAME?</v>
      </c>
      <c r="T373" s="2" t="e">
        <f ca="1">_xll.BDH($C$353,"SALES_GROWTH","FY 2018","FY 2018","Currency=INR","Period=FY","BEST_FPERIOD_OVERRIDE=FY","FILING_STATUS=OR","EQY_CONSOLIDATED=Y","FA_ADJUSTED=GAAP","Sort=A","Dates=H","DateFormat=P","Fill=—","Direction=H","UseDPDF=Y")</f>
        <v>#NAME?</v>
      </c>
      <c r="U373" s="2" t="e">
        <f ca="1">_xll.BDH($C$353,"EBITDA_GROWTH","FY 2018","FY 2018","Currency=INR","Period=FY","BEST_FPERIOD_OVERRIDE=FY","FILING_STATUS=OR","EQY_CONSOLIDATED=Y","FA_ADJUSTED=GAAP","Sort=A","Dates=H","DateFormat=P","Fill=—","Direction=H","UseDPDF=Y")</f>
        <v>#NAME?</v>
      </c>
      <c r="V373" s="2" t="e">
        <f ca="1">_xll.BDH($C$353,"OPER_INC_GROWTH","FY 2018","FY 2018","Currency=INR","Period=FY","BEST_FPERIOD_OVERRIDE=FY","FILING_STATUS=OR","EQY_CONSOLIDATED=Y","FA_ADJUSTED=GAAP","Sort=A","Dates=H","DateFormat=P","Fill=—","Direction=H","UseDPDF=Y")</f>
        <v>#NAME?</v>
      </c>
      <c r="W373" s="2" t="e">
        <f ca="1">_xll.BDH($C$353,"EARN_FOR_COM_GROWTH","FY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373" s="2" t="e">
        <f ca="1">_xll.BDH($C$353,"DILUTED_EPS_AFT_XO_ITEMS_GROWTH","FY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373" s="2" t="e">
        <f ca="1">_xll.BDH($C$353,"DIVIDEND_PER_SHARE_1_YEAR_GROWTH","FY 2018","FY 2018","Currency=INR","Period=FY","BEST_FPERIOD_OVERRIDE=FY","FILING_STATUS=OR","EQY_CONSOLIDATED=Y","Sort=A","Dates=H","DateFormat=P","Fill=—","Direction=H","UseDPDF=Y")</f>
        <v>#NAME?</v>
      </c>
      <c r="Z373" s="2" t="e">
        <f ca="1">_xll.BDH($C$353,"ACCOUNTS_RECEIVABLE_GROWTH","FY 2018","FY 2018","Currency=INR","Period=FY","BEST_FPERIOD_OVERRIDE=FY","FILING_STATUS=OR","EQY_CONSOLIDATED=Y","Sort=A","Dates=H","DateFormat=P","Fill=—","Direction=H","UseDPDF=Y")</f>
        <v>#NAME?</v>
      </c>
      <c r="AA373" s="2" t="e">
        <f ca="1">_xll.BDH($C$353,"INVENTORY_GROWTH","FY 2018","FY 2018","Currency=INR","Period=FY","BEST_FPERIOD_OVERRIDE=FY","FILING_STATUS=OR","EQY_CONSOLIDATED=Y","Sort=A","Dates=H","DateFormat=P","Fill=—","Direction=H","UseDPDF=Y")</f>
        <v>#NAME?</v>
      </c>
      <c r="AB373" s="2" t="e">
        <f ca="1">_xll.BDH($C$353,"NET_FIXED_ASSETS_1_YEAR_GROWTH","FY 2018","FY 2018","Currency=INR","Period=FY","BEST_FPERIOD_OVERRIDE=FY","FILING_STATUS=OR","EQY_CONSOLIDATED=Y","Sort=A","Dates=H","DateFormat=P","Fill=—","Direction=H","UseDPDF=Y")</f>
        <v>#NAME?</v>
      </c>
      <c r="AC373" s="2" t="e">
        <f ca="1">_xll.BDH($C$353,"ASSET_GROWTH","FY 2018","FY 2018","Currency=INR","Period=FY","BEST_FPERIOD_OVERRIDE=FY","FILING_STATUS=OR","EQY_CONSOLIDATED=Y","Sort=A","Dates=H","DateFormat=P","Fill=—","Direction=H","UseDPDF=Y")</f>
        <v>#NAME?</v>
      </c>
      <c r="AD373" s="2" t="e">
        <f ca="1">_xll.BDH($C$353,"MODIFIED_WORK_CAP_GROWTH","FY 2018","FY 2018","Currency=INR","Period=FY","BEST_FPERIOD_OVERRIDE=FY","FILING_STATUS=OR","EQY_CONSOLIDATED=Y","Sort=A","Dates=H","DateFormat=P","Fill=—","Direction=H","UseDPDF=Y")</f>
        <v>#NAME?</v>
      </c>
      <c r="AE373" s="2" t="e">
        <f ca="1">_xll.BDH($C$353,"WORK_CAP_GROWTH","FY 2018","FY 2018","Currency=INR","Period=FY","BEST_FPERIOD_OVERRIDE=FY","FILING_STATUS=OR","EQY_CONSOLIDATED=Y","Sort=A","Dates=H","DateFormat=P","Fill=—","Direction=H","UseDPDF=Y")</f>
        <v>#NAME?</v>
      </c>
      <c r="AF373" s="2" t="e">
        <f ca="1">_xll.BDH($C$353,"ACCOUNTS_PAYABLE_GROWTH_1YR","FY 2018","FY 2018","Currency=INR","Period=FY","BEST_FPERIOD_OVERRIDE=FY","FILING_STATUS=OR","EQY_CONSOLIDATED=Y","Sort=A","Dates=H","DateFormat=P","Fill=—","Direction=H","UseDPDF=Y")</f>
        <v>#NAME?</v>
      </c>
      <c r="AG373" s="2" t="e">
        <f ca="1">_xll.BDH($C$353,"SHORT_TERM_DEBT_1_YEAR_GROWTH","FY 2018","FY 2018","Currency=INR","Period=FY","BEST_FPERIOD_OVERRIDE=FY","FILING_STATUS=OR","EQY_CONSOLIDATED=Y","Sort=A","Dates=H","DateFormat=P","Fill=—","Direction=H","UseDPDF=Y")</f>
        <v>#NAME?</v>
      </c>
      <c r="AH373" s="2" t="e">
        <f ca="1">_xll.BDH($C$353,"TOTAL_DEBT_1_YEAR_GROWTH","FY 2018","FY 2018","Currency=INR","Period=FY","BEST_FPERIOD_OVERRIDE=FY","FILING_STATUS=OR","EQY_CONSOLIDATED=Y","Sort=A","Dates=H","DateFormat=P","Fill=—","Direction=H","UseDPDF=Y")</f>
        <v>#NAME?</v>
      </c>
      <c r="AI373" s="2" t="e">
        <f ca="1">_xll.BDH($C$353,"TOTAL_EQUITY_1_YEAR_GROWTH","FY 2018","FY 2018","Currency=INR","Period=FY","BEST_FPERIOD_OVERRIDE=FY","FILING_STATUS=OR","EQY_CONSOLIDATED=Y","Sort=A","Dates=H","DateFormat=P","Fill=—","Direction=H","UseDPDF=Y")</f>
        <v>#NAME?</v>
      </c>
      <c r="AJ373" s="2" t="e">
        <f ca="1">_xll.BDH($C$353,"GROWTH_IN_CAP","FY 2018","FY 2018","Currency=INR","Period=FY","BEST_FPERIOD_OVERRIDE=FY","FILING_STATUS=OR","EQY_CONSOLIDATED=Y","Sort=A","Dates=H","DateFormat=P","Fill=—","Direction=H","UseDPDF=Y")</f>
        <v>#NAME?</v>
      </c>
      <c r="AK373" s="2" t="e">
        <f ca="1">_xll.BDH($C$353,"BVPS_GROWTH","FY 2018","FY 2018","Currency=INR","Period=FY","BEST_FPERIOD_OVERRIDE=FY","FILING_STATUS=OR","EQY_CONSOLIDATED=Y","Sort=A","Dates=H","DateFormat=P","Fill=—","Direction=H","UseDPDF=Y")</f>
        <v>#NAME?</v>
      </c>
      <c r="AL373" s="2" t="e">
        <f ca="1">_xll.BDH($C$353,"CASH_FLOW_GROWTH","FY 2018","FY 2018","Currency=INR","Period=FY","BEST_FPERIOD_OVERRIDE=FY","FILING_STATUS=OR","EQY_CONSOLIDATED=Y","Sort=A","Dates=H","DateFormat=P","Fill=—","Direction=H","UseDPDF=Y")</f>
        <v>#NAME?</v>
      </c>
      <c r="AM373" s="2" t="e">
        <f ca="1">_xll.BDH($C$353,"GEO_GROW_NET_SALES","FY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373" s="2" t="e">
        <f ca="1">_xll.BDH($C$353,"GEO_GROW_EBITDA","FY 2018","FY 2018","Currency=INR","Period=FY","BEST_FPERIOD_OVERRIDE=FY","FILING_STATUS=OR","EQY_CONSOLIDATED=Y","FA_ADJUSTED=GAAP","Sort=A","Dates=H","DateFormat=P","Fill=—","Direction=H","UseDPDF=Y")</f>
        <v>#NAME?</v>
      </c>
      <c r="AO373" s="2" t="e">
        <f ca="1">_xll.BDH($C$353,"GEO_GROW_OPER_INC","FY 2018","FY 2018","Currency=INR","Period=FY","BEST_FPERIOD_OVERRIDE=FY","FILING_STATUS=OR","EQY_CONSOLIDATED=Y","FA_ADJUSTED=GAAP","Sort=A","Dates=H","DateFormat=P","Fill=—","Direction=H","UseDPDF=Y")</f>
        <v>#NAME?</v>
      </c>
      <c r="AP373" s="2" t="e">
        <f ca="1">_xll.BDH($C$353,"NET_INCOME_TO_COMMON_5_YR_GROWTH","FY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373" s="2" t="e">
        <f ca="1">_xll.BDH($C$353,"5Y_GEO_GROWTH_DILUTED_EPS","FY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373" s="2" t="e">
        <f ca="1">_xll.BDH($C$353,"GEO_GROW_DVD_PER_SH","FY 2018","FY 2018","Currency=INR","Period=FY","BEST_FPERIOD_OVERRIDE=FY","FILING_STATUS=OR","EQY_CONSOLIDATED=Y","Sort=A","Dates=H","DateFormat=P","Fill=—","Direction=H","UseDPDF=Y")</f>
        <v>#NAME?</v>
      </c>
      <c r="AS373" s="2" t="e">
        <f ca="1">_xll.BDH($C$353,"ACCOUNTS_RECEIVABLE_5_YR_GROWTH","FY 2018","FY 2018","Currency=INR","Period=FY","BEST_FPERIOD_OVERRIDE=FY","FILING_STATUS=OR","EQY_CONSOLIDATED=Y","Sort=A","Dates=H","DateFormat=P","Fill=—","Direction=H","UseDPDF=Y")</f>
        <v>#NAME?</v>
      </c>
      <c r="AT373" s="2" t="e">
        <f ca="1">_xll.BDH($C$353,"INVENTORY_5_YEAR_GROWTH","FY 2018","FY 2018","Currency=INR","Period=FY","BEST_FPERIOD_OVERRIDE=FY","FILING_STATUS=OR","EQY_CONSOLIDATED=Y","Sort=A","Dates=H","DateFormat=P","Fill=—","Direction=H","UseDPDF=Y")</f>
        <v>#NAME?</v>
      </c>
      <c r="AU373" s="2" t="e">
        <f ca="1">_xll.BDH($C$353,"NET_FIXED_ASSETS_5_YEAR_GROWTH","FY 2018","FY 2018","Currency=INR","Period=FY","BEST_FPERIOD_OVERRIDE=FY","FILING_STATUS=OR","EQY_CONSOLIDATED=Y","Sort=A","Dates=H","DateFormat=P","Fill=—","Direction=H","UseDPDF=Y")</f>
        <v>#NAME?</v>
      </c>
      <c r="AV373" s="2" t="e">
        <f ca="1">_xll.BDH($C$353,"GEO_GROW_TOT_ASSET","FY 2018","FY 2018","Currency=INR","Period=FY","BEST_FPERIOD_OVERRIDE=FY","FILING_STATUS=OR","EQY_CONSOLIDATED=Y","Sort=A","Dates=H","DateFormat=P","Fill=—","Direction=H","UseDPDF=Y")</f>
        <v>#NAME?</v>
      </c>
      <c r="AW373" s="2" t="e">
        <f ca="1">_xll.BDH($C$353,"MODIFIED_WORKING_CPTL_5YR_GRWTH","FY 2018","FY 2018","Currency=INR","Period=FY","BEST_FPERIOD_OVERRIDE=FY","FILING_STATUS=OR","EQY_CONSOLIDATED=Y","Sort=A","Dates=H","DateFormat=P","Fill=—","Direction=H","UseDPDF=Y")</f>
        <v>#NAME?</v>
      </c>
      <c r="AX373" s="2" t="e">
        <f ca="1">_xll.BDH($C$353,"WORKING_CAPITAL_5_YEAR_GROWTH","FY 2018","FY 2018","Currency=INR","Period=FY","BEST_FPERIOD_OVERRIDE=FY","FILING_STATUS=OR","EQY_CONSOLIDATED=Y","Sort=A","Dates=H","DateFormat=P","Fill=—","Direction=H","UseDPDF=Y")</f>
        <v>#NAME?</v>
      </c>
      <c r="AY373" s="2" t="e">
        <f ca="1">_xll.BDH($C$353,"ACCOUNTS_PAYABLE_5_YEAR_GROWTH","FY 2018","FY 2018","Currency=INR","Period=FY","BEST_FPERIOD_OVERRIDE=FY","FILING_STATUS=OR","EQY_CONSOLIDATED=Y","Sort=A","Dates=H","DateFormat=P","Fill=—","Direction=H","UseDPDF=Y")</f>
        <v>#NAME?</v>
      </c>
      <c r="AZ373" s="2" t="e">
        <f ca="1">_xll.BDH($C$353,"SHORT_TERM_DEBT_5_YEAR_GROWTH","FY 2018","FY 2018","Currency=INR","Period=FY","BEST_FPERIOD_OVERRIDE=FY","FILING_STATUS=OR","EQY_CONSOLIDATED=Y","Sort=A","Dates=H","DateFormat=P","Fill=—","Direction=H","UseDPDF=Y")</f>
        <v>#NAME?</v>
      </c>
      <c r="BA373" s="2" t="e">
        <f ca="1">_xll.BDH($C$353,"TOTAL_DEBT_5_YEAR_GROWTH","FY 2018","FY 2018","Currency=INR","Period=FY","BEST_FPERIOD_OVERRIDE=FY","FILING_STATUS=OR","EQY_CONSOLIDATED=Y","Sort=A","Dates=H","DateFormat=P","Fill=—","Direction=H","UseDPDF=Y")</f>
        <v>#NAME?</v>
      </c>
      <c r="BB373" s="2" t="e">
        <f ca="1">_xll.BDH($C$353,"GEO_GROW_TOT_SHRHLDR_EQY","FY 2018","FY 2018","Currency=INR","Period=FY","BEST_FPERIOD_OVERRIDE=FY","FILING_STATUS=OR","EQY_CONSOLIDATED=Y","Sort=A","Dates=H","DateFormat=P","Fill=—","Direction=H","UseDPDF=Y")</f>
        <v>#NAME?</v>
      </c>
      <c r="BC373" s="2" t="e">
        <f ca="1">_xll.BDH($C$353,"TOTAL_CAPITAL_5_YEAR_GROWTH","FY 2018","FY 2018","Currency=INR","Period=FY","BEST_FPERIOD_OVERRIDE=FY","FILING_STATUS=OR","EQY_CONSOLIDATED=Y","Sort=A","Dates=H","DateFormat=P","Fill=—","Direction=H","UseDPDF=Y")</f>
        <v>#NAME?</v>
      </c>
      <c r="BD373" s="2" t="e">
        <f ca="1">_xll.BDH($C$353,"GEO_GROW_BOOK_VAL","FY 2018","FY 2018","Currency=INR","Period=FY","BEST_FPERIOD_OVERRIDE=FY","FILING_STATUS=OR","EQY_CONSOLIDATED=Y","Sort=A","Dates=H","DateFormat=P","Fill=—","Direction=H","UseDPDF=Y")</f>
        <v>#NAME?</v>
      </c>
      <c r="BE373" s="2" t="e">
        <f ca="1">_xll.BDH($C$353,"GEO_GROW_CASH_OPER_ACT","FY 2018","FY 2018","Currency=INR","Period=FY","BEST_FPERIOD_OVERRIDE=FY","FILING_STATUS=OR","EQY_CONSOLIDATED=Y","Sort=A","Dates=H","DateFormat=P","Fill=—","Direction=H","UseDPDF=Y")</f>
        <v>#NAME?</v>
      </c>
      <c r="BF373" s="2" t="e">
        <f ca="1">_xll.BDH($C$353,"REVENUE_SEQUENTIAL_GROWTH","FY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373" s="2" t="e">
        <f ca="1">_xll.BDH($C$353,"EBITDA_SEQUENTIAL_GROWTH","FY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373" s="2" t="e">
        <f ca="1">_xll.BDH($C$353,"OPERATING_INCOME_SEQ_GROWTH","FY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373" s="2" t="e">
        <f ca="1">_xll.BDH($C$353,"NET_INCOME_TO_COMMON_SEQ_GROWTH","FY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373" s="2" t="e">
        <f ca="1">_xll.BDH($C$353,"EPS_DILUTED_SEQUENTIAL_GROWTH","FY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373" s="2" t="e">
        <f ca="1">_xll.BDH($C$353,"DPS_SEQUENTIAL_GROWTH","FY 2018","FY 2018","Currency=INR","Period=FY","BEST_FPERIOD_OVERRIDE=FY","FILING_STATUS=OR","EQY_CONSOLIDATED=Y","Sort=A","Dates=H","DateFormat=P","Fill=—","Direction=H","UseDPDF=Y")</f>
        <v>#NAME?</v>
      </c>
      <c r="BL373" s="2" t="e">
        <f ca="1">_xll.BDH($C$353,"ACCOUNTS_RECEIVABLE_SEQ_GROWTH","FY 2018","FY 2018","Currency=INR","Period=FY","BEST_FPERIOD_OVERRIDE=FY","FILING_STATUS=OR","EQY_CONSOLIDATED=Y","Sort=A","Dates=H","DateFormat=P","Fill=—","Direction=H","UseDPDF=Y")</f>
        <v>#NAME?</v>
      </c>
      <c r="BM373" s="2" t="e">
        <f ca="1">_xll.BDH($C$353,"INVENTORY_SEQUENTIAL_GROWTH","FY 2018","FY 2018","Currency=INR","Period=FY","BEST_FPERIOD_OVERRIDE=FY","FILING_STATUS=OR","EQY_CONSOLIDATED=Y","Sort=A","Dates=H","DateFormat=P","Fill=—","Direction=H","UseDPDF=Y")</f>
        <v>#NAME?</v>
      </c>
      <c r="BN373" s="2" t="e">
        <f ca="1">_xll.BDH($C$353,"FIXED_ASSETS_SEQUENTIAL_GROWTH","FY 2018","FY 2018","Currency=INR","Period=FY","BEST_FPERIOD_OVERRIDE=FY","FILING_STATUS=OR","EQY_CONSOLIDATED=Y","Sort=A","Dates=H","DateFormat=P","Fill=—","Direction=H","UseDPDF=Y")</f>
        <v>#NAME?</v>
      </c>
      <c r="BO373" s="2" t="e">
        <f ca="1">_xll.BDH($C$353,"TOTAL_ASSETS_SEQUENTIAL_GROWTH","FY 2018","FY 2018","Currency=INR","Period=FY","BEST_FPERIOD_OVERRIDE=FY","FILING_STATUS=OR","EQY_CONSOLIDATED=Y","Sort=A","Dates=H","DateFormat=P","Fill=—","Direction=H","UseDPDF=Y")</f>
        <v>#NAME?</v>
      </c>
      <c r="BP373" s="2" t="e">
        <f ca="1">_xll.BDH($C$353,"MODIFIED_WORKING_CPTL_SEQ_GRWTH","FY 2018","FY 2018","Currency=INR","Period=FY","BEST_FPERIOD_OVERRIDE=FY","FILING_STATUS=OR","EQY_CONSOLIDATED=Y","Sort=A","Dates=H","DateFormat=P","Fill=—","Direction=H","UseDPDF=Y")</f>
        <v>#NAME?</v>
      </c>
      <c r="BQ373" s="2" t="e">
        <f ca="1">_xll.BDH($C$353,"WORKING_CAPITAL_SEQ_GROWTH","FY 2018","FY 2018","Currency=INR","Period=FY","BEST_FPERIOD_OVERRIDE=FY","FILING_STATUS=OR","EQY_CONSOLIDATED=Y","Sort=A","Dates=H","DateFormat=P","Fill=—","Direction=H","UseDPDF=Y")</f>
        <v>#NAME?</v>
      </c>
      <c r="BR373" s="2" t="e">
        <f ca="1">_xll.BDH($C$353,"ACCOUNTS_PAYABLE_SEQ_GROWTH","FY 2018","FY 2018","Currency=INR","Period=FY","BEST_FPERIOD_OVERRIDE=FY","FILING_STATUS=OR","EQY_CONSOLIDATED=Y","Sort=A","Dates=H","DateFormat=P","Fill=—","Direction=H","UseDPDF=Y")</f>
        <v>#NAME?</v>
      </c>
      <c r="BS373" s="2" t="e">
        <f ca="1">_xll.BDH($C$353,"ST_DEBT_SEQUENTIAL_GROWTH","FY 2018","FY 2018","Currency=INR","Period=FY","BEST_FPERIOD_OVERRIDE=FY","FILING_STATUS=OR","EQY_CONSOLIDATED=Y","Sort=A","Dates=H","DateFormat=P","Fill=—","Direction=H","UseDPDF=Y")</f>
        <v>#NAME?</v>
      </c>
      <c r="BT373" s="2" t="e">
        <f ca="1">_xll.BDH($C$353,"TOTAL_DEBT_SEQUENTIAL_GROWTH","FY 2018","FY 2018","Currency=INR","Period=FY","BEST_FPERIOD_OVERRIDE=FY","FILING_STATUS=OR","EQY_CONSOLIDATED=Y","Sort=A","Dates=H","DateFormat=P","Fill=—","Direction=H","UseDPDF=Y")</f>
        <v>#NAME?</v>
      </c>
      <c r="BU373" s="2" t="e">
        <f ca="1">_xll.BDH($C$353,"TOTAL_EQUITY_SEQUENTIAL_GROWTH","FY 2018","FY 2018","Currency=INR","Period=FY","BEST_FPERIOD_OVERRIDE=FY","FILING_STATUS=OR","EQY_CONSOLIDATED=Y","Sort=A","Dates=H","DateFormat=P","Fill=—","Direction=H","UseDPDF=Y")</f>
        <v>#NAME?</v>
      </c>
      <c r="BV373" s="2" t="e">
        <f ca="1">_xll.BDH($C$353,"TOTAL_CAPITAL_SEQUENTIAL_GROWTH","FY 2018","FY 2018","Currency=INR","Period=FY","BEST_FPERIOD_OVERRIDE=FY","FILING_STATUS=OR","EQY_CONSOLIDATED=Y","Sort=A","Dates=H","DateFormat=P","Fill=—","Direction=H","UseDPDF=Y")</f>
        <v>#NAME?</v>
      </c>
      <c r="BW373" s="2" t="e">
        <f ca="1">_xll.BDH($C$353,"BPS_SEQUENTIAL_GROWTH","FY 2018","FY 2018","Currency=INR","Period=FY","BEST_FPERIOD_OVERRIDE=FY","FILING_STATUS=OR","EQY_CONSOLIDATED=Y","Sort=A","Dates=H","DateFormat=P","Fill=—","Direction=H","UseDPDF=Y")</f>
        <v>#NAME?</v>
      </c>
      <c r="BX373" s="2" t="e">
        <f ca="1">_xll.BDH($C$353,"CFO_SEQUENTIAL_GROWTH","FY 2018","FY 2018","Currency=INR","Period=FY","BEST_FPERIOD_OVERRIDE=FY","FILING_STATUS=OR","EQY_CONSOLIDATED=Y","Sort=A","Dates=H","DateFormat=P","Fill=—","Direction=H","UseDPDF=Y")</f>
        <v>#NAME?</v>
      </c>
      <c r="BY373" s="3" t="e">
        <f ca="1">_xll.BDH($C$353,"SHORT_AND_LONG_TERM_DEBT","FY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373" s="3" t="e">
        <f ca="1">_xll.BDH($C$353,"BS_ST_BORROW","FY 2018","FY 2018","Currency=INR","Period=FY","BEST_FPERIOD_OVERRIDE=FY","FILING_STATUS=OR","EQY_CONSOLIDATED=Y","SCALING_FORMAT=MLN","Sort=A","Dates=H","DateFormat=P","Fill=—","Direction=H","UseDPDF=Y")</f>
        <v>#NAME?</v>
      </c>
      <c r="CA373" s="3" t="e">
        <f ca="1">_xll.BDH($C$353,"BS_LT_BORROW","FY 2018","FY 2018","Currency=INR","Period=FY","BEST_FPERIOD_OVERRIDE=FY","FILING_STATUS=OR","EQY_CONSOLIDATED=Y","SCALING_FORMAT=MLN","Sort=A","Dates=H","DateFormat=P","Fill=—","Direction=H","UseDPDF=Y")</f>
        <v>#NAME?</v>
      </c>
      <c r="CB373" s="2" t="e">
        <f ca="1">_xll.BDH($C$353,"TOT_DEBT_TO_EBITDA","FY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373" s="2" t="e">
        <f ca="1">_xll.BDH($C$353,"NET_DEBT_TO_EBITDA","FY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373" s="2" t="e">
        <f ca="1">_xll.BDH($C$353,"TOTAL_DEBT_TO_EBIT","FY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373" s="2" t="e">
        <f ca="1">_xll.BDH($C$353,"NET_DEBT_TO_EBIT","FY 2018","FY 2018","Currency=INR","Period=FY","BEST_FPERIOD_OVERRIDE=FY","FILING_STATUS=OR","EQY_CONSOLIDATED=Y","FA_ADJUSTED=GAAP","Sort=A","Dates=H","DateFormat=P","Fill=—","Direction=H","UseDPDF=Y")</f>
        <v>#NAME?</v>
      </c>
      <c r="CF373" s="2" t="e">
        <f ca="1">_xll.BDH($C$353,"EBITDA_TO_INTEREST_EXPN","FY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373" s="2" t="e">
        <f ca="1">_xll.BDH($C$353,"COM_EQY_TO_TOT_ASSET","FY 2018","FY 2018","Currency=INR","Period=FY","BEST_FPERIOD_OVERRIDE=FY","FILING_STATUS=OR","EQY_CONSOLIDATED=Y","Sort=A","Dates=H","DateFormat=P","Fill=—","Direction=H","UseDPDF=Y")</f>
        <v>#NAME?</v>
      </c>
      <c r="CH373" s="2" t="e">
        <f ca="1">_xll.BDH($C$353,"LT_DEBT_TO_TOT_EQY","FY 2018","FY 2018","Currency=INR","Period=FY","BEST_FPERIOD_OVERRIDE=FY","FILING_STATUS=OR","EQY_CONSOLIDATED=Y","Sort=A","Dates=H","DateFormat=P","Fill=—","Direction=H","UseDPDF=Y")</f>
        <v>#NAME?</v>
      </c>
      <c r="CI373" s="2" t="e">
        <f ca="1">_xll.BDH($C$353,"LT_DEBT_TO_TOT_CAP","FY 2018","FY 2018","Currency=INR","Period=FY","BEST_FPERIOD_OVERRIDE=FY","FILING_STATUS=OR","EQY_CONSOLIDATED=Y","Sort=A","Dates=H","DateFormat=P","Fill=—","Direction=H","UseDPDF=Y")</f>
        <v>#NAME?</v>
      </c>
      <c r="CJ373" s="2" t="e">
        <f ca="1">_xll.BDH($C$353,"LT_DEBT_TO_TOT_ASSET","FY 2018","FY 2018","Currency=INR","Period=FY","BEST_FPERIOD_OVERRIDE=FY","FILING_STATUS=OR","EQY_CONSOLIDATED=Y","Sort=A","Dates=H","DateFormat=P","Fill=—","Direction=H","UseDPDF=Y")</f>
        <v>#NAME?</v>
      </c>
      <c r="CK373" s="2" t="e">
        <f ca="1">_xll.BDH($C$353,"TOT_DEBT_TO_TOT_EQY","FY 2018","FY 2018","Currency=INR","Period=FY","BEST_FPERIOD_OVERRIDE=FY","FILING_STATUS=OR","EQY_CONSOLIDATED=Y","Sort=A","Dates=H","DateFormat=P","Fill=—","Direction=H","UseDPDF=Y")</f>
        <v>#NAME?</v>
      </c>
      <c r="CL373" s="2" t="e">
        <f ca="1">_xll.BDH($C$353,"TOT_DEBT_TO_TOT_CAP","FY 2018","FY 2018","Currency=INR","Period=FY","BEST_FPERIOD_OVERRIDE=FY","FILING_STATUS=OR","EQY_CONSOLIDATED=Y","Sort=A","Dates=H","DateFormat=P","Fill=—","Direction=H","UseDPDF=Y")</f>
        <v>#NAME?</v>
      </c>
      <c r="CM373" s="2" t="e">
        <f ca="1">_xll.BDH($C$353,"TOT_DEBT_TO_TOT_ASSET","FY 2018","FY 2018","Currency=INR","Period=FY","BEST_FPERIOD_OVERRIDE=FY","FILING_STATUS=OR","EQY_CONSOLIDATED=Y","Sort=A","Dates=H","DateFormat=P","Fill=—","Direction=H","UseDPDF=Y")</f>
        <v>#NAME?</v>
      </c>
      <c r="CN373" s="2" t="e">
        <f ca="1">_xll.BDH($C$353,"NET_DEBT_TO_SHRHLDR_EQTY","FY 2018","FY 2018","Currency=INR","Period=FY","BEST_FPERIOD_OVERRIDE=FY","FILING_STATUS=OR","EQY_CONSOLIDATED=Y","Sort=A","Dates=H","DateFormat=P","Fill=—","Direction=H","UseDPDF=Y")</f>
        <v>#NAME?</v>
      </c>
      <c r="CO373" s="2" t="e">
        <f ca="1">_xll.BDH($C$353,"NET_DEBT_%_CAPITAL","FY 2018","FY 2018","Currency=INR","Period=FY","BEST_FPERIOD_OVERRIDE=FY","FILING_STATUS=OR","EQY_CONSOLIDATED=Y","Sort=A","Dates=H","DateFormat=P","Fill=—","Direction=H","UseDPDF=Y")</f>
        <v>#NAME?</v>
      </c>
      <c r="CP373" s="3" t="e">
        <f ca="1">_xll.BDH($C$353,"EBITDA","FY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373" s="3" t="e">
        <f ca="1">_xll.BDH($C$353,"EBITDA_AFTER_CAPEX","FY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373" s="3" t="e">
        <f ca="1">_xll.BDH($C$353,"IS_OPER_INC","FY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373" s="2" t="e">
        <f ca="1">_xll.BDH($C$353,"CASH_RATIO","FY 2018","FY 2018","Currency=INR","Period=FY","BEST_FPERIOD_OVERRIDE=FY","FILING_STATUS=OR","EQY_CONSOLIDATED=Y","Sort=A","Dates=H","DateFormat=P","Fill=—","Direction=H","UseDPDF=Y")</f>
        <v>#NAME?</v>
      </c>
      <c r="CT373" s="2" t="e">
        <f ca="1">_xll.BDH($C$353,"CUR_RATIO","FY 2018","FY 2018","Currency=INR","Period=FY","BEST_FPERIOD_OVERRIDE=FY","FILING_STATUS=OR","EQY_CONSOLIDATED=Y","Sort=A","Dates=H","DateFormat=P","Fill=—","Direction=H","UseDPDF=Y")</f>
        <v>#NAME?</v>
      </c>
      <c r="CU373" s="2" t="e">
        <f ca="1">_xll.BDH($C$353,"QUICK_RATIO","FY 2018","FY 2018","Currency=INR","Period=FY","BEST_FPERIOD_OVERRIDE=FY","FILING_STATUS=OR","EQY_CONSOLIDATED=Y","Sort=A","Dates=H","DateFormat=P","Fill=—","Direction=H","UseDPDF=Y")</f>
        <v>#NAME?</v>
      </c>
      <c r="CV373" s="2" t="e">
        <f ca="1">_xll.BDH($C$353,"ALTMAN_Z_SCORE","FY 2018","FY 2018","Currency=INR","Period=FY","BEST_FPERIOD_OVERRIDE=FY","FILING_STATUS=OR","EQY_CONSOLIDATED=Y","Sort=A","Dates=H","DateFormat=P","Fill=—","Direction=H","UseDPDF=Y")</f>
        <v>#NAME?</v>
      </c>
      <c r="CW373" s="4" t="e">
        <f ca="1">_xll.BDH($C$353,"ACCT_RCV_TURN","FY 2018","FY 2018","Currency=INR","Period=FY","BEST_FPERIOD_OVERRIDE=FY","FILING_STATUS=OR","EQY_CONSOLIDATED=Y","FA_ADJUSTED=GAAP","Sort=A","Dates=H","DateFormat=P","Fill=—","Direction=H","UseDPDF=Y")</f>
        <v>#NAME?</v>
      </c>
      <c r="CX373" s="2" t="e">
        <f ca="1">_xll.BDH($C$353,"ACCT_RCV_DAYS","FY 2018","FY 2018","Currency=INR","Period=FY","BEST_FPERIOD_OVERRIDE=FY","FILING_STATUS=OR","EQY_CONSOLIDATED=Y","FA_ADJUSTED=GAAP","Sort=A","Dates=H","DateFormat=P","Fill=—","Direction=H","UseDPDF=Y")</f>
        <v>#NAME?</v>
      </c>
      <c r="CY373" s="4" t="e">
        <f ca="1">_xll.BDH($C$353,"INVENT_TURN","FY 2018","FY 2018","Currency=INR","Period=FY","BEST_FPERIOD_OVERRIDE=FY","FILING_STATUS=OR","EQY_CONSOLIDATED=Y","FA_ADJUSTED=GAAP","Sort=A","Dates=H","DateFormat=P","Fill=—","Direction=H","UseDPDF=Y")</f>
        <v>#NAME?</v>
      </c>
      <c r="CZ373" s="2" t="e">
        <f ca="1">_xll.BDH($C$353,"INVENT_DAYS","FY 2018","FY 2018","Currency=INR","Period=FY","BEST_FPERIOD_OVERRIDE=FY","FILING_STATUS=OR","EQY_CONSOLIDATED=Y","FA_ADJUSTED=GAAP","Sort=A","Dates=H","DateFormat=P","Fill=—","Direction=H","UseDPDF=Y")</f>
        <v>#NAME?</v>
      </c>
      <c r="DA373" s="4" t="e">
        <f ca="1">_xll.BDH($C$353,"ACCOUNTS_PAYABLE_TURNOVER","FY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373" s="2" t="e">
        <f ca="1">_xll.BDH($C$353,"ACCOUNTS_PAYABLE_TURNOVER_DAYS","FY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373" s="4" t="e">
        <f ca="1">_xll.BDH($C$353,"CASH_CONVERSION_CYCLE","FY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373" s="4" t="e">
        <f ca="1">_xll.BDH($C$353,"INV_TO_CASH_DAYS","FY 2018","FY 2018","Currency=INR","Period=FY","BEST_FPERIOD_OVERRIDE=FY","FILING_STATUS=OR","EQY_CONSOLIDATED=Y","FA_ADJUSTED=GAAP","Sort=A","Dates=H","DateFormat=P","Fill=—","Direction=H","UseDPDF=Y")</f>
        <v>#NAME?</v>
      </c>
      <c r="DE373" s="5" t="e">
        <f ca="1">_xll.BDH($C$353,"BS_INVENTORIES","FY 2018","FY 2018","Currency=INR","Period=FY","BEST_FPERIOD_OVERRIDE=FY","FILING_STATUS=OR","EQY_CONSOLIDATED=Y","SCALING_FORMAT=MLN","Sort=A","Dates=H","DateFormat=P","Fill=—","Direction=H","UseDPDF=Y")</f>
        <v>#NAME?</v>
      </c>
      <c r="DF373" s="3" t="e">
        <f ca="1">_xll.BDH($C$353,"INVTRY_RAW_MATERIALS","FY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373" s="3" t="e">
        <f ca="1">_xll.BDH($C$353,"INVTRY_IN_PROGRESS","FY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373" s="3" t="e">
        <f ca="1">_xll.BDH($C$353,"INVTRY_FINISHED_GOODS","FY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373" s="3" t="e">
        <f ca="1">_xll.BDH($C$353,"BS_OTHER_INV","FY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374" spans="1:113" x14ac:dyDescent="0.3">
      <c r="A374" s="6"/>
      <c r="B374" s="6"/>
      <c r="C374" s="6"/>
      <c r="D374" s="6"/>
      <c r="E374" t="s">
        <v>78</v>
      </c>
      <c r="F374" t="e">
        <f ca="1">_xll.BDH($C$353,"RETURN_COM_EQY","FQ1 2018","FQ1 2018","Currency=INR","Period=FQ","BEST_FPERIOD_OVERRIDE=FQ","FILING_STATUS=OR","EQY_CONSOLIDATED=Y","FA_ADJUSTED=GAAP","Sort=A","Dates=H","DateFormat=P","Fill=—","Direction=H","UseDPDF=Y")</f>
        <v>#NAME?</v>
      </c>
      <c r="G374" t="e">
        <f ca="1">_xll.BDH($C$353,"RETURN_ON_ASSET","FQ1 2018","FQ1 2018","Currency=INR","Period=FQ","BEST_FPERIOD_OVERRIDE=FQ","FILING_STATUS=OR","EQY_CONSOLIDATED=Y","FA_ADJUSTED=GAAP","Sort=A","Dates=H","DateFormat=P","Fill=—","Direction=H","UseDPDF=Y")</f>
        <v>#NAME?</v>
      </c>
      <c r="H374" t="e">
        <f ca="1">_xll.BDH($C$353,"RETURN_ON_CAP","FQ1 2018","FQ1 2018","Currency=INR","Period=FQ","BEST_FPERIOD_OVERRIDE=FQ","FILING_STATUS=OR","EQY_CONSOLIDATED=Y","FA_ADJUSTED=GAAP","Sort=A","Dates=H","DateFormat=P","Fill=—","Direction=H","UseDPDF=Y")</f>
        <v>#NAME?</v>
      </c>
      <c r="I374" t="e">
        <f ca="1">_xll.BDH($C$353,"RETURN_ON_INV_CAPITAL","FQ1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374" t="e">
        <f ca="1">_xll.BDH($C$353,"EBITDA_TO_REVENUE","FQ1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374" t="e">
        <f ca="1">_xll.BDH($C$353,"OPER_MARGIN","FQ1 2018","FQ1 2018","Currency=INR","Period=FQ","BEST_FPERIOD_OVERRIDE=FQ","FILING_STATUS=OR","EQY_CONSOLIDATED=Y","FA_ADJUSTED=GAAP","Sort=A","Dates=H","DateFormat=P","Fill=—","Direction=H","UseDPDF=Y")</f>
        <v>#NAME?</v>
      </c>
      <c r="L374" t="e">
        <f ca="1">_xll.BDH($C$353,"INCREMENTAL_OPERATING_MARGIN","FQ1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374" t="e">
        <f ca="1">_xll.BDH($C$353,"PRETAX_INC_TO_NET_SALES","FQ1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374" t="e">
        <f ca="1">_xll.BDH($C$353,"INC_BEF_XO_ITEMS_TO_NET_SALES","FQ1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374" t="e">
        <f ca="1">_xll.BDH($C$353,"PROF_MARGIN","FQ1 2018","FQ1 2018","Currency=INR","Period=FQ","BEST_FPERIOD_OVERRIDE=FQ","FILING_STATUS=OR","EQY_CONSOLIDATED=Y","FA_ADJUSTED=GAAP","Sort=A","Dates=H","DateFormat=P","Fill=—","Direction=H","UseDPDF=Y")</f>
        <v>#NAME?</v>
      </c>
      <c r="P374" t="e">
        <f ca="1">_xll.BDH($C$353,"NET_INCOME_TO_COMMON_MARGIN","FQ1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374" t="e">
        <f ca="1">_xll.BDH($C$353,"EFF_TAX_RATE","FQ1 2018","FQ1 2018","Currency=INR","Period=FQ","BEST_FPERIOD_OVERRIDE=FQ","FILING_STATUS=OR","EQY_CONSOLIDATED=Y","FA_ADJUSTED=GAAP","Sort=A","Dates=H","DateFormat=P","Fill=—","Direction=H","UseDPDF=Y")</f>
        <v>#NAME?</v>
      </c>
      <c r="R374" t="e">
        <f ca="1">_xll.BDH($C$353,"DVD_PAYOUT_RATIO","FQ1 2018","FQ1 2018","Currency=INR","Period=FQ","BEST_FPERIOD_OVERRIDE=FQ","FILING_STATUS=OR","EQY_CONSOLIDATED=Y","FA_ADJUSTED=GAAP","Sort=A","Dates=H","DateFormat=P","Fill=—","Direction=H","UseDPDF=Y")</f>
        <v>#NAME?</v>
      </c>
      <c r="S374" t="e">
        <f ca="1">_xll.BDH($C$353,"SUSTAIN_GROWTH_RT","FQ1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374" s="2" t="e">
        <f ca="1">_xll.BDH($C$353,"SALES_GROWTH","FQ1 2018","FQ1 2018","Currency=INR","Period=FQ","BEST_FPERIOD_OVERRIDE=FQ","FILING_STATUS=OR","EQY_CONSOLIDATED=Y","FA_ADJUSTED=GAAP","Sort=A","Dates=H","DateFormat=P","Fill=—","Direction=H","UseDPDF=Y")</f>
        <v>#NAME?</v>
      </c>
      <c r="U374" s="2" t="e">
        <f ca="1">_xll.BDH($C$353,"EBITDA_GROWTH","FQ1 2018","FQ1 2018","Currency=INR","Period=FQ","BEST_FPERIOD_OVERRIDE=FQ","FILING_STATUS=OR","EQY_CONSOLIDATED=Y","FA_ADJUSTED=GAAP","Sort=A","Dates=H","DateFormat=P","Fill=—","Direction=H","UseDPDF=Y")</f>
        <v>#NAME?</v>
      </c>
      <c r="V374" s="2" t="e">
        <f ca="1">_xll.BDH($C$353,"OPER_INC_GROWTH","FQ1 2018","FQ1 2018","Currency=INR","Period=FQ","BEST_FPERIOD_OVERRIDE=FQ","FILING_STATUS=OR","EQY_CONSOLIDATED=Y","FA_ADJUSTED=GAAP","Sort=A","Dates=H","DateFormat=P","Fill=—","Direction=H","UseDPDF=Y")</f>
        <v>#NAME?</v>
      </c>
      <c r="W374" s="2" t="e">
        <f ca="1">_xll.BDH($C$353,"EARN_FOR_COM_GROWTH","FQ1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374" s="2" t="e">
        <f ca="1">_xll.BDH($C$353,"DILUTED_EPS_AFT_XO_ITEMS_GROWTH","FQ1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374" s="2" t="e">
        <f ca="1">_xll.BDH($C$353,"DIVIDEND_PER_SHARE_1_YEAR_GROWTH","FQ1 2018","FQ1 2018","Currency=INR","Period=FQ","BEST_FPERIOD_OVERRIDE=FQ","FILING_STATUS=OR","EQY_CONSOLIDATED=Y","Sort=A","Dates=H","DateFormat=P","Fill=—","Direction=H","UseDPDF=Y")</f>
        <v>#NAME?</v>
      </c>
      <c r="Z374" s="2" t="e">
        <f ca="1">_xll.BDH($C$353,"ACCOUNTS_RECEIVABLE_GROWTH","FQ1 2018","FQ1 2018","Currency=INR","Period=FQ","BEST_FPERIOD_OVERRIDE=FQ","FILING_STATUS=OR","EQY_CONSOLIDATED=Y","Sort=A","Dates=H","DateFormat=P","Fill=—","Direction=H","UseDPDF=Y")</f>
        <v>#NAME?</v>
      </c>
      <c r="AA374" s="2" t="e">
        <f ca="1">_xll.BDH($C$353,"INVENTORY_GROWTH","FQ1 2018","FQ1 2018","Currency=INR","Period=FQ","BEST_FPERIOD_OVERRIDE=FQ","FILING_STATUS=OR","EQY_CONSOLIDATED=Y","Sort=A","Dates=H","DateFormat=P","Fill=—","Direction=H","UseDPDF=Y")</f>
        <v>#NAME?</v>
      </c>
      <c r="AB374" s="2" t="e">
        <f ca="1">_xll.BDH($C$353,"NET_FIXED_ASSETS_1_YEAR_GROWTH","FQ1 2018","FQ1 2018","Currency=INR","Period=FQ","BEST_FPERIOD_OVERRIDE=FQ","FILING_STATUS=OR","EQY_CONSOLIDATED=Y","Sort=A","Dates=H","DateFormat=P","Fill=—","Direction=H","UseDPDF=Y")</f>
        <v>#NAME?</v>
      </c>
      <c r="AC374" s="2" t="e">
        <f ca="1">_xll.BDH($C$353,"ASSET_GROWTH","FQ1 2018","FQ1 2018","Currency=INR","Period=FQ","BEST_FPERIOD_OVERRIDE=FQ","FILING_STATUS=OR","EQY_CONSOLIDATED=Y","Sort=A","Dates=H","DateFormat=P","Fill=—","Direction=H","UseDPDF=Y")</f>
        <v>#NAME?</v>
      </c>
      <c r="AD374" s="2" t="e">
        <f ca="1">_xll.BDH($C$353,"MODIFIED_WORK_CAP_GROWTH","FQ1 2018","FQ1 2018","Currency=INR","Period=FQ","BEST_FPERIOD_OVERRIDE=FQ","FILING_STATUS=OR","EQY_CONSOLIDATED=Y","Sort=A","Dates=H","DateFormat=P","Fill=—","Direction=H","UseDPDF=Y")</f>
        <v>#NAME?</v>
      </c>
      <c r="AE374" s="2" t="e">
        <f ca="1">_xll.BDH($C$353,"WORK_CAP_GROWTH","FQ1 2018","FQ1 2018","Currency=INR","Period=FQ","BEST_FPERIOD_OVERRIDE=FQ","FILING_STATUS=OR","EQY_CONSOLIDATED=Y","Sort=A","Dates=H","DateFormat=P","Fill=—","Direction=H","UseDPDF=Y")</f>
        <v>#NAME?</v>
      </c>
      <c r="AF374" s="2" t="e">
        <f ca="1">_xll.BDH($C$353,"ACCOUNTS_PAYABLE_GROWTH_1YR","FQ1 2018","FQ1 2018","Currency=INR","Period=FQ","BEST_FPERIOD_OVERRIDE=FQ","FILING_STATUS=OR","EQY_CONSOLIDATED=Y","Sort=A","Dates=H","DateFormat=P","Fill=—","Direction=H","UseDPDF=Y")</f>
        <v>#NAME?</v>
      </c>
      <c r="AG374" s="2" t="e">
        <f ca="1">_xll.BDH($C$353,"SHORT_TERM_DEBT_1_YEAR_GROWTH","FQ1 2018","FQ1 2018","Currency=INR","Period=FQ","BEST_FPERIOD_OVERRIDE=FQ","FILING_STATUS=OR","EQY_CONSOLIDATED=Y","Sort=A","Dates=H","DateFormat=P","Fill=—","Direction=H","UseDPDF=Y")</f>
        <v>#NAME?</v>
      </c>
      <c r="AH374" s="2" t="e">
        <f ca="1">_xll.BDH($C$353,"TOTAL_DEBT_1_YEAR_GROWTH","FQ1 2018","FQ1 2018","Currency=INR","Period=FQ","BEST_FPERIOD_OVERRIDE=FQ","FILING_STATUS=OR","EQY_CONSOLIDATED=Y","Sort=A","Dates=H","DateFormat=P","Fill=—","Direction=H","UseDPDF=Y")</f>
        <v>#NAME?</v>
      </c>
      <c r="AI374" s="2" t="e">
        <f ca="1">_xll.BDH($C$353,"TOTAL_EQUITY_1_YEAR_GROWTH","FQ1 2018","FQ1 2018","Currency=INR","Period=FQ","BEST_FPERIOD_OVERRIDE=FQ","FILING_STATUS=OR","EQY_CONSOLIDATED=Y","Sort=A","Dates=H","DateFormat=P","Fill=—","Direction=H","UseDPDF=Y")</f>
        <v>#NAME?</v>
      </c>
      <c r="AJ374" s="2" t="e">
        <f ca="1">_xll.BDH($C$353,"GROWTH_IN_CAP","FQ1 2018","FQ1 2018","Currency=INR","Period=FQ","BEST_FPERIOD_OVERRIDE=FQ","FILING_STATUS=OR","EQY_CONSOLIDATED=Y","Sort=A","Dates=H","DateFormat=P","Fill=—","Direction=H","UseDPDF=Y")</f>
        <v>#NAME?</v>
      </c>
      <c r="AK374" s="2" t="e">
        <f ca="1">_xll.BDH($C$353,"BVPS_GROWTH","FQ1 2018","FQ1 2018","Currency=INR","Period=FQ","BEST_FPERIOD_OVERRIDE=FQ","FILING_STATUS=OR","EQY_CONSOLIDATED=Y","Sort=A","Dates=H","DateFormat=P","Fill=—","Direction=H","UseDPDF=Y")</f>
        <v>#NAME?</v>
      </c>
      <c r="AL374" s="2" t="e">
        <f ca="1">_xll.BDH($C$353,"CASH_FLOW_GROWTH","FQ1 2018","FQ1 2018","Currency=INR","Period=FQ","BEST_FPERIOD_OVERRIDE=FQ","FILING_STATUS=OR","EQY_CONSOLIDATED=Y","Sort=A","Dates=H","DateFormat=P","Fill=—","Direction=H","UseDPDF=Y")</f>
        <v>#NAME?</v>
      </c>
      <c r="AM374" s="2" t="e">
        <f ca="1">_xll.BDH($C$353,"GEO_GROW_NET_SALES","FQ1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374" s="2" t="e">
        <f ca="1">_xll.BDH($C$353,"GEO_GROW_EBITDA","FQ1 2018","FQ1 2018","Currency=INR","Period=FQ","BEST_FPERIOD_OVERRIDE=FQ","FILING_STATUS=OR","EQY_CONSOLIDATED=Y","FA_ADJUSTED=GAAP","Sort=A","Dates=H","DateFormat=P","Fill=—","Direction=H","UseDPDF=Y")</f>
        <v>#NAME?</v>
      </c>
      <c r="AO374" s="2" t="e">
        <f ca="1">_xll.BDH($C$353,"GEO_GROW_OPER_INC","FQ1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374" s="2" t="e">
        <f ca="1">_xll.BDH($C$353,"NET_INCOME_TO_COMMON_5_YR_GROWTH","FQ1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374" s="2" t="e">
        <f ca="1">_xll.BDH($C$353,"5Y_GEO_GROWTH_DILUTED_EPS","FQ1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374" s="2" t="e">
        <f ca="1">_xll.BDH($C$353,"GEO_GROW_DVD_PER_SH","FQ1 2018","FQ1 2018","Currency=INR","Period=FQ","BEST_FPERIOD_OVERRIDE=FQ","FILING_STATUS=OR","EQY_CONSOLIDATED=Y","Sort=A","Dates=H","DateFormat=P","Fill=—","Direction=H","UseDPDF=Y")</f>
        <v>#NAME?</v>
      </c>
      <c r="AS374" s="2" t="e">
        <f ca="1">_xll.BDH($C$353,"ACCOUNTS_RECEIVABLE_5_YR_GROWTH","FQ1 2018","FQ1 2018","Currency=INR","Period=FQ","BEST_FPERIOD_OVERRIDE=FQ","FILING_STATUS=OR","EQY_CONSOLIDATED=Y","Sort=A","Dates=H","DateFormat=P","Fill=—","Direction=H","UseDPDF=Y")</f>
        <v>#NAME?</v>
      </c>
      <c r="AT374" s="2" t="e">
        <f ca="1">_xll.BDH($C$353,"INVENTORY_5_YEAR_GROWTH","FQ1 2018","FQ1 2018","Currency=INR","Period=FQ","BEST_FPERIOD_OVERRIDE=FQ","FILING_STATUS=OR","EQY_CONSOLIDATED=Y","Sort=A","Dates=H","DateFormat=P","Fill=—","Direction=H","UseDPDF=Y")</f>
        <v>#NAME?</v>
      </c>
      <c r="AU374" s="2" t="e">
        <f ca="1">_xll.BDH($C$353,"NET_FIXED_ASSETS_5_YEAR_GROWTH","FQ1 2018","FQ1 2018","Currency=INR","Period=FQ","BEST_FPERIOD_OVERRIDE=FQ","FILING_STATUS=OR","EQY_CONSOLIDATED=Y","Sort=A","Dates=H","DateFormat=P","Fill=—","Direction=H","UseDPDF=Y")</f>
        <v>#NAME?</v>
      </c>
      <c r="AV374" s="2" t="e">
        <f ca="1">_xll.BDH($C$353,"GEO_GROW_TOT_ASSET","FQ1 2018","FQ1 2018","Currency=INR","Period=FQ","BEST_FPERIOD_OVERRIDE=FQ","FILING_STATUS=OR","EQY_CONSOLIDATED=Y","Sort=A","Dates=H","DateFormat=P","Fill=—","Direction=H","UseDPDF=Y")</f>
        <v>#NAME?</v>
      </c>
      <c r="AW374" s="2" t="e">
        <f ca="1">_xll.BDH($C$353,"MODIFIED_WORKING_CPTL_5YR_GRWTH","FQ1 2018","FQ1 2018","Currency=INR","Period=FQ","BEST_FPERIOD_OVERRIDE=FQ","FILING_STATUS=OR","EQY_CONSOLIDATED=Y","Sort=A","Dates=H","DateFormat=P","Fill=—","Direction=H","UseDPDF=Y")</f>
        <v>#NAME?</v>
      </c>
      <c r="AX374" s="2" t="e">
        <f ca="1">_xll.BDH($C$353,"WORKING_CAPITAL_5_YEAR_GROWTH","FQ1 2018","FQ1 2018","Currency=INR","Period=FQ","BEST_FPERIOD_OVERRIDE=FQ","FILING_STATUS=OR","EQY_CONSOLIDATED=Y","Sort=A","Dates=H","DateFormat=P","Fill=—","Direction=H","UseDPDF=Y")</f>
        <v>#NAME?</v>
      </c>
      <c r="AY374" s="2" t="e">
        <f ca="1">_xll.BDH($C$353,"ACCOUNTS_PAYABLE_5_YEAR_GROWTH","FQ1 2018","FQ1 2018","Currency=INR","Period=FQ","BEST_FPERIOD_OVERRIDE=FQ","FILING_STATUS=OR","EQY_CONSOLIDATED=Y","Sort=A","Dates=H","DateFormat=P","Fill=—","Direction=H","UseDPDF=Y")</f>
        <v>#NAME?</v>
      </c>
      <c r="AZ374" s="2" t="e">
        <f ca="1">_xll.BDH($C$353,"SHORT_TERM_DEBT_5_YEAR_GROWTH","FQ1 2018","FQ1 2018","Currency=INR","Period=FQ","BEST_FPERIOD_OVERRIDE=FQ","FILING_STATUS=OR","EQY_CONSOLIDATED=Y","Sort=A","Dates=H","DateFormat=P","Fill=—","Direction=H","UseDPDF=Y")</f>
        <v>#NAME?</v>
      </c>
      <c r="BA374" s="2" t="e">
        <f ca="1">_xll.BDH($C$353,"TOTAL_DEBT_5_YEAR_GROWTH","FQ1 2018","FQ1 2018","Currency=INR","Period=FQ","BEST_FPERIOD_OVERRIDE=FQ","FILING_STATUS=OR","EQY_CONSOLIDATED=Y","Sort=A","Dates=H","DateFormat=P","Fill=—","Direction=H","UseDPDF=Y")</f>
        <v>#NAME?</v>
      </c>
      <c r="BB374" s="2" t="e">
        <f ca="1">_xll.BDH($C$353,"GEO_GROW_TOT_SHRHLDR_EQY","FQ1 2018","FQ1 2018","Currency=INR","Period=FQ","BEST_FPERIOD_OVERRIDE=FQ","FILING_STATUS=OR","EQY_CONSOLIDATED=Y","Sort=A","Dates=H","DateFormat=P","Fill=—","Direction=H","UseDPDF=Y")</f>
        <v>#NAME?</v>
      </c>
      <c r="BC374" s="2" t="e">
        <f ca="1">_xll.BDH($C$353,"TOTAL_CAPITAL_5_YEAR_GROWTH","FQ1 2018","FQ1 2018","Currency=INR","Period=FQ","BEST_FPERIOD_OVERRIDE=FQ","FILING_STATUS=OR","EQY_CONSOLIDATED=Y","Sort=A","Dates=H","DateFormat=P","Fill=—","Direction=H","UseDPDF=Y")</f>
        <v>#NAME?</v>
      </c>
      <c r="BD374" s="2" t="e">
        <f ca="1">_xll.BDH($C$353,"GEO_GROW_BOOK_VAL","FQ1 2018","FQ1 2018","Currency=INR","Period=FQ","BEST_FPERIOD_OVERRIDE=FQ","FILING_STATUS=OR","EQY_CONSOLIDATED=Y","Sort=A","Dates=H","DateFormat=P","Fill=—","Direction=H","UseDPDF=Y")</f>
        <v>#NAME?</v>
      </c>
      <c r="BE374" s="2" t="e">
        <f ca="1">_xll.BDH($C$353,"GEO_GROW_CASH_OPER_ACT","FQ1 2018","FQ1 2018","Currency=INR","Period=FQ","BEST_FPERIOD_OVERRIDE=FQ","FILING_STATUS=OR","EQY_CONSOLIDATED=Y","Sort=A","Dates=H","DateFormat=P","Fill=—","Direction=H","UseDPDF=Y")</f>
        <v>#NAME?</v>
      </c>
      <c r="BF374" s="2" t="e">
        <f ca="1">_xll.BDH($C$353,"REVENUE_SEQUENTIAL_GROWTH","FQ1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374" s="2" t="e">
        <f ca="1">_xll.BDH($C$353,"EBITDA_SEQUENTIAL_GROWTH","FQ1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374" s="2" t="e">
        <f ca="1">_xll.BDH($C$353,"OPERATING_INCOME_SEQ_GROWTH","FQ1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374" s="2" t="e">
        <f ca="1">_xll.BDH($C$353,"NET_INCOME_TO_COMMON_SEQ_GROWTH","FQ1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374" s="2" t="e">
        <f ca="1">_xll.BDH($C$353,"EPS_DILUTED_SEQUENTIAL_GROWTH","FQ1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374" s="2" t="e">
        <f ca="1">_xll.BDH($C$353,"DPS_SEQUENTIAL_GROWTH","FQ1 2018","FQ1 2018","Currency=INR","Period=FQ","BEST_FPERIOD_OVERRIDE=FQ","FILING_STATUS=OR","EQY_CONSOLIDATED=Y","Sort=A","Dates=H","DateFormat=P","Fill=—","Direction=H","UseDPDF=Y")</f>
        <v>#NAME?</v>
      </c>
      <c r="BL374" s="2" t="e">
        <f ca="1">_xll.BDH($C$353,"ACCOUNTS_RECEIVABLE_SEQ_GROWTH","FQ1 2018","FQ1 2018","Currency=INR","Period=FQ","BEST_FPERIOD_OVERRIDE=FQ","FILING_STATUS=OR","EQY_CONSOLIDATED=Y","Sort=A","Dates=H","DateFormat=P","Fill=—","Direction=H","UseDPDF=Y")</f>
        <v>#NAME?</v>
      </c>
      <c r="BM374" s="2" t="e">
        <f ca="1">_xll.BDH($C$353,"INVENTORY_SEQUENTIAL_GROWTH","FQ1 2018","FQ1 2018","Currency=INR","Period=FQ","BEST_FPERIOD_OVERRIDE=FQ","FILING_STATUS=OR","EQY_CONSOLIDATED=Y","Sort=A","Dates=H","DateFormat=P","Fill=—","Direction=H","UseDPDF=Y")</f>
        <v>#NAME?</v>
      </c>
      <c r="BN374" s="2" t="e">
        <f ca="1">_xll.BDH($C$353,"FIXED_ASSETS_SEQUENTIAL_GROWTH","FQ1 2018","FQ1 2018","Currency=INR","Period=FQ","BEST_FPERIOD_OVERRIDE=FQ","FILING_STATUS=OR","EQY_CONSOLIDATED=Y","Sort=A","Dates=H","DateFormat=P","Fill=—","Direction=H","UseDPDF=Y")</f>
        <v>#NAME?</v>
      </c>
      <c r="BO374" s="2" t="e">
        <f ca="1">_xll.BDH($C$353,"TOTAL_ASSETS_SEQUENTIAL_GROWTH","FQ1 2018","FQ1 2018","Currency=INR","Period=FQ","BEST_FPERIOD_OVERRIDE=FQ","FILING_STATUS=OR","EQY_CONSOLIDATED=Y","Sort=A","Dates=H","DateFormat=P","Fill=—","Direction=H","UseDPDF=Y")</f>
        <v>#NAME?</v>
      </c>
      <c r="BP374" s="2" t="e">
        <f ca="1">_xll.BDH($C$353,"MODIFIED_WORKING_CPTL_SEQ_GRWTH","FQ1 2018","FQ1 2018","Currency=INR","Period=FQ","BEST_FPERIOD_OVERRIDE=FQ","FILING_STATUS=OR","EQY_CONSOLIDATED=Y","Sort=A","Dates=H","DateFormat=P","Fill=—","Direction=H","UseDPDF=Y")</f>
        <v>#NAME?</v>
      </c>
      <c r="BQ374" s="2" t="e">
        <f ca="1">_xll.BDH($C$353,"WORKING_CAPITAL_SEQ_GROWTH","FQ1 2018","FQ1 2018","Currency=INR","Period=FQ","BEST_FPERIOD_OVERRIDE=FQ","FILING_STATUS=OR","EQY_CONSOLIDATED=Y","Sort=A","Dates=H","DateFormat=P","Fill=—","Direction=H","UseDPDF=Y")</f>
        <v>#NAME?</v>
      </c>
      <c r="BR374" s="2" t="e">
        <f ca="1">_xll.BDH($C$353,"ACCOUNTS_PAYABLE_SEQ_GROWTH","FQ1 2018","FQ1 2018","Currency=INR","Period=FQ","BEST_FPERIOD_OVERRIDE=FQ","FILING_STATUS=OR","EQY_CONSOLIDATED=Y","Sort=A","Dates=H","DateFormat=P","Fill=—","Direction=H","UseDPDF=Y")</f>
        <v>#NAME?</v>
      </c>
      <c r="BS374" s="2" t="e">
        <f ca="1">_xll.BDH($C$353,"ST_DEBT_SEQUENTIAL_GROWTH","FQ1 2018","FQ1 2018","Currency=INR","Period=FQ","BEST_FPERIOD_OVERRIDE=FQ","FILING_STATUS=OR","EQY_CONSOLIDATED=Y","Sort=A","Dates=H","DateFormat=P","Fill=—","Direction=H","UseDPDF=Y")</f>
        <v>#NAME?</v>
      </c>
      <c r="BT374" s="2" t="e">
        <f ca="1">_xll.BDH($C$353,"TOTAL_DEBT_SEQUENTIAL_GROWTH","FQ1 2018","FQ1 2018","Currency=INR","Period=FQ","BEST_FPERIOD_OVERRIDE=FQ","FILING_STATUS=OR","EQY_CONSOLIDATED=Y","Sort=A","Dates=H","DateFormat=P","Fill=—","Direction=H","UseDPDF=Y")</f>
        <v>#NAME?</v>
      </c>
      <c r="BU374" s="2" t="e">
        <f ca="1">_xll.BDH($C$353,"TOTAL_EQUITY_SEQUENTIAL_GROWTH","FQ1 2018","FQ1 2018","Currency=INR","Period=FQ","BEST_FPERIOD_OVERRIDE=FQ","FILING_STATUS=OR","EQY_CONSOLIDATED=Y","Sort=A","Dates=H","DateFormat=P","Fill=—","Direction=H","UseDPDF=Y")</f>
        <v>#NAME?</v>
      </c>
      <c r="BV374" s="2" t="e">
        <f ca="1">_xll.BDH($C$353,"TOTAL_CAPITAL_SEQUENTIAL_GROWTH","FQ1 2018","FQ1 2018","Currency=INR","Period=FQ","BEST_FPERIOD_OVERRIDE=FQ","FILING_STATUS=OR","EQY_CONSOLIDATED=Y","Sort=A","Dates=H","DateFormat=P","Fill=—","Direction=H","UseDPDF=Y")</f>
        <v>#NAME?</v>
      </c>
      <c r="BW374" s="2" t="e">
        <f ca="1">_xll.BDH($C$353,"BPS_SEQUENTIAL_GROWTH","FQ1 2018","FQ1 2018","Currency=INR","Period=FQ","BEST_FPERIOD_OVERRIDE=FQ","FILING_STATUS=OR","EQY_CONSOLIDATED=Y","Sort=A","Dates=H","DateFormat=P","Fill=—","Direction=H","UseDPDF=Y")</f>
        <v>#NAME?</v>
      </c>
      <c r="BX374" s="2" t="e">
        <f ca="1">_xll.BDH($C$353,"CFO_SEQUENTIAL_GROWTH","FQ1 2018","FQ1 2018","Currency=INR","Period=FQ","BEST_FPERIOD_OVERRIDE=FQ","FILING_STATUS=OR","EQY_CONSOLIDATED=Y","Sort=A","Dates=H","DateFormat=P","Fill=—","Direction=H","UseDPDF=Y")</f>
        <v>#NAME?</v>
      </c>
      <c r="BY374" s="3" t="e">
        <f ca="1">_xll.BDH($C$353,"SHORT_AND_LONG_TERM_DEBT","FQ1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374" s="3" t="e">
        <f ca="1">_xll.BDH($C$353,"BS_ST_BORROW","FQ1 2018","FQ1 2018","Currency=INR","Period=FQ","BEST_FPERIOD_OVERRIDE=FQ","FILING_STATUS=OR","EQY_CONSOLIDATED=Y","SCALING_FORMAT=MLN","Sort=A","Dates=H","DateFormat=P","Fill=—","Direction=H","UseDPDF=Y")</f>
        <v>#NAME?</v>
      </c>
      <c r="CA374" s="3" t="e">
        <f ca="1">_xll.BDH($C$353,"BS_LT_BORROW","FQ1 2018","FQ1 2018","Currency=INR","Period=FQ","BEST_FPERIOD_OVERRIDE=FQ","FILING_STATUS=OR","EQY_CONSOLIDATED=Y","SCALING_FORMAT=MLN","Sort=A","Dates=H","DateFormat=P","Fill=—","Direction=H","UseDPDF=Y")</f>
        <v>#NAME?</v>
      </c>
      <c r="CB374" s="2" t="e">
        <f ca="1">_xll.BDH($C$353,"TOT_DEBT_TO_EBITDA","FQ1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374" s="2" t="e">
        <f ca="1">_xll.BDH($C$353,"NET_DEBT_TO_EBITDA","FQ1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374" s="2" t="e">
        <f ca="1">_xll.BDH($C$353,"TOTAL_DEBT_TO_EBIT","FQ1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374" s="2" t="e">
        <f ca="1">_xll.BDH($C$353,"NET_DEBT_TO_EBIT","FQ1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374" s="2" t="e">
        <f ca="1">_xll.BDH($C$353,"EBITDA_TO_INTEREST_EXPN","FQ1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374" s="2" t="e">
        <f ca="1">_xll.BDH($C$353,"COM_EQY_TO_TOT_ASSET","FQ1 2018","FQ1 2018","Currency=INR","Period=FQ","BEST_FPERIOD_OVERRIDE=FQ","FILING_STATUS=OR","EQY_CONSOLIDATED=Y","Sort=A","Dates=H","DateFormat=P","Fill=—","Direction=H","UseDPDF=Y")</f>
        <v>#NAME?</v>
      </c>
      <c r="CH374" s="2" t="e">
        <f ca="1">_xll.BDH($C$353,"LT_DEBT_TO_TOT_EQY","FQ1 2018","FQ1 2018","Currency=INR","Period=FQ","BEST_FPERIOD_OVERRIDE=FQ","FILING_STATUS=OR","EQY_CONSOLIDATED=Y","Sort=A","Dates=H","DateFormat=P","Fill=—","Direction=H","UseDPDF=Y")</f>
        <v>#NAME?</v>
      </c>
      <c r="CI374" s="2" t="e">
        <f ca="1">_xll.BDH($C$353,"LT_DEBT_TO_TOT_CAP","FQ1 2018","FQ1 2018","Currency=INR","Period=FQ","BEST_FPERIOD_OVERRIDE=FQ","FILING_STATUS=OR","EQY_CONSOLIDATED=Y","Sort=A","Dates=H","DateFormat=P","Fill=—","Direction=H","UseDPDF=Y")</f>
        <v>#NAME?</v>
      </c>
      <c r="CJ374" s="2" t="e">
        <f ca="1">_xll.BDH($C$353,"LT_DEBT_TO_TOT_ASSET","FQ1 2018","FQ1 2018","Currency=INR","Period=FQ","BEST_FPERIOD_OVERRIDE=FQ","FILING_STATUS=OR","EQY_CONSOLIDATED=Y","Sort=A","Dates=H","DateFormat=P","Fill=—","Direction=H","UseDPDF=Y")</f>
        <v>#NAME?</v>
      </c>
      <c r="CK374" s="2" t="e">
        <f ca="1">_xll.BDH($C$353,"TOT_DEBT_TO_TOT_EQY","FQ1 2018","FQ1 2018","Currency=INR","Period=FQ","BEST_FPERIOD_OVERRIDE=FQ","FILING_STATUS=OR","EQY_CONSOLIDATED=Y","Sort=A","Dates=H","DateFormat=P","Fill=—","Direction=H","UseDPDF=Y")</f>
        <v>#NAME?</v>
      </c>
      <c r="CL374" s="2" t="e">
        <f ca="1">_xll.BDH($C$353,"TOT_DEBT_TO_TOT_CAP","FQ1 2018","FQ1 2018","Currency=INR","Period=FQ","BEST_FPERIOD_OVERRIDE=FQ","FILING_STATUS=OR","EQY_CONSOLIDATED=Y","Sort=A","Dates=H","DateFormat=P","Fill=—","Direction=H","UseDPDF=Y")</f>
        <v>#NAME?</v>
      </c>
      <c r="CM374" s="2" t="e">
        <f ca="1">_xll.BDH($C$353,"TOT_DEBT_TO_TOT_ASSET","FQ1 2018","FQ1 2018","Currency=INR","Period=FQ","BEST_FPERIOD_OVERRIDE=FQ","FILING_STATUS=OR","EQY_CONSOLIDATED=Y","Sort=A","Dates=H","DateFormat=P","Fill=—","Direction=H","UseDPDF=Y")</f>
        <v>#NAME?</v>
      </c>
      <c r="CN374" s="2" t="e">
        <f ca="1">_xll.BDH($C$353,"NET_DEBT_TO_SHRHLDR_EQTY","FQ1 2018","FQ1 2018","Currency=INR","Period=FQ","BEST_FPERIOD_OVERRIDE=FQ","FILING_STATUS=OR","EQY_CONSOLIDATED=Y","Sort=A","Dates=H","DateFormat=P","Fill=—","Direction=H","UseDPDF=Y")</f>
        <v>#NAME?</v>
      </c>
      <c r="CO374" s="2" t="e">
        <f ca="1">_xll.BDH($C$353,"NET_DEBT_%_CAPITAL","FQ1 2018","FQ1 2018","Currency=INR","Period=FQ","BEST_FPERIOD_OVERRIDE=FQ","FILING_STATUS=OR","EQY_CONSOLIDATED=Y","Sort=A","Dates=H","DateFormat=P","Fill=—","Direction=H","UseDPDF=Y")</f>
        <v>#NAME?</v>
      </c>
      <c r="CP374" s="3" t="e">
        <f ca="1">_xll.BDH($C$353,"EBITDA","FQ1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374" s="3" t="e">
        <f ca="1">_xll.BDH($C$353,"EBITDA_AFTER_CAPEX","FQ1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374" s="3" t="e">
        <f ca="1">_xll.BDH($C$353,"IS_OPER_INC","FQ1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374" s="2" t="e">
        <f ca="1">_xll.BDH($C$353,"CASH_RATIO","FQ1 2018","FQ1 2018","Currency=INR","Period=FQ","BEST_FPERIOD_OVERRIDE=FQ","FILING_STATUS=OR","EQY_CONSOLIDATED=Y","Sort=A","Dates=H","DateFormat=P","Fill=—","Direction=H","UseDPDF=Y")</f>
        <v>#NAME?</v>
      </c>
      <c r="CT374" s="2" t="e">
        <f ca="1">_xll.BDH($C$353,"CUR_RATIO","FQ1 2018","FQ1 2018","Currency=INR","Period=FQ","BEST_FPERIOD_OVERRIDE=FQ","FILING_STATUS=OR","EQY_CONSOLIDATED=Y","Sort=A","Dates=H","DateFormat=P","Fill=—","Direction=H","UseDPDF=Y")</f>
        <v>#NAME?</v>
      </c>
      <c r="CU374" s="2" t="e">
        <f ca="1">_xll.BDH($C$353,"QUICK_RATIO","FQ1 2018","FQ1 2018","Currency=INR","Period=FQ","BEST_FPERIOD_OVERRIDE=FQ","FILING_STATUS=OR","EQY_CONSOLIDATED=Y","Sort=A","Dates=H","DateFormat=P","Fill=—","Direction=H","UseDPDF=Y")</f>
        <v>#NAME?</v>
      </c>
      <c r="CV374" s="2" t="e">
        <f ca="1">_xll.BDH($C$353,"ALTMAN_Z_SCORE","FQ1 2018","FQ1 2018","Currency=INR","Period=FQ","BEST_FPERIOD_OVERRIDE=FQ","FILING_STATUS=OR","EQY_CONSOLIDATED=Y","Sort=A","Dates=H","DateFormat=P","Fill=—","Direction=H","UseDPDF=Y")</f>
        <v>#NAME?</v>
      </c>
      <c r="CW374" s="4" t="e">
        <f ca="1">_xll.BDH($C$353,"ACCT_RCV_TURN","FQ1 2018","FQ1 2018","Currency=INR","Period=FQ","BEST_FPERIOD_OVERRIDE=FQ","FILING_STATUS=OR","EQY_CONSOLIDATED=Y","FA_ADJUSTED=GAAP","Sort=A","Dates=H","DateFormat=P","Fill=—","Direction=H","UseDPDF=Y")</f>
        <v>#NAME?</v>
      </c>
      <c r="CX374" s="2" t="e">
        <f ca="1">_xll.BDH($C$353,"ACCT_RCV_DAYS","FQ1 2018","FQ1 2018","Currency=INR","Period=FQ","BEST_FPERIOD_OVERRIDE=FQ","FILING_STATUS=OR","EQY_CONSOLIDATED=Y","FA_ADJUSTED=GAAP","Sort=A","Dates=H","DateFormat=P","Fill=—","Direction=H","UseDPDF=Y")</f>
        <v>#NAME?</v>
      </c>
      <c r="CY374" s="4" t="e">
        <f ca="1">_xll.BDH($C$353,"INVENT_TURN","FQ1 2018","FQ1 2018","Currency=INR","Period=FQ","BEST_FPERIOD_OVERRIDE=FQ","FILING_STATUS=OR","EQY_CONSOLIDATED=Y","FA_ADJUSTED=GAAP","Sort=A","Dates=H","DateFormat=P","Fill=—","Direction=H","UseDPDF=Y")</f>
        <v>#NAME?</v>
      </c>
      <c r="CZ374" s="2" t="e">
        <f ca="1">_xll.BDH($C$353,"INVENT_DAYS","FQ1 2018","FQ1 2018","Currency=INR","Period=FQ","BEST_FPERIOD_OVERRIDE=FQ","FILING_STATUS=OR","EQY_CONSOLIDATED=Y","FA_ADJUSTED=GAAP","Sort=A","Dates=H","DateFormat=P","Fill=—","Direction=H","UseDPDF=Y")</f>
        <v>#NAME?</v>
      </c>
      <c r="DA374" s="4" t="e">
        <f ca="1">_xll.BDH($C$353,"ACCOUNTS_PAYABLE_TURNOVER","FQ1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374" s="2" t="e">
        <f ca="1">_xll.BDH($C$353,"ACCOUNTS_PAYABLE_TURNOVER_DAYS","FQ1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374" s="4" t="e">
        <f ca="1">_xll.BDH($C$353,"CASH_CONVERSION_CYCLE","FQ1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374" s="4" t="e">
        <f ca="1">_xll.BDH($C$353,"INV_TO_CASH_DAYS","FQ1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374" s="5" t="e">
        <f ca="1">_xll.BDH($C$353,"BS_INVENTORIES","FQ1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374" s="3" t="e">
        <f ca="1">_xll.BDH($C$353,"INVTRY_RAW_MATERIALS","FQ1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374" s="3" t="e">
        <f ca="1">_xll.BDH($C$353,"INVTRY_IN_PROGRESS","FQ1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374" s="3" t="e">
        <f ca="1">_xll.BDH($C$353,"INVTRY_FINISHED_GOODS","FQ1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374" s="3" t="e">
        <f ca="1">_xll.BDH($C$353,"BS_OTHER_INV","FQ1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375" spans="1:113" x14ac:dyDescent="0.3">
      <c r="A375" s="6"/>
      <c r="B375" s="6"/>
      <c r="C375" s="6"/>
      <c r="D375" s="6"/>
      <c r="E375" t="s">
        <v>79</v>
      </c>
      <c r="F375" t="e">
        <f ca="1">_xll.BDH($C$353,"RETURN_COM_EQY","FQ2 2018","FQ2 2018","Currency=INR","Period=FQ","BEST_FPERIOD_OVERRIDE=FQ","FILING_STATUS=OR","EQY_CONSOLIDATED=Y","FA_ADJUSTED=GAAP","Sort=A","Dates=H","DateFormat=P","Fill=—","Direction=H","UseDPDF=Y")</f>
        <v>#NAME?</v>
      </c>
      <c r="G375" t="e">
        <f ca="1">_xll.BDH($C$353,"RETURN_ON_ASSET","FQ2 2018","FQ2 2018","Currency=INR","Period=FQ","BEST_FPERIOD_OVERRIDE=FQ","FILING_STATUS=OR","EQY_CONSOLIDATED=Y","FA_ADJUSTED=GAAP","Sort=A","Dates=H","DateFormat=P","Fill=—","Direction=H","UseDPDF=Y")</f>
        <v>#NAME?</v>
      </c>
      <c r="H375" t="e">
        <f ca="1">_xll.BDH($C$353,"RETURN_ON_CAP","FQ2 2018","FQ2 2018","Currency=INR","Period=FQ","BEST_FPERIOD_OVERRIDE=FQ","FILING_STATUS=OR","EQY_CONSOLIDATED=Y","FA_ADJUSTED=GAAP","Sort=A","Dates=H","DateFormat=P","Fill=—","Direction=H","UseDPDF=Y")</f>
        <v>#NAME?</v>
      </c>
      <c r="I375" t="e">
        <f ca="1">_xll.BDH($C$353,"RETURN_ON_INV_CAPITAL","FQ2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375" t="e">
        <f ca="1">_xll.BDH($C$353,"EBITDA_TO_REVENUE","FQ2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375" t="e">
        <f ca="1">_xll.BDH($C$353,"OPER_MARGIN","FQ2 2018","FQ2 2018","Currency=INR","Period=FQ","BEST_FPERIOD_OVERRIDE=FQ","FILING_STATUS=OR","EQY_CONSOLIDATED=Y","FA_ADJUSTED=GAAP","Sort=A","Dates=H","DateFormat=P","Fill=—","Direction=H","UseDPDF=Y")</f>
        <v>#NAME?</v>
      </c>
      <c r="L375" t="e">
        <f ca="1">_xll.BDH($C$353,"INCREMENTAL_OPERATING_MARGIN","FQ2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375" t="e">
        <f ca="1">_xll.BDH($C$353,"PRETAX_INC_TO_NET_SALES","FQ2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375" t="e">
        <f ca="1">_xll.BDH($C$353,"INC_BEF_XO_ITEMS_TO_NET_SALES","FQ2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375" t="e">
        <f ca="1">_xll.BDH($C$353,"PROF_MARGIN","FQ2 2018","FQ2 2018","Currency=INR","Period=FQ","BEST_FPERIOD_OVERRIDE=FQ","FILING_STATUS=OR","EQY_CONSOLIDATED=Y","FA_ADJUSTED=GAAP","Sort=A","Dates=H","DateFormat=P","Fill=—","Direction=H","UseDPDF=Y")</f>
        <v>#NAME?</v>
      </c>
      <c r="P375" t="e">
        <f ca="1">_xll.BDH($C$353,"NET_INCOME_TO_COMMON_MARGIN","FQ2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375" t="e">
        <f ca="1">_xll.BDH($C$353,"EFF_TAX_RATE","FQ2 2018","FQ2 2018","Currency=INR","Period=FQ","BEST_FPERIOD_OVERRIDE=FQ","FILING_STATUS=OR","EQY_CONSOLIDATED=Y","FA_ADJUSTED=GAAP","Sort=A","Dates=H","DateFormat=P","Fill=—","Direction=H","UseDPDF=Y")</f>
        <v>#NAME?</v>
      </c>
      <c r="R375" t="e">
        <f ca="1">_xll.BDH($C$353,"DVD_PAYOUT_RATIO","FQ2 2018","FQ2 2018","Currency=INR","Period=FQ","BEST_FPERIOD_OVERRIDE=FQ","FILING_STATUS=OR","EQY_CONSOLIDATED=Y","FA_ADJUSTED=GAAP","Sort=A","Dates=H","DateFormat=P","Fill=—","Direction=H","UseDPDF=Y")</f>
        <v>#NAME?</v>
      </c>
      <c r="S375" t="e">
        <f ca="1">_xll.BDH($C$353,"SUSTAIN_GROWTH_RT","FQ2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375" s="2" t="e">
        <f ca="1">_xll.BDH($C$353,"SALES_GROWTH","FQ2 2018","FQ2 2018","Currency=INR","Period=FQ","BEST_FPERIOD_OVERRIDE=FQ","FILING_STATUS=OR","EQY_CONSOLIDATED=Y","FA_ADJUSTED=GAAP","Sort=A","Dates=H","DateFormat=P","Fill=—","Direction=H","UseDPDF=Y")</f>
        <v>#NAME?</v>
      </c>
      <c r="U375" s="2" t="e">
        <f ca="1">_xll.BDH($C$353,"EBITDA_GROWTH","FQ2 2018","FQ2 2018","Currency=INR","Period=FQ","BEST_FPERIOD_OVERRIDE=FQ","FILING_STATUS=OR","EQY_CONSOLIDATED=Y","FA_ADJUSTED=GAAP","Sort=A","Dates=H","DateFormat=P","Fill=—","Direction=H","UseDPDF=Y")</f>
        <v>#NAME?</v>
      </c>
      <c r="V375" s="2" t="e">
        <f ca="1">_xll.BDH($C$353,"OPER_INC_GROWTH","FQ2 2018","FQ2 2018","Currency=INR","Period=FQ","BEST_FPERIOD_OVERRIDE=FQ","FILING_STATUS=OR","EQY_CONSOLIDATED=Y","FA_ADJUSTED=GAAP","Sort=A","Dates=H","DateFormat=P","Fill=—","Direction=H","UseDPDF=Y")</f>
        <v>#NAME?</v>
      </c>
      <c r="W375" s="2" t="e">
        <f ca="1">_xll.BDH($C$353,"EARN_FOR_COM_GROWTH","FQ2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375" s="2" t="e">
        <f ca="1">_xll.BDH($C$353,"DILUTED_EPS_AFT_XO_ITEMS_GROWTH","FQ2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375" s="2" t="e">
        <f ca="1">_xll.BDH($C$353,"DIVIDEND_PER_SHARE_1_YEAR_GROWTH","FQ2 2018","FQ2 2018","Currency=INR","Period=FQ","BEST_FPERIOD_OVERRIDE=FQ","FILING_STATUS=OR","EQY_CONSOLIDATED=Y","Sort=A","Dates=H","DateFormat=P","Fill=—","Direction=H","UseDPDF=Y")</f>
        <v>#NAME?</v>
      </c>
      <c r="Z375" s="2" t="e">
        <f ca="1">_xll.BDH($C$353,"ACCOUNTS_RECEIVABLE_GROWTH","FQ2 2018","FQ2 2018","Currency=INR","Period=FQ","BEST_FPERIOD_OVERRIDE=FQ","FILING_STATUS=OR","EQY_CONSOLIDATED=Y","Sort=A","Dates=H","DateFormat=P","Fill=—","Direction=H","UseDPDF=Y")</f>
        <v>#NAME?</v>
      </c>
      <c r="AA375" s="2" t="e">
        <f ca="1">_xll.BDH($C$353,"INVENTORY_GROWTH","FQ2 2018","FQ2 2018","Currency=INR","Period=FQ","BEST_FPERIOD_OVERRIDE=FQ","FILING_STATUS=OR","EQY_CONSOLIDATED=Y","Sort=A","Dates=H","DateFormat=P","Fill=—","Direction=H","UseDPDF=Y")</f>
        <v>#NAME?</v>
      </c>
      <c r="AB375" s="2" t="e">
        <f ca="1">_xll.BDH($C$353,"NET_FIXED_ASSETS_1_YEAR_GROWTH","FQ2 2018","FQ2 2018","Currency=INR","Period=FQ","BEST_FPERIOD_OVERRIDE=FQ","FILING_STATUS=OR","EQY_CONSOLIDATED=Y","Sort=A","Dates=H","DateFormat=P","Fill=—","Direction=H","UseDPDF=Y")</f>
        <v>#NAME?</v>
      </c>
      <c r="AC375" s="2" t="e">
        <f ca="1">_xll.BDH($C$353,"ASSET_GROWTH","FQ2 2018","FQ2 2018","Currency=INR","Period=FQ","BEST_FPERIOD_OVERRIDE=FQ","FILING_STATUS=OR","EQY_CONSOLIDATED=Y","Sort=A","Dates=H","DateFormat=P","Fill=—","Direction=H","UseDPDF=Y")</f>
        <v>#NAME?</v>
      </c>
      <c r="AD375" s="2" t="e">
        <f ca="1">_xll.BDH($C$353,"MODIFIED_WORK_CAP_GROWTH","FQ2 2018","FQ2 2018","Currency=INR","Period=FQ","BEST_FPERIOD_OVERRIDE=FQ","FILING_STATUS=OR","EQY_CONSOLIDATED=Y","Sort=A","Dates=H","DateFormat=P","Fill=—","Direction=H","UseDPDF=Y")</f>
        <v>#NAME?</v>
      </c>
      <c r="AE375" s="2" t="e">
        <f ca="1">_xll.BDH($C$353,"WORK_CAP_GROWTH","FQ2 2018","FQ2 2018","Currency=INR","Period=FQ","BEST_FPERIOD_OVERRIDE=FQ","FILING_STATUS=OR","EQY_CONSOLIDATED=Y","Sort=A","Dates=H","DateFormat=P","Fill=—","Direction=H","UseDPDF=Y")</f>
        <v>#NAME?</v>
      </c>
      <c r="AF375" s="2" t="e">
        <f ca="1">_xll.BDH($C$353,"ACCOUNTS_PAYABLE_GROWTH_1YR","FQ2 2018","FQ2 2018","Currency=INR","Period=FQ","BEST_FPERIOD_OVERRIDE=FQ","FILING_STATUS=OR","EQY_CONSOLIDATED=Y","Sort=A","Dates=H","DateFormat=P","Fill=—","Direction=H","UseDPDF=Y")</f>
        <v>#NAME?</v>
      </c>
      <c r="AG375" s="2" t="e">
        <f ca="1">_xll.BDH($C$353,"SHORT_TERM_DEBT_1_YEAR_GROWTH","FQ2 2018","FQ2 2018","Currency=INR","Period=FQ","BEST_FPERIOD_OVERRIDE=FQ","FILING_STATUS=OR","EQY_CONSOLIDATED=Y","Sort=A","Dates=H","DateFormat=P","Fill=—","Direction=H","UseDPDF=Y")</f>
        <v>#NAME?</v>
      </c>
      <c r="AH375" s="2" t="e">
        <f ca="1">_xll.BDH($C$353,"TOTAL_DEBT_1_YEAR_GROWTH","FQ2 2018","FQ2 2018","Currency=INR","Period=FQ","BEST_FPERIOD_OVERRIDE=FQ","FILING_STATUS=OR","EQY_CONSOLIDATED=Y","Sort=A","Dates=H","DateFormat=P","Fill=—","Direction=H","UseDPDF=Y")</f>
        <v>#NAME?</v>
      </c>
      <c r="AI375" s="2" t="e">
        <f ca="1">_xll.BDH($C$353,"TOTAL_EQUITY_1_YEAR_GROWTH","FQ2 2018","FQ2 2018","Currency=INR","Period=FQ","BEST_FPERIOD_OVERRIDE=FQ","FILING_STATUS=OR","EQY_CONSOLIDATED=Y","Sort=A","Dates=H","DateFormat=P","Fill=—","Direction=H","UseDPDF=Y")</f>
        <v>#NAME?</v>
      </c>
      <c r="AJ375" s="2" t="e">
        <f ca="1">_xll.BDH($C$353,"GROWTH_IN_CAP","FQ2 2018","FQ2 2018","Currency=INR","Period=FQ","BEST_FPERIOD_OVERRIDE=FQ","FILING_STATUS=OR","EQY_CONSOLIDATED=Y","Sort=A","Dates=H","DateFormat=P","Fill=—","Direction=H","UseDPDF=Y")</f>
        <v>#NAME?</v>
      </c>
      <c r="AK375" s="2" t="e">
        <f ca="1">_xll.BDH($C$353,"BVPS_GROWTH","FQ2 2018","FQ2 2018","Currency=INR","Period=FQ","BEST_FPERIOD_OVERRIDE=FQ","FILING_STATUS=OR","EQY_CONSOLIDATED=Y","Sort=A","Dates=H","DateFormat=P","Fill=—","Direction=H","UseDPDF=Y")</f>
        <v>#NAME?</v>
      </c>
      <c r="AL375" s="2" t="e">
        <f ca="1">_xll.BDH($C$353,"CASH_FLOW_GROWTH","FQ2 2018","FQ2 2018","Currency=INR","Period=FQ","BEST_FPERIOD_OVERRIDE=FQ","FILING_STATUS=OR","EQY_CONSOLIDATED=Y","Sort=A","Dates=H","DateFormat=P","Fill=—","Direction=H","UseDPDF=Y")</f>
        <v>#NAME?</v>
      </c>
      <c r="AM375" s="2" t="e">
        <f ca="1">_xll.BDH($C$353,"GEO_GROW_NET_SALES","FQ2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375" s="2" t="e">
        <f ca="1">_xll.BDH($C$353,"GEO_GROW_EBITDA","FQ2 2018","FQ2 2018","Currency=INR","Period=FQ","BEST_FPERIOD_OVERRIDE=FQ","FILING_STATUS=OR","EQY_CONSOLIDATED=Y","FA_ADJUSTED=GAAP","Sort=A","Dates=H","DateFormat=P","Fill=—","Direction=H","UseDPDF=Y")</f>
        <v>#NAME?</v>
      </c>
      <c r="AO375" s="2" t="e">
        <f ca="1">_xll.BDH($C$353,"GEO_GROW_OPER_INC","FQ2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375" s="2" t="e">
        <f ca="1">_xll.BDH($C$353,"NET_INCOME_TO_COMMON_5_YR_GROWTH","FQ2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375" s="2" t="e">
        <f ca="1">_xll.BDH($C$353,"5Y_GEO_GROWTH_DILUTED_EPS","FQ2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375" s="2" t="e">
        <f ca="1">_xll.BDH($C$353,"GEO_GROW_DVD_PER_SH","FQ2 2018","FQ2 2018","Currency=INR","Period=FQ","BEST_FPERIOD_OVERRIDE=FQ","FILING_STATUS=OR","EQY_CONSOLIDATED=Y","Sort=A","Dates=H","DateFormat=P","Fill=—","Direction=H","UseDPDF=Y")</f>
        <v>#NAME?</v>
      </c>
      <c r="AS375" s="2" t="e">
        <f ca="1">_xll.BDH($C$353,"ACCOUNTS_RECEIVABLE_5_YR_GROWTH","FQ2 2018","FQ2 2018","Currency=INR","Period=FQ","BEST_FPERIOD_OVERRIDE=FQ","FILING_STATUS=OR","EQY_CONSOLIDATED=Y","Sort=A","Dates=H","DateFormat=P","Fill=—","Direction=H","UseDPDF=Y")</f>
        <v>#NAME?</v>
      </c>
      <c r="AT375" s="2" t="e">
        <f ca="1">_xll.BDH($C$353,"INVENTORY_5_YEAR_GROWTH","FQ2 2018","FQ2 2018","Currency=INR","Period=FQ","BEST_FPERIOD_OVERRIDE=FQ","FILING_STATUS=OR","EQY_CONSOLIDATED=Y","Sort=A","Dates=H","DateFormat=P","Fill=—","Direction=H","UseDPDF=Y")</f>
        <v>#NAME?</v>
      </c>
      <c r="AU375" s="2" t="e">
        <f ca="1">_xll.BDH($C$353,"NET_FIXED_ASSETS_5_YEAR_GROWTH","FQ2 2018","FQ2 2018","Currency=INR","Period=FQ","BEST_FPERIOD_OVERRIDE=FQ","FILING_STATUS=OR","EQY_CONSOLIDATED=Y","Sort=A","Dates=H","DateFormat=P","Fill=—","Direction=H","UseDPDF=Y")</f>
        <v>#NAME?</v>
      </c>
      <c r="AV375" s="2" t="e">
        <f ca="1">_xll.BDH($C$353,"GEO_GROW_TOT_ASSET","FQ2 2018","FQ2 2018","Currency=INR","Period=FQ","BEST_FPERIOD_OVERRIDE=FQ","FILING_STATUS=OR","EQY_CONSOLIDATED=Y","Sort=A","Dates=H","DateFormat=P","Fill=—","Direction=H","UseDPDF=Y")</f>
        <v>#NAME?</v>
      </c>
      <c r="AW375" s="2" t="e">
        <f ca="1">_xll.BDH($C$353,"MODIFIED_WORKING_CPTL_5YR_GRWTH","FQ2 2018","FQ2 2018","Currency=INR","Period=FQ","BEST_FPERIOD_OVERRIDE=FQ","FILING_STATUS=OR","EQY_CONSOLIDATED=Y","Sort=A","Dates=H","DateFormat=P","Fill=—","Direction=H","UseDPDF=Y")</f>
        <v>#NAME?</v>
      </c>
      <c r="AX375" s="2" t="e">
        <f ca="1">_xll.BDH($C$353,"WORKING_CAPITAL_5_YEAR_GROWTH","FQ2 2018","FQ2 2018","Currency=INR","Period=FQ","BEST_FPERIOD_OVERRIDE=FQ","FILING_STATUS=OR","EQY_CONSOLIDATED=Y","Sort=A","Dates=H","DateFormat=P","Fill=—","Direction=H","UseDPDF=Y")</f>
        <v>#NAME?</v>
      </c>
      <c r="AY375" s="2" t="e">
        <f ca="1">_xll.BDH($C$353,"ACCOUNTS_PAYABLE_5_YEAR_GROWTH","FQ2 2018","FQ2 2018","Currency=INR","Period=FQ","BEST_FPERIOD_OVERRIDE=FQ","FILING_STATUS=OR","EQY_CONSOLIDATED=Y","Sort=A","Dates=H","DateFormat=P","Fill=—","Direction=H","UseDPDF=Y")</f>
        <v>#NAME?</v>
      </c>
      <c r="AZ375" s="2" t="e">
        <f ca="1">_xll.BDH($C$353,"SHORT_TERM_DEBT_5_YEAR_GROWTH","FQ2 2018","FQ2 2018","Currency=INR","Period=FQ","BEST_FPERIOD_OVERRIDE=FQ","FILING_STATUS=OR","EQY_CONSOLIDATED=Y","Sort=A","Dates=H","DateFormat=P","Fill=—","Direction=H","UseDPDF=Y")</f>
        <v>#NAME?</v>
      </c>
      <c r="BA375" s="2" t="e">
        <f ca="1">_xll.BDH($C$353,"TOTAL_DEBT_5_YEAR_GROWTH","FQ2 2018","FQ2 2018","Currency=INR","Period=FQ","BEST_FPERIOD_OVERRIDE=FQ","FILING_STATUS=OR","EQY_CONSOLIDATED=Y","Sort=A","Dates=H","DateFormat=P","Fill=—","Direction=H","UseDPDF=Y")</f>
        <v>#NAME?</v>
      </c>
      <c r="BB375" s="2" t="e">
        <f ca="1">_xll.BDH($C$353,"GEO_GROW_TOT_SHRHLDR_EQY","FQ2 2018","FQ2 2018","Currency=INR","Period=FQ","BEST_FPERIOD_OVERRIDE=FQ","FILING_STATUS=OR","EQY_CONSOLIDATED=Y","Sort=A","Dates=H","DateFormat=P","Fill=—","Direction=H","UseDPDF=Y")</f>
        <v>#NAME?</v>
      </c>
      <c r="BC375" s="2" t="e">
        <f ca="1">_xll.BDH($C$353,"TOTAL_CAPITAL_5_YEAR_GROWTH","FQ2 2018","FQ2 2018","Currency=INR","Period=FQ","BEST_FPERIOD_OVERRIDE=FQ","FILING_STATUS=OR","EQY_CONSOLIDATED=Y","Sort=A","Dates=H","DateFormat=P","Fill=—","Direction=H","UseDPDF=Y")</f>
        <v>#NAME?</v>
      </c>
      <c r="BD375" s="2" t="e">
        <f ca="1">_xll.BDH($C$353,"GEO_GROW_BOOK_VAL","FQ2 2018","FQ2 2018","Currency=INR","Period=FQ","BEST_FPERIOD_OVERRIDE=FQ","FILING_STATUS=OR","EQY_CONSOLIDATED=Y","Sort=A","Dates=H","DateFormat=P","Fill=—","Direction=H","UseDPDF=Y")</f>
        <v>#NAME?</v>
      </c>
      <c r="BE375" s="2" t="e">
        <f ca="1">_xll.BDH($C$353,"GEO_GROW_CASH_OPER_ACT","FQ2 2018","FQ2 2018","Currency=INR","Period=FQ","BEST_FPERIOD_OVERRIDE=FQ","FILING_STATUS=OR","EQY_CONSOLIDATED=Y","Sort=A","Dates=H","DateFormat=P","Fill=—","Direction=H","UseDPDF=Y")</f>
        <v>#NAME?</v>
      </c>
      <c r="BF375" s="2" t="e">
        <f ca="1">_xll.BDH($C$353,"REVENUE_SEQUENTIAL_GROWTH","FQ2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375" s="2" t="e">
        <f ca="1">_xll.BDH($C$353,"EBITDA_SEQUENTIAL_GROWTH","FQ2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375" s="2" t="e">
        <f ca="1">_xll.BDH($C$353,"OPERATING_INCOME_SEQ_GROWTH","FQ2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375" s="2" t="e">
        <f ca="1">_xll.BDH($C$353,"NET_INCOME_TO_COMMON_SEQ_GROWTH","FQ2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375" s="2" t="e">
        <f ca="1">_xll.BDH($C$353,"EPS_DILUTED_SEQUENTIAL_GROWTH","FQ2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375" s="2" t="e">
        <f ca="1">_xll.BDH($C$353,"DPS_SEQUENTIAL_GROWTH","FQ2 2018","FQ2 2018","Currency=INR","Period=FQ","BEST_FPERIOD_OVERRIDE=FQ","FILING_STATUS=OR","EQY_CONSOLIDATED=Y","Sort=A","Dates=H","DateFormat=P","Fill=—","Direction=H","UseDPDF=Y")</f>
        <v>#NAME?</v>
      </c>
      <c r="BL375" s="2" t="e">
        <f ca="1">_xll.BDH($C$353,"ACCOUNTS_RECEIVABLE_SEQ_GROWTH","FQ2 2018","FQ2 2018","Currency=INR","Period=FQ","BEST_FPERIOD_OVERRIDE=FQ","FILING_STATUS=OR","EQY_CONSOLIDATED=Y","Sort=A","Dates=H","DateFormat=P","Fill=—","Direction=H","UseDPDF=Y")</f>
        <v>#NAME?</v>
      </c>
      <c r="BM375" s="2" t="e">
        <f ca="1">_xll.BDH($C$353,"INVENTORY_SEQUENTIAL_GROWTH","FQ2 2018","FQ2 2018","Currency=INR","Period=FQ","BEST_FPERIOD_OVERRIDE=FQ","FILING_STATUS=OR","EQY_CONSOLIDATED=Y","Sort=A","Dates=H","DateFormat=P","Fill=—","Direction=H","UseDPDF=Y")</f>
        <v>#NAME?</v>
      </c>
      <c r="BN375" s="2" t="e">
        <f ca="1">_xll.BDH($C$353,"FIXED_ASSETS_SEQUENTIAL_GROWTH","FQ2 2018","FQ2 2018","Currency=INR","Period=FQ","BEST_FPERIOD_OVERRIDE=FQ","FILING_STATUS=OR","EQY_CONSOLIDATED=Y","Sort=A","Dates=H","DateFormat=P","Fill=—","Direction=H","UseDPDF=Y")</f>
        <v>#NAME?</v>
      </c>
      <c r="BO375" s="2" t="e">
        <f ca="1">_xll.BDH($C$353,"TOTAL_ASSETS_SEQUENTIAL_GROWTH","FQ2 2018","FQ2 2018","Currency=INR","Period=FQ","BEST_FPERIOD_OVERRIDE=FQ","FILING_STATUS=OR","EQY_CONSOLIDATED=Y","Sort=A","Dates=H","DateFormat=P","Fill=—","Direction=H","UseDPDF=Y")</f>
        <v>#NAME?</v>
      </c>
      <c r="BP375" s="2" t="e">
        <f ca="1">_xll.BDH($C$353,"MODIFIED_WORKING_CPTL_SEQ_GRWTH","FQ2 2018","FQ2 2018","Currency=INR","Period=FQ","BEST_FPERIOD_OVERRIDE=FQ","FILING_STATUS=OR","EQY_CONSOLIDATED=Y","Sort=A","Dates=H","DateFormat=P","Fill=—","Direction=H","UseDPDF=Y")</f>
        <v>#NAME?</v>
      </c>
      <c r="BQ375" s="2" t="e">
        <f ca="1">_xll.BDH($C$353,"WORKING_CAPITAL_SEQ_GROWTH","FQ2 2018","FQ2 2018","Currency=INR","Period=FQ","BEST_FPERIOD_OVERRIDE=FQ","FILING_STATUS=OR","EQY_CONSOLIDATED=Y","Sort=A","Dates=H","DateFormat=P","Fill=—","Direction=H","UseDPDF=Y")</f>
        <v>#NAME?</v>
      </c>
      <c r="BR375" s="2" t="e">
        <f ca="1">_xll.BDH($C$353,"ACCOUNTS_PAYABLE_SEQ_GROWTH","FQ2 2018","FQ2 2018","Currency=INR","Period=FQ","BEST_FPERIOD_OVERRIDE=FQ","FILING_STATUS=OR","EQY_CONSOLIDATED=Y","Sort=A","Dates=H","DateFormat=P","Fill=—","Direction=H","UseDPDF=Y")</f>
        <v>#NAME?</v>
      </c>
      <c r="BS375" s="2" t="e">
        <f ca="1">_xll.BDH($C$353,"ST_DEBT_SEQUENTIAL_GROWTH","FQ2 2018","FQ2 2018","Currency=INR","Period=FQ","BEST_FPERIOD_OVERRIDE=FQ","FILING_STATUS=OR","EQY_CONSOLIDATED=Y","Sort=A","Dates=H","DateFormat=P","Fill=—","Direction=H","UseDPDF=Y")</f>
        <v>#NAME?</v>
      </c>
      <c r="BT375" s="2" t="e">
        <f ca="1">_xll.BDH($C$353,"TOTAL_DEBT_SEQUENTIAL_GROWTH","FQ2 2018","FQ2 2018","Currency=INR","Period=FQ","BEST_FPERIOD_OVERRIDE=FQ","FILING_STATUS=OR","EQY_CONSOLIDATED=Y","Sort=A","Dates=H","DateFormat=P","Fill=—","Direction=H","UseDPDF=Y")</f>
        <v>#NAME?</v>
      </c>
      <c r="BU375" s="2" t="e">
        <f ca="1">_xll.BDH($C$353,"TOTAL_EQUITY_SEQUENTIAL_GROWTH","FQ2 2018","FQ2 2018","Currency=INR","Period=FQ","BEST_FPERIOD_OVERRIDE=FQ","FILING_STATUS=OR","EQY_CONSOLIDATED=Y","Sort=A","Dates=H","DateFormat=P","Fill=—","Direction=H","UseDPDF=Y")</f>
        <v>#NAME?</v>
      </c>
      <c r="BV375" s="2" t="e">
        <f ca="1">_xll.BDH($C$353,"TOTAL_CAPITAL_SEQUENTIAL_GROWTH","FQ2 2018","FQ2 2018","Currency=INR","Period=FQ","BEST_FPERIOD_OVERRIDE=FQ","FILING_STATUS=OR","EQY_CONSOLIDATED=Y","Sort=A","Dates=H","DateFormat=P","Fill=—","Direction=H","UseDPDF=Y")</f>
        <v>#NAME?</v>
      </c>
      <c r="BW375" s="2" t="e">
        <f ca="1">_xll.BDH($C$353,"BPS_SEQUENTIAL_GROWTH","FQ2 2018","FQ2 2018","Currency=INR","Period=FQ","BEST_FPERIOD_OVERRIDE=FQ","FILING_STATUS=OR","EQY_CONSOLIDATED=Y","Sort=A","Dates=H","DateFormat=P","Fill=—","Direction=H","UseDPDF=Y")</f>
        <v>#NAME?</v>
      </c>
      <c r="BX375" s="2" t="e">
        <f ca="1">_xll.BDH($C$353,"CFO_SEQUENTIAL_GROWTH","FQ2 2018","FQ2 2018","Currency=INR","Period=FQ","BEST_FPERIOD_OVERRIDE=FQ","FILING_STATUS=OR","EQY_CONSOLIDATED=Y","Sort=A","Dates=H","DateFormat=P","Fill=—","Direction=H","UseDPDF=Y")</f>
        <v>#NAME?</v>
      </c>
      <c r="BY375" s="3" t="e">
        <f ca="1">_xll.BDH($C$353,"SHORT_AND_LONG_TERM_DEBT","FQ2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375" s="3" t="e">
        <f ca="1">_xll.BDH($C$353,"BS_ST_BORROW","FQ2 2018","FQ2 2018","Currency=INR","Period=FQ","BEST_FPERIOD_OVERRIDE=FQ","FILING_STATUS=OR","EQY_CONSOLIDATED=Y","SCALING_FORMAT=MLN","Sort=A","Dates=H","DateFormat=P","Fill=—","Direction=H","UseDPDF=Y")</f>
        <v>#NAME?</v>
      </c>
      <c r="CA375" s="3" t="e">
        <f ca="1">_xll.BDH($C$353,"BS_LT_BORROW","FQ2 2018","FQ2 2018","Currency=INR","Period=FQ","BEST_FPERIOD_OVERRIDE=FQ","FILING_STATUS=OR","EQY_CONSOLIDATED=Y","SCALING_FORMAT=MLN","Sort=A","Dates=H","DateFormat=P","Fill=—","Direction=H","UseDPDF=Y")</f>
        <v>#NAME?</v>
      </c>
      <c r="CB375" s="2" t="e">
        <f ca="1">_xll.BDH($C$353,"TOT_DEBT_TO_EBITDA","FQ2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375" s="2" t="e">
        <f ca="1">_xll.BDH($C$353,"NET_DEBT_TO_EBITDA","FQ2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375" s="2" t="e">
        <f ca="1">_xll.BDH($C$353,"TOTAL_DEBT_TO_EBIT","FQ2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375" s="2" t="e">
        <f ca="1">_xll.BDH($C$353,"NET_DEBT_TO_EBIT","FQ2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375" s="2" t="e">
        <f ca="1">_xll.BDH($C$353,"EBITDA_TO_INTEREST_EXPN","FQ2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375" s="2" t="e">
        <f ca="1">_xll.BDH($C$353,"COM_EQY_TO_TOT_ASSET","FQ2 2018","FQ2 2018","Currency=INR","Period=FQ","BEST_FPERIOD_OVERRIDE=FQ","FILING_STATUS=OR","EQY_CONSOLIDATED=Y","Sort=A","Dates=H","DateFormat=P","Fill=—","Direction=H","UseDPDF=Y")</f>
        <v>#NAME?</v>
      </c>
      <c r="CH375" s="2" t="e">
        <f ca="1">_xll.BDH($C$353,"LT_DEBT_TO_TOT_EQY","FQ2 2018","FQ2 2018","Currency=INR","Period=FQ","BEST_FPERIOD_OVERRIDE=FQ","FILING_STATUS=OR","EQY_CONSOLIDATED=Y","Sort=A","Dates=H","DateFormat=P","Fill=—","Direction=H","UseDPDF=Y")</f>
        <v>#NAME?</v>
      </c>
      <c r="CI375" s="2" t="e">
        <f ca="1">_xll.BDH($C$353,"LT_DEBT_TO_TOT_CAP","FQ2 2018","FQ2 2018","Currency=INR","Period=FQ","BEST_FPERIOD_OVERRIDE=FQ","FILING_STATUS=OR","EQY_CONSOLIDATED=Y","Sort=A","Dates=H","DateFormat=P","Fill=—","Direction=H","UseDPDF=Y")</f>
        <v>#NAME?</v>
      </c>
      <c r="CJ375" s="2" t="e">
        <f ca="1">_xll.BDH($C$353,"LT_DEBT_TO_TOT_ASSET","FQ2 2018","FQ2 2018","Currency=INR","Period=FQ","BEST_FPERIOD_OVERRIDE=FQ","FILING_STATUS=OR","EQY_CONSOLIDATED=Y","Sort=A","Dates=H","DateFormat=P","Fill=—","Direction=H","UseDPDF=Y")</f>
        <v>#NAME?</v>
      </c>
      <c r="CK375" s="2" t="e">
        <f ca="1">_xll.BDH($C$353,"TOT_DEBT_TO_TOT_EQY","FQ2 2018","FQ2 2018","Currency=INR","Period=FQ","BEST_FPERIOD_OVERRIDE=FQ","FILING_STATUS=OR","EQY_CONSOLIDATED=Y","Sort=A","Dates=H","DateFormat=P","Fill=—","Direction=H","UseDPDF=Y")</f>
        <v>#NAME?</v>
      </c>
      <c r="CL375" s="2" t="e">
        <f ca="1">_xll.BDH($C$353,"TOT_DEBT_TO_TOT_CAP","FQ2 2018","FQ2 2018","Currency=INR","Period=FQ","BEST_FPERIOD_OVERRIDE=FQ","FILING_STATUS=OR","EQY_CONSOLIDATED=Y","Sort=A","Dates=H","DateFormat=P","Fill=—","Direction=H","UseDPDF=Y")</f>
        <v>#NAME?</v>
      </c>
      <c r="CM375" s="2" t="e">
        <f ca="1">_xll.BDH($C$353,"TOT_DEBT_TO_TOT_ASSET","FQ2 2018","FQ2 2018","Currency=INR","Period=FQ","BEST_FPERIOD_OVERRIDE=FQ","FILING_STATUS=OR","EQY_CONSOLIDATED=Y","Sort=A","Dates=H","DateFormat=P","Fill=—","Direction=H","UseDPDF=Y")</f>
        <v>#NAME?</v>
      </c>
      <c r="CN375" s="2" t="e">
        <f ca="1">_xll.BDH($C$353,"NET_DEBT_TO_SHRHLDR_EQTY","FQ2 2018","FQ2 2018","Currency=INR","Period=FQ","BEST_FPERIOD_OVERRIDE=FQ","FILING_STATUS=OR","EQY_CONSOLIDATED=Y","Sort=A","Dates=H","DateFormat=P","Fill=—","Direction=H","UseDPDF=Y")</f>
        <v>#NAME?</v>
      </c>
      <c r="CO375" s="2" t="e">
        <f ca="1">_xll.BDH($C$353,"NET_DEBT_%_CAPITAL","FQ2 2018","FQ2 2018","Currency=INR","Period=FQ","BEST_FPERIOD_OVERRIDE=FQ","FILING_STATUS=OR","EQY_CONSOLIDATED=Y","Sort=A","Dates=H","DateFormat=P","Fill=—","Direction=H","UseDPDF=Y")</f>
        <v>#NAME?</v>
      </c>
      <c r="CP375" s="3" t="e">
        <f ca="1">_xll.BDH($C$353,"EBITDA","FQ2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375" s="3" t="e">
        <f ca="1">_xll.BDH($C$353,"EBITDA_AFTER_CAPEX","FQ2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375" s="3" t="e">
        <f ca="1">_xll.BDH($C$353,"IS_OPER_INC","FQ2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375" s="2" t="e">
        <f ca="1">_xll.BDH($C$353,"CASH_RATIO","FQ2 2018","FQ2 2018","Currency=INR","Period=FQ","BEST_FPERIOD_OVERRIDE=FQ","FILING_STATUS=OR","EQY_CONSOLIDATED=Y","Sort=A","Dates=H","DateFormat=P","Fill=—","Direction=H","UseDPDF=Y")</f>
        <v>#NAME?</v>
      </c>
      <c r="CT375" s="2" t="e">
        <f ca="1">_xll.BDH($C$353,"CUR_RATIO","FQ2 2018","FQ2 2018","Currency=INR","Period=FQ","BEST_FPERIOD_OVERRIDE=FQ","FILING_STATUS=OR","EQY_CONSOLIDATED=Y","Sort=A","Dates=H","DateFormat=P","Fill=—","Direction=H","UseDPDF=Y")</f>
        <v>#NAME?</v>
      </c>
      <c r="CU375" s="2" t="e">
        <f ca="1">_xll.BDH($C$353,"QUICK_RATIO","FQ2 2018","FQ2 2018","Currency=INR","Period=FQ","BEST_FPERIOD_OVERRIDE=FQ","FILING_STATUS=OR","EQY_CONSOLIDATED=Y","Sort=A","Dates=H","DateFormat=P","Fill=—","Direction=H","UseDPDF=Y")</f>
        <v>#NAME?</v>
      </c>
      <c r="CV375" s="2" t="e">
        <f ca="1">_xll.BDH($C$353,"ALTMAN_Z_SCORE","FQ2 2018","FQ2 2018","Currency=INR","Period=FQ","BEST_FPERIOD_OVERRIDE=FQ","FILING_STATUS=OR","EQY_CONSOLIDATED=Y","Sort=A","Dates=H","DateFormat=P","Fill=—","Direction=H","UseDPDF=Y")</f>
        <v>#NAME?</v>
      </c>
      <c r="CW375" s="4" t="e">
        <f ca="1">_xll.BDH($C$353,"ACCT_RCV_TURN","FQ2 2018","FQ2 2018","Currency=INR","Period=FQ","BEST_FPERIOD_OVERRIDE=FQ","FILING_STATUS=OR","EQY_CONSOLIDATED=Y","FA_ADJUSTED=GAAP","Sort=A","Dates=H","DateFormat=P","Fill=—","Direction=H","UseDPDF=Y")</f>
        <v>#NAME?</v>
      </c>
      <c r="CX375" s="2" t="e">
        <f ca="1">_xll.BDH($C$353,"ACCT_RCV_DAYS","FQ2 2018","FQ2 2018","Currency=INR","Period=FQ","BEST_FPERIOD_OVERRIDE=FQ","FILING_STATUS=OR","EQY_CONSOLIDATED=Y","FA_ADJUSTED=GAAP","Sort=A","Dates=H","DateFormat=P","Fill=—","Direction=H","UseDPDF=Y")</f>
        <v>#NAME?</v>
      </c>
      <c r="CY375" s="4" t="e">
        <f ca="1">_xll.BDH($C$353,"INVENT_TURN","FQ2 2018","FQ2 2018","Currency=INR","Period=FQ","BEST_FPERIOD_OVERRIDE=FQ","FILING_STATUS=OR","EQY_CONSOLIDATED=Y","FA_ADJUSTED=GAAP","Sort=A","Dates=H","DateFormat=P","Fill=—","Direction=H","UseDPDF=Y")</f>
        <v>#NAME?</v>
      </c>
      <c r="CZ375" s="2" t="e">
        <f ca="1">_xll.BDH($C$353,"INVENT_DAYS","FQ2 2018","FQ2 2018","Currency=INR","Period=FQ","BEST_FPERIOD_OVERRIDE=FQ","FILING_STATUS=OR","EQY_CONSOLIDATED=Y","FA_ADJUSTED=GAAP","Sort=A","Dates=H","DateFormat=P","Fill=—","Direction=H","UseDPDF=Y")</f>
        <v>#NAME?</v>
      </c>
      <c r="DA375" s="4" t="e">
        <f ca="1">_xll.BDH($C$353,"ACCOUNTS_PAYABLE_TURNOVER","FQ2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375" s="2" t="e">
        <f ca="1">_xll.BDH($C$353,"ACCOUNTS_PAYABLE_TURNOVER_DAYS","FQ2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375" s="4" t="e">
        <f ca="1">_xll.BDH($C$353,"CASH_CONVERSION_CYCLE","FQ2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375" s="4" t="e">
        <f ca="1">_xll.BDH($C$353,"INV_TO_CASH_DAYS","FQ2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375" s="5" t="e">
        <f ca="1">_xll.BDH($C$353,"BS_INVENTORIES","FQ2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375" s="3" t="e">
        <f ca="1">_xll.BDH($C$353,"INVTRY_RAW_MATERIALS","FQ2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375" s="3" t="e">
        <f ca="1">_xll.BDH($C$353,"INVTRY_IN_PROGRESS","FQ2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375" s="3" t="e">
        <f ca="1">_xll.BDH($C$353,"INVTRY_FINISHED_GOODS","FQ2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375" s="3" t="e">
        <f ca="1">_xll.BDH($C$353,"BS_OTHER_INV","FQ2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376" spans="1:113" x14ac:dyDescent="0.3">
      <c r="A376" s="6"/>
      <c r="B376" s="6"/>
      <c r="C376" s="6"/>
      <c r="D376" s="6"/>
      <c r="E376" t="s">
        <v>80</v>
      </c>
      <c r="F376" t="e">
        <f ca="1">_xll.BDH($C$353,"RETURN_COM_EQY","FQ3 2018","FQ3 2018","Currency=INR","Period=FQ","BEST_FPERIOD_OVERRIDE=FQ","FILING_STATUS=OR","EQY_CONSOLIDATED=Y","FA_ADJUSTED=GAAP","Sort=A","Dates=H","DateFormat=P","Fill=—","Direction=H","UseDPDF=Y")</f>
        <v>#NAME?</v>
      </c>
      <c r="G376" t="e">
        <f ca="1">_xll.BDH($C$353,"RETURN_ON_ASSET","FQ3 2018","FQ3 2018","Currency=INR","Period=FQ","BEST_FPERIOD_OVERRIDE=FQ","FILING_STATUS=OR","EQY_CONSOLIDATED=Y","FA_ADJUSTED=GAAP","Sort=A","Dates=H","DateFormat=P","Fill=—","Direction=H","UseDPDF=Y")</f>
        <v>#NAME?</v>
      </c>
      <c r="H376" t="e">
        <f ca="1">_xll.BDH($C$353,"RETURN_ON_CAP","FQ3 2018","FQ3 2018","Currency=INR","Period=FQ","BEST_FPERIOD_OVERRIDE=FQ","FILING_STATUS=OR","EQY_CONSOLIDATED=Y","FA_ADJUSTED=GAAP","Sort=A","Dates=H","DateFormat=P","Fill=—","Direction=H","UseDPDF=Y")</f>
        <v>#NAME?</v>
      </c>
      <c r="I376" t="e">
        <f ca="1">_xll.BDH($C$353,"RETURN_ON_INV_CAPITAL","FQ3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376" t="e">
        <f ca="1">_xll.BDH($C$353,"EBITDA_TO_REVENUE","FQ3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376" t="e">
        <f ca="1">_xll.BDH($C$353,"OPER_MARGIN","FQ3 2018","FQ3 2018","Currency=INR","Period=FQ","BEST_FPERIOD_OVERRIDE=FQ","FILING_STATUS=OR","EQY_CONSOLIDATED=Y","FA_ADJUSTED=GAAP","Sort=A","Dates=H","DateFormat=P","Fill=—","Direction=H","UseDPDF=Y")</f>
        <v>#NAME?</v>
      </c>
      <c r="L376" t="e">
        <f ca="1">_xll.BDH($C$353,"INCREMENTAL_OPERATING_MARGIN","FQ3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376" t="e">
        <f ca="1">_xll.BDH($C$353,"PRETAX_INC_TO_NET_SALES","FQ3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376" t="e">
        <f ca="1">_xll.BDH($C$353,"INC_BEF_XO_ITEMS_TO_NET_SALES","FQ3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376" t="e">
        <f ca="1">_xll.BDH($C$353,"PROF_MARGIN","FQ3 2018","FQ3 2018","Currency=INR","Period=FQ","BEST_FPERIOD_OVERRIDE=FQ","FILING_STATUS=OR","EQY_CONSOLIDATED=Y","FA_ADJUSTED=GAAP","Sort=A","Dates=H","DateFormat=P","Fill=—","Direction=H","UseDPDF=Y")</f>
        <v>#NAME?</v>
      </c>
      <c r="P376" t="e">
        <f ca="1">_xll.BDH($C$353,"NET_INCOME_TO_COMMON_MARGIN","FQ3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376" t="e">
        <f ca="1">_xll.BDH($C$353,"EFF_TAX_RATE","FQ3 2018","FQ3 2018","Currency=INR","Period=FQ","BEST_FPERIOD_OVERRIDE=FQ","FILING_STATUS=OR","EQY_CONSOLIDATED=Y","FA_ADJUSTED=GAAP","Sort=A","Dates=H","DateFormat=P","Fill=—","Direction=H","UseDPDF=Y")</f>
        <v>#NAME?</v>
      </c>
      <c r="R376" t="e">
        <f ca="1">_xll.BDH($C$353,"DVD_PAYOUT_RATIO","FQ3 2018","FQ3 2018","Currency=INR","Period=FQ","BEST_FPERIOD_OVERRIDE=FQ","FILING_STATUS=OR","EQY_CONSOLIDATED=Y","FA_ADJUSTED=GAAP","Sort=A","Dates=H","DateFormat=P","Fill=—","Direction=H","UseDPDF=Y")</f>
        <v>#NAME?</v>
      </c>
      <c r="S376" t="e">
        <f ca="1">_xll.BDH($C$353,"SUSTAIN_GROWTH_RT","FQ3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376" s="2" t="e">
        <f ca="1">_xll.BDH($C$353,"SALES_GROWTH","FQ3 2018","FQ3 2018","Currency=INR","Period=FQ","BEST_FPERIOD_OVERRIDE=FQ","FILING_STATUS=OR","EQY_CONSOLIDATED=Y","FA_ADJUSTED=GAAP","Sort=A","Dates=H","DateFormat=P","Fill=—","Direction=H","UseDPDF=Y")</f>
        <v>#NAME?</v>
      </c>
      <c r="U376" s="2" t="e">
        <f ca="1">_xll.BDH($C$353,"EBITDA_GROWTH","FQ3 2018","FQ3 2018","Currency=INR","Period=FQ","BEST_FPERIOD_OVERRIDE=FQ","FILING_STATUS=OR","EQY_CONSOLIDATED=Y","FA_ADJUSTED=GAAP","Sort=A","Dates=H","DateFormat=P","Fill=—","Direction=H","UseDPDF=Y")</f>
        <v>#NAME?</v>
      </c>
      <c r="V376" s="2" t="e">
        <f ca="1">_xll.BDH($C$353,"OPER_INC_GROWTH","FQ3 2018","FQ3 2018","Currency=INR","Period=FQ","BEST_FPERIOD_OVERRIDE=FQ","FILING_STATUS=OR","EQY_CONSOLIDATED=Y","FA_ADJUSTED=GAAP","Sort=A","Dates=H","DateFormat=P","Fill=—","Direction=H","UseDPDF=Y")</f>
        <v>#NAME?</v>
      </c>
      <c r="W376" s="2" t="e">
        <f ca="1">_xll.BDH($C$353,"EARN_FOR_COM_GROWTH","FQ3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376" s="2" t="e">
        <f ca="1">_xll.BDH($C$353,"DILUTED_EPS_AFT_XO_ITEMS_GROWTH","FQ3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376" s="2" t="e">
        <f ca="1">_xll.BDH($C$353,"DIVIDEND_PER_SHARE_1_YEAR_GROWTH","FQ3 2018","FQ3 2018","Currency=INR","Period=FQ","BEST_FPERIOD_OVERRIDE=FQ","FILING_STATUS=OR","EQY_CONSOLIDATED=Y","Sort=A","Dates=H","DateFormat=P","Fill=—","Direction=H","UseDPDF=Y")</f>
        <v>#NAME?</v>
      </c>
      <c r="Z376" s="2" t="e">
        <f ca="1">_xll.BDH($C$353,"ACCOUNTS_RECEIVABLE_GROWTH","FQ3 2018","FQ3 2018","Currency=INR","Period=FQ","BEST_FPERIOD_OVERRIDE=FQ","FILING_STATUS=OR","EQY_CONSOLIDATED=Y","Sort=A","Dates=H","DateFormat=P","Fill=—","Direction=H","UseDPDF=Y")</f>
        <v>#NAME?</v>
      </c>
      <c r="AA376" s="2" t="e">
        <f ca="1">_xll.BDH($C$353,"INVENTORY_GROWTH","FQ3 2018","FQ3 2018","Currency=INR","Period=FQ","BEST_FPERIOD_OVERRIDE=FQ","FILING_STATUS=OR","EQY_CONSOLIDATED=Y","Sort=A","Dates=H","DateFormat=P","Fill=—","Direction=H","UseDPDF=Y")</f>
        <v>#NAME?</v>
      </c>
      <c r="AB376" s="2" t="e">
        <f ca="1">_xll.BDH($C$353,"NET_FIXED_ASSETS_1_YEAR_GROWTH","FQ3 2018","FQ3 2018","Currency=INR","Period=FQ","BEST_FPERIOD_OVERRIDE=FQ","FILING_STATUS=OR","EQY_CONSOLIDATED=Y","Sort=A","Dates=H","DateFormat=P","Fill=—","Direction=H","UseDPDF=Y")</f>
        <v>#NAME?</v>
      </c>
      <c r="AC376" s="2" t="e">
        <f ca="1">_xll.BDH($C$353,"ASSET_GROWTH","FQ3 2018","FQ3 2018","Currency=INR","Period=FQ","BEST_FPERIOD_OVERRIDE=FQ","FILING_STATUS=OR","EQY_CONSOLIDATED=Y","Sort=A","Dates=H","DateFormat=P","Fill=—","Direction=H","UseDPDF=Y")</f>
        <v>#NAME?</v>
      </c>
      <c r="AD376" s="2" t="e">
        <f ca="1">_xll.BDH($C$353,"MODIFIED_WORK_CAP_GROWTH","FQ3 2018","FQ3 2018","Currency=INR","Period=FQ","BEST_FPERIOD_OVERRIDE=FQ","FILING_STATUS=OR","EQY_CONSOLIDATED=Y","Sort=A","Dates=H","DateFormat=P","Fill=—","Direction=H","UseDPDF=Y")</f>
        <v>#NAME?</v>
      </c>
      <c r="AE376" s="2" t="e">
        <f ca="1">_xll.BDH($C$353,"WORK_CAP_GROWTH","FQ3 2018","FQ3 2018","Currency=INR","Period=FQ","BEST_FPERIOD_OVERRIDE=FQ","FILING_STATUS=OR","EQY_CONSOLIDATED=Y","Sort=A","Dates=H","DateFormat=P","Fill=—","Direction=H","UseDPDF=Y")</f>
        <v>#NAME?</v>
      </c>
      <c r="AF376" s="2" t="e">
        <f ca="1">_xll.BDH($C$353,"ACCOUNTS_PAYABLE_GROWTH_1YR","FQ3 2018","FQ3 2018","Currency=INR","Period=FQ","BEST_FPERIOD_OVERRIDE=FQ","FILING_STATUS=OR","EQY_CONSOLIDATED=Y","Sort=A","Dates=H","DateFormat=P","Fill=—","Direction=H","UseDPDF=Y")</f>
        <v>#NAME?</v>
      </c>
      <c r="AG376" s="2" t="e">
        <f ca="1">_xll.BDH($C$353,"SHORT_TERM_DEBT_1_YEAR_GROWTH","FQ3 2018","FQ3 2018","Currency=INR","Period=FQ","BEST_FPERIOD_OVERRIDE=FQ","FILING_STATUS=OR","EQY_CONSOLIDATED=Y","Sort=A","Dates=H","DateFormat=P","Fill=—","Direction=H","UseDPDF=Y")</f>
        <v>#NAME?</v>
      </c>
      <c r="AH376" s="2" t="e">
        <f ca="1">_xll.BDH($C$353,"TOTAL_DEBT_1_YEAR_GROWTH","FQ3 2018","FQ3 2018","Currency=INR","Period=FQ","BEST_FPERIOD_OVERRIDE=FQ","FILING_STATUS=OR","EQY_CONSOLIDATED=Y","Sort=A","Dates=H","DateFormat=P","Fill=—","Direction=H","UseDPDF=Y")</f>
        <v>#NAME?</v>
      </c>
      <c r="AI376" s="2" t="e">
        <f ca="1">_xll.BDH($C$353,"TOTAL_EQUITY_1_YEAR_GROWTH","FQ3 2018","FQ3 2018","Currency=INR","Period=FQ","BEST_FPERIOD_OVERRIDE=FQ","FILING_STATUS=OR","EQY_CONSOLIDATED=Y","Sort=A","Dates=H","DateFormat=P","Fill=—","Direction=H","UseDPDF=Y")</f>
        <v>#NAME?</v>
      </c>
      <c r="AJ376" s="2" t="e">
        <f ca="1">_xll.BDH($C$353,"GROWTH_IN_CAP","FQ3 2018","FQ3 2018","Currency=INR","Period=FQ","BEST_FPERIOD_OVERRIDE=FQ","FILING_STATUS=OR","EQY_CONSOLIDATED=Y","Sort=A","Dates=H","DateFormat=P","Fill=—","Direction=H","UseDPDF=Y")</f>
        <v>#NAME?</v>
      </c>
      <c r="AK376" s="2" t="e">
        <f ca="1">_xll.BDH($C$353,"BVPS_GROWTH","FQ3 2018","FQ3 2018","Currency=INR","Period=FQ","BEST_FPERIOD_OVERRIDE=FQ","FILING_STATUS=OR","EQY_CONSOLIDATED=Y","Sort=A","Dates=H","DateFormat=P","Fill=—","Direction=H","UseDPDF=Y")</f>
        <v>#NAME?</v>
      </c>
      <c r="AL376" s="2" t="e">
        <f ca="1">_xll.BDH($C$353,"CASH_FLOW_GROWTH","FQ3 2018","FQ3 2018","Currency=INR","Period=FQ","BEST_FPERIOD_OVERRIDE=FQ","FILING_STATUS=OR","EQY_CONSOLIDATED=Y","Sort=A","Dates=H","DateFormat=P","Fill=—","Direction=H","UseDPDF=Y")</f>
        <v>#NAME?</v>
      </c>
      <c r="AM376" s="2" t="e">
        <f ca="1">_xll.BDH($C$353,"GEO_GROW_NET_SALES","FQ3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376" s="2" t="e">
        <f ca="1">_xll.BDH($C$353,"GEO_GROW_EBITDA","FQ3 2018","FQ3 2018","Currency=INR","Period=FQ","BEST_FPERIOD_OVERRIDE=FQ","FILING_STATUS=OR","EQY_CONSOLIDATED=Y","FA_ADJUSTED=GAAP","Sort=A","Dates=H","DateFormat=P","Fill=—","Direction=H","UseDPDF=Y")</f>
        <v>#NAME?</v>
      </c>
      <c r="AO376" s="2" t="e">
        <f ca="1">_xll.BDH($C$353,"GEO_GROW_OPER_INC","FQ3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376" s="2" t="e">
        <f ca="1">_xll.BDH($C$353,"NET_INCOME_TO_COMMON_5_YR_GROWTH","FQ3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376" s="2" t="e">
        <f ca="1">_xll.BDH($C$353,"5Y_GEO_GROWTH_DILUTED_EPS","FQ3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376" s="2" t="e">
        <f ca="1">_xll.BDH($C$353,"GEO_GROW_DVD_PER_SH","FQ3 2018","FQ3 2018","Currency=INR","Period=FQ","BEST_FPERIOD_OVERRIDE=FQ","FILING_STATUS=OR","EQY_CONSOLIDATED=Y","Sort=A","Dates=H","DateFormat=P","Fill=—","Direction=H","UseDPDF=Y")</f>
        <v>#NAME?</v>
      </c>
      <c r="AS376" s="2" t="e">
        <f ca="1">_xll.BDH($C$353,"ACCOUNTS_RECEIVABLE_5_YR_GROWTH","FQ3 2018","FQ3 2018","Currency=INR","Period=FQ","BEST_FPERIOD_OVERRIDE=FQ","FILING_STATUS=OR","EQY_CONSOLIDATED=Y","Sort=A","Dates=H","DateFormat=P","Fill=—","Direction=H","UseDPDF=Y")</f>
        <v>#NAME?</v>
      </c>
      <c r="AT376" s="2" t="e">
        <f ca="1">_xll.BDH($C$353,"INVENTORY_5_YEAR_GROWTH","FQ3 2018","FQ3 2018","Currency=INR","Period=FQ","BEST_FPERIOD_OVERRIDE=FQ","FILING_STATUS=OR","EQY_CONSOLIDATED=Y","Sort=A","Dates=H","DateFormat=P","Fill=—","Direction=H","UseDPDF=Y")</f>
        <v>#NAME?</v>
      </c>
      <c r="AU376" s="2" t="e">
        <f ca="1">_xll.BDH($C$353,"NET_FIXED_ASSETS_5_YEAR_GROWTH","FQ3 2018","FQ3 2018","Currency=INR","Period=FQ","BEST_FPERIOD_OVERRIDE=FQ","FILING_STATUS=OR","EQY_CONSOLIDATED=Y","Sort=A","Dates=H","DateFormat=P","Fill=—","Direction=H","UseDPDF=Y")</f>
        <v>#NAME?</v>
      </c>
      <c r="AV376" s="2" t="e">
        <f ca="1">_xll.BDH($C$353,"GEO_GROW_TOT_ASSET","FQ3 2018","FQ3 2018","Currency=INR","Period=FQ","BEST_FPERIOD_OVERRIDE=FQ","FILING_STATUS=OR","EQY_CONSOLIDATED=Y","Sort=A","Dates=H","DateFormat=P","Fill=—","Direction=H","UseDPDF=Y")</f>
        <v>#NAME?</v>
      </c>
      <c r="AW376" s="2" t="e">
        <f ca="1">_xll.BDH($C$353,"MODIFIED_WORKING_CPTL_5YR_GRWTH","FQ3 2018","FQ3 2018","Currency=INR","Period=FQ","BEST_FPERIOD_OVERRIDE=FQ","FILING_STATUS=OR","EQY_CONSOLIDATED=Y","Sort=A","Dates=H","DateFormat=P","Fill=—","Direction=H","UseDPDF=Y")</f>
        <v>#NAME?</v>
      </c>
      <c r="AX376" s="2" t="e">
        <f ca="1">_xll.BDH($C$353,"WORKING_CAPITAL_5_YEAR_GROWTH","FQ3 2018","FQ3 2018","Currency=INR","Period=FQ","BEST_FPERIOD_OVERRIDE=FQ","FILING_STATUS=OR","EQY_CONSOLIDATED=Y","Sort=A","Dates=H","DateFormat=P","Fill=—","Direction=H","UseDPDF=Y")</f>
        <v>#NAME?</v>
      </c>
      <c r="AY376" s="2" t="e">
        <f ca="1">_xll.BDH($C$353,"ACCOUNTS_PAYABLE_5_YEAR_GROWTH","FQ3 2018","FQ3 2018","Currency=INR","Period=FQ","BEST_FPERIOD_OVERRIDE=FQ","FILING_STATUS=OR","EQY_CONSOLIDATED=Y","Sort=A","Dates=H","DateFormat=P","Fill=—","Direction=H","UseDPDF=Y")</f>
        <v>#NAME?</v>
      </c>
      <c r="AZ376" s="2" t="e">
        <f ca="1">_xll.BDH($C$353,"SHORT_TERM_DEBT_5_YEAR_GROWTH","FQ3 2018","FQ3 2018","Currency=INR","Period=FQ","BEST_FPERIOD_OVERRIDE=FQ","FILING_STATUS=OR","EQY_CONSOLIDATED=Y","Sort=A","Dates=H","DateFormat=P","Fill=—","Direction=H","UseDPDF=Y")</f>
        <v>#NAME?</v>
      </c>
      <c r="BA376" s="2" t="e">
        <f ca="1">_xll.BDH($C$353,"TOTAL_DEBT_5_YEAR_GROWTH","FQ3 2018","FQ3 2018","Currency=INR","Period=FQ","BEST_FPERIOD_OVERRIDE=FQ","FILING_STATUS=OR","EQY_CONSOLIDATED=Y","Sort=A","Dates=H","DateFormat=P","Fill=—","Direction=H","UseDPDF=Y")</f>
        <v>#NAME?</v>
      </c>
      <c r="BB376" s="2" t="e">
        <f ca="1">_xll.BDH($C$353,"GEO_GROW_TOT_SHRHLDR_EQY","FQ3 2018","FQ3 2018","Currency=INR","Period=FQ","BEST_FPERIOD_OVERRIDE=FQ","FILING_STATUS=OR","EQY_CONSOLIDATED=Y","Sort=A","Dates=H","DateFormat=P","Fill=—","Direction=H","UseDPDF=Y")</f>
        <v>#NAME?</v>
      </c>
      <c r="BC376" s="2" t="e">
        <f ca="1">_xll.BDH($C$353,"TOTAL_CAPITAL_5_YEAR_GROWTH","FQ3 2018","FQ3 2018","Currency=INR","Period=FQ","BEST_FPERIOD_OVERRIDE=FQ","FILING_STATUS=OR","EQY_CONSOLIDATED=Y","Sort=A","Dates=H","DateFormat=P","Fill=—","Direction=H","UseDPDF=Y")</f>
        <v>#NAME?</v>
      </c>
      <c r="BD376" s="2" t="e">
        <f ca="1">_xll.BDH($C$353,"GEO_GROW_BOOK_VAL","FQ3 2018","FQ3 2018","Currency=INR","Period=FQ","BEST_FPERIOD_OVERRIDE=FQ","FILING_STATUS=OR","EQY_CONSOLIDATED=Y","Sort=A","Dates=H","DateFormat=P","Fill=—","Direction=H","UseDPDF=Y")</f>
        <v>#NAME?</v>
      </c>
      <c r="BE376" s="2" t="e">
        <f ca="1">_xll.BDH($C$353,"GEO_GROW_CASH_OPER_ACT","FQ3 2018","FQ3 2018","Currency=INR","Period=FQ","BEST_FPERIOD_OVERRIDE=FQ","FILING_STATUS=OR","EQY_CONSOLIDATED=Y","Sort=A","Dates=H","DateFormat=P","Fill=—","Direction=H","UseDPDF=Y")</f>
        <v>#NAME?</v>
      </c>
      <c r="BF376" s="2" t="e">
        <f ca="1">_xll.BDH($C$353,"REVENUE_SEQUENTIAL_GROWTH","FQ3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376" s="2" t="e">
        <f ca="1">_xll.BDH($C$353,"EBITDA_SEQUENTIAL_GROWTH","FQ3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376" s="2" t="e">
        <f ca="1">_xll.BDH($C$353,"OPERATING_INCOME_SEQ_GROWTH","FQ3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376" s="2" t="e">
        <f ca="1">_xll.BDH($C$353,"NET_INCOME_TO_COMMON_SEQ_GROWTH","FQ3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376" s="2" t="e">
        <f ca="1">_xll.BDH($C$353,"EPS_DILUTED_SEQUENTIAL_GROWTH","FQ3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376" s="2" t="e">
        <f ca="1">_xll.BDH($C$353,"DPS_SEQUENTIAL_GROWTH","FQ3 2018","FQ3 2018","Currency=INR","Period=FQ","BEST_FPERIOD_OVERRIDE=FQ","FILING_STATUS=OR","EQY_CONSOLIDATED=Y","Sort=A","Dates=H","DateFormat=P","Fill=—","Direction=H","UseDPDF=Y")</f>
        <v>#NAME?</v>
      </c>
      <c r="BL376" s="2" t="e">
        <f ca="1">_xll.BDH($C$353,"ACCOUNTS_RECEIVABLE_SEQ_GROWTH","FQ3 2018","FQ3 2018","Currency=INR","Period=FQ","BEST_FPERIOD_OVERRIDE=FQ","FILING_STATUS=OR","EQY_CONSOLIDATED=Y","Sort=A","Dates=H","DateFormat=P","Fill=—","Direction=H","UseDPDF=Y")</f>
        <v>#NAME?</v>
      </c>
      <c r="BM376" s="2" t="e">
        <f ca="1">_xll.BDH($C$353,"INVENTORY_SEQUENTIAL_GROWTH","FQ3 2018","FQ3 2018","Currency=INR","Period=FQ","BEST_FPERIOD_OVERRIDE=FQ","FILING_STATUS=OR","EQY_CONSOLIDATED=Y","Sort=A","Dates=H","DateFormat=P","Fill=—","Direction=H","UseDPDF=Y")</f>
        <v>#NAME?</v>
      </c>
      <c r="BN376" s="2" t="e">
        <f ca="1">_xll.BDH($C$353,"FIXED_ASSETS_SEQUENTIAL_GROWTH","FQ3 2018","FQ3 2018","Currency=INR","Period=FQ","BEST_FPERIOD_OVERRIDE=FQ","FILING_STATUS=OR","EQY_CONSOLIDATED=Y","Sort=A","Dates=H","DateFormat=P","Fill=—","Direction=H","UseDPDF=Y")</f>
        <v>#NAME?</v>
      </c>
      <c r="BO376" s="2" t="e">
        <f ca="1">_xll.BDH($C$353,"TOTAL_ASSETS_SEQUENTIAL_GROWTH","FQ3 2018","FQ3 2018","Currency=INR","Period=FQ","BEST_FPERIOD_OVERRIDE=FQ","FILING_STATUS=OR","EQY_CONSOLIDATED=Y","Sort=A","Dates=H","DateFormat=P","Fill=—","Direction=H","UseDPDF=Y")</f>
        <v>#NAME?</v>
      </c>
      <c r="BP376" s="2" t="e">
        <f ca="1">_xll.BDH($C$353,"MODIFIED_WORKING_CPTL_SEQ_GRWTH","FQ3 2018","FQ3 2018","Currency=INR","Period=FQ","BEST_FPERIOD_OVERRIDE=FQ","FILING_STATUS=OR","EQY_CONSOLIDATED=Y","Sort=A","Dates=H","DateFormat=P","Fill=—","Direction=H","UseDPDF=Y")</f>
        <v>#NAME?</v>
      </c>
      <c r="BQ376" s="2" t="e">
        <f ca="1">_xll.BDH($C$353,"WORKING_CAPITAL_SEQ_GROWTH","FQ3 2018","FQ3 2018","Currency=INR","Period=FQ","BEST_FPERIOD_OVERRIDE=FQ","FILING_STATUS=OR","EQY_CONSOLIDATED=Y","Sort=A","Dates=H","DateFormat=P","Fill=—","Direction=H","UseDPDF=Y")</f>
        <v>#NAME?</v>
      </c>
      <c r="BR376" s="2" t="e">
        <f ca="1">_xll.BDH($C$353,"ACCOUNTS_PAYABLE_SEQ_GROWTH","FQ3 2018","FQ3 2018","Currency=INR","Period=FQ","BEST_FPERIOD_OVERRIDE=FQ","FILING_STATUS=OR","EQY_CONSOLIDATED=Y","Sort=A","Dates=H","DateFormat=P","Fill=—","Direction=H","UseDPDF=Y")</f>
        <v>#NAME?</v>
      </c>
      <c r="BS376" s="2" t="e">
        <f ca="1">_xll.BDH($C$353,"ST_DEBT_SEQUENTIAL_GROWTH","FQ3 2018","FQ3 2018","Currency=INR","Period=FQ","BEST_FPERIOD_OVERRIDE=FQ","FILING_STATUS=OR","EQY_CONSOLIDATED=Y","Sort=A","Dates=H","DateFormat=P","Fill=—","Direction=H","UseDPDF=Y")</f>
        <v>#NAME?</v>
      </c>
      <c r="BT376" s="2" t="e">
        <f ca="1">_xll.BDH($C$353,"TOTAL_DEBT_SEQUENTIAL_GROWTH","FQ3 2018","FQ3 2018","Currency=INR","Period=FQ","BEST_FPERIOD_OVERRIDE=FQ","FILING_STATUS=OR","EQY_CONSOLIDATED=Y","Sort=A","Dates=H","DateFormat=P","Fill=—","Direction=H","UseDPDF=Y")</f>
        <v>#NAME?</v>
      </c>
      <c r="BU376" s="2" t="e">
        <f ca="1">_xll.BDH($C$353,"TOTAL_EQUITY_SEQUENTIAL_GROWTH","FQ3 2018","FQ3 2018","Currency=INR","Period=FQ","BEST_FPERIOD_OVERRIDE=FQ","FILING_STATUS=OR","EQY_CONSOLIDATED=Y","Sort=A","Dates=H","DateFormat=P","Fill=—","Direction=H","UseDPDF=Y")</f>
        <v>#NAME?</v>
      </c>
      <c r="BV376" s="2" t="e">
        <f ca="1">_xll.BDH($C$353,"TOTAL_CAPITAL_SEQUENTIAL_GROWTH","FQ3 2018","FQ3 2018","Currency=INR","Period=FQ","BEST_FPERIOD_OVERRIDE=FQ","FILING_STATUS=OR","EQY_CONSOLIDATED=Y","Sort=A","Dates=H","DateFormat=P","Fill=—","Direction=H","UseDPDF=Y")</f>
        <v>#NAME?</v>
      </c>
      <c r="BW376" s="2" t="e">
        <f ca="1">_xll.BDH($C$353,"BPS_SEQUENTIAL_GROWTH","FQ3 2018","FQ3 2018","Currency=INR","Period=FQ","BEST_FPERIOD_OVERRIDE=FQ","FILING_STATUS=OR","EQY_CONSOLIDATED=Y","Sort=A","Dates=H","DateFormat=P","Fill=—","Direction=H","UseDPDF=Y")</f>
        <v>#NAME?</v>
      </c>
      <c r="BX376" s="2" t="e">
        <f ca="1">_xll.BDH($C$353,"CFO_SEQUENTIAL_GROWTH","FQ3 2018","FQ3 2018","Currency=INR","Period=FQ","BEST_FPERIOD_OVERRIDE=FQ","FILING_STATUS=OR","EQY_CONSOLIDATED=Y","Sort=A","Dates=H","DateFormat=P","Fill=—","Direction=H","UseDPDF=Y")</f>
        <v>#NAME?</v>
      </c>
      <c r="BY376" s="3" t="e">
        <f ca="1">_xll.BDH($C$353,"SHORT_AND_LONG_TERM_DEBT","FQ3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376" s="3" t="e">
        <f ca="1">_xll.BDH($C$353,"BS_ST_BORROW","FQ3 2018","FQ3 2018","Currency=INR","Period=FQ","BEST_FPERIOD_OVERRIDE=FQ","FILING_STATUS=OR","EQY_CONSOLIDATED=Y","SCALING_FORMAT=MLN","Sort=A","Dates=H","DateFormat=P","Fill=—","Direction=H","UseDPDF=Y")</f>
        <v>#NAME?</v>
      </c>
      <c r="CA376" s="3" t="e">
        <f ca="1">_xll.BDH($C$353,"BS_LT_BORROW","FQ3 2018","FQ3 2018","Currency=INR","Period=FQ","BEST_FPERIOD_OVERRIDE=FQ","FILING_STATUS=OR","EQY_CONSOLIDATED=Y","SCALING_FORMAT=MLN","Sort=A","Dates=H","DateFormat=P","Fill=—","Direction=H","UseDPDF=Y")</f>
        <v>#NAME?</v>
      </c>
      <c r="CB376" s="2" t="e">
        <f ca="1">_xll.BDH($C$353,"TOT_DEBT_TO_EBITDA","FQ3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376" s="2" t="e">
        <f ca="1">_xll.BDH($C$353,"NET_DEBT_TO_EBITDA","FQ3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376" s="2" t="e">
        <f ca="1">_xll.BDH($C$353,"TOTAL_DEBT_TO_EBIT","FQ3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376" s="2" t="e">
        <f ca="1">_xll.BDH($C$353,"NET_DEBT_TO_EBIT","FQ3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376" s="2" t="e">
        <f ca="1">_xll.BDH($C$353,"EBITDA_TO_INTEREST_EXPN","FQ3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376" s="2" t="e">
        <f ca="1">_xll.BDH($C$353,"COM_EQY_TO_TOT_ASSET","FQ3 2018","FQ3 2018","Currency=INR","Period=FQ","BEST_FPERIOD_OVERRIDE=FQ","FILING_STATUS=OR","EQY_CONSOLIDATED=Y","Sort=A","Dates=H","DateFormat=P","Fill=—","Direction=H","UseDPDF=Y")</f>
        <v>#NAME?</v>
      </c>
      <c r="CH376" s="2" t="e">
        <f ca="1">_xll.BDH($C$353,"LT_DEBT_TO_TOT_EQY","FQ3 2018","FQ3 2018","Currency=INR","Period=FQ","BEST_FPERIOD_OVERRIDE=FQ","FILING_STATUS=OR","EQY_CONSOLIDATED=Y","Sort=A","Dates=H","DateFormat=P","Fill=—","Direction=H","UseDPDF=Y")</f>
        <v>#NAME?</v>
      </c>
      <c r="CI376" s="2" t="e">
        <f ca="1">_xll.BDH($C$353,"LT_DEBT_TO_TOT_CAP","FQ3 2018","FQ3 2018","Currency=INR","Period=FQ","BEST_FPERIOD_OVERRIDE=FQ","FILING_STATUS=OR","EQY_CONSOLIDATED=Y","Sort=A","Dates=H","DateFormat=P","Fill=—","Direction=H","UseDPDF=Y")</f>
        <v>#NAME?</v>
      </c>
      <c r="CJ376" s="2" t="e">
        <f ca="1">_xll.BDH($C$353,"LT_DEBT_TO_TOT_ASSET","FQ3 2018","FQ3 2018","Currency=INR","Period=FQ","BEST_FPERIOD_OVERRIDE=FQ","FILING_STATUS=OR","EQY_CONSOLIDATED=Y","Sort=A","Dates=H","DateFormat=P","Fill=—","Direction=H","UseDPDF=Y")</f>
        <v>#NAME?</v>
      </c>
      <c r="CK376" s="2" t="e">
        <f ca="1">_xll.BDH($C$353,"TOT_DEBT_TO_TOT_EQY","FQ3 2018","FQ3 2018","Currency=INR","Period=FQ","BEST_FPERIOD_OVERRIDE=FQ","FILING_STATUS=OR","EQY_CONSOLIDATED=Y","Sort=A","Dates=H","DateFormat=P","Fill=—","Direction=H","UseDPDF=Y")</f>
        <v>#NAME?</v>
      </c>
      <c r="CL376" s="2" t="e">
        <f ca="1">_xll.BDH($C$353,"TOT_DEBT_TO_TOT_CAP","FQ3 2018","FQ3 2018","Currency=INR","Period=FQ","BEST_FPERIOD_OVERRIDE=FQ","FILING_STATUS=OR","EQY_CONSOLIDATED=Y","Sort=A","Dates=H","DateFormat=P","Fill=—","Direction=H","UseDPDF=Y")</f>
        <v>#NAME?</v>
      </c>
      <c r="CM376" s="2" t="e">
        <f ca="1">_xll.BDH($C$353,"TOT_DEBT_TO_TOT_ASSET","FQ3 2018","FQ3 2018","Currency=INR","Period=FQ","BEST_FPERIOD_OVERRIDE=FQ","FILING_STATUS=OR","EQY_CONSOLIDATED=Y","Sort=A","Dates=H","DateFormat=P","Fill=—","Direction=H","UseDPDF=Y")</f>
        <v>#NAME?</v>
      </c>
      <c r="CN376" s="2" t="e">
        <f ca="1">_xll.BDH($C$353,"NET_DEBT_TO_SHRHLDR_EQTY","FQ3 2018","FQ3 2018","Currency=INR","Period=FQ","BEST_FPERIOD_OVERRIDE=FQ","FILING_STATUS=OR","EQY_CONSOLIDATED=Y","Sort=A","Dates=H","DateFormat=P","Fill=—","Direction=H","UseDPDF=Y")</f>
        <v>#NAME?</v>
      </c>
      <c r="CO376" s="2" t="e">
        <f ca="1">_xll.BDH($C$353,"NET_DEBT_%_CAPITAL","FQ3 2018","FQ3 2018","Currency=INR","Period=FQ","BEST_FPERIOD_OVERRIDE=FQ","FILING_STATUS=OR","EQY_CONSOLIDATED=Y","Sort=A","Dates=H","DateFormat=P","Fill=—","Direction=H","UseDPDF=Y")</f>
        <v>#NAME?</v>
      </c>
      <c r="CP376" s="3" t="e">
        <f ca="1">_xll.BDH($C$353,"EBITDA","FQ3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376" s="3" t="e">
        <f ca="1">_xll.BDH($C$353,"EBITDA_AFTER_CAPEX","FQ3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376" s="3" t="e">
        <f ca="1">_xll.BDH($C$353,"IS_OPER_INC","FQ3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376" s="2" t="e">
        <f ca="1">_xll.BDH($C$353,"CASH_RATIO","FQ3 2018","FQ3 2018","Currency=INR","Period=FQ","BEST_FPERIOD_OVERRIDE=FQ","FILING_STATUS=OR","EQY_CONSOLIDATED=Y","Sort=A","Dates=H","DateFormat=P","Fill=—","Direction=H","UseDPDF=Y")</f>
        <v>#NAME?</v>
      </c>
      <c r="CT376" s="2" t="e">
        <f ca="1">_xll.BDH($C$353,"CUR_RATIO","FQ3 2018","FQ3 2018","Currency=INR","Period=FQ","BEST_FPERIOD_OVERRIDE=FQ","FILING_STATUS=OR","EQY_CONSOLIDATED=Y","Sort=A","Dates=H","DateFormat=P","Fill=—","Direction=H","UseDPDF=Y")</f>
        <v>#NAME?</v>
      </c>
      <c r="CU376" s="2" t="e">
        <f ca="1">_xll.BDH($C$353,"QUICK_RATIO","FQ3 2018","FQ3 2018","Currency=INR","Period=FQ","BEST_FPERIOD_OVERRIDE=FQ","FILING_STATUS=OR","EQY_CONSOLIDATED=Y","Sort=A","Dates=H","DateFormat=P","Fill=—","Direction=H","UseDPDF=Y")</f>
        <v>#NAME?</v>
      </c>
      <c r="CV376" s="2" t="e">
        <f ca="1">_xll.BDH($C$353,"ALTMAN_Z_SCORE","FQ3 2018","FQ3 2018","Currency=INR","Period=FQ","BEST_FPERIOD_OVERRIDE=FQ","FILING_STATUS=OR","EQY_CONSOLIDATED=Y","Sort=A","Dates=H","DateFormat=P","Fill=—","Direction=H","UseDPDF=Y")</f>
        <v>#NAME?</v>
      </c>
      <c r="CW376" s="4" t="e">
        <f ca="1">_xll.BDH($C$353,"ACCT_RCV_TURN","FQ3 2018","FQ3 2018","Currency=INR","Period=FQ","BEST_FPERIOD_OVERRIDE=FQ","FILING_STATUS=OR","EQY_CONSOLIDATED=Y","FA_ADJUSTED=GAAP","Sort=A","Dates=H","DateFormat=P","Fill=—","Direction=H","UseDPDF=Y")</f>
        <v>#NAME?</v>
      </c>
      <c r="CX376" s="2" t="e">
        <f ca="1">_xll.BDH($C$353,"ACCT_RCV_DAYS","FQ3 2018","FQ3 2018","Currency=INR","Period=FQ","BEST_FPERIOD_OVERRIDE=FQ","FILING_STATUS=OR","EQY_CONSOLIDATED=Y","FA_ADJUSTED=GAAP","Sort=A","Dates=H","DateFormat=P","Fill=—","Direction=H","UseDPDF=Y")</f>
        <v>#NAME?</v>
      </c>
      <c r="CY376" s="4" t="e">
        <f ca="1">_xll.BDH($C$353,"INVENT_TURN","FQ3 2018","FQ3 2018","Currency=INR","Period=FQ","BEST_FPERIOD_OVERRIDE=FQ","FILING_STATUS=OR","EQY_CONSOLIDATED=Y","FA_ADJUSTED=GAAP","Sort=A","Dates=H","DateFormat=P","Fill=—","Direction=H","UseDPDF=Y")</f>
        <v>#NAME?</v>
      </c>
      <c r="CZ376" s="2" t="e">
        <f ca="1">_xll.BDH($C$353,"INVENT_DAYS","FQ3 2018","FQ3 2018","Currency=INR","Period=FQ","BEST_FPERIOD_OVERRIDE=FQ","FILING_STATUS=OR","EQY_CONSOLIDATED=Y","FA_ADJUSTED=GAAP","Sort=A","Dates=H","DateFormat=P","Fill=—","Direction=H","UseDPDF=Y")</f>
        <v>#NAME?</v>
      </c>
      <c r="DA376" s="4" t="e">
        <f ca="1">_xll.BDH($C$353,"ACCOUNTS_PAYABLE_TURNOVER","FQ3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376" s="2" t="e">
        <f ca="1">_xll.BDH($C$353,"ACCOUNTS_PAYABLE_TURNOVER_DAYS","FQ3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376" s="4" t="e">
        <f ca="1">_xll.BDH($C$353,"CASH_CONVERSION_CYCLE","FQ3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376" s="4" t="e">
        <f ca="1">_xll.BDH($C$353,"INV_TO_CASH_DAYS","FQ3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376" s="5" t="e">
        <f ca="1">_xll.BDH($C$353,"BS_INVENTORIES","FQ3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376" s="3" t="e">
        <f ca="1">_xll.BDH($C$353,"INVTRY_RAW_MATERIALS","FQ3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376" s="3" t="e">
        <f ca="1">_xll.BDH($C$353,"INVTRY_IN_PROGRESS","FQ3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376" s="3" t="e">
        <f ca="1">_xll.BDH($C$353,"INVTRY_FINISHED_GOODS","FQ3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376" s="3" t="e">
        <f ca="1">_xll.BDH($C$353,"BS_OTHER_INV","FQ3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377" spans="1:113" x14ac:dyDescent="0.3">
      <c r="A377" s="6"/>
      <c r="B377" s="6"/>
      <c r="C377" s="6"/>
      <c r="D377" s="6"/>
      <c r="E377" t="s">
        <v>81</v>
      </c>
      <c r="F377" t="e">
        <f ca="1">_xll.BDH($C$353,"RETURN_COM_EQY","FQ4 2018","FQ4 2018","Currency=INR","Period=FQ","BEST_FPERIOD_OVERRIDE=FQ","FILING_STATUS=OR","EQY_CONSOLIDATED=Y","FA_ADJUSTED=GAAP","Sort=A","Dates=H","DateFormat=P","Fill=—","Direction=H","UseDPDF=Y")</f>
        <v>#NAME?</v>
      </c>
      <c r="G377" t="e">
        <f ca="1">_xll.BDH($C$353,"RETURN_ON_ASSET","FQ4 2018","FQ4 2018","Currency=INR","Period=FQ","BEST_FPERIOD_OVERRIDE=FQ","FILING_STATUS=OR","EQY_CONSOLIDATED=Y","FA_ADJUSTED=GAAP","Sort=A","Dates=H","DateFormat=P","Fill=—","Direction=H","UseDPDF=Y")</f>
        <v>#NAME?</v>
      </c>
      <c r="H377" t="e">
        <f ca="1">_xll.BDH($C$353,"RETURN_ON_CAP","FQ4 2018","FQ4 2018","Currency=INR","Period=FQ","BEST_FPERIOD_OVERRIDE=FQ","FILING_STATUS=OR","EQY_CONSOLIDATED=Y","FA_ADJUSTED=GAAP","Sort=A","Dates=H","DateFormat=P","Fill=—","Direction=H","UseDPDF=Y")</f>
        <v>#NAME?</v>
      </c>
      <c r="I377" t="e">
        <f ca="1">_xll.BDH($C$353,"RETURN_ON_INV_CAPITAL","FQ4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377" t="e">
        <f ca="1">_xll.BDH($C$353,"EBITDA_TO_REVENUE","FQ4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377" t="e">
        <f ca="1">_xll.BDH($C$353,"OPER_MARGIN","FQ4 2018","FQ4 2018","Currency=INR","Period=FQ","BEST_FPERIOD_OVERRIDE=FQ","FILING_STATUS=OR","EQY_CONSOLIDATED=Y","FA_ADJUSTED=GAAP","Sort=A","Dates=H","DateFormat=P","Fill=—","Direction=H","UseDPDF=Y")</f>
        <v>#NAME?</v>
      </c>
      <c r="L377" t="e">
        <f ca="1">_xll.BDH($C$353,"INCREMENTAL_OPERATING_MARGIN","FQ4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377" t="e">
        <f ca="1">_xll.BDH($C$353,"PRETAX_INC_TO_NET_SALES","FQ4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377" t="e">
        <f ca="1">_xll.BDH($C$353,"INC_BEF_XO_ITEMS_TO_NET_SALES","FQ4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377" t="e">
        <f ca="1">_xll.BDH($C$353,"PROF_MARGIN","FQ4 2018","FQ4 2018","Currency=INR","Period=FQ","BEST_FPERIOD_OVERRIDE=FQ","FILING_STATUS=OR","EQY_CONSOLIDATED=Y","FA_ADJUSTED=GAAP","Sort=A","Dates=H","DateFormat=P","Fill=—","Direction=H","UseDPDF=Y")</f>
        <v>#NAME?</v>
      </c>
      <c r="P377" t="e">
        <f ca="1">_xll.BDH($C$353,"NET_INCOME_TO_COMMON_MARGIN","FQ4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377" t="e">
        <f ca="1">_xll.BDH($C$353,"EFF_TAX_RATE","FQ4 2018","FQ4 2018","Currency=INR","Period=FQ","BEST_FPERIOD_OVERRIDE=FQ","FILING_STATUS=OR","EQY_CONSOLIDATED=Y","FA_ADJUSTED=GAAP","Sort=A","Dates=H","DateFormat=P","Fill=—","Direction=H","UseDPDF=Y")</f>
        <v>#NAME?</v>
      </c>
      <c r="R377" t="e">
        <f ca="1">_xll.BDH($C$353,"DVD_PAYOUT_RATIO","FQ4 2018","FQ4 2018","Currency=INR","Period=FQ","BEST_FPERIOD_OVERRIDE=FQ","FILING_STATUS=OR","EQY_CONSOLIDATED=Y","FA_ADJUSTED=GAAP","Sort=A","Dates=H","DateFormat=P","Fill=—","Direction=H","UseDPDF=Y")</f>
        <v>#NAME?</v>
      </c>
      <c r="S377" t="e">
        <f ca="1">_xll.BDH($C$353,"SUSTAIN_GROWTH_RT","FQ4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377" s="2" t="e">
        <f ca="1">_xll.BDH($C$353,"SALES_GROWTH","FQ4 2018","FQ4 2018","Currency=INR","Period=FQ","BEST_FPERIOD_OVERRIDE=FQ","FILING_STATUS=OR","EQY_CONSOLIDATED=Y","FA_ADJUSTED=GAAP","Sort=A","Dates=H","DateFormat=P","Fill=—","Direction=H","UseDPDF=Y")</f>
        <v>#NAME?</v>
      </c>
      <c r="U377" s="2" t="e">
        <f ca="1">_xll.BDH($C$353,"EBITDA_GROWTH","FQ4 2018","FQ4 2018","Currency=INR","Period=FQ","BEST_FPERIOD_OVERRIDE=FQ","FILING_STATUS=OR","EQY_CONSOLIDATED=Y","FA_ADJUSTED=GAAP","Sort=A","Dates=H","DateFormat=P","Fill=—","Direction=H","UseDPDF=Y")</f>
        <v>#NAME?</v>
      </c>
      <c r="V377" s="2" t="e">
        <f ca="1">_xll.BDH($C$353,"OPER_INC_GROWTH","FQ4 2018","FQ4 2018","Currency=INR","Period=FQ","BEST_FPERIOD_OVERRIDE=FQ","FILING_STATUS=OR","EQY_CONSOLIDATED=Y","FA_ADJUSTED=GAAP","Sort=A","Dates=H","DateFormat=P","Fill=—","Direction=H","UseDPDF=Y")</f>
        <v>#NAME?</v>
      </c>
      <c r="W377" s="2" t="e">
        <f ca="1">_xll.BDH($C$353,"EARN_FOR_COM_GROWTH","FQ4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377" s="2" t="e">
        <f ca="1">_xll.BDH($C$353,"DILUTED_EPS_AFT_XO_ITEMS_GROWTH","FQ4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377" s="2" t="e">
        <f ca="1">_xll.BDH($C$353,"DIVIDEND_PER_SHARE_1_YEAR_GROWTH","FQ4 2018","FQ4 2018","Currency=INR","Period=FQ","BEST_FPERIOD_OVERRIDE=FQ","FILING_STATUS=OR","EQY_CONSOLIDATED=Y","Sort=A","Dates=H","DateFormat=P","Fill=—","Direction=H","UseDPDF=Y")</f>
        <v>#NAME?</v>
      </c>
      <c r="Z377" s="2" t="e">
        <f ca="1">_xll.BDH($C$353,"ACCOUNTS_RECEIVABLE_GROWTH","FQ4 2018","FQ4 2018","Currency=INR","Period=FQ","BEST_FPERIOD_OVERRIDE=FQ","FILING_STATUS=OR","EQY_CONSOLIDATED=Y","Sort=A","Dates=H","DateFormat=P","Fill=—","Direction=H","UseDPDF=Y")</f>
        <v>#NAME?</v>
      </c>
      <c r="AA377" s="2" t="e">
        <f ca="1">_xll.BDH($C$353,"INVENTORY_GROWTH","FQ4 2018","FQ4 2018","Currency=INR","Period=FQ","BEST_FPERIOD_OVERRIDE=FQ","FILING_STATUS=OR","EQY_CONSOLIDATED=Y","Sort=A","Dates=H","DateFormat=P","Fill=—","Direction=H","UseDPDF=Y")</f>
        <v>#NAME?</v>
      </c>
      <c r="AB377" s="2" t="e">
        <f ca="1">_xll.BDH($C$353,"NET_FIXED_ASSETS_1_YEAR_GROWTH","FQ4 2018","FQ4 2018","Currency=INR","Period=FQ","BEST_FPERIOD_OVERRIDE=FQ","FILING_STATUS=OR","EQY_CONSOLIDATED=Y","Sort=A","Dates=H","DateFormat=P","Fill=—","Direction=H","UseDPDF=Y")</f>
        <v>#NAME?</v>
      </c>
      <c r="AC377" s="2" t="e">
        <f ca="1">_xll.BDH($C$353,"ASSET_GROWTH","FQ4 2018","FQ4 2018","Currency=INR","Period=FQ","BEST_FPERIOD_OVERRIDE=FQ","FILING_STATUS=OR","EQY_CONSOLIDATED=Y","Sort=A","Dates=H","DateFormat=P","Fill=—","Direction=H","UseDPDF=Y")</f>
        <v>#NAME?</v>
      </c>
      <c r="AD377" s="2" t="e">
        <f ca="1">_xll.BDH($C$353,"MODIFIED_WORK_CAP_GROWTH","FQ4 2018","FQ4 2018","Currency=INR","Period=FQ","BEST_FPERIOD_OVERRIDE=FQ","FILING_STATUS=OR","EQY_CONSOLIDATED=Y","Sort=A","Dates=H","DateFormat=P","Fill=—","Direction=H","UseDPDF=Y")</f>
        <v>#NAME?</v>
      </c>
      <c r="AE377" s="2" t="e">
        <f ca="1">_xll.BDH($C$353,"WORK_CAP_GROWTH","FQ4 2018","FQ4 2018","Currency=INR","Period=FQ","BEST_FPERIOD_OVERRIDE=FQ","FILING_STATUS=OR","EQY_CONSOLIDATED=Y","Sort=A","Dates=H","DateFormat=P","Fill=—","Direction=H","UseDPDF=Y")</f>
        <v>#NAME?</v>
      </c>
      <c r="AF377" s="2" t="e">
        <f ca="1">_xll.BDH($C$353,"ACCOUNTS_PAYABLE_GROWTH_1YR","FQ4 2018","FQ4 2018","Currency=INR","Period=FQ","BEST_FPERIOD_OVERRIDE=FQ","FILING_STATUS=OR","EQY_CONSOLIDATED=Y","Sort=A","Dates=H","DateFormat=P","Fill=—","Direction=H","UseDPDF=Y")</f>
        <v>#NAME?</v>
      </c>
      <c r="AG377" s="2" t="e">
        <f ca="1">_xll.BDH($C$353,"SHORT_TERM_DEBT_1_YEAR_GROWTH","FQ4 2018","FQ4 2018","Currency=INR","Period=FQ","BEST_FPERIOD_OVERRIDE=FQ","FILING_STATUS=OR","EQY_CONSOLIDATED=Y","Sort=A","Dates=H","DateFormat=P","Fill=—","Direction=H","UseDPDF=Y")</f>
        <v>#NAME?</v>
      </c>
      <c r="AH377" s="2" t="e">
        <f ca="1">_xll.BDH($C$353,"TOTAL_DEBT_1_YEAR_GROWTH","FQ4 2018","FQ4 2018","Currency=INR","Period=FQ","BEST_FPERIOD_OVERRIDE=FQ","FILING_STATUS=OR","EQY_CONSOLIDATED=Y","Sort=A","Dates=H","DateFormat=P","Fill=—","Direction=H","UseDPDF=Y")</f>
        <v>#NAME?</v>
      </c>
      <c r="AI377" s="2" t="e">
        <f ca="1">_xll.BDH($C$353,"TOTAL_EQUITY_1_YEAR_GROWTH","FQ4 2018","FQ4 2018","Currency=INR","Period=FQ","BEST_FPERIOD_OVERRIDE=FQ","FILING_STATUS=OR","EQY_CONSOLIDATED=Y","Sort=A","Dates=H","DateFormat=P","Fill=—","Direction=H","UseDPDF=Y")</f>
        <v>#NAME?</v>
      </c>
      <c r="AJ377" s="2" t="e">
        <f ca="1">_xll.BDH($C$353,"GROWTH_IN_CAP","FQ4 2018","FQ4 2018","Currency=INR","Period=FQ","BEST_FPERIOD_OVERRIDE=FQ","FILING_STATUS=OR","EQY_CONSOLIDATED=Y","Sort=A","Dates=H","DateFormat=P","Fill=—","Direction=H","UseDPDF=Y")</f>
        <v>#NAME?</v>
      </c>
      <c r="AK377" s="2" t="e">
        <f ca="1">_xll.BDH($C$353,"BVPS_GROWTH","FQ4 2018","FQ4 2018","Currency=INR","Period=FQ","BEST_FPERIOD_OVERRIDE=FQ","FILING_STATUS=OR","EQY_CONSOLIDATED=Y","Sort=A","Dates=H","DateFormat=P","Fill=—","Direction=H","UseDPDF=Y")</f>
        <v>#NAME?</v>
      </c>
      <c r="AL377" s="2" t="e">
        <f ca="1">_xll.BDH($C$353,"CASH_FLOW_GROWTH","FQ4 2018","FQ4 2018","Currency=INR","Period=FQ","BEST_FPERIOD_OVERRIDE=FQ","FILING_STATUS=OR","EQY_CONSOLIDATED=Y","Sort=A","Dates=H","DateFormat=P","Fill=—","Direction=H","UseDPDF=Y")</f>
        <v>#NAME?</v>
      </c>
      <c r="AM377" s="2" t="e">
        <f ca="1">_xll.BDH($C$353,"GEO_GROW_NET_SALES","FQ4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377" s="2" t="e">
        <f ca="1">_xll.BDH($C$353,"GEO_GROW_EBITDA","FQ4 2018","FQ4 2018","Currency=INR","Period=FQ","BEST_FPERIOD_OVERRIDE=FQ","FILING_STATUS=OR","EQY_CONSOLIDATED=Y","FA_ADJUSTED=GAAP","Sort=A","Dates=H","DateFormat=P","Fill=—","Direction=H","UseDPDF=Y")</f>
        <v>#NAME?</v>
      </c>
      <c r="AO377" s="2" t="e">
        <f ca="1">_xll.BDH($C$353,"GEO_GROW_OPER_INC","FQ4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377" s="2" t="e">
        <f ca="1">_xll.BDH($C$353,"NET_INCOME_TO_COMMON_5_YR_GROWTH","FQ4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377" s="2" t="e">
        <f ca="1">_xll.BDH($C$353,"5Y_GEO_GROWTH_DILUTED_EPS","FQ4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377" s="2" t="e">
        <f ca="1">_xll.BDH($C$353,"GEO_GROW_DVD_PER_SH","FQ4 2018","FQ4 2018","Currency=INR","Period=FQ","BEST_FPERIOD_OVERRIDE=FQ","FILING_STATUS=OR","EQY_CONSOLIDATED=Y","Sort=A","Dates=H","DateFormat=P","Fill=—","Direction=H","UseDPDF=Y")</f>
        <v>#NAME?</v>
      </c>
      <c r="AS377" s="2" t="e">
        <f ca="1">_xll.BDH($C$353,"ACCOUNTS_RECEIVABLE_5_YR_GROWTH","FQ4 2018","FQ4 2018","Currency=INR","Period=FQ","BEST_FPERIOD_OVERRIDE=FQ","FILING_STATUS=OR","EQY_CONSOLIDATED=Y","Sort=A","Dates=H","DateFormat=P","Fill=—","Direction=H","UseDPDF=Y")</f>
        <v>#NAME?</v>
      </c>
      <c r="AT377" s="2" t="e">
        <f ca="1">_xll.BDH($C$353,"INVENTORY_5_YEAR_GROWTH","FQ4 2018","FQ4 2018","Currency=INR","Period=FQ","BEST_FPERIOD_OVERRIDE=FQ","FILING_STATUS=OR","EQY_CONSOLIDATED=Y","Sort=A","Dates=H","DateFormat=P","Fill=—","Direction=H","UseDPDF=Y")</f>
        <v>#NAME?</v>
      </c>
      <c r="AU377" s="2" t="e">
        <f ca="1">_xll.BDH($C$353,"NET_FIXED_ASSETS_5_YEAR_GROWTH","FQ4 2018","FQ4 2018","Currency=INR","Period=FQ","BEST_FPERIOD_OVERRIDE=FQ","FILING_STATUS=OR","EQY_CONSOLIDATED=Y","Sort=A","Dates=H","DateFormat=P","Fill=—","Direction=H","UseDPDF=Y")</f>
        <v>#NAME?</v>
      </c>
      <c r="AV377" s="2" t="e">
        <f ca="1">_xll.BDH($C$353,"GEO_GROW_TOT_ASSET","FQ4 2018","FQ4 2018","Currency=INR","Period=FQ","BEST_FPERIOD_OVERRIDE=FQ","FILING_STATUS=OR","EQY_CONSOLIDATED=Y","Sort=A","Dates=H","DateFormat=P","Fill=—","Direction=H","UseDPDF=Y")</f>
        <v>#NAME?</v>
      </c>
      <c r="AW377" s="2" t="e">
        <f ca="1">_xll.BDH($C$353,"MODIFIED_WORKING_CPTL_5YR_GRWTH","FQ4 2018","FQ4 2018","Currency=INR","Period=FQ","BEST_FPERIOD_OVERRIDE=FQ","FILING_STATUS=OR","EQY_CONSOLIDATED=Y","Sort=A","Dates=H","DateFormat=P","Fill=—","Direction=H","UseDPDF=Y")</f>
        <v>#NAME?</v>
      </c>
      <c r="AX377" s="2" t="e">
        <f ca="1">_xll.BDH($C$353,"WORKING_CAPITAL_5_YEAR_GROWTH","FQ4 2018","FQ4 2018","Currency=INR","Period=FQ","BEST_FPERIOD_OVERRIDE=FQ","FILING_STATUS=OR","EQY_CONSOLIDATED=Y","Sort=A","Dates=H","DateFormat=P","Fill=—","Direction=H","UseDPDF=Y")</f>
        <v>#NAME?</v>
      </c>
      <c r="AY377" s="2" t="e">
        <f ca="1">_xll.BDH($C$353,"ACCOUNTS_PAYABLE_5_YEAR_GROWTH","FQ4 2018","FQ4 2018","Currency=INR","Period=FQ","BEST_FPERIOD_OVERRIDE=FQ","FILING_STATUS=OR","EQY_CONSOLIDATED=Y","Sort=A","Dates=H","DateFormat=P","Fill=—","Direction=H","UseDPDF=Y")</f>
        <v>#NAME?</v>
      </c>
      <c r="AZ377" s="2" t="e">
        <f ca="1">_xll.BDH($C$353,"SHORT_TERM_DEBT_5_YEAR_GROWTH","FQ4 2018","FQ4 2018","Currency=INR","Period=FQ","BEST_FPERIOD_OVERRIDE=FQ","FILING_STATUS=OR","EQY_CONSOLIDATED=Y","Sort=A","Dates=H","DateFormat=P","Fill=—","Direction=H","UseDPDF=Y")</f>
        <v>#NAME?</v>
      </c>
      <c r="BA377" s="2" t="e">
        <f ca="1">_xll.BDH($C$353,"TOTAL_DEBT_5_YEAR_GROWTH","FQ4 2018","FQ4 2018","Currency=INR","Period=FQ","BEST_FPERIOD_OVERRIDE=FQ","FILING_STATUS=OR","EQY_CONSOLIDATED=Y","Sort=A","Dates=H","DateFormat=P","Fill=—","Direction=H","UseDPDF=Y")</f>
        <v>#NAME?</v>
      </c>
      <c r="BB377" s="2" t="e">
        <f ca="1">_xll.BDH($C$353,"GEO_GROW_TOT_SHRHLDR_EQY","FQ4 2018","FQ4 2018","Currency=INR","Period=FQ","BEST_FPERIOD_OVERRIDE=FQ","FILING_STATUS=OR","EQY_CONSOLIDATED=Y","Sort=A","Dates=H","DateFormat=P","Fill=—","Direction=H","UseDPDF=Y")</f>
        <v>#NAME?</v>
      </c>
      <c r="BC377" s="2" t="e">
        <f ca="1">_xll.BDH($C$353,"TOTAL_CAPITAL_5_YEAR_GROWTH","FQ4 2018","FQ4 2018","Currency=INR","Period=FQ","BEST_FPERIOD_OVERRIDE=FQ","FILING_STATUS=OR","EQY_CONSOLIDATED=Y","Sort=A","Dates=H","DateFormat=P","Fill=—","Direction=H","UseDPDF=Y")</f>
        <v>#NAME?</v>
      </c>
      <c r="BD377" s="2" t="e">
        <f ca="1">_xll.BDH($C$353,"GEO_GROW_BOOK_VAL","FQ4 2018","FQ4 2018","Currency=INR","Period=FQ","BEST_FPERIOD_OVERRIDE=FQ","FILING_STATUS=OR","EQY_CONSOLIDATED=Y","Sort=A","Dates=H","DateFormat=P","Fill=—","Direction=H","UseDPDF=Y")</f>
        <v>#NAME?</v>
      </c>
      <c r="BE377" s="2" t="e">
        <f ca="1">_xll.BDH($C$353,"GEO_GROW_CASH_OPER_ACT","FQ4 2018","FQ4 2018","Currency=INR","Period=FQ","BEST_FPERIOD_OVERRIDE=FQ","FILING_STATUS=OR","EQY_CONSOLIDATED=Y","Sort=A","Dates=H","DateFormat=P","Fill=—","Direction=H","UseDPDF=Y")</f>
        <v>#NAME?</v>
      </c>
      <c r="BF377" s="2" t="e">
        <f ca="1">_xll.BDH($C$353,"REVENUE_SEQUENTIAL_GROWTH","FQ4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377" s="2" t="e">
        <f ca="1">_xll.BDH($C$353,"EBITDA_SEQUENTIAL_GROWTH","FQ4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377" s="2" t="e">
        <f ca="1">_xll.BDH($C$353,"OPERATING_INCOME_SEQ_GROWTH","FQ4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377" s="2" t="e">
        <f ca="1">_xll.BDH($C$353,"NET_INCOME_TO_COMMON_SEQ_GROWTH","FQ4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377" s="2" t="e">
        <f ca="1">_xll.BDH($C$353,"EPS_DILUTED_SEQUENTIAL_GROWTH","FQ4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377" s="2" t="e">
        <f ca="1">_xll.BDH($C$353,"DPS_SEQUENTIAL_GROWTH","FQ4 2018","FQ4 2018","Currency=INR","Period=FQ","BEST_FPERIOD_OVERRIDE=FQ","FILING_STATUS=OR","EQY_CONSOLIDATED=Y","Sort=A","Dates=H","DateFormat=P","Fill=—","Direction=H","UseDPDF=Y")</f>
        <v>#NAME?</v>
      </c>
      <c r="BL377" s="2" t="e">
        <f ca="1">_xll.BDH($C$353,"ACCOUNTS_RECEIVABLE_SEQ_GROWTH","FQ4 2018","FQ4 2018","Currency=INR","Period=FQ","BEST_FPERIOD_OVERRIDE=FQ","FILING_STATUS=OR","EQY_CONSOLIDATED=Y","Sort=A","Dates=H","DateFormat=P","Fill=—","Direction=H","UseDPDF=Y")</f>
        <v>#NAME?</v>
      </c>
      <c r="BM377" s="2" t="e">
        <f ca="1">_xll.BDH($C$353,"INVENTORY_SEQUENTIAL_GROWTH","FQ4 2018","FQ4 2018","Currency=INR","Period=FQ","BEST_FPERIOD_OVERRIDE=FQ","FILING_STATUS=OR","EQY_CONSOLIDATED=Y","Sort=A","Dates=H","DateFormat=P","Fill=—","Direction=H","UseDPDF=Y")</f>
        <v>#NAME?</v>
      </c>
      <c r="BN377" s="2" t="e">
        <f ca="1">_xll.BDH($C$353,"FIXED_ASSETS_SEQUENTIAL_GROWTH","FQ4 2018","FQ4 2018","Currency=INR","Period=FQ","BEST_FPERIOD_OVERRIDE=FQ","FILING_STATUS=OR","EQY_CONSOLIDATED=Y","Sort=A","Dates=H","DateFormat=P","Fill=—","Direction=H","UseDPDF=Y")</f>
        <v>#NAME?</v>
      </c>
      <c r="BO377" s="2" t="e">
        <f ca="1">_xll.BDH($C$353,"TOTAL_ASSETS_SEQUENTIAL_GROWTH","FQ4 2018","FQ4 2018","Currency=INR","Period=FQ","BEST_FPERIOD_OVERRIDE=FQ","FILING_STATUS=OR","EQY_CONSOLIDATED=Y","Sort=A","Dates=H","DateFormat=P","Fill=—","Direction=H","UseDPDF=Y")</f>
        <v>#NAME?</v>
      </c>
      <c r="BP377" s="2" t="e">
        <f ca="1">_xll.BDH($C$353,"MODIFIED_WORKING_CPTL_SEQ_GRWTH","FQ4 2018","FQ4 2018","Currency=INR","Period=FQ","BEST_FPERIOD_OVERRIDE=FQ","FILING_STATUS=OR","EQY_CONSOLIDATED=Y","Sort=A","Dates=H","DateFormat=P","Fill=—","Direction=H","UseDPDF=Y")</f>
        <v>#NAME?</v>
      </c>
      <c r="BQ377" s="2" t="e">
        <f ca="1">_xll.BDH($C$353,"WORKING_CAPITAL_SEQ_GROWTH","FQ4 2018","FQ4 2018","Currency=INR","Period=FQ","BEST_FPERIOD_OVERRIDE=FQ","FILING_STATUS=OR","EQY_CONSOLIDATED=Y","Sort=A","Dates=H","DateFormat=P","Fill=—","Direction=H","UseDPDF=Y")</f>
        <v>#NAME?</v>
      </c>
      <c r="BR377" s="2" t="e">
        <f ca="1">_xll.BDH($C$353,"ACCOUNTS_PAYABLE_SEQ_GROWTH","FQ4 2018","FQ4 2018","Currency=INR","Period=FQ","BEST_FPERIOD_OVERRIDE=FQ","FILING_STATUS=OR","EQY_CONSOLIDATED=Y","Sort=A","Dates=H","DateFormat=P","Fill=—","Direction=H","UseDPDF=Y")</f>
        <v>#NAME?</v>
      </c>
      <c r="BS377" s="2" t="e">
        <f ca="1">_xll.BDH($C$353,"ST_DEBT_SEQUENTIAL_GROWTH","FQ4 2018","FQ4 2018","Currency=INR","Period=FQ","BEST_FPERIOD_OVERRIDE=FQ","FILING_STATUS=OR","EQY_CONSOLIDATED=Y","Sort=A","Dates=H","DateFormat=P","Fill=—","Direction=H","UseDPDF=Y")</f>
        <v>#NAME?</v>
      </c>
      <c r="BT377" s="2" t="e">
        <f ca="1">_xll.BDH($C$353,"TOTAL_DEBT_SEQUENTIAL_GROWTH","FQ4 2018","FQ4 2018","Currency=INR","Period=FQ","BEST_FPERIOD_OVERRIDE=FQ","FILING_STATUS=OR","EQY_CONSOLIDATED=Y","Sort=A","Dates=H","DateFormat=P","Fill=—","Direction=H","UseDPDF=Y")</f>
        <v>#NAME?</v>
      </c>
      <c r="BU377" s="2" t="e">
        <f ca="1">_xll.BDH($C$353,"TOTAL_EQUITY_SEQUENTIAL_GROWTH","FQ4 2018","FQ4 2018","Currency=INR","Period=FQ","BEST_FPERIOD_OVERRIDE=FQ","FILING_STATUS=OR","EQY_CONSOLIDATED=Y","Sort=A","Dates=H","DateFormat=P","Fill=—","Direction=H","UseDPDF=Y")</f>
        <v>#NAME?</v>
      </c>
      <c r="BV377" s="2" t="e">
        <f ca="1">_xll.BDH($C$353,"TOTAL_CAPITAL_SEQUENTIAL_GROWTH","FQ4 2018","FQ4 2018","Currency=INR","Period=FQ","BEST_FPERIOD_OVERRIDE=FQ","FILING_STATUS=OR","EQY_CONSOLIDATED=Y","Sort=A","Dates=H","DateFormat=P","Fill=—","Direction=H","UseDPDF=Y")</f>
        <v>#NAME?</v>
      </c>
      <c r="BW377" s="2" t="e">
        <f ca="1">_xll.BDH($C$353,"BPS_SEQUENTIAL_GROWTH","FQ4 2018","FQ4 2018","Currency=INR","Period=FQ","BEST_FPERIOD_OVERRIDE=FQ","FILING_STATUS=OR","EQY_CONSOLIDATED=Y","Sort=A","Dates=H","DateFormat=P","Fill=—","Direction=H","UseDPDF=Y")</f>
        <v>#NAME?</v>
      </c>
      <c r="BX377" s="2" t="e">
        <f ca="1">_xll.BDH($C$353,"CFO_SEQUENTIAL_GROWTH","FQ4 2018","FQ4 2018","Currency=INR","Period=FQ","BEST_FPERIOD_OVERRIDE=FQ","FILING_STATUS=OR","EQY_CONSOLIDATED=Y","Sort=A","Dates=H","DateFormat=P","Fill=—","Direction=H","UseDPDF=Y")</f>
        <v>#NAME?</v>
      </c>
      <c r="BY377" s="3" t="e">
        <f ca="1">_xll.BDH($C$353,"SHORT_AND_LONG_TERM_DEBT","FQ4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377" s="3" t="e">
        <f ca="1">_xll.BDH($C$353,"BS_ST_BORROW","FQ4 2018","FQ4 2018","Currency=INR","Period=FQ","BEST_FPERIOD_OVERRIDE=FQ","FILING_STATUS=OR","EQY_CONSOLIDATED=Y","SCALING_FORMAT=MLN","Sort=A","Dates=H","DateFormat=P","Fill=—","Direction=H","UseDPDF=Y")</f>
        <v>#NAME?</v>
      </c>
      <c r="CA377" s="3" t="e">
        <f ca="1">_xll.BDH($C$353,"BS_LT_BORROW","FQ4 2018","FQ4 2018","Currency=INR","Period=FQ","BEST_FPERIOD_OVERRIDE=FQ","FILING_STATUS=OR","EQY_CONSOLIDATED=Y","SCALING_FORMAT=MLN","Sort=A","Dates=H","DateFormat=P","Fill=—","Direction=H","UseDPDF=Y")</f>
        <v>#NAME?</v>
      </c>
      <c r="CB377" s="2" t="e">
        <f ca="1">_xll.BDH($C$353,"TOT_DEBT_TO_EBITDA","FQ4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377" s="2" t="e">
        <f ca="1">_xll.BDH($C$353,"NET_DEBT_TO_EBITDA","FQ4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377" s="2" t="e">
        <f ca="1">_xll.BDH($C$353,"TOTAL_DEBT_TO_EBIT","FQ4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377" s="2" t="e">
        <f ca="1">_xll.BDH($C$353,"NET_DEBT_TO_EBIT","FQ4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377" s="2" t="e">
        <f ca="1">_xll.BDH($C$353,"EBITDA_TO_INTEREST_EXPN","FQ4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377" s="2" t="e">
        <f ca="1">_xll.BDH($C$353,"COM_EQY_TO_TOT_ASSET","FQ4 2018","FQ4 2018","Currency=INR","Period=FQ","BEST_FPERIOD_OVERRIDE=FQ","FILING_STATUS=OR","EQY_CONSOLIDATED=Y","Sort=A","Dates=H","DateFormat=P","Fill=—","Direction=H","UseDPDF=Y")</f>
        <v>#NAME?</v>
      </c>
      <c r="CH377" s="2" t="e">
        <f ca="1">_xll.BDH($C$353,"LT_DEBT_TO_TOT_EQY","FQ4 2018","FQ4 2018","Currency=INR","Period=FQ","BEST_FPERIOD_OVERRIDE=FQ","FILING_STATUS=OR","EQY_CONSOLIDATED=Y","Sort=A","Dates=H","DateFormat=P","Fill=—","Direction=H","UseDPDF=Y")</f>
        <v>#NAME?</v>
      </c>
      <c r="CI377" s="2" t="e">
        <f ca="1">_xll.BDH($C$353,"LT_DEBT_TO_TOT_CAP","FQ4 2018","FQ4 2018","Currency=INR","Period=FQ","BEST_FPERIOD_OVERRIDE=FQ","FILING_STATUS=OR","EQY_CONSOLIDATED=Y","Sort=A","Dates=H","DateFormat=P","Fill=—","Direction=H","UseDPDF=Y")</f>
        <v>#NAME?</v>
      </c>
      <c r="CJ377" s="2" t="e">
        <f ca="1">_xll.BDH($C$353,"LT_DEBT_TO_TOT_ASSET","FQ4 2018","FQ4 2018","Currency=INR","Period=FQ","BEST_FPERIOD_OVERRIDE=FQ","FILING_STATUS=OR","EQY_CONSOLIDATED=Y","Sort=A","Dates=H","DateFormat=P","Fill=—","Direction=H","UseDPDF=Y")</f>
        <v>#NAME?</v>
      </c>
      <c r="CK377" s="2" t="e">
        <f ca="1">_xll.BDH($C$353,"TOT_DEBT_TO_TOT_EQY","FQ4 2018","FQ4 2018","Currency=INR","Period=FQ","BEST_FPERIOD_OVERRIDE=FQ","FILING_STATUS=OR","EQY_CONSOLIDATED=Y","Sort=A","Dates=H","DateFormat=P","Fill=—","Direction=H","UseDPDF=Y")</f>
        <v>#NAME?</v>
      </c>
      <c r="CL377" s="2" t="e">
        <f ca="1">_xll.BDH($C$353,"TOT_DEBT_TO_TOT_CAP","FQ4 2018","FQ4 2018","Currency=INR","Period=FQ","BEST_FPERIOD_OVERRIDE=FQ","FILING_STATUS=OR","EQY_CONSOLIDATED=Y","Sort=A","Dates=H","DateFormat=P","Fill=—","Direction=H","UseDPDF=Y")</f>
        <v>#NAME?</v>
      </c>
      <c r="CM377" s="2" t="e">
        <f ca="1">_xll.BDH($C$353,"TOT_DEBT_TO_TOT_ASSET","FQ4 2018","FQ4 2018","Currency=INR","Period=FQ","BEST_FPERIOD_OVERRIDE=FQ","FILING_STATUS=OR","EQY_CONSOLIDATED=Y","Sort=A","Dates=H","DateFormat=P","Fill=—","Direction=H","UseDPDF=Y")</f>
        <v>#NAME?</v>
      </c>
      <c r="CN377" s="2" t="e">
        <f ca="1">_xll.BDH($C$353,"NET_DEBT_TO_SHRHLDR_EQTY","FQ4 2018","FQ4 2018","Currency=INR","Period=FQ","BEST_FPERIOD_OVERRIDE=FQ","FILING_STATUS=OR","EQY_CONSOLIDATED=Y","Sort=A","Dates=H","DateFormat=P","Fill=—","Direction=H","UseDPDF=Y")</f>
        <v>#NAME?</v>
      </c>
      <c r="CO377" s="2" t="e">
        <f ca="1">_xll.BDH($C$353,"NET_DEBT_%_CAPITAL","FQ4 2018","FQ4 2018","Currency=INR","Period=FQ","BEST_FPERIOD_OVERRIDE=FQ","FILING_STATUS=OR","EQY_CONSOLIDATED=Y","Sort=A","Dates=H","DateFormat=P","Fill=—","Direction=H","UseDPDF=Y")</f>
        <v>#NAME?</v>
      </c>
      <c r="CP377" s="3" t="e">
        <f ca="1">_xll.BDH($C$353,"EBITDA","FQ4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377" s="3" t="e">
        <f ca="1">_xll.BDH($C$353,"EBITDA_AFTER_CAPEX","FQ4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377" s="3" t="e">
        <f ca="1">_xll.BDH($C$353,"IS_OPER_INC","FQ4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377" s="2" t="e">
        <f ca="1">_xll.BDH($C$353,"CASH_RATIO","FQ4 2018","FQ4 2018","Currency=INR","Period=FQ","BEST_FPERIOD_OVERRIDE=FQ","FILING_STATUS=OR","EQY_CONSOLIDATED=Y","Sort=A","Dates=H","DateFormat=P","Fill=—","Direction=H","UseDPDF=Y")</f>
        <v>#NAME?</v>
      </c>
      <c r="CT377" s="2" t="e">
        <f ca="1">_xll.BDH($C$353,"CUR_RATIO","FQ4 2018","FQ4 2018","Currency=INR","Period=FQ","BEST_FPERIOD_OVERRIDE=FQ","FILING_STATUS=OR","EQY_CONSOLIDATED=Y","Sort=A","Dates=H","DateFormat=P","Fill=—","Direction=H","UseDPDF=Y")</f>
        <v>#NAME?</v>
      </c>
      <c r="CU377" s="2" t="e">
        <f ca="1">_xll.BDH($C$353,"QUICK_RATIO","FQ4 2018","FQ4 2018","Currency=INR","Period=FQ","BEST_FPERIOD_OVERRIDE=FQ","FILING_STATUS=OR","EQY_CONSOLIDATED=Y","Sort=A","Dates=H","DateFormat=P","Fill=—","Direction=H","UseDPDF=Y")</f>
        <v>#NAME?</v>
      </c>
      <c r="CV377" s="2" t="e">
        <f ca="1">_xll.BDH($C$353,"ALTMAN_Z_SCORE","FQ4 2018","FQ4 2018","Currency=INR","Period=FQ","BEST_FPERIOD_OVERRIDE=FQ","FILING_STATUS=OR","EQY_CONSOLIDATED=Y","Sort=A","Dates=H","DateFormat=P","Fill=—","Direction=H","UseDPDF=Y")</f>
        <v>#NAME?</v>
      </c>
      <c r="CW377" s="4" t="e">
        <f ca="1">_xll.BDH($C$353,"ACCT_RCV_TURN","FQ4 2018","FQ4 2018","Currency=INR","Period=FQ","BEST_FPERIOD_OVERRIDE=FQ","FILING_STATUS=OR","EQY_CONSOLIDATED=Y","FA_ADJUSTED=GAAP","Sort=A","Dates=H","DateFormat=P","Fill=—","Direction=H","UseDPDF=Y")</f>
        <v>#NAME?</v>
      </c>
      <c r="CX377" s="2" t="e">
        <f ca="1">_xll.BDH($C$353,"ACCT_RCV_DAYS","FQ4 2018","FQ4 2018","Currency=INR","Period=FQ","BEST_FPERIOD_OVERRIDE=FQ","FILING_STATUS=OR","EQY_CONSOLIDATED=Y","FA_ADJUSTED=GAAP","Sort=A","Dates=H","DateFormat=P","Fill=—","Direction=H","UseDPDF=Y")</f>
        <v>#NAME?</v>
      </c>
      <c r="CY377" s="4" t="e">
        <f ca="1">_xll.BDH($C$353,"INVENT_TURN","FQ4 2018","FQ4 2018","Currency=INR","Period=FQ","BEST_FPERIOD_OVERRIDE=FQ","FILING_STATUS=OR","EQY_CONSOLIDATED=Y","FA_ADJUSTED=GAAP","Sort=A","Dates=H","DateFormat=P","Fill=—","Direction=H","UseDPDF=Y")</f>
        <v>#NAME?</v>
      </c>
      <c r="CZ377" s="2" t="e">
        <f ca="1">_xll.BDH($C$353,"INVENT_DAYS","FQ4 2018","FQ4 2018","Currency=INR","Period=FQ","BEST_FPERIOD_OVERRIDE=FQ","FILING_STATUS=OR","EQY_CONSOLIDATED=Y","FA_ADJUSTED=GAAP","Sort=A","Dates=H","DateFormat=P","Fill=—","Direction=H","UseDPDF=Y")</f>
        <v>#NAME?</v>
      </c>
      <c r="DA377" s="4" t="e">
        <f ca="1">_xll.BDH($C$353,"ACCOUNTS_PAYABLE_TURNOVER","FQ4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377" s="2" t="e">
        <f ca="1">_xll.BDH($C$353,"ACCOUNTS_PAYABLE_TURNOVER_DAYS","FQ4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377" s="4" t="e">
        <f ca="1">_xll.BDH($C$353,"CASH_CONVERSION_CYCLE","FQ4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377" s="4" t="e">
        <f ca="1">_xll.BDH($C$353,"INV_TO_CASH_DAYS","FQ4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377" s="5" t="e">
        <f ca="1">_xll.BDH($C$353,"BS_INVENTORIES","FQ4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377" s="3" t="e">
        <f ca="1">_xll.BDH($C$353,"INVTRY_RAW_MATERIALS","FQ4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377" s="3" t="e">
        <f ca="1">_xll.BDH($C$353,"INVTRY_IN_PROGRESS","FQ4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377" s="3" t="e">
        <f ca="1">_xll.BDH($C$353,"INVTRY_FINISHED_GOODS","FQ4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377" s="3" t="e">
        <f ca="1">_xll.BDH($C$353,"BS_OTHER_INV","FQ4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378" spans="1:113" x14ac:dyDescent="0.3">
      <c r="A378" s="6">
        <v>16</v>
      </c>
      <c r="B378" s="6" t="s">
        <v>114</v>
      </c>
      <c r="C378" s="6" t="s">
        <v>115</v>
      </c>
      <c r="D378" s="6" t="s">
        <v>76</v>
      </c>
      <c r="E378" t="s">
        <v>77</v>
      </c>
      <c r="F378" t="e">
        <f ca="1">_xll.BDH($C$378,"RETURN_COM_EQY","FY 2014","FY 2014","Currency=INR","Period=FY","BEST_FPERIOD_OVERRIDE=FY","FILING_STATUS=OR","EQY_CONSOLIDATED=Y","FA_ADJUSTED=GAAP","Sort=A","Dates=H","DateFormat=P","Fill=—","Direction=H","UseDPDF=Y")</f>
        <v>#NAME?</v>
      </c>
      <c r="G378" t="e">
        <f ca="1">_xll.BDH($C$378,"RETURN_ON_ASSET","FY 2014","FY 2014","Currency=INR","Period=FY","BEST_FPERIOD_OVERRIDE=FY","FILING_STATUS=OR","EQY_CONSOLIDATED=Y","FA_ADJUSTED=GAAP","Sort=A","Dates=H","DateFormat=P","Fill=—","Direction=H","UseDPDF=Y")</f>
        <v>#NAME?</v>
      </c>
      <c r="H378" t="e">
        <f ca="1">_xll.BDH($C$378,"RETURN_ON_CAP","FY 2014","FY 2014","Currency=INR","Period=FY","BEST_FPERIOD_OVERRIDE=FY","FILING_STATUS=OR","EQY_CONSOLIDATED=Y","FA_ADJUSTED=GAAP","Sort=A","Dates=H","DateFormat=P","Fill=—","Direction=H","UseDPDF=Y")</f>
        <v>#NAME?</v>
      </c>
      <c r="I378" t="e">
        <f ca="1">_xll.BDH($C$378,"RETURN_ON_INV_CAPITAL","FY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378" t="e">
        <f ca="1">_xll.BDH($C$378,"EBITDA_TO_REVENUE","FY 2014","FY 2014","Currency=INR","Period=FY","BEST_FPERIOD_OVERRIDE=FY","FILING_STATUS=OR","EQY_CONSOLIDATED=Y","FA_ADJUSTED=GAAP","Sort=A","Dates=H","DateFormat=P","Fill=—","Direction=H","UseDPDF=Y")</f>
        <v>#NAME?</v>
      </c>
      <c r="K378" t="e">
        <f ca="1">_xll.BDH($C$378,"OPER_MARGIN","FY 2014","FY 2014","Currency=INR","Period=FY","BEST_FPERIOD_OVERRIDE=FY","FILING_STATUS=OR","EQY_CONSOLIDATED=Y","FA_ADJUSTED=GAAP","Sort=A","Dates=H","DateFormat=P","Fill=—","Direction=H","UseDPDF=Y")</f>
        <v>#NAME?</v>
      </c>
      <c r="L378" t="e">
        <f ca="1">_xll.BDH($C$378,"INCREMENTAL_OPERATING_MARGIN","FY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378" t="e">
        <f ca="1">_xll.BDH($C$378,"PRETAX_INC_TO_NET_SALES","FY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378" t="e">
        <f ca="1">_xll.BDH($C$378,"INC_BEF_XO_ITEMS_TO_NET_SALES","FY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378" t="e">
        <f ca="1">_xll.BDH($C$378,"PROF_MARGIN","FY 2014","FY 2014","Currency=INR","Period=FY","BEST_FPERIOD_OVERRIDE=FY","FILING_STATUS=OR","EQY_CONSOLIDATED=Y","FA_ADJUSTED=GAAP","Sort=A","Dates=H","DateFormat=P","Fill=—","Direction=H","UseDPDF=Y")</f>
        <v>#NAME?</v>
      </c>
      <c r="P378" t="e">
        <f ca="1">_xll.BDH($C$378,"NET_INCOME_TO_COMMON_MARGIN","FY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378" t="e">
        <f ca="1">_xll.BDH($C$378,"EFF_TAX_RATE","FY 2014","FY 2014","Currency=INR","Period=FY","BEST_FPERIOD_OVERRIDE=FY","FILING_STATUS=OR","EQY_CONSOLIDATED=Y","FA_ADJUSTED=GAAP","Sort=A","Dates=H","DateFormat=P","Fill=—","Direction=H","UseDPDF=Y")</f>
        <v>#NAME?</v>
      </c>
      <c r="R378" t="e">
        <f ca="1">_xll.BDH($C$378,"DVD_PAYOUT_RATIO","FY 2014","FY 2014","Currency=INR","Period=FY","BEST_FPERIOD_OVERRIDE=FY","FILING_STATUS=OR","EQY_CONSOLIDATED=Y","FA_ADJUSTED=GAAP","Sort=A","Dates=H","DateFormat=P","Fill=—","Direction=H","UseDPDF=Y")</f>
        <v>#NAME?</v>
      </c>
      <c r="S378" t="e">
        <f ca="1">_xll.BDH($C$378,"SUSTAIN_GROWTH_RT","FY 2014","FY 2014","Currency=INR","Period=FY","BEST_FPERIOD_OVERRIDE=FY","FILING_STATUS=OR","EQY_CONSOLIDATED=Y","FA_ADJUSTED=GAAP","Sort=A","Dates=H","DateFormat=P","Fill=—","Direction=H","UseDPDF=Y")</f>
        <v>#NAME?</v>
      </c>
      <c r="T378" s="2" t="e">
        <f ca="1">_xll.BDH($C$378,"SALES_GROWTH","FY 2014","FY 2014","Currency=INR","Period=FY","BEST_FPERIOD_OVERRIDE=FY","FILING_STATUS=OR","EQY_CONSOLIDATED=Y","FA_ADJUSTED=GAAP","Sort=A","Dates=H","DateFormat=P","Fill=—","Direction=H","UseDPDF=Y")</f>
        <v>#NAME?</v>
      </c>
      <c r="U378" s="2" t="e">
        <f ca="1">_xll.BDH($C$378,"EBITDA_GROWTH","FY 2014","FY 2014","Currency=INR","Period=FY","BEST_FPERIOD_OVERRIDE=FY","FILING_STATUS=OR","EQY_CONSOLIDATED=Y","FA_ADJUSTED=GAAP","Sort=A","Dates=H","DateFormat=P","Fill=—","Direction=H","UseDPDF=Y")</f>
        <v>#NAME?</v>
      </c>
      <c r="V378" s="2" t="e">
        <f ca="1">_xll.BDH($C$378,"OPER_INC_GROWTH","FY 2014","FY 2014","Currency=INR","Period=FY","BEST_FPERIOD_OVERRIDE=FY","FILING_STATUS=OR","EQY_CONSOLIDATED=Y","FA_ADJUSTED=GAAP","Sort=A","Dates=H","DateFormat=P","Fill=—","Direction=H","UseDPDF=Y")</f>
        <v>#NAME?</v>
      </c>
      <c r="W378" s="2" t="e">
        <f ca="1">_xll.BDH($C$378,"EARN_FOR_COM_GROWTH","FY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378" s="2" t="e">
        <f ca="1">_xll.BDH($C$378,"DILUTED_EPS_AFT_XO_ITEMS_GROWTH","FY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378" s="2" t="e">
        <f ca="1">_xll.BDH($C$378,"DIVIDEND_PER_SHARE_1_YEAR_GROWTH","FY 2014","FY 2014","Currency=INR","Period=FY","BEST_FPERIOD_OVERRIDE=FY","FILING_STATUS=OR","EQY_CONSOLIDATED=Y","Sort=A","Dates=H","DateFormat=P","Fill=—","Direction=H","UseDPDF=Y")</f>
        <v>#NAME?</v>
      </c>
      <c r="Z378" s="2" t="e">
        <f ca="1">_xll.BDH($C$378,"ACCOUNTS_RECEIVABLE_GROWTH","FY 2014","FY 2014","Currency=INR","Period=FY","BEST_FPERIOD_OVERRIDE=FY","FILING_STATUS=OR","EQY_CONSOLIDATED=Y","Sort=A","Dates=H","DateFormat=P","Fill=—","Direction=H","UseDPDF=Y")</f>
        <v>#NAME?</v>
      </c>
      <c r="AA378" s="2" t="e">
        <f ca="1">_xll.BDH($C$378,"INVENTORY_GROWTH","FY 2014","FY 2014","Currency=INR","Period=FY","BEST_FPERIOD_OVERRIDE=FY","FILING_STATUS=OR","EQY_CONSOLIDATED=Y","Sort=A","Dates=H","DateFormat=P","Fill=—","Direction=H","UseDPDF=Y")</f>
        <v>#NAME?</v>
      </c>
      <c r="AB378" s="2" t="e">
        <f ca="1">_xll.BDH($C$378,"NET_FIXED_ASSETS_1_YEAR_GROWTH","FY 2014","FY 2014","Currency=INR","Period=FY","BEST_FPERIOD_OVERRIDE=FY","FILING_STATUS=OR","EQY_CONSOLIDATED=Y","Sort=A","Dates=H","DateFormat=P","Fill=—","Direction=H","UseDPDF=Y")</f>
        <v>#NAME?</v>
      </c>
      <c r="AC378" s="2" t="e">
        <f ca="1">_xll.BDH($C$378,"ASSET_GROWTH","FY 2014","FY 2014","Currency=INR","Period=FY","BEST_FPERIOD_OVERRIDE=FY","FILING_STATUS=OR","EQY_CONSOLIDATED=Y","Sort=A","Dates=H","DateFormat=P","Fill=—","Direction=H","UseDPDF=Y")</f>
        <v>#NAME?</v>
      </c>
      <c r="AD378" s="2" t="e">
        <f ca="1">_xll.BDH($C$378,"MODIFIED_WORK_CAP_GROWTH","FY 2014","FY 2014","Currency=INR","Period=FY","BEST_FPERIOD_OVERRIDE=FY","FILING_STATUS=OR","EQY_CONSOLIDATED=Y","Sort=A","Dates=H","DateFormat=P","Fill=—","Direction=H","UseDPDF=Y")</f>
        <v>#NAME?</v>
      </c>
      <c r="AE378" s="2" t="e">
        <f ca="1">_xll.BDH($C$378,"WORK_CAP_GROWTH","FY 2014","FY 2014","Currency=INR","Period=FY","BEST_FPERIOD_OVERRIDE=FY","FILING_STATUS=OR","EQY_CONSOLIDATED=Y","Sort=A","Dates=H","DateFormat=P","Fill=—","Direction=H","UseDPDF=Y")</f>
        <v>#NAME?</v>
      </c>
      <c r="AF378" s="2" t="e">
        <f ca="1">_xll.BDH($C$378,"ACCOUNTS_PAYABLE_GROWTH_1YR","FY 2014","FY 2014","Currency=INR","Period=FY","BEST_FPERIOD_OVERRIDE=FY","FILING_STATUS=OR","EQY_CONSOLIDATED=Y","Sort=A","Dates=H","DateFormat=P","Fill=—","Direction=H","UseDPDF=Y")</f>
        <v>#NAME?</v>
      </c>
      <c r="AG378" s="2" t="e">
        <f ca="1">_xll.BDH($C$378,"SHORT_TERM_DEBT_1_YEAR_GROWTH","FY 2014","FY 2014","Currency=INR","Period=FY","BEST_FPERIOD_OVERRIDE=FY","FILING_STATUS=OR","EQY_CONSOLIDATED=Y","Sort=A","Dates=H","DateFormat=P","Fill=—","Direction=H","UseDPDF=Y")</f>
        <v>#NAME?</v>
      </c>
      <c r="AH378" s="2" t="e">
        <f ca="1">_xll.BDH($C$378,"TOTAL_DEBT_1_YEAR_GROWTH","FY 2014","FY 2014","Currency=INR","Period=FY","BEST_FPERIOD_OVERRIDE=FY","FILING_STATUS=OR","EQY_CONSOLIDATED=Y","Sort=A","Dates=H","DateFormat=P","Fill=—","Direction=H","UseDPDF=Y")</f>
        <v>#NAME?</v>
      </c>
      <c r="AI378" s="2" t="e">
        <f ca="1">_xll.BDH($C$378,"TOTAL_EQUITY_1_YEAR_GROWTH","FY 2014","FY 2014","Currency=INR","Period=FY","BEST_FPERIOD_OVERRIDE=FY","FILING_STATUS=OR","EQY_CONSOLIDATED=Y","Sort=A","Dates=H","DateFormat=P","Fill=—","Direction=H","UseDPDF=Y")</f>
        <v>#NAME?</v>
      </c>
      <c r="AJ378" s="2" t="e">
        <f ca="1">_xll.BDH($C$378,"GROWTH_IN_CAP","FY 2014","FY 2014","Currency=INR","Period=FY","BEST_FPERIOD_OVERRIDE=FY","FILING_STATUS=OR","EQY_CONSOLIDATED=Y","Sort=A","Dates=H","DateFormat=P","Fill=—","Direction=H","UseDPDF=Y")</f>
        <v>#NAME?</v>
      </c>
      <c r="AK378" s="2" t="e">
        <f ca="1">_xll.BDH($C$378,"BVPS_GROWTH","FY 2014","FY 2014","Currency=INR","Period=FY","BEST_FPERIOD_OVERRIDE=FY","FILING_STATUS=OR","EQY_CONSOLIDATED=Y","Sort=A","Dates=H","DateFormat=P","Fill=—","Direction=H","UseDPDF=Y")</f>
        <v>#NAME?</v>
      </c>
      <c r="AL378" s="2" t="e">
        <f ca="1">_xll.BDH($C$378,"CASH_FLOW_GROWTH","FY 2014","FY 2014","Currency=INR","Period=FY","BEST_FPERIOD_OVERRIDE=FY","FILING_STATUS=OR","EQY_CONSOLIDATED=Y","Sort=A","Dates=H","DateFormat=P","Fill=—","Direction=H","UseDPDF=Y")</f>
        <v>#NAME?</v>
      </c>
      <c r="AM378" s="2" t="e">
        <f ca="1">_xll.BDH($C$378,"GEO_GROW_NET_SALES","FY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378" s="2" t="e">
        <f ca="1">_xll.BDH($C$378,"GEO_GROW_EBITDA","FY 2014","FY 2014","Currency=INR","Period=FY","BEST_FPERIOD_OVERRIDE=FY","FILING_STATUS=OR","EQY_CONSOLIDATED=Y","FA_ADJUSTED=GAAP","Sort=A","Dates=H","DateFormat=P","Fill=—","Direction=H","UseDPDF=Y")</f>
        <v>#NAME?</v>
      </c>
      <c r="AO378" s="2" t="e">
        <f ca="1">_xll.BDH($C$378,"GEO_GROW_OPER_INC","FY 2014","FY 2014","Currency=INR","Period=FY","BEST_FPERIOD_OVERRIDE=FY","FILING_STATUS=OR","EQY_CONSOLIDATED=Y","FA_ADJUSTED=GAAP","Sort=A","Dates=H","DateFormat=P","Fill=—","Direction=H","UseDPDF=Y")</f>
        <v>#NAME?</v>
      </c>
      <c r="AP378" s="2" t="e">
        <f ca="1">_xll.BDH($C$378,"NET_INCOME_TO_COMMON_5_YR_GROWTH","FY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378" s="2" t="e">
        <f ca="1">_xll.BDH($C$378,"5Y_GEO_GROWTH_DILUTED_EPS","FY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378" s="2" t="e">
        <f ca="1">_xll.BDH($C$378,"GEO_GROW_DVD_PER_SH","FY 2014","FY 2014","Currency=INR","Period=FY","BEST_FPERIOD_OVERRIDE=FY","FILING_STATUS=OR","EQY_CONSOLIDATED=Y","Sort=A","Dates=H","DateFormat=P","Fill=—","Direction=H","UseDPDF=Y")</f>
        <v>#NAME?</v>
      </c>
      <c r="AS378" s="2" t="e">
        <f ca="1">_xll.BDH($C$378,"ACCOUNTS_RECEIVABLE_5_YR_GROWTH","FY 2014","FY 2014","Currency=INR","Period=FY","BEST_FPERIOD_OVERRIDE=FY","FILING_STATUS=OR","EQY_CONSOLIDATED=Y","Sort=A","Dates=H","DateFormat=P","Fill=—","Direction=H","UseDPDF=Y")</f>
        <v>#NAME?</v>
      </c>
      <c r="AT378" s="2" t="e">
        <f ca="1">_xll.BDH($C$378,"INVENTORY_5_YEAR_GROWTH","FY 2014","FY 2014","Currency=INR","Period=FY","BEST_FPERIOD_OVERRIDE=FY","FILING_STATUS=OR","EQY_CONSOLIDATED=Y","Sort=A","Dates=H","DateFormat=P","Fill=—","Direction=H","UseDPDF=Y")</f>
        <v>#NAME?</v>
      </c>
      <c r="AU378" s="2" t="e">
        <f ca="1">_xll.BDH($C$378,"NET_FIXED_ASSETS_5_YEAR_GROWTH","FY 2014","FY 2014","Currency=INR","Period=FY","BEST_FPERIOD_OVERRIDE=FY","FILING_STATUS=OR","EQY_CONSOLIDATED=Y","Sort=A","Dates=H","DateFormat=P","Fill=—","Direction=H","UseDPDF=Y")</f>
        <v>#NAME?</v>
      </c>
      <c r="AV378" s="2" t="e">
        <f ca="1">_xll.BDH($C$378,"GEO_GROW_TOT_ASSET","FY 2014","FY 2014","Currency=INR","Period=FY","BEST_FPERIOD_OVERRIDE=FY","FILING_STATUS=OR","EQY_CONSOLIDATED=Y","Sort=A","Dates=H","DateFormat=P","Fill=—","Direction=H","UseDPDF=Y")</f>
        <v>#NAME?</v>
      </c>
      <c r="AW378" s="2" t="e">
        <f ca="1">_xll.BDH($C$378,"MODIFIED_WORKING_CPTL_5YR_GRWTH","FY 2014","FY 2014","Currency=INR","Period=FY","BEST_FPERIOD_OVERRIDE=FY","FILING_STATUS=OR","EQY_CONSOLIDATED=Y","Sort=A","Dates=H","DateFormat=P","Fill=—","Direction=H","UseDPDF=Y")</f>
        <v>#NAME?</v>
      </c>
      <c r="AX378" s="2" t="e">
        <f ca="1">_xll.BDH($C$378,"WORKING_CAPITAL_5_YEAR_GROWTH","FY 2014","FY 2014","Currency=INR","Period=FY","BEST_FPERIOD_OVERRIDE=FY","FILING_STATUS=OR","EQY_CONSOLIDATED=Y","Sort=A","Dates=H","DateFormat=P","Fill=—","Direction=H","UseDPDF=Y")</f>
        <v>#NAME?</v>
      </c>
      <c r="AY378" s="2" t="e">
        <f ca="1">_xll.BDH($C$378,"ACCOUNTS_PAYABLE_5_YEAR_GROWTH","FY 2014","FY 2014","Currency=INR","Period=FY","BEST_FPERIOD_OVERRIDE=FY","FILING_STATUS=OR","EQY_CONSOLIDATED=Y","Sort=A","Dates=H","DateFormat=P","Fill=—","Direction=H","UseDPDF=Y")</f>
        <v>#NAME?</v>
      </c>
      <c r="AZ378" s="2" t="e">
        <f ca="1">_xll.BDH($C$378,"SHORT_TERM_DEBT_5_YEAR_GROWTH","FY 2014","FY 2014","Currency=INR","Period=FY","BEST_FPERIOD_OVERRIDE=FY","FILING_STATUS=OR","EQY_CONSOLIDATED=Y","Sort=A","Dates=H","DateFormat=P","Fill=—","Direction=H","UseDPDF=Y")</f>
        <v>#NAME?</v>
      </c>
      <c r="BA378" s="2" t="e">
        <f ca="1">_xll.BDH($C$378,"TOTAL_DEBT_5_YEAR_GROWTH","FY 2014","FY 2014","Currency=INR","Period=FY","BEST_FPERIOD_OVERRIDE=FY","FILING_STATUS=OR","EQY_CONSOLIDATED=Y","Sort=A","Dates=H","DateFormat=P","Fill=—","Direction=H","UseDPDF=Y")</f>
        <v>#NAME?</v>
      </c>
      <c r="BB378" s="2" t="e">
        <f ca="1">_xll.BDH($C$378,"GEO_GROW_TOT_SHRHLDR_EQY","FY 2014","FY 2014","Currency=INR","Period=FY","BEST_FPERIOD_OVERRIDE=FY","FILING_STATUS=OR","EQY_CONSOLIDATED=Y","Sort=A","Dates=H","DateFormat=P","Fill=—","Direction=H","UseDPDF=Y")</f>
        <v>#NAME?</v>
      </c>
      <c r="BC378" s="2" t="e">
        <f ca="1">_xll.BDH($C$378,"TOTAL_CAPITAL_5_YEAR_GROWTH","FY 2014","FY 2014","Currency=INR","Period=FY","BEST_FPERIOD_OVERRIDE=FY","FILING_STATUS=OR","EQY_CONSOLIDATED=Y","Sort=A","Dates=H","DateFormat=P","Fill=—","Direction=H","UseDPDF=Y")</f>
        <v>#NAME?</v>
      </c>
      <c r="BD378" s="2" t="e">
        <f ca="1">_xll.BDH($C$378,"GEO_GROW_BOOK_VAL","FY 2014","FY 2014","Currency=INR","Period=FY","BEST_FPERIOD_OVERRIDE=FY","FILING_STATUS=OR","EQY_CONSOLIDATED=Y","Sort=A","Dates=H","DateFormat=P","Fill=—","Direction=H","UseDPDF=Y")</f>
        <v>#NAME?</v>
      </c>
      <c r="BE378" s="2" t="e">
        <f ca="1">_xll.BDH($C$378,"GEO_GROW_CASH_OPER_ACT","FY 2014","FY 2014","Currency=INR","Period=FY","BEST_FPERIOD_OVERRIDE=FY","FILING_STATUS=OR","EQY_CONSOLIDATED=Y","Sort=A","Dates=H","DateFormat=P","Fill=—","Direction=H","UseDPDF=Y")</f>
        <v>#NAME?</v>
      </c>
      <c r="BF378" s="2" t="e">
        <f ca="1">_xll.BDH($C$378,"REVENUE_SEQUENTIAL_GROWTH","FY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378" s="2" t="e">
        <f ca="1">_xll.BDH($C$378,"EBITDA_SEQUENTIAL_GROWTH","FY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378" s="2" t="e">
        <f ca="1">_xll.BDH($C$378,"OPERATING_INCOME_SEQ_GROWTH","FY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378" s="2" t="e">
        <f ca="1">_xll.BDH($C$378,"NET_INCOME_TO_COMMON_SEQ_GROWTH","FY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378" s="2" t="e">
        <f ca="1">_xll.BDH($C$378,"EPS_DILUTED_SEQUENTIAL_GROWTH","FY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378" s="2" t="e">
        <f ca="1">_xll.BDH($C$378,"DPS_SEQUENTIAL_GROWTH","FY 2014","FY 2014","Currency=INR","Period=FY","BEST_FPERIOD_OVERRIDE=FY","FILING_STATUS=OR","EQY_CONSOLIDATED=Y","Sort=A","Dates=H","DateFormat=P","Fill=—","Direction=H","UseDPDF=Y")</f>
        <v>#NAME?</v>
      </c>
      <c r="BL378" s="2" t="e">
        <f ca="1">_xll.BDH($C$378,"ACCOUNTS_RECEIVABLE_SEQ_GROWTH","FY 2014","FY 2014","Currency=INR","Period=FY","BEST_FPERIOD_OVERRIDE=FY","FILING_STATUS=OR","EQY_CONSOLIDATED=Y","Sort=A","Dates=H","DateFormat=P","Fill=—","Direction=H","UseDPDF=Y")</f>
        <v>#NAME?</v>
      </c>
      <c r="BM378" s="2" t="e">
        <f ca="1">_xll.BDH($C$378,"INVENTORY_SEQUENTIAL_GROWTH","FY 2014","FY 2014","Currency=INR","Period=FY","BEST_FPERIOD_OVERRIDE=FY","FILING_STATUS=OR","EQY_CONSOLIDATED=Y","Sort=A","Dates=H","DateFormat=P","Fill=—","Direction=H","UseDPDF=Y")</f>
        <v>#NAME?</v>
      </c>
      <c r="BN378" s="2" t="e">
        <f ca="1">_xll.BDH($C$378,"FIXED_ASSETS_SEQUENTIAL_GROWTH","FY 2014","FY 2014","Currency=INR","Period=FY","BEST_FPERIOD_OVERRIDE=FY","FILING_STATUS=OR","EQY_CONSOLIDATED=Y","Sort=A","Dates=H","DateFormat=P","Fill=—","Direction=H","UseDPDF=Y")</f>
        <v>#NAME?</v>
      </c>
      <c r="BO378" s="2" t="e">
        <f ca="1">_xll.BDH($C$378,"TOTAL_ASSETS_SEQUENTIAL_GROWTH","FY 2014","FY 2014","Currency=INR","Period=FY","BEST_FPERIOD_OVERRIDE=FY","FILING_STATUS=OR","EQY_CONSOLIDATED=Y","Sort=A","Dates=H","DateFormat=P","Fill=—","Direction=H","UseDPDF=Y")</f>
        <v>#NAME?</v>
      </c>
      <c r="BP378" s="2" t="e">
        <f ca="1">_xll.BDH($C$378,"MODIFIED_WORKING_CPTL_SEQ_GRWTH","FY 2014","FY 2014","Currency=INR","Period=FY","BEST_FPERIOD_OVERRIDE=FY","FILING_STATUS=OR","EQY_CONSOLIDATED=Y","Sort=A","Dates=H","DateFormat=P","Fill=—","Direction=H","UseDPDF=Y")</f>
        <v>#NAME?</v>
      </c>
      <c r="BQ378" s="2" t="e">
        <f ca="1">_xll.BDH($C$378,"WORKING_CAPITAL_SEQ_GROWTH","FY 2014","FY 2014","Currency=INR","Period=FY","BEST_FPERIOD_OVERRIDE=FY","FILING_STATUS=OR","EQY_CONSOLIDATED=Y","Sort=A","Dates=H","DateFormat=P","Fill=—","Direction=H","UseDPDF=Y")</f>
        <v>#NAME?</v>
      </c>
      <c r="BR378" s="2" t="e">
        <f ca="1">_xll.BDH($C$378,"ACCOUNTS_PAYABLE_SEQ_GROWTH","FY 2014","FY 2014","Currency=INR","Period=FY","BEST_FPERIOD_OVERRIDE=FY","FILING_STATUS=OR","EQY_CONSOLIDATED=Y","Sort=A","Dates=H","DateFormat=P","Fill=—","Direction=H","UseDPDF=Y")</f>
        <v>#NAME?</v>
      </c>
      <c r="BS378" s="2" t="e">
        <f ca="1">_xll.BDH($C$378,"ST_DEBT_SEQUENTIAL_GROWTH","FY 2014","FY 2014","Currency=INR","Period=FY","BEST_FPERIOD_OVERRIDE=FY","FILING_STATUS=OR","EQY_CONSOLIDATED=Y","Sort=A","Dates=H","DateFormat=P","Fill=—","Direction=H","UseDPDF=Y")</f>
        <v>#NAME?</v>
      </c>
      <c r="BT378" s="2" t="e">
        <f ca="1">_xll.BDH($C$378,"TOTAL_DEBT_SEQUENTIAL_GROWTH","FY 2014","FY 2014","Currency=INR","Period=FY","BEST_FPERIOD_OVERRIDE=FY","FILING_STATUS=OR","EQY_CONSOLIDATED=Y","Sort=A","Dates=H","DateFormat=P","Fill=—","Direction=H","UseDPDF=Y")</f>
        <v>#NAME?</v>
      </c>
      <c r="BU378" s="2" t="e">
        <f ca="1">_xll.BDH($C$378,"TOTAL_EQUITY_SEQUENTIAL_GROWTH","FY 2014","FY 2014","Currency=INR","Period=FY","BEST_FPERIOD_OVERRIDE=FY","FILING_STATUS=OR","EQY_CONSOLIDATED=Y","Sort=A","Dates=H","DateFormat=P","Fill=—","Direction=H","UseDPDF=Y")</f>
        <v>#NAME?</v>
      </c>
      <c r="BV378" s="2" t="e">
        <f ca="1">_xll.BDH($C$378,"TOTAL_CAPITAL_SEQUENTIAL_GROWTH","FY 2014","FY 2014","Currency=INR","Period=FY","BEST_FPERIOD_OVERRIDE=FY","FILING_STATUS=OR","EQY_CONSOLIDATED=Y","Sort=A","Dates=H","DateFormat=P","Fill=—","Direction=H","UseDPDF=Y")</f>
        <v>#NAME?</v>
      </c>
      <c r="BW378" s="2" t="e">
        <f ca="1">_xll.BDH($C$378,"BPS_SEQUENTIAL_GROWTH","FY 2014","FY 2014","Currency=INR","Period=FY","BEST_FPERIOD_OVERRIDE=FY","FILING_STATUS=OR","EQY_CONSOLIDATED=Y","Sort=A","Dates=H","DateFormat=P","Fill=—","Direction=H","UseDPDF=Y")</f>
        <v>#NAME?</v>
      </c>
      <c r="BX378" s="2" t="e">
        <f ca="1">_xll.BDH($C$378,"CFO_SEQUENTIAL_GROWTH","FY 2014","FY 2014","Currency=INR","Period=FY","BEST_FPERIOD_OVERRIDE=FY","FILING_STATUS=OR","EQY_CONSOLIDATED=Y","Sort=A","Dates=H","DateFormat=P","Fill=—","Direction=H","UseDPDF=Y")</f>
        <v>#NAME?</v>
      </c>
      <c r="BY378" s="3" t="e">
        <f ca="1">_xll.BDH($C$378,"SHORT_AND_LONG_TERM_DEBT","FY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378" s="3" t="e">
        <f ca="1">_xll.BDH($C$378,"BS_ST_BORROW","FY 2014","FY 2014","Currency=INR","Period=FY","BEST_FPERIOD_OVERRIDE=FY","FILING_STATUS=OR","EQY_CONSOLIDATED=Y","SCALING_FORMAT=MLN","Sort=A","Dates=H","DateFormat=P","Fill=—","Direction=H","UseDPDF=Y")</f>
        <v>#NAME?</v>
      </c>
      <c r="CA378" s="3" t="e">
        <f ca="1">_xll.BDH($C$378,"BS_LT_BORROW","FY 2014","FY 2014","Currency=INR","Period=FY","BEST_FPERIOD_OVERRIDE=FY","FILING_STATUS=OR","EQY_CONSOLIDATED=Y","SCALING_FORMAT=MLN","Sort=A","Dates=H","DateFormat=P","Fill=—","Direction=H","UseDPDF=Y")</f>
        <v>#NAME?</v>
      </c>
      <c r="CB378" s="2" t="e">
        <f ca="1">_xll.BDH($C$378,"TOT_DEBT_TO_EBITDA","FY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378" s="2" t="e">
        <f ca="1">_xll.BDH($C$378,"NET_DEBT_TO_EBITDA","FY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378" s="2" t="e">
        <f ca="1">_xll.BDH($C$378,"TOTAL_DEBT_TO_EBIT","FY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378" s="2" t="e">
        <f ca="1">_xll.BDH($C$378,"NET_DEBT_TO_EBIT","FY 2014","FY 2014","Currency=INR","Period=FY","BEST_FPERIOD_OVERRIDE=FY","FILING_STATUS=OR","EQY_CONSOLIDATED=Y","FA_ADJUSTED=GAAP","Sort=A","Dates=H","DateFormat=P","Fill=—","Direction=H","UseDPDF=Y")</f>
        <v>#NAME?</v>
      </c>
      <c r="CF378" s="2" t="e">
        <f ca="1">_xll.BDH($C$378,"EBITDA_TO_INTEREST_EXPN","FY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378" s="2" t="e">
        <f ca="1">_xll.BDH($C$378,"COM_EQY_TO_TOT_ASSET","FY 2014","FY 2014","Currency=INR","Period=FY","BEST_FPERIOD_OVERRIDE=FY","FILING_STATUS=OR","EQY_CONSOLIDATED=Y","Sort=A","Dates=H","DateFormat=P","Fill=—","Direction=H","UseDPDF=Y")</f>
        <v>#NAME?</v>
      </c>
      <c r="CH378" s="2" t="e">
        <f ca="1">_xll.BDH($C$378,"LT_DEBT_TO_TOT_EQY","FY 2014","FY 2014","Currency=INR","Period=FY","BEST_FPERIOD_OVERRIDE=FY","FILING_STATUS=OR","EQY_CONSOLIDATED=Y","Sort=A","Dates=H","DateFormat=P","Fill=—","Direction=H","UseDPDF=Y")</f>
        <v>#NAME?</v>
      </c>
      <c r="CI378" s="2" t="e">
        <f ca="1">_xll.BDH($C$378,"LT_DEBT_TO_TOT_CAP","FY 2014","FY 2014","Currency=INR","Period=FY","BEST_FPERIOD_OVERRIDE=FY","FILING_STATUS=OR","EQY_CONSOLIDATED=Y","Sort=A","Dates=H","DateFormat=P","Fill=—","Direction=H","UseDPDF=Y")</f>
        <v>#NAME?</v>
      </c>
      <c r="CJ378" s="2" t="e">
        <f ca="1">_xll.BDH($C$378,"LT_DEBT_TO_TOT_ASSET","FY 2014","FY 2014","Currency=INR","Period=FY","BEST_FPERIOD_OVERRIDE=FY","FILING_STATUS=OR","EQY_CONSOLIDATED=Y","Sort=A","Dates=H","DateFormat=P","Fill=—","Direction=H","UseDPDF=Y")</f>
        <v>#NAME?</v>
      </c>
      <c r="CK378" s="2" t="e">
        <f ca="1">_xll.BDH($C$378,"TOT_DEBT_TO_TOT_EQY","FY 2014","FY 2014","Currency=INR","Period=FY","BEST_FPERIOD_OVERRIDE=FY","FILING_STATUS=OR","EQY_CONSOLIDATED=Y","Sort=A","Dates=H","DateFormat=P","Fill=—","Direction=H","UseDPDF=Y")</f>
        <v>#NAME?</v>
      </c>
      <c r="CL378" s="2" t="e">
        <f ca="1">_xll.BDH($C$378,"TOT_DEBT_TO_TOT_CAP","FY 2014","FY 2014","Currency=INR","Period=FY","BEST_FPERIOD_OVERRIDE=FY","FILING_STATUS=OR","EQY_CONSOLIDATED=Y","Sort=A","Dates=H","DateFormat=P","Fill=—","Direction=H","UseDPDF=Y")</f>
        <v>#NAME?</v>
      </c>
      <c r="CM378" s="2" t="e">
        <f ca="1">_xll.BDH($C$378,"TOT_DEBT_TO_TOT_ASSET","FY 2014","FY 2014","Currency=INR","Period=FY","BEST_FPERIOD_OVERRIDE=FY","FILING_STATUS=OR","EQY_CONSOLIDATED=Y","Sort=A","Dates=H","DateFormat=P","Fill=—","Direction=H","UseDPDF=Y")</f>
        <v>#NAME?</v>
      </c>
      <c r="CN378" s="2" t="e">
        <f ca="1">_xll.BDH($C$378,"NET_DEBT_TO_SHRHLDR_EQTY","FY 2014","FY 2014","Currency=INR","Period=FY","BEST_FPERIOD_OVERRIDE=FY","FILING_STATUS=OR","EQY_CONSOLIDATED=Y","Sort=A","Dates=H","DateFormat=P","Fill=—","Direction=H","UseDPDF=Y")</f>
        <v>#NAME?</v>
      </c>
      <c r="CO378" s="2" t="e">
        <f ca="1">_xll.BDH($C$378,"NET_DEBT_%_CAPITAL","FY 2014","FY 2014","Currency=INR","Period=FY","BEST_FPERIOD_OVERRIDE=FY","FILING_STATUS=OR","EQY_CONSOLIDATED=Y","Sort=A","Dates=H","DateFormat=P","Fill=—","Direction=H","UseDPDF=Y")</f>
        <v>#NAME?</v>
      </c>
      <c r="CP378" s="3" t="e">
        <f ca="1">_xll.BDH($C$378,"EBITDA","FY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378" s="3" t="e">
        <f ca="1">_xll.BDH($C$378,"EBITDA_AFTER_CAPEX","FY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378" s="3" t="e">
        <f ca="1">_xll.BDH($C$378,"IS_OPER_INC","FY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378" s="2" t="e">
        <f ca="1">_xll.BDH($C$378,"CASH_RATIO","FY 2014","FY 2014","Currency=INR","Period=FY","BEST_FPERIOD_OVERRIDE=FY","FILING_STATUS=OR","EQY_CONSOLIDATED=Y","Sort=A","Dates=H","DateFormat=P","Fill=—","Direction=H","UseDPDF=Y")</f>
        <v>#NAME?</v>
      </c>
      <c r="CT378" s="2" t="e">
        <f ca="1">_xll.BDH($C$378,"CUR_RATIO","FY 2014","FY 2014","Currency=INR","Period=FY","BEST_FPERIOD_OVERRIDE=FY","FILING_STATUS=OR","EQY_CONSOLIDATED=Y","Sort=A","Dates=H","DateFormat=P","Fill=—","Direction=H","UseDPDF=Y")</f>
        <v>#NAME?</v>
      </c>
      <c r="CU378" s="2" t="e">
        <f ca="1">_xll.BDH($C$378,"QUICK_RATIO","FY 2014","FY 2014","Currency=INR","Period=FY","BEST_FPERIOD_OVERRIDE=FY","FILING_STATUS=OR","EQY_CONSOLIDATED=Y","Sort=A","Dates=H","DateFormat=P","Fill=—","Direction=H","UseDPDF=Y")</f>
        <v>#NAME?</v>
      </c>
      <c r="CV378" s="2" t="e">
        <f ca="1">_xll.BDH($C$378,"ALTMAN_Z_SCORE","FY 2014","FY 2014","Currency=INR","Period=FY","BEST_FPERIOD_OVERRIDE=FY","FILING_STATUS=OR","EQY_CONSOLIDATED=Y","Sort=A","Dates=H","DateFormat=P","Fill=—","Direction=H","UseDPDF=Y")</f>
        <v>#NAME?</v>
      </c>
      <c r="CW378" s="4" t="e">
        <f ca="1">_xll.BDH($C$378,"ACCT_RCV_TURN","FY 2014","FY 2014","Currency=INR","Period=FY","BEST_FPERIOD_OVERRIDE=FY","FILING_STATUS=OR","EQY_CONSOLIDATED=Y","FA_ADJUSTED=GAAP","Sort=A","Dates=H","DateFormat=P","Fill=—","Direction=H","UseDPDF=Y")</f>
        <v>#NAME?</v>
      </c>
      <c r="CX378" s="2" t="e">
        <f ca="1">_xll.BDH($C$378,"ACCT_RCV_DAYS","FY 2014","FY 2014","Currency=INR","Period=FY","BEST_FPERIOD_OVERRIDE=FY","FILING_STATUS=OR","EQY_CONSOLIDATED=Y","FA_ADJUSTED=GAAP","Sort=A","Dates=H","DateFormat=P","Fill=—","Direction=H","UseDPDF=Y")</f>
        <v>#NAME?</v>
      </c>
      <c r="CY378" s="4" t="e">
        <f ca="1">_xll.BDH($C$378,"INVENT_TURN","FY 2014","FY 2014","Currency=INR","Period=FY","BEST_FPERIOD_OVERRIDE=FY","FILING_STATUS=OR","EQY_CONSOLIDATED=Y","FA_ADJUSTED=GAAP","Sort=A","Dates=H","DateFormat=P","Fill=—","Direction=H","UseDPDF=Y")</f>
        <v>#NAME?</v>
      </c>
      <c r="CZ378" s="2" t="e">
        <f ca="1">_xll.BDH($C$378,"INVENT_DAYS","FY 2014","FY 2014","Currency=INR","Period=FY","BEST_FPERIOD_OVERRIDE=FY","FILING_STATUS=OR","EQY_CONSOLIDATED=Y","FA_ADJUSTED=GAAP","Sort=A","Dates=H","DateFormat=P","Fill=—","Direction=H","UseDPDF=Y")</f>
        <v>#NAME?</v>
      </c>
      <c r="DA378" s="4" t="e">
        <f ca="1">_xll.BDH($C$378,"ACCOUNTS_PAYABLE_TURNOVER","FY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378" s="2" t="e">
        <f ca="1">_xll.BDH($C$378,"ACCOUNTS_PAYABLE_TURNOVER_DAYS","FY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378" s="4" t="e">
        <f ca="1">_xll.BDH($C$378,"CASH_CONVERSION_CYCLE","FY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378" s="4" t="e">
        <f ca="1">_xll.BDH($C$378,"INV_TO_CASH_DAYS","FY 2014","FY 2014","Currency=INR","Period=FY","BEST_FPERIOD_OVERRIDE=FY","FILING_STATUS=OR","EQY_CONSOLIDATED=Y","FA_ADJUSTED=GAAP","Sort=A","Dates=H","DateFormat=P","Fill=—","Direction=H","UseDPDF=Y")</f>
        <v>#NAME?</v>
      </c>
      <c r="DE378" s="5" t="e">
        <f ca="1">_xll.BDH($C$378,"BS_INVENTORIES","FY 2014","FY 2014","Currency=INR","Period=FY","BEST_FPERIOD_OVERRIDE=FY","FILING_STATUS=OR","EQY_CONSOLIDATED=Y","SCALING_FORMAT=MLN","Sort=A","Dates=H","DateFormat=P","Fill=—","Direction=H","UseDPDF=Y")</f>
        <v>#NAME?</v>
      </c>
      <c r="DF378" s="3" t="e">
        <f ca="1">_xll.BDH($C$378,"INVTRY_RAW_MATERIALS","FY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378" s="3" t="e">
        <f ca="1">_xll.BDH($C$378,"INVTRY_IN_PROGRESS","FY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378" s="3" t="e">
        <f ca="1">_xll.BDH($C$378,"INVTRY_FINISHED_GOODS","FY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378" s="3" t="e">
        <f ca="1">_xll.BDH($C$378,"BS_OTHER_INV","FY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379" spans="1:113" x14ac:dyDescent="0.3">
      <c r="A379" s="6"/>
      <c r="B379" s="6"/>
      <c r="C379" s="6"/>
      <c r="D379" s="6"/>
      <c r="E379" t="s">
        <v>78</v>
      </c>
      <c r="F379" t="e">
        <f ca="1">_xll.BDH($C$378,"RETURN_COM_EQY","FQ1 2014","FQ1 2014","Currency=INR","Period=FQ","BEST_FPERIOD_OVERRIDE=FQ","FILING_STATUS=OR","EQY_CONSOLIDATED=Y","FA_ADJUSTED=GAAP","Sort=A","Dates=H","DateFormat=P","Fill=—","Direction=H","UseDPDF=Y")</f>
        <v>#NAME?</v>
      </c>
      <c r="G379" t="e">
        <f ca="1">_xll.BDH($C$378,"RETURN_ON_ASSET","FQ1 2014","FQ1 2014","Currency=INR","Period=FQ","BEST_FPERIOD_OVERRIDE=FQ","FILING_STATUS=OR","EQY_CONSOLIDATED=Y","FA_ADJUSTED=GAAP","Sort=A","Dates=H","DateFormat=P","Fill=—","Direction=H","UseDPDF=Y")</f>
        <v>#NAME?</v>
      </c>
      <c r="H379" t="e">
        <f ca="1">_xll.BDH($C$378,"RETURN_ON_CAP","FQ1 2014","FQ1 2014","Currency=INR","Period=FQ","BEST_FPERIOD_OVERRIDE=FQ","FILING_STATUS=OR","EQY_CONSOLIDATED=Y","FA_ADJUSTED=GAAP","Sort=A","Dates=H","DateFormat=P","Fill=—","Direction=H","UseDPDF=Y")</f>
        <v>#NAME?</v>
      </c>
      <c r="I379" t="e">
        <f ca="1">_xll.BDH($C$378,"RETURN_ON_INV_CAPITAL","FQ1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379" t="e">
        <f ca="1">_xll.BDH($C$378,"EBITDA_TO_REVENUE","FQ1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379" t="e">
        <f ca="1">_xll.BDH($C$378,"OPER_MARGIN","FQ1 2014","FQ1 2014","Currency=INR","Period=FQ","BEST_FPERIOD_OVERRIDE=FQ","FILING_STATUS=OR","EQY_CONSOLIDATED=Y","FA_ADJUSTED=GAAP","Sort=A","Dates=H","DateFormat=P","Fill=—","Direction=H","UseDPDF=Y")</f>
        <v>#NAME?</v>
      </c>
      <c r="L379" t="e">
        <f ca="1">_xll.BDH($C$378,"INCREMENTAL_OPERATING_MARGIN","FQ1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379" t="e">
        <f ca="1">_xll.BDH($C$378,"PRETAX_INC_TO_NET_SALES","FQ1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379" t="e">
        <f ca="1">_xll.BDH($C$378,"INC_BEF_XO_ITEMS_TO_NET_SALES","FQ1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379" t="e">
        <f ca="1">_xll.BDH($C$378,"PROF_MARGIN","FQ1 2014","FQ1 2014","Currency=INR","Period=FQ","BEST_FPERIOD_OVERRIDE=FQ","FILING_STATUS=OR","EQY_CONSOLIDATED=Y","FA_ADJUSTED=GAAP","Sort=A","Dates=H","DateFormat=P","Fill=—","Direction=H","UseDPDF=Y")</f>
        <v>#NAME?</v>
      </c>
      <c r="P379" t="e">
        <f ca="1">_xll.BDH($C$378,"NET_INCOME_TO_COMMON_MARGIN","FQ1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379" t="e">
        <f ca="1">_xll.BDH($C$378,"EFF_TAX_RATE","FQ1 2014","FQ1 2014","Currency=INR","Period=FQ","BEST_FPERIOD_OVERRIDE=FQ","FILING_STATUS=OR","EQY_CONSOLIDATED=Y","FA_ADJUSTED=GAAP","Sort=A","Dates=H","DateFormat=P","Fill=—","Direction=H","UseDPDF=Y")</f>
        <v>#NAME?</v>
      </c>
      <c r="R379" t="e">
        <f ca="1">_xll.BDH($C$378,"DVD_PAYOUT_RATIO","FQ1 2014","FQ1 2014","Currency=INR","Period=FQ","BEST_FPERIOD_OVERRIDE=FQ","FILING_STATUS=OR","EQY_CONSOLIDATED=Y","FA_ADJUSTED=GAAP","Sort=A","Dates=H","DateFormat=P","Fill=—","Direction=H","UseDPDF=Y")</f>
        <v>#NAME?</v>
      </c>
      <c r="S379" t="e">
        <f ca="1">_xll.BDH($C$378,"SUSTAIN_GROWTH_RT","FQ1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379" s="2" t="e">
        <f ca="1">_xll.BDH($C$378,"SALES_GROWTH","FQ1 2014","FQ1 2014","Currency=INR","Period=FQ","BEST_FPERIOD_OVERRIDE=FQ","FILING_STATUS=OR","EQY_CONSOLIDATED=Y","FA_ADJUSTED=GAAP","Sort=A","Dates=H","DateFormat=P","Fill=—","Direction=H","UseDPDF=Y")</f>
        <v>#NAME?</v>
      </c>
      <c r="U379" s="2" t="e">
        <f ca="1">_xll.BDH($C$378,"EBITDA_GROWTH","FQ1 2014","FQ1 2014","Currency=INR","Period=FQ","BEST_FPERIOD_OVERRIDE=FQ","FILING_STATUS=OR","EQY_CONSOLIDATED=Y","FA_ADJUSTED=GAAP","Sort=A","Dates=H","DateFormat=P","Fill=—","Direction=H","UseDPDF=Y")</f>
        <v>#NAME?</v>
      </c>
      <c r="V379" s="2" t="e">
        <f ca="1">_xll.BDH($C$378,"OPER_INC_GROWTH","FQ1 2014","FQ1 2014","Currency=INR","Period=FQ","BEST_FPERIOD_OVERRIDE=FQ","FILING_STATUS=OR","EQY_CONSOLIDATED=Y","FA_ADJUSTED=GAAP","Sort=A","Dates=H","DateFormat=P","Fill=—","Direction=H","UseDPDF=Y")</f>
        <v>#NAME?</v>
      </c>
      <c r="W379" s="2" t="e">
        <f ca="1">_xll.BDH($C$378,"EARN_FOR_COM_GROWTH","FQ1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379" s="2" t="e">
        <f ca="1">_xll.BDH($C$378,"DILUTED_EPS_AFT_XO_ITEMS_GROWTH","FQ1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379" s="2" t="e">
        <f ca="1">_xll.BDH($C$378,"DIVIDEND_PER_SHARE_1_YEAR_GROWTH","FQ1 2014","FQ1 2014","Currency=INR","Period=FQ","BEST_FPERIOD_OVERRIDE=FQ","FILING_STATUS=OR","EQY_CONSOLIDATED=Y","Sort=A","Dates=H","DateFormat=P","Fill=—","Direction=H","UseDPDF=Y")</f>
        <v>#NAME?</v>
      </c>
      <c r="Z379" s="2" t="e">
        <f ca="1">_xll.BDH($C$378,"ACCOUNTS_RECEIVABLE_GROWTH","FQ1 2014","FQ1 2014","Currency=INR","Period=FQ","BEST_FPERIOD_OVERRIDE=FQ","FILING_STATUS=OR","EQY_CONSOLIDATED=Y","Sort=A","Dates=H","DateFormat=P","Fill=—","Direction=H","UseDPDF=Y")</f>
        <v>#NAME?</v>
      </c>
      <c r="AA379" s="2" t="e">
        <f ca="1">_xll.BDH($C$378,"INVENTORY_GROWTH","FQ1 2014","FQ1 2014","Currency=INR","Period=FQ","BEST_FPERIOD_OVERRIDE=FQ","FILING_STATUS=OR","EQY_CONSOLIDATED=Y","Sort=A","Dates=H","DateFormat=P","Fill=—","Direction=H","UseDPDF=Y")</f>
        <v>#NAME?</v>
      </c>
      <c r="AB379" s="2" t="e">
        <f ca="1">_xll.BDH($C$378,"NET_FIXED_ASSETS_1_YEAR_GROWTH","FQ1 2014","FQ1 2014","Currency=INR","Period=FQ","BEST_FPERIOD_OVERRIDE=FQ","FILING_STATUS=OR","EQY_CONSOLIDATED=Y","Sort=A","Dates=H","DateFormat=P","Fill=—","Direction=H","UseDPDF=Y")</f>
        <v>#NAME?</v>
      </c>
      <c r="AC379" s="2" t="e">
        <f ca="1">_xll.BDH($C$378,"ASSET_GROWTH","FQ1 2014","FQ1 2014","Currency=INR","Period=FQ","BEST_FPERIOD_OVERRIDE=FQ","FILING_STATUS=OR","EQY_CONSOLIDATED=Y","Sort=A","Dates=H","DateFormat=P","Fill=—","Direction=H","UseDPDF=Y")</f>
        <v>#NAME?</v>
      </c>
      <c r="AD379" s="2" t="e">
        <f ca="1">_xll.BDH($C$378,"MODIFIED_WORK_CAP_GROWTH","FQ1 2014","FQ1 2014","Currency=INR","Period=FQ","BEST_FPERIOD_OVERRIDE=FQ","FILING_STATUS=OR","EQY_CONSOLIDATED=Y","Sort=A","Dates=H","DateFormat=P","Fill=—","Direction=H","UseDPDF=Y")</f>
        <v>#NAME?</v>
      </c>
      <c r="AE379" s="2" t="e">
        <f ca="1">_xll.BDH($C$378,"WORK_CAP_GROWTH","FQ1 2014","FQ1 2014","Currency=INR","Period=FQ","BEST_FPERIOD_OVERRIDE=FQ","FILING_STATUS=OR","EQY_CONSOLIDATED=Y","Sort=A","Dates=H","DateFormat=P","Fill=—","Direction=H","UseDPDF=Y")</f>
        <v>#NAME?</v>
      </c>
      <c r="AF379" s="2" t="e">
        <f ca="1">_xll.BDH($C$378,"ACCOUNTS_PAYABLE_GROWTH_1YR","FQ1 2014","FQ1 2014","Currency=INR","Period=FQ","BEST_FPERIOD_OVERRIDE=FQ","FILING_STATUS=OR","EQY_CONSOLIDATED=Y","Sort=A","Dates=H","DateFormat=P","Fill=—","Direction=H","UseDPDF=Y")</f>
        <v>#NAME?</v>
      </c>
      <c r="AG379" s="2" t="e">
        <f ca="1">_xll.BDH($C$378,"SHORT_TERM_DEBT_1_YEAR_GROWTH","FQ1 2014","FQ1 2014","Currency=INR","Period=FQ","BEST_FPERIOD_OVERRIDE=FQ","FILING_STATUS=OR","EQY_CONSOLIDATED=Y","Sort=A","Dates=H","DateFormat=P","Fill=—","Direction=H","UseDPDF=Y")</f>
        <v>#NAME?</v>
      </c>
      <c r="AH379" s="2" t="e">
        <f ca="1">_xll.BDH($C$378,"TOTAL_DEBT_1_YEAR_GROWTH","FQ1 2014","FQ1 2014","Currency=INR","Period=FQ","BEST_FPERIOD_OVERRIDE=FQ","FILING_STATUS=OR","EQY_CONSOLIDATED=Y","Sort=A","Dates=H","DateFormat=P","Fill=—","Direction=H","UseDPDF=Y")</f>
        <v>#NAME?</v>
      </c>
      <c r="AI379" s="2" t="e">
        <f ca="1">_xll.BDH($C$378,"TOTAL_EQUITY_1_YEAR_GROWTH","FQ1 2014","FQ1 2014","Currency=INR","Period=FQ","BEST_FPERIOD_OVERRIDE=FQ","FILING_STATUS=OR","EQY_CONSOLIDATED=Y","Sort=A","Dates=H","DateFormat=P","Fill=—","Direction=H","UseDPDF=Y")</f>
        <v>#NAME?</v>
      </c>
      <c r="AJ379" s="2" t="e">
        <f ca="1">_xll.BDH($C$378,"GROWTH_IN_CAP","FQ1 2014","FQ1 2014","Currency=INR","Period=FQ","BEST_FPERIOD_OVERRIDE=FQ","FILING_STATUS=OR","EQY_CONSOLIDATED=Y","Sort=A","Dates=H","DateFormat=P","Fill=—","Direction=H","UseDPDF=Y")</f>
        <v>#NAME?</v>
      </c>
      <c r="AK379" s="2" t="e">
        <f ca="1">_xll.BDH($C$378,"BVPS_GROWTH","FQ1 2014","FQ1 2014","Currency=INR","Period=FQ","BEST_FPERIOD_OVERRIDE=FQ","FILING_STATUS=OR","EQY_CONSOLIDATED=Y","Sort=A","Dates=H","DateFormat=P","Fill=—","Direction=H","UseDPDF=Y")</f>
        <v>#NAME?</v>
      </c>
      <c r="AL379" s="2" t="e">
        <f ca="1">_xll.BDH($C$378,"CASH_FLOW_GROWTH","FQ1 2014","FQ1 2014","Currency=INR","Period=FQ","BEST_FPERIOD_OVERRIDE=FQ","FILING_STATUS=OR","EQY_CONSOLIDATED=Y","Sort=A","Dates=H","DateFormat=P","Fill=—","Direction=H","UseDPDF=Y")</f>
        <v>#NAME?</v>
      </c>
      <c r="AM379" s="2" t="e">
        <f ca="1">_xll.BDH($C$378,"GEO_GROW_NET_SALES","FQ1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379" s="2" t="e">
        <f ca="1">_xll.BDH($C$378,"GEO_GROW_EBITDA","FQ1 2014","FQ1 2014","Currency=INR","Period=FQ","BEST_FPERIOD_OVERRIDE=FQ","FILING_STATUS=OR","EQY_CONSOLIDATED=Y","FA_ADJUSTED=GAAP","Sort=A","Dates=H","DateFormat=P","Fill=—","Direction=H","UseDPDF=Y")</f>
        <v>#NAME?</v>
      </c>
      <c r="AO379" s="2" t="e">
        <f ca="1">_xll.BDH($C$378,"GEO_GROW_OPER_INC","FQ1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379" s="2" t="e">
        <f ca="1">_xll.BDH($C$378,"NET_INCOME_TO_COMMON_5_YR_GROWTH","FQ1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379" s="2" t="e">
        <f ca="1">_xll.BDH($C$378,"5Y_GEO_GROWTH_DILUTED_EPS","FQ1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379" s="2" t="e">
        <f ca="1">_xll.BDH($C$378,"GEO_GROW_DVD_PER_SH","FQ1 2014","FQ1 2014","Currency=INR","Period=FQ","BEST_FPERIOD_OVERRIDE=FQ","FILING_STATUS=OR","EQY_CONSOLIDATED=Y","Sort=A","Dates=H","DateFormat=P","Fill=—","Direction=H","UseDPDF=Y")</f>
        <v>#NAME?</v>
      </c>
      <c r="AS379" s="2" t="e">
        <f ca="1">_xll.BDH($C$378,"ACCOUNTS_RECEIVABLE_5_YR_GROWTH","FQ1 2014","FQ1 2014","Currency=INR","Period=FQ","BEST_FPERIOD_OVERRIDE=FQ","FILING_STATUS=OR","EQY_CONSOLIDATED=Y","Sort=A","Dates=H","DateFormat=P","Fill=—","Direction=H","UseDPDF=Y")</f>
        <v>#NAME?</v>
      </c>
      <c r="AT379" s="2" t="e">
        <f ca="1">_xll.BDH($C$378,"INVENTORY_5_YEAR_GROWTH","FQ1 2014","FQ1 2014","Currency=INR","Period=FQ","BEST_FPERIOD_OVERRIDE=FQ","FILING_STATUS=OR","EQY_CONSOLIDATED=Y","Sort=A","Dates=H","DateFormat=P","Fill=—","Direction=H","UseDPDF=Y")</f>
        <v>#NAME?</v>
      </c>
      <c r="AU379" s="2" t="e">
        <f ca="1">_xll.BDH($C$378,"NET_FIXED_ASSETS_5_YEAR_GROWTH","FQ1 2014","FQ1 2014","Currency=INR","Period=FQ","BEST_FPERIOD_OVERRIDE=FQ","FILING_STATUS=OR","EQY_CONSOLIDATED=Y","Sort=A","Dates=H","DateFormat=P","Fill=—","Direction=H","UseDPDF=Y")</f>
        <v>#NAME?</v>
      </c>
      <c r="AV379" s="2" t="e">
        <f ca="1">_xll.BDH($C$378,"GEO_GROW_TOT_ASSET","FQ1 2014","FQ1 2014","Currency=INR","Period=FQ","BEST_FPERIOD_OVERRIDE=FQ","FILING_STATUS=OR","EQY_CONSOLIDATED=Y","Sort=A","Dates=H","DateFormat=P","Fill=—","Direction=H","UseDPDF=Y")</f>
        <v>#NAME?</v>
      </c>
      <c r="AW379" s="2" t="e">
        <f ca="1">_xll.BDH($C$378,"MODIFIED_WORKING_CPTL_5YR_GRWTH","FQ1 2014","FQ1 2014","Currency=INR","Period=FQ","BEST_FPERIOD_OVERRIDE=FQ","FILING_STATUS=OR","EQY_CONSOLIDATED=Y","Sort=A","Dates=H","DateFormat=P","Fill=—","Direction=H","UseDPDF=Y")</f>
        <v>#NAME?</v>
      </c>
      <c r="AX379" s="2" t="e">
        <f ca="1">_xll.BDH($C$378,"WORKING_CAPITAL_5_YEAR_GROWTH","FQ1 2014","FQ1 2014","Currency=INR","Period=FQ","BEST_FPERIOD_OVERRIDE=FQ","FILING_STATUS=OR","EQY_CONSOLIDATED=Y","Sort=A","Dates=H","DateFormat=P","Fill=—","Direction=H","UseDPDF=Y")</f>
        <v>#NAME?</v>
      </c>
      <c r="AY379" s="2" t="e">
        <f ca="1">_xll.BDH($C$378,"ACCOUNTS_PAYABLE_5_YEAR_GROWTH","FQ1 2014","FQ1 2014","Currency=INR","Period=FQ","BEST_FPERIOD_OVERRIDE=FQ","FILING_STATUS=OR","EQY_CONSOLIDATED=Y","Sort=A","Dates=H","DateFormat=P","Fill=—","Direction=H","UseDPDF=Y")</f>
        <v>#NAME?</v>
      </c>
      <c r="AZ379" s="2" t="e">
        <f ca="1">_xll.BDH($C$378,"SHORT_TERM_DEBT_5_YEAR_GROWTH","FQ1 2014","FQ1 2014","Currency=INR","Period=FQ","BEST_FPERIOD_OVERRIDE=FQ","FILING_STATUS=OR","EQY_CONSOLIDATED=Y","Sort=A","Dates=H","DateFormat=P","Fill=—","Direction=H","UseDPDF=Y")</f>
        <v>#NAME?</v>
      </c>
      <c r="BA379" s="2" t="e">
        <f ca="1">_xll.BDH($C$378,"TOTAL_DEBT_5_YEAR_GROWTH","FQ1 2014","FQ1 2014","Currency=INR","Period=FQ","BEST_FPERIOD_OVERRIDE=FQ","FILING_STATUS=OR","EQY_CONSOLIDATED=Y","Sort=A","Dates=H","DateFormat=P","Fill=—","Direction=H","UseDPDF=Y")</f>
        <v>#NAME?</v>
      </c>
      <c r="BB379" s="2" t="e">
        <f ca="1">_xll.BDH($C$378,"GEO_GROW_TOT_SHRHLDR_EQY","FQ1 2014","FQ1 2014","Currency=INR","Period=FQ","BEST_FPERIOD_OVERRIDE=FQ","FILING_STATUS=OR","EQY_CONSOLIDATED=Y","Sort=A","Dates=H","DateFormat=P","Fill=—","Direction=H","UseDPDF=Y")</f>
        <v>#NAME?</v>
      </c>
      <c r="BC379" s="2" t="e">
        <f ca="1">_xll.BDH($C$378,"TOTAL_CAPITAL_5_YEAR_GROWTH","FQ1 2014","FQ1 2014","Currency=INR","Period=FQ","BEST_FPERIOD_OVERRIDE=FQ","FILING_STATUS=OR","EQY_CONSOLIDATED=Y","Sort=A","Dates=H","DateFormat=P","Fill=—","Direction=H","UseDPDF=Y")</f>
        <v>#NAME?</v>
      </c>
      <c r="BD379" s="2" t="e">
        <f ca="1">_xll.BDH($C$378,"GEO_GROW_BOOK_VAL","FQ1 2014","FQ1 2014","Currency=INR","Period=FQ","BEST_FPERIOD_OVERRIDE=FQ","FILING_STATUS=OR","EQY_CONSOLIDATED=Y","Sort=A","Dates=H","DateFormat=P","Fill=—","Direction=H","UseDPDF=Y")</f>
        <v>#NAME?</v>
      </c>
      <c r="BE379" s="2" t="e">
        <f ca="1">_xll.BDH($C$378,"GEO_GROW_CASH_OPER_ACT","FQ1 2014","FQ1 2014","Currency=INR","Period=FQ","BEST_FPERIOD_OVERRIDE=FQ","FILING_STATUS=OR","EQY_CONSOLIDATED=Y","Sort=A","Dates=H","DateFormat=P","Fill=—","Direction=H","UseDPDF=Y")</f>
        <v>#NAME?</v>
      </c>
      <c r="BF379" s="2" t="e">
        <f ca="1">_xll.BDH($C$378,"REVENUE_SEQUENTIAL_GROWTH","FQ1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379" s="2" t="e">
        <f ca="1">_xll.BDH($C$378,"EBITDA_SEQUENTIAL_GROWTH","FQ1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379" s="2" t="e">
        <f ca="1">_xll.BDH($C$378,"OPERATING_INCOME_SEQ_GROWTH","FQ1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379" s="2" t="e">
        <f ca="1">_xll.BDH($C$378,"NET_INCOME_TO_COMMON_SEQ_GROWTH","FQ1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379" s="2" t="e">
        <f ca="1">_xll.BDH($C$378,"EPS_DILUTED_SEQUENTIAL_GROWTH","FQ1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379" s="2" t="e">
        <f ca="1">_xll.BDH($C$378,"DPS_SEQUENTIAL_GROWTH","FQ1 2014","FQ1 2014","Currency=INR","Period=FQ","BEST_FPERIOD_OVERRIDE=FQ","FILING_STATUS=OR","EQY_CONSOLIDATED=Y","Sort=A","Dates=H","DateFormat=P","Fill=—","Direction=H","UseDPDF=Y")</f>
        <v>#NAME?</v>
      </c>
      <c r="BL379" s="2" t="e">
        <f ca="1">_xll.BDH($C$378,"ACCOUNTS_RECEIVABLE_SEQ_GROWTH","FQ1 2014","FQ1 2014","Currency=INR","Period=FQ","BEST_FPERIOD_OVERRIDE=FQ","FILING_STATUS=OR","EQY_CONSOLIDATED=Y","Sort=A","Dates=H","DateFormat=P","Fill=—","Direction=H","UseDPDF=Y")</f>
        <v>#NAME?</v>
      </c>
      <c r="BM379" s="2" t="e">
        <f ca="1">_xll.BDH($C$378,"INVENTORY_SEQUENTIAL_GROWTH","FQ1 2014","FQ1 2014","Currency=INR","Period=FQ","BEST_FPERIOD_OVERRIDE=FQ","FILING_STATUS=OR","EQY_CONSOLIDATED=Y","Sort=A","Dates=H","DateFormat=P","Fill=—","Direction=H","UseDPDF=Y")</f>
        <v>#NAME?</v>
      </c>
      <c r="BN379" s="2" t="e">
        <f ca="1">_xll.BDH($C$378,"FIXED_ASSETS_SEQUENTIAL_GROWTH","FQ1 2014","FQ1 2014","Currency=INR","Period=FQ","BEST_FPERIOD_OVERRIDE=FQ","FILING_STATUS=OR","EQY_CONSOLIDATED=Y","Sort=A","Dates=H","DateFormat=P","Fill=—","Direction=H","UseDPDF=Y")</f>
        <v>#NAME?</v>
      </c>
      <c r="BO379" s="2" t="e">
        <f ca="1">_xll.BDH($C$378,"TOTAL_ASSETS_SEQUENTIAL_GROWTH","FQ1 2014","FQ1 2014","Currency=INR","Period=FQ","BEST_FPERIOD_OVERRIDE=FQ","FILING_STATUS=OR","EQY_CONSOLIDATED=Y","Sort=A","Dates=H","DateFormat=P","Fill=—","Direction=H","UseDPDF=Y")</f>
        <v>#NAME?</v>
      </c>
      <c r="BP379" s="2" t="e">
        <f ca="1">_xll.BDH($C$378,"MODIFIED_WORKING_CPTL_SEQ_GRWTH","FQ1 2014","FQ1 2014","Currency=INR","Period=FQ","BEST_FPERIOD_OVERRIDE=FQ","FILING_STATUS=OR","EQY_CONSOLIDATED=Y","Sort=A","Dates=H","DateFormat=P","Fill=—","Direction=H","UseDPDF=Y")</f>
        <v>#NAME?</v>
      </c>
      <c r="BQ379" s="2" t="e">
        <f ca="1">_xll.BDH($C$378,"WORKING_CAPITAL_SEQ_GROWTH","FQ1 2014","FQ1 2014","Currency=INR","Period=FQ","BEST_FPERIOD_OVERRIDE=FQ","FILING_STATUS=OR","EQY_CONSOLIDATED=Y","Sort=A","Dates=H","DateFormat=P","Fill=—","Direction=H","UseDPDF=Y")</f>
        <v>#NAME?</v>
      </c>
      <c r="BR379" s="2" t="e">
        <f ca="1">_xll.BDH($C$378,"ACCOUNTS_PAYABLE_SEQ_GROWTH","FQ1 2014","FQ1 2014","Currency=INR","Period=FQ","BEST_FPERIOD_OVERRIDE=FQ","FILING_STATUS=OR","EQY_CONSOLIDATED=Y","Sort=A","Dates=H","DateFormat=P","Fill=—","Direction=H","UseDPDF=Y")</f>
        <v>#NAME?</v>
      </c>
      <c r="BS379" s="2" t="e">
        <f ca="1">_xll.BDH($C$378,"ST_DEBT_SEQUENTIAL_GROWTH","FQ1 2014","FQ1 2014","Currency=INR","Period=FQ","BEST_FPERIOD_OVERRIDE=FQ","FILING_STATUS=OR","EQY_CONSOLIDATED=Y","Sort=A","Dates=H","DateFormat=P","Fill=—","Direction=H","UseDPDF=Y")</f>
        <v>#NAME?</v>
      </c>
      <c r="BT379" s="2" t="e">
        <f ca="1">_xll.BDH($C$378,"TOTAL_DEBT_SEQUENTIAL_GROWTH","FQ1 2014","FQ1 2014","Currency=INR","Period=FQ","BEST_FPERIOD_OVERRIDE=FQ","FILING_STATUS=OR","EQY_CONSOLIDATED=Y","Sort=A","Dates=H","DateFormat=P","Fill=—","Direction=H","UseDPDF=Y")</f>
        <v>#NAME?</v>
      </c>
      <c r="BU379" s="2" t="e">
        <f ca="1">_xll.BDH($C$378,"TOTAL_EQUITY_SEQUENTIAL_GROWTH","FQ1 2014","FQ1 2014","Currency=INR","Period=FQ","BEST_FPERIOD_OVERRIDE=FQ","FILING_STATUS=OR","EQY_CONSOLIDATED=Y","Sort=A","Dates=H","DateFormat=P","Fill=—","Direction=H","UseDPDF=Y")</f>
        <v>#NAME?</v>
      </c>
      <c r="BV379" s="2" t="e">
        <f ca="1">_xll.BDH($C$378,"TOTAL_CAPITAL_SEQUENTIAL_GROWTH","FQ1 2014","FQ1 2014","Currency=INR","Period=FQ","BEST_FPERIOD_OVERRIDE=FQ","FILING_STATUS=OR","EQY_CONSOLIDATED=Y","Sort=A","Dates=H","DateFormat=P","Fill=—","Direction=H","UseDPDF=Y")</f>
        <v>#NAME?</v>
      </c>
      <c r="BW379" s="2" t="e">
        <f ca="1">_xll.BDH($C$378,"BPS_SEQUENTIAL_GROWTH","FQ1 2014","FQ1 2014","Currency=INR","Period=FQ","BEST_FPERIOD_OVERRIDE=FQ","FILING_STATUS=OR","EQY_CONSOLIDATED=Y","Sort=A","Dates=H","DateFormat=P","Fill=—","Direction=H","UseDPDF=Y")</f>
        <v>#NAME?</v>
      </c>
      <c r="BX379" s="2" t="e">
        <f ca="1">_xll.BDH($C$378,"CFO_SEQUENTIAL_GROWTH","FQ1 2014","FQ1 2014","Currency=INR","Period=FQ","BEST_FPERIOD_OVERRIDE=FQ","FILING_STATUS=OR","EQY_CONSOLIDATED=Y","Sort=A","Dates=H","DateFormat=P","Fill=—","Direction=H","UseDPDF=Y")</f>
        <v>#NAME?</v>
      </c>
      <c r="BY379" s="3" t="e">
        <f ca="1">_xll.BDH($C$378,"SHORT_AND_LONG_TERM_DEBT","FQ1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379" s="3" t="e">
        <f ca="1">_xll.BDH($C$378,"BS_ST_BORROW","FQ1 2014","FQ1 2014","Currency=INR","Period=FQ","BEST_FPERIOD_OVERRIDE=FQ","FILING_STATUS=OR","EQY_CONSOLIDATED=Y","SCALING_FORMAT=MLN","Sort=A","Dates=H","DateFormat=P","Fill=—","Direction=H","UseDPDF=Y")</f>
        <v>#NAME?</v>
      </c>
      <c r="CA379" s="3" t="e">
        <f ca="1">_xll.BDH($C$378,"BS_LT_BORROW","FQ1 2014","FQ1 2014","Currency=INR","Period=FQ","BEST_FPERIOD_OVERRIDE=FQ","FILING_STATUS=OR","EQY_CONSOLIDATED=Y","SCALING_FORMAT=MLN","Sort=A","Dates=H","DateFormat=P","Fill=—","Direction=H","UseDPDF=Y")</f>
        <v>#NAME?</v>
      </c>
      <c r="CB379" s="2" t="e">
        <f ca="1">_xll.BDH($C$378,"TOT_DEBT_TO_EBITDA","FQ1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379" s="2" t="e">
        <f ca="1">_xll.BDH($C$378,"NET_DEBT_TO_EBITDA","FQ1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379" s="2" t="e">
        <f ca="1">_xll.BDH($C$378,"TOTAL_DEBT_TO_EBIT","FQ1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379" s="2" t="e">
        <f ca="1">_xll.BDH($C$378,"NET_DEBT_TO_EBIT","FQ1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379" s="2" t="e">
        <f ca="1">_xll.BDH($C$378,"EBITDA_TO_INTEREST_EXPN","FQ1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379" s="2" t="e">
        <f ca="1">_xll.BDH($C$378,"COM_EQY_TO_TOT_ASSET","FQ1 2014","FQ1 2014","Currency=INR","Period=FQ","BEST_FPERIOD_OVERRIDE=FQ","FILING_STATUS=OR","EQY_CONSOLIDATED=Y","Sort=A","Dates=H","DateFormat=P","Fill=—","Direction=H","UseDPDF=Y")</f>
        <v>#NAME?</v>
      </c>
      <c r="CH379" s="2" t="e">
        <f ca="1">_xll.BDH($C$378,"LT_DEBT_TO_TOT_EQY","FQ1 2014","FQ1 2014","Currency=INR","Period=FQ","BEST_FPERIOD_OVERRIDE=FQ","FILING_STATUS=OR","EQY_CONSOLIDATED=Y","Sort=A","Dates=H","DateFormat=P","Fill=—","Direction=H","UseDPDF=Y")</f>
        <v>#NAME?</v>
      </c>
      <c r="CI379" s="2" t="e">
        <f ca="1">_xll.BDH($C$378,"LT_DEBT_TO_TOT_CAP","FQ1 2014","FQ1 2014","Currency=INR","Period=FQ","BEST_FPERIOD_OVERRIDE=FQ","FILING_STATUS=OR","EQY_CONSOLIDATED=Y","Sort=A","Dates=H","DateFormat=P","Fill=—","Direction=H","UseDPDF=Y")</f>
        <v>#NAME?</v>
      </c>
      <c r="CJ379" s="2" t="e">
        <f ca="1">_xll.BDH($C$378,"LT_DEBT_TO_TOT_ASSET","FQ1 2014","FQ1 2014","Currency=INR","Period=FQ","BEST_FPERIOD_OVERRIDE=FQ","FILING_STATUS=OR","EQY_CONSOLIDATED=Y","Sort=A","Dates=H","DateFormat=P","Fill=—","Direction=H","UseDPDF=Y")</f>
        <v>#NAME?</v>
      </c>
      <c r="CK379" s="2" t="e">
        <f ca="1">_xll.BDH($C$378,"TOT_DEBT_TO_TOT_EQY","FQ1 2014","FQ1 2014","Currency=INR","Period=FQ","BEST_FPERIOD_OVERRIDE=FQ","FILING_STATUS=OR","EQY_CONSOLIDATED=Y","Sort=A","Dates=H","DateFormat=P","Fill=—","Direction=H","UseDPDF=Y")</f>
        <v>#NAME?</v>
      </c>
      <c r="CL379" s="2" t="e">
        <f ca="1">_xll.BDH($C$378,"TOT_DEBT_TO_TOT_CAP","FQ1 2014","FQ1 2014","Currency=INR","Period=FQ","BEST_FPERIOD_OVERRIDE=FQ","FILING_STATUS=OR","EQY_CONSOLIDATED=Y","Sort=A","Dates=H","DateFormat=P","Fill=—","Direction=H","UseDPDF=Y")</f>
        <v>#NAME?</v>
      </c>
      <c r="CM379" s="2" t="e">
        <f ca="1">_xll.BDH($C$378,"TOT_DEBT_TO_TOT_ASSET","FQ1 2014","FQ1 2014","Currency=INR","Period=FQ","BEST_FPERIOD_OVERRIDE=FQ","FILING_STATUS=OR","EQY_CONSOLIDATED=Y","Sort=A","Dates=H","DateFormat=P","Fill=—","Direction=H","UseDPDF=Y")</f>
        <v>#NAME?</v>
      </c>
      <c r="CN379" s="2" t="e">
        <f ca="1">_xll.BDH($C$378,"NET_DEBT_TO_SHRHLDR_EQTY","FQ1 2014","FQ1 2014","Currency=INR","Period=FQ","BEST_FPERIOD_OVERRIDE=FQ","FILING_STATUS=OR","EQY_CONSOLIDATED=Y","Sort=A","Dates=H","DateFormat=P","Fill=—","Direction=H","UseDPDF=Y")</f>
        <v>#NAME?</v>
      </c>
      <c r="CO379" s="2" t="e">
        <f ca="1">_xll.BDH($C$378,"NET_DEBT_%_CAPITAL","FQ1 2014","FQ1 2014","Currency=INR","Period=FQ","BEST_FPERIOD_OVERRIDE=FQ","FILING_STATUS=OR","EQY_CONSOLIDATED=Y","Sort=A","Dates=H","DateFormat=P","Fill=—","Direction=H","UseDPDF=Y")</f>
        <v>#NAME?</v>
      </c>
      <c r="CP379" s="3" t="e">
        <f ca="1">_xll.BDH($C$378,"EBITDA","FQ1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379" s="3" t="e">
        <f ca="1">_xll.BDH($C$378,"EBITDA_AFTER_CAPEX","FQ1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379" s="3" t="e">
        <f ca="1">_xll.BDH($C$378,"IS_OPER_INC","FQ1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379" s="2" t="e">
        <f ca="1">_xll.BDH($C$378,"CASH_RATIO","FQ1 2014","FQ1 2014","Currency=INR","Period=FQ","BEST_FPERIOD_OVERRIDE=FQ","FILING_STATUS=OR","EQY_CONSOLIDATED=Y","Sort=A","Dates=H","DateFormat=P","Fill=—","Direction=H","UseDPDF=Y")</f>
        <v>#NAME?</v>
      </c>
      <c r="CT379" s="2" t="e">
        <f ca="1">_xll.BDH($C$378,"CUR_RATIO","FQ1 2014","FQ1 2014","Currency=INR","Period=FQ","BEST_FPERIOD_OVERRIDE=FQ","FILING_STATUS=OR","EQY_CONSOLIDATED=Y","Sort=A","Dates=H","DateFormat=P","Fill=—","Direction=H","UseDPDF=Y")</f>
        <v>#NAME?</v>
      </c>
      <c r="CU379" s="2" t="e">
        <f ca="1">_xll.BDH($C$378,"QUICK_RATIO","FQ1 2014","FQ1 2014","Currency=INR","Period=FQ","BEST_FPERIOD_OVERRIDE=FQ","FILING_STATUS=OR","EQY_CONSOLIDATED=Y","Sort=A","Dates=H","DateFormat=P","Fill=—","Direction=H","UseDPDF=Y")</f>
        <v>#NAME?</v>
      </c>
      <c r="CV379" s="2" t="e">
        <f ca="1">_xll.BDH($C$378,"ALTMAN_Z_SCORE","FQ1 2014","FQ1 2014","Currency=INR","Period=FQ","BEST_FPERIOD_OVERRIDE=FQ","FILING_STATUS=OR","EQY_CONSOLIDATED=Y","Sort=A","Dates=H","DateFormat=P","Fill=—","Direction=H","UseDPDF=Y")</f>
        <v>#NAME?</v>
      </c>
      <c r="CW379" s="4" t="e">
        <f ca="1">_xll.BDH($C$378,"ACCT_RCV_TURN","FQ1 2014","FQ1 2014","Currency=INR","Period=FQ","BEST_FPERIOD_OVERRIDE=FQ","FILING_STATUS=OR","EQY_CONSOLIDATED=Y","FA_ADJUSTED=GAAP","Sort=A","Dates=H","DateFormat=P","Fill=—","Direction=H","UseDPDF=Y")</f>
        <v>#NAME?</v>
      </c>
      <c r="CX379" s="2" t="e">
        <f ca="1">_xll.BDH($C$378,"ACCT_RCV_DAYS","FQ1 2014","FQ1 2014","Currency=INR","Period=FQ","BEST_FPERIOD_OVERRIDE=FQ","FILING_STATUS=OR","EQY_CONSOLIDATED=Y","FA_ADJUSTED=GAAP","Sort=A","Dates=H","DateFormat=P","Fill=—","Direction=H","UseDPDF=Y")</f>
        <v>#NAME?</v>
      </c>
      <c r="CY379" s="4" t="e">
        <f ca="1">_xll.BDH($C$378,"INVENT_TURN","FQ1 2014","FQ1 2014","Currency=INR","Period=FQ","BEST_FPERIOD_OVERRIDE=FQ","FILING_STATUS=OR","EQY_CONSOLIDATED=Y","FA_ADJUSTED=GAAP","Sort=A","Dates=H","DateFormat=P","Fill=—","Direction=H","UseDPDF=Y")</f>
        <v>#NAME?</v>
      </c>
      <c r="CZ379" s="2" t="e">
        <f ca="1">_xll.BDH($C$378,"INVENT_DAYS","FQ1 2014","FQ1 2014","Currency=INR","Period=FQ","BEST_FPERIOD_OVERRIDE=FQ","FILING_STATUS=OR","EQY_CONSOLIDATED=Y","FA_ADJUSTED=GAAP","Sort=A","Dates=H","DateFormat=P","Fill=—","Direction=H","UseDPDF=Y")</f>
        <v>#NAME?</v>
      </c>
      <c r="DA379" s="4" t="e">
        <f ca="1">_xll.BDH($C$378,"ACCOUNTS_PAYABLE_TURNOVER","FQ1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379" s="2" t="e">
        <f ca="1">_xll.BDH($C$378,"ACCOUNTS_PAYABLE_TURNOVER_DAYS","FQ1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379" s="4" t="e">
        <f ca="1">_xll.BDH($C$378,"CASH_CONVERSION_CYCLE","FQ1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379" s="4" t="e">
        <f ca="1">_xll.BDH($C$378,"INV_TO_CASH_DAYS","FQ1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379" s="5" t="e">
        <f ca="1">_xll.BDH($C$378,"BS_INVENTORIES","FQ1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379" s="3" t="e">
        <f ca="1">_xll.BDH($C$378,"INVTRY_RAW_MATERIALS","FQ1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379" s="3" t="e">
        <f ca="1">_xll.BDH($C$378,"INVTRY_IN_PROGRESS","FQ1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379" s="3" t="e">
        <f ca="1">_xll.BDH($C$378,"INVTRY_FINISHED_GOODS","FQ1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379" s="3" t="e">
        <f ca="1">_xll.BDH($C$378,"BS_OTHER_INV","FQ1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380" spans="1:113" x14ac:dyDescent="0.3">
      <c r="A380" s="6"/>
      <c r="B380" s="6"/>
      <c r="C380" s="6"/>
      <c r="D380" s="6"/>
      <c r="E380" t="s">
        <v>79</v>
      </c>
      <c r="F380" t="e">
        <f ca="1">_xll.BDH($C$378,"RETURN_COM_EQY","FQ2 2014","FQ2 2014","Currency=INR","Period=FQ","BEST_FPERIOD_OVERRIDE=FQ","FILING_STATUS=OR","EQY_CONSOLIDATED=Y","FA_ADJUSTED=GAAP","Sort=A","Dates=H","DateFormat=P","Fill=—","Direction=H","UseDPDF=Y")</f>
        <v>#NAME?</v>
      </c>
      <c r="G380" t="e">
        <f ca="1">_xll.BDH($C$378,"RETURN_ON_ASSET","FQ2 2014","FQ2 2014","Currency=INR","Period=FQ","BEST_FPERIOD_OVERRIDE=FQ","FILING_STATUS=OR","EQY_CONSOLIDATED=Y","FA_ADJUSTED=GAAP","Sort=A","Dates=H","DateFormat=P","Fill=—","Direction=H","UseDPDF=Y")</f>
        <v>#NAME?</v>
      </c>
      <c r="H380" t="e">
        <f ca="1">_xll.BDH($C$378,"RETURN_ON_CAP","FQ2 2014","FQ2 2014","Currency=INR","Period=FQ","BEST_FPERIOD_OVERRIDE=FQ","FILING_STATUS=OR","EQY_CONSOLIDATED=Y","FA_ADJUSTED=GAAP","Sort=A","Dates=H","DateFormat=P","Fill=—","Direction=H","UseDPDF=Y")</f>
        <v>#NAME?</v>
      </c>
      <c r="I380" t="e">
        <f ca="1">_xll.BDH($C$378,"RETURN_ON_INV_CAPITAL","FQ2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380" t="e">
        <f ca="1">_xll.BDH($C$378,"EBITDA_TO_REVENUE","FQ2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380" t="e">
        <f ca="1">_xll.BDH($C$378,"OPER_MARGIN","FQ2 2014","FQ2 2014","Currency=INR","Period=FQ","BEST_FPERIOD_OVERRIDE=FQ","FILING_STATUS=OR","EQY_CONSOLIDATED=Y","FA_ADJUSTED=GAAP","Sort=A","Dates=H","DateFormat=P","Fill=—","Direction=H","UseDPDF=Y")</f>
        <v>#NAME?</v>
      </c>
      <c r="L380" t="e">
        <f ca="1">_xll.BDH($C$378,"INCREMENTAL_OPERATING_MARGIN","FQ2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380" t="e">
        <f ca="1">_xll.BDH($C$378,"PRETAX_INC_TO_NET_SALES","FQ2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380" t="e">
        <f ca="1">_xll.BDH($C$378,"INC_BEF_XO_ITEMS_TO_NET_SALES","FQ2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380" t="e">
        <f ca="1">_xll.BDH($C$378,"PROF_MARGIN","FQ2 2014","FQ2 2014","Currency=INR","Period=FQ","BEST_FPERIOD_OVERRIDE=FQ","FILING_STATUS=OR","EQY_CONSOLIDATED=Y","FA_ADJUSTED=GAAP","Sort=A","Dates=H","DateFormat=P","Fill=—","Direction=H","UseDPDF=Y")</f>
        <v>#NAME?</v>
      </c>
      <c r="P380" t="e">
        <f ca="1">_xll.BDH($C$378,"NET_INCOME_TO_COMMON_MARGIN","FQ2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380" t="e">
        <f ca="1">_xll.BDH($C$378,"EFF_TAX_RATE","FQ2 2014","FQ2 2014","Currency=INR","Period=FQ","BEST_FPERIOD_OVERRIDE=FQ","FILING_STATUS=OR","EQY_CONSOLIDATED=Y","FA_ADJUSTED=GAAP","Sort=A","Dates=H","DateFormat=P","Fill=—","Direction=H","UseDPDF=Y")</f>
        <v>#NAME?</v>
      </c>
      <c r="R380" t="e">
        <f ca="1">_xll.BDH($C$378,"DVD_PAYOUT_RATIO","FQ2 2014","FQ2 2014","Currency=INR","Period=FQ","BEST_FPERIOD_OVERRIDE=FQ","FILING_STATUS=OR","EQY_CONSOLIDATED=Y","FA_ADJUSTED=GAAP","Sort=A","Dates=H","DateFormat=P","Fill=—","Direction=H","UseDPDF=Y")</f>
        <v>#NAME?</v>
      </c>
      <c r="S380" t="e">
        <f ca="1">_xll.BDH($C$378,"SUSTAIN_GROWTH_RT","FQ2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380" s="2" t="e">
        <f ca="1">_xll.BDH($C$378,"SALES_GROWTH","FQ2 2014","FQ2 2014","Currency=INR","Period=FQ","BEST_FPERIOD_OVERRIDE=FQ","FILING_STATUS=OR","EQY_CONSOLIDATED=Y","FA_ADJUSTED=GAAP","Sort=A","Dates=H","DateFormat=P","Fill=—","Direction=H","UseDPDF=Y")</f>
        <v>#NAME?</v>
      </c>
      <c r="U380" s="2" t="e">
        <f ca="1">_xll.BDH($C$378,"EBITDA_GROWTH","FQ2 2014","FQ2 2014","Currency=INR","Period=FQ","BEST_FPERIOD_OVERRIDE=FQ","FILING_STATUS=OR","EQY_CONSOLIDATED=Y","FA_ADJUSTED=GAAP","Sort=A","Dates=H","DateFormat=P","Fill=—","Direction=H","UseDPDF=Y")</f>
        <v>#NAME?</v>
      </c>
      <c r="V380" s="2" t="e">
        <f ca="1">_xll.BDH($C$378,"OPER_INC_GROWTH","FQ2 2014","FQ2 2014","Currency=INR","Period=FQ","BEST_FPERIOD_OVERRIDE=FQ","FILING_STATUS=OR","EQY_CONSOLIDATED=Y","FA_ADJUSTED=GAAP","Sort=A","Dates=H","DateFormat=P","Fill=—","Direction=H","UseDPDF=Y")</f>
        <v>#NAME?</v>
      </c>
      <c r="W380" s="2" t="e">
        <f ca="1">_xll.BDH($C$378,"EARN_FOR_COM_GROWTH","FQ2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380" s="2" t="e">
        <f ca="1">_xll.BDH($C$378,"DILUTED_EPS_AFT_XO_ITEMS_GROWTH","FQ2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380" s="2" t="e">
        <f ca="1">_xll.BDH($C$378,"DIVIDEND_PER_SHARE_1_YEAR_GROWTH","FQ2 2014","FQ2 2014","Currency=INR","Period=FQ","BEST_FPERIOD_OVERRIDE=FQ","FILING_STATUS=OR","EQY_CONSOLIDATED=Y","Sort=A","Dates=H","DateFormat=P","Fill=—","Direction=H","UseDPDF=Y")</f>
        <v>#NAME?</v>
      </c>
      <c r="Z380" s="2" t="e">
        <f ca="1">_xll.BDH($C$378,"ACCOUNTS_RECEIVABLE_GROWTH","FQ2 2014","FQ2 2014","Currency=INR","Period=FQ","BEST_FPERIOD_OVERRIDE=FQ","FILING_STATUS=OR","EQY_CONSOLIDATED=Y","Sort=A","Dates=H","DateFormat=P","Fill=—","Direction=H","UseDPDF=Y")</f>
        <v>#NAME?</v>
      </c>
      <c r="AA380" s="2" t="e">
        <f ca="1">_xll.BDH($C$378,"INVENTORY_GROWTH","FQ2 2014","FQ2 2014","Currency=INR","Period=FQ","BEST_FPERIOD_OVERRIDE=FQ","FILING_STATUS=OR","EQY_CONSOLIDATED=Y","Sort=A","Dates=H","DateFormat=P","Fill=—","Direction=H","UseDPDF=Y")</f>
        <v>#NAME?</v>
      </c>
      <c r="AB380" s="2" t="e">
        <f ca="1">_xll.BDH($C$378,"NET_FIXED_ASSETS_1_YEAR_GROWTH","FQ2 2014","FQ2 2014","Currency=INR","Period=FQ","BEST_FPERIOD_OVERRIDE=FQ","FILING_STATUS=OR","EQY_CONSOLIDATED=Y","Sort=A","Dates=H","DateFormat=P","Fill=—","Direction=H","UseDPDF=Y")</f>
        <v>#NAME?</v>
      </c>
      <c r="AC380" s="2" t="e">
        <f ca="1">_xll.BDH($C$378,"ASSET_GROWTH","FQ2 2014","FQ2 2014","Currency=INR","Period=FQ","BEST_FPERIOD_OVERRIDE=FQ","FILING_STATUS=OR","EQY_CONSOLIDATED=Y","Sort=A","Dates=H","DateFormat=P","Fill=—","Direction=H","UseDPDF=Y")</f>
        <v>#NAME?</v>
      </c>
      <c r="AD380" s="2" t="e">
        <f ca="1">_xll.BDH($C$378,"MODIFIED_WORK_CAP_GROWTH","FQ2 2014","FQ2 2014","Currency=INR","Period=FQ","BEST_FPERIOD_OVERRIDE=FQ","FILING_STATUS=OR","EQY_CONSOLIDATED=Y","Sort=A","Dates=H","DateFormat=P","Fill=—","Direction=H","UseDPDF=Y")</f>
        <v>#NAME?</v>
      </c>
      <c r="AE380" s="2" t="e">
        <f ca="1">_xll.BDH($C$378,"WORK_CAP_GROWTH","FQ2 2014","FQ2 2014","Currency=INR","Period=FQ","BEST_FPERIOD_OVERRIDE=FQ","FILING_STATUS=OR","EQY_CONSOLIDATED=Y","Sort=A","Dates=H","DateFormat=P","Fill=—","Direction=H","UseDPDF=Y")</f>
        <v>#NAME?</v>
      </c>
      <c r="AF380" s="2" t="e">
        <f ca="1">_xll.BDH($C$378,"ACCOUNTS_PAYABLE_GROWTH_1YR","FQ2 2014","FQ2 2014","Currency=INR","Period=FQ","BEST_FPERIOD_OVERRIDE=FQ","FILING_STATUS=OR","EQY_CONSOLIDATED=Y","Sort=A","Dates=H","DateFormat=P","Fill=—","Direction=H","UseDPDF=Y")</f>
        <v>#NAME?</v>
      </c>
      <c r="AG380" s="2" t="e">
        <f ca="1">_xll.BDH($C$378,"SHORT_TERM_DEBT_1_YEAR_GROWTH","FQ2 2014","FQ2 2014","Currency=INR","Period=FQ","BEST_FPERIOD_OVERRIDE=FQ","FILING_STATUS=OR","EQY_CONSOLIDATED=Y","Sort=A","Dates=H","DateFormat=P","Fill=—","Direction=H","UseDPDF=Y")</f>
        <v>#NAME?</v>
      </c>
      <c r="AH380" s="2" t="e">
        <f ca="1">_xll.BDH($C$378,"TOTAL_DEBT_1_YEAR_GROWTH","FQ2 2014","FQ2 2014","Currency=INR","Period=FQ","BEST_FPERIOD_OVERRIDE=FQ","FILING_STATUS=OR","EQY_CONSOLIDATED=Y","Sort=A","Dates=H","DateFormat=P","Fill=—","Direction=H","UseDPDF=Y")</f>
        <v>#NAME?</v>
      </c>
      <c r="AI380" s="2" t="e">
        <f ca="1">_xll.BDH($C$378,"TOTAL_EQUITY_1_YEAR_GROWTH","FQ2 2014","FQ2 2014","Currency=INR","Period=FQ","BEST_FPERIOD_OVERRIDE=FQ","FILING_STATUS=OR","EQY_CONSOLIDATED=Y","Sort=A","Dates=H","DateFormat=P","Fill=—","Direction=H","UseDPDF=Y")</f>
        <v>#NAME?</v>
      </c>
      <c r="AJ380" s="2" t="e">
        <f ca="1">_xll.BDH($C$378,"GROWTH_IN_CAP","FQ2 2014","FQ2 2014","Currency=INR","Period=FQ","BEST_FPERIOD_OVERRIDE=FQ","FILING_STATUS=OR","EQY_CONSOLIDATED=Y","Sort=A","Dates=H","DateFormat=P","Fill=—","Direction=H","UseDPDF=Y")</f>
        <v>#NAME?</v>
      </c>
      <c r="AK380" s="2" t="e">
        <f ca="1">_xll.BDH($C$378,"BVPS_GROWTH","FQ2 2014","FQ2 2014","Currency=INR","Period=FQ","BEST_FPERIOD_OVERRIDE=FQ","FILING_STATUS=OR","EQY_CONSOLIDATED=Y","Sort=A","Dates=H","DateFormat=P","Fill=—","Direction=H","UseDPDF=Y")</f>
        <v>#NAME?</v>
      </c>
      <c r="AL380" s="2" t="e">
        <f ca="1">_xll.BDH($C$378,"CASH_FLOW_GROWTH","FQ2 2014","FQ2 2014","Currency=INR","Period=FQ","BEST_FPERIOD_OVERRIDE=FQ","FILING_STATUS=OR","EQY_CONSOLIDATED=Y","Sort=A","Dates=H","DateFormat=P","Fill=—","Direction=H","UseDPDF=Y")</f>
        <v>#NAME?</v>
      </c>
      <c r="AM380" s="2" t="e">
        <f ca="1">_xll.BDH($C$378,"GEO_GROW_NET_SALES","FQ2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380" s="2" t="e">
        <f ca="1">_xll.BDH($C$378,"GEO_GROW_EBITDA","FQ2 2014","FQ2 2014","Currency=INR","Period=FQ","BEST_FPERIOD_OVERRIDE=FQ","FILING_STATUS=OR","EQY_CONSOLIDATED=Y","FA_ADJUSTED=GAAP","Sort=A","Dates=H","DateFormat=P","Fill=—","Direction=H","UseDPDF=Y")</f>
        <v>#NAME?</v>
      </c>
      <c r="AO380" s="2" t="e">
        <f ca="1">_xll.BDH($C$378,"GEO_GROW_OPER_INC","FQ2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380" s="2" t="e">
        <f ca="1">_xll.BDH($C$378,"NET_INCOME_TO_COMMON_5_YR_GROWTH","FQ2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380" s="2" t="e">
        <f ca="1">_xll.BDH($C$378,"5Y_GEO_GROWTH_DILUTED_EPS","FQ2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380" s="2" t="e">
        <f ca="1">_xll.BDH($C$378,"GEO_GROW_DVD_PER_SH","FQ2 2014","FQ2 2014","Currency=INR","Period=FQ","BEST_FPERIOD_OVERRIDE=FQ","FILING_STATUS=OR","EQY_CONSOLIDATED=Y","Sort=A","Dates=H","DateFormat=P","Fill=—","Direction=H","UseDPDF=Y")</f>
        <v>#NAME?</v>
      </c>
      <c r="AS380" s="2" t="e">
        <f ca="1">_xll.BDH($C$378,"ACCOUNTS_RECEIVABLE_5_YR_GROWTH","FQ2 2014","FQ2 2014","Currency=INR","Period=FQ","BEST_FPERIOD_OVERRIDE=FQ","FILING_STATUS=OR","EQY_CONSOLIDATED=Y","Sort=A","Dates=H","DateFormat=P","Fill=—","Direction=H","UseDPDF=Y")</f>
        <v>#NAME?</v>
      </c>
      <c r="AT380" s="2" t="e">
        <f ca="1">_xll.BDH($C$378,"INVENTORY_5_YEAR_GROWTH","FQ2 2014","FQ2 2014","Currency=INR","Period=FQ","BEST_FPERIOD_OVERRIDE=FQ","FILING_STATUS=OR","EQY_CONSOLIDATED=Y","Sort=A","Dates=H","DateFormat=P","Fill=—","Direction=H","UseDPDF=Y")</f>
        <v>#NAME?</v>
      </c>
      <c r="AU380" s="2" t="e">
        <f ca="1">_xll.BDH($C$378,"NET_FIXED_ASSETS_5_YEAR_GROWTH","FQ2 2014","FQ2 2014","Currency=INR","Period=FQ","BEST_FPERIOD_OVERRIDE=FQ","FILING_STATUS=OR","EQY_CONSOLIDATED=Y","Sort=A","Dates=H","DateFormat=P","Fill=—","Direction=H","UseDPDF=Y")</f>
        <v>#NAME?</v>
      </c>
      <c r="AV380" s="2" t="e">
        <f ca="1">_xll.BDH($C$378,"GEO_GROW_TOT_ASSET","FQ2 2014","FQ2 2014","Currency=INR","Period=FQ","BEST_FPERIOD_OVERRIDE=FQ","FILING_STATUS=OR","EQY_CONSOLIDATED=Y","Sort=A","Dates=H","DateFormat=P","Fill=—","Direction=H","UseDPDF=Y")</f>
        <v>#NAME?</v>
      </c>
      <c r="AW380" s="2" t="e">
        <f ca="1">_xll.BDH($C$378,"MODIFIED_WORKING_CPTL_5YR_GRWTH","FQ2 2014","FQ2 2014","Currency=INR","Period=FQ","BEST_FPERIOD_OVERRIDE=FQ","FILING_STATUS=OR","EQY_CONSOLIDATED=Y","Sort=A","Dates=H","DateFormat=P","Fill=—","Direction=H","UseDPDF=Y")</f>
        <v>#NAME?</v>
      </c>
      <c r="AX380" s="2" t="e">
        <f ca="1">_xll.BDH($C$378,"WORKING_CAPITAL_5_YEAR_GROWTH","FQ2 2014","FQ2 2014","Currency=INR","Period=FQ","BEST_FPERIOD_OVERRIDE=FQ","FILING_STATUS=OR","EQY_CONSOLIDATED=Y","Sort=A","Dates=H","DateFormat=P","Fill=—","Direction=H","UseDPDF=Y")</f>
        <v>#NAME?</v>
      </c>
      <c r="AY380" s="2" t="e">
        <f ca="1">_xll.BDH($C$378,"ACCOUNTS_PAYABLE_5_YEAR_GROWTH","FQ2 2014","FQ2 2014","Currency=INR","Period=FQ","BEST_FPERIOD_OVERRIDE=FQ","FILING_STATUS=OR","EQY_CONSOLIDATED=Y","Sort=A","Dates=H","DateFormat=P","Fill=—","Direction=H","UseDPDF=Y")</f>
        <v>#NAME?</v>
      </c>
      <c r="AZ380" s="2" t="e">
        <f ca="1">_xll.BDH($C$378,"SHORT_TERM_DEBT_5_YEAR_GROWTH","FQ2 2014","FQ2 2014","Currency=INR","Period=FQ","BEST_FPERIOD_OVERRIDE=FQ","FILING_STATUS=OR","EQY_CONSOLIDATED=Y","Sort=A","Dates=H","DateFormat=P","Fill=—","Direction=H","UseDPDF=Y")</f>
        <v>#NAME?</v>
      </c>
      <c r="BA380" s="2" t="e">
        <f ca="1">_xll.BDH($C$378,"TOTAL_DEBT_5_YEAR_GROWTH","FQ2 2014","FQ2 2014","Currency=INR","Period=FQ","BEST_FPERIOD_OVERRIDE=FQ","FILING_STATUS=OR","EQY_CONSOLIDATED=Y","Sort=A","Dates=H","DateFormat=P","Fill=—","Direction=H","UseDPDF=Y")</f>
        <v>#NAME?</v>
      </c>
      <c r="BB380" s="2" t="e">
        <f ca="1">_xll.BDH($C$378,"GEO_GROW_TOT_SHRHLDR_EQY","FQ2 2014","FQ2 2014","Currency=INR","Period=FQ","BEST_FPERIOD_OVERRIDE=FQ","FILING_STATUS=OR","EQY_CONSOLIDATED=Y","Sort=A","Dates=H","DateFormat=P","Fill=—","Direction=H","UseDPDF=Y")</f>
        <v>#NAME?</v>
      </c>
      <c r="BC380" s="2" t="e">
        <f ca="1">_xll.BDH($C$378,"TOTAL_CAPITAL_5_YEAR_GROWTH","FQ2 2014","FQ2 2014","Currency=INR","Period=FQ","BEST_FPERIOD_OVERRIDE=FQ","FILING_STATUS=OR","EQY_CONSOLIDATED=Y","Sort=A","Dates=H","DateFormat=P","Fill=—","Direction=H","UseDPDF=Y")</f>
        <v>#NAME?</v>
      </c>
      <c r="BD380" s="2" t="e">
        <f ca="1">_xll.BDH($C$378,"GEO_GROW_BOOK_VAL","FQ2 2014","FQ2 2014","Currency=INR","Period=FQ","BEST_FPERIOD_OVERRIDE=FQ","FILING_STATUS=OR","EQY_CONSOLIDATED=Y","Sort=A","Dates=H","DateFormat=P","Fill=—","Direction=H","UseDPDF=Y")</f>
        <v>#NAME?</v>
      </c>
      <c r="BE380" s="2" t="e">
        <f ca="1">_xll.BDH($C$378,"GEO_GROW_CASH_OPER_ACT","FQ2 2014","FQ2 2014","Currency=INR","Period=FQ","BEST_FPERIOD_OVERRIDE=FQ","FILING_STATUS=OR","EQY_CONSOLIDATED=Y","Sort=A","Dates=H","DateFormat=P","Fill=—","Direction=H","UseDPDF=Y")</f>
        <v>#NAME?</v>
      </c>
      <c r="BF380" s="2" t="e">
        <f ca="1">_xll.BDH($C$378,"REVENUE_SEQUENTIAL_GROWTH","FQ2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380" s="2" t="e">
        <f ca="1">_xll.BDH($C$378,"EBITDA_SEQUENTIAL_GROWTH","FQ2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380" s="2" t="e">
        <f ca="1">_xll.BDH($C$378,"OPERATING_INCOME_SEQ_GROWTH","FQ2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380" s="2" t="e">
        <f ca="1">_xll.BDH($C$378,"NET_INCOME_TO_COMMON_SEQ_GROWTH","FQ2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380" s="2" t="e">
        <f ca="1">_xll.BDH($C$378,"EPS_DILUTED_SEQUENTIAL_GROWTH","FQ2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380" s="2" t="e">
        <f ca="1">_xll.BDH($C$378,"DPS_SEQUENTIAL_GROWTH","FQ2 2014","FQ2 2014","Currency=INR","Period=FQ","BEST_FPERIOD_OVERRIDE=FQ","FILING_STATUS=OR","EQY_CONSOLIDATED=Y","Sort=A","Dates=H","DateFormat=P","Fill=—","Direction=H","UseDPDF=Y")</f>
        <v>#NAME?</v>
      </c>
      <c r="BL380" s="2" t="e">
        <f ca="1">_xll.BDH($C$378,"ACCOUNTS_RECEIVABLE_SEQ_GROWTH","FQ2 2014","FQ2 2014","Currency=INR","Period=FQ","BEST_FPERIOD_OVERRIDE=FQ","FILING_STATUS=OR","EQY_CONSOLIDATED=Y","Sort=A","Dates=H","DateFormat=P","Fill=—","Direction=H","UseDPDF=Y")</f>
        <v>#NAME?</v>
      </c>
      <c r="BM380" s="2" t="e">
        <f ca="1">_xll.BDH($C$378,"INVENTORY_SEQUENTIAL_GROWTH","FQ2 2014","FQ2 2014","Currency=INR","Period=FQ","BEST_FPERIOD_OVERRIDE=FQ","FILING_STATUS=OR","EQY_CONSOLIDATED=Y","Sort=A","Dates=H","DateFormat=P","Fill=—","Direction=H","UseDPDF=Y")</f>
        <v>#NAME?</v>
      </c>
      <c r="BN380" s="2" t="e">
        <f ca="1">_xll.BDH($C$378,"FIXED_ASSETS_SEQUENTIAL_GROWTH","FQ2 2014","FQ2 2014","Currency=INR","Period=FQ","BEST_FPERIOD_OVERRIDE=FQ","FILING_STATUS=OR","EQY_CONSOLIDATED=Y","Sort=A","Dates=H","DateFormat=P","Fill=—","Direction=H","UseDPDF=Y")</f>
        <v>#NAME?</v>
      </c>
      <c r="BO380" s="2" t="e">
        <f ca="1">_xll.BDH($C$378,"TOTAL_ASSETS_SEQUENTIAL_GROWTH","FQ2 2014","FQ2 2014","Currency=INR","Period=FQ","BEST_FPERIOD_OVERRIDE=FQ","FILING_STATUS=OR","EQY_CONSOLIDATED=Y","Sort=A","Dates=H","DateFormat=P","Fill=—","Direction=H","UseDPDF=Y")</f>
        <v>#NAME?</v>
      </c>
      <c r="BP380" s="2" t="e">
        <f ca="1">_xll.BDH($C$378,"MODIFIED_WORKING_CPTL_SEQ_GRWTH","FQ2 2014","FQ2 2014","Currency=INR","Period=FQ","BEST_FPERIOD_OVERRIDE=FQ","FILING_STATUS=OR","EQY_CONSOLIDATED=Y","Sort=A","Dates=H","DateFormat=P","Fill=—","Direction=H","UseDPDF=Y")</f>
        <v>#NAME?</v>
      </c>
      <c r="BQ380" s="2" t="e">
        <f ca="1">_xll.BDH($C$378,"WORKING_CAPITAL_SEQ_GROWTH","FQ2 2014","FQ2 2014","Currency=INR","Period=FQ","BEST_FPERIOD_OVERRIDE=FQ","FILING_STATUS=OR","EQY_CONSOLIDATED=Y","Sort=A","Dates=H","DateFormat=P","Fill=—","Direction=H","UseDPDF=Y")</f>
        <v>#NAME?</v>
      </c>
      <c r="BR380" s="2" t="e">
        <f ca="1">_xll.BDH($C$378,"ACCOUNTS_PAYABLE_SEQ_GROWTH","FQ2 2014","FQ2 2014","Currency=INR","Period=FQ","BEST_FPERIOD_OVERRIDE=FQ","FILING_STATUS=OR","EQY_CONSOLIDATED=Y","Sort=A","Dates=H","DateFormat=P","Fill=—","Direction=H","UseDPDF=Y")</f>
        <v>#NAME?</v>
      </c>
      <c r="BS380" s="2" t="e">
        <f ca="1">_xll.BDH($C$378,"ST_DEBT_SEQUENTIAL_GROWTH","FQ2 2014","FQ2 2014","Currency=INR","Period=FQ","BEST_FPERIOD_OVERRIDE=FQ","FILING_STATUS=OR","EQY_CONSOLIDATED=Y","Sort=A","Dates=H","DateFormat=P","Fill=—","Direction=H","UseDPDF=Y")</f>
        <v>#NAME?</v>
      </c>
      <c r="BT380" s="2" t="e">
        <f ca="1">_xll.BDH($C$378,"TOTAL_DEBT_SEQUENTIAL_GROWTH","FQ2 2014","FQ2 2014","Currency=INR","Period=FQ","BEST_FPERIOD_OVERRIDE=FQ","FILING_STATUS=OR","EQY_CONSOLIDATED=Y","Sort=A","Dates=H","DateFormat=P","Fill=—","Direction=H","UseDPDF=Y")</f>
        <v>#NAME?</v>
      </c>
      <c r="BU380" s="2" t="e">
        <f ca="1">_xll.BDH($C$378,"TOTAL_EQUITY_SEQUENTIAL_GROWTH","FQ2 2014","FQ2 2014","Currency=INR","Period=FQ","BEST_FPERIOD_OVERRIDE=FQ","FILING_STATUS=OR","EQY_CONSOLIDATED=Y","Sort=A","Dates=H","DateFormat=P","Fill=—","Direction=H","UseDPDF=Y")</f>
        <v>#NAME?</v>
      </c>
      <c r="BV380" s="2" t="e">
        <f ca="1">_xll.BDH($C$378,"TOTAL_CAPITAL_SEQUENTIAL_GROWTH","FQ2 2014","FQ2 2014","Currency=INR","Period=FQ","BEST_FPERIOD_OVERRIDE=FQ","FILING_STATUS=OR","EQY_CONSOLIDATED=Y","Sort=A","Dates=H","DateFormat=P","Fill=—","Direction=H","UseDPDF=Y")</f>
        <v>#NAME?</v>
      </c>
      <c r="BW380" s="2" t="e">
        <f ca="1">_xll.BDH($C$378,"BPS_SEQUENTIAL_GROWTH","FQ2 2014","FQ2 2014","Currency=INR","Period=FQ","BEST_FPERIOD_OVERRIDE=FQ","FILING_STATUS=OR","EQY_CONSOLIDATED=Y","Sort=A","Dates=H","DateFormat=P","Fill=—","Direction=H","UseDPDF=Y")</f>
        <v>#NAME?</v>
      </c>
      <c r="BX380" s="2" t="e">
        <f ca="1">_xll.BDH($C$378,"CFO_SEQUENTIAL_GROWTH","FQ2 2014","FQ2 2014","Currency=INR","Period=FQ","BEST_FPERIOD_OVERRIDE=FQ","FILING_STATUS=OR","EQY_CONSOLIDATED=Y","Sort=A","Dates=H","DateFormat=P","Fill=—","Direction=H","UseDPDF=Y")</f>
        <v>#NAME?</v>
      </c>
      <c r="BY380" s="3" t="e">
        <f ca="1">_xll.BDH($C$378,"SHORT_AND_LONG_TERM_DEBT","FQ2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380" s="3" t="e">
        <f ca="1">_xll.BDH($C$378,"BS_ST_BORROW","FQ2 2014","FQ2 2014","Currency=INR","Period=FQ","BEST_FPERIOD_OVERRIDE=FQ","FILING_STATUS=OR","EQY_CONSOLIDATED=Y","SCALING_FORMAT=MLN","Sort=A","Dates=H","DateFormat=P","Fill=—","Direction=H","UseDPDF=Y")</f>
        <v>#NAME?</v>
      </c>
      <c r="CA380" s="3" t="e">
        <f ca="1">_xll.BDH($C$378,"BS_LT_BORROW","FQ2 2014","FQ2 2014","Currency=INR","Period=FQ","BEST_FPERIOD_OVERRIDE=FQ","FILING_STATUS=OR","EQY_CONSOLIDATED=Y","SCALING_FORMAT=MLN","Sort=A","Dates=H","DateFormat=P","Fill=—","Direction=H","UseDPDF=Y")</f>
        <v>#NAME?</v>
      </c>
      <c r="CB380" s="2" t="e">
        <f ca="1">_xll.BDH($C$378,"TOT_DEBT_TO_EBITDA","FQ2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380" s="2" t="e">
        <f ca="1">_xll.BDH($C$378,"NET_DEBT_TO_EBITDA","FQ2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380" s="2" t="e">
        <f ca="1">_xll.BDH($C$378,"TOTAL_DEBT_TO_EBIT","FQ2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380" s="2" t="e">
        <f ca="1">_xll.BDH($C$378,"NET_DEBT_TO_EBIT","FQ2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380" s="2" t="e">
        <f ca="1">_xll.BDH($C$378,"EBITDA_TO_INTEREST_EXPN","FQ2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380" s="2" t="e">
        <f ca="1">_xll.BDH($C$378,"COM_EQY_TO_TOT_ASSET","FQ2 2014","FQ2 2014","Currency=INR","Period=FQ","BEST_FPERIOD_OVERRIDE=FQ","FILING_STATUS=OR","EQY_CONSOLIDATED=Y","Sort=A","Dates=H","DateFormat=P","Fill=—","Direction=H","UseDPDF=Y")</f>
        <v>#NAME?</v>
      </c>
      <c r="CH380" s="2" t="e">
        <f ca="1">_xll.BDH($C$378,"LT_DEBT_TO_TOT_EQY","FQ2 2014","FQ2 2014","Currency=INR","Period=FQ","BEST_FPERIOD_OVERRIDE=FQ","FILING_STATUS=OR","EQY_CONSOLIDATED=Y","Sort=A","Dates=H","DateFormat=P","Fill=—","Direction=H","UseDPDF=Y")</f>
        <v>#NAME?</v>
      </c>
      <c r="CI380" s="2" t="e">
        <f ca="1">_xll.BDH($C$378,"LT_DEBT_TO_TOT_CAP","FQ2 2014","FQ2 2014","Currency=INR","Period=FQ","BEST_FPERIOD_OVERRIDE=FQ","FILING_STATUS=OR","EQY_CONSOLIDATED=Y","Sort=A","Dates=H","DateFormat=P","Fill=—","Direction=H","UseDPDF=Y")</f>
        <v>#NAME?</v>
      </c>
      <c r="CJ380" s="2" t="e">
        <f ca="1">_xll.BDH($C$378,"LT_DEBT_TO_TOT_ASSET","FQ2 2014","FQ2 2014","Currency=INR","Period=FQ","BEST_FPERIOD_OVERRIDE=FQ","FILING_STATUS=OR","EQY_CONSOLIDATED=Y","Sort=A","Dates=H","DateFormat=P","Fill=—","Direction=H","UseDPDF=Y")</f>
        <v>#NAME?</v>
      </c>
      <c r="CK380" s="2" t="e">
        <f ca="1">_xll.BDH($C$378,"TOT_DEBT_TO_TOT_EQY","FQ2 2014","FQ2 2014","Currency=INR","Period=FQ","BEST_FPERIOD_OVERRIDE=FQ","FILING_STATUS=OR","EQY_CONSOLIDATED=Y","Sort=A","Dates=H","DateFormat=P","Fill=—","Direction=H","UseDPDF=Y")</f>
        <v>#NAME?</v>
      </c>
      <c r="CL380" s="2" t="e">
        <f ca="1">_xll.BDH($C$378,"TOT_DEBT_TO_TOT_CAP","FQ2 2014","FQ2 2014","Currency=INR","Period=FQ","BEST_FPERIOD_OVERRIDE=FQ","FILING_STATUS=OR","EQY_CONSOLIDATED=Y","Sort=A","Dates=H","DateFormat=P","Fill=—","Direction=H","UseDPDF=Y")</f>
        <v>#NAME?</v>
      </c>
      <c r="CM380" s="2" t="e">
        <f ca="1">_xll.BDH($C$378,"TOT_DEBT_TO_TOT_ASSET","FQ2 2014","FQ2 2014","Currency=INR","Period=FQ","BEST_FPERIOD_OVERRIDE=FQ","FILING_STATUS=OR","EQY_CONSOLIDATED=Y","Sort=A","Dates=H","DateFormat=P","Fill=—","Direction=H","UseDPDF=Y")</f>
        <v>#NAME?</v>
      </c>
      <c r="CN380" s="2" t="e">
        <f ca="1">_xll.BDH($C$378,"NET_DEBT_TO_SHRHLDR_EQTY","FQ2 2014","FQ2 2014","Currency=INR","Period=FQ","BEST_FPERIOD_OVERRIDE=FQ","FILING_STATUS=OR","EQY_CONSOLIDATED=Y","Sort=A","Dates=H","DateFormat=P","Fill=—","Direction=H","UseDPDF=Y")</f>
        <v>#NAME?</v>
      </c>
      <c r="CO380" s="2" t="e">
        <f ca="1">_xll.BDH($C$378,"NET_DEBT_%_CAPITAL","FQ2 2014","FQ2 2014","Currency=INR","Period=FQ","BEST_FPERIOD_OVERRIDE=FQ","FILING_STATUS=OR","EQY_CONSOLIDATED=Y","Sort=A","Dates=H","DateFormat=P","Fill=—","Direction=H","UseDPDF=Y")</f>
        <v>#NAME?</v>
      </c>
      <c r="CP380" s="3" t="e">
        <f ca="1">_xll.BDH($C$378,"EBITDA","FQ2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380" s="3" t="e">
        <f ca="1">_xll.BDH($C$378,"EBITDA_AFTER_CAPEX","FQ2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380" s="3" t="e">
        <f ca="1">_xll.BDH($C$378,"IS_OPER_INC","FQ2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380" s="2" t="e">
        <f ca="1">_xll.BDH($C$378,"CASH_RATIO","FQ2 2014","FQ2 2014","Currency=INR","Period=FQ","BEST_FPERIOD_OVERRIDE=FQ","FILING_STATUS=OR","EQY_CONSOLIDATED=Y","Sort=A","Dates=H","DateFormat=P","Fill=—","Direction=H","UseDPDF=Y")</f>
        <v>#NAME?</v>
      </c>
      <c r="CT380" s="2" t="e">
        <f ca="1">_xll.BDH($C$378,"CUR_RATIO","FQ2 2014","FQ2 2014","Currency=INR","Period=FQ","BEST_FPERIOD_OVERRIDE=FQ","FILING_STATUS=OR","EQY_CONSOLIDATED=Y","Sort=A","Dates=H","DateFormat=P","Fill=—","Direction=H","UseDPDF=Y")</f>
        <v>#NAME?</v>
      </c>
      <c r="CU380" s="2" t="e">
        <f ca="1">_xll.BDH($C$378,"QUICK_RATIO","FQ2 2014","FQ2 2014","Currency=INR","Period=FQ","BEST_FPERIOD_OVERRIDE=FQ","FILING_STATUS=OR","EQY_CONSOLIDATED=Y","Sort=A","Dates=H","DateFormat=P","Fill=—","Direction=H","UseDPDF=Y")</f>
        <v>#NAME?</v>
      </c>
      <c r="CV380" s="2" t="e">
        <f ca="1">_xll.BDH($C$378,"ALTMAN_Z_SCORE","FQ2 2014","FQ2 2014","Currency=INR","Period=FQ","BEST_FPERIOD_OVERRIDE=FQ","FILING_STATUS=OR","EQY_CONSOLIDATED=Y","Sort=A","Dates=H","DateFormat=P","Fill=—","Direction=H","UseDPDF=Y")</f>
        <v>#NAME?</v>
      </c>
      <c r="CW380" s="4" t="e">
        <f ca="1">_xll.BDH($C$378,"ACCT_RCV_TURN","FQ2 2014","FQ2 2014","Currency=INR","Period=FQ","BEST_FPERIOD_OVERRIDE=FQ","FILING_STATUS=OR","EQY_CONSOLIDATED=Y","FA_ADJUSTED=GAAP","Sort=A","Dates=H","DateFormat=P","Fill=—","Direction=H","UseDPDF=Y")</f>
        <v>#NAME?</v>
      </c>
      <c r="CX380" s="2" t="e">
        <f ca="1">_xll.BDH($C$378,"ACCT_RCV_DAYS","FQ2 2014","FQ2 2014","Currency=INR","Period=FQ","BEST_FPERIOD_OVERRIDE=FQ","FILING_STATUS=OR","EQY_CONSOLIDATED=Y","FA_ADJUSTED=GAAP","Sort=A","Dates=H","DateFormat=P","Fill=—","Direction=H","UseDPDF=Y")</f>
        <v>#NAME?</v>
      </c>
      <c r="CY380" s="4" t="e">
        <f ca="1">_xll.BDH($C$378,"INVENT_TURN","FQ2 2014","FQ2 2014","Currency=INR","Period=FQ","BEST_FPERIOD_OVERRIDE=FQ","FILING_STATUS=OR","EQY_CONSOLIDATED=Y","FA_ADJUSTED=GAAP","Sort=A","Dates=H","DateFormat=P","Fill=—","Direction=H","UseDPDF=Y")</f>
        <v>#NAME?</v>
      </c>
      <c r="CZ380" s="2" t="e">
        <f ca="1">_xll.BDH($C$378,"INVENT_DAYS","FQ2 2014","FQ2 2014","Currency=INR","Period=FQ","BEST_FPERIOD_OVERRIDE=FQ","FILING_STATUS=OR","EQY_CONSOLIDATED=Y","FA_ADJUSTED=GAAP","Sort=A","Dates=H","DateFormat=P","Fill=—","Direction=H","UseDPDF=Y")</f>
        <v>#NAME?</v>
      </c>
      <c r="DA380" s="4" t="e">
        <f ca="1">_xll.BDH($C$378,"ACCOUNTS_PAYABLE_TURNOVER","FQ2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380" s="2" t="e">
        <f ca="1">_xll.BDH($C$378,"ACCOUNTS_PAYABLE_TURNOVER_DAYS","FQ2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380" s="4" t="e">
        <f ca="1">_xll.BDH($C$378,"CASH_CONVERSION_CYCLE","FQ2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380" s="4" t="e">
        <f ca="1">_xll.BDH($C$378,"INV_TO_CASH_DAYS","FQ2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380" s="5" t="e">
        <f ca="1">_xll.BDH($C$378,"BS_INVENTORIES","FQ2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380" s="3" t="e">
        <f ca="1">_xll.BDH($C$378,"INVTRY_RAW_MATERIALS","FQ2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380" s="3" t="e">
        <f ca="1">_xll.BDH($C$378,"INVTRY_IN_PROGRESS","FQ2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380" s="3" t="e">
        <f ca="1">_xll.BDH($C$378,"INVTRY_FINISHED_GOODS","FQ2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380" s="3" t="e">
        <f ca="1">_xll.BDH($C$378,"BS_OTHER_INV","FQ2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381" spans="1:113" x14ac:dyDescent="0.3">
      <c r="A381" s="6"/>
      <c r="B381" s="6"/>
      <c r="C381" s="6"/>
      <c r="D381" s="6"/>
      <c r="E381" t="s">
        <v>80</v>
      </c>
      <c r="F381" t="e">
        <f ca="1">_xll.BDH($C$378,"RETURN_COM_EQY","FQ3 2014","FQ3 2014","Currency=INR","Period=FQ","BEST_FPERIOD_OVERRIDE=FQ","FILING_STATUS=OR","EQY_CONSOLIDATED=Y","FA_ADJUSTED=GAAP","Sort=A","Dates=H","DateFormat=P","Fill=—","Direction=H","UseDPDF=Y")</f>
        <v>#NAME?</v>
      </c>
      <c r="G381" t="e">
        <f ca="1">_xll.BDH($C$378,"RETURN_ON_ASSET","FQ3 2014","FQ3 2014","Currency=INR","Period=FQ","BEST_FPERIOD_OVERRIDE=FQ","FILING_STATUS=OR","EQY_CONSOLIDATED=Y","FA_ADJUSTED=GAAP","Sort=A","Dates=H","DateFormat=P","Fill=—","Direction=H","UseDPDF=Y")</f>
        <v>#NAME?</v>
      </c>
      <c r="H381" t="e">
        <f ca="1">_xll.BDH($C$378,"RETURN_ON_CAP","FQ3 2014","FQ3 2014","Currency=INR","Period=FQ","BEST_FPERIOD_OVERRIDE=FQ","FILING_STATUS=OR","EQY_CONSOLIDATED=Y","FA_ADJUSTED=GAAP","Sort=A","Dates=H","DateFormat=P","Fill=—","Direction=H","UseDPDF=Y")</f>
        <v>#NAME?</v>
      </c>
      <c r="I381" t="e">
        <f ca="1">_xll.BDH($C$378,"RETURN_ON_INV_CAPITAL","FQ3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381" t="e">
        <f ca="1">_xll.BDH($C$378,"EBITDA_TO_REVENUE","FQ3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381" t="e">
        <f ca="1">_xll.BDH($C$378,"OPER_MARGIN","FQ3 2014","FQ3 2014","Currency=INR","Period=FQ","BEST_FPERIOD_OVERRIDE=FQ","FILING_STATUS=OR","EQY_CONSOLIDATED=Y","FA_ADJUSTED=GAAP","Sort=A","Dates=H","DateFormat=P","Fill=—","Direction=H","UseDPDF=Y")</f>
        <v>#NAME?</v>
      </c>
      <c r="L381" t="e">
        <f ca="1">_xll.BDH($C$378,"INCREMENTAL_OPERATING_MARGIN","FQ3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381" t="e">
        <f ca="1">_xll.BDH($C$378,"PRETAX_INC_TO_NET_SALES","FQ3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381" t="e">
        <f ca="1">_xll.BDH($C$378,"INC_BEF_XO_ITEMS_TO_NET_SALES","FQ3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381" t="e">
        <f ca="1">_xll.BDH($C$378,"PROF_MARGIN","FQ3 2014","FQ3 2014","Currency=INR","Period=FQ","BEST_FPERIOD_OVERRIDE=FQ","FILING_STATUS=OR","EQY_CONSOLIDATED=Y","FA_ADJUSTED=GAAP","Sort=A","Dates=H","DateFormat=P","Fill=—","Direction=H","UseDPDF=Y")</f>
        <v>#NAME?</v>
      </c>
      <c r="P381" t="e">
        <f ca="1">_xll.BDH($C$378,"NET_INCOME_TO_COMMON_MARGIN","FQ3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381" t="e">
        <f ca="1">_xll.BDH($C$378,"EFF_TAX_RATE","FQ3 2014","FQ3 2014","Currency=INR","Period=FQ","BEST_FPERIOD_OVERRIDE=FQ","FILING_STATUS=OR","EQY_CONSOLIDATED=Y","FA_ADJUSTED=GAAP","Sort=A","Dates=H","DateFormat=P","Fill=—","Direction=H","UseDPDF=Y")</f>
        <v>#NAME?</v>
      </c>
      <c r="R381" t="e">
        <f ca="1">_xll.BDH($C$378,"DVD_PAYOUT_RATIO","FQ3 2014","FQ3 2014","Currency=INR","Period=FQ","BEST_FPERIOD_OVERRIDE=FQ","FILING_STATUS=OR","EQY_CONSOLIDATED=Y","FA_ADJUSTED=GAAP","Sort=A","Dates=H","DateFormat=P","Fill=—","Direction=H","UseDPDF=Y")</f>
        <v>#NAME?</v>
      </c>
      <c r="S381" t="e">
        <f ca="1">_xll.BDH($C$378,"SUSTAIN_GROWTH_RT","FQ3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381" s="2" t="e">
        <f ca="1">_xll.BDH($C$378,"SALES_GROWTH","FQ3 2014","FQ3 2014","Currency=INR","Period=FQ","BEST_FPERIOD_OVERRIDE=FQ","FILING_STATUS=OR","EQY_CONSOLIDATED=Y","FA_ADJUSTED=GAAP","Sort=A","Dates=H","DateFormat=P","Fill=—","Direction=H","UseDPDF=Y")</f>
        <v>#NAME?</v>
      </c>
      <c r="U381" s="2" t="e">
        <f ca="1">_xll.BDH($C$378,"EBITDA_GROWTH","FQ3 2014","FQ3 2014","Currency=INR","Period=FQ","BEST_FPERIOD_OVERRIDE=FQ","FILING_STATUS=OR","EQY_CONSOLIDATED=Y","FA_ADJUSTED=GAAP","Sort=A","Dates=H","DateFormat=P","Fill=—","Direction=H","UseDPDF=Y")</f>
        <v>#NAME?</v>
      </c>
      <c r="V381" s="2" t="e">
        <f ca="1">_xll.BDH($C$378,"OPER_INC_GROWTH","FQ3 2014","FQ3 2014","Currency=INR","Period=FQ","BEST_FPERIOD_OVERRIDE=FQ","FILING_STATUS=OR","EQY_CONSOLIDATED=Y","FA_ADJUSTED=GAAP","Sort=A","Dates=H","DateFormat=P","Fill=—","Direction=H","UseDPDF=Y")</f>
        <v>#NAME?</v>
      </c>
      <c r="W381" s="2" t="e">
        <f ca="1">_xll.BDH($C$378,"EARN_FOR_COM_GROWTH","FQ3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381" s="2" t="e">
        <f ca="1">_xll.BDH($C$378,"DILUTED_EPS_AFT_XO_ITEMS_GROWTH","FQ3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381" s="2" t="e">
        <f ca="1">_xll.BDH($C$378,"DIVIDEND_PER_SHARE_1_YEAR_GROWTH","FQ3 2014","FQ3 2014","Currency=INR","Period=FQ","BEST_FPERIOD_OVERRIDE=FQ","FILING_STATUS=OR","EQY_CONSOLIDATED=Y","Sort=A","Dates=H","DateFormat=P","Fill=—","Direction=H","UseDPDF=Y")</f>
        <v>#NAME?</v>
      </c>
      <c r="Z381" s="2" t="e">
        <f ca="1">_xll.BDH($C$378,"ACCOUNTS_RECEIVABLE_GROWTH","FQ3 2014","FQ3 2014","Currency=INR","Period=FQ","BEST_FPERIOD_OVERRIDE=FQ","FILING_STATUS=OR","EQY_CONSOLIDATED=Y","Sort=A","Dates=H","DateFormat=P","Fill=—","Direction=H","UseDPDF=Y")</f>
        <v>#NAME?</v>
      </c>
      <c r="AA381" s="2" t="e">
        <f ca="1">_xll.BDH($C$378,"INVENTORY_GROWTH","FQ3 2014","FQ3 2014","Currency=INR","Period=FQ","BEST_FPERIOD_OVERRIDE=FQ","FILING_STATUS=OR","EQY_CONSOLIDATED=Y","Sort=A","Dates=H","DateFormat=P","Fill=—","Direction=H","UseDPDF=Y")</f>
        <v>#NAME?</v>
      </c>
      <c r="AB381" s="2" t="e">
        <f ca="1">_xll.BDH($C$378,"NET_FIXED_ASSETS_1_YEAR_GROWTH","FQ3 2014","FQ3 2014","Currency=INR","Period=FQ","BEST_FPERIOD_OVERRIDE=FQ","FILING_STATUS=OR","EQY_CONSOLIDATED=Y","Sort=A","Dates=H","DateFormat=P","Fill=—","Direction=H","UseDPDF=Y")</f>
        <v>#NAME?</v>
      </c>
      <c r="AC381" s="2" t="e">
        <f ca="1">_xll.BDH($C$378,"ASSET_GROWTH","FQ3 2014","FQ3 2014","Currency=INR","Period=FQ","BEST_FPERIOD_OVERRIDE=FQ","FILING_STATUS=OR","EQY_CONSOLIDATED=Y","Sort=A","Dates=H","DateFormat=P","Fill=—","Direction=H","UseDPDF=Y")</f>
        <v>#NAME?</v>
      </c>
      <c r="AD381" s="2" t="e">
        <f ca="1">_xll.BDH($C$378,"MODIFIED_WORK_CAP_GROWTH","FQ3 2014","FQ3 2014","Currency=INR","Period=FQ","BEST_FPERIOD_OVERRIDE=FQ","FILING_STATUS=OR","EQY_CONSOLIDATED=Y","Sort=A","Dates=H","DateFormat=P","Fill=—","Direction=H","UseDPDF=Y")</f>
        <v>#NAME?</v>
      </c>
      <c r="AE381" s="2" t="e">
        <f ca="1">_xll.BDH($C$378,"WORK_CAP_GROWTH","FQ3 2014","FQ3 2014","Currency=INR","Period=FQ","BEST_FPERIOD_OVERRIDE=FQ","FILING_STATUS=OR","EQY_CONSOLIDATED=Y","Sort=A","Dates=H","DateFormat=P","Fill=—","Direction=H","UseDPDF=Y")</f>
        <v>#NAME?</v>
      </c>
      <c r="AF381" s="2" t="e">
        <f ca="1">_xll.BDH($C$378,"ACCOUNTS_PAYABLE_GROWTH_1YR","FQ3 2014","FQ3 2014","Currency=INR","Period=FQ","BEST_FPERIOD_OVERRIDE=FQ","FILING_STATUS=OR","EQY_CONSOLIDATED=Y","Sort=A","Dates=H","DateFormat=P","Fill=—","Direction=H","UseDPDF=Y")</f>
        <v>#NAME?</v>
      </c>
      <c r="AG381" s="2" t="e">
        <f ca="1">_xll.BDH($C$378,"SHORT_TERM_DEBT_1_YEAR_GROWTH","FQ3 2014","FQ3 2014","Currency=INR","Period=FQ","BEST_FPERIOD_OVERRIDE=FQ","FILING_STATUS=OR","EQY_CONSOLIDATED=Y","Sort=A","Dates=H","DateFormat=P","Fill=—","Direction=H","UseDPDF=Y")</f>
        <v>#NAME?</v>
      </c>
      <c r="AH381" s="2" t="e">
        <f ca="1">_xll.BDH($C$378,"TOTAL_DEBT_1_YEAR_GROWTH","FQ3 2014","FQ3 2014","Currency=INR","Period=FQ","BEST_FPERIOD_OVERRIDE=FQ","FILING_STATUS=OR","EQY_CONSOLIDATED=Y","Sort=A","Dates=H","DateFormat=P","Fill=—","Direction=H","UseDPDF=Y")</f>
        <v>#NAME?</v>
      </c>
      <c r="AI381" s="2" t="e">
        <f ca="1">_xll.BDH($C$378,"TOTAL_EQUITY_1_YEAR_GROWTH","FQ3 2014","FQ3 2014","Currency=INR","Period=FQ","BEST_FPERIOD_OVERRIDE=FQ","FILING_STATUS=OR","EQY_CONSOLIDATED=Y","Sort=A","Dates=H","DateFormat=P","Fill=—","Direction=H","UseDPDF=Y")</f>
        <v>#NAME?</v>
      </c>
      <c r="AJ381" s="2" t="e">
        <f ca="1">_xll.BDH($C$378,"GROWTH_IN_CAP","FQ3 2014","FQ3 2014","Currency=INR","Period=FQ","BEST_FPERIOD_OVERRIDE=FQ","FILING_STATUS=OR","EQY_CONSOLIDATED=Y","Sort=A","Dates=H","DateFormat=P","Fill=—","Direction=H","UseDPDF=Y")</f>
        <v>#NAME?</v>
      </c>
      <c r="AK381" s="2" t="e">
        <f ca="1">_xll.BDH($C$378,"BVPS_GROWTH","FQ3 2014","FQ3 2014","Currency=INR","Period=FQ","BEST_FPERIOD_OVERRIDE=FQ","FILING_STATUS=OR","EQY_CONSOLIDATED=Y","Sort=A","Dates=H","DateFormat=P","Fill=—","Direction=H","UseDPDF=Y")</f>
        <v>#NAME?</v>
      </c>
      <c r="AL381" s="2" t="e">
        <f ca="1">_xll.BDH($C$378,"CASH_FLOW_GROWTH","FQ3 2014","FQ3 2014","Currency=INR","Period=FQ","BEST_FPERIOD_OVERRIDE=FQ","FILING_STATUS=OR","EQY_CONSOLIDATED=Y","Sort=A","Dates=H","DateFormat=P","Fill=—","Direction=H","UseDPDF=Y")</f>
        <v>#NAME?</v>
      </c>
      <c r="AM381" s="2" t="e">
        <f ca="1">_xll.BDH($C$378,"GEO_GROW_NET_SALES","FQ3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381" s="2" t="e">
        <f ca="1">_xll.BDH($C$378,"GEO_GROW_EBITDA","FQ3 2014","FQ3 2014","Currency=INR","Period=FQ","BEST_FPERIOD_OVERRIDE=FQ","FILING_STATUS=OR","EQY_CONSOLIDATED=Y","FA_ADJUSTED=GAAP","Sort=A","Dates=H","DateFormat=P","Fill=—","Direction=H","UseDPDF=Y")</f>
        <v>#NAME?</v>
      </c>
      <c r="AO381" s="2" t="e">
        <f ca="1">_xll.BDH($C$378,"GEO_GROW_OPER_INC","FQ3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381" s="2" t="e">
        <f ca="1">_xll.BDH($C$378,"NET_INCOME_TO_COMMON_5_YR_GROWTH","FQ3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381" s="2" t="e">
        <f ca="1">_xll.BDH($C$378,"5Y_GEO_GROWTH_DILUTED_EPS","FQ3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381" s="2" t="e">
        <f ca="1">_xll.BDH($C$378,"GEO_GROW_DVD_PER_SH","FQ3 2014","FQ3 2014","Currency=INR","Period=FQ","BEST_FPERIOD_OVERRIDE=FQ","FILING_STATUS=OR","EQY_CONSOLIDATED=Y","Sort=A","Dates=H","DateFormat=P","Fill=—","Direction=H","UseDPDF=Y")</f>
        <v>#NAME?</v>
      </c>
      <c r="AS381" s="2" t="e">
        <f ca="1">_xll.BDH($C$378,"ACCOUNTS_RECEIVABLE_5_YR_GROWTH","FQ3 2014","FQ3 2014","Currency=INR","Period=FQ","BEST_FPERIOD_OVERRIDE=FQ","FILING_STATUS=OR","EQY_CONSOLIDATED=Y","Sort=A","Dates=H","DateFormat=P","Fill=—","Direction=H","UseDPDF=Y")</f>
        <v>#NAME?</v>
      </c>
      <c r="AT381" s="2" t="e">
        <f ca="1">_xll.BDH($C$378,"INVENTORY_5_YEAR_GROWTH","FQ3 2014","FQ3 2014","Currency=INR","Period=FQ","BEST_FPERIOD_OVERRIDE=FQ","FILING_STATUS=OR","EQY_CONSOLIDATED=Y","Sort=A","Dates=H","DateFormat=P","Fill=—","Direction=H","UseDPDF=Y")</f>
        <v>#NAME?</v>
      </c>
      <c r="AU381" s="2" t="e">
        <f ca="1">_xll.BDH($C$378,"NET_FIXED_ASSETS_5_YEAR_GROWTH","FQ3 2014","FQ3 2014","Currency=INR","Period=FQ","BEST_FPERIOD_OVERRIDE=FQ","FILING_STATUS=OR","EQY_CONSOLIDATED=Y","Sort=A","Dates=H","DateFormat=P","Fill=—","Direction=H","UseDPDF=Y")</f>
        <v>#NAME?</v>
      </c>
      <c r="AV381" s="2" t="e">
        <f ca="1">_xll.BDH($C$378,"GEO_GROW_TOT_ASSET","FQ3 2014","FQ3 2014","Currency=INR","Period=FQ","BEST_FPERIOD_OVERRIDE=FQ","FILING_STATUS=OR","EQY_CONSOLIDATED=Y","Sort=A","Dates=H","DateFormat=P","Fill=—","Direction=H","UseDPDF=Y")</f>
        <v>#NAME?</v>
      </c>
      <c r="AW381" s="2" t="e">
        <f ca="1">_xll.BDH($C$378,"MODIFIED_WORKING_CPTL_5YR_GRWTH","FQ3 2014","FQ3 2014","Currency=INR","Period=FQ","BEST_FPERIOD_OVERRIDE=FQ","FILING_STATUS=OR","EQY_CONSOLIDATED=Y","Sort=A","Dates=H","DateFormat=P","Fill=—","Direction=H","UseDPDF=Y")</f>
        <v>#NAME?</v>
      </c>
      <c r="AX381" s="2" t="e">
        <f ca="1">_xll.BDH($C$378,"WORKING_CAPITAL_5_YEAR_GROWTH","FQ3 2014","FQ3 2014","Currency=INR","Period=FQ","BEST_FPERIOD_OVERRIDE=FQ","FILING_STATUS=OR","EQY_CONSOLIDATED=Y","Sort=A","Dates=H","DateFormat=P","Fill=—","Direction=H","UseDPDF=Y")</f>
        <v>#NAME?</v>
      </c>
      <c r="AY381" s="2" t="e">
        <f ca="1">_xll.BDH($C$378,"ACCOUNTS_PAYABLE_5_YEAR_GROWTH","FQ3 2014","FQ3 2014","Currency=INR","Period=FQ","BEST_FPERIOD_OVERRIDE=FQ","FILING_STATUS=OR","EQY_CONSOLIDATED=Y","Sort=A","Dates=H","DateFormat=P","Fill=—","Direction=H","UseDPDF=Y")</f>
        <v>#NAME?</v>
      </c>
      <c r="AZ381" s="2" t="e">
        <f ca="1">_xll.BDH($C$378,"SHORT_TERM_DEBT_5_YEAR_GROWTH","FQ3 2014","FQ3 2014","Currency=INR","Period=FQ","BEST_FPERIOD_OVERRIDE=FQ","FILING_STATUS=OR","EQY_CONSOLIDATED=Y","Sort=A","Dates=H","DateFormat=P","Fill=—","Direction=H","UseDPDF=Y")</f>
        <v>#NAME?</v>
      </c>
      <c r="BA381" s="2" t="e">
        <f ca="1">_xll.BDH($C$378,"TOTAL_DEBT_5_YEAR_GROWTH","FQ3 2014","FQ3 2014","Currency=INR","Period=FQ","BEST_FPERIOD_OVERRIDE=FQ","FILING_STATUS=OR","EQY_CONSOLIDATED=Y","Sort=A","Dates=H","DateFormat=P","Fill=—","Direction=H","UseDPDF=Y")</f>
        <v>#NAME?</v>
      </c>
      <c r="BB381" s="2" t="e">
        <f ca="1">_xll.BDH($C$378,"GEO_GROW_TOT_SHRHLDR_EQY","FQ3 2014","FQ3 2014","Currency=INR","Period=FQ","BEST_FPERIOD_OVERRIDE=FQ","FILING_STATUS=OR","EQY_CONSOLIDATED=Y","Sort=A","Dates=H","DateFormat=P","Fill=—","Direction=H","UseDPDF=Y")</f>
        <v>#NAME?</v>
      </c>
      <c r="BC381" s="2" t="e">
        <f ca="1">_xll.BDH($C$378,"TOTAL_CAPITAL_5_YEAR_GROWTH","FQ3 2014","FQ3 2014","Currency=INR","Period=FQ","BEST_FPERIOD_OVERRIDE=FQ","FILING_STATUS=OR","EQY_CONSOLIDATED=Y","Sort=A","Dates=H","DateFormat=P","Fill=—","Direction=H","UseDPDF=Y")</f>
        <v>#NAME?</v>
      </c>
      <c r="BD381" s="2" t="e">
        <f ca="1">_xll.BDH($C$378,"GEO_GROW_BOOK_VAL","FQ3 2014","FQ3 2014","Currency=INR","Period=FQ","BEST_FPERIOD_OVERRIDE=FQ","FILING_STATUS=OR","EQY_CONSOLIDATED=Y","Sort=A","Dates=H","DateFormat=P","Fill=—","Direction=H","UseDPDF=Y")</f>
        <v>#NAME?</v>
      </c>
      <c r="BE381" s="2" t="e">
        <f ca="1">_xll.BDH($C$378,"GEO_GROW_CASH_OPER_ACT","FQ3 2014","FQ3 2014","Currency=INR","Period=FQ","BEST_FPERIOD_OVERRIDE=FQ","FILING_STATUS=OR","EQY_CONSOLIDATED=Y","Sort=A","Dates=H","DateFormat=P","Fill=—","Direction=H","UseDPDF=Y")</f>
        <v>#NAME?</v>
      </c>
      <c r="BF381" s="2" t="e">
        <f ca="1">_xll.BDH($C$378,"REVENUE_SEQUENTIAL_GROWTH","FQ3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381" s="2" t="e">
        <f ca="1">_xll.BDH($C$378,"EBITDA_SEQUENTIAL_GROWTH","FQ3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381" s="2" t="e">
        <f ca="1">_xll.BDH($C$378,"OPERATING_INCOME_SEQ_GROWTH","FQ3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381" s="2" t="e">
        <f ca="1">_xll.BDH($C$378,"NET_INCOME_TO_COMMON_SEQ_GROWTH","FQ3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381" s="2" t="e">
        <f ca="1">_xll.BDH($C$378,"EPS_DILUTED_SEQUENTIAL_GROWTH","FQ3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381" s="2" t="e">
        <f ca="1">_xll.BDH($C$378,"DPS_SEQUENTIAL_GROWTH","FQ3 2014","FQ3 2014","Currency=INR","Period=FQ","BEST_FPERIOD_OVERRIDE=FQ","FILING_STATUS=OR","EQY_CONSOLIDATED=Y","Sort=A","Dates=H","DateFormat=P","Fill=—","Direction=H","UseDPDF=Y")</f>
        <v>#NAME?</v>
      </c>
      <c r="BL381" s="2" t="e">
        <f ca="1">_xll.BDH($C$378,"ACCOUNTS_RECEIVABLE_SEQ_GROWTH","FQ3 2014","FQ3 2014","Currency=INR","Period=FQ","BEST_FPERIOD_OVERRIDE=FQ","FILING_STATUS=OR","EQY_CONSOLIDATED=Y","Sort=A","Dates=H","DateFormat=P","Fill=—","Direction=H","UseDPDF=Y")</f>
        <v>#NAME?</v>
      </c>
      <c r="BM381" s="2" t="e">
        <f ca="1">_xll.BDH($C$378,"INVENTORY_SEQUENTIAL_GROWTH","FQ3 2014","FQ3 2014","Currency=INR","Period=FQ","BEST_FPERIOD_OVERRIDE=FQ","FILING_STATUS=OR","EQY_CONSOLIDATED=Y","Sort=A","Dates=H","DateFormat=P","Fill=—","Direction=H","UseDPDF=Y")</f>
        <v>#NAME?</v>
      </c>
      <c r="BN381" s="2" t="e">
        <f ca="1">_xll.BDH($C$378,"FIXED_ASSETS_SEQUENTIAL_GROWTH","FQ3 2014","FQ3 2014","Currency=INR","Period=FQ","BEST_FPERIOD_OVERRIDE=FQ","FILING_STATUS=OR","EQY_CONSOLIDATED=Y","Sort=A","Dates=H","DateFormat=P","Fill=—","Direction=H","UseDPDF=Y")</f>
        <v>#NAME?</v>
      </c>
      <c r="BO381" s="2" t="e">
        <f ca="1">_xll.BDH($C$378,"TOTAL_ASSETS_SEQUENTIAL_GROWTH","FQ3 2014","FQ3 2014","Currency=INR","Period=FQ","BEST_FPERIOD_OVERRIDE=FQ","FILING_STATUS=OR","EQY_CONSOLIDATED=Y","Sort=A","Dates=H","DateFormat=P","Fill=—","Direction=H","UseDPDF=Y")</f>
        <v>#NAME?</v>
      </c>
      <c r="BP381" s="2" t="e">
        <f ca="1">_xll.BDH($C$378,"MODIFIED_WORKING_CPTL_SEQ_GRWTH","FQ3 2014","FQ3 2014","Currency=INR","Period=FQ","BEST_FPERIOD_OVERRIDE=FQ","FILING_STATUS=OR","EQY_CONSOLIDATED=Y","Sort=A","Dates=H","DateFormat=P","Fill=—","Direction=H","UseDPDF=Y")</f>
        <v>#NAME?</v>
      </c>
      <c r="BQ381" s="2" t="e">
        <f ca="1">_xll.BDH($C$378,"WORKING_CAPITAL_SEQ_GROWTH","FQ3 2014","FQ3 2014","Currency=INR","Period=FQ","BEST_FPERIOD_OVERRIDE=FQ","FILING_STATUS=OR","EQY_CONSOLIDATED=Y","Sort=A","Dates=H","DateFormat=P","Fill=—","Direction=H","UseDPDF=Y")</f>
        <v>#NAME?</v>
      </c>
      <c r="BR381" s="2" t="e">
        <f ca="1">_xll.BDH($C$378,"ACCOUNTS_PAYABLE_SEQ_GROWTH","FQ3 2014","FQ3 2014","Currency=INR","Period=FQ","BEST_FPERIOD_OVERRIDE=FQ","FILING_STATUS=OR","EQY_CONSOLIDATED=Y","Sort=A","Dates=H","DateFormat=P","Fill=—","Direction=H","UseDPDF=Y")</f>
        <v>#NAME?</v>
      </c>
      <c r="BS381" s="2" t="e">
        <f ca="1">_xll.BDH($C$378,"ST_DEBT_SEQUENTIAL_GROWTH","FQ3 2014","FQ3 2014","Currency=INR","Period=FQ","BEST_FPERIOD_OVERRIDE=FQ","FILING_STATUS=OR","EQY_CONSOLIDATED=Y","Sort=A","Dates=H","DateFormat=P","Fill=—","Direction=H","UseDPDF=Y")</f>
        <v>#NAME?</v>
      </c>
      <c r="BT381" s="2" t="e">
        <f ca="1">_xll.BDH($C$378,"TOTAL_DEBT_SEQUENTIAL_GROWTH","FQ3 2014","FQ3 2014","Currency=INR","Period=FQ","BEST_FPERIOD_OVERRIDE=FQ","FILING_STATUS=OR","EQY_CONSOLIDATED=Y","Sort=A","Dates=H","DateFormat=P","Fill=—","Direction=H","UseDPDF=Y")</f>
        <v>#NAME?</v>
      </c>
      <c r="BU381" s="2" t="e">
        <f ca="1">_xll.BDH($C$378,"TOTAL_EQUITY_SEQUENTIAL_GROWTH","FQ3 2014","FQ3 2014","Currency=INR","Period=FQ","BEST_FPERIOD_OVERRIDE=FQ","FILING_STATUS=OR","EQY_CONSOLIDATED=Y","Sort=A","Dates=H","DateFormat=P","Fill=—","Direction=H","UseDPDF=Y")</f>
        <v>#NAME?</v>
      </c>
      <c r="BV381" s="2" t="e">
        <f ca="1">_xll.BDH($C$378,"TOTAL_CAPITAL_SEQUENTIAL_GROWTH","FQ3 2014","FQ3 2014","Currency=INR","Period=FQ","BEST_FPERIOD_OVERRIDE=FQ","FILING_STATUS=OR","EQY_CONSOLIDATED=Y","Sort=A","Dates=H","DateFormat=P","Fill=—","Direction=H","UseDPDF=Y")</f>
        <v>#NAME?</v>
      </c>
      <c r="BW381" s="2" t="e">
        <f ca="1">_xll.BDH($C$378,"BPS_SEQUENTIAL_GROWTH","FQ3 2014","FQ3 2014","Currency=INR","Period=FQ","BEST_FPERIOD_OVERRIDE=FQ","FILING_STATUS=OR","EQY_CONSOLIDATED=Y","Sort=A","Dates=H","DateFormat=P","Fill=—","Direction=H","UseDPDF=Y")</f>
        <v>#NAME?</v>
      </c>
      <c r="BX381" s="2" t="e">
        <f ca="1">_xll.BDH($C$378,"CFO_SEQUENTIAL_GROWTH","FQ3 2014","FQ3 2014","Currency=INR","Period=FQ","BEST_FPERIOD_OVERRIDE=FQ","FILING_STATUS=OR","EQY_CONSOLIDATED=Y","Sort=A","Dates=H","DateFormat=P","Fill=—","Direction=H","UseDPDF=Y")</f>
        <v>#NAME?</v>
      </c>
      <c r="BY381" s="3" t="e">
        <f ca="1">_xll.BDH($C$378,"SHORT_AND_LONG_TERM_DEBT","FQ3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381" s="3" t="e">
        <f ca="1">_xll.BDH($C$378,"BS_ST_BORROW","FQ3 2014","FQ3 2014","Currency=INR","Period=FQ","BEST_FPERIOD_OVERRIDE=FQ","FILING_STATUS=OR","EQY_CONSOLIDATED=Y","SCALING_FORMAT=MLN","Sort=A","Dates=H","DateFormat=P","Fill=—","Direction=H","UseDPDF=Y")</f>
        <v>#NAME?</v>
      </c>
      <c r="CA381" s="3" t="e">
        <f ca="1">_xll.BDH($C$378,"BS_LT_BORROW","FQ3 2014","FQ3 2014","Currency=INR","Period=FQ","BEST_FPERIOD_OVERRIDE=FQ","FILING_STATUS=OR","EQY_CONSOLIDATED=Y","SCALING_FORMAT=MLN","Sort=A","Dates=H","DateFormat=P","Fill=—","Direction=H","UseDPDF=Y")</f>
        <v>#NAME?</v>
      </c>
      <c r="CB381" s="2" t="e">
        <f ca="1">_xll.BDH($C$378,"TOT_DEBT_TO_EBITDA","FQ3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381" s="2" t="e">
        <f ca="1">_xll.BDH($C$378,"NET_DEBT_TO_EBITDA","FQ3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381" s="2" t="e">
        <f ca="1">_xll.BDH($C$378,"TOTAL_DEBT_TO_EBIT","FQ3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381" s="2" t="e">
        <f ca="1">_xll.BDH($C$378,"NET_DEBT_TO_EBIT","FQ3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381" s="2" t="e">
        <f ca="1">_xll.BDH($C$378,"EBITDA_TO_INTEREST_EXPN","FQ3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381" s="2" t="e">
        <f ca="1">_xll.BDH($C$378,"COM_EQY_TO_TOT_ASSET","FQ3 2014","FQ3 2014","Currency=INR","Period=FQ","BEST_FPERIOD_OVERRIDE=FQ","FILING_STATUS=OR","EQY_CONSOLIDATED=Y","Sort=A","Dates=H","DateFormat=P","Fill=—","Direction=H","UseDPDF=Y")</f>
        <v>#NAME?</v>
      </c>
      <c r="CH381" s="2" t="e">
        <f ca="1">_xll.BDH($C$378,"LT_DEBT_TO_TOT_EQY","FQ3 2014","FQ3 2014","Currency=INR","Period=FQ","BEST_FPERIOD_OVERRIDE=FQ","FILING_STATUS=OR","EQY_CONSOLIDATED=Y","Sort=A","Dates=H","DateFormat=P","Fill=—","Direction=H","UseDPDF=Y")</f>
        <v>#NAME?</v>
      </c>
      <c r="CI381" s="2" t="e">
        <f ca="1">_xll.BDH($C$378,"LT_DEBT_TO_TOT_CAP","FQ3 2014","FQ3 2014","Currency=INR","Period=FQ","BEST_FPERIOD_OVERRIDE=FQ","FILING_STATUS=OR","EQY_CONSOLIDATED=Y","Sort=A","Dates=H","DateFormat=P","Fill=—","Direction=H","UseDPDF=Y")</f>
        <v>#NAME?</v>
      </c>
      <c r="CJ381" s="2" t="e">
        <f ca="1">_xll.BDH($C$378,"LT_DEBT_TO_TOT_ASSET","FQ3 2014","FQ3 2014","Currency=INR","Period=FQ","BEST_FPERIOD_OVERRIDE=FQ","FILING_STATUS=OR","EQY_CONSOLIDATED=Y","Sort=A","Dates=H","DateFormat=P","Fill=—","Direction=H","UseDPDF=Y")</f>
        <v>#NAME?</v>
      </c>
      <c r="CK381" s="2" t="e">
        <f ca="1">_xll.BDH($C$378,"TOT_DEBT_TO_TOT_EQY","FQ3 2014","FQ3 2014","Currency=INR","Period=FQ","BEST_FPERIOD_OVERRIDE=FQ","FILING_STATUS=OR","EQY_CONSOLIDATED=Y","Sort=A","Dates=H","DateFormat=P","Fill=—","Direction=H","UseDPDF=Y")</f>
        <v>#NAME?</v>
      </c>
      <c r="CL381" s="2" t="e">
        <f ca="1">_xll.BDH($C$378,"TOT_DEBT_TO_TOT_CAP","FQ3 2014","FQ3 2014","Currency=INR","Period=FQ","BEST_FPERIOD_OVERRIDE=FQ","FILING_STATUS=OR","EQY_CONSOLIDATED=Y","Sort=A","Dates=H","DateFormat=P","Fill=—","Direction=H","UseDPDF=Y")</f>
        <v>#NAME?</v>
      </c>
      <c r="CM381" s="2" t="e">
        <f ca="1">_xll.BDH($C$378,"TOT_DEBT_TO_TOT_ASSET","FQ3 2014","FQ3 2014","Currency=INR","Period=FQ","BEST_FPERIOD_OVERRIDE=FQ","FILING_STATUS=OR","EQY_CONSOLIDATED=Y","Sort=A","Dates=H","DateFormat=P","Fill=—","Direction=H","UseDPDF=Y")</f>
        <v>#NAME?</v>
      </c>
      <c r="CN381" s="2" t="e">
        <f ca="1">_xll.BDH($C$378,"NET_DEBT_TO_SHRHLDR_EQTY","FQ3 2014","FQ3 2014","Currency=INR","Period=FQ","BEST_FPERIOD_OVERRIDE=FQ","FILING_STATUS=OR","EQY_CONSOLIDATED=Y","Sort=A","Dates=H","DateFormat=P","Fill=—","Direction=H","UseDPDF=Y")</f>
        <v>#NAME?</v>
      </c>
      <c r="CO381" s="2" t="e">
        <f ca="1">_xll.BDH($C$378,"NET_DEBT_%_CAPITAL","FQ3 2014","FQ3 2014","Currency=INR","Period=FQ","BEST_FPERIOD_OVERRIDE=FQ","FILING_STATUS=OR","EQY_CONSOLIDATED=Y","Sort=A","Dates=H","DateFormat=P","Fill=—","Direction=H","UseDPDF=Y")</f>
        <v>#NAME?</v>
      </c>
      <c r="CP381" s="3" t="e">
        <f ca="1">_xll.BDH($C$378,"EBITDA","FQ3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381" s="3" t="e">
        <f ca="1">_xll.BDH($C$378,"EBITDA_AFTER_CAPEX","FQ3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381" s="3" t="e">
        <f ca="1">_xll.BDH($C$378,"IS_OPER_INC","FQ3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381" s="2" t="e">
        <f ca="1">_xll.BDH($C$378,"CASH_RATIO","FQ3 2014","FQ3 2014","Currency=INR","Period=FQ","BEST_FPERIOD_OVERRIDE=FQ","FILING_STATUS=OR","EQY_CONSOLIDATED=Y","Sort=A","Dates=H","DateFormat=P","Fill=—","Direction=H","UseDPDF=Y")</f>
        <v>#NAME?</v>
      </c>
      <c r="CT381" s="2" t="e">
        <f ca="1">_xll.BDH($C$378,"CUR_RATIO","FQ3 2014","FQ3 2014","Currency=INR","Period=FQ","BEST_FPERIOD_OVERRIDE=FQ","FILING_STATUS=OR","EQY_CONSOLIDATED=Y","Sort=A","Dates=H","DateFormat=P","Fill=—","Direction=H","UseDPDF=Y")</f>
        <v>#NAME?</v>
      </c>
      <c r="CU381" s="2" t="e">
        <f ca="1">_xll.BDH($C$378,"QUICK_RATIO","FQ3 2014","FQ3 2014","Currency=INR","Period=FQ","BEST_FPERIOD_OVERRIDE=FQ","FILING_STATUS=OR","EQY_CONSOLIDATED=Y","Sort=A","Dates=H","DateFormat=P","Fill=—","Direction=H","UseDPDF=Y")</f>
        <v>#NAME?</v>
      </c>
      <c r="CV381" s="2" t="e">
        <f ca="1">_xll.BDH($C$378,"ALTMAN_Z_SCORE","FQ3 2014","FQ3 2014","Currency=INR","Period=FQ","BEST_FPERIOD_OVERRIDE=FQ","FILING_STATUS=OR","EQY_CONSOLIDATED=Y","Sort=A","Dates=H","DateFormat=P","Fill=—","Direction=H","UseDPDF=Y")</f>
        <v>#NAME?</v>
      </c>
      <c r="CW381" s="4" t="e">
        <f ca="1">_xll.BDH($C$378,"ACCT_RCV_TURN","FQ3 2014","FQ3 2014","Currency=INR","Period=FQ","BEST_FPERIOD_OVERRIDE=FQ","FILING_STATUS=OR","EQY_CONSOLIDATED=Y","FA_ADJUSTED=GAAP","Sort=A","Dates=H","DateFormat=P","Fill=—","Direction=H","UseDPDF=Y")</f>
        <v>#NAME?</v>
      </c>
      <c r="CX381" s="2" t="e">
        <f ca="1">_xll.BDH($C$378,"ACCT_RCV_DAYS","FQ3 2014","FQ3 2014","Currency=INR","Period=FQ","BEST_FPERIOD_OVERRIDE=FQ","FILING_STATUS=OR","EQY_CONSOLIDATED=Y","FA_ADJUSTED=GAAP","Sort=A","Dates=H","DateFormat=P","Fill=—","Direction=H","UseDPDF=Y")</f>
        <v>#NAME?</v>
      </c>
      <c r="CY381" s="4" t="e">
        <f ca="1">_xll.BDH($C$378,"INVENT_TURN","FQ3 2014","FQ3 2014","Currency=INR","Period=FQ","BEST_FPERIOD_OVERRIDE=FQ","FILING_STATUS=OR","EQY_CONSOLIDATED=Y","FA_ADJUSTED=GAAP","Sort=A","Dates=H","DateFormat=P","Fill=—","Direction=H","UseDPDF=Y")</f>
        <v>#NAME?</v>
      </c>
      <c r="CZ381" s="2" t="e">
        <f ca="1">_xll.BDH($C$378,"INVENT_DAYS","FQ3 2014","FQ3 2014","Currency=INR","Period=FQ","BEST_FPERIOD_OVERRIDE=FQ","FILING_STATUS=OR","EQY_CONSOLIDATED=Y","FA_ADJUSTED=GAAP","Sort=A","Dates=H","DateFormat=P","Fill=—","Direction=H","UseDPDF=Y")</f>
        <v>#NAME?</v>
      </c>
      <c r="DA381" s="4" t="e">
        <f ca="1">_xll.BDH($C$378,"ACCOUNTS_PAYABLE_TURNOVER","FQ3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381" s="2" t="e">
        <f ca="1">_xll.BDH($C$378,"ACCOUNTS_PAYABLE_TURNOVER_DAYS","FQ3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381" s="4" t="e">
        <f ca="1">_xll.BDH($C$378,"CASH_CONVERSION_CYCLE","FQ3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381" s="4" t="e">
        <f ca="1">_xll.BDH($C$378,"INV_TO_CASH_DAYS","FQ3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381" s="5" t="e">
        <f ca="1">_xll.BDH($C$378,"BS_INVENTORIES","FQ3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381" s="3" t="e">
        <f ca="1">_xll.BDH($C$378,"INVTRY_RAW_MATERIALS","FQ3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381" s="3" t="e">
        <f ca="1">_xll.BDH($C$378,"INVTRY_IN_PROGRESS","FQ3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381" s="3" t="e">
        <f ca="1">_xll.BDH($C$378,"INVTRY_FINISHED_GOODS","FQ3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381" s="3" t="e">
        <f ca="1">_xll.BDH($C$378,"BS_OTHER_INV","FQ3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382" spans="1:113" x14ac:dyDescent="0.3">
      <c r="A382" s="6"/>
      <c r="B382" s="6"/>
      <c r="C382" s="6"/>
      <c r="D382" s="6"/>
      <c r="E382" t="s">
        <v>81</v>
      </c>
      <c r="F382" t="e">
        <f ca="1">_xll.BDH($C$378,"RETURN_COM_EQY","FQ4 2014","FQ4 2014","Currency=INR","Period=FQ","BEST_FPERIOD_OVERRIDE=FQ","FILING_STATUS=OR","EQY_CONSOLIDATED=Y","FA_ADJUSTED=GAAP","Sort=A","Dates=H","DateFormat=P","Fill=—","Direction=H","UseDPDF=Y")</f>
        <v>#NAME?</v>
      </c>
      <c r="G382" t="e">
        <f ca="1">_xll.BDH($C$378,"RETURN_ON_ASSET","FQ4 2014","FQ4 2014","Currency=INR","Period=FQ","BEST_FPERIOD_OVERRIDE=FQ","FILING_STATUS=OR","EQY_CONSOLIDATED=Y","FA_ADJUSTED=GAAP","Sort=A","Dates=H","DateFormat=P","Fill=—","Direction=H","UseDPDF=Y")</f>
        <v>#NAME?</v>
      </c>
      <c r="H382" t="e">
        <f ca="1">_xll.BDH($C$378,"RETURN_ON_CAP","FQ4 2014","FQ4 2014","Currency=INR","Period=FQ","BEST_FPERIOD_OVERRIDE=FQ","FILING_STATUS=OR","EQY_CONSOLIDATED=Y","FA_ADJUSTED=GAAP","Sort=A","Dates=H","DateFormat=P","Fill=—","Direction=H","UseDPDF=Y")</f>
        <v>#NAME?</v>
      </c>
      <c r="I382" t="e">
        <f ca="1">_xll.BDH($C$378,"RETURN_ON_INV_CAPITAL","FQ4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382" t="e">
        <f ca="1">_xll.BDH($C$378,"EBITDA_TO_REVENUE","FQ4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382" t="e">
        <f ca="1">_xll.BDH($C$378,"OPER_MARGIN","FQ4 2014","FQ4 2014","Currency=INR","Period=FQ","BEST_FPERIOD_OVERRIDE=FQ","FILING_STATUS=OR","EQY_CONSOLIDATED=Y","FA_ADJUSTED=GAAP","Sort=A","Dates=H","DateFormat=P","Fill=—","Direction=H","UseDPDF=Y")</f>
        <v>#NAME?</v>
      </c>
      <c r="L382" t="e">
        <f ca="1">_xll.BDH($C$378,"INCREMENTAL_OPERATING_MARGIN","FQ4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382" t="e">
        <f ca="1">_xll.BDH($C$378,"PRETAX_INC_TO_NET_SALES","FQ4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382" t="e">
        <f ca="1">_xll.BDH($C$378,"INC_BEF_XO_ITEMS_TO_NET_SALES","FQ4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382" t="e">
        <f ca="1">_xll.BDH($C$378,"PROF_MARGIN","FQ4 2014","FQ4 2014","Currency=INR","Period=FQ","BEST_FPERIOD_OVERRIDE=FQ","FILING_STATUS=OR","EQY_CONSOLIDATED=Y","FA_ADJUSTED=GAAP","Sort=A","Dates=H","DateFormat=P","Fill=—","Direction=H","UseDPDF=Y")</f>
        <v>#NAME?</v>
      </c>
      <c r="P382" t="e">
        <f ca="1">_xll.BDH($C$378,"NET_INCOME_TO_COMMON_MARGIN","FQ4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382" t="e">
        <f ca="1">_xll.BDH($C$378,"EFF_TAX_RATE","FQ4 2014","FQ4 2014","Currency=INR","Period=FQ","BEST_FPERIOD_OVERRIDE=FQ","FILING_STATUS=OR","EQY_CONSOLIDATED=Y","FA_ADJUSTED=GAAP","Sort=A","Dates=H","DateFormat=P","Fill=—","Direction=H","UseDPDF=Y")</f>
        <v>#NAME?</v>
      </c>
      <c r="R382" t="e">
        <f ca="1">_xll.BDH($C$378,"DVD_PAYOUT_RATIO","FQ4 2014","FQ4 2014","Currency=INR","Period=FQ","BEST_FPERIOD_OVERRIDE=FQ","FILING_STATUS=OR","EQY_CONSOLIDATED=Y","FA_ADJUSTED=GAAP","Sort=A","Dates=H","DateFormat=P","Fill=—","Direction=H","UseDPDF=Y")</f>
        <v>#NAME?</v>
      </c>
      <c r="S382" t="e">
        <f ca="1">_xll.BDH($C$378,"SUSTAIN_GROWTH_RT","FQ4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382" s="2" t="e">
        <f ca="1">_xll.BDH($C$378,"SALES_GROWTH","FQ4 2014","FQ4 2014","Currency=INR","Period=FQ","BEST_FPERIOD_OVERRIDE=FQ","FILING_STATUS=OR","EQY_CONSOLIDATED=Y","FA_ADJUSTED=GAAP","Sort=A","Dates=H","DateFormat=P","Fill=—","Direction=H","UseDPDF=Y")</f>
        <v>#NAME?</v>
      </c>
      <c r="U382" s="2" t="e">
        <f ca="1">_xll.BDH($C$378,"EBITDA_GROWTH","FQ4 2014","FQ4 2014","Currency=INR","Period=FQ","BEST_FPERIOD_OVERRIDE=FQ","FILING_STATUS=OR","EQY_CONSOLIDATED=Y","FA_ADJUSTED=GAAP","Sort=A","Dates=H","DateFormat=P","Fill=—","Direction=H","UseDPDF=Y")</f>
        <v>#NAME?</v>
      </c>
      <c r="V382" s="2" t="e">
        <f ca="1">_xll.BDH($C$378,"OPER_INC_GROWTH","FQ4 2014","FQ4 2014","Currency=INR","Period=FQ","BEST_FPERIOD_OVERRIDE=FQ","FILING_STATUS=OR","EQY_CONSOLIDATED=Y","FA_ADJUSTED=GAAP","Sort=A","Dates=H","DateFormat=P","Fill=—","Direction=H","UseDPDF=Y")</f>
        <v>#NAME?</v>
      </c>
      <c r="W382" s="2" t="e">
        <f ca="1">_xll.BDH($C$378,"EARN_FOR_COM_GROWTH","FQ4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382" s="2" t="e">
        <f ca="1">_xll.BDH($C$378,"DILUTED_EPS_AFT_XO_ITEMS_GROWTH","FQ4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382" s="2" t="e">
        <f ca="1">_xll.BDH($C$378,"DIVIDEND_PER_SHARE_1_YEAR_GROWTH","FQ4 2014","FQ4 2014","Currency=INR","Period=FQ","BEST_FPERIOD_OVERRIDE=FQ","FILING_STATUS=OR","EQY_CONSOLIDATED=Y","Sort=A","Dates=H","DateFormat=P","Fill=—","Direction=H","UseDPDF=Y")</f>
        <v>#NAME?</v>
      </c>
      <c r="Z382" s="2" t="e">
        <f ca="1">_xll.BDH($C$378,"ACCOUNTS_RECEIVABLE_GROWTH","FQ4 2014","FQ4 2014","Currency=INR","Period=FQ","BEST_FPERIOD_OVERRIDE=FQ","FILING_STATUS=OR","EQY_CONSOLIDATED=Y","Sort=A","Dates=H","DateFormat=P","Fill=—","Direction=H","UseDPDF=Y")</f>
        <v>#NAME?</v>
      </c>
      <c r="AA382" s="2" t="e">
        <f ca="1">_xll.BDH($C$378,"INVENTORY_GROWTH","FQ4 2014","FQ4 2014","Currency=INR","Period=FQ","BEST_FPERIOD_OVERRIDE=FQ","FILING_STATUS=OR","EQY_CONSOLIDATED=Y","Sort=A","Dates=H","DateFormat=P","Fill=—","Direction=H","UseDPDF=Y")</f>
        <v>#NAME?</v>
      </c>
      <c r="AB382" s="2" t="e">
        <f ca="1">_xll.BDH($C$378,"NET_FIXED_ASSETS_1_YEAR_GROWTH","FQ4 2014","FQ4 2014","Currency=INR","Period=FQ","BEST_FPERIOD_OVERRIDE=FQ","FILING_STATUS=OR","EQY_CONSOLIDATED=Y","Sort=A","Dates=H","DateFormat=P","Fill=—","Direction=H","UseDPDF=Y")</f>
        <v>#NAME?</v>
      </c>
      <c r="AC382" s="2" t="e">
        <f ca="1">_xll.BDH($C$378,"ASSET_GROWTH","FQ4 2014","FQ4 2014","Currency=INR","Period=FQ","BEST_FPERIOD_OVERRIDE=FQ","FILING_STATUS=OR","EQY_CONSOLIDATED=Y","Sort=A","Dates=H","DateFormat=P","Fill=—","Direction=H","UseDPDF=Y")</f>
        <v>#NAME?</v>
      </c>
      <c r="AD382" s="2" t="e">
        <f ca="1">_xll.BDH($C$378,"MODIFIED_WORK_CAP_GROWTH","FQ4 2014","FQ4 2014","Currency=INR","Period=FQ","BEST_FPERIOD_OVERRIDE=FQ","FILING_STATUS=OR","EQY_CONSOLIDATED=Y","Sort=A","Dates=H","DateFormat=P","Fill=—","Direction=H","UseDPDF=Y")</f>
        <v>#NAME?</v>
      </c>
      <c r="AE382" s="2" t="e">
        <f ca="1">_xll.BDH($C$378,"WORK_CAP_GROWTH","FQ4 2014","FQ4 2014","Currency=INR","Period=FQ","BEST_FPERIOD_OVERRIDE=FQ","FILING_STATUS=OR","EQY_CONSOLIDATED=Y","Sort=A","Dates=H","DateFormat=P","Fill=—","Direction=H","UseDPDF=Y")</f>
        <v>#NAME?</v>
      </c>
      <c r="AF382" s="2" t="e">
        <f ca="1">_xll.BDH($C$378,"ACCOUNTS_PAYABLE_GROWTH_1YR","FQ4 2014","FQ4 2014","Currency=INR","Period=FQ","BEST_FPERIOD_OVERRIDE=FQ","FILING_STATUS=OR","EQY_CONSOLIDATED=Y","Sort=A","Dates=H","DateFormat=P","Fill=—","Direction=H","UseDPDF=Y")</f>
        <v>#NAME?</v>
      </c>
      <c r="AG382" s="2" t="e">
        <f ca="1">_xll.BDH($C$378,"SHORT_TERM_DEBT_1_YEAR_GROWTH","FQ4 2014","FQ4 2014","Currency=INR","Period=FQ","BEST_FPERIOD_OVERRIDE=FQ","FILING_STATUS=OR","EQY_CONSOLIDATED=Y","Sort=A","Dates=H","DateFormat=P","Fill=—","Direction=H","UseDPDF=Y")</f>
        <v>#NAME?</v>
      </c>
      <c r="AH382" s="2" t="e">
        <f ca="1">_xll.BDH($C$378,"TOTAL_DEBT_1_YEAR_GROWTH","FQ4 2014","FQ4 2014","Currency=INR","Period=FQ","BEST_FPERIOD_OVERRIDE=FQ","FILING_STATUS=OR","EQY_CONSOLIDATED=Y","Sort=A","Dates=H","DateFormat=P","Fill=—","Direction=H","UseDPDF=Y")</f>
        <v>#NAME?</v>
      </c>
      <c r="AI382" s="2" t="e">
        <f ca="1">_xll.BDH($C$378,"TOTAL_EQUITY_1_YEAR_GROWTH","FQ4 2014","FQ4 2014","Currency=INR","Period=FQ","BEST_FPERIOD_OVERRIDE=FQ","FILING_STATUS=OR","EQY_CONSOLIDATED=Y","Sort=A","Dates=H","DateFormat=P","Fill=—","Direction=H","UseDPDF=Y")</f>
        <v>#NAME?</v>
      </c>
      <c r="AJ382" s="2" t="e">
        <f ca="1">_xll.BDH($C$378,"GROWTH_IN_CAP","FQ4 2014","FQ4 2014","Currency=INR","Period=FQ","BEST_FPERIOD_OVERRIDE=FQ","FILING_STATUS=OR","EQY_CONSOLIDATED=Y","Sort=A","Dates=H","DateFormat=P","Fill=—","Direction=H","UseDPDF=Y")</f>
        <v>#NAME?</v>
      </c>
      <c r="AK382" s="2" t="e">
        <f ca="1">_xll.BDH($C$378,"BVPS_GROWTH","FQ4 2014","FQ4 2014","Currency=INR","Period=FQ","BEST_FPERIOD_OVERRIDE=FQ","FILING_STATUS=OR","EQY_CONSOLIDATED=Y","Sort=A","Dates=H","DateFormat=P","Fill=—","Direction=H","UseDPDF=Y")</f>
        <v>#NAME?</v>
      </c>
      <c r="AL382" s="2" t="e">
        <f ca="1">_xll.BDH($C$378,"CASH_FLOW_GROWTH","FQ4 2014","FQ4 2014","Currency=INR","Period=FQ","BEST_FPERIOD_OVERRIDE=FQ","FILING_STATUS=OR","EQY_CONSOLIDATED=Y","Sort=A","Dates=H","DateFormat=P","Fill=—","Direction=H","UseDPDF=Y")</f>
        <v>#NAME?</v>
      </c>
      <c r="AM382" s="2" t="e">
        <f ca="1">_xll.BDH($C$378,"GEO_GROW_NET_SALES","FQ4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382" s="2" t="e">
        <f ca="1">_xll.BDH($C$378,"GEO_GROW_EBITDA","FQ4 2014","FQ4 2014","Currency=INR","Period=FQ","BEST_FPERIOD_OVERRIDE=FQ","FILING_STATUS=OR","EQY_CONSOLIDATED=Y","FA_ADJUSTED=GAAP","Sort=A","Dates=H","DateFormat=P","Fill=—","Direction=H","UseDPDF=Y")</f>
        <v>#NAME?</v>
      </c>
      <c r="AO382" s="2" t="e">
        <f ca="1">_xll.BDH($C$378,"GEO_GROW_OPER_INC","FQ4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382" s="2" t="e">
        <f ca="1">_xll.BDH($C$378,"NET_INCOME_TO_COMMON_5_YR_GROWTH","FQ4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382" s="2" t="e">
        <f ca="1">_xll.BDH($C$378,"5Y_GEO_GROWTH_DILUTED_EPS","FQ4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382" s="2" t="e">
        <f ca="1">_xll.BDH($C$378,"GEO_GROW_DVD_PER_SH","FQ4 2014","FQ4 2014","Currency=INR","Period=FQ","BEST_FPERIOD_OVERRIDE=FQ","FILING_STATUS=OR","EQY_CONSOLIDATED=Y","Sort=A","Dates=H","DateFormat=P","Fill=—","Direction=H","UseDPDF=Y")</f>
        <v>#NAME?</v>
      </c>
      <c r="AS382" s="2" t="e">
        <f ca="1">_xll.BDH($C$378,"ACCOUNTS_RECEIVABLE_5_YR_GROWTH","FQ4 2014","FQ4 2014","Currency=INR","Period=FQ","BEST_FPERIOD_OVERRIDE=FQ","FILING_STATUS=OR","EQY_CONSOLIDATED=Y","Sort=A","Dates=H","DateFormat=P","Fill=—","Direction=H","UseDPDF=Y")</f>
        <v>#NAME?</v>
      </c>
      <c r="AT382" s="2" t="e">
        <f ca="1">_xll.BDH($C$378,"INVENTORY_5_YEAR_GROWTH","FQ4 2014","FQ4 2014","Currency=INR","Period=FQ","BEST_FPERIOD_OVERRIDE=FQ","FILING_STATUS=OR","EQY_CONSOLIDATED=Y","Sort=A","Dates=H","DateFormat=P","Fill=—","Direction=H","UseDPDF=Y")</f>
        <v>#NAME?</v>
      </c>
      <c r="AU382" s="2" t="e">
        <f ca="1">_xll.BDH($C$378,"NET_FIXED_ASSETS_5_YEAR_GROWTH","FQ4 2014","FQ4 2014","Currency=INR","Period=FQ","BEST_FPERIOD_OVERRIDE=FQ","FILING_STATUS=OR","EQY_CONSOLIDATED=Y","Sort=A","Dates=H","DateFormat=P","Fill=—","Direction=H","UseDPDF=Y")</f>
        <v>#NAME?</v>
      </c>
      <c r="AV382" s="2" t="e">
        <f ca="1">_xll.BDH($C$378,"GEO_GROW_TOT_ASSET","FQ4 2014","FQ4 2014","Currency=INR","Period=FQ","BEST_FPERIOD_OVERRIDE=FQ","FILING_STATUS=OR","EQY_CONSOLIDATED=Y","Sort=A","Dates=H","DateFormat=P","Fill=—","Direction=H","UseDPDF=Y")</f>
        <v>#NAME?</v>
      </c>
      <c r="AW382" s="2" t="e">
        <f ca="1">_xll.BDH($C$378,"MODIFIED_WORKING_CPTL_5YR_GRWTH","FQ4 2014","FQ4 2014","Currency=INR","Period=FQ","BEST_FPERIOD_OVERRIDE=FQ","FILING_STATUS=OR","EQY_CONSOLIDATED=Y","Sort=A","Dates=H","DateFormat=P","Fill=—","Direction=H","UseDPDF=Y")</f>
        <v>#NAME?</v>
      </c>
      <c r="AX382" s="2" t="e">
        <f ca="1">_xll.BDH($C$378,"WORKING_CAPITAL_5_YEAR_GROWTH","FQ4 2014","FQ4 2014","Currency=INR","Period=FQ","BEST_FPERIOD_OVERRIDE=FQ","FILING_STATUS=OR","EQY_CONSOLIDATED=Y","Sort=A","Dates=H","DateFormat=P","Fill=—","Direction=H","UseDPDF=Y")</f>
        <v>#NAME?</v>
      </c>
      <c r="AY382" s="2" t="e">
        <f ca="1">_xll.BDH($C$378,"ACCOUNTS_PAYABLE_5_YEAR_GROWTH","FQ4 2014","FQ4 2014","Currency=INR","Period=FQ","BEST_FPERIOD_OVERRIDE=FQ","FILING_STATUS=OR","EQY_CONSOLIDATED=Y","Sort=A","Dates=H","DateFormat=P","Fill=—","Direction=H","UseDPDF=Y")</f>
        <v>#NAME?</v>
      </c>
      <c r="AZ382" s="2" t="e">
        <f ca="1">_xll.BDH($C$378,"SHORT_TERM_DEBT_5_YEAR_GROWTH","FQ4 2014","FQ4 2014","Currency=INR","Period=FQ","BEST_FPERIOD_OVERRIDE=FQ","FILING_STATUS=OR","EQY_CONSOLIDATED=Y","Sort=A","Dates=H","DateFormat=P","Fill=—","Direction=H","UseDPDF=Y")</f>
        <v>#NAME?</v>
      </c>
      <c r="BA382" s="2" t="e">
        <f ca="1">_xll.BDH($C$378,"TOTAL_DEBT_5_YEAR_GROWTH","FQ4 2014","FQ4 2014","Currency=INR","Period=FQ","BEST_FPERIOD_OVERRIDE=FQ","FILING_STATUS=OR","EQY_CONSOLIDATED=Y","Sort=A","Dates=H","DateFormat=P","Fill=—","Direction=H","UseDPDF=Y")</f>
        <v>#NAME?</v>
      </c>
      <c r="BB382" s="2" t="e">
        <f ca="1">_xll.BDH($C$378,"GEO_GROW_TOT_SHRHLDR_EQY","FQ4 2014","FQ4 2014","Currency=INR","Period=FQ","BEST_FPERIOD_OVERRIDE=FQ","FILING_STATUS=OR","EQY_CONSOLIDATED=Y","Sort=A","Dates=H","DateFormat=P","Fill=—","Direction=H","UseDPDF=Y")</f>
        <v>#NAME?</v>
      </c>
      <c r="BC382" s="2" t="e">
        <f ca="1">_xll.BDH($C$378,"TOTAL_CAPITAL_5_YEAR_GROWTH","FQ4 2014","FQ4 2014","Currency=INR","Period=FQ","BEST_FPERIOD_OVERRIDE=FQ","FILING_STATUS=OR","EQY_CONSOLIDATED=Y","Sort=A","Dates=H","DateFormat=P","Fill=—","Direction=H","UseDPDF=Y")</f>
        <v>#NAME?</v>
      </c>
      <c r="BD382" s="2" t="e">
        <f ca="1">_xll.BDH($C$378,"GEO_GROW_BOOK_VAL","FQ4 2014","FQ4 2014","Currency=INR","Period=FQ","BEST_FPERIOD_OVERRIDE=FQ","FILING_STATUS=OR","EQY_CONSOLIDATED=Y","Sort=A","Dates=H","DateFormat=P","Fill=—","Direction=H","UseDPDF=Y")</f>
        <v>#NAME?</v>
      </c>
      <c r="BE382" s="2" t="e">
        <f ca="1">_xll.BDH($C$378,"GEO_GROW_CASH_OPER_ACT","FQ4 2014","FQ4 2014","Currency=INR","Period=FQ","BEST_FPERIOD_OVERRIDE=FQ","FILING_STATUS=OR","EQY_CONSOLIDATED=Y","Sort=A","Dates=H","DateFormat=P","Fill=—","Direction=H","UseDPDF=Y")</f>
        <v>#NAME?</v>
      </c>
      <c r="BF382" s="2" t="e">
        <f ca="1">_xll.BDH($C$378,"REVENUE_SEQUENTIAL_GROWTH","FQ4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382" s="2" t="e">
        <f ca="1">_xll.BDH($C$378,"EBITDA_SEQUENTIAL_GROWTH","FQ4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382" s="2" t="e">
        <f ca="1">_xll.BDH($C$378,"OPERATING_INCOME_SEQ_GROWTH","FQ4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382" s="2" t="e">
        <f ca="1">_xll.BDH($C$378,"NET_INCOME_TO_COMMON_SEQ_GROWTH","FQ4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382" s="2" t="e">
        <f ca="1">_xll.BDH($C$378,"EPS_DILUTED_SEQUENTIAL_GROWTH","FQ4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382" s="2" t="e">
        <f ca="1">_xll.BDH($C$378,"DPS_SEQUENTIAL_GROWTH","FQ4 2014","FQ4 2014","Currency=INR","Period=FQ","BEST_FPERIOD_OVERRIDE=FQ","FILING_STATUS=OR","EQY_CONSOLIDATED=Y","Sort=A","Dates=H","DateFormat=P","Fill=—","Direction=H","UseDPDF=Y")</f>
        <v>#NAME?</v>
      </c>
      <c r="BL382" s="2" t="e">
        <f ca="1">_xll.BDH($C$378,"ACCOUNTS_RECEIVABLE_SEQ_GROWTH","FQ4 2014","FQ4 2014","Currency=INR","Period=FQ","BEST_FPERIOD_OVERRIDE=FQ","FILING_STATUS=OR","EQY_CONSOLIDATED=Y","Sort=A","Dates=H","DateFormat=P","Fill=—","Direction=H","UseDPDF=Y")</f>
        <v>#NAME?</v>
      </c>
      <c r="BM382" s="2" t="e">
        <f ca="1">_xll.BDH($C$378,"INVENTORY_SEQUENTIAL_GROWTH","FQ4 2014","FQ4 2014","Currency=INR","Period=FQ","BEST_FPERIOD_OVERRIDE=FQ","FILING_STATUS=OR","EQY_CONSOLIDATED=Y","Sort=A","Dates=H","DateFormat=P","Fill=—","Direction=H","UseDPDF=Y")</f>
        <v>#NAME?</v>
      </c>
      <c r="BN382" s="2" t="e">
        <f ca="1">_xll.BDH($C$378,"FIXED_ASSETS_SEQUENTIAL_GROWTH","FQ4 2014","FQ4 2014","Currency=INR","Period=FQ","BEST_FPERIOD_OVERRIDE=FQ","FILING_STATUS=OR","EQY_CONSOLIDATED=Y","Sort=A","Dates=H","DateFormat=P","Fill=—","Direction=H","UseDPDF=Y")</f>
        <v>#NAME?</v>
      </c>
      <c r="BO382" s="2" t="e">
        <f ca="1">_xll.BDH($C$378,"TOTAL_ASSETS_SEQUENTIAL_GROWTH","FQ4 2014","FQ4 2014","Currency=INR","Period=FQ","BEST_FPERIOD_OVERRIDE=FQ","FILING_STATUS=OR","EQY_CONSOLIDATED=Y","Sort=A","Dates=H","DateFormat=P","Fill=—","Direction=H","UseDPDF=Y")</f>
        <v>#NAME?</v>
      </c>
      <c r="BP382" s="2" t="e">
        <f ca="1">_xll.BDH($C$378,"MODIFIED_WORKING_CPTL_SEQ_GRWTH","FQ4 2014","FQ4 2014","Currency=INR","Period=FQ","BEST_FPERIOD_OVERRIDE=FQ","FILING_STATUS=OR","EQY_CONSOLIDATED=Y","Sort=A","Dates=H","DateFormat=P","Fill=—","Direction=H","UseDPDF=Y")</f>
        <v>#NAME?</v>
      </c>
      <c r="BQ382" s="2" t="e">
        <f ca="1">_xll.BDH($C$378,"WORKING_CAPITAL_SEQ_GROWTH","FQ4 2014","FQ4 2014","Currency=INR","Period=FQ","BEST_FPERIOD_OVERRIDE=FQ","FILING_STATUS=OR","EQY_CONSOLIDATED=Y","Sort=A","Dates=H","DateFormat=P","Fill=—","Direction=H","UseDPDF=Y")</f>
        <v>#NAME?</v>
      </c>
      <c r="BR382" s="2" t="e">
        <f ca="1">_xll.BDH($C$378,"ACCOUNTS_PAYABLE_SEQ_GROWTH","FQ4 2014","FQ4 2014","Currency=INR","Period=FQ","BEST_FPERIOD_OVERRIDE=FQ","FILING_STATUS=OR","EQY_CONSOLIDATED=Y","Sort=A","Dates=H","DateFormat=P","Fill=—","Direction=H","UseDPDF=Y")</f>
        <v>#NAME?</v>
      </c>
      <c r="BS382" s="2" t="e">
        <f ca="1">_xll.BDH($C$378,"ST_DEBT_SEQUENTIAL_GROWTH","FQ4 2014","FQ4 2014","Currency=INR","Period=FQ","BEST_FPERIOD_OVERRIDE=FQ","FILING_STATUS=OR","EQY_CONSOLIDATED=Y","Sort=A","Dates=H","DateFormat=P","Fill=—","Direction=H","UseDPDF=Y")</f>
        <v>#NAME?</v>
      </c>
      <c r="BT382" s="2" t="e">
        <f ca="1">_xll.BDH($C$378,"TOTAL_DEBT_SEQUENTIAL_GROWTH","FQ4 2014","FQ4 2014","Currency=INR","Period=FQ","BEST_FPERIOD_OVERRIDE=FQ","FILING_STATUS=OR","EQY_CONSOLIDATED=Y","Sort=A","Dates=H","DateFormat=P","Fill=—","Direction=H","UseDPDF=Y")</f>
        <v>#NAME?</v>
      </c>
      <c r="BU382" s="2" t="e">
        <f ca="1">_xll.BDH($C$378,"TOTAL_EQUITY_SEQUENTIAL_GROWTH","FQ4 2014","FQ4 2014","Currency=INR","Period=FQ","BEST_FPERIOD_OVERRIDE=FQ","FILING_STATUS=OR","EQY_CONSOLIDATED=Y","Sort=A","Dates=H","DateFormat=P","Fill=—","Direction=H","UseDPDF=Y")</f>
        <v>#NAME?</v>
      </c>
      <c r="BV382" s="2" t="e">
        <f ca="1">_xll.BDH($C$378,"TOTAL_CAPITAL_SEQUENTIAL_GROWTH","FQ4 2014","FQ4 2014","Currency=INR","Period=FQ","BEST_FPERIOD_OVERRIDE=FQ","FILING_STATUS=OR","EQY_CONSOLIDATED=Y","Sort=A","Dates=H","DateFormat=P","Fill=—","Direction=H","UseDPDF=Y")</f>
        <v>#NAME?</v>
      </c>
      <c r="BW382" s="2" t="e">
        <f ca="1">_xll.BDH($C$378,"BPS_SEQUENTIAL_GROWTH","FQ4 2014","FQ4 2014","Currency=INR","Period=FQ","BEST_FPERIOD_OVERRIDE=FQ","FILING_STATUS=OR","EQY_CONSOLIDATED=Y","Sort=A","Dates=H","DateFormat=P","Fill=—","Direction=H","UseDPDF=Y")</f>
        <v>#NAME?</v>
      </c>
      <c r="BX382" s="2" t="e">
        <f ca="1">_xll.BDH($C$378,"CFO_SEQUENTIAL_GROWTH","FQ4 2014","FQ4 2014","Currency=INR","Period=FQ","BEST_FPERIOD_OVERRIDE=FQ","FILING_STATUS=OR","EQY_CONSOLIDATED=Y","Sort=A","Dates=H","DateFormat=P","Fill=—","Direction=H","UseDPDF=Y")</f>
        <v>#NAME?</v>
      </c>
      <c r="BY382" s="3" t="e">
        <f ca="1">_xll.BDH($C$378,"SHORT_AND_LONG_TERM_DEBT","FQ4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382" s="3" t="e">
        <f ca="1">_xll.BDH($C$378,"BS_ST_BORROW","FQ4 2014","FQ4 2014","Currency=INR","Period=FQ","BEST_FPERIOD_OVERRIDE=FQ","FILING_STATUS=OR","EQY_CONSOLIDATED=Y","SCALING_FORMAT=MLN","Sort=A","Dates=H","DateFormat=P","Fill=—","Direction=H","UseDPDF=Y")</f>
        <v>#NAME?</v>
      </c>
      <c r="CA382" s="3" t="e">
        <f ca="1">_xll.BDH($C$378,"BS_LT_BORROW","FQ4 2014","FQ4 2014","Currency=INR","Period=FQ","BEST_FPERIOD_OVERRIDE=FQ","FILING_STATUS=OR","EQY_CONSOLIDATED=Y","SCALING_FORMAT=MLN","Sort=A","Dates=H","DateFormat=P","Fill=—","Direction=H","UseDPDF=Y")</f>
        <v>#NAME?</v>
      </c>
      <c r="CB382" s="2" t="e">
        <f ca="1">_xll.BDH($C$378,"TOT_DEBT_TO_EBITDA","FQ4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382" s="2" t="e">
        <f ca="1">_xll.BDH($C$378,"NET_DEBT_TO_EBITDA","FQ4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382" s="2" t="e">
        <f ca="1">_xll.BDH($C$378,"TOTAL_DEBT_TO_EBIT","FQ4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382" s="2" t="e">
        <f ca="1">_xll.BDH($C$378,"NET_DEBT_TO_EBIT","FQ4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382" s="2" t="e">
        <f ca="1">_xll.BDH($C$378,"EBITDA_TO_INTEREST_EXPN","FQ4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382" s="2" t="e">
        <f ca="1">_xll.BDH($C$378,"COM_EQY_TO_TOT_ASSET","FQ4 2014","FQ4 2014","Currency=INR","Period=FQ","BEST_FPERIOD_OVERRIDE=FQ","FILING_STATUS=OR","EQY_CONSOLIDATED=Y","Sort=A","Dates=H","DateFormat=P","Fill=—","Direction=H","UseDPDF=Y")</f>
        <v>#NAME?</v>
      </c>
      <c r="CH382" s="2" t="e">
        <f ca="1">_xll.BDH($C$378,"LT_DEBT_TO_TOT_EQY","FQ4 2014","FQ4 2014","Currency=INR","Period=FQ","BEST_FPERIOD_OVERRIDE=FQ","FILING_STATUS=OR","EQY_CONSOLIDATED=Y","Sort=A","Dates=H","DateFormat=P","Fill=—","Direction=H","UseDPDF=Y")</f>
        <v>#NAME?</v>
      </c>
      <c r="CI382" s="2" t="e">
        <f ca="1">_xll.BDH($C$378,"LT_DEBT_TO_TOT_CAP","FQ4 2014","FQ4 2014","Currency=INR","Period=FQ","BEST_FPERIOD_OVERRIDE=FQ","FILING_STATUS=OR","EQY_CONSOLIDATED=Y","Sort=A","Dates=H","DateFormat=P","Fill=—","Direction=H","UseDPDF=Y")</f>
        <v>#NAME?</v>
      </c>
      <c r="CJ382" s="2" t="e">
        <f ca="1">_xll.BDH($C$378,"LT_DEBT_TO_TOT_ASSET","FQ4 2014","FQ4 2014","Currency=INR","Period=FQ","BEST_FPERIOD_OVERRIDE=FQ","FILING_STATUS=OR","EQY_CONSOLIDATED=Y","Sort=A","Dates=H","DateFormat=P","Fill=—","Direction=H","UseDPDF=Y")</f>
        <v>#NAME?</v>
      </c>
      <c r="CK382" s="2" t="e">
        <f ca="1">_xll.BDH($C$378,"TOT_DEBT_TO_TOT_EQY","FQ4 2014","FQ4 2014","Currency=INR","Period=FQ","BEST_FPERIOD_OVERRIDE=FQ","FILING_STATUS=OR","EQY_CONSOLIDATED=Y","Sort=A","Dates=H","DateFormat=P","Fill=—","Direction=H","UseDPDF=Y")</f>
        <v>#NAME?</v>
      </c>
      <c r="CL382" s="2" t="e">
        <f ca="1">_xll.BDH($C$378,"TOT_DEBT_TO_TOT_CAP","FQ4 2014","FQ4 2014","Currency=INR","Period=FQ","BEST_FPERIOD_OVERRIDE=FQ","FILING_STATUS=OR","EQY_CONSOLIDATED=Y","Sort=A","Dates=H","DateFormat=P","Fill=—","Direction=H","UseDPDF=Y")</f>
        <v>#NAME?</v>
      </c>
      <c r="CM382" s="2" t="e">
        <f ca="1">_xll.BDH($C$378,"TOT_DEBT_TO_TOT_ASSET","FQ4 2014","FQ4 2014","Currency=INR","Period=FQ","BEST_FPERIOD_OVERRIDE=FQ","FILING_STATUS=OR","EQY_CONSOLIDATED=Y","Sort=A","Dates=H","DateFormat=P","Fill=—","Direction=H","UseDPDF=Y")</f>
        <v>#NAME?</v>
      </c>
      <c r="CN382" s="2" t="e">
        <f ca="1">_xll.BDH($C$378,"NET_DEBT_TO_SHRHLDR_EQTY","FQ4 2014","FQ4 2014","Currency=INR","Period=FQ","BEST_FPERIOD_OVERRIDE=FQ","FILING_STATUS=OR","EQY_CONSOLIDATED=Y","Sort=A","Dates=H","DateFormat=P","Fill=—","Direction=H","UseDPDF=Y")</f>
        <v>#NAME?</v>
      </c>
      <c r="CO382" s="2" t="e">
        <f ca="1">_xll.BDH($C$378,"NET_DEBT_%_CAPITAL","FQ4 2014","FQ4 2014","Currency=INR","Period=FQ","BEST_FPERIOD_OVERRIDE=FQ","FILING_STATUS=OR","EQY_CONSOLIDATED=Y","Sort=A","Dates=H","DateFormat=P","Fill=—","Direction=H","UseDPDF=Y")</f>
        <v>#NAME?</v>
      </c>
      <c r="CP382" s="3" t="e">
        <f ca="1">_xll.BDH($C$378,"EBITDA","FQ4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382" s="3" t="e">
        <f ca="1">_xll.BDH($C$378,"EBITDA_AFTER_CAPEX","FQ4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382" s="3" t="e">
        <f ca="1">_xll.BDH($C$378,"IS_OPER_INC","FQ4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382" s="2" t="e">
        <f ca="1">_xll.BDH($C$378,"CASH_RATIO","FQ4 2014","FQ4 2014","Currency=INR","Period=FQ","BEST_FPERIOD_OVERRIDE=FQ","FILING_STATUS=OR","EQY_CONSOLIDATED=Y","Sort=A","Dates=H","DateFormat=P","Fill=—","Direction=H","UseDPDF=Y")</f>
        <v>#NAME?</v>
      </c>
      <c r="CT382" s="2" t="e">
        <f ca="1">_xll.BDH($C$378,"CUR_RATIO","FQ4 2014","FQ4 2014","Currency=INR","Period=FQ","BEST_FPERIOD_OVERRIDE=FQ","FILING_STATUS=OR","EQY_CONSOLIDATED=Y","Sort=A","Dates=H","DateFormat=P","Fill=—","Direction=H","UseDPDF=Y")</f>
        <v>#NAME?</v>
      </c>
      <c r="CU382" s="2" t="e">
        <f ca="1">_xll.BDH($C$378,"QUICK_RATIO","FQ4 2014","FQ4 2014","Currency=INR","Period=FQ","BEST_FPERIOD_OVERRIDE=FQ","FILING_STATUS=OR","EQY_CONSOLIDATED=Y","Sort=A","Dates=H","DateFormat=P","Fill=—","Direction=H","UseDPDF=Y")</f>
        <v>#NAME?</v>
      </c>
      <c r="CV382" s="2" t="e">
        <f ca="1">_xll.BDH($C$378,"ALTMAN_Z_SCORE","FQ4 2014","FQ4 2014","Currency=INR","Period=FQ","BEST_FPERIOD_OVERRIDE=FQ","FILING_STATUS=OR","EQY_CONSOLIDATED=Y","Sort=A","Dates=H","DateFormat=P","Fill=—","Direction=H","UseDPDF=Y")</f>
        <v>#NAME?</v>
      </c>
      <c r="CW382" s="4" t="e">
        <f ca="1">_xll.BDH($C$378,"ACCT_RCV_TURN","FQ4 2014","FQ4 2014","Currency=INR","Period=FQ","BEST_FPERIOD_OVERRIDE=FQ","FILING_STATUS=OR","EQY_CONSOLIDATED=Y","FA_ADJUSTED=GAAP","Sort=A","Dates=H","DateFormat=P","Fill=—","Direction=H","UseDPDF=Y")</f>
        <v>#NAME?</v>
      </c>
      <c r="CX382" s="2" t="e">
        <f ca="1">_xll.BDH($C$378,"ACCT_RCV_DAYS","FQ4 2014","FQ4 2014","Currency=INR","Period=FQ","BEST_FPERIOD_OVERRIDE=FQ","FILING_STATUS=OR","EQY_CONSOLIDATED=Y","FA_ADJUSTED=GAAP","Sort=A","Dates=H","DateFormat=P","Fill=—","Direction=H","UseDPDF=Y")</f>
        <v>#NAME?</v>
      </c>
      <c r="CY382" s="4" t="e">
        <f ca="1">_xll.BDH($C$378,"INVENT_TURN","FQ4 2014","FQ4 2014","Currency=INR","Period=FQ","BEST_FPERIOD_OVERRIDE=FQ","FILING_STATUS=OR","EQY_CONSOLIDATED=Y","FA_ADJUSTED=GAAP","Sort=A","Dates=H","DateFormat=P","Fill=—","Direction=H","UseDPDF=Y")</f>
        <v>#NAME?</v>
      </c>
      <c r="CZ382" s="2" t="e">
        <f ca="1">_xll.BDH($C$378,"INVENT_DAYS","FQ4 2014","FQ4 2014","Currency=INR","Period=FQ","BEST_FPERIOD_OVERRIDE=FQ","FILING_STATUS=OR","EQY_CONSOLIDATED=Y","FA_ADJUSTED=GAAP","Sort=A","Dates=H","DateFormat=P","Fill=—","Direction=H","UseDPDF=Y")</f>
        <v>#NAME?</v>
      </c>
      <c r="DA382" s="4" t="e">
        <f ca="1">_xll.BDH($C$378,"ACCOUNTS_PAYABLE_TURNOVER","FQ4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382" s="2" t="e">
        <f ca="1">_xll.BDH($C$378,"ACCOUNTS_PAYABLE_TURNOVER_DAYS","FQ4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382" s="4" t="e">
        <f ca="1">_xll.BDH($C$378,"CASH_CONVERSION_CYCLE","FQ4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382" s="4" t="e">
        <f ca="1">_xll.BDH($C$378,"INV_TO_CASH_DAYS","FQ4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382" s="5" t="e">
        <f ca="1">_xll.BDH($C$378,"BS_INVENTORIES","FQ4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382" s="3" t="e">
        <f ca="1">_xll.BDH($C$378,"INVTRY_RAW_MATERIALS","FQ4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382" s="3" t="e">
        <f ca="1">_xll.BDH($C$378,"INVTRY_IN_PROGRESS","FQ4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382" s="3" t="e">
        <f ca="1">_xll.BDH($C$378,"INVTRY_FINISHED_GOODS","FQ4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382" s="3" t="e">
        <f ca="1">_xll.BDH($C$378,"BS_OTHER_INV","FQ4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383" spans="1:113" x14ac:dyDescent="0.3">
      <c r="A383" s="6"/>
      <c r="B383" s="6"/>
      <c r="C383" s="6"/>
      <c r="D383" s="6" t="s">
        <v>82</v>
      </c>
      <c r="E383" t="s">
        <v>77</v>
      </c>
      <c r="F383" t="e">
        <f ca="1">_xll.BDH($C$378,"RETURN_COM_EQY","FY 2015","FY 2015","Currency=INR","Period=FY","BEST_FPERIOD_OVERRIDE=FY","FILING_STATUS=OR","EQY_CONSOLIDATED=Y","FA_ADJUSTED=GAAP","Sort=A","Dates=H","DateFormat=P","Fill=—","Direction=H","UseDPDF=Y")</f>
        <v>#NAME?</v>
      </c>
      <c r="G383" t="e">
        <f ca="1">_xll.BDH($C$378,"RETURN_ON_ASSET","FY 2015","FY 2015","Currency=INR","Period=FY","BEST_FPERIOD_OVERRIDE=FY","FILING_STATUS=OR","EQY_CONSOLIDATED=Y","FA_ADJUSTED=GAAP","Sort=A","Dates=H","DateFormat=P","Fill=—","Direction=H","UseDPDF=Y")</f>
        <v>#NAME?</v>
      </c>
      <c r="H383" t="e">
        <f ca="1">_xll.BDH($C$378,"RETURN_ON_CAP","FY 2015","FY 2015","Currency=INR","Period=FY","BEST_FPERIOD_OVERRIDE=FY","FILING_STATUS=OR","EQY_CONSOLIDATED=Y","FA_ADJUSTED=GAAP","Sort=A","Dates=H","DateFormat=P","Fill=—","Direction=H","UseDPDF=Y")</f>
        <v>#NAME?</v>
      </c>
      <c r="I383" t="e">
        <f ca="1">_xll.BDH($C$378,"RETURN_ON_INV_CAPITAL","FY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383" t="e">
        <f ca="1">_xll.BDH($C$378,"EBITDA_TO_REVENUE","FY 2015","FY 2015","Currency=INR","Period=FY","BEST_FPERIOD_OVERRIDE=FY","FILING_STATUS=OR","EQY_CONSOLIDATED=Y","FA_ADJUSTED=GAAP","Sort=A","Dates=H","DateFormat=P","Fill=—","Direction=H","UseDPDF=Y")</f>
        <v>#NAME?</v>
      </c>
      <c r="K383" t="e">
        <f ca="1">_xll.BDH($C$378,"OPER_MARGIN","FY 2015","FY 2015","Currency=INR","Period=FY","BEST_FPERIOD_OVERRIDE=FY","FILING_STATUS=OR","EQY_CONSOLIDATED=Y","FA_ADJUSTED=GAAP","Sort=A","Dates=H","DateFormat=P","Fill=—","Direction=H","UseDPDF=Y")</f>
        <v>#NAME?</v>
      </c>
      <c r="L383" t="e">
        <f ca="1">_xll.BDH($C$378,"INCREMENTAL_OPERATING_MARGIN","FY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383" t="e">
        <f ca="1">_xll.BDH($C$378,"PRETAX_INC_TO_NET_SALES","FY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383" t="e">
        <f ca="1">_xll.BDH($C$378,"INC_BEF_XO_ITEMS_TO_NET_SALES","FY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383" t="e">
        <f ca="1">_xll.BDH($C$378,"PROF_MARGIN","FY 2015","FY 2015","Currency=INR","Period=FY","BEST_FPERIOD_OVERRIDE=FY","FILING_STATUS=OR","EQY_CONSOLIDATED=Y","FA_ADJUSTED=GAAP","Sort=A","Dates=H","DateFormat=P","Fill=—","Direction=H","UseDPDF=Y")</f>
        <v>#NAME?</v>
      </c>
      <c r="P383" t="e">
        <f ca="1">_xll.BDH($C$378,"NET_INCOME_TO_COMMON_MARGIN","FY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383" t="e">
        <f ca="1">_xll.BDH($C$378,"EFF_TAX_RATE","FY 2015","FY 2015","Currency=INR","Period=FY","BEST_FPERIOD_OVERRIDE=FY","FILING_STATUS=OR","EQY_CONSOLIDATED=Y","FA_ADJUSTED=GAAP","Sort=A","Dates=H","DateFormat=P","Fill=—","Direction=H","UseDPDF=Y")</f>
        <v>#NAME?</v>
      </c>
      <c r="R383" t="e">
        <f ca="1">_xll.BDH($C$378,"DVD_PAYOUT_RATIO","FY 2015","FY 2015","Currency=INR","Period=FY","BEST_FPERIOD_OVERRIDE=FY","FILING_STATUS=OR","EQY_CONSOLIDATED=Y","FA_ADJUSTED=GAAP","Sort=A","Dates=H","DateFormat=P","Fill=—","Direction=H","UseDPDF=Y")</f>
        <v>#NAME?</v>
      </c>
      <c r="S383" t="e">
        <f ca="1">_xll.BDH($C$378,"SUSTAIN_GROWTH_RT","FY 2015","FY 2015","Currency=INR","Period=FY","BEST_FPERIOD_OVERRIDE=FY","FILING_STATUS=OR","EQY_CONSOLIDATED=Y","FA_ADJUSTED=GAAP","Sort=A","Dates=H","DateFormat=P","Fill=—","Direction=H","UseDPDF=Y")</f>
        <v>#NAME?</v>
      </c>
      <c r="T383" s="2" t="e">
        <f ca="1">_xll.BDH($C$378,"SALES_GROWTH","FY 2015","FY 2015","Currency=INR","Period=FY","BEST_FPERIOD_OVERRIDE=FY","FILING_STATUS=OR","EQY_CONSOLIDATED=Y","FA_ADJUSTED=GAAP","Sort=A","Dates=H","DateFormat=P","Fill=—","Direction=H","UseDPDF=Y")</f>
        <v>#NAME?</v>
      </c>
      <c r="U383" s="2" t="e">
        <f ca="1">_xll.BDH($C$378,"EBITDA_GROWTH","FY 2015","FY 2015","Currency=INR","Period=FY","BEST_FPERIOD_OVERRIDE=FY","FILING_STATUS=OR","EQY_CONSOLIDATED=Y","FA_ADJUSTED=GAAP","Sort=A","Dates=H","DateFormat=P","Fill=—","Direction=H","UseDPDF=Y")</f>
        <v>#NAME?</v>
      </c>
      <c r="V383" s="2" t="e">
        <f ca="1">_xll.BDH($C$378,"OPER_INC_GROWTH","FY 2015","FY 2015","Currency=INR","Period=FY","BEST_FPERIOD_OVERRIDE=FY","FILING_STATUS=OR","EQY_CONSOLIDATED=Y","FA_ADJUSTED=GAAP","Sort=A","Dates=H","DateFormat=P","Fill=—","Direction=H","UseDPDF=Y")</f>
        <v>#NAME?</v>
      </c>
      <c r="W383" s="2" t="e">
        <f ca="1">_xll.BDH($C$378,"EARN_FOR_COM_GROWTH","FY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383" s="2" t="e">
        <f ca="1">_xll.BDH($C$378,"DILUTED_EPS_AFT_XO_ITEMS_GROWTH","FY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383" s="2" t="e">
        <f ca="1">_xll.BDH($C$378,"DIVIDEND_PER_SHARE_1_YEAR_GROWTH","FY 2015","FY 2015","Currency=INR","Period=FY","BEST_FPERIOD_OVERRIDE=FY","FILING_STATUS=OR","EQY_CONSOLIDATED=Y","Sort=A","Dates=H","DateFormat=P","Fill=—","Direction=H","UseDPDF=Y")</f>
        <v>#NAME?</v>
      </c>
      <c r="Z383" s="2" t="e">
        <f ca="1">_xll.BDH($C$378,"ACCOUNTS_RECEIVABLE_GROWTH","FY 2015","FY 2015","Currency=INR","Period=FY","BEST_FPERIOD_OVERRIDE=FY","FILING_STATUS=OR","EQY_CONSOLIDATED=Y","Sort=A","Dates=H","DateFormat=P","Fill=—","Direction=H","UseDPDF=Y")</f>
        <v>#NAME?</v>
      </c>
      <c r="AA383" s="2" t="e">
        <f ca="1">_xll.BDH($C$378,"INVENTORY_GROWTH","FY 2015","FY 2015","Currency=INR","Period=FY","BEST_FPERIOD_OVERRIDE=FY","FILING_STATUS=OR","EQY_CONSOLIDATED=Y","Sort=A","Dates=H","DateFormat=P","Fill=—","Direction=H","UseDPDF=Y")</f>
        <v>#NAME?</v>
      </c>
      <c r="AB383" s="2" t="e">
        <f ca="1">_xll.BDH($C$378,"NET_FIXED_ASSETS_1_YEAR_GROWTH","FY 2015","FY 2015","Currency=INR","Period=FY","BEST_FPERIOD_OVERRIDE=FY","FILING_STATUS=OR","EQY_CONSOLIDATED=Y","Sort=A","Dates=H","DateFormat=P","Fill=—","Direction=H","UseDPDF=Y")</f>
        <v>#NAME?</v>
      </c>
      <c r="AC383" s="2" t="e">
        <f ca="1">_xll.BDH($C$378,"ASSET_GROWTH","FY 2015","FY 2015","Currency=INR","Period=FY","BEST_FPERIOD_OVERRIDE=FY","FILING_STATUS=OR","EQY_CONSOLIDATED=Y","Sort=A","Dates=H","DateFormat=P","Fill=—","Direction=H","UseDPDF=Y")</f>
        <v>#NAME?</v>
      </c>
      <c r="AD383" s="2" t="e">
        <f ca="1">_xll.BDH($C$378,"MODIFIED_WORK_CAP_GROWTH","FY 2015","FY 2015","Currency=INR","Period=FY","BEST_FPERIOD_OVERRIDE=FY","FILING_STATUS=OR","EQY_CONSOLIDATED=Y","Sort=A","Dates=H","DateFormat=P","Fill=—","Direction=H","UseDPDF=Y")</f>
        <v>#NAME?</v>
      </c>
      <c r="AE383" s="2" t="e">
        <f ca="1">_xll.BDH($C$378,"WORK_CAP_GROWTH","FY 2015","FY 2015","Currency=INR","Period=FY","BEST_FPERIOD_OVERRIDE=FY","FILING_STATUS=OR","EQY_CONSOLIDATED=Y","Sort=A","Dates=H","DateFormat=P","Fill=—","Direction=H","UseDPDF=Y")</f>
        <v>#NAME?</v>
      </c>
      <c r="AF383" s="2" t="e">
        <f ca="1">_xll.BDH($C$378,"ACCOUNTS_PAYABLE_GROWTH_1YR","FY 2015","FY 2015","Currency=INR","Period=FY","BEST_FPERIOD_OVERRIDE=FY","FILING_STATUS=OR","EQY_CONSOLIDATED=Y","Sort=A","Dates=H","DateFormat=P","Fill=—","Direction=H","UseDPDF=Y")</f>
        <v>#NAME?</v>
      </c>
      <c r="AG383" s="2" t="e">
        <f ca="1">_xll.BDH($C$378,"SHORT_TERM_DEBT_1_YEAR_GROWTH","FY 2015","FY 2015","Currency=INR","Period=FY","BEST_FPERIOD_OVERRIDE=FY","FILING_STATUS=OR","EQY_CONSOLIDATED=Y","Sort=A","Dates=H","DateFormat=P","Fill=—","Direction=H","UseDPDF=Y")</f>
        <v>#NAME?</v>
      </c>
      <c r="AH383" s="2" t="e">
        <f ca="1">_xll.BDH($C$378,"TOTAL_DEBT_1_YEAR_GROWTH","FY 2015","FY 2015","Currency=INR","Period=FY","BEST_FPERIOD_OVERRIDE=FY","FILING_STATUS=OR","EQY_CONSOLIDATED=Y","Sort=A","Dates=H","DateFormat=P","Fill=—","Direction=H","UseDPDF=Y")</f>
        <v>#NAME?</v>
      </c>
      <c r="AI383" s="2" t="e">
        <f ca="1">_xll.BDH($C$378,"TOTAL_EQUITY_1_YEAR_GROWTH","FY 2015","FY 2015","Currency=INR","Period=FY","BEST_FPERIOD_OVERRIDE=FY","FILING_STATUS=OR","EQY_CONSOLIDATED=Y","Sort=A","Dates=H","DateFormat=P","Fill=—","Direction=H","UseDPDF=Y")</f>
        <v>#NAME?</v>
      </c>
      <c r="AJ383" s="2" t="e">
        <f ca="1">_xll.BDH($C$378,"GROWTH_IN_CAP","FY 2015","FY 2015","Currency=INR","Period=FY","BEST_FPERIOD_OVERRIDE=FY","FILING_STATUS=OR","EQY_CONSOLIDATED=Y","Sort=A","Dates=H","DateFormat=P","Fill=—","Direction=H","UseDPDF=Y")</f>
        <v>#NAME?</v>
      </c>
      <c r="AK383" s="2" t="e">
        <f ca="1">_xll.BDH($C$378,"BVPS_GROWTH","FY 2015","FY 2015","Currency=INR","Period=FY","BEST_FPERIOD_OVERRIDE=FY","FILING_STATUS=OR","EQY_CONSOLIDATED=Y","Sort=A","Dates=H","DateFormat=P","Fill=—","Direction=H","UseDPDF=Y")</f>
        <v>#NAME?</v>
      </c>
      <c r="AL383" s="2" t="e">
        <f ca="1">_xll.BDH($C$378,"CASH_FLOW_GROWTH","FY 2015","FY 2015","Currency=INR","Period=FY","BEST_FPERIOD_OVERRIDE=FY","FILING_STATUS=OR","EQY_CONSOLIDATED=Y","Sort=A","Dates=H","DateFormat=P","Fill=—","Direction=H","UseDPDF=Y")</f>
        <v>#NAME?</v>
      </c>
      <c r="AM383" s="2" t="e">
        <f ca="1">_xll.BDH($C$378,"GEO_GROW_NET_SALES","FY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383" s="2" t="e">
        <f ca="1">_xll.BDH($C$378,"GEO_GROW_EBITDA","FY 2015","FY 2015","Currency=INR","Period=FY","BEST_FPERIOD_OVERRIDE=FY","FILING_STATUS=OR","EQY_CONSOLIDATED=Y","FA_ADJUSTED=GAAP","Sort=A","Dates=H","DateFormat=P","Fill=—","Direction=H","UseDPDF=Y")</f>
        <v>#NAME?</v>
      </c>
      <c r="AO383" s="2" t="e">
        <f ca="1">_xll.BDH($C$378,"GEO_GROW_OPER_INC","FY 2015","FY 2015","Currency=INR","Period=FY","BEST_FPERIOD_OVERRIDE=FY","FILING_STATUS=OR","EQY_CONSOLIDATED=Y","FA_ADJUSTED=GAAP","Sort=A","Dates=H","DateFormat=P","Fill=—","Direction=H","UseDPDF=Y")</f>
        <v>#NAME?</v>
      </c>
      <c r="AP383" s="2" t="e">
        <f ca="1">_xll.BDH($C$378,"NET_INCOME_TO_COMMON_5_YR_GROWTH","FY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383" s="2" t="e">
        <f ca="1">_xll.BDH($C$378,"5Y_GEO_GROWTH_DILUTED_EPS","FY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383" s="2" t="e">
        <f ca="1">_xll.BDH($C$378,"GEO_GROW_DVD_PER_SH","FY 2015","FY 2015","Currency=INR","Period=FY","BEST_FPERIOD_OVERRIDE=FY","FILING_STATUS=OR","EQY_CONSOLIDATED=Y","Sort=A","Dates=H","DateFormat=P","Fill=—","Direction=H","UseDPDF=Y")</f>
        <v>#NAME?</v>
      </c>
      <c r="AS383" s="2" t="e">
        <f ca="1">_xll.BDH($C$378,"ACCOUNTS_RECEIVABLE_5_YR_GROWTH","FY 2015","FY 2015","Currency=INR","Period=FY","BEST_FPERIOD_OVERRIDE=FY","FILING_STATUS=OR","EQY_CONSOLIDATED=Y","Sort=A","Dates=H","DateFormat=P","Fill=—","Direction=H","UseDPDF=Y")</f>
        <v>#NAME?</v>
      </c>
      <c r="AT383" s="2" t="e">
        <f ca="1">_xll.BDH($C$378,"INVENTORY_5_YEAR_GROWTH","FY 2015","FY 2015","Currency=INR","Period=FY","BEST_FPERIOD_OVERRIDE=FY","FILING_STATUS=OR","EQY_CONSOLIDATED=Y","Sort=A","Dates=H","DateFormat=P","Fill=—","Direction=H","UseDPDF=Y")</f>
        <v>#NAME?</v>
      </c>
      <c r="AU383" s="2" t="e">
        <f ca="1">_xll.BDH($C$378,"NET_FIXED_ASSETS_5_YEAR_GROWTH","FY 2015","FY 2015","Currency=INR","Period=FY","BEST_FPERIOD_OVERRIDE=FY","FILING_STATUS=OR","EQY_CONSOLIDATED=Y","Sort=A","Dates=H","DateFormat=P","Fill=—","Direction=H","UseDPDF=Y")</f>
        <v>#NAME?</v>
      </c>
      <c r="AV383" s="2" t="e">
        <f ca="1">_xll.BDH($C$378,"GEO_GROW_TOT_ASSET","FY 2015","FY 2015","Currency=INR","Period=FY","BEST_FPERIOD_OVERRIDE=FY","FILING_STATUS=OR","EQY_CONSOLIDATED=Y","Sort=A","Dates=H","DateFormat=P","Fill=—","Direction=H","UseDPDF=Y")</f>
        <v>#NAME?</v>
      </c>
      <c r="AW383" s="2" t="e">
        <f ca="1">_xll.BDH($C$378,"MODIFIED_WORKING_CPTL_5YR_GRWTH","FY 2015","FY 2015","Currency=INR","Period=FY","BEST_FPERIOD_OVERRIDE=FY","FILING_STATUS=OR","EQY_CONSOLIDATED=Y","Sort=A","Dates=H","DateFormat=P","Fill=—","Direction=H","UseDPDF=Y")</f>
        <v>#NAME?</v>
      </c>
      <c r="AX383" s="2" t="e">
        <f ca="1">_xll.BDH($C$378,"WORKING_CAPITAL_5_YEAR_GROWTH","FY 2015","FY 2015","Currency=INR","Period=FY","BEST_FPERIOD_OVERRIDE=FY","FILING_STATUS=OR","EQY_CONSOLIDATED=Y","Sort=A","Dates=H","DateFormat=P","Fill=—","Direction=H","UseDPDF=Y")</f>
        <v>#NAME?</v>
      </c>
      <c r="AY383" s="2" t="e">
        <f ca="1">_xll.BDH($C$378,"ACCOUNTS_PAYABLE_5_YEAR_GROWTH","FY 2015","FY 2015","Currency=INR","Period=FY","BEST_FPERIOD_OVERRIDE=FY","FILING_STATUS=OR","EQY_CONSOLIDATED=Y","Sort=A","Dates=H","DateFormat=P","Fill=—","Direction=H","UseDPDF=Y")</f>
        <v>#NAME?</v>
      </c>
      <c r="AZ383" s="2" t="e">
        <f ca="1">_xll.BDH($C$378,"SHORT_TERM_DEBT_5_YEAR_GROWTH","FY 2015","FY 2015","Currency=INR","Period=FY","BEST_FPERIOD_OVERRIDE=FY","FILING_STATUS=OR","EQY_CONSOLIDATED=Y","Sort=A","Dates=H","DateFormat=P","Fill=—","Direction=H","UseDPDF=Y")</f>
        <v>#NAME?</v>
      </c>
      <c r="BA383" s="2" t="e">
        <f ca="1">_xll.BDH($C$378,"TOTAL_DEBT_5_YEAR_GROWTH","FY 2015","FY 2015","Currency=INR","Period=FY","BEST_FPERIOD_OVERRIDE=FY","FILING_STATUS=OR","EQY_CONSOLIDATED=Y","Sort=A","Dates=H","DateFormat=P","Fill=—","Direction=H","UseDPDF=Y")</f>
        <v>#NAME?</v>
      </c>
      <c r="BB383" s="2" t="e">
        <f ca="1">_xll.BDH($C$378,"GEO_GROW_TOT_SHRHLDR_EQY","FY 2015","FY 2015","Currency=INR","Period=FY","BEST_FPERIOD_OVERRIDE=FY","FILING_STATUS=OR","EQY_CONSOLIDATED=Y","Sort=A","Dates=H","DateFormat=P","Fill=—","Direction=H","UseDPDF=Y")</f>
        <v>#NAME?</v>
      </c>
      <c r="BC383" s="2" t="e">
        <f ca="1">_xll.BDH($C$378,"TOTAL_CAPITAL_5_YEAR_GROWTH","FY 2015","FY 2015","Currency=INR","Period=FY","BEST_FPERIOD_OVERRIDE=FY","FILING_STATUS=OR","EQY_CONSOLIDATED=Y","Sort=A","Dates=H","DateFormat=P","Fill=—","Direction=H","UseDPDF=Y")</f>
        <v>#NAME?</v>
      </c>
      <c r="BD383" s="2" t="e">
        <f ca="1">_xll.BDH($C$378,"GEO_GROW_BOOK_VAL","FY 2015","FY 2015","Currency=INR","Period=FY","BEST_FPERIOD_OVERRIDE=FY","FILING_STATUS=OR","EQY_CONSOLIDATED=Y","Sort=A","Dates=H","DateFormat=P","Fill=—","Direction=H","UseDPDF=Y")</f>
        <v>#NAME?</v>
      </c>
      <c r="BE383" s="2" t="e">
        <f ca="1">_xll.BDH($C$378,"GEO_GROW_CASH_OPER_ACT","FY 2015","FY 2015","Currency=INR","Period=FY","BEST_FPERIOD_OVERRIDE=FY","FILING_STATUS=OR","EQY_CONSOLIDATED=Y","Sort=A","Dates=H","DateFormat=P","Fill=—","Direction=H","UseDPDF=Y")</f>
        <v>#NAME?</v>
      </c>
      <c r="BF383" s="2" t="e">
        <f ca="1">_xll.BDH($C$378,"REVENUE_SEQUENTIAL_GROWTH","FY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383" s="2" t="e">
        <f ca="1">_xll.BDH($C$378,"EBITDA_SEQUENTIAL_GROWTH","FY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383" s="2" t="e">
        <f ca="1">_xll.BDH($C$378,"OPERATING_INCOME_SEQ_GROWTH","FY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383" s="2" t="e">
        <f ca="1">_xll.BDH($C$378,"NET_INCOME_TO_COMMON_SEQ_GROWTH","FY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383" s="2" t="e">
        <f ca="1">_xll.BDH($C$378,"EPS_DILUTED_SEQUENTIAL_GROWTH","FY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383" s="2" t="e">
        <f ca="1">_xll.BDH($C$378,"DPS_SEQUENTIAL_GROWTH","FY 2015","FY 2015","Currency=INR","Period=FY","BEST_FPERIOD_OVERRIDE=FY","FILING_STATUS=OR","EQY_CONSOLIDATED=Y","Sort=A","Dates=H","DateFormat=P","Fill=—","Direction=H","UseDPDF=Y")</f>
        <v>#NAME?</v>
      </c>
      <c r="BL383" s="2" t="e">
        <f ca="1">_xll.BDH($C$378,"ACCOUNTS_RECEIVABLE_SEQ_GROWTH","FY 2015","FY 2015","Currency=INR","Period=FY","BEST_FPERIOD_OVERRIDE=FY","FILING_STATUS=OR","EQY_CONSOLIDATED=Y","Sort=A","Dates=H","DateFormat=P","Fill=—","Direction=H","UseDPDF=Y")</f>
        <v>#NAME?</v>
      </c>
      <c r="BM383" s="2" t="e">
        <f ca="1">_xll.BDH($C$378,"INVENTORY_SEQUENTIAL_GROWTH","FY 2015","FY 2015","Currency=INR","Period=FY","BEST_FPERIOD_OVERRIDE=FY","FILING_STATUS=OR","EQY_CONSOLIDATED=Y","Sort=A","Dates=H","DateFormat=P","Fill=—","Direction=H","UseDPDF=Y")</f>
        <v>#NAME?</v>
      </c>
      <c r="BN383" s="2" t="e">
        <f ca="1">_xll.BDH($C$378,"FIXED_ASSETS_SEQUENTIAL_GROWTH","FY 2015","FY 2015","Currency=INR","Period=FY","BEST_FPERIOD_OVERRIDE=FY","FILING_STATUS=OR","EQY_CONSOLIDATED=Y","Sort=A","Dates=H","DateFormat=P","Fill=—","Direction=H","UseDPDF=Y")</f>
        <v>#NAME?</v>
      </c>
      <c r="BO383" s="2" t="e">
        <f ca="1">_xll.BDH($C$378,"TOTAL_ASSETS_SEQUENTIAL_GROWTH","FY 2015","FY 2015","Currency=INR","Period=FY","BEST_FPERIOD_OVERRIDE=FY","FILING_STATUS=OR","EQY_CONSOLIDATED=Y","Sort=A","Dates=H","DateFormat=P","Fill=—","Direction=H","UseDPDF=Y")</f>
        <v>#NAME?</v>
      </c>
      <c r="BP383" s="2" t="e">
        <f ca="1">_xll.BDH($C$378,"MODIFIED_WORKING_CPTL_SEQ_GRWTH","FY 2015","FY 2015","Currency=INR","Period=FY","BEST_FPERIOD_OVERRIDE=FY","FILING_STATUS=OR","EQY_CONSOLIDATED=Y","Sort=A","Dates=H","DateFormat=P","Fill=—","Direction=H","UseDPDF=Y")</f>
        <v>#NAME?</v>
      </c>
      <c r="BQ383" s="2" t="e">
        <f ca="1">_xll.BDH($C$378,"WORKING_CAPITAL_SEQ_GROWTH","FY 2015","FY 2015","Currency=INR","Period=FY","BEST_FPERIOD_OVERRIDE=FY","FILING_STATUS=OR","EQY_CONSOLIDATED=Y","Sort=A","Dates=H","DateFormat=P","Fill=—","Direction=H","UseDPDF=Y")</f>
        <v>#NAME?</v>
      </c>
      <c r="BR383" s="2" t="e">
        <f ca="1">_xll.BDH($C$378,"ACCOUNTS_PAYABLE_SEQ_GROWTH","FY 2015","FY 2015","Currency=INR","Period=FY","BEST_FPERIOD_OVERRIDE=FY","FILING_STATUS=OR","EQY_CONSOLIDATED=Y","Sort=A","Dates=H","DateFormat=P","Fill=—","Direction=H","UseDPDF=Y")</f>
        <v>#NAME?</v>
      </c>
      <c r="BS383" s="2" t="e">
        <f ca="1">_xll.BDH($C$378,"ST_DEBT_SEQUENTIAL_GROWTH","FY 2015","FY 2015","Currency=INR","Period=FY","BEST_FPERIOD_OVERRIDE=FY","FILING_STATUS=OR","EQY_CONSOLIDATED=Y","Sort=A","Dates=H","DateFormat=P","Fill=—","Direction=H","UseDPDF=Y")</f>
        <v>#NAME?</v>
      </c>
      <c r="BT383" s="2" t="e">
        <f ca="1">_xll.BDH($C$378,"TOTAL_DEBT_SEQUENTIAL_GROWTH","FY 2015","FY 2015","Currency=INR","Period=FY","BEST_FPERIOD_OVERRIDE=FY","FILING_STATUS=OR","EQY_CONSOLIDATED=Y","Sort=A","Dates=H","DateFormat=P","Fill=—","Direction=H","UseDPDF=Y")</f>
        <v>#NAME?</v>
      </c>
      <c r="BU383" s="2" t="e">
        <f ca="1">_xll.BDH($C$378,"TOTAL_EQUITY_SEQUENTIAL_GROWTH","FY 2015","FY 2015","Currency=INR","Period=FY","BEST_FPERIOD_OVERRIDE=FY","FILING_STATUS=OR","EQY_CONSOLIDATED=Y","Sort=A","Dates=H","DateFormat=P","Fill=—","Direction=H","UseDPDF=Y")</f>
        <v>#NAME?</v>
      </c>
      <c r="BV383" s="2" t="e">
        <f ca="1">_xll.BDH($C$378,"TOTAL_CAPITAL_SEQUENTIAL_GROWTH","FY 2015","FY 2015","Currency=INR","Period=FY","BEST_FPERIOD_OVERRIDE=FY","FILING_STATUS=OR","EQY_CONSOLIDATED=Y","Sort=A","Dates=H","DateFormat=P","Fill=—","Direction=H","UseDPDF=Y")</f>
        <v>#NAME?</v>
      </c>
      <c r="BW383" s="2" t="e">
        <f ca="1">_xll.BDH($C$378,"BPS_SEQUENTIAL_GROWTH","FY 2015","FY 2015","Currency=INR","Period=FY","BEST_FPERIOD_OVERRIDE=FY","FILING_STATUS=OR","EQY_CONSOLIDATED=Y","Sort=A","Dates=H","DateFormat=P","Fill=—","Direction=H","UseDPDF=Y")</f>
        <v>#NAME?</v>
      </c>
      <c r="BX383" s="2" t="e">
        <f ca="1">_xll.BDH($C$378,"CFO_SEQUENTIAL_GROWTH","FY 2015","FY 2015","Currency=INR","Period=FY","BEST_FPERIOD_OVERRIDE=FY","FILING_STATUS=OR","EQY_CONSOLIDATED=Y","Sort=A","Dates=H","DateFormat=P","Fill=—","Direction=H","UseDPDF=Y")</f>
        <v>#NAME?</v>
      </c>
      <c r="BY383" s="3" t="e">
        <f ca="1">_xll.BDH($C$378,"SHORT_AND_LONG_TERM_DEBT","FY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383" s="3" t="e">
        <f ca="1">_xll.BDH($C$378,"BS_ST_BORROW","FY 2015","FY 2015","Currency=INR","Period=FY","BEST_FPERIOD_OVERRIDE=FY","FILING_STATUS=OR","EQY_CONSOLIDATED=Y","SCALING_FORMAT=MLN","Sort=A","Dates=H","DateFormat=P","Fill=—","Direction=H","UseDPDF=Y")</f>
        <v>#NAME?</v>
      </c>
      <c r="CA383" s="3" t="e">
        <f ca="1">_xll.BDH($C$378,"BS_LT_BORROW","FY 2015","FY 2015","Currency=INR","Period=FY","BEST_FPERIOD_OVERRIDE=FY","FILING_STATUS=OR","EQY_CONSOLIDATED=Y","SCALING_FORMAT=MLN","Sort=A","Dates=H","DateFormat=P","Fill=—","Direction=H","UseDPDF=Y")</f>
        <v>#NAME?</v>
      </c>
      <c r="CB383" s="2" t="e">
        <f ca="1">_xll.BDH($C$378,"TOT_DEBT_TO_EBITDA","FY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383" s="2" t="e">
        <f ca="1">_xll.BDH($C$378,"NET_DEBT_TO_EBITDA","FY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383" s="2" t="e">
        <f ca="1">_xll.BDH($C$378,"TOTAL_DEBT_TO_EBIT","FY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383" s="2" t="e">
        <f ca="1">_xll.BDH($C$378,"NET_DEBT_TO_EBIT","FY 2015","FY 2015","Currency=INR","Period=FY","BEST_FPERIOD_OVERRIDE=FY","FILING_STATUS=OR","EQY_CONSOLIDATED=Y","FA_ADJUSTED=GAAP","Sort=A","Dates=H","DateFormat=P","Fill=—","Direction=H","UseDPDF=Y")</f>
        <v>#NAME?</v>
      </c>
      <c r="CF383" s="2" t="e">
        <f ca="1">_xll.BDH($C$378,"EBITDA_TO_INTEREST_EXPN","FY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383" s="2" t="e">
        <f ca="1">_xll.BDH($C$378,"COM_EQY_TO_TOT_ASSET","FY 2015","FY 2015","Currency=INR","Period=FY","BEST_FPERIOD_OVERRIDE=FY","FILING_STATUS=OR","EQY_CONSOLIDATED=Y","Sort=A","Dates=H","DateFormat=P","Fill=—","Direction=H","UseDPDF=Y")</f>
        <v>#NAME?</v>
      </c>
      <c r="CH383" s="2" t="e">
        <f ca="1">_xll.BDH($C$378,"LT_DEBT_TO_TOT_EQY","FY 2015","FY 2015","Currency=INR","Period=FY","BEST_FPERIOD_OVERRIDE=FY","FILING_STATUS=OR","EQY_CONSOLIDATED=Y","Sort=A","Dates=H","DateFormat=P","Fill=—","Direction=H","UseDPDF=Y")</f>
        <v>#NAME?</v>
      </c>
      <c r="CI383" s="2" t="e">
        <f ca="1">_xll.BDH($C$378,"LT_DEBT_TO_TOT_CAP","FY 2015","FY 2015","Currency=INR","Period=FY","BEST_FPERIOD_OVERRIDE=FY","FILING_STATUS=OR","EQY_CONSOLIDATED=Y","Sort=A","Dates=H","DateFormat=P","Fill=—","Direction=H","UseDPDF=Y")</f>
        <v>#NAME?</v>
      </c>
      <c r="CJ383" s="2" t="e">
        <f ca="1">_xll.BDH($C$378,"LT_DEBT_TO_TOT_ASSET","FY 2015","FY 2015","Currency=INR","Period=FY","BEST_FPERIOD_OVERRIDE=FY","FILING_STATUS=OR","EQY_CONSOLIDATED=Y","Sort=A","Dates=H","DateFormat=P","Fill=—","Direction=H","UseDPDF=Y")</f>
        <v>#NAME?</v>
      </c>
      <c r="CK383" s="2" t="e">
        <f ca="1">_xll.BDH($C$378,"TOT_DEBT_TO_TOT_EQY","FY 2015","FY 2015","Currency=INR","Period=FY","BEST_FPERIOD_OVERRIDE=FY","FILING_STATUS=OR","EQY_CONSOLIDATED=Y","Sort=A","Dates=H","DateFormat=P","Fill=—","Direction=H","UseDPDF=Y")</f>
        <v>#NAME?</v>
      </c>
      <c r="CL383" s="2" t="e">
        <f ca="1">_xll.BDH($C$378,"TOT_DEBT_TO_TOT_CAP","FY 2015","FY 2015","Currency=INR","Period=FY","BEST_FPERIOD_OVERRIDE=FY","FILING_STATUS=OR","EQY_CONSOLIDATED=Y","Sort=A","Dates=H","DateFormat=P","Fill=—","Direction=H","UseDPDF=Y")</f>
        <v>#NAME?</v>
      </c>
      <c r="CM383" s="2" t="e">
        <f ca="1">_xll.BDH($C$378,"TOT_DEBT_TO_TOT_ASSET","FY 2015","FY 2015","Currency=INR","Period=FY","BEST_FPERIOD_OVERRIDE=FY","FILING_STATUS=OR","EQY_CONSOLIDATED=Y","Sort=A","Dates=H","DateFormat=P","Fill=—","Direction=H","UseDPDF=Y")</f>
        <v>#NAME?</v>
      </c>
      <c r="CN383" s="2" t="e">
        <f ca="1">_xll.BDH($C$378,"NET_DEBT_TO_SHRHLDR_EQTY","FY 2015","FY 2015","Currency=INR","Period=FY","BEST_FPERIOD_OVERRIDE=FY","FILING_STATUS=OR","EQY_CONSOLIDATED=Y","Sort=A","Dates=H","DateFormat=P","Fill=—","Direction=H","UseDPDF=Y")</f>
        <v>#NAME?</v>
      </c>
      <c r="CO383" s="2" t="e">
        <f ca="1">_xll.BDH($C$378,"NET_DEBT_%_CAPITAL","FY 2015","FY 2015","Currency=INR","Period=FY","BEST_FPERIOD_OVERRIDE=FY","FILING_STATUS=OR","EQY_CONSOLIDATED=Y","Sort=A","Dates=H","DateFormat=P","Fill=—","Direction=H","UseDPDF=Y")</f>
        <v>#NAME?</v>
      </c>
      <c r="CP383" s="3" t="e">
        <f ca="1">_xll.BDH($C$378,"EBITDA","FY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383" s="3" t="e">
        <f ca="1">_xll.BDH($C$378,"EBITDA_AFTER_CAPEX","FY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383" s="3" t="e">
        <f ca="1">_xll.BDH($C$378,"IS_OPER_INC","FY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383" s="2" t="e">
        <f ca="1">_xll.BDH($C$378,"CASH_RATIO","FY 2015","FY 2015","Currency=INR","Period=FY","BEST_FPERIOD_OVERRIDE=FY","FILING_STATUS=OR","EQY_CONSOLIDATED=Y","Sort=A","Dates=H","DateFormat=P","Fill=—","Direction=H","UseDPDF=Y")</f>
        <v>#NAME?</v>
      </c>
      <c r="CT383" s="2" t="e">
        <f ca="1">_xll.BDH($C$378,"CUR_RATIO","FY 2015","FY 2015","Currency=INR","Period=FY","BEST_FPERIOD_OVERRIDE=FY","FILING_STATUS=OR","EQY_CONSOLIDATED=Y","Sort=A","Dates=H","DateFormat=P","Fill=—","Direction=H","UseDPDF=Y")</f>
        <v>#NAME?</v>
      </c>
      <c r="CU383" s="2" t="e">
        <f ca="1">_xll.BDH($C$378,"QUICK_RATIO","FY 2015","FY 2015","Currency=INR","Period=FY","BEST_FPERIOD_OVERRIDE=FY","FILING_STATUS=OR","EQY_CONSOLIDATED=Y","Sort=A","Dates=H","DateFormat=P","Fill=—","Direction=H","UseDPDF=Y")</f>
        <v>#NAME?</v>
      </c>
      <c r="CV383" s="2" t="e">
        <f ca="1">_xll.BDH($C$378,"ALTMAN_Z_SCORE","FY 2015","FY 2015","Currency=INR","Period=FY","BEST_FPERIOD_OVERRIDE=FY","FILING_STATUS=OR","EQY_CONSOLIDATED=Y","Sort=A","Dates=H","DateFormat=P","Fill=—","Direction=H","UseDPDF=Y")</f>
        <v>#NAME?</v>
      </c>
      <c r="CW383" s="4" t="e">
        <f ca="1">_xll.BDH($C$378,"ACCT_RCV_TURN","FY 2015","FY 2015","Currency=INR","Period=FY","BEST_FPERIOD_OVERRIDE=FY","FILING_STATUS=OR","EQY_CONSOLIDATED=Y","FA_ADJUSTED=GAAP","Sort=A","Dates=H","DateFormat=P","Fill=—","Direction=H","UseDPDF=Y")</f>
        <v>#NAME?</v>
      </c>
      <c r="CX383" s="2" t="e">
        <f ca="1">_xll.BDH($C$378,"ACCT_RCV_DAYS","FY 2015","FY 2015","Currency=INR","Period=FY","BEST_FPERIOD_OVERRIDE=FY","FILING_STATUS=OR","EQY_CONSOLIDATED=Y","FA_ADJUSTED=GAAP","Sort=A","Dates=H","DateFormat=P","Fill=—","Direction=H","UseDPDF=Y")</f>
        <v>#NAME?</v>
      </c>
      <c r="CY383" s="4" t="e">
        <f ca="1">_xll.BDH($C$378,"INVENT_TURN","FY 2015","FY 2015","Currency=INR","Period=FY","BEST_FPERIOD_OVERRIDE=FY","FILING_STATUS=OR","EQY_CONSOLIDATED=Y","FA_ADJUSTED=GAAP","Sort=A","Dates=H","DateFormat=P","Fill=—","Direction=H","UseDPDF=Y")</f>
        <v>#NAME?</v>
      </c>
      <c r="CZ383" s="2" t="e">
        <f ca="1">_xll.BDH($C$378,"INVENT_DAYS","FY 2015","FY 2015","Currency=INR","Period=FY","BEST_FPERIOD_OVERRIDE=FY","FILING_STATUS=OR","EQY_CONSOLIDATED=Y","FA_ADJUSTED=GAAP","Sort=A","Dates=H","DateFormat=P","Fill=—","Direction=H","UseDPDF=Y")</f>
        <v>#NAME?</v>
      </c>
      <c r="DA383" s="4" t="e">
        <f ca="1">_xll.BDH($C$378,"ACCOUNTS_PAYABLE_TURNOVER","FY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383" s="2" t="e">
        <f ca="1">_xll.BDH($C$378,"ACCOUNTS_PAYABLE_TURNOVER_DAYS","FY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383" s="4" t="e">
        <f ca="1">_xll.BDH($C$378,"CASH_CONVERSION_CYCLE","FY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383" s="4" t="e">
        <f ca="1">_xll.BDH($C$378,"INV_TO_CASH_DAYS","FY 2015","FY 2015","Currency=INR","Period=FY","BEST_FPERIOD_OVERRIDE=FY","FILING_STATUS=OR","EQY_CONSOLIDATED=Y","FA_ADJUSTED=GAAP","Sort=A","Dates=H","DateFormat=P","Fill=—","Direction=H","UseDPDF=Y")</f>
        <v>#NAME?</v>
      </c>
      <c r="DE383" s="5" t="e">
        <f ca="1">_xll.BDH($C$378,"BS_INVENTORIES","FY 2015","FY 2015","Currency=INR","Period=FY","BEST_FPERIOD_OVERRIDE=FY","FILING_STATUS=OR","EQY_CONSOLIDATED=Y","SCALING_FORMAT=MLN","Sort=A","Dates=H","DateFormat=P","Fill=—","Direction=H","UseDPDF=Y")</f>
        <v>#NAME?</v>
      </c>
      <c r="DF383" s="3" t="e">
        <f ca="1">_xll.BDH($C$378,"INVTRY_RAW_MATERIALS","FY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383" s="3" t="e">
        <f ca="1">_xll.BDH($C$378,"INVTRY_IN_PROGRESS","FY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383" s="3" t="e">
        <f ca="1">_xll.BDH($C$378,"INVTRY_FINISHED_GOODS","FY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383" s="3" t="e">
        <f ca="1">_xll.BDH($C$378,"BS_OTHER_INV","FY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384" spans="1:113" x14ac:dyDescent="0.3">
      <c r="A384" s="6"/>
      <c r="B384" s="6"/>
      <c r="C384" s="6"/>
      <c r="D384" s="6"/>
      <c r="E384" t="s">
        <v>78</v>
      </c>
      <c r="F384" t="e">
        <f ca="1">_xll.BDH($C$378,"RETURN_COM_EQY","FQ1 2015","FQ1 2015","Currency=INR","Period=FQ","BEST_FPERIOD_OVERRIDE=FQ","FILING_STATUS=OR","EQY_CONSOLIDATED=Y","FA_ADJUSTED=GAAP","Sort=A","Dates=H","DateFormat=P","Fill=—","Direction=H","UseDPDF=Y")</f>
        <v>#NAME?</v>
      </c>
      <c r="G384" t="e">
        <f ca="1">_xll.BDH($C$378,"RETURN_ON_ASSET","FQ1 2015","FQ1 2015","Currency=INR","Period=FQ","BEST_FPERIOD_OVERRIDE=FQ","FILING_STATUS=OR","EQY_CONSOLIDATED=Y","FA_ADJUSTED=GAAP","Sort=A","Dates=H","DateFormat=P","Fill=—","Direction=H","UseDPDF=Y")</f>
        <v>#NAME?</v>
      </c>
      <c r="H384" t="e">
        <f ca="1">_xll.BDH($C$378,"RETURN_ON_CAP","FQ1 2015","FQ1 2015","Currency=INR","Period=FQ","BEST_FPERIOD_OVERRIDE=FQ","FILING_STATUS=OR","EQY_CONSOLIDATED=Y","FA_ADJUSTED=GAAP","Sort=A","Dates=H","DateFormat=P","Fill=—","Direction=H","UseDPDF=Y")</f>
        <v>#NAME?</v>
      </c>
      <c r="I384" t="e">
        <f ca="1">_xll.BDH($C$378,"RETURN_ON_INV_CAPITAL","FQ1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384" t="e">
        <f ca="1">_xll.BDH($C$378,"EBITDA_TO_REVENUE","FQ1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384" t="e">
        <f ca="1">_xll.BDH($C$378,"OPER_MARGIN","FQ1 2015","FQ1 2015","Currency=INR","Period=FQ","BEST_FPERIOD_OVERRIDE=FQ","FILING_STATUS=OR","EQY_CONSOLIDATED=Y","FA_ADJUSTED=GAAP","Sort=A","Dates=H","DateFormat=P","Fill=—","Direction=H","UseDPDF=Y")</f>
        <v>#NAME?</v>
      </c>
      <c r="L384" t="e">
        <f ca="1">_xll.BDH($C$378,"INCREMENTAL_OPERATING_MARGIN","FQ1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384" t="e">
        <f ca="1">_xll.BDH($C$378,"PRETAX_INC_TO_NET_SALES","FQ1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384" t="e">
        <f ca="1">_xll.BDH($C$378,"INC_BEF_XO_ITEMS_TO_NET_SALES","FQ1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384" t="e">
        <f ca="1">_xll.BDH($C$378,"PROF_MARGIN","FQ1 2015","FQ1 2015","Currency=INR","Period=FQ","BEST_FPERIOD_OVERRIDE=FQ","FILING_STATUS=OR","EQY_CONSOLIDATED=Y","FA_ADJUSTED=GAAP","Sort=A","Dates=H","DateFormat=P","Fill=—","Direction=H","UseDPDF=Y")</f>
        <v>#NAME?</v>
      </c>
      <c r="P384" t="e">
        <f ca="1">_xll.BDH($C$378,"NET_INCOME_TO_COMMON_MARGIN","FQ1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384" t="e">
        <f ca="1">_xll.BDH($C$378,"EFF_TAX_RATE","FQ1 2015","FQ1 2015","Currency=INR","Period=FQ","BEST_FPERIOD_OVERRIDE=FQ","FILING_STATUS=OR","EQY_CONSOLIDATED=Y","FA_ADJUSTED=GAAP","Sort=A","Dates=H","DateFormat=P","Fill=—","Direction=H","UseDPDF=Y")</f>
        <v>#NAME?</v>
      </c>
      <c r="R384" t="e">
        <f ca="1">_xll.BDH($C$378,"DVD_PAYOUT_RATIO","FQ1 2015","FQ1 2015","Currency=INR","Period=FQ","BEST_FPERIOD_OVERRIDE=FQ","FILING_STATUS=OR","EQY_CONSOLIDATED=Y","FA_ADJUSTED=GAAP","Sort=A","Dates=H","DateFormat=P","Fill=—","Direction=H","UseDPDF=Y")</f>
        <v>#NAME?</v>
      </c>
      <c r="S384" t="e">
        <f ca="1">_xll.BDH($C$378,"SUSTAIN_GROWTH_RT","FQ1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384" s="2" t="e">
        <f ca="1">_xll.BDH($C$378,"SALES_GROWTH","FQ1 2015","FQ1 2015","Currency=INR","Period=FQ","BEST_FPERIOD_OVERRIDE=FQ","FILING_STATUS=OR","EQY_CONSOLIDATED=Y","FA_ADJUSTED=GAAP","Sort=A","Dates=H","DateFormat=P","Fill=—","Direction=H","UseDPDF=Y")</f>
        <v>#NAME?</v>
      </c>
      <c r="U384" s="2" t="e">
        <f ca="1">_xll.BDH($C$378,"EBITDA_GROWTH","FQ1 2015","FQ1 2015","Currency=INR","Period=FQ","BEST_FPERIOD_OVERRIDE=FQ","FILING_STATUS=OR","EQY_CONSOLIDATED=Y","FA_ADJUSTED=GAAP","Sort=A","Dates=H","DateFormat=P","Fill=—","Direction=H","UseDPDF=Y")</f>
        <v>#NAME?</v>
      </c>
      <c r="V384" s="2" t="e">
        <f ca="1">_xll.BDH($C$378,"OPER_INC_GROWTH","FQ1 2015","FQ1 2015","Currency=INR","Period=FQ","BEST_FPERIOD_OVERRIDE=FQ","FILING_STATUS=OR","EQY_CONSOLIDATED=Y","FA_ADJUSTED=GAAP","Sort=A","Dates=H","DateFormat=P","Fill=—","Direction=H","UseDPDF=Y")</f>
        <v>#NAME?</v>
      </c>
      <c r="W384" s="2" t="e">
        <f ca="1">_xll.BDH($C$378,"EARN_FOR_COM_GROWTH","FQ1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384" s="2" t="e">
        <f ca="1">_xll.BDH($C$378,"DILUTED_EPS_AFT_XO_ITEMS_GROWTH","FQ1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384" s="2" t="e">
        <f ca="1">_xll.BDH($C$378,"DIVIDEND_PER_SHARE_1_YEAR_GROWTH","FQ1 2015","FQ1 2015","Currency=INR","Period=FQ","BEST_FPERIOD_OVERRIDE=FQ","FILING_STATUS=OR","EQY_CONSOLIDATED=Y","Sort=A","Dates=H","DateFormat=P","Fill=—","Direction=H","UseDPDF=Y")</f>
        <v>#NAME?</v>
      </c>
      <c r="Z384" s="2" t="e">
        <f ca="1">_xll.BDH($C$378,"ACCOUNTS_RECEIVABLE_GROWTH","FQ1 2015","FQ1 2015","Currency=INR","Period=FQ","BEST_FPERIOD_OVERRIDE=FQ","FILING_STATUS=OR","EQY_CONSOLIDATED=Y","Sort=A","Dates=H","DateFormat=P","Fill=—","Direction=H","UseDPDF=Y")</f>
        <v>#NAME?</v>
      </c>
      <c r="AA384" s="2" t="e">
        <f ca="1">_xll.BDH($C$378,"INVENTORY_GROWTH","FQ1 2015","FQ1 2015","Currency=INR","Period=FQ","BEST_FPERIOD_OVERRIDE=FQ","FILING_STATUS=OR","EQY_CONSOLIDATED=Y","Sort=A","Dates=H","DateFormat=P","Fill=—","Direction=H","UseDPDF=Y")</f>
        <v>#NAME?</v>
      </c>
      <c r="AB384" s="2" t="e">
        <f ca="1">_xll.BDH($C$378,"NET_FIXED_ASSETS_1_YEAR_GROWTH","FQ1 2015","FQ1 2015","Currency=INR","Period=FQ","BEST_FPERIOD_OVERRIDE=FQ","FILING_STATUS=OR","EQY_CONSOLIDATED=Y","Sort=A","Dates=H","DateFormat=P","Fill=—","Direction=H","UseDPDF=Y")</f>
        <v>#NAME?</v>
      </c>
      <c r="AC384" s="2" t="e">
        <f ca="1">_xll.BDH($C$378,"ASSET_GROWTH","FQ1 2015","FQ1 2015","Currency=INR","Period=FQ","BEST_FPERIOD_OVERRIDE=FQ","FILING_STATUS=OR","EQY_CONSOLIDATED=Y","Sort=A","Dates=H","DateFormat=P","Fill=—","Direction=H","UseDPDF=Y")</f>
        <v>#NAME?</v>
      </c>
      <c r="AD384" s="2" t="e">
        <f ca="1">_xll.BDH($C$378,"MODIFIED_WORK_CAP_GROWTH","FQ1 2015","FQ1 2015","Currency=INR","Period=FQ","BEST_FPERIOD_OVERRIDE=FQ","FILING_STATUS=OR","EQY_CONSOLIDATED=Y","Sort=A","Dates=H","DateFormat=P","Fill=—","Direction=H","UseDPDF=Y")</f>
        <v>#NAME?</v>
      </c>
      <c r="AE384" s="2" t="e">
        <f ca="1">_xll.BDH($C$378,"WORK_CAP_GROWTH","FQ1 2015","FQ1 2015","Currency=INR","Period=FQ","BEST_FPERIOD_OVERRIDE=FQ","FILING_STATUS=OR","EQY_CONSOLIDATED=Y","Sort=A","Dates=H","DateFormat=P","Fill=—","Direction=H","UseDPDF=Y")</f>
        <v>#NAME?</v>
      </c>
      <c r="AF384" s="2" t="e">
        <f ca="1">_xll.BDH($C$378,"ACCOUNTS_PAYABLE_GROWTH_1YR","FQ1 2015","FQ1 2015","Currency=INR","Period=FQ","BEST_FPERIOD_OVERRIDE=FQ","FILING_STATUS=OR","EQY_CONSOLIDATED=Y","Sort=A","Dates=H","DateFormat=P","Fill=—","Direction=H","UseDPDF=Y")</f>
        <v>#NAME?</v>
      </c>
      <c r="AG384" s="2" t="e">
        <f ca="1">_xll.BDH($C$378,"SHORT_TERM_DEBT_1_YEAR_GROWTH","FQ1 2015","FQ1 2015","Currency=INR","Period=FQ","BEST_FPERIOD_OVERRIDE=FQ","FILING_STATUS=OR","EQY_CONSOLIDATED=Y","Sort=A","Dates=H","DateFormat=P","Fill=—","Direction=H","UseDPDF=Y")</f>
        <v>#NAME?</v>
      </c>
      <c r="AH384" s="2" t="e">
        <f ca="1">_xll.BDH($C$378,"TOTAL_DEBT_1_YEAR_GROWTH","FQ1 2015","FQ1 2015","Currency=INR","Period=FQ","BEST_FPERIOD_OVERRIDE=FQ","FILING_STATUS=OR","EQY_CONSOLIDATED=Y","Sort=A","Dates=H","DateFormat=P","Fill=—","Direction=H","UseDPDF=Y")</f>
        <v>#NAME?</v>
      </c>
      <c r="AI384" s="2" t="e">
        <f ca="1">_xll.BDH($C$378,"TOTAL_EQUITY_1_YEAR_GROWTH","FQ1 2015","FQ1 2015","Currency=INR","Period=FQ","BEST_FPERIOD_OVERRIDE=FQ","FILING_STATUS=OR","EQY_CONSOLIDATED=Y","Sort=A","Dates=H","DateFormat=P","Fill=—","Direction=H","UseDPDF=Y")</f>
        <v>#NAME?</v>
      </c>
      <c r="AJ384" s="2" t="e">
        <f ca="1">_xll.BDH($C$378,"GROWTH_IN_CAP","FQ1 2015","FQ1 2015","Currency=INR","Period=FQ","BEST_FPERIOD_OVERRIDE=FQ","FILING_STATUS=OR","EQY_CONSOLIDATED=Y","Sort=A","Dates=H","DateFormat=P","Fill=—","Direction=H","UseDPDF=Y")</f>
        <v>#NAME?</v>
      </c>
      <c r="AK384" s="2" t="e">
        <f ca="1">_xll.BDH($C$378,"BVPS_GROWTH","FQ1 2015","FQ1 2015","Currency=INR","Period=FQ","BEST_FPERIOD_OVERRIDE=FQ","FILING_STATUS=OR","EQY_CONSOLIDATED=Y","Sort=A","Dates=H","DateFormat=P","Fill=—","Direction=H","UseDPDF=Y")</f>
        <v>#NAME?</v>
      </c>
      <c r="AL384" s="2" t="e">
        <f ca="1">_xll.BDH($C$378,"CASH_FLOW_GROWTH","FQ1 2015","FQ1 2015","Currency=INR","Period=FQ","BEST_FPERIOD_OVERRIDE=FQ","FILING_STATUS=OR","EQY_CONSOLIDATED=Y","Sort=A","Dates=H","DateFormat=P","Fill=—","Direction=H","UseDPDF=Y")</f>
        <v>#NAME?</v>
      </c>
      <c r="AM384" s="2" t="e">
        <f ca="1">_xll.BDH($C$378,"GEO_GROW_NET_SALES","FQ1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384" s="2" t="e">
        <f ca="1">_xll.BDH($C$378,"GEO_GROW_EBITDA","FQ1 2015","FQ1 2015","Currency=INR","Period=FQ","BEST_FPERIOD_OVERRIDE=FQ","FILING_STATUS=OR","EQY_CONSOLIDATED=Y","FA_ADJUSTED=GAAP","Sort=A","Dates=H","DateFormat=P","Fill=—","Direction=H","UseDPDF=Y")</f>
        <v>#NAME?</v>
      </c>
      <c r="AO384" s="2" t="e">
        <f ca="1">_xll.BDH($C$378,"GEO_GROW_OPER_INC","FQ1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384" s="2" t="e">
        <f ca="1">_xll.BDH($C$378,"NET_INCOME_TO_COMMON_5_YR_GROWTH","FQ1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384" s="2" t="e">
        <f ca="1">_xll.BDH($C$378,"5Y_GEO_GROWTH_DILUTED_EPS","FQ1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384" s="2" t="e">
        <f ca="1">_xll.BDH($C$378,"GEO_GROW_DVD_PER_SH","FQ1 2015","FQ1 2015","Currency=INR","Period=FQ","BEST_FPERIOD_OVERRIDE=FQ","FILING_STATUS=OR","EQY_CONSOLIDATED=Y","Sort=A","Dates=H","DateFormat=P","Fill=—","Direction=H","UseDPDF=Y")</f>
        <v>#NAME?</v>
      </c>
      <c r="AS384" s="2" t="e">
        <f ca="1">_xll.BDH($C$378,"ACCOUNTS_RECEIVABLE_5_YR_GROWTH","FQ1 2015","FQ1 2015","Currency=INR","Period=FQ","BEST_FPERIOD_OVERRIDE=FQ","FILING_STATUS=OR","EQY_CONSOLIDATED=Y","Sort=A","Dates=H","DateFormat=P","Fill=—","Direction=H","UseDPDF=Y")</f>
        <v>#NAME?</v>
      </c>
      <c r="AT384" s="2" t="e">
        <f ca="1">_xll.BDH($C$378,"INVENTORY_5_YEAR_GROWTH","FQ1 2015","FQ1 2015","Currency=INR","Period=FQ","BEST_FPERIOD_OVERRIDE=FQ","FILING_STATUS=OR","EQY_CONSOLIDATED=Y","Sort=A","Dates=H","DateFormat=P","Fill=—","Direction=H","UseDPDF=Y")</f>
        <v>#NAME?</v>
      </c>
      <c r="AU384" s="2" t="e">
        <f ca="1">_xll.BDH($C$378,"NET_FIXED_ASSETS_5_YEAR_GROWTH","FQ1 2015","FQ1 2015","Currency=INR","Period=FQ","BEST_FPERIOD_OVERRIDE=FQ","FILING_STATUS=OR","EQY_CONSOLIDATED=Y","Sort=A","Dates=H","DateFormat=P","Fill=—","Direction=H","UseDPDF=Y")</f>
        <v>#NAME?</v>
      </c>
      <c r="AV384" s="2" t="e">
        <f ca="1">_xll.BDH($C$378,"GEO_GROW_TOT_ASSET","FQ1 2015","FQ1 2015","Currency=INR","Period=FQ","BEST_FPERIOD_OVERRIDE=FQ","FILING_STATUS=OR","EQY_CONSOLIDATED=Y","Sort=A","Dates=H","DateFormat=P","Fill=—","Direction=H","UseDPDF=Y")</f>
        <v>#NAME?</v>
      </c>
      <c r="AW384" s="2" t="e">
        <f ca="1">_xll.BDH($C$378,"MODIFIED_WORKING_CPTL_5YR_GRWTH","FQ1 2015","FQ1 2015","Currency=INR","Period=FQ","BEST_FPERIOD_OVERRIDE=FQ","FILING_STATUS=OR","EQY_CONSOLIDATED=Y","Sort=A","Dates=H","DateFormat=P","Fill=—","Direction=H","UseDPDF=Y")</f>
        <v>#NAME?</v>
      </c>
      <c r="AX384" s="2" t="e">
        <f ca="1">_xll.BDH($C$378,"WORKING_CAPITAL_5_YEAR_GROWTH","FQ1 2015","FQ1 2015","Currency=INR","Period=FQ","BEST_FPERIOD_OVERRIDE=FQ","FILING_STATUS=OR","EQY_CONSOLIDATED=Y","Sort=A","Dates=H","DateFormat=P","Fill=—","Direction=H","UseDPDF=Y")</f>
        <v>#NAME?</v>
      </c>
      <c r="AY384" s="2" t="e">
        <f ca="1">_xll.BDH($C$378,"ACCOUNTS_PAYABLE_5_YEAR_GROWTH","FQ1 2015","FQ1 2015","Currency=INR","Period=FQ","BEST_FPERIOD_OVERRIDE=FQ","FILING_STATUS=OR","EQY_CONSOLIDATED=Y","Sort=A","Dates=H","DateFormat=P","Fill=—","Direction=H","UseDPDF=Y")</f>
        <v>#NAME?</v>
      </c>
      <c r="AZ384" s="2" t="e">
        <f ca="1">_xll.BDH($C$378,"SHORT_TERM_DEBT_5_YEAR_GROWTH","FQ1 2015","FQ1 2015","Currency=INR","Period=FQ","BEST_FPERIOD_OVERRIDE=FQ","FILING_STATUS=OR","EQY_CONSOLIDATED=Y","Sort=A","Dates=H","DateFormat=P","Fill=—","Direction=H","UseDPDF=Y")</f>
        <v>#NAME?</v>
      </c>
      <c r="BA384" s="2" t="e">
        <f ca="1">_xll.BDH($C$378,"TOTAL_DEBT_5_YEAR_GROWTH","FQ1 2015","FQ1 2015","Currency=INR","Period=FQ","BEST_FPERIOD_OVERRIDE=FQ","FILING_STATUS=OR","EQY_CONSOLIDATED=Y","Sort=A","Dates=H","DateFormat=P","Fill=—","Direction=H","UseDPDF=Y")</f>
        <v>#NAME?</v>
      </c>
      <c r="BB384" s="2" t="e">
        <f ca="1">_xll.BDH($C$378,"GEO_GROW_TOT_SHRHLDR_EQY","FQ1 2015","FQ1 2015","Currency=INR","Period=FQ","BEST_FPERIOD_OVERRIDE=FQ","FILING_STATUS=OR","EQY_CONSOLIDATED=Y","Sort=A","Dates=H","DateFormat=P","Fill=—","Direction=H","UseDPDF=Y")</f>
        <v>#NAME?</v>
      </c>
      <c r="BC384" s="2" t="e">
        <f ca="1">_xll.BDH($C$378,"TOTAL_CAPITAL_5_YEAR_GROWTH","FQ1 2015","FQ1 2015","Currency=INR","Period=FQ","BEST_FPERIOD_OVERRIDE=FQ","FILING_STATUS=OR","EQY_CONSOLIDATED=Y","Sort=A","Dates=H","DateFormat=P","Fill=—","Direction=H","UseDPDF=Y")</f>
        <v>#NAME?</v>
      </c>
      <c r="BD384" s="2" t="e">
        <f ca="1">_xll.BDH($C$378,"GEO_GROW_BOOK_VAL","FQ1 2015","FQ1 2015","Currency=INR","Period=FQ","BEST_FPERIOD_OVERRIDE=FQ","FILING_STATUS=OR","EQY_CONSOLIDATED=Y","Sort=A","Dates=H","DateFormat=P","Fill=—","Direction=H","UseDPDF=Y")</f>
        <v>#NAME?</v>
      </c>
      <c r="BE384" s="2" t="e">
        <f ca="1">_xll.BDH($C$378,"GEO_GROW_CASH_OPER_ACT","FQ1 2015","FQ1 2015","Currency=INR","Period=FQ","BEST_FPERIOD_OVERRIDE=FQ","FILING_STATUS=OR","EQY_CONSOLIDATED=Y","Sort=A","Dates=H","DateFormat=P","Fill=—","Direction=H","UseDPDF=Y")</f>
        <v>#NAME?</v>
      </c>
      <c r="BF384" s="2" t="e">
        <f ca="1">_xll.BDH($C$378,"REVENUE_SEQUENTIAL_GROWTH","FQ1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384" s="2" t="e">
        <f ca="1">_xll.BDH($C$378,"EBITDA_SEQUENTIAL_GROWTH","FQ1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384" s="2" t="e">
        <f ca="1">_xll.BDH($C$378,"OPERATING_INCOME_SEQ_GROWTH","FQ1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384" s="2" t="e">
        <f ca="1">_xll.BDH($C$378,"NET_INCOME_TO_COMMON_SEQ_GROWTH","FQ1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384" s="2" t="e">
        <f ca="1">_xll.BDH($C$378,"EPS_DILUTED_SEQUENTIAL_GROWTH","FQ1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384" s="2" t="e">
        <f ca="1">_xll.BDH($C$378,"DPS_SEQUENTIAL_GROWTH","FQ1 2015","FQ1 2015","Currency=INR","Period=FQ","BEST_FPERIOD_OVERRIDE=FQ","FILING_STATUS=OR","EQY_CONSOLIDATED=Y","Sort=A","Dates=H","DateFormat=P","Fill=—","Direction=H","UseDPDF=Y")</f>
        <v>#NAME?</v>
      </c>
      <c r="BL384" s="2" t="e">
        <f ca="1">_xll.BDH($C$378,"ACCOUNTS_RECEIVABLE_SEQ_GROWTH","FQ1 2015","FQ1 2015","Currency=INR","Period=FQ","BEST_FPERIOD_OVERRIDE=FQ","FILING_STATUS=OR","EQY_CONSOLIDATED=Y","Sort=A","Dates=H","DateFormat=P","Fill=—","Direction=H","UseDPDF=Y")</f>
        <v>#NAME?</v>
      </c>
      <c r="BM384" s="2" t="e">
        <f ca="1">_xll.BDH($C$378,"INVENTORY_SEQUENTIAL_GROWTH","FQ1 2015","FQ1 2015","Currency=INR","Period=FQ","BEST_FPERIOD_OVERRIDE=FQ","FILING_STATUS=OR","EQY_CONSOLIDATED=Y","Sort=A","Dates=H","DateFormat=P","Fill=—","Direction=H","UseDPDF=Y")</f>
        <v>#NAME?</v>
      </c>
      <c r="BN384" s="2" t="e">
        <f ca="1">_xll.BDH($C$378,"FIXED_ASSETS_SEQUENTIAL_GROWTH","FQ1 2015","FQ1 2015","Currency=INR","Period=FQ","BEST_FPERIOD_OVERRIDE=FQ","FILING_STATUS=OR","EQY_CONSOLIDATED=Y","Sort=A","Dates=H","DateFormat=P","Fill=—","Direction=H","UseDPDF=Y")</f>
        <v>#NAME?</v>
      </c>
      <c r="BO384" s="2" t="e">
        <f ca="1">_xll.BDH($C$378,"TOTAL_ASSETS_SEQUENTIAL_GROWTH","FQ1 2015","FQ1 2015","Currency=INR","Period=FQ","BEST_FPERIOD_OVERRIDE=FQ","FILING_STATUS=OR","EQY_CONSOLIDATED=Y","Sort=A","Dates=H","DateFormat=P","Fill=—","Direction=H","UseDPDF=Y")</f>
        <v>#NAME?</v>
      </c>
      <c r="BP384" s="2" t="e">
        <f ca="1">_xll.BDH($C$378,"MODIFIED_WORKING_CPTL_SEQ_GRWTH","FQ1 2015","FQ1 2015","Currency=INR","Period=FQ","BEST_FPERIOD_OVERRIDE=FQ","FILING_STATUS=OR","EQY_CONSOLIDATED=Y","Sort=A","Dates=H","DateFormat=P","Fill=—","Direction=H","UseDPDF=Y")</f>
        <v>#NAME?</v>
      </c>
      <c r="BQ384" s="2" t="e">
        <f ca="1">_xll.BDH($C$378,"WORKING_CAPITAL_SEQ_GROWTH","FQ1 2015","FQ1 2015","Currency=INR","Period=FQ","BEST_FPERIOD_OVERRIDE=FQ","FILING_STATUS=OR","EQY_CONSOLIDATED=Y","Sort=A","Dates=H","DateFormat=P","Fill=—","Direction=H","UseDPDF=Y")</f>
        <v>#NAME?</v>
      </c>
      <c r="BR384" s="2" t="e">
        <f ca="1">_xll.BDH($C$378,"ACCOUNTS_PAYABLE_SEQ_GROWTH","FQ1 2015","FQ1 2015","Currency=INR","Period=FQ","BEST_FPERIOD_OVERRIDE=FQ","FILING_STATUS=OR","EQY_CONSOLIDATED=Y","Sort=A","Dates=H","DateFormat=P","Fill=—","Direction=H","UseDPDF=Y")</f>
        <v>#NAME?</v>
      </c>
      <c r="BS384" s="2" t="e">
        <f ca="1">_xll.BDH($C$378,"ST_DEBT_SEQUENTIAL_GROWTH","FQ1 2015","FQ1 2015","Currency=INR","Period=FQ","BEST_FPERIOD_OVERRIDE=FQ","FILING_STATUS=OR","EQY_CONSOLIDATED=Y","Sort=A","Dates=H","DateFormat=P","Fill=—","Direction=H","UseDPDF=Y")</f>
        <v>#NAME?</v>
      </c>
      <c r="BT384" s="2" t="e">
        <f ca="1">_xll.BDH($C$378,"TOTAL_DEBT_SEQUENTIAL_GROWTH","FQ1 2015","FQ1 2015","Currency=INR","Period=FQ","BEST_FPERIOD_OVERRIDE=FQ","FILING_STATUS=OR","EQY_CONSOLIDATED=Y","Sort=A","Dates=H","DateFormat=P","Fill=—","Direction=H","UseDPDF=Y")</f>
        <v>#NAME?</v>
      </c>
      <c r="BU384" s="2" t="e">
        <f ca="1">_xll.BDH($C$378,"TOTAL_EQUITY_SEQUENTIAL_GROWTH","FQ1 2015","FQ1 2015","Currency=INR","Period=FQ","BEST_FPERIOD_OVERRIDE=FQ","FILING_STATUS=OR","EQY_CONSOLIDATED=Y","Sort=A","Dates=H","DateFormat=P","Fill=—","Direction=H","UseDPDF=Y")</f>
        <v>#NAME?</v>
      </c>
      <c r="BV384" s="2" t="e">
        <f ca="1">_xll.BDH($C$378,"TOTAL_CAPITAL_SEQUENTIAL_GROWTH","FQ1 2015","FQ1 2015","Currency=INR","Period=FQ","BEST_FPERIOD_OVERRIDE=FQ","FILING_STATUS=OR","EQY_CONSOLIDATED=Y","Sort=A","Dates=H","DateFormat=P","Fill=—","Direction=H","UseDPDF=Y")</f>
        <v>#NAME?</v>
      </c>
      <c r="BW384" s="2" t="e">
        <f ca="1">_xll.BDH($C$378,"BPS_SEQUENTIAL_GROWTH","FQ1 2015","FQ1 2015","Currency=INR","Period=FQ","BEST_FPERIOD_OVERRIDE=FQ","FILING_STATUS=OR","EQY_CONSOLIDATED=Y","Sort=A","Dates=H","DateFormat=P","Fill=—","Direction=H","UseDPDF=Y")</f>
        <v>#NAME?</v>
      </c>
      <c r="BX384" s="2" t="e">
        <f ca="1">_xll.BDH($C$378,"CFO_SEQUENTIAL_GROWTH","FQ1 2015","FQ1 2015","Currency=INR","Period=FQ","BEST_FPERIOD_OVERRIDE=FQ","FILING_STATUS=OR","EQY_CONSOLIDATED=Y","Sort=A","Dates=H","DateFormat=P","Fill=—","Direction=H","UseDPDF=Y")</f>
        <v>#NAME?</v>
      </c>
      <c r="BY384" s="3" t="e">
        <f ca="1">_xll.BDH($C$378,"SHORT_AND_LONG_TERM_DEBT","FQ1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384" s="3" t="e">
        <f ca="1">_xll.BDH($C$378,"BS_ST_BORROW","FQ1 2015","FQ1 2015","Currency=INR","Period=FQ","BEST_FPERIOD_OVERRIDE=FQ","FILING_STATUS=OR","EQY_CONSOLIDATED=Y","SCALING_FORMAT=MLN","Sort=A","Dates=H","DateFormat=P","Fill=—","Direction=H","UseDPDF=Y")</f>
        <v>#NAME?</v>
      </c>
      <c r="CA384" s="3" t="e">
        <f ca="1">_xll.BDH($C$378,"BS_LT_BORROW","FQ1 2015","FQ1 2015","Currency=INR","Period=FQ","BEST_FPERIOD_OVERRIDE=FQ","FILING_STATUS=OR","EQY_CONSOLIDATED=Y","SCALING_FORMAT=MLN","Sort=A","Dates=H","DateFormat=P","Fill=—","Direction=H","UseDPDF=Y")</f>
        <v>#NAME?</v>
      </c>
      <c r="CB384" s="2" t="e">
        <f ca="1">_xll.BDH($C$378,"TOT_DEBT_TO_EBITDA","FQ1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384" s="2" t="e">
        <f ca="1">_xll.BDH($C$378,"NET_DEBT_TO_EBITDA","FQ1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384" s="2" t="e">
        <f ca="1">_xll.BDH($C$378,"TOTAL_DEBT_TO_EBIT","FQ1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384" s="2" t="e">
        <f ca="1">_xll.BDH($C$378,"NET_DEBT_TO_EBIT","FQ1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384" s="2" t="e">
        <f ca="1">_xll.BDH($C$378,"EBITDA_TO_INTEREST_EXPN","FQ1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384" s="2" t="e">
        <f ca="1">_xll.BDH($C$378,"COM_EQY_TO_TOT_ASSET","FQ1 2015","FQ1 2015","Currency=INR","Period=FQ","BEST_FPERIOD_OVERRIDE=FQ","FILING_STATUS=OR","EQY_CONSOLIDATED=Y","Sort=A","Dates=H","DateFormat=P","Fill=—","Direction=H","UseDPDF=Y")</f>
        <v>#NAME?</v>
      </c>
      <c r="CH384" s="2" t="e">
        <f ca="1">_xll.BDH($C$378,"LT_DEBT_TO_TOT_EQY","FQ1 2015","FQ1 2015","Currency=INR","Period=FQ","BEST_FPERIOD_OVERRIDE=FQ","FILING_STATUS=OR","EQY_CONSOLIDATED=Y","Sort=A","Dates=H","DateFormat=P","Fill=—","Direction=H","UseDPDF=Y")</f>
        <v>#NAME?</v>
      </c>
      <c r="CI384" s="2" t="e">
        <f ca="1">_xll.BDH($C$378,"LT_DEBT_TO_TOT_CAP","FQ1 2015","FQ1 2015","Currency=INR","Period=FQ","BEST_FPERIOD_OVERRIDE=FQ","FILING_STATUS=OR","EQY_CONSOLIDATED=Y","Sort=A","Dates=H","DateFormat=P","Fill=—","Direction=H","UseDPDF=Y")</f>
        <v>#NAME?</v>
      </c>
      <c r="CJ384" s="2" t="e">
        <f ca="1">_xll.BDH($C$378,"LT_DEBT_TO_TOT_ASSET","FQ1 2015","FQ1 2015","Currency=INR","Period=FQ","BEST_FPERIOD_OVERRIDE=FQ","FILING_STATUS=OR","EQY_CONSOLIDATED=Y","Sort=A","Dates=H","DateFormat=P","Fill=—","Direction=H","UseDPDF=Y")</f>
        <v>#NAME?</v>
      </c>
      <c r="CK384" s="2" t="e">
        <f ca="1">_xll.BDH($C$378,"TOT_DEBT_TO_TOT_EQY","FQ1 2015","FQ1 2015","Currency=INR","Period=FQ","BEST_FPERIOD_OVERRIDE=FQ","FILING_STATUS=OR","EQY_CONSOLIDATED=Y","Sort=A","Dates=H","DateFormat=P","Fill=—","Direction=H","UseDPDF=Y")</f>
        <v>#NAME?</v>
      </c>
      <c r="CL384" s="2" t="e">
        <f ca="1">_xll.BDH($C$378,"TOT_DEBT_TO_TOT_CAP","FQ1 2015","FQ1 2015","Currency=INR","Period=FQ","BEST_FPERIOD_OVERRIDE=FQ","FILING_STATUS=OR","EQY_CONSOLIDATED=Y","Sort=A","Dates=H","DateFormat=P","Fill=—","Direction=H","UseDPDF=Y")</f>
        <v>#NAME?</v>
      </c>
      <c r="CM384" s="2" t="e">
        <f ca="1">_xll.BDH($C$378,"TOT_DEBT_TO_TOT_ASSET","FQ1 2015","FQ1 2015","Currency=INR","Period=FQ","BEST_FPERIOD_OVERRIDE=FQ","FILING_STATUS=OR","EQY_CONSOLIDATED=Y","Sort=A","Dates=H","DateFormat=P","Fill=—","Direction=H","UseDPDF=Y")</f>
        <v>#NAME?</v>
      </c>
      <c r="CN384" s="2" t="e">
        <f ca="1">_xll.BDH($C$378,"NET_DEBT_TO_SHRHLDR_EQTY","FQ1 2015","FQ1 2015","Currency=INR","Period=FQ","BEST_FPERIOD_OVERRIDE=FQ","FILING_STATUS=OR","EQY_CONSOLIDATED=Y","Sort=A","Dates=H","DateFormat=P","Fill=—","Direction=H","UseDPDF=Y")</f>
        <v>#NAME?</v>
      </c>
      <c r="CO384" s="2" t="e">
        <f ca="1">_xll.BDH($C$378,"NET_DEBT_%_CAPITAL","FQ1 2015","FQ1 2015","Currency=INR","Period=FQ","BEST_FPERIOD_OVERRIDE=FQ","FILING_STATUS=OR","EQY_CONSOLIDATED=Y","Sort=A","Dates=H","DateFormat=P","Fill=—","Direction=H","UseDPDF=Y")</f>
        <v>#NAME?</v>
      </c>
      <c r="CP384" s="3" t="e">
        <f ca="1">_xll.BDH($C$378,"EBITDA","FQ1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384" s="3" t="e">
        <f ca="1">_xll.BDH($C$378,"EBITDA_AFTER_CAPEX","FQ1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384" s="3" t="e">
        <f ca="1">_xll.BDH($C$378,"IS_OPER_INC","FQ1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384" s="2" t="e">
        <f ca="1">_xll.BDH($C$378,"CASH_RATIO","FQ1 2015","FQ1 2015","Currency=INR","Period=FQ","BEST_FPERIOD_OVERRIDE=FQ","FILING_STATUS=OR","EQY_CONSOLIDATED=Y","Sort=A","Dates=H","DateFormat=P","Fill=—","Direction=H","UseDPDF=Y")</f>
        <v>#NAME?</v>
      </c>
      <c r="CT384" s="2" t="e">
        <f ca="1">_xll.BDH($C$378,"CUR_RATIO","FQ1 2015","FQ1 2015","Currency=INR","Period=FQ","BEST_FPERIOD_OVERRIDE=FQ","FILING_STATUS=OR","EQY_CONSOLIDATED=Y","Sort=A","Dates=H","DateFormat=P","Fill=—","Direction=H","UseDPDF=Y")</f>
        <v>#NAME?</v>
      </c>
      <c r="CU384" s="2" t="e">
        <f ca="1">_xll.BDH($C$378,"QUICK_RATIO","FQ1 2015","FQ1 2015","Currency=INR","Period=FQ","BEST_FPERIOD_OVERRIDE=FQ","FILING_STATUS=OR","EQY_CONSOLIDATED=Y","Sort=A","Dates=H","DateFormat=P","Fill=—","Direction=H","UseDPDF=Y")</f>
        <v>#NAME?</v>
      </c>
      <c r="CV384" s="2" t="e">
        <f ca="1">_xll.BDH($C$378,"ALTMAN_Z_SCORE","FQ1 2015","FQ1 2015","Currency=INR","Period=FQ","BEST_FPERIOD_OVERRIDE=FQ","FILING_STATUS=OR","EQY_CONSOLIDATED=Y","Sort=A","Dates=H","DateFormat=P","Fill=—","Direction=H","UseDPDF=Y")</f>
        <v>#NAME?</v>
      </c>
      <c r="CW384" s="4" t="e">
        <f ca="1">_xll.BDH($C$378,"ACCT_RCV_TURN","FQ1 2015","FQ1 2015","Currency=INR","Period=FQ","BEST_FPERIOD_OVERRIDE=FQ","FILING_STATUS=OR","EQY_CONSOLIDATED=Y","FA_ADJUSTED=GAAP","Sort=A","Dates=H","DateFormat=P","Fill=—","Direction=H","UseDPDF=Y")</f>
        <v>#NAME?</v>
      </c>
      <c r="CX384" s="2" t="e">
        <f ca="1">_xll.BDH($C$378,"ACCT_RCV_DAYS","FQ1 2015","FQ1 2015","Currency=INR","Period=FQ","BEST_FPERIOD_OVERRIDE=FQ","FILING_STATUS=OR","EQY_CONSOLIDATED=Y","FA_ADJUSTED=GAAP","Sort=A","Dates=H","DateFormat=P","Fill=—","Direction=H","UseDPDF=Y")</f>
        <v>#NAME?</v>
      </c>
      <c r="CY384" s="4" t="e">
        <f ca="1">_xll.BDH($C$378,"INVENT_TURN","FQ1 2015","FQ1 2015","Currency=INR","Period=FQ","BEST_FPERIOD_OVERRIDE=FQ","FILING_STATUS=OR","EQY_CONSOLIDATED=Y","FA_ADJUSTED=GAAP","Sort=A","Dates=H","DateFormat=P","Fill=—","Direction=H","UseDPDF=Y")</f>
        <v>#NAME?</v>
      </c>
      <c r="CZ384" s="2" t="e">
        <f ca="1">_xll.BDH($C$378,"INVENT_DAYS","FQ1 2015","FQ1 2015","Currency=INR","Period=FQ","BEST_FPERIOD_OVERRIDE=FQ","FILING_STATUS=OR","EQY_CONSOLIDATED=Y","FA_ADJUSTED=GAAP","Sort=A","Dates=H","DateFormat=P","Fill=—","Direction=H","UseDPDF=Y")</f>
        <v>#NAME?</v>
      </c>
      <c r="DA384" s="4" t="e">
        <f ca="1">_xll.BDH($C$378,"ACCOUNTS_PAYABLE_TURNOVER","FQ1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384" s="2" t="e">
        <f ca="1">_xll.BDH($C$378,"ACCOUNTS_PAYABLE_TURNOVER_DAYS","FQ1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384" s="4" t="e">
        <f ca="1">_xll.BDH($C$378,"CASH_CONVERSION_CYCLE","FQ1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384" s="4" t="e">
        <f ca="1">_xll.BDH($C$378,"INV_TO_CASH_DAYS","FQ1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384" s="5" t="e">
        <f ca="1">_xll.BDH($C$378,"BS_INVENTORIES","FQ1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384" s="3" t="e">
        <f ca="1">_xll.BDH($C$378,"INVTRY_RAW_MATERIALS","FQ1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384" s="3" t="e">
        <f ca="1">_xll.BDH($C$378,"INVTRY_IN_PROGRESS","FQ1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384" s="3" t="e">
        <f ca="1">_xll.BDH($C$378,"INVTRY_FINISHED_GOODS","FQ1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384" s="3" t="e">
        <f ca="1">_xll.BDH($C$378,"BS_OTHER_INV","FQ1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385" spans="1:113" x14ac:dyDescent="0.3">
      <c r="A385" s="6"/>
      <c r="B385" s="6"/>
      <c r="C385" s="6"/>
      <c r="D385" s="6"/>
      <c r="E385" t="s">
        <v>79</v>
      </c>
      <c r="F385" t="e">
        <f ca="1">_xll.BDH($C$378,"RETURN_COM_EQY","FQ2 2015","FQ2 2015","Currency=INR","Period=FQ","BEST_FPERIOD_OVERRIDE=FQ","FILING_STATUS=OR","EQY_CONSOLIDATED=Y","FA_ADJUSTED=GAAP","Sort=A","Dates=H","DateFormat=P","Fill=—","Direction=H","UseDPDF=Y")</f>
        <v>#NAME?</v>
      </c>
      <c r="G385" t="e">
        <f ca="1">_xll.BDH($C$378,"RETURN_ON_ASSET","FQ2 2015","FQ2 2015","Currency=INR","Period=FQ","BEST_FPERIOD_OVERRIDE=FQ","FILING_STATUS=OR","EQY_CONSOLIDATED=Y","FA_ADJUSTED=GAAP","Sort=A","Dates=H","DateFormat=P","Fill=—","Direction=H","UseDPDF=Y")</f>
        <v>#NAME?</v>
      </c>
      <c r="H385" t="e">
        <f ca="1">_xll.BDH($C$378,"RETURN_ON_CAP","FQ2 2015","FQ2 2015","Currency=INR","Period=FQ","BEST_FPERIOD_OVERRIDE=FQ","FILING_STATUS=OR","EQY_CONSOLIDATED=Y","FA_ADJUSTED=GAAP","Sort=A","Dates=H","DateFormat=P","Fill=—","Direction=H","UseDPDF=Y")</f>
        <v>#NAME?</v>
      </c>
      <c r="I385" t="e">
        <f ca="1">_xll.BDH($C$378,"RETURN_ON_INV_CAPITAL","FQ2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385" t="e">
        <f ca="1">_xll.BDH($C$378,"EBITDA_TO_REVENUE","FQ2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385" t="e">
        <f ca="1">_xll.BDH($C$378,"OPER_MARGIN","FQ2 2015","FQ2 2015","Currency=INR","Period=FQ","BEST_FPERIOD_OVERRIDE=FQ","FILING_STATUS=OR","EQY_CONSOLIDATED=Y","FA_ADJUSTED=GAAP","Sort=A","Dates=H","DateFormat=P","Fill=—","Direction=H","UseDPDF=Y")</f>
        <v>#NAME?</v>
      </c>
      <c r="L385" t="e">
        <f ca="1">_xll.BDH($C$378,"INCREMENTAL_OPERATING_MARGIN","FQ2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385" t="e">
        <f ca="1">_xll.BDH($C$378,"PRETAX_INC_TO_NET_SALES","FQ2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385" t="e">
        <f ca="1">_xll.BDH($C$378,"INC_BEF_XO_ITEMS_TO_NET_SALES","FQ2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385" t="e">
        <f ca="1">_xll.BDH($C$378,"PROF_MARGIN","FQ2 2015","FQ2 2015","Currency=INR","Period=FQ","BEST_FPERIOD_OVERRIDE=FQ","FILING_STATUS=OR","EQY_CONSOLIDATED=Y","FA_ADJUSTED=GAAP","Sort=A","Dates=H","DateFormat=P","Fill=—","Direction=H","UseDPDF=Y")</f>
        <v>#NAME?</v>
      </c>
      <c r="P385" t="e">
        <f ca="1">_xll.BDH($C$378,"NET_INCOME_TO_COMMON_MARGIN","FQ2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385" t="e">
        <f ca="1">_xll.BDH($C$378,"EFF_TAX_RATE","FQ2 2015","FQ2 2015","Currency=INR","Period=FQ","BEST_FPERIOD_OVERRIDE=FQ","FILING_STATUS=OR","EQY_CONSOLIDATED=Y","FA_ADJUSTED=GAAP","Sort=A","Dates=H","DateFormat=P","Fill=—","Direction=H","UseDPDF=Y")</f>
        <v>#NAME?</v>
      </c>
      <c r="R385" t="e">
        <f ca="1">_xll.BDH($C$378,"DVD_PAYOUT_RATIO","FQ2 2015","FQ2 2015","Currency=INR","Period=FQ","BEST_FPERIOD_OVERRIDE=FQ","FILING_STATUS=OR","EQY_CONSOLIDATED=Y","FA_ADJUSTED=GAAP","Sort=A","Dates=H","DateFormat=P","Fill=—","Direction=H","UseDPDF=Y")</f>
        <v>#NAME?</v>
      </c>
      <c r="S385" t="e">
        <f ca="1">_xll.BDH($C$378,"SUSTAIN_GROWTH_RT","FQ2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385" s="2" t="e">
        <f ca="1">_xll.BDH($C$378,"SALES_GROWTH","FQ2 2015","FQ2 2015","Currency=INR","Period=FQ","BEST_FPERIOD_OVERRIDE=FQ","FILING_STATUS=OR","EQY_CONSOLIDATED=Y","FA_ADJUSTED=GAAP","Sort=A","Dates=H","DateFormat=P","Fill=—","Direction=H","UseDPDF=Y")</f>
        <v>#NAME?</v>
      </c>
      <c r="U385" s="2" t="e">
        <f ca="1">_xll.BDH($C$378,"EBITDA_GROWTH","FQ2 2015","FQ2 2015","Currency=INR","Period=FQ","BEST_FPERIOD_OVERRIDE=FQ","FILING_STATUS=OR","EQY_CONSOLIDATED=Y","FA_ADJUSTED=GAAP","Sort=A","Dates=H","DateFormat=P","Fill=—","Direction=H","UseDPDF=Y")</f>
        <v>#NAME?</v>
      </c>
      <c r="V385" s="2" t="e">
        <f ca="1">_xll.BDH($C$378,"OPER_INC_GROWTH","FQ2 2015","FQ2 2015","Currency=INR","Period=FQ","BEST_FPERIOD_OVERRIDE=FQ","FILING_STATUS=OR","EQY_CONSOLIDATED=Y","FA_ADJUSTED=GAAP","Sort=A","Dates=H","DateFormat=P","Fill=—","Direction=H","UseDPDF=Y")</f>
        <v>#NAME?</v>
      </c>
      <c r="W385" s="2" t="e">
        <f ca="1">_xll.BDH($C$378,"EARN_FOR_COM_GROWTH","FQ2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385" s="2" t="e">
        <f ca="1">_xll.BDH($C$378,"DILUTED_EPS_AFT_XO_ITEMS_GROWTH","FQ2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385" s="2" t="e">
        <f ca="1">_xll.BDH($C$378,"DIVIDEND_PER_SHARE_1_YEAR_GROWTH","FQ2 2015","FQ2 2015","Currency=INR","Period=FQ","BEST_FPERIOD_OVERRIDE=FQ","FILING_STATUS=OR","EQY_CONSOLIDATED=Y","Sort=A","Dates=H","DateFormat=P","Fill=—","Direction=H","UseDPDF=Y")</f>
        <v>#NAME?</v>
      </c>
      <c r="Z385" s="2" t="e">
        <f ca="1">_xll.BDH($C$378,"ACCOUNTS_RECEIVABLE_GROWTH","FQ2 2015","FQ2 2015","Currency=INR","Period=FQ","BEST_FPERIOD_OVERRIDE=FQ","FILING_STATUS=OR","EQY_CONSOLIDATED=Y","Sort=A","Dates=H","DateFormat=P","Fill=—","Direction=H","UseDPDF=Y")</f>
        <v>#NAME?</v>
      </c>
      <c r="AA385" s="2" t="e">
        <f ca="1">_xll.BDH($C$378,"INVENTORY_GROWTH","FQ2 2015","FQ2 2015","Currency=INR","Period=FQ","BEST_FPERIOD_OVERRIDE=FQ","FILING_STATUS=OR","EQY_CONSOLIDATED=Y","Sort=A","Dates=H","DateFormat=P","Fill=—","Direction=H","UseDPDF=Y")</f>
        <v>#NAME?</v>
      </c>
      <c r="AB385" s="2" t="e">
        <f ca="1">_xll.BDH($C$378,"NET_FIXED_ASSETS_1_YEAR_GROWTH","FQ2 2015","FQ2 2015","Currency=INR","Period=FQ","BEST_FPERIOD_OVERRIDE=FQ","FILING_STATUS=OR","EQY_CONSOLIDATED=Y","Sort=A","Dates=H","DateFormat=P","Fill=—","Direction=H","UseDPDF=Y")</f>
        <v>#NAME?</v>
      </c>
      <c r="AC385" s="2" t="e">
        <f ca="1">_xll.BDH($C$378,"ASSET_GROWTH","FQ2 2015","FQ2 2015","Currency=INR","Period=FQ","BEST_FPERIOD_OVERRIDE=FQ","FILING_STATUS=OR","EQY_CONSOLIDATED=Y","Sort=A","Dates=H","DateFormat=P","Fill=—","Direction=H","UseDPDF=Y")</f>
        <v>#NAME?</v>
      </c>
      <c r="AD385" s="2" t="e">
        <f ca="1">_xll.BDH($C$378,"MODIFIED_WORK_CAP_GROWTH","FQ2 2015","FQ2 2015","Currency=INR","Period=FQ","BEST_FPERIOD_OVERRIDE=FQ","FILING_STATUS=OR","EQY_CONSOLIDATED=Y","Sort=A","Dates=H","DateFormat=P","Fill=—","Direction=H","UseDPDF=Y")</f>
        <v>#NAME?</v>
      </c>
      <c r="AE385" s="2" t="e">
        <f ca="1">_xll.BDH($C$378,"WORK_CAP_GROWTH","FQ2 2015","FQ2 2015","Currency=INR","Period=FQ","BEST_FPERIOD_OVERRIDE=FQ","FILING_STATUS=OR","EQY_CONSOLIDATED=Y","Sort=A","Dates=H","DateFormat=P","Fill=—","Direction=H","UseDPDF=Y")</f>
        <v>#NAME?</v>
      </c>
      <c r="AF385" s="2" t="e">
        <f ca="1">_xll.BDH($C$378,"ACCOUNTS_PAYABLE_GROWTH_1YR","FQ2 2015","FQ2 2015","Currency=INR","Period=FQ","BEST_FPERIOD_OVERRIDE=FQ","FILING_STATUS=OR","EQY_CONSOLIDATED=Y","Sort=A","Dates=H","DateFormat=P","Fill=—","Direction=H","UseDPDF=Y")</f>
        <v>#NAME?</v>
      </c>
      <c r="AG385" s="2" t="e">
        <f ca="1">_xll.BDH($C$378,"SHORT_TERM_DEBT_1_YEAR_GROWTH","FQ2 2015","FQ2 2015","Currency=INR","Period=FQ","BEST_FPERIOD_OVERRIDE=FQ","FILING_STATUS=OR","EQY_CONSOLIDATED=Y","Sort=A","Dates=H","DateFormat=P","Fill=—","Direction=H","UseDPDF=Y")</f>
        <v>#NAME?</v>
      </c>
      <c r="AH385" s="2" t="e">
        <f ca="1">_xll.BDH($C$378,"TOTAL_DEBT_1_YEAR_GROWTH","FQ2 2015","FQ2 2015","Currency=INR","Period=FQ","BEST_FPERIOD_OVERRIDE=FQ","FILING_STATUS=OR","EQY_CONSOLIDATED=Y","Sort=A","Dates=H","DateFormat=P","Fill=—","Direction=H","UseDPDF=Y")</f>
        <v>#NAME?</v>
      </c>
      <c r="AI385" s="2" t="e">
        <f ca="1">_xll.BDH($C$378,"TOTAL_EQUITY_1_YEAR_GROWTH","FQ2 2015","FQ2 2015","Currency=INR","Period=FQ","BEST_FPERIOD_OVERRIDE=FQ","FILING_STATUS=OR","EQY_CONSOLIDATED=Y","Sort=A","Dates=H","DateFormat=P","Fill=—","Direction=H","UseDPDF=Y")</f>
        <v>#NAME?</v>
      </c>
      <c r="AJ385" s="2" t="e">
        <f ca="1">_xll.BDH($C$378,"GROWTH_IN_CAP","FQ2 2015","FQ2 2015","Currency=INR","Period=FQ","BEST_FPERIOD_OVERRIDE=FQ","FILING_STATUS=OR","EQY_CONSOLIDATED=Y","Sort=A","Dates=H","DateFormat=P","Fill=—","Direction=H","UseDPDF=Y")</f>
        <v>#NAME?</v>
      </c>
      <c r="AK385" s="2" t="e">
        <f ca="1">_xll.BDH($C$378,"BVPS_GROWTH","FQ2 2015","FQ2 2015","Currency=INR","Period=FQ","BEST_FPERIOD_OVERRIDE=FQ","FILING_STATUS=OR","EQY_CONSOLIDATED=Y","Sort=A","Dates=H","DateFormat=P","Fill=—","Direction=H","UseDPDF=Y")</f>
        <v>#NAME?</v>
      </c>
      <c r="AL385" s="2" t="e">
        <f ca="1">_xll.BDH($C$378,"CASH_FLOW_GROWTH","FQ2 2015","FQ2 2015","Currency=INR","Period=FQ","BEST_FPERIOD_OVERRIDE=FQ","FILING_STATUS=OR","EQY_CONSOLIDATED=Y","Sort=A","Dates=H","DateFormat=P","Fill=—","Direction=H","UseDPDF=Y")</f>
        <v>#NAME?</v>
      </c>
      <c r="AM385" s="2" t="e">
        <f ca="1">_xll.BDH($C$378,"GEO_GROW_NET_SALES","FQ2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385" s="2" t="e">
        <f ca="1">_xll.BDH($C$378,"GEO_GROW_EBITDA","FQ2 2015","FQ2 2015","Currency=INR","Period=FQ","BEST_FPERIOD_OVERRIDE=FQ","FILING_STATUS=OR","EQY_CONSOLIDATED=Y","FA_ADJUSTED=GAAP","Sort=A","Dates=H","DateFormat=P","Fill=—","Direction=H","UseDPDF=Y")</f>
        <v>#NAME?</v>
      </c>
      <c r="AO385" s="2" t="e">
        <f ca="1">_xll.BDH($C$378,"GEO_GROW_OPER_INC","FQ2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385" s="2" t="e">
        <f ca="1">_xll.BDH($C$378,"NET_INCOME_TO_COMMON_5_YR_GROWTH","FQ2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385" s="2" t="e">
        <f ca="1">_xll.BDH($C$378,"5Y_GEO_GROWTH_DILUTED_EPS","FQ2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385" s="2" t="e">
        <f ca="1">_xll.BDH($C$378,"GEO_GROW_DVD_PER_SH","FQ2 2015","FQ2 2015","Currency=INR","Period=FQ","BEST_FPERIOD_OVERRIDE=FQ","FILING_STATUS=OR","EQY_CONSOLIDATED=Y","Sort=A","Dates=H","DateFormat=P","Fill=—","Direction=H","UseDPDF=Y")</f>
        <v>#NAME?</v>
      </c>
      <c r="AS385" s="2" t="e">
        <f ca="1">_xll.BDH($C$378,"ACCOUNTS_RECEIVABLE_5_YR_GROWTH","FQ2 2015","FQ2 2015","Currency=INR","Period=FQ","BEST_FPERIOD_OVERRIDE=FQ","FILING_STATUS=OR","EQY_CONSOLIDATED=Y","Sort=A","Dates=H","DateFormat=P","Fill=—","Direction=H","UseDPDF=Y")</f>
        <v>#NAME?</v>
      </c>
      <c r="AT385" s="2" t="e">
        <f ca="1">_xll.BDH($C$378,"INVENTORY_5_YEAR_GROWTH","FQ2 2015","FQ2 2015","Currency=INR","Period=FQ","BEST_FPERIOD_OVERRIDE=FQ","FILING_STATUS=OR","EQY_CONSOLIDATED=Y","Sort=A","Dates=H","DateFormat=P","Fill=—","Direction=H","UseDPDF=Y")</f>
        <v>#NAME?</v>
      </c>
      <c r="AU385" s="2" t="e">
        <f ca="1">_xll.BDH($C$378,"NET_FIXED_ASSETS_5_YEAR_GROWTH","FQ2 2015","FQ2 2015","Currency=INR","Period=FQ","BEST_FPERIOD_OVERRIDE=FQ","FILING_STATUS=OR","EQY_CONSOLIDATED=Y","Sort=A","Dates=H","DateFormat=P","Fill=—","Direction=H","UseDPDF=Y")</f>
        <v>#NAME?</v>
      </c>
      <c r="AV385" s="2" t="e">
        <f ca="1">_xll.BDH($C$378,"GEO_GROW_TOT_ASSET","FQ2 2015","FQ2 2015","Currency=INR","Period=FQ","BEST_FPERIOD_OVERRIDE=FQ","FILING_STATUS=OR","EQY_CONSOLIDATED=Y","Sort=A","Dates=H","DateFormat=P","Fill=—","Direction=H","UseDPDF=Y")</f>
        <v>#NAME?</v>
      </c>
      <c r="AW385" s="2" t="e">
        <f ca="1">_xll.BDH($C$378,"MODIFIED_WORKING_CPTL_5YR_GRWTH","FQ2 2015","FQ2 2015","Currency=INR","Period=FQ","BEST_FPERIOD_OVERRIDE=FQ","FILING_STATUS=OR","EQY_CONSOLIDATED=Y","Sort=A","Dates=H","DateFormat=P","Fill=—","Direction=H","UseDPDF=Y")</f>
        <v>#NAME?</v>
      </c>
      <c r="AX385" s="2" t="e">
        <f ca="1">_xll.BDH($C$378,"WORKING_CAPITAL_5_YEAR_GROWTH","FQ2 2015","FQ2 2015","Currency=INR","Period=FQ","BEST_FPERIOD_OVERRIDE=FQ","FILING_STATUS=OR","EQY_CONSOLIDATED=Y","Sort=A","Dates=H","DateFormat=P","Fill=—","Direction=H","UseDPDF=Y")</f>
        <v>#NAME?</v>
      </c>
      <c r="AY385" s="2" t="e">
        <f ca="1">_xll.BDH($C$378,"ACCOUNTS_PAYABLE_5_YEAR_GROWTH","FQ2 2015","FQ2 2015","Currency=INR","Period=FQ","BEST_FPERIOD_OVERRIDE=FQ","FILING_STATUS=OR","EQY_CONSOLIDATED=Y","Sort=A","Dates=H","DateFormat=P","Fill=—","Direction=H","UseDPDF=Y")</f>
        <v>#NAME?</v>
      </c>
      <c r="AZ385" s="2" t="e">
        <f ca="1">_xll.BDH($C$378,"SHORT_TERM_DEBT_5_YEAR_GROWTH","FQ2 2015","FQ2 2015","Currency=INR","Period=FQ","BEST_FPERIOD_OVERRIDE=FQ","FILING_STATUS=OR","EQY_CONSOLIDATED=Y","Sort=A","Dates=H","DateFormat=P","Fill=—","Direction=H","UseDPDF=Y")</f>
        <v>#NAME?</v>
      </c>
      <c r="BA385" s="2" t="e">
        <f ca="1">_xll.BDH($C$378,"TOTAL_DEBT_5_YEAR_GROWTH","FQ2 2015","FQ2 2015","Currency=INR","Period=FQ","BEST_FPERIOD_OVERRIDE=FQ","FILING_STATUS=OR","EQY_CONSOLIDATED=Y","Sort=A","Dates=H","DateFormat=P","Fill=—","Direction=H","UseDPDF=Y")</f>
        <v>#NAME?</v>
      </c>
      <c r="BB385" s="2" t="e">
        <f ca="1">_xll.BDH($C$378,"GEO_GROW_TOT_SHRHLDR_EQY","FQ2 2015","FQ2 2015","Currency=INR","Period=FQ","BEST_FPERIOD_OVERRIDE=FQ","FILING_STATUS=OR","EQY_CONSOLIDATED=Y","Sort=A","Dates=H","DateFormat=P","Fill=—","Direction=H","UseDPDF=Y")</f>
        <v>#NAME?</v>
      </c>
      <c r="BC385" s="2" t="e">
        <f ca="1">_xll.BDH($C$378,"TOTAL_CAPITAL_5_YEAR_GROWTH","FQ2 2015","FQ2 2015","Currency=INR","Period=FQ","BEST_FPERIOD_OVERRIDE=FQ","FILING_STATUS=OR","EQY_CONSOLIDATED=Y","Sort=A","Dates=H","DateFormat=P","Fill=—","Direction=H","UseDPDF=Y")</f>
        <v>#NAME?</v>
      </c>
      <c r="BD385" s="2" t="e">
        <f ca="1">_xll.BDH($C$378,"GEO_GROW_BOOK_VAL","FQ2 2015","FQ2 2015","Currency=INR","Period=FQ","BEST_FPERIOD_OVERRIDE=FQ","FILING_STATUS=OR","EQY_CONSOLIDATED=Y","Sort=A","Dates=H","DateFormat=P","Fill=—","Direction=H","UseDPDF=Y")</f>
        <v>#NAME?</v>
      </c>
      <c r="BE385" s="2" t="e">
        <f ca="1">_xll.BDH($C$378,"GEO_GROW_CASH_OPER_ACT","FQ2 2015","FQ2 2015","Currency=INR","Period=FQ","BEST_FPERIOD_OVERRIDE=FQ","FILING_STATUS=OR","EQY_CONSOLIDATED=Y","Sort=A","Dates=H","DateFormat=P","Fill=—","Direction=H","UseDPDF=Y")</f>
        <v>#NAME?</v>
      </c>
      <c r="BF385" s="2" t="e">
        <f ca="1">_xll.BDH($C$378,"REVENUE_SEQUENTIAL_GROWTH","FQ2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385" s="2" t="e">
        <f ca="1">_xll.BDH($C$378,"EBITDA_SEQUENTIAL_GROWTH","FQ2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385" s="2" t="e">
        <f ca="1">_xll.BDH($C$378,"OPERATING_INCOME_SEQ_GROWTH","FQ2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385" s="2" t="e">
        <f ca="1">_xll.BDH($C$378,"NET_INCOME_TO_COMMON_SEQ_GROWTH","FQ2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385" s="2" t="e">
        <f ca="1">_xll.BDH($C$378,"EPS_DILUTED_SEQUENTIAL_GROWTH","FQ2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385" s="2" t="e">
        <f ca="1">_xll.BDH($C$378,"DPS_SEQUENTIAL_GROWTH","FQ2 2015","FQ2 2015","Currency=INR","Period=FQ","BEST_FPERIOD_OVERRIDE=FQ","FILING_STATUS=OR","EQY_CONSOLIDATED=Y","Sort=A","Dates=H","DateFormat=P","Fill=—","Direction=H","UseDPDF=Y")</f>
        <v>#NAME?</v>
      </c>
      <c r="BL385" s="2" t="e">
        <f ca="1">_xll.BDH($C$378,"ACCOUNTS_RECEIVABLE_SEQ_GROWTH","FQ2 2015","FQ2 2015","Currency=INR","Period=FQ","BEST_FPERIOD_OVERRIDE=FQ","FILING_STATUS=OR","EQY_CONSOLIDATED=Y","Sort=A","Dates=H","DateFormat=P","Fill=—","Direction=H","UseDPDF=Y")</f>
        <v>#NAME?</v>
      </c>
      <c r="BM385" s="2" t="e">
        <f ca="1">_xll.BDH($C$378,"INVENTORY_SEQUENTIAL_GROWTH","FQ2 2015","FQ2 2015","Currency=INR","Period=FQ","BEST_FPERIOD_OVERRIDE=FQ","FILING_STATUS=OR","EQY_CONSOLIDATED=Y","Sort=A","Dates=H","DateFormat=P","Fill=—","Direction=H","UseDPDF=Y")</f>
        <v>#NAME?</v>
      </c>
      <c r="BN385" s="2" t="e">
        <f ca="1">_xll.BDH($C$378,"FIXED_ASSETS_SEQUENTIAL_GROWTH","FQ2 2015","FQ2 2015","Currency=INR","Period=FQ","BEST_FPERIOD_OVERRIDE=FQ","FILING_STATUS=OR","EQY_CONSOLIDATED=Y","Sort=A","Dates=H","DateFormat=P","Fill=—","Direction=H","UseDPDF=Y")</f>
        <v>#NAME?</v>
      </c>
      <c r="BO385" s="2" t="e">
        <f ca="1">_xll.BDH($C$378,"TOTAL_ASSETS_SEQUENTIAL_GROWTH","FQ2 2015","FQ2 2015","Currency=INR","Period=FQ","BEST_FPERIOD_OVERRIDE=FQ","FILING_STATUS=OR","EQY_CONSOLIDATED=Y","Sort=A","Dates=H","DateFormat=P","Fill=—","Direction=H","UseDPDF=Y")</f>
        <v>#NAME?</v>
      </c>
      <c r="BP385" s="2" t="e">
        <f ca="1">_xll.BDH($C$378,"MODIFIED_WORKING_CPTL_SEQ_GRWTH","FQ2 2015","FQ2 2015","Currency=INR","Period=FQ","BEST_FPERIOD_OVERRIDE=FQ","FILING_STATUS=OR","EQY_CONSOLIDATED=Y","Sort=A","Dates=H","DateFormat=P","Fill=—","Direction=H","UseDPDF=Y")</f>
        <v>#NAME?</v>
      </c>
      <c r="BQ385" s="2" t="e">
        <f ca="1">_xll.BDH($C$378,"WORKING_CAPITAL_SEQ_GROWTH","FQ2 2015","FQ2 2015","Currency=INR","Period=FQ","BEST_FPERIOD_OVERRIDE=FQ","FILING_STATUS=OR","EQY_CONSOLIDATED=Y","Sort=A","Dates=H","DateFormat=P","Fill=—","Direction=H","UseDPDF=Y")</f>
        <v>#NAME?</v>
      </c>
      <c r="BR385" s="2" t="e">
        <f ca="1">_xll.BDH($C$378,"ACCOUNTS_PAYABLE_SEQ_GROWTH","FQ2 2015","FQ2 2015","Currency=INR","Period=FQ","BEST_FPERIOD_OVERRIDE=FQ","FILING_STATUS=OR","EQY_CONSOLIDATED=Y","Sort=A","Dates=H","DateFormat=P","Fill=—","Direction=H","UseDPDF=Y")</f>
        <v>#NAME?</v>
      </c>
      <c r="BS385" s="2" t="e">
        <f ca="1">_xll.BDH($C$378,"ST_DEBT_SEQUENTIAL_GROWTH","FQ2 2015","FQ2 2015","Currency=INR","Period=FQ","BEST_FPERIOD_OVERRIDE=FQ","FILING_STATUS=OR","EQY_CONSOLIDATED=Y","Sort=A","Dates=H","DateFormat=P","Fill=—","Direction=H","UseDPDF=Y")</f>
        <v>#NAME?</v>
      </c>
      <c r="BT385" s="2" t="e">
        <f ca="1">_xll.BDH($C$378,"TOTAL_DEBT_SEQUENTIAL_GROWTH","FQ2 2015","FQ2 2015","Currency=INR","Period=FQ","BEST_FPERIOD_OVERRIDE=FQ","FILING_STATUS=OR","EQY_CONSOLIDATED=Y","Sort=A","Dates=H","DateFormat=P","Fill=—","Direction=H","UseDPDF=Y")</f>
        <v>#NAME?</v>
      </c>
      <c r="BU385" s="2" t="e">
        <f ca="1">_xll.BDH($C$378,"TOTAL_EQUITY_SEQUENTIAL_GROWTH","FQ2 2015","FQ2 2015","Currency=INR","Period=FQ","BEST_FPERIOD_OVERRIDE=FQ","FILING_STATUS=OR","EQY_CONSOLIDATED=Y","Sort=A","Dates=H","DateFormat=P","Fill=—","Direction=H","UseDPDF=Y")</f>
        <v>#NAME?</v>
      </c>
      <c r="BV385" s="2" t="e">
        <f ca="1">_xll.BDH($C$378,"TOTAL_CAPITAL_SEQUENTIAL_GROWTH","FQ2 2015","FQ2 2015","Currency=INR","Period=FQ","BEST_FPERIOD_OVERRIDE=FQ","FILING_STATUS=OR","EQY_CONSOLIDATED=Y","Sort=A","Dates=H","DateFormat=P","Fill=—","Direction=H","UseDPDF=Y")</f>
        <v>#NAME?</v>
      </c>
      <c r="BW385" s="2" t="e">
        <f ca="1">_xll.BDH($C$378,"BPS_SEQUENTIAL_GROWTH","FQ2 2015","FQ2 2015","Currency=INR","Period=FQ","BEST_FPERIOD_OVERRIDE=FQ","FILING_STATUS=OR","EQY_CONSOLIDATED=Y","Sort=A","Dates=H","DateFormat=P","Fill=—","Direction=H","UseDPDF=Y")</f>
        <v>#NAME?</v>
      </c>
      <c r="BX385" s="2" t="e">
        <f ca="1">_xll.BDH($C$378,"CFO_SEQUENTIAL_GROWTH","FQ2 2015","FQ2 2015","Currency=INR","Period=FQ","BEST_FPERIOD_OVERRIDE=FQ","FILING_STATUS=OR","EQY_CONSOLIDATED=Y","Sort=A","Dates=H","DateFormat=P","Fill=—","Direction=H","UseDPDF=Y")</f>
        <v>#NAME?</v>
      </c>
      <c r="BY385" s="3" t="e">
        <f ca="1">_xll.BDH($C$378,"SHORT_AND_LONG_TERM_DEBT","FQ2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385" s="3" t="e">
        <f ca="1">_xll.BDH($C$378,"BS_ST_BORROW","FQ2 2015","FQ2 2015","Currency=INR","Period=FQ","BEST_FPERIOD_OVERRIDE=FQ","FILING_STATUS=OR","EQY_CONSOLIDATED=Y","SCALING_FORMAT=MLN","Sort=A","Dates=H","DateFormat=P","Fill=—","Direction=H","UseDPDF=Y")</f>
        <v>#NAME?</v>
      </c>
      <c r="CA385" s="3" t="e">
        <f ca="1">_xll.BDH($C$378,"BS_LT_BORROW","FQ2 2015","FQ2 2015","Currency=INR","Period=FQ","BEST_FPERIOD_OVERRIDE=FQ","FILING_STATUS=OR","EQY_CONSOLIDATED=Y","SCALING_FORMAT=MLN","Sort=A","Dates=H","DateFormat=P","Fill=—","Direction=H","UseDPDF=Y")</f>
        <v>#NAME?</v>
      </c>
      <c r="CB385" s="2" t="e">
        <f ca="1">_xll.BDH($C$378,"TOT_DEBT_TO_EBITDA","FQ2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385" s="2" t="e">
        <f ca="1">_xll.BDH($C$378,"NET_DEBT_TO_EBITDA","FQ2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385" s="2" t="e">
        <f ca="1">_xll.BDH($C$378,"TOTAL_DEBT_TO_EBIT","FQ2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385" s="2" t="e">
        <f ca="1">_xll.BDH($C$378,"NET_DEBT_TO_EBIT","FQ2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385" s="2" t="e">
        <f ca="1">_xll.BDH($C$378,"EBITDA_TO_INTEREST_EXPN","FQ2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385" s="2" t="e">
        <f ca="1">_xll.BDH($C$378,"COM_EQY_TO_TOT_ASSET","FQ2 2015","FQ2 2015","Currency=INR","Period=FQ","BEST_FPERIOD_OVERRIDE=FQ","FILING_STATUS=OR","EQY_CONSOLIDATED=Y","Sort=A","Dates=H","DateFormat=P","Fill=—","Direction=H","UseDPDF=Y")</f>
        <v>#NAME?</v>
      </c>
      <c r="CH385" s="2" t="e">
        <f ca="1">_xll.BDH($C$378,"LT_DEBT_TO_TOT_EQY","FQ2 2015","FQ2 2015","Currency=INR","Period=FQ","BEST_FPERIOD_OVERRIDE=FQ","FILING_STATUS=OR","EQY_CONSOLIDATED=Y","Sort=A","Dates=H","DateFormat=P","Fill=—","Direction=H","UseDPDF=Y")</f>
        <v>#NAME?</v>
      </c>
      <c r="CI385" s="2" t="e">
        <f ca="1">_xll.BDH($C$378,"LT_DEBT_TO_TOT_CAP","FQ2 2015","FQ2 2015","Currency=INR","Period=FQ","BEST_FPERIOD_OVERRIDE=FQ","FILING_STATUS=OR","EQY_CONSOLIDATED=Y","Sort=A","Dates=H","DateFormat=P","Fill=—","Direction=H","UseDPDF=Y")</f>
        <v>#NAME?</v>
      </c>
      <c r="CJ385" s="2" t="e">
        <f ca="1">_xll.BDH($C$378,"LT_DEBT_TO_TOT_ASSET","FQ2 2015","FQ2 2015","Currency=INR","Period=FQ","BEST_FPERIOD_OVERRIDE=FQ","FILING_STATUS=OR","EQY_CONSOLIDATED=Y","Sort=A","Dates=H","DateFormat=P","Fill=—","Direction=H","UseDPDF=Y")</f>
        <v>#NAME?</v>
      </c>
      <c r="CK385" s="2" t="e">
        <f ca="1">_xll.BDH($C$378,"TOT_DEBT_TO_TOT_EQY","FQ2 2015","FQ2 2015","Currency=INR","Period=FQ","BEST_FPERIOD_OVERRIDE=FQ","FILING_STATUS=OR","EQY_CONSOLIDATED=Y","Sort=A","Dates=H","DateFormat=P","Fill=—","Direction=H","UseDPDF=Y")</f>
        <v>#NAME?</v>
      </c>
      <c r="CL385" s="2" t="e">
        <f ca="1">_xll.BDH($C$378,"TOT_DEBT_TO_TOT_CAP","FQ2 2015","FQ2 2015","Currency=INR","Period=FQ","BEST_FPERIOD_OVERRIDE=FQ","FILING_STATUS=OR","EQY_CONSOLIDATED=Y","Sort=A","Dates=H","DateFormat=P","Fill=—","Direction=H","UseDPDF=Y")</f>
        <v>#NAME?</v>
      </c>
      <c r="CM385" s="2" t="e">
        <f ca="1">_xll.BDH($C$378,"TOT_DEBT_TO_TOT_ASSET","FQ2 2015","FQ2 2015","Currency=INR","Period=FQ","BEST_FPERIOD_OVERRIDE=FQ","FILING_STATUS=OR","EQY_CONSOLIDATED=Y","Sort=A","Dates=H","DateFormat=P","Fill=—","Direction=H","UseDPDF=Y")</f>
        <v>#NAME?</v>
      </c>
      <c r="CN385" s="2" t="e">
        <f ca="1">_xll.BDH($C$378,"NET_DEBT_TO_SHRHLDR_EQTY","FQ2 2015","FQ2 2015","Currency=INR","Period=FQ","BEST_FPERIOD_OVERRIDE=FQ","FILING_STATUS=OR","EQY_CONSOLIDATED=Y","Sort=A","Dates=H","DateFormat=P","Fill=—","Direction=H","UseDPDF=Y")</f>
        <v>#NAME?</v>
      </c>
      <c r="CO385" s="2" t="e">
        <f ca="1">_xll.BDH($C$378,"NET_DEBT_%_CAPITAL","FQ2 2015","FQ2 2015","Currency=INR","Period=FQ","BEST_FPERIOD_OVERRIDE=FQ","FILING_STATUS=OR","EQY_CONSOLIDATED=Y","Sort=A","Dates=H","DateFormat=P","Fill=—","Direction=H","UseDPDF=Y")</f>
        <v>#NAME?</v>
      </c>
      <c r="CP385" s="3" t="e">
        <f ca="1">_xll.BDH($C$378,"EBITDA","FQ2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385" s="3" t="e">
        <f ca="1">_xll.BDH($C$378,"EBITDA_AFTER_CAPEX","FQ2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385" s="3" t="e">
        <f ca="1">_xll.BDH($C$378,"IS_OPER_INC","FQ2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385" s="2" t="e">
        <f ca="1">_xll.BDH($C$378,"CASH_RATIO","FQ2 2015","FQ2 2015","Currency=INR","Period=FQ","BEST_FPERIOD_OVERRIDE=FQ","FILING_STATUS=OR","EQY_CONSOLIDATED=Y","Sort=A","Dates=H","DateFormat=P","Fill=—","Direction=H","UseDPDF=Y")</f>
        <v>#NAME?</v>
      </c>
      <c r="CT385" s="2" t="e">
        <f ca="1">_xll.BDH($C$378,"CUR_RATIO","FQ2 2015","FQ2 2015","Currency=INR","Period=FQ","BEST_FPERIOD_OVERRIDE=FQ","FILING_STATUS=OR","EQY_CONSOLIDATED=Y","Sort=A","Dates=H","DateFormat=P","Fill=—","Direction=H","UseDPDF=Y")</f>
        <v>#NAME?</v>
      </c>
      <c r="CU385" s="2" t="e">
        <f ca="1">_xll.BDH($C$378,"QUICK_RATIO","FQ2 2015","FQ2 2015","Currency=INR","Period=FQ","BEST_FPERIOD_OVERRIDE=FQ","FILING_STATUS=OR","EQY_CONSOLIDATED=Y","Sort=A","Dates=H","DateFormat=P","Fill=—","Direction=H","UseDPDF=Y")</f>
        <v>#NAME?</v>
      </c>
      <c r="CV385" s="2" t="e">
        <f ca="1">_xll.BDH($C$378,"ALTMAN_Z_SCORE","FQ2 2015","FQ2 2015","Currency=INR","Period=FQ","BEST_FPERIOD_OVERRIDE=FQ","FILING_STATUS=OR","EQY_CONSOLIDATED=Y","Sort=A","Dates=H","DateFormat=P","Fill=—","Direction=H","UseDPDF=Y")</f>
        <v>#NAME?</v>
      </c>
      <c r="CW385" s="4" t="e">
        <f ca="1">_xll.BDH($C$378,"ACCT_RCV_TURN","FQ2 2015","FQ2 2015","Currency=INR","Period=FQ","BEST_FPERIOD_OVERRIDE=FQ","FILING_STATUS=OR","EQY_CONSOLIDATED=Y","FA_ADJUSTED=GAAP","Sort=A","Dates=H","DateFormat=P","Fill=—","Direction=H","UseDPDF=Y")</f>
        <v>#NAME?</v>
      </c>
      <c r="CX385" s="2" t="e">
        <f ca="1">_xll.BDH($C$378,"ACCT_RCV_DAYS","FQ2 2015","FQ2 2015","Currency=INR","Period=FQ","BEST_FPERIOD_OVERRIDE=FQ","FILING_STATUS=OR","EQY_CONSOLIDATED=Y","FA_ADJUSTED=GAAP","Sort=A","Dates=H","DateFormat=P","Fill=—","Direction=H","UseDPDF=Y")</f>
        <v>#NAME?</v>
      </c>
      <c r="CY385" s="4" t="e">
        <f ca="1">_xll.BDH($C$378,"INVENT_TURN","FQ2 2015","FQ2 2015","Currency=INR","Period=FQ","BEST_FPERIOD_OVERRIDE=FQ","FILING_STATUS=OR","EQY_CONSOLIDATED=Y","FA_ADJUSTED=GAAP","Sort=A","Dates=H","DateFormat=P","Fill=—","Direction=H","UseDPDF=Y")</f>
        <v>#NAME?</v>
      </c>
      <c r="CZ385" s="2" t="e">
        <f ca="1">_xll.BDH($C$378,"INVENT_DAYS","FQ2 2015","FQ2 2015","Currency=INR","Period=FQ","BEST_FPERIOD_OVERRIDE=FQ","FILING_STATUS=OR","EQY_CONSOLIDATED=Y","FA_ADJUSTED=GAAP","Sort=A","Dates=H","DateFormat=P","Fill=—","Direction=H","UseDPDF=Y")</f>
        <v>#NAME?</v>
      </c>
      <c r="DA385" s="4" t="e">
        <f ca="1">_xll.BDH($C$378,"ACCOUNTS_PAYABLE_TURNOVER","FQ2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385" s="2" t="e">
        <f ca="1">_xll.BDH($C$378,"ACCOUNTS_PAYABLE_TURNOVER_DAYS","FQ2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385" s="4" t="e">
        <f ca="1">_xll.BDH($C$378,"CASH_CONVERSION_CYCLE","FQ2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385" s="4" t="e">
        <f ca="1">_xll.BDH($C$378,"INV_TO_CASH_DAYS","FQ2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385" s="5" t="e">
        <f ca="1">_xll.BDH($C$378,"BS_INVENTORIES","FQ2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385" s="3" t="e">
        <f ca="1">_xll.BDH($C$378,"INVTRY_RAW_MATERIALS","FQ2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385" s="3" t="e">
        <f ca="1">_xll.BDH($C$378,"INVTRY_IN_PROGRESS","FQ2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385" s="3" t="e">
        <f ca="1">_xll.BDH($C$378,"INVTRY_FINISHED_GOODS","FQ2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385" s="3" t="e">
        <f ca="1">_xll.BDH($C$378,"BS_OTHER_INV","FQ2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386" spans="1:113" x14ac:dyDescent="0.3">
      <c r="A386" s="6"/>
      <c r="B386" s="6"/>
      <c r="C386" s="6"/>
      <c r="D386" s="6"/>
      <c r="E386" t="s">
        <v>80</v>
      </c>
      <c r="F386" t="e">
        <f ca="1">_xll.BDH($C$378,"RETURN_COM_EQY","FQ3 2015","FQ3 2015","Currency=INR","Period=FQ","BEST_FPERIOD_OVERRIDE=FQ","FILING_STATUS=OR","EQY_CONSOLIDATED=Y","FA_ADJUSTED=GAAP","Sort=A","Dates=H","DateFormat=P","Fill=—","Direction=H","UseDPDF=Y")</f>
        <v>#NAME?</v>
      </c>
      <c r="G386" t="e">
        <f ca="1">_xll.BDH($C$378,"RETURN_ON_ASSET","FQ3 2015","FQ3 2015","Currency=INR","Period=FQ","BEST_FPERIOD_OVERRIDE=FQ","FILING_STATUS=OR","EQY_CONSOLIDATED=Y","FA_ADJUSTED=GAAP","Sort=A","Dates=H","DateFormat=P","Fill=—","Direction=H","UseDPDF=Y")</f>
        <v>#NAME?</v>
      </c>
      <c r="H386" t="e">
        <f ca="1">_xll.BDH($C$378,"RETURN_ON_CAP","FQ3 2015","FQ3 2015","Currency=INR","Period=FQ","BEST_FPERIOD_OVERRIDE=FQ","FILING_STATUS=OR","EQY_CONSOLIDATED=Y","FA_ADJUSTED=GAAP","Sort=A","Dates=H","DateFormat=P","Fill=—","Direction=H","UseDPDF=Y")</f>
        <v>#NAME?</v>
      </c>
      <c r="I386" t="e">
        <f ca="1">_xll.BDH($C$378,"RETURN_ON_INV_CAPITAL","FQ3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386" t="e">
        <f ca="1">_xll.BDH($C$378,"EBITDA_TO_REVENUE","FQ3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386" t="e">
        <f ca="1">_xll.BDH($C$378,"OPER_MARGIN","FQ3 2015","FQ3 2015","Currency=INR","Period=FQ","BEST_FPERIOD_OVERRIDE=FQ","FILING_STATUS=OR","EQY_CONSOLIDATED=Y","FA_ADJUSTED=GAAP","Sort=A","Dates=H","DateFormat=P","Fill=—","Direction=H","UseDPDF=Y")</f>
        <v>#NAME?</v>
      </c>
      <c r="L386" t="e">
        <f ca="1">_xll.BDH($C$378,"INCREMENTAL_OPERATING_MARGIN","FQ3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386" t="e">
        <f ca="1">_xll.BDH($C$378,"PRETAX_INC_TO_NET_SALES","FQ3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386" t="e">
        <f ca="1">_xll.BDH($C$378,"INC_BEF_XO_ITEMS_TO_NET_SALES","FQ3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386" t="e">
        <f ca="1">_xll.BDH($C$378,"PROF_MARGIN","FQ3 2015","FQ3 2015","Currency=INR","Period=FQ","BEST_FPERIOD_OVERRIDE=FQ","FILING_STATUS=OR","EQY_CONSOLIDATED=Y","FA_ADJUSTED=GAAP","Sort=A","Dates=H","DateFormat=P","Fill=—","Direction=H","UseDPDF=Y")</f>
        <v>#NAME?</v>
      </c>
      <c r="P386" t="e">
        <f ca="1">_xll.BDH($C$378,"NET_INCOME_TO_COMMON_MARGIN","FQ3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386" t="e">
        <f ca="1">_xll.BDH($C$378,"EFF_TAX_RATE","FQ3 2015","FQ3 2015","Currency=INR","Period=FQ","BEST_FPERIOD_OVERRIDE=FQ","FILING_STATUS=OR","EQY_CONSOLIDATED=Y","FA_ADJUSTED=GAAP","Sort=A","Dates=H","DateFormat=P","Fill=—","Direction=H","UseDPDF=Y")</f>
        <v>#NAME?</v>
      </c>
      <c r="R386" t="e">
        <f ca="1">_xll.BDH($C$378,"DVD_PAYOUT_RATIO","FQ3 2015","FQ3 2015","Currency=INR","Period=FQ","BEST_FPERIOD_OVERRIDE=FQ","FILING_STATUS=OR","EQY_CONSOLIDATED=Y","FA_ADJUSTED=GAAP","Sort=A","Dates=H","DateFormat=P","Fill=—","Direction=H","UseDPDF=Y")</f>
        <v>#NAME?</v>
      </c>
      <c r="S386" t="e">
        <f ca="1">_xll.BDH($C$378,"SUSTAIN_GROWTH_RT","FQ3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386" s="2" t="e">
        <f ca="1">_xll.BDH($C$378,"SALES_GROWTH","FQ3 2015","FQ3 2015","Currency=INR","Period=FQ","BEST_FPERIOD_OVERRIDE=FQ","FILING_STATUS=OR","EQY_CONSOLIDATED=Y","FA_ADJUSTED=GAAP","Sort=A","Dates=H","DateFormat=P","Fill=—","Direction=H","UseDPDF=Y")</f>
        <v>#NAME?</v>
      </c>
      <c r="U386" s="2" t="e">
        <f ca="1">_xll.BDH($C$378,"EBITDA_GROWTH","FQ3 2015","FQ3 2015","Currency=INR","Period=FQ","BEST_FPERIOD_OVERRIDE=FQ","FILING_STATUS=OR","EQY_CONSOLIDATED=Y","FA_ADJUSTED=GAAP","Sort=A","Dates=H","DateFormat=P","Fill=—","Direction=H","UseDPDF=Y")</f>
        <v>#NAME?</v>
      </c>
      <c r="V386" s="2" t="e">
        <f ca="1">_xll.BDH($C$378,"OPER_INC_GROWTH","FQ3 2015","FQ3 2015","Currency=INR","Period=FQ","BEST_FPERIOD_OVERRIDE=FQ","FILING_STATUS=OR","EQY_CONSOLIDATED=Y","FA_ADJUSTED=GAAP","Sort=A","Dates=H","DateFormat=P","Fill=—","Direction=H","UseDPDF=Y")</f>
        <v>#NAME?</v>
      </c>
      <c r="W386" s="2" t="e">
        <f ca="1">_xll.BDH($C$378,"EARN_FOR_COM_GROWTH","FQ3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386" s="2" t="e">
        <f ca="1">_xll.BDH($C$378,"DILUTED_EPS_AFT_XO_ITEMS_GROWTH","FQ3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386" s="2" t="e">
        <f ca="1">_xll.BDH($C$378,"DIVIDEND_PER_SHARE_1_YEAR_GROWTH","FQ3 2015","FQ3 2015","Currency=INR","Period=FQ","BEST_FPERIOD_OVERRIDE=FQ","FILING_STATUS=OR","EQY_CONSOLIDATED=Y","Sort=A","Dates=H","DateFormat=P","Fill=—","Direction=H","UseDPDF=Y")</f>
        <v>#NAME?</v>
      </c>
      <c r="Z386" s="2" t="e">
        <f ca="1">_xll.BDH($C$378,"ACCOUNTS_RECEIVABLE_GROWTH","FQ3 2015","FQ3 2015","Currency=INR","Period=FQ","BEST_FPERIOD_OVERRIDE=FQ","FILING_STATUS=OR","EQY_CONSOLIDATED=Y","Sort=A","Dates=H","DateFormat=P","Fill=—","Direction=H","UseDPDF=Y")</f>
        <v>#NAME?</v>
      </c>
      <c r="AA386" s="2" t="e">
        <f ca="1">_xll.BDH($C$378,"INVENTORY_GROWTH","FQ3 2015","FQ3 2015","Currency=INR","Period=FQ","BEST_FPERIOD_OVERRIDE=FQ","FILING_STATUS=OR","EQY_CONSOLIDATED=Y","Sort=A","Dates=H","DateFormat=P","Fill=—","Direction=H","UseDPDF=Y")</f>
        <v>#NAME?</v>
      </c>
      <c r="AB386" s="2" t="e">
        <f ca="1">_xll.BDH($C$378,"NET_FIXED_ASSETS_1_YEAR_GROWTH","FQ3 2015","FQ3 2015","Currency=INR","Period=FQ","BEST_FPERIOD_OVERRIDE=FQ","FILING_STATUS=OR","EQY_CONSOLIDATED=Y","Sort=A","Dates=H","DateFormat=P","Fill=—","Direction=H","UseDPDF=Y")</f>
        <v>#NAME?</v>
      </c>
      <c r="AC386" s="2" t="e">
        <f ca="1">_xll.BDH($C$378,"ASSET_GROWTH","FQ3 2015","FQ3 2015","Currency=INR","Period=FQ","BEST_FPERIOD_OVERRIDE=FQ","FILING_STATUS=OR","EQY_CONSOLIDATED=Y","Sort=A","Dates=H","DateFormat=P","Fill=—","Direction=H","UseDPDF=Y")</f>
        <v>#NAME?</v>
      </c>
      <c r="AD386" s="2" t="e">
        <f ca="1">_xll.BDH($C$378,"MODIFIED_WORK_CAP_GROWTH","FQ3 2015","FQ3 2015","Currency=INR","Period=FQ","BEST_FPERIOD_OVERRIDE=FQ","FILING_STATUS=OR","EQY_CONSOLIDATED=Y","Sort=A","Dates=H","DateFormat=P","Fill=—","Direction=H","UseDPDF=Y")</f>
        <v>#NAME?</v>
      </c>
      <c r="AE386" s="2" t="e">
        <f ca="1">_xll.BDH($C$378,"WORK_CAP_GROWTH","FQ3 2015","FQ3 2015","Currency=INR","Period=FQ","BEST_FPERIOD_OVERRIDE=FQ","FILING_STATUS=OR","EQY_CONSOLIDATED=Y","Sort=A","Dates=H","DateFormat=P","Fill=—","Direction=H","UseDPDF=Y")</f>
        <v>#NAME?</v>
      </c>
      <c r="AF386" s="2" t="e">
        <f ca="1">_xll.BDH($C$378,"ACCOUNTS_PAYABLE_GROWTH_1YR","FQ3 2015","FQ3 2015","Currency=INR","Period=FQ","BEST_FPERIOD_OVERRIDE=FQ","FILING_STATUS=OR","EQY_CONSOLIDATED=Y","Sort=A","Dates=H","DateFormat=P","Fill=—","Direction=H","UseDPDF=Y")</f>
        <v>#NAME?</v>
      </c>
      <c r="AG386" s="2" t="e">
        <f ca="1">_xll.BDH($C$378,"SHORT_TERM_DEBT_1_YEAR_GROWTH","FQ3 2015","FQ3 2015","Currency=INR","Period=FQ","BEST_FPERIOD_OVERRIDE=FQ","FILING_STATUS=OR","EQY_CONSOLIDATED=Y","Sort=A","Dates=H","DateFormat=P","Fill=—","Direction=H","UseDPDF=Y")</f>
        <v>#NAME?</v>
      </c>
      <c r="AH386" s="2" t="e">
        <f ca="1">_xll.BDH($C$378,"TOTAL_DEBT_1_YEAR_GROWTH","FQ3 2015","FQ3 2015","Currency=INR","Period=FQ","BEST_FPERIOD_OVERRIDE=FQ","FILING_STATUS=OR","EQY_CONSOLIDATED=Y","Sort=A","Dates=H","DateFormat=P","Fill=—","Direction=H","UseDPDF=Y")</f>
        <v>#NAME?</v>
      </c>
      <c r="AI386" s="2" t="e">
        <f ca="1">_xll.BDH($C$378,"TOTAL_EQUITY_1_YEAR_GROWTH","FQ3 2015","FQ3 2015","Currency=INR","Period=FQ","BEST_FPERIOD_OVERRIDE=FQ","FILING_STATUS=OR","EQY_CONSOLIDATED=Y","Sort=A","Dates=H","DateFormat=P","Fill=—","Direction=H","UseDPDF=Y")</f>
        <v>#NAME?</v>
      </c>
      <c r="AJ386" s="2" t="e">
        <f ca="1">_xll.BDH($C$378,"GROWTH_IN_CAP","FQ3 2015","FQ3 2015","Currency=INR","Period=FQ","BEST_FPERIOD_OVERRIDE=FQ","FILING_STATUS=OR","EQY_CONSOLIDATED=Y","Sort=A","Dates=H","DateFormat=P","Fill=—","Direction=H","UseDPDF=Y")</f>
        <v>#NAME?</v>
      </c>
      <c r="AK386" s="2" t="e">
        <f ca="1">_xll.BDH($C$378,"BVPS_GROWTH","FQ3 2015","FQ3 2015","Currency=INR","Period=FQ","BEST_FPERIOD_OVERRIDE=FQ","FILING_STATUS=OR","EQY_CONSOLIDATED=Y","Sort=A","Dates=H","DateFormat=P","Fill=—","Direction=H","UseDPDF=Y")</f>
        <v>#NAME?</v>
      </c>
      <c r="AL386" s="2" t="e">
        <f ca="1">_xll.BDH($C$378,"CASH_FLOW_GROWTH","FQ3 2015","FQ3 2015","Currency=INR","Period=FQ","BEST_FPERIOD_OVERRIDE=FQ","FILING_STATUS=OR","EQY_CONSOLIDATED=Y","Sort=A","Dates=H","DateFormat=P","Fill=—","Direction=H","UseDPDF=Y")</f>
        <v>#NAME?</v>
      </c>
      <c r="AM386" s="2" t="e">
        <f ca="1">_xll.BDH($C$378,"GEO_GROW_NET_SALES","FQ3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386" s="2" t="e">
        <f ca="1">_xll.BDH($C$378,"GEO_GROW_EBITDA","FQ3 2015","FQ3 2015","Currency=INR","Period=FQ","BEST_FPERIOD_OVERRIDE=FQ","FILING_STATUS=OR","EQY_CONSOLIDATED=Y","FA_ADJUSTED=GAAP","Sort=A","Dates=H","DateFormat=P","Fill=—","Direction=H","UseDPDF=Y")</f>
        <v>#NAME?</v>
      </c>
      <c r="AO386" s="2" t="e">
        <f ca="1">_xll.BDH($C$378,"GEO_GROW_OPER_INC","FQ3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386" s="2" t="e">
        <f ca="1">_xll.BDH($C$378,"NET_INCOME_TO_COMMON_5_YR_GROWTH","FQ3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386" s="2" t="e">
        <f ca="1">_xll.BDH($C$378,"5Y_GEO_GROWTH_DILUTED_EPS","FQ3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386" s="2" t="e">
        <f ca="1">_xll.BDH($C$378,"GEO_GROW_DVD_PER_SH","FQ3 2015","FQ3 2015","Currency=INR","Period=FQ","BEST_FPERIOD_OVERRIDE=FQ","FILING_STATUS=OR","EQY_CONSOLIDATED=Y","Sort=A","Dates=H","DateFormat=P","Fill=—","Direction=H","UseDPDF=Y")</f>
        <v>#NAME?</v>
      </c>
      <c r="AS386" s="2" t="e">
        <f ca="1">_xll.BDH($C$378,"ACCOUNTS_RECEIVABLE_5_YR_GROWTH","FQ3 2015","FQ3 2015","Currency=INR","Period=FQ","BEST_FPERIOD_OVERRIDE=FQ","FILING_STATUS=OR","EQY_CONSOLIDATED=Y","Sort=A","Dates=H","DateFormat=P","Fill=—","Direction=H","UseDPDF=Y")</f>
        <v>#NAME?</v>
      </c>
      <c r="AT386" s="2" t="e">
        <f ca="1">_xll.BDH($C$378,"INVENTORY_5_YEAR_GROWTH","FQ3 2015","FQ3 2015","Currency=INR","Period=FQ","BEST_FPERIOD_OVERRIDE=FQ","FILING_STATUS=OR","EQY_CONSOLIDATED=Y","Sort=A","Dates=H","DateFormat=P","Fill=—","Direction=H","UseDPDF=Y")</f>
        <v>#NAME?</v>
      </c>
      <c r="AU386" s="2" t="e">
        <f ca="1">_xll.BDH($C$378,"NET_FIXED_ASSETS_5_YEAR_GROWTH","FQ3 2015","FQ3 2015","Currency=INR","Period=FQ","BEST_FPERIOD_OVERRIDE=FQ","FILING_STATUS=OR","EQY_CONSOLIDATED=Y","Sort=A","Dates=H","DateFormat=P","Fill=—","Direction=H","UseDPDF=Y")</f>
        <v>#NAME?</v>
      </c>
      <c r="AV386" s="2" t="e">
        <f ca="1">_xll.BDH($C$378,"GEO_GROW_TOT_ASSET","FQ3 2015","FQ3 2015","Currency=INR","Period=FQ","BEST_FPERIOD_OVERRIDE=FQ","FILING_STATUS=OR","EQY_CONSOLIDATED=Y","Sort=A","Dates=H","DateFormat=P","Fill=—","Direction=H","UseDPDF=Y")</f>
        <v>#NAME?</v>
      </c>
      <c r="AW386" s="2" t="e">
        <f ca="1">_xll.BDH($C$378,"MODIFIED_WORKING_CPTL_5YR_GRWTH","FQ3 2015","FQ3 2015","Currency=INR","Period=FQ","BEST_FPERIOD_OVERRIDE=FQ","FILING_STATUS=OR","EQY_CONSOLIDATED=Y","Sort=A","Dates=H","DateFormat=P","Fill=—","Direction=H","UseDPDF=Y")</f>
        <v>#NAME?</v>
      </c>
      <c r="AX386" s="2" t="e">
        <f ca="1">_xll.BDH($C$378,"WORKING_CAPITAL_5_YEAR_GROWTH","FQ3 2015","FQ3 2015","Currency=INR","Period=FQ","BEST_FPERIOD_OVERRIDE=FQ","FILING_STATUS=OR","EQY_CONSOLIDATED=Y","Sort=A","Dates=H","DateFormat=P","Fill=—","Direction=H","UseDPDF=Y")</f>
        <v>#NAME?</v>
      </c>
      <c r="AY386" s="2" t="e">
        <f ca="1">_xll.BDH($C$378,"ACCOUNTS_PAYABLE_5_YEAR_GROWTH","FQ3 2015","FQ3 2015","Currency=INR","Period=FQ","BEST_FPERIOD_OVERRIDE=FQ","FILING_STATUS=OR","EQY_CONSOLIDATED=Y","Sort=A","Dates=H","DateFormat=P","Fill=—","Direction=H","UseDPDF=Y")</f>
        <v>#NAME?</v>
      </c>
      <c r="AZ386" s="2" t="e">
        <f ca="1">_xll.BDH($C$378,"SHORT_TERM_DEBT_5_YEAR_GROWTH","FQ3 2015","FQ3 2015","Currency=INR","Period=FQ","BEST_FPERIOD_OVERRIDE=FQ","FILING_STATUS=OR","EQY_CONSOLIDATED=Y","Sort=A","Dates=H","DateFormat=P","Fill=—","Direction=H","UseDPDF=Y")</f>
        <v>#NAME?</v>
      </c>
      <c r="BA386" s="2" t="e">
        <f ca="1">_xll.BDH($C$378,"TOTAL_DEBT_5_YEAR_GROWTH","FQ3 2015","FQ3 2015","Currency=INR","Period=FQ","BEST_FPERIOD_OVERRIDE=FQ","FILING_STATUS=OR","EQY_CONSOLIDATED=Y","Sort=A","Dates=H","DateFormat=P","Fill=—","Direction=H","UseDPDF=Y")</f>
        <v>#NAME?</v>
      </c>
      <c r="BB386" s="2" t="e">
        <f ca="1">_xll.BDH($C$378,"GEO_GROW_TOT_SHRHLDR_EQY","FQ3 2015","FQ3 2015","Currency=INR","Period=FQ","BEST_FPERIOD_OVERRIDE=FQ","FILING_STATUS=OR","EQY_CONSOLIDATED=Y","Sort=A","Dates=H","DateFormat=P","Fill=—","Direction=H","UseDPDF=Y")</f>
        <v>#NAME?</v>
      </c>
      <c r="BC386" s="2" t="e">
        <f ca="1">_xll.BDH($C$378,"TOTAL_CAPITAL_5_YEAR_GROWTH","FQ3 2015","FQ3 2015","Currency=INR","Period=FQ","BEST_FPERIOD_OVERRIDE=FQ","FILING_STATUS=OR","EQY_CONSOLIDATED=Y","Sort=A","Dates=H","DateFormat=P","Fill=—","Direction=H","UseDPDF=Y")</f>
        <v>#NAME?</v>
      </c>
      <c r="BD386" s="2" t="e">
        <f ca="1">_xll.BDH($C$378,"GEO_GROW_BOOK_VAL","FQ3 2015","FQ3 2015","Currency=INR","Period=FQ","BEST_FPERIOD_OVERRIDE=FQ","FILING_STATUS=OR","EQY_CONSOLIDATED=Y","Sort=A","Dates=H","DateFormat=P","Fill=—","Direction=H","UseDPDF=Y")</f>
        <v>#NAME?</v>
      </c>
      <c r="BE386" s="2" t="e">
        <f ca="1">_xll.BDH($C$378,"GEO_GROW_CASH_OPER_ACT","FQ3 2015","FQ3 2015","Currency=INR","Period=FQ","BEST_FPERIOD_OVERRIDE=FQ","FILING_STATUS=OR","EQY_CONSOLIDATED=Y","Sort=A","Dates=H","DateFormat=P","Fill=—","Direction=H","UseDPDF=Y")</f>
        <v>#NAME?</v>
      </c>
      <c r="BF386" s="2" t="e">
        <f ca="1">_xll.BDH($C$378,"REVENUE_SEQUENTIAL_GROWTH","FQ3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386" s="2" t="e">
        <f ca="1">_xll.BDH($C$378,"EBITDA_SEQUENTIAL_GROWTH","FQ3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386" s="2" t="e">
        <f ca="1">_xll.BDH($C$378,"OPERATING_INCOME_SEQ_GROWTH","FQ3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386" s="2" t="e">
        <f ca="1">_xll.BDH($C$378,"NET_INCOME_TO_COMMON_SEQ_GROWTH","FQ3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386" s="2" t="e">
        <f ca="1">_xll.BDH($C$378,"EPS_DILUTED_SEQUENTIAL_GROWTH","FQ3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386" s="2" t="e">
        <f ca="1">_xll.BDH($C$378,"DPS_SEQUENTIAL_GROWTH","FQ3 2015","FQ3 2015","Currency=INR","Period=FQ","BEST_FPERIOD_OVERRIDE=FQ","FILING_STATUS=OR","EQY_CONSOLIDATED=Y","Sort=A","Dates=H","DateFormat=P","Fill=—","Direction=H","UseDPDF=Y")</f>
        <v>#NAME?</v>
      </c>
      <c r="BL386" s="2" t="e">
        <f ca="1">_xll.BDH($C$378,"ACCOUNTS_RECEIVABLE_SEQ_GROWTH","FQ3 2015","FQ3 2015","Currency=INR","Period=FQ","BEST_FPERIOD_OVERRIDE=FQ","FILING_STATUS=OR","EQY_CONSOLIDATED=Y","Sort=A","Dates=H","DateFormat=P","Fill=—","Direction=H","UseDPDF=Y")</f>
        <v>#NAME?</v>
      </c>
      <c r="BM386" s="2" t="e">
        <f ca="1">_xll.BDH($C$378,"INVENTORY_SEQUENTIAL_GROWTH","FQ3 2015","FQ3 2015","Currency=INR","Period=FQ","BEST_FPERIOD_OVERRIDE=FQ","FILING_STATUS=OR","EQY_CONSOLIDATED=Y","Sort=A","Dates=H","DateFormat=P","Fill=—","Direction=H","UseDPDF=Y")</f>
        <v>#NAME?</v>
      </c>
      <c r="BN386" s="2" t="e">
        <f ca="1">_xll.BDH($C$378,"FIXED_ASSETS_SEQUENTIAL_GROWTH","FQ3 2015","FQ3 2015","Currency=INR","Period=FQ","BEST_FPERIOD_OVERRIDE=FQ","FILING_STATUS=OR","EQY_CONSOLIDATED=Y","Sort=A","Dates=H","DateFormat=P","Fill=—","Direction=H","UseDPDF=Y")</f>
        <v>#NAME?</v>
      </c>
      <c r="BO386" s="2" t="e">
        <f ca="1">_xll.BDH($C$378,"TOTAL_ASSETS_SEQUENTIAL_GROWTH","FQ3 2015","FQ3 2015","Currency=INR","Period=FQ","BEST_FPERIOD_OVERRIDE=FQ","FILING_STATUS=OR","EQY_CONSOLIDATED=Y","Sort=A","Dates=H","DateFormat=P","Fill=—","Direction=H","UseDPDF=Y")</f>
        <v>#NAME?</v>
      </c>
      <c r="BP386" s="2" t="e">
        <f ca="1">_xll.BDH($C$378,"MODIFIED_WORKING_CPTL_SEQ_GRWTH","FQ3 2015","FQ3 2015","Currency=INR","Period=FQ","BEST_FPERIOD_OVERRIDE=FQ","FILING_STATUS=OR","EQY_CONSOLIDATED=Y","Sort=A","Dates=H","DateFormat=P","Fill=—","Direction=H","UseDPDF=Y")</f>
        <v>#NAME?</v>
      </c>
      <c r="BQ386" s="2" t="e">
        <f ca="1">_xll.BDH($C$378,"WORKING_CAPITAL_SEQ_GROWTH","FQ3 2015","FQ3 2015","Currency=INR","Period=FQ","BEST_FPERIOD_OVERRIDE=FQ","FILING_STATUS=OR","EQY_CONSOLIDATED=Y","Sort=A","Dates=H","DateFormat=P","Fill=—","Direction=H","UseDPDF=Y")</f>
        <v>#NAME?</v>
      </c>
      <c r="BR386" s="2" t="e">
        <f ca="1">_xll.BDH($C$378,"ACCOUNTS_PAYABLE_SEQ_GROWTH","FQ3 2015","FQ3 2015","Currency=INR","Period=FQ","BEST_FPERIOD_OVERRIDE=FQ","FILING_STATUS=OR","EQY_CONSOLIDATED=Y","Sort=A","Dates=H","DateFormat=P","Fill=—","Direction=H","UseDPDF=Y")</f>
        <v>#NAME?</v>
      </c>
      <c r="BS386" s="2" t="e">
        <f ca="1">_xll.BDH($C$378,"ST_DEBT_SEQUENTIAL_GROWTH","FQ3 2015","FQ3 2015","Currency=INR","Period=FQ","BEST_FPERIOD_OVERRIDE=FQ","FILING_STATUS=OR","EQY_CONSOLIDATED=Y","Sort=A","Dates=H","DateFormat=P","Fill=—","Direction=H","UseDPDF=Y")</f>
        <v>#NAME?</v>
      </c>
      <c r="BT386" s="2" t="e">
        <f ca="1">_xll.BDH($C$378,"TOTAL_DEBT_SEQUENTIAL_GROWTH","FQ3 2015","FQ3 2015","Currency=INR","Period=FQ","BEST_FPERIOD_OVERRIDE=FQ","FILING_STATUS=OR","EQY_CONSOLIDATED=Y","Sort=A","Dates=H","DateFormat=P","Fill=—","Direction=H","UseDPDF=Y")</f>
        <v>#NAME?</v>
      </c>
      <c r="BU386" s="2" t="e">
        <f ca="1">_xll.BDH($C$378,"TOTAL_EQUITY_SEQUENTIAL_GROWTH","FQ3 2015","FQ3 2015","Currency=INR","Period=FQ","BEST_FPERIOD_OVERRIDE=FQ","FILING_STATUS=OR","EQY_CONSOLIDATED=Y","Sort=A","Dates=H","DateFormat=P","Fill=—","Direction=H","UseDPDF=Y")</f>
        <v>#NAME?</v>
      </c>
      <c r="BV386" s="2" t="e">
        <f ca="1">_xll.BDH($C$378,"TOTAL_CAPITAL_SEQUENTIAL_GROWTH","FQ3 2015","FQ3 2015","Currency=INR","Period=FQ","BEST_FPERIOD_OVERRIDE=FQ","FILING_STATUS=OR","EQY_CONSOLIDATED=Y","Sort=A","Dates=H","DateFormat=P","Fill=—","Direction=H","UseDPDF=Y")</f>
        <v>#NAME?</v>
      </c>
      <c r="BW386" s="2" t="e">
        <f ca="1">_xll.BDH($C$378,"BPS_SEQUENTIAL_GROWTH","FQ3 2015","FQ3 2015","Currency=INR","Period=FQ","BEST_FPERIOD_OVERRIDE=FQ","FILING_STATUS=OR","EQY_CONSOLIDATED=Y","Sort=A","Dates=H","DateFormat=P","Fill=—","Direction=H","UseDPDF=Y")</f>
        <v>#NAME?</v>
      </c>
      <c r="BX386" s="2" t="e">
        <f ca="1">_xll.BDH($C$378,"CFO_SEQUENTIAL_GROWTH","FQ3 2015","FQ3 2015","Currency=INR","Period=FQ","BEST_FPERIOD_OVERRIDE=FQ","FILING_STATUS=OR","EQY_CONSOLIDATED=Y","Sort=A","Dates=H","DateFormat=P","Fill=—","Direction=H","UseDPDF=Y")</f>
        <v>#NAME?</v>
      </c>
      <c r="BY386" s="3" t="e">
        <f ca="1">_xll.BDH($C$378,"SHORT_AND_LONG_TERM_DEBT","FQ3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386" s="3" t="e">
        <f ca="1">_xll.BDH($C$378,"BS_ST_BORROW","FQ3 2015","FQ3 2015","Currency=INR","Period=FQ","BEST_FPERIOD_OVERRIDE=FQ","FILING_STATUS=OR","EQY_CONSOLIDATED=Y","SCALING_FORMAT=MLN","Sort=A","Dates=H","DateFormat=P","Fill=—","Direction=H","UseDPDF=Y")</f>
        <v>#NAME?</v>
      </c>
      <c r="CA386" s="3" t="e">
        <f ca="1">_xll.BDH($C$378,"BS_LT_BORROW","FQ3 2015","FQ3 2015","Currency=INR","Period=FQ","BEST_FPERIOD_OVERRIDE=FQ","FILING_STATUS=OR","EQY_CONSOLIDATED=Y","SCALING_FORMAT=MLN","Sort=A","Dates=H","DateFormat=P","Fill=—","Direction=H","UseDPDF=Y")</f>
        <v>#NAME?</v>
      </c>
      <c r="CB386" s="2" t="e">
        <f ca="1">_xll.BDH($C$378,"TOT_DEBT_TO_EBITDA","FQ3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386" s="2" t="e">
        <f ca="1">_xll.BDH($C$378,"NET_DEBT_TO_EBITDA","FQ3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386" s="2" t="e">
        <f ca="1">_xll.BDH($C$378,"TOTAL_DEBT_TO_EBIT","FQ3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386" s="2" t="e">
        <f ca="1">_xll.BDH($C$378,"NET_DEBT_TO_EBIT","FQ3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386" s="2" t="e">
        <f ca="1">_xll.BDH($C$378,"EBITDA_TO_INTEREST_EXPN","FQ3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386" s="2" t="e">
        <f ca="1">_xll.BDH($C$378,"COM_EQY_TO_TOT_ASSET","FQ3 2015","FQ3 2015","Currency=INR","Period=FQ","BEST_FPERIOD_OVERRIDE=FQ","FILING_STATUS=OR","EQY_CONSOLIDATED=Y","Sort=A","Dates=H","DateFormat=P","Fill=—","Direction=H","UseDPDF=Y")</f>
        <v>#NAME?</v>
      </c>
      <c r="CH386" s="2" t="e">
        <f ca="1">_xll.BDH($C$378,"LT_DEBT_TO_TOT_EQY","FQ3 2015","FQ3 2015","Currency=INR","Period=FQ","BEST_FPERIOD_OVERRIDE=FQ","FILING_STATUS=OR","EQY_CONSOLIDATED=Y","Sort=A","Dates=H","DateFormat=P","Fill=—","Direction=H","UseDPDF=Y")</f>
        <v>#NAME?</v>
      </c>
      <c r="CI386" s="2" t="e">
        <f ca="1">_xll.BDH($C$378,"LT_DEBT_TO_TOT_CAP","FQ3 2015","FQ3 2015","Currency=INR","Period=FQ","BEST_FPERIOD_OVERRIDE=FQ","FILING_STATUS=OR","EQY_CONSOLIDATED=Y","Sort=A","Dates=H","DateFormat=P","Fill=—","Direction=H","UseDPDF=Y")</f>
        <v>#NAME?</v>
      </c>
      <c r="CJ386" s="2" t="e">
        <f ca="1">_xll.BDH($C$378,"LT_DEBT_TO_TOT_ASSET","FQ3 2015","FQ3 2015","Currency=INR","Period=FQ","BEST_FPERIOD_OVERRIDE=FQ","FILING_STATUS=OR","EQY_CONSOLIDATED=Y","Sort=A","Dates=H","DateFormat=P","Fill=—","Direction=H","UseDPDF=Y")</f>
        <v>#NAME?</v>
      </c>
      <c r="CK386" s="2" t="e">
        <f ca="1">_xll.BDH($C$378,"TOT_DEBT_TO_TOT_EQY","FQ3 2015","FQ3 2015","Currency=INR","Period=FQ","BEST_FPERIOD_OVERRIDE=FQ","FILING_STATUS=OR","EQY_CONSOLIDATED=Y","Sort=A","Dates=H","DateFormat=P","Fill=—","Direction=H","UseDPDF=Y")</f>
        <v>#NAME?</v>
      </c>
      <c r="CL386" s="2" t="e">
        <f ca="1">_xll.BDH($C$378,"TOT_DEBT_TO_TOT_CAP","FQ3 2015","FQ3 2015","Currency=INR","Period=FQ","BEST_FPERIOD_OVERRIDE=FQ","FILING_STATUS=OR","EQY_CONSOLIDATED=Y","Sort=A","Dates=H","DateFormat=P","Fill=—","Direction=H","UseDPDF=Y")</f>
        <v>#NAME?</v>
      </c>
      <c r="CM386" s="2" t="e">
        <f ca="1">_xll.BDH($C$378,"TOT_DEBT_TO_TOT_ASSET","FQ3 2015","FQ3 2015","Currency=INR","Period=FQ","BEST_FPERIOD_OVERRIDE=FQ","FILING_STATUS=OR","EQY_CONSOLIDATED=Y","Sort=A","Dates=H","DateFormat=P","Fill=—","Direction=H","UseDPDF=Y")</f>
        <v>#NAME?</v>
      </c>
      <c r="CN386" s="2" t="e">
        <f ca="1">_xll.BDH($C$378,"NET_DEBT_TO_SHRHLDR_EQTY","FQ3 2015","FQ3 2015","Currency=INR","Period=FQ","BEST_FPERIOD_OVERRIDE=FQ","FILING_STATUS=OR","EQY_CONSOLIDATED=Y","Sort=A","Dates=H","DateFormat=P","Fill=—","Direction=H","UseDPDF=Y")</f>
        <v>#NAME?</v>
      </c>
      <c r="CO386" s="2" t="e">
        <f ca="1">_xll.BDH($C$378,"NET_DEBT_%_CAPITAL","FQ3 2015","FQ3 2015","Currency=INR","Period=FQ","BEST_FPERIOD_OVERRIDE=FQ","FILING_STATUS=OR","EQY_CONSOLIDATED=Y","Sort=A","Dates=H","DateFormat=P","Fill=—","Direction=H","UseDPDF=Y")</f>
        <v>#NAME?</v>
      </c>
      <c r="CP386" s="3" t="e">
        <f ca="1">_xll.BDH($C$378,"EBITDA","FQ3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386" s="3" t="e">
        <f ca="1">_xll.BDH($C$378,"EBITDA_AFTER_CAPEX","FQ3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386" s="3" t="e">
        <f ca="1">_xll.BDH($C$378,"IS_OPER_INC","FQ3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386" s="2" t="e">
        <f ca="1">_xll.BDH($C$378,"CASH_RATIO","FQ3 2015","FQ3 2015","Currency=INR","Period=FQ","BEST_FPERIOD_OVERRIDE=FQ","FILING_STATUS=OR","EQY_CONSOLIDATED=Y","Sort=A","Dates=H","DateFormat=P","Fill=—","Direction=H","UseDPDF=Y")</f>
        <v>#NAME?</v>
      </c>
      <c r="CT386" s="2" t="e">
        <f ca="1">_xll.BDH($C$378,"CUR_RATIO","FQ3 2015","FQ3 2015","Currency=INR","Period=FQ","BEST_FPERIOD_OVERRIDE=FQ","FILING_STATUS=OR","EQY_CONSOLIDATED=Y","Sort=A","Dates=H","DateFormat=P","Fill=—","Direction=H","UseDPDF=Y")</f>
        <v>#NAME?</v>
      </c>
      <c r="CU386" s="2" t="e">
        <f ca="1">_xll.BDH($C$378,"QUICK_RATIO","FQ3 2015","FQ3 2015","Currency=INR","Period=FQ","BEST_FPERIOD_OVERRIDE=FQ","FILING_STATUS=OR","EQY_CONSOLIDATED=Y","Sort=A","Dates=H","DateFormat=P","Fill=—","Direction=H","UseDPDF=Y")</f>
        <v>#NAME?</v>
      </c>
      <c r="CV386" s="2" t="e">
        <f ca="1">_xll.BDH($C$378,"ALTMAN_Z_SCORE","FQ3 2015","FQ3 2015","Currency=INR","Period=FQ","BEST_FPERIOD_OVERRIDE=FQ","FILING_STATUS=OR","EQY_CONSOLIDATED=Y","Sort=A","Dates=H","DateFormat=P","Fill=—","Direction=H","UseDPDF=Y")</f>
        <v>#NAME?</v>
      </c>
      <c r="CW386" s="4" t="e">
        <f ca="1">_xll.BDH($C$378,"ACCT_RCV_TURN","FQ3 2015","FQ3 2015","Currency=INR","Period=FQ","BEST_FPERIOD_OVERRIDE=FQ","FILING_STATUS=OR","EQY_CONSOLIDATED=Y","FA_ADJUSTED=GAAP","Sort=A","Dates=H","DateFormat=P","Fill=—","Direction=H","UseDPDF=Y")</f>
        <v>#NAME?</v>
      </c>
      <c r="CX386" s="2" t="e">
        <f ca="1">_xll.BDH($C$378,"ACCT_RCV_DAYS","FQ3 2015","FQ3 2015","Currency=INR","Period=FQ","BEST_FPERIOD_OVERRIDE=FQ","FILING_STATUS=OR","EQY_CONSOLIDATED=Y","FA_ADJUSTED=GAAP","Sort=A","Dates=H","DateFormat=P","Fill=—","Direction=H","UseDPDF=Y")</f>
        <v>#NAME?</v>
      </c>
      <c r="CY386" s="4" t="e">
        <f ca="1">_xll.BDH($C$378,"INVENT_TURN","FQ3 2015","FQ3 2015","Currency=INR","Period=FQ","BEST_FPERIOD_OVERRIDE=FQ","FILING_STATUS=OR","EQY_CONSOLIDATED=Y","FA_ADJUSTED=GAAP","Sort=A","Dates=H","DateFormat=P","Fill=—","Direction=H","UseDPDF=Y")</f>
        <v>#NAME?</v>
      </c>
      <c r="CZ386" s="2" t="e">
        <f ca="1">_xll.BDH($C$378,"INVENT_DAYS","FQ3 2015","FQ3 2015","Currency=INR","Period=FQ","BEST_FPERIOD_OVERRIDE=FQ","FILING_STATUS=OR","EQY_CONSOLIDATED=Y","FA_ADJUSTED=GAAP","Sort=A","Dates=H","DateFormat=P","Fill=—","Direction=H","UseDPDF=Y")</f>
        <v>#NAME?</v>
      </c>
      <c r="DA386" s="4" t="e">
        <f ca="1">_xll.BDH($C$378,"ACCOUNTS_PAYABLE_TURNOVER","FQ3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386" s="2" t="e">
        <f ca="1">_xll.BDH($C$378,"ACCOUNTS_PAYABLE_TURNOVER_DAYS","FQ3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386" s="4" t="e">
        <f ca="1">_xll.BDH($C$378,"CASH_CONVERSION_CYCLE","FQ3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386" s="4" t="e">
        <f ca="1">_xll.BDH($C$378,"INV_TO_CASH_DAYS","FQ3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386" s="5" t="e">
        <f ca="1">_xll.BDH($C$378,"BS_INVENTORIES","FQ3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386" s="3" t="e">
        <f ca="1">_xll.BDH($C$378,"INVTRY_RAW_MATERIALS","FQ3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386" s="3" t="e">
        <f ca="1">_xll.BDH($C$378,"INVTRY_IN_PROGRESS","FQ3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386" s="3" t="e">
        <f ca="1">_xll.BDH($C$378,"INVTRY_FINISHED_GOODS","FQ3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386" s="3" t="e">
        <f ca="1">_xll.BDH($C$378,"BS_OTHER_INV","FQ3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387" spans="1:113" x14ac:dyDescent="0.3">
      <c r="A387" s="6"/>
      <c r="B387" s="6"/>
      <c r="C387" s="6"/>
      <c r="D387" s="6"/>
      <c r="E387" t="s">
        <v>81</v>
      </c>
      <c r="F387" t="e">
        <f ca="1">_xll.BDH($C$378,"RETURN_COM_EQY","FQ4 2015","FQ4 2015","Currency=INR","Period=FQ","BEST_FPERIOD_OVERRIDE=FQ","FILING_STATUS=OR","EQY_CONSOLIDATED=Y","FA_ADJUSTED=GAAP","Sort=A","Dates=H","DateFormat=P","Fill=—","Direction=H","UseDPDF=Y")</f>
        <v>#NAME?</v>
      </c>
      <c r="G387" t="e">
        <f ca="1">_xll.BDH($C$378,"RETURN_ON_ASSET","FQ4 2015","FQ4 2015","Currency=INR","Period=FQ","BEST_FPERIOD_OVERRIDE=FQ","FILING_STATUS=OR","EQY_CONSOLIDATED=Y","FA_ADJUSTED=GAAP","Sort=A","Dates=H","DateFormat=P","Fill=—","Direction=H","UseDPDF=Y")</f>
        <v>#NAME?</v>
      </c>
      <c r="H387" t="e">
        <f ca="1">_xll.BDH($C$378,"RETURN_ON_CAP","FQ4 2015","FQ4 2015","Currency=INR","Period=FQ","BEST_FPERIOD_OVERRIDE=FQ","FILING_STATUS=OR","EQY_CONSOLIDATED=Y","FA_ADJUSTED=GAAP","Sort=A","Dates=H","DateFormat=P","Fill=—","Direction=H","UseDPDF=Y")</f>
        <v>#NAME?</v>
      </c>
      <c r="I387" t="e">
        <f ca="1">_xll.BDH($C$378,"RETURN_ON_INV_CAPITAL","FQ4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387" t="e">
        <f ca="1">_xll.BDH($C$378,"EBITDA_TO_REVENUE","FQ4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387" t="e">
        <f ca="1">_xll.BDH($C$378,"OPER_MARGIN","FQ4 2015","FQ4 2015","Currency=INR","Period=FQ","BEST_FPERIOD_OVERRIDE=FQ","FILING_STATUS=OR","EQY_CONSOLIDATED=Y","FA_ADJUSTED=GAAP","Sort=A","Dates=H","DateFormat=P","Fill=—","Direction=H","UseDPDF=Y")</f>
        <v>#NAME?</v>
      </c>
      <c r="L387" t="e">
        <f ca="1">_xll.BDH($C$378,"INCREMENTAL_OPERATING_MARGIN","FQ4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387" t="e">
        <f ca="1">_xll.BDH($C$378,"PRETAX_INC_TO_NET_SALES","FQ4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387" t="e">
        <f ca="1">_xll.BDH($C$378,"INC_BEF_XO_ITEMS_TO_NET_SALES","FQ4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387" t="e">
        <f ca="1">_xll.BDH($C$378,"PROF_MARGIN","FQ4 2015","FQ4 2015","Currency=INR","Period=FQ","BEST_FPERIOD_OVERRIDE=FQ","FILING_STATUS=OR","EQY_CONSOLIDATED=Y","FA_ADJUSTED=GAAP","Sort=A","Dates=H","DateFormat=P","Fill=—","Direction=H","UseDPDF=Y")</f>
        <v>#NAME?</v>
      </c>
      <c r="P387" t="e">
        <f ca="1">_xll.BDH($C$378,"NET_INCOME_TO_COMMON_MARGIN","FQ4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387" t="e">
        <f ca="1">_xll.BDH($C$378,"EFF_TAX_RATE","FQ4 2015","FQ4 2015","Currency=INR","Period=FQ","BEST_FPERIOD_OVERRIDE=FQ","FILING_STATUS=OR","EQY_CONSOLIDATED=Y","FA_ADJUSTED=GAAP","Sort=A","Dates=H","DateFormat=P","Fill=—","Direction=H","UseDPDF=Y")</f>
        <v>#NAME?</v>
      </c>
      <c r="R387" t="e">
        <f ca="1">_xll.BDH($C$378,"DVD_PAYOUT_RATIO","FQ4 2015","FQ4 2015","Currency=INR","Period=FQ","BEST_FPERIOD_OVERRIDE=FQ","FILING_STATUS=OR","EQY_CONSOLIDATED=Y","FA_ADJUSTED=GAAP","Sort=A","Dates=H","DateFormat=P","Fill=—","Direction=H","UseDPDF=Y")</f>
        <v>#NAME?</v>
      </c>
      <c r="S387" t="e">
        <f ca="1">_xll.BDH($C$378,"SUSTAIN_GROWTH_RT","FQ4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387" s="2" t="e">
        <f ca="1">_xll.BDH($C$378,"SALES_GROWTH","FQ4 2015","FQ4 2015","Currency=INR","Period=FQ","BEST_FPERIOD_OVERRIDE=FQ","FILING_STATUS=OR","EQY_CONSOLIDATED=Y","FA_ADJUSTED=GAAP","Sort=A","Dates=H","DateFormat=P","Fill=—","Direction=H","UseDPDF=Y")</f>
        <v>#NAME?</v>
      </c>
      <c r="U387" s="2" t="e">
        <f ca="1">_xll.BDH($C$378,"EBITDA_GROWTH","FQ4 2015","FQ4 2015","Currency=INR","Period=FQ","BEST_FPERIOD_OVERRIDE=FQ","FILING_STATUS=OR","EQY_CONSOLIDATED=Y","FA_ADJUSTED=GAAP","Sort=A","Dates=H","DateFormat=P","Fill=—","Direction=H","UseDPDF=Y")</f>
        <v>#NAME?</v>
      </c>
      <c r="V387" s="2" t="e">
        <f ca="1">_xll.BDH($C$378,"OPER_INC_GROWTH","FQ4 2015","FQ4 2015","Currency=INR","Period=FQ","BEST_FPERIOD_OVERRIDE=FQ","FILING_STATUS=OR","EQY_CONSOLIDATED=Y","FA_ADJUSTED=GAAP","Sort=A","Dates=H","DateFormat=P","Fill=—","Direction=H","UseDPDF=Y")</f>
        <v>#NAME?</v>
      </c>
      <c r="W387" s="2" t="e">
        <f ca="1">_xll.BDH($C$378,"EARN_FOR_COM_GROWTH","FQ4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387" s="2" t="e">
        <f ca="1">_xll.BDH($C$378,"DILUTED_EPS_AFT_XO_ITEMS_GROWTH","FQ4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387" s="2" t="e">
        <f ca="1">_xll.BDH($C$378,"DIVIDEND_PER_SHARE_1_YEAR_GROWTH","FQ4 2015","FQ4 2015","Currency=INR","Period=FQ","BEST_FPERIOD_OVERRIDE=FQ","FILING_STATUS=OR","EQY_CONSOLIDATED=Y","Sort=A","Dates=H","DateFormat=P","Fill=—","Direction=H","UseDPDF=Y")</f>
        <v>#NAME?</v>
      </c>
      <c r="Z387" s="2" t="e">
        <f ca="1">_xll.BDH($C$378,"ACCOUNTS_RECEIVABLE_GROWTH","FQ4 2015","FQ4 2015","Currency=INR","Period=FQ","BEST_FPERIOD_OVERRIDE=FQ","FILING_STATUS=OR","EQY_CONSOLIDATED=Y","Sort=A","Dates=H","DateFormat=P","Fill=—","Direction=H","UseDPDF=Y")</f>
        <v>#NAME?</v>
      </c>
      <c r="AA387" s="2" t="e">
        <f ca="1">_xll.BDH($C$378,"INVENTORY_GROWTH","FQ4 2015","FQ4 2015","Currency=INR","Period=FQ","BEST_FPERIOD_OVERRIDE=FQ","FILING_STATUS=OR","EQY_CONSOLIDATED=Y","Sort=A","Dates=H","DateFormat=P","Fill=—","Direction=H","UseDPDF=Y")</f>
        <v>#NAME?</v>
      </c>
      <c r="AB387" s="2" t="e">
        <f ca="1">_xll.BDH($C$378,"NET_FIXED_ASSETS_1_YEAR_GROWTH","FQ4 2015","FQ4 2015","Currency=INR","Period=FQ","BEST_FPERIOD_OVERRIDE=FQ","FILING_STATUS=OR","EQY_CONSOLIDATED=Y","Sort=A","Dates=H","DateFormat=P","Fill=—","Direction=H","UseDPDF=Y")</f>
        <v>#NAME?</v>
      </c>
      <c r="AC387" s="2" t="e">
        <f ca="1">_xll.BDH($C$378,"ASSET_GROWTH","FQ4 2015","FQ4 2015","Currency=INR","Period=FQ","BEST_FPERIOD_OVERRIDE=FQ","FILING_STATUS=OR","EQY_CONSOLIDATED=Y","Sort=A","Dates=H","DateFormat=P","Fill=—","Direction=H","UseDPDF=Y")</f>
        <v>#NAME?</v>
      </c>
      <c r="AD387" s="2" t="e">
        <f ca="1">_xll.BDH($C$378,"MODIFIED_WORK_CAP_GROWTH","FQ4 2015","FQ4 2015","Currency=INR","Period=FQ","BEST_FPERIOD_OVERRIDE=FQ","FILING_STATUS=OR","EQY_CONSOLIDATED=Y","Sort=A","Dates=H","DateFormat=P","Fill=—","Direction=H","UseDPDF=Y")</f>
        <v>#NAME?</v>
      </c>
      <c r="AE387" s="2" t="e">
        <f ca="1">_xll.BDH($C$378,"WORK_CAP_GROWTH","FQ4 2015","FQ4 2015","Currency=INR","Period=FQ","BEST_FPERIOD_OVERRIDE=FQ","FILING_STATUS=OR","EQY_CONSOLIDATED=Y","Sort=A","Dates=H","DateFormat=P","Fill=—","Direction=H","UseDPDF=Y")</f>
        <v>#NAME?</v>
      </c>
      <c r="AF387" s="2" t="e">
        <f ca="1">_xll.BDH($C$378,"ACCOUNTS_PAYABLE_GROWTH_1YR","FQ4 2015","FQ4 2015","Currency=INR","Period=FQ","BEST_FPERIOD_OVERRIDE=FQ","FILING_STATUS=OR","EQY_CONSOLIDATED=Y","Sort=A","Dates=H","DateFormat=P","Fill=—","Direction=H","UseDPDF=Y")</f>
        <v>#NAME?</v>
      </c>
      <c r="AG387" s="2" t="e">
        <f ca="1">_xll.BDH($C$378,"SHORT_TERM_DEBT_1_YEAR_GROWTH","FQ4 2015","FQ4 2015","Currency=INR","Period=FQ","BEST_FPERIOD_OVERRIDE=FQ","FILING_STATUS=OR","EQY_CONSOLIDATED=Y","Sort=A","Dates=H","DateFormat=P","Fill=—","Direction=H","UseDPDF=Y")</f>
        <v>#NAME?</v>
      </c>
      <c r="AH387" s="2" t="e">
        <f ca="1">_xll.BDH($C$378,"TOTAL_DEBT_1_YEAR_GROWTH","FQ4 2015","FQ4 2015","Currency=INR","Period=FQ","BEST_FPERIOD_OVERRIDE=FQ","FILING_STATUS=OR","EQY_CONSOLIDATED=Y","Sort=A","Dates=H","DateFormat=P","Fill=—","Direction=H","UseDPDF=Y")</f>
        <v>#NAME?</v>
      </c>
      <c r="AI387" s="2" t="e">
        <f ca="1">_xll.BDH($C$378,"TOTAL_EQUITY_1_YEAR_GROWTH","FQ4 2015","FQ4 2015","Currency=INR","Period=FQ","BEST_FPERIOD_OVERRIDE=FQ","FILING_STATUS=OR","EQY_CONSOLIDATED=Y","Sort=A","Dates=H","DateFormat=P","Fill=—","Direction=H","UseDPDF=Y")</f>
        <v>#NAME?</v>
      </c>
      <c r="AJ387" s="2" t="e">
        <f ca="1">_xll.BDH($C$378,"GROWTH_IN_CAP","FQ4 2015","FQ4 2015","Currency=INR","Period=FQ","BEST_FPERIOD_OVERRIDE=FQ","FILING_STATUS=OR","EQY_CONSOLIDATED=Y","Sort=A","Dates=H","DateFormat=P","Fill=—","Direction=H","UseDPDF=Y")</f>
        <v>#NAME?</v>
      </c>
      <c r="AK387" s="2" t="e">
        <f ca="1">_xll.BDH($C$378,"BVPS_GROWTH","FQ4 2015","FQ4 2015","Currency=INR","Period=FQ","BEST_FPERIOD_OVERRIDE=FQ","FILING_STATUS=OR","EQY_CONSOLIDATED=Y","Sort=A","Dates=H","DateFormat=P","Fill=—","Direction=H","UseDPDF=Y")</f>
        <v>#NAME?</v>
      </c>
      <c r="AL387" s="2" t="e">
        <f ca="1">_xll.BDH($C$378,"CASH_FLOW_GROWTH","FQ4 2015","FQ4 2015","Currency=INR","Period=FQ","BEST_FPERIOD_OVERRIDE=FQ","FILING_STATUS=OR","EQY_CONSOLIDATED=Y","Sort=A","Dates=H","DateFormat=P","Fill=—","Direction=H","UseDPDF=Y")</f>
        <v>#NAME?</v>
      </c>
      <c r="AM387" s="2" t="e">
        <f ca="1">_xll.BDH($C$378,"GEO_GROW_NET_SALES","FQ4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387" s="2" t="e">
        <f ca="1">_xll.BDH($C$378,"GEO_GROW_EBITDA","FQ4 2015","FQ4 2015","Currency=INR","Period=FQ","BEST_FPERIOD_OVERRIDE=FQ","FILING_STATUS=OR","EQY_CONSOLIDATED=Y","FA_ADJUSTED=GAAP","Sort=A","Dates=H","DateFormat=P","Fill=—","Direction=H","UseDPDF=Y")</f>
        <v>#NAME?</v>
      </c>
      <c r="AO387" s="2" t="e">
        <f ca="1">_xll.BDH($C$378,"GEO_GROW_OPER_INC","FQ4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387" s="2" t="e">
        <f ca="1">_xll.BDH($C$378,"NET_INCOME_TO_COMMON_5_YR_GROWTH","FQ4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387" s="2" t="e">
        <f ca="1">_xll.BDH($C$378,"5Y_GEO_GROWTH_DILUTED_EPS","FQ4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387" s="2" t="e">
        <f ca="1">_xll.BDH($C$378,"GEO_GROW_DVD_PER_SH","FQ4 2015","FQ4 2015","Currency=INR","Period=FQ","BEST_FPERIOD_OVERRIDE=FQ","FILING_STATUS=OR","EQY_CONSOLIDATED=Y","Sort=A","Dates=H","DateFormat=P","Fill=—","Direction=H","UseDPDF=Y")</f>
        <v>#NAME?</v>
      </c>
      <c r="AS387" s="2" t="e">
        <f ca="1">_xll.BDH($C$378,"ACCOUNTS_RECEIVABLE_5_YR_GROWTH","FQ4 2015","FQ4 2015","Currency=INR","Period=FQ","BEST_FPERIOD_OVERRIDE=FQ","FILING_STATUS=OR","EQY_CONSOLIDATED=Y","Sort=A","Dates=H","DateFormat=P","Fill=—","Direction=H","UseDPDF=Y")</f>
        <v>#NAME?</v>
      </c>
      <c r="AT387" s="2" t="e">
        <f ca="1">_xll.BDH($C$378,"INVENTORY_5_YEAR_GROWTH","FQ4 2015","FQ4 2015","Currency=INR","Period=FQ","BEST_FPERIOD_OVERRIDE=FQ","FILING_STATUS=OR","EQY_CONSOLIDATED=Y","Sort=A","Dates=H","DateFormat=P","Fill=—","Direction=H","UseDPDF=Y")</f>
        <v>#NAME?</v>
      </c>
      <c r="AU387" s="2" t="e">
        <f ca="1">_xll.BDH($C$378,"NET_FIXED_ASSETS_5_YEAR_GROWTH","FQ4 2015","FQ4 2015","Currency=INR","Period=FQ","BEST_FPERIOD_OVERRIDE=FQ","FILING_STATUS=OR","EQY_CONSOLIDATED=Y","Sort=A","Dates=H","DateFormat=P","Fill=—","Direction=H","UseDPDF=Y")</f>
        <v>#NAME?</v>
      </c>
      <c r="AV387" s="2" t="e">
        <f ca="1">_xll.BDH($C$378,"GEO_GROW_TOT_ASSET","FQ4 2015","FQ4 2015","Currency=INR","Period=FQ","BEST_FPERIOD_OVERRIDE=FQ","FILING_STATUS=OR","EQY_CONSOLIDATED=Y","Sort=A","Dates=H","DateFormat=P","Fill=—","Direction=H","UseDPDF=Y")</f>
        <v>#NAME?</v>
      </c>
      <c r="AW387" s="2" t="e">
        <f ca="1">_xll.BDH($C$378,"MODIFIED_WORKING_CPTL_5YR_GRWTH","FQ4 2015","FQ4 2015","Currency=INR","Period=FQ","BEST_FPERIOD_OVERRIDE=FQ","FILING_STATUS=OR","EQY_CONSOLIDATED=Y","Sort=A","Dates=H","DateFormat=P","Fill=—","Direction=H","UseDPDF=Y")</f>
        <v>#NAME?</v>
      </c>
      <c r="AX387" s="2" t="e">
        <f ca="1">_xll.BDH($C$378,"WORKING_CAPITAL_5_YEAR_GROWTH","FQ4 2015","FQ4 2015","Currency=INR","Period=FQ","BEST_FPERIOD_OVERRIDE=FQ","FILING_STATUS=OR","EQY_CONSOLIDATED=Y","Sort=A","Dates=H","DateFormat=P","Fill=—","Direction=H","UseDPDF=Y")</f>
        <v>#NAME?</v>
      </c>
      <c r="AY387" s="2" t="e">
        <f ca="1">_xll.BDH($C$378,"ACCOUNTS_PAYABLE_5_YEAR_GROWTH","FQ4 2015","FQ4 2015","Currency=INR","Period=FQ","BEST_FPERIOD_OVERRIDE=FQ","FILING_STATUS=OR","EQY_CONSOLIDATED=Y","Sort=A","Dates=H","DateFormat=P","Fill=—","Direction=H","UseDPDF=Y")</f>
        <v>#NAME?</v>
      </c>
      <c r="AZ387" s="2" t="e">
        <f ca="1">_xll.BDH($C$378,"SHORT_TERM_DEBT_5_YEAR_GROWTH","FQ4 2015","FQ4 2015","Currency=INR","Period=FQ","BEST_FPERIOD_OVERRIDE=FQ","FILING_STATUS=OR","EQY_CONSOLIDATED=Y","Sort=A","Dates=H","DateFormat=P","Fill=—","Direction=H","UseDPDF=Y")</f>
        <v>#NAME?</v>
      </c>
      <c r="BA387" s="2" t="e">
        <f ca="1">_xll.BDH($C$378,"TOTAL_DEBT_5_YEAR_GROWTH","FQ4 2015","FQ4 2015","Currency=INR","Period=FQ","BEST_FPERIOD_OVERRIDE=FQ","FILING_STATUS=OR","EQY_CONSOLIDATED=Y","Sort=A","Dates=H","DateFormat=P","Fill=—","Direction=H","UseDPDF=Y")</f>
        <v>#NAME?</v>
      </c>
      <c r="BB387" s="2" t="e">
        <f ca="1">_xll.BDH($C$378,"GEO_GROW_TOT_SHRHLDR_EQY","FQ4 2015","FQ4 2015","Currency=INR","Period=FQ","BEST_FPERIOD_OVERRIDE=FQ","FILING_STATUS=OR","EQY_CONSOLIDATED=Y","Sort=A","Dates=H","DateFormat=P","Fill=—","Direction=H","UseDPDF=Y")</f>
        <v>#NAME?</v>
      </c>
      <c r="BC387" s="2" t="e">
        <f ca="1">_xll.BDH($C$378,"TOTAL_CAPITAL_5_YEAR_GROWTH","FQ4 2015","FQ4 2015","Currency=INR","Period=FQ","BEST_FPERIOD_OVERRIDE=FQ","FILING_STATUS=OR","EQY_CONSOLIDATED=Y","Sort=A","Dates=H","DateFormat=P","Fill=—","Direction=H","UseDPDF=Y")</f>
        <v>#NAME?</v>
      </c>
      <c r="BD387" s="2" t="e">
        <f ca="1">_xll.BDH($C$378,"GEO_GROW_BOOK_VAL","FQ4 2015","FQ4 2015","Currency=INR","Period=FQ","BEST_FPERIOD_OVERRIDE=FQ","FILING_STATUS=OR","EQY_CONSOLIDATED=Y","Sort=A","Dates=H","DateFormat=P","Fill=—","Direction=H","UseDPDF=Y")</f>
        <v>#NAME?</v>
      </c>
      <c r="BE387" s="2" t="e">
        <f ca="1">_xll.BDH($C$378,"GEO_GROW_CASH_OPER_ACT","FQ4 2015","FQ4 2015","Currency=INR","Period=FQ","BEST_FPERIOD_OVERRIDE=FQ","FILING_STATUS=OR","EQY_CONSOLIDATED=Y","Sort=A","Dates=H","DateFormat=P","Fill=—","Direction=H","UseDPDF=Y")</f>
        <v>#NAME?</v>
      </c>
      <c r="BF387" s="2" t="e">
        <f ca="1">_xll.BDH($C$378,"REVENUE_SEQUENTIAL_GROWTH","FQ4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387" s="2" t="e">
        <f ca="1">_xll.BDH($C$378,"EBITDA_SEQUENTIAL_GROWTH","FQ4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387" s="2" t="e">
        <f ca="1">_xll.BDH($C$378,"OPERATING_INCOME_SEQ_GROWTH","FQ4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387" s="2" t="e">
        <f ca="1">_xll.BDH($C$378,"NET_INCOME_TO_COMMON_SEQ_GROWTH","FQ4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387" s="2" t="e">
        <f ca="1">_xll.BDH($C$378,"EPS_DILUTED_SEQUENTIAL_GROWTH","FQ4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387" s="2" t="e">
        <f ca="1">_xll.BDH($C$378,"DPS_SEQUENTIAL_GROWTH","FQ4 2015","FQ4 2015","Currency=INR","Period=FQ","BEST_FPERIOD_OVERRIDE=FQ","FILING_STATUS=OR","EQY_CONSOLIDATED=Y","Sort=A","Dates=H","DateFormat=P","Fill=—","Direction=H","UseDPDF=Y")</f>
        <v>#NAME?</v>
      </c>
      <c r="BL387" s="2" t="e">
        <f ca="1">_xll.BDH($C$378,"ACCOUNTS_RECEIVABLE_SEQ_GROWTH","FQ4 2015","FQ4 2015","Currency=INR","Period=FQ","BEST_FPERIOD_OVERRIDE=FQ","FILING_STATUS=OR","EQY_CONSOLIDATED=Y","Sort=A","Dates=H","DateFormat=P","Fill=—","Direction=H","UseDPDF=Y")</f>
        <v>#NAME?</v>
      </c>
      <c r="BM387" s="2" t="e">
        <f ca="1">_xll.BDH($C$378,"INVENTORY_SEQUENTIAL_GROWTH","FQ4 2015","FQ4 2015","Currency=INR","Period=FQ","BEST_FPERIOD_OVERRIDE=FQ","FILING_STATUS=OR","EQY_CONSOLIDATED=Y","Sort=A","Dates=H","DateFormat=P","Fill=—","Direction=H","UseDPDF=Y")</f>
        <v>#NAME?</v>
      </c>
      <c r="BN387" s="2" t="e">
        <f ca="1">_xll.BDH($C$378,"FIXED_ASSETS_SEQUENTIAL_GROWTH","FQ4 2015","FQ4 2015","Currency=INR","Period=FQ","BEST_FPERIOD_OVERRIDE=FQ","FILING_STATUS=OR","EQY_CONSOLIDATED=Y","Sort=A","Dates=H","DateFormat=P","Fill=—","Direction=H","UseDPDF=Y")</f>
        <v>#NAME?</v>
      </c>
      <c r="BO387" s="2" t="e">
        <f ca="1">_xll.BDH($C$378,"TOTAL_ASSETS_SEQUENTIAL_GROWTH","FQ4 2015","FQ4 2015","Currency=INR","Period=FQ","BEST_FPERIOD_OVERRIDE=FQ","FILING_STATUS=OR","EQY_CONSOLIDATED=Y","Sort=A","Dates=H","DateFormat=P","Fill=—","Direction=H","UseDPDF=Y")</f>
        <v>#NAME?</v>
      </c>
      <c r="BP387" s="2" t="e">
        <f ca="1">_xll.BDH($C$378,"MODIFIED_WORKING_CPTL_SEQ_GRWTH","FQ4 2015","FQ4 2015","Currency=INR","Period=FQ","BEST_FPERIOD_OVERRIDE=FQ","FILING_STATUS=OR","EQY_CONSOLIDATED=Y","Sort=A","Dates=H","DateFormat=P","Fill=—","Direction=H","UseDPDF=Y")</f>
        <v>#NAME?</v>
      </c>
      <c r="BQ387" s="2" t="e">
        <f ca="1">_xll.BDH($C$378,"WORKING_CAPITAL_SEQ_GROWTH","FQ4 2015","FQ4 2015","Currency=INR","Period=FQ","BEST_FPERIOD_OVERRIDE=FQ","FILING_STATUS=OR","EQY_CONSOLIDATED=Y","Sort=A","Dates=H","DateFormat=P","Fill=—","Direction=H","UseDPDF=Y")</f>
        <v>#NAME?</v>
      </c>
      <c r="BR387" s="2" t="e">
        <f ca="1">_xll.BDH($C$378,"ACCOUNTS_PAYABLE_SEQ_GROWTH","FQ4 2015","FQ4 2015","Currency=INR","Period=FQ","BEST_FPERIOD_OVERRIDE=FQ","FILING_STATUS=OR","EQY_CONSOLIDATED=Y","Sort=A","Dates=H","DateFormat=P","Fill=—","Direction=H","UseDPDF=Y")</f>
        <v>#NAME?</v>
      </c>
      <c r="BS387" s="2" t="e">
        <f ca="1">_xll.BDH($C$378,"ST_DEBT_SEQUENTIAL_GROWTH","FQ4 2015","FQ4 2015","Currency=INR","Period=FQ","BEST_FPERIOD_OVERRIDE=FQ","FILING_STATUS=OR","EQY_CONSOLIDATED=Y","Sort=A","Dates=H","DateFormat=P","Fill=—","Direction=H","UseDPDF=Y")</f>
        <v>#NAME?</v>
      </c>
      <c r="BT387" s="2" t="e">
        <f ca="1">_xll.BDH($C$378,"TOTAL_DEBT_SEQUENTIAL_GROWTH","FQ4 2015","FQ4 2015","Currency=INR","Period=FQ","BEST_FPERIOD_OVERRIDE=FQ","FILING_STATUS=OR","EQY_CONSOLIDATED=Y","Sort=A","Dates=H","DateFormat=P","Fill=—","Direction=H","UseDPDF=Y")</f>
        <v>#NAME?</v>
      </c>
      <c r="BU387" s="2" t="e">
        <f ca="1">_xll.BDH($C$378,"TOTAL_EQUITY_SEQUENTIAL_GROWTH","FQ4 2015","FQ4 2015","Currency=INR","Period=FQ","BEST_FPERIOD_OVERRIDE=FQ","FILING_STATUS=OR","EQY_CONSOLIDATED=Y","Sort=A","Dates=H","DateFormat=P","Fill=—","Direction=H","UseDPDF=Y")</f>
        <v>#NAME?</v>
      </c>
      <c r="BV387" s="2" t="e">
        <f ca="1">_xll.BDH($C$378,"TOTAL_CAPITAL_SEQUENTIAL_GROWTH","FQ4 2015","FQ4 2015","Currency=INR","Period=FQ","BEST_FPERIOD_OVERRIDE=FQ","FILING_STATUS=OR","EQY_CONSOLIDATED=Y","Sort=A","Dates=H","DateFormat=P","Fill=—","Direction=H","UseDPDF=Y")</f>
        <v>#NAME?</v>
      </c>
      <c r="BW387" s="2" t="e">
        <f ca="1">_xll.BDH($C$378,"BPS_SEQUENTIAL_GROWTH","FQ4 2015","FQ4 2015","Currency=INR","Period=FQ","BEST_FPERIOD_OVERRIDE=FQ","FILING_STATUS=OR","EQY_CONSOLIDATED=Y","Sort=A","Dates=H","DateFormat=P","Fill=—","Direction=H","UseDPDF=Y")</f>
        <v>#NAME?</v>
      </c>
      <c r="BX387" s="2" t="e">
        <f ca="1">_xll.BDH($C$378,"CFO_SEQUENTIAL_GROWTH","FQ4 2015","FQ4 2015","Currency=INR","Period=FQ","BEST_FPERIOD_OVERRIDE=FQ","FILING_STATUS=OR","EQY_CONSOLIDATED=Y","Sort=A","Dates=H","DateFormat=P","Fill=—","Direction=H","UseDPDF=Y")</f>
        <v>#NAME?</v>
      </c>
      <c r="BY387" s="3" t="e">
        <f ca="1">_xll.BDH($C$378,"SHORT_AND_LONG_TERM_DEBT","FQ4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387" s="3" t="e">
        <f ca="1">_xll.BDH($C$378,"BS_ST_BORROW","FQ4 2015","FQ4 2015","Currency=INR","Period=FQ","BEST_FPERIOD_OVERRIDE=FQ","FILING_STATUS=OR","EQY_CONSOLIDATED=Y","SCALING_FORMAT=MLN","Sort=A","Dates=H","DateFormat=P","Fill=—","Direction=H","UseDPDF=Y")</f>
        <v>#NAME?</v>
      </c>
      <c r="CA387" s="3" t="e">
        <f ca="1">_xll.BDH($C$378,"BS_LT_BORROW","FQ4 2015","FQ4 2015","Currency=INR","Period=FQ","BEST_FPERIOD_OVERRIDE=FQ","FILING_STATUS=OR","EQY_CONSOLIDATED=Y","SCALING_FORMAT=MLN","Sort=A","Dates=H","DateFormat=P","Fill=—","Direction=H","UseDPDF=Y")</f>
        <v>#NAME?</v>
      </c>
      <c r="CB387" s="2" t="e">
        <f ca="1">_xll.BDH($C$378,"TOT_DEBT_TO_EBITDA","FQ4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387" s="2" t="e">
        <f ca="1">_xll.BDH($C$378,"NET_DEBT_TO_EBITDA","FQ4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387" s="2" t="e">
        <f ca="1">_xll.BDH($C$378,"TOTAL_DEBT_TO_EBIT","FQ4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387" s="2" t="e">
        <f ca="1">_xll.BDH($C$378,"NET_DEBT_TO_EBIT","FQ4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387" s="2" t="e">
        <f ca="1">_xll.BDH($C$378,"EBITDA_TO_INTEREST_EXPN","FQ4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387" s="2" t="e">
        <f ca="1">_xll.BDH($C$378,"COM_EQY_TO_TOT_ASSET","FQ4 2015","FQ4 2015","Currency=INR","Period=FQ","BEST_FPERIOD_OVERRIDE=FQ","FILING_STATUS=OR","EQY_CONSOLIDATED=Y","Sort=A","Dates=H","DateFormat=P","Fill=—","Direction=H","UseDPDF=Y")</f>
        <v>#NAME?</v>
      </c>
      <c r="CH387" s="2" t="e">
        <f ca="1">_xll.BDH($C$378,"LT_DEBT_TO_TOT_EQY","FQ4 2015","FQ4 2015","Currency=INR","Period=FQ","BEST_FPERIOD_OVERRIDE=FQ","FILING_STATUS=OR","EQY_CONSOLIDATED=Y","Sort=A","Dates=H","DateFormat=P","Fill=—","Direction=H","UseDPDF=Y")</f>
        <v>#NAME?</v>
      </c>
      <c r="CI387" s="2" t="e">
        <f ca="1">_xll.BDH($C$378,"LT_DEBT_TO_TOT_CAP","FQ4 2015","FQ4 2015","Currency=INR","Period=FQ","BEST_FPERIOD_OVERRIDE=FQ","FILING_STATUS=OR","EQY_CONSOLIDATED=Y","Sort=A","Dates=H","DateFormat=P","Fill=—","Direction=H","UseDPDF=Y")</f>
        <v>#NAME?</v>
      </c>
      <c r="CJ387" s="2" t="e">
        <f ca="1">_xll.BDH($C$378,"LT_DEBT_TO_TOT_ASSET","FQ4 2015","FQ4 2015","Currency=INR","Period=FQ","BEST_FPERIOD_OVERRIDE=FQ","FILING_STATUS=OR","EQY_CONSOLIDATED=Y","Sort=A","Dates=H","DateFormat=P","Fill=—","Direction=H","UseDPDF=Y")</f>
        <v>#NAME?</v>
      </c>
      <c r="CK387" s="2" t="e">
        <f ca="1">_xll.BDH($C$378,"TOT_DEBT_TO_TOT_EQY","FQ4 2015","FQ4 2015","Currency=INR","Period=FQ","BEST_FPERIOD_OVERRIDE=FQ","FILING_STATUS=OR","EQY_CONSOLIDATED=Y","Sort=A","Dates=H","DateFormat=P","Fill=—","Direction=H","UseDPDF=Y")</f>
        <v>#NAME?</v>
      </c>
      <c r="CL387" s="2" t="e">
        <f ca="1">_xll.BDH($C$378,"TOT_DEBT_TO_TOT_CAP","FQ4 2015","FQ4 2015","Currency=INR","Period=FQ","BEST_FPERIOD_OVERRIDE=FQ","FILING_STATUS=OR","EQY_CONSOLIDATED=Y","Sort=A","Dates=H","DateFormat=P","Fill=—","Direction=H","UseDPDF=Y")</f>
        <v>#NAME?</v>
      </c>
      <c r="CM387" s="2" t="e">
        <f ca="1">_xll.BDH($C$378,"TOT_DEBT_TO_TOT_ASSET","FQ4 2015","FQ4 2015","Currency=INR","Period=FQ","BEST_FPERIOD_OVERRIDE=FQ","FILING_STATUS=OR","EQY_CONSOLIDATED=Y","Sort=A","Dates=H","DateFormat=P","Fill=—","Direction=H","UseDPDF=Y")</f>
        <v>#NAME?</v>
      </c>
      <c r="CN387" s="2" t="e">
        <f ca="1">_xll.BDH($C$378,"NET_DEBT_TO_SHRHLDR_EQTY","FQ4 2015","FQ4 2015","Currency=INR","Period=FQ","BEST_FPERIOD_OVERRIDE=FQ","FILING_STATUS=OR","EQY_CONSOLIDATED=Y","Sort=A","Dates=H","DateFormat=P","Fill=—","Direction=H","UseDPDF=Y")</f>
        <v>#NAME?</v>
      </c>
      <c r="CO387" s="2" t="e">
        <f ca="1">_xll.BDH($C$378,"NET_DEBT_%_CAPITAL","FQ4 2015","FQ4 2015","Currency=INR","Period=FQ","BEST_FPERIOD_OVERRIDE=FQ","FILING_STATUS=OR","EQY_CONSOLIDATED=Y","Sort=A","Dates=H","DateFormat=P","Fill=—","Direction=H","UseDPDF=Y")</f>
        <v>#NAME?</v>
      </c>
      <c r="CP387" s="3" t="e">
        <f ca="1">_xll.BDH($C$378,"EBITDA","FQ4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387" s="3" t="e">
        <f ca="1">_xll.BDH($C$378,"EBITDA_AFTER_CAPEX","FQ4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387" s="3" t="e">
        <f ca="1">_xll.BDH($C$378,"IS_OPER_INC","FQ4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387" s="2" t="e">
        <f ca="1">_xll.BDH($C$378,"CASH_RATIO","FQ4 2015","FQ4 2015","Currency=INR","Period=FQ","BEST_FPERIOD_OVERRIDE=FQ","FILING_STATUS=OR","EQY_CONSOLIDATED=Y","Sort=A","Dates=H","DateFormat=P","Fill=—","Direction=H","UseDPDF=Y")</f>
        <v>#NAME?</v>
      </c>
      <c r="CT387" s="2" t="e">
        <f ca="1">_xll.BDH($C$378,"CUR_RATIO","FQ4 2015","FQ4 2015","Currency=INR","Period=FQ","BEST_FPERIOD_OVERRIDE=FQ","FILING_STATUS=OR","EQY_CONSOLIDATED=Y","Sort=A","Dates=H","DateFormat=P","Fill=—","Direction=H","UseDPDF=Y")</f>
        <v>#NAME?</v>
      </c>
      <c r="CU387" s="2" t="e">
        <f ca="1">_xll.BDH($C$378,"QUICK_RATIO","FQ4 2015","FQ4 2015","Currency=INR","Period=FQ","BEST_FPERIOD_OVERRIDE=FQ","FILING_STATUS=OR","EQY_CONSOLIDATED=Y","Sort=A","Dates=H","DateFormat=P","Fill=—","Direction=H","UseDPDF=Y")</f>
        <v>#NAME?</v>
      </c>
      <c r="CV387" s="2" t="e">
        <f ca="1">_xll.BDH($C$378,"ALTMAN_Z_SCORE","FQ4 2015","FQ4 2015","Currency=INR","Period=FQ","BEST_FPERIOD_OVERRIDE=FQ","FILING_STATUS=OR","EQY_CONSOLIDATED=Y","Sort=A","Dates=H","DateFormat=P","Fill=—","Direction=H","UseDPDF=Y")</f>
        <v>#NAME?</v>
      </c>
      <c r="CW387" s="4" t="e">
        <f ca="1">_xll.BDH($C$378,"ACCT_RCV_TURN","FQ4 2015","FQ4 2015","Currency=INR","Period=FQ","BEST_FPERIOD_OVERRIDE=FQ","FILING_STATUS=OR","EQY_CONSOLIDATED=Y","FA_ADJUSTED=GAAP","Sort=A","Dates=H","DateFormat=P","Fill=—","Direction=H","UseDPDF=Y")</f>
        <v>#NAME?</v>
      </c>
      <c r="CX387" s="2" t="e">
        <f ca="1">_xll.BDH($C$378,"ACCT_RCV_DAYS","FQ4 2015","FQ4 2015","Currency=INR","Period=FQ","BEST_FPERIOD_OVERRIDE=FQ","FILING_STATUS=OR","EQY_CONSOLIDATED=Y","FA_ADJUSTED=GAAP","Sort=A","Dates=H","DateFormat=P","Fill=—","Direction=H","UseDPDF=Y")</f>
        <v>#NAME?</v>
      </c>
      <c r="CY387" s="4" t="e">
        <f ca="1">_xll.BDH($C$378,"INVENT_TURN","FQ4 2015","FQ4 2015","Currency=INR","Period=FQ","BEST_FPERIOD_OVERRIDE=FQ","FILING_STATUS=OR","EQY_CONSOLIDATED=Y","FA_ADJUSTED=GAAP","Sort=A","Dates=H","DateFormat=P","Fill=—","Direction=H","UseDPDF=Y")</f>
        <v>#NAME?</v>
      </c>
      <c r="CZ387" s="2" t="e">
        <f ca="1">_xll.BDH($C$378,"INVENT_DAYS","FQ4 2015","FQ4 2015","Currency=INR","Period=FQ","BEST_FPERIOD_OVERRIDE=FQ","FILING_STATUS=OR","EQY_CONSOLIDATED=Y","FA_ADJUSTED=GAAP","Sort=A","Dates=H","DateFormat=P","Fill=—","Direction=H","UseDPDF=Y")</f>
        <v>#NAME?</v>
      </c>
      <c r="DA387" s="4" t="e">
        <f ca="1">_xll.BDH($C$378,"ACCOUNTS_PAYABLE_TURNOVER","FQ4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387" s="2" t="e">
        <f ca="1">_xll.BDH($C$378,"ACCOUNTS_PAYABLE_TURNOVER_DAYS","FQ4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387" s="4" t="e">
        <f ca="1">_xll.BDH($C$378,"CASH_CONVERSION_CYCLE","FQ4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387" s="4" t="e">
        <f ca="1">_xll.BDH($C$378,"INV_TO_CASH_DAYS","FQ4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387" s="5" t="e">
        <f ca="1">_xll.BDH($C$378,"BS_INVENTORIES","FQ4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387" s="3" t="e">
        <f ca="1">_xll.BDH($C$378,"INVTRY_RAW_MATERIALS","FQ4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387" s="3" t="e">
        <f ca="1">_xll.BDH($C$378,"INVTRY_IN_PROGRESS","FQ4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387" s="3" t="e">
        <f ca="1">_xll.BDH($C$378,"INVTRY_FINISHED_GOODS","FQ4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387" s="3" t="e">
        <f ca="1">_xll.BDH($C$378,"BS_OTHER_INV","FQ4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388" spans="1:113" x14ac:dyDescent="0.3">
      <c r="A388" s="6"/>
      <c r="B388" s="6"/>
      <c r="C388" s="6"/>
      <c r="D388" s="6" t="s">
        <v>83</v>
      </c>
      <c r="E388" t="s">
        <v>77</v>
      </c>
      <c r="F388" t="e">
        <f ca="1">_xll.BDH($C$378,"RETURN_COM_EQY","FY 2016","FY 2016","Currency=INR","Period=FY","BEST_FPERIOD_OVERRIDE=FY","FILING_STATUS=OR","EQY_CONSOLIDATED=Y","FA_ADJUSTED=GAAP","Sort=A","Dates=H","DateFormat=P","Fill=—","Direction=H","UseDPDF=Y")</f>
        <v>#NAME?</v>
      </c>
      <c r="G388" t="e">
        <f ca="1">_xll.BDH($C$378,"RETURN_ON_ASSET","FY 2016","FY 2016","Currency=INR","Period=FY","BEST_FPERIOD_OVERRIDE=FY","FILING_STATUS=OR","EQY_CONSOLIDATED=Y","FA_ADJUSTED=GAAP","Sort=A","Dates=H","DateFormat=P","Fill=—","Direction=H","UseDPDF=Y")</f>
        <v>#NAME?</v>
      </c>
      <c r="H388" t="e">
        <f ca="1">_xll.BDH($C$378,"RETURN_ON_CAP","FY 2016","FY 2016","Currency=INR","Period=FY","BEST_FPERIOD_OVERRIDE=FY","FILING_STATUS=OR","EQY_CONSOLIDATED=Y","FA_ADJUSTED=GAAP","Sort=A","Dates=H","DateFormat=P","Fill=—","Direction=H","UseDPDF=Y")</f>
        <v>#NAME?</v>
      </c>
      <c r="I388" t="e">
        <f ca="1">_xll.BDH($C$378,"RETURN_ON_INV_CAPITAL","FY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388" t="e">
        <f ca="1">_xll.BDH($C$378,"EBITDA_TO_REVENUE","FY 2016","FY 2016","Currency=INR","Period=FY","BEST_FPERIOD_OVERRIDE=FY","FILING_STATUS=OR","EQY_CONSOLIDATED=Y","FA_ADJUSTED=GAAP","Sort=A","Dates=H","DateFormat=P","Fill=—","Direction=H","UseDPDF=Y")</f>
        <v>#NAME?</v>
      </c>
      <c r="K388" t="e">
        <f ca="1">_xll.BDH($C$378,"OPER_MARGIN","FY 2016","FY 2016","Currency=INR","Period=FY","BEST_FPERIOD_OVERRIDE=FY","FILING_STATUS=OR","EQY_CONSOLIDATED=Y","FA_ADJUSTED=GAAP","Sort=A","Dates=H","DateFormat=P","Fill=—","Direction=H","UseDPDF=Y")</f>
        <v>#NAME?</v>
      </c>
      <c r="L388" t="e">
        <f ca="1">_xll.BDH($C$378,"INCREMENTAL_OPERATING_MARGIN","FY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388" t="e">
        <f ca="1">_xll.BDH($C$378,"PRETAX_INC_TO_NET_SALES","FY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388" t="e">
        <f ca="1">_xll.BDH($C$378,"INC_BEF_XO_ITEMS_TO_NET_SALES","FY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388" t="e">
        <f ca="1">_xll.BDH($C$378,"PROF_MARGIN","FY 2016","FY 2016","Currency=INR","Period=FY","BEST_FPERIOD_OVERRIDE=FY","FILING_STATUS=OR","EQY_CONSOLIDATED=Y","FA_ADJUSTED=GAAP","Sort=A","Dates=H","DateFormat=P","Fill=—","Direction=H","UseDPDF=Y")</f>
        <v>#NAME?</v>
      </c>
      <c r="P388" t="e">
        <f ca="1">_xll.BDH($C$378,"NET_INCOME_TO_COMMON_MARGIN","FY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388" t="e">
        <f ca="1">_xll.BDH($C$378,"EFF_TAX_RATE","FY 2016","FY 2016","Currency=INR","Period=FY","BEST_FPERIOD_OVERRIDE=FY","FILING_STATUS=OR","EQY_CONSOLIDATED=Y","FA_ADJUSTED=GAAP","Sort=A","Dates=H","DateFormat=P","Fill=—","Direction=H","UseDPDF=Y")</f>
        <v>#NAME?</v>
      </c>
      <c r="R388" t="e">
        <f ca="1">_xll.BDH($C$378,"DVD_PAYOUT_RATIO","FY 2016","FY 2016","Currency=INR","Period=FY","BEST_FPERIOD_OVERRIDE=FY","FILING_STATUS=OR","EQY_CONSOLIDATED=Y","FA_ADJUSTED=GAAP","Sort=A","Dates=H","DateFormat=P","Fill=—","Direction=H","UseDPDF=Y")</f>
        <v>#NAME?</v>
      </c>
      <c r="S388" t="e">
        <f ca="1">_xll.BDH($C$378,"SUSTAIN_GROWTH_RT","FY 2016","FY 2016","Currency=INR","Period=FY","BEST_FPERIOD_OVERRIDE=FY","FILING_STATUS=OR","EQY_CONSOLIDATED=Y","FA_ADJUSTED=GAAP","Sort=A","Dates=H","DateFormat=P","Fill=—","Direction=H","UseDPDF=Y")</f>
        <v>#NAME?</v>
      </c>
      <c r="T388" s="2" t="e">
        <f ca="1">_xll.BDH($C$378,"SALES_GROWTH","FY 2016","FY 2016","Currency=INR","Period=FY","BEST_FPERIOD_OVERRIDE=FY","FILING_STATUS=OR","EQY_CONSOLIDATED=Y","FA_ADJUSTED=GAAP","Sort=A","Dates=H","DateFormat=P","Fill=—","Direction=H","UseDPDF=Y")</f>
        <v>#NAME?</v>
      </c>
      <c r="U388" s="2" t="e">
        <f ca="1">_xll.BDH($C$378,"EBITDA_GROWTH","FY 2016","FY 2016","Currency=INR","Period=FY","BEST_FPERIOD_OVERRIDE=FY","FILING_STATUS=OR","EQY_CONSOLIDATED=Y","FA_ADJUSTED=GAAP","Sort=A","Dates=H","DateFormat=P","Fill=—","Direction=H","UseDPDF=Y")</f>
        <v>#NAME?</v>
      </c>
      <c r="V388" s="2" t="e">
        <f ca="1">_xll.BDH($C$378,"OPER_INC_GROWTH","FY 2016","FY 2016","Currency=INR","Period=FY","BEST_FPERIOD_OVERRIDE=FY","FILING_STATUS=OR","EQY_CONSOLIDATED=Y","FA_ADJUSTED=GAAP","Sort=A","Dates=H","DateFormat=P","Fill=—","Direction=H","UseDPDF=Y")</f>
        <v>#NAME?</v>
      </c>
      <c r="W388" s="2" t="e">
        <f ca="1">_xll.BDH($C$378,"EARN_FOR_COM_GROWTH","FY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388" s="2" t="e">
        <f ca="1">_xll.BDH($C$378,"DILUTED_EPS_AFT_XO_ITEMS_GROWTH","FY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388" s="2" t="e">
        <f ca="1">_xll.BDH($C$378,"DIVIDEND_PER_SHARE_1_YEAR_GROWTH","FY 2016","FY 2016","Currency=INR","Period=FY","BEST_FPERIOD_OVERRIDE=FY","FILING_STATUS=OR","EQY_CONSOLIDATED=Y","Sort=A","Dates=H","DateFormat=P","Fill=—","Direction=H","UseDPDF=Y")</f>
        <v>#NAME?</v>
      </c>
      <c r="Z388" s="2" t="e">
        <f ca="1">_xll.BDH($C$378,"ACCOUNTS_RECEIVABLE_GROWTH","FY 2016","FY 2016","Currency=INR","Period=FY","BEST_FPERIOD_OVERRIDE=FY","FILING_STATUS=OR","EQY_CONSOLIDATED=Y","Sort=A","Dates=H","DateFormat=P","Fill=—","Direction=H","UseDPDF=Y")</f>
        <v>#NAME?</v>
      </c>
      <c r="AA388" s="2" t="e">
        <f ca="1">_xll.BDH($C$378,"INVENTORY_GROWTH","FY 2016","FY 2016","Currency=INR","Period=FY","BEST_FPERIOD_OVERRIDE=FY","FILING_STATUS=OR","EQY_CONSOLIDATED=Y","Sort=A","Dates=H","DateFormat=P","Fill=—","Direction=H","UseDPDF=Y")</f>
        <v>#NAME?</v>
      </c>
      <c r="AB388" s="2" t="e">
        <f ca="1">_xll.BDH($C$378,"NET_FIXED_ASSETS_1_YEAR_GROWTH","FY 2016","FY 2016","Currency=INR","Period=FY","BEST_FPERIOD_OVERRIDE=FY","FILING_STATUS=OR","EQY_CONSOLIDATED=Y","Sort=A","Dates=H","DateFormat=P","Fill=—","Direction=H","UseDPDF=Y")</f>
        <v>#NAME?</v>
      </c>
      <c r="AC388" s="2" t="e">
        <f ca="1">_xll.BDH($C$378,"ASSET_GROWTH","FY 2016","FY 2016","Currency=INR","Period=FY","BEST_FPERIOD_OVERRIDE=FY","FILING_STATUS=OR","EQY_CONSOLIDATED=Y","Sort=A","Dates=H","DateFormat=P","Fill=—","Direction=H","UseDPDF=Y")</f>
        <v>#NAME?</v>
      </c>
      <c r="AD388" s="2" t="e">
        <f ca="1">_xll.BDH($C$378,"MODIFIED_WORK_CAP_GROWTH","FY 2016","FY 2016","Currency=INR","Period=FY","BEST_FPERIOD_OVERRIDE=FY","FILING_STATUS=OR","EQY_CONSOLIDATED=Y","Sort=A","Dates=H","DateFormat=P","Fill=—","Direction=H","UseDPDF=Y")</f>
        <v>#NAME?</v>
      </c>
      <c r="AE388" s="2" t="e">
        <f ca="1">_xll.BDH($C$378,"WORK_CAP_GROWTH","FY 2016","FY 2016","Currency=INR","Period=FY","BEST_FPERIOD_OVERRIDE=FY","FILING_STATUS=OR","EQY_CONSOLIDATED=Y","Sort=A","Dates=H","DateFormat=P","Fill=—","Direction=H","UseDPDF=Y")</f>
        <v>#NAME?</v>
      </c>
      <c r="AF388" s="2" t="e">
        <f ca="1">_xll.BDH($C$378,"ACCOUNTS_PAYABLE_GROWTH_1YR","FY 2016","FY 2016","Currency=INR","Period=FY","BEST_FPERIOD_OVERRIDE=FY","FILING_STATUS=OR","EQY_CONSOLIDATED=Y","Sort=A","Dates=H","DateFormat=P","Fill=—","Direction=H","UseDPDF=Y")</f>
        <v>#NAME?</v>
      </c>
      <c r="AG388" s="2" t="e">
        <f ca="1">_xll.BDH($C$378,"SHORT_TERM_DEBT_1_YEAR_GROWTH","FY 2016","FY 2016","Currency=INR","Period=FY","BEST_FPERIOD_OVERRIDE=FY","FILING_STATUS=OR","EQY_CONSOLIDATED=Y","Sort=A","Dates=H","DateFormat=P","Fill=—","Direction=H","UseDPDF=Y")</f>
        <v>#NAME?</v>
      </c>
      <c r="AH388" s="2" t="e">
        <f ca="1">_xll.BDH($C$378,"TOTAL_DEBT_1_YEAR_GROWTH","FY 2016","FY 2016","Currency=INR","Period=FY","BEST_FPERIOD_OVERRIDE=FY","FILING_STATUS=OR","EQY_CONSOLIDATED=Y","Sort=A","Dates=H","DateFormat=P","Fill=—","Direction=H","UseDPDF=Y")</f>
        <v>#NAME?</v>
      </c>
      <c r="AI388" s="2" t="e">
        <f ca="1">_xll.BDH($C$378,"TOTAL_EQUITY_1_YEAR_GROWTH","FY 2016","FY 2016","Currency=INR","Period=FY","BEST_FPERIOD_OVERRIDE=FY","FILING_STATUS=OR","EQY_CONSOLIDATED=Y","Sort=A","Dates=H","DateFormat=P","Fill=—","Direction=H","UseDPDF=Y")</f>
        <v>#NAME?</v>
      </c>
      <c r="AJ388" s="2" t="e">
        <f ca="1">_xll.BDH($C$378,"GROWTH_IN_CAP","FY 2016","FY 2016","Currency=INR","Period=FY","BEST_FPERIOD_OVERRIDE=FY","FILING_STATUS=OR","EQY_CONSOLIDATED=Y","Sort=A","Dates=H","DateFormat=P","Fill=—","Direction=H","UseDPDF=Y")</f>
        <v>#NAME?</v>
      </c>
      <c r="AK388" s="2" t="e">
        <f ca="1">_xll.BDH($C$378,"BVPS_GROWTH","FY 2016","FY 2016","Currency=INR","Period=FY","BEST_FPERIOD_OVERRIDE=FY","FILING_STATUS=OR","EQY_CONSOLIDATED=Y","Sort=A","Dates=H","DateFormat=P","Fill=—","Direction=H","UseDPDF=Y")</f>
        <v>#NAME?</v>
      </c>
      <c r="AL388" s="2" t="e">
        <f ca="1">_xll.BDH($C$378,"CASH_FLOW_GROWTH","FY 2016","FY 2016","Currency=INR","Period=FY","BEST_FPERIOD_OVERRIDE=FY","FILING_STATUS=OR","EQY_CONSOLIDATED=Y","Sort=A","Dates=H","DateFormat=P","Fill=—","Direction=H","UseDPDF=Y")</f>
        <v>#NAME?</v>
      </c>
      <c r="AM388" s="2" t="e">
        <f ca="1">_xll.BDH($C$378,"GEO_GROW_NET_SALES","FY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388" s="2" t="e">
        <f ca="1">_xll.BDH($C$378,"GEO_GROW_EBITDA","FY 2016","FY 2016","Currency=INR","Period=FY","BEST_FPERIOD_OVERRIDE=FY","FILING_STATUS=OR","EQY_CONSOLIDATED=Y","FA_ADJUSTED=GAAP","Sort=A","Dates=H","DateFormat=P","Fill=—","Direction=H","UseDPDF=Y")</f>
        <v>#NAME?</v>
      </c>
      <c r="AO388" s="2" t="e">
        <f ca="1">_xll.BDH($C$378,"GEO_GROW_OPER_INC","FY 2016","FY 2016","Currency=INR","Period=FY","BEST_FPERIOD_OVERRIDE=FY","FILING_STATUS=OR","EQY_CONSOLIDATED=Y","FA_ADJUSTED=GAAP","Sort=A","Dates=H","DateFormat=P","Fill=—","Direction=H","UseDPDF=Y")</f>
        <v>#NAME?</v>
      </c>
      <c r="AP388" s="2" t="e">
        <f ca="1">_xll.BDH($C$378,"NET_INCOME_TO_COMMON_5_YR_GROWTH","FY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388" s="2" t="e">
        <f ca="1">_xll.BDH($C$378,"5Y_GEO_GROWTH_DILUTED_EPS","FY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388" s="2" t="e">
        <f ca="1">_xll.BDH($C$378,"GEO_GROW_DVD_PER_SH","FY 2016","FY 2016","Currency=INR","Period=FY","BEST_FPERIOD_OVERRIDE=FY","FILING_STATUS=OR","EQY_CONSOLIDATED=Y","Sort=A","Dates=H","DateFormat=P","Fill=—","Direction=H","UseDPDF=Y")</f>
        <v>#NAME?</v>
      </c>
      <c r="AS388" s="2" t="e">
        <f ca="1">_xll.BDH($C$378,"ACCOUNTS_RECEIVABLE_5_YR_GROWTH","FY 2016","FY 2016","Currency=INR","Period=FY","BEST_FPERIOD_OVERRIDE=FY","FILING_STATUS=OR","EQY_CONSOLIDATED=Y","Sort=A","Dates=H","DateFormat=P","Fill=—","Direction=H","UseDPDF=Y")</f>
        <v>#NAME?</v>
      </c>
      <c r="AT388" s="2" t="e">
        <f ca="1">_xll.BDH($C$378,"INVENTORY_5_YEAR_GROWTH","FY 2016","FY 2016","Currency=INR","Period=FY","BEST_FPERIOD_OVERRIDE=FY","FILING_STATUS=OR","EQY_CONSOLIDATED=Y","Sort=A","Dates=H","DateFormat=P","Fill=—","Direction=H","UseDPDF=Y")</f>
        <v>#NAME?</v>
      </c>
      <c r="AU388" s="2" t="e">
        <f ca="1">_xll.BDH($C$378,"NET_FIXED_ASSETS_5_YEAR_GROWTH","FY 2016","FY 2016","Currency=INR","Period=FY","BEST_FPERIOD_OVERRIDE=FY","FILING_STATUS=OR","EQY_CONSOLIDATED=Y","Sort=A","Dates=H","DateFormat=P","Fill=—","Direction=H","UseDPDF=Y")</f>
        <v>#NAME?</v>
      </c>
      <c r="AV388" s="2" t="e">
        <f ca="1">_xll.BDH($C$378,"GEO_GROW_TOT_ASSET","FY 2016","FY 2016","Currency=INR","Period=FY","BEST_FPERIOD_OVERRIDE=FY","FILING_STATUS=OR","EQY_CONSOLIDATED=Y","Sort=A","Dates=H","DateFormat=P","Fill=—","Direction=H","UseDPDF=Y")</f>
        <v>#NAME?</v>
      </c>
      <c r="AW388" s="2" t="e">
        <f ca="1">_xll.BDH($C$378,"MODIFIED_WORKING_CPTL_5YR_GRWTH","FY 2016","FY 2016","Currency=INR","Period=FY","BEST_FPERIOD_OVERRIDE=FY","FILING_STATUS=OR","EQY_CONSOLIDATED=Y","Sort=A","Dates=H","DateFormat=P","Fill=—","Direction=H","UseDPDF=Y")</f>
        <v>#NAME?</v>
      </c>
      <c r="AX388" s="2" t="e">
        <f ca="1">_xll.BDH($C$378,"WORKING_CAPITAL_5_YEAR_GROWTH","FY 2016","FY 2016","Currency=INR","Period=FY","BEST_FPERIOD_OVERRIDE=FY","FILING_STATUS=OR","EQY_CONSOLIDATED=Y","Sort=A","Dates=H","DateFormat=P","Fill=—","Direction=H","UseDPDF=Y")</f>
        <v>#NAME?</v>
      </c>
      <c r="AY388" s="2" t="e">
        <f ca="1">_xll.BDH($C$378,"ACCOUNTS_PAYABLE_5_YEAR_GROWTH","FY 2016","FY 2016","Currency=INR","Period=FY","BEST_FPERIOD_OVERRIDE=FY","FILING_STATUS=OR","EQY_CONSOLIDATED=Y","Sort=A","Dates=H","DateFormat=P","Fill=—","Direction=H","UseDPDF=Y")</f>
        <v>#NAME?</v>
      </c>
      <c r="AZ388" s="2" t="e">
        <f ca="1">_xll.BDH($C$378,"SHORT_TERM_DEBT_5_YEAR_GROWTH","FY 2016","FY 2016","Currency=INR","Period=FY","BEST_FPERIOD_OVERRIDE=FY","FILING_STATUS=OR","EQY_CONSOLIDATED=Y","Sort=A","Dates=H","DateFormat=P","Fill=—","Direction=H","UseDPDF=Y")</f>
        <v>#NAME?</v>
      </c>
      <c r="BA388" s="2" t="e">
        <f ca="1">_xll.BDH($C$378,"TOTAL_DEBT_5_YEAR_GROWTH","FY 2016","FY 2016","Currency=INR","Period=FY","BEST_FPERIOD_OVERRIDE=FY","FILING_STATUS=OR","EQY_CONSOLIDATED=Y","Sort=A","Dates=H","DateFormat=P","Fill=—","Direction=H","UseDPDF=Y")</f>
        <v>#NAME?</v>
      </c>
      <c r="BB388" s="2" t="e">
        <f ca="1">_xll.BDH($C$378,"GEO_GROW_TOT_SHRHLDR_EQY","FY 2016","FY 2016","Currency=INR","Period=FY","BEST_FPERIOD_OVERRIDE=FY","FILING_STATUS=OR","EQY_CONSOLIDATED=Y","Sort=A","Dates=H","DateFormat=P","Fill=—","Direction=H","UseDPDF=Y")</f>
        <v>#NAME?</v>
      </c>
      <c r="BC388" s="2" t="e">
        <f ca="1">_xll.BDH($C$378,"TOTAL_CAPITAL_5_YEAR_GROWTH","FY 2016","FY 2016","Currency=INR","Period=FY","BEST_FPERIOD_OVERRIDE=FY","FILING_STATUS=OR","EQY_CONSOLIDATED=Y","Sort=A","Dates=H","DateFormat=P","Fill=—","Direction=H","UseDPDF=Y")</f>
        <v>#NAME?</v>
      </c>
      <c r="BD388" s="2" t="e">
        <f ca="1">_xll.BDH($C$378,"GEO_GROW_BOOK_VAL","FY 2016","FY 2016","Currency=INR","Period=FY","BEST_FPERIOD_OVERRIDE=FY","FILING_STATUS=OR","EQY_CONSOLIDATED=Y","Sort=A","Dates=H","DateFormat=P","Fill=—","Direction=H","UseDPDF=Y")</f>
        <v>#NAME?</v>
      </c>
      <c r="BE388" s="2" t="e">
        <f ca="1">_xll.BDH($C$378,"GEO_GROW_CASH_OPER_ACT","FY 2016","FY 2016","Currency=INR","Period=FY","BEST_FPERIOD_OVERRIDE=FY","FILING_STATUS=OR","EQY_CONSOLIDATED=Y","Sort=A","Dates=H","DateFormat=P","Fill=—","Direction=H","UseDPDF=Y")</f>
        <v>#NAME?</v>
      </c>
      <c r="BF388" s="2" t="e">
        <f ca="1">_xll.BDH($C$378,"REVENUE_SEQUENTIAL_GROWTH","FY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388" s="2" t="e">
        <f ca="1">_xll.BDH($C$378,"EBITDA_SEQUENTIAL_GROWTH","FY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388" s="2" t="e">
        <f ca="1">_xll.BDH($C$378,"OPERATING_INCOME_SEQ_GROWTH","FY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388" s="2" t="e">
        <f ca="1">_xll.BDH($C$378,"NET_INCOME_TO_COMMON_SEQ_GROWTH","FY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388" s="2" t="e">
        <f ca="1">_xll.BDH($C$378,"EPS_DILUTED_SEQUENTIAL_GROWTH","FY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388" s="2" t="e">
        <f ca="1">_xll.BDH($C$378,"DPS_SEQUENTIAL_GROWTH","FY 2016","FY 2016","Currency=INR","Period=FY","BEST_FPERIOD_OVERRIDE=FY","FILING_STATUS=OR","EQY_CONSOLIDATED=Y","Sort=A","Dates=H","DateFormat=P","Fill=—","Direction=H","UseDPDF=Y")</f>
        <v>#NAME?</v>
      </c>
      <c r="BL388" s="2" t="e">
        <f ca="1">_xll.BDH($C$378,"ACCOUNTS_RECEIVABLE_SEQ_GROWTH","FY 2016","FY 2016","Currency=INR","Period=FY","BEST_FPERIOD_OVERRIDE=FY","FILING_STATUS=OR","EQY_CONSOLIDATED=Y","Sort=A","Dates=H","DateFormat=P","Fill=—","Direction=H","UseDPDF=Y")</f>
        <v>#NAME?</v>
      </c>
      <c r="BM388" s="2" t="e">
        <f ca="1">_xll.BDH($C$378,"INVENTORY_SEQUENTIAL_GROWTH","FY 2016","FY 2016","Currency=INR","Period=FY","BEST_FPERIOD_OVERRIDE=FY","FILING_STATUS=OR","EQY_CONSOLIDATED=Y","Sort=A","Dates=H","DateFormat=P","Fill=—","Direction=H","UseDPDF=Y")</f>
        <v>#NAME?</v>
      </c>
      <c r="BN388" s="2" t="e">
        <f ca="1">_xll.BDH($C$378,"FIXED_ASSETS_SEQUENTIAL_GROWTH","FY 2016","FY 2016","Currency=INR","Period=FY","BEST_FPERIOD_OVERRIDE=FY","FILING_STATUS=OR","EQY_CONSOLIDATED=Y","Sort=A","Dates=H","DateFormat=P","Fill=—","Direction=H","UseDPDF=Y")</f>
        <v>#NAME?</v>
      </c>
      <c r="BO388" s="2" t="e">
        <f ca="1">_xll.BDH($C$378,"TOTAL_ASSETS_SEQUENTIAL_GROWTH","FY 2016","FY 2016","Currency=INR","Period=FY","BEST_FPERIOD_OVERRIDE=FY","FILING_STATUS=OR","EQY_CONSOLIDATED=Y","Sort=A","Dates=H","DateFormat=P","Fill=—","Direction=H","UseDPDF=Y")</f>
        <v>#NAME?</v>
      </c>
      <c r="BP388" s="2" t="e">
        <f ca="1">_xll.BDH($C$378,"MODIFIED_WORKING_CPTL_SEQ_GRWTH","FY 2016","FY 2016","Currency=INR","Period=FY","BEST_FPERIOD_OVERRIDE=FY","FILING_STATUS=OR","EQY_CONSOLIDATED=Y","Sort=A","Dates=H","DateFormat=P","Fill=—","Direction=H","UseDPDF=Y")</f>
        <v>#NAME?</v>
      </c>
      <c r="BQ388" s="2" t="e">
        <f ca="1">_xll.BDH($C$378,"WORKING_CAPITAL_SEQ_GROWTH","FY 2016","FY 2016","Currency=INR","Period=FY","BEST_FPERIOD_OVERRIDE=FY","FILING_STATUS=OR","EQY_CONSOLIDATED=Y","Sort=A","Dates=H","DateFormat=P","Fill=—","Direction=H","UseDPDF=Y")</f>
        <v>#NAME?</v>
      </c>
      <c r="BR388" s="2" t="e">
        <f ca="1">_xll.BDH($C$378,"ACCOUNTS_PAYABLE_SEQ_GROWTH","FY 2016","FY 2016","Currency=INR","Period=FY","BEST_FPERIOD_OVERRIDE=FY","FILING_STATUS=OR","EQY_CONSOLIDATED=Y","Sort=A","Dates=H","DateFormat=P","Fill=—","Direction=H","UseDPDF=Y")</f>
        <v>#NAME?</v>
      </c>
      <c r="BS388" s="2" t="e">
        <f ca="1">_xll.BDH($C$378,"ST_DEBT_SEQUENTIAL_GROWTH","FY 2016","FY 2016","Currency=INR","Period=FY","BEST_FPERIOD_OVERRIDE=FY","FILING_STATUS=OR","EQY_CONSOLIDATED=Y","Sort=A","Dates=H","DateFormat=P","Fill=—","Direction=H","UseDPDF=Y")</f>
        <v>#NAME?</v>
      </c>
      <c r="BT388" s="2" t="e">
        <f ca="1">_xll.BDH($C$378,"TOTAL_DEBT_SEQUENTIAL_GROWTH","FY 2016","FY 2016","Currency=INR","Period=FY","BEST_FPERIOD_OVERRIDE=FY","FILING_STATUS=OR","EQY_CONSOLIDATED=Y","Sort=A","Dates=H","DateFormat=P","Fill=—","Direction=H","UseDPDF=Y")</f>
        <v>#NAME?</v>
      </c>
      <c r="BU388" s="2" t="e">
        <f ca="1">_xll.BDH($C$378,"TOTAL_EQUITY_SEQUENTIAL_GROWTH","FY 2016","FY 2016","Currency=INR","Period=FY","BEST_FPERIOD_OVERRIDE=FY","FILING_STATUS=OR","EQY_CONSOLIDATED=Y","Sort=A","Dates=H","DateFormat=P","Fill=—","Direction=H","UseDPDF=Y")</f>
        <v>#NAME?</v>
      </c>
      <c r="BV388" s="2" t="e">
        <f ca="1">_xll.BDH($C$378,"TOTAL_CAPITAL_SEQUENTIAL_GROWTH","FY 2016","FY 2016","Currency=INR","Period=FY","BEST_FPERIOD_OVERRIDE=FY","FILING_STATUS=OR","EQY_CONSOLIDATED=Y","Sort=A","Dates=H","DateFormat=P","Fill=—","Direction=H","UseDPDF=Y")</f>
        <v>#NAME?</v>
      </c>
      <c r="BW388" s="2" t="e">
        <f ca="1">_xll.BDH($C$378,"BPS_SEQUENTIAL_GROWTH","FY 2016","FY 2016","Currency=INR","Period=FY","BEST_FPERIOD_OVERRIDE=FY","FILING_STATUS=OR","EQY_CONSOLIDATED=Y","Sort=A","Dates=H","DateFormat=P","Fill=—","Direction=H","UseDPDF=Y")</f>
        <v>#NAME?</v>
      </c>
      <c r="BX388" s="2" t="e">
        <f ca="1">_xll.BDH($C$378,"CFO_SEQUENTIAL_GROWTH","FY 2016","FY 2016","Currency=INR","Period=FY","BEST_FPERIOD_OVERRIDE=FY","FILING_STATUS=OR","EQY_CONSOLIDATED=Y","Sort=A","Dates=H","DateFormat=P","Fill=—","Direction=H","UseDPDF=Y")</f>
        <v>#NAME?</v>
      </c>
      <c r="BY388" s="3" t="e">
        <f ca="1">_xll.BDH($C$378,"SHORT_AND_LONG_TERM_DEBT","FY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388" s="3" t="e">
        <f ca="1">_xll.BDH($C$378,"BS_ST_BORROW","FY 2016","FY 2016","Currency=INR","Period=FY","BEST_FPERIOD_OVERRIDE=FY","FILING_STATUS=OR","EQY_CONSOLIDATED=Y","SCALING_FORMAT=MLN","Sort=A","Dates=H","DateFormat=P","Fill=—","Direction=H","UseDPDF=Y")</f>
        <v>#NAME?</v>
      </c>
      <c r="CA388" s="3" t="e">
        <f ca="1">_xll.BDH($C$378,"BS_LT_BORROW","FY 2016","FY 2016","Currency=INR","Period=FY","BEST_FPERIOD_OVERRIDE=FY","FILING_STATUS=OR","EQY_CONSOLIDATED=Y","SCALING_FORMAT=MLN","Sort=A","Dates=H","DateFormat=P","Fill=—","Direction=H","UseDPDF=Y")</f>
        <v>#NAME?</v>
      </c>
      <c r="CB388" s="2" t="e">
        <f ca="1">_xll.BDH($C$378,"TOT_DEBT_TO_EBITDA","FY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388" s="2" t="e">
        <f ca="1">_xll.BDH($C$378,"NET_DEBT_TO_EBITDA","FY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388" s="2" t="e">
        <f ca="1">_xll.BDH($C$378,"TOTAL_DEBT_TO_EBIT","FY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388" s="2" t="e">
        <f ca="1">_xll.BDH($C$378,"NET_DEBT_TO_EBIT","FY 2016","FY 2016","Currency=INR","Period=FY","BEST_FPERIOD_OVERRIDE=FY","FILING_STATUS=OR","EQY_CONSOLIDATED=Y","FA_ADJUSTED=GAAP","Sort=A","Dates=H","DateFormat=P","Fill=—","Direction=H","UseDPDF=Y")</f>
        <v>#NAME?</v>
      </c>
      <c r="CF388" s="2" t="e">
        <f ca="1">_xll.BDH($C$378,"EBITDA_TO_INTEREST_EXPN","FY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388" s="2" t="e">
        <f ca="1">_xll.BDH($C$378,"COM_EQY_TO_TOT_ASSET","FY 2016","FY 2016","Currency=INR","Period=FY","BEST_FPERIOD_OVERRIDE=FY","FILING_STATUS=OR","EQY_CONSOLIDATED=Y","Sort=A","Dates=H","DateFormat=P","Fill=—","Direction=H","UseDPDF=Y")</f>
        <v>#NAME?</v>
      </c>
      <c r="CH388" s="2" t="e">
        <f ca="1">_xll.BDH($C$378,"LT_DEBT_TO_TOT_EQY","FY 2016","FY 2016","Currency=INR","Period=FY","BEST_FPERIOD_OVERRIDE=FY","FILING_STATUS=OR","EQY_CONSOLIDATED=Y","Sort=A","Dates=H","DateFormat=P","Fill=—","Direction=H","UseDPDF=Y")</f>
        <v>#NAME?</v>
      </c>
      <c r="CI388" s="2" t="e">
        <f ca="1">_xll.BDH($C$378,"LT_DEBT_TO_TOT_CAP","FY 2016","FY 2016","Currency=INR","Period=FY","BEST_FPERIOD_OVERRIDE=FY","FILING_STATUS=OR","EQY_CONSOLIDATED=Y","Sort=A","Dates=H","DateFormat=P","Fill=—","Direction=H","UseDPDF=Y")</f>
        <v>#NAME?</v>
      </c>
      <c r="CJ388" s="2" t="e">
        <f ca="1">_xll.BDH($C$378,"LT_DEBT_TO_TOT_ASSET","FY 2016","FY 2016","Currency=INR","Period=FY","BEST_FPERIOD_OVERRIDE=FY","FILING_STATUS=OR","EQY_CONSOLIDATED=Y","Sort=A","Dates=H","DateFormat=P","Fill=—","Direction=H","UseDPDF=Y")</f>
        <v>#NAME?</v>
      </c>
      <c r="CK388" s="2" t="e">
        <f ca="1">_xll.BDH($C$378,"TOT_DEBT_TO_TOT_EQY","FY 2016","FY 2016","Currency=INR","Period=FY","BEST_FPERIOD_OVERRIDE=FY","FILING_STATUS=OR","EQY_CONSOLIDATED=Y","Sort=A","Dates=H","DateFormat=P","Fill=—","Direction=H","UseDPDF=Y")</f>
        <v>#NAME?</v>
      </c>
      <c r="CL388" s="2" t="e">
        <f ca="1">_xll.BDH($C$378,"TOT_DEBT_TO_TOT_CAP","FY 2016","FY 2016","Currency=INR","Period=FY","BEST_FPERIOD_OVERRIDE=FY","FILING_STATUS=OR","EQY_CONSOLIDATED=Y","Sort=A","Dates=H","DateFormat=P","Fill=—","Direction=H","UseDPDF=Y")</f>
        <v>#NAME?</v>
      </c>
      <c r="CM388" s="2" t="e">
        <f ca="1">_xll.BDH($C$378,"TOT_DEBT_TO_TOT_ASSET","FY 2016","FY 2016","Currency=INR","Period=FY","BEST_FPERIOD_OVERRIDE=FY","FILING_STATUS=OR","EQY_CONSOLIDATED=Y","Sort=A","Dates=H","DateFormat=P","Fill=—","Direction=H","UseDPDF=Y")</f>
        <v>#NAME?</v>
      </c>
      <c r="CN388" s="2" t="e">
        <f ca="1">_xll.BDH($C$378,"NET_DEBT_TO_SHRHLDR_EQTY","FY 2016","FY 2016","Currency=INR","Period=FY","BEST_FPERIOD_OVERRIDE=FY","FILING_STATUS=OR","EQY_CONSOLIDATED=Y","Sort=A","Dates=H","DateFormat=P","Fill=—","Direction=H","UseDPDF=Y")</f>
        <v>#NAME?</v>
      </c>
      <c r="CO388" s="2" t="e">
        <f ca="1">_xll.BDH($C$378,"NET_DEBT_%_CAPITAL","FY 2016","FY 2016","Currency=INR","Period=FY","BEST_FPERIOD_OVERRIDE=FY","FILING_STATUS=OR","EQY_CONSOLIDATED=Y","Sort=A","Dates=H","DateFormat=P","Fill=—","Direction=H","UseDPDF=Y")</f>
        <v>#NAME?</v>
      </c>
      <c r="CP388" s="3" t="e">
        <f ca="1">_xll.BDH($C$378,"EBITDA","FY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388" s="3" t="e">
        <f ca="1">_xll.BDH($C$378,"EBITDA_AFTER_CAPEX","FY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388" s="3" t="e">
        <f ca="1">_xll.BDH($C$378,"IS_OPER_INC","FY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388" s="2" t="e">
        <f ca="1">_xll.BDH($C$378,"CASH_RATIO","FY 2016","FY 2016","Currency=INR","Period=FY","BEST_FPERIOD_OVERRIDE=FY","FILING_STATUS=OR","EQY_CONSOLIDATED=Y","Sort=A","Dates=H","DateFormat=P","Fill=—","Direction=H","UseDPDF=Y")</f>
        <v>#NAME?</v>
      </c>
      <c r="CT388" s="2" t="e">
        <f ca="1">_xll.BDH($C$378,"CUR_RATIO","FY 2016","FY 2016","Currency=INR","Period=FY","BEST_FPERIOD_OVERRIDE=FY","FILING_STATUS=OR","EQY_CONSOLIDATED=Y","Sort=A","Dates=H","DateFormat=P","Fill=—","Direction=H","UseDPDF=Y")</f>
        <v>#NAME?</v>
      </c>
      <c r="CU388" s="2" t="e">
        <f ca="1">_xll.BDH($C$378,"QUICK_RATIO","FY 2016","FY 2016","Currency=INR","Period=FY","BEST_FPERIOD_OVERRIDE=FY","FILING_STATUS=OR","EQY_CONSOLIDATED=Y","Sort=A","Dates=H","DateFormat=P","Fill=—","Direction=H","UseDPDF=Y")</f>
        <v>#NAME?</v>
      </c>
      <c r="CV388" s="2" t="e">
        <f ca="1">_xll.BDH($C$378,"ALTMAN_Z_SCORE","FY 2016","FY 2016","Currency=INR","Period=FY","BEST_FPERIOD_OVERRIDE=FY","FILING_STATUS=OR","EQY_CONSOLIDATED=Y","Sort=A","Dates=H","DateFormat=P","Fill=—","Direction=H","UseDPDF=Y")</f>
        <v>#NAME?</v>
      </c>
      <c r="CW388" s="4" t="e">
        <f ca="1">_xll.BDH($C$378,"ACCT_RCV_TURN","FY 2016","FY 2016","Currency=INR","Period=FY","BEST_FPERIOD_OVERRIDE=FY","FILING_STATUS=OR","EQY_CONSOLIDATED=Y","FA_ADJUSTED=GAAP","Sort=A","Dates=H","DateFormat=P","Fill=—","Direction=H","UseDPDF=Y")</f>
        <v>#NAME?</v>
      </c>
      <c r="CX388" s="2" t="e">
        <f ca="1">_xll.BDH($C$378,"ACCT_RCV_DAYS","FY 2016","FY 2016","Currency=INR","Period=FY","BEST_FPERIOD_OVERRIDE=FY","FILING_STATUS=OR","EQY_CONSOLIDATED=Y","FA_ADJUSTED=GAAP","Sort=A","Dates=H","DateFormat=P","Fill=—","Direction=H","UseDPDF=Y")</f>
        <v>#NAME?</v>
      </c>
      <c r="CY388" s="4" t="e">
        <f ca="1">_xll.BDH($C$378,"INVENT_TURN","FY 2016","FY 2016","Currency=INR","Period=FY","BEST_FPERIOD_OVERRIDE=FY","FILING_STATUS=OR","EQY_CONSOLIDATED=Y","FA_ADJUSTED=GAAP","Sort=A","Dates=H","DateFormat=P","Fill=—","Direction=H","UseDPDF=Y")</f>
        <v>#NAME?</v>
      </c>
      <c r="CZ388" s="2" t="e">
        <f ca="1">_xll.BDH($C$378,"INVENT_DAYS","FY 2016","FY 2016","Currency=INR","Period=FY","BEST_FPERIOD_OVERRIDE=FY","FILING_STATUS=OR","EQY_CONSOLIDATED=Y","FA_ADJUSTED=GAAP","Sort=A","Dates=H","DateFormat=P","Fill=—","Direction=H","UseDPDF=Y")</f>
        <v>#NAME?</v>
      </c>
      <c r="DA388" s="4" t="e">
        <f ca="1">_xll.BDH($C$378,"ACCOUNTS_PAYABLE_TURNOVER","FY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388" s="2" t="e">
        <f ca="1">_xll.BDH($C$378,"ACCOUNTS_PAYABLE_TURNOVER_DAYS","FY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388" s="4" t="e">
        <f ca="1">_xll.BDH($C$378,"CASH_CONVERSION_CYCLE","FY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388" s="4" t="e">
        <f ca="1">_xll.BDH($C$378,"INV_TO_CASH_DAYS","FY 2016","FY 2016","Currency=INR","Period=FY","BEST_FPERIOD_OVERRIDE=FY","FILING_STATUS=OR","EQY_CONSOLIDATED=Y","FA_ADJUSTED=GAAP","Sort=A","Dates=H","DateFormat=P","Fill=—","Direction=H","UseDPDF=Y")</f>
        <v>#NAME?</v>
      </c>
      <c r="DE388" s="5" t="e">
        <f ca="1">_xll.BDH($C$378,"BS_INVENTORIES","FY 2016","FY 2016","Currency=INR","Period=FY","BEST_FPERIOD_OVERRIDE=FY","FILING_STATUS=OR","EQY_CONSOLIDATED=Y","SCALING_FORMAT=MLN","Sort=A","Dates=H","DateFormat=P","Fill=—","Direction=H","UseDPDF=Y")</f>
        <v>#NAME?</v>
      </c>
      <c r="DF388" s="3" t="e">
        <f ca="1">_xll.BDH($C$378,"INVTRY_RAW_MATERIALS","FY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388" s="3" t="e">
        <f ca="1">_xll.BDH($C$378,"INVTRY_IN_PROGRESS","FY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388" s="3" t="e">
        <f ca="1">_xll.BDH($C$378,"INVTRY_FINISHED_GOODS","FY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388" s="3" t="e">
        <f ca="1">_xll.BDH($C$378,"BS_OTHER_INV","FY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389" spans="1:113" x14ac:dyDescent="0.3">
      <c r="A389" s="6"/>
      <c r="B389" s="6"/>
      <c r="C389" s="6"/>
      <c r="D389" s="6"/>
      <c r="E389" t="s">
        <v>78</v>
      </c>
      <c r="F389" t="e">
        <f ca="1">_xll.BDH($C$378,"RETURN_COM_EQY","FQ1 2016","FQ1 2016","Currency=INR","Period=FQ","BEST_FPERIOD_OVERRIDE=FQ","FILING_STATUS=OR","EQY_CONSOLIDATED=Y","FA_ADJUSTED=GAAP","Sort=A","Dates=H","DateFormat=P","Fill=—","Direction=H","UseDPDF=Y")</f>
        <v>#NAME?</v>
      </c>
      <c r="G389" t="e">
        <f ca="1">_xll.BDH($C$378,"RETURN_ON_ASSET","FQ1 2016","FQ1 2016","Currency=INR","Period=FQ","BEST_FPERIOD_OVERRIDE=FQ","FILING_STATUS=OR","EQY_CONSOLIDATED=Y","FA_ADJUSTED=GAAP","Sort=A","Dates=H","DateFormat=P","Fill=—","Direction=H","UseDPDF=Y")</f>
        <v>#NAME?</v>
      </c>
      <c r="H389" t="e">
        <f ca="1">_xll.BDH($C$378,"RETURN_ON_CAP","FQ1 2016","FQ1 2016","Currency=INR","Period=FQ","BEST_FPERIOD_OVERRIDE=FQ","FILING_STATUS=OR","EQY_CONSOLIDATED=Y","FA_ADJUSTED=GAAP","Sort=A","Dates=H","DateFormat=P","Fill=—","Direction=H","UseDPDF=Y")</f>
        <v>#NAME?</v>
      </c>
      <c r="I389" t="e">
        <f ca="1">_xll.BDH($C$378,"RETURN_ON_INV_CAPITAL","FQ1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389" t="e">
        <f ca="1">_xll.BDH($C$378,"EBITDA_TO_REVENUE","FQ1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389" t="e">
        <f ca="1">_xll.BDH($C$378,"OPER_MARGIN","FQ1 2016","FQ1 2016","Currency=INR","Period=FQ","BEST_FPERIOD_OVERRIDE=FQ","FILING_STATUS=OR","EQY_CONSOLIDATED=Y","FA_ADJUSTED=GAAP","Sort=A","Dates=H","DateFormat=P","Fill=—","Direction=H","UseDPDF=Y")</f>
        <v>#NAME?</v>
      </c>
      <c r="L389" t="e">
        <f ca="1">_xll.BDH($C$378,"INCREMENTAL_OPERATING_MARGIN","FQ1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389" t="e">
        <f ca="1">_xll.BDH($C$378,"PRETAX_INC_TO_NET_SALES","FQ1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389" t="e">
        <f ca="1">_xll.BDH($C$378,"INC_BEF_XO_ITEMS_TO_NET_SALES","FQ1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389" t="e">
        <f ca="1">_xll.BDH($C$378,"PROF_MARGIN","FQ1 2016","FQ1 2016","Currency=INR","Period=FQ","BEST_FPERIOD_OVERRIDE=FQ","FILING_STATUS=OR","EQY_CONSOLIDATED=Y","FA_ADJUSTED=GAAP","Sort=A","Dates=H","DateFormat=P","Fill=—","Direction=H","UseDPDF=Y")</f>
        <v>#NAME?</v>
      </c>
      <c r="P389" t="e">
        <f ca="1">_xll.BDH($C$378,"NET_INCOME_TO_COMMON_MARGIN","FQ1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389" t="e">
        <f ca="1">_xll.BDH($C$378,"EFF_TAX_RATE","FQ1 2016","FQ1 2016","Currency=INR","Period=FQ","BEST_FPERIOD_OVERRIDE=FQ","FILING_STATUS=OR","EQY_CONSOLIDATED=Y","FA_ADJUSTED=GAAP","Sort=A","Dates=H","DateFormat=P","Fill=—","Direction=H","UseDPDF=Y")</f>
        <v>#NAME?</v>
      </c>
      <c r="R389" t="e">
        <f ca="1">_xll.BDH($C$378,"DVD_PAYOUT_RATIO","FQ1 2016","FQ1 2016","Currency=INR","Period=FQ","BEST_FPERIOD_OVERRIDE=FQ","FILING_STATUS=OR","EQY_CONSOLIDATED=Y","FA_ADJUSTED=GAAP","Sort=A","Dates=H","DateFormat=P","Fill=—","Direction=H","UseDPDF=Y")</f>
        <v>#NAME?</v>
      </c>
      <c r="S389" t="e">
        <f ca="1">_xll.BDH($C$378,"SUSTAIN_GROWTH_RT","FQ1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389" s="2" t="e">
        <f ca="1">_xll.BDH($C$378,"SALES_GROWTH","FQ1 2016","FQ1 2016","Currency=INR","Period=FQ","BEST_FPERIOD_OVERRIDE=FQ","FILING_STATUS=OR","EQY_CONSOLIDATED=Y","FA_ADJUSTED=GAAP","Sort=A","Dates=H","DateFormat=P","Fill=—","Direction=H","UseDPDF=Y")</f>
        <v>#NAME?</v>
      </c>
      <c r="U389" s="2" t="e">
        <f ca="1">_xll.BDH($C$378,"EBITDA_GROWTH","FQ1 2016","FQ1 2016","Currency=INR","Period=FQ","BEST_FPERIOD_OVERRIDE=FQ","FILING_STATUS=OR","EQY_CONSOLIDATED=Y","FA_ADJUSTED=GAAP","Sort=A","Dates=H","DateFormat=P","Fill=—","Direction=H","UseDPDF=Y")</f>
        <v>#NAME?</v>
      </c>
      <c r="V389" s="2" t="e">
        <f ca="1">_xll.BDH($C$378,"OPER_INC_GROWTH","FQ1 2016","FQ1 2016","Currency=INR","Period=FQ","BEST_FPERIOD_OVERRIDE=FQ","FILING_STATUS=OR","EQY_CONSOLIDATED=Y","FA_ADJUSTED=GAAP","Sort=A","Dates=H","DateFormat=P","Fill=—","Direction=H","UseDPDF=Y")</f>
        <v>#NAME?</v>
      </c>
      <c r="W389" s="2" t="e">
        <f ca="1">_xll.BDH($C$378,"EARN_FOR_COM_GROWTH","FQ1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389" s="2" t="e">
        <f ca="1">_xll.BDH($C$378,"DILUTED_EPS_AFT_XO_ITEMS_GROWTH","FQ1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389" s="2" t="e">
        <f ca="1">_xll.BDH($C$378,"DIVIDEND_PER_SHARE_1_YEAR_GROWTH","FQ1 2016","FQ1 2016","Currency=INR","Period=FQ","BEST_FPERIOD_OVERRIDE=FQ","FILING_STATUS=OR","EQY_CONSOLIDATED=Y","Sort=A","Dates=H","DateFormat=P","Fill=—","Direction=H","UseDPDF=Y")</f>
        <v>#NAME?</v>
      </c>
      <c r="Z389" s="2" t="e">
        <f ca="1">_xll.BDH($C$378,"ACCOUNTS_RECEIVABLE_GROWTH","FQ1 2016","FQ1 2016","Currency=INR","Period=FQ","BEST_FPERIOD_OVERRIDE=FQ","FILING_STATUS=OR","EQY_CONSOLIDATED=Y","Sort=A","Dates=H","DateFormat=P","Fill=—","Direction=H","UseDPDF=Y")</f>
        <v>#NAME?</v>
      </c>
      <c r="AA389" s="2" t="e">
        <f ca="1">_xll.BDH($C$378,"INVENTORY_GROWTH","FQ1 2016","FQ1 2016","Currency=INR","Period=FQ","BEST_FPERIOD_OVERRIDE=FQ","FILING_STATUS=OR","EQY_CONSOLIDATED=Y","Sort=A","Dates=H","DateFormat=P","Fill=—","Direction=H","UseDPDF=Y")</f>
        <v>#NAME?</v>
      </c>
      <c r="AB389" s="2" t="e">
        <f ca="1">_xll.BDH($C$378,"NET_FIXED_ASSETS_1_YEAR_GROWTH","FQ1 2016","FQ1 2016","Currency=INR","Period=FQ","BEST_FPERIOD_OVERRIDE=FQ","FILING_STATUS=OR","EQY_CONSOLIDATED=Y","Sort=A","Dates=H","DateFormat=P","Fill=—","Direction=H","UseDPDF=Y")</f>
        <v>#NAME?</v>
      </c>
      <c r="AC389" s="2" t="e">
        <f ca="1">_xll.BDH($C$378,"ASSET_GROWTH","FQ1 2016","FQ1 2016","Currency=INR","Period=FQ","BEST_FPERIOD_OVERRIDE=FQ","FILING_STATUS=OR","EQY_CONSOLIDATED=Y","Sort=A","Dates=H","DateFormat=P","Fill=—","Direction=H","UseDPDF=Y")</f>
        <v>#NAME?</v>
      </c>
      <c r="AD389" s="2" t="e">
        <f ca="1">_xll.BDH($C$378,"MODIFIED_WORK_CAP_GROWTH","FQ1 2016","FQ1 2016","Currency=INR","Period=FQ","BEST_FPERIOD_OVERRIDE=FQ","FILING_STATUS=OR","EQY_CONSOLIDATED=Y","Sort=A","Dates=H","DateFormat=P","Fill=—","Direction=H","UseDPDF=Y")</f>
        <v>#NAME?</v>
      </c>
      <c r="AE389" s="2" t="e">
        <f ca="1">_xll.BDH($C$378,"WORK_CAP_GROWTH","FQ1 2016","FQ1 2016","Currency=INR","Period=FQ","BEST_FPERIOD_OVERRIDE=FQ","FILING_STATUS=OR","EQY_CONSOLIDATED=Y","Sort=A","Dates=H","DateFormat=P","Fill=—","Direction=H","UseDPDF=Y")</f>
        <v>#NAME?</v>
      </c>
      <c r="AF389" s="2" t="e">
        <f ca="1">_xll.BDH($C$378,"ACCOUNTS_PAYABLE_GROWTH_1YR","FQ1 2016","FQ1 2016","Currency=INR","Period=FQ","BEST_FPERIOD_OVERRIDE=FQ","FILING_STATUS=OR","EQY_CONSOLIDATED=Y","Sort=A","Dates=H","DateFormat=P","Fill=—","Direction=H","UseDPDF=Y")</f>
        <v>#NAME?</v>
      </c>
      <c r="AG389" s="2" t="e">
        <f ca="1">_xll.BDH($C$378,"SHORT_TERM_DEBT_1_YEAR_GROWTH","FQ1 2016","FQ1 2016","Currency=INR","Period=FQ","BEST_FPERIOD_OVERRIDE=FQ","FILING_STATUS=OR","EQY_CONSOLIDATED=Y","Sort=A","Dates=H","DateFormat=P","Fill=—","Direction=H","UseDPDF=Y")</f>
        <v>#NAME?</v>
      </c>
      <c r="AH389" s="2" t="e">
        <f ca="1">_xll.BDH($C$378,"TOTAL_DEBT_1_YEAR_GROWTH","FQ1 2016","FQ1 2016","Currency=INR","Period=FQ","BEST_FPERIOD_OVERRIDE=FQ","FILING_STATUS=OR","EQY_CONSOLIDATED=Y","Sort=A","Dates=H","DateFormat=P","Fill=—","Direction=H","UseDPDF=Y")</f>
        <v>#NAME?</v>
      </c>
      <c r="AI389" s="2" t="e">
        <f ca="1">_xll.BDH($C$378,"TOTAL_EQUITY_1_YEAR_GROWTH","FQ1 2016","FQ1 2016","Currency=INR","Period=FQ","BEST_FPERIOD_OVERRIDE=FQ","FILING_STATUS=OR","EQY_CONSOLIDATED=Y","Sort=A","Dates=H","DateFormat=P","Fill=—","Direction=H","UseDPDF=Y")</f>
        <v>#NAME?</v>
      </c>
      <c r="AJ389" s="2" t="e">
        <f ca="1">_xll.BDH($C$378,"GROWTH_IN_CAP","FQ1 2016","FQ1 2016","Currency=INR","Period=FQ","BEST_FPERIOD_OVERRIDE=FQ","FILING_STATUS=OR","EQY_CONSOLIDATED=Y","Sort=A","Dates=H","DateFormat=P","Fill=—","Direction=H","UseDPDF=Y")</f>
        <v>#NAME?</v>
      </c>
      <c r="AK389" s="2" t="e">
        <f ca="1">_xll.BDH($C$378,"BVPS_GROWTH","FQ1 2016","FQ1 2016","Currency=INR","Period=FQ","BEST_FPERIOD_OVERRIDE=FQ","FILING_STATUS=OR","EQY_CONSOLIDATED=Y","Sort=A","Dates=H","DateFormat=P","Fill=—","Direction=H","UseDPDF=Y")</f>
        <v>#NAME?</v>
      </c>
      <c r="AL389" s="2" t="e">
        <f ca="1">_xll.BDH($C$378,"CASH_FLOW_GROWTH","FQ1 2016","FQ1 2016","Currency=INR","Period=FQ","BEST_FPERIOD_OVERRIDE=FQ","FILING_STATUS=OR","EQY_CONSOLIDATED=Y","Sort=A","Dates=H","DateFormat=P","Fill=—","Direction=H","UseDPDF=Y")</f>
        <v>#NAME?</v>
      </c>
      <c r="AM389" s="2" t="e">
        <f ca="1">_xll.BDH($C$378,"GEO_GROW_NET_SALES","FQ1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389" s="2" t="e">
        <f ca="1">_xll.BDH($C$378,"GEO_GROW_EBITDA","FQ1 2016","FQ1 2016","Currency=INR","Period=FQ","BEST_FPERIOD_OVERRIDE=FQ","FILING_STATUS=OR","EQY_CONSOLIDATED=Y","FA_ADJUSTED=GAAP","Sort=A","Dates=H","DateFormat=P","Fill=—","Direction=H","UseDPDF=Y")</f>
        <v>#NAME?</v>
      </c>
      <c r="AO389" s="2" t="e">
        <f ca="1">_xll.BDH($C$378,"GEO_GROW_OPER_INC","FQ1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389" s="2" t="e">
        <f ca="1">_xll.BDH($C$378,"NET_INCOME_TO_COMMON_5_YR_GROWTH","FQ1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389" s="2" t="e">
        <f ca="1">_xll.BDH($C$378,"5Y_GEO_GROWTH_DILUTED_EPS","FQ1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389" s="2" t="e">
        <f ca="1">_xll.BDH($C$378,"GEO_GROW_DVD_PER_SH","FQ1 2016","FQ1 2016","Currency=INR","Period=FQ","BEST_FPERIOD_OVERRIDE=FQ","FILING_STATUS=OR","EQY_CONSOLIDATED=Y","Sort=A","Dates=H","DateFormat=P","Fill=—","Direction=H","UseDPDF=Y")</f>
        <v>#NAME?</v>
      </c>
      <c r="AS389" s="2" t="e">
        <f ca="1">_xll.BDH($C$378,"ACCOUNTS_RECEIVABLE_5_YR_GROWTH","FQ1 2016","FQ1 2016","Currency=INR","Period=FQ","BEST_FPERIOD_OVERRIDE=FQ","FILING_STATUS=OR","EQY_CONSOLIDATED=Y","Sort=A","Dates=H","DateFormat=P","Fill=—","Direction=H","UseDPDF=Y")</f>
        <v>#NAME?</v>
      </c>
      <c r="AT389" s="2" t="e">
        <f ca="1">_xll.BDH($C$378,"INVENTORY_5_YEAR_GROWTH","FQ1 2016","FQ1 2016","Currency=INR","Period=FQ","BEST_FPERIOD_OVERRIDE=FQ","FILING_STATUS=OR","EQY_CONSOLIDATED=Y","Sort=A","Dates=H","DateFormat=P","Fill=—","Direction=H","UseDPDF=Y")</f>
        <v>#NAME?</v>
      </c>
      <c r="AU389" s="2" t="e">
        <f ca="1">_xll.BDH($C$378,"NET_FIXED_ASSETS_5_YEAR_GROWTH","FQ1 2016","FQ1 2016","Currency=INR","Period=FQ","BEST_FPERIOD_OVERRIDE=FQ","FILING_STATUS=OR","EQY_CONSOLIDATED=Y","Sort=A","Dates=H","DateFormat=P","Fill=—","Direction=H","UseDPDF=Y")</f>
        <v>#NAME?</v>
      </c>
      <c r="AV389" s="2" t="e">
        <f ca="1">_xll.BDH($C$378,"GEO_GROW_TOT_ASSET","FQ1 2016","FQ1 2016","Currency=INR","Period=FQ","BEST_FPERIOD_OVERRIDE=FQ","FILING_STATUS=OR","EQY_CONSOLIDATED=Y","Sort=A","Dates=H","DateFormat=P","Fill=—","Direction=H","UseDPDF=Y")</f>
        <v>#NAME?</v>
      </c>
      <c r="AW389" s="2" t="e">
        <f ca="1">_xll.BDH($C$378,"MODIFIED_WORKING_CPTL_5YR_GRWTH","FQ1 2016","FQ1 2016","Currency=INR","Period=FQ","BEST_FPERIOD_OVERRIDE=FQ","FILING_STATUS=OR","EQY_CONSOLIDATED=Y","Sort=A","Dates=H","DateFormat=P","Fill=—","Direction=H","UseDPDF=Y")</f>
        <v>#NAME?</v>
      </c>
      <c r="AX389" s="2" t="e">
        <f ca="1">_xll.BDH($C$378,"WORKING_CAPITAL_5_YEAR_GROWTH","FQ1 2016","FQ1 2016","Currency=INR","Period=FQ","BEST_FPERIOD_OVERRIDE=FQ","FILING_STATUS=OR","EQY_CONSOLIDATED=Y","Sort=A","Dates=H","DateFormat=P","Fill=—","Direction=H","UseDPDF=Y")</f>
        <v>#NAME?</v>
      </c>
      <c r="AY389" s="2" t="e">
        <f ca="1">_xll.BDH($C$378,"ACCOUNTS_PAYABLE_5_YEAR_GROWTH","FQ1 2016","FQ1 2016","Currency=INR","Period=FQ","BEST_FPERIOD_OVERRIDE=FQ","FILING_STATUS=OR","EQY_CONSOLIDATED=Y","Sort=A","Dates=H","DateFormat=P","Fill=—","Direction=H","UseDPDF=Y")</f>
        <v>#NAME?</v>
      </c>
      <c r="AZ389" s="2" t="e">
        <f ca="1">_xll.BDH($C$378,"SHORT_TERM_DEBT_5_YEAR_GROWTH","FQ1 2016","FQ1 2016","Currency=INR","Period=FQ","BEST_FPERIOD_OVERRIDE=FQ","FILING_STATUS=OR","EQY_CONSOLIDATED=Y","Sort=A","Dates=H","DateFormat=P","Fill=—","Direction=H","UseDPDF=Y")</f>
        <v>#NAME?</v>
      </c>
      <c r="BA389" s="2" t="e">
        <f ca="1">_xll.BDH($C$378,"TOTAL_DEBT_5_YEAR_GROWTH","FQ1 2016","FQ1 2016","Currency=INR","Period=FQ","BEST_FPERIOD_OVERRIDE=FQ","FILING_STATUS=OR","EQY_CONSOLIDATED=Y","Sort=A","Dates=H","DateFormat=P","Fill=—","Direction=H","UseDPDF=Y")</f>
        <v>#NAME?</v>
      </c>
      <c r="BB389" s="2" t="e">
        <f ca="1">_xll.BDH($C$378,"GEO_GROW_TOT_SHRHLDR_EQY","FQ1 2016","FQ1 2016","Currency=INR","Period=FQ","BEST_FPERIOD_OVERRIDE=FQ","FILING_STATUS=OR","EQY_CONSOLIDATED=Y","Sort=A","Dates=H","DateFormat=P","Fill=—","Direction=H","UseDPDF=Y")</f>
        <v>#NAME?</v>
      </c>
      <c r="BC389" s="2" t="e">
        <f ca="1">_xll.BDH($C$378,"TOTAL_CAPITAL_5_YEAR_GROWTH","FQ1 2016","FQ1 2016","Currency=INR","Period=FQ","BEST_FPERIOD_OVERRIDE=FQ","FILING_STATUS=OR","EQY_CONSOLIDATED=Y","Sort=A","Dates=H","DateFormat=P","Fill=—","Direction=H","UseDPDF=Y")</f>
        <v>#NAME?</v>
      </c>
      <c r="BD389" s="2" t="e">
        <f ca="1">_xll.BDH($C$378,"GEO_GROW_BOOK_VAL","FQ1 2016","FQ1 2016","Currency=INR","Period=FQ","BEST_FPERIOD_OVERRIDE=FQ","FILING_STATUS=OR","EQY_CONSOLIDATED=Y","Sort=A","Dates=H","DateFormat=P","Fill=—","Direction=H","UseDPDF=Y")</f>
        <v>#NAME?</v>
      </c>
      <c r="BE389" s="2" t="e">
        <f ca="1">_xll.BDH($C$378,"GEO_GROW_CASH_OPER_ACT","FQ1 2016","FQ1 2016","Currency=INR","Period=FQ","BEST_FPERIOD_OVERRIDE=FQ","FILING_STATUS=OR","EQY_CONSOLIDATED=Y","Sort=A","Dates=H","DateFormat=P","Fill=—","Direction=H","UseDPDF=Y")</f>
        <v>#NAME?</v>
      </c>
      <c r="BF389" s="2" t="e">
        <f ca="1">_xll.BDH($C$378,"REVENUE_SEQUENTIAL_GROWTH","FQ1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389" s="2" t="e">
        <f ca="1">_xll.BDH($C$378,"EBITDA_SEQUENTIAL_GROWTH","FQ1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389" s="2" t="e">
        <f ca="1">_xll.BDH($C$378,"OPERATING_INCOME_SEQ_GROWTH","FQ1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389" s="2" t="e">
        <f ca="1">_xll.BDH($C$378,"NET_INCOME_TO_COMMON_SEQ_GROWTH","FQ1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389" s="2" t="e">
        <f ca="1">_xll.BDH($C$378,"EPS_DILUTED_SEQUENTIAL_GROWTH","FQ1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389" s="2" t="e">
        <f ca="1">_xll.BDH($C$378,"DPS_SEQUENTIAL_GROWTH","FQ1 2016","FQ1 2016","Currency=INR","Period=FQ","BEST_FPERIOD_OVERRIDE=FQ","FILING_STATUS=OR","EQY_CONSOLIDATED=Y","Sort=A","Dates=H","DateFormat=P","Fill=—","Direction=H","UseDPDF=Y")</f>
        <v>#NAME?</v>
      </c>
      <c r="BL389" s="2" t="e">
        <f ca="1">_xll.BDH($C$378,"ACCOUNTS_RECEIVABLE_SEQ_GROWTH","FQ1 2016","FQ1 2016","Currency=INR","Period=FQ","BEST_FPERIOD_OVERRIDE=FQ","FILING_STATUS=OR","EQY_CONSOLIDATED=Y","Sort=A","Dates=H","DateFormat=P","Fill=—","Direction=H","UseDPDF=Y")</f>
        <v>#NAME?</v>
      </c>
      <c r="BM389" s="2" t="e">
        <f ca="1">_xll.BDH($C$378,"INVENTORY_SEQUENTIAL_GROWTH","FQ1 2016","FQ1 2016","Currency=INR","Period=FQ","BEST_FPERIOD_OVERRIDE=FQ","FILING_STATUS=OR","EQY_CONSOLIDATED=Y","Sort=A","Dates=H","DateFormat=P","Fill=—","Direction=H","UseDPDF=Y")</f>
        <v>#NAME?</v>
      </c>
      <c r="BN389" s="2" t="e">
        <f ca="1">_xll.BDH($C$378,"FIXED_ASSETS_SEQUENTIAL_GROWTH","FQ1 2016","FQ1 2016","Currency=INR","Period=FQ","BEST_FPERIOD_OVERRIDE=FQ","FILING_STATUS=OR","EQY_CONSOLIDATED=Y","Sort=A","Dates=H","DateFormat=P","Fill=—","Direction=H","UseDPDF=Y")</f>
        <v>#NAME?</v>
      </c>
      <c r="BO389" s="2" t="e">
        <f ca="1">_xll.BDH($C$378,"TOTAL_ASSETS_SEQUENTIAL_GROWTH","FQ1 2016","FQ1 2016","Currency=INR","Period=FQ","BEST_FPERIOD_OVERRIDE=FQ","FILING_STATUS=OR","EQY_CONSOLIDATED=Y","Sort=A","Dates=H","DateFormat=P","Fill=—","Direction=H","UseDPDF=Y")</f>
        <v>#NAME?</v>
      </c>
      <c r="BP389" s="2" t="e">
        <f ca="1">_xll.BDH($C$378,"MODIFIED_WORKING_CPTL_SEQ_GRWTH","FQ1 2016","FQ1 2016","Currency=INR","Period=FQ","BEST_FPERIOD_OVERRIDE=FQ","FILING_STATUS=OR","EQY_CONSOLIDATED=Y","Sort=A","Dates=H","DateFormat=P","Fill=—","Direction=H","UseDPDF=Y")</f>
        <v>#NAME?</v>
      </c>
      <c r="BQ389" s="2" t="e">
        <f ca="1">_xll.BDH($C$378,"WORKING_CAPITAL_SEQ_GROWTH","FQ1 2016","FQ1 2016","Currency=INR","Period=FQ","BEST_FPERIOD_OVERRIDE=FQ","FILING_STATUS=OR","EQY_CONSOLIDATED=Y","Sort=A","Dates=H","DateFormat=P","Fill=—","Direction=H","UseDPDF=Y")</f>
        <v>#NAME?</v>
      </c>
      <c r="BR389" s="2" t="e">
        <f ca="1">_xll.BDH($C$378,"ACCOUNTS_PAYABLE_SEQ_GROWTH","FQ1 2016","FQ1 2016","Currency=INR","Period=FQ","BEST_FPERIOD_OVERRIDE=FQ","FILING_STATUS=OR","EQY_CONSOLIDATED=Y","Sort=A","Dates=H","DateFormat=P","Fill=—","Direction=H","UseDPDF=Y")</f>
        <v>#NAME?</v>
      </c>
      <c r="BS389" s="2" t="e">
        <f ca="1">_xll.BDH($C$378,"ST_DEBT_SEQUENTIAL_GROWTH","FQ1 2016","FQ1 2016","Currency=INR","Period=FQ","BEST_FPERIOD_OVERRIDE=FQ","FILING_STATUS=OR","EQY_CONSOLIDATED=Y","Sort=A","Dates=H","DateFormat=P","Fill=—","Direction=H","UseDPDF=Y")</f>
        <v>#NAME?</v>
      </c>
      <c r="BT389" s="2" t="e">
        <f ca="1">_xll.BDH($C$378,"TOTAL_DEBT_SEQUENTIAL_GROWTH","FQ1 2016","FQ1 2016","Currency=INR","Period=FQ","BEST_FPERIOD_OVERRIDE=FQ","FILING_STATUS=OR","EQY_CONSOLIDATED=Y","Sort=A","Dates=H","DateFormat=P","Fill=—","Direction=H","UseDPDF=Y")</f>
        <v>#NAME?</v>
      </c>
      <c r="BU389" s="2" t="e">
        <f ca="1">_xll.BDH($C$378,"TOTAL_EQUITY_SEQUENTIAL_GROWTH","FQ1 2016","FQ1 2016","Currency=INR","Period=FQ","BEST_FPERIOD_OVERRIDE=FQ","FILING_STATUS=OR","EQY_CONSOLIDATED=Y","Sort=A","Dates=H","DateFormat=P","Fill=—","Direction=H","UseDPDF=Y")</f>
        <v>#NAME?</v>
      </c>
      <c r="BV389" s="2" t="e">
        <f ca="1">_xll.BDH($C$378,"TOTAL_CAPITAL_SEQUENTIAL_GROWTH","FQ1 2016","FQ1 2016","Currency=INR","Period=FQ","BEST_FPERIOD_OVERRIDE=FQ","FILING_STATUS=OR","EQY_CONSOLIDATED=Y","Sort=A","Dates=H","DateFormat=P","Fill=—","Direction=H","UseDPDF=Y")</f>
        <v>#NAME?</v>
      </c>
      <c r="BW389" s="2" t="e">
        <f ca="1">_xll.BDH($C$378,"BPS_SEQUENTIAL_GROWTH","FQ1 2016","FQ1 2016","Currency=INR","Period=FQ","BEST_FPERIOD_OVERRIDE=FQ","FILING_STATUS=OR","EQY_CONSOLIDATED=Y","Sort=A","Dates=H","DateFormat=P","Fill=—","Direction=H","UseDPDF=Y")</f>
        <v>#NAME?</v>
      </c>
      <c r="BX389" s="2" t="e">
        <f ca="1">_xll.BDH($C$378,"CFO_SEQUENTIAL_GROWTH","FQ1 2016","FQ1 2016","Currency=INR","Period=FQ","BEST_FPERIOD_OVERRIDE=FQ","FILING_STATUS=OR","EQY_CONSOLIDATED=Y","Sort=A","Dates=H","DateFormat=P","Fill=—","Direction=H","UseDPDF=Y")</f>
        <v>#NAME?</v>
      </c>
      <c r="BY389" s="3" t="e">
        <f ca="1">_xll.BDH($C$378,"SHORT_AND_LONG_TERM_DEBT","FQ1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389" s="3" t="e">
        <f ca="1">_xll.BDH($C$378,"BS_ST_BORROW","FQ1 2016","FQ1 2016","Currency=INR","Period=FQ","BEST_FPERIOD_OVERRIDE=FQ","FILING_STATUS=OR","EQY_CONSOLIDATED=Y","SCALING_FORMAT=MLN","Sort=A","Dates=H","DateFormat=P","Fill=—","Direction=H","UseDPDF=Y")</f>
        <v>#NAME?</v>
      </c>
      <c r="CA389" s="3" t="e">
        <f ca="1">_xll.BDH($C$378,"BS_LT_BORROW","FQ1 2016","FQ1 2016","Currency=INR","Period=FQ","BEST_FPERIOD_OVERRIDE=FQ","FILING_STATUS=OR","EQY_CONSOLIDATED=Y","SCALING_FORMAT=MLN","Sort=A","Dates=H","DateFormat=P","Fill=—","Direction=H","UseDPDF=Y")</f>
        <v>#NAME?</v>
      </c>
      <c r="CB389" s="2" t="e">
        <f ca="1">_xll.BDH($C$378,"TOT_DEBT_TO_EBITDA","FQ1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389" s="2" t="e">
        <f ca="1">_xll.BDH($C$378,"NET_DEBT_TO_EBITDA","FQ1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389" s="2" t="e">
        <f ca="1">_xll.BDH($C$378,"TOTAL_DEBT_TO_EBIT","FQ1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389" s="2" t="e">
        <f ca="1">_xll.BDH($C$378,"NET_DEBT_TO_EBIT","FQ1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389" s="2" t="e">
        <f ca="1">_xll.BDH($C$378,"EBITDA_TO_INTEREST_EXPN","FQ1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389" s="2" t="e">
        <f ca="1">_xll.BDH($C$378,"COM_EQY_TO_TOT_ASSET","FQ1 2016","FQ1 2016","Currency=INR","Period=FQ","BEST_FPERIOD_OVERRIDE=FQ","FILING_STATUS=OR","EQY_CONSOLIDATED=Y","Sort=A","Dates=H","DateFormat=P","Fill=—","Direction=H","UseDPDF=Y")</f>
        <v>#NAME?</v>
      </c>
      <c r="CH389" s="2" t="e">
        <f ca="1">_xll.BDH($C$378,"LT_DEBT_TO_TOT_EQY","FQ1 2016","FQ1 2016","Currency=INR","Period=FQ","BEST_FPERIOD_OVERRIDE=FQ","FILING_STATUS=OR","EQY_CONSOLIDATED=Y","Sort=A","Dates=H","DateFormat=P","Fill=—","Direction=H","UseDPDF=Y")</f>
        <v>#NAME?</v>
      </c>
      <c r="CI389" s="2" t="e">
        <f ca="1">_xll.BDH($C$378,"LT_DEBT_TO_TOT_CAP","FQ1 2016","FQ1 2016","Currency=INR","Period=FQ","BEST_FPERIOD_OVERRIDE=FQ","FILING_STATUS=OR","EQY_CONSOLIDATED=Y","Sort=A","Dates=H","DateFormat=P","Fill=—","Direction=H","UseDPDF=Y")</f>
        <v>#NAME?</v>
      </c>
      <c r="CJ389" s="2" t="e">
        <f ca="1">_xll.BDH($C$378,"LT_DEBT_TO_TOT_ASSET","FQ1 2016","FQ1 2016","Currency=INR","Period=FQ","BEST_FPERIOD_OVERRIDE=FQ","FILING_STATUS=OR","EQY_CONSOLIDATED=Y","Sort=A","Dates=H","DateFormat=P","Fill=—","Direction=H","UseDPDF=Y")</f>
        <v>#NAME?</v>
      </c>
      <c r="CK389" s="2" t="e">
        <f ca="1">_xll.BDH($C$378,"TOT_DEBT_TO_TOT_EQY","FQ1 2016","FQ1 2016","Currency=INR","Period=FQ","BEST_FPERIOD_OVERRIDE=FQ","FILING_STATUS=OR","EQY_CONSOLIDATED=Y","Sort=A","Dates=H","DateFormat=P","Fill=—","Direction=H","UseDPDF=Y")</f>
        <v>#NAME?</v>
      </c>
      <c r="CL389" s="2" t="e">
        <f ca="1">_xll.BDH($C$378,"TOT_DEBT_TO_TOT_CAP","FQ1 2016","FQ1 2016","Currency=INR","Period=FQ","BEST_FPERIOD_OVERRIDE=FQ","FILING_STATUS=OR","EQY_CONSOLIDATED=Y","Sort=A","Dates=H","DateFormat=P","Fill=—","Direction=H","UseDPDF=Y")</f>
        <v>#NAME?</v>
      </c>
      <c r="CM389" s="2" t="e">
        <f ca="1">_xll.BDH($C$378,"TOT_DEBT_TO_TOT_ASSET","FQ1 2016","FQ1 2016","Currency=INR","Period=FQ","BEST_FPERIOD_OVERRIDE=FQ","FILING_STATUS=OR","EQY_CONSOLIDATED=Y","Sort=A","Dates=H","DateFormat=P","Fill=—","Direction=H","UseDPDF=Y")</f>
        <v>#NAME?</v>
      </c>
      <c r="CN389" s="2" t="e">
        <f ca="1">_xll.BDH($C$378,"NET_DEBT_TO_SHRHLDR_EQTY","FQ1 2016","FQ1 2016","Currency=INR","Period=FQ","BEST_FPERIOD_OVERRIDE=FQ","FILING_STATUS=OR","EQY_CONSOLIDATED=Y","Sort=A","Dates=H","DateFormat=P","Fill=—","Direction=H","UseDPDF=Y")</f>
        <v>#NAME?</v>
      </c>
      <c r="CO389" s="2" t="e">
        <f ca="1">_xll.BDH($C$378,"NET_DEBT_%_CAPITAL","FQ1 2016","FQ1 2016","Currency=INR","Period=FQ","BEST_FPERIOD_OVERRIDE=FQ","FILING_STATUS=OR","EQY_CONSOLIDATED=Y","Sort=A","Dates=H","DateFormat=P","Fill=—","Direction=H","UseDPDF=Y")</f>
        <v>#NAME?</v>
      </c>
      <c r="CP389" s="3" t="e">
        <f ca="1">_xll.BDH($C$378,"EBITDA","FQ1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389" s="3" t="e">
        <f ca="1">_xll.BDH($C$378,"EBITDA_AFTER_CAPEX","FQ1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389" s="3" t="e">
        <f ca="1">_xll.BDH($C$378,"IS_OPER_INC","FQ1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389" s="2" t="e">
        <f ca="1">_xll.BDH($C$378,"CASH_RATIO","FQ1 2016","FQ1 2016","Currency=INR","Period=FQ","BEST_FPERIOD_OVERRIDE=FQ","FILING_STATUS=OR","EQY_CONSOLIDATED=Y","Sort=A","Dates=H","DateFormat=P","Fill=—","Direction=H","UseDPDF=Y")</f>
        <v>#NAME?</v>
      </c>
      <c r="CT389" s="2" t="e">
        <f ca="1">_xll.BDH($C$378,"CUR_RATIO","FQ1 2016","FQ1 2016","Currency=INR","Period=FQ","BEST_FPERIOD_OVERRIDE=FQ","FILING_STATUS=OR","EQY_CONSOLIDATED=Y","Sort=A","Dates=H","DateFormat=P","Fill=—","Direction=H","UseDPDF=Y")</f>
        <v>#NAME?</v>
      </c>
      <c r="CU389" s="2" t="e">
        <f ca="1">_xll.BDH($C$378,"QUICK_RATIO","FQ1 2016","FQ1 2016","Currency=INR","Period=FQ","BEST_FPERIOD_OVERRIDE=FQ","FILING_STATUS=OR","EQY_CONSOLIDATED=Y","Sort=A","Dates=H","DateFormat=P","Fill=—","Direction=H","UseDPDF=Y")</f>
        <v>#NAME?</v>
      </c>
      <c r="CV389" s="2" t="e">
        <f ca="1">_xll.BDH($C$378,"ALTMAN_Z_SCORE","FQ1 2016","FQ1 2016","Currency=INR","Period=FQ","BEST_FPERIOD_OVERRIDE=FQ","FILING_STATUS=OR","EQY_CONSOLIDATED=Y","Sort=A","Dates=H","DateFormat=P","Fill=—","Direction=H","UseDPDF=Y")</f>
        <v>#NAME?</v>
      </c>
      <c r="CW389" s="4" t="e">
        <f ca="1">_xll.BDH($C$378,"ACCT_RCV_TURN","FQ1 2016","FQ1 2016","Currency=INR","Period=FQ","BEST_FPERIOD_OVERRIDE=FQ","FILING_STATUS=OR","EQY_CONSOLIDATED=Y","FA_ADJUSTED=GAAP","Sort=A","Dates=H","DateFormat=P","Fill=—","Direction=H","UseDPDF=Y")</f>
        <v>#NAME?</v>
      </c>
      <c r="CX389" s="2" t="e">
        <f ca="1">_xll.BDH($C$378,"ACCT_RCV_DAYS","FQ1 2016","FQ1 2016","Currency=INR","Period=FQ","BEST_FPERIOD_OVERRIDE=FQ","FILING_STATUS=OR","EQY_CONSOLIDATED=Y","FA_ADJUSTED=GAAP","Sort=A","Dates=H","DateFormat=P","Fill=—","Direction=H","UseDPDF=Y")</f>
        <v>#NAME?</v>
      </c>
      <c r="CY389" s="4" t="e">
        <f ca="1">_xll.BDH($C$378,"INVENT_TURN","FQ1 2016","FQ1 2016","Currency=INR","Period=FQ","BEST_FPERIOD_OVERRIDE=FQ","FILING_STATUS=OR","EQY_CONSOLIDATED=Y","FA_ADJUSTED=GAAP","Sort=A","Dates=H","DateFormat=P","Fill=—","Direction=H","UseDPDF=Y")</f>
        <v>#NAME?</v>
      </c>
      <c r="CZ389" s="2" t="e">
        <f ca="1">_xll.BDH($C$378,"INVENT_DAYS","FQ1 2016","FQ1 2016","Currency=INR","Period=FQ","BEST_FPERIOD_OVERRIDE=FQ","FILING_STATUS=OR","EQY_CONSOLIDATED=Y","FA_ADJUSTED=GAAP","Sort=A","Dates=H","DateFormat=P","Fill=—","Direction=H","UseDPDF=Y")</f>
        <v>#NAME?</v>
      </c>
      <c r="DA389" s="4" t="e">
        <f ca="1">_xll.BDH($C$378,"ACCOUNTS_PAYABLE_TURNOVER","FQ1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389" s="2" t="e">
        <f ca="1">_xll.BDH($C$378,"ACCOUNTS_PAYABLE_TURNOVER_DAYS","FQ1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389" s="4" t="e">
        <f ca="1">_xll.BDH($C$378,"CASH_CONVERSION_CYCLE","FQ1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389" s="4" t="e">
        <f ca="1">_xll.BDH($C$378,"INV_TO_CASH_DAYS","FQ1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389" s="5" t="e">
        <f ca="1">_xll.BDH($C$378,"BS_INVENTORIES","FQ1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389" s="3" t="e">
        <f ca="1">_xll.BDH($C$378,"INVTRY_RAW_MATERIALS","FQ1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389" s="3" t="e">
        <f ca="1">_xll.BDH($C$378,"INVTRY_IN_PROGRESS","FQ1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389" s="3" t="e">
        <f ca="1">_xll.BDH($C$378,"INVTRY_FINISHED_GOODS","FQ1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389" s="3" t="e">
        <f ca="1">_xll.BDH($C$378,"BS_OTHER_INV","FQ1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390" spans="1:113" x14ac:dyDescent="0.3">
      <c r="A390" s="6"/>
      <c r="B390" s="6"/>
      <c r="C390" s="6"/>
      <c r="D390" s="6"/>
      <c r="E390" t="s">
        <v>79</v>
      </c>
      <c r="F390" t="e">
        <f ca="1">_xll.BDH($C$378,"RETURN_COM_EQY","FQ2 2016","FQ2 2016","Currency=INR","Period=FQ","BEST_FPERIOD_OVERRIDE=FQ","FILING_STATUS=OR","EQY_CONSOLIDATED=Y","FA_ADJUSTED=GAAP","Sort=A","Dates=H","DateFormat=P","Fill=—","Direction=H","UseDPDF=Y")</f>
        <v>#NAME?</v>
      </c>
      <c r="G390" t="e">
        <f ca="1">_xll.BDH($C$378,"RETURN_ON_ASSET","FQ2 2016","FQ2 2016","Currency=INR","Period=FQ","BEST_FPERIOD_OVERRIDE=FQ","FILING_STATUS=OR","EQY_CONSOLIDATED=Y","FA_ADJUSTED=GAAP","Sort=A","Dates=H","DateFormat=P","Fill=—","Direction=H","UseDPDF=Y")</f>
        <v>#NAME?</v>
      </c>
      <c r="H390" t="e">
        <f ca="1">_xll.BDH($C$378,"RETURN_ON_CAP","FQ2 2016","FQ2 2016","Currency=INR","Period=FQ","BEST_FPERIOD_OVERRIDE=FQ","FILING_STATUS=OR","EQY_CONSOLIDATED=Y","FA_ADJUSTED=GAAP","Sort=A","Dates=H","DateFormat=P","Fill=—","Direction=H","UseDPDF=Y")</f>
        <v>#NAME?</v>
      </c>
      <c r="I390" t="e">
        <f ca="1">_xll.BDH($C$378,"RETURN_ON_INV_CAPITAL","FQ2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390" t="e">
        <f ca="1">_xll.BDH($C$378,"EBITDA_TO_REVENUE","FQ2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390" t="e">
        <f ca="1">_xll.BDH($C$378,"OPER_MARGIN","FQ2 2016","FQ2 2016","Currency=INR","Period=FQ","BEST_FPERIOD_OVERRIDE=FQ","FILING_STATUS=OR","EQY_CONSOLIDATED=Y","FA_ADJUSTED=GAAP","Sort=A","Dates=H","DateFormat=P","Fill=—","Direction=H","UseDPDF=Y")</f>
        <v>#NAME?</v>
      </c>
      <c r="L390" t="e">
        <f ca="1">_xll.BDH($C$378,"INCREMENTAL_OPERATING_MARGIN","FQ2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390" t="e">
        <f ca="1">_xll.BDH($C$378,"PRETAX_INC_TO_NET_SALES","FQ2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390" t="e">
        <f ca="1">_xll.BDH($C$378,"INC_BEF_XO_ITEMS_TO_NET_SALES","FQ2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390" t="e">
        <f ca="1">_xll.BDH($C$378,"PROF_MARGIN","FQ2 2016","FQ2 2016","Currency=INR","Period=FQ","BEST_FPERIOD_OVERRIDE=FQ","FILING_STATUS=OR","EQY_CONSOLIDATED=Y","FA_ADJUSTED=GAAP","Sort=A","Dates=H","DateFormat=P","Fill=—","Direction=H","UseDPDF=Y")</f>
        <v>#NAME?</v>
      </c>
      <c r="P390" t="e">
        <f ca="1">_xll.BDH($C$378,"NET_INCOME_TO_COMMON_MARGIN","FQ2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390" t="e">
        <f ca="1">_xll.BDH($C$378,"EFF_TAX_RATE","FQ2 2016","FQ2 2016","Currency=INR","Period=FQ","BEST_FPERIOD_OVERRIDE=FQ","FILING_STATUS=OR","EQY_CONSOLIDATED=Y","FA_ADJUSTED=GAAP","Sort=A","Dates=H","DateFormat=P","Fill=—","Direction=H","UseDPDF=Y")</f>
        <v>#NAME?</v>
      </c>
      <c r="R390" t="e">
        <f ca="1">_xll.BDH($C$378,"DVD_PAYOUT_RATIO","FQ2 2016","FQ2 2016","Currency=INR","Period=FQ","BEST_FPERIOD_OVERRIDE=FQ","FILING_STATUS=OR","EQY_CONSOLIDATED=Y","FA_ADJUSTED=GAAP","Sort=A","Dates=H","DateFormat=P","Fill=—","Direction=H","UseDPDF=Y")</f>
        <v>#NAME?</v>
      </c>
      <c r="S390" t="e">
        <f ca="1">_xll.BDH($C$378,"SUSTAIN_GROWTH_RT","FQ2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390" s="2" t="e">
        <f ca="1">_xll.BDH($C$378,"SALES_GROWTH","FQ2 2016","FQ2 2016","Currency=INR","Period=FQ","BEST_FPERIOD_OVERRIDE=FQ","FILING_STATUS=OR","EQY_CONSOLIDATED=Y","FA_ADJUSTED=GAAP","Sort=A","Dates=H","DateFormat=P","Fill=—","Direction=H","UseDPDF=Y")</f>
        <v>#NAME?</v>
      </c>
      <c r="U390" s="2" t="e">
        <f ca="1">_xll.BDH($C$378,"EBITDA_GROWTH","FQ2 2016","FQ2 2016","Currency=INR","Period=FQ","BEST_FPERIOD_OVERRIDE=FQ","FILING_STATUS=OR","EQY_CONSOLIDATED=Y","FA_ADJUSTED=GAAP","Sort=A","Dates=H","DateFormat=P","Fill=—","Direction=H","UseDPDF=Y")</f>
        <v>#NAME?</v>
      </c>
      <c r="V390" s="2" t="e">
        <f ca="1">_xll.BDH($C$378,"OPER_INC_GROWTH","FQ2 2016","FQ2 2016","Currency=INR","Period=FQ","BEST_FPERIOD_OVERRIDE=FQ","FILING_STATUS=OR","EQY_CONSOLIDATED=Y","FA_ADJUSTED=GAAP","Sort=A","Dates=H","DateFormat=P","Fill=—","Direction=H","UseDPDF=Y")</f>
        <v>#NAME?</v>
      </c>
      <c r="W390" s="2" t="e">
        <f ca="1">_xll.BDH($C$378,"EARN_FOR_COM_GROWTH","FQ2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390" s="2" t="e">
        <f ca="1">_xll.BDH($C$378,"DILUTED_EPS_AFT_XO_ITEMS_GROWTH","FQ2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390" s="2" t="e">
        <f ca="1">_xll.BDH($C$378,"DIVIDEND_PER_SHARE_1_YEAR_GROWTH","FQ2 2016","FQ2 2016","Currency=INR","Period=FQ","BEST_FPERIOD_OVERRIDE=FQ","FILING_STATUS=OR","EQY_CONSOLIDATED=Y","Sort=A","Dates=H","DateFormat=P","Fill=—","Direction=H","UseDPDF=Y")</f>
        <v>#NAME?</v>
      </c>
      <c r="Z390" s="2" t="e">
        <f ca="1">_xll.BDH($C$378,"ACCOUNTS_RECEIVABLE_GROWTH","FQ2 2016","FQ2 2016","Currency=INR","Period=FQ","BEST_FPERIOD_OVERRIDE=FQ","FILING_STATUS=OR","EQY_CONSOLIDATED=Y","Sort=A","Dates=H","DateFormat=P","Fill=—","Direction=H","UseDPDF=Y")</f>
        <v>#NAME?</v>
      </c>
      <c r="AA390" s="2" t="e">
        <f ca="1">_xll.BDH($C$378,"INVENTORY_GROWTH","FQ2 2016","FQ2 2016","Currency=INR","Period=FQ","BEST_FPERIOD_OVERRIDE=FQ","FILING_STATUS=OR","EQY_CONSOLIDATED=Y","Sort=A","Dates=H","DateFormat=P","Fill=—","Direction=H","UseDPDF=Y")</f>
        <v>#NAME?</v>
      </c>
      <c r="AB390" s="2" t="e">
        <f ca="1">_xll.BDH($C$378,"NET_FIXED_ASSETS_1_YEAR_GROWTH","FQ2 2016","FQ2 2016","Currency=INR","Period=FQ","BEST_FPERIOD_OVERRIDE=FQ","FILING_STATUS=OR","EQY_CONSOLIDATED=Y","Sort=A","Dates=H","DateFormat=P","Fill=—","Direction=H","UseDPDF=Y")</f>
        <v>#NAME?</v>
      </c>
      <c r="AC390" s="2" t="e">
        <f ca="1">_xll.BDH($C$378,"ASSET_GROWTH","FQ2 2016","FQ2 2016","Currency=INR","Period=FQ","BEST_FPERIOD_OVERRIDE=FQ","FILING_STATUS=OR","EQY_CONSOLIDATED=Y","Sort=A","Dates=H","DateFormat=P","Fill=—","Direction=H","UseDPDF=Y")</f>
        <v>#NAME?</v>
      </c>
      <c r="AD390" s="2" t="e">
        <f ca="1">_xll.BDH($C$378,"MODIFIED_WORK_CAP_GROWTH","FQ2 2016","FQ2 2016","Currency=INR","Period=FQ","BEST_FPERIOD_OVERRIDE=FQ","FILING_STATUS=OR","EQY_CONSOLIDATED=Y","Sort=A","Dates=H","DateFormat=P","Fill=—","Direction=H","UseDPDF=Y")</f>
        <v>#NAME?</v>
      </c>
      <c r="AE390" s="2" t="e">
        <f ca="1">_xll.BDH($C$378,"WORK_CAP_GROWTH","FQ2 2016","FQ2 2016","Currency=INR","Period=FQ","BEST_FPERIOD_OVERRIDE=FQ","FILING_STATUS=OR","EQY_CONSOLIDATED=Y","Sort=A","Dates=H","DateFormat=P","Fill=—","Direction=H","UseDPDF=Y")</f>
        <v>#NAME?</v>
      </c>
      <c r="AF390" s="2" t="e">
        <f ca="1">_xll.BDH($C$378,"ACCOUNTS_PAYABLE_GROWTH_1YR","FQ2 2016","FQ2 2016","Currency=INR","Period=FQ","BEST_FPERIOD_OVERRIDE=FQ","FILING_STATUS=OR","EQY_CONSOLIDATED=Y","Sort=A","Dates=H","DateFormat=P","Fill=—","Direction=H","UseDPDF=Y")</f>
        <v>#NAME?</v>
      </c>
      <c r="AG390" s="2" t="e">
        <f ca="1">_xll.BDH($C$378,"SHORT_TERM_DEBT_1_YEAR_GROWTH","FQ2 2016","FQ2 2016","Currency=INR","Period=FQ","BEST_FPERIOD_OVERRIDE=FQ","FILING_STATUS=OR","EQY_CONSOLIDATED=Y","Sort=A","Dates=H","DateFormat=P","Fill=—","Direction=H","UseDPDF=Y")</f>
        <v>#NAME?</v>
      </c>
      <c r="AH390" s="2" t="e">
        <f ca="1">_xll.BDH($C$378,"TOTAL_DEBT_1_YEAR_GROWTH","FQ2 2016","FQ2 2016","Currency=INR","Period=FQ","BEST_FPERIOD_OVERRIDE=FQ","FILING_STATUS=OR","EQY_CONSOLIDATED=Y","Sort=A","Dates=H","DateFormat=P","Fill=—","Direction=H","UseDPDF=Y")</f>
        <v>#NAME?</v>
      </c>
      <c r="AI390" s="2" t="e">
        <f ca="1">_xll.BDH($C$378,"TOTAL_EQUITY_1_YEAR_GROWTH","FQ2 2016","FQ2 2016","Currency=INR","Period=FQ","BEST_FPERIOD_OVERRIDE=FQ","FILING_STATUS=OR","EQY_CONSOLIDATED=Y","Sort=A","Dates=H","DateFormat=P","Fill=—","Direction=H","UseDPDF=Y")</f>
        <v>#NAME?</v>
      </c>
      <c r="AJ390" s="2" t="e">
        <f ca="1">_xll.BDH($C$378,"GROWTH_IN_CAP","FQ2 2016","FQ2 2016","Currency=INR","Period=FQ","BEST_FPERIOD_OVERRIDE=FQ","FILING_STATUS=OR","EQY_CONSOLIDATED=Y","Sort=A","Dates=H","DateFormat=P","Fill=—","Direction=H","UseDPDF=Y")</f>
        <v>#NAME?</v>
      </c>
      <c r="AK390" s="2" t="e">
        <f ca="1">_xll.BDH($C$378,"BVPS_GROWTH","FQ2 2016","FQ2 2016","Currency=INR","Period=FQ","BEST_FPERIOD_OVERRIDE=FQ","FILING_STATUS=OR","EQY_CONSOLIDATED=Y","Sort=A","Dates=H","DateFormat=P","Fill=—","Direction=H","UseDPDF=Y")</f>
        <v>#NAME?</v>
      </c>
      <c r="AL390" s="2" t="e">
        <f ca="1">_xll.BDH($C$378,"CASH_FLOW_GROWTH","FQ2 2016","FQ2 2016","Currency=INR","Period=FQ","BEST_FPERIOD_OVERRIDE=FQ","FILING_STATUS=OR","EQY_CONSOLIDATED=Y","Sort=A","Dates=H","DateFormat=P","Fill=—","Direction=H","UseDPDF=Y")</f>
        <v>#NAME?</v>
      </c>
      <c r="AM390" s="2" t="e">
        <f ca="1">_xll.BDH($C$378,"GEO_GROW_NET_SALES","FQ2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390" s="2" t="e">
        <f ca="1">_xll.BDH($C$378,"GEO_GROW_EBITDA","FQ2 2016","FQ2 2016","Currency=INR","Period=FQ","BEST_FPERIOD_OVERRIDE=FQ","FILING_STATUS=OR","EQY_CONSOLIDATED=Y","FA_ADJUSTED=GAAP","Sort=A","Dates=H","DateFormat=P","Fill=—","Direction=H","UseDPDF=Y")</f>
        <v>#NAME?</v>
      </c>
      <c r="AO390" s="2" t="e">
        <f ca="1">_xll.BDH($C$378,"GEO_GROW_OPER_INC","FQ2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390" s="2" t="e">
        <f ca="1">_xll.BDH($C$378,"NET_INCOME_TO_COMMON_5_YR_GROWTH","FQ2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390" s="2" t="e">
        <f ca="1">_xll.BDH($C$378,"5Y_GEO_GROWTH_DILUTED_EPS","FQ2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390" s="2" t="e">
        <f ca="1">_xll.BDH($C$378,"GEO_GROW_DVD_PER_SH","FQ2 2016","FQ2 2016","Currency=INR","Period=FQ","BEST_FPERIOD_OVERRIDE=FQ","FILING_STATUS=OR","EQY_CONSOLIDATED=Y","Sort=A","Dates=H","DateFormat=P","Fill=—","Direction=H","UseDPDF=Y")</f>
        <v>#NAME?</v>
      </c>
      <c r="AS390" s="2" t="e">
        <f ca="1">_xll.BDH($C$378,"ACCOUNTS_RECEIVABLE_5_YR_GROWTH","FQ2 2016","FQ2 2016","Currency=INR","Period=FQ","BEST_FPERIOD_OVERRIDE=FQ","FILING_STATUS=OR","EQY_CONSOLIDATED=Y","Sort=A","Dates=H","DateFormat=P","Fill=—","Direction=H","UseDPDF=Y")</f>
        <v>#NAME?</v>
      </c>
      <c r="AT390" s="2" t="e">
        <f ca="1">_xll.BDH($C$378,"INVENTORY_5_YEAR_GROWTH","FQ2 2016","FQ2 2016","Currency=INR","Period=FQ","BEST_FPERIOD_OVERRIDE=FQ","FILING_STATUS=OR","EQY_CONSOLIDATED=Y","Sort=A","Dates=H","DateFormat=P","Fill=—","Direction=H","UseDPDF=Y")</f>
        <v>#NAME?</v>
      </c>
      <c r="AU390" s="2" t="e">
        <f ca="1">_xll.BDH($C$378,"NET_FIXED_ASSETS_5_YEAR_GROWTH","FQ2 2016","FQ2 2016","Currency=INR","Period=FQ","BEST_FPERIOD_OVERRIDE=FQ","FILING_STATUS=OR","EQY_CONSOLIDATED=Y","Sort=A","Dates=H","DateFormat=P","Fill=—","Direction=H","UseDPDF=Y")</f>
        <v>#NAME?</v>
      </c>
      <c r="AV390" s="2" t="e">
        <f ca="1">_xll.BDH($C$378,"GEO_GROW_TOT_ASSET","FQ2 2016","FQ2 2016","Currency=INR","Period=FQ","BEST_FPERIOD_OVERRIDE=FQ","FILING_STATUS=OR","EQY_CONSOLIDATED=Y","Sort=A","Dates=H","DateFormat=P","Fill=—","Direction=H","UseDPDF=Y")</f>
        <v>#NAME?</v>
      </c>
      <c r="AW390" s="2" t="e">
        <f ca="1">_xll.BDH($C$378,"MODIFIED_WORKING_CPTL_5YR_GRWTH","FQ2 2016","FQ2 2016","Currency=INR","Period=FQ","BEST_FPERIOD_OVERRIDE=FQ","FILING_STATUS=OR","EQY_CONSOLIDATED=Y","Sort=A","Dates=H","DateFormat=P","Fill=—","Direction=H","UseDPDF=Y")</f>
        <v>#NAME?</v>
      </c>
      <c r="AX390" s="2" t="e">
        <f ca="1">_xll.BDH($C$378,"WORKING_CAPITAL_5_YEAR_GROWTH","FQ2 2016","FQ2 2016","Currency=INR","Period=FQ","BEST_FPERIOD_OVERRIDE=FQ","FILING_STATUS=OR","EQY_CONSOLIDATED=Y","Sort=A","Dates=H","DateFormat=P","Fill=—","Direction=H","UseDPDF=Y")</f>
        <v>#NAME?</v>
      </c>
      <c r="AY390" s="2" t="e">
        <f ca="1">_xll.BDH($C$378,"ACCOUNTS_PAYABLE_5_YEAR_GROWTH","FQ2 2016","FQ2 2016","Currency=INR","Period=FQ","BEST_FPERIOD_OVERRIDE=FQ","FILING_STATUS=OR","EQY_CONSOLIDATED=Y","Sort=A","Dates=H","DateFormat=P","Fill=—","Direction=H","UseDPDF=Y")</f>
        <v>#NAME?</v>
      </c>
      <c r="AZ390" s="2" t="e">
        <f ca="1">_xll.BDH($C$378,"SHORT_TERM_DEBT_5_YEAR_GROWTH","FQ2 2016","FQ2 2016","Currency=INR","Period=FQ","BEST_FPERIOD_OVERRIDE=FQ","FILING_STATUS=OR","EQY_CONSOLIDATED=Y","Sort=A","Dates=H","DateFormat=P","Fill=—","Direction=H","UseDPDF=Y")</f>
        <v>#NAME?</v>
      </c>
      <c r="BA390" s="2" t="e">
        <f ca="1">_xll.BDH($C$378,"TOTAL_DEBT_5_YEAR_GROWTH","FQ2 2016","FQ2 2016","Currency=INR","Period=FQ","BEST_FPERIOD_OVERRIDE=FQ","FILING_STATUS=OR","EQY_CONSOLIDATED=Y","Sort=A","Dates=H","DateFormat=P","Fill=—","Direction=H","UseDPDF=Y")</f>
        <v>#NAME?</v>
      </c>
      <c r="BB390" s="2" t="e">
        <f ca="1">_xll.BDH($C$378,"GEO_GROW_TOT_SHRHLDR_EQY","FQ2 2016","FQ2 2016","Currency=INR","Period=FQ","BEST_FPERIOD_OVERRIDE=FQ","FILING_STATUS=OR","EQY_CONSOLIDATED=Y","Sort=A","Dates=H","DateFormat=P","Fill=—","Direction=H","UseDPDF=Y")</f>
        <v>#NAME?</v>
      </c>
      <c r="BC390" s="2" t="e">
        <f ca="1">_xll.BDH($C$378,"TOTAL_CAPITAL_5_YEAR_GROWTH","FQ2 2016","FQ2 2016","Currency=INR","Period=FQ","BEST_FPERIOD_OVERRIDE=FQ","FILING_STATUS=OR","EQY_CONSOLIDATED=Y","Sort=A","Dates=H","DateFormat=P","Fill=—","Direction=H","UseDPDF=Y")</f>
        <v>#NAME?</v>
      </c>
      <c r="BD390" s="2" t="e">
        <f ca="1">_xll.BDH($C$378,"GEO_GROW_BOOK_VAL","FQ2 2016","FQ2 2016","Currency=INR","Period=FQ","BEST_FPERIOD_OVERRIDE=FQ","FILING_STATUS=OR","EQY_CONSOLIDATED=Y","Sort=A","Dates=H","DateFormat=P","Fill=—","Direction=H","UseDPDF=Y")</f>
        <v>#NAME?</v>
      </c>
      <c r="BE390" s="2" t="e">
        <f ca="1">_xll.BDH($C$378,"GEO_GROW_CASH_OPER_ACT","FQ2 2016","FQ2 2016","Currency=INR","Period=FQ","BEST_FPERIOD_OVERRIDE=FQ","FILING_STATUS=OR","EQY_CONSOLIDATED=Y","Sort=A","Dates=H","DateFormat=P","Fill=—","Direction=H","UseDPDF=Y")</f>
        <v>#NAME?</v>
      </c>
      <c r="BF390" s="2" t="e">
        <f ca="1">_xll.BDH($C$378,"REVENUE_SEQUENTIAL_GROWTH","FQ2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390" s="2" t="e">
        <f ca="1">_xll.BDH($C$378,"EBITDA_SEQUENTIAL_GROWTH","FQ2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390" s="2" t="e">
        <f ca="1">_xll.BDH($C$378,"OPERATING_INCOME_SEQ_GROWTH","FQ2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390" s="2" t="e">
        <f ca="1">_xll.BDH($C$378,"NET_INCOME_TO_COMMON_SEQ_GROWTH","FQ2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390" s="2" t="e">
        <f ca="1">_xll.BDH($C$378,"EPS_DILUTED_SEQUENTIAL_GROWTH","FQ2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390" s="2" t="e">
        <f ca="1">_xll.BDH($C$378,"DPS_SEQUENTIAL_GROWTH","FQ2 2016","FQ2 2016","Currency=INR","Period=FQ","BEST_FPERIOD_OVERRIDE=FQ","FILING_STATUS=OR","EQY_CONSOLIDATED=Y","Sort=A","Dates=H","DateFormat=P","Fill=—","Direction=H","UseDPDF=Y")</f>
        <v>#NAME?</v>
      </c>
      <c r="BL390" s="2" t="e">
        <f ca="1">_xll.BDH($C$378,"ACCOUNTS_RECEIVABLE_SEQ_GROWTH","FQ2 2016","FQ2 2016","Currency=INR","Period=FQ","BEST_FPERIOD_OVERRIDE=FQ","FILING_STATUS=OR","EQY_CONSOLIDATED=Y","Sort=A","Dates=H","DateFormat=P","Fill=—","Direction=H","UseDPDF=Y")</f>
        <v>#NAME?</v>
      </c>
      <c r="BM390" s="2" t="e">
        <f ca="1">_xll.BDH($C$378,"INVENTORY_SEQUENTIAL_GROWTH","FQ2 2016","FQ2 2016","Currency=INR","Period=FQ","BEST_FPERIOD_OVERRIDE=FQ","FILING_STATUS=OR","EQY_CONSOLIDATED=Y","Sort=A","Dates=H","DateFormat=P","Fill=—","Direction=H","UseDPDF=Y")</f>
        <v>#NAME?</v>
      </c>
      <c r="BN390" s="2" t="e">
        <f ca="1">_xll.BDH($C$378,"FIXED_ASSETS_SEQUENTIAL_GROWTH","FQ2 2016","FQ2 2016","Currency=INR","Period=FQ","BEST_FPERIOD_OVERRIDE=FQ","FILING_STATUS=OR","EQY_CONSOLIDATED=Y","Sort=A","Dates=H","DateFormat=P","Fill=—","Direction=H","UseDPDF=Y")</f>
        <v>#NAME?</v>
      </c>
      <c r="BO390" s="2" t="e">
        <f ca="1">_xll.BDH($C$378,"TOTAL_ASSETS_SEQUENTIAL_GROWTH","FQ2 2016","FQ2 2016","Currency=INR","Period=FQ","BEST_FPERIOD_OVERRIDE=FQ","FILING_STATUS=OR","EQY_CONSOLIDATED=Y","Sort=A","Dates=H","DateFormat=P","Fill=—","Direction=H","UseDPDF=Y")</f>
        <v>#NAME?</v>
      </c>
      <c r="BP390" s="2" t="e">
        <f ca="1">_xll.BDH($C$378,"MODIFIED_WORKING_CPTL_SEQ_GRWTH","FQ2 2016","FQ2 2016","Currency=INR","Period=FQ","BEST_FPERIOD_OVERRIDE=FQ","FILING_STATUS=OR","EQY_CONSOLIDATED=Y","Sort=A","Dates=H","DateFormat=P","Fill=—","Direction=H","UseDPDF=Y")</f>
        <v>#NAME?</v>
      </c>
      <c r="BQ390" s="2" t="e">
        <f ca="1">_xll.BDH($C$378,"WORKING_CAPITAL_SEQ_GROWTH","FQ2 2016","FQ2 2016","Currency=INR","Period=FQ","BEST_FPERIOD_OVERRIDE=FQ","FILING_STATUS=OR","EQY_CONSOLIDATED=Y","Sort=A","Dates=H","DateFormat=P","Fill=—","Direction=H","UseDPDF=Y")</f>
        <v>#NAME?</v>
      </c>
      <c r="BR390" s="2" t="e">
        <f ca="1">_xll.BDH($C$378,"ACCOUNTS_PAYABLE_SEQ_GROWTH","FQ2 2016","FQ2 2016","Currency=INR","Period=FQ","BEST_FPERIOD_OVERRIDE=FQ","FILING_STATUS=OR","EQY_CONSOLIDATED=Y","Sort=A","Dates=H","DateFormat=P","Fill=—","Direction=H","UseDPDF=Y")</f>
        <v>#NAME?</v>
      </c>
      <c r="BS390" s="2" t="e">
        <f ca="1">_xll.BDH($C$378,"ST_DEBT_SEQUENTIAL_GROWTH","FQ2 2016","FQ2 2016","Currency=INR","Period=FQ","BEST_FPERIOD_OVERRIDE=FQ","FILING_STATUS=OR","EQY_CONSOLIDATED=Y","Sort=A","Dates=H","DateFormat=P","Fill=—","Direction=H","UseDPDF=Y")</f>
        <v>#NAME?</v>
      </c>
      <c r="BT390" s="2" t="e">
        <f ca="1">_xll.BDH($C$378,"TOTAL_DEBT_SEQUENTIAL_GROWTH","FQ2 2016","FQ2 2016","Currency=INR","Period=FQ","BEST_FPERIOD_OVERRIDE=FQ","FILING_STATUS=OR","EQY_CONSOLIDATED=Y","Sort=A","Dates=H","DateFormat=P","Fill=—","Direction=H","UseDPDF=Y")</f>
        <v>#NAME?</v>
      </c>
      <c r="BU390" s="2" t="e">
        <f ca="1">_xll.BDH($C$378,"TOTAL_EQUITY_SEQUENTIAL_GROWTH","FQ2 2016","FQ2 2016","Currency=INR","Period=FQ","BEST_FPERIOD_OVERRIDE=FQ","FILING_STATUS=OR","EQY_CONSOLIDATED=Y","Sort=A","Dates=H","DateFormat=P","Fill=—","Direction=H","UseDPDF=Y")</f>
        <v>#NAME?</v>
      </c>
      <c r="BV390" s="2" t="e">
        <f ca="1">_xll.BDH($C$378,"TOTAL_CAPITAL_SEQUENTIAL_GROWTH","FQ2 2016","FQ2 2016","Currency=INR","Period=FQ","BEST_FPERIOD_OVERRIDE=FQ","FILING_STATUS=OR","EQY_CONSOLIDATED=Y","Sort=A","Dates=H","DateFormat=P","Fill=—","Direction=H","UseDPDF=Y")</f>
        <v>#NAME?</v>
      </c>
      <c r="BW390" s="2" t="e">
        <f ca="1">_xll.BDH($C$378,"BPS_SEQUENTIAL_GROWTH","FQ2 2016","FQ2 2016","Currency=INR","Period=FQ","BEST_FPERIOD_OVERRIDE=FQ","FILING_STATUS=OR","EQY_CONSOLIDATED=Y","Sort=A","Dates=H","DateFormat=P","Fill=—","Direction=H","UseDPDF=Y")</f>
        <v>#NAME?</v>
      </c>
      <c r="BX390" s="2" t="e">
        <f ca="1">_xll.BDH($C$378,"CFO_SEQUENTIAL_GROWTH","FQ2 2016","FQ2 2016","Currency=INR","Period=FQ","BEST_FPERIOD_OVERRIDE=FQ","FILING_STATUS=OR","EQY_CONSOLIDATED=Y","Sort=A","Dates=H","DateFormat=P","Fill=—","Direction=H","UseDPDF=Y")</f>
        <v>#NAME?</v>
      </c>
      <c r="BY390" s="3" t="e">
        <f ca="1">_xll.BDH($C$378,"SHORT_AND_LONG_TERM_DEBT","FQ2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390" s="3" t="e">
        <f ca="1">_xll.BDH($C$378,"BS_ST_BORROW","FQ2 2016","FQ2 2016","Currency=INR","Period=FQ","BEST_FPERIOD_OVERRIDE=FQ","FILING_STATUS=OR","EQY_CONSOLIDATED=Y","SCALING_FORMAT=MLN","Sort=A","Dates=H","DateFormat=P","Fill=—","Direction=H","UseDPDF=Y")</f>
        <v>#NAME?</v>
      </c>
      <c r="CA390" s="3" t="e">
        <f ca="1">_xll.BDH($C$378,"BS_LT_BORROW","FQ2 2016","FQ2 2016","Currency=INR","Period=FQ","BEST_FPERIOD_OVERRIDE=FQ","FILING_STATUS=OR","EQY_CONSOLIDATED=Y","SCALING_FORMAT=MLN","Sort=A","Dates=H","DateFormat=P","Fill=—","Direction=H","UseDPDF=Y")</f>
        <v>#NAME?</v>
      </c>
      <c r="CB390" s="2" t="e">
        <f ca="1">_xll.BDH($C$378,"TOT_DEBT_TO_EBITDA","FQ2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390" s="2" t="e">
        <f ca="1">_xll.BDH($C$378,"NET_DEBT_TO_EBITDA","FQ2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390" s="2" t="e">
        <f ca="1">_xll.BDH($C$378,"TOTAL_DEBT_TO_EBIT","FQ2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390" s="2" t="e">
        <f ca="1">_xll.BDH($C$378,"NET_DEBT_TO_EBIT","FQ2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390" s="2" t="e">
        <f ca="1">_xll.BDH($C$378,"EBITDA_TO_INTEREST_EXPN","FQ2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390" s="2" t="e">
        <f ca="1">_xll.BDH($C$378,"COM_EQY_TO_TOT_ASSET","FQ2 2016","FQ2 2016","Currency=INR","Period=FQ","BEST_FPERIOD_OVERRIDE=FQ","FILING_STATUS=OR","EQY_CONSOLIDATED=Y","Sort=A","Dates=H","DateFormat=P","Fill=—","Direction=H","UseDPDF=Y")</f>
        <v>#NAME?</v>
      </c>
      <c r="CH390" s="2" t="e">
        <f ca="1">_xll.BDH($C$378,"LT_DEBT_TO_TOT_EQY","FQ2 2016","FQ2 2016","Currency=INR","Period=FQ","BEST_FPERIOD_OVERRIDE=FQ","FILING_STATUS=OR","EQY_CONSOLIDATED=Y","Sort=A","Dates=H","DateFormat=P","Fill=—","Direction=H","UseDPDF=Y")</f>
        <v>#NAME?</v>
      </c>
      <c r="CI390" s="2" t="e">
        <f ca="1">_xll.BDH($C$378,"LT_DEBT_TO_TOT_CAP","FQ2 2016","FQ2 2016","Currency=INR","Period=FQ","BEST_FPERIOD_OVERRIDE=FQ","FILING_STATUS=OR","EQY_CONSOLIDATED=Y","Sort=A","Dates=H","DateFormat=P","Fill=—","Direction=H","UseDPDF=Y")</f>
        <v>#NAME?</v>
      </c>
      <c r="CJ390" s="2" t="e">
        <f ca="1">_xll.BDH($C$378,"LT_DEBT_TO_TOT_ASSET","FQ2 2016","FQ2 2016","Currency=INR","Period=FQ","BEST_FPERIOD_OVERRIDE=FQ","FILING_STATUS=OR","EQY_CONSOLIDATED=Y","Sort=A","Dates=H","DateFormat=P","Fill=—","Direction=H","UseDPDF=Y")</f>
        <v>#NAME?</v>
      </c>
      <c r="CK390" s="2" t="e">
        <f ca="1">_xll.BDH($C$378,"TOT_DEBT_TO_TOT_EQY","FQ2 2016","FQ2 2016","Currency=INR","Period=FQ","BEST_FPERIOD_OVERRIDE=FQ","FILING_STATUS=OR","EQY_CONSOLIDATED=Y","Sort=A","Dates=H","DateFormat=P","Fill=—","Direction=H","UseDPDF=Y")</f>
        <v>#NAME?</v>
      </c>
      <c r="CL390" s="2" t="e">
        <f ca="1">_xll.BDH($C$378,"TOT_DEBT_TO_TOT_CAP","FQ2 2016","FQ2 2016","Currency=INR","Period=FQ","BEST_FPERIOD_OVERRIDE=FQ","FILING_STATUS=OR","EQY_CONSOLIDATED=Y","Sort=A","Dates=H","DateFormat=P","Fill=—","Direction=H","UseDPDF=Y")</f>
        <v>#NAME?</v>
      </c>
      <c r="CM390" s="2" t="e">
        <f ca="1">_xll.BDH($C$378,"TOT_DEBT_TO_TOT_ASSET","FQ2 2016","FQ2 2016","Currency=INR","Period=FQ","BEST_FPERIOD_OVERRIDE=FQ","FILING_STATUS=OR","EQY_CONSOLIDATED=Y","Sort=A","Dates=H","DateFormat=P","Fill=—","Direction=H","UseDPDF=Y")</f>
        <v>#NAME?</v>
      </c>
      <c r="CN390" s="2" t="e">
        <f ca="1">_xll.BDH($C$378,"NET_DEBT_TO_SHRHLDR_EQTY","FQ2 2016","FQ2 2016","Currency=INR","Period=FQ","BEST_FPERIOD_OVERRIDE=FQ","FILING_STATUS=OR","EQY_CONSOLIDATED=Y","Sort=A","Dates=H","DateFormat=P","Fill=—","Direction=H","UseDPDF=Y")</f>
        <v>#NAME?</v>
      </c>
      <c r="CO390" s="2" t="e">
        <f ca="1">_xll.BDH($C$378,"NET_DEBT_%_CAPITAL","FQ2 2016","FQ2 2016","Currency=INR","Period=FQ","BEST_FPERIOD_OVERRIDE=FQ","FILING_STATUS=OR","EQY_CONSOLIDATED=Y","Sort=A","Dates=H","DateFormat=P","Fill=—","Direction=H","UseDPDF=Y")</f>
        <v>#NAME?</v>
      </c>
      <c r="CP390" s="3" t="e">
        <f ca="1">_xll.BDH($C$378,"EBITDA","FQ2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390" s="3" t="e">
        <f ca="1">_xll.BDH($C$378,"EBITDA_AFTER_CAPEX","FQ2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390" s="3" t="e">
        <f ca="1">_xll.BDH($C$378,"IS_OPER_INC","FQ2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390" s="2" t="e">
        <f ca="1">_xll.BDH($C$378,"CASH_RATIO","FQ2 2016","FQ2 2016","Currency=INR","Period=FQ","BEST_FPERIOD_OVERRIDE=FQ","FILING_STATUS=OR","EQY_CONSOLIDATED=Y","Sort=A","Dates=H","DateFormat=P","Fill=—","Direction=H","UseDPDF=Y")</f>
        <v>#NAME?</v>
      </c>
      <c r="CT390" s="2" t="e">
        <f ca="1">_xll.BDH($C$378,"CUR_RATIO","FQ2 2016","FQ2 2016","Currency=INR","Period=FQ","BEST_FPERIOD_OVERRIDE=FQ","FILING_STATUS=OR","EQY_CONSOLIDATED=Y","Sort=A","Dates=H","DateFormat=P","Fill=—","Direction=H","UseDPDF=Y")</f>
        <v>#NAME?</v>
      </c>
      <c r="CU390" s="2" t="e">
        <f ca="1">_xll.BDH($C$378,"QUICK_RATIO","FQ2 2016","FQ2 2016","Currency=INR","Period=FQ","BEST_FPERIOD_OVERRIDE=FQ","FILING_STATUS=OR","EQY_CONSOLIDATED=Y","Sort=A","Dates=H","DateFormat=P","Fill=—","Direction=H","UseDPDF=Y")</f>
        <v>#NAME?</v>
      </c>
      <c r="CV390" s="2" t="e">
        <f ca="1">_xll.BDH($C$378,"ALTMAN_Z_SCORE","FQ2 2016","FQ2 2016","Currency=INR","Period=FQ","BEST_FPERIOD_OVERRIDE=FQ","FILING_STATUS=OR","EQY_CONSOLIDATED=Y","Sort=A","Dates=H","DateFormat=P","Fill=—","Direction=H","UseDPDF=Y")</f>
        <v>#NAME?</v>
      </c>
      <c r="CW390" s="4" t="e">
        <f ca="1">_xll.BDH($C$378,"ACCT_RCV_TURN","FQ2 2016","FQ2 2016","Currency=INR","Period=FQ","BEST_FPERIOD_OVERRIDE=FQ","FILING_STATUS=OR","EQY_CONSOLIDATED=Y","FA_ADJUSTED=GAAP","Sort=A","Dates=H","DateFormat=P","Fill=—","Direction=H","UseDPDF=Y")</f>
        <v>#NAME?</v>
      </c>
      <c r="CX390" s="2" t="e">
        <f ca="1">_xll.BDH($C$378,"ACCT_RCV_DAYS","FQ2 2016","FQ2 2016","Currency=INR","Period=FQ","BEST_FPERIOD_OVERRIDE=FQ","FILING_STATUS=OR","EQY_CONSOLIDATED=Y","FA_ADJUSTED=GAAP","Sort=A","Dates=H","DateFormat=P","Fill=—","Direction=H","UseDPDF=Y")</f>
        <v>#NAME?</v>
      </c>
      <c r="CY390" s="4" t="e">
        <f ca="1">_xll.BDH($C$378,"INVENT_TURN","FQ2 2016","FQ2 2016","Currency=INR","Period=FQ","BEST_FPERIOD_OVERRIDE=FQ","FILING_STATUS=OR","EQY_CONSOLIDATED=Y","FA_ADJUSTED=GAAP","Sort=A","Dates=H","DateFormat=P","Fill=—","Direction=H","UseDPDF=Y")</f>
        <v>#NAME?</v>
      </c>
      <c r="CZ390" s="2" t="e">
        <f ca="1">_xll.BDH($C$378,"INVENT_DAYS","FQ2 2016","FQ2 2016","Currency=INR","Period=FQ","BEST_FPERIOD_OVERRIDE=FQ","FILING_STATUS=OR","EQY_CONSOLIDATED=Y","FA_ADJUSTED=GAAP","Sort=A","Dates=H","DateFormat=P","Fill=—","Direction=H","UseDPDF=Y")</f>
        <v>#NAME?</v>
      </c>
      <c r="DA390" s="4" t="e">
        <f ca="1">_xll.BDH($C$378,"ACCOUNTS_PAYABLE_TURNOVER","FQ2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390" s="2" t="e">
        <f ca="1">_xll.BDH($C$378,"ACCOUNTS_PAYABLE_TURNOVER_DAYS","FQ2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390" s="4" t="e">
        <f ca="1">_xll.BDH($C$378,"CASH_CONVERSION_CYCLE","FQ2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390" s="4" t="e">
        <f ca="1">_xll.BDH($C$378,"INV_TO_CASH_DAYS","FQ2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390" s="5" t="e">
        <f ca="1">_xll.BDH($C$378,"BS_INVENTORIES","FQ2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390" s="3" t="e">
        <f ca="1">_xll.BDH($C$378,"INVTRY_RAW_MATERIALS","FQ2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390" s="3" t="e">
        <f ca="1">_xll.BDH($C$378,"INVTRY_IN_PROGRESS","FQ2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390" s="3" t="e">
        <f ca="1">_xll.BDH($C$378,"INVTRY_FINISHED_GOODS","FQ2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390" s="3" t="e">
        <f ca="1">_xll.BDH($C$378,"BS_OTHER_INV","FQ2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391" spans="1:113" x14ac:dyDescent="0.3">
      <c r="A391" s="6"/>
      <c r="B391" s="6"/>
      <c r="C391" s="6"/>
      <c r="D391" s="6"/>
      <c r="E391" t="s">
        <v>80</v>
      </c>
      <c r="F391" t="e">
        <f ca="1">_xll.BDH($C$378,"RETURN_COM_EQY","FQ3 2016","FQ3 2016","Currency=INR","Period=FQ","BEST_FPERIOD_OVERRIDE=FQ","FILING_STATUS=OR","EQY_CONSOLIDATED=Y","FA_ADJUSTED=GAAP","Sort=A","Dates=H","DateFormat=P","Fill=—","Direction=H","UseDPDF=Y")</f>
        <v>#NAME?</v>
      </c>
      <c r="G391" t="e">
        <f ca="1">_xll.BDH($C$378,"RETURN_ON_ASSET","FQ3 2016","FQ3 2016","Currency=INR","Period=FQ","BEST_FPERIOD_OVERRIDE=FQ","FILING_STATUS=OR","EQY_CONSOLIDATED=Y","FA_ADJUSTED=GAAP","Sort=A","Dates=H","DateFormat=P","Fill=—","Direction=H","UseDPDF=Y")</f>
        <v>#NAME?</v>
      </c>
      <c r="H391" t="e">
        <f ca="1">_xll.BDH($C$378,"RETURN_ON_CAP","FQ3 2016","FQ3 2016","Currency=INR","Period=FQ","BEST_FPERIOD_OVERRIDE=FQ","FILING_STATUS=OR","EQY_CONSOLIDATED=Y","FA_ADJUSTED=GAAP","Sort=A","Dates=H","DateFormat=P","Fill=—","Direction=H","UseDPDF=Y")</f>
        <v>#NAME?</v>
      </c>
      <c r="I391" t="e">
        <f ca="1">_xll.BDH($C$378,"RETURN_ON_INV_CAPITAL","FQ3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391" t="e">
        <f ca="1">_xll.BDH($C$378,"EBITDA_TO_REVENUE","FQ3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391" t="e">
        <f ca="1">_xll.BDH($C$378,"OPER_MARGIN","FQ3 2016","FQ3 2016","Currency=INR","Period=FQ","BEST_FPERIOD_OVERRIDE=FQ","FILING_STATUS=OR","EQY_CONSOLIDATED=Y","FA_ADJUSTED=GAAP","Sort=A","Dates=H","DateFormat=P","Fill=—","Direction=H","UseDPDF=Y")</f>
        <v>#NAME?</v>
      </c>
      <c r="L391" t="e">
        <f ca="1">_xll.BDH($C$378,"INCREMENTAL_OPERATING_MARGIN","FQ3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391" t="e">
        <f ca="1">_xll.BDH($C$378,"PRETAX_INC_TO_NET_SALES","FQ3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391" t="e">
        <f ca="1">_xll.BDH($C$378,"INC_BEF_XO_ITEMS_TO_NET_SALES","FQ3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391" t="e">
        <f ca="1">_xll.BDH($C$378,"PROF_MARGIN","FQ3 2016","FQ3 2016","Currency=INR","Period=FQ","BEST_FPERIOD_OVERRIDE=FQ","FILING_STATUS=OR","EQY_CONSOLIDATED=Y","FA_ADJUSTED=GAAP","Sort=A","Dates=H","DateFormat=P","Fill=—","Direction=H","UseDPDF=Y")</f>
        <v>#NAME?</v>
      </c>
      <c r="P391" t="e">
        <f ca="1">_xll.BDH($C$378,"NET_INCOME_TO_COMMON_MARGIN","FQ3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391" t="e">
        <f ca="1">_xll.BDH($C$378,"EFF_TAX_RATE","FQ3 2016","FQ3 2016","Currency=INR","Period=FQ","BEST_FPERIOD_OVERRIDE=FQ","FILING_STATUS=OR","EQY_CONSOLIDATED=Y","FA_ADJUSTED=GAAP","Sort=A","Dates=H","DateFormat=P","Fill=—","Direction=H","UseDPDF=Y")</f>
        <v>#NAME?</v>
      </c>
      <c r="R391" t="e">
        <f ca="1">_xll.BDH($C$378,"DVD_PAYOUT_RATIO","FQ3 2016","FQ3 2016","Currency=INR","Period=FQ","BEST_FPERIOD_OVERRIDE=FQ","FILING_STATUS=OR","EQY_CONSOLIDATED=Y","FA_ADJUSTED=GAAP","Sort=A","Dates=H","DateFormat=P","Fill=—","Direction=H","UseDPDF=Y")</f>
        <v>#NAME?</v>
      </c>
      <c r="S391" t="e">
        <f ca="1">_xll.BDH($C$378,"SUSTAIN_GROWTH_RT","FQ3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391" s="2" t="e">
        <f ca="1">_xll.BDH($C$378,"SALES_GROWTH","FQ3 2016","FQ3 2016","Currency=INR","Period=FQ","BEST_FPERIOD_OVERRIDE=FQ","FILING_STATUS=OR","EQY_CONSOLIDATED=Y","FA_ADJUSTED=GAAP","Sort=A","Dates=H","DateFormat=P","Fill=—","Direction=H","UseDPDF=Y")</f>
        <v>#NAME?</v>
      </c>
      <c r="U391" s="2" t="e">
        <f ca="1">_xll.BDH($C$378,"EBITDA_GROWTH","FQ3 2016","FQ3 2016","Currency=INR","Period=FQ","BEST_FPERIOD_OVERRIDE=FQ","FILING_STATUS=OR","EQY_CONSOLIDATED=Y","FA_ADJUSTED=GAAP","Sort=A","Dates=H","DateFormat=P","Fill=—","Direction=H","UseDPDF=Y")</f>
        <v>#NAME?</v>
      </c>
      <c r="V391" s="2" t="e">
        <f ca="1">_xll.BDH($C$378,"OPER_INC_GROWTH","FQ3 2016","FQ3 2016","Currency=INR","Period=FQ","BEST_FPERIOD_OVERRIDE=FQ","FILING_STATUS=OR","EQY_CONSOLIDATED=Y","FA_ADJUSTED=GAAP","Sort=A","Dates=H","DateFormat=P","Fill=—","Direction=H","UseDPDF=Y")</f>
        <v>#NAME?</v>
      </c>
      <c r="W391" s="2" t="e">
        <f ca="1">_xll.BDH($C$378,"EARN_FOR_COM_GROWTH","FQ3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391" s="2" t="e">
        <f ca="1">_xll.BDH($C$378,"DILUTED_EPS_AFT_XO_ITEMS_GROWTH","FQ3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391" s="2" t="e">
        <f ca="1">_xll.BDH($C$378,"DIVIDEND_PER_SHARE_1_YEAR_GROWTH","FQ3 2016","FQ3 2016","Currency=INR","Period=FQ","BEST_FPERIOD_OVERRIDE=FQ","FILING_STATUS=OR","EQY_CONSOLIDATED=Y","Sort=A","Dates=H","DateFormat=P","Fill=—","Direction=H","UseDPDF=Y")</f>
        <v>#NAME?</v>
      </c>
      <c r="Z391" s="2" t="e">
        <f ca="1">_xll.BDH($C$378,"ACCOUNTS_RECEIVABLE_GROWTH","FQ3 2016","FQ3 2016","Currency=INR","Period=FQ","BEST_FPERIOD_OVERRIDE=FQ","FILING_STATUS=OR","EQY_CONSOLIDATED=Y","Sort=A","Dates=H","DateFormat=P","Fill=—","Direction=H","UseDPDF=Y")</f>
        <v>#NAME?</v>
      </c>
      <c r="AA391" s="2" t="e">
        <f ca="1">_xll.BDH($C$378,"INVENTORY_GROWTH","FQ3 2016","FQ3 2016","Currency=INR","Period=FQ","BEST_FPERIOD_OVERRIDE=FQ","FILING_STATUS=OR","EQY_CONSOLIDATED=Y","Sort=A","Dates=H","DateFormat=P","Fill=—","Direction=H","UseDPDF=Y")</f>
        <v>#NAME?</v>
      </c>
      <c r="AB391" s="2" t="e">
        <f ca="1">_xll.BDH($C$378,"NET_FIXED_ASSETS_1_YEAR_GROWTH","FQ3 2016","FQ3 2016","Currency=INR","Period=FQ","BEST_FPERIOD_OVERRIDE=FQ","FILING_STATUS=OR","EQY_CONSOLIDATED=Y","Sort=A","Dates=H","DateFormat=P","Fill=—","Direction=H","UseDPDF=Y")</f>
        <v>#NAME?</v>
      </c>
      <c r="AC391" s="2" t="e">
        <f ca="1">_xll.BDH($C$378,"ASSET_GROWTH","FQ3 2016","FQ3 2016","Currency=INR","Period=FQ","BEST_FPERIOD_OVERRIDE=FQ","FILING_STATUS=OR","EQY_CONSOLIDATED=Y","Sort=A","Dates=H","DateFormat=P","Fill=—","Direction=H","UseDPDF=Y")</f>
        <v>#NAME?</v>
      </c>
      <c r="AD391" s="2" t="e">
        <f ca="1">_xll.BDH($C$378,"MODIFIED_WORK_CAP_GROWTH","FQ3 2016","FQ3 2016","Currency=INR","Period=FQ","BEST_FPERIOD_OVERRIDE=FQ","FILING_STATUS=OR","EQY_CONSOLIDATED=Y","Sort=A","Dates=H","DateFormat=P","Fill=—","Direction=H","UseDPDF=Y")</f>
        <v>#NAME?</v>
      </c>
      <c r="AE391" s="2" t="e">
        <f ca="1">_xll.BDH($C$378,"WORK_CAP_GROWTH","FQ3 2016","FQ3 2016","Currency=INR","Period=FQ","BEST_FPERIOD_OVERRIDE=FQ","FILING_STATUS=OR","EQY_CONSOLIDATED=Y","Sort=A","Dates=H","DateFormat=P","Fill=—","Direction=H","UseDPDF=Y")</f>
        <v>#NAME?</v>
      </c>
      <c r="AF391" s="2" t="e">
        <f ca="1">_xll.BDH($C$378,"ACCOUNTS_PAYABLE_GROWTH_1YR","FQ3 2016","FQ3 2016","Currency=INR","Period=FQ","BEST_FPERIOD_OVERRIDE=FQ","FILING_STATUS=OR","EQY_CONSOLIDATED=Y","Sort=A","Dates=H","DateFormat=P","Fill=—","Direction=H","UseDPDF=Y")</f>
        <v>#NAME?</v>
      </c>
      <c r="AG391" s="2" t="e">
        <f ca="1">_xll.BDH($C$378,"SHORT_TERM_DEBT_1_YEAR_GROWTH","FQ3 2016","FQ3 2016","Currency=INR","Period=FQ","BEST_FPERIOD_OVERRIDE=FQ","FILING_STATUS=OR","EQY_CONSOLIDATED=Y","Sort=A","Dates=H","DateFormat=P","Fill=—","Direction=H","UseDPDF=Y")</f>
        <v>#NAME?</v>
      </c>
      <c r="AH391" s="2" t="e">
        <f ca="1">_xll.BDH($C$378,"TOTAL_DEBT_1_YEAR_GROWTH","FQ3 2016","FQ3 2016","Currency=INR","Period=FQ","BEST_FPERIOD_OVERRIDE=FQ","FILING_STATUS=OR","EQY_CONSOLIDATED=Y","Sort=A","Dates=H","DateFormat=P","Fill=—","Direction=H","UseDPDF=Y")</f>
        <v>#NAME?</v>
      </c>
      <c r="AI391" s="2" t="e">
        <f ca="1">_xll.BDH($C$378,"TOTAL_EQUITY_1_YEAR_GROWTH","FQ3 2016","FQ3 2016","Currency=INR","Period=FQ","BEST_FPERIOD_OVERRIDE=FQ","FILING_STATUS=OR","EQY_CONSOLIDATED=Y","Sort=A","Dates=H","DateFormat=P","Fill=—","Direction=H","UseDPDF=Y")</f>
        <v>#NAME?</v>
      </c>
      <c r="AJ391" s="2" t="e">
        <f ca="1">_xll.BDH($C$378,"GROWTH_IN_CAP","FQ3 2016","FQ3 2016","Currency=INR","Period=FQ","BEST_FPERIOD_OVERRIDE=FQ","FILING_STATUS=OR","EQY_CONSOLIDATED=Y","Sort=A","Dates=H","DateFormat=P","Fill=—","Direction=H","UseDPDF=Y")</f>
        <v>#NAME?</v>
      </c>
      <c r="AK391" s="2" t="e">
        <f ca="1">_xll.BDH($C$378,"BVPS_GROWTH","FQ3 2016","FQ3 2016","Currency=INR","Period=FQ","BEST_FPERIOD_OVERRIDE=FQ","FILING_STATUS=OR","EQY_CONSOLIDATED=Y","Sort=A","Dates=H","DateFormat=P","Fill=—","Direction=H","UseDPDF=Y")</f>
        <v>#NAME?</v>
      </c>
      <c r="AL391" s="2" t="e">
        <f ca="1">_xll.BDH($C$378,"CASH_FLOW_GROWTH","FQ3 2016","FQ3 2016","Currency=INR","Period=FQ","BEST_FPERIOD_OVERRIDE=FQ","FILING_STATUS=OR","EQY_CONSOLIDATED=Y","Sort=A","Dates=H","DateFormat=P","Fill=—","Direction=H","UseDPDF=Y")</f>
        <v>#NAME?</v>
      </c>
      <c r="AM391" s="2" t="e">
        <f ca="1">_xll.BDH($C$378,"GEO_GROW_NET_SALES","FQ3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391" s="2" t="e">
        <f ca="1">_xll.BDH($C$378,"GEO_GROW_EBITDA","FQ3 2016","FQ3 2016","Currency=INR","Period=FQ","BEST_FPERIOD_OVERRIDE=FQ","FILING_STATUS=OR","EQY_CONSOLIDATED=Y","FA_ADJUSTED=GAAP","Sort=A","Dates=H","DateFormat=P","Fill=—","Direction=H","UseDPDF=Y")</f>
        <v>#NAME?</v>
      </c>
      <c r="AO391" s="2" t="e">
        <f ca="1">_xll.BDH($C$378,"GEO_GROW_OPER_INC","FQ3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391" s="2" t="e">
        <f ca="1">_xll.BDH($C$378,"NET_INCOME_TO_COMMON_5_YR_GROWTH","FQ3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391" s="2" t="e">
        <f ca="1">_xll.BDH($C$378,"5Y_GEO_GROWTH_DILUTED_EPS","FQ3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391" s="2" t="e">
        <f ca="1">_xll.BDH($C$378,"GEO_GROW_DVD_PER_SH","FQ3 2016","FQ3 2016","Currency=INR","Period=FQ","BEST_FPERIOD_OVERRIDE=FQ","FILING_STATUS=OR","EQY_CONSOLIDATED=Y","Sort=A","Dates=H","DateFormat=P","Fill=—","Direction=H","UseDPDF=Y")</f>
        <v>#NAME?</v>
      </c>
      <c r="AS391" s="2" t="e">
        <f ca="1">_xll.BDH($C$378,"ACCOUNTS_RECEIVABLE_5_YR_GROWTH","FQ3 2016","FQ3 2016","Currency=INR","Period=FQ","BEST_FPERIOD_OVERRIDE=FQ","FILING_STATUS=OR","EQY_CONSOLIDATED=Y","Sort=A","Dates=H","DateFormat=P","Fill=—","Direction=H","UseDPDF=Y")</f>
        <v>#NAME?</v>
      </c>
      <c r="AT391" s="2" t="e">
        <f ca="1">_xll.BDH($C$378,"INVENTORY_5_YEAR_GROWTH","FQ3 2016","FQ3 2016","Currency=INR","Period=FQ","BEST_FPERIOD_OVERRIDE=FQ","FILING_STATUS=OR","EQY_CONSOLIDATED=Y","Sort=A","Dates=H","DateFormat=P","Fill=—","Direction=H","UseDPDF=Y")</f>
        <v>#NAME?</v>
      </c>
      <c r="AU391" s="2" t="e">
        <f ca="1">_xll.BDH($C$378,"NET_FIXED_ASSETS_5_YEAR_GROWTH","FQ3 2016","FQ3 2016","Currency=INR","Period=FQ","BEST_FPERIOD_OVERRIDE=FQ","FILING_STATUS=OR","EQY_CONSOLIDATED=Y","Sort=A","Dates=H","DateFormat=P","Fill=—","Direction=H","UseDPDF=Y")</f>
        <v>#NAME?</v>
      </c>
      <c r="AV391" s="2" t="e">
        <f ca="1">_xll.BDH($C$378,"GEO_GROW_TOT_ASSET","FQ3 2016","FQ3 2016","Currency=INR","Period=FQ","BEST_FPERIOD_OVERRIDE=FQ","FILING_STATUS=OR","EQY_CONSOLIDATED=Y","Sort=A","Dates=H","DateFormat=P","Fill=—","Direction=H","UseDPDF=Y")</f>
        <v>#NAME?</v>
      </c>
      <c r="AW391" s="2" t="e">
        <f ca="1">_xll.BDH($C$378,"MODIFIED_WORKING_CPTL_5YR_GRWTH","FQ3 2016","FQ3 2016","Currency=INR","Period=FQ","BEST_FPERIOD_OVERRIDE=FQ","FILING_STATUS=OR","EQY_CONSOLIDATED=Y","Sort=A","Dates=H","DateFormat=P","Fill=—","Direction=H","UseDPDF=Y")</f>
        <v>#NAME?</v>
      </c>
      <c r="AX391" s="2" t="e">
        <f ca="1">_xll.BDH($C$378,"WORKING_CAPITAL_5_YEAR_GROWTH","FQ3 2016","FQ3 2016","Currency=INR","Period=FQ","BEST_FPERIOD_OVERRIDE=FQ","FILING_STATUS=OR","EQY_CONSOLIDATED=Y","Sort=A","Dates=H","DateFormat=P","Fill=—","Direction=H","UseDPDF=Y")</f>
        <v>#NAME?</v>
      </c>
      <c r="AY391" s="2" t="e">
        <f ca="1">_xll.BDH($C$378,"ACCOUNTS_PAYABLE_5_YEAR_GROWTH","FQ3 2016","FQ3 2016","Currency=INR","Period=FQ","BEST_FPERIOD_OVERRIDE=FQ","FILING_STATUS=OR","EQY_CONSOLIDATED=Y","Sort=A","Dates=H","DateFormat=P","Fill=—","Direction=H","UseDPDF=Y")</f>
        <v>#NAME?</v>
      </c>
      <c r="AZ391" s="2" t="e">
        <f ca="1">_xll.BDH($C$378,"SHORT_TERM_DEBT_5_YEAR_GROWTH","FQ3 2016","FQ3 2016","Currency=INR","Period=FQ","BEST_FPERIOD_OVERRIDE=FQ","FILING_STATUS=OR","EQY_CONSOLIDATED=Y","Sort=A","Dates=H","DateFormat=P","Fill=—","Direction=H","UseDPDF=Y")</f>
        <v>#NAME?</v>
      </c>
      <c r="BA391" s="2" t="e">
        <f ca="1">_xll.BDH($C$378,"TOTAL_DEBT_5_YEAR_GROWTH","FQ3 2016","FQ3 2016","Currency=INR","Period=FQ","BEST_FPERIOD_OVERRIDE=FQ","FILING_STATUS=OR","EQY_CONSOLIDATED=Y","Sort=A","Dates=H","DateFormat=P","Fill=—","Direction=H","UseDPDF=Y")</f>
        <v>#NAME?</v>
      </c>
      <c r="BB391" s="2" t="e">
        <f ca="1">_xll.BDH($C$378,"GEO_GROW_TOT_SHRHLDR_EQY","FQ3 2016","FQ3 2016","Currency=INR","Period=FQ","BEST_FPERIOD_OVERRIDE=FQ","FILING_STATUS=OR","EQY_CONSOLIDATED=Y","Sort=A","Dates=H","DateFormat=P","Fill=—","Direction=H","UseDPDF=Y")</f>
        <v>#NAME?</v>
      </c>
      <c r="BC391" s="2" t="e">
        <f ca="1">_xll.BDH($C$378,"TOTAL_CAPITAL_5_YEAR_GROWTH","FQ3 2016","FQ3 2016","Currency=INR","Period=FQ","BEST_FPERIOD_OVERRIDE=FQ","FILING_STATUS=OR","EQY_CONSOLIDATED=Y","Sort=A","Dates=H","DateFormat=P","Fill=—","Direction=H","UseDPDF=Y")</f>
        <v>#NAME?</v>
      </c>
      <c r="BD391" s="2" t="e">
        <f ca="1">_xll.BDH($C$378,"GEO_GROW_BOOK_VAL","FQ3 2016","FQ3 2016","Currency=INR","Period=FQ","BEST_FPERIOD_OVERRIDE=FQ","FILING_STATUS=OR","EQY_CONSOLIDATED=Y","Sort=A","Dates=H","DateFormat=P","Fill=—","Direction=H","UseDPDF=Y")</f>
        <v>#NAME?</v>
      </c>
      <c r="BE391" s="2" t="e">
        <f ca="1">_xll.BDH($C$378,"GEO_GROW_CASH_OPER_ACT","FQ3 2016","FQ3 2016","Currency=INR","Period=FQ","BEST_FPERIOD_OVERRIDE=FQ","FILING_STATUS=OR","EQY_CONSOLIDATED=Y","Sort=A","Dates=H","DateFormat=P","Fill=—","Direction=H","UseDPDF=Y")</f>
        <v>#NAME?</v>
      </c>
      <c r="BF391" s="2" t="e">
        <f ca="1">_xll.BDH($C$378,"REVENUE_SEQUENTIAL_GROWTH","FQ3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391" s="2" t="e">
        <f ca="1">_xll.BDH($C$378,"EBITDA_SEQUENTIAL_GROWTH","FQ3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391" s="2" t="e">
        <f ca="1">_xll.BDH($C$378,"OPERATING_INCOME_SEQ_GROWTH","FQ3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391" s="2" t="e">
        <f ca="1">_xll.BDH($C$378,"NET_INCOME_TO_COMMON_SEQ_GROWTH","FQ3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391" s="2" t="e">
        <f ca="1">_xll.BDH($C$378,"EPS_DILUTED_SEQUENTIAL_GROWTH","FQ3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391" s="2" t="e">
        <f ca="1">_xll.BDH($C$378,"DPS_SEQUENTIAL_GROWTH","FQ3 2016","FQ3 2016","Currency=INR","Period=FQ","BEST_FPERIOD_OVERRIDE=FQ","FILING_STATUS=OR","EQY_CONSOLIDATED=Y","Sort=A","Dates=H","DateFormat=P","Fill=—","Direction=H","UseDPDF=Y")</f>
        <v>#NAME?</v>
      </c>
      <c r="BL391" s="2" t="e">
        <f ca="1">_xll.BDH($C$378,"ACCOUNTS_RECEIVABLE_SEQ_GROWTH","FQ3 2016","FQ3 2016","Currency=INR","Period=FQ","BEST_FPERIOD_OVERRIDE=FQ","FILING_STATUS=OR","EQY_CONSOLIDATED=Y","Sort=A","Dates=H","DateFormat=P","Fill=—","Direction=H","UseDPDF=Y")</f>
        <v>#NAME?</v>
      </c>
      <c r="BM391" s="2" t="e">
        <f ca="1">_xll.BDH($C$378,"INVENTORY_SEQUENTIAL_GROWTH","FQ3 2016","FQ3 2016","Currency=INR","Period=FQ","BEST_FPERIOD_OVERRIDE=FQ","FILING_STATUS=OR","EQY_CONSOLIDATED=Y","Sort=A","Dates=H","DateFormat=P","Fill=—","Direction=H","UseDPDF=Y")</f>
        <v>#NAME?</v>
      </c>
      <c r="BN391" s="2" t="e">
        <f ca="1">_xll.BDH($C$378,"FIXED_ASSETS_SEQUENTIAL_GROWTH","FQ3 2016","FQ3 2016","Currency=INR","Period=FQ","BEST_FPERIOD_OVERRIDE=FQ","FILING_STATUS=OR","EQY_CONSOLIDATED=Y","Sort=A","Dates=H","DateFormat=P","Fill=—","Direction=H","UseDPDF=Y")</f>
        <v>#NAME?</v>
      </c>
      <c r="BO391" s="2" t="e">
        <f ca="1">_xll.BDH($C$378,"TOTAL_ASSETS_SEQUENTIAL_GROWTH","FQ3 2016","FQ3 2016","Currency=INR","Period=FQ","BEST_FPERIOD_OVERRIDE=FQ","FILING_STATUS=OR","EQY_CONSOLIDATED=Y","Sort=A","Dates=H","DateFormat=P","Fill=—","Direction=H","UseDPDF=Y")</f>
        <v>#NAME?</v>
      </c>
      <c r="BP391" s="2" t="e">
        <f ca="1">_xll.BDH($C$378,"MODIFIED_WORKING_CPTL_SEQ_GRWTH","FQ3 2016","FQ3 2016","Currency=INR","Period=FQ","BEST_FPERIOD_OVERRIDE=FQ","FILING_STATUS=OR","EQY_CONSOLIDATED=Y","Sort=A","Dates=H","DateFormat=P","Fill=—","Direction=H","UseDPDF=Y")</f>
        <v>#NAME?</v>
      </c>
      <c r="BQ391" s="2" t="e">
        <f ca="1">_xll.BDH($C$378,"WORKING_CAPITAL_SEQ_GROWTH","FQ3 2016","FQ3 2016","Currency=INR","Period=FQ","BEST_FPERIOD_OVERRIDE=FQ","FILING_STATUS=OR","EQY_CONSOLIDATED=Y","Sort=A","Dates=H","DateFormat=P","Fill=—","Direction=H","UseDPDF=Y")</f>
        <v>#NAME?</v>
      </c>
      <c r="BR391" s="2" t="e">
        <f ca="1">_xll.BDH($C$378,"ACCOUNTS_PAYABLE_SEQ_GROWTH","FQ3 2016","FQ3 2016","Currency=INR","Period=FQ","BEST_FPERIOD_OVERRIDE=FQ","FILING_STATUS=OR","EQY_CONSOLIDATED=Y","Sort=A","Dates=H","DateFormat=P","Fill=—","Direction=H","UseDPDF=Y")</f>
        <v>#NAME?</v>
      </c>
      <c r="BS391" s="2" t="e">
        <f ca="1">_xll.BDH($C$378,"ST_DEBT_SEQUENTIAL_GROWTH","FQ3 2016","FQ3 2016","Currency=INR","Period=FQ","BEST_FPERIOD_OVERRIDE=FQ","FILING_STATUS=OR","EQY_CONSOLIDATED=Y","Sort=A","Dates=H","DateFormat=P","Fill=—","Direction=H","UseDPDF=Y")</f>
        <v>#NAME?</v>
      </c>
      <c r="BT391" s="2" t="e">
        <f ca="1">_xll.BDH($C$378,"TOTAL_DEBT_SEQUENTIAL_GROWTH","FQ3 2016","FQ3 2016","Currency=INR","Period=FQ","BEST_FPERIOD_OVERRIDE=FQ","FILING_STATUS=OR","EQY_CONSOLIDATED=Y","Sort=A","Dates=H","DateFormat=P","Fill=—","Direction=H","UseDPDF=Y")</f>
        <v>#NAME?</v>
      </c>
      <c r="BU391" s="2" t="e">
        <f ca="1">_xll.BDH($C$378,"TOTAL_EQUITY_SEQUENTIAL_GROWTH","FQ3 2016","FQ3 2016","Currency=INR","Period=FQ","BEST_FPERIOD_OVERRIDE=FQ","FILING_STATUS=OR","EQY_CONSOLIDATED=Y","Sort=A","Dates=H","DateFormat=P","Fill=—","Direction=H","UseDPDF=Y")</f>
        <v>#NAME?</v>
      </c>
      <c r="BV391" s="2" t="e">
        <f ca="1">_xll.BDH($C$378,"TOTAL_CAPITAL_SEQUENTIAL_GROWTH","FQ3 2016","FQ3 2016","Currency=INR","Period=FQ","BEST_FPERIOD_OVERRIDE=FQ","FILING_STATUS=OR","EQY_CONSOLIDATED=Y","Sort=A","Dates=H","DateFormat=P","Fill=—","Direction=H","UseDPDF=Y")</f>
        <v>#NAME?</v>
      </c>
      <c r="BW391" s="2" t="e">
        <f ca="1">_xll.BDH($C$378,"BPS_SEQUENTIAL_GROWTH","FQ3 2016","FQ3 2016","Currency=INR","Period=FQ","BEST_FPERIOD_OVERRIDE=FQ","FILING_STATUS=OR","EQY_CONSOLIDATED=Y","Sort=A","Dates=H","DateFormat=P","Fill=—","Direction=H","UseDPDF=Y")</f>
        <v>#NAME?</v>
      </c>
      <c r="BX391" s="2" t="e">
        <f ca="1">_xll.BDH($C$378,"CFO_SEQUENTIAL_GROWTH","FQ3 2016","FQ3 2016","Currency=INR","Period=FQ","BEST_FPERIOD_OVERRIDE=FQ","FILING_STATUS=OR","EQY_CONSOLIDATED=Y","Sort=A","Dates=H","DateFormat=P","Fill=—","Direction=H","UseDPDF=Y")</f>
        <v>#NAME?</v>
      </c>
      <c r="BY391" s="3" t="e">
        <f ca="1">_xll.BDH($C$378,"SHORT_AND_LONG_TERM_DEBT","FQ3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391" s="3" t="e">
        <f ca="1">_xll.BDH($C$378,"BS_ST_BORROW","FQ3 2016","FQ3 2016","Currency=INR","Period=FQ","BEST_FPERIOD_OVERRIDE=FQ","FILING_STATUS=OR","EQY_CONSOLIDATED=Y","SCALING_FORMAT=MLN","Sort=A","Dates=H","DateFormat=P","Fill=—","Direction=H","UseDPDF=Y")</f>
        <v>#NAME?</v>
      </c>
      <c r="CA391" s="3" t="e">
        <f ca="1">_xll.BDH($C$378,"BS_LT_BORROW","FQ3 2016","FQ3 2016","Currency=INR","Period=FQ","BEST_FPERIOD_OVERRIDE=FQ","FILING_STATUS=OR","EQY_CONSOLIDATED=Y","SCALING_FORMAT=MLN","Sort=A","Dates=H","DateFormat=P","Fill=—","Direction=H","UseDPDF=Y")</f>
        <v>#NAME?</v>
      </c>
      <c r="CB391" s="2" t="e">
        <f ca="1">_xll.BDH($C$378,"TOT_DEBT_TO_EBITDA","FQ3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391" s="2" t="e">
        <f ca="1">_xll.BDH($C$378,"NET_DEBT_TO_EBITDA","FQ3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391" s="2" t="e">
        <f ca="1">_xll.BDH($C$378,"TOTAL_DEBT_TO_EBIT","FQ3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391" s="2" t="e">
        <f ca="1">_xll.BDH($C$378,"NET_DEBT_TO_EBIT","FQ3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391" s="2" t="e">
        <f ca="1">_xll.BDH($C$378,"EBITDA_TO_INTEREST_EXPN","FQ3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391" s="2" t="e">
        <f ca="1">_xll.BDH($C$378,"COM_EQY_TO_TOT_ASSET","FQ3 2016","FQ3 2016","Currency=INR","Period=FQ","BEST_FPERIOD_OVERRIDE=FQ","FILING_STATUS=OR","EQY_CONSOLIDATED=Y","Sort=A","Dates=H","DateFormat=P","Fill=—","Direction=H","UseDPDF=Y")</f>
        <v>#NAME?</v>
      </c>
      <c r="CH391" s="2" t="e">
        <f ca="1">_xll.BDH($C$378,"LT_DEBT_TO_TOT_EQY","FQ3 2016","FQ3 2016","Currency=INR","Period=FQ","BEST_FPERIOD_OVERRIDE=FQ","FILING_STATUS=OR","EQY_CONSOLIDATED=Y","Sort=A","Dates=H","DateFormat=P","Fill=—","Direction=H","UseDPDF=Y")</f>
        <v>#NAME?</v>
      </c>
      <c r="CI391" s="2" t="e">
        <f ca="1">_xll.BDH($C$378,"LT_DEBT_TO_TOT_CAP","FQ3 2016","FQ3 2016","Currency=INR","Period=FQ","BEST_FPERIOD_OVERRIDE=FQ","FILING_STATUS=OR","EQY_CONSOLIDATED=Y","Sort=A","Dates=H","DateFormat=P","Fill=—","Direction=H","UseDPDF=Y")</f>
        <v>#NAME?</v>
      </c>
      <c r="CJ391" s="2" t="e">
        <f ca="1">_xll.BDH($C$378,"LT_DEBT_TO_TOT_ASSET","FQ3 2016","FQ3 2016","Currency=INR","Period=FQ","BEST_FPERIOD_OVERRIDE=FQ","FILING_STATUS=OR","EQY_CONSOLIDATED=Y","Sort=A","Dates=H","DateFormat=P","Fill=—","Direction=H","UseDPDF=Y")</f>
        <v>#NAME?</v>
      </c>
      <c r="CK391" s="2" t="e">
        <f ca="1">_xll.BDH($C$378,"TOT_DEBT_TO_TOT_EQY","FQ3 2016","FQ3 2016","Currency=INR","Period=FQ","BEST_FPERIOD_OVERRIDE=FQ","FILING_STATUS=OR","EQY_CONSOLIDATED=Y","Sort=A","Dates=H","DateFormat=P","Fill=—","Direction=H","UseDPDF=Y")</f>
        <v>#NAME?</v>
      </c>
      <c r="CL391" s="2" t="e">
        <f ca="1">_xll.BDH($C$378,"TOT_DEBT_TO_TOT_CAP","FQ3 2016","FQ3 2016","Currency=INR","Period=FQ","BEST_FPERIOD_OVERRIDE=FQ","FILING_STATUS=OR","EQY_CONSOLIDATED=Y","Sort=A","Dates=H","DateFormat=P","Fill=—","Direction=H","UseDPDF=Y")</f>
        <v>#NAME?</v>
      </c>
      <c r="CM391" s="2" t="e">
        <f ca="1">_xll.BDH($C$378,"TOT_DEBT_TO_TOT_ASSET","FQ3 2016","FQ3 2016","Currency=INR","Period=FQ","BEST_FPERIOD_OVERRIDE=FQ","FILING_STATUS=OR","EQY_CONSOLIDATED=Y","Sort=A","Dates=H","DateFormat=P","Fill=—","Direction=H","UseDPDF=Y")</f>
        <v>#NAME?</v>
      </c>
      <c r="CN391" s="2" t="e">
        <f ca="1">_xll.BDH($C$378,"NET_DEBT_TO_SHRHLDR_EQTY","FQ3 2016","FQ3 2016","Currency=INR","Period=FQ","BEST_FPERIOD_OVERRIDE=FQ","FILING_STATUS=OR","EQY_CONSOLIDATED=Y","Sort=A","Dates=H","DateFormat=P","Fill=—","Direction=H","UseDPDF=Y")</f>
        <v>#NAME?</v>
      </c>
      <c r="CO391" s="2" t="e">
        <f ca="1">_xll.BDH($C$378,"NET_DEBT_%_CAPITAL","FQ3 2016","FQ3 2016","Currency=INR","Period=FQ","BEST_FPERIOD_OVERRIDE=FQ","FILING_STATUS=OR","EQY_CONSOLIDATED=Y","Sort=A","Dates=H","DateFormat=P","Fill=—","Direction=H","UseDPDF=Y")</f>
        <v>#NAME?</v>
      </c>
      <c r="CP391" s="3" t="e">
        <f ca="1">_xll.BDH($C$378,"EBITDA","FQ3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391" s="3" t="e">
        <f ca="1">_xll.BDH($C$378,"EBITDA_AFTER_CAPEX","FQ3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391" s="3" t="e">
        <f ca="1">_xll.BDH($C$378,"IS_OPER_INC","FQ3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391" s="2" t="e">
        <f ca="1">_xll.BDH($C$378,"CASH_RATIO","FQ3 2016","FQ3 2016","Currency=INR","Period=FQ","BEST_FPERIOD_OVERRIDE=FQ","FILING_STATUS=OR","EQY_CONSOLIDATED=Y","Sort=A","Dates=H","DateFormat=P","Fill=—","Direction=H","UseDPDF=Y")</f>
        <v>#NAME?</v>
      </c>
      <c r="CT391" s="2" t="e">
        <f ca="1">_xll.BDH($C$378,"CUR_RATIO","FQ3 2016","FQ3 2016","Currency=INR","Period=FQ","BEST_FPERIOD_OVERRIDE=FQ","FILING_STATUS=OR","EQY_CONSOLIDATED=Y","Sort=A","Dates=H","DateFormat=P","Fill=—","Direction=H","UseDPDF=Y")</f>
        <v>#NAME?</v>
      </c>
      <c r="CU391" s="2" t="e">
        <f ca="1">_xll.BDH($C$378,"QUICK_RATIO","FQ3 2016","FQ3 2016","Currency=INR","Period=FQ","BEST_FPERIOD_OVERRIDE=FQ","FILING_STATUS=OR","EQY_CONSOLIDATED=Y","Sort=A","Dates=H","DateFormat=P","Fill=—","Direction=H","UseDPDF=Y")</f>
        <v>#NAME?</v>
      </c>
      <c r="CV391" s="2" t="e">
        <f ca="1">_xll.BDH($C$378,"ALTMAN_Z_SCORE","FQ3 2016","FQ3 2016","Currency=INR","Period=FQ","BEST_FPERIOD_OVERRIDE=FQ","FILING_STATUS=OR","EQY_CONSOLIDATED=Y","Sort=A","Dates=H","DateFormat=P","Fill=—","Direction=H","UseDPDF=Y")</f>
        <v>#NAME?</v>
      </c>
      <c r="CW391" s="4" t="e">
        <f ca="1">_xll.BDH($C$378,"ACCT_RCV_TURN","FQ3 2016","FQ3 2016","Currency=INR","Period=FQ","BEST_FPERIOD_OVERRIDE=FQ","FILING_STATUS=OR","EQY_CONSOLIDATED=Y","FA_ADJUSTED=GAAP","Sort=A","Dates=H","DateFormat=P","Fill=—","Direction=H","UseDPDF=Y")</f>
        <v>#NAME?</v>
      </c>
      <c r="CX391" s="2" t="e">
        <f ca="1">_xll.BDH($C$378,"ACCT_RCV_DAYS","FQ3 2016","FQ3 2016","Currency=INR","Period=FQ","BEST_FPERIOD_OVERRIDE=FQ","FILING_STATUS=OR","EQY_CONSOLIDATED=Y","FA_ADJUSTED=GAAP","Sort=A","Dates=H","DateFormat=P","Fill=—","Direction=H","UseDPDF=Y")</f>
        <v>#NAME?</v>
      </c>
      <c r="CY391" s="4" t="e">
        <f ca="1">_xll.BDH($C$378,"INVENT_TURN","FQ3 2016","FQ3 2016","Currency=INR","Period=FQ","BEST_FPERIOD_OVERRIDE=FQ","FILING_STATUS=OR","EQY_CONSOLIDATED=Y","FA_ADJUSTED=GAAP","Sort=A","Dates=H","DateFormat=P","Fill=—","Direction=H","UseDPDF=Y")</f>
        <v>#NAME?</v>
      </c>
      <c r="CZ391" s="2" t="e">
        <f ca="1">_xll.BDH($C$378,"INVENT_DAYS","FQ3 2016","FQ3 2016","Currency=INR","Period=FQ","BEST_FPERIOD_OVERRIDE=FQ","FILING_STATUS=OR","EQY_CONSOLIDATED=Y","FA_ADJUSTED=GAAP","Sort=A","Dates=H","DateFormat=P","Fill=—","Direction=H","UseDPDF=Y")</f>
        <v>#NAME?</v>
      </c>
      <c r="DA391" s="4" t="e">
        <f ca="1">_xll.BDH($C$378,"ACCOUNTS_PAYABLE_TURNOVER","FQ3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391" s="2" t="e">
        <f ca="1">_xll.BDH($C$378,"ACCOUNTS_PAYABLE_TURNOVER_DAYS","FQ3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391" s="4" t="e">
        <f ca="1">_xll.BDH($C$378,"CASH_CONVERSION_CYCLE","FQ3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391" s="4" t="e">
        <f ca="1">_xll.BDH($C$378,"INV_TO_CASH_DAYS","FQ3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391" s="5" t="e">
        <f ca="1">_xll.BDH($C$378,"BS_INVENTORIES","FQ3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391" s="3" t="e">
        <f ca="1">_xll.BDH($C$378,"INVTRY_RAW_MATERIALS","FQ3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391" s="3" t="e">
        <f ca="1">_xll.BDH($C$378,"INVTRY_IN_PROGRESS","FQ3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391" s="3" t="e">
        <f ca="1">_xll.BDH($C$378,"INVTRY_FINISHED_GOODS","FQ3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391" s="3" t="e">
        <f ca="1">_xll.BDH($C$378,"BS_OTHER_INV","FQ3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392" spans="1:113" x14ac:dyDescent="0.3">
      <c r="A392" s="6"/>
      <c r="B392" s="6"/>
      <c r="C392" s="6"/>
      <c r="D392" s="6"/>
      <c r="E392" t="s">
        <v>81</v>
      </c>
      <c r="F392" t="e">
        <f ca="1">_xll.BDH($C$378,"RETURN_COM_EQY","FQ4 2016","FQ4 2016","Currency=INR","Period=FQ","BEST_FPERIOD_OVERRIDE=FQ","FILING_STATUS=OR","EQY_CONSOLIDATED=Y","FA_ADJUSTED=GAAP","Sort=A","Dates=H","DateFormat=P","Fill=—","Direction=H","UseDPDF=Y")</f>
        <v>#NAME?</v>
      </c>
      <c r="G392" t="e">
        <f ca="1">_xll.BDH($C$378,"RETURN_ON_ASSET","FQ4 2016","FQ4 2016","Currency=INR","Period=FQ","BEST_FPERIOD_OVERRIDE=FQ","FILING_STATUS=OR","EQY_CONSOLIDATED=Y","FA_ADJUSTED=GAAP","Sort=A","Dates=H","DateFormat=P","Fill=—","Direction=H","UseDPDF=Y")</f>
        <v>#NAME?</v>
      </c>
      <c r="H392" t="e">
        <f ca="1">_xll.BDH($C$378,"RETURN_ON_CAP","FQ4 2016","FQ4 2016","Currency=INR","Period=FQ","BEST_FPERIOD_OVERRIDE=FQ","FILING_STATUS=OR","EQY_CONSOLIDATED=Y","FA_ADJUSTED=GAAP","Sort=A","Dates=H","DateFormat=P","Fill=—","Direction=H","UseDPDF=Y")</f>
        <v>#NAME?</v>
      </c>
      <c r="I392" t="e">
        <f ca="1">_xll.BDH($C$378,"RETURN_ON_INV_CAPITAL","FQ4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392" t="e">
        <f ca="1">_xll.BDH($C$378,"EBITDA_TO_REVENUE","FQ4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392" t="e">
        <f ca="1">_xll.BDH($C$378,"OPER_MARGIN","FQ4 2016","FQ4 2016","Currency=INR","Period=FQ","BEST_FPERIOD_OVERRIDE=FQ","FILING_STATUS=OR","EQY_CONSOLIDATED=Y","FA_ADJUSTED=GAAP","Sort=A","Dates=H","DateFormat=P","Fill=—","Direction=H","UseDPDF=Y")</f>
        <v>#NAME?</v>
      </c>
      <c r="L392" t="e">
        <f ca="1">_xll.BDH($C$378,"INCREMENTAL_OPERATING_MARGIN","FQ4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392" t="e">
        <f ca="1">_xll.BDH($C$378,"PRETAX_INC_TO_NET_SALES","FQ4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392" t="e">
        <f ca="1">_xll.BDH($C$378,"INC_BEF_XO_ITEMS_TO_NET_SALES","FQ4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392" t="e">
        <f ca="1">_xll.BDH($C$378,"PROF_MARGIN","FQ4 2016","FQ4 2016","Currency=INR","Period=FQ","BEST_FPERIOD_OVERRIDE=FQ","FILING_STATUS=OR","EQY_CONSOLIDATED=Y","FA_ADJUSTED=GAAP","Sort=A","Dates=H","DateFormat=P","Fill=—","Direction=H","UseDPDF=Y")</f>
        <v>#NAME?</v>
      </c>
      <c r="P392" t="e">
        <f ca="1">_xll.BDH($C$378,"NET_INCOME_TO_COMMON_MARGIN","FQ4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392" t="e">
        <f ca="1">_xll.BDH($C$378,"EFF_TAX_RATE","FQ4 2016","FQ4 2016","Currency=INR","Period=FQ","BEST_FPERIOD_OVERRIDE=FQ","FILING_STATUS=OR","EQY_CONSOLIDATED=Y","FA_ADJUSTED=GAAP","Sort=A","Dates=H","DateFormat=P","Fill=—","Direction=H","UseDPDF=Y")</f>
        <v>#NAME?</v>
      </c>
      <c r="R392" t="e">
        <f ca="1">_xll.BDH($C$378,"DVD_PAYOUT_RATIO","FQ4 2016","FQ4 2016","Currency=INR","Period=FQ","BEST_FPERIOD_OVERRIDE=FQ","FILING_STATUS=OR","EQY_CONSOLIDATED=Y","FA_ADJUSTED=GAAP","Sort=A","Dates=H","DateFormat=P","Fill=—","Direction=H","UseDPDF=Y")</f>
        <v>#NAME?</v>
      </c>
      <c r="S392" t="e">
        <f ca="1">_xll.BDH($C$378,"SUSTAIN_GROWTH_RT","FQ4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392" s="2" t="e">
        <f ca="1">_xll.BDH($C$378,"SALES_GROWTH","FQ4 2016","FQ4 2016","Currency=INR","Period=FQ","BEST_FPERIOD_OVERRIDE=FQ","FILING_STATUS=OR","EQY_CONSOLIDATED=Y","FA_ADJUSTED=GAAP","Sort=A","Dates=H","DateFormat=P","Fill=—","Direction=H","UseDPDF=Y")</f>
        <v>#NAME?</v>
      </c>
      <c r="U392" s="2" t="e">
        <f ca="1">_xll.BDH($C$378,"EBITDA_GROWTH","FQ4 2016","FQ4 2016","Currency=INR","Period=FQ","BEST_FPERIOD_OVERRIDE=FQ","FILING_STATUS=OR","EQY_CONSOLIDATED=Y","FA_ADJUSTED=GAAP","Sort=A","Dates=H","DateFormat=P","Fill=—","Direction=H","UseDPDF=Y")</f>
        <v>#NAME?</v>
      </c>
      <c r="V392" s="2" t="e">
        <f ca="1">_xll.BDH($C$378,"OPER_INC_GROWTH","FQ4 2016","FQ4 2016","Currency=INR","Period=FQ","BEST_FPERIOD_OVERRIDE=FQ","FILING_STATUS=OR","EQY_CONSOLIDATED=Y","FA_ADJUSTED=GAAP","Sort=A","Dates=H","DateFormat=P","Fill=—","Direction=H","UseDPDF=Y")</f>
        <v>#NAME?</v>
      </c>
      <c r="W392" s="2" t="e">
        <f ca="1">_xll.BDH($C$378,"EARN_FOR_COM_GROWTH","FQ4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392" s="2" t="e">
        <f ca="1">_xll.BDH($C$378,"DILUTED_EPS_AFT_XO_ITEMS_GROWTH","FQ4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392" s="2" t="e">
        <f ca="1">_xll.BDH($C$378,"DIVIDEND_PER_SHARE_1_YEAR_GROWTH","FQ4 2016","FQ4 2016","Currency=INR","Period=FQ","BEST_FPERIOD_OVERRIDE=FQ","FILING_STATUS=OR","EQY_CONSOLIDATED=Y","Sort=A","Dates=H","DateFormat=P","Fill=—","Direction=H","UseDPDF=Y")</f>
        <v>#NAME?</v>
      </c>
      <c r="Z392" s="2" t="e">
        <f ca="1">_xll.BDH($C$378,"ACCOUNTS_RECEIVABLE_GROWTH","FQ4 2016","FQ4 2016","Currency=INR","Period=FQ","BEST_FPERIOD_OVERRIDE=FQ","FILING_STATUS=OR","EQY_CONSOLIDATED=Y","Sort=A","Dates=H","DateFormat=P","Fill=—","Direction=H","UseDPDF=Y")</f>
        <v>#NAME?</v>
      </c>
      <c r="AA392" s="2" t="e">
        <f ca="1">_xll.BDH($C$378,"INVENTORY_GROWTH","FQ4 2016","FQ4 2016","Currency=INR","Period=FQ","BEST_FPERIOD_OVERRIDE=FQ","FILING_STATUS=OR","EQY_CONSOLIDATED=Y","Sort=A","Dates=H","DateFormat=P","Fill=—","Direction=H","UseDPDF=Y")</f>
        <v>#NAME?</v>
      </c>
      <c r="AB392" s="2" t="e">
        <f ca="1">_xll.BDH($C$378,"NET_FIXED_ASSETS_1_YEAR_GROWTH","FQ4 2016","FQ4 2016","Currency=INR","Period=FQ","BEST_FPERIOD_OVERRIDE=FQ","FILING_STATUS=OR","EQY_CONSOLIDATED=Y","Sort=A","Dates=H","DateFormat=P","Fill=—","Direction=H","UseDPDF=Y")</f>
        <v>#NAME?</v>
      </c>
      <c r="AC392" s="2" t="e">
        <f ca="1">_xll.BDH($C$378,"ASSET_GROWTH","FQ4 2016","FQ4 2016","Currency=INR","Period=FQ","BEST_FPERIOD_OVERRIDE=FQ","FILING_STATUS=OR","EQY_CONSOLIDATED=Y","Sort=A","Dates=H","DateFormat=P","Fill=—","Direction=H","UseDPDF=Y")</f>
        <v>#NAME?</v>
      </c>
      <c r="AD392" s="2" t="e">
        <f ca="1">_xll.BDH($C$378,"MODIFIED_WORK_CAP_GROWTH","FQ4 2016","FQ4 2016","Currency=INR","Period=FQ","BEST_FPERIOD_OVERRIDE=FQ","FILING_STATUS=OR","EQY_CONSOLIDATED=Y","Sort=A","Dates=H","DateFormat=P","Fill=—","Direction=H","UseDPDF=Y")</f>
        <v>#NAME?</v>
      </c>
      <c r="AE392" s="2" t="e">
        <f ca="1">_xll.BDH($C$378,"WORK_CAP_GROWTH","FQ4 2016","FQ4 2016","Currency=INR","Period=FQ","BEST_FPERIOD_OVERRIDE=FQ","FILING_STATUS=OR","EQY_CONSOLIDATED=Y","Sort=A","Dates=H","DateFormat=P","Fill=—","Direction=H","UseDPDF=Y")</f>
        <v>#NAME?</v>
      </c>
      <c r="AF392" s="2" t="e">
        <f ca="1">_xll.BDH($C$378,"ACCOUNTS_PAYABLE_GROWTH_1YR","FQ4 2016","FQ4 2016","Currency=INR","Period=FQ","BEST_FPERIOD_OVERRIDE=FQ","FILING_STATUS=OR","EQY_CONSOLIDATED=Y","Sort=A","Dates=H","DateFormat=P","Fill=—","Direction=H","UseDPDF=Y")</f>
        <v>#NAME?</v>
      </c>
      <c r="AG392" s="2" t="e">
        <f ca="1">_xll.BDH($C$378,"SHORT_TERM_DEBT_1_YEAR_GROWTH","FQ4 2016","FQ4 2016","Currency=INR","Period=FQ","BEST_FPERIOD_OVERRIDE=FQ","FILING_STATUS=OR","EQY_CONSOLIDATED=Y","Sort=A","Dates=H","DateFormat=P","Fill=—","Direction=H","UseDPDF=Y")</f>
        <v>#NAME?</v>
      </c>
      <c r="AH392" s="2" t="e">
        <f ca="1">_xll.BDH($C$378,"TOTAL_DEBT_1_YEAR_GROWTH","FQ4 2016","FQ4 2016","Currency=INR","Period=FQ","BEST_FPERIOD_OVERRIDE=FQ","FILING_STATUS=OR","EQY_CONSOLIDATED=Y","Sort=A","Dates=H","DateFormat=P","Fill=—","Direction=H","UseDPDF=Y")</f>
        <v>#NAME?</v>
      </c>
      <c r="AI392" s="2" t="e">
        <f ca="1">_xll.BDH($C$378,"TOTAL_EQUITY_1_YEAR_GROWTH","FQ4 2016","FQ4 2016","Currency=INR","Period=FQ","BEST_FPERIOD_OVERRIDE=FQ","FILING_STATUS=OR","EQY_CONSOLIDATED=Y","Sort=A","Dates=H","DateFormat=P","Fill=—","Direction=H","UseDPDF=Y")</f>
        <v>#NAME?</v>
      </c>
      <c r="AJ392" s="2" t="e">
        <f ca="1">_xll.BDH($C$378,"GROWTH_IN_CAP","FQ4 2016","FQ4 2016","Currency=INR","Period=FQ","BEST_FPERIOD_OVERRIDE=FQ","FILING_STATUS=OR","EQY_CONSOLIDATED=Y","Sort=A","Dates=H","DateFormat=P","Fill=—","Direction=H","UseDPDF=Y")</f>
        <v>#NAME?</v>
      </c>
      <c r="AK392" s="2" t="e">
        <f ca="1">_xll.BDH($C$378,"BVPS_GROWTH","FQ4 2016","FQ4 2016","Currency=INR","Period=FQ","BEST_FPERIOD_OVERRIDE=FQ","FILING_STATUS=OR","EQY_CONSOLIDATED=Y","Sort=A","Dates=H","DateFormat=P","Fill=—","Direction=H","UseDPDF=Y")</f>
        <v>#NAME?</v>
      </c>
      <c r="AL392" s="2" t="e">
        <f ca="1">_xll.BDH($C$378,"CASH_FLOW_GROWTH","FQ4 2016","FQ4 2016","Currency=INR","Period=FQ","BEST_FPERIOD_OVERRIDE=FQ","FILING_STATUS=OR","EQY_CONSOLIDATED=Y","Sort=A","Dates=H","DateFormat=P","Fill=—","Direction=H","UseDPDF=Y")</f>
        <v>#NAME?</v>
      </c>
      <c r="AM392" s="2" t="e">
        <f ca="1">_xll.BDH($C$378,"GEO_GROW_NET_SALES","FQ4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392" s="2" t="e">
        <f ca="1">_xll.BDH($C$378,"GEO_GROW_EBITDA","FQ4 2016","FQ4 2016","Currency=INR","Period=FQ","BEST_FPERIOD_OVERRIDE=FQ","FILING_STATUS=OR","EQY_CONSOLIDATED=Y","FA_ADJUSTED=GAAP","Sort=A","Dates=H","DateFormat=P","Fill=—","Direction=H","UseDPDF=Y")</f>
        <v>#NAME?</v>
      </c>
      <c r="AO392" s="2" t="e">
        <f ca="1">_xll.BDH($C$378,"GEO_GROW_OPER_INC","FQ4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392" s="2" t="e">
        <f ca="1">_xll.BDH($C$378,"NET_INCOME_TO_COMMON_5_YR_GROWTH","FQ4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392" s="2" t="e">
        <f ca="1">_xll.BDH($C$378,"5Y_GEO_GROWTH_DILUTED_EPS","FQ4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392" s="2" t="e">
        <f ca="1">_xll.BDH($C$378,"GEO_GROW_DVD_PER_SH","FQ4 2016","FQ4 2016","Currency=INR","Period=FQ","BEST_FPERIOD_OVERRIDE=FQ","FILING_STATUS=OR","EQY_CONSOLIDATED=Y","Sort=A","Dates=H","DateFormat=P","Fill=—","Direction=H","UseDPDF=Y")</f>
        <v>#NAME?</v>
      </c>
      <c r="AS392" s="2" t="e">
        <f ca="1">_xll.BDH($C$378,"ACCOUNTS_RECEIVABLE_5_YR_GROWTH","FQ4 2016","FQ4 2016","Currency=INR","Period=FQ","BEST_FPERIOD_OVERRIDE=FQ","FILING_STATUS=OR","EQY_CONSOLIDATED=Y","Sort=A","Dates=H","DateFormat=P","Fill=—","Direction=H","UseDPDF=Y")</f>
        <v>#NAME?</v>
      </c>
      <c r="AT392" s="2" t="e">
        <f ca="1">_xll.BDH($C$378,"INVENTORY_5_YEAR_GROWTH","FQ4 2016","FQ4 2016","Currency=INR","Period=FQ","BEST_FPERIOD_OVERRIDE=FQ","FILING_STATUS=OR","EQY_CONSOLIDATED=Y","Sort=A","Dates=H","DateFormat=P","Fill=—","Direction=H","UseDPDF=Y")</f>
        <v>#NAME?</v>
      </c>
      <c r="AU392" s="2" t="e">
        <f ca="1">_xll.BDH($C$378,"NET_FIXED_ASSETS_5_YEAR_GROWTH","FQ4 2016","FQ4 2016","Currency=INR","Period=FQ","BEST_FPERIOD_OVERRIDE=FQ","FILING_STATUS=OR","EQY_CONSOLIDATED=Y","Sort=A","Dates=H","DateFormat=P","Fill=—","Direction=H","UseDPDF=Y")</f>
        <v>#NAME?</v>
      </c>
      <c r="AV392" s="2" t="e">
        <f ca="1">_xll.BDH($C$378,"GEO_GROW_TOT_ASSET","FQ4 2016","FQ4 2016","Currency=INR","Period=FQ","BEST_FPERIOD_OVERRIDE=FQ","FILING_STATUS=OR","EQY_CONSOLIDATED=Y","Sort=A","Dates=H","DateFormat=P","Fill=—","Direction=H","UseDPDF=Y")</f>
        <v>#NAME?</v>
      </c>
      <c r="AW392" s="2" t="e">
        <f ca="1">_xll.BDH($C$378,"MODIFIED_WORKING_CPTL_5YR_GRWTH","FQ4 2016","FQ4 2016","Currency=INR","Period=FQ","BEST_FPERIOD_OVERRIDE=FQ","FILING_STATUS=OR","EQY_CONSOLIDATED=Y","Sort=A","Dates=H","DateFormat=P","Fill=—","Direction=H","UseDPDF=Y")</f>
        <v>#NAME?</v>
      </c>
      <c r="AX392" s="2" t="e">
        <f ca="1">_xll.BDH($C$378,"WORKING_CAPITAL_5_YEAR_GROWTH","FQ4 2016","FQ4 2016","Currency=INR","Period=FQ","BEST_FPERIOD_OVERRIDE=FQ","FILING_STATUS=OR","EQY_CONSOLIDATED=Y","Sort=A","Dates=H","DateFormat=P","Fill=—","Direction=H","UseDPDF=Y")</f>
        <v>#NAME?</v>
      </c>
      <c r="AY392" s="2" t="e">
        <f ca="1">_xll.BDH($C$378,"ACCOUNTS_PAYABLE_5_YEAR_GROWTH","FQ4 2016","FQ4 2016","Currency=INR","Period=FQ","BEST_FPERIOD_OVERRIDE=FQ","FILING_STATUS=OR","EQY_CONSOLIDATED=Y","Sort=A","Dates=H","DateFormat=P","Fill=—","Direction=H","UseDPDF=Y")</f>
        <v>#NAME?</v>
      </c>
      <c r="AZ392" s="2" t="e">
        <f ca="1">_xll.BDH($C$378,"SHORT_TERM_DEBT_5_YEAR_GROWTH","FQ4 2016","FQ4 2016","Currency=INR","Period=FQ","BEST_FPERIOD_OVERRIDE=FQ","FILING_STATUS=OR","EQY_CONSOLIDATED=Y","Sort=A","Dates=H","DateFormat=P","Fill=—","Direction=H","UseDPDF=Y")</f>
        <v>#NAME?</v>
      </c>
      <c r="BA392" s="2" t="e">
        <f ca="1">_xll.BDH($C$378,"TOTAL_DEBT_5_YEAR_GROWTH","FQ4 2016","FQ4 2016","Currency=INR","Period=FQ","BEST_FPERIOD_OVERRIDE=FQ","FILING_STATUS=OR","EQY_CONSOLIDATED=Y","Sort=A","Dates=H","DateFormat=P","Fill=—","Direction=H","UseDPDF=Y")</f>
        <v>#NAME?</v>
      </c>
      <c r="BB392" s="2" t="e">
        <f ca="1">_xll.BDH($C$378,"GEO_GROW_TOT_SHRHLDR_EQY","FQ4 2016","FQ4 2016","Currency=INR","Period=FQ","BEST_FPERIOD_OVERRIDE=FQ","FILING_STATUS=OR","EQY_CONSOLIDATED=Y","Sort=A","Dates=H","DateFormat=P","Fill=—","Direction=H","UseDPDF=Y")</f>
        <v>#NAME?</v>
      </c>
      <c r="BC392" s="2" t="e">
        <f ca="1">_xll.BDH($C$378,"TOTAL_CAPITAL_5_YEAR_GROWTH","FQ4 2016","FQ4 2016","Currency=INR","Period=FQ","BEST_FPERIOD_OVERRIDE=FQ","FILING_STATUS=OR","EQY_CONSOLIDATED=Y","Sort=A","Dates=H","DateFormat=P","Fill=—","Direction=H","UseDPDF=Y")</f>
        <v>#NAME?</v>
      </c>
      <c r="BD392" s="2" t="e">
        <f ca="1">_xll.BDH($C$378,"GEO_GROW_BOOK_VAL","FQ4 2016","FQ4 2016","Currency=INR","Period=FQ","BEST_FPERIOD_OVERRIDE=FQ","FILING_STATUS=OR","EQY_CONSOLIDATED=Y","Sort=A","Dates=H","DateFormat=P","Fill=—","Direction=H","UseDPDF=Y")</f>
        <v>#NAME?</v>
      </c>
      <c r="BE392" s="2" t="e">
        <f ca="1">_xll.BDH($C$378,"GEO_GROW_CASH_OPER_ACT","FQ4 2016","FQ4 2016","Currency=INR","Period=FQ","BEST_FPERIOD_OVERRIDE=FQ","FILING_STATUS=OR","EQY_CONSOLIDATED=Y","Sort=A","Dates=H","DateFormat=P","Fill=—","Direction=H","UseDPDF=Y")</f>
        <v>#NAME?</v>
      </c>
      <c r="BF392" s="2" t="e">
        <f ca="1">_xll.BDH($C$378,"REVENUE_SEQUENTIAL_GROWTH","FQ4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392" s="2" t="e">
        <f ca="1">_xll.BDH($C$378,"EBITDA_SEQUENTIAL_GROWTH","FQ4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392" s="2" t="e">
        <f ca="1">_xll.BDH($C$378,"OPERATING_INCOME_SEQ_GROWTH","FQ4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392" s="2" t="e">
        <f ca="1">_xll.BDH($C$378,"NET_INCOME_TO_COMMON_SEQ_GROWTH","FQ4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392" s="2" t="e">
        <f ca="1">_xll.BDH($C$378,"EPS_DILUTED_SEQUENTIAL_GROWTH","FQ4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392" s="2" t="e">
        <f ca="1">_xll.BDH($C$378,"DPS_SEQUENTIAL_GROWTH","FQ4 2016","FQ4 2016","Currency=INR","Period=FQ","BEST_FPERIOD_OVERRIDE=FQ","FILING_STATUS=OR","EQY_CONSOLIDATED=Y","Sort=A","Dates=H","DateFormat=P","Fill=—","Direction=H","UseDPDF=Y")</f>
        <v>#NAME?</v>
      </c>
      <c r="BL392" s="2" t="e">
        <f ca="1">_xll.BDH($C$378,"ACCOUNTS_RECEIVABLE_SEQ_GROWTH","FQ4 2016","FQ4 2016","Currency=INR","Period=FQ","BEST_FPERIOD_OVERRIDE=FQ","FILING_STATUS=OR","EQY_CONSOLIDATED=Y","Sort=A","Dates=H","DateFormat=P","Fill=—","Direction=H","UseDPDF=Y")</f>
        <v>#NAME?</v>
      </c>
      <c r="BM392" s="2" t="e">
        <f ca="1">_xll.BDH($C$378,"INVENTORY_SEQUENTIAL_GROWTH","FQ4 2016","FQ4 2016","Currency=INR","Period=FQ","BEST_FPERIOD_OVERRIDE=FQ","FILING_STATUS=OR","EQY_CONSOLIDATED=Y","Sort=A","Dates=H","DateFormat=P","Fill=—","Direction=H","UseDPDF=Y")</f>
        <v>#NAME?</v>
      </c>
      <c r="BN392" s="2" t="e">
        <f ca="1">_xll.BDH($C$378,"FIXED_ASSETS_SEQUENTIAL_GROWTH","FQ4 2016","FQ4 2016","Currency=INR","Period=FQ","BEST_FPERIOD_OVERRIDE=FQ","FILING_STATUS=OR","EQY_CONSOLIDATED=Y","Sort=A","Dates=H","DateFormat=P","Fill=—","Direction=H","UseDPDF=Y")</f>
        <v>#NAME?</v>
      </c>
      <c r="BO392" s="2" t="e">
        <f ca="1">_xll.BDH($C$378,"TOTAL_ASSETS_SEQUENTIAL_GROWTH","FQ4 2016","FQ4 2016","Currency=INR","Period=FQ","BEST_FPERIOD_OVERRIDE=FQ","FILING_STATUS=OR","EQY_CONSOLIDATED=Y","Sort=A","Dates=H","DateFormat=P","Fill=—","Direction=H","UseDPDF=Y")</f>
        <v>#NAME?</v>
      </c>
      <c r="BP392" s="2" t="e">
        <f ca="1">_xll.BDH($C$378,"MODIFIED_WORKING_CPTL_SEQ_GRWTH","FQ4 2016","FQ4 2016","Currency=INR","Period=FQ","BEST_FPERIOD_OVERRIDE=FQ","FILING_STATUS=OR","EQY_CONSOLIDATED=Y","Sort=A","Dates=H","DateFormat=P","Fill=—","Direction=H","UseDPDF=Y")</f>
        <v>#NAME?</v>
      </c>
      <c r="BQ392" s="2" t="e">
        <f ca="1">_xll.BDH($C$378,"WORKING_CAPITAL_SEQ_GROWTH","FQ4 2016","FQ4 2016","Currency=INR","Period=FQ","BEST_FPERIOD_OVERRIDE=FQ","FILING_STATUS=OR","EQY_CONSOLIDATED=Y","Sort=A","Dates=H","DateFormat=P","Fill=—","Direction=H","UseDPDF=Y")</f>
        <v>#NAME?</v>
      </c>
      <c r="BR392" s="2" t="e">
        <f ca="1">_xll.BDH($C$378,"ACCOUNTS_PAYABLE_SEQ_GROWTH","FQ4 2016","FQ4 2016","Currency=INR","Period=FQ","BEST_FPERIOD_OVERRIDE=FQ","FILING_STATUS=OR","EQY_CONSOLIDATED=Y","Sort=A","Dates=H","DateFormat=P","Fill=—","Direction=H","UseDPDF=Y")</f>
        <v>#NAME?</v>
      </c>
      <c r="BS392" s="2" t="e">
        <f ca="1">_xll.BDH($C$378,"ST_DEBT_SEQUENTIAL_GROWTH","FQ4 2016","FQ4 2016","Currency=INR","Period=FQ","BEST_FPERIOD_OVERRIDE=FQ","FILING_STATUS=OR","EQY_CONSOLIDATED=Y","Sort=A","Dates=H","DateFormat=P","Fill=—","Direction=H","UseDPDF=Y")</f>
        <v>#NAME?</v>
      </c>
      <c r="BT392" s="2" t="e">
        <f ca="1">_xll.BDH($C$378,"TOTAL_DEBT_SEQUENTIAL_GROWTH","FQ4 2016","FQ4 2016","Currency=INR","Period=FQ","BEST_FPERIOD_OVERRIDE=FQ","FILING_STATUS=OR","EQY_CONSOLIDATED=Y","Sort=A","Dates=H","DateFormat=P","Fill=—","Direction=H","UseDPDF=Y")</f>
        <v>#NAME?</v>
      </c>
      <c r="BU392" s="2" t="e">
        <f ca="1">_xll.BDH($C$378,"TOTAL_EQUITY_SEQUENTIAL_GROWTH","FQ4 2016","FQ4 2016","Currency=INR","Period=FQ","BEST_FPERIOD_OVERRIDE=FQ","FILING_STATUS=OR","EQY_CONSOLIDATED=Y","Sort=A","Dates=H","DateFormat=P","Fill=—","Direction=H","UseDPDF=Y")</f>
        <v>#NAME?</v>
      </c>
      <c r="BV392" s="2" t="e">
        <f ca="1">_xll.BDH($C$378,"TOTAL_CAPITAL_SEQUENTIAL_GROWTH","FQ4 2016","FQ4 2016","Currency=INR","Period=FQ","BEST_FPERIOD_OVERRIDE=FQ","FILING_STATUS=OR","EQY_CONSOLIDATED=Y","Sort=A","Dates=H","DateFormat=P","Fill=—","Direction=H","UseDPDF=Y")</f>
        <v>#NAME?</v>
      </c>
      <c r="BW392" s="2" t="e">
        <f ca="1">_xll.BDH($C$378,"BPS_SEQUENTIAL_GROWTH","FQ4 2016","FQ4 2016","Currency=INR","Period=FQ","BEST_FPERIOD_OVERRIDE=FQ","FILING_STATUS=OR","EQY_CONSOLIDATED=Y","Sort=A","Dates=H","DateFormat=P","Fill=—","Direction=H","UseDPDF=Y")</f>
        <v>#NAME?</v>
      </c>
      <c r="BX392" s="2" t="e">
        <f ca="1">_xll.BDH($C$378,"CFO_SEQUENTIAL_GROWTH","FQ4 2016","FQ4 2016","Currency=INR","Period=FQ","BEST_FPERIOD_OVERRIDE=FQ","FILING_STATUS=OR","EQY_CONSOLIDATED=Y","Sort=A","Dates=H","DateFormat=P","Fill=—","Direction=H","UseDPDF=Y")</f>
        <v>#NAME?</v>
      </c>
      <c r="BY392" s="3" t="e">
        <f ca="1">_xll.BDH($C$378,"SHORT_AND_LONG_TERM_DEBT","FQ4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392" s="3" t="e">
        <f ca="1">_xll.BDH($C$378,"BS_ST_BORROW","FQ4 2016","FQ4 2016","Currency=INR","Period=FQ","BEST_FPERIOD_OVERRIDE=FQ","FILING_STATUS=OR","EQY_CONSOLIDATED=Y","SCALING_FORMAT=MLN","Sort=A","Dates=H","DateFormat=P","Fill=—","Direction=H","UseDPDF=Y")</f>
        <v>#NAME?</v>
      </c>
      <c r="CA392" s="3" t="e">
        <f ca="1">_xll.BDH($C$378,"BS_LT_BORROW","FQ4 2016","FQ4 2016","Currency=INR","Period=FQ","BEST_FPERIOD_OVERRIDE=FQ","FILING_STATUS=OR","EQY_CONSOLIDATED=Y","SCALING_FORMAT=MLN","Sort=A","Dates=H","DateFormat=P","Fill=—","Direction=H","UseDPDF=Y")</f>
        <v>#NAME?</v>
      </c>
      <c r="CB392" s="2" t="e">
        <f ca="1">_xll.BDH($C$378,"TOT_DEBT_TO_EBITDA","FQ4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392" s="2" t="e">
        <f ca="1">_xll.BDH($C$378,"NET_DEBT_TO_EBITDA","FQ4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392" s="2" t="e">
        <f ca="1">_xll.BDH($C$378,"TOTAL_DEBT_TO_EBIT","FQ4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392" s="2" t="e">
        <f ca="1">_xll.BDH($C$378,"NET_DEBT_TO_EBIT","FQ4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392" s="2" t="e">
        <f ca="1">_xll.BDH($C$378,"EBITDA_TO_INTEREST_EXPN","FQ4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392" s="2" t="e">
        <f ca="1">_xll.BDH($C$378,"COM_EQY_TO_TOT_ASSET","FQ4 2016","FQ4 2016","Currency=INR","Period=FQ","BEST_FPERIOD_OVERRIDE=FQ","FILING_STATUS=OR","EQY_CONSOLIDATED=Y","Sort=A","Dates=H","DateFormat=P","Fill=—","Direction=H","UseDPDF=Y")</f>
        <v>#NAME?</v>
      </c>
      <c r="CH392" s="2" t="e">
        <f ca="1">_xll.BDH($C$378,"LT_DEBT_TO_TOT_EQY","FQ4 2016","FQ4 2016","Currency=INR","Period=FQ","BEST_FPERIOD_OVERRIDE=FQ","FILING_STATUS=OR","EQY_CONSOLIDATED=Y","Sort=A","Dates=H","DateFormat=P","Fill=—","Direction=H","UseDPDF=Y")</f>
        <v>#NAME?</v>
      </c>
      <c r="CI392" s="2" t="e">
        <f ca="1">_xll.BDH($C$378,"LT_DEBT_TO_TOT_CAP","FQ4 2016","FQ4 2016","Currency=INR","Period=FQ","BEST_FPERIOD_OVERRIDE=FQ","FILING_STATUS=OR","EQY_CONSOLIDATED=Y","Sort=A","Dates=H","DateFormat=P","Fill=—","Direction=H","UseDPDF=Y")</f>
        <v>#NAME?</v>
      </c>
      <c r="CJ392" s="2" t="e">
        <f ca="1">_xll.BDH($C$378,"LT_DEBT_TO_TOT_ASSET","FQ4 2016","FQ4 2016","Currency=INR","Period=FQ","BEST_FPERIOD_OVERRIDE=FQ","FILING_STATUS=OR","EQY_CONSOLIDATED=Y","Sort=A","Dates=H","DateFormat=P","Fill=—","Direction=H","UseDPDF=Y")</f>
        <v>#NAME?</v>
      </c>
      <c r="CK392" s="2" t="e">
        <f ca="1">_xll.BDH($C$378,"TOT_DEBT_TO_TOT_EQY","FQ4 2016","FQ4 2016","Currency=INR","Period=FQ","BEST_FPERIOD_OVERRIDE=FQ","FILING_STATUS=OR","EQY_CONSOLIDATED=Y","Sort=A","Dates=H","DateFormat=P","Fill=—","Direction=H","UseDPDF=Y")</f>
        <v>#NAME?</v>
      </c>
      <c r="CL392" s="2" t="e">
        <f ca="1">_xll.BDH($C$378,"TOT_DEBT_TO_TOT_CAP","FQ4 2016","FQ4 2016","Currency=INR","Period=FQ","BEST_FPERIOD_OVERRIDE=FQ","FILING_STATUS=OR","EQY_CONSOLIDATED=Y","Sort=A","Dates=H","DateFormat=P","Fill=—","Direction=H","UseDPDF=Y")</f>
        <v>#NAME?</v>
      </c>
      <c r="CM392" s="2" t="e">
        <f ca="1">_xll.BDH($C$378,"TOT_DEBT_TO_TOT_ASSET","FQ4 2016","FQ4 2016","Currency=INR","Period=FQ","BEST_FPERIOD_OVERRIDE=FQ","FILING_STATUS=OR","EQY_CONSOLIDATED=Y","Sort=A","Dates=H","DateFormat=P","Fill=—","Direction=H","UseDPDF=Y")</f>
        <v>#NAME?</v>
      </c>
      <c r="CN392" s="2" t="e">
        <f ca="1">_xll.BDH($C$378,"NET_DEBT_TO_SHRHLDR_EQTY","FQ4 2016","FQ4 2016","Currency=INR","Period=FQ","BEST_FPERIOD_OVERRIDE=FQ","FILING_STATUS=OR","EQY_CONSOLIDATED=Y","Sort=A","Dates=H","DateFormat=P","Fill=—","Direction=H","UseDPDF=Y")</f>
        <v>#NAME?</v>
      </c>
      <c r="CO392" s="2" t="e">
        <f ca="1">_xll.BDH($C$378,"NET_DEBT_%_CAPITAL","FQ4 2016","FQ4 2016","Currency=INR","Period=FQ","BEST_FPERIOD_OVERRIDE=FQ","FILING_STATUS=OR","EQY_CONSOLIDATED=Y","Sort=A","Dates=H","DateFormat=P","Fill=—","Direction=H","UseDPDF=Y")</f>
        <v>#NAME?</v>
      </c>
      <c r="CP392" s="3" t="e">
        <f ca="1">_xll.BDH($C$378,"EBITDA","FQ4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392" s="3" t="e">
        <f ca="1">_xll.BDH($C$378,"EBITDA_AFTER_CAPEX","FQ4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392" s="3" t="e">
        <f ca="1">_xll.BDH($C$378,"IS_OPER_INC","FQ4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392" s="2" t="e">
        <f ca="1">_xll.BDH($C$378,"CASH_RATIO","FQ4 2016","FQ4 2016","Currency=INR","Period=FQ","BEST_FPERIOD_OVERRIDE=FQ","FILING_STATUS=OR","EQY_CONSOLIDATED=Y","Sort=A","Dates=H","DateFormat=P","Fill=—","Direction=H","UseDPDF=Y")</f>
        <v>#NAME?</v>
      </c>
      <c r="CT392" s="2" t="e">
        <f ca="1">_xll.BDH($C$378,"CUR_RATIO","FQ4 2016","FQ4 2016","Currency=INR","Period=FQ","BEST_FPERIOD_OVERRIDE=FQ","FILING_STATUS=OR","EQY_CONSOLIDATED=Y","Sort=A","Dates=H","DateFormat=P","Fill=—","Direction=H","UseDPDF=Y")</f>
        <v>#NAME?</v>
      </c>
      <c r="CU392" s="2" t="e">
        <f ca="1">_xll.BDH($C$378,"QUICK_RATIO","FQ4 2016","FQ4 2016","Currency=INR","Period=FQ","BEST_FPERIOD_OVERRIDE=FQ","FILING_STATUS=OR","EQY_CONSOLIDATED=Y","Sort=A","Dates=H","DateFormat=P","Fill=—","Direction=H","UseDPDF=Y")</f>
        <v>#NAME?</v>
      </c>
      <c r="CV392" s="2" t="e">
        <f ca="1">_xll.BDH($C$378,"ALTMAN_Z_SCORE","FQ4 2016","FQ4 2016","Currency=INR","Period=FQ","BEST_FPERIOD_OVERRIDE=FQ","FILING_STATUS=OR","EQY_CONSOLIDATED=Y","Sort=A","Dates=H","DateFormat=P","Fill=—","Direction=H","UseDPDF=Y")</f>
        <v>#NAME?</v>
      </c>
      <c r="CW392" s="4" t="e">
        <f ca="1">_xll.BDH($C$378,"ACCT_RCV_TURN","FQ4 2016","FQ4 2016","Currency=INR","Period=FQ","BEST_FPERIOD_OVERRIDE=FQ","FILING_STATUS=OR","EQY_CONSOLIDATED=Y","FA_ADJUSTED=GAAP","Sort=A","Dates=H","DateFormat=P","Fill=—","Direction=H","UseDPDF=Y")</f>
        <v>#NAME?</v>
      </c>
      <c r="CX392" s="2" t="e">
        <f ca="1">_xll.BDH($C$378,"ACCT_RCV_DAYS","FQ4 2016","FQ4 2016","Currency=INR","Period=FQ","BEST_FPERIOD_OVERRIDE=FQ","FILING_STATUS=OR","EQY_CONSOLIDATED=Y","FA_ADJUSTED=GAAP","Sort=A","Dates=H","DateFormat=P","Fill=—","Direction=H","UseDPDF=Y")</f>
        <v>#NAME?</v>
      </c>
      <c r="CY392" s="4" t="e">
        <f ca="1">_xll.BDH($C$378,"INVENT_TURN","FQ4 2016","FQ4 2016","Currency=INR","Period=FQ","BEST_FPERIOD_OVERRIDE=FQ","FILING_STATUS=OR","EQY_CONSOLIDATED=Y","FA_ADJUSTED=GAAP","Sort=A","Dates=H","DateFormat=P","Fill=—","Direction=H","UseDPDF=Y")</f>
        <v>#NAME?</v>
      </c>
      <c r="CZ392" s="2" t="e">
        <f ca="1">_xll.BDH($C$378,"INVENT_DAYS","FQ4 2016","FQ4 2016","Currency=INR","Period=FQ","BEST_FPERIOD_OVERRIDE=FQ","FILING_STATUS=OR","EQY_CONSOLIDATED=Y","FA_ADJUSTED=GAAP","Sort=A","Dates=H","DateFormat=P","Fill=—","Direction=H","UseDPDF=Y")</f>
        <v>#NAME?</v>
      </c>
      <c r="DA392" s="4" t="e">
        <f ca="1">_xll.BDH($C$378,"ACCOUNTS_PAYABLE_TURNOVER","FQ4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392" s="2" t="e">
        <f ca="1">_xll.BDH($C$378,"ACCOUNTS_PAYABLE_TURNOVER_DAYS","FQ4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392" s="4" t="e">
        <f ca="1">_xll.BDH($C$378,"CASH_CONVERSION_CYCLE","FQ4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392" s="4" t="e">
        <f ca="1">_xll.BDH($C$378,"INV_TO_CASH_DAYS","FQ4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392" s="5" t="e">
        <f ca="1">_xll.BDH($C$378,"BS_INVENTORIES","FQ4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392" s="3" t="e">
        <f ca="1">_xll.BDH($C$378,"INVTRY_RAW_MATERIALS","FQ4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392" s="3" t="e">
        <f ca="1">_xll.BDH($C$378,"INVTRY_IN_PROGRESS","FQ4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392" s="3" t="e">
        <f ca="1">_xll.BDH($C$378,"INVTRY_FINISHED_GOODS","FQ4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392" s="3" t="e">
        <f ca="1">_xll.BDH($C$378,"BS_OTHER_INV","FQ4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393" spans="1:113" x14ac:dyDescent="0.3">
      <c r="A393" s="6"/>
      <c r="B393" s="6"/>
      <c r="C393" s="6"/>
      <c r="D393" s="6" t="s">
        <v>84</v>
      </c>
      <c r="E393" t="s">
        <v>77</v>
      </c>
      <c r="F393" t="e">
        <f ca="1">_xll.BDH($C$378,"RETURN_COM_EQY","FY 2017","FY 2017","Currency=INR","Period=FY","BEST_FPERIOD_OVERRIDE=FY","FILING_STATUS=OR","EQY_CONSOLIDATED=Y","FA_ADJUSTED=GAAP","Sort=A","Dates=H","DateFormat=P","Fill=—","Direction=H","UseDPDF=Y")</f>
        <v>#NAME?</v>
      </c>
      <c r="G393" t="e">
        <f ca="1">_xll.BDH($C$378,"RETURN_ON_ASSET","FY 2017","FY 2017","Currency=INR","Period=FY","BEST_FPERIOD_OVERRIDE=FY","FILING_STATUS=OR","EQY_CONSOLIDATED=Y","FA_ADJUSTED=GAAP","Sort=A","Dates=H","DateFormat=P","Fill=—","Direction=H","UseDPDF=Y")</f>
        <v>#NAME?</v>
      </c>
      <c r="H393" t="e">
        <f ca="1">_xll.BDH($C$378,"RETURN_ON_CAP","FY 2017","FY 2017","Currency=INR","Period=FY","BEST_FPERIOD_OVERRIDE=FY","FILING_STATUS=OR","EQY_CONSOLIDATED=Y","FA_ADJUSTED=GAAP","Sort=A","Dates=H","DateFormat=P","Fill=—","Direction=H","UseDPDF=Y")</f>
        <v>#NAME?</v>
      </c>
      <c r="I393" t="e">
        <f ca="1">_xll.BDH($C$378,"RETURN_ON_INV_CAPITAL","FY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393" t="e">
        <f ca="1">_xll.BDH($C$378,"EBITDA_TO_REVENUE","FY 2017","FY 2017","Currency=INR","Period=FY","BEST_FPERIOD_OVERRIDE=FY","FILING_STATUS=OR","EQY_CONSOLIDATED=Y","FA_ADJUSTED=GAAP","Sort=A","Dates=H","DateFormat=P","Fill=—","Direction=H","UseDPDF=Y")</f>
        <v>#NAME?</v>
      </c>
      <c r="K393" t="e">
        <f ca="1">_xll.BDH($C$378,"OPER_MARGIN","FY 2017","FY 2017","Currency=INR","Period=FY","BEST_FPERIOD_OVERRIDE=FY","FILING_STATUS=OR","EQY_CONSOLIDATED=Y","FA_ADJUSTED=GAAP","Sort=A","Dates=H","DateFormat=P","Fill=—","Direction=H","UseDPDF=Y")</f>
        <v>#NAME?</v>
      </c>
      <c r="L393" t="e">
        <f ca="1">_xll.BDH($C$378,"INCREMENTAL_OPERATING_MARGIN","FY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393" t="e">
        <f ca="1">_xll.BDH($C$378,"PRETAX_INC_TO_NET_SALES","FY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393" t="e">
        <f ca="1">_xll.BDH($C$378,"INC_BEF_XO_ITEMS_TO_NET_SALES","FY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393" t="e">
        <f ca="1">_xll.BDH($C$378,"PROF_MARGIN","FY 2017","FY 2017","Currency=INR","Period=FY","BEST_FPERIOD_OVERRIDE=FY","FILING_STATUS=OR","EQY_CONSOLIDATED=Y","FA_ADJUSTED=GAAP","Sort=A","Dates=H","DateFormat=P","Fill=—","Direction=H","UseDPDF=Y")</f>
        <v>#NAME?</v>
      </c>
      <c r="P393" t="e">
        <f ca="1">_xll.BDH($C$378,"NET_INCOME_TO_COMMON_MARGIN","FY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393" t="e">
        <f ca="1">_xll.BDH($C$378,"EFF_TAX_RATE","FY 2017","FY 2017","Currency=INR","Period=FY","BEST_FPERIOD_OVERRIDE=FY","FILING_STATUS=OR","EQY_CONSOLIDATED=Y","FA_ADJUSTED=GAAP","Sort=A","Dates=H","DateFormat=P","Fill=—","Direction=H","UseDPDF=Y")</f>
        <v>#NAME?</v>
      </c>
      <c r="R393" t="e">
        <f ca="1">_xll.BDH($C$378,"DVD_PAYOUT_RATIO","FY 2017","FY 2017","Currency=INR","Period=FY","BEST_FPERIOD_OVERRIDE=FY","FILING_STATUS=OR","EQY_CONSOLIDATED=Y","FA_ADJUSTED=GAAP","Sort=A","Dates=H","DateFormat=P","Fill=—","Direction=H","UseDPDF=Y")</f>
        <v>#NAME?</v>
      </c>
      <c r="S393" t="e">
        <f ca="1">_xll.BDH($C$378,"SUSTAIN_GROWTH_RT","FY 2017","FY 2017","Currency=INR","Period=FY","BEST_FPERIOD_OVERRIDE=FY","FILING_STATUS=OR","EQY_CONSOLIDATED=Y","FA_ADJUSTED=GAAP","Sort=A","Dates=H","DateFormat=P","Fill=—","Direction=H","UseDPDF=Y")</f>
        <v>#NAME?</v>
      </c>
      <c r="T393" s="2" t="e">
        <f ca="1">_xll.BDH($C$378,"SALES_GROWTH","FY 2017","FY 2017","Currency=INR","Period=FY","BEST_FPERIOD_OVERRIDE=FY","FILING_STATUS=OR","EQY_CONSOLIDATED=Y","FA_ADJUSTED=GAAP","Sort=A","Dates=H","DateFormat=P","Fill=—","Direction=H","UseDPDF=Y")</f>
        <v>#NAME?</v>
      </c>
      <c r="U393" s="2" t="e">
        <f ca="1">_xll.BDH($C$378,"EBITDA_GROWTH","FY 2017","FY 2017","Currency=INR","Period=FY","BEST_FPERIOD_OVERRIDE=FY","FILING_STATUS=OR","EQY_CONSOLIDATED=Y","FA_ADJUSTED=GAAP","Sort=A","Dates=H","DateFormat=P","Fill=—","Direction=H","UseDPDF=Y")</f>
        <v>#NAME?</v>
      </c>
      <c r="V393" s="2" t="e">
        <f ca="1">_xll.BDH($C$378,"OPER_INC_GROWTH","FY 2017","FY 2017","Currency=INR","Period=FY","BEST_FPERIOD_OVERRIDE=FY","FILING_STATUS=OR","EQY_CONSOLIDATED=Y","FA_ADJUSTED=GAAP","Sort=A","Dates=H","DateFormat=P","Fill=—","Direction=H","UseDPDF=Y")</f>
        <v>#NAME?</v>
      </c>
      <c r="W393" s="2" t="e">
        <f ca="1">_xll.BDH($C$378,"EARN_FOR_COM_GROWTH","FY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393" s="2" t="e">
        <f ca="1">_xll.BDH($C$378,"DILUTED_EPS_AFT_XO_ITEMS_GROWTH","FY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393" s="2" t="e">
        <f ca="1">_xll.BDH($C$378,"DIVIDEND_PER_SHARE_1_YEAR_GROWTH","FY 2017","FY 2017","Currency=INR","Period=FY","BEST_FPERIOD_OVERRIDE=FY","FILING_STATUS=OR","EQY_CONSOLIDATED=Y","Sort=A","Dates=H","DateFormat=P","Fill=—","Direction=H","UseDPDF=Y")</f>
        <v>#NAME?</v>
      </c>
      <c r="Z393" s="2" t="e">
        <f ca="1">_xll.BDH($C$378,"ACCOUNTS_RECEIVABLE_GROWTH","FY 2017","FY 2017","Currency=INR","Period=FY","BEST_FPERIOD_OVERRIDE=FY","FILING_STATUS=OR","EQY_CONSOLIDATED=Y","Sort=A","Dates=H","DateFormat=P","Fill=—","Direction=H","UseDPDF=Y")</f>
        <v>#NAME?</v>
      </c>
      <c r="AA393" s="2" t="e">
        <f ca="1">_xll.BDH($C$378,"INVENTORY_GROWTH","FY 2017","FY 2017","Currency=INR","Period=FY","BEST_FPERIOD_OVERRIDE=FY","FILING_STATUS=OR","EQY_CONSOLIDATED=Y","Sort=A","Dates=H","DateFormat=P","Fill=—","Direction=H","UseDPDF=Y")</f>
        <v>#NAME?</v>
      </c>
      <c r="AB393" s="2" t="e">
        <f ca="1">_xll.BDH($C$378,"NET_FIXED_ASSETS_1_YEAR_GROWTH","FY 2017","FY 2017","Currency=INR","Period=FY","BEST_FPERIOD_OVERRIDE=FY","FILING_STATUS=OR","EQY_CONSOLIDATED=Y","Sort=A","Dates=H","DateFormat=P","Fill=—","Direction=H","UseDPDF=Y")</f>
        <v>#NAME?</v>
      </c>
      <c r="AC393" s="2" t="e">
        <f ca="1">_xll.BDH($C$378,"ASSET_GROWTH","FY 2017","FY 2017","Currency=INR","Period=FY","BEST_FPERIOD_OVERRIDE=FY","FILING_STATUS=OR","EQY_CONSOLIDATED=Y","Sort=A","Dates=H","DateFormat=P","Fill=—","Direction=H","UseDPDF=Y")</f>
        <v>#NAME?</v>
      </c>
      <c r="AD393" s="2" t="e">
        <f ca="1">_xll.BDH($C$378,"MODIFIED_WORK_CAP_GROWTH","FY 2017","FY 2017","Currency=INR","Period=FY","BEST_FPERIOD_OVERRIDE=FY","FILING_STATUS=OR","EQY_CONSOLIDATED=Y","Sort=A","Dates=H","DateFormat=P","Fill=—","Direction=H","UseDPDF=Y")</f>
        <v>#NAME?</v>
      </c>
      <c r="AE393" s="2" t="e">
        <f ca="1">_xll.BDH($C$378,"WORK_CAP_GROWTH","FY 2017","FY 2017","Currency=INR","Period=FY","BEST_FPERIOD_OVERRIDE=FY","FILING_STATUS=OR","EQY_CONSOLIDATED=Y","Sort=A","Dates=H","DateFormat=P","Fill=—","Direction=H","UseDPDF=Y")</f>
        <v>#NAME?</v>
      </c>
      <c r="AF393" s="2" t="e">
        <f ca="1">_xll.BDH($C$378,"ACCOUNTS_PAYABLE_GROWTH_1YR","FY 2017","FY 2017","Currency=INR","Period=FY","BEST_FPERIOD_OVERRIDE=FY","FILING_STATUS=OR","EQY_CONSOLIDATED=Y","Sort=A","Dates=H","DateFormat=P","Fill=—","Direction=H","UseDPDF=Y")</f>
        <v>#NAME?</v>
      </c>
      <c r="AG393" s="2" t="e">
        <f ca="1">_xll.BDH($C$378,"SHORT_TERM_DEBT_1_YEAR_GROWTH","FY 2017","FY 2017","Currency=INR","Period=FY","BEST_FPERIOD_OVERRIDE=FY","FILING_STATUS=OR","EQY_CONSOLIDATED=Y","Sort=A","Dates=H","DateFormat=P","Fill=—","Direction=H","UseDPDF=Y")</f>
        <v>#NAME?</v>
      </c>
      <c r="AH393" s="2" t="e">
        <f ca="1">_xll.BDH($C$378,"TOTAL_DEBT_1_YEAR_GROWTH","FY 2017","FY 2017","Currency=INR","Period=FY","BEST_FPERIOD_OVERRIDE=FY","FILING_STATUS=OR","EQY_CONSOLIDATED=Y","Sort=A","Dates=H","DateFormat=P","Fill=—","Direction=H","UseDPDF=Y")</f>
        <v>#NAME?</v>
      </c>
      <c r="AI393" s="2" t="e">
        <f ca="1">_xll.BDH($C$378,"TOTAL_EQUITY_1_YEAR_GROWTH","FY 2017","FY 2017","Currency=INR","Period=FY","BEST_FPERIOD_OVERRIDE=FY","FILING_STATUS=OR","EQY_CONSOLIDATED=Y","Sort=A","Dates=H","DateFormat=P","Fill=—","Direction=H","UseDPDF=Y")</f>
        <v>#NAME?</v>
      </c>
      <c r="AJ393" s="2" t="e">
        <f ca="1">_xll.BDH($C$378,"GROWTH_IN_CAP","FY 2017","FY 2017","Currency=INR","Period=FY","BEST_FPERIOD_OVERRIDE=FY","FILING_STATUS=OR","EQY_CONSOLIDATED=Y","Sort=A","Dates=H","DateFormat=P","Fill=—","Direction=H","UseDPDF=Y")</f>
        <v>#NAME?</v>
      </c>
      <c r="AK393" s="2" t="e">
        <f ca="1">_xll.BDH($C$378,"BVPS_GROWTH","FY 2017","FY 2017","Currency=INR","Period=FY","BEST_FPERIOD_OVERRIDE=FY","FILING_STATUS=OR","EQY_CONSOLIDATED=Y","Sort=A","Dates=H","DateFormat=P","Fill=—","Direction=H","UseDPDF=Y")</f>
        <v>#NAME?</v>
      </c>
      <c r="AL393" s="2" t="e">
        <f ca="1">_xll.BDH($C$378,"CASH_FLOW_GROWTH","FY 2017","FY 2017","Currency=INR","Period=FY","BEST_FPERIOD_OVERRIDE=FY","FILING_STATUS=OR","EQY_CONSOLIDATED=Y","Sort=A","Dates=H","DateFormat=P","Fill=—","Direction=H","UseDPDF=Y")</f>
        <v>#NAME?</v>
      </c>
      <c r="AM393" s="2" t="e">
        <f ca="1">_xll.BDH($C$378,"GEO_GROW_NET_SALES","FY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393" s="2" t="e">
        <f ca="1">_xll.BDH($C$378,"GEO_GROW_EBITDA","FY 2017","FY 2017","Currency=INR","Period=FY","BEST_FPERIOD_OVERRIDE=FY","FILING_STATUS=OR","EQY_CONSOLIDATED=Y","FA_ADJUSTED=GAAP","Sort=A","Dates=H","DateFormat=P","Fill=—","Direction=H","UseDPDF=Y")</f>
        <v>#NAME?</v>
      </c>
      <c r="AO393" s="2" t="e">
        <f ca="1">_xll.BDH($C$378,"GEO_GROW_OPER_INC","FY 2017","FY 2017","Currency=INR","Period=FY","BEST_FPERIOD_OVERRIDE=FY","FILING_STATUS=OR","EQY_CONSOLIDATED=Y","FA_ADJUSTED=GAAP","Sort=A","Dates=H","DateFormat=P","Fill=—","Direction=H","UseDPDF=Y")</f>
        <v>#NAME?</v>
      </c>
      <c r="AP393" s="2" t="e">
        <f ca="1">_xll.BDH($C$378,"NET_INCOME_TO_COMMON_5_YR_GROWTH","FY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393" s="2" t="e">
        <f ca="1">_xll.BDH($C$378,"5Y_GEO_GROWTH_DILUTED_EPS","FY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393" s="2" t="e">
        <f ca="1">_xll.BDH($C$378,"GEO_GROW_DVD_PER_SH","FY 2017","FY 2017","Currency=INR","Period=FY","BEST_FPERIOD_OVERRIDE=FY","FILING_STATUS=OR","EQY_CONSOLIDATED=Y","Sort=A","Dates=H","DateFormat=P","Fill=—","Direction=H","UseDPDF=Y")</f>
        <v>#NAME?</v>
      </c>
      <c r="AS393" s="2" t="e">
        <f ca="1">_xll.BDH($C$378,"ACCOUNTS_RECEIVABLE_5_YR_GROWTH","FY 2017","FY 2017","Currency=INR","Period=FY","BEST_FPERIOD_OVERRIDE=FY","FILING_STATUS=OR","EQY_CONSOLIDATED=Y","Sort=A","Dates=H","DateFormat=P","Fill=—","Direction=H","UseDPDF=Y")</f>
        <v>#NAME?</v>
      </c>
      <c r="AT393" s="2" t="e">
        <f ca="1">_xll.BDH($C$378,"INVENTORY_5_YEAR_GROWTH","FY 2017","FY 2017","Currency=INR","Period=FY","BEST_FPERIOD_OVERRIDE=FY","FILING_STATUS=OR","EQY_CONSOLIDATED=Y","Sort=A","Dates=H","DateFormat=P","Fill=—","Direction=H","UseDPDF=Y")</f>
        <v>#NAME?</v>
      </c>
      <c r="AU393" s="2" t="e">
        <f ca="1">_xll.BDH($C$378,"NET_FIXED_ASSETS_5_YEAR_GROWTH","FY 2017","FY 2017","Currency=INR","Period=FY","BEST_FPERIOD_OVERRIDE=FY","FILING_STATUS=OR","EQY_CONSOLIDATED=Y","Sort=A","Dates=H","DateFormat=P","Fill=—","Direction=H","UseDPDF=Y")</f>
        <v>#NAME?</v>
      </c>
      <c r="AV393" s="2" t="e">
        <f ca="1">_xll.BDH($C$378,"GEO_GROW_TOT_ASSET","FY 2017","FY 2017","Currency=INR","Period=FY","BEST_FPERIOD_OVERRIDE=FY","FILING_STATUS=OR","EQY_CONSOLIDATED=Y","Sort=A","Dates=H","DateFormat=P","Fill=—","Direction=H","UseDPDF=Y")</f>
        <v>#NAME?</v>
      </c>
      <c r="AW393" s="2" t="e">
        <f ca="1">_xll.BDH($C$378,"MODIFIED_WORKING_CPTL_5YR_GRWTH","FY 2017","FY 2017","Currency=INR","Period=FY","BEST_FPERIOD_OVERRIDE=FY","FILING_STATUS=OR","EQY_CONSOLIDATED=Y","Sort=A","Dates=H","DateFormat=P","Fill=—","Direction=H","UseDPDF=Y")</f>
        <v>#NAME?</v>
      </c>
      <c r="AX393" s="2" t="e">
        <f ca="1">_xll.BDH($C$378,"WORKING_CAPITAL_5_YEAR_GROWTH","FY 2017","FY 2017","Currency=INR","Period=FY","BEST_FPERIOD_OVERRIDE=FY","FILING_STATUS=OR","EQY_CONSOLIDATED=Y","Sort=A","Dates=H","DateFormat=P","Fill=—","Direction=H","UseDPDF=Y")</f>
        <v>#NAME?</v>
      </c>
      <c r="AY393" s="2" t="e">
        <f ca="1">_xll.BDH($C$378,"ACCOUNTS_PAYABLE_5_YEAR_GROWTH","FY 2017","FY 2017","Currency=INR","Period=FY","BEST_FPERIOD_OVERRIDE=FY","FILING_STATUS=OR","EQY_CONSOLIDATED=Y","Sort=A","Dates=H","DateFormat=P","Fill=—","Direction=H","UseDPDF=Y")</f>
        <v>#NAME?</v>
      </c>
      <c r="AZ393" s="2" t="e">
        <f ca="1">_xll.BDH($C$378,"SHORT_TERM_DEBT_5_YEAR_GROWTH","FY 2017","FY 2017","Currency=INR","Period=FY","BEST_FPERIOD_OVERRIDE=FY","FILING_STATUS=OR","EQY_CONSOLIDATED=Y","Sort=A","Dates=H","DateFormat=P","Fill=—","Direction=H","UseDPDF=Y")</f>
        <v>#NAME?</v>
      </c>
      <c r="BA393" s="2" t="e">
        <f ca="1">_xll.BDH($C$378,"TOTAL_DEBT_5_YEAR_GROWTH","FY 2017","FY 2017","Currency=INR","Period=FY","BEST_FPERIOD_OVERRIDE=FY","FILING_STATUS=OR","EQY_CONSOLIDATED=Y","Sort=A","Dates=H","DateFormat=P","Fill=—","Direction=H","UseDPDF=Y")</f>
        <v>#NAME?</v>
      </c>
      <c r="BB393" s="2" t="e">
        <f ca="1">_xll.BDH($C$378,"GEO_GROW_TOT_SHRHLDR_EQY","FY 2017","FY 2017","Currency=INR","Period=FY","BEST_FPERIOD_OVERRIDE=FY","FILING_STATUS=OR","EQY_CONSOLIDATED=Y","Sort=A","Dates=H","DateFormat=P","Fill=—","Direction=H","UseDPDF=Y")</f>
        <v>#NAME?</v>
      </c>
      <c r="BC393" s="2" t="e">
        <f ca="1">_xll.BDH($C$378,"TOTAL_CAPITAL_5_YEAR_GROWTH","FY 2017","FY 2017","Currency=INR","Period=FY","BEST_FPERIOD_OVERRIDE=FY","FILING_STATUS=OR","EQY_CONSOLIDATED=Y","Sort=A","Dates=H","DateFormat=P","Fill=—","Direction=H","UseDPDF=Y")</f>
        <v>#NAME?</v>
      </c>
      <c r="BD393" s="2" t="e">
        <f ca="1">_xll.BDH($C$378,"GEO_GROW_BOOK_VAL","FY 2017","FY 2017","Currency=INR","Period=FY","BEST_FPERIOD_OVERRIDE=FY","FILING_STATUS=OR","EQY_CONSOLIDATED=Y","Sort=A","Dates=H","DateFormat=P","Fill=—","Direction=H","UseDPDF=Y")</f>
        <v>#NAME?</v>
      </c>
      <c r="BE393" s="2" t="e">
        <f ca="1">_xll.BDH($C$378,"GEO_GROW_CASH_OPER_ACT","FY 2017","FY 2017","Currency=INR","Period=FY","BEST_FPERIOD_OVERRIDE=FY","FILING_STATUS=OR","EQY_CONSOLIDATED=Y","Sort=A","Dates=H","DateFormat=P","Fill=—","Direction=H","UseDPDF=Y")</f>
        <v>#NAME?</v>
      </c>
      <c r="BF393" s="2" t="e">
        <f ca="1">_xll.BDH($C$378,"REVENUE_SEQUENTIAL_GROWTH","FY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393" s="2" t="e">
        <f ca="1">_xll.BDH($C$378,"EBITDA_SEQUENTIAL_GROWTH","FY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393" s="2" t="e">
        <f ca="1">_xll.BDH($C$378,"OPERATING_INCOME_SEQ_GROWTH","FY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393" s="2" t="e">
        <f ca="1">_xll.BDH($C$378,"NET_INCOME_TO_COMMON_SEQ_GROWTH","FY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393" s="2" t="e">
        <f ca="1">_xll.BDH($C$378,"EPS_DILUTED_SEQUENTIAL_GROWTH","FY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393" s="2" t="e">
        <f ca="1">_xll.BDH($C$378,"DPS_SEQUENTIAL_GROWTH","FY 2017","FY 2017","Currency=INR","Period=FY","BEST_FPERIOD_OVERRIDE=FY","FILING_STATUS=OR","EQY_CONSOLIDATED=Y","Sort=A","Dates=H","DateFormat=P","Fill=—","Direction=H","UseDPDF=Y")</f>
        <v>#NAME?</v>
      </c>
      <c r="BL393" s="2" t="e">
        <f ca="1">_xll.BDH($C$378,"ACCOUNTS_RECEIVABLE_SEQ_GROWTH","FY 2017","FY 2017","Currency=INR","Period=FY","BEST_FPERIOD_OVERRIDE=FY","FILING_STATUS=OR","EQY_CONSOLIDATED=Y","Sort=A","Dates=H","DateFormat=P","Fill=—","Direction=H","UseDPDF=Y")</f>
        <v>#NAME?</v>
      </c>
      <c r="BM393" s="2" t="e">
        <f ca="1">_xll.BDH($C$378,"INVENTORY_SEQUENTIAL_GROWTH","FY 2017","FY 2017","Currency=INR","Period=FY","BEST_FPERIOD_OVERRIDE=FY","FILING_STATUS=OR","EQY_CONSOLIDATED=Y","Sort=A","Dates=H","DateFormat=P","Fill=—","Direction=H","UseDPDF=Y")</f>
        <v>#NAME?</v>
      </c>
      <c r="BN393" s="2" t="e">
        <f ca="1">_xll.BDH($C$378,"FIXED_ASSETS_SEQUENTIAL_GROWTH","FY 2017","FY 2017","Currency=INR","Period=FY","BEST_FPERIOD_OVERRIDE=FY","FILING_STATUS=OR","EQY_CONSOLIDATED=Y","Sort=A","Dates=H","DateFormat=P","Fill=—","Direction=H","UseDPDF=Y")</f>
        <v>#NAME?</v>
      </c>
      <c r="BO393" s="2" t="e">
        <f ca="1">_xll.BDH($C$378,"TOTAL_ASSETS_SEQUENTIAL_GROWTH","FY 2017","FY 2017","Currency=INR","Period=FY","BEST_FPERIOD_OVERRIDE=FY","FILING_STATUS=OR","EQY_CONSOLIDATED=Y","Sort=A","Dates=H","DateFormat=P","Fill=—","Direction=H","UseDPDF=Y")</f>
        <v>#NAME?</v>
      </c>
      <c r="BP393" s="2" t="e">
        <f ca="1">_xll.BDH($C$378,"MODIFIED_WORKING_CPTL_SEQ_GRWTH","FY 2017","FY 2017","Currency=INR","Period=FY","BEST_FPERIOD_OVERRIDE=FY","FILING_STATUS=OR","EQY_CONSOLIDATED=Y","Sort=A","Dates=H","DateFormat=P","Fill=—","Direction=H","UseDPDF=Y")</f>
        <v>#NAME?</v>
      </c>
      <c r="BQ393" s="2" t="e">
        <f ca="1">_xll.BDH($C$378,"WORKING_CAPITAL_SEQ_GROWTH","FY 2017","FY 2017","Currency=INR","Period=FY","BEST_FPERIOD_OVERRIDE=FY","FILING_STATUS=OR","EQY_CONSOLIDATED=Y","Sort=A","Dates=H","DateFormat=P","Fill=—","Direction=H","UseDPDF=Y")</f>
        <v>#NAME?</v>
      </c>
      <c r="BR393" s="2" t="e">
        <f ca="1">_xll.BDH($C$378,"ACCOUNTS_PAYABLE_SEQ_GROWTH","FY 2017","FY 2017","Currency=INR","Period=FY","BEST_FPERIOD_OVERRIDE=FY","FILING_STATUS=OR","EQY_CONSOLIDATED=Y","Sort=A","Dates=H","DateFormat=P","Fill=—","Direction=H","UseDPDF=Y")</f>
        <v>#NAME?</v>
      </c>
      <c r="BS393" s="2" t="e">
        <f ca="1">_xll.BDH($C$378,"ST_DEBT_SEQUENTIAL_GROWTH","FY 2017","FY 2017","Currency=INR","Period=FY","BEST_FPERIOD_OVERRIDE=FY","FILING_STATUS=OR","EQY_CONSOLIDATED=Y","Sort=A","Dates=H","DateFormat=P","Fill=—","Direction=H","UseDPDF=Y")</f>
        <v>#NAME?</v>
      </c>
      <c r="BT393" s="2" t="e">
        <f ca="1">_xll.BDH($C$378,"TOTAL_DEBT_SEQUENTIAL_GROWTH","FY 2017","FY 2017","Currency=INR","Period=FY","BEST_FPERIOD_OVERRIDE=FY","FILING_STATUS=OR","EQY_CONSOLIDATED=Y","Sort=A","Dates=H","DateFormat=P","Fill=—","Direction=H","UseDPDF=Y")</f>
        <v>#NAME?</v>
      </c>
      <c r="BU393" s="2" t="e">
        <f ca="1">_xll.BDH($C$378,"TOTAL_EQUITY_SEQUENTIAL_GROWTH","FY 2017","FY 2017","Currency=INR","Period=FY","BEST_FPERIOD_OVERRIDE=FY","FILING_STATUS=OR","EQY_CONSOLIDATED=Y","Sort=A","Dates=H","DateFormat=P","Fill=—","Direction=H","UseDPDF=Y")</f>
        <v>#NAME?</v>
      </c>
      <c r="BV393" s="2" t="e">
        <f ca="1">_xll.BDH($C$378,"TOTAL_CAPITAL_SEQUENTIAL_GROWTH","FY 2017","FY 2017","Currency=INR","Period=FY","BEST_FPERIOD_OVERRIDE=FY","FILING_STATUS=OR","EQY_CONSOLIDATED=Y","Sort=A","Dates=H","DateFormat=P","Fill=—","Direction=H","UseDPDF=Y")</f>
        <v>#NAME?</v>
      </c>
      <c r="BW393" s="2" t="e">
        <f ca="1">_xll.BDH($C$378,"BPS_SEQUENTIAL_GROWTH","FY 2017","FY 2017","Currency=INR","Period=FY","BEST_FPERIOD_OVERRIDE=FY","FILING_STATUS=OR","EQY_CONSOLIDATED=Y","Sort=A","Dates=H","DateFormat=P","Fill=—","Direction=H","UseDPDF=Y")</f>
        <v>#NAME?</v>
      </c>
      <c r="BX393" s="2" t="e">
        <f ca="1">_xll.BDH($C$378,"CFO_SEQUENTIAL_GROWTH","FY 2017","FY 2017","Currency=INR","Period=FY","BEST_FPERIOD_OVERRIDE=FY","FILING_STATUS=OR","EQY_CONSOLIDATED=Y","Sort=A","Dates=H","DateFormat=P","Fill=—","Direction=H","UseDPDF=Y")</f>
        <v>#NAME?</v>
      </c>
      <c r="BY393" s="3" t="e">
        <f ca="1">_xll.BDH($C$378,"SHORT_AND_LONG_TERM_DEBT","FY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393" s="3" t="e">
        <f ca="1">_xll.BDH($C$378,"BS_ST_BORROW","FY 2017","FY 2017","Currency=INR","Period=FY","BEST_FPERIOD_OVERRIDE=FY","FILING_STATUS=OR","EQY_CONSOLIDATED=Y","SCALING_FORMAT=MLN","Sort=A","Dates=H","DateFormat=P","Fill=—","Direction=H","UseDPDF=Y")</f>
        <v>#NAME?</v>
      </c>
      <c r="CA393" s="3" t="e">
        <f ca="1">_xll.BDH($C$378,"BS_LT_BORROW","FY 2017","FY 2017","Currency=INR","Period=FY","BEST_FPERIOD_OVERRIDE=FY","FILING_STATUS=OR","EQY_CONSOLIDATED=Y","SCALING_FORMAT=MLN","Sort=A","Dates=H","DateFormat=P","Fill=—","Direction=H","UseDPDF=Y")</f>
        <v>#NAME?</v>
      </c>
      <c r="CB393" s="2" t="e">
        <f ca="1">_xll.BDH($C$378,"TOT_DEBT_TO_EBITDA","FY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393" s="2" t="e">
        <f ca="1">_xll.BDH($C$378,"NET_DEBT_TO_EBITDA","FY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393" s="2" t="e">
        <f ca="1">_xll.BDH($C$378,"TOTAL_DEBT_TO_EBIT","FY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393" s="2" t="e">
        <f ca="1">_xll.BDH($C$378,"NET_DEBT_TO_EBIT","FY 2017","FY 2017","Currency=INR","Period=FY","BEST_FPERIOD_OVERRIDE=FY","FILING_STATUS=OR","EQY_CONSOLIDATED=Y","FA_ADJUSTED=GAAP","Sort=A","Dates=H","DateFormat=P","Fill=—","Direction=H","UseDPDF=Y")</f>
        <v>#NAME?</v>
      </c>
      <c r="CF393" s="2" t="e">
        <f ca="1">_xll.BDH($C$378,"EBITDA_TO_INTEREST_EXPN","FY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393" s="2" t="e">
        <f ca="1">_xll.BDH($C$378,"COM_EQY_TO_TOT_ASSET","FY 2017","FY 2017","Currency=INR","Period=FY","BEST_FPERIOD_OVERRIDE=FY","FILING_STATUS=OR","EQY_CONSOLIDATED=Y","Sort=A","Dates=H","DateFormat=P","Fill=—","Direction=H","UseDPDF=Y")</f>
        <v>#NAME?</v>
      </c>
      <c r="CH393" s="2" t="e">
        <f ca="1">_xll.BDH($C$378,"LT_DEBT_TO_TOT_EQY","FY 2017","FY 2017","Currency=INR","Period=FY","BEST_FPERIOD_OVERRIDE=FY","FILING_STATUS=OR","EQY_CONSOLIDATED=Y","Sort=A","Dates=H","DateFormat=P","Fill=—","Direction=H","UseDPDF=Y")</f>
        <v>#NAME?</v>
      </c>
      <c r="CI393" s="2" t="e">
        <f ca="1">_xll.BDH($C$378,"LT_DEBT_TO_TOT_CAP","FY 2017","FY 2017","Currency=INR","Period=FY","BEST_FPERIOD_OVERRIDE=FY","FILING_STATUS=OR","EQY_CONSOLIDATED=Y","Sort=A","Dates=H","DateFormat=P","Fill=—","Direction=H","UseDPDF=Y")</f>
        <v>#NAME?</v>
      </c>
      <c r="CJ393" s="2" t="e">
        <f ca="1">_xll.BDH($C$378,"LT_DEBT_TO_TOT_ASSET","FY 2017","FY 2017","Currency=INR","Period=FY","BEST_FPERIOD_OVERRIDE=FY","FILING_STATUS=OR","EQY_CONSOLIDATED=Y","Sort=A","Dates=H","DateFormat=P","Fill=—","Direction=H","UseDPDF=Y")</f>
        <v>#NAME?</v>
      </c>
      <c r="CK393" s="2" t="e">
        <f ca="1">_xll.BDH($C$378,"TOT_DEBT_TO_TOT_EQY","FY 2017","FY 2017","Currency=INR","Period=FY","BEST_FPERIOD_OVERRIDE=FY","FILING_STATUS=OR","EQY_CONSOLIDATED=Y","Sort=A","Dates=H","DateFormat=P","Fill=—","Direction=H","UseDPDF=Y")</f>
        <v>#NAME?</v>
      </c>
      <c r="CL393" s="2" t="e">
        <f ca="1">_xll.BDH($C$378,"TOT_DEBT_TO_TOT_CAP","FY 2017","FY 2017","Currency=INR","Period=FY","BEST_FPERIOD_OVERRIDE=FY","FILING_STATUS=OR","EQY_CONSOLIDATED=Y","Sort=A","Dates=H","DateFormat=P","Fill=—","Direction=H","UseDPDF=Y")</f>
        <v>#NAME?</v>
      </c>
      <c r="CM393" s="2" t="e">
        <f ca="1">_xll.BDH($C$378,"TOT_DEBT_TO_TOT_ASSET","FY 2017","FY 2017","Currency=INR","Period=FY","BEST_FPERIOD_OVERRIDE=FY","FILING_STATUS=OR","EQY_CONSOLIDATED=Y","Sort=A","Dates=H","DateFormat=P","Fill=—","Direction=H","UseDPDF=Y")</f>
        <v>#NAME?</v>
      </c>
      <c r="CN393" s="2" t="e">
        <f ca="1">_xll.BDH($C$378,"NET_DEBT_TO_SHRHLDR_EQTY","FY 2017","FY 2017","Currency=INR","Period=FY","BEST_FPERIOD_OVERRIDE=FY","FILING_STATUS=OR","EQY_CONSOLIDATED=Y","Sort=A","Dates=H","DateFormat=P","Fill=—","Direction=H","UseDPDF=Y")</f>
        <v>#NAME?</v>
      </c>
      <c r="CO393" s="2" t="e">
        <f ca="1">_xll.BDH($C$378,"NET_DEBT_%_CAPITAL","FY 2017","FY 2017","Currency=INR","Period=FY","BEST_FPERIOD_OVERRIDE=FY","FILING_STATUS=OR","EQY_CONSOLIDATED=Y","Sort=A","Dates=H","DateFormat=P","Fill=—","Direction=H","UseDPDF=Y")</f>
        <v>#NAME?</v>
      </c>
      <c r="CP393" s="3" t="e">
        <f ca="1">_xll.BDH($C$378,"EBITDA","FY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393" s="3" t="e">
        <f ca="1">_xll.BDH($C$378,"EBITDA_AFTER_CAPEX","FY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393" s="3" t="e">
        <f ca="1">_xll.BDH($C$378,"IS_OPER_INC","FY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393" s="2" t="e">
        <f ca="1">_xll.BDH($C$378,"CASH_RATIO","FY 2017","FY 2017","Currency=INR","Period=FY","BEST_FPERIOD_OVERRIDE=FY","FILING_STATUS=OR","EQY_CONSOLIDATED=Y","Sort=A","Dates=H","DateFormat=P","Fill=—","Direction=H","UseDPDF=Y")</f>
        <v>#NAME?</v>
      </c>
      <c r="CT393" s="2" t="e">
        <f ca="1">_xll.BDH($C$378,"CUR_RATIO","FY 2017","FY 2017","Currency=INR","Period=FY","BEST_FPERIOD_OVERRIDE=FY","FILING_STATUS=OR","EQY_CONSOLIDATED=Y","Sort=A","Dates=H","DateFormat=P","Fill=—","Direction=H","UseDPDF=Y")</f>
        <v>#NAME?</v>
      </c>
      <c r="CU393" s="2" t="e">
        <f ca="1">_xll.BDH($C$378,"QUICK_RATIO","FY 2017","FY 2017","Currency=INR","Period=FY","BEST_FPERIOD_OVERRIDE=FY","FILING_STATUS=OR","EQY_CONSOLIDATED=Y","Sort=A","Dates=H","DateFormat=P","Fill=—","Direction=H","UseDPDF=Y")</f>
        <v>#NAME?</v>
      </c>
      <c r="CV393" s="2" t="e">
        <f ca="1">_xll.BDH($C$378,"ALTMAN_Z_SCORE","FY 2017","FY 2017","Currency=INR","Period=FY","BEST_FPERIOD_OVERRIDE=FY","FILING_STATUS=OR","EQY_CONSOLIDATED=Y","Sort=A","Dates=H","DateFormat=P","Fill=—","Direction=H","UseDPDF=Y")</f>
        <v>#NAME?</v>
      </c>
      <c r="CW393" s="4" t="e">
        <f ca="1">_xll.BDH($C$378,"ACCT_RCV_TURN","FY 2017","FY 2017","Currency=INR","Period=FY","BEST_FPERIOD_OVERRIDE=FY","FILING_STATUS=OR","EQY_CONSOLIDATED=Y","FA_ADJUSTED=GAAP","Sort=A","Dates=H","DateFormat=P","Fill=—","Direction=H","UseDPDF=Y")</f>
        <v>#NAME?</v>
      </c>
      <c r="CX393" s="2" t="e">
        <f ca="1">_xll.BDH($C$378,"ACCT_RCV_DAYS","FY 2017","FY 2017","Currency=INR","Period=FY","BEST_FPERIOD_OVERRIDE=FY","FILING_STATUS=OR","EQY_CONSOLIDATED=Y","FA_ADJUSTED=GAAP","Sort=A","Dates=H","DateFormat=P","Fill=—","Direction=H","UseDPDF=Y")</f>
        <v>#NAME?</v>
      </c>
      <c r="CY393" s="4" t="e">
        <f ca="1">_xll.BDH($C$378,"INVENT_TURN","FY 2017","FY 2017","Currency=INR","Period=FY","BEST_FPERIOD_OVERRIDE=FY","FILING_STATUS=OR","EQY_CONSOLIDATED=Y","FA_ADJUSTED=GAAP","Sort=A","Dates=H","DateFormat=P","Fill=—","Direction=H","UseDPDF=Y")</f>
        <v>#NAME?</v>
      </c>
      <c r="CZ393" s="2" t="e">
        <f ca="1">_xll.BDH($C$378,"INVENT_DAYS","FY 2017","FY 2017","Currency=INR","Period=FY","BEST_FPERIOD_OVERRIDE=FY","FILING_STATUS=OR","EQY_CONSOLIDATED=Y","FA_ADJUSTED=GAAP","Sort=A","Dates=H","DateFormat=P","Fill=—","Direction=H","UseDPDF=Y")</f>
        <v>#NAME?</v>
      </c>
      <c r="DA393" s="4" t="e">
        <f ca="1">_xll.BDH($C$378,"ACCOUNTS_PAYABLE_TURNOVER","FY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393" s="2" t="e">
        <f ca="1">_xll.BDH($C$378,"ACCOUNTS_PAYABLE_TURNOVER_DAYS","FY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393" s="4" t="e">
        <f ca="1">_xll.BDH($C$378,"CASH_CONVERSION_CYCLE","FY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393" s="4" t="e">
        <f ca="1">_xll.BDH($C$378,"INV_TO_CASH_DAYS","FY 2017","FY 2017","Currency=INR","Period=FY","BEST_FPERIOD_OVERRIDE=FY","FILING_STATUS=OR","EQY_CONSOLIDATED=Y","FA_ADJUSTED=GAAP","Sort=A","Dates=H","DateFormat=P","Fill=—","Direction=H","UseDPDF=Y")</f>
        <v>#NAME?</v>
      </c>
      <c r="DE393" s="5" t="e">
        <f ca="1">_xll.BDH($C$378,"BS_INVENTORIES","FY 2017","FY 2017","Currency=INR","Period=FY","BEST_FPERIOD_OVERRIDE=FY","FILING_STATUS=OR","EQY_CONSOLIDATED=Y","SCALING_FORMAT=MLN","Sort=A","Dates=H","DateFormat=P","Fill=—","Direction=H","UseDPDF=Y")</f>
        <v>#NAME?</v>
      </c>
      <c r="DF393" s="3" t="e">
        <f ca="1">_xll.BDH($C$378,"INVTRY_RAW_MATERIALS","FY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393" s="3" t="e">
        <f ca="1">_xll.BDH($C$378,"INVTRY_IN_PROGRESS","FY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393" s="3" t="e">
        <f ca="1">_xll.BDH($C$378,"INVTRY_FINISHED_GOODS","FY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393" s="3" t="e">
        <f ca="1">_xll.BDH($C$378,"BS_OTHER_INV","FY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394" spans="1:113" x14ac:dyDescent="0.3">
      <c r="A394" s="6"/>
      <c r="B394" s="6"/>
      <c r="C394" s="6"/>
      <c r="D394" s="6"/>
      <c r="E394" t="s">
        <v>78</v>
      </c>
      <c r="F394" t="e">
        <f ca="1">_xll.BDH($C$378,"RETURN_COM_EQY","FQ1 2017","FQ1 2017","Currency=INR","Period=FQ","BEST_FPERIOD_OVERRIDE=FQ","FILING_STATUS=OR","EQY_CONSOLIDATED=Y","FA_ADJUSTED=GAAP","Sort=A","Dates=H","DateFormat=P","Fill=—","Direction=H","UseDPDF=Y")</f>
        <v>#NAME?</v>
      </c>
      <c r="G394" t="e">
        <f ca="1">_xll.BDH($C$378,"RETURN_ON_ASSET","FQ1 2017","FQ1 2017","Currency=INR","Period=FQ","BEST_FPERIOD_OVERRIDE=FQ","FILING_STATUS=OR","EQY_CONSOLIDATED=Y","FA_ADJUSTED=GAAP","Sort=A","Dates=H","DateFormat=P","Fill=—","Direction=H","UseDPDF=Y")</f>
        <v>#NAME?</v>
      </c>
      <c r="H394" t="e">
        <f ca="1">_xll.BDH($C$378,"RETURN_ON_CAP","FQ1 2017","FQ1 2017","Currency=INR","Period=FQ","BEST_FPERIOD_OVERRIDE=FQ","FILING_STATUS=OR","EQY_CONSOLIDATED=Y","FA_ADJUSTED=GAAP","Sort=A","Dates=H","DateFormat=P","Fill=—","Direction=H","UseDPDF=Y")</f>
        <v>#NAME?</v>
      </c>
      <c r="I394" t="e">
        <f ca="1">_xll.BDH($C$378,"RETURN_ON_INV_CAPITAL","FQ1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394" t="e">
        <f ca="1">_xll.BDH($C$378,"EBITDA_TO_REVENUE","FQ1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394" t="e">
        <f ca="1">_xll.BDH($C$378,"OPER_MARGIN","FQ1 2017","FQ1 2017","Currency=INR","Period=FQ","BEST_FPERIOD_OVERRIDE=FQ","FILING_STATUS=OR","EQY_CONSOLIDATED=Y","FA_ADJUSTED=GAAP","Sort=A","Dates=H","DateFormat=P","Fill=—","Direction=H","UseDPDF=Y")</f>
        <v>#NAME?</v>
      </c>
      <c r="L394" t="e">
        <f ca="1">_xll.BDH($C$378,"INCREMENTAL_OPERATING_MARGIN","FQ1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394" t="e">
        <f ca="1">_xll.BDH($C$378,"PRETAX_INC_TO_NET_SALES","FQ1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394" t="e">
        <f ca="1">_xll.BDH($C$378,"INC_BEF_XO_ITEMS_TO_NET_SALES","FQ1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394" t="e">
        <f ca="1">_xll.BDH($C$378,"PROF_MARGIN","FQ1 2017","FQ1 2017","Currency=INR","Period=FQ","BEST_FPERIOD_OVERRIDE=FQ","FILING_STATUS=OR","EQY_CONSOLIDATED=Y","FA_ADJUSTED=GAAP","Sort=A","Dates=H","DateFormat=P","Fill=—","Direction=H","UseDPDF=Y")</f>
        <v>#NAME?</v>
      </c>
      <c r="P394" t="e">
        <f ca="1">_xll.BDH($C$378,"NET_INCOME_TO_COMMON_MARGIN","FQ1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394" t="e">
        <f ca="1">_xll.BDH($C$378,"EFF_TAX_RATE","FQ1 2017","FQ1 2017","Currency=INR","Period=FQ","BEST_FPERIOD_OVERRIDE=FQ","FILING_STATUS=OR","EQY_CONSOLIDATED=Y","FA_ADJUSTED=GAAP","Sort=A","Dates=H","DateFormat=P","Fill=—","Direction=H","UseDPDF=Y")</f>
        <v>#NAME?</v>
      </c>
      <c r="R394" t="e">
        <f ca="1">_xll.BDH($C$378,"DVD_PAYOUT_RATIO","FQ1 2017","FQ1 2017","Currency=INR","Period=FQ","BEST_FPERIOD_OVERRIDE=FQ","FILING_STATUS=OR","EQY_CONSOLIDATED=Y","FA_ADJUSTED=GAAP","Sort=A","Dates=H","DateFormat=P","Fill=—","Direction=H","UseDPDF=Y")</f>
        <v>#NAME?</v>
      </c>
      <c r="S394" t="e">
        <f ca="1">_xll.BDH($C$378,"SUSTAIN_GROWTH_RT","FQ1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394" s="2" t="e">
        <f ca="1">_xll.BDH($C$378,"SALES_GROWTH","FQ1 2017","FQ1 2017","Currency=INR","Period=FQ","BEST_FPERIOD_OVERRIDE=FQ","FILING_STATUS=OR","EQY_CONSOLIDATED=Y","FA_ADJUSTED=GAAP","Sort=A","Dates=H","DateFormat=P","Fill=—","Direction=H","UseDPDF=Y")</f>
        <v>#NAME?</v>
      </c>
      <c r="U394" s="2" t="e">
        <f ca="1">_xll.BDH($C$378,"EBITDA_GROWTH","FQ1 2017","FQ1 2017","Currency=INR","Period=FQ","BEST_FPERIOD_OVERRIDE=FQ","FILING_STATUS=OR","EQY_CONSOLIDATED=Y","FA_ADJUSTED=GAAP","Sort=A","Dates=H","DateFormat=P","Fill=—","Direction=H","UseDPDF=Y")</f>
        <v>#NAME?</v>
      </c>
      <c r="V394" s="2" t="e">
        <f ca="1">_xll.BDH($C$378,"OPER_INC_GROWTH","FQ1 2017","FQ1 2017","Currency=INR","Period=FQ","BEST_FPERIOD_OVERRIDE=FQ","FILING_STATUS=OR","EQY_CONSOLIDATED=Y","FA_ADJUSTED=GAAP","Sort=A","Dates=H","DateFormat=P","Fill=—","Direction=H","UseDPDF=Y")</f>
        <v>#NAME?</v>
      </c>
      <c r="W394" s="2" t="e">
        <f ca="1">_xll.BDH($C$378,"EARN_FOR_COM_GROWTH","FQ1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394" s="2" t="e">
        <f ca="1">_xll.BDH($C$378,"DILUTED_EPS_AFT_XO_ITEMS_GROWTH","FQ1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394" s="2" t="e">
        <f ca="1">_xll.BDH($C$378,"DIVIDEND_PER_SHARE_1_YEAR_GROWTH","FQ1 2017","FQ1 2017","Currency=INR","Period=FQ","BEST_FPERIOD_OVERRIDE=FQ","FILING_STATUS=OR","EQY_CONSOLIDATED=Y","Sort=A","Dates=H","DateFormat=P","Fill=—","Direction=H","UseDPDF=Y")</f>
        <v>#NAME?</v>
      </c>
      <c r="Z394" s="2" t="e">
        <f ca="1">_xll.BDH($C$378,"ACCOUNTS_RECEIVABLE_GROWTH","FQ1 2017","FQ1 2017","Currency=INR","Period=FQ","BEST_FPERIOD_OVERRIDE=FQ","FILING_STATUS=OR","EQY_CONSOLIDATED=Y","Sort=A","Dates=H","DateFormat=P","Fill=—","Direction=H","UseDPDF=Y")</f>
        <v>#NAME?</v>
      </c>
      <c r="AA394" s="2" t="e">
        <f ca="1">_xll.BDH($C$378,"INVENTORY_GROWTH","FQ1 2017","FQ1 2017","Currency=INR","Period=FQ","BEST_FPERIOD_OVERRIDE=FQ","FILING_STATUS=OR","EQY_CONSOLIDATED=Y","Sort=A","Dates=H","DateFormat=P","Fill=—","Direction=H","UseDPDF=Y")</f>
        <v>#NAME?</v>
      </c>
      <c r="AB394" s="2" t="e">
        <f ca="1">_xll.BDH($C$378,"NET_FIXED_ASSETS_1_YEAR_GROWTH","FQ1 2017","FQ1 2017","Currency=INR","Period=FQ","BEST_FPERIOD_OVERRIDE=FQ","FILING_STATUS=OR","EQY_CONSOLIDATED=Y","Sort=A","Dates=H","DateFormat=P","Fill=—","Direction=H","UseDPDF=Y")</f>
        <v>#NAME?</v>
      </c>
      <c r="AC394" s="2" t="e">
        <f ca="1">_xll.BDH($C$378,"ASSET_GROWTH","FQ1 2017","FQ1 2017","Currency=INR","Period=FQ","BEST_FPERIOD_OVERRIDE=FQ","FILING_STATUS=OR","EQY_CONSOLIDATED=Y","Sort=A","Dates=H","DateFormat=P","Fill=—","Direction=H","UseDPDF=Y")</f>
        <v>#NAME?</v>
      </c>
      <c r="AD394" s="2" t="e">
        <f ca="1">_xll.BDH($C$378,"MODIFIED_WORK_CAP_GROWTH","FQ1 2017","FQ1 2017","Currency=INR","Period=FQ","BEST_FPERIOD_OVERRIDE=FQ","FILING_STATUS=OR","EQY_CONSOLIDATED=Y","Sort=A","Dates=H","DateFormat=P","Fill=—","Direction=H","UseDPDF=Y")</f>
        <v>#NAME?</v>
      </c>
      <c r="AE394" s="2" t="e">
        <f ca="1">_xll.BDH($C$378,"WORK_CAP_GROWTH","FQ1 2017","FQ1 2017","Currency=INR","Period=FQ","BEST_FPERIOD_OVERRIDE=FQ","FILING_STATUS=OR","EQY_CONSOLIDATED=Y","Sort=A","Dates=H","DateFormat=P","Fill=—","Direction=H","UseDPDF=Y")</f>
        <v>#NAME?</v>
      </c>
      <c r="AF394" s="2" t="e">
        <f ca="1">_xll.BDH($C$378,"ACCOUNTS_PAYABLE_GROWTH_1YR","FQ1 2017","FQ1 2017","Currency=INR","Period=FQ","BEST_FPERIOD_OVERRIDE=FQ","FILING_STATUS=OR","EQY_CONSOLIDATED=Y","Sort=A","Dates=H","DateFormat=P","Fill=—","Direction=H","UseDPDF=Y")</f>
        <v>#NAME?</v>
      </c>
      <c r="AG394" s="2" t="e">
        <f ca="1">_xll.BDH($C$378,"SHORT_TERM_DEBT_1_YEAR_GROWTH","FQ1 2017","FQ1 2017","Currency=INR","Period=FQ","BEST_FPERIOD_OVERRIDE=FQ","FILING_STATUS=OR","EQY_CONSOLIDATED=Y","Sort=A","Dates=H","DateFormat=P","Fill=—","Direction=H","UseDPDF=Y")</f>
        <v>#NAME?</v>
      </c>
      <c r="AH394" s="2" t="e">
        <f ca="1">_xll.BDH($C$378,"TOTAL_DEBT_1_YEAR_GROWTH","FQ1 2017","FQ1 2017","Currency=INR","Period=FQ","BEST_FPERIOD_OVERRIDE=FQ","FILING_STATUS=OR","EQY_CONSOLIDATED=Y","Sort=A","Dates=H","DateFormat=P","Fill=—","Direction=H","UseDPDF=Y")</f>
        <v>#NAME?</v>
      </c>
      <c r="AI394" s="2" t="e">
        <f ca="1">_xll.BDH($C$378,"TOTAL_EQUITY_1_YEAR_GROWTH","FQ1 2017","FQ1 2017","Currency=INR","Period=FQ","BEST_FPERIOD_OVERRIDE=FQ","FILING_STATUS=OR","EQY_CONSOLIDATED=Y","Sort=A","Dates=H","DateFormat=P","Fill=—","Direction=H","UseDPDF=Y")</f>
        <v>#NAME?</v>
      </c>
      <c r="AJ394" s="2" t="e">
        <f ca="1">_xll.BDH($C$378,"GROWTH_IN_CAP","FQ1 2017","FQ1 2017","Currency=INR","Period=FQ","BEST_FPERIOD_OVERRIDE=FQ","FILING_STATUS=OR","EQY_CONSOLIDATED=Y","Sort=A","Dates=H","DateFormat=P","Fill=—","Direction=H","UseDPDF=Y")</f>
        <v>#NAME?</v>
      </c>
      <c r="AK394" s="2" t="e">
        <f ca="1">_xll.BDH($C$378,"BVPS_GROWTH","FQ1 2017","FQ1 2017","Currency=INR","Period=FQ","BEST_FPERIOD_OVERRIDE=FQ","FILING_STATUS=OR","EQY_CONSOLIDATED=Y","Sort=A","Dates=H","DateFormat=P","Fill=—","Direction=H","UseDPDF=Y")</f>
        <v>#NAME?</v>
      </c>
      <c r="AL394" s="2" t="e">
        <f ca="1">_xll.BDH($C$378,"CASH_FLOW_GROWTH","FQ1 2017","FQ1 2017","Currency=INR","Period=FQ","BEST_FPERIOD_OVERRIDE=FQ","FILING_STATUS=OR","EQY_CONSOLIDATED=Y","Sort=A","Dates=H","DateFormat=P","Fill=—","Direction=H","UseDPDF=Y")</f>
        <v>#NAME?</v>
      </c>
      <c r="AM394" s="2" t="e">
        <f ca="1">_xll.BDH($C$378,"GEO_GROW_NET_SALES","FQ1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394" s="2" t="e">
        <f ca="1">_xll.BDH($C$378,"GEO_GROW_EBITDA","FQ1 2017","FQ1 2017","Currency=INR","Period=FQ","BEST_FPERIOD_OVERRIDE=FQ","FILING_STATUS=OR","EQY_CONSOLIDATED=Y","FA_ADJUSTED=GAAP","Sort=A","Dates=H","DateFormat=P","Fill=—","Direction=H","UseDPDF=Y")</f>
        <v>#NAME?</v>
      </c>
      <c r="AO394" s="2" t="e">
        <f ca="1">_xll.BDH($C$378,"GEO_GROW_OPER_INC","FQ1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394" s="2" t="e">
        <f ca="1">_xll.BDH($C$378,"NET_INCOME_TO_COMMON_5_YR_GROWTH","FQ1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394" s="2" t="e">
        <f ca="1">_xll.BDH($C$378,"5Y_GEO_GROWTH_DILUTED_EPS","FQ1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394" s="2" t="e">
        <f ca="1">_xll.BDH($C$378,"GEO_GROW_DVD_PER_SH","FQ1 2017","FQ1 2017","Currency=INR","Period=FQ","BEST_FPERIOD_OVERRIDE=FQ","FILING_STATUS=OR","EQY_CONSOLIDATED=Y","Sort=A","Dates=H","DateFormat=P","Fill=—","Direction=H","UseDPDF=Y")</f>
        <v>#NAME?</v>
      </c>
      <c r="AS394" s="2" t="e">
        <f ca="1">_xll.BDH($C$378,"ACCOUNTS_RECEIVABLE_5_YR_GROWTH","FQ1 2017","FQ1 2017","Currency=INR","Period=FQ","BEST_FPERIOD_OVERRIDE=FQ","FILING_STATUS=OR","EQY_CONSOLIDATED=Y","Sort=A","Dates=H","DateFormat=P","Fill=—","Direction=H","UseDPDF=Y")</f>
        <v>#NAME?</v>
      </c>
      <c r="AT394" s="2" t="e">
        <f ca="1">_xll.BDH($C$378,"INVENTORY_5_YEAR_GROWTH","FQ1 2017","FQ1 2017","Currency=INR","Period=FQ","BEST_FPERIOD_OVERRIDE=FQ","FILING_STATUS=OR","EQY_CONSOLIDATED=Y","Sort=A","Dates=H","DateFormat=P","Fill=—","Direction=H","UseDPDF=Y")</f>
        <v>#NAME?</v>
      </c>
      <c r="AU394" s="2" t="e">
        <f ca="1">_xll.BDH($C$378,"NET_FIXED_ASSETS_5_YEAR_GROWTH","FQ1 2017","FQ1 2017","Currency=INR","Period=FQ","BEST_FPERIOD_OVERRIDE=FQ","FILING_STATUS=OR","EQY_CONSOLIDATED=Y","Sort=A","Dates=H","DateFormat=P","Fill=—","Direction=H","UseDPDF=Y")</f>
        <v>#NAME?</v>
      </c>
      <c r="AV394" s="2" t="e">
        <f ca="1">_xll.BDH($C$378,"GEO_GROW_TOT_ASSET","FQ1 2017","FQ1 2017","Currency=INR","Period=FQ","BEST_FPERIOD_OVERRIDE=FQ","FILING_STATUS=OR","EQY_CONSOLIDATED=Y","Sort=A","Dates=H","DateFormat=P","Fill=—","Direction=H","UseDPDF=Y")</f>
        <v>#NAME?</v>
      </c>
      <c r="AW394" s="2" t="e">
        <f ca="1">_xll.BDH($C$378,"MODIFIED_WORKING_CPTL_5YR_GRWTH","FQ1 2017","FQ1 2017","Currency=INR","Period=FQ","BEST_FPERIOD_OVERRIDE=FQ","FILING_STATUS=OR","EQY_CONSOLIDATED=Y","Sort=A","Dates=H","DateFormat=P","Fill=—","Direction=H","UseDPDF=Y")</f>
        <v>#NAME?</v>
      </c>
      <c r="AX394" s="2" t="e">
        <f ca="1">_xll.BDH($C$378,"WORKING_CAPITAL_5_YEAR_GROWTH","FQ1 2017","FQ1 2017","Currency=INR","Period=FQ","BEST_FPERIOD_OVERRIDE=FQ","FILING_STATUS=OR","EQY_CONSOLIDATED=Y","Sort=A","Dates=H","DateFormat=P","Fill=—","Direction=H","UseDPDF=Y")</f>
        <v>#NAME?</v>
      </c>
      <c r="AY394" s="2" t="e">
        <f ca="1">_xll.BDH($C$378,"ACCOUNTS_PAYABLE_5_YEAR_GROWTH","FQ1 2017","FQ1 2017","Currency=INR","Period=FQ","BEST_FPERIOD_OVERRIDE=FQ","FILING_STATUS=OR","EQY_CONSOLIDATED=Y","Sort=A","Dates=H","DateFormat=P","Fill=—","Direction=H","UseDPDF=Y")</f>
        <v>#NAME?</v>
      </c>
      <c r="AZ394" s="2" t="e">
        <f ca="1">_xll.BDH($C$378,"SHORT_TERM_DEBT_5_YEAR_GROWTH","FQ1 2017","FQ1 2017","Currency=INR","Period=FQ","BEST_FPERIOD_OVERRIDE=FQ","FILING_STATUS=OR","EQY_CONSOLIDATED=Y","Sort=A","Dates=H","DateFormat=P","Fill=—","Direction=H","UseDPDF=Y")</f>
        <v>#NAME?</v>
      </c>
      <c r="BA394" s="2" t="e">
        <f ca="1">_xll.BDH($C$378,"TOTAL_DEBT_5_YEAR_GROWTH","FQ1 2017","FQ1 2017","Currency=INR","Period=FQ","BEST_FPERIOD_OVERRIDE=FQ","FILING_STATUS=OR","EQY_CONSOLIDATED=Y","Sort=A","Dates=H","DateFormat=P","Fill=—","Direction=H","UseDPDF=Y")</f>
        <v>#NAME?</v>
      </c>
      <c r="BB394" s="2" t="e">
        <f ca="1">_xll.BDH($C$378,"GEO_GROW_TOT_SHRHLDR_EQY","FQ1 2017","FQ1 2017","Currency=INR","Period=FQ","BEST_FPERIOD_OVERRIDE=FQ","FILING_STATUS=OR","EQY_CONSOLIDATED=Y","Sort=A","Dates=H","DateFormat=P","Fill=—","Direction=H","UseDPDF=Y")</f>
        <v>#NAME?</v>
      </c>
      <c r="BC394" s="2" t="e">
        <f ca="1">_xll.BDH($C$378,"TOTAL_CAPITAL_5_YEAR_GROWTH","FQ1 2017","FQ1 2017","Currency=INR","Period=FQ","BEST_FPERIOD_OVERRIDE=FQ","FILING_STATUS=OR","EQY_CONSOLIDATED=Y","Sort=A","Dates=H","DateFormat=P","Fill=—","Direction=H","UseDPDF=Y")</f>
        <v>#NAME?</v>
      </c>
      <c r="BD394" s="2" t="e">
        <f ca="1">_xll.BDH($C$378,"GEO_GROW_BOOK_VAL","FQ1 2017","FQ1 2017","Currency=INR","Period=FQ","BEST_FPERIOD_OVERRIDE=FQ","FILING_STATUS=OR","EQY_CONSOLIDATED=Y","Sort=A","Dates=H","DateFormat=P","Fill=—","Direction=H","UseDPDF=Y")</f>
        <v>#NAME?</v>
      </c>
      <c r="BE394" s="2" t="e">
        <f ca="1">_xll.BDH($C$378,"GEO_GROW_CASH_OPER_ACT","FQ1 2017","FQ1 2017","Currency=INR","Period=FQ","BEST_FPERIOD_OVERRIDE=FQ","FILING_STATUS=OR","EQY_CONSOLIDATED=Y","Sort=A","Dates=H","DateFormat=P","Fill=—","Direction=H","UseDPDF=Y")</f>
        <v>#NAME?</v>
      </c>
      <c r="BF394" s="2" t="e">
        <f ca="1">_xll.BDH($C$378,"REVENUE_SEQUENTIAL_GROWTH","FQ1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394" s="2" t="e">
        <f ca="1">_xll.BDH($C$378,"EBITDA_SEQUENTIAL_GROWTH","FQ1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394" s="2" t="e">
        <f ca="1">_xll.BDH($C$378,"OPERATING_INCOME_SEQ_GROWTH","FQ1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394" s="2" t="e">
        <f ca="1">_xll.BDH($C$378,"NET_INCOME_TO_COMMON_SEQ_GROWTH","FQ1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394" s="2" t="e">
        <f ca="1">_xll.BDH($C$378,"EPS_DILUTED_SEQUENTIAL_GROWTH","FQ1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394" s="2" t="e">
        <f ca="1">_xll.BDH($C$378,"DPS_SEQUENTIAL_GROWTH","FQ1 2017","FQ1 2017","Currency=INR","Period=FQ","BEST_FPERIOD_OVERRIDE=FQ","FILING_STATUS=OR","EQY_CONSOLIDATED=Y","Sort=A","Dates=H","DateFormat=P","Fill=—","Direction=H","UseDPDF=Y")</f>
        <v>#NAME?</v>
      </c>
      <c r="BL394" s="2" t="e">
        <f ca="1">_xll.BDH($C$378,"ACCOUNTS_RECEIVABLE_SEQ_GROWTH","FQ1 2017","FQ1 2017","Currency=INR","Period=FQ","BEST_FPERIOD_OVERRIDE=FQ","FILING_STATUS=OR","EQY_CONSOLIDATED=Y","Sort=A","Dates=H","DateFormat=P","Fill=—","Direction=H","UseDPDF=Y")</f>
        <v>#NAME?</v>
      </c>
      <c r="BM394" s="2" t="e">
        <f ca="1">_xll.BDH($C$378,"INVENTORY_SEQUENTIAL_GROWTH","FQ1 2017","FQ1 2017","Currency=INR","Period=FQ","BEST_FPERIOD_OVERRIDE=FQ","FILING_STATUS=OR","EQY_CONSOLIDATED=Y","Sort=A","Dates=H","DateFormat=P","Fill=—","Direction=H","UseDPDF=Y")</f>
        <v>#NAME?</v>
      </c>
      <c r="BN394" s="2" t="e">
        <f ca="1">_xll.BDH($C$378,"FIXED_ASSETS_SEQUENTIAL_GROWTH","FQ1 2017","FQ1 2017","Currency=INR","Period=FQ","BEST_FPERIOD_OVERRIDE=FQ","FILING_STATUS=OR","EQY_CONSOLIDATED=Y","Sort=A","Dates=H","DateFormat=P","Fill=—","Direction=H","UseDPDF=Y")</f>
        <v>#NAME?</v>
      </c>
      <c r="BO394" s="2" t="e">
        <f ca="1">_xll.BDH($C$378,"TOTAL_ASSETS_SEQUENTIAL_GROWTH","FQ1 2017","FQ1 2017","Currency=INR","Period=FQ","BEST_FPERIOD_OVERRIDE=FQ","FILING_STATUS=OR","EQY_CONSOLIDATED=Y","Sort=A","Dates=H","DateFormat=P","Fill=—","Direction=H","UseDPDF=Y")</f>
        <v>#NAME?</v>
      </c>
      <c r="BP394" s="2" t="e">
        <f ca="1">_xll.BDH($C$378,"MODIFIED_WORKING_CPTL_SEQ_GRWTH","FQ1 2017","FQ1 2017","Currency=INR","Period=FQ","BEST_FPERIOD_OVERRIDE=FQ","FILING_STATUS=OR","EQY_CONSOLIDATED=Y","Sort=A","Dates=H","DateFormat=P","Fill=—","Direction=H","UseDPDF=Y")</f>
        <v>#NAME?</v>
      </c>
      <c r="BQ394" s="2" t="e">
        <f ca="1">_xll.BDH($C$378,"WORKING_CAPITAL_SEQ_GROWTH","FQ1 2017","FQ1 2017","Currency=INR","Period=FQ","BEST_FPERIOD_OVERRIDE=FQ","FILING_STATUS=OR","EQY_CONSOLIDATED=Y","Sort=A","Dates=H","DateFormat=P","Fill=—","Direction=H","UseDPDF=Y")</f>
        <v>#NAME?</v>
      </c>
      <c r="BR394" s="2" t="e">
        <f ca="1">_xll.BDH($C$378,"ACCOUNTS_PAYABLE_SEQ_GROWTH","FQ1 2017","FQ1 2017","Currency=INR","Period=FQ","BEST_FPERIOD_OVERRIDE=FQ","FILING_STATUS=OR","EQY_CONSOLIDATED=Y","Sort=A","Dates=H","DateFormat=P","Fill=—","Direction=H","UseDPDF=Y")</f>
        <v>#NAME?</v>
      </c>
      <c r="BS394" s="2" t="e">
        <f ca="1">_xll.BDH($C$378,"ST_DEBT_SEQUENTIAL_GROWTH","FQ1 2017","FQ1 2017","Currency=INR","Period=FQ","BEST_FPERIOD_OVERRIDE=FQ","FILING_STATUS=OR","EQY_CONSOLIDATED=Y","Sort=A","Dates=H","DateFormat=P","Fill=—","Direction=H","UseDPDF=Y")</f>
        <v>#NAME?</v>
      </c>
      <c r="BT394" s="2" t="e">
        <f ca="1">_xll.BDH($C$378,"TOTAL_DEBT_SEQUENTIAL_GROWTH","FQ1 2017","FQ1 2017","Currency=INR","Period=FQ","BEST_FPERIOD_OVERRIDE=FQ","FILING_STATUS=OR","EQY_CONSOLIDATED=Y","Sort=A","Dates=H","DateFormat=P","Fill=—","Direction=H","UseDPDF=Y")</f>
        <v>#NAME?</v>
      </c>
      <c r="BU394" s="2" t="e">
        <f ca="1">_xll.BDH($C$378,"TOTAL_EQUITY_SEQUENTIAL_GROWTH","FQ1 2017","FQ1 2017","Currency=INR","Period=FQ","BEST_FPERIOD_OVERRIDE=FQ","FILING_STATUS=OR","EQY_CONSOLIDATED=Y","Sort=A","Dates=H","DateFormat=P","Fill=—","Direction=H","UseDPDF=Y")</f>
        <v>#NAME?</v>
      </c>
      <c r="BV394" s="2" t="e">
        <f ca="1">_xll.BDH($C$378,"TOTAL_CAPITAL_SEQUENTIAL_GROWTH","FQ1 2017","FQ1 2017","Currency=INR","Period=FQ","BEST_FPERIOD_OVERRIDE=FQ","FILING_STATUS=OR","EQY_CONSOLIDATED=Y","Sort=A","Dates=H","DateFormat=P","Fill=—","Direction=H","UseDPDF=Y")</f>
        <v>#NAME?</v>
      </c>
      <c r="BW394" s="2" t="e">
        <f ca="1">_xll.BDH($C$378,"BPS_SEQUENTIAL_GROWTH","FQ1 2017","FQ1 2017","Currency=INR","Period=FQ","BEST_FPERIOD_OVERRIDE=FQ","FILING_STATUS=OR","EQY_CONSOLIDATED=Y","Sort=A","Dates=H","DateFormat=P","Fill=—","Direction=H","UseDPDF=Y")</f>
        <v>#NAME?</v>
      </c>
      <c r="BX394" s="2" t="e">
        <f ca="1">_xll.BDH($C$378,"CFO_SEQUENTIAL_GROWTH","FQ1 2017","FQ1 2017","Currency=INR","Period=FQ","BEST_FPERIOD_OVERRIDE=FQ","FILING_STATUS=OR","EQY_CONSOLIDATED=Y","Sort=A","Dates=H","DateFormat=P","Fill=—","Direction=H","UseDPDF=Y")</f>
        <v>#NAME?</v>
      </c>
      <c r="BY394" s="3" t="e">
        <f ca="1">_xll.BDH($C$378,"SHORT_AND_LONG_TERM_DEBT","FQ1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394" s="3" t="e">
        <f ca="1">_xll.BDH($C$378,"BS_ST_BORROW","FQ1 2017","FQ1 2017","Currency=INR","Period=FQ","BEST_FPERIOD_OVERRIDE=FQ","FILING_STATUS=OR","EQY_CONSOLIDATED=Y","SCALING_FORMAT=MLN","Sort=A","Dates=H","DateFormat=P","Fill=—","Direction=H","UseDPDF=Y")</f>
        <v>#NAME?</v>
      </c>
      <c r="CA394" s="3" t="e">
        <f ca="1">_xll.BDH($C$378,"BS_LT_BORROW","FQ1 2017","FQ1 2017","Currency=INR","Period=FQ","BEST_FPERIOD_OVERRIDE=FQ","FILING_STATUS=OR","EQY_CONSOLIDATED=Y","SCALING_FORMAT=MLN","Sort=A","Dates=H","DateFormat=P","Fill=—","Direction=H","UseDPDF=Y")</f>
        <v>#NAME?</v>
      </c>
      <c r="CB394" s="2" t="e">
        <f ca="1">_xll.BDH($C$378,"TOT_DEBT_TO_EBITDA","FQ1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394" s="2" t="e">
        <f ca="1">_xll.BDH($C$378,"NET_DEBT_TO_EBITDA","FQ1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394" s="2" t="e">
        <f ca="1">_xll.BDH($C$378,"TOTAL_DEBT_TO_EBIT","FQ1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394" s="2" t="e">
        <f ca="1">_xll.BDH($C$378,"NET_DEBT_TO_EBIT","FQ1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394" s="2" t="e">
        <f ca="1">_xll.BDH($C$378,"EBITDA_TO_INTEREST_EXPN","FQ1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394" s="2" t="e">
        <f ca="1">_xll.BDH($C$378,"COM_EQY_TO_TOT_ASSET","FQ1 2017","FQ1 2017","Currency=INR","Period=FQ","BEST_FPERIOD_OVERRIDE=FQ","FILING_STATUS=OR","EQY_CONSOLIDATED=Y","Sort=A","Dates=H","DateFormat=P","Fill=—","Direction=H","UseDPDF=Y")</f>
        <v>#NAME?</v>
      </c>
      <c r="CH394" s="2" t="e">
        <f ca="1">_xll.BDH($C$378,"LT_DEBT_TO_TOT_EQY","FQ1 2017","FQ1 2017","Currency=INR","Period=FQ","BEST_FPERIOD_OVERRIDE=FQ","FILING_STATUS=OR","EQY_CONSOLIDATED=Y","Sort=A","Dates=H","DateFormat=P","Fill=—","Direction=H","UseDPDF=Y")</f>
        <v>#NAME?</v>
      </c>
      <c r="CI394" s="2" t="e">
        <f ca="1">_xll.BDH($C$378,"LT_DEBT_TO_TOT_CAP","FQ1 2017","FQ1 2017","Currency=INR","Period=FQ","BEST_FPERIOD_OVERRIDE=FQ","FILING_STATUS=OR","EQY_CONSOLIDATED=Y","Sort=A","Dates=H","DateFormat=P","Fill=—","Direction=H","UseDPDF=Y")</f>
        <v>#NAME?</v>
      </c>
      <c r="CJ394" s="2" t="e">
        <f ca="1">_xll.BDH($C$378,"LT_DEBT_TO_TOT_ASSET","FQ1 2017","FQ1 2017","Currency=INR","Period=FQ","BEST_FPERIOD_OVERRIDE=FQ","FILING_STATUS=OR","EQY_CONSOLIDATED=Y","Sort=A","Dates=H","DateFormat=P","Fill=—","Direction=H","UseDPDF=Y")</f>
        <v>#NAME?</v>
      </c>
      <c r="CK394" s="2" t="e">
        <f ca="1">_xll.BDH($C$378,"TOT_DEBT_TO_TOT_EQY","FQ1 2017","FQ1 2017","Currency=INR","Period=FQ","BEST_FPERIOD_OVERRIDE=FQ","FILING_STATUS=OR","EQY_CONSOLIDATED=Y","Sort=A","Dates=H","DateFormat=P","Fill=—","Direction=H","UseDPDF=Y")</f>
        <v>#NAME?</v>
      </c>
      <c r="CL394" s="2" t="e">
        <f ca="1">_xll.BDH($C$378,"TOT_DEBT_TO_TOT_CAP","FQ1 2017","FQ1 2017","Currency=INR","Period=FQ","BEST_FPERIOD_OVERRIDE=FQ","FILING_STATUS=OR","EQY_CONSOLIDATED=Y","Sort=A","Dates=H","DateFormat=P","Fill=—","Direction=H","UseDPDF=Y")</f>
        <v>#NAME?</v>
      </c>
      <c r="CM394" s="2" t="e">
        <f ca="1">_xll.BDH($C$378,"TOT_DEBT_TO_TOT_ASSET","FQ1 2017","FQ1 2017","Currency=INR","Period=FQ","BEST_FPERIOD_OVERRIDE=FQ","FILING_STATUS=OR","EQY_CONSOLIDATED=Y","Sort=A","Dates=H","DateFormat=P","Fill=—","Direction=H","UseDPDF=Y")</f>
        <v>#NAME?</v>
      </c>
      <c r="CN394" s="2" t="e">
        <f ca="1">_xll.BDH($C$378,"NET_DEBT_TO_SHRHLDR_EQTY","FQ1 2017","FQ1 2017","Currency=INR","Period=FQ","BEST_FPERIOD_OVERRIDE=FQ","FILING_STATUS=OR","EQY_CONSOLIDATED=Y","Sort=A","Dates=H","DateFormat=P","Fill=—","Direction=H","UseDPDF=Y")</f>
        <v>#NAME?</v>
      </c>
      <c r="CO394" s="2" t="e">
        <f ca="1">_xll.BDH($C$378,"NET_DEBT_%_CAPITAL","FQ1 2017","FQ1 2017","Currency=INR","Period=FQ","BEST_FPERIOD_OVERRIDE=FQ","FILING_STATUS=OR","EQY_CONSOLIDATED=Y","Sort=A","Dates=H","DateFormat=P","Fill=—","Direction=H","UseDPDF=Y")</f>
        <v>#NAME?</v>
      </c>
      <c r="CP394" s="3" t="e">
        <f ca="1">_xll.BDH($C$378,"EBITDA","FQ1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394" s="3" t="e">
        <f ca="1">_xll.BDH($C$378,"EBITDA_AFTER_CAPEX","FQ1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394" s="3" t="e">
        <f ca="1">_xll.BDH($C$378,"IS_OPER_INC","FQ1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394" s="2" t="e">
        <f ca="1">_xll.BDH($C$378,"CASH_RATIO","FQ1 2017","FQ1 2017","Currency=INR","Period=FQ","BEST_FPERIOD_OVERRIDE=FQ","FILING_STATUS=OR","EQY_CONSOLIDATED=Y","Sort=A","Dates=H","DateFormat=P","Fill=—","Direction=H","UseDPDF=Y")</f>
        <v>#NAME?</v>
      </c>
      <c r="CT394" s="2" t="e">
        <f ca="1">_xll.BDH($C$378,"CUR_RATIO","FQ1 2017","FQ1 2017","Currency=INR","Period=FQ","BEST_FPERIOD_OVERRIDE=FQ","FILING_STATUS=OR","EQY_CONSOLIDATED=Y","Sort=A","Dates=H","DateFormat=P","Fill=—","Direction=H","UseDPDF=Y")</f>
        <v>#NAME?</v>
      </c>
      <c r="CU394" s="2" t="e">
        <f ca="1">_xll.BDH($C$378,"QUICK_RATIO","FQ1 2017","FQ1 2017","Currency=INR","Period=FQ","BEST_FPERIOD_OVERRIDE=FQ","FILING_STATUS=OR","EQY_CONSOLIDATED=Y","Sort=A","Dates=H","DateFormat=P","Fill=—","Direction=H","UseDPDF=Y")</f>
        <v>#NAME?</v>
      </c>
      <c r="CV394" s="2" t="e">
        <f ca="1">_xll.BDH($C$378,"ALTMAN_Z_SCORE","FQ1 2017","FQ1 2017","Currency=INR","Period=FQ","BEST_FPERIOD_OVERRIDE=FQ","FILING_STATUS=OR","EQY_CONSOLIDATED=Y","Sort=A","Dates=H","DateFormat=P","Fill=—","Direction=H","UseDPDF=Y")</f>
        <v>#NAME?</v>
      </c>
      <c r="CW394" s="4" t="e">
        <f ca="1">_xll.BDH($C$378,"ACCT_RCV_TURN","FQ1 2017","FQ1 2017","Currency=INR","Period=FQ","BEST_FPERIOD_OVERRIDE=FQ","FILING_STATUS=OR","EQY_CONSOLIDATED=Y","FA_ADJUSTED=GAAP","Sort=A","Dates=H","DateFormat=P","Fill=—","Direction=H","UseDPDF=Y")</f>
        <v>#NAME?</v>
      </c>
      <c r="CX394" s="2" t="e">
        <f ca="1">_xll.BDH($C$378,"ACCT_RCV_DAYS","FQ1 2017","FQ1 2017","Currency=INR","Period=FQ","BEST_FPERIOD_OVERRIDE=FQ","FILING_STATUS=OR","EQY_CONSOLIDATED=Y","FA_ADJUSTED=GAAP","Sort=A","Dates=H","DateFormat=P","Fill=—","Direction=H","UseDPDF=Y")</f>
        <v>#NAME?</v>
      </c>
      <c r="CY394" s="4" t="e">
        <f ca="1">_xll.BDH($C$378,"INVENT_TURN","FQ1 2017","FQ1 2017","Currency=INR","Period=FQ","BEST_FPERIOD_OVERRIDE=FQ","FILING_STATUS=OR","EQY_CONSOLIDATED=Y","FA_ADJUSTED=GAAP","Sort=A","Dates=H","DateFormat=P","Fill=—","Direction=H","UseDPDF=Y")</f>
        <v>#NAME?</v>
      </c>
      <c r="CZ394" s="2" t="e">
        <f ca="1">_xll.BDH($C$378,"INVENT_DAYS","FQ1 2017","FQ1 2017","Currency=INR","Period=FQ","BEST_FPERIOD_OVERRIDE=FQ","FILING_STATUS=OR","EQY_CONSOLIDATED=Y","FA_ADJUSTED=GAAP","Sort=A","Dates=H","DateFormat=P","Fill=—","Direction=H","UseDPDF=Y")</f>
        <v>#NAME?</v>
      </c>
      <c r="DA394" s="4" t="e">
        <f ca="1">_xll.BDH($C$378,"ACCOUNTS_PAYABLE_TURNOVER","FQ1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394" s="2" t="e">
        <f ca="1">_xll.BDH($C$378,"ACCOUNTS_PAYABLE_TURNOVER_DAYS","FQ1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394" s="4" t="e">
        <f ca="1">_xll.BDH($C$378,"CASH_CONVERSION_CYCLE","FQ1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394" s="4" t="e">
        <f ca="1">_xll.BDH($C$378,"INV_TO_CASH_DAYS","FQ1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394" s="5" t="e">
        <f ca="1">_xll.BDH($C$378,"BS_INVENTORIES","FQ1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394" s="3" t="e">
        <f ca="1">_xll.BDH($C$378,"INVTRY_RAW_MATERIALS","FQ1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394" s="3" t="e">
        <f ca="1">_xll.BDH($C$378,"INVTRY_IN_PROGRESS","FQ1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394" s="3" t="e">
        <f ca="1">_xll.BDH($C$378,"INVTRY_FINISHED_GOODS","FQ1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394" s="3" t="e">
        <f ca="1">_xll.BDH($C$378,"BS_OTHER_INV","FQ1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395" spans="1:113" x14ac:dyDescent="0.3">
      <c r="A395" s="6"/>
      <c r="B395" s="6"/>
      <c r="C395" s="6"/>
      <c r="D395" s="6"/>
      <c r="E395" t="s">
        <v>79</v>
      </c>
      <c r="F395" t="e">
        <f ca="1">_xll.BDH($C$378,"RETURN_COM_EQY","FQ2 2017","FQ2 2017","Currency=INR","Period=FQ","BEST_FPERIOD_OVERRIDE=FQ","FILING_STATUS=OR","EQY_CONSOLIDATED=Y","FA_ADJUSTED=GAAP","Sort=A","Dates=H","DateFormat=P","Fill=—","Direction=H","UseDPDF=Y")</f>
        <v>#NAME?</v>
      </c>
      <c r="G395" t="e">
        <f ca="1">_xll.BDH($C$378,"RETURN_ON_ASSET","FQ2 2017","FQ2 2017","Currency=INR","Period=FQ","BEST_FPERIOD_OVERRIDE=FQ","FILING_STATUS=OR","EQY_CONSOLIDATED=Y","FA_ADJUSTED=GAAP","Sort=A","Dates=H","DateFormat=P","Fill=—","Direction=H","UseDPDF=Y")</f>
        <v>#NAME?</v>
      </c>
      <c r="H395" t="e">
        <f ca="1">_xll.BDH($C$378,"RETURN_ON_CAP","FQ2 2017","FQ2 2017","Currency=INR","Period=FQ","BEST_FPERIOD_OVERRIDE=FQ","FILING_STATUS=OR","EQY_CONSOLIDATED=Y","FA_ADJUSTED=GAAP","Sort=A","Dates=H","DateFormat=P","Fill=—","Direction=H","UseDPDF=Y")</f>
        <v>#NAME?</v>
      </c>
      <c r="I395" t="e">
        <f ca="1">_xll.BDH($C$378,"RETURN_ON_INV_CAPITAL","FQ2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395" t="e">
        <f ca="1">_xll.BDH($C$378,"EBITDA_TO_REVENUE","FQ2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395" t="e">
        <f ca="1">_xll.BDH($C$378,"OPER_MARGIN","FQ2 2017","FQ2 2017","Currency=INR","Period=FQ","BEST_FPERIOD_OVERRIDE=FQ","FILING_STATUS=OR","EQY_CONSOLIDATED=Y","FA_ADJUSTED=GAAP","Sort=A","Dates=H","DateFormat=P","Fill=—","Direction=H","UseDPDF=Y")</f>
        <v>#NAME?</v>
      </c>
      <c r="L395" t="e">
        <f ca="1">_xll.BDH($C$378,"INCREMENTAL_OPERATING_MARGIN","FQ2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395" t="e">
        <f ca="1">_xll.BDH($C$378,"PRETAX_INC_TO_NET_SALES","FQ2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395" t="e">
        <f ca="1">_xll.BDH($C$378,"INC_BEF_XO_ITEMS_TO_NET_SALES","FQ2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395" t="e">
        <f ca="1">_xll.BDH($C$378,"PROF_MARGIN","FQ2 2017","FQ2 2017","Currency=INR","Period=FQ","BEST_FPERIOD_OVERRIDE=FQ","FILING_STATUS=OR","EQY_CONSOLIDATED=Y","FA_ADJUSTED=GAAP","Sort=A","Dates=H","DateFormat=P","Fill=—","Direction=H","UseDPDF=Y")</f>
        <v>#NAME?</v>
      </c>
      <c r="P395" t="e">
        <f ca="1">_xll.BDH($C$378,"NET_INCOME_TO_COMMON_MARGIN","FQ2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395" t="e">
        <f ca="1">_xll.BDH($C$378,"EFF_TAX_RATE","FQ2 2017","FQ2 2017","Currency=INR","Period=FQ","BEST_FPERIOD_OVERRIDE=FQ","FILING_STATUS=OR","EQY_CONSOLIDATED=Y","FA_ADJUSTED=GAAP","Sort=A","Dates=H","DateFormat=P","Fill=—","Direction=H","UseDPDF=Y")</f>
        <v>#NAME?</v>
      </c>
      <c r="R395" t="e">
        <f ca="1">_xll.BDH($C$378,"DVD_PAYOUT_RATIO","FQ2 2017","FQ2 2017","Currency=INR","Period=FQ","BEST_FPERIOD_OVERRIDE=FQ","FILING_STATUS=OR","EQY_CONSOLIDATED=Y","FA_ADJUSTED=GAAP","Sort=A","Dates=H","DateFormat=P","Fill=—","Direction=H","UseDPDF=Y")</f>
        <v>#NAME?</v>
      </c>
      <c r="S395" t="e">
        <f ca="1">_xll.BDH($C$378,"SUSTAIN_GROWTH_RT","FQ2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395" s="2" t="e">
        <f ca="1">_xll.BDH($C$378,"SALES_GROWTH","FQ2 2017","FQ2 2017","Currency=INR","Period=FQ","BEST_FPERIOD_OVERRIDE=FQ","FILING_STATUS=OR","EQY_CONSOLIDATED=Y","FA_ADJUSTED=GAAP","Sort=A","Dates=H","DateFormat=P","Fill=—","Direction=H","UseDPDF=Y")</f>
        <v>#NAME?</v>
      </c>
      <c r="U395" s="2" t="e">
        <f ca="1">_xll.BDH($C$378,"EBITDA_GROWTH","FQ2 2017","FQ2 2017","Currency=INR","Period=FQ","BEST_FPERIOD_OVERRIDE=FQ","FILING_STATUS=OR","EQY_CONSOLIDATED=Y","FA_ADJUSTED=GAAP","Sort=A","Dates=H","DateFormat=P","Fill=—","Direction=H","UseDPDF=Y")</f>
        <v>#NAME?</v>
      </c>
      <c r="V395" s="2" t="e">
        <f ca="1">_xll.BDH($C$378,"OPER_INC_GROWTH","FQ2 2017","FQ2 2017","Currency=INR","Period=FQ","BEST_FPERIOD_OVERRIDE=FQ","FILING_STATUS=OR","EQY_CONSOLIDATED=Y","FA_ADJUSTED=GAAP","Sort=A","Dates=H","DateFormat=P","Fill=—","Direction=H","UseDPDF=Y")</f>
        <v>#NAME?</v>
      </c>
      <c r="W395" s="2" t="e">
        <f ca="1">_xll.BDH($C$378,"EARN_FOR_COM_GROWTH","FQ2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395" s="2" t="e">
        <f ca="1">_xll.BDH($C$378,"DILUTED_EPS_AFT_XO_ITEMS_GROWTH","FQ2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395" s="2" t="e">
        <f ca="1">_xll.BDH($C$378,"DIVIDEND_PER_SHARE_1_YEAR_GROWTH","FQ2 2017","FQ2 2017","Currency=INR","Period=FQ","BEST_FPERIOD_OVERRIDE=FQ","FILING_STATUS=OR","EQY_CONSOLIDATED=Y","Sort=A","Dates=H","DateFormat=P","Fill=—","Direction=H","UseDPDF=Y")</f>
        <v>#NAME?</v>
      </c>
      <c r="Z395" s="2" t="e">
        <f ca="1">_xll.BDH($C$378,"ACCOUNTS_RECEIVABLE_GROWTH","FQ2 2017","FQ2 2017","Currency=INR","Period=FQ","BEST_FPERIOD_OVERRIDE=FQ","FILING_STATUS=OR","EQY_CONSOLIDATED=Y","Sort=A","Dates=H","DateFormat=P","Fill=—","Direction=H","UseDPDF=Y")</f>
        <v>#NAME?</v>
      </c>
      <c r="AA395" s="2" t="e">
        <f ca="1">_xll.BDH($C$378,"INVENTORY_GROWTH","FQ2 2017","FQ2 2017","Currency=INR","Period=FQ","BEST_FPERIOD_OVERRIDE=FQ","FILING_STATUS=OR","EQY_CONSOLIDATED=Y","Sort=A","Dates=H","DateFormat=P","Fill=—","Direction=H","UseDPDF=Y")</f>
        <v>#NAME?</v>
      </c>
      <c r="AB395" s="2" t="e">
        <f ca="1">_xll.BDH($C$378,"NET_FIXED_ASSETS_1_YEAR_GROWTH","FQ2 2017","FQ2 2017","Currency=INR","Period=FQ","BEST_FPERIOD_OVERRIDE=FQ","FILING_STATUS=OR","EQY_CONSOLIDATED=Y","Sort=A","Dates=H","DateFormat=P","Fill=—","Direction=H","UseDPDF=Y")</f>
        <v>#NAME?</v>
      </c>
      <c r="AC395" s="2" t="e">
        <f ca="1">_xll.BDH($C$378,"ASSET_GROWTH","FQ2 2017","FQ2 2017","Currency=INR","Period=FQ","BEST_FPERIOD_OVERRIDE=FQ","FILING_STATUS=OR","EQY_CONSOLIDATED=Y","Sort=A","Dates=H","DateFormat=P","Fill=—","Direction=H","UseDPDF=Y")</f>
        <v>#NAME?</v>
      </c>
      <c r="AD395" s="2" t="e">
        <f ca="1">_xll.BDH($C$378,"MODIFIED_WORK_CAP_GROWTH","FQ2 2017","FQ2 2017","Currency=INR","Period=FQ","BEST_FPERIOD_OVERRIDE=FQ","FILING_STATUS=OR","EQY_CONSOLIDATED=Y","Sort=A","Dates=H","DateFormat=P","Fill=—","Direction=H","UseDPDF=Y")</f>
        <v>#NAME?</v>
      </c>
      <c r="AE395" s="2" t="e">
        <f ca="1">_xll.BDH($C$378,"WORK_CAP_GROWTH","FQ2 2017","FQ2 2017","Currency=INR","Period=FQ","BEST_FPERIOD_OVERRIDE=FQ","FILING_STATUS=OR","EQY_CONSOLIDATED=Y","Sort=A","Dates=H","DateFormat=P","Fill=—","Direction=H","UseDPDF=Y")</f>
        <v>#NAME?</v>
      </c>
      <c r="AF395" s="2" t="e">
        <f ca="1">_xll.BDH($C$378,"ACCOUNTS_PAYABLE_GROWTH_1YR","FQ2 2017","FQ2 2017","Currency=INR","Period=FQ","BEST_FPERIOD_OVERRIDE=FQ","FILING_STATUS=OR","EQY_CONSOLIDATED=Y","Sort=A","Dates=H","DateFormat=P","Fill=—","Direction=H","UseDPDF=Y")</f>
        <v>#NAME?</v>
      </c>
      <c r="AG395" s="2" t="e">
        <f ca="1">_xll.BDH($C$378,"SHORT_TERM_DEBT_1_YEAR_GROWTH","FQ2 2017","FQ2 2017","Currency=INR","Period=FQ","BEST_FPERIOD_OVERRIDE=FQ","FILING_STATUS=OR","EQY_CONSOLIDATED=Y","Sort=A","Dates=H","DateFormat=P","Fill=—","Direction=H","UseDPDF=Y")</f>
        <v>#NAME?</v>
      </c>
      <c r="AH395" s="2" t="e">
        <f ca="1">_xll.BDH($C$378,"TOTAL_DEBT_1_YEAR_GROWTH","FQ2 2017","FQ2 2017","Currency=INR","Period=FQ","BEST_FPERIOD_OVERRIDE=FQ","FILING_STATUS=OR","EQY_CONSOLIDATED=Y","Sort=A","Dates=H","DateFormat=P","Fill=—","Direction=H","UseDPDF=Y")</f>
        <v>#NAME?</v>
      </c>
      <c r="AI395" s="2" t="e">
        <f ca="1">_xll.BDH($C$378,"TOTAL_EQUITY_1_YEAR_GROWTH","FQ2 2017","FQ2 2017","Currency=INR","Period=FQ","BEST_FPERIOD_OVERRIDE=FQ","FILING_STATUS=OR","EQY_CONSOLIDATED=Y","Sort=A","Dates=H","DateFormat=P","Fill=—","Direction=H","UseDPDF=Y")</f>
        <v>#NAME?</v>
      </c>
      <c r="AJ395" s="2" t="e">
        <f ca="1">_xll.BDH($C$378,"GROWTH_IN_CAP","FQ2 2017","FQ2 2017","Currency=INR","Period=FQ","BEST_FPERIOD_OVERRIDE=FQ","FILING_STATUS=OR","EQY_CONSOLIDATED=Y","Sort=A","Dates=H","DateFormat=P","Fill=—","Direction=H","UseDPDF=Y")</f>
        <v>#NAME?</v>
      </c>
      <c r="AK395" s="2" t="e">
        <f ca="1">_xll.BDH($C$378,"BVPS_GROWTH","FQ2 2017","FQ2 2017","Currency=INR","Period=FQ","BEST_FPERIOD_OVERRIDE=FQ","FILING_STATUS=OR","EQY_CONSOLIDATED=Y","Sort=A","Dates=H","DateFormat=P","Fill=—","Direction=H","UseDPDF=Y")</f>
        <v>#NAME?</v>
      </c>
      <c r="AL395" s="2" t="e">
        <f ca="1">_xll.BDH($C$378,"CASH_FLOW_GROWTH","FQ2 2017","FQ2 2017","Currency=INR","Period=FQ","BEST_FPERIOD_OVERRIDE=FQ","FILING_STATUS=OR","EQY_CONSOLIDATED=Y","Sort=A","Dates=H","DateFormat=P","Fill=—","Direction=H","UseDPDF=Y")</f>
        <v>#NAME?</v>
      </c>
      <c r="AM395" s="2" t="e">
        <f ca="1">_xll.BDH($C$378,"GEO_GROW_NET_SALES","FQ2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395" s="2" t="e">
        <f ca="1">_xll.BDH($C$378,"GEO_GROW_EBITDA","FQ2 2017","FQ2 2017","Currency=INR","Period=FQ","BEST_FPERIOD_OVERRIDE=FQ","FILING_STATUS=OR","EQY_CONSOLIDATED=Y","FA_ADJUSTED=GAAP","Sort=A","Dates=H","DateFormat=P","Fill=—","Direction=H","UseDPDF=Y")</f>
        <v>#NAME?</v>
      </c>
      <c r="AO395" s="2" t="e">
        <f ca="1">_xll.BDH($C$378,"GEO_GROW_OPER_INC","FQ2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395" s="2" t="e">
        <f ca="1">_xll.BDH($C$378,"NET_INCOME_TO_COMMON_5_YR_GROWTH","FQ2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395" s="2" t="e">
        <f ca="1">_xll.BDH($C$378,"5Y_GEO_GROWTH_DILUTED_EPS","FQ2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395" s="2" t="e">
        <f ca="1">_xll.BDH($C$378,"GEO_GROW_DVD_PER_SH","FQ2 2017","FQ2 2017","Currency=INR","Period=FQ","BEST_FPERIOD_OVERRIDE=FQ","FILING_STATUS=OR","EQY_CONSOLIDATED=Y","Sort=A","Dates=H","DateFormat=P","Fill=—","Direction=H","UseDPDF=Y")</f>
        <v>#NAME?</v>
      </c>
      <c r="AS395" s="2" t="e">
        <f ca="1">_xll.BDH($C$378,"ACCOUNTS_RECEIVABLE_5_YR_GROWTH","FQ2 2017","FQ2 2017","Currency=INR","Period=FQ","BEST_FPERIOD_OVERRIDE=FQ","FILING_STATUS=OR","EQY_CONSOLIDATED=Y","Sort=A","Dates=H","DateFormat=P","Fill=—","Direction=H","UseDPDF=Y")</f>
        <v>#NAME?</v>
      </c>
      <c r="AT395" s="2" t="e">
        <f ca="1">_xll.BDH($C$378,"INVENTORY_5_YEAR_GROWTH","FQ2 2017","FQ2 2017","Currency=INR","Period=FQ","BEST_FPERIOD_OVERRIDE=FQ","FILING_STATUS=OR","EQY_CONSOLIDATED=Y","Sort=A","Dates=H","DateFormat=P","Fill=—","Direction=H","UseDPDF=Y")</f>
        <v>#NAME?</v>
      </c>
      <c r="AU395" s="2" t="e">
        <f ca="1">_xll.BDH($C$378,"NET_FIXED_ASSETS_5_YEAR_GROWTH","FQ2 2017","FQ2 2017","Currency=INR","Period=FQ","BEST_FPERIOD_OVERRIDE=FQ","FILING_STATUS=OR","EQY_CONSOLIDATED=Y","Sort=A","Dates=H","DateFormat=P","Fill=—","Direction=H","UseDPDF=Y")</f>
        <v>#NAME?</v>
      </c>
      <c r="AV395" s="2" t="e">
        <f ca="1">_xll.BDH($C$378,"GEO_GROW_TOT_ASSET","FQ2 2017","FQ2 2017","Currency=INR","Period=FQ","BEST_FPERIOD_OVERRIDE=FQ","FILING_STATUS=OR","EQY_CONSOLIDATED=Y","Sort=A","Dates=H","DateFormat=P","Fill=—","Direction=H","UseDPDF=Y")</f>
        <v>#NAME?</v>
      </c>
      <c r="AW395" s="2" t="e">
        <f ca="1">_xll.BDH($C$378,"MODIFIED_WORKING_CPTL_5YR_GRWTH","FQ2 2017","FQ2 2017","Currency=INR","Period=FQ","BEST_FPERIOD_OVERRIDE=FQ","FILING_STATUS=OR","EQY_CONSOLIDATED=Y","Sort=A","Dates=H","DateFormat=P","Fill=—","Direction=H","UseDPDF=Y")</f>
        <v>#NAME?</v>
      </c>
      <c r="AX395" s="2" t="e">
        <f ca="1">_xll.BDH($C$378,"WORKING_CAPITAL_5_YEAR_GROWTH","FQ2 2017","FQ2 2017","Currency=INR","Period=FQ","BEST_FPERIOD_OVERRIDE=FQ","FILING_STATUS=OR","EQY_CONSOLIDATED=Y","Sort=A","Dates=H","DateFormat=P","Fill=—","Direction=H","UseDPDF=Y")</f>
        <v>#NAME?</v>
      </c>
      <c r="AY395" s="2" t="e">
        <f ca="1">_xll.BDH($C$378,"ACCOUNTS_PAYABLE_5_YEAR_GROWTH","FQ2 2017","FQ2 2017","Currency=INR","Period=FQ","BEST_FPERIOD_OVERRIDE=FQ","FILING_STATUS=OR","EQY_CONSOLIDATED=Y","Sort=A","Dates=H","DateFormat=P","Fill=—","Direction=H","UseDPDF=Y")</f>
        <v>#NAME?</v>
      </c>
      <c r="AZ395" s="2" t="e">
        <f ca="1">_xll.BDH($C$378,"SHORT_TERM_DEBT_5_YEAR_GROWTH","FQ2 2017","FQ2 2017","Currency=INR","Period=FQ","BEST_FPERIOD_OVERRIDE=FQ","FILING_STATUS=OR","EQY_CONSOLIDATED=Y","Sort=A","Dates=H","DateFormat=P","Fill=—","Direction=H","UseDPDF=Y")</f>
        <v>#NAME?</v>
      </c>
      <c r="BA395" s="2" t="e">
        <f ca="1">_xll.BDH($C$378,"TOTAL_DEBT_5_YEAR_GROWTH","FQ2 2017","FQ2 2017","Currency=INR","Period=FQ","BEST_FPERIOD_OVERRIDE=FQ","FILING_STATUS=OR","EQY_CONSOLIDATED=Y","Sort=A","Dates=H","DateFormat=P","Fill=—","Direction=H","UseDPDF=Y")</f>
        <v>#NAME?</v>
      </c>
      <c r="BB395" s="2" t="e">
        <f ca="1">_xll.BDH($C$378,"GEO_GROW_TOT_SHRHLDR_EQY","FQ2 2017","FQ2 2017","Currency=INR","Period=FQ","BEST_FPERIOD_OVERRIDE=FQ","FILING_STATUS=OR","EQY_CONSOLIDATED=Y","Sort=A","Dates=H","DateFormat=P","Fill=—","Direction=H","UseDPDF=Y")</f>
        <v>#NAME?</v>
      </c>
      <c r="BC395" s="2" t="e">
        <f ca="1">_xll.BDH($C$378,"TOTAL_CAPITAL_5_YEAR_GROWTH","FQ2 2017","FQ2 2017","Currency=INR","Period=FQ","BEST_FPERIOD_OVERRIDE=FQ","FILING_STATUS=OR","EQY_CONSOLIDATED=Y","Sort=A","Dates=H","DateFormat=P","Fill=—","Direction=H","UseDPDF=Y")</f>
        <v>#NAME?</v>
      </c>
      <c r="BD395" s="2" t="e">
        <f ca="1">_xll.BDH($C$378,"GEO_GROW_BOOK_VAL","FQ2 2017","FQ2 2017","Currency=INR","Period=FQ","BEST_FPERIOD_OVERRIDE=FQ","FILING_STATUS=OR","EQY_CONSOLIDATED=Y","Sort=A","Dates=H","DateFormat=P","Fill=—","Direction=H","UseDPDF=Y")</f>
        <v>#NAME?</v>
      </c>
      <c r="BE395" s="2" t="e">
        <f ca="1">_xll.BDH($C$378,"GEO_GROW_CASH_OPER_ACT","FQ2 2017","FQ2 2017","Currency=INR","Period=FQ","BEST_FPERIOD_OVERRIDE=FQ","FILING_STATUS=OR","EQY_CONSOLIDATED=Y","Sort=A","Dates=H","DateFormat=P","Fill=—","Direction=H","UseDPDF=Y")</f>
        <v>#NAME?</v>
      </c>
      <c r="BF395" s="2" t="e">
        <f ca="1">_xll.BDH($C$378,"REVENUE_SEQUENTIAL_GROWTH","FQ2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395" s="2" t="e">
        <f ca="1">_xll.BDH($C$378,"EBITDA_SEQUENTIAL_GROWTH","FQ2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395" s="2" t="e">
        <f ca="1">_xll.BDH($C$378,"OPERATING_INCOME_SEQ_GROWTH","FQ2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395" s="2" t="e">
        <f ca="1">_xll.BDH($C$378,"NET_INCOME_TO_COMMON_SEQ_GROWTH","FQ2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395" s="2" t="e">
        <f ca="1">_xll.BDH($C$378,"EPS_DILUTED_SEQUENTIAL_GROWTH","FQ2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395" s="2" t="e">
        <f ca="1">_xll.BDH($C$378,"DPS_SEQUENTIAL_GROWTH","FQ2 2017","FQ2 2017","Currency=INR","Period=FQ","BEST_FPERIOD_OVERRIDE=FQ","FILING_STATUS=OR","EQY_CONSOLIDATED=Y","Sort=A","Dates=H","DateFormat=P","Fill=—","Direction=H","UseDPDF=Y")</f>
        <v>#NAME?</v>
      </c>
      <c r="BL395" s="2" t="e">
        <f ca="1">_xll.BDH($C$378,"ACCOUNTS_RECEIVABLE_SEQ_GROWTH","FQ2 2017","FQ2 2017","Currency=INR","Period=FQ","BEST_FPERIOD_OVERRIDE=FQ","FILING_STATUS=OR","EQY_CONSOLIDATED=Y","Sort=A","Dates=H","DateFormat=P","Fill=—","Direction=H","UseDPDF=Y")</f>
        <v>#NAME?</v>
      </c>
      <c r="BM395" s="2" t="e">
        <f ca="1">_xll.BDH($C$378,"INVENTORY_SEQUENTIAL_GROWTH","FQ2 2017","FQ2 2017","Currency=INR","Period=FQ","BEST_FPERIOD_OVERRIDE=FQ","FILING_STATUS=OR","EQY_CONSOLIDATED=Y","Sort=A","Dates=H","DateFormat=P","Fill=—","Direction=H","UseDPDF=Y")</f>
        <v>#NAME?</v>
      </c>
      <c r="BN395" s="2" t="e">
        <f ca="1">_xll.BDH($C$378,"FIXED_ASSETS_SEQUENTIAL_GROWTH","FQ2 2017","FQ2 2017","Currency=INR","Period=FQ","BEST_FPERIOD_OVERRIDE=FQ","FILING_STATUS=OR","EQY_CONSOLIDATED=Y","Sort=A","Dates=H","DateFormat=P","Fill=—","Direction=H","UseDPDF=Y")</f>
        <v>#NAME?</v>
      </c>
      <c r="BO395" s="2" t="e">
        <f ca="1">_xll.BDH($C$378,"TOTAL_ASSETS_SEQUENTIAL_GROWTH","FQ2 2017","FQ2 2017","Currency=INR","Period=FQ","BEST_FPERIOD_OVERRIDE=FQ","FILING_STATUS=OR","EQY_CONSOLIDATED=Y","Sort=A","Dates=H","DateFormat=P","Fill=—","Direction=H","UseDPDF=Y")</f>
        <v>#NAME?</v>
      </c>
      <c r="BP395" s="2" t="e">
        <f ca="1">_xll.BDH($C$378,"MODIFIED_WORKING_CPTL_SEQ_GRWTH","FQ2 2017","FQ2 2017","Currency=INR","Period=FQ","BEST_FPERIOD_OVERRIDE=FQ","FILING_STATUS=OR","EQY_CONSOLIDATED=Y","Sort=A","Dates=H","DateFormat=P","Fill=—","Direction=H","UseDPDF=Y")</f>
        <v>#NAME?</v>
      </c>
      <c r="BQ395" s="2" t="e">
        <f ca="1">_xll.BDH($C$378,"WORKING_CAPITAL_SEQ_GROWTH","FQ2 2017","FQ2 2017","Currency=INR","Period=FQ","BEST_FPERIOD_OVERRIDE=FQ","FILING_STATUS=OR","EQY_CONSOLIDATED=Y","Sort=A","Dates=H","DateFormat=P","Fill=—","Direction=H","UseDPDF=Y")</f>
        <v>#NAME?</v>
      </c>
      <c r="BR395" s="2" t="e">
        <f ca="1">_xll.BDH($C$378,"ACCOUNTS_PAYABLE_SEQ_GROWTH","FQ2 2017","FQ2 2017","Currency=INR","Period=FQ","BEST_FPERIOD_OVERRIDE=FQ","FILING_STATUS=OR","EQY_CONSOLIDATED=Y","Sort=A","Dates=H","DateFormat=P","Fill=—","Direction=H","UseDPDF=Y")</f>
        <v>#NAME?</v>
      </c>
      <c r="BS395" s="2" t="e">
        <f ca="1">_xll.BDH($C$378,"ST_DEBT_SEQUENTIAL_GROWTH","FQ2 2017","FQ2 2017","Currency=INR","Period=FQ","BEST_FPERIOD_OVERRIDE=FQ","FILING_STATUS=OR","EQY_CONSOLIDATED=Y","Sort=A","Dates=H","DateFormat=P","Fill=—","Direction=H","UseDPDF=Y")</f>
        <v>#NAME?</v>
      </c>
      <c r="BT395" s="2" t="e">
        <f ca="1">_xll.BDH($C$378,"TOTAL_DEBT_SEQUENTIAL_GROWTH","FQ2 2017","FQ2 2017","Currency=INR","Period=FQ","BEST_FPERIOD_OVERRIDE=FQ","FILING_STATUS=OR","EQY_CONSOLIDATED=Y","Sort=A","Dates=H","DateFormat=P","Fill=—","Direction=H","UseDPDF=Y")</f>
        <v>#NAME?</v>
      </c>
      <c r="BU395" s="2" t="e">
        <f ca="1">_xll.BDH($C$378,"TOTAL_EQUITY_SEQUENTIAL_GROWTH","FQ2 2017","FQ2 2017","Currency=INR","Period=FQ","BEST_FPERIOD_OVERRIDE=FQ","FILING_STATUS=OR","EQY_CONSOLIDATED=Y","Sort=A","Dates=H","DateFormat=P","Fill=—","Direction=H","UseDPDF=Y")</f>
        <v>#NAME?</v>
      </c>
      <c r="BV395" s="2" t="e">
        <f ca="1">_xll.BDH($C$378,"TOTAL_CAPITAL_SEQUENTIAL_GROWTH","FQ2 2017","FQ2 2017","Currency=INR","Period=FQ","BEST_FPERIOD_OVERRIDE=FQ","FILING_STATUS=OR","EQY_CONSOLIDATED=Y","Sort=A","Dates=H","DateFormat=P","Fill=—","Direction=H","UseDPDF=Y")</f>
        <v>#NAME?</v>
      </c>
      <c r="BW395" s="2" t="e">
        <f ca="1">_xll.BDH($C$378,"BPS_SEQUENTIAL_GROWTH","FQ2 2017","FQ2 2017","Currency=INR","Period=FQ","BEST_FPERIOD_OVERRIDE=FQ","FILING_STATUS=OR","EQY_CONSOLIDATED=Y","Sort=A","Dates=H","DateFormat=P","Fill=—","Direction=H","UseDPDF=Y")</f>
        <v>#NAME?</v>
      </c>
      <c r="BX395" s="2" t="e">
        <f ca="1">_xll.BDH($C$378,"CFO_SEQUENTIAL_GROWTH","FQ2 2017","FQ2 2017","Currency=INR","Period=FQ","BEST_FPERIOD_OVERRIDE=FQ","FILING_STATUS=OR","EQY_CONSOLIDATED=Y","Sort=A","Dates=H","DateFormat=P","Fill=—","Direction=H","UseDPDF=Y")</f>
        <v>#NAME?</v>
      </c>
      <c r="BY395" s="3" t="e">
        <f ca="1">_xll.BDH($C$378,"SHORT_AND_LONG_TERM_DEBT","FQ2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395" s="3" t="e">
        <f ca="1">_xll.BDH($C$378,"BS_ST_BORROW","FQ2 2017","FQ2 2017","Currency=INR","Period=FQ","BEST_FPERIOD_OVERRIDE=FQ","FILING_STATUS=OR","EQY_CONSOLIDATED=Y","SCALING_FORMAT=MLN","Sort=A","Dates=H","DateFormat=P","Fill=—","Direction=H","UseDPDF=Y")</f>
        <v>#NAME?</v>
      </c>
      <c r="CA395" s="3" t="e">
        <f ca="1">_xll.BDH($C$378,"BS_LT_BORROW","FQ2 2017","FQ2 2017","Currency=INR","Period=FQ","BEST_FPERIOD_OVERRIDE=FQ","FILING_STATUS=OR","EQY_CONSOLIDATED=Y","SCALING_FORMAT=MLN","Sort=A","Dates=H","DateFormat=P","Fill=—","Direction=H","UseDPDF=Y")</f>
        <v>#NAME?</v>
      </c>
      <c r="CB395" s="2" t="e">
        <f ca="1">_xll.BDH($C$378,"TOT_DEBT_TO_EBITDA","FQ2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395" s="2" t="e">
        <f ca="1">_xll.BDH($C$378,"NET_DEBT_TO_EBITDA","FQ2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395" s="2" t="e">
        <f ca="1">_xll.BDH($C$378,"TOTAL_DEBT_TO_EBIT","FQ2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395" s="2" t="e">
        <f ca="1">_xll.BDH($C$378,"NET_DEBT_TO_EBIT","FQ2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395" s="2" t="e">
        <f ca="1">_xll.BDH($C$378,"EBITDA_TO_INTEREST_EXPN","FQ2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395" s="2" t="e">
        <f ca="1">_xll.BDH($C$378,"COM_EQY_TO_TOT_ASSET","FQ2 2017","FQ2 2017","Currency=INR","Period=FQ","BEST_FPERIOD_OVERRIDE=FQ","FILING_STATUS=OR","EQY_CONSOLIDATED=Y","Sort=A","Dates=H","DateFormat=P","Fill=—","Direction=H","UseDPDF=Y")</f>
        <v>#NAME?</v>
      </c>
      <c r="CH395" s="2" t="e">
        <f ca="1">_xll.BDH($C$378,"LT_DEBT_TO_TOT_EQY","FQ2 2017","FQ2 2017","Currency=INR","Period=FQ","BEST_FPERIOD_OVERRIDE=FQ","FILING_STATUS=OR","EQY_CONSOLIDATED=Y","Sort=A","Dates=H","DateFormat=P","Fill=—","Direction=H","UseDPDF=Y")</f>
        <v>#NAME?</v>
      </c>
      <c r="CI395" s="2" t="e">
        <f ca="1">_xll.BDH($C$378,"LT_DEBT_TO_TOT_CAP","FQ2 2017","FQ2 2017","Currency=INR","Period=FQ","BEST_FPERIOD_OVERRIDE=FQ","FILING_STATUS=OR","EQY_CONSOLIDATED=Y","Sort=A","Dates=H","DateFormat=P","Fill=—","Direction=H","UseDPDF=Y")</f>
        <v>#NAME?</v>
      </c>
      <c r="CJ395" s="2" t="e">
        <f ca="1">_xll.BDH($C$378,"LT_DEBT_TO_TOT_ASSET","FQ2 2017","FQ2 2017","Currency=INR","Period=FQ","BEST_FPERIOD_OVERRIDE=FQ","FILING_STATUS=OR","EQY_CONSOLIDATED=Y","Sort=A","Dates=H","DateFormat=P","Fill=—","Direction=H","UseDPDF=Y")</f>
        <v>#NAME?</v>
      </c>
      <c r="CK395" s="2" t="e">
        <f ca="1">_xll.BDH($C$378,"TOT_DEBT_TO_TOT_EQY","FQ2 2017","FQ2 2017","Currency=INR","Period=FQ","BEST_FPERIOD_OVERRIDE=FQ","FILING_STATUS=OR","EQY_CONSOLIDATED=Y","Sort=A","Dates=H","DateFormat=P","Fill=—","Direction=H","UseDPDF=Y")</f>
        <v>#NAME?</v>
      </c>
      <c r="CL395" s="2" t="e">
        <f ca="1">_xll.BDH($C$378,"TOT_DEBT_TO_TOT_CAP","FQ2 2017","FQ2 2017","Currency=INR","Period=FQ","BEST_FPERIOD_OVERRIDE=FQ","FILING_STATUS=OR","EQY_CONSOLIDATED=Y","Sort=A","Dates=H","DateFormat=P","Fill=—","Direction=H","UseDPDF=Y")</f>
        <v>#NAME?</v>
      </c>
      <c r="CM395" s="2" t="e">
        <f ca="1">_xll.BDH($C$378,"TOT_DEBT_TO_TOT_ASSET","FQ2 2017","FQ2 2017","Currency=INR","Period=FQ","BEST_FPERIOD_OVERRIDE=FQ","FILING_STATUS=OR","EQY_CONSOLIDATED=Y","Sort=A","Dates=H","DateFormat=P","Fill=—","Direction=H","UseDPDF=Y")</f>
        <v>#NAME?</v>
      </c>
      <c r="CN395" s="2" t="e">
        <f ca="1">_xll.BDH($C$378,"NET_DEBT_TO_SHRHLDR_EQTY","FQ2 2017","FQ2 2017","Currency=INR","Period=FQ","BEST_FPERIOD_OVERRIDE=FQ","FILING_STATUS=OR","EQY_CONSOLIDATED=Y","Sort=A","Dates=H","DateFormat=P","Fill=—","Direction=H","UseDPDF=Y")</f>
        <v>#NAME?</v>
      </c>
      <c r="CO395" s="2" t="e">
        <f ca="1">_xll.BDH($C$378,"NET_DEBT_%_CAPITAL","FQ2 2017","FQ2 2017","Currency=INR","Period=FQ","BEST_FPERIOD_OVERRIDE=FQ","FILING_STATUS=OR","EQY_CONSOLIDATED=Y","Sort=A","Dates=H","DateFormat=P","Fill=—","Direction=H","UseDPDF=Y")</f>
        <v>#NAME?</v>
      </c>
      <c r="CP395" s="3" t="e">
        <f ca="1">_xll.BDH($C$378,"EBITDA","FQ2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395" s="3" t="e">
        <f ca="1">_xll.BDH($C$378,"EBITDA_AFTER_CAPEX","FQ2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395" s="3" t="e">
        <f ca="1">_xll.BDH($C$378,"IS_OPER_INC","FQ2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395" s="2" t="e">
        <f ca="1">_xll.BDH($C$378,"CASH_RATIO","FQ2 2017","FQ2 2017","Currency=INR","Period=FQ","BEST_FPERIOD_OVERRIDE=FQ","FILING_STATUS=OR","EQY_CONSOLIDATED=Y","Sort=A","Dates=H","DateFormat=P","Fill=—","Direction=H","UseDPDF=Y")</f>
        <v>#NAME?</v>
      </c>
      <c r="CT395" s="2" t="e">
        <f ca="1">_xll.BDH($C$378,"CUR_RATIO","FQ2 2017","FQ2 2017","Currency=INR","Period=FQ","BEST_FPERIOD_OVERRIDE=FQ","FILING_STATUS=OR","EQY_CONSOLIDATED=Y","Sort=A","Dates=H","DateFormat=P","Fill=—","Direction=H","UseDPDF=Y")</f>
        <v>#NAME?</v>
      </c>
      <c r="CU395" s="2" t="e">
        <f ca="1">_xll.BDH($C$378,"QUICK_RATIO","FQ2 2017","FQ2 2017","Currency=INR","Period=FQ","BEST_FPERIOD_OVERRIDE=FQ","FILING_STATUS=OR","EQY_CONSOLIDATED=Y","Sort=A","Dates=H","DateFormat=P","Fill=—","Direction=H","UseDPDF=Y")</f>
        <v>#NAME?</v>
      </c>
      <c r="CV395" s="2" t="e">
        <f ca="1">_xll.BDH($C$378,"ALTMAN_Z_SCORE","FQ2 2017","FQ2 2017","Currency=INR","Period=FQ","BEST_FPERIOD_OVERRIDE=FQ","FILING_STATUS=OR","EQY_CONSOLIDATED=Y","Sort=A","Dates=H","DateFormat=P","Fill=—","Direction=H","UseDPDF=Y")</f>
        <v>#NAME?</v>
      </c>
      <c r="CW395" s="4" t="e">
        <f ca="1">_xll.BDH($C$378,"ACCT_RCV_TURN","FQ2 2017","FQ2 2017","Currency=INR","Period=FQ","BEST_FPERIOD_OVERRIDE=FQ","FILING_STATUS=OR","EQY_CONSOLIDATED=Y","FA_ADJUSTED=GAAP","Sort=A","Dates=H","DateFormat=P","Fill=—","Direction=H","UseDPDF=Y")</f>
        <v>#NAME?</v>
      </c>
      <c r="CX395" s="2" t="e">
        <f ca="1">_xll.BDH($C$378,"ACCT_RCV_DAYS","FQ2 2017","FQ2 2017","Currency=INR","Period=FQ","BEST_FPERIOD_OVERRIDE=FQ","FILING_STATUS=OR","EQY_CONSOLIDATED=Y","FA_ADJUSTED=GAAP","Sort=A","Dates=H","DateFormat=P","Fill=—","Direction=H","UseDPDF=Y")</f>
        <v>#NAME?</v>
      </c>
      <c r="CY395" s="4" t="e">
        <f ca="1">_xll.BDH($C$378,"INVENT_TURN","FQ2 2017","FQ2 2017","Currency=INR","Period=FQ","BEST_FPERIOD_OVERRIDE=FQ","FILING_STATUS=OR","EQY_CONSOLIDATED=Y","FA_ADJUSTED=GAAP","Sort=A","Dates=H","DateFormat=P","Fill=—","Direction=H","UseDPDF=Y")</f>
        <v>#NAME?</v>
      </c>
      <c r="CZ395" s="2" t="e">
        <f ca="1">_xll.BDH($C$378,"INVENT_DAYS","FQ2 2017","FQ2 2017","Currency=INR","Period=FQ","BEST_FPERIOD_OVERRIDE=FQ","FILING_STATUS=OR","EQY_CONSOLIDATED=Y","FA_ADJUSTED=GAAP","Sort=A","Dates=H","DateFormat=P","Fill=—","Direction=H","UseDPDF=Y")</f>
        <v>#NAME?</v>
      </c>
      <c r="DA395" s="4" t="e">
        <f ca="1">_xll.BDH($C$378,"ACCOUNTS_PAYABLE_TURNOVER","FQ2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395" s="2" t="e">
        <f ca="1">_xll.BDH($C$378,"ACCOUNTS_PAYABLE_TURNOVER_DAYS","FQ2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395" s="4" t="e">
        <f ca="1">_xll.BDH($C$378,"CASH_CONVERSION_CYCLE","FQ2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395" s="4" t="e">
        <f ca="1">_xll.BDH($C$378,"INV_TO_CASH_DAYS","FQ2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395" s="5" t="e">
        <f ca="1">_xll.BDH($C$378,"BS_INVENTORIES","FQ2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395" s="3" t="e">
        <f ca="1">_xll.BDH($C$378,"INVTRY_RAW_MATERIALS","FQ2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395" s="3" t="e">
        <f ca="1">_xll.BDH($C$378,"INVTRY_IN_PROGRESS","FQ2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395" s="3" t="e">
        <f ca="1">_xll.BDH($C$378,"INVTRY_FINISHED_GOODS","FQ2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395" s="3" t="e">
        <f ca="1">_xll.BDH($C$378,"BS_OTHER_INV","FQ2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396" spans="1:113" x14ac:dyDescent="0.3">
      <c r="A396" s="6"/>
      <c r="B396" s="6"/>
      <c r="C396" s="6"/>
      <c r="D396" s="6"/>
      <c r="E396" t="s">
        <v>80</v>
      </c>
      <c r="F396" t="e">
        <f ca="1">_xll.BDH($C$378,"RETURN_COM_EQY","FQ3 2017","FQ3 2017","Currency=INR","Period=FQ","BEST_FPERIOD_OVERRIDE=FQ","FILING_STATUS=OR","EQY_CONSOLIDATED=Y","FA_ADJUSTED=GAAP","Sort=A","Dates=H","DateFormat=P","Fill=—","Direction=H","UseDPDF=Y")</f>
        <v>#NAME?</v>
      </c>
      <c r="G396" t="e">
        <f ca="1">_xll.BDH($C$378,"RETURN_ON_ASSET","FQ3 2017","FQ3 2017","Currency=INR","Period=FQ","BEST_FPERIOD_OVERRIDE=FQ","FILING_STATUS=OR","EQY_CONSOLIDATED=Y","FA_ADJUSTED=GAAP","Sort=A","Dates=H","DateFormat=P","Fill=—","Direction=H","UseDPDF=Y")</f>
        <v>#NAME?</v>
      </c>
      <c r="H396" t="e">
        <f ca="1">_xll.BDH($C$378,"RETURN_ON_CAP","FQ3 2017","FQ3 2017","Currency=INR","Period=FQ","BEST_FPERIOD_OVERRIDE=FQ","FILING_STATUS=OR","EQY_CONSOLIDATED=Y","FA_ADJUSTED=GAAP","Sort=A","Dates=H","DateFormat=P","Fill=—","Direction=H","UseDPDF=Y")</f>
        <v>#NAME?</v>
      </c>
      <c r="I396" t="e">
        <f ca="1">_xll.BDH($C$378,"RETURN_ON_INV_CAPITAL","FQ3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396" t="e">
        <f ca="1">_xll.BDH($C$378,"EBITDA_TO_REVENUE","FQ3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396" t="e">
        <f ca="1">_xll.BDH($C$378,"OPER_MARGIN","FQ3 2017","FQ3 2017","Currency=INR","Period=FQ","BEST_FPERIOD_OVERRIDE=FQ","FILING_STATUS=OR","EQY_CONSOLIDATED=Y","FA_ADJUSTED=GAAP","Sort=A","Dates=H","DateFormat=P","Fill=—","Direction=H","UseDPDF=Y")</f>
        <v>#NAME?</v>
      </c>
      <c r="L396" t="e">
        <f ca="1">_xll.BDH($C$378,"INCREMENTAL_OPERATING_MARGIN","FQ3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396" t="e">
        <f ca="1">_xll.BDH($C$378,"PRETAX_INC_TO_NET_SALES","FQ3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396" t="e">
        <f ca="1">_xll.BDH($C$378,"INC_BEF_XO_ITEMS_TO_NET_SALES","FQ3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396" t="e">
        <f ca="1">_xll.BDH($C$378,"PROF_MARGIN","FQ3 2017","FQ3 2017","Currency=INR","Period=FQ","BEST_FPERIOD_OVERRIDE=FQ","FILING_STATUS=OR","EQY_CONSOLIDATED=Y","FA_ADJUSTED=GAAP","Sort=A","Dates=H","DateFormat=P","Fill=—","Direction=H","UseDPDF=Y")</f>
        <v>#NAME?</v>
      </c>
      <c r="P396" t="e">
        <f ca="1">_xll.BDH($C$378,"NET_INCOME_TO_COMMON_MARGIN","FQ3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396" t="e">
        <f ca="1">_xll.BDH($C$378,"EFF_TAX_RATE","FQ3 2017","FQ3 2017","Currency=INR","Period=FQ","BEST_FPERIOD_OVERRIDE=FQ","FILING_STATUS=OR","EQY_CONSOLIDATED=Y","FA_ADJUSTED=GAAP","Sort=A","Dates=H","DateFormat=P","Fill=—","Direction=H","UseDPDF=Y")</f>
        <v>#NAME?</v>
      </c>
      <c r="R396" t="e">
        <f ca="1">_xll.BDH($C$378,"DVD_PAYOUT_RATIO","FQ3 2017","FQ3 2017","Currency=INR","Period=FQ","BEST_FPERIOD_OVERRIDE=FQ","FILING_STATUS=OR","EQY_CONSOLIDATED=Y","FA_ADJUSTED=GAAP","Sort=A","Dates=H","DateFormat=P","Fill=—","Direction=H","UseDPDF=Y")</f>
        <v>#NAME?</v>
      </c>
      <c r="S396" t="e">
        <f ca="1">_xll.BDH($C$378,"SUSTAIN_GROWTH_RT","FQ3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396" s="2" t="e">
        <f ca="1">_xll.BDH($C$378,"SALES_GROWTH","FQ3 2017","FQ3 2017","Currency=INR","Period=FQ","BEST_FPERIOD_OVERRIDE=FQ","FILING_STATUS=OR","EQY_CONSOLIDATED=Y","FA_ADJUSTED=GAAP","Sort=A","Dates=H","DateFormat=P","Fill=—","Direction=H","UseDPDF=Y")</f>
        <v>#NAME?</v>
      </c>
      <c r="U396" s="2" t="e">
        <f ca="1">_xll.BDH($C$378,"EBITDA_GROWTH","FQ3 2017","FQ3 2017","Currency=INR","Period=FQ","BEST_FPERIOD_OVERRIDE=FQ","FILING_STATUS=OR","EQY_CONSOLIDATED=Y","FA_ADJUSTED=GAAP","Sort=A","Dates=H","DateFormat=P","Fill=—","Direction=H","UseDPDF=Y")</f>
        <v>#NAME?</v>
      </c>
      <c r="V396" s="2" t="e">
        <f ca="1">_xll.BDH($C$378,"OPER_INC_GROWTH","FQ3 2017","FQ3 2017","Currency=INR","Period=FQ","BEST_FPERIOD_OVERRIDE=FQ","FILING_STATUS=OR","EQY_CONSOLIDATED=Y","FA_ADJUSTED=GAAP","Sort=A","Dates=H","DateFormat=P","Fill=—","Direction=H","UseDPDF=Y")</f>
        <v>#NAME?</v>
      </c>
      <c r="W396" s="2" t="e">
        <f ca="1">_xll.BDH($C$378,"EARN_FOR_COM_GROWTH","FQ3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396" s="2" t="e">
        <f ca="1">_xll.BDH($C$378,"DILUTED_EPS_AFT_XO_ITEMS_GROWTH","FQ3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396" s="2" t="e">
        <f ca="1">_xll.BDH($C$378,"DIVIDEND_PER_SHARE_1_YEAR_GROWTH","FQ3 2017","FQ3 2017","Currency=INR","Period=FQ","BEST_FPERIOD_OVERRIDE=FQ","FILING_STATUS=OR","EQY_CONSOLIDATED=Y","Sort=A","Dates=H","DateFormat=P","Fill=—","Direction=H","UseDPDF=Y")</f>
        <v>#NAME?</v>
      </c>
      <c r="Z396" s="2" t="e">
        <f ca="1">_xll.BDH($C$378,"ACCOUNTS_RECEIVABLE_GROWTH","FQ3 2017","FQ3 2017","Currency=INR","Period=FQ","BEST_FPERIOD_OVERRIDE=FQ","FILING_STATUS=OR","EQY_CONSOLIDATED=Y","Sort=A","Dates=H","DateFormat=P","Fill=—","Direction=H","UseDPDF=Y")</f>
        <v>#NAME?</v>
      </c>
      <c r="AA396" s="2" t="e">
        <f ca="1">_xll.BDH($C$378,"INVENTORY_GROWTH","FQ3 2017","FQ3 2017","Currency=INR","Period=FQ","BEST_FPERIOD_OVERRIDE=FQ","FILING_STATUS=OR","EQY_CONSOLIDATED=Y","Sort=A","Dates=H","DateFormat=P","Fill=—","Direction=H","UseDPDF=Y")</f>
        <v>#NAME?</v>
      </c>
      <c r="AB396" s="2" t="e">
        <f ca="1">_xll.BDH($C$378,"NET_FIXED_ASSETS_1_YEAR_GROWTH","FQ3 2017","FQ3 2017","Currency=INR","Period=FQ","BEST_FPERIOD_OVERRIDE=FQ","FILING_STATUS=OR","EQY_CONSOLIDATED=Y","Sort=A","Dates=H","DateFormat=P","Fill=—","Direction=H","UseDPDF=Y")</f>
        <v>#NAME?</v>
      </c>
      <c r="AC396" s="2" t="e">
        <f ca="1">_xll.BDH($C$378,"ASSET_GROWTH","FQ3 2017","FQ3 2017","Currency=INR","Period=FQ","BEST_FPERIOD_OVERRIDE=FQ","FILING_STATUS=OR","EQY_CONSOLIDATED=Y","Sort=A","Dates=H","DateFormat=P","Fill=—","Direction=H","UseDPDF=Y")</f>
        <v>#NAME?</v>
      </c>
      <c r="AD396" s="2" t="e">
        <f ca="1">_xll.BDH($C$378,"MODIFIED_WORK_CAP_GROWTH","FQ3 2017","FQ3 2017","Currency=INR","Period=FQ","BEST_FPERIOD_OVERRIDE=FQ","FILING_STATUS=OR","EQY_CONSOLIDATED=Y","Sort=A","Dates=H","DateFormat=P","Fill=—","Direction=H","UseDPDF=Y")</f>
        <v>#NAME?</v>
      </c>
      <c r="AE396" s="2" t="e">
        <f ca="1">_xll.BDH($C$378,"WORK_CAP_GROWTH","FQ3 2017","FQ3 2017","Currency=INR","Period=FQ","BEST_FPERIOD_OVERRIDE=FQ","FILING_STATUS=OR","EQY_CONSOLIDATED=Y","Sort=A","Dates=H","DateFormat=P","Fill=—","Direction=H","UseDPDF=Y")</f>
        <v>#NAME?</v>
      </c>
      <c r="AF396" s="2" t="e">
        <f ca="1">_xll.BDH($C$378,"ACCOUNTS_PAYABLE_GROWTH_1YR","FQ3 2017","FQ3 2017","Currency=INR","Period=FQ","BEST_FPERIOD_OVERRIDE=FQ","FILING_STATUS=OR","EQY_CONSOLIDATED=Y","Sort=A","Dates=H","DateFormat=P","Fill=—","Direction=H","UseDPDF=Y")</f>
        <v>#NAME?</v>
      </c>
      <c r="AG396" s="2" t="e">
        <f ca="1">_xll.BDH($C$378,"SHORT_TERM_DEBT_1_YEAR_GROWTH","FQ3 2017","FQ3 2017","Currency=INR","Period=FQ","BEST_FPERIOD_OVERRIDE=FQ","FILING_STATUS=OR","EQY_CONSOLIDATED=Y","Sort=A","Dates=H","DateFormat=P","Fill=—","Direction=H","UseDPDF=Y")</f>
        <v>#NAME?</v>
      </c>
      <c r="AH396" s="2" t="e">
        <f ca="1">_xll.BDH($C$378,"TOTAL_DEBT_1_YEAR_GROWTH","FQ3 2017","FQ3 2017","Currency=INR","Period=FQ","BEST_FPERIOD_OVERRIDE=FQ","FILING_STATUS=OR","EQY_CONSOLIDATED=Y","Sort=A","Dates=H","DateFormat=P","Fill=—","Direction=H","UseDPDF=Y")</f>
        <v>#NAME?</v>
      </c>
      <c r="AI396" s="2" t="e">
        <f ca="1">_xll.BDH($C$378,"TOTAL_EQUITY_1_YEAR_GROWTH","FQ3 2017","FQ3 2017","Currency=INR","Period=FQ","BEST_FPERIOD_OVERRIDE=FQ","FILING_STATUS=OR","EQY_CONSOLIDATED=Y","Sort=A","Dates=H","DateFormat=P","Fill=—","Direction=H","UseDPDF=Y")</f>
        <v>#NAME?</v>
      </c>
      <c r="AJ396" s="2" t="e">
        <f ca="1">_xll.BDH($C$378,"GROWTH_IN_CAP","FQ3 2017","FQ3 2017","Currency=INR","Period=FQ","BEST_FPERIOD_OVERRIDE=FQ","FILING_STATUS=OR","EQY_CONSOLIDATED=Y","Sort=A","Dates=H","DateFormat=P","Fill=—","Direction=H","UseDPDF=Y")</f>
        <v>#NAME?</v>
      </c>
      <c r="AK396" s="2" t="e">
        <f ca="1">_xll.BDH($C$378,"BVPS_GROWTH","FQ3 2017","FQ3 2017","Currency=INR","Period=FQ","BEST_FPERIOD_OVERRIDE=FQ","FILING_STATUS=OR","EQY_CONSOLIDATED=Y","Sort=A","Dates=H","DateFormat=P","Fill=—","Direction=H","UseDPDF=Y")</f>
        <v>#NAME?</v>
      </c>
      <c r="AL396" s="2" t="e">
        <f ca="1">_xll.BDH($C$378,"CASH_FLOW_GROWTH","FQ3 2017","FQ3 2017","Currency=INR","Period=FQ","BEST_FPERIOD_OVERRIDE=FQ","FILING_STATUS=OR","EQY_CONSOLIDATED=Y","Sort=A","Dates=H","DateFormat=P","Fill=—","Direction=H","UseDPDF=Y")</f>
        <v>#NAME?</v>
      </c>
      <c r="AM396" s="2" t="e">
        <f ca="1">_xll.BDH($C$378,"GEO_GROW_NET_SALES","FQ3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396" s="2" t="e">
        <f ca="1">_xll.BDH($C$378,"GEO_GROW_EBITDA","FQ3 2017","FQ3 2017","Currency=INR","Period=FQ","BEST_FPERIOD_OVERRIDE=FQ","FILING_STATUS=OR","EQY_CONSOLIDATED=Y","FA_ADJUSTED=GAAP","Sort=A","Dates=H","DateFormat=P","Fill=—","Direction=H","UseDPDF=Y")</f>
        <v>#NAME?</v>
      </c>
      <c r="AO396" s="2" t="e">
        <f ca="1">_xll.BDH($C$378,"GEO_GROW_OPER_INC","FQ3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396" s="2" t="e">
        <f ca="1">_xll.BDH($C$378,"NET_INCOME_TO_COMMON_5_YR_GROWTH","FQ3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396" s="2" t="e">
        <f ca="1">_xll.BDH($C$378,"5Y_GEO_GROWTH_DILUTED_EPS","FQ3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396" s="2" t="e">
        <f ca="1">_xll.BDH($C$378,"GEO_GROW_DVD_PER_SH","FQ3 2017","FQ3 2017","Currency=INR","Period=FQ","BEST_FPERIOD_OVERRIDE=FQ","FILING_STATUS=OR","EQY_CONSOLIDATED=Y","Sort=A","Dates=H","DateFormat=P","Fill=—","Direction=H","UseDPDF=Y")</f>
        <v>#NAME?</v>
      </c>
      <c r="AS396" s="2" t="e">
        <f ca="1">_xll.BDH($C$378,"ACCOUNTS_RECEIVABLE_5_YR_GROWTH","FQ3 2017","FQ3 2017","Currency=INR","Period=FQ","BEST_FPERIOD_OVERRIDE=FQ","FILING_STATUS=OR","EQY_CONSOLIDATED=Y","Sort=A","Dates=H","DateFormat=P","Fill=—","Direction=H","UseDPDF=Y")</f>
        <v>#NAME?</v>
      </c>
      <c r="AT396" s="2" t="e">
        <f ca="1">_xll.BDH($C$378,"INVENTORY_5_YEAR_GROWTH","FQ3 2017","FQ3 2017","Currency=INR","Period=FQ","BEST_FPERIOD_OVERRIDE=FQ","FILING_STATUS=OR","EQY_CONSOLIDATED=Y","Sort=A","Dates=H","DateFormat=P","Fill=—","Direction=H","UseDPDF=Y")</f>
        <v>#NAME?</v>
      </c>
      <c r="AU396" s="2" t="e">
        <f ca="1">_xll.BDH($C$378,"NET_FIXED_ASSETS_5_YEAR_GROWTH","FQ3 2017","FQ3 2017","Currency=INR","Period=FQ","BEST_FPERIOD_OVERRIDE=FQ","FILING_STATUS=OR","EQY_CONSOLIDATED=Y","Sort=A","Dates=H","DateFormat=P","Fill=—","Direction=H","UseDPDF=Y")</f>
        <v>#NAME?</v>
      </c>
      <c r="AV396" s="2" t="e">
        <f ca="1">_xll.BDH($C$378,"GEO_GROW_TOT_ASSET","FQ3 2017","FQ3 2017","Currency=INR","Period=FQ","BEST_FPERIOD_OVERRIDE=FQ","FILING_STATUS=OR","EQY_CONSOLIDATED=Y","Sort=A","Dates=H","DateFormat=P","Fill=—","Direction=H","UseDPDF=Y")</f>
        <v>#NAME?</v>
      </c>
      <c r="AW396" s="2" t="e">
        <f ca="1">_xll.BDH($C$378,"MODIFIED_WORKING_CPTL_5YR_GRWTH","FQ3 2017","FQ3 2017","Currency=INR","Period=FQ","BEST_FPERIOD_OVERRIDE=FQ","FILING_STATUS=OR","EQY_CONSOLIDATED=Y","Sort=A","Dates=H","DateFormat=P","Fill=—","Direction=H","UseDPDF=Y")</f>
        <v>#NAME?</v>
      </c>
      <c r="AX396" s="2" t="e">
        <f ca="1">_xll.BDH($C$378,"WORKING_CAPITAL_5_YEAR_GROWTH","FQ3 2017","FQ3 2017","Currency=INR","Period=FQ","BEST_FPERIOD_OVERRIDE=FQ","FILING_STATUS=OR","EQY_CONSOLIDATED=Y","Sort=A","Dates=H","DateFormat=P","Fill=—","Direction=H","UseDPDF=Y")</f>
        <v>#NAME?</v>
      </c>
      <c r="AY396" s="2" t="e">
        <f ca="1">_xll.BDH($C$378,"ACCOUNTS_PAYABLE_5_YEAR_GROWTH","FQ3 2017","FQ3 2017","Currency=INR","Period=FQ","BEST_FPERIOD_OVERRIDE=FQ","FILING_STATUS=OR","EQY_CONSOLIDATED=Y","Sort=A","Dates=H","DateFormat=P","Fill=—","Direction=H","UseDPDF=Y")</f>
        <v>#NAME?</v>
      </c>
      <c r="AZ396" s="2" t="e">
        <f ca="1">_xll.BDH($C$378,"SHORT_TERM_DEBT_5_YEAR_GROWTH","FQ3 2017","FQ3 2017","Currency=INR","Period=FQ","BEST_FPERIOD_OVERRIDE=FQ","FILING_STATUS=OR","EQY_CONSOLIDATED=Y","Sort=A","Dates=H","DateFormat=P","Fill=—","Direction=H","UseDPDF=Y")</f>
        <v>#NAME?</v>
      </c>
      <c r="BA396" s="2" t="e">
        <f ca="1">_xll.BDH($C$378,"TOTAL_DEBT_5_YEAR_GROWTH","FQ3 2017","FQ3 2017","Currency=INR","Period=FQ","BEST_FPERIOD_OVERRIDE=FQ","FILING_STATUS=OR","EQY_CONSOLIDATED=Y","Sort=A","Dates=H","DateFormat=P","Fill=—","Direction=H","UseDPDF=Y")</f>
        <v>#NAME?</v>
      </c>
      <c r="BB396" s="2" t="e">
        <f ca="1">_xll.BDH($C$378,"GEO_GROW_TOT_SHRHLDR_EQY","FQ3 2017","FQ3 2017","Currency=INR","Period=FQ","BEST_FPERIOD_OVERRIDE=FQ","FILING_STATUS=OR","EQY_CONSOLIDATED=Y","Sort=A","Dates=H","DateFormat=P","Fill=—","Direction=H","UseDPDF=Y")</f>
        <v>#NAME?</v>
      </c>
      <c r="BC396" s="2" t="e">
        <f ca="1">_xll.BDH($C$378,"TOTAL_CAPITAL_5_YEAR_GROWTH","FQ3 2017","FQ3 2017","Currency=INR","Period=FQ","BEST_FPERIOD_OVERRIDE=FQ","FILING_STATUS=OR","EQY_CONSOLIDATED=Y","Sort=A","Dates=H","DateFormat=P","Fill=—","Direction=H","UseDPDF=Y")</f>
        <v>#NAME?</v>
      </c>
      <c r="BD396" s="2" t="e">
        <f ca="1">_xll.BDH($C$378,"GEO_GROW_BOOK_VAL","FQ3 2017","FQ3 2017","Currency=INR","Period=FQ","BEST_FPERIOD_OVERRIDE=FQ","FILING_STATUS=OR","EQY_CONSOLIDATED=Y","Sort=A","Dates=H","DateFormat=P","Fill=—","Direction=H","UseDPDF=Y")</f>
        <v>#NAME?</v>
      </c>
      <c r="BE396" s="2" t="e">
        <f ca="1">_xll.BDH($C$378,"GEO_GROW_CASH_OPER_ACT","FQ3 2017","FQ3 2017","Currency=INR","Period=FQ","BEST_FPERIOD_OVERRIDE=FQ","FILING_STATUS=OR","EQY_CONSOLIDATED=Y","Sort=A","Dates=H","DateFormat=P","Fill=—","Direction=H","UseDPDF=Y")</f>
        <v>#NAME?</v>
      </c>
      <c r="BF396" s="2" t="e">
        <f ca="1">_xll.BDH($C$378,"REVENUE_SEQUENTIAL_GROWTH","FQ3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396" s="2" t="e">
        <f ca="1">_xll.BDH($C$378,"EBITDA_SEQUENTIAL_GROWTH","FQ3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396" s="2" t="e">
        <f ca="1">_xll.BDH($C$378,"OPERATING_INCOME_SEQ_GROWTH","FQ3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396" s="2" t="e">
        <f ca="1">_xll.BDH($C$378,"NET_INCOME_TO_COMMON_SEQ_GROWTH","FQ3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396" s="2" t="e">
        <f ca="1">_xll.BDH($C$378,"EPS_DILUTED_SEQUENTIAL_GROWTH","FQ3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396" s="2" t="e">
        <f ca="1">_xll.BDH($C$378,"DPS_SEQUENTIAL_GROWTH","FQ3 2017","FQ3 2017","Currency=INR","Period=FQ","BEST_FPERIOD_OVERRIDE=FQ","FILING_STATUS=OR","EQY_CONSOLIDATED=Y","Sort=A","Dates=H","DateFormat=P","Fill=—","Direction=H","UseDPDF=Y")</f>
        <v>#NAME?</v>
      </c>
      <c r="BL396" s="2" t="e">
        <f ca="1">_xll.BDH($C$378,"ACCOUNTS_RECEIVABLE_SEQ_GROWTH","FQ3 2017","FQ3 2017","Currency=INR","Period=FQ","BEST_FPERIOD_OVERRIDE=FQ","FILING_STATUS=OR","EQY_CONSOLIDATED=Y","Sort=A","Dates=H","DateFormat=P","Fill=—","Direction=H","UseDPDF=Y")</f>
        <v>#NAME?</v>
      </c>
      <c r="BM396" s="2" t="e">
        <f ca="1">_xll.BDH($C$378,"INVENTORY_SEQUENTIAL_GROWTH","FQ3 2017","FQ3 2017","Currency=INR","Period=FQ","BEST_FPERIOD_OVERRIDE=FQ","FILING_STATUS=OR","EQY_CONSOLIDATED=Y","Sort=A","Dates=H","DateFormat=P","Fill=—","Direction=H","UseDPDF=Y")</f>
        <v>#NAME?</v>
      </c>
      <c r="BN396" s="2" t="e">
        <f ca="1">_xll.BDH($C$378,"FIXED_ASSETS_SEQUENTIAL_GROWTH","FQ3 2017","FQ3 2017","Currency=INR","Period=FQ","BEST_FPERIOD_OVERRIDE=FQ","FILING_STATUS=OR","EQY_CONSOLIDATED=Y","Sort=A","Dates=H","DateFormat=P","Fill=—","Direction=H","UseDPDF=Y")</f>
        <v>#NAME?</v>
      </c>
      <c r="BO396" s="2" t="e">
        <f ca="1">_xll.BDH($C$378,"TOTAL_ASSETS_SEQUENTIAL_GROWTH","FQ3 2017","FQ3 2017","Currency=INR","Period=FQ","BEST_FPERIOD_OVERRIDE=FQ","FILING_STATUS=OR","EQY_CONSOLIDATED=Y","Sort=A","Dates=H","DateFormat=P","Fill=—","Direction=H","UseDPDF=Y")</f>
        <v>#NAME?</v>
      </c>
      <c r="BP396" s="2" t="e">
        <f ca="1">_xll.BDH($C$378,"MODIFIED_WORKING_CPTL_SEQ_GRWTH","FQ3 2017","FQ3 2017","Currency=INR","Period=FQ","BEST_FPERIOD_OVERRIDE=FQ","FILING_STATUS=OR","EQY_CONSOLIDATED=Y","Sort=A","Dates=H","DateFormat=P","Fill=—","Direction=H","UseDPDF=Y")</f>
        <v>#NAME?</v>
      </c>
      <c r="BQ396" s="2" t="e">
        <f ca="1">_xll.BDH($C$378,"WORKING_CAPITAL_SEQ_GROWTH","FQ3 2017","FQ3 2017","Currency=INR","Period=FQ","BEST_FPERIOD_OVERRIDE=FQ","FILING_STATUS=OR","EQY_CONSOLIDATED=Y","Sort=A","Dates=H","DateFormat=P","Fill=—","Direction=H","UseDPDF=Y")</f>
        <v>#NAME?</v>
      </c>
      <c r="BR396" s="2" t="e">
        <f ca="1">_xll.BDH($C$378,"ACCOUNTS_PAYABLE_SEQ_GROWTH","FQ3 2017","FQ3 2017","Currency=INR","Period=FQ","BEST_FPERIOD_OVERRIDE=FQ","FILING_STATUS=OR","EQY_CONSOLIDATED=Y","Sort=A","Dates=H","DateFormat=P","Fill=—","Direction=H","UseDPDF=Y")</f>
        <v>#NAME?</v>
      </c>
      <c r="BS396" s="2" t="e">
        <f ca="1">_xll.BDH($C$378,"ST_DEBT_SEQUENTIAL_GROWTH","FQ3 2017","FQ3 2017","Currency=INR","Period=FQ","BEST_FPERIOD_OVERRIDE=FQ","FILING_STATUS=OR","EQY_CONSOLIDATED=Y","Sort=A","Dates=H","DateFormat=P","Fill=—","Direction=H","UseDPDF=Y")</f>
        <v>#NAME?</v>
      </c>
      <c r="BT396" s="2" t="e">
        <f ca="1">_xll.BDH($C$378,"TOTAL_DEBT_SEQUENTIAL_GROWTH","FQ3 2017","FQ3 2017","Currency=INR","Period=FQ","BEST_FPERIOD_OVERRIDE=FQ","FILING_STATUS=OR","EQY_CONSOLIDATED=Y","Sort=A","Dates=H","DateFormat=P","Fill=—","Direction=H","UseDPDF=Y")</f>
        <v>#NAME?</v>
      </c>
      <c r="BU396" s="2" t="e">
        <f ca="1">_xll.BDH($C$378,"TOTAL_EQUITY_SEQUENTIAL_GROWTH","FQ3 2017","FQ3 2017","Currency=INR","Period=FQ","BEST_FPERIOD_OVERRIDE=FQ","FILING_STATUS=OR","EQY_CONSOLIDATED=Y","Sort=A","Dates=H","DateFormat=P","Fill=—","Direction=H","UseDPDF=Y")</f>
        <v>#NAME?</v>
      </c>
      <c r="BV396" s="2" t="e">
        <f ca="1">_xll.BDH($C$378,"TOTAL_CAPITAL_SEQUENTIAL_GROWTH","FQ3 2017","FQ3 2017","Currency=INR","Period=FQ","BEST_FPERIOD_OVERRIDE=FQ","FILING_STATUS=OR","EQY_CONSOLIDATED=Y","Sort=A","Dates=H","DateFormat=P","Fill=—","Direction=H","UseDPDF=Y")</f>
        <v>#NAME?</v>
      </c>
      <c r="BW396" s="2" t="e">
        <f ca="1">_xll.BDH($C$378,"BPS_SEQUENTIAL_GROWTH","FQ3 2017","FQ3 2017","Currency=INR","Period=FQ","BEST_FPERIOD_OVERRIDE=FQ","FILING_STATUS=OR","EQY_CONSOLIDATED=Y","Sort=A","Dates=H","DateFormat=P","Fill=—","Direction=H","UseDPDF=Y")</f>
        <v>#NAME?</v>
      </c>
      <c r="BX396" s="2" t="e">
        <f ca="1">_xll.BDH($C$378,"CFO_SEQUENTIAL_GROWTH","FQ3 2017","FQ3 2017","Currency=INR","Period=FQ","BEST_FPERIOD_OVERRIDE=FQ","FILING_STATUS=OR","EQY_CONSOLIDATED=Y","Sort=A","Dates=H","DateFormat=P","Fill=—","Direction=H","UseDPDF=Y")</f>
        <v>#NAME?</v>
      </c>
      <c r="BY396" s="3" t="e">
        <f ca="1">_xll.BDH($C$378,"SHORT_AND_LONG_TERM_DEBT","FQ3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396" s="3" t="e">
        <f ca="1">_xll.BDH($C$378,"BS_ST_BORROW","FQ3 2017","FQ3 2017","Currency=INR","Period=FQ","BEST_FPERIOD_OVERRIDE=FQ","FILING_STATUS=OR","EQY_CONSOLIDATED=Y","SCALING_FORMAT=MLN","Sort=A","Dates=H","DateFormat=P","Fill=—","Direction=H","UseDPDF=Y")</f>
        <v>#NAME?</v>
      </c>
      <c r="CA396" s="3" t="e">
        <f ca="1">_xll.BDH($C$378,"BS_LT_BORROW","FQ3 2017","FQ3 2017","Currency=INR","Period=FQ","BEST_FPERIOD_OVERRIDE=FQ","FILING_STATUS=OR","EQY_CONSOLIDATED=Y","SCALING_FORMAT=MLN","Sort=A","Dates=H","DateFormat=P","Fill=—","Direction=H","UseDPDF=Y")</f>
        <v>#NAME?</v>
      </c>
      <c r="CB396" s="2" t="e">
        <f ca="1">_xll.BDH($C$378,"TOT_DEBT_TO_EBITDA","FQ3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396" s="2" t="e">
        <f ca="1">_xll.BDH($C$378,"NET_DEBT_TO_EBITDA","FQ3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396" s="2" t="e">
        <f ca="1">_xll.BDH($C$378,"TOTAL_DEBT_TO_EBIT","FQ3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396" s="2" t="e">
        <f ca="1">_xll.BDH($C$378,"NET_DEBT_TO_EBIT","FQ3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396" s="2" t="e">
        <f ca="1">_xll.BDH($C$378,"EBITDA_TO_INTEREST_EXPN","FQ3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396" s="2" t="e">
        <f ca="1">_xll.BDH($C$378,"COM_EQY_TO_TOT_ASSET","FQ3 2017","FQ3 2017","Currency=INR","Period=FQ","BEST_FPERIOD_OVERRIDE=FQ","FILING_STATUS=OR","EQY_CONSOLIDATED=Y","Sort=A","Dates=H","DateFormat=P","Fill=—","Direction=H","UseDPDF=Y")</f>
        <v>#NAME?</v>
      </c>
      <c r="CH396" s="2" t="e">
        <f ca="1">_xll.BDH($C$378,"LT_DEBT_TO_TOT_EQY","FQ3 2017","FQ3 2017","Currency=INR","Period=FQ","BEST_FPERIOD_OVERRIDE=FQ","FILING_STATUS=OR","EQY_CONSOLIDATED=Y","Sort=A","Dates=H","DateFormat=P","Fill=—","Direction=H","UseDPDF=Y")</f>
        <v>#NAME?</v>
      </c>
      <c r="CI396" s="2" t="e">
        <f ca="1">_xll.BDH($C$378,"LT_DEBT_TO_TOT_CAP","FQ3 2017","FQ3 2017","Currency=INR","Period=FQ","BEST_FPERIOD_OVERRIDE=FQ","FILING_STATUS=OR","EQY_CONSOLIDATED=Y","Sort=A","Dates=H","DateFormat=P","Fill=—","Direction=H","UseDPDF=Y")</f>
        <v>#NAME?</v>
      </c>
      <c r="CJ396" s="2" t="e">
        <f ca="1">_xll.BDH($C$378,"LT_DEBT_TO_TOT_ASSET","FQ3 2017","FQ3 2017","Currency=INR","Period=FQ","BEST_FPERIOD_OVERRIDE=FQ","FILING_STATUS=OR","EQY_CONSOLIDATED=Y","Sort=A","Dates=H","DateFormat=P","Fill=—","Direction=H","UseDPDF=Y")</f>
        <v>#NAME?</v>
      </c>
      <c r="CK396" s="2" t="e">
        <f ca="1">_xll.BDH($C$378,"TOT_DEBT_TO_TOT_EQY","FQ3 2017","FQ3 2017","Currency=INR","Period=FQ","BEST_FPERIOD_OVERRIDE=FQ","FILING_STATUS=OR","EQY_CONSOLIDATED=Y","Sort=A","Dates=H","DateFormat=P","Fill=—","Direction=H","UseDPDF=Y")</f>
        <v>#NAME?</v>
      </c>
      <c r="CL396" s="2" t="e">
        <f ca="1">_xll.BDH($C$378,"TOT_DEBT_TO_TOT_CAP","FQ3 2017","FQ3 2017","Currency=INR","Period=FQ","BEST_FPERIOD_OVERRIDE=FQ","FILING_STATUS=OR","EQY_CONSOLIDATED=Y","Sort=A","Dates=H","DateFormat=P","Fill=—","Direction=H","UseDPDF=Y")</f>
        <v>#NAME?</v>
      </c>
      <c r="CM396" s="2" t="e">
        <f ca="1">_xll.BDH($C$378,"TOT_DEBT_TO_TOT_ASSET","FQ3 2017","FQ3 2017","Currency=INR","Period=FQ","BEST_FPERIOD_OVERRIDE=FQ","FILING_STATUS=OR","EQY_CONSOLIDATED=Y","Sort=A","Dates=H","DateFormat=P","Fill=—","Direction=H","UseDPDF=Y")</f>
        <v>#NAME?</v>
      </c>
      <c r="CN396" s="2" t="e">
        <f ca="1">_xll.BDH($C$378,"NET_DEBT_TO_SHRHLDR_EQTY","FQ3 2017","FQ3 2017","Currency=INR","Period=FQ","BEST_FPERIOD_OVERRIDE=FQ","FILING_STATUS=OR","EQY_CONSOLIDATED=Y","Sort=A","Dates=H","DateFormat=P","Fill=—","Direction=H","UseDPDF=Y")</f>
        <v>#NAME?</v>
      </c>
      <c r="CO396" s="2" t="e">
        <f ca="1">_xll.BDH($C$378,"NET_DEBT_%_CAPITAL","FQ3 2017","FQ3 2017","Currency=INR","Period=FQ","BEST_FPERIOD_OVERRIDE=FQ","FILING_STATUS=OR","EQY_CONSOLIDATED=Y","Sort=A","Dates=H","DateFormat=P","Fill=—","Direction=H","UseDPDF=Y")</f>
        <v>#NAME?</v>
      </c>
      <c r="CP396" s="3" t="e">
        <f ca="1">_xll.BDH($C$378,"EBITDA","FQ3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396" s="3" t="e">
        <f ca="1">_xll.BDH($C$378,"EBITDA_AFTER_CAPEX","FQ3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396" s="3" t="e">
        <f ca="1">_xll.BDH($C$378,"IS_OPER_INC","FQ3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396" s="2" t="e">
        <f ca="1">_xll.BDH($C$378,"CASH_RATIO","FQ3 2017","FQ3 2017","Currency=INR","Period=FQ","BEST_FPERIOD_OVERRIDE=FQ","FILING_STATUS=OR","EQY_CONSOLIDATED=Y","Sort=A","Dates=H","DateFormat=P","Fill=—","Direction=H","UseDPDF=Y")</f>
        <v>#NAME?</v>
      </c>
      <c r="CT396" s="2" t="e">
        <f ca="1">_xll.BDH($C$378,"CUR_RATIO","FQ3 2017","FQ3 2017","Currency=INR","Period=FQ","BEST_FPERIOD_OVERRIDE=FQ","FILING_STATUS=OR","EQY_CONSOLIDATED=Y","Sort=A","Dates=H","DateFormat=P","Fill=—","Direction=H","UseDPDF=Y")</f>
        <v>#NAME?</v>
      </c>
      <c r="CU396" s="2" t="e">
        <f ca="1">_xll.BDH($C$378,"QUICK_RATIO","FQ3 2017","FQ3 2017","Currency=INR","Period=FQ","BEST_FPERIOD_OVERRIDE=FQ","FILING_STATUS=OR","EQY_CONSOLIDATED=Y","Sort=A","Dates=H","DateFormat=P","Fill=—","Direction=H","UseDPDF=Y")</f>
        <v>#NAME?</v>
      </c>
      <c r="CV396" s="2" t="e">
        <f ca="1">_xll.BDH($C$378,"ALTMAN_Z_SCORE","FQ3 2017","FQ3 2017","Currency=INR","Period=FQ","BEST_FPERIOD_OVERRIDE=FQ","FILING_STATUS=OR","EQY_CONSOLIDATED=Y","Sort=A","Dates=H","DateFormat=P","Fill=—","Direction=H","UseDPDF=Y")</f>
        <v>#NAME?</v>
      </c>
      <c r="CW396" s="4" t="e">
        <f ca="1">_xll.BDH($C$378,"ACCT_RCV_TURN","FQ3 2017","FQ3 2017","Currency=INR","Period=FQ","BEST_FPERIOD_OVERRIDE=FQ","FILING_STATUS=OR","EQY_CONSOLIDATED=Y","FA_ADJUSTED=GAAP","Sort=A","Dates=H","DateFormat=P","Fill=—","Direction=H","UseDPDF=Y")</f>
        <v>#NAME?</v>
      </c>
      <c r="CX396" s="2" t="e">
        <f ca="1">_xll.BDH($C$378,"ACCT_RCV_DAYS","FQ3 2017","FQ3 2017","Currency=INR","Period=FQ","BEST_FPERIOD_OVERRIDE=FQ","FILING_STATUS=OR","EQY_CONSOLIDATED=Y","FA_ADJUSTED=GAAP","Sort=A","Dates=H","DateFormat=P","Fill=—","Direction=H","UseDPDF=Y")</f>
        <v>#NAME?</v>
      </c>
      <c r="CY396" s="4" t="e">
        <f ca="1">_xll.BDH($C$378,"INVENT_TURN","FQ3 2017","FQ3 2017","Currency=INR","Period=FQ","BEST_FPERIOD_OVERRIDE=FQ","FILING_STATUS=OR","EQY_CONSOLIDATED=Y","FA_ADJUSTED=GAAP","Sort=A","Dates=H","DateFormat=P","Fill=—","Direction=H","UseDPDF=Y")</f>
        <v>#NAME?</v>
      </c>
      <c r="CZ396" s="2" t="e">
        <f ca="1">_xll.BDH($C$378,"INVENT_DAYS","FQ3 2017","FQ3 2017","Currency=INR","Period=FQ","BEST_FPERIOD_OVERRIDE=FQ","FILING_STATUS=OR","EQY_CONSOLIDATED=Y","FA_ADJUSTED=GAAP","Sort=A","Dates=H","DateFormat=P","Fill=—","Direction=H","UseDPDF=Y")</f>
        <v>#NAME?</v>
      </c>
      <c r="DA396" s="4" t="e">
        <f ca="1">_xll.BDH($C$378,"ACCOUNTS_PAYABLE_TURNOVER","FQ3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396" s="2" t="e">
        <f ca="1">_xll.BDH($C$378,"ACCOUNTS_PAYABLE_TURNOVER_DAYS","FQ3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396" s="4" t="e">
        <f ca="1">_xll.BDH($C$378,"CASH_CONVERSION_CYCLE","FQ3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396" s="4" t="e">
        <f ca="1">_xll.BDH($C$378,"INV_TO_CASH_DAYS","FQ3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396" s="5" t="e">
        <f ca="1">_xll.BDH($C$378,"BS_INVENTORIES","FQ3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396" s="3" t="e">
        <f ca="1">_xll.BDH($C$378,"INVTRY_RAW_MATERIALS","FQ3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396" s="3" t="e">
        <f ca="1">_xll.BDH($C$378,"INVTRY_IN_PROGRESS","FQ3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396" s="3" t="e">
        <f ca="1">_xll.BDH($C$378,"INVTRY_FINISHED_GOODS","FQ3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396" s="3" t="e">
        <f ca="1">_xll.BDH($C$378,"BS_OTHER_INV","FQ3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397" spans="1:113" x14ac:dyDescent="0.3">
      <c r="A397" s="6"/>
      <c r="B397" s="6"/>
      <c r="C397" s="6"/>
      <c r="D397" s="6"/>
      <c r="E397" t="s">
        <v>81</v>
      </c>
      <c r="F397" t="e">
        <f ca="1">_xll.BDH($C$378,"RETURN_COM_EQY","FQ4 2017","FQ4 2017","Currency=INR","Period=FQ","BEST_FPERIOD_OVERRIDE=FQ","FILING_STATUS=OR","EQY_CONSOLIDATED=Y","FA_ADJUSTED=GAAP","Sort=A","Dates=H","DateFormat=P","Fill=—","Direction=H","UseDPDF=Y")</f>
        <v>#NAME?</v>
      </c>
      <c r="G397" t="e">
        <f ca="1">_xll.BDH($C$378,"RETURN_ON_ASSET","FQ4 2017","FQ4 2017","Currency=INR","Period=FQ","BEST_FPERIOD_OVERRIDE=FQ","FILING_STATUS=OR","EQY_CONSOLIDATED=Y","FA_ADJUSTED=GAAP","Sort=A","Dates=H","DateFormat=P","Fill=—","Direction=H","UseDPDF=Y")</f>
        <v>#NAME?</v>
      </c>
      <c r="H397" t="e">
        <f ca="1">_xll.BDH($C$378,"RETURN_ON_CAP","FQ4 2017","FQ4 2017","Currency=INR","Period=FQ","BEST_FPERIOD_OVERRIDE=FQ","FILING_STATUS=OR","EQY_CONSOLIDATED=Y","FA_ADJUSTED=GAAP","Sort=A","Dates=H","DateFormat=P","Fill=—","Direction=H","UseDPDF=Y")</f>
        <v>#NAME?</v>
      </c>
      <c r="I397" t="e">
        <f ca="1">_xll.BDH($C$378,"RETURN_ON_INV_CAPITAL","FQ4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397" t="e">
        <f ca="1">_xll.BDH($C$378,"EBITDA_TO_REVENUE","FQ4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397" t="e">
        <f ca="1">_xll.BDH($C$378,"OPER_MARGIN","FQ4 2017","FQ4 2017","Currency=INR","Period=FQ","BEST_FPERIOD_OVERRIDE=FQ","FILING_STATUS=OR","EQY_CONSOLIDATED=Y","FA_ADJUSTED=GAAP","Sort=A","Dates=H","DateFormat=P","Fill=—","Direction=H","UseDPDF=Y")</f>
        <v>#NAME?</v>
      </c>
      <c r="L397" t="e">
        <f ca="1">_xll.BDH($C$378,"INCREMENTAL_OPERATING_MARGIN","FQ4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397" t="e">
        <f ca="1">_xll.BDH($C$378,"PRETAX_INC_TO_NET_SALES","FQ4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397" t="e">
        <f ca="1">_xll.BDH($C$378,"INC_BEF_XO_ITEMS_TO_NET_SALES","FQ4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397" t="e">
        <f ca="1">_xll.BDH($C$378,"PROF_MARGIN","FQ4 2017","FQ4 2017","Currency=INR","Period=FQ","BEST_FPERIOD_OVERRIDE=FQ","FILING_STATUS=OR","EQY_CONSOLIDATED=Y","FA_ADJUSTED=GAAP","Sort=A","Dates=H","DateFormat=P","Fill=—","Direction=H","UseDPDF=Y")</f>
        <v>#NAME?</v>
      </c>
      <c r="P397" t="e">
        <f ca="1">_xll.BDH($C$378,"NET_INCOME_TO_COMMON_MARGIN","FQ4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397" t="e">
        <f ca="1">_xll.BDH($C$378,"EFF_TAX_RATE","FQ4 2017","FQ4 2017","Currency=INR","Period=FQ","BEST_FPERIOD_OVERRIDE=FQ","FILING_STATUS=OR","EQY_CONSOLIDATED=Y","FA_ADJUSTED=GAAP","Sort=A","Dates=H","DateFormat=P","Fill=—","Direction=H","UseDPDF=Y")</f>
        <v>#NAME?</v>
      </c>
      <c r="R397" t="e">
        <f ca="1">_xll.BDH($C$378,"DVD_PAYOUT_RATIO","FQ4 2017","FQ4 2017","Currency=INR","Period=FQ","BEST_FPERIOD_OVERRIDE=FQ","FILING_STATUS=OR","EQY_CONSOLIDATED=Y","FA_ADJUSTED=GAAP","Sort=A","Dates=H","DateFormat=P","Fill=—","Direction=H","UseDPDF=Y")</f>
        <v>#NAME?</v>
      </c>
      <c r="S397" t="e">
        <f ca="1">_xll.BDH($C$378,"SUSTAIN_GROWTH_RT","FQ4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397" s="2" t="e">
        <f ca="1">_xll.BDH($C$378,"SALES_GROWTH","FQ4 2017","FQ4 2017","Currency=INR","Period=FQ","BEST_FPERIOD_OVERRIDE=FQ","FILING_STATUS=OR","EQY_CONSOLIDATED=Y","FA_ADJUSTED=GAAP","Sort=A","Dates=H","DateFormat=P","Fill=—","Direction=H","UseDPDF=Y")</f>
        <v>#NAME?</v>
      </c>
      <c r="U397" s="2" t="e">
        <f ca="1">_xll.BDH($C$378,"EBITDA_GROWTH","FQ4 2017","FQ4 2017","Currency=INR","Period=FQ","BEST_FPERIOD_OVERRIDE=FQ","FILING_STATUS=OR","EQY_CONSOLIDATED=Y","FA_ADJUSTED=GAAP","Sort=A","Dates=H","DateFormat=P","Fill=—","Direction=H","UseDPDF=Y")</f>
        <v>#NAME?</v>
      </c>
      <c r="V397" s="2" t="e">
        <f ca="1">_xll.BDH($C$378,"OPER_INC_GROWTH","FQ4 2017","FQ4 2017","Currency=INR","Period=FQ","BEST_FPERIOD_OVERRIDE=FQ","FILING_STATUS=OR","EQY_CONSOLIDATED=Y","FA_ADJUSTED=GAAP","Sort=A","Dates=H","DateFormat=P","Fill=—","Direction=H","UseDPDF=Y")</f>
        <v>#NAME?</v>
      </c>
      <c r="W397" s="2" t="e">
        <f ca="1">_xll.BDH($C$378,"EARN_FOR_COM_GROWTH","FQ4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397" s="2" t="e">
        <f ca="1">_xll.BDH($C$378,"DILUTED_EPS_AFT_XO_ITEMS_GROWTH","FQ4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397" s="2" t="e">
        <f ca="1">_xll.BDH($C$378,"DIVIDEND_PER_SHARE_1_YEAR_GROWTH","FQ4 2017","FQ4 2017","Currency=INR","Period=FQ","BEST_FPERIOD_OVERRIDE=FQ","FILING_STATUS=OR","EQY_CONSOLIDATED=Y","Sort=A","Dates=H","DateFormat=P","Fill=—","Direction=H","UseDPDF=Y")</f>
        <v>#NAME?</v>
      </c>
      <c r="Z397" s="2" t="e">
        <f ca="1">_xll.BDH($C$378,"ACCOUNTS_RECEIVABLE_GROWTH","FQ4 2017","FQ4 2017","Currency=INR","Period=FQ","BEST_FPERIOD_OVERRIDE=FQ","FILING_STATUS=OR","EQY_CONSOLIDATED=Y","Sort=A","Dates=H","DateFormat=P","Fill=—","Direction=H","UseDPDF=Y")</f>
        <v>#NAME?</v>
      </c>
      <c r="AA397" s="2" t="e">
        <f ca="1">_xll.BDH($C$378,"INVENTORY_GROWTH","FQ4 2017","FQ4 2017","Currency=INR","Period=FQ","BEST_FPERIOD_OVERRIDE=FQ","FILING_STATUS=OR","EQY_CONSOLIDATED=Y","Sort=A","Dates=H","DateFormat=P","Fill=—","Direction=H","UseDPDF=Y")</f>
        <v>#NAME?</v>
      </c>
      <c r="AB397" s="2" t="e">
        <f ca="1">_xll.BDH($C$378,"NET_FIXED_ASSETS_1_YEAR_GROWTH","FQ4 2017","FQ4 2017","Currency=INR","Period=FQ","BEST_FPERIOD_OVERRIDE=FQ","FILING_STATUS=OR","EQY_CONSOLIDATED=Y","Sort=A","Dates=H","DateFormat=P","Fill=—","Direction=H","UseDPDF=Y")</f>
        <v>#NAME?</v>
      </c>
      <c r="AC397" s="2" t="e">
        <f ca="1">_xll.BDH($C$378,"ASSET_GROWTH","FQ4 2017","FQ4 2017","Currency=INR","Period=FQ","BEST_FPERIOD_OVERRIDE=FQ","FILING_STATUS=OR","EQY_CONSOLIDATED=Y","Sort=A","Dates=H","DateFormat=P","Fill=—","Direction=H","UseDPDF=Y")</f>
        <v>#NAME?</v>
      </c>
      <c r="AD397" s="2" t="e">
        <f ca="1">_xll.BDH($C$378,"MODIFIED_WORK_CAP_GROWTH","FQ4 2017","FQ4 2017","Currency=INR","Period=FQ","BEST_FPERIOD_OVERRIDE=FQ","FILING_STATUS=OR","EQY_CONSOLIDATED=Y","Sort=A","Dates=H","DateFormat=P","Fill=—","Direction=H","UseDPDF=Y")</f>
        <v>#NAME?</v>
      </c>
      <c r="AE397" s="2" t="e">
        <f ca="1">_xll.BDH($C$378,"WORK_CAP_GROWTH","FQ4 2017","FQ4 2017","Currency=INR","Period=FQ","BEST_FPERIOD_OVERRIDE=FQ","FILING_STATUS=OR","EQY_CONSOLIDATED=Y","Sort=A","Dates=H","DateFormat=P","Fill=—","Direction=H","UseDPDF=Y")</f>
        <v>#NAME?</v>
      </c>
      <c r="AF397" s="2" t="e">
        <f ca="1">_xll.BDH($C$378,"ACCOUNTS_PAYABLE_GROWTH_1YR","FQ4 2017","FQ4 2017","Currency=INR","Period=FQ","BEST_FPERIOD_OVERRIDE=FQ","FILING_STATUS=OR","EQY_CONSOLIDATED=Y","Sort=A","Dates=H","DateFormat=P","Fill=—","Direction=H","UseDPDF=Y")</f>
        <v>#NAME?</v>
      </c>
      <c r="AG397" s="2" t="e">
        <f ca="1">_xll.BDH($C$378,"SHORT_TERM_DEBT_1_YEAR_GROWTH","FQ4 2017","FQ4 2017","Currency=INR","Period=FQ","BEST_FPERIOD_OVERRIDE=FQ","FILING_STATUS=OR","EQY_CONSOLIDATED=Y","Sort=A","Dates=H","DateFormat=P","Fill=—","Direction=H","UseDPDF=Y")</f>
        <v>#NAME?</v>
      </c>
      <c r="AH397" s="2" t="e">
        <f ca="1">_xll.BDH($C$378,"TOTAL_DEBT_1_YEAR_GROWTH","FQ4 2017","FQ4 2017","Currency=INR","Period=FQ","BEST_FPERIOD_OVERRIDE=FQ","FILING_STATUS=OR","EQY_CONSOLIDATED=Y","Sort=A","Dates=H","DateFormat=P","Fill=—","Direction=H","UseDPDF=Y")</f>
        <v>#NAME?</v>
      </c>
      <c r="AI397" s="2" t="e">
        <f ca="1">_xll.BDH($C$378,"TOTAL_EQUITY_1_YEAR_GROWTH","FQ4 2017","FQ4 2017","Currency=INR","Period=FQ","BEST_FPERIOD_OVERRIDE=FQ","FILING_STATUS=OR","EQY_CONSOLIDATED=Y","Sort=A","Dates=H","DateFormat=P","Fill=—","Direction=H","UseDPDF=Y")</f>
        <v>#NAME?</v>
      </c>
      <c r="AJ397" s="2" t="e">
        <f ca="1">_xll.BDH($C$378,"GROWTH_IN_CAP","FQ4 2017","FQ4 2017","Currency=INR","Period=FQ","BEST_FPERIOD_OVERRIDE=FQ","FILING_STATUS=OR","EQY_CONSOLIDATED=Y","Sort=A","Dates=H","DateFormat=P","Fill=—","Direction=H","UseDPDF=Y")</f>
        <v>#NAME?</v>
      </c>
      <c r="AK397" s="2" t="e">
        <f ca="1">_xll.BDH($C$378,"BVPS_GROWTH","FQ4 2017","FQ4 2017","Currency=INR","Period=FQ","BEST_FPERIOD_OVERRIDE=FQ","FILING_STATUS=OR","EQY_CONSOLIDATED=Y","Sort=A","Dates=H","DateFormat=P","Fill=—","Direction=H","UseDPDF=Y")</f>
        <v>#NAME?</v>
      </c>
      <c r="AL397" s="2" t="e">
        <f ca="1">_xll.BDH($C$378,"CASH_FLOW_GROWTH","FQ4 2017","FQ4 2017","Currency=INR","Period=FQ","BEST_FPERIOD_OVERRIDE=FQ","FILING_STATUS=OR","EQY_CONSOLIDATED=Y","Sort=A","Dates=H","DateFormat=P","Fill=—","Direction=H","UseDPDF=Y")</f>
        <v>#NAME?</v>
      </c>
      <c r="AM397" s="2" t="e">
        <f ca="1">_xll.BDH($C$378,"GEO_GROW_NET_SALES","FQ4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397" s="2" t="e">
        <f ca="1">_xll.BDH($C$378,"GEO_GROW_EBITDA","FQ4 2017","FQ4 2017","Currency=INR","Period=FQ","BEST_FPERIOD_OVERRIDE=FQ","FILING_STATUS=OR","EQY_CONSOLIDATED=Y","FA_ADJUSTED=GAAP","Sort=A","Dates=H","DateFormat=P","Fill=—","Direction=H","UseDPDF=Y")</f>
        <v>#NAME?</v>
      </c>
      <c r="AO397" s="2" t="e">
        <f ca="1">_xll.BDH($C$378,"GEO_GROW_OPER_INC","FQ4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397" s="2" t="e">
        <f ca="1">_xll.BDH($C$378,"NET_INCOME_TO_COMMON_5_YR_GROWTH","FQ4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397" s="2" t="e">
        <f ca="1">_xll.BDH($C$378,"5Y_GEO_GROWTH_DILUTED_EPS","FQ4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397" s="2" t="e">
        <f ca="1">_xll.BDH($C$378,"GEO_GROW_DVD_PER_SH","FQ4 2017","FQ4 2017","Currency=INR","Period=FQ","BEST_FPERIOD_OVERRIDE=FQ","FILING_STATUS=OR","EQY_CONSOLIDATED=Y","Sort=A","Dates=H","DateFormat=P","Fill=—","Direction=H","UseDPDF=Y")</f>
        <v>#NAME?</v>
      </c>
      <c r="AS397" s="2" t="e">
        <f ca="1">_xll.BDH($C$378,"ACCOUNTS_RECEIVABLE_5_YR_GROWTH","FQ4 2017","FQ4 2017","Currency=INR","Period=FQ","BEST_FPERIOD_OVERRIDE=FQ","FILING_STATUS=OR","EQY_CONSOLIDATED=Y","Sort=A","Dates=H","DateFormat=P","Fill=—","Direction=H","UseDPDF=Y")</f>
        <v>#NAME?</v>
      </c>
      <c r="AT397" s="2" t="e">
        <f ca="1">_xll.BDH($C$378,"INVENTORY_5_YEAR_GROWTH","FQ4 2017","FQ4 2017","Currency=INR","Period=FQ","BEST_FPERIOD_OVERRIDE=FQ","FILING_STATUS=OR","EQY_CONSOLIDATED=Y","Sort=A","Dates=H","DateFormat=P","Fill=—","Direction=H","UseDPDF=Y")</f>
        <v>#NAME?</v>
      </c>
      <c r="AU397" s="2" t="e">
        <f ca="1">_xll.BDH($C$378,"NET_FIXED_ASSETS_5_YEAR_GROWTH","FQ4 2017","FQ4 2017","Currency=INR","Period=FQ","BEST_FPERIOD_OVERRIDE=FQ","FILING_STATUS=OR","EQY_CONSOLIDATED=Y","Sort=A","Dates=H","DateFormat=P","Fill=—","Direction=H","UseDPDF=Y")</f>
        <v>#NAME?</v>
      </c>
      <c r="AV397" s="2" t="e">
        <f ca="1">_xll.BDH($C$378,"GEO_GROW_TOT_ASSET","FQ4 2017","FQ4 2017","Currency=INR","Period=FQ","BEST_FPERIOD_OVERRIDE=FQ","FILING_STATUS=OR","EQY_CONSOLIDATED=Y","Sort=A","Dates=H","DateFormat=P","Fill=—","Direction=H","UseDPDF=Y")</f>
        <v>#NAME?</v>
      </c>
      <c r="AW397" s="2" t="e">
        <f ca="1">_xll.BDH($C$378,"MODIFIED_WORKING_CPTL_5YR_GRWTH","FQ4 2017","FQ4 2017","Currency=INR","Period=FQ","BEST_FPERIOD_OVERRIDE=FQ","FILING_STATUS=OR","EQY_CONSOLIDATED=Y","Sort=A","Dates=H","DateFormat=P","Fill=—","Direction=H","UseDPDF=Y")</f>
        <v>#NAME?</v>
      </c>
      <c r="AX397" s="2" t="e">
        <f ca="1">_xll.BDH($C$378,"WORKING_CAPITAL_5_YEAR_GROWTH","FQ4 2017","FQ4 2017","Currency=INR","Period=FQ","BEST_FPERIOD_OVERRIDE=FQ","FILING_STATUS=OR","EQY_CONSOLIDATED=Y","Sort=A","Dates=H","DateFormat=P","Fill=—","Direction=H","UseDPDF=Y")</f>
        <v>#NAME?</v>
      </c>
      <c r="AY397" s="2" t="e">
        <f ca="1">_xll.BDH($C$378,"ACCOUNTS_PAYABLE_5_YEAR_GROWTH","FQ4 2017","FQ4 2017","Currency=INR","Period=FQ","BEST_FPERIOD_OVERRIDE=FQ","FILING_STATUS=OR","EQY_CONSOLIDATED=Y","Sort=A","Dates=H","DateFormat=P","Fill=—","Direction=H","UseDPDF=Y")</f>
        <v>#NAME?</v>
      </c>
      <c r="AZ397" s="2" t="e">
        <f ca="1">_xll.BDH($C$378,"SHORT_TERM_DEBT_5_YEAR_GROWTH","FQ4 2017","FQ4 2017","Currency=INR","Period=FQ","BEST_FPERIOD_OVERRIDE=FQ","FILING_STATUS=OR","EQY_CONSOLIDATED=Y","Sort=A","Dates=H","DateFormat=P","Fill=—","Direction=H","UseDPDF=Y")</f>
        <v>#NAME?</v>
      </c>
      <c r="BA397" s="2" t="e">
        <f ca="1">_xll.BDH($C$378,"TOTAL_DEBT_5_YEAR_GROWTH","FQ4 2017","FQ4 2017","Currency=INR","Period=FQ","BEST_FPERIOD_OVERRIDE=FQ","FILING_STATUS=OR","EQY_CONSOLIDATED=Y","Sort=A","Dates=H","DateFormat=P","Fill=—","Direction=H","UseDPDF=Y")</f>
        <v>#NAME?</v>
      </c>
      <c r="BB397" s="2" t="e">
        <f ca="1">_xll.BDH($C$378,"GEO_GROW_TOT_SHRHLDR_EQY","FQ4 2017","FQ4 2017","Currency=INR","Period=FQ","BEST_FPERIOD_OVERRIDE=FQ","FILING_STATUS=OR","EQY_CONSOLIDATED=Y","Sort=A","Dates=H","DateFormat=P","Fill=—","Direction=H","UseDPDF=Y")</f>
        <v>#NAME?</v>
      </c>
      <c r="BC397" s="2" t="e">
        <f ca="1">_xll.BDH($C$378,"TOTAL_CAPITAL_5_YEAR_GROWTH","FQ4 2017","FQ4 2017","Currency=INR","Period=FQ","BEST_FPERIOD_OVERRIDE=FQ","FILING_STATUS=OR","EQY_CONSOLIDATED=Y","Sort=A","Dates=H","DateFormat=P","Fill=—","Direction=H","UseDPDF=Y")</f>
        <v>#NAME?</v>
      </c>
      <c r="BD397" s="2" t="e">
        <f ca="1">_xll.BDH($C$378,"GEO_GROW_BOOK_VAL","FQ4 2017","FQ4 2017","Currency=INR","Period=FQ","BEST_FPERIOD_OVERRIDE=FQ","FILING_STATUS=OR","EQY_CONSOLIDATED=Y","Sort=A","Dates=H","DateFormat=P","Fill=—","Direction=H","UseDPDF=Y")</f>
        <v>#NAME?</v>
      </c>
      <c r="BE397" s="2" t="e">
        <f ca="1">_xll.BDH($C$378,"GEO_GROW_CASH_OPER_ACT","FQ4 2017","FQ4 2017","Currency=INR","Period=FQ","BEST_FPERIOD_OVERRIDE=FQ","FILING_STATUS=OR","EQY_CONSOLIDATED=Y","Sort=A","Dates=H","DateFormat=P","Fill=—","Direction=H","UseDPDF=Y")</f>
        <v>#NAME?</v>
      </c>
      <c r="BF397" s="2" t="e">
        <f ca="1">_xll.BDH($C$378,"REVENUE_SEQUENTIAL_GROWTH","FQ4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397" s="2" t="e">
        <f ca="1">_xll.BDH($C$378,"EBITDA_SEQUENTIAL_GROWTH","FQ4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397" s="2" t="e">
        <f ca="1">_xll.BDH($C$378,"OPERATING_INCOME_SEQ_GROWTH","FQ4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397" s="2" t="e">
        <f ca="1">_xll.BDH($C$378,"NET_INCOME_TO_COMMON_SEQ_GROWTH","FQ4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397" s="2" t="e">
        <f ca="1">_xll.BDH($C$378,"EPS_DILUTED_SEQUENTIAL_GROWTH","FQ4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397" s="2" t="e">
        <f ca="1">_xll.BDH($C$378,"DPS_SEQUENTIAL_GROWTH","FQ4 2017","FQ4 2017","Currency=INR","Period=FQ","BEST_FPERIOD_OVERRIDE=FQ","FILING_STATUS=OR","EQY_CONSOLIDATED=Y","Sort=A","Dates=H","DateFormat=P","Fill=—","Direction=H","UseDPDF=Y")</f>
        <v>#NAME?</v>
      </c>
      <c r="BL397" s="2" t="e">
        <f ca="1">_xll.BDH($C$378,"ACCOUNTS_RECEIVABLE_SEQ_GROWTH","FQ4 2017","FQ4 2017","Currency=INR","Period=FQ","BEST_FPERIOD_OVERRIDE=FQ","FILING_STATUS=OR","EQY_CONSOLIDATED=Y","Sort=A","Dates=H","DateFormat=P","Fill=—","Direction=H","UseDPDF=Y")</f>
        <v>#NAME?</v>
      </c>
      <c r="BM397" s="2" t="e">
        <f ca="1">_xll.BDH($C$378,"INVENTORY_SEQUENTIAL_GROWTH","FQ4 2017","FQ4 2017","Currency=INR","Period=FQ","BEST_FPERIOD_OVERRIDE=FQ","FILING_STATUS=OR","EQY_CONSOLIDATED=Y","Sort=A","Dates=H","DateFormat=P","Fill=—","Direction=H","UseDPDF=Y")</f>
        <v>#NAME?</v>
      </c>
      <c r="BN397" s="2" t="e">
        <f ca="1">_xll.BDH($C$378,"FIXED_ASSETS_SEQUENTIAL_GROWTH","FQ4 2017","FQ4 2017","Currency=INR","Period=FQ","BEST_FPERIOD_OVERRIDE=FQ","FILING_STATUS=OR","EQY_CONSOLIDATED=Y","Sort=A","Dates=H","DateFormat=P","Fill=—","Direction=H","UseDPDF=Y")</f>
        <v>#NAME?</v>
      </c>
      <c r="BO397" s="2" t="e">
        <f ca="1">_xll.BDH($C$378,"TOTAL_ASSETS_SEQUENTIAL_GROWTH","FQ4 2017","FQ4 2017","Currency=INR","Period=FQ","BEST_FPERIOD_OVERRIDE=FQ","FILING_STATUS=OR","EQY_CONSOLIDATED=Y","Sort=A","Dates=H","DateFormat=P","Fill=—","Direction=H","UseDPDF=Y")</f>
        <v>#NAME?</v>
      </c>
      <c r="BP397" s="2" t="e">
        <f ca="1">_xll.BDH($C$378,"MODIFIED_WORKING_CPTL_SEQ_GRWTH","FQ4 2017","FQ4 2017","Currency=INR","Period=FQ","BEST_FPERIOD_OVERRIDE=FQ","FILING_STATUS=OR","EQY_CONSOLIDATED=Y","Sort=A","Dates=H","DateFormat=P","Fill=—","Direction=H","UseDPDF=Y")</f>
        <v>#NAME?</v>
      </c>
      <c r="BQ397" s="2" t="e">
        <f ca="1">_xll.BDH($C$378,"WORKING_CAPITAL_SEQ_GROWTH","FQ4 2017","FQ4 2017","Currency=INR","Period=FQ","BEST_FPERIOD_OVERRIDE=FQ","FILING_STATUS=OR","EQY_CONSOLIDATED=Y","Sort=A","Dates=H","DateFormat=P","Fill=—","Direction=H","UseDPDF=Y")</f>
        <v>#NAME?</v>
      </c>
      <c r="BR397" s="2" t="e">
        <f ca="1">_xll.BDH($C$378,"ACCOUNTS_PAYABLE_SEQ_GROWTH","FQ4 2017","FQ4 2017","Currency=INR","Period=FQ","BEST_FPERIOD_OVERRIDE=FQ","FILING_STATUS=OR","EQY_CONSOLIDATED=Y","Sort=A","Dates=H","DateFormat=P","Fill=—","Direction=H","UseDPDF=Y")</f>
        <v>#NAME?</v>
      </c>
      <c r="BS397" s="2" t="e">
        <f ca="1">_xll.BDH($C$378,"ST_DEBT_SEQUENTIAL_GROWTH","FQ4 2017","FQ4 2017","Currency=INR","Period=FQ","BEST_FPERIOD_OVERRIDE=FQ","FILING_STATUS=OR","EQY_CONSOLIDATED=Y","Sort=A","Dates=H","DateFormat=P","Fill=—","Direction=H","UseDPDF=Y")</f>
        <v>#NAME?</v>
      </c>
      <c r="BT397" s="2" t="e">
        <f ca="1">_xll.BDH($C$378,"TOTAL_DEBT_SEQUENTIAL_GROWTH","FQ4 2017","FQ4 2017","Currency=INR","Period=FQ","BEST_FPERIOD_OVERRIDE=FQ","FILING_STATUS=OR","EQY_CONSOLIDATED=Y","Sort=A","Dates=H","DateFormat=P","Fill=—","Direction=H","UseDPDF=Y")</f>
        <v>#NAME?</v>
      </c>
      <c r="BU397" s="2" t="e">
        <f ca="1">_xll.BDH($C$378,"TOTAL_EQUITY_SEQUENTIAL_GROWTH","FQ4 2017","FQ4 2017","Currency=INR","Period=FQ","BEST_FPERIOD_OVERRIDE=FQ","FILING_STATUS=OR","EQY_CONSOLIDATED=Y","Sort=A","Dates=H","DateFormat=P","Fill=—","Direction=H","UseDPDF=Y")</f>
        <v>#NAME?</v>
      </c>
      <c r="BV397" s="2" t="e">
        <f ca="1">_xll.BDH($C$378,"TOTAL_CAPITAL_SEQUENTIAL_GROWTH","FQ4 2017","FQ4 2017","Currency=INR","Period=FQ","BEST_FPERIOD_OVERRIDE=FQ","FILING_STATUS=OR","EQY_CONSOLIDATED=Y","Sort=A","Dates=H","DateFormat=P","Fill=—","Direction=H","UseDPDF=Y")</f>
        <v>#NAME?</v>
      </c>
      <c r="BW397" s="2" t="e">
        <f ca="1">_xll.BDH($C$378,"BPS_SEQUENTIAL_GROWTH","FQ4 2017","FQ4 2017","Currency=INR","Period=FQ","BEST_FPERIOD_OVERRIDE=FQ","FILING_STATUS=OR","EQY_CONSOLIDATED=Y","Sort=A","Dates=H","DateFormat=P","Fill=—","Direction=H","UseDPDF=Y")</f>
        <v>#NAME?</v>
      </c>
      <c r="BX397" s="2" t="e">
        <f ca="1">_xll.BDH($C$378,"CFO_SEQUENTIAL_GROWTH","FQ4 2017","FQ4 2017","Currency=INR","Period=FQ","BEST_FPERIOD_OVERRIDE=FQ","FILING_STATUS=OR","EQY_CONSOLIDATED=Y","Sort=A","Dates=H","DateFormat=P","Fill=—","Direction=H","UseDPDF=Y")</f>
        <v>#NAME?</v>
      </c>
      <c r="BY397" s="3" t="e">
        <f ca="1">_xll.BDH($C$378,"SHORT_AND_LONG_TERM_DEBT","FQ4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397" s="3" t="e">
        <f ca="1">_xll.BDH($C$378,"BS_ST_BORROW","FQ4 2017","FQ4 2017","Currency=INR","Period=FQ","BEST_FPERIOD_OVERRIDE=FQ","FILING_STATUS=OR","EQY_CONSOLIDATED=Y","SCALING_FORMAT=MLN","Sort=A","Dates=H","DateFormat=P","Fill=—","Direction=H","UseDPDF=Y")</f>
        <v>#NAME?</v>
      </c>
      <c r="CA397" s="3" t="e">
        <f ca="1">_xll.BDH($C$378,"BS_LT_BORROW","FQ4 2017","FQ4 2017","Currency=INR","Period=FQ","BEST_FPERIOD_OVERRIDE=FQ","FILING_STATUS=OR","EQY_CONSOLIDATED=Y","SCALING_FORMAT=MLN","Sort=A","Dates=H","DateFormat=P","Fill=—","Direction=H","UseDPDF=Y")</f>
        <v>#NAME?</v>
      </c>
      <c r="CB397" s="2" t="e">
        <f ca="1">_xll.BDH($C$378,"TOT_DEBT_TO_EBITDA","FQ4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397" s="2" t="e">
        <f ca="1">_xll.BDH($C$378,"NET_DEBT_TO_EBITDA","FQ4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397" s="2" t="e">
        <f ca="1">_xll.BDH($C$378,"TOTAL_DEBT_TO_EBIT","FQ4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397" s="2" t="e">
        <f ca="1">_xll.BDH($C$378,"NET_DEBT_TO_EBIT","FQ4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397" s="2" t="e">
        <f ca="1">_xll.BDH($C$378,"EBITDA_TO_INTEREST_EXPN","FQ4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397" s="2" t="e">
        <f ca="1">_xll.BDH($C$378,"COM_EQY_TO_TOT_ASSET","FQ4 2017","FQ4 2017","Currency=INR","Period=FQ","BEST_FPERIOD_OVERRIDE=FQ","FILING_STATUS=OR","EQY_CONSOLIDATED=Y","Sort=A","Dates=H","DateFormat=P","Fill=—","Direction=H","UseDPDF=Y")</f>
        <v>#NAME?</v>
      </c>
      <c r="CH397" s="2" t="e">
        <f ca="1">_xll.BDH($C$378,"LT_DEBT_TO_TOT_EQY","FQ4 2017","FQ4 2017","Currency=INR","Period=FQ","BEST_FPERIOD_OVERRIDE=FQ","FILING_STATUS=OR","EQY_CONSOLIDATED=Y","Sort=A","Dates=H","DateFormat=P","Fill=—","Direction=H","UseDPDF=Y")</f>
        <v>#NAME?</v>
      </c>
      <c r="CI397" s="2" t="e">
        <f ca="1">_xll.BDH($C$378,"LT_DEBT_TO_TOT_CAP","FQ4 2017","FQ4 2017","Currency=INR","Period=FQ","BEST_FPERIOD_OVERRIDE=FQ","FILING_STATUS=OR","EQY_CONSOLIDATED=Y","Sort=A","Dates=H","DateFormat=P","Fill=—","Direction=H","UseDPDF=Y")</f>
        <v>#NAME?</v>
      </c>
      <c r="CJ397" s="2" t="e">
        <f ca="1">_xll.BDH($C$378,"LT_DEBT_TO_TOT_ASSET","FQ4 2017","FQ4 2017","Currency=INR","Period=FQ","BEST_FPERIOD_OVERRIDE=FQ","FILING_STATUS=OR","EQY_CONSOLIDATED=Y","Sort=A","Dates=H","DateFormat=P","Fill=—","Direction=H","UseDPDF=Y")</f>
        <v>#NAME?</v>
      </c>
      <c r="CK397" s="2" t="e">
        <f ca="1">_xll.BDH($C$378,"TOT_DEBT_TO_TOT_EQY","FQ4 2017","FQ4 2017","Currency=INR","Period=FQ","BEST_FPERIOD_OVERRIDE=FQ","FILING_STATUS=OR","EQY_CONSOLIDATED=Y","Sort=A","Dates=H","DateFormat=P","Fill=—","Direction=H","UseDPDF=Y")</f>
        <v>#NAME?</v>
      </c>
      <c r="CL397" s="2" t="e">
        <f ca="1">_xll.BDH($C$378,"TOT_DEBT_TO_TOT_CAP","FQ4 2017","FQ4 2017","Currency=INR","Period=FQ","BEST_FPERIOD_OVERRIDE=FQ","FILING_STATUS=OR","EQY_CONSOLIDATED=Y","Sort=A","Dates=H","DateFormat=P","Fill=—","Direction=H","UseDPDF=Y")</f>
        <v>#NAME?</v>
      </c>
      <c r="CM397" s="2" t="e">
        <f ca="1">_xll.BDH($C$378,"TOT_DEBT_TO_TOT_ASSET","FQ4 2017","FQ4 2017","Currency=INR","Period=FQ","BEST_FPERIOD_OVERRIDE=FQ","FILING_STATUS=OR","EQY_CONSOLIDATED=Y","Sort=A","Dates=H","DateFormat=P","Fill=—","Direction=H","UseDPDF=Y")</f>
        <v>#NAME?</v>
      </c>
      <c r="CN397" s="2" t="e">
        <f ca="1">_xll.BDH($C$378,"NET_DEBT_TO_SHRHLDR_EQTY","FQ4 2017","FQ4 2017","Currency=INR","Period=FQ","BEST_FPERIOD_OVERRIDE=FQ","FILING_STATUS=OR","EQY_CONSOLIDATED=Y","Sort=A","Dates=H","DateFormat=P","Fill=—","Direction=H","UseDPDF=Y")</f>
        <v>#NAME?</v>
      </c>
      <c r="CO397" s="2" t="e">
        <f ca="1">_xll.BDH($C$378,"NET_DEBT_%_CAPITAL","FQ4 2017","FQ4 2017","Currency=INR","Period=FQ","BEST_FPERIOD_OVERRIDE=FQ","FILING_STATUS=OR","EQY_CONSOLIDATED=Y","Sort=A","Dates=H","DateFormat=P","Fill=—","Direction=H","UseDPDF=Y")</f>
        <v>#NAME?</v>
      </c>
      <c r="CP397" s="3" t="e">
        <f ca="1">_xll.BDH($C$378,"EBITDA","FQ4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397" s="3" t="e">
        <f ca="1">_xll.BDH($C$378,"EBITDA_AFTER_CAPEX","FQ4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397" s="3" t="e">
        <f ca="1">_xll.BDH($C$378,"IS_OPER_INC","FQ4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397" s="2" t="e">
        <f ca="1">_xll.BDH($C$378,"CASH_RATIO","FQ4 2017","FQ4 2017","Currency=INR","Period=FQ","BEST_FPERIOD_OVERRIDE=FQ","FILING_STATUS=OR","EQY_CONSOLIDATED=Y","Sort=A","Dates=H","DateFormat=P","Fill=—","Direction=H","UseDPDF=Y")</f>
        <v>#NAME?</v>
      </c>
      <c r="CT397" s="2" t="e">
        <f ca="1">_xll.BDH($C$378,"CUR_RATIO","FQ4 2017","FQ4 2017","Currency=INR","Period=FQ","BEST_FPERIOD_OVERRIDE=FQ","FILING_STATUS=OR","EQY_CONSOLIDATED=Y","Sort=A","Dates=H","DateFormat=P","Fill=—","Direction=H","UseDPDF=Y")</f>
        <v>#NAME?</v>
      </c>
      <c r="CU397" s="2" t="e">
        <f ca="1">_xll.BDH($C$378,"QUICK_RATIO","FQ4 2017","FQ4 2017","Currency=INR","Period=FQ","BEST_FPERIOD_OVERRIDE=FQ","FILING_STATUS=OR","EQY_CONSOLIDATED=Y","Sort=A","Dates=H","DateFormat=P","Fill=—","Direction=H","UseDPDF=Y")</f>
        <v>#NAME?</v>
      </c>
      <c r="CV397" s="2" t="e">
        <f ca="1">_xll.BDH($C$378,"ALTMAN_Z_SCORE","FQ4 2017","FQ4 2017","Currency=INR","Period=FQ","BEST_FPERIOD_OVERRIDE=FQ","FILING_STATUS=OR","EQY_CONSOLIDATED=Y","Sort=A","Dates=H","DateFormat=P","Fill=—","Direction=H","UseDPDF=Y")</f>
        <v>#NAME?</v>
      </c>
      <c r="CW397" s="4" t="e">
        <f ca="1">_xll.BDH($C$378,"ACCT_RCV_TURN","FQ4 2017","FQ4 2017","Currency=INR","Period=FQ","BEST_FPERIOD_OVERRIDE=FQ","FILING_STATUS=OR","EQY_CONSOLIDATED=Y","FA_ADJUSTED=GAAP","Sort=A","Dates=H","DateFormat=P","Fill=—","Direction=H","UseDPDF=Y")</f>
        <v>#NAME?</v>
      </c>
      <c r="CX397" s="2" t="e">
        <f ca="1">_xll.BDH($C$378,"ACCT_RCV_DAYS","FQ4 2017","FQ4 2017","Currency=INR","Period=FQ","BEST_FPERIOD_OVERRIDE=FQ","FILING_STATUS=OR","EQY_CONSOLIDATED=Y","FA_ADJUSTED=GAAP","Sort=A","Dates=H","DateFormat=P","Fill=—","Direction=H","UseDPDF=Y")</f>
        <v>#NAME?</v>
      </c>
      <c r="CY397" s="4" t="e">
        <f ca="1">_xll.BDH($C$378,"INVENT_TURN","FQ4 2017","FQ4 2017","Currency=INR","Period=FQ","BEST_FPERIOD_OVERRIDE=FQ","FILING_STATUS=OR","EQY_CONSOLIDATED=Y","FA_ADJUSTED=GAAP","Sort=A","Dates=H","DateFormat=P","Fill=—","Direction=H","UseDPDF=Y")</f>
        <v>#NAME?</v>
      </c>
      <c r="CZ397" s="2" t="e">
        <f ca="1">_xll.BDH($C$378,"INVENT_DAYS","FQ4 2017","FQ4 2017","Currency=INR","Period=FQ","BEST_FPERIOD_OVERRIDE=FQ","FILING_STATUS=OR","EQY_CONSOLIDATED=Y","FA_ADJUSTED=GAAP","Sort=A","Dates=H","DateFormat=P","Fill=—","Direction=H","UseDPDF=Y")</f>
        <v>#NAME?</v>
      </c>
      <c r="DA397" s="4" t="e">
        <f ca="1">_xll.BDH($C$378,"ACCOUNTS_PAYABLE_TURNOVER","FQ4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397" s="2" t="e">
        <f ca="1">_xll.BDH($C$378,"ACCOUNTS_PAYABLE_TURNOVER_DAYS","FQ4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397" s="4" t="e">
        <f ca="1">_xll.BDH($C$378,"CASH_CONVERSION_CYCLE","FQ4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397" s="4" t="e">
        <f ca="1">_xll.BDH($C$378,"INV_TO_CASH_DAYS","FQ4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397" s="5" t="e">
        <f ca="1">_xll.BDH($C$378,"BS_INVENTORIES","FQ4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397" s="3" t="e">
        <f ca="1">_xll.BDH($C$378,"INVTRY_RAW_MATERIALS","FQ4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397" s="3" t="e">
        <f ca="1">_xll.BDH($C$378,"INVTRY_IN_PROGRESS","FQ4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397" s="3" t="e">
        <f ca="1">_xll.BDH($C$378,"INVTRY_FINISHED_GOODS","FQ4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397" s="3" t="e">
        <f ca="1">_xll.BDH($C$378,"BS_OTHER_INV","FQ4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398" spans="1:113" x14ac:dyDescent="0.3">
      <c r="A398" s="6"/>
      <c r="B398" s="6"/>
      <c r="C398" s="6"/>
      <c r="D398" s="6" t="s">
        <v>85</v>
      </c>
      <c r="E398" t="s">
        <v>77</v>
      </c>
      <c r="F398" t="e">
        <f ca="1">_xll.BDH($C$378,"RETURN_COM_EQY","FY 2018","FY 2018","Currency=INR","Period=FY","BEST_FPERIOD_OVERRIDE=FY","FILING_STATUS=OR","EQY_CONSOLIDATED=Y","FA_ADJUSTED=GAAP","Sort=A","Dates=H","DateFormat=P","Fill=—","Direction=H","UseDPDF=Y")</f>
        <v>#NAME?</v>
      </c>
      <c r="G398" t="e">
        <f ca="1">_xll.BDH($C$378,"RETURN_ON_ASSET","FY 2018","FY 2018","Currency=INR","Period=FY","BEST_FPERIOD_OVERRIDE=FY","FILING_STATUS=OR","EQY_CONSOLIDATED=Y","FA_ADJUSTED=GAAP","Sort=A","Dates=H","DateFormat=P","Fill=—","Direction=H","UseDPDF=Y")</f>
        <v>#NAME?</v>
      </c>
      <c r="H398" t="e">
        <f ca="1">_xll.BDH($C$378,"RETURN_ON_CAP","FY 2018","FY 2018","Currency=INR","Period=FY","BEST_FPERIOD_OVERRIDE=FY","FILING_STATUS=OR","EQY_CONSOLIDATED=Y","FA_ADJUSTED=GAAP","Sort=A","Dates=H","DateFormat=P","Fill=—","Direction=H","UseDPDF=Y")</f>
        <v>#NAME?</v>
      </c>
      <c r="I398" t="e">
        <f ca="1">_xll.BDH($C$378,"RETURN_ON_INV_CAPITAL","FY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398" t="e">
        <f ca="1">_xll.BDH($C$378,"EBITDA_TO_REVENUE","FY 2018","FY 2018","Currency=INR","Period=FY","BEST_FPERIOD_OVERRIDE=FY","FILING_STATUS=OR","EQY_CONSOLIDATED=Y","FA_ADJUSTED=GAAP","Sort=A","Dates=H","DateFormat=P","Fill=—","Direction=H","UseDPDF=Y")</f>
        <v>#NAME?</v>
      </c>
      <c r="K398" t="e">
        <f ca="1">_xll.BDH($C$378,"OPER_MARGIN","FY 2018","FY 2018","Currency=INR","Period=FY","BEST_FPERIOD_OVERRIDE=FY","FILING_STATUS=OR","EQY_CONSOLIDATED=Y","FA_ADJUSTED=GAAP","Sort=A","Dates=H","DateFormat=P","Fill=—","Direction=H","UseDPDF=Y")</f>
        <v>#NAME?</v>
      </c>
      <c r="L398" t="e">
        <f ca="1">_xll.BDH($C$378,"INCREMENTAL_OPERATING_MARGIN","FY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398" t="e">
        <f ca="1">_xll.BDH($C$378,"PRETAX_INC_TO_NET_SALES","FY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398" t="e">
        <f ca="1">_xll.BDH($C$378,"INC_BEF_XO_ITEMS_TO_NET_SALES","FY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398" t="e">
        <f ca="1">_xll.BDH($C$378,"PROF_MARGIN","FY 2018","FY 2018","Currency=INR","Period=FY","BEST_FPERIOD_OVERRIDE=FY","FILING_STATUS=OR","EQY_CONSOLIDATED=Y","FA_ADJUSTED=GAAP","Sort=A","Dates=H","DateFormat=P","Fill=—","Direction=H","UseDPDF=Y")</f>
        <v>#NAME?</v>
      </c>
      <c r="P398" t="e">
        <f ca="1">_xll.BDH($C$378,"NET_INCOME_TO_COMMON_MARGIN","FY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398" t="e">
        <f ca="1">_xll.BDH($C$378,"EFF_TAX_RATE","FY 2018","FY 2018","Currency=INR","Period=FY","BEST_FPERIOD_OVERRIDE=FY","FILING_STATUS=OR","EQY_CONSOLIDATED=Y","FA_ADJUSTED=GAAP","Sort=A","Dates=H","DateFormat=P","Fill=—","Direction=H","UseDPDF=Y")</f>
        <v>#NAME?</v>
      </c>
      <c r="R398" t="e">
        <f ca="1">_xll.BDH($C$378,"DVD_PAYOUT_RATIO","FY 2018","FY 2018","Currency=INR","Period=FY","BEST_FPERIOD_OVERRIDE=FY","FILING_STATUS=OR","EQY_CONSOLIDATED=Y","FA_ADJUSTED=GAAP","Sort=A","Dates=H","DateFormat=P","Fill=—","Direction=H","UseDPDF=Y")</f>
        <v>#NAME?</v>
      </c>
      <c r="S398" t="e">
        <f ca="1">_xll.BDH($C$378,"SUSTAIN_GROWTH_RT","FY 2018","FY 2018","Currency=INR","Period=FY","BEST_FPERIOD_OVERRIDE=FY","FILING_STATUS=OR","EQY_CONSOLIDATED=Y","FA_ADJUSTED=GAAP","Sort=A","Dates=H","DateFormat=P","Fill=—","Direction=H","UseDPDF=Y")</f>
        <v>#NAME?</v>
      </c>
      <c r="T398" s="2" t="e">
        <f ca="1">_xll.BDH($C$378,"SALES_GROWTH","FY 2018","FY 2018","Currency=INR","Period=FY","BEST_FPERIOD_OVERRIDE=FY","FILING_STATUS=OR","EQY_CONSOLIDATED=Y","FA_ADJUSTED=GAAP","Sort=A","Dates=H","DateFormat=P","Fill=—","Direction=H","UseDPDF=Y")</f>
        <v>#NAME?</v>
      </c>
      <c r="U398" s="2" t="e">
        <f ca="1">_xll.BDH($C$378,"EBITDA_GROWTH","FY 2018","FY 2018","Currency=INR","Period=FY","BEST_FPERIOD_OVERRIDE=FY","FILING_STATUS=OR","EQY_CONSOLIDATED=Y","FA_ADJUSTED=GAAP","Sort=A","Dates=H","DateFormat=P","Fill=—","Direction=H","UseDPDF=Y")</f>
        <v>#NAME?</v>
      </c>
      <c r="V398" s="2" t="e">
        <f ca="1">_xll.BDH($C$378,"OPER_INC_GROWTH","FY 2018","FY 2018","Currency=INR","Period=FY","BEST_FPERIOD_OVERRIDE=FY","FILING_STATUS=OR","EQY_CONSOLIDATED=Y","FA_ADJUSTED=GAAP","Sort=A","Dates=H","DateFormat=P","Fill=—","Direction=H","UseDPDF=Y")</f>
        <v>#NAME?</v>
      </c>
      <c r="W398" s="2" t="e">
        <f ca="1">_xll.BDH($C$378,"EARN_FOR_COM_GROWTH","FY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398" s="2" t="e">
        <f ca="1">_xll.BDH($C$378,"DILUTED_EPS_AFT_XO_ITEMS_GROWTH","FY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398" s="2" t="e">
        <f ca="1">_xll.BDH($C$378,"DIVIDEND_PER_SHARE_1_YEAR_GROWTH","FY 2018","FY 2018","Currency=INR","Period=FY","BEST_FPERIOD_OVERRIDE=FY","FILING_STATUS=OR","EQY_CONSOLIDATED=Y","Sort=A","Dates=H","DateFormat=P","Fill=—","Direction=H","UseDPDF=Y")</f>
        <v>#NAME?</v>
      </c>
      <c r="Z398" s="2" t="e">
        <f ca="1">_xll.BDH($C$378,"ACCOUNTS_RECEIVABLE_GROWTH","FY 2018","FY 2018","Currency=INR","Period=FY","BEST_FPERIOD_OVERRIDE=FY","FILING_STATUS=OR","EQY_CONSOLIDATED=Y","Sort=A","Dates=H","DateFormat=P","Fill=—","Direction=H","UseDPDF=Y")</f>
        <v>#NAME?</v>
      </c>
      <c r="AA398" s="2" t="e">
        <f ca="1">_xll.BDH($C$378,"INVENTORY_GROWTH","FY 2018","FY 2018","Currency=INR","Period=FY","BEST_FPERIOD_OVERRIDE=FY","FILING_STATUS=OR","EQY_CONSOLIDATED=Y","Sort=A","Dates=H","DateFormat=P","Fill=—","Direction=H","UseDPDF=Y")</f>
        <v>#NAME?</v>
      </c>
      <c r="AB398" s="2" t="e">
        <f ca="1">_xll.BDH($C$378,"NET_FIXED_ASSETS_1_YEAR_GROWTH","FY 2018","FY 2018","Currency=INR","Period=FY","BEST_FPERIOD_OVERRIDE=FY","FILING_STATUS=OR","EQY_CONSOLIDATED=Y","Sort=A","Dates=H","DateFormat=P","Fill=—","Direction=H","UseDPDF=Y")</f>
        <v>#NAME?</v>
      </c>
      <c r="AC398" s="2" t="e">
        <f ca="1">_xll.BDH($C$378,"ASSET_GROWTH","FY 2018","FY 2018","Currency=INR","Period=FY","BEST_FPERIOD_OVERRIDE=FY","FILING_STATUS=OR","EQY_CONSOLIDATED=Y","Sort=A","Dates=H","DateFormat=P","Fill=—","Direction=H","UseDPDF=Y")</f>
        <v>#NAME?</v>
      </c>
      <c r="AD398" s="2" t="e">
        <f ca="1">_xll.BDH($C$378,"MODIFIED_WORK_CAP_GROWTH","FY 2018","FY 2018","Currency=INR","Period=FY","BEST_FPERIOD_OVERRIDE=FY","FILING_STATUS=OR","EQY_CONSOLIDATED=Y","Sort=A","Dates=H","DateFormat=P","Fill=—","Direction=H","UseDPDF=Y")</f>
        <v>#NAME?</v>
      </c>
      <c r="AE398" s="2" t="e">
        <f ca="1">_xll.BDH($C$378,"WORK_CAP_GROWTH","FY 2018","FY 2018","Currency=INR","Period=FY","BEST_FPERIOD_OVERRIDE=FY","FILING_STATUS=OR","EQY_CONSOLIDATED=Y","Sort=A","Dates=H","DateFormat=P","Fill=—","Direction=H","UseDPDF=Y")</f>
        <v>#NAME?</v>
      </c>
      <c r="AF398" s="2" t="e">
        <f ca="1">_xll.BDH($C$378,"ACCOUNTS_PAYABLE_GROWTH_1YR","FY 2018","FY 2018","Currency=INR","Period=FY","BEST_FPERIOD_OVERRIDE=FY","FILING_STATUS=OR","EQY_CONSOLIDATED=Y","Sort=A","Dates=H","DateFormat=P","Fill=—","Direction=H","UseDPDF=Y")</f>
        <v>#NAME?</v>
      </c>
      <c r="AG398" s="2" t="e">
        <f ca="1">_xll.BDH($C$378,"SHORT_TERM_DEBT_1_YEAR_GROWTH","FY 2018","FY 2018","Currency=INR","Period=FY","BEST_FPERIOD_OVERRIDE=FY","FILING_STATUS=OR","EQY_CONSOLIDATED=Y","Sort=A","Dates=H","DateFormat=P","Fill=—","Direction=H","UseDPDF=Y")</f>
        <v>#NAME?</v>
      </c>
      <c r="AH398" s="2" t="e">
        <f ca="1">_xll.BDH($C$378,"TOTAL_DEBT_1_YEAR_GROWTH","FY 2018","FY 2018","Currency=INR","Period=FY","BEST_FPERIOD_OVERRIDE=FY","FILING_STATUS=OR","EQY_CONSOLIDATED=Y","Sort=A","Dates=H","DateFormat=P","Fill=—","Direction=H","UseDPDF=Y")</f>
        <v>#NAME?</v>
      </c>
      <c r="AI398" s="2" t="e">
        <f ca="1">_xll.BDH($C$378,"TOTAL_EQUITY_1_YEAR_GROWTH","FY 2018","FY 2018","Currency=INR","Period=FY","BEST_FPERIOD_OVERRIDE=FY","FILING_STATUS=OR","EQY_CONSOLIDATED=Y","Sort=A","Dates=H","DateFormat=P","Fill=—","Direction=H","UseDPDF=Y")</f>
        <v>#NAME?</v>
      </c>
      <c r="AJ398" s="2" t="e">
        <f ca="1">_xll.BDH($C$378,"GROWTH_IN_CAP","FY 2018","FY 2018","Currency=INR","Period=FY","BEST_FPERIOD_OVERRIDE=FY","FILING_STATUS=OR","EQY_CONSOLIDATED=Y","Sort=A","Dates=H","DateFormat=P","Fill=—","Direction=H","UseDPDF=Y")</f>
        <v>#NAME?</v>
      </c>
      <c r="AK398" s="2" t="e">
        <f ca="1">_xll.BDH($C$378,"BVPS_GROWTH","FY 2018","FY 2018","Currency=INR","Period=FY","BEST_FPERIOD_OVERRIDE=FY","FILING_STATUS=OR","EQY_CONSOLIDATED=Y","Sort=A","Dates=H","DateFormat=P","Fill=—","Direction=H","UseDPDF=Y")</f>
        <v>#NAME?</v>
      </c>
      <c r="AL398" s="2" t="e">
        <f ca="1">_xll.BDH($C$378,"CASH_FLOW_GROWTH","FY 2018","FY 2018","Currency=INR","Period=FY","BEST_FPERIOD_OVERRIDE=FY","FILING_STATUS=OR","EQY_CONSOLIDATED=Y","Sort=A","Dates=H","DateFormat=P","Fill=—","Direction=H","UseDPDF=Y")</f>
        <v>#NAME?</v>
      </c>
      <c r="AM398" s="2" t="e">
        <f ca="1">_xll.BDH($C$378,"GEO_GROW_NET_SALES","FY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398" s="2" t="e">
        <f ca="1">_xll.BDH($C$378,"GEO_GROW_EBITDA","FY 2018","FY 2018","Currency=INR","Period=FY","BEST_FPERIOD_OVERRIDE=FY","FILING_STATUS=OR","EQY_CONSOLIDATED=Y","FA_ADJUSTED=GAAP","Sort=A","Dates=H","DateFormat=P","Fill=—","Direction=H","UseDPDF=Y")</f>
        <v>#NAME?</v>
      </c>
      <c r="AO398" s="2" t="e">
        <f ca="1">_xll.BDH($C$378,"GEO_GROW_OPER_INC","FY 2018","FY 2018","Currency=INR","Period=FY","BEST_FPERIOD_OVERRIDE=FY","FILING_STATUS=OR","EQY_CONSOLIDATED=Y","FA_ADJUSTED=GAAP","Sort=A","Dates=H","DateFormat=P","Fill=—","Direction=H","UseDPDF=Y")</f>
        <v>#NAME?</v>
      </c>
      <c r="AP398" s="2" t="e">
        <f ca="1">_xll.BDH($C$378,"NET_INCOME_TO_COMMON_5_YR_GROWTH","FY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398" s="2" t="e">
        <f ca="1">_xll.BDH($C$378,"5Y_GEO_GROWTH_DILUTED_EPS","FY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398" s="2" t="e">
        <f ca="1">_xll.BDH($C$378,"GEO_GROW_DVD_PER_SH","FY 2018","FY 2018","Currency=INR","Period=FY","BEST_FPERIOD_OVERRIDE=FY","FILING_STATUS=OR","EQY_CONSOLIDATED=Y","Sort=A","Dates=H","DateFormat=P","Fill=—","Direction=H","UseDPDF=Y")</f>
        <v>#NAME?</v>
      </c>
      <c r="AS398" s="2" t="e">
        <f ca="1">_xll.BDH($C$378,"ACCOUNTS_RECEIVABLE_5_YR_GROWTH","FY 2018","FY 2018","Currency=INR","Period=FY","BEST_FPERIOD_OVERRIDE=FY","FILING_STATUS=OR","EQY_CONSOLIDATED=Y","Sort=A","Dates=H","DateFormat=P","Fill=—","Direction=H","UseDPDF=Y")</f>
        <v>#NAME?</v>
      </c>
      <c r="AT398" s="2" t="e">
        <f ca="1">_xll.BDH($C$378,"INVENTORY_5_YEAR_GROWTH","FY 2018","FY 2018","Currency=INR","Period=FY","BEST_FPERIOD_OVERRIDE=FY","FILING_STATUS=OR","EQY_CONSOLIDATED=Y","Sort=A","Dates=H","DateFormat=P","Fill=—","Direction=H","UseDPDF=Y")</f>
        <v>#NAME?</v>
      </c>
      <c r="AU398" s="2" t="e">
        <f ca="1">_xll.BDH($C$378,"NET_FIXED_ASSETS_5_YEAR_GROWTH","FY 2018","FY 2018","Currency=INR","Period=FY","BEST_FPERIOD_OVERRIDE=FY","FILING_STATUS=OR","EQY_CONSOLIDATED=Y","Sort=A","Dates=H","DateFormat=P","Fill=—","Direction=H","UseDPDF=Y")</f>
        <v>#NAME?</v>
      </c>
      <c r="AV398" s="2" t="e">
        <f ca="1">_xll.BDH($C$378,"GEO_GROW_TOT_ASSET","FY 2018","FY 2018","Currency=INR","Period=FY","BEST_FPERIOD_OVERRIDE=FY","FILING_STATUS=OR","EQY_CONSOLIDATED=Y","Sort=A","Dates=H","DateFormat=P","Fill=—","Direction=H","UseDPDF=Y")</f>
        <v>#NAME?</v>
      </c>
      <c r="AW398" s="2" t="e">
        <f ca="1">_xll.BDH($C$378,"MODIFIED_WORKING_CPTL_5YR_GRWTH","FY 2018","FY 2018","Currency=INR","Period=FY","BEST_FPERIOD_OVERRIDE=FY","FILING_STATUS=OR","EQY_CONSOLIDATED=Y","Sort=A","Dates=H","DateFormat=P","Fill=—","Direction=H","UseDPDF=Y")</f>
        <v>#NAME?</v>
      </c>
      <c r="AX398" s="2" t="e">
        <f ca="1">_xll.BDH($C$378,"WORKING_CAPITAL_5_YEAR_GROWTH","FY 2018","FY 2018","Currency=INR","Period=FY","BEST_FPERIOD_OVERRIDE=FY","FILING_STATUS=OR","EQY_CONSOLIDATED=Y","Sort=A","Dates=H","DateFormat=P","Fill=—","Direction=H","UseDPDF=Y")</f>
        <v>#NAME?</v>
      </c>
      <c r="AY398" s="2" t="e">
        <f ca="1">_xll.BDH($C$378,"ACCOUNTS_PAYABLE_5_YEAR_GROWTH","FY 2018","FY 2018","Currency=INR","Period=FY","BEST_FPERIOD_OVERRIDE=FY","FILING_STATUS=OR","EQY_CONSOLIDATED=Y","Sort=A","Dates=H","DateFormat=P","Fill=—","Direction=H","UseDPDF=Y")</f>
        <v>#NAME?</v>
      </c>
      <c r="AZ398" s="2" t="e">
        <f ca="1">_xll.BDH($C$378,"SHORT_TERM_DEBT_5_YEAR_GROWTH","FY 2018","FY 2018","Currency=INR","Period=FY","BEST_FPERIOD_OVERRIDE=FY","FILING_STATUS=OR","EQY_CONSOLIDATED=Y","Sort=A","Dates=H","DateFormat=P","Fill=—","Direction=H","UseDPDF=Y")</f>
        <v>#NAME?</v>
      </c>
      <c r="BA398" s="2" t="e">
        <f ca="1">_xll.BDH($C$378,"TOTAL_DEBT_5_YEAR_GROWTH","FY 2018","FY 2018","Currency=INR","Period=FY","BEST_FPERIOD_OVERRIDE=FY","FILING_STATUS=OR","EQY_CONSOLIDATED=Y","Sort=A","Dates=H","DateFormat=P","Fill=—","Direction=H","UseDPDF=Y")</f>
        <v>#NAME?</v>
      </c>
      <c r="BB398" s="2" t="e">
        <f ca="1">_xll.BDH($C$378,"GEO_GROW_TOT_SHRHLDR_EQY","FY 2018","FY 2018","Currency=INR","Period=FY","BEST_FPERIOD_OVERRIDE=FY","FILING_STATUS=OR","EQY_CONSOLIDATED=Y","Sort=A","Dates=H","DateFormat=P","Fill=—","Direction=H","UseDPDF=Y")</f>
        <v>#NAME?</v>
      </c>
      <c r="BC398" s="2" t="e">
        <f ca="1">_xll.BDH($C$378,"TOTAL_CAPITAL_5_YEAR_GROWTH","FY 2018","FY 2018","Currency=INR","Period=FY","BEST_FPERIOD_OVERRIDE=FY","FILING_STATUS=OR","EQY_CONSOLIDATED=Y","Sort=A","Dates=H","DateFormat=P","Fill=—","Direction=H","UseDPDF=Y")</f>
        <v>#NAME?</v>
      </c>
      <c r="BD398" s="2" t="e">
        <f ca="1">_xll.BDH($C$378,"GEO_GROW_BOOK_VAL","FY 2018","FY 2018","Currency=INR","Period=FY","BEST_FPERIOD_OVERRIDE=FY","FILING_STATUS=OR","EQY_CONSOLIDATED=Y","Sort=A","Dates=H","DateFormat=P","Fill=—","Direction=H","UseDPDF=Y")</f>
        <v>#NAME?</v>
      </c>
      <c r="BE398" s="2" t="e">
        <f ca="1">_xll.BDH($C$378,"GEO_GROW_CASH_OPER_ACT","FY 2018","FY 2018","Currency=INR","Period=FY","BEST_FPERIOD_OVERRIDE=FY","FILING_STATUS=OR","EQY_CONSOLIDATED=Y","Sort=A","Dates=H","DateFormat=P","Fill=—","Direction=H","UseDPDF=Y")</f>
        <v>#NAME?</v>
      </c>
      <c r="BF398" s="2" t="e">
        <f ca="1">_xll.BDH($C$378,"REVENUE_SEQUENTIAL_GROWTH","FY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398" s="2" t="e">
        <f ca="1">_xll.BDH($C$378,"EBITDA_SEQUENTIAL_GROWTH","FY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398" s="2" t="e">
        <f ca="1">_xll.BDH($C$378,"OPERATING_INCOME_SEQ_GROWTH","FY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398" s="2" t="e">
        <f ca="1">_xll.BDH($C$378,"NET_INCOME_TO_COMMON_SEQ_GROWTH","FY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398" s="2" t="e">
        <f ca="1">_xll.BDH($C$378,"EPS_DILUTED_SEQUENTIAL_GROWTH","FY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398" s="2" t="e">
        <f ca="1">_xll.BDH($C$378,"DPS_SEQUENTIAL_GROWTH","FY 2018","FY 2018","Currency=INR","Period=FY","BEST_FPERIOD_OVERRIDE=FY","FILING_STATUS=OR","EQY_CONSOLIDATED=Y","Sort=A","Dates=H","DateFormat=P","Fill=—","Direction=H","UseDPDF=Y")</f>
        <v>#NAME?</v>
      </c>
      <c r="BL398" s="2" t="e">
        <f ca="1">_xll.BDH($C$378,"ACCOUNTS_RECEIVABLE_SEQ_GROWTH","FY 2018","FY 2018","Currency=INR","Period=FY","BEST_FPERIOD_OVERRIDE=FY","FILING_STATUS=OR","EQY_CONSOLIDATED=Y","Sort=A","Dates=H","DateFormat=P","Fill=—","Direction=H","UseDPDF=Y")</f>
        <v>#NAME?</v>
      </c>
      <c r="BM398" s="2" t="e">
        <f ca="1">_xll.BDH($C$378,"INVENTORY_SEQUENTIAL_GROWTH","FY 2018","FY 2018","Currency=INR","Period=FY","BEST_FPERIOD_OVERRIDE=FY","FILING_STATUS=OR","EQY_CONSOLIDATED=Y","Sort=A","Dates=H","DateFormat=P","Fill=—","Direction=H","UseDPDF=Y")</f>
        <v>#NAME?</v>
      </c>
      <c r="BN398" s="2" t="e">
        <f ca="1">_xll.BDH($C$378,"FIXED_ASSETS_SEQUENTIAL_GROWTH","FY 2018","FY 2018","Currency=INR","Period=FY","BEST_FPERIOD_OVERRIDE=FY","FILING_STATUS=OR","EQY_CONSOLIDATED=Y","Sort=A","Dates=H","DateFormat=P","Fill=—","Direction=H","UseDPDF=Y")</f>
        <v>#NAME?</v>
      </c>
      <c r="BO398" s="2" t="e">
        <f ca="1">_xll.BDH($C$378,"TOTAL_ASSETS_SEQUENTIAL_GROWTH","FY 2018","FY 2018","Currency=INR","Period=FY","BEST_FPERIOD_OVERRIDE=FY","FILING_STATUS=OR","EQY_CONSOLIDATED=Y","Sort=A","Dates=H","DateFormat=P","Fill=—","Direction=H","UseDPDF=Y")</f>
        <v>#NAME?</v>
      </c>
      <c r="BP398" s="2" t="e">
        <f ca="1">_xll.BDH($C$378,"MODIFIED_WORKING_CPTL_SEQ_GRWTH","FY 2018","FY 2018","Currency=INR","Period=FY","BEST_FPERIOD_OVERRIDE=FY","FILING_STATUS=OR","EQY_CONSOLIDATED=Y","Sort=A","Dates=H","DateFormat=P","Fill=—","Direction=H","UseDPDF=Y")</f>
        <v>#NAME?</v>
      </c>
      <c r="BQ398" s="2" t="e">
        <f ca="1">_xll.BDH($C$378,"WORKING_CAPITAL_SEQ_GROWTH","FY 2018","FY 2018","Currency=INR","Period=FY","BEST_FPERIOD_OVERRIDE=FY","FILING_STATUS=OR","EQY_CONSOLIDATED=Y","Sort=A","Dates=H","DateFormat=P","Fill=—","Direction=H","UseDPDF=Y")</f>
        <v>#NAME?</v>
      </c>
      <c r="BR398" s="2" t="e">
        <f ca="1">_xll.BDH($C$378,"ACCOUNTS_PAYABLE_SEQ_GROWTH","FY 2018","FY 2018","Currency=INR","Period=FY","BEST_FPERIOD_OVERRIDE=FY","FILING_STATUS=OR","EQY_CONSOLIDATED=Y","Sort=A","Dates=H","DateFormat=P","Fill=—","Direction=H","UseDPDF=Y")</f>
        <v>#NAME?</v>
      </c>
      <c r="BS398" s="2" t="e">
        <f ca="1">_xll.BDH($C$378,"ST_DEBT_SEQUENTIAL_GROWTH","FY 2018","FY 2018","Currency=INR","Period=FY","BEST_FPERIOD_OVERRIDE=FY","FILING_STATUS=OR","EQY_CONSOLIDATED=Y","Sort=A","Dates=H","DateFormat=P","Fill=—","Direction=H","UseDPDF=Y")</f>
        <v>#NAME?</v>
      </c>
      <c r="BT398" s="2" t="e">
        <f ca="1">_xll.BDH($C$378,"TOTAL_DEBT_SEQUENTIAL_GROWTH","FY 2018","FY 2018","Currency=INR","Period=FY","BEST_FPERIOD_OVERRIDE=FY","FILING_STATUS=OR","EQY_CONSOLIDATED=Y","Sort=A","Dates=H","DateFormat=P","Fill=—","Direction=H","UseDPDF=Y")</f>
        <v>#NAME?</v>
      </c>
      <c r="BU398" s="2" t="e">
        <f ca="1">_xll.BDH($C$378,"TOTAL_EQUITY_SEQUENTIAL_GROWTH","FY 2018","FY 2018","Currency=INR","Period=FY","BEST_FPERIOD_OVERRIDE=FY","FILING_STATUS=OR","EQY_CONSOLIDATED=Y","Sort=A","Dates=H","DateFormat=P","Fill=—","Direction=H","UseDPDF=Y")</f>
        <v>#NAME?</v>
      </c>
      <c r="BV398" s="2" t="e">
        <f ca="1">_xll.BDH($C$378,"TOTAL_CAPITAL_SEQUENTIAL_GROWTH","FY 2018","FY 2018","Currency=INR","Period=FY","BEST_FPERIOD_OVERRIDE=FY","FILING_STATUS=OR","EQY_CONSOLIDATED=Y","Sort=A","Dates=H","DateFormat=P","Fill=—","Direction=H","UseDPDF=Y")</f>
        <v>#NAME?</v>
      </c>
      <c r="BW398" s="2" t="e">
        <f ca="1">_xll.BDH($C$378,"BPS_SEQUENTIAL_GROWTH","FY 2018","FY 2018","Currency=INR","Period=FY","BEST_FPERIOD_OVERRIDE=FY","FILING_STATUS=OR","EQY_CONSOLIDATED=Y","Sort=A","Dates=H","DateFormat=P","Fill=—","Direction=H","UseDPDF=Y")</f>
        <v>#NAME?</v>
      </c>
      <c r="BX398" s="2" t="e">
        <f ca="1">_xll.BDH($C$378,"CFO_SEQUENTIAL_GROWTH","FY 2018","FY 2018","Currency=INR","Period=FY","BEST_FPERIOD_OVERRIDE=FY","FILING_STATUS=OR","EQY_CONSOLIDATED=Y","Sort=A","Dates=H","DateFormat=P","Fill=—","Direction=H","UseDPDF=Y")</f>
        <v>#NAME?</v>
      </c>
      <c r="BY398" s="3" t="e">
        <f ca="1">_xll.BDH($C$378,"SHORT_AND_LONG_TERM_DEBT","FY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398" s="3" t="e">
        <f ca="1">_xll.BDH($C$378,"BS_ST_BORROW","FY 2018","FY 2018","Currency=INR","Period=FY","BEST_FPERIOD_OVERRIDE=FY","FILING_STATUS=OR","EQY_CONSOLIDATED=Y","SCALING_FORMAT=MLN","Sort=A","Dates=H","DateFormat=P","Fill=—","Direction=H","UseDPDF=Y")</f>
        <v>#NAME?</v>
      </c>
      <c r="CA398" s="3" t="e">
        <f ca="1">_xll.BDH($C$378,"BS_LT_BORROW","FY 2018","FY 2018","Currency=INR","Period=FY","BEST_FPERIOD_OVERRIDE=FY","FILING_STATUS=OR","EQY_CONSOLIDATED=Y","SCALING_FORMAT=MLN","Sort=A","Dates=H","DateFormat=P","Fill=—","Direction=H","UseDPDF=Y")</f>
        <v>#NAME?</v>
      </c>
      <c r="CB398" s="2" t="e">
        <f ca="1">_xll.BDH($C$378,"TOT_DEBT_TO_EBITDA","FY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398" s="2" t="e">
        <f ca="1">_xll.BDH($C$378,"NET_DEBT_TO_EBITDA","FY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398" s="2" t="e">
        <f ca="1">_xll.BDH($C$378,"TOTAL_DEBT_TO_EBIT","FY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398" s="2" t="e">
        <f ca="1">_xll.BDH($C$378,"NET_DEBT_TO_EBIT","FY 2018","FY 2018","Currency=INR","Period=FY","BEST_FPERIOD_OVERRIDE=FY","FILING_STATUS=OR","EQY_CONSOLIDATED=Y","FA_ADJUSTED=GAAP","Sort=A","Dates=H","DateFormat=P","Fill=—","Direction=H","UseDPDF=Y")</f>
        <v>#NAME?</v>
      </c>
      <c r="CF398" s="2" t="e">
        <f ca="1">_xll.BDH($C$378,"EBITDA_TO_INTEREST_EXPN","FY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398" s="2" t="e">
        <f ca="1">_xll.BDH($C$378,"COM_EQY_TO_TOT_ASSET","FY 2018","FY 2018","Currency=INR","Period=FY","BEST_FPERIOD_OVERRIDE=FY","FILING_STATUS=OR","EQY_CONSOLIDATED=Y","Sort=A","Dates=H","DateFormat=P","Fill=—","Direction=H","UseDPDF=Y")</f>
        <v>#NAME?</v>
      </c>
      <c r="CH398" s="2" t="e">
        <f ca="1">_xll.BDH($C$378,"LT_DEBT_TO_TOT_EQY","FY 2018","FY 2018","Currency=INR","Period=FY","BEST_FPERIOD_OVERRIDE=FY","FILING_STATUS=OR","EQY_CONSOLIDATED=Y","Sort=A","Dates=H","DateFormat=P","Fill=—","Direction=H","UseDPDF=Y")</f>
        <v>#NAME?</v>
      </c>
      <c r="CI398" s="2" t="e">
        <f ca="1">_xll.BDH($C$378,"LT_DEBT_TO_TOT_CAP","FY 2018","FY 2018","Currency=INR","Period=FY","BEST_FPERIOD_OVERRIDE=FY","FILING_STATUS=OR","EQY_CONSOLIDATED=Y","Sort=A","Dates=H","DateFormat=P","Fill=—","Direction=H","UseDPDF=Y")</f>
        <v>#NAME?</v>
      </c>
      <c r="CJ398" s="2" t="e">
        <f ca="1">_xll.BDH($C$378,"LT_DEBT_TO_TOT_ASSET","FY 2018","FY 2018","Currency=INR","Period=FY","BEST_FPERIOD_OVERRIDE=FY","FILING_STATUS=OR","EQY_CONSOLIDATED=Y","Sort=A","Dates=H","DateFormat=P","Fill=—","Direction=H","UseDPDF=Y")</f>
        <v>#NAME?</v>
      </c>
      <c r="CK398" s="2" t="e">
        <f ca="1">_xll.BDH($C$378,"TOT_DEBT_TO_TOT_EQY","FY 2018","FY 2018","Currency=INR","Period=FY","BEST_FPERIOD_OVERRIDE=FY","FILING_STATUS=OR","EQY_CONSOLIDATED=Y","Sort=A","Dates=H","DateFormat=P","Fill=—","Direction=H","UseDPDF=Y")</f>
        <v>#NAME?</v>
      </c>
      <c r="CL398" s="2" t="e">
        <f ca="1">_xll.BDH($C$378,"TOT_DEBT_TO_TOT_CAP","FY 2018","FY 2018","Currency=INR","Period=FY","BEST_FPERIOD_OVERRIDE=FY","FILING_STATUS=OR","EQY_CONSOLIDATED=Y","Sort=A","Dates=H","DateFormat=P","Fill=—","Direction=H","UseDPDF=Y")</f>
        <v>#NAME?</v>
      </c>
      <c r="CM398" s="2" t="e">
        <f ca="1">_xll.BDH($C$378,"TOT_DEBT_TO_TOT_ASSET","FY 2018","FY 2018","Currency=INR","Period=FY","BEST_FPERIOD_OVERRIDE=FY","FILING_STATUS=OR","EQY_CONSOLIDATED=Y","Sort=A","Dates=H","DateFormat=P","Fill=—","Direction=H","UseDPDF=Y")</f>
        <v>#NAME?</v>
      </c>
      <c r="CN398" s="2" t="e">
        <f ca="1">_xll.BDH($C$378,"NET_DEBT_TO_SHRHLDR_EQTY","FY 2018","FY 2018","Currency=INR","Period=FY","BEST_FPERIOD_OVERRIDE=FY","FILING_STATUS=OR","EQY_CONSOLIDATED=Y","Sort=A","Dates=H","DateFormat=P","Fill=—","Direction=H","UseDPDF=Y")</f>
        <v>#NAME?</v>
      </c>
      <c r="CO398" s="2" t="e">
        <f ca="1">_xll.BDH($C$378,"NET_DEBT_%_CAPITAL","FY 2018","FY 2018","Currency=INR","Period=FY","BEST_FPERIOD_OVERRIDE=FY","FILING_STATUS=OR","EQY_CONSOLIDATED=Y","Sort=A","Dates=H","DateFormat=P","Fill=—","Direction=H","UseDPDF=Y")</f>
        <v>#NAME?</v>
      </c>
      <c r="CP398" s="3" t="e">
        <f ca="1">_xll.BDH($C$378,"EBITDA","FY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398" s="3" t="e">
        <f ca="1">_xll.BDH($C$378,"EBITDA_AFTER_CAPEX","FY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398" s="3" t="e">
        <f ca="1">_xll.BDH($C$378,"IS_OPER_INC","FY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398" s="2" t="e">
        <f ca="1">_xll.BDH($C$378,"CASH_RATIO","FY 2018","FY 2018","Currency=INR","Period=FY","BEST_FPERIOD_OVERRIDE=FY","FILING_STATUS=OR","EQY_CONSOLIDATED=Y","Sort=A","Dates=H","DateFormat=P","Fill=—","Direction=H","UseDPDF=Y")</f>
        <v>#NAME?</v>
      </c>
      <c r="CT398" s="2" t="e">
        <f ca="1">_xll.BDH($C$378,"CUR_RATIO","FY 2018","FY 2018","Currency=INR","Period=FY","BEST_FPERIOD_OVERRIDE=FY","FILING_STATUS=OR","EQY_CONSOLIDATED=Y","Sort=A","Dates=H","DateFormat=P","Fill=—","Direction=H","UseDPDF=Y")</f>
        <v>#NAME?</v>
      </c>
      <c r="CU398" s="2" t="e">
        <f ca="1">_xll.BDH($C$378,"QUICK_RATIO","FY 2018","FY 2018","Currency=INR","Period=FY","BEST_FPERIOD_OVERRIDE=FY","FILING_STATUS=OR","EQY_CONSOLIDATED=Y","Sort=A","Dates=H","DateFormat=P","Fill=—","Direction=H","UseDPDF=Y")</f>
        <v>#NAME?</v>
      </c>
      <c r="CV398" s="2" t="e">
        <f ca="1">_xll.BDH($C$378,"ALTMAN_Z_SCORE","FY 2018","FY 2018","Currency=INR","Period=FY","BEST_FPERIOD_OVERRIDE=FY","FILING_STATUS=OR","EQY_CONSOLIDATED=Y","Sort=A","Dates=H","DateFormat=P","Fill=—","Direction=H","UseDPDF=Y")</f>
        <v>#NAME?</v>
      </c>
      <c r="CW398" s="4" t="e">
        <f ca="1">_xll.BDH($C$378,"ACCT_RCV_TURN","FY 2018","FY 2018","Currency=INR","Period=FY","BEST_FPERIOD_OVERRIDE=FY","FILING_STATUS=OR","EQY_CONSOLIDATED=Y","FA_ADJUSTED=GAAP","Sort=A","Dates=H","DateFormat=P","Fill=—","Direction=H","UseDPDF=Y")</f>
        <v>#NAME?</v>
      </c>
      <c r="CX398" s="2" t="e">
        <f ca="1">_xll.BDH($C$378,"ACCT_RCV_DAYS","FY 2018","FY 2018","Currency=INR","Period=FY","BEST_FPERIOD_OVERRIDE=FY","FILING_STATUS=OR","EQY_CONSOLIDATED=Y","FA_ADJUSTED=GAAP","Sort=A","Dates=H","DateFormat=P","Fill=—","Direction=H","UseDPDF=Y")</f>
        <v>#NAME?</v>
      </c>
      <c r="CY398" s="4" t="e">
        <f ca="1">_xll.BDH($C$378,"INVENT_TURN","FY 2018","FY 2018","Currency=INR","Period=FY","BEST_FPERIOD_OVERRIDE=FY","FILING_STATUS=OR","EQY_CONSOLIDATED=Y","FA_ADJUSTED=GAAP","Sort=A","Dates=H","DateFormat=P","Fill=—","Direction=H","UseDPDF=Y")</f>
        <v>#NAME?</v>
      </c>
      <c r="CZ398" s="2" t="e">
        <f ca="1">_xll.BDH($C$378,"INVENT_DAYS","FY 2018","FY 2018","Currency=INR","Period=FY","BEST_FPERIOD_OVERRIDE=FY","FILING_STATUS=OR","EQY_CONSOLIDATED=Y","FA_ADJUSTED=GAAP","Sort=A","Dates=H","DateFormat=P","Fill=—","Direction=H","UseDPDF=Y")</f>
        <v>#NAME?</v>
      </c>
      <c r="DA398" s="4" t="e">
        <f ca="1">_xll.BDH($C$378,"ACCOUNTS_PAYABLE_TURNOVER","FY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398" s="2" t="e">
        <f ca="1">_xll.BDH($C$378,"ACCOUNTS_PAYABLE_TURNOVER_DAYS","FY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398" s="4" t="e">
        <f ca="1">_xll.BDH($C$378,"CASH_CONVERSION_CYCLE","FY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398" s="4" t="e">
        <f ca="1">_xll.BDH($C$378,"INV_TO_CASH_DAYS","FY 2018","FY 2018","Currency=INR","Period=FY","BEST_FPERIOD_OVERRIDE=FY","FILING_STATUS=OR","EQY_CONSOLIDATED=Y","FA_ADJUSTED=GAAP","Sort=A","Dates=H","DateFormat=P","Fill=—","Direction=H","UseDPDF=Y")</f>
        <v>#NAME?</v>
      </c>
      <c r="DE398" s="5" t="e">
        <f ca="1">_xll.BDH($C$378,"BS_INVENTORIES","FY 2018","FY 2018","Currency=INR","Period=FY","BEST_FPERIOD_OVERRIDE=FY","FILING_STATUS=OR","EQY_CONSOLIDATED=Y","SCALING_FORMAT=MLN","Sort=A","Dates=H","DateFormat=P","Fill=—","Direction=H","UseDPDF=Y")</f>
        <v>#NAME?</v>
      </c>
      <c r="DF398" s="3" t="e">
        <f ca="1">_xll.BDH($C$378,"INVTRY_RAW_MATERIALS","FY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398" s="3" t="e">
        <f ca="1">_xll.BDH($C$378,"INVTRY_IN_PROGRESS","FY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398" s="3" t="e">
        <f ca="1">_xll.BDH($C$378,"INVTRY_FINISHED_GOODS","FY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398" s="3" t="e">
        <f ca="1">_xll.BDH($C$378,"BS_OTHER_INV","FY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399" spans="1:113" x14ac:dyDescent="0.3">
      <c r="A399" s="6"/>
      <c r="B399" s="6"/>
      <c r="C399" s="6"/>
      <c r="D399" s="6"/>
      <c r="E399" t="s">
        <v>78</v>
      </c>
      <c r="F399" t="e">
        <f ca="1">_xll.BDH($C$378,"RETURN_COM_EQY","FQ1 2018","FQ1 2018","Currency=INR","Period=FQ","BEST_FPERIOD_OVERRIDE=FQ","FILING_STATUS=OR","EQY_CONSOLIDATED=Y","FA_ADJUSTED=GAAP","Sort=A","Dates=H","DateFormat=P","Fill=—","Direction=H","UseDPDF=Y")</f>
        <v>#NAME?</v>
      </c>
      <c r="G399" t="e">
        <f ca="1">_xll.BDH($C$378,"RETURN_ON_ASSET","FQ1 2018","FQ1 2018","Currency=INR","Period=FQ","BEST_FPERIOD_OVERRIDE=FQ","FILING_STATUS=OR","EQY_CONSOLIDATED=Y","FA_ADJUSTED=GAAP","Sort=A","Dates=H","DateFormat=P","Fill=—","Direction=H","UseDPDF=Y")</f>
        <v>#NAME?</v>
      </c>
      <c r="H399" t="e">
        <f ca="1">_xll.BDH($C$378,"RETURN_ON_CAP","FQ1 2018","FQ1 2018","Currency=INR","Period=FQ","BEST_FPERIOD_OVERRIDE=FQ","FILING_STATUS=OR","EQY_CONSOLIDATED=Y","FA_ADJUSTED=GAAP","Sort=A","Dates=H","DateFormat=P","Fill=—","Direction=H","UseDPDF=Y")</f>
        <v>#NAME?</v>
      </c>
      <c r="I399" t="e">
        <f ca="1">_xll.BDH($C$378,"RETURN_ON_INV_CAPITAL","FQ1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399" t="e">
        <f ca="1">_xll.BDH($C$378,"EBITDA_TO_REVENUE","FQ1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399" t="e">
        <f ca="1">_xll.BDH($C$378,"OPER_MARGIN","FQ1 2018","FQ1 2018","Currency=INR","Period=FQ","BEST_FPERIOD_OVERRIDE=FQ","FILING_STATUS=OR","EQY_CONSOLIDATED=Y","FA_ADJUSTED=GAAP","Sort=A","Dates=H","DateFormat=P","Fill=—","Direction=H","UseDPDF=Y")</f>
        <v>#NAME?</v>
      </c>
      <c r="L399" t="e">
        <f ca="1">_xll.BDH($C$378,"INCREMENTAL_OPERATING_MARGIN","FQ1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399" t="e">
        <f ca="1">_xll.BDH($C$378,"PRETAX_INC_TO_NET_SALES","FQ1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399" t="e">
        <f ca="1">_xll.BDH($C$378,"INC_BEF_XO_ITEMS_TO_NET_SALES","FQ1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399" t="e">
        <f ca="1">_xll.BDH($C$378,"PROF_MARGIN","FQ1 2018","FQ1 2018","Currency=INR","Period=FQ","BEST_FPERIOD_OVERRIDE=FQ","FILING_STATUS=OR","EQY_CONSOLIDATED=Y","FA_ADJUSTED=GAAP","Sort=A","Dates=H","DateFormat=P","Fill=—","Direction=H","UseDPDF=Y")</f>
        <v>#NAME?</v>
      </c>
      <c r="P399" t="e">
        <f ca="1">_xll.BDH($C$378,"NET_INCOME_TO_COMMON_MARGIN","FQ1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399" t="e">
        <f ca="1">_xll.BDH($C$378,"EFF_TAX_RATE","FQ1 2018","FQ1 2018","Currency=INR","Period=FQ","BEST_FPERIOD_OVERRIDE=FQ","FILING_STATUS=OR","EQY_CONSOLIDATED=Y","FA_ADJUSTED=GAAP","Sort=A","Dates=H","DateFormat=P","Fill=—","Direction=H","UseDPDF=Y")</f>
        <v>#NAME?</v>
      </c>
      <c r="R399" t="e">
        <f ca="1">_xll.BDH($C$378,"DVD_PAYOUT_RATIO","FQ1 2018","FQ1 2018","Currency=INR","Period=FQ","BEST_FPERIOD_OVERRIDE=FQ","FILING_STATUS=OR","EQY_CONSOLIDATED=Y","FA_ADJUSTED=GAAP","Sort=A","Dates=H","DateFormat=P","Fill=—","Direction=H","UseDPDF=Y")</f>
        <v>#NAME?</v>
      </c>
      <c r="S399" t="e">
        <f ca="1">_xll.BDH($C$378,"SUSTAIN_GROWTH_RT","FQ1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399" s="2" t="e">
        <f ca="1">_xll.BDH($C$378,"SALES_GROWTH","FQ1 2018","FQ1 2018","Currency=INR","Period=FQ","BEST_FPERIOD_OVERRIDE=FQ","FILING_STATUS=OR","EQY_CONSOLIDATED=Y","FA_ADJUSTED=GAAP","Sort=A","Dates=H","DateFormat=P","Fill=—","Direction=H","UseDPDF=Y")</f>
        <v>#NAME?</v>
      </c>
      <c r="U399" s="2" t="e">
        <f ca="1">_xll.BDH($C$378,"EBITDA_GROWTH","FQ1 2018","FQ1 2018","Currency=INR","Period=FQ","BEST_FPERIOD_OVERRIDE=FQ","FILING_STATUS=OR","EQY_CONSOLIDATED=Y","FA_ADJUSTED=GAAP","Sort=A","Dates=H","DateFormat=P","Fill=—","Direction=H","UseDPDF=Y")</f>
        <v>#NAME?</v>
      </c>
      <c r="V399" s="2" t="e">
        <f ca="1">_xll.BDH($C$378,"OPER_INC_GROWTH","FQ1 2018","FQ1 2018","Currency=INR","Period=FQ","BEST_FPERIOD_OVERRIDE=FQ","FILING_STATUS=OR","EQY_CONSOLIDATED=Y","FA_ADJUSTED=GAAP","Sort=A","Dates=H","DateFormat=P","Fill=—","Direction=H","UseDPDF=Y")</f>
        <v>#NAME?</v>
      </c>
      <c r="W399" s="2" t="e">
        <f ca="1">_xll.BDH($C$378,"EARN_FOR_COM_GROWTH","FQ1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399" s="2" t="e">
        <f ca="1">_xll.BDH($C$378,"DILUTED_EPS_AFT_XO_ITEMS_GROWTH","FQ1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399" s="2" t="e">
        <f ca="1">_xll.BDH($C$378,"DIVIDEND_PER_SHARE_1_YEAR_GROWTH","FQ1 2018","FQ1 2018","Currency=INR","Period=FQ","BEST_FPERIOD_OVERRIDE=FQ","FILING_STATUS=OR","EQY_CONSOLIDATED=Y","Sort=A","Dates=H","DateFormat=P","Fill=—","Direction=H","UseDPDF=Y")</f>
        <v>#NAME?</v>
      </c>
      <c r="Z399" s="2" t="e">
        <f ca="1">_xll.BDH($C$378,"ACCOUNTS_RECEIVABLE_GROWTH","FQ1 2018","FQ1 2018","Currency=INR","Period=FQ","BEST_FPERIOD_OVERRIDE=FQ","FILING_STATUS=OR","EQY_CONSOLIDATED=Y","Sort=A","Dates=H","DateFormat=P","Fill=—","Direction=H","UseDPDF=Y")</f>
        <v>#NAME?</v>
      </c>
      <c r="AA399" s="2" t="e">
        <f ca="1">_xll.BDH($C$378,"INVENTORY_GROWTH","FQ1 2018","FQ1 2018","Currency=INR","Period=FQ","BEST_FPERIOD_OVERRIDE=FQ","FILING_STATUS=OR","EQY_CONSOLIDATED=Y","Sort=A","Dates=H","DateFormat=P","Fill=—","Direction=H","UseDPDF=Y")</f>
        <v>#NAME?</v>
      </c>
      <c r="AB399" s="2" t="e">
        <f ca="1">_xll.BDH($C$378,"NET_FIXED_ASSETS_1_YEAR_GROWTH","FQ1 2018","FQ1 2018","Currency=INR","Period=FQ","BEST_FPERIOD_OVERRIDE=FQ","FILING_STATUS=OR","EQY_CONSOLIDATED=Y","Sort=A","Dates=H","DateFormat=P","Fill=—","Direction=H","UseDPDF=Y")</f>
        <v>#NAME?</v>
      </c>
      <c r="AC399" s="2" t="e">
        <f ca="1">_xll.BDH($C$378,"ASSET_GROWTH","FQ1 2018","FQ1 2018","Currency=INR","Period=FQ","BEST_FPERIOD_OVERRIDE=FQ","FILING_STATUS=OR","EQY_CONSOLIDATED=Y","Sort=A","Dates=H","DateFormat=P","Fill=—","Direction=H","UseDPDF=Y")</f>
        <v>#NAME?</v>
      </c>
      <c r="AD399" s="2" t="e">
        <f ca="1">_xll.BDH($C$378,"MODIFIED_WORK_CAP_GROWTH","FQ1 2018","FQ1 2018","Currency=INR","Period=FQ","BEST_FPERIOD_OVERRIDE=FQ","FILING_STATUS=OR","EQY_CONSOLIDATED=Y","Sort=A","Dates=H","DateFormat=P","Fill=—","Direction=H","UseDPDF=Y")</f>
        <v>#NAME?</v>
      </c>
      <c r="AE399" s="2" t="e">
        <f ca="1">_xll.BDH($C$378,"WORK_CAP_GROWTH","FQ1 2018","FQ1 2018","Currency=INR","Period=FQ","BEST_FPERIOD_OVERRIDE=FQ","FILING_STATUS=OR","EQY_CONSOLIDATED=Y","Sort=A","Dates=H","DateFormat=P","Fill=—","Direction=H","UseDPDF=Y")</f>
        <v>#NAME?</v>
      </c>
      <c r="AF399" s="2" t="e">
        <f ca="1">_xll.BDH($C$378,"ACCOUNTS_PAYABLE_GROWTH_1YR","FQ1 2018","FQ1 2018","Currency=INR","Period=FQ","BEST_FPERIOD_OVERRIDE=FQ","FILING_STATUS=OR","EQY_CONSOLIDATED=Y","Sort=A","Dates=H","DateFormat=P","Fill=—","Direction=H","UseDPDF=Y")</f>
        <v>#NAME?</v>
      </c>
      <c r="AG399" s="2" t="e">
        <f ca="1">_xll.BDH($C$378,"SHORT_TERM_DEBT_1_YEAR_GROWTH","FQ1 2018","FQ1 2018","Currency=INR","Period=FQ","BEST_FPERIOD_OVERRIDE=FQ","FILING_STATUS=OR","EQY_CONSOLIDATED=Y","Sort=A","Dates=H","DateFormat=P","Fill=—","Direction=H","UseDPDF=Y")</f>
        <v>#NAME?</v>
      </c>
      <c r="AH399" s="2" t="e">
        <f ca="1">_xll.BDH($C$378,"TOTAL_DEBT_1_YEAR_GROWTH","FQ1 2018","FQ1 2018","Currency=INR","Period=FQ","BEST_FPERIOD_OVERRIDE=FQ","FILING_STATUS=OR","EQY_CONSOLIDATED=Y","Sort=A","Dates=H","DateFormat=P","Fill=—","Direction=H","UseDPDF=Y")</f>
        <v>#NAME?</v>
      </c>
      <c r="AI399" s="2" t="e">
        <f ca="1">_xll.BDH($C$378,"TOTAL_EQUITY_1_YEAR_GROWTH","FQ1 2018","FQ1 2018","Currency=INR","Period=FQ","BEST_FPERIOD_OVERRIDE=FQ","FILING_STATUS=OR","EQY_CONSOLIDATED=Y","Sort=A","Dates=H","DateFormat=P","Fill=—","Direction=H","UseDPDF=Y")</f>
        <v>#NAME?</v>
      </c>
      <c r="AJ399" s="2" t="e">
        <f ca="1">_xll.BDH($C$378,"GROWTH_IN_CAP","FQ1 2018","FQ1 2018","Currency=INR","Period=FQ","BEST_FPERIOD_OVERRIDE=FQ","FILING_STATUS=OR","EQY_CONSOLIDATED=Y","Sort=A","Dates=H","DateFormat=P","Fill=—","Direction=H","UseDPDF=Y")</f>
        <v>#NAME?</v>
      </c>
      <c r="AK399" s="2" t="e">
        <f ca="1">_xll.BDH($C$378,"BVPS_GROWTH","FQ1 2018","FQ1 2018","Currency=INR","Period=FQ","BEST_FPERIOD_OVERRIDE=FQ","FILING_STATUS=OR","EQY_CONSOLIDATED=Y","Sort=A","Dates=H","DateFormat=P","Fill=—","Direction=H","UseDPDF=Y")</f>
        <v>#NAME?</v>
      </c>
      <c r="AL399" s="2" t="e">
        <f ca="1">_xll.BDH($C$378,"CASH_FLOW_GROWTH","FQ1 2018","FQ1 2018","Currency=INR","Period=FQ","BEST_FPERIOD_OVERRIDE=FQ","FILING_STATUS=OR","EQY_CONSOLIDATED=Y","Sort=A","Dates=H","DateFormat=P","Fill=—","Direction=H","UseDPDF=Y")</f>
        <v>#NAME?</v>
      </c>
      <c r="AM399" s="2" t="e">
        <f ca="1">_xll.BDH($C$378,"GEO_GROW_NET_SALES","FQ1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399" s="2" t="e">
        <f ca="1">_xll.BDH($C$378,"GEO_GROW_EBITDA","FQ1 2018","FQ1 2018","Currency=INR","Period=FQ","BEST_FPERIOD_OVERRIDE=FQ","FILING_STATUS=OR","EQY_CONSOLIDATED=Y","FA_ADJUSTED=GAAP","Sort=A","Dates=H","DateFormat=P","Fill=—","Direction=H","UseDPDF=Y")</f>
        <v>#NAME?</v>
      </c>
      <c r="AO399" s="2" t="e">
        <f ca="1">_xll.BDH($C$378,"GEO_GROW_OPER_INC","FQ1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399" s="2" t="e">
        <f ca="1">_xll.BDH($C$378,"NET_INCOME_TO_COMMON_5_YR_GROWTH","FQ1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399" s="2" t="e">
        <f ca="1">_xll.BDH($C$378,"5Y_GEO_GROWTH_DILUTED_EPS","FQ1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399" s="2" t="e">
        <f ca="1">_xll.BDH($C$378,"GEO_GROW_DVD_PER_SH","FQ1 2018","FQ1 2018","Currency=INR","Period=FQ","BEST_FPERIOD_OVERRIDE=FQ","FILING_STATUS=OR","EQY_CONSOLIDATED=Y","Sort=A","Dates=H","DateFormat=P","Fill=—","Direction=H","UseDPDF=Y")</f>
        <v>#NAME?</v>
      </c>
      <c r="AS399" s="2" t="e">
        <f ca="1">_xll.BDH($C$378,"ACCOUNTS_RECEIVABLE_5_YR_GROWTH","FQ1 2018","FQ1 2018","Currency=INR","Period=FQ","BEST_FPERIOD_OVERRIDE=FQ","FILING_STATUS=OR","EQY_CONSOLIDATED=Y","Sort=A","Dates=H","DateFormat=P","Fill=—","Direction=H","UseDPDF=Y")</f>
        <v>#NAME?</v>
      </c>
      <c r="AT399" s="2" t="e">
        <f ca="1">_xll.BDH($C$378,"INVENTORY_5_YEAR_GROWTH","FQ1 2018","FQ1 2018","Currency=INR","Period=FQ","BEST_FPERIOD_OVERRIDE=FQ","FILING_STATUS=OR","EQY_CONSOLIDATED=Y","Sort=A","Dates=H","DateFormat=P","Fill=—","Direction=H","UseDPDF=Y")</f>
        <v>#NAME?</v>
      </c>
      <c r="AU399" s="2" t="e">
        <f ca="1">_xll.BDH($C$378,"NET_FIXED_ASSETS_5_YEAR_GROWTH","FQ1 2018","FQ1 2018","Currency=INR","Period=FQ","BEST_FPERIOD_OVERRIDE=FQ","FILING_STATUS=OR","EQY_CONSOLIDATED=Y","Sort=A","Dates=H","DateFormat=P","Fill=—","Direction=H","UseDPDF=Y")</f>
        <v>#NAME?</v>
      </c>
      <c r="AV399" s="2" t="e">
        <f ca="1">_xll.BDH($C$378,"GEO_GROW_TOT_ASSET","FQ1 2018","FQ1 2018","Currency=INR","Period=FQ","BEST_FPERIOD_OVERRIDE=FQ","FILING_STATUS=OR","EQY_CONSOLIDATED=Y","Sort=A","Dates=H","DateFormat=P","Fill=—","Direction=H","UseDPDF=Y")</f>
        <v>#NAME?</v>
      </c>
      <c r="AW399" s="2" t="e">
        <f ca="1">_xll.BDH($C$378,"MODIFIED_WORKING_CPTL_5YR_GRWTH","FQ1 2018","FQ1 2018","Currency=INR","Period=FQ","BEST_FPERIOD_OVERRIDE=FQ","FILING_STATUS=OR","EQY_CONSOLIDATED=Y","Sort=A","Dates=H","DateFormat=P","Fill=—","Direction=H","UseDPDF=Y")</f>
        <v>#NAME?</v>
      </c>
      <c r="AX399" s="2" t="e">
        <f ca="1">_xll.BDH($C$378,"WORKING_CAPITAL_5_YEAR_GROWTH","FQ1 2018","FQ1 2018","Currency=INR","Period=FQ","BEST_FPERIOD_OVERRIDE=FQ","FILING_STATUS=OR","EQY_CONSOLIDATED=Y","Sort=A","Dates=H","DateFormat=P","Fill=—","Direction=H","UseDPDF=Y")</f>
        <v>#NAME?</v>
      </c>
      <c r="AY399" s="2" t="e">
        <f ca="1">_xll.BDH($C$378,"ACCOUNTS_PAYABLE_5_YEAR_GROWTH","FQ1 2018","FQ1 2018","Currency=INR","Period=FQ","BEST_FPERIOD_OVERRIDE=FQ","FILING_STATUS=OR","EQY_CONSOLIDATED=Y","Sort=A","Dates=H","DateFormat=P","Fill=—","Direction=H","UseDPDF=Y")</f>
        <v>#NAME?</v>
      </c>
      <c r="AZ399" s="2" t="e">
        <f ca="1">_xll.BDH($C$378,"SHORT_TERM_DEBT_5_YEAR_GROWTH","FQ1 2018","FQ1 2018","Currency=INR","Period=FQ","BEST_FPERIOD_OVERRIDE=FQ","FILING_STATUS=OR","EQY_CONSOLIDATED=Y","Sort=A","Dates=H","DateFormat=P","Fill=—","Direction=H","UseDPDF=Y")</f>
        <v>#NAME?</v>
      </c>
      <c r="BA399" s="2" t="e">
        <f ca="1">_xll.BDH($C$378,"TOTAL_DEBT_5_YEAR_GROWTH","FQ1 2018","FQ1 2018","Currency=INR","Period=FQ","BEST_FPERIOD_OVERRIDE=FQ","FILING_STATUS=OR","EQY_CONSOLIDATED=Y","Sort=A","Dates=H","DateFormat=P","Fill=—","Direction=H","UseDPDF=Y")</f>
        <v>#NAME?</v>
      </c>
      <c r="BB399" s="2" t="e">
        <f ca="1">_xll.BDH($C$378,"GEO_GROW_TOT_SHRHLDR_EQY","FQ1 2018","FQ1 2018","Currency=INR","Period=FQ","BEST_FPERIOD_OVERRIDE=FQ","FILING_STATUS=OR","EQY_CONSOLIDATED=Y","Sort=A","Dates=H","DateFormat=P","Fill=—","Direction=H","UseDPDF=Y")</f>
        <v>#NAME?</v>
      </c>
      <c r="BC399" s="2" t="e">
        <f ca="1">_xll.BDH($C$378,"TOTAL_CAPITAL_5_YEAR_GROWTH","FQ1 2018","FQ1 2018","Currency=INR","Period=FQ","BEST_FPERIOD_OVERRIDE=FQ","FILING_STATUS=OR","EQY_CONSOLIDATED=Y","Sort=A","Dates=H","DateFormat=P","Fill=—","Direction=H","UseDPDF=Y")</f>
        <v>#NAME?</v>
      </c>
      <c r="BD399" s="2" t="e">
        <f ca="1">_xll.BDH($C$378,"GEO_GROW_BOOK_VAL","FQ1 2018","FQ1 2018","Currency=INR","Period=FQ","BEST_FPERIOD_OVERRIDE=FQ","FILING_STATUS=OR","EQY_CONSOLIDATED=Y","Sort=A","Dates=H","DateFormat=P","Fill=—","Direction=H","UseDPDF=Y")</f>
        <v>#NAME?</v>
      </c>
      <c r="BE399" s="2" t="e">
        <f ca="1">_xll.BDH($C$378,"GEO_GROW_CASH_OPER_ACT","FQ1 2018","FQ1 2018","Currency=INR","Period=FQ","BEST_FPERIOD_OVERRIDE=FQ","FILING_STATUS=OR","EQY_CONSOLIDATED=Y","Sort=A","Dates=H","DateFormat=P","Fill=—","Direction=H","UseDPDF=Y")</f>
        <v>#NAME?</v>
      </c>
      <c r="BF399" s="2" t="e">
        <f ca="1">_xll.BDH($C$378,"REVENUE_SEQUENTIAL_GROWTH","FQ1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399" s="2" t="e">
        <f ca="1">_xll.BDH($C$378,"EBITDA_SEQUENTIAL_GROWTH","FQ1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399" s="2" t="e">
        <f ca="1">_xll.BDH($C$378,"OPERATING_INCOME_SEQ_GROWTH","FQ1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399" s="2" t="e">
        <f ca="1">_xll.BDH($C$378,"NET_INCOME_TO_COMMON_SEQ_GROWTH","FQ1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399" s="2" t="e">
        <f ca="1">_xll.BDH($C$378,"EPS_DILUTED_SEQUENTIAL_GROWTH","FQ1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399" s="2" t="e">
        <f ca="1">_xll.BDH($C$378,"DPS_SEQUENTIAL_GROWTH","FQ1 2018","FQ1 2018","Currency=INR","Period=FQ","BEST_FPERIOD_OVERRIDE=FQ","FILING_STATUS=OR","EQY_CONSOLIDATED=Y","Sort=A","Dates=H","DateFormat=P","Fill=—","Direction=H","UseDPDF=Y")</f>
        <v>#NAME?</v>
      </c>
      <c r="BL399" s="2" t="e">
        <f ca="1">_xll.BDH($C$378,"ACCOUNTS_RECEIVABLE_SEQ_GROWTH","FQ1 2018","FQ1 2018","Currency=INR","Period=FQ","BEST_FPERIOD_OVERRIDE=FQ","FILING_STATUS=OR","EQY_CONSOLIDATED=Y","Sort=A","Dates=H","DateFormat=P","Fill=—","Direction=H","UseDPDF=Y")</f>
        <v>#NAME?</v>
      </c>
      <c r="BM399" s="2" t="e">
        <f ca="1">_xll.BDH($C$378,"INVENTORY_SEQUENTIAL_GROWTH","FQ1 2018","FQ1 2018","Currency=INR","Period=FQ","BEST_FPERIOD_OVERRIDE=FQ","FILING_STATUS=OR","EQY_CONSOLIDATED=Y","Sort=A","Dates=H","DateFormat=P","Fill=—","Direction=H","UseDPDF=Y")</f>
        <v>#NAME?</v>
      </c>
      <c r="BN399" s="2" t="e">
        <f ca="1">_xll.BDH($C$378,"FIXED_ASSETS_SEQUENTIAL_GROWTH","FQ1 2018","FQ1 2018","Currency=INR","Period=FQ","BEST_FPERIOD_OVERRIDE=FQ","FILING_STATUS=OR","EQY_CONSOLIDATED=Y","Sort=A","Dates=H","DateFormat=P","Fill=—","Direction=H","UseDPDF=Y")</f>
        <v>#NAME?</v>
      </c>
      <c r="BO399" s="2" t="e">
        <f ca="1">_xll.BDH($C$378,"TOTAL_ASSETS_SEQUENTIAL_GROWTH","FQ1 2018","FQ1 2018","Currency=INR","Period=FQ","BEST_FPERIOD_OVERRIDE=FQ","FILING_STATUS=OR","EQY_CONSOLIDATED=Y","Sort=A","Dates=H","DateFormat=P","Fill=—","Direction=H","UseDPDF=Y")</f>
        <v>#NAME?</v>
      </c>
      <c r="BP399" s="2" t="e">
        <f ca="1">_xll.BDH($C$378,"MODIFIED_WORKING_CPTL_SEQ_GRWTH","FQ1 2018","FQ1 2018","Currency=INR","Period=FQ","BEST_FPERIOD_OVERRIDE=FQ","FILING_STATUS=OR","EQY_CONSOLIDATED=Y","Sort=A","Dates=H","DateFormat=P","Fill=—","Direction=H","UseDPDF=Y")</f>
        <v>#NAME?</v>
      </c>
      <c r="BQ399" s="2" t="e">
        <f ca="1">_xll.BDH($C$378,"WORKING_CAPITAL_SEQ_GROWTH","FQ1 2018","FQ1 2018","Currency=INR","Period=FQ","BEST_FPERIOD_OVERRIDE=FQ","FILING_STATUS=OR","EQY_CONSOLIDATED=Y","Sort=A","Dates=H","DateFormat=P","Fill=—","Direction=H","UseDPDF=Y")</f>
        <v>#NAME?</v>
      </c>
      <c r="BR399" s="2" t="e">
        <f ca="1">_xll.BDH($C$378,"ACCOUNTS_PAYABLE_SEQ_GROWTH","FQ1 2018","FQ1 2018","Currency=INR","Period=FQ","BEST_FPERIOD_OVERRIDE=FQ","FILING_STATUS=OR","EQY_CONSOLIDATED=Y","Sort=A","Dates=H","DateFormat=P","Fill=—","Direction=H","UseDPDF=Y")</f>
        <v>#NAME?</v>
      </c>
      <c r="BS399" s="2" t="e">
        <f ca="1">_xll.BDH($C$378,"ST_DEBT_SEQUENTIAL_GROWTH","FQ1 2018","FQ1 2018","Currency=INR","Period=FQ","BEST_FPERIOD_OVERRIDE=FQ","FILING_STATUS=OR","EQY_CONSOLIDATED=Y","Sort=A","Dates=H","DateFormat=P","Fill=—","Direction=H","UseDPDF=Y")</f>
        <v>#NAME?</v>
      </c>
      <c r="BT399" s="2" t="e">
        <f ca="1">_xll.BDH($C$378,"TOTAL_DEBT_SEQUENTIAL_GROWTH","FQ1 2018","FQ1 2018","Currency=INR","Period=FQ","BEST_FPERIOD_OVERRIDE=FQ","FILING_STATUS=OR","EQY_CONSOLIDATED=Y","Sort=A","Dates=H","DateFormat=P","Fill=—","Direction=H","UseDPDF=Y")</f>
        <v>#NAME?</v>
      </c>
      <c r="BU399" s="2" t="e">
        <f ca="1">_xll.BDH($C$378,"TOTAL_EQUITY_SEQUENTIAL_GROWTH","FQ1 2018","FQ1 2018","Currency=INR","Period=FQ","BEST_FPERIOD_OVERRIDE=FQ","FILING_STATUS=OR","EQY_CONSOLIDATED=Y","Sort=A","Dates=H","DateFormat=P","Fill=—","Direction=H","UseDPDF=Y")</f>
        <v>#NAME?</v>
      </c>
      <c r="BV399" s="2" t="e">
        <f ca="1">_xll.BDH($C$378,"TOTAL_CAPITAL_SEQUENTIAL_GROWTH","FQ1 2018","FQ1 2018","Currency=INR","Period=FQ","BEST_FPERIOD_OVERRIDE=FQ","FILING_STATUS=OR","EQY_CONSOLIDATED=Y","Sort=A","Dates=H","DateFormat=P","Fill=—","Direction=H","UseDPDF=Y")</f>
        <v>#NAME?</v>
      </c>
      <c r="BW399" s="2" t="e">
        <f ca="1">_xll.BDH($C$378,"BPS_SEQUENTIAL_GROWTH","FQ1 2018","FQ1 2018","Currency=INR","Period=FQ","BEST_FPERIOD_OVERRIDE=FQ","FILING_STATUS=OR","EQY_CONSOLIDATED=Y","Sort=A","Dates=H","DateFormat=P","Fill=—","Direction=H","UseDPDF=Y")</f>
        <v>#NAME?</v>
      </c>
      <c r="BX399" s="2" t="e">
        <f ca="1">_xll.BDH($C$378,"CFO_SEQUENTIAL_GROWTH","FQ1 2018","FQ1 2018","Currency=INR","Period=FQ","BEST_FPERIOD_OVERRIDE=FQ","FILING_STATUS=OR","EQY_CONSOLIDATED=Y","Sort=A","Dates=H","DateFormat=P","Fill=—","Direction=H","UseDPDF=Y")</f>
        <v>#NAME?</v>
      </c>
      <c r="BY399" s="3" t="e">
        <f ca="1">_xll.BDH($C$378,"SHORT_AND_LONG_TERM_DEBT","FQ1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399" s="3" t="e">
        <f ca="1">_xll.BDH($C$378,"BS_ST_BORROW","FQ1 2018","FQ1 2018","Currency=INR","Period=FQ","BEST_FPERIOD_OVERRIDE=FQ","FILING_STATUS=OR","EQY_CONSOLIDATED=Y","SCALING_FORMAT=MLN","Sort=A","Dates=H","DateFormat=P","Fill=—","Direction=H","UseDPDF=Y")</f>
        <v>#NAME?</v>
      </c>
      <c r="CA399" s="3" t="e">
        <f ca="1">_xll.BDH($C$378,"BS_LT_BORROW","FQ1 2018","FQ1 2018","Currency=INR","Period=FQ","BEST_FPERIOD_OVERRIDE=FQ","FILING_STATUS=OR","EQY_CONSOLIDATED=Y","SCALING_FORMAT=MLN","Sort=A","Dates=H","DateFormat=P","Fill=—","Direction=H","UseDPDF=Y")</f>
        <v>#NAME?</v>
      </c>
      <c r="CB399" s="2" t="e">
        <f ca="1">_xll.BDH($C$378,"TOT_DEBT_TO_EBITDA","FQ1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399" s="2" t="e">
        <f ca="1">_xll.BDH($C$378,"NET_DEBT_TO_EBITDA","FQ1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399" s="2" t="e">
        <f ca="1">_xll.BDH($C$378,"TOTAL_DEBT_TO_EBIT","FQ1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399" s="2" t="e">
        <f ca="1">_xll.BDH($C$378,"NET_DEBT_TO_EBIT","FQ1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399" s="2" t="e">
        <f ca="1">_xll.BDH($C$378,"EBITDA_TO_INTEREST_EXPN","FQ1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399" s="2" t="e">
        <f ca="1">_xll.BDH($C$378,"COM_EQY_TO_TOT_ASSET","FQ1 2018","FQ1 2018","Currency=INR","Period=FQ","BEST_FPERIOD_OVERRIDE=FQ","FILING_STATUS=OR","EQY_CONSOLIDATED=Y","Sort=A","Dates=H","DateFormat=P","Fill=—","Direction=H","UseDPDF=Y")</f>
        <v>#NAME?</v>
      </c>
      <c r="CH399" s="2" t="e">
        <f ca="1">_xll.BDH($C$378,"LT_DEBT_TO_TOT_EQY","FQ1 2018","FQ1 2018","Currency=INR","Period=FQ","BEST_FPERIOD_OVERRIDE=FQ","FILING_STATUS=OR","EQY_CONSOLIDATED=Y","Sort=A","Dates=H","DateFormat=P","Fill=—","Direction=H","UseDPDF=Y")</f>
        <v>#NAME?</v>
      </c>
      <c r="CI399" s="2" t="e">
        <f ca="1">_xll.BDH($C$378,"LT_DEBT_TO_TOT_CAP","FQ1 2018","FQ1 2018","Currency=INR","Period=FQ","BEST_FPERIOD_OVERRIDE=FQ","FILING_STATUS=OR","EQY_CONSOLIDATED=Y","Sort=A","Dates=H","DateFormat=P","Fill=—","Direction=H","UseDPDF=Y")</f>
        <v>#NAME?</v>
      </c>
      <c r="CJ399" s="2" t="e">
        <f ca="1">_xll.BDH($C$378,"LT_DEBT_TO_TOT_ASSET","FQ1 2018","FQ1 2018","Currency=INR","Period=FQ","BEST_FPERIOD_OVERRIDE=FQ","FILING_STATUS=OR","EQY_CONSOLIDATED=Y","Sort=A","Dates=H","DateFormat=P","Fill=—","Direction=H","UseDPDF=Y")</f>
        <v>#NAME?</v>
      </c>
      <c r="CK399" s="2" t="e">
        <f ca="1">_xll.BDH($C$378,"TOT_DEBT_TO_TOT_EQY","FQ1 2018","FQ1 2018","Currency=INR","Period=FQ","BEST_FPERIOD_OVERRIDE=FQ","FILING_STATUS=OR","EQY_CONSOLIDATED=Y","Sort=A","Dates=H","DateFormat=P","Fill=—","Direction=H","UseDPDF=Y")</f>
        <v>#NAME?</v>
      </c>
      <c r="CL399" s="2" t="e">
        <f ca="1">_xll.BDH($C$378,"TOT_DEBT_TO_TOT_CAP","FQ1 2018","FQ1 2018","Currency=INR","Period=FQ","BEST_FPERIOD_OVERRIDE=FQ","FILING_STATUS=OR","EQY_CONSOLIDATED=Y","Sort=A","Dates=H","DateFormat=P","Fill=—","Direction=H","UseDPDF=Y")</f>
        <v>#NAME?</v>
      </c>
      <c r="CM399" s="2" t="e">
        <f ca="1">_xll.BDH($C$378,"TOT_DEBT_TO_TOT_ASSET","FQ1 2018","FQ1 2018","Currency=INR","Period=FQ","BEST_FPERIOD_OVERRIDE=FQ","FILING_STATUS=OR","EQY_CONSOLIDATED=Y","Sort=A","Dates=H","DateFormat=P","Fill=—","Direction=H","UseDPDF=Y")</f>
        <v>#NAME?</v>
      </c>
      <c r="CN399" s="2" t="e">
        <f ca="1">_xll.BDH($C$378,"NET_DEBT_TO_SHRHLDR_EQTY","FQ1 2018","FQ1 2018","Currency=INR","Period=FQ","BEST_FPERIOD_OVERRIDE=FQ","FILING_STATUS=OR","EQY_CONSOLIDATED=Y","Sort=A","Dates=H","DateFormat=P","Fill=—","Direction=H","UseDPDF=Y")</f>
        <v>#NAME?</v>
      </c>
      <c r="CO399" s="2" t="e">
        <f ca="1">_xll.BDH($C$378,"NET_DEBT_%_CAPITAL","FQ1 2018","FQ1 2018","Currency=INR","Period=FQ","BEST_FPERIOD_OVERRIDE=FQ","FILING_STATUS=OR","EQY_CONSOLIDATED=Y","Sort=A","Dates=H","DateFormat=P","Fill=—","Direction=H","UseDPDF=Y")</f>
        <v>#NAME?</v>
      </c>
      <c r="CP399" s="3" t="e">
        <f ca="1">_xll.BDH($C$378,"EBITDA","FQ1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399" s="3" t="e">
        <f ca="1">_xll.BDH($C$378,"EBITDA_AFTER_CAPEX","FQ1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399" s="3" t="e">
        <f ca="1">_xll.BDH($C$378,"IS_OPER_INC","FQ1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399" s="2" t="e">
        <f ca="1">_xll.BDH($C$378,"CASH_RATIO","FQ1 2018","FQ1 2018","Currency=INR","Period=FQ","BEST_FPERIOD_OVERRIDE=FQ","FILING_STATUS=OR","EQY_CONSOLIDATED=Y","Sort=A","Dates=H","DateFormat=P","Fill=—","Direction=H","UseDPDF=Y")</f>
        <v>#NAME?</v>
      </c>
      <c r="CT399" s="2" t="e">
        <f ca="1">_xll.BDH($C$378,"CUR_RATIO","FQ1 2018","FQ1 2018","Currency=INR","Period=FQ","BEST_FPERIOD_OVERRIDE=FQ","FILING_STATUS=OR","EQY_CONSOLIDATED=Y","Sort=A","Dates=H","DateFormat=P","Fill=—","Direction=H","UseDPDF=Y")</f>
        <v>#NAME?</v>
      </c>
      <c r="CU399" s="2" t="e">
        <f ca="1">_xll.BDH($C$378,"QUICK_RATIO","FQ1 2018","FQ1 2018","Currency=INR","Period=FQ","BEST_FPERIOD_OVERRIDE=FQ","FILING_STATUS=OR","EQY_CONSOLIDATED=Y","Sort=A","Dates=H","DateFormat=P","Fill=—","Direction=H","UseDPDF=Y")</f>
        <v>#NAME?</v>
      </c>
      <c r="CV399" s="2" t="e">
        <f ca="1">_xll.BDH($C$378,"ALTMAN_Z_SCORE","FQ1 2018","FQ1 2018","Currency=INR","Period=FQ","BEST_FPERIOD_OVERRIDE=FQ","FILING_STATUS=OR","EQY_CONSOLIDATED=Y","Sort=A","Dates=H","DateFormat=P","Fill=—","Direction=H","UseDPDF=Y")</f>
        <v>#NAME?</v>
      </c>
      <c r="CW399" s="4" t="e">
        <f ca="1">_xll.BDH($C$378,"ACCT_RCV_TURN","FQ1 2018","FQ1 2018","Currency=INR","Period=FQ","BEST_FPERIOD_OVERRIDE=FQ","FILING_STATUS=OR","EQY_CONSOLIDATED=Y","FA_ADJUSTED=GAAP","Sort=A","Dates=H","DateFormat=P","Fill=—","Direction=H","UseDPDF=Y")</f>
        <v>#NAME?</v>
      </c>
      <c r="CX399" s="2" t="e">
        <f ca="1">_xll.BDH($C$378,"ACCT_RCV_DAYS","FQ1 2018","FQ1 2018","Currency=INR","Period=FQ","BEST_FPERIOD_OVERRIDE=FQ","FILING_STATUS=OR","EQY_CONSOLIDATED=Y","FA_ADJUSTED=GAAP","Sort=A","Dates=H","DateFormat=P","Fill=—","Direction=H","UseDPDF=Y")</f>
        <v>#NAME?</v>
      </c>
      <c r="CY399" s="4" t="e">
        <f ca="1">_xll.BDH($C$378,"INVENT_TURN","FQ1 2018","FQ1 2018","Currency=INR","Period=FQ","BEST_FPERIOD_OVERRIDE=FQ","FILING_STATUS=OR","EQY_CONSOLIDATED=Y","FA_ADJUSTED=GAAP","Sort=A","Dates=H","DateFormat=P","Fill=—","Direction=H","UseDPDF=Y")</f>
        <v>#NAME?</v>
      </c>
      <c r="CZ399" s="2" t="e">
        <f ca="1">_xll.BDH($C$378,"INVENT_DAYS","FQ1 2018","FQ1 2018","Currency=INR","Period=FQ","BEST_FPERIOD_OVERRIDE=FQ","FILING_STATUS=OR","EQY_CONSOLIDATED=Y","FA_ADJUSTED=GAAP","Sort=A","Dates=H","DateFormat=P","Fill=—","Direction=H","UseDPDF=Y")</f>
        <v>#NAME?</v>
      </c>
      <c r="DA399" s="4" t="e">
        <f ca="1">_xll.BDH($C$378,"ACCOUNTS_PAYABLE_TURNOVER","FQ1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399" s="2" t="e">
        <f ca="1">_xll.BDH($C$378,"ACCOUNTS_PAYABLE_TURNOVER_DAYS","FQ1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399" s="4" t="e">
        <f ca="1">_xll.BDH($C$378,"CASH_CONVERSION_CYCLE","FQ1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399" s="4" t="e">
        <f ca="1">_xll.BDH($C$378,"INV_TO_CASH_DAYS","FQ1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399" s="5" t="e">
        <f ca="1">_xll.BDH($C$378,"BS_INVENTORIES","FQ1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399" s="3" t="e">
        <f ca="1">_xll.BDH($C$378,"INVTRY_RAW_MATERIALS","FQ1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399" s="3" t="e">
        <f ca="1">_xll.BDH($C$378,"INVTRY_IN_PROGRESS","FQ1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399" s="3" t="e">
        <f ca="1">_xll.BDH($C$378,"INVTRY_FINISHED_GOODS","FQ1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399" s="3" t="e">
        <f ca="1">_xll.BDH($C$378,"BS_OTHER_INV","FQ1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400" spans="1:113" x14ac:dyDescent="0.3">
      <c r="A400" s="6"/>
      <c r="B400" s="6"/>
      <c r="C400" s="6"/>
      <c r="D400" s="6"/>
      <c r="E400" t="s">
        <v>79</v>
      </c>
      <c r="F400" t="e">
        <f ca="1">_xll.BDH($C$378,"RETURN_COM_EQY","FQ2 2018","FQ2 2018","Currency=INR","Period=FQ","BEST_FPERIOD_OVERRIDE=FQ","FILING_STATUS=OR","EQY_CONSOLIDATED=Y","FA_ADJUSTED=GAAP","Sort=A","Dates=H","DateFormat=P","Fill=—","Direction=H","UseDPDF=Y")</f>
        <v>#NAME?</v>
      </c>
      <c r="G400" t="e">
        <f ca="1">_xll.BDH($C$378,"RETURN_ON_ASSET","FQ2 2018","FQ2 2018","Currency=INR","Period=FQ","BEST_FPERIOD_OVERRIDE=FQ","FILING_STATUS=OR","EQY_CONSOLIDATED=Y","FA_ADJUSTED=GAAP","Sort=A","Dates=H","DateFormat=P","Fill=—","Direction=H","UseDPDF=Y")</f>
        <v>#NAME?</v>
      </c>
      <c r="H400" t="e">
        <f ca="1">_xll.BDH($C$378,"RETURN_ON_CAP","FQ2 2018","FQ2 2018","Currency=INR","Period=FQ","BEST_FPERIOD_OVERRIDE=FQ","FILING_STATUS=OR","EQY_CONSOLIDATED=Y","FA_ADJUSTED=GAAP","Sort=A","Dates=H","DateFormat=P","Fill=—","Direction=H","UseDPDF=Y")</f>
        <v>#NAME?</v>
      </c>
      <c r="I400" t="e">
        <f ca="1">_xll.BDH($C$378,"RETURN_ON_INV_CAPITAL","FQ2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400" t="e">
        <f ca="1">_xll.BDH($C$378,"EBITDA_TO_REVENUE","FQ2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400" t="e">
        <f ca="1">_xll.BDH($C$378,"OPER_MARGIN","FQ2 2018","FQ2 2018","Currency=INR","Period=FQ","BEST_FPERIOD_OVERRIDE=FQ","FILING_STATUS=OR","EQY_CONSOLIDATED=Y","FA_ADJUSTED=GAAP","Sort=A","Dates=H","DateFormat=P","Fill=—","Direction=H","UseDPDF=Y")</f>
        <v>#NAME?</v>
      </c>
      <c r="L400" t="e">
        <f ca="1">_xll.BDH($C$378,"INCREMENTAL_OPERATING_MARGIN","FQ2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400" t="e">
        <f ca="1">_xll.BDH($C$378,"PRETAX_INC_TO_NET_SALES","FQ2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400" t="e">
        <f ca="1">_xll.BDH($C$378,"INC_BEF_XO_ITEMS_TO_NET_SALES","FQ2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400" t="e">
        <f ca="1">_xll.BDH($C$378,"PROF_MARGIN","FQ2 2018","FQ2 2018","Currency=INR","Period=FQ","BEST_FPERIOD_OVERRIDE=FQ","FILING_STATUS=OR","EQY_CONSOLIDATED=Y","FA_ADJUSTED=GAAP","Sort=A","Dates=H","DateFormat=P","Fill=—","Direction=H","UseDPDF=Y")</f>
        <v>#NAME?</v>
      </c>
      <c r="P400" t="e">
        <f ca="1">_xll.BDH($C$378,"NET_INCOME_TO_COMMON_MARGIN","FQ2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400" t="e">
        <f ca="1">_xll.BDH($C$378,"EFF_TAX_RATE","FQ2 2018","FQ2 2018","Currency=INR","Period=FQ","BEST_FPERIOD_OVERRIDE=FQ","FILING_STATUS=OR","EQY_CONSOLIDATED=Y","FA_ADJUSTED=GAAP","Sort=A","Dates=H","DateFormat=P","Fill=—","Direction=H","UseDPDF=Y")</f>
        <v>#NAME?</v>
      </c>
      <c r="R400" t="e">
        <f ca="1">_xll.BDH($C$378,"DVD_PAYOUT_RATIO","FQ2 2018","FQ2 2018","Currency=INR","Period=FQ","BEST_FPERIOD_OVERRIDE=FQ","FILING_STATUS=OR","EQY_CONSOLIDATED=Y","FA_ADJUSTED=GAAP","Sort=A","Dates=H","DateFormat=P","Fill=—","Direction=H","UseDPDF=Y")</f>
        <v>#NAME?</v>
      </c>
      <c r="S400" t="e">
        <f ca="1">_xll.BDH($C$378,"SUSTAIN_GROWTH_RT","FQ2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400" s="2" t="e">
        <f ca="1">_xll.BDH($C$378,"SALES_GROWTH","FQ2 2018","FQ2 2018","Currency=INR","Period=FQ","BEST_FPERIOD_OVERRIDE=FQ","FILING_STATUS=OR","EQY_CONSOLIDATED=Y","FA_ADJUSTED=GAAP","Sort=A","Dates=H","DateFormat=P","Fill=—","Direction=H","UseDPDF=Y")</f>
        <v>#NAME?</v>
      </c>
      <c r="U400" s="2" t="e">
        <f ca="1">_xll.BDH($C$378,"EBITDA_GROWTH","FQ2 2018","FQ2 2018","Currency=INR","Period=FQ","BEST_FPERIOD_OVERRIDE=FQ","FILING_STATUS=OR","EQY_CONSOLIDATED=Y","FA_ADJUSTED=GAAP","Sort=A","Dates=H","DateFormat=P","Fill=—","Direction=H","UseDPDF=Y")</f>
        <v>#NAME?</v>
      </c>
      <c r="V400" s="2" t="e">
        <f ca="1">_xll.BDH($C$378,"OPER_INC_GROWTH","FQ2 2018","FQ2 2018","Currency=INR","Period=FQ","BEST_FPERIOD_OVERRIDE=FQ","FILING_STATUS=OR","EQY_CONSOLIDATED=Y","FA_ADJUSTED=GAAP","Sort=A","Dates=H","DateFormat=P","Fill=—","Direction=H","UseDPDF=Y")</f>
        <v>#NAME?</v>
      </c>
      <c r="W400" s="2" t="e">
        <f ca="1">_xll.BDH($C$378,"EARN_FOR_COM_GROWTH","FQ2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400" s="2" t="e">
        <f ca="1">_xll.BDH($C$378,"DILUTED_EPS_AFT_XO_ITEMS_GROWTH","FQ2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400" s="2" t="e">
        <f ca="1">_xll.BDH($C$378,"DIVIDEND_PER_SHARE_1_YEAR_GROWTH","FQ2 2018","FQ2 2018","Currency=INR","Period=FQ","BEST_FPERIOD_OVERRIDE=FQ","FILING_STATUS=OR","EQY_CONSOLIDATED=Y","Sort=A","Dates=H","DateFormat=P","Fill=—","Direction=H","UseDPDF=Y")</f>
        <v>#NAME?</v>
      </c>
      <c r="Z400" s="2" t="e">
        <f ca="1">_xll.BDH($C$378,"ACCOUNTS_RECEIVABLE_GROWTH","FQ2 2018","FQ2 2018","Currency=INR","Period=FQ","BEST_FPERIOD_OVERRIDE=FQ","FILING_STATUS=OR","EQY_CONSOLIDATED=Y","Sort=A","Dates=H","DateFormat=P","Fill=—","Direction=H","UseDPDF=Y")</f>
        <v>#NAME?</v>
      </c>
      <c r="AA400" s="2" t="e">
        <f ca="1">_xll.BDH($C$378,"INVENTORY_GROWTH","FQ2 2018","FQ2 2018","Currency=INR","Period=FQ","BEST_FPERIOD_OVERRIDE=FQ","FILING_STATUS=OR","EQY_CONSOLIDATED=Y","Sort=A","Dates=H","DateFormat=P","Fill=—","Direction=H","UseDPDF=Y")</f>
        <v>#NAME?</v>
      </c>
      <c r="AB400" s="2" t="e">
        <f ca="1">_xll.BDH($C$378,"NET_FIXED_ASSETS_1_YEAR_GROWTH","FQ2 2018","FQ2 2018","Currency=INR","Period=FQ","BEST_FPERIOD_OVERRIDE=FQ","FILING_STATUS=OR","EQY_CONSOLIDATED=Y","Sort=A","Dates=H","DateFormat=P","Fill=—","Direction=H","UseDPDF=Y")</f>
        <v>#NAME?</v>
      </c>
      <c r="AC400" s="2" t="e">
        <f ca="1">_xll.BDH($C$378,"ASSET_GROWTH","FQ2 2018","FQ2 2018","Currency=INR","Period=FQ","BEST_FPERIOD_OVERRIDE=FQ","FILING_STATUS=OR","EQY_CONSOLIDATED=Y","Sort=A","Dates=H","DateFormat=P","Fill=—","Direction=H","UseDPDF=Y")</f>
        <v>#NAME?</v>
      </c>
      <c r="AD400" s="2" t="e">
        <f ca="1">_xll.BDH($C$378,"MODIFIED_WORK_CAP_GROWTH","FQ2 2018","FQ2 2018","Currency=INR","Period=FQ","BEST_FPERIOD_OVERRIDE=FQ","FILING_STATUS=OR","EQY_CONSOLIDATED=Y","Sort=A","Dates=H","DateFormat=P","Fill=—","Direction=H","UseDPDF=Y")</f>
        <v>#NAME?</v>
      </c>
      <c r="AE400" s="2" t="e">
        <f ca="1">_xll.BDH($C$378,"WORK_CAP_GROWTH","FQ2 2018","FQ2 2018","Currency=INR","Period=FQ","BEST_FPERIOD_OVERRIDE=FQ","FILING_STATUS=OR","EQY_CONSOLIDATED=Y","Sort=A","Dates=H","DateFormat=P","Fill=—","Direction=H","UseDPDF=Y")</f>
        <v>#NAME?</v>
      </c>
      <c r="AF400" s="2" t="e">
        <f ca="1">_xll.BDH($C$378,"ACCOUNTS_PAYABLE_GROWTH_1YR","FQ2 2018","FQ2 2018","Currency=INR","Period=FQ","BEST_FPERIOD_OVERRIDE=FQ","FILING_STATUS=OR","EQY_CONSOLIDATED=Y","Sort=A","Dates=H","DateFormat=P","Fill=—","Direction=H","UseDPDF=Y")</f>
        <v>#NAME?</v>
      </c>
      <c r="AG400" s="2" t="e">
        <f ca="1">_xll.BDH($C$378,"SHORT_TERM_DEBT_1_YEAR_GROWTH","FQ2 2018","FQ2 2018","Currency=INR","Period=FQ","BEST_FPERIOD_OVERRIDE=FQ","FILING_STATUS=OR","EQY_CONSOLIDATED=Y","Sort=A","Dates=H","DateFormat=P","Fill=—","Direction=H","UseDPDF=Y")</f>
        <v>#NAME?</v>
      </c>
      <c r="AH400" s="2" t="e">
        <f ca="1">_xll.BDH($C$378,"TOTAL_DEBT_1_YEAR_GROWTH","FQ2 2018","FQ2 2018","Currency=INR","Period=FQ","BEST_FPERIOD_OVERRIDE=FQ","FILING_STATUS=OR","EQY_CONSOLIDATED=Y","Sort=A","Dates=H","DateFormat=P","Fill=—","Direction=H","UseDPDF=Y")</f>
        <v>#NAME?</v>
      </c>
      <c r="AI400" s="2" t="e">
        <f ca="1">_xll.BDH($C$378,"TOTAL_EQUITY_1_YEAR_GROWTH","FQ2 2018","FQ2 2018","Currency=INR","Period=FQ","BEST_FPERIOD_OVERRIDE=FQ","FILING_STATUS=OR","EQY_CONSOLIDATED=Y","Sort=A","Dates=H","DateFormat=P","Fill=—","Direction=H","UseDPDF=Y")</f>
        <v>#NAME?</v>
      </c>
      <c r="AJ400" s="2" t="e">
        <f ca="1">_xll.BDH($C$378,"GROWTH_IN_CAP","FQ2 2018","FQ2 2018","Currency=INR","Period=FQ","BEST_FPERIOD_OVERRIDE=FQ","FILING_STATUS=OR","EQY_CONSOLIDATED=Y","Sort=A","Dates=H","DateFormat=P","Fill=—","Direction=H","UseDPDF=Y")</f>
        <v>#NAME?</v>
      </c>
      <c r="AK400" s="2" t="e">
        <f ca="1">_xll.BDH($C$378,"BVPS_GROWTH","FQ2 2018","FQ2 2018","Currency=INR","Period=FQ","BEST_FPERIOD_OVERRIDE=FQ","FILING_STATUS=OR","EQY_CONSOLIDATED=Y","Sort=A","Dates=H","DateFormat=P","Fill=—","Direction=H","UseDPDF=Y")</f>
        <v>#NAME?</v>
      </c>
      <c r="AL400" s="2" t="e">
        <f ca="1">_xll.BDH($C$378,"CASH_FLOW_GROWTH","FQ2 2018","FQ2 2018","Currency=INR","Period=FQ","BEST_FPERIOD_OVERRIDE=FQ","FILING_STATUS=OR","EQY_CONSOLIDATED=Y","Sort=A","Dates=H","DateFormat=P","Fill=—","Direction=H","UseDPDF=Y")</f>
        <v>#NAME?</v>
      </c>
      <c r="AM400" s="2" t="e">
        <f ca="1">_xll.BDH($C$378,"GEO_GROW_NET_SALES","FQ2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400" s="2" t="e">
        <f ca="1">_xll.BDH($C$378,"GEO_GROW_EBITDA","FQ2 2018","FQ2 2018","Currency=INR","Period=FQ","BEST_FPERIOD_OVERRIDE=FQ","FILING_STATUS=OR","EQY_CONSOLIDATED=Y","FA_ADJUSTED=GAAP","Sort=A","Dates=H","DateFormat=P","Fill=—","Direction=H","UseDPDF=Y")</f>
        <v>#NAME?</v>
      </c>
      <c r="AO400" s="2" t="e">
        <f ca="1">_xll.BDH($C$378,"GEO_GROW_OPER_INC","FQ2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400" s="2" t="e">
        <f ca="1">_xll.BDH($C$378,"NET_INCOME_TO_COMMON_5_YR_GROWTH","FQ2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400" s="2" t="e">
        <f ca="1">_xll.BDH($C$378,"5Y_GEO_GROWTH_DILUTED_EPS","FQ2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400" s="2" t="e">
        <f ca="1">_xll.BDH($C$378,"GEO_GROW_DVD_PER_SH","FQ2 2018","FQ2 2018","Currency=INR","Period=FQ","BEST_FPERIOD_OVERRIDE=FQ","FILING_STATUS=OR","EQY_CONSOLIDATED=Y","Sort=A","Dates=H","DateFormat=P","Fill=—","Direction=H","UseDPDF=Y")</f>
        <v>#NAME?</v>
      </c>
      <c r="AS400" s="2" t="e">
        <f ca="1">_xll.BDH($C$378,"ACCOUNTS_RECEIVABLE_5_YR_GROWTH","FQ2 2018","FQ2 2018","Currency=INR","Period=FQ","BEST_FPERIOD_OVERRIDE=FQ","FILING_STATUS=OR","EQY_CONSOLIDATED=Y","Sort=A","Dates=H","DateFormat=P","Fill=—","Direction=H","UseDPDF=Y")</f>
        <v>#NAME?</v>
      </c>
      <c r="AT400" s="2" t="e">
        <f ca="1">_xll.BDH($C$378,"INVENTORY_5_YEAR_GROWTH","FQ2 2018","FQ2 2018","Currency=INR","Period=FQ","BEST_FPERIOD_OVERRIDE=FQ","FILING_STATUS=OR","EQY_CONSOLIDATED=Y","Sort=A","Dates=H","DateFormat=P","Fill=—","Direction=H","UseDPDF=Y")</f>
        <v>#NAME?</v>
      </c>
      <c r="AU400" s="2" t="e">
        <f ca="1">_xll.BDH($C$378,"NET_FIXED_ASSETS_5_YEAR_GROWTH","FQ2 2018","FQ2 2018","Currency=INR","Period=FQ","BEST_FPERIOD_OVERRIDE=FQ","FILING_STATUS=OR","EQY_CONSOLIDATED=Y","Sort=A","Dates=H","DateFormat=P","Fill=—","Direction=H","UseDPDF=Y")</f>
        <v>#NAME?</v>
      </c>
      <c r="AV400" s="2" t="e">
        <f ca="1">_xll.BDH($C$378,"GEO_GROW_TOT_ASSET","FQ2 2018","FQ2 2018","Currency=INR","Period=FQ","BEST_FPERIOD_OVERRIDE=FQ","FILING_STATUS=OR","EQY_CONSOLIDATED=Y","Sort=A","Dates=H","DateFormat=P","Fill=—","Direction=H","UseDPDF=Y")</f>
        <v>#NAME?</v>
      </c>
      <c r="AW400" s="2" t="e">
        <f ca="1">_xll.BDH($C$378,"MODIFIED_WORKING_CPTL_5YR_GRWTH","FQ2 2018","FQ2 2018","Currency=INR","Period=FQ","BEST_FPERIOD_OVERRIDE=FQ","FILING_STATUS=OR","EQY_CONSOLIDATED=Y","Sort=A","Dates=H","DateFormat=P","Fill=—","Direction=H","UseDPDF=Y")</f>
        <v>#NAME?</v>
      </c>
      <c r="AX400" s="2" t="e">
        <f ca="1">_xll.BDH($C$378,"WORKING_CAPITAL_5_YEAR_GROWTH","FQ2 2018","FQ2 2018","Currency=INR","Period=FQ","BEST_FPERIOD_OVERRIDE=FQ","FILING_STATUS=OR","EQY_CONSOLIDATED=Y","Sort=A","Dates=H","DateFormat=P","Fill=—","Direction=H","UseDPDF=Y")</f>
        <v>#NAME?</v>
      </c>
      <c r="AY400" s="2" t="e">
        <f ca="1">_xll.BDH($C$378,"ACCOUNTS_PAYABLE_5_YEAR_GROWTH","FQ2 2018","FQ2 2018","Currency=INR","Period=FQ","BEST_FPERIOD_OVERRIDE=FQ","FILING_STATUS=OR","EQY_CONSOLIDATED=Y","Sort=A","Dates=H","DateFormat=P","Fill=—","Direction=H","UseDPDF=Y")</f>
        <v>#NAME?</v>
      </c>
      <c r="AZ400" s="2" t="e">
        <f ca="1">_xll.BDH($C$378,"SHORT_TERM_DEBT_5_YEAR_GROWTH","FQ2 2018","FQ2 2018","Currency=INR","Period=FQ","BEST_FPERIOD_OVERRIDE=FQ","FILING_STATUS=OR","EQY_CONSOLIDATED=Y","Sort=A","Dates=H","DateFormat=P","Fill=—","Direction=H","UseDPDF=Y")</f>
        <v>#NAME?</v>
      </c>
      <c r="BA400" s="2" t="e">
        <f ca="1">_xll.BDH($C$378,"TOTAL_DEBT_5_YEAR_GROWTH","FQ2 2018","FQ2 2018","Currency=INR","Period=FQ","BEST_FPERIOD_OVERRIDE=FQ","FILING_STATUS=OR","EQY_CONSOLIDATED=Y","Sort=A","Dates=H","DateFormat=P","Fill=—","Direction=H","UseDPDF=Y")</f>
        <v>#NAME?</v>
      </c>
      <c r="BB400" s="2" t="e">
        <f ca="1">_xll.BDH($C$378,"GEO_GROW_TOT_SHRHLDR_EQY","FQ2 2018","FQ2 2018","Currency=INR","Period=FQ","BEST_FPERIOD_OVERRIDE=FQ","FILING_STATUS=OR","EQY_CONSOLIDATED=Y","Sort=A","Dates=H","DateFormat=P","Fill=—","Direction=H","UseDPDF=Y")</f>
        <v>#NAME?</v>
      </c>
      <c r="BC400" s="2" t="e">
        <f ca="1">_xll.BDH($C$378,"TOTAL_CAPITAL_5_YEAR_GROWTH","FQ2 2018","FQ2 2018","Currency=INR","Period=FQ","BEST_FPERIOD_OVERRIDE=FQ","FILING_STATUS=OR","EQY_CONSOLIDATED=Y","Sort=A","Dates=H","DateFormat=P","Fill=—","Direction=H","UseDPDF=Y")</f>
        <v>#NAME?</v>
      </c>
      <c r="BD400" s="2" t="e">
        <f ca="1">_xll.BDH($C$378,"GEO_GROW_BOOK_VAL","FQ2 2018","FQ2 2018","Currency=INR","Period=FQ","BEST_FPERIOD_OVERRIDE=FQ","FILING_STATUS=OR","EQY_CONSOLIDATED=Y","Sort=A","Dates=H","DateFormat=P","Fill=—","Direction=H","UseDPDF=Y")</f>
        <v>#NAME?</v>
      </c>
      <c r="BE400" s="2" t="e">
        <f ca="1">_xll.BDH($C$378,"GEO_GROW_CASH_OPER_ACT","FQ2 2018","FQ2 2018","Currency=INR","Period=FQ","BEST_FPERIOD_OVERRIDE=FQ","FILING_STATUS=OR","EQY_CONSOLIDATED=Y","Sort=A","Dates=H","DateFormat=P","Fill=—","Direction=H","UseDPDF=Y")</f>
        <v>#NAME?</v>
      </c>
      <c r="BF400" s="2" t="e">
        <f ca="1">_xll.BDH($C$378,"REVENUE_SEQUENTIAL_GROWTH","FQ2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400" s="2" t="e">
        <f ca="1">_xll.BDH($C$378,"EBITDA_SEQUENTIAL_GROWTH","FQ2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400" s="2" t="e">
        <f ca="1">_xll.BDH($C$378,"OPERATING_INCOME_SEQ_GROWTH","FQ2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400" s="2" t="e">
        <f ca="1">_xll.BDH($C$378,"NET_INCOME_TO_COMMON_SEQ_GROWTH","FQ2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400" s="2" t="e">
        <f ca="1">_xll.BDH($C$378,"EPS_DILUTED_SEQUENTIAL_GROWTH","FQ2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400" s="2" t="e">
        <f ca="1">_xll.BDH($C$378,"DPS_SEQUENTIAL_GROWTH","FQ2 2018","FQ2 2018","Currency=INR","Period=FQ","BEST_FPERIOD_OVERRIDE=FQ","FILING_STATUS=OR","EQY_CONSOLIDATED=Y","Sort=A","Dates=H","DateFormat=P","Fill=—","Direction=H","UseDPDF=Y")</f>
        <v>#NAME?</v>
      </c>
      <c r="BL400" s="2" t="e">
        <f ca="1">_xll.BDH($C$378,"ACCOUNTS_RECEIVABLE_SEQ_GROWTH","FQ2 2018","FQ2 2018","Currency=INR","Period=FQ","BEST_FPERIOD_OVERRIDE=FQ","FILING_STATUS=OR","EQY_CONSOLIDATED=Y","Sort=A","Dates=H","DateFormat=P","Fill=—","Direction=H","UseDPDF=Y")</f>
        <v>#NAME?</v>
      </c>
      <c r="BM400" s="2" t="e">
        <f ca="1">_xll.BDH($C$378,"INVENTORY_SEQUENTIAL_GROWTH","FQ2 2018","FQ2 2018","Currency=INR","Period=FQ","BEST_FPERIOD_OVERRIDE=FQ","FILING_STATUS=OR","EQY_CONSOLIDATED=Y","Sort=A","Dates=H","DateFormat=P","Fill=—","Direction=H","UseDPDF=Y")</f>
        <v>#NAME?</v>
      </c>
      <c r="BN400" s="2" t="e">
        <f ca="1">_xll.BDH($C$378,"FIXED_ASSETS_SEQUENTIAL_GROWTH","FQ2 2018","FQ2 2018","Currency=INR","Period=FQ","BEST_FPERIOD_OVERRIDE=FQ","FILING_STATUS=OR","EQY_CONSOLIDATED=Y","Sort=A","Dates=H","DateFormat=P","Fill=—","Direction=H","UseDPDF=Y")</f>
        <v>#NAME?</v>
      </c>
      <c r="BO400" s="2" t="e">
        <f ca="1">_xll.BDH($C$378,"TOTAL_ASSETS_SEQUENTIAL_GROWTH","FQ2 2018","FQ2 2018","Currency=INR","Period=FQ","BEST_FPERIOD_OVERRIDE=FQ","FILING_STATUS=OR","EQY_CONSOLIDATED=Y","Sort=A","Dates=H","DateFormat=P","Fill=—","Direction=H","UseDPDF=Y")</f>
        <v>#NAME?</v>
      </c>
      <c r="BP400" s="2" t="e">
        <f ca="1">_xll.BDH($C$378,"MODIFIED_WORKING_CPTL_SEQ_GRWTH","FQ2 2018","FQ2 2018","Currency=INR","Period=FQ","BEST_FPERIOD_OVERRIDE=FQ","FILING_STATUS=OR","EQY_CONSOLIDATED=Y","Sort=A","Dates=H","DateFormat=P","Fill=—","Direction=H","UseDPDF=Y")</f>
        <v>#NAME?</v>
      </c>
      <c r="BQ400" s="2" t="e">
        <f ca="1">_xll.BDH($C$378,"WORKING_CAPITAL_SEQ_GROWTH","FQ2 2018","FQ2 2018","Currency=INR","Period=FQ","BEST_FPERIOD_OVERRIDE=FQ","FILING_STATUS=OR","EQY_CONSOLIDATED=Y","Sort=A","Dates=H","DateFormat=P","Fill=—","Direction=H","UseDPDF=Y")</f>
        <v>#NAME?</v>
      </c>
      <c r="BR400" s="2" t="e">
        <f ca="1">_xll.BDH($C$378,"ACCOUNTS_PAYABLE_SEQ_GROWTH","FQ2 2018","FQ2 2018","Currency=INR","Period=FQ","BEST_FPERIOD_OVERRIDE=FQ","FILING_STATUS=OR","EQY_CONSOLIDATED=Y","Sort=A","Dates=H","DateFormat=P","Fill=—","Direction=H","UseDPDF=Y")</f>
        <v>#NAME?</v>
      </c>
      <c r="BS400" s="2" t="e">
        <f ca="1">_xll.BDH($C$378,"ST_DEBT_SEQUENTIAL_GROWTH","FQ2 2018","FQ2 2018","Currency=INR","Period=FQ","BEST_FPERIOD_OVERRIDE=FQ","FILING_STATUS=OR","EQY_CONSOLIDATED=Y","Sort=A","Dates=H","DateFormat=P","Fill=—","Direction=H","UseDPDF=Y")</f>
        <v>#NAME?</v>
      </c>
      <c r="BT400" s="2" t="e">
        <f ca="1">_xll.BDH($C$378,"TOTAL_DEBT_SEQUENTIAL_GROWTH","FQ2 2018","FQ2 2018","Currency=INR","Period=FQ","BEST_FPERIOD_OVERRIDE=FQ","FILING_STATUS=OR","EQY_CONSOLIDATED=Y","Sort=A","Dates=H","DateFormat=P","Fill=—","Direction=H","UseDPDF=Y")</f>
        <v>#NAME?</v>
      </c>
      <c r="BU400" s="2" t="e">
        <f ca="1">_xll.BDH($C$378,"TOTAL_EQUITY_SEQUENTIAL_GROWTH","FQ2 2018","FQ2 2018","Currency=INR","Period=FQ","BEST_FPERIOD_OVERRIDE=FQ","FILING_STATUS=OR","EQY_CONSOLIDATED=Y","Sort=A","Dates=H","DateFormat=P","Fill=—","Direction=H","UseDPDF=Y")</f>
        <v>#NAME?</v>
      </c>
      <c r="BV400" s="2" t="e">
        <f ca="1">_xll.BDH($C$378,"TOTAL_CAPITAL_SEQUENTIAL_GROWTH","FQ2 2018","FQ2 2018","Currency=INR","Period=FQ","BEST_FPERIOD_OVERRIDE=FQ","FILING_STATUS=OR","EQY_CONSOLIDATED=Y","Sort=A","Dates=H","DateFormat=P","Fill=—","Direction=H","UseDPDF=Y")</f>
        <v>#NAME?</v>
      </c>
      <c r="BW400" s="2" t="e">
        <f ca="1">_xll.BDH($C$378,"BPS_SEQUENTIAL_GROWTH","FQ2 2018","FQ2 2018","Currency=INR","Period=FQ","BEST_FPERIOD_OVERRIDE=FQ","FILING_STATUS=OR","EQY_CONSOLIDATED=Y","Sort=A","Dates=H","DateFormat=P","Fill=—","Direction=H","UseDPDF=Y")</f>
        <v>#NAME?</v>
      </c>
      <c r="BX400" s="2" t="e">
        <f ca="1">_xll.BDH($C$378,"CFO_SEQUENTIAL_GROWTH","FQ2 2018","FQ2 2018","Currency=INR","Period=FQ","BEST_FPERIOD_OVERRIDE=FQ","FILING_STATUS=OR","EQY_CONSOLIDATED=Y","Sort=A","Dates=H","DateFormat=P","Fill=—","Direction=H","UseDPDF=Y")</f>
        <v>#NAME?</v>
      </c>
      <c r="BY400" s="3" t="e">
        <f ca="1">_xll.BDH($C$378,"SHORT_AND_LONG_TERM_DEBT","FQ2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400" s="3" t="e">
        <f ca="1">_xll.BDH($C$378,"BS_ST_BORROW","FQ2 2018","FQ2 2018","Currency=INR","Period=FQ","BEST_FPERIOD_OVERRIDE=FQ","FILING_STATUS=OR","EQY_CONSOLIDATED=Y","SCALING_FORMAT=MLN","Sort=A","Dates=H","DateFormat=P","Fill=—","Direction=H","UseDPDF=Y")</f>
        <v>#NAME?</v>
      </c>
      <c r="CA400" s="3" t="e">
        <f ca="1">_xll.BDH($C$378,"BS_LT_BORROW","FQ2 2018","FQ2 2018","Currency=INR","Period=FQ","BEST_FPERIOD_OVERRIDE=FQ","FILING_STATUS=OR","EQY_CONSOLIDATED=Y","SCALING_FORMAT=MLN","Sort=A","Dates=H","DateFormat=P","Fill=—","Direction=H","UseDPDF=Y")</f>
        <v>#NAME?</v>
      </c>
      <c r="CB400" s="2" t="e">
        <f ca="1">_xll.BDH($C$378,"TOT_DEBT_TO_EBITDA","FQ2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400" s="2" t="e">
        <f ca="1">_xll.BDH($C$378,"NET_DEBT_TO_EBITDA","FQ2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400" s="2" t="e">
        <f ca="1">_xll.BDH($C$378,"TOTAL_DEBT_TO_EBIT","FQ2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400" s="2" t="e">
        <f ca="1">_xll.BDH($C$378,"NET_DEBT_TO_EBIT","FQ2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400" s="2" t="e">
        <f ca="1">_xll.BDH($C$378,"EBITDA_TO_INTEREST_EXPN","FQ2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400" s="2" t="e">
        <f ca="1">_xll.BDH($C$378,"COM_EQY_TO_TOT_ASSET","FQ2 2018","FQ2 2018","Currency=INR","Period=FQ","BEST_FPERIOD_OVERRIDE=FQ","FILING_STATUS=OR","EQY_CONSOLIDATED=Y","Sort=A","Dates=H","DateFormat=P","Fill=—","Direction=H","UseDPDF=Y")</f>
        <v>#NAME?</v>
      </c>
      <c r="CH400" s="2" t="e">
        <f ca="1">_xll.BDH($C$378,"LT_DEBT_TO_TOT_EQY","FQ2 2018","FQ2 2018","Currency=INR","Period=FQ","BEST_FPERIOD_OVERRIDE=FQ","FILING_STATUS=OR","EQY_CONSOLIDATED=Y","Sort=A","Dates=H","DateFormat=P","Fill=—","Direction=H","UseDPDF=Y")</f>
        <v>#NAME?</v>
      </c>
      <c r="CI400" s="2" t="e">
        <f ca="1">_xll.BDH($C$378,"LT_DEBT_TO_TOT_CAP","FQ2 2018","FQ2 2018","Currency=INR","Period=FQ","BEST_FPERIOD_OVERRIDE=FQ","FILING_STATUS=OR","EQY_CONSOLIDATED=Y","Sort=A","Dates=H","DateFormat=P","Fill=—","Direction=H","UseDPDF=Y")</f>
        <v>#NAME?</v>
      </c>
      <c r="CJ400" s="2" t="e">
        <f ca="1">_xll.BDH($C$378,"LT_DEBT_TO_TOT_ASSET","FQ2 2018","FQ2 2018","Currency=INR","Period=FQ","BEST_FPERIOD_OVERRIDE=FQ","FILING_STATUS=OR","EQY_CONSOLIDATED=Y","Sort=A","Dates=H","DateFormat=P","Fill=—","Direction=H","UseDPDF=Y")</f>
        <v>#NAME?</v>
      </c>
      <c r="CK400" s="2" t="e">
        <f ca="1">_xll.BDH($C$378,"TOT_DEBT_TO_TOT_EQY","FQ2 2018","FQ2 2018","Currency=INR","Period=FQ","BEST_FPERIOD_OVERRIDE=FQ","FILING_STATUS=OR","EQY_CONSOLIDATED=Y","Sort=A","Dates=H","DateFormat=P","Fill=—","Direction=H","UseDPDF=Y")</f>
        <v>#NAME?</v>
      </c>
      <c r="CL400" s="2" t="e">
        <f ca="1">_xll.BDH($C$378,"TOT_DEBT_TO_TOT_CAP","FQ2 2018","FQ2 2018","Currency=INR","Period=FQ","BEST_FPERIOD_OVERRIDE=FQ","FILING_STATUS=OR","EQY_CONSOLIDATED=Y","Sort=A","Dates=H","DateFormat=P","Fill=—","Direction=H","UseDPDF=Y")</f>
        <v>#NAME?</v>
      </c>
      <c r="CM400" s="2" t="e">
        <f ca="1">_xll.BDH($C$378,"TOT_DEBT_TO_TOT_ASSET","FQ2 2018","FQ2 2018","Currency=INR","Period=FQ","BEST_FPERIOD_OVERRIDE=FQ","FILING_STATUS=OR","EQY_CONSOLIDATED=Y","Sort=A","Dates=H","DateFormat=P","Fill=—","Direction=H","UseDPDF=Y")</f>
        <v>#NAME?</v>
      </c>
      <c r="CN400" s="2" t="e">
        <f ca="1">_xll.BDH($C$378,"NET_DEBT_TO_SHRHLDR_EQTY","FQ2 2018","FQ2 2018","Currency=INR","Period=FQ","BEST_FPERIOD_OVERRIDE=FQ","FILING_STATUS=OR","EQY_CONSOLIDATED=Y","Sort=A","Dates=H","DateFormat=P","Fill=—","Direction=H","UseDPDF=Y")</f>
        <v>#NAME?</v>
      </c>
      <c r="CO400" s="2" t="e">
        <f ca="1">_xll.BDH($C$378,"NET_DEBT_%_CAPITAL","FQ2 2018","FQ2 2018","Currency=INR","Period=FQ","BEST_FPERIOD_OVERRIDE=FQ","FILING_STATUS=OR","EQY_CONSOLIDATED=Y","Sort=A","Dates=H","DateFormat=P","Fill=—","Direction=H","UseDPDF=Y")</f>
        <v>#NAME?</v>
      </c>
      <c r="CP400" s="3" t="e">
        <f ca="1">_xll.BDH($C$378,"EBITDA","FQ2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400" s="3" t="e">
        <f ca="1">_xll.BDH($C$378,"EBITDA_AFTER_CAPEX","FQ2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400" s="3" t="e">
        <f ca="1">_xll.BDH($C$378,"IS_OPER_INC","FQ2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400" s="2" t="e">
        <f ca="1">_xll.BDH($C$378,"CASH_RATIO","FQ2 2018","FQ2 2018","Currency=INR","Period=FQ","BEST_FPERIOD_OVERRIDE=FQ","FILING_STATUS=OR","EQY_CONSOLIDATED=Y","Sort=A","Dates=H","DateFormat=P","Fill=—","Direction=H","UseDPDF=Y")</f>
        <v>#NAME?</v>
      </c>
      <c r="CT400" s="2" t="e">
        <f ca="1">_xll.BDH($C$378,"CUR_RATIO","FQ2 2018","FQ2 2018","Currency=INR","Period=FQ","BEST_FPERIOD_OVERRIDE=FQ","FILING_STATUS=OR","EQY_CONSOLIDATED=Y","Sort=A","Dates=H","DateFormat=P","Fill=—","Direction=H","UseDPDF=Y")</f>
        <v>#NAME?</v>
      </c>
      <c r="CU400" s="2" t="e">
        <f ca="1">_xll.BDH($C$378,"QUICK_RATIO","FQ2 2018","FQ2 2018","Currency=INR","Period=FQ","BEST_FPERIOD_OVERRIDE=FQ","FILING_STATUS=OR","EQY_CONSOLIDATED=Y","Sort=A","Dates=H","DateFormat=P","Fill=—","Direction=H","UseDPDF=Y")</f>
        <v>#NAME?</v>
      </c>
      <c r="CV400" s="2" t="e">
        <f ca="1">_xll.BDH($C$378,"ALTMAN_Z_SCORE","FQ2 2018","FQ2 2018","Currency=INR","Period=FQ","BEST_FPERIOD_OVERRIDE=FQ","FILING_STATUS=OR","EQY_CONSOLIDATED=Y","Sort=A","Dates=H","DateFormat=P","Fill=—","Direction=H","UseDPDF=Y")</f>
        <v>#NAME?</v>
      </c>
      <c r="CW400" s="4" t="e">
        <f ca="1">_xll.BDH($C$378,"ACCT_RCV_TURN","FQ2 2018","FQ2 2018","Currency=INR","Period=FQ","BEST_FPERIOD_OVERRIDE=FQ","FILING_STATUS=OR","EQY_CONSOLIDATED=Y","FA_ADJUSTED=GAAP","Sort=A","Dates=H","DateFormat=P","Fill=—","Direction=H","UseDPDF=Y")</f>
        <v>#NAME?</v>
      </c>
      <c r="CX400" s="2" t="e">
        <f ca="1">_xll.BDH($C$378,"ACCT_RCV_DAYS","FQ2 2018","FQ2 2018","Currency=INR","Period=FQ","BEST_FPERIOD_OVERRIDE=FQ","FILING_STATUS=OR","EQY_CONSOLIDATED=Y","FA_ADJUSTED=GAAP","Sort=A","Dates=H","DateFormat=P","Fill=—","Direction=H","UseDPDF=Y")</f>
        <v>#NAME?</v>
      </c>
      <c r="CY400" s="4" t="e">
        <f ca="1">_xll.BDH($C$378,"INVENT_TURN","FQ2 2018","FQ2 2018","Currency=INR","Period=FQ","BEST_FPERIOD_OVERRIDE=FQ","FILING_STATUS=OR","EQY_CONSOLIDATED=Y","FA_ADJUSTED=GAAP","Sort=A","Dates=H","DateFormat=P","Fill=—","Direction=H","UseDPDF=Y")</f>
        <v>#NAME?</v>
      </c>
      <c r="CZ400" s="2" t="e">
        <f ca="1">_xll.BDH($C$378,"INVENT_DAYS","FQ2 2018","FQ2 2018","Currency=INR","Period=FQ","BEST_FPERIOD_OVERRIDE=FQ","FILING_STATUS=OR","EQY_CONSOLIDATED=Y","FA_ADJUSTED=GAAP","Sort=A","Dates=H","DateFormat=P","Fill=—","Direction=H","UseDPDF=Y")</f>
        <v>#NAME?</v>
      </c>
      <c r="DA400" s="4" t="e">
        <f ca="1">_xll.BDH($C$378,"ACCOUNTS_PAYABLE_TURNOVER","FQ2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400" s="2" t="e">
        <f ca="1">_xll.BDH($C$378,"ACCOUNTS_PAYABLE_TURNOVER_DAYS","FQ2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400" s="4" t="e">
        <f ca="1">_xll.BDH($C$378,"CASH_CONVERSION_CYCLE","FQ2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400" s="4" t="e">
        <f ca="1">_xll.BDH($C$378,"INV_TO_CASH_DAYS","FQ2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400" s="5" t="e">
        <f ca="1">_xll.BDH($C$378,"BS_INVENTORIES","FQ2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400" s="3" t="e">
        <f ca="1">_xll.BDH($C$378,"INVTRY_RAW_MATERIALS","FQ2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400" s="3" t="e">
        <f ca="1">_xll.BDH($C$378,"INVTRY_IN_PROGRESS","FQ2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400" s="3" t="e">
        <f ca="1">_xll.BDH($C$378,"INVTRY_FINISHED_GOODS","FQ2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400" s="3" t="e">
        <f ca="1">_xll.BDH($C$378,"BS_OTHER_INV","FQ2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401" spans="1:113" x14ac:dyDescent="0.3">
      <c r="A401" s="6"/>
      <c r="B401" s="6"/>
      <c r="C401" s="6"/>
      <c r="D401" s="6"/>
      <c r="E401" t="s">
        <v>80</v>
      </c>
      <c r="F401" t="e">
        <f ca="1">_xll.BDH($C$378,"RETURN_COM_EQY","FQ3 2018","FQ3 2018","Currency=INR","Period=FQ","BEST_FPERIOD_OVERRIDE=FQ","FILING_STATUS=OR","EQY_CONSOLIDATED=Y","FA_ADJUSTED=GAAP","Sort=A","Dates=H","DateFormat=P","Fill=—","Direction=H","UseDPDF=Y")</f>
        <v>#NAME?</v>
      </c>
      <c r="G401" t="e">
        <f ca="1">_xll.BDH($C$378,"RETURN_ON_ASSET","FQ3 2018","FQ3 2018","Currency=INR","Period=FQ","BEST_FPERIOD_OVERRIDE=FQ","FILING_STATUS=OR","EQY_CONSOLIDATED=Y","FA_ADJUSTED=GAAP","Sort=A","Dates=H","DateFormat=P","Fill=—","Direction=H","UseDPDF=Y")</f>
        <v>#NAME?</v>
      </c>
      <c r="H401" t="e">
        <f ca="1">_xll.BDH($C$378,"RETURN_ON_CAP","FQ3 2018","FQ3 2018","Currency=INR","Period=FQ","BEST_FPERIOD_OVERRIDE=FQ","FILING_STATUS=OR","EQY_CONSOLIDATED=Y","FA_ADJUSTED=GAAP","Sort=A","Dates=H","DateFormat=P","Fill=—","Direction=H","UseDPDF=Y")</f>
        <v>#NAME?</v>
      </c>
      <c r="I401" t="e">
        <f ca="1">_xll.BDH($C$378,"RETURN_ON_INV_CAPITAL","FQ3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401" t="e">
        <f ca="1">_xll.BDH($C$378,"EBITDA_TO_REVENUE","FQ3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401" t="e">
        <f ca="1">_xll.BDH($C$378,"OPER_MARGIN","FQ3 2018","FQ3 2018","Currency=INR","Period=FQ","BEST_FPERIOD_OVERRIDE=FQ","FILING_STATUS=OR","EQY_CONSOLIDATED=Y","FA_ADJUSTED=GAAP","Sort=A","Dates=H","DateFormat=P","Fill=—","Direction=H","UseDPDF=Y")</f>
        <v>#NAME?</v>
      </c>
      <c r="L401" t="e">
        <f ca="1">_xll.BDH($C$378,"INCREMENTAL_OPERATING_MARGIN","FQ3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401" t="e">
        <f ca="1">_xll.BDH($C$378,"PRETAX_INC_TO_NET_SALES","FQ3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401" t="e">
        <f ca="1">_xll.BDH($C$378,"INC_BEF_XO_ITEMS_TO_NET_SALES","FQ3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401" t="e">
        <f ca="1">_xll.BDH($C$378,"PROF_MARGIN","FQ3 2018","FQ3 2018","Currency=INR","Period=FQ","BEST_FPERIOD_OVERRIDE=FQ","FILING_STATUS=OR","EQY_CONSOLIDATED=Y","FA_ADJUSTED=GAAP","Sort=A","Dates=H","DateFormat=P","Fill=—","Direction=H","UseDPDF=Y")</f>
        <v>#NAME?</v>
      </c>
      <c r="P401" t="e">
        <f ca="1">_xll.BDH($C$378,"NET_INCOME_TO_COMMON_MARGIN","FQ3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401" t="e">
        <f ca="1">_xll.BDH($C$378,"EFF_TAX_RATE","FQ3 2018","FQ3 2018","Currency=INR","Period=FQ","BEST_FPERIOD_OVERRIDE=FQ","FILING_STATUS=OR","EQY_CONSOLIDATED=Y","FA_ADJUSTED=GAAP","Sort=A","Dates=H","DateFormat=P","Fill=—","Direction=H","UseDPDF=Y")</f>
        <v>#NAME?</v>
      </c>
      <c r="R401" t="e">
        <f ca="1">_xll.BDH($C$378,"DVD_PAYOUT_RATIO","FQ3 2018","FQ3 2018","Currency=INR","Period=FQ","BEST_FPERIOD_OVERRIDE=FQ","FILING_STATUS=OR","EQY_CONSOLIDATED=Y","FA_ADJUSTED=GAAP","Sort=A","Dates=H","DateFormat=P","Fill=—","Direction=H","UseDPDF=Y")</f>
        <v>#NAME?</v>
      </c>
      <c r="S401" t="e">
        <f ca="1">_xll.BDH($C$378,"SUSTAIN_GROWTH_RT","FQ3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401" s="2" t="e">
        <f ca="1">_xll.BDH($C$378,"SALES_GROWTH","FQ3 2018","FQ3 2018","Currency=INR","Period=FQ","BEST_FPERIOD_OVERRIDE=FQ","FILING_STATUS=OR","EQY_CONSOLIDATED=Y","FA_ADJUSTED=GAAP","Sort=A","Dates=H","DateFormat=P","Fill=—","Direction=H","UseDPDF=Y")</f>
        <v>#NAME?</v>
      </c>
      <c r="U401" s="2" t="e">
        <f ca="1">_xll.BDH($C$378,"EBITDA_GROWTH","FQ3 2018","FQ3 2018","Currency=INR","Period=FQ","BEST_FPERIOD_OVERRIDE=FQ","FILING_STATUS=OR","EQY_CONSOLIDATED=Y","FA_ADJUSTED=GAAP","Sort=A","Dates=H","DateFormat=P","Fill=—","Direction=H","UseDPDF=Y")</f>
        <v>#NAME?</v>
      </c>
      <c r="V401" s="2" t="e">
        <f ca="1">_xll.BDH($C$378,"OPER_INC_GROWTH","FQ3 2018","FQ3 2018","Currency=INR","Period=FQ","BEST_FPERIOD_OVERRIDE=FQ","FILING_STATUS=OR","EQY_CONSOLIDATED=Y","FA_ADJUSTED=GAAP","Sort=A","Dates=H","DateFormat=P","Fill=—","Direction=H","UseDPDF=Y")</f>
        <v>#NAME?</v>
      </c>
      <c r="W401" s="2" t="e">
        <f ca="1">_xll.BDH($C$378,"EARN_FOR_COM_GROWTH","FQ3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401" s="2" t="e">
        <f ca="1">_xll.BDH($C$378,"DILUTED_EPS_AFT_XO_ITEMS_GROWTH","FQ3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401" s="2" t="e">
        <f ca="1">_xll.BDH($C$378,"DIVIDEND_PER_SHARE_1_YEAR_GROWTH","FQ3 2018","FQ3 2018","Currency=INR","Period=FQ","BEST_FPERIOD_OVERRIDE=FQ","FILING_STATUS=OR","EQY_CONSOLIDATED=Y","Sort=A","Dates=H","DateFormat=P","Fill=—","Direction=H","UseDPDF=Y")</f>
        <v>#NAME?</v>
      </c>
      <c r="Z401" s="2" t="e">
        <f ca="1">_xll.BDH($C$378,"ACCOUNTS_RECEIVABLE_GROWTH","FQ3 2018","FQ3 2018","Currency=INR","Period=FQ","BEST_FPERIOD_OVERRIDE=FQ","FILING_STATUS=OR","EQY_CONSOLIDATED=Y","Sort=A","Dates=H","DateFormat=P","Fill=—","Direction=H","UseDPDF=Y")</f>
        <v>#NAME?</v>
      </c>
      <c r="AA401" s="2" t="e">
        <f ca="1">_xll.BDH($C$378,"INVENTORY_GROWTH","FQ3 2018","FQ3 2018","Currency=INR","Period=FQ","BEST_FPERIOD_OVERRIDE=FQ","FILING_STATUS=OR","EQY_CONSOLIDATED=Y","Sort=A","Dates=H","DateFormat=P","Fill=—","Direction=H","UseDPDF=Y")</f>
        <v>#NAME?</v>
      </c>
      <c r="AB401" s="2" t="e">
        <f ca="1">_xll.BDH($C$378,"NET_FIXED_ASSETS_1_YEAR_GROWTH","FQ3 2018","FQ3 2018","Currency=INR","Period=FQ","BEST_FPERIOD_OVERRIDE=FQ","FILING_STATUS=OR","EQY_CONSOLIDATED=Y","Sort=A","Dates=H","DateFormat=P","Fill=—","Direction=H","UseDPDF=Y")</f>
        <v>#NAME?</v>
      </c>
      <c r="AC401" s="2" t="e">
        <f ca="1">_xll.BDH($C$378,"ASSET_GROWTH","FQ3 2018","FQ3 2018","Currency=INR","Period=FQ","BEST_FPERIOD_OVERRIDE=FQ","FILING_STATUS=OR","EQY_CONSOLIDATED=Y","Sort=A","Dates=H","DateFormat=P","Fill=—","Direction=H","UseDPDF=Y")</f>
        <v>#NAME?</v>
      </c>
      <c r="AD401" s="2" t="e">
        <f ca="1">_xll.BDH($C$378,"MODIFIED_WORK_CAP_GROWTH","FQ3 2018","FQ3 2018","Currency=INR","Period=FQ","BEST_FPERIOD_OVERRIDE=FQ","FILING_STATUS=OR","EQY_CONSOLIDATED=Y","Sort=A","Dates=H","DateFormat=P","Fill=—","Direction=H","UseDPDF=Y")</f>
        <v>#NAME?</v>
      </c>
      <c r="AE401" s="2" t="e">
        <f ca="1">_xll.BDH($C$378,"WORK_CAP_GROWTH","FQ3 2018","FQ3 2018","Currency=INR","Period=FQ","BEST_FPERIOD_OVERRIDE=FQ","FILING_STATUS=OR","EQY_CONSOLIDATED=Y","Sort=A","Dates=H","DateFormat=P","Fill=—","Direction=H","UseDPDF=Y")</f>
        <v>#NAME?</v>
      </c>
      <c r="AF401" s="2" t="e">
        <f ca="1">_xll.BDH($C$378,"ACCOUNTS_PAYABLE_GROWTH_1YR","FQ3 2018","FQ3 2018","Currency=INR","Period=FQ","BEST_FPERIOD_OVERRIDE=FQ","FILING_STATUS=OR","EQY_CONSOLIDATED=Y","Sort=A","Dates=H","DateFormat=P","Fill=—","Direction=H","UseDPDF=Y")</f>
        <v>#NAME?</v>
      </c>
      <c r="AG401" s="2" t="e">
        <f ca="1">_xll.BDH($C$378,"SHORT_TERM_DEBT_1_YEAR_GROWTH","FQ3 2018","FQ3 2018","Currency=INR","Period=FQ","BEST_FPERIOD_OVERRIDE=FQ","FILING_STATUS=OR","EQY_CONSOLIDATED=Y","Sort=A","Dates=H","DateFormat=P","Fill=—","Direction=H","UseDPDF=Y")</f>
        <v>#NAME?</v>
      </c>
      <c r="AH401" s="2" t="e">
        <f ca="1">_xll.BDH($C$378,"TOTAL_DEBT_1_YEAR_GROWTH","FQ3 2018","FQ3 2018","Currency=INR","Period=FQ","BEST_FPERIOD_OVERRIDE=FQ","FILING_STATUS=OR","EQY_CONSOLIDATED=Y","Sort=A","Dates=H","DateFormat=P","Fill=—","Direction=H","UseDPDF=Y")</f>
        <v>#NAME?</v>
      </c>
      <c r="AI401" s="2" t="e">
        <f ca="1">_xll.BDH($C$378,"TOTAL_EQUITY_1_YEAR_GROWTH","FQ3 2018","FQ3 2018","Currency=INR","Period=FQ","BEST_FPERIOD_OVERRIDE=FQ","FILING_STATUS=OR","EQY_CONSOLIDATED=Y","Sort=A","Dates=H","DateFormat=P","Fill=—","Direction=H","UseDPDF=Y")</f>
        <v>#NAME?</v>
      </c>
      <c r="AJ401" s="2" t="e">
        <f ca="1">_xll.BDH($C$378,"GROWTH_IN_CAP","FQ3 2018","FQ3 2018","Currency=INR","Period=FQ","BEST_FPERIOD_OVERRIDE=FQ","FILING_STATUS=OR","EQY_CONSOLIDATED=Y","Sort=A","Dates=H","DateFormat=P","Fill=—","Direction=H","UseDPDF=Y")</f>
        <v>#NAME?</v>
      </c>
      <c r="AK401" s="2" t="e">
        <f ca="1">_xll.BDH($C$378,"BVPS_GROWTH","FQ3 2018","FQ3 2018","Currency=INR","Period=FQ","BEST_FPERIOD_OVERRIDE=FQ","FILING_STATUS=OR","EQY_CONSOLIDATED=Y","Sort=A","Dates=H","DateFormat=P","Fill=—","Direction=H","UseDPDF=Y")</f>
        <v>#NAME?</v>
      </c>
      <c r="AL401" s="2" t="e">
        <f ca="1">_xll.BDH($C$378,"CASH_FLOW_GROWTH","FQ3 2018","FQ3 2018","Currency=INR","Period=FQ","BEST_FPERIOD_OVERRIDE=FQ","FILING_STATUS=OR","EQY_CONSOLIDATED=Y","Sort=A","Dates=H","DateFormat=P","Fill=—","Direction=H","UseDPDF=Y")</f>
        <v>#NAME?</v>
      </c>
      <c r="AM401" s="2" t="e">
        <f ca="1">_xll.BDH($C$378,"GEO_GROW_NET_SALES","FQ3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401" s="2" t="e">
        <f ca="1">_xll.BDH($C$378,"GEO_GROW_EBITDA","FQ3 2018","FQ3 2018","Currency=INR","Period=FQ","BEST_FPERIOD_OVERRIDE=FQ","FILING_STATUS=OR","EQY_CONSOLIDATED=Y","FA_ADJUSTED=GAAP","Sort=A","Dates=H","DateFormat=P","Fill=—","Direction=H","UseDPDF=Y")</f>
        <v>#NAME?</v>
      </c>
      <c r="AO401" s="2" t="e">
        <f ca="1">_xll.BDH($C$378,"GEO_GROW_OPER_INC","FQ3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401" s="2" t="e">
        <f ca="1">_xll.BDH($C$378,"NET_INCOME_TO_COMMON_5_YR_GROWTH","FQ3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401" s="2" t="e">
        <f ca="1">_xll.BDH($C$378,"5Y_GEO_GROWTH_DILUTED_EPS","FQ3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401" s="2" t="e">
        <f ca="1">_xll.BDH($C$378,"GEO_GROW_DVD_PER_SH","FQ3 2018","FQ3 2018","Currency=INR","Period=FQ","BEST_FPERIOD_OVERRIDE=FQ","FILING_STATUS=OR","EQY_CONSOLIDATED=Y","Sort=A","Dates=H","DateFormat=P","Fill=—","Direction=H","UseDPDF=Y")</f>
        <v>#NAME?</v>
      </c>
      <c r="AS401" s="2" t="e">
        <f ca="1">_xll.BDH($C$378,"ACCOUNTS_RECEIVABLE_5_YR_GROWTH","FQ3 2018","FQ3 2018","Currency=INR","Period=FQ","BEST_FPERIOD_OVERRIDE=FQ","FILING_STATUS=OR","EQY_CONSOLIDATED=Y","Sort=A","Dates=H","DateFormat=P","Fill=—","Direction=H","UseDPDF=Y")</f>
        <v>#NAME?</v>
      </c>
      <c r="AT401" s="2" t="e">
        <f ca="1">_xll.BDH($C$378,"INVENTORY_5_YEAR_GROWTH","FQ3 2018","FQ3 2018","Currency=INR","Period=FQ","BEST_FPERIOD_OVERRIDE=FQ","FILING_STATUS=OR","EQY_CONSOLIDATED=Y","Sort=A","Dates=H","DateFormat=P","Fill=—","Direction=H","UseDPDF=Y")</f>
        <v>#NAME?</v>
      </c>
      <c r="AU401" s="2" t="e">
        <f ca="1">_xll.BDH($C$378,"NET_FIXED_ASSETS_5_YEAR_GROWTH","FQ3 2018","FQ3 2018","Currency=INR","Period=FQ","BEST_FPERIOD_OVERRIDE=FQ","FILING_STATUS=OR","EQY_CONSOLIDATED=Y","Sort=A","Dates=H","DateFormat=P","Fill=—","Direction=H","UseDPDF=Y")</f>
        <v>#NAME?</v>
      </c>
      <c r="AV401" s="2" t="e">
        <f ca="1">_xll.BDH($C$378,"GEO_GROW_TOT_ASSET","FQ3 2018","FQ3 2018","Currency=INR","Period=FQ","BEST_FPERIOD_OVERRIDE=FQ","FILING_STATUS=OR","EQY_CONSOLIDATED=Y","Sort=A","Dates=H","DateFormat=P","Fill=—","Direction=H","UseDPDF=Y")</f>
        <v>#NAME?</v>
      </c>
      <c r="AW401" s="2" t="e">
        <f ca="1">_xll.BDH($C$378,"MODIFIED_WORKING_CPTL_5YR_GRWTH","FQ3 2018","FQ3 2018","Currency=INR","Period=FQ","BEST_FPERIOD_OVERRIDE=FQ","FILING_STATUS=OR","EQY_CONSOLIDATED=Y","Sort=A","Dates=H","DateFormat=P","Fill=—","Direction=H","UseDPDF=Y")</f>
        <v>#NAME?</v>
      </c>
      <c r="AX401" s="2" t="e">
        <f ca="1">_xll.BDH($C$378,"WORKING_CAPITAL_5_YEAR_GROWTH","FQ3 2018","FQ3 2018","Currency=INR","Period=FQ","BEST_FPERIOD_OVERRIDE=FQ","FILING_STATUS=OR","EQY_CONSOLIDATED=Y","Sort=A","Dates=H","DateFormat=P","Fill=—","Direction=H","UseDPDF=Y")</f>
        <v>#NAME?</v>
      </c>
      <c r="AY401" s="2" t="e">
        <f ca="1">_xll.BDH($C$378,"ACCOUNTS_PAYABLE_5_YEAR_GROWTH","FQ3 2018","FQ3 2018","Currency=INR","Period=FQ","BEST_FPERIOD_OVERRIDE=FQ","FILING_STATUS=OR","EQY_CONSOLIDATED=Y","Sort=A","Dates=H","DateFormat=P","Fill=—","Direction=H","UseDPDF=Y")</f>
        <v>#NAME?</v>
      </c>
      <c r="AZ401" s="2" t="e">
        <f ca="1">_xll.BDH($C$378,"SHORT_TERM_DEBT_5_YEAR_GROWTH","FQ3 2018","FQ3 2018","Currency=INR","Period=FQ","BEST_FPERIOD_OVERRIDE=FQ","FILING_STATUS=OR","EQY_CONSOLIDATED=Y","Sort=A","Dates=H","DateFormat=P","Fill=—","Direction=H","UseDPDF=Y")</f>
        <v>#NAME?</v>
      </c>
      <c r="BA401" s="2" t="e">
        <f ca="1">_xll.BDH($C$378,"TOTAL_DEBT_5_YEAR_GROWTH","FQ3 2018","FQ3 2018","Currency=INR","Period=FQ","BEST_FPERIOD_OVERRIDE=FQ","FILING_STATUS=OR","EQY_CONSOLIDATED=Y","Sort=A","Dates=H","DateFormat=P","Fill=—","Direction=H","UseDPDF=Y")</f>
        <v>#NAME?</v>
      </c>
      <c r="BB401" s="2" t="e">
        <f ca="1">_xll.BDH($C$378,"GEO_GROW_TOT_SHRHLDR_EQY","FQ3 2018","FQ3 2018","Currency=INR","Period=FQ","BEST_FPERIOD_OVERRIDE=FQ","FILING_STATUS=OR","EQY_CONSOLIDATED=Y","Sort=A","Dates=H","DateFormat=P","Fill=—","Direction=H","UseDPDF=Y")</f>
        <v>#NAME?</v>
      </c>
      <c r="BC401" s="2" t="e">
        <f ca="1">_xll.BDH($C$378,"TOTAL_CAPITAL_5_YEAR_GROWTH","FQ3 2018","FQ3 2018","Currency=INR","Period=FQ","BEST_FPERIOD_OVERRIDE=FQ","FILING_STATUS=OR","EQY_CONSOLIDATED=Y","Sort=A","Dates=H","DateFormat=P","Fill=—","Direction=H","UseDPDF=Y")</f>
        <v>#NAME?</v>
      </c>
      <c r="BD401" s="2" t="e">
        <f ca="1">_xll.BDH($C$378,"GEO_GROW_BOOK_VAL","FQ3 2018","FQ3 2018","Currency=INR","Period=FQ","BEST_FPERIOD_OVERRIDE=FQ","FILING_STATUS=OR","EQY_CONSOLIDATED=Y","Sort=A","Dates=H","DateFormat=P","Fill=—","Direction=H","UseDPDF=Y")</f>
        <v>#NAME?</v>
      </c>
      <c r="BE401" s="2" t="e">
        <f ca="1">_xll.BDH($C$378,"GEO_GROW_CASH_OPER_ACT","FQ3 2018","FQ3 2018","Currency=INR","Period=FQ","BEST_FPERIOD_OVERRIDE=FQ","FILING_STATUS=OR","EQY_CONSOLIDATED=Y","Sort=A","Dates=H","DateFormat=P","Fill=—","Direction=H","UseDPDF=Y")</f>
        <v>#NAME?</v>
      </c>
      <c r="BF401" s="2" t="e">
        <f ca="1">_xll.BDH($C$378,"REVENUE_SEQUENTIAL_GROWTH","FQ3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401" s="2" t="e">
        <f ca="1">_xll.BDH($C$378,"EBITDA_SEQUENTIAL_GROWTH","FQ3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401" s="2" t="e">
        <f ca="1">_xll.BDH($C$378,"OPERATING_INCOME_SEQ_GROWTH","FQ3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401" s="2" t="e">
        <f ca="1">_xll.BDH($C$378,"NET_INCOME_TO_COMMON_SEQ_GROWTH","FQ3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401" s="2" t="e">
        <f ca="1">_xll.BDH($C$378,"EPS_DILUTED_SEQUENTIAL_GROWTH","FQ3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401" s="2" t="e">
        <f ca="1">_xll.BDH($C$378,"DPS_SEQUENTIAL_GROWTH","FQ3 2018","FQ3 2018","Currency=INR","Period=FQ","BEST_FPERIOD_OVERRIDE=FQ","FILING_STATUS=OR","EQY_CONSOLIDATED=Y","Sort=A","Dates=H","DateFormat=P","Fill=—","Direction=H","UseDPDF=Y")</f>
        <v>#NAME?</v>
      </c>
      <c r="BL401" s="2" t="e">
        <f ca="1">_xll.BDH($C$378,"ACCOUNTS_RECEIVABLE_SEQ_GROWTH","FQ3 2018","FQ3 2018","Currency=INR","Period=FQ","BEST_FPERIOD_OVERRIDE=FQ","FILING_STATUS=OR","EQY_CONSOLIDATED=Y","Sort=A","Dates=H","DateFormat=P","Fill=—","Direction=H","UseDPDF=Y")</f>
        <v>#NAME?</v>
      </c>
      <c r="BM401" s="2" t="e">
        <f ca="1">_xll.BDH($C$378,"INVENTORY_SEQUENTIAL_GROWTH","FQ3 2018","FQ3 2018","Currency=INR","Period=FQ","BEST_FPERIOD_OVERRIDE=FQ","FILING_STATUS=OR","EQY_CONSOLIDATED=Y","Sort=A","Dates=H","DateFormat=P","Fill=—","Direction=H","UseDPDF=Y")</f>
        <v>#NAME?</v>
      </c>
      <c r="BN401" s="2" t="e">
        <f ca="1">_xll.BDH($C$378,"FIXED_ASSETS_SEQUENTIAL_GROWTH","FQ3 2018","FQ3 2018","Currency=INR","Period=FQ","BEST_FPERIOD_OVERRIDE=FQ","FILING_STATUS=OR","EQY_CONSOLIDATED=Y","Sort=A","Dates=H","DateFormat=P","Fill=—","Direction=H","UseDPDF=Y")</f>
        <v>#NAME?</v>
      </c>
      <c r="BO401" s="2" t="e">
        <f ca="1">_xll.BDH($C$378,"TOTAL_ASSETS_SEQUENTIAL_GROWTH","FQ3 2018","FQ3 2018","Currency=INR","Period=FQ","BEST_FPERIOD_OVERRIDE=FQ","FILING_STATUS=OR","EQY_CONSOLIDATED=Y","Sort=A","Dates=H","DateFormat=P","Fill=—","Direction=H","UseDPDF=Y")</f>
        <v>#NAME?</v>
      </c>
      <c r="BP401" s="2" t="e">
        <f ca="1">_xll.BDH($C$378,"MODIFIED_WORKING_CPTL_SEQ_GRWTH","FQ3 2018","FQ3 2018","Currency=INR","Period=FQ","BEST_FPERIOD_OVERRIDE=FQ","FILING_STATUS=OR","EQY_CONSOLIDATED=Y","Sort=A","Dates=H","DateFormat=P","Fill=—","Direction=H","UseDPDF=Y")</f>
        <v>#NAME?</v>
      </c>
      <c r="BQ401" s="2" t="e">
        <f ca="1">_xll.BDH($C$378,"WORKING_CAPITAL_SEQ_GROWTH","FQ3 2018","FQ3 2018","Currency=INR","Period=FQ","BEST_FPERIOD_OVERRIDE=FQ","FILING_STATUS=OR","EQY_CONSOLIDATED=Y","Sort=A","Dates=H","DateFormat=P","Fill=—","Direction=H","UseDPDF=Y")</f>
        <v>#NAME?</v>
      </c>
      <c r="BR401" s="2" t="e">
        <f ca="1">_xll.BDH($C$378,"ACCOUNTS_PAYABLE_SEQ_GROWTH","FQ3 2018","FQ3 2018","Currency=INR","Period=FQ","BEST_FPERIOD_OVERRIDE=FQ","FILING_STATUS=OR","EQY_CONSOLIDATED=Y","Sort=A","Dates=H","DateFormat=P","Fill=—","Direction=H","UseDPDF=Y")</f>
        <v>#NAME?</v>
      </c>
      <c r="BS401" s="2" t="e">
        <f ca="1">_xll.BDH($C$378,"ST_DEBT_SEQUENTIAL_GROWTH","FQ3 2018","FQ3 2018","Currency=INR","Period=FQ","BEST_FPERIOD_OVERRIDE=FQ","FILING_STATUS=OR","EQY_CONSOLIDATED=Y","Sort=A","Dates=H","DateFormat=P","Fill=—","Direction=H","UseDPDF=Y")</f>
        <v>#NAME?</v>
      </c>
      <c r="BT401" s="2" t="e">
        <f ca="1">_xll.BDH($C$378,"TOTAL_DEBT_SEQUENTIAL_GROWTH","FQ3 2018","FQ3 2018","Currency=INR","Period=FQ","BEST_FPERIOD_OVERRIDE=FQ","FILING_STATUS=OR","EQY_CONSOLIDATED=Y","Sort=A","Dates=H","DateFormat=P","Fill=—","Direction=H","UseDPDF=Y")</f>
        <v>#NAME?</v>
      </c>
      <c r="BU401" s="2" t="e">
        <f ca="1">_xll.BDH($C$378,"TOTAL_EQUITY_SEQUENTIAL_GROWTH","FQ3 2018","FQ3 2018","Currency=INR","Period=FQ","BEST_FPERIOD_OVERRIDE=FQ","FILING_STATUS=OR","EQY_CONSOLIDATED=Y","Sort=A","Dates=H","DateFormat=P","Fill=—","Direction=H","UseDPDF=Y")</f>
        <v>#NAME?</v>
      </c>
      <c r="BV401" s="2" t="e">
        <f ca="1">_xll.BDH($C$378,"TOTAL_CAPITAL_SEQUENTIAL_GROWTH","FQ3 2018","FQ3 2018","Currency=INR","Period=FQ","BEST_FPERIOD_OVERRIDE=FQ","FILING_STATUS=OR","EQY_CONSOLIDATED=Y","Sort=A","Dates=H","DateFormat=P","Fill=—","Direction=H","UseDPDF=Y")</f>
        <v>#NAME?</v>
      </c>
      <c r="BW401" s="2" t="e">
        <f ca="1">_xll.BDH($C$378,"BPS_SEQUENTIAL_GROWTH","FQ3 2018","FQ3 2018","Currency=INR","Period=FQ","BEST_FPERIOD_OVERRIDE=FQ","FILING_STATUS=OR","EQY_CONSOLIDATED=Y","Sort=A","Dates=H","DateFormat=P","Fill=—","Direction=H","UseDPDF=Y")</f>
        <v>#NAME?</v>
      </c>
      <c r="BX401" s="2" t="e">
        <f ca="1">_xll.BDH($C$378,"CFO_SEQUENTIAL_GROWTH","FQ3 2018","FQ3 2018","Currency=INR","Period=FQ","BEST_FPERIOD_OVERRIDE=FQ","FILING_STATUS=OR","EQY_CONSOLIDATED=Y","Sort=A","Dates=H","DateFormat=P","Fill=—","Direction=H","UseDPDF=Y")</f>
        <v>#NAME?</v>
      </c>
      <c r="BY401" s="3" t="e">
        <f ca="1">_xll.BDH($C$378,"SHORT_AND_LONG_TERM_DEBT","FQ3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401" s="3" t="e">
        <f ca="1">_xll.BDH($C$378,"BS_ST_BORROW","FQ3 2018","FQ3 2018","Currency=INR","Period=FQ","BEST_FPERIOD_OVERRIDE=FQ","FILING_STATUS=OR","EQY_CONSOLIDATED=Y","SCALING_FORMAT=MLN","Sort=A","Dates=H","DateFormat=P","Fill=—","Direction=H","UseDPDF=Y")</f>
        <v>#NAME?</v>
      </c>
      <c r="CA401" s="3" t="e">
        <f ca="1">_xll.BDH($C$378,"BS_LT_BORROW","FQ3 2018","FQ3 2018","Currency=INR","Period=FQ","BEST_FPERIOD_OVERRIDE=FQ","FILING_STATUS=OR","EQY_CONSOLIDATED=Y","SCALING_FORMAT=MLN","Sort=A","Dates=H","DateFormat=P","Fill=—","Direction=H","UseDPDF=Y")</f>
        <v>#NAME?</v>
      </c>
      <c r="CB401" s="2" t="e">
        <f ca="1">_xll.BDH($C$378,"TOT_DEBT_TO_EBITDA","FQ3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401" s="2" t="e">
        <f ca="1">_xll.BDH($C$378,"NET_DEBT_TO_EBITDA","FQ3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401" s="2" t="e">
        <f ca="1">_xll.BDH($C$378,"TOTAL_DEBT_TO_EBIT","FQ3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401" s="2" t="e">
        <f ca="1">_xll.BDH($C$378,"NET_DEBT_TO_EBIT","FQ3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401" s="2" t="e">
        <f ca="1">_xll.BDH($C$378,"EBITDA_TO_INTEREST_EXPN","FQ3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401" s="2" t="e">
        <f ca="1">_xll.BDH($C$378,"COM_EQY_TO_TOT_ASSET","FQ3 2018","FQ3 2018","Currency=INR","Period=FQ","BEST_FPERIOD_OVERRIDE=FQ","FILING_STATUS=OR","EQY_CONSOLIDATED=Y","Sort=A","Dates=H","DateFormat=P","Fill=—","Direction=H","UseDPDF=Y")</f>
        <v>#NAME?</v>
      </c>
      <c r="CH401" s="2" t="e">
        <f ca="1">_xll.BDH($C$378,"LT_DEBT_TO_TOT_EQY","FQ3 2018","FQ3 2018","Currency=INR","Period=FQ","BEST_FPERIOD_OVERRIDE=FQ","FILING_STATUS=OR","EQY_CONSOLIDATED=Y","Sort=A","Dates=H","DateFormat=P","Fill=—","Direction=H","UseDPDF=Y")</f>
        <v>#NAME?</v>
      </c>
      <c r="CI401" s="2" t="e">
        <f ca="1">_xll.BDH($C$378,"LT_DEBT_TO_TOT_CAP","FQ3 2018","FQ3 2018","Currency=INR","Period=FQ","BEST_FPERIOD_OVERRIDE=FQ","FILING_STATUS=OR","EQY_CONSOLIDATED=Y","Sort=A","Dates=H","DateFormat=P","Fill=—","Direction=H","UseDPDF=Y")</f>
        <v>#NAME?</v>
      </c>
      <c r="CJ401" s="2" t="e">
        <f ca="1">_xll.BDH($C$378,"LT_DEBT_TO_TOT_ASSET","FQ3 2018","FQ3 2018","Currency=INR","Period=FQ","BEST_FPERIOD_OVERRIDE=FQ","FILING_STATUS=OR","EQY_CONSOLIDATED=Y","Sort=A","Dates=H","DateFormat=P","Fill=—","Direction=H","UseDPDF=Y")</f>
        <v>#NAME?</v>
      </c>
      <c r="CK401" s="2" t="e">
        <f ca="1">_xll.BDH($C$378,"TOT_DEBT_TO_TOT_EQY","FQ3 2018","FQ3 2018","Currency=INR","Period=FQ","BEST_FPERIOD_OVERRIDE=FQ","FILING_STATUS=OR","EQY_CONSOLIDATED=Y","Sort=A","Dates=H","DateFormat=P","Fill=—","Direction=H","UseDPDF=Y")</f>
        <v>#NAME?</v>
      </c>
      <c r="CL401" s="2" t="e">
        <f ca="1">_xll.BDH($C$378,"TOT_DEBT_TO_TOT_CAP","FQ3 2018","FQ3 2018","Currency=INR","Period=FQ","BEST_FPERIOD_OVERRIDE=FQ","FILING_STATUS=OR","EQY_CONSOLIDATED=Y","Sort=A","Dates=H","DateFormat=P","Fill=—","Direction=H","UseDPDF=Y")</f>
        <v>#NAME?</v>
      </c>
      <c r="CM401" s="2" t="e">
        <f ca="1">_xll.BDH($C$378,"TOT_DEBT_TO_TOT_ASSET","FQ3 2018","FQ3 2018","Currency=INR","Period=FQ","BEST_FPERIOD_OVERRIDE=FQ","FILING_STATUS=OR","EQY_CONSOLIDATED=Y","Sort=A","Dates=H","DateFormat=P","Fill=—","Direction=H","UseDPDF=Y")</f>
        <v>#NAME?</v>
      </c>
      <c r="CN401" s="2" t="e">
        <f ca="1">_xll.BDH($C$378,"NET_DEBT_TO_SHRHLDR_EQTY","FQ3 2018","FQ3 2018","Currency=INR","Period=FQ","BEST_FPERIOD_OVERRIDE=FQ","FILING_STATUS=OR","EQY_CONSOLIDATED=Y","Sort=A","Dates=H","DateFormat=P","Fill=—","Direction=H","UseDPDF=Y")</f>
        <v>#NAME?</v>
      </c>
      <c r="CO401" s="2" t="e">
        <f ca="1">_xll.BDH($C$378,"NET_DEBT_%_CAPITAL","FQ3 2018","FQ3 2018","Currency=INR","Period=FQ","BEST_FPERIOD_OVERRIDE=FQ","FILING_STATUS=OR","EQY_CONSOLIDATED=Y","Sort=A","Dates=H","DateFormat=P","Fill=—","Direction=H","UseDPDF=Y")</f>
        <v>#NAME?</v>
      </c>
      <c r="CP401" s="3" t="e">
        <f ca="1">_xll.BDH($C$378,"EBITDA","FQ3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401" s="3" t="e">
        <f ca="1">_xll.BDH($C$378,"EBITDA_AFTER_CAPEX","FQ3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401" s="3" t="e">
        <f ca="1">_xll.BDH($C$378,"IS_OPER_INC","FQ3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401" s="2" t="e">
        <f ca="1">_xll.BDH($C$378,"CASH_RATIO","FQ3 2018","FQ3 2018","Currency=INR","Period=FQ","BEST_FPERIOD_OVERRIDE=FQ","FILING_STATUS=OR","EQY_CONSOLIDATED=Y","Sort=A","Dates=H","DateFormat=P","Fill=—","Direction=H","UseDPDF=Y")</f>
        <v>#NAME?</v>
      </c>
      <c r="CT401" s="2" t="e">
        <f ca="1">_xll.BDH($C$378,"CUR_RATIO","FQ3 2018","FQ3 2018","Currency=INR","Period=FQ","BEST_FPERIOD_OVERRIDE=FQ","FILING_STATUS=OR","EQY_CONSOLIDATED=Y","Sort=A","Dates=H","DateFormat=P","Fill=—","Direction=H","UseDPDF=Y")</f>
        <v>#NAME?</v>
      </c>
      <c r="CU401" s="2" t="e">
        <f ca="1">_xll.BDH($C$378,"QUICK_RATIO","FQ3 2018","FQ3 2018","Currency=INR","Period=FQ","BEST_FPERIOD_OVERRIDE=FQ","FILING_STATUS=OR","EQY_CONSOLIDATED=Y","Sort=A","Dates=H","DateFormat=P","Fill=—","Direction=H","UseDPDF=Y")</f>
        <v>#NAME?</v>
      </c>
      <c r="CV401" s="2" t="e">
        <f ca="1">_xll.BDH($C$378,"ALTMAN_Z_SCORE","FQ3 2018","FQ3 2018","Currency=INR","Period=FQ","BEST_FPERIOD_OVERRIDE=FQ","FILING_STATUS=OR","EQY_CONSOLIDATED=Y","Sort=A","Dates=H","DateFormat=P","Fill=—","Direction=H","UseDPDF=Y")</f>
        <v>#NAME?</v>
      </c>
      <c r="CW401" s="4" t="e">
        <f ca="1">_xll.BDH($C$378,"ACCT_RCV_TURN","FQ3 2018","FQ3 2018","Currency=INR","Period=FQ","BEST_FPERIOD_OVERRIDE=FQ","FILING_STATUS=OR","EQY_CONSOLIDATED=Y","FA_ADJUSTED=GAAP","Sort=A","Dates=H","DateFormat=P","Fill=—","Direction=H","UseDPDF=Y")</f>
        <v>#NAME?</v>
      </c>
      <c r="CX401" s="2" t="e">
        <f ca="1">_xll.BDH($C$378,"ACCT_RCV_DAYS","FQ3 2018","FQ3 2018","Currency=INR","Period=FQ","BEST_FPERIOD_OVERRIDE=FQ","FILING_STATUS=OR","EQY_CONSOLIDATED=Y","FA_ADJUSTED=GAAP","Sort=A","Dates=H","DateFormat=P","Fill=—","Direction=H","UseDPDF=Y")</f>
        <v>#NAME?</v>
      </c>
      <c r="CY401" s="4" t="e">
        <f ca="1">_xll.BDH($C$378,"INVENT_TURN","FQ3 2018","FQ3 2018","Currency=INR","Period=FQ","BEST_FPERIOD_OVERRIDE=FQ","FILING_STATUS=OR","EQY_CONSOLIDATED=Y","FA_ADJUSTED=GAAP","Sort=A","Dates=H","DateFormat=P","Fill=—","Direction=H","UseDPDF=Y")</f>
        <v>#NAME?</v>
      </c>
      <c r="CZ401" s="2" t="e">
        <f ca="1">_xll.BDH($C$378,"INVENT_DAYS","FQ3 2018","FQ3 2018","Currency=INR","Period=FQ","BEST_FPERIOD_OVERRIDE=FQ","FILING_STATUS=OR","EQY_CONSOLIDATED=Y","FA_ADJUSTED=GAAP","Sort=A","Dates=H","DateFormat=P","Fill=—","Direction=H","UseDPDF=Y")</f>
        <v>#NAME?</v>
      </c>
      <c r="DA401" s="4" t="e">
        <f ca="1">_xll.BDH($C$378,"ACCOUNTS_PAYABLE_TURNOVER","FQ3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401" s="2" t="e">
        <f ca="1">_xll.BDH($C$378,"ACCOUNTS_PAYABLE_TURNOVER_DAYS","FQ3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401" s="4" t="e">
        <f ca="1">_xll.BDH($C$378,"CASH_CONVERSION_CYCLE","FQ3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401" s="4" t="e">
        <f ca="1">_xll.BDH($C$378,"INV_TO_CASH_DAYS","FQ3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401" s="5" t="e">
        <f ca="1">_xll.BDH($C$378,"BS_INVENTORIES","FQ3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401" s="3" t="e">
        <f ca="1">_xll.BDH($C$378,"INVTRY_RAW_MATERIALS","FQ3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401" s="3" t="e">
        <f ca="1">_xll.BDH($C$378,"INVTRY_IN_PROGRESS","FQ3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401" s="3" t="e">
        <f ca="1">_xll.BDH($C$378,"INVTRY_FINISHED_GOODS","FQ3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401" s="3" t="e">
        <f ca="1">_xll.BDH($C$378,"BS_OTHER_INV","FQ3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402" spans="1:113" x14ac:dyDescent="0.3">
      <c r="A402" s="6"/>
      <c r="B402" s="6"/>
      <c r="C402" s="6"/>
      <c r="D402" s="6"/>
      <c r="E402" t="s">
        <v>81</v>
      </c>
      <c r="F402" t="e">
        <f ca="1">_xll.BDH($C$378,"RETURN_COM_EQY","FQ4 2018","FQ4 2018","Currency=INR","Period=FQ","BEST_FPERIOD_OVERRIDE=FQ","FILING_STATUS=OR","EQY_CONSOLIDATED=Y","FA_ADJUSTED=GAAP","Sort=A","Dates=H","DateFormat=P","Fill=—","Direction=H","UseDPDF=Y")</f>
        <v>#NAME?</v>
      </c>
      <c r="G402" t="e">
        <f ca="1">_xll.BDH($C$378,"RETURN_ON_ASSET","FQ4 2018","FQ4 2018","Currency=INR","Period=FQ","BEST_FPERIOD_OVERRIDE=FQ","FILING_STATUS=OR","EQY_CONSOLIDATED=Y","FA_ADJUSTED=GAAP","Sort=A","Dates=H","DateFormat=P","Fill=—","Direction=H","UseDPDF=Y")</f>
        <v>#NAME?</v>
      </c>
      <c r="H402" t="e">
        <f ca="1">_xll.BDH($C$378,"RETURN_ON_CAP","FQ4 2018","FQ4 2018","Currency=INR","Period=FQ","BEST_FPERIOD_OVERRIDE=FQ","FILING_STATUS=OR","EQY_CONSOLIDATED=Y","FA_ADJUSTED=GAAP","Sort=A","Dates=H","DateFormat=P","Fill=—","Direction=H","UseDPDF=Y")</f>
        <v>#NAME?</v>
      </c>
      <c r="I402" t="e">
        <f ca="1">_xll.BDH($C$378,"RETURN_ON_INV_CAPITAL","FQ4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402" t="e">
        <f ca="1">_xll.BDH($C$378,"EBITDA_TO_REVENUE","FQ4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402" t="e">
        <f ca="1">_xll.BDH($C$378,"OPER_MARGIN","FQ4 2018","FQ4 2018","Currency=INR","Period=FQ","BEST_FPERIOD_OVERRIDE=FQ","FILING_STATUS=OR","EQY_CONSOLIDATED=Y","FA_ADJUSTED=GAAP","Sort=A","Dates=H","DateFormat=P","Fill=—","Direction=H","UseDPDF=Y")</f>
        <v>#NAME?</v>
      </c>
      <c r="L402" t="e">
        <f ca="1">_xll.BDH($C$378,"INCREMENTAL_OPERATING_MARGIN","FQ4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402" t="e">
        <f ca="1">_xll.BDH($C$378,"PRETAX_INC_TO_NET_SALES","FQ4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402" t="e">
        <f ca="1">_xll.BDH($C$378,"INC_BEF_XO_ITEMS_TO_NET_SALES","FQ4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402" t="e">
        <f ca="1">_xll.BDH($C$378,"PROF_MARGIN","FQ4 2018","FQ4 2018","Currency=INR","Period=FQ","BEST_FPERIOD_OVERRIDE=FQ","FILING_STATUS=OR","EQY_CONSOLIDATED=Y","FA_ADJUSTED=GAAP","Sort=A","Dates=H","DateFormat=P","Fill=—","Direction=H","UseDPDF=Y")</f>
        <v>#NAME?</v>
      </c>
      <c r="P402" t="e">
        <f ca="1">_xll.BDH($C$378,"NET_INCOME_TO_COMMON_MARGIN","FQ4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402" t="e">
        <f ca="1">_xll.BDH($C$378,"EFF_TAX_RATE","FQ4 2018","FQ4 2018","Currency=INR","Period=FQ","BEST_FPERIOD_OVERRIDE=FQ","FILING_STATUS=OR","EQY_CONSOLIDATED=Y","FA_ADJUSTED=GAAP","Sort=A","Dates=H","DateFormat=P","Fill=—","Direction=H","UseDPDF=Y")</f>
        <v>#NAME?</v>
      </c>
      <c r="R402" t="e">
        <f ca="1">_xll.BDH($C$378,"DVD_PAYOUT_RATIO","FQ4 2018","FQ4 2018","Currency=INR","Period=FQ","BEST_FPERIOD_OVERRIDE=FQ","FILING_STATUS=OR","EQY_CONSOLIDATED=Y","FA_ADJUSTED=GAAP","Sort=A","Dates=H","DateFormat=P","Fill=—","Direction=H","UseDPDF=Y")</f>
        <v>#NAME?</v>
      </c>
      <c r="S402" t="e">
        <f ca="1">_xll.BDH($C$378,"SUSTAIN_GROWTH_RT","FQ4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402" s="2" t="e">
        <f ca="1">_xll.BDH($C$378,"SALES_GROWTH","FQ4 2018","FQ4 2018","Currency=INR","Period=FQ","BEST_FPERIOD_OVERRIDE=FQ","FILING_STATUS=OR","EQY_CONSOLIDATED=Y","FA_ADJUSTED=GAAP","Sort=A","Dates=H","DateFormat=P","Fill=—","Direction=H","UseDPDF=Y")</f>
        <v>#NAME?</v>
      </c>
      <c r="U402" s="2" t="e">
        <f ca="1">_xll.BDH($C$378,"EBITDA_GROWTH","FQ4 2018","FQ4 2018","Currency=INR","Period=FQ","BEST_FPERIOD_OVERRIDE=FQ","FILING_STATUS=OR","EQY_CONSOLIDATED=Y","FA_ADJUSTED=GAAP","Sort=A","Dates=H","DateFormat=P","Fill=—","Direction=H","UseDPDF=Y")</f>
        <v>#NAME?</v>
      </c>
      <c r="V402" s="2" t="e">
        <f ca="1">_xll.BDH($C$378,"OPER_INC_GROWTH","FQ4 2018","FQ4 2018","Currency=INR","Period=FQ","BEST_FPERIOD_OVERRIDE=FQ","FILING_STATUS=OR","EQY_CONSOLIDATED=Y","FA_ADJUSTED=GAAP","Sort=A","Dates=H","DateFormat=P","Fill=—","Direction=H","UseDPDF=Y")</f>
        <v>#NAME?</v>
      </c>
      <c r="W402" s="2" t="e">
        <f ca="1">_xll.BDH($C$378,"EARN_FOR_COM_GROWTH","FQ4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402" s="2" t="e">
        <f ca="1">_xll.BDH($C$378,"DILUTED_EPS_AFT_XO_ITEMS_GROWTH","FQ4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402" s="2" t="e">
        <f ca="1">_xll.BDH($C$378,"DIVIDEND_PER_SHARE_1_YEAR_GROWTH","FQ4 2018","FQ4 2018","Currency=INR","Period=FQ","BEST_FPERIOD_OVERRIDE=FQ","FILING_STATUS=OR","EQY_CONSOLIDATED=Y","Sort=A","Dates=H","DateFormat=P","Fill=—","Direction=H","UseDPDF=Y")</f>
        <v>#NAME?</v>
      </c>
      <c r="Z402" s="2" t="e">
        <f ca="1">_xll.BDH($C$378,"ACCOUNTS_RECEIVABLE_GROWTH","FQ4 2018","FQ4 2018","Currency=INR","Period=FQ","BEST_FPERIOD_OVERRIDE=FQ","FILING_STATUS=OR","EQY_CONSOLIDATED=Y","Sort=A","Dates=H","DateFormat=P","Fill=—","Direction=H","UseDPDF=Y")</f>
        <v>#NAME?</v>
      </c>
      <c r="AA402" s="2" t="e">
        <f ca="1">_xll.BDH($C$378,"INVENTORY_GROWTH","FQ4 2018","FQ4 2018","Currency=INR","Period=FQ","BEST_FPERIOD_OVERRIDE=FQ","FILING_STATUS=OR","EQY_CONSOLIDATED=Y","Sort=A","Dates=H","DateFormat=P","Fill=—","Direction=H","UseDPDF=Y")</f>
        <v>#NAME?</v>
      </c>
      <c r="AB402" s="2" t="e">
        <f ca="1">_xll.BDH($C$378,"NET_FIXED_ASSETS_1_YEAR_GROWTH","FQ4 2018","FQ4 2018","Currency=INR","Period=FQ","BEST_FPERIOD_OVERRIDE=FQ","FILING_STATUS=OR","EQY_CONSOLIDATED=Y","Sort=A","Dates=H","DateFormat=P","Fill=—","Direction=H","UseDPDF=Y")</f>
        <v>#NAME?</v>
      </c>
      <c r="AC402" s="2" t="e">
        <f ca="1">_xll.BDH($C$378,"ASSET_GROWTH","FQ4 2018","FQ4 2018","Currency=INR","Period=FQ","BEST_FPERIOD_OVERRIDE=FQ","FILING_STATUS=OR","EQY_CONSOLIDATED=Y","Sort=A","Dates=H","DateFormat=P","Fill=—","Direction=H","UseDPDF=Y")</f>
        <v>#NAME?</v>
      </c>
      <c r="AD402" s="2" t="e">
        <f ca="1">_xll.BDH($C$378,"MODIFIED_WORK_CAP_GROWTH","FQ4 2018","FQ4 2018","Currency=INR","Period=FQ","BEST_FPERIOD_OVERRIDE=FQ","FILING_STATUS=OR","EQY_CONSOLIDATED=Y","Sort=A","Dates=H","DateFormat=P","Fill=—","Direction=H","UseDPDF=Y")</f>
        <v>#NAME?</v>
      </c>
      <c r="AE402" s="2" t="e">
        <f ca="1">_xll.BDH($C$378,"WORK_CAP_GROWTH","FQ4 2018","FQ4 2018","Currency=INR","Period=FQ","BEST_FPERIOD_OVERRIDE=FQ","FILING_STATUS=OR","EQY_CONSOLIDATED=Y","Sort=A","Dates=H","DateFormat=P","Fill=—","Direction=H","UseDPDF=Y")</f>
        <v>#NAME?</v>
      </c>
      <c r="AF402" s="2" t="e">
        <f ca="1">_xll.BDH($C$378,"ACCOUNTS_PAYABLE_GROWTH_1YR","FQ4 2018","FQ4 2018","Currency=INR","Period=FQ","BEST_FPERIOD_OVERRIDE=FQ","FILING_STATUS=OR","EQY_CONSOLIDATED=Y","Sort=A","Dates=H","DateFormat=P","Fill=—","Direction=H","UseDPDF=Y")</f>
        <v>#NAME?</v>
      </c>
      <c r="AG402" s="2" t="e">
        <f ca="1">_xll.BDH($C$378,"SHORT_TERM_DEBT_1_YEAR_GROWTH","FQ4 2018","FQ4 2018","Currency=INR","Period=FQ","BEST_FPERIOD_OVERRIDE=FQ","FILING_STATUS=OR","EQY_CONSOLIDATED=Y","Sort=A","Dates=H","DateFormat=P","Fill=—","Direction=H","UseDPDF=Y")</f>
        <v>#NAME?</v>
      </c>
      <c r="AH402" s="2" t="e">
        <f ca="1">_xll.BDH($C$378,"TOTAL_DEBT_1_YEAR_GROWTH","FQ4 2018","FQ4 2018","Currency=INR","Period=FQ","BEST_FPERIOD_OVERRIDE=FQ","FILING_STATUS=OR","EQY_CONSOLIDATED=Y","Sort=A","Dates=H","DateFormat=P","Fill=—","Direction=H","UseDPDF=Y")</f>
        <v>#NAME?</v>
      </c>
      <c r="AI402" s="2" t="e">
        <f ca="1">_xll.BDH($C$378,"TOTAL_EQUITY_1_YEAR_GROWTH","FQ4 2018","FQ4 2018","Currency=INR","Period=FQ","BEST_FPERIOD_OVERRIDE=FQ","FILING_STATUS=OR","EQY_CONSOLIDATED=Y","Sort=A","Dates=H","DateFormat=P","Fill=—","Direction=H","UseDPDF=Y")</f>
        <v>#NAME?</v>
      </c>
      <c r="AJ402" s="2" t="e">
        <f ca="1">_xll.BDH($C$378,"GROWTH_IN_CAP","FQ4 2018","FQ4 2018","Currency=INR","Period=FQ","BEST_FPERIOD_OVERRIDE=FQ","FILING_STATUS=OR","EQY_CONSOLIDATED=Y","Sort=A","Dates=H","DateFormat=P","Fill=—","Direction=H","UseDPDF=Y")</f>
        <v>#NAME?</v>
      </c>
      <c r="AK402" s="2" t="e">
        <f ca="1">_xll.BDH($C$378,"BVPS_GROWTH","FQ4 2018","FQ4 2018","Currency=INR","Period=FQ","BEST_FPERIOD_OVERRIDE=FQ","FILING_STATUS=OR","EQY_CONSOLIDATED=Y","Sort=A","Dates=H","DateFormat=P","Fill=—","Direction=H","UseDPDF=Y")</f>
        <v>#NAME?</v>
      </c>
      <c r="AL402" s="2" t="e">
        <f ca="1">_xll.BDH($C$378,"CASH_FLOW_GROWTH","FQ4 2018","FQ4 2018","Currency=INR","Period=FQ","BEST_FPERIOD_OVERRIDE=FQ","FILING_STATUS=OR","EQY_CONSOLIDATED=Y","Sort=A","Dates=H","DateFormat=P","Fill=—","Direction=H","UseDPDF=Y")</f>
        <v>#NAME?</v>
      </c>
      <c r="AM402" s="2" t="e">
        <f ca="1">_xll.BDH($C$378,"GEO_GROW_NET_SALES","FQ4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402" s="2" t="e">
        <f ca="1">_xll.BDH($C$378,"GEO_GROW_EBITDA","FQ4 2018","FQ4 2018","Currency=INR","Period=FQ","BEST_FPERIOD_OVERRIDE=FQ","FILING_STATUS=OR","EQY_CONSOLIDATED=Y","FA_ADJUSTED=GAAP","Sort=A","Dates=H","DateFormat=P","Fill=—","Direction=H","UseDPDF=Y")</f>
        <v>#NAME?</v>
      </c>
      <c r="AO402" s="2" t="e">
        <f ca="1">_xll.BDH($C$378,"GEO_GROW_OPER_INC","FQ4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402" s="2" t="e">
        <f ca="1">_xll.BDH($C$378,"NET_INCOME_TO_COMMON_5_YR_GROWTH","FQ4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402" s="2" t="e">
        <f ca="1">_xll.BDH($C$378,"5Y_GEO_GROWTH_DILUTED_EPS","FQ4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402" s="2" t="e">
        <f ca="1">_xll.BDH($C$378,"GEO_GROW_DVD_PER_SH","FQ4 2018","FQ4 2018","Currency=INR","Period=FQ","BEST_FPERIOD_OVERRIDE=FQ","FILING_STATUS=OR","EQY_CONSOLIDATED=Y","Sort=A","Dates=H","DateFormat=P","Fill=—","Direction=H","UseDPDF=Y")</f>
        <v>#NAME?</v>
      </c>
      <c r="AS402" s="2" t="e">
        <f ca="1">_xll.BDH($C$378,"ACCOUNTS_RECEIVABLE_5_YR_GROWTH","FQ4 2018","FQ4 2018","Currency=INR","Period=FQ","BEST_FPERIOD_OVERRIDE=FQ","FILING_STATUS=OR","EQY_CONSOLIDATED=Y","Sort=A","Dates=H","DateFormat=P","Fill=—","Direction=H","UseDPDF=Y")</f>
        <v>#NAME?</v>
      </c>
      <c r="AT402" s="2" t="e">
        <f ca="1">_xll.BDH($C$378,"INVENTORY_5_YEAR_GROWTH","FQ4 2018","FQ4 2018","Currency=INR","Period=FQ","BEST_FPERIOD_OVERRIDE=FQ","FILING_STATUS=OR","EQY_CONSOLIDATED=Y","Sort=A","Dates=H","DateFormat=P","Fill=—","Direction=H","UseDPDF=Y")</f>
        <v>#NAME?</v>
      </c>
      <c r="AU402" s="2" t="e">
        <f ca="1">_xll.BDH($C$378,"NET_FIXED_ASSETS_5_YEAR_GROWTH","FQ4 2018","FQ4 2018","Currency=INR","Period=FQ","BEST_FPERIOD_OVERRIDE=FQ","FILING_STATUS=OR","EQY_CONSOLIDATED=Y","Sort=A","Dates=H","DateFormat=P","Fill=—","Direction=H","UseDPDF=Y")</f>
        <v>#NAME?</v>
      </c>
      <c r="AV402" s="2" t="e">
        <f ca="1">_xll.BDH($C$378,"GEO_GROW_TOT_ASSET","FQ4 2018","FQ4 2018","Currency=INR","Period=FQ","BEST_FPERIOD_OVERRIDE=FQ","FILING_STATUS=OR","EQY_CONSOLIDATED=Y","Sort=A","Dates=H","DateFormat=P","Fill=—","Direction=H","UseDPDF=Y")</f>
        <v>#NAME?</v>
      </c>
      <c r="AW402" s="2" t="e">
        <f ca="1">_xll.BDH($C$378,"MODIFIED_WORKING_CPTL_5YR_GRWTH","FQ4 2018","FQ4 2018","Currency=INR","Period=FQ","BEST_FPERIOD_OVERRIDE=FQ","FILING_STATUS=OR","EQY_CONSOLIDATED=Y","Sort=A","Dates=H","DateFormat=P","Fill=—","Direction=H","UseDPDF=Y")</f>
        <v>#NAME?</v>
      </c>
      <c r="AX402" s="2" t="e">
        <f ca="1">_xll.BDH($C$378,"WORKING_CAPITAL_5_YEAR_GROWTH","FQ4 2018","FQ4 2018","Currency=INR","Period=FQ","BEST_FPERIOD_OVERRIDE=FQ","FILING_STATUS=OR","EQY_CONSOLIDATED=Y","Sort=A","Dates=H","DateFormat=P","Fill=—","Direction=H","UseDPDF=Y")</f>
        <v>#NAME?</v>
      </c>
      <c r="AY402" s="2" t="e">
        <f ca="1">_xll.BDH($C$378,"ACCOUNTS_PAYABLE_5_YEAR_GROWTH","FQ4 2018","FQ4 2018","Currency=INR","Period=FQ","BEST_FPERIOD_OVERRIDE=FQ","FILING_STATUS=OR","EQY_CONSOLIDATED=Y","Sort=A","Dates=H","DateFormat=P","Fill=—","Direction=H","UseDPDF=Y")</f>
        <v>#NAME?</v>
      </c>
      <c r="AZ402" s="2" t="e">
        <f ca="1">_xll.BDH($C$378,"SHORT_TERM_DEBT_5_YEAR_GROWTH","FQ4 2018","FQ4 2018","Currency=INR","Period=FQ","BEST_FPERIOD_OVERRIDE=FQ","FILING_STATUS=OR","EQY_CONSOLIDATED=Y","Sort=A","Dates=H","DateFormat=P","Fill=—","Direction=H","UseDPDF=Y")</f>
        <v>#NAME?</v>
      </c>
      <c r="BA402" s="2" t="e">
        <f ca="1">_xll.BDH($C$378,"TOTAL_DEBT_5_YEAR_GROWTH","FQ4 2018","FQ4 2018","Currency=INR","Period=FQ","BEST_FPERIOD_OVERRIDE=FQ","FILING_STATUS=OR","EQY_CONSOLIDATED=Y","Sort=A","Dates=H","DateFormat=P","Fill=—","Direction=H","UseDPDF=Y")</f>
        <v>#NAME?</v>
      </c>
      <c r="BB402" s="2" t="e">
        <f ca="1">_xll.BDH($C$378,"GEO_GROW_TOT_SHRHLDR_EQY","FQ4 2018","FQ4 2018","Currency=INR","Period=FQ","BEST_FPERIOD_OVERRIDE=FQ","FILING_STATUS=OR","EQY_CONSOLIDATED=Y","Sort=A","Dates=H","DateFormat=P","Fill=—","Direction=H","UseDPDF=Y")</f>
        <v>#NAME?</v>
      </c>
      <c r="BC402" s="2" t="e">
        <f ca="1">_xll.BDH($C$378,"TOTAL_CAPITAL_5_YEAR_GROWTH","FQ4 2018","FQ4 2018","Currency=INR","Period=FQ","BEST_FPERIOD_OVERRIDE=FQ","FILING_STATUS=OR","EQY_CONSOLIDATED=Y","Sort=A","Dates=H","DateFormat=P","Fill=—","Direction=H","UseDPDF=Y")</f>
        <v>#NAME?</v>
      </c>
      <c r="BD402" s="2" t="e">
        <f ca="1">_xll.BDH($C$378,"GEO_GROW_BOOK_VAL","FQ4 2018","FQ4 2018","Currency=INR","Period=FQ","BEST_FPERIOD_OVERRIDE=FQ","FILING_STATUS=OR","EQY_CONSOLIDATED=Y","Sort=A","Dates=H","DateFormat=P","Fill=—","Direction=H","UseDPDF=Y")</f>
        <v>#NAME?</v>
      </c>
      <c r="BE402" s="2" t="e">
        <f ca="1">_xll.BDH($C$378,"GEO_GROW_CASH_OPER_ACT","FQ4 2018","FQ4 2018","Currency=INR","Period=FQ","BEST_FPERIOD_OVERRIDE=FQ","FILING_STATUS=OR","EQY_CONSOLIDATED=Y","Sort=A","Dates=H","DateFormat=P","Fill=—","Direction=H","UseDPDF=Y")</f>
        <v>#NAME?</v>
      </c>
      <c r="BF402" s="2" t="e">
        <f ca="1">_xll.BDH($C$378,"REVENUE_SEQUENTIAL_GROWTH","FQ4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402" s="2" t="e">
        <f ca="1">_xll.BDH($C$378,"EBITDA_SEQUENTIAL_GROWTH","FQ4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402" s="2" t="e">
        <f ca="1">_xll.BDH($C$378,"OPERATING_INCOME_SEQ_GROWTH","FQ4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402" s="2" t="e">
        <f ca="1">_xll.BDH($C$378,"NET_INCOME_TO_COMMON_SEQ_GROWTH","FQ4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402" s="2" t="e">
        <f ca="1">_xll.BDH($C$378,"EPS_DILUTED_SEQUENTIAL_GROWTH","FQ4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402" s="2" t="e">
        <f ca="1">_xll.BDH($C$378,"DPS_SEQUENTIAL_GROWTH","FQ4 2018","FQ4 2018","Currency=INR","Period=FQ","BEST_FPERIOD_OVERRIDE=FQ","FILING_STATUS=OR","EQY_CONSOLIDATED=Y","Sort=A","Dates=H","DateFormat=P","Fill=—","Direction=H","UseDPDF=Y")</f>
        <v>#NAME?</v>
      </c>
      <c r="BL402" s="2" t="e">
        <f ca="1">_xll.BDH($C$378,"ACCOUNTS_RECEIVABLE_SEQ_GROWTH","FQ4 2018","FQ4 2018","Currency=INR","Period=FQ","BEST_FPERIOD_OVERRIDE=FQ","FILING_STATUS=OR","EQY_CONSOLIDATED=Y","Sort=A","Dates=H","DateFormat=P","Fill=—","Direction=H","UseDPDF=Y")</f>
        <v>#NAME?</v>
      </c>
      <c r="BM402" s="2" t="e">
        <f ca="1">_xll.BDH($C$378,"INVENTORY_SEQUENTIAL_GROWTH","FQ4 2018","FQ4 2018","Currency=INR","Period=FQ","BEST_FPERIOD_OVERRIDE=FQ","FILING_STATUS=OR","EQY_CONSOLIDATED=Y","Sort=A","Dates=H","DateFormat=P","Fill=—","Direction=H","UseDPDF=Y")</f>
        <v>#NAME?</v>
      </c>
      <c r="BN402" s="2" t="e">
        <f ca="1">_xll.BDH($C$378,"FIXED_ASSETS_SEQUENTIAL_GROWTH","FQ4 2018","FQ4 2018","Currency=INR","Period=FQ","BEST_FPERIOD_OVERRIDE=FQ","FILING_STATUS=OR","EQY_CONSOLIDATED=Y","Sort=A","Dates=H","DateFormat=P","Fill=—","Direction=H","UseDPDF=Y")</f>
        <v>#NAME?</v>
      </c>
      <c r="BO402" s="2" t="e">
        <f ca="1">_xll.BDH($C$378,"TOTAL_ASSETS_SEQUENTIAL_GROWTH","FQ4 2018","FQ4 2018","Currency=INR","Period=FQ","BEST_FPERIOD_OVERRIDE=FQ","FILING_STATUS=OR","EQY_CONSOLIDATED=Y","Sort=A","Dates=H","DateFormat=P","Fill=—","Direction=H","UseDPDF=Y")</f>
        <v>#NAME?</v>
      </c>
      <c r="BP402" s="2" t="e">
        <f ca="1">_xll.BDH($C$378,"MODIFIED_WORKING_CPTL_SEQ_GRWTH","FQ4 2018","FQ4 2018","Currency=INR","Period=FQ","BEST_FPERIOD_OVERRIDE=FQ","FILING_STATUS=OR","EQY_CONSOLIDATED=Y","Sort=A","Dates=H","DateFormat=P","Fill=—","Direction=H","UseDPDF=Y")</f>
        <v>#NAME?</v>
      </c>
      <c r="BQ402" s="2" t="e">
        <f ca="1">_xll.BDH($C$378,"WORKING_CAPITAL_SEQ_GROWTH","FQ4 2018","FQ4 2018","Currency=INR","Period=FQ","BEST_FPERIOD_OVERRIDE=FQ","FILING_STATUS=OR","EQY_CONSOLIDATED=Y","Sort=A","Dates=H","DateFormat=P","Fill=—","Direction=H","UseDPDF=Y")</f>
        <v>#NAME?</v>
      </c>
      <c r="BR402" s="2" t="e">
        <f ca="1">_xll.BDH($C$378,"ACCOUNTS_PAYABLE_SEQ_GROWTH","FQ4 2018","FQ4 2018","Currency=INR","Period=FQ","BEST_FPERIOD_OVERRIDE=FQ","FILING_STATUS=OR","EQY_CONSOLIDATED=Y","Sort=A","Dates=H","DateFormat=P","Fill=—","Direction=H","UseDPDF=Y")</f>
        <v>#NAME?</v>
      </c>
      <c r="BS402" s="2" t="e">
        <f ca="1">_xll.BDH($C$378,"ST_DEBT_SEQUENTIAL_GROWTH","FQ4 2018","FQ4 2018","Currency=INR","Period=FQ","BEST_FPERIOD_OVERRIDE=FQ","FILING_STATUS=OR","EQY_CONSOLIDATED=Y","Sort=A","Dates=H","DateFormat=P","Fill=—","Direction=H","UseDPDF=Y")</f>
        <v>#NAME?</v>
      </c>
      <c r="BT402" s="2" t="e">
        <f ca="1">_xll.BDH($C$378,"TOTAL_DEBT_SEQUENTIAL_GROWTH","FQ4 2018","FQ4 2018","Currency=INR","Period=FQ","BEST_FPERIOD_OVERRIDE=FQ","FILING_STATUS=OR","EQY_CONSOLIDATED=Y","Sort=A","Dates=H","DateFormat=P","Fill=—","Direction=H","UseDPDF=Y")</f>
        <v>#NAME?</v>
      </c>
      <c r="BU402" s="2" t="e">
        <f ca="1">_xll.BDH($C$378,"TOTAL_EQUITY_SEQUENTIAL_GROWTH","FQ4 2018","FQ4 2018","Currency=INR","Period=FQ","BEST_FPERIOD_OVERRIDE=FQ","FILING_STATUS=OR","EQY_CONSOLIDATED=Y","Sort=A","Dates=H","DateFormat=P","Fill=—","Direction=H","UseDPDF=Y")</f>
        <v>#NAME?</v>
      </c>
      <c r="BV402" s="2" t="e">
        <f ca="1">_xll.BDH($C$378,"TOTAL_CAPITAL_SEQUENTIAL_GROWTH","FQ4 2018","FQ4 2018","Currency=INR","Period=FQ","BEST_FPERIOD_OVERRIDE=FQ","FILING_STATUS=OR","EQY_CONSOLIDATED=Y","Sort=A","Dates=H","DateFormat=P","Fill=—","Direction=H","UseDPDF=Y")</f>
        <v>#NAME?</v>
      </c>
      <c r="BW402" s="2" t="e">
        <f ca="1">_xll.BDH($C$378,"BPS_SEQUENTIAL_GROWTH","FQ4 2018","FQ4 2018","Currency=INR","Period=FQ","BEST_FPERIOD_OVERRIDE=FQ","FILING_STATUS=OR","EQY_CONSOLIDATED=Y","Sort=A","Dates=H","DateFormat=P","Fill=—","Direction=H","UseDPDF=Y")</f>
        <v>#NAME?</v>
      </c>
      <c r="BX402" s="2" t="e">
        <f ca="1">_xll.BDH($C$378,"CFO_SEQUENTIAL_GROWTH","FQ4 2018","FQ4 2018","Currency=INR","Period=FQ","BEST_FPERIOD_OVERRIDE=FQ","FILING_STATUS=OR","EQY_CONSOLIDATED=Y","Sort=A","Dates=H","DateFormat=P","Fill=—","Direction=H","UseDPDF=Y")</f>
        <v>#NAME?</v>
      </c>
      <c r="BY402" s="3" t="e">
        <f ca="1">_xll.BDH($C$378,"SHORT_AND_LONG_TERM_DEBT","FQ4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402" s="3" t="e">
        <f ca="1">_xll.BDH($C$378,"BS_ST_BORROW","FQ4 2018","FQ4 2018","Currency=INR","Period=FQ","BEST_FPERIOD_OVERRIDE=FQ","FILING_STATUS=OR","EQY_CONSOLIDATED=Y","SCALING_FORMAT=MLN","Sort=A","Dates=H","DateFormat=P","Fill=—","Direction=H","UseDPDF=Y")</f>
        <v>#NAME?</v>
      </c>
      <c r="CA402" s="3" t="e">
        <f ca="1">_xll.BDH($C$378,"BS_LT_BORROW","FQ4 2018","FQ4 2018","Currency=INR","Period=FQ","BEST_FPERIOD_OVERRIDE=FQ","FILING_STATUS=OR","EQY_CONSOLIDATED=Y","SCALING_FORMAT=MLN","Sort=A","Dates=H","DateFormat=P","Fill=—","Direction=H","UseDPDF=Y")</f>
        <v>#NAME?</v>
      </c>
      <c r="CB402" s="2" t="e">
        <f ca="1">_xll.BDH($C$378,"TOT_DEBT_TO_EBITDA","FQ4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402" s="2" t="e">
        <f ca="1">_xll.BDH($C$378,"NET_DEBT_TO_EBITDA","FQ4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402" s="2" t="e">
        <f ca="1">_xll.BDH($C$378,"TOTAL_DEBT_TO_EBIT","FQ4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402" s="2" t="e">
        <f ca="1">_xll.BDH($C$378,"NET_DEBT_TO_EBIT","FQ4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402" s="2" t="e">
        <f ca="1">_xll.BDH($C$378,"EBITDA_TO_INTEREST_EXPN","FQ4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402" s="2" t="e">
        <f ca="1">_xll.BDH($C$378,"COM_EQY_TO_TOT_ASSET","FQ4 2018","FQ4 2018","Currency=INR","Period=FQ","BEST_FPERIOD_OVERRIDE=FQ","FILING_STATUS=OR","EQY_CONSOLIDATED=Y","Sort=A","Dates=H","DateFormat=P","Fill=—","Direction=H","UseDPDF=Y")</f>
        <v>#NAME?</v>
      </c>
      <c r="CH402" s="2" t="e">
        <f ca="1">_xll.BDH($C$378,"LT_DEBT_TO_TOT_EQY","FQ4 2018","FQ4 2018","Currency=INR","Period=FQ","BEST_FPERIOD_OVERRIDE=FQ","FILING_STATUS=OR","EQY_CONSOLIDATED=Y","Sort=A","Dates=H","DateFormat=P","Fill=—","Direction=H","UseDPDF=Y")</f>
        <v>#NAME?</v>
      </c>
      <c r="CI402" s="2" t="e">
        <f ca="1">_xll.BDH($C$378,"LT_DEBT_TO_TOT_CAP","FQ4 2018","FQ4 2018","Currency=INR","Period=FQ","BEST_FPERIOD_OVERRIDE=FQ","FILING_STATUS=OR","EQY_CONSOLIDATED=Y","Sort=A","Dates=H","DateFormat=P","Fill=—","Direction=H","UseDPDF=Y")</f>
        <v>#NAME?</v>
      </c>
      <c r="CJ402" s="2" t="e">
        <f ca="1">_xll.BDH($C$378,"LT_DEBT_TO_TOT_ASSET","FQ4 2018","FQ4 2018","Currency=INR","Period=FQ","BEST_FPERIOD_OVERRIDE=FQ","FILING_STATUS=OR","EQY_CONSOLIDATED=Y","Sort=A","Dates=H","DateFormat=P","Fill=—","Direction=H","UseDPDF=Y")</f>
        <v>#NAME?</v>
      </c>
      <c r="CK402" s="2" t="e">
        <f ca="1">_xll.BDH($C$378,"TOT_DEBT_TO_TOT_EQY","FQ4 2018","FQ4 2018","Currency=INR","Period=FQ","BEST_FPERIOD_OVERRIDE=FQ","FILING_STATUS=OR","EQY_CONSOLIDATED=Y","Sort=A","Dates=H","DateFormat=P","Fill=—","Direction=H","UseDPDF=Y")</f>
        <v>#NAME?</v>
      </c>
      <c r="CL402" s="2" t="e">
        <f ca="1">_xll.BDH($C$378,"TOT_DEBT_TO_TOT_CAP","FQ4 2018","FQ4 2018","Currency=INR","Period=FQ","BEST_FPERIOD_OVERRIDE=FQ","FILING_STATUS=OR","EQY_CONSOLIDATED=Y","Sort=A","Dates=H","DateFormat=P","Fill=—","Direction=H","UseDPDF=Y")</f>
        <v>#NAME?</v>
      </c>
      <c r="CM402" s="2" t="e">
        <f ca="1">_xll.BDH($C$378,"TOT_DEBT_TO_TOT_ASSET","FQ4 2018","FQ4 2018","Currency=INR","Period=FQ","BEST_FPERIOD_OVERRIDE=FQ","FILING_STATUS=OR","EQY_CONSOLIDATED=Y","Sort=A","Dates=H","DateFormat=P","Fill=—","Direction=H","UseDPDF=Y")</f>
        <v>#NAME?</v>
      </c>
      <c r="CN402" s="2" t="e">
        <f ca="1">_xll.BDH($C$378,"NET_DEBT_TO_SHRHLDR_EQTY","FQ4 2018","FQ4 2018","Currency=INR","Period=FQ","BEST_FPERIOD_OVERRIDE=FQ","FILING_STATUS=OR","EQY_CONSOLIDATED=Y","Sort=A","Dates=H","DateFormat=P","Fill=—","Direction=H","UseDPDF=Y")</f>
        <v>#NAME?</v>
      </c>
      <c r="CO402" s="2" t="e">
        <f ca="1">_xll.BDH($C$378,"NET_DEBT_%_CAPITAL","FQ4 2018","FQ4 2018","Currency=INR","Period=FQ","BEST_FPERIOD_OVERRIDE=FQ","FILING_STATUS=OR","EQY_CONSOLIDATED=Y","Sort=A","Dates=H","DateFormat=P","Fill=—","Direction=H","UseDPDF=Y")</f>
        <v>#NAME?</v>
      </c>
      <c r="CP402" s="3" t="e">
        <f ca="1">_xll.BDH($C$378,"EBITDA","FQ4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402" s="3" t="e">
        <f ca="1">_xll.BDH($C$378,"EBITDA_AFTER_CAPEX","FQ4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402" s="3" t="e">
        <f ca="1">_xll.BDH($C$378,"IS_OPER_INC","FQ4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402" s="2" t="e">
        <f ca="1">_xll.BDH($C$378,"CASH_RATIO","FQ4 2018","FQ4 2018","Currency=INR","Period=FQ","BEST_FPERIOD_OVERRIDE=FQ","FILING_STATUS=OR","EQY_CONSOLIDATED=Y","Sort=A","Dates=H","DateFormat=P","Fill=—","Direction=H","UseDPDF=Y")</f>
        <v>#NAME?</v>
      </c>
      <c r="CT402" s="2" t="e">
        <f ca="1">_xll.BDH($C$378,"CUR_RATIO","FQ4 2018","FQ4 2018","Currency=INR","Period=FQ","BEST_FPERIOD_OVERRIDE=FQ","FILING_STATUS=OR","EQY_CONSOLIDATED=Y","Sort=A","Dates=H","DateFormat=P","Fill=—","Direction=H","UseDPDF=Y")</f>
        <v>#NAME?</v>
      </c>
      <c r="CU402" s="2" t="e">
        <f ca="1">_xll.BDH($C$378,"QUICK_RATIO","FQ4 2018","FQ4 2018","Currency=INR","Period=FQ","BEST_FPERIOD_OVERRIDE=FQ","FILING_STATUS=OR","EQY_CONSOLIDATED=Y","Sort=A","Dates=H","DateFormat=P","Fill=—","Direction=H","UseDPDF=Y")</f>
        <v>#NAME?</v>
      </c>
      <c r="CV402" s="2" t="e">
        <f ca="1">_xll.BDH($C$378,"ALTMAN_Z_SCORE","FQ4 2018","FQ4 2018","Currency=INR","Period=FQ","BEST_FPERIOD_OVERRIDE=FQ","FILING_STATUS=OR","EQY_CONSOLIDATED=Y","Sort=A","Dates=H","DateFormat=P","Fill=—","Direction=H","UseDPDF=Y")</f>
        <v>#NAME?</v>
      </c>
      <c r="CW402" s="4" t="e">
        <f ca="1">_xll.BDH($C$378,"ACCT_RCV_TURN","FQ4 2018","FQ4 2018","Currency=INR","Period=FQ","BEST_FPERIOD_OVERRIDE=FQ","FILING_STATUS=OR","EQY_CONSOLIDATED=Y","FA_ADJUSTED=GAAP","Sort=A","Dates=H","DateFormat=P","Fill=—","Direction=H","UseDPDF=Y")</f>
        <v>#NAME?</v>
      </c>
      <c r="CX402" s="2" t="e">
        <f ca="1">_xll.BDH($C$378,"ACCT_RCV_DAYS","FQ4 2018","FQ4 2018","Currency=INR","Period=FQ","BEST_FPERIOD_OVERRIDE=FQ","FILING_STATUS=OR","EQY_CONSOLIDATED=Y","FA_ADJUSTED=GAAP","Sort=A","Dates=H","DateFormat=P","Fill=—","Direction=H","UseDPDF=Y")</f>
        <v>#NAME?</v>
      </c>
      <c r="CY402" s="4" t="e">
        <f ca="1">_xll.BDH($C$378,"INVENT_TURN","FQ4 2018","FQ4 2018","Currency=INR","Period=FQ","BEST_FPERIOD_OVERRIDE=FQ","FILING_STATUS=OR","EQY_CONSOLIDATED=Y","FA_ADJUSTED=GAAP","Sort=A","Dates=H","DateFormat=P","Fill=—","Direction=H","UseDPDF=Y")</f>
        <v>#NAME?</v>
      </c>
      <c r="CZ402" s="2" t="e">
        <f ca="1">_xll.BDH($C$378,"INVENT_DAYS","FQ4 2018","FQ4 2018","Currency=INR","Period=FQ","BEST_FPERIOD_OVERRIDE=FQ","FILING_STATUS=OR","EQY_CONSOLIDATED=Y","FA_ADJUSTED=GAAP","Sort=A","Dates=H","DateFormat=P","Fill=—","Direction=H","UseDPDF=Y")</f>
        <v>#NAME?</v>
      </c>
      <c r="DA402" s="4" t="e">
        <f ca="1">_xll.BDH($C$378,"ACCOUNTS_PAYABLE_TURNOVER","FQ4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402" s="2" t="e">
        <f ca="1">_xll.BDH($C$378,"ACCOUNTS_PAYABLE_TURNOVER_DAYS","FQ4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402" s="4" t="e">
        <f ca="1">_xll.BDH($C$378,"CASH_CONVERSION_CYCLE","FQ4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402" s="4" t="e">
        <f ca="1">_xll.BDH($C$378,"INV_TO_CASH_DAYS","FQ4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402" s="5" t="e">
        <f ca="1">_xll.BDH($C$378,"BS_INVENTORIES","FQ4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402" s="3" t="e">
        <f ca="1">_xll.BDH($C$378,"INVTRY_RAW_MATERIALS","FQ4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402" s="3" t="e">
        <f ca="1">_xll.BDH($C$378,"INVTRY_IN_PROGRESS","FQ4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402" s="3" t="e">
        <f ca="1">_xll.BDH($C$378,"INVTRY_FINISHED_GOODS","FQ4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402" s="3" t="e">
        <f ca="1">_xll.BDH($C$378,"BS_OTHER_INV","FQ4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403" spans="1:113" x14ac:dyDescent="0.3">
      <c r="A403" s="6">
        <v>17</v>
      </c>
      <c r="B403" s="6" t="s">
        <v>116</v>
      </c>
      <c r="C403" s="6" t="s">
        <v>117</v>
      </c>
      <c r="D403" s="6" t="s">
        <v>76</v>
      </c>
      <c r="E403" t="s">
        <v>77</v>
      </c>
      <c r="F403" t="e">
        <f ca="1">_xll.BDH($C$403,"RETURN_COM_EQY","FY 2014","FY 2014","Currency=INR","Period=FY","BEST_FPERIOD_OVERRIDE=FY","FILING_STATUS=OR","EQY_CONSOLIDATED=Y","FA_ADJUSTED=GAAP","Sort=A","Dates=H","DateFormat=P","Fill=—","Direction=H","UseDPDF=Y")</f>
        <v>#NAME?</v>
      </c>
      <c r="G403" t="e">
        <f ca="1">_xll.BDH($C$403,"RETURN_ON_ASSET","FY 2014","FY 2014","Currency=INR","Period=FY","BEST_FPERIOD_OVERRIDE=FY","FILING_STATUS=OR","EQY_CONSOLIDATED=Y","FA_ADJUSTED=GAAP","Sort=A","Dates=H","DateFormat=P","Fill=—","Direction=H","UseDPDF=Y")</f>
        <v>#NAME?</v>
      </c>
      <c r="H403" t="e">
        <f ca="1">_xll.BDH($C$403,"RETURN_ON_CAP","FY 2014","FY 2014","Currency=INR","Period=FY","BEST_FPERIOD_OVERRIDE=FY","FILING_STATUS=OR","EQY_CONSOLIDATED=Y","FA_ADJUSTED=GAAP","Sort=A","Dates=H","DateFormat=P","Fill=—","Direction=H","UseDPDF=Y")</f>
        <v>#NAME?</v>
      </c>
      <c r="I403" t="e">
        <f ca="1">_xll.BDH($C$403,"RETURN_ON_INV_CAPITAL","FY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403" t="e">
        <f ca="1">_xll.BDH($C$403,"EBITDA_TO_REVENUE","FY 2014","FY 2014","Currency=INR","Period=FY","BEST_FPERIOD_OVERRIDE=FY","FILING_STATUS=OR","EQY_CONSOLIDATED=Y","FA_ADJUSTED=GAAP","Sort=A","Dates=H","DateFormat=P","Fill=—","Direction=H","UseDPDF=Y")</f>
        <v>#NAME?</v>
      </c>
      <c r="K403" t="e">
        <f ca="1">_xll.BDH($C$403,"OPER_MARGIN","FY 2014","FY 2014","Currency=INR","Period=FY","BEST_FPERIOD_OVERRIDE=FY","FILING_STATUS=OR","EQY_CONSOLIDATED=Y","FA_ADJUSTED=GAAP","Sort=A","Dates=H","DateFormat=P","Fill=—","Direction=H","UseDPDF=Y")</f>
        <v>#NAME?</v>
      </c>
      <c r="L403" t="e">
        <f ca="1">_xll.BDH($C$403,"INCREMENTAL_OPERATING_MARGIN","FY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403" t="e">
        <f ca="1">_xll.BDH($C$403,"PRETAX_INC_TO_NET_SALES","FY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403" t="e">
        <f ca="1">_xll.BDH($C$403,"INC_BEF_XO_ITEMS_TO_NET_SALES","FY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403" t="e">
        <f ca="1">_xll.BDH($C$403,"PROF_MARGIN","FY 2014","FY 2014","Currency=INR","Period=FY","BEST_FPERIOD_OVERRIDE=FY","FILING_STATUS=OR","EQY_CONSOLIDATED=Y","FA_ADJUSTED=GAAP","Sort=A","Dates=H","DateFormat=P","Fill=—","Direction=H","UseDPDF=Y")</f>
        <v>#NAME?</v>
      </c>
      <c r="P403" t="e">
        <f ca="1">_xll.BDH($C$403,"NET_INCOME_TO_COMMON_MARGIN","FY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403" t="e">
        <f ca="1">_xll.BDH($C$403,"EFF_TAX_RATE","FY 2014","FY 2014","Currency=INR","Period=FY","BEST_FPERIOD_OVERRIDE=FY","FILING_STATUS=OR","EQY_CONSOLIDATED=Y","FA_ADJUSTED=GAAP","Sort=A","Dates=H","DateFormat=P","Fill=—","Direction=H","UseDPDF=Y")</f>
        <v>#NAME?</v>
      </c>
      <c r="R403" t="e">
        <f ca="1">_xll.BDH($C$403,"DVD_PAYOUT_RATIO","FY 2014","FY 2014","Currency=INR","Period=FY","BEST_FPERIOD_OVERRIDE=FY","FILING_STATUS=OR","EQY_CONSOLIDATED=Y","FA_ADJUSTED=GAAP","Sort=A","Dates=H","DateFormat=P","Fill=—","Direction=H","UseDPDF=Y")</f>
        <v>#NAME?</v>
      </c>
      <c r="S403" t="e">
        <f ca="1">_xll.BDH($C$403,"SUSTAIN_GROWTH_RT","FY 2014","FY 2014","Currency=INR","Period=FY","BEST_FPERIOD_OVERRIDE=FY","FILING_STATUS=OR","EQY_CONSOLIDATED=Y","FA_ADJUSTED=GAAP","Sort=A","Dates=H","DateFormat=P","Fill=—","Direction=H","UseDPDF=Y")</f>
        <v>#NAME?</v>
      </c>
      <c r="T403" s="2" t="e">
        <f ca="1">_xll.BDH($C$403,"SALES_GROWTH","FY 2014","FY 2014","Currency=INR","Period=FY","BEST_FPERIOD_OVERRIDE=FY","FILING_STATUS=OR","EQY_CONSOLIDATED=Y","FA_ADJUSTED=GAAP","Sort=A","Dates=H","DateFormat=P","Fill=—","Direction=H","UseDPDF=Y")</f>
        <v>#NAME?</v>
      </c>
      <c r="U403" s="2" t="e">
        <f ca="1">_xll.BDH($C$403,"EBITDA_GROWTH","FY 2014","FY 2014","Currency=INR","Period=FY","BEST_FPERIOD_OVERRIDE=FY","FILING_STATUS=OR","EQY_CONSOLIDATED=Y","FA_ADJUSTED=GAAP","Sort=A","Dates=H","DateFormat=P","Fill=—","Direction=H","UseDPDF=Y")</f>
        <v>#NAME?</v>
      </c>
      <c r="V403" s="2" t="e">
        <f ca="1">_xll.BDH($C$403,"OPER_INC_GROWTH","FY 2014","FY 2014","Currency=INR","Period=FY","BEST_FPERIOD_OVERRIDE=FY","FILING_STATUS=OR","EQY_CONSOLIDATED=Y","FA_ADJUSTED=GAAP","Sort=A","Dates=H","DateFormat=P","Fill=—","Direction=H","UseDPDF=Y")</f>
        <v>#NAME?</v>
      </c>
      <c r="W403" s="2" t="e">
        <f ca="1">_xll.BDH($C$403,"EARN_FOR_COM_GROWTH","FY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403" s="2" t="e">
        <f ca="1">_xll.BDH($C$403,"DILUTED_EPS_AFT_XO_ITEMS_GROWTH","FY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403" s="2" t="e">
        <f ca="1">_xll.BDH($C$403,"DIVIDEND_PER_SHARE_1_YEAR_GROWTH","FY 2014","FY 2014","Currency=INR","Period=FY","BEST_FPERIOD_OVERRIDE=FY","FILING_STATUS=OR","EQY_CONSOLIDATED=Y","Sort=A","Dates=H","DateFormat=P","Fill=—","Direction=H","UseDPDF=Y")</f>
        <v>#NAME?</v>
      </c>
      <c r="Z403" s="2" t="e">
        <f ca="1">_xll.BDH($C$403,"ACCOUNTS_RECEIVABLE_GROWTH","FY 2014","FY 2014","Currency=INR","Period=FY","BEST_FPERIOD_OVERRIDE=FY","FILING_STATUS=OR","EQY_CONSOLIDATED=Y","Sort=A","Dates=H","DateFormat=P","Fill=—","Direction=H","UseDPDF=Y")</f>
        <v>#NAME?</v>
      </c>
      <c r="AA403" s="2" t="e">
        <f ca="1">_xll.BDH($C$403,"INVENTORY_GROWTH","FY 2014","FY 2014","Currency=INR","Period=FY","BEST_FPERIOD_OVERRIDE=FY","FILING_STATUS=OR","EQY_CONSOLIDATED=Y","Sort=A","Dates=H","DateFormat=P","Fill=—","Direction=H","UseDPDF=Y")</f>
        <v>#NAME?</v>
      </c>
      <c r="AB403" s="2" t="e">
        <f ca="1">_xll.BDH($C$403,"NET_FIXED_ASSETS_1_YEAR_GROWTH","FY 2014","FY 2014","Currency=INR","Period=FY","BEST_FPERIOD_OVERRIDE=FY","FILING_STATUS=OR","EQY_CONSOLIDATED=Y","Sort=A","Dates=H","DateFormat=P","Fill=—","Direction=H","UseDPDF=Y")</f>
        <v>#NAME?</v>
      </c>
      <c r="AC403" s="2" t="e">
        <f ca="1">_xll.BDH($C$403,"ASSET_GROWTH","FY 2014","FY 2014","Currency=INR","Period=FY","BEST_FPERIOD_OVERRIDE=FY","FILING_STATUS=OR","EQY_CONSOLIDATED=Y","Sort=A","Dates=H","DateFormat=P","Fill=—","Direction=H","UseDPDF=Y")</f>
        <v>#NAME?</v>
      </c>
      <c r="AD403" s="2" t="e">
        <f ca="1">_xll.BDH($C$403,"MODIFIED_WORK_CAP_GROWTH","FY 2014","FY 2014","Currency=INR","Period=FY","BEST_FPERIOD_OVERRIDE=FY","FILING_STATUS=OR","EQY_CONSOLIDATED=Y","Sort=A","Dates=H","DateFormat=P","Fill=—","Direction=H","UseDPDF=Y")</f>
        <v>#NAME?</v>
      </c>
      <c r="AE403" s="2" t="e">
        <f ca="1">_xll.BDH($C$403,"WORK_CAP_GROWTH","FY 2014","FY 2014","Currency=INR","Period=FY","BEST_FPERIOD_OVERRIDE=FY","FILING_STATUS=OR","EQY_CONSOLIDATED=Y","Sort=A","Dates=H","DateFormat=P","Fill=—","Direction=H","UseDPDF=Y")</f>
        <v>#NAME?</v>
      </c>
      <c r="AF403" s="2" t="e">
        <f ca="1">_xll.BDH($C$403,"ACCOUNTS_PAYABLE_GROWTH_1YR","FY 2014","FY 2014","Currency=INR","Period=FY","BEST_FPERIOD_OVERRIDE=FY","FILING_STATUS=OR","EQY_CONSOLIDATED=Y","Sort=A","Dates=H","DateFormat=P","Fill=—","Direction=H","UseDPDF=Y")</f>
        <v>#NAME?</v>
      </c>
      <c r="AG403" s="2" t="e">
        <f ca="1">_xll.BDH($C$403,"SHORT_TERM_DEBT_1_YEAR_GROWTH","FY 2014","FY 2014","Currency=INR","Period=FY","BEST_FPERIOD_OVERRIDE=FY","FILING_STATUS=OR","EQY_CONSOLIDATED=Y","Sort=A","Dates=H","DateFormat=P","Fill=—","Direction=H","UseDPDF=Y")</f>
        <v>#NAME?</v>
      </c>
      <c r="AH403" s="2" t="e">
        <f ca="1">_xll.BDH($C$403,"TOTAL_DEBT_1_YEAR_GROWTH","FY 2014","FY 2014","Currency=INR","Period=FY","BEST_FPERIOD_OVERRIDE=FY","FILING_STATUS=OR","EQY_CONSOLIDATED=Y","Sort=A","Dates=H","DateFormat=P","Fill=—","Direction=H","UseDPDF=Y")</f>
        <v>#NAME?</v>
      </c>
      <c r="AI403" s="2" t="e">
        <f ca="1">_xll.BDH($C$403,"TOTAL_EQUITY_1_YEAR_GROWTH","FY 2014","FY 2014","Currency=INR","Period=FY","BEST_FPERIOD_OVERRIDE=FY","FILING_STATUS=OR","EQY_CONSOLIDATED=Y","Sort=A","Dates=H","DateFormat=P","Fill=—","Direction=H","UseDPDF=Y")</f>
        <v>#NAME?</v>
      </c>
      <c r="AJ403" s="2" t="e">
        <f ca="1">_xll.BDH($C$403,"GROWTH_IN_CAP","FY 2014","FY 2014","Currency=INR","Period=FY","BEST_FPERIOD_OVERRIDE=FY","FILING_STATUS=OR","EQY_CONSOLIDATED=Y","Sort=A","Dates=H","DateFormat=P","Fill=—","Direction=H","UseDPDF=Y")</f>
        <v>#NAME?</v>
      </c>
      <c r="AK403" s="2" t="e">
        <f ca="1">_xll.BDH($C$403,"BVPS_GROWTH","FY 2014","FY 2014","Currency=INR","Period=FY","BEST_FPERIOD_OVERRIDE=FY","FILING_STATUS=OR","EQY_CONSOLIDATED=Y","Sort=A","Dates=H","DateFormat=P","Fill=—","Direction=H","UseDPDF=Y")</f>
        <v>#NAME?</v>
      </c>
      <c r="AL403" s="2" t="e">
        <f ca="1">_xll.BDH($C$403,"CASH_FLOW_GROWTH","FY 2014","FY 2014","Currency=INR","Period=FY","BEST_FPERIOD_OVERRIDE=FY","FILING_STATUS=OR","EQY_CONSOLIDATED=Y","Sort=A","Dates=H","DateFormat=P","Fill=—","Direction=H","UseDPDF=Y")</f>
        <v>#NAME?</v>
      </c>
      <c r="AM403" s="2" t="e">
        <f ca="1">_xll.BDH($C$403,"GEO_GROW_NET_SALES","FY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403" s="2" t="e">
        <f ca="1">_xll.BDH($C$403,"GEO_GROW_EBITDA","FY 2014","FY 2014","Currency=INR","Period=FY","BEST_FPERIOD_OVERRIDE=FY","FILING_STATUS=OR","EQY_CONSOLIDATED=Y","FA_ADJUSTED=GAAP","Sort=A","Dates=H","DateFormat=P","Fill=—","Direction=H","UseDPDF=Y")</f>
        <v>#NAME?</v>
      </c>
      <c r="AO403" s="2" t="e">
        <f ca="1">_xll.BDH($C$403,"GEO_GROW_OPER_INC","FY 2014","FY 2014","Currency=INR","Period=FY","BEST_FPERIOD_OVERRIDE=FY","FILING_STATUS=OR","EQY_CONSOLIDATED=Y","FA_ADJUSTED=GAAP","Sort=A","Dates=H","DateFormat=P","Fill=—","Direction=H","UseDPDF=Y")</f>
        <v>#NAME?</v>
      </c>
      <c r="AP403" s="2" t="e">
        <f ca="1">_xll.BDH($C$403,"NET_INCOME_TO_COMMON_5_YR_GROWTH","FY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403" s="2" t="e">
        <f ca="1">_xll.BDH($C$403,"5Y_GEO_GROWTH_DILUTED_EPS","FY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403" s="2" t="e">
        <f ca="1">_xll.BDH($C$403,"GEO_GROW_DVD_PER_SH","FY 2014","FY 2014","Currency=INR","Period=FY","BEST_FPERIOD_OVERRIDE=FY","FILING_STATUS=OR","EQY_CONSOLIDATED=Y","Sort=A","Dates=H","DateFormat=P","Fill=—","Direction=H","UseDPDF=Y")</f>
        <v>#NAME?</v>
      </c>
      <c r="AS403" s="2" t="e">
        <f ca="1">_xll.BDH($C$403,"ACCOUNTS_RECEIVABLE_5_YR_GROWTH","FY 2014","FY 2014","Currency=INR","Period=FY","BEST_FPERIOD_OVERRIDE=FY","FILING_STATUS=OR","EQY_CONSOLIDATED=Y","Sort=A","Dates=H","DateFormat=P","Fill=—","Direction=H","UseDPDF=Y")</f>
        <v>#NAME?</v>
      </c>
      <c r="AT403" s="2" t="e">
        <f ca="1">_xll.BDH($C$403,"INVENTORY_5_YEAR_GROWTH","FY 2014","FY 2014","Currency=INR","Period=FY","BEST_FPERIOD_OVERRIDE=FY","FILING_STATUS=OR","EQY_CONSOLIDATED=Y","Sort=A","Dates=H","DateFormat=P","Fill=—","Direction=H","UseDPDF=Y")</f>
        <v>#NAME?</v>
      </c>
      <c r="AU403" s="2" t="e">
        <f ca="1">_xll.BDH($C$403,"NET_FIXED_ASSETS_5_YEAR_GROWTH","FY 2014","FY 2014","Currency=INR","Period=FY","BEST_FPERIOD_OVERRIDE=FY","FILING_STATUS=OR","EQY_CONSOLIDATED=Y","Sort=A","Dates=H","DateFormat=P","Fill=—","Direction=H","UseDPDF=Y")</f>
        <v>#NAME?</v>
      </c>
      <c r="AV403" s="2" t="e">
        <f ca="1">_xll.BDH($C$403,"GEO_GROW_TOT_ASSET","FY 2014","FY 2014","Currency=INR","Period=FY","BEST_FPERIOD_OVERRIDE=FY","FILING_STATUS=OR","EQY_CONSOLIDATED=Y","Sort=A","Dates=H","DateFormat=P","Fill=—","Direction=H","UseDPDF=Y")</f>
        <v>#NAME?</v>
      </c>
      <c r="AW403" s="2" t="e">
        <f ca="1">_xll.BDH($C$403,"MODIFIED_WORKING_CPTL_5YR_GRWTH","FY 2014","FY 2014","Currency=INR","Period=FY","BEST_FPERIOD_OVERRIDE=FY","FILING_STATUS=OR","EQY_CONSOLIDATED=Y","Sort=A","Dates=H","DateFormat=P","Fill=—","Direction=H","UseDPDF=Y")</f>
        <v>#NAME?</v>
      </c>
      <c r="AX403" s="2" t="e">
        <f ca="1">_xll.BDH($C$403,"WORKING_CAPITAL_5_YEAR_GROWTH","FY 2014","FY 2014","Currency=INR","Period=FY","BEST_FPERIOD_OVERRIDE=FY","FILING_STATUS=OR","EQY_CONSOLIDATED=Y","Sort=A","Dates=H","DateFormat=P","Fill=—","Direction=H","UseDPDF=Y")</f>
        <v>#NAME?</v>
      </c>
      <c r="AY403" s="2" t="e">
        <f ca="1">_xll.BDH($C$403,"ACCOUNTS_PAYABLE_5_YEAR_GROWTH","FY 2014","FY 2014","Currency=INR","Period=FY","BEST_FPERIOD_OVERRIDE=FY","FILING_STATUS=OR","EQY_CONSOLIDATED=Y","Sort=A","Dates=H","DateFormat=P","Fill=—","Direction=H","UseDPDF=Y")</f>
        <v>#NAME?</v>
      </c>
      <c r="AZ403" s="2" t="e">
        <f ca="1">_xll.BDH($C$403,"SHORT_TERM_DEBT_5_YEAR_GROWTH","FY 2014","FY 2014","Currency=INR","Period=FY","BEST_FPERIOD_OVERRIDE=FY","FILING_STATUS=OR","EQY_CONSOLIDATED=Y","Sort=A","Dates=H","DateFormat=P","Fill=—","Direction=H","UseDPDF=Y")</f>
        <v>#NAME?</v>
      </c>
      <c r="BA403" s="2" t="e">
        <f ca="1">_xll.BDH($C$403,"TOTAL_DEBT_5_YEAR_GROWTH","FY 2014","FY 2014","Currency=INR","Period=FY","BEST_FPERIOD_OVERRIDE=FY","FILING_STATUS=OR","EQY_CONSOLIDATED=Y","Sort=A","Dates=H","DateFormat=P","Fill=—","Direction=H","UseDPDF=Y")</f>
        <v>#NAME?</v>
      </c>
      <c r="BB403" s="2" t="e">
        <f ca="1">_xll.BDH($C$403,"GEO_GROW_TOT_SHRHLDR_EQY","FY 2014","FY 2014","Currency=INR","Period=FY","BEST_FPERIOD_OVERRIDE=FY","FILING_STATUS=OR","EQY_CONSOLIDATED=Y","Sort=A","Dates=H","DateFormat=P","Fill=—","Direction=H","UseDPDF=Y")</f>
        <v>#NAME?</v>
      </c>
      <c r="BC403" s="2" t="e">
        <f ca="1">_xll.BDH($C$403,"TOTAL_CAPITAL_5_YEAR_GROWTH","FY 2014","FY 2014","Currency=INR","Period=FY","BEST_FPERIOD_OVERRIDE=FY","FILING_STATUS=OR","EQY_CONSOLIDATED=Y","Sort=A","Dates=H","DateFormat=P","Fill=—","Direction=H","UseDPDF=Y")</f>
        <v>#NAME?</v>
      </c>
      <c r="BD403" s="2" t="e">
        <f ca="1">_xll.BDH($C$403,"GEO_GROW_BOOK_VAL","FY 2014","FY 2014","Currency=INR","Period=FY","BEST_FPERIOD_OVERRIDE=FY","FILING_STATUS=OR","EQY_CONSOLIDATED=Y","Sort=A","Dates=H","DateFormat=P","Fill=—","Direction=H","UseDPDF=Y")</f>
        <v>#NAME?</v>
      </c>
      <c r="BE403" s="2" t="e">
        <f ca="1">_xll.BDH($C$403,"GEO_GROW_CASH_OPER_ACT","FY 2014","FY 2014","Currency=INR","Period=FY","BEST_FPERIOD_OVERRIDE=FY","FILING_STATUS=OR","EQY_CONSOLIDATED=Y","Sort=A","Dates=H","DateFormat=P","Fill=—","Direction=H","UseDPDF=Y")</f>
        <v>#NAME?</v>
      </c>
      <c r="BF403" s="2" t="e">
        <f ca="1">_xll.BDH($C$403,"REVENUE_SEQUENTIAL_GROWTH","FY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403" s="2" t="e">
        <f ca="1">_xll.BDH($C$403,"EBITDA_SEQUENTIAL_GROWTH","FY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403" s="2" t="e">
        <f ca="1">_xll.BDH($C$403,"OPERATING_INCOME_SEQ_GROWTH","FY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403" s="2" t="e">
        <f ca="1">_xll.BDH($C$403,"NET_INCOME_TO_COMMON_SEQ_GROWTH","FY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403" s="2" t="e">
        <f ca="1">_xll.BDH($C$403,"EPS_DILUTED_SEQUENTIAL_GROWTH","FY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403" s="2" t="e">
        <f ca="1">_xll.BDH($C$403,"DPS_SEQUENTIAL_GROWTH","FY 2014","FY 2014","Currency=INR","Period=FY","BEST_FPERIOD_OVERRIDE=FY","FILING_STATUS=OR","EQY_CONSOLIDATED=Y","Sort=A","Dates=H","DateFormat=P","Fill=—","Direction=H","UseDPDF=Y")</f>
        <v>#NAME?</v>
      </c>
      <c r="BL403" s="2" t="e">
        <f ca="1">_xll.BDH($C$403,"ACCOUNTS_RECEIVABLE_SEQ_GROWTH","FY 2014","FY 2014","Currency=INR","Period=FY","BEST_FPERIOD_OVERRIDE=FY","FILING_STATUS=OR","EQY_CONSOLIDATED=Y","Sort=A","Dates=H","DateFormat=P","Fill=—","Direction=H","UseDPDF=Y")</f>
        <v>#NAME?</v>
      </c>
      <c r="BM403" s="2" t="e">
        <f ca="1">_xll.BDH($C$403,"INVENTORY_SEQUENTIAL_GROWTH","FY 2014","FY 2014","Currency=INR","Period=FY","BEST_FPERIOD_OVERRIDE=FY","FILING_STATUS=OR","EQY_CONSOLIDATED=Y","Sort=A","Dates=H","DateFormat=P","Fill=—","Direction=H","UseDPDF=Y")</f>
        <v>#NAME?</v>
      </c>
      <c r="BN403" s="2" t="e">
        <f ca="1">_xll.BDH($C$403,"FIXED_ASSETS_SEQUENTIAL_GROWTH","FY 2014","FY 2014","Currency=INR","Period=FY","BEST_FPERIOD_OVERRIDE=FY","FILING_STATUS=OR","EQY_CONSOLIDATED=Y","Sort=A","Dates=H","DateFormat=P","Fill=—","Direction=H","UseDPDF=Y")</f>
        <v>#NAME?</v>
      </c>
      <c r="BO403" s="2" t="e">
        <f ca="1">_xll.BDH($C$403,"TOTAL_ASSETS_SEQUENTIAL_GROWTH","FY 2014","FY 2014","Currency=INR","Period=FY","BEST_FPERIOD_OVERRIDE=FY","FILING_STATUS=OR","EQY_CONSOLIDATED=Y","Sort=A","Dates=H","DateFormat=P","Fill=—","Direction=H","UseDPDF=Y")</f>
        <v>#NAME?</v>
      </c>
      <c r="BP403" s="2" t="e">
        <f ca="1">_xll.BDH($C$403,"MODIFIED_WORKING_CPTL_SEQ_GRWTH","FY 2014","FY 2014","Currency=INR","Period=FY","BEST_FPERIOD_OVERRIDE=FY","FILING_STATUS=OR","EQY_CONSOLIDATED=Y","Sort=A","Dates=H","DateFormat=P","Fill=—","Direction=H","UseDPDF=Y")</f>
        <v>#NAME?</v>
      </c>
      <c r="BQ403" s="2" t="e">
        <f ca="1">_xll.BDH($C$403,"WORKING_CAPITAL_SEQ_GROWTH","FY 2014","FY 2014","Currency=INR","Period=FY","BEST_FPERIOD_OVERRIDE=FY","FILING_STATUS=OR","EQY_CONSOLIDATED=Y","Sort=A","Dates=H","DateFormat=P","Fill=—","Direction=H","UseDPDF=Y")</f>
        <v>#NAME?</v>
      </c>
      <c r="BR403" s="2" t="e">
        <f ca="1">_xll.BDH($C$403,"ACCOUNTS_PAYABLE_SEQ_GROWTH","FY 2014","FY 2014","Currency=INR","Period=FY","BEST_FPERIOD_OVERRIDE=FY","FILING_STATUS=OR","EQY_CONSOLIDATED=Y","Sort=A","Dates=H","DateFormat=P","Fill=—","Direction=H","UseDPDF=Y")</f>
        <v>#NAME?</v>
      </c>
      <c r="BS403" s="2" t="e">
        <f ca="1">_xll.BDH($C$403,"ST_DEBT_SEQUENTIAL_GROWTH","FY 2014","FY 2014","Currency=INR","Period=FY","BEST_FPERIOD_OVERRIDE=FY","FILING_STATUS=OR","EQY_CONSOLIDATED=Y","Sort=A","Dates=H","DateFormat=P","Fill=—","Direction=H","UseDPDF=Y")</f>
        <v>#NAME?</v>
      </c>
      <c r="BT403" s="2" t="e">
        <f ca="1">_xll.BDH($C$403,"TOTAL_DEBT_SEQUENTIAL_GROWTH","FY 2014","FY 2014","Currency=INR","Period=FY","BEST_FPERIOD_OVERRIDE=FY","FILING_STATUS=OR","EQY_CONSOLIDATED=Y","Sort=A","Dates=H","DateFormat=P","Fill=—","Direction=H","UseDPDF=Y")</f>
        <v>#NAME?</v>
      </c>
      <c r="BU403" s="2" t="e">
        <f ca="1">_xll.BDH($C$403,"TOTAL_EQUITY_SEQUENTIAL_GROWTH","FY 2014","FY 2014","Currency=INR","Period=FY","BEST_FPERIOD_OVERRIDE=FY","FILING_STATUS=OR","EQY_CONSOLIDATED=Y","Sort=A","Dates=H","DateFormat=P","Fill=—","Direction=H","UseDPDF=Y")</f>
        <v>#NAME?</v>
      </c>
      <c r="BV403" s="2" t="e">
        <f ca="1">_xll.BDH($C$403,"TOTAL_CAPITAL_SEQUENTIAL_GROWTH","FY 2014","FY 2014","Currency=INR","Period=FY","BEST_FPERIOD_OVERRIDE=FY","FILING_STATUS=OR","EQY_CONSOLIDATED=Y","Sort=A","Dates=H","DateFormat=P","Fill=—","Direction=H","UseDPDF=Y")</f>
        <v>#NAME?</v>
      </c>
      <c r="BW403" s="2" t="e">
        <f ca="1">_xll.BDH($C$403,"BPS_SEQUENTIAL_GROWTH","FY 2014","FY 2014","Currency=INR","Period=FY","BEST_FPERIOD_OVERRIDE=FY","FILING_STATUS=OR","EQY_CONSOLIDATED=Y","Sort=A","Dates=H","DateFormat=P","Fill=—","Direction=H","UseDPDF=Y")</f>
        <v>#NAME?</v>
      </c>
      <c r="BX403" s="2" t="e">
        <f ca="1">_xll.BDH($C$403,"CFO_SEQUENTIAL_GROWTH","FY 2014","FY 2014","Currency=INR","Period=FY","BEST_FPERIOD_OVERRIDE=FY","FILING_STATUS=OR","EQY_CONSOLIDATED=Y","Sort=A","Dates=H","DateFormat=P","Fill=—","Direction=H","UseDPDF=Y")</f>
        <v>#NAME?</v>
      </c>
      <c r="BY403" s="3" t="e">
        <f ca="1">_xll.BDH($C$403,"SHORT_AND_LONG_TERM_DEBT","FY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403" s="3" t="e">
        <f ca="1">_xll.BDH($C$403,"BS_ST_BORROW","FY 2014","FY 2014","Currency=INR","Period=FY","BEST_FPERIOD_OVERRIDE=FY","FILING_STATUS=OR","EQY_CONSOLIDATED=Y","SCALING_FORMAT=MLN","Sort=A","Dates=H","DateFormat=P","Fill=—","Direction=H","UseDPDF=Y")</f>
        <v>#NAME?</v>
      </c>
      <c r="CA403" s="3" t="e">
        <f ca="1">_xll.BDH($C$403,"BS_LT_BORROW","FY 2014","FY 2014","Currency=INR","Period=FY","BEST_FPERIOD_OVERRIDE=FY","FILING_STATUS=OR","EQY_CONSOLIDATED=Y","SCALING_FORMAT=MLN","Sort=A","Dates=H","DateFormat=P","Fill=—","Direction=H","UseDPDF=Y")</f>
        <v>#NAME?</v>
      </c>
      <c r="CB403" s="2" t="e">
        <f ca="1">_xll.BDH($C$403,"TOT_DEBT_TO_EBITDA","FY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403" s="2" t="e">
        <f ca="1">_xll.BDH($C$403,"NET_DEBT_TO_EBITDA","FY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403" s="2" t="e">
        <f ca="1">_xll.BDH($C$403,"TOTAL_DEBT_TO_EBIT","FY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403" s="2" t="e">
        <f ca="1">_xll.BDH($C$403,"NET_DEBT_TO_EBIT","FY 2014","FY 2014","Currency=INR","Period=FY","BEST_FPERIOD_OVERRIDE=FY","FILING_STATUS=OR","EQY_CONSOLIDATED=Y","FA_ADJUSTED=GAAP","Sort=A","Dates=H","DateFormat=P","Fill=—","Direction=H","UseDPDF=Y")</f>
        <v>#NAME?</v>
      </c>
      <c r="CF403" s="2" t="e">
        <f ca="1">_xll.BDH($C$403,"EBITDA_TO_INTEREST_EXPN","FY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403" s="2" t="e">
        <f ca="1">_xll.BDH($C$403,"COM_EQY_TO_TOT_ASSET","FY 2014","FY 2014","Currency=INR","Period=FY","BEST_FPERIOD_OVERRIDE=FY","FILING_STATUS=OR","EQY_CONSOLIDATED=Y","Sort=A","Dates=H","DateFormat=P","Fill=—","Direction=H","UseDPDF=Y")</f>
        <v>#NAME?</v>
      </c>
      <c r="CH403" s="2" t="e">
        <f ca="1">_xll.BDH($C$403,"LT_DEBT_TO_TOT_EQY","FY 2014","FY 2014","Currency=INR","Period=FY","BEST_FPERIOD_OVERRIDE=FY","FILING_STATUS=OR","EQY_CONSOLIDATED=Y","Sort=A","Dates=H","DateFormat=P","Fill=—","Direction=H","UseDPDF=Y")</f>
        <v>#NAME?</v>
      </c>
      <c r="CI403" s="2" t="e">
        <f ca="1">_xll.BDH($C$403,"LT_DEBT_TO_TOT_CAP","FY 2014","FY 2014","Currency=INR","Period=FY","BEST_FPERIOD_OVERRIDE=FY","FILING_STATUS=OR","EQY_CONSOLIDATED=Y","Sort=A","Dates=H","DateFormat=P","Fill=—","Direction=H","UseDPDF=Y")</f>
        <v>#NAME?</v>
      </c>
      <c r="CJ403" s="2" t="e">
        <f ca="1">_xll.BDH($C$403,"LT_DEBT_TO_TOT_ASSET","FY 2014","FY 2014","Currency=INR","Period=FY","BEST_FPERIOD_OVERRIDE=FY","FILING_STATUS=OR","EQY_CONSOLIDATED=Y","Sort=A","Dates=H","DateFormat=P","Fill=—","Direction=H","UseDPDF=Y")</f>
        <v>#NAME?</v>
      </c>
      <c r="CK403" s="2" t="e">
        <f ca="1">_xll.BDH($C$403,"TOT_DEBT_TO_TOT_EQY","FY 2014","FY 2014","Currency=INR","Period=FY","BEST_FPERIOD_OVERRIDE=FY","FILING_STATUS=OR","EQY_CONSOLIDATED=Y","Sort=A","Dates=H","DateFormat=P","Fill=—","Direction=H","UseDPDF=Y")</f>
        <v>#NAME?</v>
      </c>
      <c r="CL403" s="2" t="e">
        <f ca="1">_xll.BDH($C$403,"TOT_DEBT_TO_TOT_CAP","FY 2014","FY 2014","Currency=INR","Period=FY","BEST_FPERIOD_OVERRIDE=FY","FILING_STATUS=OR","EQY_CONSOLIDATED=Y","Sort=A","Dates=H","DateFormat=P","Fill=—","Direction=H","UseDPDF=Y")</f>
        <v>#NAME?</v>
      </c>
      <c r="CM403" s="2" t="e">
        <f ca="1">_xll.BDH($C$403,"TOT_DEBT_TO_TOT_ASSET","FY 2014","FY 2014","Currency=INR","Period=FY","BEST_FPERIOD_OVERRIDE=FY","FILING_STATUS=OR","EQY_CONSOLIDATED=Y","Sort=A","Dates=H","DateFormat=P","Fill=—","Direction=H","UseDPDF=Y")</f>
        <v>#NAME?</v>
      </c>
      <c r="CN403" s="2" t="e">
        <f ca="1">_xll.BDH($C$403,"NET_DEBT_TO_SHRHLDR_EQTY","FY 2014","FY 2014","Currency=INR","Period=FY","BEST_FPERIOD_OVERRIDE=FY","FILING_STATUS=OR","EQY_CONSOLIDATED=Y","Sort=A","Dates=H","DateFormat=P","Fill=—","Direction=H","UseDPDF=Y")</f>
        <v>#NAME?</v>
      </c>
      <c r="CO403" s="2" t="e">
        <f ca="1">_xll.BDH($C$403,"NET_DEBT_%_CAPITAL","FY 2014","FY 2014","Currency=INR","Period=FY","BEST_FPERIOD_OVERRIDE=FY","FILING_STATUS=OR","EQY_CONSOLIDATED=Y","Sort=A","Dates=H","DateFormat=P","Fill=—","Direction=H","UseDPDF=Y")</f>
        <v>#NAME?</v>
      </c>
      <c r="CP403" s="3" t="e">
        <f ca="1">_xll.BDH($C$403,"EBITDA","FY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403" s="3" t="e">
        <f ca="1">_xll.BDH($C$403,"EBITDA_AFTER_CAPEX","FY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403" s="3" t="e">
        <f ca="1">_xll.BDH($C$403,"IS_OPER_INC","FY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403" s="2" t="e">
        <f ca="1">_xll.BDH($C$403,"CASH_RATIO","FY 2014","FY 2014","Currency=INR","Period=FY","BEST_FPERIOD_OVERRIDE=FY","FILING_STATUS=OR","EQY_CONSOLIDATED=Y","Sort=A","Dates=H","DateFormat=P","Fill=—","Direction=H","UseDPDF=Y")</f>
        <v>#NAME?</v>
      </c>
      <c r="CT403" s="2" t="e">
        <f ca="1">_xll.BDH($C$403,"CUR_RATIO","FY 2014","FY 2014","Currency=INR","Period=FY","BEST_FPERIOD_OVERRIDE=FY","FILING_STATUS=OR","EQY_CONSOLIDATED=Y","Sort=A","Dates=H","DateFormat=P","Fill=—","Direction=H","UseDPDF=Y")</f>
        <v>#NAME?</v>
      </c>
      <c r="CU403" s="2" t="e">
        <f ca="1">_xll.BDH($C$403,"QUICK_RATIO","FY 2014","FY 2014","Currency=INR","Period=FY","BEST_FPERIOD_OVERRIDE=FY","FILING_STATUS=OR","EQY_CONSOLIDATED=Y","Sort=A","Dates=H","DateFormat=P","Fill=—","Direction=H","UseDPDF=Y")</f>
        <v>#NAME?</v>
      </c>
      <c r="CV403" s="2" t="e">
        <f ca="1">_xll.BDH($C$403,"ALTMAN_Z_SCORE","FY 2014","FY 2014","Currency=INR","Period=FY","BEST_FPERIOD_OVERRIDE=FY","FILING_STATUS=OR","EQY_CONSOLIDATED=Y","Sort=A","Dates=H","DateFormat=P","Fill=—","Direction=H","UseDPDF=Y")</f>
        <v>#NAME?</v>
      </c>
      <c r="CW403" s="4" t="e">
        <f ca="1">_xll.BDH($C$403,"ACCT_RCV_TURN","FY 2014","FY 2014","Currency=INR","Period=FY","BEST_FPERIOD_OVERRIDE=FY","FILING_STATUS=OR","EQY_CONSOLIDATED=Y","FA_ADJUSTED=GAAP","Sort=A","Dates=H","DateFormat=P","Fill=—","Direction=H","UseDPDF=Y")</f>
        <v>#NAME?</v>
      </c>
      <c r="CX403" s="2" t="e">
        <f ca="1">_xll.BDH($C$403,"ACCT_RCV_DAYS","FY 2014","FY 2014","Currency=INR","Period=FY","BEST_FPERIOD_OVERRIDE=FY","FILING_STATUS=OR","EQY_CONSOLIDATED=Y","FA_ADJUSTED=GAAP","Sort=A","Dates=H","DateFormat=P","Fill=—","Direction=H","UseDPDF=Y")</f>
        <v>#NAME?</v>
      </c>
      <c r="CY403" s="4" t="e">
        <f ca="1">_xll.BDH($C$403,"INVENT_TURN","FY 2014","FY 2014","Currency=INR","Period=FY","BEST_FPERIOD_OVERRIDE=FY","FILING_STATUS=OR","EQY_CONSOLIDATED=Y","FA_ADJUSTED=GAAP","Sort=A","Dates=H","DateFormat=P","Fill=—","Direction=H","UseDPDF=Y")</f>
        <v>#NAME?</v>
      </c>
      <c r="CZ403" s="2" t="e">
        <f ca="1">_xll.BDH($C$403,"INVENT_DAYS","FY 2014","FY 2014","Currency=INR","Period=FY","BEST_FPERIOD_OVERRIDE=FY","FILING_STATUS=OR","EQY_CONSOLIDATED=Y","FA_ADJUSTED=GAAP","Sort=A","Dates=H","DateFormat=P","Fill=—","Direction=H","UseDPDF=Y")</f>
        <v>#NAME?</v>
      </c>
      <c r="DA403" s="4" t="e">
        <f ca="1">_xll.BDH($C$403,"ACCOUNTS_PAYABLE_TURNOVER","FY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403" s="2" t="e">
        <f ca="1">_xll.BDH($C$403,"ACCOUNTS_PAYABLE_TURNOVER_DAYS","FY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403" s="4" t="e">
        <f ca="1">_xll.BDH($C$403,"CASH_CONVERSION_CYCLE","FY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403" s="4" t="e">
        <f ca="1">_xll.BDH($C$403,"INV_TO_CASH_DAYS","FY 2014","FY 2014","Currency=INR","Period=FY","BEST_FPERIOD_OVERRIDE=FY","FILING_STATUS=OR","EQY_CONSOLIDATED=Y","FA_ADJUSTED=GAAP","Sort=A","Dates=H","DateFormat=P","Fill=—","Direction=H","UseDPDF=Y")</f>
        <v>#NAME?</v>
      </c>
      <c r="DE403" s="5" t="e">
        <f ca="1">_xll.BDH($C$403,"BS_INVENTORIES","FY 2014","FY 2014","Currency=INR","Period=FY","BEST_FPERIOD_OVERRIDE=FY","FILING_STATUS=OR","EQY_CONSOLIDATED=Y","SCALING_FORMAT=MLN","Sort=A","Dates=H","DateFormat=P","Fill=—","Direction=H","UseDPDF=Y")</f>
        <v>#NAME?</v>
      </c>
      <c r="DF403" s="3" t="e">
        <f ca="1">_xll.BDH($C$403,"INVTRY_RAW_MATERIALS","FY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403" s="3" t="e">
        <f ca="1">_xll.BDH($C$403,"INVTRY_IN_PROGRESS","FY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403" s="3" t="e">
        <f ca="1">_xll.BDH($C$403,"INVTRY_FINISHED_GOODS","FY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403" s="3" t="e">
        <f ca="1">_xll.BDH($C$403,"BS_OTHER_INV","FY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404" spans="1:113" x14ac:dyDescent="0.3">
      <c r="A404" s="6"/>
      <c r="B404" s="6"/>
      <c r="C404" s="6"/>
      <c r="D404" s="6"/>
      <c r="E404" t="s">
        <v>78</v>
      </c>
      <c r="F404" t="e">
        <f ca="1">_xll.BDH($C$403,"RETURN_COM_EQY","FQ1 2014","FQ1 2014","Currency=INR","Period=FQ","BEST_FPERIOD_OVERRIDE=FQ","FILING_STATUS=OR","EQY_CONSOLIDATED=Y","FA_ADJUSTED=GAAP","Sort=A","Dates=H","DateFormat=P","Fill=—","Direction=H","UseDPDF=Y")</f>
        <v>#NAME?</v>
      </c>
      <c r="G404" t="e">
        <f ca="1">_xll.BDH($C$403,"RETURN_ON_ASSET","FQ1 2014","FQ1 2014","Currency=INR","Period=FQ","BEST_FPERIOD_OVERRIDE=FQ","FILING_STATUS=OR","EQY_CONSOLIDATED=Y","FA_ADJUSTED=GAAP","Sort=A","Dates=H","DateFormat=P","Fill=—","Direction=H","UseDPDF=Y")</f>
        <v>#NAME?</v>
      </c>
      <c r="H404" t="e">
        <f ca="1">_xll.BDH($C$403,"RETURN_ON_CAP","FQ1 2014","FQ1 2014","Currency=INR","Period=FQ","BEST_FPERIOD_OVERRIDE=FQ","FILING_STATUS=OR","EQY_CONSOLIDATED=Y","FA_ADJUSTED=GAAP","Sort=A","Dates=H","DateFormat=P","Fill=—","Direction=H","UseDPDF=Y")</f>
        <v>#NAME?</v>
      </c>
      <c r="I404" t="e">
        <f ca="1">_xll.BDH($C$403,"RETURN_ON_INV_CAPITAL","FQ1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404" t="e">
        <f ca="1">_xll.BDH($C$403,"EBITDA_TO_REVENUE","FQ1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404" t="e">
        <f ca="1">_xll.BDH($C$403,"OPER_MARGIN","FQ1 2014","FQ1 2014","Currency=INR","Period=FQ","BEST_FPERIOD_OVERRIDE=FQ","FILING_STATUS=OR","EQY_CONSOLIDATED=Y","FA_ADJUSTED=GAAP","Sort=A","Dates=H","DateFormat=P","Fill=—","Direction=H","UseDPDF=Y")</f>
        <v>#NAME?</v>
      </c>
      <c r="L404" t="e">
        <f ca="1">_xll.BDH($C$403,"INCREMENTAL_OPERATING_MARGIN","FQ1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404" t="e">
        <f ca="1">_xll.BDH($C$403,"PRETAX_INC_TO_NET_SALES","FQ1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404" t="e">
        <f ca="1">_xll.BDH($C$403,"INC_BEF_XO_ITEMS_TO_NET_SALES","FQ1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404" t="e">
        <f ca="1">_xll.BDH($C$403,"PROF_MARGIN","FQ1 2014","FQ1 2014","Currency=INR","Period=FQ","BEST_FPERIOD_OVERRIDE=FQ","FILING_STATUS=OR","EQY_CONSOLIDATED=Y","FA_ADJUSTED=GAAP","Sort=A","Dates=H","DateFormat=P","Fill=—","Direction=H","UseDPDF=Y")</f>
        <v>#NAME?</v>
      </c>
      <c r="P404" t="e">
        <f ca="1">_xll.BDH($C$403,"NET_INCOME_TO_COMMON_MARGIN","FQ1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404" t="e">
        <f ca="1">_xll.BDH($C$403,"EFF_TAX_RATE","FQ1 2014","FQ1 2014","Currency=INR","Period=FQ","BEST_FPERIOD_OVERRIDE=FQ","FILING_STATUS=OR","EQY_CONSOLIDATED=Y","FA_ADJUSTED=GAAP","Sort=A","Dates=H","DateFormat=P","Fill=—","Direction=H","UseDPDF=Y")</f>
        <v>#NAME?</v>
      </c>
      <c r="R404" t="e">
        <f ca="1">_xll.BDH($C$403,"DVD_PAYOUT_RATIO","FQ1 2014","FQ1 2014","Currency=INR","Period=FQ","BEST_FPERIOD_OVERRIDE=FQ","FILING_STATUS=OR","EQY_CONSOLIDATED=Y","FA_ADJUSTED=GAAP","Sort=A","Dates=H","DateFormat=P","Fill=—","Direction=H","UseDPDF=Y")</f>
        <v>#NAME?</v>
      </c>
      <c r="S404" t="e">
        <f ca="1">_xll.BDH($C$403,"SUSTAIN_GROWTH_RT","FQ1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404" s="2" t="e">
        <f ca="1">_xll.BDH($C$403,"SALES_GROWTH","FQ1 2014","FQ1 2014","Currency=INR","Period=FQ","BEST_FPERIOD_OVERRIDE=FQ","FILING_STATUS=OR","EQY_CONSOLIDATED=Y","FA_ADJUSTED=GAAP","Sort=A","Dates=H","DateFormat=P","Fill=—","Direction=H","UseDPDF=Y")</f>
        <v>#NAME?</v>
      </c>
      <c r="U404" s="2" t="e">
        <f ca="1">_xll.BDH($C$403,"EBITDA_GROWTH","FQ1 2014","FQ1 2014","Currency=INR","Period=FQ","BEST_FPERIOD_OVERRIDE=FQ","FILING_STATUS=OR","EQY_CONSOLIDATED=Y","FA_ADJUSTED=GAAP","Sort=A","Dates=H","DateFormat=P","Fill=—","Direction=H","UseDPDF=Y")</f>
        <v>#NAME?</v>
      </c>
      <c r="V404" s="2" t="e">
        <f ca="1">_xll.BDH($C$403,"OPER_INC_GROWTH","FQ1 2014","FQ1 2014","Currency=INR","Period=FQ","BEST_FPERIOD_OVERRIDE=FQ","FILING_STATUS=OR","EQY_CONSOLIDATED=Y","FA_ADJUSTED=GAAP","Sort=A","Dates=H","DateFormat=P","Fill=—","Direction=H","UseDPDF=Y")</f>
        <v>#NAME?</v>
      </c>
      <c r="W404" s="2" t="e">
        <f ca="1">_xll.BDH($C$403,"EARN_FOR_COM_GROWTH","FQ1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404" s="2" t="e">
        <f ca="1">_xll.BDH($C$403,"DILUTED_EPS_AFT_XO_ITEMS_GROWTH","FQ1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404" s="2" t="e">
        <f ca="1">_xll.BDH($C$403,"DIVIDEND_PER_SHARE_1_YEAR_GROWTH","FQ1 2014","FQ1 2014","Currency=INR","Period=FQ","BEST_FPERIOD_OVERRIDE=FQ","FILING_STATUS=OR","EQY_CONSOLIDATED=Y","Sort=A","Dates=H","DateFormat=P","Fill=—","Direction=H","UseDPDF=Y")</f>
        <v>#NAME?</v>
      </c>
      <c r="Z404" s="2" t="e">
        <f ca="1">_xll.BDH($C$403,"ACCOUNTS_RECEIVABLE_GROWTH","FQ1 2014","FQ1 2014","Currency=INR","Period=FQ","BEST_FPERIOD_OVERRIDE=FQ","FILING_STATUS=OR","EQY_CONSOLIDATED=Y","Sort=A","Dates=H","DateFormat=P","Fill=—","Direction=H","UseDPDF=Y")</f>
        <v>#NAME?</v>
      </c>
      <c r="AA404" s="2" t="e">
        <f ca="1">_xll.BDH($C$403,"INVENTORY_GROWTH","FQ1 2014","FQ1 2014","Currency=INR","Period=FQ","BEST_FPERIOD_OVERRIDE=FQ","FILING_STATUS=OR","EQY_CONSOLIDATED=Y","Sort=A","Dates=H","DateFormat=P","Fill=—","Direction=H","UseDPDF=Y")</f>
        <v>#NAME?</v>
      </c>
      <c r="AB404" s="2" t="e">
        <f ca="1">_xll.BDH($C$403,"NET_FIXED_ASSETS_1_YEAR_GROWTH","FQ1 2014","FQ1 2014","Currency=INR","Period=FQ","BEST_FPERIOD_OVERRIDE=FQ","FILING_STATUS=OR","EQY_CONSOLIDATED=Y","Sort=A","Dates=H","DateFormat=P","Fill=—","Direction=H","UseDPDF=Y")</f>
        <v>#NAME?</v>
      </c>
      <c r="AC404" s="2" t="e">
        <f ca="1">_xll.BDH($C$403,"ASSET_GROWTH","FQ1 2014","FQ1 2014","Currency=INR","Period=FQ","BEST_FPERIOD_OVERRIDE=FQ","FILING_STATUS=OR","EQY_CONSOLIDATED=Y","Sort=A","Dates=H","DateFormat=P","Fill=—","Direction=H","UseDPDF=Y")</f>
        <v>#NAME?</v>
      </c>
      <c r="AD404" s="2" t="e">
        <f ca="1">_xll.BDH($C$403,"MODIFIED_WORK_CAP_GROWTH","FQ1 2014","FQ1 2014","Currency=INR","Period=FQ","BEST_FPERIOD_OVERRIDE=FQ","FILING_STATUS=OR","EQY_CONSOLIDATED=Y","Sort=A","Dates=H","DateFormat=P","Fill=—","Direction=H","UseDPDF=Y")</f>
        <v>#NAME?</v>
      </c>
      <c r="AE404" s="2" t="e">
        <f ca="1">_xll.BDH($C$403,"WORK_CAP_GROWTH","FQ1 2014","FQ1 2014","Currency=INR","Period=FQ","BEST_FPERIOD_OVERRIDE=FQ","FILING_STATUS=OR","EQY_CONSOLIDATED=Y","Sort=A","Dates=H","DateFormat=P","Fill=—","Direction=H","UseDPDF=Y")</f>
        <v>#NAME?</v>
      </c>
      <c r="AF404" s="2" t="e">
        <f ca="1">_xll.BDH($C$403,"ACCOUNTS_PAYABLE_GROWTH_1YR","FQ1 2014","FQ1 2014","Currency=INR","Period=FQ","BEST_FPERIOD_OVERRIDE=FQ","FILING_STATUS=OR","EQY_CONSOLIDATED=Y","Sort=A","Dates=H","DateFormat=P","Fill=—","Direction=H","UseDPDF=Y")</f>
        <v>#NAME?</v>
      </c>
      <c r="AG404" s="2" t="e">
        <f ca="1">_xll.BDH($C$403,"SHORT_TERM_DEBT_1_YEAR_GROWTH","FQ1 2014","FQ1 2014","Currency=INR","Period=FQ","BEST_FPERIOD_OVERRIDE=FQ","FILING_STATUS=OR","EQY_CONSOLIDATED=Y","Sort=A","Dates=H","DateFormat=P","Fill=—","Direction=H","UseDPDF=Y")</f>
        <v>#NAME?</v>
      </c>
      <c r="AH404" s="2" t="e">
        <f ca="1">_xll.BDH($C$403,"TOTAL_DEBT_1_YEAR_GROWTH","FQ1 2014","FQ1 2014","Currency=INR","Period=FQ","BEST_FPERIOD_OVERRIDE=FQ","FILING_STATUS=OR","EQY_CONSOLIDATED=Y","Sort=A","Dates=H","DateFormat=P","Fill=—","Direction=H","UseDPDF=Y")</f>
        <v>#NAME?</v>
      </c>
      <c r="AI404" s="2" t="e">
        <f ca="1">_xll.BDH($C$403,"TOTAL_EQUITY_1_YEAR_GROWTH","FQ1 2014","FQ1 2014","Currency=INR","Period=FQ","BEST_FPERIOD_OVERRIDE=FQ","FILING_STATUS=OR","EQY_CONSOLIDATED=Y","Sort=A","Dates=H","DateFormat=P","Fill=—","Direction=H","UseDPDF=Y")</f>
        <v>#NAME?</v>
      </c>
      <c r="AJ404" s="2" t="e">
        <f ca="1">_xll.BDH($C$403,"GROWTH_IN_CAP","FQ1 2014","FQ1 2014","Currency=INR","Period=FQ","BEST_FPERIOD_OVERRIDE=FQ","FILING_STATUS=OR","EQY_CONSOLIDATED=Y","Sort=A","Dates=H","DateFormat=P","Fill=—","Direction=H","UseDPDF=Y")</f>
        <v>#NAME?</v>
      </c>
      <c r="AK404" s="2" t="e">
        <f ca="1">_xll.BDH($C$403,"BVPS_GROWTH","FQ1 2014","FQ1 2014","Currency=INR","Period=FQ","BEST_FPERIOD_OVERRIDE=FQ","FILING_STATUS=OR","EQY_CONSOLIDATED=Y","Sort=A","Dates=H","DateFormat=P","Fill=—","Direction=H","UseDPDF=Y")</f>
        <v>#NAME?</v>
      </c>
      <c r="AL404" s="2" t="e">
        <f ca="1">_xll.BDH($C$403,"CASH_FLOW_GROWTH","FQ1 2014","FQ1 2014","Currency=INR","Period=FQ","BEST_FPERIOD_OVERRIDE=FQ","FILING_STATUS=OR","EQY_CONSOLIDATED=Y","Sort=A","Dates=H","DateFormat=P","Fill=—","Direction=H","UseDPDF=Y")</f>
        <v>#NAME?</v>
      </c>
      <c r="AM404" s="2" t="e">
        <f ca="1">_xll.BDH($C$403,"GEO_GROW_NET_SALES","FQ1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404" s="2" t="e">
        <f ca="1">_xll.BDH($C$403,"GEO_GROW_EBITDA","FQ1 2014","FQ1 2014","Currency=INR","Period=FQ","BEST_FPERIOD_OVERRIDE=FQ","FILING_STATUS=OR","EQY_CONSOLIDATED=Y","FA_ADJUSTED=GAAP","Sort=A","Dates=H","DateFormat=P","Fill=—","Direction=H","UseDPDF=Y")</f>
        <v>#NAME?</v>
      </c>
      <c r="AO404" s="2" t="e">
        <f ca="1">_xll.BDH($C$403,"GEO_GROW_OPER_INC","FQ1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404" s="2" t="e">
        <f ca="1">_xll.BDH($C$403,"NET_INCOME_TO_COMMON_5_YR_GROWTH","FQ1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404" s="2" t="e">
        <f ca="1">_xll.BDH($C$403,"5Y_GEO_GROWTH_DILUTED_EPS","FQ1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404" s="2" t="e">
        <f ca="1">_xll.BDH($C$403,"GEO_GROW_DVD_PER_SH","FQ1 2014","FQ1 2014","Currency=INR","Period=FQ","BEST_FPERIOD_OVERRIDE=FQ","FILING_STATUS=OR","EQY_CONSOLIDATED=Y","Sort=A","Dates=H","DateFormat=P","Fill=—","Direction=H","UseDPDF=Y")</f>
        <v>#NAME?</v>
      </c>
      <c r="AS404" s="2" t="e">
        <f ca="1">_xll.BDH($C$403,"ACCOUNTS_RECEIVABLE_5_YR_GROWTH","FQ1 2014","FQ1 2014","Currency=INR","Period=FQ","BEST_FPERIOD_OVERRIDE=FQ","FILING_STATUS=OR","EQY_CONSOLIDATED=Y","Sort=A","Dates=H","DateFormat=P","Fill=—","Direction=H","UseDPDF=Y")</f>
        <v>#NAME?</v>
      </c>
      <c r="AT404" s="2" t="e">
        <f ca="1">_xll.BDH($C$403,"INVENTORY_5_YEAR_GROWTH","FQ1 2014","FQ1 2014","Currency=INR","Period=FQ","BEST_FPERIOD_OVERRIDE=FQ","FILING_STATUS=OR","EQY_CONSOLIDATED=Y","Sort=A","Dates=H","DateFormat=P","Fill=—","Direction=H","UseDPDF=Y")</f>
        <v>#NAME?</v>
      </c>
      <c r="AU404" s="2" t="e">
        <f ca="1">_xll.BDH($C$403,"NET_FIXED_ASSETS_5_YEAR_GROWTH","FQ1 2014","FQ1 2014","Currency=INR","Period=FQ","BEST_FPERIOD_OVERRIDE=FQ","FILING_STATUS=OR","EQY_CONSOLIDATED=Y","Sort=A","Dates=H","DateFormat=P","Fill=—","Direction=H","UseDPDF=Y")</f>
        <v>#NAME?</v>
      </c>
      <c r="AV404" s="2" t="e">
        <f ca="1">_xll.BDH($C$403,"GEO_GROW_TOT_ASSET","FQ1 2014","FQ1 2014","Currency=INR","Period=FQ","BEST_FPERIOD_OVERRIDE=FQ","FILING_STATUS=OR","EQY_CONSOLIDATED=Y","Sort=A","Dates=H","DateFormat=P","Fill=—","Direction=H","UseDPDF=Y")</f>
        <v>#NAME?</v>
      </c>
      <c r="AW404" s="2" t="e">
        <f ca="1">_xll.BDH($C$403,"MODIFIED_WORKING_CPTL_5YR_GRWTH","FQ1 2014","FQ1 2014","Currency=INR","Period=FQ","BEST_FPERIOD_OVERRIDE=FQ","FILING_STATUS=OR","EQY_CONSOLIDATED=Y","Sort=A","Dates=H","DateFormat=P","Fill=—","Direction=H","UseDPDF=Y")</f>
        <v>#NAME?</v>
      </c>
      <c r="AX404" s="2" t="e">
        <f ca="1">_xll.BDH($C$403,"WORKING_CAPITAL_5_YEAR_GROWTH","FQ1 2014","FQ1 2014","Currency=INR","Period=FQ","BEST_FPERIOD_OVERRIDE=FQ","FILING_STATUS=OR","EQY_CONSOLIDATED=Y","Sort=A","Dates=H","DateFormat=P","Fill=—","Direction=H","UseDPDF=Y")</f>
        <v>#NAME?</v>
      </c>
      <c r="AY404" s="2" t="e">
        <f ca="1">_xll.BDH($C$403,"ACCOUNTS_PAYABLE_5_YEAR_GROWTH","FQ1 2014","FQ1 2014","Currency=INR","Period=FQ","BEST_FPERIOD_OVERRIDE=FQ","FILING_STATUS=OR","EQY_CONSOLIDATED=Y","Sort=A","Dates=H","DateFormat=P","Fill=—","Direction=H","UseDPDF=Y")</f>
        <v>#NAME?</v>
      </c>
      <c r="AZ404" s="2" t="e">
        <f ca="1">_xll.BDH($C$403,"SHORT_TERM_DEBT_5_YEAR_GROWTH","FQ1 2014","FQ1 2014","Currency=INR","Period=FQ","BEST_FPERIOD_OVERRIDE=FQ","FILING_STATUS=OR","EQY_CONSOLIDATED=Y","Sort=A","Dates=H","DateFormat=P","Fill=—","Direction=H","UseDPDF=Y")</f>
        <v>#NAME?</v>
      </c>
      <c r="BA404" s="2" t="e">
        <f ca="1">_xll.BDH($C$403,"TOTAL_DEBT_5_YEAR_GROWTH","FQ1 2014","FQ1 2014","Currency=INR","Period=FQ","BEST_FPERIOD_OVERRIDE=FQ","FILING_STATUS=OR","EQY_CONSOLIDATED=Y","Sort=A","Dates=H","DateFormat=P","Fill=—","Direction=H","UseDPDF=Y")</f>
        <v>#NAME?</v>
      </c>
      <c r="BB404" s="2" t="e">
        <f ca="1">_xll.BDH($C$403,"GEO_GROW_TOT_SHRHLDR_EQY","FQ1 2014","FQ1 2014","Currency=INR","Period=FQ","BEST_FPERIOD_OVERRIDE=FQ","FILING_STATUS=OR","EQY_CONSOLIDATED=Y","Sort=A","Dates=H","DateFormat=P","Fill=—","Direction=H","UseDPDF=Y")</f>
        <v>#NAME?</v>
      </c>
      <c r="BC404" s="2" t="e">
        <f ca="1">_xll.BDH($C$403,"TOTAL_CAPITAL_5_YEAR_GROWTH","FQ1 2014","FQ1 2014","Currency=INR","Period=FQ","BEST_FPERIOD_OVERRIDE=FQ","FILING_STATUS=OR","EQY_CONSOLIDATED=Y","Sort=A","Dates=H","DateFormat=P","Fill=—","Direction=H","UseDPDF=Y")</f>
        <v>#NAME?</v>
      </c>
      <c r="BD404" s="2" t="e">
        <f ca="1">_xll.BDH($C$403,"GEO_GROW_BOOK_VAL","FQ1 2014","FQ1 2014","Currency=INR","Period=FQ","BEST_FPERIOD_OVERRIDE=FQ","FILING_STATUS=OR","EQY_CONSOLIDATED=Y","Sort=A","Dates=H","DateFormat=P","Fill=—","Direction=H","UseDPDF=Y")</f>
        <v>#NAME?</v>
      </c>
      <c r="BE404" s="2" t="e">
        <f ca="1">_xll.BDH($C$403,"GEO_GROW_CASH_OPER_ACT","FQ1 2014","FQ1 2014","Currency=INR","Period=FQ","BEST_FPERIOD_OVERRIDE=FQ","FILING_STATUS=OR","EQY_CONSOLIDATED=Y","Sort=A","Dates=H","DateFormat=P","Fill=—","Direction=H","UseDPDF=Y")</f>
        <v>#NAME?</v>
      </c>
      <c r="BF404" s="2" t="e">
        <f ca="1">_xll.BDH($C$403,"REVENUE_SEQUENTIAL_GROWTH","FQ1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404" s="2" t="e">
        <f ca="1">_xll.BDH($C$403,"EBITDA_SEQUENTIAL_GROWTH","FQ1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404" s="2" t="e">
        <f ca="1">_xll.BDH($C$403,"OPERATING_INCOME_SEQ_GROWTH","FQ1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404" s="2" t="e">
        <f ca="1">_xll.BDH($C$403,"NET_INCOME_TO_COMMON_SEQ_GROWTH","FQ1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404" s="2" t="e">
        <f ca="1">_xll.BDH($C$403,"EPS_DILUTED_SEQUENTIAL_GROWTH","FQ1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404" s="2" t="e">
        <f ca="1">_xll.BDH($C$403,"DPS_SEQUENTIAL_GROWTH","FQ1 2014","FQ1 2014","Currency=INR","Period=FQ","BEST_FPERIOD_OVERRIDE=FQ","FILING_STATUS=OR","EQY_CONSOLIDATED=Y","Sort=A","Dates=H","DateFormat=P","Fill=—","Direction=H","UseDPDF=Y")</f>
        <v>#NAME?</v>
      </c>
      <c r="BL404" s="2" t="e">
        <f ca="1">_xll.BDH($C$403,"ACCOUNTS_RECEIVABLE_SEQ_GROWTH","FQ1 2014","FQ1 2014","Currency=INR","Period=FQ","BEST_FPERIOD_OVERRIDE=FQ","FILING_STATUS=OR","EQY_CONSOLIDATED=Y","Sort=A","Dates=H","DateFormat=P","Fill=—","Direction=H","UseDPDF=Y")</f>
        <v>#NAME?</v>
      </c>
      <c r="BM404" s="2" t="e">
        <f ca="1">_xll.BDH($C$403,"INVENTORY_SEQUENTIAL_GROWTH","FQ1 2014","FQ1 2014","Currency=INR","Period=FQ","BEST_FPERIOD_OVERRIDE=FQ","FILING_STATUS=OR","EQY_CONSOLIDATED=Y","Sort=A","Dates=H","DateFormat=P","Fill=—","Direction=H","UseDPDF=Y")</f>
        <v>#NAME?</v>
      </c>
      <c r="BN404" s="2" t="e">
        <f ca="1">_xll.BDH($C$403,"FIXED_ASSETS_SEQUENTIAL_GROWTH","FQ1 2014","FQ1 2014","Currency=INR","Period=FQ","BEST_FPERIOD_OVERRIDE=FQ","FILING_STATUS=OR","EQY_CONSOLIDATED=Y","Sort=A","Dates=H","DateFormat=P","Fill=—","Direction=H","UseDPDF=Y")</f>
        <v>#NAME?</v>
      </c>
      <c r="BO404" s="2" t="e">
        <f ca="1">_xll.BDH($C$403,"TOTAL_ASSETS_SEQUENTIAL_GROWTH","FQ1 2014","FQ1 2014","Currency=INR","Period=FQ","BEST_FPERIOD_OVERRIDE=FQ","FILING_STATUS=OR","EQY_CONSOLIDATED=Y","Sort=A","Dates=H","DateFormat=P","Fill=—","Direction=H","UseDPDF=Y")</f>
        <v>#NAME?</v>
      </c>
      <c r="BP404" s="2" t="e">
        <f ca="1">_xll.BDH($C$403,"MODIFIED_WORKING_CPTL_SEQ_GRWTH","FQ1 2014","FQ1 2014","Currency=INR","Period=FQ","BEST_FPERIOD_OVERRIDE=FQ","FILING_STATUS=OR","EQY_CONSOLIDATED=Y","Sort=A","Dates=H","DateFormat=P","Fill=—","Direction=H","UseDPDF=Y")</f>
        <v>#NAME?</v>
      </c>
      <c r="BQ404" s="2" t="e">
        <f ca="1">_xll.BDH($C$403,"WORKING_CAPITAL_SEQ_GROWTH","FQ1 2014","FQ1 2014","Currency=INR","Period=FQ","BEST_FPERIOD_OVERRIDE=FQ","FILING_STATUS=OR","EQY_CONSOLIDATED=Y","Sort=A","Dates=H","DateFormat=P","Fill=—","Direction=H","UseDPDF=Y")</f>
        <v>#NAME?</v>
      </c>
      <c r="BR404" s="2" t="e">
        <f ca="1">_xll.BDH($C$403,"ACCOUNTS_PAYABLE_SEQ_GROWTH","FQ1 2014","FQ1 2014","Currency=INR","Period=FQ","BEST_FPERIOD_OVERRIDE=FQ","FILING_STATUS=OR","EQY_CONSOLIDATED=Y","Sort=A","Dates=H","DateFormat=P","Fill=—","Direction=H","UseDPDF=Y")</f>
        <v>#NAME?</v>
      </c>
      <c r="BS404" s="2" t="e">
        <f ca="1">_xll.BDH($C$403,"ST_DEBT_SEQUENTIAL_GROWTH","FQ1 2014","FQ1 2014","Currency=INR","Period=FQ","BEST_FPERIOD_OVERRIDE=FQ","FILING_STATUS=OR","EQY_CONSOLIDATED=Y","Sort=A","Dates=H","DateFormat=P","Fill=—","Direction=H","UseDPDF=Y")</f>
        <v>#NAME?</v>
      </c>
      <c r="BT404" s="2" t="e">
        <f ca="1">_xll.BDH($C$403,"TOTAL_DEBT_SEQUENTIAL_GROWTH","FQ1 2014","FQ1 2014","Currency=INR","Period=FQ","BEST_FPERIOD_OVERRIDE=FQ","FILING_STATUS=OR","EQY_CONSOLIDATED=Y","Sort=A","Dates=H","DateFormat=P","Fill=—","Direction=H","UseDPDF=Y")</f>
        <v>#NAME?</v>
      </c>
      <c r="BU404" s="2" t="e">
        <f ca="1">_xll.BDH($C$403,"TOTAL_EQUITY_SEQUENTIAL_GROWTH","FQ1 2014","FQ1 2014","Currency=INR","Period=FQ","BEST_FPERIOD_OVERRIDE=FQ","FILING_STATUS=OR","EQY_CONSOLIDATED=Y","Sort=A","Dates=H","DateFormat=P","Fill=—","Direction=H","UseDPDF=Y")</f>
        <v>#NAME?</v>
      </c>
      <c r="BV404" s="2" t="e">
        <f ca="1">_xll.BDH($C$403,"TOTAL_CAPITAL_SEQUENTIAL_GROWTH","FQ1 2014","FQ1 2014","Currency=INR","Period=FQ","BEST_FPERIOD_OVERRIDE=FQ","FILING_STATUS=OR","EQY_CONSOLIDATED=Y","Sort=A","Dates=H","DateFormat=P","Fill=—","Direction=H","UseDPDF=Y")</f>
        <v>#NAME?</v>
      </c>
      <c r="BW404" s="2" t="e">
        <f ca="1">_xll.BDH($C$403,"BPS_SEQUENTIAL_GROWTH","FQ1 2014","FQ1 2014","Currency=INR","Period=FQ","BEST_FPERIOD_OVERRIDE=FQ","FILING_STATUS=OR","EQY_CONSOLIDATED=Y","Sort=A","Dates=H","DateFormat=P","Fill=—","Direction=H","UseDPDF=Y")</f>
        <v>#NAME?</v>
      </c>
      <c r="BX404" s="2" t="e">
        <f ca="1">_xll.BDH($C$403,"CFO_SEQUENTIAL_GROWTH","FQ1 2014","FQ1 2014","Currency=INR","Period=FQ","BEST_FPERIOD_OVERRIDE=FQ","FILING_STATUS=OR","EQY_CONSOLIDATED=Y","Sort=A","Dates=H","DateFormat=P","Fill=—","Direction=H","UseDPDF=Y")</f>
        <v>#NAME?</v>
      </c>
      <c r="BY404" s="3" t="e">
        <f ca="1">_xll.BDH($C$403,"SHORT_AND_LONG_TERM_DEBT","FQ1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404" s="3" t="e">
        <f ca="1">_xll.BDH($C$403,"BS_ST_BORROW","FQ1 2014","FQ1 2014","Currency=INR","Period=FQ","BEST_FPERIOD_OVERRIDE=FQ","FILING_STATUS=OR","EQY_CONSOLIDATED=Y","SCALING_FORMAT=MLN","Sort=A","Dates=H","DateFormat=P","Fill=—","Direction=H","UseDPDF=Y")</f>
        <v>#NAME?</v>
      </c>
      <c r="CA404" s="3" t="e">
        <f ca="1">_xll.BDH($C$403,"BS_LT_BORROW","FQ1 2014","FQ1 2014","Currency=INR","Period=FQ","BEST_FPERIOD_OVERRIDE=FQ","FILING_STATUS=OR","EQY_CONSOLIDATED=Y","SCALING_FORMAT=MLN","Sort=A","Dates=H","DateFormat=P","Fill=—","Direction=H","UseDPDF=Y")</f>
        <v>#NAME?</v>
      </c>
      <c r="CB404" s="2" t="e">
        <f ca="1">_xll.BDH($C$403,"TOT_DEBT_TO_EBITDA","FQ1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404" s="2" t="e">
        <f ca="1">_xll.BDH($C$403,"NET_DEBT_TO_EBITDA","FQ1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404" s="2" t="e">
        <f ca="1">_xll.BDH($C$403,"TOTAL_DEBT_TO_EBIT","FQ1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404" s="2" t="e">
        <f ca="1">_xll.BDH($C$403,"NET_DEBT_TO_EBIT","FQ1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404" s="2" t="e">
        <f ca="1">_xll.BDH($C$403,"EBITDA_TO_INTEREST_EXPN","FQ1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404" s="2" t="e">
        <f ca="1">_xll.BDH($C$403,"COM_EQY_TO_TOT_ASSET","FQ1 2014","FQ1 2014","Currency=INR","Period=FQ","BEST_FPERIOD_OVERRIDE=FQ","FILING_STATUS=OR","EQY_CONSOLIDATED=Y","Sort=A","Dates=H","DateFormat=P","Fill=—","Direction=H","UseDPDF=Y")</f>
        <v>#NAME?</v>
      </c>
      <c r="CH404" s="2" t="e">
        <f ca="1">_xll.BDH($C$403,"LT_DEBT_TO_TOT_EQY","FQ1 2014","FQ1 2014","Currency=INR","Period=FQ","BEST_FPERIOD_OVERRIDE=FQ","FILING_STATUS=OR","EQY_CONSOLIDATED=Y","Sort=A","Dates=H","DateFormat=P","Fill=—","Direction=H","UseDPDF=Y")</f>
        <v>#NAME?</v>
      </c>
      <c r="CI404" s="2" t="e">
        <f ca="1">_xll.BDH($C$403,"LT_DEBT_TO_TOT_CAP","FQ1 2014","FQ1 2014","Currency=INR","Period=FQ","BEST_FPERIOD_OVERRIDE=FQ","FILING_STATUS=OR","EQY_CONSOLIDATED=Y","Sort=A","Dates=H","DateFormat=P","Fill=—","Direction=H","UseDPDF=Y")</f>
        <v>#NAME?</v>
      </c>
      <c r="CJ404" s="2" t="e">
        <f ca="1">_xll.BDH($C$403,"LT_DEBT_TO_TOT_ASSET","FQ1 2014","FQ1 2014","Currency=INR","Period=FQ","BEST_FPERIOD_OVERRIDE=FQ","FILING_STATUS=OR","EQY_CONSOLIDATED=Y","Sort=A","Dates=H","DateFormat=P","Fill=—","Direction=H","UseDPDF=Y")</f>
        <v>#NAME?</v>
      </c>
      <c r="CK404" s="2" t="e">
        <f ca="1">_xll.BDH($C$403,"TOT_DEBT_TO_TOT_EQY","FQ1 2014","FQ1 2014","Currency=INR","Period=FQ","BEST_FPERIOD_OVERRIDE=FQ","FILING_STATUS=OR","EQY_CONSOLIDATED=Y","Sort=A","Dates=H","DateFormat=P","Fill=—","Direction=H","UseDPDF=Y")</f>
        <v>#NAME?</v>
      </c>
      <c r="CL404" s="2" t="e">
        <f ca="1">_xll.BDH($C$403,"TOT_DEBT_TO_TOT_CAP","FQ1 2014","FQ1 2014","Currency=INR","Period=FQ","BEST_FPERIOD_OVERRIDE=FQ","FILING_STATUS=OR","EQY_CONSOLIDATED=Y","Sort=A","Dates=H","DateFormat=P","Fill=—","Direction=H","UseDPDF=Y")</f>
        <v>#NAME?</v>
      </c>
      <c r="CM404" s="2" t="e">
        <f ca="1">_xll.BDH($C$403,"TOT_DEBT_TO_TOT_ASSET","FQ1 2014","FQ1 2014","Currency=INR","Period=FQ","BEST_FPERIOD_OVERRIDE=FQ","FILING_STATUS=OR","EQY_CONSOLIDATED=Y","Sort=A","Dates=H","DateFormat=P","Fill=—","Direction=H","UseDPDF=Y")</f>
        <v>#NAME?</v>
      </c>
      <c r="CN404" s="2" t="e">
        <f ca="1">_xll.BDH($C$403,"NET_DEBT_TO_SHRHLDR_EQTY","FQ1 2014","FQ1 2014","Currency=INR","Period=FQ","BEST_FPERIOD_OVERRIDE=FQ","FILING_STATUS=OR","EQY_CONSOLIDATED=Y","Sort=A","Dates=H","DateFormat=P","Fill=—","Direction=H","UseDPDF=Y")</f>
        <v>#NAME?</v>
      </c>
      <c r="CO404" s="2" t="e">
        <f ca="1">_xll.BDH($C$403,"NET_DEBT_%_CAPITAL","FQ1 2014","FQ1 2014","Currency=INR","Period=FQ","BEST_FPERIOD_OVERRIDE=FQ","FILING_STATUS=OR","EQY_CONSOLIDATED=Y","Sort=A","Dates=H","DateFormat=P","Fill=—","Direction=H","UseDPDF=Y")</f>
        <v>#NAME?</v>
      </c>
      <c r="CP404" s="3" t="e">
        <f ca="1">_xll.BDH($C$403,"EBITDA","FQ1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404" s="3" t="e">
        <f ca="1">_xll.BDH($C$403,"EBITDA_AFTER_CAPEX","FQ1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404" s="3" t="e">
        <f ca="1">_xll.BDH($C$403,"IS_OPER_INC","FQ1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404" s="2" t="e">
        <f ca="1">_xll.BDH($C$403,"CASH_RATIO","FQ1 2014","FQ1 2014","Currency=INR","Period=FQ","BEST_FPERIOD_OVERRIDE=FQ","FILING_STATUS=OR","EQY_CONSOLIDATED=Y","Sort=A","Dates=H","DateFormat=P","Fill=—","Direction=H","UseDPDF=Y")</f>
        <v>#NAME?</v>
      </c>
      <c r="CT404" s="2" t="e">
        <f ca="1">_xll.BDH($C$403,"CUR_RATIO","FQ1 2014","FQ1 2014","Currency=INR","Period=FQ","BEST_FPERIOD_OVERRIDE=FQ","FILING_STATUS=OR","EQY_CONSOLIDATED=Y","Sort=A","Dates=H","DateFormat=P","Fill=—","Direction=H","UseDPDF=Y")</f>
        <v>#NAME?</v>
      </c>
      <c r="CU404" s="2" t="e">
        <f ca="1">_xll.BDH($C$403,"QUICK_RATIO","FQ1 2014","FQ1 2014","Currency=INR","Period=FQ","BEST_FPERIOD_OVERRIDE=FQ","FILING_STATUS=OR","EQY_CONSOLIDATED=Y","Sort=A","Dates=H","DateFormat=P","Fill=—","Direction=H","UseDPDF=Y")</f>
        <v>#NAME?</v>
      </c>
      <c r="CV404" s="2" t="e">
        <f ca="1">_xll.BDH($C$403,"ALTMAN_Z_SCORE","FQ1 2014","FQ1 2014","Currency=INR","Period=FQ","BEST_FPERIOD_OVERRIDE=FQ","FILING_STATUS=OR","EQY_CONSOLIDATED=Y","Sort=A","Dates=H","DateFormat=P","Fill=—","Direction=H","UseDPDF=Y")</f>
        <v>#NAME?</v>
      </c>
      <c r="CW404" s="4" t="e">
        <f ca="1">_xll.BDH($C$403,"ACCT_RCV_TURN","FQ1 2014","FQ1 2014","Currency=INR","Period=FQ","BEST_FPERIOD_OVERRIDE=FQ","FILING_STATUS=OR","EQY_CONSOLIDATED=Y","FA_ADJUSTED=GAAP","Sort=A","Dates=H","DateFormat=P","Fill=—","Direction=H","UseDPDF=Y")</f>
        <v>#NAME?</v>
      </c>
      <c r="CX404" s="2" t="e">
        <f ca="1">_xll.BDH($C$403,"ACCT_RCV_DAYS","FQ1 2014","FQ1 2014","Currency=INR","Period=FQ","BEST_FPERIOD_OVERRIDE=FQ","FILING_STATUS=OR","EQY_CONSOLIDATED=Y","FA_ADJUSTED=GAAP","Sort=A","Dates=H","DateFormat=P","Fill=—","Direction=H","UseDPDF=Y")</f>
        <v>#NAME?</v>
      </c>
      <c r="CY404" s="4" t="e">
        <f ca="1">_xll.BDH($C$403,"INVENT_TURN","FQ1 2014","FQ1 2014","Currency=INR","Period=FQ","BEST_FPERIOD_OVERRIDE=FQ","FILING_STATUS=OR","EQY_CONSOLIDATED=Y","FA_ADJUSTED=GAAP","Sort=A","Dates=H","DateFormat=P","Fill=—","Direction=H","UseDPDF=Y")</f>
        <v>#NAME?</v>
      </c>
      <c r="CZ404" s="2" t="e">
        <f ca="1">_xll.BDH($C$403,"INVENT_DAYS","FQ1 2014","FQ1 2014","Currency=INR","Period=FQ","BEST_FPERIOD_OVERRIDE=FQ","FILING_STATUS=OR","EQY_CONSOLIDATED=Y","FA_ADJUSTED=GAAP","Sort=A","Dates=H","DateFormat=P","Fill=—","Direction=H","UseDPDF=Y")</f>
        <v>#NAME?</v>
      </c>
      <c r="DA404" s="4" t="e">
        <f ca="1">_xll.BDH($C$403,"ACCOUNTS_PAYABLE_TURNOVER","FQ1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404" s="2" t="e">
        <f ca="1">_xll.BDH($C$403,"ACCOUNTS_PAYABLE_TURNOVER_DAYS","FQ1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404" s="4" t="e">
        <f ca="1">_xll.BDH($C$403,"CASH_CONVERSION_CYCLE","FQ1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404" s="4" t="e">
        <f ca="1">_xll.BDH($C$403,"INV_TO_CASH_DAYS","FQ1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404" s="5" t="e">
        <f ca="1">_xll.BDH($C$403,"BS_INVENTORIES","FQ1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404" s="3" t="e">
        <f ca="1">_xll.BDH($C$403,"INVTRY_RAW_MATERIALS","FQ1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404" s="3" t="e">
        <f ca="1">_xll.BDH($C$403,"INVTRY_IN_PROGRESS","FQ1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404" s="3" t="e">
        <f ca="1">_xll.BDH($C$403,"INVTRY_FINISHED_GOODS","FQ1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404" s="3" t="e">
        <f ca="1">_xll.BDH($C$403,"BS_OTHER_INV","FQ1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405" spans="1:113" x14ac:dyDescent="0.3">
      <c r="A405" s="6"/>
      <c r="B405" s="6"/>
      <c r="C405" s="6"/>
      <c r="D405" s="6"/>
      <c r="E405" t="s">
        <v>79</v>
      </c>
      <c r="F405" t="e">
        <f ca="1">_xll.BDH($C$403,"RETURN_COM_EQY","FQ2 2014","FQ2 2014","Currency=INR","Period=FQ","BEST_FPERIOD_OVERRIDE=FQ","FILING_STATUS=OR","EQY_CONSOLIDATED=Y","FA_ADJUSTED=GAAP","Sort=A","Dates=H","DateFormat=P","Fill=—","Direction=H","UseDPDF=Y")</f>
        <v>#NAME?</v>
      </c>
      <c r="G405" t="e">
        <f ca="1">_xll.BDH($C$403,"RETURN_ON_ASSET","FQ2 2014","FQ2 2014","Currency=INR","Period=FQ","BEST_FPERIOD_OVERRIDE=FQ","FILING_STATUS=OR","EQY_CONSOLIDATED=Y","FA_ADJUSTED=GAAP","Sort=A","Dates=H","DateFormat=P","Fill=—","Direction=H","UseDPDF=Y")</f>
        <v>#NAME?</v>
      </c>
      <c r="H405" t="e">
        <f ca="1">_xll.BDH($C$403,"RETURN_ON_CAP","FQ2 2014","FQ2 2014","Currency=INR","Period=FQ","BEST_FPERIOD_OVERRIDE=FQ","FILING_STATUS=OR","EQY_CONSOLIDATED=Y","FA_ADJUSTED=GAAP","Sort=A","Dates=H","DateFormat=P","Fill=—","Direction=H","UseDPDF=Y")</f>
        <v>#NAME?</v>
      </c>
      <c r="I405" t="e">
        <f ca="1">_xll.BDH($C$403,"RETURN_ON_INV_CAPITAL","FQ2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405" t="e">
        <f ca="1">_xll.BDH($C$403,"EBITDA_TO_REVENUE","FQ2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405" t="e">
        <f ca="1">_xll.BDH($C$403,"OPER_MARGIN","FQ2 2014","FQ2 2014","Currency=INR","Period=FQ","BEST_FPERIOD_OVERRIDE=FQ","FILING_STATUS=OR","EQY_CONSOLIDATED=Y","FA_ADJUSTED=GAAP","Sort=A","Dates=H","DateFormat=P","Fill=—","Direction=H","UseDPDF=Y")</f>
        <v>#NAME?</v>
      </c>
      <c r="L405" t="e">
        <f ca="1">_xll.BDH($C$403,"INCREMENTAL_OPERATING_MARGIN","FQ2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405" t="e">
        <f ca="1">_xll.BDH($C$403,"PRETAX_INC_TO_NET_SALES","FQ2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405" t="e">
        <f ca="1">_xll.BDH($C$403,"INC_BEF_XO_ITEMS_TO_NET_SALES","FQ2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405" t="e">
        <f ca="1">_xll.BDH($C$403,"PROF_MARGIN","FQ2 2014","FQ2 2014","Currency=INR","Period=FQ","BEST_FPERIOD_OVERRIDE=FQ","FILING_STATUS=OR","EQY_CONSOLIDATED=Y","FA_ADJUSTED=GAAP","Sort=A","Dates=H","DateFormat=P","Fill=—","Direction=H","UseDPDF=Y")</f>
        <v>#NAME?</v>
      </c>
      <c r="P405" t="e">
        <f ca="1">_xll.BDH($C$403,"NET_INCOME_TO_COMMON_MARGIN","FQ2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405" t="e">
        <f ca="1">_xll.BDH($C$403,"EFF_TAX_RATE","FQ2 2014","FQ2 2014","Currency=INR","Period=FQ","BEST_FPERIOD_OVERRIDE=FQ","FILING_STATUS=OR","EQY_CONSOLIDATED=Y","FA_ADJUSTED=GAAP","Sort=A","Dates=H","DateFormat=P","Fill=—","Direction=H","UseDPDF=Y")</f>
        <v>#NAME?</v>
      </c>
      <c r="R405" t="e">
        <f ca="1">_xll.BDH($C$403,"DVD_PAYOUT_RATIO","FQ2 2014","FQ2 2014","Currency=INR","Period=FQ","BEST_FPERIOD_OVERRIDE=FQ","FILING_STATUS=OR","EQY_CONSOLIDATED=Y","FA_ADJUSTED=GAAP","Sort=A","Dates=H","DateFormat=P","Fill=—","Direction=H","UseDPDF=Y")</f>
        <v>#NAME?</v>
      </c>
      <c r="S405" t="e">
        <f ca="1">_xll.BDH($C$403,"SUSTAIN_GROWTH_RT","FQ2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405" s="2" t="e">
        <f ca="1">_xll.BDH($C$403,"SALES_GROWTH","FQ2 2014","FQ2 2014","Currency=INR","Period=FQ","BEST_FPERIOD_OVERRIDE=FQ","FILING_STATUS=OR","EQY_CONSOLIDATED=Y","FA_ADJUSTED=GAAP","Sort=A","Dates=H","DateFormat=P","Fill=—","Direction=H","UseDPDF=Y")</f>
        <v>#NAME?</v>
      </c>
      <c r="U405" s="2" t="e">
        <f ca="1">_xll.BDH($C$403,"EBITDA_GROWTH","FQ2 2014","FQ2 2014","Currency=INR","Period=FQ","BEST_FPERIOD_OVERRIDE=FQ","FILING_STATUS=OR","EQY_CONSOLIDATED=Y","FA_ADJUSTED=GAAP","Sort=A","Dates=H","DateFormat=P","Fill=—","Direction=H","UseDPDF=Y")</f>
        <v>#NAME?</v>
      </c>
      <c r="V405" s="2" t="e">
        <f ca="1">_xll.BDH($C$403,"OPER_INC_GROWTH","FQ2 2014","FQ2 2014","Currency=INR","Period=FQ","BEST_FPERIOD_OVERRIDE=FQ","FILING_STATUS=OR","EQY_CONSOLIDATED=Y","FA_ADJUSTED=GAAP","Sort=A","Dates=H","DateFormat=P","Fill=—","Direction=H","UseDPDF=Y")</f>
        <v>#NAME?</v>
      </c>
      <c r="W405" s="2" t="e">
        <f ca="1">_xll.BDH($C$403,"EARN_FOR_COM_GROWTH","FQ2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405" s="2" t="e">
        <f ca="1">_xll.BDH($C$403,"DILUTED_EPS_AFT_XO_ITEMS_GROWTH","FQ2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405" s="2" t="e">
        <f ca="1">_xll.BDH($C$403,"DIVIDEND_PER_SHARE_1_YEAR_GROWTH","FQ2 2014","FQ2 2014","Currency=INR","Period=FQ","BEST_FPERIOD_OVERRIDE=FQ","FILING_STATUS=OR","EQY_CONSOLIDATED=Y","Sort=A","Dates=H","DateFormat=P","Fill=—","Direction=H","UseDPDF=Y")</f>
        <v>#NAME?</v>
      </c>
      <c r="Z405" s="2" t="e">
        <f ca="1">_xll.BDH($C$403,"ACCOUNTS_RECEIVABLE_GROWTH","FQ2 2014","FQ2 2014","Currency=INR","Period=FQ","BEST_FPERIOD_OVERRIDE=FQ","FILING_STATUS=OR","EQY_CONSOLIDATED=Y","Sort=A","Dates=H","DateFormat=P","Fill=—","Direction=H","UseDPDF=Y")</f>
        <v>#NAME?</v>
      </c>
      <c r="AA405" s="2" t="e">
        <f ca="1">_xll.BDH($C$403,"INVENTORY_GROWTH","FQ2 2014","FQ2 2014","Currency=INR","Period=FQ","BEST_FPERIOD_OVERRIDE=FQ","FILING_STATUS=OR","EQY_CONSOLIDATED=Y","Sort=A","Dates=H","DateFormat=P","Fill=—","Direction=H","UseDPDF=Y")</f>
        <v>#NAME?</v>
      </c>
      <c r="AB405" s="2" t="e">
        <f ca="1">_xll.BDH($C$403,"NET_FIXED_ASSETS_1_YEAR_GROWTH","FQ2 2014","FQ2 2014","Currency=INR","Period=FQ","BEST_FPERIOD_OVERRIDE=FQ","FILING_STATUS=OR","EQY_CONSOLIDATED=Y","Sort=A","Dates=H","DateFormat=P","Fill=—","Direction=H","UseDPDF=Y")</f>
        <v>#NAME?</v>
      </c>
      <c r="AC405" s="2" t="e">
        <f ca="1">_xll.BDH($C$403,"ASSET_GROWTH","FQ2 2014","FQ2 2014","Currency=INR","Period=FQ","BEST_FPERIOD_OVERRIDE=FQ","FILING_STATUS=OR","EQY_CONSOLIDATED=Y","Sort=A","Dates=H","DateFormat=P","Fill=—","Direction=H","UseDPDF=Y")</f>
        <v>#NAME?</v>
      </c>
      <c r="AD405" s="2" t="e">
        <f ca="1">_xll.BDH($C$403,"MODIFIED_WORK_CAP_GROWTH","FQ2 2014","FQ2 2014","Currency=INR","Period=FQ","BEST_FPERIOD_OVERRIDE=FQ","FILING_STATUS=OR","EQY_CONSOLIDATED=Y","Sort=A","Dates=H","DateFormat=P","Fill=—","Direction=H","UseDPDF=Y")</f>
        <v>#NAME?</v>
      </c>
      <c r="AE405" s="2" t="e">
        <f ca="1">_xll.BDH($C$403,"WORK_CAP_GROWTH","FQ2 2014","FQ2 2014","Currency=INR","Period=FQ","BEST_FPERIOD_OVERRIDE=FQ","FILING_STATUS=OR","EQY_CONSOLIDATED=Y","Sort=A","Dates=H","DateFormat=P","Fill=—","Direction=H","UseDPDF=Y")</f>
        <v>#NAME?</v>
      </c>
      <c r="AF405" s="2" t="e">
        <f ca="1">_xll.BDH($C$403,"ACCOUNTS_PAYABLE_GROWTH_1YR","FQ2 2014","FQ2 2014","Currency=INR","Period=FQ","BEST_FPERIOD_OVERRIDE=FQ","FILING_STATUS=OR","EQY_CONSOLIDATED=Y","Sort=A","Dates=H","DateFormat=P","Fill=—","Direction=H","UseDPDF=Y")</f>
        <v>#NAME?</v>
      </c>
      <c r="AG405" s="2" t="e">
        <f ca="1">_xll.BDH($C$403,"SHORT_TERM_DEBT_1_YEAR_GROWTH","FQ2 2014","FQ2 2014","Currency=INR","Period=FQ","BEST_FPERIOD_OVERRIDE=FQ","FILING_STATUS=OR","EQY_CONSOLIDATED=Y","Sort=A","Dates=H","DateFormat=P","Fill=—","Direction=H","UseDPDF=Y")</f>
        <v>#NAME?</v>
      </c>
      <c r="AH405" s="2" t="e">
        <f ca="1">_xll.BDH($C$403,"TOTAL_DEBT_1_YEAR_GROWTH","FQ2 2014","FQ2 2014","Currency=INR","Period=FQ","BEST_FPERIOD_OVERRIDE=FQ","FILING_STATUS=OR","EQY_CONSOLIDATED=Y","Sort=A","Dates=H","DateFormat=P","Fill=—","Direction=H","UseDPDF=Y")</f>
        <v>#NAME?</v>
      </c>
      <c r="AI405" s="2" t="e">
        <f ca="1">_xll.BDH($C$403,"TOTAL_EQUITY_1_YEAR_GROWTH","FQ2 2014","FQ2 2014","Currency=INR","Period=FQ","BEST_FPERIOD_OVERRIDE=FQ","FILING_STATUS=OR","EQY_CONSOLIDATED=Y","Sort=A","Dates=H","DateFormat=P","Fill=—","Direction=H","UseDPDF=Y")</f>
        <v>#NAME?</v>
      </c>
      <c r="AJ405" s="2" t="e">
        <f ca="1">_xll.BDH($C$403,"GROWTH_IN_CAP","FQ2 2014","FQ2 2014","Currency=INR","Period=FQ","BEST_FPERIOD_OVERRIDE=FQ","FILING_STATUS=OR","EQY_CONSOLIDATED=Y","Sort=A","Dates=H","DateFormat=P","Fill=—","Direction=H","UseDPDF=Y")</f>
        <v>#NAME?</v>
      </c>
      <c r="AK405" s="2" t="e">
        <f ca="1">_xll.BDH($C$403,"BVPS_GROWTH","FQ2 2014","FQ2 2014","Currency=INR","Period=FQ","BEST_FPERIOD_OVERRIDE=FQ","FILING_STATUS=OR","EQY_CONSOLIDATED=Y","Sort=A","Dates=H","DateFormat=P","Fill=—","Direction=H","UseDPDF=Y")</f>
        <v>#NAME?</v>
      </c>
      <c r="AL405" s="2" t="e">
        <f ca="1">_xll.BDH($C$403,"CASH_FLOW_GROWTH","FQ2 2014","FQ2 2014","Currency=INR","Period=FQ","BEST_FPERIOD_OVERRIDE=FQ","FILING_STATUS=OR","EQY_CONSOLIDATED=Y","Sort=A","Dates=H","DateFormat=P","Fill=—","Direction=H","UseDPDF=Y")</f>
        <v>#NAME?</v>
      </c>
      <c r="AM405" s="2" t="e">
        <f ca="1">_xll.BDH($C$403,"GEO_GROW_NET_SALES","FQ2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405" s="2" t="e">
        <f ca="1">_xll.BDH($C$403,"GEO_GROW_EBITDA","FQ2 2014","FQ2 2014","Currency=INR","Period=FQ","BEST_FPERIOD_OVERRIDE=FQ","FILING_STATUS=OR","EQY_CONSOLIDATED=Y","FA_ADJUSTED=GAAP","Sort=A","Dates=H","DateFormat=P","Fill=—","Direction=H","UseDPDF=Y")</f>
        <v>#NAME?</v>
      </c>
      <c r="AO405" s="2" t="e">
        <f ca="1">_xll.BDH($C$403,"GEO_GROW_OPER_INC","FQ2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405" s="2" t="e">
        <f ca="1">_xll.BDH($C$403,"NET_INCOME_TO_COMMON_5_YR_GROWTH","FQ2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405" s="2" t="e">
        <f ca="1">_xll.BDH($C$403,"5Y_GEO_GROWTH_DILUTED_EPS","FQ2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405" s="2" t="e">
        <f ca="1">_xll.BDH($C$403,"GEO_GROW_DVD_PER_SH","FQ2 2014","FQ2 2014","Currency=INR","Period=FQ","BEST_FPERIOD_OVERRIDE=FQ","FILING_STATUS=OR","EQY_CONSOLIDATED=Y","Sort=A","Dates=H","DateFormat=P","Fill=—","Direction=H","UseDPDF=Y")</f>
        <v>#NAME?</v>
      </c>
      <c r="AS405" s="2" t="e">
        <f ca="1">_xll.BDH($C$403,"ACCOUNTS_RECEIVABLE_5_YR_GROWTH","FQ2 2014","FQ2 2014","Currency=INR","Period=FQ","BEST_FPERIOD_OVERRIDE=FQ","FILING_STATUS=OR","EQY_CONSOLIDATED=Y","Sort=A","Dates=H","DateFormat=P","Fill=—","Direction=H","UseDPDF=Y")</f>
        <v>#NAME?</v>
      </c>
      <c r="AT405" s="2" t="e">
        <f ca="1">_xll.BDH($C$403,"INVENTORY_5_YEAR_GROWTH","FQ2 2014","FQ2 2014","Currency=INR","Period=FQ","BEST_FPERIOD_OVERRIDE=FQ","FILING_STATUS=OR","EQY_CONSOLIDATED=Y","Sort=A","Dates=H","DateFormat=P","Fill=—","Direction=H","UseDPDF=Y")</f>
        <v>#NAME?</v>
      </c>
      <c r="AU405" s="2" t="e">
        <f ca="1">_xll.BDH($C$403,"NET_FIXED_ASSETS_5_YEAR_GROWTH","FQ2 2014","FQ2 2014","Currency=INR","Period=FQ","BEST_FPERIOD_OVERRIDE=FQ","FILING_STATUS=OR","EQY_CONSOLIDATED=Y","Sort=A","Dates=H","DateFormat=P","Fill=—","Direction=H","UseDPDF=Y")</f>
        <v>#NAME?</v>
      </c>
      <c r="AV405" s="2" t="e">
        <f ca="1">_xll.BDH($C$403,"GEO_GROW_TOT_ASSET","FQ2 2014","FQ2 2014","Currency=INR","Period=FQ","BEST_FPERIOD_OVERRIDE=FQ","FILING_STATUS=OR","EQY_CONSOLIDATED=Y","Sort=A","Dates=H","DateFormat=P","Fill=—","Direction=H","UseDPDF=Y")</f>
        <v>#NAME?</v>
      </c>
      <c r="AW405" s="2" t="e">
        <f ca="1">_xll.BDH($C$403,"MODIFIED_WORKING_CPTL_5YR_GRWTH","FQ2 2014","FQ2 2014","Currency=INR","Period=FQ","BEST_FPERIOD_OVERRIDE=FQ","FILING_STATUS=OR","EQY_CONSOLIDATED=Y","Sort=A","Dates=H","DateFormat=P","Fill=—","Direction=H","UseDPDF=Y")</f>
        <v>#NAME?</v>
      </c>
      <c r="AX405" s="2" t="e">
        <f ca="1">_xll.BDH($C$403,"WORKING_CAPITAL_5_YEAR_GROWTH","FQ2 2014","FQ2 2014","Currency=INR","Period=FQ","BEST_FPERIOD_OVERRIDE=FQ","FILING_STATUS=OR","EQY_CONSOLIDATED=Y","Sort=A","Dates=H","DateFormat=P","Fill=—","Direction=H","UseDPDF=Y")</f>
        <v>#NAME?</v>
      </c>
      <c r="AY405" s="2" t="e">
        <f ca="1">_xll.BDH($C$403,"ACCOUNTS_PAYABLE_5_YEAR_GROWTH","FQ2 2014","FQ2 2014","Currency=INR","Period=FQ","BEST_FPERIOD_OVERRIDE=FQ","FILING_STATUS=OR","EQY_CONSOLIDATED=Y","Sort=A","Dates=H","DateFormat=P","Fill=—","Direction=H","UseDPDF=Y")</f>
        <v>#NAME?</v>
      </c>
      <c r="AZ405" s="2" t="e">
        <f ca="1">_xll.BDH($C$403,"SHORT_TERM_DEBT_5_YEAR_GROWTH","FQ2 2014","FQ2 2014","Currency=INR","Period=FQ","BEST_FPERIOD_OVERRIDE=FQ","FILING_STATUS=OR","EQY_CONSOLIDATED=Y","Sort=A","Dates=H","DateFormat=P","Fill=—","Direction=H","UseDPDF=Y")</f>
        <v>#NAME?</v>
      </c>
      <c r="BA405" s="2" t="e">
        <f ca="1">_xll.BDH($C$403,"TOTAL_DEBT_5_YEAR_GROWTH","FQ2 2014","FQ2 2014","Currency=INR","Period=FQ","BEST_FPERIOD_OVERRIDE=FQ","FILING_STATUS=OR","EQY_CONSOLIDATED=Y","Sort=A","Dates=H","DateFormat=P","Fill=—","Direction=H","UseDPDF=Y")</f>
        <v>#NAME?</v>
      </c>
      <c r="BB405" s="2" t="e">
        <f ca="1">_xll.BDH($C$403,"GEO_GROW_TOT_SHRHLDR_EQY","FQ2 2014","FQ2 2014","Currency=INR","Period=FQ","BEST_FPERIOD_OVERRIDE=FQ","FILING_STATUS=OR","EQY_CONSOLIDATED=Y","Sort=A","Dates=H","DateFormat=P","Fill=—","Direction=H","UseDPDF=Y")</f>
        <v>#NAME?</v>
      </c>
      <c r="BC405" s="2" t="e">
        <f ca="1">_xll.BDH($C$403,"TOTAL_CAPITAL_5_YEAR_GROWTH","FQ2 2014","FQ2 2014","Currency=INR","Period=FQ","BEST_FPERIOD_OVERRIDE=FQ","FILING_STATUS=OR","EQY_CONSOLIDATED=Y","Sort=A","Dates=H","DateFormat=P","Fill=—","Direction=H","UseDPDF=Y")</f>
        <v>#NAME?</v>
      </c>
      <c r="BD405" s="2" t="e">
        <f ca="1">_xll.BDH($C$403,"GEO_GROW_BOOK_VAL","FQ2 2014","FQ2 2014","Currency=INR","Period=FQ","BEST_FPERIOD_OVERRIDE=FQ","FILING_STATUS=OR","EQY_CONSOLIDATED=Y","Sort=A","Dates=H","DateFormat=P","Fill=—","Direction=H","UseDPDF=Y")</f>
        <v>#NAME?</v>
      </c>
      <c r="BE405" s="2" t="e">
        <f ca="1">_xll.BDH($C$403,"GEO_GROW_CASH_OPER_ACT","FQ2 2014","FQ2 2014","Currency=INR","Period=FQ","BEST_FPERIOD_OVERRIDE=FQ","FILING_STATUS=OR","EQY_CONSOLIDATED=Y","Sort=A","Dates=H","DateFormat=P","Fill=—","Direction=H","UseDPDF=Y")</f>
        <v>#NAME?</v>
      </c>
      <c r="BF405" s="2" t="e">
        <f ca="1">_xll.BDH($C$403,"REVENUE_SEQUENTIAL_GROWTH","FQ2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405" s="2" t="e">
        <f ca="1">_xll.BDH($C$403,"EBITDA_SEQUENTIAL_GROWTH","FQ2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405" s="2" t="e">
        <f ca="1">_xll.BDH($C$403,"OPERATING_INCOME_SEQ_GROWTH","FQ2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405" s="2" t="e">
        <f ca="1">_xll.BDH($C$403,"NET_INCOME_TO_COMMON_SEQ_GROWTH","FQ2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405" s="2" t="e">
        <f ca="1">_xll.BDH($C$403,"EPS_DILUTED_SEQUENTIAL_GROWTH","FQ2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405" s="2" t="e">
        <f ca="1">_xll.BDH($C$403,"DPS_SEQUENTIAL_GROWTH","FQ2 2014","FQ2 2014","Currency=INR","Period=FQ","BEST_FPERIOD_OVERRIDE=FQ","FILING_STATUS=OR","EQY_CONSOLIDATED=Y","Sort=A","Dates=H","DateFormat=P","Fill=—","Direction=H","UseDPDF=Y")</f>
        <v>#NAME?</v>
      </c>
      <c r="BL405" s="2" t="e">
        <f ca="1">_xll.BDH($C$403,"ACCOUNTS_RECEIVABLE_SEQ_GROWTH","FQ2 2014","FQ2 2014","Currency=INR","Period=FQ","BEST_FPERIOD_OVERRIDE=FQ","FILING_STATUS=OR","EQY_CONSOLIDATED=Y","Sort=A","Dates=H","DateFormat=P","Fill=—","Direction=H","UseDPDF=Y")</f>
        <v>#NAME?</v>
      </c>
      <c r="BM405" s="2" t="e">
        <f ca="1">_xll.BDH($C$403,"INVENTORY_SEQUENTIAL_GROWTH","FQ2 2014","FQ2 2014","Currency=INR","Period=FQ","BEST_FPERIOD_OVERRIDE=FQ","FILING_STATUS=OR","EQY_CONSOLIDATED=Y","Sort=A","Dates=H","DateFormat=P","Fill=—","Direction=H","UseDPDF=Y")</f>
        <v>#NAME?</v>
      </c>
      <c r="BN405" s="2" t="e">
        <f ca="1">_xll.BDH($C$403,"FIXED_ASSETS_SEQUENTIAL_GROWTH","FQ2 2014","FQ2 2014","Currency=INR","Period=FQ","BEST_FPERIOD_OVERRIDE=FQ","FILING_STATUS=OR","EQY_CONSOLIDATED=Y","Sort=A","Dates=H","DateFormat=P","Fill=—","Direction=H","UseDPDF=Y")</f>
        <v>#NAME?</v>
      </c>
      <c r="BO405" s="2" t="e">
        <f ca="1">_xll.BDH($C$403,"TOTAL_ASSETS_SEQUENTIAL_GROWTH","FQ2 2014","FQ2 2014","Currency=INR","Period=FQ","BEST_FPERIOD_OVERRIDE=FQ","FILING_STATUS=OR","EQY_CONSOLIDATED=Y","Sort=A","Dates=H","DateFormat=P","Fill=—","Direction=H","UseDPDF=Y")</f>
        <v>#NAME?</v>
      </c>
      <c r="BP405" s="2" t="e">
        <f ca="1">_xll.BDH($C$403,"MODIFIED_WORKING_CPTL_SEQ_GRWTH","FQ2 2014","FQ2 2014","Currency=INR","Period=FQ","BEST_FPERIOD_OVERRIDE=FQ","FILING_STATUS=OR","EQY_CONSOLIDATED=Y","Sort=A","Dates=H","DateFormat=P","Fill=—","Direction=H","UseDPDF=Y")</f>
        <v>#NAME?</v>
      </c>
      <c r="BQ405" s="2" t="e">
        <f ca="1">_xll.BDH($C$403,"WORKING_CAPITAL_SEQ_GROWTH","FQ2 2014","FQ2 2014","Currency=INR","Period=FQ","BEST_FPERIOD_OVERRIDE=FQ","FILING_STATUS=OR","EQY_CONSOLIDATED=Y","Sort=A","Dates=H","DateFormat=P","Fill=—","Direction=H","UseDPDF=Y")</f>
        <v>#NAME?</v>
      </c>
      <c r="BR405" s="2" t="e">
        <f ca="1">_xll.BDH($C$403,"ACCOUNTS_PAYABLE_SEQ_GROWTH","FQ2 2014","FQ2 2014","Currency=INR","Period=FQ","BEST_FPERIOD_OVERRIDE=FQ","FILING_STATUS=OR","EQY_CONSOLIDATED=Y","Sort=A","Dates=H","DateFormat=P","Fill=—","Direction=H","UseDPDF=Y")</f>
        <v>#NAME?</v>
      </c>
      <c r="BS405" s="2" t="e">
        <f ca="1">_xll.BDH($C$403,"ST_DEBT_SEQUENTIAL_GROWTH","FQ2 2014","FQ2 2014","Currency=INR","Period=FQ","BEST_FPERIOD_OVERRIDE=FQ","FILING_STATUS=OR","EQY_CONSOLIDATED=Y","Sort=A","Dates=H","DateFormat=P","Fill=—","Direction=H","UseDPDF=Y")</f>
        <v>#NAME?</v>
      </c>
      <c r="BT405" s="2" t="e">
        <f ca="1">_xll.BDH($C$403,"TOTAL_DEBT_SEQUENTIAL_GROWTH","FQ2 2014","FQ2 2014","Currency=INR","Period=FQ","BEST_FPERIOD_OVERRIDE=FQ","FILING_STATUS=OR","EQY_CONSOLIDATED=Y","Sort=A","Dates=H","DateFormat=P","Fill=—","Direction=H","UseDPDF=Y")</f>
        <v>#NAME?</v>
      </c>
      <c r="BU405" s="2" t="e">
        <f ca="1">_xll.BDH($C$403,"TOTAL_EQUITY_SEQUENTIAL_GROWTH","FQ2 2014","FQ2 2014","Currency=INR","Period=FQ","BEST_FPERIOD_OVERRIDE=FQ","FILING_STATUS=OR","EQY_CONSOLIDATED=Y","Sort=A","Dates=H","DateFormat=P","Fill=—","Direction=H","UseDPDF=Y")</f>
        <v>#NAME?</v>
      </c>
      <c r="BV405" s="2" t="e">
        <f ca="1">_xll.BDH($C$403,"TOTAL_CAPITAL_SEQUENTIAL_GROWTH","FQ2 2014","FQ2 2014","Currency=INR","Period=FQ","BEST_FPERIOD_OVERRIDE=FQ","FILING_STATUS=OR","EQY_CONSOLIDATED=Y","Sort=A","Dates=H","DateFormat=P","Fill=—","Direction=H","UseDPDF=Y")</f>
        <v>#NAME?</v>
      </c>
      <c r="BW405" s="2" t="e">
        <f ca="1">_xll.BDH($C$403,"BPS_SEQUENTIAL_GROWTH","FQ2 2014","FQ2 2014","Currency=INR","Period=FQ","BEST_FPERIOD_OVERRIDE=FQ","FILING_STATUS=OR","EQY_CONSOLIDATED=Y","Sort=A","Dates=H","DateFormat=P","Fill=—","Direction=H","UseDPDF=Y")</f>
        <v>#NAME?</v>
      </c>
      <c r="BX405" s="2" t="e">
        <f ca="1">_xll.BDH($C$403,"CFO_SEQUENTIAL_GROWTH","FQ2 2014","FQ2 2014","Currency=INR","Period=FQ","BEST_FPERIOD_OVERRIDE=FQ","FILING_STATUS=OR","EQY_CONSOLIDATED=Y","Sort=A","Dates=H","DateFormat=P","Fill=—","Direction=H","UseDPDF=Y")</f>
        <v>#NAME?</v>
      </c>
      <c r="BY405" s="3" t="e">
        <f ca="1">_xll.BDH($C$403,"SHORT_AND_LONG_TERM_DEBT","FQ2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405" s="3" t="e">
        <f ca="1">_xll.BDH($C$403,"BS_ST_BORROW","FQ2 2014","FQ2 2014","Currency=INR","Period=FQ","BEST_FPERIOD_OVERRIDE=FQ","FILING_STATUS=OR","EQY_CONSOLIDATED=Y","SCALING_FORMAT=MLN","Sort=A","Dates=H","DateFormat=P","Fill=—","Direction=H","UseDPDF=Y")</f>
        <v>#NAME?</v>
      </c>
      <c r="CA405" s="3" t="e">
        <f ca="1">_xll.BDH($C$403,"BS_LT_BORROW","FQ2 2014","FQ2 2014","Currency=INR","Period=FQ","BEST_FPERIOD_OVERRIDE=FQ","FILING_STATUS=OR","EQY_CONSOLIDATED=Y","SCALING_FORMAT=MLN","Sort=A","Dates=H","DateFormat=P","Fill=—","Direction=H","UseDPDF=Y")</f>
        <v>#NAME?</v>
      </c>
      <c r="CB405" s="2" t="e">
        <f ca="1">_xll.BDH($C$403,"TOT_DEBT_TO_EBITDA","FQ2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405" s="2" t="e">
        <f ca="1">_xll.BDH($C$403,"NET_DEBT_TO_EBITDA","FQ2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405" s="2" t="e">
        <f ca="1">_xll.BDH($C$403,"TOTAL_DEBT_TO_EBIT","FQ2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405" s="2" t="e">
        <f ca="1">_xll.BDH($C$403,"NET_DEBT_TO_EBIT","FQ2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405" s="2" t="e">
        <f ca="1">_xll.BDH($C$403,"EBITDA_TO_INTEREST_EXPN","FQ2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405" s="2" t="e">
        <f ca="1">_xll.BDH($C$403,"COM_EQY_TO_TOT_ASSET","FQ2 2014","FQ2 2014","Currency=INR","Period=FQ","BEST_FPERIOD_OVERRIDE=FQ","FILING_STATUS=OR","EQY_CONSOLIDATED=Y","Sort=A","Dates=H","DateFormat=P","Fill=—","Direction=H","UseDPDF=Y")</f>
        <v>#NAME?</v>
      </c>
      <c r="CH405" s="2" t="e">
        <f ca="1">_xll.BDH($C$403,"LT_DEBT_TO_TOT_EQY","FQ2 2014","FQ2 2014","Currency=INR","Period=FQ","BEST_FPERIOD_OVERRIDE=FQ","FILING_STATUS=OR","EQY_CONSOLIDATED=Y","Sort=A","Dates=H","DateFormat=P","Fill=—","Direction=H","UseDPDF=Y")</f>
        <v>#NAME?</v>
      </c>
      <c r="CI405" s="2" t="e">
        <f ca="1">_xll.BDH($C$403,"LT_DEBT_TO_TOT_CAP","FQ2 2014","FQ2 2014","Currency=INR","Period=FQ","BEST_FPERIOD_OVERRIDE=FQ","FILING_STATUS=OR","EQY_CONSOLIDATED=Y","Sort=A","Dates=H","DateFormat=P","Fill=—","Direction=H","UseDPDF=Y")</f>
        <v>#NAME?</v>
      </c>
      <c r="CJ405" s="2" t="e">
        <f ca="1">_xll.BDH($C$403,"LT_DEBT_TO_TOT_ASSET","FQ2 2014","FQ2 2014","Currency=INR","Period=FQ","BEST_FPERIOD_OVERRIDE=FQ","FILING_STATUS=OR","EQY_CONSOLIDATED=Y","Sort=A","Dates=H","DateFormat=P","Fill=—","Direction=H","UseDPDF=Y")</f>
        <v>#NAME?</v>
      </c>
      <c r="CK405" s="2" t="e">
        <f ca="1">_xll.BDH($C$403,"TOT_DEBT_TO_TOT_EQY","FQ2 2014","FQ2 2014","Currency=INR","Period=FQ","BEST_FPERIOD_OVERRIDE=FQ","FILING_STATUS=OR","EQY_CONSOLIDATED=Y","Sort=A","Dates=H","DateFormat=P","Fill=—","Direction=H","UseDPDF=Y")</f>
        <v>#NAME?</v>
      </c>
      <c r="CL405" s="2" t="e">
        <f ca="1">_xll.BDH($C$403,"TOT_DEBT_TO_TOT_CAP","FQ2 2014","FQ2 2014","Currency=INR","Period=FQ","BEST_FPERIOD_OVERRIDE=FQ","FILING_STATUS=OR","EQY_CONSOLIDATED=Y","Sort=A","Dates=H","DateFormat=P","Fill=—","Direction=H","UseDPDF=Y")</f>
        <v>#NAME?</v>
      </c>
      <c r="CM405" s="2" t="e">
        <f ca="1">_xll.BDH($C$403,"TOT_DEBT_TO_TOT_ASSET","FQ2 2014","FQ2 2014","Currency=INR","Period=FQ","BEST_FPERIOD_OVERRIDE=FQ","FILING_STATUS=OR","EQY_CONSOLIDATED=Y","Sort=A","Dates=H","DateFormat=P","Fill=—","Direction=H","UseDPDF=Y")</f>
        <v>#NAME?</v>
      </c>
      <c r="CN405" s="2" t="e">
        <f ca="1">_xll.BDH($C$403,"NET_DEBT_TO_SHRHLDR_EQTY","FQ2 2014","FQ2 2014","Currency=INR","Period=FQ","BEST_FPERIOD_OVERRIDE=FQ","FILING_STATUS=OR","EQY_CONSOLIDATED=Y","Sort=A","Dates=H","DateFormat=P","Fill=—","Direction=H","UseDPDF=Y")</f>
        <v>#NAME?</v>
      </c>
      <c r="CO405" s="2" t="e">
        <f ca="1">_xll.BDH($C$403,"NET_DEBT_%_CAPITAL","FQ2 2014","FQ2 2014","Currency=INR","Period=FQ","BEST_FPERIOD_OVERRIDE=FQ","FILING_STATUS=OR","EQY_CONSOLIDATED=Y","Sort=A","Dates=H","DateFormat=P","Fill=—","Direction=H","UseDPDF=Y")</f>
        <v>#NAME?</v>
      </c>
      <c r="CP405" s="3" t="e">
        <f ca="1">_xll.BDH($C$403,"EBITDA","FQ2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405" s="3" t="e">
        <f ca="1">_xll.BDH($C$403,"EBITDA_AFTER_CAPEX","FQ2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405" s="3" t="e">
        <f ca="1">_xll.BDH($C$403,"IS_OPER_INC","FQ2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405" s="2" t="e">
        <f ca="1">_xll.BDH($C$403,"CASH_RATIO","FQ2 2014","FQ2 2014","Currency=INR","Period=FQ","BEST_FPERIOD_OVERRIDE=FQ","FILING_STATUS=OR","EQY_CONSOLIDATED=Y","Sort=A","Dates=H","DateFormat=P","Fill=—","Direction=H","UseDPDF=Y")</f>
        <v>#NAME?</v>
      </c>
      <c r="CT405" s="2" t="e">
        <f ca="1">_xll.BDH($C$403,"CUR_RATIO","FQ2 2014","FQ2 2014","Currency=INR","Period=FQ","BEST_FPERIOD_OVERRIDE=FQ","FILING_STATUS=OR","EQY_CONSOLIDATED=Y","Sort=A","Dates=H","DateFormat=P","Fill=—","Direction=H","UseDPDF=Y")</f>
        <v>#NAME?</v>
      </c>
      <c r="CU405" s="2" t="e">
        <f ca="1">_xll.BDH($C$403,"QUICK_RATIO","FQ2 2014","FQ2 2014","Currency=INR","Period=FQ","BEST_FPERIOD_OVERRIDE=FQ","FILING_STATUS=OR","EQY_CONSOLIDATED=Y","Sort=A","Dates=H","DateFormat=P","Fill=—","Direction=H","UseDPDF=Y")</f>
        <v>#NAME?</v>
      </c>
      <c r="CV405" s="2" t="e">
        <f ca="1">_xll.BDH($C$403,"ALTMAN_Z_SCORE","FQ2 2014","FQ2 2014","Currency=INR","Period=FQ","BEST_FPERIOD_OVERRIDE=FQ","FILING_STATUS=OR","EQY_CONSOLIDATED=Y","Sort=A","Dates=H","DateFormat=P","Fill=—","Direction=H","UseDPDF=Y")</f>
        <v>#NAME?</v>
      </c>
      <c r="CW405" s="4" t="e">
        <f ca="1">_xll.BDH($C$403,"ACCT_RCV_TURN","FQ2 2014","FQ2 2014","Currency=INR","Period=FQ","BEST_FPERIOD_OVERRIDE=FQ","FILING_STATUS=OR","EQY_CONSOLIDATED=Y","FA_ADJUSTED=GAAP","Sort=A","Dates=H","DateFormat=P","Fill=—","Direction=H","UseDPDF=Y")</f>
        <v>#NAME?</v>
      </c>
      <c r="CX405" s="2" t="e">
        <f ca="1">_xll.BDH($C$403,"ACCT_RCV_DAYS","FQ2 2014","FQ2 2014","Currency=INR","Period=FQ","BEST_FPERIOD_OVERRIDE=FQ","FILING_STATUS=OR","EQY_CONSOLIDATED=Y","FA_ADJUSTED=GAAP","Sort=A","Dates=H","DateFormat=P","Fill=—","Direction=H","UseDPDF=Y")</f>
        <v>#NAME?</v>
      </c>
      <c r="CY405" s="4" t="e">
        <f ca="1">_xll.BDH($C$403,"INVENT_TURN","FQ2 2014","FQ2 2014","Currency=INR","Period=FQ","BEST_FPERIOD_OVERRIDE=FQ","FILING_STATUS=OR","EQY_CONSOLIDATED=Y","FA_ADJUSTED=GAAP","Sort=A","Dates=H","DateFormat=P","Fill=—","Direction=H","UseDPDF=Y")</f>
        <v>#NAME?</v>
      </c>
      <c r="CZ405" s="2" t="e">
        <f ca="1">_xll.BDH($C$403,"INVENT_DAYS","FQ2 2014","FQ2 2014","Currency=INR","Period=FQ","BEST_FPERIOD_OVERRIDE=FQ","FILING_STATUS=OR","EQY_CONSOLIDATED=Y","FA_ADJUSTED=GAAP","Sort=A","Dates=H","DateFormat=P","Fill=—","Direction=H","UseDPDF=Y")</f>
        <v>#NAME?</v>
      </c>
      <c r="DA405" s="4" t="e">
        <f ca="1">_xll.BDH($C$403,"ACCOUNTS_PAYABLE_TURNOVER","FQ2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405" s="2" t="e">
        <f ca="1">_xll.BDH($C$403,"ACCOUNTS_PAYABLE_TURNOVER_DAYS","FQ2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405" s="4" t="e">
        <f ca="1">_xll.BDH($C$403,"CASH_CONVERSION_CYCLE","FQ2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405" s="4" t="e">
        <f ca="1">_xll.BDH($C$403,"INV_TO_CASH_DAYS","FQ2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405" s="5" t="e">
        <f ca="1">_xll.BDH($C$403,"BS_INVENTORIES","FQ2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405" s="3" t="e">
        <f ca="1">_xll.BDH($C$403,"INVTRY_RAW_MATERIALS","FQ2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405" s="3" t="e">
        <f ca="1">_xll.BDH($C$403,"INVTRY_IN_PROGRESS","FQ2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405" s="3" t="e">
        <f ca="1">_xll.BDH($C$403,"INVTRY_FINISHED_GOODS","FQ2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405" s="3" t="e">
        <f ca="1">_xll.BDH($C$403,"BS_OTHER_INV","FQ2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406" spans="1:113" x14ac:dyDescent="0.3">
      <c r="A406" s="6"/>
      <c r="B406" s="6"/>
      <c r="C406" s="6"/>
      <c r="D406" s="6"/>
      <c r="E406" t="s">
        <v>80</v>
      </c>
      <c r="F406" t="e">
        <f ca="1">_xll.BDH($C$403,"RETURN_COM_EQY","FQ3 2014","FQ3 2014","Currency=INR","Period=FQ","BEST_FPERIOD_OVERRIDE=FQ","FILING_STATUS=OR","EQY_CONSOLIDATED=Y","FA_ADJUSTED=GAAP","Sort=A","Dates=H","DateFormat=P","Fill=—","Direction=H","UseDPDF=Y")</f>
        <v>#NAME?</v>
      </c>
      <c r="G406" t="e">
        <f ca="1">_xll.BDH($C$403,"RETURN_ON_ASSET","FQ3 2014","FQ3 2014","Currency=INR","Period=FQ","BEST_FPERIOD_OVERRIDE=FQ","FILING_STATUS=OR","EQY_CONSOLIDATED=Y","FA_ADJUSTED=GAAP","Sort=A","Dates=H","DateFormat=P","Fill=—","Direction=H","UseDPDF=Y")</f>
        <v>#NAME?</v>
      </c>
      <c r="H406" t="e">
        <f ca="1">_xll.BDH($C$403,"RETURN_ON_CAP","FQ3 2014","FQ3 2014","Currency=INR","Period=FQ","BEST_FPERIOD_OVERRIDE=FQ","FILING_STATUS=OR","EQY_CONSOLIDATED=Y","FA_ADJUSTED=GAAP","Sort=A","Dates=H","DateFormat=P","Fill=—","Direction=H","UseDPDF=Y")</f>
        <v>#NAME?</v>
      </c>
      <c r="I406" t="e">
        <f ca="1">_xll.BDH($C$403,"RETURN_ON_INV_CAPITAL","FQ3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406" t="e">
        <f ca="1">_xll.BDH($C$403,"EBITDA_TO_REVENUE","FQ3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406" t="e">
        <f ca="1">_xll.BDH($C$403,"OPER_MARGIN","FQ3 2014","FQ3 2014","Currency=INR","Period=FQ","BEST_FPERIOD_OVERRIDE=FQ","FILING_STATUS=OR","EQY_CONSOLIDATED=Y","FA_ADJUSTED=GAAP","Sort=A","Dates=H","DateFormat=P","Fill=—","Direction=H","UseDPDF=Y")</f>
        <v>#NAME?</v>
      </c>
      <c r="L406" t="e">
        <f ca="1">_xll.BDH($C$403,"INCREMENTAL_OPERATING_MARGIN","FQ3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406" t="e">
        <f ca="1">_xll.BDH($C$403,"PRETAX_INC_TO_NET_SALES","FQ3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406" t="e">
        <f ca="1">_xll.BDH($C$403,"INC_BEF_XO_ITEMS_TO_NET_SALES","FQ3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406" t="e">
        <f ca="1">_xll.BDH($C$403,"PROF_MARGIN","FQ3 2014","FQ3 2014","Currency=INR","Period=FQ","BEST_FPERIOD_OVERRIDE=FQ","FILING_STATUS=OR","EQY_CONSOLIDATED=Y","FA_ADJUSTED=GAAP","Sort=A","Dates=H","DateFormat=P","Fill=—","Direction=H","UseDPDF=Y")</f>
        <v>#NAME?</v>
      </c>
      <c r="P406" t="e">
        <f ca="1">_xll.BDH($C$403,"NET_INCOME_TO_COMMON_MARGIN","FQ3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406" t="e">
        <f ca="1">_xll.BDH($C$403,"EFF_TAX_RATE","FQ3 2014","FQ3 2014","Currency=INR","Period=FQ","BEST_FPERIOD_OVERRIDE=FQ","FILING_STATUS=OR","EQY_CONSOLIDATED=Y","FA_ADJUSTED=GAAP","Sort=A","Dates=H","DateFormat=P","Fill=—","Direction=H","UseDPDF=Y")</f>
        <v>#NAME?</v>
      </c>
      <c r="R406" t="e">
        <f ca="1">_xll.BDH($C$403,"DVD_PAYOUT_RATIO","FQ3 2014","FQ3 2014","Currency=INR","Period=FQ","BEST_FPERIOD_OVERRIDE=FQ","FILING_STATUS=OR","EQY_CONSOLIDATED=Y","FA_ADJUSTED=GAAP","Sort=A","Dates=H","DateFormat=P","Fill=—","Direction=H","UseDPDF=Y")</f>
        <v>#NAME?</v>
      </c>
      <c r="S406" t="e">
        <f ca="1">_xll.BDH($C$403,"SUSTAIN_GROWTH_RT","FQ3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406" s="2" t="e">
        <f ca="1">_xll.BDH($C$403,"SALES_GROWTH","FQ3 2014","FQ3 2014","Currency=INR","Period=FQ","BEST_FPERIOD_OVERRIDE=FQ","FILING_STATUS=OR","EQY_CONSOLIDATED=Y","FA_ADJUSTED=GAAP","Sort=A","Dates=H","DateFormat=P","Fill=—","Direction=H","UseDPDF=Y")</f>
        <v>#NAME?</v>
      </c>
      <c r="U406" s="2" t="e">
        <f ca="1">_xll.BDH($C$403,"EBITDA_GROWTH","FQ3 2014","FQ3 2014","Currency=INR","Period=FQ","BEST_FPERIOD_OVERRIDE=FQ","FILING_STATUS=OR","EQY_CONSOLIDATED=Y","FA_ADJUSTED=GAAP","Sort=A","Dates=H","DateFormat=P","Fill=—","Direction=H","UseDPDF=Y")</f>
        <v>#NAME?</v>
      </c>
      <c r="V406" s="2" t="e">
        <f ca="1">_xll.BDH($C$403,"OPER_INC_GROWTH","FQ3 2014","FQ3 2014","Currency=INR","Period=FQ","BEST_FPERIOD_OVERRIDE=FQ","FILING_STATUS=OR","EQY_CONSOLIDATED=Y","FA_ADJUSTED=GAAP","Sort=A","Dates=H","DateFormat=P","Fill=—","Direction=H","UseDPDF=Y")</f>
        <v>#NAME?</v>
      </c>
      <c r="W406" s="2" t="e">
        <f ca="1">_xll.BDH($C$403,"EARN_FOR_COM_GROWTH","FQ3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406" s="2" t="e">
        <f ca="1">_xll.BDH($C$403,"DILUTED_EPS_AFT_XO_ITEMS_GROWTH","FQ3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406" s="2" t="e">
        <f ca="1">_xll.BDH($C$403,"DIVIDEND_PER_SHARE_1_YEAR_GROWTH","FQ3 2014","FQ3 2014","Currency=INR","Period=FQ","BEST_FPERIOD_OVERRIDE=FQ","FILING_STATUS=OR","EQY_CONSOLIDATED=Y","Sort=A","Dates=H","DateFormat=P","Fill=—","Direction=H","UseDPDF=Y")</f>
        <v>#NAME?</v>
      </c>
      <c r="Z406" s="2" t="e">
        <f ca="1">_xll.BDH($C$403,"ACCOUNTS_RECEIVABLE_GROWTH","FQ3 2014","FQ3 2014","Currency=INR","Period=FQ","BEST_FPERIOD_OVERRIDE=FQ","FILING_STATUS=OR","EQY_CONSOLIDATED=Y","Sort=A","Dates=H","DateFormat=P","Fill=—","Direction=H","UseDPDF=Y")</f>
        <v>#NAME?</v>
      </c>
      <c r="AA406" s="2" t="e">
        <f ca="1">_xll.BDH($C$403,"INVENTORY_GROWTH","FQ3 2014","FQ3 2014","Currency=INR","Period=FQ","BEST_FPERIOD_OVERRIDE=FQ","FILING_STATUS=OR","EQY_CONSOLIDATED=Y","Sort=A","Dates=H","DateFormat=P","Fill=—","Direction=H","UseDPDF=Y")</f>
        <v>#NAME?</v>
      </c>
      <c r="AB406" s="2" t="e">
        <f ca="1">_xll.BDH($C$403,"NET_FIXED_ASSETS_1_YEAR_GROWTH","FQ3 2014","FQ3 2014","Currency=INR","Period=FQ","BEST_FPERIOD_OVERRIDE=FQ","FILING_STATUS=OR","EQY_CONSOLIDATED=Y","Sort=A","Dates=H","DateFormat=P","Fill=—","Direction=H","UseDPDF=Y")</f>
        <v>#NAME?</v>
      </c>
      <c r="AC406" s="2" t="e">
        <f ca="1">_xll.BDH($C$403,"ASSET_GROWTH","FQ3 2014","FQ3 2014","Currency=INR","Period=FQ","BEST_FPERIOD_OVERRIDE=FQ","FILING_STATUS=OR","EQY_CONSOLIDATED=Y","Sort=A","Dates=H","DateFormat=P","Fill=—","Direction=H","UseDPDF=Y")</f>
        <v>#NAME?</v>
      </c>
      <c r="AD406" s="2" t="e">
        <f ca="1">_xll.BDH($C$403,"MODIFIED_WORK_CAP_GROWTH","FQ3 2014","FQ3 2014","Currency=INR","Period=FQ","BEST_FPERIOD_OVERRIDE=FQ","FILING_STATUS=OR","EQY_CONSOLIDATED=Y","Sort=A","Dates=H","DateFormat=P","Fill=—","Direction=H","UseDPDF=Y")</f>
        <v>#NAME?</v>
      </c>
      <c r="AE406" s="2" t="e">
        <f ca="1">_xll.BDH($C$403,"WORK_CAP_GROWTH","FQ3 2014","FQ3 2014","Currency=INR","Period=FQ","BEST_FPERIOD_OVERRIDE=FQ","FILING_STATUS=OR","EQY_CONSOLIDATED=Y","Sort=A","Dates=H","DateFormat=P","Fill=—","Direction=H","UseDPDF=Y")</f>
        <v>#NAME?</v>
      </c>
      <c r="AF406" s="2" t="e">
        <f ca="1">_xll.BDH($C$403,"ACCOUNTS_PAYABLE_GROWTH_1YR","FQ3 2014","FQ3 2014","Currency=INR","Period=FQ","BEST_FPERIOD_OVERRIDE=FQ","FILING_STATUS=OR","EQY_CONSOLIDATED=Y","Sort=A","Dates=H","DateFormat=P","Fill=—","Direction=H","UseDPDF=Y")</f>
        <v>#NAME?</v>
      </c>
      <c r="AG406" s="2" t="e">
        <f ca="1">_xll.BDH($C$403,"SHORT_TERM_DEBT_1_YEAR_GROWTH","FQ3 2014","FQ3 2014","Currency=INR","Period=FQ","BEST_FPERIOD_OVERRIDE=FQ","FILING_STATUS=OR","EQY_CONSOLIDATED=Y","Sort=A","Dates=H","DateFormat=P","Fill=—","Direction=H","UseDPDF=Y")</f>
        <v>#NAME?</v>
      </c>
      <c r="AH406" s="2" t="e">
        <f ca="1">_xll.BDH($C$403,"TOTAL_DEBT_1_YEAR_GROWTH","FQ3 2014","FQ3 2014","Currency=INR","Period=FQ","BEST_FPERIOD_OVERRIDE=FQ","FILING_STATUS=OR","EQY_CONSOLIDATED=Y","Sort=A","Dates=H","DateFormat=P","Fill=—","Direction=H","UseDPDF=Y")</f>
        <v>#NAME?</v>
      </c>
      <c r="AI406" s="2" t="e">
        <f ca="1">_xll.BDH($C$403,"TOTAL_EQUITY_1_YEAR_GROWTH","FQ3 2014","FQ3 2014","Currency=INR","Period=FQ","BEST_FPERIOD_OVERRIDE=FQ","FILING_STATUS=OR","EQY_CONSOLIDATED=Y","Sort=A","Dates=H","DateFormat=P","Fill=—","Direction=H","UseDPDF=Y")</f>
        <v>#NAME?</v>
      </c>
      <c r="AJ406" s="2" t="e">
        <f ca="1">_xll.BDH($C$403,"GROWTH_IN_CAP","FQ3 2014","FQ3 2014","Currency=INR","Period=FQ","BEST_FPERIOD_OVERRIDE=FQ","FILING_STATUS=OR","EQY_CONSOLIDATED=Y","Sort=A","Dates=H","DateFormat=P","Fill=—","Direction=H","UseDPDF=Y")</f>
        <v>#NAME?</v>
      </c>
      <c r="AK406" s="2" t="e">
        <f ca="1">_xll.BDH($C$403,"BVPS_GROWTH","FQ3 2014","FQ3 2014","Currency=INR","Period=FQ","BEST_FPERIOD_OVERRIDE=FQ","FILING_STATUS=OR","EQY_CONSOLIDATED=Y","Sort=A","Dates=H","DateFormat=P","Fill=—","Direction=H","UseDPDF=Y")</f>
        <v>#NAME?</v>
      </c>
      <c r="AL406" s="2" t="e">
        <f ca="1">_xll.BDH($C$403,"CASH_FLOW_GROWTH","FQ3 2014","FQ3 2014","Currency=INR","Period=FQ","BEST_FPERIOD_OVERRIDE=FQ","FILING_STATUS=OR","EQY_CONSOLIDATED=Y","Sort=A","Dates=H","DateFormat=P","Fill=—","Direction=H","UseDPDF=Y")</f>
        <v>#NAME?</v>
      </c>
      <c r="AM406" s="2" t="e">
        <f ca="1">_xll.BDH($C$403,"GEO_GROW_NET_SALES","FQ3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406" s="2" t="e">
        <f ca="1">_xll.BDH($C$403,"GEO_GROW_EBITDA","FQ3 2014","FQ3 2014","Currency=INR","Period=FQ","BEST_FPERIOD_OVERRIDE=FQ","FILING_STATUS=OR","EQY_CONSOLIDATED=Y","FA_ADJUSTED=GAAP","Sort=A","Dates=H","DateFormat=P","Fill=—","Direction=H","UseDPDF=Y")</f>
        <v>#NAME?</v>
      </c>
      <c r="AO406" s="2" t="e">
        <f ca="1">_xll.BDH($C$403,"GEO_GROW_OPER_INC","FQ3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406" s="2" t="e">
        <f ca="1">_xll.BDH($C$403,"NET_INCOME_TO_COMMON_5_YR_GROWTH","FQ3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406" s="2" t="e">
        <f ca="1">_xll.BDH($C$403,"5Y_GEO_GROWTH_DILUTED_EPS","FQ3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406" s="2" t="e">
        <f ca="1">_xll.BDH($C$403,"GEO_GROW_DVD_PER_SH","FQ3 2014","FQ3 2014","Currency=INR","Period=FQ","BEST_FPERIOD_OVERRIDE=FQ","FILING_STATUS=OR","EQY_CONSOLIDATED=Y","Sort=A","Dates=H","DateFormat=P","Fill=—","Direction=H","UseDPDF=Y")</f>
        <v>#NAME?</v>
      </c>
      <c r="AS406" s="2" t="e">
        <f ca="1">_xll.BDH($C$403,"ACCOUNTS_RECEIVABLE_5_YR_GROWTH","FQ3 2014","FQ3 2014","Currency=INR","Period=FQ","BEST_FPERIOD_OVERRIDE=FQ","FILING_STATUS=OR","EQY_CONSOLIDATED=Y","Sort=A","Dates=H","DateFormat=P","Fill=—","Direction=H","UseDPDF=Y")</f>
        <v>#NAME?</v>
      </c>
      <c r="AT406" s="2" t="e">
        <f ca="1">_xll.BDH($C$403,"INVENTORY_5_YEAR_GROWTH","FQ3 2014","FQ3 2014","Currency=INR","Period=FQ","BEST_FPERIOD_OVERRIDE=FQ","FILING_STATUS=OR","EQY_CONSOLIDATED=Y","Sort=A","Dates=H","DateFormat=P","Fill=—","Direction=H","UseDPDF=Y")</f>
        <v>#NAME?</v>
      </c>
      <c r="AU406" s="2" t="e">
        <f ca="1">_xll.BDH($C$403,"NET_FIXED_ASSETS_5_YEAR_GROWTH","FQ3 2014","FQ3 2014","Currency=INR","Period=FQ","BEST_FPERIOD_OVERRIDE=FQ","FILING_STATUS=OR","EQY_CONSOLIDATED=Y","Sort=A","Dates=H","DateFormat=P","Fill=—","Direction=H","UseDPDF=Y")</f>
        <v>#NAME?</v>
      </c>
      <c r="AV406" s="2" t="e">
        <f ca="1">_xll.BDH($C$403,"GEO_GROW_TOT_ASSET","FQ3 2014","FQ3 2014","Currency=INR","Period=FQ","BEST_FPERIOD_OVERRIDE=FQ","FILING_STATUS=OR","EQY_CONSOLIDATED=Y","Sort=A","Dates=H","DateFormat=P","Fill=—","Direction=H","UseDPDF=Y")</f>
        <v>#NAME?</v>
      </c>
      <c r="AW406" s="2" t="e">
        <f ca="1">_xll.BDH($C$403,"MODIFIED_WORKING_CPTL_5YR_GRWTH","FQ3 2014","FQ3 2014","Currency=INR","Period=FQ","BEST_FPERIOD_OVERRIDE=FQ","FILING_STATUS=OR","EQY_CONSOLIDATED=Y","Sort=A","Dates=H","DateFormat=P","Fill=—","Direction=H","UseDPDF=Y")</f>
        <v>#NAME?</v>
      </c>
      <c r="AX406" s="2" t="e">
        <f ca="1">_xll.BDH($C$403,"WORKING_CAPITAL_5_YEAR_GROWTH","FQ3 2014","FQ3 2014","Currency=INR","Period=FQ","BEST_FPERIOD_OVERRIDE=FQ","FILING_STATUS=OR","EQY_CONSOLIDATED=Y","Sort=A","Dates=H","DateFormat=P","Fill=—","Direction=H","UseDPDF=Y")</f>
        <v>#NAME?</v>
      </c>
      <c r="AY406" s="2" t="e">
        <f ca="1">_xll.BDH($C$403,"ACCOUNTS_PAYABLE_5_YEAR_GROWTH","FQ3 2014","FQ3 2014","Currency=INR","Period=FQ","BEST_FPERIOD_OVERRIDE=FQ","FILING_STATUS=OR","EQY_CONSOLIDATED=Y","Sort=A","Dates=H","DateFormat=P","Fill=—","Direction=H","UseDPDF=Y")</f>
        <v>#NAME?</v>
      </c>
      <c r="AZ406" s="2" t="e">
        <f ca="1">_xll.BDH($C$403,"SHORT_TERM_DEBT_5_YEAR_GROWTH","FQ3 2014","FQ3 2014","Currency=INR","Period=FQ","BEST_FPERIOD_OVERRIDE=FQ","FILING_STATUS=OR","EQY_CONSOLIDATED=Y","Sort=A","Dates=H","DateFormat=P","Fill=—","Direction=H","UseDPDF=Y")</f>
        <v>#NAME?</v>
      </c>
      <c r="BA406" s="2" t="e">
        <f ca="1">_xll.BDH($C$403,"TOTAL_DEBT_5_YEAR_GROWTH","FQ3 2014","FQ3 2014","Currency=INR","Period=FQ","BEST_FPERIOD_OVERRIDE=FQ","FILING_STATUS=OR","EQY_CONSOLIDATED=Y","Sort=A","Dates=H","DateFormat=P","Fill=—","Direction=H","UseDPDF=Y")</f>
        <v>#NAME?</v>
      </c>
      <c r="BB406" s="2" t="e">
        <f ca="1">_xll.BDH($C$403,"GEO_GROW_TOT_SHRHLDR_EQY","FQ3 2014","FQ3 2014","Currency=INR","Period=FQ","BEST_FPERIOD_OVERRIDE=FQ","FILING_STATUS=OR","EQY_CONSOLIDATED=Y","Sort=A","Dates=H","DateFormat=P","Fill=—","Direction=H","UseDPDF=Y")</f>
        <v>#NAME?</v>
      </c>
      <c r="BC406" s="2" t="e">
        <f ca="1">_xll.BDH($C$403,"TOTAL_CAPITAL_5_YEAR_GROWTH","FQ3 2014","FQ3 2014","Currency=INR","Period=FQ","BEST_FPERIOD_OVERRIDE=FQ","FILING_STATUS=OR","EQY_CONSOLIDATED=Y","Sort=A","Dates=H","DateFormat=P","Fill=—","Direction=H","UseDPDF=Y")</f>
        <v>#NAME?</v>
      </c>
      <c r="BD406" s="2" t="e">
        <f ca="1">_xll.BDH($C$403,"GEO_GROW_BOOK_VAL","FQ3 2014","FQ3 2014","Currency=INR","Period=FQ","BEST_FPERIOD_OVERRIDE=FQ","FILING_STATUS=OR","EQY_CONSOLIDATED=Y","Sort=A","Dates=H","DateFormat=P","Fill=—","Direction=H","UseDPDF=Y")</f>
        <v>#NAME?</v>
      </c>
      <c r="BE406" s="2" t="e">
        <f ca="1">_xll.BDH($C$403,"GEO_GROW_CASH_OPER_ACT","FQ3 2014","FQ3 2014","Currency=INR","Period=FQ","BEST_FPERIOD_OVERRIDE=FQ","FILING_STATUS=OR","EQY_CONSOLIDATED=Y","Sort=A","Dates=H","DateFormat=P","Fill=—","Direction=H","UseDPDF=Y")</f>
        <v>#NAME?</v>
      </c>
      <c r="BF406" s="2" t="e">
        <f ca="1">_xll.BDH($C$403,"REVENUE_SEQUENTIAL_GROWTH","FQ3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406" s="2" t="e">
        <f ca="1">_xll.BDH($C$403,"EBITDA_SEQUENTIAL_GROWTH","FQ3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406" s="2" t="e">
        <f ca="1">_xll.BDH($C$403,"OPERATING_INCOME_SEQ_GROWTH","FQ3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406" s="2" t="e">
        <f ca="1">_xll.BDH($C$403,"NET_INCOME_TO_COMMON_SEQ_GROWTH","FQ3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406" s="2" t="e">
        <f ca="1">_xll.BDH($C$403,"EPS_DILUTED_SEQUENTIAL_GROWTH","FQ3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406" s="2" t="e">
        <f ca="1">_xll.BDH($C$403,"DPS_SEQUENTIAL_GROWTH","FQ3 2014","FQ3 2014","Currency=INR","Period=FQ","BEST_FPERIOD_OVERRIDE=FQ","FILING_STATUS=OR","EQY_CONSOLIDATED=Y","Sort=A","Dates=H","DateFormat=P","Fill=—","Direction=H","UseDPDF=Y")</f>
        <v>#NAME?</v>
      </c>
      <c r="BL406" s="2" t="e">
        <f ca="1">_xll.BDH($C$403,"ACCOUNTS_RECEIVABLE_SEQ_GROWTH","FQ3 2014","FQ3 2014","Currency=INR","Period=FQ","BEST_FPERIOD_OVERRIDE=FQ","FILING_STATUS=OR","EQY_CONSOLIDATED=Y","Sort=A","Dates=H","DateFormat=P","Fill=—","Direction=H","UseDPDF=Y")</f>
        <v>#NAME?</v>
      </c>
      <c r="BM406" s="2" t="e">
        <f ca="1">_xll.BDH($C$403,"INVENTORY_SEQUENTIAL_GROWTH","FQ3 2014","FQ3 2014","Currency=INR","Period=FQ","BEST_FPERIOD_OVERRIDE=FQ","FILING_STATUS=OR","EQY_CONSOLIDATED=Y","Sort=A","Dates=H","DateFormat=P","Fill=—","Direction=H","UseDPDF=Y")</f>
        <v>#NAME?</v>
      </c>
      <c r="BN406" s="2" t="e">
        <f ca="1">_xll.BDH($C$403,"FIXED_ASSETS_SEQUENTIAL_GROWTH","FQ3 2014","FQ3 2014","Currency=INR","Period=FQ","BEST_FPERIOD_OVERRIDE=FQ","FILING_STATUS=OR","EQY_CONSOLIDATED=Y","Sort=A","Dates=H","DateFormat=P","Fill=—","Direction=H","UseDPDF=Y")</f>
        <v>#NAME?</v>
      </c>
      <c r="BO406" s="2" t="e">
        <f ca="1">_xll.BDH($C$403,"TOTAL_ASSETS_SEQUENTIAL_GROWTH","FQ3 2014","FQ3 2014","Currency=INR","Period=FQ","BEST_FPERIOD_OVERRIDE=FQ","FILING_STATUS=OR","EQY_CONSOLIDATED=Y","Sort=A","Dates=H","DateFormat=P","Fill=—","Direction=H","UseDPDF=Y")</f>
        <v>#NAME?</v>
      </c>
      <c r="BP406" s="2" t="e">
        <f ca="1">_xll.BDH($C$403,"MODIFIED_WORKING_CPTL_SEQ_GRWTH","FQ3 2014","FQ3 2014","Currency=INR","Period=FQ","BEST_FPERIOD_OVERRIDE=FQ","FILING_STATUS=OR","EQY_CONSOLIDATED=Y","Sort=A","Dates=H","DateFormat=P","Fill=—","Direction=H","UseDPDF=Y")</f>
        <v>#NAME?</v>
      </c>
      <c r="BQ406" s="2" t="e">
        <f ca="1">_xll.BDH($C$403,"WORKING_CAPITAL_SEQ_GROWTH","FQ3 2014","FQ3 2014","Currency=INR","Period=FQ","BEST_FPERIOD_OVERRIDE=FQ","FILING_STATUS=OR","EQY_CONSOLIDATED=Y","Sort=A","Dates=H","DateFormat=P","Fill=—","Direction=H","UseDPDF=Y")</f>
        <v>#NAME?</v>
      </c>
      <c r="BR406" s="2" t="e">
        <f ca="1">_xll.BDH($C$403,"ACCOUNTS_PAYABLE_SEQ_GROWTH","FQ3 2014","FQ3 2014","Currency=INR","Period=FQ","BEST_FPERIOD_OVERRIDE=FQ","FILING_STATUS=OR","EQY_CONSOLIDATED=Y","Sort=A","Dates=H","DateFormat=P","Fill=—","Direction=H","UseDPDF=Y")</f>
        <v>#NAME?</v>
      </c>
      <c r="BS406" s="2" t="e">
        <f ca="1">_xll.BDH($C$403,"ST_DEBT_SEQUENTIAL_GROWTH","FQ3 2014","FQ3 2014","Currency=INR","Period=FQ","BEST_FPERIOD_OVERRIDE=FQ","FILING_STATUS=OR","EQY_CONSOLIDATED=Y","Sort=A","Dates=H","DateFormat=P","Fill=—","Direction=H","UseDPDF=Y")</f>
        <v>#NAME?</v>
      </c>
      <c r="BT406" s="2" t="e">
        <f ca="1">_xll.BDH($C$403,"TOTAL_DEBT_SEQUENTIAL_GROWTH","FQ3 2014","FQ3 2014","Currency=INR","Period=FQ","BEST_FPERIOD_OVERRIDE=FQ","FILING_STATUS=OR","EQY_CONSOLIDATED=Y","Sort=A","Dates=H","DateFormat=P","Fill=—","Direction=H","UseDPDF=Y")</f>
        <v>#NAME?</v>
      </c>
      <c r="BU406" s="2" t="e">
        <f ca="1">_xll.BDH($C$403,"TOTAL_EQUITY_SEQUENTIAL_GROWTH","FQ3 2014","FQ3 2014","Currency=INR","Period=FQ","BEST_FPERIOD_OVERRIDE=FQ","FILING_STATUS=OR","EQY_CONSOLIDATED=Y","Sort=A","Dates=H","DateFormat=P","Fill=—","Direction=H","UseDPDF=Y")</f>
        <v>#NAME?</v>
      </c>
      <c r="BV406" s="2" t="e">
        <f ca="1">_xll.BDH($C$403,"TOTAL_CAPITAL_SEQUENTIAL_GROWTH","FQ3 2014","FQ3 2014","Currency=INR","Period=FQ","BEST_FPERIOD_OVERRIDE=FQ","FILING_STATUS=OR","EQY_CONSOLIDATED=Y","Sort=A","Dates=H","DateFormat=P","Fill=—","Direction=H","UseDPDF=Y")</f>
        <v>#NAME?</v>
      </c>
      <c r="BW406" s="2" t="e">
        <f ca="1">_xll.BDH($C$403,"BPS_SEQUENTIAL_GROWTH","FQ3 2014","FQ3 2014","Currency=INR","Period=FQ","BEST_FPERIOD_OVERRIDE=FQ","FILING_STATUS=OR","EQY_CONSOLIDATED=Y","Sort=A","Dates=H","DateFormat=P","Fill=—","Direction=H","UseDPDF=Y")</f>
        <v>#NAME?</v>
      </c>
      <c r="BX406" s="2" t="e">
        <f ca="1">_xll.BDH($C$403,"CFO_SEQUENTIAL_GROWTH","FQ3 2014","FQ3 2014","Currency=INR","Period=FQ","BEST_FPERIOD_OVERRIDE=FQ","FILING_STATUS=OR","EQY_CONSOLIDATED=Y","Sort=A","Dates=H","DateFormat=P","Fill=—","Direction=H","UseDPDF=Y")</f>
        <v>#NAME?</v>
      </c>
      <c r="BY406" s="3" t="e">
        <f ca="1">_xll.BDH($C$403,"SHORT_AND_LONG_TERM_DEBT","FQ3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406" s="3" t="e">
        <f ca="1">_xll.BDH($C$403,"BS_ST_BORROW","FQ3 2014","FQ3 2014","Currency=INR","Period=FQ","BEST_FPERIOD_OVERRIDE=FQ","FILING_STATUS=OR","EQY_CONSOLIDATED=Y","SCALING_FORMAT=MLN","Sort=A","Dates=H","DateFormat=P","Fill=—","Direction=H","UseDPDF=Y")</f>
        <v>#NAME?</v>
      </c>
      <c r="CA406" s="3" t="e">
        <f ca="1">_xll.BDH($C$403,"BS_LT_BORROW","FQ3 2014","FQ3 2014","Currency=INR","Period=FQ","BEST_FPERIOD_OVERRIDE=FQ","FILING_STATUS=OR","EQY_CONSOLIDATED=Y","SCALING_FORMAT=MLN","Sort=A","Dates=H","DateFormat=P","Fill=—","Direction=H","UseDPDF=Y")</f>
        <v>#NAME?</v>
      </c>
      <c r="CB406" s="2" t="e">
        <f ca="1">_xll.BDH($C$403,"TOT_DEBT_TO_EBITDA","FQ3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406" s="2" t="e">
        <f ca="1">_xll.BDH($C$403,"NET_DEBT_TO_EBITDA","FQ3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406" s="2" t="e">
        <f ca="1">_xll.BDH($C$403,"TOTAL_DEBT_TO_EBIT","FQ3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406" s="2" t="e">
        <f ca="1">_xll.BDH($C$403,"NET_DEBT_TO_EBIT","FQ3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406" s="2" t="e">
        <f ca="1">_xll.BDH($C$403,"EBITDA_TO_INTEREST_EXPN","FQ3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406" s="2" t="e">
        <f ca="1">_xll.BDH($C$403,"COM_EQY_TO_TOT_ASSET","FQ3 2014","FQ3 2014","Currency=INR","Period=FQ","BEST_FPERIOD_OVERRIDE=FQ","FILING_STATUS=OR","EQY_CONSOLIDATED=Y","Sort=A","Dates=H","DateFormat=P","Fill=—","Direction=H","UseDPDF=Y")</f>
        <v>#NAME?</v>
      </c>
      <c r="CH406" s="2" t="e">
        <f ca="1">_xll.BDH($C$403,"LT_DEBT_TO_TOT_EQY","FQ3 2014","FQ3 2014","Currency=INR","Period=FQ","BEST_FPERIOD_OVERRIDE=FQ","FILING_STATUS=OR","EQY_CONSOLIDATED=Y","Sort=A","Dates=H","DateFormat=P","Fill=—","Direction=H","UseDPDF=Y")</f>
        <v>#NAME?</v>
      </c>
      <c r="CI406" s="2" t="e">
        <f ca="1">_xll.BDH($C$403,"LT_DEBT_TO_TOT_CAP","FQ3 2014","FQ3 2014","Currency=INR","Period=FQ","BEST_FPERIOD_OVERRIDE=FQ","FILING_STATUS=OR","EQY_CONSOLIDATED=Y","Sort=A","Dates=H","DateFormat=P","Fill=—","Direction=H","UseDPDF=Y")</f>
        <v>#NAME?</v>
      </c>
      <c r="CJ406" s="2" t="e">
        <f ca="1">_xll.BDH($C$403,"LT_DEBT_TO_TOT_ASSET","FQ3 2014","FQ3 2014","Currency=INR","Period=FQ","BEST_FPERIOD_OVERRIDE=FQ","FILING_STATUS=OR","EQY_CONSOLIDATED=Y","Sort=A","Dates=H","DateFormat=P","Fill=—","Direction=H","UseDPDF=Y")</f>
        <v>#NAME?</v>
      </c>
      <c r="CK406" s="2" t="e">
        <f ca="1">_xll.BDH($C$403,"TOT_DEBT_TO_TOT_EQY","FQ3 2014","FQ3 2014","Currency=INR","Period=FQ","BEST_FPERIOD_OVERRIDE=FQ","FILING_STATUS=OR","EQY_CONSOLIDATED=Y","Sort=A","Dates=H","DateFormat=P","Fill=—","Direction=H","UseDPDF=Y")</f>
        <v>#NAME?</v>
      </c>
      <c r="CL406" s="2" t="e">
        <f ca="1">_xll.BDH($C$403,"TOT_DEBT_TO_TOT_CAP","FQ3 2014","FQ3 2014","Currency=INR","Period=FQ","BEST_FPERIOD_OVERRIDE=FQ","FILING_STATUS=OR","EQY_CONSOLIDATED=Y","Sort=A","Dates=H","DateFormat=P","Fill=—","Direction=H","UseDPDF=Y")</f>
        <v>#NAME?</v>
      </c>
      <c r="CM406" s="2" t="e">
        <f ca="1">_xll.BDH($C$403,"TOT_DEBT_TO_TOT_ASSET","FQ3 2014","FQ3 2014","Currency=INR","Period=FQ","BEST_FPERIOD_OVERRIDE=FQ","FILING_STATUS=OR","EQY_CONSOLIDATED=Y","Sort=A","Dates=H","DateFormat=P","Fill=—","Direction=H","UseDPDF=Y")</f>
        <v>#NAME?</v>
      </c>
      <c r="CN406" s="2" t="e">
        <f ca="1">_xll.BDH($C$403,"NET_DEBT_TO_SHRHLDR_EQTY","FQ3 2014","FQ3 2014","Currency=INR","Period=FQ","BEST_FPERIOD_OVERRIDE=FQ","FILING_STATUS=OR","EQY_CONSOLIDATED=Y","Sort=A","Dates=H","DateFormat=P","Fill=—","Direction=H","UseDPDF=Y")</f>
        <v>#NAME?</v>
      </c>
      <c r="CO406" s="2" t="e">
        <f ca="1">_xll.BDH($C$403,"NET_DEBT_%_CAPITAL","FQ3 2014","FQ3 2014","Currency=INR","Period=FQ","BEST_FPERIOD_OVERRIDE=FQ","FILING_STATUS=OR","EQY_CONSOLIDATED=Y","Sort=A","Dates=H","DateFormat=P","Fill=—","Direction=H","UseDPDF=Y")</f>
        <v>#NAME?</v>
      </c>
      <c r="CP406" s="3" t="e">
        <f ca="1">_xll.BDH($C$403,"EBITDA","FQ3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406" s="3" t="e">
        <f ca="1">_xll.BDH($C$403,"EBITDA_AFTER_CAPEX","FQ3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406" s="3" t="e">
        <f ca="1">_xll.BDH($C$403,"IS_OPER_INC","FQ3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406" s="2" t="e">
        <f ca="1">_xll.BDH($C$403,"CASH_RATIO","FQ3 2014","FQ3 2014","Currency=INR","Period=FQ","BEST_FPERIOD_OVERRIDE=FQ","FILING_STATUS=OR","EQY_CONSOLIDATED=Y","Sort=A","Dates=H","DateFormat=P","Fill=—","Direction=H","UseDPDF=Y")</f>
        <v>#NAME?</v>
      </c>
      <c r="CT406" s="2" t="e">
        <f ca="1">_xll.BDH($C$403,"CUR_RATIO","FQ3 2014","FQ3 2014","Currency=INR","Period=FQ","BEST_FPERIOD_OVERRIDE=FQ","FILING_STATUS=OR","EQY_CONSOLIDATED=Y","Sort=A","Dates=H","DateFormat=P","Fill=—","Direction=H","UseDPDF=Y")</f>
        <v>#NAME?</v>
      </c>
      <c r="CU406" s="2" t="e">
        <f ca="1">_xll.BDH($C$403,"QUICK_RATIO","FQ3 2014","FQ3 2014","Currency=INR","Period=FQ","BEST_FPERIOD_OVERRIDE=FQ","FILING_STATUS=OR","EQY_CONSOLIDATED=Y","Sort=A","Dates=H","DateFormat=P","Fill=—","Direction=H","UseDPDF=Y")</f>
        <v>#NAME?</v>
      </c>
      <c r="CV406" s="2" t="e">
        <f ca="1">_xll.BDH($C$403,"ALTMAN_Z_SCORE","FQ3 2014","FQ3 2014","Currency=INR","Period=FQ","BEST_FPERIOD_OVERRIDE=FQ","FILING_STATUS=OR","EQY_CONSOLIDATED=Y","Sort=A","Dates=H","DateFormat=P","Fill=—","Direction=H","UseDPDF=Y")</f>
        <v>#NAME?</v>
      </c>
      <c r="CW406" s="4" t="e">
        <f ca="1">_xll.BDH($C$403,"ACCT_RCV_TURN","FQ3 2014","FQ3 2014","Currency=INR","Period=FQ","BEST_FPERIOD_OVERRIDE=FQ","FILING_STATUS=OR","EQY_CONSOLIDATED=Y","FA_ADJUSTED=GAAP","Sort=A","Dates=H","DateFormat=P","Fill=—","Direction=H","UseDPDF=Y")</f>
        <v>#NAME?</v>
      </c>
      <c r="CX406" s="2" t="e">
        <f ca="1">_xll.BDH($C$403,"ACCT_RCV_DAYS","FQ3 2014","FQ3 2014","Currency=INR","Period=FQ","BEST_FPERIOD_OVERRIDE=FQ","FILING_STATUS=OR","EQY_CONSOLIDATED=Y","FA_ADJUSTED=GAAP","Sort=A","Dates=H","DateFormat=P","Fill=—","Direction=H","UseDPDF=Y")</f>
        <v>#NAME?</v>
      </c>
      <c r="CY406" s="4" t="e">
        <f ca="1">_xll.BDH($C$403,"INVENT_TURN","FQ3 2014","FQ3 2014","Currency=INR","Period=FQ","BEST_FPERIOD_OVERRIDE=FQ","FILING_STATUS=OR","EQY_CONSOLIDATED=Y","FA_ADJUSTED=GAAP","Sort=A","Dates=H","DateFormat=P","Fill=—","Direction=H","UseDPDF=Y")</f>
        <v>#NAME?</v>
      </c>
      <c r="CZ406" s="2" t="e">
        <f ca="1">_xll.BDH($C$403,"INVENT_DAYS","FQ3 2014","FQ3 2014","Currency=INR","Period=FQ","BEST_FPERIOD_OVERRIDE=FQ","FILING_STATUS=OR","EQY_CONSOLIDATED=Y","FA_ADJUSTED=GAAP","Sort=A","Dates=H","DateFormat=P","Fill=—","Direction=H","UseDPDF=Y")</f>
        <v>#NAME?</v>
      </c>
      <c r="DA406" s="4" t="e">
        <f ca="1">_xll.BDH($C$403,"ACCOUNTS_PAYABLE_TURNOVER","FQ3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406" s="2" t="e">
        <f ca="1">_xll.BDH($C$403,"ACCOUNTS_PAYABLE_TURNOVER_DAYS","FQ3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406" s="4" t="e">
        <f ca="1">_xll.BDH($C$403,"CASH_CONVERSION_CYCLE","FQ3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406" s="4" t="e">
        <f ca="1">_xll.BDH($C$403,"INV_TO_CASH_DAYS","FQ3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406" s="5" t="e">
        <f ca="1">_xll.BDH($C$403,"BS_INVENTORIES","FQ3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406" s="3" t="e">
        <f ca="1">_xll.BDH($C$403,"INVTRY_RAW_MATERIALS","FQ3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406" s="3" t="e">
        <f ca="1">_xll.BDH($C$403,"INVTRY_IN_PROGRESS","FQ3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406" s="3" t="e">
        <f ca="1">_xll.BDH($C$403,"INVTRY_FINISHED_GOODS","FQ3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406" s="3" t="e">
        <f ca="1">_xll.BDH($C$403,"BS_OTHER_INV","FQ3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407" spans="1:113" x14ac:dyDescent="0.3">
      <c r="A407" s="6"/>
      <c r="B407" s="6"/>
      <c r="C407" s="6"/>
      <c r="D407" s="6"/>
      <c r="E407" t="s">
        <v>81</v>
      </c>
      <c r="F407" t="e">
        <f ca="1">_xll.BDH($C$403,"RETURN_COM_EQY","FQ4 2014","FQ4 2014","Currency=INR","Period=FQ","BEST_FPERIOD_OVERRIDE=FQ","FILING_STATUS=OR","EQY_CONSOLIDATED=Y","FA_ADJUSTED=GAAP","Sort=A","Dates=H","DateFormat=P","Fill=—","Direction=H","UseDPDF=Y")</f>
        <v>#NAME?</v>
      </c>
      <c r="G407" t="e">
        <f ca="1">_xll.BDH($C$403,"RETURN_ON_ASSET","FQ4 2014","FQ4 2014","Currency=INR","Period=FQ","BEST_FPERIOD_OVERRIDE=FQ","FILING_STATUS=OR","EQY_CONSOLIDATED=Y","FA_ADJUSTED=GAAP","Sort=A","Dates=H","DateFormat=P","Fill=—","Direction=H","UseDPDF=Y")</f>
        <v>#NAME?</v>
      </c>
      <c r="H407" t="e">
        <f ca="1">_xll.BDH($C$403,"RETURN_ON_CAP","FQ4 2014","FQ4 2014","Currency=INR","Period=FQ","BEST_FPERIOD_OVERRIDE=FQ","FILING_STATUS=OR","EQY_CONSOLIDATED=Y","FA_ADJUSTED=GAAP","Sort=A","Dates=H","DateFormat=P","Fill=—","Direction=H","UseDPDF=Y")</f>
        <v>#NAME?</v>
      </c>
      <c r="I407" t="e">
        <f ca="1">_xll.BDH($C$403,"RETURN_ON_INV_CAPITAL","FQ4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407" t="e">
        <f ca="1">_xll.BDH($C$403,"EBITDA_TO_REVENUE","FQ4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407" t="e">
        <f ca="1">_xll.BDH($C$403,"OPER_MARGIN","FQ4 2014","FQ4 2014","Currency=INR","Period=FQ","BEST_FPERIOD_OVERRIDE=FQ","FILING_STATUS=OR","EQY_CONSOLIDATED=Y","FA_ADJUSTED=GAAP","Sort=A","Dates=H","DateFormat=P","Fill=—","Direction=H","UseDPDF=Y")</f>
        <v>#NAME?</v>
      </c>
      <c r="L407" t="e">
        <f ca="1">_xll.BDH($C$403,"INCREMENTAL_OPERATING_MARGIN","FQ4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407" t="e">
        <f ca="1">_xll.BDH($C$403,"PRETAX_INC_TO_NET_SALES","FQ4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407" t="e">
        <f ca="1">_xll.BDH($C$403,"INC_BEF_XO_ITEMS_TO_NET_SALES","FQ4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407" t="e">
        <f ca="1">_xll.BDH($C$403,"PROF_MARGIN","FQ4 2014","FQ4 2014","Currency=INR","Period=FQ","BEST_FPERIOD_OVERRIDE=FQ","FILING_STATUS=OR","EQY_CONSOLIDATED=Y","FA_ADJUSTED=GAAP","Sort=A","Dates=H","DateFormat=P","Fill=—","Direction=H","UseDPDF=Y")</f>
        <v>#NAME?</v>
      </c>
      <c r="P407" t="e">
        <f ca="1">_xll.BDH($C$403,"NET_INCOME_TO_COMMON_MARGIN","FQ4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407" t="e">
        <f ca="1">_xll.BDH($C$403,"EFF_TAX_RATE","FQ4 2014","FQ4 2014","Currency=INR","Period=FQ","BEST_FPERIOD_OVERRIDE=FQ","FILING_STATUS=OR","EQY_CONSOLIDATED=Y","FA_ADJUSTED=GAAP","Sort=A","Dates=H","DateFormat=P","Fill=—","Direction=H","UseDPDF=Y")</f>
        <v>#NAME?</v>
      </c>
      <c r="R407" t="e">
        <f ca="1">_xll.BDH($C$403,"DVD_PAYOUT_RATIO","FQ4 2014","FQ4 2014","Currency=INR","Period=FQ","BEST_FPERIOD_OVERRIDE=FQ","FILING_STATUS=OR","EQY_CONSOLIDATED=Y","FA_ADJUSTED=GAAP","Sort=A","Dates=H","DateFormat=P","Fill=—","Direction=H","UseDPDF=Y")</f>
        <v>#NAME?</v>
      </c>
      <c r="S407" t="e">
        <f ca="1">_xll.BDH($C$403,"SUSTAIN_GROWTH_RT","FQ4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407" s="2" t="e">
        <f ca="1">_xll.BDH($C$403,"SALES_GROWTH","FQ4 2014","FQ4 2014","Currency=INR","Period=FQ","BEST_FPERIOD_OVERRIDE=FQ","FILING_STATUS=OR","EQY_CONSOLIDATED=Y","FA_ADJUSTED=GAAP","Sort=A","Dates=H","DateFormat=P","Fill=—","Direction=H","UseDPDF=Y")</f>
        <v>#NAME?</v>
      </c>
      <c r="U407" s="2" t="e">
        <f ca="1">_xll.BDH($C$403,"EBITDA_GROWTH","FQ4 2014","FQ4 2014","Currency=INR","Period=FQ","BEST_FPERIOD_OVERRIDE=FQ","FILING_STATUS=OR","EQY_CONSOLIDATED=Y","FA_ADJUSTED=GAAP","Sort=A","Dates=H","DateFormat=P","Fill=—","Direction=H","UseDPDF=Y")</f>
        <v>#NAME?</v>
      </c>
      <c r="V407" s="2" t="e">
        <f ca="1">_xll.BDH($C$403,"OPER_INC_GROWTH","FQ4 2014","FQ4 2014","Currency=INR","Period=FQ","BEST_FPERIOD_OVERRIDE=FQ","FILING_STATUS=OR","EQY_CONSOLIDATED=Y","FA_ADJUSTED=GAAP","Sort=A","Dates=H","DateFormat=P","Fill=—","Direction=H","UseDPDF=Y")</f>
        <v>#NAME?</v>
      </c>
      <c r="W407" s="2" t="e">
        <f ca="1">_xll.BDH($C$403,"EARN_FOR_COM_GROWTH","FQ4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407" s="2" t="e">
        <f ca="1">_xll.BDH($C$403,"DILUTED_EPS_AFT_XO_ITEMS_GROWTH","FQ4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407" s="2" t="e">
        <f ca="1">_xll.BDH($C$403,"DIVIDEND_PER_SHARE_1_YEAR_GROWTH","FQ4 2014","FQ4 2014","Currency=INR","Period=FQ","BEST_FPERIOD_OVERRIDE=FQ","FILING_STATUS=OR","EQY_CONSOLIDATED=Y","Sort=A","Dates=H","DateFormat=P","Fill=—","Direction=H","UseDPDF=Y")</f>
        <v>#NAME?</v>
      </c>
      <c r="Z407" s="2" t="e">
        <f ca="1">_xll.BDH($C$403,"ACCOUNTS_RECEIVABLE_GROWTH","FQ4 2014","FQ4 2014","Currency=INR","Period=FQ","BEST_FPERIOD_OVERRIDE=FQ","FILING_STATUS=OR","EQY_CONSOLIDATED=Y","Sort=A","Dates=H","DateFormat=P","Fill=—","Direction=H","UseDPDF=Y")</f>
        <v>#NAME?</v>
      </c>
      <c r="AA407" s="2" t="e">
        <f ca="1">_xll.BDH($C$403,"INVENTORY_GROWTH","FQ4 2014","FQ4 2014","Currency=INR","Period=FQ","BEST_FPERIOD_OVERRIDE=FQ","FILING_STATUS=OR","EQY_CONSOLIDATED=Y","Sort=A","Dates=H","DateFormat=P","Fill=—","Direction=H","UseDPDF=Y")</f>
        <v>#NAME?</v>
      </c>
      <c r="AB407" s="2" t="e">
        <f ca="1">_xll.BDH($C$403,"NET_FIXED_ASSETS_1_YEAR_GROWTH","FQ4 2014","FQ4 2014","Currency=INR","Period=FQ","BEST_FPERIOD_OVERRIDE=FQ","FILING_STATUS=OR","EQY_CONSOLIDATED=Y","Sort=A","Dates=H","DateFormat=P","Fill=—","Direction=H","UseDPDF=Y")</f>
        <v>#NAME?</v>
      </c>
      <c r="AC407" s="2" t="e">
        <f ca="1">_xll.BDH($C$403,"ASSET_GROWTH","FQ4 2014","FQ4 2014","Currency=INR","Period=FQ","BEST_FPERIOD_OVERRIDE=FQ","FILING_STATUS=OR","EQY_CONSOLIDATED=Y","Sort=A","Dates=H","DateFormat=P","Fill=—","Direction=H","UseDPDF=Y")</f>
        <v>#NAME?</v>
      </c>
      <c r="AD407" s="2" t="e">
        <f ca="1">_xll.BDH($C$403,"MODIFIED_WORK_CAP_GROWTH","FQ4 2014","FQ4 2014","Currency=INR","Period=FQ","BEST_FPERIOD_OVERRIDE=FQ","FILING_STATUS=OR","EQY_CONSOLIDATED=Y","Sort=A","Dates=H","DateFormat=P","Fill=—","Direction=H","UseDPDF=Y")</f>
        <v>#NAME?</v>
      </c>
      <c r="AE407" s="2" t="e">
        <f ca="1">_xll.BDH($C$403,"WORK_CAP_GROWTH","FQ4 2014","FQ4 2014","Currency=INR","Period=FQ","BEST_FPERIOD_OVERRIDE=FQ","FILING_STATUS=OR","EQY_CONSOLIDATED=Y","Sort=A","Dates=H","DateFormat=P","Fill=—","Direction=H","UseDPDF=Y")</f>
        <v>#NAME?</v>
      </c>
      <c r="AF407" s="2" t="e">
        <f ca="1">_xll.BDH($C$403,"ACCOUNTS_PAYABLE_GROWTH_1YR","FQ4 2014","FQ4 2014","Currency=INR","Period=FQ","BEST_FPERIOD_OVERRIDE=FQ","FILING_STATUS=OR","EQY_CONSOLIDATED=Y","Sort=A","Dates=H","DateFormat=P","Fill=—","Direction=H","UseDPDF=Y")</f>
        <v>#NAME?</v>
      </c>
      <c r="AG407" s="2" t="e">
        <f ca="1">_xll.BDH($C$403,"SHORT_TERM_DEBT_1_YEAR_GROWTH","FQ4 2014","FQ4 2014","Currency=INR","Period=FQ","BEST_FPERIOD_OVERRIDE=FQ","FILING_STATUS=OR","EQY_CONSOLIDATED=Y","Sort=A","Dates=H","DateFormat=P","Fill=—","Direction=H","UseDPDF=Y")</f>
        <v>#NAME?</v>
      </c>
      <c r="AH407" s="2" t="e">
        <f ca="1">_xll.BDH($C$403,"TOTAL_DEBT_1_YEAR_GROWTH","FQ4 2014","FQ4 2014","Currency=INR","Period=FQ","BEST_FPERIOD_OVERRIDE=FQ","FILING_STATUS=OR","EQY_CONSOLIDATED=Y","Sort=A","Dates=H","DateFormat=P","Fill=—","Direction=H","UseDPDF=Y")</f>
        <v>#NAME?</v>
      </c>
      <c r="AI407" s="2" t="e">
        <f ca="1">_xll.BDH($C$403,"TOTAL_EQUITY_1_YEAR_GROWTH","FQ4 2014","FQ4 2014","Currency=INR","Period=FQ","BEST_FPERIOD_OVERRIDE=FQ","FILING_STATUS=OR","EQY_CONSOLIDATED=Y","Sort=A","Dates=H","DateFormat=P","Fill=—","Direction=H","UseDPDF=Y")</f>
        <v>#NAME?</v>
      </c>
      <c r="AJ407" s="2" t="e">
        <f ca="1">_xll.BDH($C$403,"GROWTH_IN_CAP","FQ4 2014","FQ4 2014","Currency=INR","Period=FQ","BEST_FPERIOD_OVERRIDE=FQ","FILING_STATUS=OR","EQY_CONSOLIDATED=Y","Sort=A","Dates=H","DateFormat=P","Fill=—","Direction=H","UseDPDF=Y")</f>
        <v>#NAME?</v>
      </c>
      <c r="AK407" s="2" t="e">
        <f ca="1">_xll.BDH($C$403,"BVPS_GROWTH","FQ4 2014","FQ4 2014","Currency=INR","Period=FQ","BEST_FPERIOD_OVERRIDE=FQ","FILING_STATUS=OR","EQY_CONSOLIDATED=Y","Sort=A","Dates=H","DateFormat=P","Fill=—","Direction=H","UseDPDF=Y")</f>
        <v>#NAME?</v>
      </c>
      <c r="AL407" s="2" t="e">
        <f ca="1">_xll.BDH($C$403,"CASH_FLOW_GROWTH","FQ4 2014","FQ4 2014","Currency=INR","Period=FQ","BEST_FPERIOD_OVERRIDE=FQ","FILING_STATUS=OR","EQY_CONSOLIDATED=Y","Sort=A","Dates=H","DateFormat=P","Fill=—","Direction=H","UseDPDF=Y")</f>
        <v>#NAME?</v>
      </c>
      <c r="AM407" s="2" t="e">
        <f ca="1">_xll.BDH($C$403,"GEO_GROW_NET_SALES","FQ4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407" s="2" t="e">
        <f ca="1">_xll.BDH($C$403,"GEO_GROW_EBITDA","FQ4 2014","FQ4 2014","Currency=INR","Period=FQ","BEST_FPERIOD_OVERRIDE=FQ","FILING_STATUS=OR","EQY_CONSOLIDATED=Y","FA_ADJUSTED=GAAP","Sort=A","Dates=H","DateFormat=P","Fill=—","Direction=H","UseDPDF=Y")</f>
        <v>#NAME?</v>
      </c>
      <c r="AO407" s="2" t="e">
        <f ca="1">_xll.BDH($C$403,"GEO_GROW_OPER_INC","FQ4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407" s="2" t="e">
        <f ca="1">_xll.BDH($C$403,"NET_INCOME_TO_COMMON_5_YR_GROWTH","FQ4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407" s="2" t="e">
        <f ca="1">_xll.BDH($C$403,"5Y_GEO_GROWTH_DILUTED_EPS","FQ4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407" s="2" t="e">
        <f ca="1">_xll.BDH($C$403,"GEO_GROW_DVD_PER_SH","FQ4 2014","FQ4 2014","Currency=INR","Period=FQ","BEST_FPERIOD_OVERRIDE=FQ","FILING_STATUS=OR","EQY_CONSOLIDATED=Y","Sort=A","Dates=H","DateFormat=P","Fill=—","Direction=H","UseDPDF=Y")</f>
        <v>#NAME?</v>
      </c>
      <c r="AS407" s="2" t="e">
        <f ca="1">_xll.BDH($C$403,"ACCOUNTS_RECEIVABLE_5_YR_GROWTH","FQ4 2014","FQ4 2014","Currency=INR","Period=FQ","BEST_FPERIOD_OVERRIDE=FQ","FILING_STATUS=OR","EQY_CONSOLIDATED=Y","Sort=A","Dates=H","DateFormat=P","Fill=—","Direction=H","UseDPDF=Y")</f>
        <v>#NAME?</v>
      </c>
      <c r="AT407" s="2" t="e">
        <f ca="1">_xll.BDH($C$403,"INVENTORY_5_YEAR_GROWTH","FQ4 2014","FQ4 2014","Currency=INR","Period=FQ","BEST_FPERIOD_OVERRIDE=FQ","FILING_STATUS=OR","EQY_CONSOLIDATED=Y","Sort=A","Dates=H","DateFormat=P","Fill=—","Direction=H","UseDPDF=Y")</f>
        <v>#NAME?</v>
      </c>
      <c r="AU407" s="2" t="e">
        <f ca="1">_xll.BDH($C$403,"NET_FIXED_ASSETS_5_YEAR_GROWTH","FQ4 2014","FQ4 2014","Currency=INR","Period=FQ","BEST_FPERIOD_OVERRIDE=FQ","FILING_STATUS=OR","EQY_CONSOLIDATED=Y","Sort=A","Dates=H","DateFormat=P","Fill=—","Direction=H","UseDPDF=Y")</f>
        <v>#NAME?</v>
      </c>
      <c r="AV407" s="2" t="e">
        <f ca="1">_xll.BDH($C$403,"GEO_GROW_TOT_ASSET","FQ4 2014","FQ4 2014","Currency=INR","Period=FQ","BEST_FPERIOD_OVERRIDE=FQ","FILING_STATUS=OR","EQY_CONSOLIDATED=Y","Sort=A","Dates=H","DateFormat=P","Fill=—","Direction=H","UseDPDF=Y")</f>
        <v>#NAME?</v>
      </c>
      <c r="AW407" s="2" t="e">
        <f ca="1">_xll.BDH($C$403,"MODIFIED_WORKING_CPTL_5YR_GRWTH","FQ4 2014","FQ4 2014","Currency=INR","Period=FQ","BEST_FPERIOD_OVERRIDE=FQ","FILING_STATUS=OR","EQY_CONSOLIDATED=Y","Sort=A","Dates=H","DateFormat=P","Fill=—","Direction=H","UseDPDF=Y")</f>
        <v>#NAME?</v>
      </c>
      <c r="AX407" s="2" t="e">
        <f ca="1">_xll.BDH($C$403,"WORKING_CAPITAL_5_YEAR_GROWTH","FQ4 2014","FQ4 2014","Currency=INR","Period=FQ","BEST_FPERIOD_OVERRIDE=FQ","FILING_STATUS=OR","EQY_CONSOLIDATED=Y","Sort=A","Dates=H","DateFormat=P","Fill=—","Direction=H","UseDPDF=Y")</f>
        <v>#NAME?</v>
      </c>
      <c r="AY407" s="2" t="e">
        <f ca="1">_xll.BDH($C$403,"ACCOUNTS_PAYABLE_5_YEAR_GROWTH","FQ4 2014","FQ4 2014","Currency=INR","Period=FQ","BEST_FPERIOD_OVERRIDE=FQ","FILING_STATUS=OR","EQY_CONSOLIDATED=Y","Sort=A","Dates=H","DateFormat=P","Fill=—","Direction=H","UseDPDF=Y")</f>
        <v>#NAME?</v>
      </c>
      <c r="AZ407" s="2" t="e">
        <f ca="1">_xll.BDH($C$403,"SHORT_TERM_DEBT_5_YEAR_GROWTH","FQ4 2014","FQ4 2014","Currency=INR","Period=FQ","BEST_FPERIOD_OVERRIDE=FQ","FILING_STATUS=OR","EQY_CONSOLIDATED=Y","Sort=A","Dates=H","DateFormat=P","Fill=—","Direction=H","UseDPDF=Y")</f>
        <v>#NAME?</v>
      </c>
      <c r="BA407" s="2" t="e">
        <f ca="1">_xll.BDH($C$403,"TOTAL_DEBT_5_YEAR_GROWTH","FQ4 2014","FQ4 2014","Currency=INR","Period=FQ","BEST_FPERIOD_OVERRIDE=FQ","FILING_STATUS=OR","EQY_CONSOLIDATED=Y","Sort=A","Dates=H","DateFormat=P","Fill=—","Direction=H","UseDPDF=Y")</f>
        <v>#NAME?</v>
      </c>
      <c r="BB407" s="2" t="e">
        <f ca="1">_xll.BDH($C$403,"GEO_GROW_TOT_SHRHLDR_EQY","FQ4 2014","FQ4 2014","Currency=INR","Period=FQ","BEST_FPERIOD_OVERRIDE=FQ","FILING_STATUS=OR","EQY_CONSOLIDATED=Y","Sort=A","Dates=H","DateFormat=P","Fill=—","Direction=H","UseDPDF=Y")</f>
        <v>#NAME?</v>
      </c>
      <c r="BC407" s="2" t="e">
        <f ca="1">_xll.BDH($C$403,"TOTAL_CAPITAL_5_YEAR_GROWTH","FQ4 2014","FQ4 2014","Currency=INR","Period=FQ","BEST_FPERIOD_OVERRIDE=FQ","FILING_STATUS=OR","EQY_CONSOLIDATED=Y","Sort=A","Dates=H","DateFormat=P","Fill=—","Direction=H","UseDPDF=Y")</f>
        <v>#NAME?</v>
      </c>
      <c r="BD407" s="2" t="e">
        <f ca="1">_xll.BDH($C$403,"GEO_GROW_BOOK_VAL","FQ4 2014","FQ4 2014","Currency=INR","Period=FQ","BEST_FPERIOD_OVERRIDE=FQ","FILING_STATUS=OR","EQY_CONSOLIDATED=Y","Sort=A","Dates=H","DateFormat=P","Fill=—","Direction=H","UseDPDF=Y")</f>
        <v>#NAME?</v>
      </c>
      <c r="BE407" s="2" t="e">
        <f ca="1">_xll.BDH($C$403,"GEO_GROW_CASH_OPER_ACT","FQ4 2014","FQ4 2014","Currency=INR","Period=FQ","BEST_FPERIOD_OVERRIDE=FQ","FILING_STATUS=OR","EQY_CONSOLIDATED=Y","Sort=A","Dates=H","DateFormat=P","Fill=—","Direction=H","UseDPDF=Y")</f>
        <v>#NAME?</v>
      </c>
      <c r="BF407" s="2" t="e">
        <f ca="1">_xll.BDH($C$403,"REVENUE_SEQUENTIAL_GROWTH","FQ4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407" s="2" t="e">
        <f ca="1">_xll.BDH($C$403,"EBITDA_SEQUENTIAL_GROWTH","FQ4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407" s="2" t="e">
        <f ca="1">_xll.BDH($C$403,"OPERATING_INCOME_SEQ_GROWTH","FQ4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407" s="2" t="e">
        <f ca="1">_xll.BDH($C$403,"NET_INCOME_TO_COMMON_SEQ_GROWTH","FQ4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407" s="2" t="e">
        <f ca="1">_xll.BDH($C$403,"EPS_DILUTED_SEQUENTIAL_GROWTH","FQ4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407" s="2" t="e">
        <f ca="1">_xll.BDH($C$403,"DPS_SEQUENTIAL_GROWTH","FQ4 2014","FQ4 2014","Currency=INR","Period=FQ","BEST_FPERIOD_OVERRIDE=FQ","FILING_STATUS=OR","EQY_CONSOLIDATED=Y","Sort=A","Dates=H","DateFormat=P","Fill=—","Direction=H","UseDPDF=Y")</f>
        <v>#NAME?</v>
      </c>
      <c r="BL407" s="2" t="e">
        <f ca="1">_xll.BDH($C$403,"ACCOUNTS_RECEIVABLE_SEQ_GROWTH","FQ4 2014","FQ4 2014","Currency=INR","Period=FQ","BEST_FPERIOD_OVERRIDE=FQ","FILING_STATUS=OR","EQY_CONSOLIDATED=Y","Sort=A","Dates=H","DateFormat=P","Fill=—","Direction=H","UseDPDF=Y")</f>
        <v>#NAME?</v>
      </c>
      <c r="BM407" s="2" t="e">
        <f ca="1">_xll.BDH($C$403,"INVENTORY_SEQUENTIAL_GROWTH","FQ4 2014","FQ4 2014","Currency=INR","Period=FQ","BEST_FPERIOD_OVERRIDE=FQ","FILING_STATUS=OR","EQY_CONSOLIDATED=Y","Sort=A","Dates=H","DateFormat=P","Fill=—","Direction=H","UseDPDF=Y")</f>
        <v>#NAME?</v>
      </c>
      <c r="BN407" s="2" t="e">
        <f ca="1">_xll.BDH($C$403,"FIXED_ASSETS_SEQUENTIAL_GROWTH","FQ4 2014","FQ4 2014","Currency=INR","Period=FQ","BEST_FPERIOD_OVERRIDE=FQ","FILING_STATUS=OR","EQY_CONSOLIDATED=Y","Sort=A","Dates=H","DateFormat=P","Fill=—","Direction=H","UseDPDF=Y")</f>
        <v>#NAME?</v>
      </c>
      <c r="BO407" s="2" t="e">
        <f ca="1">_xll.BDH($C$403,"TOTAL_ASSETS_SEQUENTIAL_GROWTH","FQ4 2014","FQ4 2014","Currency=INR","Period=FQ","BEST_FPERIOD_OVERRIDE=FQ","FILING_STATUS=OR","EQY_CONSOLIDATED=Y","Sort=A","Dates=H","DateFormat=P","Fill=—","Direction=H","UseDPDF=Y")</f>
        <v>#NAME?</v>
      </c>
      <c r="BP407" s="2" t="e">
        <f ca="1">_xll.BDH($C$403,"MODIFIED_WORKING_CPTL_SEQ_GRWTH","FQ4 2014","FQ4 2014","Currency=INR","Period=FQ","BEST_FPERIOD_OVERRIDE=FQ","FILING_STATUS=OR","EQY_CONSOLIDATED=Y","Sort=A","Dates=H","DateFormat=P","Fill=—","Direction=H","UseDPDF=Y")</f>
        <v>#NAME?</v>
      </c>
      <c r="BQ407" s="2" t="e">
        <f ca="1">_xll.BDH($C$403,"WORKING_CAPITAL_SEQ_GROWTH","FQ4 2014","FQ4 2014","Currency=INR","Period=FQ","BEST_FPERIOD_OVERRIDE=FQ","FILING_STATUS=OR","EQY_CONSOLIDATED=Y","Sort=A","Dates=H","DateFormat=P","Fill=—","Direction=H","UseDPDF=Y")</f>
        <v>#NAME?</v>
      </c>
      <c r="BR407" s="2" t="e">
        <f ca="1">_xll.BDH($C$403,"ACCOUNTS_PAYABLE_SEQ_GROWTH","FQ4 2014","FQ4 2014","Currency=INR","Period=FQ","BEST_FPERIOD_OVERRIDE=FQ","FILING_STATUS=OR","EQY_CONSOLIDATED=Y","Sort=A","Dates=H","DateFormat=P","Fill=—","Direction=H","UseDPDF=Y")</f>
        <v>#NAME?</v>
      </c>
      <c r="BS407" s="2" t="e">
        <f ca="1">_xll.BDH($C$403,"ST_DEBT_SEQUENTIAL_GROWTH","FQ4 2014","FQ4 2014","Currency=INR","Period=FQ","BEST_FPERIOD_OVERRIDE=FQ","FILING_STATUS=OR","EQY_CONSOLIDATED=Y","Sort=A","Dates=H","DateFormat=P","Fill=—","Direction=H","UseDPDF=Y")</f>
        <v>#NAME?</v>
      </c>
      <c r="BT407" s="2" t="e">
        <f ca="1">_xll.BDH($C$403,"TOTAL_DEBT_SEQUENTIAL_GROWTH","FQ4 2014","FQ4 2014","Currency=INR","Period=FQ","BEST_FPERIOD_OVERRIDE=FQ","FILING_STATUS=OR","EQY_CONSOLIDATED=Y","Sort=A","Dates=H","DateFormat=P","Fill=—","Direction=H","UseDPDF=Y")</f>
        <v>#NAME?</v>
      </c>
      <c r="BU407" s="2" t="e">
        <f ca="1">_xll.BDH($C$403,"TOTAL_EQUITY_SEQUENTIAL_GROWTH","FQ4 2014","FQ4 2014","Currency=INR","Period=FQ","BEST_FPERIOD_OVERRIDE=FQ","FILING_STATUS=OR","EQY_CONSOLIDATED=Y","Sort=A","Dates=H","DateFormat=P","Fill=—","Direction=H","UseDPDF=Y")</f>
        <v>#NAME?</v>
      </c>
      <c r="BV407" s="2" t="e">
        <f ca="1">_xll.BDH($C$403,"TOTAL_CAPITAL_SEQUENTIAL_GROWTH","FQ4 2014","FQ4 2014","Currency=INR","Period=FQ","BEST_FPERIOD_OVERRIDE=FQ","FILING_STATUS=OR","EQY_CONSOLIDATED=Y","Sort=A","Dates=H","DateFormat=P","Fill=—","Direction=H","UseDPDF=Y")</f>
        <v>#NAME?</v>
      </c>
      <c r="BW407" s="2" t="e">
        <f ca="1">_xll.BDH($C$403,"BPS_SEQUENTIAL_GROWTH","FQ4 2014","FQ4 2014","Currency=INR","Period=FQ","BEST_FPERIOD_OVERRIDE=FQ","FILING_STATUS=OR","EQY_CONSOLIDATED=Y","Sort=A","Dates=H","DateFormat=P","Fill=—","Direction=H","UseDPDF=Y")</f>
        <v>#NAME?</v>
      </c>
      <c r="BX407" s="2" t="e">
        <f ca="1">_xll.BDH($C$403,"CFO_SEQUENTIAL_GROWTH","FQ4 2014","FQ4 2014","Currency=INR","Period=FQ","BEST_FPERIOD_OVERRIDE=FQ","FILING_STATUS=OR","EQY_CONSOLIDATED=Y","Sort=A","Dates=H","DateFormat=P","Fill=—","Direction=H","UseDPDF=Y")</f>
        <v>#NAME?</v>
      </c>
      <c r="BY407" s="3" t="e">
        <f ca="1">_xll.BDH($C$403,"SHORT_AND_LONG_TERM_DEBT","FQ4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407" s="3" t="e">
        <f ca="1">_xll.BDH($C$403,"BS_ST_BORROW","FQ4 2014","FQ4 2014","Currency=INR","Period=FQ","BEST_FPERIOD_OVERRIDE=FQ","FILING_STATUS=OR","EQY_CONSOLIDATED=Y","SCALING_FORMAT=MLN","Sort=A","Dates=H","DateFormat=P","Fill=—","Direction=H","UseDPDF=Y")</f>
        <v>#NAME?</v>
      </c>
      <c r="CA407" s="3" t="e">
        <f ca="1">_xll.BDH($C$403,"BS_LT_BORROW","FQ4 2014","FQ4 2014","Currency=INR","Period=FQ","BEST_FPERIOD_OVERRIDE=FQ","FILING_STATUS=OR","EQY_CONSOLIDATED=Y","SCALING_FORMAT=MLN","Sort=A","Dates=H","DateFormat=P","Fill=—","Direction=H","UseDPDF=Y")</f>
        <v>#NAME?</v>
      </c>
      <c r="CB407" s="2" t="e">
        <f ca="1">_xll.BDH($C$403,"TOT_DEBT_TO_EBITDA","FQ4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407" s="2" t="e">
        <f ca="1">_xll.BDH($C$403,"NET_DEBT_TO_EBITDA","FQ4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407" s="2" t="e">
        <f ca="1">_xll.BDH($C$403,"TOTAL_DEBT_TO_EBIT","FQ4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407" s="2" t="e">
        <f ca="1">_xll.BDH($C$403,"NET_DEBT_TO_EBIT","FQ4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407" s="2" t="e">
        <f ca="1">_xll.BDH($C$403,"EBITDA_TO_INTEREST_EXPN","FQ4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407" s="2" t="e">
        <f ca="1">_xll.BDH($C$403,"COM_EQY_TO_TOT_ASSET","FQ4 2014","FQ4 2014","Currency=INR","Period=FQ","BEST_FPERIOD_OVERRIDE=FQ","FILING_STATUS=OR","EQY_CONSOLIDATED=Y","Sort=A","Dates=H","DateFormat=P","Fill=—","Direction=H","UseDPDF=Y")</f>
        <v>#NAME?</v>
      </c>
      <c r="CH407" s="2" t="e">
        <f ca="1">_xll.BDH($C$403,"LT_DEBT_TO_TOT_EQY","FQ4 2014","FQ4 2014","Currency=INR","Period=FQ","BEST_FPERIOD_OVERRIDE=FQ","FILING_STATUS=OR","EQY_CONSOLIDATED=Y","Sort=A","Dates=H","DateFormat=P","Fill=—","Direction=H","UseDPDF=Y")</f>
        <v>#NAME?</v>
      </c>
      <c r="CI407" s="2" t="e">
        <f ca="1">_xll.BDH($C$403,"LT_DEBT_TO_TOT_CAP","FQ4 2014","FQ4 2014","Currency=INR","Period=FQ","BEST_FPERIOD_OVERRIDE=FQ","FILING_STATUS=OR","EQY_CONSOLIDATED=Y","Sort=A","Dates=H","DateFormat=P","Fill=—","Direction=H","UseDPDF=Y")</f>
        <v>#NAME?</v>
      </c>
      <c r="CJ407" s="2" t="e">
        <f ca="1">_xll.BDH($C$403,"LT_DEBT_TO_TOT_ASSET","FQ4 2014","FQ4 2014","Currency=INR","Period=FQ","BEST_FPERIOD_OVERRIDE=FQ","FILING_STATUS=OR","EQY_CONSOLIDATED=Y","Sort=A","Dates=H","DateFormat=P","Fill=—","Direction=H","UseDPDF=Y")</f>
        <v>#NAME?</v>
      </c>
      <c r="CK407" s="2" t="e">
        <f ca="1">_xll.BDH($C$403,"TOT_DEBT_TO_TOT_EQY","FQ4 2014","FQ4 2014","Currency=INR","Period=FQ","BEST_FPERIOD_OVERRIDE=FQ","FILING_STATUS=OR","EQY_CONSOLIDATED=Y","Sort=A","Dates=H","DateFormat=P","Fill=—","Direction=H","UseDPDF=Y")</f>
        <v>#NAME?</v>
      </c>
      <c r="CL407" s="2" t="e">
        <f ca="1">_xll.BDH($C$403,"TOT_DEBT_TO_TOT_CAP","FQ4 2014","FQ4 2014","Currency=INR","Period=FQ","BEST_FPERIOD_OVERRIDE=FQ","FILING_STATUS=OR","EQY_CONSOLIDATED=Y","Sort=A","Dates=H","DateFormat=P","Fill=—","Direction=H","UseDPDF=Y")</f>
        <v>#NAME?</v>
      </c>
      <c r="CM407" s="2" t="e">
        <f ca="1">_xll.BDH($C$403,"TOT_DEBT_TO_TOT_ASSET","FQ4 2014","FQ4 2014","Currency=INR","Period=FQ","BEST_FPERIOD_OVERRIDE=FQ","FILING_STATUS=OR","EQY_CONSOLIDATED=Y","Sort=A","Dates=H","DateFormat=P","Fill=—","Direction=H","UseDPDF=Y")</f>
        <v>#NAME?</v>
      </c>
      <c r="CN407" s="2" t="e">
        <f ca="1">_xll.BDH($C$403,"NET_DEBT_TO_SHRHLDR_EQTY","FQ4 2014","FQ4 2014","Currency=INR","Period=FQ","BEST_FPERIOD_OVERRIDE=FQ","FILING_STATUS=OR","EQY_CONSOLIDATED=Y","Sort=A","Dates=H","DateFormat=P","Fill=—","Direction=H","UseDPDF=Y")</f>
        <v>#NAME?</v>
      </c>
      <c r="CO407" s="2" t="e">
        <f ca="1">_xll.BDH($C$403,"NET_DEBT_%_CAPITAL","FQ4 2014","FQ4 2014","Currency=INR","Period=FQ","BEST_FPERIOD_OVERRIDE=FQ","FILING_STATUS=OR","EQY_CONSOLIDATED=Y","Sort=A","Dates=H","DateFormat=P","Fill=—","Direction=H","UseDPDF=Y")</f>
        <v>#NAME?</v>
      </c>
      <c r="CP407" s="3" t="e">
        <f ca="1">_xll.BDH($C$403,"EBITDA","FQ4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407" s="3" t="e">
        <f ca="1">_xll.BDH($C$403,"EBITDA_AFTER_CAPEX","FQ4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407" s="3" t="e">
        <f ca="1">_xll.BDH($C$403,"IS_OPER_INC","FQ4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407" s="2" t="e">
        <f ca="1">_xll.BDH($C$403,"CASH_RATIO","FQ4 2014","FQ4 2014","Currency=INR","Period=FQ","BEST_FPERIOD_OVERRIDE=FQ","FILING_STATUS=OR","EQY_CONSOLIDATED=Y","Sort=A","Dates=H","DateFormat=P","Fill=—","Direction=H","UseDPDF=Y")</f>
        <v>#NAME?</v>
      </c>
      <c r="CT407" s="2" t="e">
        <f ca="1">_xll.BDH($C$403,"CUR_RATIO","FQ4 2014","FQ4 2014","Currency=INR","Period=FQ","BEST_FPERIOD_OVERRIDE=FQ","FILING_STATUS=OR","EQY_CONSOLIDATED=Y","Sort=A","Dates=H","DateFormat=P","Fill=—","Direction=H","UseDPDF=Y")</f>
        <v>#NAME?</v>
      </c>
      <c r="CU407" s="2" t="e">
        <f ca="1">_xll.BDH($C$403,"QUICK_RATIO","FQ4 2014","FQ4 2014","Currency=INR","Period=FQ","BEST_FPERIOD_OVERRIDE=FQ","FILING_STATUS=OR","EQY_CONSOLIDATED=Y","Sort=A","Dates=H","DateFormat=P","Fill=—","Direction=H","UseDPDF=Y")</f>
        <v>#NAME?</v>
      </c>
      <c r="CV407" s="2" t="e">
        <f ca="1">_xll.BDH($C$403,"ALTMAN_Z_SCORE","FQ4 2014","FQ4 2014","Currency=INR","Period=FQ","BEST_FPERIOD_OVERRIDE=FQ","FILING_STATUS=OR","EQY_CONSOLIDATED=Y","Sort=A","Dates=H","DateFormat=P","Fill=—","Direction=H","UseDPDF=Y")</f>
        <v>#NAME?</v>
      </c>
      <c r="CW407" s="4" t="e">
        <f ca="1">_xll.BDH($C$403,"ACCT_RCV_TURN","FQ4 2014","FQ4 2014","Currency=INR","Period=FQ","BEST_FPERIOD_OVERRIDE=FQ","FILING_STATUS=OR","EQY_CONSOLIDATED=Y","FA_ADJUSTED=GAAP","Sort=A","Dates=H","DateFormat=P","Fill=—","Direction=H","UseDPDF=Y")</f>
        <v>#NAME?</v>
      </c>
      <c r="CX407" s="2" t="e">
        <f ca="1">_xll.BDH($C$403,"ACCT_RCV_DAYS","FQ4 2014","FQ4 2014","Currency=INR","Period=FQ","BEST_FPERIOD_OVERRIDE=FQ","FILING_STATUS=OR","EQY_CONSOLIDATED=Y","FA_ADJUSTED=GAAP","Sort=A","Dates=H","DateFormat=P","Fill=—","Direction=H","UseDPDF=Y")</f>
        <v>#NAME?</v>
      </c>
      <c r="CY407" s="4" t="e">
        <f ca="1">_xll.BDH($C$403,"INVENT_TURN","FQ4 2014","FQ4 2014","Currency=INR","Period=FQ","BEST_FPERIOD_OVERRIDE=FQ","FILING_STATUS=OR","EQY_CONSOLIDATED=Y","FA_ADJUSTED=GAAP","Sort=A","Dates=H","DateFormat=P","Fill=—","Direction=H","UseDPDF=Y")</f>
        <v>#NAME?</v>
      </c>
      <c r="CZ407" s="2" t="e">
        <f ca="1">_xll.BDH($C$403,"INVENT_DAYS","FQ4 2014","FQ4 2014","Currency=INR","Period=FQ","BEST_FPERIOD_OVERRIDE=FQ","FILING_STATUS=OR","EQY_CONSOLIDATED=Y","FA_ADJUSTED=GAAP","Sort=A","Dates=H","DateFormat=P","Fill=—","Direction=H","UseDPDF=Y")</f>
        <v>#NAME?</v>
      </c>
      <c r="DA407" s="4" t="e">
        <f ca="1">_xll.BDH($C$403,"ACCOUNTS_PAYABLE_TURNOVER","FQ4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407" s="2" t="e">
        <f ca="1">_xll.BDH($C$403,"ACCOUNTS_PAYABLE_TURNOVER_DAYS","FQ4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407" s="4" t="e">
        <f ca="1">_xll.BDH($C$403,"CASH_CONVERSION_CYCLE","FQ4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407" s="4" t="e">
        <f ca="1">_xll.BDH($C$403,"INV_TO_CASH_DAYS","FQ4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407" s="5" t="e">
        <f ca="1">_xll.BDH($C$403,"BS_INVENTORIES","FQ4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407" s="3" t="e">
        <f ca="1">_xll.BDH($C$403,"INVTRY_RAW_MATERIALS","FQ4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407" s="3" t="e">
        <f ca="1">_xll.BDH($C$403,"INVTRY_IN_PROGRESS","FQ4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407" s="3" t="e">
        <f ca="1">_xll.BDH($C$403,"INVTRY_FINISHED_GOODS","FQ4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407" s="3" t="e">
        <f ca="1">_xll.BDH($C$403,"BS_OTHER_INV","FQ4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408" spans="1:113" x14ac:dyDescent="0.3">
      <c r="A408" s="6"/>
      <c r="B408" s="6"/>
      <c r="C408" s="6"/>
      <c r="D408" s="6" t="s">
        <v>82</v>
      </c>
      <c r="E408" t="s">
        <v>77</v>
      </c>
      <c r="F408" t="e">
        <f ca="1">_xll.BDH($C$403,"RETURN_COM_EQY","FY 2015","FY 2015","Currency=INR","Period=FY","BEST_FPERIOD_OVERRIDE=FY","FILING_STATUS=OR","EQY_CONSOLIDATED=Y","FA_ADJUSTED=GAAP","Sort=A","Dates=H","DateFormat=P","Fill=—","Direction=H","UseDPDF=Y")</f>
        <v>#NAME?</v>
      </c>
      <c r="G408" t="e">
        <f ca="1">_xll.BDH($C$403,"RETURN_ON_ASSET","FY 2015","FY 2015","Currency=INR","Period=FY","BEST_FPERIOD_OVERRIDE=FY","FILING_STATUS=OR","EQY_CONSOLIDATED=Y","FA_ADJUSTED=GAAP","Sort=A","Dates=H","DateFormat=P","Fill=—","Direction=H","UseDPDF=Y")</f>
        <v>#NAME?</v>
      </c>
      <c r="H408" t="e">
        <f ca="1">_xll.BDH($C$403,"RETURN_ON_CAP","FY 2015","FY 2015","Currency=INR","Period=FY","BEST_FPERIOD_OVERRIDE=FY","FILING_STATUS=OR","EQY_CONSOLIDATED=Y","FA_ADJUSTED=GAAP","Sort=A","Dates=H","DateFormat=P","Fill=—","Direction=H","UseDPDF=Y")</f>
        <v>#NAME?</v>
      </c>
      <c r="I408" t="e">
        <f ca="1">_xll.BDH($C$403,"RETURN_ON_INV_CAPITAL","FY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408" t="e">
        <f ca="1">_xll.BDH($C$403,"EBITDA_TO_REVENUE","FY 2015","FY 2015","Currency=INR","Period=FY","BEST_FPERIOD_OVERRIDE=FY","FILING_STATUS=OR","EQY_CONSOLIDATED=Y","FA_ADJUSTED=GAAP","Sort=A","Dates=H","DateFormat=P","Fill=—","Direction=H","UseDPDF=Y")</f>
        <v>#NAME?</v>
      </c>
      <c r="K408" t="e">
        <f ca="1">_xll.BDH($C$403,"OPER_MARGIN","FY 2015","FY 2015","Currency=INR","Period=FY","BEST_FPERIOD_OVERRIDE=FY","FILING_STATUS=OR","EQY_CONSOLIDATED=Y","FA_ADJUSTED=GAAP","Sort=A","Dates=H","DateFormat=P","Fill=—","Direction=H","UseDPDF=Y")</f>
        <v>#NAME?</v>
      </c>
      <c r="L408" t="e">
        <f ca="1">_xll.BDH($C$403,"INCREMENTAL_OPERATING_MARGIN","FY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408" t="e">
        <f ca="1">_xll.BDH($C$403,"PRETAX_INC_TO_NET_SALES","FY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408" t="e">
        <f ca="1">_xll.BDH($C$403,"INC_BEF_XO_ITEMS_TO_NET_SALES","FY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408" t="e">
        <f ca="1">_xll.BDH($C$403,"PROF_MARGIN","FY 2015","FY 2015","Currency=INR","Period=FY","BEST_FPERIOD_OVERRIDE=FY","FILING_STATUS=OR","EQY_CONSOLIDATED=Y","FA_ADJUSTED=GAAP","Sort=A","Dates=H","DateFormat=P","Fill=—","Direction=H","UseDPDF=Y")</f>
        <v>#NAME?</v>
      </c>
      <c r="P408" t="e">
        <f ca="1">_xll.BDH($C$403,"NET_INCOME_TO_COMMON_MARGIN","FY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408" t="e">
        <f ca="1">_xll.BDH($C$403,"EFF_TAX_RATE","FY 2015","FY 2015","Currency=INR","Period=FY","BEST_FPERIOD_OVERRIDE=FY","FILING_STATUS=OR","EQY_CONSOLIDATED=Y","FA_ADJUSTED=GAAP","Sort=A","Dates=H","DateFormat=P","Fill=—","Direction=H","UseDPDF=Y")</f>
        <v>#NAME?</v>
      </c>
      <c r="R408" t="e">
        <f ca="1">_xll.BDH($C$403,"DVD_PAYOUT_RATIO","FY 2015","FY 2015","Currency=INR","Period=FY","BEST_FPERIOD_OVERRIDE=FY","FILING_STATUS=OR","EQY_CONSOLIDATED=Y","FA_ADJUSTED=GAAP","Sort=A","Dates=H","DateFormat=P","Fill=—","Direction=H","UseDPDF=Y")</f>
        <v>#NAME?</v>
      </c>
      <c r="S408" t="e">
        <f ca="1">_xll.BDH($C$403,"SUSTAIN_GROWTH_RT","FY 2015","FY 2015","Currency=INR","Period=FY","BEST_FPERIOD_OVERRIDE=FY","FILING_STATUS=OR","EQY_CONSOLIDATED=Y","FA_ADJUSTED=GAAP","Sort=A","Dates=H","DateFormat=P","Fill=—","Direction=H","UseDPDF=Y")</f>
        <v>#NAME?</v>
      </c>
      <c r="T408" s="2" t="e">
        <f ca="1">_xll.BDH($C$403,"SALES_GROWTH","FY 2015","FY 2015","Currency=INR","Period=FY","BEST_FPERIOD_OVERRIDE=FY","FILING_STATUS=OR","EQY_CONSOLIDATED=Y","FA_ADJUSTED=GAAP","Sort=A","Dates=H","DateFormat=P","Fill=—","Direction=H","UseDPDF=Y")</f>
        <v>#NAME?</v>
      </c>
      <c r="U408" s="2" t="e">
        <f ca="1">_xll.BDH($C$403,"EBITDA_GROWTH","FY 2015","FY 2015","Currency=INR","Period=FY","BEST_FPERIOD_OVERRIDE=FY","FILING_STATUS=OR","EQY_CONSOLIDATED=Y","FA_ADJUSTED=GAAP","Sort=A","Dates=H","DateFormat=P","Fill=—","Direction=H","UseDPDF=Y")</f>
        <v>#NAME?</v>
      </c>
      <c r="V408" s="2" t="e">
        <f ca="1">_xll.BDH($C$403,"OPER_INC_GROWTH","FY 2015","FY 2015","Currency=INR","Period=FY","BEST_FPERIOD_OVERRIDE=FY","FILING_STATUS=OR","EQY_CONSOLIDATED=Y","FA_ADJUSTED=GAAP","Sort=A","Dates=H","DateFormat=P","Fill=—","Direction=H","UseDPDF=Y")</f>
        <v>#NAME?</v>
      </c>
      <c r="W408" s="2" t="e">
        <f ca="1">_xll.BDH($C$403,"EARN_FOR_COM_GROWTH","FY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408" s="2" t="e">
        <f ca="1">_xll.BDH($C$403,"DILUTED_EPS_AFT_XO_ITEMS_GROWTH","FY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408" s="2" t="e">
        <f ca="1">_xll.BDH($C$403,"DIVIDEND_PER_SHARE_1_YEAR_GROWTH","FY 2015","FY 2015","Currency=INR","Period=FY","BEST_FPERIOD_OVERRIDE=FY","FILING_STATUS=OR","EQY_CONSOLIDATED=Y","Sort=A","Dates=H","DateFormat=P","Fill=—","Direction=H","UseDPDF=Y")</f>
        <v>#NAME?</v>
      </c>
      <c r="Z408" s="2" t="e">
        <f ca="1">_xll.BDH($C$403,"ACCOUNTS_RECEIVABLE_GROWTH","FY 2015","FY 2015","Currency=INR","Period=FY","BEST_FPERIOD_OVERRIDE=FY","FILING_STATUS=OR","EQY_CONSOLIDATED=Y","Sort=A","Dates=H","DateFormat=P","Fill=—","Direction=H","UseDPDF=Y")</f>
        <v>#NAME?</v>
      </c>
      <c r="AA408" s="2" t="e">
        <f ca="1">_xll.BDH($C$403,"INVENTORY_GROWTH","FY 2015","FY 2015","Currency=INR","Period=FY","BEST_FPERIOD_OVERRIDE=FY","FILING_STATUS=OR","EQY_CONSOLIDATED=Y","Sort=A","Dates=H","DateFormat=P","Fill=—","Direction=H","UseDPDF=Y")</f>
        <v>#NAME?</v>
      </c>
      <c r="AB408" s="2" t="e">
        <f ca="1">_xll.BDH($C$403,"NET_FIXED_ASSETS_1_YEAR_GROWTH","FY 2015","FY 2015","Currency=INR","Period=FY","BEST_FPERIOD_OVERRIDE=FY","FILING_STATUS=OR","EQY_CONSOLIDATED=Y","Sort=A","Dates=H","DateFormat=P","Fill=—","Direction=H","UseDPDF=Y")</f>
        <v>#NAME?</v>
      </c>
      <c r="AC408" s="2" t="e">
        <f ca="1">_xll.BDH($C$403,"ASSET_GROWTH","FY 2015","FY 2015","Currency=INR","Period=FY","BEST_FPERIOD_OVERRIDE=FY","FILING_STATUS=OR","EQY_CONSOLIDATED=Y","Sort=A","Dates=H","DateFormat=P","Fill=—","Direction=H","UseDPDF=Y")</f>
        <v>#NAME?</v>
      </c>
      <c r="AD408" s="2" t="e">
        <f ca="1">_xll.BDH($C$403,"MODIFIED_WORK_CAP_GROWTH","FY 2015","FY 2015","Currency=INR","Period=FY","BEST_FPERIOD_OVERRIDE=FY","FILING_STATUS=OR","EQY_CONSOLIDATED=Y","Sort=A","Dates=H","DateFormat=P","Fill=—","Direction=H","UseDPDF=Y")</f>
        <v>#NAME?</v>
      </c>
      <c r="AE408" s="2" t="e">
        <f ca="1">_xll.BDH($C$403,"WORK_CAP_GROWTH","FY 2015","FY 2015","Currency=INR","Period=FY","BEST_FPERIOD_OVERRIDE=FY","FILING_STATUS=OR","EQY_CONSOLIDATED=Y","Sort=A","Dates=H","DateFormat=P","Fill=—","Direction=H","UseDPDF=Y")</f>
        <v>#NAME?</v>
      </c>
      <c r="AF408" s="2" t="e">
        <f ca="1">_xll.BDH($C$403,"ACCOUNTS_PAYABLE_GROWTH_1YR","FY 2015","FY 2015","Currency=INR","Period=FY","BEST_FPERIOD_OVERRIDE=FY","FILING_STATUS=OR","EQY_CONSOLIDATED=Y","Sort=A","Dates=H","DateFormat=P","Fill=—","Direction=H","UseDPDF=Y")</f>
        <v>#NAME?</v>
      </c>
      <c r="AG408" s="2" t="e">
        <f ca="1">_xll.BDH($C$403,"SHORT_TERM_DEBT_1_YEAR_GROWTH","FY 2015","FY 2015","Currency=INR","Period=FY","BEST_FPERIOD_OVERRIDE=FY","FILING_STATUS=OR","EQY_CONSOLIDATED=Y","Sort=A","Dates=H","DateFormat=P","Fill=—","Direction=H","UseDPDF=Y")</f>
        <v>#NAME?</v>
      </c>
      <c r="AH408" s="2" t="e">
        <f ca="1">_xll.BDH($C$403,"TOTAL_DEBT_1_YEAR_GROWTH","FY 2015","FY 2015","Currency=INR","Period=FY","BEST_FPERIOD_OVERRIDE=FY","FILING_STATUS=OR","EQY_CONSOLIDATED=Y","Sort=A","Dates=H","DateFormat=P","Fill=—","Direction=H","UseDPDF=Y")</f>
        <v>#NAME?</v>
      </c>
      <c r="AI408" s="2" t="e">
        <f ca="1">_xll.BDH($C$403,"TOTAL_EQUITY_1_YEAR_GROWTH","FY 2015","FY 2015","Currency=INR","Period=FY","BEST_FPERIOD_OVERRIDE=FY","FILING_STATUS=OR","EQY_CONSOLIDATED=Y","Sort=A","Dates=H","DateFormat=P","Fill=—","Direction=H","UseDPDF=Y")</f>
        <v>#NAME?</v>
      </c>
      <c r="AJ408" s="2" t="e">
        <f ca="1">_xll.BDH($C$403,"GROWTH_IN_CAP","FY 2015","FY 2015","Currency=INR","Period=FY","BEST_FPERIOD_OVERRIDE=FY","FILING_STATUS=OR","EQY_CONSOLIDATED=Y","Sort=A","Dates=H","DateFormat=P","Fill=—","Direction=H","UseDPDF=Y")</f>
        <v>#NAME?</v>
      </c>
      <c r="AK408" s="2" t="e">
        <f ca="1">_xll.BDH($C$403,"BVPS_GROWTH","FY 2015","FY 2015","Currency=INR","Period=FY","BEST_FPERIOD_OVERRIDE=FY","FILING_STATUS=OR","EQY_CONSOLIDATED=Y","Sort=A","Dates=H","DateFormat=P","Fill=—","Direction=H","UseDPDF=Y")</f>
        <v>#NAME?</v>
      </c>
      <c r="AL408" s="2" t="e">
        <f ca="1">_xll.BDH($C$403,"CASH_FLOW_GROWTH","FY 2015","FY 2015","Currency=INR","Period=FY","BEST_FPERIOD_OVERRIDE=FY","FILING_STATUS=OR","EQY_CONSOLIDATED=Y","Sort=A","Dates=H","DateFormat=P","Fill=—","Direction=H","UseDPDF=Y")</f>
        <v>#NAME?</v>
      </c>
      <c r="AM408" s="2" t="e">
        <f ca="1">_xll.BDH($C$403,"GEO_GROW_NET_SALES","FY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408" s="2" t="e">
        <f ca="1">_xll.BDH($C$403,"GEO_GROW_EBITDA","FY 2015","FY 2015","Currency=INR","Period=FY","BEST_FPERIOD_OVERRIDE=FY","FILING_STATUS=OR","EQY_CONSOLIDATED=Y","FA_ADJUSTED=GAAP","Sort=A","Dates=H","DateFormat=P","Fill=—","Direction=H","UseDPDF=Y")</f>
        <v>#NAME?</v>
      </c>
      <c r="AO408" s="2" t="e">
        <f ca="1">_xll.BDH($C$403,"GEO_GROW_OPER_INC","FY 2015","FY 2015","Currency=INR","Period=FY","BEST_FPERIOD_OVERRIDE=FY","FILING_STATUS=OR","EQY_CONSOLIDATED=Y","FA_ADJUSTED=GAAP","Sort=A","Dates=H","DateFormat=P","Fill=—","Direction=H","UseDPDF=Y")</f>
        <v>#NAME?</v>
      </c>
      <c r="AP408" s="2" t="e">
        <f ca="1">_xll.BDH($C$403,"NET_INCOME_TO_COMMON_5_YR_GROWTH","FY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408" s="2" t="e">
        <f ca="1">_xll.BDH($C$403,"5Y_GEO_GROWTH_DILUTED_EPS","FY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408" s="2" t="e">
        <f ca="1">_xll.BDH($C$403,"GEO_GROW_DVD_PER_SH","FY 2015","FY 2015","Currency=INR","Period=FY","BEST_FPERIOD_OVERRIDE=FY","FILING_STATUS=OR","EQY_CONSOLIDATED=Y","Sort=A","Dates=H","DateFormat=P","Fill=—","Direction=H","UseDPDF=Y")</f>
        <v>#NAME?</v>
      </c>
      <c r="AS408" s="2" t="e">
        <f ca="1">_xll.BDH($C$403,"ACCOUNTS_RECEIVABLE_5_YR_GROWTH","FY 2015","FY 2015","Currency=INR","Period=FY","BEST_FPERIOD_OVERRIDE=FY","FILING_STATUS=OR","EQY_CONSOLIDATED=Y","Sort=A","Dates=H","DateFormat=P","Fill=—","Direction=H","UseDPDF=Y")</f>
        <v>#NAME?</v>
      </c>
      <c r="AT408" s="2" t="e">
        <f ca="1">_xll.BDH($C$403,"INVENTORY_5_YEAR_GROWTH","FY 2015","FY 2015","Currency=INR","Period=FY","BEST_FPERIOD_OVERRIDE=FY","FILING_STATUS=OR","EQY_CONSOLIDATED=Y","Sort=A","Dates=H","DateFormat=P","Fill=—","Direction=H","UseDPDF=Y")</f>
        <v>#NAME?</v>
      </c>
      <c r="AU408" s="2" t="e">
        <f ca="1">_xll.BDH($C$403,"NET_FIXED_ASSETS_5_YEAR_GROWTH","FY 2015","FY 2015","Currency=INR","Period=FY","BEST_FPERIOD_OVERRIDE=FY","FILING_STATUS=OR","EQY_CONSOLIDATED=Y","Sort=A","Dates=H","DateFormat=P","Fill=—","Direction=H","UseDPDF=Y")</f>
        <v>#NAME?</v>
      </c>
      <c r="AV408" s="2" t="e">
        <f ca="1">_xll.BDH($C$403,"GEO_GROW_TOT_ASSET","FY 2015","FY 2015","Currency=INR","Period=FY","BEST_FPERIOD_OVERRIDE=FY","FILING_STATUS=OR","EQY_CONSOLIDATED=Y","Sort=A","Dates=H","DateFormat=P","Fill=—","Direction=H","UseDPDF=Y")</f>
        <v>#NAME?</v>
      </c>
      <c r="AW408" s="2" t="e">
        <f ca="1">_xll.BDH($C$403,"MODIFIED_WORKING_CPTL_5YR_GRWTH","FY 2015","FY 2015","Currency=INR","Period=FY","BEST_FPERIOD_OVERRIDE=FY","FILING_STATUS=OR","EQY_CONSOLIDATED=Y","Sort=A","Dates=H","DateFormat=P","Fill=—","Direction=H","UseDPDF=Y")</f>
        <v>#NAME?</v>
      </c>
      <c r="AX408" s="2" t="e">
        <f ca="1">_xll.BDH($C$403,"WORKING_CAPITAL_5_YEAR_GROWTH","FY 2015","FY 2015","Currency=INR","Period=FY","BEST_FPERIOD_OVERRIDE=FY","FILING_STATUS=OR","EQY_CONSOLIDATED=Y","Sort=A","Dates=H","DateFormat=P","Fill=—","Direction=H","UseDPDF=Y")</f>
        <v>#NAME?</v>
      </c>
      <c r="AY408" s="2" t="e">
        <f ca="1">_xll.BDH($C$403,"ACCOUNTS_PAYABLE_5_YEAR_GROWTH","FY 2015","FY 2015","Currency=INR","Period=FY","BEST_FPERIOD_OVERRIDE=FY","FILING_STATUS=OR","EQY_CONSOLIDATED=Y","Sort=A","Dates=H","DateFormat=P","Fill=—","Direction=H","UseDPDF=Y")</f>
        <v>#NAME?</v>
      </c>
      <c r="AZ408" s="2" t="e">
        <f ca="1">_xll.BDH($C$403,"SHORT_TERM_DEBT_5_YEAR_GROWTH","FY 2015","FY 2015","Currency=INR","Period=FY","BEST_FPERIOD_OVERRIDE=FY","FILING_STATUS=OR","EQY_CONSOLIDATED=Y","Sort=A","Dates=H","DateFormat=P","Fill=—","Direction=H","UseDPDF=Y")</f>
        <v>#NAME?</v>
      </c>
      <c r="BA408" s="2" t="e">
        <f ca="1">_xll.BDH($C$403,"TOTAL_DEBT_5_YEAR_GROWTH","FY 2015","FY 2015","Currency=INR","Period=FY","BEST_FPERIOD_OVERRIDE=FY","FILING_STATUS=OR","EQY_CONSOLIDATED=Y","Sort=A","Dates=H","DateFormat=P","Fill=—","Direction=H","UseDPDF=Y")</f>
        <v>#NAME?</v>
      </c>
      <c r="BB408" s="2" t="e">
        <f ca="1">_xll.BDH($C$403,"GEO_GROW_TOT_SHRHLDR_EQY","FY 2015","FY 2015","Currency=INR","Period=FY","BEST_FPERIOD_OVERRIDE=FY","FILING_STATUS=OR","EQY_CONSOLIDATED=Y","Sort=A","Dates=H","DateFormat=P","Fill=—","Direction=H","UseDPDF=Y")</f>
        <v>#NAME?</v>
      </c>
      <c r="BC408" s="2" t="e">
        <f ca="1">_xll.BDH($C$403,"TOTAL_CAPITAL_5_YEAR_GROWTH","FY 2015","FY 2015","Currency=INR","Period=FY","BEST_FPERIOD_OVERRIDE=FY","FILING_STATUS=OR","EQY_CONSOLIDATED=Y","Sort=A","Dates=H","DateFormat=P","Fill=—","Direction=H","UseDPDF=Y")</f>
        <v>#NAME?</v>
      </c>
      <c r="BD408" s="2" t="e">
        <f ca="1">_xll.BDH($C$403,"GEO_GROW_BOOK_VAL","FY 2015","FY 2015","Currency=INR","Period=FY","BEST_FPERIOD_OVERRIDE=FY","FILING_STATUS=OR","EQY_CONSOLIDATED=Y","Sort=A","Dates=H","DateFormat=P","Fill=—","Direction=H","UseDPDF=Y")</f>
        <v>#NAME?</v>
      </c>
      <c r="BE408" s="2" t="e">
        <f ca="1">_xll.BDH($C$403,"GEO_GROW_CASH_OPER_ACT","FY 2015","FY 2015","Currency=INR","Period=FY","BEST_FPERIOD_OVERRIDE=FY","FILING_STATUS=OR","EQY_CONSOLIDATED=Y","Sort=A","Dates=H","DateFormat=P","Fill=—","Direction=H","UseDPDF=Y")</f>
        <v>#NAME?</v>
      </c>
      <c r="BF408" s="2" t="e">
        <f ca="1">_xll.BDH($C$403,"REVENUE_SEQUENTIAL_GROWTH","FY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408" s="2" t="e">
        <f ca="1">_xll.BDH($C$403,"EBITDA_SEQUENTIAL_GROWTH","FY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408" s="2" t="e">
        <f ca="1">_xll.BDH($C$403,"OPERATING_INCOME_SEQ_GROWTH","FY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408" s="2" t="e">
        <f ca="1">_xll.BDH($C$403,"NET_INCOME_TO_COMMON_SEQ_GROWTH","FY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408" s="2" t="e">
        <f ca="1">_xll.BDH($C$403,"EPS_DILUTED_SEQUENTIAL_GROWTH","FY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408" s="2" t="e">
        <f ca="1">_xll.BDH($C$403,"DPS_SEQUENTIAL_GROWTH","FY 2015","FY 2015","Currency=INR","Period=FY","BEST_FPERIOD_OVERRIDE=FY","FILING_STATUS=OR","EQY_CONSOLIDATED=Y","Sort=A","Dates=H","DateFormat=P","Fill=—","Direction=H","UseDPDF=Y")</f>
        <v>#NAME?</v>
      </c>
      <c r="BL408" s="2" t="e">
        <f ca="1">_xll.BDH($C$403,"ACCOUNTS_RECEIVABLE_SEQ_GROWTH","FY 2015","FY 2015","Currency=INR","Period=FY","BEST_FPERIOD_OVERRIDE=FY","FILING_STATUS=OR","EQY_CONSOLIDATED=Y","Sort=A","Dates=H","DateFormat=P","Fill=—","Direction=H","UseDPDF=Y")</f>
        <v>#NAME?</v>
      </c>
      <c r="BM408" s="2" t="e">
        <f ca="1">_xll.BDH($C$403,"INVENTORY_SEQUENTIAL_GROWTH","FY 2015","FY 2015","Currency=INR","Period=FY","BEST_FPERIOD_OVERRIDE=FY","FILING_STATUS=OR","EQY_CONSOLIDATED=Y","Sort=A","Dates=H","DateFormat=P","Fill=—","Direction=H","UseDPDF=Y")</f>
        <v>#NAME?</v>
      </c>
      <c r="BN408" s="2" t="e">
        <f ca="1">_xll.BDH($C$403,"FIXED_ASSETS_SEQUENTIAL_GROWTH","FY 2015","FY 2015","Currency=INR","Period=FY","BEST_FPERIOD_OVERRIDE=FY","FILING_STATUS=OR","EQY_CONSOLIDATED=Y","Sort=A","Dates=H","DateFormat=P","Fill=—","Direction=H","UseDPDF=Y")</f>
        <v>#NAME?</v>
      </c>
      <c r="BO408" s="2" t="e">
        <f ca="1">_xll.BDH($C$403,"TOTAL_ASSETS_SEQUENTIAL_GROWTH","FY 2015","FY 2015","Currency=INR","Period=FY","BEST_FPERIOD_OVERRIDE=FY","FILING_STATUS=OR","EQY_CONSOLIDATED=Y","Sort=A","Dates=H","DateFormat=P","Fill=—","Direction=H","UseDPDF=Y")</f>
        <v>#NAME?</v>
      </c>
      <c r="BP408" s="2" t="e">
        <f ca="1">_xll.BDH($C$403,"MODIFIED_WORKING_CPTL_SEQ_GRWTH","FY 2015","FY 2015","Currency=INR","Period=FY","BEST_FPERIOD_OVERRIDE=FY","FILING_STATUS=OR","EQY_CONSOLIDATED=Y","Sort=A","Dates=H","DateFormat=P","Fill=—","Direction=H","UseDPDF=Y")</f>
        <v>#NAME?</v>
      </c>
      <c r="BQ408" s="2" t="e">
        <f ca="1">_xll.BDH($C$403,"WORKING_CAPITAL_SEQ_GROWTH","FY 2015","FY 2015","Currency=INR","Period=FY","BEST_FPERIOD_OVERRIDE=FY","FILING_STATUS=OR","EQY_CONSOLIDATED=Y","Sort=A","Dates=H","DateFormat=P","Fill=—","Direction=H","UseDPDF=Y")</f>
        <v>#NAME?</v>
      </c>
      <c r="BR408" s="2" t="e">
        <f ca="1">_xll.BDH($C$403,"ACCOUNTS_PAYABLE_SEQ_GROWTH","FY 2015","FY 2015","Currency=INR","Period=FY","BEST_FPERIOD_OVERRIDE=FY","FILING_STATUS=OR","EQY_CONSOLIDATED=Y","Sort=A","Dates=H","DateFormat=P","Fill=—","Direction=H","UseDPDF=Y")</f>
        <v>#NAME?</v>
      </c>
      <c r="BS408" s="2" t="e">
        <f ca="1">_xll.BDH($C$403,"ST_DEBT_SEQUENTIAL_GROWTH","FY 2015","FY 2015","Currency=INR","Period=FY","BEST_FPERIOD_OVERRIDE=FY","FILING_STATUS=OR","EQY_CONSOLIDATED=Y","Sort=A","Dates=H","DateFormat=P","Fill=—","Direction=H","UseDPDF=Y")</f>
        <v>#NAME?</v>
      </c>
      <c r="BT408" s="2" t="e">
        <f ca="1">_xll.BDH($C$403,"TOTAL_DEBT_SEQUENTIAL_GROWTH","FY 2015","FY 2015","Currency=INR","Period=FY","BEST_FPERIOD_OVERRIDE=FY","FILING_STATUS=OR","EQY_CONSOLIDATED=Y","Sort=A","Dates=H","DateFormat=P","Fill=—","Direction=H","UseDPDF=Y")</f>
        <v>#NAME?</v>
      </c>
      <c r="BU408" s="2" t="e">
        <f ca="1">_xll.BDH($C$403,"TOTAL_EQUITY_SEQUENTIAL_GROWTH","FY 2015","FY 2015","Currency=INR","Period=FY","BEST_FPERIOD_OVERRIDE=FY","FILING_STATUS=OR","EQY_CONSOLIDATED=Y","Sort=A","Dates=H","DateFormat=P","Fill=—","Direction=H","UseDPDF=Y")</f>
        <v>#NAME?</v>
      </c>
      <c r="BV408" s="2" t="e">
        <f ca="1">_xll.BDH($C$403,"TOTAL_CAPITAL_SEQUENTIAL_GROWTH","FY 2015","FY 2015","Currency=INR","Period=FY","BEST_FPERIOD_OVERRIDE=FY","FILING_STATUS=OR","EQY_CONSOLIDATED=Y","Sort=A","Dates=H","DateFormat=P","Fill=—","Direction=H","UseDPDF=Y")</f>
        <v>#NAME?</v>
      </c>
      <c r="BW408" s="2" t="e">
        <f ca="1">_xll.BDH($C$403,"BPS_SEQUENTIAL_GROWTH","FY 2015","FY 2015","Currency=INR","Period=FY","BEST_FPERIOD_OVERRIDE=FY","FILING_STATUS=OR","EQY_CONSOLIDATED=Y","Sort=A","Dates=H","DateFormat=P","Fill=—","Direction=H","UseDPDF=Y")</f>
        <v>#NAME?</v>
      </c>
      <c r="BX408" s="2" t="e">
        <f ca="1">_xll.BDH($C$403,"CFO_SEQUENTIAL_GROWTH","FY 2015","FY 2015","Currency=INR","Period=FY","BEST_FPERIOD_OVERRIDE=FY","FILING_STATUS=OR","EQY_CONSOLIDATED=Y","Sort=A","Dates=H","DateFormat=P","Fill=—","Direction=H","UseDPDF=Y")</f>
        <v>#NAME?</v>
      </c>
      <c r="BY408" s="3" t="e">
        <f ca="1">_xll.BDH($C$403,"SHORT_AND_LONG_TERM_DEBT","FY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408" s="3" t="e">
        <f ca="1">_xll.BDH($C$403,"BS_ST_BORROW","FY 2015","FY 2015","Currency=INR","Period=FY","BEST_FPERIOD_OVERRIDE=FY","FILING_STATUS=OR","EQY_CONSOLIDATED=Y","SCALING_FORMAT=MLN","Sort=A","Dates=H","DateFormat=P","Fill=—","Direction=H","UseDPDF=Y")</f>
        <v>#NAME?</v>
      </c>
      <c r="CA408" s="3" t="e">
        <f ca="1">_xll.BDH($C$403,"BS_LT_BORROW","FY 2015","FY 2015","Currency=INR","Period=FY","BEST_FPERIOD_OVERRIDE=FY","FILING_STATUS=OR","EQY_CONSOLIDATED=Y","SCALING_FORMAT=MLN","Sort=A","Dates=H","DateFormat=P","Fill=—","Direction=H","UseDPDF=Y")</f>
        <v>#NAME?</v>
      </c>
      <c r="CB408" s="2" t="e">
        <f ca="1">_xll.BDH($C$403,"TOT_DEBT_TO_EBITDA","FY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408" s="2" t="e">
        <f ca="1">_xll.BDH($C$403,"NET_DEBT_TO_EBITDA","FY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408" s="2" t="e">
        <f ca="1">_xll.BDH($C$403,"TOTAL_DEBT_TO_EBIT","FY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408" s="2" t="e">
        <f ca="1">_xll.BDH($C$403,"NET_DEBT_TO_EBIT","FY 2015","FY 2015","Currency=INR","Period=FY","BEST_FPERIOD_OVERRIDE=FY","FILING_STATUS=OR","EQY_CONSOLIDATED=Y","FA_ADJUSTED=GAAP","Sort=A","Dates=H","DateFormat=P","Fill=—","Direction=H","UseDPDF=Y")</f>
        <v>#NAME?</v>
      </c>
      <c r="CF408" s="2" t="e">
        <f ca="1">_xll.BDH($C$403,"EBITDA_TO_INTEREST_EXPN","FY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408" s="2" t="e">
        <f ca="1">_xll.BDH($C$403,"COM_EQY_TO_TOT_ASSET","FY 2015","FY 2015","Currency=INR","Period=FY","BEST_FPERIOD_OVERRIDE=FY","FILING_STATUS=OR","EQY_CONSOLIDATED=Y","Sort=A","Dates=H","DateFormat=P","Fill=—","Direction=H","UseDPDF=Y")</f>
        <v>#NAME?</v>
      </c>
      <c r="CH408" s="2" t="e">
        <f ca="1">_xll.BDH($C$403,"LT_DEBT_TO_TOT_EQY","FY 2015","FY 2015","Currency=INR","Period=FY","BEST_FPERIOD_OVERRIDE=FY","FILING_STATUS=OR","EQY_CONSOLIDATED=Y","Sort=A","Dates=H","DateFormat=P","Fill=—","Direction=H","UseDPDF=Y")</f>
        <v>#NAME?</v>
      </c>
      <c r="CI408" s="2" t="e">
        <f ca="1">_xll.BDH($C$403,"LT_DEBT_TO_TOT_CAP","FY 2015","FY 2015","Currency=INR","Period=FY","BEST_FPERIOD_OVERRIDE=FY","FILING_STATUS=OR","EQY_CONSOLIDATED=Y","Sort=A","Dates=H","DateFormat=P","Fill=—","Direction=H","UseDPDF=Y")</f>
        <v>#NAME?</v>
      </c>
      <c r="CJ408" s="2" t="e">
        <f ca="1">_xll.BDH($C$403,"LT_DEBT_TO_TOT_ASSET","FY 2015","FY 2015","Currency=INR","Period=FY","BEST_FPERIOD_OVERRIDE=FY","FILING_STATUS=OR","EQY_CONSOLIDATED=Y","Sort=A","Dates=H","DateFormat=P","Fill=—","Direction=H","UseDPDF=Y")</f>
        <v>#NAME?</v>
      </c>
      <c r="CK408" s="2" t="e">
        <f ca="1">_xll.BDH($C$403,"TOT_DEBT_TO_TOT_EQY","FY 2015","FY 2015","Currency=INR","Period=FY","BEST_FPERIOD_OVERRIDE=FY","FILING_STATUS=OR","EQY_CONSOLIDATED=Y","Sort=A","Dates=H","DateFormat=P","Fill=—","Direction=H","UseDPDF=Y")</f>
        <v>#NAME?</v>
      </c>
      <c r="CL408" s="2" t="e">
        <f ca="1">_xll.BDH($C$403,"TOT_DEBT_TO_TOT_CAP","FY 2015","FY 2015","Currency=INR","Period=FY","BEST_FPERIOD_OVERRIDE=FY","FILING_STATUS=OR","EQY_CONSOLIDATED=Y","Sort=A","Dates=H","DateFormat=P","Fill=—","Direction=H","UseDPDF=Y")</f>
        <v>#NAME?</v>
      </c>
      <c r="CM408" s="2" t="e">
        <f ca="1">_xll.BDH($C$403,"TOT_DEBT_TO_TOT_ASSET","FY 2015","FY 2015","Currency=INR","Period=FY","BEST_FPERIOD_OVERRIDE=FY","FILING_STATUS=OR","EQY_CONSOLIDATED=Y","Sort=A","Dates=H","DateFormat=P","Fill=—","Direction=H","UseDPDF=Y")</f>
        <v>#NAME?</v>
      </c>
      <c r="CN408" s="2" t="e">
        <f ca="1">_xll.BDH($C$403,"NET_DEBT_TO_SHRHLDR_EQTY","FY 2015","FY 2015","Currency=INR","Period=FY","BEST_FPERIOD_OVERRIDE=FY","FILING_STATUS=OR","EQY_CONSOLIDATED=Y","Sort=A","Dates=H","DateFormat=P","Fill=—","Direction=H","UseDPDF=Y")</f>
        <v>#NAME?</v>
      </c>
      <c r="CO408" s="2" t="e">
        <f ca="1">_xll.BDH($C$403,"NET_DEBT_%_CAPITAL","FY 2015","FY 2015","Currency=INR","Period=FY","BEST_FPERIOD_OVERRIDE=FY","FILING_STATUS=OR","EQY_CONSOLIDATED=Y","Sort=A","Dates=H","DateFormat=P","Fill=—","Direction=H","UseDPDF=Y")</f>
        <v>#NAME?</v>
      </c>
      <c r="CP408" s="3" t="e">
        <f ca="1">_xll.BDH($C$403,"EBITDA","FY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408" s="3" t="e">
        <f ca="1">_xll.BDH($C$403,"EBITDA_AFTER_CAPEX","FY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408" s="3" t="e">
        <f ca="1">_xll.BDH($C$403,"IS_OPER_INC","FY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408" s="2" t="e">
        <f ca="1">_xll.BDH($C$403,"CASH_RATIO","FY 2015","FY 2015","Currency=INR","Period=FY","BEST_FPERIOD_OVERRIDE=FY","FILING_STATUS=OR","EQY_CONSOLIDATED=Y","Sort=A","Dates=H","DateFormat=P","Fill=—","Direction=H","UseDPDF=Y")</f>
        <v>#NAME?</v>
      </c>
      <c r="CT408" s="2" t="e">
        <f ca="1">_xll.BDH($C$403,"CUR_RATIO","FY 2015","FY 2015","Currency=INR","Period=FY","BEST_FPERIOD_OVERRIDE=FY","FILING_STATUS=OR","EQY_CONSOLIDATED=Y","Sort=A","Dates=H","DateFormat=P","Fill=—","Direction=H","UseDPDF=Y")</f>
        <v>#NAME?</v>
      </c>
      <c r="CU408" s="2" t="e">
        <f ca="1">_xll.BDH($C$403,"QUICK_RATIO","FY 2015","FY 2015","Currency=INR","Period=FY","BEST_FPERIOD_OVERRIDE=FY","FILING_STATUS=OR","EQY_CONSOLIDATED=Y","Sort=A","Dates=H","DateFormat=P","Fill=—","Direction=H","UseDPDF=Y")</f>
        <v>#NAME?</v>
      </c>
      <c r="CV408" s="2" t="e">
        <f ca="1">_xll.BDH($C$403,"ALTMAN_Z_SCORE","FY 2015","FY 2015","Currency=INR","Period=FY","BEST_FPERIOD_OVERRIDE=FY","FILING_STATUS=OR","EQY_CONSOLIDATED=Y","Sort=A","Dates=H","DateFormat=P","Fill=—","Direction=H","UseDPDF=Y")</f>
        <v>#NAME?</v>
      </c>
      <c r="CW408" s="4" t="e">
        <f ca="1">_xll.BDH($C$403,"ACCT_RCV_TURN","FY 2015","FY 2015","Currency=INR","Period=FY","BEST_FPERIOD_OVERRIDE=FY","FILING_STATUS=OR","EQY_CONSOLIDATED=Y","FA_ADJUSTED=GAAP","Sort=A","Dates=H","DateFormat=P","Fill=—","Direction=H","UseDPDF=Y")</f>
        <v>#NAME?</v>
      </c>
      <c r="CX408" s="2" t="e">
        <f ca="1">_xll.BDH($C$403,"ACCT_RCV_DAYS","FY 2015","FY 2015","Currency=INR","Period=FY","BEST_FPERIOD_OVERRIDE=FY","FILING_STATUS=OR","EQY_CONSOLIDATED=Y","FA_ADJUSTED=GAAP","Sort=A","Dates=H","DateFormat=P","Fill=—","Direction=H","UseDPDF=Y")</f>
        <v>#NAME?</v>
      </c>
      <c r="CY408" s="4" t="e">
        <f ca="1">_xll.BDH($C$403,"INVENT_TURN","FY 2015","FY 2015","Currency=INR","Period=FY","BEST_FPERIOD_OVERRIDE=FY","FILING_STATUS=OR","EQY_CONSOLIDATED=Y","FA_ADJUSTED=GAAP","Sort=A","Dates=H","DateFormat=P","Fill=—","Direction=H","UseDPDF=Y")</f>
        <v>#NAME?</v>
      </c>
      <c r="CZ408" s="2" t="e">
        <f ca="1">_xll.BDH($C$403,"INVENT_DAYS","FY 2015","FY 2015","Currency=INR","Period=FY","BEST_FPERIOD_OVERRIDE=FY","FILING_STATUS=OR","EQY_CONSOLIDATED=Y","FA_ADJUSTED=GAAP","Sort=A","Dates=H","DateFormat=P","Fill=—","Direction=H","UseDPDF=Y")</f>
        <v>#NAME?</v>
      </c>
      <c r="DA408" s="4" t="e">
        <f ca="1">_xll.BDH($C$403,"ACCOUNTS_PAYABLE_TURNOVER","FY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408" s="2" t="e">
        <f ca="1">_xll.BDH($C$403,"ACCOUNTS_PAYABLE_TURNOVER_DAYS","FY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408" s="4" t="e">
        <f ca="1">_xll.BDH($C$403,"CASH_CONVERSION_CYCLE","FY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408" s="4" t="e">
        <f ca="1">_xll.BDH($C$403,"INV_TO_CASH_DAYS","FY 2015","FY 2015","Currency=INR","Period=FY","BEST_FPERIOD_OVERRIDE=FY","FILING_STATUS=OR","EQY_CONSOLIDATED=Y","FA_ADJUSTED=GAAP","Sort=A","Dates=H","DateFormat=P","Fill=—","Direction=H","UseDPDF=Y")</f>
        <v>#NAME?</v>
      </c>
      <c r="DE408" s="5" t="e">
        <f ca="1">_xll.BDH($C$403,"BS_INVENTORIES","FY 2015","FY 2015","Currency=INR","Period=FY","BEST_FPERIOD_OVERRIDE=FY","FILING_STATUS=OR","EQY_CONSOLIDATED=Y","SCALING_FORMAT=MLN","Sort=A","Dates=H","DateFormat=P","Fill=—","Direction=H","UseDPDF=Y")</f>
        <v>#NAME?</v>
      </c>
      <c r="DF408" s="3" t="e">
        <f ca="1">_xll.BDH($C$403,"INVTRY_RAW_MATERIALS","FY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408" s="3" t="e">
        <f ca="1">_xll.BDH($C$403,"INVTRY_IN_PROGRESS","FY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408" s="3" t="e">
        <f ca="1">_xll.BDH($C$403,"INVTRY_FINISHED_GOODS","FY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408" s="3" t="e">
        <f ca="1">_xll.BDH($C$403,"BS_OTHER_INV","FY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409" spans="1:113" x14ac:dyDescent="0.3">
      <c r="A409" s="6"/>
      <c r="B409" s="6"/>
      <c r="C409" s="6"/>
      <c r="D409" s="6"/>
      <c r="E409" t="s">
        <v>78</v>
      </c>
      <c r="F409" t="e">
        <f ca="1">_xll.BDH($C$403,"RETURN_COM_EQY","FQ1 2015","FQ1 2015","Currency=INR","Period=FQ","BEST_FPERIOD_OVERRIDE=FQ","FILING_STATUS=OR","EQY_CONSOLIDATED=Y","FA_ADJUSTED=GAAP","Sort=A","Dates=H","DateFormat=P","Fill=—","Direction=H","UseDPDF=Y")</f>
        <v>#NAME?</v>
      </c>
      <c r="G409" t="e">
        <f ca="1">_xll.BDH($C$403,"RETURN_ON_ASSET","FQ1 2015","FQ1 2015","Currency=INR","Period=FQ","BEST_FPERIOD_OVERRIDE=FQ","FILING_STATUS=OR","EQY_CONSOLIDATED=Y","FA_ADJUSTED=GAAP","Sort=A","Dates=H","DateFormat=P","Fill=—","Direction=H","UseDPDF=Y")</f>
        <v>#NAME?</v>
      </c>
      <c r="H409" t="e">
        <f ca="1">_xll.BDH($C$403,"RETURN_ON_CAP","FQ1 2015","FQ1 2015","Currency=INR","Period=FQ","BEST_FPERIOD_OVERRIDE=FQ","FILING_STATUS=OR","EQY_CONSOLIDATED=Y","FA_ADJUSTED=GAAP","Sort=A","Dates=H","DateFormat=P","Fill=—","Direction=H","UseDPDF=Y")</f>
        <v>#NAME?</v>
      </c>
      <c r="I409" t="e">
        <f ca="1">_xll.BDH($C$403,"RETURN_ON_INV_CAPITAL","FQ1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409" t="e">
        <f ca="1">_xll.BDH($C$403,"EBITDA_TO_REVENUE","FQ1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409" t="e">
        <f ca="1">_xll.BDH($C$403,"OPER_MARGIN","FQ1 2015","FQ1 2015","Currency=INR","Period=FQ","BEST_FPERIOD_OVERRIDE=FQ","FILING_STATUS=OR","EQY_CONSOLIDATED=Y","FA_ADJUSTED=GAAP","Sort=A","Dates=H","DateFormat=P","Fill=—","Direction=H","UseDPDF=Y")</f>
        <v>#NAME?</v>
      </c>
      <c r="L409" t="e">
        <f ca="1">_xll.BDH($C$403,"INCREMENTAL_OPERATING_MARGIN","FQ1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409" t="e">
        <f ca="1">_xll.BDH($C$403,"PRETAX_INC_TO_NET_SALES","FQ1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409" t="e">
        <f ca="1">_xll.BDH($C$403,"INC_BEF_XO_ITEMS_TO_NET_SALES","FQ1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409" t="e">
        <f ca="1">_xll.BDH($C$403,"PROF_MARGIN","FQ1 2015","FQ1 2015","Currency=INR","Period=FQ","BEST_FPERIOD_OVERRIDE=FQ","FILING_STATUS=OR","EQY_CONSOLIDATED=Y","FA_ADJUSTED=GAAP","Sort=A","Dates=H","DateFormat=P","Fill=—","Direction=H","UseDPDF=Y")</f>
        <v>#NAME?</v>
      </c>
      <c r="P409" t="e">
        <f ca="1">_xll.BDH($C$403,"NET_INCOME_TO_COMMON_MARGIN","FQ1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409" t="e">
        <f ca="1">_xll.BDH($C$403,"EFF_TAX_RATE","FQ1 2015","FQ1 2015","Currency=INR","Period=FQ","BEST_FPERIOD_OVERRIDE=FQ","FILING_STATUS=OR","EQY_CONSOLIDATED=Y","FA_ADJUSTED=GAAP","Sort=A","Dates=H","DateFormat=P","Fill=—","Direction=H","UseDPDF=Y")</f>
        <v>#NAME?</v>
      </c>
      <c r="R409" t="e">
        <f ca="1">_xll.BDH($C$403,"DVD_PAYOUT_RATIO","FQ1 2015","FQ1 2015","Currency=INR","Period=FQ","BEST_FPERIOD_OVERRIDE=FQ","FILING_STATUS=OR","EQY_CONSOLIDATED=Y","FA_ADJUSTED=GAAP","Sort=A","Dates=H","DateFormat=P","Fill=—","Direction=H","UseDPDF=Y")</f>
        <v>#NAME?</v>
      </c>
      <c r="S409" t="e">
        <f ca="1">_xll.BDH($C$403,"SUSTAIN_GROWTH_RT","FQ1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409" s="2" t="e">
        <f ca="1">_xll.BDH($C$403,"SALES_GROWTH","FQ1 2015","FQ1 2015","Currency=INR","Period=FQ","BEST_FPERIOD_OVERRIDE=FQ","FILING_STATUS=OR","EQY_CONSOLIDATED=Y","FA_ADJUSTED=GAAP","Sort=A","Dates=H","DateFormat=P","Fill=—","Direction=H","UseDPDF=Y")</f>
        <v>#NAME?</v>
      </c>
      <c r="U409" s="2" t="e">
        <f ca="1">_xll.BDH($C$403,"EBITDA_GROWTH","FQ1 2015","FQ1 2015","Currency=INR","Period=FQ","BEST_FPERIOD_OVERRIDE=FQ","FILING_STATUS=OR","EQY_CONSOLIDATED=Y","FA_ADJUSTED=GAAP","Sort=A","Dates=H","DateFormat=P","Fill=—","Direction=H","UseDPDF=Y")</f>
        <v>#NAME?</v>
      </c>
      <c r="V409" s="2" t="e">
        <f ca="1">_xll.BDH($C$403,"OPER_INC_GROWTH","FQ1 2015","FQ1 2015","Currency=INR","Period=FQ","BEST_FPERIOD_OVERRIDE=FQ","FILING_STATUS=OR","EQY_CONSOLIDATED=Y","FA_ADJUSTED=GAAP","Sort=A","Dates=H","DateFormat=P","Fill=—","Direction=H","UseDPDF=Y")</f>
        <v>#NAME?</v>
      </c>
      <c r="W409" s="2" t="e">
        <f ca="1">_xll.BDH($C$403,"EARN_FOR_COM_GROWTH","FQ1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409" s="2" t="e">
        <f ca="1">_xll.BDH($C$403,"DILUTED_EPS_AFT_XO_ITEMS_GROWTH","FQ1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409" s="2" t="e">
        <f ca="1">_xll.BDH($C$403,"DIVIDEND_PER_SHARE_1_YEAR_GROWTH","FQ1 2015","FQ1 2015","Currency=INR","Period=FQ","BEST_FPERIOD_OVERRIDE=FQ","FILING_STATUS=OR","EQY_CONSOLIDATED=Y","Sort=A","Dates=H","DateFormat=P","Fill=—","Direction=H","UseDPDF=Y")</f>
        <v>#NAME?</v>
      </c>
      <c r="Z409" s="2" t="e">
        <f ca="1">_xll.BDH($C$403,"ACCOUNTS_RECEIVABLE_GROWTH","FQ1 2015","FQ1 2015","Currency=INR","Period=FQ","BEST_FPERIOD_OVERRIDE=FQ","FILING_STATUS=OR","EQY_CONSOLIDATED=Y","Sort=A","Dates=H","DateFormat=P","Fill=—","Direction=H","UseDPDF=Y")</f>
        <v>#NAME?</v>
      </c>
      <c r="AA409" s="2" t="e">
        <f ca="1">_xll.BDH($C$403,"INVENTORY_GROWTH","FQ1 2015","FQ1 2015","Currency=INR","Period=FQ","BEST_FPERIOD_OVERRIDE=FQ","FILING_STATUS=OR","EQY_CONSOLIDATED=Y","Sort=A","Dates=H","DateFormat=P","Fill=—","Direction=H","UseDPDF=Y")</f>
        <v>#NAME?</v>
      </c>
      <c r="AB409" s="2" t="e">
        <f ca="1">_xll.BDH($C$403,"NET_FIXED_ASSETS_1_YEAR_GROWTH","FQ1 2015","FQ1 2015","Currency=INR","Period=FQ","BEST_FPERIOD_OVERRIDE=FQ","FILING_STATUS=OR","EQY_CONSOLIDATED=Y","Sort=A","Dates=H","DateFormat=P","Fill=—","Direction=H","UseDPDF=Y")</f>
        <v>#NAME?</v>
      </c>
      <c r="AC409" s="2" t="e">
        <f ca="1">_xll.BDH($C$403,"ASSET_GROWTH","FQ1 2015","FQ1 2015","Currency=INR","Period=FQ","BEST_FPERIOD_OVERRIDE=FQ","FILING_STATUS=OR","EQY_CONSOLIDATED=Y","Sort=A","Dates=H","DateFormat=P","Fill=—","Direction=H","UseDPDF=Y")</f>
        <v>#NAME?</v>
      </c>
      <c r="AD409" s="2" t="e">
        <f ca="1">_xll.BDH($C$403,"MODIFIED_WORK_CAP_GROWTH","FQ1 2015","FQ1 2015","Currency=INR","Period=FQ","BEST_FPERIOD_OVERRIDE=FQ","FILING_STATUS=OR","EQY_CONSOLIDATED=Y","Sort=A","Dates=H","DateFormat=P","Fill=—","Direction=H","UseDPDF=Y")</f>
        <v>#NAME?</v>
      </c>
      <c r="AE409" s="2" t="e">
        <f ca="1">_xll.BDH($C$403,"WORK_CAP_GROWTH","FQ1 2015","FQ1 2015","Currency=INR","Period=FQ","BEST_FPERIOD_OVERRIDE=FQ","FILING_STATUS=OR","EQY_CONSOLIDATED=Y","Sort=A","Dates=H","DateFormat=P","Fill=—","Direction=H","UseDPDF=Y")</f>
        <v>#NAME?</v>
      </c>
      <c r="AF409" s="2" t="e">
        <f ca="1">_xll.BDH($C$403,"ACCOUNTS_PAYABLE_GROWTH_1YR","FQ1 2015","FQ1 2015","Currency=INR","Period=FQ","BEST_FPERIOD_OVERRIDE=FQ","FILING_STATUS=OR","EQY_CONSOLIDATED=Y","Sort=A","Dates=H","DateFormat=P","Fill=—","Direction=H","UseDPDF=Y")</f>
        <v>#NAME?</v>
      </c>
      <c r="AG409" s="2" t="e">
        <f ca="1">_xll.BDH($C$403,"SHORT_TERM_DEBT_1_YEAR_GROWTH","FQ1 2015","FQ1 2015","Currency=INR","Period=FQ","BEST_FPERIOD_OVERRIDE=FQ","FILING_STATUS=OR","EQY_CONSOLIDATED=Y","Sort=A","Dates=H","DateFormat=P","Fill=—","Direction=H","UseDPDF=Y")</f>
        <v>#NAME?</v>
      </c>
      <c r="AH409" s="2" t="e">
        <f ca="1">_xll.BDH($C$403,"TOTAL_DEBT_1_YEAR_GROWTH","FQ1 2015","FQ1 2015","Currency=INR","Period=FQ","BEST_FPERIOD_OVERRIDE=FQ","FILING_STATUS=OR","EQY_CONSOLIDATED=Y","Sort=A","Dates=H","DateFormat=P","Fill=—","Direction=H","UseDPDF=Y")</f>
        <v>#NAME?</v>
      </c>
      <c r="AI409" s="2" t="e">
        <f ca="1">_xll.BDH($C$403,"TOTAL_EQUITY_1_YEAR_GROWTH","FQ1 2015","FQ1 2015","Currency=INR","Period=FQ","BEST_FPERIOD_OVERRIDE=FQ","FILING_STATUS=OR","EQY_CONSOLIDATED=Y","Sort=A","Dates=H","DateFormat=P","Fill=—","Direction=H","UseDPDF=Y")</f>
        <v>#NAME?</v>
      </c>
      <c r="AJ409" s="2" t="e">
        <f ca="1">_xll.BDH($C$403,"GROWTH_IN_CAP","FQ1 2015","FQ1 2015","Currency=INR","Period=FQ","BEST_FPERIOD_OVERRIDE=FQ","FILING_STATUS=OR","EQY_CONSOLIDATED=Y","Sort=A","Dates=H","DateFormat=P","Fill=—","Direction=H","UseDPDF=Y")</f>
        <v>#NAME?</v>
      </c>
      <c r="AK409" s="2" t="e">
        <f ca="1">_xll.BDH($C$403,"BVPS_GROWTH","FQ1 2015","FQ1 2015","Currency=INR","Period=FQ","BEST_FPERIOD_OVERRIDE=FQ","FILING_STATUS=OR","EQY_CONSOLIDATED=Y","Sort=A","Dates=H","DateFormat=P","Fill=—","Direction=H","UseDPDF=Y")</f>
        <v>#NAME?</v>
      </c>
      <c r="AL409" s="2" t="e">
        <f ca="1">_xll.BDH($C$403,"CASH_FLOW_GROWTH","FQ1 2015","FQ1 2015","Currency=INR","Period=FQ","BEST_FPERIOD_OVERRIDE=FQ","FILING_STATUS=OR","EQY_CONSOLIDATED=Y","Sort=A","Dates=H","DateFormat=P","Fill=—","Direction=H","UseDPDF=Y")</f>
        <v>#NAME?</v>
      </c>
      <c r="AM409" s="2" t="e">
        <f ca="1">_xll.BDH($C$403,"GEO_GROW_NET_SALES","FQ1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409" s="2" t="e">
        <f ca="1">_xll.BDH($C$403,"GEO_GROW_EBITDA","FQ1 2015","FQ1 2015","Currency=INR","Period=FQ","BEST_FPERIOD_OVERRIDE=FQ","FILING_STATUS=OR","EQY_CONSOLIDATED=Y","FA_ADJUSTED=GAAP","Sort=A","Dates=H","DateFormat=P","Fill=—","Direction=H","UseDPDF=Y")</f>
        <v>#NAME?</v>
      </c>
      <c r="AO409" s="2" t="e">
        <f ca="1">_xll.BDH($C$403,"GEO_GROW_OPER_INC","FQ1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409" s="2" t="e">
        <f ca="1">_xll.BDH($C$403,"NET_INCOME_TO_COMMON_5_YR_GROWTH","FQ1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409" s="2" t="e">
        <f ca="1">_xll.BDH($C$403,"5Y_GEO_GROWTH_DILUTED_EPS","FQ1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409" s="2" t="e">
        <f ca="1">_xll.BDH($C$403,"GEO_GROW_DVD_PER_SH","FQ1 2015","FQ1 2015","Currency=INR","Period=FQ","BEST_FPERIOD_OVERRIDE=FQ","FILING_STATUS=OR","EQY_CONSOLIDATED=Y","Sort=A","Dates=H","DateFormat=P","Fill=—","Direction=H","UseDPDF=Y")</f>
        <v>#NAME?</v>
      </c>
      <c r="AS409" s="2" t="e">
        <f ca="1">_xll.BDH($C$403,"ACCOUNTS_RECEIVABLE_5_YR_GROWTH","FQ1 2015","FQ1 2015","Currency=INR","Period=FQ","BEST_FPERIOD_OVERRIDE=FQ","FILING_STATUS=OR","EQY_CONSOLIDATED=Y","Sort=A","Dates=H","DateFormat=P","Fill=—","Direction=H","UseDPDF=Y")</f>
        <v>#NAME?</v>
      </c>
      <c r="AT409" s="2" t="e">
        <f ca="1">_xll.BDH($C$403,"INVENTORY_5_YEAR_GROWTH","FQ1 2015","FQ1 2015","Currency=INR","Period=FQ","BEST_FPERIOD_OVERRIDE=FQ","FILING_STATUS=OR","EQY_CONSOLIDATED=Y","Sort=A","Dates=H","DateFormat=P","Fill=—","Direction=H","UseDPDF=Y")</f>
        <v>#NAME?</v>
      </c>
      <c r="AU409" s="2" t="e">
        <f ca="1">_xll.BDH($C$403,"NET_FIXED_ASSETS_5_YEAR_GROWTH","FQ1 2015","FQ1 2015","Currency=INR","Period=FQ","BEST_FPERIOD_OVERRIDE=FQ","FILING_STATUS=OR","EQY_CONSOLIDATED=Y","Sort=A","Dates=H","DateFormat=P","Fill=—","Direction=H","UseDPDF=Y")</f>
        <v>#NAME?</v>
      </c>
      <c r="AV409" s="2" t="e">
        <f ca="1">_xll.BDH($C$403,"GEO_GROW_TOT_ASSET","FQ1 2015","FQ1 2015","Currency=INR","Period=FQ","BEST_FPERIOD_OVERRIDE=FQ","FILING_STATUS=OR","EQY_CONSOLIDATED=Y","Sort=A","Dates=H","DateFormat=P","Fill=—","Direction=H","UseDPDF=Y")</f>
        <v>#NAME?</v>
      </c>
      <c r="AW409" s="2" t="e">
        <f ca="1">_xll.BDH($C$403,"MODIFIED_WORKING_CPTL_5YR_GRWTH","FQ1 2015","FQ1 2015","Currency=INR","Period=FQ","BEST_FPERIOD_OVERRIDE=FQ","FILING_STATUS=OR","EQY_CONSOLIDATED=Y","Sort=A","Dates=H","DateFormat=P","Fill=—","Direction=H","UseDPDF=Y")</f>
        <v>#NAME?</v>
      </c>
      <c r="AX409" s="2" t="e">
        <f ca="1">_xll.BDH($C$403,"WORKING_CAPITAL_5_YEAR_GROWTH","FQ1 2015","FQ1 2015","Currency=INR","Period=FQ","BEST_FPERIOD_OVERRIDE=FQ","FILING_STATUS=OR","EQY_CONSOLIDATED=Y","Sort=A","Dates=H","DateFormat=P","Fill=—","Direction=H","UseDPDF=Y")</f>
        <v>#NAME?</v>
      </c>
      <c r="AY409" s="2" t="e">
        <f ca="1">_xll.BDH($C$403,"ACCOUNTS_PAYABLE_5_YEAR_GROWTH","FQ1 2015","FQ1 2015","Currency=INR","Period=FQ","BEST_FPERIOD_OVERRIDE=FQ","FILING_STATUS=OR","EQY_CONSOLIDATED=Y","Sort=A","Dates=H","DateFormat=P","Fill=—","Direction=H","UseDPDF=Y")</f>
        <v>#NAME?</v>
      </c>
      <c r="AZ409" s="2" t="e">
        <f ca="1">_xll.BDH($C$403,"SHORT_TERM_DEBT_5_YEAR_GROWTH","FQ1 2015","FQ1 2015","Currency=INR","Period=FQ","BEST_FPERIOD_OVERRIDE=FQ","FILING_STATUS=OR","EQY_CONSOLIDATED=Y","Sort=A","Dates=H","DateFormat=P","Fill=—","Direction=H","UseDPDF=Y")</f>
        <v>#NAME?</v>
      </c>
      <c r="BA409" s="2" t="e">
        <f ca="1">_xll.BDH($C$403,"TOTAL_DEBT_5_YEAR_GROWTH","FQ1 2015","FQ1 2015","Currency=INR","Period=FQ","BEST_FPERIOD_OVERRIDE=FQ","FILING_STATUS=OR","EQY_CONSOLIDATED=Y","Sort=A","Dates=H","DateFormat=P","Fill=—","Direction=H","UseDPDF=Y")</f>
        <v>#NAME?</v>
      </c>
      <c r="BB409" s="2" t="e">
        <f ca="1">_xll.BDH($C$403,"GEO_GROW_TOT_SHRHLDR_EQY","FQ1 2015","FQ1 2015","Currency=INR","Period=FQ","BEST_FPERIOD_OVERRIDE=FQ","FILING_STATUS=OR","EQY_CONSOLIDATED=Y","Sort=A","Dates=H","DateFormat=P","Fill=—","Direction=H","UseDPDF=Y")</f>
        <v>#NAME?</v>
      </c>
      <c r="BC409" s="2" t="e">
        <f ca="1">_xll.BDH($C$403,"TOTAL_CAPITAL_5_YEAR_GROWTH","FQ1 2015","FQ1 2015","Currency=INR","Period=FQ","BEST_FPERIOD_OVERRIDE=FQ","FILING_STATUS=OR","EQY_CONSOLIDATED=Y","Sort=A","Dates=H","DateFormat=P","Fill=—","Direction=H","UseDPDF=Y")</f>
        <v>#NAME?</v>
      </c>
      <c r="BD409" s="2" t="e">
        <f ca="1">_xll.BDH($C$403,"GEO_GROW_BOOK_VAL","FQ1 2015","FQ1 2015","Currency=INR","Period=FQ","BEST_FPERIOD_OVERRIDE=FQ","FILING_STATUS=OR","EQY_CONSOLIDATED=Y","Sort=A","Dates=H","DateFormat=P","Fill=—","Direction=H","UseDPDF=Y")</f>
        <v>#NAME?</v>
      </c>
      <c r="BE409" s="2" t="e">
        <f ca="1">_xll.BDH($C$403,"GEO_GROW_CASH_OPER_ACT","FQ1 2015","FQ1 2015","Currency=INR","Period=FQ","BEST_FPERIOD_OVERRIDE=FQ","FILING_STATUS=OR","EQY_CONSOLIDATED=Y","Sort=A","Dates=H","DateFormat=P","Fill=—","Direction=H","UseDPDF=Y")</f>
        <v>#NAME?</v>
      </c>
      <c r="BF409" s="2" t="e">
        <f ca="1">_xll.BDH($C$403,"REVENUE_SEQUENTIAL_GROWTH","FQ1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409" s="2" t="e">
        <f ca="1">_xll.BDH($C$403,"EBITDA_SEQUENTIAL_GROWTH","FQ1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409" s="2" t="e">
        <f ca="1">_xll.BDH($C$403,"OPERATING_INCOME_SEQ_GROWTH","FQ1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409" s="2" t="e">
        <f ca="1">_xll.BDH($C$403,"NET_INCOME_TO_COMMON_SEQ_GROWTH","FQ1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409" s="2" t="e">
        <f ca="1">_xll.BDH($C$403,"EPS_DILUTED_SEQUENTIAL_GROWTH","FQ1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409" s="2" t="e">
        <f ca="1">_xll.BDH($C$403,"DPS_SEQUENTIAL_GROWTH","FQ1 2015","FQ1 2015","Currency=INR","Period=FQ","BEST_FPERIOD_OVERRIDE=FQ","FILING_STATUS=OR","EQY_CONSOLIDATED=Y","Sort=A","Dates=H","DateFormat=P","Fill=—","Direction=H","UseDPDF=Y")</f>
        <v>#NAME?</v>
      </c>
      <c r="BL409" s="2" t="e">
        <f ca="1">_xll.BDH($C$403,"ACCOUNTS_RECEIVABLE_SEQ_GROWTH","FQ1 2015","FQ1 2015","Currency=INR","Period=FQ","BEST_FPERIOD_OVERRIDE=FQ","FILING_STATUS=OR","EQY_CONSOLIDATED=Y","Sort=A","Dates=H","DateFormat=P","Fill=—","Direction=H","UseDPDF=Y")</f>
        <v>#NAME?</v>
      </c>
      <c r="BM409" s="2" t="e">
        <f ca="1">_xll.BDH($C$403,"INVENTORY_SEQUENTIAL_GROWTH","FQ1 2015","FQ1 2015","Currency=INR","Period=FQ","BEST_FPERIOD_OVERRIDE=FQ","FILING_STATUS=OR","EQY_CONSOLIDATED=Y","Sort=A","Dates=H","DateFormat=P","Fill=—","Direction=H","UseDPDF=Y")</f>
        <v>#NAME?</v>
      </c>
      <c r="BN409" s="2" t="e">
        <f ca="1">_xll.BDH($C$403,"FIXED_ASSETS_SEQUENTIAL_GROWTH","FQ1 2015","FQ1 2015","Currency=INR","Period=FQ","BEST_FPERIOD_OVERRIDE=FQ","FILING_STATUS=OR","EQY_CONSOLIDATED=Y","Sort=A","Dates=H","DateFormat=P","Fill=—","Direction=H","UseDPDF=Y")</f>
        <v>#NAME?</v>
      </c>
      <c r="BO409" s="2" t="e">
        <f ca="1">_xll.BDH($C$403,"TOTAL_ASSETS_SEQUENTIAL_GROWTH","FQ1 2015","FQ1 2015","Currency=INR","Period=FQ","BEST_FPERIOD_OVERRIDE=FQ","FILING_STATUS=OR","EQY_CONSOLIDATED=Y","Sort=A","Dates=H","DateFormat=P","Fill=—","Direction=H","UseDPDF=Y")</f>
        <v>#NAME?</v>
      </c>
      <c r="BP409" s="2" t="e">
        <f ca="1">_xll.BDH($C$403,"MODIFIED_WORKING_CPTL_SEQ_GRWTH","FQ1 2015","FQ1 2015","Currency=INR","Period=FQ","BEST_FPERIOD_OVERRIDE=FQ","FILING_STATUS=OR","EQY_CONSOLIDATED=Y","Sort=A","Dates=H","DateFormat=P","Fill=—","Direction=H","UseDPDF=Y")</f>
        <v>#NAME?</v>
      </c>
      <c r="BQ409" s="2" t="e">
        <f ca="1">_xll.BDH($C$403,"WORKING_CAPITAL_SEQ_GROWTH","FQ1 2015","FQ1 2015","Currency=INR","Period=FQ","BEST_FPERIOD_OVERRIDE=FQ","FILING_STATUS=OR","EQY_CONSOLIDATED=Y","Sort=A","Dates=H","DateFormat=P","Fill=—","Direction=H","UseDPDF=Y")</f>
        <v>#NAME?</v>
      </c>
      <c r="BR409" s="2" t="e">
        <f ca="1">_xll.BDH($C$403,"ACCOUNTS_PAYABLE_SEQ_GROWTH","FQ1 2015","FQ1 2015","Currency=INR","Period=FQ","BEST_FPERIOD_OVERRIDE=FQ","FILING_STATUS=OR","EQY_CONSOLIDATED=Y","Sort=A","Dates=H","DateFormat=P","Fill=—","Direction=H","UseDPDF=Y")</f>
        <v>#NAME?</v>
      </c>
      <c r="BS409" s="2" t="e">
        <f ca="1">_xll.BDH($C$403,"ST_DEBT_SEQUENTIAL_GROWTH","FQ1 2015","FQ1 2015","Currency=INR","Period=FQ","BEST_FPERIOD_OVERRIDE=FQ","FILING_STATUS=OR","EQY_CONSOLIDATED=Y","Sort=A","Dates=H","DateFormat=P","Fill=—","Direction=H","UseDPDF=Y")</f>
        <v>#NAME?</v>
      </c>
      <c r="BT409" s="2" t="e">
        <f ca="1">_xll.BDH($C$403,"TOTAL_DEBT_SEQUENTIAL_GROWTH","FQ1 2015","FQ1 2015","Currency=INR","Period=FQ","BEST_FPERIOD_OVERRIDE=FQ","FILING_STATUS=OR","EQY_CONSOLIDATED=Y","Sort=A","Dates=H","DateFormat=P","Fill=—","Direction=H","UseDPDF=Y")</f>
        <v>#NAME?</v>
      </c>
      <c r="BU409" s="2" t="e">
        <f ca="1">_xll.BDH($C$403,"TOTAL_EQUITY_SEQUENTIAL_GROWTH","FQ1 2015","FQ1 2015","Currency=INR","Period=FQ","BEST_FPERIOD_OVERRIDE=FQ","FILING_STATUS=OR","EQY_CONSOLIDATED=Y","Sort=A","Dates=H","DateFormat=P","Fill=—","Direction=H","UseDPDF=Y")</f>
        <v>#NAME?</v>
      </c>
      <c r="BV409" s="2" t="e">
        <f ca="1">_xll.BDH($C$403,"TOTAL_CAPITAL_SEQUENTIAL_GROWTH","FQ1 2015","FQ1 2015","Currency=INR","Period=FQ","BEST_FPERIOD_OVERRIDE=FQ","FILING_STATUS=OR","EQY_CONSOLIDATED=Y","Sort=A","Dates=H","DateFormat=P","Fill=—","Direction=H","UseDPDF=Y")</f>
        <v>#NAME?</v>
      </c>
      <c r="BW409" s="2" t="e">
        <f ca="1">_xll.BDH($C$403,"BPS_SEQUENTIAL_GROWTH","FQ1 2015","FQ1 2015","Currency=INR","Period=FQ","BEST_FPERIOD_OVERRIDE=FQ","FILING_STATUS=OR","EQY_CONSOLIDATED=Y","Sort=A","Dates=H","DateFormat=P","Fill=—","Direction=H","UseDPDF=Y")</f>
        <v>#NAME?</v>
      </c>
      <c r="BX409" s="2" t="e">
        <f ca="1">_xll.BDH($C$403,"CFO_SEQUENTIAL_GROWTH","FQ1 2015","FQ1 2015","Currency=INR","Period=FQ","BEST_FPERIOD_OVERRIDE=FQ","FILING_STATUS=OR","EQY_CONSOLIDATED=Y","Sort=A","Dates=H","DateFormat=P","Fill=—","Direction=H","UseDPDF=Y")</f>
        <v>#NAME?</v>
      </c>
      <c r="BY409" s="3" t="e">
        <f ca="1">_xll.BDH($C$403,"SHORT_AND_LONG_TERM_DEBT","FQ1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409" s="3" t="e">
        <f ca="1">_xll.BDH($C$403,"BS_ST_BORROW","FQ1 2015","FQ1 2015","Currency=INR","Period=FQ","BEST_FPERIOD_OVERRIDE=FQ","FILING_STATUS=OR","EQY_CONSOLIDATED=Y","SCALING_FORMAT=MLN","Sort=A","Dates=H","DateFormat=P","Fill=—","Direction=H","UseDPDF=Y")</f>
        <v>#NAME?</v>
      </c>
      <c r="CA409" s="3" t="e">
        <f ca="1">_xll.BDH($C$403,"BS_LT_BORROW","FQ1 2015","FQ1 2015","Currency=INR","Period=FQ","BEST_FPERIOD_OVERRIDE=FQ","FILING_STATUS=OR","EQY_CONSOLIDATED=Y","SCALING_FORMAT=MLN","Sort=A","Dates=H","DateFormat=P","Fill=—","Direction=H","UseDPDF=Y")</f>
        <v>#NAME?</v>
      </c>
      <c r="CB409" s="2" t="e">
        <f ca="1">_xll.BDH($C$403,"TOT_DEBT_TO_EBITDA","FQ1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409" s="2" t="e">
        <f ca="1">_xll.BDH($C$403,"NET_DEBT_TO_EBITDA","FQ1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409" s="2" t="e">
        <f ca="1">_xll.BDH($C$403,"TOTAL_DEBT_TO_EBIT","FQ1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409" s="2" t="e">
        <f ca="1">_xll.BDH($C$403,"NET_DEBT_TO_EBIT","FQ1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409" s="2" t="e">
        <f ca="1">_xll.BDH($C$403,"EBITDA_TO_INTEREST_EXPN","FQ1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409" s="2" t="e">
        <f ca="1">_xll.BDH($C$403,"COM_EQY_TO_TOT_ASSET","FQ1 2015","FQ1 2015","Currency=INR","Period=FQ","BEST_FPERIOD_OVERRIDE=FQ","FILING_STATUS=OR","EQY_CONSOLIDATED=Y","Sort=A","Dates=H","DateFormat=P","Fill=—","Direction=H","UseDPDF=Y")</f>
        <v>#NAME?</v>
      </c>
      <c r="CH409" s="2" t="e">
        <f ca="1">_xll.BDH($C$403,"LT_DEBT_TO_TOT_EQY","FQ1 2015","FQ1 2015","Currency=INR","Period=FQ","BEST_FPERIOD_OVERRIDE=FQ","FILING_STATUS=OR","EQY_CONSOLIDATED=Y","Sort=A","Dates=H","DateFormat=P","Fill=—","Direction=H","UseDPDF=Y")</f>
        <v>#NAME?</v>
      </c>
      <c r="CI409" s="2" t="e">
        <f ca="1">_xll.BDH($C$403,"LT_DEBT_TO_TOT_CAP","FQ1 2015","FQ1 2015","Currency=INR","Period=FQ","BEST_FPERIOD_OVERRIDE=FQ","FILING_STATUS=OR","EQY_CONSOLIDATED=Y","Sort=A","Dates=H","DateFormat=P","Fill=—","Direction=H","UseDPDF=Y")</f>
        <v>#NAME?</v>
      </c>
      <c r="CJ409" s="2" t="e">
        <f ca="1">_xll.BDH($C$403,"LT_DEBT_TO_TOT_ASSET","FQ1 2015","FQ1 2015","Currency=INR","Period=FQ","BEST_FPERIOD_OVERRIDE=FQ","FILING_STATUS=OR","EQY_CONSOLIDATED=Y","Sort=A","Dates=H","DateFormat=P","Fill=—","Direction=H","UseDPDF=Y")</f>
        <v>#NAME?</v>
      </c>
      <c r="CK409" s="2" t="e">
        <f ca="1">_xll.BDH($C$403,"TOT_DEBT_TO_TOT_EQY","FQ1 2015","FQ1 2015","Currency=INR","Period=FQ","BEST_FPERIOD_OVERRIDE=FQ","FILING_STATUS=OR","EQY_CONSOLIDATED=Y","Sort=A","Dates=H","DateFormat=P","Fill=—","Direction=H","UseDPDF=Y")</f>
        <v>#NAME?</v>
      </c>
      <c r="CL409" s="2" t="e">
        <f ca="1">_xll.BDH($C$403,"TOT_DEBT_TO_TOT_CAP","FQ1 2015","FQ1 2015","Currency=INR","Period=FQ","BEST_FPERIOD_OVERRIDE=FQ","FILING_STATUS=OR","EQY_CONSOLIDATED=Y","Sort=A","Dates=H","DateFormat=P","Fill=—","Direction=H","UseDPDF=Y")</f>
        <v>#NAME?</v>
      </c>
      <c r="CM409" s="2" t="e">
        <f ca="1">_xll.BDH($C$403,"TOT_DEBT_TO_TOT_ASSET","FQ1 2015","FQ1 2015","Currency=INR","Period=FQ","BEST_FPERIOD_OVERRIDE=FQ","FILING_STATUS=OR","EQY_CONSOLIDATED=Y","Sort=A","Dates=H","DateFormat=P","Fill=—","Direction=H","UseDPDF=Y")</f>
        <v>#NAME?</v>
      </c>
      <c r="CN409" s="2" t="e">
        <f ca="1">_xll.BDH($C$403,"NET_DEBT_TO_SHRHLDR_EQTY","FQ1 2015","FQ1 2015","Currency=INR","Period=FQ","BEST_FPERIOD_OVERRIDE=FQ","FILING_STATUS=OR","EQY_CONSOLIDATED=Y","Sort=A","Dates=H","DateFormat=P","Fill=—","Direction=H","UseDPDF=Y")</f>
        <v>#NAME?</v>
      </c>
      <c r="CO409" s="2" t="e">
        <f ca="1">_xll.BDH($C$403,"NET_DEBT_%_CAPITAL","FQ1 2015","FQ1 2015","Currency=INR","Period=FQ","BEST_FPERIOD_OVERRIDE=FQ","FILING_STATUS=OR","EQY_CONSOLIDATED=Y","Sort=A","Dates=H","DateFormat=P","Fill=—","Direction=H","UseDPDF=Y")</f>
        <v>#NAME?</v>
      </c>
      <c r="CP409" s="3" t="e">
        <f ca="1">_xll.BDH($C$403,"EBITDA","FQ1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409" s="3" t="e">
        <f ca="1">_xll.BDH($C$403,"EBITDA_AFTER_CAPEX","FQ1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409" s="3" t="e">
        <f ca="1">_xll.BDH($C$403,"IS_OPER_INC","FQ1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409" s="2" t="e">
        <f ca="1">_xll.BDH($C$403,"CASH_RATIO","FQ1 2015","FQ1 2015","Currency=INR","Period=FQ","BEST_FPERIOD_OVERRIDE=FQ","FILING_STATUS=OR","EQY_CONSOLIDATED=Y","Sort=A","Dates=H","DateFormat=P","Fill=—","Direction=H","UseDPDF=Y")</f>
        <v>#NAME?</v>
      </c>
      <c r="CT409" s="2" t="e">
        <f ca="1">_xll.BDH($C$403,"CUR_RATIO","FQ1 2015","FQ1 2015","Currency=INR","Period=FQ","BEST_FPERIOD_OVERRIDE=FQ","FILING_STATUS=OR","EQY_CONSOLIDATED=Y","Sort=A","Dates=H","DateFormat=P","Fill=—","Direction=H","UseDPDF=Y")</f>
        <v>#NAME?</v>
      </c>
      <c r="CU409" s="2" t="e">
        <f ca="1">_xll.BDH($C$403,"QUICK_RATIO","FQ1 2015","FQ1 2015","Currency=INR","Period=FQ","BEST_FPERIOD_OVERRIDE=FQ","FILING_STATUS=OR","EQY_CONSOLIDATED=Y","Sort=A","Dates=H","DateFormat=P","Fill=—","Direction=H","UseDPDF=Y")</f>
        <v>#NAME?</v>
      </c>
      <c r="CV409" s="2" t="e">
        <f ca="1">_xll.BDH($C$403,"ALTMAN_Z_SCORE","FQ1 2015","FQ1 2015","Currency=INR","Period=FQ","BEST_FPERIOD_OVERRIDE=FQ","FILING_STATUS=OR","EQY_CONSOLIDATED=Y","Sort=A","Dates=H","DateFormat=P","Fill=—","Direction=H","UseDPDF=Y")</f>
        <v>#NAME?</v>
      </c>
      <c r="CW409" s="4" t="e">
        <f ca="1">_xll.BDH($C$403,"ACCT_RCV_TURN","FQ1 2015","FQ1 2015","Currency=INR","Period=FQ","BEST_FPERIOD_OVERRIDE=FQ","FILING_STATUS=OR","EQY_CONSOLIDATED=Y","FA_ADJUSTED=GAAP","Sort=A","Dates=H","DateFormat=P","Fill=—","Direction=H","UseDPDF=Y")</f>
        <v>#NAME?</v>
      </c>
      <c r="CX409" s="2" t="e">
        <f ca="1">_xll.BDH($C$403,"ACCT_RCV_DAYS","FQ1 2015","FQ1 2015","Currency=INR","Period=FQ","BEST_FPERIOD_OVERRIDE=FQ","FILING_STATUS=OR","EQY_CONSOLIDATED=Y","FA_ADJUSTED=GAAP","Sort=A","Dates=H","DateFormat=P","Fill=—","Direction=H","UseDPDF=Y")</f>
        <v>#NAME?</v>
      </c>
      <c r="CY409" s="4" t="e">
        <f ca="1">_xll.BDH($C$403,"INVENT_TURN","FQ1 2015","FQ1 2015","Currency=INR","Period=FQ","BEST_FPERIOD_OVERRIDE=FQ","FILING_STATUS=OR","EQY_CONSOLIDATED=Y","FA_ADJUSTED=GAAP","Sort=A","Dates=H","DateFormat=P","Fill=—","Direction=H","UseDPDF=Y")</f>
        <v>#NAME?</v>
      </c>
      <c r="CZ409" s="2" t="e">
        <f ca="1">_xll.BDH($C$403,"INVENT_DAYS","FQ1 2015","FQ1 2015","Currency=INR","Period=FQ","BEST_FPERIOD_OVERRIDE=FQ","FILING_STATUS=OR","EQY_CONSOLIDATED=Y","FA_ADJUSTED=GAAP","Sort=A","Dates=H","DateFormat=P","Fill=—","Direction=H","UseDPDF=Y")</f>
        <v>#NAME?</v>
      </c>
      <c r="DA409" s="4" t="e">
        <f ca="1">_xll.BDH($C$403,"ACCOUNTS_PAYABLE_TURNOVER","FQ1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409" s="2" t="e">
        <f ca="1">_xll.BDH($C$403,"ACCOUNTS_PAYABLE_TURNOVER_DAYS","FQ1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409" s="4" t="e">
        <f ca="1">_xll.BDH($C$403,"CASH_CONVERSION_CYCLE","FQ1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409" s="4" t="e">
        <f ca="1">_xll.BDH($C$403,"INV_TO_CASH_DAYS","FQ1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409" s="5" t="e">
        <f ca="1">_xll.BDH($C$403,"BS_INVENTORIES","FQ1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409" s="3" t="e">
        <f ca="1">_xll.BDH($C$403,"INVTRY_RAW_MATERIALS","FQ1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409" s="3" t="e">
        <f ca="1">_xll.BDH($C$403,"INVTRY_IN_PROGRESS","FQ1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409" s="3" t="e">
        <f ca="1">_xll.BDH($C$403,"INVTRY_FINISHED_GOODS","FQ1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409" s="3" t="e">
        <f ca="1">_xll.BDH($C$403,"BS_OTHER_INV","FQ1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410" spans="1:113" x14ac:dyDescent="0.3">
      <c r="A410" s="6"/>
      <c r="B410" s="6"/>
      <c r="C410" s="6"/>
      <c r="D410" s="6"/>
      <c r="E410" t="s">
        <v>79</v>
      </c>
      <c r="F410" t="e">
        <f ca="1">_xll.BDH($C$403,"RETURN_COM_EQY","FQ2 2015","FQ2 2015","Currency=INR","Period=FQ","BEST_FPERIOD_OVERRIDE=FQ","FILING_STATUS=OR","EQY_CONSOLIDATED=Y","FA_ADJUSTED=GAAP","Sort=A","Dates=H","DateFormat=P","Fill=—","Direction=H","UseDPDF=Y")</f>
        <v>#NAME?</v>
      </c>
      <c r="G410" t="e">
        <f ca="1">_xll.BDH($C$403,"RETURN_ON_ASSET","FQ2 2015","FQ2 2015","Currency=INR","Period=FQ","BEST_FPERIOD_OVERRIDE=FQ","FILING_STATUS=OR","EQY_CONSOLIDATED=Y","FA_ADJUSTED=GAAP","Sort=A","Dates=H","DateFormat=P","Fill=—","Direction=H","UseDPDF=Y")</f>
        <v>#NAME?</v>
      </c>
      <c r="H410" t="e">
        <f ca="1">_xll.BDH($C$403,"RETURN_ON_CAP","FQ2 2015","FQ2 2015","Currency=INR","Period=FQ","BEST_FPERIOD_OVERRIDE=FQ","FILING_STATUS=OR","EQY_CONSOLIDATED=Y","FA_ADJUSTED=GAAP","Sort=A","Dates=H","DateFormat=P","Fill=—","Direction=H","UseDPDF=Y")</f>
        <v>#NAME?</v>
      </c>
      <c r="I410" t="e">
        <f ca="1">_xll.BDH($C$403,"RETURN_ON_INV_CAPITAL","FQ2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410" t="e">
        <f ca="1">_xll.BDH($C$403,"EBITDA_TO_REVENUE","FQ2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410" t="e">
        <f ca="1">_xll.BDH($C$403,"OPER_MARGIN","FQ2 2015","FQ2 2015","Currency=INR","Period=FQ","BEST_FPERIOD_OVERRIDE=FQ","FILING_STATUS=OR","EQY_CONSOLIDATED=Y","FA_ADJUSTED=GAAP","Sort=A","Dates=H","DateFormat=P","Fill=—","Direction=H","UseDPDF=Y")</f>
        <v>#NAME?</v>
      </c>
      <c r="L410" t="e">
        <f ca="1">_xll.BDH($C$403,"INCREMENTAL_OPERATING_MARGIN","FQ2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410" t="e">
        <f ca="1">_xll.BDH($C$403,"PRETAX_INC_TO_NET_SALES","FQ2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410" t="e">
        <f ca="1">_xll.BDH($C$403,"INC_BEF_XO_ITEMS_TO_NET_SALES","FQ2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410" t="e">
        <f ca="1">_xll.BDH($C$403,"PROF_MARGIN","FQ2 2015","FQ2 2015","Currency=INR","Period=FQ","BEST_FPERIOD_OVERRIDE=FQ","FILING_STATUS=OR","EQY_CONSOLIDATED=Y","FA_ADJUSTED=GAAP","Sort=A","Dates=H","DateFormat=P","Fill=—","Direction=H","UseDPDF=Y")</f>
        <v>#NAME?</v>
      </c>
      <c r="P410" t="e">
        <f ca="1">_xll.BDH($C$403,"NET_INCOME_TO_COMMON_MARGIN","FQ2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410" t="e">
        <f ca="1">_xll.BDH($C$403,"EFF_TAX_RATE","FQ2 2015","FQ2 2015","Currency=INR","Period=FQ","BEST_FPERIOD_OVERRIDE=FQ","FILING_STATUS=OR","EQY_CONSOLIDATED=Y","FA_ADJUSTED=GAAP","Sort=A","Dates=H","DateFormat=P","Fill=—","Direction=H","UseDPDF=Y")</f>
        <v>#NAME?</v>
      </c>
      <c r="R410" t="e">
        <f ca="1">_xll.BDH($C$403,"DVD_PAYOUT_RATIO","FQ2 2015","FQ2 2015","Currency=INR","Period=FQ","BEST_FPERIOD_OVERRIDE=FQ","FILING_STATUS=OR","EQY_CONSOLIDATED=Y","FA_ADJUSTED=GAAP","Sort=A","Dates=H","DateFormat=P","Fill=—","Direction=H","UseDPDF=Y")</f>
        <v>#NAME?</v>
      </c>
      <c r="S410" t="e">
        <f ca="1">_xll.BDH($C$403,"SUSTAIN_GROWTH_RT","FQ2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410" s="2" t="e">
        <f ca="1">_xll.BDH($C$403,"SALES_GROWTH","FQ2 2015","FQ2 2015","Currency=INR","Period=FQ","BEST_FPERIOD_OVERRIDE=FQ","FILING_STATUS=OR","EQY_CONSOLIDATED=Y","FA_ADJUSTED=GAAP","Sort=A","Dates=H","DateFormat=P","Fill=—","Direction=H","UseDPDF=Y")</f>
        <v>#NAME?</v>
      </c>
      <c r="U410" s="2" t="e">
        <f ca="1">_xll.BDH($C$403,"EBITDA_GROWTH","FQ2 2015","FQ2 2015","Currency=INR","Period=FQ","BEST_FPERIOD_OVERRIDE=FQ","FILING_STATUS=OR","EQY_CONSOLIDATED=Y","FA_ADJUSTED=GAAP","Sort=A","Dates=H","DateFormat=P","Fill=—","Direction=H","UseDPDF=Y")</f>
        <v>#NAME?</v>
      </c>
      <c r="V410" s="2" t="e">
        <f ca="1">_xll.BDH($C$403,"OPER_INC_GROWTH","FQ2 2015","FQ2 2015","Currency=INR","Period=FQ","BEST_FPERIOD_OVERRIDE=FQ","FILING_STATUS=OR","EQY_CONSOLIDATED=Y","FA_ADJUSTED=GAAP","Sort=A","Dates=H","DateFormat=P","Fill=—","Direction=H","UseDPDF=Y")</f>
        <v>#NAME?</v>
      </c>
      <c r="W410" s="2" t="e">
        <f ca="1">_xll.BDH($C$403,"EARN_FOR_COM_GROWTH","FQ2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410" s="2" t="e">
        <f ca="1">_xll.BDH($C$403,"DILUTED_EPS_AFT_XO_ITEMS_GROWTH","FQ2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410" s="2" t="e">
        <f ca="1">_xll.BDH($C$403,"DIVIDEND_PER_SHARE_1_YEAR_GROWTH","FQ2 2015","FQ2 2015","Currency=INR","Period=FQ","BEST_FPERIOD_OVERRIDE=FQ","FILING_STATUS=OR","EQY_CONSOLIDATED=Y","Sort=A","Dates=H","DateFormat=P","Fill=—","Direction=H","UseDPDF=Y")</f>
        <v>#NAME?</v>
      </c>
      <c r="Z410" s="2" t="e">
        <f ca="1">_xll.BDH($C$403,"ACCOUNTS_RECEIVABLE_GROWTH","FQ2 2015","FQ2 2015","Currency=INR","Period=FQ","BEST_FPERIOD_OVERRIDE=FQ","FILING_STATUS=OR","EQY_CONSOLIDATED=Y","Sort=A","Dates=H","DateFormat=P","Fill=—","Direction=H","UseDPDF=Y")</f>
        <v>#NAME?</v>
      </c>
      <c r="AA410" s="2" t="e">
        <f ca="1">_xll.BDH($C$403,"INVENTORY_GROWTH","FQ2 2015","FQ2 2015","Currency=INR","Period=FQ","BEST_FPERIOD_OVERRIDE=FQ","FILING_STATUS=OR","EQY_CONSOLIDATED=Y","Sort=A","Dates=H","DateFormat=P","Fill=—","Direction=H","UseDPDF=Y")</f>
        <v>#NAME?</v>
      </c>
      <c r="AB410" s="2" t="e">
        <f ca="1">_xll.BDH($C$403,"NET_FIXED_ASSETS_1_YEAR_GROWTH","FQ2 2015","FQ2 2015","Currency=INR","Period=FQ","BEST_FPERIOD_OVERRIDE=FQ","FILING_STATUS=OR","EQY_CONSOLIDATED=Y","Sort=A","Dates=H","DateFormat=P","Fill=—","Direction=H","UseDPDF=Y")</f>
        <v>#NAME?</v>
      </c>
      <c r="AC410" s="2" t="e">
        <f ca="1">_xll.BDH($C$403,"ASSET_GROWTH","FQ2 2015","FQ2 2015","Currency=INR","Period=FQ","BEST_FPERIOD_OVERRIDE=FQ","FILING_STATUS=OR","EQY_CONSOLIDATED=Y","Sort=A","Dates=H","DateFormat=P","Fill=—","Direction=H","UseDPDF=Y")</f>
        <v>#NAME?</v>
      </c>
      <c r="AD410" s="2" t="e">
        <f ca="1">_xll.BDH($C$403,"MODIFIED_WORK_CAP_GROWTH","FQ2 2015","FQ2 2015","Currency=INR","Period=FQ","BEST_FPERIOD_OVERRIDE=FQ","FILING_STATUS=OR","EQY_CONSOLIDATED=Y","Sort=A","Dates=H","DateFormat=P","Fill=—","Direction=H","UseDPDF=Y")</f>
        <v>#NAME?</v>
      </c>
      <c r="AE410" s="2" t="e">
        <f ca="1">_xll.BDH($C$403,"WORK_CAP_GROWTH","FQ2 2015","FQ2 2015","Currency=INR","Period=FQ","BEST_FPERIOD_OVERRIDE=FQ","FILING_STATUS=OR","EQY_CONSOLIDATED=Y","Sort=A","Dates=H","DateFormat=P","Fill=—","Direction=H","UseDPDF=Y")</f>
        <v>#NAME?</v>
      </c>
      <c r="AF410" s="2" t="e">
        <f ca="1">_xll.BDH($C$403,"ACCOUNTS_PAYABLE_GROWTH_1YR","FQ2 2015","FQ2 2015","Currency=INR","Period=FQ","BEST_FPERIOD_OVERRIDE=FQ","FILING_STATUS=OR","EQY_CONSOLIDATED=Y","Sort=A","Dates=H","DateFormat=P","Fill=—","Direction=H","UseDPDF=Y")</f>
        <v>#NAME?</v>
      </c>
      <c r="AG410" s="2" t="e">
        <f ca="1">_xll.BDH($C$403,"SHORT_TERM_DEBT_1_YEAR_GROWTH","FQ2 2015","FQ2 2015","Currency=INR","Period=FQ","BEST_FPERIOD_OVERRIDE=FQ","FILING_STATUS=OR","EQY_CONSOLIDATED=Y","Sort=A","Dates=H","DateFormat=P","Fill=—","Direction=H","UseDPDF=Y")</f>
        <v>#NAME?</v>
      </c>
      <c r="AH410" s="2" t="e">
        <f ca="1">_xll.BDH($C$403,"TOTAL_DEBT_1_YEAR_GROWTH","FQ2 2015","FQ2 2015","Currency=INR","Period=FQ","BEST_FPERIOD_OVERRIDE=FQ","FILING_STATUS=OR","EQY_CONSOLIDATED=Y","Sort=A","Dates=H","DateFormat=P","Fill=—","Direction=H","UseDPDF=Y")</f>
        <v>#NAME?</v>
      </c>
      <c r="AI410" s="2" t="e">
        <f ca="1">_xll.BDH($C$403,"TOTAL_EQUITY_1_YEAR_GROWTH","FQ2 2015","FQ2 2015","Currency=INR","Period=FQ","BEST_FPERIOD_OVERRIDE=FQ","FILING_STATUS=OR","EQY_CONSOLIDATED=Y","Sort=A","Dates=H","DateFormat=P","Fill=—","Direction=H","UseDPDF=Y")</f>
        <v>#NAME?</v>
      </c>
      <c r="AJ410" s="2" t="e">
        <f ca="1">_xll.BDH($C$403,"GROWTH_IN_CAP","FQ2 2015","FQ2 2015","Currency=INR","Period=FQ","BEST_FPERIOD_OVERRIDE=FQ","FILING_STATUS=OR","EQY_CONSOLIDATED=Y","Sort=A","Dates=H","DateFormat=P","Fill=—","Direction=H","UseDPDF=Y")</f>
        <v>#NAME?</v>
      </c>
      <c r="AK410" s="2" t="e">
        <f ca="1">_xll.BDH($C$403,"BVPS_GROWTH","FQ2 2015","FQ2 2015","Currency=INR","Period=FQ","BEST_FPERIOD_OVERRIDE=FQ","FILING_STATUS=OR","EQY_CONSOLIDATED=Y","Sort=A","Dates=H","DateFormat=P","Fill=—","Direction=H","UseDPDF=Y")</f>
        <v>#NAME?</v>
      </c>
      <c r="AL410" s="2" t="e">
        <f ca="1">_xll.BDH($C$403,"CASH_FLOW_GROWTH","FQ2 2015","FQ2 2015","Currency=INR","Period=FQ","BEST_FPERIOD_OVERRIDE=FQ","FILING_STATUS=OR","EQY_CONSOLIDATED=Y","Sort=A","Dates=H","DateFormat=P","Fill=—","Direction=H","UseDPDF=Y")</f>
        <v>#NAME?</v>
      </c>
      <c r="AM410" s="2" t="e">
        <f ca="1">_xll.BDH($C$403,"GEO_GROW_NET_SALES","FQ2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410" s="2" t="e">
        <f ca="1">_xll.BDH($C$403,"GEO_GROW_EBITDA","FQ2 2015","FQ2 2015","Currency=INR","Period=FQ","BEST_FPERIOD_OVERRIDE=FQ","FILING_STATUS=OR","EQY_CONSOLIDATED=Y","FA_ADJUSTED=GAAP","Sort=A","Dates=H","DateFormat=P","Fill=—","Direction=H","UseDPDF=Y")</f>
        <v>#NAME?</v>
      </c>
      <c r="AO410" s="2" t="e">
        <f ca="1">_xll.BDH($C$403,"GEO_GROW_OPER_INC","FQ2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410" s="2" t="e">
        <f ca="1">_xll.BDH($C$403,"NET_INCOME_TO_COMMON_5_YR_GROWTH","FQ2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410" s="2" t="e">
        <f ca="1">_xll.BDH($C$403,"5Y_GEO_GROWTH_DILUTED_EPS","FQ2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410" s="2" t="e">
        <f ca="1">_xll.BDH($C$403,"GEO_GROW_DVD_PER_SH","FQ2 2015","FQ2 2015","Currency=INR","Period=FQ","BEST_FPERIOD_OVERRIDE=FQ","FILING_STATUS=OR","EQY_CONSOLIDATED=Y","Sort=A","Dates=H","DateFormat=P","Fill=—","Direction=H","UseDPDF=Y")</f>
        <v>#NAME?</v>
      </c>
      <c r="AS410" s="2" t="e">
        <f ca="1">_xll.BDH($C$403,"ACCOUNTS_RECEIVABLE_5_YR_GROWTH","FQ2 2015","FQ2 2015","Currency=INR","Period=FQ","BEST_FPERIOD_OVERRIDE=FQ","FILING_STATUS=OR","EQY_CONSOLIDATED=Y","Sort=A","Dates=H","DateFormat=P","Fill=—","Direction=H","UseDPDF=Y")</f>
        <v>#NAME?</v>
      </c>
      <c r="AT410" s="2" t="e">
        <f ca="1">_xll.BDH($C$403,"INVENTORY_5_YEAR_GROWTH","FQ2 2015","FQ2 2015","Currency=INR","Period=FQ","BEST_FPERIOD_OVERRIDE=FQ","FILING_STATUS=OR","EQY_CONSOLIDATED=Y","Sort=A","Dates=H","DateFormat=P","Fill=—","Direction=H","UseDPDF=Y")</f>
        <v>#NAME?</v>
      </c>
      <c r="AU410" s="2" t="e">
        <f ca="1">_xll.BDH($C$403,"NET_FIXED_ASSETS_5_YEAR_GROWTH","FQ2 2015","FQ2 2015","Currency=INR","Period=FQ","BEST_FPERIOD_OVERRIDE=FQ","FILING_STATUS=OR","EQY_CONSOLIDATED=Y","Sort=A","Dates=H","DateFormat=P","Fill=—","Direction=H","UseDPDF=Y")</f>
        <v>#NAME?</v>
      </c>
      <c r="AV410" s="2" t="e">
        <f ca="1">_xll.BDH($C$403,"GEO_GROW_TOT_ASSET","FQ2 2015","FQ2 2015","Currency=INR","Period=FQ","BEST_FPERIOD_OVERRIDE=FQ","FILING_STATUS=OR","EQY_CONSOLIDATED=Y","Sort=A","Dates=H","DateFormat=P","Fill=—","Direction=H","UseDPDF=Y")</f>
        <v>#NAME?</v>
      </c>
      <c r="AW410" s="2" t="e">
        <f ca="1">_xll.BDH($C$403,"MODIFIED_WORKING_CPTL_5YR_GRWTH","FQ2 2015","FQ2 2015","Currency=INR","Period=FQ","BEST_FPERIOD_OVERRIDE=FQ","FILING_STATUS=OR","EQY_CONSOLIDATED=Y","Sort=A","Dates=H","DateFormat=P","Fill=—","Direction=H","UseDPDF=Y")</f>
        <v>#NAME?</v>
      </c>
      <c r="AX410" s="2" t="e">
        <f ca="1">_xll.BDH($C$403,"WORKING_CAPITAL_5_YEAR_GROWTH","FQ2 2015","FQ2 2015","Currency=INR","Period=FQ","BEST_FPERIOD_OVERRIDE=FQ","FILING_STATUS=OR","EQY_CONSOLIDATED=Y","Sort=A","Dates=H","DateFormat=P","Fill=—","Direction=H","UseDPDF=Y")</f>
        <v>#NAME?</v>
      </c>
      <c r="AY410" s="2" t="e">
        <f ca="1">_xll.BDH($C$403,"ACCOUNTS_PAYABLE_5_YEAR_GROWTH","FQ2 2015","FQ2 2015","Currency=INR","Period=FQ","BEST_FPERIOD_OVERRIDE=FQ","FILING_STATUS=OR","EQY_CONSOLIDATED=Y","Sort=A","Dates=H","DateFormat=P","Fill=—","Direction=H","UseDPDF=Y")</f>
        <v>#NAME?</v>
      </c>
      <c r="AZ410" s="2" t="e">
        <f ca="1">_xll.BDH($C$403,"SHORT_TERM_DEBT_5_YEAR_GROWTH","FQ2 2015","FQ2 2015","Currency=INR","Period=FQ","BEST_FPERIOD_OVERRIDE=FQ","FILING_STATUS=OR","EQY_CONSOLIDATED=Y","Sort=A","Dates=H","DateFormat=P","Fill=—","Direction=H","UseDPDF=Y")</f>
        <v>#NAME?</v>
      </c>
      <c r="BA410" s="2" t="e">
        <f ca="1">_xll.BDH($C$403,"TOTAL_DEBT_5_YEAR_GROWTH","FQ2 2015","FQ2 2015","Currency=INR","Period=FQ","BEST_FPERIOD_OVERRIDE=FQ","FILING_STATUS=OR","EQY_CONSOLIDATED=Y","Sort=A","Dates=H","DateFormat=P","Fill=—","Direction=H","UseDPDF=Y")</f>
        <v>#NAME?</v>
      </c>
      <c r="BB410" s="2" t="e">
        <f ca="1">_xll.BDH($C$403,"GEO_GROW_TOT_SHRHLDR_EQY","FQ2 2015","FQ2 2015","Currency=INR","Period=FQ","BEST_FPERIOD_OVERRIDE=FQ","FILING_STATUS=OR","EQY_CONSOLIDATED=Y","Sort=A","Dates=H","DateFormat=P","Fill=—","Direction=H","UseDPDF=Y")</f>
        <v>#NAME?</v>
      </c>
      <c r="BC410" s="2" t="e">
        <f ca="1">_xll.BDH($C$403,"TOTAL_CAPITAL_5_YEAR_GROWTH","FQ2 2015","FQ2 2015","Currency=INR","Period=FQ","BEST_FPERIOD_OVERRIDE=FQ","FILING_STATUS=OR","EQY_CONSOLIDATED=Y","Sort=A","Dates=H","DateFormat=P","Fill=—","Direction=H","UseDPDF=Y")</f>
        <v>#NAME?</v>
      </c>
      <c r="BD410" s="2" t="e">
        <f ca="1">_xll.BDH($C$403,"GEO_GROW_BOOK_VAL","FQ2 2015","FQ2 2015","Currency=INR","Period=FQ","BEST_FPERIOD_OVERRIDE=FQ","FILING_STATUS=OR","EQY_CONSOLIDATED=Y","Sort=A","Dates=H","DateFormat=P","Fill=—","Direction=H","UseDPDF=Y")</f>
        <v>#NAME?</v>
      </c>
      <c r="BE410" s="2" t="e">
        <f ca="1">_xll.BDH($C$403,"GEO_GROW_CASH_OPER_ACT","FQ2 2015","FQ2 2015","Currency=INR","Period=FQ","BEST_FPERIOD_OVERRIDE=FQ","FILING_STATUS=OR","EQY_CONSOLIDATED=Y","Sort=A","Dates=H","DateFormat=P","Fill=—","Direction=H","UseDPDF=Y")</f>
        <v>#NAME?</v>
      </c>
      <c r="BF410" s="2" t="e">
        <f ca="1">_xll.BDH($C$403,"REVENUE_SEQUENTIAL_GROWTH","FQ2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410" s="2" t="e">
        <f ca="1">_xll.BDH($C$403,"EBITDA_SEQUENTIAL_GROWTH","FQ2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410" s="2" t="e">
        <f ca="1">_xll.BDH($C$403,"OPERATING_INCOME_SEQ_GROWTH","FQ2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410" s="2" t="e">
        <f ca="1">_xll.BDH($C$403,"NET_INCOME_TO_COMMON_SEQ_GROWTH","FQ2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410" s="2" t="e">
        <f ca="1">_xll.BDH($C$403,"EPS_DILUTED_SEQUENTIAL_GROWTH","FQ2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410" s="2" t="e">
        <f ca="1">_xll.BDH($C$403,"DPS_SEQUENTIAL_GROWTH","FQ2 2015","FQ2 2015","Currency=INR","Period=FQ","BEST_FPERIOD_OVERRIDE=FQ","FILING_STATUS=OR","EQY_CONSOLIDATED=Y","Sort=A","Dates=H","DateFormat=P","Fill=—","Direction=H","UseDPDF=Y")</f>
        <v>#NAME?</v>
      </c>
      <c r="BL410" s="2" t="e">
        <f ca="1">_xll.BDH($C$403,"ACCOUNTS_RECEIVABLE_SEQ_GROWTH","FQ2 2015","FQ2 2015","Currency=INR","Period=FQ","BEST_FPERIOD_OVERRIDE=FQ","FILING_STATUS=OR","EQY_CONSOLIDATED=Y","Sort=A","Dates=H","DateFormat=P","Fill=—","Direction=H","UseDPDF=Y")</f>
        <v>#NAME?</v>
      </c>
      <c r="BM410" s="2" t="e">
        <f ca="1">_xll.BDH($C$403,"INVENTORY_SEQUENTIAL_GROWTH","FQ2 2015","FQ2 2015","Currency=INR","Period=FQ","BEST_FPERIOD_OVERRIDE=FQ","FILING_STATUS=OR","EQY_CONSOLIDATED=Y","Sort=A","Dates=H","DateFormat=P","Fill=—","Direction=H","UseDPDF=Y")</f>
        <v>#NAME?</v>
      </c>
      <c r="BN410" s="2" t="e">
        <f ca="1">_xll.BDH($C$403,"FIXED_ASSETS_SEQUENTIAL_GROWTH","FQ2 2015","FQ2 2015","Currency=INR","Period=FQ","BEST_FPERIOD_OVERRIDE=FQ","FILING_STATUS=OR","EQY_CONSOLIDATED=Y","Sort=A","Dates=H","DateFormat=P","Fill=—","Direction=H","UseDPDF=Y")</f>
        <v>#NAME?</v>
      </c>
      <c r="BO410" s="2" t="e">
        <f ca="1">_xll.BDH($C$403,"TOTAL_ASSETS_SEQUENTIAL_GROWTH","FQ2 2015","FQ2 2015","Currency=INR","Period=FQ","BEST_FPERIOD_OVERRIDE=FQ","FILING_STATUS=OR","EQY_CONSOLIDATED=Y","Sort=A","Dates=H","DateFormat=P","Fill=—","Direction=H","UseDPDF=Y")</f>
        <v>#NAME?</v>
      </c>
      <c r="BP410" s="2" t="e">
        <f ca="1">_xll.BDH($C$403,"MODIFIED_WORKING_CPTL_SEQ_GRWTH","FQ2 2015","FQ2 2015","Currency=INR","Period=FQ","BEST_FPERIOD_OVERRIDE=FQ","FILING_STATUS=OR","EQY_CONSOLIDATED=Y","Sort=A","Dates=H","DateFormat=P","Fill=—","Direction=H","UseDPDF=Y")</f>
        <v>#NAME?</v>
      </c>
      <c r="BQ410" s="2" t="e">
        <f ca="1">_xll.BDH($C$403,"WORKING_CAPITAL_SEQ_GROWTH","FQ2 2015","FQ2 2015","Currency=INR","Period=FQ","BEST_FPERIOD_OVERRIDE=FQ","FILING_STATUS=OR","EQY_CONSOLIDATED=Y","Sort=A","Dates=H","DateFormat=P","Fill=—","Direction=H","UseDPDF=Y")</f>
        <v>#NAME?</v>
      </c>
      <c r="BR410" s="2" t="e">
        <f ca="1">_xll.BDH($C$403,"ACCOUNTS_PAYABLE_SEQ_GROWTH","FQ2 2015","FQ2 2015","Currency=INR","Period=FQ","BEST_FPERIOD_OVERRIDE=FQ","FILING_STATUS=OR","EQY_CONSOLIDATED=Y","Sort=A","Dates=H","DateFormat=P","Fill=—","Direction=H","UseDPDF=Y")</f>
        <v>#NAME?</v>
      </c>
      <c r="BS410" s="2" t="e">
        <f ca="1">_xll.BDH($C$403,"ST_DEBT_SEQUENTIAL_GROWTH","FQ2 2015","FQ2 2015","Currency=INR","Period=FQ","BEST_FPERIOD_OVERRIDE=FQ","FILING_STATUS=OR","EQY_CONSOLIDATED=Y","Sort=A","Dates=H","DateFormat=P","Fill=—","Direction=H","UseDPDF=Y")</f>
        <v>#NAME?</v>
      </c>
      <c r="BT410" s="2" t="e">
        <f ca="1">_xll.BDH($C$403,"TOTAL_DEBT_SEQUENTIAL_GROWTH","FQ2 2015","FQ2 2015","Currency=INR","Period=FQ","BEST_FPERIOD_OVERRIDE=FQ","FILING_STATUS=OR","EQY_CONSOLIDATED=Y","Sort=A","Dates=H","DateFormat=P","Fill=—","Direction=H","UseDPDF=Y")</f>
        <v>#NAME?</v>
      </c>
      <c r="BU410" s="2" t="e">
        <f ca="1">_xll.BDH($C$403,"TOTAL_EQUITY_SEQUENTIAL_GROWTH","FQ2 2015","FQ2 2015","Currency=INR","Period=FQ","BEST_FPERIOD_OVERRIDE=FQ","FILING_STATUS=OR","EQY_CONSOLIDATED=Y","Sort=A","Dates=H","DateFormat=P","Fill=—","Direction=H","UseDPDF=Y")</f>
        <v>#NAME?</v>
      </c>
      <c r="BV410" s="2" t="e">
        <f ca="1">_xll.BDH($C$403,"TOTAL_CAPITAL_SEQUENTIAL_GROWTH","FQ2 2015","FQ2 2015","Currency=INR","Period=FQ","BEST_FPERIOD_OVERRIDE=FQ","FILING_STATUS=OR","EQY_CONSOLIDATED=Y","Sort=A","Dates=H","DateFormat=P","Fill=—","Direction=H","UseDPDF=Y")</f>
        <v>#NAME?</v>
      </c>
      <c r="BW410" s="2" t="e">
        <f ca="1">_xll.BDH($C$403,"BPS_SEQUENTIAL_GROWTH","FQ2 2015","FQ2 2015","Currency=INR","Period=FQ","BEST_FPERIOD_OVERRIDE=FQ","FILING_STATUS=OR","EQY_CONSOLIDATED=Y","Sort=A","Dates=H","DateFormat=P","Fill=—","Direction=H","UseDPDF=Y")</f>
        <v>#NAME?</v>
      </c>
      <c r="BX410" s="2" t="e">
        <f ca="1">_xll.BDH($C$403,"CFO_SEQUENTIAL_GROWTH","FQ2 2015","FQ2 2015","Currency=INR","Period=FQ","BEST_FPERIOD_OVERRIDE=FQ","FILING_STATUS=OR","EQY_CONSOLIDATED=Y","Sort=A","Dates=H","DateFormat=P","Fill=—","Direction=H","UseDPDF=Y")</f>
        <v>#NAME?</v>
      </c>
      <c r="BY410" s="3" t="e">
        <f ca="1">_xll.BDH($C$403,"SHORT_AND_LONG_TERM_DEBT","FQ2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410" s="3" t="e">
        <f ca="1">_xll.BDH($C$403,"BS_ST_BORROW","FQ2 2015","FQ2 2015","Currency=INR","Period=FQ","BEST_FPERIOD_OVERRIDE=FQ","FILING_STATUS=OR","EQY_CONSOLIDATED=Y","SCALING_FORMAT=MLN","Sort=A","Dates=H","DateFormat=P","Fill=—","Direction=H","UseDPDF=Y")</f>
        <v>#NAME?</v>
      </c>
      <c r="CA410" s="3" t="e">
        <f ca="1">_xll.BDH($C$403,"BS_LT_BORROW","FQ2 2015","FQ2 2015","Currency=INR","Period=FQ","BEST_FPERIOD_OVERRIDE=FQ","FILING_STATUS=OR","EQY_CONSOLIDATED=Y","SCALING_FORMAT=MLN","Sort=A","Dates=H","DateFormat=P","Fill=—","Direction=H","UseDPDF=Y")</f>
        <v>#NAME?</v>
      </c>
      <c r="CB410" s="2" t="e">
        <f ca="1">_xll.BDH($C$403,"TOT_DEBT_TO_EBITDA","FQ2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410" s="2" t="e">
        <f ca="1">_xll.BDH($C$403,"NET_DEBT_TO_EBITDA","FQ2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410" s="2" t="e">
        <f ca="1">_xll.BDH($C$403,"TOTAL_DEBT_TO_EBIT","FQ2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410" s="2" t="e">
        <f ca="1">_xll.BDH($C$403,"NET_DEBT_TO_EBIT","FQ2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410" s="2" t="e">
        <f ca="1">_xll.BDH($C$403,"EBITDA_TO_INTEREST_EXPN","FQ2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410" s="2" t="e">
        <f ca="1">_xll.BDH($C$403,"COM_EQY_TO_TOT_ASSET","FQ2 2015","FQ2 2015","Currency=INR","Period=FQ","BEST_FPERIOD_OVERRIDE=FQ","FILING_STATUS=OR","EQY_CONSOLIDATED=Y","Sort=A","Dates=H","DateFormat=P","Fill=—","Direction=H","UseDPDF=Y")</f>
        <v>#NAME?</v>
      </c>
      <c r="CH410" s="2" t="e">
        <f ca="1">_xll.BDH($C$403,"LT_DEBT_TO_TOT_EQY","FQ2 2015","FQ2 2015","Currency=INR","Period=FQ","BEST_FPERIOD_OVERRIDE=FQ","FILING_STATUS=OR","EQY_CONSOLIDATED=Y","Sort=A","Dates=H","DateFormat=P","Fill=—","Direction=H","UseDPDF=Y")</f>
        <v>#NAME?</v>
      </c>
      <c r="CI410" s="2" t="e">
        <f ca="1">_xll.BDH($C$403,"LT_DEBT_TO_TOT_CAP","FQ2 2015","FQ2 2015","Currency=INR","Period=FQ","BEST_FPERIOD_OVERRIDE=FQ","FILING_STATUS=OR","EQY_CONSOLIDATED=Y","Sort=A","Dates=H","DateFormat=P","Fill=—","Direction=H","UseDPDF=Y")</f>
        <v>#NAME?</v>
      </c>
      <c r="CJ410" s="2" t="e">
        <f ca="1">_xll.BDH($C$403,"LT_DEBT_TO_TOT_ASSET","FQ2 2015","FQ2 2015","Currency=INR","Period=FQ","BEST_FPERIOD_OVERRIDE=FQ","FILING_STATUS=OR","EQY_CONSOLIDATED=Y","Sort=A","Dates=H","DateFormat=P","Fill=—","Direction=H","UseDPDF=Y")</f>
        <v>#NAME?</v>
      </c>
      <c r="CK410" s="2" t="e">
        <f ca="1">_xll.BDH($C$403,"TOT_DEBT_TO_TOT_EQY","FQ2 2015","FQ2 2015","Currency=INR","Period=FQ","BEST_FPERIOD_OVERRIDE=FQ","FILING_STATUS=OR","EQY_CONSOLIDATED=Y","Sort=A","Dates=H","DateFormat=P","Fill=—","Direction=H","UseDPDF=Y")</f>
        <v>#NAME?</v>
      </c>
      <c r="CL410" s="2" t="e">
        <f ca="1">_xll.BDH($C$403,"TOT_DEBT_TO_TOT_CAP","FQ2 2015","FQ2 2015","Currency=INR","Period=FQ","BEST_FPERIOD_OVERRIDE=FQ","FILING_STATUS=OR","EQY_CONSOLIDATED=Y","Sort=A","Dates=H","DateFormat=P","Fill=—","Direction=H","UseDPDF=Y")</f>
        <v>#NAME?</v>
      </c>
      <c r="CM410" s="2" t="e">
        <f ca="1">_xll.BDH($C$403,"TOT_DEBT_TO_TOT_ASSET","FQ2 2015","FQ2 2015","Currency=INR","Period=FQ","BEST_FPERIOD_OVERRIDE=FQ","FILING_STATUS=OR","EQY_CONSOLIDATED=Y","Sort=A","Dates=H","DateFormat=P","Fill=—","Direction=H","UseDPDF=Y")</f>
        <v>#NAME?</v>
      </c>
      <c r="CN410" s="2" t="e">
        <f ca="1">_xll.BDH($C$403,"NET_DEBT_TO_SHRHLDR_EQTY","FQ2 2015","FQ2 2015","Currency=INR","Period=FQ","BEST_FPERIOD_OVERRIDE=FQ","FILING_STATUS=OR","EQY_CONSOLIDATED=Y","Sort=A","Dates=H","DateFormat=P","Fill=—","Direction=H","UseDPDF=Y")</f>
        <v>#NAME?</v>
      </c>
      <c r="CO410" s="2" t="e">
        <f ca="1">_xll.BDH($C$403,"NET_DEBT_%_CAPITAL","FQ2 2015","FQ2 2015","Currency=INR","Period=FQ","BEST_FPERIOD_OVERRIDE=FQ","FILING_STATUS=OR","EQY_CONSOLIDATED=Y","Sort=A","Dates=H","DateFormat=P","Fill=—","Direction=H","UseDPDF=Y")</f>
        <v>#NAME?</v>
      </c>
      <c r="CP410" s="3" t="e">
        <f ca="1">_xll.BDH($C$403,"EBITDA","FQ2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410" s="3" t="e">
        <f ca="1">_xll.BDH($C$403,"EBITDA_AFTER_CAPEX","FQ2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410" s="3" t="e">
        <f ca="1">_xll.BDH($C$403,"IS_OPER_INC","FQ2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410" s="2" t="e">
        <f ca="1">_xll.BDH($C$403,"CASH_RATIO","FQ2 2015","FQ2 2015","Currency=INR","Period=FQ","BEST_FPERIOD_OVERRIDE=FQ","FILING_STATUS=OR","EQY_CONSOLIDATED=Y","Sort=A","Dates=H","DateFormat=P","Fill=—","Direction=H","UseDPDF=Y")</f>
        <v>#NAME?</v>
      </c>
      <c r="CT410" s="2" t="e">
        <f ca="1">_xll.BDH($C$403,"CUR_RATIO","FQ2 2015","FQ2 2015","Currency=INR","Period=FQ","BEST_FPERIOD_OVERRIDE=FQ","FILING_STATUS=OR","EQY_CONSOLIDATED=Y","Sort=A","Dates=H","DateFormat=P","Fill=—","Direction=H","UseDPDF=Y")</f>
        <v>#NAME?</v>
      </c>
      <c r="CU410" s="2" t="e">
        <f ca="1">_xll.BDH($C$403,"QUICK_RATIO","FQ2 2015","FQ2 2015","Currency=INR","Period=FQ","BEST_FPERIOD_OVERRIDE=FQ","FILING_STATUS=OR","EQY_CONSOLIDATED=Y","Sort=A","Dates=H","DateFormat=P","Fill=—","Direction=H","UseDPDF=Y")</f>
        <v>#NAME?</v>
      </c>
      <c r="CV410" s="2" t="e">
        <f ca="1">_xll.BDH($C$403,"ALTMAN_Z_SCORE","FQ2 2015","FQ2 2015","Currency=INR","Period=FQ","BEST_FPERIOD_OVERRIDE=FQ","FILING_STATUS=OR","EQY_CONSOLIDATED=Y","Sort=A","Dates=H","DateFormat=P","Fill=—","Direction=H","UseDPDF=Y")</f>
        <v>#NAME?</v>
      </c>
      <c r="CW410" s="4" t="e">
        <f ca="1">_xll.BDH($C$403,"ACCT_RCV_TURN","FQ2 2015","FQ2 2015","Currency=INR","Period=FQ","BEST_FPERIOD_OVERRIDE=FQ","FILING_STATUS=OR","EQY_CONSOLIDATED=Y","FA_ADJUSTED=GAAP","Sort=A","Dates=H","DateFormat=P","Fill=—","Direction=H","UseDPDF=Y")</f>
        <v>#NAME?</v>
      </c>
      <c r="CX410" s="2" t="e">
        <f ca="1">_xll.BDH($C$403,"ACCT_RCV_DAYS","FQ2 2015","FQ2 2015","Currency=INR","Period=FQ","BEST_FPERIOD_OVERRIDE=FQ","FILING_STATUS=OR","EQY_CONSOLIDATED=Y","FA_ADJUSTED=GAAP","Sort=A","Dates=H","DateFormat=P","Fill=—","Direction=H","UseDPDF=Y")</f>
        <v>#NAME?</v>
      </c>
      <c r="CY410" s="4" t="e">
        <f ca="1">_xll.BDH($C$403,"INVENT_TURN","FQ2 2015","FQ2 2015","Currency=INR","Period=FQ","BEST_FPERIOD_OVERRIDE=FQ","FILING_STATUS=OR","EQY_CONSOLIDATED=Y","FA_ADJUSTED=GAAP","Sort=A","Dates=H","DateFormat=P","Fill=—","Direction=H","UseDPDF=Y")</f>
        <v>#NAME?</v>
      </c>
      <c r="CZ410" s="2" t="e">
        <f ca="1">_xll.BDH($C$403,"INVENT_DAYS","FQ2 2015","FQ2 2015","Currency=INR","Period=FQ","BEST_FPERIOD_OVERRIDE=FQ","FILING_STATUS=OR","EQY_CONSOLIDATED=Y","FA_ADJUSTED=GAAP","Sort=A","Dates=H","DateFormat=P","Fill=—","Direction=H","UseDPDF=Y")</f>
        <v>#NAME?</v>
      </c>
      <c r="DA410" s="4" t="e">
        <f ca="1">_xll.BDH($C$403,"ACCOUNTS_PAYABLE_TURNOVER","FQ2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410" s="2" t="e">
        <f ca="1">_xll.BDH($C$403,"ACCOUNTS_PAYABLE_TURNOVER_DAYS","FQ2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410" s="4" t="e">
        <f ca="1">_xll.BDH($C$403,"CASH_CONVERSION_CYCLE","FQ2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410" s="4" t="e">
        <f ca="1">_xll.BDH($C$403,"INV_TO_CASH_DAYS","FQ2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410" s="5" t="e">
        <f ca="1">_xll.BDH($C$403,"BS_INVENTORIES","FQ2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410" s="3" t="e">
        <f ca="1">_xll.BDH($C$403,"INVTRY_RAW_MATERIALS","FQ2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410" s="3" t="e">
        <f ca="1">_xll.BDH($C$403,"INVTRY_IN_PROGRESS","FQ2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410" s="3" t="e">
        <f ca="1">_xll.BDH($C$403,"INVTRY_FINISHED_GOODS","FQ2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410" s="3" t="e">
        <f ca="1">_xll.BDH($C$403,"BS_OTHER_INV","FQ2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411" spans="1:113" x14ac:dyDescent="0.3">
      <c r="A411" s="6"/>
      <c r="B411" s="6"/>
      <c r="C411" s="6"/>
      <c r="D411" s="6"/>
      <c r="E411" t="s">
        <v>80</v>
      </c>
      <c r="F411" t="e">
        <f ca="1">_xll.BDH($C$403,"RETURN_COM_EQY","FQ3 2015","FQ3 2015","Currency=INR","Period=FQ","BEST_FPERIOD_OVERRIDE=FQ","FILING_STATUS=OR","EQY_CONSOLIDATED=Y","FA_ADJUSTED=GAAP","Sort=A","Dates=H","DateFormat=P","Fill=—","Direction=H","UseDPDF=Y")</f>
        <v>#NAME?</v>
      </c>
      <c r="G411" t="e">
        <f ca="1">_xll.BDH($C$403,"RETURN_ON_ASSET","FQ3 2015","FQ3 2015","Currency=INR","Period=FQ","BEST_FPERIOD_OVERRIDE=FQ","FILING_STATUS=OR","EQY_CONSOLIDATED=Y","FA_ADJUSTED=GAAP","Sort=A","Dates=H","DateFormat=P","Fill=—","Direction=H","UseDPDF=Y")</f>
        <v>#NAME?</v>
      </c>
      <c r="H411" t="e">
        <f ca="1">_xll.BDH($C$403,"RETURN_ON_CAP","FQ3 2015","FQ3 2015","Currency=INR","Period=FQ","BEST_FPERIOD_OVERRIDE=FQ","FILING_STATUS=OR","EQY_CONSOLIDATED=Y","FA_ADJUSTED=GAAP","Sort=A","Dates=H","DateFormat=P","Fill=—","Direction=H","UseDPDF=Y")</f>
        <v>#NAME?</v>
      </c>
      <c r="I411" t="e">
        <f ca="1">_xll.BDH($C$403,"RETURN_ON_INV_CAPITAL","FQ3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411" t="e">
        <f ca="1">_xll.BDH($C$403,"EBITDA_TO_REVENUE","FQ3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411" t="e">
        <f ca="1">_xll.BDH($C$403,"OPER_MARGIN","FQ3 2015","FQ3 2015","Currency=INR","Period=FQ","BEST_FPERIOD_OVERRIDE=FQ","FILING_STATUS=OR","EQY_CONSOLIDATED=Y","FA_ADJUSTED=GAAP","Sort=A","Dates=H","DateFormat=P","Fill=—","Direction=H","UseDPDF=Y")</f>
        <v>#NAME?</v>
      </c>
      <c r="L411" t="e">
        <f ca="1">_xll.BDH($C$403,"INCREMENTAL_OPERATING_MARGIN","FQ3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411" t="e">
        <f ca="1">_xll.BDH($C$403,"PRETAX_INC_TO_NET_SALES","FQ3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411" t="e">
        <f ca="1">_xll.BDH($C$403,"INC_BEF_XO_ITEMS_TO_NET_SALES","FQ3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411" t="e">
        <f ca="1">_xll.BDH($C$403,"PROF_MARGIN","FQ3 2015","FQ3 2015","Currency=INR","Period=FQ","BEST_FPERIOD_OVERRIDE=FQ","FILING_STATUS=OR","EQY_CONSOLIDATED=Y","FA_ADJUSTED=GAAP","Sort=A","Dates=H","DateFormat=P","Fill=—","Direction=H","UseDPDF=Y")</f>
        <v>#NAME?</v>
      </c>
      <c r="P411" t="e">
        <f ca="1">_xll.BDH($C$403,"NET_INCOME_TO_COMMON_MARGIN","FQ3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411" t="e">
        <f ca="1">_xll.BDH($C$403,"EFF_TAX_RATE","FQ3 2015","FQ3 2015","Currency=INR","Period=FQ","BEST_FPERIOD_OVERRIDE=FQ","FILING_STATUS=OR","EQY_CONSOLIDATED=Y","FA_ADJUSTED=GAAP","Sort=A","Dates=H","DateFormat=P","Fill=—","Direction=H","UseDPDF=Y")</f>
        <v>#NAME?</v>
      </c>
      <c r="R411" t="e">
        <f ca="1">_xll.BDH($C$403,"DVD_PAYOUT_RATIO","FQ3 2015","FQ3 2015","Currency=INR","Period=FQ","BEST_FPERIOD_OVERRIDE=FQ","FILING_STATUS=OR","EQY_CONSOLIDATED=Y","FA_ADJUSTED=GAAP","Sort=A","Dates=H","DateFormat=P","Fill=—","Direction=H","UseDPDF=Y")</f>
        <v>#NAME?</v>
      </c>
      <c r="S411" t="e">
        <f ca="1">_xll.BDH($C$403,"SUSTAIN_GROWTH_RT","FQ3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411" s="2" t="e">
        <f ca="1">_xll.BDH($C$403,"SALES_GROWTH","FQ3 2015","FQ3 2015","Currency=INR","Period=FQ","BEST_FPERIOD_OVERRIDE=FQ","FILING_STATUS=OR","EQY_CONSOLIDATED=Y","FA_ADJUSTED=GAAP","Sort=A","Dates=H","DateFormat=P","Fill=—","Direction=H","UseDPDF=Y")</f>
        <v>#NAME?</v>
      </c>
      <c r="U411" s="2" t="e">
        <f ca="1">_xll.BDH($C$403,"EBITDA_GROWTH","FQ3 2015","FQ3 2015","Currency=INR","Period=FQ","BEST_FPERIOD_OVERRIDE=FQ","FILING_STATUS=OR","EQY_CONSOLIDATED=Y","FA_ADJUSTED=GAAP","Sort=A","Dates=H","DateFormat=P","Fill=—","Direction=H","UseDPDF=Y")</f>
        <v>#NAME?</v>
      </c>
      <c r="V411" s="2" t="e">
        <f ca="1">_xll.BDH($C$403,"OPER_INC_GROWTH","FQ3 2015","FQ3 2015","Currency=INR","Period=FQ","BEST_FPERIOD_OVERRIDE=FQ","FILING_STATUS=OR","EQY_CONSOLIDATED=Y","FA_ADJUSTED=GAAP","Sort=A","Dates=H","DateFormat=P","Fill=—","Direction=H","UseDPDF=Y")</f>
        <v>#NAME?</v>
      </c>
      <c r="W411" s="2" t="e">
        <f ca="1">_xll.BDH($C$403,"EARN_FOR_COM_GROWTH","FQ3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411" s="2" t="e">
        <f ca="1">_xll.BDH($C$403,"DILUTED_EPS_AFT_XO_ITEMS_GROWTH","FQ3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411" s="2" t="e">
        <f ca="1">_xll.BDH($C$403,"DIVIDEND_PER_SHARE_1_YEAR_GROWTH","FQ3 2015","FQ3 2015","Currency=INR","Period=FQ","BEST_FPERIOD_OVERRIDE=FQ","FILING_STATUS=OR","EQY_CONSOLIDATED=Y","Sort=A","Dates=H","DateFormat=P","Fill=—","Direction=H","UseDPDF=Y")</f>
        <v>#NAME?</v>
      </c>
      <c r="Z411" s="2" t="e">
        <f ca="1">_xll.BDH($C$403,"ACCOUNTS_RECEIVABLE_GROWTH","FQ3 2015","FQ3 2015","Currency=INR","Period=FQ","BEST_FPERIOD_OVERRIDE=FQ","FILING_STATUS=OR","EQY_CONSOLIDATED=Y","Sort=A","Dates=H","DateFormat=P","Fill=—","Direction=H","UseDPDF=Y")</f>
        <v>#NAME?</v>
      </c>
      <c r="AA411" s="2" t="e">
        <f ca="1">_xll.BDH($C$403,"INVENTORY_GROWTH","FQ3 2015","FQ3 2015","Currency=INR","Period=FQ","BEST_FPERIOD_OVERRIDE=FQ","FILING_STATUS=OR","EQY_CONSOLIDATED=Y","Sort=A","Dates=H","DateFormat=P","Fill=—","Direction=H","UseDPDF=Y")</f>
        <v>#NAME?</v>
      </c>
      <c r="AB411" s="2" t="e">
        <f ca="1">_xll.BDH($C$403,"NET_FIXED_ASSETS_1_YEAR_GROWTH","FQ3 2015","FQ3 2015","Currency=INR","Period=FQ","BEST_FPERIOD_OVERRIDE=FQ","FILING_STATUS=OR","EQY_CONSOLIDATED=Y","Sort=A","Dates=H","DateFormat=P","Fill=—","Direction=H","UseDPDF=Y")</f>
        <v>#NAME?</v>
      </c>
      <c r="AC411" s="2" t="e">
        <f ca="1">_xll.BDH($C$403,"ASSET_GROWTH","FQ3 2015","FQ3 2015","Currency=INR","Period=FQ","BEST_FPERIOD_OVERRIDE=FQ","FILING_STATUS=OR","EQY_CONSOLIDATED=Y","Sort=A","Dates=H","DateFormat=P","Fill=—","Direction=H","UseDPDF=Y")</f>
        <v>#NAME?</v>
      </c>
      <c r="AD411" s="2" t="e">
        <f ca="1">_xll.BDH($C$403,"MODIFIED_WORK_CAP_GROWTH","FQ3 2015","FQ3 2015","Currency=INR","Period=FQ","BEST_FPERIOD_OVERRIDE=FQ","FILING_STATUS=OR","EQY_CONSOLIDATED=Y","Sort=A","Dates=H","DateFormat=P","Fill=—","Direction=H","UseDPDF=Y")</f>
        <v>#NAME?</v>
      </c>
      <c r="AE411" s="2" t="e">
        <f ca="1">_xll.BDH($C$403,"WORK_CAP_GROWTH","FQ3 2015","FQ3 2015","Currency=INR","Period=FQ","BEST_FPERIOD_OVERRIDE=FQ","FILING_STATUS=OR","EQY_CONSOLIDATED=Y","Sort=A","Dates=H","DateFormat=P","Fill=—","Direction=H","UseDPDF=Y")</f>
        <v>#NAME?</v>
      </c>
      <c r="AF411" s="2" t="e">
        <f ca="1">_xll.BDH($C$403,"ACCOUNTS_PAYABLE_GROWTH_1YR","FQ3 2015","FQ3 2015","Currency=INR","Period=FQ","BEST_FPERIOD_OVERRIDE=FQ","FILING_STATUS=OR","EQY_CONSOLIDATED=Y","Sort=A","Dates=H","DateFormat=P","Fill=—","Direction=H","UseDPDF=Y")</f>
        <v>#NAME?</v>
      </c>
      <c r="AG411" s="2" t="e">
        <f ca="1">_xll.BDH($C$403,"SHORT_TERM_DEBT_1_YEAR_GROWTH","FQ3 2015","FQ3 2015","Currency=INR","Period=FQ","BEST_FPERIOD_OVERRIDE=FQ","FILING_STATUS=OR","EQY_CONSOLIDATED=Y","Sort=A","Dates=H","DateFormat=P","Fill=—","Direction=H","UseDPDF=Y")</f>
        <v>#NAME?</v>
      </c>
      <c r="AH411" s="2" t="e">
        <f ca="1">_xll.BDH($C$403,"TOTAL_DEBT_1_YEAR_GROWTH","FQ3 2015","FQ3 2015","Currency=INR","Period=FQ","BEST_FPERIOD_OVERRIDE=FQ","FILING_STATUS=OR","EQY_CONSOLIDATED=Y","Sort=A","Dates=H","DateFormat=P","Fill=—","Direction=H","UseDPDF=Y")</f>
        <v>#NAME?</v>
      </c>
      <c r="AI411" s="2" t="e">
        <f ca="1">_xll.BDH($C$403,"TOTAL_EQUITY_1_YEAR_GROWTH","FQ3 2015","FQ3 2015","Currency=INR","Period=FQ","BEST_FPERIOD_OVERRIDE=FQ","FILING_STATUS=OR","EQY_CONSOLIDATED=Y","Sort=A","Dates=H","DateFormat=P","Fill=—","Direction=H","UseDPDF=Y")</f>
        <v>#NAME?</v>
      </c>
      <c r="AJ411" s="2" t="e">
        <f ca="1">_xll.BDH($C$403,"GROWTH_IN_CAP","FQ3 2015","FQ3 2015","Currency=INR","Period=FQ","BEST_FPERIOD_OVERRIDE=FQ","FILING_STATUS=OR","EQY_CONSOLIDATED=Y","Sort=A","Dates=H","DateFormat=P","Fill=—","Direction=H","UseDPDF=Y")</f>
        <v>#NAME?</v>
      </c>
      <c r="AK411" s="2" t="e">
        <f ca="1">_xll.BDH($C$403,"BVPS_GROWTH","FQ3 2015","FQ3 2015","Currency=INR","Period=FQ","BEST_FPERIOD_OVERRIDE=FQ","FILING_STATUS=OR","EQY_CONSOLIDATED=Y","Sort=A","Dates=H","DateFormat=P","Fill=—","Direction=H","UseDPDF=Y")</f>
        <v>#NAME?</v>
      </c>
      <c r="AL411" s="2" t="e">
        <f ca="1">_xll.BDH($C$403,"CASH_FLOW_GROWTH","FQ3 2015","FQ3 2015","Currency=INR","Period=FQ","BEST_FPERIOD_OVERRIDE=FQ","FILING_STATUS=OR","EQY_CONSOLIDATED=Y","Sort=A","Dates=H","DateFormat=P","Fill=—","Direction=H","UseDPDF=Y")</f>
        <v>#NAME?</v>
      </c>
      <c r="AM411" s="2" t="e">
        <f ca="1">_xll.BDH($C$403,"GEO_GROW_NET_SALES","FQ3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411" s="2" t="e">
        <f ca="1">_xll.BDH($C$403,"GEO_GROW_EBITDA","FQ3 2015","FQ3 2015","Currency=INR","Period=FQ","BEST_FPERIOD_OVERRIDE=FQ","FILING_STATUS=OR","EQY_CONSOLIDATED=Y","FA_ADJUSTED=GAAP","Sort=A","Dates=H","DateFormat=P","Fill=—","Direction=H","UseDPDF=Y")</f>
        <v>#NAME?</v>
      </c>
      <c r="AO411" s="2" t="e">
        <f ca="1">_xll.BDH($C$403,"GEO_GROW_OPER_INC","FQ3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411" s="2" t="e">
        <f ca="1">_xll.BDH($C$403,"NET_INCOME_TO_COMMON_5_YR_GROWTH","FQ3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411" s="2" t="e">
        <f ca="1">_xll.BDH($C$403,"5Y_GEO_GROWTH_DILUTED_EPS","FQ3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411" s="2" t="e">
        <f ca="1">_xll.BDH($C$403,"GEO_GROW_DVD_PER_SH","FQ3 2015","FQ3 2015","Currency=INR","Period=FQ","BEST_FPERIOD_OVERRIDE=FQ","FILING_STATUS=OR","EQY_CONSOLIDATED=Y","Sort=A","Dates=H","DateFormat=P","Fill=—","Direction=H","UseDPDF=Y")</f>
        <v>#NAME?</v>
      </c>
      <c r="AS411" s="2" t="e">
        <f ca="1">_xll.BDH($C$403,"ACCOUNTS_RECEIVABLE_5_YR_GROWTH","FQ3 2015","FQ3 2015","Currency=INR","Period=FQ","BEST_FPERIOD_OVERRIDE=FQ","FILING_STATUS=OR","EQY_CONSOLIDATED=Y","Sort=A","Dates=H","DateFormat=P","Fill=—","Direction=H","UseDPDF=Y")</f>
        <v>#NAME?</v>
      </c>
      <c r="AT411" s="2" t="e">
        <f ca="1">_xll.BDH($C$403,"INVENTORY_5_YEAR_GROWTH","FQ3 2015","FQ3 2015","Currency=INR","Period=FQ","BEST_FPERIOD_OVERRIDE=FQ","FILING_STATUS=OR","EQY_CONSOLIDATED=Y","Sort=A","Dates=H","DateFormat=P","Fill=—","Direction=H","UseDPDF=Y")</f>
        <v>#NAME?</v>
      </c>
      <c r="AU411" s="2" t="e">
        <f ca="1">_xll.BDH($C$403,"NET_FIXED_ASSETS_5_YEAR_GROWTH","FQ3 2015","FQ3 2015","Currency=INR","Period=FQ","BEST_FPERIOD_OVERRIDE=FQ","FILING_STATUS=OR","EQY_CONSOLIDATED=Y","Sort=A","Dates=H","DateFormat=P","Fill=—","Direction=H","UseDPDF=Y")</f>
        <v>#NAME?</v>
      </c>
      <c r="AV411" s="2" t="e">
        <f ca="1">_xll.BDH($C$403,"GEO_GROW_TOT_ASSET","FQ3 2015","FQ3 2015","Currency=INR","Period=FQ","BEST_FPERIOD_OVERRIDE=FQ","FILING_STATUS=OR","EQY_CONSOLIDATED=Y","Sort=A","Dates=H","DateFormat=P","Fill=—","Direction=H","UseDPDF=Y")</f>
        <v>#NAME?</v>
      </c>
      <c r="AW411" s="2" t="e">
        <f ca="1">_xll.BDH($C$403,"MODIFIED_WORKING_CPTL_5YR_GRWTH","FQ3 2015","FQ3 2015","Currency=INR","Period=FQ","BEST_FPERIOD_OVERRIDE=FQ","FILING_STATUS=OR","EQY_CONSOLIDATED=Y","Sort=A","Dates=H","DateFormat=P","Fill=—","Direction=H","UseDPDF=Y")</f>
        <v>#NAME?</v>
      </c>
      <c r="AX411" s="2" t="e">
        <f ca="1">_xll.BDH($C$403,"WORKING_CAPITAL_5_YEAR_GROWTH","FQ3 2015","FQ3 2015","Currency=INR","Period=FQ","BEST_FPERIOD_OVERRIDE=FQ","FILING_STATUS=OR","EQY_CONSOLIDATED=Y","Sort=A","Dates=H","DateFormat=P","Fill=—","Direction=H","UseDPDF=Y")</f>
        <v>#NAME?</v>
      </c>
      <c r="AY411" s="2" t="e">
        <f ca="1">_xll.BDH($C$403,"ACCOUNTS_PAYABLE_5_YEAR_GROWTH","FQ3 2015","FQ3 2015","Currency=INR","Period=FQ","BEST_FPERIOD_OVERRIDE=FQ","FILING_STATUS=OR","EQY_CONSOLIDATED=Y","Sort=A","Dates=H","DateFormat=P","Fill=—","Direction=H","UseDPDF=Y")</f>
        <v>#NAME?</v>
      </c>
      <c r="AZ411" s="2" t="e">
        <f ca="1">_xll.BDH($C$403,"SHORT_TERM_DEBT_5_YEAR_GROWTH","FQ3 2015","FQ3 2015","Currency=INR","Period=FQ","BEST_FPERIOD_OVERRIDE=FQ","FILING_STATUS=OR","EQY_CONSOLIDATED=Y","Sort=A","Dates=H","DateFormat=P","Fill=—","Direction=H","UseDPDF=Y")</f>
        <v>#NAME?</v>
      </c>
      <c r="BA411" s="2" t="e">
        <f ca="1">_xll.BDH($C$403,"TOTAL_DEBT_5_YEAR_GROWTH","FQ3 2015","FQ3 2015","Currency=INR","Period=FQ","BEST_FPERIOD_OVERRIDE=FQ","FILING_STATUS=OR","EQY_CONSOLIDATED=Y","Sort=A","Dates=H","DateFormat=P","Fill=—","Direction=H","UseDPDF=Y")</f>
        <v>#NAME?</v>
      </c>
      <c r="BB411" s="2" t="e">
        <f ca="1">_xll.BDH($C$403,"GEO_GROW_TOT_SHRHLDR_EQY","FQ3 2015","FQ3 2015","Currency=INR","Period=FQ","BEST_FPERIOD_OVERRIDE=FQ","FILING_STATUS=OR","EQY_CONSOLIDATED=Y","Sort=A","Dates=H","DateFormat=P","Fill=—","Direction=H","UseDPDF=Y")</f>
        <v>#NAME?</v>
      </c>
      <c r="BC411" s="2" t="e">
        <f ca="1">_xll.BDH($C$403,"TOTAL_CAPITAL_5_YEAR_GROWTH","FQ3 2015","FQ3 2015","Currency=INR","Period=FQ","BEST_FPERIOD_OVERRIDE=FQ","FILING_STATUS=OR","EQY_CONSOLIDATED=Y","Sort=A","Dates=H","DateFormat=P","Fill=—","Direction=H","UseDPDF=Y")</f>
        <v>#NAME?</v>
      </c>
      <c r="BD411" s="2" t="e">
        <f ca="1">_xll.BDH($C$403,"GEO_GROW_BOOK_VAL","FQ3 2015","FQ3 2015","Currency=INR","Period=FQ","BEST_FPERIOD_OVERRIDE=FQ","FILING_STATUS=OR","EQY_CONSOLIDATED=Y","Sort=A","Dates=H","DateFormat=P","Fill=—","Direction=H","UseDPDF=Y")</f>
        <v>#NAME?</v>
      </c>
      <c r="BE411" s="2" t="e">
        <f ca="1">_xll.BDH($C$403,"GEO_GROW_CASH_OPER_ACT","FQ3 2015","FQ3 2015","Currency=INR","Period=FQ","BEST_FPERIOD_OVERRIDE=FQ","FILING_STATUS=OR","EQY_CONSOLIDATED=Y","Sort=A","Dates=H","DateFormat=P","Fill=—","Direction=H","UseDPDF=Y")</f>
        <v>#NAME?</v>
      </c>
      <c r="BF411" s="2" t="e">
        <f ca="1">_xll.BDH($C$403,"REVENUE_SEQUENTIAL_GROWTH","FQ3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411" s="2" t="e">
        <f ca="1">_xll.BDH($C$403,"EBITDA_SEQUENTIAL_GROWTH","FQ3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411" s="2" t="e">
        <f ca="1">_xll.BDH($C$403,"OPERATING_INCOME_SEQ_GROWTH","FQ3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411" s="2" t="e">
        <f ca="1">_xll.BDH($C$403,"NET_INCOME_TO_COMMON_SEQ_GROWTH","FQ3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411" s="2" t="e">
        <f ca="1">_xll.BDH($C$403,"EPS_DILUTED_SEQUENTIAL_GROWTH","FQ3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411" s="2" t="e">
        <f ca="1">_xll.BDH($C$403,"DPS_SEQUENTIAL_GROWTH","FQ3 2015","FQ3 2015","Currency=INR","Period=FQ","BEST_FPERIOD_OVERRIDE=FQ","FILING_STATUS=OR","EQY_CONSOLIDATED=Y","Sort=A","Dates=H","DateFormat=P","Fill=—","Direction=H","UseDPDF=Y")</f>
        <v>#NAME?</v>
      </c>
      <c r="BL411" s="2" t="e">
        <f ca="1">_xll.BDH($C$403,"ACCOUNTS_RECEIVABLE_SEQ_GROWTH","FQ3 2015","FQ3 2015","Currency=INR","Period=FQ","BEST_FPERIOD_OVERRIDE=FQ","FILING_STATUS=OR","EQY_CONSOLIDATED=Y","Sort=A","Dates=H","DateFormat=P","Fill=—","Direction=H","UseDPDF=Y")</f>
        <v>#NAME?</v>
      </c>
      <c r="BM411" s="2" t="e">
        <f ca="1">_xll.BDH($C$403,"INVENTORY_SEQUENTIAL_GROWTH","FQ3 2015","FQ3 2015","Currency=INR","Period=FQ","BEST_FPERIOD_OVERRIDE=FQ","FILING_STATUS=OR","EQY_CONSOLIDATED=Y","Sort=A","Dates=H","DateFormat=P","Fill=—","Direction=H","UseDPDF=Y")</f>
        <v>#NAME?</v>
      </c>
      <c r="BN411" s="2" t="e">
        <f ca="1">_xll.BDH($C$403,"FIXED_ASSETS_SEQUENTIAL_GROWTH","FQ3 2015","FQ3 2015","Currency=INR","Period=FQ","BEST_FPERIOD_OVERRIDE=FQ","FILING_STATUS=OR","EQY_CONSOLIDATED=Y","Sort=A","Dates=H","DateFormat=P","Fill=—","Direction=H","UseDPDF=Y")</f>
        <v>#NAME?</v>
      </c>
      <c r="BO411" s="2" t="e">
        <f ca="1">_xll.BDH($C$403,"TOTAL_ASSETS_SEQUENTIAL_GROWTH","FQ3 2015","FQ3 2015","Currency=INR","Period=FQ","BEST_FPERIOD_OVERRIDE=FQ","FILING_STATUS=OR","EQY_CONSOLIDATED=Y","Sort=A","Dates=H","DateFormat=P","Fill=—","Direction=H","UseDPDF=Y")</f>
        <v>#NAME?</v>
      </c>
      <c r="BP411" s="2" t="e">
        <f ca="1">_xll.BDH($C$403,"MODIFIED_WORKING_CPTL_SEQ_GRWTH","FQ3 2015","FQ3 2015","Currency=INR","Period=FQ","BEST_FPERIOD_OVERRIDE=FQ","FILING_STATUS=OR","EQY_CONSOLIDATED=Y","Sort=A","Dates=H","DateFormat=P","Fill=—","Direction=H","UseDPDF=Y")</f>
        <v>#NAME?</v>
      </c>
      <c r="BQ411" s="2" t="e">
        <f ca="1">_xll.BDH($C$403,"WORKING_CAPITAL_SEQ_GROWTH","FQ3 2015","FQ3 2015","Currency=INR","Period=FQ","BEST_FPERIOD_OVERRIDE=FQ","FILING_STATUS=OR","EQY_CONSOLIDATED=Y","Sort=A","Dates=H","DateFormat=P","Fill=—","Direction=H","UseDPDF=Y")</f>
        <v>#NAME?</v>
      </c>
      <c r="BR411" s="2" t="e">
        <f ca="1">_xll.BDH($C$403,"ACCOUNTS_PAYABLE_SEQ_GROWTH","FQ3 2015","FQ3 2015","Currency=INR","Period=FQ","BEST_FPERIOD_OVERRIDE=FQ","FILING_STATUS=OR","EQY_CONSOLIDATED=Y","Sort=A","Dates=H","DateFormat=P","Fill=—","Direction=H","UseDPDF=Y")</f>
        <v>#NAME?</v>
      </c>
      <c r="BS411" s="2" t="e">
        <f ca="1">_xll.BDH($C$403,"ST_DEBT_SEQUENTIAL_GROWTH","FQ3 2015","FQ3 2015","Currency=INR","Period=FQ","BEST_FPERIOD_OVERRIDE=FQ","FILING_STATUS=OR","EQY_CONSOLIDATED=Y","Sort=A","Dates=H","DateFormat=P","Fill=—","Direction=H","UseDPDF=Y")</f>
        <v>#NAME?</v>
      </c>
      <c r="BT411" s="2" t="e">
        <f ca="1">_xll.BDH($C$403,"TOTAL_DEBT_SEQUENTIAL_GROWTH","FQ3 2015","FQ3 2015","Currency=INR","Period=FQ","BEST_FPERIOD_OVERRIDE=FQ","FILING_STATUS=OR","EQY_CONSOLIDATED=Y","Sort=A","Dates=H","DateFormat=P","Fill=—","Direction=H","UseDPDF=Y")</f>
        <v>#NAME?</v>
      </c>
      <c r="BU411" s="2" t="e">
        <f ca="1">_xll.BDH($C$403,"TOTAL_EQUITY_SEQUENTIAL_GROWTH","FQ3 2015","FQ3 2015","Currency=INR","Period=FQ","BEST_FPERIOD_OVERRIDE=FQ","FILING_STATUS=OR","EQY_CONSOLIDATED=Y","Sort=A","Dates=H","DateFormat=P","Fill=—","Direction=H","UseDPDF=Y")</f>
        <v>#NAME?</v>
      </c>
      <c r="BV411" s="2" t="e">
        <f ca="1">_xll.BDH($C$403,"TOTAL_CAPITAL_SEQUENTIAL_GROWTH","FQ3 2015","FQ3 2015","Currency=INR","Period=FQ","BEST_FPERIOD_OVERRIDE=FQ","FILING_STATUS=OR","EQY_CONSOLIDATED=Y","Sort=A","Dates=H","DateFormat=P","Fill=—","Direction=H","UseDPDF=Y")</f>
        <v>#NAME?</v>
      </c>
      <c r="BW411" s="2" t="e">
        <f ca="1">_xll.BDH($C$403,"BPS_SEQUENTIAL_GROWTH","FQ3 2015","FQ3 2015","Currency=INR","Period=FQ","BEST_FPERIOD_OVERRIDE=FQ","FILING_STATUS=OR","EQY_CONSOLIDATED=Y","Sort=A","Dates=H","DateFormat=P","Fill=—","Direction=H","UseDPDF=Y")</f>
        <v>#NAME?</v>
      </c>
      <c r="BX411" s="2" t="e">
        <f ca="1">_xll.BDH($C$403,"CFO_SEQUENTIAL_GROWTH","FQ3 2015","FQ3 2015","Currency=INR","Period=FQ","BEST_FPERIOD_OVERRIDE=FQ","FILING_STATUS=OR","EQY_CONSOLIDATED=Y","Sort=A","Dates=H","DateFormat=P","Fill=—","Direction=H","UseDPDF=Y")</f>
        <v>#NAME?</v>
      </c>
      <c r="BY411" s="3" t="e">
        <f ca="1">_xll.BDH($C$403,"SHORT_AND_LONG_TERM_DEBT","FQ3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411" s="3" t="e">
        <f ca="1">_xll.BDH($C$403,"BS_ST_BORROW","FQ3 2015","FQ3 2015","Currency=INR","Period=FQ","BEST_FPERIOD_OVERRIDE=FQ","FILING_STATUS=OR","EQY_CONSOLIDATED=Y","SCALING_FORMAT=MLN","Sort=A","Dates=H","DateFormat=P","Fill=—","Direction=H","UseDPDF=Y")</f>
        <v>#NAME?</v>
      </c>
      <c r="CA411" s="3" t="e">
        <f ca="1">_xll.BDH($C$403,"BS_LT_BORROW","FQ3 2015","FQ3 2015","Currency=INR","Period=FQ","BEST_FPERIOD_OVERRIDE=FQ","FILING_STATUS=OR","EQY_CONSOLIDATED=Y","SCALING_FORMAT=MLN","Sort=A","Dates=H","DateFormat=P","Fill=—","Direction=H","UseDPDF=Y")</f>
        <v>#NAME?</v>
      </c>
      <c r="CB411" s="2" t="e">
        <f ca="1">_xll.BDH($C$403,"TOT_DEBT_TO_EBITDA","FQ3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411" s="2" t="e">
        <f ca="1">_xll.BDH($C$403,"NET_DEBT_TO_EBITDA","FQ3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411" s="2" t="e">
        <f ca="1">_xll.BDH($C$403,"TOTAL_DEBT_TO_EBIT","FQ3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411" s="2" t="e">
        <f ca="1">_xll.BDH($C$403,"NET_DEBT_TO_EBIT","FQ3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411" s="2" t="e">
        <f ca="1">_xll.BDH($C$403,"EBITDA_TO_INTEREST_EXPN","FQ3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411" s="2" t="e">
        <f ca="1">_xll.BDH($C$403,"COM_EQY_TO_TOT_ASSET","FQ3 2015","FQ3 2015","Currency=INR","Period=FQ","BEST_FPERIOD_OVERRIDE=FQ","FILING_STATUS=OR","EQY_CONSOLIDATED=Y","Sort=A","Dates=H","DateFormat=P","Fill=—","Direction=H","UseDPDF=Y")</f>
        <v>#NAME?</v>
      </c>
      <c r="CH411" s="2" t="e">
        <f ca="1">_xll.BDH($C$403,"LT_DEBT_TO_TOT_EQY","FQ3 2015","FQ3 2015","Currency=INR","Period=FQ","BEST_FPERIOD_OVERRIDE=FQ","FILING_STATUS=OR","EQY_CONSOLIDATED=Y","Sort=A","Dates=H","DateFormat=P","Fill=—","Direction=H","UseDPDF=Y")</f>
        <v>#NAME?</v>
      </c>
      <c r="CI411" s="2" t="e">
        <f ca="1">_xll.BDH($C$403,"LT_DEBT_TO_TOT_CAP","FQ3 2015","FQ3 2015","Currency=INR","Period=FQ","BEST_FPERIOD_OVERRIDE=FQ","FILING_STATUS=OR","EQY_CONSOLIDATED=Y","Sort=A","Dates=H","DateFormat=P","Fill=—","Direction=H","UseDPDF=Y")</f>
        <v>#NAME?</v>
      </c>
      <c r="CJ411" s="2" t="e">
        <f ca="1">_xll.BDH($C$403,"LT_DEBT_TO_TOT_ASSET","FQ3 2015","FQ3 2015","Currency=INR","Period=FQ","BEST_FPERIOD_OVERRIDE=FQ","FILING_STATUS=OR","EQY_CONSOLIDATED=Y","Sort=A","Dates=H","DateFormat=P","Fill=—","Direction=H","UseDPDF=Y")</f>
        <v>#NAME?</v>
      </c>
      <c r="CK411" s="2" t="e">
        <f ca="1">_xll.BDH($C$403,"TOT_DEBT_TO_TOT_EQY","FQ3 2015","FQ3 2015","Currency=INR","Period=FQ","BEST_FPERIOD_OVERRIDE=FQ","FILING_STATUS=OR","EQY_CONSOLIDATED=Y","Sort=A","Dates=H","DateFormat=P","Fill=—","Direction=H","UseDPDF=Y")</f>
        <v>#NAME?</v>
      </c>
      <c r="CL411" s="2" t="e">
        <f ca="1">_xll.BDH($C$403,"TOT_DEBT_TO_TOT_CAP","FQ3 2015","FQ3 2015","Currency=INR","Period=FQ","BEST_FPERIOD_OVERRIDE=FQ","FILING_STATUS=OR","EQY_CONSOLIDATED=Y","Sort=A","Dates=H","DateFormat=P","Fill=—","Direction=H","UseDPDF=Y")</f>
        <v>#NAME?</v>
      </c>
      <c r="CM411" s="2" t="e">
        <f ca="1">_xll.BDH($C$403,"TOT_DEBT_TO_TOT_ASSET","FQ3 2015","FQ3 2015","Currency=INR","Period=FQ","BEST_FPERIOD_OVERRIDE=FQ","FILING_STATUS=OR","EQY_CONSOLIDATED=Y","Sort=A","Dates=H","DateFormat=P","Fill=—","Direction=H","UseDPDF=Y")</f>
        <v>#NAME?</v>
      </c>
      <c r="CN411" s="2" t="e">
        <f ca="1">_xll.BDH($C$403,"NET_DEBT_TO_SHRHLDR_EQTY","FQ3 2015","FQ3 2015","Currency=INR","Period=FQ","BEST_FPERIOD_OVERRIDE=FQ","FILING_STATUS=OR","EQY_CONSOLIDATED=Y","Sort=A","Dates=H","DateFormat=P","Fill=—","Direction=H","UseDPDF=Y")</f>
        <v>#NAME?</v>
      </c>
      <c r="CO411" s="2" t="e">
        <f ca="1">_xll.BDH($C$403,"NET_DEBT_%_CAPITAL","FQ3 2015","FQ3 2015","Currency=INR","Period=FQ","BEST_FPERIOD_OVERRIDE=FQ","FILING_STATUS=OR","EQY_CONSOLIDATED=Y","Sort=A","Dates=H","DateFormat=P","Fill=—","Direction=H","UseDPDF=Y")</f>
        <v>#NAME?</v>
      </c>
      <c r="CP411" s="3" t="e">
        <f ca="1">_xll.BDH($C$403,"EBITDA","FQ3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411" s="3" t="e">
        <f ca="1">_xll.BDH($C$403,"EBITDA_AFTER_CAPEX","FQ3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411" s="3" t="e">
        <f ca="1">_xll.BDH($C$403,"IS_OPER_INC","FQ3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411" s="2" t="e">
        <f ca="1">_xll.BDH($C$403,"CASH_RATIO","FQ3 2015","FQ3 2015","Currency=INR","Period=FQ","BEST_FPERIOD_OVERRIDE=FQ","FILING_STATUS=OR","EQY_CONSOLIDATED=Y","Sort=A","Dates=H","DateFormat=P","Fill=—","Direction=H","UseDPDF=Y")</f>
        <v>#NAME?</v>
      </c>
      <c r="CT411" s="2" t="e">
        <f ca="1">_xll.BDH($C$403,"CUR_RATIO","FQ3 2015","FQ3 2015","Currency=INR","Period=FQ","BEST_FPERIOD_OVERRIDE=FQ","FILING_STATUS=OR","EQY_CONSOLIDATED=Y","Sort=A","Dates=H","DateFormat=P","Fill=—","Direction=H","UseDPDF=Y")</f>
        <v>#NAME?</v>
      </c>
      <c r="CU411" s="2" t="e">
        <f ca="1">_xll.BDH($C$403,"QUICK_RATIO","FQ3 2015","FQ3 2015","Currency=INR","Period=FQ","BEST_FPERIOD_OVERRIDE=FQ","FILING_STATUS=OR","EQY_CONSOLIDATED=Y","Sort=A","Dates=H","DateFormat=P","Fill=—","Direction=H","UseDPDF=Y")</f>
        <v>#NAME?</v>
      </c>
      <c r="CV411" s="2" t="e">
        <f ca="1">_xll.BDH($C$403,"ALTMAN_Z_SCORE","FQ3 2015","FQ3 2015","Currency=INR","Period=FQ","BEST_FPERIOD_OVERRIDE=FQ","FILING_STATUS=OR","EQY_CONSOLIDATED=Y","Sort=A","Dates=H","DateFormat=P","Fill=—","Direction=H","UseDPDF=Y")</f>
        <v>#NAME?</v>
      </c>
      <c r="CW411" s="4" t="e">
        <f ca="1">_xll.BDH($C$403,"ACCT_RCV_TURN","FQ3 2015","FQ3 2015","Currency=INR","Period=FQ","BEST_FPERIOD_OVERRIDE=FQ","FILING_STATUS=OR","EQY_CONSOLIDATED=Y","FA_ADJUSTED=GAAP","Sort=A","Dates=H","DateFormat=P","Fill=—","Direction=H","UseDPDF=Y")</f>
        <v>#NAME?</v>
      </c>
      <c r="CX411" s="2" t="e">
        <f ca="1">_xll.BDH($C$403,"ACCT_RCV_DAYS","FQ3 2015","FQ3 2015","Currency=INR","Period=FQ","BEST_FPERIOD_OVERRIDE=FQ","FILING_STATUS=OR","EQY_CONSOLIDATED=Y","FA_ADJUSTED=GAAP","Sort=A","Dates=H","DateFormat=P","Fill=—","Direction=H","UseDPDF=Y")</f>
        <v>#NAME?</v>
      </c>
      <c r="CY411" s="4" t="e">
        <f ca="1">_xll.BDH($C$403,"INVENT_TURN","FQ3 2015","FQ3 2015","Currency=INR","Period=FQ","BEST_FPERIOD_OVERRIDE=FQ","FILING_STATUS=OR","EQY_CONSOLIDATED=Y","FA_ADJUSTED=GAAP","Sort=A","Dates=H","DateFormat=P","Fill=—","Direction=H","UseDPDF=Y")</f>
        <v>#NAME?</v>
      </c>
      <c r="CZ411" s="2" t="e">
        <f ca="1">_xll.BDH($C$403,"INVENT_DAYS","FQ3 2015","FQ3 2015","Currency=INR","Period=FQ","BEST_FPERIOD_OVERRIDE=FQ","FILING_STATUS=OR","EQY_CONSOLIDATED=Y","FA_ADJUSTED=GAAP","Sort=A","Dates=H","DateFormat=P","Fill=—","Direction=H","UseDPDF=Y")</f>
        <v>#NAME?</v>
      </c>
      <c r="DA411" s="4" t="e">
        <f ca="1">_xll.BDH($C$403,"ACCOUNTS_PAYABLE_TURNOVER","FQ3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411" s="2" t="e">
        <f ca="1">_xll.BDH($C$403,"ACCOUNTS_PAYABLE_TURNOVER_DAYS","FQ3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411" s="4" t="e">
        <f ca="1">_xll.BDH($C$403,"CASH_CONVERSION_CYCLE","FQ3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411" s="4" t="e">
        <f ca="1">_xll.BDH($C$403,"INV_TO_CASH_DAYS","FQ3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411" s="5" t="e">
        <f ca="1">_xll.BDH($C$403,"BS_INVENTORIES","FQ3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411" s="3" t="e">
        <f ca="1">_xll.BDH($C$403,"INVTRY_RAW_MATERIALS","FQ3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411" s="3" t="e">
        <f ca="1">_xll.BDH($C$403,"INVTRY_IN_PROGRESS","FQ3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411" s="3" t="e">
        <f ca="1">_xll.BDH($C$403,"INVTRY_FINISHED_GOODS","FQ3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411" s="3" t="e">
        <f ca="1">_xll.BDH($C$403,"BS_OTHER_INV","FQ3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412" spans="1:113" x14ac:dyDescent="0.3">
      <c r="A412" s="6"/>
      <c r="B412" s="6"/>
      <c r="C412" s="6"/>
      <c r="D412" s="6"/>
      <c r="E412" t="s">
        <v>81</v>
      </c>
      <c r="F412" t="e">
        <f ca="1">_xll.BDH($C$403,"RETURN_COM_EQY","FQ4 2015","FQ4 2015","Currency=INR","Period=FQ","BEST_FPERIOD_OVERRIDE=FQ","FILING_STATUS=OR","EQY_CONSOLIDATED=Y","FA_ADJUSTED=GAAP","Sort=A","Dates=H","DateFormat=P","Fill=—","Direction=H","UseDPDF=Y")</f>
        <v>#NAME?</v>
      </c>
      <c r="G412" t="e">
        <f ca="1">_xll.BDH($C$403,"RETURN_ON_ASSET","FQ4 2015","FQ4 2015","Currency=INR","Period=FQ","BEST_FPERIOD_OVERRIDE=FQ","FILING_STATUS=OR","EQY_CONSOLIDATED=Y","FA_ADJUSTED=GAAP","Sort=A","Dates=H","DateFormat=P","Fill=—","Direction=H","UseDPDF=Y")</f>
        <v>#NAME?</v>
      </c>
      <c r="H412" t="e">
        <f ca="1">_xll.BDH($C$403,"RETURN_ON_CAP","FQ4 2015","FQ4 2015","Currency=INR","Period=FQ","BEST_FPERIOD_OVERRIDE=FQ","FILING_STATUS=OR","EQY_CONSOLIDATED=Y","FA_ADJUSTED=GAAP","Sort=A","Dates=H","DateFormat=P","Fill=—","Direction=H","UseDPDF=Y")</f>
        <v>#NAME?</v>
      </c>
      <c r="I412" t="e">
        <f ca="1">_xll.BDH($C$403,"RETURN_ON_INV_CAPITAL","FQ4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412" t="e">
        <f ca="1">_xll.BDH($C$403,"EBITDA_TO_REVENUE","FQ4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412" t="e">
        <f ca="1">_xll.BDH($C$403,"OPER_MARGIN","FQ4 2015","FQ4 2015","Currency=INR","Period=FQ","BEST_FPERIOD_OVERRIDE=FQ","FILING_STATUS=OR","EQY_CONSOLIDATED=Y","FA_ADJUSTED=GAAP","Sort=A","Dates=H","DateFormat=P","Fill=—","Direction=H","UseDPDF=Y")</f>
        <v>#NAME?</v>
      </c>
      <c r="L412" t="e">
        <f ca="1">_xll.BDH($C$403,"INCREMENTAL_OPERATING_MARGIN","FQ4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412" t="e">
        <f ca="1">_xll.BDH($C$403,"PRETAX_INC_TO_NET_SALES","FQ4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412" t="e">
        <f ca="1">_xll.BDH($C$403,"INC_BEF_XO_ITEMS_TO_NET_SALES","FQ4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412" t="e">
        <f ca="1">_xll.BDH($C$403,"PROF_MARGIN","FQ4 2015","FQ4 2015","Currency=INR","Period=FQ","BEST_FPERIOD_OVERRIDE=FQ","FILING_STATUS=OR","EQY_CONSOLIDATED=Y","FA_ADJUSTED=GAAP","Sort=A","Dates=H","DateFormat=P","Fill=—","Direction=H","UseDPDF=Y")</f>
        <v>#NAME?</v>
      </c>
      <c r="P412" t="e">
        <f ca="1">_xll.BDH($C$403,"NET_INCOME_TO_COMMON_MARGIN","FQ4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412" t="e">
        <f ca="1">_xll.BDH($C$403,"EFF_TAX_RATE","FQ4 2015","FQ4 2015","Currency=INR","Period=FQ","BEST_FPERIOD_OVERRIDE=FQ","FILING_STATUS=OR","EQY_CONSOLIDATED=Y","FA_ADJUSTED=GAAP","Sort=A","Dates=H","DateFormat=P","Fill=—","Direction=H","UseDPDF=Y")</f>
        <v>#NAME?</v>
      </c>
      <c r="R412" t="e">
        <f ca="1">_xll.BDH($C$403,"DVD_PAYOUT_RATIO","FQ4 2015","FQ4 2015","Currency=INR","Period=FQ","BEST_FPERIOD_OVERRIDE=FQ","FILING_STATUS=OR","EQY_CONSOLIDATED=Y","FA_ADJUSTED=GAAP","Sort=A","Dates=H","DateFormat=P","Fill=—","Direction=H","UseDPDF=Y")</f>
        <v>#NAME?</v>
      </c>
      <c r="S412" t="e">
        <f ca="1">_xll.BDH($C$403,"SUSTAIN_GROWTH_RT","FQ4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412" s="2" t="e">
        <f ca="1">_xll.BDH($C$403,"SALES_GROWTH","FQ4 2015","FQ4 2015","Currency=INR","Period=FQ","BEST_FPERIOD_OVERRIDE=FQ","FILING_STATUS=OR","EQY_CONSOLIDATED=Y","FA_ADJUSTED=GAAP","Sort=A","Dates=H","DateFormat=P","Fill=—","Direction=H","UseDPDF=Y")</f>
        <v>#NAME?</v>
      </c>
      <c r="U412" s="2" t="e">
        <f ca="1">_xll.BDH($C$403,"EBITDA_GROWTH","FQ4 2015","FQ4 2015","Currency=INR","Period=FQ","BEST_FPERIOD_OVERRIDE=FQ","FILING_STATUS=OR","EQY_CONSOLIDATED=Y","FA_ADJUSTED=GAAP","Sort=A","Dates=H","DateFormat=P","Fill=—","Direction=H","UseDPDF=Y")</f>
        <v>#NAME?</v>
      </c>
      <c r="V412" s="2" t="e">
        <f ca="1">_xll.BDH($C$403,"OPER_INC_GROWTH","FQ4 2015","FQ4 2015","Currency=INR","Period=FQ","BEST_FPERIOD_OVERRIDE=FQ","FILING_STATUS=OR","EQY_CONSOLIDATED=Y","FA_ADJUSTED=GAAP","Sort=A","Dates=H","DateFormat=P","Fill=—","Direction=H","UseDPDF=Y")</f>
        <v>#NAME?</v>
      </c>
      <c r="W412" s="2" t="e">
        <f ca="1">_xll.BDH($C$403,"EARN_FOR_COM_GROWTH","FQ4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412" s="2" t="e">
        <f ca="1">_xll.BDH($C$403,"DILUTED_EPS_AFT_XO_ITEMS_GROWTH","FQ4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412" s="2" t="e">
        <f ca="1">_xll.BDH($C$403,"DIVIDEND_PER_SHARE_1_YEAR_GROWTH","FQ4 2015","FQ4 2015","Currency=INR","Period=FQ","BEST_FPERIOD_OVERRIDE=FQ","FILING_STATUS=OR","EQY_CONSOLIDATED=Y","Sort=A","Dates=H","DateFormat=P","Fill=—","Direction=H","UseDPDF=Y")</f>
        <v>#NAME?</v>
      </c>
      <c r="Z412" s="2" t="e">
        <f ca="1">_xll.BDH($C$403,"ACCOUNTS_RECEIVABLE_GROWTH","FQ4 2015","FQ4 2015","Currency=INR","Period=FQ","BEST_FPERIOD_OVERRIDE=FQ","FILING_STATUS=OR","EQY_CONSOLIDATED=Y","Sort=A","Dates=H","DateFormat=P","Fill=—","Direction=H","UseDPDF=Y")</f>
        <v>#NAME?</v>
      </c>
      <c r="AA412" s="2" t="e">
        <f ca="1">_xll.BDH($C$403,"INVENTORY_GROWTH","FQ4 2015","FQ4 2015","Currency=INR","Period=FQ","BEST_FPERIOD_OVERRIDE=FQ","FILING_STATUS=OR","EQY_CONSOLIDATED=Y","Sort=A","Dates=H","DateFormat=P","Fill=—","Direction=H","UseDPDF=Y")</f>
        <v>#NAME?</v>
      </c>
      <c r="AB412" s="2" t="e">
        <f ca="1">_xll.BDH($C$403,"NET_FIXED_ASSETS_1_YEAR_GROWTH","FQ4 2015","FQ4 2015","Currency=INR","Period=FQ","BEST_FPERIOD_OVERRIDE=FQ","FILING_STATUS=OR","EQY_CONSOLIDATED=Y","Sort=A","Dates=H","DateFormat=P","Fill=—","Direction=H","UseDPDF=Y")</f>
        <v>#NAME?</v>
      </c>
      <c r="AC412" s="2" t="e">
        <f ca="1">_xll.BDH($C$403,"ASSET_GROWTH","FQ4 2015","FQ4 2015","Currency=INR","Period=FQ","BEST_FPERIOD_OVERRIDE=FQ","FILING_STATUS=OR","EQY_CONSOLIDATED=Y","Sort=A","Dates=H","DateFormat=P","Fill=—","Direction=H","UseDPDF=Y")</f>
        <v>#NAME?</v>
      </c>
      <c r="AD412" s="2" t="e">
        <f ca="1">_xll.BDH($C$403,"MODIFIED_WORK_CAP_GROWTH","FQ4 2015","FQ4 2015","Currency=INR","Period=FQ","BEST_FPERIOD_OVERRIDE=FQ","FILING_STATUS=OR","EQY_CONSOLIDATED=Y","Sort=A","Dates=H","DateFormat=P","Fill=—","Direction=H","UseDPDF=Y")</f>
        <v>#NAME?</v>
      </c>
      <c r="AE412" s="2" t="e">
        <f ca="1">_xll.BDH($C$403,"WORK_CAP_GROWTH","FQ4 2015","FQ4 2015","Currency=INR","Period=FQ","BEST_FPERIOD_OVERRIDE=FQ","FILING_STATUS=OR","EQY_CONSOLIDATED=Y","Sort=A","Dates=H","DateFormat=P","Fill=—","Direction=H","UseDPDF=Y")</f>
        <v>#NAME?</v>
      </c>
      <c r="AF412" s="2" t="e">
        <f ca="1">_xll.BDH($C$403,"ACCOUNTS_PAYABLE_GROWTH_1YR","FQ4 2015","FQ4 2015","Currency=INR","Period=FQ","BEST_FPERIOD_OVERRIDE=FQ","FILING_STATUS=OR","EQY_CONSOLIDATED=Y","Sort=A","Dates=H","DateFormat=P","Fill=—","Direction=H","UseDPDF=Y")</f>
        <v>#NAME?</v>
      </c>
      <c r="AG412" s="2" t="e">
        <f ca="1">_xll.BDH($C$403,"SHORT_TERM_DEBT_1_YEAR_GROWTH","FQ4 2015","FQ4 2015","Currency=INR","Period=FQ","BEST_FPERIOD_OVERRIDE=FQ","FILING_STATUS=OR","EQY_CONSOLIDATED=Y","Sort=A","Dates=H","DateFormat=P","Fill=—","Direction=H","UseDPDF=Y")</f>
        <v>#NAME?</v>
      </c>
      <c r="AH412" s="2" t="e">
        <f ca="1">_xll.BDH($C$403,"TOTAL_DEBT_1_YEAR_GROWTH","FQ4 2015","FQ4 2015","Currency=INR","Period=FQ","BEST_FPERIOD_OVERRIDE=FQ","FILING_STATUS=OR","EQY_CONSOLIDATED=Y","Sort=A","Dates=H","DateFormat=P","Fill=—","Direction=H","UseDPDF=Y")</f>
        <v>#NAME?</v>
      </c>
      <c r="AI412" s="2" t="e">
        <f ca="1">_xll.BDH($C$403,"TOTAL_EQUITY_1_YEAR_GROWTH","FQ4 2015","FQ4 2015","Currency=INR","Period=FQ","BEST_FPERIOD_OVERRIDE=FQ","FILING_STATUS=OR","EQY_CONSOLIDATED=Y","Sort=A","Dates=H","DateFormat=P","Fill=—","Direction=H","UseDPDF=Y")</f>
        <v>#NAME?</v>
      </c>
      <c r="AJ412" s="2" t="e">
        <f ca="1">_xll.BDH($C$403,"GROWTH_IN_CAP","FQ4 2015","FQ4 2015","Currency=INR","Period=FQ","BEST_FPERIOD_OVERRIDE=FQ","FILING_STATUS=OR","EQY_CONSOLIDATED=Y","Sort=A","Dates=H","DateFormat=P","Fill=—","Direction=H","UseDPDF=Y")</f>
        <v>#NAME?</v>
      </c>
      <c r="AK412" s="2" t="e">
        <f ca="1">_xll.BDH($C$403,"BVPS_GROWTH","FQ4 2015","FQ4 2015","Currency=INR","Period=FQ","BEST_FPERIOD_OVERRIDE=FQ","FILING_STATUS=OR","EQY_CONSOLIDATED=Y","Sort=A","Dates=H","DateFormat=P","Fill=—","Direction=H","UseDPDF=Y")</f>
        <v>#NAME?</v>
      </c>
      <c r="AL412" s="2" t="e">
        <f ca="1">_xll.BDH($C$403,"CASH_FLOW_GROWTH","FQ4 2015","FQ4 2015","Currency=INR","Period=FQ","BEST_FPERIOD_OVERRIDE=FQ","FILING_STATUS=OR","EQY_CONSOLIDATED=Y","Sort=A","Dates=H","DateFormat=P","Fill=—","Direction=H","UseDPDF=Y")</f>
        <v>#NAME?</v>
      </c>
      <c r="AM412" s="2" t="e">
        <f ca="1">_xll.BDH($C$403,"GEO_GROW_NET_SALES","FQ4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412" s="2" t="e">
        <f ca="1">_xll.BDH($C$403,"GEO_GROW_EBITDA","FQ4 2015","FQ4 2015","Currency=INR","Period=FQ","BEST_FPERIOD_OVERRIDE=FQ","FILING_STATUS=OR","EQY_CONSOLIDATED=Y","FA_ADJUSTED=GAAP","Sort=A","Dates=H","DateFormat=P","Fill=—","Direction=H","UseDPDF=Y")</f>
        <v>#NAME?</v>
      </c>
      <c r="AO412" s="2" t="e">
        <f ca="1">_xll.BDH($C$403,"GEO_GROW_OPER_INC","FQ4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412" s="2" t="e">
        <f ca="1">_xll.BDH($C$403,"NET_INCOME_TO_COMMON_5_YR_GROWTH","FQ4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412" s="2" t="e">
        <f ca="1">_xll.BDH($C$403,"5Y_GEO_GROWTH_DILUTED_EPS","FQ4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412" s="2" t="e">
        <f ca="1">_xll.BDH($C$403,"GEO_GROW_DVD_PER_SH","FQ4 2015","FQ4 2015","Currency=INR","Period=FQ","BEST_FPERIOD_OVERRIDE=FQ","FILING_STATUS=OR","EQY_CONSOLIDATED=Y","Sort=A","Dates=H","DateFormat=P","Fill=—","Direction=H","UseDPDF=Y")</f>
        <v>#NAME?</v>
      </c>
      <c r="AS412" s="2" t="e">
        <f ca="1">_xll.BDH($C$403,"ACCOUNTS_RECEIVABLE_5_YR_GROWTH","FQ4 2015","FQ4 2015","Currency=INR","Period=FQ","BEST_FPERIOD_OVERRIDE=FQ","FILING_STATUS=OR","EQY_CONSOLIDATED=Y","Sort=A","Dates=H","DateFormat=P","Fill=—","Direction=H","UseDPDF=Y")</f>
        <v>#NAME?</v>
      </c>
      <c r="AT412" s="2" t="e">
        <f ca="1">_xll.BDH($C$403,"INVENTORY_5_YEAR_GROWTH","FQ4 2015","FQ4 2015","Currency=INR","Period=FQ","BEST_FPERIOD_OVERRIDE=FQ","FILING_STATUS=OR","EQY_CONSOLIDATED=Y","Sort=A","Dates=H","DateFormat=P","Fill=—","Direction=H","UseDPDF=Y")</f>
        <v>#NAME?</v>
      </c>
      <c r="AU412" s="2" t="e">
        <f ca="1">_xll.BDH($C$403,"NET_FIXED_ASSETS_5_YEAR_GROWTH","FQ4 2015","FQ4 2015","Currency=INR","Period=FQ","BEST_FPERIOD_OVERRIDE=FQ","FILING_STATUS=OR","EQY_CONSOLIDATED=Y","Sort=A","Dates=H","DateFormat=P","Fill=—","Direction=H","UseDPDF=Y")</f>
        <v>#NAME?</v>
      </c>
      <c r="AV412" s="2" t="e">
        <f ca="1">_xll.BDH($C$403,"GEO_GROW_TOT_ASSET","FQ4 2015","FQ4 2015","Currency=INR","Period=FQ","BEST_FPERIOD_OVERRIDE=FQ","FILING_STATUS=OR","EQY_CONSOLIDATED=Y","Sort=A","Dates=H","DateFormat=P","Fill=—","Direction=H","UseDPDF=Y")</f>
        <v>#NAME?</v>
      </c>
      <c r="AW412" s="2" t="e">
        <f ca="1">_xll.BDH($C$403,"MODIFIED_WORKING_CPTL_5YR_GRWTH","FQ4 2015","FQ4 2015","Currency=INR","Period=FQ","BEST_FPERIOD_OVERRIDE=FQ","FILING_STATUS=OR","EQY_CONSOLIDATED=Y","Sort=A","Dates=H","DateFormat=P","Fill=—","Direction=H","UseDPDF=Y")</f>
        <v>#NAME?</v>
      </c>
      <c r="AX412" s="2" t="e">
        <f ca="1">_xll.BDH($C$403,"WORKING_CAPITAL_5_YEAR_GROWTH","FQ4 2015","FQ4 2015","Currency=INR","Period=FQ","BEST_FPERIOD_OVERRIDE=FQ","FILING_STATUS=OR","EQY_CONSOLIDATED=Y","Sort=A","Dates=H","DateFormat=P","Fill=—","Direction=H","UseDPDF=Y")</f>
        <v>#NAME?</v>
      </c>
      <c r="AY412" s="2" t="e">
        <f ca="1">_xll.BDH($C$403,"ACCOUNTS_PAYABLE_5_YEAR_GROWTH","FQ4 2015","FQ4 2015","Currency=INR","Period=FQ","BEST_FPERIOD_OVERRIDE=FQ","FILING_STATUS=OR","EQY_CONSOLIDATED=Y","Sort=A","Dates=H","DateFormat=P","Fill=—","Direction=H","UseDPDF=Y")</f>
        <v>#NAME?</v>
      </c>
      <c r="AZ412" s="2" t="e">
        <f ca="1">_xll.BDH($C$403,"SHORT_TERM_DEBT_5_YEAR_GROWTH","FQ4 2015","FQ4 2015","Currency=INR","Period=FQ","BEST_FPERIOD_OVERRIDE=FQ","FILING_STATUS=OR","EQY_CONSOLIDATED=Y","Sort=A","Dates=H","DateFormat=P","Fill=—","Direction=H","UseDPDF=Y")</f>
        <v>#NAME?</v>
      </c>
      <c r="BA412" s="2" t="e">
        <f ca="1">_xll.BDH($C$403,"TOTAL_DEBT_5_YEAR_GROWTH","FQ4 2015","FQ4 2015","Currency=INR","Period=FQ","BEST_FPERIOD_OVERRIDE=FQ","FILING_STATUS=OR","EQY_CONSOLIDATED=Y","Sort=A","Dates=H","DateFormat=P","Fill=—","Direction=H","UseDPDF=Y")</f>
        <v>#NAME?</v>
      </c>
      <c r="BB412" s="2" t="e">
        <f ca="1">_xll.BDH($C$403,"GEO_GROW_TOT_SHRHLDR_EQY","FQ4 2015","FQ4 2015","Currency=INR","Period=FQ","BEST_FPERIOD_OVERRIDE=FQ","FILING_STATUS=OR","EQY_CONSOLIDATED=Y","Sort=A","Dates=H","DateFormat=P","Fill=—","Direction=H","UseDPDF=Y")</f>
        <v>#NAME?</v>
      </c>
      <c r="BC412" s="2" t="e">
        <f ca="1">_xll.BDH($C$403,"TOTAL_CAPITAL_5_YEAR_GROWTH","FQ4 2015","FQ4 2015","Currency=INR","Period=FQ","BEST_FPERIOD_OVERRIDE=FQ","FILING_STATUS=OR","EQY_CONSOLIDATED=Y","Sort=A","Dates=H","DateFormat=P","Fill=—","Direction=H","UseDPDF=Y")</f>
        <v>#NAME?</v>
      </c>
      <c r="BD412" s="2" t="e">
        <f ca="1">_xll.BDH($C$403,"GEO_GROW_BOOK_VAL","FQ4 2015","FQ4 2015","Currency=INR","Period=FQ","BEST_FPERIOD_OVERRIDE=FQ","FILING_STATUS=OR","EQY_CONSOLIDATED=Y","Sort=A","Dates=H","DateFormat=P","Fill=—","Direction=H","UseDPDF=Y")</f>
        <v>#NAME?</v>
      </c>
      <c r="BE412" s="2" t="e">
        <f ca="1">_xll.BDH($C$403,"GEO_GROW_CASH_OPER_ACT","FQ4 2015","FQ4 2015","Currency=INR","Period=FQ","BEST_FPERIOD_OVERRIDE=FQ","FILING_STATUS=OR","EQY_CONSOLIDATED=Y","Sort=A","Dates=H","DateFormat=P","Fill=—","Direction=H","UseDPDF=Y")</f>
        <v>#NAME?</v>
      </c>
      <c r="BF412" s="2" t="e">
        <f ca="1">_xll.BDH($C$403,"REVENUE_SEQUENTIAL_GROWTH","FQ4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412" s="2" t="e">
        <f ca="1">_xll.BDH($C$403,"EBITDA_SEQUENTIAL_GROWTH","FQ4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412" s="2" t="e">
        <f ca="1">_xll.BDH($C$403,"OPERATING_INCOME_SEQ_GROWTH","FQ4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412" s="2" t="e">
        <f ca="1">_xll.BDH($C$403,"NET_INCOME_TO_COMMON_SEQ_GROWTH","FQ4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412" s="2" t="e">
        <f ca="1">_xll.BDH($C$403,"EPS_DILUTED_SEQUENTIAL_GROWTH","FQ4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412" s="2" t="e">
        <f ca="1">_xll.BDH($C$403,"DPS_SEQUENTIAL_GROWTH","FQ4 2015","FQ4 2015","Currency=INR","Period=FQ","BEST_FPERIOD_OVERRIDE=FQ","FILING_STATUS=OR","EQY_CONSOLIDATED=Y","Sort=A","Dates=H","DateFormat=P","Fill=—","Direction=H","UseDPDF=Y")</f>
        <v>#NAME?</v>
      </c>
      <c r="BL412" s="2" t="e">
        <f ca="1">_xll.BDH($C$403,"ACCOUNTS_RECEIVABLE_SEQ_GROWTH","FQ4 2015","FQ4 2015","Currency=INR","Period=FQ","BEST_FPERIOD_OVERRIDE=FQ","FILING_STATUS=OR","EQY_CONSOLIDATED=Y","Sort=A","Dates=H","DateFormat=P","Fill=—","Direction=H","UseDPDF=Y")</f>
        <v>#NAME?</v>
      </c>
      <c r="BM412" s="2" t="e">
        <f ca="1">_xll.BDH($C$403,"INVENTORY_SEQUENTIAL_GROWTH","FQ4 2015","FQ4 2015","Currency=INR","Period=FQ","BEST_FPERIOD_OVERRIDE=FQ","FILING_STATUS=OR","EQY_CONSOLIDATED=Y","Sort=A","Dates=H","DateFormat=P","Fill=—","Direction=H","UseDPDF=Y")</f>
        <v>#NAME?</v>
      </c>
      <c r="BN412" s="2" t="e">
        <f ca="1">_xll.BDH($C$403,"FIXED_ASSETS_SEQUENTIAL_GROWTH","FQ4 2015","FQ4 2015","Currency=INR","Period=FQ","BEST_FPERIOD_OVERRIDE=FQ","FILING_STATUS=OR","EQY_CONSOLIDATED=Y","Sort=A","Dates=H","DateFormat=P","Fill=—","Direction=H","UseDPDF=Y")</f>
        <v>#NAME?</v>
      </c>
      <c r="BO412" s="2" t="e">
        <f ca="1">_xll.BDH($C$403,"TOTAL_ASSETS_SEQUENTIAL_GROWTH","FQ4 2015","FQ4 2015","Currency=INR","Period=FQ","BEST_FPERIOD_OVERRIDE=FQ","FILING_STATUS=OR","EQY_CONSOLIDATED=Y","Sort=A","Dates=H","DateFormat=P","Fill=—","Direction=H","UseDPDF=Y")</f>
        <v>#NAME?</v>
      </c>
      <c r="BP412" s="2" t="e">
        <f ca="1">_xll.BDH($C$403,"MODIFIED_WORKING_CPTL_SEQ_GRWTH","FQ4 2015","FQ4 2015","Currency=INR","Period=FQ","BEST_FPERIOD_OVERRIDE=FQ","FILING_STATUS=OR","EQY_CONSOLIDATED=Y","Sort=A","Dates=H","DateFormat=P","Fill=—","Direction=H","UseDPDF=Y")</f>
        <v>#NAME?</v>
      </c>
      <c r="BQ412" s="2" t="e">
        <f ca="1">_xll.BDH($C$403,"WORKING_CAPITAL_SEQ_GROWTH","FQ4 2015","FQ4 2015","Currency=INR","Period=FQ","BEST_FPERIOD_OVERRIDE=FQ","FILING_STATUS=OR","EQY_CONSOLIDATED=Y","Sort=A","Dates=H","DateFormat=P","Fill=—","Direction=H","UseDPDF=Y")</f>
        <v>#NAME?</v>
      </c>
      <c r="BR412" s="2" t="e">
        <f ca="1">_xll.BDH($C$403,"ACCOUNTS_PAYABLE_SEQ_GROWTH","FQ4 2015","FQ4 2015","Currency=INR","Period=FQ","BEST_FPERIOD_OVERRIDE=FQ","FILING_STATUS=OR","EQY_CONSOLIDATED=Y","Sort=A","Dates=H","DateFormat=P","Fill=—","Direction=H","UseDPDF=Y")</f>
        <v>#NAME?</v>
      </c>
      <c r="BS412" s="2" t="e">
        <f ca="1">_xll.BDH($C$403,"ST_DEBT_SEQUENTIAL_GROWTH","FQ4 2015","FQ4 2015","Currency=INR","Period=FQ","BEST_FPERIOD_OVERRIDE=FQ","FILING_STATUS=OR","EQY_CONSOLIDATED=Y","Sort=A","Dates=H","DateFormat=P","Fill=—","Direction=H","UseDPDF=Y")</f>
        <v>#NAME?</v>
      </c>
      <c r="BT412" s="2" t="e">
        <f ca="1">_xll.BDH($C$403,"TOTAL_DEBT_SEQUENTIAL_GROWTH","FQ4 2015","FQ4 2015","Currency=INR","Period=FQ","BEST_FPERIOD_OVERRIDE=FQ","FILING_STATUS=OR","EQY_CONSOLIDATED=Y","Sort=A","Dates=H","DateFormat=P","Fill=—","Direction=H","UseDPDF=Y")</f>
        <v>#NAME?</v>
      </c>
      <c r="BU412" s="2" t="e">
        <f ca="1">_xll.BDH($C$403,"TOTAL_EQUITY_SEQUENTIAL_GROWTH","FQ4 2015","FQ4 2015","Currency=INR","Period=FQ","BEST_FPERIOD_OVERRIDE=FQ","FILING_STATUS=OR","EQY_CONSOLIDATED=Y","Sort=A","Dates=H","DateFormat=P","Fill=—","Direction=H","UseDPDF=Y")</f>
        <v>#NAME?</v>
      </c>
      <c r="BV412" s="2" t="e">
        <f ca="1">_xll.BDH($C$403,"TOTAL_CAPITAL_SEQUENTIAL_GROWTH","FQ4 2015","FQ4 2015","Currency=INR","Period=FQ","BEST_FPERIOD_OVERRIDE=FQ","FILING_STATUS=OR","EQY_CONSOLIDATED=Y","Sort=A","Dates=H","DateFormat=P","Fill=—","Direction=H","UseDPDF=Y")</f>
        <v>#NAME?</v>
      </c>
      <c r="BW412" s="2" t="e">
        <f ca="1">_xll.BDH($C$403,"BPS_SEQUENTIAL_GROWTH","FQ4 2015","FQ4 2015","Currency=INR","Period=FQ","BEST_FPERIOD_OVERRIDE=FQ","FILING_STATUS=OR","EQY_CONSOLIDATED=Y","Sort=A","Dates=H","DateFormat=P","Fill=—","Direction=H","UseDPDF=Y")</f>
        <v>#NAME?</v>
      </c>
      <c r="BX412" s="2" t="e">
        <f ca="1">_xll.BDH($C$403,"CFO_SEQUENTIAL_GROWTH","FQ4 2015","FQ4 2015","Currency=INR","Period=FQ","BEST_FPERIOD_OVERRIDE=FQ","FILING_STATUS=OR","EQY_CONSOLIDATED=Y","Sort=A","Dates=H","DateFormat=P","Fill=—","Direction=H","UseDPDF=Y")</f>
        <v>#NAME?</v>
      </c>
      <c r="BY412" s="3" t="e">
        <f ca="1">_xll.BDH($C$403,"SHORT_AND_LONG_TERM_DEBT","FQ4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412" s="3" t="e">
        <f ca="1">_xll.BDH($C$403,"BS_ST_BORROW","FQ4 2015","FQ4 2015","Currency=INR","Period=FQ","BEST_FPERIOD_OVERRIDE=FQ","FILING_STATUS=OR","EQY_CONSOLIDATED=Y","SCALING_FORMAT=MLN","Sort=A","Dates=H","DateFormat=P","Fill=—","Direction=H","UseDPDF=Y")</f>
        <v>#NAME?</v>
      </c>
      <c r="CA412" s="3" t="e">
        <f ca="1">_xll.BDH($C$403,"BS_LT_BORROW","FQ4 2015","FQ4 2015","Currency=INR","Period=FQ","BEST_FPERIOD_OVERRIDE=FQ","FILING_STATUS=OR","EQY_CONSOLIDATED=Y","SCALING_FORMAT=MLN","Sort=A","Dates=H","DateFormat=P","Fill=—","Direction=H","UseDPDF=Y")</f>
        <v>#NAME?</v>
      </c>
      <c r="CB412" s="2" t="e">
        <f ca="1">_xll.BDH($C$403,"TOT_DEBT_TO_EBITDA","FQ4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412" s="2" t="e">
        <f ca="1">_xll.BDH($C$403,"NET_DEBT_TO_EBITDA","FQ4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412" s="2" t="e">
        <f ca="1">_xll.BDH($C$403,"TOTAL_DEBT_TO_EBIT","FQ4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412" s="2" t="e">
        <f ca="1">_xll.BDH($C$403,"NET_DEBT_TO_EBIT","FQ4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412" s="2" t="e">
        <f ca="1">_xll.BDH($C$403,"EBITDA_TO_INTEREST_EXPN","FQ4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412" s="2" t="e">
        <f ca="1">_xll.BDH($C$403,"COM_EQY_TO_TOT_ASSET","FQ4 2015","FQ4 2015","Currency=INR","Period=FQ","BEST_FPERIOD_OVERRIDE=FQ","FILING_STATUS=OR","EQY_CONSOLIDATED=Y","Sort=A","Dates=H","DateFormat=P","Fill=—","Direction=H","UseDPDF=Y")</f>
        <v>#NAME?</v>
      </c>
      <c r="CH412" s="2" t="e">
        <f ca="1">_xll.BDH($C$403,"LT_DEBT_TO_TOT_EQY","FQ4 2015","FQ4 2015","Currency=INR","Period=FQ","BEST_FPERIOD_OVERRIDE=FQ","FILING_STATUS=OR","EQY_CONSOLIDATED=Y","Sort=A","Dates=H","DateFormat=P","Fill=—","Direction=H","UseDPDF=Y")</f>
        <v>#NAME?</v>
      </c>
      <c r="CI412" s="2" t="e">
        <f ca="1">_xll.BDH($C$403,"LT_DEBT_TO_TOT_CAP","FQ4 2015","FQ4 2015","Currency=INR","Period=FQ","BEST_FPERIOD_OVERRIDE=FQ","FILING_STATUS=OR","EQY_CONSOLIDATED=Y","Sort=A","Dates=H","DateFormat=P","Fill=—","Direction=H","UseDPDF=Y")</f>
        <v>#NAME?</v>
      </c>
      <c r="CJ412" s="2" t="e">
        <f ca="1">_xll.BDH($C$403,"LT_DEBT_TO_TOT_ASSET","FQ4 2015","FQ4 2015","Currency=INR","Period=FQ","BEST_FPERIOD_OVERRIDE=FQ","FILING_STATUS=OR","EQY_CONSOLIDATED=Y","Sort=A","Dates=H","DateFormat=P","Fill=—","Direction=H","UseDPDF=Y")</f>
        <v>#NAME?</v>
      </c>
      <c r="CK412" s="2" t="e">
        <f ca="1">_xll.BDH($C$403,"TOT_DEBT_TO_TOT_EQY","FQ4 2015","FQ4 2015","Currency=INR","Period=FQ","BEST_FPERIOD_OVERRIDE=FQ","FILING_STATUS=OR","EQY_CONSOLIDATED=Y","Sort=A","Dates=H","DateFormat=P","Fill=—","Direction=H","UseDPDF=Y")</f>
        <v>#NAME?</v>
      </c>
      <c r="CL412" s="2" t="e">
        <f ca="1">_xll.BDH($C$403,"TOT_DEBT_TO_TOT_CAP","FQ4 2015","FQ4 2015","Currency=INR","Period=FQ","BEST_FPERIOD_OVERRIDE=FQ","FILING_STATUS=OR","EQY_CONSOLIDATED=Y","Sort=A","Dates=H","DateFormat=P","Fill=—","Direction=H","UseDPDF=Y")</f>
        <v>#NAME?</v>
      </c>
      <c r="CM412" s="2" t="e">
        <f ca="1">_xll.BDH($C$403,"TOT_DEBT_TO_TOT_ASSET","FQ4 2015","FQ4 2015","Currency=INR","Period=FQ","BEST_FPERIOD_OVERRIDE=FQ","FILING_STATUS=OR","EQY_CONSOLIDATED=Y","Sort=A","Dates=H","DateFormat=P","Fill=—","Direction=H","UseDPDF=Y")</f>
        <v>#NAME?</v>
      </c>
      <c r="CN412" s="2" t="e">
        <f ca="1">_xll.BDH($C$403,"NET_DEBT_TO_SHRHLDR_EQTY","FQ4 2015","FQ4 2015","Currency=INR","Period=FQ","BEST_FPERIOD_OVERRIDE=FQ","FILING_STATUS=OR","EQY_CONSOLIDATED=Y","Sort=A","Dates=H","DateFormat=P","Fill=—","Direction=H","UseDPDF=Y")</f>
        <v>#NAME?</v>
      </c>
      <c r="CO412" s="2" t="e">
        <f ca="1">_xll.BDH($C$403,"NET_DEBT_%_CAPITAL","FQ4 2015","FQ4 2015","Currency=INR","Period=FQ","BEST_FPERIOD_OVERRIDE=FQ","FILING_STATUS=OR","EQY_CONSOLIDATED=Y","Sort=A","Dates=H","DateFormat=P","Fill=—","Direction=H","UseDPDF=Y")</f>
        <v>#NAME?</v>
      </c>
      <c r="CP412" s="3" t="e">
        <f ca="1">_xll.BDH($C$403,"EBITDA","FQ4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412" s="3" t="e">
        <f ca="1">_xll.BDH($C$403,"EBITDA_AFTER_CAPEX","FQ4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412" s="3" t="e">
        <f ca="1">_xll.BDH($C$403,"IS_OPER_INC","FQ4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412" s="2" t="e">
        <f ca="1">_xll.BDH($C$403,"CASH_RATIO","FQ4 2015","FQ4 2015","Currency=INR","Period=FQ","BEST_FPERIOD_OVERRIDE=FQ","FILING_STATUS=OR","EQY_CONSOLIDATED=Y","Sort=A","Dates=H","DateFormat=P","Fill=—","Direction=H","UseDPDF=Y")</f>
        <v>#NAME?</v>
      </c>
      <c r="CT412" s="2" t="e">
        <f ca="1">_xll.BDH($C$403,"CUR_RATIO","FQ4 2015","FQ4 2015","Currency=INR","Period=FQ","BEST_FPERIOD_OVERRIDE=FQ","FILING_STATUS=OR","EQY_CONSOLIDATED=Y","Sort=A","Dates=H","DateFormat=P","Fill=—","Direction=H","UseDPDF=Y")</f>
        <v>#NAME?</v>
      </c>
      <c r="CU412" s="2" t="e">
        <f ca="1">_xll.BDH($C$403,"QUICK_RATIO","FQ4 2015","FQ4 2015","Currency=INR","Period=FQ","BEST_FPERIOD_OVERRIDE=FQ","FILING_STATUS=OR","EQY_CONSOLIDATED=Y","Sort=A","Dates=H","DateFormat=P","Fill=—","Direction=H","UseDPDF=Y")</f>
        <v>#NAME?</v>
      </c>
      <c r="CV412" s="2" t="e">
        <f ca="1">_xll.BDH($C$403,"ALTMAN_Z_SCORE","FQ4 2015","FQ4 2015","Currency=INR","Period=FQ","BEST_FPERIOD_OVERRIDE=FQ","FILING_STATUS=OR","EQY_CONSOLIDATED=Y","Sort=A","Dates=H","DateFormat=P","Fill=—","Direction=H","UseDPDF=Y")</f>
        <v>#NAME?</v>
      </c>
      <c r="CW412" s="4" t="e">
        <f ca="1">_xll.BDH($C$403,"ACCT_RCV_TURN","FQ4 2015","FQ4 2015","Currency=INR","Period=FQ","BEST_FPERIOD_OVERRIDE=FQ","FILING_STATUS=OR","EQY_CONSOLIDATED=Y","FA_ADJUSTED=GAAP","Sort=A","Dates=H","DateFormat=P","Fill=—","Direction=H","UseDPDF=Y")</f>
        <v>#NAME?</v>
      </c>
      <c r="CX412" s="2" t="e">
        <f ca="1">_xll.BDH($C$403,"ACCT_RCV_DAYS","FQ4 2015","FQ4 2015","Currency=INR","Period=FQ","BEST_FPERIOD_OVERRIDE=FQ","FILING_STATUS=OR","EQY_CONSOLIDATED=Y","FA_ADJUSTED=GAAP","Sort=A","Dates=H","DateFormat=P","Fill=—","Direction=H","UseDPDF=Y")</f>
        <v>#NAME?</v>
      </c>
      <c r="CY412" s="4" t="e">
        <f ca="1">_xll.BDH($C$403,"INVENT_TURN","FQ4 2015","FQ4 2015","Currency=INR","Period=FQ","BEST_FPERIOD_OVERRIDE=FQ","FILING_STATUS=OR","EQY_CONSOLIDATED=Y","FA_ADJUSTED=GAAP","Sort=A","Dates=H","DateFormat=P","Fill=—","Direction=H","UseDPDF=Y")</f>
        <v>#NAME?</v>
      </c>
      <c r="CZ412" s="2" t="e">
        <f ca="1">_xll.BDH($C$403,"INVENT_DAYS","FQ4 2015","FQ4 2015","Currency=INR","Period=FQ","BEST_FPERIOD_OVERRIDE=FQ","FILING_STATUS=OR","EQY_CONSOLIDATED=Y","FA_ADJUSTED=GAAP","Sort=A","Dates=H","DateFormat=P","Fill=—","Direction=H","UseDPDF=Y")</f>
        <v>#NAME?</v>
      </c>
      <c r="DA412" s="4" t="e">
        <f ca="1">_xll.BDH($C$403,"ACCOUNTS_PAYABLE_TURNOVER","FQ4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412" s="2" t="e">
        <f ca="1">_xll.BDH($C$403,"ACCOUNTS_PAYABLE_TURNOVER_DAYS","FQ4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412" s="4" t="e">
        <f ca="1">_xll.BDH($C$403,"CASH_CONVERSION_CYCLE","FQ4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412" s="4" t="e">
        <f ca="1">_xll.BDH($C$403,"INV_TO_CASH_DAYS","FQ4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412" s="5" t="e">
        <f ca="1">_xll.BDH($C$403,"BS_INVENTORIES","FQ4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412" s="3" t="e">
        <f ca="1">_xll.BDH($C$403,"INVTRY_RAW_MATERIALS","FQ4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412" s="3" t="e">
        <f ca="1">_xll.BDH($C$403,"INVTRY_IN_PROGRESS","FQ4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412" s="3" t="e">
        <f ca="1">_xll.BDH($C$403,"INVTRY_FINISHED_GOODS","FQ4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412" s="3" t="e">
        <f ca="1">_xll.BDH($C$403,"BS_OTHER_INV","FQ4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413" spans="1:113" x14ac:dyDescent="0.3">
      <c r="A413" s="6"/>
      <c r="B413" s="6"/>
      <c r="C413" s="6"/>
      <c r="D413" s="6" t="s">
        <v>83</v>
      </c>
      <c r="E413" t="s">
        <v>77</v>
      </c>
      <c r="F413" t="e">
        <f ca="1">_xll.BDH($C$403,"RETURN_COM_EQY","FY 2016","FY 2016","Currency=INR","Period=FY","BEST_FPERIOD_OVERRIDE=FY","FILING_STATUS=OR","EQY_CONSOLIDATED=Y","FA_ADJUSTED=GAAP","Sort=A","Dates=H","DateFormat=P","Fill=—","Direction=H","UseDPDF=Y")</f>
        <v>#NAME?</v>
      </c>
      <c r="G413" t="e">
        <f ca="1">_xll.BDH($C$403,"RETURN_ON_ASSET","FY 2016","FY 2016","Currency=INR","Period=FY","BEST_FPERIOD_OVERRIDE=FY","FILING_STATUS=OR","EQY_CONSOLIDATED=Y","FA_ADJUSTED=GAAP","Sort=A","Dates=H","DateFormat=P","Fill=—","Direction=H","UseDPDF=Y")</f>
        <v>#NAME?</v>
      </c>
      <c r="H413" t="e">
        <f ca="1">_xll.BDH($C$403,"RETURN_ON_CAP","FY 2016","FY 2016","Currency=INR","Period=FY","BEST_FPERIOD_OVERRIDE=FY","FILING_STATUS=OR","EQY_CONSOLIDATED=Y","FA_ADJUSTED=GAAP","Sort=A","Dates=H","DateFormat=P","Fill=—","Direction=H","UseDPDF=Y")</f>
        <v>#NAME?</v>
      </c>
      <c r="I413" t="e">
        <f ca="1">_xll.BDH($C$403,"RETURN_ON_INV_CAPITAL","FY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413" t="e">
        <f ca="1">_xll.BDH($C$403,"EBITDA_TO_REVENUE","FY 2016","FY 2016","Currency=INR","Period=FY","BEST_FPERIOD_OVERRIDE=FY","FILING_STATUS=OR","EQY_CONSOLIDATED=Y","FA_ADJUSTED=GAAP","Sort=A","Dates=H","DateFormat=P","Fill=—","Direction=H","UseDPDF=Y")</f>
        <v>#NAME?</v>
      </c>
      <c r="K413" t="e">
        <f ca="1">_xll.BDH($C$403,"OPER_MARGIN","FY 2016","FY 2016","Currency=INR","Period=FY","BEST_FPERIOD_OVERRIDE=FY","FILING_STATUS=OR","EQY_CONSOLIDATED=Y","FA_ADJUSTED=GAAP","Sort=A","Dates=H","DateFormat=P","Fill=—","Direction=H","UseDPDF=Y")</f>
        <v>#NAME?</v>
      </c>
      <c r="L413" t="e">
        <f ca="1">_xll.BDH($C$403,"INCREMENTAL_OPERATING_MARGIN","FY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413" t="e">
        <f ca="1">_xll.BDH($C$403,"PRETAX_INC_TO_NET_SALES","FY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413" t="e">
        <f ca="1">_xll.BDH($C$403,"INC_BEF_XO_ITEMS_TO_NET_SALES","FY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413" t="e">
        <f ca="1">_xll.BDH($C$403,"PROF_MARGIN","FY 2016","FY 2016","Currency=INR","Period=FY","BEST_FPERIOD_OVERRIDE=FY","FILING_STATUS=OR","EQY_CONSOLIDATED=Y","FA_ADJUSTED=GAAP","Sort=A","Dates=H","DateFormat=P","Fill=—","Direction=H","UseDPDF=Y")</f>
        <v>#NAME?</v>
      </c>
      <c r="P413" t="e">
        <f ca="1">_xll.BDH($C$403,"NET_INCOME_TO_COMMON_MARGIN","FY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413" t="e">
        <f ca="1">_xll.BDH($C$403,"EFF_TAX_RATE","FY 2016","FY 2016","Currency=INR","Period=FY","BEST_FPERIOD_OVERRIDE=FY","FILING_STATUS=OR","EQY_CONSOLIDATED=Y","FA_ADJUSTED=GAAP","Sort=A","Dates=H","DateFormat=P","Fill=—","Direction=H","UseDPDF=Y")</f>
        <v>#NAME?</v>
      </c>
      <c r="R413" t="e">
        <f ca="1">_xll.BDH($C$403,"DVD_PAYOUT_RATIO","FY 2016","FY 2016","Currency=INR","Period=FY","BEST_FPERIOD_OVERRIDE=FY","FILING_STATUS=OR","EQY_CONSOLIDATED=Y","FA_ADJUSTED=GAAP","Sort=A","Dates=H","DateFormat=P","Fill=—","Direction=H","UseDPDF=Y")</f>
        <v>#NAME?</v>
      </c>
      <c r="S413" t="e">
        <f ca="1">_xll.BDH($C$403,"SUSTAIN_GROWTH_RT","FY 2016","FY 2016","Currency=INR","Period=FY","BEST_FPERIOD_OVERRIDE=FY","FILING_STATUS=OR","EQY_CONSOLIDATED=Y","FA_ADJUSTED=GAAP","Sort=A","Dates=H","DateFormat=P","Fill=—","Direction=H","UseDPDF=Y")</f>
        <v>#NAME?</v>
      </c>
      <c r="T413" s="2" t="e">
        <f ca="1">_xll.BDH($C$403,"SALES_GROWTH","FY 2016","FY 2016","Currency=INR","Period=FY","BEST_FPERIOD_OVERRIDE=FY","FILING_STATUS=OR","EQY_CONSOLIDATED=Y","FA_ADJUSTED=GAAP","Sort=A","Dates=H","DateFormat=P","Fill=—","Direction=H","UseDPDF=Y")</f>
        <v>#NAME?</v>
      </c>
      <c r="U413" s="2" t="e">
        <f ca="1">_xll.BDH($C$403,"EBITDA_GROWTH","FY 2016","FY 2016","Currency=INR","Period=FY","BEST_FPERIOD_OVERRIDE=FY","FILING_STATUS=OR","EQY_CONSOLIDATED=Y","FA_ADJUSTED=GAAP","Sort=A","Dates=H","DateFormat=P","Fill=—","Direction=H","UseDPDF=Y")</f>
        <v>#NAME?</v>
      </c>
      <c r="V413" s="2" t="e">
        <f ca="1">_xll.BDH($C$403,"OPER_INC_GROWTH","FY 2016","FY 2016","Currency=INR","Period=FY","BEST_FPERIOD_OVERRIDE=FY","FILING_STATUS=OR","EQY_CONSOLIDATED=Y","FA_ADJUSTED=GAAP","Sort=A","Dates=H","DateFormat=P","Fill=—","Direction=H","UseDPDF=Y")</f>
        <v>#NAME?</v>
      </c>
      <c r="W413" s="2" t="e">
        <f ca="1">_xll.BDH($C$403,"EARN_FOR_COM_GROWTH","FY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413" s="2" t="e">
        <f ca="1">_xll.BDH($C$403,"DILUTED_EPS_AFT_XO_ITEMS_GROWTH","FY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413" s="2" t="e">
        <f ca="1">_xll.BDH($C$403,"DIVIDEND_PER_SHARE_1_YEAR_GROWTH","FY 2016","FY 2016","Currency=INR","Period=FY","BEST_FPERIOD_OVERRIDE=FY","FILING_STATUS=OR","EQY_CONSOLIDATED=Y","Sort=A","Dates=H","DateFormat=P","Fill=—","Direction=H","UseDPDF=Y")</f>
        <v>#NAME?</v>
      </c>
      <c r="Z413" s="2" t="e">
        <f ca="1">_xll.BDH($C$403,"ACCOUNTS_RECEIVABLE_GROWTH","FY 2016","FY 2016","Currency=INR","Period=FY","BEST_FPERIOD_OVERRIDE=FY","FILING_STATUS=OR","EQY_CONSOLIDATED=Y","Sort=A","Dates=H","DateFormat=P","Fill=—","Direction=H","UseDPDF=Y")</f>
        <v>#NAME?</v>
      </c>
      <c r="AA413" s="2" t="e">
        <f ca="1">_xll.BDH($C$403,"INVENTORY_GROWTH","FY 2016","FY 2016","Currency=INR","Period=FY","BEST_FPERIOD_OVERRIDE=FY","FILING_STATUS=OR","EQY_CONSOLIDATED=Y","Sort=A","Dates=H","DateFormat=P","Fill=—","Direction=H","UseDPDF=Y")</f>
        <v>#NAME?</v>
      </c>
      <c r="AB413" s="2" t="e">
        <f ca="1">_xll.BDH($C$403,"NET_FIXED_ASSETS_1_YEAR_GROWTH","FY 2016","FY 2016","Currency=INR","Period=FY","BEST_FPERIOD_OVERRIDE=FY","FILING_STATUS=OR","EQY_CONSOLIDATED=Y","Sort=A","Dates=H","DateFormat=P","Fill=—","Direction=H","UseDPDF=Y")</f>
        <v>#NAME?</v>
      </c>
      <c r="AC413" s="2" t="e">
        <f ca="1">_xll.BDH($C$403,"ASSET_GROWTH","FY 2016","FY 2016","Currency=INR","Period=FY","BEST_FPERIOD_OVERRIDE=FY","FILING_STATUS=OR","EQY_CONSOLIDATED=Y","Sort=A","Dates=H","DateFormat=P","Fill=—","Direction=H","UseDPDF=Y")</f>
        <v>#NAME?</v>
      </c>
      <c r="AD413" s="2" t="e">
        <f ca="1">_xll.BDH($C$403,"MODIFIED_WORK_CAP_GROWTH","FY 2016","FY 2016","Currency=INR","Period=FY","BEST_FPERIOD_OVERRIDE=FY","FILING_STATUS=OR","EQY_CONSOLIDATED=Y","Sort=A","Dates=H","DateFormat=P","Fill=—","Direction=H","UseDPDF=Y")</f>
        <v>#NAME?</v>
      </c>
      <c r="AE413" s="2" t="e">
        <f ca="1">_xll.BDH($C$403,"WORK_CAP_GROWTH","FY 2016","FY 2016","Currency=INR","Period=FY","BEST_FPERIOD_OVERRIDE=FY","FILING_STATUS=OR","EQY_CONSOLIDATED=Y","Sort=A","Dates=H","DateFormat=P","Fill=—","Direction=H","UseDPDF=Y")</f>
        <v>#NAME?</v>
      </c>
      <c r="AF413" s="2" t="e">
        <f ca="1">_xll.BDH($C$403,"ACCOUNTS_PAYABLE_GROWTH_1YR","FY 2016","FY 2016","Currency=INR","Period=FY","BEST_FPERIOD_OVERRIDE=FY","FILING_STATUS=OR","EQY_CONSOLIDATED=Y","Sort=A","Dates=H","DateFormat=P","Fill=—","Direction=H","UseDPDF=Y")</f>
        <v>#NAME?</v>
      </c>
      <c r="AG413" s="2" t="e">
        <f ca="1">_xll.BDH($C$403,"SHORT_TERM_DEBT_1_YEAR_GROWTH","FY 2016","FY 2016","Currency=INR","Period=FY","BEST_FPERIOD_OVERRIDE=FY","FILING_STATUS=OR","EQY_CONSOLIDATED=Y","Sort=A","Dates=H","DateFormat=P","Fill=—","Direction=H","UseDPDF=Y")</f>
        <v>#NAME?</v>
      </c>
      <c r="AH413" s="2" t="e">
        <f ca="1">_xll.BDH($C$403,"TOTAL_DEBT_1_YEAR_GROWTH","FY 2016","FY 2016","Currency=INR","Period=FY","BEST_FPERIOD_OVERRIDE=FY","FILING_STATUS=OR","EQY_CONSOLIDATED=Y","Sort=A","Dates=H","DateFormat=P","Fill=—","Direction=H","UseDPDF=Y")</f>
        <v>#NAME?</v>
      </c>
      <c r="AI413" s="2" t="e">
        <f ca="1">_xll.BDH($C$403,"TOTAL_EQUITY_1_YEAR_GROWTH","FY 2016","FY 2016","Currency=INR","Period=FY","BEST_FPERIOD_OVERRIDE=FY","FILING_STATUS=OR","EQY_CONSOLIDATED=Y","Sort=A","Dates=H","DateFormat=P","Fill=—","Direction=H","UseDPDF=Y")</f>
        <v>#NAME?</v>
      </c>
      <c r="AJ413" s="2" t="e">
        <f ca="1">_xll.BDH($C$403,"GROWTH_IN_CAP","FY 2016","FY 2016","Currency=INR","Period=FY","BEST_FPERIOD_OVERRIDE=FY","FILING_STATUS=OR","EQY_CONSOLIDATED=Y","Sort=A","Dates=H","DateFormat=P","Fill=—","Direction=H","UseDPDF=Y")</f>
        <v>#NAME?</v>
      </c>
      <c r="AK413" s="2" t="e">
        <f ca="1">_xll.BDH($C$403,"BVPS_GROWTH","FY 2016","FY 2016","Currency=INR","Period=FY","BEST_FPERIOD_OVERRIDE=FY","FILING_STATUS=OR","EQY_CONSOLIDATED=Y","Sort=A","Dates=H","DateFormat=P","Fill=—","Direction=H","UseDPDF=Y")</f>
        <v>#NAME?</v>
      </c>
      <c r="AL413" s="2" t="e">
        <f ca="1">_xll.BDH($C$403,"CASH_FLOW_GROWTH","FY 2016","FY 2016","Currency=INR","Period=FY","BEST_FPERIOD_OVERRIDE=FY","FILING_STATUS=OR","EQY_CONSOLIDATED=Y","Sort=A","Dates=H","DateFormat=P","Fill=—","Direction=H","UseDPDF=Y")</f>
        <v>#NAME?</v>
      </c>
      <c r="AM413" s="2" t="e">
        <f ca="1">_xll.BDH($C$403,"GEO_GROW_NET_SALES","FY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413" s="2" t="e">
        <f ca="1">_xll.BDH($C$403,"GEO_GROW_EBITDA","FY 2016","FY 2016","Currency=INR","Period=FY","BEST_FPERIOD_OVERRIDE=FY","FILING_STATUS=OR","EQY_CONSOLIDATED=Y","FA_ADJUSTED=GAAP","Sort=A","Dates=H","DateFormat=P","Fill=—","Direction=H","UseDPDF=Y")</f>
        <v>#NAME?</v>
      </c>
      <c r="AO413" s="2" t="e">
        <f ca="1">_xll.BDH($C$403,"GEO_GROW_OPER_INC","FY 2016","FY 2016","Currency=INR","Period=FY","BEST_FPERIOD_OVERRIDE=FY","FILING_STATUS=OR","EQY_CONSOLIDATED=Y","FA_ADJUSTED=GAAP","Sort=A","Dates=H","DateFormat=P","Fill=—","Direction=H","UseDPDF=Y")</f>
        <v>#NAME?</v>
      </c>
      <c r="AP413" s="2" t="e">
        <f ca="1">_xll.BDH($C$403,"NET_INCOME_TO_COMMON_5_YR_GROWTH","FY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413" s="2" t="e">
        <f ca="1">_xll.BDH($C$403,"5Y_GEO_GROWTH_DILUTED_EPS","FY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413" s="2" t="e">
        <f ca="1">_xll.BDH($C$403,"GEO_GROW_DVD_PER_SH","FY 2016","FY 2016","Currency=INR","Period=FY","BEST_FPERIOD_OVERRIDE=FY","FILING_STATUS=OR","EQY_CONSOLIDATED=Y","Sort=A","Dates=H","DateFormat=P","Fill=—","Direction=H","UseDPDF=Y")</f>
        <v>#NAME?</v>
      </c>
      <c r="AS413" s="2" t="e">
        <f ca="1">_xll.BDH($C$403,"ACCOUNTS_RECEIVABLE_5_YR_GROWTH","FY 2016","FY 2016","Currency=INR","Period=FY","BEST_FPERIOD_OVERRIDE=FY","FILING_STATUS=OR","EQY_CONSOLIDATED=Y","Sort=A","Dates=H","DateFormat=P","Fill=—","Direction=H","UseDPDF=Y")</f>
        <v>#NAME?</v>
      </c>
      <c r="AT413" s="2" t="e">
        <f ca="1">_xll.BDH($C$403,"INVENTORY_5_YEAR_GROWTH","FY 2016","FY 2016","Currency=INR","Period=FY","BEST_FPERIOD_OVERRIDE=FY","FILING_STATUS=OR","EQY_CONSOLIDATED=Y","Sort=A","Dates=H","DateFormat=P","Fill=—","Direction=H","UseDPDF=Y")</f>
        <v>#NAME?</v>
      </c>
      <c r="AU413" s="2" t="e">
        <f ca="1">_xll.BDH($C$403,"NET_FIXED_ASSETS_5_YEAR_GROWTH","FY 2016","FY 2016","Currency=INR","Period=FY","BEST_FPERIOD_OVERRIDE=FY","FILING_STATUS=OR","EQY_CONSOLIDATED=Y","Sort=A","Dates=H","DateFormat=P","Fill=—","Direction=H","UseDPDF=Y")</f>
        <v>#NAME?</v>
      </c>
      <c r="AV413" s="2" t="e">
        <f ca="1">_xll.BDH($C$403,"GEO_GROW_TOT_ASSET","FY 2016","FY 2016","Currency=INR","Period=FY","BEST_FPERIOD_OVERRIDE=FY","FILING_STATUS=OR","EQY_CONSOLIDATED=Y","Sort=A","Dates=H","DateFormat=P","Fill=—","Direction=H","UseDPDF=Y")</f>
        <v>#NAME?</v>
      </c>
      <c r="AW413" s="2" t="e">
        <f ca="1">_xll.BDH($C$403,"MODIFIED_WORKING_CPTL_5YR_GRWTH","FY 2016","FY 2016","Currency=INR","Period=FY","BEST_FPERIOD_OVERRIDE=FY","FILING_STATUS=OR","EQY_CONSOLIDATED=Y","Sort=A","Dates=H","DateFormat=P","Fill=—","Direction=H","UseDPDF=Y")</f>
        <v>#NAME?</v>
      </c>
      <c r="AX413" s="2" t="e">
        <f ca="1">_xll.BDH($C$403,"WORKING_CAPITAL_5_YEAR_GROWTH","FY 2016","FY 2016","Currency=INR","Period=FY","BEST_FPERIOD_OVERRIDE=FY","FILING_STATUS=OR","EQY_CONSOLIDATED=Y","Sort=A","Dates=H","DateFormat=P","Fill=—","Direction=H","UseDPDF=Y")</f>
        <v>#NAME?</v>
      </c>
      <c r="AY413" s="2" t="e">
        <f ca="1">_xll.BDH($C$403,"ACCOUNTS_PAYABLE_5_YEAR_GROWTH","FY 2016","FY 2016","Currency=INR","Period=FY","BEST_FPERIOD_OVERRIDE=FY","FILING_STATUS=OR","EQY_CONSOLIDATED=Y","Sort=A","Dates=H","DateFormat=P","Fill=—","Direction=H","UseDPDF=Y")</f>
        <v>#NAME?</v>
      </c>
      <c r="AZ413" s="2" t="e">
        <f ca="1">_xll.BDH($C$403,"SHORT_TERM_DEBT_5_YEAR_GROWTH","FY 2016","FY 2016","Currency=INR","Period=FY","BEST_FPERIOD_OVERRIDE=FY","FILING_STATUS=OR","EQY_CONSOLIDATED=Y","Sort=A","Dates=H","DateFormat=P","Fill=—","Direction=H","UseDPDF=Y")</f>
        <v>#NAME?</v>
      </c>
      <c r="BA413" s="2" t="e">
        <f ca="1">_xll.BDH($C$403,"TOTAL_DEBT_5_YEAR_GROWTH","FY 2016","FY 2016","Currency=INR","Period=FY","BEST_FPERIOD_OVERRIDE=FY","FILING_STATUS=OR","EQY_CONSOLIDATED=Y","Sort=A","Dates=H","DateFormat=P","Fill=—","Direction=H","UseDPDF=Y")</f>
        <v>#NAME?</v>
      </c>
      <c r="BB413" s="2" t="e">
        <f ca="1">_xll.BDH($C$403,"GEO_GROW_TOT_SHRHLDR_EQY","FY 2016","FY 2016","Currency=INR","Period=FY","BEST_FPERIOD_OVERRIDE=FY","FILING_STATUS=OR","EQY_CONSOLIDATED=Y","Sort=A","Dates=H","DateFormat=P","Fill=—","Direction=H","UseDPDF=Y")</f>
        <v>#NAME?</v>
      </c>
      <c r="BC413" s="2" t="e">
        <f ca="1">_xll.BDH($C$403,"TOTAL_CAPITAL_5_YEAR_GROWTH","FY 2016","FY 2016","Currency=INR","Period=FY","BEST_FPERIOD_OVERRIDE=FY","FILING_STATUS=OR","EQY_CONSOLIDATED=Y","Sort=A","Dates=H","DateFormat=P","Fill=—","Direction=H","UseDPDF=Y")</f>
        <v>#NAME?</v>
      </c>
      <c r="BD413" s="2" t="e">
        <f ca="1">_xll.BDH($C$403,"GEO_GROW_BOOK_VAL","FY 2016","FY 2016","Currency=INR","Period=FY","BEST_FPERIOD_OVERRIDE=FY","FILING_STATUS=OR","EQY_CONSOLIDATED=Y","Sort=A","Dates=H","DateFormat=P","Fill=—","Direction=H","UseDPDF=Y")</f>
        <v>#NAME?</v>
      </c>
      <c r="BE413" s="2" t="e">
        <f ca="1">_xll.BDH($C$403,"GEO_GROW_CASH_OPER_ACT","FY 2016","FY 2016","Currency=INR","Period=FY","BEST_FPERIOD_OVERRIDE=FY","FILING_STATUS=OR","EQY_CONSOLIDATED=Y","Sort=A","Dates=H","DateFormat=P","Fill=—","Direction=H","UseDPDF=Y")</f>
        <v>#NAME?</v>
      </c>
      <c r="BF413" s="2" t="e">
        <f ca="1">_xll.BDH($C$403,"REVENUE_SEQUENTIAL_GROWTH","FY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413" s="2" t="e">
        <f ca="1">_xll.BDH($C$403,"EBITDA_SEQUENTIAL_GROWTH","FY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413" s="2" t="e">
        <f ca="1">_xll.BDH($C$403,"OPERATING_INCOME_SEQ_GROWTH","FY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413" s="2" t="e">
        <f ca="1">_xll.BDH($C$403,"NET_INCOME_TO_COMMON_SEQ_GROWTH","FY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413" s="2" t="e">
        <f ca="1">_xll.BDH($C$403,"EPS_DILUTED_SEQUENTIAL_GROWTH","FY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413" s="2" t="e">
        <f ca="1">_xll.BDH($C$403,"DPS_SEQUENTIAL_GROWTH","FY 2016","FY 2016","Currency=INR","Period=FY","BEST_FPERIOD_OVERRIDE=FY","FILING_STATUS=OR","EQY_CONSOLIDATED=Y","Sort=A","Dates=H","DateFormat=P","Fill=—","Direction=H","UseDPDF=Y")</f>
        <v>#NAME?</v>
      </c>
      <c r="BL413" s="2" t="e">
        <f ca="1">_xll.BDH($C$403,"ACCOUNTS_RECEIVABLE_SEQ_GROWTH","FY 2016","FY 2016","Currency=INR","Period=FY","BEST_FPERIOD_OVERRIDE=FY","FILING_STATUS=OR","EQY_CONSOLIDATED=Y","Sort=A","Dates=H","DateFormat=P","Fill=—","Direction=H","UseDPDF=Y")</f>
        <v>#NAME?</v>
      </c>
      <c r="BM413" s="2" t="e">
        <f ca="1">_xll.BDH($C$403,"INVENTORY_SEQUENTIAL_GROWTH","FY 2016","FY 2016","Currency=INR","Period=FY","BEST_FPERIOD_OVERRIDE=FY","FILING_STATUS=OR","EQY_CONSOLIDATED=Y","Sort=A","Dates=H","DateFormat=P","Fill=—","Direction=H","UseDPDF=Y")</f>
        <v>#NAME?</v>
      </c>
      <c r="BN413" s="2" t="e">
        <f ca="1">_xll.BDH($C$403,"FIXED_ASSETS_SEQUENTIAL_GROWTH","FY 2016","FY 2016","Currency=INR","Period=FY","BEST_FPERIOD_OVERRIDE=FY","FILING_STATUS=OR","EQY_CONSOLIDATED=Y","Sort=A","Dates=H","DateFormat=P","Fill=—","Direction=H","UseDPDF=Y")</f>
        <v>#NAME?</v>
      </c>
      <c r="BO413" s="2" t="e">
        <f ca="1">_xll.BDH($C$403,"TOTAL_ASSETS_SEQUENTIAL_GROWTH","FY 2016","FY 2016","Currency=INR","Period=FY","BEST_FPERIOD_OVERRIDE=FY","FILING_STATUS=OR","EQY_CONSOLIDATED=Y","Sort=A","Dates=H","DateFormat=P","Fill=—","Direction=H","UseDPDF=Y")</f>
        <v>#NAME?</v>
      </c>
      <c r="BP413" s="2" t="e">
        <f ca="1">_xll.BDH($C$403,"MODIFIED_WORKING_CPTL_SEQ_GRWTH","FY 2016","FY 2016","Currency=INR","Period=FY","BEST_FPERIOD_OVERRIDE=FY","FILING_STATUS=OR","EQY_CONSOLIDATED=Y","Sort=A","Dates=H","DateFormat=P","Fill=—","Direction=H","UseDPDF=Y")</f>
        <v>#NAME?</v>
      </c>
      <c r="BQ413" s="2" t="e">
        <f ca="1">_xll.BDH($C$403,"WORKING_CAPITAL_SEQ_GROWTH","FY 2016","FY 2016","Currency=INR","Period=FY","BEST_FPERIOD_OVERRIDE=FY","FILING_STATUS=OR","EQY_CONSOLIDATED=Y","Sort=A","Dates=H","DateFormat=P","Fill=—","Direction=H","UseDPDF=Y")</f>
        <v>#NAME?</v>
      </c>
      <c r="BR413" s="2" t="e">
        <f ca="1">_xll.BDH($C$403,"ACCOUNTS_PAYABLE_SEQ_GROWTH","FY 2016","FY 2016","Currency=INR","Period=FY","BEST_FPERIOD_OVERRIDE=FY","FILING_STATUS=OR","EQY_CONSOLIDATED=Y","Sort=A","Dates=H","DateFormat=P","Fill=—","Direction=H","UseDPDF=Y")</f>
        <v>#NAME?</v>
      </c>
      <c r="BS413" s="2" t="e">
        <f ca="1">_xll.BDH($C$403,"ST_DEBT_SEQUENTIAL_GROWTH","FY 2016","FY 2016","Currency=INR","Period=FY","BEST_FPERIOD_OVERRIDE=FY","FILING_STATUS=OR","EQY_CONSOLIDATED=Y","Sort=A","Dates=H","DateFormat=P","Fill=—","Direction=H","UseDPDF=Y")</f>
        <v>#NAME?</v>
      </c>
      <c r="BT413" s="2" t="e">
        <f ca="1">_xll.BDH($C$403,"TOTAL_DEBT_SEQUENTIAL_GROWTH","FY 2016","FY 2016","Currency=INR","Period=FY","BEST_FPERIOD_OVERRIDE=FY","FILING_STATUS=OR","EQY_CONSOLIDATED=Y","Sort=A","Dates=H","DateFormat=P","Fill=—","Direction=H","UseDPDF=Y")</f>
        <v>#NAME?</v>
      </c>
      <c r="BU413" s="2" t="e">
        <f ca="1">_xll.BDH($C$403,"TOTAL_EQUITY_SEQUENTIAL_GROWTH","FY 2016","FY 2016","Currency=INR","Period=FY","BEST_FPERIOD_OVERRIDE=FY","FILING_STATUS=OR","EQY_CONSOLIDATED=Y","Sort=A","Dates=H","DateFormat=P","Fill=—","Direction=H","UseDPDF=Y")</f>
        <v>#NAME?</v>
      </c>
      <c r="BV413" s="2" t="e">
        <f ca="1">_xll.BDH($C$403,"TOTAL_CAPITAL_SEQUENTIAL_GROWTH","FY 2016","FY 2016","Currency=INR","Period=FY","BEST_FPERIOD_OVERRIDE=FY","FILING_STATUS=OR","EQY_CONSOLIDATED=Y","Sort=A","Dates=H","DateFormat=P","Fill=—","Direction=H","UseDPDF=Y")</f>
        <v>#NAME?</v>
      </c>
      <c r="BW413" s="2" t="e">
        <f ca="1">_xll.BDH($C$403,"BPS_SEQUENTIAL_GROWTH","FY 2016","FY 2016","Currency=INR","Period=FY","BEST_FPERIOD_OVERRIDE=FY","FILING_STATUS=OR","EQY_CONSOLIDATED=Y","Sort=A","Dates=H","DateFormat=P","Fill=—","Direction=H","UseDPDF=Y")</f>
        <v>#NAME?</v>
      </c>
      <c r="BX413" s="2" t="e">
        <f ca="1">_xll.BDH($C$403,"CFO_SEQUENTIAL_GROWTH","FY 2016","FY 2016","Currency=INR","Period=FY","BEST_FPERIOD_OVERRIDE=FY","FILING_STATUS=OR","EQY_CONSOLIDATED=Y","Sort=A","Dates=H","DateFormat=P","Fill=—","Direction=H","UseDPDF=Y")</f>
        <v>#NAME?</v>
      </c>
      <c r="BY413" s="3" t="e">
        <f ca="1">_xll.BDH($C$403,"SHORT_AND_LONG_TERM_DEBT","FY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413" s="3" t="e">
        <f ca="1">_xll.BDH($C$403,"BS_ST_BORROW","FY 2016","FY 2016","Currency=INR","Period=FY","BEST_FPERIOD_OVERRIDE=FY","FILING_STATUS=OR","EQY_CONSOLIDATED=Y","SCALING_FORMAT=MLN","Sort=A","Dates=H","DateFormat=P","Fill=—","Direction=H","UseDPDF=Y")</f>
        <v>#NAME?</v>
      </c>
      <c r="CA413" s="3" t="e">
        <f ca="1">_xll.BDH($C$403,"BS_LT_BORROW","FY 2016","FY 2016","Currency=INR","Period=FY","BEST_FPERIOD_OVERRIDE=FY","FILING_STATUS=OR","EQY_CONSOLIDATED=Y","SCALING_FORMAT=MLN","Sort=A","Dates=H","DateFormat=P","Fill=—","Direction=H","UseDPDF=Y")</f>
        <v>#NAME?</v>
      </c>
      <c r="CB413" s="2" t="e">
        <f ca="1">_xll.BDH($C$403,"TOT_DEBT_TO_EBITDA","FY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413" s="2" t="e">
        <f ca="1">_xll.BDH($C$403,"NET_DEBT_TO_EBITDA","FY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413" s="2" t="e">
        <f ca="1">_xll.BDH($C$403,"TOTAL_DEBT_TO_EBIT","FY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413" s="2" t="e">
        <f ca="1">_xll.BDH($C$403,"NET_DEBT_TO_EBIT","FY 2016","FY 2016","Currency=INR","Period=FY","BEST_FPERIOD_OVERRIDE=FY","FILING_STATUS=OR","EQY_CONSOLIDATED=Y","FA_ADJUSTED=GAAP","Sort=A","Dates=H","DateFormat=P","Fill=—","Direction=H","UseDPDF=Y")</f>
        <v>#NAME?</v>
      </c>
      <c r="CF413" s="2" t="e">
        <f ca="1">_xll.BDH($C$403,"EBITDA_TO_INTEREST_EXPN","FY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413" s="2" t="e">
        <f ca="1">_xll.BDH($C$403,"COM_EQY_TO_TOT_ASSET","FY 2016","FY 2016","Currency=INR","Period=FY","BEST_FPERIOD_OVERRIDE=FY","FILING_STATUS=OR","EQY_CONSOLIDATED=Y","Sort=A","Dates=H","DateFormat=P","Fill=—","Direction=H","UseDPDF=Y")</f>
        <v>#NAME?</v>
      </c>
      <c r="CH413" s="2" t="e">
        <f ca="1">_xll.BDH($C$403,"LT_DEBT_TO_TOT_EQY","FY 2016","FY 2016","Currency=INR","Period=FY","BEST_FPERIOD_OVERRIDE=FY","FILING_STATUS=OR","EQY_CONSOLIDATED=Y","Sort=A","Dates=H","DateFormat=P","Fill=—","Direction=H","UseDPDF=Y")</f>
        <v>#NAME?</v>
      </c>
      <c r="CI413" s="2" t="e">
        <f ca="1">_xll.BDH($C$403,"LT_DEBT_TO_TOT_CAP","FY 2016","FY 2016","Currency=INR","Period=FY","BEST_FPERIOD_OVERRIDE=FY","FILING_STATUS=OR","EQY_CONSOLIDATED=Y","Sort=A","Dates=H","DateFormat=P","Fill=—","Direction=H","UseDPDF=Y")</f>
        <v>#NAME?</v>
      </c>
      <c r="CJ413" s="2" t="e">
        <f ca="1">_xll.BDH($C$403,"LT_DEBT_TO_TOT_ASSET","FY 2016","FY 2016","Currency=INR","Period=FY","BEST_FPERIOD_OVERRIDE=FY","FILING_STATUS=OR","EQY_CONSOLIDATED=Y","Sort=A","Dates=H","DateFormat=P","Fill=—","Direction=H","UseDPDF=Y")</f>
        <v>#NAME?</v>
      </c>
      <c r="CK413" s="2" t="e">
        <f ca="1">_xll.BDH($C$403,"TOT_DEBT_TO_TOT_EQY","FY 2016","FY 2016","Currency=INR","Period=FY","BEST_FPERIOD_OVERRIDE=FY","FILING_STATUS=OR","EQY_CONSOLIDATED=Y","Sort=A","Dates=H","DateFormat=P","Fill=—","Direction=H","UseDPDF=Y")</f>
        <v>#NAME?</v>
      </c>
      <c r="CL413" s="2" t="e">
        <f ca="1">_xll.BDH($C$403,"TOT_DEBT_TO_TOT_CAP","FY 2016","FY 2016","Currency=INR","Period=FY","BEST_FPERIOD_OVERRIDE=FY","FILING_STATUS=OR","EQY_CONSOLIDATED=Y","Sort=A","Dates=H","DateFormat=P","Fill=—","Direction=H","UseDPDF=Y")</f>
        <v>#NAME?</v>
      </c>
      <c r="CM413" s="2" t="e">
        <f ca="1">_xll.BDH($C$403,"TOT_DEBT_TO_TOT_ASSET","FY 2016","FY 2016","Currency=INR","Period=FY","BEST_FPERIOD_OVERRIDE=FY","FILING_STATUS=OR","EQY_CONSOLIDATED=Y","Sort=A","Dates=H","DateFormat=P","Fill=—","Direction=H","UseDPDF=Y")</f>
        <v>#NAME?</v>
      </c>
      <c r="CN413" s="2" t="e">
        <f ca="1">_xll.BDH($C$403,"NET_DEBT_TO_SHRHLDR_EQTY","FY 2016","FY 2016","Currency=INR","Period=FY","BEST_FPERIOD_OVERRIDE=FY","FILING_STATUS=OR","EQY_CONSOLIDATED=Y","Sort=A","Dates=H","DateFormat=P","Fill=—","Direction=H","UseDPDF=Y")</f>
        <v>#NAME?</v>
      </c>
      <c r="CO413" s="2" t="e">
        <f ca="1">_xll.BDH($C$403,"NET_DEBT_%_CAPITAL","FY 2016","FY 2016","Currency=INR","Period=FY","BEST_FPERIOD_OVERRIDE=FY","FILING_STATUS=OR","EQY_CONSOLIDATED=Y","Sort=A","Dates=H","DateFormat=P","Fill=—","Direction=H","UseDPDF=Y")</f>
        <v>#NAME?</v>
      </c>
      <c r="CP413" s="3" t="e">
        <f ca="1">_xll.BDH($C$403,"EBITDA","FY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413" s="3" t="e">
        <f ca="1">_xll.BDH($C$403,"EBITDA_AFTER_CAPEX","FY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413" s="3" t="e">
        <f ca="1">_xll.BDH($C$403,"IS_OPER_INC","FY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413" s="2" t="e">
        <f ca="1">_xll.BDH($C$403,"CASH_RATIO","FY 2016","FY 2016","Currency=INR","Period=FY","BEST_FPERIOD_OVERRIDE=FY","FILING_STATUS=OR","EQY_CONSOLIDATED=Y","Sort=A","Dates=H","DateFormat=P","Fill=—","Direction=H","UseDPDF=Y")</f>
        <v>#NAME?</v>
      </c>
      <c r="CT413" s="2" t="e">
        <f ca="1">_xll.BDH($C$403,"CUR_RATIO","FY 2016","FY 2016","Currency=INR","Period=FY","BEST_FPERIOD_OVERRIDE=FY","FILING_STATUS=OR","EQY_CONSOLIDATED=Y","Sort=A","Dates=H","DateFormat=P","Fill=—","Direction=H","UseDPDF=Y")</f>
        <v>#NAME?</v>
      </c>
      <c r="CU413" s="2" t="e">
        <f ca="1">_xll.BDH($C$403,"QUICK_RATIO","FY 2016","FY 2016","Currency=INR","Period=FY","BEST_FPERIOD_OVERRIDE=FY","FILING_STATUS=OR","EQY_CONSOLIDATED=Y","Sort=A","Dates=H","DateFormat=P","Fill=—","Direction=H","UseDPDF=Y")</f>
        <v>#NAME?</v>
      </c>
      <c r="CV413" s="2" t="e">
        <f ca="1">_xll.BDH($C$403,"ALTMAN_Z_SCORE","FY 2016","FY 2016","Currency=INR","Period=FY","BEST_FPERIOD_OVERRIDE=FY","FILING_STATUS=OR","EQY_CONSOLIDATED=Y","Sort=A","Dates=H","DateFormat=P","Fill=—","Direction=H","UseDPDF=Y")</f>
        <v>#NAME?</v>
      </c>
      <c r="CW413" s="4" t="e">
        <f ca="1">_xll.BDH($C$403,"ACCT_RCV_TURN","FY 2016","FY 2016","Currency=INR","Period=FY","BEST_FPERIOD_OVERRIDE=FY","FILING_STATUS=OR","EQY_CONSOLIDATED=Y","FA_ADJUSTED=GAAP","Sort=A","Dates=H","DateFormat=P","Fill=—","Direction=H","UseDPDF=Y")</f>
        <v>#NAME?</v>
      </c>
      <c r="CX413" s="2" t="e">
        <f ca="1">_xll.BDH($C$403,"ACCT_RCV_DAYS","FY 2016","FY 2016","Currency=INR","Period=FY","BEST_FPERIOD_OVERRIDE=FY","FILING_STATUS=OR","EQY_CONSOLIDATED=Y","FA_ADJUSTED=GAAP","Sort=A","Dates=H","DateFormat=P","Fill=—","Direction=H","UseDPDF=Y")</f>
        <v>#NAME?</v>
      </c>
      <c r="CY413" s="4" t="e">
        <f ca="1">_xll.BDH($C$403,"INVENT_TURN","FY 2016","FY 2016","Currency=INR","Period=FY","BEST_FPERIOD_OVERRIDE=FY","FILING_STATUS=OR","EQY_CONSOLIDATED=Y","FA_ADJUSTED=GAAP","Sort=A","Dates=H","DateFormat=P","Fill=—","Direction=H","UseDPDF=Y")</f>
        <v>#NAME?</v>
      </c>
      <c r="CZ413" s="2" t="e">
        <f ca="1">_xll.BDH($C$403,"INVENT_DAYS","FY 2016","FY 2016","Currency=INR","Period=FY","BEST_FPERIOD_OVERRIDE=FY","FILING_STATUS=OR","EQY_CONSOLIDATED=Y","FA_ADJUSTED=GAAP","Sort=A","Dates=H","DateFormat=P","Fill=—","Direction=H","UseDPDF=Y")</f>
        <v>#NAME?</v>
      </c>
      <c r="DA413" s="4" t="e">
        <f ca="1">_xll.BDH($C$403,"ACCOUNTS_PAYABLE_TURNOVER","FY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413" s="2" t="e">
        <f ca="1">_xll.BDH($C$403,"ACCOUNTS_PAYABLE_TURNOVER_DAYS","FY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413" s="4" t="e">
        <f ca="1">_xll.BDH($C$403,"CASH_CONVERSION_CYCLE","FY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413" s="4" t="e">
        <f ca="1">_xll.BDH($C$403,"INV_TO_CASH_DAYS","FY 2016","FY 2016","Currency=INR","Period=FY","BEST_FPERIOD_OVERRIDE=FY","FILING_STATUS=OR","EQY_CONSOLIDATED=Y","FA_ADJUSTED=GAAP","Sort=A","Dates=H","DateFormat=P","Fill=—","Direction=H","UseDPDF=Y")</f>
        <v>#NAME?</v>
      </c>
      <c r="DE413" s="5" t="e">
        <f ca="1">_xll.BDH($C$403,"BS_INVENTORIES","FY 2016","FY 2016","Currency=INR","Period=FY","BEST_FPERIOD_OVERRIDE=FY","FILING_STATUS=OR","EQY_CONSOLIDATED=Y","SCALING_FORMAT=MLN","Sort=A","Dates=H","DateFormat=P","Fill=—","Direction=H","UseDPDF=Y")</f>
        <v>#NAME?</v>
      </c>
      <c r="DF413" s="3" t="e">
        <f ca="1">_xll.BDH($C$403,"INVTRY_RAW_MATERIALS","FY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413" s="3" t="e">
        <f ca="1">_xll.BDH($C$403,"INVTRY_IN_PROGRESS","FY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413" s="3" t="e">
        <f ca="1">_xll.BDH($C$403,"INVTRY_FINISHED_GOODS","FY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413" s="3" t="e">
        <f ca="1">_xll.BDH($C$403,"BS_OTHER_INV","FY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414" spans="1:113" x14ac:dyDescent="0.3">
      <c r="A414" s="6"/>
      <c r="B414" s="6"/>
      <c r="C414" s="6"/>
      <c r="D414" s="6"/>
      <c r="E414" t="s">
        <v>78</v>
      </c>
      <c r="F414" t="e">
        <f ca="1">_xll.BDH($C$403,"RETURN_COM_EQY","FQ1 2016","FQ1 2016","Currency=INR","Period=FQ","BEST_FPERIOD_OVERRIDE=FQ","FILING_STATUS=OR","EQY_CONSOLIDATED=Y","FA_ADJUSTED=GAAP","Sort=A","Dates=H","DateFormat=P","Fill=—","Direction=H","UseDPDF=Y")</f>
        <v>#NAME?</v>
      </c>
      <c r="G414" t="e">
        <f ca="1">_xll.BDH($C$403,"RETURN_ON_ASSET","FQ1 2016","FQ1 2016","Currency=INR","Period=FQ","BEST_FPERIOD_OVERRIDE=FQ","FILING_STATUS=OR","EQY_CONSOLIDATED=Y","FA_ADJUSTED=GAAP","Sort=A","Dates=H","DateFormat=P","Fill=—","Direction=H","UseDPDF=Y")</f>
        <v>#NAME?</v>
      </c>
      <c r="H414" t="e">
        <f ca="1">_xll.BDH($C$403,"RETURN_ON_CAP","FQ1 2016","FQ1 2016","Currency=INR","Period=FQ","BEST_FPERIOD_OVERRIDE=FQ","FILING_STATUS=OR","EQY_CONSOLIDATED=Y","FA_ADJUSTED=GAAP","Sort=A","Dates=H","DateFormat=P","Fill=—","Direction=H","UseDPDF=Y")</f>
        <v>#NAME?</v>
      </c>
      <c r="I414" t="e">
        <f ca="1">_xll.BDH($C$403,"RETURN_ON_INV_CAPITAL","FQ1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414" t="e">
        <f ca="1">_xll.BDH($C$403,"EBITDA_TO_REVENUE","FQ1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414" t="e">
        <f ca="1">_xll.BDH($C$403,"OPER_MARGIN","FQ1 2016","FQ1 2016","Currency=INR","Period=FQ","BEST_FPERIOD_OVERRIDE=FQ","FILING_STATUS=OR","EQY_CONSOLIDATED=Y","FA_ADJUSTED=GAAP","Sort=A","Dates=H","DateFormat=P","Fill=—","Direction=H","UseDPDF=Y")</f>
        <v>#NAME?</v>
      </c>
      <c r="L414" t="e">
        <f ca="1">_xll.BDH($C$403,"INCREMENTAL_OPERATING_MARGIN","FQ1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414" t="e">
        <f ca="1">_xll.BDH($C$403,"PRETAX_INC_TO_NET_SALES","FQ1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414" t="e">
        <f ca="1">_xll.BDH($C$403,"INC_BEF_XO_ITEMS_TO_NET_SALES","FQ1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414" t="e">
        <f ca="1">_xll.BDH($C$403,"PROF_MARGIN","FQ1 2016","FQ1 2016","Currency=INR","Period=FQ","BEST_FPERIOD_OVERRIDE=FQ","FILING_STATUS=OR","EQY_CONSOLIDATED=Y","FA_ADJUSTED=GAAP","Sort=A","Dates=H","DateFormat=P","Fill=—","Direction=H","UseDPDF=Y")</f>
        <v>#NAME?</v>
      </c>
      <c r="P414" t="e">
        <f ca="1">_xll.BDH($C$403,"NET_INCOME_TO_COMMON_MARGIN","FQ1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414" t="e">
        <f ca="1">_xll.BDH($C$403,"EFF_TAX_RATE","FQ1 2016","FQ1 2016","Currency=INR","Period=FQ","BEST_FPERIOD_OVERRIDE=FQ","FILING_STATUS=OR","EQY_CONSOLIDATED=Y","FA_ADJUSTED=GAAP","Sort=A","Dates=H","DateFormat=P","Fill=—","Direction=H","UseDPDF=Y")</f>
        <v>#NAME?</v>
      </c>
      <c r="R414" t="e">
        <f ca="1">_xll.BDH($C$403,"DVD_PAYOUT_RATIO","FQ1 2016","FQ1 2016","Currency=INR","Period=FQ","BEST_FPERIOD_OVERRIDE=FQ","FILING_STATUS=OR","EQY_CONSOLIDATED=Y","FA_ADJUSTED=GAAP","Sort=A","Dates=H","DateFormat=P","Fill=—","Direction=H","UseDPDF=Y")</f>
        <v>#NAME?</v>
      </c>
      <c r="S414" t="e">
        <f ca="1">_xll.BDH($C$403,"SUSTAIN_GROWTH_RT","FQ1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414" s="2" t="e">
        <f ca="1">_xll.BDH($C$403,"SALES_GROWTH","FQ1 2016","FQ1 2016","Currency=INR","Period=FQ","BEST_FPERIOD_OVERRIDE=FQ","FILING_STATUS=OR","EQY_CONSOLIDATED=Y","FA_ADJUSTED=GAAP","Sort=A","Dates=H","DateFormat=P","Fill=—","Direction=H","UseDPDF=Y")</f>
        <v>#NAME?</v>
      </c>
      <c r="U414" s="2" t="e">
        <f ca="1">_xll.BDH($C$403,"EBITDA_GROWTH","FQ1 2016","FQ1 2016","Currency=INR","Period=FQ","BEST_FPERIOD_OVERRIDE=FQ","FILING_STATUS=OR","EQY_CONSOLIDATED=Y","FA_ADJUSTED=GAAP","Sort=A","Dates=H","DateFormat=P","Fill=—","Direction=H","UseDPDF=Y")</f>
        <v>#NAME?</v>
      </c>
      <c r="V414" s="2" t="e">
        <f ca="1">_xll.BDH($C$403,"OPER_INC_GROWTH","FQ1 2016","FQ1 2016","Currency=INR","Period=FQ","BEST_FPERIOD_OVERRIDE=FQ","FILING_STATUS=OR","EQY_CONSOLIDATED=Y","FA_ADJUSTED=GAAP","Sort=A","Dates=H","DateFormat=P","Fill=—","Direction=H","UseDPDF=Y")</f>
        <v>#NAME?</v>
      </c>
      <c r="W414" s="2" t="e">
        <f ca="1">_xll.BDH($C$403,"EARN_FOR_COM_GROWTH","FQ1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414" s="2" t="e">
        <f ca="1">_xll.BDH($C$403,"DILUTED_EPS_AFT_XO_ITEMS_GROWTH","FQ1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414" s="2" t="e">
        <f ca="1">_xll.BDH($C$403,"DIVIDEND_PER_SHARE_1_YEAR_GROWTH","FQ1 2016","FQ1 2016","Currency=INR","Period=FQ","BEST_FPERIOD_OVERRIDE=FQ","FILING_STATUS=OR","EQY_CONSOLIDATED=Y","Sort=A","Dates=H","DateFormat=P","Fill=—","Direction=H","UseDPDF=Y")</f>
        <v>#NAME?</v>
      </c>
      <c r="Z414" s="2" t="e">
        <f ca="1">_xll.BDH($C$403,"ACCOUNTS_RECEIVABLE_GROWTH","FQ1 2016","FQ1 2016","Currency=INR","Period=FQ","BEST_FPERIOD_OVERRIDE=FQ","FILING_STATUS=OR","EQY_CONSOLIDATED=Y","Sort=A","Dates=H","DateFormat=P","Fill=—","Direction=H","UseDPDF=Y")</f>
        <v>#NAME?</v>
      </c>
      <c r="AA414" s="2" t="e">
        <f ca="1">_xll.BDH($C$403,"INVENTORY_GROWTH","FQ1 2016","FQ1 2016","Currency=INR","Period=FQ","BEST_FPERIOD_OVERRIDE=FQ","FILING_STATUS=OR","EQY_CONSOLIDATED=Y","Sort=A","Dates=H","DateFormat=P","Fill=—","Direction=H","UseDPDF=Y")</f>
        <v>#NAME?</v>
      </c>
      <c r="AB414" s="2" t="e">
        <f ca="1">_xll.BDH($C$403,"NET_FIXED_ASSETS_1_YEAR_GROWTH","FQ1 2016","FQ1 2016","Currency=INR","Period=FQ","BEST_FPERIOD_OVERRIDE=FQ","FILING_STATUS=OR","EQY_CONSOLIDATED=Y","Sort=A","Dates=H","DateFormat=P","Fill=—","Direction=H","UseDPDF=Y")</f>
        <v>#NAME?</v>
      </c>
      <c r="AC414" s="2" t="e">
        <f ca="1">_xll.BDH($C$403,"ASSET_GROWTH","FQ1 2016","FQ1 2016","Currency=INR","Period=FQ","BEST_FPERIOD_OVERRIDE=FQ","FILING_STATUS=OR","EQY_CONSOLIDATED=Y","Sort=A","Dates=H","DateFormat=P","Fill=—","Direction=H","UseDPDF=Y")</f>
        <v>#NAME?</v>
      </c>
      <c r="AD414" s="2" t="e">
        <f ca="1">_xll.BDH($C$403,"MODIFIED_WORK_CAP_GROWTH","FQ1 2016","FQ1 2016","Currency=INR","Period=FQ","BEST_FPERIOD_OVERRIDE=FQ","FILING_STATUS=OR","EQY_CONSOLIDATED=Y","Sort=A","Dates=H","DateFormat=P","Fill=—","Direction=H","UseDPDF=Y")</f>
        <v>#NAME?</v>
      </c>
      <c r="AE414" s="2" t="e">
        <f ca="1">_xll.BDH($C$403,"WORK_CAP_GROWTH","FQ1 2016","FQ1 2016","Currency=INR","Period=FQ","BEST_FPERIOD_OVERRIDE=FQ","FILING_STATUS=OR","EQY_CONSOLIDATED=Y","Sort=A","Dates=H","DateFormat=P","Fill=—","Direction=H","UseDPDF=Y")</f>
        <v>#NAME?</v>
      </c>
      <c r="AF414" s="2" t="e">
        <f ca="1">_xll.BDH($C$403,"ACCOUNTS_PAYABLE_GROWTH_1YR","FQ1 2016","FQ1 2016","Currency=INR","Period=FQ","BEST_FPERIOD_OVERRIDE=FQ","FILING_STATUS=OR","EQY_CONSOLIDATED=Y","Sort=A","Dates=H","DateFormat=P","Fill=—","Direction=H","UseDPDF=Y")</f>
        <v>#NAME?</v>
      </c>
      <c r="AG414" s="2" t="e">
        <f ca="1">_xll.BDH($C$403,"SHORT_TERM_DEBT_1_YEAR_GROWTH","FQ1 2016","FQ1 2016","Currency=INR","Period=FQ","BEST_FPERIOD_OVERRIDE=FQ","FILING_STATUS=OR","EQY_CONSOLIDATED=Y","Sort=A","Dates=H","DateFormat=P","Fill=—","Direction=H","UseDPDF=Y")</f>
        <v>#NAME?</v>
      </c>
      <c r="AH414" s="2" t="e">
        <f ca="1">_xll.BDH($C$403,"TOTAL_DEBT_1_YEAR_GROWTH","FQ1 2016","FQ1 2016","Currency=INR","Period=FQ","BEST_FPERIOD_OVERRIDE=FQ","FILING_STATUS=OR","EQY_CONSOLIDATED=Y","Sort=A","Dates=H","DateFormat=P","Fill=—","Direction=H","UseDPDF=Y")</f>
        <v>#NAME?</v>
      </c>
      <c r="AI414" s="2" t="e">
        <f ca="1">_xll.BDH($C$403,"TOTAL_EQUITY_1_YEAR_GROWTH","FQ1 2016","FQ1 2016","Currency=INR","Period=FQ","BEST_FPERIOD_OVERRIDE=FQ","FILING_STATUS=OR","EQY_CONSOLIDATED=Y","Sort=A","Dates=H","DateFormat=P","Fill=—","Direction=H","UseDPDF=Y")</f>
        <v>#NAME?</v>
      </c>
      <c r="AJ414" s="2" t="e">
        <f ca="1">_xll.BDH($C$403,"GROWTH_IN_CAP","FQ1 2016","FQ1 2016","Currency=INR","Period=FQ","BEST_FPERIOD_OVERRIDE=FQ","FILING_STATUS=OR","EQY_CONSOLIDATED=Y","Sort=A","Dates=H","DateFormat=P","Fill=—","Direction=H","UseDPDF=Y")</f>
        <v>#NAME?</v>
      </c>
      <c r="AK414" s="2" t="e">
        <f ca="1">_xll.BDH($C$403,"BVPS_GROWTH","FQ1 2016","FQ1 2016","Currency=INR","Period=FQ","BEST_FPERIOD_OVERRIDE=FQ","FILING_STATUS=OR","EQY_CONSOLIDATED=Y","Sort=A","Dates=H","DateFormat=P","Fill=—","Direction=H","UseDPDF=Y")</f>
        <v>#NAME?</v>
      </c>
      <c r="AL414" s="2" t="e">
        <f ca="1">_xll.BDH($C$403,"CASH_FLOW_GROWTH","FQ1 2016","FQ1 2016","Currency=INR","Period=FQ","BEST_FPERIOD_OVERRIDE=FQ","FILING_STATUS=OR","EQY_CONSOLIDATED=Y","Sort=A","Dates=H","DateFormat=P","Fill=—","Direction=H","UseDPDF=Y")</f>
        <v>#NAME?</v>
      </c>
      <c r="AM414" s="2" t="e">
        <f ca="1">_xll.BDH($C$403,"GEO_GROW_NET_SALES","FQ1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414" s="2" t="e">
        <f ca="1">_xll.BDH($C$403,"GEO_GROW_EBITDA","FQ1 2016","FQ1 2016","Currency=INR","Period=FQ","BEST_FPERIOD_OVERRIDE=FQ","FILING_STATUS=OR","EQY_CONSOLIDATED=Y","FA_ADJUSTED=GAAP","Sort=A","Dates=H","DateFormat=P","Fill=—","Direction=H","UseDPDF=Y")</f>
        <v>#NAME?</v>
      </c>
      <c r="AO414" s="2" t="e">
        <f ca="1">_xll.BDH($C$403,"GEO_GROW_OPER_INC","FQ1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414" s="2" t="e">
        <f ca="1">_xll.BDH($C$403,"NET_INCOME_TO_COMMON_5_YR_GROWTH","FQ1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414" s="2" t="e">
        <f ca="1">_xll.BDH($C$403,"5Y_GEO_GROWTH_DILUTED_EPS","FQ1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414" s="2" t="e">
        <f ca="1">_xll.BDH($C$403,"GEO_GROW_DVD_PER_SH","FQ1 2016","FQ1 2016","Currency=INR","Period=FQ","BEST_FPERIOD_OVERRIDE=FQ","FILING_STATUS=OR","EQY_CONSOLIDATED=Y","Sort=A","Dates=H","DateFormat=P","Fill=—","Direction=H","UseDPDF=Y")</f>
        <v>#NAME?</v>
      </c>
      <c r="AS414" s="2" t="e">
        <f ca="1">_xll.BDH($C$403,"ACCOUNTS_RECEIVABLE_5_YR_GROWTH","FQ1 2016","FQ1 2016","Currency=INR","Period=FQ","BEST_FPERIOD_OVERRIDE=FQ","FILING_STATUS=OR","EQY_CONSOLIDATED=Y","Sort=A","Dates=H","DateFormat=P","Fill=—","Direction=H","UseDPDF=Y")</f>
        <v>#NAME?</v>
      </c>
      <c r="AT414" s="2" t="e">
        <f ca="1">_xll.BDH($C$403,"INVENTORY_5_YEAR_GROWTH","FQ1 2016","FQ1 2016","Currency=INR","Period=FQ","BEST_FPERIOD_OVERRIDE=FQ","FILING_STATUS=OR","EQY_CONSOLIDATED=Y","Sort=A","Dates=H","DateFormat=P","Fill=—","Direction=H","UseDPDF=Y")</f>
        <v>#NAME?</v>
      </c>
      <c r="AU414" s="2" t="e">
        <f ca="1">_xll.BDH($C$403,"NET_FIXED_ASSETS_5_YEAR_GROWTH","FQ1 2016","FQ1 2016","Currency=INR","Period=FQ","BEST_FPERIOD_OVERRIDE=FQ","FILING_STATUS=OR","EQY_CONSOLIDATED=Y","Sort=A","Dates=H","DateFormat=P","Fill=—","Direction=H","UseDPDF=Y")</f>
        <v>#NAME?</v>
      </c>
      <c r="AV414" s="2" t="e">
        <f ca="1">_xll.BDH($C$403,"GEO_GROW_TOT_ASSET","FQ1 2016","FQ1 2016","Currency=INR","Period=FQ","BEST_FPERIOD_OVERRIDE=FQ","FILING_STATUS=OR","EQY_CONSOLIDATED=Y","Sort=A","Dates=H","DateFormat=P","Fill=—","Direction=H","UseDPDF=Y")</f>
        <v>#NAME?</v>
      </c>
      <c r="AW414" s="2" t="e">
        <f ca="1">_xll.BDH($C$403,"MODIFIED_WORKING_CPTL_5YR_GRWTH","FQ1 2016","FQ1 2016","Currency=INR","Period=FQ","BEST_FPERIOD_OVERRIDE=FQ","FILING_STATUS=OR","EQY_CONSOLIDATED=Y","Sort=A","Dates=H","DateFormat=P","Fill=—","Direction=H","UseDPDF=Y")</f>
        <v>#NAME?</v>
      </c>
      <c r="AX414" s="2" t="e">
        <f ca="1">_xll.BDH($C$403,"WORKING_CAPITAL_5_YEAR_GROWTH","FQ1 2016","FQ1 2016","Currency=INR","Period=FQ","BEST_FPERIOD_OVERRIDE=FQ","FILING_STATUS=OR","EQY_CONSOLIDATED=Y","Sort=A","Dates=H","DateFormat=P","Fill=—","Direction=H","UseDPDF=Y")</f>
        <v>#NAME?</v>
      </c>
      <c r="AY414" s="2" t="e">
        <f ca="1">_xll.BDH($C$403,"ACCOUNTS_PAYABLE_5_YEAR_GROWTH","FQ1 2016","FQ1 2016","Currency=INR","Period=FQ","BEST_FPERIOD_OVERRIDE=FQ","FILING_STATUS=OR","EQY_CONSOLIDATED=Y","Sort=A","Dates=H","DateFormat=P","Fill=—","Direction=H","UseDPDF=Y")</f>
        <v>#NAME?</v>
      </c>
      <c r="AZ414" s="2" t="e">
        <f ca="1">_xll.BDH($C$403,"SHORT_TERM_DEBT_5_YEAR_GROWTH","FQ1 2016","FQ1 2016","Currency=INR","Period=FQ","BEST_FPERIOD_OVERRIDE=FQ","FILING_STATUS=OR","EQY_CONSOLIDATED=Y","Sort=A","Dates=H","DateFormat=P","Fill=—","Direction=H","UseDPDF=Y")</f>
        <v>#NAME?</v>
      </c>
      <c r="BA414" s="2" t="e">
        <f ca="1">_xll.BDH($C$403,"TOTAL_DEBT_5_YEAR_GROWTH","FQ1 2016","FQ1 2016","Currency=INR","Period=FQ","BEST_FPERIOD_OVERRIDE=FQ","FILING_STATUS=OR","EQY_CONSOLIDATED=Y","Sort=A","Dates=H","DateFormat=P","Fill=—","Direction=H","UseDPDF=Y")</f>
        <v>#NAME?</v>
      </c>
      <c r="BB414" s="2" t="e">
        <f ca="1">_xll.BDH($C$403,"GEO_GROW_TOT_SHRHLDR_EQY","FQ1 2016","FQ1 2016","Currency=INR","Period=FQ","BEST_FPERIOD_OVERRIDE=FQ","FILING_STATUS=OR","EQY_CONSOLIDATED=Y","Sort=A","Dates=H","DateFormat=P","Fill=—","Direction=H","UseDPDF=Y")</f>
        <v>#NAME?</v>
      </c>
      <c r="BC414" s="2" t="e">
        <f ca="1">_xll.BDH($C$403,"TOTAL_CAPITAL_5_YEAR_GROWTH","FQ1 2016","FQ1 2016","Currency=INR","Period=FQ","BEST_FPERIOD_OVERRIDE=FQ","FILING_STATUS=OR","EQY_CONSOLIDATED=Y","Sort=A","Dates=H","DateFormat=P","Fill=—","Direction=H","UseDPDF=Y")</f>
        <v>#NAME?</v>
      </c>
      <c r="BD414" s="2" t="e">
        <f ca="1">_xll.BDH($C$403,"GEO_GROW_BOOK_VAL","FQ1 2016","FQ1 2016","Currency=INR","Period=FQ","BEST_FPERIOD_OVERRIDE=FQ","FILING_STATUS=OR","EQY_CONSOLIDATED=Y","Sort=A","Dates=H","DateFormat=P","Fill=—","Direction=H","UseDPDF=Y")</f>
        <v>#NAME?</v>
      </c>
      <c r="BE414" s="2" t="e">
        <f ca="1">_xll.BDH($C$403,"GEO_GROW_CASH_OPER_ACT","FQ1 2016","FQ1 2016","Currency=INR","Period=FQ","BEST_FPERIOD_OVERRIDE=FQ","FILING_STATUS=OR","EQY_CONSOLIDATED=Y","Sort=A","Dates=H","DateFormat=P","Fill=—","Direction=H","UseDPDF=Y")</f>
        <v>#NAME?</v>
      </c>
      <c r="BF414" s="2" t="e">
        <f ca="1">_xll.BDH($C$403,"REVENUE_SEQUENTIAL_GROWTH","FQ1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414" s="2" t="e">
        <f ca="1">_xll.BDH($C$403,"EBITDA_SEQUENTIAL_GROWTH","FQ1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414" s="2" t="e">
        <f ca="1">_xll.BDH($C$403,"OPERATING_INCOME_SEQ_GROWTH","FQ1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414" s="2" t="e">
        <f ca="1">_xll.BDH($C$403,"NET_INCOME_TO_COMMON_SEQ_GROWTH","FQ1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414" s="2" t="e">
        <f ca="1">_xll.BDH($C$403,"EPS_DILUTED_SEQUENTIAL_GROWTH","FQ1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414" s="2" t="e">
        <f ca="1">_xll.BDH($C$403,"DPS_SEQUENTIAL_GROWTH","FQ1 2016","FQ1 2016","Currency=INR","Period=FQ","BEST_FPERIOD_OVERRIDE=FQ","FILING_STATUS=OR","EQY_CONSOLIDATED=Y","Sort=A","Dates=H","DateFormat=P","Fill=—","Direction=H","UseDPDF=Y")</f>
        <v>#NAME?</v>
      </c>
      <c r="BL414" s="2" t="e">
        <f ca="1">_xll.BDH($C$403,"ACCOUNTS_RECEIVABLE_SEQ_GROWTH","FQ1 2016","FQ1 2016","Currency=INR","Period=FQ","BEST_FPERIOD_OVERRIDE=FQ","FILING_STATUS=OR","EQY_CONSOLIDATED=Y","Sort=A","Dates=H","DateFormat=P","Fill=—","Direction=H","UseDPDF=Y")</f>
        <v>#NAME?</v>
      </c>
      <c r="BM414" s="2" t="e">
        <f ca="1">_xll.BDH($C$403,"INVENTORY_SEQUENTIAL_GROWTH","FQ1 2016","FQ1 2016","Currency=INR","Period=FQ","BEST_FPERIOD_OVERRIDE=FQ","FILING_STATUS=OR","EQY_CONSOLIDATED=Y","Sort=A","Dates=H","DateFormat=P","Fill=—","Direction=H","UseDPDF=Y")</f>
        <v>#NAME?</v>
      </c>
      <c r="BN414" s="2" t="e">
        <f ca="1">_xll.BDH($C$403,"FIXED_ASSETS_SEQUENTIAL_GROWTH","FQ1 2016","FQ1 2016","Currency=INR","Period=FQ","BEST_FPERIOD_OVERRIDE=FQ","FILING_STATUS=OR","EQY_CONSOLIDATED=Y","Sort=A","Dates=H","DateFormat=P","Fill=—","Direction=H","UseDPDF=Y")</f>
        <v>#NAME?</v>
      </c>
      <c r="BO414" s="2" t="e">
        <f ca="1">_xll.BDH($C$403,"TOTAL_ASSETS_SEQUENTIAL_GROWTH","FQ1 2016","FQ1 2016","Currency=INR","Period=FQ","BEST_FPERIOD_OVERRIDE=FQ","FILING_STATUS=OR","EQY_CONSOLIDATED=Y","Sort=A","Dates=H","DateFormat=P","Fill=—","Direction=H","UseDPDF=Y")</f>
        <v>#NAME?</v>
      </c>
      <c r="BP414" s="2" t="e">
        <f ca="1">_xll.BDH($C$403,"MODIFIED_WORKING_CPTL_SEQ_GRWTH","FQ1 2016","FQ1 2016","Currency=INR","Period=FQ","BEST_FPERIOD_OVERRIDE=FQ","FILING_STATUS=OR","EQY_CONSOLIDATED=Y","Sort=A","Dates=H","DateFormat=P","Fill=—","Direction=H","UseDPDF=Y")</f>
        <v>#NAME?</v>
      </c>
      <c r="BQ414" s="2" t="e">
        <f ca="1">_xll.BDH($C$403,"WORKING_CAPITAL_SEQ_GROWTH","FQ1 2016","FQ1 2016","Currency=INR","Period=FQ","BEST_FPERIOD_OVERRIDE=FQ","FILING_STATUS=OR","EQY_CONSOLIDATED=Y","Sort=A","Dates=H","DateFormat=P","Fill=—","Direction=H","UseDPDF=Y")</f>
        <v>#NAME?</v>
      </c>
      <c r="BR414" s="2" t="e">
        <f ca="1">_xll.BDH($C$403,"ACCOUNTS_PAYABLE_SEQ_GROWTH","FQ1 2016","FQ1 2016","Currency=INR","Period=FQ","BEST_FPERIOD_OVERRIDE=FQ","FILING_STATUS=OR","EQY_CONSOLIDATED=Y","Sort=A","Dates=H","DateFormat=P","Fill=—","Direction=H","UseDPDF=Y")</f>
        <v>#NAME?</v>
      </c>
      <c r="BS414" s="2" t="e">
        <f ca="1">_xll.BDH($C$403,"ST_DEBT_SEQUENTIAL_GROWTH","FQ1 2016","FQ1 2016","Currency=INR","Period=FQ","BEST_FPERIOD_OVERRIDE=FQ","FILING_STATUS=OR","EQY_CONSOLIDATED=Y","Sort=A","Dates=H","DateFormat=P","Fill=—","Direction=H","UseDPDF=Y")</f>
        <v>#NAME?</v>
      </c>
      <c r="BT414" s="2" t="e">
        <f ca="1">_xll.BDH($C$403,"TOTAL_DEBT_SEQUENTIAL_GROWTH","FQ1 2016","FQ1 2016","Currency=INR","Period=FQ","BEST_FPERIOD_OVERRIDE=FQ","FILING_STATUS=OR","EQY_CONSOLIDATED=Y","Sort=A","Dates=H","DateFormat=P","Fill=—","Direction=H","UseDPDF=Y")</f>
        <v>#NAME?</v>
      </c>
      <c r="BU414" s="2" t="e">
        <f ca="1">_xll.BDH($C$403,"TOTAL_EQUITY_SEQUENTIAL_GROWTH","FQ1 2016","FQ1 2016","Currency=INR","Period=FQ","BEST_FPERIOD_OVERRIDE=FQ","FILING_STATUS=OR","EQY_CONSOLIDATED=Y","Sort=A","Dates=H","DateFormat=P","Fill=—","Direction=H","UseDPDF=Y")</f>
        <v>#NAME?</v>
      </c>
      <c r="BV414" s="2" t="e">
        <f ca="1">_xll.BDH($C$403,"TOTAL_CAPITAL_SEQUENTIAL_GROWTH","FQ1 2016","FQ1 2016","Currency=INR","Period=FQ","BEST_FPERIOD_OVERRIDE=FQ","FILING_STATUS=OR","EQY_CONSOLIDATED=Y","Sort=A","Dates=H","DateFormat=P","Fill=—","Direction=H","UseDPDF=Y")</f>
        <v>#NAME?</v>
      </c>
      <c r="BW414" s="2" t="e">
        <f ca="1">_xll.BDH($C$403,"BPS_SEQUENTIAL_GROWTH","FQ1 2016","FQ1 2016","Currency=INR","Period=FQ","BEST_FPERIOD_OVERRIDE=FQ","FILING_STATUS=OR","EQY_CONSOLIDATED=Y","Sort=A","Dates=H","DateFormat=P","Fill=—","Direction=H","UseDPDF=Y")</f>
        <v>#NAME?</v>
      </c>
      <c r="BX414" s="2" t="e">
        <f ca="1">_xll.BDH($C$403,"CFO_SEQUENTIAL_GROWTH","FQ1 2016","FQ1 2016","Currency=INR","Period=FQ","BEST_FPERIOD_OVERRIDE=FQ","FILING_STATUS=OR","EQY_CONSOLIDATED=Y","Sort=A","Dates=H","DateFormat=P","Fill=—","Direction=H","UseDPDF=Y")</f>
        <v>#NAME?</v>
      </c>
      <c r="BY414" s="3" t="e">
        <f ca="1">_xll.BDH($C$403,"SHORT_AND_LONG_TERM_DEBT","FQ1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414" s="3" t="e">
        <f ca="1">_xll.BDH($C$403,"BS_ST_BORROW","FQ1 2016","FQ1 2016","Currency=INR","Period=FQ","BEST_FPERIOD_OVERRIDE=FQ","FILING_STATUS=OR","EQY_CONSOLIDATED=Y","SCALING_FORMAT=MLN","Sort=A","Dates=H","DateFormat=P","Fill=—","Direction=H","UseDPDF=Y")</f>
        <v>#NAME?</v>
      </c>
      <c r="CA414" s="3" t="e">
        <f ca="1">_xll.BDH($C$403,"BS_LT_BORROW","FQ1 2016","FQ1 2016","Currency=INR","Period=FQ","BEST_FPERIOD_OVERRIDE=FQ","FILING_STATUS=OR","EQY_CONSOLIDATED=Y","SCALING_FORMAT=MLN","Sort=A","Dates=H","DateFormat=P","Fill=—","Direction=H","UseDPDF=Y")</f>
        <v>#NAME?</v>
      </c>
      <c r="CB414" s="2" t="e">
        <f ca="1">_xll.BDH($C$403,"TOT_DEBT_TO_EBITDA","FQ1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414" s="2" t="e">
        <f ca="1">_xll.BDH($C$403,"NET_DEBT_TO_EBITDA","FQ1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414" s="2" t="e">
        <f ca="1">_xll.BDH($C$403,"TOTAL_DEBT_TO_EBIT","FQ1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414" s="2" t="e">
        <f ca="1">_xll.BDH($C$403,"NET_DEBT_TO_EBIT","FQ1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414" s="2" t="e">
        <f ca="1">_xll.BDH($C$403,"EBITDA_TO_INTEREST_EXPN","FQ1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414" s="2" t="e">
        <f ca="1">_xll.BDH($C$403,"COM_EQY_TO_TOT_ASSET","FQ1 2016","FQ1 2016","Currency=INR","Period=FQ","BEST_FPERIOD_OVERRIDE=FQ","FILING_STATUS=OR","EQY_CONSOLIDATED=Y","Sort=A","Dates=H","DateFormat=P","Fill=—","Direction=H","UseDPDF=Y")</f>
        <v>#NAME?</v>
      </c>
      <c r="CH414" s="2" t="e">
        <f ca="1">_xll.BDH($C$403,"LT_DEBT_TO_TOT_EQY","FQ1 2016","FQ1 2016","Currency=INR","Period=FQ","BEST_FPERIOD_OVERRIDE=FQ","FILING_STATUS=OR","EQY_CONSOLIDATED=Y","Sort=A","Dates=H","DateFormat=P","Fill=—","Direction=H","UseDPDF=Y")</f>
        <v>#NAME?</v>
      </c>
      <c r="CI414" s="2" t="e">
        <f ca="1">_xll.BDH($C$403,"LT_DEBT_TO_TOT_CAP","FQ1 2016","FQ1 2016","Currency=INR","Period=FQ","BEST_FPERIOD_OVERRIDE=FQ","FILING_STATUS=OR","EQY_CONSOLIDATED=Y","Sort=A","Dates=H","DateFormat=P","Fill=—","Direction=H","UseDPDF=Y")</f>
        <v>#NAME?</v>
      </c>
      <c r="CJ414" s="2" t="e">
        <f ca="1">_xll.BDH($C$403,"LT_DEBT_TO_TOT_ASSET","FQ1 2016","FQ1 2016","Currency=INR","Period=FQ","BEST_FPERIOD_OVERRIDE=FQ","FILING_STATUS=OR","EQY_CONSOLIDATED=Y","Sort=A","Dates=H","DateFormat=P","Fill=—","Direction=H","UseDPDF=Y")</f>
        <v>#NAME?</v>
      </c>
      <c r="CK414" s="2" t="e">
        <f ca="1">_xll.BDH($C$403,"TOT_DEBT_TO_TOT_EQY","FQ1 2016","FQ1 2016","Currency=INR","Period=FQ","BEST_FPERIOD_OVERRIDE=FQ","FILING_STATUS=OR","EQY_CONSOLIDATED=Y","Sort=A","Dates=H","DateFormat=P","Fill=—","Direction=H","UseDPDF=Y")</f>
        <v>#NAME?</v>
      </c>
      <c r="CL414" s="2" t="e">
        <f ca="1">_xll.BDH($C$403,"TOT_DEBT_TO_TOT_CAP","FQ1 2016","FQ1 2016","Currency=INR","Period=FQ","BEST_FPERIOD_OVERRIDE=FQ","FILING_STATUS=OR","EQY_CONSOLIDATED=Y","Sort=A","Dates=H","DateFormat=P","Fill=—","Direction=H","UseDPDF=Y")</f>
        <v>#NAME?</v>
      </c>
      <c r="CM414" s="2" t="e">
        <f ca="1">_xll.BDH($C$403,"TOT_DEBT_TO_TOT_ASSET","FQ1 2016","FQ1 2016","Currency=INR","Period=FQ","BEST_FPERIOD_OVERRIDE=FQ","FILING_STATUS=OR","EQY_CONSOLIDATED=Y","Sort=A","Dates=H","DateFormat=P","Fill=—","Direction=H","UseDPDF=Y")</f>
        <v>#NAME?</v>
      </c>
      <c r="CN414" s="2" t="e">
        <f ca="1">_xll.BDH($C$403,"NET_DEBT_TO_SHRHLDR_EQTY","FQ1 2016","FQ1 2016","Currency=INR","Period=FQ","BEST_FPERIOD_OVERRIDE=FQ","FILING_STATUS=OR","EQY_CONSOLIDATED=Y","Sort=A","Dates=H","DateFormat=P","Fill=—","Direction=H","UseDPDF=Y")</f>
        <v>#NAME?</v>
      </c>
      <c r="CO414" s="2" t="e">
        <f ca="1">_xll.BDH($C$403,"NET_DEBT_%_CAPITAL","FQ1 2016","FQ1 2016","Currency=INR","Period=FQ","BEST_FPERIOD_OVERRIDE=FQ","FILING_STATUS=OR","EQY_CONSOLIDATED=Y","Sort=A","Dates=H","DateFormat=P","Fill=—","Direction=H","UseDPDF=Y")</f>
        <v>#NAME?</v>
      </c>
      <c r="CP414" s="3" t="e">
        <f ca="1">_xll.BDH($C$403,"EBITDA","FQ1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414" s="3" t="e">
        <f ca="1">_xll.BDH($C$403,"EBITDA_AFTER_CAPEX","FQ1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414" s="3" t="e">
        <f ca="1">_xll.BDH($C$403,"IS_OPER_INC","FQ1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414" s="2" t="e">
        <f ca="1">_xll.BDH($C$403,"CASH_RATIO","FQ1 2016","FQ1 2016","Currency=INR","Period=FQ","BEST_FPERIOD_OVERRIDE=FQ","FILING_STATUS=OR","EQY_CONSOLIDATED=Y","Sort=A","Dates=H","DateFormat=P","Fill=—","Direction=H","UseDPDF=Y")</f>
        <v>#NAME?</v>
      </c>
      <c r="CT414" s="2" t="e">
        <f ca="1">_xll.BDH($C$403,"CUR_RATIO","FQ1 2016","FQ1 2016","Currency=INR","Period=FQ","BEST_FPERIOD_OVERRIDE=FQ","FILING_STATUS=OR","EQY_CONSOLIDATED=Y","Sort=A","Dates=H","DateFormat=P","Fill=—","Direction=H","UseDPDF=Y")</f>
        <v>#NAME?</v>
      </c>
      <c r="CU414" s="2" t="e">
        <f ca="1">_xll.BDH($C$403,"QUICK_RATIO","FQ1 2016","FQ1 2016","Currency=INR","Period=FQ","BEST_FPERIOD_OVERRIDE=FQ","FILING_STATUS=OR","EQY_CONSOLIDATED=Y","Sort=A","Dates=H","DateFormat=P","Fill=—","Direction=H","UseDPDF=Y")</f>
        <v>#NAME?</v>
      </c>
      <c r="CV414" s="2" t="e">
        <f ca="1">_xll.BDH($C$403,"ALTMAN_Z_SCORE","FQ1 2016","FQ1 2016","Currency=INR","Period=FQ","BEST_FPERIOD_OVERRIDE=FQ","FILING_STATUS=OR","EQY_CONSOLIDATED=Y","Sort=A","Dates=H","DateFormat=P","Fill=—","Direction=H","UseDPDF=Y")</f>
        <v>#NAME?</v>
      </c>
      <c r="CW414" s="4" t="e">
        <f ca="1">_xll.BDH($C$403,"ACCT_RCV_TURN","FQ1 2016","FQ1 2016","Currency=INR","Period=FQ","BEST_FPERIOD_OVERRIDE=FQ","FILING_STATUS=OR","EQY_CONSOLIDATED=Y","FA_ADJUSTED=GAAP","Sort=A","Dates=H","DateFormat=P","Fill=—","Direction=H","UseDPDF=Y")</f>
        <v>#NAME?</v>
      </c>
      <c r="CX414" s="2" t="e">
        <f ca="1">_xll.BDH($C$403,"ACCT_RCV_DAYS","FQ1 2016","FQ1 2016","Currency=INR","Period=FQ","BEST_FPERIOD_OVERRIDE=FQ","FILING_STATUS=OR","EQY_CONSOLIDATED=Y","FA_ADJUSTED=GAAP","Sort=A","Dates=H","DateFormat=P","Fill=—","Direction=H","UseDPDF=Y")</f>
        <v>#NAME?</v>
      </c>
      <c r="CY414" s="4" t="e">
        <f ca="1">_xll.BDH($C$403,"INVENT_TURN","FQ1 2016","FQ1 2016","Currency=INR","Period=FQ","BEST_FPERIOD_OVERRIDE=FQ","FILING_STATUS=OR","EQY_CONSOLIDATED=Y","FA_ADJUSTED=GAAP","Sort=A","Dates=H","DateFormat=P","Fill=—","Direction=H","UseDPDF=Y")</f>
        <v>#NAME?</v>
      </c>
      <c r="CZ414" s="2" t="e">
        <f ca="1">_xll.BDH($C$403,"INVENT_DAYS","FQ1 2016","FQ1 2016","Currency=INR","Period=FQ","BEST_FPERIOD_OVERRIDE=FQ","FILING_STATUS=OR","EQY_CONSOLIDATED=Y","FA_ADJUSTED=GAAP","Sort=A","Dates=H","DateFormat=P","Fill=—","Direction=H","UseDPDF=Y")</f>
        <v>#NAME?</v>
      </c>
      <c r="DA414" s="4" t="e">
        <f ca="1">_xll.BDH($C$403,"ACCOUNTS_PAYABLE_TURNOVER","FQ1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414" s="2" t="e">
        <f ca="1">_xll.BDH($C$403,"ACCOUNTS_PAYABLE_TURNOVER_DAYS","FQ1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414" s="4" t="e">
        <f ca="1">_xll.BDH($C$403,"CASH_CONVERSION_CYCLE","FQ1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414" s="4" t="e">
        <f ca="1">_xll.BDH($C$403,"INV_TO_CASH_DAYS","FQ1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414" s="5" t="e">
        <f ca="1">_xll.BDH($C$403,"BS_INVENTORIES","FQ1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414" s="3" t="e">
        <f ca="1">_xll.BDH($C$403,"INVTRY_RAW_MATERIALS","FQ1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414" s="3" t="e">
        <f ca="1">_xll.BDH($C$403,"INVTRY_IN_PROGRESS","FQ1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414" s="3" t="e">
        <f ca="1">_xll.BDH($C$403,"INVTRY_FINISHED_GOODS","FQ1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414" s="3" t="e">
        <f ca="1">_xll.BDH($C$403,"BS_OTHER_INV","FQ1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415" spans="1:113" x14ac:dyDescent="0.3">
      <c r="A415" s="6"/>
      <c r="B415" s="6"/>
      <c r="C415" s="6"/>
      <c r="D415" s="6"/>
      <c r="E415" t="s">
        <v>79</v>
      </c>
      <c r="F415" t="e">
        <f ca="1">_xll.BDH($C$403,"RETURN_COM_EQY","FQ2 2016","FQ2 2016","Currency=INR","Period=FQ","BEST_FPERIOD_OVERRIDE=FQ","FILING_STATUS=OR","EQY_CONSOLIDATED=Y","FA_ADJUSTED=GAAP","Sort=A","Dates=H","DateFormat=P","Fill=—","Direction=H","UseDPDF=Y")</f>
        <v>#NAME?</v>
      </c>
      <c r="G415" t="e">
        <f ca="1">_xll.BDH($C$403,"RETURN_ON_ASSET","FQ2 2016","FQ2 2016","Currency=INR","Period=FQ","BEST_FPERIOD_OVERRIDE=FQ","FILING_STATUS=OR","EQY_CONSOLIDATED=Y","FA_ADJUSTED=GAAP","Sort=A","Dates=H","DateFormat=P","Fill=—","Direction=H","UseDPDF=Y")</f>
        <v>#NAME?</v>
      </c>
      <c r="H415" t="e">
        <f ca="1">_xll.BDH($C$403,"RETURN_ON_CAP","FQ2 2016","FQ2 2016","Currency=INR","Period=FQ","BEST_FPERIOD_OVERRIDE=FQ","FILING_STATUS=OR","EQY_CONSOLIDATED=Y","FA_ADJUSTED=GAAP","Sort=A","Dates=H","DateFormat=P","Fill=—","Direction=H","UseDPDF=Y")</f>
        <v>#NAME?</v>
      </c>
      <c r="I415" t="e">
        <f ca="1">_xll.BDH($C$403,"RETURN_ON_INV_CAPITAL","FQ2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415" t="e">
        <f ca="1">_xll.BDH($C$403,"EBITDA_TO_REVENUE","FQ2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415" t="e">
        <f ca="1">_xll.BDH($C$403,"OPER_MARGIN","FQ2 2016","FQ2 2016","Currency=INR","Period=FQ","BEST_FPERIOD_OVERRIDE=FQ","FILING_STATUS=OR","EQY_CONSOLIDATED=Y","FA_ADJUSTED=GAAP","Sort=A","Dates=H","DateFormat=P","Fill=—","Direction=H","UseDPDF=Y")</f>
        <v>#NAME?</v>
      </c>
      <c r="L415" t="e">
        <f ca="1">_xll.BDH($C$403,"INCREMENTAL_OPERATING_MARGIN","FQ2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415" t="e">
        <f ca="1">_xll.BDH($C$403,"PRETAX_INC_TO_NET_SALES","FQ2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415" t="e">
        <f ca="1">_xll.BDH($C$403,"INC_BEF_XO_ITEMS_TO_NET_SALES","FQ2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415" t="e">
        <f ca="1">_xll.BDH($C$403,"PROF_MARGIN","FQ2 2016","FQ2 2016","Currency=INR","Period=FQ","BEST_FPERIOD_OVERRIDE=FQ","FILING_STATUS=OR","EQY_CONSOLIDATED=Y","FA_ADJUSTED=GAAP","Sort=A","Dates=H","DateFormat=P","Fill=—","Direction=H","UseDPDF=Y")</f>
        <v>#NAME?</v>
      </c>
      <c r="P415" t="e">
        <f ca="1">_xll.BDH($C$403,"NET_INCOME_TO_COMMON_MARGIN","FQ2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415" t="e">
        <f ca="1">_xll.BDH($C$403,"EFF_TAX_RATE","FQ2 2016","FQ2 2016","Currency=INR","Period=FQ","BEST_FPERIOD_OVERRIDE=FQ","FILING_STATUS=OR","EQY_CONSOLIDATED=Y","FA_ADJUSTED=GAAP","Sort=A","Dates=H","DateFormat=P","Fill=—","Direction=H","UseDPDF=Y")</f>
        <v>#NAME?</v>
      </c>
      <c r="R415" t="e">
        <f ca="1">_xll.BDH($C$403,"DVD_PAYOUT_RATIO","FQ2 2016","FQ2 2016","Currency=INR","Period=FQ","BEST_FPERIOD_OVERRIDE=FQ","FILING_STATUS=OR","EQY_CONSOLIDATED=Y","FA_ADJUSTED=GAAP","Sort=A","Dates=H","DateFormat=P","Fill=—","Direction=H","UseDPDF=Y")</f>
        <v>#NAME?</v>
      </c>
      <c r="S415" t="e">
        <f ca="1">_xll.BDH($C$403,"SUSTAIN_GROWTH_RT","FQ2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415" s="2" t="e">
        <f ca="1">_xll.BDH($C$403,"SALES_GROWTH","FQ2 2016","FQ2 2016","Currency=INR","Period=FQ","BEST_FPERIOD_OVERRIDE=FQ","FILING_STATUS=OR","EQY_CONSOLIDATED=Y","FA_ADJUSTED=GAAP","Sort=A","Dates=H","DateFormat=P","Fill=—","Direction=H","UseDPDF=Y")</f>
        <v>#NAME?</v>
      </c>
      <c r="U415" s="2" t="e">
        <f ca="1">_xll.BDH($C$403,"EBITDA_GROWTH","FQ2 2016","FQ2 2016","Currency=INR","Period=FQ","BEST_FPERIOD_OVERRIDE=FQ","FILING_STATUS=OR","EQY_CONSOLIDATED=Y","FA_ADJUSTED=GAAP","Sort=A","Dates=H","DateFormat=P","Fill=—","Direction=H","UseDPDF=Y")</f>
        <v>#NAME?</v>
      </c>
      <c r="V415" s="2" t="e">
        <f ca="1">_xll.BDH($C$403,"OPER_INC_GROWTH","FQ2 2016","FQ2 2016","Currency=INR","Period=FQ","BEST_FPERIOD_OVERRIDE=FQ","FILING_STATUS=OR","EQY_CONSOLIDATED=Y","FA_ADJUSTED=GAAP","Sort=A","Dates=H","DateFormat=P","Fill=—","Direction=H","UseDPDF=Y")</f>
        <v>#NAME?</v>
      </c>
      <c r="W415" s="2" t="e">
        <f ca="1">_xll.BDH($C$403,"EARN_FOR_COM_GROWTH","FQ2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415" s="2" t="e">
        <f ca="1">_xll.BDH($C$403,"DILUTED_EPS_AFT_XO_ITEMS_GROWTH","FQ2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415" s="2" t="e">
        <f ca="1">_xll.BDH($C$403,"DIVIDEND_PER_SHARE_1_YEAR_GROWTH","FQ2 2016","FQ2 2016","Currency=INR","Period=FQ","BEST_FPERIOD_OVERRIDE=FQ","FILING_STATUS=OR","EQY_CONSOLIDATED=Y","Sort=A","Dates=H","DateFormat=P","Fill=—","Direction=H","UseDPDF=Y")</f>
        <v>#NAME?</v>
      </c>
      <c r="Z415" s="2" t="e">
        <f ca="1">_xll.BDH($C$403,"ACCOUNTS_RECEIVABLE_GROWTH","FQ2 2016","FQ2 2016","Currency=INR","Period=FQ","BEST_FPERIOD_OVERRIDE=FQ","FILING_STATUS=OR","EQY_CONSOLIDATED=Y","Sort=A","Dates=H","DateFormat=P","Fill=—","Direction=H","UseDPDF=Y")</f>
        <v>#NAME?</v>
      </c>
      <c r="AA415" s="2" t="e">
        <f ca="1">_xll.BDH($C$403,"INVENTORY_GROWTH","FQ2 2016","FQ2 2016","Currency=INR","Period=FQ","BEST_FPERIOD_OVERRIDE=FQ","FILING_STATUS=OR","EQY_CONSOLIDATED=Y","Sort=A","Dates=H","DateFormat=P","Fill=—","Direction=H","UseDPDF=Y")</f>
        <v>#NAME?</v>
      </c>
      <c r="AB415" s="2" t="e">
        <f ca="1">_xll.BDH($C$403,"NET_FIXED_ASSETS_1_YEAR_GROWTH","FQ2 2016","FQ2 2016","Currency=INR","Period=FQ","BEST_FPERIOD_OVERRIDE=FQ","FILING_STATUS=OR","EQY_CONSOLIDATED=Y","Sort=A","Dates=H","DateFormat=P","Fill=—","Direction=H","UseDPDF=Y")</f>
        <v>#NAME?</v>
      </c>
      <c r="AC415" s="2" t="e">
        <f ca="1">_xll.BDH($C$403,"ASSET_GROWTH","FQ2 2016","FQ2 2016","Currency=INR","Period=FQ","BEST_FPERIOD_OVERRIDE=FQ","FILING_STATUS=OR","EQY_CONSOLIDATED=Y","Sort=A","Dates=H","DateFormat=P","Fill=—","Direction=H","UseDPDF=Y")</f>
        <v>#NAME?</v>
      </c>
      <c r="AD415" s="2" t="e">
        <f ca="1">_xll.BDH($C$403,"MODIFIED_WORK_CAP_GROWTH","FQ2 2016","FQ2 2016","Currency=INR","Period=FQ","BEST_FPERIOD_OVERRIDE=FQ","FILING_STATUS=OR","EQY_CONSOLIDATED=Y","Sort=A","Dates=H","DateFormat=P","Fill=—","Direction=H","UseDPDF=Y")</f>
        <v>#NAME?</v>
      </c>
      <c r="AE415" s="2" t="e">
        <f ca="1">_xll.BDH($C$403,"WORK_CAP_GROWTH","FQ2 2016","FQ2 2016","Currency=INR","Period=FQ","BEST_FPERIOD_OVERRIDE=FQ","FILING_STATUS=OR","EQY_CONSOLIDATED=Y","Sort=A","Dates=H","DateFormat=P","Fill=—","Direction=H","UseDPDF=Y")</f>
        <v>#NAME?</v>
      </c>
      <c r="AF415" s="2" t="e">
        <f ca="1">_xll.BDH($C$403,"ACCOUNTS_PAYABLE_GROWTH_1YR","FQ2 2016","FQ2 2016","Currency=INR","Period=FQ","BEST_FPERIOD_OVERRIDE=FQ","FILING_STATUS=OR","EQY_CONSOLIDATED=Y","Sort=A","Dates=H","DateFormat=P","Fill=—","Direction=H","UseDPDF=Y")</f>
        <v>#NAME?</v>
      </c>
      <c r="AG415" s="2" t="e">
        <f ca="1">_xll.BDH($C$403,"SHORT_TERM_DEBT_1_YEAR_GROWTH","FQ2 2016","FQ2 2016","Currency=INR","Period=FQ","BEST_FPERIOD_OVERRIDE=FQ","FILING_STATUS=OR","EQY_CONSOLIDATED=Y","Sort=A","Dates=H","DateFormat=P","Fill=—","Direction=H","UseDPDF=Y")</f>
        <v>#NAME?</v>
      </c>
      <c r="AH415" s="2" t="e">
        <f ca="1">_xll.BDH($C$403,"TOTAL_DEBT_1_YEAR_GROWTH","FQ2 2016","FQ2 2016","Currency=INR","Period=FQ","BEST_FPERIOD_OVERRIDE=FQ","FILING_STATUS=OR","EQY_CONSOLIDATED=Y","Sort=A","Dates=H","DateFormat=P","Fill=—","Direction=H","UseDPDF=Y")</f>
        <v>#NAME?</v>
      </c>
      <c r="AI415" s="2" t="e">
        <f ca="1">_xll.BDH($C$403,"TOTAL_EQUITY_1_YEAR_GROWTH","FQ2 2016","FQ2 2016","Currency=INR","Period=FQ","BEST_FPERIOD_OVERRIDE=FQ","FILING_STATUS=OR","EQY_CONSOLIDATED=Y","Sort=A","Dates=H","DateFormat=P","Fill=—","Direction=H","UseDPDF=Y")</f>
        <v>#NAME?</v>
      </c>
      <c r="AJ415" s="2" t="e">
        <f ca="1">_xll.BDH($C$403,"GROWTH_IN_CAP","FQ2 2016","FQ2 2016","Currency=INR","Period=FQ","BEST_FPERIOD_OVERRIDE=FQ","FILING_STATUS=OR","EQY_CONSOLIDATED=Y","Sort=A","Dates=H","DateFormat=P","Fill=—","Direction=H","UseDPDF=Y")</f>
        <v>#NAME?</v>
      </c>
      <c r="AK415" s="2" t="e">
        <f ca="1">_xll.BDH($C$403,"BVPS_GROWTH","FQ2 2016","FQ2 2016","Currency=INR","Period=FQ","BEST_FPERIOD_OVERRIDE=FQ","FILING_STATUS=OR","EQY_CONSOLIDATED=Y","Sort=A","Dates=H","DateFormat=P","Fill=—","Direction=H","UseDPDF=Y")</f>
        <v>#NAME?</v>
      </c>
      <c r="AL415" s="2" t="e">
        <f ca="1">_xll.BDH($C$403,"CASH_FLOW_GROWTH","FQ2 2016","FQ2 2016","Currency=INR","Period=FQ","BEST_FPERIOD_OVERRIDE=FQ","FILING_STATUS=OR","EQY_CONSOLIDATED=Y","Sort=A","Dates=H","DateFormat=P","Fill=—","Direction=H","UseDPDF=Y")</f>
        <v>#NAME?</v>
      </c>
      <c r="AM415" s="2" t="e">
        <f ca="1">_xll.BDH($C$403,"GEO_GROW_NET_SALES","FQ2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415" s="2" t="e">
        <f ca="1">_xll.BDH($C$403,"GEO_GROW_EBITDA","FQ2 2016","FQ2 2016","Currency=INR","Period=FQ","BEST_FPERIOD_OVERRIDE=FQ","FILING_STATUS=OR","EQY_CONSOLIDATED=Y","FA_ADJUSTED=GAAP","Sort=A","Dates=H","DateFormat=P","Fill=—","Direction=H","UseDPDF=Y")</f>
        <v>#NAME?</v>
      </c>
      <c r="AO415" s="2" t="e">
        <f ca="1">_xll.BDH($C$403,"GEO_GROW_OPER_INC","FQ2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415" s="2" t="e">
        <f ca="1">_xll.BDH($C$403,"NET_INCOME_TO_COMMON_5_YR_GROWTH","FQ2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415" s="2" t="e">
        <f ca="1">_xll.BDH($C$403,"5Y_GEO_GROWTH_DILUTED_EPS","FQ2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415" s="2" t="e">
        <f ca="1">_xll.BDH($C$403,"GEO_GROW_DVD_PER_SH","FQ2 2016","FQ2 2016","Currency=INR","Period=FQ","BEST_FPERIOD_OVERRIDE=FQ","FILING_STATUS=OR","EQY_CONSOLIDATED=Y","Sort=A","Dates=H","DateFormat=P","Fill=—","Direction=H","UseDPDF=Y")</f>
        <v>#NAME?</v>
      </c>
      <c r="AS415" s="2" t="e">
        <f ca="1">_xll.BDH($C$403,"ACCOUNTS_RECEIVABLE_5_YR_GROWTH","FQ2 2016","FQ2 2016","Currency=INR","Period=FQ","BEST_FPERIOD_OVERRIDE=FQ","FILING_STATUS=OR","EQY_CONSOLIDATED=Y","Sort=A","Dates=H","DateFormat=P","Fill=—","Direction=H","UseDPDF=Y")</f>
        <v>#NAME?</v>
      </c>
      <c r="AT415" s="2" t="e">
        <f ca="1">_xll.BDH($C$403,"INVENTORY_5_YEAR_GROWTH","FQ2 2016","FQ2 2016","Currency=INR","Period=FQ","BEST_FPERIOD_OVERRIDE=FQ","FILING_STATUS=OR","EQY_CONSOLIDATED=Y","Sort=A","Dates=H","DateFormat=P","Fill=—","Direction=H","UseDPDF=Y")</f>
        <v>#NAME?</v>
      </c>
      <c r="AU415" s="2" t="e">
        <f ca="1">_xll.BDH($C$403,"NET_FIXED_ASSETS_5_YEAR_GROWTH","FQ2 2016","FQ2 2016","Currency=INR","Period=FQ","BEST_FPERIOD_OVERRIDE=FQ","FILING_STATUS=OR","EQY_CONSOLIDATED=Y","Sort=A","Dates=H","DateFormat=P","Fill=—","Direction=H","UseDPDF=Y")</f>
        <v>#NAME?</v>
      </c>
      <c r="AV415" s="2" t="e">
        <f ca="1">_xll.BDH($C$403,"GEO_GROW_TOT_ASSET","FQ2 2016","FQ2 2016","Currency=INR","Period=FQ","BEST_FPERIOD_OVERRIDE=FQ","FILING_STATUS=OR","EQY_CONSOLIDATED=Y","Sort=A","Dates=H","DateFormat=P","Fill=—","Direction=H","UseDPDF=Y")</f>
        <v>#NAME?</v>
      </c>
      <c r="AW415" s="2" t="e">
        <f ca="1">_xll.BDH($C$403,"MODIFIED_WORKING_CPTL_5YR_GRWTH","FQ2 2016","FQ2 2016","Currency=INR","Period=FQ","BEST_FPERIOD_OVERRIDE=FQ","FILING_STATUS=OR","EQY_CONSOLIDATED=Y","Sort=A","Dates=H","DateFormat=P","Fill=—","Direction=H","UseDPDF=Y")</f>
        <v>#NAME?</v>
      </c>
      <c r="AX415" s="2" t="e">
        <f ca="1">_xll.BDH($C$403,"WORKING_CAPITAL_5_YEAR_GROWTH","FQ2 2016","FQ2 2016","Currency=INR","Period=FQ","BEST_FPERIOD_OVERRIDE=FQ","FILING_STATUS=OR","EQY_CONSOLIDATED=Y","Sort=A","Dates=H","DateFormat=P","Fill=—","Direction=H","UseDPDF=Y")</f>
        <v>#NAME?</v>
      </c>
      <c r="AY415" s="2" t="e">
        <f ca="1">_xll.BDH($C$403,"ACCOUNTS_PAYABLE_5_YEAR_GROWTH","FQ2 2016","FQ2 2016","Currency=INR","Period=FQ","BEST_FPERIOD_OVERRIDE=FQ","FILING_STATUS=OR","EQY_CONSOLIDATED=Y","Sort=A","Dates=H","DateFormat=P","Fill=—","Direction=H","UseDPDF=Y")</f>
        <v>#NAME?</v>
      </c>
      <c r="AZ415" s="2" t="e">
        <f ca="1">_xll.BDH($C$403,"SHORT_TERM_DEBT_5_YEAR_GROWTH","FQ2 2016","FQ2 2016","Currency=INR","Period=FQ","BEST_FPERIOD_OVERRIDE=FQ","FILING_STATUS=OR","EQY_CONSOLIDATED=Y","Sort=A","Dates=H","DateFormat=P","Fill=—","Direction=H","UseDPDF=Y")</f>
        <v>#NAME?</v>
      </c>
      <c r="BA415" s="2" t="e">
        <f ca="1">_xll.BDH($C$403,"TOTAL_DEBT_5_YEAR_GROWTH","FQ2 2016","FQ2 2016","Currency=INR","Period=FQ","BEST_FPERIOD_OVERRIDE=FQ","FILING_STATUS=OR","EQY_CONSOLIDATED=Y","Sort=A","Dates=H","DateFormat=P","Fill=—","Direction=H","UseDPDF=Y")</f>
        <v>#NAME?</v>
      </c>
      <c r="BB415" s="2" t="e">
        <f ca="1">_xll.BDH($C$403,"GEO_GROW_TOT_SHRHLDR_EQY","FQ2 2016","FQ2 2016","Currency=INR","Period=FQ","BEST_FPERIOD_OVERRIDE=FQ","FILING_STATUS=OR","EQY_CONSOLIDATED=Y","Sort=A","Dates=H","DateFormat=P","Fill=—","Direction=H","UseDPDF=Y")</f>
        <v>#NAME?</v>
      </c>
      <c r="BC415" s="2" t="e">
        <f ca="1">_xll.BDH($C$403,"TOTAL_CAPITAL_5_YEAR_GROWTH","FQ2 2016","FQ2 2016","Currency=INR","Period=FQ","BEST_FPERIOD_OVERRIDE=FQ","FILING_STATUS=OR","EQY_CONSOLIDATED=Y","Sort=A","Dates=H","DateFormat=P","Fill=—","Direction=H","UseDPDF=Y")</f>
        <v>#NAME?</v>
      </c>
      <c r="BD415" s="2" t="e">
        <f ca="1">_xll.BDH($C$403,"GEO_GROW_BOOK_VAL","FQ2 2016","FQ2 2016","Currency=INR","Period=FQ","BEST_FPERIOD_OVERRIDE=FQ","FILING_STATUS=OR","EQY_CONSOLIDATED=Y","Sort=A","Dates=H","DateFormat=P","Fill=—","Direction=H","UseDPDF=Y")</f>
        <v>#NAME?</v>
      </c>
      <c r="BE415" s="2" t="e">
        <f ca="1">_xll.BDH($C$403,"GEO_GROW_CASH_OPER_ACT","FQ2 2016","FQ2 2016","Currency=INR","Period=FQ","BEST_FPERIOD_OVERRIDE=FQ","FILING_STATUS=OR","EQY_CONSOLIDATED=Y","Sort=A","Dates=H","DateFormat=P","Fill=—","Direction=H","UseDPDF=Y")</f>
        <v>#NAME?</v>
      </c>
      <c r="BF415" s="2" t="e">
        <f ca="1">_xll.BDH($C$403,"REVENUE_SEQUENTIAL_GROWTH","FQ2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415" s="2" t="e">
        <f ca="1">_xll.BDH($C$403,"EBITDA_SEQUENTIAL_GROWTH","FQ2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415" s="2" t="e">
        <f ca="1">_xll.BDH($C$403,"OPERATING_INCOME_SEQ_GROWTH","FQ2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415" s="2" t="e">
        <f ca="1">_xll.BDH($C$403,"NET_INCOME_TO_COMMON_SEQ_GROWTH","FQ2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415" s="2" t="e">
        <f ca="1">_xll.BDH($C$403,"EPS_DILUTED_SEQUENTIAL_GROWTH","FQ2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415" s="2" t="e">
        <f ca="1">_xll.BDH($C$403,"DPS_SEQUENTIAL_GROWTH","FQ2 2016","FQ2 2016","Currency=INR","Period=FQ","BEST_FPERIOD_OVERRIDE=FQ","FILING_STATUS=OR","EQY_CONSOLIDATED=Y","Sort=A","Dates=H","DateFormat=P","Fill=—","Direction=H","UseDPDF=Y")</f>
        <v>#NAME?</v>
      </c>
      <c r="BL415" s="2" t="e">
        <f ca="1">_xll.BDH($C$403,"ACCOUNTS_RECEIVABLE_SEQ_GROWTH","FQ2 2016","FQ2 2016","Currency=INR","Period=FQ","BEST_FPERIOD_OVERRIDE=FQ","FILING_STATUS=OR","EQY_CONSOLIDATED=Y","Sort=A","Dates=H","DateFormat=P","Fill=—","Direction=H","UseDPDF=Y")</f>
        <v>#NAME?</v>
      </c>
      <c r="BM415" s="2" t="e">
        <f ca="1">_xll.BDH($C$403,"INVENTORY_SEQUENTIAL_GROWTH","FQ2 2016","FQ2 2016","Currency=INR","Period=FQ","BEST_FPERIOD_OVERRIDE=FQ","FILING_STATUS=OR","EQY_CONSOLIDATED=Y","Sort=A","Dates=H","DateFormat=P","Fill=—","Direction=H","UseDPDF=Y")</f>
        <v>#NAME?</v>
      </c>
      <c r="BN415" s="2" t="e">
        <f ca="1">_xll.BDH($C$403,"FIXED_ASSETS_SEQUENTIAL_GROWTH","FQ2 2016","FQ2 2016","Currency=INR","Period=FQ","BEST_FPERIOD_OVERRIDE=FQ","FILING_STATUS=OR","EQY_CONSOLIDATED=Y","Sort=A","Dates=H","DateFormat=P","Fill=—","Direction=H","UseDPDF=Y")</f>
        <v>#NAME?</v>
      </c>
      <c r="BO415" s="2" t="e">
        <f ca="1">_xll.BDH($C$403,"TOTAL_ASSETS_SEQUENTIAL_GROWTH","FQ2 2016","FQ2 2016","Currency=INR","Period=FQ","BEST_FPERIOD_OVERRIDE=FQ","FILING_STATUS=OR","EQY_CONSOLIDATED=Y","Sort=A","Dates=H","DateFormat=P","Fill=—","Direction=H","UseDPDF=Y")</f>
        <v>#NAME?</v>
      </c>
      <c r="BP415" s="2" t="e">
        <f ca="1">_xll.BDH($C$403,"MODIFIED_WORKING_CPTL_SEQ_GRWTH","FQ2 2016","FQ2 2016","Currency=INR","Period=FQ","BEST_FPERIOD_OVERRIDE=FQ","FILING_STATUS=OR","EQY_CONSOLIDATED=Y","Sort=A","Dates=H","DateFormat=P","Fill=—","Direction=H","UseDPDF=Y")</f>
        <v>#NAME?</v>
      </c>
      <c r="BQ415" s="2" t="e">
        <f ca="1">_xll.BDH($C$403,"WORKING_CAPITAL_SEQ_GROWTH","FQ2 2016","FQ2 2016","Currency=INR","Period=FQ","BEST_FPERIOD_OVERRIDE=FQ","FILING_STATUS=OR","EQY_CONSOLIDATED=Y","Sort=A","Dates=H","DateFormat=P","Fill=—","Direction=H","UseDPDF=Y")</f>
        <v>#NAME?</v>
      </c>
      <c r="BR415" s="2" t="e">
        <f ca="1">_xll.BDH($C$403,"ACCOUNTS_PAYABLE_SEQ_GROWTH","FQ2 2016","FQ2 2016","Currency=INR","Period=FQ","BEST_FPERIOD_OVERRIDE=FQ","FILING_STATUS=OR","EQY_CONSOLIDATED=Y","Sort=A","Dates=H","DateFormat=P","Fill=—","Direction=H","UseDPDF=Y")</f>
        <v>#NAME?</v>
      </c>
      <c r="BS415" s="2" t="e">
        <f ca="1">_xll.BDH($C$403,"ST_DEBT_SEQUENTIAL_GROWTH","FQ2 2016","FQ2 2016","Currency=INR","Period=FQ","BEST_FPERIOD_OVERRIDE=FQ","FILING_STATUS=OR","EQY_CONSOLIDATED=Y","Sort=A","Dates=H","DateFormat=P","Fill=—","Direction=H","UseDPDF=Y")</f>
        <v>#NAME?</v>
      </c>
      <c r="BT415" s="2" t="e">
        <f ca="1">_xll.BDH($C$403,"TOTAL_DEBT_SEQUENTIAL_GROWTH","FQ2 2016","FQ2 2016","Currency=INR","Period=FQ","BEST_FPERIOD_OVERRIDE=FQ","FILING_STATUS=OR","EQY_CONSOLIDATED=Y","Sort=A","Dates=H","DateFormat=P","Fill=—","Direction=H","UseDPDF=Y")</f>
        <v>#NAME?</v>
      </c>
      <c r="BU415" s="2" t="e">
        <f ca="1">_xll.BDH($C$403,"TOTAL_EQUITY_SEQUENTIAL_GROWTH","FQ2 2016","FQ2 2016","Currency=INR","Period=FQ","BEST_FPERIOD_OVERRIDE=FQ","FILING_STATUS=OR","EQY_CONSOLIDATED=Y","Sort=A","Dates=H","DateFormat=P","Fill=—","Direction=H","UseDPDF=Y")</f>
        <v>#NAME?</v>
      </c>
      <c r="BV415" s="2" t="e">
        <f ca="1">_xll.BDH($C$403,"TOTAL_CAPITAL_SEQUENTIAL_GROWTH","FQ2 2016","FQ2 2016","Currency=INR","Period=FQ","BEST_FPERIOD_OVERRIDE=FQ","FILING_STATUS=OR","EQY_CONSOLIDATED=Y","Sort=A","Dates=H","DateFormat=P","Fill=—","Direction=H","UseDPDF=Y")</f>
        <v>#NAME?</v>
      </c>
      <c r="BW415" s="2" t="e">
        <f ca="1">_xll.BDH($C$403,"BPS_SEQUENTIAL_GROWTH","FQ2 2016","FQ2 2016","Currency=INR","Period=FQ","BEST_FPERIOD_OVERRIDE=FQ","FILING_STATUS=OR","EQY_CONSOLIDATED=Y","Sort=A","Dates=H","DateFormat=P","Fill=—","Direction=H","UseDPDF=Y")</f>
        <v>#NAME?</v>
      </c>
      <c r="BX415" s="2" t="e">
        <f ca="1">_xll.BDH($C$403,"CFO_SEQUENTIAL_GROWTH","FQ2 2016","FQ2 2016","Currency=INR","Period=FQ","BEST_FPERIOD_OVERRIDE=FQ","FILING_STATUS=OR","EQY_CONSOLIDATED=Y","Sort=A","Dates=H","DateFormat=P","Fill=—","Direction=H","UseDPDF=Y")</f>
        <v>#NAME?</v>
      </c>
      <c r="BY415" s="3" t="e">
        <f ca="1">_xll.BDH($C$403,"SHORT_AND_LONG_TERM_DEBT","FQ2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415" s="3" t="e">
        <f ca="1">_xll.BDH($C$403,"BS_ST_BORROW","FQ2 2016","FQ2 2016","Currency=INR","Period=FQ","BEST_FPERIOD_OVERRIDE=FQ","FILING_STATUS=OR","EQY_CONSOLIDATED=Y","SCALING_FORMAT=MLN","Sort=A","Dates=H","DateFormat=P","Fill=—","Direction=H","UseDPDF=Y")</f>
        <v>#NAME?</v>
      </c>
      <c r="CA415" s="3" t="e">
        <f ca="1">_xll.BDH($C$403,"BS_LT_BORROW","FQ2 2016","FQ2 2016","Currency=INR","Period=FQ","BEST_FPERIOD_OVERRIDE=FQ","FILING_STATUS=OR","EQY_CONSOLIDATED=Y","SCALING_FORMAT=MLN","Sort=A","Dates=H","DateFormat=P","Fill=—","Direction=H","UseDPDF=Y")</f>
        <v>#NAME?</v>
      </c>
      <c r="CB415" s="2" t="e">
        <f ca="1">_xll.BDH($C$403,"TOT_DEBT_TO_EBITDA","FQ2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415" s="2" t="e">
        <f ca="1">_xll.BDH($C$403,"NET_DEBT_TO_EBITDA","FQ2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415" s="2" t="e">
        <f ca="1">_xll.BDH($C$403,"TOTAL_DEBT_TO_EBIT","FQ2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415" s="2" t="e">
        <f ca="1">_xll.BDH($C$403,"NET_DEBT_TO_EBIT","FQ2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415" s="2" t="e">
        <f ca="1">_xll.BDH($C$403,"EBITDA_TO_INTEREST_EXPN","FQ2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415" s="2" t="e">
        <f ca="1">_xll.BDH($C$403,"COM_EQY_TO_TOT_ASSET","FQ2 2016","FQ2 2016","Currency=INR","Period=FQ","BEST_FPERIOD_OVERRIDE=FQ","FILING_STATUS=OR","EQY_CONSOLIDATED=Y","Sort=A","Dates=H","DateFormat=P","Fill=—","Direction=H","UseDPDF=Y")</f>
        <v>#NAME?</v>
      </c>
      <c r="CH415" s="2" t="e">
        <f ca="1">_xll.BDH($C$403,"LT_DEBT_TO_TOT_EQY","FQ2 2016","FQ2 2016","Currency=INR","Period=FQ","BEST_FPERIOD_OVERRIDE=FQ","FILING_STATUS=OR","EQY_CONSOLIDATED=Y","Sort=A","Dates=H","DateFormat=P","Fill=—","Direction=H","UseDPDF=Y")</f>
        <v>#NAME?</v>
      </c>
      <c r="CI415" s="2" t="e">
        <f ca="1">_xll.BDH($C$403,"LT_DEBT_TO_TOT_CAP","FQ2 2016","FQ2 2016","Currency=INR","Period=FQ","BEST_FPERIOD_OVERRIDE=FQ","FILING_STATUS=OR","EQY_CONSOLIDATED=Y","Sort=A","Dates=H","DateFormat=P","Fill=—","Direction=H","UseDPDF=Y")</f>
        <v>#NAME?</v>
      </c>
      <c r="CJ415" s="2" t="e">
        <f ca="1">_xll.BDH($C$403,"LT_DEBT_TO_TOT_ASSET","FQ2 2016","FQ2 2016","Currency=INR","Period=FQ","BEST_FPERIOD_OVERRIDE=FQ","FILING_STATUS=OR","EQY_CONSOLIDATED=Y","Sort=A","Dates=H","DateFormat=P","Fill=—","Direction=H","UseDPDF=Y")</f>
        <v>#NAME?</v>
      </c>
      <c r="CK415" s="2" t="e">
        <f ca="1">_xll.BDH($C$403,"TOT_DEBT_TO_TOT_EQY","FQ2 2016","FQ2 2016","Currency=INR","Period=FQ","BEST_FPERIOD_OVERRIDE=FQ","FILING_STATUS=OR","EQY_CONSOLIDATED=Y","Sort=A","Dates=H","DateFormat=P","Fill=—","Direction=H","UseDPDF=Y")</f>
        <v>#NAME?</v>
      </c>
      <c r="CL415" s="2" t="e">
        <f ca="1">_xll.BDH($C$403,"TOT_DEBT_TO_TOT_CAP","FQ2 2016","FQ2 2016","Currency=INR","Period=FQ","BEST_FPERIOD_OVERRIDE=FQ","FILING_STATUS=OR","EQY_CONSOLIDATED=Y","Sort=A","Dates=H","DateFormat=P","Fill=—","Direction=H","UseDPDF=Y")</f>
        <v>#NAME?</v>
      </c>
      <c r="CM415" s="2" t="e">
        <f ca="1">_xll.BDH($C$403,"TOT_DEBT_TO_TOT_ASSET","FQ2 2016","FQ2 2016","Currency=INR","Period=FQ","BEST_FPERIOD_OVERRIDE=FQ","FILING_STATUS=OR","EQY_CONSOLIDATED=Y","Sort=A","Dates=H","DateFormat=P","Fill=—","Direction=H","UseDPDF=Y")</f>
        <v>#NAME?</v>
      </c>
      <c r="CN415" s="2" t="e">
        <f ca="1">_xll.BDH($C$403,"NET_DEBT_TO_SHRHLDR_EQTY","FQ2 2016","FQ2 2016","Currency=INR","Period=FQ","BEST_FPERIOD_OVERRIDE=FQ","FILING_STATUS=OR","EQY_CONSOLIDATED=Y","Sort=A","Dates=H","DateFormat=P","Fill=—","Direction=H","UseDPDF=Y")</f>
        <v>#NAME?</v>
      </c>
      <c r="CO415" s="2" t="e">
        <f ca="1">_xll.BDH($C$403,"NET_DEBT_%_CAPITAL","FQ2 2016","FQ2 2016","Currency=INR","Period=FQ","BEST_FPERIOD_OVERRIDE=FQ","FILING_STATUS=OR","EQY_CONSOLIDATED=Y","Sort=A","Dates=H","DateFormat=P","Fill=—","Direction=H","UseDPDF=Y")</f>
        <v>#NAME?</v>
      </c>
      <c r="CP415" s="3" t="e">
        <f ca="1">_xll.BDH($C$403,"EBITDA","FQ2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415" s="3" t="e">
        <f ca="1">_xll.BDH($C$403,"EBITDA_AFTER_CAPEX","FQ2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415" s="3" t="e">
        <f ca="1">_xll.BDH($C$403,"IS_OPER_INC","FQ2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415" s="2" t="e">
        <f ca="1">_xll.BDH($C$403,"CASH_RATIO","FQ2 2016","FQ2 2016","Currency=INR","Period=FQ","BEST_FPERIOD_OVERRIDE=FQ","FILING_STATUS=OR","EQY_CONSOLIDATED=Y","Sort=A","Dates=H","DateFormat=P","Fill=—","Direction=H","UseDPDF=Y")</f>
        <v>#NAME?</v>
      </c>
      <c r="CT415" s="2" t="e">
        <f ca="1">_xll.BDH($C$403,"CUR_RATIO","FQ2 2016","FQ2 2016","Currency=INR","Period=FQ","BEST_FPERIOD_OVERRIDE=FQ","FILING_STATUS=OR","EQY_CONSOLIDATED=Y","Sort=A","Dates=H","DateFormat=P","Fill=—","Direction=H","UseDPDF=Y")</f>
        <v>#NAME?</v>
      </c>
      <c r="CU415" s="2" t="e">
        <f ca="1">_xll.BDH($C$403,"QUICK_RATIO","FQ2 2016","FQ2 2016","Currency=INR","Period=FQ","BEST_FPERIOD_OVERRIDE=FQ","FILING_STATUS=OR","EQY_CONSOLIDATED=Y","Sort=A","Dates=H","DateFormat=P","Fill=—","Direction=H","UseDPDF=Y")</f>
        <v>#NAME?</v>
      </c>
      <c r="CV415" s="2" t="e">
        <f ca="1">_xll.BDH($C$403,"ALTMAN_Z_SCORE","FQ2 2016","FQ2 2016","Currency=INR","Period=FQ","BEST_FPERIOD_OVERRIDE=FQ","FILING_STATUS=OR","EQY_CONSOLIDATED=Y","Sort=A","Dates=H","DateFormat=P","Fill=—","Direction=H","UseDPDF=Y")</f>
        <v>#NAME?</v>
      </c>
      <c r="CW415" s="4" t="e">
        <f ca="1">_xll.BDH($C$403,"ACCT_RCV_TURN","FQ2 2016","FQ2 2016","Currency=INR","Period=FQ","BEST_FPERIOD_OVERRIDE=FQ","FILING_STATUS=OR","EQY_CONSOLIDATED=Y","FA_ADJUSTED=GAAP","Sort=A","Dates=H","DateFormat=P","Fill=—","Direction=H","UseDPDF=Y")</f>
        <v>#NAME?</v>
      </c>
      <c r="CX415" s="2" t="e">
        <f ca="1">_xll.BDH($C$403,"ACCT_RCV_DAYS","FQ2 2016","FQ2 2016","Currency=INR","Period=FQ","BEST_FPERIOD_OVERRIDE=FQ","FILING_STATUS=OR","EQY_CONSOLIDATED=Y","FA_ADJUSTED=GAAP","Sort=A","Dates=H","DateFormat=P","Fill=—","Direction=H","UseDPDF=Y")</f>
        <v>#NAME?</v>
      </c>
      <c r="CY415" s="4" t="e">
        <f ca="1">_xll.BDH($C$403,"INVENT_TURN","FQ2 2016","FQ2 2016","Currency=INR","Period=FQ","BEST_FPERIOD_OVERRIDE=FQ","FILING_STATUS=OR","EQY_CONSOLIDATED=Y","FA_ADJUSTED=GAAP","Sort=A","Dates=H","DateFormat=P","Fill=—","Direction=H","UseDPDF=Y")</f>
        <v>#NAME?</v>
      </c>
      <c r="CZ415" s="2" t="e">
        <f ca="1">_xll.BDH($C$403,"INVENT_DAYS","FQ2 2016","FQ2 2016","Currency=INR","Period=FQ","BEST_FPERIOD_OVERRIDE=FQ","FILING_STATUS=OR","EQY_CONSOLIDATED=Y","FA_ADJUSTED=GAAP","Sort=A","Dates=H","DateFormat=P","Fill=—","Direction=H","UseDPDF=Y")</f>
        <v>#NAME?</v>
      </c>
      <c r="DA415" s="4" t="e">
        <f ca="1">_xll.BDH($C$403,"ACCOUNTS_PAYABLE_TURNOVER","FQ2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415" s="2" t="e">
        <f ca="1">_xll.BDH($C$403,"ACCOUNTS_PAYABLE_TURNOVER_DAYS","FQ2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415" s="4" t="e">
        <f ca="1">_xll.BDH($C$403,"CASH_CONVERSION_CYCLE","FQ2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415" s="4" t="e">
        <f ca="1">_xll.BDH($C$403,"INV_TO_CASH_DAYS","FQ2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415" s="5" t="e">
        <f ca="1">_xll.BDH($C$403,"BS_INVENTORIES","FQ2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415" s="3" t="e">
        <f ca="1">_xll.BDH($C$403,"INVTRY_RAW_MATERIALS","FQ2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415" s="3" t="e">
        <f ca="1">_xll.BDH($C$403,"INVTRY_IN_PROGRESS","FQ2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415" s="3" t="e">
        <f ca="1">_xll.BDH($C$403,"INVTRY_FINISHED_GOODS","FQ2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415" s="3" t="e">
        <f ca="1">_xll.BDH($C$403,"BS_OTHER_INV","FQ2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416" spans="1:113" x14ac:dyDescent="0.3">
      <c r="A416" s="6"/>
      <c r="B416" s="6"/>
      <c r="C416" s="6"/>
      <c r="D416" s="6"/>
      <c r="E416" t="s">
        <v>80</v>
      </c>
      <c r="F416" t="e">
        <f ca="1">_xll.BDH($C$403,"RETURN_COM_EQY","FQ3 2016","FQ3 2016","Currency=INR","Period=FQ","BEST_FPERIOD_OVERRIDE=FQ","FILING_STATUS=OR","EQY_CONSOLIDATED=Y","FA_ADJUSTED=GAAP","Sort=A","Dates=H","DateFormat=P","Fill=—","Direction=H","UseDPDF=Y")</f>
        <v>#NAME?</v>
      </c>
      <c r="G416" t="e">
        <f ca="1">_xll.BDH($C$403,"RETURN_ON_ASSET","FQ3 2016","FQ3 2016","Currency=INR","Period=FQ","BEST_FPERIOD_OVERRIDE=FQ","FILING_STATUS=OR","EQY_CONSOLIDATED=Y","FA_ADJUSTED=GAAP","Sort=A","Dates=H","DateFormat=P","Fill=—","Direction=H","UseDPDF=Y")</f>
        <v>#NAME?</v>
      </c>
      <c r="H416" t="e">
        <f ca="1">_xll.BDH($C$403,"RETURN_ON_CAP","FQ3 2016","FQ3 2016","Currency=INR","Period=FQ","BEST_FPERIOD_OVERRIDE=FQ","FILING_STATUS=OR","EQY_CONSOLIDATED=Y","FA_ADJUSTED=GAAP","Sort=A","Dates=H","DateFormat=P","Fill=—","Direction=H","UseDPDF=Y")</f>
        <v>#NAME?</v>
      </c>
      <c r="I416" t="e">
        <f ca="1">_xll.BDH($C$403,"RETURN_ON_INV_CAPITAL","FQ3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416" t="e">
        <f ca="1">_xll.BDH($C$403,"EBITDA_TO_REVENUE","FQ3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416" t="e">
        <f ca="1">_xll.BDH($C$403,"OPER_MARGIN","FQ3 2016","FQ3 2016","Currency=INR","Period=FQ","BEST_FPERIOD_OVERRIDE=FQ","FILING_STATUS=OR","EQY_CONSOLIDATED=Y","FA_ADJUSTED=GAAP","Sort=A","Dates=H","DateFormat=P","Fill=—","Direction=H","UseDPDF=Y")</f>
        <v>#NAME?</v>
      </c>
      <c r="L416" t="e">
        <f ca="1">_xll.BDH($C$403,"INCREMENTAL_OPERATING_MARGIN","FQ3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416" t="e">
        <f ca="1">_xll.BDH($C$403,"PRETAX_INC_TO_NET_SALES","FQ3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416" t="e">
        <f ca="1">_xll.BDH($C$403,"INC_BEF_XO_ITEMS_TO_NET_SALES","FQ3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416" t="e">
        <f ca="1">_xll.BDH($C$403,"PROF_MARGIN","FQ3 2016","FQ3 2016","Currency=INR","Period=FQ","BEST_FPERIOD_OVERRIDE=FQ","FILING_STATUS=OR","EQY_CONSOLIDATED=Y","FA_ADJUSTED=GAAP","Sort=A","Dates=H","DateFormat=P","Fill=—","Direction=H","UseDPDF=Y")</f>
        <v>#NAME?</v>
      </c>
      <c r="P416" t="e">
        <f ca="1">_xll.BDH($C$403,"NET_INCOME_TO_COMMON_MARGIN","FQ3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416" t="e">
        <f ca="1">_xll.BDH($C$403,"EFF_TAX_RATE","FQ3 2016","FQ3 2016","Currency=INR","Period=FQ","BEST_FPERIOD_OVERRIDE=FQ","FILING_STATUS=OR","EQY_CONSOLIDATED=Y","FA_ADJUSTED=GAAP","Sort=A","Dates=H","DateFormat=P","Fill=—","Direction=H","UseDPDF=Y")</f>
        <v>#NAME?</v>
      </c>
      <c r="R416" t="e">
        <f ca="1">_xll.BDH($C$403,"DVD_PAYOUT_RATIO","FQ3 2016","FQ3 2016","Currency=INR","Period=FQ","BEST_FPERIOD_OVERRIDE=FQ","FILING_STATUS=OR","EQY_CONSOLIDATED=Y","FA_ADJUSTED=GAAP","Sort=A","Dates=H","DateFormat=P","Fill=—","Direction=H","UseDPDF=Y")</f>
        <v>#NAME?</v>
      </c>
      <c r="S416" t="e">
        <f ca="1">_xll.BDH($C$403,"SUSTAIN_GROWTH_RT","FQ3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416" s="2" t="e">
        <f ca="1">_xll.BDH($C$403,"SALES_GROWTH","FQ3 2016","FQ3 2016","Currency=INR","Period=FQ","BEST_FPERIOD_OVERRIDE=FQ","FILING_STATUS=OR","EQY_CONSOLIDATED=Y","FA_ADJUSTED=GAAP","Sort=A","Dates=H","DateFormat=P","Fill=—","Direction=H","UseDPDF=Y")</f>
        <v>#NAME?</v>
      </c>
      <c r="U416" s="2" t="e">
        <f ca="1">_xll.BDH($C$403,"EBITDA_GROWTH","FQ3 2016","FQ3 2016","Currency=INR","Period=FQ","BEST_FPERIOD_OVERRIDE=FQ","FILING_STATUS=OR","EQY_CONSOLIDATED=Y","FA_ADJUSTED=GAAP","Sort=A","Dates=H","DateFormat=P","Fill=—","Direction=H","UseDPDF=Y")</f>
        <v>#NAME?</v>
      </c>
      <c r="V416" s="2" t="e">
        <f ca="1">_xll.BDH($C$403,"OPER_INC_GROWTH","FQ3 2016","FQ3 2016","Currency=INR","Period=FQ","BEST_FPERIOD_OVERRIDE=FQ","FILING_STATUS=OR","EQY_CONSOLIDATED=Y","FA_ADJUSTED=GAAP","Sort=A","Dates=H","DateFormat=P","Fill=—","Direction=H","UseDPDF=Y")</f>
        <v>#NAME?</v>
      </c>
      <c r="W416" s="2" t="e">
        <f ca="1">_xll.BDH($C$403,"EARN_FOR_COM_GROWTH","FQ3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416" s="2" t="e">
        <f ca="1">_xll.BDH($C$403,"DILUTED_EPS_AFT_XO_ITEMS_GROWTH","FQ3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416" s="2" t="e">
        <f ca="1">_xll.BDH($C$403,"DIVIDEND_PER_SHARE_1_YEAR_GROWTH","FQ3 2016","FQ3 2016","Currency=INR","Period=FQ","BEST_FPERIOD_OVERRIDE=FQ","FILING_STATUS=OR","EQY_CONSOLIDATED=Y","Sort=A","Dates=H","DateFormat=P","Fill=—","Direction=H","UseDPDF=Y")</f>
        <v>#NAME?</v>
      </c>
      <c r="Z416" s="2" t="e">
        <f ca="1">_xll.BDH($C$403,"ACCOUNTS_RECEIVABLE_GROWTH","FQ3 2016","FQ3 2016","Currency=INR","Period=FQ","BEST_FPERIOD_OVERRIDE=FQ","FILING_STATUS=OR","EQY_CONSOLIDATED=Y","Sort=A","Dates=H","DateFormat=P","Fill=—","Direction=H","UseDPDF=Y")</f>
        <v>#NAME?</v>
      </c>
      <c r="AA416" s="2" t="e">
        <f ca="1">_xll.BDH($C$403,"INVENTORY_GROWTH","FQ3 2016","FQ3 2016","Currency=INR","Period=FQ","BEST_FPERIOD_OVERRIDE=FQ","FILING_STATUS=OR","EQY_CONSOLIDATED=Y","Sort=A","Dates=H","DateFormat=P","Fill=—","Direction=H","UseDPDF=Y")</f>
        <v>#NAME?</v>
      </c>
      <c r="AB416" s="2" t="e">
        <f ca="1">_xll.BDH($C$403,"NET_FIXED_ASSETS_1_YEAR_GROWTH","FQ3 2016","FQ3 2016","Currency=INR","Period=FQ","BEST_FPERIOD_OVERRIDE=FQ","FILING_STATUS=OR","EQY_CONSOLIDATED=Y","Sort=A","Dates=H","DateFormat=P","Fill=—","Direction=H","UseDPDF=Y")</f>
        <v>#NAME?</v>
      </c>
      <c r="AC416" s="2" t="e">
        <f ca="1">_xll.BDH($C$403,"ASSET_GROWTH","FQ3 2016","FQ3 2016","Currency=INR","Period=FQ","BEST_FPERIOD_OVERRIDE=FQ","FILING_STATUS=OR","EQY_CONSOLIDATED=Y","Sort=A","Dates=H","DateFormat=P","Fill=—","Direction=H","UseDPDF=Y")</f>
        <v>#NAME?</v>
      </c>
      <c r="AD416" s="2" t="e">
        <f ca="1">_xll.BDH($C$403,"MODIFIED_WORK_CAP_GROWTH","FQ3 2016","FQ3 2016","Currency=INR","Period=FQ","BEST_FPERIOD_OVERRIDE=FQ","FILING_STATUS=OR","EQY_CONSOLIDATED=Y","Sort=A","Dates=H","DateFormat=P","Fill=—","Direction=H","UseDPDF=Y")</f>
        <v>#NAME?</v>
      </c>
      <c r="AE416" s="2" t="e">
        <f ca="1">_xll.BDH($C$403,"WORK_CAP_GROWTH","FQ3 2016","FQ3 2016","Currency=INR","Period=FQ","BEST_FPERIOD_OVERRIDE=FQ","FILING_STATUS=OR","EQY_CONSOLIDATED=Y","Sort=A","Dates=H","DateFormat=P","Fill=—","Direction=H","UseDPDF=Y")</f>
        <v>#NAME?</v>
      </c>
      <c r="AF416" s="2" t="e">
        <f ca="1">_xll.BDH($C$403,"ACCOUNTS_PAYABLE_GROWTH_1YR","FQ3 2016","FQ3 2016","Currency=INR","Period=FQ","BEST_FPERIOD_OVERRIDE=FQ","FILING_STATUS=OR","EQY_CONSOLIDATED=Y","Sort=A","Dates=H","DateFormat=P","Fill=—","Direction=H","UseDPDF=Y")</f>
        <v>#NAME?</v>
      </c>
      <c r="AG416" s="2" t="e">
        <f ca="1">_xll.BDH($C$403,"SHORT_TERM_DEBT_1_YEAR_GROWTH","FQ3 2016","FQ3 2016","Currency=INR","Period=FQ","BEST_FPERIOD_OVERRIDE=FQ","FILING_STATUS=OR","EQY_CONSOLIDATED=Y","Sort=A","Dates=H","DateFormat=P","Fill=—","Direction=H","UseDPDF=Y")</f>
        <v>#NAME?</v>
      </c>
      <c r="AH416" s="2" t="e">
        <f ca="1">_xll.BDH($C$403,"TOTAL_DEBT_1_YEAR_GROWTH","FQ3 2016","FQ3 2016","Currency=INR","Period=FQ","BEST_FPERIOD_OVERRIDE=FQ","FILING_STATUS=OR","EQY_CONSOLIDATED=Y","Sort=A","Dates=H","DateFormat=P","Fill=—","Direction=H","UseDPDF=Y")</f>
        <v>#NAME?</v>
      </c>
      <c r="AI416" s="2" t="e">
        <f ca="1">_xll.BDH($C$403,"TOTAL_EQUITY_1_YEAR_GROWTH","FQ3 2016","FQ3 2016","Currency=INR","Period=FQ","BEST_FPERIOD_OVERRIDE=FQ","FILING_STATUS=OR","EQY_CONSOLIDATED=Y","Sort=A","Dates=H","DateFormat=P","Fill=—","Direction=H","UseDPDF=Y")</f>
        <v>#NAME?</v>
      </c>
      <c r="AJ416" s="2" t="e">
        <f ca="1">_xll.BDH($C$403,"GROWTH_IN_CAP","FQ3 2016","FQ3 2016","Currency=INR","Period=FQ","BEST_FPERIOD_OVERRIDE=FQ","FILING_STATUS=OR","EQY_CONSOLIDATED=Y","Sort=A","Dates=H","DateFormat=P","Fill=—","Direction=H","UseDPDF=Y")</f>
        <v>#NAME?</v>
      </c>
      <c r="AK416" s="2" t="e">
        <f ca="1">_xll.BDH($C$403,"BVPS_GROWTH","FQ3 2016","FQ3 2016","Currency=INR","Period=FQ","BEST_FPERIOD_OVERRIDE=FQ","FILING_STATUS=OR","EQY_CONSOLIDATED=Y","Sort=A","Dates=H","DateFormat=P","Fill=—","Direction=H","UseDPDF=Y")</f>
        <v>#NAME?</v>
      </c>
      <c r="AL416" s="2" t="e">
        <f ca="1">_xll.BDH($C$403,"CASH_FLOW_GROWTH","FQ3 2016","FQ3 2016","Currency=INR","Period=FQ","BEST_FPERIOD_OVERRIDE=FQ","FILING_STATUS=OR","EQY_CONSOLIDATED=Y","Sort=A","Dates=H","DateFormat=P","Fill=—","Direction=H","UseDPDF=Y")</f>
        <v>#NAME?</v>
      </c>
      <c r="AM416" s="2" t="e">
        <f ca="1">_xll.BDH($C$403,"GEO_GROW_NET_SALES","FQ3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416" s="2" t="e">
        <f ca="1">_xll.BDH($C$403,"GEO_GROW_EBITDA","FQ3 2016","FQ3 2016","Currency=INR","Period=FQ","BEST_FPERIOD_OVERRIDE=FQ","FILING_STATUS=OR","EQY_CONSOLIDATED=Y","FA_ADJUSTED=GAAP","Sort=A","Dates=H","DateFormat=P","Fill=—","Direction=H","UseDPDF=Y")</f>
        <v>#NAME?</v>
      </c>
      <c r="AO416" s="2" t="e">
        <f ca="1">_xll.BDH($C$403,"GEO_GROW_OPER_INC","FQ3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416" s="2" t="e">
        <f ca="1">_xll.BDH($C$403,"NET_INCOME_TO_COMMON_5_YR_GROWTH","FQ3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416" s="2" t="e">
        <f ca="1">_xll.BDH($C$403,"5Y_GEO_GROWTH_DILUTED_EPS","FQ3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416" s="2" t="e">
        <f ca="1">_xll.BDH($C$403,"GEO_GROW_DVD_PER_SH","FQ3 2016","FQ3 2016","Currency=INR","Period=FQ","BEST_FPERIOD_OVERRIDE=FQ","FILING_STATUS=OR","EQY_CONSOLIDATED=Y","Sort=A","Dates=H","DateFormat=P","Fill=—","Direction=H","UseDPDF=Y")</f>
        <v>#NAME?</v>
      </c>
      <c r="AS416" s="2" t="e">
        <f ca="1">_xll.BDH($C$403,"ACCOUNTS_RECEIVABLE_5_YR_GROWTH","FQ3 2016","FQ3 2016","Currency=INR","Period=FQ","BEST_FPERIOD_OVERRIDE=FQ","FILING_STATUS=OR","EQY_CONSOLIDATED=Y","Sort=A","Dates=H","DateFormat=P","Fill=—","Direction=H","UseDPDF=Y")</f>
        <v>#NAME?</v>
      </c>
      <c r="AT416" s="2" t="e">
        <f ca="1">_xll.BDH($C$403,"INVENTORY_5_YEAR_GROWTH","FQ3 2016","FQ3 2016","Currency=INR","Period=FQ","BEST_FPERIOD_OVERRIDE=FQ","FILING_STATUS=OR","EQY_CONSOLIDATED=Y","Sort=A","Dates=H","DateFormat=P","Fill=—","Direction=H","UseDPDF=Y")</f>
        <v>#NAME?</v>
      </c>
      <c r="AU416" s="2" t="e">
        <f ca="1">_xll.BDH($C$403,"NET_FIXED_ASSETS_5_YEAR_GROWTH","FQ3 2016","FQ3 2016","Currency=INR","Period=FQ","BEST_FPERIOD_OVERRIDE=FQ","FILING_STATUS=OR","EQY_CONSOLIDATED=Y","Sort=A","Dates=H","DateFormat=P","Fill=—","Direction=H","UseDPDF=Y")</f>
        <v>#NAME?</v>
      </c>
      <c r="AV416" s="2" t="e">
        <f ca="1">_xll.BDH($C$403,"GEO_GROW_TOT_ASSET","FQ3 2016","FQ3 2016","Currency=INR","Period=FQ","BEST_FPERIOD_OVERRIDE=FQ","FILING_STATUS=OR","EQY_CONSOLIDATED=Y","Sort=A","Dates=H","DateFormat=P","Fill=—","Direction=H","UseDPDF=Y")</f>
        <v>#NAME?</v>
      </c>
      <c r="AW416" s="2" t="e">
        <f ca="1">_xll.BDH($C$403,"MODIFIED_WORKING_CPTL_5YR_GRWTH","FQ3 2016","FQ3 2016","Currency=INR","Period=FQ","BEST_FPERIOD_OVERRIDE=FQ","FILING_STATUS=OR","EQY_CONSOLIDATED=Y","Sort=A","Dates=H","DateFormat=P","Fill=—","Direction=H","UseDPDF=Y")</f>
        <v>#NAME?</v>
      </c>
      <c r="AX416" s="2" t="e">
        <f ca="1">_xll.BDH($C$403,"WORKING_CAPITAL_5_YEAR_GROWTH","FQ3 2016","FQ3 2016","Currency=INR","Period=FQ","BEST_FPERIOD_OVERRIDE=FQ","FILING_STATUS=OR","EQY_CONSOLIDATED=Y","Sort=A","Dates=H","DateFormat=P","Fill=—","Direction=H","UseDPDF=Y")</f>
        <v>#NAME?</v>
      </c>
      <c r="AY416" s="2" t="e">
        <f ca="1">_xll.BDH($C$403,"ACCOUNTS_PAYABLE_5_YEAR_GROWTH","FQ3 2016","FQ3 2016","Currency=INR","Period=FQ","BEST_FPERIOD_OVERRIDE=FQ","FILING_STATUS=OR","EQY_CONSOLIDATED=Y","Sort=A","Dates=H","DateFormat=P","Fill=—","Direction=H","UseDPDF=Y")</f>
        <v>#NAME?</v>
      </c>
      <c r="AZ416" s="2" t="e">
        <f ca="1">_xll.BDH($C$403,"SHORT_TERM_DEBT_5_YEAR_GROWTH","FQ3 2016","FQ3 2016","Currency=INR","Period=FQ","BEST_FPERIOD_OVERRIDE=FQ","FILING_STATUS=OR","EQY_CONSOLIDATED=Y","Sort=A","Dates=H","DateFormat=P","Fill=—","Direction=H","UseDPDF=Y")</f>
        <v>#NAME?</v>
      </c>
      <c r="BA416" s="2" t="e">
        <f ca="1">_xll.BDH($C$403,"TOTAL_DEBT_5_YEAR_GROWTH","FQ3 2016","FQ3 2016","Currency=INR","Period=FQ","BEST_FPERIOD_OVERRIDE=FQ","FILING_STATUS=OR","EQY_CONSOLIDATED=Y","Sort=A","Dates=H","DateFormat=P","Fill=—","Direction=H","UseDPDF=Y")</f>
        <v>#NAME?</v>
      </c>
      <c r="BB416" s="2" t="e">
        <f ca="1">_xll.BDH($C$403,"GEO_GROW_TOT_SHRHLDR_EQY","FQ3 2016","FQ3 2016","Currency=INR","Period=FQ","BEST_FPERIOD_OVERRIDE=FQ","FILING_STATUS=OR","EQY_CONSOLIDATED=Y","Sort=A","Dates=H","DateFormat=P","Fill=—","Direction=H","UseDPDF=Y")</f>
        <v>#NAME?</v>
      </c>
      <c r="BC416" s="2" t="e">
        <f ca="1">_xll.BDH($C$403,"TOTAL_CAPITAL_5_YEAR_GROWTH","FQ3 2016","FQ3 2016","Currency=INR","Period=FQ","BEST_FPERIOD_OVERRIDE=FQ","FILING_STATUS=OR","EQY_CONSOLIDATED=Y","Sort=A","Dates=H","DateFormat=P","Fill=—","Direction=H","UseDPDF=Y")</f>
        <v>#NAME?</v>
      </c>
      <c r="BD416" s="2" t="e">
        <f ca="1">_xll.BDH($C$403,"GEO_GROW_BOOK_VAL","FQ3 2016","FQ3 2016","Currency=INR","Period=FQ","BEST_FPERIOD_OVERRIDE=FQ","FILING_STATUS=OR","EQY_CONSOLIDATED=Y","Sort=A","Dates=H","DateFormat=P","Fill=—","Direction=H","UseDPDF=Y")</f>
        <v>#NAME?</v>
      </c>
      <c r="BE416" s="2" t="e">
        <f ca="1">_xll.BDH($C$403,"GEO_GROW_CASH_OPER_ACT","FQ3 2016","FQ3 2016","Currency=INR","Period=FQ","BEST_FPERIOD_OVERRIDE=FQ","FILING_STATUS=OR","EQY_CONSOLIDATED=Y","Sort=A","Dates=H","DateFormat=P","Fill=—","Direction=H","UseDPDF=Y")</f>
        <v>#NAME?</v>
      </c>
      <c r="BF416" s="2" t="e">
        <f ca="1">_xll.BDH($C$403,"REVENUE_SEQUENTIAL_GROWTH","FQ3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416" s="2" t="e">
        <f ca="1">_xll.BDH($C$403,"EBITDA_SEQUENTIAL_GROWTH","FQ3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416" s="2" t="e">
        <f ca="1">_xll.BDH($C$403,"OPERATING_INCOME_SEQ_GROWTH","FQ3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416" s="2" t="e">
        <f ca="1">_xll.BDH($C$403,"NET_INCOME_TO_COMMON_SEQ_GROWTH","FQ3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416" s="2" t="e">
        <f ca="1">_xll.BDH($C$403,"EPS_DILUTED_SEQUENTIAL_GROWTH","FQ3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416" s="2" t="e">
        <f ca="1">_xll.BDH($C$403,"DPS_SEQUENTIAL_GROWTH","FQ3 2016","FQ3 2016","Currency=INR","Period=FQ","BEST_FPERIOD_OVERRIDE=FQ","FILING_STATUS=OR","EQY_CONSOLIDATED=Y","Sort=A","Dates=H","DateFormat=P","Fill=—","Direction=H","UseDPDF=Y")</f>
        <v>#NAME?</v>
      </c>
      <c r="BL416" s="2" t="e">
        <f ca="1">_xll.BDH($C$403,"ACCOUNTS_RECEIVABLE_SEQ_GROWTH","FQ3 2016","FQ3 2016","Currency=INR","Period=FQ","BEST_FPERIOD_OVERRIDE=FQ","FILING_STATUS=OR","EQY_CONSOLIDATED=Y","Sort=A","Dates=H","DateFormat=P","Fill=—","Direction=H","UseDPDF=Y")</f>
        <v>#NAME?</v>
      </c>
      <c r="BM416" s="2" t="e">
        <f ca="1">_xll.BDH($C$403,"INVENTORY_SEQUENTIAL_GROWTH","FQ3 2016","FQ3 2016","Currency=INR","Period=FQ","BEST_FPERIOD_OVERRIDE=FQ","FILING_STATUS=OR","EQY_CONSOLIDATED=Y","Sort=A","Dates=H","DateFormat=P","Fill=—","Direction=H","UseDPDF=Y")</f>
        <v>#NAME?</v>
      </c>
      <c r="BN416" s="2" t="e">
        <f ca="1">_xll.BDH($C$403,"FIXED_ASSETS_SEQUENTIAL_GROWTH","FQ3 2016","FQ3 2016","Currency=INR","Period=FQ","BEST_FPERIOD_OVERRIDE=FQ","FILING_STATUS=OR","EQY_CONSOLIDATED=Y","Sort=A","Dates=H","DateFormat=P","Fill=—","Direction=H","UseDPDF=Y")</f>
        <v>#NAME?</v>
      </c>
      <c r="BO416" s="2" t="e">
        <f ca="1">_xll.BDH($C$403,"TOTAL_ASSETS_SEQUENTIAL_GROWTH","FQ3 2016","FQ3 2016","Currency=INR","Period=FQ","BEST_FPERIOD_OVERRIDE=FQ","FILING_STATUS=OR","EQY_CONSOLIDATED=Y","Sort=A","Dates=H","DateFormat=P","Fill=—","Direction=H","UseDPDF=Y")</f>
        <v>#NAME?</v>
      </c>
      <c r="BP416" s="2" t="e">
        <f ca="1">_xll.BDH($C$403,"MODIFIED_WORKING_CPTL_SEQ_GRWTH","FQ3 2016","FQ3 2016","Currency=INR","Period=FQ","BEST_FPERIOD_OVERRIDE=FQ","FILING_STATUS=OR","EQY_CONSOLIDATED=Y","Sort=A","Dates=H","DateFormat=P","Fill=—","Direction=H","UseDPDF=Y")</f>
        <v>#NAME?</v>
      </c>
      <c r="BQ416" s="2" t="e">
        <f ca="1">_xll.BDH($C$403,"WORKING_CAPITAL_SEQ_GROWTH","FQ3 2016","FQ3 2016","Currency=INR","Period=FQ","BEST_FPERIOD_OVERRIDE=FQ","FILING_STATUS=OR","EQY_CONSOLIDATED=Y","Sort=A","Dates=H","DateFormat=P","Fill=—","Direction=H","UseDPDF=Y")</f>
        <v>#NAME?</v>
      </c>
      <c r="BR416" s="2" t="e">
        <f ca="1">_xll.BDH($C$403,"ACCOUNTS_PAYABLE_SEQ_GROWTH","FQ3 2016","FQ3 2016","Currency=INR","Period=FQ","BEST_FPERIOD_OVERRIDE=FQ","FILING_STATUS=OR","EQY_CONSOLIDATED=Y","Sort=A","Dates=H","DateFormat=P","Fill=—","Direction=H","UseDPDF=Y")</f>
        <v>#NAME?</v>
      </c>
      <c r="BS416" s="2" t="e">
        <f ca="1">_xll.BDH($C$403,"ST_DEBT_SEQUENTIAL_GROWTH","FQ3 2016","FQ3 2016","Currency=INR","Period=FQ","BEST_FPERIOD_OVERRIDE=FQ","FILING_STATUS=OR","EQY_CONSOLIDATED=Y","Sort=A","Dates=H","DateFormat=P","Fill=—","Direction=H","UseDPDF=Y")</f>
        <v>#NAME?</v>
      </c>
      <c r="BT416" s="2" t="e">
        <f ca="1">_xll.BDH($C$403,"TOTAL_DEBT_SEQUENTIAL_GROWTH","FQ3 2016","FQ3 2016","Currency=INR","Period=FQ","BEST_FPERIOD_OVERRIDE=FQ","FILING_STATUS=OR","EQY_CONSOLIDATED=Y","Sort=A","Dates=H","DateFormat=P","Fill=—","Direction=H","UseDPDF=Y")</f>
        <v>#NAME?</v>
      </c>
      <c r="BU416" s="2" t="e">
        <f ca="1">_xll.BDH($C$403,"TOTAL_EQUITY_SEQUENTIAL_GROWTH","FQ3 2016","FQ3 2016","Currency=INR","Period=FQ","BEST_FPERIOD_OVERRIDE=FQ","FILING_STATUS=OR","EQY_CONSOLIDATED=Y","Sort=A","Dates=H","DateFormat=P","Fill=—","Direction=H","UseDPDF=Y")</f>
        <v>#NAME?</v>
      </c>
      <c r="BV416" s="2" t="e">
        <f ca="1">_xll.BDH($C$403,"TOTAL_CAPITAL_SEQUENTIAL_GROWTH","FQ3 2016","FQ3 2016","Currency=INR","Period=FQ","BEST_FPERIOD_OVERRIDE=FQ","FILING_STATUS=OR","EQY_CONSOLIDATED=Y","Sort=A","Dates=H","DateFormat=P","Fill=—","Direction=H","UseDPDF=Y")</f>
        <v>#NAME?</v>
      </c>
      <c r="BW416" s="2" t="e">
        <f ca="1">_xll.BDH($C$403,"BPS_SEQUENTIAL_GROWTH","FQ3 2016","FQ3 2016","Currency=INR","Period=FQ","BEST_FPERIOD_OVERRIDE=FQ","FILING_STATUS=OR","EQY_CONSOLIDATED=Y","Sort=A","Dates=H","DateFormat=P","Fill=—","Direction=H","UseDPDF=Y")</f>
        <v>#NAME?</v>
      </c>
      <c r="BX416" s="2" t="e">
        <f ca="1">_xll.BDH($C$403,"CFO_SEQUENTIAL_GROWTH","FQ3 2016","FQ3 2016","Currency=INR","Period=FQ","BEST_FPERIOD_OVERRIDE=FQ","FILING_STATUS=OR","EQY_CONSOLIDATED=Y","Sort=A","Dates=H","DateFormat=P","Fill=—","Direction=H","UseDPDF=Y")</f>
        <v>#NAME?</v>
      </c>
      <c r="BY416" s="3" t="e">
        <f ca="1">_xll.BDH($C$403,"SHORT_AND_LONG_TERM_DEBT","FQ3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416" s="3" t="e">
        <f ca="1">_xll.BDH($C$403,"BS_ST_BORROW","FQ3 2016","FQ3 2016","Currency=INR","Period=FQ","BEST_FPERIOD_OVERRIDE=FQ","FILING_STATUS=OR","EQY_CONSOLIDATED=Y","SCALING_FORMAT=MLN","Sort=A","Dates=H","DateFormat=P","Fill=—","Direction=H","UseDPDF=Y")</f>
        <v>#NAME?</v>
      </c>
      <c r="CA416" s="3" t="e">
        <f ca="1">_xll.BDH($C$403,"BS_LT_BORROW","FQ3 2016","FQ3 2016","Currency=INR","Period=FQ","BEST_FPERIOD_OVERRIDE=FQ","FILING_STATUS=OR","EQY_CONSOLIDATED=Y","SCALING_FORMAT=MLN","Sort=A","Dates=H","DateFormat=P","Fill=—","Direction=H","UseDPDF=Y")</f>
        <v>#NAME?</v>
      </c>
      <c r="CB416" s="2" t="e">
        <f ca="1">_xll.BDH($C$403,"TOT_DEBT_TO_EBITDA","FQ3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416" s="2" t="e">
        <f ca="1">_xll.BDH($C$403,"NET_DEBT_TO_EBITDA","FQ3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416" s="2" t="e">
        <f ca="1">_xll.BDH($C$403,"TOTAL_DEBT_TO_EBIT","FQ3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416" s="2" t="e">
        <f ca="1">_xll.BDH($C$403,"NET_DEBT_TO_EBIT","FQ3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416" s="2" t="e">
        <f ca="1">_xll.BDH($C$403,"EBITDA_TO_INTEREST_EXPN","FQ3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416" s="2" t="e">
        <f ca="1">_xll.BDH($C$403,"COM_EQY_TO_TOT_ASSET","FQ3 2016","FQ3 2016","Currency=INR","Period=FQ","BEST_FPERIOD_OVERRIDE=FQ","FILING_STATUS=OR","EQY_CONSOLIDATED=Y","Sort=A","Dates=H","DateFormat=P","Fill=—","Direction=H","UseDPDF=Y")</f>
        <v>#NAME?</v>
      </c>
      <c r="CH416" s="2" t="e">
        <f ca="1">_xll.BDH($C$403,"LT_DEBT_TO_TOT_EQY","FQ3 2016","FQ3 2016","Currency=INR","Period=FQ","BEST_FPERIOD_OVERRIDE=FQ","FILING_STATUS=OR","EQY_CONSOLIDATED=Y","Sort=A","Dates=H","DateFormat=P","Fill=—","Direction=H","UseDPDF=Y")</f>
        <v>#NAME?</v>
      </c>
      <c r="CI416" s="2" t="e">
        <f ca="1">_xll.BDH($C$403,"LT_DEBT_TO_TOT_CAP","FQ3 2016","FQ3 2016","Currency=INR","Period=FQ","BEST_FPERIOD_OVERRIDE=FQ","FILING_STATUS=OR","EQY_CONSOLIDATED=Y","Sort=A","Dates=H","DateFormat=P","Fill=—","Direction=H","UseDPDF=Y")</f>
        <v>#NAME?</v>
      </c>
      <c r="CJ416" s="2" t="e">
        <f ca="1">_xll.BDH($C$403,"LT_DEBT_TO_TOT_ASSET","FQ3 2016","FQ3 2016","Currency=INR","Period=FQ","BEST_FPERIOD_OVERRIDE=FQ","FILING_STATUS=OR","EQY_CONSOLIDATED=Y","Sort=A","Dates=H","DateFormat=P","Fill=—","Direction=H","UseDPDF=Y")</f>
        <v>#NAME?</v>
      </c>
      <c r="CK416" s="2" t="e">
        <f ca="1">_xll.BDH($C$403,"TOT_DEBT_TO_TOT_EQY","FQ3 2016","FQ3 2016","Currency=INR","Period=FQ","BEST_FPERIOD_OVERRIDE=FQ","FILING_STATUS=OR","EQY_CONSOLIDATED=Y","Sort=A","Dates=H","DateFormat=P","Fill=—","Direction=H","UseDPDF=Y")</f>
        <v>#NAME?</v>
      </c>
      <c r="CL416" s="2" t="e">
        <f ca="1">_xll.BDH($C$403,"TOT_DEBT_TO_TOT_CAP","FQ3 2016","FQ3 2016","Currency=INR","Period=FQ","BEST_FPERIOD_OVERRIDE=FQ","FILING_STATUS=OR","EQY_CONSOLIDATED=Y","Sort=A","Dates=H","DateFormat=P","Fill=—","Direction=H","UseDPDF=Y")</f>
        <v>#NAME?</v>
      </c>
      <c r="CM416" s="2" t="e">
        <f ca="1">_xll.BDH($C$403,"TOT_DEBT_TO_TOT_ASSET","FQ3 2016","FQ3 2016","Currency=INR","Period=FQ","BEST_FPERIOD_OVERRIDE=FQ","FILING_STATUS=OR","EQY_CONSOLIDATED=Y","Sort=A","Dates=H","DateFormat=P","Fill=—","Direction=H","UseDPDF=Y")</f>
        <v>#NAME?</v>
      </c>
      <c r="CN416" s="2" t="e">
        <f ca="1">_xll.BDH($C$403,"NET_DEBT_TO_SHRHLDR_EQTY","FQ3 2016","FQ3 2016","Currency=INR","Period=FQ","BEST_FPERIOD_OVERRIDE=FQ","FILING_STATUS=OR","EQY_CONSOLIDATED=Y","Sort=A","Dates=H","DateFormat=P","Fill=—","Direction=H","UseDPDF=Y")</f>
        <v>#NAME?</v>
      </c>
      <c r="CO416" s="2" t="e">
        <f ca="1">_xll.BDH($C$403,"NET_DEBT_%_CAPITAL","FQ3 2016","FQ3 2016","Currency=INR","Period=FQ","BEST_FPERIOD_OVERRIDE=FQ","FILING_STATUS=OR","EQY_CONSOLIDATED=Y","Sort=A","Dates=H","DateFormat=P","Fill=—","Direction=H","UseDPDF=Y")</f>
        <v>#NAME?</v>
      </c>
      <c r="CP416" s="3" t="e">
        <f ca="1">_xll.BDH($C$403,"EBITDA","FQ3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416" s="3" t="e">
        <f ca="1">_xll.BDH($C$403,"EBITDA_AFTER_CAPEX","FQ3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416" s="3" t="e">
        <f ca="1">_xll.BDH($C$403,"IS_OPER_INC","FQ3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416" s="2" t="e">
        <f ca="1">_xll.BDH($C$403,"CASH_RATIO","FQ3 2016","FQ3 2016","Currency=INR","Period=FQ","BEST_FPERIOD_OVERRIDE=FQ","FILING_STATUS=OR","EQY_CONSOLIDATED=Y","Sort=A","Dates=H","DateFormat=P","Fill=—","Direction=H","UseDPDF=Y")</f>
        <v>#NAME?</v>
      </c>
      <c r="CT416" s="2" t="e">
        <f ca="1">_xll.BDH($C$403,"CUR_RATIO","FQ3 2016","FQ3 2016","Currency=INR","Period=FQ","BEST_FPERIOD_OVERRIDE=FQ","FILING_STATUS=OR","EQY_CONSOLIDATED=Y","Sort=A","Dates=H","DateFormat=P","Fill=—","Direction=H","UseDPDF=Y")</f>
        <v>#NAME?</v>
      </c>
      <c r="CU416" s="2" t="e">
        <f ca="1">_xll.BDH($C$403,"QUICK_RATIO","FQ3 2016","FQ3 2016","Currency=INR","Period=FQ","BEST_FPERIOD_OVERRIDE=FQ","FILING_STATUS=OR","EQY_CONSOLIDATED=Y","Sort=A","Dates=H","DateFormat=P","Fill=—","Direction=H","UseDPDF=Y")</f>
        <v>#NAME?</v>
      </c>
      <c r="CV416" s="2" t="e">
        <f ca="1">_xll.BDH($C$403,"ALTMAN_Z_SCORE","FQ3 2016","FQ3 2016","Currency=INR","Period=FQ","BEST_FPERIOD_OVERRIDE=FQ","FILING_STATUS=OR","EQY_CONSOLIDATED=Y","Sort=A","Dates=H","DateFormat=P","Fill=—","Direction=H","UseDPDF=Y")</f>
        <v>#NAME?</v>
      </c>
      <c r="CW416" s="4" t="e">
        <f ca="1">_xll.BDH($C$403,"ACCT_RCV_TURN","FQ3 2016","FQ3 2016","Currency=INR","Period=FQ","BEST_FPERIOD_OVERRIDE=FQ","FILING_STATUS=OR","EQY_CONSOLIDATED=Y","FA_ADJUSTED=GAAP","Sort=A","Dates=H","DateFormat=P","Fill=—","Direction=H","UseDPDF=Y")</f>
        <v>#NAME?</v>
      </c>
      <c r="CX416" s="2" t="e">
        <f ca="1">_xll.BDH($C$403,"ACCT_RCV_DAYS","FQ3 2016","FQ3 2016","Currency=INR","Period=FQ","BEST_FPERIOD_OVERRIDE=FQ","FILING_STATUS=OR","EQY_CONSOLIDATED=Y","FA_ADJUSTED=GAAP","Sort=A","Dates=H","DateFormat=P","Fill=—","Direction=H","UseDPDF=Y")</f>
        <v>#NAME?</v>
      </c>
      <c r="CY416" s="4" t="e">
        <f ca="1">_xll.BDH($C$403,"INVENT_TURN","FQ3 2016","FQ3 2016","Currency=INR","Period=FQ","BEST_FPERIOD_OVERRIDE=FQ","FILING_STATUS=OR","EQY_CONSOLIDATED=Y","FA_ADJUSTED=GAAP","Sort=A","Dates=H","DateFormat=P","Fill=—","Direction=H","UseDPDF=Y")</f>
        <v>#NAME?</v>
      </c>
      <c r="CZ416" s="2" t="e">
        <f ca="1">_xll.BDH($C$403,"INVENT_DAYS","FQ3 2016","FQ3 2016","Currency=INR","Period=FQ","BEST_FPERIOD_OVERRIDE=FQ","FILING_STATUS=OR","EQY_CONSOLIDATED=Y","FA_ADJUSTED=GAAP","Sort=A","Dates=H","DateFormat=P","Fill=—","Direction=H","UseDPDF=Y")</f>
        <v>#NAME?</v>
      </c>
      <c r="DA416" s="4" t="e">
        <f ca="1">_xll.BDH($C$403,"ACCOUNTS_PAYABLE_TURNOVER","FQ3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416" s="2" t="e">
        <f ca="1">_xll.BDH($C$403,"ACCOUNTS_PAYABLE_TURNOVER_DAYS","FQ3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416" s="4" t="e">
        <f ca="1">_xll.BDH($C$403,"CASH_CONVERSION_CYCLE","FQ3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416" s="4" t="e">
        <f ca="1">_xll.BDH($C$403,"INV_TO_CASH_DAYS","FQ3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416" s="5" t="e">
        <f ca="1">_xll.BDH($C$403,"BS_INVENTORIES","FQ3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416" s="3" t="e">
        <f ca="1">_xll.BDH($C$403,"INVTRY_RAW_MATERIALS","FQ3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416" s="3" t="e">
        <f ca="1">_xll.BDH($C$403,"INVTRY_IN_PROGRESS","FQ3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416" s="3" t="e">
        <f ca="1">_xll.BDH($C$403,"INVTRY_FINISHED_GOODS","FQ3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416" s="3" t="e">
        <f ca="1">_xll.BDH($C$403,"BS_OTHER_INV","FQ3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417" spans="1:113" x14ac:dyDescent="0.3">
      <c r="A417" s="6"/>
      <c r="B417" s="6"/>
      <c r="C417" s="6"/>
      <c r="D417" s="6"/>
      <c r="E417" t="s">
        <v>81</v>
      </c>
      <c r="F417" t="e">
        <f ca="1">_xll.BDH($C$403,"RETURN_COM_EQY","FQ4 2016","FQ4 2016","Currency=INR","Period=FQ","BEST_FPERIOD_OVERRIDE=FQ","FILING_STATUS=OR","EQY_CONSOLIDATED=Y","FA_ADJUSTED=GAAP","Sort=A","Dates=H","DateFormat=P","Fill=—","Direction=H","UseDPDF=Y")</f>
        <v>#NAME?</v>
      </c>
      <c r="G417" t="e">
        <f ca="1">_xll.BDH($C$403,"RETURN_ON_ASSET","FQ4 2016","FQ4 2016","Currency=INR","Period=FQ","BEST_FPERIOD_OVERRIDE=FQ","FILING_STATUS=OR","EQY_CONSOLIDATED=Y","FA_ADJUSTED=GAAP","Sort=A","Dates=H","DateFormat=P","Fill=—","Direction=H","UseDPDF=Y")</f>
        <v>#NAME?</v>
      </c>
      <c r="H417" t="e">
        <f ca="1">_xll.BDH($C$403,"RETURN_ON_CAP","FQ4 2016","FQ4 2016","Currency=INR","Period=FQ","BEST_FPERIOD_OVERRIDE=FQ","FILING_STATUS=OR","EQY_CONSOLIDATED=Y","FA_ADJUSTED=GAAP","Sort=A","Dates=H","DateFormat=P","Fill=—","Direction=H","UseDPDF=Y")</f>
        <v>#NAME?</v>
      </c>
      <c r="I417" t="e">
        <f ca="1">_xll.BDH($C$403,"RETURN_ON_INV_CAPITAL","FQ4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417" t="e">
        <f ca="1">_xll.BDH($C$403,"EBITDA_TO_REVENUE","FQ4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417" t="e">
        <f ca="1">_xll.BDH($C$403,"OPER_MARGIN","FQ4 2016","FQ4 2016","Currency=INR","Period=FQ","BEST_FPERIOD_OVERRIDE=FQ","FILING_STATUS=OR","EQY_CONSOLIDATED=Y","FA_ADJUSTED=GAAP","Sort=A","Dates=H","DateFormat=P","Fill=—","Direction=H","UseDPDF=Y")</f>
        <v>#NAME?</v>
      </c>
      <c r="L417" t="e">
        <f ca="1">_xll.BDH($C$403,"INCREMENTAL_OPERATING_MARGIN","FQ4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417" t="e">
        <f ca="1">_xll.BDH($C$403,"PRETAX_INC_TO_NET_SALES","FQ4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417" t="e">
        <f ca="1">_xll.BDH($C$403,"INC_BEF_XO_ITEMS_TO_NET_SALES","FQ4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417" t="e">
        <f ca="1">_xll.BDH($C$403,"PROF_MARGIN","FQ4 2016","FQ4 2016","Currency=INR","Period=FQ","BEST_FPERIOD_OVERRIDE=FQ","FILING_STATUS=OR","EQY_CONSOLIDATED=Y","FA_ADJUSTED=GAAP","Sort=A","Dates=H","DateFormat=P","Fill=—","Direction=H","UseDPDF=Y")</f>
        <v>#NAME?</v>
      </c>
      <c r="P417" t="e">
        <f ca="1">_xll.BDH($C$403,"NET_INCOME_TO_COMMON_MARGIN","FQ4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417" t="e">
        <f ca="1">_xll.BDH($C$403,"EFF_TAX_RATE","FQ4 2016","FQ4 2016","Currency=INR","Period=FQ","BEST_FPERIOD_OVERRIDE=FQ","FILING_STATUS=OR","EQY_CONSOLIDATED=Y","FA_ADJUSTED=GAAP","Sort=A","Dates=H","DateFormat=P","Fill=—","Direction=H","UseDPDF=Y")</f>
        <v>#NAME?</v>
      </c>
      <c r="R417" t="e">
        <f ca="1">_xll.BDH($C$403,"DVD_PAYOUT_RATIO","FQ4 2016","FQ4 2016","Currency=INR","Period=FQ","BEST_FPERIOD_OVERRIDE=FQ","FILING_STATUS=OR","EQY_CONSOLIDATED=Y","FA_ADJUSTED=GAAP","Sort=A","Dates=H","DateFormat=P","Fill=—","Direction=H","UseDPDF=Y")</f>
        <v>#NAME?</v>
      </c>
      <c r="S417" t="e">
        <f ca="1">_xll.BDH($C$403,"SUSTAIN_GROWTH_RT","FQ4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417" s="2" t="e">
        <f ca="1">_xll.BDH($C$403,"SALES_GROWTH","FQ4 2016","FQ4 2016","Currency=INR","Period=FQ","BEST_FPERIOD_OVERRIDE=FQ","FILING_STATUS=OR","EQY_CONSOLIDATED=Y","FA_ADJUSTED=GAAP","Sort=A","Dates=H","DateFormat=P","Fill=—","Direction=H","UseDPDF=Y")</f>
        <v>#NAME?</v>
      </c>
      <c r="U417" s="2" t="e">
        <f ca="1">_xll.BDH($C$403,"EBITDA_GROWTH","FQ4 2016","FQ4 2016","Currency=INR","Period=FQ","BEST_FPERIOD_OVERRIDE=FQ","FILING_STATUS=OR","EQY_CONSOLIDATED=Y","FA_ADJUSTED=GAAP","Sort=A","Dates=H","DateFormat=P","Fill=—","Direction=H","UseDPDF=Y")</f>
        <v>#NAME?</v>
      </c>
      <c r="V417" s="2" t="e">
        <f ca="1">_xll.BDH($C$403,"OPER_INC_GROWTH","FQ4 2016","FQ4 2016","Currency=INR","Period=FQ","BEST_FPERIOD_OVERRIDE=FQ","FILING_STATUS=OR","EQY_CONSOLIDATED=Y","FA_ADJUSTED=GAAP","Sort=A","Dates=H","DateFormat=P","Fill=—","Direction=H","UseDPDF=Y")</f>
        <v>#NAME?</v>
      </c>
      <c r="W417" s="2" t="e">
        <f ca="1">_xll.BDH($C$403,"EARN_FOR_COM_GROWTH","FQ4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417" s="2" t="e">
        <f ca="1">_xll.BDH($C$403,"DILUTED_EPS_AFT_XO_ITEMS_GROWTH","FQ4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417" s="2" t="e">
        <f ca="1">_xll.BDH($C$403,"DIVIDEND_PER_SHARE_1_YEAR_GROWTH","FQ4 2016","FQ4 2016","Currency=INR","Period=FQ","BEST_FPERIOD_OVERRIDE=FQ","FILING_STATUS=OR","EQY_CONSOLIDATED=Y","Sort=A","Dates=H","DateFormat=P","Fill=—","Direction=H","UseDPDF=Y")</f>
        <v>#NAME?</v>
      </c>
      <c r="Z417" s="2" t="e">
        <f ca="1">_xll.BDH($C$403,"ACCOUNTS_RECEIVABLE_GROWTH","FQ4 2016","FQ4 2016","Currency=INR","Period=FQ","BEST_FPERIOD_OVERRIDE=FQ","FILING_STATUS=OR","EQY_CONSOLIDATED=Y","Sort=A","Dates=H","DateFormat=P","Fill=—","Direction=H","UseDPDF=Y")</f>
        <v>#NAME?</v>
      </c>
      <c r="AA417" s="2" t="e">
        <f ca="1">_xll.BDH($C$403,"INVENTORY_GROWTH","FQ4 2016","FQ4 2016","Currency=INR","Period=FQ","BEST_FPERIOD_OVERRIDE=FQ","FILING_STATUS=OR","EQY_CONSOLIDATED=Y","Sort=A","Dates=H","DateFormat=P","Fill=—","Direction=H","UseDPDF=Y")</f>
        <v>#NAME?</v>
      </c>
      <c r="AB417" s="2" t="e">
        <f ca="1">_xll.BDH($C$403,"NET_FIXED_ASSETS_1_YEAR_GROWTH","FQ4 2016","FQ4 2016","Currency=INR","Period=FQ","BEST_FPERIOD_OVERRIDE=FQ","FILING_STATUS=OR","EQY_CONSOLIDATED=Y","Sort=A","Dates=H","DateFormat=P","Fill=—","Direction=H","UseDPDF=Y")</f>
        <v>#NAME?</v>
      </c>
      <c r="AC417" s="2" t="e">
        <f ca="1">_xll.BDH($C$403,"ASSET_GROWTH","FQ4 2016","FQ4 2016","Currency=INR","Period=FQ","BEST_FPERIOD_OVERRIDE=FQ","FILING_STATUS=OR","EQY_CONSOLIDATED=Y","Sort=A","Dates=H","DateFormat=P","Fill=—","Direction=H","UseDPDF=Y")</f>
        <v>#NAME?</v>
      </c>
      <c r="AD417" s="2" t="e">
        <f ca="1">_xll.BDH($C$403,"MODIFIED_WORK_CAP_GROWTH","FQ4 2016","FQ4 2016","Currency=INR","Period=FQ","BEST_FPERIOD_OVERRIDE=FQ","FILING_STATUS=OR","EQY_CONSOLIDATED=Y","Sort=A","Dates=H","DateFormat=P","Fill=—","Direction=H","UseDPDF=Y")</f>
        <v>#NAME?</v>
      </c>
      <c r="AE417" s="2" t="e">
        <f ca="1">_xll.BDH($C$403,"WORK_CAP_GROWTH","FQ4 2016","FQ4 2016","Currency=INR","Period=FQ","BEST_FPERIOD_OVERRIDE=FQ","FILING_STATUS=OR","EQY_CONSOLIDATED=Y","Sort=A","Dates=H","DateFormat=P","Fill=—","Direction=H","UseDPDF=Y")</f>
        <v>#NAME?</v>
      </c>
      <c r="AF417" s="2" t="e">
        <f ca="1">_xll.BDH($C$403,"ACCOUNTS_PAYABLE_GROWTH_1YR","FQ4 2016","FQ4 2016","Currency=INR","Period=FQ","BEST_FPERIOD_OVERRIDE=FQ","FILING_STATUS=OR","EQY_CONSOLIDATED=Y","Sort=A","Dates=H","DateFormat=P","Fill=—","Direction=H","UseDPDF=Y")</f>
        <v>#NAME?</v>
      </c>
      <c r="AG417" s="2" t="e">
        <f ca="1">_xll.BDH($C$403,"SHORT_TERM_DEBT_1_YEAR_GROWTH","FQ4 2016","FQ4 2016","Currency=INR","Period=FQ","BEST_FPERIOD_OVERRIDE=FQ","FILING_STATUS=OR","EQY_CONSOLIDATED=Y","Sort=A","Dates=H","DateFormat=P","Fill=—","Direction=H","UseDPDF=Y")</f>
        <v>#NAME?</v>
      </c>
      <c r="AH417" s="2" t="e">
        <f ca="1">_xll.BDH($C$403,"TOTAL_DEBT_1_YEAR_GROWTH","FQ4 2016","FQ4 2016","Currency=INR","Period=FQ","BEST_FPERIOD_OVERRIDE=FQ","FILING_STATUS=OR","EQY_CONSOLIDATED=Y","Sort=A","Dates=H","DateFormat=P","Fill=—","Direction=H","UseDPDF=Y")</f>
        <v>#NAME?</v>
      </c>
      <c r="AI417" s="2" t="e">
        <f ca="1">_xll.BDH($C$403,"TOTAL_EQUITY_1_YEAR_GROWTH","FQ4 2016","FQ4 2016","Currency=INR","Period=FQ","BEST_FPERIOD_OVERRIDE=FQ","FILING_STATUS=OR","EQY_CONSOLIDATED=Y","Sort=A","Dates=H","DateFormat=P","Fill=—","Direction=H","UseDPDF=Y")</f>
        <v>#NAME?</v>
      </c>
      <c r="AJ417" s="2" t="e">
        <f ca="1">_xll.BDH($C$403,"GROWTH_IN_CAP","FQ4 2016","FQ4 2016","Currency=INR","Period=FQ","BEST_FPERIOD_OVERRIDE=FQ","FILING_STATUS=OR","EQY_CONSOLIDATED=Y","Sort=A","Dates=H","DateFormat=P","Fill=—","Direction=H","UseDPDF=Y")</f>
        <v>#NAME?</v>
      </c>
      <c r="AK417" s="2" t="e">
        <f ca="1">_xll.BDH($C$403,"BVPS_GROWTH","FQ4 2016","FQ4 2016","Currency=INR","Period=FQ","BEST_FPERIOD_OVERRIDE=FQ","FILING_STATUS=OR","EQY_CONSOLIDATED=Y","Sort=A","Dates=H","DateFormat=P","Fill=—","Direction=H","UseDPDF=Y")</f>
        <v>#NAME?</v>
      </c>
      <c r="AL417" s="2" t="e">
        <f ca="1">_xll.BDH($C$403,"CASH_FLOW_GROWTH","FQ4 2016","FQ4 2016","Currency=INR","Period=FQ","BEST_FPERIOD_OVERRIDE=FQ","FILING_STATUS=OR","EQY_CONSOLIDATED=Y","Sort=A","Dates=H","DateFormat=P","Fill=—","Direction=H","UseDPDF=Y")</f>
        <v>#NAME?</v>
      </c>
      <c r="AM417" s="2" t="e">
        <f ca="1">_xll.BDH($C$403,"GEO_GROW_NET_SALES","FQ4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417" s="2" t="e">
        <f ca="1">_xll.BDH($C$403,"GEO_GROW_EBITDA","FQ4 2016","FQ4 2016","Currency=INR","Period=FQ","BEST_FPERIOD_OVERRIDE=FQ","FILING_STATUS=OR","EQY_CONSOLIDATED=Y","FA_ADJUSTED=GAAP","Sort=A","Dates=H","DateFormat=P","Fill=—","Direction=H","UseDPDF=Y")</f>
        <v>#NAME?</v>
      </c>
      <c r="AO417" s="2" t="e">
        <f ca="1">_xll.BDH($C$403,"GEO_GROW_OPER_INC","FQ4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417" s="2" t="e">
        <f ca="1">_xll.BDH($C$403,"NET_INCOME_TO_COMMON_5_YR_GROWTH","FQ4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417" s="2" t="e">
        <f ca="1">_xll.BDH($C$403,"5Y_GEO_GROWTH_DILUTED_EPS","FQ4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417" s="2" t="e">
        <f ca="1">_xll.BDH($C$403,"GEO_GROW_DVD_PER_SH","FQ4 2016","FQ4 2016","Currency=INR","Period=FQ","BEST_FPERIOD_OVERRIDE=FQ","FILING_STATUS=OR","EQY_CONSOLIDATED=Y","Sort=A","Dates=H","DateFormat=P","Fill=—","Direction=H","UseDPDF=Y")</f>
        <v>#NAME?</v>
      </c>
      <c r="AS417" s="2" t="e">
        <f ca="1">_xll.BDH($C$403,"ACCOUNTS_RECEIVABLE_5_YR_GROWTH","FQ4 2016","FQ4 2016","Currency=INR","Period=FQ","BEST_FPERIOD_OVERRIDE=FQ","FILING_STATUS=OR","EQY_CONSOLIDATED=Y","Sort=A","Dates=H","DateFormat=P","Fill=—","Direction=H","UseDPDF=Y")</f>
        <v>#NAME?</v>
      </c>
      <c r="AT417" s="2" t="e">
        <f ca="1">_xll.BDH($C$403,"INVENTORY_5_YEAR_GROWTH","FQ4 2016","FQ4 2016","Currency=INR","Period=FQ","BEST_FPERIOD_OVERRIDE=FQ","FILING_STATUS=OR","EQY_CONSOLIDATED=Y","Sort=A","Dates=H","DateFormat=P","Fill=—","Direction=H","UseDPDF=Y")</f>
        <v>#NAME?</v>
      </c>
      <c r="AU417" s="2" t="e">
        <f ca="1">_xll.BDH($C$403,"NET_FIXED_ASSETS_5_YEAR_GROWTH","FQ4 2016","FQ4 2016","Currency=INR","Period=FQ","BEST_FPERIOD_OVERRIDE=FQ","FILING_STATUS=OR","EQY_CONSOLIDATED=Y","Sort=A","Dates=H","DateFormat=P","Fill=—","Direction=H","UseDPDF=Y")</f>
        <v>#NAME?</v>
      </c>
      <c r="AV417" s="2" t="e">
        <f ca="1">_xll.BDH($C$403,"GEO_GROW_TOT_ASSET","FQ4 2016","FQ4 2016","Currency=INR","Period=FQ","BEST_FPERIOD_OVERRIDE=FQ","FILING_STATUS=OR","EQY_CONSOLIDATED=Y","Sort=A","Dates=H","DateFormat=P","Fill=—","Direction=H","UseDPDF=Y")</f>
        <v>#NAME?</v>
      </c>
      <c r="AW417" s="2" t="e">
        <f ca="1">_xll.BDH($C$403,"MODIFIED_WORKING_CPTL_5YR_GRWTH","FQ4 2016","FQ4 2016","Currency=INR","Period=FQ","BEST_FPERIOD_OVERRIDE=FQ","FILING_STATUS=OR","EQY_CONSOLIDATED=Y","Sort=A","Dates=H","DateFormat=P","Fill=—","Direction=H","UseDPDF=Y")</f>
        <v>#NAME?</v>
      </c>
      <c r="AX417" s="2" t="e">
        <f ca="1">_xll.BDH($C$403,"WORKING_CAPITAL_5_YEAR_GROWTH","FQ4 2016","FQ4 2016","Currency=INR","Period=FQ","BEST_FPERIOD_OVERRIDE=FQ","FILING_STATUS=OR","EQY_CONSOLIDATED=Y","Sort=A","Dates=H","DateFormat=P","Fill=—","Direction=H","UseDPDF=Y")</f>
        <v>#NAME?</v>
      </c>
      <c r="AY417" s="2" t="e">
        <f ca="1">_xll.BDH($C$403,"ACCOUNTS_PAYABLE_5_YEAR_GROWTH","FQ4 2016","FQ4 2016","Currency=INR","Period=FQ","BEST_FPERIOD_OVERRIDE=FQ","FILING_STATUS=OR","EQY_CONSOLIDATED=Y","Sort=A","Dates=H","DateFormat=P","Fill=—","Direction=H","UseDPDF=Y")</f>
        <v>#NAME?</v>
      </c>
      <c r="AZ417" s="2" t="e">
        <f ca="1">_xll.BDH($C$403,"SHORT_TERM_DEBT_5_YEAR_GROWTH","FQ4 2016","FQ4 2016","Currency=INR","Period=FQ","BEST_FPERIOD_OVERRIDE=FQ","FILING_STATUS=OR","EQY_CONSOLIDATED=Y","Sort=A","Dates=H","DateFormat=P","Fill=—","Direction=H","UseDPDF=Y")</f>
        <v>#NAME?</v>
      </c>
      <c r="BA417" s="2" t="e">
        <f ca="1">_xll.BDH($C$403,"TOTAL_DEBT_5_YEAR_GROWTH","FQ4 2016","FQ4 2016","Currency=INR","Period=FQ","BEST_FPERIOD_OVERRIDE=FQ","FILING_STATUS=OR","EQY_CONSOLIDATED=Y","Sort=A","Dates=H","DateFormat=P","Fill=—","Direction=H","UseDPDF=Y")</f>
        <v>#NAME?</v>
      </c>
      <c r="BB417" s="2" t="e">
        <f ca="1">_xll.BDH($C$403,"GEO_GROW_TOT_SHRHLDR_EQY","FQ4 2016","FQ4 2016","Currency=INR","Period=FQ","BEST_FPERIOD_OVERRIDE=FQ","FILING_STATUS=OR","EQY_CONSOLIDATED=Y","Sort=A","Dates=H","DateFormat=P","Fill=—","Direction=H","UseDPDF=Y")</f>
        <v>#NAME?</v>
      </c>
      <c r="BC417" s="2" t="e">
        <f ca="1">_xll.BDH($C$403,"TOTAL_CAPITAL_5_YEAR_GROWTH","FQ4 2016","FQ4 2016","Currency=INR","Period=FQ","BEST_FPERIOD_OVERRIDE=FQ","FILING_STATUS=OR","EQY_CONSOLIDATED=Y","Sort=A","Dates=H","DateFormat=P","Fill=—","Direction=H","UseDPDF=Y")</f>
        <v>#NAME?</v>
      </c>
      <c r="BD417" s="2" t="e">
        <f ca="1">_xll.BDH($C$403,"GEO_GROW_BOOK_VAL","FQ4 2016","FQ4 2016","Currency=INR","Period=FQ","BEST_FPERIOD_OVERRIDE=FQ","FILING_STATUS=OR","EQY_CONSOLIDATED=Y","Sort=A","Dates=H","DateFormat=P","Fill=—","Direction=H","UseDPDF=Y")</f>
        <v>#NAME?</v>
      </c>
      <c r="BE417" s="2" t="e">
        <f ca="1">_xll.BDH($C$403,"GEO_GROW_CASH_OPER_ACT","FQ4 2016","FQ4 2016","Currency=INR","Period=FQ","BEST_FPERIOD_OVERRIDE=FQ","FILING_STATUS=OR","EQY_CONSOLIDATED=Y","Sort=A","Dates=H","DateFormat=P","Fill=—","Direction=H","UseDPDF=Y")</f>
        <v>#NAME?</v>
      </c>
      <c r="BF417" s="2" t="e">
        <f ca="1">_xll.BDH($C$403,"REVENUE_SEQUENTIAL_GROWTH","FQ4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417" s="2" t="e">
        <f ca="1">_xll.BDH($C$403,"EBITDA_SEQUENTIAL_GROWTH","FQ4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417" s="2" t="e">
        <f ca="1">_xll.BDH($C$403,"OPERATING_INCOME_SEQ_GROWTH","FQ4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417" s="2" t="e">
        <f ca="1">_xll.BDH($C$403,"NET_INCOME_TO_COMMON_SEQ_GROWTH","FQ4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417" s="2" t="e">
        <f ca="1">_xll.BDH($C$403,"EPS_DILUTED_SEQUENTIAL_GROWTH","FQ4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417" s="2" t="e">
        <f ca="1">_xll.BDH($C$403,"DPS_SEQUENTIAL_GROWTH","FQ4 2016","FQ4 2016","Currency=INR","Period=FQ","BEST_FPERIOD_OVERRIDE=FQ","FILING_STATUS=OR","EQY_CONSOLIDATED=Y","Sort=A","Dates=H","DateFormat=P","Fill=—","Direction=H","UseDPDF=Y")</f>
        <v>#NAME?</v>
      </c>
      <c r="BL417" s="2" t="e">
        <f ca="1">_xll.BDH($C$403,"ACCOUNTS_RECEIVABLE_SEQ_GROWTH","FQ4 2016","FQ4 2016","Currency=INR","Period=FQ","BEST_FPERIOD_OVERRIDE=FQ","FILING_STATUS=OR","EQY_CONSOLIDATED=Y","Sort=A","Dates=H","DateFormat=P","Fill=—","Direction=H","UseDPDF=Y")</f>
        <v>#NAME?</v>
      </c>
      <c r="BM417" s="2" t="e">
        <f ca="1">_xll.BDH($C$403,"INVENTORY_SEQUENTIAL_GROWTH","FQ4 2016","FQ4 2016","Currency=INR","Period=FQ","BEST_FPERIOD_OVERRIDE=FQ","FILING_STATUS=OR","EQY_CONSOLIDATED=Y","Sort=A","Dates=H","DateFormat=P","Fill=—","Direction=H","UseDPDF=Y")</f>
        <v>#NAME?</v>
      </c>
      <c r="BN417" s="2" t="e">
        <f ca="1">_xll.BDH($C$403,"FIXED_ASSETS_SEQUENTIAL_GROWTH","FQ4 2016","FQ4 2016","Currency=INR","Period=FQ","BEST_FPERIOD_OVERRIDE=FQ","FILING_STATUS=OR","EQY_CONSOLIDATED=Y","Sort=A","Dates=H","DateFormat=P","Fill=—","Direction=H","UseDPDF=Y")</f>
        <v>#NAME?</v>
      </c>
      <c r="BO417" s="2" t="e">
        <f ca="1">_xll.BDH($C$403,"TOTAL_ASSETS_SEQUENTIAL_GROWTH","FQ4 2016","FQ4 2016","Currency=INR","Period=FQ","BEST_FPERIOD_OVERRIDE=FQ","FILING_STATUS=OR","EQY_CONSOLIDATED=Y","Sort=A","Dates=H","DateFormat=P","Fill=—","Direction=H","UseDPDF=Y")</f>
        <v>#NAME?</v>
      </c>
      <c r="BP417" s="2" t="e">
        <f ca="1">_xll.BDH($C$403,"MODIFIED_WORKING_CPTL_SEQ_GRWTH","FQ4 2016","FQ4 2016","Currency=INR","Period=FQ","BEST_FPERIOD_OVERRIDE=FQ","FILING_STATUS=OR","EQY_CONSOLIDATED=Y","Sort=A","Dates=H","DateFormat=P","Fill=—","Direction=H","UseDPDF=Y")</f>
        <v>#NAME?</v>
      </c>
      <c r="BQ417" s="2" t="e">
        <f ca="1">_xll.BDH($C$403,"WORKING_CAPITAL_SEQ_GROWTH","FQ4 2016","FQ4 2016","Currency=INR","Period=FQ","BEST_FPERIOD_OVERRIDE=FQ","FILING_STATUS=OR","EQY_CONSOLIDATED=Y","Sort=A","Dates=H","DateFormat=P","Fill=—","Direction=H","UseDPDF=Y")</f>
        <v>#NAME?</v>
      </c>
      <c r="BR417" s="2" t="e">
        <f ca="1">_xll.BDH($C$403,"ACCOUNTS_PAYABLE_SEQ_GROWTH","FQ4 2016","FQ4 2016","Currency=INR","Period=FQ","BEST_FPERIOD_OVERRIDE=FQ","FILING_STATUS=OR","EQY_CONSOLIDATED=Y","Sort=A","Dates=H","DateFormat=P","Fill=—","Direction=H","UseDPDF=Y")</f>
        <v>#NAME?</v>
      </c>
      <c r="BS417" s="2" t="e">
        <f ca="1">_xll.BDH($C$403,"ST_DEBT_SEQUENTIAL_GROWTH","FQ4 2016","FQ4 2016","Currency=INR","Period=FQ","BEST_FPERIOD_OVERRIDE=FQ","FILING_STATUS=OR","EQY_CONSOLIDATED=Y","Sort=A","Dates=H","DateFormat=P","Fill=—","Direction=H","UseDPDF=Y")</f>
        <v>#NAME?</v>
      </c>
      <c r="BT417" s="2" t="e">
        <f ca="1">_xll.BDH($C$403,"TOTAL_DEBT_SEQUENTIAL_GROWTH","FQ4 2016","FQ4 2016","Currency=INR","Period=FQ","BEST_FPERIOD_OVERRIDE=FQ","FILING_STATUS=OR","EQY_CONSOLIDATED=Y","Sort=A","Dates=H","DateFormat=P","Fill=—","Direction=H","UseDPDF=Y")</f>
        <v>#NAME?</v>
      </c>
      <c r="BU417" s="2" t="e">
        <f ca="1">_xll.BDH($C$403,"TOTAL_EQUITY_SEQUENTIAL_GROWTH","FQ4 2016","FQ4 2016","Currency=INR","Period=FQ","BEST_FPERIOD_OVERRIDE=FQ","FILING_STATUS=OR","EQY_CONSOLIDATED=Y","Sort=A","Dates=H","DateFormat=P","Fill=—","Direction=H","UseDPDF=Y")</f>
        <v>#NAME?</v>
      </c>
      <c r="BV417" s="2" t="e">
        <f ca="1">_xll.BDH($C$403,"TOTAL_CAPITAL_SEQUENTIAL_GROWTH","FQ4 2016","FQ4 2016","Currency=INR","Period=FQ","BEST_FPERIOD_OVERRIDE=FQ","FILING_STATUS=OR","EQY_CONSOLIDATED=Y","Sort=A","Dates=H","DateFormat=P","Fill=—","Direction=H","UseDPDF=Y")</f>
        <v>#NAME?</v>
      </c>
      <c r="BW417" s="2" t="e">
        <f ca="1">_xll.BDH($C$403,"BPS_SEQUENTIAL_GROWTH","FQ4 2016","FQ4 2016","Currency=INR","Period=FQ","BEST_FPERIOD_OVERRIDE=FQ","FILING_STATUS=OR","EQY_CONSOLIDATED=Y","Sort=A","Dates=H","DateFormat=P","Fill=—","Direction=H","UseDPDF=Y")</f>
        <v>#NAME?</v>
      </c>
      <c r="BX417" s="2" t="e">
        <f ca="1">_xll.BDH($C$403,"CFO_SEQUENTIAL_GROWTH","FQ4 2016","FQ4 2016","Currency=INR","Period=FQ","BEST_FPERIOD_OVERRIDE=FQ","FILING_STATUS=OR","EQY_CONSOLIDATED=Y","Sort=A","Dates=H","DateFormat=P","Fill=—","Direction=H","UseDPDF=Y")</f>
        <v>#NAME?</v>
      </c>
      <c r="BY417" s="3" t="e">
        <f ca="1">_xll.BDH($C$403,"SHORT_AND_LONG_TERM_DEBT","FQ4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417" s="3" t="e">
        <f ca="1">_xll.BDH($C$403,"BS_ST_BORROW","FQ4 2016","FQ4 2016","Currency=INR","Period=FQ","BEST_FPERIOD_OVERRIDE=FQ","FILING_STATUS=OR","EQY_CONSOLIDATED=Y","SCALING_FORMAT=MLN","Sort=A","Dates=H","DateFormat=P","Fill=—","Direction=H","UseDPDF=Y")</f>
        <v>#NAME?</v>
      </c>
      <c r="CA417" s="3" t="e">
        <f ca="1">_xll.BDH($C$403,"BS_LT_BORROW","FQ4 2016","FQ4 2016","Currency=INR","Period=FQ","BEST_FPERIOD_OVERRIDE=FQ","FILING_STATUS=OR","EQY_CONSOLIDATED=Y","SCALING_FORMAT=MLN","Sort=A","Dates=H","DateFormat=P","Fill=—","Direction=H","UseDPDF=Y")</f>
        <v>#NAME?</v>
      </c>
      <c r="CB417" s="2" t="e">
        <f ca="1">_xll.BDH($C$403,"TOT_DEBT_TO_EBITDA","FQ4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417" s="2" t="e">
        <f ca="1">_xll.BDH($C$403,"NET_DEBT_TO_EBITDA","FQ4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417" s="2" t="e">
        <f ca="1">_xll.BDH($C$403,"TOTAL_DEBT_TO_EBIT","FQ4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417" s="2" t="e">
        <f ca="1">_xll.BDH($C$403,"NET_DEBT_TO_EBIT","FQ4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417" s="2" t="e">
        <f ca="1">_xll.BDH($C$403,"EBITDA_TO_INTEREST_EXPN","FQ4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417" s="2" t="e">
        <f ca="1">_xll.BDH($C$403,"COM_EQY_TO_TOT_ASSET","FQ4 2016","FQ4 2016","Currency=INR","Period=FQ","BEST_FPERIOD_OVERRIDE=FQ","FILING_STATUS=OR","EQY_CONSOLIDATED=Y","Sort=A","Dates=H","DateFormat=P","Fill=—","Direction=H","UseDPDF=Y")</f>
        <v>#NAME?</v>
      </c>
      <c r="CH417" s="2" t="e">
        <f ca="1">_xll.BDH($C$403,"LT_DEBT_TO_TOT_EQY","FQ4 2016","FQ4 2016","Currency=INR","Period=FQ","BEST_FPERIOD_OVERRIDE=FQ","FILING_STATUS=OR","EQY_CONSOLIDATED=Y","Sort=A","Dates=H","DateFormat=P","Fill=—","Direction=H","UseDPDF=Y")</f>
        <v>#NAME?</v>
      </c>
      <c r="CI417" s="2" t="e">
        <f ca="1">_xll.BDH($C$403,"LT_DEBT_TO_TOT_CAP","FQ4 2016","FQ4 2016","Currency=INR","Period=FQ","BEST_FPERIOD_OVERRIDE=FQ","FILING_STATUS=OR","EQY_CONSOLIDATED=Y","Sort=A","Dates=H","DateFormat=P","Fill=—","Direction=H","UseDPDF=Y")</f>
        <v>#NAME?</v>
      </c>
      <c r="CJ417" s="2" t="e">
        <f ca="1">_xll.BDH($C$403,"LT_DEBT_TO_TOT_ASSET","FQ4 2016","FQ4 2016","Currency=INR","Period=FQ","BEST_FPERIOD_OVERRIDE=FQ","FILING_STATUS=OR","EQY_CONSOLIDATED=Y","Sort=A","Dates=H","DateFormat=P","Fill=—","Direction=H","UseDPDF=Y")</f>
        <v>#NAME?</v>
      </c>
      <c r="CK417" s="2" t="e">
        <f ca="1">_xll.BDH($C$403,"TOT_DEBT_TO_TOT_EQY","FQ4 2016","FQ4 2016","Currency=INR","Period=FQ","BEST_FPERIOD_OVERRIDE=FQ","FILING_STATUS=OR","EQY_CONSOLIDATED=Y","Sort=A","Dates=H","DateFormat=P","Fill=—","Direction=H","UseDPDF=Y")</f>
        <v>#NAME?</v>
      </c>
      <c r="CL417" s="2" t="e">
        <f ca="1">_xll.BDH($C$403,"TOT_DEBT_TO_TOT_CAP","FQ4 2016","FQ4 2016","Currency=INR","Period=FQ","BEST_FPERIOD_OVERRIDE=FQ","FILING_STATUS=OR","EQY_CONSOLIDATED=Y","Sort=A","Dates=H","DateFormat=P","Fill=—","Direction=H","UseDPDF=Y")</f>
        <v>#NAME?</v>
      </c>
      <c r="CM417" s="2" t="e">
        <f ca="1">_xll.BDH($C$403,"TOT_DEBT_TO_TOT_ASSET","FQ4 2016","FQ4 2016","Currency=INR","Period=FQ","BEST_FPERIOD_OVERRIDE=FQ","FILING_STATUS=OR","EQY_CONSOLIDATED=Y","Sort=A","Dates=H","DateFormat=P","Fill=—","Direction=H","UseDPDF=Y")</f>
        <v>#NAME?</v>
      </c>
      <c r="CN417" s="2" t="e">
        <f ca="1">_xll.BDH($C$403,"NET_DEBT_TO_SHRHLDR_EQTY","FQ4 2016","FQ4 2016","Currency=INR","Period=FQ","BEST_FPERIOD_OVERRIDE=FQ","FILING_STATUS=OR","EQY_CONSOLIDATED=Y","Sort=A","Dates=H","DateFormat=P","Fill=—","Direction=H","UseDPDF=Y")</f>
        <v>#NAME?</v>
      </c>
      <c r="CO417" s="2" t="e">
        <f ca="1">_xll.BDH($C$403,"NET_DEBT_%_CAPITAL","FQ4 2016","FQ4 2016","Currency=INR","Period=FQ","BEST_FPERIOD_OVERRIDE=FQ","FILING_STATUS=OR","EQY_CONSOLIDATED=Y","Sort=A","Dates=H","DateFormat=P","Fill=—","Direction=H","UseDPDF=Y")</f>
        <v>#NAME?</v>
      </c>
      <c r="CP417" s="3" t="e">
        <f ca="1">_xll.BDH($C$403,"EBITDA","FQ4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417" s="3" t="e">
        <f ca="1">_xll.BDH($C$403,"EBITDA_AFTER_CAPEX","FQ4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417" s="3" t="e">
        <f ca="1">_xll.BDH($C$403,"IS_OPER_INC","FQ4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417" s="2" t="e">
        <f ca="1">_xll.BDH($C$403,"CASH_RATIO","FQ4 2016","FQ4 2016","Currency=INR","Period=FQ","BEST_FPERIOD_OVERRIDE=FQ","FILING_STATUS=OR","EQY_CONSOLIDATED=Y","Sort=A","Dates=H","DateFormat=P","Fill=—","Direction=H","UseDPDF=Y")</f>
        <v>#NAME?</v>
      </c>
      <c r="CT417" s="2" t="e">
        <f ca="1">_xll.BDH($C$403,"CUR_RATIO","FQ4 2016","FQ4 2016","Currency=INR","Period=FQ","BEST_FPERIOD_OVERRIDE=FQ","FILING_STATUS=OR","EQY_CONSOLIDATED=Y","Sort=A","Dates=H","DateFormat=P","Fill=—","Direction=H","UseDPDF=Y")</f>
        <v>#NAME?</v>
      </c>
      <c r="CU417" s="2" t="e">
        <f ca="1">_xll.BDH($C$403,"QUICK_RATIO","FQ4 2016","FQ4 2016","Currency=INR","Period=FQ","BEST_FPERIOD_OVERRIDE=FQ","FILING_STATUS=OR","EQY_CONSOLIDATED=Y","Sort=A","Dates=H","DateFormat=P","Fill=—","Direction=H","UseDPDF=Y")</f>
        <v>#NAME?</v>
      </c>
      <c r="CV417" s="2" t="e">
        <f ca="1">_xll.BDH($C$403,"ALTMAN_Z_SCORE","FQ4 2016","FQ4 2016","Currency=INR","Period=FQ","BEST_FPERIOD_OVERRIDE=FQ","FILING_STATUS=OR","EQY_CONSOLIDATED=Y","Sort=A","Dates=H","DateFormat=P","Fill=—","Direction=H","UseDPDF=Y")</f>
        <v>#NAME?</v>
      </c>
      <c r="CW417" s="4" t="e">
        <f ca="1">_xll.BDH($C$403,"ACCT_RCV_TURN","FQ4 2016","FQ4 2016","Currency=INR","Period=FQ","BEST_FPERIOD_OVERRIDE=FQ","FILING_STATUS=OR","EQY_CONSOLIDATED=Y","FA_ADJUSTED=GAAP","Sort=A","Dates=H","DateFormat=P","Fill=—","Direction=H","UseDPDF=Y")</f>
        <v>#NAME?</v>
      </c>
      <c r="CX417" s="2" t="e">
        <f ca="1">_xll.BDH($C$403,"ACCT_RCV_DAYS","FQ4 2016","FQ4 2016","Currency=INR","Period=FQ","BEST_FPERIOD_OVERRIDE=FQ","FILING_STATUS=OR","EQY_CONSOLIDATED=Y","FA_ADJUSTED=GAAP","Sort=A","Dates=H","DateFormat=P","Fill=—","Direction=H","UseDPDF=Y")</f>
        <v>#NAME?</v>
      </c>
      <c r="CY417" s="4" t="e">
        <f ca="1">_xll.BDH($C$403,"INVENT_TURN","FQ4 2016","FQ4 2016","Currency=INR","Period=FQ","BEST_FPERIOD_OVERRIDE=FQ","FILING_STATUS=OR","EQY_CONSOLIDATED=Y","FA_ADJUSTED=GAAP","Sort=A","Dates=H","DateFormat=P","Fill=—","Direction=H","UseDPDF=Y")</f>
        <v>#NAME?</v>
      </c>
      <c r="CZ417" s="2" t="e">
        <f ca="1">_xll.BDH($C$403,"INVENT_DAYS","FQ4 2016","FQ4 2016","Currency=INR","Period=FQ","BEST_FPERIOD_OVERRIDE=FQ","FILING_STATUS=OR","EQY_CONSOLIDATED=Y","FA_ADJUSTED=GAAP","Sort=A","Dates=H","DateFormat=P","Fill=—","Direction=H","UseDPDF=Y")</f>
        <v>#NAME?</v>
      </c>
      <c r="DA417" s="4" t="e">
        <f ca="1">_xll.BDH($C$403,"ACCOUNTS_PAYABLE_TURNOVER","FQ4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417" s="2" t="e">
        <f ca="1">_xll.BDH($C$403,"ACCOUNTS_PAYABLE_TURNOVER_DAYS","FQ4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417" s="4" t="e">
        <f ca="1">_xll.BDH($C$403,"CASH_CONVERSION_CYCLE","FQ4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417" s="4" t="e">
        <f ca="1">_xll.BDH($C$403,"INV_TO_CASH_DAYS","FQ4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417" s="5" t="e">
        <f ca="1">_xll.BDH($C$403,"BS_INVENTORIES","FQ4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417" s="3" t="e">
        <f ca="1">_xll.BDH($C$403,"INVTRY_RAW_MATERIALS","FQ4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417" s="3" t="e">
        <f ca="1">_xll.BDH($C$403,"INVTRY_IN_PROGRESS","FQ4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417" s="3" t="e">
        <f ca="1">_xll.BDH($C$403,"INVTRY_FINISHED_GOODS","FQ4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417" s="3" t="e">
        <f ca="1">_xll.BDH($C$403,"BS_OTHER_INV","FQ4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418" spans="1:113" x14ac:dyDescent="0.3">
      <c r="A418" s="6"/>
      <c r="B418" s="6"/>
      <c r="C418" s="6"/>
      <c r="D418" s="6" t="s">
        <v>84</v>
      </c>
      <c r="E418" t="s">
        <v>77</v>
      </c>
      <c r="F418" t="e">
        <f ca="1">_xll.BDH($C$403,"RETURN_COM_EQY","FY 2017","FY 2017","Currency=INR","Period=FY","BEST_FPERIOD_OVERRIDE=FY","FILING_STATUS=OR","EQY_CONSOLIDATED=Y","FA_ADJUSTED=GAAP","Sort=A","Dates=H","DateFormat=P","Fill=—","Direction=H","UseDPDF=Y")</f>
        <v>#NAME?</v>
      </c>
      <c r="G418" t="e">
        <f ca="1">_xll.BDH($C$403,"RETURN_ON_ASSET","FY 2017","FY 2017","Currency=INR","Period=FY","BEST_FPERIOD_OVERRIDE=FY","FILING_STATUS=OR","EQY_CONSOLIDATED=Y","FA_ADJUSTED=GAAP","Sort=A","Dates=H","DateFormat=P","Fill=—","Direction=H","UseDPDF=Y")</f>
        <v>#NAME?</v>
      </c>
      <c r="H418" t="e">
        <f ca="1">_xll.BDH($C$403,"RETURN_ON_CAP","FY 2017","FY 2017","Currency=INR","Period=FY","BEST_FPERIOD_OVERRIDE=FY","FILING_STATUS=OR","EQY_CONSOLIDATED=Y","FA_ADJUSTED=GAAP","Sort=A","Dates=H","DateFormat=P","Fill=—","Direction=H","UseDPDF=Y")</f>
        <v>#NAME?</v>
      </c>
      <c r="I418" t="e">
        <f ca="1">_xll.BDH($C$403,"RETURN_ON_INV_CAPITAL","FY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418" t="e">
        <f ca="1">_xll.BDH($C$403,"EBITDA_TO_REVENUE","FY 2017","FY 2017","Currency=INR","Period=FY","BEST_FPERIOD_OVERRIDE=FY","FILING_STATUS=OR","EQY_CONSOLIDATED=Y","FA_ADJUSTED=GAAP","Sort=A","Dates=H","DateFormat=P","Fill=—","Direction=H","UseDPDF=Y")</f>
        <v>#NAME?</v>
      </c>
      <c r="K418" t="e">
        <f ca="1">_xll.BDH($C$403,"OPER_MARGIN","FY 2017","FY 2017","Currency=INR","Period=FY","BEST_FPERIOD_OVERRIDE=FY","FILING_STATUS=OR","EQY_CONSOLIDATED=Y","FA_ADJUSTED=GAAP","Sort=A","Dates=H","DateFormat=P","Fill=—","Direction=H","UseDPDF=Y")</f>
        <v>#NAME?</v>
      </c>
      <c r="L418" t="e">
        <f ca="1">_xll.BDH($C$403,"INCREMENTAL_OPERATING_MARGIN","FY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418" t="e">
        <f ca="1">_xll.BDH($C$403,"PRETAX_INC_TO_NET_SALES","FY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418" t="e">
        <f ca="1">_xll.BDH($C$403,"INC_BEF_XO_ITEMS_TO_NET_SALES","FY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418" t="e">
        <f ca="1">_xll.BDH($C$403,"PROF_MARGIN","FY 2017","FY 2017","Currency=INR","Period=FY","BEST_FPERIOD_OVERRIDE=FY","FILING_STATUS=OR","EQY_CONSOLIDATED=Y","FA_ADJUSTED=GAAP","Sort=A","Dates=H","DateFormat=P","Fill=—","Direction=H","UseDPDF=Y")</f>
        <v>#NAME?</v>
      </c>
      <c r="P418" t="e">
        <f ca="1">_xll.BDH($C$403,"NET_INCOME_TO_COMMON_MARGIN","FY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418" t="e">
        <f ca="1">_xll.BDH($C$403,"EFF_TAX_RATE","FY 2017","FY 2017","Currency=INR","Period=FY","BEST_FPERIOD_OVERRIDE=FY","FILING_STATUS=OR","EQY_CONSOLIDATED=Y","FA_ADJUSTED=GAAP","Sort=A","Dates=H","DateFormat=P","Fill=—","Direction=H","UseDPDF=Y")</f>
        <v>#NAME?</v>
      </c>
      <c r="R418" t="e">
        <f ca="1">_xll.BDH($C$403,"DVD_PAYOUT_RATIO","FY 2017","FY 2017","Currency=INR","Period=FY","BEST_FPERIOD_OVERRIDE=FY","FILING_STATUS=OR","EQY_CONSOLIDATED=Y","FA_ADJUSTED=GAAP","Sort=A","Dates=H","DateFormat=P","Fill=—","Direction=H","UseDPDF=Y")</f>
        <v>#NAME?</v>
      </c>
      <c r="S418" t="e">
        <f ca="1">_xll.BDH($C$403,"SUSTAIN_GROWTH_RT","FY 2017","FY 2017","Currency=INR","Period=FY","BEST_FPERIOD_OVERRIDE=FY","FILING_STATUS=OR","EQY_CONSOLIDATED=Y","FA_ADJUSTED=GAAP","Sort=A","Dates=H","DateFormat=P","Fill=—","Direction=H","UseDPDF=Y")</f>
        <v>#NAME?</v>
      </c>
      <c r="T418" s="2" t="e">
        <f ca="1">_xll.BDH($C$403,"SALES_GROWTH","FY 2017","FY 2017","Currency=INR","Period=FY","BEST_FPERIOD_OVERRIDE=FY","FILING_STATUS=OR","EQY_CONSOLIDATED=Y","FA_ADJUSTED=GAAP","Sort=A","Dates=H","DateFormat=P","Fill=—","Direction=H","UseDPDF=Y")</f>
        <v>#NAME?</v>
      </c>
      <c r="U418" s="2" t="e">
        <f ca="1">_xll.BDH($C$403,"EBITDA_GROWTH","FY 2017","FY 2017","Currency=INR","Period=FY","BEST_FPERIOD_OVERRIDE=FY","FILING_STATUS=OR","EQY_CONSOLIDATED=Y","FA_ADJUSTED=GAAP","Sort=A","Dates=H","DateFormat=P","Fill=—","Direction=H","UseDPDF=Y")</f>
        <v>#NAME?</v>
      </c>
      <c r="V418" s="2" t="e">
        <f ca="1">_xll.BDH($C$403,"OPER_INC_GROWTH","FY 2017","FY 2017","Currency=INR","Period=FY","BEST_FPERIOD_OVERRIDE=FY","FILING_STATUS=OR","EQY_CONSOLIDATED=Y","FA_ADJUSTED=GAAP","Sort=A","Dates=H","DateFormat=P","Fill=—","Direction=H","UseDPDF=Y")</f>
        <v>#NAME?</v>
      </c>
      <c r="W418" s="2" t="e">
        <f ca="1">_xll.BDH($C$403,"EARN_FOR_COM_GROWTH","FY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418" s="2" t="e">
        <f ca="1">_xll.BDH($C$403,"DILUTED_EPS_AFT_XO_ITEMS_GROWTH","FY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418" s="2" t="e">
        <f ca="1">_xll.BDH($C$403,"DIVIDEND_PER_SHARE_1_YEAR_GROWTH","FY 2017","FY 2017","Currency=INR","Period=FY","BEST_FPERIOD_OVERRIDE=FY","FILING_STATUS=OR","EQY_CONSOLIDATED=Y","Sort=A","Dates=H","DateFormat=P","Fill=—","Direction=H","UseDPDF=Y")</f>
        <v>#NAME?</v>
      </c>
      <c r="Z418" s="2" t="e">
        <f ca="1">_xll.BDH($C$403,"ACCOUNTS_RECEIVABLE_GROWTH","FY 2017","FY 2017","Currency=INR","Period=FY","BEST_FPERIOD_OVERRIDE=FY","FILING_STATUS=OR","EQY_CONSOLIDATED=Y","Sort=A","Dates=H","DateFormat=P","Fill=—","Direction=H","UseDPDF=Y")</f>
        <v>#NAME?</v>
      </c>
      <c r="AA418" s="2" t="e">
        <f ca="1">_xll.BDH($C$403,"INVENTORY_GROWTH","FY 2017","FY 2017","Currency=INR","Period=FY","BEST_FPERIOD_OVERRIDE=FY","FILING_STATUS=OR","EQY_CONSOLIDATED=Y","Sort=A","Dates=H","DateFormat=P","Fill=—","Direction=H","UseDPDF=Y")</f>
        <v>#NAME?</v>
      </c>
      <c r="AB418" s="2" t="e">
        <f ca="1">_xll.BDH($C$403,"NET_FIXED_ASSETS_1_YEAR_GROWTH","FY 2017","FY 2017","Currency=INR","Period=FY","BEST_FPERIOD_OVERRIDE=FY","FILING_STATUS=OR","EQY_CONSOLIDATED=Y","Sort=A","Dates=H","DateFormat=P","Fill=—","Direction=H","UseDPDF=Y")</f>
        <v>#NAME?</v>
      </c>
      <c r="AC418" s="2" t="e">
        <f ca="1">_xll.BDH($C$403,"ASSET_GROWTH","FY 2017","FY 2017","Currency=INR","Period=FY","BEST_FPERIOD_OVERRIDE=FY","FILING_STATUS=OR","EQY_CONSOLIDATED=Y","Sort=A","Dates=H","DateFormat=P","Fill=—","Direction=H","UseDPDF=Y")</f>
        <v>#NAME?</v>
      </c>
      <c r="AD418" s="2" t="e">
        <f ca="1">_xll.BDH($C$403,"MODIFIED_WORK_CAP_GROWTH","FY 2017","FY 2017","Currency=INR","Period=FY","BEST_FPERIOD_OVERRIDE=FY","FILING_STATUS=OR","EQY_CONSOLIDATED=Y","Sort=A","Dates=H","DateFormat=P","Fill=—","Direction=H","UseDPDF=Y")</f>
        <v>#NAME?</v>
      </c>
      <c r="AE418" s="2" t="e">
        <f ca="1">_xll.BDH($C$403,"WORK_CAP_GROWTH","FY 2017","FY 2017","Currency=INR","Period=FY","BEST_FPERIOD_OVERRIDE=FY","FILING_STATUS=OR","EQY_CONSOLIDATED=Y","Sort=A","Dates=H","DateFormat=P","Fill=—","Direction=H","UseDPDF=Y")</f>
        <v>#NAME?</v>
      </c>
      <c r="AF418" s="2" t="e">
        <f ca="1">_xll.BDH($C$403,"ACCOUNTS_PAYABLE_GROWTH_1YR","FY 2017","FY 2017","Currency=INR","Period=FY","BEST_FPERIOD_OVERRIDE=FY","FILING_STATUS=OR","EQY_CONSOLIDATED=Y","Sort=A","Dates=H","DateFormat=P","Fill=—","Direction=H","UseDPDF=Y")</f>
        <v>#NAME?</v>
      </c>
      <c r="AG418" s="2" t="e">
        <f ca="1">_xll.BDH($C$403,"SHORT_TERM_DEBT_1_YEAR_GROWTH","FY 2017","FY 2017","Currency=INR","Period=FY","BEST_FPERIOD_OVERRIDE=FY","FILING_STATUS=OR","EQY_CONSOLIDATED=Y","Sort=A","Dates=H","DateFormat=P","Fill=—","Direction=H","UseDPDF=Y")</f>
        <v>#NAME?</v>
      </c>
      <c r="AH418" s="2" t="e">
        <f ca="1">_xll.BDH($C$403,"TOTAL_DEBT_1_YEAR_GROWTH","FY 2017","FY 2017","Currency=INR","Period=FY","BEST_FPERIOD_OVERRIDE=FY","FILING_STATUS=OR","EQY_CONSOLIDATED=Y","Sort=A","Dates=H","DateFormat=P","Fill=—","Direction=H","UseDPDF=Y")</f>
        <v>#NAME?</v>
      </c>
      <c r="AI418" s="2" t="e">
        <f ca="1">_xll.BDH($C$403,"TOTAL_EQUITY_1_YEAR_GROWTH","FY 2017","FY 2017","Currency=INR","Period=FY","BEST_FPERIOD_OVERRIDE=FY","FILING_STATUS=OR","EQY_CONSOLIDATED=Y","Sort=A","Dates=H","DateFormat=P","Fill=—","Direction=H","UseDPDF=Y")</f>
        <v>#NAME?</v>
      </c>
      <c r="AJ418" s="2" t="e">
        <f ca="1">_xll.BDH($C$403,"GROWTH_IN_CAP","FY 2017","FY 2017","Currency=INR","Period=FY","BEST_FPERIOD_OVERRIDE=FY","FILING_STATUS=OR","EQY_CONSOLIDATED=Y","Sort=A","Dates=H","DateFormat=P","Fill=—","Direction=H","UseDPDF=Y")</f>
        <v>#NAME?</v>
      </c>
      <c r="AK418" s="2" t="e">
        <f ca="1">_xll.BDH($C$403,"BVPS_GROWTH","FY 2017","FY 2017","Currency=INR","Period=FY","BEST_FPERIOD_OVERRIDE=FY","FILING_STATUS=OR","EQY_CONSOLIDATED=Y","Sort=A","Dates=H","DateFormat=P","Fill=—","Direction=H","UseDPDF=Y")</f>
        <v>#NAME?</v>
      </c>
      <c r="AL418" s="2" t="e">
        <f ca="1">_xll.BDH($C$403,"CASH_FLOW_GROWTH","FY 2017","FY 2017","Currency=INR","Period=FY","BEST_FPERIOD_OVERRIDE=FY","FILING_STATUS=OR","EQY_CONSOLIDATED=Y","Sort=A","Dates=H","DateFormat=P","Fill=—","Direction=H","UseDPDF=Y")</f>
        <v>#NAME?</v>
      </c>
      <c r="AM418" s="2" t="e">
        <f ca="1">_xll.BDH($C$403,"GEO_GROW_NET_SALES","FY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418" s="2" t="e">
        <f ca="1">_xll.BDH($C$403,"GEO_GROW_EBITDA","FY 2017","FY 2017","Currency=INR","Period=FY","BEST_FPERIOD_OVERRIDE=FY","FILING_STATUS=OR","EQY_CONSOLIDATED=Y","FA_ADJUSTED=GAAP","Sort=A","Dates=H","DateFormat=P","Fill=—","Direction=H","UseDPDF=Y")</f>
        <v>#NAME?</v>
      </c>
      <c r="AO418" s="2" t="e">
        <f ca="1">_xll.BDH($C$403,"GEO_GROW_OPER_INC","FY 2017","FY 2017","Currency=INR","Period=FY","BEST_FPERIOD_OVERRIDE=FY","FILING_STATUS=OR","EQY_CONSOLIDATED=Y","FA_ADJUSTED=GAAP","Sort=A","Dates=H","DateFormat=P","Fill=—","Direction=H","UseDPDF=Y")</f>
        <v>#NAME?</v>
      </c>
      <c r="AP418" s="2" t="e">
        <f ca="1">_xll.BDH($C$403,"NET_INCOME_TO_COMMON_5_YR_GROWTH","FY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418" s="2" t="e">
        <f ca="1">_xll.BDH($C$403,"5Y_GEO_GROWTH_DILUTED_EPS","FY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418" s="2" t="e">
        <f ca="1">_xll.BDH($C$403,"GEO_GROW_DVD_PER_SH","FY 2017","FY 2017","Currency=INR","Period=FY","BEST_FPERIOD_OVERRIDE=FY","FILING_STATUS=OR","EQY_CONSOLIDATED=Y","Sort=A","Dates=H","DateFormat=P","Fill=—","Direction=H","UseDPDF=Y")</f>
        <v>#NAME?</v>
      </c>
      <c r="AS418" s="2" t="e">
        <f ca="1">_xll.BDH($C$403,"ACCOUNTS_RECEIVABLE_5_YR_GROWTH","FY 2017","FY 2017","Currency=INR","Period=FY","BEST_FPERIOD_OVERRIDE=FY","FILING_STATUS=OR","EQY_CONSOLIDATED=Y","Sort=A","Dates=H","DateFormat=P","Fill=—","Direction=H","UseDPDF=Y")</f>
        <v>#NAME?</v>
      </c>
      <c r="AT418" s="2" t="e">
        <f ca="1">_xll.BDH($C$403,"INVENTORY_5_YEAR_GROWTH","FY 2017","FY 2017","Currency=INR","Period=FY","BEST_FPERIOD_OVERRIDE=FY","FILING_STATUS=OR","EQY_CONSOLIDATED=Y","Sort=A","Dates=H","DateFormat=P","Fill=—","Direction=H","UseDPDF=Y")</f>
        <v>#NAME?</v>
      </c>
      <c r="AU418" s="2" t="e">
        <f ca="1">_xll.BDH($C$403,"NET_FIXED_ASSETS_5_YEAR_GROWTH","FY 2017","FY 2017","Currency=INR","Period=FY","BEST_FPERIOD_OVERRIDE=FY","FILING_STATUS=OR","EQY_CONSOLIDATED=Y","Sort=A","Dates=H","DateFormat=P","Fill=—","Direction=H","UseDPDF=Y")</f>
        <v>#NAME?</v>
      </c>
      <c r="AV418" s="2" t="e">
        <f ca="1">_xll.BDH($C$403,"GEO_GROW_TOT_ASSET","FY 2017","FY 2017","Currency=INR","Period=FY","BEST_FPERIOD_OVERRIDE=FY","FILING_STATUS=OR","EQY_CONSOLIDATED=Y","Sort=A","Dates=H","DateFormat=P","Fill=—","Direction=H","UseDPDF=Y")</f>
        <v>#NAME?</v>
      </c>
      <c r="AW418" s="2" t="e">
        <f ca="1">_xll.BDH($C$403,"MODIFIED_WORKING_CPTL_5YR_GRWTH","FY 2017","FY 2017","Currency=INR","Period=FY","BEST_FPERIOD_OVERRIDE=FY","FILING_STATUS=OR","EQY_CONSOLIDATED=Y","Sort=A","Dates=H","DateFormat=P","Fill=—","Direction=H","UseDPDF=Y")</f>
        <v>#NAME?</v>
      </c>
      <c r="AX418" s="2" t="e">
        <f ca="1">_xll.BDH($C$403,"WORKING_CAPITAL_5_YEAR_GROWTH","FY 2017","FY 2017","Currency=INR","Period=FY","BEST_FPERIOD_OVERRIDE=FY","FILING_STATUS=OR","EQY_CONSOLIDATED=Y","Sort=A","Dates=H","DateFormat=P","Fill=—","Direction=H","UseDPDF=Y")</f>
        <v>#NAME?</v>
      </c>
      <c r="AY418" s="2" t="e">
        <f ca="1">_xll.BDH($C$403,"ACCOUNTS_PAYABLE_5_YEAR_GROWTH","FY 2017","FY 2017","Currency=INR","Period=FY","BEST_FPERIOD_OVERRIDE=FY","FILING_STATUS=OR","EQY_CONSOLIDATED=Y","Sort=A","Dates=H","DateFormat=P","Fill=—","Direction=H","UseDPDF=Y")</f>
        <v>#NAME?</v>
      </c>
      <c r="AZ418" s="2" t="e">
        <f ca="1">_xll.BDH($C$403,"SHORT_TERM_DEBT_5_YEAR_GROWTH","FY 2017","FY 2017","Currency=INR","Period=FY","BEST_FPERIOD_OVERRIDE=FY","FILING_STATUS=OR","EQY_CONSOLIDATED=Y","Sort=A","Dates=H","DateFormat=P","Fill=—","Direction=H","UseDPDF=Y")</f>
        <v>#NAME?</v>
      </c>
      <c r="BA418" s="2" t="e">
        <f ca="1">_xll.BDH($C$403,"TOTAL_DEBT_5_YEAR_GROWTH","FY 2017","FY 2017","Currency=INR","Period=FY","BEST_FPERIOD_OVERRIDE=FY","FILING_STATUS=OR","EQY_CONSOLIDATED=Y","Sort=A","Dates=H","DateFormat=P","Fill=—","Direction=H","UseDPDF=Y")</f>
        <v>#NAME?</v>
      </c>
      <c r="BB418" s="2" t="e">
        <f ca="1">_xll.BDH($C$403,"GEO_GROW_TOT_SHRHLDR_EQY","FY 2017","FY 2017","Currency=INR","Period=FY","BEST_FPERIOD_OVERRIDE=FY","FILING_STATUS=OR","EQY_CONSOLIDATED=Y","Sort=A","Dates=H","DateFormat=P","Fill=—","Direction=H","UseDPDF=Y")</f>
        <v>#NAME?</v>
      </c>
      <c r="BC418" s="2" t="e">
        <f ca="1">_xll.BDH($C$403,"TOTAL_CAPITAL_5_YEAR_GROWTH","FY 2017","FY 2017","Currency=INR","Period=FY","BEST_FPERIOD_OVERRIDE=FY","FILING_STATUS=OR","EQY_CONSOLIDATED=Y","Sort=A","Dates=H","DateFormat=P","Fill=—","Direction=H","UseDPDF=Y")</f>
        <v>#NAME?</v>
      </c>
      <c r="BD418" s="2" t="e">
        <f ca="1">_xll.BDH($C$403,"GEO_GROW_BOOK_VAL","FY 2017","FY 2017","Currency=INR","Period=FY","BEST_FPERIOD_OVERRIDE=FY","FILING_STATUS=OR","EQY_CONSOLIDATED=Y","Sort=A","Dates=H","DateFormat=P","Fill=—","Direction=H","UseDPDF=Y")</f>
        <v>#NAME?</v>
      </c>
      <c r="BE418" s="2" t="e">
        <f ca="1">_xll.BDH($C$403,"GEO_GROW_CASH_OPER_ACT","FY 2017","FY 2017","Currency=INR","Period=FY","BEST_FPERIOD_OVERRIDE=FY","FILING_STATUS=OR","EQY_CONSOLIDATED=Y","Sort=A","Dates=H","DateFormat=P","Fill=—","Direction=H","UseDPDF=Y")</f>
        <v>#NAME?</v>
      </c>
      <c r="BF418" s="2" t="e">
        <f ca="1">_xll.BDH($C$403,"REVENUE_SEQUENTIAL_GROWTH","FY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418" s="2" t="e">
        <f ca="1">_xll.BDH($C$403,"EBITDA_SEQUENTIAL_GROWTH","FY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418" s="2" t="e">
        <f ca="1">_xll.BDH($C$403,"OPERATING_INCOME_SEQ_GROWTH","FY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418" s="2" t="e">
        <f ca="1">_xll.BDH($C$403,"NET_INCOME_TO_COMMON_SEQ_GROWTH","FY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418" s="2" t="e">
        <f ca="1">_xll.BDH($C$403,"EPS_DILUTED_SEQUENTIAL_GROWTH","FY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418" s="2" t="e">
        <f ca="1">_xll.BDH($C$403,"DPS_SEQUENTIAL_GROWTH","FY 2017","FY 2017","Currency=INR","Period=FY","BEST_FPERIOD_OVERRIDE=FY","FILING_STATUS=OR","EQY_CONSOLIDATED=Y","Sort=A","Dates=H","DateFormat=P","Fill=—","Direction=H","UseDPDF=Y")</f>
        <v>#NAME?</v>
      </c>
      <c r="BL418" s="2" t="e">
        <f ca="1">_xll.BDH($C$403,"ACCOUNTS_RECEIVABLE_SEQ_GROWTH","FY 2017","FY 2017","Currency=INR","Period=FY","BEST_FPERIOD_OVERRIDE=FY","FILING_STATUS=OR","EQY_CONSOLIDATED=Y","Sort=A","Dates=H","DateFormat=P","Fill=—","Direction=H","UseDPDF=Y")</f>
        <v>#NAME?</v>
      </c>
      <c r="BM418" s="2" t="e">
        <f ca="1">_xll.BDH($C$403,"INVENTORY_SEQUENTIAL_GROWTH","FY 2017","FY 2017","Currency=INR","Period=FY","BEST_FPERIOD_OVERRIDE=FY","FILING_STATUS=OR","EQY_CONSOLIDATED=Y","Sort=A","Dates=H","DateFormat=P","Fill=—","Direction=H","UseDPDF=Y")</f>
        <v>#NAME?</v>
      </c>
      <c r="BN418" s="2" t="e">
        <f ca="1">_xll.BDH($C$403,"FIXED_ASSETS_SEQUENTIAL_GROWTH","FY 2017","FY 2017","Currency=INR","Period=FY","BEST_FPERIOD_OVERRIDE=FY","FILING_STATUS=OR","EQY_CONSOLIDATED=Y","Sort=A","Dates=H","DateFormat=P","Fill=—","Direction=H","UseDPDF=Y")</f>
        <v>#NAME?</v>
      </c>
      <c r="BO418" s="2" t="e">
        <f ca="1">_xll.BDH($C$403,"TOTAL_ASSETS_SEQUENTIAL_GROWTH","FY 2017","FY 2017","Currency=INR","Period=FY","BEST_FPERIOD_OVERRIDE=FY","FILING_STATUS=OR","EQY_CONSOLIDATED=Y","Sort=A","Dates=H","DateFormat=P","Fill=—","Direction=H","UseDPDF=Y")</f>
        <v>#NAME?</v>
      </c>
      <c r="BP418" s="2" t="e">
        <f ca="1">_xll.BDH($C$403,"MODIFIED_WORKING_CPTL_SEQ_GRWTH","FY 2017","FY 2017","Currency=INR","Period=FY","BEST_FPERIOD_OVERRIDE=FY","FILING_STATUS=OR","EQY_CONSOLIDATED=Y","Sort=A","Dates=H","DateFormat=P","Fill=—","Direction=H","UseDPDF=Y")</f>
        <v>#NAME?</v>
      </c>
      <c r="BQ418" s="2" t="e">
        <f ca="1">_xll.BDH($C$403,"WORKING_CAPITAL_SEQ_GROWTH","FY 2017","FY 2017","Currency=INR","Period=FY","BEST_FPERIOD_OVERRIDE=FY","FILING_STATUS=OR","EQY_CONSOLIDATED=Y","Sort=A","Dates=H","DateFormat=P","Fill=—","Direction=H","UseDPDF=Y")</f>
        <v>#NAME?</v>
      </c>
      <c r="BR418" s="2" t="e">
        <f ca="1">_xll.BDH($C$403,"ACCOUNTS_PAYABLE_SEQ_GROWTH","FY 2017","FY 2017","Currency=INR","Period=FY","BEST_FPERIOD_OVERRIDE=FY","FILING_STATUS=OR","EQY_CONSOLIDATED=Y","Sort=A","Dates=H","DateFormat=P","Fill=—","Direction=H","UseDPDF=Y")</f>
        <v>#NAME?</v>
      </c>
      <c r="BS418" s="2" t="e">
        <f ca="1">_xll.BDH($C$403,"ST_DEBT_SEQUENTIAL_GROWTH","FY 2017","FY 2017","Currency=INR","Period=FY","BEST_FPERIOD_OVERRIDE=FY","FILING_STATUS=OR","EQY_CONSOLIDATED=Y","Sort=A","Dates=H","DateFormat=P","Fill=—","Direction=H","UseDPDF=Y")</f>
        <v>#NAME?</v>
      </c>
      <c r="BT418" s="2" t="e">
        <f ca="1">_xll.BDH($C$403,"TOTAL_DEBT_SEQUENTIAL_GROWTH","FY 2017","FY 2017","Currency=INR","Period=FY","BEST_FPERIOD_OVERRIDE=FY","FILING_STATUS=OR","EQY_CONSOLIDATED=Y","Sort=A","Dates=H","DateFormat=P","Fill=—","Direction=H","UseDPDF=Y")</f>
        <v>#NAME?</v>
      </c>
      <c r="BU418" s="2" t="e">
        <f ca="1">_xll.BDH($C$403,"TOTAL_EQUITY_SEQUENTIAL_GROWTH","FY 2017","FY 2017","Currency=INR","Period=FY","BEST_FPERIOD_OVERRIDE=FY","FILING_STATUS=OR","EQY_CONSOLIDATED=Y","Sort=A","Dates=H","DateFormat=P","Fill=—","Direction=H","UseDPDF=Y")</f>
        <v>#NAME?</v>
      </c>
      <c r="BV418" s="2" t="e">
        <f ca="1">_xll.BDH($C$403,"TOTAL_CAPITAL_SEQUENTIAL_GROWTH","FY 2017","FY 2017","Currency=INR","Period=FY","BEST_FPERIOD_OVERRIDE=FY","FILING_STATUS=OR","EQY_CONSOLIDATED=Y","Sort=A","Dates=H","DateFormat=P","Fill=—","Direction=H","UseDPDF=Y")</f>
        <v>#NAME?</v>
      </c>
      <c r="BW418" s="2" t="e">
        <f ca="1">_xll.BDH($C$403,"BPS_SEQUENTIAL_GROWTH","FY 2017","FY 2017","Currency=INR","Period=FY","BEST_FPERIOD_OVERRIDE=FY","FILING_STATUS=OR","EQY_CONSOLIDATED=Y","Sort=A","Dates=H","DateFormat=P","Fill=—","Direction=H","UseDPDF=Y")</f>
        <v>#NAME?</v>
      </c>
      <c r="BX418" s="2" t="e">
        <f ca="1">_xll.BDH($C$403,"CFO_SEQUENTIAL_GROWTH","FY 2017","FY 2017","Currency=INR","Period=FY","BEST_FPERIOD_OVERRIDE=FY","FILING_STATUS=OR","EQY_CONSOLIDATED=Y","Sort=A","Dates=H","DateFormat=P","Fill=—","Direction=H","UseDPDF=Y")</f>
        <v>#NAME?</v>
      </c>
      <c r="BY418" s="3" t="e">
        <f ca="1">_xll.BDH($C$403,"SHORT_AND_LONG_TERM_DEBT","FY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418" s="3" t="e">
        <f ca="1">_xll.BDH($C$403,"BS_ST_BORROW","FY 2017","FY 2017","Currency=INR","Period=FY","BEST_FPERIOD_OVERRIDE=FY","FILING_STATUS=OR","EQY_CONSOLIDATED=Y","SCALING_FORMAT=MLN","Sort=A","Dates=H","DateFormat=P","Fill=—","Direction=H","UseDPDF=Y")</f>
        <v>#NAME?</v>
      </c>
      <c r="CA418" s="3" t="e">
        <f ca="1">_xll.BDH($C$403,"BS_LT_BORROW","FY 2017","FY 2017","Currency=INR","Period=FY","BEST_FPERIOD_OVERRIDE=FY","FILING_STATUS=OR","EQY_CONSOLIDATED=Y","SCALING_FORMAT=MLN","Sort=A","Dates=H","DateFormat=P","Fill=—","Direction=H","UseDPDF=Y")</f>
        <v>#NAME?</v>
      </c>
      <c r="CB418" s="2" t="e">
        <f ca="1">_xll.BDH($C$403,"TOT_DEBT_TO_EBITDA","FY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418" s="2" t="e">
        <f ca="1">_xll.BDH($C$403,"NET_DEBT_TO_EBITDA","FY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418" s="2" t="e">
        <f ca="1">_xll.BDH($C$403,"TOTAL_DEBT_TO_EBIT","FY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418" s="2" t="e">
        <f ca="1">_xll.BDH($C$403,"NET_DEBT_TO_EBIT","FY 2017","FY 2017","Currency=INR","Period=FY","BEST_FPERIOD_OVERRIDE=FY","FILING_STATUS=OR","EQY_CONSOLIDATED=Y","FA_ADJUSTED=GAAP","Sort=A","Dates=H","DateFormat=P","Fill=—","Direction=H","UseDPDF=Y")</f>
        <v>#NAME?</v>
      </c>
      <c r="CF418" s="2" t="e">
        <f ca="1">_xll.BDH($C$403,"EBITDA_TO_INTEREST_EXPN","FY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418" s="2" t="e">
        <f ca="1">_xll.BDH($C$403,"COM_EQY_TO_TOT_ASSET","FY 2017","FY 2017","Currency=INR","Period=FY","BEST_FPERIOD_OVERRIDE=FY","FILING_STATUS=OR","EQY_CONSOLIDATED=Y","Sort=A","Dates=H","DateFormat=P","Fill=—","Direction=H","UseDPDF=Y")</f>
        <v>#NAME?</v>
      </c>
      <c r="CH418" s="2" t="e">
        <f ca="1">_xll.BDH($C$403,"LT_DEBT_TO_TOT_EQY","FY 2017","FY 2017","Currency=INR","Period=FY","BEST_FPERIOD_OVERRIDE=FY","FILING_STATUS=OR","EQY_CONSOLIDATED=Y","Sort=A","Dates=H","DateFormat=P","Fill=—","Direction=H","UseDPDF=Y")</f>
        <v>#NAME?</v>
      </c>
      <c r="CI418" s="2" t="e">
        <f ca="1">_xll.BDH($C$403,"LT_DEBT_TO_TOT_CAP","FY 2017","FY 2017","Currency=INR","Period=FY","BEST_FPERIOD_OVERRIDE=FY","FILING_STATUS=OR","EQY_CONSOLIDATED=Y","Sort=A","Dates=H","DateFormat=P","Fill=—","Direction=H","UseDPDF=Y")</f>
        <v>#NAME?</v>
      </c>
      <c r="CJ418" s="2" t="e">
        <f ca="1">_xll.BDH($C$403,"LT_DEBT_TO_TOT_ASSET","FY 2017","FY 2017","Currency=INR","Period=FY","BEST_FPERIOD_OVERRIDE=FY","FILING_STATUS=OR","EQY_CONSOLIDATED=Y","Sort=A","Dates=H","DateFormat=P","Fill=—","Direction=H","UseDPDF=Y")</f>
        <v>#NAME?</v>
      </c>
      <c r="CK418" s="2" t="e">
        <f ca="1">_xll.BDH($C$403,"TOT_DEBT_TO_TOT_EQY","FY 2017","FY 2017","Currency=INR","Period=FY","BEST_FPERIOD_OVERRIDE=FY","FILING_STATUS=OR","EQY_CONSOLIDATED=Y","Sort=A","Dates=H","DateFormat=P","Fill=—","Direction=H","UseDPDF=Y")</f>
        <v>#NAME?</v>
      </c>
      <c r="CL418" s="2" t="e">
        <f ca="1">_xll.BDH($C$403,"TOT_DEBT_TO_TOT_CAP","FY 2017","FY 2017","Currency=INR","Period=FY","BEST_FPERIOD_OVERRIDE=FY","FILING_STATUS=OR","EQY_CONSOLIDATED=Y","Sort=A","Dates=H","DateFormat=P","Fill=—","Direction=H","UseDPDF=Y")</f>
        <v>#NAME?</v>
      </c>
      <c r="CM418" s="2" t="e">
        <f ca="1">_xll.BDH($C$403,"TOT_DEBT_TO_TOT_ASSET","FY 2017","FY 2017","Currency=INR","Period=FY","BEST_FPERIOD_OVERRIDE=FY","FILING_STATUS=OR","EQY_CONSOLIDATED=Y","Sort=A","Dates=H","DateFormat=P","Fill=—","Direction=H","UseDPDF=Y")</f>
        <v>#NAME?</v>
      </c>
      <c r="CN418" s="2" t="e">
        <f ca="1">_xll.BDH($C$403,"NET_DEBT_TO_SHRHLDR_EQTY","FY 2017","FY 2017","Currency=INR","Period=FY","BEST_FPERIOD_OVERRIDE=FY","FILING_STATUS=OR","EQY_CONSOLIDATED=Y","Sort=A","Dates=H","DateFormat=P","Fill=—","Direction=H","UseDPDF=Y")</f>
        <v>#NAME?</v>
      </c>
      <c r="CO418" s="2" t="e">
        <f ca="1">_xll.BDH($C$403,"NET_DEBT_%_CAPITAL","FY 2017","FY 2017","Currency=INR","Period=FY","BEST_FPERIOD_OVERRIDE=FY","FILING_STATUS=OR","EQY_CONSOLIDATED=Y","Sort=A","Dates=H","DateFormat=P","Fill=—","Direction=H","UseDPDF=Y")</f>
        <v>#NAME?</v>
      </c>
      <c r="CP418" s="3" t="e">
        <f ca="1">_xll.BDH($C$403,"EBITDA","FY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418" s="3" t="e">
        <f ca="1">_xll.BDH($C$403,"EBITDA_AFTER_CAPEX","FY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418" s="3" t="e">
        <f ca="1">_xll.BDH($C$403,"IS_OPER_INC","FY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418" s="2" t="e">
        <f ca="1">_xll.BDH($C$403,"CASH_RATIO","FY 2017","FY 2017","Currency=INR","Period=FY","BEST_FPERIOD_OVERRIDE=FY","FILING_STATUS=OR","EQY_CONSOLIDATED=Y","Sort=A","Dates=H","DateFormat=P","Fill=—","Direction=H","UseDPDF=Y")</f>
        <v>#NAME?</v>
      </c>
      <c r="CT418" s="2" t="e">
        <f ca="1">_xll.BDH($C$403,"CUR_RATIO","FY 2017","FY 2017","Currency=INR","Period=FY","BEST_FPERIOD_OVERRIDE=FY","FILING_STATUS=OR","EQY_CONSOLIDATED=Y","Sort=A","Dates=H","DateFormat=P","Fill=—","Direction=H","UseDPDF=Y")</f>
        <v>#NAME?</v>
      </c>
      <c r="CU418" s="2" t="e">
        <f ca="1">_xll.BDH($C$403,"QUICK_RATIO","FY 2017","FY 2017","Currency=INR","Period=FY","BEST_FPERIOD_OVERRIDE=FY","FILING_STATUS=OR","EQY_CONSOLIDATED=Y","Sort=A","Dates=H","DateFormat=P","Fill=—","Direction=H","UseDPDF=Y")</f>
        <v>#NAME?</v>
      </c>
      <c r="CV418" s="2" t="e">
        <f ca="1">_xll.BDH($C$403,"ALTMAN_Z_SCORE","FY 2017","FY 2017","Currency=INR","Period=FY","BEST_FPERIOD_OVERRIDE=FY","FILING_STATUS=OR","EQY_CONSOLIDATED=Y","Sort=A","Dates=H","DateFormat=P","Fill=—","Direction=H","UseDPDF=Y")</f>
        <v>#NAME?</v>
      </c>
      <c r="CW418" s="4" t="e">
        <f ca="1">_xll.BDH($C$403,"ACCT_RCV_TURN","FY 2017","FY 2017","Currency=INR","Period=FY","BEST_FPERIOD_OVERRIDE=FY","FILING_STATUS=OR","EQY_CONSOLIDATED=Y","FA_ADJUSTED=GAAP","Sort=A","Dates=H","DateFormat=P","Fill=—","Direction=H","UseDPDF=Y")</f>
        <v>#NAME?</v>
      </c>
      <c r="CX418" s="2" t="e">
        <f ca="1">_xll.BDH($C$403,"ACCT_RCV_DAYS","FY 2017","FY 2017","Currency=INR","Period=FY","BEST_FPERIOD_OVERRIDE=FY","FILING_STATUS=OR","EQY_CONSOLIDATED=Y","FA_ADJUSTED=GAAP","Sort=A","Dates=H","DateFormat=P","Fill=—","Direction=H","UseDPDF=Y")</f>
        <v>#NAME?</v>
      </c>
      <c r="CY418" s="4" t="e">
        <f ca="1">_xll.BDH($C$403,"INVENT_TURN","FY 2017","FY 2017","Currency=INR","Period=FY","BEST_FPERIOD_OVERRIDE=FY","FILING_STATUS=OR","EQY_CONSOLIDATED=Y","FA_ADJUSTED=GAAP","Sort=A","Dates=H","DateFormat=P","Fill=—","Direction=H","UseDPDF=Y")</f>
        <v>#NAME?</v>
      </c>
      <c r="CZ418" s="2" t="e">
        <f ca="1">_xll.BDH($C$403,"INVENT_DAYS","FY 2017","FY 2017","Currency=INR","Period=FY","BEST_FPERIOD_OVERRIDE=FY","FILING_STATUS=OR","EQY_CONSOLIDATED=Y","FA_ADJUSTED=GAAP","Sort=A","Dates=H","DateFormat=P","Fill=—","Direction=H","UseDPDF=Y")</f>
        <v>#NAME?</v>
      </c>
      <c r="DA418" s="4" t="e">
        <f ca="1">_xll.BDH($C$403,"ACCOUNTS_PAYABLE_TURNOVER","FY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418" s="2" t="e">
        <f ca="1">_xll.BDH($C$403,"ACCOUNTS_PAYABLE_TURNOVER_DAYS","FY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418" s="4" t="e">
        <f ca="1">_xll.BDH($C$403,"CASH_CONVERSION_CYCLE","FY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418" s="4" t="e">
        <f ca="1">_xll.BDH($C$403,"INV_TO_CASH_DAYS","FY 2017","FY 2017","Currency=INR","Period=FY","BEST_FPERIOD_OVERRIDE=FY","FILING_STATUS=OR","EQY_CONSOLIDATED=Y","FA_ADJUSTED=GAAP","Sort=A","Dates=H","DateFormat=P","Fill=—","Direction=H","UseDPDF=Y")</f>
        <v>#NAME?</v>
      </c>
      <c r="DE418" s="5" t="e">
        <f ca="1">_xll.BDH($C$403,"BS_INVENTORIES","FY 2017","FY 2017","Currency=INR","Period=FY","BEST_FPERIOD_OVERRIDE=FY","FILING_STATUS=OR","EQY_CONSOLIDATED=Y","SCALING_FORMAT=MLN","Sort=A","Dates=H","DateFormat=P","Fill=—","Direction=H","UseDPDF=Y")</f>
        <v>#NAME?</v>
      </c>
      <c r="DF418" s="3" t="e">
        <f ca="1">_xll.BDH($C$403,"INVTRY_RAW_MATERIALS","FY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418" s="3" t="e">
        <f ca="1">_xll.BDH($C$403,"INVTRY_IN_PROGRESS","FY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418" s="3" t="e">
        <f ca="1">_xll.BDH($C$403,"INVTRY_FINISHED_GOODS","FY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418" s="3" t="e">
        <f ca="1">_xll.BDH($C$403,"BS_OTHER_INV","FY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419" spans="1:113" x14ac:dyDescent="0.3">
      <c r="A419" s="6"/>
      <c r="B419" s="6"/>
      <c r="C419" s="6"/>
      <c r="D419" s="6"/>
      <c r="E419" t="s">
        <v>78</v>
      </c>
      <c r="F419" t="e">
        <f ca="1">_xll.BDH($C$403,"RETURN_COM_EQY","FQ1 2017","FQ1 2017","Currency=INR","Period=FQ","BEST_FPERIOD_OVERRIDE=FQ","FILING_STATUS=OR","EQY_CONSOLIDATED=Y","FA_ADJUSTED=GAAP","Sort=A","Dates=H","DateFormat=P","Fill=—","Direction=H","UseDPDF=Y")</f>
        <v>#NAME?</v>
      </c>
      <c r="G419" t="e">
        <f ca="1">_xll.BDH($C$403,"RETURN_ON_ASSET","FQ1 2017","FQ1 2017","Currency=INR","Period=FQ","BEST_FPERIOD_OVERRIDE=FQ","FILING_STATUS=OR","EQY_CONSOLIDATED=Y","FA_ADJUSTED=GAAP","Sort=A","Dates=H","DateFormat=P","Fill=—","Direction=H","UseDPDF=Y")</f>
        <v>#NAME?</v>
      </c>
      <c r="H419" t="e">
        <f ca="1">_xll.BDH($C$403,"RETURN_ON_CAP","FQ1 2017","FQ1 2017","Currency=INR","Period=FQ","BEST_FPERIOD_OVERRIDE=FQ","FILING_STATUS=OR","EQY_CONSOLIDATED=Y","FA_ADJUSTED=GAAP","Sort=A","Dates=H","DateFormat=P","Fill=—","Direction=H","UseDPDF=Y")</f>
        <v>#NAME?</v>
      </c>
      <c r="I419" t="e">
        <f ca="1">_xll.BDH($C$403,"RETURN_ON_INV_CAPITAL","FQ1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419" t="e">
        <f ca="1">_xll.BDH($C$403,"EBITDA_TO_REVENUE","FQ1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419" t="e">
        <f ca="1">_xll.BDH($C$403,"OPER_MARGIN","FQ1 2017","FQ1 2017","Currency=INR","Period=FQ","BEST_FPERIOD_OVERRIDE=FQ","FILING_STATUS=OR","EQY_CONSOLIDATED=Y","FA_ADJUSTED=GAAP","Sort=A","Dates=H","DateFormat=P","Fill=—","Direction=H","UseDPDF=Y")</f>
        <v>#NAME?</v>
      </c>
      <c r="L419" t="e">
        <f ca="1">_xll.BDH($C$403,"INCREMENTAL_OPERATING_MARGIN","FQ1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419" t="e">
        <f ca="1">_xll.BDH($C$403,"PRETAX_INC_TO_NET_SALES","FQ1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419" t="e">
        <f ca="1">_xll.BDH($C$403,"INC_BEF_XO_ITEMS_TO_NET_SALES","FQ1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419" t="e">
        <f ca="1">_xll.BDH($C$403,"PROF_MARGIN","FQ1 2017","FQ1 2017","Currency=INR","Period=FQ","BEST_FPERIOD_OVERRIDE=FQ","FILING_STATUS=OR","EQY_CONSOLIDATED=Y","FA_ADJUSTED=GAAP","Sort=A","Dates=H","DateFormat=P","Fill=—","Direction=H","UseDPDF=Y")</f>
        <v>#NAME?</v>
      </c>
      <c r="P419" t="e">
        <f ca="1">_xll.BDH($C$403,"NET_INCOME_TO_COMMON_MARGIN","FQ1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419" t="e">
        <f ca="1">_xll.BDH($C$403,"EFF_TAX_RATE","FQ1 2017","FQ1 2017","Currency=INR","Period=FQ","BEST_FPERIOD_OVERRIDE=FQ","FILING_STATUS=OR","EQY_CONSOLIDATED=Y","FA_ADJUSTED=GAAP","Sort=A","Dates=H","DateFormat=P","Fill=—","Direction=H","UseDPDF=Y")</f>
        <v>#NAME?</v>
      </c>
      <c r="R419" t="e">
        <f ca="1">_xll.BDH($C$403,"DVD_PAYOUT_RATIO","FQ1 2017","FQ1 2017","Currency=INR","Period=FQ","BEST_FPERIOD_OVERRIDE=FQ","FILING_STATUS=OR","EQY_CONSOLIDATED=Y","FA_ADJUSTED=GAAP","Sort=A","Dates=H","DateFormat=P","Fill=—","Direction=H","UseDPDF=Y")</f>
        <v>#NAME?</v>
      </c>
      <c r="S419" t="e">
        <f ca="1">_xll.BDH($C$403,"SUSTAIN_GROWTH_RT","FQ1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419" s="2" t="e">
        <f ca="1">_xll.BDH($C$403,"SALES_GROWTH","FQ1 2017","FQ1 2017","Currency=INR","Period=FQ","BEST_FPERIOD_OVERRIDE=FQ","FILING_STATUS=OR","EQY_CONSOLIDATED=Y","FA_ADJUSTED=GAAP","Sort=A","Dates=H","DateFormat=P","Fill=—","Direction=H","UseDPDF=Y")</f>
        <v>#NAME?</v>
      </c>
      <c r="U419" s="2" t="e">
        <f ca="1">_xll.BDH($C$403,"EBITDA_GROWTH","FQ1 2017","FQ1 2017","Currency=INR","Period=FQ","BEST_FPERIOD_OVERRIDE=FQ","FILING_STATUS=OR","EQY_CONSOLIDATED=Y","FA_ADJUSTED=GAAP","Sort=A","Dates=H","DateFormat=P","Fill=—","Direction=H","UseDPDF=Y")</f>
        <v>#NAME?</v>
      </c>
      <c r="V419" s="2" t="e">
        <f ca="1">_xll.BDH($C$403,"OPER_INC_GROWTH","FQ1 2017","FQ1 2017","Currency=INR","Period=FQ","BEST_FPERIOD_OVERRIDE=FQ","FILING_STATUS=OR","EQY_CONSOLIDATED=Y","FA_ADJUSTED=GAAP","Sort=A","Dates=H","DateFormat=P","Fill=—","Direction=H","UseDPDF=Y")</f>
        <v>#NAME?</v>
      </c>
      <c r="W419" s="2" t="e">
        <f ca="1">_xll.BDH($C$403,"EARN_FOR_COM_GROWTH","FQ1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419" s="2" t="e">
        <f ca="1">_xll.BDH($C$403,"DILUTED_EPS_AFT_XO_ITEMS_GROWTH","FQ1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419" s="2" t="e">
        <f ca="1">_xll.BDH($C$403,"DIVIDEND_PER_SHARE_1_YEAR_GROWTH","FQ1 2017","FQ1 2017","Currency=INR","Period=FQ","BEST_FPERIOD_OVERRIDE=FQ","FILING_STATUS=OR","EQY_CONSOLIDATED=Y","Sort=A","Dates=H","DateFormat=P","Fill=—","Direction=H","UseDPDF=Y")</f>
        <v>#NAME?</v>
      </c>
      <c r="Z419" s="2" t="e">
        <f ca="1">_xll.BDH($C$403,"ACCOUNTS_RECEIVABLE_GROWTH","FQ1 2017","FQ1 2017","Currency=INR","Period=FQ","BEST_FPERIOD_OVERRIDE=FQ","FILING_STATUS=OR","EQY_CONSOLIDATED=Y","Sort=A","Dates=H","DateFormat=P","Fill=—","Direction=H","UseDPDF=Y")</f>
        <v>#NAME?</v>
      </c>
      <c r="AA419" s="2" t="e">
        <f ca="1">_xll.BDH($C$403,"INVENTORY_GROWTH","FQ1 2017","FQ1 2017","Currency=INR","Period=FQ","BEST_FPERIOD_OVERRIDE=FQ","FILING_STATUS=OR","EQY_CONSOLIDATED=Y","Sort=A","Dates=H","DateFormat=P","Fill=—","Direction=H","UseDPDF=Y")</f>
        <v>#NAME?</v>
      </c>
      <c r="AB419" s="2" t="e">
        <f ca="1">_xll.BDH($C$403,"NET_FIXED_ASSETS_1_YEAR_GROWTH","FQ1 2017","FQ1 2017","Currency=INR","Period=FQ","BEST_FPERIOD_OVERRIDE=FQ","FILING_STATUS=OR","EQY_CONSOLIDATED=Y","Sort=A","Dates=H","DateFormat=P","Fill=—","Direction=H","UseDPDF=Y")</f>
        <v>#NAME?</v>
      </c>
      <c r="AC419" s="2" t="e">
        <f ca="1">_xll.BDH($C$403,"ASSET_GROWTH","FQ1 2017","FQ1 2017","Currency=INR","Period=FQ","BEST_FPERIOD_OVERRIDE=FQ","FILING_STATUS=OR","EQY_CONSOLIDATED=Y","Sort=A","Dates=H","DateFormat=P","Fill=—","Direction=H","UseDPDF=Y")</f>
        <v>#NAME?</v>
      </c>
      <c r="AD419" s="2" t="e">
        <f ca="1">_xll.BDH($C$403,"MODIFIED_WORK_CAP_GROWTH","FQ1 2017","FQ1 2017","Currency=INR","Period=FQ","BEST_FPERIOD_OVERRIDE=FQ","FILING_STATUS=OR","EQY_CONSOLIDATED=Y","Sort=A","Dates=H","DateFormat=P","Fill=—","Direction=H","UseDPDF=Y")</f>
        <v>#NAME?</v>
      </c>
      <c r="AE419" s="2" t="e">
        <f ca="1">_xll.BDH($C$403,"WORK_CAP_GROWTH","FQ1 2017","FQ1 2017","Currency=INR","Period=FQ","BEST_FPERIOD_OVERRIDE=FQ","FILING_STATUS=OR","EQY_CONSOLIDATED=Y","Sort=A","Dates=H","DateFormat=P","Fill=—","Direction=H","UseDPDF=Y")</f>
        <v>#NAME?</v>
      </c>
      <c r="AF419" s="2" t="e">
        <f ca="1">_xll.BDH($C$403,"ACCOUNTS_PAYABLE_GROWTH_1YR","FQ1 2017","FQ1 2017","Currency=INR","Period=FQ","BEST_FPERIOD_OVERRIDE=FQ","FILING_STATUS=OR","EQY_CONSOLIDATED=Y","Sort=A","Dates=H","DateFormat=P","Fill=—","Direction=H","UseDPDF=Y")</f>
        <v>#NAME?</v>
      </c>
      <c r="AG419" s="2" t="e">
        <f ca="1">_xll.BDH($C$403,"SHORT_TERM_DEBT_1_YEAR_GROWTH","FQ1 2017","FQ1 2017","Currency=INR","Period=FQ","BEST_FPERIOD_OVERRIDE=FQ","FILING_STATUS=OR","EQY_CONSOLIDATED=Y","Sort=A","Dates=H","DateFormat=P","Fill=—","Direction=H","UseDPDF=Y")</f>
        <v>#NAME?</v>
      </c>
      <c r="AH419" s="2" t="e">
        <f ca="1">_xll.BDH($C$403,"TOTAL_DEBT_1_YEAR_GROWTH","FQ1 2017","FQ1 2017","Currency=INR","Period=FQ","BEST_FPERIOD_OVERRIDE=FQ","FILING_STATUS=OR","EQY_CONSOLIDATED=Y","Sort=A","Dates=H","DateFormat=P","Fill=—","Direction=H","UseDPDF=Y")</f>
        <v>#NAME?</v>
      </c>
      <c r="AI419" s="2" t="e">
        <f ca="1">_xll.BDH($C$403,"TOTAL_EQUITY_1_YEAR_GROWTH","FQ1 2017","FQ1 2017","Currency=INR","Period=FQ","BEST_FPERIOD_OVERRIDE=FQ","FILING_STATUS=OR","EQY_CONSOLIDATED=Y","Sort=A","Dates=H","DateFormat=P","Fill=—","Direction=H","UseDPDF=Y")</f>
        <v>#NAME?</v>
      </c>
      <c r="AJ419" s="2" t="e">
        <f ca="1">_xll.BDH($C$403,"GROWTH_IN_CAP","FQ1 2017","FQ1 2017","Currency=INR","Period=FQ","BEST_FPERIOD_OVERRIDE=FQ","FILING_STATUS=OR","EQY_CONSOLIDATED=Y","Sort=A","Dates=H","DateFormat=P","Fill=—","Direction=H","UseDPDF=Y")</f>
        <v>#NAME?</v>
      </c>
      <c r="AK419" s="2" t="e">
        <f ca="1">_xll.BDH($C$403,"BVPS_GROWTH","FQ1 2017","FQ1 2017","Currency=INR","Period=FQ","BEST_FPERIOD_OVERRIDE=FQ","FILING_STATUS=OR","EQY_CONSOLIDATED=Y","Sort=A","Dates=H","DateFormat=P","Fill=—","Direction=H","UseDPDF=Y")</f>
        <v>#NAME?</v>
      </c>
      <c r="AL419" s="2" t="e">
        <f ca="1">_xll.BDH($C$403,"CASH_FLOW_GROWTH","FQ1 2017","FQ1 2017","Currency=INR","Period=FQ","BEST_FPERIOD_OVERRIDE=FQ","FILING_STATUS=OR","EQY_CONSOLIDATED=Y","Sort=A","Dates=H","DateFormat=P","Fill=—","Direction=H","UseDPDF=Y")</f>
        <v>#NAME?</v>
      </c>
      <c r="AM419" s="2" t="e">
        <f ca="1">_xll.BDH($C$403,"GEO_GROW_NET_SALES","FQ1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419" s="2" t="e">
        <f ca="1">_xll.BDH($C$403,"GEO_GROW_EBITDA","FQ1 2017","FQ1 2017","Currency=INR","Period=FQ","BEST_FPERIOD_OVERRIDE=FQ","FILING_STATUS=OR","EQY_CONSOLIDATED=Y","FA_ADJUSTED=GAAP","Sort=A","Dates=H","DateFormat=P","Fill=—","Direction=H","UseDPDF=Y")</f>
        <v>#NAME?</v>
      </c>
      <c r="AO419" s="2" t="e">
        <f ca="1">_xll.BDH($C$403,"GEO_GROW_OPER_INC","FQ1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419" s="2" t="e">
        <f ca="1">_xll.BDH($C$403,"NET_INCOME_TO_COMMON_5_YR_GROWTH","FQ1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419" s="2" t="e">
        <f ca="1">_xll.BDH($C$403,"5Y_GEO_GROWTH_DILUTED_EPS","FQ1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419" s="2" t="e">
        <f ca="1">_xll.BDH($C$403,"GEO_GROW_DVD_PER_SH","FQ1 2017","FQ1 2017","Currency=INR","Period=FQ","BEST_FPERIOD_OVERRIDE=FQ","FILING_STATUS=OR","EQY_CONSOLIDATED=Y","Sort=A","Dates=H","DateFormat=P","Fill=—","Direction=H","UseDPDF=Y")</f>
        <v>#NAME?</v>
      </c>
      <c r="AS419" s="2" t="e">
        <f ca="1">_xll.BDH($C$403,"ACCOUNTS_RECEIVABLE_5_YR_GROWTH","FQ1 2017","FQ1 2017","Currency=INR","Period=FQ","BEST_FPERIOD_OVERRIDE=FQ","FILING_STATUS=OR","EQY_CONSOLIDATED=Y","Sort=A","Dates=H","DateFormat=P","Fill=—","Direction=H","UseDPDF=Y")</f>
        <v>#NAME?</v>
      </c>
      <c r="AT419" s="2" t="e">
        <f ca="1">_xll.BDH($C$403,"INVENTORY_5_YEAR_GROWTH","FQ1 2017","FQ1 2017","Currency=INR","Period=FQ","BEST_FPERIOD_OVERRIDE=FQ","FILING_STATUS=OR","EQY_CONSOLIDATED=Y","Sort=A","Dates=H","DateFormat=P","Fill=—","Direction=H","UseDPDF=Y")</f>
        <v>#NAME?</v>
      </c>
      <c r="AU419" s="2" t="e">
        <f ca="1">_xll.BDH($C$403,"NET_FIXED_ASSETS_5_YEAR_GROWTH","FQ1 2017","FQ1 2017","Currency=INR","Period=FQ","BEST_FPERIOD_OVERRIDE=FQ","FILING_STATUS=OR","EQY_CONSOLIDATED=Y","Sort=A","Dates=H","DateFormat=P","Fill=—","Direction=H","UseDPDF=Y")</f>
        <v>#NAME?</v>
      </c>
      <c r="AV419" s="2" t="e">
        <f ca="1">_xll.BDH($C$403,"GEO_GROW_TOT_ASSET","FQ1 2017","FQ1 2017","Currency=INR","Period=FQ","BEST_FPERIOD_OVERRIDE=FQ","FILING_STATUS=OR","EQY_CONSOLIDATED=Y","Sort=A","Dates=H","DateFormat=P","Fill=—","Direction=H","UseDPDF=Y")</f>
        <v>#NAME?</v>
      </c>
      <c r="AW419" s="2" t="e">
        <f ca="1">_xll.BDH($C$403,"MODIFIED_WORKING_CPTL_5YR_GRWTH","FQ1 2017","FQ1 2017","Currency=INR","Period=FQ","BEST_FPERIOD_OVERRIDE=FQ","FILING_STATUS=OR","EQY_CONSOLIDATED=Y","Sort=A","Dates=H","DateFormat=P","Fill=—","Direction=H","UseDPDF=Y")</f>
        <v>#NAME?</v>
      </c>
      <c r="AX419" s="2" t="e">
        <f ca="1">_xll.BDH($C$403,"WORKING_CAPITAL_5_YEAR_GROWTH","FQ1 2017","FQ1 2017","Currency=INR","Period=FQ","BEST_FPERIOD_OVERRIDE=FQ","FILING_STATUS=OR","EQY_CONSOLIDATED=Y","Sort=A","Dates=H","DateFormat=P","Fill=—","Direction=H","UseDPDF=Y")</f>
        <v>#NAME?</v>
      </c>
      <c r="AY419" s="2" t="e">
        <f ca="1">_xll.BDH($C$403,"ACCOUNTS_PAYABLE_5_YEAR_GROWTH","FQ1 2017","FQ1 2017","Currency=INR","Period=FQ","BEST_FPERIOD_OVERRIDE=FQ","FILING_STATUS=OR","EQY_CONSOLIDATED=Y","Sort=A","Dates=H","DateFormat=P","Fill=—","Direction=H","UseDPDF=Y")</f>
        <v>#NAME?</v>
      </c>
      <c r="AZ419" s="2" t="e">
        <f ca="1">_xll.BDH($C$403,"SHORT_TERM_DEBT_5_YEAR_GROWTH","FQ1 2017","FQ1 2017","Currency=INR","Period=FQ","BEST_FPERIOD_OVERRIDE=FQ","FILING_STATUS=OR","EQY_CONSOLIDATED=Y","Sort=A","Dates=H","DateFormat=P","Fill=—","Direction=H","UseDPDF=Y")</f>
        <v>#NAME?</v>
      </c>
      <c r="BA419" s="2" t="e">
        <f ca="1">_xll.BDH($C$403,"TOTAL_DEBT_5_YEAR_GROWTH","FQ1 2017","FQ1 2017","Currency=INR","Period=FQ","BEST_FPERIOD_OVERRIDE=FQ","FILING_STATUS=OR","EQY_CONSOLIDATED=Y","Sort=A","Dates=H","DateFormat=P","Fill=—","Direction=H","UseDPDF=Y")</f>
        <v>#NAME?</v>
      </c>
      <c r="BB419" s="2" t="e">
        <f ca="1">_xll.BDH($C$403,"GEO_GROW_TOT_SHRHLDR_EQY","FQ1 2017","FQ1 2017","Currency=INR","Period=FQ","BEST_FPERIOD_OVERRIDE=FQ","FILING_STATUS=OR","EQY_CONSOLIDATED=Y","Sort=A","Dates=H","DateFormat=P","Fill=—","Direction=H","UseDPDF=Y")</f>
        <v>#NAME?</v>
      </c>
      <c r="BC419" s="2" t="e">
        <f ca="1">_xll.BDH($C$403,"TOTAL_CAPITAL_5_YEAR_GROWTH","FQ1 2017","FQ1 2017","Currency=INR","Period=FQ","BEST_FPERIOD_OVERRIDE=FQ","FILING_STATUS=OR","EQY_CONSOLIDATED=Y","Sort=A","Dates=H","DateFormat=P","Fill=—","Direction=H","UseDPDF=Y")</f>
        <v>#NAME?</v>
      </c>
      <c r="BD419" s="2" t="e">
        <f ca="1">_xll.BDH($C$403,"GEO_GROW_BOOK_VAL","FQ1 2017","FQ1 2017","Currency=INR","Period=FQ","BEST_FPERIOD_OVERRIDE=FQ","FILING_STATUS=OR","EQY_CONSOLIDATED=Y","Sort=A","Dates=H","DateFormat=P","Fill=—","Direction=H","UseDPDF=Y")</f>
        <v>#NAME?</v>
      </c>
      <c r="BE419" s="2" t="e">
        <f ca="1">_xll.BDH($C$403,"GEO_GROW_CASH_OPER_ACT","FQ1 2017","FQ1 2017","Currency=INR","Period=FQ","BEST_FPERIOD_OVERRIDE=FQ","FILING_STATUS=OR","EQY_CONSOLIDATED=Y","Sort=A","Dates=H","DateFormat=P","Fill=—","Direction=H","UseDPDF=Y")</f>
        <v>#NAME?</v>
      </c>
      <c r="BF419" s="2" t="e">
        <f ca="1">_xll.BDH($C$403,"REVENUE_SEQUENTIAL_GROWTH","FQ1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419" s="2" t="e">
        <f ca="1">_xll.BDH($C$403,"EBITDA_SEQUENTIAL_GROWTH","FQ1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419" s="2" t="e">
        <f ca="1">_xll.BDH($C$403,"OPERATING_INCOME_SEQ_GROWTH","FQ1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419" s="2" t="e">
        <f ca="1">_xll.BDH($C$403,"NET_INCOME_TO_COMMON_SEQ_GROWTH","FQ1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419" s="2" t="e">
        <f ca="1">_xll.BDH($C$403,"EPS_DILUTED_SEQUENTIAL_GROWTH","FQ1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419" s="2" t="e">
        <f ca="1">_xll.BDH($C$403,"DPS_SEQUENTIAL_GROWTH","FQ1 2017","FQ1 2017","Currency=INR","Period=FQ","BEST_FPERIOD_OVERRIDE=FQ","FILING_STATUS=OR","EQY_CONSOLIDATED=Y","Sort=A","Dates=H","DateFormat=P","Fill=—","Direction=H","UseDPDF=Y")</f>
        <v>#NAME?</v>
      </c>
      <c r="BL419" s="2" t="e">
        <f ca="1">_xll.BDH($C$403,"ACCOUNTS_RECEIVABLE_SEQ_GROWTH","FQ1 2017","FQ1 2017","Currency=INR","Period=FQ","BEST_FPERIOD_OVERRIDE=FQ","FILING_STATUS=OR","EQY_CONSOLIDATED=Y","Sort=A","Dates=H","DateFormat=P","Fill=—","Direction=H","UseDPDF=Y")</f>
        <v>#NAME?</v>
      </c>
      <c r="BM419" s="2" t="e">
        <f ca="1">_xll.BDH($C$403,"INVENTORY_SEQUENTIAL_GROWTH","FQ1 2017","FQ1 2017","Currency=INR","Period=FQ","BEST_FPERIOD_OVERRIDE=FQ","FILING_STATUS=OR","EQY_CONSOLIDATED=Y","Sort=A","Dates=H","DateFormat=P","Fill=—","Direction=H","UseDPDF=Y")</f>
        <v>#NAME?</v>
      </c>
      <c r="BN419" s="2" t="e">
        <f ca="1">_xll.BDH($C$403,"FIXED_ASSETS_SEQUENTIAL_GROWTH","FQ1 2017","FQ1 2017","Currency=INR","Period=FQ","BEST_FPERIOD_OVERRIDE=FQ","FILING_STATUS=OR","EQY_CONSOLIDATED=Y","Sort=A","Dates=H","DateFormat=P","Fill=—","Direction=H","UseDPDF=Y")</f>
        <v>#NAME?</v>
      </c>
      <c r="BO419" s="2" t="e">
        <f ca="1">_xll.BDH($C$403,"TOTAL_ASSETS_SEQUENTIAL_GROWTH","FQ1 2017","FQ1 2017","Currency=INR","Period=FQ","BEST_FPERIOD_OVERRIDE=FQ","FILING_STATUS=OR","EQY_CONSOLIDATED=Y","Sort=A","Dates=H","DateFormat=P","Fill=—","Direction=H","UseDPDF=Y")</f>
        <v>#NAME?</v>
      </c>
      <c r="BP419" s="2" t="e">
        <f ca="1">_xll.BDH($C$403,"MODIFIED_WORKING_CPTL_SEQ_GRWTH","FQ1 2017","FQ1 2017","Currency=INR","Period=FQ","BEST_FPERIOD_OVERRIDE=FQ","FILING_STATUS=OR","EQY_CONSOLIDATED=Y","Sort=A","Dates=H","DateFormat=P","Fill=—","Direction=H","UseDPDF=Y")</f>
        <v>#NAME?</v>
      </c>
      <c r="BQ419" s="2" t="e">
        <f ca="1">_xll.BDH($C$403,"WORKING_CAPITAL_SEQ_GROWTH","FQ1 2017","FQ1 2017","Currency=INR","Period=FQ","BEST_FPERIOD_OVERRIDE=FQ","FILING_STATUS=OR","EQY_CONSOLIDATED=Y","Sort=A","Dates=H","DateFormat=P","Fill=—","Direction=H","UseDPDF=Y")</f>
        <v>#NAME?</v>
      </c>
      <c r="BR419" s="2" t="e">
        <f ca="1">_xll.BDH($C$403,"ACCOUNTS_PAYABLE_SEQ_GROWTH","FQ1 2017","FQ1 2017","Currency=INR","Period=FQ","BEST_FPERIOD_OVERRIDE=FQ","FILING_STATUS=OR","EQY_CONSOLIDATED=Y","Sort=A","Dates=H","DateFormat=P","Fill=—","Direction=H","UseDPDF=Y")</f>
        <v>#NAME?</v>
      </c>
      <c r="BS419" s="2" t="e">
        <f ca="1">_xll.BDH($C$403,"ST_DEBT_SEQUENTIAL_GROWTH","FQ1 2017","FQ1 2017","Currency=INR","Period=FQ","BEST_FPERIOD_OVERRIDE=FQ","FILING_STATUS=OR","EQY_CONSOLIDATED=Y","Sort=A","Dates=H","DateFormat=P","Fill=—","Direction=H","UseDPDF=Y")</f>
        <v>#NAME?</v>
      </c>
      <c r="BT419" s="2" t="e">
        <f ca="1">_xll.BDH($C$403,"TOTAL_DEBT_SEQUENTIAL_GROWTH","FQ1 2017","FQ1 2017","Currency=INR","Period=FQ","BEST_FPERIOD_OVERRIDE=FQ","FILING_STATUS=OR","EQY_CONSOLIDATED=Y","Sort=A","Dates=H","DateFormat=P","Fill=—","Direction=H","UseDPDF=Y")</f>
        <v>#NAME?</v>
      </c>
      <c r="BU419" s="2" t="e">
        <f ca="1">_xll.BDH($C$403,"TOTAL_EQUITY_SEQUENTIAL_GROWTH","FQ1 2017","FQ1 2017","Currency=INR","Period=FQ","BEST_FPERIOD_OVERRIDE=FQ","FILING_STATUS=OR","EQY_CONSOLIDATED=Y","Sort=A","Dates=H","DateFormat=P","Fill=—","Direction=H","UseDPDF=Y")</f>
        <v>#NAME?</v>
      </c>
      <c r="BV419" s="2" t="e">
        <f ca="1">_xll.BDH($C$403,"TOTAL_CAPITAL_SEQUENTIAL_GROWTH","FQ1 2017","FQ1 2017","Currency=INR","Period=FQ","BEST_FPERIOD_OVERRIDE=FQ","FILING_STATUS=OR","EQY_CONSOLIDATED=Y","Sort=A","Dates=H","DateFormat=P","Fill=—","Direction=H","UseDPDF=Y")</f>
        <v>#NAME?</v>
      </c>
      <c r="BW419" s="2" t="e">
        <f ca="1">_xll.BDH($C$403,"BPS_SEQUENTIAL_GROWTH","FQ1 2017","FQ1 2017","Currency=INR","Period=FQ","BEST_FPERIOD_OVERRIDE=FQ","FILING_STATUS=OR","EQY_CONSOLIDATED=Y","Sort=A","Dates=H","DateFormat=P","Fill=—","Direction=H","UseDPDF=Y")</f>
        <v>#NAME?</v>
      </c>
      <c r="BX419" s="2" t="e">
        <f ca="1">_xll.BDH($C$403,"CFO_SEQUENTIAL_GROWTH","FQ1 2017","FQ1 2017","Currency=INR","Period=FQ","BEST_FPERIOD_OVERRIDE=FQ","FILING_STATUS=OR","EQY_CONSOLIDATED=Y","Sort=A","Dates=H","DateFormat=P","Fill=—","Direction=H","UseDPDF=Y")</f>
        <v>#NAME?</v>
      </c>
      <c r="BY419" s="3" t="e">
        <f ca="1">_xll.BDH($C$403,"SHORT_AND_LONG_TERM_DEBT","FQ1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419" s="3" t="e">
        <f ca="1">_xll.BDH($C$403,"BS_ST_BORROW","FQ1 2017","FQ1 2017","Currency=INR","Period=FQ","BEST_FPERIOD_OVERRIDE=FQ","FILING_STATUS=OR","EQY_CONSOLIDATED=Y","SCALING_FORMAT=MLN","Sort=A","Dates=H","DateFormat=P","Fill=—","Direction=H","UseDPDF=Y")</f>
        <v>#NAME?</v>
      </c>
      <c r="CA419" s="3" t="e">
        <f ca="1">_xll.BDH($C$403,"BS_LT_BORROW","FQ1 2017","FQ1 2017","Currency=INR","Period=FQ","BEST_FPERIOD_OVERRIDE=FQ","FILING_STATUS=OR","EQY_CONSOLIDATED=Y","SCALING_FORMAT=MLN","Sort=A","Dates=H","DateFormat=P","Fill=—","Direction=H","UseDPDF=Y")</f>
        <v>#NAME?</v>
      </c>
      <c r="CB419" s="2" t="e">
        <f ca="1">_xll.BDH($C$403,"TOT_DEBT_TO_EBITDA","FQ1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419" s="2" t="e">
        <f ca="1">_xll.BDH($C$403,"NET_DEBT_TO_EBITDA","FQ1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419" s="2" t="e">
        <f ca="1">_xll.BDH($C$403,"TOTAL_DEBT_TO_EBIT","FQ1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419" s="2" t="e">
        <f ca="1">_xll.BDH($C$403,"NET_DEBT_TO_EBIT","FQ1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419" s="2" t="e">
        <f ca="1">_xll.BDH($C$403,"EBITDA_TO_INTEREST_EXPN","FQ1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419" s="2" t="e">
        <f ca="1">_xll.BDH($C$403,"COM_EQY_TO_TOT_ASSET","FQ1 2017","FQ1 2017","Currency=INR","Period=FQ","BEST_FPERIOD_OVERRIDE=FQ","FILING_STATUS=OR","EQY_CONSOLIDATED=Y","Sort=A","Dates=H","DateFormat=P","Fill=—","Direction=H","UseDPDF=Y")</f>
        <v>#NAME?</v>
      </c>
      <c r="CH419" s="2" t="e">
        <f ca="1">_xll.BDH($C$403,"LT_DEBT_TO_TOT_EQY","FQ1 2017","FQ1 2017","Currency=INR","Period=FQ","BEST_FPERIOD_OVERRIDE=FQ","FILING_STATUS=OR","EQY_CONSOLIDATED=Y","Sort=A","Dates=H","DateFormat=P","Fill=—","Direction=H","UseDPDF=Y")</f>
        <v>#NAME?</v>
      </c>
      <c r="CI419" s="2" t="e">
        <f ca="1">_xll.BDH($C$403,"LT_DEBT_TO_TOT_CAP","FQ1 2017","FQ1 2017","Currency=INR","Period=FQ","BEST_FPERIOD_OVERRIDE=FQ","FILING_STATUS=OR","EQY_CONSOLIDATED=Y","Sort=A","Dates=H","DateFormat=P","Fill=—","Direction=H","UseDPDF=Y")</f>
        <v>#NAME?</v>
      </c>
      <c r="CJ419" s="2" t="e">
        <f ca="1">_xll.BDH($C$403,"LT_DEBT_TO_TOT_ASSET","FQ1 2017","FQ1 2017","Currency=INR","Period=FQ","BEST_FPERIOD_OVERRIDE=FQ","FILING_STATUS=OR","EQY_CONSOLIDATED=Y","Sort=A","Dates=H","DateFormat=P","Fill=—","Direction=H","UseDPDF=Y")</f>
        <v>#NAME?</v>
      </c>
      <c r="CK419" s="2" t="e">
        <f ca="1">_xll.BDH($C$403,"TOT_DEBT_TO_TOT_EQY","FQ1 2017","FQ1 2017","Currency=INR","Period=FQ","BEST_FPERIOD_OVERRIDE=FQ","FILING_STATUS=OR","EQY_CONSOLIDATED=Y","Sort=A","Dates=H","DateFormat=P","Fill=—","Direction=H","UseDPDF=Y")</f>
        <v>#NAME?</v>
      </c>
      <c r="CL419" s="2" t="e">
        <f ca="1">_xll.BDH($C$403,"TOT_DEBT_TO_TOT_CAP","FQ1 2017","FQ1 2017","Currency=INR","Period=FQ","BEST_FPERIOD_OVERRIDE=FQ","FILING_STATUS=OR","EQY_CONSOLIDATED=Y","Sort=A","Dates=H","DateFormat=P","Fill=—","Direction=H","UseDPDF=Y")</f>
        <v>#NAME?</v>
      </c>
      <c r="CM419" s="2" t="e">
        <f ca="1">_xll.BDH($C$403,"TOT_DEBT_TO_TOT_ASSET","FQ1 2017","FQ1 2017","Currency=INR","Period=FQ","BEST_FPERIOD_OVERRIDE=FQ","FILING_STATUS=OR","EQY_CONSOLIDATED=Y","Sort=A","Dates=H","DateFormat=P","Fill=—","Direction=H","UseDPDF=Y")</f>
        <v>#NAME?</v>
      </c>
      <c r="CN419" s="2" t="e">
        <f ca="1">_xll.BDH($C$403,"NET_DEBT_TO_SHRHLDR_EQTY","FQ1 2017","FQ1 2017","Currency=INR","Period=FQ","BEST_FPERIOD_OVERRIDE=FQ","FILING_STATUS=OR","EQY_CONSOLIDATED=Y","Sort=A","Dates=H","DateFormat=P","Fill=—","Direction=H","UseDPDF=Y")</f>
        <v>#NAME?</v>
      </c>
      <c r="CO419" s="2" t="e">
        <f ca="1">_xll.BDH($C$403,"NET_DEBT_%_CAPITAL","FQ1 2017","FQ1 2017","Currency=INR","Period=FQ","BEST_FPERIOD_OVERRIDE=FQ","FILING_STATUS=OR","EQY_CONSOLIDATED=Y","Sort=A","Dates=H","DateFormat=P","Fill=—","Direction=H","UseDPDF=Y")</f>
        <v>#NAME?</v>
      </c>
      <c r="CP419" s="3" t="e">
        <f ca="1">_xll.BDH($C$403,"EBITDA","FQ1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419" s="3" t="e">
        <f ca="1">_xll.BDH($C$403,"EBITDA_AFTER_CAPEX","FQ1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419" s="3" t="e">
        <f ca="1">_xll.BDH($C$403,"IS_OPER_INC","FQ1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419" s="2" t="e">
        <f ca="1">_xll.BDH($C$403,"CASH_RATIO","FQ1 2017","FQ1 2017","Currency=INR","Period=FQ","BEST_FPERIOD_OVERRIDE=FQ","FILING_STATUS=OR","EQY_CONSOLIDATED=Y","Sort=A","Dates=H","DateFormat=P","Fill=—","Direction=H","UseDPDF=Y")</f>
        <v>#NAME?</v>
      </c>
      <c r="CT419" s="2" t="e">
        <f ca="1">_xll.BDH($C$403,"CUR_RATIO","FQ1 2017","FQ1 2017","Currency=INR","Period=FQ","BEST_FPERIOD_OVERRIDE=FQ","FILING_STATUS=OR","EQY_CONSOLIDATED=Y","Sort=A","Dates=H","DateFormat=P","Fill=—","Direction=H","UseDPDF=Y")</f>
        <v>#NAME?</v>
      </c>
      <c r="CU419" s="2" t="e">
        <f ca="1">_xll.BDH($C$403,"QUICK_RATIO","FQ1 2017","FQ1 2017","Currency=INR","Period=FQ","BEST_FPERIOD_OVERRIDE=FQ","FILING_STATUS=OR","EQY_CONSOLIDATED=Y","Sort=A","Dates=H","DateFormat=P","Fill=—","Direction=H","UseDPDF=Y")</f>
        <v>#NAME?</v>
      </c>
      <c r="CV419" s="2" t="e">
        <f ca="1">_xll.BDH($C$403,"ALTMAN_Z_SCORE","FQ1 2017","FQ1 2017","Currency=INR","Period=FQ","BEST_FPERIOD_OVERRIDE=FQ","FILING_STATUS=OR","EQY_CONSOLIDATED=Y","Sort=A","Dates=H","DateFormat=P","Fill=—","Direction=H","UseDPDF=Y")</f>
        <v>#NAME?</v>
      </c>
      <c r="CW419" s="4" t="e">
        <f ca="1">_xll.BDH($C$403,"ACCT_RCV_TURN","FQ1 2017","FQ1 2017","Currency=INR","Period=FQ","BEST_FPERIOD_OVERRIDE=FQ","FILING_STATUS=OR","EQY_CONSOLIDATED=Y","FA_ADJUSTED=GAAP","Sort=A","Dates=H","DateFormat=P","Fill=—","Direction=H","UseDPDF=Y")</f>
        <v>#NAME?</v>
      </c>
      <c r="CX419" s="2" t="e">
        <f ca="1">_xll.BDH($C$403,"ACCT_RCV_DAYS","FQ1 2017","FQ1 2017","Currency=INR","Period=FQ","BEST_FPERIOD_OVERRIDE=FQ","FILING_STATUS=OR","EQY_CONSOLIDATED=Y","FA_ADJUSTED=GAAP","Sort=A","Dates=H","DateFormat=P","Fill=—","Direction=H","UseDPDF=Y")</f>
        <v>#NAME?</v>
      </c>
      <c r="CY419" s="4" t="e">
        <f ca="1">_xll.BDH($C$403,"INVENT_TURN","FQ1 2017","FQ1 2017","Currency=INR","Period=FQ","BEST_FPERIOD_OVERRIDE=FQ","FILING_STATUS=OR","EQY_CONSOLIDATED=Y","FA_ADJUSTED=GAAP","Sort=A","Dates=H","DateFormat=P","Fill=—","Direction=H","UseDPDF=Y")</f>
        <v>#NAME?</v>
      </c>
      <c r="CZ419" s="2" t="e">
        <f ca="1">_xll.BDH($C$403,"INVENT_DAYS","FQ1 2017","FQ1 2017","Currency=INR","Period=FQ","BEST_FPERIOD_OVERRIDE=FQ","FILING_STATUS=OR","EQY_CONSOLIDATED=Y","FA_ADJUSTED=GAAP","Sort=A","Dates=H","DateFormat=P","Fill=—","Direction=H","UseDPDF=Y")</f>
        <v>#NAME?</v>
      </c>
      <c r="DA419" s="4" t="e">
        <f ca="1">_xll.BDH($C$403,"ACCOUNTS_PAYABLE_TURNOVER","FQ1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419" s="2" t="e">
        <f ca="1">_xll.BDH($C$403,"ACCOUNTS_PAYABLE_TURNOVER_DAYS","FQ1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419" s="4" t="e">
        <f ca="1">_xll.BDH($C$403,"CASH_CONVERSION_CYCLE","FQ1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419" s="4" t="e">
        <f ca="1">_xll.BDH($C$403,"INV_TO_CASH_DAYS","FQ1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419" s="5" t="e">
        <f ca="1">_xll.BDH($C$403,"BS_INVENTORIES","FQ1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419" s="3" t="e">
        <f ca="1">_xll.BDH($C$403,"INVTRY_RAW_MATERIALS","FQ1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419" s="3" t="e">
        <f ca="1">_xll.BDH($C$403,"INVTRY_IN_PROGRESS","FQ1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419" s="3" t="e">
        <f ca="1">_xll.BDH($C$403,"INVTRY_FINISHED_GOODS","FQ1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419" s="3" t="e">
        <f ca="1">_xll.BDH($C$403,"BS_OTHER_INV","FQ1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420" spans="1:113" x14ac:dyDescent="0.3">
      <c r="A420" s="6"/>
      <c r="B420" s="6"/>
      <c r="C420" s="6"/>
      <c r="D420" s="6"/>
      <c r="E420" t="s">
        <v>79</v>
      </c>
      <c r="F420" t="e">
        <f ca="1">_xll.BDH($C$403,"RETURN_COM_EQY","FQ2 2017","FQ2 2017","Currency=INR","Period=FQ","BEST_FPERIOD_OVERRIDE=FQ","FILING_STATUS=OR","EQY_CONSOLIDATED=Y","FA_ADJUSTED=GAAP","Sort=A","Dates=H","DateFormat=P","Fill=—","Direction=H","UseDPDF=Y")</f>
        <v>#NAME?</v>
      </c>
      <c r="G420" t="e">
        <f ca="1">_xll.BDH($C$403,"RETURN_ON_ASSET","FQ2 2017","FQ2 2017","Currency=INR","Period=FQ","BEST_FPERIOD_OVERRIDE=FQ","FILING_STATUS=OR","EQY_CONSOLIDATED=Y","FA_ADJUSTED=GAAP","Sort=A","Dates=H","DateFormat=P","Fill=—","Direction=H","UseDPDF=Y")</f>
        <v>#NAME?</v>
      </c>
      <c r="H420" t="e">
        <f ca="1">_xll.BDH($C$403,"RETURN_ON_CAP","FQ2 2017","FQ2 2017","Currency=INR","Period=FQ","BEST_FPERIOD_OVERRIDE=FQ","FILING_STATUS=OR","EQY_CONSOLIDATED=Y","FA_ADJUSTED=GAAP","Sort=A","Dates=H","DateFormat=P","Fill=—","Direction=H","UseDPDF=Y")</f>
        <v>#NAME?</v>
      </c>
      <c r="I420" t="e">
        <f ca="1">_xll.BDH($C$403,"RETURN_ON_INV_CAPITAL","FQ2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420" t="e">
        <f ca="1">_xll.BDH($C$403,"EBITDA_TO_REVENUE","FQ2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420" t="e">
        <f ca="1">_xll.BDH($C$403,"OPER_MARGIN","FQ2 2017","FQ2 2017","Currency=INR","Period=FQ","BEST_FPERIOD_OVERRIDE=FQ","FILING_STATUS=OR","EQY_CONSOLIDATED=Y","FA_ADJUSTED=GAAP","Sort=A","Dates=H","DateFormat=P","Fill=—","Direction=H","UseDPDF=Y")</f>
        <v>#NAME?</v>
      </c>
      <c r="L420" t="e">
        <f ca="1">_xll.BDH($C$403,"INCREMENTAL_OPERATING_MARGIN","FQ2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420" t="e">
        <f ca="1">_xll.BDH($C$403,"PRETAX_INC_TO_NET_SALES","FQ2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420" t="e">
        <f ca="1">_xll.BDH($C$403,"INC_BEF_XO_ITEMS_TO_NET_SALES","FQ2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420" t="e">
        <f ca="1">_xll.BDH($C$403,"PROF_MARGIN","FQ2 2017","FQ2 2017","Currency=INR","Period=FQ","BEST_FPERIOD_OVERRIDE=FQ","FILING_STATUS=OR","EQY_CONSOLIDATED=Y","FA_ADJUSTED=GAAP","Sort=A","Dates=H","DateFormat=P","Fill=—","Direction=H","UseDPDF=Y")</f>
        <v>#NAME?</v>
      </c>
      <c r="P420" t="e">
        <f ca="1">_xll.BDH($C$403,"NET_INCOME_TO_COMMON_MARGIN","FQ2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420" t="e">
        <f ca="1">_xll.BDH($C$403,"EFF_TAX_RATE","FQ2 2017","FQ2 2017","Currency=INR","Period=FQ","BEST_FPERIOD_OVERRIDE=FQ","FILING_STATUS=OR","EQY_CONSOLIDATED=Y","FA_ADJUSTED=GAAP","Sort=A","Dates=H","DateFormat=P","Fill=—","Direction=H","UseDPDF=Y")</f>
        <v>#NAME?</v>
      </c>
      <c r="R420" t="e">
        <f ca="1">_xll.BDH($C$403,"DVD_PAYOUT_RATIO","FQ2 2017","FQ2 2017","Currency=INR","Period=FQ","BEST_FPERIOD_OVERRIDE=FQ","FILING_STATUS=OR","EQY_CONSOLIDATED=Y","FA_ADJUSTED=GAAP","Sort=A","Dates=H","DateFormat=P","Fill=—","Direction=H","UseDPDF=Y")</f>
        <v>#NAME?</v>
      </c>
      <c r="S420" t="e">
        <f ca="1">_xll.BDH($C$403,"SUSTAIN_GROWTH_RT","FQ2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420" s="2" t="e">
        <f ca="1">_xll.BDH($C$403,"SALES_GROWTH","FQ2 2017","FQ2 2017","Currency=INR","Period=FQ","BEST_FPERIOD_OVERRIDE=FQ","FILING_STATUS=OR","EQY_CONSOLIDATED=Y","FA_ADJUSTED=GAAP","Sort=A","Dates=H","DateFormat=P","Fill=—","Direction=H","UseDPDF=Y")</f>
        <v>#NAME?</v>
      </c>
      <c r="U420" s="2" t="e">
        <f ca="1">_xll.BDH($C$403,"EBITDA_GROWTH","FQ2 2017","FQ2 2017","Currency=INR","Period=FQ","BEST_FPERIOD_OVERRIDE=FQ","FILING_STATUS=OR","EQY_CONSOLIDATED=Y","FA_ADJUSTED=GAAP","Sort=A","Dates=H","DateFormat=P","Fill=—","Direction=H","UseDPDF=Y")</f>
        <v>#NAME?</v>
      </c>
      <c r="V420" s="2" t="e">
        <f ca="1">_xll.BDH($C$403,"OPER_INC_GROWTH","FQ2 2017","FQ2 2017","Currency=INR","Period=FQ","BEST_FPERIOD_OVERRIDE=FQ","FILING_STATUS=OR","EQY_CONSOLIDATED=Y","FA_ADJUSTED=GAAP","Sort=A","Dates=H","DateFormat=P","Fill=—","Direction=H","UseDPDF=Y")</f>
        <v>#NAME?</v>
      </c>
      <c r="W420" s="2" t="e">
        <f ca="1">_xll.BDH($C$403,"EARN_FOR_COM_GROWTH","FQ2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420" s="2" t="e">
        <f ca="1">_xll.BDH($C$403,"DILUTED_EPS_AFT_XO_ITEMS_GROWTH","FQ2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420" s="2" t="e">
        <f ca="1">_xll.BDH($C$403,"DIVIDEND_PER_SHARE_1_YEAR_GROWTH","FQ2 2017","FQ2 2017","Currency=INR","Period=FQ","BEST_FPERIOD_OVERRIDE=FQ","FILING_STATUS=OR","EQY_CONSOLIDATED=Y","Sort=A","Dates=H","DateFormat=P","Fill=—","Direction=H","UseDPDF=Y")</f>
        <v>#NAME?</v>
      </c>
      <c r="Z420" s="2" t="e">
        <f ca="1">_xll.BDH($C$403,"ACCOUNTS_RECEIVABLE_GROWTH","FQ2 2017","FQ2 2017","Currency=INR","Period=FQ","BEST_FPERIOD_OVERRIDE=FQ","FILING_STATUS=OR","EQY_CONSOLIDATED=Y","Sort=A","Dates=H","DateFormat=P","Fill=—","Direction=H","UseDPDF=Y")</f>
        <v>#NAME?</v>
      </c>
      <c r="AA420" s="2" t="e">
        <f ca="1">_xll.BDH($C$403,"INVENTORY_GROWTH","FQ2 2017","FQ2 2017","Currency=INR","Period=FQ","BEST_FPERIOD_OVERRIDE=FQ","FILING_STATUS=OR","EQY_CONSOLIDATED=Y","Sort=A","Dates=H","DateFormat=P","Fill=—","Direction=H","UseDPDF=Y")</f>
        <v>#NAME?</v>
      </c>
      <c r="AB420" s="2" t="e">
        <f ca="1">_xll.BDH($C$403,"NET_FIXED_ASSETS_1_YEAR_GROWTH","FQ2 2017","FQ2 2017","Currency=INR","Period=FQ","BEST_FPERIOD_OVERRIDE=FQ","FILING_STATUS=OR","EQY_CONSOLIDATED=Y","Sort=A","Dates=H","DateFormat=P","Fill=—","Direction=H","UseDPDF=Y")</f>
        <v>#NAME?</v>
      </c>
      <c r="AC420" s="2" t="e">
        <f ca="1">_xll.BDH($C$403,"ASSET_GROWTH","FQ2 2017","FQ2 2017","Currency=INR","Period=FQ","BEST_FPERIOD_OVERRIDE=FQ","FILING_STATUS=OR","EQY_CONSOLIDATED=Y","Sort=A","Dates=H","DateFormat=P","Fill=—","Direction=H","UseDPDF=Y")</f>
        <v>#NAME?</v>
      </c>
      <c r="AD420" s="2" t="e">
        <f ca="1">_xll.BDH($C$403,"MODIFIED_WORK_CAP_GROWTH","FQ2 2017","FQ2 2017","Currency=INR","Period=FQ","BEST_FPERIOD_OVERRIDE=FQ","FILING_STATUS=OR","EQY_CONSOLIDATED=Y","Sort=A","Dates=H","DateFormat=P","Fill=—","Direction=H","UseDPDF=Y")</f>
        <v>#NAME?</v>
      </c>
      <c r="AE420" s="2" t="e">
        <f ca="1">_xll.BDH($C$403,"WORK_CAP_GROWTH","FQ2 2017","FQ2 2017","Currency=INR","Period=FQ","BEST_FPERIOD_OVERRIDE=FQ","FILING_STATUS=OR","EQY_CONSOLIDATED=Y","Sort=A","Dates=H","DateFormat=P","Fill=—","Direction=H","UseDPDF=Y")</f>
        <v>#NAME?</v>
      </c>
      <c r="AF420" s="2" t="e">
        <f ca="1">_xll.BDH($C$403,"ACCOUNTS_PAYABLE_GROWTH_1YR","FQ2 2017","FQ2 2017","Currency=INR","Period=FQ","BEST_FPERIOD_OVERRIDE=FQ","FILING_STATUS=OR","EQY_CONSOLIDATED=Y","Sort=A","Dates=H","DateFormat=P","Fill=—","Direction=H","UseDPDF=Y")</f>
        <v>#NAME?</v>
      </c>
      <c r="AG420" s="2" t="e">
        <f ca="1">_xll.BDH($C$403,"SHORT_TERM_DEBT_1_YEAR_GROWTH","FQ2 2017","FQ2 2017","Currency=INR","Period=FQ","BEST_FPERIOD_OVERRIDE=FQ","FILING_STATUS=OR","EQY_CONSOLIDATED=Y","Sort=A","Dates=H","DateFormat=P","Fill=—","Direction=H","UseDPDF=Y")</f>
        <v>#NAME?</v>
      </c>
      <c r="AH420" s="2" t="e">
        <f ca="1">_xll.BDH($C$403,"TOTAL_DEBT_1_YEAR_GROWTH","FQ2 2017","FQ2 2017","Currency=INR","Period=FQ","BEST_FPERIOD_OVERRIDE=FQ","FILING_STATUS=OR","EQY_CONSOLIDATED=Y","Sort=A","Dates=H","DateFormat=P","Fill=—","Direction=H","UseDPDF=Y")</f>
        <v>#NAME?</v>
      </c>
      <c r="AI420" s="2" t="e">
        <f ca="1">_xll.BDH($C$403,"TOTAL_EQUITY_1_YEAR_GROWTH","FQ2 2017","FQ2 2017","Currency=INR","Period=FQ","BEST_FPERIOD_OVERRIDE=FQ","FILING_STATUS=OR","EQY_CONSOLIDATED=Y","Sort=A","Dates=H","DateFormat=P","Fill=—","Direction=H","UseDPDF=Y")</f>
        <v>#NAME?</v>
      </c>
      <c r="AJ420" s="2" t="e">
        <f ca="1">_xll.BDH($C$403,"GROWTH_IN_CAP","FQ2 2017","FQ2 2017","Currency=INR","Period=FQ","BEST_FPERIOD_OVERRIDE=FQ","FILING_STATUS=OR","EQY_CONSOLIDATED=Y","Sort=A","Dates=H","DateFormat=P","Fill=—","Direction=H","UseDPDF=Y")</f>
        <v>#NAME?</v>
      </c>
      <c r="AK420" s="2" t="e">
        <f ca="1">_xll.BDH($C$403,"BVPS_GROWTH","FQ2 2017","FQ2 2017","Currency=INR","Period=FQ","BEST_FPERIOD_OVERRIDE=FQ","FILING_STATUS=OR","EQY_CONSOLIDATED=Y","Sort=A","Dates=H","DateFormat=P","Fill=—","Direction=H","UseDPDF=Y")</f>
        <v>#NAME?</v>
      </c>
      <c r="AL420" s="2" t="e">
        <f ca="1">_xll.BDH($C$403,"CASH_FLOW_GROWTH","FQ2 2017","FQ2 2017","Currency=INR","Period=FQ","BEST_FPERIOD_OVERRIDE=FQ","FILING_STATUS=OR","EQY_CONSOLIDATED=Y","Sort=A","Dates=H","DateFormat=P","Fill=—","Direction=H","UseDPDF=Y")</f>
        <v>#NAME?</v>
      </c>
      <c r="AM420" s="2" t="e">
        <f ca="1">_xll.BDH($C$403,"GEO_GROW_NET_SALES","FQ2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420" s="2" t="e">
        <f ca="1">_xll.BDH($C$403,"GEO_GROW_EBITDA","FQ2 2017","FQ2 2017","Currency=INR","Period=FQ","BEST_FPERIOD_OVERRIDE=FQ","FILING_STATUS=OR","EQY_CONSOLIDATED=Y","FA_ADJUSTED=GAAP","Sort=A","Dates=H","DateFormat=P","Fill=—","Direction=H","UseDPDF=Y")</f>
        <v>#NAME?</v>
      </c>
      <c r="AO420" s="2" t="e">
        <f ca="1">_xll.BDH($C$403,"GEO_GROW_OPER_INC","FQ2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420" s="2" t="e">
        <f ca="1">_xll.BDH($C$403,"NET_INCOME_TO_COMMON_5_YR_GROWTH","FQ2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420" s="2" t="e">
        <f ca="1">_xll.BDH($C$403,"5Y_GEO_GROWTH_DILUTED_EPS","FQ2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420" s="2" t="e">
        <f ca="1">_xll.BDH($C$403,"GEO_GROW_DVD_PER_SH","FQ2 2017","FQ2 2017","Currency=INR","Period=FQ","BEST_FPERIOD_OVERRIDE=FQ","FILING_STATUS=OR","EQY_CONSOLIDATED=Y","Sort=A","Dates=H","DateFormat=P","Fill=—","Direction=H","UseDPDF=Y")</f>
        <v>#NAME?</v>
      </c>
      <c r="AS420" s="2" t="e">
        <f ca="1">_xll.BDH($C$403,"ACCOUNTS_RECEIVABLE_5_YR_GROWTH","FQ2 2017","FQ2 2017","Currency=INR","Period=FQ","BEST_FPERIOD_OVERRIDE=FQ","FILING_STATUS=OR","EQY_CONSOLIDATED=Y","Sort=A","Dates=H","DateFormat=P","Fill=—","Direction=H","UseDPDF=Y")</f>
        <v>#NAME?</v>
      </c>
      <c r="AT420" s="2" t="e">
        <f ca="1">_xll.BDH($C$403,"INVENTORY_5_YEAR_GROWTH","FQ2 2017","FQ2 2017","Currency=INR","Period=FQ","BEST_FPERIOD_OVERRIDE=FQ","FILING_STATUS=OR","EQY_CONSOLIDATED=Y","Sort=A","Dates=H","DateFormat=P","Fill=—","Direction=H","UseDPDF=Y")</f>
        <v>#NAME?</v>
      </c>
      <c r="AU420" s="2" t="e">
        <f ca="1">_xll.BDH($C$403,"NET_FIXED_ASSETS_5_YEAR_GROWTH","FQ2 2017","FQ2 2017","Currency=INR","Period=FQ","BEST_FPERIOD_OVERRIDE=FQ","FILING_STATUS=OR","EQY_CONSOLIDATED=Y","Sort=A","Dates=H","DateFormat=P","Fill=—","Direction=H","UseDPDF=Y")</f>
        <v>#NAME?</v>
      </c>
      <c r="AV420" s="2" t="e">
        <f ca="1">_xll.BDH($C$403,"GEO_GROW_TOT_ASSET","FQ2 2017","FQ2 2017","Currency=INR","Period=FQ","BEST_FPERIOD_OVERRIDE=FQ","FILING_STATUS=OR","EQY_CONSOLIDATED=Y","Sort=A","Dates=H","DateFormat=P","Fill=—","Direction=H","UseDPDF=Y")</f>
        <v>#NAME?</v>
      </c>
      <c r="AW420" s="2" t="e">
        <f ca="1">_xll.BDH($C$403,"MODIFIED_WORKING_CPTL_5YR_GRWTH","FQ2 2017","FQ2 2017","Currency=INR","Period=FQ","BEST_FPERIOD_OVERRIDE=FQ","FILING_STATUS=OR","EQY_CONSOLIDATED=Y","Sort=A","Dates=H","DateFormat=P","Fill=—","Direction=H","UseDPDF=Y")</f>
        <v>#NAME?</v>
      </c>
      <c r="AX420" s="2" t="e">
        <f ca="1">_xll.BDH($C$403,"WORKING_CAPITAL_5_YEAR_GROWTH","FQ2 2017","FQ2 2017","Currency=INR","Period=FQ","BEST_FPERIOD_OVERRIDE=FQ","FILING_STATUS=OR","EQY_CONSOLIDATED=Y","Sort=A","Dates=H","DateFormat=P","Fill=—","Direction=H","UseDPDF=Y")</f>
        <v>#NAME?</v>
      </c>
      <c r="AY420" s="2" t="e">
        <f ca="1">_xll.BDH($C$403,"ACCOUNTS_PAYABLE_5_YEAR_GROWTH","FQ2 2017","FQ2 2017","Currency=INR","Period=FQ","BEST_FPERIOD_OVERRIDE=FQ","FILING_STATUS=OR","EQY_CONSOLIDATED=Y","Sort=A","Dates=H","DateFormat=P","Fill=—","Direction=H","UseDPDF=Y")</f>
        <v>#NAME?</v>
      </c>
      <c r="AZ420" s="2" t="e">
        <f ca="1">_xll.BDH($C$403,"SHORT_TERM_DEBT_5_YEAR_GROWTH","FQ2 2017","FQ2 2017","Currency=INR","Period=FQ","BEST_FPERIOD_OVERRIDE=FQ","FILING_STATUS=OR","EQY_CONSOLIDATED=Y","Sort=A","Dates=H","DateFormat=P","Fill=—","Direction=H","UseDPDF=Y")</f>
        <v>#NAME?</v>
      </c>
      <c r="BA420" s="2" t="e">
        <f ca="1">_xll.BDH($C$403,"TOTAL_DEBT_5_YEAR_GROWTH","FQ2 2017","FQ2 2017","Currency=INR","Period=FQ","BEST_FPERIOD_OVERRIDE=FQ","FILING_STATUS=OR","EQY_CONSOLIDATED=Y","Sort=A","Dates=H","DateFormat=P","Fill=—","Direction=H","UseDPDF=Y")</f>
        <v>#NAME?</v>
      </c>
      <c r="BB420" s="2" t="e">
        <f ca="1">_xll.BDH($C$403,"GEO_GROW_TOT_SHRHLDR_EQY","FQ2 2017","FQ2 2017","Currency=INR","Period=FQ","BEST_FPERIOD_OVERRIDE=FQ","FILING_STATUS=OR","EQY_CONSOLIDATED=Y","Sort=A","Dates=H","DateFormat=P","Fill=—","Direction=H","UseDPDF=Y")</f>
        <v>#NAME?</v>
      </c>
      <c r="BC420" s="2" t="e">
        <f ca="1">_xll.BDH($C$403,"TOTAL_CAPITAL_5_YEAR_GROWTH","FQ2 2017","FQ2 2017","Currency=INR","Period=FQ","BEST_FPERIOD_OVERRIDE=FQ","FILING_STATUS=OR","EQY_CONSOLIDATED=Y","Sort=A","Dates=H","DateFormat=P","Fill=—","Direction=H","UseDPDF=Y")</f>
        <v>#NAME?</v>
      </c>
      <c r="BD420" s="2" t="e">
        <f ca="1">_xll.BDH($C$403,"GEO_GROW_BOOK_VAL","FQ2 2017","FQ2 2017","Currency=INR","Period=FQ","BEST_FPERIOD_OVERRIDE=FQ","FILING_STATUS=OR","EQY_CONSOLIDATED=Y","Sort=A","Dates=H","DateFormat=P","Fill=—","Direction=H","UseDPDF=Y")</f>
        <v>#NAME?</v>
      </c>
      <c r="BE420" s="2" t="e">
        <f ca="1">_xll.BDH($C$403,"GEO_GROW_CASH_OPER_ACT","FQ2 2017","FQ2 2017","Currency=INR","Period=FQ","BEST_FPERIOD_OVERRIDE=FQ","FILING_STATUS=OR","EQY_CONSOLIDATED=Y","Sort=A","Dates=H","DateFormat=P","Fill=—","Direction=H","UseDPDF=Y")</f>
        <v>#NAME?</v>
      </c>
      <c r="BF420" s="2" t="e">
        <f ca="1">_xll.BDH($C$403,"REVENUE_SEQUENTIAL_GROWTH","FQ2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420" s="2" t="e">
        <f ca="1">_xll.BDH($C$403,"EBITDA_SEQUENTIAL_GROWTH","FQ2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420" s="2" t="e">
        <f ca="1">_xll.BDH($C$403,"OPERATING_INCOME_SEQ_GROWTH","FQ2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420" s="2" t="e">
        <f ca="1">_xll.BDH($C$403,"NET_INCOME_TO_COMMON_SEQ_GROWTH","FQ2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420" s="2" t="e">
        <f ca="1">_xll.BDH($C$403,"EPS_DILUTED_SEQUENTIAL_GROWTH","FQ2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420" s="2" t="e">
        <f ca="1">_xll.BDH($C$403,"DPS_SEQUENTIAL_GROWTH","FQ2 2017","FQ2 2017","Currency=INR","Period=FQ","BEST_FPERIOD_OVERRIDE=FQ","FILING_STATUS=OR","EQY_CONSOLIDATED=Y","Sort=A","Dates=H","DateFormat=P","Fill=—","Direction=H","UseDPDF=Y")</f>
        <v>#NAME?</v>
      </c>
      <c r="BL420" s="2" t="e">
        <f ca="1">_xll.BDH($C$403,"ACCOUNTS_RECEIVABLE_SEQ_GROWTH","FQ2 2017","FQ2 2017","Currency=INR","Period=FQ","BEST_FPERIOD_OVERRIDE=FQ","FILING_STATUS=OR","EQY_CONSOLIDATED=Y","Sort=A","Dates=H","DateFormat=P","Fill=—","Direction=H","UseDPDF=Y")</f>
        <v>#NAME?</v>
      </c>
      <c r="BM420" s="2" t="e">
        <f ca="1">_xll.BDH($C$403,"INVENTORY_SEQUENTIAL_GROWTH","FQ2 2017","FQ2 2017","Currency=INR","Period=FQ","BEST_FPERIOD_OVERRIDE=FQ","FILING_STATUS=OR","EQY_CONSOLIDATED=Y","Sort=A","Dates=H","DateFormat=P","Fill=—","Direction=H","UseDPDF=Y")</f>
        <v>#NAME?</v>
      </c>
      <c r="BN420" s="2" t="e">
        <f ca="1">_xll.BDH($C$403,"FIXED_ASSETS_SEQUENTIAL_GROWTH","FQ2 2017","FQ2 2017","Currency=INR","Period=FQ","BEST_FPERIOD_OVERRIDE=FQ","FILING_STATUS=OR","EQY_CONSOLIDATED=Y","Sort=A","Dates=H","DateFormat=P","Fill=—","Direction=H","UseDPDF=Y")</f>
        <v>#NAME?</v>
      </c>
      <c r="BO420" s="2" t="e">
        <f ca="1">_xll.BDH($C$403,"TOTAL_ASSETS_SEQUENTIAL_GROWTH","FQ2 2017","FQ2 2017","Currency=INR","Period=FQ","BEST_FPERIOD_OVERRIDE=FQ","FILING_STATUS=OR","EQY_CONSOLIDATED=Y","Sort=A","Dates=H","DateFormat=P","Fill=—","Direction=H","UseDPDF=Y")</f>
        <v>#NAME?</v>
      </c>
      <c r="BP420" s="2" t="e">
        <f ca="1">_xll.BDH($C$403,"MODIFIED_WORKING_CPTL_SEQ_GRWTH","FQ2 2017","FQ2 2017","Currency=INR","Period=FQ","BEST_FPERIOD_OVERRIDE=FQ","FILING_STATUS=OR","EQY_CONSOLIDATED=Y","Sort=A","Dates=H","DateFormat=P","Fill=—","Direction=H","UseDPDF=Y")</f>
        <v>#NAME?</v>
      </c>
      <c r="BQ420" s="2" t="e">
        <f ca="1">_xll.BDH($C$403,"WORKING_CAPITAL_SEQ_GROWTH","FQ2 2017","FQ2 2017","Currency=INR","Period=FQ","BEST_FPERIOD_OVERRIDE=FQ","FILING_STATUS=OR","EQY_CONSOLIDATED=Y","Sort=A","Dates=H","DateFormat=P","Fill=—","Direction=H","UseDPDF=Y")</f>
        <v>#NAME?</v>
      </c>
      <c r="BR420" s="2" t="e">
        <f ca="1">_xll.BDH($C$403,"ACCOUNTS_PAYABLE_SEQ_GROWTH","FQ2 2017","FQ2 2017","Currency=INR","Period=FQ","BEST_FPERIOD_OVERRIDE=FQ","FILING_STATUS=OR","EQY_CONSOLIDATED=Y","Sort=A","Dates=H","DateFormat=P","Fill=—","Direction=H","UseDPDF=Y")</f>
        <v>#NAME?</v>
      </c>
      <c r="BS420" s="2" t="e">
        <f ca="1">_xll.BDH($C$403,"ST_DEBT_SEQUENTIAL_GROWTH","FQ2 2017","FQ2 2017","Currency=INR","Period=FQ","BEST_FPERIOD_OVERRIDE=FQ","FILING_STATUS=OR","EQY_CONSOLIDATED=Y","Sort=A","Dates=H","DateFormat=P","Fill=—","Direction=H","UseDPDF=Y")</f>
        <v>#NAME?</v>
      </c>
      <c r="BT420" s="2" t="e">
        <f ca="1">_xll.BDH($C$403,"TOTAL_DEBT_SEQUENTIAL_GROWTH","FQ2 2017","FQ2 2017","Currency=INR","Period=FQ","BEST_FPERIOD_OVERRIDE=FQ","FILING_STATUS=OR","EQY_CONSOLIDATED=Y","Sort=A","Dates=H","DateFormat=P","Fill=—","Direction=H","UseDPDF=Y")</f>
        <v>#NAME?</v>
      </c>
      <c r="BU420" s="2" t="e">
        <f ca="1">_xll.BDH($C$403,"TOTAL_EQUITY_SEQUENTIAL_GROWTH","FQ2 2017","FQ2 2017","Currency=INR","Period=FQ","BEST_FPERIOD_OVERRIDE=FQ","FILING_STATUS=OR","EQY_CONSOLIDATED=Y","Sort=A","Dates=H","DateFormat=P","Fill=—","Direction=H","UseDPDF=Y")</f>
        <v>#NAME?</v>
      </c>
      <c r="BV420" s="2" t="e">
        <f ca="1">_xll.BDH($C$403,"TOTAL_CAPITAL_SEQUENTIAL_GROWTH","FQ2 2017","FQ2 2017","Currency=INR","Period=FQ","BEST_FPERIOD_OVERRIDE=FQ","FILING_STATUS=OR","EQY_CONSOLIDATED=Y","Sort=A","Dates=H","DateFormat=P","Fill=—","Direction=H","UseDPDF=Y")</f>
        <v>#NAME?</v>
      </c>
      <c r="BW420" s="2" t="e">
        <f ca="1">_xll.BDH($C$403,"BPS_SEQUENTIAL_GROWTH","FQ2 2017","FQ2 2017","Currency=INR","Period=FQ","BEST_FPERIOD_OVERRIDE=FQ","FILING_STATUS=OR","EQY_CONSOLIDATED=Y","Sort=A","Dates=H","DateFormat=P","Fill=—","Direction=H","UseDPDF=Y")</f>
        <v>#NAME?</v>
      </c>
      <c r="BX420" s="2" t="e">
        <f ca="1">_xll.BDH($C$403,"CFO_SEQUENTIAL_GROWTH","FQ2 2017","FQ2 2017","Currency=INR","Period=FQ","BEST_FPERIOD_OVERRIDE=FQ","FILING_STATUS=OR","EQY_CONSOLIDATED=Y","Sort=A","Dates=H","DateFormat=P","Fill=—","Direction=H","UseDPDF=Y")</f>
        <v>#NAME?</v>
      </c>
      <c r="BY420" s="3" t="e">
        <f ca="1">_xll.BDH($C$403,"SHORT_AND_LONG_TERM_DEBT","FQ2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420" s="3" t="e">
        <f ca="1">_xll.BDH($C$403,"BS_ST_BORROW","FQ2 2017","FQ2 2017","Currency=INR","Period=FQ","BEST_FPERIOD_OVERRIDE=FQ","FILING_STATUS=OR","EQY_CONSOLIDATED=Y","SCALING_FORMAT=MLN","Sort=A","Dates=H","DateFormat=P","Fill=—","Direction=H","UseDPDF=Y")</f>
        <v>#NAME?</v>
      </c>
      <c r="CA420" s="3" t="e">
        <f ca="1">_xll.BDH($C$403,"BS_LT_BORROW","FQ2 2017","FQ2 2017","Currency=INR","Period=FQ","BEST_FPERIOD_OVERRIDE=FQ","FILING_STATUS=OR","EQY_CONSOLIDATED=Y","SCALING_FORMAT=MLN","Sort=A","Dates=H","DateFormat=P","Fill=—","Direction=H","UseDPDF=Y")</f>
        <v>#NAME?</v>
      </c>
      <c r="CB420" s="2" t="e">
        <f ca="1">_xll.BDH($C$403,"TOT_DEBT_TO_EBITDA","FQ2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420" s="2" t="e">
        <f ca="1">_xll.BDH($C$403,"NET_DEBT_TO_EBITDA","FQ2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420" s="2" t="e">
        <f ca="1">_xll.BDH($C$403,"TOTAL_DEBT_TO_EBIT","FQ2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420" s="2" t="e">
        <f ca="1">_xll.BDH($C$403,"NET_DEBT_TO_EBIT","FQ2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420" s="2" t="e">
        <f ca="1">_xll.BDH($C$403,"EBITDA_TO_INTEREST_EXPN","FQ2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420" s="2" t="e">
        <f ca="1">_xll.BDH($C$403,"COM_EQY_TO_TOT_ASSET","FQ2 2017","FQ2 2017","Currency=INR","Period=FQ","BEST_FPERIOD_OVERRIDE=FQ","FILING_STATUS=OR","EQY_CONSOLIDATED=Y","Sort=A","Dates=H","DateFormat=P","Fill=—","Direction=H","UseDPDF=Y")</f>
        <v>#NAME?</v>
      </c>
      <c r="CH420" s="2" t="e">
        <f ca="1">_xll.BDH($C$403,"LT_DEBT_TO_TOT_EQY","FQ2 2017","FQ2 2017","Currency=INR","Period=FQ","BEST_FPERIOD_OVERRIDE=FQ","FILING_STATUS=OR","EQY_CONSOLIDATED=Y","Sort=A","Dates=H","DateFormat=P","Fill=—","Direction=H","UseDPDF=Y")</f>
        <v>#NAME?</v>
      </c>
      <c r="CI420" s="2" t="e">
        <f ca="1">_xll.BDH($C$403,"LT_DEBT_TO_TOT_CAP","FQ2 2017","FQ2 2017","Currency=INR","Period=FQ","BEST_FPERIOD_OVERRIDE=FQ","FILING_STATUS=OR","EQY_CONSOLIDATED=Y","Sort=A","Dates=H","DateFormat=P","Fill=—","Direction=H","UseDPDF=Y")</f>
        <v>#NAME?</v>
      </c>
      <c r="CJ420" s="2" t="e">
        <f ca="1">_xll.BDH($C$403,"LT_DEBT_TO_TOT_ASSET","FQ2 2017","FQ2 2017","Currency=INR","Period=FQ","BEST_FPERIOD_OVERRIDE=FQ","FILING_STATUS=OR","EQY_CONSOLIDATED=Y","Sort=A","Dates=H","DateFormat=P","Fill=—","Direction=H","UseDPDF=Y")</f>
        <v>#NAME?</v>
      </c>
      <c r="CK420" s="2" t="e">
        <f ca="1">_xll.BDH($C$403,"TOT_DEBT_TO_TOT_EQY","FQ2 2017","FQ2 2017","Currency=INR","Period=FQ","BEST_FPERIOD_OVERRIDE=FQ","FILING_STATUS=OR","EQY_CONSOLIDATED=Y","Sort=A","Dates=H","DateFormat=P","Fill=—","Direction=H","UseDPDF=Y")</f>
        <v>#NAME?</v>
      </c>
      <c r="CL420" s="2" t="e">
        <f ca="1">_xll.BDH($C$403,"TOT_DEBT_TO_TOT_CAP","FQ2 2017","FQ2 2017","Currency=INR","Period=FQ","BEST_FPERIOD_OVERRIDE=FQ","FILING_STATUS=OR","EQY_CONSOLIDATED=Y","Sort=A","Dates=H","DateFormat=P","Fill=—","Direction=H","UseDPDF=Y")</f>
        <v>#NAME?</v>
      </c>
      <c r="CM420" s="2" t="e">
        <f ca="1">_xll.BDH($C$403,"TOT_DEBT_TO_TOT_ASSET","FQ2 2017","FQ2 2017","Currency=INR","Period=FQ","BEST_FPERIOD_OVERRIDE=FQ","FILING_STATUS=OR","EQY_CONSOLIDATED=Y","Sort=A","Dates=H","DateFormat=P","Fill=—","Direction=H","UseDPDF=Y")</f>
        <v>#NAME?</v>
      </c>
      <c r="CN420" s="2" t="e">
        <f ca="1">_xll.BDH($C$403,"NET_DEBT_TO_SHRHLDR_EQTY","FQ2 2017","FQ2 2017","Currency=INR","Period=FQ","BEST_FPERIOD_OVERRIDE=FQ","FILING_STATUS=OR","EQY_CONSOLIDATED=Y","Sort=A","Dates=H","DateFormat=P","Fill=—","Direction=H","UseDPDF=Y")</f>
        <v>#NAME?</v>
      </c>
      <c r="CO420" s="2" t="e">
        <f ca="1">_xll.BDH($C$403,"NET_DEBT_%_CAPITAL","FQ2 2017","FQ2 2017","Currency=INR","Period=FQ","BEST_FPERIOD_OVERRIDE=FQ","FILING_STATUS=OR","EQY_CONSOLIDATED=Y","Sort=A","Dates=H","DateFormat=P","Fill=—","Direction=H","UseDPDF=Y")</f>
        <v>#NAME?</v>
      </c>
      <c r="CP420" s="3" t="e">
        <f ca="1">_xll.BDH($C$403,"EBITDA","FQ2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420" s="3" t="e">
        <f ca="1">_xll.BDH($C$403,"EBITDA_AFTER_CAPEX","FQ2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420" s="3" t="e">
        <f ca="1">_xll.BDH($C$403,"IS_OPER_INC","FQ2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420" s="2" t="e">
        <f ca="1">_xll.BDH($C$403,"CASH_RATIO","FQ2 2017","FQ2 2017","Currency=INR","Period=FQ","BEST_FPERIOD_OVERRIDE=FQ","FILING_STATUS=OR","EQY_CONSOLIDATED=Y","Sort=A","Dates=H","DateFormat=P","Fill=—","Direction=H","UseDPDF=Y")</f>
        <v>#NAME?</v>
      </c>
      <c r="CT420" s="2" t="e">
        <f ca="1">_xll.BDH($C$403,"CUR_RATIO","FQ2 2017","FQ2 2017","Currency=INR","Period=FQ","BEST_FPERIOD_OVERRIDE=FQ","FILING_STATUS=OR","EQY_CONSOLIDATED=Y","Sort=A","Dates=H","DateFormat=P","Fill=—","Direction=H","UseDPDF=Y")</f>
        <v>#NAME?</v>
      </c>
      <c r="CU420" s="2" t="e">
        <f ca="1">_xll.BDH($C$403,"QUICK_RATIO","FQ2 2017","FQ2 2017","Currency=INR","Period=FQ","BEST_FPERIOD_OVERRIDE=FQ","FILING_STATUS=OR","EQY_CONSOLIDATED=Y","Sort=A","Dates=H","DateFormat=P","Fill=—","Direction=H","UseDPDF=Y")</f>
        <v>#NAME?</v>
      </c>
      <c r="CV420" s="2" t="e">
        <f ca="1">_xll.BDH($C$403,"ALTMAN_Z_SCORE","FQ2 2017","FQ2 2017","Currency=INR","Period=FQ","BEST_FPERIOD_OVERRIDE=FQ","FILING_STATUS=OR","EQY_CONSOLIDATED=Y","Sort=A","Dates=H","DateFormat=P","Fill=—","Direction=H","UseDPDF=Y")</f>
        <v>#NAME?</v>
      </c>
      <c r="CW420" s="4" t="e">
        <f ca="1">_xll.BDH($C$403,"ACCT_RCV_TURN","FQ2 2017","FQ2 2017","Currency=INR","Period=FQ","BEST_FPERIOD_OVERRIDE=FQ","FILING_STATUS=OR","EQY_CONSOLIDATED=Y","FA_ADJUSTED=GAAP","Sort=A","Dates=H","DateFormat=P","Fill=—","Direction=H","UseDPDF=Y")</f>
        <v>#NAME?</v>
      </c>
      <c r="CX420" s="2" t="e">
        <f ca="1">_xll.BDH($C$403,"ACCT_RCV_DAYS","FQ2 2017","FQ2 2017","Currency=INR","Period=FQ","BEST_FPERIOD_OVERRIDE=FQ","FILING_STATUS=OR","EQY_CONSOLIDATED=Y","FA_ADJUSTED=GAAP","Sort=A","Dates=H","DateFormat=P","Fill=—","Direction=H","UseDPDF=Y")</f>
        <v>#NAME?</v>
      </c>
      <c r="CY420" s="4" t="e">
        <f ca="1">_xll.BDH($C$403,"INVENT_TURN","FQ2 2017","FQ2 2017","Currency=INR","Period=FQ","BEST_FPERIOD_OVERRIDE=FQ","FILING_STATUS=OR","EQY_CONSOLIDATED=Y","FA_ADJUSTED=GAAP","Sort=A","Dates=H","DateFormat=P","Fill=—","Direction=H","UseDPDF=Y")</f>
        <v>#NAME?</v>
      </c>
      <c r="CZ420" s="2" t="e">
        <f ca="1">_xll.BDH($C$403,"INVENT_DAYS","FQ2 2017","FQ2 2017","Currency=INR","Period=FQ","BEST_FPERIOD_OVERRIDE=FQ","FILING_STATUS=OR","EQY_CONSOLIDATED=Y","FA_ADJUSTED=GAAP","Sort=A","Dates=H","DateFormat=P","Fill=—","Direction=H","UseDPDF=Y")</f>
        <v>#NAME?</v>
      </c>
      <c r="DA420" s="4" t="e">
        <f ca="1">_xll.BDH($C$403,"ACCOUNTS_PAYABLE_TURNOVER","FQ2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420" s="2" t="e">
        <f ca="1">_xll.BDH($C$403,"ACCOUNTS_PAYABLE_TURNOVER_DAYS","FQ2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420" s="4" t="e">
        <f ca="1">_xll.BDH($C$403,"CASH_CONVERSION_CYCLE","FQ2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420" s="4" t="e">
        <f ca="1">_xll.BDH($C$403,"INV_TO_CASH_DAYS","FQ2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420" s="5" t="e">
        <f ca="1">_xll.BDH($C$403,"BS_INVENTORIES","FQ2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420" s="3" t="e">
        <f ca="1">_xll.BDH($C$403,"INVTRY_RAW_MATERIALS","FQ2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420" s="3" t="e">
        <f ca="1">_xll.BDH($C$403,"INVTRY_IN_PROGRESS","FQ2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420" s="3" t="e">
        <f ca="1">_xll.BDH($C$403,"INVTRY_FINISHED_GOODS","FQ2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420" s="3" t="e">
        <f ca="1">_xll.BDH($C$403,"BS_OTHER_INV","FQ2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421" spans="1:113" x14ac:dyDescent="0.3">
      <c r="A421" s="6"/>
      <c r="B421" s="6"/>
      <c r="C421" s="6"/>
      <c r="D421" s="6"/>
      <c r="E421" t="s">
        <v>80</v>
      </c>
      <c r="F421" t="e">
        <f ca="1">_xll.BDH($C$403,"RETURN_COM_EQY","FQ3 2017","FQ3 2017","Currency=INR","Period=FQ","BEST_FPERIOD_OVERRIDE=FQ","FILING_STATUS=OR","EQY_CONSOLIDATED=Y","FA_ADJUSTED=GAAP","Sort=A","Dates=H","DateFormat=P","Fill=—","Direction=H","UseDPDF=Y")</f>
        <v>#NAME?</v>
      </c>
      <c r="G421" t="e">
        <f ca="1">_xll.BDH($C$403,"RETURN_ON_ASSET","FQ3 2017","FQ3 2017","Currency=INR","Period=FQ","BEST_FPERIOD_OVERRIDE=FQ","FILING_STATUS=OR","EQY_CONSOLIDATED=Y","FA_ADJUSTED=GAAP","Sort=A","Dates=H","DateFormat=P","Fill=—","Direction=H","UseDPDF=Y")</f>
        <v>#NAME?</v>
      </c>
      <c r="H421" t="e">
        <f ca="1">_xll.BDH($C$403,"RETURN_ON_CAP","FQ3 2017","FQ3 2017","Currency=INR","Period=FQ","BEST_FPERIOD_OVERRIDE=FQ","FILING_STATUS=OR","EQY_CONSOLIDATED=Y","FA_ADJUSTED=GAAP","Sort=A","Dates=H","DateFormat=P","Fill=—","Direction=H","UseDPDF=Y")</f>
        <v>#NAME?</v>
      </c>
      <c r="I421" t="e">
        <f ca="1">_xll.BDH($C$403,"RETURN_ON_INV_CAPITAL","FQ3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421" t="e">
        <f ca="1">_xll.BDH($C$403,"EBITDA_TO_REVENUE","FQ3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421" t="e">
        <f ca="1">_xll.BDH($C$403,"OPER_MARGIN","FQ3 2017","FQ3 2017","Currency=INR","Period=FQ","BEST_FPERIOD_OVERRIDE=FQ","FILING_STATUS=OR","EQY_CONSOLIDATED=Y","FA_ADJUSTED=GAAP","Sort=A","Dates=H","DateFormat=P","Fill=—","Direction=H","UseDPDF=Y")</f>
        <v>#NAME?</v>
      </c>
      <c r="L421" t="e">
        <f ca="1">_xll.BDH($C$403,"INCREMENTAL_OPERATING_MARGIN","FQ3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421" t="e">
        <f ca="1">_xll.BDH($C$403,"PRETAX_INC_TO_NET_SALES","FQ3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421" t="e">
        <f ca="1">_xll.BDH($C$403,"INC_BEF_XO_ITEMS_TO_NET_SALES","FQ3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421" t="e">
        <f ca="1">_xll.BDH($C$403,"PROF_MARGIN","FQ3 2017","FQ3 2017","Currency=INR","Period=FQ","BEST_FPERIOD_OVERRIDE=FQ","FILING_STATUS=OR","EQY_CONSOLIDATED=Y","FA_ADJUSTED=GAAP","Sort=A","Dates=H","DateFormat=P","Fill=—","Direction=H","UseDPDF=Y")</f>
        <v>#NAME?</v>
      </c>
      <c r="P421" t="e">
        <f ca="1">_xll.BDH($C$403,"NET_INCOME_TO_COMMON_MARGIN","FQ3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421" t="e">
        <f ca="1">_xll.BDH($C$403,"EFF_TAX_RATE","FQ3 2017","FQ3 2017","Currency=INR","Period=FQ","BEST_FPERIOD_OVERRIDE=FQ","FILING_STATUS=OR","EQY_CONSOLIDATED=Y","FA_ADJUSTED=GAAP","Sort=A","Dates=H","DateFormat=P","Fill=—","Direction=H","UseDPDF=Y")</f>
        <v>#NAME?</v>
      </c>
      <c r="R421" t="e">
        <f ca="1">_xll.BDH($C$403,"DVD_PAYOUT_RATIO","FQ3 2017","FQ3 2017","Currency=INR","Period=FQ","BEST_FPERIOD_OVERRIDE=FQ","FILING_STATUS=OR","EQY_CONSOLIDATED=Y","FA_ADJUSTED=GAAP","Sort=A","Dates=H","DateFormat=P","Fill=—","Direction=H","UseDPDF=Y")</f>
        <v>#NAME?</v>
      </c>
      <c r="S421" t="e">
        <f ca="1">_xll.BDH($C$403,"SUSTAIN_GROWTH_RT","FQ3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421" s="2" t="e">
        <f ca="1">_xll.BDH($C$403,"SALES_GROWTH","FQ3 2017","FQ3 2017","Currency=INR","Period=FQ","BEST_FPERIOD_OVERRIDE=FQ","FILING_STATUS=OR","EQY_CONSOLIDATED=Y","FA_ADJUSTED=GAAP","Sort=A","Dates=H","DateFormat=P","Fill=—","Direction=H","UseDPDF=Y")</f>
        <v>#NAME?</v>
      </c>
      <c r="U421" s="2" t="e">
        <f ca="1">_xll.BDH($C$403,"EBITDA_GROWTH","FQ3 2017","FQ3 2017","Currency=INR","Period=FQ","BEST_FPERIOD_OVERRIDE=FQ","FILING_STATUS=OR","EQY_CONSOLIDATED=Y","FA_ADJUSTED=GAAP","Sort=A","Dates=H","DateFormat=P","Fill=—","Direction=H","UseDPDF=Y")</f>
        <v>#NAME?</v>
      </c>
      <c r="V421" s="2" t="e">
        <f ca="1">_xll.BDH($C$403,"OPER_INC_GROWTH","FQ3 2017","FQ3 2017","Currency=INR","Period=FQ","BEST_FPERIOD_OVERRIDE=FQ","FILING_STATUS=OR","EQY_CONSOLIDATED=Y","FA_ADJUSTED=GAAP","Sort=A","Dates=H","DateFormat=P","Fill=—","Direction=H","UseDPDF=Y")</f>
        <v>#NAME?</v>
      </c>
      <c r="W421" s="2" t="e">
        <f ca="1">_xll.BDH($C$403,"EARN_FOR_COM_GROWTH","FQ3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421" s="2" t="e">
        <f ca="1">_xll.BDH($C$403,"DILUTED_EPS_AFT_XO_ITEMS_GROWTH","FQ3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421" s="2" t="e">
        <f ca="1">_xll.BDH($C$403,"DIVIDEND_PER_SHARE_1_YEAR_GROWTH","FQ3 2017","FQ3 2017","Currency=INR","Period=FQ","BEST_FPERIOD_OVERRIDE=FQ","FILING_STATUS=OR","EQY_CONSOLIDATED=Y","Sort=A","Dates=H","DateFormat=P","Fill=—","Direction=H","UseDPDF=Y")</f>
        <v>#NAME?</v>
      </c>
      <c r="Z421" s="2" t="e">
        <f ca="1">_xll.BDH($C$403,"ACCOUNTS_RECEIVABLE_GROWTH","FQ3 2017","FQ3 2017","Currency=INR","Period=FQ","BEST_FPERIOD_OVERRIDE=FQ","FILING_STATUS=OR","EQY_CONSOLIDATED=Y","Sort=A","Dates=H","DateFormat=P","Fill=—","Direction=H","UseDPDF=Y")</f>
        <v>#NAME?</v>
      </c>
      <c r="AA421" s="2" t="e">
        <f ca="1">_xll.BDH($C$403,"INVENTORY_GROWTH","FQ3 2017","FQ3 2017","Currency=INR","Period=FQ","BEST_FPERIOD_OVERRIDE=FQ","FILING_STATUS=OR","EQY_CONSOLIDATED=Y","Sort=A","Dates=H","DateFormat=P","Fill=—","Direction=H","UseDPDF=Y")</f>
        <v>#NAME?</v>
      </c>
      <c r="AB421" s="2" t="e">
        <f ca="1">_xll.BDH($C$403,"NET_FIXED_ASSETS_1_YEAR_GROWTH","FQ3 2017","FQ3 2017","Currency=INR","Period=FQ","BEST_FPERIOD_OVERRIDE=FQ","FILING_STATUS=OR","EQY_CONSOLIDATED=Y","Sort=A","Dates=H","DateFormat=P","Fill=—","Direction=H","UseDPDF=Y")</f>
        <v>#NAME?</v>
      </c>
      <c r="AC421" s="2" t="e">
        <f ca="1">_xll.BDH($C$403,"ASSET_GROWTH","FQ3 2017","FQ3 2017","Currency=INR","Period=FQ","BEST_FPERIOD_OVERRIDE=FQ","FILING_STATUS=OR","EQY_CONSOLIDATED=Y","Sort=A","Dates=H","DateFormat=P","Fill=—","Direction=H","UseDPDF=Y")</f>
        <v>#NAME?</v>
      </c>
      <c r="AD421" s="2" t="e">
        <f ca="1">_xll.BDH($C$403,"MODIFIED_WORK_CAP_GROWTH","FQ3 2017","FQ3 2017","Currency=INR","Period=FQ","BEST_FPERIOD_OVERRIDE=FQ","FILING_STATUS=OR","EQY_CONSOLIDATED=Y","Sort=A","Dates=H","DateFormat=P","Fill=—","Direction=H","UseDPDF=Y")</f>
        <v>#NAME?</v>
      </c>
      <c r="AE421" s="2" t="e">
        <f ca="1">_xll.BDH($C$403,"WORK_CAP_GROWTH","FQ3 2017","FQ3 2017","Currency=INR","Period=FQ","BEST_FPERIOD_OVERRIDE=FQ","FILING_STATUS=OR","EQY_CONSOLIDATED=Y","Sort=A","Dates=H","DateFormat=P","Fill=—","Direction=H","UseDPDF=Y")</f>
        <v>#NAME?</v>
      </c>
      <c r="AF421" s="2" t="e">
        <f ca="1">_xll.BDH($C$403,"ACCOUNTS_PAYABLE_GROWTH_1YR","FQ3 2017","FQ3 2017","Currency=INR","Period=FQ","BEST_FPERIOD_OVERRIDE=FQ","FILING_STATUS=OR","EQY_CONSOLIDATED=Y","Sort=A","Dates=H","DateFormat=P","Fill=—","Direction=H","UseDPDF=Y")</f>
        <v>#NAME?</v>
      </c>
      <c r="AG421" s="2" t="e">
        <f ca="1">_xll.BDH($C$403,"SHORT_TERM_DEBT_1_YEAR_GROWTH","FQ3 2017","FQ3 2017","Currency=INR","Period=FQ","BEST_FPERIOD_OVERRIDE=FQ","FILING_STATUS=OR","EQY_CONSOLIDATED=Y","Sort=A","Dates=H","DateFormat=P","Fill=—","Direction=H","UseDPDF=Y")</f>
        <v>#NAME?</v>
      </c>
      <c r="AH421" s="2" t="e">
        <f ca="1">_xll.BDH($C$403,"TOTAL_DEBT_1_YEAR_GROWTH","FQ3 2017","FQ3 2017","Currency=INR","Period=FQ","BEST_FPERIOD_OVERRIDE=FQ","FILING_STATUS=OR","EQY_CONSOLIDATED=Y","Sort=A","Dates=H","DateFormat=P","Fill=—","Direction=H","UseDPDF=Y")</f>
        <v>#NAME?</v>
      </c>
      <c r="AI421" s="2" t="e">
        <f ca="1">_xll.BDH($C$403,"TOTAL_EQUITY_1_YEAR_GROWTH","FQ3 2017","FQ3 2017","Currency=INR","Period=FQ","BEST_FPERIOD_OVERRIDE=FQ","FILING_STATUS=OR","EQY_CONSOLIDATED=Y","Sort=A","Dates=H","DateFormat=P","Fill=—","Direction=H","UseDPDF=Y")</f>
        <v>#NAME?</v>
      </c>
      <c r="AJ421" s="2" t="e">
        <f ca="1">_xll.BDH($C$403,"GROWTH_IN_CAP","FQ3 2017","FQ3 2017","Currency=INR","Period=FQ","BEST_FPERIOD_OVERRIDE=FQ","FILING_STATUS=OR","EQY_CONSOLIDATED=Y","Sort=A","Dates=H","DateFormat=P","Fill=—","Direction=H","UseDPDF=Y")</f>
        <v>#NAME?</v>
      </c>
      <c r="AK421" s="2" t="e">
        <f ca="1">_xll.BDH($C$403,"BVPS_GROWTH","FQ3 2017","FQ3 2017","Currency=INR","Period=FQ","BEST_FPERIOD_OVERRIDE=FQ","FILING_STATUS=OR","EQY_CONSOLIDATED=Y","Sort=A","Dates=H","DateFormat=P","Fill=—","Direction=H","UseDPDF=Y")</f>
        <v>#NAME?</v>
      </c>
      <c r="AL421" s="2" t="e">
        <f ca="1">_xll.BDH($C$403,"CASH_FLOW_GROWTH","FQ3 2017","FQ3 2017","Currency=INR","Period=FQ","BEST_FPERIOD_OVERRIDE=FQ","FILING_STATUS=OR","EQY_CONSOLIDATED=Y","Sort=A","Dates=H","DateFormat=P","Fill=—","Direction=H","UseDPDF=Y")</f>
        <v>#NAME?</v>
      </c>
      <c r="AM421" s="2" t="e">
        <f ca="1">_xll.BDH($C$403,"GEO_GROW_NET_SALES","FQ3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421" s="2" t="e">
        <f ca="1">_xll.BDH($C$403,"GEO_GROW_EBITDA","FQ3 2017","FQ3 2017","Currency=INR","Period=FQ","BEST_FPERIOD_OVERRIDE=FQ","FILING_STATUS=OR","EQY_CONSOLIDATED=Y","FA_ADJUSTED=GAAP","Sort=A","Dates=H","DateFormat=P","Fill=—","Direction=H","UseDPDF=Y")</f>
        <v>#NAME?</v>
      </c>
      <c r="AO421" s="2" t="e">
        <f ca="1">_xll.BDH($C$403,"GEO_GROW_OPER_INC","FQ3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421" s="2" t="e">
        <f ca="1">_xll.BDH($C$403,"NET_INCOME_TO_COMMON_5_YR_GROWTH","FQ3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421" s="2" t="e">
        <f ca="1">_xll.BDH($C$403,"5Y_GEO_GROWTH_DILUTED_EPS","FQ3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421" s="2" t="e">
        <f ca="1">_xll.BDH($C$403,"GEO_GROW_DVD_PER_SH","FQ3 2017","FQ3 2017","Currency=INR","Period=FQ","BEST_FPERIOD_OVERRIDE=FQ","FILING_STATUS=OR","EQY_CONSOLIDATED=Y","Sort=A","Dates=H","DateFormat=P","Fill=—","Direction=H","UseDPDF=Y")</f>
        <v>#NAME?</v>
      </c>
      <c r="AS421" s="2" t="e">
        <f ca="1">_xll.BDH($C$403,"ACCOUNTS_RECEIVABLE_5_YR_GROWTH","FQ3 2017","FQ3 2017","Currency=INR","Period=FQ","BEST_FPERIOD_OVERRIDE=FQ","FILING_STATUS=OR","EQY_CONSOLIDATED=Y","Sort=A","Dates=H","DateFormat=P","Fill=—","Direction=H","UseDPDF=Y")</f>
        <v>#NAME?</v>
      </c>
      <c r="AT421" s="2" t="e">
        <f ca="1">_xll.BDH($C$403,"INVENTORY_5_YEAR_GROWTH","FQ3 2017","FQ3 2017","Currency=INR","Period=FQ","BEST_FPERIOD_OVERRIDE=FQ","FILING_STATUS=OR","EQY_CONSOLIDATED=Y","Sort=A","Dates=H","DateFormat=P","Fill=—","Direction=H","UseDPDF=Y")</f>
        <v>#NAME?</v>
      </c>
      <c r="AU421" s="2" t="e">
        <f ca="1">_xll.BDH($C$403,"NET_FIXED_ASSETS_5_YEAR_GROWTH","FQ3 2017","FQ3 2017","Currency=INR","Period=FQ","BEST_FPERIOD_OVERRIDE=FQ","FILING_STATUS=OR","EQY_CONSOLIDATED=Y","Sort=A","Dates=H","DateFormat=P","Fill=—","Direction=H","UseDPDF=Y")</f>
        <v>#NAME?</v>
      </c>
      <c r="AV421" s="2" t="e">
        <f ca="1">_xll.BDH($C$403,"GEO_GROW_TOT_ASSET","FQ3 2017","FQ3 2017","Currency=INR","Period=FQ","BEST_FPERIOD_OVERRIDE=FQ","FILING_STATUS=OR","EQY_CONSOLIDATED=Y","Sort=A","Dates=H","DateFormat=P","Fill=—","Direction=H","UseDPDF=Y")</f>
        <v>#NAME?</v>
      </c>
      <c r="AW421" s="2" t="e">
        <f ca="1">_xll.BDH($C$403,"MODIFIED_WORKING_CPTL_5YR_GRWTH","FQ3 2017","FQ3 2017","Currency=INR","Period=FQ","BEST_FPERIOD_OVERRIDE=FQ","FILING_STATUS=OR","EQY_CONSOLIDATED=Y","Sort=A","Dates=H","DateFormat=P","Fill=—","Direction=H","UseDPDF=Y")</f>
        <v>#NAME?</v>
      </c>
      <c r="AX421" s="2" t="e">
        <f ca="1">_xll.BDH($C$403,"WORKING_CAPITAL_5_YEAR_GROWTH","FQ3 2017","FQ3 2017","Currency=INR","Period=FQ","BEST_FPERIOD_OVERRIDE=FQ","FILING_STATUS=OR","EQY_CONSOLIDATED=Y","Sort=A","Dates=H","DateFormat=P","Fill=—","Direction=H","UseDPDF=Y")</f>
        <v>#NAME?</v>
      </c>
      <c r="AY421" s="2" t="e">
        <f ca="1">_xll.BDH($C$403,"ACCOUNTS_PAYABLE_5_YEAR_GROWTH","FQ3 2017","FQ3 2017","Currency=INR","Period=FQ","BEST_FPERIOD_OVERRIDE=FQ","FILING_STATUS=OR","EQY_CONSOLIDATED=Y","Sort=A","Dates=H","DateFormat=P","Fill=—","Direction=H","UseDPDF=Y")</f>
        <v>#NAME?</v>
      </c>
      <c r="AZ421" s="2" t="e">
        <f ca="1">_xll.BDH($C$403,"SHORT_TERM_DEBT_5_YEAR_GROWTH","FQ3 2017","FQ3 2017","Currency=INR","Period=FQ","BEST_FPERIOD_OVERRIDE=FQ","FILING_STATUS=OR","EQY_CONSOLIDATED=Y","Sort=A","Dates=H","DateFormat=P","Fill=—","Direction=H","UseDPDF=Y")</f>
        <v>#NAME?</v>
      </c>
      <c r="BA421" s="2" t="e">
        <f ca="1">_xll.BDH($C$403,"TOTAL_DEBT_5_YEAR_GROWTH","FQ3 2017","FQ3 2017","Currency=INR","Period=FQ","BEST_FPERIOD_OVERRIDE=FQ","FILING_STATUS=OR","EQY_CONSOLIDATED=Y","Sort=A","Dates=H","DateFormat=P","Fill=—","Direction=H","UseDPDF=Y")</f>
        <v>#NAME?</v>
      </c>
      <c r="BB421" s="2" t="e">
        <f ca="1">_xll.BDH($C$403,"GEO_GROW_TOT_SHRHLDR_EQY","FQ3 2017","FQ3 2017","Currency=INR","Period=FQ","BEST_FPERIOD_OVERRIDE=FQ","FILING_STATUS=OR","EQY_CONSOLIDATED=Y","Sort=A","Dates=H","DateFormat=P","Fill=—","Direction=H","UseDPDF=Y")</f>
        <v>#NAME?</v>
      </c>
      <c r="BC421" s="2" t="e">
        <f ca="1">_xll.BDH($C$403,"TOTAL_CAPITAL_5_YEAR_GROWTH","FQ3 2017","FQ3 2017","Currency=INR","Period=FQ","BEST_FPERIOD_OVERRIDE=FQ","FILING_STATUS=OR","EQY_CONSOLIDATED=Y","Sort=A","Dates=H","DateFormat=P","Fill=—","Direction=H","UseDPDF=Y")</f>
        <v>#NAME?</v>
      </c>
      <c r="BD421" s="2" t="e">
        <f ca="1">_xll.BDH($C$403,"GEO_GROW_BOOK_VAL","FQ3 2017","FQ3 2017","Currency=INR","Period=FQ","BEST_FPERIOD_OVERRIDE=FQ","FILING_STATUS=OR","EQY_CONSOLIDATED=Y","Sort=A","Dates=H","DateFormat=P","Fill=—","Direction=H","UseDPDF=Y")</f>
        <v>#NAME?</v>
      </c>
      <c r="BE421" s="2" t="e">
        <f ca="1">_xll.BDH($C$403,"GEO_GROW_CASH_OPER_ACT","FQ3 2017","FQ3 2017","Currency=INR","Period=FQ","BEST_FPERIOD_OVERRIDE=FQ","FILING_STATUS=OR","EQY_CONSOLIDATED=Y","Sort=A","Dates=H","DateFormat=P","Fill=—","Direction=H","UseDPDF=Y")</f>
        <v>#NAME?</v>
      </c>
      <c r="BF421" s="2" t="e">
        <f ca="1">_xll.BDH($C$403,"REVENUE_SEQUENTIAL_GROWTH","FQ3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421" s="2" t="e">
        <f ca="1">_xll.BDH($C$403,"EBITDA_SEQUENTIAL_GROWTH","FQ3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421" s="2" t="e">
        <f ca="1">_xll.BDH($C$403,"OPERATING_INCOME_SEQ_GROWTH","FQ3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421" s="2" t="e">
        <f ca="1">_xll.BDH($C$403,"NET_INCOME_TO_COMMON_SEQ_GROWTH","FQ3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421" s="2" t="e">
        <f ca="1">_xll.BDH($C$403,"EPS_DILUTED_SEQUENTIAL_GROWTH","FQ3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421" s="2" t="e">
        <f ca="1">_xll.BDH($C$403,"DPS_SEQUENTIAL_GROWTH","FQ3 2017","FQ3 2017","Currency=INR","Period=FQ","BEST_FPERIOD_OVERRIDE=FQ","FILING_STATUS=OR","EQY_CONSOLIDATED=Y","Sort=A","Dates=H","DateFormat=P","Fill=—","Direction=H","UseDPDF=Y")</f>
        <v>#NAME?</v>
      </c>
      <c r="BL421" s="2" t="e">
        <f ca="1">_xll.BDH($C$403,"ACCOUNTS_RECEIVABLE_SEQ_GROWTH","FQ3 2017","FQ3 2017","Currency=INR","Period=FQ","BEST_FPERIOD_OVERRIDE=FQ","FILING_STATUS=OR","EQY_CONSOLIDATED=Y","Sort=A","Dates=H","DateFormat=P","Fill=—","Direction=H","UseDPDF=Y")</f>
        <v>#NAME?</v>
      </c>
      <c r="BM421" s="2" t="e">
        <f ca="1">_xll.BDH($C$403,"INVENTORY_SEQUENTIAL_GROWTH","FQ3 2017","FQ3 2017","Currency=INR","Period=FQ","BEST_FPERIOD_OVERRIDE=FQ","FILING_STATUS=OR","EQY_CONSOLIDATED=Y","Sort=A","Dates=H","DateFormat=P","Fill=—","Direction=H","UseDPDF=Y")</f>
        <v>#NAME?</v>
      </c>
      <c r="BN421" s="2" t="e">
        <f ca="1">_xll.BDH($C$403,"FIXED_ASSETS_SEQUENTIAL_GROWTH","FQ3 2017","FQ3 2017","Currency=INR","Period=FQ","BEST_FPERIOD_OVERRIDE=FQ","FILING_STATUS=OR","EQY_CONSOLIDATED=Y","Sort=A","Dates=H","DateFormat=P","Fill=—","Direction=H","UseDPDF=Y")</f>
        <v>#NAME?</v>
      </c>
      <c r="BO421" s="2" t="e">
        <f ca="1">_xll.BDH($C$403,"TOTAL_ASSETS_SEQUENTIAL_GROWTH","FQ3 2017","FQ3 2017","Currency=INR","Period=FQ","BEST_FPERIOD_OVERRIDE=FQ","FILING_STATUS=OR","EQY_CONSOLIDATED=Y","Sort=A","Dates=H","DateFormat=P","Fill=—","Direction=H","UseDPDF=Y")</f>
        <v>#NAME?</v>
      </c>
      <c r="BP421" s="2" t="e">
        <f ca="1">_xll.BDH($C$403,"MODIFIED_WORKING_CPTL_SEQ_GRWTH","FQ3 2017","FQ3 2017","Currency=INR","Period=FQ","BEST_FPERIOD_OVERRIDE=FQ","FILING_STATUS=OR","EQY_CONSOLIDATED=Y","Sort=A","Dates=H","DateFormat=P","Fill=—","Direction=H","UseDPDF=Y")</f>
        <v>#NAME?</v>
      </c>
      <c r="BQ421" s="2" t="e">
        <f ca="1">_xll.BDH($C$403,"WORKING_CAPITAL_SEQ_GROWTH","FQ3 2017","FQ3 2017","Currency=INR","Period=FQ","BEST_FPERIOD_OVERRIDE=FQ","FILING_STATUS=OR","EQY_CONSOLIDATED=Y","Sort=A","Dates=H","DateFormat=P","Fill=—","Direction=H","UseDPDF=Y")</f>
        <v>#NAME?</v>
      </c>
      <c r="BR421" s="2" t="e">
        <f ca="1">_xll.BDH($C$403,"ACCOUNTS_PAYABLE_SEQ_GROWTH","FQ3 2017","FQ3 2017","Currency=INR","Period=FQ","BEST_FPERIOD_OVERRIDE=FQ","FILING_STATUS=OR","EQY_CONSOLIDATED=Y","Sort=A","Dates=H","DateFormat=P","Fill=—","Direction=H","UseDPDF=Y")</f>
        <v>#NAME?</v>
      </c>
      <c r="BS421" s="2" t="e">
        <f ca="1">_xll.BDH($C$403,"ST_DEBT_SEQUENTIAL_GROWTH","FQ3 2017","FQ3 2017","Currency=INR","Period=FQ","BEST_FPERIOD_OVERRIDE=FQ","FILING_STATUS=OR","EQY_CONSOLIDATED=Y","Sort=A","Dates=H","DateFormat=P","Fill=—","Direction=H","UseDPDF=Y")</f>
        <v>#NAME?</v>
      </c>
      <c r="BT421" s="2" t="e">
        <f ca="1">_xll.BDH($C$403,"TOTAL_DEBT_SEQUENTIAL_GROWTH","FQ3 2017","FQ3 2017","Currency=INR","Period=FQ","BEST_FPERIOD_OVERRIDE=FQ","FILING_STATUS=OR","EQY_CONSOLIDATED=Y","Sort=A","Dates=H","DateFormat=P","Fill=—","Direction=H","UseDPDF=Y")</f>
        <v>#NAME?</v>
      </c>
      <c r="BU421" s="2" t="e">
        <f ca="1">_xll.BDH($C$403,"TOTAL_EQUITY_SEQUENTIAL_GROWTH","FQ3 2017","FQ3 2017","Currency=INR","Period=FQ","BEST_FPERIOD_OVERRIDE=FQ","FILING_STATUS=OR","EQY_CONSOLIDATED=Y","Sort=A","Dates=H","DateFormat=P","Fill=—","Direction=H","UseDPDF=Y")</f>
        <v>#NAME?</v>
      </c>
      <c r="BV421" s="2" t="e">
        <f ca="1">_xll.BDH($C$403,"TOTAL_CAPITAL_SEQUENTIAL_GROWTH","FQ3 2017","FQ3 2017","Currency=INR","Period=FQ","BEST_FPERIOD_OVERRIDE=FQ","FILING_STATUS=OR","EQY_CONSOLIDATED=Y","Sort=A","Dates=H","DateFormat=P","Fill=—","Direction=H","UseDPDF=Y")</f>
        <v>#NAME?</v>
      </c>
      <c r="BW421" s="2" t="e">
        <f ca="1">_xll.BDH($C$403,"BPS_SEQUENTIAL_GROWTH","FQ3 2017","FQ3 2017","Currency=INR","Period=FQ","BEST_FPERIOD_OVERRIDE=FQ","FILING_STATUS=OR","EQY_CONSOLIDATED=Y","Sort=A","Dates=H","DateFormat=P","Fill=—","Direction=H","UseDPDF=Y")</f>
        <v>#NAME?</v>
      </c>
      <c r="BX421" s="2" t="e">
        <f ca="1">_xll.BDH($C$403,"CFO_SEQUENTIAL_GROWTH","FQ3 2017","FQ3 2017","Currency=INR","Period=FQ","BEST_FPERIOD_OVERRIDE=FQ","FILING_STATUS=OR","EQY_CONSOLIDATED=Y","Sort=A","Dates=H","DateFormat=P","Fill=—","Direction=H","UseDPDF=Y")</f>
        <v>#NAME?</v>
      </c>
      <c r="BY421" s="3" t="e">
        <f ca="1">_xll.BDH($C$403,"SHORT_AND_LONG_TERM_DEBT","FQ3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421" s="3" t="e">
        <f ca="1">_xll.BDH($C$403,"BS_ST_BORROW","FQ3 2017","FQ3 2017","Currency=INR","Period=FQ","BEST_FPERIOD_OVERRIDE=FQ","FILING_STATUS=OR","EQY_CONSOLIDATED=Y","SCALING_FORMAT=MLN","Sort=A","Dates=H","DateFormat=P","Fill=—","Direction=H","UseDPDF=Y")</f>
        <v>#NAME?</v>
      </c>
      <c r="CA421" s="3" t="e">
        <f ca="1">_xll.BDH($C$403,"BS_LT_BORROW","FQ3 2017","FQ3 2017","Currency=INR","Period=FQ","BEST_FPERIOD_OVERRIDE=FQ","FILING_STATUS=OR","EQY_CONSOLIDATED=Y","SCALING_FORMAT=MLN","Sort=A","Dates=H","DateFormat=P","Fill=—","Direction=H","UseDPDF=Y")</f>
        <v>#NAME?</v>
      </c>
      <c r="CB421" s="2" t="e">
        <f ca="1">_xll.BDH($C$403,"TOT_DEBT_TO_EBITDA","FQ3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421" s="2" t="e">
        <f ca="1">_xll.BDH($C$403,"NET_DEBT_TO_EBITDA","FQ3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421" s="2" t="e">
        <f ca="1">_xll.BDH($C$403,"TOTAL_DEBT_TO_EBIT","FQ3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421" s="2" t="e">
        <f ca="1">_xll.BDH($C$403,"NET_DEBT_TO_EBIT","FQ3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421" s="2" t="e">
        <f ca="1">_xll.BDH($C$403,"EBITDA_TO_INTEREST_EXPN","FQ3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421" s="2" t="e">
        <f ca="1">_xll.BDH($C$403,"COM_EQY_TO_TOT_ASSET","FQ3 2017","FQ3 2017","Currency=INR","Period=FQ","BEST_FPERIOD_OVERRIDE=FQ","FILING_STATUS=OR","EQY_CONSOLIDATED=Y","Sort=A","Dates=H","DateFormat=P","Fill=—","Direction=H","UseDPDF=Y")</f>
        <v>#NAME?</v>
      </c>
      <c r="CH421" s="2" t="e">
        <f ca="1">_xll.BDH($C$403,"LT_DEBT_TO_TOT_EQY","FQ3 2017","FQ3 2017","Currency=INR","Period=FQ","BEST_FPERIOD_OVERRIDE=FQ","FILING_STATUS=OR","EQY_CONSOLIDATED=Y","Sort=A","Dates=H","DateFormat=P","Fill=—","Direction=H","UseDPDF=Y")</f>
        <v>#NAME?</v>
      </c>
      <c r="CI421" s="2" t="e">
        <f ca="1">_xll.BDH($C$403,"LT_DEBT_TO_TOT_CAP","FQ3 2017","FQ3 2017","Currency=INR","Period=FQ","BEST_FPERIOD_OVERRIDE=FQ","FILING_STATUS=OR","EQY_CONSOLIDATED=Y","Sort=A","Dates=H","DateFormat=P","Fill=—","Direction=H","UseDPDF=Y")</f>
        <v>#NAME?</v>
      </c>
      <c r="CJ421" s="2" t="e">
        <f ca="1">_xll.BDH($C$403,"LT_DEBT_TO_TOT_ASSET","FQ3 2017","FQ3 2017","Currency=INR","Period=FQ","BEST_FPERIOD_OVERRIDE=FQ","FILING_STATUS=OR","EQY_CONSOLIDATED=Y","Sort=A","Dates=H","DateFormat=P","Fill=—","Direction=H","UseDPDF=Y")</f>
        <v>#NAME?</v>
      </c>
      <c r="CK421" s="2" t="e">
        <f ca="1">_xll.BDH($C$403,"TOT_DEBT_TO_TOT_EQY","FQ3 2017","FQ3 2017","Currency=INR","Period=FQ","BEST_FPERIOD_OVERRIDE=FQ","FILING_STATUS=OR","EQY_CONSOLIDATED=Y","Sort=A","Dates=H","DateFormat=P","Fill=—","Direction=H","UseDPDF=Y")</f>
        <v>#NAME?</v>
      </c>
      <c r="CL421" s="2" t="e">
        <f ca="1">_xll.BDH($C$403,"TOT_DEBT_TO_TOT_CAP","FQ3 2017","FQ3 2017","Currency=INR","Period=FQ","BEST_FPERIOD_OVERRIDE=FQ","FILING_STATUS=OR","EQY_CONSOLIDATED=Y","Sort=A","Dates=H","DateFormat=P","Fill=—","Direction=H","UseDPDF=Y")</f>
        <v>#NAME?</v>
      </c>
      <c r="CM421" s="2" t="e">
        <f ca="1">_xll.BDH($C$403,"TOT_DEBT_TO_TOT_ASSET","FQ3 2017","FQ3 2017","Currency=INR","Period=FQ","BEST_FPERIOD_OVERRIDE=FQ","FILING_STATUS=OR","EQY_CONSOLIDATED=Y","Sort=A","Dates=H","DateFormat=P","Fill=—","Direction=H","UseDPDF=Y")</f>
        <v>#NAME?</v>
      </c>
      <c r="CN421" s="2" t="e">
        <f ca="1">_xll.BDH($C$403,"NET_DEBT_TO_SHRHLDR_EQTY","FQ3 2017","FQ3 2017","Currency=INR","Period=FQ","BEST_FPERIOD_OVERRIDE=FQ","FILING_STATUS=OR","EQY_CONSOLIDATED=Y","Sort=A","Dates=H","DateFormat=P","Fill=—","Direction=H","UseDPDF=Y")</f>
        <v>#NAME?</v>
      </c>
      <c r="CO421" s="2" t="e">
        <f ca="1">_xll.BDH($C$403,"NET_DEBT_%_CAPITAL","FQ3 2017","FQ3 2017","Currency=INR","Period=FQ","BEST_FPERIOD_OVERRIDE=FQ","FILING_STATUS=OR","EQY_CONSOLIDATED=Y","Sort=A","Dates=H","DateFormat=P","Fill=—","Direction=H","UseDPDF=Y")</f>
        <v>#NAME?</v>
      </c>
      <c r="CP421" s="3" t="e">
        <f ca="1">_xll.BDH($C$403,"EBITDA","FQ3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421" s="3" t="e">
        <f ca="1">_xll.BDH($C$403,"EBITDA_AFTER_CAPEX","FQ3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421" s="3" t="e">
        <f ca="1">_xll.BDH($C$403,"IS_OPER_INC","FQ3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421" s="2" t="e">
        <f ca="1">_xll.BDH($C$403,"CASH_RATIO","FQ3 2017","FQ3 2017","Currency=INR","Period=FQ","BEST_FPERIOD_OVERRIDE=FQ","FILING_STATUS=OR","EQY_CONSOLIDATED=Y","Sort=A","Dates=H","DateFormat=P","Fill=—","Direction=H","UseDPDF=Y")</f>
        <v>#NAME?</v>
      </c>
      <c r="CT421" s="2" t="e">
        <f ca="1">_xll.BDH($C$403,"CUR_RATIO","FQ3 2017","FQ3 2017","Currency=INR","Period=FQ","BEST_FPERIOD_OVERRIDE=FQ","FILING_STATUS=OR","EQY_CONSOLIDATED=Y","Sort=A","Dates=H","DateFormat=P","Fill=—","Direction=H","UseDPDF=Y")</f>
        <v>#NAME?</v>
      </c>
      <c r="CU421" s="2" t="e">
        <f ca="1">_xll.BDH($C$403,"QUICK_RATIO","FQ3 2017","FQ3 2017","Currency=INR","Period=FQ","BEST_FPERIOD_OVERRIDE=FQ","FILING_STATUS=OR","EQY_CONSOLIDATED=Y","Sort=A","Dates=H","DateFormat=P","Fill=—","Direction=H","UseDPDF=Y")</f>
        <v>#NAME?</v>
      </c>
      <c r="CV421" s="2" t="e">
        <f ca="1">_xll.BDH($C$403,"ALTMAN_Z_SCORE","FQ3 2017","FQ3 2017","Currency=INR","Period=FQ","BEST_FPERIOD_OVERRIDE=FQ","FILING_STATUS=OR","EQY_CONSOLIDATED=Y","Sort=A","Dates=H","DateFormat=P","Fill=—","Direction=H","UseDPDF=Y")</f>
        <v>#NAME?</v>
      </c>
      <c r="CW421" s="4" t="e">
        <f ca="1">_xll.BDH($C$403,"ACCT_RCV_TURN","FQ3 2017","FQ3 2017","Currency=INR","Period=FQ","BEST_FPERIOD_OVERRIDE=FQ","FILING_STATUS=OR","EQY_CONSOLIDATED=Y","FA_ADJUSTED=GAAP","Sort=A","Dates=H","DateFormat=P","Fill=—","Direction=H","UseDPDF=Y")</f>
        <v>#NAME?</v>
      </c>
      <c r="CX421" s="2" t="e">
        <f ca="1">_xll.BDH($C$403,"ACCT_RCV_DAYS","FQ3 2017","FQ3 2017","Currency=INR","Period=FQ","BEST_FPERIOD_OVERRIDE=FQ","FILING_STATUS=OR","EQY_CONSOLIDATED=Y","FA_ADJUSTED=GAAP","Sort=A","Dates=H","DateFormat=P","Fill=—","Direction=H","UseDPDF=Y")</f>
        <v>#NAME?</v>
      </c>
      <c r="CY421" s="4" t="e">
        <f ca="1">_xll.BDH($C$403,"INVENT_TURN","FQ3 2017","FQ3 2017","Currency=INR","Period=FQ","BEST_FPERIOD_OVERRIDE=FQ","FILING_STATUS=OR","EQY_CONSOLIDATED=Y","FA_ADJUSTED=GAAP","Sort=A","Dates=H","DateFormat=P","Fill=—","Direction=H","UseDPDF=Y")</f>
        <v>#NAME?</v>
      </c>
      <c r="CZ421" s="2" t="e">
        <f ca="1">_xll.BDH($C$403,"INVENT_DAYS","FQ3 2017","FQ3 2017","Currency=INR","Period=FQ","BEST_FPERIOD_OVERRIDE=FQ","FILING_STATUS=OR","EQY_CONSOLIDATED=Y","FA_ADJUSTED=GAAP","Sort=A","Dates=H","DateFormat=P","Fill=—","Direction=H","UseDPDF=Y")</f>
        <v>#NAME?</v>
      </c>
      <c r="DA421" s="4" t="e">
        <f ca="1">_xll.BDH($C$403,"ACCOUNTS_PAYABLE_TURNOVER","FQ3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421" s="2" t="e">
        <f ca="1">_xll.BDH($C$403,"ACCOUNTS_PAYABLE_TURNOVER_DAYS","FQ3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421" s="4" t="e">
        <f ca="1">_xll.BDH($C$403,"CASH_CONVERSION_CYCLE","FQ3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421" s="4" t="e">
        <f ca="1">_xll.BDH($C$403,"INV_TO_CASH_DAYS","FQ3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421" s="5" t="e">
        <f ca="1">_xll.BDH($C$403,"BS_INVENTORIES","FQ3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421" s="3" t="e">
        <f ca="1">_xll.BDH($C$403,"INVTRY_RAW_MATERIALS","FQ3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421" s="3" t="e">
        <f ca="1">_xll.BDH($C$403,"INVTRY_IN_PROGRESS","FQ3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421" s="3" t="e">
        <f ca="1">_xll.BDH($C$403,"INVTRY_FINISHED_GOODS","FQ3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421" s="3" t="e">
        <f ca="1">_xll.BDH($C$403,"BS_OTHER_INV","FQ3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422" spans="1:113" x14ac:dyDescent="0.3">
      <c r="A422" s="6"/>
      <c r="B422" s="6"/>
      <c r="C422" s="6"/>
      <c r="D422" s="6"/>
      <c r="E422" t="s">
        <v>81</v>
      </c>
      <c r="F422" t="e">
        <f ca="1">_xll.BDH($C$403,"RETURN_COM_EQY","FQ4 2017","FQ4 2017","Currency=INR","Period=FQ","BEST_FPERIOD_OVERRIDE=FQ","FILING_STATUS=OR","EQY_CONSOLIDATED=Y","FA_ADJUSTED=GAAP","Sort=A","Dates=H","DateFormat=P","Fill=—","Direction=H","UseDPDF=Y")</f>
        <v>#NAME?</v>
      </c>
      <c r="G422" t="e">
        <f ca="1">_xll.BDH($C$403,"RETURN_ON_ASSET","FQ4 2017","FQ4 2017","Currency=INR","Period=FQ","BEST_FPERIOD_OVERRIDE=FQ","FILING_STATUS=OR","EQY_CONSOLIDATED=Y","FA_ADJUSTED=GAAP","Sort=A","Dates=H","DateFormat=P","Fill=—","Direction=H","UseDPDF=Y")</f>
        <v>#NAME?</v>
      </c>
      <c r="H422" t="e">
        <f ca="1">_xll.BDH($C$403,"RETURN_ON_CAP","FQ4 2017","FQ4 2017","Currency=INR","Period=FQ","BEST_FPERIOD_OVERRIDE=FQ","FILING_STATUS=OR","EQY_CONSOLIDATED=Y","FA_ADJUSTED=GAAP","Sort=A","Dates=H","DateFormat=P","Fill=—","Direction=H","UseDPDF=Y")</f>
        <v>#NAME?</v>
      </c>
      <c r="I422" t="e">
        <f ca="1">_xll.BDH($C$403,"RETURN_ON_INV_CAPITAL","FQ4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422" t="e">
        <f ca="1">_xll.BDH($C$403,"EBITDA_TO_REVENUE","FQ4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422" t="e">
        <f ca="1">_xll.BDH($C$403,"OPER_MARGIN","FQ4 2017","FQ4 2017","Currency=INR","Period=FQ","BEST_FPERIOD_OVERRIDE=FQ","FILING_STATUS=OR","EQY_CONSOLIDATED=Y","FA_ADJUSTED=GAAP","Sort=A","Dates=H","DateFormat=P","Fill=—","Direction=H","UseDPDF=Y")</f>
        <v>#NAME?</v>
      </c>
      <c r="L422" t="e">
        <f ca="1">_xll.BDH($C$403,"INCREMENTAL_OPERATING_MARGIN","FQ4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422" t="e">
        <f ca="1">_xll.BDH($C$403,"PRETAX_INC_TO_NET_SALES","FQ4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422" t="e">
        <f ca="1">_xll.BDH($C$403,"INC_BEF_XO_ITEMS_TO_NET_SALES","FQ4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422" t="e">
        <f ca="1">_xll.BDH($C$403,"PROF_MARGIN","FQ4 2017","FQ4 2017","Currency=INR","Period=FQ","BEST_FPERIOD_OVERRIDE=FQ","FILING_STATUS=OR","EQY_CONSOLIDATED=Y","FA_ADJUSTED=GAAP","Sort=A","Dates=H","DateFormat=P","Fill=—","Direction=H","UseDPDF=Y")</f>
        <v>#NAME?</v>
      </c>
      <c r="P422" t="e">
        <f ca="1">_xll.BDH($C$403,"NET_INCOME_TO_COMMON_MARGIN","FQ4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422" t="e">
        <f ca="1">_xll.BDH($C$403,"EFF_TAX_RATE","FQ4 2017","FQ4 2017","Currency=INR","Period=FQ","BEST_FPERIOD_OVERRIDE=FQ","FILING_STATUS=OR","EQY_CONSOLIDATED=Y","FA_ADJUSTED=GAAP","Sort=A","Dates=H","DateFormat=P","Fill=—","Direction=H","UseDPDF=Y")</f>
        <v>#NAME?</v>
      </c>
      <c r="R422" t="e">
        <f ca="1">_xll.BDH($C$403,"DVD_PAYOUT_RATIO","FQ4 2017","FQ4 2017","Currency=INR","Period=FQ","BEST_FPERIOD_OVERRIDE=FQ","FILING_STATUS=OR","EQY_CONSOLIDATED=Y","FA_ADJUSTED=GAAP","Sort=A","Dates=H","DateFormat=P","Fill=—","Direction=H","UseDPDF=Y")</f>
        <v>#NAME?</v>
      </c>
      <c r="S422" t="e">
        <f ca="1">_xll.BDH($C$403,"SUSTAIN_GROWTH_RT","FQ4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422" s="2" t="e">
        <f ca="1">_xll.BDH($C$403,"SALES_GROWTH","FQ4 2017","FQ4 2017","Currency=INR","Period=FQ","BEST_FPERIOD_OVERRIDE=FQ","FILING_STATUS=OR","EQY_CONSOLIDATED=Y","FA_ADJUSTED=GAAP","Sort=A","Dates=H","DateFormat=P","Fill=—","Direction=H","UseDPDF=Y")</f>
        <v>#NAME?</v>
      </c>
      <c r="U422" s="2" t="e">
        <f ca="1">_xll.BDH($C$403,"EBITDA_GROWTH","FQ4 2017","FQ4 2017","Currency=INR","Period=FQ","BEST_FPERIOD_OVERRIDE=FQ","FILING_STATUS=OR","EQY_CONSOLIDATED=Y","FA_ADJUSTED=GAAP","Sort=A","Dates=H","DateFormat=P","Fill=—","Direction=H","UseDPDF=Y")</f>
        <v>#NAME?</v>
      </c>
      <c r="V422" s="2" t="e">
        <f ca="1">_xll.BDH($C$403,"OPER_INC_GROWTH","FQ4 2017","FQ4 2017","Currency=INR","Period=FQ","BEST_FPERIOD_OVERRIDE=FQ","FILING_STATUS=OR","EQY_CONSOLIDATED=Y","FA_ADJUSTED=GAAP","Sort=A","Dates=H","DateFormat=P","Fill=—","Direction=H","UseDPDF=Y")</f>
        <v>#NAME?</v>
      </c>
      <c r="W422" s="2" t="e">
        <f ca="1">_xll.BDH($C$403,"EARN_FOR_COM_GROWTH","FQ4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422" s="2" t="e">
        <f ca="1">_xll.BDH($C$403,"DILUTED_EPS_AFT_XO_ITEMS_GROWTH","FQ4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422" s="2" t="e">
        <f ca="1">_xll.BDH($C$403,"DIVIDEND_PER_SHARE_1_YEAR_GROWTH","FQ4 2017","FQ4 2017","Currency=INR","Period=FQ","BEST_FPERIOD_OVERRIDE=FQ","FILING_STATUS=OR","EQY_CONSOLIDATED=Y","Sort=A","Dates=H","DateFormat=P","Fill=—","Direction=H","UseDPDF=Y")</f>
        <v>#NAME?</v>
      </c>
      <c r="Z422" s="2" t="e">
        <f ca="1">_xll.BDH($C$403,"ACCOUNTS_RECEIVABLE_GROWTH","FQ4 2017","FQ4 2017","Currency=INR","Period=FQ","BEST_FPERIOD_OVERRIDE=FQ","FILING_STATUS=OR","EQY_CONSOLIDATED=Y","Sort=A","Dates=H","DateFormat=P","Fill=—","Direction=H","UseDPDF=Y")</f>
        <v>#NAME?</v>
      </c>
      <c r="AA422" s="2" t="e">
        <f ca="1">_xll.BDH($C$403,"INVENTORY_GROWTH","FQ4 2017","FQ4 2017","Currency=INR","Period=FQ","BEST_FPERIOD_OVERRIDE=FQ","FILING_STATUS=OR","EQY_CONSOLIDATED=Y","Sort=A","Dates=H","DateFormat=P","Fill=—","Direction=H","UseDPDF=Y")</f>
        <v>#NAME?</v>
      </c>
      <c r="AB422" s="2" t="e">
        <f ca="1">_xll.BDH($C$403,"NET_FIXED_ASSETS_1_YEAR_GROWTH","FQ4 2017","FQ4 2017","Currency=INR","Period=FQ","BEST_FPERIOD_OVERRIDE=FQ","FILING_STATUS=OR","EQY_CONSOLIDATED=Y","Sort=A","Dates=H","DateFormat=P","Fill=—","Direction=H","UseDPDF=Y")</f>
        <v>#NAME?</v>
      </c>
      <c r="AC422" s="2" t="e">
        <f ca="1">_xll.BDH($C$403,"ASSET_GROWTH","FQ4 2017","FQ4 2017","Currency=INR","Period=FQ","BEST_FPERIOD_OVERRIDE=FQ","FILING_STATUS=OR","EQY_CONSOLIDATED=Y","Sort=A","Dates=H","DateFormat=P","Fill=—","Direction=H","UseDPDF=Y")</f>
        <v>#NAME?</v>
      </c>
      <c r="AD422" s="2" t="e">
        <f ca="1">_xll.BDH($C$403,"MODIFIED_WORK_CAP_GROWTH","FQ4 2017","FQ4 2017","Currency=INR","Period=FQ","BEST_FPERIOD_OVERRIDE=FQ","FILING_STATUS=OR","EQY_CONSOLIDATED=Y","Sort=A","Dates=H","DateFormat=P","Fill=—","Direction=H","UseDPDF=Y")</f>
        <v>#NAME?</v>
      </c>
      <c r="AE422" s="2" t="e">
        <f ca="1">_xll.BDH($C$403,"WORK_CAP_GROWTH","FQ4 2017","FQ4 2017","Currency=INR","Period=FQ","BEST_FPERIOD_OVERRIDE=FQ","FILING_STATUS=OR","EQY_CONSOLIDATED=Y","Sort=A","Dates=H","DateFormat=P","Fill=—","Direction=H","UseDPDF=Y")</f>
        <v>#NAME?</v>
      </c>
      <c r="AF422" s="2" t="e">
        <f ca="1">_xll.BDH($C$403,"ACCOUNTS_PAYABLE_GROWTH_1YR","FQ4 2017","FQ4 2017","Currency=INR","Period=FQ","BEST_FPERIOD_OVERRIDE=FQ","FILING_STATUS=OR","EQY_CONSOLIDATED=Y","Sort=A","Dates=H","DateFormat=P","Fill=—","Direction=H","UseDPDF=Y")</f>
        <v>#NAME?</v>
      </c>
      <c r="AG422" s="2" t="e">
        <f ca="1">_xll.BDH($C$403,"SHORT_TERM_DEBT_1_YEAR_GROWTH","FQ4 2017","FQ4 2017","Currency=INR","Period=FQ","BEST_FPERIOD_OVERRIDE=FQ","FILING_STATUS=OR","EQY_CONSOLIDATED=Y","Sort=A","Dates=H","DateFormat=P","Fill=—","Direction=H","UseDPDF=Y")</f>
        <v>#NAME?</v>
      </c>
      <c r="AH422" s="2" t="e">
        <f ca="1">_xll.BDH($C$403,"TOTAL_DEBT_1_YEAR_GROWTH","FQ4 2017","FQ4 2017","Currency=INR","Period=FQ","BEST_FPERIOD_OVERRIDE=FQ","FILING_STATUS=OR","EQY_CONSOLIDATED=Y","Sort=A","Dates=H","DateFormat=P","Fill=—","Direction=H","UseDPDF=Y")</f>
        <v>#NAME?</v>
      </c>
      <c r="AI422" s="2" t="e">
        <f ca="1">_xll.BDH($C$403,"TOTAL_EQUITY_1_YEAR_GROWTH","FQ4 2017","FQ4 2017","Currency=INR","Period=FQ","BEST_FPERIOD_OVERRIDE=FQ","FILING_STATUS=OR","EQY_CONSOLIDATED=Y","Sort=A","Dates=H","DateFormat=P","Fill=—","Direction=H","UseDPDF=Y")</f>
        <v>#NAME?</v>
      </c>
      <c r="AJ422" s="2" t="e">
        <f ca="1">_xll.BDH($C$403,"GROWTH_IN_CAP","FQ4 2017","FQ4 2017","Currency=INR","Period=FQ","BEST_FPERIOD_OVERRIDE=FQ","FILING_STATUS=OR","EQY_CONSOLIDATED=Y","Sort=A","Dates=H","DateFormat=P","Fill=—","Direction=H","UseDPDF=Y")</f>
        <v>#NAME?</v>
      </c>
      <c r="AK422" s="2" t="e">
        <f ca="1">_xll.BDH($C$403,"BVPS_GROWTH","FQ4 2017","FQ4 2017","Currency=INR","Period=FQ","BEST_FPERIOD_OVERRIDE=FQ","FILING_STATUS=OR","EQY_CONSOLIDATED=Y","Sort=A","Dates=H","DateFormat=P","Fill=—","Direction=H","UseDPDF=Y")</f>
        <v>#NAME?</v>
      </c>
      <c r="AL422" s="2" t="e">
        <f ca="1">_xll.BDH($C$403,"CASH_FLOW_GROWTH","FQ4 2017","FQ4 2017","Currency=INR","Period=FQ","BEST_FPERIOD_OVERRIDE=FQ","FILING_STATUS=OR","EQY_CONSOLIDATED=Y","Sort=A","Dates=H","DateFormat=P","Fill=—","Direction=H","UseDPDF=Y")</f>
        <v>#NAME?</v>
      </c>
      <c r="AM422" s="2" t="e">
        <f ca="1">_xll.BDH($C$403,"GEO_GROW_NET_SALES","FQ4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422" s="2" t="e">
        <f ca="1">_xll.BDH($C$403,"GEO_GROW_EBITDA","FQ4 2017","FQ4 2017","Currency=INR","Period=FQ","BEST_FPERIOD_OVERRIDE=FQ","FILING_STATUS=OR","EQY_CONSOLIDATED=Y","FA_ADJUSTED=GAAP","Sort=A","Dates=H","DateFormat=P","Fill=—","Direction=H","UseDPDF=Y")</f>
        <v>#NAME?</v>
      </c>
      <c r="AO422" s="2" t="e">
        <f ca="1">_xll.BDH($C$403,"GEO_GROW_OPER_INC","FQ4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422" s="2" t="e">
        <f ca="1">_xll.BDH($C$403,"NET_INCOME_TO_COMMON_5_YR_GROWTH","FQ4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422" s="2" t="e">
        <f ca="1">_xll.BDH($C$403,"5Y_GEO_GROWTH_DILUTED_EPS","FQ4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422" s="2" t="e">
        <f ca="1">_xll.BDH($C$403,"GEO_GROW_DVD_PER_SH","FQ4 2017","FQ4 2017","Currency=INR","Period=FQ","BEST_FPERIOD_OVERRIDE=FQ","FILING_STATUS=OR","EQY_CONSOLIDATED=Y","Sort=A","Dates=H","DateFormat=P","Fill=—","Direction=H","UseDPDF=Y")</f>
        <v>#NAME?</v>
      </c>
      <c r="AS422" s="2" t="e">
        <f ca="1">_xll.BDH($C$403,"ACCOUNTS_RECEIVABLE_5_YR_GROWTH","FQ4 2017","FQ4 2017","Currency=INR","Period=FQ","BEST_FPERIOD_OVERRIDE=FQ","FILING_STATUS=OR","EQY_CONSOLIDATED=Y","Sort=A","Dates=H","DateFormat=P","Fill=—","Direction=H","UseDPDF=Y")</f>
        <v>#NAME?</v>
      </c>
      <c r="AT422" s="2" t="e">
        <f ca="1">_xll.BDH($C$403,"INVENTORY_5_YEAR_GROWTH","FQ4 2017","FQ4 2017","Currency=INR","Period=FQ","BEST_FPERIOD_OVERRIDE=FQ","FILING_STATUS=OR","EQY_CONSOLIDATED=Y","Sort=A","Dates=H","DateFormat=P","Fill=—","Direction=H","UseDPDF=Y")</f>
        <v>#NAME?</v>
      </c>
      <c r="AU422" s="2" t="e">
        <f ca="1">_xll.BDH($C$403,"NET_FIXED_ASSETS_5_YEAR_GROWTH","FQ4 2017","FQ4 2017","Currency=INR","Period=FQ","BEST_FPERIOD_OVERRIDE=FQ","FILING_STATUS=OR","EQY_CONSOLIDATED=Y","Sort=A","Dates=H","DateFormat=P","Fill=—","Direction=H","UseDPDF=Y")</f>
        <v>#NAME?</v>
      </c>
      <c r="AV422" s="2" t="e">
        <f ca="1">_xll.BDH($C$403,"GEO_GROW_TOT_ASSET","FQ4 2017","FQ4 2017","Currency=INR","Period=FQ","BEST_FPERIOD_OVERRIDE=FQ","FILING_STATUS=OR","EQY_CONSOLIDATED=Y","Sort=A","Dates=H","DateFormat=P","Fill=—","Direction=H","UseDPDF=Y")</f>
        <v>#NAME?</v>
      </c>
      <c r="AW422" s="2" t="e">
        <f ca="1">_xll.BDH($C$403,"MODIFIED_WORKING_CPTL_5YR_GRWTH","FQ4 2017","FQ4 2017","Currency=INR","Period=FQ","BEST_FPERIOD_OVERRIDE=FQ","FILING_STATUS=OR","EQY_CONSOLIDATED=Y","Sort=A","Dates=H","DateFormat=P","Fill=—","Direction=H","UseDPDF=Y")</f>
        <v>#NAME?</v>
      </c>
      <c r="AX422" s="2" t="e">
        <f ca="1">_xll.BDH($C$403,"WORKING_CAPITAL_5_YEAR_GROWTH","FQ4 2017","FQ4 2017","Currency=INR","Period=FQ","BEST_FPERIOD_OVERRIDE=FQ","FILING_STATUS=OR","EQY_CONSOLIDATED=Y","Sort=A","Dates=H","DateFormat=P","Fill=—","Direction=H","UseDPDF=Y")</f>
        <v>#NAME?</v>
      </c>
      <c r="AY422" s="2" t="e">
        <f ca="1">_xll.BDH($C$403,"ACCOUNTS_PAYABLE_5_YEAR_GROWTH","FQ4 2017","FQ4 2017","Currency=INR","Period=FQ","BEST_FPERIOD_OVERRIDE=FQ","FILING_STATUS=OR","EQY_CONSOLIDATED=Y","Sort=A","Dates=H","DateFormat=P","Fill=—","Direction=H","UseDPDF=Y")</f>
        <v>#NAME?</v>
      </c>
      <c r="AZ422" s="2" t="e">
        <f ca="1">_xll.BDH($C$403,"SHORT_TERM_DEBT_5_YEAR_GROWTH","FQ4 2017","FQ4 2017","Currency=INR","Period=FQ","BEST_FPERIOD_OVERRIDE=FQ","FILING_STATUS=OR","EQY_CONSOLIDATED=Y","Sort=A","Dates=H","DateFormat=P","Fill=—","Direction=H","UseDPDF=Y")</f>
        <v>#NAME?</v>
      </c>
      <c r="BA422" s="2" t="e">
        <f ca="1">_xll.BDH($C$403,"TOTAL_DEBT_5_YEAR_GROWTH","FQ4 2017","FQ4 2017","Currency=INR","Period=FQ","BEST_FPERIOD_OVERRIDE=FQ","FILING_STATUS=OR","EQY_CONSOLIDATED=Y","Sort=A","Dates=H","DateFormat=P","Fill=—","Direction=H","UseDPDF=Y")</f>
        <v>#NAME?</v>
      </c>
      <c r="BB422" s="2" t="e">
        <f ca="1">_xll.BDH($C$403,"GEO_GROW_TOT_SHRHLDR_EQY","FQ4 2017","FQ4 2017","Currency=INR","Period=FQ","BEST_FPERIOD_OVERRIDE=FQ","FILING_STATUS=OR","EQY_CONSOLIDATED=Y","Sort=A","Dates=H","DateFormat=P","Fill=—","Direction=H","UseDPDF=Y")</f>
        <v>#NAME?</v>
      </c>
      <c r="BC422" s="2" t="e">
        <f ca="1">_xll.BDH($C$403,"TOTAL_CAPITAL_5_YEAR_GROWTH","FQ4 2017","FQ4 2017","Currency=INR","Period=FQ","BEST_FPERIOD_OVERRIDE=FQ","FILING_STATUS=OR","EQY_CONSOLIDATED=Y","Sort=A","Dates=H","DateFormat=P","Fill=—","Direction=H","UseDPDF=Y")</f>
        <v>#NAME?</v>
      </c>
      <c r="BD422" s="2" t="e">
        <f ca="1">_xll.BDH($C$403,"GEO_GROW_BOOK_VAL","FQ4 2017","FQ4 2017","Currency=INR","Period=FQ","BEST_FPERIOD_OVERRIDE=FQ","FILING_STATUS=OR","EQY_CONSOLIDATED=Y","Sort=A","Dates=H","DateFormat=P","Fill=—","Direction=H","UseDPDF=Y")</f>
        <v>#NAME?</v>
      </c>
      <c r="BE422" s="2" t="e">
        <f ca="1">_xll.BDH($C$403,"GEO_GROW_CASH_OPER_ACT","FQ4 2017","FQ4 2017","Currency=INR","Period=FQ","BEST_FPERIOD_OVERRIDE=FQ","FILING_STATUS=OR","EQY_CONSOLIDATED=Y","Sort=A","Dates=H","DateFormat=P","Fill=—","Direction=H","UseDPDF=Y")</f>
        <v>#NAME?</v>
      </c>
      <c r="BF422" s="2" t="e">
        <f ca="1">_xll.BDH($C$403,"REVENUE_SEQUENTIAL_GROWTH","FQ4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422" s="2" t="e">
        <f ca="1">_xll.BDH($C$403,"EBITDA_SEQUENTIAL_GROWTH","FQ4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422" s="2" t="e">
        <f ca="1">_xll.BDH($C$403,"OPERATING_INCOME_SEQ_GROWTH","FQ4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422" s="2" t="e">
        <f ca="1">_xll.BDH($C$403,"NET_INCOME_TO_COMMON_SEQ_GROWTH","FQ4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422" s="2" t="e">
        <f ca="1">_xll.BDH($C$403,"EPS_DILUTED_SEQUENTIAL_GROWTH","FQ4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422" s="2" t="e">
        <f ca="1">_xll.BDH($C$403,"DPS_SEQUENTIAL_GROWTH","FQ4 2017","FQ4 2017","Currency=INR","Period=FQ","BEST_FPERIOD_OVERRIDE=FQ","FILING_STATUS=OR","EQY_CONSOLIDATED=Y","Sort=A","Dates=H","DateFormat=P","Fill=—","Direction=H","UseDPDF=Y")</f>
        <v>#NAME?</v>
      </c>
      <c r="BL422" s="2" t="e">
        <f ca="1">_xll.BDH($C$403,"ACCOUNTS_RECEIVABLE_SEQ_GROWTH","FQ4 2017","FQ4 2017","Currency=INR","Period=FQ","BEST_FPERIOD_OVERRIDE=FQ","FILING_STATUS=OR","EQY_CONSOLIDATED=Y","Sort=A","Dates=H","DateFormat=P","Fill=—","Direction=H","UseDPDF=Y")</f>
        <v>#NAME?</v>
      </c>
      <c r="BM422" s="2" t="e">
        <f ca="1">_xll.BDH($C$403,"INVENTORY_SEQUENTIAL_GROWTH","FQ4 2017","FQ4 2017","Currency=INR","Period=FQ","BEST_FPERIOD_OVERRIDE=FQ","FILING_STATUS=OR","EQY_CONSOLIDATED=Y","Sort=A","Dates=H","DateFormat=P","Fill=—","Direction=H","UseDPDF=Y")</f>
        <v>#NAME?</v>
      </c>
      <c r="BN422" s="2" t="e">
        <f ca="1">_xll.BDH($C$403,"FIXED_ASSETS_SEQUENTIAL_GROWTH","FQ4 2017","FQ4 2017","Currency=INR","Period=FQ","BEST_FPERIOD_OVERRIDE=FQ","FILING_STATUS=OR","EQY_CONSOLIDATED=Y","Sort=A","Dates=H","DateFormat=P","Fill=—","Direction=H","UseDPDF=Y")</f>
        <v>#NAME?</v>
      </c>
      <c r="BO422" s="2" t="e">
        <f ca="1">_xll.BDH($C$403,"TOTAL_ASSETS_SEQUENTIAL_GROWTH","FQ4 2017","FQ4 2017","Currency=INR","Period=FQ","BEST_FPERIOD_OVERRIDE=FQ","FILING_STATUS=OR","EQY_CONSOLIDATED=Y","Sort=A","Dates=H","DateFormat=P","Fill=—","Direction=H","UseDPDF=Y")</f>
        <v>#NAME?</v>
      </c>
      <c r="BP422" s="2" t="e">
        <f ca="1">_xll.BDH($C$403,"MODIFIED_WORKING_CPTL_SEQ_GRWTH","FQ4 2017","FQ4 2017","Currency=INR","Period=FQ","BEST_FPERIOD_OVERRIDE=FQ","FILING_STATUS=OR","EQY_CONSOLIDATED=Y","Sort=A","Dates=H","DateFormat=P","Fill=—","Direction=H","UseDPDF=Y")</f>
        <v>#NAME?</v>
      </c>
      <c r="BQ422" s="2" t="e">
        <f ca="1">_xll.BDH($C$403,"WORKING_CAPITAL_SEQ_GROWTH","FQ4 2017","FQ4 2017","Currency=INR","Period=FQ","BEST_FPERIOD_OVERRIDE=FQ","FILING_STATUS=OR","EQY_CONSOLIDATED=Y","Sort=A","Dates=H","DateFormat=P","Fill=—","Direction=H","UseDPDF=Y")</f>
        <v>#NAME?</v>
      </c>
      <c r="BR422" s="2" t="e">
        <f ca="1">_xll.BDH($C$403,"ACCOUNTS_PAYABLE_SEQ_GROWTH","FQ4 2017","FQ4 2017","Currency=INR","Period=FQ","BEST_FPERIOD_OVERRIDE=FQ","FILING_STATUS=OR","EQY_CONSOLIDATED=Y","Sort=A","Dates=H","DateFormat=P","Fill=—","Direction=H","UseDPDF=Y")</f>
        <v>#NAME?</v>
      </c>
      <c r="BS422" s="2" t="e">
        <f ca="1">_xll.BDH($C$403,"ST_DEBT_SEQUENTIAL_GROWTH","FQ4 2017","FQ4 2017","Currency=INR","Period=FQ","BEST_FPERIOD_OVERRIDE=FQ","FILING_STATUS=OR","EQY_CONSOLIDATED=Y","Sort=A","Dates=H","DateFormat=P","Fill=—","Direction=H","UseDPDF=Y")</f>
        <v>#NAME?</v>
      </c>
      <c r="BT422" s="2" t="e">
        <f ca="1">_xll.BDH($C$403,"TOTAL_DEBT_SEQUENTIAL_GROWTH","FQ4 2017","FQ4 2017","Currency=INR","Period=FQ","BEST_FPERIOD_OVERRIDE=FQ","FILING_STATUS=OR","EQY_CONSOLIDATED=Y","Sort=A","Dates=H","DateFormat=P","Fill=—","Direction=H","UseDPDF=Y")</f>
        <v>#NAME?</v>
      </c>
      <c r="BU422" s="2" t="e">
        <f ca="1">_xll.BDH($C$403,"TOTAL_EQUITY_SEQUENTIAL_GROWTH","FQ4 2017","FQ4 2017","Currency=INR","Period=FQ","BEST_FPERIOD_OVERRIDE=FQ","FILING_STATUS=OR","EQY_CONSOLIDATED=Y","Sort=A","Dates=H","DateFormat=P","Fill=—","Direction=H","UseDPDF=Y")</f>
        <v>#NAME?</v>
      </c>
      <c r="BV422" s="2" t="e">
        <f ca="1">_xll.BDH($C$403,"TOTAL_CAPITAL_SEQUENTIAL_GROWTH","FQ4 2017","FQ4 2017","Currency=INR","Period=FQ","BEST_FPERIOD_OVERRIDE=FQ","FILING_STATUS=OR","EQY_CONSOLIDATED=Y","Sort=A","Dates=H","DateFormat=P","Fill=—","Direction=H","UseDPDF=Y")</f>
        <v>#NAME?</v>
      </c>
      <c r="BW422" s="2" t="e">
        <f ca="1">_xll.BDH($C$403,"BPS_SEQUENTIAL_GROWTH","FQ4 2017","FQ4 2017","Currency=INR","Period=FQ","BEST_FPERIOD_OVERRIDE=FQ","FILING_STATUS=OR","EQY_CONSOLIDATED=Y","Sort=A","Dates=H","DateFormat=P","Fill=—","Direction=H","UseDPDF=Y")</f>
        <v>#NAME?</v>
      </c>
      <c r="BX422" s="2" t="e">
        <f ca="1">_xll.BDH($C$403,"CFO_SEQUENTIAL_GROWTH","FQ4 2017","FQ4 2017","Currency=INR","Period=FQ","BEST_FPERIOD_OVERRIDE=FQ","FILING_STATUS=OR","EQY_CONSOLIDATED=Y","Sort=A","Dates=H","DateFormat=P","Fill=—","Direction=H","UseDPDF=Y")</f>
        <v>#NAME?</v>
      </c>
      <c r="BY422" s="3" t="e">
        <f ca="1">_xll.BDH($C$403,"SHORT_AND_LONG_TERM_DEBT","FQ4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422" s="3" t="e">
        <f ca="1">_xll.BDH($C$403,"BS_ST_BORROW","FQ4 2017","FQ4 2017","Currency=INR","Period=FQ","BEST_FPERIOD_OVERRIDE=FQ","FILING_STATUS=OR","EQY_CONSOLIDATED=Y","SCALING_FORMAT=MLN","Sort=A","Dates=H","DateFormat=P","Fill=—","Direction=H","UseDPDF=Y")</f>
        <v>#NAME?</v>
      </c>
      <c r="CA422" s="3" t="e">
        <f ca="1">_xll.BDH($C$403,"BS_LT_BORROW","FQ4 2017","FQ4 2017","Currency=INR","Period=FQ","BEST_FPERIOD_OVERRIDE=FQ","FILING_STATUS=OR","EQY_CONSOLIDATED=Y","SCALING_FORMAT=MLN","Sort=A","Dates=H","DateFormat=P","Fill=—","Direction=H","UseDPDF=Y")</f>
        <v>#NAME?</v>
      </c>
      <c r="CB422" s="2" t="e">
        <f ca="1">_xll.BDH($C$403,"TOT_DEBT_TO_EBITDA","FQ4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422" s="2" t="e">
        <f ca="1">_xll.BDH($C$403,"NET_DEBT_TO_EBITDA","FQ4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422" s="2" t="e">
        <f ca="1">_xll.BDH($C$403,"TOTAL_DEBT_TO_EBIT","FQ4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422" s="2" t="e">
        <f ca="1">_xll.BDH($C$403,"NET_DEBT_TO_EBIT","FQ4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422" s="2" t="e">
        <f ca="1">_xll.BDH($C$403,"EBITDA_TO_INTEREST_EXPN","FQ4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422" s="2" t="e">
        <f ca="1">_xll.BDH($C$403,"COM_EQY_TO_TOT_ASSET","FQ4 2017","FQ4 2017","Currency=INR","Period=FQ","BEST_FPERIOD_OVERRIDE=FQ","FILING_STATUS=OR","EQY_CONSOLIDATED=Y","Sort=A","Dates=H","DateFormat=P","Fill=—","Direction=H","UseDPDF=Y")</f>
        <v>#NAME?</v>
      </c>
      <c r="CH422" s="2" t="e">
        <f ca="1">_xll.BDH($C$403,"LT_DEBT_TO_TOT_EQY","FQ4 2017","FQ4 2017","Currency=INR","Period=FQ","BEST_FPERIOD_OVERRIDE=FQ","FILING_STATUS=OR","EQY_CONSOLIDATED=Y","Sort=A","Dates=H","DateFormat=P","Fill=—","Direction=H","UseDPDF=Y")</f>
        <v>#NAME?</v>
      </c>
      <c r="CI422" s="2" t="e">
        <f ca="1">_xll.BDH($C$403,"LT_DEBT_TO_TOT_CAP","FQ4 2017","FQ4 2017","Currency=INR","Period=FQ","BEST_FPERIOD_OVERRIDE=FQ","FILING_STATUS=OR","EQY_CONSOLIDATED=Y","Sort=A","Dates=H","DateFormat=P","Fill=—","Direction=H","UseDPDF=Y")</f>
        <v>#NAME?</v>
      </c>
      <c r="CJ422" s="2" t="e">
        <f ca="1">_xll.BDH($C$403,"LT_DEBT_TO_TOT_ASSET","FQ4 2017","FQ4 2017","Currency=INR","Period=FQ","BEST_FPERIOD_OVERRIDE=FQ","FILING_STATUS=OR","EQY_CONSOLIDATED=Y","Sort=A","Dates=H","DateFormat=P","Fill=—","Direction=H","UseDPDF=Y")</f>
        <v>#NAME?</v>
      </c>
      <c r="CK422" s="2" t="e">
        <f ca="1">_xll.BDH($C$403,"TOT_DEBT_TO_TOT_EQY","FQ4 2017","FQ4 2017","Currency=INR","Period=FQ","BEST_FPERIOD_OVERRIDE=FQ","FILING_STATUS=OR","EQY_CONSOLIDATED=Y","Sort=A","Dates=H","DateFormat=P","Fill=—","Direction=H","UseDPDF=Y")</f>
        <v>#NAME?</v>
      </c>
      <c r="CL422" s="2" t="e">
        <f ca="1">_xll.BDH($C$403,"TOT_DEBT_TO_TOT_CAP","FQ4 2017","FQ4 2017","Currency=INR","Period=FQ","BEST_FPERIOD_OVERRIDE=FQ","FILING_STATUS=OR","EQY_CONSOLIDATED=Y","Sort=A","Dates=H","DateFormat=P","Fill=—","Direction=H","UseDPDF=Y")</f>
        <v>#NAME?</v>
      </c>
      <c r="CM422" s="2" t="e">
        <f ca="1">_xll.BDH($C$403,"TOT_DEBT_TO_TOT_ASSET","FQ4 2017","FQ4 2017","Currency=INR","Period=FQ","BEST_FPERIOD_OVERRIDE=FQ","FILING_STATUS=OR","EQY_CONSOLIDATED=Y","Sort=A","Dates=H","DateFormat=P","Fill=—","Direction=H","UseDPDF=Y")</f>
        <v>#NAME?</v>
      </c>
      <c r="CN422" s="2" t="e">
        <f ca="1">_xll.BDH($C$403,"NET_DEBT_TO_SHRHLDR_EQTY","FQ4 2017","FQ4 2017","Currency=INR","Period=FQ","BEST_FPERIOD_OVERRIDE=FQ","FILING_STATUS=OR","EQY_CONSOLIDATED=Y","Sort=A","Dates=H","DateFormat=P","Fill=—","Direction=H","UseDPDF=Y")</f>
        <v>#NAME?</v>
      </c>
      <c r="CO422" s="2" t="e">
        <f ca="1">_xll.BDH($C$403,"NET_DEBT_%_CAPITAL","FQ4 2017","FQ4 2017","Currency=INR","Period=FQ","BEST_FPERIOD_OVERRIDE=FQ","FILING_STATUS=OR","EQY_CONSOLIDATED=Y","Sort=A","Dates=H","DateFormat=P","Fill=—","Direction=H","UseDPDF=Y")</f>
        <v>#NAME?</v>
      </c>
      <c r="CP422" s="3" t="e">
        <f ca="1">_xll.BDH($C$403,"EBITDA","FQ4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422" s="3" t="e">
        <f ca="1">_xll.BDH($C$403,"EBITDA_AFTER_CAPEX","FQ4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422" s="3" t="e">
        <f ca="1">_xll.BDH($C$403,"IS_OPER_INC","FQ4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422" s="2" t="e">
        <f ca="1">_xll.BDH($C$403,"CASH_RATIO","FQ4 2017","FQ4 2017","Currency=INR","Period=FQ","BEST_FPERIOD_OVERRIDE=FQ","FILING_STATUS=OR","EQY_CONSOLIDATED=Y","Sort=A","Dates=H","DateFormat=P","Fill=—","Direction=H","UseDPDF=Y")</f>
        <v>#NAME?</v>
      </c>
      <c r="CT422" s="2" t="e">
        <f ca="1">_xll.BDH($C$403,"CUR_RATIO","FQ4 2017","FQ4 2017","Currency=INR","Period=FQ","BEST_FPERIOD_OVERRIDE=FQ","FILING_STATUS=OR","EQY_CONSOLIDATED=Y","Sort=A","Dates=H","DateFormat=P","Fill=—","Direction=H","UseDPDF=Y")</f>
        <v>#NAME?</v>
      </c>
      <c r="CU422" s="2" t="e">
        <f ca="1">_xll.BDH($C$403,"QUICK_RATIO","FQ4 2017","FQ4 2017","Currency=INR","Period=FQ","BEST_FPERIOD_OVERRIDE=FQ","FILING_STATUS=OR","EQY_CONSOLIDATED=Y","Sort=A","Dates=H","DateFormat=P","Fill=—","Direction=H","UseDPDF=Y")</f>
        <v>#NAME?</v>
      </c>
      <c r="CV422" s="2" t="e">
        <f ca="1">_xll.BDH($C$403,"ALTMAN_Z_SCORE","FQ4 2017","FQ4 2017","Currency=INR","Period=FQ","BEST_FPERIOD_OVERRIDE=FQ","FILING_STATUS=OR","EQY_CONSOLIDATED=Y","Sort=A","Dates=H","DateFormat=P","Fill=—","Direction=H","UseDPDF=Y")</f>
        <v>#NAME?</v>
      </c>
      <c r="CW422" s="4" t="e">
        <f ca="1">_xll.BDH($C$403,"ACCT_RCV_TURN","FQ4 2017","FQ4 2017","Currency=INR","Period=FQ","BEST_FPERIOD_OVERRIDE=FQ","FILING_STATUS=OR","EQY_CONSOLIDATED=Y","FA_ADJUSTED=GAAP","Sort=A","Dates=H","DateFormat=P","Fill=—","Direction=H","UseDPDF=Y")</f>
        <v>#NAME?</v>
      </c>
      <c r="CX422" s="2" t="e">
        <f ca="1">_xll.BDH($C$403,"ACCT_RCV_DAYS","FQ4 2017","FQ4 2017","Currency=INR","Period=FQ","BEST_FPERIOD_OVERRIDE=FQ","FILING_STATUS=OR","EQY_CONSOLIDATED=Y","FA_ADJUSTED=GAAP","Sort=A","Dates=H","DateFormat=P","Fill=—","Direction=H","UseDPDF=Y")</f>
        <v>#NAME?</v>
      </c>
      <c r="CY422" s="4" t="e">
        <f ca="1">_xll.BDH($C$403,"INVENT_TURN","FQ4 2017","FQ4 2017","Currency=INR","Period=FQ","BEST_FPERIOD_OVERRIDE=FQ","FILING_STATUS=OR","EQY_CONSOLIDATED=Y","FA_ADJUSTED=GAAP","Sort=A","Dates=H","DateFormat=P","Fill=—","Direction=H","UseDPDF=Y")</f>
        <v>#NAME?</v>
      </c>
      <c r="CZ422" s="2" t="e">
        <f ca="1">_xll.BDH($C$403,"INVENT_DAYS","FQ4 2017","FQ4 2017","Currency=INR","Period=FQ","BEST_FPERIOD_OVERRIDE=FQ","FILING_STATUS=OR","EQY_CONSOLIDATED=Y","FA_ADJUSTED=GAAP","Sort=A","Dates=H","DateFormat=P","Fill=—","Direction=H","UseDPDF=Y")</f>
        <v>#NAME?</v>
      </c>
      <c r="DA422" s="4" t="e">
        <f ca="1">_xll.BDH($C$403,"ACCOUNTS_PAYABLE_TURNOVER","FQ4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422" s="2" t="e">
        <f ca="1">_xll.BDH($C$403,"ACCOUNTS_PAYABLE_TURNOVER_DAYS","FQ4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422" s="4" t="e">
        <f ca="1">_xll.BDH($C$403,"CASH_CONVERSION_CYCLE","FQ4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422" s="4" t="e">
        <f ca="1">_xll.BDH($C$403,"INV_TO_CASH_DAYS","FQ4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422" s="5" t="e">
        <f ca="1">_xll.BDH($C$403,"BS_INVENTORIES","FQ4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422" s="3" t="e">
        <f ca="1">_xll.BDH($C$403,"INVTRY_RAW_MATERIALS","FQ4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422" s="3" t="e">
        <f ca="1">_xll.BDH($C$403,"INVTRY_IN_PROGRESS","FQ4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422" s="3" t="e">
        <f ca="1">_xll.BDH($C$403,"INVTRY_FINISHED_GOODS","FQ4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422" s="3" t="e">
        <f ca="1">_xll.BDH($C$403,"BS_OTHER_INV","FQ4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423" spans="1:113" x14ac:dyDescent="0.3">
      <c r="A423" s="6"/>
      <c r="B423" s="6"/>
      <c r="C423" s="6"/>
      <c r="D423" s="6" t="s">
        <v>85</v>
      </c>
      <c r="E423" t="s">
        <v>77</v>
      </c>
      <c r="F423" t="e">
        <f ca="1">_xll.BDH($C$403,"RETURN_COM_EQY","FY 2018","FY 2018","Currency=INR","Period=FY","BEST_FPERIOD_OVERRIDE=FY","FILING_STATUS=OR","EQY_CONSOLIDATED=Y","FA_ADJUSTED=GAAP","Sort=A","Dates=H","DateFormat=P","Fill=—","Direction=H","UseDPDF=Y")</f>
        <v>#NAME?</v>
      </c>
      <c r="G423" t="e">
        <f ca="1">_xll.BDH($C$403,"RETURN_ON_ASSET","FY 2018","FY 2018","Currency=INR","Period=FY","BEST_FPERIOD_OVERRIDE=FY","FILING_STATUS=OR","EQY_CONSOLIDATED=Y","FA_ADJUSTED=GAAP","Sort=A","Dates=H","DateFormat=P","Fill=—","Direction=H","UseDPDF=Y")</f>
        <v>#NAME?</v>
      </c>
      <c r="H423" t="e">
        <f ca="1">_xll.BDH($C$403,"RETURN_ON_CAP","FY 2018","FY 2018","Currency=INR","Period=FY","BEST_FPERIOD_OVERRIDE=FY","FILING_STATUS=OR","EQY_CONSOLIDATED=Y","FA_ADJUSTED=GAAP","Sort=A","Dates=H","DateFormat=P","Fill=—","Direction=H","UseDPDF=Y")</f>
        <v>#NAME?</v>
      </c>
      <c r="I423" t="e">
        <f ca="1">_xll.BDH($C$403,"RETURN_ON_INV_CAPITAL","FY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423" t="e">
        <f ca="1">_xll.BDH($C$403,"EBITDA_TO_REVENUE","FY 2018","FY 2018","Currency=INR","Period=FY","BEST_FPERIOD_OVERRIDE=FY","FILING_STATUS=OR","EQY_CONSOLIDATED=Y","FA_ADJUSTED=GAAP","Sort=A","Dates=H","DateFormat=P","Fill=—","Direction=H","UseDPDF=Y")</f>
        <v>#NAME?</v>
      </c>
      <c r="K423" t="e">
        <f ca="1">_xll.BDH($C$403,"OPER_MARGIN","FY 2018","FY 2018","Currency=INR","Period=FY","BEST_FPERIOD_OVERRIDE=FY","FILING_STATUS=OR","EQY_CONSOLIDATED=Y","FA_ADJUSTED=GAAP","Sort=A","Dates=H","DateFormat=P","Fill=—","Direction=H","UseDPDF=Y")</f>
        <v>#NAME?</v>
      </c>
      <c r="L423" t="e">
        <f ca="1">_xll.BDH($C$403,"INCREMENTAL_OPERATING_MARGIN","FY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423" t="e">
        <f ca="1">_xll.BDH($C$403,"PRETAX_INC_TO_NET_SALES","FY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423" t="e">
        <f ca="1">_xll.BDH($C$403,"INC_BEF_XO_ITEMS_TO_NET_SALES","FY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423" t="e">
        <f ca="1">_xll.BDH($C$403,"PROF_MARGIN","FY 2018","FY 2018","Currency=INR","Period=FY","BEST_FPERIOD_OVERRIDE=FY","FILING_STATUS=OR","EQY_CONSOLIDATED=Y","FA_ADJUSTED=GAAP","Sort=A","Dates=H","DateFormat=P","Fill=—","Direction=H","UseDPDF=Y")</f>
        <v>#NAME?</v>
      </c>
      <c r="P423" t="e">
        <f ca="1">_xll.BDH($C$403,"NET_INCOME_TO_COMMON_MARGIN","FY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423" t="e">
        <f ca="1">_xll.BDH($C$403,"EFF_TAX_RATE","FY 2018","FY 2018","Currency=INR","Period=FY","BEST_FPERIOD_OVERRIDE=FY","FILING_STATUS=OR","EQY_CONSOLIDATED=Y","FA_ADJUSTED=GAAP","Sort=A","Dates=H","DateFormat=P","Fill=—","Direction=H","UseDPDF=Y")</f>
        <v>#NAME?</v>
      </c>
      <c r="R423" t="e">
        <f ca="1">_xll.BDH($C$403,"DVD_PAYOUT_RATIO","FY 2018","FY 2018","Currency=INR","Period=FY","BEST_FPERIOD_OVERRIDE=FY","FILING_STATUS=OR","EQY_CONSOLIDATED=Y","FA_ADJUSTED=GAAP","Sort=A","Dates=H","DateFormat=P","Fill=—","Direction=H","UseDPDF=Y")</f>
        <v>#NAME?</v>
      </c>
      <c r="S423" t="e">
        <f ca="1">_xll.BDH($C$403,"SUSTAIN_GROWTH_RT","FY 2018","FY 2018","Currency=INR","Period=FY","BEST_FPERIOD_OVERRIDE=FY","FILING_STATUS=OR","EQY_CONSOLIDATED=Y","FA_ADJUSTED=GAAP","Sort=A","Dates=H","DateFormat=P","Fill=—","Direction=H","UseDPDF=Y")</f>
        <v>#NAME?</v>
      </c>
      <c r="T423" s="2" t="e">
        <f ca="1">_xll.BDH($C$403,"SALES_GROWTH","FY 2018","FY 2018","Currency=INR","Period=FY","BEST_FPERIOD_OVERRIDE=FY","FILING_STATUS=OR","EQY_CONSOLIDATED=Y","FA_ADJUSTED=GAAP","Sort=A","Dates=H","DateFormat=P","Fill=—","Direction=H","UseDPDF=Y")</f>
        <v>#NAME?</v>
      </c>
      <c r="U423" s="2" t="e">
        <f ca="1">_xll.BDH($C$403,"EBITDA_GROWTH","FY 2018","FY 2018","Currency=INR","Period=FY","BEST_FPERIOD_OVERRIDE=FY","FILING_STATUS=OR","EQY_CONSOLIDATED=Y","FA_ADJUSTED=GAAP","Sort=A","Dates=H","DateFormat=P","Fill=—","Direction=H","UseDPDF=Y")</f>
        <v>#NAME?</v>
      </c>
      <c r="V423" s="2" t="e">
        <f ca="1">_xll.BDH($C$403,"OPER_INC_GROWTH","FY 2018","FY 2018","Currency=INR","Period=FY","BEST_FPERIOD_OVERRIDE=FY","FILING_STATUS=OR","EQY_CONSOLIDATED=Y","FA_ADJUSTED=GAAP","Sort=A","Dates=H","DateFormat=P","Fill=—","Direction=H","UseDPDF=Y")</f>
        <v>#NAME?</v>
      </c>
      <c r="W423" s="2" t="e">
        <f ca="1">_xll.BDH($C$403,"EARN_FOR_COM_GROWTH","FY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423" s="2" t="e">
        <f ca="1">_xll.BDH($C$403,"DILUTED_EPS_AFT_XO_ITEMS_GROWTH","FY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423" s="2" t="e">
        <f ca="1">_xll.BDH($C$403,"DIVIDEND_PER_SHARE_1_YEAR_GROWTH","FY 2018","FY 2018","Currency=INR","Period=FY","BEST_FPERIOD_OVERRIDE=FY","FILING_STATUS=OR","EQY_CONSOLIDATED=Y","Sort=A","Dates=H","DateFormat=P","Fill=—","Direction=H","UseDPDF=Y")</f>
        <v>#NAME?</v>
      </c>
      <c r="Z423" s="2" t="e">
        <f ca="1">_xll.BDH($C$403,"ACCOUNTS_RECEIVABLE_GROWTH","FY 2018","FY 2018","Currency=INR","Period=FY","BEST_FPERIOD_OVERRIDE=FY","FILING_STATUS=OR","EQY_CONSOLIDATED=Y","Sort=A","Dates=H","DateFormat=P","Fill=—","Direction=H","UseDPDF=Y")</f>
        <v>#NAME?</v>
      </c>
      <c r="AA423" s="2" t="e">
        <f ca="1">_xll.BDH($C$403,"INVENTORY_GROWTH","FY 2018","FY 2018","Currency=INR","Period=FY","BEST_FPERIOD_OVERRIDE=FY","FILING_STATUS=OR","EQY_CONSOLIDATED=Y","Sort=A","Dates=H","DateFormat=P","Fill=—","Direction=H","UseDPDF=Y")</f>
        <v>#NAME?</v>
      </c>
      <c r="AB423" s="2" t="e">
        <f ca="1">_xll.BDH($C$403,"NET_FIXED_ASSETS_1_YEAR_GROWTH","FY 2018","FY 2018","Currency=INR","Period=FY","BEST_FPERIOD_OVERRIDE=FY","FILING_STATUS=OR","EQY_CONSOLIDATED=Y","Sort=A","Dates=H","DateFormat=P","Fill=—","Direction=H","UseDPDF=Y")</f>
        <v>#NAME?</v>
      </c>
      <c r="AC423" s="2" t="e">
        <f ca="1">_xll.BDH($C$403,"ASSET_GROWTH","FY 2018","FY 2018","Currency=INR","Period=FY","BEST_FPERIOD_OVERRIDE=FY","FILING_STATUS=OR","EQY_CONSOLIDATED=Y","Sort=A","Dates=H","DateFormat=P","Fill=—","Direction=H","UseDPDF=Y")</f>
        <v>#NAME?</v>
      </c>
      <c r="AD423" s="2" t="e">
        <f ca="1">_xll.BDH($C$403,"MODIFIED_WORK_CAP_GROWTH","FY 2018","FY 2018","Currency=INR","Period=FY","BEST_FPERIOD_OVERRIDE=FY","FILING_STATUS=OR","EQY_CONSOLIDATED=Y","Sort=A","Dates=H","DateFormat=P","Fill=—","Direction=H","UseDPDF=Y")</f>
        <v>#NAME?</v>
      </c>
      <c r="AE423" s="2" t="e">
        <f ca="1">_xll.BDH($C$403,"WORK_CAP_GROWTH","FY 2018","FY 2018","Currency=INR","Period=FY","BEST_FPERIOD_OVERRIDE=FY","FILING_STATUS=OR","EQY_CONSOLIDATED=Y","Sort=A","Dates=H","DateFormat=P","Fill=—","Direction=H","UseDPDF=Y")</f>
        <v>#NAME?</v>
      </c>
      <c r="AF423" s="2" t="e">
        <f ca="1">_xll.BDH($C$403,"ACCOUNTS_PAYABLE_GROWTH_1YR","FY 2018","FY 2018","Currency=INR","Period=FY","BEST_FPERIOD_OVERRIDE=FY","FILING_STATUS=OR","EQY_CONSOLIDATED=Y","Sort=A","Dates=H","DateFormat=P","Fill=—","Direction=H","UseDPDF=Y")</f>
        <v>#NAME?</v>
      </c>
      <c r="AG423" s="2" t="e">
        <f ca="1">_xll.BDH($C$403,"SHORT_TERM_DEBT_1_YEAR_GROWTH","FY 2018","FY 2018","Currency=INR","Period=FY","BEST_FPERIOD_OVERRIDE=FY","FILING_STATUS=OR","EQY_CONSOLIDATED=Y","Sort=A","Dates=H","DateFormat=P","Fill=—","Direction=H","UseDPDF=Y")</f>
        <v>#NAME?</v>
      </c>
      <c r="AH423" s="2" t="e">
        <f ca="1">_xll.BDH($C$403,"TOTAL_DEBT_1_YEAR_GROWTH","FY 2018","FY 2018","Currency=INR","Period=FY","BEST_FPERIOD_OVERRIDE=FY","FILING_STATUS=OR","EQY_CONSOLIDATED=Y","Sort=A","Dates=H","DateFormat=P","Fill=—","Direction=H","UseDPDF=Y")</f>
        <v>#NAME?</v>
      </c>
      <c r="AI423" s="2" t="e">
        <f ca="1">_xll.BDH($C$403,"TOTAL_EQUITY_1_YEAR_GROWTH","FY 2018","FY 2018","Currency=INR","Period=FY","BEST_FPERIOD_OVERRIDE=FY","FILING_STATUS=OR","EQY_CONSOLIDATED=Y","Sort=A","Dates=H","DateFormat=P","Fill=—","Direction=H","UseDPDF=Y")</f>
        <v>#NAME?</v>
      </c>
      <c r="AJ423" s="2" t="e">
        <f ca="1">_xll.BDH($C$403,"GROWTH_IN_CAP","FY 2018","FY 2018","Currency=INR","Period=FY","BEST_FPERIOD_OVERRIDE=FY","FILING_STATUS=OR","EQY_CONSOLIDATED=Y","Sort=A","Dates=H","DateFormat=P","Fill=—","Direction=H","UseDPDF=Y")</f>
        <v>#NAME?</v>
      </c>
      <c r="AK423" s="2" t="e">
        <f ca="1">_xll.BDH($C$403,"BVPS_GROWTH","FY 2018","FY 2018","Currency=INR","Period=FY","BEST_FPERIOD_OVERRIDE=FY","FILING_STATUS=OR","EQY_CONSOLIDATED=Y","Sort=A","Dates=H","DateFormat=P","Fill=—","Direction=H","UseDPDF=Y")</f>
        <v>#NAME?</v>
      </c>
      <c r="AL423" s="2" t="e">
        <f ca="1">_xll.BDH($C$403,"CASH_FLOW_GROWTH","FY 2018","FY 2018","Currency=INR","Period=FY","BEST_FPERIOD_OVERRIDE=FY","FILING_STATUS=OR","EQY_CONSOLIDATED=Y","Sort=A","Dates=H","DateFormat=P","Fill=—","Direction=H","UseDPDF=Y")</f>
        <v>#NAME?</v>
      </c>
      <c r="AM423" s="2" t="e">
        <f ca="1">_xll.BDH($C$403,"GEO_GROW_NET_SALES","FY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423" s="2" t="e">
        <f ca="1">_xll.BDH($C$403,"GEO_GROW_EBITDA","FY 2018","FY 2018","Currency=INR","Period=FY","BEST_FPERIOD_OVERRIDE=FY","FILING_STATUS=OR","EQY_CONSOLIDATED=Y","FA_ADJUSTED=GAAP","Sort=A","Dates=H","DateFormat=P","Fill=—","Direction=H","UseDPDF=Y")</f>
        <v>#NAME?</v>
      </c>
      <c r="AO423" s="2" t="e">
        <f ca="1">_xll.BDH($C$403,"GEO_GROW_OPER_INC","FY 2018","FY 2018","Currency=INR","Period=FY","BEST_FPERIOD_OVERRIDE=FY","FILING_STATUS=OR","EQY_CONSOLIDATED=Y","FA_ADJUSTED=GAAP","Sort=A","Dates=H","DateFormat=P","Fill=—","Direction=H","UseDPDF=Y")</f>
        <v>#NAME?</v>
      </c>
      <c r="AP423" s="2" t="e">
        <f ca="1">_xll.BDH($C$403,"NET_INCOME_TO_COMMON_5_YR_GROWTH","FY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423" s="2" t="e">
        <f ca="1">_xll.BDH($C$403,"5Y_GEO_GROWTH_DILUTED_EPS","FY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423" s="2" t="e">
        <f ca="1">_xll.BDH($C$403,"GEO_GROW_DVD_PER_SH","FY 2018","FY 2018","Currency=INR","Period=FY","BEST_FPERIOD_OVERRIDE=FY","FILING_STATUS=OR","EQY_CONSOLIDATED=Y","Sort=A","Dates=H","DateFormat=P","Fill=—","Direction=H","UseDPDF=Y")</f>
        <v>#NAME?</v>
      </c>
      <c r="AS423" s="2" t="e">
        <f ca="1">_xll.BDH($C$403,"ACCOUNTS_RECEIVABLE_5_YR_GROWTH","FY 2018","FY 2018","Currency=INR","Period=FY","BEST_FPERIOD_OVERRIDE=FY","FILING_STATUS=OR","EQY_CONSOLIDATED=Y","Sort=A","Dates=H","DateFormat=P","Fill=—","Direction=H","UseDPDF=Y")</f>
        <v>#NAME?</v>
      </c>
      <c r="AT423" s="2" t="e">
        <f ca="1">_xll.BDH($C$403,"INVENTORY_5_YEAR_GROWTH","FY 2018","FY 2018","Currency=INR","Period=FY","BEST_FPERIOD_OVERRIDE=FY","FILING_STATUS=OR","EQY_CONSOLIDATED=Y","Sort=A","Dates=H","DateFormat=P","Fill=—","Direction=H","UseDPDF=Y")</f>
        <v>#NAME?</v>
      </c>
      <c r="AU423" s="2" t="e">
        <f ca="1">_xll.BDH($C$403,"NET_FIXED_ASSETS_5_YEAR_GROWTH","FY 2018","FY 2018","Currency=INR","Period=FY","BEST_FPERIOD_OVERRIDE=FY","FILING_STATUS=OR","EQY_CONSOLIDATED=Y","Sort=A","Dates=H","DateFormat=P","Fill=—","Direction=H","UseDPDF=Y")</f>
        <v>#NAME?</v>
      </c>
      <c r="AV423" s="2" t="e">
        <f ca="1">_xll.BDH($C$403,"GEO_GROW_TOT_ASSET","FY 2018","FY 2018","Currency=INR","Period=FY","BEST_FPERIOD_OVERRIDE=FY","FILING_STATUS=OR","EQY_CONSOLIDATED=Y","Sort=A","Dates=H","DateFormat=P","Fill=—","Direction=H","UseDPDF=Y")</f>
        <v>#NAME?</v>
      </c>
      <c r="AW423" s="2" t="e">
        <f ca="1">_xll.BDH($C$403,"MODIFIED_WORKING_CPTL_5YR_GRWTH","FY 2018","FY 2018","Currency=INR","Period=FY","BEST_FPERIOD_OVERRIDE=FY","FILING_STATUS=OR","EQY_CONSOLIDATED=Y","Sort=A","Dates=H","DateFormat=P","Fill=—","Direction=H","UseDPDF=Y")</f>
        <v>#NAME?</v>
      </c>
      <c r="AX423" s="2" t="e">
        <f ca="1">_xll.BDH($C$403,"WORKING_CAPITAL_5_YEAR_GROWTH","FY 2018","FY 2018","Currency=INR","Period=FY","BEST_FPERIOD_OVERRIDE=FY","FILING_STATUS=OR","EQY_CONSOLIDATED=Y","Sort=A","Dates=H","DateFormat=P","Fill=—","Direction=H","UseDPDF=Y")</f>
        <v>#NAME?</v>
      </c>
      <c r="AY423" s="2" t="e">
        <f ca="1">_xll.BDH($C$403,"ACCOUNTS_PAYABLE_5_YEAR_GROWTH","FY 2018","FY 2018","Currency=INR","Period=FY","BEST_FPERIOD_OVERRIDE=FY","FILING_STATUS=OR","EQY_CONSOLIDATED=Y","Sort=A","Dates=H","DateFormat=P","Fill=—","Direction=H","UseDPDF=Y")</f>
        <v>#NAME?</v>
      </c>
      <c r="AZ423" s="2" t="e">
        <f ca="1">_xll.BDH($C$403,"SHORT_TERM_DEBT_5_YEAR_GROWTH","FY 2018","FY 2018","Currency=INR","Period=FY","BEST_FPERIOD_OVERRIDE=FY","FILING_STATUS=OR","EQY_CONSOLIDATED=Y","Sort=A","Dates=H","DateFormat=P","Fill=—","Direction=H","UseDPDF=Y")</f>
        <v>#NAME?</v>
      </c>
      <c r="BA423" s="2" t="e">
        <f ca="1">_xll.BDH($C$403,"TOTAL_DEBT_5_YEAR_GROWTH","FY 2018","FY 2018","Currency=INR","Period=FY","BEST_FPERIOD_OVERRIDE=FY","FILING_STATUS=OR","EQY_CONSOLIDATED=Y","Sort=A","Dates=H","DateFormat=P","Fill=—","Direction=H","UseDPDF=Y")</f>
        <v>#NAME?</v>
      </c>
      <c r="BB423" s="2" t="e">
        <f ca="1">_xll.BDH($C$403,"GEO_GROW_TOT_SHRHLDR_EQY","FY 2018","FY 2018","Currency=INR","Period=FY","BEST_FPERIOD_OVERRIDE=FY","FILING_STATUS=OR","EQY_CONSOLIDATED=Y","Sort=A","Dates=H","DateFormat=P","Fill=—","Direction=H","UseDPDF=Y")</f>
        <v>#NAME?</v>
      </c>
      <c r="BC423" s="2" t="e">
        <f ca="1">_xll.BDH($C$403,"TOTAL_CAPITAL_5_YEAR_GROWTH","FY 2018","FY 2018","Currency=INR","Period=FY","BEST_FPERIOD_OVERRIDE=FY","FILING_STATUS=OR","EQY_CONSOLIDATED=Y","Sort=A","Dates=H","DateFormat=P","Fill=—","Direction=H","UseDPDF=Y")</f>
        <v>#NAME?</v>
      </c>
      <c r="BD423" s="2" t="e">
        <f ca="1">_xll.BDH($C$403,"GEO_GROW_BOOK_VAL","FY 2018","FY 2018","Currency=INR","Period=FY","BEST_FPERIOD_OVERRIDE=FY","FILING_STATUS=OR","EQY_CONSOLIDATED=Y","Sort=A","Dates=H","DateFormat=P","Fill=—","Direction=H","UseDPDF=Y")</f>
        <v>#NAME?</v>
      </c>
      <c r="BE423" s="2" t="e">
        <f ca="1">_xll.BDH($C$403,"GEO_GROW_CASH_OPER_ACT","FY 2018","FY 2018","Currency=INR","Period=FY","BEST_FPERIOD_OVERRIDE=FY","FILING_STATUS=OR","EQY_CONSOLIDATED=Y","Sort=A","Dates=H","DateFormat=P","Fill=—","Direction=H","UseDPDF=Y")</f>
        <v>#NAME?</v>
      </c>
      <c r="BF423" s="2" t="e">
        <f ca="1">_xll.BDH($C$403,"REVENUE_SEQUENTIAL_GROWTH","FY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423" s="2" t="e">
        <f ca="1">_xll.BDH($C$403,"EBITDA_SEQUENTIAL_GROWTH","FY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423" s="2" t="e">
        <f ca="1">_xll.BDH($C$403,"OPERATING_INCOME_SEQ_GROWTH","FY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423" s="2" t="e">
        <f ca="1">_xll.BDH($C$403,"NET_INCOME_TO_COMMON_SEQ_GROWTH","FY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423" s="2" t="e">
        <f ca="1">_xll.BDH($C$403,"EPS_DILUTED_SEQUENTIAL_GROWTH","FY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423" s="2" t="e">
        <f ca="1">_xll.BDH($C$403,"DPS_SEQUENTIAL_GROWTH","FY 2018","FY 2018","Currency=INR","Period=FY","BEST_FPERIOD_OVERRIDE=FY","FILING_STATUS=OR","EQY_CONSOLIDATED=Y","Sort=A","Dates=H","DateFormat=P","Fill=—","Direction=H","UseDPDF=Y")</f>
        <v>#NAME?</v>
      </c>
      <c r="BL423" s="2" t="e">
        <f ca="1">_xll.BDH($C$403,"ACCOUNTS_RECEIVABLE_SEQ_GROWTH","FY 2018","FY 2018","Currency=INR","Period=FY","BEST_FPERIOD_OVERRIDE=FY","FILING_STATUS=OR","EQY_CONSOLIDATED=Y","Sort=A","Dates=H","DateFormat=P","Fill=—","Direction=H","UseDPDF=Y")</f>
        <v>#NAME?</v>
      </c>
      <c r="BM423" s="2" t="e">
        <f ca="1">_xll.BDH($C$403,"INVENTORY_SEQUENTIAL_GROWTH","FY 2018","FY 2018","Currency=INR","Period=FY","BEST_FPERIOD_OVERRIDE=FY","FILING_STATUS=OR","EQY_CONSOLIDATED=Y","Sort=A","Dates=H","DateFormat=P","Fill=—","Direction=H","UseDPDF=Y")</f>
        <v>#NAME?</v>
      </c>
      <c r="BN423" s="2" t="e">
        <f ca="1">_xll.BDH($C$403,"FIXED_ASSETS_SEQUENTIAL_GROWTH","FY 2018","FY 2018","Currency=INR","Period=FY","BEST_FPERIOD_OVERRIDE=FY","FILING_STATUS=OR","EQY_CONSOLIDATED=Y","Sort=A","Dates=H","DateFormat=P","Fill=—","Direction=H","UseDPDF=Y")</f>
        <v>#NAME?</v>
      </c>
      <c r="BO423" s="2" t="e">
        <f ca="1">_xll.BDH($C$403,"TOTAL_ASSETS_SEQUENTIAL_GROWTH","FY 2018","FY 2018","Currency=INR","Period=FY","BEST_FPERIOD_OVERRIDE=FY","FILING_STATUS=OR","EQY_CONSOLIDATED=Y","Sort=A","Dates=H","DateFormat=P","Fill=—","Direction=H","UseDPDF=Y")</f>
        <v>#NAME?</v>
      </c>
      <c r="BP423" s="2" t="e">
        <f ca="1">_xll.BDH($C$403,"MODIFIED_WORKING_CPTL_SEQ_GRWTH","FY 2018","FY 2018","Currency=INR","Period=FY","BEST_FPERIOD_OVERRIDE=FY","FILING_STATUS=OR","EQY_CONSOLIDATED=Y","Sort=A","Dates=H","DateFormat=P","Fill=—","Direction=H","UseDPDF=Y")</f>
        <v>#NAME?</v>
      </c>
      <c r="BQ423" s="2" t="e">
        <f ca="1">_xll.BDH($C$403,"WORKING_CAPITAL_SEQ_GROWTH","FY 2018","FY 2018","Currency=INR","Period=FY","BEST_FPERIOD_OVERRIDE=FY","FILING_STATUS=OR","EQY_CONSOLIDATED=Y","Sort=A","Dates=H","DateFormat=P","Fill=—","Direction=H","UseDPDF=Y")</f>
        <v>#NAME?</v>
      </c>
      <c r="BR423" s="2" t="e">
        <f ca="1">_xll.BDH($C$403,"ACCOUNTS_PAYABLE_SEQ_GROWTH","FY 2018","FY 2018","Currency=INR","Period=FY","BEST_FPERIOD_OVERRIDE=FY","FILING_STATUS=OR","EQY_CONSOLIDATED=Y","Sort=A","Dates=H","DateFormat=P","Fill=—","Direction=H","UseDPDF=Y")</f>
        <v>#NAME?</v>
      </c>
      <c r="BS423" s="2" t="e">
        <f ca="1">_xll.BDH($C$403,"ST_DEBT_SEQUENTIAL_GROWTH","FY 2018","FY 2018","Currency=INR","Period=FY","BEST_FPERIOD_OVERRIDE=FY","FILING_STATUS=OR","EQY_CONSOLIDATED=Y","Sort=A","Dates=H","DateFormat=P","Fill=—","Direction=H","UseDPDF=Y")</f>
        <v>#NAME?</v>
      </c>
      <c r="BT423" s="2" t="e">
        <f ca="1">_xll.BDH($C$403,"TOTAL_DEBT_SEQUENTIAL_GROWTH","FY 2018","FY 2018","Currency=INR","Period=FY","BEST_FPERIOD_OVERRIDE=FY","FILING_STATUS=OR","EQY_CONSOLIDATED=Y","Sort=A","Dates=H","DateFormat=P","Fill=—","Direction=H","UseDPDF=Y")</f>
        <v>#NAME?</v>
      </c>
      <c r="BU423" s="2" t="e">
        <f ca="1">_xll.BDH($C$403,"TOTAL_EQUITY_SEQUENTIAL_GROWTH","FY 2018","FY 2018","Currency=INR","Period=FY","BEST_FPERIOD_OVERRIDE=FY","FILING_STATUS=OR","EQY_CONSOLIDATED=Y","Sort=A","Dates=H","DateFormat=P","Fill=—","Direction=H","UseDPDF=Y")</f>
        <v>#NAME?</v>
      </c>
      <c r="BV423" s="2" t="e">
        <f ca="1">_xll.BDH($C$403,"TOTAL_CAPITAL_SEQUENTIAL_GROWTH","FY 2018","FY 2018","Currency=INR","Period=FY","BEST_FPERIOD_OVERRIDE=FY","FILING_STATUS=OR","EQY_CONSOLIDATED=Y","Sort=A","Dates=H","DateFormat=P","Fill=—","Direction=H","UseDPDF=Y")</f>
        <v>#NAME?</v>
      </c>
      <c r="BW423" s="2" t="e">
        <f ca="1">_xll.BDH($C$403,"BPS_SEQUENTIAL_GROWTH","FY 2018","FY 2018","Currency=INR","Period=FY","BEST_FPERIOD_OVERRIDE=FY","FILING_STATUS=OR","EQY_CONSOLIDATED=Y","Sort=A","Dates=H","DateFormat=P","Fill=—","Direction=H","UseDPDF=Y")</f>
        <v>#NAME?</v>
      </c>
      <c r="BX423" s="2" t="e">
        <f ca="1">_xll.BDH($C$403,"CFO_SEQUENTIAL_GROWTH","FY 2018","FY 2018","Currency=INR","Period=FY","BEST_FPERIOD_OVERRIDE=FY","FILING_STATUS=OR","EQY_CONSOLIDATED=Y","Sort=A","Dates=H","DateFormat=P","Fill=—","Direction=H","UseDPDF=Y")</f>
        <v>#NAME?</v>
      </c>
      <c r="BY423" s="3" t="e">
        <f ca="1">_xll.BDH($C$403,"SHORT_AND_LONG_TERM_DEBT","FY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423" s="3" t="e">
        <f ca="1">_xll.BDH($C$403,"BS_ST_BORROW","FY 2018","FY 2018","Currency=INR","Period=FY","BEST_FPERIOD_OVERRIDE=FY","FILING_STATUS=OR","EQY_CONSOLIDATED=Y","SCALING_FORMAT=MLN","Sort=A","Dates=H","DateFormat=P","Fill=—","Direction=H","UseDPDF=Y")</f>
        <v>#NAME?</v>
      </c>
      <c r="CA423" s="3" t="e">
        <f ca="1">_xll.BDH($C$403,"BS_LT_BORROW","FY 2018","FY 2018","Currency=INR","Period=FY","BEST_FPERIOD_OVERRIDE=FY","FILING_STATUS=OR","EQY_CONSOLIDATED=Y","SCALING_FORMAT=MLN","Sort=A","Dates=H","DateFormat=P","Fill=—","Direction=H","UseDPDF=Y")</f>
        <v>#NAME?</v>
      </c>
      <c r="CB423" s="2" t="e">
        <f ca="1">_xll.BDH($C$403,"TOT_DEBT_TO_EBITDA","FY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423" s="2" t="e">
        <f ca="1">_xll.BDH($C$403,"NET_DEBT_TO_EBITDA","FY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423" s="2" t="e">
        <f ca="1">_xll.BDH($C$403,"TOTAL_DEBT_TO_EBIT","FY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423" s="2" t="e">
        <f ca="1">_xll.BDH($C$403,"NET_DEBT_TO_EBIT","FY 2018","FY 2018","Currency=INR","Period=FY","BEST_FPERIOD_OVERRIDE=FY","FILING_STATUS=OR","EQY_CONSOLIDATED=Y","FA_ADJUSTED=GAAP","Sort=A","Dates=H","DateFormat=P","Fill=—","Direction=H","UseDPDF=Y")</f>
        <v>#NAME?</v>
      </c>
      <c r="CF423" s="2" t="e">
        <f ca="1">_xll.BDH($C$403,"EBITDA_TO_INTEREST_EXPN","FY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423" s="2" t="e">
        <f ca="1">_xll.BDH($C$403,"COM_EQY_TO_TOT_ASSET","FY 2018","FY 2018","Currency=INR","Period=FY","BEST_FPERIOD_OVERRIDE=FY","FILING_STATUS=OR","EQY_CONSOLIDATED=Y","Sort=A","Dates=H","DateFormat=P","Fill=—","Direction=H","UseDPDF=Y")</f>
        <v>#NAME?</v>
      </c>
      <c r="CH423" s="2" t="e">
        <f ca="1">_xll.BDH($C$403,"LT_DEBT_TO_TOT_EQY","FY 2018","FY 2018","Currency=INR","Period=FY","BEST_FPERIOD_OVERRIDE=FY","FILING_STATUS=OR","EQY_CONSOLIDATED=Y","Sort=A","Dates=H","DateFormat=P","Fill=—","Direction=H","UseDPDF=Y")</f>
        <v>#NAME?</v>
      </c>
      <c r="CI423" s="2" t="e">
        <f ca="1">_xll.BDH($C$403,"LT_DEBT_TO_TOT_CAP","FY 2018","FY 2018","Currency=INR","Period=FY","BEST_FPERIOD_OVERRIDE=FY","FILING_STATUS=OR","EQY_CONSOLIDATED=Y","Sort=A","Dates=H","DateFormat=P","Fill=—","Direction=H","UseDPDF=Y")</f>
        <v>#NAME?</v>
      </c>
      <c r="CJ423" s="2" t="e">
        <f ca="1">_xll.BDH($C$403,"LT_DEBT_TO_TOT_ASSET","FY 2018","FY 2018","Currency=INR","Period=FY","BEST_FPERIOD_OVERRIDE=FY","FILING_STATUS=OR","EQY_CONSOLIDATED=Y","Sort=A","Dates=H","DateFormat=P","Fill=—","Direction=H","UseDPDF=Y")</f>
        <v>#NAME?</v>
      </c>
      <c r="CK423" s="2" t="e">
        <f ca="1">_xll.BDH($C$403,"TOT_DEBT_TO_TOT_EQY","FY 2018","FY 2018","Currency=INR","Period=FY","BEST_FPERIOD_OVERRIDE=FY","FILING_STATUS=OR","EQY_CONSOLIDATED=Y","Sort=A","Dates=H","DateFormat=P","Fill=—","Direction=H","UseDPDF=Y")</f>
        <v>#NAME?</v>
      </c>
      <c r="CL423" s="2" t="e">
        <f ca="1">_xll.BDH($C$403,"TOT_DEBT_TO_TOT_CAP","FY 2018","FY 2018","Currency=INR","Period=FY","BEST_FPERIOD_OVERRIDE=FY","FILING_STATUS=OR","EQY_CONSOLIDATED=Y","Sort=A","Dates=H","DateFormat=P","Fill=—","Direction=H","UseDPDF=Y")</f>
        <v>#NAME?</v>
      </c>
      <c r="CM423" s="2" t="e">
        <f ca="1">_xll.BDH($C$403,"TOT_DEBT_TO_TOT_ASSET","FY 2018","FY 2018","Currency=INR","Period=FY","BEST_FPERIOD_OVERRIDE=FY","FILING_STATUS=OR","EQY_CONSOLIDATED=Y","Sort=A","Dates=H","DateFormat=P","Fill=—","Direction=H","UseDPDF=Y")</f>
        <v>#NAME?</v>
      </c>
      <c r="CN423" s="2" t="e">
        <f ca="1">_xll.BDH($C$403,"NET_DEBT_TO_SHRHLDR_EQTY","FY 2018","FY 2018","Currency=INR","Period=FY","BEST_FPERIOD_OVERRIDE=FY","FILING_STATUS=OR","EQY_CONSOLIDATED=Y","Sort=A","Dates=H","DateFormat=P","Fill=—","Direction=H","UseDPDF=Y")</f>
        <v>#NAME?</v>
      </c>
      <c r="CO423" s="2" t="e">
        <f ca="1">_xll.BDH($C$403,"NET_DEBT_%_CAPITAL","FY 2018","FY 2018","Currency=INR","Period=FY","BEST_FPERIOD_OVERRIDE=FY","FILING_STATUS=OR","EQY_CONSOLIDATED=Y","Sort=A","Dates=H","DateFormat=P","Fill=—","Direction=H","UseDPDF=Y")</f>
        <v>#NAME?</v>
      </c>
      <c r="CP423" s="3" t="e">
        <f ca="1">_xll.BDH($C$403,"EBITDA","FY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423" s="3" t="e">
        <f ca="1">_xll.BDH($C$403,"EBITDA_AFTER_CAPEX","FY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423" s="3" t="e">
        <f ca="1">_xll.BDH($C$403,"IS_OPER_INC","FY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423" s="2" t="e">
        <f ca="1">_xll.BDH($C$403,"CASH_RATIO","FY 2018","FY 2018","Currency=INR","Period=FY","BEST_FPERIOD_OVERRIDE=FY","FILING_STATUS=OR","EQY_CONSOLIDATED=Y","Sort=A","Dates=H","DateFormat=P","Fill=—","Direction=H","UseDPDF=Y")</f>
        <v>#NAME?</v>
      </c>
      <c r="CT423" s="2" t="e">
        <f ca="1">_xll.BDH($C$403,"CUR_RATIO","FY 2018","FY 2018","Currency=INR","Period=FY","BEST_FPERIOD_OVERRIDE=FY","FILING_STATUS=OR","EQY_CONSOLIDATED=Y","Sort=A","Dates=H","DateFormat=P","Fill=—","Direction=H","UseDPDF=Y")</f>
        <v>#NAME?</v>
      </c>
      <c r="CU423" s="2" t="e">
        <f ca="1">_xll.BDH($C$403,"QUICK_RATIO","FY 2018","FY 2018","Currency=INR","Period=FY","BEST_FPERIOD_OVERRIDE=FY","FILING_STATUS=OR","EQY_CONSOLIDATED=Y","Sort=A","Dates=H","DateFormat=P","Fill=—","Direction=H","UseDPDF=Y")</f>
        <v>#NAME?</v>
      </c>
      <c r="CV423" s="2" t="e">
        <f ca="1">_xll.BDH($C$403,"ALTMAN_Z_SCORE","FY 2018","FY 2018","Currency=INR","Period=FY","BEST_FPERIOD_OVERRIDE=FY","FILING_STATUS=OR","EQY_CONSOLIDATED=Y","Sort=A","Dates=H","DateFormat=P","Fill=—","Direction=H","UseDPDF=Y")</f>
        <v>#NAME?</v>
      </c>
      <c r="CW423" s="4" t="e">
        <f ca="1">_xll.BDH($C$403,"ACCT_RCV_TURN","FY 2018","FY 2018","Currency=INR","Period=FY","BEST_FPERIOD_OVERRIDE=FY","FILING_STATUS=OR","EQY_CONSOLIDATED=Y","FA_ADJUSTED=GAAP","Sort=A","Dates=H","DateFormat=P","Fill=—","Direction=H","UseDPDF=Y")</f>
        <v>#NAME?</v>
      </c>
      <c r="CX423" s="2" t="e">
        <f ca="1">_xll.BDH($C$403,"ACCT_RCV_DAYS","FY 2018","FY 2018","Currency=INR","Period=FY","BEST_FPERIOD_OVERRIDE=FY","FILING_STATUS=OR","EQY_CONSOLIDATED=Y","FA_ADJUSTED=GAAP","Sort=A","Dates=H","DateFormat=P","Fill=—","Direction=H","UseDPDF=Y")</f>
        <v>#NAME?</v>
      </c>
      <c r="CY423" s="4" t="e">
        <f ca="1">_xll.BDH($C$403,"INVENT_TURN","FY 2018","FY 2018","Currency=INR","Period=FY","BEST_FPERIOD_OVERRIDE=FY","FILING_STATUS=OR","EQY_CONSOLIDATED=Y","FA_ADJUSTED=GAAP","Sort=A","Dates=H","DateFormat=P","Fill=—","Direction=H","UseDPDF=Y")</f>
        <v>#NAME?</v>
      </c>
      <c r="CZ423" s="2" t="e">
        <f ca="1">_xll.BDH($C$403,"INVENT_DAYS","FY 2018","FY 2018","Currency=INR","Period=FY","BEST_FPERIOD_OVERRIDE=FY","FILING_STATUS=OR","EQY_CONSOLIDATED=Y","FA_ADJUSTED=GAAP","Sort=A","Dates=H","DateFormat=P","Fill=—","Direction=H","UseDPDF=Y")</f>
        <v>#NAME?</v>
      </c>
      <c r="DA423" s="4" t="e">
        <f ca="1">_xll.BDH($C$403,"ACCOUNTS_PAYABLE_TURNOVER","FY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423" s="2" t="e">
        <f ca="1">_xll.BDH($C$403,"ACCOUNTS_PAYABLE_TURNOVER_DAYS","FY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423" s="4" t="e">
        <f ca="1">_xll.BDH($C$403,"CASH_CONVERSION_CYCLE","FY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423" s="4" t="e">
        <f ca="1">_xll.BDH($C$403,"INV_TO_CASH_DAYS","FY 2018","FY 2018","Currency=INR","Period=FY","BEST_FPERIOD_OVERRIDE=FY","FILING_STATUS=OR","EQY_CONSOLIDATED=Y","FA_ADJUSTED=GAAP","Sort=A","Dates=H","DateFormat=P","Fill=—","Direction=H","UseDPDF=Y")</f>
        <v>#NAME?</v>
      </c>
      <c r="DE423" s="5" t="e">
        <f ca="1">_xll.BDH($C$403,"BS_INVENTORIES","FY 2018","FY 2018","Currency=INR","Period=FY","BEST_FPERIOD_OVERRIDE=FY","FILING_STATUS=OR","EQY_CONSOLIDATED=Y","SCALING_FORMAT=MLN","Sort=A","Dates=H","DateFormat=P","Fill=—","Direction=H","UseDPDF=Y")</f>
        <v>#NAME?</v>
      </c>
      <c r="DF423" s="3" t="e">
        <f ca="1">_xll.BDH($C$403,"INVTRY_RAW_MATERIALS","FY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423" s="3" t="e">
        <f ca="1">_xll.BDH($C$403,"INVTRY_IN_PROGRESS","FY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423" s="3" t="e">
        <f ca="1">_xll.BDH($C$403,"INVTRY_FINISHED_GOODS","FY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423" s="3" t="e">
        <f ca="1">_xll.BDH($C$403,"BS_OTHER_INV","FY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424" spans="1:113" x14ac:dyDescent="0.3">
      <c r="A424" s="6"/>
      <c r="B424" s="6"/>
      <c r="C424" s="6"/>
      <c r="D424" s="6"/>
      <c r="E424" t="s">
        <v>78</v>
      </c>
      <c r="F424" t="e">
        <f ca="1">_xll.BDH($C$403,"RETURN_COM_EQY","FQ1 2018","FQ1 2018","Currency=INR","Period=FQ","BEST_FPERIOD_OVERRIDE=FQ","FILING_STATUS=OR","EQY_CONSOLIDATED=Y","FA_ADJUSTED=GAAP","Sort=A","Dates=H","DateFormat=P","Fill=—","Direction=H","UseDPDF=Y")</f>
        <v>#NAME?</v>
      </c>
      <c r="G424" t="e">
        <f ca="1">_xll.BDH($C$403,"RETURN_ON_ASSET","FQ1 2018","FQ1 2018","Currency=INR","Period=FQ","BEST_FPERIOD_OVERRIDE=FQ","FILING_STATUS=OR","EQY_CONSOLIDATED=Y","FA_ADJUSTED=GAAP","Sort=A","Dates=H","DateFormat=P","Fill=—","Direction=H","UseDPDF=Y")</f>
        <v>#NAME?</v>
      </c>
      <c r="H424" t="e">
        <f ca="1">_xll.BDH($C$403,"RETURN_ON_CAP","FQ1 2018","FQ1 2018","Currency=INR","Period=FQ","BEST_FPERIOD_OVERRIDE=FQ","FILING_STATUS=OR","EQY_CONSOLIDATED=Y","FA_ADJUSTED=GAAP","Sort=A","Dates=H","DateFormat=P","Fill=—","Direction=H","UseDPDF=Y")</f>
        <v>#NAME?</v>
      </c>
      <c r="I424" t="e">
        <f ca="1">_xll.BDH($C$403,"RETURN_ON_INV_CAPITAL","FQ1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424" t="e">
        <f ca="1">_xll.BDH($C$403,"EBITDA_TO_REVENUE","FQ1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424" t="e">
        <f ca="1">_xll.BDH($C$403,"OPER_MARGIN","FQ1 2018","FQ1 2018","Currency=INR","Period=FQ","BEST_FPERIOD_OVERRIDE=FQ","FILING_STATUS=OR","EQY_CONSOLIDATED=Y","FA_ADJUSTED=GAAP","Sort=A","Dates=H","DateFormat=P","Fill=—","Direction=H","UseDPDF=Y")</f>
        <v>#NAME?</v>
      </c>
      <c r="L424" t="e">
        <f ca="1">_xll.BDH($C$403,"INCREMENTAL_OPERATING_MARGIN","FQ1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424" t="e">
        <f ca="1">_xll.BDH($C$403,"PRETAX_INC_TO_NET_SALES","FQ1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424" t="e">
        <f ca="1">_xll.BDH($C$403,"INC_BEF_XO_ITEMS_TO_NET_SALES","FQ1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424" t="e">
        <f ca="1">_xll.BDH($C$403,"PROF_MARGIN","FQ1 2018","FQ1 2018","Currency=INR","Period=FQ","BEST_FPERIOD_OVERRIDE=FQ","FILING_STATUS=OR","EQY_CONSOLIDATED=Y","FA_ADJUSTED=GAAP","Sort=A","Dates=H","DateFormat=P","Fill=—","Direction=H","UseDPDF=Y")</f>
        <v>#NAME?</v>
      </c>
      <c r="P424" t="e">
        <f ca="1">_xll.BDH($C$403,"NET_INCOME_TO_COMMON_MARGIN","FQ1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424" t="e">
        <f ca="1">_xll.BDH($C$403,"EFF_TAX_RATE","FQ1 2018","FQ1 2018","Currency=INR","Period=FQ","BEST_FPERIOD_OVERRIDE=FQ","FILING_STATUS=OR","EQY_CONSOLIDATED=Y","FA_ADJUSTED=GAAP","Sort=A","Dates=H","DateFormat=P","Fill=—","Direction=H","UseDPDF=Y")</f>
        <v>#NAME?</v>
      </c>
      <c r="R424" t="e">
        <f ca="1">_xll.BDH($C$403,"DVD_PAYOUT_RATIO","FQ1 2018","FQ1 2018","Currency=INR","Period=FQ","BEST_FPERIOD_OVERRIDE=FQ","FILING_STATUS=OR","EQY_CONSOLIDATED=Y","FA_ADJUSTED=GAAP","Sort=A","Dates=H","DateFormat=P","Fill=—","Direction=H","UseDPDF=Y")</f>
        <v>#NAME?</v>
      </c>
      <c r="S424" t="e">
        <f ca="1">_xll.BDH($C$403,"SUSTAIN_GROWTH_RT","FQ1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424" s="2" t="e">
        <f ca="1">_xll.BDH($C$403,"SALES_GROWTH","FQ1 2018","FQ1 2018","Currency=INR","Period=FQ","BEST_FPERIOD_OVERRIDE=FQ","FILING_STATUS=OR","EQY_CONSOLIDATED=Y","FA_ADJUSTED=GAAP","Sort=A","Dates=H","DateFormat=P","Fill=—","Direction=H","UseDPDF=Y")</f>
        <v>#NAME?</v>
      </c>
      <c r="U424" s="2" t="e">
        <f ca="1">_xll.BDH($C$403,"EBITDA_GROWTH","FQ1 2018","FQ1 2018","Currency=INR","Period=FQ","BEST_FPERIOD_OVERRIDE=FQ","FILING_STATUS=OR","EQY_CONSOLIDATED=Y","FA_ADJUSTED=GAAP","Sort=A","Dates=H","DateFormat=P","Fill=—","Direction=H","UseDPDF=Y")</f>
        <v>#NAME?</v>
      </c>
      <c r="V424" s="2" t="e">
        <f ca="1">_xll.BDH($C$403,"OPER_INC_GROWTH","FQ1 2018","FQ1 2018","Currency=INR","Period=FQ","BEST_FPERIOD_OVERRIDE=FQ","FILING_STATUS=OR","EQY_CONSOLIDATED=Y","FA_ADJUSTED=GAAP","Sort=A","Dates=H","DateFormat=P","Fill=—","Direction=H","UseDPDF=Y")</f>
        <v>#NAME?</v>
      </c>
      <c r="W424" s="2" t="e">
        <f ca="1">_xll.BDH($C$403,"EARN_FOR_COM_GROWTH","FQ1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424" s="2" t="e">
        <f ca="1">_xll.BDH($C$403,"DILUTED_EPS_AFT_XO_ITEMS_GROWTH","FQ1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424" s="2" t="e">
        <f ca="1">_xll.BDH($C$403,"DIVIDEND_PER_SHARE_1_YEAR_GROWTH","FQ1 2018","FQ1 2018","Currency=INR","Period=FQ","BEST_FPERIOD_OVERRIDE=FQ","FILING_STATUS=OR","EQY_CONSOLIDATED=Y","Sort=A","Dates=H","DateFormat=P","Fill=—","Direction=H","UseDPDF=Y")</f>
        <v>#NAME?</v>
      </c>
      <c r="Z424" s="2" t="e">
        <f ca="1">_xll.BDH($C$403,"ACCOUNTS_RECEIVABLE_GROWTH","FQ1 2018","FQ1 2018","Currency=INR","Period=FQ","BEST_FPERIOD_OVERRIDE=FQ","FILING_STATUS=OR","EQY_CONSOLIDATED=Y","Sort=A","Dates=H","DateFormat=P","Fill=—","Direction=H","UseDPDF=Y")</f>
        <v>#NAME?</v>
      </c>
      <c r="AA424" s="2" t="e">
        <f ca="1">_xll.BDH($C$403,"INVENTORY_GROWTH","FQ1 2018","FQ1 2018","Currency=INR","Period=FQ","BEST_FPERIOD_OVERRIDE=FQ","FILING_STATUS=OR","EQY_CONSOLIDATED=Y","Sort=A","Dates=H","DateFormat=P","Fill=—","Direction=H","UseDPDF=Y")</f>
        <v>#NAME?</v>
      </c>
      <c r="AB424" s="2" t="e">
        <f ca="1">_xll.BDH($C$403,"NET_FIXED_ASSETS_1_YEAR_GROWTH","FQ1 2018","FQ1 2018","Currency=INR","Period=FQ","BEST_FPERIOD_OVERRIDE=FQ","FILING_STATUS=OR","EQY_CONSOLIDATED=Y","Sort=A","Dates=H","DateFormat=P","Fill=—","Direction=H","UseDPDF=Y")</f>
        <v>#NAME?</v>
      </c>
      <c r="AC424" s="2" t="e">
        <f ca="1">_xll.BDH($C$403,"ASSET_GROWTH","FQ1 2018","FQ1 2018","Currency=INR","Period=FQ","BEST_FPERIOD_OVERRIDE=FQ","FILING_STATUS=OR","EQY_CONSOLIDATED=Y","Sort=A","Dates=H","DateFormat=P","Fill=—","Direction=H","UseDPDF=Y")</f>
        <v>#NAME?</v>
      </c>
      <c r="AD424" s="2" t="e">
        <f ca="1">_xll.BDH($C$403,"MODIFIED_WORK_CAP_GROWTH","FQ1 2018","FQ1 2018","Currency=INR","Period=FQ","BEST_FPERIOD_OVERRIDE=FQ","FILING_STATUS=OR","EQY_CONSOLIDATED=Y","Sort=A","Dates=H","DateFormat=P","Fill=—","Direction=H","UseDPDF=Y")</f>
        <v>#NAME?</v>
      </c>
      <c r="AE424" s="2" t="e">
        <f ca="1">_xll.BDH($C$403,"WORK_CAP_GROWTH","FQ1 2018","FQ1 2018","Currency=INR","Period=FQ","BEST_FPERIOD_OVERRIDE=FQ","FILING_STATUS=OR","EQY_CONSOLIDATED=Y","Sort=A","Dates=H","DateFormat=P","Fill=—","Direction=H","UseDPDF=Y")</f>
        <v>#NAME?</v>
      </c>
      <c r="AF424" s="2" t="e">
        <f ca="1">_xll.BDH($C$403,"ACCOUNTS_PAYABLE_GROWTH_1YR","FQ1 2018","FQ1 2018","Currency=INR","Period=FQ","BEST_FPERIOD_OVERRIDE=FQ","FILING_STATUS=OR","EQY_CONSOLIDATED=Y","Sort=A","Dates=H","DateFormat=P","Fill=—","Direction=H","UseDPDF=Y")</f>
        <v>#NAME?</v>
      </c>
      <c r="AG424" s="2" t="e">
        <f ca="1">_xll.BDH($C$403,"SHORT_TERM_DEBT_1_YEAR_GROWTH","FQ1 2018","FQ1 2018","Currency=INR","Period=FQ","BEST_FPERIOD_OVERRIDE=FQ","FILING_STATUS=OR","EQY_CONSOLIDATED=Y","Sort=A","Dates=H","DateFormat=P","Fill=—","Direction=H","UseDPDF=Y")</f>
        <v>#NAME?</v>
      </c>
      <c r="AH424" s="2" t="e">
        <f ca="1">_xll.BDH($C$403,"TOTAL_DEBT_1_YEAR_GROWTH","FQ1 2018","FQ1 2018","Currency=INR","Period=FQ","BEST_FPERIOD_OVERRIDE=FQ","FILING_STATUS=OR","EQY_CONSOLIDATED=Y","Sort=A","Dates=H","DateFormat=P","Fill=—","Direction=H","UseDPDF=Y")</f>
        <v>#NAME?</v>
      </c>
      <c r="AI424" s="2" t="e">
        <f ca="1">_xll.BDH($C$403,"TOTAL_EQUITY_1_YEAR_GROWTH","FQ1 2018","FQ1 2018","Currency=INR","Period=FQ","BEST_FPERIOD_OVERRIDE=FQ","FILING_STATUS=OR","EQY_CONSOLIDATED=Y","Sort=A","Dates=H","DateFormat=P","Fill=—","Direction=H","UseDPDF=Y")</f>
        <v>#NAME?</v>
      </c>
      <c r="AJ424" s="2" t="e">
        <f ca="1">_xll.BDH($C$403,"GROWTH_IN_CAP","FQ1 2018","FQ1 2018","Currency=INR","Period=FQ","BEST_FPERIOD_OVERRIDE=FQ","FILING_STATUS=OR","EQY_CONSOLIDATED=Y","Sort=A","Dates=H","DateFormat=P","Fill=—","Direction=H","UseDPDF=Y")</f>
        <v>#NAME?</v>
      </c>
      <c r="AK424" s="2" t="e">
        <f ca="1">_xll.BDH($C$403,"BVPS_GROWTH","FQ1 2018","FQ1 2018","Currency=INR","Period=FQ","BEST_FPERIOD_OVERRIDE=FQ","FILING_STATUS=OR","EQY_CONSOLIDATED=Y","Sort=A","Dates=H","DateFormat=P","Fill=—","Direction=H","UseDPDF=Y")</f>
        <v>#NAME?</v>
      </c>
      <c r="AL424" s="2" t="e">
        <f ca="1">_xll.BDH($C$403,"CASH_FLOW_GROWTH","FQ1 2018","FQ1 2018","Currency=INR","Period=FQ","BEST_FPERIOD_OVERRIDE=FQ","FILING_STATUS=OR","EQY_CONSOLIDATED=Y","Sort=A","Dates=H","DateFormat=P","Fill=—","Direction=H","UseDPDF=Y")</f>
        <v>#NAME?</v>
      </c>
      <c r="AM424" s="2" t="e">
        <f ca="1">_xll.BDH($C$403,"GEO_GROW_NET_SALES","FQ1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424" s="2" t="e">
        <f ca="1">_xll.BDH($C$403,"GEO_GROW_EBITDA","FQ1 2018","FQ1 2018","Currency=INR","Period=FQ","BEST_FPERIOD_OVERRIDE=FQ","FILING_STATUS=OR","EQY_CONSOLIDATED=Y","FA_ADJUSTED=GAAP","Sort=A","Dates=H","DateFormat=P","Fill=—","Direction=H","UseDPDF=Y")</f>
        <v>#NAME?</v>
      </c>
      <c r="AO424" s="2" t="e">
        <f ca="1">_xll.BDH($C$403,"GEO_GROW_OPER_INC","FQ1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424" s="2" t="e">
        <f ca="1">_xll.BDH($C$403,"NET_INCOME_TO_COMMON_5_YR_GROWTH","FQ1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424" s="2" t="e">
        <f ca="1">_xll.BDH($C$403,"5Y_GEO_GROWTH_DILUTED_EPS","FQ1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424" s="2" t="e">
        <f ca="1">_xll.BDH($C$403,"GEO_GROW_DVD_PER_SH","FQ1 2018","FQ1 2018","Currency=INR","Period=FQ","BEST_FPERIOD_OVERRIDE=FQ","FILING_STATUS=OR","EQY_CONSOLIDATED=Y","Sort=A","Dates=H","DateFormat=P","Fill=—","Direction=H","UseDPDF=Y")</f>
        <v>#NAME?</v>
      </c>
      <c r="AS424" s="2" t="e">
        <f ca="1">_xll.BDH($C$403,"ACCOUNTS_RECEIVABLE_5_YR_GROWTH","FQ1 2018","FQ1 2018","Currency=INR","Period=FQ","BEST_FPERIOD_OVERRIDE=FQ","FILING_STATUS=OR","EQY_CONSOLIDATED=Y","Sort=A","Dates=H","DateFormat=P","Fill=—","Direction=H","UseDPDF=Y")</f>
        <v>#NAME?</v>
      </c>
      <c r="AT424" s="2" t="e">
        <f ca="1">_xll.BDH($C$403,"INVENTORY_5_YEAR_GROWTH","FQ1 2018","FQ1 2018","Currency=INR","Period=FQ","BEST_FPERIOD_OVERRIDE=FQ","FILING_STATUS=OR","EQY_CONSOLIDATED=Y","Sort=A","Dates=H","DateFormat=P","Fill=—","Direction=H","UseDPDF=Y")</f>
        <v>#NAME?</v>
      </c>
      <c r="AU424" s="2" t="e">
        <f ca="1">_xll.BDH($C$403,"NET_FIXED_ASSETS_5_YEAR_GROWTH","FQ1 2018","FQ1 2018","Currency=INR","Period=FQ","BEST_FPERIOD_OVERRIDE=FQ","FILING_STATUS=OR","EQY_CONSOLIDATED=Y","Sort=A","Dates=H","DateFormat=P","Fill=—","Direction=H","UseDPDF=Y")</f>
        <v>#NAME?</v>
      </c>
      <c r="AV424" s="2" t="e">
        <f ca="1">_xll.BDH($C$403,"GEO_GROW_TOT_ASSET","FQ1 2018","FQ1 2018","Currency=INR","Period=FQ","BEST_FPERIOD_OVERRIDE=FQ","FILING_STATUS=OR","EQY_CONSOLIDATED=Y","Sort=A","Dates=H","DateFormat=P","Fill=—","Direction=H","UseDPDF=Y")</f>
        <v>#NAME?</v>
      </c>
      <c r="AW424" s="2" t="e">
        <f ca="1">_xll.BDH($C$403,"MODIFIED_WORKING_CPTL_5YR_GRWTH","FQ1 2018","FQ1 2018","Currency=INR","Period=FQ","BEST_FPERIOD_OVERRIDE=FQ","FILING_STATUS=OR","EQY_CONSOLIDATED=Y","Sort=A","Dates=H","DateFormat=P","Fill=—","Direction=H","UseDPDF=Y")</f>
        <v>#NAME?</v>
      </c>
      <c r="AX424" s="2" t="e">
        <f ca="1">_xll.BDH($C$403,"WORKING_CAPITAL_5_YEAR_GROWTH","FQ1 2018","FQ1 2018","Currency=INR","Period=FQ","BEST_FPERIOD_OVERRIDE=FQ","FILING_STATUS=OR","EQY_CONSOLIDATED=Y","Sort=A","Dates=H","DateFormat=P","Fill=—","Direction=H","UseDPDF=Y")</f>
        <v>#NAME?</v>
      </c>
      <c r="AY424" s="2" t="e">
        <f ca="1">_xll.BDH($C$403,"ACCOUNTS_PAYABLE_5_YEAR_GROWTH","FQ1 2018","FQ1 2018","Currency=INR","Period=FQ","BEST_FPERIOD_OVERRIDE=FQ","FILING_STATUS=OR","EQY_CONSOLIDATED=Y","Sort=A","Dates=H","DateFormat=P","Fill=—","Direction=H","UseDPDF=Y")</f>
        <v>#NAME?</v>
      </c>
      <c r="AZ424" s="2" t="e">
        <f ca="1">_xll.BDH($C$403,"SHORT_TERM_DEBT_5_YEAR_GROWTH","FQ1 2018","FQ1 2018","Currency=INR","Period=FQ","BEST_FPERIOD_OVERRIDE=FQ","FILING_STATUS=OR","EQY_CONSOLIDATED=Y","Sort=A","Dates=H","DateFormat=P","Fill=—","Direction=H","UseDPDF=Y")</f>
        <v>#NAME?</v>
      </c>
      <c r="BA424" s="2" t="e">
        <f ca="1">_xll.BDH($C$403,"TOTAL_DEBT_5_YEAR_GROWTH","FQ1 2018","FQ1 2018","Currency=INR","Period=FQ","BEST_FPERIOD_OVERRIDE=FQ","FILING_STATUS=OR","EQY_CONSOLIDATED=Y","Sort=A","Dates=H","DateFormat=P","Fill=—","Direction=H","UseDPDF=Y")</f>
        <v>#NAME?</v>
      </c>
      <c r="BB424" s="2" t="e">
        <f ca="1">_xll.BDH($C$403,"GEO_GROW_TOT_SHRHLDR_EQY","FQ1 2018","FQ1 2018","Currency=INR","Period=FQ","BEST_FPERIOD_OVERRIDE=FQ","FILING_STATUS=OR","EQY_CONSOLIDATED=Y","Sort=A","Dates=H","DateFormat=P","Fill=—","Direction=H","UseDPDF=Y")</f>
        <v>#NAME?</v>
      </c>
      <c r="BC424" s="2" t="e">
        <f ca="1">_xll.BDH($C$403,"TOTAL_CAPITAL_5_YEAR_GROWTH","FQ1 2018","FQ1 2018","Currency=INR","Period=FQ","BEST_FPERIOD_OVERRIDE=FQ","FILING_STATUS=OR","EQY_CONSOLIDATED=Y","Sort=A","Dates=H","DateFormat=P","Fill=—","Direction=H","UseDPDF=Y")</f>
        <v>#NAME?</v>
      </c>
      <c r="BD424" s="2" t="e">
        <f ca="1">_xll.BDH($C$403,"GEO_GROW_BOOK_VAL","FQ1 2018","FQ1 2018","Currency=INR","Period=FQ","BEST_FPERIOD_OVERRIDE=FQ","FILING_STATUS=OR","EQY_CONSOLIDATED=Y","Sort=A","Dates=H","DateFormat=P","Fill=—","Direction=H","UseDPDF=Y")</f>
        <v>#NAME?</v>
      </c>
      <c r="BE424" s="2" t="e">
        <f ca="1">_xll.BDH($C$403,"GEO_GROW_CASH_OPER_ACT","FQ1 2018","FQ1 2018","Currency=INR","Period=FQ","BEST_FPERIOD_OVERRIDE=FQ","FILING_STATUS=OR","EQY_CONSOLIDATED=Y","Sort=A","Dates=H","DateFormat=P","Fill=—","Direction=H","UseDPDF=Y")</f>
        <v>#NAME?</v>
      </c>
      <c r="BF424" s="2" t="e">
        <f ca="1">_xll.BDH($C$403,"REVENUE_SEQUENTIAL_GROWTH","FQ1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424" s="2" t="e">
        <f ca="1">_xll.BDH($C$403,"EBITDA_SEQUENTIAL_GROWTH","FQ1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424" s="2" t="e">
        <f ca="1">_xll.BDH($C$403,"OPERATING_INCOME_SEQ_GROWTH","FQ1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424" s="2" t="e">
        <f ca="1">_xll.BDH($C$403,"NET_INCOME_TO_COMMON_SEQ_GROWTH","FQ1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424" s="2" t="e">
        <f ca="1">_xll.BDH($C$403,"EPS_DILUTED_SEQUENTIAL_GROWTH","FQ1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424" s="2" t="e">
        <f ca="1">_xll.BDH($C$403,"DPS_SEQUENTIAL_GROWTH","FQ1 2018","FQ1 2018","Currency=INR","Period=FQ","BEST_FPERIOD_OVERRIDE=FQ","FILING_STATUS=OR","EQY_CONSOLIDATED=Y","Sort=A","Dates=H","DateFormat=P","Fill=—","Direction=H","UseDPDF=Y")</f>
        <v>#NAME?</v>
      </c>
      <c r="BL424" s="2" t="e">
        <f ca="1">_xll.BDH($C$403,"ACCOUNTS_RECEIVABLE_SEQ_GROWTH","FQ1 2018","FQ1 2018","Currency=INR","Period=FQ","BEST_FPERIOD_OVERRIDE=FQ","FILING_STATUS=OR","EQY_CONSOLIDATED=Y","Sort=A","Dates=H","DateFormat=P","Fill=—","Direction=H","UseDPDF=Y")</f>
        <v>#NAME?</v>
      </c>
      <c r="BM424" s="2" t="e">
        <f ca="1">_xll.BDH($C$403,"INVENTORY_SEQUENTIAL_GROWTH","FQ1 2018","FQ1 2018","Currency=INR","Period=FQ","BEST_FPERIOD_OVERRIDE=FQ","FILING_STATUS=OR","EQY_CONSOLIDATED=Y","Sort=A","Dates=H","DateFormat=P","Fill=—","Direction=H","UseDPDF=Y")</f>
        <v>#NAME?</v>
      </c>
      <c r="BN424" s="2" t="e">
        <f ca="1">_xll.BDH($C$403,"FIXED_ASSETS_SEQUENTIAL_GROWTH","FQ1 2018","FQ1 2018","Currency=INR","Period=FQ","BEST_FPERIOD_OVERRIDE=FQ","FILING_STATUS=OR","EQY_CONSOLIDATED=Y","Sort=A","Dates=H","DateFormat=P","Fill=—","Direction=H","UseDPDF=Y")</f>
        <v>#NAME?</v>
      </c>
      <c r="BO424" s="2" t="e">
        <f ca="1">_xll.BDH($C$403,"TOTAL_ASSETS_SEQUENTIAL_GROWTH","FQ1 2018","FQ1 2018","Currency=INR","Period=FQ","BEST_FPERIOD_OVERRIDE=FQ","FILING_STATUS=OR","EQY_CONSOLIDATED=Y","Sort=A","Dates=H","DateFormat=P","Fill=—","Direction=H","UseDPDF=Y")</f>
        <v>#NAME?</v>
      </c>
      <c r="BP424" s="2" t="e">
        <f ca="1">_xll.BDH($C$403,"MODIFIED_WORKING_CPTL_SEQ_GRWTH","FQ1 2018","FQ1 2018","Currency=INR","Period=FQ","BEST_FPERIOD_OVERRIDE=FQ","FILING_STATUS=OR","EQY_CONSOLIDATED=Y","Sort=A","Dates=H","DateFormat=P","Fill=—","Direction=H","UseDPDF=Y")</f>
        <v>#NAME?</v>
      </c>
      <c r="BQ424" s="2" t="e">
        <f ca="1">_xll.BDH($C$403,"WORKING_CAPITAL_SEQ_GROWTH","FQ1 2018","FQ1 2018","Currency=INR","Period=FQ","BEST_FPERIOD_OVERRIDE=FQ","FILING_STATUS=OR","EQY_CONSOLIDATED=Y","Sort=A","Dates=H","DateFormat=P","Fill=—","Direction=H","UseDPDF=Y")</f>
        <v>#NAME?</v>
      </c>
      <c r="BR424" s="2" t="e">
        <f ca="1">_xll.BDH($C$403,"ACCOUNTS_PAYABLE_SEQ_GROWTH","FQ1 2018","FQ1 2018","Currency=INR","Period=FQ","BEST_FPERIOD_OVERRIDE=FQ","FILING_STATUS=OR","EQY_CONSOLIDATED=Y","Sort=A","Dates=H","DateFormat=P","Fill=—","Direction=H","UseDPDF=Y")</f>
        <v>#NAME?</v>
      </c>
      <c r="BS424" s="2" t="e">
        <f ca="1">_xll.BDH($C$403,"ST_DEBT_SEQUENTIAL_GROWTH","FQ1 2018","FQ1 2018","Currency=INR","Period=FQ","BEST_FPERIOD_OVERRIDE=FQ","FILING_STATUS=OR","EQY_CONSOLIDATED=Y","Sort=A","Dates=H","DateFormat=P","Fill=—","Direction=H","UseDPDF=Y")</f>
        <v>#NAME?</v>
      </c>
      <c r="BT424" s="2" t="e">
        <f ca="1">_xll.BDH($C$403,"TOTAL_DEBT_SEQUENTIAL_GROWTH","FQ1 2018","FQ1 2018","Currency=INR","Period=FQ","BEST_FPERIOD_OVERRIDE=FQ","FILING_STATUS=OR","EQY_CONSOLIDATED=Y","Sort=A","Dates=H","DateFormat=P","Fill=—","Direction=H","UseDPDF=Y")</f>
        <v>#NAME?</v>
      </c>
      <c r="BU424" s="2" t="e">
        <f ca="1">_xll.BDH($C$403,"TOTAL_EQUITY_SEQUENTIAL_GROWTH","FQ1 2018","FQ1 2018","Currency=INR","Period=FQ","BEST_FPERIOD_OVERRIDE=FQ","FILING_STATUS=OR","EQY_CONSOLIDATED=Y","Sort=A","Dates=H","DateFormat=P","Fill=—","Direction=H","UseDPDF=Y")</f>
        <v>#NAME?</v>
      </c>
      <c r="BV424" s="2" t="e">
        <f ca="1">_xll.BDH($C$403,"TOTAL_CAPITAL_SEQUENTIAL_GROWTH","FQ1 2018","FQ1 2018","Currency=INR","Period=FQ","BEST_FPERIOD_OVERRIDE=FQ","FILING_STATUS=OR","EQY_CONSOLIDATED=Y","Sort=A","Dates=H","DateFormat=P","Fill=—","Direction=H","UseDPDF=Y")</f>
        <v>#NAME?</v>
      </c>
      <c r="BW424" s="2" t="e">
        <f ca="1">_xll.BDH($C$403,"BPS_SEQUENTIAL_GROWTH","FQ1 2018","FQ1 2018","Currency=INR","Period=FQ","BEST_FPERIOD_OVERRIDE=FQ","FILING_STATUS=OR","EQY_CONSOLIDATED=Y","Sort=A","Dates=H","DateFormat=P","Fill=—","Direction=H","UseDPDF=Y")</f>
        <v>#NAME?</v>
      </c>
      <c r="BX424" s="2" t="e">
        <f ca="1">_xll.BDH($C$403,"CFO_SEQUENTIAL_GROWTH","FQ1 2018","FQ1 2018","Currency=INR","Period=FQ","BEST_FPERIOD_OVERRIDE=FQ","FILING_STATUS=OR","EQY_CONSOLIDATED=Y","Sort=A","Dates=H","DateFormat=P","Fill=—","Direction=H","UseDPDF=Y")</f>
        <v>#NAME?</v>
      </c>
      <c r="BY424" s="3" t="e">
        <f ca="1">_xll.BDH($C$403,"SHORT_AND_LONG_TERM_DEBT","FQ1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424" s="3" t="e">
        <f ca="1">_xll.BDH($C$403,"BS_ST_BORROW","FQ1 2018","FQ1 2018","Currency=INR","Period=FQ","BEST_FPERIOD_OVERRIDE=FQ","FILING_STATUS=OR","EQY_CONSOLIDATED=Y","SCALING_FORMAT=MLN","Sort=A","Dates=H","DateFormat=P","Fill=—","Direction=H","UseDPDF=Y")</f>
        <v>#NAME?</v>
      </c>
      <c r="CA424" s="3" t="e">
        <f ca="1">_xll.BDH($C$403,"BS_LT_BORROW","FQ1 2018","FQ1 2018","Currency=INR","Period=FQ","BEST_FPERIOD_OVERRIDE=FQ","FILING_STATUS=OR","EQY_CONSOLIDATED=Y","SCALING_FORMAT=MLN","Sort=A","Dates=H","DateFormat=P","Fill=—","Direction=H","UseDPDF=Y")</f>
        <v>#NAME?</v>
      </c>
      <c r="CB424" s="2" t="e">
        <f ca="1">_xll.BDH($C$403,"TOT_DEBT_TO_EBITDA","FQ1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424" s="2" t="e">
        <f ca="1">_xll.BDH($C$403,"NET_DEBT_TO_EBITDA","FQ1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424" s="2" t="e">
        <f ca="1">_xll.BDH($C$403,"TOTAL_DEBT_TO_EBIT","FQ1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424" s="2" t="e">
        <f ca="1">_xll.BDH($C$403,"NET_DEBT_TO_EBIT","FQ1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424" s="2" t="e">
        <f ca="1">_xll.BDH($C$403,"EBITDA_TO_INTEREST_EXPN","FQ1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424" s="2" t="e">
        <f ca="1">_xll.BDH($C$403,"COM_EQY_TO_TOT_ASSET","FQ1 2018","FQ1 2018","Currency=INR","Period=FQ","BEST_FPERIOD_OVERRIDE=FQ","FILING_STATUS=OR","EQY_CONSOLIDATED=Y","Sort=A","Dates=H","DateFormat=P","Fill=—","Direction=H","UseDPDF=Y")</f>
        <v>#NAME?</v>
      </c>
      <c r="CH424" s="2" t="e">
        <f ca="1">_xll.BDH($C$403,"LT_DEBT_TO_TOT_EQY","FQ1 2018","FQ1 2018","Currency=INR","Period=FQ","BEST_FPERIOD_OVERRIDE=FQ","FILING_STATUS=OR","EQY_CONSOLIDATED=Y","Sort=A","Dates=H","DateFormat=P","Fill=—","Direction=H","UseDPDF=Y")</f>
        <v>#NAME?</v>
      </c>
      <c r="CI424" s="2" t="e">
        <f ca="1">_xll.BDH($C$403,"LT_DEBT_TO_TOT_CAP","FQ1 2018","FQ1 2018","Currency=INR","Period=FQ","BEST_FPERIOD_OVERRIDE=FQ","FILING_STATUS=OR","EQY_CONSOLIDATED=Y","Sort=A","Dates=H","DateFormat=P","Fill=—","Direction=H","UseDPDF=Y")</f>
        <v>#NAME?</v>
      </c>
      <c r="CJ424" s="2" t="e">
        <f ca="1">_xll.BDH($C$403,"LT_DEBT_TO_TOT_ASSET","FQ1 2018","FQ1 2018","Currency=INR","Period=FQ","BEST_FPERIOD_OVERRIDE=FQ","FILING_STATUS=OR","EQY_CONSOLIDATED=Y","Sort=A","Dates=H","DateFormat=P","Fill=—","Direction=H","UseDPDF=Y")</f>
        <v>#NAME?</v>
      </c>
      <c r="CK424" s="2" t="e">
        <f ca="1">_xll.BDH($C$403,"TOT_DEBT_TO_TOT_EQY","FQ1 2018","FQ1 2018","Currency=INR","Period=FQ","BEST_FPERIOD_OVERRIDE=FQ","FILING_STATUS=OR","EQY_CONSOLIDATED=Y","Sort=A","Dates=H","DateFormat=P","Fill=—","Direction=H","UseDPDF=Y")</f>
        <v>#NAME?</v>
      </c>
      <c r="CL424" s="2" t="e">
        <f ca="1">_xll.BDH($C$403,"TOT_DEBT_TO_TOT_CAP","FQ1 2018","FQ1 2018","Currency=INR","Period=FQ","BEST_FPERIOD_OVERRIDE=FQ","FILING_STATUS=OR","EQY_CONSOLIDATED=Y","Sort=A","Dates=H","DateFormat=P","Fill=—","Direction=H","UseDPDF=Y")</f>
        <v>#NAME?</v>
      </c>
      <c r="CM424" s="2" t="e">
        <f ca="1">_xll.BDH($C$403,"TOT_DEBT_TO_TOT_ASSET","FQ1 2018","FQ1 2018","Currency=INR","Period=FQ","BEST_FPERIOD_OVERRIDE=FQ","FILING_STATUS=OR","EQY_CONSOLIDATED=Y","Sort=A","Dates=H","DateFormat=P","Fill=—","Direction=H","UseDPDF=Y")</f>
        <v>#NAME?</v>
      </c>
      <c r="CN424" s="2" t="e">
        <f ca="1">_xll.BDH($C$403,"NET_DEBT_TO_SHRHLDR_EQTY","FQ1 2018","FQ1 2018","Currency=INR","Period=FQ","BEST_FPERIOD_OVERRIDE=FQ","FILING_STATUS=OR","EQY_CONSOLIDATED=Y","Sort=A","Dates=H","DateFormat=P","Fill=—","Direction=H","UseDPDF=Y")</f>
        <v>#NAME?</v>
      </c>
      <c r="CO424" s="2" t="e">
        <f ca="1">_xll.BDH($C$403,"NET_DEBT_%_CAPITAL","FQ1 2018","FQ1 2018","Currency=INR","Period=FQ","BEST_FPERIOD_OVERRIDE=FQ","FILING_STATUS=OR","EQY_CONSOLIDATED=Y","Sort=A","Dates=H","DateFormat=P","Fill=—","Direction=H","UseDPDF=Y")</f>
        <v>#NAME?</v>
      </c>
      <c r="CP424" s="3" t="e">
        <f ca="1">_xll.BDH($C$403,"EBITDA","FQ1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424" s="3" t="e">
        <f ca="1">_xll.BDH($C$403,"EBITDA_AFTER_CAPEX","FQ1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424" s="3" t="e">
        <f ca="1">_xll.BDH($C$403,"IS_OPER_INC","FQ1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424" s="2" t="e">
        <f ca="1">_xll.BDH($C$403,"CASH_RATIO","FQ1 2018","FQ1 2018","Currency=INR","Period=FQ","BEST_FPERIOD_OVERRIDE=FQ","FILING_STATUS=OR","EQY_CONSOLIDATED=Y","Sort=A","Dates=H","DateFormat=P","Fill=—","Direction=H","UseDPDF=Y")</f>
        <v>#NAME?</v>
      </c>
      <c r="CT424" s="2" t="e">
        <f ca="1">_xll.BDH($C$403,"CUR_RATIO","FQ1 2018","FQ1 2018","Currency=INR","Period=FQ","BEST_FPERIOD_OVERRIDE=FQ","FILING_STATUS=OR","EQY_CONSOLIDATED=Y","Sort=A","Dates=H","DateFormat=P","Fill=—","Direction=H","UseDPDF=Y")</f>
        <v>#NAME?</v>
      </c>
      <c r="CU424" s="2" t="e">
        <f ca="1">_xll.BDH($C$403,"QUICK_RATIO","FQ1 2018","FQ1 2018","Currency=INR","Period=FQ","BEST_FPERIOD_OVERRIDE=FQ","FILING_STATUS=OR","EQY_CONSOLIDATED=Y","Sort=A","Dates=H","DateFormat=P","Fill=—","Direction=H","UseDPDF=Y")</f>
        <v>#NAME?</v>
      </c>
      <c r="CV424" s="2" t="e">
        <f ca="1">_xll.BDH($C$403,"ALTMAN_Z_SCORE","FQ1 2018","FQ1 2018","Currency=INR","Period=FQ","BEST_FPERIOD_OVERRIDE=FQ","FILING_STATUS=OR","EQY_CONSOLIDATED=Y","Sort=A","Dates=H","DateFormat=P","Fill=—","Direction=H","UseDPDF=Y")</f>
        <v>#NAME?</v>
      </c>
      <c r="CW424" s="4" t="e">
        <f ca="1">_xll.BDH($C$403,"ACCT_RCV_TURN","FQ1 2018","FQ1 2018","Currency=INR","Period=FQ","BEST_FPERIOD_OVERRIDE=FQ","FILING_STATUS=OR","EQY_CONSOLIDATED=Y","FA_ADJUSTED=GAAP","Sort=A","Dates=H","DateFormat=P","Fill=—","Direction=H","UseDPDF=Y")</f>
        <v>#NAME?</v>
      </c>
      <c r="CX424" s="2" t="e">
        <f ca="1">_xll.BDH($C$403,"ACCT_RCV_DAYS","FQ1 2018","FQ1 2018","Currency=INR","Period=FQ","BEST_FPERIOD_OVERRIDE=FQ","FILING_STATUS=OR","EQY_CONSOLIDATED=Y","FA_ADJUSTED=GAAP","Sort=A","Dates=H","DateFormat=P","Fill=—","Direction=H","UseDPDF=Y")</f>
        <v>#NAME?</v>
      </c>
      <c r="CY424" s="4" t="e">
        <f ca="1">_xll.BDH($C$403,"INVENT_TURN","FQ1 2018","FQ1 2018","Currency=INR","Period=FQ","BEST_FPERIOD_OVERRIDE=FQ","FILING_STATUS=OR","EQY_CONSOLIDATED=Y","FA_ADJUSTED=GAAP","Sort=A","Dates=H","DateFormat=P","Fill=—","Direction=H","UseDPDF=Y")</f>
        <v>#NAME?</v>
      </c>
      <c r="CZ424" s="2" t="e">
        <f ca="1">_xll.BDH($C$403,"INVENT_DAYS","FQ1 2018","FQ1 2018","Currency=INR","Period=FQ","BEST_FPERIOD_OVERRIDE=FQ","FILING_STATUS=OR","EQY_CONSOLIDATED=Y","FA_ADJUSTED=GAAP","Sort=A","Dates=H","DateFormat=P","Fill=—","Direction=H","UseDPDF=Y")</f>
        <v>#NAME?</v>
      </c>
      <c r="DA424" s="4" t="e">
        <f ca="1">_xll.BDH($C$403,"ACCOUNTS_PAYABLE_TURNOVER","FQ1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424" s="2" t="e">
        <f ca="1">_xll.BDH($C$403,"ACCOUNTS_PAYABLE_TURNOVER_DAYS","FQ1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424" s="4" t="e">
        <f ca="1">_xll.BDH($C$403,"CASH_CONVERSION_CYCLE","FQ1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424" s="4" t="e">
        <f ca="1">_xll.BDH($C$403,"INV_TO_CASH_DAYS","FQ1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424" s="5" t="e">
        <f ca="1">_xll.BDH($C$403,"BS_INVENTORIES","FQ1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424" s="3" t="e">
        <f ca="1">_xll.BDH($C$403,"INVTRY_RAW_MATERIALS","FQ1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424" s="3" t="e">
        <f ca="1">_xll.BDH($C$403,"INVTRY_IN_PROGRESS","FQ1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424" s="3" t="e">
        <f ca="1">_xll.BDH($C$403,"INVTRY_FINISHED_GOODS","FQ1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424" s="3" t="e">
        <f ca="1">_xll.BDH($C$403,"BS_OTHER_INV","FQ1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425" spans="1:113" x14ac:dyDescent="0.3">
      <c r="A425" s="6"/>
      <c r="B425" s="6"/>
      <c r="C425" s="6"/>
      <c r="D425" s="6"/>
      <c r="E425" t="s">
        <v>79</v>
      </c>
      <c r="F425" t="e">
        <f ca="1">_xll.BDH($C$403,"RETURN_COM_EQY","FQ2 2018","FQ2 2018","Currency=INR","Period=FQ","BEST_FPERIOD_OVERRIDE=FQ","FILING_STATUS=OR","EQY_CONSOLIDATED=Y","FA_ADJUSTED=GAAP","Sort=A","Dates=H","DateFormat=P","Fill=—","Direction=H","UseDPDF=Y")</f>
        <v>#NAME?</v>
      </c>
      <c r="G425" t="e">
        <f ca="1">_xll.BDH($C$403,"RETURN_ON_ASSET","FQ2 2018","FQ2 2018","Currency=INR","Period=FQ","BEST_FPERIOD_OVERRIDE=FQ","FILING_STATUS=OR","EQY_CONSOLIDATED=Y","FA_ADJUSTED=GAAP","Sort=A","Dates=H","DateFormat=P","Fill=—","Direction=H","UseDPDF=Y")</f>
        <v>#NAME?</v>
      </c>
      <c r="H425" t="e">
        <f ca="1">_xll.BDH($C$403,"RETURN_ON_CAP","FQ2 2018","FQ2 2018","Currency=INR","Period=FQ","BEST_FPERIOD_OVERRIDE=FQ","FILING_STATUS=OR","EQY_CONSOLIDATED=Y","FA_ADJUSTED=GAAP","Sort=A","Dates=H","DateFormat=P","Fill=—","Direction=H","UseDPDF=Y")</f>
        <v>#NAME?</v>
      </c>
      <c r="I425" t="e">
        <f ca="1">_xll.BDH($C$403,"RETURN_ON_INV_CAPITAL","FQ2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425" t="e">
        <f ca="1">_xll.BDH($C$403,"EBITDA_TO_REVENUE","FQ2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425" t="e">
        <f ca="1">_xll.BDH($C$403,"OPER_MARGIN","FQ2 2018","FQ2 2018","Currency=INR","Period=FQ","BEST_FPERIOD_OVERRIDE=FQ","FILING_STATUS=OR","EQY_CONSOLIDATED=Y","FA_ADJUSTED=GAAP","Sort=A","Dates=H","DateFormat=P","Fill=—","Direction=H","UseDPDF=Y")</f>
        <v>#NAME?</v>
      </c>
      <c r="L425" t="e">
        <f ca="1">_xll.BDH($C$403,"INCREMENTAL_OPERATING_MARGIN","FQ2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425" t="e">
        <f ca="1">_xll.BDH($C$403,"PRETAX_INC_TO_NET_SALES","FQ2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425" t="e">
        <f ca="1">_xll.BDH($C$403,"INC_BEF_XO_ITEMS_TO_NET_SALES","FQ2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425" t="e">
        <f ca="1">_xll.BDH($C$403,"PROF_MARGIN","FQ2 2018","FQ2 2018","Currency=INR","Period=FQ","BEST_FPERIOD_OVERRIDE=FQ","FILING_STATUS=OR","EQY_CONSOLIDATED=Y","FA_ADJUSTED=GAAP","Sort=A","Dates=H","DateFormat=P","Fill=—","Direction=H","UseDPDF=Y")</f>
        <v>#NAME?</v>
      </c>
      <c r="P425" t="e">
        <f ca="1">_xll.BDH($C$403,"NET_INCOME_TO_COMMON_MARGIN","FQ2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425" t="e">
        <f ca="1">_xll.BDH($C$403,"EFF_TAX_RATE","FQ2 2018","FQ2 2018","Currency=INR","Period=FQ","BEST_FPERIOD_OVERRIDE=FQ","FILING_STATUS=OR","EQY_CONSOLIDATED=Y","FA_ADJUSTED=GAAP","Sort=A","Dates=H","DateFormat=P","Fill=—","Direction=H","UseDPDF=Y")</f>
        <v>#NAME?</v>
      </c>
      <c r="R425" t="e">
        <f ca="1">_xll.BDH($C$403,"DVD_PAYOUT_RATIO","FQ2 2018","FQ2 2018","Currency=INR","Period=FQ","BEST_FPERIOD_OVERRIDE=FQ","FILING_STATUS=OR","EQY_CONSOLIDATED=Y","FA_ADJUSTED=GAAP","Sort=A","Dates=H","DateFormat=P","Fill=—","Direction=H","UseDPDF=Y")</f>
        <v>#NAME?</v>
      </c>
      <c r="S425" t="e">
        <f ca="1">_xll.BDH($C$403,"SUSTAIN_GROWTH_RT","FQ2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425" s="2" t="e">
        <f ca="1">_xll.BDH($C$403,"SALES_GROWTH","FQ2 2018","FQ2 2018","Currency=INR","Period=FQ","BEST_FPERIOD_OVERRIDE=FQ","FILING_STATUS=OR","EQY_CONSOLIDATED=Y","FA_ADJUSTED=GAAP","Sort=A","Dates=H","DateFormat=P","Fill=—","Direction=H","UseDPDF=Y")</f>
        <v>#NAME?</v>
      </c>
      <c r="U425" s="2" t="e">
        <f ca="1">_xll.BDH($C$403,"EBITDA_GROWTH","FQ2 2018","FQ2 2018","Currency=INR","Period=FQ","BEST_FPERIOD_OVERRIDE=FQ","FILING_STATUS=OR","EQY_CONSOLIDATED=Y","FA_ADJUSTED=GAAP","Sort=A","Dates=H","DateFormat=P","Fill=—","Direction=H","UseDPDF=Y")</f>
        <v>#NAME?</v>
      </c>
      <c r="V425" s="2" t="e">
        <f ca="1">_xll.BDH($C$403,"OPER_INC_GROWTH","FQ2 2018","FQ2 2018","Currency=INR","Period=FQ","BEST_FPERIOD_OVERRIDE=FQ","FILING_STATUS=OR","EQY_CONSOLIDATED=Y","FA_ADJUSTED=GAAP","Sort=A","Dates=H","DateFormat=P","Fill=—","Direction=H","UseDPDF=Y")</f>
        <v>#NAME?</v>
      </c>
      <c r="W425" s="2" t="e">
        <f ca="1">_xll.BDH($C$403,"EARN_FOR_COM_GROWTH","FQ2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425" s="2" t="e">
        <f ca="1">_xll.BDH($C$403,"DILUTED_EPS_AFT_XO_ITEMS_GROWTH","FQ2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425" s="2" t="e">
        <f ca="1">_xll.BDH($C$403,"DIVIDEND_PER_SHARE_1_YEAR_GROWTH","FQ2 2018","FQ2 2018","Currency=INR","Period=FQ","BEST_FPERIOD_OVERRIDE=FQ","FILING_STATUS=OR","EQY_CONSOLIDATED=Y","Sort=A","Dates=H","DateFormat=P","Fill=—","Direction=H","UseDPDF=Y")</f>
        <v>#NAME?</v>
      </c>
      <c r="Z425" s="2" t="e">
        <f ca="1">_xll.BDH($C$403,"ACCOUNTS_RECEIVABLE_GROWTH","FQ2 2018","FQ2 2018","Currency=INR","Period=FQ","BEST_FPERIOD_OVERRIDE=FQ","FILING_STATUS=OR","EQY_CONSOLIDATED=Y","Sort=A","Dates=H","DateFormat=P","Fill=—","Direction=H","UseDPDF=Y")</f>
        <v>#NAME?</v>
      </c>
      <c r="AA425" s="2" t="e">
        <f ca="1">_xll.BDH($C$403,"INVENTORY_GROWTH","FQ2 2018","FQ2 2018","Currency=INR","Period=FQ","BEST_FPERIOD_OVERRIDE=FQ","FILING_STATUS=OR","EQY_CONSOLIDATED=Y","Sort=A","Dates=H","DateFormat=P","Fill=—","Direction=H","UseDPDF=Y")</f>
        <v>#NAME?</v>
      </c>
      <c r="AB425" s="2" t="e">
        <f ca="1">_xll.BDH($C$403,"NET_FIXED_ASSETS_1_YEAR_GROWTH","FQ2 2018","FQ2 2018","Currency=INR","Period=FQ","BEST_FPERIOD_OVERRIDE=FQ","FILING_STATUS=OR","EQY_CONSOLIDATED=Y","Sort=A","Dates=H","DateFormat=P","Fill=—","Direction=H","UseDPDF=Y")</f>
        <v>#NAME?</v>
      </c>
      <c r="AC425" s="2" t="e">
        <f ca="1">_xll.BDH($C$403,"ASSET_GROWTH","FQ2 2018","FQ2 2018","Currency=INR","Period=FQ","BEST_FPERIOD_OVERRIDE=FQ","FILING_STATUS=OR","EQY_CONSOLIDATED=Y","Sort=A","Dates=H","DateFormat=P","Fill=—","Direction=H","UseDPDF=Y")</f>
        <v>#NAME?</v>
      </c>
      <c r="AD425" s="2" t="e">
        <f ca="1">_xll.BDH($C$403,"MODIFIED_WORK_CAP_GROWTH","FQ2 2018","FQ2 2018","Currency=INR","Period=FQ","BEST_FPERIOD_OVERRIDE=FQ","FILING_STATUS=OR","EQY_CONSOLIDATED=Y","Sort=A","Dates=H","DateFormat=P","Fill=—","Direction=H","UseDPDF=Y")</f>
        <v>#NAME?</v>
      </c>
      <c r="AE425" s="2" t="e">
        <f ca="1">_xll.BDH($C$403,"WORK_CAP_GROWTH","FQ2 2018","FQ2 2018","Currency=INR","Period=FQ","BEST_FPERIOD_OVERRIDE=FQ","FILING_STATUS=OR","EQY_CONSOLIDATED=Y","Sort=A","Dates=H","DateFormat=P","Fill=—","Direction=H","UseDPDF=Y")</f>
        <v>#NAME?</v>
      </c>
      <c r="AF425" s="2" t="e">
        <f ca="1">_xll.BDH($C$403,"ACCOUNTS_PAYABLE_GROWTH_1YR","FQ2 2018","FQ2 2018","Currency=INR","Period=FQ","BEST_FPERIOD_OVERRIDE=FQ","FILING_STATUS=OR","EQY_CONSOLIDATED=Y","Sort=A","Dates=H","DateFormat=P","Fill=—","Direction=H","UseDPDF=Y")</f>
        <v>#NAME?</v>
      </c>
      <c r="AG425" s="2" t="e">
        <f ca="1">_xll.BDH($C$403,"SHORT_TERM_DEBT_1_YEAR_GROWTH","FQ2 2018","FQ2 2018","Currency=INR","Period=FQ","BEST_FPERIOD_OVERRIDE=FQ","FILING_STATUS=OR","EQY_CONSOLIDATED=Y","Sort=A","Dates=H","DateFormat=P","Fill=—","Direction=H","UseDPDF=Y")</f>
        <v>#NAME?</v>
      </c>
      <c r="AH425" s="2" t="e">
        <f ca="1">_xll.BDH($C$403,"TOTAL_DEBT_1_YEAR_GROWTH","FQ2 2018","FQ2 2018","Currency=INR","Period=FQ","BEST_FPERIOD_OVERRIDE=FQ","FILING_STATUS=OR","EQY_CONSOLIDATED=Y","Sort=A","Dates=H","DateFormat=P","Fill=—","Direction=H","UseDPDF=Y")</f>
        <v>#NAME?</v>
      </c>
      <c r="AI425" s="2" t="e">
        <f ca="1">_xll.BDH($C$403,"TOTAL_EQUITY_1_YEAR_GROWTH","FQ2 2018","FQ2 2018","Currency=INR","Period=FQ","BEST_FPERIOD_OVERRIDE=FQ","FILING_STATUS=OR","EQY_CONSOLIDATED=Y","Sort=A","Dates=H","DateFormat=P","Fill=—","Direction=H","UseDPDF=Y")</f>
        <v>#NAME?</v>
      </c>
      <c r="AJ425" s="2" t="e">
        <f ca="1">_xll.BDH($C$403,"GROWTH_IN_CAP","FQ2 2018","FQ2 2018","Currency=INR","Period=FQ","BEST_FPERIOD_OVERRIDE=FQ","FILING_STATUS=OR","EQY_CONSOLIDATED=Y","Sort=A","Dates=H","DateFormat=P","Fill=—","Direction=H","UseDPDF=Y")</f>
        <v>#NAME?</v>
      </c>
      <c r="AK425" s="2" t="e">
        <f ca="1">_xll.BDH($C$403,"BVPS_GROWTH","FQ2 2018","FQ2 2018","Currency=INR","Period=FQ","BEST_FPERIOD_OVERRIDE=FQ","FILING_STATUS=OR","EQY_CONSOLIDATED=Y","Sort=A","Dates=H","DateFormat=P","Fill=—","Direction=H","UseDPDF=Y")</f>
        <v>#NAME?</v>
      </c>
      <c r="AL425" s="2" t="e">
        <f ca="1">_xll.BDH($C$403,"CASH_FLOW_GROWTH","FQ2 2018","FQ2 2018","Currency=INR","Period=FQ","BEST_FPERIOD_OVERRIDE=FQ","FILING_STATUS=OR","EQY_CONSOLIDATED=Y","Sort=A","Dates=H","DateFormat=P","Fill=—","Direction=H","UseDPDF=Y")</f>
        <v>#NAME?</v>
      </c>
      <c r="AM425" s="2" t="e">
        <f ca="1">_xll.BDH($C$403,"GEO_GROW_NET_SALES","FQ2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425" s="2" t="e">
        <f ca="1">_xll.BDH($C$403,"GEO_GROW_EBITDA","FQ2 2018","FQ2 2018","Currency=INR","Period=FQ","BEST_FPERIOD_OVERRIDE=FQ","FILING_STATUS=OR","EQY_CONSOLIDATED=Y","FA_ADJUSTED=GAAP","Sort=A","Dates=H","DateFormat=P","Fill=—","Direction=H","UseDPDF=Y")</f>
        <v>#NAME?</v>
      </c>
      <c r="AO425" s="2" t="e">
        <f ca="1">_xll.BDH($C$403,"GEO_GROW_OPER_INC","FQ2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425" s="2" t="e">
        <f ca="1">_xll.BDH($C$403,"NET_INCOME_TO_COMMON_5_YR_GROWTH","FQ2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425" s="2" t="e">
        <f ca="1">_xll.BDH($C$403,"5Y_GEO_GROWTH_DILUTED_EPS","FQ2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425" s="2" t="e">
        <f ca="1">_xll.BDH($C$403,"GEO_GROW_DVD_PER_SH","FQ2 2018","FQ2 2018","Currency=INR","Period=FQ","BEST_FPERIOD_OVERRIDE=FQ","FILING_STATUS=OR","EQY_CONSOLIDATED=Y","Sort=A","Dates=H","DateFormat=P","Fill=—","Direction=H","UseDPDF=Y")</f>
        <v>#NAME?</v>
      </c>
      <c r="AS425" s="2" t="e">
        <f ca="1">_xll.BDH($C$403,"ACCOUNTS_RECEIVABLE_5_YR_GROWTH","FQ2 2018","FQ2 2018","Currency=INR","Period=FQ","BEST_FPERIOD_OVERRIDE=FQ","FILING_STATUS=OR","EQY_CONSOLIDATED=Y","Sort=A","Dates=H","DateFormat=P","Fill=—","Direction=H","UseDPDF=Y")</f>
        <v>#NAME?</v>
      </c>
      <c r="AT425" s="2" t="e">
        <f ca="1">_xll.BDH($C$403,"INVENTORY_5_YEAR_GROWTH","FQ2 2018","FQ2 2018","Currency=INR","Period=FQ","BEST_FPERIOD_OVERRIDE=FQ","FILING_STATUS=OR","EQY_CONSOLIDATED=Y","Sort=A","Dates=H","DateFormat=P","Fill=—","Direction=H","UseDPDF=Y")</f>
        <v>#NAME?</v>
      </c>
      <c r="AU425" s="2" t="e">
        <f ca="1">_xll.BDH($C$403,"NET_FIXED_ASSETS_5_YEAR_GROWTH","FQ2 2018","FQ2 2018","Currency=INR","Period=FQ","BEST_FPERIOD_OVERRIDE=FQ","FILING_STATUS=OR","EQY_CONSOLIDATED=Y","Sort=A","Dates=H","DateFormat=P","Fill=—","Direction=H","UseDPDF=Y")</f>
        <v>#NAME?</v>
      </c>
      <c r="AV425" s="2" t="e">
        <f ca="1">_xll.BDH($C$403,"GEO_GROW_TOT_ASSET","FQ2 2018","FQ2 2018","Currency=INR","Period=FQ","BEST_FPERIOD_OVERRIDE=FQ","FILING_STATUS=OR","EQY_CONSOLIDATED=Y","Sort=A","Dates=H","DateFormat=P","Fill=—","Direction=H","UseDPDF=Y")</f>
        <v>#NAME?</v>
      </c>
      <c r="AW425" s="2" t="e">
        <f ca="1">_xll.BDH($C$403,"MODIFIED_WORKING_CPTL_5YR_GRWTH","FQ2 2018","FQ2 2018","Currency=INR","Period=FQ","BEST_FPERIOD_OVERRIDE=FQ","FILING_STATUS=OR","EQY_CONSOLIDATED=Y","Sort=A","Dates=H","DateFormat=P","Fill=—","Direction=H","UseDPDF=Y")</f>
        <v>#NAME?</v>
      </c>
      <c r="AX425" s="2" t="e">
        <f ca="1">_xll.BDH($C$403,"WORKING_CAPITAL_5_YEAR_GROWTH","FQ2 2018","FQ2 2018","Currency=INR","Period=FQ","BEST_FPERIOD_OVERRIDE=FQ","FILING_STATUS=OR","EQY_CONSOLIDATED=Y","Sort=A","Dates=H","DateFormat=P","Fill=—","Direction=H","UseDPDF=Y")</f>
        <v>#NAME?</v>
      </c>
      <c r="AY425" s="2" t="e">
        <f ca="1">_xll.BDH($C$403,"ACCOUNTS_PAYABLE_5_YEAR_GROWTH","FQ2 2018","FQ2 2018","Currency=INR","Period=FQ","BEST_FPERIOD_OVERRIDE=FQ","FILING_STATUS=OR","EQY_CONSOLIDATED=Y","Sort=A","Dates=H","DateFormat=P","Fill=—","Direction=H","UseDPDF=Y")</f>
        <v>#NAME?</v>
      </c>
      <c r="AZ425" s="2" t="e">
        <f ca="1">_xll.BDH($C$403,"SHORT_TERM_DEBT_5_YEAR_GROWTH","FQ2 2018","FQ2 2018","Currency=INR","Period=FQ","BEST_FPERIOD_OVERRIDE=FQ","FILING_STATUS=OR","EQY_CONSOLIDATED=Y","Sort=A","Dates=H","DateFormat=P","Fill=—","Direction=H","UseDPDF=Y")</f>
        <v>#NAME?</v>
      </c>
      <c r="BA425" s="2" t="e">
        <f ca="1">_xll.BDH($C$403,"TOTAL_DEBT_5_YEAR_GROWTH","FQ2 2018","FQ2 2018","Currency=INR","Period=FQ","BEST_FPERIOD_OVERRIDE=FQ","FILING_STATUS=OR","EQY_CONSOLIDATED=Y","Sort=A","Dates=H","DateFormat=P","Fill=—","Direction=H","UseDPDF=Y")</f>
        <v>#NAME?</v>
      </c>
      <c r="BB425" s="2" t="e">
        <f ca="1">_xll.BDH($C$403,"GEO_GROW_TOT_SHRHLDR_EQY","FQ2 2018","FQ2 2018","Currency=INR","Period=FQ","BEST_FPERIOD_OVERRIDE=FQ","FILING_STATUS=OR","EQY_CONSOLIDATED=Y","Sort=A","Dates=H","DateFormat=P","Fill=—","Direction=H","UseDPDF=Y")</f>
        <v>#NAME?</v>
      </c>
      <c r="BC425" s="2" t="e">
        <f ca="1">_xll.BDH($C$403,"TOTAL_CAPITAL_5_YEAR_GROWTH","FQ2 2018","FQ2 2018","Currency=INR","Period=FQ","BEST_FPERIOD_OVERRIDE=FQ","FILING_STATUS=OR","EQY_CONSOLIDATED=Y","Sort=A","Dates=H","DateFormat=P","Fill=—","Direction=H","UseDPDF=Y")</f>
        <v>#NAME?</v>
      </c>
      <c r="BD425" s="2" t="e">
        <f ca="1">_xll.BDH($C$403,"GEO_GROW_BOOK_VAL","FQ2 2018","FQ2 2018","Currency=INR","Period=FQ","BEST_FPERIOD_OVERRIDE=FQ","FILING_STATUS=OR","EQY_CONSOLIDATED=Y","Sort=A","Dates=H","DateFormat=P","Fill=—","Direction=H","UseDPDF=Y")</f>
        <v>#NAME?</v>
      </c>
      <c r="BE425" s="2" t="e">
        <f ca="1">_xll.BDH($C$403,"GEO_GROW_CASH_OPER_ACT","FQ2 2018","FQ2 2018","Currency=INR","Period=FQ","BEST_FPERIOD_OVERRIDE=FQ","FILING_STATUS=OR","EQY_CONSOLIDATED=Y","Sort=A","Dates=H","DateFormat=P","Fill=—","Direction=H","UseDPDF=Y")</f>
        <v>#NAME?</v>
      </c>
      <c r="BF425" s="2" t="e">
        <f ca="1">_xll.BDH($C$403,"REVENUE_SEQUENTIAL_GROWTH","FQ2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425" s="2" t="e">
        <f ca="1">_xll.BDH($C$403,"EBITDA_SEQUENTIAL_GROWTH","FQ2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425" s="2" t="e">
        <f ca="1">_xll.BDH($C$403,"OPERATING_INCOME_SEQ_GROWTH","FQ2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425" s="2" t="e">
        <f ca="1">_xll.BDH($C$403,"NET_INCOME_TO_COMMON_SEQ_GROWTH","FQ2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425" s="2" t="e">
        <f ca="1">_xll.BDH($C$403,"EPS_DILUTED_SEQUENTIAL_GROWTH","FQ2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425" s="2" t="e">
        <f ca="1">_xll.BDH($C$403,"DPS_SEQUENTIAL_GROWTH","FQ2 2018","FQ2 2018","Currency=INR","Period=FQ","BEST_FPERIOD_OVERRIDE=FQ","FILING_STATUS=OR","EQY_CONSOLIDATED=Y","Sort=A","Dates=H","DateFormat=P","Fill=—","Direction=H","UseDPDF=Y")</f>
        <v>#NAME?</v>
      </c>
      <c r="BL425" s="2" t="e">
        <f ca="1">_xll.BDH($C$403,"ACCOUNTS_RECEIVABLE_SEQ_GROWTH","FQ2 2018","FQ2 2018","Currency=INR","Period=FQ","BEST_FPERIOD_OVERRIDE=FQ","FILING_STATUS=OR","EQY_CONSOLIDATED=Y","Sort=A","Dates=H","DateFormat=P","Fill=—","Direction=H","UseDPDF=Y")</f>
        <v>#NAME?</v>
      </c>
      <c r="BM425" s="2" t="e">
        <f ca="1">_xll.BDH($C$403,"INVENTORY_SEQUENTIAL_GROWTH","FQ2 2018","FQ2 2018","Currency=INR","Period=FQ","BEST_FPERIOD_OVERRIDE=FQ","FILING_STATUS=OR","EQY_CONSOLIDATED=Y","Sort=A","Dates=H","DateFormat=P","Fill=—","Direction=H","UseDPDF=Y")</f>
        <v>#NAME?</v>
      </c>
      <c r="BN425" s="2" t="e">
        <f ca="1">_xll.BDH($C$403,"FIXED_ASSETS_SEQUENTIAL_GROWTH","FQ2 2018","FQ2 2018","Currency=INR","Period=FQ","BEST_FPERIOD_OVERRIDE=FQ","FILING_STATUS=OR","EQY_CONSOLIDATED=Y","Sort=A","Dates=H","DateFormat=P","Fill=—","Direction=H","UseDPDF=Y")</f>
        <v>#NAME?</v>
      </c>
      <c r="BO425" s="2" t="e">
        <f ca="1">_xll.BDH($C$403,"TOTAL_ASSETS_SEQUENTIAL_GROWTH","FQ2 2018","FQ2 2018","Currency=INR","Period=FQ","BEST_FPERIOD_OVERRIDE=FQ","FILING_STATUS=OR","EQY_CONSOLIDATED=Y","Sort=A","Dates=H","DateFormat=P","Fill=—","Direction=H","UseDPDF=Y")</f>
        <v>#NAME?</v>
      </c>
      <c r="BP425" s="2" t="e">
        <f ca="1">_xll.BDH($C$403,"MODIFIED_WORKING_CPTL_SEQ_GRWTH","FQ2 2018","FQ2 2018","Currency=INR","Period=FQ","BEST_FPERIOD_OVERRIDE=FQ","FILING_STATUS=OR","EQY_CONSOLIDATED=Y","Sort=A","Dates=H","DateFormat=P","Fill=—","Direction=H","UseDPDF=Y")</f>
        <v>#NAME?</v>
      </c>
      <c r="BQ425" s="2" t="e">
        <f ca="1">_xll.BDH($C$403,"WORKING_CAPITAL_SEQ_GROWTH","FQ2 2018","FQ2 2018","Currency=INR","Period=FQ","BEST_FPERIOD_OVERRIDE=FQ","FILING_STATUS=OR","EQY_CONSOLIDATED=Y","Sort=A","Dates=H","DateFormat=P","Fill=—","Direction=H","UseDPDF=Y")</f>
        <v>#NAME?</v>
      </c>
      <c r="BR425" s="2" t="e">
        <f ca="1">_xll.BDH($C$403,"ACCOUNTS_PAYABLE_SEQ_GROWTH","FQ2 2018","FQ2 2018","Currency=INR","Period=FQ","BEST_FPERIOD_OVERRIDE=FQ","FILING_STATUS=OR","EQY_CONSOLIDATED=Y","Sort=A","Dates=H","DateFormat=P","Fill=—","Direction=H","UseDPDF=Y")</f>
        <v>#NAME?</v>
      </c>
      <c r="BS425" s="2" t="e">
        <f ca="1">_xll.BDH($C$403,"ST_DEBT_SEQUENTIAL_GROWTH","FQ2 2018","FQ2 2018","Currency=INR","Period=FQ","BEST_FPERIOD_OVERRIDE=FQ","FILING_STATUS=OR","EQY_CONSOLIDATED=Y","Sort=A","Dates=H","DateFormat=P","Fill=—","Direction=H","UseDPDF=Y")</f>
        <v>#NAME?</v>
      </c>
      <c r="BT425" s="2" t="e">
        <f ca="1">_xll.BDH($C$403,"TOTAL_DEBT_SEQUENTIAL_GROWTH","FQ2 2018","FQ2 2018","Currency=INR","Period=FQ","BEST_FPERIOD_OVERRIDE=FQ","FILING_STATUS=OR","EQY_CONSOLIDATED=Y","Sort=A","Dates=H","DateFormat=P","Fill=—","Direction=H","UseDPDF=Y")</f>
        <v>#NAME?</v>
      </c>
      <c r="BU425" s="2" t="e">
        <f ca="1">_xll.BDH($C$403,"TOTAL_EQUITY_SEQUENTIAL_GROWTH","FQ2 2018","FQ2 2018","Currency=INR","Period=FQ","BEST_FPERIOD_OVERRIDE=FQ","FILING_STATUS=OR","EQY_CONSOLIDATED=Y","Sort=A","Dates=H","DateFormat=P","Fill=—","Direction=H","UseDPDF=Y")</f>
        <v>#NAME?</v>
      </c>
      <c r="BV425" s="2" t="e">
        <f ca="1">_xll.BDH($C$403,"TOTAL_CAPITAL_SEQUENTIAL_GROWTH","FQ2 2018","FQ2 2018","Currency=INR","Period=FQ","BEST_FPERIOD_OVERRIDE=FQ","FILING_STATUS=OR","EQY_CONSOLIDATED=Y","Sort=A","Dates=H","DateFormat=P","Fill=—","Direction=H","UseDPDF=Y")</f>
        <v>#NAME?</v>
      </c>
      <c r="BW425" s="2" t="e">
        <f ca="1">_xll.BDH($C$403,"BPS_SEQUENTIAL_GROWTH","FQ2 2018","FQ2 2018","Currency=INR","Period=FQ","BEST_FPERIOD_OVERRIDE=FQ","FILING_STATUS=OR","EQY_CONSOLIDATED=Y","Sort=A","Dates=H","DateFormat=P","Fill=—","Direction=H","UseDPDF=Y")</f>
        <v>#NAME?</v>
      </c>
      <c r="BX425" s="2" t="e">
        <f ca="1">_xll.BDH($C$403,"CFO_SEQUENTIAL_GROWTH","FQ2 2018","FQ2 2018","Currency=INR","Period=FQ","BEST_FPERIOD_OVERRIDE=FQ","FILING_STATUS=OR","EQY_CONSOLIDATED=Y","Sort=A","Dates=H","DateFormat=P","Fill=—","Direction=H","UseDPDF=Y")</f>
        <v>#NAME?</v>
      </c>
      <c r="BY425" s="3" t="e">
        <f ca="1">_xll.BDH($C$403,"SHORT_AND_LONG_TERM_DEBT","FQ2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425" s="3" t="e">
        <f ca="1">_xll.BDH($C$403,"BS_ST_BORROW","FQ2 2018","FQ2 2018","Currency=INR","Period=FQ","BEST_FPERIOD_OVERRIDE=FQ","FILING_STATUS=OR","EQY_CONSOLIDATED=Y","SCALING_FORMAT=MLN","Sort=A","Dates=H","DateFormat=P","Fill=—","Direction=H","UseDPDF=Y")</f>
        <v>#NAME?</v>
      </c>
      <c r="CA425" s="3" t="e">
        <f ca="1">_xll.BDH($C$403,"BS_LT_BORROW","FQ2 2018","FQ2 2018","Currency=INR","Period=FQ","BEST_FPERIOD_OVERRIDE=FQ","FILING_STATUS=OR","EQY_CONSOLIDATED=Y","SCALING_FORMAT=MLN","Sort=A","Dates=H","DateFormat=P","Fill=—","Direction=H","UseDPDF=Y")</f>
        <v>#NAME?</v>
      </c>
      <c r="CB425" s="2" t="e">
        <f ca="1">_xll.BDH($C$403,"TOT_DEBT_TO_EBITDA","FQ2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425" s="2" t="e">
        <f ca="1">_xll.BDH($C$403,"NET_DEBT_TO_EBITDA","FQ2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425" s="2" t="e">
        <f ca="1">_xll.BDH($C$403,"TOTAL_DEBT_TO_EBIT","FQ2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425" s="2" t="e">
        <f ca="1">_xll.BDH($C$403,"NET_DEBT_TO_EBIT","FQ2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425" s="2" t="e">
        <f ca="1">_xll.BDH($C$403,"EBITDA_TO_INTEREST_EXPN","FQ2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425" s="2" t="e">
        <f ca="1">_xll.BDH($C$403,"COM_EQY_TO_TOT_ASSET","FQ2 2018","FQ2 2018","Currency=INR","Period=FQ","BEST_FPERIOD_OVERRIDE=FQ","FILING_STATUS=OR","EQY_CONSOLIDATED=Y","Sort=A","Dates=H","DateFormat=P","Fill=—","Direction=H","UseDPDF=Y")</f>
        <v>#NAME?</v>
      </c>
      <c r="CH425" s="2" t="e">
        <f ca="1">_xll.BDH($C$403,"LT_DEBT_TO_TOT_EQY","FQ2 2018","FQ2 2018","Currency=INR","Period=FQ","BEST_FPERIOD_OVERRIDE=FQ","FILING_STATUS=OR","EQY_CONSOLIDATED=Y","Sort=A","Dates=H","DateFormat=P","Fill=—","Direction=H","UseDPDF=Y")</f>
        <v>#NAME?</v>
      </c>
      <c r="CI425" s="2" t="e">
        <f ca="1">_xll.BDH($C$403,"LT_DEBT_TO_TOT_CAP","FQ2 2018","FQ2 2018","Currency=INR","Period=FQ","BEST_FPERIOD_OVERRIDE=FQ","FILING_STATUS=OR","EQY_CONSOLIDATED=Y","Sort=A","Dates=H","DateFormat=P","Fill=—","Direction=H","UseDPDF=Y")</f>
        <v>#NAME?</v>
      </c>
      <c r="CJ425" s="2" t="e">
        <f ca="1">_xll.BDH($C$403,"LT_DEBT_TO_TOT_ASSET","FQ2 2018","FQ2 2018","Currency=INR","Period=FQ","BEST_FPERIOD_OVERRIDE=FQ","FILING_STATUS=OR","EQY_CONSOLIDATED=Y","Sort=A","Dates=H","DateFormat=P","Fill=—","Direction=H","UseDPDF=Y")</f>
        <v>#NAME?</v>
      </c>
      <c r="CK425" s="2" t="e">
        <f ca="1">_xll.BDH($C$403,"TOT_DEBT_TO_TOT_EQY","FQ2 2018","FQ2 2018","Currency=INR","Period=FQ","BEST_FPERIOD_OVERRIDE=FQ","FILING_STATUS=OR","EQY_CONSOLIDATED=Y","Sort=A","Dates=H","DateFormat=P","Fill=—","Direction=H","UseDPDF=Y")</f>
        <v>#NAME?</v>
      </c>
      <c r="CL425" s="2" t="e">
        <f ca="1">_xll.BDH($C$403,"TOT_DEBT_TO_TOT_CAP","FQ2 2018","FQ2 2018","Currency=INR","Period=FQ","BEST_FPERIOD_OVERRIDE=FQ","FILING_STATUS=OR","EQY_CONSOLIDATED=Y","Sort=A","Dates=H","DateFormat=P","Fill=—","Direction=H","UseDPDF=Y")</f>
        <v>#NAME?</v>
      </c>
      <c r="CM425" s="2" t="e">
        <f ca="1">_xll.BDH($C$403,"TOT_DEBT_TO_TOT_ASSET","FQ2 2018","FQ2 2018","Currency=INR","Period=FQ","BEST_FPERIOD_OVERRIDE=FQ","FILING_STATUS=OR","EQY_CONSOLIDATED=Y","Sort=A","Dates=H","DateFormat=P","Fill=—","Direction=H","UseDPDF=Y")</f>
        <v>#NAME?</v>
      </c>
      <c r="CN425" s="2" t="e">
        <f ca="1">_xll.BDH($C$403,"NET_DEBT_TO_SHRHLDR_EQTY","FQ2 2018","FQ2 2018","Currency=INR","Period=FQ","BEST_FPERIOD_OVERRIDE=FQ","FILING_STATUS=OR","EQY_CONSOLIDATED=Y","Sort=A","Dates=H","DateFormat=P","Fill=—","Direction=H","UseDPDF=Y")</f>
        <v>#NAME?</v>
      </c>
      <c r="CO425" s="2" t="e">
        <f ca="1">_xll.BDH($C$403,"NET_DEBT_%_CAPITAL","FQ2 2018","FQ2 2018","Currency=INR","Period=FQ","BEST_FPERIOD_OVERRIDE=FQ","FILING_STATUS=OR","EQY_CONSOLIDATED=Y","Sort=A","Dates=H","DateFormat=P","Fill=—","Direction=H","UseDPDF=Y")</f>
        <v>#NAME?</v>
      </c>
      <c r="CP425" s="3" t="e">
        <f ca="1">_xll.BDH($C$403,"EBITDA","FQ2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425" s="3" t="e">
        <f ca="1">_xll.BDH($C$403,"EBITDA_AFTER_CAPEX","FQ2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425" s="3" t="e">
        <f ca="1">_xll.BDH($C$403,"IS_OPER_INC","FQ2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425" s="2" t="e">
        <f ca="1">_xll.BDH($C$403,"CASH_RATIO","FQ2 2018","FQ2 2018","Currency=INR","Period=FQ","BEST_FPERIOD_OVERRIDE=FQ","FILING_STATUS=OR","EQY_CONSOLIDATED=Y","Sort=A","Dates=H","DateFormat=P","Fill=—","Direction=H","UseDPDF=Y")</f>
        <v>#NAME?</v>
      </c>
      <c r="CT425" s="2" t="e">
        <f ca="1">_xll.BDH($C$403,"CUR_RATIO","FQ2 2018","FQ2 2018","Currency=INR","Period=FQ","BEST_FPERIOD_OVERRIDE=FQ","FILING_STATUS=OR","EQY_CONSOLIDATED=Y","Sort=A","Dates=H","DateFormat=P","Fill=—","Direction=H","UseDPDF=Y")</f>
        <v>#NAME?</v>
      </c>
      <c r="CU425" s="2" t="e">
        <f ca="1">_xll.BDH($C$403,"QUICK_RATIO","FQ2 2018","FQ2 2018","Currency=INR","Period=FQ","BEST_FPERIOD_OVERRIDE=FQ","FILING_STATUS=OR","EQY_CONSOLIDATED=Y","Sort=A","Dates=H","DateFormat=P","Fill=—","Direction=H","UseDPDF=Y")</f>
        <v>#NAME?</v>
      </c>
      <c r="CV425" s="2" t="e">
        <f ca="1">_xll.BDH($C$403,"ALTMAN_Z_SCORE","FQ2 2018","FQ2 2018","Currency=INR","Period=FQ","BEST_FPERIOD_OVERRIDE=FQ","FILING_STATUS=OR","EQY_CONSOLIDATED=Y","Sort=A","Dates=H","DateFormat=P","Fill=—","Direction=H","UseDPDF=Y")</f>
        <v>#NAME?</v>
      </c>
      <c r="CW425" s="4" t="e">
        <f ca="1">_xll.BDH($C$403,"ACCT_RCV_TURN","FQ2 2018","FQ2 2018","Currency=INR","Period=FQ","BEST_FPERIOD_OVERRIDE=FQ","FILING_STATUS=OR","EQY_CONSOLIDATED=Y","FA_ADJUSTED=GAAP","Sort=A","Dates=H","DateFormat=P","Fill=—","Direction=H","UseDPDF=Y")</f>
        <v>#NAME?</v>
      </c>
      <c r="CX425" s="2" t="e">
        <f ca="1">_xll.BDH($C$403,"ACCT_RCV_DAYS","FQ2 2018","FQ2 2018","Currency=INR","Period=FQ","BEST_FPERIOD_OVERRIDE=FQ","FILING_STATUS=OR","EQY_CONSOLIDATED=Y","FA_ADJUSTED=GAAP","Sort=A","Dates=H","DateFormat=P","Fill=—","Direction=H","UseDPDF=Y")</f>
        <v>#NAME?</v>
      </c>
      <c r="CY425" s="4" t="e">
        <f ca="1">_xll.BDH($C$403,"INVENT_TURN","FQ2 2018","FQ2 2018","Currency=INR","Period=FQ","BEST_FPERIOD_OVERRIDE=FQ","FILING_STATUS=OR","EQY_CONSOLIDATED=Y","FA_ADJUSTED=GAAP","Sort=A","Dates=H","DateFormat=P","Fill=—","Direction=H","UseDPDF=Y")</f>
        <v>#NAME?</v>
      </c>
      <c r="CZ425" s="2" t="e">
        <f ca="1">_xll.BDH($C$403,"INVENT_DAYS","FQ2 2018","FQ2 2018","Currency=INR","Period=FQ","BEST_FPERIOD_OVERRIDE=FQ","FILING_STATUS=OR","EQY_CONSOLIDATED=Y","FA_ADJUSTED=GAAP","Sort=A","Dates=H","DateFormat=P","Fill=—","Direction=H","UseDPDF=Y")</f>
        <v>#NAME?</v>
      </c>
      <c r="DA425" s="4" t="e">
        <f ca="1">_xll.BDH($C$403,"ACCOUNTS_PAYABLE_TURNOVER","FQ2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425" s="2" t="e">
        <f ca="1">_xll.BDH($C$403,"ACCOUNTS_PAYABLE_TURNOVER_DAYS","FQ2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425" s="4" t="e">
        <f ca="1">_xll.BDH($C$403,"CASH_CONVERSION_CYCLE","FQ2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425" s="4" t="e">
        <f ca="1">_xll.BDH($C$403,"INV_TO_CASH_DAYS","FQ2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425" s="5" t="e">
        <f ca="1">_xll.BDH($C$403,"BS_INVENTORIES","FQ2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425" s="3" t="e">
        <f ca="1">_xll.BDH($C$403,"INVTRY_RAW_MATERIALS","FQ2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425" s="3" t="e">
        <f ca="1">_xll.BDH($C$403,"INVTRY_IN_PROGRESS","FQ2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425" s="3" t="e">
        <f ca="1">_xll.BDH($C$403,"INVTRY_FINISHED_GOODS","FQ2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425" s="3" t="e">
        <f ca="1">_xll.BDH($C$403,"BS_OTHER_INV","FQ2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426" spans="1:113" x14ac:dyDescent="0.3">
      <c r="A426" s="6"/>
      <c r="B426" s="6"/>
      <c r="C426" s="6"/>
      <c r="D426" s="6"/>
      <c r="E426" t="s">
        <v>80</v>
      </c>
      <c r="F426" t="e">
        <f ca="1">_xll.BDH($C$403,"RETURN_COM_EQY","FQ3 2018","FQ3 2018","Currency=INR","Period=FQ","BEST_FPERIOD_OVERRIDE=FQ","FILING_STATUS=OR","EQY_CONSOLIDATED=Y","FA_ADJUSTED=GAAP","Sort=A","Dates=H","DateFormat=P","Fill=—","Direction=H","UseDPDF=Y")</f>
        <v>#NAME?</v>
      </c>
      <c r="G426" t="e">
        <f ca="1">_xll.BDH($C$403,"RETURN_ON_ASSET","FQ3 2018","FQ3 2018","Currency=INR","Period=FQ","BEST_FPERIOD_OVERRIDE=FQ","FILING_STATUS=OR","EQY_CONSOLIDATED=Y","FA_ADJUSTED=GAAP","Sort=A","Dates=H","DateFormat=P","Fill=—","Direction=H","UseDPDF=Y")</f>
        <v>#NAME?</v>
      </c>
      <c r="H426" t="e">
        <f ca="1">_xll.BDH($C$403,"RETURN_ON_CAP","FQ3 2018","FQ3 2018","Currency=INR","Period=FQ","BEST_FPERIOD_OVERRIDE=FQ","FILING_STATUS=OR","EQY_CONSOLIDATED=Y","FA_ADJUSTED=GAAP","Sort=A","Dates=H","DateFormat=P","Fill=—","Direction=H","UseDPDF=Y")</f>
        <v>#NAME?</v>
      </c>
      <c r="I426" t="e">
        <f ca="1">_xll.BDH($C$403,"RETURN_ON_INV_CAPITAL","FQ3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426" t="e">
        <f ca="1">_xll.BDH($C$403,"EBITDA_TO_REVENUE","FQ3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426" t="e">
        <f ca="1">_xll.BDH($C$403,"OPER_MARGIN","FQ3 2018","FQ3 2018","Currency=INR","Period=FQ","BEST_FPERIOD_OVERRIDE=FQ","FILING_STATUS=OR","EQY_CONSOLIDATED=Y","FA_ADJUSTED=GAAP","Sort=A","Dates=H","DateFormat=P","Fill=—","Direction=H","UseDPDF=Y")</f>
        <v>#NAME?</v>
      </c>
      <c r="L426" t="e">
        <f ca="1">_xll.BDH($C$403,"INCREMENTAL_OPERATING_MARGIN","FQ3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426" t="e">
        <f ca="1">_xll.BDH($C$403,"PRETAX_INC_TO_NET_SALES","FQ3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426" t="e">
        <f ca="1">_xll.BDH($C$403,"INC_BEF_XO_ITEMS_TO_NET_SALES","FQ3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426" t="e">
        <f ca="1">_xll.BDH($C$403,"PROF_MARGIN","FQ3 2018","FQ3 2018","Currency=INR","Period=FQ","BEST_FPERIOD_OVERRIDE=FQ","FILING_STATUS=OR","EQY_CONSOLIDATED=Y","FA_ADJUSTED=GAAP","Sort=A","Dates=H","DateFormat=P","Fill=—","Direction=H","UseDPDF=Y")</f>
        <v>#NAME?</v>
      </c>
      <c r="P426" t="e">
        <f ca="1">_xll.BDH($C$403,"NET_INCOME_TO_COMMON_MARGIN","FQ3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426" t="e">
        <f ca="1">_xll.BDH($C$403,"EFF_TAX_RATE","FQ3 2018","FQ3 2018","Currency=INR","Period=FQ","BEST_FPERIOD_OVERRIDE=FQ","FILING_STATUS=OR","EQY_CONSOLIDATED=Y","FA_ADJUSTED=GAAP","Sort=A","Dates=H","DateFormat=P","Fill=—","Direction=H","UseDPDF=Y")</f>
        <v>#NAME?</v>
      </c>
      <c r="R426" t="e">
        <f ca="1">_xll.BDH($C$403,"DVD_PAYOUT_RATIO","FQ3 2018","FQ3 2018","Currency=INR","Period=FQ","BEST_FPERIOD_OVERRIDE=FQ","FILING_STATUS=OR","EQY_CONSOLIDATED=Y","FA_ADJUSTED=GAAP","Sort=A","Dates=H","DateFormat=P","Fill=—","Direction=H","UseDPDF=Y")</f>
        <v>#NAME?</v>
      </c>
      <c r="S426" t="e">
        <f ca="1">_xll.BDH($C$403,"SUSTAIN_GROWTH_RT","FQ3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426" s="2" t="e">
        <f ca="1">_xll.BDH($C$403,"SALES_GROWTH","FQ3 2018","FQ3 2018","Currency=INR","Period=FQ","BEST_FPERIOD_OVERRIDE=FQ","FILING_STATUS=OR","EQY_CONSOLIDATED=Y","FA_ADJUSTED=GAAP","Sort=A","Dates=H","DateFormat=P","Fill=—","Direction=H","UseDPDF=Y")</f>
        <v>#NAME?</v>
      </c>
      <c r="U426" s="2" t="e">
        <f ca="1">_xll.BDH($C$403,"EBITDA_GROWTH","FQ3 2018","FQ3 2018","Currency=INR","Period=FQ","BEST_FPERIOD_OVERRIDE=FQ","FILING_STATUS=OR","EQY_CONSOLIDATED=Y","FA_ADJUSTED=GAAP","Sort=A","Dates=H","DateFormat=P","Fill=—","Direction=H","UseDPDF=Y")</f>
        <v>#NAME?</v>
      </c>
      <c r="V426" s="2" t="e">
        <f ca="1">_xll.BDH($C$403,"OPER_INC_GROWTH","FQ3 2018","FQ3 2018","Currency=INR","Period=FQ","BEST_FPERIOD_OVERRIDE=FQ","FILING_STATUS=OR","EQY_CONSOLIDATED=Y","FA_ADJUSTED=GAAP","Sort=A","Dates=H","DateFormat=P","Fill=—","Direction=H","UseDPDF=Y")</f>
        <v>#NAME?</v>
      </c>
      <c r="W426" s="2" t="e">
        <f ca="1">_xll.BDH($C$403,"EARN_FOR_COM_GROWTH","FQ3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426" s="2" t="e">
        <f ca="1">_xll.BDH($C$403,"DILUTED_EPS_AFT_XO_ITEMS_GROWTH","FQ3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426" s="2" t="e">
        <f ca="1">_xll.BDH($C$403,"DIVIDEND_PER_SHARE_1_YEAR_GROWTH","FQ3 2018","FQ3 2018","Currency=INR","Period=FQ","BEST_FPERIOD_OVERRIDE=FQ","FILING_STATUS=OR","EQY_CONSOLIDATED=Y","Sort=A","Dates=H","DateFormat=P","Fill=—","Direction=H","UseDPDF=Y")</f>
        <v>#NAME?</v>
      </c>
      <c r="Z426" s="2" t="e">
        <f ca="1">_xll.BDH($C$403,"ACCOUNTS_RECEIVABLE_GROWTH","FQ3 2018","FQ3 2018","Currency=INR","Period=FQ","BEST_FPERIOD_OVERRIDE=FQ","FILING_STATUS=OR","EQY_CONSOLIDATED=Y","Sort=A","Dates=H","DateFormat=P","Fill=—","Direction=H","UseDPDF=Y")</f>
        <v>#NAME?</v>
      </c>
      <c r="AA426" s="2" t="e">
        <f ca="1">_xll.BDH($C$403,"INVENTORY_GROWTH","FQ3 2018","FQ3 2018","Currency=INR","Period=FQ","BEST_FPERIOD_OVERRIDE=FQ","FILING_STATUS=OR","EQY_CONSOLIDATED=Y","Sort=A","Dates=H","DateFormat=P","Fill=—","Direction=H","UseDPDF=Y")</f>
        <v>#NAME?</v>
      </c>
      <c r="AB426" s="2" t="e">
        <f ca="1">_xll.BDH($C$403,"NET_FIXED_ASSETS_1_YEAR_GROWTH","FQ3 2018","FQ3 2018","Currency=INR","Period=FQ","BEST_FPERIOD_OVERRIDE=FQ","FILING_STATUS=OR","EQY_CONSOLIDATED=Y","Sort=A","Dates=H","DateFormat=P","Fill=—","Direction=H","UseDPDF=Y")</f>
        <v>#NAME?</v>
      </c>
      <c r="AC426" s="2" t="e">
        <f ca="1">_xll.BDH($C$403,"ASSET_GROWTH","FQ3 2018","FQ3 2018","Currency=INR","Period=FQ","BEST_FPERIOD_OVERRIDE=FQ","FILING_STATUS=OR","EQY_CONSOLIDATED=Y","Sort=A","Dates=H","DateFormat=P","Fill=—","Direction=H","UseDPDF=Y")</f>
        <v>#NAME?</v>
      </c>
      <c r="AD426" s="2" t="e">
        <f ca="1">_xll.BDH($C$403,"MODIFIED_WORK_CAP_GROWTH","FQ3 2018","FQ3 2018","Currency=INR","Period=FQ","BEST_FPERIOD_OVERRIDE=FQ","FILING_STATUS=OR","EQY_CONSOLIDATED=Y","Sort=A","Dates=H","DateFormat=P","Fill=—","Direction=H","UseDPDF=Y")</f>
        <v>#NAME?</v>
      </c>
      <c r="AE426" s="2" t="e">
        <f ca="1">_xll.BDH($C$403,"WORK_CAP_GROWTH","FQ3 2018","FQ3 2018","Currency=INR","Period=FQ","BEST_FPERIOD_OVERRIDE=FQ","FILING_STATUS=OR","EQY_CONSOLIDATED=Y","Sort=A","Dates=H","DateFormat=P","Fill=—","Direction=H","UseDPDF=Y")</f>
        <v>#NAME?</v>
      </c>
      <c r="AF426" s="2" t="e">
        <f ca="1">_xll.BDH($C$403,"ACCOUNTS_PAYABLE_GROWTH_1YR","FQ3 2018","FQ3 2018","Currency=INR","Period=FQ","BEST_FPERIOD_OVERRIDE=FQ","FILING_STATUS=OR","EQY_CONSOLIDATED=Y","Sort=A","Dates=H","DateFormat=P","Fill=—","Direction=H","UseDPDF=Y")</f>
        <v>#NAME?</v>
      </c>
      <c r="AG426" s="2" t="e">
        <f ca="1">_xll.BDH($C$403,"SHORT_TERM_DEBT_1_YEAR_GROWTH","FQ3 2018","FQ3 2018","Currency=INR","Period=FQ","BEST_FPERIOD_OVERRIDE=FQ","FILING_STATUS=OR","EQY_CONSOLIDATED=Y","Sort=A","Dates=H","DateFormat=P","Fill=—","Direction=H","UseDPDF=Y")</f>
        <v>#NAME?</v>
      </c>
      <c r="AH426" s="2" t="e">
        <f ca="1">_xll.BDH($C$403,"TOTAL_DEBT_1_YEAR_GROWTH","FQ3 2018","FQ3 2018","Currency=INR","Period=FQ","BEST_FPERIOD_OVERRIDE=FQ","FILING_STATUS=OR","EQY_CONSOLIDATED=Y","Sort=A","Dates=H","DateFormat=P","Fill=—","Direction=H","UseDPDF=Y")</f>
        <v>#NAME?</v>
      </c>
      <c r="AI426" s="2" t="e">
        <f ca="1">_xll.BDH($C$403,"TOTAL_EQUITY_1_YEAR_GROWTH","FQ3 2018","FQ3 2018","Currency=INR","Period=FQ","BEST_FPERIOD_OVERRIDE=FQ","FILING_STATUS=OR","EQY_CONSOLIDATED=Y","Sort=A","Dates=H","DateFormat=P","Fill=—","Direction=H","UseDPDF=Y")</f>
        <v>#NAME?</v>
      </c>
      <c r="AJ426" s="2" t="e">
        <f ca="1">_xll.BDH($C$403,"GROWTH_IN_CAP","FQ3 2018","FQ3 2018","Currency=INR","Period=FQ","BEST_FPERIOD_OVERRIDE=FQ","FILING_STATUS=OR","EQY_CONSOLIDATED=Y","Sort=A","Dates=H","DateFormat=P","Fill=—","Direction=H","UseDPDF=Y")</f>
        <v>#NAME?</v>
      </c>
      <c r="AK426" s="2" t="e">
        <f ca="1">_xll.BDH($C$403,"BVPS_GROWTH","FQ3 2018","FQ3 2018","Currency=INR","Period=FQ","BEST_FPERIOD_OVERRIDE=FQ","FILING_STATUS=OR","EQY_CONSOLIDATED=Y","Sort=A","Dates=H","DateFormat=P","Fill=—","Direction=H","UseDPDF=Y")</f>
        <v>#NAME?</v>
      </c>
      <c r="AL426" s="2" t="e">
        <f ca="1">_xll.BDH($C$403,"CASH_FLOW_GROWTH","FQ3 2018","FQ3 2018","Currency=INR","Period=FQ","BEST_FPERIOD_OVERRIDE=FQ","FILING_STATUS=OR","EQY_CONSOLIDATED=Y","Sort=A","Dates=H","DateFormat=P","Fill=—","Direction=H","UseDPDF=Y")</f>
        <v>#NAME?</v>
      </c>
      <c r="AM426" s="2" t="e">
        <f ca="1">_xll.BDH($C$403,"GEO_GROW_NET_SALES","FQ3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426" s="2" t="e">
        <f ca="1">_xll.BDH($C$403,"GEO_GROW_EBITDA","FQ3 2018","FQ3 2018","Currency=INR","Period=FQ","BEST_FPERIOD_OVERRIDE=FQ","FILING_STATUS=OR","EQY_CONSOLIDATED=Y","FA_ADJUSTED=GAAP","Sort=A","Dates=H","DateFormat=P","Fill=—","Direction=H","UseDPDF=Y")</f>
        <v>#NAME?</v>
      </c>
      <c r="AO426" s="2" t="e">
        <f ca="1">_xll.BDH($C$403,"GEO_GROW_OPER_INC","FQ3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426" s="2" t="e">
        <f ca="1">_xll.BDH($C$403,"NET_INCOME_TO_COMMON_5_YR_GROWTH","FQ3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426" s="2" t="e">
        <f ca="1">_xll.BDH($C$403,"5Y_GEO_GROWTH_DILUTED_EPS","FQ3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426" s="2" t="e">
        <f ca="1">_xll.BDH($C$403,"GEO_GROW_DVD_PER_SH","FQ3 2018","FQ3 2018","Currency=INR","Period=FQ","BEST_FPERIOD_OVERRIDE=FQ","FILING_STATUS=OR","EQY_CONSOLIDATED=Y","Sort=A","Dates=H","DateFormat=P","Fill=—","Direction=H","UseDPDF=Y")</f>
        <v>#NAME?</v>
      </c>
      <c r="AS426" s="2" t="e">
        <f ca="1">_xll.BDH($C$403,"ACCOUNTS_RECEIVABLE_5_YR_GROWTH","FQ3 2018","FQ3 2018","Currency=INR","Period=FQ","BEST_FPERIOD_OVERRIDE=FQ","FILING_STATUS=OR","EQY_CONSOLIDATED=Y","Sort=A","Dates=H","DateFormat=P","Fill=—","Direction=H","UseDPDF=Y")</f>
        <v>#NAME?</v>
      </c>
      <c r="AT426" s="2" t="e">
        <f ca="1">_xll.BDH($C$403,"INVENTORY_5_YEAR_GROWTH","FQ3 2018","FQ3 2018","Currency=INR","Period=FQ","BEST_FPERIOD_OVERRIDE=FQ","FILING_STATUS=OR","EQY_CONSOLIDATED=Y","Sort=A","Dates=H","DateFormat=P","Fill=—","Direction=H","UseDPDF=Y")</f>
        <v>#NAME?</v>
      </c>
      <c r="AU426" s="2" t="e">
        <f ca="1">_xll.BDH($C$403,"NET_FIXED_ASSETS_5_YEAR_GROWTH","FQ3 2018","FQ3 2018","Currency=INR","Period=FQ","BEST_FPERIOD_OVERRIDE=FQ","FILING_STATUS=OR","EQY_CONSOLIDATED=Y","Sort=A","Dates=H","DateFormat=P","Fill=—","Direction=H","UseDPDF=Y")</f>
        <v>#NAME?</v>
      </c>
      <c r="AV426" s="2" t="e">
        <f ca="1">_xll.BDH($C$403,"GEO_GROW_TOT_ASSET","FQ3 2018","FQ3 2018","Currency=INR","Period=FQ","BEST_FPERIOD_OVERRIDE=FQ","FILING_STATUS=OR","EQY_CONSOLIDATED=Y","Sort=A","Dates=H","DateFormat=P","Fill=—","Direction=H","UseDPDF=Y")</f>
        <v>#NAME?</v>
      </c>
      <c r="AW426" s="2" t="e">
        <f ca="1">_xll.BDH($C$403,"MODIFIED_WORKING_CPTL_5YR_GRWTH","FQ3 2018","FQ3 2018","Currency=INR","Period=FQ","BEST_FPERIOD_OVERRIDE=FQ","FILING_STATUS=OR","EQY_CONSOLIDATED=Y","Sort=A","Dates=H","DateFormat=P","Fill=—","Direction=H","UseDPDF=Y")</f>
        <v>#NAME?</v>
      </c>
      <c r="AX426" s="2" t="e">
        <f ca="1">_xll.BDH($C$403,"WORKING_CAPITAL_5_YEAR_GROWTH","FQ3 2018","FQ3 2018","Currency=INR","Period=FQ","BEST_FPERIOD_OVERRIDE=FQ","FILING_STATUS=OR","EQY_CONSOLIDATED=Y","Sort=A","Dates=H","DateFormat=P","Fill=—","Direction=H","UseDPDF=Y")</f>
        <v>#NAME?</v>
      </c>
      <c r="AY426" s="2" t="e">
        <f ca="1">_xll.BDH($C$403,"ACCOUNTS_PAYABLE_5_YEAR_GROWTH","FQ3 2018","FQ3 2018","Currency=INR","Period=FQ","BEST_FPERIOD_OVERRIDE=FQ","FILING_STATUS=OR","EQY_CONSOLIDATED=Y","Sort=A","Dates=H","DateFormat=P","Fill=—","Direction=H","UseDPDF=Y")</f>
        <v>#NAME?</v>
      </c>
      <c r="AZ426" s="2" t="e">
        <f ca="1">_xll.BDH($C$403,"SHORT_TERM_DEBT_5_YEAR_GROWTH","FQ3 2018","FQ3 2018","Currency=INR","Period=FQ","BEST_FPERIOD_OVERRIDE=FQ","FILING_STATUS=OR","EQY_CONSOLIDATED=Y","Sort=A","Dates=H","DateFormat=P","Fill=—","Direction=H","UseDPDF=Y")</f>
        <v>#NAME?</v>
      </c>
      <c r="BA426" s="2" t="e">
        <f ca="1">_xll.BDH($C$403,"TOTAL_DEBT_5_YEAR_GROWTH","FQ3 2018","FQ3 2018","Currency=INR","Period=FQ","BEST_FPERIOD_OVERRIDE=FQ","FILING_STATUS=OR","EQY_CONSOLIDATED=Y","Sort=A","Dates=H","DateFormat=P","Fill=—","Direction=H","UseDPDF=Y")</f>
        <v>#NAME?</v>
      </c>
      <c r="BB426" s="2" t="e">
        <f ca="1">_xll.BDH($C$403,"GEO_GROW_TOT_SHRHLDR_EQY","FQ3 2018","FQ3 2018","Currency=INR","Period=FQ","BEST_FPERIOD_OVERRIDE=FQ","FILING_STATUS=OR","EQY_CONSOLIDATED=Y","Sort=A","Dates=H","DateFormat=P","Fill=—","Direction=H","UseDPDF=Y")</f>
        <v>#NAME?</v>
      </c>
      <c r="BC426" s="2" t="e">
        <f ca="1">_xll.BDH($C$403,"TOTAL_CAPITAL_5_YEAR_GROWTH","FQ3 2018","FQ3 2018","Currency=INR","Period=FQ","BEST_FPERIOD_OVERRIDE=FQ","FILING_STATUS=OR","EQY_CONSOLIDATED=Y","Sort=A","Dates=H","DateFormat=P","Fill=—","Direction=H","UseDPDF=Y")</f>
        <v>#NAME?</v>
      </c>
      <c r="BD426" s="2" t="e">
        <f ca="1">_xll.BDH($C$403,"GEO_GROW_BOOK_VAL","FQ3 2018","FQ3 2018","Currency=INR","Period=FQ","BEST_FPERIOD_OVERRIDE=FQ","FILING_STATUS=OR","EQY_CONSOLIDATED=Y","Sort=A","Dates=H","DateFormat=P","Fill=—","Direction=H","UseDPDF=Y")</f>
        <v>#NAME?</v>
      </c>
      <c r="BE426" s="2" t="e">
        <f ca="1">_xll.BDH($C$403,"GEO_GROW_CASH_OPER_ACT","FQ3 2018","FQ3 2018","Currency=INR","Period=FQ","BEST_FPERIOD_OVERRIDE=FQ","FILING_STATUS=OR","EQY_CONSOLIDATED=Y","Sort=A","Dates=H","DateFormat=P","Fill=—","Direction=H","UseDPDF=Y")</f>
        <v>#NAME?</v>
      </c>
      <c r="BF426" s="2" t="e">
        <f ca="1">_xll.BDH($C$403,"REVENUE_SEQUENTIAL_GROWTH","FQ3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426" s="2" t="e">
        <f ca="1">_xll.BDH($C$403,"EBITDA_SEQUENTIAL_GROWTH","FQ3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426" s="2" t="e">
        <f ca="1">_xll.BDH($C$403,"OPERATING_INCOME_SEQ_GROWTH","FQ3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426" s="2" t="e">
        <f ca="1">_xll.BDH($C$403,"NET_INCOME_TO_COMMON_SEQ_GROWTH","FQ3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426" s="2" t="e">
        <f ca="1">_xll.BDH($C$403,"EPS_DILUTED_SEQUENTIAL_GROWTH","FQ3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426" s="2" t="e">
        <f ca="1">_xll.BDH($C$403,"DPS_SEQUENTIAL_GROWTH","FQ3 2018","FQ3 2018","Currency=INR","Period=FQ","BEST_FPERIOD_OVERRIDE=FQ","FILING_STATUS=OR","EQY_CONSOLIDATED=Y","Sort=A","Dates=H","DateFormat=P","Fill=—","Direction=H","UseDPDF=Y")</f>
        <v>#NAME?</v>
      </c>
      <c r="BL426" s="2" t="e">
        <f ca="1">_xll.BDH($C$403,"ACCOUNTS_RECEIVABLE_SEQ_GROWTH","FQ3 2018","FQ3 2018","Currency=INR","Period=FQ","BEST_FPERIOD_OVERRIDE=FQ","FILING_STATUS=OR","EQY_CONSOLIDATED=Y","Sort=A","Dates=H","DateFormat=P","Fill=—","Direction=H","UseDPDF=Y")</f>
        <v>#NAME?</v>
      </c>
      <c r="BM426" s="2" t="e">
        <f ca="1">_xll.BDH($C$403,"INVENTORY_SEQUENTIAL_GROWTH","FQ3 2018","FQ3 2018","Currency=INR","Period=FQ","BEST_FPERIOD_OVERRIDE=FQ","FILING_STATUS=OR","EQY_CONSOLIDATED=Y","Sort=A","Dates=H","DateFormat=P","Fill=—","Direction=H","UseDPDF=Y")</f>
        <v>#NAME?</v>
      </c>
      <c r="BN426" s="2" t="e">
        <f ca="1">_xll.BDH($C$403,"FIXED_ASSETS_SEQUENTIAL_GROWTH","FQ3 2018","FQ3 2018","Currency=INR","Period=FQ","BEST_FPERIOD_OVERRIDE=FQ","FILING_STATUS=OR","EQY_CONSOLIDATED=Y","Sort=A","Dates=H","DateFormat=P","Fill=—","Direction=H","UseDPDF=Y")</f>
        <v>#NAME?</v>
      </c>
      <c r="BO426" s="2" t="e">
        <f ca="1">_xll.BDH($C$403,"TOTAL_ASSETS_SEQUENTIAL_GROWTH","FQ3 2018","FQ3 2018","Currency=INR","Period=FQ","BEST_FPERIOD_OVERRIDE=FQ","FILING_STATUS=OR","EQY_CONSOLIDATED=Y","Sort=A","Dates=H","DateFormat=P","Fill=—","Direction=H","UseDPDF=Y")</f>
        <v>#NAME?</v>
      </c>
      <c r="BP426" s="2" t="e">
        <f ca="1">_xll.BDH($C$403,"MODIFIED_WORKING_CPTL_SEQ_GRWTH","FQ3 2018","FQ3 2018","Currency=INR","Period=FQ","BEST_FPERIOD_OVERRIDE=FQ","FILING_STATUS=OR","EQY_CONSOLIDATED=Y","Sort=A","Dates=H","DateFormat=P","Fill=—","Direction=H","UseDPDF=Y")</f>
        <v>#NAME?</v>
      </c>
      <c r="BQ426" s="2" t="e">
        <f ca="1">_xll.BDH($C$403,"WORKING_CAPITAL_SEQ_GROWTH","FQ3 2018","FQ3 2018","Currency=INR","Period=FQ","BEST_FPERIOD_OVERRIDE=FQ","FILING_STATUS=OR","EQY_CONSOLIDATED=Y","Sort=A","Dates=H","DateFormat=P","Fill=—","Direction=H","UseDPDF=Y")</f>
        <v>#NAME?</v>
      </c>
      <c r="BR426" s="2" t="e">
        <f ca="1">_xll.BDH($C$403,"ACCOUNTS_PAYABLE_SEQ_GROWTH","FQ3 2018","FQ3 2018","Currency=INR","Period=FQ","BEST_FPERIOD_OVERRIDE=FQ","FILING_STATUS=OR","EQY_CONSOLIDATED=Y","Sort=A","Dates=H","DateFormat=P","Fill=—","Direction=H","UseDPDF=Y")</f>
        <v>#NAME?</v>
      </c>
      <c r="BS426" s="2" t="e">
        <f ca="1">_xll.BDH($C$403,"ST_DEBT_SEQUENTIAL_GROWTH","FQ3 2018","FQ3 2018","Currency=INR","Period=FQ","BEST_FPERIOD_OVERRIDE=FQ","FILING_STATUS=OR","EQY_CONSOLIDATED=Y","Sort=A","Dates=H","DateFormat=P","Fill=—","Direction=H","UseDPDF=Y")</f>
        <v>#NAME?</v>
      </c>
      <c r="BT426" s="2" t="e">
        <f ca="1">_xll.BDH($C$403,"TOTAL_DEBT_SEQUENTIAL_GROWTH","FQ3 2018","FQ3 2018","Currency=INR","Period=FQ","BEST_FPERIOD_OVERRIDE=FQ","FILING_STATUS=OR","EQY_CONSOLIDATED=Y","Sort=A","Dates=H","DateFormat=P","Fill=—","Direction=H","UseDPDF=Y")</f>
        <v>#NAME?</v>
      </c>
      <c r="BU426" s="2" t="e">
        <f ca="1">_xll.BDH($C$403,"TOTAL_EQUITY_SEQUENTIAL_GROWTH","FQ3 2018","FQ3 2018","Currency=INR","Period=FQ","BEST_FPERIOD_OVERRIDE=FQ","FILING_STATUS=OR","EQY_CONSOLIDATED=Y","Sort=A","Dates=H","DateFormat=P","Fill=—","Direction=H","UseDPDF=Y")</f>
        <v>#NAME?</v>
      </c>
      <c r="BV426" s="2" t="e">
        <f ca="1">_xll.BDH($C$403,"TOTAL_CAPITAL_SEQUENTIAL_GROWTH","FQ3 2018","FQ3 2018","Currency=INR","Period=FQ","BEST_FPERIOD_OVERRIDE=FQ","FILING_STATUS=OR","EQY_CONSOLIDATED=Y","Sort=A","Dates=H","DateFormat=P","Fill=—","Direction=H","UseDPDF=Y")</f>
        <v>#NAME?</v>
      </c>
      <c r="BW426" s="2" t="e">
        <f ca="1">_xll.BDH($C$403,"BPS_SEQUENTIAL_GROWTH","FQ3 2018","FQ3 2018","Currency=INR","Period=FQ","BEST_FPERIOD_OVERRIDE=FQ","FILING_STATUS=OR","EQY_CONSOLIDATED=Y","Sort=A","Dates=H","DateFormat=P","Fill=—","Direction=H","UseDPDF=Y")</f>
        <v>#NAME?</v>
      </c>
      <c r="BX426" s="2" t="e">
        <f ca="1">_xll.BDH($C$403,"CFO_SEQUENTIAL_GROWTH","FQ3 2018","FQ3 2018","Currency=INR","Period=FQ","BEST_FPERIOD_OVERRIDE=FQ","FILING_STATUS=OR","EQY_CONSOLIDATED=Y","Sort=A","Dates=H","DateFormat=P","Fill=—","Direction=H","UseDPDF=Y")</f>
        <v>#NAME?</v>
      </c>
      <c r="BY426" s="3" t="e">
        <f ca="1">_xll.BDH($C$403,"SHORT_AND_LONG_TERM_DEBT","FQ3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426" s="3" t="e">
        <f ca="1">_xll.BDH($C$403,"BS_ST_BORROW","FQ3 2018","FQ3 2018","Currency=INR","Period=FQ","BEST_FPERIOD_OVERRIDE=FQ","FILING_STATUS=OR","EQY_CONSOLIDATED=Y","SCALING_FORMAT=MLN","Sort=A","Dates=H","DateFormat=P","Fill=—","Direction=H","UseDPDF=Y")</f>
        <v>#NAME?</v>
      </c>
      <c r="CA426" s="3" t="e">
        <f ca="1">_xll.BDH($C$403,"BS_LT_BORROW","FQ3 2018","FQ3 2018","Currency=INR","Period=FQ","BEST_FPERIOD_OVERRIDE=FQ","FILING_STATUS=OR","EQY_CONSOLIDATED=Y","SCALING_FORMAT=MLN","Sort=A","Dates=H","DateFormat=P","Fill=—","Direction=H","UseDPDF=Y")</f>
        <v>#NAME?</v>
      </c>
      <c r="CB426" s="2" t="e">
        <f ca="1">_xll.BDH($C$403,"TOT_DEBT_TO_EBITDA","FQ3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426" s="2" t="e">
        <f ca="1">_xll.BDH($C$403,"NET_DEBT_TO_EBITDA","FQ3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426" s="2" t="e">
        <f ca="1">_xll.BDH($C$403,"TOTAL_DEBT_TO_EBIT","FQ3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426" s="2" t="e">
        <f ca="1">_xll.BDH($C$403,"NET_DEBT_TO_EBIT","FQ3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426" s="2" t="e">
        <f ca="1">_xll.BDH($C$403,"EBITDA_TO_INTEREST_EXPN","FQ3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426" s="2" t="e">
        <f ca="1">_xll.BDH($C$403,"COM_EQY_TO_TOT_ASSET","FQ3 2018","FQ3 2018","Currency=INR","Period=FQ","BEST_FPERIOD_OVERRIDE=FQ","FILING_STATUS=OR","EQY_CONSOLIDATED=Y","Sort=A","Dates=H","DateFormat=P","Fill=—","Direction=H","UseDPDF=Y")</f>
        <v>#NAME?</v>
      </c>
      <c r="CH426" s="2" t="e">
        <f ca="1">_xll.BDH($C$403,"LT_DEBT_TO_TOT_EQY","FQ3 2018","FQ3 2018","Currency=INR","Period=FQ","BEST_FPERIOD_OVERRIDE=FQ","FILING_STATUS=OR","EQY_CONSOLIDATED=Y","Sort=A","Dates=H","DateFormat=P","Fill=—","Direction=H","UseDPDF=Y")</f>
        <v>#NAME?</v>
      </c>
      <c r="CI426" s="2" t="e">
        <f ca="1">_xll.BDH($C$403,"LT_DEBT_TO_TOT_CAP","FQ3 2018","FQ3 2018","Currency=INR","Period=FQ","BEST_FPERIOD_OVERRIDE=FQ","FILING_STATUS=OR","EQY_CONSOLIDATED=Y","Sort=A","Dates=H","DateFormat=P","Fill=—","Direction=H","UseDPDF=Y")</f>
        <v>#NAME?</v>
      </c>
      <c r="CJ426" s="2" t="e">
        <f ca="1">_xll.BDH($C$403,"LT_DEBT_TO_TOT_ASSET","FQ3 2018","FQ3 2018","Currency=INR","Period=FQ","BEST_FPERIOD_OVERRIDE=FQ","FILING_STATUS=OR","EQY_CONSOLIDATED=Y","Sort=A","Dates=H","DateFormat=P","Fill=—","Direction=H","UseDPDF=Y")</f>
        <v>#NAME?</v>
      </c>
      <c r="CK426" s="2" t="e">
        <f ca="1">_xll.BDH($C$403,"TOT_DEBT_TO_TOT_EQY","FQ3 2018","FQ3 2018","Currency=INR","Period=FQ","BEST_FPERIOD_OVERRIDE=FQ","FILING_STATUS=OR","EQY_CONSOLIDATED=Y","Sort=A","Dates=H","DateFormat=P","Fill=—","Direction=H","UseDPDF=Y")</f>
        <v>#NAME?</v>
      </c>
      <c r="CL426" s="2" t="e">
        <f ca="1">_xll.BDH($C$403,"TOT_DEBT_TO_TOT_CAP","FQ3 2018","FQ3 2018","Currency=INR","Period=FQ","BEST_FPERIOD_OVERRIDE=FQ","FILING_STATUS=OR","EQY_CONSOLIDATED=Y","Sort=A","Dates=H","DateFormat=P","Fill=—","Direction=H","UseDPDF=Y")</f>
        <v>#NAME?</v>
      </c>
      <c r="CM426" s="2" t="e">
        <f ca="1">_xll.BDH($C$403,"TOT_DEBT_TO_TOT_ASSET","FQ3 2018","FQ3 2018","Currency=INR","Period=FQ","BEST_FPERIOD_OVERRIDE=FQ","FILING_STATUS=OR","EQY_CONSOLIDATED=Y","Sort=A","Dates=H","DateFormat=P","Fill=—","Direction=H","UseDPDF=Y")</f>
        <v>#NAME?</v>
      </c>
      <c r="CN426" s="2" t="e">
        <f ca="1">_xll.BDH($C$403,"NET_DEBT_TO_SHRHLDR_EQTY","FQ3 2018","FQ3 2018","Currency=INR","Period=FQ","BEST_FPERIOD_OVERRIDE=FQ","FILING_STATUS=OR","EQY_CONSOLIDATED=Y","Sort=A","Dates=H","DateFormat=P","Fill=—","Direction=H","UseDPDF=Y")</f>
        <v>#NAME?</v>
      </c>
      <c r="CO426" s="2" t="e">
        <f ca="1">_xll.BDH($C$403,"NET_DEBT_%_CAPITAL","FQ3 2018","FQ3 2018","Currency=INR","Period=FQ","BEST_FPERIOD_OVERRIDE=FQ","FILING_STATUS=OR","EQY_CONSOLIDATED=Y","Sort=A","Dates=H","DateFormat=P","Fill=—","Direction=H","UseDPDF=Y")</f>
        <v>#NAME?</v>
      </c>
      <c r="CP426" s="3" t="e">
        <f ca="1">_xll.BDH($C$403,"EBITDA","FQ3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426" s="3" t="e">
        <f ca="1">_xll.BDH($C$403,"EBITDA_AFTER_CAPEX","FQ3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426" s="3" t="e">
        <f ca="1">_xll.BDH($C$403,"IS_OPER_INC","FQ3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426" s="2" t="e">
        <f ca="1">_xll.BDH($C$403,"CASH_RATIO","FQ3 2018","FQ3 2018","Currency=INR","Period=FQ","BEST_FPERIOD_OVERRIDE=FQ","FILING_STATUS=OR","EQY_CONSOLIDATED=Y","Sort=A","Dates=H","DateFormat=P","Fill=—","Direction=H","UseDPDF=Y")</f>
        <v>#NAME?</v>
      </c>
      <c r="CT426" s="2" t="e">
        <f ca="1">_xll.BDH($C$403,"CUR_RATIO","FQ3 2018","FQ3 2018","Currency=INR","Period=FQ","BEST_FPERIOD_OVERRIDE=FQ","FILING_STATUS=OR","EQY_CONSOLIDATED=Y","Sort=A","Dates=H","DateFormat=P","Fill=—","Direction=H","UseDPDF=Y")</f>
        <v>#NAME?</v>
      </c>
      <c r="CU426" s="2" t="e">
        <f ca="1">_xll.BDH($C$403,"QUICK_RATIO","FQ3 2018","FQ3 2018","Currency=INR","Period=FQ","BEST_FPERIOD_OVERRIDE=FQ","FILING_STATUS=OR","EQY_CONSOLIDATED=Y","Sort=A","Dates=H","DateFormat=P","Fill=—","Direction=H","UseDPDF=Y")</f>
        <v>#NAME?</v>
      </c>
      <c r="CV426" s="2" t="e">
        <f ca="1">_xll.BDH($C$403,"ALTMAN_Z_SCORE","FQ3 2018","FQ3 2018","Currency=INR","Period=FQ","BEST_FPERIOD_OVERRIDE=FQ","FILING_STATUS=OR","EQY_CONSOLIDATED=Y","Sort=A","Dates=H","DateFormat=P","Fill=—","Direction=H","UseDPDF=Y")</f>
        <v>#NAME?</v>
      </c>
      <c r="CW426" s="4" t="e">
        <f ca="1">_xll.BDH($C$403,"ACCT_RCV_TURN","FQ3 2018","FQ3 2018","Currency=INR","Period=FQ","BEST_FPERIOD_OVERRIDE=FQ","FILING_STATUS=OR","EQY_CONSOLIDATED=Y","FA_ADJUSTED=GAAP","Sort=A","Dates=H","DateFormat=P","Fill=—","Direction=H","UseDPDF=Y")</f>
        <v>#NAME?</v>
      </c>
      <c r="CX426" s="2" t="e">
        <f ca="1">_xll.BDH($C$403,"ACCT_RCV_DAYS","FQ3 2018","FQ3 2018","Currency=INR","Period=FQ","BEST_FPERIOD_OVERRIDE=FQ","FILING_STATUS=OR","EQY_CONSOLIDATED=Y","FA_ADJUSTED=GAAP","Sort=A","Dates=H","DateFormat=P","Fill=—","Direction=H","UseDPDF=Y")</f>
        <v>#NAME?</v>
      </c>
      <c r="CY426" s="4" t="e">
        <f ca="1">_xll.BDH($C$403,"INVENT_TURN","FQ3 2018","FQ3 2018","Currency=INR","Period=FQ","BEST_FPERIOD_OVERRIDE=FQ","FILING_STATUS=OR","EQY_CONSOLIDATED=Y","FA_ADJUSTED=GAAP","Sort=A","Dates=H","DateFormat=P","Fill=—","Direction=H","UseDPDF=Y")</f>
        <v>#NAME?</v>
      </c>
      <c r="CZ426" s="2" t="e">
        <f ca="1">_xll.BDH($C$403,"INVENT_DAYS","FQ3 2018","FQ3 2018","Currency=INR","Period=FQ","BEST_FPERIOD_OVERRIDE=FQ","FILING_STATUS=OR","EQY_CONSOLIDATED=Y","FA_ADJUSTED=GAAP","Sort=A","Dates=H","DateFormat=P","Fill=—","Direction=H","UseDPDF=Y")</f>
        <v>#NAME?</v>
      </c>
      <c r="DA426" s="4" t="e">
        <f ca="1">_xll.BDH($C$403,"ACCOUNTS_PAYABLE_TURNOVER","FQ3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426" s="2" t="e">
        <f ca="1">_xll.BDH($C$403,"ACCOUNTS_PAYABLE_TURNOVER_DAYS","FQ3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426" s="4" t="e">
        <f ca="1">_xll.BDH($C$403,"CASH_CONVERSION_CYCLE","FQ3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426" s="4" t="e">
        <f ca="1">_xll.BDH($C$403,"INV_TO_CASH_DAYS","FQ3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426" s="5" t="e">
        <f ca="1">_xll.BDH($C$403,"BS_INVENTORIES","FQ3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426" s="3" t="e">
        <f ca="1">_xll.BDH($C$403,"INVTRY_RAW_MATERIALS","FQ3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426" s="3" t="e">
        <f ca="1">_xll.BDH($C$403,"INVTRY_IN_PROGRESS","FQ3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426" s="3" t="e">
        <f ca="1">_xll.BDH($C$403,"INVTRY_FINISHED_GOODS","FQ3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426" s="3" t="e">
        <f ca="1">_xll.BDH($C$403,"BS_OTHER_INV","FQ3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427" spans="1:113" x14ac:dyDescent="0.3">
      <c r="A427" s="6"/>
      <c r="B427" s="6"/>
      <c r="C427" s="6"/>
      <c r="D427" s="6"/>
      <c r="E427" t="s">
        <v>81</v>
      </c>
      <c r="F427" t="e">
        <f ca="1">_xll.BDH($C$403,"RETURN_COM_EQY","FQ4 2018","FQ4 2018","Currency=INR","Period=FQ","BEST_FPERIOD_OVERRIDE=FQ","FILING_STATUS=OR","EQY_CONSOLIDATED=Y","FA_ADJUSTED=GAAP","Sort=A","Dates=H","DateFormat=P","Fill=—","Direction=H","UseDPDF=Y")</f>
        <v>#NAME?</v>
      </c>
      <c r="G427" t="e">
        <f ca="1">_xll.BDH($C$403,"RETURN_ON_ASSET","FQ4 2018","FQ4 2018","Currency=INR","Period=FQ","BEST_FPERIOD_OVERRIDE=FQ","FILING_STATUS=OR","EQY_CONSOLIDATED=Y","FA_ADJUSTED=GAAP","Sort=A","Dates=H","DateFormat=P","Fill=—","Direction=H","UseDPDF=Y")</f>
        <v>#NAME?</v>
      </c>
      <c r="H427" t="e">
        <f ca="1">_xll.BDH($C$403,"RETURN_ON_CAP","FQ4 2018","FQ4 2018","Currency=INR","Period=FQ","BEST_FPERIOD_OVERRIDE=FQ","FILING_STATUS=OR","EQY_CONSOLIDATED=Y","FA_ADJUSTED=GAAP","Sort=A","Dates=H","DateFormat=P","Fill=—","Direction=H","UseDPDF=Y")</f>
        <v>#NAME?</v>
      </c>
      <c r="I427" t="e">
        <f ca="1">_xll.BDH($C$403,"RETURN_ON_INV_CAPITAL","FQ4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427" t="e">
        <f ca="1">_xll.BDH($C$403,"EBITDA_TO_REVENUE","FQ4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427" t="e">
        <f ca="1">_xll.BDH($C$403,"OPER_MARGIN","FQ4 2018","FQ4 2018","Currency=INR","Period=FQ","BEST_FPERIOD_OVERRIDE=FQ","FILING_STATUS=OR","EQY_CONSOLIDATED=Y","FA_ADJUSTED=GAAP","Sort=A","Dates=H","DateFormat=P","Fill=—","Direction=H","UseDPDF=Y")</f>
        <v>#NAME?</v>
      </c>
      <c r="L427" t="e">
        <f ca="1">_xll.BDH($C$403,"INCREMENTAL_OPERATING_MARGIN","FQ4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427" t="e">
        <f ca="1">_xll.BDH($C$403,"PRETAX_INC_TO_NET_SALES","FQ4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427" t="e">
        <f ca="1">_xll.BDH($C$403,"INC_BEF_XO_ITEMS_TO_NET_SALES","FQ4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427" t="e">
        <f ca="1">_xll.BDH($C$403,"PROF_MARGIN","FQ4 2018","FQ4 2018","Currency=INR","Period=FQ","BEST_FPERIOD_OVERRIDE=FQ","FILING_STATUS=OR","EQY_CONSOLIDATED=Y","FA_ADJUSTED=GAAP","Sort=A","Dates=H","DateFormat=P","Fill=—","Direction=H","UseDPDF=Y")</f>
        <v>#NAME?</v>
      </c>
      <c r="P427" t="e">
        <f ca="1">_xll.BDH($C$403,"NET_INCOME_TO_COMMON_MARGIN","FQ4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427" t="e">
        <f ca="1">_xll.BDH($C$403,"EFF_TAX_RATE","FQ4 2018","FQ4 2018","Currency=INR","Period=FQ","BEST_FPERIOD_OVERRIDE=FQ","FILING_STATUS=OR","EQY_CONSOLIDATED=Y","FA_ADJUSTED=GAAP","Sort=A","Dates=H","DateFormat=P","Fill=—","Direction=H","UseDPDF=Y")</f>
        <v>#NAME?</v>
      </c>
      <c r="R427" t="e">
        <f ca="1">_xll.BDH($C$403,"DVD_PAYOUT_RATIO","FQ4 2018","FQ4 2018","Currency=INR","Period=FQ","BEST_FPERIOD_OVERRIDE=FQ","FILING_STATUS=OR","EQY_CONSOLIDATED=Y","FA_ADJUSTED=GAAP","Sort=A","Dates=H","DateFormat=P","Fill=—","Direction=H","UseDPDF=Y")</f>
        <v>#NAME?</v>
      </c>
      <c r="S427" t="e">
        <f ca="1">_xll.BDH($C$403,"SUSTAIN_GROWTH_RT","FQ4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427" s="2" t="e">
        <f ca="1">_xll.BDH($C$403,"SALES_GROWTH","FQ4 2018","FQ4 2018","Currency=INR","Period=FQ","BEST_FPERIOD_OVERRIDE=FQ","FILING_STATUS=OR","EQY_CONSOLIDATED=Y","FA_ADJUSTED=GAAP","Sort=A","Dates=H","DateFormat=P","Fill=—","Direction=H","UseDPDF=Y")</f>
        <v>#NAME?</v>
      </c>
      <c r="U427" s="2" t="e">
        <f ca="1">_xll.BDH($C$403,"EBITDA_GROWTH","FQ4 2018","FQ4 2018","Currency=INR","Period=FQ","BEST_FPERIOD_OVERRIDE=FQ","FILING_STATUS=OR","EQY_CONSOLIDATED=Y","FA_ADJUSTED=GAAP","Sort=A","Dates=H","DateFormat=P","Fill=—","Direction=H","UseDPDF=Y")</f>
        <v>#NAME?</v>
      </c>
      <c r="V427" s="2" t="e">
        <f ca="1">_xll.BDH($C$403,"OPER_INC_GROWTH","FQ4 2018","FQ4 2018","Currency=INR","Period=FQ","BEST_FPERIOD_OVERRIDE=FQ","FILING_STATUS=OR","EQY_CONSOLIDATED=Y","FA_ADJUSTED=GAAP","Sort=A","Dates=H","DateFormat=P","Fill=—","Direction=H","UseDPDF=Y")</f>
        <v>#NAME?</v>
      </c>
      <c r="W427" s="2" t="e">
        <f ca="1">_xll.BDH($C$403,"EARN_FOR_COM_GROWTH","FQ4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427" s="2" t="e">
        <f ca="1">_xll.BDH($C$403,"DILUTED_EPS_AFT_XO_ITEMS_GROWTH","FQ4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427" s="2" t="e">
        <f ca="1">_xll.BDH($C$403,"DIVIDEND_PER_SHARE_1_YEAR_GROWTH","FQ4 2018","FQ4 2018","Currency=INR","Period=FQ","BEST_FPERIOD_OVERRIDE=FQ","FILING_STATUS=OR","EQY_CONSOLIDATED=Y","Sort=A","Dates=H","DateFormat=P","Fill=—","Direction=H","UseDPDF=Y")</f>
        <v>#NAME?</v>
      </c>
      <c r="Z427" s="2" t="e">
        <f ca="1">_xll.BDH($C$403,"ACCOUNTS_RECEIVABLE_GROWTH","FQ4 2018","FQ4 2018","Currency=INR","Period=FQ","BEST_FPERIOD_OVERRIDE=FQ","FILING_STATUS=OR","EQY_CONSOLIDATED=Y","Sort=A","Dates=H","DateFormat=P","Fill=—","Direction=H","UseDPDF=Y")</f>
        <v>#NAME?</v>
      </c>
      <c r="AA427" s="2" t="e">
        <f ca="1">_xll.BDH($C$403,"INVENTORY_GROWTH","FQ4 2018","FQ4 2018","Currency=INR","Period=FQ","BEST_FPERIOD_OVERRIDE=FQ","FILING_STATUS=OR","EQY_CONSOLIDATED=Y","Sort=A","Dates=H","DateFormat=P","Fill=—","Direction=H","UseDPDF=Y")</f>
        <v>#NAME?</v>
      </c>
      <c r="AB427" s="2" t="e">
        <f ca="1">_xll.BDH($C$403,"NET_FIXED_ASSETS_1_YEAR_GROWTH","FQ4 2018","FQ4 2018","Currency=INR","Period=FQ","BEST_FPERIOD_OVERRIDE=FQ","FILING_STATUS=OR","EQY_CONSOLIDATED=Y","Sort=A","Dates=H","DateFormat=P","Fill=—","Direction=H","UseDPDF=Y")</f>
        <v>#NAME?</v>
      </c>
      <c r="AC427" s="2" t="e">
        <f ca="1">_xll.BDH($C$403,"ASSET_GROWTH","FQ4 2018","FQ4 2018","Currency=INR","Period=FQ","BEST_FPERIOD_OVERRIDE=FQ","FILING_STATUS=OR","EQY_CONSOLIDATED=Y","Sort=A","Dates=H","DateFormat=P","Fill=—","Direction=H","UseDPDF=Y")</f>
        <v>#NAME?</v>
      </c>
      <c r="AD427" s="2" t="e">
        <f ca="1">_xll.BDH($C$403,"MODIFIED_WORK_CAP_GROWTH","FQ4 2018","FQ4 2018","Currency=INR","Period=FQ","BEST_FPERIOD_OVERRIDE=FQ","FILING_STATUS=OR","EQY_CONSOLIDATED=Y","Sort=A","Dates=H","DateFormat=P","Fill=—","Direction=H","UseDPDF=Y")</f>
        <v>#NAME?</v>
      </c>
      <c r="AE427" s="2" t="e">
        <f ca="1">_xll.BDH($C$403,"WORK_CAP_GROWTH","FQ4 2018","FQ4 2018","Currency=INR","Period=FQ","BEST_FPERIOD_OVERRIDE=FQ","FILING_STATUS=OR","EQY_CONSOLIDATED=Y","Sort=A","Dates=H","DateFormat=P","Fill=—","Direction=H","UseDPDF=Y")</f>
        <v>#NAME?</v>
      </c>
      <c r="AF427" s="2" t="e">
        <f ca="1">_xll.BDH($C$403,"ACCOUNTS_PAYABLE_GROWTH_1YR","FQ4 2018","FQ4 2018","Currency=INR","Period=FQ","BEST_FPERIOD_OVERRIDE=FQ","FILING_STATUS=OR","EQY_CONSOLIDATED=Y","Sort=A","Dates=H","DateFormat=P","Fill=—","Direction=H","UseDPDF=Y")</f>
        <v>#NAME?</v>
      </c>
      <c r="AG427" s="2" t="e">
        <f ca="1">_xll.BDH($C$403,"SHORT_TERM_DEBT_1_YEAR_GROWTH","FQ4 2018","FQ4 2018","Currency=INR","Period=FQ","BEST_FPERIOD_OVERRIDE=FQ","FILING_STATUS=OR","EQY_CONSOLIDATED=Y","Sort=A","Dates=H","DateFormat=P","Fill=—","Direction=H","UseDPDF=Y")</f>
        <v>#NAME?</v>
      </c>
      <c r="AH427" s="2" t="e">
        <f ca="1">_xll.BDH($C$403,"TOTAL_DEBT_1_YEAR_GROWTH","FQ4 2018","FQ4 2018","Currency=INR","Period=FQ","BEST_FPERIOD_OVERRIDE=FQ","FILING_STATUS=OR","EQY_CONSOLIDATED=Y","Sort=A","Dates=H","DateFormat=P","Fill=—","Direction=H","UseDPDF=Y")</f>
        <v>#NAME?</v>
      </c>
      <c r="AI427" s="2" t="e">
        <f ca="1">_xll.BDH($C$403,"TOTAL_EQUITY_1_YEAR_GROWTH","FQ4 2018","FQ4 2018","Currency=INR","Period=FQ","BEST_FPERIOD_OVERRIDE=FQ","FILING_STATUS=OR","EQY_CONSOLIDATED=Y","Sort=A","Dates=H","DateFormat=P","Fill=—","Direction=H","UseDPDF=Y")</f>
        <v>#NAME?</v>
      </c>
      <c r="AJ427" s="2" t="e">
        <f ca="1">_xll.BDH($C$403,"GROWTH_IN_CAP","FQ4 2018","FQ4 2018","Currency=INR","Period=FQ","BEST_FPERIOD_OVERRIDE=FQ","FILING_STATUS=OR","EQY_CONSOLIDATED=Y","Sort=A","Dates=H","DateFormat=P","Fill=—","Direction=H","UseDPDF=Y")</f>
        <v>#NAME?</v>
      </c>
      <c r="AK427" s="2" t="e">
        <f ca="1">_xll.BDH($C$403,"BVPS_GROWTH","FQ4 2018","FQ4 2018","Currency=INR","Period=FQ","BEST_FPERIOD_OVERRIDE=FQ","FILING_STATUS=OR","EQY_CONSOLIDATED=Y","Sort=A","Dates=H","DateFormat=P","Fill=—","Direction=H","UseDPDF=Y")</f>
        <v>#NAME?</v>
      </c>
      <c r="AL427" s="2" t="e">
        <f ca="1">_xll.BDH($C$403,"CASH_FLOW_GROWTH","FQ4 2018","FQ4 2018","Currency=INR","Period=FQ","BEST_FPERIOD_OVERRIDE=FQ","FILING_STATUS=OR","EQY_CONSOLIDATED=Y","Sort=A","Dates=H","DateFormat=P","Fill=—","Direction=H","UseDPDF=Y")</f>
        <v>#NAME?</v>
      </c>
      <c r="AM427" s="2" t="e">
        <f ca="1">_xll.BDH($C$403,"GEO_GROW_NET_SALES","FQ4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427" s="2" t="e">
        <f ca="1">_xll.BDH($C$403,"GEO_GROW_EBITDA","FQ4 2018","FQ4 2018","Currency=INR","Period=FQ","BEST_FPERIOD_OVERRIDE=FQ","FILING_STATUS=OR","EQY_CONSOLIDATED=Y","FA_ADJUSTED=GAAP","Sort=A","Dates=H","DateFormat=P","Fill=—","Direction=H","UseDPDF=Y")</f>
        <v>#NAME?</v>
      </c>
      <c r="AO427" s="2" t="e">
        <f ca="1">_xll.BDH($C$403,"GEO_GROW_OPER_INC","FQ4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427" s="2" t="e">
        <f ca="1">_xll.BDH($C$403,"NET_INCOME_TO_COMMON_5_YR_GROWTH","FQ4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427" s="2" t="e">
        <f ca="1">_xll.BDH($C$403,"5Y_GEO_GROWTH_DILUTED_EPS","FQ4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427" s="2" t="e">
        <f ca="1">_xll.BDH($C$403,"GEO_GROW_DVD_PER_SH","FQ4 2018","FQ4 2018","Currency=INR","Period=FQ","BEST_FPERIOD_OVERRIDE=FQ","FILING_STATUS=OR","EQY_CONSOLIDATED=Y","Sort=A","Dates=H","DateFormat=P","Fill=—","Direction=H","UseDPDF=Y")</f>
        <v>#NAME?</v>
      </c>
      <c r="AS427" s="2" t="e">
        <f ca="1">_xll.BDH($C$403,"ACCOUNTS_RECEIVABLE_5_YR_GROWTH","FQ4 2018","FQ4 2018","Currency=INR","Period=FQ","BEST_FPERIOD_OVERRIDE=FQ","FILING_STATUS=OR","EQY_CONSOLIDATED=Y","Sort=A","Dates=H","DateFormat=P","Fill=—","Direction=H","UseDPDF=Y")</f>
        <v>#NAME?</v>
      </c>
      <c r="AT427" s="2" t="e">
        <f ca="1">_xll.BDH($C$403,"INVENTORY_5_YEAR_GROWTH","FQ4 2018","FQ4 2018","Currency=INR","Period=FQ","BEST_FPERIOD_OVERRIDE=FQ","FILING_STATUS=OR","EQY_CONSOLIDATED=Y","Sort=A","Dates=H","DateFormat=P","Fill=—","Direction=H","UseDPDF=Y")</f>
        <v>#NAME?</v>
      </c>
      <c r="AU427" s="2" t="e">
        <f ca="1">_xll.BDH($C$403,"NET_FIXED_ASSETS_5_YEAR_GROWTH","FQ4 2018","FQ4 2018","Currency=INR","Period=FQ","BEST_FPERIOD_OVERRIDE=FQ","FILING_STATUS=OR","EQY_CONSOLIDATED=Y","Sort=A","Dates=H","DateFormat=P","Fill=—","Direction=H","UseDPDF=Y")</f>
        <v>#NAME?</v>
      </c>
      <c r="AV427" s="2" t="e">
        <f ca="1">_xll.BDH($C$403,"GEO_GROW_TOT_ASSET","FQ4 2018","FQ4 2018","Currency=INR","Period=FQ","BEST_FPERIOD_OVERRIDE=FQ","FILING_STATUS=OR","EQY_CONSOLIDATED=Y","Sort=A","Dates=H","DateFormat=P","Fill=—","Direction=H","UseDPDF=Y")</f>
        <v>#NAME?</v>
      </c>
      <c r="AW427" s="2" t="e">
        <f ca="1">_xll.BDH($C$403,"MODIFIED_WORKING_CPTL_5YR_GRWTH","FQ4 2018","FQ4 2018","Currency=INR","Period=FQ","BEST_FPERIOD_OVERRIDE=FQ","FILING_STATUS=OR","EQY_CONSOLIDATED=Y","Sort=A","Dates=H","DateFormat=P","Fill=—","Direction=H","UseDPDF=Y")</f>
        <v>#NAME?</v>
      </c>
      <c r="AX427" s="2" t="e">
        <f ca="1">_xll.BDH($C$403,"WORKING_CAPITAL_5_YEAR_GROWTH","FQ4 2018","FQ4 2018","Currency=INR","Period=FQ","BEST_FPERIOD_OVERRIDE=FQ","FILING_STATUS=OR","EQY_CONSOLIDATED=Y","Sort=A","Dates=H","DateFormat=P","Fill=—","Direction=H","UseDPDF=Y")</f>
        <v>#NAME?</v>
      </c>
      <c r="AY427" s="2" t="e">
        <f ca="1">_xll.BDH($C$403,"ACCOUNTS_PAYABLE_5_YEAR_GROWTH","FQ4 2018","FQ4 2018","Currency=INR","Period=FQ","BEST_FPERIOD_OVERRIDE=FQ","FILING_STATUS=OR","EQY_CONSOLIDATED=Y","Sort=A","Dates=H","DateFormat=P","Fill=—","Direction=H","UseDPDF=Y")</f>
        <v>#NAME?</v>
      </c>
      <c r="AZ427" s="2" t="e">
        <f ca="1">_xll.BDH($C$403,"SHORT_TERM_DEBT_5_YEAR_GROWTH","FQ4 2018","FQ4 2018","Currency=INR","Period=FQ","BEST_FPERIOD_OVERRIDE=FQ","FILING_STATUS=OR","EQY_CONSOLIDATED=Y","Sort=A","Dates=H","DateFormat=P","Fill=—","Direction=H","UseDPDF=Y")</f>
        <v>#NAME?</v>
      </c>
      <c r="BA427" s="2" t="e">
        <f ca="1">_xll.BDH($C$403,"TOTAL_DEBT_5_YEAR_GROWTH","FQ4 2018","FQ4 2018","Currency=INR","Period=FQ","BEST_FPERIOD_OVERRIDE=FQ","FILING_STATUS=OR","EQY_CONSOLIDATED=Y","Sort=A","Dates=H","DateFormat=P","Fill=—","Direction=H","UseDPDF=Y")</f>
        <v>#NAME?</v>
      </c>
      <c r="BB427" s="2" t="e">
        <f ca="1">_xll.BDH($C$403,"GEO_GROW_TOT_SHRHLDR_EQY","FQ4 2018","FQ4 2018","Currency=INR","Period=FQ","BEST_FPERIOD_OVERRIDE=FQ","FILING_STATUS=OR","EQY_CONSOLIDATED=Y","Sort=A","Dates=H","DateFormat=P","Fill=—","Direction=H","UseDPDF=Y")</f>
        <v>#NAME?</v>
      </c>
      <c r="BC427" s="2" t="e">
        <f ca="1">_xll.BDH($C$403,"TOTAL_CAPITAL_5_YEAR_GROWTH","FQ4 2018","FQ4 2018","Currency=INR","Period=FQ","BEST_FPERIOD_OVERRIDE=FQ","FILING_STATUS=OR","EQY_CONSOLIDATED=Y","Sort=A","Dates=H","DateFormat=P","Fill=—","Direction=H","UseDPDF=Y")</f>
        <v>#NAME?</v>
      </c>
      <c r="BD427" s="2" t="e">
        <f ca="1">_xll.BDH($C$403,"GEO_GROW_BOOK_VAL","FQ4 2018","FQ4 2018","Currency=INR","Period=FQ","BEST_FPERIOD_OVERRIDE=FQ","FILING_STATUS=OR","EQY_CONSOLIDATED=Y","Sort=A","Dates=H","DateFormat=P","Fill=—","Direction=H","UseDPDF=Y")</f>
        <v>#NAME?</v>
      </c>
      <c r="BE427" s="2" t="e">
        <f ca="1">_xll.BDH($C$403,"GEO_GROW_CASH_OPER_ACT","FQ4 2018","FQ4 2018","Currency=INR","Period=FQ","BEST_FPERIOD_OVERRIDE=FQ","FILING_STATUS=OR","EQY_CONSOLIDATED=Y","Sort=A","Dates=H","DateFormat=P","Fill=—","Direction=H","UseDPDF=Y")</f>
        <v>#NAME?</v>
      </c>
      <c r="BF427" s="2" t="e">
        <f ca="1">_xll.BDH($C$403,"REVENUE_SEQUENTIAL_GROWTH","FQ4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427" s="2" t="e">
        <f ca="1">_xll.BDH($C$403,"EBITDA_SEQUENTIAL_GROWTH","FQ4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427" s="2" t="e">
        <f ca="1">_xll.BDH($C$403,"OPERATING_INCOME_SEQ_GROWTH","FQ4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427" s="2" t="e">
        <f ca="1">_xll.BDH($C$403,"NET_INCOME_TO_COMMON_SEQ_GROWTH","FQ4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427" s="2" t="e">
        <f ca="1">_xll.BDH($C$403,"EPS_DILUTED_SEQUENTIAL_GROWTH","FQ4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427" s="2" t="e">
        <f ca="1">_xll.BDH($C$403,"DPS_SEQUENTIAL_GROWTH","FQ4 2018","FQ4 2018","Currency=INR","Period=FQ","BEST_FPERIOD_OVERRIDE=FQ","FILING_STATUS=OR","EQY_CONSOLIDATED=Y","Sort=A","Dates=H","DateFormat=P","Fill=—","Direction=H","UseDPDF=Y")</f>
        <v>#NAME?</v>
      </c>
      <c r="BL427" s="2" t="e">
        <f ca="1">_xll.BDH($C$403,"ACCOUNTS_RECEIVABLE_SEQ_GROWTH","FQ4 2018","FQ4 2018","Currency=INR","Period=FQ","BEST_FPERIOD_OVERRIDE=FQ","FILING_STATUS=OR","EQY_CONSOLIDATED=Y","Sort=A","Dates=H","DateFormat=P","Fill=—","Direction=H","UseDPDF=Y")</f>
        <v>#NAME?</v>
      </c>
      <c r="BM427" s="2" t="e">
        <f ca="1">_xll.BDH($C$403,"INVENTORY_SEQUENTIAL_GROWTH","FQ4 2018","FQ4 2018","Currency=INR","Period=FQ","BEST_FPERIOD_OVERRIDE=FQ","FILING_STATUS=OR","EQY_CONSOLIDATED=Y","Sort=A","Dates=H","DateFormat=P","Fill=—","Direction=H","UseDPDF=Y")</f>
        <v>#NAME?</v>
      </c>
      <c r="BN427" s="2" t="e">
        <f ca="1">_xll.BDH($C$403,"FIXED_ASSETS_SEQUENTIAL_GROWTH","FQ4 2018","FQ4 2018","Currency=INR","Period=FQ","BEST_FPERIOD_OVERRIDE=FQ","FILING_STATUS=OR","EQY_CONSOLIDATED=Y","Sort=A","Dates=H","DateFormat=P","Fill=—","Direction=H","UseDPDF=Y")</f>
        <v>#NAME?</v>
      </c>
      <c r="BO427" s="2" t="e">
        <f ca="1">_xll.BDH($C$403,"TOTAL_ASSETS_SEQUENTIAL_GROWTH","FQ4 2018","FQ4 2018","Currency=INR","Period=FQ","BEST_FPERIOD_OVERRIDE=FQ","FILING_STATUS=OR","EQY_CONSOLIDATED=Y","Sort=A","Dates=H","DateFormat=P","Fill=—","Direction=H","UseDPDF=Y")</f>
        <v>#NAME?</v>
      </c>
      <c r="BP427" s="2" t="e">
        <f ca="1">_xll.BDH($C$403,"MODIFIED_WORKING_CPTL_SEQ_GRWTH","FQ4 2018","FQ4 2018","Currency=INR","Period=FQ","BEST_FPERIOD_OVERRIDE=FQ","FILING_STATUS=OR","EQY_CONSOLIDATED=Y","Sort=A","Dates=H","DateFormat=P","Fill=—","Direction=H","UseDPDF=Y")</f>
        <v>#NAME?</v>
      </c>
      <c r="BQ427" s="2" t="e">
        <f ca="1">_xll.BDH($C$403,"WORKING_CAPITAL_SEQ_GROWTH","FQ4 2018","FQ4 2018","Currency=INR","Period=FQ","BEST_FPERIOD_OVERRIDE=FQ","FILING_STATUS=OR","EQY_CONSOLIDATED=Y","Sort=A","Dates=H","DateFormat=P","Fill=—","Direction=H","UseDPDF=Y")</f>
        <v>#NAME?</v>
      </c>
      <c r="BR427" s="2" t="e">
        <f ca="1">_xll.BDH($C$403,"ACCOUNTS_PAYABLE_SEQ_GROWTH","FQ4 2018","FQ4 2018","Currency=INR","Period=FQ","BEST_FPERIOD_OVERRIDE=FQ","FILING_STATUS=OR","EQY_CONSOLIDATED=Y","Sort=A","Dates=H","DateFormat=P","Fill=—","Direction=H","UseDPDF=Y")</f>
        <v>#NAME?</v>
      </c>
      <c r="BS427" s="2" t="e">
        <f ca="1">_xll.BDH($C$403,"ST_DEBT_SEQUENTIAL_GROWTH","FQ4 2018","FQ4 2018","Currency=INR","Period=FQ","BEST_FPERIOD_OVERRIDE=FQ","FILING_STATUS=OR","EQY_CONSOLIDATED=Y","Sort=A","Dates=H","DateFormat=P","Fill=—","Direction=H","UseDPDF=Y")</f>
        <v>#NAME?</v>
      </c>
      <c r="BT427" s="2" t="e">
        <f ca="1">_xll.BDH($C$403,"TOTAL_DEBT_SEQUENTIAL_GROWTH","FQ4 2018","FQ4 2018","Currency=INR","Period=FQ","BEST_FPERIOD_OVERRIDE=FQ","FILING_STATUS=OR","EQY_CONSOLIDATED=Y","Sort=A","Dates=H","DateFormat=P","Fill=—","Direction=H","UseDPDF=Y")</f>
        <v>#NAME?</v>
      </c>
      <c r="BU427" s="2" t="e">
        <f ca="1">_xll.BDH($C$403,"TOTAL_EQUITY_SEQUENTIAL_GROWTH","FQ4 2018","FQ4 2018","Currency=INR","Period=FQ","BEST_FPERIOD_OVERRIDE=FQ","FILING_STATUS=OR","EQY_CONSOLIDATED=Y","Sort=A","Dates=H","DateFormat=P","Fill=—","Direction=H","UseDPDF=Y")</f>
        <v>#NAME?</v>
      </c>
      <c r="BV427" s="2" t="e">
        <f ca="1">_xll.BDH($C$403,"TOTAL_CAPITAL_SEQUENTIAL_GROWTH","FQ4 2018","FQ4 2018","Currency=INR","Period=FQ","BEST_FPERIOD_OVERRIDE=FQ","FILING_STATUS=OR","EQY_CONSOLIDATED=Y","Sort=A","Dates=H","DateFormat=P","Fill=—","Direction=H","UseDPDF=Y")</f>
        <v>#NAME?</v>
      </c>
      <c r="BW427" s="2" t="e">
        <f ca="1">_xll.BDH($C$403,"BPS_SEQUENTIAL_GROWTH","FQ4 2018","FQ4 2018","Currency=INR","Period=FQ","BEST_FPERIOD_OVERRIDE=FQ","FILING_STATUS=OR","EQY_CONSOLIDATED=Y","Sort=A","Dates=H","DateFormat=P","Fill=—","Direction=H","UseDPDF=Y")</f>
        <v>#NAME?</v>
      </c>
      <c r="BX427" s="2" t="e">
        <f ca="1">_xll.BDH($C$403,"CFO_SEQUENTIAL_GROWTH","FQ4 2018","FQ4 2018","Currency=INR","Period=FQ","BEST_FPERIOD_OVERRIDE=FQ","FILING_STATUS=OR","EQY_CONSOLIDATED=Y","Sort=A","Dates=H","DateFormat=P","Fill=—","Direction=H","UseDPDF=Y")</f>
        <v>#NAME?</v>
      </c>
      <c r="BY427" s="3" t="e">
        <f ca="1">_xll.BDH($C$403,"SHORT_AND_LONG_TERM_DEBT","FQ4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427" s="3" t="e">
        <f ca="1">_xll.BDH($C$403,"BS_ST_BORROW","FQ4 2018","FQ4 2018","Currency=INR","Period=FQ","BEST_FPERIOD_OVERRIDE=FQ","FILING_STATUS=OR","EQY_CONSOLIDATED=Y","SCALING_FORMAT=MLN","Sort=A","Dates=H","DateFormat=P","Fill=—","Direction=H","UseDPDF=Y")</f>
        <v>#NAME?</v>
      </c>
      <c r="CA427" s="3" t="e">
        <f ca="1">_xll.BDH($C$403,"BS_LT_BORROW","FQ4 2018","FQ4 2018","Currency=INR","Period=FQ","BEST_FPERIOD_OVERRIDE=FQ","FILING_STATUS=OR","EQY_CONSOLIDATED=Y","SCALING_FORMAT=MLN","Sort=A","Dates=H","DateFormat=P","Fill=—","Direction=H","UseDPDF=Y")</f>
        <v>#NAME?</v>
      </c>
      <c r="CB427" s="2" t="e">
        <f ca="1">_xll.BDH($C$403,"TOT_DEBT_TO_EBITDA","FQ4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427" s="2" t="e">
        <f ca="1">_xll.BDH($C$403,"NET_DEBT_TO_EBITDA","FQ4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427" s="2" t="e">
        <f ca="1">_xll.BDH($C$403,"TOTAL_DEBT_TO_EBIT","FQ4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427" s="2" t="e">
        <f ca="1">_xll.BDH($C$403,"NET_DEBT_TO_EBIT","FQ4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427" s="2" t="e">
        <f ca="1">_xll.BDH($C$403,"EBITDA_TO_INTEREST_EXPN","FQ4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427" s="2" t="e">
        <f ca="1">_xll.BDH($C$403,"COM_EQY_TO_TOT_ASSET","FQ4 2018","FQ4 2018","Currency=INR","Period=FQ","BEST_FPERIOD_OVERRIDE=FQ","FILING_STATUS=OR","EQY_CONSOLIDATED=Y","Sort=A","Dates=H","DateFormat=P","Fill=—","Direction=H","UseDPDF=Y")</f>
        <v>#NAME?</v>
      </c>
      <c r="CH427" s="2" t="e">
        <f ca="1">_xll.BDH($C$403,"LT_DEBT_TO_TOT_EQY","FQ4 2018","FQ4 2018","Currency=INR","Period=FQ","BEST_FPERIOD_OVERRIDE=FQ","FILING_STATUS=OR","EQY_CONSOLIDATED=Y","Sort=A","Dates=H","DateFormat=P","Fill=—","Direction=H","UseDPDF=Y")</f>
        <v>#NAME?</v>
      </c>
      <c r="CI427" s="2" t="e">
        <f ca="1">_xll.BDH($C$403,"LT_DEBT_TO_TOT_CAP","FQ4 2018","FQ4 2018","Currency=INR","Period=FQ","BEST_FPERIOD_OVERRIDE=FQ","FILING_STATUS=OR","EQY_CONSOLIDATED=Y","Sort=A","Dates=H","DateFormat=P","Fill=—","Direction=H","UseDPDF=Y")</f>
        <v>#NAME?</v>
      </c>
      <c r="CJ427" s="2" t="e">
        <f ca="1">_xll.BDH($C$403,"LT_DEBT_TO_TOT_ASSET","FQ4 2018","FQ4 2018","Currency=INR","Period=FQ","BEST_FPERIOD_OVERRIDE=FQ","FILING_STATUS=OR","EQY_CONSOLIDATED=Y","Sort=A","Dates=H","DateFormat=P","Fill=—","Direction=H","UseDPDF=Y")</f>
        <v>#NAME?</v>
      </c>
      <c r="CK427" s="2" t="e">
        <f ca="1">_xll.BDH($C$403,"TOT_DEBT_TO_TOT_EQY","FQ4 2018","FQ4 2018","Currency=INR","Period=FQ","BEST_FPERIOD_OVERRIDE=FQ","FILING_STATUS=OR","EQY_CONSOLIDATED=Y","Sort=A","Dates=H","DateFormat=P","Fill=—","Direction=H","UseDPDF=Y")</f>
        <v>#NAME?</v>
      </c>
      <c r="CL427" s="2" t="e">
        <f ca="1">_xll.BDH($C$403,"TOT_DEBT_TO_TOT_CAP","FQ4 2018","FQ4 2018","Currency=INR","Period=FQ","BEST_FPERIOD_OVERRIDE=FQ","FILING_STATUS=OR","EQY_CONSOLIDATED=Y","Sort=A","Dates=H","DateFormat=P","Fill=—","Direction=H","UseDPDF=Y")</f>
        <v>#NAME?</v>
      </c>
      <c r="CM427" s="2" t="e">
        <f ca="1">_xll.BDH($C$403,"TOT_DEBT_TO_TOT_ASSET","FQ4 2018","FQ4 2018","Currency=INR","Period=FQ","BEST_FPERIOD_OVERRIDE=FQ","FILING_STATUS=OR","EQY_CONSOLIDATED=Y","Sort=A","Dates=H","DateFormat=P","Fill=—","Direction=H","UseDPDF=Y")</f>
        <v>#NAME?</v>
      </c>
      <c r="CN427" s="2" t="e">
        <f ca="1">_xll.BDH($C$403,"NET_DEBT_TO_SHRHLDR_EQTY","FQ4 2018","FQ4 2018","Currency=INR","Period=FQ","BEST_FPERIOD_OVERRIDE=FQ","FILING_STATUS=OR","EQY_CONSOLIDATED=Y","Sort=A","Dates=H","DateFormat=P","Fill=—","Direction=H","UseDPDF=Y")</f>
        <v>#NAME?</v>
      </c>
      <c r="CO427" s="2" t="e">
        <f ca="1">_xll.BDH($C$403,"NET_DEBT_%_CAPITAL","FQ4 2018","FQ4 2018","Currency=INR","Period=FQ","BEST_FPERIOD_OVERRIDE=FQ","FILING_STATUS=OR","EQY_CONSOLIDATED=Y","Sort=A","Dates=H","DateFormat=P","Fill=—","Direction=H","UseDPDF=Y")</f>
        <v>#NAME?</v>
      </c>
      <c r="CP427" s="3" t="e">
        <f ca="1">_xll.BDH($C$403,"EBITDA","FQ4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427" s="3" t="e">
        <f ca="1">_xll.BDH($C$403,"EBITDA_AFTER_CAPEX","FQ4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427" s="3" t="e">
        <f ca="1">_xll.BDH($C$403,"IS_OPER_INC","FQ4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427" s="2" t="e">
        <f ca="1">_xll.BDH($C$403,"CASH_RATIO","FQ4 2018","FQ4 2018","Currency=INR","Period=FQ","BEST_FPERIOD_OVERRIDE=FQ","FILING_STATUS=OR","EQY_CONSOLIDATED=Y","Sort=A","Dates=H","DateFormat=P","Fill=—","Direction=H","UseDPDF=Y")</f>
        <v>#NAME?</v>
      </c>
      <c r="CT427" s="2" t="e">
        <f ca="1">_xll.BDH($C$403,"CUR_RATIO","FQ4 2018","FQ4 2018","Currency=INR","Period=FQ","BEST_FPERIOD_OVERRIDE=FQ","FILING_STATUS=OR","EQY_CONSOLIDATED=Y","Sort=A","Dates=H","DateFormat=P","Fill=—","Direction=H","UseDPDF=Y")</f>
        <v>#NAME?</v>
      </c>
      <c r="CU427" s="2" t="e">
        <f ca="1">_xll.BDH($C$403,"QUICK_RATIO","FQ4 2018","FQ4 2018","Currency=INR","Period=FQ","BEST_FPERIOD_OVERRIDE=FQ","FILING_STATUS=OR","EQY_CONSOLIDATED=Y","Sort=A","Dates=H","DateFormat=P","Fill=—","Direction=H","UseDPDF=Y")</f>
        <v>#NAME?</v>
      </c>
      <c r="CV427" s="2" t="e">
        <f ca="1">_xll.BDH($C$403,"ALTMAN_Z_SCORE","FQ4 2018","FQ4 2018","Currency=INR","Period=FQ","BEST_FPERIOD_OVERRIDE=FQ","FILING_STATUS=OR","EQY_CONSOLIDATED=Y","Sort=A","Dates=H","DateFormat=P","Fill=—","Direction=H","UseDPDF=Y")</f>
        <v>#NAME?</v>
      </c>
      <c r="CW427" s="4" t="e">
        <f ca="1">_xll.BDH($C$403,"ACCT_RCV_TURN","FQ4 2018","FQ4 2018","Currency=INR","Period=FQ","BEST_FPERIOD_OVERRIDE=FQ","FILING_STATUS=OR","EQY_CONSOLIDATED=Y","FA_ADJUSTED=GAAP","Sort=A","Dates=H","DateFormat=P","Fill=—","Direction=H","UseDPDF=Y")</f>
        <v>#NAME?</v>
      </c>
      <c r="CX427" s="2" t="e">
        <f ca="1">_xll.BDH($C$403,"ACCT_RCV_DAYS","FQ4 2018","FQ4 2018","Currency=INR","Period=FQ","BEST_FPERIOD_OVERRIDE=FQ","FILING_STATUS=OR","EQY_CONSOLIDATED=Y","FA_ADJUSTED=GAAP","Sort=A","Dates=H","DateFormat=P","Fill=—","Direction=H","UseDPDF=Y")</f>
        <v>#NAME?</v>
      </c>
      <c r="CY427" s="4" t="e">
        <f ca="1">_xll.BDH($C$403,"INVENT_TURN","FQ4 2018","FQ4 2018","Currency=INR","Period=FQ","BEST_FPERIOD_OVERRIDE=FQ","FILING_STATUS=OR","EQY_CONSOLIDATED=Y","FA_ADJUSTED=GAAP","Sort=A","Dates=H","DateFormat=P","Fill=—","Direction=H","UseDPDF=Y")</f>
        <v>#NAME?</v>
      </c>
      <c r="CZ427" s="2" t="e">
        <f ca="1">_xll.BDH($C$403,"INVENT_DAYS","FQ4 2018","FQ4 2018","Currency=INR","Period=FQ","BEST_FPERIOD_OVERRIDE=FQ","FILING_STATUS=OR","EQY_CONSOLIDATED=Y","FA_ADJUSTED=GAAP","Sort=A","Dates=H","DateFormat=P","Fill=—","Direction=H","UseDPDF=Y")</f>
        <v>#NAME?</v>
      </c>
      <c r="DA427" s="4" t="e">
        <f ca="1">_xll.BDH($C$403,"ACCOUNTS_PAYABLE_TURNOVER","FQ4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427" s="2" t="e">
        <f ca="1">_xll.BDH($C$403,"ACCOUNTS_PAYABLE_TURNOVER_DAYS","FQ4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427" s="4" t="e">
        <f ca="1">_xll.BDH($C$403,"CASH_CONVERSION_CYCLE","FQ4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427" s="4" t="e">
        <f ca="1">_xll.BDH($C$403,"INV_TO_CASH_DAYS","FQ4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427" s="5" t="e">
        <f ca="1">_xll.BDH($C$403,"BS_INVENTORIES","FQ4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427" s="3" t="e">
        <f ca="1">_xll.BDH($C$403,"INVTRY_RAW_MATERIALS","FQ4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427" s="3" t="e">
        <f ca="1">_xll.BDH($C$403,"INVTRY_IN_PROGRESS","FQ4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427" s="3" t="e">
        <f ca="1">_xll.BDH($C$403,"INVTRY_FINISHED_GOODS","FQ4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427" s="3" t="e">
        <f ca="1">_xll.BDH($C$403,"BS_OTHER_INV","FQ4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428" spans="1:113" x14ac:dyDescent="0.3">
      <c r="A428" s="6">
        <v>18</v>
      </c>
      <c r="B428" s="6" t="s">
        <v>118</v>
      </c>
      <c r="C428" s="6" t="s">
        <v>119</v>
      </c>
      <c r="D428" s="6" t="s">
        <v>76</v>
      </c>
      <c r="E428" t="s">
        <v>77</v>
      </c>
      <c r="F428" t="e">
        <f ca="1">_xll.BDH($C$428,"RETURN_COM_EQY","FY 2014","FY 2014","Currency=INR","Period=FY","BEST_FPERIOD_OVERRIDE=FY","FILING_STATUS=OR","EQY_CONSOLIDATED=Y","FA_ADJUSTED=GAAP","Sort=A","Dates=H","DateFormat=P","Fill=—","Direction=H","UseDPDF=Y")</f>
        <v>#NAME?</v>
      </c>
      <c r="G428" t="e">
        <f ca="1">_xll.BDH($C$428,"RETURN_ON_ASSET","FY 2014","FY 2014","Currency=INR","Period=FY","BEST_FPERIOD_OVERRIDE=FY","FILING_STATUS=OR","EQY_CONSOLIDATED=Y","FA_ADJUSTED=GAAP","Sort=A","Dates=H","DateFormat=P","Fill=—","Direction=H","UseDPDF=Y")</f>
        <v>#NAME?</v>
      </c>
      <c r="H428" t="e">
        <f ca="1">_xll.BDH($C$428,"RETURN_ON_CAP","FY 2014","FY 2014","Currency=INR","Period=FY","BEST_FPERIOD_OVERRIDE=FY","FILING_STATUS=OR","EQY_CONSOLIDATED=Y","FA_ADJUSTED=GAAP","Sort=A","Dates=H","DateFormat=P","Fill=—","Direction=H","UseDPDF=Y")</f>
        <v>#NAME?</v>
      </c>
      <c r="I428" t="e">
        <f ca="1">_xll.BDH($C$428,"RETURN_ON_INV_CAPITAL","FY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428" t="e">
        <f ca="1">_xll.BDH($C$428,"EBITDA_TO_REVENUE","FY 2014","FY 2014","Currency=INR","Period=FY","BEST_FPERIOD_OVERRIDE=FY","FILING_STATUS=OR","EQY_CONSOLIDATED=Y","FA_ADJUSTED=GAAP","Sort=A","Dates=H","DateFormat=P","Fill=—","Direction=H","UseDPDF=Y")</f>
        <v>#NAME?</v>
      </c>
      <c r="K428" t="e">
        <f ca="1">_xll.BDH($C$428,"OPER_MARGIN","FY 2014","FY 2014","Currency=INR","Period=FY","BEST_FPERIOD_OVERRIDE=FY","FILING_STATUS=OR","EQY_CONSOLIDATED=Y","FA_ADJUSTED=GAAP","Sort=A","Dates=H","DateFormat=P","Fill=—","Direction=H","UseDPDF=Y")</f>
        <v>#NAME?</v>
      </c>
      <c r="L428" t="e">
        <f ca="1">_xll.BDH($C$428,"INCREMENTAL_OPERATING_MARGIN","FY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428" t="e">
        <f ca="1">_xll.BDH($C$428,"PRETAX_INC_TO_NET_SALES","FY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428" t="e">
        <f ca="1">_xll.BDH($C$428,"INC_BEF_XO_ITEMS_TO_NET_SALES","FY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428" t="e">
        <f ca="1">_xll.BDH($C$428,"PROF_MARGIN","FY 2014","FY 2014","Currency=INR","Period=FY","BEST_FPERIOD_OVERRIDE=FY","FILING_STATUS=OR","EQY_CONSOLIDATED=Y","FA_ADJUSTED=GAAP","Sort=A","Dates=H","DateFormat=P","Fill=—","Direction=H","UseDPDF=Y")</f>
        <v>#NAME?</v>
      </c>
      <c r="P428" t="e">
        <f ca="1">_xll.BDH($C$428,"NET_INCOME_TO_COMMON_MARGIN","FY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428" t="e">
        <f ca="1">_xll.BDH($C$428,"EFF_TAX_RATE","FY 2014","FY 2014","Currency=INR","Period=FY","BEST_FPERIOD_OVERRIDE=FY","FILING_STATUS=OR","EQY_CONSOLIDATED=Y","FA_ADJUSTED=GAAP","Sort=A","Dates=H","DateFormat=P","Fill=—","Direction=H","UseDPDF=Y")</f>
        <v>#NAME?</v>
      </c>
      <c r="R428" t="e">
        <f ca="1">_xll.BDH($C$428,"DVD_PAYOUT_RATIO","FY 2014","FY 2014","Currency=INR","Period=FY","BEST_FPERIOD_OVERRIDE=FY","FILING_STATUS=OR","EQY_CONSOLIDATED=Y","FA_ADJUSTED=GAAP","Sort=A","Dates=H","DateFormat=P","Fill=—","Direction=H","UseDPDF=Y")</f>
        <v>#NAME?</v>
      </c>
      <c r="S428" t="e">
        <f ca="1">_xll.BDH($C$428,"SUSTAIN_GROWTH_RT","FY 2014","FY 2014","Currency=INR","Period=FY","BEST_FPERIOD_OVERRIDE=FY","FILING_STATUS=OR","EQY_CONSOLIDATED=Y","FA_ADJUSTED=GAAP","Sort=A","Dates=H","DateFormat=P","Fill=—","Direction=H","UseDPDF=Y")</f>
        <v>#NAME?</v>
      </c>
      <c r="T428" s="2" t="e">
        <f ca="1">_xll.BDH($C$428,"SALES_GROWTH","FY 2014","FY 2014","Currency=INR","Period=FY","BEST_FPERIOD_OVERRIDE=FY","FILING_STATUS=OR","EQY_CONSOLIDATED=Y","FA_ADJUSTED=GAAP","Sort=A","Dates=H","DateFormat=P","Fill=—","Direction=H","UseDPDF=Y")</f>
        <v>#NAME?</v>
      </c>
      <c r="U428" s="2" t="e">
        <f ca="1">_xll.BDH($C$428,"EBITDA_GROWTH","FY 2014","FY 2014","Currency=INR","Period=FY","BEST_FPERIOD_OVERRIDE=FY","FILING_STATUS=OR","EQY_CONSOLIDATED=Y","FA_ADJUSTED=GAAP","Sort=A","Dates=H","DateFormat=P","Fill=—","Direction=H","UseDPDF=Y")</f>
        <v>#NAME?</v>
      </c>
      <c r="V428" s="2" t="e">
        <f ca="1">_xll.BDH($C$428,"OPER_INC_GROWTH","FY 2014","FY 2014","Currency=INR","Period=FY","BEST_FPERIOD_OVERRIDE=FY","FILING_STATUS=OR","EQY_CONSOLIDATED=Y","FA_ADJUSTED=GAAP","Sort=A","Dates=H","DateFormat=P","Fill=—","Direction=H","UseDPDF=Y")</f>
        <v>#NAME?</v>
      </c>
      <c r="W428" s="2" t="e">
        <f ca="1">_xll.BDH($C$428,"EARN_FOR_COM_GROWTH","FY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428" s="2" t="e">
        <f ca="1">_xll.BDH($C$428,"DILUTED_EPS_AFT_XO_ITEMS_GROWTH","FY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428" s="2" t="e">
        <f ca="1">_xll.BDH($C$428,"DIVIDEND_PER_SHARE_1_YEAR_GROWTH","FY 2014","FY 2014","Currency=INR","Period=FY","BEST_FPERIOD_OVERRIDE=FY","FILING_STATUS=OR","EQY_CONSOLIDATED=Y","Sort=A","Dates=H","DateFormat=P","Fill=—","Direction=H","UseDPDF=Y")</f>
        <v>#NAME?</v>
      </c>
      <c r="Z428" s="2" t="e">
        <f ca="1">_xll.BDH($C$428,"ACCOUNTS_RECEIVABLE_GROWTH","FY 2014","FY 2014","Currency=INR","Period=FY","BEST_FPERIOD_OVERRIDE=FY","FILING_STATUS=OR","EQY_CONSOLIDATED=Y","Sort=A","Dates=H","DateFormat=P","Fill=—","Direction=H","UseDPDF=Y")</f>
        <v>#NAME?</v>
      </c>
      <c r="AA428" s="2" t="e">
        <f ca="1">_xll.BDH($C$428,"INVENTORY_GROWTH","FY 2014","FY 2014","Currency=INR","Period=FY","BEST_FPERIOD_OVERRIDE=FY","FILING_STATUS=OR","EQY_CONSOLIDATED=Y","Sort=A","Dates=H","DateFormat=P","Fill=—","Direction=H","UseDPDF=Y")</f>
        <v>#NAME?</v>
      </c>
      <c r="AB428" s="2" t="e">
        <f ca="1">_xll.BDH($C$428,"NET_FIXED_ASSETS_1_YEAR_GROWTH","FY 2014","FY 2014","Currency=INR","Period=FY","BEST_FPERIOD_OVERRIDE=FY","FILING_STATUS=OR","EQY_CONSOLIDATED=Y","Sort=A","Dates=H","DateFormat=P","Fill=—","Direction=H","UseDPDF=Y")</f>
        <v>#NAME?</v>
      </c>
      <c r="AC428" s="2" t="e">
        <f ca="1">_xll.BDH($C$428,"ASSET_GROWTH","FY 2014","FY 2014","Currency=INR","Period=FY","BEST_FPERIOD_OVERRIDE=FY","FILING_STATUS=OR","EQY_CONSOLIDATED=Y","Sort=A","Dates=H","DateFormat=P","Fill=—","Direction=H","UseDPDF=Y")</f>
        <v>#NAME?</v>
      </c>
      <c r="AD428" s="2" t="e">
        <f ca="1">_xll.BDH($C$428,"MODIFIED_WORK_CAP_GROWTH","FY 2014","FY 2014","Currency=INR","Period=FY","BEST_FPERIOD_OVERRIDE=FY","FILING_STATUS=OR","EQY_CONSOLIDATED=Y","Sort=A","Dates=H","DateFormat=P","Fill=—","Direction=H","UseDPDF=Y")</f>
        <v>#NAME?</v>
      </c>
      <c r="AE428" s="2" t="e">
        <f ca="1">_xll.BDH($C$428,"WORK_CAP_GROWTH","FY 2014","FY 2014","Currency=INR","Period=FY","BEST_FPERIOD_OVERRIDE=FY","FILING_STATUS=OR","EQY_CONSOLIDATED=Y","Sort=A","Dates=H","DateFormat=P","Fill=—","Direction=H","UseDPDF=Y")</f>
        <v>#NAME?</v>
      </c>
      <c r="AF428" s="2" t="e">
        <f ca="1">_xll.BDH($C$428,"ACCOUNTS_PAYABLE_GROWTH_1YR","FY 2014","FY 2014","Currency=INR","Period=FY","BEST_FPERIOD_OVERRIDE=FY","FILING_STATUS=OR","EQY_CONSOLIDATED=Y","Sort=A","Dates=H","DateFormat=P","Fill=—","Direction=H","UseDPDF=Y")</f>
        <v>#NAME?</v>
      </c>
      <c r="AG428" s="2" t="e">
        <f ca="1">_xll.BDH($C$428,"SHORT_TERM_DEBT_1_YEAR_GROWTH","FY 2014","FY 2014","Currency=INR","Period=FY","BEST_FPERIOD_OVERRIDE=FY","FILING_STATUS=OR","EQY_CONSOLIDATED=Y","Sort=A","Dates=H","DateFormat=P","Fill=—","Direction=H","UseDPDF=Y")</f>
        <v>#NAME?</v>
      </c>
      <c r="AH428" s="2" t="e">
        <f ca="1">_xll.BDH($C$428,"TOTAL_DEBT_1_YEAR_GROWTH","FY 2014","FY 2014","Currency=INR","Period=FY","BEST_FPERIOD_OVERRIDE=FY","FILING_STATUS=OR","EQY_CONSOLIDATED=Y","Sort=A","Dates=H","DateFormat=P","Fill=—","Direction=H","UseDPDF=Y")</f>
        <v>#NAME?</v>
      </c>
      <c r="AI428" s="2" t="e">
        <f ca="1">_xll.BDH($C$428,"TOTAL_EQUITY_1_YEAR_GROWTH","FY 2014","FY 2014","Currency=INR","Period=FY","BEST_FPERIOD_OVERRIDE=FY","FILING_STATUS=OR","EQY_CONSOLIDATED=Y","Sort=A","Dates=H","DateFormat=P","Fill=—","Direction=H","UseDPDF=Y")</f>
        <v>#NAME?</v>
      </c>
      <c r="AJ428" s="2" t="e">
        <f ca="1">_xll.BDH($C$428,"GROWTH_IN_CAP","FY 2014","FY 2014","Currency=INR","Period=FY","BEST_FPERIOD_OVERRIDE=FY","FILING_STATUS=OR","EQY_CONSOLIDATED=Y","Sort=A","Dates=H","DateFormat=P","Fill=—","Direction=H","UseDPDF=Y")</f>
        <v>#NAME?</v>
      </c>
      <c r="AK428" s="2" t="e">
        <f ca="1">_xll.BDH($C$428,"BVPS_GROWTH","FY 2014","FY 2014","Currency=INR","Period=FY","BEST_FPERIOD_OVERRIDE=FY","FILING_STATUS=OR","EQY_CONSOLIDATED=Y","Sort=A","Dates=H","DateFormat=P","Fill=—","Direction=H","UseDPDF=Y")</f>
        <v>#NAME?</v>
      </c>
      <c r="AL428" s="2" t="e">
        <f ca="1">_xll.BDH($C$428,"CASH_FLOW_GROWTH","FY 2014","FY 2014","Currency=INR","Period=FY","BEST_FPERIOD_OVERRIDE=FY","FILING_STATUS=OR","EQY_CONSOLIDATED=Y","Sort=A","Dates=H","DateFormat=P","Fill=—","Direction=H","UseDPDF=Y")</f>
        <v>#NAME?</v>
      </c>
      <c r="AM428" s="2" t="e">
        <f ca="1">_xll.BDH($C$428,"GEO_GROW_NET_SALES","FY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428" s="2" t="e">
        <f ca="1">_xll.BDH($C$428,"GEO_GROW_EBITDA","FY 2014","FY 2014","Currency=INR","Period=FY","BEST_FPERIOD_OVERRIDE=FY","FILING_STATUS=OR","EQY_CONSOLIDATED=Y","FA_ADJUSTED=GAAP","Sort=A","Dates=H","DateFormat=P","Fill=—","Direction=H","UseDPDF=Y")</f>
        <v>#NAME?</v>
      </c>
      <c r="AO428" s="2" t="e">
        <f ca="1">_xll.BDH($C$428,"GEO_GROW_OPER_INC","FY 2014","FY 2014","Currency=INR","Period=FY","BEST_FPERIOD_OVERRIDE=FY","FILING_STATUS=OR","EQY_CONSOLIDATED=Y","FA_ADJUSTED=GAAP","Sort=A","Dates=H","DateFormat=P","Fill=—","Direction=H","UseDPDF=Y")</f>
        <v>#NAME?</v>
      </c>
      <c r="AP428" s="2" t="e">
        <f ca="1">_xll.BDH($C$428,"NET_INCOME_TO_COMMON_5_YR_GROWTH","FY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428" s="2" t="e">
        <f ca="1">_xll.BDH($C$428,"5Y_GEO_GROWTH_DILUTED_EPS","FY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428" s="2" t="e">
        <f ca="1">_xll.BDH($C$428,"GEO_GROW_DVD_PER_SH","FY 2014","FY 2014","Currency=INR","Period=FY","BEST_FPERIOD_OVERRIDE=FY","FILING_STATUS=OR","EQY_CONSOLIDATED=Y","Sort=A","Dates=H","DateFormat=P","Fill=—","Direction=H","UseDPDF=Y")</f>
        <v>#NAME?</v>
      </c>
      <c r="AS428" s="2" t="e">
        <f ca="1">_xll.BDH($C$428,"ACCOUNTS_RECEIVABLE_5_YR_GROWTH","FY 2014","FY 2014","Currency=INR","Period=FY","BEST_FPERIOD_OVERRIDE=FY","FILING_STATUS=OR","EQY_CONSOLIDATED=Y","Sort=A","Dates=H","DateFormat=P","Fill=—","Direction=H","UseDPDF=Y")</f>
        <v>#NAME?</v>
      </c>
      <c r="AT428" s="2" t="e">
        <f ca="1">_xll.BDH($C$428,"INVENTORY_5_YEAR_GROWTH","FY 2014","FY 2014","Currency=INR","Period=FY","BEST_FPERIOD_OVERRIDE=FY","FILING_STATUS=OR","EQY_CONSOLIDATED=Y","Sort=A","Dates=H","DateFormat=P","Fill=—","Direction=H","UseDPDF=Y")</f>
        <v>#NAME?</v>
      </c>
      <c r="AU428" s="2" t="e">
        <f ca="1">_xll.BDH($C$428,"NET_FIXED_ASSETS_5_YEAR_GROWTH","FY 2014","FY 2014","Currency=INR","Period=FY","BEST_FPERIOD_OVERRIDE=FY","FILING_STATUS=OR","EQY_CONSOLIDATED=Y","Sort=A","Dates=H","DateFormat=P","Fill=—","Direction=H","UseDPDF=Y")</f>
        <v>#NAME?</v>
      </c>
      <c r="AV428" s="2" t="e">
        <f ca="1">_xll.BDH($C$428,"GEO_GROW_TOT_ASSET","FY 2014","FY 2014","Currency=INR","Period=FY","BEST_FPERIOD_OVERRIDE=FY","FILING_STATUS=OR","EQY_CONSOLIDATED=Y","Sort=A","Dates=H","DateFormat=P","Fill=—","Direction=H","UseDPDF=Y")</f>
        <v>#NAME?</v>
      </c>
      <c r="AW428" s="2" t="e">
        <f ca="1">_xll.BDH($C$428,"MODIFIED_WORKING_CPTL_5YR_GRWTH","FY 2014","FY 2014","Currency=INR","Period=FY","BEST_FPERIOD_OVERRIDE=FY","FILING_STATUS=OR","EQY_CONSOLIDATED=Y","Sort=A","Dates=H","DateFormat=P","Fill=—","Direction=H","UseDPDF=Y")</f>
        <v>#NAME?</v>
      </c>
      <c r="AX428" s="2" t="e">
        <f ca="1">_xll.BDH($C$428,"WORKING_CAPITAL_5_YEAR_GROWTH","FY 2014","FY 2014","Currency=INR","Period=FY","BEST_FPERIOD_OVERRIDE=FY","FILING_STATUS=OR","EQY_CONSOLIDATED=Y","Sort=A","Dates=H","DateFormat=P","Fill=—","Direction=H","UseDPDF=Y")</f>
        <v>#NAME?</v>
      </c>
      <c r="AY428" s="2" t="e">
        <f ca="1">_xll.BDH($C$428,"ACCOUNTS_PAYABLE_5_YEAR_GROWTH","FY 2014","FY 2014","Currency=INR","Period=FY","BEST_FPERIOD_OVERRIDE=FY","FILING_STATUS=OR","EQY_CONSOLIDATED=Y","Sort=A","Dates=H","DateFormat=P","Fill=—","Direction=H","UseDPDF=Y")</f>
        <v>#NAME?</v>
      </c>
      <c r="AZ428" s="2" t="e">
        <f ca="1">_xll.BDH($C$428,"SHORT_TERM_DEBT_5_YEAR_GROWTH","FY 2014","FY 2014","Currency=INR","Period=FY","BEST_FPERIOD_OVERRIDE=FY","FILING_STATUS=OR","EQY_CONSOLIDATED=Y","Sort=A","Dates=H","DateFormat=P","Fill=—","Direction=H","UseDPDF=Y")</f>
        <v>#NAME?</v>
      </c>
      <c r="BA428" s="2" t="e">
        <f ca="1">_xll.BDH($C$428,"TOTAL_DEBT_5_YEAR_GROWTH","FY 2014","FY 2014","Currency=INR","Period=FY","BEST_FPERIOD_OVERRIDE=FY","FILING_STATUS=OR","EQY_CONSOLIDATED=Y","Sort=A","Dates=H","DateFormat=P","Fill=—","Direction=H","UseDPDF=Y")</f>
        <v>#NAME?</v>
      </c>
      <c r="BB428" s="2" t="e">
        <f ca="1">_xll.BDH($C$428,"GEO_GROW_TOT_SHRHLDR_EQY","FY 2014","FY 2014","Currency=INR","Period=FY","BEST_FPERIOD_OVERRIDE=FY","FILING_STATUS=OR","EQY_CONSOLIDATED=Y","Sort=A","Dates=H","DateFormat=P","Fill=—","Direction=H","UseDPDF=Y")</f>
        <v>#NAME?</v>
      </c>
      <c r="BC428" s="2" t="e">
        <f ca="1">_xll.BDH($C$428,"TOTAL_CAPITAL_5_YEAR_GROWTH","FY 2014","FY 2014","Currency=INR","Period=FY","BEST_FPERIOD_OVERRIDE=FY","FILING_STATUS=OR","EQY_CONSOLIDATED=Y","Sort=A","Dates=H","DateFormat=P","Fill=—","Direction=H","UseDPDF=Y")</f>
        <v>#NAME?</v>
      </c>
      <c r="BD428" s="2" t="e">
        <f ca="1">_xll.BDH($C$428,"GEO_GROW_BOOK_VAL","FY 2014","FY 2014","Currency=INR","Period=FY","BEST_FPERIOD_OVERRIDE=FY","FILING_STATUS=OR","EQY_CONSOLIDATED=Y","Sort=A","Dates=H","DateFormat=P","Fill=—","Direction=H","UseDPDF=Y")</f>
        <v>#NAME?</v>
      </c>
      <c r="BE428" s="2" t="e">
        <f ca="1">_xll.BDH($C$428,"GEO_GROW_CASH_OPER_ACT","FY 2014","FY 2014","Currency=INR","Period=FY","BEST_FPERIOD_OVERRIDE=FY","FILING_STATUS=OR","EQY_CONSOLIDATED=Y","Sort=A","Dates=H","DateFormat=P","Fill=—","Direction=H","UseDPDF=Y")</f>
        <v>#NAME?</v>
      </c>
      <c r="BF428" s="2" t="e">
        <f ca="1">_xll.BDH($C$428,"REVENUE_SEQUENTIAL_GROWTH","FY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428" s="2" t="e">
        <f ca="1">_xll.BDH($C$428,"EBITDA_SEQUENTIAL_GROWTH","FY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428" s="2" t="e">
        <f ca="1">_xll.BDH($C$428,"OPERATING_INCOME_SEQ_GROWTH","FY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428" s="2" t="e">
        <f ca="1">_xll.BDH($C$428,"NET_INCOME_TO_COMMON_SEQ_GROWTH","FY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428" s="2" t="e">
        <f ca="1">_xll.BDH($C$428,"EPS_DILUTED_SEQUENTIAL_GROWTH","FY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428" s="2" t="e">
        <f ca="1">_xll.BDH($C$428,"DPS_SEQUENTIAL_GROWTH","FY 2014","FY 2014","Currency=INR","Period=FY","BEST_FPERIOD_OVERRIDE=FY","FILING_STATUS=OR","EQY_CONSOLIDATED=Y","Sort=A","Dates=H","DateFormat=P","Fill=—","Direction=H","UseDPDF=Y")</f>
        <v>#NAME?</v>
      </c>
      <c r="BL428" s="2" t="e">
        <f ca="1">_xll.BDH($C$428,"ACCOUNTS_RECEIVABLE_SEQ_GROWTH","FY 2014","FY 2014","Currency=INR","Period=FY","BEST_FPERIOD_OVERRIDE=FY","FILING_STATUS=OR","EQY_CONSOLIDATED=Y","Sort=A","Dates=H","DateFormat=P","Fill=—","Direction=H","UseDPDF=Y")</f>
        <v>#NAME?</v>
      </c>
      <c r="BM428" s="2" t="e">
        <f ca="1">_xll.BDH($C$428,"INVENTORY_SEQUENTIAL_GROWTH","FY 2014","FY 2014","Currency=INR","Period=FY","BEST_FPERIOD_OVERRIDE=FY","FILING_STATUS=OR","EQY_CONSOLIDATED=Y","Sort=A","Dates=H","DateFormat=P","Fill=—","Direction=H","UseDPDF=Y")</f>
        <v>#NAME?</v>
      </c>
      <c r="BN428" s="2" t="e">
        <f ca="1">_xll.BDH($C$428,"FIXED_ASSETS_SEQUENTIAL_GROWTH","FY 2014","FY 2014","Currency=INR","Period=FY","BEST_FPERIOD_OVERRIDE=FY","FILING_STATUS=OR","EQY_CONSOLIDATED=Y","Sort=A","Dates=H","DateFormat=P","Fill=—","Direction=H","UseDPDF=Y")</f>
        <v>#NAME?</v>
      </c>
      <c r="BO428" s="2" t="e">
        <f ca="1">_xll.BDH($C$428,"TOTAL_ASSETS_SEQUENTIAL_GROWTH","FY 2014","FY 2014","Currency=INR","Period=FY","BEST_FPERIOD_OVERRIDE=FY","FILING_STATUS=OR","EQY_CONSOLIDATED=Y","Sort=A","Dates=H","DateFormat=P","Fill=—","Direction=H","UseDPDF=Y")</f>
        <v>#NAME?</v>
      </c>
      <c r="BP428" s="2" t="e">
        <f ca="1">_xll.BDH($C$428,"MODIFIED_WORKING_CPTL_SEQ_GRWTH","FY 2014","FY 2014","Currency=INR","Period=FY","BEST_FPERIOD_OVERRIDE=FY","FILING_STATUS=OR","EQY_CONSOLIDATED=Y","Sort=A","Dates=H","DateFormat=P","Fill=—","Direction=H","UseDPDF=Y")</f>
        <v>#NAME?</v>
      </c>
      <c r="BQ428" s="2" t="e">
        <f ca="1">_xll.BDH($C$428,"WORKING_CAPITAL_SEQ_GROWTH","FY 2014","FY 2014","Currency=INR","Period=FY","BEST_FPERIOD_OVERRIDE=FY","FILING_STATUS=OR","EQY_CONSOLIDATED=Y","Sort=A","Dates=H","DateFormat=P","Fill=—","Direction=H","UseDPDF=Y")</f>
        <v>#NAME?</v>
      </c>
      <c r="BR428" s="2" t="e">
        <f ca="1">_xll.BDH($C$428,"ACCOUNTS_PAYABLE_SEQ_GROWTH","FY 2014","FY 2014","Currency=INR","Period=FY","BEST_FPERIOD_OVERRIDE=FY","FILING_STATUS=OR","EQY_CONSOLIDATED=Y","Sort=A","Dates=H","DateFormat=P","Fill=—","Direction=H","UseDPDF=Y")</f>
        <v>#NAME?</v>
      </c>
      <c r="BS428" s="2" t="e">
        <f ca="1">_xll.BDH($C$428,"ST_DEBT_SEQUENTIAL_GROWTH","FY 2014","FY 2014","Currency=INR","Period=FY","BEST_FPERIOD_OVERRIDE=FY","FILING_STATUS=OR","EQY_CONSOLIDATED=Y","Sort=A","Dates=H","DateFormat=P","Fill=—","Direction=H","UseDPDF=Y")</f>
        <v>#NAME?</v>
      </c>
      <c r="BT428" s="2" t="e">
        <f ca="1">_xll.BDH($C$428,"TOTAL_DEBT_SEQUENTIAL_GROWTH","FY 2014","FY 2014","Currency=INR","Period=FY","BEST_FPERIOD_OVERRIDE=FY","FILING_STATUS=OR","EQY_CONSOLIDATED=Y","Sort=A","Dates=H","DateFormat=P","Fill=—","Direction=H","UseDPDF=Y")</f>
        <v>#NAME?</v>
      </c>
      <c r="BU428" s="2" t="e">
        <f ca="1">_xll.BDH($C$428,"TOTAL_EQUITY_SEQUENTIAL_GROWTH","FY 2014","FY 2014","Currency=INR","Period=FY","BEST_FPERIOD_OVERRIDE=FY","FILING_STATUS=OR","EQY_CONSOLIDATED=Y","Sort=A","Dates=H","DateFormat=P","Fill=—","Direction=H","UseDPDF=Y")</f>
        <v>#NAME?</v>
      </c>
      <c r="BV428" s="2" t="e">
        <f ca="1">_xll.BDH($C$428,"TOTAL_CAPITAL_SEQUENTIAL_GROWTH","FY 2014","FY 2014","Currency=INR","Period=FY","BEST_FPERIOD_OVERRIDE=FY","FILING_STATUS=OR","EQY_CONSOLIDATED=Y","Sort=A","Dates=H","DateFormat=P","Fill=—","Direction=H","UseDPDF=Y")</f>
        <v>#NAME?</v>
      </c>
      <c r="BW428" s="2" t="e">
        <f ca="1">_xll.BDH($C$428,"BPS_SEQUENTIAL_GROWTH","FY 2014","FY 2014","Currency=INR","Period=FY","BEST_FPERIOD_OVERRIDE=FY","FILING_STATUS=OR","EQY_CONSOLIDATED=Y","Sort=A","Dates=H","DateFormat=P","Fill=—","Direction=H","UseDPDF=Y")</f>
        <v>#NAME?</v>
      </c>
      <c r="BX428" s="2" t="e">
        <f ca="1">_xll.BDH($C$428,"CFO_SEQUENTIAL_GROWTH","FY 2014","FY 2014","Currency=INR","Period=FY","BEST_FPERIOD_OVERRIDE=FY","FILING_STATUS=OR","EQY_CONSOLIDATED=Y","Sort=A","Dates=H","DateFormat=P","Fill=—","Direction=H","UseDPDF=Y")</f>
        <v>#NAME?</v>
      </c>
      <c r="BY428" s="3" t="e">
        <f ca="1">_xll.BDH($C$428,"SHORT_AND_LONG_TERM_DEBT","FY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428" s="3" t="e">
        <f ca="1">_xll.BDH($C$428,"BS_ST_BORROW","FY 2014","FY 2014","Currency=INR","Period=FY","BEST_FPERIOD_OVERRIDE=FY","FILING_STATUS=OR","EQY_CONSOLIDATED=Y","SCALING_FORMAT=MLN","Sort=A","Dates=H","DateFormat=P","Fill=—","Direction=H","UseDPDF=Y")</f>
        <v>#NAME?</v>
      </c>
      <c r="CA428" s="3" t="e">
        <f ca="1">_xll.BDH($C$428,"BS_LT_BORROW","FY 2014","FY 2014","Currency=INR","Period=FY","BEST_FPERIOD_OVERRIDE=FY","FILING_STATUS=OR","EQY_CONSOLIDATED=Y","SCALING_FORMAT=MLN","Sort=A","Dates=H","DateFormat=P","Fill=—","Direction=H","UseDPDF=Y")</f>
        <v>#NAME?</v>
      </c>
      <c r="CB428" s="2" t="e">
        <f ca="1">_xll.BDH($C$428,"TOT_DEBT_TO_EBITDA","FY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428" s="2" t="e">
        <f ca="1">_xll.BDH($C$428,"NET_DEBT_TO_EBITDA","FY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428" s="2" t="e">
        <f ca="1">_xll.BDH($C$428,"TOTAL_DEBT_TO_EBIT","FY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428" s="2" t="e">
        <f ca="1">_xll.BDH($C$428,"NET_DEBT_TO_EBIT","FY 2014","FY 2014","Currency=INR","Period=FY","BEST_FPERIOD_OVERRIDE=FY","FILING_STATUS=OR","EQY_CONSOLIDATED=Y","FA_ADJUSTED=GAAP","Sort=A","Dates=H","DateFormat=P","Fill=—","Direction=H","UseDPDF=Y")</f>
        <v>#NAME?</v>
      </c>
      <c r="CF428" s="2" t="e">
        <f ca="1">_xll.BDH($C$428,"EBITDA_TO_INTEREST_EXPN","FY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428" s="2" t="e">
        <f ca="1">_xll.BDH($C$428,"COM_EQY_TO_TOT_ASSET","FY 2014","FY 2014","Currency=INR","Period=FY","BEST_FPERIOD_OVERRIDE=FY","FILING_STATUS=OR","EQY_CONSOLIDATED=Y","Sort=A","Dates=H","DateFormat=P","Fill=—","Direction=H","UseDPDF=Y")</f>
        <v>#NAME?</v>
      </c>
      <c r="CH428" s="2" t="e">
        <f ca="1">_xll.BDH($C$428,"LT_DEBT_TO_TOT_EQY","FY 2014","FY 2014","Currency=INR","Period=FY","BEST_FPERIOD_OVERRIDE=FY","FILING_STATUS=OR","EQY_CONSOLIDATED=Y","Sort=A","Dates=H","DateFormat=P","Fill=—","Direction=H","UseDPDF=Y")</f>
        <v>#NAME?</v>
      </c>
      <c r="CI428" s="2" t="e">
        <f ca="1">_xll.BDH($C$428,"LT_DEBT_TO_TOT_CAP","FY 2014","FY 2014","Currency=INR","Period=FY","BEST_FPERIOD_OVERRIDE=FY","FILING_STATUS=OR","EQY_CONSOLIDATED=Y","Sort=A","Dates=H","DateFormat=P","Fill=—","Direction=H","UseDPDF=Y")</f>
        <v>#NAME?</v>
      </c>
      <c r="CJ428" s="2" t="e">
        <f ca="1">_xll.BDH($C$428,"LT_DEBT_TO_TOT_ASSET","FY 2014","FY 2014","Currency=INR","Period=FY","BEST_FPERIOD_OVERRIDE=FY","FILING_STATUS=OR","EQY_CONSOLIDATED=Y","Sort=A","Dates=H","DateFormat=P","Fill=—","Direction=H","UseDPDF=Y")</f>
        <v>#NAME?</v>
      </c>
      <c r="CK428" s="2" t="e">
        <f ca="1">_xll.BDH($C$428,"TOT_DEBT_TO_TOT_EQY","FY 2014","FY 2014","Currency=INR","Period=FY","BEST_FPERIOD_OVERRIDE=FY","FILING_STATUS=OR","EQY_CONSOLIDATED=Y","Sort=A","Dates=H","DateFormat=P","Fill=—","Direction=H","UseDPDF=Y")</f>
        <v>#NAME?</v>
      </c>
      <c r="CL428" s="2" t="e">
        <f ca="1">_xll.BDH($C$428,"TOT_DEBT_TO_TOT_CAP","FY 2014","FY 2014","Currency=INR","Period=FY","BEST_FPERIOD_OVERRIDE=FY","FILING_STATUS=OR","EQY_CONSOLIDATED=Y","Sort=A","Dates=H","DateFormat=P","Fill=—","Direction=H","UseDPDF=Y")</f>
        <v>#NAME?</v>
      </c>
      <c r="CM428" s="2" t="e">
        <f ca="1">_xll.BDH($C$428,"TOT_DEBT_TO_TOT_ASSET","FY 2014","FY 2014","Currency=INR","Period=FY","BEST_FPERIOD_OVERRIDE=FY","FILING_STATUS=OR","EQY_CONSOLIDATED=Y","Sort=A","Dates=H","DateFormat=P","Fill=—","Direction=H","UseDPDF=Y")</f>
        <v>#NAME?</v>
      </c>
      <c r="CN428" s="2" t="e">
        <f ca="1">_xll.BDH($C$428,"NET_DEBT_TO_SHRHLDR_EQTY","FY 2014","FY 2014","Currency=INR","Period=FY","BEST_FPERIOD_OVERRIDE=FY","FILING_STATUS=OR","EQY_CONSOLIDATED=Y","Sort=A","Dates=H","DateFormat=P","Fill=—","Direction=H","UseDPDF=Y")</f>
        <v>#NAME?</v>
      </c>
      <c r="CO428" s="2" t="e">
        <f ca="1">_xll.BDH($C$428,"NET_DEBT_%_CAPITAL","FY 2014","FY 2014","Currency=INR","Period=FY","BEST_FPERIOD_OVERRIDE=FY","FILING_STATUS=OR","EQY_CONSOLIDATED=Y","Sort=A","Dates=H","DateFormat=P","Fill=—","Direction=H","UseDPDF=Y")</f>
        <v>#NAME?</v>
      </c>
      <c r="CP428" s="3" t="e">
        <f ca="1">_xll.BDH($C$428,"EBITDA","FY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428" s="3" t="e">
        <f ca="1">_xll.BDH($C$428,"EBITDA_AFTER_CAPEX","FY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428" s="3" t="e">
        <f ca="1">_xll.BDH($C$428,"IS_OPER_INC","FY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428" s="2" t="e">
        <f ca="1">_xll.BDH($C$428,"CASH_RATIO","FY 2014","FY 2014","Currency=INR","Period=FY","BEST_FPERIOD_OVERRIDE=FY","FILING_STATUS=OR","EQY_CONSOLIDATED=Y","Sort=A","Dates=H","DateFormat=P","Fill=—","Direction=H","UseDPDF=Y")</f>
        <v>#NAME?</v>
      </c>
      <c r="CT428" s="2" t="e">
        <f ca="1">_xll.BDH($C$428,"CUR_RATIO","FY 2014","FY 2014","Currency=INR","Period=FY","BEST_FPERIOD_OVERRIDE=FY","FILING_STATUS=OR","EQY_CONSOLIDATED=Y","Sort=A","Dates=H","DateFormat=P","Fill=—","Direction=H","UseDPDF=Y")</f>
        <v>#NAME?</v>
      </c>
      <c r="CU428" s="2" t="e">
        <f ca="1">_xll.BDH($C$428,"QUICK_RATIO","FY 2014","FY 2014","Currency=INR","Period=FY","BEST_FPERIOD_OVERRIDE=FY","FILING_STATUS=OR","EQY_CONSOLIDATED=Y","Sort=A","Dates=H","DateFormat=P","Fill=—","Direction=H","UseDPDF=Y")</f>
        <v>#NAME?</v>
      </c>
      <c r="CV428" s="2" t="e">
        <f ca="1">_xll.BDH($C$428,"ALTMAN_Z_SCORE","FY 2014","FY 2014","Currency=INR","Period=FY","BEST_FPERIOD_OVERRIDE=FY","FILING_STATUS=OR","EQY_CONSOLIDATED=Y","Sort=A","Dates=H","DateFormat=P","Fill=—","Direction=H","UseDPDF=Y")</f>
        <v>#NAME?</v>
      </c>
      <c r="CW428" s="4" t="e">
        <f ca="1">_xll.BDH($C$428,"ACCT_RCV_TURN","FY 2014","FY 2014","Currency=INR","Period=FY","BEST_FPERIOD_OVERRIDE=FY","FILING_STATUS=OR","EQY_CONSOLIDATED=Y","FA_ADJUSTED=GAAP","Sort=A","Dates=H","DateFormat=P","Fill=—","Direction=H","UseDPDF=Y")</f>
        <v>#NAME?</v>
      </c>
      <c r="CX428" s="2" t="e">
        <f ca="1">_xll.BDH($C$428,"ACCT_RCV_DAYS","FY 2014","FY 2014","Currency=INR","Period=FY","BEST_FPERIOD_OVERRIDE=FY","FILING_STATUS=OR","EQY_CONSOLIDATED=Y","FA_ADJUSTED=GAAP","Sort=A","Dates=H","DateFormat=P","Fill=—","Direction=H","UseDPDF=Y")</f>
        <v>#NAME?</v>
      </c>
      <c r="CY428" s="4" t="e">
        <f ca="1">_xll.BDH($C$428,"INVENT_TURN","FY 2014","FY 2014","Currency=INR","Period=FY","BEST_FPERIOD_OVERRIDE=FY","FILING_STATUS=OR","EQY_CONSOLIDATED=Y","FA_ADJUSTED=GAAP","Sort=A","Dates=H","DateFormat=P","Fill=—","Direction=H","UseDPDF=Y")</f>
        <v>#NAME?</v>
      </c>
      <c r="CZ428" s="2" t="e">
        <f ca="1">_xll.BDH($C$428,"INVENT_DAYS","FY 2014","FY 2014","Currency=INR","Period=FY","BEST_FPERIOD_OVERRIDE=FY","FILING_STATUS=OR","EQY_CONSOLIDATED=Y","FA_ADJUSTED=GAAP","Sort=A","Dates=H","DateFormat=P","Fill=—","Direction=H","UseDPDF=Y")</f>
        <v>#NAME?</v>
      </c>
      <c r="DA428" s="4" t="e">
        <f ca="1">_xll.BDH($C$428,"ACCOUNTS_PAYABLE_TURNOVER","FY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428" s="2" t="e">
        <f ca="1">_xll.BDH($C$428,"ACCOUNTS_PAYABLE_TURNOVER_DAYS","FY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428" s="4" t="e">
        <f ca="1">_xll.BDH($C$428,"CASH_CONVERSION_CYCLE","FY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428" s="4" t="e">
        <f ca="1">_xll.BDH($C$428,"INV_TO_CASH_DAYS","FY 2014","FY 2014","Currency=INR","Period=FY","BEST_FPERIOD_OVERRIDE=FY","FILING_STATUS=OR","EQY_CONSOLIDATED=Y","FA_ADJUSTED=GAAP","Sort=A","Dates=H","DateFormat=P","Fill=—","Direction=H","UseDPDF=Y")</f>
        <v>#NAME?</v>
      </c>
      <c r="DE428" s="5" t="e">
        <f ca="1">_xll.BDH($C$428,"BS_INVENTORIES","FY 2014","FY 2014","Currency=INR","Period=FY","BEST_FPERIOD_OVERRIDE=FY","FILING_STATUS=OR","EQY_CONSOLIDATED=Y","SCALING_FORMAT=MLN","Sort=A","Dates=H","DateFormat=P","Fill=—","Direction=H","UseDPDF=Y")</f>
        <v>#NAME?</v>
      </c>
      <c r="DF428" s="3" t="e">
        <f ca="1">_xll.BDH($C$428,"INVTRY_RAW_MATERIALS","FY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428" s="3" t="e">
        <f ca="1">_xll.BDH($C$428,"INVTRY_IN_PROGRESS","FY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428" s="3" t="e">
        <f ca="1">_xll.BDH($C$428,"INVTRY_FINISHED_GOODS","FY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428" s="3" t="e">
        <f ca="1">_xll.BDH($C$428,"BS_OTHER_INV","FY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429" spans="1:113" x14ac:dyDescent="0.3">
      <c r="A429" s="6"/>
      <c r="B429" s="6"/>
      <c r="C429" s="6"/>
      <c r="D429" s="6"/>
      <c r="E429" t="s">
        <v>78</v>
      </c>
      <c r="F429" t="e">
        <f ca="1">_xll.BDH($C$428,"RETURN_COM_EQY","FQ1 2014","FQ1 2014","Currency=INR","Period=FQ","BEST_FPERIOD_OVERRIDE=FQ","FILING_STATUS=OR","EQY_CONSOLIDATED=Y","FA_ADJUSTED=GAAP","Sort=A","Dates=H","DateFormat=P","Fill=—","Direction=H","UseDPDF=Y")</f>
        <v>#NAME?</v>
      </c>
      <c r="G429" t="e">
        <f ca="1">_xll.BDH($C$428,"RETURN_ON_ASSET","FQ1 2014","FQ1 2014","Currency=INR","Period=FQ","BEST_FPERIOD_OVERRIDE=FQ","FILING_STATUS=OR","EQY_CONSOLIDATED=Y","FA_ADJUSTED=GAAP","Sort=A","Dates=H","DateFormat=P","Fill=—","Direction=H","UseDPDF=Y")</f>
        <v>#NAME?</v>
      </c>
      <c r="H429" t="e">
        <f ca="1">_xll.BDH($C$428,"RETURN_ON_CAP","FQ1 2014","FQ1 2014","Currency=INR","Period=FQ","BEST_FPERIOD_OVERRIDE=FQ","FILING_STATUS=OR","EQY_CONSOLIDATED=Y","FA_ADJUSTED=GAAP","Sort=A","Dates=H","DateFormat=P","Fill=—","Direction=H","UseDPDF=Y")</f>
        <v>#NAME?</v>
      </c>
      <c r="I429" t="e">
        <f ca="1">_xll.BDH($C$428,"RETURN_ON_INV_CAPITAL","FQ1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429" t="e">
        <f ca="1">_xll.BDH($C$428,"EBITDA_TO_REVENUE","FQ1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429" t="e">
        <f ca="1">_xll.BDH($C$428,"OPER_MARGIN","FQ1 2014","FQ1 2014","Currency=INR","Period=FQ","BEST_FPERIOD_OVERRIDE=FQ","FILING_STATUS=OR","EQY_CONSOLIDATED=Y","FA_ADJUSTED=GAAP","Sort=A","Dates=H","DateFormat=P","Fill=—","Direction=H","UseDPDF=Y")</f>
        <v>#NAME?</v>
      </c>
      <c r="L429" t="e">
        <f ca="1">_xll.BDH($C$428,"INCREMENTAL_OPERATING_MARGIN","FQ1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429" t="e">
        <f ca="1">_xll.BDH($C$428,"PRETAX_INC_TO_NET_SALES","FQ1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429" t="e">
        <f ca="1">_xll.BDH($C$428,"INC_BEF_XO_ITEMS_TO_NET_SALES","FQ1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429" t="e">
        <f ca="1">_xll.BDH($C$428,"PROF_MARGIN","FQ1 2014","FQ1 2014","Currency=INR","Period=FQ","BEST_FPERIOD_OVERRIDE=FQ","FILING_STATUS=OR","EQY_CONSOLIDATED=Y","FA_ADJUSTED=GAAP","Sort=A","Dates=H","DateFormat=P","Fill=—","Direction=H","UseDPDF=Y")</f>
        <v>#NAME?</v>
      </c>
      <c r="P429" t="e">
        <f ca="1">_xll.BDH($C$428,"NET_INCOME_TO_COMMON_MARGIN","FQ1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429" t="e">
        <f ca="1">_xll.BDH($C$428,"EFF_TAX_RATE","FQ1 2014","FQ1 2014","Currency=INR","Period=FQ","BEST_FPERIOD_OVERRIDE=FQ","FILING_STATUS=OR","EQY_CONSOLIDATED=Y","FA_ADJUSTED=GAAP","Sort=A","Dates=H","DateFormat=P","Fill=—","Direction=H","UseDPDF=Y")</f>
        <v>#NAME?</v>
      </c>
      <c r="R429" t="e">
        <f ca="1">_xll.BDH($C$428,"DVD_PAYOUT_RATIO","FQ1 2014","FQ1 2014","Currency=INR","Period=FQ","BEST_FPERIOD_OVERRIDE=FQ","FILING_STATUS=OR","EQY_CONSOLIDATED=Y","FA_ADJUSTED=GAAP","Sort=A","Dates=H","DateFormat=P","Fill=—","Direction=H","UseDPDF=Y")</f>
        <v>#NAME?</v>
      </c>
      <c r="S429" t="e">
        <f ca="1">_xll.BDH($C$428,"SUSTAIN_GROWTH_RT","FQ1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429" s="2" t="e">
        <f ca="1">_xll.BDH($C$428,"SALES_GROWTH","FQ1 2014","FQ1 2014","Currency=INR","Period=FQ","BEST_FPERIOD_OVERRIDE=FQ","FILING_STATUS=OR","EQY_CONSOLIDATED=Y","FA_ADJUSTED=GAAP","Sort=A","Dates=H","DateFormat=P","Fill=—","Direction=H","UseDPDF=Y")</f>
        <v>#NAME?</v>
      </c>
      <c r="U429" s="2" t="e">
        <f ca="1">_xll.BDH($C$428,"EBITDA_GROWTH","FQ1 2014","FQ1 2014","Currency=INR","Period=FQ","BEST_FPERIOD_OVERRIDE=FQ","FILING_STATUS=OR","EQY_CONSOLIDATED=Y","FA_ADJUSTED=GAAP","Sort=A","Dates=H","DateFormat=P","Fill=—","Direction=H","UseDPDF=Y")</f>
        <v>#NAME?</v>
      </c>
      <c r="V429" s="2" t="e">
        <f ca="1">_xll.BDH($C$428,"OPER_INC_GROWTH","FQ1 2014","FQ1 2014","Currency=INR","Period=FQ","BEST_FPERIOD_OVERRIDE=FQ","FILING_STATUS=OR","EQY_CONSOLIDATED=Y","FA_ADJUSTED=GAAP","Sort=A","Dates=H","DateFormat=P","Fill=—","Direction=H","UseDPDF=Y")</f>
        <v>#NAME?</v>
      </c>
      <c r="W429" s="2" t="e">
        <f ca="1">_xll.BDH($C$428,"EARN_FOR_COM_GROWTH","FQ1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429" s="2" t="e">
        <f ca="1">_xll.BDH($C$428,"DILUTED_EPS_AFT_XO_ITEMS_GROWTH","FQ1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429" s="2" t="e">
        <f ca="1">_xll.BDH($C$428,"DIVIDEND_PER_SHARE_1_YEAR_GROWTH","FQ1 2014","FQ1 2014","Currency=INR","Period=FQ","BEST_FPERIOD_OVERRIDE=FQ","FILING_STATUS=OR","EQY_CONSOLIDATED=Y","Sort=A","Dates=H","DateFormat=P","Fill=—","Direction=H","UseDPDF=Y")</f>
        <v>#NAME?</v>
      </c>
      <c r="Z429" s="2" t="e">
        <f ca="1">_xll.BDH($C$428,"ACCOUNTS_RECEIVABLE_GROWTH","FQ1 2014","FQ1 2014","Currency=INR","Period=FQ","BEST_FPERIOD_OVERRIDE=FQ","FILING_STATUS=OR","EQY_CONSOLIDATED=Y","Sort=A","Dates=H","DateFormat=P","Fill=—","Direction=H","UseDPDF=Y")</f>
        <v>#NAME?</v>
      </c>
      <c r="AA429" s="2" t="e">
        <f ca="1">_xll.BDH($C$428,"INVENTORY_GROWTH","FQ1 2014","FQ1 2014","Currency=INR","Period=FQ","BEST_FPERIOD_OVERRIDE=FQ","FILING_STATUS=OR","EQY_CONSOLIDATED=Y","Sort=A","Dates=H","DateFormat=P","Fill=—","Direction=H","UseDPDF=Y")</f>
        <v>#NAME?</v>
      </c>
      <c r="AB429" s="2" t="e">
        <f ca="1">_xll.BDH($C$428,"NET_FIXED_ASSETS_1_YEAR_GROWTH","FQ1 2014","FQ1 2014","Currency=INR","Period=FQ","BEST_FPERIOD_OVERRIDE=FQ","FILING_STATUS=OR","EQY_CONSOLIDATED=Y","Sort=A","Dates=H","DateFormat=P","Fill=—","Direction=H","UseDPDF=Y")</f>
        <v>#NAME?</v>
      </c>
      <c r="AC429" s="2" t="e">
        <f ca="1">_xll.BDH($C$428,"ASSET_GROWTH","FQ1 2014","FQ1 2014","Currency=INR","Period=FQ","BEST_FPERIOD_OVERRIDE=FQ","FILING_STATUS=OR","EQY_CONSOLIDATED=Y","Sort=A","Dates=H","DateFormat=P","Fill=—","Direction=H","UseDPDF=Y")</f>
        <v>#NAME?</v>
      </c>
      <c r="AD429" s="2" t="e">
        <f ca="1">_xll.BDH($C$428,"MODIFIED_WORK_CAP_GROWTH","FQ1 2014","FQ1 2014","Currency=INR","Period=FQ","BEST_FPERIOD_OVERRIDE=FQ","FILING_STATUS=OR","EQY_CONSOLIDATED=Y","Sort=A","Dates=H","DateFormat=P","Fill=—","Direction=H","UseDPDF=Y")</f>
        <v>#NAME?</v>
      </c>
      <c r="AE429" s="2" t="e">
        <f ca="1">_xll.BDH($C$428,"WORK_CAP_GROWTH","FQ1 2014","FQ1 2014","Currency=INR","Period=FQ","BEST_FPERIOD_OVERRIDE=FQ","FILING_STATUS=OR","EQY_CONSOLIDATED=Y","Sort=A","Dates=H","DateFormat=P","Fill=—","Direction=H","UseDPDF=Y")</f>
        <v>#NAME?</v>
      </c>
      <c r="AF429" s="2" t="e">
        <f ca="1">_xll.BDH($C$428,"ACCOUNTS_PAYABLE_GROWTH_1YR","FQ1 2014","FQ1 2014","Currency=INR","Period=FQ","BEST_FPERIOD_OVERRIDE=FQ","FILING_STATUS=OR","EQY_CONSOLIDATED=Y","Sort=A","Dates=H","DateFormat=P","Fill=—","Direction=H","UseDPDF=Y")</f>
        <v>#NAME?</v>
      </c>
      <c r="AG429" s="2" t="e">
        <f ca="1">_xll.BDH($C$428,"SHORT_TERM_DEBT_1_YEAR_GROWTH","FQ1 2014","FQ1 2014","Currency=INR","Period=FQ","BEST_FPERIOD_OVERRIDE=FQ","FILING_STATUS=OR","EQY_CONSOLIDATED=Y","Sort=A","Dates=H","DateFormat=P","Fill=—","Direction=H","UseDPDF=Y")</f>
        <v>#NAME?</v>
      </c>
      <c r="AH429" s="2" t="e">
        <f ca="1">_xll.BDH($C$428,"TOTAL_DEBT_1_YEAR_GROWTH","FQ1 2014","FQ1 2014","Currency=INR","Period=FQ","BEST_FPERIOD_OVERRIDE=FQ","FILING_STATUS=OR","EQY_CONSOLIDATED=Y","Sort=A","Dates=H","DateFormat=P","Fill=—","Direction=H","UseDPDF=Y")</f>
        <v>#NAME?</v>
      </c>
      <c r="AI429" s="2" t="e">
        <f ca="1">_xll.BDH($C$428,"TOTAL_EQUITY_1_YEAR_GROWTH","FQ1 2014","FQ1 2014","Currency=INR","Period=FQ","BEST_FPERIOD_OVERRIDE=FQ","FILING_STATUS=OR","EQY_CONSOLIDATED=Y","Sort=A","Dates=H","DateFormat=P","Fill=—","Direction=H","UseDPDF=Y")</f>
        <v>#NAME?</v>
      </c>
      <c r="AJ429" s="2" t="e">
        <f ca="1">_xll.BDH($C$428,"GROWTH_IN_CAP","FQ1 2014","FQ1 2014","Currency=INR","Period=FQ","BEST_FPERIOD_OVERRIDE=FQ","FILING_STATUS=OR","EQY_CONSOLIDATED=Y","Sort=A","Dates=H","DateFormat=P","Fill=—","Direction=H","UseDPDF=Y")</f>
        <v>#NAME?</v>
      </c>
      <c r="AK429" s="2" t="e">
        <f ca="1">_xll.BDH($C$428,"BVPS_GROWTH","FQ1 2014","FQ1 2014","Currency=INR","Period=FQ","BEST_FPERIOD_OVERRIDE=FQ","FILING_STATUS=OR","EQY_CONSOLIDATED=Y","Sort=A","Dates=H","DateFormat=P","Fill=—","Direction=H","UseDPDF=Y")</f>
        <v>#NAME?</v>
      </c>
      <c r="AL429" s="2" t="e">
        <f ca="1">_xll.BDH($C$428,"CASH_FLOW_GROWTH","FQ1 2014","FQ1 2014","Currency=INR","Period=FQ","BEST_FPERIOD_OVERRIDE=FQ","FILING_STATUS=OR","EQY_CONSOLIDATED=Y","Sort=A","Dates=H","DateFormat=P","Fill=—","Direction=H","UseDPDF=Y")</f>
        <v>#NAME?</v>
      </c>
      <c r="AM429" s="2" t="e">
        <f ca="1">_xll.BDH($C$428,"GEO_GROW_NET_SALES","FQ1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429" s="2" t="e">
        <f ca="1">_xll.BDH($C$428,"GEO_GROW_EBITDA","FQ1 2014","FQ1 2014","Currency=INR","Period=FQ","BEST_FPERIOD_OVERRIDE=FQ","FILING_STATUS=OR","EQY_CONSOLIDATED=Y","FA_ADJUSTED=GAAP","Sort=A","Dates=H","DateFormat=P","Fill=—","Direction=H","UseDPDF=Y")</f>
        <v>#NAME?</v>
      </c>
      <c r="AO429" s="2" t="e">
        <f ca="1">_xll.BDH($C$428,"GEO_GROW_OPER_INC","FQ1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429" s="2" t="e">
        <f ca="1">_xll.BDH($C$428,"NET_INCOME_TO_COMMON_5_YR_GROWTH","FQ1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429" s="2" t="e">
        <f ca="1">_xll.BDH($C$428,"5Y_GEO_GROWTH_DILUTED_EPS","FQ1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429" s="2" t="e">
        <f ca="1">_xll.BDH($C$428,"GEO_GROW_DVD_PER_SH","FQ1 2014","FQ1 2014","Currency=INR","Period=FQ","BEST_FPERIOD_OVERRIDE=FQ","FILING_STATUS=OR","EQY_CONSOLIDATED=Y","Sort=A","Dates=H","DateFormat=P","Fill=—","Direction=H","UseDPDF=Y")</f>
        <v>#NAME?</v>
      </c>
      <c r="AS429" s="2" t="e">
        <f ca="1">_xll.BDH($C$428,"ACCOUNTS_RECEIVABLE_5_YR_GROWTH","FQ1 2014","FQ1 2014","Currency=INR","Period=FQ","BEST_FPERIOD_OVERRIDE=FQ","FILING_STATUS=OR","EQY_CONSOLIDATED=Y","Sort=A","Dates=H","DateFormat=P","Fill=—","Direction=H","UseDPDF=Y")</f>
        <v>#NAME?</v>
      </c>
      <c r="AT429" s="2" t="e">
        <f ca="1">_xll.BDH($C$428,"INVENTORY_5_YEAR_GROWTH","FQ1 2014","FQ1 2014","Currency=INR","Period=FQ","BEST_FPERIOD_OVERRIDE=FQ","FILING_STATUS=OR","EQY_CONSOLIDATED=Y","Sort=A","Dates=H","DateFormat=P","Fill=—","Direction=H","UseDPDF=Y")</f>
        <v>#NAME?</v>
      </c>
      <c r="AU429" s="2" t="e">
        <f ca="1">_xll.BDH($C$428,"NET_FIXED_ASSETS_5_YEAR_GROWTH","FQ1 2014","FQ1 2014","Currency=INR","Period=FQ","BEST_FPERIOD_OVERRIDE=FQ","FILING_STATUS=OR","EQY_CONSOLIDATED=Y","Sort=A","Dates=H","DateFormat=P","Fill=—","Direction=H","UseDPDF=Y")</f>
        <v>#NAME?</v>
      </c>
      <c r="AV429" s="2" t="e">
        <f ca="1">_xll.BDH($C$428,"GEO_GROW_TOT_ASSET","FQ1 2014","FQ1 2014","Currency=INR","Period=FQ","BEST_FPERIOD_OVERRIDE=FQ","FILING_STATUS=OR","EQY_CONSOLIDATED=Y","Sort=A","Dates=H","DateFormat=P","Fill=—","Direction=H","UseDPDF=Y")</f>
        <v>#NAME?</v>
      </c>
      <c r="AW429" s="2" t="e">
        <f ca="1">_xll.BDH($C$428,"MODIFIED_WORKING_CPTL_5YR_GRWTH","FQ1 2014","FQ1 2014","Currency=INR","Period=FQ","BEST_FPERIOD_OVERRIDE=FQ","FILING_STATUS=OR","EQY_CONSOLIDATED=Y","Sort=A","Dates=H","DateFormat=P","Fill=—","Direction=H","UseDPDF=Y")</f>
        <v>#NAME?</v>
      </c>
      <c r="AX429" s="2" t="e">
        <f ca="1">_xll.BDH($C$428,"WORKING_CAPITAL_5_YEAR_GROWTH","FQ1 2014","FQ1 2014","Currency=INR","Period=FQ","BEST_FPERIOD_OVERRIDE=FQ","FILING_STATUS=OR","EQY_CONSOLIDATED=Y","Sort=A","Dates=H","DateFormat=P","Fill=—","Direction=H","UseDPDF=Y")</f>
        <v>#NAME?</v>
      </c>
      <c r="AY429" s="2" t="e">
        <f ca="1">_xll.BDH($C$428,"ACCOUNTS_PAYABLE_5_YEAR_GROWTH","FQ1 2014","FQ1 2014","Currency=INR","Period=FQ","BEST_FPERIOD_OVERRIDE=FQ","FILING_STATUS=OR","EQY_CONSOLIDATED=Y","Sort=A","Dates=H","DateFormat=P","Fill=—","Direction=H","UseDPDF=Y")</f>
        <v>#NAME?</v>
      </c>
      <c r="AZ429" s="2" t="e">
        <f ca="1">_xll.BDH($C$428,"SHORT_TERM_DEBT_5_YEAR_GROWTH","FQ1 2014","FQ1 2014","Currency=INR","Period=FQ","BEST_FPERIOD_OVERRIDE=FQ","FILING_STATUS=OR","EQY_CONSOLIDATED=Y","Sort=A","Dates=H","DateFormat=P","Fill=—","Direction=H","UseDPDF=Y")</f>
        <v>#NAME?</v>
      </c>
      <c r="BA429" s="2" t="e">
        <f ca="1">_xll.BDH($C$428,"TOTAL_DEBT_5_YEAR_GROWTH","FQ1 2014","FQ1 2014","Currency=INR","Period=FQ","BEST_FPERIOD_OVERRIDE=FQ","FILING_STATUS=OR","EQY_CONSOLIDATED=Y","Sort=A","Dates=H","DateFormat=P","Fill=—","Direction=H","UseDPDF=Y")</f>
        <v>#NAME?</v>
      </c>
      <c r="BB429" s="2" t="e">
        <f ca="1">_xll.BDH($C$428,"GEO_GROW_TOT_SHRHLDR_EQY","FQ1 2014","FQ1 2014","Currency=INR","Period=FQ","BEST_FPERIOD_OVERRIDE=FQ","FILING_STATUS=OR","EQY_CONSOLIDATED=Y","Sort=A","Dates=H","DateFormat=P","Fill=—","Direction=H","UseDPDF=Y")</f>
        <v>#NAME?</v>
      </c>
      <c r="BC429" s="2" t="e">
        <f ca="1">_xll.BDH($C$428,"TOTAL_CAPITAL_5_YEAR_GROWTH","FQ1 2014","FQ1 2014","Currency=INR","Period=FQ","BEST_FPERIOD_OVERRIDE=FQ","FILING_STATUS=OR","EQY_CONSOLIDATED=Y","Sort=A","Dates=H","DateFormat=P","Fill=—","Direction=H","UseDPDF=Y")</f>
        <v>#NAME?</v>
      </c>
      <c r="BD429" s="2" t="e">
        <f ca="1">_xll.BDH($C$428,"GEO_GROW_BOOK_VAL","FQ1 2014","FQ1 2014","Currency=INR","Period=FQ","BEST_FPERIOD_OVERRIDE=FQ","FILING_STATUS=OR","EQY_CONSOLIDATED=Y","Sort=A","Dates=H","DateFormat=P","Fill=—","Direction=H","UseDPDF=Y")</f>
        <v>#NAME?</v>
      </c>
      <c r="BE429" s="2" t="e">
        <f ca="1">_xll.BDH($C$428,"GEO_GROW_CASH_OPER_ACT","FQ1 2014","FQ1 2014","Currency=INR","Period=FQ","BEST_FPERIOD_OVERRIDE=FQ","FILING_STATUS=OR","EQY_CONSOLIDATED=Y","Sort=A","Dates=H","DateFormat=P","Fill=—","Direction=H","UseDPDF=Y")</f>
        <v>#NAME?</v>
      </c>
      <c r="BF429" s="2" t="e">
        <f ca="1">_xll.BDH($C$428,"REVENUE_SEQUENTIAL_GROWTH","FQ1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429" s="2" t="e">
        <f ca="1">_xll.BDH($C$428,"EBITDA_SEQUENTIAL_GROWTH","FQ1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429" s="2" t="e">
        <f ca="1">_xll.BDH($C$428,"OPERATING_INCOME_SEQ_GROWTH","FQ1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429" s="2" t="e">
        <f ca="1">_xll.BDH($C$428,"NET_INCOME_TO_COMMON_SEQ_GROWTH","FQ1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429" s="2" t="e">
        <f ca="1">_xll.BDH($C$428,"EPS_DILUTED_SEQUENTIAL_GROWTH","FQ1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429" s="2" t="e">
        <f ca="1">_xll.BDH($C$428,"DPS_SEQUENTIAL_GROWTH","FQ1 2014","FQ1 2014","Currency=INR","Period=FQ","BEST_FPERIOD_OVERRIDE=FQ","FILING_STATUS=OR","EQY_CONSOLIDATED=Y","Sort=A","Dates=H","DateFormat=P","Fill=—","Direction=H","UseDPDF=Y")</f>
        <v>#NAME?</v>
      </c>
      <c r="BL429" s="2" t="e">
        <f ca="1">_xll.BDH($C$428,"ACCOUNTS_RECEIVABLE_SEQ_GROWTH","FQ1 2014","FQ1 2014","Currency=INR","Period=FQ","BEST_FPERIOD_OVERRIDE=FQ","FILING_STATUS=OR","EQY_CONSOLIDATED=Y","Sort=A","Dates=H","DateFormat=P","Fill=—","Direction=H","UseDPDF=Y")</f>
        <v>#NAME?</v>
      </c>
      <c r="BM429" s="2" t="e">
        <f ca="1">_xll.BDH($C$428,"INVENTORY_SEQUENTIAL_GROWTH","FQ1 2014","FQ1 2014","Currency=INR","Period=FQ","BEST_FPERIOD_OVERRIDE=FQ","FILING_STATUS=OR","EQY_CONSOLIDATED=Y","Sort=A","Dates=H","DateFormat=P","Fill=—","Direction=H","UseDPDF=Y")</f>
        <v>#NAME?</v>
      </c>
      <c r="BN429" s="2" t="e">
        <f ca="1">_xll.BDH($C$428,"FIXED_ASSETS_SEQUENTIAL_GROWTH","FQ1 2014","FQ1 2014","Currency=INR","Period=FQ","BEST_FPERIOD_OVERRIDE=FQ","FILING_STATUS=OR","EQY_CONSOLIDATED=Y","Sort=A","Dates=H","DateFormat=P","Fill=—","Direction=H","UseDPDF=Y")</f>
        <v>#NAME?</v>
      </c>
      <c r="BO429" s="2" t="e">
        <f ca="1">_xll.BDH($C$428,"TOTAL_ASSETS_SEQUENTIAL_GROWTH","FQ1 2014","FQ1 2014","Currency=INR","Period=FQ","BEST_FPERIOD_OVERRIDE=FQ","FILING_STATUS=OR","EQY_CONSOLIDATED=Y","Sort=A","Dates=H","DateFormat=P","Fill=—","Direction=H","UseDPDF=Y")</f>
        <v>#NAME?</v>
      </c>
      <c r="BP429" s="2" t="e">
        <f ca="1">_xll.BDH($C$428,"MODIFIED_WORKING_CPTL_SEQ_GRWTH","FQ1 2014","FQ1 2014","Currency=INR","Period=FQ","BEST_FPERIOD_OVERRIDE=FQ","FILING_STATUS=OR","EQY_CONSOLIDATED=Y","Sort=A","Dates=H","DateFormat=P","Fill=—","Direction=H","UseDPDF=Y")</f>
        <v>#NAME?</v>
      </c>
      <c r="BQ429" s="2" t="e">
        <f ca="1">_xll.BDH($C$428,"WORKING_CAPITAL_SEQ_GROWTH","FQ1 2014","FQ1 2014","Currency=INR","Period=FQ","BEST_FPERIOD_OVERRIDE=FQ","FILING_STATUS=OR","EQY_CONSOLIDATED=Y","Sort=A","Dates=H","DateFormat=P","Fill=—","Direction=H","UseDPDF=Y")</f>
        <v>#NAME?</v>
      </c>
      <c r="BR429" s="2" t="e">
        <f ca="1">_xll.BDH($C$428,"ACCOUNTS_PAYABLE_SEQ_GROWTH","FQ1 2014","FQ1 2014","Currency=INR","Period=FQ","BEST_FPERIOD_OVERRIDE=FQ","FILING_STATUS=OR","EQY_CONSOLIDATED=Y","Sort=A","Dates=H","DateFormat=P","Fill=—","Direction=H","UseDPDF=Y")</f>
        <v>#NAME?</v>
      </c>
      <c r="BS429" s="2" t="e">
        <f ca="1">_xll.BDH($C$428,"ST_DEBT_SEQUENTIAL_GROWTH","FQ1 2014","FQ1 2014","Currency=INR","Period=FQ","BEST_FPERIOD_OVERRIDE=FQ","FILING_STATUS=OR","EQY_CONSOLIDATED=Y","Sort=A","Dates=H","DateFormat=P","Fill=—","Direction=H","UseDPDF=Y")</f>
        <v>#NAME?</v>
      </c>
      <c r="BT429" s="2" t="e">
        <f ca="1">_xll.BDH($C$428,"TOTAL_DEBT_SEQUENTIAL_GROWTH","FQ1 2014","FQ1 2014","Currency=INR","Period=FQ","BEST_FPERIOD_OVERRIDE=FQ","FILING_STATUS=OR","EQY_CONSOLIDATED=Y","Sort=A","Dates=H","DateFormat=P","Fill=—","Direction=H","UseDPDF=Y")</f>
        <v>#NAME?</v>
      </c>
      <c r="BU429" s="2" t="e">
        <f ca="1">_xll.BDH($C$428,"TOTAL_EQUITY_SEQUENTIAL_GROWTH","FQ1 2014","FQ1 2014","Currency=INR","Period=FQ","BEST_FPERIOD_OVERRIDE=FQ","FILING_STATUS=OR","EQY_CONSOLIDATED=Y","Sort=A","Dates=H","DateFormat=P","Fill=—","Direction=H","UseDPDF=Y")</f>
        <v>#NAME?</v>
      </c>
      <c r="BV429" s="2" t="e">
        <f ca="1">_xll.BDH($C$428,"TOTAL_CAPITAL_SEQUENTIAL_GROWTH","FQ1 2014","FQ1 2014","Currency=INR","Period=FQ","BEST_FPERIOD_OVERRIDE=FQ","FILING_STATUS=OR","EQY_CONSOLIDATED=Y","Sort=A","Dates=H","DateFormat=P","Fill=—","Direction=H","UseDPDF=Y")</f>
        <v>#NAME?</v>
      </c>
      <c r="BW429" s="2" t="e">
        <f ca="1">_xll.BDH($C$428,"BPS_SEQUENTIAL_GROWTH","FQ1 2014","FQ1 2014","Currency=INR","Period=FQ","BEST_FPERIOD_OVERRIDE=FQ","FILING_STATUS=OR","EQY_CONSOLIDATED=Y","Sort=A","Dates=H","DateFormat=P","Fill=—","Direction=H","UseDPDF=Y")</f>
        <v>#NAME?</v>
      </c>
      <c r="BX429" s="2" t="e">
        <f ca="1">_xll.BDH($C$428,"CFO_SEQUENTIAL_GROWTH","FQ1 2014","FQ1 2014","Currency=INR","Period=FQ","BEST_FPERIOD_OVERRIDE=FQ","FILING_STATUS=OR","EQY_CONSOLIDATED=Y","Sort=A","Dates=H","DateFormat=P","Fill=—","Direction=H","UseDPDF=Y")</f>
        <v>#NAME?</v>
      </c>
      <c r="BY429" s="3" t="e">
        <f ca="1">_xll.BDH($C$428,"SHORT_AND_LONG_TERM_DEBT","FQ1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429" s="3" t="e">
        <f ca="1">_xll.BDH($C$428,"BS_ST_BORROW","FQ1 2014","FQ1 2014","Currency=INR","Period=FQ","BEST_FPERIOD_OVERRIDE=FQ","FILING_STATUS=OR","EQY_CONSOLIDATED=Y","SCALING_FORMAT=MLN","Sort=A","Dates=H","DateFormat=P","Fill=—","Direction=H","UseDPDF=Y")</f>
        <v>#NAME?</v>
      </c>
      <c r="CA429" s="3" t="e">
        <f ca="1">_xll.BDH($C$428,"BS_LT_BORROW","FQ1 2014","FQ1 2014","Currency=INR","Period=FQ","BEST_FPERIOD_OVERRIDE=FQ","FILING_STATUS=OR","EQY_CONSOLIDATED=Y","SCALING_FORMAT=MLN","Sort=A","Dates=H","DateFormat=P","Fill=—","Direction=H","UseDPDF=Y")</f>
        <v>#NAME?</v>
      </c>
      <c r="CB429" s="2" t="e">
        <f ca="1">_xll.BDH($C$428,"TOT_DEBT_TO_EBITDA","FQ1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429" s="2" t="e">
        <f ca="1">_xll.BDH($C$428,"NET_DEBT_TO_EBITDA","FQ1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429" s="2" t="e">
        <f ca="1">_xll.BDH($C$428,"TOTAL_DEBT_TO_EBIT","FQ1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429" s="2" t="e">
        <f ca="1">_xll.BDH($C$428,"NET_DEBT_TO_EBIT","FQ1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429" s="2" t="e">
        <f ca="1">_xll.BDH($C$428,"EBITDA_TO_INTEREST_EXPN","FQ1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429" s="2" t="e">
        <f ca="1">_xll.BDH($C$428,"COM_EQY_TO_TOT_ASSET","FQ1 2014","FQ1 2014","Currency=INR","Period=FQ","BEST_FPERIOD_OVERRIDE=FQ","FILING_STATUS=OR","EQY_CONSOLIDATED=Y","Sort=A","Dates=H","DateFormat=P","Fill=—","Direction=H","UseDPDF=Y")</f>
        <v>#NAME?</v>
      </c>
      <c r="CH429" s="2" t="e">
        <f ca="1">_xll.BDH($C$428,"LT_DEBT_TO_TOT_EQY","FQ1 2014","FQ1 2014","Currency=INR","Period=FQ","BEST_FPERIOD_OVERRIDE=FQ","FILING_STATUS=OR","EQY_CONSOLIDATED=Y","Sort=A","Dates=H","DateFormat=P","Fill=—","Direction=H","UseDPDF=Y")</f>
        <v>#NAME?</v>
      </c>
      <c r="CI429" s="2" t="e">
        <f ca="1">_xll.BDH($C$428,"LT_DEBT_TO_TOT_CAP","FQ1 2014","FQ1 2014","Currency=INR","Period=FQ","BEST_FPERIOD_OVERRIDE=FQ","FILING_STATUS=OR","EQY_CONSOLIDATED=Y","Sort=A","Dates=H","DateFormat=P","Fill=—","Direction=H","UseDPDF=Y")</f>
        <v>#NAME?</v>
      </c>
      <c r="CJ429" s="2" t="e">
        <f ca="1">_xll.BDH($C$428,"LT_DEBT_TO_TOT_ASSET","FQ1 2014","FQ1 2014","Currency=INR","Period=FQ","BEST_FPERIOD_OVERRIDE=FQ","FILING_STATUS=OR","EQY_CONSOLIDATED=Y","Sort=A","Dates=H","DateFormat=P","Fill=—","Direction=H","UseDPDF=Y")</f>
        <v>#NAME?</v>
      </c>
      <c r="CK429" s="2" t="e">
        <f ca="1">_xll.BDH($C$428,"TOT_DEBT_TO_TOT_EQY","FQ1 2014","FQ1 2014","Currency=INR","Period=FQ","BEST_FPERIOD_OVERRIDE=FQ","FILING_STATUS=OR","EQY_CONSOLIDATED=Y","Sort=A","Dates=H","DateFormat=P","Fill=—","Direction=H","UseDPDF=Y")</f>
        <v>#NAME?</v>
      </c>
      <c r="CL429" s="2" t="e">
        <f ca="1">_xll.BDH($C$428,"TOT_DEBT_TO_TOT_CAP","FQ1 2014","FQ1 2014","Currency=INR","Period=FQ","BEST_FPERIOD_OVERRIDE=FQ","FILING_STATUS=OR","EQY_CONSOLIDATED=Y","Sort=A","Dates=H","DateFormat=P","Fill=—","Direction=H","UseDPDF=Y")</f>
        <v>#NAME?</v>
      </c>
      <c r="CM429" s="2" t="e">
        <f ca="1">_xll.BDH($C$428,"TOT_DEBT_TO_TOT_ASSET","FQ1 2014","FQ1 2014","Currency=INR","Period=FQ","BEST_FPERIOD_OVERRIDE=FQ","FILING_STATUS=OR","EQY_CONSOLIDATED=Y","Sort=A","Dates=H","DateFormat=P","Fill=—","Direction=H","UseDPDF=Y")</f>
        <v>#NAME?</v>
      </c>
      <c r="CN429" s="2" t="e">
        <f ca="1">_xll.BDH($C$428,"NET_DEBT_TO_SHRHLDR_EQTY","FQ1 2014","FQ1 2014","Currency=INR","Period=FQ","BEST_FPERIOD_OVERRIDE=FQ","FILING_STATUS=OR","EQY_CONSOLIDATED=Y","Sort=A","Dates=H","DateFormat=P","Fill=—","Direction=H","UseDPDF=Y")</f>
        <v>#NAME?</v>
      </c>
      <c r="CO429" s="2" t="e">
        <f ca="1">_xll.BDH($C$428,"NET_DEBT_%_CAPITAL","FQ1 2014","FQ1 2014","Currency=INR","Period=FQ","BEST_FPERIOD_OVERRIDE=FQ","FILING_STATUS=OR","EQY_CONSOLIDATED=Y","Sort=A","Dates=H","DateFormat=P","Fill=—","Direction=H","UseDPDF=Y")</f>
        <v>#NAME?</v>
      </c>
      <c r="CP429" s="3" t="e">
        <f ca="1">_xll.BDH($C$428,"EBITDA","FQ1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429" s="3" t="e">
        <f ca="1">_xll.BDH($C$428,"EBITDA_AFTER_CAPEX","FQ1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429" s="3" t="e">
        <f ca="1">_xll.BDH($C$428,"IS_OPER_INC","FQ1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429" s="2" t="e">
        <f ca="1">_xll.BDH($C$428,"CASH_RATIO","FQ1 2014","FQ1 2014","Currency=INR","Period=FQ","BEST_FPERIOD_OVERRIDE=FQ","FILING_STATUS=OR","EQY_CONSOLIDATED=Y","Sort=A","Dates=H","DateFormat=P","Fill=—","Direction=H","UseDPDF=Y")</f>
        <v>#NAME?</v>
      </c>
      <c r="CT429" s="2" t="e">
        <f ca="1">_xll.BDH($C$428,"CUR_RATIO","FQ1 2014","FQ1 2014","Currency=INR","Period=FQ","BEST_FPERIOD_OVERRIDE=FQ","FILING_STATUS=OR","EQY_CONSOLIDATED=Y","Sort=A","Dates=H","DateFormat=P","Fill=—","Direction=H","UseDPDF=Y")</f>
        <v>#NAME?</v>
      </c>
      <c r="CU429" s="2" t="e">
        <f ca="1">_xll.BDH($C$428,"QUICK_RATIO","FQ1 2014","FQ1 2014","Currency=INR","Period=FQ","BEST_FPERIOD_OVERRIDE=FQ","FILING_STATUS=OR","EQY_CONSOLIDATED=Y","Sort=A","Dates=H","DateFormat=P","Fill=—","Direction=H","UseDPDF=Y")</f>
        <v>#NAME?</v>
      </c>
      <c r="CV429" s="2" t="e">
        <f ca="1">_xll.BDH($C$428,"ALTMAN_Z_SCORE","FQ1 2014","FQ1 2014","Currency=INR","Period=FQ","BEST_FPERIOD_OVERRIDE=FQ","FILING_STATUS=OR","EQY_CONSOLIDATED=Y","Sort=A","Dates=H","DateFormat=P","Fill=—","Direction=H","UseDPDF=Y")</f>
        <v>#NAME?</v>
      </c>
      <c r="CW429" s="4" t="e">
        <f ca="1">_xll.BDH($C$428,"ACCT_RCV_TURN","FQ1 2014","FQ1 2014","Currency=INR","Period=FQ","BEST_FPERIOD_OVERRIDE=FQ","FILING_STATUS=OR","EQY_CONSOLIDATED=Y","FA_ADJUSTED=GAAP","Sort=A","Dates=H","DateFormat=P","Fill=—","Direction=H","UseDPDF=Y")</f>
        <v>#NAME?</v>
      </c>
      <c r="CX429" s="2" t="e">
        <f ca="1">_xll.BDH($C$428,"ACCT_RCV_DAYS","FQ1 2014","FQ1 2014","Currency=INR","Period=FQ","BEST_FPERIOD_OVERRIDE=FQ","FILING_STATUS=OR","EQY_CONSOLIDATED=Y","FA_ADJUSTED=GAAP","Sort=A","Dates=H","DateFormat=P","Fill=—","Direction=H","UseDPDF=Y")</f>
        <v>#NAME?</v>
      </c>
      <c r="CY429" s="4" t="e">
        <f ca="1">_xll.BDH($C$428,"INVENT_TURN","FQ1 2014","FQ1 2014","Currency=INR","Period=FQ","BEST_FPERIOD_OVERRIDE=FQ","FILING_STATUS=OR","EQY_CONSOLIDATED=Y","FA_ADJUSTED=GAAP","Sort=A","Dates=H","DateFormat=P","Fill=—","Direction=H","UseDPDF=Y")</f>
        <v>#NAME?</v>
      </c>
      <c r="CZ429" s="2" t="e">
        <f ca="1">_xll.BDH($C$428,"INVENT_DAYS","FQ1 2014","FQ1 2014","Currency=INR","Period=FQ","BEST_FPERIOD_OVERRIDE=FQ","FILING_STATUS=OR","EQY_CONSOLIDATED=Y","FA_ADJUSTED=GAAP","Sort=A","Dates=H","DateFormat=P","Fill=—","Direction=H","UseDPDF=Y")</f>
        <v>#NAME?</v>
      </c>
      <c r="DA429" s="4" t="e">
        <f ca="1">_xll.BDH($C$428,"ACCOUNTS_PAYABLE_TURNOVER","FQ1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429" s="2" t="e">
        <f ca="1">_xll.BDH($C$428,"ACCOUNTS_PAYABLE_TURNOVER_DAYS","FQ1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429" s="4" t="e">
        <f ca="1">_xll.BDH($C$428,"CASH_CONVERSION_CYCLE","FQ1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429" s="4" t="e">
        <f ca="1">_xll.BDH($C$428,"INV_TO_CASH_DAYS","FQ1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429" s="5" t="e">
        <f ca="1">_xll.BDH($C$428,"BS_INVENTORIES","FQ1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429" s="3" t="e">
        <f ca="1">_xll.BDH($C$428,"INVTRY_RAW_MATERIALS","FQ1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429" s="3" t="e">
        <f ca="1">_xll.BDH($C$428,"INVTRY_IN_PROGRESS","FQ1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429" s="3" t="e">
        <f ca="1">_xll.BDH($C$428,"INVTRY_FINISHED_GOODS","FQ1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429" s="3" t="e">
        <f ca="1">_xll.BDH($C$428,"BS_OTHER_INV","FQ1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430" spans="1:113" x14ac:dyDescent="0.3">
      <c r="A430" s="6"/>
      <c r="B430" s="6"/>
      <c r="C430" s="6"/>
      <c r="D430" s="6"/>
      <c r="E430" t="s">
        <v>79</v>
      </c>
      <c r="F430" t="e">
        <f ca="1">_xll.BDH($C$428,"RETURN_COM_EQY","FQ2 2014","FQ2 2014","Currency=INR","Period=FQ","BEST_FPERIOD_OVERRIDE=FQ","FILING_STATUS=OR","EQY_CONSOLIDATED=Y","FA_ADJUSTED=GAAP","Sort=A","Dates=H","DateFormat=P","Fill=—","Direction=H","UseDPDF=Y")</f>
        <v>#NAME?</v>
      </c>
      <c r="G430" t="e">
        <f ca="1">_xll.BDH($C$428,"RETURN_ON_ASSET","FQ2 2014","FQ2 2014","Currency=INR","Period=FQ","BEST_FPERIOD_OVERRIDE=FQ","FILING_STATUS=OR","EQY_CONSOLIDATED=Y","FA_ADJUSTED=GAAP","Sort=A","Dates=H","DateFormat=P","Fill=—","Direction=H","UseDPDF=Y")</f>
        <v>#NAME?</v>
      </c>
      <c r="H430" t="e">
        <f ca="1">_xll.BDH($C$428,"RETURN_ON_CAP","FQ2 2014","FQ2 2014","Currency=INR","Period=FQ","BEST_FPERIOD_OVERRIDE=FQ","FILING_STATUS=OR","EQY_CONSOLIDATED=Y","FA_ADJUSTED=GAAP","Sort=A","Dates=H","DateFormat=P","Fill=—","Direction=H","UseDPDF=Y")</f>
        <v>#NAME?</v>
      </c>
      <c r="I430" t="e">
        <f ca="1">_xll.BDH($C$428,"RETURN_ON_INV_CAPITAL","FQ2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430" t="e">
        <f ca="1">_xll.BDH($C$428,"EBITDA_TO_REVENUE","FQ2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430" t="e">
        <f ca="1">_xll.BDH($C$428,"OPER_MARGIN","FQ2 2014","FQ2 2014","Currency=INR","Period=FQ","BEST_FPERIOD_OVERRIDE=FQ","FILING_STATUS=OR","EQY_CONSOLIDATED=Y","FA_ADJUSTED=GAAP","Sort=A","Dates=H","DateFormat=P","Fill=—","Direction=H","UseDPDF=Y")</f>
        <v>#NAME?</v>
      </c>
      <c r="L430" t="e">
        <f ca="1">_xll.BDH($C$428,"INCREMENTAL_OPERATING_MARGIN","FQ2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430" t="e">
        <f ca="1">_xll.BDH($C$428,"PRETAX_INC_TO_NET_SALES","FQ2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430" t="e">
        <f ca="1">_xll.BDH($C$428,"INC_BEF_XO_ITEMS_TO_NET_SALES","FQ2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430" t="e">
        <f ca="1">_xll.BDH($C$428,"PROF_MARGIN","FQ2 2014","FQ2 2014","Currency=INR","Period=FQ","BEST_FPERIOD_OVERRIDE=FQ","FILING_STATUS=OR","EQY_CONSOLIDATED=Y","FA_ADJUSTED=GAAP","Sort=A","Dates=H","DateFormat=P","Fill=—","Direction=H","UseDPDF=Y")</f>
        <v>#NAME?</v>
      </c>
      <c r="P430" t="e">
        <f ca="1">_xll.BDH($C$428,"NET_INCOME_TO_COMMON_MARGIN","FQ2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430" t="e">
        <f ca="1">_xll.BDH($C$428,"EFF_TAX_RATE","FQ2 2014","FQ2 2014","Currency=INR","Period=FQ","BEST_FPERIOD_OVERRIDE=FQ","FILING_STATUS=OR","EQY_CONSOLIDATED=Y","FA_ADJUSTED=GAAP","Sort=A","Dates=H","DateFormat=P","Fill=—","Direction=H","UseDPDF=Y")</f>
        <v>#NAME?</v>
      </c>
      <c r="R430" t="e">
        <f ca="1">_xll.BDH($C$428,"DVD_PAYOUT_RATIO","FQ2 2014","FQ2 2014","Currency=INR","Period=FQ","BEST_FPERIOD_OVERRIDE=FQ","FILING_STATUS=OR","EQY_CONSOLIDATED=Y","FA_ADJUSTED=GAAP","Sort=A","Dates=H","DateFormat=P","Fill=—","Direction=H","UseDPDF=Y")</f>
        <v>#NAME?</v>
      </c>
      <c r="S430" t="e">
        <f ca="1">_xll.BDH($C$428,"SUSTAIN_GROWTH_RT","FQ2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430" s="2" t="e">
        <f ca="1">_xll.BDH($C$428,"SALES_GROWTH","FQ2 2014","FQ2 2014","Currency=INR","Period=FQ","BEST_FPERIOD_OVERRIDE=FQ","FILING_STATUS=OR","EQY_CONSOLIDATED=Y","FA_ADJUSTED=GAAP","Sort=A","Dates=H","DateFormat=P","Fill=—","Direction=H","UseDPDF=Y")</f>
        <v>#NAME?</v>
      </c>
      <c r="U430" s="2" t="e">
        <f ca="1">_xll.BDH($C$428,"EBITDA_GROWTH","FQ2 2014","FQ2 2014","Currency=INR","Period=FQ","BEST_FPERIOD_OVERRIDE=FQ","FILING_STATUS=OR","EQY_CONSOLIDATED=Y","FA_ADJUSTED=GAAP","Sort=A","Dates=H","DateFormat=P","Fill=—","Direction=H","UseDPDF=Y")</f>
        <v>#NAME?</v>
      </c>
      <c r="V430" s="2" t="e">
        <f ca="1">_xll.BDH($C$428,"OPER_INC_GROWTH","FQ2 2014","FQ2 2014","Currency=INR","Period=FQ","BEST_FPERIOD_OVERRIDE=FQ","FILING_STATUS=OR","EQY_CONSOLIDATED=Y","FA_ADJUSTED=GAAP","Sort=A","Dates=H","DateFormat=P","Fill=—","Direction=H","UseDPDF=Y")</f>
        <v>#NAME?</v>
      </c>
      <c r="W430" s="2" t="e">
        <f ca="1">_xll.BDH($C$428,"EARN_FOR_COM_GROWTH","FQ2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430" s="2" t="e">
        <f ca="1">_xll.BDH($C$428,"DILUTED_EPS_AFT_XO_ITEMS_GROWTH","FQ2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430" s="2" t="e">
        <f ca="1">_xll.BDH($C$428,"DIVIDEND_PER_SHARE_1_YEAR_GROWTH","FQ2 2014","FQ2 2014","Currency=INR","Period=FQ","BEST_FPERIOD_OVERRIDE=FQ","FILING_STATUS=OR","EQY_CONSOLIDATED=Y","Sort=A","Dates=H","DateFormat=P","Fill=—","Direction=H","UseDPDF=Y")</f>
        <v>#NAME?</v>
      </c>
      <c r="Z430" s="2" t="e">
        <f ca="1">_xll.BDH($C$428,"ACCOUNTS_RECEIVABLE_GROWTH","FQ2 2014","FQ2 2014","Currency=INR","Period=FQ","BEST_FPERIOD_OVERRIDE=FQ","FILING_STATUS=OR","EQY_CONSOLIDATED=Y","Sort=A","Dates=H","DateFormat=P","Fill=—","Direction=H","UseDPDF=Y")</f>
        <v>#NAME?</v>
      </c>
      <c r="AA430" s="2" t="e">
        <f ca="1">_xll.BDH($C$428,"INVENTORY_GROWTH","FQ2 2014","FQ2 2014","Currency=INR","Period=FQ","BEST_FPERIOD_OVERRIDE=FQ","FILING_STATUS=OR","EQY_CONSOLIDATED=Y","Sort=A","Dates=H","DateFormat=P","Fill=—","Direction=H","UseDPDF=Y")</f>
        <v>#NAME?</v>
      </c>
      <c r="AB430" s="2" t="e">
        <f ca="1">_xll.BDH($C$428,"NET_FIXED_ASSETS_1_YEAR_GROWTH","FQ2 2014","FQ2 2014","Currency=INR","Period=FQ","BEST_FPERIOD_OVERRIDE=FQ","FILING_STATUS=OR","EQY_CONSOLIDATED=Y","Sort=A","Dates=H","DateFormat=P","Fill=—","Direction=H","UseDPDF=Y")</f>
        <v>#NAME?</v>
      </c>
      <c r="AC430" s="2" t="e">
        <f ca="1">_xll.BDH($C$428,"ASSET_GROWTH","FQ2 2014","FQ2 2014","Currency=INR","Period=FQ","BEST_FPERIOD_OVERRIDE=FQ","FILING_STATUS=OR","EQY_CONSOLIDATED=Y","Sort=A","Dates=H","DateFormat=P","Fill=—","Direction=H","UseDPDF=Y")</f>
        <v>#NAME?</v>
      </c>
      <c r="AD430" s="2" t="e">
        <f ca="1">_xll.BDH($C$428,"MODIFIED_WORK_CAP_GROWTH","FQ2 2014","FQ2 2014","Currency=INR","Period=FQ","BEST_FPERIOD_OVERRIDE=FQ","FILING_STATUS=OR","EQY_CONSOLIDATED=Y","Sort=A","Dates=H","DateFormat=P","Fill=—","Direction=H","UseDPDF=Y")</f>
        <v>#NAME?</v>
      </c>
      <c r="AE430" s="2" t="e">
        <f ca="1">_xll.BDH($C$428,"WORK_CAP_GROWTH","FQ2 2014","FQ2 2014","Currency=INR","Period=FQ","BEST_FPERIOD_OVERRIDE=FQ","FILING_STATUS=OR","EQY_CONSOLIDATED=Y","Sort=A","Dates=H","DateFormat=P","Fill=—","Direction=H","UseDPDF=Y")</f>
        <v>#NAME?</v>
      </c>
      <c r="AF430" s="2" t="e">
        <f ca="1">_xll.BDH($C$428,"ACCOUNTS_PAYABLE_GROWTH_1YR","FQ2 2014","FQ2 2014","Currency=INR","Period=FQ","BEST_FPERIOD_OVERRIDE=FQ","FILING_STATUS=OR","EQY_CONSOLIDATED=Y","Sort=A","Dates=H","DateFormat=P","Fill=—","Direction=H","UseDPDF=Y")</f>
        <v>#NAME?</v>
      </c>
      <c r="AG430" s="2" t="e">
        <f ca="1">_xll.BDH($C$428,"SHORT_TERM_DEBT_1_YEAR_GROWTH","FQ2 2014","FQ2 2014","Currency=INR","Period=FQ","BEST_FPERIOD_OVERRIDE=FQ","FILING_STATUS=OR","EQY_CONSOLIDATED=Y","Sort=A","Dates=H","DateFormat=P","Fill=—","Direction=H","UseDPDF=Y")</f>
        <v>#NAME?</v>
      </c>
      <c r="AH430" s="2" t="e">
        <f ca="1">_xll.BDH($C$428,"TOTAL_DEBT_1_YEAR_GROWTH","FQ2 2014","FQ2 2014","Currency=INR","Period=FQ","BEST_FPERIOD_OVERRIDE=FQ","FILING_STATUS=OR","EQY_CONSOLIDATED=Y","Sort=A","Dates=H","DateFormat=P","Fill=—","Direction=H","UseDPDF=Y")</f>
        <v>#NAME?</v>
      </c>
      <c r="AI430" s="2" t="e">
        <f ca="1">_xll.BDH($C$428,"TOTAL_EQUITY_1_YEAR_GROWTH","FQ2 2014","FQ2 2014","Currency=INR","Period=FQ","BEST_FPERIOD_OVERRIDE=FQ","FILING_STATUS=OR","EQY_CONSOLIDATED=Y","Sort=A","Dates=H","DateFormat=P","Fill=—","Direction=H","UseDPDF=Y")</f>
        <v>#NAME?</v>
      </c>
      <c r="AJ430" s="2" t="e">
        <f ca="1">_xll.BDH($C$428,"GROWTH_IN_CAP","FQ2 2014","FQ2 2014","Currency=INR","Period=FQ","BEST_FPERIOD_OVERRIDE=FQ","FILING_STATUS=OR","EQY_CONSOLIDATED=Y","Sort=A","Dates=H","DateFormat=P","Fill=—","Direction=H","UseDPDF=Y")</f>
        <v>#NAME?</v>
      </c>
      <c r="AK430" s="2" t="e">
        <f ca="1">_xll.BDH($C$428,"BVPS_GROWTH","FQ2 2014","FQ2 2014","Currency=INR","Period=FQ","BEST_FPERIOD_OVERRIDE=FQ","FILING_STATUS=OR","EQY_CONSOLIDATED=Y","Sort=A","Dates=H","DateFormat=P","Fill=—","Direction=H","UseDPDF=Y")</f>
        <v>#NAME?</v>
      </c>
      <c r="AL430" s="2" t="e">
        <f ca="1">_xll.BDH($C$428,"CASH_FLOW_GROWTH","FQ2 2014","FQ2 2014","Currency=INR","Period=FQ","BEST_FPERIOD_OVERRIDE=FQ","FILING_STATUS=OR","EQY_CONSOLIDATED=Y","Sort=A","Dates=H","DateFormat=P","Fill=—","Direction=H","UseDPDF=Y")</f>
        <v>#NAME?</v>
      </c>
      <c r="AM430" s="2" t="e">
        <f ca="1">_xll.BDH($C$428,"GEO_GROW_NET_SALES","FQ2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430" s="2" t="e">
        <f ca="1">_xll.BDH($C$428,"GEO_GROW_EBITDA","FQ2 2014","FQ2 2014","Currency=INR","Period=FQ","BEST_FPERIOD_OVERRIDE=FQ","FILING_STATUS=OR","EQY_CONSOLIDATED=Y","FA_ADJUSTED=GAAP","Sort=A","Dates=H","DateFormat=P","Fill=—","Direction=H","UseDPDF=Y")</f>
        <v>#NAME?</v>
      </c>
      <c r="AO430" s="2" t="e">
        <f ca="1">_xll.BDH($C$428,"GEO_GROW_OPER_INC","FQ2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430" s="2" t="e">
        <f ca="1">_xll.BDH($C$428,"NET_INCOME_TO_COMMON_5_YR_GROWTH","FQ2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430" s="2" t="e">
        <f ca="1">_xll.BDH($C$428,"5Y_GEO_GROWTH_DILUTED_EPS","FQ2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430" s="2" t="e">
        <f ca="1">_xll.BDH($C$428,"GEO_GROW_DVD_PER_SH","FQ2 2014","FQ2 2014","Currency=INR","Period=FQ","BEST_FPERIOD_OVERRIDE=FQ","FILING_STATUS=OR","EQY_CONSOLIDATED=Y","Sort=A","Dates=H","DateFormat=P","Fill=—","Direction=H","UseDPDF=Y")</f>
        <v>#NAME?</v>
      </c>
      <c r="AS430" s="2" t="e">
        <f ca="1">_xll.BDH($C$428,"ACCOUNTS_RECEIVABLE_5_YR_GROWTH","FQ2 2014","FQ2 2014","Currency=INR","Period=FQ","BEST_FPERIOD_OVERRIDE=FQ","FILING_STATUS=OR","EQY_CONSOLIDATED=Y","Sort=A","Dates=H","DateFormat=P","Fill=—","Direction=H","UseDPDF=Y")</f>
        <v>#NAME?</v>
      </c>
      <c r="AT430" s="2" t="e">
        <f ca="1">_xll.BDH($C$428,"INVENTORY_5_YEAR_GROWTH","FQ2 2014","FQ2 2014","Currency=INR","Period=FQ","BEST_FPERIOD_OVERRIDE=FQ","FILING_STATUS=OR","EQY_CONSOLIDATED=Y","Sort=A","Dates=H","DateFormat=P","Fill=—","Direction=H","UseDPDF=Y")</f>
        <v>#NAME?</v>
      </c>
      <c r="AU430" s="2" t="e">
        <f ca="1">_xll.BDH($C$428,"NET_FIXED_ASSETS_5_YEAR_GROWTH","FQ2 2014","FQ2 2014","Currency=INR","Period=FQ","BEST_FPERIOD_OVERRIDE=FQ","FILING_STATUS=OR","EQY_CONSOLIDATED=Y","Sort=A","Dates=H","DateFormat=P","Fill=—","Direction=H","UseDPDF=Y")</f>
        <v>#NAME?</v>
      </c>
      <c r="AV430" s="2" t="e">
        <f ca="1">_xll.BDH($C$428,"GEO_GROW_TOT_ASSET","FQ2 2014","FQ2 2014","Currency=INR","Period=FQ","BEST_FPERIOD_OVERRIDE=FQ","FILING_STATUS=OR","EQY_CONSOLIDATED=Y","Sort=A","Dates=H","DateFormat=P","Fill=—","Direction=H","UseDPDF=Y")</f>
        <v>#NAME?</v>
      </c>
      <c r="AW430" s="2" t="e">
        <f ca="1">_xll.BDH($C$428,"MODIFIED_WORKING_CPTL_5YR_GRWTH","FQ2 2014","FQ2 2014","Currency=INR","Period=FQ","BEST_FPERIOD_OVERRIDE=FQ","FILING_STATUS=OR","EQY_CONSOLIDATED=Y","Sort=A","Dates=H","DateFormat=P","Fill=—","Direction=H","UseDPDF=Y")</f>
        <v>#NAME?</v>
      </c>
      <c r="AX430" s="2" t="e">
        <f ca="1">_xll.BDH($C$428,"WORKING_CAPITAL_5_YEAR_GROWTH","FQ2 2014","FQ2 2014","Currency=INR","Period=FQ","BEST_FPERIOD_OVERRIDE=FQ","FILING_STATUS=OR","EQY_CONSOLIDATED=Y","Sort=A","Dates=H","DateFormat=P","Fill=—","Direction=H","UseDPDF=Y")</f>
        <v>#NAME?</v>
      </c>
      <c r="AY430" s="2" t="e">
        <f ca="1">_xll.BDH($C$428,"ACCOUNTS_PAYABLE_5_YEAR_GROWTH","FQ2 2014","FQ2 2014","Currency=INR","Period=FQ","BEST_FPERIOD_OVERRIDE=FQ","FILING_STATUS=OR","EQY_CONSOLIDATED=Y","Sort=A","Dates=H","DateFormat=P","Fill=—","Direction=H","UseDPDF=Y")</f>
        <v>#NAME?</v>
      </c>
      <c r="AZ430" s="2" t="e">
        <f ca="1">_xll.BDH($C$428,"SHORT_TERM_DEBT_5_YEAR_GROWTH","FQ2 2014","FQ2 2014","Currency=INR","Period=FQ","BEST_FPERIOD_OVERRIDE=FQ","FILING_STATUS=OR","EQY_CONSOLIDATED=Y","Sort=A","Dates=H","DateFormat=P","Fill=—","Direction=H","UseDPDF=Y")</f>
        <v>#NAME?</v>
      </c>
      <c r="BA430" s="2" t="e">
        <f ca="1">_xll.BDH($C$428,"TOTAL_DEBT_5_YEAR_GROWTH","FQ2 2014","FQ2 2014","Currency=INR","Period=FQ","BEST_FPERIOD_OVERRIDE=FQ","FILING_STATUS=OR","EQY_CONSOLIDATED=Y","Sort=A","Dates=H","DateFormat=P","Fill=—","Direction=H","UseDPDF=Y")</f>
        <v>#NAME?</v>
      </c>
      <c r="BB430" s="2" t="e">
        <f ca="1">_xll.BDH($C$428,"GEO_GROW_TOT_SHRHLDR_EQY","FQ2 2014","FQ2 2014","Currency=INR","Period=FQ","BEST_FPERIOD_OVERRIDE=FQ","FILING_STATUS=OR","EQY_CONSOLIDATED=Y","Sort=A","Dates=H","DateFormat=P","Fill=—","Direction=H","UseDPDF=Y")</f>
        <v>#NAME?</v>
      </c>
      <c r="BC430" s="2" t="e">
        <f ca="1">_xll.BDH($C$428,"TOTAL_CAPITAL_5_YEAR_GROWTH","FQ2 2014","FQ2 2014","Currency=INR","Period=FQ","BEST_FPERIOD_OVERRIDE=FQ","FILING_STATUS=OR","EQY_CONSOLIDATED=Y","Sort=A","Dates=H","DateFormat=P","Fill=—","Direction=H","UseDPDF=Y")</f>
        <v>#NAME?</v>
      </c>
      <c r="BD430" s="2" t="e">
        <f ca="1">_xll.BDH($C$428,"GEO_GROW_BOOK_VAL","FQ2 2014","FQ2 2014","Currency=INR","Period=FQ","BEST_FPERIOD_OVERRIDE=FQ","FILING_STATUS=OR","EQY_CONSOLIDATED=Y","Sort=A","Dates=H","DateFormat=P","Fill=—","Direction=H","UseDPDF=Y")</f>
        <v>#NAME?</v>
      </c>
      <c r="BE430" s="2" t="e">
        <f ca="1">_xll.BDH($C$428,"GEO_GROW_CASH_OPER_ACT","FQ2 2014","FQ2 2014","Currency=INR","Period=FQ","BEST_FPERIOD_OVERRIDE=FQ","FILING_STATUS=OR","EQY_CONSOLIDATED=Y","Sort=A","Dates=H","DateFormat=P","Fill=—","Direction=H","UseDPDF=Y")</f>
        <v>#NAME?</v>
      </c>
      <c r="BF430" s="2" t="e">
        <f ca="1">_xll.BDH($C$428,"REVENUE_SEQUENTIAL_GROWTH","FQ2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430" s="2" t="e">
        <f ca="1">_xll.BDH($C$428,"EBITDA_SEQUENTIAL_GROWTH","FQ2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430" s="2" t="e">
        <f ca="1">_xll.BDH($C$428,"OPERATING_INCOME_SEQ_GROWTH","FQ2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430" s="2" t="e">
        <f ca="1">_xll.BDH($C$428,"NET_INCOME_TO_COMMON_SEQ_GROWTH","FQ2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430" s="2" t="e">
        <f ca="1">_xll.BDH($C$428,"EPS_DILUTED_SEQUENTIAL_GROWTH","FQ2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430" s="2" t="e">
        <f ca="1">_xll.BDH($C$428,"DPS_SEQUENTIAL_GROWTH","FQ2 2014","FQ2 2014","Currency=INR","Period=FQ","BEST_FPERIOD_OVERRIDE=FQ","FILING_STATUS=OR","EQY_CONSOLIDATED=Y","Sort=A","Dates=H","DateFormat=P","Fill=—","Direction=H","UseDPDF=Y")</f>
        <v>#NAME?</v>
      </c>
      <c r="BL430" s="2" t="e">
        <f ca="1">_xll.BDH($C$428,"ACCOUNTS_RECEIVABLE_SEQ_GROWTH","FQ2 2014","FQ2 2014","Currency=INR","Period=FQ","BEST_FPERIOD_OVERRIDE=FQ","FILING_STATUS=OR","EQY_CONSOLIDATED=Y","Sort=A","Dates=H","DateFormat=P","Fill=—","Direction=H","UseDPDF=Y")</f>
        <v>#NAME?</v>
      </c>
      <c r="BM430" s="2" t="e">
        <f ca="1">_xll.BDH($C$428,"INVENTORY_SEQUENTIAL_GROWTH","FQ2 2014","FQ2 2014","Currency=INR","Period=FQ","BEST_FPERIOD_OVERRIDE=FQ","FILING_STATUS=OR","EQY_CONSOLIDATED=Y","Sort=A","Dates=H","DateFormat=P","Fill=—","Direction=H","UseDPDF=Y")</f>
        <v>#NAME?</v>
      </c>
      <c r="BN430" s="2" t="e">
        <f ca="1">_xll.BDH($C$428,"FIXED_ASSETS_SEQUENTIAL_GROWTH","FQ2 2014","FQ2 2014","Currency=INR","Period=FQ","BEST_FPERIOD_OVERRIDE=FQ","FILING_STATUS=OR","EQY_CONSOLIDATED=Y","Sort=A","Dates=H","DateFormat=P","Fill=—","Direction=H","UseDPDF=Y")</f>
        <v>#NAME?</v>
      </c>
      <c r="BO430" s="2" t="e">
        <f ca="1">_xll.BDH($C$428,"TOTAL_ASSETS_SEQUENTIAL_GROWTH","FQ2 2014","FQ2 2014","Currency=INR","Period=FQ","BEST_FPERIOD_OVERRIDE=FQ","FILING_STATUS=OR","EQY_CONSOLIDATED=Y","Sort=A","Dates=H","DateFormat=P","Fill=—","Direction=H","UseDPDF=Y")</f>
        <v>#NAME?</v>
      </c>
      <c r="BP430" s="2" t="e">
        <f ca="1">_xll.BDH($C$428,"MODIFIED_WORKING_CPTL_SEQ_GRWTH","FQ2 2014","FQ2 2014","Currency=INR","Period=FQ","BEST_FPERIOD_OVERRIDE=FQ","FILING_STATUS=OR","EQY_CONSOLIDATED=Y","Sort=A","Dates=H","DateFormat=P","Fill=—","Direction=H","UseDPDF=Y")</f>
        <v>#NAME?</v>
      </c>
      <c r="BQ430" s="2" t="e">
        <f ca="1">_xll.BDH($C$428,"WORKING_CAPITAL_SEQ_GROWTH","FQ2 2014","FQ2 2014","Currency=INR","Period=FQ","BEST_FPERIOD_OVERRIDE=FQ","FILING_STATUS=OR","EQY_CONSOLIDATED=Y","Sort=A","Dates=H","DateFormat=P","Fill=—","Direction=H","UseDPDF=Y")</f>
        <v>#NAME?</v>
      </c>
      <c r="BR430" s="2" t="e">
        <f ca="1">_xll.BDH($C$428,"ACCOUNTS_PAYABLE_SEQ_GROWTH","FQ2 2014","FQ2 2014","Currency=INR","Period=FQ","BEST_FPERIOD_OVERRIDE=FQ","FILING_STATUS=OR","EQY_CONSOLIDATED=Y","Sort=A","Dates=H","DateFormat=P","Fill=—","Direction=H","UseDPDF=Y")</f>
        <v>#NAME?</v>
      </c>
      <c r="BS430" s="2" t="e">
        <f ca="1">_xll.BDH($C$428,"ST_DEBT_SEQUENTIAL_GROWTH","FQ2 2014","FQ2 2014","Currency=INR","Period=FQ","BEST_FPERIOD_OVERRIDE=FQ","FILING_STATUS=OR","EQY_CONSOLIDATED=Y","Sort=A","Dates=H","DateFormat=P","Fill=—","Direction=H","UseDPDF=Y")</f>
        <v>#NAME?</v>
      </c>
      <c r="BT430" s="2" t="e">
        <f ca="1">_xll.BDH($C$428,"TOTAL_DEBT_SEQUENTIAL_GROWTH","FQ2 2014","FQ2 2014","Currency=INR","Period=FQ","BEST_FPERIOD_OVERRIDE=FQ","FILING_STATUS=OR","EQY_CONSOLIDATED=Y","Sort=A","Dates=H","DateFormat=P","Fill=—","Direction=H","UseDPDF=Y")</f>
        <v>#NAME?</v>
      </c>
      <c r="BU430" s="2" t="e">
        <f ca="1">_xll.BDH($C$428,"TOTAL_EQUITY_SEQUENTIAL_GROWTH","FQ2 2014","FQ2 2014","Currency=INR","Period=FQ","BEST_FPERIOD_OVERRIDE=FQ","FILING_STATUS=OR","EQY_CONSOLIDATED=Y","Sort=A","Dates=H","DateFormat=P","Fill=—","Direction=H","UseDPDF=Y")</f>
        <v>#NAME?</v>
      </c>
      <c r="BV430" s="2" t="e">
        <f ca="1">_xll.BDH($C$428,"TOTAL_CAPITAL_SEQUENTIAL_GROWTH","FQ2 2014","FQ2 2014","Currency=INR","Period=FQ","BEST_FPERIOD_OVERRIDE=FQ","FILING_STATUS=OR","EQY_CONSOLIDATED=Y","Sort=A","Dates=H","DateFormat=P","Fill=—","Direction=H","UseDPDF=Y")</f>
        <v>#NAME?</v>
      </c>
      <c r="BW430" s="2" t="e">
        <f ca="1">_xll.BDH($C$428,"BPS_SEQUENTIAL_GROWTH","FQ2 2014","FQ2 2014","Currency=INR","Period=FQ","BEST_FPERIOD_OVERRIDE=FQ","FILING_STATUS=OR","EQY_CONSOLIDATED=Y","Sort=A","Dates=H","DateFormat=P","Fill=—","Direction=H","UseDPDF=Y")</f>
        <v>#NAME?</v>
      </c>
      <c r="BX430" s="2" t="e">
        <f ca="1">_xll.BDH($C$428,"CFO_SEQUENTIAL_GROWTH","FQ2 2014","FQ2 2014","Currency=INR","Period=FQ","BEST_FPERIOD_OVERRIDE=FQ","FILING_STATUS=OR","EQY_CONSOLIDATED=Y","Sort=A","Dates=H","DateFormat=P","Fill=—","Direction=H","UseDPDF=Y")</f>
        <v>#NAME?</v>
      </c>
      <c r="BY430" s="3" t="e">
        <f ca="1">_xll.BDH($C$428,"SHORT_AND_LONG_TERM_DEBT","FQ2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430" s="3" t="e">
        <f ca="1">_xll.BDH($C$428,"BS_ST_BORROW","FQ2 2014","FQ2 2014","Currency=INR","Period=FQ","BEST_FPERIOD_OVERRIDE=FQ","FILING_STATUS=OR","EQY_CONSOLIDATED=Y","SCALING_FORMAT=MLN","Sort=A","Dates=H","DateFormat=P","Fill=—","Direction=H","UseDPDF=Y")</f>
        <v>#NAME?</v>
      </c>
      <c r="CA430" s="3" t="e">
        <f ca="1">_xll.BDH($C$428,"BS_LT_BORROW","FQ2 2014","FQ2 2014","Currency=INR","Period=FQ","BEST_FPERIOD_OVERRIDE=FQ","FILING_STATUS=OR","EQY_CONSOLIDATED=Y","SCALING_FORMAT=MLN","Sort=A","Dates=H","DateFormat=P","Fill=—","Direction=H","UseDPDF=Y")</f>
        <v>#NAME?</v>
      </c>
      <c r="CB430" s="2" t="e">
        <f ca="1">_xll.BDH($C$428,"TOT_DEBT_TO_EBITDA","FQ2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430" s="2" t="e">
        <f ca="1">_xll.BDH($C$428,"NET_DEBT_TO_EBITDA","FQ2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430" s="2" t="e">
        <f ca="1">_xll.BDH($C$428,"TOTAL_DEBT_TO_EBIT","FQ2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430" s="2" t="e">
        <f ca="1">_xll.BDH($C$428,"NET_DEBT_TO_EBIT","FQ2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430" s="2" t="e">
        <f ca="1">_xll.BDH($C$428,"EBITDA_TO_INTEREST_EXPN","FQ2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430" s="2" t="e">
        <f ca="1">_xll.BDH($C$428,"COM_EQY_TO_TOT_ASSET","FQ2 2014","FQ2 2014","Currency=INR","Period=FQ","BEST_FPERIOD_OVERRIDE=FQ","FILING_STATUS=OR","EQY_CONSOLIDATED=Y","Sort=A","Dates=H","DateFormat=P","Fill=—","Direction=H","UseDPDF=Y")</f>
        <v>#NAME?</v>
      </c>
      <c r="CH430" s="2" t="e">
        <f ca="1">_xll.BDH($C$428,"LT_DEBT_TO_TOT_EQY","FQ2 2014","FQ2 2014","Currency=INR","Period=FQ","BEST_FPERIOD_OVERRIDE=FQ","FILING_STATUS=OR","EQY_CONSOLIDATED=Y","Sort=A","Dates=H","DateFormat=P","Fill=—","Direction=H","UseDPDF=Y")</f>
        <v>#NAME?</v>
      </c>
      <c r="CI430" s="2" t="e">
        <f ca="1">_xll.BDH($C$428,"LT_DEBT_TO_TOT_CAP","FQ2 2014","FQ2 2014","Currency=INR","Period=FQ","BEST_FPERIOD_OVERRIDE=FQ","FILING_STATUS=OR","EQY_CONSOLIDATED=Y","Sort=A","Dates=H","DateFormat=P","Fill=—","Direction=H","UseDPDF=Y")</f>
        <v>#NAME?</v>
      </c>
      <c r="CJ430" s="2" t="e">
        <f ca="1">_xll.BDH($C$428,"LT_DEBT_TO_TOT_ASSET","FQ2 2014","FQ2 2014","Currency=INR","Period=FQ","BEST_FPERIOD_OVERRIDE=FQ","FILING_STATUS=OR","EQY_CONSOLIDATED=Y","Sort=A","Dates=H","DateFormat=P","Fill=—","Direction=H","UseDPDF=Y")</f>
        <v>#NAME?</v>
      </c>
      <c r="CK430" s="2" t="e">
        <f ca="1">_xll.BDH($C$428,"TOT_DEBT_TO_TOT_EQY","FQ2 2014","FQ2 2014","Currency=INR","Period=FQ","BEST_FPERIOD_OVERRIDE=FQ","FILING_STATUS=OR","EQY_CONSOLIDATED=Y","Sort=A","Dates=H","DateFormat=P","Fill=—","Direction=H","UseDPDF=Y")</f>
        <v>#NAME?</v>
      </c>
      <c r="CL430" s="2" t="e">
        <f ca="1">_xll.BDH($C$428,"TOT_DEBT_TO_TOT_CAP","FQ2 2014","FQ2 2014","Currency=INR","Period=FQ","BEST_FPERIOD_OVERRIDE=FQ","FILING_STATUS=OR","EQY_CONSOLIDATED=Y","Sort=A","Dates=H","DateFormat=P","Fill=—","Direction=H","UseDPDF=Y")</f>
        <v>#NAME?</v>
      </c>
      <c r="CM430" s="2" t="e">
        <f ca="1">_xll.BDH($C$428,"TOT_DEBT_TO_TOT_ASSET","FQ2 2014","FQ2 2014","Currency=INR","Period=FQ","BEST_FPERIOD_OVERRIDE=FQ","FILING_STATUS=OR","EQY_CONSOLIDATED=Y","Sort=A","Dates=H","DateFormat=P","Fill=—","Direction=H","UseDPDF=Y")</f>
        <v>#NAME?</v>
      </c>
      <c r="CN430" s="2" t="e">
        <f ca="1">_xll.BDH($C$428,"NET_DEBT_TO_SHRHLDR_EQTY","FQ2 2014","FQ2 2014","Currency=INR","Period=FQ","BEST_FPERIOD_OVERRIDE=FQ","FILING_STATUS=OR","EQY_CONSOLIDATED=Y","Sort=A","Dates=H","DateFormat=P","Fill=—","Direction=H","UseDPDF=Y")</f>
        <v>#NAME?</v>
      </c>
      <c r="CO430" s="2" t="e">
        <f ca="1">_xll.BDH($C$428,"NET_DEBT_%_CAPITAL","FQ2 2014","FQ2 2014","Currency=INR","Period=FQ","BEST_FPERIOD_OVERRIDE=FQ","FILING_STATUS=OR","EQY_CONSOLIDATED=Y","Sort=A","Dates=H","DateFormat=P","Fill=—","Direction=H","UseDPDF=Y")</f>
        <v>#NAME?</v>
      </c>
      <c r="CP430" s="3" t="e">
        <f ca="1">_xll.BDH($C$428,"EBITDA","FQ2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430" s="3" t="e">
        <f ca="1">_xll.BDH($C$428,"EBITDA_AFTER_CAPEX","FQ2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430" s="3" t="e">
        <f ca="1">_xll.BDH($C$428,"IS_OPER_INC","FQ2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430" s="2" t="e">
        <f ca="1">_xll.BDH($C$428,"CASH_RATIO","FQ2 2014","FQ2 2014","Currency=INR","Period=FQ","BEST_FPERIOD_OVERRIDE=FQ","FILING_STATUS=OR","EQY_CONSOLIDATED=Y","Sort=A","Dates=H","DateFormat=P","Fill=—","Direction=H","UseDPDF=Y")</f>
        <v>#NAME?</v>
      </c>
      <c r="CT430" s="2" t="e">
        <f ca="1">_xll.BDH($C$428,"CUR_RATIO","FQ2 2014","FQ2 2014","Currency=INR","Period=FQ","BEST_FPERIOD_OVERRIDE=FQ","FILING_STATUS=OR","EQY_CONSOLIDATED=Y","Sort=A","Dates=H","DateFormat=P","Fill=—","Direction=H","UseDPDF=Y")</f>
        <v>#NAME?</v>
      </c>
      <c r="CU430" s="2" t="e">
        <f ca="1">_xll.BDH($C$428,"QUICK_RATIO","FQ2 2014","FQ2 2014","Currency=INR","Period=FQ","BEST_FPERIOD_OVERRIDE=FQ","FILING_STATUS=OR","EQY_CONSOLIDATED=Y","Sort=A","Dates=H","DateFormat=P","Fill=—","Direction=H","UseDPDF=Y")</f>
        <v>#NAME?</v>
      </c>
      <c r="CV430" s="2" t="e">
        <f ca="1">_xll.BDH($C$428,"ALTMAN_Z_SCORE","FQ2 2014","FQ2 2014","Currency=INR","Period=FQ","BEST_FPERIOD_OVERRIDE=FQ","FILING_STATUS=OR","EQY_CONSOLIDATED=Y","Sort=A","Dates=H","DateFormat=P","Fill=—","Direction=H","UseDPDF=Y")</f>
        <v>#NAME?</v>
      </c>
      <c r="CW430" s="4" t="e">
        <f ca="1">_xll.BDH($C$428,"ACCT_RCV_TURN","FQ2 2014","FQ2 2014","Currency=INR","Period=FQ","BEST_FPERIOD_OVERRIDE=FQ","FILING_STATUS=OR","EQY_CONSOLIDATED=Y","FA_ADJUSTED=GAAP","Sort=A","Dates=H","DateFormat=P","Fill=—","Direction=H","UseDPDF=Y")</f>
        <v>#NAME?</v>
      </c>
      <c r="CX430" s="2" t="e">
        <f ca="1">_xll.BDH($C$428,"ACCT_RCV_DAYS","FQ2 2014","FQ2 2014","Currency=INR","Period=FQ","BEST_FPERIOD_OVERRIDE=FQ","FILING_STATUS=OR","EQY_CONSOLIDATED=Y","FA_ADJUSTED=GAAP","Sort=A","Dates=H","DateFormat=P","Fill=—","Direction=H","UseDPDF=Y")</f>
        <v>#NAME?</v>
      </c>
      <c r="CY430" s="4" t="e">
        <f ca="1">_xll.BDH($C$428,"INVENT_TURN","FQ2 2014","FQ2 2014","Currency=INR","Period=FQ","BEST_FPERIOD_OVERRIDE=FQ","FILING_STATUS=OR","EQY_CONSOLIDATED=Y","FA_ADJUSTED=GAAP","Sort=A","Dates=H","DateFormat=P","Fill=—","Direction=H","UseDPDF=Y")</f>
        <v>#NAME?</v>
      </c>
      <c r="CZ430" s="2" t="e">
        <f ca="1">_xll.BDH($C$428,"INVENT_DAYS","FQ2 2014","FQ2 2014","Currency=INR","Period=FQ","BEST_FPERIOD_OVERRIDE=FQ","FILING_STATUS=OR","EQY_CONSOLIDATED=Y","FA_ADJUSTED=GAAP","Sort=A","Dates=H","DateFormat=P","Fill=—","Direction=H","UseDPDF=Y")</f>
        <v>#NAME?</v>
      </c>
      <c r="DA430" s="4" t="e">
        <f ca="1">_xll.BDH($C$428,"ACCOUNTS_PAYABLE_TURNOVER","FQ2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430" s="2" t="e">
        <f ca="1">_xll.BDH($C$428,"ACCOUNTS_PAYABLE_TURNOVER_DAYS","FQ2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430" s="4" t="e">
        <f ca="1">_xll.BDH($C$428,"CASH_CONVERSION_CYCLE","FQ2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430" s="4" t="e">
        <f ca="1">_xll.BDH($C$428,"INV_TO_CASH_DAYS","FQ2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430" s="5" t="e">
        <f ca="1">_xll.BDH($C$428,"BS_INVENTORIES","FQ2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430" s="3" t="e">
        <f ca="1">_xll.BDH($C$428,"INVTRY_RAW_MATERIALS","FQ2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430" s="3" t="e">
        <f ca="1">_xll.BDH($C$428,"INVTRY_IN_PROGRESS","FQ2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430" s="3" t="e">
        <f ca="1">_xll.BDH($C$428,"INVTRY_FINISHED_GOODS","FQ2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430" s="3" t="e">
        <f ca="1">_xll.BDH($C$428,"BS_OTHER_INV","FQ2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431" spans="1:113" x14ac:dyDescent="0.3">
      <c r="A431" s="6"/>
      <c r="B431" s="6"/>
      <c r="C431" s="6"/>
      <c r="D431" s="6"/>
      <c r="E431" t="s">
        <v>80</v>
      </c>
      <c r="F431" t="e">
        <f ca="1">_xll.BDH($C$428,"RETURN_COM_EQY","FQ3 2014","FQ3 2014","Currency=INR","Period=FQ","BEST_FPERIOD_OVERRIDE=FQ","FILING_STATUS=OR","EQY_CONSOLIDATED=Y","FA_ADJUSTED=GAAP","Sort=A","Dates=H","DateFormat=P","Fill=—","Direction=H","UseDPDF=Y")</f>
        <v>#NAME?</v>
      </c>
      <c r="G431" t="e">
        <f ca="1">_xll.BDH($C$428,"RETURN_ON_ASSET","FQ3 2014","FQ3 2014","Currency=INR","Period=FQ","BEST_FPERIOD_OVERRIDE=FQ","FILING_STATUS=OR","EQY_CONSOLIDATED=Y","FA_ADJUSTED=GAAP","Sort=A","Dates=H","DateFormat=P","Fill=—","Direction=H","UseDPDF=Y")</f>
        <v>#NAME?</v>
      </c>
      <c r="H431" t="e">
        <f ca="1">_xll.BDH($C$428,"RETURN_ON_CAP","FQ3 2014","FQ3 2014","Currency=INR","Period=FQ","BEST_FPERIOD_OVERRIDE=FQ","FILING_STATUS=OR","EQY_CONSOLIDATED=Y","FA_ADJUSTED=GAAP","Sort=A","Dates=H","DateFormat=P","Fill=—","Direction=H","UseDPDF=Y")</f>
        <v>#NAME?</v>
      </c>
      <c r="I431" t="e">
        <f ca="1">_xll.BDH($C$428,"RETURN_ON_INV_CAPITAL","FQ3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431" t="e">
        <f ca="1">_xll.BDH($C$428,"EBITDA_TO_REVENUE","FQ3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431" t="e">
        <f ca="1">_xll.BDH($C$428,"OPER_MARGIN","FQ3 2014","FQ3 2014","Currency=INR","Period=FQ","BEST_FPERIOD_OVERRIDE=FQ","FILING_STATUS=OR","EQY_CONSOLIDATED=Y","FA_ADJUSTED=GAAP","Sort=A","Dates=H","DateFormat=P","Fill=—","Direction=H","UseDPDF=Y")</f>
        <v>#NAME?</v>
      </c>
      <c r="L431" t="e">
        <f ca="1">_xll.BDH($C$428,"INCREMENTAL_OPERATING_MARGIN","FQ3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431" t="e">
        <f ca="1">_xll.BDH($C$428,"PRETAX_INC_TO_NET_SALES","FQ3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431" t="e">
        <f ca="1">_xll.BDH($C$428,"INC_BEF_XO_ITEMS_TO_NET_SALES","FQ3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431" t="e">
        <f ca="1">_xll.BDH($C$428,"PROF_MARGIN","FQ3 2014","FQ3 2014","Currency=INR","Period=FQ","BEST_FPERIOD_OVERRIDE=FQ","FILING_STATUS=OR","EQY_CONSOLIDATED=Y","FA_ADJUSTED=GAAP","Sort=A","Dates=H","DateFormat=P","Fill=—","Direction=H","UseDPDF=Y")</f>
        <v>#NAME?</v>
      </c>
      <c r="P431" t="e">
        <f ca="1">_xll.BDH($C$428,"NET_INCOME_TO_COMMON_MARGIN","FQ3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431" t="e">
        <f ca="1">_xll.BDH($C$428,"EFF_TAX_RATE","FQ3 2014","FQ3 2014","Currency=INR","Period=FQ","BEST_FPERIOD_OVERRIDE=FQ","FILING_STATUS=OR","EQY_CONSOLIDATED=Y","FA_ADJUSTED=GAAP","Sort=A","Dates=H","DateFormat=P","Fill=—","Direction=H","UseDPDF=Y")</f>
        <v>#NAME?</v>
      </c>
      <c r="R431" t="e">
        <f ca="1">_xll.BDH($C$428,"DVD_PAYOUT_RATIO","FQ3 2014","FQ3 2014","Currency=INR","Period=FQ","BEST_FPERIOD_OVERRIDE=FQ","FILING_STATUS=OR","EQY_CONSOLIDATED=Y","FA_ADJUSTED=GAAP","Sort=A","Dates=H","DateFormat=P","Fill=—","Direction=H","UseDPDF=Y")</f>
        <v>#NAME?</v>
      </c>
      <c r="S431" t="e">
        <f ca="1">_xll.BDH($C$428,"SUSTAIN_GROWTH_RT","FQ3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431" s="2" t="e">
        <f ca="1">_xll.BDH($C$428,"SALES_GROWTH","FQ3 2014","FQ3 2014","Currency=INR","Period=FQ","BEST_FPERIOD_OVERRIDE=FQ","FILING_STATUS=OR","EQY_CONSOLIDATED=Y","FA_ADJUSTED=GAAP","Sort=A","Dates=H","DateFormat=P","Fill=—","Direction=H","UseDPDF=Y")</f>
        <v>#NAME?</v>
      </c>
      <c r="U431" s="2" t="e">
        <f ca="1">_xll.BDH($C$428,"EBITDA_GROWTH","FQ3 2014","FQ3 2014","Currency=INR","Period=FQ","BEST_FPERIOD_OVERRIDE=FQ","FILING_STATUS=OR","EQY_CONSOLIDATED=Y","FA_ADJUSTED=GAAP","Sort=A","Dates=H","DateFormat=P","Fill=—","Direction=H","UseDPDF=Y")</f>
        <v>#NAME?</v>
      </c>
      <c r="V431" s="2" t="e">
        <f ca="1">_xll.BDH($C$428,"OPER_INC_GROWTH","FQ3 2014","FQ3 2014","Currency=INR","Period=FQ","BEST_FPERIOD_OVERRIDE=FQ","FILING_STATUS=OR","EQY_CONSOLIDATED=Y","FA_ADJUSTED=GAAP","Sort=A","Dates=H","DateFormat=P","Fill=—","Direction=H","UseDPDF=Y")</f>
        <v>#NAME?</v>
      </c>
      <c r="W431" s="2" t="e">
        <f ca="1">_xll.BDH($C$428,"EARN_FOR_COM_GROWTH","FQ3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431" s="2" t="e">
        <f ca="1">_xll.BDH($C$428,"DILUTED_EPS_AFT_XO_ITEMS_GROWTH","FQ3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431" s="2" t="e">
        <f ca="1">_xll.BDH($C$428,"DIVIDEND_PER_SHARE_1_YEAR_GROWTH","FQ3 2014","FQ3 2014","Currency=INR","Period=FQ","BEST_FPERIOD_OVERRIDE=FQ","FILING_STATUS=OR","EQY_CONSOLIDATED=Y","Sort=A","Dates=H","DateFormat=P","Fill=—","Direction=H","UseDPDF=Y")</f>
        <v>#NAME?</v>
      </c>
      <c r="Z431" s="2" t="e">
        <f ca="1">_xll.BDH($C$428,"ACCOUNTS_RECEIVABLE_GROWTH","FQ3 2014","FQ3 2014","Currency=INR","Period=FQ","BEST_FPERIOD_OVERRIDE=FQ","FILING_STATUS=OR","EQY_CONSOLIDATED=Y","Sort=A","Dates=H","DateFormat=P","Fill=—","Direction=H","UseDPDF=Y")</f>
        <v>#NAME?</v>
      </c>
      <c r="AA431" s="2" t="e">
        <f ca="1">_xll.BDH($C$428,"INVENTORY_GROWTH","FQ3 2014","FQ3 2014","Currency=INR","Period=FQ","BEST_FPERIOD_OVERRIDE=FQ","FILING_STATUS=OR","EQY_CONSOLIDATED=Y","Sort=A","Dates=H","DateFormat=P","Fill=—","Direction=H","UseDPDF=Y")</f>
        <v>#NAME?</v>
      </c>
      <c r="AB431" s="2" t="e">
        <f ca="1">_xll.BDH($C$428,"NET_FIXED_ASSETS_1_YEAR_GROWTH","FQ3 2014","FQ3 2014","Currency=INR","Period=FQ","BEST_FPERIOD_OVERRIDE=FQ","FILING_STATUS=OR","EQY_CONSOLIDATED=Y","Sort=A","Dates=H","DateFormat=P","Fill=—","Direction=H","UseDPDF=Y")</f>
        <v>#NAME?</v>
      </c>
      <c r="AC431" s="2" t="e">
        <f ca="1">_xll.BDH($C$428,"ASSET_GROWTH","FQ3 2014","FQ3 2014","Currency=INR","Period=FQ","BEST_FPERIOD_OVERRIDE=FQ","FILING_STATUS=OR","EQY_CONSOLIDATED=Y","Sort=A","Dates=H","DateFormat=P","Fill=—","Direction=H","UseDPDF=Y")</f>
        <v>#NAME?</v>
      </c>
      <c r="AD431" s="2" t="e">
        <f ca="1">_xll.BDH($C$428,"MODIFIED_WORK_CAP_GROWTH","FQ3 2014","FQ3 2014","Currency=INR","Period=FQ","BEST_FPERIOD_OVERRIDE=FQ","FILING_STATUS=OR","EQY_CONSOLIDATED=Y","Sort=A","Dates=H","DateFormat=P","Fill=—","Direction=H","UseDPDF=Y")</f>
        <v>#NAME?</v>
      </c>
      <c r="AE431" s="2" t="e">
        <f ca="1">_xll.BDH($C$428,"WORK_CAP_GROWTH","FQ3 2014","FQ3 2014","Currency=INR","Period=FQ","BEST_FPERIOD_OVERRIDE=FQ","FILING_STATUS=OR","EQY_CONSOLIDATED=Y","Sort=A","Dates=H","DateFormat=P","Fill=—","Direction=H","UseDPDF=Y")</f>
        <v>#NAME?</v>
      </c>
      <c r="AF431" s="2" t="e">
        <f ca="1">_xll.BDH($C$428,"ACCOUNTS_PAYABLE_GROWTH_1YR","FQ3 2014","FQ3 2014","Currency=INR","Period=FQ","BEST_FPERIOD_OVERRIDE=FQ","FILING_STATUS=OR","EQY_CONSOLIDATED=Y","Sort=A","Dates=H","DateFormat=P","Fill=—","Direction=H","UseDPDF=Y")</f>
        <v>#NAME?</v>
      </c>
      <c r="AG431" s="2" t="e">
        <f ca="1">_xll.BDH($C$428,"SHORT_TERM_DEBT_1_YEAR_GROWTH","FQ3 2014","FQ3 2014","Currency=INR","Period=FQ","BEST_FPERIOD_OVERRIDE=FQ","FILING_STATUS=OR","EQY_CONSOLIDATED=Y","Sort=A","Dates=H","DateFormat=P","Fill=—","Direction=H","UseDPDF=Y")</f>
        <v>#NAME?</v>
      </c>
      <c r="AH431" s="2" t="e">
        <f ca="1">_xll.BDH($C$428,"TOTAL_DEBT_1_YEAR_GROWTH","FQ3 2014","FQ3 2014","Currency=INR","Period=FQ","BEST_FPERIOD_OVERRIDE=FQ","FILING_STATUS=OR","EQY_CONSOLIDATED=Y","Sort=A","Dates=H","DateFormat=P","Fill=—","Direction=H","UseDPDF=Y")</f>
        <v>#NAME?</v>
      </c>
      <c r="AI431" s="2" t="e">
        <f ca="1">_xll.BDH($C$428,"TOTAL_EQUITY_1_YEAR_GROWTH","FQ3 2014","FQ3 2014","Currency=INR","Period=FQ","BEST_FPERIOD_OVERRIDE=FQ","FILING_STATUS=OR","EQY_CONSOLIDATED=Y","Sort=A","Dates=H","DateFormat=P","Fill=—","Direction=H","UseDPDF=Y")</f>
        <v>#NAME?</v>
      </c>
      <c r="AJ431" s="2" t="e">
        <f ca="1">_xll.BDH($C$428,"GROWTH_IN_CAP","FQ3 2014","FQ3 2014","Currency=INR","Period=FQ","BEST_FPERIOD_OVERRIDE=FQ","FILING_STATUS=OR","EQY_CONSOLIDATED=Y","Sort=A","Dates=H","DateFormat=P","Fill=—","Direction=H","UseDPDF=Y")</f>
        <v>#NAME?</v>
      </c>
      <c r="AK431" s="2" t="e">
        <f ca="1">_xll.BDH($C$428,"BVPS_GROWTH","FQ3 2014","FQ3 2014","Currency=INR","Period=FQ","BEST_FPERIOD_OVERRIDE=FQ","FILING_STATUS=OR","EQY_CONSOLIDATED=Y","Sort=A","Dates=H","DateFormat=P","Fill=—","Direction=H","UseDPDF=Y")</f>
        <v>#NAME?</v>
      </c>
      <c r="AL431" s="2" t="e">
        <f ca="1">_xll.BDH($C$428,"CASH_FLOW_GROWTH","FQ3 2014","FQ3 2014","Currency=INR","Period=FQ","BEST_FPERIOD_OVERRIDE=FQ","FILING_STATUS=OR","EQY_CONSOLIDATED=Y","Sort=A","Dates=H","DateFormat=P","Fill=—","Direction=H","UseDPDF=Y")</f>
        <v>#NAME?</v>
      </c>
      <c r="AM431" s="2" t="e">
        <f ca="1">_xll.BDH($C$428,"GEO_GROW_NET_SALES","FQ3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431" s="2" t="e">
        <f ca="1">_xll.BDH($C$428,"GEO_GROW_EBITDA","FQ3 2014","FQ3 2014","Currency=INR","Period=FQ","BEST_FPERIOD_OVERRIDE=FQ","FILING_STATUS=OR","EQY_CONSOLIDATED=Y","FA_ADJUSTED=GAAP","Sort=A","Dates=H","DateFormat=P","Fill=—","Direction=H","UseDPDF=Y")</f>
        <v>#NAME?</v>
      </c>
      <c r="AO431" s="2" t="e">
        <f ca="1">_xll.BDH($C$428,"GEO_GROW_OPER_INC","FQ3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431" s="2" t="e">
        <f ca="1">_xll.BDH($C$428,"NET_INCOME_TO_COMMON_5_YR_GROWTH","FQ3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431" s="2" t="e">
        <f ca="1">_xll.BDH($C$428,"5Y_GEO_GROWTH_DILUTED_EPS","FQ3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431" s="2" t="e">
        <f ca="1">_xll.BDH($C$428,"GEO_GROW_DVD_PER_SH","FQ3 2014","FQ3 2014","Currency=INR","Period=FQ","BEST_FPERIOD_OVERRIDE=FQ","FILING_STATUS=OR","EQY_CONSOLIDATED=Y","Sort=A","Dates=H","DateFormat=P","Fill=—","Direction=H","UseDPDF=Y")</f>
        <v>#NAME?</v>
      </c>
      <c r="AS431" s="2" t="e">
        <f ca="1">_xll.BDH($C$428,"ACCOUNTS_RECEIVABLE_5_YR_GROWTH","FQ3 2014","FQ3 2014","Currency=INR","Period=FQ","BEST_FPERIOD_OVERRIDE=FQ","FILING_STATUS=OR","EQY_CONSOLIDATED=Y","Sort=A","Dates=H","DateFormat=P","Fill=—","Direction=H","UseDPDF=Y")</f>
        <v>#NAME?</v>
      </c>
      <c r="AT431" s="2" t="e">
        <f ca="1">_xll.BDH($C$428,"INVENTORY_5_YEAR_GROWTH","FQ3 2014","FQ3 2014","Currency=INR","Period=FQ","BEST_FPERIOD_OVERRIDE=FQ","FILING_STATUS=OR","EQY_CONSOLIDATED=Y","Sort=A","Dates=H","DateFormat=P","Fill=—","Direction=H","UseDPDF=Y")</f>
        <v>#NAME?</v>
      </c>
      <c r="AU431" s="2" t="e">
        <f ca="1">_xll.BDH($C$428,"NET_FIXED_ASSETS_5_YEAR_GROWTH","FQ3 2014","FQ3 2014","Currency=INR","Period=FQ","BEST_FPERIOD_OVERRIDE=FQ","FILING_STATUS=OR","EQY_CONSOLIDATED=Y","Sort=A","Dates=H","DateFormat=P","Fill=—","Direction=H","UseDPDF=Y")</f>
        <v>#NAME?</v>
      </c>
      <c r="AV431" s="2" t="e">
        <f ca="1">_xll.BDH($C$428,"GEO_GROW_TOT_ASSET","FQ3 2014","FQ3 2014","Currency=INR","Period=FQ","BEST_FPERIOD_OVERRIDE=FQ","FILING_STATUS=OR","EQY_CONSOLIDATED=Y","Sort=A","Dates=H","DateFormat=P","Fill=—","Direction=H","UseDPDF=Y")</f>
        <v>#NAME?</v>
      </c>
      <c r="AW431" s="2" t="e">
        <f ca="1">_xll.BDH($C$428,"MODIFIED_WORKING_CPTL_5YR_GRWTH","FQ3 2014","FQ3 2014","Currency=INR","Period=FQ","BEST_FPERIOD_OVERRIDE=FQ","FILING_STATUS=OR","EQY_CONSOLIDATED=Y","Sort=A","Dates=H","DateFormat=P","Fill=—","Direction=H","UseDPDF=Y")</f>
        <v>#NAME?</v>
      </c>
      <c r="AX431" s="2" t="e">
        <f ca="1">_xll.BDH($C$428,"WORKING_CAPITAL_5_YEAR_GROWTH","FQ3 2014","FQ3 2014","Currency=INR","Period=FQ","BEST_FPERIOD_OVERRIDE=FQ","FILING_STATUS=OR","EQY_CONSOLIDATED=Y","Sort=A","Dates=H","DateFormat=P","Fill=—","Direction=H","UseDPDF=Y")</f>
        <v>#NAME?</v>
      </c>
      <c r="AY431" s="2" t="e">
        <f ca="1">_xll.BDH($C$428,"ACCOUNTS_PAYABLE_5_YEAR_GROWTH","FQ3 2014","FQ3 2014","Currency=INR","Period=FQ","BEST_FPERIOD_OVERRIDE=FQ","FILING_STATUS=OR","EQY_CONSOLIDATED=Y","Sort=A","Dates=H","DateFormat=P","Fill=—","Direction=H","UseDPDF=Y")</f>
        <v>#NAME?</v>
      </c>
      <c r="AZ431" s="2" t="e">
        <f ca="1">_xll.BDH($C$428,"SHORT_TERM_DEBT_5_YEAR_GROWTH","FQ3 2014","FQ3 2014","Currency=INR","Period=FQ","BEST_FPERIOD_OVERRIDE=FQ","FILING_STATUS=OR","EQY_CONSOLIDATED=Y","Sort=A","Dates=H","DateFormat=P","Fill=—","Direction=H","UseDPDF=Y")</f>
        <v>#NAME?</v>
      </c>
      <c r="BA431" s="2" t="e">
        <f ca="1">_xll.BDH($C$428,"TOTAL_DEBT_5_YEAR_GROWTH","FQ3 2014","FQ3 2014","Currency=INR","Period=FQ","BEST_FPERIOD_OVERRIDE=FQ","FILING_STATUS=OR","EQY_CONSOLIDATED=Y","Sort=A","Dates=H","DateFormat=P","Fill=—","Direction=H","UseDPDF=Y")</f>
        <v>#NAME?</v>
      </c>
      <c r="BB431" s="2" t="e">
        <f ca="1">_xll.BDH($C$428,"GEO_GROW_TOT_SHRHLDR_EQY","FQ3 2014","FQ3 2014","Currency=INR","Period=FQ","BEST_FPERIOD_OVERRIDE=FQ","FILING_STATUS=OR","EQY_CONSOLIDATED=Y","Sort=A","Dates=H","DateFormat=P","Fill=—","Direction=H","UseDPDF=Y")</f>
        <v>#NAME?</v>
      </c>
      <c r="BC431" s="2" t="e">
        <f ca="1">_xll.BDH($C$428,"TOTAL_CAPITAL_5_YEAR_GROWTH","FQ3 2014","FQ3 2014","Currency=INR","Period=FQ","BEST_FPERIOD_OVERRIDE=FQ","FILING_STATUS=OR","EQY_CONSOLIDATED=Y","Sort=A","Dates=H","DateFormat=P","Fill=—","Direction=H","UseDPDF=Y")</f>
        <v>#NAME?</v>
      </c>
      <c r="BD431" s="2" t="e">
        <f ca="1">_xll.BDH($C$428,"GEO_GROW_BOOK_VAL","FQ3 2014","FQ3 2014","Currency=INR","Period=FQ","BEST_FPERIOD_OVERRIDE=FQ","FILING_STATUS=OR","EQY_CONSOLIDATED=Y","Sort=A","Dates=H","DateFormat=P","Fill=—","Direction=H","UseDPDF=Y")</f>
        <v>#NAME?</v>
      </c>
      <c r="BE431" s="2" t="e">
        <f ca="1">_xll.BDH($C$428,"GEO_GROW_CASH_OPER_ACT","FQ3 2014","FQ3 2014","Currency=INR","Period=FQ","BEST_FPERIOD_OVERRIDE=FQ","FILING_STATUS=OR","EQY_CONSOLIDATED=Y","Sort=A","Dates=H","DateFormat=P","Fill=—","Direction=H","UseDPDF=Y")</f>
        <v>#NAME?</v>
      </c>
      <c r="BF431" s="2" t="e">
        <f ca="1">_xll.BDH($C$428,"REVENUE_SEQUENTIAL_GROWTH","FQ3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431" s="2" t="e">
        <f ca="1">_xll.BDH($C$428,"EBITDA_SEQUENTIAL_GROWTH","FQ3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431" s="2" t="e">
        <f ca="1">_xll.BDH($C$428,"OPERATING_INCOME_SEQ_GROWTH","FQ3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431" s="2" t="e">
        <f ca="1">_xll.BDH($C$428,"NET_INCOME_TO_COMMON_SEQ_GROWTH","FQ3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431" s="2" t="e">
        <f ca="1">_xll.BDH($C$428,"EPS_DILUTED_SEQUENTIAL_GROWTH","FQ3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431" s="2" t="e">
        <f ca="1">_xll.BDH($C$428,"DPS_SEQUENTIAL_GROWTH","FQ3 2014","FQ3 2014","Currency=INR","Period=FQ","BEST_FPERIOD_OVERRIDE=FQ","FILING_STATUS=OR","EQY_CONSOLIDATED=Y","Sort=A","Dates=H","DateFormat=P","Fill=—","Direction=H","UseDPDF=Y")</f>
        <v>#NAME?</v>
      </c>
      <c r="BL431" s="2" t="e">
        <f ca="1">_xll.BDH($C$428,"ACCOUNTS_RECEIVABLE_SEQ_GROWTH","FQ3 2014","FQ3 2014","Currency=INR","Period=FQ","BEST_FPERIOD_OVERRIDE=FQ","FILING_STATUS=OR","EQY_CONSOLIDATED=Y","Sort=A","Dates=H","DateFormat=P","Fill=—","Direction=H","UseDPDF=Y")</f>
        <v>#NAME?</v>
      </c>
      <c r="BM431" s="2" t="e">
        <f ca="1">_xll.BDH($C$428,"INVENTORY_SEQUENTIAL_GROWTH","FQ3 2014","FQ3 2014","Currency=INR","Period=FQ","BEST_FPERIOD_OVERRIDE=FQ","FILING_STATUS=OR","EQY_CONSOLIDATED=Y","Sort=A","Dates=H","DateFormat=P","Fill=—","Direction=H","UseDPDF=Y")</f>
        <v>#NAME?</v>
      </c>
      <c r="BN431" s="2" t="e">
        <f ca="1">_xll.BDH($C$428,"FIXED_ASSETS_SEQUENTIAL_GROWTH","FQ3 2014","FQ3 2014","Currency=INR","Period=FQ","BEST_FPERIOD_OVERRIDE=FQ","FILING_STATUS=OR","EQY_CONSOLIDATED=Y","Sort=A","Dates=H","DateFormat=P","Fill=—","Direction=H","UseDPDF=Y")</f>
        <v>#NAME?</v>
      </c>
      <c r="BO431" s="2" t="e">
        <f ca="1">_xll.BDH($C$428,"TOTAL_ASSETS_SEQUENTIAL_GROWTH","FQ3 2014","FQ3 2014","Currency=INR","Period=FQ","BEST_FPERIOD_OVERRIDE=FQ","FILING_STATUS=OR","EQY_CONSOLIDATED=Y","Sort=A","Dates=H","DateFormat=P","Fill=—","Direction=H","UseDPDF=Y")</f>
        <v>#NAME?</v>
      </c>
      <c r="BP431" s="2" t="e">
        <f ca="1">_xll.BDH($C$428,"MODIFIED_WORKING_CPTL_SEQ_GRWTH","FQ3 2014","FQ3 2014","Currency=INR","Period=FQ","BEST_FPERIOD_OVERRIDE=FQ","FILING_STATUS=OR","EQY_CONSOLIDATED=Y","Sort=A","Dates=H","DateFormat=P","Fill=—","Direction=H","UseDPDF=Y")</f>
        <v>#NAME?</v>
      </c>
      <c r="BQ431" s="2" t="e">
        <f ca="1">_xll.BDH($C$428,"WORKING_CAPITAL_SEQ_GROWTH","FQ3 2014","FQ3 2014","Currency=INR","Period=FQ","BEST_FPERIOD_OVERRIDE=FQ","FILING_STATUS=OR","EQY_CONSOLIDATED=Y","Sort=A","Dates=H","DateFormat=P","Fill=—","Direction=H","UseDPDF=Y")</f>
        <v>#NAME?</v>
      </c>
      <c r="BR431" s="2" t="e">
        <f ca="1">_xll.BDH($C$428,"ACCOUNTS_PAYABLE_SEQ_GROWTH","FQ3 2014","FQ3 2014","Currency=INR","Period=FQ","BEST_FPERIOD_OVERRIDE=FQ","FILING_STATUS=OR","EQY_CONSOLIDATED=Y","Sort=A","Dates=H","DateFormat=P","Fill=—","Direction=H","UseDPDF=Y")</f>
        <v>#NAME?</v>
      </c>
      <c r="BS431" s="2" t="e">
        <f ca="1">_xll.BDH($C$428,"ST_DEBT_SEQUENTIAL_GROWTH","FQ3 2014","FQ3 2014","Currency=INR","Period=FQ","BEST_FPERIOD_OVERRIDE=FQ","FILING_STATUS=OR","EQY_CONSOLIDATED=Y","Sort=A","Dates=H","DateFormat=P","Fill=—","Direction=H","UseDPDF=Y")</f>
        <v>#NAME?</v>
      </c>
      <c r="BT431" s="2" t="e">
        <f ca="1">_xll.BDH($C$428,"TOTAL_DEBT_SEQUENTIAL_GROWTH","FQ3 2014","FQ3 2014","Currency=INR","Period=FQ","BEST_FPERIOD_OVERRIDE=FQ","FILING_STATUS=OR","EQY_CONSOLIDATED=Y","Sort=A","Dates=H","DateFormat=P","Fill=—","Direction=H","UseDPDF=Y")</f>
        <v>#NAME?</v>
      </c>
      <c r="BU431" s="2" t="e">
        <f ca="1">_xll.BDH($C$428,"TOTAL_EQUITY_SEQUENTIAL_GROWTH","FQ3 2014","FQ3 2014","Currency=INR","Period=FQ","BEST_FPERIOD_OVERRIDE=FQ","FILING_STATUS=OR","EQY_CONSOLIDATED=Y","Sort=A","Dates=H","DateFormat=P","Fill=—","Direction=H","UseDPDF=Y")</f>
        <v>#NAME?</v>
      </c>
      <c r="BV431" s="2" t="e">
        <f ca="1">_xll.BDH($C$428,"TOTAL_CAPITAL_SEQUENTIAL_GROWTH","FQ3 2014","FQ3 2014","Currency=INR","Period=FQ","BEST_FPERIOD_OVERRIDE=FQ","FILING_STATUS=OR","EQY_CONSOLIDATED=Y","Sort=A","Dates=H","DateFormat=P","Fill=—","Direction=H","UseDPDF=Y")</f>
        <v>#NAME?</v>
      </c>
      <c r="BW431" s="2" t="e">
        <f ca="1">_xll.BDH($C$428,"BPS_SEQUENTIAL_GROWTH","FQ3 2014","FQ3 2014","Currency=INR","Period=FQ","BEST_FPERIOD_OVERRIDE=FQ","FILING_STATUS=OR","EQY_CONSOLIDATED=Y","Sort=A","Dates=H","DateFormat=P","Fill=—","Direction=H","UseDPDF=Y")</f>
        <v>#NAME?</v>
      </c>
      <c r="BX431" s="2" t="e">
        <f ca="1">_xll.BDH($C$428,"CFO_SEQUENTIAL_GROWTH","FQ3 2014","FQ3 2014","Currency=INR","Period=FQ","BEST_FPERIOD_OVERRIDE=FQ","FILING_STATUS=OR","EQY_CONSOLIDATED=Y","Sort=A","Dates=H","DateFormat=P","Fill=—","Direction=H","UseDPDF=Y")</f>
        <v>#NAME?</v>
      </c>
      <c r="BY431" s="3" t="e">
        <f ca="1">_xll.BDH($C$428,"SHORT_AND_LONG_TERM_DEBT","FQ3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431" s="3" t="e">
        <f ca="1">_xll.BDH($C$428,"BS_ST_BORROW","FQ3 2014","FQ3 2014","Currency=INR","Period=FQ","BEST_FPERIOD_OVERRIDE=FQ","FILING_STATUS=OR","EQY_CONSOLIDATED=Y","SCALING_FORMAT=MLN","Sort=A","Dates=H","DateFormat=P","Fill=—","Direction=H","UseDPDF=Y")</f>
        <v>#NAME?</v>
      </c>
      <c r="CA431" s="3" t="e">
        <f ca="1">_xll.BDH($C$428,"BS_LT_BORROW","FQ3 2014","FQ3 2014","Currency=INR","Period=FQ","BEST_FPERIOD_OVERRIDE=FQ","FILING_STATUS=OR","EQY_CONSOLIDATED=Y","SCALING_FORMAT=MLN","Sort=A","Dates=H","DateFormat=P","Fill=—","Direction=H","UseDPDF=Y")</f>
        <v>#NAME?</v>
      </c>
      <c r="CB431" s="2" t="e">
        <f ca="1">_xll.BDH($C$428,"TOT_DEBT_TO_EBITDA","FQ3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431" s="2" t="e">
        <f ca="1">_xll.BDH($C$428,"NET_DEBT_TO_EBITDA","FQ3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431" s="2" t="e">
        <f ca="1">_xll.BDH($C$428,"TOTAL_DEBT_TO_EBIT","FQ3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431" s="2" t="e">
        <f ca="1">_xll.BDH($C$428,"NET_DEBT_TO_EBIT","FQ3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431" s="2" t="e">
        <f ca="1">_xll.BDH($C$428,"EBITDA_TO_INTEREST_EXPN","FQ3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431" s="2" t="e">
        <f ca="1">_xll.BDH($C$428,"COM_EQY_TO_TOT_ASSET","FQ3 2014","FQ3 2014","Currency=INR","Period=FQ","BEST_FPERIOD_OVERRIDE=FQ","FILING_STATUS=OR","EQY_CONSOLIDATED=Y","Sort=A","Dates=H","DateFormat=P","Fill=—","Direction=H","UseDPDF=Y")</f>
        <v>#NAME?</v>
      </c>
      <c r="CH431" s="2" t="e">
        <f ca="1">_xll.BDH($C$428,"LT_DEBT_TO_TOT_EQY","FQ3 2014","FQ3 2014","Currency=INR","Period=FQ","BEST_FPERIOD_OVERRIDE=FQ","FILING_STATUS=OR","EQY_CONSOLIDATED=Y","Sort=A","Dates=H","DateFormat=P","Fill=—","Direction=H","UseDPDF=Y")</f>
        <v>#NAME?</v>
      </c>
      <c r="CI431" s="2" t="e">
        <f ca="1">_xll.BDH($C$428,"LT_DEBT_TO_TOT_CAP","FQ3 2014","FQ3 2014","Currency=INR","Period=FQ","BEST_FPERIOD_OVERRIDE=FQ","FILING_STATUS=OR","EQY_CONSOLIDATED=Y","Sort=A","Dates=H","DateFormat=P","Fill=—","Direction=H","UseDPDF=Y")</f>
        <v>#NAME?</v>
      </c>
      <c r="CJ431" s="2" t="e">
        <f ca="1">_xll.BDH($C$428,"LT_DEBT_TO_TOT_ASSET","FQ3 2014","FQ3 2014","Currency=INR","Period=FQ","BEST_FPERIOD_OVERRIDE=FQ","FILING_STATUS=OR","EQY_CONSOLIDATED=Y","Sort=A","Dates=H","DateFormat=P","Fill=—","Direction=H","UseDPDF=Y")</f>
        <v>#NAME?</v>
      </c>
      <c r="CK431" s="2" t="e">
        <f ca="1">_xll.BDH($C$428,"TOT_DEBT_TO_TOT_EQY","FQ3 2014","FQ3 2014","Currency=INR","Period=FQ","BEST_FPERIOD_OVERRIDE=FQ","FILING_STATUS=OR","EQY_CONSOLIDATED=Y","Sort=A","Dates=H","DateFormat=P","Fill=—","Direction=H","UseDPDF=Y")</f>
        <v>#NAME?</v>
      </c>
      <c r="CL431" s="2" t="e">
        <f ca="1">_xll.BDH($C$428,"TOT_DEBT_TO_TOT_CAP","FQ3 2014","FQ3 2014","Currency=INR","Period=FQ","BEST_FPERIOD_OVERRIDE=FQ","FILING_STATUS=OR","EQY_CONSOLIDATED=Y","Sort=A","Dates=H","DateFormat=P","Fill=—","Direction=H","UseDPDF=Y")</f>
        <v>#NAME?</v>
      </c>
      <c r="CM431" s="2" t="e">
        <f ca="1">_xll.BDH($C$428,"TOT_DEBT_TO_TOT_ASSET","FQ3 2014","FQ3 2014","Currency=INR","Period=FQ","BEST_FPERIOD_OVERRIDE=FQ","FILING_STATUS=OR","EQY_CONSOLIDATED=Y","Sort=A","Dates=H","DateFormat=P","Fill=—","Direction=H","UseDPDF=Y")</f>
        <v>#NAME?</v>
      </c>
      <c r="CN431" s="2" t="e">
        <f ca="1">_xll.BDH($C$428,"NET_DEBT_TO_SHRHLDR_EQTY","FQ3 2014","FQ3 2014","Currency=INR","Period=FQ","BEST_FPERIOD_OVERRIDE=FQ","FILING_STATUS=OR","EQY_CONSOLIDATED=Y","Sort=A","Dates=H","DateFormat=P","Fill=—","Direction=H","UseDPDF=Y")</f>
        <v>#NAME?</v>
      </c>
      <c r="CO431" s="2" t="e">
        <f ca="1">_xll.BDH($C$428,"NET_DEBT_%_CAPITAL","FQ3 2014","FQ3 2014","Currency=INR","Period=FQ","BEST_FPERIOD_OVERRIDE=FQ","FILING_STATUS=OR","EQY_CONSOLIDATED=Y","Sort=A","Dates=H","DateFormat=P","Fill=—","Direction=H","UseDPDF=Y")</f>
        <v>#NAME?</v>
      </c>
      <c r="CP431" s="3" t="e">
        <f ca="1">_xll.BDH($C$428,"EBITDA","FQ3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431" s="3" t="e">
        <f ca="1">_xll.BDH($C$428,"EBITDA_AFTER_CAPEX","FQ3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431" s="3" t="e">
        <f ca="1">_xll.BDH($C$428,"IS_OPER_INC","FQ3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431" s="2" t="e">
        <f ca="1">_xll.BDH($C$428,"CASH_RATIO","FQ3 2014","FQ3 2014","Currency=INR","Period=FQ","BEST_FPERIOD_OVERRIDE=FQ","FILING_STATUS=OR","EQY_CONSOLIDATED=Y","Sort=A","Dates=H","DateFormat=P","Fill=—","Direction=H","UseDPDF=Y")</f>
        <v>#NAME?</v>
      </c>
      <c r="CT431" s="2" t="e">
        <f ca="1">_xll.BDH($C$428,"CUR_RATIO","FQ3 2014","FQ3 2014","Currency=INR","Period=FQ","BEST_FPERIOD_OVERRIDE=FQ","FILING_STATUS=OR","EQY_CONSOLIDATED=Y","Sort=A","Dates=H","DateFormat=P","Fill=—","Direction=H","UseDPDF=Y")</f>
        <v>#NAME?</v>
      </c>
      <c r="CU431" s="2" t="e">
        <f ca="1">_xll.BDH($C$428,"QUICK_RATIO","FQ3 2014","FQ3 2014","Currency=INR","Period=FQ","BEST_FPERIOD_OVERRIDE=FQ","FILING_STATUS=OR","EQY_CONSOLIDATED=Y","Sort=A","Dates=H","DateFormat=P","Fill=—","Direction=H","UseDPDF=Y")</f>
        <v>#NAME?</v>
      </c>
      <c r="CV431" s="2" t="e">
        <f ca="1">_xll.BDH($C$428,"ALTMAN_Z_SCORE","FQ3 2014","FQ3 2014","Currency=INR","Period=FQ","BEST_FPERIOD_OVERRIDE=FQ","FILING_STATUS=OR","EQY_CONSOLIDATED=Y","Sort=A","Dates=H","DateFormat=P","Fill=—","Direction=H","UseDPDF=Y")</f>
        <v>#NAME?</v>
      </c>
      <c r="CW431" s="4" t="e">
        <f ca="1">_xll.BDH($C$428,"ACCT_RCV_TURN","FQ3 2014","FQ3 2014","Currency=INR","Period=FQ","BEST_FPERIOD_OVERRIDE=FQ","FILING_STATUS=OR","EQY_CONSOLIDATED=Y","FA_ADJUSTED=GAAP","Sort=A","Dates=H","DateFormat=P","Fill=—","Direction=H","UseDPDF=Y")</f>
        <v>#NAME?</v>
      </c>
      <c r="CX431" s="2" t="e">
        <f ca="1">_xll.BDH($C$428,"ACCT_RCV_DAYS","FQ3 2014","FQ3 2014","Currency=INR","Period=FQ","BEST_FPERIOD_OVERRIDE=FQ","FILING_STATUS=OR","EQY_CONSOLIDATED=Y","FA_ADJUSTED=GAAP","Sort=A","Dates=H","DateFormat=P","Fill=—","Direction=H","UseDPDF=Y")</f>
        <v>#NAME?</v>
      </c>
      <c r="CY431" s="4" t="e">
        <f ca="1">_xll.BDH($C$428,"INVENT_TURN","FQ3 2014","FQ3 2014","Currency=INR","Period=FQ","BEST_FPERIOD_OVERRIDE=FQ","FILING_STATUS=OR","EQY_CONSOLIDATED=Y","FA_ADJUSTED=GAAP","Sort=A","Dates=H","DateFormat=P","Fill=—","Direction=H","UseDPDF=Y")</f>
        <v>#NAME?</v>
      </c>
      <c r="CZ431" s="2" t="e">
        <f ca="1">_xll.BDH($C$428,"INVENT_DAYS","FQ3 2014","FQ3 2014","Currency=INR","Period=FQ","BEST_FPERIOD_OVERRIDE=FQ","FILING_STATUS=OR","EQY_CONSOLIDATED=Y","FA_ADJUSTED=GAAP","Sort=A","Dates=H","DateFormat=P","Fill=—","Direction=H","UseDPDF=Y")</f>
        <v>#NAME?</v>
      </c>
      <c r="DA431" s="4" t="e">
        <f ca="1">_xll.BDH($C$428,"ACCOUNTS_PAYABLE_TURNOVER","FQ3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431" s="2" t="e">
        <f ca="1">_xll.BDH($C$428,"ACCOUNTS_PAYABLE_TURNOVER_DAYS","FQ3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431" s="4" t="e">
        <f ca="1">_xll.BDH($C$428,"CASH_CONVERSION_CYCLE","FQ3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431" s="4" t="e">
        <f ca="1">_xll.BDH($C$428,"INV_TO_CASH_DAYS","FQ3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431" s="5" t="e">
        <f ca="1">_xll.BDH($C$428,"BS_INVENTORIES","FQ3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431" s="3" t="e">
        <f ca="1">_xll.BDH($C$428,"INVTRY_RAW_MATERIALS","FQ3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431" s="3" t="e">
        <f ca="1">_xll.BDH($C$428,"INVTRY_IN_PROGRESS","FQ3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431" s="3" t="e">
        <f ca="1">_xll.BDH($C$428,"INVTRY_FINISHED_GOODS","FQ3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431" s="3" t="e">
        <f ca="1">_xll.BDH($C$428,"BS_OTHER_INV","FQ3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432" spans="1:113" x14ac:dyDescent="0.3">
      <c r="A432" s="6"/>
      <c r="B432" s="6"/>
      <c r="C432" s="6"/>
      <c r="D432" s="6"/>
      <c r="E432" t="s">
        <v>81</v>
      </c>
      <c r="F432" t="e">
        <f ca="1">_xll.BDH($C$428,"RETURN_COM_EQY","FQ4 2014","FQ4 2014","Currency=INR","Period=FQ","BEST_FPERIOD_OVERRIDE=FQ","FILING_STATUS=OR","EQY_CONSOLIDATED=Y","FA_ADJUSTED=GAAP","Sort=A","Dates=H","DateFormat=P","Fill=—","Direction=H","UseDPDF=Y")</f>
        <v>#NAME?</v>
      </c>
      <c r="G432" t="e">
        <f ca="1">_xll.BDH($C$428,"RETURN_ON_ASSET","FQ4 2014","FQ4 2014","Currency=INR","Period=FQ","BEST_FPERIOD_OVERRIDE=FQ","FILING_STATUS=OR","EQY_CONSOLIDATED=Y","FA_ADJUSTED=GAAP","Sort=A","Dates=H","DateFormat=P","Fill=—","Direction=H","UseDPDF=Y")</f>
        <v>#NAME?</v>
      </c>
      <c r="H432" t="e">
        <f ca="1">_xll.BDH($C$428,"RETURN_ON_CAP","FQ4 2014","FQ4 2014","Currency=INR","Period=FQ","BEST_FPERIOD_OVERRIDE=FQ","FILING_STATUS=OR","EQY_CONSOLIDATED=Y","FA_ADJUSTED=GAAP","Sort=A","Dates=H","DateFormat=P","Fill=—","Direction=H","UseDPDF=Y")</f>
        <v>#NAME?</v>
      </c>
      <c r="I432" t="e">
        <f ca="1">_xll.BDH($C$428,"RETURN_ON_INV_CAPITAL","FQ4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432" t="e">
        <f ca="1">_xll.BDH($C$428,"EBITDA_TO_REVENUE","FQ4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432" t="e">
        <f ca="1">_xll.BDH($C$428,"OPER_MARGIN","FQ4 2014","FQ4 2014","Currency=INR","Period=FQ","BEST_FPERIOD_OVERRIDE=FQ","FILING_STATUS=OR","EQY_CONSOLIDATED=Y","FA_ADJUSTED=GAAP","Sort=A","Dates=H","DateFormat=P","Fill=—","Direction=H","UseDPDF=Y")</f>
        <v>#NAME?</v>
      </c>
      <c r="L432" t="e">
        <f ca="1">_xll.BDH($C$428,"INCREMENTAL_OPERATING_MARGIN","FQ4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432" t="e">
        <f ca="1">_xll.BDH($C$428,"PRETAX_INC_TO_NET_SALES","FQ4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432" t="e">
        <f ca="1">_xll.BDH($C$428,"INC_BEF_XO_ITEMS_TO_NET_SALES","FQ4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432" t="e">
        <f ca="1">_xll.BDH($C$428,"PROF_MARGIN","FQ4 2014","FQ4 2014","Currency=INR","Period=FQ","BEST_FPERIOD_OVERRIDE=FQ","FILING_STATUS=OR","EQY_CONSOLIDATED=Y","FA_ADJUSTED=GAAP","Sort=A","Dates=H","DateFormat=P","Fill=—","Direction=H","UseDPDF=Y")</f>
        <v>#NAME?</v>
      </c>
      <c r="P432" t="e">
        <f ca="1">_xll.BDH($C$428,"NET_INCOME_TO_COMMON_MARGIN","FQ4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432" t="e">
        <f ca="1">_xll.BDH($C$428,"EFF_TAX_RATE","FQ4 2014","FQ4 2014","Currency=INR","Period=FQ","BEST_FPERIOD_OVERRIDE=FQ","FILING_STATUS=OR","EQY_CONSOLIDATED=Y","FA_ADJUSTED=GAAP","Sort=A","Dates=H","DateFormat=P","Fill=—","Direction=H","UseDPDF=Y")</f>
        <v>#NAME?</v>
      </c>
      <c r="R432" t="e">
        <f ca="1">_xll.BDH($C$428,"DVD_PAYOUT_RATIO","FQ4 2014","FQ4 2014","Currency=INR","Period=FQ","BEST_FPERIOD_OVERRIDE=FQ","FILING_STATUS=OR","EQY_CONSOLIDATED=Y","FA_ADJUSTED=GAAP","Sort=A","Dates=H","DateFormat=P","Fill=—","Direction=H","UseDPDF=Y")</f>
        <v>#NAME?</v>
      </c>
      <c r="S432" t="e">
        <f ca="1">_xll.BDH($C$428,"SUSTAIN_GROWTH_RT","FQ4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432" s="2" t="e">
        <f ca="1">_xll.BDH($C$428,"SALES_GROWTH","FQ4 2014","FQ4 2014","Currency=INR","Period=FQ","BEST_FPERIOD_OVERRIDE=FQ","FILING_STATUS=OR","EQY_CONSOLIDATED=Y","FA_ADJUSTED=GAAP","Sort=A","Dates=H","DateFormat=P","Fill=—","Direction=H","UseDPDF=Y")</f>
        <v>#NAME?</v>
      </c>
      <c r="U432" s="2" t="e">
        <f ca="1">_xll.BDH($C$428,"EBITDA_GROWTH","FQ4 2014","FQ4 2014","Currency=INR","Period=FQ","BEST_FPERIOD_OVERRIDE=FQ","FILING_STATUS=OR","EQY_CONSOLIDATED=Y","FA_ADJUSTED=GAAP","Sort=A","Dates=H","DateFormat=P","Fill=—","Direction=H","UseDPDF=Y")</f>
        <v>#NAME?</v>
      </c>
      <c r="V432" s="2" t="e">
        <f ca="1">_xll.BDH($C$428,"OPER_INC_GROWTH","FQ4 2014","FQ4 2014","Currency=INR","Period=FQ","BEST_FPERIOD_OVERRIDE=FQ","FILING_STATUS=OR","EQY_CONSOLIDATED=Y","FA_ADJUSTED=GAAP","Sort=A","Dates=H","DateFormat=P","Fill=—","Direction=H","UseDPDF=Y")</f>
        <v>#NAME?</v>
      </c>
      <c r="W432" s="2" t="e">
        <f ca="1">_xll.BDH($C$428,"EARN_FOR_COM_GROWTH","FQ4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432" s="2" t="e">
        <f ca="1">_xll.BDH($C$428,"DILUTED_EPS_AFT_XO_ITEMS_GROWTH","FQ4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432" s="2" t="e">
        <f ca="1">_xll.BDH($C$428,"DIVIDEND_PER_SHARE_1_YEAR_GROWTH","FQ4 2014","FQ4 2014","Currency=INR","Period=FQ","BEST_FPERIOD_OVERRIDE=FQ","FILING_STATUS=OR","EQY_CONSOLIDATED=Y","Sort=A","Dates=H","DateFormat=P","Fill=—","Direction=H","UseDPDF=Y")</f>
        <v>#NAME?</v>
      </c>
      <c r="Z432" s="2" t="e">
        <f ca="1">_xll.BDH($C$428,"ACCOUNTS_RECEIVABLE_GROWTH","FQ4 2014","FQ4 2014","Currency=INR","Period=FQ","BEST_FPERIOD_OVERRIDE=FQ","FILING_STATUS=OR","EQY_CONSOLIDATED=Y","Sort=A","Dates=H","DateFormat=P","Fill=—","Direction=H","UseDPDF=Y")</f>
        <v>#NAME?</v>
      </c>
      <c r="AA432" s="2" t="e">
        <f ca="1">_xll.BDH($C$428,"INVENTORY_GROWTH","FQ4 2014","FQ4 2014","Currency=INR","Period=FQ","BEST_FPERIOD_OVERRIDE=FQ","FILING_STATUS=OR","EQY_CONSOLIDATED=Y","Sort=A","Dates=H","DateFormat=P","Fill=—","Direction=H","UseDPDF=Y")</f>
        <v>#NAME?</v>
      </c>
      <c r="AB432" s="2" t="e">
        <f ca="1">_xll.BDH($C$428,"NET_FIXED_ASSETS_1_YEAR_GROWTH","FQ4 2014","FQ4 2014","Currency=INR","Period=FQ","BEST_FPERIOD_OVERRIDE=FQ","FILING_STATUS=OR","EQY_CONSOLIDATED=Y","Sort=A","Dates=H","DateFormat=P","Fill=—","Direction=H","UseDPDF=Y")</f>
        <v>#NAME?</v>
      </c>
      <c r="AC432" s="2" t="e">
        <f ca="1">_xll.BDH($C$428,"ASSET_GROWTH","FQ4 2014","FQ4 2014","Currency=INR","Period=FQ","BEST_FPERIOD_OVERRIDE=FQ","FILING_STATUS=OR","EQY_CONSOLIDATED=Y","Sort=A","Dates=H","DateFormat=P","Fill=—","Direction=H","UseDPDF=Y")</f>
        <v>#NAME?</v>
      </c>
      <c r="AD432" s="2" t="e">
        <f ca="1">_xll.BDH($C$428,"MODIFIED_WORK_CAP_GROWTH","FQ4 2014","FQ4 2014","Currency=INR","Period=FQ","BEST_FPERIOD_OVERRIDE=FQ","FILING_STATUS=OR","EQY_CONSOLIDATED=Y","Sort=A","Dates=H","DateFormat=P","Fill=—","Direction=H","UseDPDF=Y")</f>
        <v>#NAME?</v>
      </c>
      <c r="AE432" s="2" t="e">
        <f ca="1">_xll.BDH($C$428,"WORK_CAP_GROWTH","FQ4 2014","FQ4 2014","Currency=INR","Period=FQ","BEST_FPERIOD_OVERRIDE=FQ","FILING_STATUS=OR","EQY_CONSOLIDATED=Y","Sort=A","Dates=H","DateFormat=P","Fill=—","Direction=H","UseDPDF=Y")</f>
        <v>#NAME?</v>
      </c>
      <c r="AF432" s="2" t="e">
        <f ca="1">_xll.BDH($C$428,"ACCOUNTS_PAYABLE_GROWTH_1YR","FQ4 2014","FQ4 2014","Currency=INR","Period=FQ","BEST_FPERIOD_OVERRIDE=FQ","FILING_STATUS=OR","EQY_CONSOLIDATED=Y","Sort=A","Dates=H","DateFormat=P","Fill=—","Direction=H","UseDPDF=Y")</f>
        <v>#NAME?</v>
      </c>
      <c r="AG432" s="2" t="e">
        <f ca="1">_xll.BDH($C$428,"SHORT_TERM_DEBT_1_YEAR_GROWTH","FQ4 2014","FQ4 2014","Currency=INR","Period=FQ","BEST_FPERIOD_OVERRIDE=FQ","FILING_STATUS=OR","EQY_CONSOLIDATED=Y","Sort=A","Dates=H","DateFormat=P","Fill=—","Direction=H","UseDPDF=Y")</f>
        <v>#NAME?</v>
      </c>
      <c r="AH432" s="2" t="e">
        <f ca="1">_xll.BDH($C$428,"TOTAL_DEBT_1_YEAR_GROWTH","FQ4 2014","FQ4 2014","Currency=INR","Period=FQ","BEST_FPERIOD_OVERRIDE=FQ","FILING_STATUS=OR","EQY_CONSOLIDATED=Y","Sort=A","Dates=H","DateFormat=P","Fill=—","Direction=H","UseDPDF=Y")</f>
        <v>#NAME?</v>
      </c>
      <c r="AI432" s="2" t="e">
        <f ca="1">_xll.BDH($C$428,"TOTAL_EQUITY_1_YEAR_GROWTH","FQ4 2014","FQ4 2014","Currency=INR","Period=FQ","BEST_FPERIOD_OVERRIDE=FQ","FILING_STATUS=OR","EQY_CONSOLIDATED=Y","Sort=A","Dates=H","DateFormat=P","Fill=—","Direction=H","UseDPDF=Y")</f>
        <v>#NAME?</v>
      </c>
      <c r="AJ432" s="2" t="e">
        <f ca="1">_xll.BDH($C$428,"GROWTH_IN_CAP","FQ4 2014","FQ4 2014","Currency=INR","Period=FQ","BEST_FPERIOD_OVERRIDE=FQ","FILING_STATUS=OR","EQY_CONSOLIDATED=Y","Sort=A","Dates=H","DateFormat=P","Fill=—","Direction=H","UseDPDF=Y")</f>
        <v>#NAME?</v>
      </c>
      <c r="AK432" s="2" t="e">
        <f ca="1">_xll.BDH($C$428,"BVPS_GROWTH","FQ4 2014","FQ4 2014","Currency=INR","Period=FQ","BEST_FPERIOD_OVERRIDE=FQ","FILING_STATUS=OR","EQY_CONSOLIDATED=Y","Sort=A","Dates=H","DateFormat=P","Fill=—","Direction=H","UseDPDF=Y")</f>
        <v>#NAME?</v>
      </c>
      <c r="AL432" s="2" t="e">
        <f ca="1">_xll.BDH($C$428,"CASH_FLOW_GROWTH","FQ4 2014","FQ4 2014","Currency=INR","Period=FQ","BEST_FPERIOD_OVERRIDE=FQ","FILING_STATUS=OR","EQY_CONSOLIDATED=Y","Sort=A","Dates=H","DateFormat=P","Fill=—","Direction=H","UseDPDF=Y")</f>
        <v>#NAME?</v>
      </c>
      <c r="AM432" s="2" t="e">
        <f ca="1">_xll.BDH($C$428,"GEO_GROW_NET_SALES","FQ4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432" s="2" t="e">
        <f ca="1">_xll.BDH($C$428,"GEO_GROW_EBITDA","FQ4 2014","FQ4 2014","Currency=INR","Period=FQ","BEST_FPERIOD_OVERRIDE=FQ","FILING_STATUS=OR","EQY_CONSOLIDATED=Y","FA_ADJUSTED=GAAP","Sort=A","Dates=H","DateFormat=P","Fill=—","Direction=H","UseDPDF=Y")</f>
        <v>#NAME?</v>
      </c>
      <c r="AO432" s="2" t="e">
        <f ca="1">_xll.BDH($C$428,"GEO_GROW_OPER_INC","FQ4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432" s="2" t="e">
        <f ca="1">_xll.BDH($C$428,"NET_INCOME_TO_COMMON_5_YR_GROWTH","FQ4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432" s="2" t="e">
        <f ca="1">_xll.BDH($C$428,"5Y_GEO_GROWTH_DILUTED_EPS","FQ4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432" s="2" t="e">
        <f ca="1">_xll.BDH($C$428,"GEO_GROW_DVD_PER_SH","FQ4 2014","FQ4 2014","Currency=INR","Period=FQ","BEST_FPERIOD_OVERRIDE=FQ","FILING_STATUS=OR","EQY_CONSOLIDATED=Y","Sort=A","Dates=H","DateFormat=P","Fill=—","Direction=H","UseDPDF=Y")</f>
        <v>#NAME?</v>
      </c>
      <c r="AS432" s="2" t="e">
        <f ca="1">_xll.BDH($C$428,"ACCOUNTS_RECEIVABLE_5_YR_GROWTH","FQ4 2014","FQ4 2014","Currency=INR","Period=FQ","BEST_FPERIOD_OVERRIDE=FQ","FILING_STATUS=OR","EQY_CONSOLIDATED=Y","Sort=A","Dates=H","DateFormat=P","Fill=—","Direction=H","UseDPDF=Y")</f>
        <v>#NAME?</v>
      </c>
      <c r="AT432" s="2" t="e">
        <f ca="1">_xll.BDH($C$428,"INVENTORY_5_YEAR_GROWTH","FQ4 2014","FQ4 2014","Currency=INR","Period=FQ","BEST_FPERIOD_OVERRIDE=FQ","FILING_STATUS=OR","EQY_CONSOLIDATED=Y","Sort=A","Dates=H","DateFormat=P","Fill=—","Direction=H","UseDPDF=Y")</f>
        <v>#NAME?</v>
      </c>
      <c r="AU432" s="2" t="e">
        <f ca="1">_xll.BDH($C$428,"NET_FIXED_ASSETS_5_YEAR_GROWTH","FQ4 2014","FQ4 2014","Currency=INR","Period=FQ","BEST_FPERIOD_OVERRIDE=FQ","FILING_STATUS=OR","EQY_CONSOLIDATED=Y","Sort=A","Dates=H","DateFormat=P","Fill=—","Direction=H","UseDPDF=Y")</f>
        <v>#NAME?</v>
      </c>
      <c r="AV432" s="2" t="e">
        <f ca="1">_xll.BDH($C$428,"GEO_GROW_TOT_ASSET","FQ4 2014","FQ4 2014","Currency=INR","Period=FQ","BEST_FPERIOD_OVERRIDE=FQ","FILING_STATUS=OR","EQY_CONSOLIDATED=Y","Sort=A","Dates=H","DateFormat=P","Fill=—","Direction=H","UseDPDF=Y")</f>
        <v>#NAME?</v>
      </c>
      <c r="AW432" s="2" t="e">
        <f ca="1">_xll.BDH($C$428,"MODIFIED_WORKING_CPTL_5YR_GRWTH","FQ4 2014","FQ4 2014","Currency=INR","Period=FQ","BEST_FPERIOD_OVERRIDE=FQ","FILING_STATUS=OR","EQY_CONSOLIDATED=Y","Sort=A","Dates=H","DateFormat=P","Fill=—","Direction=H","UseDPDF=Y")</f>
        <v>#NAME?</v>
      </c>
      <c r="AX432" s="2" t="e">
        <f ca="1">_xll.BDH($C$428,"WORKING_CAPITAL_5_YEAR_GROWTH","FQ4 2014","FQ4 2014","Currency=INR","Period=FQ","BEST_FPERIOD_OVERRIDE=FQ","FILING_STATUS=OR","EQY_CONSOLIDATED=Y","Sort=A","Dates=H","DateFormat=P","Fill=—","Direction=H","UseDPDF=Y")</f>
        <v>#NAME?</v>
      </c>
      <c r="AY432" s="2" t="e">
        <f ca="1">_xll.BDH($C$428,"ACCOUNTS_PAYABLE_5_YEAR_GROWTH","FQ4 2014","FQ4 2014","Currency=INR","Period=FQ","BEST_FPERIOD_OVERRIDE=FQ","FILING_STATUS=OR","EQY_CONSOLIDATED=Y","Sort=A","Dates=H","DateFormat=P","Fill=—","Direction=H","UseDPDF=Y")</f>
        <v>#NAME?</v>
      </c>
      <c r="AZ432" s="2" t="e">
        <f ca="1">_xll.BDH($C$428,"SHORT_TERM_DEBT_5_YEAR_GROWTH","FQ4 2014","FQ4 2014","Currency=INR","Period=FQ","BEST_FPERIOD_OVERRIDE=FQ","FILING_STATUS=OR","EQY_CONSOLIDATED=Y","Sort=A","Dates=H","DateFormat=P","Fill=—","Direction=H","UseDPDF=Y")</f>
        <v>#NAME?</v>
      </c>
      <c r="BA432" s="2" t="e">
        <f ca="1">_xll.BDH($C$428,"TOTAL_DEBT_5_YEAR_GROWTH","FQ4 2014","FQ4 2014","Currency=INR","Period=FQ","BEST_FPERIOD_OVERRIDE=FQ","FILING_STATUS=OR","EQY_CONSOLIDATED=Y","Sort=A","Dates=H","DateFormat=P","Fill=—","Direction=H","UseDPDF=Y")</f>
        <v>#NAME?</v>
      </c>
      <c r="BB432" s="2" t="e">
        <f ca="1">_xll.BDH($C$428,"GEO_GROW_TOT_SHRHLDR_EQY","FQ4 2014","FQ4 2014","Currency=INR","Period=FQ","BEST_FPERIOD_OVERRIDE=FQ","FILING_STATUS=OR","EQY_CONSOLIDATED=Y","Sort=A","Dates=H","DateFormat=P","Fill=—","Direction=H","UseDPDF=Y")</f>
        <v>#NAME?</v>
      </c>
      <c r="BC432" s="2" t="e">
        <f ca="1">_xll.BDH($C$428,"TOTAL_CAPITAL_5_YEAR_GROWTH","FQ4 2014","FQ4 2014","Currency=INR","Period=FQ","BEST_FPERIOD_OVERRIDE=FQ","FILING_STATUS=OR","EQY_CONSOLIDATED=Y","Sort=A","Dates=H","DateFormat=P","Fill=—","Direction=H","UseDPDF=Y")</f>
        <v>#NAME?</v>
      </c>
      <c r="BD432" s="2" t="e">
        <f ca="1">_xll.BDH($C$428,"GEO_GROW_BOOK_VAL","FQ4 2014","FQ4 2014","Currency=INR","Period=FQ","BEST_FPERIOD_OVERRIDE=FQ","FILING_STATUS=OR","EQY_CONSOLIDATED=Y","Sort=A","Dates=H","DateFormat=P","Fill=—","Direction=H","UseDPDF=Y")</f>
        <v>#NAME?</v>
      </c>
      <c r="BE432" s="2" t="e">
        <f ca="1">_xll.BDH($C$428,"GEO_GROW_CASH_OPER_ACT","FQ4 2014","FQ4 2014","Currency=INR","Period=FQ","BEST_FPERIOD_OVERRIDE=FQ","FILING_STATUS=OR","EQY_CONSOLIDATED=Y","Sort=A","Dates=H","DateFormat=P","Fill=—","Direction=H","UseDPDF=Y")</f>
        <v>#NAME?</v>
      </c>
      <c r="BF432" s="2" t="e">
        <f ca="1">_xll.BDH($C$428,"REVENUE_SEQUENTIAL_GROWTH","FQ4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432" s="2" t="e">
        <f ca="1">_xll.BDH($C$428,"EBITDA_SEQUENTIAL_GROWTH","FQ4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432" s="2" t="e">
        <f ca="1">_xll.BDH($C$428,"OPERATING_INCOME_SEQ_GROWTH","FQ4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432" s="2" t="e">
        <f ca="1">_xll.BDH($C$428,"NET_INCOME_TO_COMMON_SEQ_GROWTH","FQ4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432" s="2" t="e">
        <f ca="1">_xll.BDH($C$428,"EPS_DILUTED_SEQUENTIAL_GROWTH","FQ4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432" s="2" t="e">
        <f ca="1">_xll.BDH($C$428,"DPS_SEQUENTIAL_GROWTH","FQ4 2014","FQ4 2014","Currency=INR","Period=FQ","BEST_FPERIOD_OVERRIDE=FQ","FILING_STATUS=OR","EQY_CONSOLIDATED=Y","Sort=A","Dates=H","DateFormat=P","Fill=—","Direction=H","UseDPDF=Y")</f>
        <v>#NAME?</v>
      </c>
      <c r="BL432" s="2" t="e">
        <f ca="1">_xll.BDH($C$428,"ACCOUNTS_RECEIVABLE_SEQ_GROWTH","FQ4 2014","FQ4 2014","Currency=INR","Period=FQ","BEST_FPERIOD_OVERRIDE=FQ","FILING_STATUS=OR","EQY_CONSOLIDATED=Y","Sort=A","Dates=H","DateFormat=P","Fill=—","Direction=H","UseDPDF=Y")</f>
        <v>#NAME?</v>
      </c>
      <c r="BM432" s="2" t="e">
        <f ca="1">_xll.BDH($C$428,"INVENTORY_SEQUENTIAL_GROWTH","FQ4 2014","FQ4 2014","Currency=INR","Period=FQ","BEST_FPERIOD_OVERRIDE=FQ","FILING_STATUS=OR","EQY_CONSOLIDATED=Y","Sort=A","Dates=H","DateFormat=P","Fill=—","Direction=H","UseDPDF=Y")</f>
        <v>#NAME?</v>
      </c>
      <c r="BN432" s="2" t="e">
        <f ca="1">_xll.BDH($C$428,"FIXED_ASSETS_SEQUENTIAL_GROWTH","FQ4 2014","FQ4 2014","Currency=INR","Period=FQ","BEST_FPERIOD_OVERRIDE=FQ","FILING_STATUS=OR","EQY_CONSOLIDATED=Y","Sort=A","Dates=H","DateFormat=P","Fill=—","Direction=H","UseDPDF=Y")</f>
        <v>#NAME?</v>
      </c>
      <c r="BO432" s="2" t="e">
        <f ca="1">_xll.BDH($C$428,"TOTAL_ASSETS_SEQUENTIAL_GROWTH","FQ4 2014","FQ4 2014","Currency=INR","Period=FQ","BEST_FPERIOD_OVERRIDE=FQ","FILING_STATUS=OR","EQY_CONSOLIDATED=Y","Sort=A","Dates=H","DateFormat=P","Fill=—","Direction=H","UseDPDF=Y")</f>
        <v>#NAME?</v>
      </c>
      <c r="BP432" s="2" t="e">
        <f ca="1">_xll.BDH($C$428,"MODIFIED_WORKING_CPTL_SEQ_GRWTH","FQ4 2014","FQ4 2014","Currency=INR","Period=FQ","BEST_FPERIOD_OVERRIDE=FQ","FILING_STATUS=OR","EQY_CONSOLIDATED=Y","Sort=A","Dates=H","DateFormat=P","Fill=—","Direction=H","UseDPDF=Y")</f>
        <v>#NAME?</v>
      </c>
      <c r="BQ432" s="2" t="e">
        <f ca="1">_xll.BDH($C$428,"WORKING_CAPITAL_SEQ_GROWTH","FQ4 2014","FQ4 2014","Currency=INR","Period=FQ","BEST_FPERIOD_OVERRIDE=FQ","FILING_STATUS=OR","EQY_CONSOLIDATED=Y","Sort=A","Dates=H","DateFormat=P","Fill=—","Direction=H","UseDPDF=Y")</f>
        <v>#NAME?</v>
      </c>
      <c r="BR432" s="2" t="e">
        <f ca="1">_xll.BDH($C$428,"ACCOUNTS_PAYABLE_SEQ_GROWTH","FQ4 2014","FQ4 2014","Currency=INR","Period=FQ","BEST_FPERIOD_OVERRIDE=FQ","FILING_STATUS=OR","EQY_CONSOLIDATED=Y","Sort=A","Dates=H","DateFormat=P","Fill=—","Direction=H","UseDPDF=Y")</f>
        <v>#NAME?</v>
      </c>
      <c r="BS432" s="2" t="e">
        <f ca="1">_xll.BDH($C$428,"ST_DEBT_SEQUENTIAL_GROWTH","FQ4 2014","FQ4 2014","Currency=INR","Period=FQ","BEST_FPERIOD_OVERRIDE=FQ","FILING_STATUS=OR","EQY_CONSOLIDATED=Y","Sort=A","Dates=H","DateFormat=P","Fill=—","Direction=H","UseDPDF=Y")</f>
        <v>#NAME?</v>
      </c>
      <c r="BT432" s="2" t="e">
        <f ca="1">_xll.BDH($C$428,"TOTAL_DEBT_SEQUENTIAL_GROWTH","FQ4 2014","FQ4 2014","Currency=INR","Period=FQ","BEST_FPERIOD_OVERRIDE=FQ","FILING_STATUS=OR","EQY_CONSOLIDATED=Y","Sort=A","Dates=H","DateFormat=P","Fill=—","Direction=H","UseDPDF=Y")</f>
        <v>#NAME?</v>
      </c>
      <c r="BU432" s="2" t="e">
        <f ca="1">_xll.BDH($C$428,"TOTAL_EQUITY_SEQUENTIAL_GROWTH","FQ4 2014","FQ4 2014","Currency=INR","Period=FQ","BEST_FPERIOD_OVERRIDE=FQ","FILING_STATUS=OR","EQY_CONSOLIDATED=Y","Sort=A","Dates=H","DateFormat=P","Fill=—","Direction=H","UseDPDF=Y")</f>
        <v>#NAME?</v>
      </c>
      <c r="BV432" s="2" t="e">
        <f ca="1">_xll.BDH($C$428,"TOTAL_CAPITAL_SEQUENTIAL_GROWTH","FQ4 2014","FQ4 2014","Currency=INR","Period=FQ","BEST_FPERIOD_OVERRIDE=FQ","FILING_STATUS=OR","EQY_CONSOLIDATED=Y","Sort=A","Dates=H","DateFormat=P","Fill=—","Direction=H","UseDPDF=Y")</f>
        <v>#NAME?</v>
      </c>
      <c r="BW432" s="2" t="e">
        <f ca="1">_xll.BDH($C$428,"BPS_SEQUENTIAL_GROWTH","FQ4 2014","FQ4 2014","Currency=INR","Period=FQ","BEST_FPERIOD_OVERRIDE=FQ","FILING_STATUS=OR","EQY_CONSOLIDATED=Y","Sort=A","Dates=H","DateFormat=P","Fill=—","Direction=H","UseDPDF=Y")</f>
        <v>#NAME?</v>
      </c>
      <c r="BX432" s="2" t="e">
        <f ca="1">_xll.BDH($C$428,"CFO_SEQUENTIAL_GROWTH","FQ4 2014","FQ4 2014","Currency=INR","Period=FQ","BEST_FPERIOD_OVERRIDE=FQ","FILING_STATUS=OR","EQY_CONSOLIDATED=Y","Sort=A","Dates=H","DateFormat=P","Fill=—","Direction=H","UseDPDF=Y")</f>
        <v>#NAME?</v>
      </c>
      <c r="BY432" s="3" t="e">
        <f ca="1">_xll.BDH($C$428,"SHORT_AND_LONG_TERM_DEBT","FQ4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432" s="3" t="e">
        <f ca="1">_xll.BDH($C$428,"BS_ST_BORROW","FQ4 2014","FQ4 2014","Currency=INR","Period=FQ","BEST_FPERIOD_OVERRIDE=FQ","FILING_STATUS=OR","EQY_CONSOLIDATED=Y","SCALING_FORMAT=MLN","Sort=A","Dates=H","DateFormat=P","Fill=—","Direction=H","UseDPDF=Y")</f>
        <v>#NAME?</v>
      </c>
      <c r="CA432" s="3" t="e">
        <f ca="1">_xll.BDH($C$428,"BS_LT_BORROW","FQ4 2014","FQ4 2014","Currency=INR","Period=FQ","BEST_FPERIOD_OVERRIDE=FQ","FILING_STATUS=OR","EQY_CONSOLIDATED=Y","SCALING_FORMAT=MLN","Sort=A","Dates=H","DateFormat=P","Fill=—","Direction=H","UseDPDF=Y")</f>
        <v>#NAME?</v>
      </c>
      <c r="CB432" s="2" t="e">
        <f ca="1">_xll.BDH($C$428,"TOT_DEBT_TO_EBITDA","FQ4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432" s="2" t="e">
        <f ca="1">_xll.BDH($C$428,"NET_DEBT_TO_EBITDA","FQ4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432" s="2" t="e">
        <f ca="1">_xll.BDH($C$428,"TOTAL_DEBT_TO_EBIT","FQ4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432" s="2" t="e">
        <f ca="1">_xll.BDH($C$428,"NET_DEBT_TO_EBIT","FQ4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432" s="2" t="e">
        <f ca="1">_xll.BDH($C$428,"EBITDA_TO_INTEREST_EXPN","FQ4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432" s="2" t="e">
        <f ca="1">_xll.BDH($C$428,"COM_EQY_TO_TOT_ASSET","FQ4 2014","FQ4 2014","Currency=INR","Period=FQ","BEST_FPERIOD_OVERRIDE=FQ","FILING_STATUS=OR","EQY_CONSOLIDATED=Y","Sort=A","Dates=H","DateFormat=P","Fill=—","Direction=H","UseDPDF=Y")</f>
        <v>#NAME?</v>
      </c>
      <c r="CH432" s="2" t="e">
        <f ca="1">_xll.BDH($C$428,"LT_DEBT_TO_TOT_EQY","FQ4 2014","FQ4 2014","Currency=INR","Period=FQ","BEST_FPERIOD_OVERRIDE=FQ","FILING_STATUS=OR","EQY_CONSOLIDATED=Y","Sort=A","Dates=H","DateFormat=P","Fill=—","Direction=H","UseDPDF=Y")</f>
        <v>#NAME?</v>
      </c>
      <c r="CI432" s="2" t="e">
        <f ca="1">_xll.BDH($C$428,"LT_DEBT_TO_TOT_CAP","FQ4 2014","FQ4 2014","Currency=INR","Period=FQ","BEST_FPERIOD_OVERRIDE=FQ","FILING_STATUS=OR","EQY_CONSOLIDATED=Y","Sort=A","Dates=H","DateFormat=P","Fill=—","Direction=H","UseDPDF=Y")</f>
        <v>#NAME?</v>
      </c>
      <c r="CJ432" s="2" t="e">
        <f ca="1">_xll.BDH($C$428,"LT_DEBT_TO_TOT_ASSET","FQ4 2014","FQ4 2014","Currency=INR","Period=FQ","BEST_FPERIOD_OVERRIDE=FQ","FILING_STATUS=OR","EQY_CONSOLIDATED=Y","Sort=A","Dates=H","DateFormat=P","Fill=—","Direction=H","UseDPDF=Y")</f>
        <v>#NAME?</v>
      </c>
      <c r="CK432" s="2" t="e">
        <f ca="1">_xll.BDH($C$428,"TOT_DEBT_TO_TOT_EQY","FQ4 2014","FQ4 2014","Currency=INR","Period=FQ","BEST_FPERIOD_OVERRIDE=FQ","FILING_STATUS=OR","EQY_CONSOLIDATED=Y","Sort=A","Dates=H","DateFormat=P","Fill=—","Direction=H","UseDPDF=Y")</f>
        <v>#NAME?</v>
      </c>
      <c r="CL432" s="2" t="e">
        <f ca="1">_xll.BDH($C$428,"TOT_DEBT_TO_TOT_CAP","FQ4 2014","FQ4 2014","Currency=INR","Period=FQ","BEST_FPERIOD_OVERRIDE=FQ","FILING_STATUS=OR","EQY_CONSOLIDATED=Y","Sort=A","Dates=H","DateFormat=P","Fill=—","Direction=H","UseDPDF=Y")</f>
        <v>#NAME?</v>
      </c>
      <c r="CM432" s="2" t="e">
        <f ca="1">_xll.BDH($C$428,"TOT_DEBT_TO_TOT_ASSET","FQ4 2014","FQ4 2014","Currency=INR","Period=FQ","BEST_FPERIOD_OVERRIDE=FQ","FILING_STATUS=OR","EQY_CONSOLIDATED=Y","Sort=A","Dates=H","DateFormat=P","Fill=—","Direction=H","UseDPDF=Y")</f>
        <v>#NAME?</v>
      </c>
      <c r="CN432" s="2" t="e">
        <f ca="1">_xll.BDH($C$428,"NET_DEBT_TO_SHRHLDR_EQTY","FQ4 2014","FQ4 2014","Currency=INR","Period=FQ","BEST_FPERIOD_OVERRIDE=FQ","FILING_STATUS=OR","EQY_CONSOLIDATED=Y","Sort=A","Dates=H","DateFormat=P","Fill=—","Direction=H","UseDPDF=Y")</f>
        <v>#NAME?</v>
      </c>
      <c r="CO432" s="2" t="e">
        <f ca="1">_xll.BDH($C$428,"NET_DEBT_%_CAPITAL","FQ4 2014","FQ4 2014","Currency=INR","Period=FQ","BEST_FPERIOD_OVERRIDE=FQ","FILING_STATUS=OR","EQY_CONSOLIDATED=Y","Sort=A","Dates=H","DateFormat=P","Fill=—","Direction=H","UseDPDF=Y")</f>
        <v>#NAME?</v>
      </c>
      <c r="CP432" s="3" t="e">
        <f ca="1">_xll.BDH($C$428,"EBITDA","FQ4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432" s="3" t="e">
        <f ca="1">_xll.BDH($C$428,"EBITDA_AFTER_CAPEX","FQ4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432" s="3" t="e">
        <f ca="1">_xll.BDH($C$428,"IS_OPER_INC","FQ4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432" s="2" t="e">
        <f ca="1">_xll.BDH($C$428,"CASH_RATIO","FQ4 2014","FQ4 2014","Currency=INR","Period=FQ","BEST_FPERIOD_OVERRIDE=FQ","FILING_STATUS=OR","EQY_CONSOLIDATED=Y","Sort=A","Dates=H","DateFormat=P","Fill=—","Direction=H","UseDPDF=Y")</f>
        <v>#NAME?</v>
      </c>
      <c r="CT432" s="2" t="e">
        <f ca="1">_xll.BDH($C$428,"CUR_RATIO","FQ4 2014","FQ4 2014","Currency=INR","Period=FQ","BEST_FPERIOD_OVERRIDE=FQ","FILING_STATUS=OR","EQY_CONSOLIDATED=Y","Sort=A","Dates=H","DateFormat=P","Fill=—","Direction=H","UseDPDF=Y")</f>
        <v>#NAME?</v>
      </c>
      <c r="CU432" s="2" t="e">
        <f ca="1">_xll.BDH($C$428,"QUICK_RATIO","FQ4 2014","FQ4 2014","Currency=INR","Period=FQ","BEST_FPERIOD_OVERRIDE=FQ","FILING_STATUS=OR","EQY_CONSOLIDATED=Y","Sort=A","Dates=H","DateFormat=P","Fill=—","Direction=H","UseDPDF=Y")</f>
        <v>#NAME?</v>
      </c>
      <c r="CV432" s="2" t="e">
        <f ca="1">_xll.BDH($C$428,"ALTMAN_Z_SCORE","FQ4 2014","FQ4 2014","Currency=INR","Period=FQ","BEST_FPERIOD_OVERRIDE=FQ","FILING_STATUS=OR","EQY_CONSOLIDATED=Y","Sort=A","Dates=H","DateFormat=P","Fill=—","Direction=H","UseDPDF=Y")</f>
        <v>#NAME?</v>
      </c>
      <c r="CW432" s="4" t="e">
        <f ca="1">_xll.BDH($C$428,"ACCT_RCV_TURN","FQ4 2014","FQ4 2014","Currency=INR","Period=FQ","BEST_FPERIOD_OVERRIDE=FQ","FILING_STATUS=OR","EQY_CONSOLIDATED=Y","FA_ADJUSTED=GAAP","Sort=A","Dates=H","DateFormat=P","Fill=—","Direction=H","UseDPDF=Y")</f>
        <v>#NAME?</v>
      </c>
      <c r="CX432" s="2" t="e">
        <f ca="1">_xll.BDH($C$428,"ACCT_RCV_DAYS","FQ4 2014","FQ4 2014","Currency=INR","Period=FQ","BEST_FPERIOD_OVERRIDE=FQ","FILING_STATUS=OR","EQY_CONSOLIDATED=Y","FA_ADJUSTED=GAAP","Sort=A","Dates=H","DateFormat=P","Fill=—","Direction=H","UseDPDF=Y")</f>
        <v>#NAME?</v>
      </c>
      <c r="CY432" s="4" t="e">
        <f ca="1">_xll.BDH($C$428,"INVENT_TURN","FQ4 2014","FQ4 2014","Currency=INR","Period=FQ","BEST_FPERIOD_OVERRIDE=FQ","FILING_STATUS=OR","EQY_CONSOLIDATED=Y","FA_ADJUSTED=GAAP","Sort=A","Dates=H","DateFormat=P","Fill=—","Direction=H","UseDPDF=Y")</f>
        <v>#NAME?</v>
      </c>
      <c r="CZ432" s="2" t="e">
        <f ca="1">_xll.BDH($C$428,"INVENT_DAYS","FQ4 2014","FQ4 2014","Currency=INR","Period=FQ","BEST_FPERIOD_OVERRIDE=FQ","FILING_STATUS=OR","EQY_CONSOLIDATED=Y","FA_ADJUSTED=GAAP","Sort=A","Dates=H","DateFormat=P","Fill=—","Direction=H","UseDPDF=Y")</f>
        <v>#NAME?</v>
      </c>
      <c r="DA432" s="4" t="e">
        <f ca="1">_xll.BDH($C$428,"ACCOUNTS_PAYABLE_TURNOVER","FQ4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432" s="2" t="e">
        <f ca="1">_xll.BDH($C$428,"ACCOUNTS_PAYABLE_TURNOVER_DAYS","FQ4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432" s="4" t="e">
        <f ca="1">_xll.BDH($C$428,"CASH_CONVERSION_CYCLE","FQ4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432" s="4" t="e">
        <f ca="1">_xll.BDH($C$428,"INV_TO_CASH_DAYS","FQ4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432" s="5" t="e">
        <f ca="1">_xll.BDH($C$428,"BS_INVENTORIES","FQ4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432" s="3" t="e">
        <f ca="1">_xll.BDH($C$428,"INVTRY_RAW_MATERIALS","FQ4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432" s="3" t="e">
        <f ca="1">_xll.BDH($C$428,"INVTRY_IN_PROGRESS","FQ4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432" s="3" t="e">
        <f ca="1">_xll.BDH($C$428,"INVTRY_FINISHED_GOODS","FQ4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432" s="3" t="e">
        <f ca="1">_xll.BDH($C$428,"BS_OTHER_INV","FQ4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433" spans="1:113" x14ac:dyDescent="0.3">
      <c r="A433" s="6"/>
      <c r="B433" s="6"/>
      <c r="C433" s="6"/>
      <c r="D433" s="6" t="s">
        <v>82</v>
      </c>
      <c r="E433" t="s">
        <v>77</v>
      </c>
      <c r="F433" t="e">
        <f ca="1">_xll.BDH($C$428,"RETURN_COM_EQY","FY 2015","FY 2015","Currency=INR","Period=FY","BEST_FPERIOD_OVERRIDE=FY","FILING_STATUS=OR","EQY_CONSOLIDATED=Y","FA_ADJUSTED=GAAP","Sort=A","Dates=H","DateFormat=P","Fill=—","Direction=H","UseDPDF=Y")</f>
        <v>#NAME?</v>
      </c>
      <c r="G433" t="e">
        <f ca="1">_xll.BDH($C$428,"RETURN_ON_ASSET","FY 2015","FY 2015","Currency=INR","Period=FY","BEST_FPERIOD_OVERRIDE=FY","FILING_STATUS=OR","EQY_CONSOLIDATED=Y","FA_ADJUSTED=GAAP","Sort=A","Dates=H","DateFormat=P","Fill=—","Direction=H","UseDPDF=Y")</f>
        <v>#NAME?</v>
      </c>
      <c r="H433" t="e">
        <f ca="1">_xll.BDH($C$428,"RETURN_ON_CAP","FY 2015","FY 2015","Currency=INR","Period=FY","BEST_FPERIOD_OVERRIDE=FY","FILING_STATUS=OR","EQY_CONSOLIDATED=Y","FA_ADJUSTED=GAAP","Sort=A","Dates=H","DateFormat=P","Fill=—","Direction=H","UseDPDF=Y")</f>
        <v>#NAME?</v>
      </c>
      <c r="I433" t="e">
        <f ca="1">_xll.BDH($C$428,"RETURN_ON_INV_CAPITAL","FY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433" t="e">
        <f ca="1">_xll.BDH($C$428,"EBITDA_TO_REVENUE","FY 2015","FY 2015","Currency=INR","Period=FY","BEST_FPERIOD_OVERRIDE=FY","FILING_STATUS=OR","EQY_CONSOLIDATED=Y","FA_ADJUSTED=GAAP","Sort=A","Dates=H","DateFormat=P","Fill=—","Direction=H","UseDPDF=Y")</f>
        <v>#NAME?</v>
      </c>
      <c r="K433" t="e">
        <f ca="1">_xll.BDH($C$428,"OPER_MARGIN","FY 2015","FY 2015","Currency=INR","Period=FY","BEST_FPERIOD_OVERRIDE=FY","FILING_STATUS=OR","EQY_CONSOLIDATED=Y","FA_ADJUSTED=GAAP","Sort=A","Dates=H","DateFormat=P","Fill=—","Direction=H","UseDPDF=Y")</f>
        <v>#NAME?</v>
      </c>
      <c r="L433" t="e">
        <f ca="1">_xll.BDH($C$428,"INCREMENTAL_OPERATING_MARGIN","FY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433" t="e">
        <f ca="1">_xll.BDH($C$428,"PRETAX_INC_TO_NET_SALES","FY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433" t="e">
        <f ca="1">_xll.BDH($C$428,"INC_BEF_XO_ITEMS_TO_NET_SALES","FY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433" t="e">
        <f ca="1">_xll.BDH($C$428,"PROF_MARGIN","FY 2015","FY 2015","Currency=INR","Period=FY","BEST_FPERIOD_OVERRIDE=FY","FILING_STATUS=OR","EQY_CONSOLIDATED=Y","FA_ADJUSTED=GAAP","Sort=A","Dates=H","DateFormat=P","Fill=—","Direction=H","UseDPDF=Y")</f>
        <v>#NAME?</v>
      </c>
      <c r="P433" t="e">
        <f ca="1">_xll.BDH($C$428,"NET_INCOME_TO_COMMON_MARGIN","FY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433" t="e">
        <f ca="1">_xll.BDH($C$428,"EFF_TAX_RATE","FY 2015","FY 2015","Currency=INR","Period=FY","BEST_FPERIOD_OVERRIDE=FY","FILING_STATUS=OR","EQY_CONSOLIDATED=Y","FA_ADJUSTED=GAAP","Sort=A","Dates=H","DateFormat=P","Fill=—","Direction=H","UseDPDF=Y")</f>
        <v>#NAME?</v>
      </c>
      <c r="R433" t="e">
        <f ca="1">_xll.BDH($C$428,"DVD_PAYOUT_RATIO","FY 2015","FY 2015","Currency=INR","Period=FY","BEST_FPERIOD_OVERRIDE=FY","FILING_STATUS=OR","EQY_CONSOLIDATED=Y","FA_ADJUSTED=GAAP","Sort=A","Dates=H","DateFormat=P","Fill=—","Direction=H","UseDPDF=Y")</f>
        <v>#NAME?</v>
      </c>
      <c r="S433" t="e">
        <f ca="1">_xll.BDH($C$428,"SUSTAIN_GROWTH_RT","FY 2015","FY 2015","Currency=INR","Period=FY","BEST_FPERIOD_OVERRIDE=FY","FILING_STATUS=OR","EQY_CONSOLIDATED=Y","FA_ADJUSTED=GAAP","Sort=A","Dates=H","DateFormat=P","Fill=—","Direction=H","UseDPDF=Y")</f>
        <v>#NAME?</v>
      </c>
      <c r="T433" s="2" t="e">
        <f ca="1">_xll.BDH($C$428,"SALES_GROWTH","FY 2015","FY 2015","Currency=INR","Period=FY","BEST_FPERIOD_OVERRIDE=FY","FILING_STATUS=OR","EQY_CONSOLIDATED=Y","FA_ADJUSTED=GAAP","Sort=A","Dates=H","DateFormat=P","Fill=—","Direction=H","UseDPDF=Y")</f>
        <v>#NAME?</v>
      </c>
      <c r="U433" s="2" t="e">
        <f ca="1">_xll.BDH($C$428,"EBITDA_GROWTH","FY 2015","FY 2015","Currency=INR","Period=FY","BEST_FPERIOD_OVERRIDE=FY","FILING_STATUS=OR","EQY_CONSOLIDATED=Y","FA_ADJUSTED=GAAP","Sort=A","Dates=H","DateFormat=P","Fill=—","Direction=H","UseDPDF=Y")</f>
        <v>#NAME?</v>
      </c>
      <c r="V433" s="2" t="e">
        <f ca="1">_xll.BDH($C$428,"OPER_INC_GROWTH","FY 2015","FY 2015","Currency=INR","Period=FY","BEST_FPERIOD_OVERRIDE=FY","FILING_STATUS=OR","EQY_CONSOLIDATED=Y","FA_ADJUSTED=GAAP","Sort=A","Dates=H","DateFormat=P","Fill=—","Direction=H","UseDPDF=Y")</f>
        <v>#NAME?</v>
      </c>
      <c r="W433" s="2" t="e">
        <f ca="1">_xll.BDH($C$428,"EARN_FOR_COM_GROWTH","FY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433" s="2" t="e">
        <f ca="1">_xll.BDH($C$428,"DILUTED_EPS_AFT_XO_ITEMS_GROWTH","FY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433" s="2" t="e">
        <f ca="1">_xll.BDH($C$428,"DIVIDEND_PER_SHARE_1_YEAR_GROWTH","FY 2015","FY 2015","Currency=INR","Period=FY","BEST_FPERIOD_OVERRIDE=FY","FILING_STATUS=OR","EQY_CONSOLIDATED=Y","Sort=A","Dates=H","DateFormat=P","Fill=—","Direction=H","UseDPDF=Y")</f>
        <v>#NAME?</v>
      </c>
      <c r="Z433" s="2" t="e">
        <f ca="1">_xll.BDH($C$428,"ACCOUNTS_RECEIVABLE_GROWTH","FY 2015","FY 2015","Currency=INR","Period=FY","BEST_FPERIOD_OVERRIDE=FY","FILING_STATUS=OR","EQY_CONSOLIDATED=Y","Sort=A","Dates=H","DateFormat=P","Fill=—","Direction=H","UseDPDF=Y")</f>
        <v>#NAME?</v>
      </c>
      <c r="AA433" s="2" t="e">
        <f ca="1">_xll.BDH($C$428,"INVENTORY_GROWTH","FY 2015","FY 2015","Currency=INR","Period=FY","BEST_FPERIOD_OVERRIDE=FY","FILING_STATUS=OR","EQY_CONSOLIDATED=Y","Sort=A","Dates=H","DateFormat=P","Fill=—","Direction=H","UseDPDF=Y")</f>
        <v>#NAME?</v>
      </c>
      <c r="AB433" s="2" t="e">
        <f ca="1">_xll.BDH($C$428,"NET_FIXED_ASSETS_1_YEAR_GROWTH","FY 2015","FY 2015","Currency=INR","Period=FY","BEST_FPERIOD_OVERRIDE=FY","FILING_STATUS=OR","EQY_CONSOLIDATED=Y","Sort=A","Dates=H","DateFormat=P","Fill=—","Direction=H","UseDPDF=Y")</f>
        <v>#NAME?</v>
      </c>
      <c r="AC433" s="2" t="e">
        <f ca="1">_xll.BDH($C$428,"ASSET_GROWTH","FY 2015","FY 2015","Currency=INR","Period=FY","BEST_FPERIOD_OVERRIDE=FY","FILING_STATUS=OR","EQY_CONSOLIDATED=Y","Sort=A","Dates=H","DateFormat=P","Fill=—","Direction=H","UseDPDF=Y")</f>
        <v>#NAME?</v>
      </c>
      <c r="AD433" s="2" t="e">
        <f ca="1">_xll.BDH($C$428,"MODIFIED_WORK_CAP_GROWTH","FY 2015","FY 2015","Currency=INR","Period=FY","BEST_FPERIOD_OVERRIDE=FY","FILING_STATUS=OR","EQY_CONSOLIDATED=Y","Sort=A","Dates=H","DateFormat=P","Fill=—","Direction=H","UseDPDF=Y")</f>
        <v>#NAME?</v>
      </c>
      <c r="AE433" s="2" t="e">
        <f ca="1">_xll.BDH($C$428,"WORK_CAP_GROWTH","FY 2015","FY 2015","Currency=INR","Period=FY","BEST_FPERIOD_OVERRIDE=FY","FILING_STATUS=OR","EQY_CONSOLIDATED=Y","Sort=A","Dates=H","DateFormat=P","Fill=—","Direction=H","UseDPDF=Y")</f>
        <v>#NAME?</v>
      </c>
      <c r="AF433" s="2" t="e">
        <f ca="1">_xll.BDH($C$428,"ACCOUNTS_PAYABLE_GROWTH_1YR","FY 2015","FY 2015","Currency=INR","Period=FY","BEST_FPERIOD_OVERRIDE=FY","FILING_STATUS=OR","EQY_CONSOLIDATED=Y","Sort=A","Dates=H","DateFormat=P","Fill=—","Direction=H","UseDPDF=Y")</f>
        <v>#NAME?</v>
      </c>
      <c r="AG433" s="2" t="e">
        <f ca="1">_xll.BDH($C$428,"SHORT_TERM_DEBT_1_YEAR_GROWTH","FY 2015","FY 2015","Currency=INR","Period=FY","BEST_FPERIOD_OVERRIDE=FY","FILING_STATUS=OR","EQY_CONSOLIDATED=Y","Sort=A","Dates=H","DateFormat=P","Fill=—","Direction=H","UseDPDF=Y")</f>
        <v>#NAME?</v>
      </c>
      <c r="AH433" s="2" t="e">
        <f ca="1">_xll.BDH($C$428,"TOTAL_DEBT_1_YEAR_GROWTH","FY 2015","FY 2015","Currency=INR","Period=FY","BEST_FPERIOD_OVERRIDE=FY","FILING_STATUS=OR","EQY_CONSOLIDATED=Y","Sort=A","Dates=H","DateFormat=P","Fill=—","Direction=H","UseDPDF=Y")</f>
        <v>#NAME?</v>
      </c>
      <c r="AI433" s="2" t="e">
        <f ca="1">_xll.BDH($C$428,"TOTAL_EQUITY_1_YEAR_GROWTH","FY 2015","FY 2015","Currency=INR","Period=FY","BEST_FPERIOD_OVERRIDE=FY","FILING_STATUS=OR","EQY_CONSOLIDATED=Y","Sort=A","Dates=H","DateFormat=P","Fill=—","Direction=H","UseDPDF=Y")</f>
        <v>#NAME?</v>
      </c>
      <c r="AJ433" s="2" t="e">
        <f ca="1">_xll.BDH($C$428,"GROWTH_IN_CAP","FY 2015","FY 2015","Currency=INR","Period=FY","BEST_FPERIOD_OVERRIDE=FY","FILING_STATUS=OR","EQY_CONSOLIDATED=Y","Sort=A","Dates=H","DateFormat=P","Fill=—","Direction=H","UseDPDF=Y")</f>
        <v>#NAME?</v>
      </c>
      <c r="AK433" s="2" t="e">
        <f ca="1">_xll.BDH($C$428,"BVPS_GROWTH","FY 2015","FY 2015","Currency=INR","Period=FY","BEST_FPERIOD_OVERRIDE=FY","FILING_STATUS=OR","EQY_CONSOLIDATED=Y","Sort=A","Dates=H","DateFormat=P","Fill=—","Direction=H","UseDPDF=Y")</f>
        <v>#NAME?</v>
      </c>
      <c r="AL433" s="2" t="e">
        <f ca="1">_xll.BDH($C$428,"CASH_FLOW_GROWTH","FY 2015","FY 2015","Currency=INR","Period=FY","BEST_FPERIOD_OVERRIDE=FY","FILING_STATUS=OR","EQY_CONSOLIDATED=Y","Sort=A","Dates=H","DateFormat=P","Fill=—","Direction=H","UseDPDF=Y")</f>
        <v>#NAME?</v>
      </c>
      <c r="AM433" s="2" t="e">
        <f ca="1">_xll.BDH($C$428,"GEO_GROW_NET_SALES","FY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433" s="2" t="e">
        <f ca="1">_xll.BDH($C$428,"GEO_GROW_EBITDA","FY 2015","FY 2015","Currency=INR","Period=FY","BEST_FPERIOD_OVERRIDE=FY","FILING_STATUS=OR","EQY_CONSOLIDATED=Y","FA_ADJUSTED=GAAP","Sort=A","Dates=H","DateFormat=P","Fill=—","Direction=H","UseDPDF=Y")</f>
        <v>#NAME?</v>
      </c>
      <c r="AO433" s="2" t="e">
        <f ca="1">_xll.BDH($C$428,"GEO_GROW_OPER_INC","FY 2015","FY 2015","Currency=INR","Period=FY","BEST_FPERIOD_OVERRIDE=FY","FILING_STATUS=OR","EQY_CONSOLIDATED=Y","FA_ADJUSTED=GAAP","Sort=A","Dates=H","DateFormat=P","Fill=—","Direction=H","UseDPDF=Y")</f>
        <v>#NAME?</v>
      </c>
      <c r="AP433" s="2" t="e">
        <f ca="1">_xll.BDH($C$428,"NET_INCOME_TO_COMMON_5_YR_GROWTH","FY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433" s="2" t="e">
        <f ca="1">_xll.BDH($C$428,"5Y_GEO_GROWTH_DILUTED_EPS","FY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433" s="2" t="e">
        <f ca="1">_xll.BDH($C$428,"GEO_GROW_DVD_PER_SH","FY 2015","FY 2015","Currency=INR","Period=FY","BEST_FPERIOD_OVERRIDE=FY","FILING_STATUS=OR","EQY_CONSOLIDATED=Y","Sort=A","Dates=H","DateFormat=P","Fill=—","Direction=H","UseDPDF=Y")</f>
        <v>#NAME?</v>
      </c>
      <c r="AS433" s="2" t="e">
        <f ca="1">_xll.BDH($C$428,"ACCOUNTS_RECEIVABLE_5_YR_GROWTH","FY 2015","FY 2015","Currency=INR","Period=FY","BEST_FPERIOD_OVERRIDE=FY","FILING_STATUS=OR","EQY_CONSOLIDATED=Y","Sort=A","Dates=H","DateFormat=P","Fill=—","Direction=H","UseDPDF=Y")</f>
        <v>#NAME?</v>
      </c>
      <c r="AT433" s="2" t="e">
        <f ca="1">_xll.BDH($C$428,"INVENTORY_5_YEAR_GROWTH","FY 2015","FY 2015","Currency=INR","Period=FY","BEST_FPERIOD_OVERRIDE=FY","FILING_STATUS=OR","EQY_CONSOLIDATED=Y","Sort=A","Dates=H","DateFormat=P","Fill=—","Direction=H","UseDPDF=Y")</f>
        <v>#NAME?</v>
      </c>
      <c r="AU433" s="2" t="e">
        <f ca="1">_xll.BDH($C$428,"NET_FIXED_ASSETS_5_YEAR_GROWTH","FY 2015","FY 2015","Currency=INR","Period=FY","BEST_FPERIOD_OVERRIDE=FY","FILING_STATUS=OR","EQY_CONSOLIDATED=Y","Sort=A","Dates=H","DateFormat=P","Fill=—","Direction=H","UseDPDF=Y")</f>
        <v>#NAME?</v>
      </c>
      <c r="AV433" s="2" t="e">
        <f ca="1">_xll.BDH($C$428,"GEO_GROW_TOT_ASSET","FY 2015","FY 2015","Currency=INR","Period=FY","BEST_FPERIOD_OVERRIDE=FY","FILING_STATUS=OR","EQY_CONSOLIDATED=Y","Sort=A","Dates=H","DateFormat=P","Fill=—","Direction=H","UseDPDF=Y")</f>
        <v>#NAME?</v>
      </c>
      <c r="AW433" s="2" t="e">
        <f ca="1">_xll.BDH($C$428,"MODIFIED_WORKING_CPTL_5YR_GRWTH","FY 2015","FY 2015","Currency=INR","Period=FY","BEST_FPERIOD_OVERRIDE=FY","FILING_STATUS=OR","EQY_CONSOLIDATED=Y","Sort=A","Dates=H","DateFormat=P","Fill=—","Direction=H","UseDPDF=Y")</f>
        <v>#NAME?</v>
      </c>
      <c r="AX433" s="2" t="e">
        <f ca="1">_xll.BDH($C$428,"WORKING_CAPITAL_5_YEAR_GROWTH","FY 2015","FY 2015","Currency=INR","Period=FY","BEST_FPERIOD_OVERRIDE=FY","FILING_STATUS=OR","EQY_CONSOLIDATED=Y","Sort=A","Dates=H","DateFormat=P","Fill=—","Direction=H","UseDPDF=Y")</f>
        <v>#NAME?</v>
      </c>
      <c r="AY433" s="2" t="e">
        <f ca="1">_xll.BDH($C$428,"ACCOUNTS_PAYABLE_5_YEAR_GROWTH","FY 2015","FY 2015","Currency=INR","Period=FY","BEST_FPERIOD_OVERRIDE=FY","FILING_STATUS=OR","EQY_CONSOLIDATED=Y","Sort=A","Dates=H","DateFormat=P","Fill=—","Direction=H","UseDPDF=Y")</f>
        <v>#NAME?</v>
      </c>
      <c r="AZ433" s="2" t="e">
        <f ca="1">_xll.BDH($C$428,"SHORT_TERM_DEBT_5_YEAR_GROWTH","FY 2015","FY 2015","Currency=INR","Period=FY","BEST_FPERIOD_OVERRIDE=FY","FILING_STATUS=OR","EQY_CONSOLIDATED=Y","Sort=A","Dates=H","DateFormat=P","Fill=—","Direction=H","UseDPDF=Y")</f>
        <v>#NAME?</v>
      </c>
      <c r="BA433" s="2" t="e">
        <f ca="1">_xll.BDH($C$428,"TOTAL_DEBT_5_YEAR_GROWTH","FY 2015","FY 2015","Currency=INR","Period=FY","BEST_FPERIOD_OVERRIDE=FY","FILING_STATUS=OR","EQY_CONSOLIDATED=Y","Sort=A","Dates=H","DateFormat=P","Fill=—","Direction=H","UseDPDF=Y")</f>
        <v>#NAME?</v>
      </c>
      <c r="BB433" s="2" t="e">
        <f ca="1">_xll.BDH($C$428,"GEO_GROW_TOT_SHRHLDR_EQY","FY 2015","FY 2015","Currency=INR","Period=FY","BEST_FPERIOD_OVERRIDE=FY","FILING_STATUS=OR","EQY_CONSOLIDATED=Y","Sort=A","Dates=H","DateFormat=P","Fill=—","Direction=H","UseDPDF=Y")</f>
        <v>#NAME?</v>
      </c>
      <c r="BC433" s="2" t="e">
        <f ca="1">_xll.BDH($C$428,"TOTAL_CAPITAL_5_YEAR_GROWTH","FY 2015","FY 2015","Currency=INR","Period=FY","BEST_FPERIOD_OVERRIDE=FY","FILING_STATUS=OR","EQY_CONSOLIDATED=Y","Sort=A","Dates=H","DateFormat=P","Fill=—","Direction=H","UseDPDF=Y")</f>
        <v>#NAME?</v>
      </c>
      <c r="BD433" s="2" t="e">
        <f ca="1">_xll.BDH($C$428,"GEO_GROW_BOOK_VAL","FY 2015","FY 2015","Currency=INR","Period=FY","BEST_FPERIOD_OVERRIDE=FY","FILING_STATUS=OR","EQY_CONSOLIDATED=Y","Sort=A","Dates=H","DateFormat=P","Fill=—","Direction=H","UseDPDF=Y")</f>
        <v>#NAME?</v>
      </c>
      <c r="BE433" s="2" t="e">
        <f ca="1">_xll.BDH($C$428,"GEO_GROW_CASH_OPER_ACT","FY 2015","FY 2015","Currency=INR","Period=FY","BEST_FPERIOD_OVERRIDE=FY","FILING_STATUS=OR","EQY_CONSOLIDATED=Y","Sort=A","Dates=H","DateFormat=P","Fill=—","Direction=H","UseDPDF=Y")</f>
        <v>#NAME?</v>
      </c>
      <c r="BF433" s="2" t="e">
        <f ca="1">_xll.BDH($C$428,"REVENUE_SEQUENTIAL_GROWTH","FY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433" s="2" t="e">
        <f ca="1">_xll.BDH($C$428,"EBITDA_SEQUENTIAL_GROWTH","FY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433" s="2" t="e">
        <f ca="1">_xll.BDH($C$428,"OPERATING_INCOME_SEQ_GROWTH","FY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433" s="2" t="e">
        <f ca="1">_xll.BDH($C$428,"NET_INCOME_TO_COMMON_SEQ_GROWTH","FY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433" s="2" t="e">
        <f ca="1">_xll.BDH($C$428,"EPS_DILUTED_SEQUENTIAL_GROWTH","FY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433" s="2" t="e">
        <f ca="1">_xll.BDH($C$428,"DPS_SEQUENTIAL_GROWTH","FY 2015","FY 2015","Currency=INR","Period=FY","BEST_FPERIOD_OVERRIDE=FY","FILING_STATUS=OR","EQY_CONSOLIDATED=Y","Sort=A","Dates=H","DateFormat=P","Fill=—","Direction=H","UseDPDF=Y")</f>
        <v>#NAME?</v>
      </c>
      <c r="BL433" s="2" t="e">
        <f ca="1">_xll.BDH($C$428,"ACCOUNTS_RECEIVABLE_SEQ_GROWTH","FY 2015","FY 2015","Currency=INR","Period=FY","BEST_FPERIOD_OVERRIDE=FY","FILING_STATUS=OR","EQY_CONSOLIDATED=Y","Sort=A","Dates=H","DateFormat=P","Fill=—","Direction=H","UseDPDF=Y")</f>
        <v>#NAME?</v>
      </c>
      <c r="BM433" s="2" t="e">
        <f ca="1">_xll.BDH($C$428,"INVENTORY_SEQUENTIAL_GROWTH","FY 2015","FY 2015","Currency=INR","Period=FY","BEST_FPERIOD_OVERRIDE=FY","FILING_STATUS=OR","EQY_CONSOLIDATED=Y","Sort=A","Dates=H","DateFormat=P","Fill=—","Direction=H","UseDPDF=Y")</f>
        <v>#NAME?</v>
      </c>
      <c r="BN433" s="2" t="e">
        <f ca="1">_xll.BDH($C$428,"FIXED_ASSETS_SEQUENTIAL_GROWTH","FY 2015","FY 2015","Currency=INR","Period=FY","BEST_FPERIOD_OVERRIDE=FY","FILING_STATUS=OR","EQY_CONSOLIDATED=Y","Sort=A","Dates=H","DateFormat=P","Fill=—","Direction=H","UseDPDF=Y")</f>
        <v>#NAME?</v>
      </c>
      <c r="BO433" s="2" t="e">
        <f ca="1">_xll.BDH($C$428,"TOTAL_ASSETS_SEQUENTIAL_GROWTH","FY 2015","FY 2015","Currency=INR","Period=FY","BEST_FPERIOD_OVERRIDE=FY","FILING_STATUS=OR","EQY_CONSOLIDATED=Y","Sort=A","Dates=H","DateFormat=P","Fill=—","Direction=H","UseDPDF=Y")</f>
        <v>#NAME?</v>
      </c>
      <c r="BP433" s="2" t="e">
        <f ca="1">_xll.BDH($C$428,"MODIFIED_WORKING_CPTL_SEQ_GRWTH","FY 2015","FY 2015","Currency=INR","Period=FY","BEST_FPERIOD_OVERRIDE=FY","FILING_STATUS=OR","EQY_CONSOLIDATED=Y","Sort=A","Dates=H","DateFormat=P","Fill=—","Direction=H","UseDPDF=Y")</f>
        <v>#NAME?</v>
      </c>
      <c r="BQ433" s="2" t="e">
        <f ca="1">_xll.BDH($C$428,"WORKING_CAPITAL_SEQ_GROWTH","FY 2015","FY 2015","Currency=INR","Period=FY","BEST_FPERIOD_OVERRIDE=FY","FILING_STATUS=OR","EQY_CONSOLIDATED=Y","Sort=A","Dates=H","DateFormat=P","Fill=—","Direction=H","UseDPDF=Y")</f>
        <v>#NAME?</v>
      </c>
      <c r="BR433" s="2" t="e">
        <f ca="1">_xll.BDH($C$428,"ACCOUNTS_PAYABLE_SEQ_GROWTH","FY 2015","FY 2015","Currency=INR","Period=FY","BEST_FPERIOD_OVERRIDE=FY","FILING_STATUS=OR","EQY_CONSOLIDATED=Y","Sort=A","Dates=H","DateFormat=P","Fill=—","Direction=H","UseDPDF=Y")</f>
        <v>#NAME?</v>
      </c>
      <c r="BS433" s="2" t="e">
        <f ca="1">_xll.BDH($C$428,"ST_DEBT_SEQUENTIAL_GROWTH","FY 2015","FY 2015","Currency=INR","Period=FY","BEST_FPERIOD_OVERRIDE=FY","FILING_STATUS=OR","EQY_CONSOLIDATED=Y","Sort=A","Dates=H","DateFormat=P","Fill=—","Direction=H","UseDPDF=Y")</f>
        <v>#NAME?</v>
      </c>
      <c r="BT433" s="2" t="e">
        <f ca="1">_xll.BDH($C$428,"TOTAL_DEBT_SEQUENTIAL_GROWTH","FY 2015","FY 2015","Currency=INR","Period=FY","BEST_FPERIOD_OVERRIDE=FY","FILING_STATUS=OR","EQY_CONSOLIDATED=Y","Sort=A","Dates=H","DateFormat=P","Fill=—","Direction=H","UseDPDF=Y")</f>
        <v>#NAME?</v>
      </c>
      <c r="BU433" s="2" t="e">
        <f ca="1">_xll.BDH($C$428,"TOTAL_EQUITY_SEQUENTIAL_GROWTH","FY 2015","FY 2015","Currency=INR","Period=FY","BEST_FPERIOD_OVERRIDE=FY","FILING_STATUS=OR","EQY_CONSOLIDATED=Y","Sort=A","Dates=H","DateFormat=P","Fill=—","Direction=H","UseDPDF=Y")</f>
        <v>#NAME?</v>
      </c>
      <c r="BV433" s="2" t="e">
        <f ca="1">_xll.BDH($C$428,"TOTAL_CAPITAL_SEQUENTIAL_GROWTH","FY 2015","FY 2015","Currency=INR","Period=FY","BEST_FPERIOD_OVERRIDE=FY","FILING_STATUS=OR","EQY_CONSOLIDATED=Y","Sort=A","Dates=H","DateFormat=P","Fill=—","Direction=H","UseDPDF=Y")</f>
        <v>#NAME?</v>
      </c>
      <c r="BW433" s="2" t="e">
        <f ca="1">_xll.BDH($C$428,"BPS_SEQUENTIAL_GROWTH","FY 2015","FY 2015","Currency=INR","Period=FY","BEST_FPERIOD_OVERRIDE=FY","FILING_STATUS=OR","EQY_CONSOLIDATED=Y","Sort=A","Dates=H","DateFormat=P","Fill=—","Direction=H","UseDPDF=Y")</f>
        <v>#NAME?</v>
      </c>
      <c r="BX433" s="2" t="e">
        <f ca="1">_xll.BDH($C$428,"CFO_SEQUENTIAL_GROWTH","FY 2015","FY 2015","Currency=INR","Period=FY","BEST_FPERIOD_OVERRIDE=FY","FILING_STATUS=OR","EQY_CONSOLIDATED=Y","Sort=A","Dates=H","DateFormat=P","Fill=—","Direction=H","UseDPDF=Y")</f>
        <v>#NAME?</v>
      </c>
      <c r="BY433" s="3" t="e">
        <f ca="1">_xll.BDH($C$428,"SHORT_AND_LONG_TERM_DEBT","FY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433" s="3" t="e">
        <f ca="1">_xll.BDH($C$428,"BS_ST_BORROW","FY 2015","FY 2015","Currency=INR","Period=FY","BEST_FPERIOD_OVERRIDE=FY","FILING_STATUS=OR","EQY_CONSOLIDATED=Y","SCALING_FORMAT=MLN","Sort=A","Dates=H","DateFormat=P","Fill=—","Direction=H","UseDPDF=Y")</f>
        <v>#NAME?</v>
      </c>
      <c r="CA433" s="3" t="e">
        <f ca="1">_xll.BDH($C$428,"BS_LT_BORROW","FY 2015","FY 2015","Currency=INR","Period=FY","BEST_FPERIOD_OVERRIDE=FY","FILING_STATUS=OR","EQY_CONSOLIDATED=Y","SCALING_FORMAT=MLN","Sort=A","Dates=H","DateFormat=P","Fill=—","Direction=H","UseDPDF=Y")</f>
        <v>#NAME?</v>
      </c>
      <c r="CB433" s="2" t="e">
        <f ca="1">_xll.BDH($C$428,"TOT_DEBT_TO_EBITDA","FY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433" s="2" t="e">
        <f ca="1">_xll.BDH($C$428,"NET_DEBT_TO_EBITDA","FY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433" s="2" t="e">
        <f ca="1">_xll.BDH($C$428,"TOTAL_DEBT_TO_EBIT","FY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433" s="2" t="e">
        <f ca="1">_xll.BDH($C$428,"NET_DEBT_TO_EBIT","FY 2015","FY 2015","Currency=INR","Period=FY","BEST_FPERIOD_OVERRIDE=FY","FILING_STATUS=OR","EQY_CONSOLIDATED=Y","FA_ADJUSTED=GAAP","Sort=A","Dates=H","DateFormat=P","Fill=—","Direction=H","UseDPDF=Y")</f>
        <v>#NAME?</v>
      </c>
      <c r="CF433" s="2" t="e">
        <f ca="1">_xll.BDH($C$428,"EBITDA_TO_INTEREST_EXPN","FY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433" s="2" t="e">
        <f ca="1">_xll.BDH($C$428,"COM_EQY_TO_TOT_ASSET","FY 2015","FY 2015","Currency=INR","Period=FY","BEST_FPERIOD_OVERRIDE=FY","FILING_STATUS=OR","EQY_CONSOLIDATED=Y","Sort=A","Dates=H","DateFormat=P","Fill=—","Direction=H","UseDPDF=Y")</f>
        <v>#NAME?</v>
      </c>
      <c r="CH433" s="2" t="e">
        <f ca="1">_xll.BDH($C$428,"LT_DEBT_TO_TOT_EQY","FY 2015","FY 2015","Currency=INR","Period=FY","BEST_FPERIOD_OVERRIDE=FY","FILING_STATUS=OR","EQY_CONSOLIDATED=Y","Sort=A","Dates=H","DateFormat=P","Fill=—","Direction=H","UseDPDF=Y")</f>
        <v>#NAME?</v>
      </c>
      <c r="CI433" s="2" t="e">
        <f ca="1">_xll.BDH($C$428,"LT_DEBT_TO_TOT_CAP","FY 2015","FY 2015","Currency=INR","Period=FY","BEST_FPERIOD_OVERRIDE=FY","FILING_STATUS=OR","EQY_CONSOLIDATED=Y","Sort=A","Dates=H","DateFormat=P","Fill=—","Direction=H","UseDPDF=Y")</f>
        <v>#NAME?</v>
      </c>
      <c r="CJ433" s="2" t="e">
        <f ca="1">_xll.BDH($C$428,"LT_DEBT_TO_TOT_ASSET","FY 2015","FY 2015","Currency=INR","Period=FY","BEST_FPERIOD_OVERRIDE=FY","FILING_STATUS=OR","EQY_CONSOLIDATED=Y","Sort=A","Dates=H","DateFormat=P","Fill=—","Direction=H","UseDPDF=Y")</f>
        <v>#NAME?</v>
      </c>
      <c r="CK433" s="2" t="e">
        <f ca="1">_xll.BDH($C$428,"TOT_DEBT_TO_TOT_EQY","FY 2015","FY 2015","Currency=INR","Period=FY","BEST_FPERIOD_OVERRIDE=FY","FILING_STATUS=OR","EQY_CONSOLIDATED=Y","Sort=A","Dates=H","DateFormat=P","Fill=—","Direction=H","UseDPDF=Y")</f>
        <v>#NAME?</v>
      </c>
      <c r="CL433" s="2" t="e">
        <f ca="1">_xll.BDH($C$428,"TOT_DEBT_TO_TOT_CAP","FY 2015","FY 2015","Currency=INR","Period=FY","BEST_FPERIOD_OVERRIDE=FY","FILING_STATUS=OR","EQY_CONSOLIDATED=Y","Sort=A","Dates=H","DateFormat=P","Fill=—","Direction=H","UseDPDF=Y")</f>
        <v>#NAME?</v>
      </c>
      <c r="CM433" s="2" t="e">
        <f ca="1">_xll.BDH($C$428,"TOT_DEBT_TO_TOT_ASSET","FY 2015","FY 2015","Currency=INR","Period=FY","BEST_FPERIOD_OVERRIDE=FY","FILING_STATUS=OR","EQY_CONSOLIDATED=Y","Sort=A","Dates=H","DateFormat=P","Fill=—","Direction=H","UseDPDF=Y")</f>
        <v>#NAME?</v>
      </c>
      <c r="CN433" s="2" t="e">
        <f ca="1">_xll.BDH($C$428,"NET_DEBT_TO_SHRHLDR_EQTY","FY 2015","FY 2015","Currency=INR","Period=FY","BEST_FPERIOD_OVERRIDE=FY","FILING_STATUS=OR","EQY_CONSOLIDATED=Y","Sort=A","Dates=H","DateFormat=P","Fill=—","Direction=H","UseDPDF=Y")</f>
        <v>#NAME?</v>
      </c>
      <c r="CO433" s="2" t="e">
        <f ca="1">_xll.BDH($C$428,"NET_DEBT_%_CAPITAL","FY 2015","FY 2015","Currency=INR","Period=FY","BEST_FPERIOD_OVERRIDE=FY","FILING_STATUS=OR","EQY_CONSOLIDATED=Y","Sort=A","Dates=H","DateFormat=P","Fill=—","Direction=H","UseDPDF=Y")</f>
        <v>#NAME?</v>
      </c>
      <c r="CP433" s="3" t="e">
        <f ca="1">_xll.BDH($C$428,"EBITDA","FY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433" s="3" t="e">
        <f ca="1">_xll.BDH($C$428,"EBITDA_AFTER_CAPEX","FY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433" s="3" t="e">
        <f ca="1">_xll.BDH($C$428,"IS_OPER_INC","FY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433" s="2" t="e">
        <f ca="1">_xll.BDH($C$428,"CASH_RATIO","FY 2015","FY 2015","Currency=INR","Period=FY","BEST_FPERIOD_OVERRIDE=FY","FILING_STATUS=OR","EQY_CONSOLIDATED=Y","Sort=A","Dates=H","DateFormat=P","Fill=—","Direction=H","UseDPDF=Y")</f>
        <v>#NAME?</v>
      </c>
      <c r="CT433" s="2" t="e">
        <f ca="1">_xll.BDH($C$428,"CUR_RATIO","FY 2015","FY 2015","Currency=INR","Period=FY","BEST_FPERIOD_OVERRIDE=FY","FILING_STATUS=OR","EQY_CONSOLIDATED=Y","Sort=A","Dates=H","DateFormat=P","Fill=—","Direction=H","UseDPDF=Y")</f>
        <v>#NAME?</v>
      </c>
      <c r="CU433" s="2" t="e">
        <f ca="1">_xll.BDH($C$428,"QUICK_RATIO","FY 2015","FY 2015","Currency=INR","Period=FY","BEST_FPERIOD_OVERRIDE=FY","FILING_STATUS=OR","EQY_CONSOLIDATED=Y","Sort=A","Dates=H","DateFormat=P","Fill=—","Direction=H","UseDPDF=Y")</f>
        <v>#NAME?</v>
      </c>
      <c r="CV433" s="2" t="e">
        <f ca="1">_xll.BDH($C$428,"ALTMAN_Z_SCORE","FY 2015","FY 2015","Currency=INR","Period=FY","BEST_FPERIOD_OVERRIDE=FY","FILING_STATUS=OR","EQY_CONSOLIDATED=Y","Sort=A","Dates=H","DateFormat=P","Fill=—","Direction=H","UseDPDF=Y")</f>
        <v>#NAME?</v>
      </c>
      <c r="CW433" s="4" t="e">
        <f ca="1">_xll.BDH($C$428,"ACCT_RCV_TURN","FY 2015","FY 2015","Currency=INR","Period=FY","BEST_FPERIOD_OVERRIDE=FY","FILING_STATUS=OR","EQY_CONSOLIDATED=Y","FA_ADJUSTED=GAAP","Sort=A","Dates=H","DateFormat=P","Fill=—","Direction=H","UseDPDF=Y")</f>
        <v>#NAME?</v>
      </c>
      <c r="CX433" s="2" t="e">
        <f ca="1">_xll.BDH($C$428,"ACCT_RCV_DAYS","FY 2015","FY 2015","Currency=INR","Period=FY","BEST_FPERIOD_OVERRIDE=FY","FILING_STATUS=OR","EQY_CONSOLIDATED=Y","FA_ADJUSTED=GAAP","Sort=A","Dates=H","DateFormat=P","Fill=—","Direction=H","UseDPDF=Y")</f>
        <v>#NAME?</v>
      </c>
      <c r="CY433" s="4" t="e">
        <f ca="1">_xll.BDH($C$428,"INVENT_TURN","FY 2015","FY 2015","Currency=INR","Period=FY","BEST_FPERIOD_OVERRIDE=FY","FILING_STATUS=OR","EQY_CONSOLIDATED=Y","FA_ADJUSTED=GAAP","Sort=A","Dates=H","DateFormat=P","Fill=—","Direction=H","UseDPDF=Y")</f>
        <v>#NAME?</v>
      </c>
      <c r="CZ433" s="2" t="e">
        <f ca="1">_xll.BDH($C$428,"INVENT_DAYS","FY 2015","FY 2015","Currency=INR","Period=FY","BEST_FPERIOD_OVERRIDE=FY","FILING_STATUS=OR","EQY_CONSOLIDATED=Y","FA_ADJUSTED=GAAP","Sort=A","Dates=H","DateFormat=P","Fill=—","Direction=H","UseDPDF=Y")</f>
        <v>#NAME?</v>
      </c>
      <c r="DA433" s="4" t="e">
        <f ca="1">_xll.BDH($C$428,"ACCOUNTS_PAYABLE_TURNOVER","FY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433" s="2" t="e">
        <f ca="1">_xll.BDH($C$428,"ACCOUNTS_PAYABLE_TURNOVER_DAYS","FY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433" s="4" t="e">
        <f ca="1">_xll.BDH($C$428,"CASH_CONVERSION_CYCLE","FY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433" s="4" t="e">
        <f ca="1">_xll.BDH($C$428,"INV_TO_CASH_DAYS","FY 2015","FY 2015","Currency=INR","Period=FY","BEST_FPERIOD_OVERRIDE=FY","FILING_STATUS=OR","EQY_CONSOLIDATED=Y","FA_ADJUSTED=GAAP","Sort=A","Dates=H","DateFormat=P","Fill=—","Direction=H","UseDPDF=Y")</f>
        <v>#NAME?</v>
      </c>
      <c r="DE433" s="5" t="e">
        <f ca="1">_xll.BDH($C$428,"BS_INVENTORIES","FY 2015","FY 2015","Currency=INR","Period=FY","BEST_FPERIOD_OVERRIDE=FY","FILING_STATUS=OR","EQY_CONSOLIDATED=Y","SCALING_FORMAT=MLN","Sort=A","Dates=H","DateFormat=P","Fill=—","Direction=H","UseDPDF=Y")</f>
        <v>#NAME?</v>
      </c>
      <c r="DF433" s="3" t="e">
        <f ca="1">_xll.BDH($C$428,"INVTRY_RAW_MATERIALS","FY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433" s="3" t="e">
        <f ca="1">_xll.BDH($C$428,"INVTRY_IN_PROGRESS","FY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433" s="3" t="e">
        <f ca="1">_xll.BDH($C$428,"INVTRY_FINISHED_GOODS","FY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433" s="3" t="e">
        <f ca="1">_xll.BDH($C$428,"BS_OTHER_INV","FY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434" spans="1:113" x14ac:dyDescent="0.3">
      <c r="A434" s="6"/>
      <c r="B434" s="6"/>
      <c r="C434" s="6"/>
      <c r="D434" s="6"/>
      <c r="E434" t="s">
        <v>78</v>
      </c>
      <c r="F434" t="e">
        <f ca="1">_xll.BDH($C$428,"RETURN_COM_EQY","FQ1 2015","FQ1 2015","Currency=INR","Period=FQ","BEST_FPERIOD_OVERRIDE=FQ","FILING_STATUS=OR","EQY_CONSOLIDATED=Y","FA_ADJUSTED=GAAP","Sort=A","Dates=H","DateFormat=P","Fill=—","Direction=H","UseDPDF=Y")</f>
        <v>#NAME?</v>
      </c>
      <c r="G434" t="e">
        <f ca="1">_xll.BDH($C$428,"RETURN_ON_ASSET","FQ1 2015","FQ1 2015","Currency=INR","Period=FQ","BEST_FPERIOD_OVERRIDE=FQ","FILING_STATUS=OR","EQY_CONSOLIDATED=Y","FA_ADJUSTED=GAAP","Sort=A","Dates=H","DateFormat=P","Fill=—","Direction=H","UseDPDF=Y")</f>
        <v>#NAME?</v>
      </c>
      <c r="H434" t="e">
        <f ca="1">_xll.BDH($C$428,"RETURN_ON_CAP","FQ1 2015","FQ1 2015","Currency=INR","Period=FQ","BEST_FPERIOD_OVERRIDE=FQ","FILING_STATUS=OR","EQY_CONSOLIDATED=Y","FA_ADJUSTED=GAAP","Sort=A","Dates=H","DateFormat=P","Fill=—","Direction=H","UseDPDF=Y")</f>
        <v>#NAME?</v>
      </c>
      <c r="I434" t="e">
        <f ca="1">_xll.BDH($C$428,"RETURN_ON_INV_CAPITAL","FQ1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434" t="e">
        <f ca="1">_xll.BDH($C$428,"EBITDA_TO_REVENUE","FQ1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434" t="e">
        <f ca="1">_xll.BDH($C$428,"OPER_MARGIN","FQ1 2015","FQ1 2015","Currency=INR","Period=FQ","BEST_FPERIOD_OVERRIDE=FQ","FILING_STATUS=OR","EQY_CONSOLIDATED=Y","FA_ADJUSTED=GAAP","Sort=A","Dates=H","DateFormat=P","Fill=—","Direction=H","UseDPDF=Y")</f>
        <v>#NAME?</v>
      </c>
      <c r="L434" t="e">
        <f ca="1">_xll.BDH($C$428,"INCREMENTAL_OPERATING_MARGIN","FQ1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434" t="e">
        <f ca="1">_xll.BDH($C$428,"PRETAX_INC_TO_NET_SALES","FQ1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434" t="e">
        <f ca="1">_xll.BDH($C$428,"INC_BEF_XO_ITEMS_TO_NET_SALES","FQ1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434" t="e">
        <f ca="1">_xll.BDH($C$428,"PROF_MARGIN","FQ1 2015","FQ1 2015","Currency=INR","Period=FQ","BEST_FPERIOD_OVERRIDE=FQ","FILING_STATUS=OR","EQY_CONSOLIDATED=Y","FA_ADJUSTED=GAAP","Sort=A","Dates=H","DateFormat=P","Fill=—","Direction=H","UseDPDF=Y")</f>
        <v>#NAME?</v>
      </c>
      <c r="P434" t="e">
        <f ca="1">_xll.BDH($C$428,"NET_INCOME_TO_COMMON_MARGIN","FQ1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434" t="e">
        <f ca="1">_xll.BDH($C$428,"EFF_TAX_RATE","FQ1 2015","FQ1 2015","Currency=INR","Period=FQ","BEST_FPERIOD_OVERRIDE=FQ","FILING_STATUS=OR","EQY_CONSOLIDATED=Y","FA_ADJUSTED=GAAP","Sort=A","Dates=H","DateFormat=P","Fill=—","Direction=H","UseDPDF=Y")</f>
        <v>#NAME?</v>
      </c>
      <c r="R434" t="e">
        <f ca="1">_xll.BDH($C$428,"DVD_PAYOUT_RATIO","FQ1 2015","FQ1 2015","Currency=INR","Period=FQ","BEST_FPERIOD_OVERRIDE=FQ","FILING_STATUS=OR","EQY_CONSOLIDATED=Y","FA_ADJUSTED=GAAP","Sort=A","Dates=H","DateFormat=P","Fill=—","Direction=H","UseDPDF=Y")</f>
        <v>#NAME?</v>
      </c>
      <c r="S434" t="e">
        <f ca="1">_xll.BDH($C$428,"SUSTAIN_GROWTH_RT","FQ1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434" s="2" t="e">
        <f ca="1">_xll.BDH($C$428,"SALES_GROWTH","FQ1 2015","FQ1 2015","Currency=INR","Period=FQ","BEST_FPERIOD_OVERRIDE=FQ","FILING_STATUS=OR","EQY_CONSOLIDATED=Y","FA_ADJUSTED=GAAP","Sort=A","Dates=H","DateFormat=P","Fill=—","Direction=H","UseDPDF=Y")</f>
        <v>#NAME?</v>
      </c>
      <c r="U434" s="2" t="e">
        <f ca="1">_xll.BDH($C$428,"EBITDA_GROWTH","FQ1 2015","FQ1 2015","Currency=INR","Period=FQ","BEST_FPERIOD_OVERRIDE=FQ","FILING_STATUS=OR","EQY_CONSOLIDATED=Y","FA_ADJUSTED=GAAP","Sort=A","Dates=H","DateFormat=P","Fill=—","Direction=H","UseDPDF=Y")</f>
        <v>#NAME?</v>
      </c>
      <c r="V434" s="2" t="e">
        <f ca="1">_xll.BDH($C$428,"OPER_INC_GROWTH","FQ1 2015","FQ1 2015","Currency=INR","Period=FQ","BEST_FPERIOD_OVERRIDE=FQ","FILING_STATUS=OR","EQY_CONSOLIDATED=Y","FA_ADJUSTED=GAAP","Sort=A","Dates=H","DateFormat=P","Fill=—","Direction=H","UseDPDF=Y")</f>
        <v>#NAME?</v>
      </c>
      <c r="W434" s="2" t="e">
        <f ca="1">_xll.BDH($C$428,"EARN_FOR_COM_GROWTH","FQ1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434" s="2" t="e">
        <f ca="1">_xll.BDH($C$428,"DILUTED_EPS_AFT_XO_ITEMS_GROWTH","FQ1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434" s="2" t="e">
        <f ca="1">_xll.BDH($C$428,"DIVIDEND_PER_SHARE_1_YEAR_GROWTH","FQ1 2015","FQ1 2015","Currency=INR","Period=FQ","BEST_FPERIOD_OVERRIDE=FQ","FILING_STATUS=OR","EQY_CONSOLIDATED=Y","Sort=A","Dates=H","DateFormat=P","Fill=—","Direction=H","UseDPDF=Y")</f>
        <v>#NAME?</v>
      </c>
      <c r="Z434" s="2" t="e">
        <f ca="1">_xll.BDH($C$428,"ACCOUNTS_RECEIVABLE_GROWTH","FQ1 2015","FQ1 2015","Currency=INR","Period=FQ","BEST_FPERIOD_OVERRIDE=FQ","FILING_STATUS=OR","EQY_CONSOLIDATED=Y","Sort=A","Dates=H","DateFormat=P","Fill=—","Direction=H","UseDPDF=Y")</f>
        <v>#NAME?</v>
      </c>
      <c r="AA434" s="2" t="e">
        <f ca="1">_xll.BDH($C$428,"INVENTORY_GROWTH","FQ1 2015","FQ1 2015","Currency=INR","Period=FQ","BEST_FPERIOD_OVERRIDE=FQ","FILING_STATUS=OR","EQY_CONSOLIDATED=Y","Sort=A","Dates=H","DateFormat=P","Fill=—","Direction=H","UseDPDF=Y")</f>
        <v>#NAME?</v>
      </c>
      <c r="AB434" s="2" t="e">
        <f ca="1">_xll.BDH($C$428,"NET_FIXED_ASSETS_1_YEAR_GROWTH","FQ1 2015","FQ1 2015","Currency=INR","Period=FQ","BEST_FPERIOD_OVERRIDE=FQ","FILING_STATUS=OR","EQY_CONSOLIDATED=Y","Sort=A","Dates=H","DateFormat=P","Fill=—","Direction=H","UseDPDF=Y")</f>
        <v>#NAME?</v>
      </c>
      <c r="AC434" s="2" t="e">
        <f ca="1">_xll.BDH($C$428,"ASSET_GROWTH","FQ1 2015","FQ1 2015","Currency=INR","Period=FQ","BEST_FPERIOD_OVERRIDE=FQ","FILING_STATUS=OR","EQY_CONSOLIDATED=Y","Sort=A","Dates=H","DateFormat=P","Fill=—","Direction=H","UseDPDF=Y")</f>
        <v>#NAME?</v>
      </c>
      <c r="AD434" s="2" t="e">
        <f ca="1">_xll.BDH($C$428,"MODIFIED_WORK_CAP_GROWTH","FQ1 2015","FQ1 2015","Currency=INR","Period=FQ","BEST_FPERIOD_OVERRIDE=FQ","FILING_STATUS=OR","EQY_CONSOLIDATED=Y","Sort=A","Dates=H","DateFormat=P","Fill=—","Direction=H","UseDPDF=Y")</f>
        <v>#NAME?</v>
      </c>
      <c r="AE434" s="2" t="e">
        <f ca="1">_xll.BDH($C$428,"WORK_CAP_GROWTH","FQ1 2015","FQ1 2015","Currency=INR","Period=FQ","BEST_FPERIOD_OVERRIDE=FQ","FILING_STATUS=OR","EQY_CONSOLIDATED=Y","Sort=A","Dates=H","DateFormat=P","Fill=—","Direction=H","UseDPDF=Y")</f>
        <v>#NAME?</v>
      </c>
      <c r="AF434" s="2" t="e">
        <f ca="1">_xll.BDH($C$428,"ACCOUNTS_PAYABLE_GROWTH_1YR","FQ1 2015","FQ1 2015","Currency=INR","Period=FQ","BEST_FPERIOD_OVERRIDE=FQ","FILING_STATUS=OR","EQY_CONSOLIDATED=Y","Sort=A","Dates=H","DateFormat=P","Fill=—","Direction=H","UseDPDF=Y")</f>
        <v>#NAME?</v>
      </c>
      <c r="AG434" s="2" t="e">
        <f ca="1">_xll.BDH($C$428,"SHORT_TERM_DEBT_1_YEAR_GROWTH","FQ1 2015","FQ1 2015","Currency=INR","Period=FQ","BEST_FPERIOD_OVERRIDE=FQ","FILING_STATUS=OR","EQY_CONSOLIDATED=Y","Sort=A","Dates=H","DateFormat=P","Fill=—","Direction=H","UseDPDF=Y")</f>
        <v>#NAME?</v>
      </c>
      <c r="AH434" s="2" t="e">
        <f ca="1">_xll.BDH($C$428,"TOTAL_DEBT_1_YEAR_GROWTH","FQ1 2015","FQ1 2015","Currency=INR","Period=FQ","BEST_FPERIOD_OVERRIDE=FQ","FILING_STATUS=OR","EQY_CONSOLIDATED=Y","Sort=A","Dates=H","DateFormat=P","Fill=—","Direction=H","UseDPDF=Y")</f>
        <v>#NAME?</v>
      </c>
      <c r="AI434" s="2" t="e">
        <f ca="1">_xll.BDH($C$428,"TOTAL_EQUITY_1_YEAR_GROWTH","FQ1 2015","FQ1 2015","Currency=INR","Period=FQ","BEST_FPERIOD_OVERRIDE=FQ","FILING_STATUS=OR","EQY_CONSOLIDATED=Y","Sort=A","Dates=H","DateFormat=P","Fill=—","Direction=H","UseDPDF=Y")</f>
        <v>#NAME?</v>
      </c>
      <c r="AJ434" s="2" t="e">
        <f ca="1">_xll.BDH($C$428,"GROWTH_IN_CAP","FQ1 2015","FQ1 2015","Currency=INR","Period=FQ","BEST_FPERIOD_OVERRIDE=FQ","FILING_STATUS=OR","EQY_CONSOLIDATED=Y","Sort=A","Dates=H","DateFormat=P","Fill=—","Direction=H","UseDPDF=Y")</f>
        <v>#NAME?</v>
      </c>
      <c r="AK434" s="2" t="e">
        <f ca="1">_xll.BDH($C$428,"BVPS_GROWTH","FQ1 2015","FQ1 2015","Currency=INR","Period=FQ","BEST_FPERIOD_OVERRIDE=FQ","FILING_STATUS=OR","EQY_CONSOLIDATED=Y","Sort=A","Dates=H","DateFormat=P","Fill=—","Direction=H","UseDPDF=Y")</f>
        <v>#NAME?</v>
      </c>
      <c r="AL434" s="2" t="e">
        <f ca="1">_xll.BDH($C$428,"CASH_FLOW_GROWTH","FQ1 2015","FQ1 2015","Currency=INR","Period=FQ","BEST_FPERIOD_OVERRIDE=FQ","FILING_STATUS=OR","EQY_CONSOLIDATED=Y","Sort=A","Dates=H","DateFormat=P","Fill=—","Direction=H","UseDPDF=Y")</f>
        <v>#NAME?</v>
      </c>
      <c r="AM434" s="2" t="e">
        <f ca="1">_xll.BDH($C$428,"GEO_GROW_NET_SALES","FQ1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434" s="2" t="e">
        <f ca="1">_xll.BDH($C$428,"GEO_GROW_EBITDA","FQ1 2015","FQ1 2015","Currency=INR","Period=FQ","BEST_FPERIOD_OVERRIDE=FQ","FILING_STATUS=OR","EQY_CONSOLIDATED=Y","FA_ADJUSTED=GAAP","Sort=A","Dates=H","DateFormat=P","Fill=—","Direction=H","UseDPDF=Y")</f>
        <v>#NAME?</v>
      </c>
      <c r="AO434" s="2" t="e">
        <f ca="1">_xll.BDH($C$428,"GEO_GROW_OPER_INC","FQ1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434" s="2" t="e">
        <f ca="1">_xll.BDH($C$428,"NET_INCOME_TO_COMMON_5_YR_GROWTH","FQ1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434" s="2" t="e">
        <f ca="1">_xll.BDH($C$428,"5Y_GEO_GROWTH_DILUTED_EPS","FQ1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434" s="2" t="e">
        <f ca="1">_xll.BDH($C$428,"GEO_GROW_DVD_PER_SH","FQ1 2015","FQ1 2015","Currency=INR","Period=FQ","BEST_FPERIOD_OVERRIDE=FQ","FILING_STATUS=OR","EQY_CONSOLIDATED=Y","Sort=A","Dates=H","DateFormat=P","Fill=—","Direction=H","UseDPDF=Y")</f>
        <v>#NAME?</v>
      </c>
      <c r="AS434" s="2" t="e">
        <f ca="1">_xll.BDH($C$428,"ACCOUNTS_RECEIVABLE_5_YR_GROWTH","FQ1 2015","FQ1 2015","Currency=INR","Period=FQ","BEST_FPERIOD_OVERRIDE=FQ","FILING_STATUS=OR","EQY_CONSOLIDATED=Y","Sort=A","Dates=H","DateFormat=P","Fill=—","Direction=H","UseDPDF=Y")</f>
        <v>#NAME?</v>
      </c>
      <c r="AT434" s="2" t="e">
        <f ca="1">_xll.BDH($C$428,"INVENTORY_5_YEAR_GROWTH","FQ1 2015","FQ1 2015","Currency=INR","Period=FQ","BEST_FPERIOD_OVERRIDE=FQ","FILING_STATUS=OR","EQY_CONSOLIDATED=Y","Sort=A","Dates=H","DateFormat=P","Fill=—","Direction=H","UseDPDF=Y")</f>
        <v>#NAME?</v>
      </c>
      <c r="AU434" s="2" t="e">
        <f ca="1">_xll.BDH($C$428,"NET_FIXED_ASSETS_5_YEAR_GROWTH","FQ1 2015","FQ1 2015","Currency=INR","Period=FQ","BEST_FPERIOD_OVERRIDE=FQ","FILING_STATUS=OR","EQY_CONSOLIDATED=Y","Sort=A","Dates=H","DateFormat=P","Fill=—","Direction=H","UseDPDF=Y")</f>
        <v>#NAME?</v>
      </c>
      <c r="AV434" s="2" t="e">
        <f ca="1">_xll.BDH($C$428,"GEO_GROW_TOT_ASSET","FQ1 2015","FQ1 2015","Currency=INR","Period=FQ","BEST_FPERIOD_OVERRIDE=FQ","FILING_STATUS=OR","EQY_CONSOLIDATED=Y","Sort=A","Dates=H","DateFormat=P","Fill=—","Direction=H","UseDPDF=Y")</f>
        <v>#NAME?</v>
      </c>
      <c r="AW434" s="2" t="e">
        <f ca="1">_xll.BDH($C$428,"MODIFIED_WORKING_CPTL_5YR_GRWTH","FQ1 2015","FQ1 2015","Currency=INR","Period=FQ","BEST_FPERIOD_OVERRIDE=FQ","FILING_STATUS=OR","EQY_CONSOLIDATED=Y","Sort=A","Dates=H","DateFormat=P","Fill=—","Direction=H","UseDPDF=Y")</f>
        <v>#NAME?</v>
      </c>
      <c r="AX434" s="2" t="e">
        <f ca="1">_xll.BDH($C$428,"WORKING_CAPITAL_5_YEAR_GROWTH","FQ1 2015","FQ1 2015","Currency=INR","Period=FQ","BEST_FPERIOD_OVERRIDE=FQ","FILING_STATUS=OR","EQY_CONSOLIDATED=Y","Sort=A","Dates=H","DateFormat=P","Fill=—","Direction=H","UseDPDF=Y")</f>
        <v>#NAME?</v>
      </c>
      <c r="AY434" s="2" t="e">
        <f ca="1">_xll.BDH($C$428,"ACCOUNTS_PAYABLE_5_YEAR_GROWTH","FQ1 2015","FQ1 2015","Currency=INR","Period=FQ","BEST_FPERIOD_OVERRIDE=FQ","FILING_STATUS=OR","EQY_CONSOLIDATED=Y","Sort=A","Dates=H","DateFormat=P","Fill=—","Direction=H","UseDPDF=Y")</f>
        <v>#NAME?</v>
      </c>
      <c r="AZ434" s="2" t="e">
        <f ca="1">_xll.BDH($C$428,"SHORT_TERM_DEBT_5_YEAR_GROWTH","FQ1 2015","FQ1 2015","Currency=INR","Period=FQ","BEST_FPERIOD_OVERRIDE=FQ","FILING_STATUS=OR","EQY_CONSOLIDATED=Y","Sort=A","Dates=H","DateFormat=P","Fill=—","Direction=H","UseDPDF=Y")</f>
        <v>#NAME?</v>
      </c>
      <c r="BA434" s="2" t="e">
        <f ca="1">_xll.BDH($C$428,"TOTAL_DEBT_5_YEAR_GROWTH","FQ1 2015","FQ1 2015","Currency=INR","Period=FQ","BEST_FPERIOD_OVERRIDE=FQ","FILING_STATUS=OR","EQY_CONSOLIDATED=Y","Sort=A","Dates=H","DateFormat=P","Fill=—","Direction=H","UseDPDF=Y")</f>
        <v>#NAME?</v>
      </c>
      <c r="BB434" s="2" t="e">
        <f ca="1">_xll.BDH($C$428,"GEO_GROW_TOT_SHRHLDR_EQY","FQ1 2015","FQ1 2015","Currency=INR","Period=FQ","BEST_FPERIOD_OVERRIDE=FQ","FILING_STATUS=OR","EQY_CONSOLIDATED=Y","Sort=A","Dates=H","DateFormat=P","Fill=—","Direction=H","UseDPDF=Y")</f>
        <v>#NAME?</v>
      </c>
      <c r="BC434" s="2" t="e">
        <f ca="1">_xll.BDH($C$428,"TOTAL_CAPITAL_5_YEAR_GROWTH","FQ1 2015","FQ1 2015","Currency=INR","Period=FQ","BEST_FPERIOD_OVERRIDE=FQ","FILING_STATUS=OR","EQY_CONSOLIDATED=Y","Sort=A","Dates=H","DateFormat=P","Fill=—","Direction=H","UseDPDF=Y")</f>
        <v>#NAME?</v>
      </c>
      <c r="BD434" s="2" t="e">
        <f ca="1">_xll.BDH($C$428,"GEO_GROW_BOOK_VAL","FQ1 2015","FQ1 2015","Currency=INR","Period=FQ","BEST_FPERIOD_OVERRIDE=FQ","FILING_STATUS=OR","EQY_CONSOLIDATED=Y","Sort=A","Dates=H","DateFormat=P","Fill=—","Direction=H","UseDPDF=Y")</f>
        <v>#NAME?</v>
      </c>
      <c r="BE434" s="2" t="e">
        <f ca="1">_xll.BDH($C$428,"GEO_GROW_CASH_OPER_ACT","FQ1 2015","FQ1 2015","Currency=INR","Period=FQ","BEST_FPERIOD_OVERRIDE=FQ","FILING_STATUS=OR","EQY_CONSOLIDATED=Y","Sort=A","Dates=H","DateFormat=P","Fill=—","Direction=H","UseDPDF=Y")</f>
        <v>#NAME?</v>
      </c>
      <c r="BF434" s="2" t="e">
        <f ca="1">_xll.BDH($C$428,"REVENUE_SEQUENTIAL_GROWTH","FQ1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434" s="2" t="e">
        <f ca="1">_xll.BDH($C$428,"EBITDA_SEQUENTIAL_GROWTH","FQ1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434" s="2" t="e">
        <f ca="1">_xll.BDH($C$428,"OPERATING_INCOME_SEQ_GROWTH","FQ1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434" s="2" t="e">
        <f ca="1">_xll.BDH($C$428,"NET_INCOME_TO_COMMON_SEQ_GROWTH","FQ1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434" s="2" t="e">
        <f ca="1">_xll.BDH($C$428,"EPS_DILUTED_SEQUENTIAL_GROWTH","FQ1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434" s="2" t="e">
        <f ca="1">_xll.BDH($C$428,"DPS_SEQUENTIAL_GROWTH","FQ1 2015","FQ1 2015","Currency=INR","Period=FQ","BEST_FPERIOD_OVERRIDE=FQ","FILING_STATUS=OR","EQY_CONSOLIDATED=Y","Sort=A","Dates=H","DateFormat=P","Fill=—","Direction=H","UseDPDF=Y")</f>
        <v>#NAME?</v>
      </c>
      <c r="BL434" s="2" t="e">
        <f ca="1">_xll.BDH($C$428,"ACCOUNTS_RECEIVABLE_SEQ_GROWTH","FQ1 2015","FQ1 2015","Currency=INR","Period=FQ","BEST_FPERIOD_OVERRIDE=FQ","FILING_STATUS=OR","EQY_CONSOLIDATED=Y","Sort=A","Dates=H","DateFormat=P","Fill=—","Direction=H","UseDPDF=Y")</f>
        <v>#NAME?</v>
      </c>
      <c r="BM434" s="2" t="e">
        <f ca="1">_xll.BDH($C$428,"INVENTORY_SEQUENTIAL_GROWTH","FQ1 2015","FQ1 2015","Currency=INR","Period=FQ","BEST_FPERIOD_OVERRIDE=FQ","FILING_STATUS=OR","EQY_CONSOLIDATED=Y","Sort=A","Dates=H","DateFormat=P","Fill=—","Direction=H","UseDPDF=Y")</f>
        <v>#NAME?</v>
      </c>
      <c r="BN434" s="2" t="e">
        <f ca="1">_xll.BDH($C$428,"FIXED_ASSETS_SEQUENTIAL_GROWTH","FQ1 2015","FQ1 2015","Currency=INR","Period=FQ","BEST_FPERIOD_OVERRIDE=FQ","FILING_STATUS=OR","EQY_CONSOLIDATED=Y","Sort=A","Dates=H","DateFormat=P","Fill=—","Direction=H","UseDPDF=Y")</f>
        <v>#NAME?</v>
      </c>
      <c r="BO434" s="2" t="e">
        <f ca="1">_xll.BDH($C$428,"TOTAL_ASSETS_SEQUENTIAL_GROWTH","FQ1 2015","FQ1 2015","Currency=INR","Period=FQ","BEST_FPERIOD_OVERRIDE=FQ","FILING_STATUS=OR","EQY_CONSOLIDATED=Y","Sort=A","Dates=H","DateFormat=P","Fill=—","Direction=H","UseDPDF=Y")</f>
        <v>#NAME?</v>
      </c>
      <c r="BP434" s="2" t="e">
        <f ca="1">_xll.BDH($C$428,"MODIFIED_WORKING_CPTL_SEQ_GRWTH","FQ1 2015","FQ1 2015","Currency=INR","Period=FQ","BEST_FPERIOD_OVERRIDE=FQ","FILING_STATUS=OR","EQY_CONSOLIDATED=Y","Sort=A","Dates=H","DateFormat=P","Fill=—","Direction=H","UseDPDF=Y")</f>
        <v>#NAME?</v>
      </c>
      <c r="BQ434" s="2" t="e">
        <f ca="1">_xll.BDH($C$428,"WORKING_CAPITAL_SEQ_GROWTH","FQ1 2015","FQ1 2015","Currency=INR","Period=FQ","BEST_FPERIOD_OVERRIDE=FQ","FILING_STATUS=OR","EQY_CONSOLIDATED=Y","Sort=A","Dates=H","DateFormat=P","Fill=—","Direction=H","UseDPDF=Y")</f>
        <v>#NAME?</v>
      </c>
      <c r="BR434" s="2" t="e">
        <f ca="1">_xll.BDH($C$428,"ACCOUNTS_PAYABLE_SEQ_GROWTH","FQ1 2015","FQ1 2015","Currency=INR","Period=FQ","BEST_FPERIOD_OVERRIDE=FQ","FILING_STATUS=OR","EQY_CONSOLIDATED=Y","Sort=A","Dates=H","DateFormat=P","Fill=—","Direction=H","UseDPDF=Y")</f>
        <v>#NAME?</v>
      </c>
      <c r="BS434" s="2" t="e">
        <f ca="1">_xll.BDH($C$428,"ST_DEBT_SEQUENTIAL_GROWTH","FQ1 2015","FQ1 2015","Currency=INR","Period=FQ","BEST_FPERIOD_OVERRIDE=FQ","FILING_STATUS=OR","EQY_CONSOLIDATED=Y","Sort=A","Dates=H","DateFormat=P","Fill=—","Direction=H","UseDPDF=Y")</f>
        <v>#NAME?</v>
      </c>
      <c r="BT434" s="2" t="e">
        <f ca="1">_xll.BDH($C$428,"TOTAL_DEBT_SEQUENTIAL_GROWTH","FQ1 2015","FQ1 2015","Currency=INR","Period=FQ","BEST_FPERIOD_OVERRIDE=FQ","FILING_STATUS=OR","EQY_CONSOLIDATED=Y","Sort=A","Dates=H","DateFormat=P","Fill=—","Direction=H","UseDPDF=Y")</f>
        <v>#NAME?</v>
      </c>
      <c r="BU434" s="2" t="e">
        <f ca="1">_xll.BDH($C$428,"TOTAL_EQUITY_SEQUENTIAL_GROWTH","FQ1 2015","FQ1 2015","Currency=INR","Period=FQ","BEST_FPERIOD_OVERRIDE=FQ","FILING_STATUS=OR","EQY_CONSOLIDATED=Y","Sort=A","Dates=H","DateFormat=P","Fill=—","Direction=H","UseDPDF=Y")</f>
        <v>#NAME?</v>
      </c>
      <c r="BV434" s="2" t="e">
        <f ca="1">_xll.BDH($C$428,"TOTAL_CAPITAL_SEQUENTIAL_GROWTH","FQ1 2015","FQ1 2015","Currency=INR","Period=FQ","BEST_FPERIOD_OVERRIDE=FQ","FILING_STATUS=OR","EQY_CONSOLIDATED=Y","Sort=A","Dates=H","DateFormat=P","Fill=—","Direction=H","UseDPDF=Y")</f>
        <v>#NAME?</v>
      </c>
      <c r="BW434" s="2" t="e">
        <f ca="1">_xll.BDH($C$428,"BPS_SEQUENTIAL_GROWTH","FQ1 2015","FQ1 2015","Currency=INR","Period=FQ","BEST_FPERIOD_OVERRIDE=FQ","FILING_STATUS=OR","EQY_CONSOLIDATED=Y","Sort=A","Dates=H","DateFormat=P","Fill=—","Direction=H","UseDPDF=Y")</f>
        <v>#NAME?</v>
      </c>
      <c r="BX434" s="2" t="e">
        <f ca="1">_xll.BDH($C$428,"CFO_SEQUENTIAL_GROWTH","FQ1 2015","FQ1 2015","Currency=INR","Period=FQ","BEST_FPERIOD_OVERRIDE=FQ","FILING_STATUS=OR","EQY_CONSOLIDATED=Y","Sort=A","Dates=H","DateFormat=P","Fill=—","Direction=H","UseDPDF=Y")</f>
        <v>#NAME?</v>
      </c>
      <c r="BY434" s="3" t="e">
        <f ca="1">_xll.BDH($C$428,"SHORT_AND_LONG_TERM_DEBT","FQ1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434" s="3" t="e">
        <f ca="1">_xll.BDH($C$428,"BS_ST_BORROW","FQ1 2015","FQ1 2015","Currency=INR","Period=FQ","BEST_FPERIOD_OVERRIDE=FQ","FILING_STATUS=OR","EQY_CONSOLIDATED=Y","SCALING_FORMAT=MLN","Sort=A","Dates=H","DateFormat=P","Fill=—","Direction=H","UseDPDF=Y")</f>
        <v>#NAME?</v>
      </c>
      <c r="CA434" s="3" t="e">
        <f ca="1">_xll.BDH($C$428,"BS_LT_BORROW","FQ1 2015","FQ1 2015","Currency=INR","Period=FQ","BEST_FPERIOD_OVERRIDE=FQ","FILING_STATUS=OR","EQY_CONSOLIDATED=Y","SCALING_FORMAT=MLN","Sort=A","Dates=H","DateFormat=P","Fill=—","Direction=H","UseDPDF=Y")</f>
        <v>#NAME?</v>
      </c>
      <c r="CB434" s="2" t="e">
        <f ca="1">_xll.BDH($C$428,"TOT_DEBT_TO_EBITDA","FQ1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434" s="2" t="e">
        <f ca="1">_xll.BDH($C$428,"NET_DEBT_TO_EBITDA","FQ1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434" s="2" t="e">
        <f ca="1">_xll.BDH($C$428,"TOTAL_DEBT_TO_EBIT","FQ1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434" s="2" t="e">
        <f ca="1">_xll.BDH($C$428,"NET_DEBT_TO_EBIT","FQ1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434" s="2" t="e">
        <f ca="1">_xll.BDH($C$428,"EBITDA_TO_INTEREST_EXPN","FQ1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434" s="2" t="e">
        <f ca="1">_xll.BDH($C$428,"COM_EQY_TO_TOT_ASSET","FQ1 2015","FQ1 2015","Currency=INR","Period=FQ","BEST_FPERIOD_OVERRIDE=FQ","FILING_STATUS=OR","EQY_CONSOLIDATED=Y","Sort=A","Dates=H","DateFormat=P","Fill=—","Direction=H","UseDPDF=Y")</f>
        <v>#NAME?</v>
      </c>
      <c r="CH434" s="2" t="e">
        <f ca="1">_xll.BDH($C$428,"LT_DEBT_TO_TOT_EQY","FQ1 2015","FQ1 2015","Currency=INR","Period=FQ","BEST_FPERIOD_OVERRIDE=FQ","FILING_STATUS=OR","EQY_CONSOLIDATED=Y","Sort=A","Dates=H","DateFormat=P","Fill=—","Direction=H","UseDPDF=Y")</f>
        <v>#NAME?</v>
      </c>
      <c r="CI434" s="2" t="e">
        <f ca="1">_xll.BDH($C$428,"LT_DEBT_TO_TOT_CAP","FQ1 2015","FQ1 2015","Currency=INR","Period=FQ","BEST_FPERIOD_OVERRIDE=FQ","FILING_STATUS=OR","EQY_CONSOLIDATED=Y","Sort=A","Dates=H","DateFormat=P","Fill=—","Direction=H","UseDPDF=Y")</f>
        <v>#NAME?</v>
      </c>
      <c r="CJ434" s="2" t="e">
        <f ca="1">_xll.BDH($C$428,"LT_DEBT_TO_TOT_ASSET","FQ1 2015","FQ1 2015","Currency=INR","Period=FQ","BEST_FPERIOD_OVERRIDE=FQ","FILING_STATUS=OR","EQY_CONSOLIDATED=Y","Sort=A","Dates=H","DateFormat=P","Fill=—","Direction=H","UseDPDF=Y")</f>
        <v>#NAME?</v>
      </c>
      <c r="CK434" s="2" t="e">
        <f ca="1">_xll.BDH($C$428,"TOT_DEBT_TO_TOT_EQY","FQ1 2015","FQ1 2015","Currency=INR","Period=FQ","BEST_FPERIOD_OVERRIDE=FQ","FILING_STATUS=OR","EQY_CONSOLIDATED=Y","Sort=A","Dates=H","DateFormat=P","Fill=—","Direction=H","UseDPDF=Y")</f>
        <v>#NAME?</v>
      </c>
      <c r="CL434" s="2" t="e">
        <f ca="1">_xll.BDH($C$428,"TOT_DEBT_TO_TOT_CAP","FQ1 2015","FQ1 2015","Currency=INR","Period=FQ","BEST_FPERIOD_OVERRIDE=FQ","FILING_STATUS=OR","EQY_CONSOLIDATED=Y","Sort=A","Dates=H","DateFormat=P","Fill=—","Direction=H","UseDPDF=Y")</f>
        <v>#NAME?</v>
      </c>
      <c r="CM434" s="2" t="e">
        <f ca="1">_xll.BDH($C$428,"TOT_DEBT_TO_TOT_ASSET","FQ1 2015","FQ1 2015","Currency=INR","Period=FQ","BEST_FPERIOD_OVERRIDE=FQ","FILING_STATUS=OR","EQY_CONSOLIDATED=Y","Sort=A","Dates=H","DateFormat=P","Fill=—","Direction=H","UseDPDF=Y")</f>
        <v>#NAME?</v>
      </c>
      <c r="CN434" s="2" t="e">
        <f ca="1">_xll.BDH($C$428,"NET_DEBT_TO_SHRHLDR_EQTY","FQ1 2015","FQ1 2015","Currency=INR","Period=FQ","BEST_FPERIOD_OVERRIDE=FQ","FILING_STATUS=OR","EQY_CONSOLIDATED=Y","Sort=A","Dates=H","DateFormat=P","Fill=—","Direction=H","UseDPDF=Y")</f>
        <v>#NAME?</v>
      </c>
      <c r="CO434" s="2" t="e">
        <f ca="1">_xll.BDH($C$428,"NET_DEBT_%_CAPITAL","FQ1 2015","FQ1 2015","Currency=INR","Period=FQ","BEST_FPERIOD_OVERRIDE=FQ","FILING_STATUS=OR","EQY_CONSOLIDATED=Y","Sort=A","Dates=H","DateFormat=P","Fill=—","Direction=H","UseDPDF=Y")</f>
        <v>#NAME?</v>
      </c>
      <c r="CP434" s="3" t="e">
        <f ca="1">_xll.BDH($C$428,"EBITDA","FQ1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434" s="3" t="e">
        <f ca="1">_xll.BDH($C$428,"EBITDA_AFTER_CAPEX","FQ1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434" s="3" t="e">
        <f ca="1">_xll.BDH($C$428,"IS_OPER_INC","FQ1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434" s="2" t="e">
        <f ca="1">_xll.BDH($C$428,"CASH_RATIO","FQ1 2015","FQ1 2015","Currency=INR","Period=FQ","BEST_FPERIOD_OVERRIDE=FQ","FILING_STATUS=OR","EQY_CONSOLIDATED=Y","Sort=A","Dates=H","DateFormat=P","Fill=—","Direction=H","UseDPDF=Y")</f>
        <v>#NAME?</v>
      </c>
      <c r="CT434" s="2" t="e">
        <f ca="1">_xll.BDH($C$428,"CUR_RATIO","FQ1 2015","FQ1 2015","Currency=INR","Period=FQ","BEST_FPERIOD_OVERRIDE=FQ","FILING_STATUS=OR","EQY_CONSOLIDATED=Y","Sort=A","Dates=H","DateFormat=P","Fill=—","Direction=H","UseDPDF=Y")</f>
        <v>#NAME?</v>
      </c>
      <c r="CU434" s="2" t="e">
        <f ca="1">_xll.BDH($C$428,"QUICK_RATIO","FQ1 2015","FQ1 2015","Currency=INR","Period=FQ","BEST_FPERIOD_OVERRIDE=FQ","FILING_STATUS=OR","EQY_CONSOLIDATED=Y","Sort=A","Dates=H","DateFormat=P","Fill=—","Direction=H","UseDPDF=Y")</f>
        <v>#NAME?</v>
      </c>
      <c r="CV434" s="2" t="e">
        <f ca="1">_xll.BDH($C$428,"ALTMAN_Z_SCORE","FQ1 2015","FQ1 2015","Currency=INR","Period=FQ","BEST_FPERIOD_OVERRIDE=FQ","FILING_STATUS=OR","EQY_CONSOLIDATED=Y","Sort=A","Dates=H","DateFormat=P","Fill=—","Direction=H","UseDPDF=Y")</f>
        <v>#NAME?</v>
      </c>
      <c r="CW434" s="4" t="e">
        <f ca="1">_xll.BDH($C$428,"ACCT_RCV_TURN","FQ1 2015","FQ1 2015","Currency=INR","Period=FQ","BEST_FPERIOD_OVERRIDE=FQ","FILING_STATUS=OR","EQY_CONSOLIDATED=Y","FA_ADJUSTED=GAAP","Sort=A","Dates=H","DateFormat=P","Fill=—","Direction=H","UseDPDF=Y")</f>
        <v>#NAME?</v>
      </c>
      <c r="CX434" s="2" t="e">
        <f ca="1">_xll.BDH($C$428,"ACCT_RCV_DAYS","FQ1 2015","FQ1 2015","Currency=INR","Period=FQ","BEST_FPERIOD_OVERRIDE=FQ","FILING_STATUS=OR","EQY_CONSOLIDATED=Y","FA_ADJUSTED=GAAP","Sort=A","Dates=H","DateFormat=P","Fill=—","Direction=H","UseDPDF=Y")</f>
        <v>#NAME?</v>
      </c>
      <c r="CY434" s="4" t="e">
        <f ca="1">_xll.BDH($C$428,"INVENT_TURN","FQ1 2015","FQ1 2015","Currency=INR","Period=FQ","BEST_FPERIOD_OVERRIDE=FQ","FILING_STATUS=OR","EQY_CONSOLIDATED=Y","FA_ADJUSTED=GAAP","Sort=A","Dates=H","DateFormat=P","Fill=—","Direction=H","UseDPDF=Y")</f>
        <v>#NAME?</v>
      </c>
      <c r="CZ434" s="2" t="e">
        <f ca="1">_xll.BDH($C$428,"INVENT_DAYS","FQ1 2015","FQ1 2015","Currency=INR","Period=FQ","BEST_FPERIOD_OVERRIDE=FQ","FILING_STATUS=OR","EQY_CONSOLIDATED=Y","FA_ADJUSTED=GAAP","Sort=A","Dates=H","DateFormat=P","Fill=—","Direction=H","UseDPDF=Y")</f>
        <v>#NAME?</v>
      </c>
      <c r="DA434" s="4" t="e">
        <f ca="1">_xll.BDH($C$428,"ACCOUNTS_PAYABLE_TURNOVER","FQ1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434" s="2" t="e">
        <f ca="1">_xll.BDH($C$428,"ACCOUNTS_PAYABLE_TURNOVER_DAYS","FQ1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434" s="4" t="e">
        <f ca="1">_xll.BDH($C$428,"CASH_CONVERSION_CYCLE","FQ1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434" s="4" t="e">
        <f ca="1">_xll.BDH($C$428,"INV_TO_CASH_DAYS","FQ1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434" s="5" t="e">
        <f ca="1">_xll.BDH($C$428,"BS_INVENTORIES","FQ1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434" s="3" t="e">
        <f ca="1">_xll.BDH($C$428,"INVTRY_RAW_MATERIALS","FQ1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434" s="3" t="e">
        <f ca="1">_xll.BDH($C$428,"INVTRY_IN_PROGRESS","FQ1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434" s="3" t="e">
        <f ca="1">_xll.BDH($C$428,"INVTRY_FINISHED_GOODS","FQ1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434" s="3" t="e">
        <f ca="1">_xll.BDH($C$428,"BS_OTHER_INV","FQ1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435" spans="1:113" x14ac:dyDescent="0.3">
      <c r="A435" s="6"/>
      <c r="B435" s="6"/>
      <c r="C435" s="6"/>
      <c r="D435" s="6"/>
      <c r="E435" t="s">
        <v>79</v>
      </c>
      <c r="F435" t="e">
        <f ca="1">_xll.BDH($C$428,"RETURN_COM_EQY","FQ2 2015","FQ2 2015","Currency=INR","Period=FQ","BEST_FPERIOD_OVERRIDE=FQ","FILING_STATUS=OR","EQY_CONSOLIDATED=Y","FA_ADJUSTED=GAAP","Sort=A","Dates=H","DateFormat=P","Fill=—","Direction=H","UseDPDF=Y")</f>
        <v>#NAME?</v>
      </c>
      <c r="G435" t="e">
        <f ca="1">_xll.BDH($C$428,"RETURN_ON_ASSET","FQ2 2015","FQ2 2015","Currency=INR","Period=FQ","BEST_FPERIOD_OVERRIDE=FQ","FILING_STATUS=OR","EQY_CONSOLIDATED=Y","FA_ADJUSTED=GAAP","Sort=A","Dates=H","DateFormat=P","Fill=—","Direction=H","UseDPDF=Y")</f>
        <v>#NAME?</v>
      </c>
      <c r="H435" t="e">
        <f ca="1">_xll.BDH($C$428,"RETURN_ON_CAP","FQ2 2015","FQ2 2015","Currency=INR","Period=FQ","BEST_FPERIOD_OVERRIDE=FQ","FILING_STATUS=OR","EQY_CONSOLIDATED=Y","FA_ADJUSTED=GAAP","Sort=A","Dates=H","DateFormat=P","Fill=—","Direction=H","UseDPDF=Y")</f>
        <v>#NAME?</v>
      </c>
      <c r="I435" t="e">
        <f ca="1">_xll.BDH($C$428,"RETURN_ON_INV_CAPITAL","FQ2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435" t="e">
        <f ca="1">_xll.BDH($C$428,"EBITDA_TO_REVENUE","FQ2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435" t="e">
        <f ca="1">_xll.BDH($C$428,"OPER_MARGIN","FQ2 2015","FQ2 2015","Currency=INR","Period=FQ","BEST_FPERIOD_OVERRIDE=FQ","FILING_STATUS=OR","EQY_CONSOLIDATED=Y","FA_ADJUSTED=GAAP","Sort=A","Dates=H","DateFormat=P","Fill=—","Direction=H","UseDPDF=Y")</f>
        <v>#NAME?</v>
      </c>
      <c r="L435" t="e">
        <f ca="1">_xll.BDH($C$428,"INCREMENTAL_OPERATING_MARGIN","FQ2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435" t="e">
        <f ca="1">_xll.BDH($C$428,"PRETAX_INC_TO_NET_SALES","FQ2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435" t="e">
        <f ca="1">_xll.BDH($C$428,"INC_BEF_XO_ITEMS_TO_NET_SALES","FQ2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435" t="e">
        <f ca="1">_xll.BDH($C$428,"PROF_MARGIN","FQ2 2015","FQ2 2015","Currency=INR","Period=FQ","BEST_FPERIOD_OVERRIDE=FQ","FILING_STATUS=OR","EQY_CONSOLIDATED=Y","FA_ADJUSTED=GAAP","Sort=A","Dates=H","DateFormat=P","Fill=—","Direction=H","UseDPDF=Y")</f>
        <v>#NAME?</v>
      </c>
      <c r="P435" t="e">
        <f ca="1">_xll.BDH($C$428,"NET_INCOME_TO_COMMON_MARGIN","FQ2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435" t="e">
        <f ca="1">_xll.BDH($C$428,"EFF_TAX_RATE","FQ2 2015","FQ2 2015","Currency=INR","Period=FQ","BEST_FPERIOD_OVERRIDE=FQ","FILING_STATUS=OR","EQY_CONSOLIDATED=Y","FA_ADJUSTED=GAAP","Sort=A","Dates=H","DateFormat=P","Fill=—","Direction=H","UseDPDF=Y")</f>
        <v>#NAME?</v>
      </c>
      <c r="R435" t="e">
        <f ca="1">_xll.BDH($C$428,"DVD_PAYOUT_RATIO","FQ2 2015","FQ2 2015","Currency=INR","Period=FQ","BEST_FPERIOD_OVERRIDE=FQ","FILING_STATUS=OR","EQY_CONSOLIDATED=Y","FA_ADJUSTED=GAAP","Sort=A","Dates=H","DateFormat=P","Fill=—","Direction=H","UseDPDF=Y")</f>
        <v>#NAME?</v>
      </c>
      <c r="S435" t="e">
        <f ca="1">_xll.BDH($C$428,"SUSTAIN_GROWTH_RT","FQ2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435" s="2" t="e">
        <f ca="1">_xll.BDH($C$428,"SALES_GROWTH","FQ2 2015","FQ2 2015","Currency=INR","Period=FQ","BEST_FPERIOD_OVERRIDE=FQ","FILING_STATUS=OR","EQY_CONSOLIDATED=Y","FA_ADJUSTED=GAAP","Sort=A","Dates=H","DateFormat=P","Fill=—","Direction=H","UseDPDF=Y")</f>
        <v>#NAME?</v>
      </c>
      <c r="U435" s="2" t="e">
        <f ca="1">_xll.BDH($C$428,"EBITDA_GROWTH","FQ2 2015","FQ2 2015","Currency=INR","Period=FQ","BEST_FPERIOD_OVERRIDE=FQ","FILING_STATUS=OR","EQY_CONSOLIDATED=Y","FA_ADJUSTED=GAAP","Sort=A","Dates=H","DateFormat=P","Fill=—","Direction=H","UseDPDF=Y")</f>
        <v>#NAME?</v>
      </c>
      <c r="V435" s="2" t="e">
        <f ca="1">_xll.BDH($C$428,"OPER_INC_GROWTH","FQ2 2015","FQ2 2015","Currency=INR","Period=FQ","BEST_FPERIOD_OVERRIDE=FQ","FILING_STATUS=OR","EQY_CONSOLIDATED=Y","FA_ADJUSTED=GAAP","Sort=A","Dates=H","DateFormat=P","Fill=—","Direction=H","UseDPDF=Y")</f>
        <v>#NAME?</v>
      </c>
      <c r="W435" s="2" t="e">
        <f ca="1">_xll.BDH($C$428,"EARN_FOR_COM_GROWTH","FQ2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435" s="2" t="e">
        <f ca="1">_xll.BDH($C$428,"DILUTED_EPS_AFT_XO_ITEMS_GROWTH","FQ2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435" s="2" t="e">
        <f ca="1">_xll.BDH($C$428,"DIVIDEND_PER_SHARE_1_YEAR_GROWTH","FQ2 2015","FQ2 2015","Currency=INR","Period=FQ","BEST_FPERIOD_OVERRIDE=FQ","FILING_STATUS=OR","EQY_CONSOLIDATED=Y","Sort=A","Dates=H","DateFormat=P","Fill=—","Direction=H","UseDPDF=Y")</f>
        <v>#NAME?</v>
      </c>
      <c r="Z435" s="2" t="e">
        <f ca="1">_xll.BDH($C$428,"ACCOUNTS_RECEIVABLE_GROWTH","FQ2 2015","FQ2 2015","Currency=INR","Period=FQ","BEST_FPERIOD_OVERRIDE=FQ","FILING_STATUS=OR","EQY_CONSOLIDATED=Y","Sort=A","Dates=H","DateFormat=P","Fill=—","Direction=H","UseDPDF=Y")</f>
        <v>#NAME?</v>
      </c>
      <c r="AA435" s="2" t="e">
        <f ca="1">_xll.BDH($C$428,"INVENTORY_GROWTH","FQ2 2015","FQ2 2015","Currency=INR","Period=FQ","BEST_FPERIOD_OVERRIDE=FQ","FILING_STATUS=OR","EQY_CONSOLIDATED=Y","Sort=A","Dates=H","DateFormat=P","Fill=—","Direction=H","UseDPDF=Y")</f>
        <v>#NAME?</v>
      </c>
      <c r="AB435" s="2" t="e">
        <f ca="1">_xll.BDH($C$428,"NET_FIXED_ASSETS_1_YEAR_GROWTH","FQ2 2015","FQ2 2015","Currency=INR","Period=FQ","BEST_FPERIOD_OVERRIDE=FQ","FILING_STATUS=OR","EQY_CONSOLIDATED=Y","Sort=A","Dates=H","DateFormat=P","Fill=—","Direction=H","UseDPDF=Y")</f>
        <v>#NAME?</v>
      </c>
      <c r="AC435" s="2" t="e">
        <f ca="1">_xll.BDH($C$428,"ASSET_GROWTH","FQ2 2015","FQ2 2015","Currency=INR","Period=FQ","BEST_FPERIOD_OVERRIDE=FQ","FILING_STATUS=OR","EQY_CONSOLIDATED=Y","Sort=A","Dates=H","DateFormat=P","Fill=—","Direction=H","UseDPDF=Y")</f>
        <v>#NAME?</v>
      </c>
      <c r="AD435" s="2" t="e">
        <f ca="1">_xll.BDH($C$428,"MODIFIED_WORK_CAP_GROWTH","FQ2 2015","FQ2 2015","Currency=INR","Period=FQ","BEST_FPERIOD_OVERRIDE=FQ","FILING_STATUS=OR","EQY_CONSOLIDATED=Y","Sort=A","Dates=H","DateFormat=P","Fill=—","Direction=H","UseDPDF=Y")</f>
        <v>#NAME?</v>
      </c>
      <c r="AE435" s="2" t="e">
        <f ca="1">_xll.BDH($C$428,"WORK_CAP_GROWTH","FQ2 2015","FQ2 2015","Currency=INR","Period=FQ","BEST_FPERIOD_OVERRIDE=FQ","FILING_STATUS=OR","EQY_CONSOLIDATED=Y","Sort=A","Dates=H","DateFormat=P","Fill=—","Direction=H","UseDPDF=Y")</f>
        <v>#NAME?</v>
      </c>
      <c r="AF435" s="2" t="e">
        <f ca="1">_xll.BDH($C$428,"ACCOUNTS_PAYABLE_GROWTH_1YR","FQ2 2015","FQ2 2015","Currency=INR","Period=FQ","BEST_FPERIOD_OVERRIDE=FQ","FILING_STATUS=OR","EQY_CONSOLIDATED=Y","Sort=A","Dates=H","DateFormat=P","Fill=—","Direction=H","UseDPDF=Y")</f>
        <v>#NAME?</v>
      </c>
      <c r="AG435" s="2" t="e">
        <f ca="1">_xll.BDH($C$428,"SHORT_TERM_DEBT_1_YEAR_GROWTH","FQ2 2015","FQ2 2015","Currency=INR","Period=FQ","BEST_FPERIOD_OVERRIDE=FQ","FILING_STATUS=OR","EQY_CONSOLIDATED=Y","Sort=A","Dates=H","DateFormat=P","Fill=—","Direction=H","UseDPDF=Y")</f>
        <v>#NAME?</v>
      </c>
      <c r="AH435" s="2" t="e">
        <f ca="1">_xll.BDH($C$428,"TOTAL_DEBT_1_YEAR_GROWTH","FQ2 2015","FQ2 2015","Currency=INR","Period=FQ","BEST_FPERIOD_OVERRIDE=FQ","FILING_STATUS=OR","EQY_CONSOLIDATED=Y","Sort=A","Dates=H","DateFormat=P","Fill=—","Direction=H","UseDPDF=Y")</f>
        <v>#NAME?</v>
      </c>
      <c r="AI435" s="2" t="e">
        <f ca="1">_xll.BDH($C$428,"TOTAL_EQUITY_1_YEAR_GROWTH","FQ2 2015","FQ2 2015","Currency=INR","Period=FQ","BEST_FPERIOD_OVERRIDE=FQ","FILING_STATUS=OR","EQY_CONSOLIDATED=Y","Sort=A","Dates=H","DateFormat=P","Fill=—","Direction=H","UseDPDF=Y")</f>
        <v>#NAME?</v>
      </c>
      <c r="AJ435" s="2" t="e">
        <f ca="1">_xll.BDH($C$428,"GROWTH_IN_CAP","FQ2 2015","FQ2 2015","Currency=INR","Period=FQ","BEST_FPERIOD_OVERRIDE=FQ","FILING_STATUS=OR","EQY_CONSOLIDATED=Y","Sort=A","Dates=H","DateFormat=P","Fill=—","Direction=H","UseDPDF=Y")</f>
        <v>#NAME?</v>
      </c>
      <c r="AK435" s="2" t="e">
        <f ca="1">_xll.BDH($C$428,"BVPS_GROWTH","FQ2 2015","FQ2 2015","Currency=INR","Period=FQ","BEST_FPERIOD_OVERRIDE=FQ","FILING_STATUS=OR","EQY_CONSOLIDATED=Y","Sort=A","Dates=H","DateFormat=P","Fill=—","Direction=H","UseDPDF=Y")</f>
        <v>#NAME?</v>
      </c>
      <c r="AL435" s="2" t="e">
        <f ca="1">_xll.BDH($C$428,"CASH_FLOW_GROWTH","FQ2 2015","FQ2 2015","Currency=INR","Period=FQ","BEST_FPERIOD_OVERRIDE=FQ","FILING_STATUS=OR","EQY_CONSOLIDATED=Y","Sort=A","Dates=H","DateFormat=P","Fill=—","Direction=H","UseDPDF=Y")</f>
        <v>#NAME?</v>
      </c>
      <c r="AM435" s="2" t="e">
        <f ca="1">_xll.BDH($C$428,"GEO_GROW_NET_SALES","FQ2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435" s="2" t="e">
        <f ca="1">_xll.BDH($C$428,"GEO_GROW_EBITDA","FQ2 2015","FQ2 2015","Currency=INR","Period=FQ","BEST_FPERIOD_OVERRIDE=FQ","FILING_STATUS=OR","EQY_CONSOLIDATED=Y","FA_ADJUSTED=GAAP","Sort=A","Dates=H","DateFormat=P","Fill=—","Direction=H","UseDPDF=Y")</f>
        <v>#NAME?</v>
      </c>
      <c r="AO435" s="2" t="e">
        <f ca="1">_xll.BDH($C$428,"GEO_GROW_OPER_INC","FQ2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435" s="2" t="e">
        <f ca="1">_xll.BDH($C$428,"NET_INCOME_TO_COMMON_5_YR_GROWTH","FQ2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435" s="2" t="e">
        <f ca="1">_xll.BDH($C$428,"5Y_GEO_GROWTH_DILUTED_EPS","FQ2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435" s="2" t="e">
        <f ca="1">_xll.BDH($C$428,"GEO_GROW_DVD_PER_SH","FQ2 2015","FQ2 2015","Currency=INR","Period=FQ","BEST_FPERIOD_OVERRIDE=FQ","FILING_STATUS=OR","EQY_CONSOLIDATED=Y","Sort=A","Dates=H","DateFormat=P","Fill=—","Direction=H","UseDPDF=Y")</f>
        <v>#NAME?</v>
      </c>
      <c r="AS435" s="2" t="e">
        <f ca="1">_xll.BDH($C$428,"ACCOUNTS_RECEIVABLE_5_YR_GROWTH","FQ2 2015","FQ2 2015","Currency=INR","Period=FQ","BEST_FPERIOD_OVERRIDE=FQ","FILING_STATUS=OR","EQY_CONSOLIDATED=Y","Sort=A","Dates=H","DateFormat=P","Fill=—","Direction=H","UseDPDF=Y")</f>
        <v>#NAME?</v>
      </c>
      <c r="AT435" s="2" t="e">
        <f ca="1">_xll.BDH($C$428,"INVENTORY_5_YEAR_GROWTH","FQ2 2015","FQ2 2015","Currency=INR","Period=FQ","BEST_FPERIOD_OVERRIDE=FQ","FILING_STATUS=OR","EQY_CONSOLIDATED=Y","Sort=A","Dates=H","DateFormat=P","Fill=—","Direction=H","UseDPDF=Y")</f>
        <v>#NAME?</v>
      </c>
      <c r="AU435" s="2" t="e">
        <f ca="1">_xll.BDH($C$428,"NET_FIXED_ASSETS_5_YEAR_GROWTH","FQ2 2015","FQ2 2015","Currency=INR","Period=FQ","BEST_FPERIOD_OVERRIDE=FQ","FILING_STATUS=OR","EQY_CONSOLIDATED=Y","Sort=A","Dates=H","DateFormat=P","Fill=—","Direction=H","UseDPDF=Y")</f>
        <v>#NAME?</v>
      </c>
      <c r="AV435" s="2" t="e">
        <f ca="1">_xll.BDH($C$428,"GEO_GROW_TOT_ASSET","FQ2 2015","FQ2 2015","Currency=INR","Period=FQ","BEST_FPERIOD_OVERRIDE=FQ","FILING_STATUS=OR","EQY_CONSOLIDATED=Y","Sort=A","Dates=H","DateFormat=P","Fill=—","Direction=H","UseDPDF=Y")</f>
        <v>#NAME?</v>
      </c>
      <c r="AW435" s="2" t="e">
        <f ca="1">_xll.BDH($C$428,"MODIFIED_WORKING_CPTL_5YR_GRWTH","FQ2 2015","FQ2 2015","Currency=INR","Period=FQ","BEST_FPERIOD_OVERRIDE=FQ","FILING_STATUS=OR","EQY_CONSOLIDATED=Y","Sort=A","Dates=H","DateFormat=P","Fill=—","Direction=H","UseDPDF=Y")</f>
        <v>#NAME?</v>
      </c>
      <c r="AX435" s="2" t="e">
        <f ca="1">_xll.BDH($C$428,"WORKING_CAPITAL_5_YEAR_GROWTH","FQ2 2015","FQ2 2015","Currency=INR","Period=FQ","BEST_FPERIOD_OVERRIDE=FQ","FILING_STATUS=OR","EQY_CONSOLIDATED=Y","Sort=A","Dates=H","DateFormat=P","Fill=—","Direction=H","UseDPDF=Y")</f>
        <v>#NAME?</v>
      </c>
      <c r="AY435" s="2" t="e">
        <f ca="1">_xll.BDH($C$428,"ACCOUNTS_PAYABLE_5_YEAR_GROWTH","FQ2 2015","FQ2 2015","Currency=INR","Period=FQ","BEST_FPERIOD_OVERRIDE=FQ","FILING_STATUS=OR","EQY_CONSOLIDATED=Y","Sort=A","Dates=H","DateFormat=P","Fill=—","Direction=H","UseDPDF=Y")</f>
        <v>#NAME?</v>
      </c>
      <c r="AZ435" s="2" t="e">
        <f ca="1">_xll.BDH($C$428,"SHORT_TERM_DEBT_5_YEAR_GROWTH","FQ2 2015","FQ2 2015","Currency=INR","Period=FQ","BEST_FPERIOD_OVERRIDE=FQ","FILING_STATUS=OR","EQY_CONSOLIDATED=Y","Sort=A","Dates=H","DateFormat=P","Fill=—","Direction=H","UseDPDF=Y")</f>
        <v>#NAME?</v>
      </c>
      <c r="BA435" s="2" t="e">
        <f ca="1">_xll.BDH($C$428,"TOTAL_DEBT_5_YEAR_GROWTH","FQ2 2015","FQ2 2015","Currency=INR","Period=FQ","BEST_FPERIOD_OVERRIDE=FQ","FILING_STATUS=OR","EQY_CONSOLIDATED=Y","Sort=A","Dates=H","DateFormat=P","Fill=—","Direction=H","UseDPDF=Y")</f>
        <v>#NAME?</v>
      </c>
      <c r="BB435" s="2" t="e">
        <f ca="1">_xll.BDH($C$428,"GEO_GROW_TOT_SHRHLDR_EQY","FQ2 2015","FQ2 2015","Currency=INR","Period=FQ","BEST_FPERIOD_OVERRIDE=FQ","FILING_STATUS=OR","EQY_CONSOLIDATED=Y","Sort=A","Dates=H","DateFormat=P","Fill=—","Direction=H","UseDPDF=Y")</f>
        <v>#NAME?</v>
      </c>
      <c r="BC435" s="2" t="e">
        <f ca="1">_xll.BDH($C$428,"TOTAL_CAPITAL_5_YEAR_GROWTH","FQ2 2015","FQ2 2015","Currency=INR","Period=FQ","BEST_FPERIOD_OVERRIDE=FQ","FILING_STATUS=OR","EQY_CONSOLIDATED=Y","Sort=A","Dates=H","DateFormat=P","Fill=—","Direction=H","UseDPDF=Y")</f>
        <v>#NAME?</v>
      </c>
      <c r="BD435" s="2" t="e">
        <f ca="1">_xll.BDH($C$428,"GEO_GROW_BOOK_VAL","FQ2 2015","FQ2 2015","Currency=INR","Period=FQ","BEST_FPERIOD_OVERRIDE=FQ","FILING_STATUS=OR","EQY_CONSOLIDATED=Y","Sort=A","Dates=H","DateFormat=P","Fill=—","Direction=H","UseDPDF=Y")</f>
        <v>#NAME?</v>
      </c>
      <c r="BE435" s="2" t="e">
        <f ca="1">_xll.BDH($C$428,"GEO_GROW_CASH_OPER_ACT","FQ2 2015","FQ2 2015","Currency=INR","Period=FQ","BEST_FPERIOD_OVERRIDE=FQ","FILING_STATUS=OR","EQY_CONSOLIDATED=Y","Sort=A","Dates=H","DateFormat=P","Fill=—","Direction=H","UseDPDF=Y")</f>
        <v>#NAME?</v>
      </c>
      <c r="BF435" s="2" t="e">
        <f ca="1">_xll.BDH($C$428,"REVENUE_SEQUENTIAL_GROWTH","FQ2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435" s="2" t="e">
        <f ca="1">_xll.BDH($C$428,"EBITDA_SEQUENTIAL_GROWTH","FQ2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435" s="2" t="e">
        <f ca="1">_xll.BDH($C$428,"OPERATING_INCOME_SEQ_GROWTH","FQ2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435" s="2" t="e">
        <f ca="1">_xll.BDH($C$428,"NET_INCOME_TO_COMMON_SEQ_GROWTH","FQ2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435" s="2" t="e">
        <f ca="1">_xll.BDH($C$428,"EPS_DILUTED_SEQUENTIAL_GROWTH","FQ2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435" s="2" t="e">
        <f ca="1">_xll.BDH($C$428,"DPS_SEQUENTIAL_GROWTH","FQ2 2015","FQ2 2015","Currency=INR","Period=FQ","BEST_FPERIOD_OVERRIDE=FQ","FILING_STATUS=OR","EQY_CONSOLIDATED=Y","Sort=A","Dates=H","DateFormat=P","Fill=—","Direction=H","UseDPDF=Y")</f>
        <v>#NAME?</v>
      </c>
      <c r="BL435" s="2" t="e">
        <f ca="1">_xll.BDH($C$428,"ACCOUNTS_RECEIVABLE_SEQ_GROWTH","FQ2 2015","FQ2 2015","Currency=INR","Period=FQ","BEST_FPERIOD_OVERRIDE=FQ","FILING_STATUS=OR","EQY_CONSOLIDATED=Y","Sort=A","Dates=H","DateFormat=P","Fill=—","Direction=H","UseDPDF=Y")</f>
        <v>#NAME?</v>
      </c>
      <c r="BM435" s="2" t="e">
        <f ca="1">_xll.BDH($C$428,"INVENTORY_SEQUENTIAL_GROWTH","FQ2 2015","FQ2 2015","Currency=INR","Period=FQ","BEST_FPERIOD_OVERRIDE=FQ","FILING_STATUS=OR","EQY_CONSOLIDATED=Y","Sort=A","Dates=H","DateFormat=P","Fill=—","Direction=H","UseDPDF=Y")</f>
        <v>#NAME?</v>
      </c>
      <c r="BN435" s="2" t="e">
        <f ca="1">_xll.BDH($C$428,"FIXED_ASSETS_SEQUENTIAL_GROWTH","FQ2 2015","FQ2 2015","Currency=INR","Period=FQ","BEST_FPERIOD_OVERRIDE=FQ","FILING_STATUS=OR","EQY_CONSOLIDATED=Y","Sort=A","Dates=H","DateFormat=P","Fill=—","Direction=H","UseDPDF=Y")</f>
        <v>#NAME?</v>
      </c>
      <c r="BO435" s="2" t="e">
        <f ca="1">_xll.BDH($C$428,"TOTAL_ASSETS_SEQUENTIAL_GROWTH","FQ2 2015","FQ2 2015","Currency=INR","Period=FQ","BEST_FPERIOD_OVERRIDE=FQ","FILING_STATUS=OR","EQY_CONSOLIDATED=Y","Sort=A","Dates=H","DateFormat=P","Fill=—","Direction=H","UseDPDF=Y")</f>
        <v>#NAME?</v>
      </c>
      <c r="BP435" s="2" t="e">
        <f ca="1">_xll.BDH($C$428,"MODIFIED_WORKING_CPTL_SEQ_GRWTH","FQ2 2015","FQ2 2015","Currency=INR","Period=FQ","BEST_FPERIOD_OVERRIDE=FQ","FILING_STATUS=OR","EQY_CONSOLIDATED=Y","Sort=A","Dates=H","DateFormat=P","Fill=—","Direction=H","UseDPDF=Y")</f>
        <v>#NAME?</v>
      </c>
      <c r="BQ435" s="2" t="e">
        <f ca="1">_xll.BDH($C$428,"WORKING_CAPITAL_SEQ_GROWTH","FQ2 2015","FQ2 2015","Currency=INR","Period=FQ","BEST_FPERIOD_OVERRIDE=FQ","FILING_STATUS=OR","EQY_CONSOLIDATED=Y","Sort=A","Dates=H","DateFormat=P","Fill=—","Direction=H","UseDPDF=Y")</f>
        <v>#NAME?</v>
      </c>
      <c r="BR435" s="2" t="e">
        <f ca="1">_xll.BDH($C$428,"ACCOUNTS_PAYABLE_SEQ_GROWTH","FQ2 2015","FQ2 2015","Currency=INR","Period=FQ","BEST_FPERIOD_OVERRIDE=FQ","FILING_STATUS=OR","EQY_CONSOLIDATED=Y","Sort=A","Dates=H","DateFormat=P","Fill=—","Direction=H","UseDPDF=Y")</f>
        <v>#NAME?</v>
      </c>
      <c r="BS435" s="2" t="e">
        <f ca="1">_xll.BDH($C$428,"ST_DEBT_SEQUENTIAL_GROWTH","FQ2 2015","FQ2 2015","Currency=INR","Period=FQ","BEST_FPERIOD_OVERRIDE=FQ","FILING_STATUS=OR","EQY_CONSOLIDATED=Y","Sort=A","Dates=H","DateFormat=P","Fill=—","Direction=H","UseDPDF=Y")</f>
        <v>#NAME?</v>
      </c>
      <c r="BT435" s="2" t="e">
        <f ca="1">_xll.BDH($C$428,"TOTAL_DEBT_SEQUENTIAL_GROWTH","FQ2 2015","FQ2 2015","Currency=INR","Period=FQ","BEST_FPERIOD_OVERRIDE=FQ","FILING_STATUS=OR","EQY_CONSOLIDATED=Y","Sort=A","Dates=H","DateFormat=P","Fill=—","Direction=H","UseDPDF=Y")</f>
        <v>#NAME?</v>
      </c>
      <c r="BU435" s="2" t="e">
        <f ca="1">_xll.BDH($C$428,"TOTAL_EQUITY_SEQUENTIAL_GROWTH","FQ2 2015","FQ2 2015","Currency=INR","Period=FQ","BEST_FPERIOD_OVERRIDE=FQ","FILING_STATUS=OR","EQY_CONSOLIDATED=Y","Sort=A","Dates=H","DateFormat=P","Fill=—","Direction=H","UseDPDF=Y")</f>
        <v>#NAME?</v>
      </c>
      <c r="BV435" s="2" t="e">
        <f ca="1">_xll.BDH($C$428,"TOTAL_CAPITAL_SEQUENTIAL_GROWTH","FQ2 2015","FQ2 2015","Currency=INR","Period=FQ","BEST_FPERIOD_OVERRIDE=FQ","FILING_STATUS=OR","EQY_CONSOLIDATED=Y","Sort=A","Dates=H","DateFormat=P","Fill=—","Direction=H","UseDPDF=Y")</f>
        <v>#NAME?</v>
      </c>
      <c r="BW435" s="2" t="e">
        <f ca="1">_xll.BDH($C$428,"BPS_SEQUENTIAL_GROWTH","FQ2 2015","FQ2 2015","Currency=INR","Period=FQ","BEST_FPERIOD_OVERRIDE=FQ","FILING_STATUS=OR","EQY_CONSOLIDATED=Y","Sort=A","Dates=H","DateFormat=P","Fill=—","Direction=H","UseDPDF=Y")</f>
        <v>#NAME?</v>
      </c>
      <c r="BX435" s="2" t="e">
        <f ca="1">_xll.BDH($C$428,"CFO_SEQUENTIAL_GROWTH","FQ2 2015","FQ2 2015","Currency=INR","Period=FQ","BEST_FPERIOD_OVERRIDE=FQ","FILING_STATUS=OR","EQY_CONSOLIDATED=Y","Sort=A","Dates=H","DateFormat=P","Fill=—","Direction=H","UseDPDF=Y")</f>
        <v>#NAME?</v>
      </c>
      <c r="BY435" s="3" t="e">
        <f ca="1">_xll.BDH($C$428,"SHORT_AND_LONG_TERM_DEBT","FQ2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435" s="3" t="e">
        <f ca="1">_xll.BDH($C$428,"BS_ST_BORROW","FQ2 2015","FQ2 2015","Currency=INR","Period=FQ","BEST_FPERIOD_OVERRIDE=FQ","FILING_STATUS=OR","EQY_CONSOLIDATED=Y","SCALING_FORMAT=MLN","Sort=A","Dates=H","DateFormat=P","Fill=—","Direction=H","UseDPDF=Y")</f>
        <v>#NAME?</v>
      </c>
      <c r="CA435" s="3" t="e">
        <f ca="1">_xll.BDH($C$428,"BS_LT_BORROW","FQ2 2015","FQ2 2015","Currency=INR","Period=FQ","BEST_FPERIOD_OVERRIDE=FQ","FILING_STATUS=OR","EQY_CONSOLIDATED=Y","SCALING_FORMAT=MLN","Sort=A","Dates=H","DateFormat=P","Fill=—","Direction=H","UseDPDF=Y")</f>
        <v>#NAME?</v>
      </c>
      <c r="CB435" s="2" t="e">
        <f ca="1">_xll.BDH($C$428,"TOT_DEBT_TO_EBITDA","FQ2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435" s="2" t="e">
        <f ca="1">_xll.BDH($C$428,"NET_DEBT_TO_EBITDA","FQ2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435" s="2" t="e">
        <f ca="1">_xll.BDH($C$428,"TOTAL_DEBT_TO_EBIT","FQ2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435" s="2" t="e">
        <f ca="1">_xll.BDH($C$428,"NET_DEBT_TO_EBIT","FQ2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435" s="2" t="e">
        <f ca="1">_xll.BDH($C$428,"EBITDA_TO_INTEREST_EXPN","FQ2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435" s="2" t="e">
        <f ca="1">_xll.BDH($C$428,"COM_EQY_TO_TOT_ASSET","FQ2 2015","FQ2 2015","Currency=INR","Period=FQ","BEST_FPERIOD_OVERRIDE=FQ","FILING_STATUS=OR","EQY_CONSOLIDATED=Y","Sort=A","Dates=H","DateFormat=P","Fill=—","Direction=H","UseDPDF=Y")</f>
        <v>#NAME?</v>
      </c>
      <c r="CH435" s="2" t="e">
        <f ca="1">_xll.BDH($C$428,"LT_DEBT_TO_TOT_EQY","FQ2 2015","FQ2 2015","Currency=INR","Period=FQ","BEST_FPERIOD_OVERRIDE=FQ","FILING_STATUS=OR","EQY_CONSOLIDATED=Y","Sort=A","Dates=H","DateFormat=P","Fill=—","Direction=H","UseDPDF=Y")</f>
        <v>#NAME?</v>
      </c>
      <c r="CI435" s="2" t="e">
        <f ca="1">_xll.BDH($C$428,"LT_DEBT_TO_TOT_CAP","FQ2 2015","FQ2 2015","Currency=INR","Period=FQ","BEST_FPERIOD_OVERRIDE=FQ","FILING_STATUS=OR","EQY_CONSOLIDATED=Y","Sort=A","Dates=H","DateFormat=P","Fill=—","Direction=H","UseDPDF=Y")</f>
        <v>#NAME?</v>
      </c>
      <c r="CJ435" s="2" t="e">
        <f ca="1">_xll.BDH($C$428,"LT_DEBT_TO_TOT_ASSET","FQ2 2015","FQ2 2015","Currency=INR","Period=FQ","BEST_FPERIOD_OVERRIDE=FQ","FILING_STATUS=OR","EQY_CONSOLIDATED=Y","Sort=A","Dates=H","DateFormat=P","Fill=—","Direction=H","UseDPDF=Y")</f>
        <v>#NAME?</v>
      </c>
      <c r="CK435" s="2" t="e">
        <f ca="1">_xll.BDH($C$428,"TOT_DEBT_TO_TOT_EQY","FQ2 2015","FQ2 2015","Currency=INR","Period=FQ","BEST_FPERIOD_OVERRIDE=FQ","FILING_STATUS=OR","EQY_CONSOLIDATED=Y","Sort=A","Dates=H","DateFormat=P","Fill=—","Direction=H","UseDPDF=Y")</f>
        <v>#NAME?</v>
      </c>
      <c r="CL435" s="2" t="e">
        <f ca="1">_xll.BDH($C$428,"TOT_DEBT_TO_TOT_CAP","FQ2 2015","FQ2 2015","Currency=INR","Period=FQ","BEST_FPERIOD_OVERRIDE=FQ","FILING_STATUS=OR","EQY_CONSOLIDATED=Y","Sort=A","Dates=H","DateFormat=P","Fill=—","Direction=H","UseDPDF=Y")</f>
        <v>#NAME?</v>
      </c>
      <c r="CM435" s="2" t="e">
        <f ca="1">_xll.BDH($C$428,"TOT_DEBT_TO_TOT_ASSET","FQ2 2015","FQ2 2015","Currency=INR","Period=FQ","BEST_FPERIOD_OVERRIDE=FQ","FILING_STATUS=OR","EQY_CONSOLIDATED=Y","Sort=A","Dates=H","DateFormat=P","Fill=—","Direction=H","UseDPDF=Y")</f>
        <v>#NAME?</v>
      </c>
      <c r="CN435" s="2" t="e">
        <f ca="1">_xll.BDH($C$428,"NET_DEBT_TO_SHRHLDR_EQTY","FQ2 2015","FQ2 2015","Currency=INR","Period=FQ","BEST_FPERIOD_OVERRIDE=FQ","FILING_STATUS=OR","EQY_CONSOLIDATED=Y","Sort=A","Dates=H","DateFormat=P","Fill=—","Direction=H","UseDPDF=Y")</f>
        <v>#NAME?</v>
      </c>
      <c r="CO435" s="2" t="e">
        <f ca="1">_xll.BDH($C$428,"NET_DEBT_%_CAPITAL","FQ2 2015","FQ2 2015","Currency=INR","Period=FQ","BEST_FPERIOD_OVERRIDE=FQ","FILING_STATUS=OR","EQY_CONSOLIDATED=Y","Sort=A","Dates=H","DateFormat=P","Fill=—","Direction=H","UseDPDF=Y")</f>
        <v>#NAME?</v>
      </c>
      <c r="CP435" s="3" t="e">
        <f ca="1">_xll.BDH($C$428,"EBITDA","FQ2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435" s="3" t="e">
        <f ca="1">_xll.BDH($C$428,"EBITDA_AFTER_CAPEX","FQ2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435" s="3" t="e">
        <f ca="1">_xll.BDH($C$428,"IS_OPER_INC","FQ2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435" s="2" t="e">
        <f ca="1">_xll.BDH($C$428,"CASH_RATIO","FQ2 2015","FQ2 2015","Currency=INR","Period=FQ","BEST_FPERIOD_OVERRIDE=FQ","FILING_STATUS=OR","EQY_CONSOLIDATED=Y","Sort=A","Dates=H","DateFormat=P","Fill=—","Direction=H","UseDPDF=Y")</f>
        <v>#NAME?</v>
      </c>
      <c r="CT435" s="2" t="e">
        <f ca="1">_xll.BDH($C$428,"CUR_RATIO","FQ2 2015","FQ2 2015","Currency=INR","Period=FQ","BEST_FPERIOD_OVERRIDE=FQ","FILING_STATUS=OR","EQY_CONSOLIDATED=Y","Sort=A","Dates=H","DateFormat=P","Fill=—","Direction=H","UseDPDF=Y")</f>
        <v>#NAME?</v>
      </c>
      <c r="CU435" s="2" t="e">
        <f ca="1">_xll.BDH($C$428,"QUICK_RATIO","FQ2 2015","FQ2 2015","Currency=INR","Period=FQ","BEST_FPERIOD_OVERRIDE=FQ","FILING_STATUS=OR","EQY_CONSOLIDATED=Y","Sort=A","Dates=H","DateFormat=P","Fill=—","Direction=H","UseDPDF=Y")</f>
        <v>#NAME?</v>
      </c>
      <c r="CV435" s="2" t="e">
        <f ca="1">_xll.BDH($C$428,"ALTMAN_Z_SCORE","FQ2 2015","FQ2 2015","Currency=INR","Period=FQ","BEST_FPERIOD_OVERRIDE=FQ","FILING_STATUS=OR","EQY_CONSOLIDATED=Y","Sort=A","Dates=H","DateFormat=P","Fill=—","Direction=H","UseDPDF=Y")</f>
        <v>#NAME?</v>
      </c>
      <c r="CW435" s="4" t="e">
        <f ca="1">_xll.BDH($C$428,"ACCT_RCV_TURN","FQ2 2015","FQ2 2015","Currency=INR","Period=FQ","BEST_FPERIOD_OVERRIDE=FQ","FILING_STATUS=OR","EQY_CONSOLIDATED=Y","FA_ADJUSTED=GAAP","Sort=A","Dates=H","DateFormat=P","Fill=—","Direction=H","UseDPDF=Y")</f>
        <v>#NAME?</v>
      </c>
      <c r="CX435" s="2" t="e">
        <f ca="1">_xll.BDH($C$428,"ACCT_RCV_DAYS","FQ2 2015","FQ2 2015","Currency=INR","Period=FQ","BEST_FPERIOD_OVERRIDE=FQ","FILING_STATUS=OR","EQY_CONSOLIDATED=Y","FA_ADJUSTED=GAAP","Sort=A","Dates=H","DateFormat=P","Fill=—","Direction=H","UseDPDF=Y")</f>
        <v>#NAME?</v>
      </c>
      <c r="CY435" s="4" t="e">
        <f ca="1">_xll.BDH($C$428,"INVENT_TURN","FQ2 2015","FQ2 2015","Currency=INR","Period=FQ","BEST_FPERIOD_OVERRIDE=FQ","FILING_STATUS=OR","EQY_CONSOLIDATED=Y","FA_ADJUSTED=GAAP","Sort=A","Dates=H","DateFormat=P","Fill=—","Direction=H","UseDPDF=Y")</f>
        <v>#NAME?</v>
      </c>
      <c r="CZ435" s="2" t="e">
        <f ca="1">_xll.BDH($C$428,"INVENT_DAYS","FQ2 2015","FQ2 2015","Currency=INR","Period=FQ","BEST_FPERIOD_OVERRIDE=FQ","FILING_STATUS=OR","EQY_CONSOLIDATED=Y","FA_ADJUSTED=GAAP","Sort=A","Dates=H","DateFormat=P","Fill=—","Direction=H","UseDPDF=Y")</f>
        <v>#NAME?</v>
      </c>
      <c r="DA435" s="4" t="e">
        <f ca="1">_xll.BDH($C$428,"ACCOUNTS_PAYABLE_TURNOVER","FQ2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435" s="2" t="e">
        <f ca="1">_xll.BDH($C$428,"ACCOUNTS_PAYABLE_TURNOVER_DAYS","FQ2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435" s="4" t="e">
        <f ca="1">_xll.BDH($C$428,"CASH_CONVERSION_CYCLE","FQ2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435" s="4" t="e">
        <f ca="1">_xll.BDH($C$428,"INV_TO_CASH_DAYS","FQ2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435" s="5" t="e">
        <f ca="1">_xll.BDH($C$428,"BS_INVENTORIES","FQ2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435" s="3" t="e">
        <f ca="1">_xll.BDH($C$428,"INVTRY_RAW_MATERIALS","FQ2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435" s="3" t="e">
        <f ca="1">_xll.BDH($C$428,"INVTRY_IN_PROGRESS","FQ2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435" s="3" t="e">
        <f ca="1">_xll.BDH($C$428,"INVTRY_FINISHED_GOODS","FQ2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435" s="3" t="e">
        <f ca="1">_xll.BDH($C$428,"BS_OTHER_INV","FQ2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436" spans="1:113" x14ac:dyDescent="0.3">
      <c r="A436" s="6"/>
      <c r="B436" s="6"/>
      <c r="C436" s="6"/>
      <c r="D436" s="6"/>
      <c r="E436" t="s">
        <v>80</v>
      </c>
      <c r="F436" t="e">
        <f ca="1">_xll.BDH($C$428,"RETURN_COM_EQY","FQ3 2015","FQ3 2015","Currency=INR","Period=FQ","BEST_FPERIOD_OVERRIDE=FQ","FILING_STATUS=OR","EQY_CONSOLIDATED=Y","FA_ADJUSTED=GAAP","Sort=A","Dates=H","DateFormat=P","Fill=—","Direction=H","UseDPDF=Y")</f>
        <v>#NAME?</v>
      </c>
      <c r="G436" t="e">
        <f ca="1">_xll.BDH($C$428,"RETURN_ON_ASSET","FQ3 2015","FQ3 2015","Currency=INR","Period=FQ","BEST_FPERIOD_OVERRIDE=FQ","FILING_STATUS=OR","EQY_CONSOLIDATED=Y","FA_ADJUSTED=GAAP","Sort=A","Dates=H","DateFormat=P","Fill=—","Direction=H","UseDPDF=Y")</f>
        <v>#NAME?</v>
      </c>
      <c r="H436" t="e">
        <f ca="1">_xll.BDH($C$428,"RETURN_ON_CAP","FQ3 2015","FQ3 2015","Currency=INR","Period=FQ","BEST_FPERIOD_OVERRIDE=FQ","FILING_STATUS=OR","EQY_CONSOLIDATED=Y","FA_ADJUSTED=GAAP","Sort=A","Dates=H","DateFormat=P","Fill=—","Direction=H","UseDPDF=Y")</f>
        <v>#NAME?</v>
      </c>
      <c r="I436" t="e">
        <f ca="1">_xll.BDH($C$428,"RETURN_ON_INV_CAPITAL","FQ3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436" t="e">
        <f ca="1">_xll.BDH($C$428,"EBITDA_TO_REVENUE","FQ3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436" t="e">
        <f ca="1">_xll.BDH($C$428,"OPER_MARGIN","FQ3 2015","FQ3 2015","Currency=INR","Period=FQ","BEST_FPERIOD_OVERRIDE=FQ","FILING_STATUS=OR","EQY_CONSOLIDATED=Y","FA_ADJUSTED=GAAP","Sort=A","Dates=H","DateFormat=P","Fill=—","Direction=H","UseDPDF=Y")</f>
        <v>#NAME?</v>
      </c>
      <c r="L436" t="e">
        <f ca="1">_xll.BDH($C$428,"INCREMENTAL_OPERATING_MARGIN","FQ3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436" t="e">
        <f ca="1">_xll.BDH($C$428,"PRETAX_INC_TO_NET_SALES","FQ3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436" t="e">
        <f ca="1">_xll.BDH($C$428,"INC_BEF_XO_ITEMS_TO_NET_SALES","FQ3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436" t="e">
        <f ca="1">_xll.BDH($C$428,"PROF_MARGIN","FQ3 2015","FQ3 2015","Currency=INR","Period=FQ","BEST_FPERIOD_OVERRIDE=FQ","FILING_STATUS=OR","EQY_CONSOLIDATED=Y","FA_ADJUSTED=GAAP","Sort=A","Dates=H","DateFormat=P","Fill=—","Direction=H","UseDPDF=Y")</f>
        <v>#NAME?</v>
      </c>
      <c r="P436" t="e">
        <f ca="1">_xll.BDH($C$428,"NET_INCOME_TO_COMMON_MARGIN","FQ3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436" t="e">
        <f ca="1">_xll.BDH($C$428,"EFF_TAX_RATE","FQ3 2015","FQ3 2015","Currency=INR","Period=FQ","BEST_FPERIOD_OVERRIDE=FQ","FILING_STATUS=OR","EQY_CONSOLIDATED=Y","FA_ADJUSTED=GAAP","Sort=A","Dates=H","DateFormat=P","Fill=—","Direction=H","UseDPDF=Y")</f>
        <v>#NAME?</v>
      </c>
      <c r="R436" t="e">
        <f ca="1">_xll.BDH($C$428,"DVD_PAYOUT_RATIO","FQ3 2015","FQ3 2015","Currency=INR","Period=FQ","BEST_FPERIOD_OVERRIDE=FQ","FILING_STATUS=OR","EQY_CONSOLIDATED=Y","FA_ADJUSTED=GAAP","Sort=A","Dates=H","DateFormat=P","Fill=—","Direction=H","UseDPDF=Y")</f>
        <v>#NAME?</v>
      </c>
      <c r="S436" t="e">
        <f ca="1">_xll.BDH($C$428,"SUSTAIN_GROWTH_RT","FQ3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436" s="2" t="e">
        <f ca="1">_xll.BDH($C$428,"SALES_GROWTH","FQ3 2015","FQ3 2015","Currency=INR","Period=FQ","BEST_FPERIOD_OVERRIDE=FQ","FILING_STATUS=OR","EQY_CONSOLIDATED=Y","FA_ADJUSTED=GAAP","Sort=A","Dates=H","DateFormat=P","Fill=—","Direction=H","UseDPDF=Y")</f>
        <v>#NAME?</v>
      </c>
      <c r="U436" s="2" t="e">
        <f ca="1">_xll.BDH($C$428,"EBITDA_GROWTH","FQ3 2015","FQ3 2015","Currency=INR","Period=FQ","BEST_FPERIOD_OVERRIDE=FQ","FILING_STATUS=OR","EQY_CONSOLIDATED=Y","FA_ADJUSTED=GAAP","Sort=A","Dates=H","DateFormat=P","Fill=—","Direction=H","UseDPDF=Y")</f>
        <v>#NAME?</v>
      </c>
      <c r="V436" s="2" t="e">
        <f ca="1">_xll.BDH($C$428,"OPER_INC_GROWTH","FQ3 2015","FQ3 2015","Currency=INR","Period=FQ","BEST_FPERIOD_OVERRIDE=FQ","FILING_STATUS=OR","EQY_CONSOLIDATED=Y","FA_ADJUSTED=GAAP","Sort=A","Dates=H","DateFormat=P","Fill=—","Direction=H","UseDPDF=Y")</f>
        <v>#NAME?</v>
      </c>
      <c r="W436" s="2" t="e">
        <f ca="1">_xll.BDH($C$428,"EARN_FOR_COM_GROWTH","FQ3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436" s="2" t="e">
        <f ca="1">_xll.BDH($C$428,"DILUTED_EPS_AFT_XO_ITEMS_GROWTH","FQ3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436" s="2" t="e">
        <f ca="1">_xll.BDH($C$428,"DIVIDEND_PER_SHARE_1_YEAR_GROWTH","FQ3 2015","FQ3 2015","Currency=INR","Period=FQ","BEST_FPERIOD_OVERRIDE=FQ","FILING_STATUS=OR","EQY_CONSOLIDATED=Y","Sort=A","Dates=H","DateFormat=P","Fill=—","Direction=H","UseDPDF=Y")</f>
        <v>#NAME?</v>
      </c>
      <c r="Z436" s="2" t="e">
        <f ca="1">_xll.BDH($C$428,"ACCOUNTS_RECEIVABLE_GROWTH","FQ3 2015","FQ3 2015","Currency=INR","Period=FQ","BEST_FPERIOD_OVERRIDE=FQ","FILING_STATUS=OR","EQY_CONSOLIDATED=Y","Sort=A","Dates=H","DateFormat=P","Fill=—","Direction=H","UseDPDF=Y")</f>
        <v>#NAME?</v>
      </c>
      <c r="AA436" s="2" t="e">
        <f ca="1">_xll.BDH($C$428,"INVENTORY_GROWTH","FQ3 2015","FQ3 2015","Currency=INR","Period=FQ","BEST_FPERIOD_OVERRIDE=FQ","FILING_STATUS=OR","EQY_CONSOLIDATED=Y","Sort=A","Dates=H","DateFormat=P","Fill=—","Direction=H","UseDPDF=Y")</f>
        <v>#NAME?</v>
      </c>
      <c r="AB436" s="2" t="e">
        <f ca="1">_xll.BDH($C$428,"NET_FIXED_ASSETS_1_YEAR_GROWTH","FQ3 2015","FQ3 2015","Currency=INR","Period=FQ","BEST_FPERIOD_OVERRIDE=FQ","FILING_STATUS=OR","EQY_CONSOLIDATED=Y","Sort=A","Dates=H","DateFormat=P","Fill=—","Direction=H","UseDPDF=Y")</f>
        <v>#NAME?</v>
      </c>
      <c r="AC436" s="2" t="e">
        <f ca="1">_xll.BDH($C$428,"ASSET_GROWTH","FQ3 2015","FQ3 2015","Currency=INR","Period=FQ","BEST_FPERIOD_OVERRIDE=FQ","FILING_STATUS=OR","EQY_CONSOLIDATED=Y","Sort=A","Dates=H","DateFormat=P","Fill=—","Direction=H","UseDPDF=Y")</f>
        <v>#NAME?</v>
      </c>
      <c r="AD436" s="2" t="e">
        <f ca="1">_xll.BDH($C$428,"MODIFIED_WORK_CAP_GROWTH","FQ3 2015","FQ3 2015","Currency=INR","Period=FQ","BEST_FPERIOD_OVERRIDE=FQ","FILING_STATUS=OR","EQY_CONSOLIDATED=Y","Sort=A","Dates=H","DateFormat=P","Fill=—","Direction=H","UseDPDF=Y")</f>
        <v>#NAME?</v>
      </c>
      <c r="AE436" s="2" t="e">
        <f ca="1">_xll.BDH($C$428,"WORK_CAP_GROWTH","FQ3 2015","FQ3 2015","Currency=INR","Period=FQ","BEST_FPERIOD_OVERRIDE=FQ","FILING_STATUS=OR","EQY_CONSOLIDATED=Y","Sort=A","Dates=H","DateFormat=P","Fill=—","Direction=H","UseDPDF=Y")</f>
        <v>#NAME?</v>
      </c>
      <c r="AF436" s="2" t="e">
        <f ca="1">_xll.BDH($C$428,"ACCOUNTS_PAYABLE_GROWTH_1YR","FQ3 2015","FQ3 2015","Currency=INR","Period=FQ","BEST_FPERIOD_OVERRIDE=FQ","FILING_STATUS=OR","EQY_CONSOLIDATED=Y","Sort=A","Dates=H","DateFormat=P","Fill=—","Direction=H","UseDPDF=Y")</f>
        <v>#NAME?</v>
      </c>
      <c r="AG436" s="2" t="e">
        <f ca="1">_xll.BDH($C$428,"SHORT_TERM_DEBT_1_YEAR_GROWTH","FQ3 2015","FQ3 2015","Currency=INR","Period=FQ","BEST_FPERIOD_OVERRIDE=FQ","FILING_STATUS=OR","EQY_CONSOLIDATED=Y","Sort=A","Dates=H","DateFormat=P","Fill=—","Direction=H","UseDPDF=Y")</f>
        <v>#NAME?</v>
      </c>
      <c r="AH436" s="2" t="e">
        <f ca="1">_xll.BDH($C$428,"TOTAL_DEBT_1_YEAR_GROWTH","FQ3 2015","FQ3 2015","Currency=INR","Period=FQ","BEST_FPERIOD_OVERRIDE=FQ","FILING_STATUS=OR","EQY_CONSOLIDATED=Y","Sort=A","Dates=H","DateFormat=P","Fill=—","Direction=H","UseDPDF=Y")</f>
        <v>#NAME?</v>
      </c>
      <c r="AI436" s="2" t="e">
        <f ca="1">_xll.BDH($C$428,"TOTAL_EQUITY_1_YEAR_GROWTH","FQ3 2015","FQ3 2015","Currency=INR","Period=FQ","BEST_FPERIOD_OVERRIDE=FQ","FILING_STATUS=OR","EQY_CONSOLIDATED=Y","Sort=A","Dates=H","DateFormat=P","Fill=—","Direction=H","UseDPDF=Y")</f>
        <v>#NAME?</v>
      </c>
      <c r="AJ436" s="2" t="e">
        <f ca="1">_xll.BDH($C$428,"GROWTH_IN_CAP","FQ3 2015","FQ3 2015","Currency=INR","Period=FQ","BEST_FPERIOD_OVERRIDE=FQ","FILING_STATUS=OR","EQY_CONSOLIDATED=Y","Sort=A","Dates=H","DateFormat=P","Fill=—","Direction=H","UseDPDF=Y")</f>
        <v>#NAME?</v>
      </c>
      <c r="AK436" s="2" t="e">
        <f ca="1">_xll.BDH($C$428,"BVPS_GROWTH","FQ3 2015","FQ3 2015","Currency=INR","Period=FQ","BEST_FPERIOD_OVERRIDE=FQ","FILING_STATUS=OR","EQY_CONSOLIDATED=Y","Sort=A","Dates=H","DateFormat=P","Fill=—","Direction=H","UseDPDF=Y")</f>
        <v>#NAME?</v>
      </c>
      <c r="AL436" s="2" t="e">
        <f ca="1">_xll.BDH($C$428,"CASH_FLOW_GROWTH","FQ3 2015","FQ3 2015","Currency=INR","Period=FQ","BEST_FPERIOD_OVERRIDE=FQ","FILING_STATUS=OR","EQY_CONSOLIDATED=Y","Sort=A","Dates=H","DateFormat=P","Fill=—","Direction=H","UseDPDF=Y")</f>
        <v>#NAME?</v>
      </c>
      <c r="AM436" s="2" t="e">
        <f ca="1">_xll.BDH($C$428,"GEO_GROW_NET_SALES","FQ3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436" s="2" t="e">
        <f ca="1">_xll.BDH($C$428,"GEO_GROW_EBITDA","FQ3 2015","FQ3 2015","Currency=INR","Period=FQ","BEST_FPERIOD_OVERRIDE=FQ","FILING_STATUS=OR","EQY_CONSOLIDATED=Y","FA_ADJUSTED=GAAP","Sort=A","Dates=H","DateFormat=P","Fill=—","Direction=H","UseDPDF=Y")</f>
        <v>#NAME?</v>
      </c>
      <c r="AO436" s="2" t="e">
        <f ca="1">_xll.BDH($C$428,"GEO_GROW_OPER_INC","FQ3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436" s="2" t="e">
        <f ca="1">_xll.BDH($C$428,"NET_INCOME_TO_COMMON_5_YR_GROWTH","FQ3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436" s="2" t="e">
        <f ca="1">_xll.BDH($C$428,"5Y_GEO_GROWTH_DILUTED_EPS","FQ3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436" s="2" t="e">
        <f ca="1">_xll.BDH($C$428,"GEO_GROW_DVD_PER_SH","FQ3 2015","FQ3 2015","Currency=INR","Period=FQ","BEST_FPERIOD_OVERRIDE=FQ","FILING_STATUS=OR","EQY_CONSOLIDATED=Y","Sort=A","Dates=H","DateFormat=P","Fill=—","Direction=H","UseDPDF=Y")</f>
        <v>#NAME?</v>
      </c>
      <c r="AS436" s="2" t="e">
        <f ca="1">_xll.BDH($C$428,"ACCOUNTS_RECEIVABLE_5_YR_GROWTH","FQ3 2015","FQ3 2015","Currency=INR","Period=FQ","BEST_FPERIOD_OVERRIDE=FQ","FILING_STATUS=OR","EQY_CONSOLIDATED=Y","Sort=A","Dates=H","DateFormat=P","Fill=—","Direction=H","UseDPDF=Y")</f>
        <v>#NAME?</v>
      </c>
      <c r="AT436" s="2" t="e">
        <f ca="1">_xll.BDH($C$428,"INVENTORY_5_YEAR_GROWTH","FQ3 2015","FQ3 2015","Currency=INR","Period=FQ","BEST_FPERIOD_OVERRIDE=FQ","FILING_STATUS=OR","EQY_CONSOLIDATED=Y","Sort=A","Dates=H","DateFormat=P","Fill=—","Direction=H","UseDPDF=Y")</f>
        <v>#NAME?</v>
      </c>
      <c r="AU436" s="2" t="e">
        <f ca="1">_xll.BDH($C$428,"NET_FIXED_ASSETS_5_YEAR_GROWTH","FQ3 2015","FQ3 2015","Currency=INR","Period=FQ","BEST_FPERIOD_OVERRIDE=FQ","FILING_STATUS=OR","EQY_CONSOLIDATED=Y","Sort=A","Dates=H","DateFormat=P","Fill=—","Direction=H","UseDPDF=Y")</f>
        <v>#NAME?</v>
      </c>
      <c r="AV436" s="2" t="e">
        <f ca="1">_xll.BDH($C$428,"GEO_GROW_TOT_ASSET","FQ3 2015","FQ3 2015","Currency=INR","Period=FQ","BEST_FPERIOD_OVERRIDE=FQ","FILING_STATUS=OR","EQY_CONSOLIDATED=Y","Sort=A","Dates=H","DateFormat=P","Fill=—","Direction=H","UseDPDF=Y")</f>
        <v>#NAME?</v>
      </c>
      <c r="AW436" s="2" t="e">
        <f ca="1">_xll.BDH($C$428,"MODIFIED_WORKING_CPTL_5YR_GRWTH","FQ3 2015","FQ3 2015","Currency=INR","Period=FQ","BEST_FPERIOD_OVERRIDE=FQ","FILING_STATUS=OR","EQY_CONSOLIDATED=Y","Sort=A","Dates=H","DateFormat=P","Fill=—","Direction=H","UseDPDF=Y")</f>
        <v>#NAME?</v>
      </c>
      <c r="AX436" s="2" t="e">
        <f ca="1">_xll.BDH($C$428,"WORKING_CAPITAL_5_YEAR_GROWTH","FQ3 2015","FQ3 2015","Currency=INR","Period=FQ","BEST_FPERIOD_OVERRIDE=FQ","FILING_STATUS=OR","EQY_CONSOLIDATED=Y","Sort=A","Dates=H","DateFormat=P","Fill=—","Direction=H","UseDPDF=Y")</f>
        <v>#NAME?</v>
      </c>
      <c r="AY436" s="2" t="e">
        <f ca="1">_xll.BDH($C$428,"ACCOUNTS_PAYABLE_5_YEAR_GROWTH","FQ3 2015","FQ3 2015","Currency=INR","Period=FQ","BEST_FPERIOD_OVERRIDE=FQ","FILING_STATUS=OR","EQY_CONSOLIDATED=Y","Sort=A","Dates=H","DateFormat=P","Fill=—","Direction=H","UseDPDF=Y")</f>
        <v>#NAME?</v>
      </c>
      <c r="AZ436" s="2" t="e">
        <f ca="1">_xll.BDH($C$428,"SHORT_TERM_DEBT_5_YEAR_GROWTH","FQ3 2015","FQ3 2015","Currency=INR","Period=FQ","BEST_FPERIOD_OVERRIDE=FQ","FILING_STATUS=OR","EQY_CONSOLIDATED=Y","Sort=A","Dates=H","DateFormat=P","Fill=—","Direction=H","UseDPDF=Y")</f>
        <v>#NAME?</v>
      </c>
      <c r="BA436" s="2" t="e">
        <f ca="1">_xll.BDH($C$428,"TOTAL_DEBT_5_YEAR_GROWTH","FQ3 2015","FQ3 2015","Currency=INR","Period=FQ","BEST_FPERIOD_OVERRIDE=FQ","FILING_STATUS=OR","EQY_CONSOLIDATED=Y","Sort=A","Dates=H","DateFormat=P","Fill=—","Direction=H","UseDPDF=Y")</f>
        <v>#NAME?</v>
      </c>
      <c r="BB436" s="2" t="e">
        <f ca="1">_xll.BDH($C$428,"GEO_GROW_TOT_SHRHLDR_EQY","FQ3 2015","FQ3 2015","Currency=INR","Period=FQ","BEST_FPERIOD_OVERRIDE=FQ","FILING_STATUS=OR","EQY_CONSOLIDATED=Y","Sort=A","Dates=H","DateFormat=P","Fill=—","Direction=H","UseDPDF=Y")</f>
        <v>#NAME?</v>
      </c>
      <c r="BC436" s="2" t="e">
        <f ca="1">_xll.BDH($C$428,"TOTAL_CAPITAL_5_YEAR_GROWTH","FQ3 2015","FQ3 2015","Currency=INR","Period=FQ","BEST_FPERIOD_OVERRIDE=FQ","FILING_STATUS=OR","EQY_CONSOLIDATED=Y","Sort=A","Dates=H","DateFormat=P","Fill=—","Direction=H","UseDPDF=Y")</f>
        <v>#NAME?</v>
      </c>
      <c r="BD436" s="2" t="e">
        <f ca="1">_xll.BDH($C$428,"GEO_GROW_BOOK_VAL","FQ3 2015","FQ3 2015","Currency=INR","Period=FQ","BEST_FPERIOD_OVERRIDE=FQ","FILING_STATUS=OR","EQY_CONSOLIDATED=Y","Sort=A","Dates=H","DateFormat=P","Fill=—","Direction=H","UseDPDF=Y")</f>
        <v>#NAME?</v>
      </c>
      <c r="BE436" s="2" t="e">
        <f ca="1">_xll.BDH($C$428,"GEO_GROW_CASH_OPER_ACT","FQ3 2015","FQ3 2015","Currency=INR","Period=FQ","BEST_FPERIOD_OVERRIDE=FQ","FILING_STATUS=OR","EQY_CONSOLIDATED=Y","Sort=A","Dates=H","DateFormat=P","Fill=—","Direction=H","UseDPDF=Y")</f>
        <v>#NAME?</v>
      </c>
      <c r="BF436" s="2" t="e">
        <f ca="1">_xll.BDH($C$428,"REVENUE_SEQUENTIAL_GROWTH","FQ3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436" s="2" t="e">
        <f ca="1">_xll.BDH($C$428,"EBITDA_SEQUENTIAL_GROWTH","FQ3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436" s="2" t="e">
        <f ca="1">_xll.BDH($C$428,"OPERATING_INCOME_SEQ_GROWTH","FQ3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436" s="2" t="e">
        <f ca="1">_xll.BDH($C$428,"NET_INCOME_TO_COMMON_SEQ_GROWTH","FQ3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436" s="2" t="e">
        <f ca="1">_xll.BDH($C$428,"EPS_DILUTED_SEQUENTIAL_GROWTH","FQ3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436" s="2" t="e">
        <f ca="1">_xll.BDH($C$428,"DPS_SEQUENTIAL_GROWTH","FQ3 2015","FQ3 2015","Currency=INR","Period=FQ","BEST_FPERIOD_OVERRIDE=FQ","FILING_STATUS=OR","EQY_CONSOLIDATED=Y","Sort=A","Dates=H","DateFormat=P","Fill=—","Direction=H","UseDPDF=Y")</f>
        <v>#NAME?</v>
      </c>
      <c r="BL436" s="2" t="e">
        <f ca="1">_xll.BDH($C$428,"ACCOUNTS_RECEIVABLE_SEQ_GROWTH","FQ3 2015","FQ3 2015","Currency=INR","Period=FQ","BEST_FPERIOD_OVERRIDE=FQ","FILING_STATUS=OR","EQY_CONSOLIDATED=Y","Sort=A","Dates=H","DateFormat=P","Fill=—","Direction=H","UseDPDF=Y")</f>
        <v>#NAME?</v>
      </c>
      <c r="BM436" s="2" t="e">
        <f ca="1">_xll.BDH($C$428,"INVENTORY_SEQUENTIAL_GROWTH","FQ3 2015","FQ3 2015","Currency=INR","Period=FQ","BEST_FPERIOD_OVERRIDE=FQ","FILING_STATUS=OR","EQY_CONSOLIDATED=Y","Sort=A","Dates=H","DateFormat=P","Fill=—","Direction=H","UseDPDF=Y")</f>
        <v>#NAME?</v>
      </c>
      <c r="BN436" s="2" t="e">
        <f ca="1">_xll.BDH($C$428,"FIXED_ASSETS_SEQUENTIAL_GROWTH","FQ3 2015","FQ3 2015","Currency=INR","Period=FQ","BEST_FPERIOD_OVERRIDE=FQ","FILING_STATUS=OR","EQY_CONSOLIDATED=Y","Sort=A","Dates=H","DateFormat=P","Fill=—","Direction=H","UseDPDF=Y")</f>
        <v>#NAME?</v>
      </c>
      <c r="BO436" s="2" t="e">
        <f ca="1">_xll.BDH($C$428,"TOTAL_ASSETS_SEQUENTIAL_GROWTH","FQ3 2015","FQ3 2015","Currency=INR","Period=FQ","BEST_FPERIOD_OVERRIDE=FQ","FILING_STATUS=OR","EQY_CONSOLIDATED=Y","Sort=A","Dates=H","DateFormat=P","Fill=—","Direction=H","UseDPDF=Y")</f>
        <v>#NAME?</v>
      </c>
      <c r="BP436" s="2" t="e">
        <f ca="1">_xll.BDH($C$428,"MODIFIED_WORKING_CPTL_SEQ_GRWTH","FQ3 2015","FQ3 2015","Currency=INR","Period=FQ","BEST_FPERIOD_OVERRIDE=FQ","FILING_STATUS=OR","EQY_CONSOLIDATED=Y","Sort=A","Dates=H","DateFormat=P","Fill=—","Direction=H","UseDPDF=Y")</f>
        <v>#NAME?</v>
      </c>
      <c r="BQ436" s="2" t="e">
        <f ca="1">_xll.BDH($C$428,"WORKING_CAPITAL_SEQ_GROWTH","FQ3 2015","FQ3 2015","Currency=INR","Period=FQ","BEST_FPERIOD_OVERRIDE=FQ","FILING_STATUS=OR","EQY_CONSOLIDATED=Y","Sort=A","Dates=H","DateFormat=P","Fill=—","Direction=H","UseDPDF=Y")</f>
        <v>#NAME?</v>
      </c>
      <c r="BR436" s="2" t="e">
        <f ca="1">_xll.BDH($C$428,"ACCOUNTS_PAYABLE_SEQ_GROWTH","FQ3 2015","FQ3 2015","Currency=INR","Period=FQ","BEST_FPERIOD_OVERRIDE=FQ","FILING_STATUS=OR","EQY_CONSOLIDATED=Y","Sort=A","Dates=H","DateFormat=P","Fill=—","Direction=H","UseDPDF=Y")</f>
        <v>#NAME?</v>
      </c>
      <c r="BS436" s="2" t="e">
        <f ca="1">_xll.BDH($C$428,"ST_DEBT_SEQUENTIAL_GROWTH","FQ3 2015","FQ3 2015","Currency=INR","Period=FQ","BEST_FPERIOD_OVERRIDE=FQ","FILING_STATUS=OR","EQY_CONSOLIDATED=Y","Sort=A","Dates=H","DateFormat=P","Fill=—","Direction=H","UseDPDF=Y")</f>
        <v>#NAME?</v>
      </c>
      <c r="BT436" s="2" t="e">
        <f ca="1">_xll.BDH($C$428,"TOTAL_DEBT_SEQUENTIAL_GROWTH","FQ3 2015","FQ3 2015","Currency=INR","Period=FQ","BEST_FPERIOD_OVERRIDE=FQ","FILING_STATUS=OR","EQY_CONSOLIDATED=Y","Sort=A","Dates=H","DateFormat=P","Fill=—","Direction=H","UseDPDF=Y")</f>
        <v>#NAME?</v>
      </c>
      <c r="BU436" s="2" t="e">
        <f ca="1">_xll.BDH($C$428,"TOTAL_EQUITY_SEQUENTIAL_GROWTH","FQ3 2015","FQ3 2015","Currency=INR","Period=FQ","BEST_FPERIOD_OVERRIDE=FQ","FILING_STATUS=OR","EQY_CONSOLIDATED=Y","Sort=A","Dates=H","DateFormat=P","Fill=—","Direction=H","UseDPDF=Y")</f>
        <v>#NAME?</v>
      </c>
      <c r="BV436" s="2" t="e">
        <f ca="1">_xll.BDH($C$428,"TOTAL_CAPITAL_SEQUENTIAL_GROWTH","FQ3 2015","FQ3 2015","Currency=INR","Period=FQ","BEST_FPERIOD_OVERRIDE=FQ","FILING_STATUS=OR","EQY_CONSOLIDATED=Y","Sort=A","Dates=H","DateFormat=P","Fill=—","Direction=H","UseDPDF=Y")</f>
        <v>#NAME?</v>
      </c>
      <c r="BW436" s="2" t="e">
        <f ca="1">_xll.BDH($C$428,"BPS_SEQUENTIAL_GROWTH","FQ3 2015","FQ3 2015","Currency=INR","Period=FQ","BEST_FPERIOD_OVERRIDE=FQ","FILING_STATUS=OR","EQY_CONSOLIDATED=Y","Sort=A","Dates=H","DateFormat=P","Fill=—","Direction=H","UseDPDF=Y")</f>
        <v>#NAME?</v>
      </c>
      <c r="BX436" s="2" t="e">
        <f ca="1">_xll.BDH($C$428,"CFO_SEQUENTIAL_GROWTH","FQ3 2015","FQ3 2015","Currency=INR","Period=FQ","BEST_FPERIOD_OVERRIDE=FQ","FILING_STATUS=OR","EQY_CONSOLIDATED=Y","Sort=A","Dates=H","DateFormat=P","Fill=—","Direction=H","UseDPDF=Y")</f>
        <v>#NAME?</v>
      </c>
      <c r="BY436" s="3" t="e">
        <f ca="1">_xll.BDH($C$428,"SHORT_AND_LONG_TERM_DEBT","FQ3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436" s="3" t="e">
        <f ca="1">_xll.BDH($C$428,"BS_ST_BORROW","FQ3 2015","FQ3 2015","Currency=INR","Period=FQ","BEST_FPERIOD_OVERRIDE=FQ","FILING_STATUS=OR","EQY_CONSOLIDATED=Y","SCALING_FORMAT=MLN","Sort=A","Dates=H","DateFormat=P","Fill=—","Direction=H","UseDPDF=Y")</f>
        <v>#NAME?</v>
      </c>
      <c r="CA436" s="3" t="e">
        <f ca="1">_xll.BDH($C$428,"BS_LT_BORROW","FQ3 2015","FQ3 2015","Currency=INR","Period=FQ","BEST_FPERIOD_OVERRIDE=FQ","FILING_STATUS=OR","EQY_CONSOLIDATED=Y","SCALING_FORMAT=MLN","Sort=A","Dates=H","DateFormat=P","Fill=—","Direction=H","UseDPDF=Y")</f>
        <v>#NAME?</v>
      </c>
      <c r="CB436" s="2" t="e">
        <f ca="1">_xll.BDH($C$428,"TOT_DEBT_TO_EBITDA","FQ3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436" s="2" t="e">
        <f ca="1">_xll.BDH($C$428,"NET_DEBT_TO_EBITDA","FQ3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436" s="2" t="e">
        <f ca="1">_xll.BDH($C$428,"TOTAL_DEBT_TO_EBIT","FQ3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436" s="2" t="e">
        <f ca="1">_xll.BDH($C$428,"NET_DEBT_TO_EBIT","FQ3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436" s="2" t="e">
        <f ca="1">_xll.BDH($C$428,"EBITDA_TO_INTEREST_EXPN","FQ3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436" s="2" t="e">
        <f ca="1">_xll.BDH($C$428,"COM_EQY_TO_TOT_ASSET","FQ3 2015","FQ3 2015","Currency=INR","Period=FQ","BEST_FPERIOD_OVERRIDE=FQ","FILING_STATUS=OR","EQY_CONSOLIDATED=Y","Sort=A","Dates=H","DateFormat=P","Fill=—","Direction=H","UseDPDF=Y")</f>
        <v>#NAME?</v>
      </c>
      <c r="CH436" s="2" t="e">
        <f ca="1">_xll.BDH($C$428,"LT_DEBT_TO_TOT_EQY","FQ3 2015","FQ3 2015","Currency=INR","Period=FQ","BEST_FPERIOD_OVERRIDE=FQ","FILING_STATUS=OR","EQY_CONSOLIDATED=Y","Sort=A","Dates=H","DateFormat=P","Fill=—","Direction=H","UseDPDF=Y")</f>
        <v>#NAME?</v>
      </c>
      <c r="CI436" s="2" t="e">
        <f ca="1">_xll.BDH($C$428,"LT_DEBT_TO_TOT_CAP","FQ3 2015","FQ3 2015","Currency=INR","Period=FQ","BEST_FPERIOD_OVERRIDE=FQ","FILING_STATUS=OR","EQY_CONSOLIDATED=Y","Sort=A","Dates=H","DateFormat=P","Fill=—","Direction=H","UseDPDF=Y")</f>
        <v>#NAME?</v>
      </c>
      <c r="CJ436" s="2" t="e">
        <f ca="1">_xll.BDH($C$428,"LT_DEBT_TO_TOT_ASSET","FQ3 2015","FQ3 2015","Currency=INR","Period=FQ","BEST_FPERIOD_OVERRIDE=FQ","FILING_STATUS=OR","EQY_CONSOLIDATED=Y","Sort=A","Dates=H","DateFormat=P","Fill=—","Direction=H","UseDPDF=Y")</f>
        <v>#NAME?</v>
      </c>
      <c r="CK436" s="2" t="e">
        <f ca="1">_xll.BDH($C$428,"TOT_DEBT_TO_TOT_EQY","FQ3 2015","FQ3 2015","Currency=INR","Period=FQ","BEST_FPERIOD_OVERRIDE=FQ","FILING_STATUS=OR","EQY_CONSOLIDATED=Y","Sort=A","Dates=H","DateFormat=P","Fill=—","Direction=H","UseDPDF=Y")</f>
        <v>#NAME?</v>
      </c>
      <c r="CL436" s="2" t="e">
        <f ca="1">_xll.BDH($C$428,"TOT_DEBT_TO_TOT_CAP","FQ3 2015","FQ3 2015","Currency=INR","Period=FQ","BEST_FPERIOD_OVERRIDE=FQ","FILING_STATUS=OR","EQY_CONSOLIDATED=Y","Sort=A","Dates=H","DateFormat=P","Fill=—","Direction=H","UseDPDF=Y")</f>
        <v>#NAME?</v>
      </c>
      <c r="CM436" s="2" t="e">
        <f ca="1">_xll.BDH($C$428,"TOT_DEBT_TO_TOT_ASSET","FQ3 2015","FQ3 2015","Currency=INR","Period=FQ","BEST_FPERIOD_OVERRIDE=FQ","FILING_STATUS=OR","EQY_CONSOLIDATED=Y","Sort=A","Dates=H","DateFormat=P","Fill=—","Direction=H","UseDPDF=Y")</f>
        <v>#NAME?</v>
      </c>
      <c r="CN436" s="2" t="e">
        <f ca="1">_xll.BDH($C$428,"NET_DEBT_TO_SHRHLDR_EQTY","FQ3 2015","FQ3 2015","Currency=INR","Period=FQ","BEST_FPERIOD_OVERRIDE=FQ","FILING_STATUS=OR","EQY_CONSOLIDATED=Y","Sort=A","Dates=H","DateFormat=P","Fill=—","Direction=H","UseDPDF=Y")</f>
        <v>#NAME?</v>
      </c>
      <c r="CO436" s="2" t="e">
        <f ca="1">_xll.BDH($C$428,"NET_DEBT_%_CAPITAL","FQ3 2015","FQ3 2015","Currency=INR","Period=FQ","BEST_FPERIOD_OVERRIDE=FQ","FILING_STATUS=OR","EQY_CONSOLIDATED=Y","Sort=A","Dates=H","DateFormat=P","Fill=—","Direction=H","UseDPDF=Y")</f>
        <v>#NAME?</v>
      </c>
      <c r="CP436" s="3" t="e">
        <f ca="1">_xll.BDH($C$428,"EBITDA","FQ3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436" s="3" t="e">
        <f ca="1">_xll.BDH($C$428,"EBITDA_AFTER_CAPEX","FQ3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436" s="3" t="e">
        <f ca="1">_xll.BDH($C$428,"IS_OPER_INC","FQ3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436" s="2" t="e">
        <f ca="1">_xll.BDH($C$428,"CASH_RATIO","FQ3 2015","FQ3 2015","Currency=INR","Period=FQ","BEST_FPERIOD_OVERRIDE=FQ","FILING_STATUS=OR","EQY_CONSOLIDATED=Y","Sort=A","Dates=H","DateFormat=P","Fill=—","Direction=H","UseDPDF=Y")</f>
        <v>#NAME?</v>
      </c>
      <c r="CT436" s="2" t="e">
        <f ca="1">_xll.BDH($C$428,"CUR_RATIO","FQ3 2015","FQ3 2015","Currency=INR","Period=FQ","BEST_FPERIOD_OVERRIDE=FQ","FILING_STATUS=OR","EQY_CONSOLIDATED=Y","Sort=A","Dates=H","DateFormat=P","Fill=—","Direction=H","UseDPDF=Y")</f>
        <v>#NAME?</v>
      </c>
      <c r="CU436" s="2" t="e">
        <f ca="1">_xll.BDH($C$428,"QUICK_RATIO","FQ3 2015","FQ3 2015","Currency=INR","Period=FQ","BEST_FPERIOD_OVERRIDE=FQ","FILING_STATUS=OR","EQY_CONSOLIDATED=Y","Sort=A","Dates=H","DateFormat=P","Fill=—","Direction=H","UseDPDF=Y")</f>
        <v>#NAME?</v>
      </c>
      <c r="CV436" s="2" t="e">
        <f ca="1">_xll.BDH($C$428,"ALTMAN_Z_SCORE","FQ3 2015","FQ3 2015","Currency=INR","Period=FQ","BEST_FPERIOD_OVERRIDE=FQ","FILING_STATUS=OR","EQY_CONSOLIDATED=Y","Sort=A","Dates=H","DateFormat=P","Fill=—","Direction=H","UseDPDF=Y")</f>
        <v>#NAME?</v>
      </c>
      <c r="CW436" s="4" t="e">
        <f ca="1">_xll.BDH($C$428,"ACCT_RCV_TURN","FQ3 2015","FQ3 2015","Currency=INR","Period=FQ","BEST_FPERIOD_OVERRIDE=FQ","FILING_STATUS=OR","EQY_CONSOLIDATED=Y","FA_ADJUSTED=GAAP","Sort=A","Dates=H","DateFormat=P","Fill=—","Direction=H","UseDPDF=Y")</f>
        <v>#NAME?</v>
      </c>
      <c r="CX436" s="2" t="e">
        <f ca="1">_xll.BDH($C$428,"ACCT_RCV_DAYS","FQ3 2015","FQ3 2015","Currency=INR","Period=FQ","BEST_FPERIOD_OVERRIDE=FQ","FILING_STATUS=OR","EQY_CONSOLIDATED=Y","FA_ADJUSTED=GAAP","Sort=A","Dates=H","DateFormat=P","Fill=—","Direction=H","UseDPDF=Y")</f>
        <v>#NAME?</v>
      </c>
      <c r="CY436" s="4" t="e">
        <f ca="1">_xll.BDH($C$428,"INVENT_TURN","FQ3 2015","FQ3 2015","Currency=INR","Period=FQ","BEST_FPERIOD_OVERRIDE=FQ","FILING_STATUS=OR","EQY_CONSOLIDATED=Y","FA_ADJUSTED=GAAP","Sort=A","Dates=H","DateFormat=P","Fill=—","Direction=H","UseDPDF=Y")</f>
        <v>#NAME?</v>
      </c>
      <c r="CZ436" s="2" t="e">
        <f ca="1">_xll.BDH($C$428,"INVENT_DAYS","FQ3 2015","FQ3 2015","Currency=INR","Period=FQ","BEST_FPERIOD_OVERRIDE=FQ","FILING_STATUS=OR","EQY_CONSOLIDATED=Y","FA_ADJUSTED=GAAP","Sort=A","Dates=H","DateFormat=P","Fill=—","Direction=H","UseDPDF=Y")</f>
        <v>#NAME?</v>
      </c>
      <c r="DA436" s="4" t="e">
        <f ca="1">_xll.BDH($C$428,"ACCOUNTS_PAYABLE_TURNOVER","FQ3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436" s="2" t="e">
        <f ca="1">_xll.BDH($C$428,"ACCOUNTS_PAYABLE_TURNOVER_DAYS","FQ3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436" s="4" t="e">
        <f ca="1">_xll.BDH($C$428,"CASH_CONVERSION_CYCLE","FQ3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436" s="4" t="e">
        <f ca="1">_xll.BDH($C$428,"INV_TO_CASH_DAYS","FQ3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436" s="5" t="e">
        <f ca="1">_xll.BDH($C$428,"BS_INVENTORIES","FQ3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436" s="3" t="e">
        <f ca="1">_xll.BDH($C$428,"INVTRY_RAW_MATERIALS","FQ3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436" s="3" t="e">
        <f ca="1">_xll.BDH($C$428,"INVTRY_IN_PROGRESS","FQ3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436" s="3" t="e">
        <f ca="1">_xll.BDH($C$428,"INVTRY_FINISHED_GOODS","FQ3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436" s="3" t="e">
        <f ca="1">_xll.BDH($C$428,"BS_OTHER_INV","FQ3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437" spans="1:113" x14ac:dyDescent="0.3">
      <c r="A437" s="6"/>
      <c r="B437" s="6"/>
      <c r="C437" s="6"/>
      <c r="D437" s="6"/>
      <c r="E437" t="s">
        <v>81</v>
      </c>
      <c r="F437" t="e">
        <f ca="1">_xll.BDH($C$428,"RETURN_COM_EQY","FQ4 2015","FQ4 2015","Currency=INR","Period=FQ","BEST_FPERIOD_OVERRIDE=FQ","FILING_STATUS=OR","EQY_CONSOLIDATED=Y","FA_ADJUSTED=GAAP","Sort=A","Dates=H","DateFormat=P","Fill=—","Direction=H","UseDPDF=Y")</f>
        <v>#NAME?</v>
      </c>
      <c r="G437" t="e">
        <f ca="1">_xll.BDH($C$428,"RETURN_ON_ASSET","FQ4 2015","FQ4 2015","Currency=INR","Period=FQ","BEST_FPERIOD_OVERRIDE=FQ","FILING_STATUS=OR","EQY_CONSOLIDATED=Y","FA_ADJUSTED=GAAP","Sort=A","Dates=H","DateFormat=P","Fill=—","Direction=H","UseDPDF=Y")</f>
        <v>#NAME?</v>
      </c>
      <c r="H437" t="e">
        <f ca="1">_xll.BDH($C$428,"RETURN_ON_CAP","FQ4 2015","FQ4 2015","Currency=INR","Period=FQ","BEST_FPERIOD_OVERRIDE=FQ","FILING_STATUS=OR","EQY_CONSOLIDATED=Y","FA_ADJUSTED=GAAP","Sort=A","Dates=H","DateFormat=P","Fill=—","Direction=H","UseDPDF=Y")</f>
        <v>#NAME?</v>
      </c>
      <c r="I437" t="e">
        <f ca="1">_xll.BDH($C$428,"RETURN_ON_INV_CAPITAL","FQ4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437" t="e">
        <f ca="1">_xll.BDH($C$428,"EBITDA_TO_REVENUE","FQ4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437" t="e">
        <f ca="1">_xll.BDH($C$428,"OPER_MARGIN","FQ4 2015","FQ4 2015","Currency=INR","Period=FQ","BEST_FPERIOD_OVERRIDE=FQ","FILING_STATUS=OR","EQY_CONSOLIDATED=Y","FA_ADJUSTED=GAAP","Sort=A","Dates=H","DateFormat=P","Fill=—","Direction=H","UseDPDF=Y")</f>
        <v>#NAME?</v>
      </c>
      <c r="L437" t="e">
        <f ca="1">_xll.BDH($C$428,"INCREMENTAL_OPERATING_MARGIN","FQ4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437" t="e">
        <f ca="1">_xll.BDH($C$428,"PRETAX_INC_TO_NET_SALES","FQ4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437" t="e">
        <f ca="1">_xll.BDH($C$428,"INC_BEF_XO_ITEMS_TO_NET_SALES","FQ4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437" t="e">
        <f ca="1">_xll.BDH($C$428,"PROF_MARGIN","FQ4 2015","FQ4 2015","Currency=INR","Period=FQ","BEST_FPERIOD_OVERRIDE=FQ","FILING_STATUS=OR","EQY_CONSOLIDATED=Y","FA_ADJUSTED=GAAP","Sort=A","Dates=H","DateFormat=P","Fill=—","Direction=H","UseDPDF=Y")</f>
        <v>#NAME?</v>
      </c>
      <c r="P437" t="e">
        <f ca="1">_xll.BDH($C$428,"NET_INCOME_TO_COMMON_MARGIN","FQ4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437" t="e">
        <f ca="1">_xll.BDH($C$428,"EFF_TAX_RATE","FQ4 2015","FQ4 2015","Currency=INR","Period=FQ","BEST_FPERIOD_OVERRIDE=FQ","FILING_STATUS=OR","EQY_CONSOLIDATED=Y","FA_ADJUSTED=GAAP","Sort=A","Dates=H","DateFormat=P","Fill=—","Direction=H","UseDPDF=Y")</f>
        <v>#NAME?</v>
      </c>
      <c r="R437" t="e">
        <f ca="1">_xll.BDH($C$428,"DVD_PAYOUT_RATIO","FQ4 2015","FQ4 2015","Currency=INR","Period=FQ","BEST_FPERIOD_OVERRIDE=FQ","FILING_STATUS=OR","EQY_CONSOLIDATED=Y","FA_ADJUSTED=GAAP","Sort=A","Dates=H","DateFormat=P","Fill=—","Direction=H","UseDPDF=Y")</f>
        <v>#NAME?</v>
      </c>
      <c r="S437" t="e">
        <f ca="1">_xll.BDH($C$428,"SUSTAIN_GROWTH_RT","FQ4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437" s="2" t="e">
        <f ca="1">_xll.BDH($C$428,"SALES_GROWTH","FQ4 2015","FQ4 2015","Currency=INR","Period=FQ","BEST_FPERIOD_OVERRIDE=FQ","FILING_STATUS=OR","EQY_CONSOLIDATED=Y","FA_ADJUSTED=GAAP","Sort=A","Dates=H","DateFormat=P","Fill=—","Direction=H","UseDPDF=Y")</f>
        <v>#NAME?</v>
      </c>
      <c r="U437" s="2" t="e">
        <f ca="1">_xll.BDH($C$428,"EBITDA_GROWTH","FQ4 2015","FQ4 2015","Currency=INR","Period=FQ","BEST_FPERIOD_OVERRIDE=FQ","FILING_STATUS=OR","EQY_CONSOLIDATED=Y","FA_ADJUSTED=GAAP","Sort=A","Dates=H","DateFormat=P","Fill=—","Direction=H","UseDPDF=Y")</f>
        <v>#NAME?</v>
      </c>
      <c r="V437" s="2" t="e">
        <f ca="1">_xll.BDH($C$428,"OPER_INC_GROWTH","FQ4 2015","FQ4 2015","Currency=INR","Period=FQ","BEST_FPERIOD_OVERRIDE=FQ","FILING_STATUS=OR","EQY_CONSOLIDATED=Y","FA_ADJUSTED=GAAP","Sort=A","Dates=H","DateFormat=P","Fill=—","Direction=H","UseDPDF=Y")</f>
        <v>#NAME?</v>
      </c>
      <c r="W437" s="2" t="e">
        <f ca="1">_xll.BDH($C$428,"EARN_FOR_COM_GROWTH","FQ4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437" s="2" t="e">
        <f ca="1">_xll.BDH($C$428,"DILUTED_EPS_AFT_XO_ITEMS_GROWTH","FQ4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437" s="2" t="e">
        <f ca="1">_xll.BDH($C$428,"DIVIDEND_PER_SHARE_1_YEAR_GROWTH","FQ4 2015","FQ4 2015","Currency=INR","Period=FQ","BEST_FPERIOD_OVERRIDE=FQ","FILING_STATUS=OR","EQY_CONSOLIDATED=Y","Sort=A","Dates=H","DateFormat=P","Fill=—","Direction=H","UseDPDF=Y")</f>
        <v>#NAME?</v>
      </c>
      <c r="Z437" s="2" t="e">
        <f ca="1">_xll.BDH($C$428,"ACCOUNTS_RECEIVABLE_GROWTH","FQ4 2015","FQ4 2015","Currency=INR","Period=FQ","BEST_FPERIOD_OVERRIDE=FQ","FILING_STATUS=OR","EQY_CONSOLIDATED=Y","Sort=A","Dates=H","DateFormat=P","Fill=—","Direction=H","UseDPDF=Y")</f>
        <v>#NAME?</v>
      </c>
      <c r="AA437" s="2" t="e">
        <f ca="1">_xll.BDH($C$428,"INVENTORY_GROWTH","FQ4 2015","FQ4 2015","Currency=INR","Period=FQ","BEST_FPERIOD_OVERRIDE=FQ","FILING_STATUS=OR","EQY_CONSOLIDATED=Y","Sort=A","Dates=H","DateFormat=P","Fill=—","Direction=H","UseDPDF=Y")</f>
        <v>#NAME?</v>
      </c>
      <c r="AB437" s="2" t="e">
        <f ca="1">_xll.BDH($C$428,"NET_FIXED_ASSETS_1_YEAR_GROWTH","FQ4 2015","FQ4 2015","Currency=INR","Period=FQ","BEST_FPERIOD_OVERRIDE=FQ","FILING_STATUS=OR","EQY_CONSOLIDATED=Y","Sort=A","Dates=H","DateFormat=P","Fill=—","Direction=H","UseDPDF=Y")</f>
        <v>#NAME?</v>
      </c>
      <c r="AC437" s="2" t="e">
        <f ca="1">_xll.BDH($C$428,"ASSET_GROWTH","FQ4 2015","FQ4 2015","Currency=INR","Period=FQ","BEST_FPERIOD_OVERRIDE=FQ","FILING_STATUS=OR","EQY_CONSOLIDATED=Y","Sort=A","Dates=H","DateFormat=P","Fill=—","Direction=H","UseDPDF=Y")</f>
        <v>#NAME?</v>
      </c>
      <c r="AD437" s="2" t="e">
        <f ca="1">_xll.BDH($C$428,"MODIFIED_WORK_CAP_GROWTH","FQ4 2015","FQ4 2015","Currency=INR","Period=FQ","BEST_FPERIOD_OVERRIDE=FQ","FILING_STATUS=OR","EQY_CONSOLIDATED=Y","Sort=A","Dates=H","DateFormat=P","Fill=—","Direction=H","UseDPDF=Y")</f>
        <v>#NAME?</v>
      </c>
      <c r="AE437" s="2" t="e">
        <f ca="1">_xll.BDH($C$428,"WORK_CAP_GROWTH","FQ4 2015","FQ4 2015","Currency=INR","Period=FQ","BEST_FPERIOD_OVERRIDE=FQ","FILING_STATUS=OR","EQY_CONSOLIDATED=Y","Sort=A","Dates=H","DateFormat=P","Fill=—","Direction=H","UseDPDF=Y")</f>
        <v>#NAME?</v>
      </c>
      <c r="AF437" s="2" t="e">
        <f ca="1">_xll.BDH($C$428,"ACCOUNTS_PAYABLE_GROWTH_1YR","FQ4 2015","FQ4 2015","Currency=INR","Period=FQ","BEST_FPERIOD_OVERRIDE=FQ","FILING_STATUS=OR","EQY_CONSOLIDATED=Y","Sort=A","Dates=H","DateFormat=P","Fill=—","Direction=H","UseDPDF=Y")</f>
        <v>#NAME?</v>
      </c>
      <c r="AG437" s="2" t="e">
        <f ca="1">_xll.BDH($C$428,"SHORT_TERM_DEBT_1_YEAR_GROWTH","FQ4 2015","FQ4 2015","Currency=INR","Period=FQ","BEST_FPERIOD_OVERRIDE=FQ","FILING_STATUS=OR","EQY_CONSOLIDATED=Y","Sort=A","Dates=H","DateFormat=P","Fill=—","Direction=H","UseDPDF=Y")</f>
        <v>#NAME?</v>
      </c>
      <c r="AH437" s="2" t="e">
        <f ca="1">_xll.BDH($C$428,"TOTAL_DEBT_1_YEAR_GROWTH","FQ4 2015","FQ4 2015","Currency=INR","Period=FQ","BEST_FPERIOD_OVERRIDE=FQ","FILING_STATUS=OR","EQY_CONSOLIDATED=Y","Sort=A","Dates=H","DateFormat=P","Fill=—","Direction=H","UseDPDF=Y")</f>
        <v>#NAME?</v>
      </c>
      <c r="AI437" s="2" t="e">
        <f ca="1">_xll.BDH($C$428,"TOTAL_EQUITY_1_YEAR_GROWTH","FQ4 2015","FQ4 2015","Currency=INR","Period=FQ","BEST_FPERIOD_OVERRIDE=FQ","FILING_STATUS=OR","EQY_CONSOLIDATED=Y","Sort=A","Dates=H","DateFormat=P","Fill=—","Direction=H","UseDPDF=Y")</f>
        <v>#NAME?</v>
      </c>
      <c r="AJ437" s="2" t="e">
        <f ca="1">_xll.BDH($C$428,"GROWTH_IN_CAP","FQ4 2015","FQ4 2015","Currency=INR","Period=FQ","BEST_FPERIOD_OVERRIDE=FQ","FILING_STATUS=OR","EQY_CONSOLIDATED=Y","Sort=A","Dates=H","DateFormat=P","Fill=—","Direction=H","UseDPDF=Y")</f>
        <v>#NAME?</v>
      </c>
      <c r="AK437" s="2" t="e">
        <f ca="1">_xll.BDH($C$428,"BVPS_GROWTH","FQ4 2015","FQ4 2015","Currency=INR","Period=FQ","BEST_FPERIOD_OVERRIDE=FQ","FILING_STATUS=OR","EQY_CONSOLIDATED=Y","Sort=A","Dates=H","DateFormat=P","Fill=—","Direction=H","UseDPDF=Y")</f>
        <v>#NAME?</v>
      </c>
      <c r="AL437" s="2" t="e">
        <f ca="1">_xll.BDH($C$428,"CASH_FLOW_GROWTH","FQ4 2015","FQ4 2015","Currency=INR","Period=FQ","BEST_FPERIOD_OVERRIDE=FQ","FILING_STATUS=OR","EQY_CONSOLIDATED=Y","Sort=A","Dates=H","DateFormat=P","Fill=—","Direction=H","UseDPDF=Y")</f>
        <v>#NAME?</v>
      </c>
      <c r="AM437" s="2" t="e">
        <f ca="1">_xll.BDH($C$428,"GEO_GROW_NET_SALES","FQ4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437" s="2" t="e">
        <f ca="1">_xll.BDH($C$428,"GEO_GROW_EBITDA","FQ4 2015","FQ4 2015","Currency=INR","Period=FQ","BEST_FPERIOD_OVERRIDE=FQ","FILING_STATUS=OR","EQY_CONSOLIDATED=Y","FA_ADJUSTED=GAAP","Sort=A","Dates=H","DateFormat=P","Fill=—","Direction=H","UseDPDF=Y")</f>
        <v>#NAME?</v>
      </c>
      <c r="AO437" s="2" t="e">
        <f ca="1">_xll.BDH($C$428,"GEO_GROW_OPER_INC","FQ4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437" s="2" t="e">
        <f ca="1">_xll.BDH($C$428,"NET_INCOME_TO_COMMON_5_YR_GROWTH","FQ4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437" s="2" t="e">
        <f ca="1">_xll.BDH($C$428,"5Y_GEO_GROWTH_DILUTED_EPS","FQ4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437" s="2" t="e">
        <f ca="1">_xll.BDH($C$428,"GEO_GROW_DVD_PER_SH","FQ4 2015","FQ4 2015","Currency=INR","Period=FQ","BEST_FPERIOD_OVERRIDE=FQ","FILING_STATUS=OR","EQY_CONSOLIDATED=Y","Sort=A","Dates=H","DateFormat=P","Fill=—","Direction=H","UseDPDF=Y")</f>
        <v>#NAME?</v>
      </c>
      <c r="AS437" s="2" t="e">
        <f ca="1">_xll.BDH($C$428,"ACCOUNTS_RECEIVABLE_5_YR_GROWTH","FQ4 2015","FQ4 2015","Currency=INR","Period=FQ","BEST_FPERIOD_OVERRIDE=FQ","FILING_STATUS=OR","EQY_CONSOLIDATED=Y","Sort=A","Dates=H","DateFormat=P","Fill=—","Direction=H","UseDPDF=Y")</f>
        <v>#NAME?</v>
      </c>
      <c r="AT437" s="2" t="e">
        <f ca="1">_xll.BDH($C$428,"INVENTORY_5_YEAR_GROWTH","FQ4 2015","FQ4 2015","Currency=INR","Period=FQ","BEST_FPERIOD_OVERRIDE=FQ","FILING_STATUS=OR","EQY_CONSOLIDATED=Y","Sort=A","Dates=H","DateFormat=P","Fill=—","Direction=H","UseDPDF=Y")</f>
        <v>#NAME?</v>
      </c>
      <c r="AU437" s="2" t="e">
        <f ca="1">_xll.BDH($C$428,"NET_FIXED_ASSETS_5_YEAR_GROWTH","FQ4 2015","FQ4 2015","Currency=INR","Period=FQ","BEST_FPERIOD_OVERRIDE=FQ","FILING_STATUS=OR","EQY_CONSOLIDATED=Y","Sort=A","Dates=H","DateFormat=P","Fill=—","Direction=H","UseDPDF=Y")</f>
        <v>#NAME?</v>
      </c>
      <c r="AV437" s="2" t="e">
        <f ca="1">_xll.BDH($C$428,"GEO_GROW_TOT_ASSET","FQ4 2015","FQ4 2015","Currency=INR","Period=FQ","BEST_FPERIOD_OVERRIDE=FQ","FILING_STATUS=OR","EQY_CONSOLIDATED=Y","Sort=A","Dates=H","DateFormat=P","Fill=—","Direction=H","UseDPDF=Y")</f>
        <v>#NAME?</v>
      </c>
      <c r="AW437" s="2" t="e">
        <f ca="1">_xll.BDH($C$428,"MODIFIED_WORKING_CPTL_5YR_GRWTH","FQ4 2015","FQ4 2015","Currency=INR","Period=FQ","BEST_FPERIOD_OVERRIDE=FQ","FILING_STATUS=OR","EQY_CONSOLIDATED=Y","Sort=A","Dates=H","DateFormat=P","Fill=—","Direction=H","UseDPDF=Y")</f>
        <v>#NAME?</v>
      </c>
      <c r="AX437" s="2" t="e">
        <f ca="1">_xll.BDH($C$428,"WORKING_CAPITAL_5_YEAR_GROWTH","FQ4 2015","FQ4 2015","Currency=INR","Period=FQ","BEST_FPERIOD_OVERRIDE=FQ","FILING_STATUS=OR","EQY_CONSOLIDATED=Y","Sort=A","Dates=H","DateFormat=P","Fill=—","Direction=H","UseDPDF=Y")</f>
        <v>#NAME?</v>
      </c>
      <c r="AY437" s="2" t="e">
        <f ca="1">_xll.BDH($C$428,"ACCOUNTS_PAYABLE_5_YEAR_GROWTH","FQ4 2015","FQ4 2015","Currency=INR","Period=FQ","BEST_FPERIOD_OVERRIDE=FQ","FILING_STATUS=OR","EQY_CONSOLIDATED=Y","Sort=A","Dates=H","DateFormat=P","Fill=—","Direction=H","UseDPDF=Y")</f>
        <v>#NAME?</v>
      </c>
      <c r="AZ437" s="2" t="e">
        <f ca="1">_xll.BDH($C$428,"SHORT_TERM_DEBT_5_YEAR_GROWTH","FQ4 2015","FQ4 2015","Currency=INR","Period=FQ","BEST_FPERIOD_OVERRIDE=FQ","FILING_STATUS=OR","EQY_CONSOLIDATED=Y","Sort=A","Dates=H","DateFormat=P","Fill=—","Direction=H","UseDPDF=Y")</f>
        <v>#NAME?</v>
      </c>
      <c r="BA437" s="2" t="e">
        <f ca="1">_xll.BDH($C$428,"TOTAL_DEBT_5_YEAR_GROWTH","FQ4 2015","FQ4 2015","Currency=INR","Period=FQ","BEST_FPERIOD_OVERRIDE=FQ","FILING_STATUS=OR","EQY_CONSOLIDATED=Y","Sort=A","Dates=H","DateFormat=P","Fill=—","Direction=H","UseDPDF=Y")</f>
        <v>#NAME?</v>
      </c>
      <c r="BB437" s="2" t="e">
        <f ca="1">_xll.BDH($C$428,"GEO_GROW_TOT_SHRHLDR_EQY","FQ4 2015","FQ4 2015","Currency=INR","Period=FQ","BEST_FPERIOD_OVERRIDE=FQ","FILING_STATUS=OR","EQY_CONSOLIDATED=Y","Sort=A","Dates=H","DateFormat=P","Fill=—","Direction=H","UseDPDF=Y")</f>
        <v>#NAME?</v>
      </c>
      <c r="BC437" s="2" t="e">
        <f ca="1">_xll.BDH($C$428,"TOTAL_CAPITAL_5_YEAR_GROWTH","FQ4 2015","FQ4 2015","Currency=INR","Period=FQ","BEST_FPERIOD_OVERRIDE=FQ","FILING_STATUS=OR","EQY_CONSOLIDATED=Y","Sort=A","Dates=H","DateFormat=P","Fill=—","Direction=H","UseDPDF=Y")</f>
        <v>#NAME?</v>
      </c>
      <c r="BD437" s="2" t="e">
        <f ca="1">_xll.BDH($C$428,"GEO_GROW_BOOK_VAL","FQ4 2015","FQ4 2015","Currency=INR","Period=FQ","BEST_FPERIOD_OVERRIDE=FQ","FILING_STATUS=OR","EQY_CONSOLIDATED=Y","Sort=A","Dates=H","DateFormat=P","Fill=—","Direction=H","UseDPDF=Y")</f>
        <v>#NAME?</v>
      </c>
      <c r="BE437" s="2" t="e">
        <f ca="1">_xll.BDH($C$428,"GEO_GROW_CASH_OPER_ACT","FQ4 2015","FQ4 2015","Currency=INR","Period=FQ","BEST_FPERIOD_OVERRIDE=FQ","FILING_STATUS=OR","EQY_CONSOLIDATED=Y","Sort=A","Dates=H","DateFormat=P","Fill=—","Direction=H","UseDPDF=Y")</f>
        <v>#NAME?</v>
      </c>
      <c r="BF437" s="2" t="e">
        <f ca="1">_xll.BDH($C$428,"REVENUE_SEQUENTIAL_GROWTH","FQ4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437" s="2" t="e">
        <f ca="1">_xll.BDH($C$428,"EBITDA_SEQUENTIAL_GROWTH","FQ4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437" s="2" t="e">
        <f ca="1">_xll.BDH($C$428,"OPERATING_INCOME_SEQ_GROWTH","FQ4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437" s="2" t="e">
        <f ca="1">_xll.BDH($C$428,"NET_INCOME_TO_COMMON_SEQ_GROWTH","FQ4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437" s="2" t="e">
        <f ca="1">_xll.BDH($C$428,"EPS_DILUTED_SEQUENTIAL_GROWTH","FQ4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437" s="2" t="e">
        <f ca="1">_xll.BDH($C$428,"DPS_SEQUENTIAL_GROWTH","FQ4 2015","FQ4 2015","Currency=INR","Period=FQ","BEST_FPERIOD_OVERRIDE=FQ","FILING_STATUS=OR","EQY_CONSOLIDATED=Y","Sort=A","Dates=H","DateFormat=P","Fill=—","Direction=H","UseDPDF=Y")</f>
        <v>#NAME?</v>
      </c>
      <c r="BL437" s="2" t="e">
        <f ca="1">_xll.BDH($C$428,"ACCOUNTS_RECEIVABLE_SEQ_GROWTH","FQ4 2015","FQ4 2015","Currency=INR","Period=FQ","BEST_FPERIOD_OVERRIDE=FQ","FILING_STATUS=OR","EQY_CONSOLIDATED=Y","Sort=A","Dates=H","DateFormat=P","Fill=—","Direction=H","UseDPDF=Y")</f>
        <v>#NAME?</v>
      </c>
      <c r="BM437" s="2" t="e">
        <f ca="1">_xll.BDH($C$428,"INVENTORY_SEQUENTIAL_GROWTH","FQ4 2015","FQ4 2015","Currency=INR","Period=FQ","BEST_FPERIOD_OVERRIDE=FQ","FILING_STATUS=OR","EQY_CONSOLIDATED=Y","Sort=A","Dates=H","DateFormat=P","Fill=—","Direction=H","UseDPDF=Y")</f>
        <v>#NAME?</v>
      </c>
      <c r="BN437" s="2" t="e">
        <f ca="1">_xll.BDH($C$428,"FIXED_ASSETS_SEQUENTIAL_GROWTH","FQ4 2015","FQ4 2015","Currency=INR","Period=FQ","BEST_FPERIOD_OVERRIDE=FQ","FILING_STATUS=OR","EQY_CONSOLIDATED=Y","Sort=A","Dates=H","DateFormat=P","Fill=—","Direction=H","UseDPDF=Y")</f>
        <v>#NAME?</v>
      </c>
      <c r="BO437" s="2" t="e">
        <f ca="1">_xll.BDH($C$428,"TOTAL_ASSETS_SEQUENTIAL_GROWTH","FQ4 2015","FQ4 2015","Currency=INR","Period=FQ","BEST_FPERIOD_OVERRIDE=FQ","FILING_STATUS=OR","EQY_CONSOLIDATED=Y","Sort=A","Dates=H","DateFormat=P","Fill=—","Direction=H","UseDPDF=Y")</f>
        <v>#NAME?</v>
      </c>
      <c r="BP437" s="2" t="e">
        <f ca="1">_xll.BDH($C$428,"MODIFIED_WORKING_CPTL_SEQ_GRWTH","FQ4 2015","FQ4 2015","Currency=INR","Period=FQ","BEST_FPERIOD_OVERRIDE=FQ","FILING_STATUS=OR","EQY_CONSOLIDATED=Y","Sort=A","Dates=H","DateFormat=P","Fill=—","Direction=H","UseDPDF=Y")</f>
        <v>#NAME?</v>
      </c>
      <c r="BQ437" s="2" t="e">
        <f ca="1">_xll.BDH($C$428,"WORKING_CAPITAL_SEQ_GROWTH","FQ4 2015","FQ4 2015","Currency=INR","Period=FQ","BEST_FPERIOD_OVERRIDE=FQ","FILING_STATUS=OR","EQY_CONSOLIDATED=Y","Sort=A","Dates=H","DateFormat=P","Fill=—","Direction=H","UseDPDF=Y")</f>
        <v>#NAME?</v>
      </c>
      <c r="BR437" s="2" t="e">
        <f ca="1">_xll.BDH($C$428,"ACCOUNTS_PAYABLE_SEQ_GROWTH","FQ4 2015","FQ4 2015","Currency=INR","Period=FQ","BEST_FPERIOD_OVERRIDE=FQ","FILING_STATUS=OR","EQY_CONSOLIDATED=Y","Sort=A","Dates=H","DateFormat=P","Fill=—","Direction=H","UseDPDF=Y")</f>
        <v>#NAME?</v>
      </c>
      <c r="BS437" s="2" t="e">
        <f ca="1">_xll.BDH($C$428,"ST_DEBT_SEQUENTIAL_GROWTH","FQ4 2015","FQ4 2015","Currency=INR","Period=FQ","BEST_FPERIOD_OVERRIDE=FQ","FILING_STATUS=OR","EQY_CONSOLIDATED=Y","Sort=A","Dates=H","DateFormat=P","Fill=—","Direction=H","UseDPDF=Y")</f>
        <v>#NAME?</v>
      </c>
      <c r="BT437" s="2" t="e">
        <f ca="1">_xll.BDH($C$428,"TOTAL_DEBT_SEQUENTIAL_GROWTH","FQ4 2015","FQ4 2015","Currency=INR","Period=FQ","BEST_FPERIOD_OVERRIDE=FQ","FILING_STATUS=OR","EQY_CONSOLIDATED=Y","Sort=A","Dates=H","DateFormat=P","Fill=—","Direction=H","UseDPDF=Y")</f>
        <v>#NAME?</v>
      </c>
      <c r="BU437" s="2" t="e">
        <f ca="1">_xll.BDH($C$428,"TOTAL_EQUITY_SEQUENTIAL_GROWTH","FQ4 2015","FQ4 2015","Currency=INR","Period=FQ","BEST_FPERIOD_OVERRIDE=FQ","FILING_STATUS=OR","EQY_CONSOLIDATED=Y","Sort=A","Dates=H","DateFormat=P","Fill=—","Direction=H","UseDPDF=Y")</f>
        <v>#NAME?</v>
      </c>
      <c r="BV437" s="2" t="e">
        <f ca="1">_xll.BDH($C$428,"TOTAL_CAPITAL_SEQUENTIAL_GROWTH","FQ4 2015","FQ4 2015","Currency=INR","Period=FQ","BEST_FPERIOD_OVERRIDE=FQ","FILING_STATUS=OR","EQY_CONSOLIDATED=Y","Sort=A","Dates=H","DateFormat=P","Fill=—","Direction=H","UseDPDF=Y")</f>
        <v>#NAME?</v>
      </c>
      <c r="BW437" s="2" t="e">
        <f ca="1">_xll.BDH($C$428,"BPS_SEQUENTIAL_GROWTH","FQ4 2015","FQ4 2015","Currency=INR","Period=FQ","BEST_FPERIOD_OVERRIDE=FQ","FILING_STATUS=OR","EQY_CONSOLIDATED=Y","Sort=A","Dates=H","DateFormat=P","Fill=—","Direction=H","UseDPDF=Y")</f>
        <v>#NAME?</v>
      </c>
      <c r="BX437" s="2" t="e">
        <f ca="1">_xll.BDH($C$428,"CFO_SEQUENTIAL_GROWTH","FQ4 2015","FQ4 2015","Currency=INR","Period=FQ","BEST_FPERIOD_OVERRIDE=FQ","FILING_STATUS=OR","EQY_CONSOLIDATED=Y","Sort=A","Dates=H","DateFormat=P","Fill=—","Direction=H","UseDPDF=Y")</f>
        <v>#NAME?</v>
      </c>
      <c r="BY437" s="3" t="e">
        <f ca="1">_xll.BDH($C$428,"SHORT_AND_LONG_TERM_DEBT","FQ4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437" s="3" t="e">
        <f ca="1">_xll.BDH($C$428,"BS_ST_BORROW","FQ4 2015","FQ4 2015","Currency=INR","Period=FQ","BEST_FPERIOD_OVERRIDE=FQ","FILING_STATUS=OR","EQY_CONSOLIDATED=Y","SCALING_FORMAT=MLN","Sort=A","Dates=H","DateFormat=P","Fill=—","Direction=H","UseDPDF=Y")</f>
        <v>#NAME?</v>
      </c>
      <c r="CA437" s="3" t="e">
        <f ca="1">_xll.BDH($C$428,"BS_LT_BORROW","FQ4 2015","FQ4 2015","Currency=INR","Period=FQ","BEST_FPERIOD_OVERRIDE=FQ","FILING_STATUS=OR","EQY_CONSOLIDATED=Y","SCALING_FORMAT=MLN","Sort=A","Dates=H","DateFormat=P","Fill=—","Direction=H","UseDPDF=Y")</f>
        <v>#NAME?</v>
      </c>
      <c r="CB437" s="2" t="e">
        <f ca="1">_xll.BDH($C$428,"TOT_DEBT_TO_EBITDA","FQ4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437" s="2" t="e">
        <f ca="1">_xll.BDH($C$428,"NET_DEBT_TO_EBITDA","FQ4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437" s="2" t="e">
        <f ca="1">_xll.BDH($C$428,"TOTAL_DEBT_TO_EBIT","FQ4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437" s="2" t="e">
        <f ca="1">_xll.BDH($C$428,"NET_DEBT_TO_EBIT","FQ4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437" s="2" t="e">
        <f ca="1">_xll.BDH($C$428,"EBITDA_TO_INTEREST_EXPN","FQ4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437" s="2" t="e">
        <f ca="1">_xll.BDH($C$428,"COM_EQY_TO_TOT_ASSET","FQ4 2015","FQ4 2015","Currency=INR","Period=FQ","BEST_FPERIOD_OVERRIDE=FQ","FILING_STATUS=OR","EQY_CONSOLIDATED=Y","Sort=A","Dates=H","DateFormat=P","Fill=—","Direction=H","UseDPDF=Y")</f>
        <v>#NAME?</v>
      </c>
      <c r="CH437" s="2" t="e">
        <f ca="1">_xll.BDH($C$428,"LT_DEBT_TO_TOT_EQY","FQ4 2015","FQ4 2015","Currency=INR","Period=FQ","BEST_FPERIOD_OVERRIDE=FQ","FILING_STATUS=OR","EQY_CONSOLIDATED=Y","Sort=A","Dates=H","DateFormat=P","Fill=—","Direction=H","UseDPDF=Y")</f>
        <v>#NAME?</v>
      </c>
      <c r="CI437" s="2" t="e">
        <f ca="1">_xll.BDH($C$428,"LT_DEBT_TO_TOT_CAP","FQ4 2015","FQ4 2015","Currency=INR","Period=FQ","BEST_FPERIOD_OVERRIDE=FQ","FILING_STATUS=OR","EQY_CONSOLIDATED=Y","Sort=A","Dates=H","DateFormat=P","Fill=—","Direction=H","UseDPDF=Y")</f>
        <v>#NAME?</v>
      </c>
      <c r="CJ437" s="2" t="e">
        <f ca="1">_xll.BDH($C$428,"LT_DEBT_TO_TOT_ASSET","FQ4 2015","FQ4 2015","Currency=INR","Period=FQ","BEST_FPERIOD_OVERRIDE=FQ","FILING_STATUS=OR","EQY_CONSOLIDATED=Y","Sort=A","Dates=H","DateFormat=P","Fill=—","Direction=H","UseDPDF=Y")</f>
        <v>#NAME?</v>
      </c>
      <c r="CK437" s="2" t="e">
        <f ca="1">_xll.BDH($C$428,"TOT_DEBT_TO_TOT_EQY","FQ4 2015","FQ4 2015","Currency=INR","Period=FQ","BEST_FPERIOD_OVERRIDE=FQ","FILING_STATUS=OR","EQY_CONSOLIDATED=Y","Sort=A","Dates=H","DateFormat=P","Fill=—","Direction=H","UseDPDF=Y")</f>
        <v>#NAME?</v>
      </c>
      <c r="CL437" s="2" t="e">
        <f ca="1">_xll.BDH($C$428,"TOT_DEBT_TO_TOT_CAP","FQ4 2015","FQ4 2015","Currency=INR","Period=FQ","BEST_FPERIOD_OVERRIDE=FQ","FILING_STATUS=OR","EQY_CONSOLIDATED=Y","Sort=A","Dates=H","DateFormat=P","Fill=—","Direction=H","UseDPDF=Y")</f>
        <v>#NAME?</v>
      </c>
      <c r="CM437" s="2" t="e">
        <f ca="1">_xll.BDH($C$428,"TOT_DEBT_TO_TOT_ASSET","FQ4 2015","FQ4 2015","Currency=INR","Period=FQ","BEST_FPERIOD_OVERRIDE=FQ","FILING_STATUS=OR","EQY_CONSOLIDATED=Y","Sort=A","Dates=H","DateFormat=P","Fill=—","Direction=H","UseDPDF=Y")</f>
        <v>#NAME?</v>
      </c>
      <c r="CN437" s="2" t="e">
        <f ca="1">_xll.BDH($C$428,"NET_DEBT_TO_SHRHLDR_EQTY","FQ4 2015","FQ4 2015","Currency=INR","Period=FQ","BEST_FPERIOD_OVERRIDE=FQ","FILING_STATUS=OR","EQY_CONSOLIDATED=Y","Sort=A","Dates=H","DateFormat=P","Fill=—","Direction=H","UseDPDF=Y")</f>
        <v>#NAME?</v>
      </c>
      <c r="CO437" s="2" t="e">
        <f ca="1">_xll.BDH($C$428,"NET_DEBT_%_CAPITAL","FQ4 2015","FQ4 2015","Currency=INR","Period=FQ","BEST_FPERIOD_OVERRIDE=FQ","FILING_STATUS=OR","EQY_CONSOLIDATED=Y","Sort=A","Dates=H","DateFormat=P","Fill=—","Direction=H","UseDPDF=Y")</f>
        <v>#NAME?</v>
      </c>
      <c r="CP437" s="3" t="e">
        <f ca="1">_xll.BDH($C$428,"EBITDA","FQ4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437" s="3" t="e">
        <f ca="1">_xll.BDH($C$428,"EBITDA_AFTER_CAPEX","FQ4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437" s="3" t="e">
        <f ca="1">_xll.BDH($C$428,"IS_OPER_INC","FQ4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437" s="2" t="e">
        <f ca="1">_xll.BDH($C$428,"CASH_RATIO","FQ4 2015","FQ4 2015","Currency=INR","Period=FQ","BEST_FPERIOD_OVERRIDE=FQ","FILING_STATUS=OR","EQY_CONSOLIDATED=Y","Sort=A","Dates=H","DateFormat=P","Fill=—","Direction=H","UseDPDF=Y")</f>
        <v>#NAME?</v>
      </c>
      <c r="CT437" s="2" t="e">
        <f ca="1">_xll.BDH($C$428,"CUR_RATIO","FQ4 2015","FQ4 2015","Currency=INR","Period=FQ","BEST_FPERIOD_OVERRIDE=FQ","FILING_STATUS=OR","EQY_CONSOLIDATED=Y","Sort=A","Dates=H","DateFormat=P","Fill=—","Direction=H","UseDPDF=Y")</f>
        <v>#NAME?</v>
      </c>
      <c r="CU437" s="2" t="e">
        <f ca="1">_xll.BDH($C$428,"QUICK_RATIO","FQ4 2015","FQ4 2015","Currency=INR","Period=FQ","BEST_FPERIOD_OVERRIDE=FQ","FILING_STATUS=OR","EQY_CONSOLIDATED=Y","Sort=A","Dates=H","DateFormat=P","Fill=—","Direction=H","UseDPDF=Y")</f>
        <v>#NAME?</v>
      </c>
      <c r="CV437" s="2" t="e">
        <f ca="1">_xll.BDH($C$428,"ALTMAN_Z_SCORE","FQ4 2015","FQ4 2015","Currency=INR","Period=FQ","BEST_FPERIOD_OVERRIDE=FQ","FILING_STATUS=OR","EQY_CONSOLIDATED=Y","Sort=A","Dates=H","DateFormat=P","Fill=—","Direction=H","UseDPDF=Y")</f>
        <v>#NAME?</v>
      </c>
      <c r="CW437" s="4" t="e">
        <f ca="1">_xll.BDH($C$428,"ACCT_RCV_TURN","FQ4 2015","FQ4 2015","Currency=INR","Period=FQ","BEST_FPERIOD_OVERRIDE=FQ","FILING_STATUS=OR","EQY_CONSOLIDATED=Y","FA_ADJUSTED=GAAP","Sort=A","Dates=H","DateFormat=P","Fill=—","Direction=H","UseDPDF=Y")</f>
        <v>#NAME?</v>
      </c>
      <c r="CX437" s="2" t="e">
        <f ca="1">_xll.BDH($C$428,"ACCT_RCV_DAYS","FQ4 2015","FQ4 2015","Currency=INR","Period=FQ","BEST_FPERIOD_OVERRIDE=FQ","FILING_STATUS=OR","EQY_CONSOLIDATED=Y","FA_ADJUSTED=GAAP","Sort=A","Dates=H","DateFormat=P","Fill=—","Direction=H","UseDPDF=Y")</f>
        <v>#NAME?</v>
      </c>
      <c r="CY437" s="4" t="e">
        <f ca="1">_xll.BDH($C$428,"INVENT_TURN","FQ4 2015","FQ4 2015","Currency=INR","Period=FQ","BEST_FPERIOD_OVERRIDE=FQ","FILING_STATUS=OR","EQY_CONSOLIDATED=Y","FA_ADJUSTED=GAAP","Sort=A","Dates=H","DateFormat=P","Fill=—","Direction=H","UseDPDF=Y")</f>
        <v>#NAME?</v>
      </c>
      <c r="CZ437" s="2" t="e">
        <f ca="1">_xll.BDH($C$428,"INVENT_DAYS","FQ4 2015","FQ4 2015","Currency=INR","Period=FQ","BEST_FPERIOD_OVERRIDE=FQ","FILING_STATUS=OR","EQY_CONSOLIDATED=Y","FA_ADJUSTED=GAAP","Sort=A","Dates=H","DateFormat=P","Fill=—","Direction=H","UseDPDF=Y")</f>
        <v>#NAME?</v>
      </c>
      <c r="DA437" s="4" t="e">
        <f ca="1">_xll.BDH($C$428,"ACCOUNTS_PAYABLE_TURNOVER","FQ4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437" s="2" t="e">
        <f ca="1">_xll.BDH($C$428,"ACCOUNTS_PAYABLE_TURNOVER_DAYS","FQ4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437" s="4" t="e">
        <f ca="1">_xll.BDH($C$428,"CASH_CONVERSION_CYCLE","FQ4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437" s="4" t="e">
        <f ca="1">_xll.BDH($C$428,"INV_TO_CASH_DAYS","FQ4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437" s="5" t="e">
        <f ca="1">_xll.BDH($C$428,"BS_INVENTORIES","FQ4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437" s="3" t="e">
        <f ca="1">_xll.BDH($C$428,"INVTRY_RAW_MATERIALS","FQ4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437" s="3" t="e">
        <f ca="1">_xll.BDH($C$428,"INVTRY_IN_PROGRESS","FQ4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437" s="3" t="e">
        <f ca="1">_xll.BDH($C$428,"INVTRY_FINISHED_GOODS","FQ4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437" s="3" t="e">
        <f ca="1">_xll.BDH($C$428,"BS_OTHER_INV","FQ4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438" spans="1:113" x14ac:dyDescent="0.3">
      <c r="A438" s="6"/>
      <c r="B438" s="6"/>
      <c r="C438" s="6"/>
      <c r="D438" s="6" t="s">
        <v>83</v>
      </c>
      <c r="E438" t="s">
        <v>77</v>
      </c>
      <c r="F438" t="e">
        <f ca="1">_xll.BDH($C$428,"RETURN_COM_EQY","FY 2016","FY 2016","Currency=INR","Period=FY","BEST_FPERIOD_OVERRIDE=FY","FILING_STATUS=OR","EQY_CONSOLIDATED=Y","FA_ADJUSTED=GAAP","Sort=A","Dates=H","DateFormat=P","Fill=—","Direction=H","UseDPDF=Y")</f>
        <v>#NAME?</v>
      </c>
      <c r="G438" t="e">
        <f ca="1">_xll.BDH($C$428,"RETURN_ON_ASSET","FY 2016","FY 2016","Currency=INR","Period=FY","BEST_FPERIOD_OVERRIDE=FY","FILING_STATUS=OR","EQY_CONSOLIDATED=Y","FA_ADJUSTED=GAAP","Sort=A","Dates=H","DateFormat=P","Fill=—","Direction=H","UseDPDF=Y")</f>
        <v>#NAME?</v>
      </c>
      <c r="H438" t="e">
        <f ca="1">_xll.BDH($C$428,"RETURN_ON_CAP","FY 2016","FY 2016","Currency=INR","Period=FY","BEST_FPERIOD_OVERRIDE=FY","FILING_STATUS=OR","EQY_CONSOLIDATED=Y","FA_ADJUSTED=GAAP","Sort=A","Dates=H","DateFormat=P","Fill=—","Direction=H","UseDPDF=Y")</f>
        <v>#NAME?</v>
      </c>
      <c r="I438" t="e">
        <f ca="1">_xll.BDH($C$428,"RETURN_ON_INV_CAPITAL","FY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438" t="e">
        <f ca="1">_xll.BDH($C$428,"EBITDA_TO_REVENUE","FY 2016","FY 2016","Currency=INR","Period=FY","BEST_FPERIOD_OVERRIDE=FY","FILING_STATUS=OR","EQY_CONSOLIDATED=Y","FA_ADJUSTED=GAAP","Sort=A","Dates=H","DateFormat=P","Fill=—","Direction=H","UseDPDF=Y")</f>
        <v>#NAME?</v>
      </c>
      <c r="K438" t="e">
        <f ca="1">_xll.BDH($C$428,"OPER_MARGIN","FY 2016","FY 2016","Currency=INR","Period=FY","BEST_FPERIOD_OVERRIDE=FY","FILING_STATUS=OR","EQY_CONSOLIDATED=Y","FA_ADJUSTED=GAAP","Sort=A","Dates=H","DateFormat=P","Fill=—","Direction=H","UseDPDF=Y")</f>
        <v>#NAME?</v>
      </c>
      <c r="L438" t="e">
        <f ca="1">_xll.BDH($C$428,"INCREMENTAL_OPERATING_MARGIN","FY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438" t="e">
        <f ca="1">_xll.BDH($C$428,"PRETAX_INC_TO_NET_SALES","FY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438" t="e">
        <f ca="1">_xll.BDH($C$428,"INC_BEF_XO_ITEMS_TO_NET_SALES","FY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438" t="e">
        <f ca="1">_xll.BDH($C$428,"PROF_MARGIN","FY 2016","FY 2016","Currency=INR","Period=FY","BEST_FPERIOD_OVERRIDE=FY","FILING_STATUS=OR","EQY_CONSOLIDATED=Y","FA_ADJUSTED=GAAP","Sort=A","Dates=H","DateFormat=P","Fill=—","Direction=H","UseDPDF=Y")</f>
        <v>#NAME?</v>
      </c>
      <c r="P438" t="e">
        <f ca="1">_xll.BDH($C$428,"NET_INCOME_TO_COMMON_MARGIN","FY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438" t="e">
        <f ca="1">_xll.BDH($C$428,"EFF_TAX_RATE","FY 2016","FY 2016","Currency=INR","Period=FY","BEST_FPERIOD_OVERRIDE=FY","FILING_STATUS=OR","EQY_CONSOLIDATED=Y","FA_ADJUSTED=GAAP","Sort=A","Dates=H","DateFormat=P","Fill=—","Direction=H","UseDPDF=Y")</f>
        <v>#NAME?</v>
      </c>
      <c r="R438" t="e">
        <f ca="1">_xll.BDH($C$428,"DVD_PAYOUT_RATIO","FY 2016","FY 2016","Currency=INR","Period=FY","BEST_FPERIOD_OVERRIDE=FY","FILING_STATUS=OR","EQY_CONSOLIDATED=Y","FA_ADJUSTED=GAAP","Sort=A","Dates=H","DateFormat=P","Fill=—","Direction=H","UseDPDF=Y")</f>
        <v>#NAME?</v>
      </c>
      <c r="S438" t="e">
        <f ca="1">_xll.BDH($C$428,"SUSTAIN_GROWTH_RT","FY 2016","FY 2016","Currency=INR","Period=FY","BEST_FPERIOD_OVERRIDE=FY","FILING_STATUS=OR","EQY_CONSOLIDATED=Y","FA_ADJUSTED=GAAP","Sort=A","Dates=H","DateFormat=P","Fill=—","Direction=H","UseDPDF=Y")</f>
        <v>#NAME?</v>
      </c>
      <c r="T438" s="2" t="e">
        <f ca="1">_xll.BDH($C$428,"SALES_GROWTH","FY 2016","FY 2016","Currency=INR","Period=FY","BEST_FPERIOD_OVERRIDE=FY","FILING_STATUS=OR","EQY_CONSOLIDATED=Y","FA_ADJUSTED=GAAP","Sort=A","Dates=H","DateFormat=P","Fill=—","Direction=H","UseDPDF=Y")</f>
        <v>#NAME?</v>
      </c>
      <c r="U438" s="2" t="e">
        <f ca="1">_xll.BDH($C$428,"EBITDA_GROWTH","FY 2016","FY 2016","Currency=INR","Period=FY","BEST_FPERIOD_OVERRIDE=FY","FILING_STATUS=OR","EQY_CONSOLIDATED=Y","FA_ADJUSTED=GAAP","Sort=A","Dates=H","DateFormat=P","Fill=—","Direction=H","UseDPDF=Y")</f>
        <v>#NAME?</v>
      </c>
      <c r="V438" s="2" t="e">
        <f ca="1">_xll.BDH($C$428,"OPER_INC_GROWTH","FY 2016","FY 2016","Currency=INR","Period=FY","BEST_FPERIOD_OVERRIDE=FY","FILING_STATUS=OR","EQY_CONSOLIDATED=Y","FA_ADJUSTED=GAAP","Sort=A","Dates=H","DateFormat=P","Fill=—","Direction=H","UseDPDF=Y")</f>
        <v>#NAME?</v>
      </c>
      <c r="W438" s="2" t="e">
        <f ca="1">_xll.BDH($C$428,"EARN_FOR_COM_GROWTH","FY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438" s="2" t="e">
        <f ca="1">_xll.BDH($C$428,"DILUTED_EPS_AFT_XO_ITEMS_GROWTH","FY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438" s="2" t="e">
        <f ca="1">_xll.BDH($C$428,"DIVIDEND_PER_SHARE_1_YEAR_GROWTH","FY 2016","FY 2016","Currency=INR","Period=FY","BEST_FPERIOD_OVERRIDE=FY","FILING_STATUS=OR","EQY_CONSOLIDATED=Y","Sort=A","Dates=H","DateFormat=P","Fill=—","Direction=H","UseDPDF=Y")</f>
        <v>#NAME?</v>
      </c>
      <c r="Z438" s="2" t="e">
        <f ca="1">_xll.BDH($C$428,"ACCOUNTS_RECEIVABLE_GROWTH","FY 2016","FY 2016","Currency=INR","Period=FY","BEST_FPERIOD_OVERRIDE=FY","FILING_STATUS=OR","EQY_CONSOLIDATED=Y","Sort=A","Dates=H","DateFormat=P","Fill=—","Direction=H","UseDPDF=Y")</f>
        <v>#NAME?</v>
      </c>
      <c r="AA438" s="2" t="e">
        <f ca="1">_xll.BDH($C$428,"INVENTORY_GROWTH","FY 2016","FY 2016","Currency=INR","Period=FY","BEST_FPERIOD_OVERRIDE=FY","FILING_STATUS=OR","EQY_CONSOLIDATED=Y","Sort=A","Dates=H","DateFormat=P","Fill=—","Direction=H","UseDPDF=Y")</f>
        <v>#NAME?</v>
      </c>
      <c r="AB438" s="2" t="e">
        <f ca="1">_xll.BDH($C$428,"NET_FIXED_ASSETS_1_YEAR_GROWTH","FY 2016","FY 2016","Currency=INR","Period=FY","BEST_FPERIOD_OVERRIDE=FY","FILING_STATUS=OR","EQY_CONSOLIDATED=Y","Sort=A","Dates=H","DateFormat=P","Fill=—","Direction=H","UseDPDF=Y")</f>
        <v>#NAME?</v>
      </c>
      <c r="AC438" s="2" t="e">
        <f ca="1">_xll.BDH($C$428,"ASSET_GROWTH","FY 2016","FY 2016","Currency=INR","Period=FY","BEST_FPERIOD_OVERRIDE=FY","FILING_STATUS=OR","EQY_CONSOLIDATED=Y","Sort=A","Dates=H","DateFormat=P","Fill=—","Direction=H","UseDPDF=Y")</f>
        <v>#NAME?</v>
      </c>
      <c r="AD438" s="2" t="e">
        <f ca="1">_xll.BDH($C$428,"MODIFIED_WORK_CAP_GROWTH","FY 2016","FY 2016","Currency=INR","Period=FY","BEST_FPERIOD_OVERRIDE=FY","FILING_STATUS=OR","EQY_CONSOLIDATED=Y","Sort=A","Dates=H","DateFormat=P","Fill=—","Direction=H","UseDPDF=Y")</f>
        <v>#NAME?</v>
      </c>
      <c r="AE438" s="2" t="e">
        <f ca="1">_xll.BDH($C$428,"WORK_CAP_GROWTH","FY 2016","FY 2016","Currency=INR","Period=FY","BEST_FPERIOD_OVERRIDE=FY","FILING_STATUS=OR","EQY_CONSOLIDATED=Y","Sort=A","Dates=H","DateFormat=P","Fill=—","Direction=H","UseDPDF=Y")</f>
        <v>#NAME?</v>
      </c>
      <c r="AF438" s="2" t="e">
        <f ca="1">_xll.BDH($C$428,"ACCOUNTS_PAYABLE_GROWTH_1YR","FY 2016","FY 2016","Currency=INR","Period=FY","BEST_FPERIOD_OVERRIDE=FY","FILING_STATUS=OR","EQY_CONSOLIDATED=Y","Sort=A","Dates=H","DateFormat=P","Fill=—","Direction=H","UseDPDF=Y")</f>
        <v>#NAME?</v>
      </c>
      <c r="AG438" s="2" t="e">
        <f ca="1">_xll.BDH($C$428,"SHORT_TERM_DEBT_1_YEAR_GROWTH","FY 2016","FY 2016","Currency=INR","Period=FY","BEST_FPERIOD_OVERRIDE=FY","FILING_STATUS=OR","EQY_CONSOLIDATED=Y","Sort=A","Dates=H","DateFormat=P","Fill=—","Direction=H","UseDPDF=Y")</f>
        <v>#NAME?</v>
      </c>
      <c r="AH438" s="2" t="e">
        <f ca="1">_xll.BDH($C$428,"TOTAL_DEBT_1_YEAR_GROWTH","FY 2016","FY 2016","Currency=INR","Period=FY","BEST_FPERIOD_OVERRIDE=FY","FILING_STATUS=OR","EQY_CONSOLIDATED=Y","Sort=A","Dates=H","DateFormat=P","Fill=—","Direction=H","UseDPDF=Y")</f>
        <v>#NAME?</v>
      </c>
      <c r="AI438" s="2" t="e">
        <f ca="1">_xll.BDH($C$428,"TOTAL_EQUITY_1_YEAR_GROWTH","FY 2016","FY 2016","Currency=INR","Period=FY","BEST_FPERIOD_OVERRIDE=FY","FILING_STATUS=OR","EQY_CONSOLIDATED=Y","Sort=A","Dates=H","DateFormat=P","Fill=—","Direction=H","UseDPDF=Y")</f>
        <v>#NAME?</v>
      </c>
      <c r="AJ438" s="2" t="e">
        <f ca="1">_xll.BDH($C$428,"GROWTH_IN_CAP","FY 2016","FY 2016","Currency=INR","Period=FY","BEST_FPERIOD_OVERRIDE=FY","FILING_STATUS=OR","EQY_CONSOLIDATED=Y","Sort=A","Dates=H","DateFormat=P","Fill=—","Direction=H","UseDPDF=Y")</f>
        <v>#NAME?</v>
      </c>
      <c r="AK438" s="2" t="e">
        <f ca="1">_xll.BDH($C$428,"BVPS_GROWTH","FY 2016","FY 2016","Currency=INR","Period=FY","BEST_FPERIOD_OVERRIDE=FY","FILING_STATUS=OR","EQY_CONSOLIDATED=Y","Sort=A","Dates=H","DateFormat=P","Fill=—","Direction=H","UseDPDF=Y")</f>
        <v>#NAME?</v>
      </c>
      <c r="AL438" s="2" t="e">
        <f ca="1">_xll.BDH($C$428,"CASH_FLOW_GROWTH","FY 2016","FY 2016","Currency=INR","Period=FY","BEST_FPERIOD_OVERRIDE=FY","FILING_STATUS=OR","EQY_CONSOLIDATED=Y","Sort=A","Dates=H","DateFormat=P","Fill=—","Direction=H","UseDPDF=Y")</f>
        <v>#NAME?</v>
      </c>
      <c r="AM438" s="2" t="e">
        <f ca="1">_xll.BDH($C$428,"GEO_GROW_NET_SALES","FY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438" s="2" t="e">
        <f ca="1">_xll.BDH($C$428,"GEO_GROW_EBITDA","FY 2016","FY 2016","Currency=INR","Period=FY","BEST_FPERIOD_OVERRIDE=FY","FILING_STATUS=OR","EQY_CONSOLIDATED=Y","FA_ADJUSTED=GAAP","Sort=A","Dates=H","DateFormat=P","Fill=—","Direction=H","UseDPDF=Y")</f>
        <v>#NAME?</v>
      </c>
      <c r="AO438" s="2" t="e">
        <f ca="1">_xll.BDH($C$428,"GEO_GROW_OPER_INC","FY 2016","FY 2016","Currency=INR","Period=FY","BEST_FPERIOD_OVERRIDE=FY","FILING_STATUS=OR","EQY_CONSOLIDATED=Y","FA_ADJUSTED=GAAP","Sort=A","Dates=H","DateFormat=P","Fill=—","Direction=H","UseDPDF=Y")</f>
        <v>#NAME?</v>
      </c>
      <c r="AP438" s="2" t="e">
        <f ca="1">_xll.BDH($C$428,"NET_INCOME_TO_COMMON_5_YR_GROWTH","FY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438" s="2" t="e">
        <f ca="1">_xll.BDH($C$428,"5Y_GEO_GROWTH_DILUTED_EPS","FY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438" s="2" t="e">
        <f ca="1">_xll.BDH($C$428,"GEO_GROW_DVD_PER_SH","FY 2016","FY 2016","Currency=INR","Period=FY","BEST_FPERIOD_OVERRIDE=FY","FILING_STATUS=OR","EQY_CONSOLIDATED=Y","Sort=A","Dates=H","DateFormat=P","Fill=—","Direction=H","UseDPDF=Y")</f>
        <v>#NAME?</v>
      </c>
      <c r="AS438" s="2" t="e">
        <f ca="1">_xll.BDH($C$428,"ACCOUNTS_RECEIVABLE_5_YR_GROWTH","FY 2016","FY 2016","Currency=INR","Period=FY","BEST_FPERIOD_OVERRIDE=FY","FILING_STATUS=OR","EQY_CONSOLIDATED=Y","Sort=A","Dates=H","DateFormat=P","Fill=—","Direction=H","UseDPDF=Y")</f>
        <v>#NAME?</v>
      </c>
      <c r="AT438" s="2" t="e">
        <f ca="1">_xll.BDH($C$428,"INVENTORY_5_YEAR_GROWTH","FY 2016","FY 2016","Currency=INR","Period=FY","BEST_FPERIOD_OVERRIDE=FY","FILING_STATUS=OR","EQY_CONSOLIDATED=Y","Sort=A","Dates=H","DateFormat=P","Fill=—","Direction=H","UseDPDF=Y")</f>
        <v>#NAME?</v>
      </c>
      <c r="AU438" s="2" t="e">
        <f ca="1">_xll.BDH($C$428,"NET_FIXED_ASSETS_5_YEAR_GROWTH","FY 2016","FY 2016","Currency=INR","Period=FY","BEST_FPERIOD_OVERRIDE=FY","FILING_STATUS=OR","EQY_CONSOLIDATED=Y","Sort=A","Dates=H","DateFormat=P","Fill=—","Direction=H","UseDPDF=Y")</f>
        <v>#NAME?</v>
      </c>
      <c r="AV438" s="2" t="e">
        <f ca="1">_xll.BDH($C$428,"GEO_GROW_TOT_ASSET","FY 2016","FY 2016","Currency=INR","Period=FY","BEST_FPERIOD_OVERRIDE=FY","FILING_STATUS=OR","EQY_CONSOLIDATED=Y","Sort=A","Dates=H","DateFormat=P","Fill=—","Direction=H","UseDPDF=Y")</f>
        <v>#NAME?</v>
      </c>
      <c r="AW438" s="2" t="e">
        <f ca="1">_xll.BDH($C$428,"MODIFIED_WORKING_CPTL_5YR_GRWTH","FY 2016","FY 2016","Currency=INR","Period=FY","BEST_FPERIOD_OVERRIDE=FY","FILING_STATUS=OR","EQY_CONSOLIDATED=Y","Sort=A","Dates=H","DateFormat=P","Fill=—","Direction=H","UseDPDF=Y")</f>
        <v>#NAME?</v>
      </c>
      <c r="AX438" s="2" t="e">
        <f ca="1">_xll.BDH($C$428,"WORKING_CAPITAL_5_YEAR_GROWTH","FY 2016","FY 2016","Currency=INR","Period=FY","BEST_FPERIOD_OVERRIDE=FY","FILING_STATUS=OR","EQY_CONSOLIDATED=Y","Sort=A","Dates=H","DateFormat=P","Fill=—","Direction=H","UseDPDF=Y")</f>
        <v>#NAME?</v>
      </c>
      <c r="AY438" s="2" t="e">
        <f ca="1">_xll.BDH($C$428,"ACCOUNTS_PAYABLE_5_YEAR_GROWTH","FY 2016","FY 2016","Currency=INR","Period=FY","BEST_FPERIOD_OVERRIDE=FY","FILING_STATUS=OR","EQY_CONSOLIDATED=Y","Sort=A","Dates=H","DateFormat=P","Fill=—","Direction=H","UseDPDF=Y")</f>
        <v>#NAME?</v>
      </c>
      <c r="AZ438" s="2" t="e">
        <f ca="1">_xll.BDH($C$428,"SHORT_TERM_DEBT_5_YEAR_GROWTH","FY 2016","FY 2016","Currency=INR","Period=FY","BEST_FPERIOD_OVERRIDE=FY","FILING_STATUS=OR","EQY_CONSOLIDATED=Y","Sort=A","Dates=H","DateFormat=P","Fill=—","Direction=H","UseDPDF=Y")</f>
        <v>#NAME?</v>
      </c>
      <c r="BA438" s="2" t="e">
        <f ca="1">_xll.BDH($C$428,"TOTAL_DEBT_5_YEAR_GROWTH","FY 2016","FY 2016","Currency=INR","Period=FY","BEST_FPERIOD_OVERRIDE=FY","FILING_STATUS=OR","EQY_CONSOLIDATED=Y","Sort=A","Dates=H","DateFormat=P","Fill=—","Direction=H","UseDPDF=Y")</f>
        <v>#NAME?</v>
      </c>
      <c r="BB438" s="2" t="e">
        <f ca="1">_xll.BDH($C$428,"GEO_GROW_TOT_SHRHLDR_EQY","FY 2016","FY 2016","Currency=INR","Period=FY","BEST_FPERIOD_OVERRIDE=FY","FILING_STATUS=OR","EQY_CONSOLIDATED=Y","Sort=A","Dates=H","DateFormat=P","Fill=—","Direction=H","UseDPDF=Y")</f>
        <v>#NAME?</v>
      </c>
      <c r="BC438" s="2" t="e">
        <f ca="1">_xll.BDH($C$428,"TOTAL_CAPITAL_5_YEAR_GROWTH","FY 2016","FY 2016","Currency=INR","Period=FY","BEST_FPERIOD_OVERRIDE=FY","FILING_STATUS=OR","EQY_CONSOLIDATED=Y","Sort=A","Dates=H","DateFormat=P","Fill=—","Direction=H","UseDPDF=Y")</f>
        <v>#NAME?</v>
      </c>
      <c r="BD438" s="2" t="e">
        <f ca="1">_xll.BDH($C$428,"GEO_GROW_BOOK_VAL","FY 2016","FY 2016","Currency=INR","Period=FY","BEST_FPERIOD_OVERRIDE=FY","FILING_STATUS=OR","EQY_CONSOLIDATED=Y","Sort=A","Dates=H","DateFormat=P","Fill=—","Direction=H","UseDPDF=Y")</f>
        <v>#NAME?</v>
      </c>
      <c r="BE438" s="2" t="e">
        <f ca="1">_xll.BDH($C$428,"GEO_GROW_CASH_OPER_ACT","FY 2016","FY 2016","Currency=INR","Period=FY","BEST_FPERIOD_OVERRIDE=FY","FILING_STATUS=OR","EQY_CONSOLIDATED=Y","Sort=A","Dates=H","DateFormat=P","Fill=—","Direction=H","UseDPDF=Y")</f>
        <v>#NAME?</v>
      </c>
      <c r="BF438" s="2" t="e">
        <f ca="1">_xll.BDH($C$428,"REVENUE_SEQUENTIAL_GROWTH","FY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438" s="2" t="e">
        <f ca="1">_xll.BDH($C$428,"EBITDA_SEQUENTIAL_GROWTH","FY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438" s="2" t="e">
        <f ca="1">_xll.BDH($C$428,"OPERATING_INCOME_SEQ_GROWTH","FY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438" s="2" t="e">
        <f ca="1">_xll.BDH($C$428,"NET_INCOME_TO_COMMON_SEQ_GROWTH","FY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438" s="2" t="e">
        <f ca="1">_xll.BDH($C$428,"EPS_DILUTED_SEQUENTIAL_GROWTH","FY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438" s="2" t="e">
        <f ca="1">_xll.BDH($C$428,"DPS_SEQUENTIAL_GROWTH","FY 2016","FY 2016","Currency=INR","Period=FY","BEST_FPERIOD_OVERRIDE=FY","FILING_STATUS=OR","EQY_CONSOLIDATED=Y","Sort=A","Dates=H","DateFormat=P","Fill=—","Direction=H","UseDPDF=Y")</f>
        <v>#NAME?</v>
      </c>
      <c r="BL438" s="2" t="e">
        <f ca="1">_xll.BDH($C$428,"ACCOUNTS_RECEIVABLE_SEQ_GROWTH","FY 2016","FY 2016","Currency=INR","Period=FY","BEST_FPERIOD_OVERRIDE=FY","FILING_STATUS=OR","EQY_CONSOLIDATED=Y","Sort=A","Dates=H","DateFormat=P","Fill=—","Direction=H","UseDPDF=Y")</f>
        <v>#NAME?</v>
      </c>
      <c r="BM438" s="2" t="e">
        <f ca="1">_xll.BDH($C$428,"INVENTORY_SEQUENTIAL_GROWTH","FY 2016","FY 2016","Currency=INR","Period=FY","BEST_FPERIOD_OVERRIDE=FY","FILING_STATUS=OR","EQY_CONSOLIDATED=Y","Sort=A","Dates=H","DateFormat=P","Fill=—","Direction=H","UseDPDF=Y")</f>
        <v>#NAME?</v>
      </c>
      <c r="BN438" s="2" t="e">
        <f ca="1">_xll.BDH($C$428,"FIXED_ASSETS_SEQUENTIAL_GROWTH","FY 2016","FY 2016","Currency=INR","Period=FY","BEST_FPERIOD_OVERRIDE=FY","FILING_STATUS=OR","EQY_CONSOLIDATED=Y","Sort=A","Dates=H","DateFormat=P","Fill=—","Direction=H","UseDPDF=Y")</f>
        <v>#NAME?</v>
      </c>
      <c r="BO438" s="2" t="e">
        <f ca="1">_xll.BDH($C$428,"TOTAL_ASSETS_SEQUENTIAL_GROWTH","FY 2016","FY 2016","Currency=INR","Period=FY","BEST_FPERIOD_OVERRIDE=FY","FILING_STATUS=OR","EQY_CONSOLIDATED=Y","Sort=A","Dates=H","DateFormat=P","Fill=—","Direction=H","UseDPDF=Y")</f>
        <v>#NAME?</v>
      </c>
      <c r="BP438" s="2" t="e">
        <f ca="1">_xll.BDH($C$428,"MODIFIED_WORKING_CPTL_SEQ_GRWTH","FY 2016","FY 2016","Currency=INR","Period=FY","BEST_FPERIOD_OVERRIDE=FY","FILING_STATUS=OR","EQY_CONSOLIDATED=Y","Sort=A","Dates=H","DateFormat=P","Fill=—","Direction=H","UseDPDF=Y")</f>
        <v>#NAME?</v>
      </c>
      <c r="BQ438" s="2" t="e">
        <f ca="1">_xll.BDH($C$428,"WORKING_CAPITAL_SEQ_GROWTH","FY 2016","FY 2016","Currency=INR","Period=FY","BEST_FPERIOD_OVERRIDE=FY","FILING_STATUS=OR","EQY_CONSOLIDATED=Y","Sort=A","Dates=H","DateFormat=P","Fill=—","Direction=H","UseDPDF=Y")</f>
        <v>#NAME?</v>
      </c>
      <c r="BR438" s="2" t="e">
        <f ca="1">_xll.BDH($C$428,"ACCOUNTS_PAYABLE_SEQ_GROWTH","FY 2016","FY 2016","Currency=INR","Period=FY","BEST_FPERIOD_OVERRIDE=FY","FILING_STATUS=OR","EQY_CONSOLIDATED=Y","Sort=A","Dates=H","DateFormat=P","Fill=—","Direction=H","UseDPDF=Y")</f>
        <v>#NAME?</v>
      </c>
      <c r="BS438" s="2" t="e">
        <f ca="1">_xll.BDH($C$428,"ST_DEBT_SEQUENTIAL_GROWTH","FY 2016","FY 2016","Currency=INR","Period=FY","BEST_FPERIOD_OVERRIDE=FY","FILING_STATUS=OR","EQY_CONSOLIDATED=Y","Sort=A","Dates=H","DateFormat=P","Fill=—","Direction=H","UseDPDF=Y")</f>
        <v>#NAME?</v>
      </c>
      <c r="BT438" s="2" t="e">
        <f ca="1">_xll.BDH($C$428,"TOTAL_DEBT_SEQUENTIAL_GROWTH","FY 2016","FY 2016","Currency=INR","Period=FY","BEST_FPERIOD_OVERRIDE=FY","FILING_STATUS=OR","EQY_CONSOLIDATED=Y","Sort=A","Dates=H","DateFormat=P","Fill=—","Direction=H","UseDPDF=Y")</f>
        <v>#NAME?</v>
      </c>
      <c r="BU438" s="2" t="e">
        <f ca="1">_xll.BDH($C$428,"TOTAL_EQUITY_SEQUENTIAL_GROWTH","FY 2016","FY 2016","Currency=INR","Period=FY","BEST_FPERIOD_OVERRIDE=FY","FILING_STATUS=OR","EQY_CONSOLIDATED=Y","Sort=A","Dates=H","DateFormat=P","Fill=—","Direction=H","UseDPDF=Y")</f>
        <v>#NAME?</v>
      </c>
      <c r="BV438" s="2" t="e">
        <f ca="1">_xll.BDH($C$428,"TOTAL_CAPITAL_SEQUENTIAL_GROWTH","FY 2016","FY 2016","Currency=INR","Period=FY","BEST_FPERIOD_OVERRIDE=FY","FILING_STATUS=OR","EQY_CONSOLIDATED=Y","Sort=A","Dates=H","DateFormat=P","Fill=—","Direction=H","UseDPDF=Y")</f>
        <v>#NAME?</v>
      </c>
      <c r="BW438" s="2" t="e">
        <f ca="1">_xll.BDH($C$428,"BPS_SEQUENTIAL_GROWTH","FY 2016","FY 2016","Currency=INR","Period=FY","BEST_FPERIOD_OVERRIDE=FY","FILING_STATUS=OR","EQY_CONSOLIDATED=Y","Sort=A","Dates=H","DateFormat=P","Fill=—","Direction=H","UseDPDF=Y")</f>
        <v>#NAME?</v>
      </c>
      <c r="BX438" s="2" t="e">
        <f ca="1">_xll.BDH($C$428,"CFO_SEQUENTIAL_GROWTH","FY 2016","FY 2016","Currency=INR","Period=FY","BEST_FPERIOD_OVERRIDE=FY","FILING_STATUS=OR","EQY_CONSOLIDATED=Y","Sort=A","Dates=H","DateFormat=P","Fill=—","Direction=H","UseDPDF=Y")</f>
        <v>#NAME?</v>
      </c>
      <c r="BY438" s="3" t="e">
        <f ca="1">_xll.BDH($C$428,"SHORT_AND_LONG_TERM_DEBT","FY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438" s="3" t="e">
        <f ca="1">_xll.BDH($C$428,"BS_ST_BORROW","FY 2016","FY 2016","Currency=INR","Period=FY","BEST_FPERIOD_OVERRIDE=FY","FILING_STATUS=OR","EQY_CONSOLIDATED=Y","SCALING_FORMAT=MLN","Sort=A","Dates=H","DateFormat=P","Fill=—","Direction=H","UseDPDF=Y")</f>
        <v>#NAME?</v>
      </c>
      <c r="CA438" s="3" t="e">
        <f ca="1">_xll.BDH($C$428,"BS_LT_BORROW","FY 2016","FY 2016","Currency=INR","Period=FY","BEST_FPERIOD_OVERRIDE=FY","FILING_STATUS=OR","EQY_CONSOLIDATED=Y","SCALING_FORMAT=MLN","Sort=A","Dates=H","DateFormat=P","Fill=—","Direction=H","UseDPDF=Y")</f>
        <v>#NAME?</v>
      </c>
      <c r="CB438" s="2" t="e">
        <f ca="1">_xll.BDH($C$428,"TOT_DEBT_TO_EBITDA","FY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438" s="2" t="e">
        <f ca="1">_xll.BDH($C$428,"NET_DEBT_TO_EBITDA","FY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438" s="2" t="e">
        <f ca="1">_xll.BDH($C$428,"TOTAL_DEBT_TO_EBIT","FY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438" s="2" t="e">
        <f ca="1">_xll.BDH($C$428,"NET_DEBT_TO_EBIT","FY 2016","FY 2016","Currency=INR","Period=FY","BEST_FPERIOD_OVERRIDE=FY","FILING_STATUS=OR","EQY_CONSOLIDATED=Y","FA_ADJUSTED=GAAP","Sort=A","Dates=H","DateFormat=P","Fill=—","Direction=H","UseDPDF=Y")</f>
        <v>#NAME?</v>
      </c>
      <c r="CF438" s="2" t="e">
        <f ca="1">_xll.BDH($C$428,"EBITDA_TO_INTEREST_EXPN","FY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438" s="2" t="e">
        <f ca="1">_xll.BDH($C$428,"COM_EQY_TO_TOT_ASSET","FY 2016","FY 2016","Currency=INR","Period=FY","BEST_FPERIOD_OVERRIDE=FY","FILING_STATUS=OR","EQY_CONSOLIDATED=Y","Sort=A","Dates=H","DateFormat=P","Fill=—","Direction=H","UseDPDF=Y")</f>
        <v>#NAME?</v>
      </c>
      <c r="CH438" s="2" t="e">
        <f ca="1">_xll.BDH($C$428,"LT_DEBT_TO_TOT_EQY","FY 2016","FY 2016","Currency=INR","Period=FY","BEST_FPERIOD_OVERRIDE=FY","FILING_STATUS=OR","EQY_CONSOLIDATED=Y","Sort=A","Dates=H","DateFormat=P","Fill=—","Direction=H","UseDPDF=Y")</f>
        <v>#NAME?</v>
      </c>
      <c r="CI438" s="2" t="e">
        <f ca="1">_xll.BDH($C$428,"LT_DEBT_TO_TOT_CAP","FY 2016","FY 2016","Currency=INR","Period=FY","BEST_FPERIOD_OVERRIDE=FY","FILING_STATUS=OR","EQY_CONSOLIDATED=Y","Sort=A","Dates=H","DateFormat=P","Fill=—","Direction=H","UseDPDF=Y")</f>
        <v>#NAME?</v>
      </c>
      <c r="CJ438" s="2" t="e">
        <f ca="1">_xll.BDH($C$428,"LT_DEBT_TO_TOT_ASSET","FY 2016","FY 2016","Currency=INR","Period=FY","BEST_FPERIOD_OVERRIDE=FY","FILING_STATUS=OR","EQY_CONSOLIDATED=Y","Sort=A","Dates=H","DateFormat=P","Fill=—","Direction=H","UseDPDF=Y")</f>
        <v>#NAME?</v>
      </c>
      <c r="CK438" s="2" t="e">
        <f ca="1">_xll.BDH($C$428,"TOT_DEBT_TO_TOT_EQY","FY 2016","FY 2016","Currency=INR","Period=FY","BEST_FPERIOD_OVERRIDE=FY","FILING_STATUS=OR","EQY_CONSOLIDATED=Y","Sort=A","Dates=H","DateFormat=P","Fill=—","Direction=H","UseDPDF=Y")</f>
        <v>#NAME?</v>
      </c>
      <c r="CL438" s="2" t="e">
        <f ca="1">_xll.BDH($C$428,"TOT_DEBT_TO_TOT_CAP","FY 2016","FY 2016","Currency=INR","Period=FY","BEST_FPERIOD_OVERRIDE=FY","FILING_STATUS=OR","EQY_CONSOLIDATED=Y","Sort=A","Dates=H","DateFormat=P","Fill=—","Direction=H","UseDPDF=Y")</f>
        <v>#NAME?</v>
      </c>
      <c r="CM438" s="2" t="e">
        <f ca="1">_xll.BDH($C$428,"TOT_DEBT_TO_TOT_ASSET","FY 2016","FY 2016","Currency=INR","Period=FY","BEST_FPERIOD_OVERRIDE=FY","FILING_STATUS=OR","EQY_CONSOLIDATED=Y","Sort=A","Dates=H","DateFormat=P","Fill=—","Direction=H","UseDPDF=Y")</f>
        <v>#NAME?</v>
      </c>
      <c r="CN438" s="2" t="e">
        <f ca="1">_xll.BDH($C$428,"NET_DEBT_TO_SHRHLDR_EQTY","FY 2016","FY 2016","Currency=INR","Period=FY","BEST_FPERIOD_OVERRIDE=FY","FILING_STATUS=OR","EQY_CONSOLIDATED=Y","Sort=A","Dates=H","DateFormat=P","Fill=—","Direction=H","UseDPDF=Y")</f>
        <v>#NAME?</v>
      </c>
      <c r="CO438" s="2" t="e">
        <f ca="1">_xll.BDH($C$428,"NET_DEBT_%_CAPITAL","FY 2016","FY 2016","Currency=INR","Period=FY","BEST_FPERIOD_OVERRIDE=FY","FILING_STATUS=OR","EQY_CONSOLIDATED=Y","Sort=A","Dates=H","DateFormat=P","Fill=—","Direction=H","UseDPDF=Y")</f>
        <v>#NAME?</v>
      </c>
      <c r="CP438" s="3" t="e">
        <f ca="1">_xll.BDH($C$428,"EBITDA","FY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438" s="3" t="e">
        <f ca="1">_xll.BDH($C$428,"EBITDA_AFTER_CAPEX","FY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438" s="3" t="e">
        <f ca="1">_xll.BDH($C$428,"IS_OPER_INC","FY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438" s="2" t="e">
        <f ca="1">_xll.BDH($C$428,"CASH_RATIO","FY 2016","FY 2016","Currency=INR","Period=FY","BEST_FPERIOD_OVERRIDE=FY","FILING_STATUS=OR","EQY_CONSOLIDATED=Y","Sort=A","Dates=H","DateFormat=P","Fill=—","Direction=H","UseDPDF=Y")</f>
        <v>#NAME?</v>
      </c>
      <c r="CT438" s="2" t="e">
        <f ca="1">_xll.BDH($C$428,"CUR_RATIO","FY 2016","FY 2016","Currency=INR","Period=FY","BEST_FPERIOD_OVERRIDE=FY","FILING_STATUS=OR","EQY_CONSOLIDATED=Y","Sort=A","Dates=H","DateFormat=P","Fill=—","Direction=H","UseDPDF=Y")</f>
        <v>#NAME?</v>
      </c>
      <c r="CU438" s="2" t="e">
        <f ca="1">_xll.BDH($C$428,"QUICK_RATIO","FY 2016","FY 2016","Currency=INR","Period=FY","BEST_FPERIOD_OVERRIDE=FY","FILING_STATUS=OR","EQY_CONSOLIDATED=Y","Sort=A","Dates=H","DateFormat=P","Fill=—","Direction=H","UseDPDF=Y")</f>
        <v>#NAME?</v>
      </c>
      <c r="CV438" s="2" t="e">
        <f ca="1">_xll.BDH($C$428,"ALTMAN_Z_SCORE","FY 2016","FY 2016","Currency=INR","Period=FY","BEST_FPERIOD_OVERRIDE=FY","FILING_STATUS=OR","EQY_CONSOLIDATED=Y","Sort=A","Dates=H","DateFormat=P","Fill=—","Direction=H","UseDPDF=Y")</f>
        <v>#NAME?</v>
      </c>
      <c r="CW438" s="4" t="e">
        <f ca="1">_xll.BDH($C$428,"ACCT_RCV_TURN","FY 2016","FY 2016","Currency=INR","Period=FY","BEST_FPERIOD_OVERRIDE=FY","FILING_STATUS=OR","EQY_CONSOLIDATED=Y","FA_ADJUSTED=GAAP","Sort=A","Dates=H","DateFormat=P","Fill=—","Direction=H","UseDPDF=Y")</f>
        <v>#NAME?</v>
      </c>
      <c r="CX438" s="2" t="e">
        <f ca="1">_xll.BDH($C$428,"ACCT_RCV_DAYS","FY 2016","FY 2016","Currency=INR","Period=FY","BEST_FPERIOD_OVERRIDE=FY","FILING_STATUS=OR","EQY_CONSOLIDATED=Y","FA_ADJUSTED=GAAP","Sort=A","Dates=H","DateFormat=P","Fill=—","Direction=H","UseDPDF=Y")</f>
        <v>#NAME?</v>
      </c>
      <c r="CY438" s="4" t="e">
        <f ca="1">_xll.BDH($C$428,"INVENT_TURN","FY 2016","FY 2016","Currency=INR","Period=FY","BEST_FPERIOD_OVERRIDE=FY","FILING_STATUS=OR","EQY_CONSOLIDATED=Y","FA_ADJUSTED=GAAP","Sort=A","Dates=H","DateFormat=P","Fill=—","Direction=H","UseDPDF=Y")</f>
        <v>#NAME?</v>
      </c>
      <c r="CZ438" s="2" t="e">
        <f ca="1">_xll.BDH($C$428,"INVENT_DAYS","FY 2016","FY 2016","Currency=INR","Period=FY","BEST_FPERIOD_OVERRIDE=FY","FILING_STATUS=OR","EQY_CONSOLIDATED=Y","FA_ADJUSTED=GAAP","Sort=A","Dates=H","DateFormat=P","Fill=—","Direction=H","UseDPDF=Y")</f>
        <v>#NAME?</v>
      </c>
      <c r="DA438" s="4" t="e">
        <f ca="1">_xll.BDH($C$428,"ACCOUNTS_PAYABLE_TURNOVER","FY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438" s="2" t="e">
        <f ca="1">_xll.BDH($C$428,"ACCOUNTS_PAYABLE_TURNOVER_DAYS","FY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438" s="4" t="e">
        <f ca="1">_xll.BDH($C$428,"CASH_CONVERSION_CYCLE","FY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438" s="4" t="e">
        <f ca="1">_xll.BDH($C$428,"INV_TO_CASH_DAYS","FY 2016","FY 2016","Currency=INR","Period=FY","BEST_FPERIOD_OVERRIDE=FY","FILING_STATUS=OR","EQY_CONSOLIDATED=Y","FA_ADJUSTED=GAAP","Sort=A","Dates=H","DateFormat=P","Fill=—","Direction=H","UseDPDF=Y")</f>
        <v>#NAME?</v>
      </c>
      <c r="DE438" s="5" t="e">
        <f ca="1">_xll.BDH($C$428,"BS_INVENTORIES","FY 2016","FY 2016","Currency=INR","Period=FY","BEST_FPERIOD_OVERRIDE=FY","FILING_STATUS=OR","EQY_CONSOLIDATED=Y","SCALING_FORMAT=MLN","Sort=A","Dates=H","DateFormat=P","Fill=—","Direction=H","UseDPDF=Y")</f>
        <v>#NAME?</v>
      </c>
      <c r="DF438" s="3" t="e">
        <f ca="1">_xll.BDH($C$428,"INVTRY_RAW_MATERIALS","FY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438" s="3" t="e">
        <f ca="1">_xll.BDH($C$428,"INVTRY_IN_PROGRESS","FY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438" s="3" t="e">
        <f ca="1">_xll.BDH($C$428,"INVTRY_FINISHED_GOODS","FY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438" s="3" t="e">
        <f ca="1">_xll.BDH($C$428,"BS_OTHER_INV","FY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439" spans="1:113" x14ac:dyDescent="0.3">
      <c r="A439" s="6"/>
      <c r="B439" s="6"/>
      <c r="C439" s="6"/>
      <c r="D439" s="6"/>
      <c r="E439" t="s">
        <v>78</v>
      </c>
      <c r="F439" t="e">
        <f ca="1">_xll.BDH($C$428,"RETURN_COM_EQY","FQ1 2016","FQ1 2016","Currency=INR","Period=FQ","BEST_FPERIOD_OVERRIDE=FQ","FILING_STATUS=OR","EQY_CONSOLIDATED=Y","FA_ADJUSTED=GAAP","Sort=A","Dates=H","DateFormat=P","Fill=—","Direction=H","UseDPDF=Y")</f>
        <v>#NAME?</v>
      </c>
      <c r="G439" t="e">
        <f ca="1">_xll.BDH($C$428,"RETURN_ON_ASSET","FQ1 2016","FQ1 2016","Currency=INR","Period=FQ","BEST_FPERIOD_OVERRIDE=FQ","FILING_STATUS=OR","EQY_CONSOLIDATED=Y","FA_ADJUSTED=GAAP","Sort=A","Dates=H","DateFormat=P","Fill=—","Direction=H","UseDPDF=Y")</f>
        <v>#NAME?</v>
      </c>
      <c r="H439" t="e">
        <f ca="1">_xll.BDH($C$428,"RETURN_ON_CAP","FQ1 2016","FQ1 2016","Currency=INR","Period=FQ","BEST_FPERIOD_OVERRIDE=FQ","FILING_STATUS=OR","EQY_CONSOLIDATED=Y","FA_ADJUSTED=GAAP","Sort=A","Dates=H","DateFormat=P","Fill=—","Direction=H","UseDPDF=Y")</f>
        <v>#NAME?</v>
      </c>
      <c r="I439" t="e">
        <f ca="1">_xll.BDH($C$428,"RETURN_ON_INV_CAPITAL","FQ1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439" t="e">
        <f ca="1">_xll.BDH($C$428,"EBITDA_TO_REVENUE","FQ1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439" t="e">
        <f ca="1">_xll.BDH($C$428,"OPER_MARGIN","FQ1 2016","FQ1 2016","Currency=INR","Period=FQ","BEST_FPERIOD_OVERRIDE=FQ","FILING_STATUS=OR","EQY_CONSOLIDATED=Y","FA_ADJUSTED=GAAP","Sort=A","Dates=H","DateFormat=P","Fill=—","Direction=H","UseDPDF=Y")</f>
        <v>#NAME?</v>
      </c>
      <c r="L439" t="e">
        <f ca="1">_xll.BDH($C$428,"INCREMENTAL_OPERATING_MARGIN","FQ1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439" t="e">
        <f ca="1">_xll.BDH($C$428,"PRETAX_INC_TO_NET_SALES","FQ1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439" t="e">
        <f ca="1">_xll.BDH($C$428,"INC_BEF_XO_ITEMS_TO_NET_SALES","FQ1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439" t="e">
        <f ca="1">_xll.BDH($C$428,"PROF_MARGIN","FQ1 2016","FQ1 2016","Currency=INR","Period=FQ","BEST_FPERIOD_OVERRIDE=FQ","FILING_STATUS=OR","EQY_CONSOLIDATED=Y","FA_ADJUSTED=GAAP","Sort=A","Dates=H","DateFormat=P","Fill=—","Direction=H","UseDPDF=Y")</f>
        <v>#NAME?</v>
      </c>
      <c r="P439" t="e">
        <f ca="1">_xll.BDH($C$428,"NET_INCOME_TO_COMMON_MARGIN","FQ1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439" t="e">
        <f ca="1">_xll.BDH($C$428,"EFF_TAX_RATE","FQ1 2016","FQ1 2016","Currency=INR","Period=FQ","BEST_FPERIOD_OVERRIDE=FQ","FILING_STATUS=OR","EQY_CONSOLIDATED=Y","FA_ADJUSTED=GAAP","Sort=A","Dates=H","DateFormat=P","Fill=—","Direction=H","UseDPDF=Y")</f>
        <v>#NAME?</v>
      </c>
      <c r="R439" t="e">
        <f ca="1">_xll.BDH($C$428,"DVD_PAYOUT_RATIO","FQ1 2016","FQ1 2016","Currency=INR","Period=FQ","BEST_FPERIOD_OVERRIDE=FQ","FILING_STATUS=OR","EQY_CONSOLIDATED=Y","FA_ADJUSTED=GAAP","Sort=A","Dates=H","DateFormat=P","Fill=—","Direction=H","UseDPDF=Y")</f>
        <v>#NAME?</v>
      </c>
      <c r="S439" t="e">
        <f ca="1">_xll.BDH($C$428,"SUSTAIN_GROWTH_RT","FQ1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439" s="2" t="e">
        <f ca="1">_xll.BDH($C$428,"SALES_GROWTH","FQ1 2016","FQ1 2016","Currency=INR","Period=FQ","BEST_FPERIOD_OVERRIDE=FQ","FILING_STATUS=OR","EQY_CONSOLIDATED=Y","FA_ADJUSTED=GAAP","Sort=A","Dates=H","DateFormat=P","Fill=—","Direction=H","UseDPDF=Y")</f>
        <v>#NAME?</v>
      </c>
      <c r="U439" s="2" t="e">
        <f ca="1">_xll.BDH($C$428,"EBITDA_GROWTH","FQ1 2016","FQ1 2016","Currency=INR","Period=FQ","BEST_FPERIOD_OVERRIDE=FQ","FILING_STATUS=OR","EQY_CONSOLIDATED=Y","FA_ADJUSTED=GAAP","Sort=A","Dates=H","DateFormat=P","Fill=—","Direction=H","UseDPDF=Y")</f>
        <v>#NAME?</v>
      </c>
      <c r="V439" s="2" t="e">
        <f ca="1">_xll.BDH($C$428,"OPER_INC_GROWTH","FQ1 2016","FQ1 2016","Currency=INR","Period=FQ","BEST_FPERIOD_OVERRIDE=FQ","FILING_STATUS=OR","EQY_CONSOLIDATED=Y","FA_ADJUSTED=GAAP","Sort=A","Dates=H","DateFormat=P","Fill=—","Direction=H","UseDPDF=Y")</f>
        <v>#NAME?</v>
      </c>
      <c r="W439" s="2" t="e">
        <f ca="1">_xll.BDH($C$428,"EARN_FOR_COM_GROWTH","FQ1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439" s="2" t="e">
        <f ca="1">_xll.BDH($C$428,"DILUTED_EPS_AFT_XO_ITEMS_GROWTH","FQ1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439" s="2" t="e">
        <f ca="1">_xll.BDH($C$428,"DIVIDEND_PER_SHARE_1_YEAR_GROWTH","FQ1 2016","FQ1 2016","Currency=INR","Period=FQ","BEST_FPERIOD_OVERRIDE=FQ","FILING_STATUS=OR","EQY_CONSOLIDATED=Y","Sort=A","Dates=H","DateFormat=P","Fill=—","Direction=H","UseDPDF=Y")</f>
        <v>#NAME?</v>
      </c>
      <c r="Z439" s="2" t="e">
        <f ca="1">_xll.BDH($C$428,"ACCOUNTS_RECEIVABLE_GROWTH","FQ1 2016","FQ1 2016","Currency=INR","Period=FQ","BEST_FPERIOD_OVERRIDE=FQ","FILING_STATUS=OR","EQY_CONSOLIDATED=Y","Sort=A","Dates=H","DateFormat=P","Fill=—","Direction=H","UseDPDF=Y")</f>
        <v>#NAME?</v>
      </c>
      <c r="AA439" s="2" t="e">
        <f ca="1">_xll.BDH($C$428,"INVENTORY_GROWTH","FQ1 2016","FQ1 2016","Currency=INR","Period=FQ","BEST_FPERIOD_OVERRIDE=FQ","FILING_STATUS=OR","EQY_CONSOLIDATED=Y","Sort=A","Dates=H","DateFormat=P","Fill=—","Direction=H","UseDPDF=Y")</f>
        <v>#NAME?</v>
      </c>
      <c r="AB439" s="2" t="e">
        <f ca="1">_xll.BDH($C$428,"NET_FIXED_ASSETS_1_YEAR_GROWTH","FQ1 2016","FQ1 2016","Currency=INR","Period=FQ","BEST_FPERIOD_OVERRIDE=FQ","FILING_STATUS=OR","EQY_CONSOLIDATED=Y","Sort=A","Dates=H","DateFormat=P","Fill=—","Direction=H","UseDPDF=Y")</f>
        <v>#NAME?</v>
      </c>
      <c r="AC439" s="2" t="e">
        <f ca="1">_xll.BDH($C$428,"ASSET_GROWTH","FQ1 2016","FQ1 2016","Currency=INR","Period=FQ","BEST_FPERIOD_OVERRIDE=FQ","FILING_STATUS=OR","EQY_CONSOLIDATED=Y","Sort=A","Dates=H","DateFormat=P","Fill=—","Direction=H","UseDPDF=Y")</f>
        <v>#NAME?</v>
      </c>
      <c r="AD439" s="2" t="e">
        <f ca="1">_xll.BDH($C$428,"MODIFIED_WORK_CAP_GROWTH","FQ1 2016","FQ1 2016","Currency=INR","Period=FQ","BEST_FPERIOD_OVERRIDE=FQ","FILING_STATUS=OR","EQY_CONSOLIDATED=Y","Sort=A","Dates=H","DateFormat=P","Fill=—","Direction=H","UseDPDF=Y")</f>
        <v>#NAME?</v>
      </c>
      <c r="AE439" s="2" t="e">
        <f ca="1">_xll.BDH($C$428,"WORK_CAP_GROWTH","FQ1 2016","FQ1 2016","Currency=INR","Period=FQ","BEST_FPERIOD_OVERRIDE=FQ","FILING_STATUS=OR","EQY_CONSOLIDATED=Y","Sort=A","Dates=H","DateFormat=P","Fill=—","Direction=H","UseDPDF=Y")</f>
        <v>#NAME?</v>
      </c>
      <c r="AF439" s="2" t="e">
        <f ca="1">_xll.BDH($C$428,"ACCOUNTS_PAYABLE_GROWTH_1YR","FQ1 2016","FQ1 2016","Currency=INR","Period=FQ","BEST_FPERIOD_OVERRIDE=FQ","FILING_STATUS=OR","EQY_CONSOLIDATED=Y","Sort=A","Dates=H","DateFormat=P","Fill=—","Direction=H","UseDPDF=Y")</f>
        <v>#NAME?</v>
      </c>
      <c r="AG439" s="2" t="e">
        <f ca="1">_xll.BDH($C$428,"SHORT_TERM_DEBT_1_YEAR_GROWTH","FQ1 2016","FQ1 2016","Currency=INR","Period=FQ","BEST_FPERIOD_OVERRIDE=FQ","FILING_STATUS=OR","EQY_CONSOLIDATED=Y","Sort=A","Dates=H","DateFormat=P","Fill=—","Direction=H","UseDPDF=Y")</f>
        <v>#NAME?</v>
      </c>
      <c r="AH439" s="2" t="e">
        <f ca="1">_xll.BDH($C$428,"TOTAL_DEBT_1_YEAR_GROWTH","FQ1 2016","FQ1 2016","Currency=INR","Period=FQ","BEST_FPERIOD_OVERRIDE=FQ","FILING_STATUS=OR","EQY_CONSOLIDATED=Y","Sort=A","Dates=H","DateFormat=P","Fill=—","Direction=H","UseDPDF=Y")</f>
        <v>#NAME?</v>
      </c>
      <c r="AI439" s="2" t="e">
        <f ca="1">_xll.BDH($C$428,"TOTAL_EQUITY_1_YEAR_GROWTH","FQ1 2016","FQ1 2016","Currency=INR","Period=FQ","BEST_FPERIOD_OVERRIDE=FQ","FILING_STATUS=OR","EQY_CONSOLIDATED=Y","Sort=A","Dates=H","DateFormat=P","Fill=—","Direction=H","UseDPDF=Y")</f>
        <v>#NAME?</v>
      </c>
      <c r="AJ439" s="2" t="e">
        <f ca="1">_xll.BDH($C$428,"GROWTH_IN_CAP","FQ1 2016","FQ1 2016","Currency=INR","Period=FQ","BEST_FPERIOD_OVERRIDE=FQ","FILING_STATUS=OR","EQY_CONSOLIDATED=Y","Sort=A","Dates=H","DateFormat=P","Fill=—","Direction=H","UseDPDF=Y")</f>
        <v>#NAME?</v>
      </c>
      <c r="AK439" s="2" t="e">
        <f ca="1">_xll.BDH($C$428,"BVPS_GROWTH","FQ1 2016","FQ1 2016","Currency=INR","Period=FQ","BEST_FPERIOD_OVERRIDE=FQ","FILING_STATUS=OR","EQY_CONSOLIDATED=Y","Sort=A","Dates=H","DateFormat=P","Fill=—","Direction=H","UseDPDF=Y")</f>
        <v>#NAME?</v>
      </c>
      <c r="AL439" s="2" t="e">
        <f ca="1">_xll.BDH($C$428,"CASH_FLOW_GROWTH","FQ1 2016","FQ1 2016","Currency=INR","Period=FQ","BEST_FPERIOD_OVERRIDE=FQ","FILING_STATUS=OR","EQY_CONSOLIDATED=Y","Sort=A","Dates=H","DateFormat=P","Fill=—","Direction=H","UseDPDF=Y")</f>
        <v>#NAME?</v>
      </c>
      <c r="AM439" s="2" t="e">
        <f ca="1">_xll.BDH($C$428,"GEO_GROW_NET_SALES","FQ1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439" s="2" t="e">
        <f ca="1">_xll.BDH($C$428,"GEO_GROW_EBITDA","FQ1 2016","FQ1 2016","Currency=INR","Period=FQ","BEST_FPERIOD_OVERRIDE=FQ","FILING_STATUS=OR","EQY_CONSOLIDATED=Y","FA_ADJUSTED=GAAP","Sort=A","Dates=H","DateFormat=P","Fill=—","Direction=H","UseDPDF=Y")</f>
        <v>#NAME?</v>
      </c>
      <c r="AO439" s="2" t="e">
        <f ca="1">_xll.BDH($C$428,"GEO_GROW_OPER_INC","FQ1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439" s="2" t="e">
        <f ca="1">_xll.BDH($C$428,"NET_INCOME_TO_COMMON_5_YR_GROWTH","FQ1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439" s="2" t="e">
        <f ca="1">_xll.BDH($C$428,"5Y_GEO_GROWTH_DILUTED_EPS","FQ1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439" s="2" t="e">
        <f ca="1">_xll.BDH($C$428,"GEO_GROW_DVD_PER_SH","FQ1 2016","FQ1 2016","Currency=INR","Period=FQ","BEST_FPERIOD_OVERRIDE=FQ","FILING_STATUS=OR","EQY_CONSOLIDATED=Y","Sort=A","Dates=H","DateFormat=P","Fill=—","Direction=H","UseDPDF=Y")</f>
        <v>#NAME?</v>
      </c>
      <c r="AS439" s="2" t="e">
        <f ca="1">_xll.BDH($C$428,"ACCOUNTS_RECEIVABLE_5_YR_GROWTH","FQ1 2016","FQ1 2016","Currency=INR","Period=FQ","BEST_FPERIOD_OVERRIDE=FQ","FILING_STATUS=OR","EQY_CONSOLIDATED=Y","Sort=A","Dates=H","DateFormat=P","Fill=—","Direction=H","UseDPDF=Y")</f>
        <v>#NAME?</v>
      </c>
      <c r="AT439" s="2" t="e">
        <f ca="1">_xll.BDH($C$428,"INVENTORY_5_YEAR_GROWTH","FQ1 2016","FQ1 2016","Currency=INR","Period=FQ","BEST_FPERIOD_OVERRIDE=FQ","FILING_STATUS=OR","EQY_CONSOLIDATED=Y","Sort=A","Dates=H","DateFormat=P","Fill=—","Direction=H","UseDPDF=Y")</f>
        <v>#NAME?</v>
      </c>
      <c r="AU439" s="2" t="e">
        <f ca="1">_xll.BDH($C$428,"NET_FIXED_ASSETS_5_YEAR_GROWTH","FQ1 2016","FQ1 2016","Currency=INR","Period=FQ","BEST_FPERIOD_OVERRIDE=FQ","FILING_STATUS=OR","EQY_CONSOLIDATED=Y","Sort=A","Dates=H","DateFormat=P","Fill=—","Direction=H","UseDPDF=Y")</f>
        <v>#NAME?</v>
      </c>
      <c r="AV439" s="2" t="e">
        <f ca="1">_xll.BDH($C$428,"GEO_GROW_TOT_ASSET","FQ1 2016","FQ1 2016","Currency=INR","Period=FQ","BEST_FPERIOD_OVERRIDE=FQ","FILING_STATUS=OR","EQY_CONSOLIDATED=Y","Sort=A","Dates=H","DateFormat=P","Fill=—","Direction=H","UseDPDF=Y")</f>
        <v>#NAME?</v>
      </c>
      <c r="AW439" s="2" t="e">
        <f ca="1">_xll.BDH($C$428,"MODIFIED_WORKING_CPTL_5YR_GRWTH","FQ1 2016","FQ1 2016","Currency=INR","Period=FQ","BEST_FPERIOD_OVERRIDE=FQ","FILING_STATUS=OR","EQY_CONSOLIDATED=Y","Sort=A","Dates=H","DateFormat=P","Fill=—","Direction=H","UseDPDF=Y")</f>
        <v>#NAME?</v>
      </c>
      <c r="AX439" s="2" t="e">
        <f ca="1">_xll.BDH($C$428,"WORKING_CAPITAL_5_YEAR_GROWTH","FQ1 2016","FQ1 2016","Currency=INR","Period=FQ","BEST_FPERIOD_OVERRIDE=FQ","FILING_STATUS=OR","EQY_CONSOLIDATED=Y","Sort=A","Dates=H","DateFormat=P","Fill=—","Direction=H","UseDPDF=Y")</f>
        <v>#NAME?</v>
      </c>
      <c r="AY439" s="2" t="e">
        <f ca="1">_xll.BDH($C$428,"ACCOUNTS_PAYABLE_5_YEAR_GROWTH","FQ1 2016","FQ1 2016","Currency=INR","Period=FQ","BEST_FPERIOD_OVERRIDE=FQ","FILING_STATUS=OR","EQY_CONSOLIDATED=Y","Sort=A","Dates=H","DateFormat=P","Fill=—","Direction=H","UseDPDF=Y")</f>
        <v>#NAME?</v>
      </c>
      <c r="AZ439" s="2" t="e">
        <f ca="1">_xll.BDH($C$428,"SHORT_TERM_DEBT_5_YEAR_GROWTH","FQ1 2016","FQ1 2016","Currency=INR","Period=FQ","BEST_FPERIOD_OVERRIDE=FQ","FILING_STATUS=OR","EQY_CONSOLIDATED=Y","Sort=A","Dates=H","DateFormat=P","Fill=—","Direction=H","UseDPDF=Y")</f>
        <v>#NAME?</v>
      </c>
      <c r="BA439" s="2" t="e">
        <f ca="1">_xll.BDH($C$428,"TOTAL_DEBT_5_YEAR_GROWTH","FQ1 2016","FQ1 2016","Currency=INR","Period=FQ","BEST_FPERIOD_OVERRIDE=FQ","FILING_STATUS=OR","EQY_CONSOLIDATED=Y","Sort=A","Dates=H","DateFormat=P","Fill=—","Direction=H","UseDPDF=Y")</f>
        <v>#NAME?</v>
      </c>
      <c r="BB439" s="2" t="e">
        <f ca="1">_xll.BDH($C$428,"GEO_GROW_TOT_SHRHLDR_EQY","FQ1 2016","FQ1 2016","Currency=INR","Period=FQ","BEST_FPERIOD_OVERRIDE=FQ","FILING_STATUS=OR","EQY_CONSOLIDATED=Y","Sort=A","Dates=H","DateFormat=P","Fill=—","Direction=H","UseDPDF=Y")</f>
        <v>#NAME?</v>
      </c>
      <c r="BC439" s="2" t="e">
        <f ca="1">_xll.BDH($C$428,"TOTAL_CAPITAL_5_YEAR_GROWTH","FQ1 2016","FQ1 2016","Currency=INR","Period=FQ","BEST_FPERIOD_OVERRIDE=FQ","FILING_STATUS=OR","EQY_CONSOLIDATED=Y","Sort=A","Dates=H","DateFormat=P","Fill=—","Direction=H","UseDPDF=Y")</f>
        <v>#NAME?</v>
      </c>
      <c r="BD439" s="2" t="e">
        <f ca="1">_xll.BDH($C$428,"GEO_GROW_BOOK_VAL","FQ1 2016","FQ1 2016","Currency=INR","Period=FQ","BEST_FPERIOD_OVERRIDE=FQ","FILING_STATUS=OR","EQY_CONSOLIDATED=Y","Sort=A","Dates=H","DateFormat=P","Fill=—","Direction=H","UseDPDF=Y")</f>
        <v>#NAME?</v>
      </c>
      <c r="BE439" s="2" t="e">
        <f ca="1">_xll.BDH($C$428,"GEO_GROW_CASH_OPER_ACT","FQ1 2016","FQ1 2016","Currency=INR","Period=FQ","BEST_FPERIOD_OVERRIDE=FQ","FILING_STATUS=OR","EQY_CONSOLIDATED=Y","Sort=A","Dates=H","DateFormat=P","Fill=—","Direction=H","UseDPDF=Y")</f>
        <v>#NAME?</v>
      </c>
      <c r="BF439" s="2" t="e">
        <f ca="1">_xll.BDH($C$428,"REVENUE_SEQUENTIAL_GROWTH","FQ1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439" s="2" t="e">
        <f ca="1">_xll.BDH($C$428,"EBITDA_SEQUENTIAL_GROWTH","FQ1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439" s="2" t="e">
        <f ca="1">_xll.BDH($C$428,"OPERATING_INCOME_SEQ_GROWTH","FQ1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439" s="2" t="e">
        <f ca="1">_xll.BDH($C$428,"NET_INCOME_TO_COMMON_SEQ_GROWTH","FQ1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439" s="2" t="e">
        <f ca="1">_xll.BDH($C$428,"EPS_DILUTED_SEQUENTIAL_GROWTH","FQ1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439" s="2" t="e">
        <f ca="1">_xll.BDH($C$428,"DPS_SEQUENTIAL_GROWTH","FQ1 2016","FQ1 2016","Currency=INR","Period=FQ","BEST_FPERIOD_OVERRIDE=FQ","FILING_STATUS=OR","EQY_CONSOLIDATED=Y","Sort=A","Dates=H","DateFormat=P","Fill=—","Direction=H","UseDPDF=Y")</f>
        <v>#NAME?</v>
      </c>
      <c r="BL439" s="2" t="e">
        <f ca="1">_xll.BDH($C$428,"ACCOUNTS_RECEIVABLE_SEQ_GROWTH","FQ1 2016","FQ1 2016","Currency=INR","Period=FQ","BEST_FPERIOD_OVERRIDE=FQ","FILING_STATUS=OR","EQY_CONSOLIDATED=Y","Sort=A","Dates=H","DateFormat=P","Fill=—","Direction=H","UseDPDF=Y")</f>
        <v>#NAME?</v>
      </c>
      <c r="BM439" s="2" t="e">
        <f ca="1">_xll.BDH($C$428,"INVENTORY_SEQUENTIAL_GROWTH","FQ1 2016","FQ1 2016","Currency=INR","Period=FQ","BEST_FPERIOD_OVERRIDE=FQ","FILING_STATUS=OR","EQY_CONSOLIDATED=Y","Sort=A","Dates=H","DateFormat=P","Fill=—","Direction=H","UseDPDF=Y")</f>
        <v>#NAME?</v>
      </c>
      <c r="BN439" s="2" t="e">
        <f ca="1">_xll.BDH($C$428,"FIXED_ASSETS_SEQUENTIAL_GROWTH","FQ1 2016","FQ1 2016","Currency=INR","Period=FQ","BEST_FPERIOD_OVERRIDE=FQ","FILING_STATUS=OR","EQY_CONSOLIDATED=Y","Sort=A","Dates=H","DateFormat=P","Fill=—","Direction=H","UseDPDF=Y")</f>
        <v>#NAME?</v>
      </c>
      <c r="BO439" s="2" t="e">
        <f ca="1">_xll.BDH($C$428,"TOTAL_ASSETS_SEQUENTIAL_GROWTH","FQ1 2016","FQ1 2016","Currency=INR","Period=FQ","BEST_FPERIOD_OVERRIDE=FQ","FILING_STATUS=OR","EQY_CONSOLIDATED=Y","Sort=A","Dates=H","DateFormat=P","Fill=—","Direction=H","UseDPDF=Y")</f>
        <v>#NAME?</v>
      </c>
      <c r="BP439" s="2" t="e">
        <f ca="1">_xll.BDH($C$428,"MODIFIED_WORKING_CPTL_SEQ_GRWTH","FQ1 2016","FQ1 2016","Currency=INR","Period=FQ","BEST_FPERIOD_OVERRIDE=FQ","FILING_STATUS=OR","EQY_CONSOLIDATED=Y","Sort=A","Dates=H","DateFormat=P","Fill=—","Direction=H","UseDPDF=Y")</f>
        <v>#NAME?</v>
      </c>
      <c r="BQ439" s="2" t="e">
        <f ca="1">_xll.BDH($C$428,"WORKING_CAPITAL_SEQ_GROWTH","FQ1 2016","FQ1 2016","Currency=INR","Period=FQ","BEST_FPERIOD_OVERRIDE=FQ","FILING_STATUS=OR","EQY_CONSOLIDATED=Y","Sort=A","Dates=H","DateFormat=P","Fill=—","Direction=H","UseDPDF=Y")</f>
        <v>#NAME?</v>
      </c>
      <c r="BR439" s="2" t="e">
        <f ca="1">_xll.BDH($C$428,"ACCOUNTS_PAYABLE_SEQ_GROWTH","FQ1 2016","FQ1 2016","Currency=INR","Period=FQ","BEST_FPERIOD_OVERRIDE=FQ","FILING_STATUS=OR","EQY_CONSOLIDATED=Y","Sort=A","Dates=H","DateFormat=P","Fill=—","Direction=H","UseDPDF=Y")</f>
        <v>#NAME?</v>
      </c>
      <c r="BS439" s="2" t="e">
        <f ca="1">_xll.BDH($C$428,"ST_DEBT_SEQUENTIAL_GROWTH","FQ1 2016","FQ1 2016","Currency=INR","Period=FQ","BEST_FPERIOD_OVERRIDE=FQ","FILING_STATUS=OR","EQY_CONSOLIDATED=Y","Sort=A","Dates=H","DateFormat=P","Fill=—","Direction=H","UseDPDF=Y")</f>
        <v>#NAME?</v>
      </c>
      <c r="BT439" s="2" t="e">
        <f ca="1">_xll.BDH($C$428,"TOTAL_DEBT_SEQUENTIAL_GROWTH","FQ1 2016","FQ1 2016","Currency=INR","Period=FQ","BEST_FPERIOD_OVERRIDE=FQ","FILING_STATUS=OR","EQY_CONSOLIDATED=Y","Sort=A","Dates=H","DateFormat=P","Fill=—","Direction=H","UseDPDF=Y")</f>
        <v>#NAME?</v>
      </c>
      <c r="BU439" s="2" t="e">
        <f ca="1">_xll.BDH($C$428,"TOTAL_EQUITY_SEQUENTIAL_GROWTH","FQ1 2016","FQ1 2016","Currency=INR","Period=FQ","BEST_FPERIOD_OVERRIDE=FQ","FILING_STATUS=OR","EQY_CONSOLIDATED=Y","Sort=A","Dates=H","DateFormat=P","Fill=—","Direction=H","UseDPDF=Y")</f>
        <v>#NAME?</v>
      </c>
      <c r="BV439" s="2" t="e">
        <f ca="1">_xll.BDH($C$428,"TOTAL_CAPITAL_SEQUENTIAL_GROWTH","FQ1 2016","FQ1 2016","Currency=INR","Period=FQ","BEST_FPERIOD_OVERRIDE=FQ","FILING_STATUS=OR","EQY_CONSOLIDATED=Y","Sort=A","Dates=H","DateFormat=P","Fill=—","Direction=H","UseDPDF=Y")</f>
        <v>#NAME?</v>
      </c>
      <c r="BW439" s="2" t="e">
        <f ca="1">_xll.BDH($C$428,"BPS_SEQUENTIAL_GROWTH","FQ1 2016","FQ1 2016","Currency=INR","Period=FQ","BEST_FPERIOD_OVERRIDE=FQ","FILING_STATUS=OR","EQY_CONSOLIDATED=Y","Sort=A","Dates=H","DateFormat=P","Fill=—","Direction=H","UseDPDF=Y")</f>
        <v>#NAME?</v>
      </c>
      <c r="BX439" s="2" t="e">
        <f ca="1">_xll.BDH($C$428,"CFO_SEQUENTIAL_GROWTH","FQ1 2016","FQ1 2016","Currency=INR","Period=FQ","BEST_FPERIOD_OVERRIDE=FQ","FILING_STATUS=OR","EQY_CONSOLIDATED=Y","Sort=A","Dates=H","DateFormat=P","Fill=—","Direction=H","UseDPDF=Y")</f>
        <v>#NAME?</v>
      </c>
      <c r="BY439" s="3" t="e">
        <f ca="1">_xll.BDH($C$428,"SHORT_AND_LONG_TERM_DEBT","FQ1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439" s="3" t="e">
        <f ca="1">_xll.BDH($C$428,"BS_ST_BORROW","FQ1 2016","FQ1 2016","Currency=INR","Period=FQ","BEST_FPERIOD_OVERRIDE=FQ","FILING_STATUS=OR","EQY_CONSOLIDATED=Y","SCALING_FORMAT=MLN","Sort=A","Dates=H","DateFormat=P","Fill=—","Direction=H","UseDPDF=Y")</f>
        <v>#NAME?</v>
      </c>
      <c r="CA439" s="3" t="e">
        <f ca="1">_xll.BDH($C$428,"BS_LT_BORROW","FQ1 2016","FQ1 2016","Currency=INR","Period=FQ","BEST_FPERIOD_OVERRIDE=FQ","FILING_STATUS=OR","EQY_CONSOLIDATED=Y","SCALING_FORMAT=MLN","Sort=A","Dates=H","DateFormat=P","Fill=—","Direction=H","UseDPDF=Y")</f>
        <v>#NAME?</v>
      </c>
      <c r="CB439" s="2" t="e">
        <f ca="1">_xll.BDH($C$428,"TOT_DEBT_TO_EBITDA","FQ1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439" s="2" t="e">
        <f ca="1">_xll.BDH($C$428,"NET_DEBT_TO_EBITDA","FQ1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439" s="2" t="e">
        <f ca="1">_xll.BDH($C$428,"TOTAL_DEBT_TO_EBIT","FQ1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439" s="2" t="e">
        <f ca="1">_xll.BDH($C$428,"NET_DEBT_TO_EBIT","FQ1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439" s="2" t="e">
        <f ca="1">_xll.BDH($C$428,"EBITDA_TO_INTEREST_EXPN","FQ1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439" s="2" t="e">
        <f ca="1">_xll.BDH($C$428,"COM_EQY_TO_TOT_ASSET","FQ1 2016","FQ1 2016","Currency=INR","Period=FQ","BEST_FPERIOD_OVERRIDE=FQ","FILING_STATUS=OR","EQY_CONSOLIDATED=Y","Sort=A","Dates=H","DateFormat=P","Fill=—","Direction=H","UseDPDF=Y")</f>
        <v>#NAME?</v>
      </c>
      <c r="CH439" s="2" t="e">
        <f ca="1">_xll.BDH($C$428,"LT_DEBT_TO_TOT_EQY","FQ1 2016","FQ1 2016","Currency=INR","Period=FQ","BEST_FPERIOD_OVERRIDE=FQ","FILING_STATUS=OR","EQY_CONSOLIDATED=Y","Sort=A","Dates=H","DateFormat=P","Fill=—","Direction=H","UseDPDF=Y")</f>
        <v>#NAME?</v>
      </c>
      <c r="CI439" s="2" t="e">
        <f ca="1">_xll.BDH($C$428,"LT_DEBT_TO_TOT_CAP","FQ1 2016","FQ1 2016","Currency=INR","Period=FQ","BEST_FPERIOD_OVERRIDE=FQ","FILING_STATUS=OR","EQY_CONSOLIDATED=Y","Sort=A","Dates=H","DateFormat=P","Fill=—","Direction=H","UseDPDF=Y")</f>
        <v>#NAME?</v>
      </c>
      <c r="CJ439" s="2" t="e">
        <f ca="1">_xll.BDH($C$428,"LT_DEBT_TO_TOT_ASSET","FQ1 2016","FQ1 2016","Currency=INR","Period=FQ","BEST_FPERIOD_OVERRIDE=FQ","FILING_STATUS=OR","EQY_CONSOLIDATED=Y","Sort=A","Dates=H","DateFormat=P","Fill=—","Direction=H","UseDPDF=Y")</f>
        <v>#NAME?</v>
      </c>
      <c r="CK439" s="2" t="e">
        <f ca="1">_xll.BDH($C$428,"TOT_DEBT_TO_TOT_EQY","FQ1 2016","FQ1 2016","Currency=INR","Period=FQ","BEST_FPERIOD_OVERRIDE=FQ","FILING_STATUS=OR","EQY_CONSOLIDATED=Y","Sort=A","Dates=H","DateFormat=P","Fill=—","Direction=H","UseDPDF=Y")</f>
        <v>#NAME?</v>
      </c>
      <c r="CL439" s="2" t="e">
        <f ca="1">_xll.BDH($C$428,"TOT_DEBT_TO_TOT_CAP","FQ1 2016","FQ1 2016","Currency=INR","Period=FQ","BEST_FPERIOD_OVERRIDE=FQ","FILING_STATUS=OR","EQY_CONSOLIDATED=Y","Sort=A","Dates=H","DateFormat=P","Fill=—","Direction=H","UseDPDF=Y")</f>
        <v>#NAME?</v>
      </c>
      <c r="CM439" s="2" t="e">
        <f ca="1">_xll.BDH($C$428,"TOT_DEBT_TO_TOT_ASSET","FQ1 2016","FQ1 2016","Currency=INR","Period=FQ","BEST_FPERIOD_OVERRIDE=FQ","FILING_STATUS=OR","EQY_CONSOLIDATED=Y","Sort=A","Dates=H","DateFormat=P","Fill=—","Direction=H","UseDPDF=Y")</f>
        <v>#NAME?</v>
      </c>
      <c r="CN439" s="2" t="e">
        <f ca="1">_xll.BDH($C$428,"NET_DEBT_TO_SHRHLDR_EQTY","FQ1 2016","FQ1 2016","Currency=INR","Period=FQ","BEST_FPERIOD_OVERRIDE=FQ","FILING_STATUS=OR","EQY_CONSOLIDATED=Y","Sort=A","Dates=H","DateFormat=P","Fill=—","Direction=H","UseDPDF=Y")</f>
        <v>#NAME?</v>
      </c>
      <c r="CO439" s="2" t="e">
        <f ca="1">_xll.BDH($C$428,"NET_DEBT_%_CAPITAL","FQ1 2016","FQ1 2016","Currency=INR","Period=FQ","BEST_FPERIOD_OVERRIDE=FQ","FILING_STATUS=OR","EQY_CONSOLIDATED=Y","Sort=A","Dates=H","DateFormat=P","Fill=—","Direction=H","UseDPDF=Y")</f>
        <v>#NAME?</v>
      </c>
      <c r="CP439" s="3" t="e">
        <f ca="1">_xll.BDH($C$428,"EBITDA","FQ1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439" s="3" t="e">
        <f ca="1">_xll.BDH($C$428,"EBITDA_AFTER_CAPEX","FQ1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439" s="3" t="e">
        <f ca="1">_xll.BDH($C$428,"IS_OPER_INC","FQ1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439" s="2" t="e">
        <f ca="1">_xll.BDH($C$428,"CASH_RATIO","FQ1 2016","FQ1 2016","Currency=INR","Period=FQ","BEST_FPERIOD_OVERRIDE=FQ","FILING_STATUS=OR","EQY_CONSOLIDATED=Y","Sort=A","Dates=H","DateFormat=P","Fill=—","Direction=H","UseDPDF=Y")</f>
        <v>#NAME?</v>
      </c>
      <c r="CT439" s="2" t="e">
        <f ca="1">_xll.BDH($C$428,"CUR_RATIO","FQ1 2016","FQ1 2016","Currency=INR","Period=FQ","BEST_FPERIOD_OVERRIDE=FQ","FILING_STATUS=OR","EQY_CONSOLIDATED=Y","Sort=A","Dates=H","DateFormat=P","Fill=—","Direction=H","UseDPDF=Y")</f>
        <v>#NAME?</v>
      </c>
      <c r="CU439" s="2" t="e">
        <f ca="1">_xll.BDH($C$428,"QUICK_RATIO","FQ1 2016","FQ1 2016","Currency=INR","Period=FQ","BEST_FPERIOD_OVERRIDE=FQ","FILING_STATUS=OR","EQY_CONSOLIDATED=Y","Sort=A","Dates=H","DateFormat=P","Fill=—","Direction=H","UseDPDF=Y")</f>
        <v>#NAME?</v>
      </c>
      <c r="CV439" s="2" t="e">
        <f ca="1">_xll.BDH($C$428,"ALTMAN_Z_SCORE","FQ1 2016","FQ1 2016","Currency=INR","Period=FQ","BEST_FPERIOD_OVERRIDE=FQ","FILING_STATUS=OR","EQY_CONSOLIDATED=Y","Sort=A","Dates=H","DateFormat=P","Fill=—","Direction=H","UseDPDF=Y")</f>
        <v>#NAME?</v>
      </c>
      <c r="CW439" s="4" t="e">
        <f ca="1">_xll.BDH($C$428,"ACCT_RCV_TURN","FQ1 2016","FQ1 2016","Currency=INR","Period=FQ","BEST_FPERIOD_OVERRIDE=FQ","FILING_STATUS=OR","EQY_CONSOLIDATED=Y","FA_ADJUSTED=GAAP","Sort=A","Dates=H","DateFormat=P","Fill=—","Direction=H","UseDPDF=Y")</f>
        <v>#NAME?</v>
      </c>
      <c r="CX439" s="2" t="e">
        <f ca="1">_xll.BDH($C$428,"ACCT_RCV_DAYS","FQ1 2016","FQ1 2016","Currency=INR","Period=FQ","BEST_FPERIOD_OVERRIDE=FQ","FILING_STATUS=OR","EQY_CONSOLIDATED=Y","FA_ADJUSTED=GAAP","Sort=A","Dates=H","DateFormat=P","Fill=—","Direction=H","UseDPDF=Y")</f>
        <v>#NAME?</v>
      </c>
      <c r="CY439" s="4" t="e">
        <f ca="1">_xll.BDH($C$428,"INVENT_TURN","FQ1 2016","FQ1 2016","Currency=INR","Period=FQ","BEST_FPERIOD_OVERRIDE=FQ","FILING_STATUS=OR","EQY_CONSOLIDATED=Y","FA_ADJUSTED=GAAP","Sort=A","Dates=H","DateFormat=P","Fill=—","Direction=H","UseDPDF=Y")</f>
        <v>#NAME?</v>
      </c>
      <c r="CZ439" s="2" t="e">
        <f ca="1">_xll.BDH($C$428,"INVENT_DAYS","FQ1 2016","FQ1 2016","Currency=INR","Period=FQ","BEST_FPERIOD_OVERRIDE=FQ","FILING_STATUS=OR","EQY_CONSOLIDATED=Y","FA_ADJUSTED=GAAP","Sort=A","Dates=H","DateFormat=P","Fill=—","Direction=H","UseDPDF=Y")</f>
        <v>#NAME?</v>
      </c>
      <c r="DA439" s="4" t="e">
        <f ca="1">_xll.BDH($C$428,"ACCOUNTS_PAYABLE_TURNOVER","FQ1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439" s="2" t="e">
        <f ca="1">_xll.BDH($C$428,"ACCOUNTS_PAYABLE_TURNOVER_DAYS","FQ1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439" s="4" t="e">
        <f ca="1">_xll.BDH($C$428,"CASH_CONVERSION_CYCLE","FQ1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439" s="4" t="e">
        <f ca="1">_xll.BDH($C$428,"INV_TO_CASH_DAYS","FQ1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439" s="5" t="e">
        <f ca="1">_xll.BDH($C$428,"BS_INVENTORIES","FQ1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439" s="3" t="e">
        <f ca="1">_xll.BDH($C$428,"INVTRY_RAW_MATERIALS","FQ1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439" s="3" t="e">
        <f ca="1">_xll.BDH($C$428,"INVTRY_IN_PROGRESS","FQ1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439" s="3" t="e">
        <f ca="1">_xll.BDH($C$428,"INVTRY_FINISHED_GOODS","FQ1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439" s="3" t="e">
        <f ca="1">_xll.BDH($C$428,"BS_OTHER_INV","FQ1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440" spans="1:113" x14ac:dyDescent="0.3">
      <c r="A440" s="6"/>
      <c r="B440" s="6"/>
      <c r="C440" s="6"/>
      <c r="D440" s="6"/>
      <c r="E440" t="s">
        <v>79</v>
      </c>
      <c r="F440" t="e">
        <f ca="1">_xll.BDH($C$428,"RETURN_COM_EQY","FQ2 2016","FQ2 2016","Currency=INR","Period=FQ","BEST_FPERIOD_OVERRIDE=FQ","FILING_STATUS=OR","EQY_CONSOLIDATED=Y","FA_ADJUSTED=GAAP","Sort=A","Dates=H","DateFormat=P","Fill=—","Direction=H","UseDPDF=Y")</f>
        <v>#NAME?</v>
      </c>
      <c r="G440" t="e">
        <f ca="1">_xll.BDH($C$428,"RETURN_ON_ASSET","FQ2 2016","FQ2 2016","Currency=INR","Period=FQ","BEST_FPERIOD_OVERRIDE=FQ","FILING_STATUS=OR","EQY_CONSOLIDATED=Y","FA_ADJUSTED=GAAP","Sort=A","Dates=H","DateFormat=P","Fill=—","Direction=H","UseDPDF=Y")</f>
        <v>#NAME?</v>
      </c>
      <c r="H440" t="e">
        <f ca="1">_xll.BDH($C$428,"RETURN_ON_CAP","FQ2 2016","FQ2 2016","Currency=INR","Period=FQ","BEST_FPERIOD_OVERRIDE=FQ","FILING_STATUS=OR","EQY_CONSOLIDATED=Y","FA_ADJUSTED=GAAP","Sort=A","Dates=H","DateFormat=P","Fill=—","Direction=H","UseDPDF=Y")</f>
        <v>#NAME?</v>
      </c>
      <c r="I440" t="e">
        <f ca="1">_xll.BDH($C$428,"RETURN_ON_INV_CAPITAL","FQ2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440" t="e">
        <f ca="1">_xll.BDH($C$428,"EBITDA_TO_REVENUE","FQ2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440" t="e">
        <f ca="1">_xll.BDH($C$428,"OPER_MARGIN","FQ2 2016","FQ2 2016","Currency=INR","Period=FQ","BEST_FPERIOD_OVERRIDE=FQ","FILING_STATUS=OR","EQY_CONSOLIDATED=Y","FA_ADJUSTED=GAAP","Sort=A","Dates=H","DateFormat=P","Fill=—","Direction=H","UseDPDF=Y")</f>
        <v>#NAME?</v>
      </c>
      <c r="L440" t="e">
        <f ca="1">_xll.BDH($C$428,"INCREMENTAL_OPERATING_MARGIN","FQ2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440" t="e">
        <f ca="1">_xll.BDH($C$428,"PRETAX_INC_TO_NET_SALES","FQ2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440" t="e">
        <f ca="1">_xll.BDH($C$428,"INC_BEF_XO_ITEMS_TO_NET_SALES","FQ2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440" t="e">
        <f ca="1">_xll.BDH($C$428,"PROF_MARGIN","FQ2 2016","FQ2 2016","Currency=INR","Period=FQ","BEST_FPERIOD_OVERRIDE=FQ","FILING_STATUS=OR","EQY_CONSOLIDATED=Y","FA_ADJUSTED=GAAP","Sort=A","Dates=H","DateFormat=P","Fill=—","Direction=H","UseDPDF=Y")</f>
        <v>#NAME?</v>
      </c>
      <c r="P440" t="e">
        <f ca="1">_xll.BDH($C$428,"NET_INCOME_TO_COMMON_MARGIN","FQ2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440" t="e">
        <f ca="1">_xll.BDH($C$428,"EFF_TAX_RATE","FQ2 2016","FQ2 2016","Currency=INR","Period=FQ","BEST_FPERIOD_OVERRIDE=FQ","FILING_STATUS=OR","EQY_CONSOLIDATED=Y","FA_ADJUSTED=GAAP","Sort=A","Dates=H","DateFormat=P","Fill=—","Direction=H","UseDPDF=Y")</f>
        <v>#NAME?</v>
      </c>
      <c r="R440" t="e">
        <f ca="1">_xll.BDH($C$428,"DVD_PAYOUT_RATIO","FQ2 2016","FQ2 2016","Currency=INR","Period=FQ","BEST_FPERIOD_OVERRIDE=FQ","FILING_STATUS=OR","EQY_CONSOLIDATED=Y","FA_ADJUSTED=GAAP","Sort=A","Dates=H","DateFormat=P","Fill=—","Direction=H","UseDPDF=Y")</f>
        <v>#NAME?</v>
      </c>
      <c r="S440" t="e">
        <f ca="1">_xll.BDH($C$428,"SUSTAIN_GROWTH_RT","FQ2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440" s="2" t="e">
        <f ca="1">_xll.BDH($C$428,"SALES_GROWTH","FQ2 2016","FQ2 2016","Currency=INR","Period=FQ","BEST_FPERIOD_OVERRIDE=FQ","FILING_STATUS=OR","EQY_CONSOLIDATED=Y","FA_ADJUSTED=GAAP","Sort=A","Dates=H","DateFormat=P","Fill=—","Direction=H","UseDPDF=Y")</f>
        <v>#NAME?</v>
      </c>
      <c r="U440" s="2" t="e">
        <f ca="1">_xll.BDH($C$428,"EBITDA_GROWTH","FQ2 2016","FQ2 2016","Currency=INR","Period=FQ","BEST_FPERIOD_OVERRIDE=FQ","FILING_STATUS=OR","EQY_CONSOLIDATED=Y","FA_ADJUSTED=GAAP","Sort=A","Dates=H","DateFormat=P","Fill=—","Direction=H","UseDPDF=Y")</f>
        <v>#NAME?</v>
      </c>
      <c r="V440" s="2" t="e">
        <f ca="1">_xll.BDH($C$428,"OPER_INC_GROWTH","FQ2 2016","FQ2 2016","Currency=INR","Period=FQ","BEST_FPERIOD_OVERRIDE=FQ","FILING_STATUS=OR","EQY_CONSOLIDATED=Y","FA_ADJUSTED=GAAP","Sort=A","Dates=H","DateFormat=P","Fill=—","Direction=H","UseDPDF=Y")</f>
        <v>#NAME?</v>
      </c>
      <c r="W440" s="2" t="e">
        <f ca="1">_xll.BDH($C$428,"EARN_FOR_COM_GROWTH","FQ2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440" s="2" t="e">
        <f ca="1">_xll.BDH($C$428,"DILUTED_EPS_AFT_XO_ITEMS_GROWTH","FQ2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440" s="2" t="e">
        <f ca="1">_xll.BDH($C$428,"DIVIDEND_PER_SHARE_1_YEAR_GROWTH","FQ2 2016","FQ2 2016","Currency=INR","Period=FQ","BEST_FPERIOD_OVERRIDE=FQ","FILING_STATUS=OR","EQY_CONSOLIDATED=Y","Sort=A","Dates=H","DateFormat=P","Fill=—","Direction=H","UseDPDF=Y")</f>
        <v>#NAME?</v>
      </c>
      <c r="Z440" s="2" t="e">
        <f ca="1">_xll.BDH($C$428,"ACCOUNTS_RECEIVABLE_GROWTH","FQ2 2016","FQ2 2016","Currency=INR","Period=FQ","BEST_FPERIOD_OVERRIDE=FQ","FILING_STATUS=OR","EQY_CONSOLIDATED=Y","Sort=A","Dates=H","DateFormat=P","Fill=—","Direction=H","UseDPDF=Y")</f>
        <v>#NAME?</v>
      </c>
      <c r="AA440" s="2" t="e">
        <f ca="1">_xll.BDH($C$428,"INVENTORY_GROWTH","FQ2 2016","FQ2 2016","Currency=INR","Period=FQ","BEST_FPERIOD_OVERRIDE=FQ","FILING_STATUS=OR","EQY_CONSOLIDATED=Y","Sort=A","Dates=H","DateFormat=P","Fill=—","Direction=H","UseDPDF=Y")</f>
        <v>#NAME?</v>
      </c>
      <c r="AB440" s="2" t="e">
        <f ca="1">_xll.BDH($C$428,"NET_FIXED_ASSETS_1_YEAR_GROWTH","FQ2 2016","FQ2 2016","Currency=INR","Period=FQ","BEST_FPERIOD_OVERRIDE=FQ","FILING_STATUS=OR","EQY_CONSOLIDATED=Y","Sort=A","Dates=H","DateFormat=P","Fill=—","Direction=H","UseDPDF=Y")</f>
        <v>#NAME?</v>
      </c>
      <c r="AC440" s="2" t="e">
        <f ca="1">_xll.BDH($C$428,"ASSET_GROWTH","FQ2 2016","FQ2 2016","Currency=INR","Period=FQ","BEST_FPERIOD_OVERRIDE=FQ","FILING_STATUS=OR","EQY_CONSOLIDATED=Y","Sort=A","Dates=H","DateFormat=P","Fill=—","Direction=H","UseDPDF=Y")</f>
        <v>#NAME?</v>
      </c>
      <c r="AD440" s="2" t="e">
        <f ca="1">_xll.BDH($C$428,"MODIFIED_WORK_CAP_GROWTH","FQ2 2016","FQ2 2016","Currency=INR","Period=FQ","BEST_FPERIOD_OVERRIDE=FQ","FILING_STATUS=OR","EQY_CONSOLIDATED=Y","Sort=A","Dates=H","DateFormat=P","Fill=—","Direction=H","UseDPDF=Y")</f>
        <v>#NAME?</v>
      </c>
      <c r="AE440" s="2" t="e">
        <f ca="1">_xll.BDH($C$428,"WORK_CAP_GROWTH","FQ2 2016","FQ2 2016","Currency=INR","Period=FQ","BEST_FPERIOD_OVERRIDE=FQ","FILING_STATUS=OR","EQY_CONSOLIDATED=Y","Sort=A","Dates=H","DateFormat=P","Fill=—","Direction=H","UseDPDF=Y")</f>
        <v>#NAME?</v>
      </c>
      <c r="AF440" s="2" t="e">
        <f ca="1">_xll.BDH($C$428,"ACCOUNTS_PAYABLE_GROWTH_1YR","FQ2 2016","FQ2 2016","Currency=INR","Period=FQ","BEST_FPERIOD_OVERRIDE=FQ","FILING_STATUS=OR","EQY_CONSOLIDATED=Y","Sort=A","Dates=H","DateFormat=P","Fill=—","Direction=H","UseDPDF=Y")</f>
        <v>#NAME?</v>
      </c>
      <c r="AG440" s="2" t="e">
        <f ca="1">_xll.BDH($C$428,"SHORT_TERM_DEBT_1_YEAR_GROWTH","FQ2 2016","FQ2 2016","Currency=INR","Period=FQ","BEST_FPERIOD_OVERRIDE=FQ","FILING_STATUS=OR","EQY_CONSOLIDATED=Y","Sort=A","Dates=H","DateFormat=P","Fill=—","Direction=H","UseDPDF=Y")</f>
        <v>#NAME?</v>
      </c>
      <c r="AH440" s="2" t="e">
        <f ca="1">_xll.BDH($C$428,"TOTAL_DEBT_1_YEAR_GROWTH","FQ2 2016","FQ2 2016","Currency=INR","Period=FQ","BEST_FPERIOD_OVERRIDE=FQ","FILING_STATUS=OR","EQY_CONSOLIDATED=Y","Sort=A","Dates=H","DateFormat=P","Fill=—","Direction=H","UseDPDF=Y")</f>
        <v>#NAME?</v>
      </c>
      <c r="AI440" s="2" t="e">
        <f ca="1">_xll.BDH($C$428,"TOTAL_EQUITY_1_YEAR_GROWTH","FQ2 2016","FQ2 2016","Currency=INR","Period=FQ","BEST_FPERIOD_OVERRIDE=FQ","FILING_STATUS=OR","EQY_CONSOLIDATED=Y","Sort=A","Dates=H","DateFormat=P","Fill=—","Direction=H","UseDPDF=Y")</f>
        <v>#NAME?</v>
      </c>
      <c r="AJ440" s="2" t="e">
        <f ca="1">_xll.BDH($C$428,"GROWTH_IN_CAP","FQ2 2016","FQ2 2016","Currency=INR","Period=FQ","BEST_FPERIOD_OVERRIDE=FQ","FILING_STATUS=OR","EQY_CONSOLIDATED=Y","Sort=A","Dates=H","DateFormat=P","Fill=—","Direction=H","UseDPDF=Y")</f>
        <v>#NAME?</v>
      </c>
      <c r="AK440" s="2" t="e">
        <f ca="1">_xll.BDH($C$428,"BVPS_GROWTH","FQ2 2016","FQ2 2016","Currency=INR","Period=FQ","BEST_FPERIOD_OVERRIDE=FQ","FILING_STATUS=OR","EQY_CONSOLIDATED=Y","Sort=A","Dates=H","DateFormat=P","Fill=—","Direction=H","UseDPDF=Y")</f>
        <v>#NAME?</v>
      </c>
      <c r="AL440" s="2" t="e">
        <f ca="1">_xll.BDH($C$428,"CASH_FLOW_GROWTH","FQ2 2016","FQ2 2016","Currency=INR","Period=FQ","BEST_FPERIOD_OVERRIDE=FQ","FILING_STATUS=OR","EQY_CONSOLIDATED=Y","Sort=A","Dates=H","DateFormat=P","Fill=—","Direction=H","UseDPDF=Y")</f>
        <v>#NAME?</v>
      </c>
      <c r="AM440" s="2" t="e">
        <f ca="1">_xll.BDH($C$428,"GEO_GROW_NET_SALES","FQ2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440" s="2" t="e">
        <f ca="1">_xll.BDH($C$428,"GEO_GROW_EBITDA","FQ2 2016","FQ2 2016","Currency=INR","Period=FQ","BEST_FPERIOD_OVERRIDE=FQ","FILING_STATUS=OR","EQY_CONSOLIDATED=Y","FA_ADJUSTED=GAAP","Sort=A","Dates=H","DateFormat=P","Fill=—","Direction=H","UseDPDF=Y")</f>
        <v>#NAME?</v>
      </c>
      <c r="AO440" s="2" t="e">
        <f ca="1">_xll.BDH($C$428,"GEO_GROW_OPER_INC","FQ2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440" s="2" t="e">
        <f ca="1">_xll.BDH($C$428,"NET_INCOME_TO_COMMON_5_YR_GROWTH","FQ2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440" s="2" t="e">
        <f ca="1">_xll.BDH($C$428,"5Y_GEO_GROWTH_DILUTED_EPS","FQ2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440" s="2" t="e">
        <f ca="1">_xll.BDH($C$428,"GEO_GROW_DVD_PER_SH","FQ2 2016","FQ2 2016","Currency=INR","Period=FQ","BEST_FPERIOD_OVERRIDE=FQ","FILING_STATUS=OR","EQY_CONSOLIDATED=Y","Sort=A","Dates=H","DateFormat=P","Fill=—","Direction=H","UseDPDF=Y")</f>
        <v>#NAME?</v>
      </c>
      <c r="AS440" s="2" t="e">
        <f ca="1">_xll.BDH($C$428,"ACCOUNTS_RECEIVABLE_5_YR_GROWTH","FQ2 2016","FQ2 2016","Currency=INR","Period=FQ","BEST_FPERIOD_OVERRIDE=FQ","FILING_STATUS=OR","EQY_CONSOLIDATED=Y","Sort=A","Dates=H","DateFormat=P","Fill=—","Direction=H","UseDPDF=Y")</f>
        <v>#NAME?</v>
      </c>
      <c r="AT440" s="2" t="e">
        <f ca="1">_xll.BDH($C$428,"INVENTORY_5_YEAR_GROWTH","FQ2 2016","FQ2 2016","Currency=INR","Period=FQ","BEST_FPERIOD_OVERRIDE=FQ","FILING_STATUS=OR","EQY_CONSOLIDATED=Y","Sort=A","Dates=H","DateFormat=P","Fill=—","Direction=H","UseDPDF=Y")</f>
        <v>#NAME?</v>
      </c>
      <c r="AU440" s="2" t="e">
        <f ca="1">_xll.BDH($C$428,"NET_FIXED_ASSETS_5_YEAR_GROWTH","FQ2 2016","FQ2 2016","Currency=INR","Period=FQ","BEST_FPERIOD_OVERRIDE=FQ","FILING_STATUS=OR","EQY_CONSOLIDATED=Y","Sort=A","Dates=H","DateFormat=P","Fill=—","Direction=H","UseDPDF=Y")</f>
        <v>#NAME?</v>
      </c>
      <c r="AV440" s="2" t="e">
        <f ca="1">_xll.BDH($C$428,"GEO_GROW_TOT_ASSET","FQ2 2016","FQ2 2016","Currency=INR","Period=FQ","BEST_FPERIOD_OVERRIDE=FQ","FILING_STATUS=OR","EQY_CONSOLIDATED=Y","Sort=A","Dates=H","DateFormat=P","Fill=—","Direction=H","UseDPDF=Y")</f>
        <v>#NAME?</v>
      </c>
      <c r="AW440" s="2" t="e">
        <f ca="1">_xll.BDH($C$428,"MODIFIED_WORKING_CPTL_5YR_GRWTH","FQ2 2016","FQ2 2016","Currency=INR","Period=FQ","BEST_FPERIOD_OVERRIDE=FQ","FILING_STATUS=OR","EQY_CONSOLIDATED=Y","Sort=A","Dates=H","DateFormat=P","Fill=—","Direction=H","UseDPDF=Y")</f>
        <v>#NAME?</v>
      </c>
      <c r="AX440" s="2" t="e">
        <f ca="1">_xll.BDH($C$428,"WORKING_CAPITAL_5_YEAR_GROWTH","FQ2 2016","FQ2 2016","Currency=INR","Period=FQ","BEST_FPERIOD_OVERRIDE=FQ","FILING_STATUS=OR","EQY_CONSOLIDATED=Y","Sort=A","Dates=H","DateFormat=P","Fill=—","Direction=H","UseDPDF=Y")</f>
        <v>#NAME?</v>
      </c>
      <c r="AY440" s="2" t="e">
        <f ca="1">_xll.BDH($C$428,"ACCOUNTS_PAYABLE_5_YEAR_GROWTH","FQ2 2016","FQ2 2016","Currency=INR","Period=FQ","BEST_FPERIOD_OVERRIDE=FQ","FILING_STATUS=OR","EQY_CONSOLIDATED=Y","Sort=A","Dates=H","DateFormat=P","Fill=—","Direction=H","UseDPDF=Y")</f>
        <v>#NAME?</v>
      </c>
      <c r="AZ440" s="2" t="e">
        <f ca="1">_xll.BDH($C$428,"SHORT_TERM_DEBT_5_YEAR_GROWTH","FQ2 2016","FQ2 2016","Currency=INR","Period=FQ","BEST_FPERIOD_OVERRIDE=FQ","FILING_STATUS=OR","EQY_CONSOLIDATED=Y","Sort=A","Dates=H","DateFormat=P","Fill=—","Direction=H","UseDPDF=Y")</f>
        <v>#NAME?</v>
      </c>
      <c r="BA440" s="2" t="e">
        <f ca="1">_xll.BDH($C$428,"TOTAL_DEBT_5_YEAR_GROWTH","FQ2 2016","FQ2 2016","Currency=INR","Period=FQ","BEST_FPERIOD_OVERRIDE=FQ","FILING_STATUS=OR","EQY_CONSOLIDATED=Y","Sort=A","Dates=H","DateFormat=P","Fill=—","Direction=H","UseDPDF=Y")</f>
        <v>#NAME?</v>
      </c>
      <c r="BB440" s="2" t="e">
        <f ca="1">_xll.BDH($C$428,"GEO_GROW_TOT_SHRHLDR_EQY","FQ2 2016","FQ2 2016","Currency=INR","Period=FQ","BEST_FPERIOD_OVERRIDE=FQ","FILING_STATUS=OR","EQY_CONSOLIDATED=Y","Sort=A","Dates=H","DateFormat=P","Fill=—","Direction=H","UseDPDF=Y")</f>
        <v>#NAME?</v>
      </c>
      <c r="BC440" s="2" t="e">
        <f ca="1">_xll.BDH($C$428,"TOTAL_CAPITAL_5_YEAR_GROWTH","FQ2 2016","FQ2 2016","Currency=INR","Period=FQ","BEST_FPERIOD_OVERRIDE=FQ","FILING_STATUS=OR","EQY_CONSOLIDATED=Y","Sort=A","Dates=H","DateFormat=P","Fill=—","Direction=H","UseDPDF=Y")</f>
        <v>#NAME?</v>
      </c>
      <c r="BD440" s="2" t="e">
        <f ca="1">_xll.BDH($C$428,"GEO_GROW_BOOK_VAL","FQ2 2016","FQ2 2016","Currency=INR","Period=FQ","BEST_FPERIOD_OVERRIDE=FQ","FILING_STATUS=OR","EQY_CONSOLIDATED=Y","Sort=A","Dates=H","DateFormat=P","Fill=—","Direction=H","UseDPDF=Y")</f>
        <v>#NAME?</v>
      </c>
      <c r="BE440" s="2" t="e">
        <f ca="1">_xll.BDH($C$428,"GEO_GROW_CASH_OPER_ACT","FQ2 2016","FQ2 2016","Currency=INR","Period=FQ","BEST_FPERIOD_OVERRIDE=FQ","FILING_STATUS=OR","EQY_CONSOLIDATED=Y","Sort=A","Dates=H","DateFormat=P","Fill=—","Direction=H","UseDPDF=Y")</f>
        <v>#NAME?</v>
      </c>
      <c r="BF440" s="2" t="e">
        <f ca="1">_xll.BDH($C$428,"REVENUE_SEQUENTIAL_GROWTH","FQ2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440" s="2" t="e">
        <f ca="1">_xll.BDH($C$428,"EBITDA_SEQUENTIAL_GROWTH","FQ2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440" s="2" t="e">
        <f ca="1">_xll.BDH($C$428,"OPERATING_INCOME_SEQ_GROWTH","FQ2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440" s="2" t="e">
        <f ca="1">_xll.BDH($C$428,"NET_INCOME_TO_COMMON_SEQ_GROWTH","FQ2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440" s="2" t="e">
        <f ca="1">_xll.BDH($C$428,"EPS_DILUTED_SEQUENTIAL_GROWTH","FQ2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440" s="2" t="e">
        <f ca="1">_xll.BDH($C$428,"DPS_SEQUENTIAL_GROWTH","FQ2 2016","FQ2 2016","Currency=INR","Period=FQ","BEST_FPERIOD_OVERRIDE=FQ","FILING_STATUS=OR","EQY_CONSOLIDATED=Y","Sort=A","Dates=H","DateFormat=P","Fill=—","Direction=H","UseDPDF=Y")</f>
        <v>#NAME?</v>
      </c>
      <c r="BL440" s="2" t="e">
        <f ca="1">_xll.BDH($C$428,"ACCOUNTS_RECEIVABLE_SEQ_GROWTH","FQ2 2016","FQ2 2016","Currency=INR","Period=FQ","BEST_FPERIOD_OVERRIDE=FQ","FILING_STATUS=OR","EQY_CONSOLIDATED=Y","Sort=A","Dates=H","DateFormat=P","Fill=—","Direction=H","UseDPDF=Y")</f>
        <v>#NAME?</v>
      </c>
      <c r="BM440" s="2" t="e">
        <f ca="1">_xll.BDH($C$428,"INVENTORY_SEQUENTIAL_GROWTH","FQ2 2016","FQ2 2016","Currency=INR","Period=FQ","BEST_FPERIOD_OVERRIDE=FQ","FILING_STATUS=OR","EQY_CONSOLIDATED=Y","Sort=A","Dates=H","DateFormat=P","Fill=—","Direction=H","UseDPDF=Y")</f>
        <v>#NAME?</v>
      </c>
      <c r="BN440" s="2" t="e">
        <f ca="1">_xll.BDH($C$428,"FIXED_ASSETS_SEQUENTIAL_GROWTH","FQ2 2016","FQ2 2016","Currency=INR","Period=FQ","BEST_FPERIOD_OVERRIDE=FQ","FILING_STATUS=OR","EQY_CONSOLIDATED=Y","Sort=A","Dates=H","DateFormat=P","Fill=—","Direction=H","UseDPDF=Y")</f>
        <v>#NAME?</v>
      </c>
      <c r="BO440" s="2" t="e">
        <f ca="1">_xll.BDH($C$428,"TOTAL_ASSETS_SEQUENTIAL_GROWTH","FQ2 2016","FQ2 2016","Currency=INR","Period=FQ","BEST_FPERIOD_OVERRIDE=FQ","FILING_STATUS=OR","EQY_CONSOLIDATED=Y","Sort=A","Dates=H","DateFormat=P","Fill=—","Direction=H","UseDPDF=Y")</f>
        <v>#NAME?</v>
      </c>
      <c r="BP440" s="2" t="e">
        <f ca="1">_xll.BDH($C$428,"MODIFIED_WORKING_CPTL_SEQ_GRWTH","FQ2 2016","FQ2 2016","Currency=INR","Period=FQ","BEST_FPERIOD_OVERRIDE=FQ","FILING_STATUS=OR","EQY_CONSOLIDATED=Y","Sort=A","Dates=H","DateFormat=P","Fill=—","Direction=H","UseDPDF=Y")</f>
        <v>#NAME?</v>
      </c>
      <c r="BQ440" s="2" t="e">
        <f ca="1">_xll.BDH($C$428,"WORKING_CAPITAL_SEQ_GROWTH","FQ2 2016","FQ2 2016","Currency=INR","Period=FQ","BEST_FPERIOD_OVERRIDE=FQ","FILING_STATUS=OR","EQY_CONSOLIDATED=Y","Sort=A","Dates=H","DateFormat=P","Fill=—","Direction=H","UseDPDF=Y")</f>
        <v>#NAME?</v>
      </c>
      <c r="BR440" s="2" t="e">
        <f ca="1">_xll.BDH($C$428,"ACCOUNTS_PAYABLE_SEQ_GROWTH","FQ2 2016","FQ2 2016","Currency=INR","Period=FQ","BEST_FPERIOD_OVERRIDE=FQ","FILING_STATUS=OR","EQY_CONSOLIDATED=Y","Sort=A","Dates=H","DateFormat=P","Fill=—","Direction=H","UseDPDF=Y")</f>
        <v>#NAME?</v>
      </c>
      <c r="BS440" s="2" t="e">
        <f ca="1">_xll.BDH($C$428,"ST_DEBT_SEQUENTIAL_GROWTH","FQ2 2016","FQ2 2016","Currency=INR","Period=FQ","BEST_FPERIOD_OVERRIDE=FQ","FILING_STATUS=OR","EQY_CONSOLIDATED=Y","Sort=A","Dates=H","DateFormat=P","Fill=—","Direction=H","UseDPDF=Y")</f>
        <v>#NAME?</v>
      </c>
      <c r="BT440" s="2" t="e">
        <f ca="1">_xll.BDH($C$428,"TOTAL_DEBT_SEQUENTIAL_GROWTH","FQ2 2016","FQ2 2016","Currency=INR","Period=FQ","BEST_FPERIOD_OVERRIDE=FQ","FILING_STATUS=OR","EQY_CONSOLIDATED=Y","Sort=A","Dates=H","DateFormat=P","Fill=—","Direction=H","UseDPDF=Y")</f>
        <v>#NAME?</v>
      </c>
      <c r="BU440" s="2" t="e">
        <f ca="1">_xll.BDH($C$428,"TOTAL_EQUITY_SEQUENTIAL_GROWTH","FQ2 2016","FQ2 2016","Currency=INR","Period=FQ","BEST_FPERIOD_OVERRIDE=FQ","FILING_STATUS=OR","EQY_CONSOLIDATED=Y","Sort=A","Dates=H","DateFormat=P","Fill=—","Direction=H","UseDPDF=Y")</f>
        <v>#NAME?</v>
      </c>
      <c r="BV440" s="2" t="e">
        <f ca="1">_xll.BDH($C$428,"TOTAL_CAPITAL_SEQUENTIAL_GROWTH","FQ2 2016","FQ2 2016","Currency=INR","Period=FQ","BEST_FPERIOD_OVERRIDE=FQ","FILING_STATUS=OR","EQY_CONSOLIDATED=Y","Sort=A","Dates=H","DateFormat=P","Fill=—","Direction=H","UseDPDF=Y")</f>
        <v>#NAME?</v>
      </c>
      <c r="BW440" s="2" t="e">
        <f ca="1">_xll.BDH($C$428,"BPS_SEQUENTIAL_GROWTH","FQ2 2016","FQ2 2016","Currency=INR","Period=FQ","BEST_FPERIOD_OVERRIDE=FQ","FILING_STATUS=OR","EQY_CONSOLIDATED=Y","Sort=A","Dates=H","DateFormat=P","Fill=—","Direction=H","UseDPDF=Y")</f>
        <v>#NAME?</v>
      </c>
      <c r="BX440" s="2" t="e">
        <f ca="1">_xll.BDH($C$428,"CFO_SEQUENTIAL_GROWTH","FQ2 2016","FQ2 2016","Currency=INR","Period=FQ","BEST_FPERIOD_OVERRIDE=FQ","FILING_STATUS=OR","EQY_CONSOLIDATED=Y","Sort=A","Dates=H","DateFormat=P","Fill=—","Direction=H","UseDPDF=Y")</f>
        <v>#NAME?</v>
      </c>
      <c r="BY440" s="3" t="e">
        <f ca="1">_xll.BDH($C$428,"SHORT_AND_LONG_TERM_DEBT","FQ2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440" s="3" t="e">
        <f ca="1">_xll.BDH($C$428,"BS_ST_BORROW","FQ2 2016","FQ2 2016","Currency=INR","Period=FQ","BEST_FPERIOD_OVERRIDE=FQ","FILING_STATUS=OR","EQY_CONSOLIDATED=Y","SCALING_FORMAT=MLN","Sort=A","Dates=H","DateFormat=P","Fill=—","Direction=H","UseDPDF=Y")</f>
        <v>#NAME?</v>
      </c>
      <c r="CA440" s="3" t="e">
        <f ca="1">_xll.BDH($C$428,"BS_LT_BORROW","FQ2 2016","FQ2 2016","Currency=INR","Period=FQ","BEST_FPERIOD_OVERRIDE=FQ","FILING_STATUS=OR","EQY_CONSOLIDATED=Y","SCALING_FORMAT=MLN","Sort=A","Dates=H","DateFormat=P","Fill=—","Direction=H","UseDPDF=Y")</f>
        <v>#NAME?</v>
      </c>
      <c r="CB440" s="2" t="e">
        <f ca="1">_xll.BDH($C$428,"TOT_DEBT_TO_EBITDA","FQ2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440" s="2" t="e">
        <f ca="1">_xll.BDH($C$428,"NET_DEBT_TO_EBITDA","FQ2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440" s="2" t="e">
        <f ca="1">_xll.BDH($C$428,"TOTAL_DEBT_TO_EBIT","FQ2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440" s="2" t="e">
        <f ca="1">_xll.BDH($C$428,"NET_DEBT_TO_EBIT","FQ2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440" s="2" t="e">
        <f ca="1">_xll.BDH($C$428,"EBITDA_TO_INTEREST_EXPN","FQ2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440" s="2" t="e">
        <f ca="1">_xll.BDH($C$428,"COM_EQY_TO_TOT_ASSET","FQ2 2016","FQ2 2016","Currency=INR","Period=FQ","BEST_FPERIOD_OVERRIDE=FQ","FILING_STATUS=OR","EQY_CONSOLIDATED=Y","Sort=A","Dates=H","DateFormat=P","Fill=—","Direction=H","UseDPDF=Y")</f>
        <v>#NAME?</v>
      </c>
      <c r="CH440" s="2" t="e">
        <f ca="1">_xll.BDH($C$428,"LT_DEBT_TO_TOT_EQY","FQ2 2016","FQ2 2016","Currency=INR","Period=FQ","BEST_FPERIOD_OVERRIDE=FQ","FILING_STATUS=OR","EQY_CONSOLIDATED=Y","Sort=A","Dates=H","DateFormat=P","Fill=—","Direction=H","UseDPDF=Y")</f>
        <v>#NAME?</v>
      </c>
      <c r="CI440" s="2" t="e">
        <f ca="1">_xll.BDH($C$428,"LT_DEBT_TO_TOT_CAP","FQ2 2016","FQ2 2016","Currency=INR","Period=FQ","BEST_FPERIOD_OVERRIDE=FQ","FILING_STATUS=OR","EQY_CONSOLIDATED=Y","Sort=A","Dates=H","DateFormat=P","Fill=—","Direction=H","UseDPDF=Y")</f>
        <v>#NAME?</v>
      </c>
      <c r="CJ440" s="2" t="e">
        <f ca="1">_xll.BDH($C$428,"LT_DEBT_TO_TOT_ASSET","FQ2 2016","FQ2 2016","Currency=INR","Period=FQ","BEST_FPERIOD_OVERRIDE=FQ","FILING_STATUS=OR","EQY_CONSOLIDATED=Y","Sort=A","Dates=H","DateFormat=P","Fill=—","Direction=H","UseDPDF=Y")</f>
        <v>#NAME?</v>
      </c>
      <c r="CK440" s="2" t="e">
        <f ca="1">_xll.BDH($C$428,"TOT_DEBT_TO_TOT_EQY","FQ2 2016","FQ2 2016","Currency=INR","Period=FQ","BEST_FPERIOD_OVERRIDE=FQ","FILING_STATUS=OR","EQY_CONSOLIDATED=Y","Sort=A","Dates=H","DateFormat=P","Fill=—","Direction=H","UseDPDF=Y")</f>
        <v>#NAME?</v>
      </c>
      <c r="CL440" s="2" t="e">
        <f ca="1">_xll.BDH($C$428,"TOT_DEBT_TO_TOT_CAP","FQ2 2016","FQ2 2016","Currency=INR","Period=FQ","BEST_FPERIOD_OVERRIDE=FQ","FILING_STATUS=OR","EQY_CONSOLIDATED=Y","Sort=A","Dates=H","DateFormat=P","Fill=—","Direction=H","UseDPDF=Y")</f>
        <v>#NAME?</v>
      </c>
      <c r="CM440" s="2" t="e">
        <f ca="1">_xll.BDH($C$428,"TOT_DEBT_TO_TOT_ASSET","FQ2 2016","FQ2 2016","Currency=INR","Period=FQ","BEST_FPERIOD_OVERRIDE=FQ","FILING_STATUS=OR","EQY_CONSOLIDATED=Y","Sort=A","Dates=H","DateFormat=P","Fill=—","Direction=H","UseDPDF=Y")</f>
        <v>#NAME?</v>
      </c>
      <c r="CN440" s="2" t="e">
        <f ca="1">_xll.BDH($C$428,"NET_DEBT_TO_SHRHLDR_EQTY","FQ2 2016","FQ2 2016","Currency=INR","Period=FQ","BEST_FPERIOD_OVERRIDE=FQ","FILING_STATUS=OR","EQY_CONSOLIDATED=Y","Sort=A","Dates=H","DateFormat=P","Fill=—","Direction=H","UseDPDF=Y")</f>
        <v>#NAME?</v>
      </c>
      <c r="CO440" s="2" t="e">
        <f ca="1">_xll.BDH($C$428,"NET_DEBT_%_CAPITAL","FQ2 2016","FQ2 2016","Currency=INR","Period=FQ","BEST_FPERIOD_OVERRIDE=FQ","FILING_STATUS=OR","EQY_CONSOLIDATED=Y","Sort=A","Dates=H","DateFormat=P","Fill=—","Direction=H","UseDPDF=Y")</f>
        <v>#NAME?</v>
      </c>
      <c r="CP440" s="3" t="e">
        <f ca="1">_xll.BDH($C$428,"EBITDA","FQ2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440" s="3" t="e">
        <f ca="1">_xll.BDH($C$428,"EBITDA_AFTER_CAPEX","FQ2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440" s="3" t="e">
        <f ca="1">_xll.BDH($C$428,"IS_OPER_INC","FQ2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440" s="2" t="e">
        <f ca="1">_xll.BDH($C$428,"CASH_RATIO","FQ2 2016","FQ2 2016","Currency=INR","Period=FQ","BEST_FPERIOD_OVERRIDE=FQ","FILING_STATUS=OR","EQY_CONSOLIDATED=Y","Sort=A","Dates=H","DateFormat=P","Fill=—","Direction=H","UseDPDF=Y")</f>
        <v>#NAME?</v>
      </c>
      <c r="CT440" s="2" t="e">
        <f ca="1">_xll.BDH($C$428,"CUR_RATIO","FQ2 2016","FQ2 2016","Currency=INR","Period=FQ","BEST_FPERIOD_OVERRIDE=FQ","FILING_STATUS=OR","EQY_CONSOLIDATED=Y","Sort=A","Dates=H","DateFormat=P","Fill=—","Direction=H","UseDPDF=Y")</f>
        <v>#NAME?</v>
      </c>
      <c r="CU440" s="2" t="e">
        <f ca="1">_xll.BDH($C$428,"QUICK_RATIO","FQ2 2016","FQ2 2016","Currency=INR","Period=FQ","BEST_FPERIOD_OVERRIDE=FQ","FILING_STATUS=OR","EQY_CONSOLIDATED=Y","Sort=A","Dates=H","DateFormat=P","Fill=—","Direction=H","UseDPDF=Y")</f>
        <v>#NAME?</v>
      </c>
      <c r="CV440" s="2" t="e">
        <f ca="1">_xll.BDH($C$428,"ALTMAN_Z_SCORE","FQ2 2016","FQ2 2016","Currency=INR","Period=FQ","BEST_FPERIOD_OVERRIDE=FQ","FILING_STATUS=OR","EQY_CONSOLIDATED=Y","Sort=A","Dates=H","DateFormat=P","Fill=—","Direction=H","UseDPDF=Y")</f>
        <v>#NAME?</v>
      </c>
      <c r="CW440" s="4" t="e">
        <f ca="1">_xll.BDH($C$428,"ACCT_RCV_TURN","FQ2 2016","FQ2 2016","Currency=INR","Period=FQ","BEST_FPERIOD_OVERRIDE=FQ","FILING_STATUS=OR","EQY_CONSOLIDATED=Y","FA_ADJUSTED=GAAP","Sort=A","Dates=H","DateFormat=P","Fill=—","Direction=H","UseDPDF=Y")</f>
        <v>#NAME?</v>
      </c>
      <c r="CX440" s="2" t="e">
        <f ca="1">_xll.BDH($C$428,"ACCT_RCV_DAYS","FQ2 2016","FQ2 2016","Currency=INR","Period=FQ","BEST_FPERIOD_OVERRIDE=FQ","FILING_STATUS=OR","EQY_CONSOLIDATED=Y","FA_ADJUSTED=GAAP","Sort=A","Dates=H","DateFormat=P","Fill=—","Direction=H","UseDPDF=Y")</f>
        <v>#NAME?</v>
      </c>
      <c r="CY440" s="4" t="e">
        <f ca="1">_xll.BDH($C$428,"INVENT_TURN","FQ2 2016","FQ2 2016","Currency=INR","Period=FQ","BEST_FPERIOD_OVERRIDE=FQ","FILING_STATUS=OR","EQY_CONSOLIDATED=Y","FA_ADJUSTED=GAAP","Sort=A","Dates=H","DateFormat=P","Fill=—","Direction=H","UseDPDF=Y")</f>
        <v>#NAME?</v>
      </c>
      <c r="CZ440" s="2" t="e">
        <f ca="1">_xll.BDH($C$428,"INVENT_DAYS","FQ2 2016","FQ2 2016","Currency=INR","Period=FQ","BEST_FPERIOD_OVERRIDE=FQ","FILING_STATUS=OR","EQY_CONSOLIDATED=Y","FA_ADJUSTED=GAAP","Sort=A","Dates=H","DateFormat=P","Fill=—","Direction=H","UseDPDF=Y")</f>
        <v>#NAME?</v>
      </c>
      <c r="DA440" s="4" t="e">
        <f ca="1">_xll.BDH($C$428,"ACCOUNTS_PAYABLE_TURNOVER","FQ2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440" s="2" t="e">
        <f ca="1">_xll.BDH($C$428,"ACCOUNTS_PAYABLE_TURNOVER_DAYS","FQ2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440" s="4" t="e">
        <f ca="1">_xll.BDH($C$428,"CASH_CONVERSION_CYCLE","FQ2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440" s="4" t="e">
        <f ca="1">_xll.BDH($C$428,"INV_TO_CASH_DAYS","FQ2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440" s="5" t="e">
        <f ca="1">_xll.BDH($C$428,"BS_INVENTORIES","FQ2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440" s="3" t="e">
        <f ca="1">_xll.BDH($C$428,"INVTRY_RAW_MATERIALS","FQ2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440" s="3" t="e">
        <f ca="1">_xll.BDH($C$428,"INVTRY_IN_PROGRESS","FQ2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440" s="3" t="e">
        <f ca="1">_xll.BDH($C$428,"INVTRY_FINISHED_GOODS","FQ2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440" s="3" t="e">
        <f ca="1">_xll.BDH($C$428,"BS_OTHER_INV","FQ2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441" spans="1:113" x14ac:dyDescent="0.3">
      <c r="A441" s="6"/>
      <c r="B441" s="6"/>
      <c r="C441" s="6"/>
      <c r="D441" s="6"/>
      <c r="E441" t="s">
        <v>80</v>
      </c>
      <c r="F441" t="e">
        <f ca="1">_xll.BDH($C$428,"RETURN_COM_EQY","FQ3 2016","FQ3 2016","Currency=INR","Period=FQ","BEST_FPERIOD_OVERRIDE=FQ","FILING_STATUS=OR","EQY_CONSOLIDATED=Y","FA_ADJUSTED=GAAP","Sort=A","Dates=H","DateFormat=P","Fill=—","Direction=H","UseDPDF=Y")</f>
        <v>#NAME?</v>
      </c>
      <c r="G441" t="e">
        <f ca="1">_xll.BDH($C$428,"RETURN_ON_ASSET","FQ3 2016","FQ3 2016","Currency=INR","Period=FQ","BEST_FPERIOD_OVERRIDE=FQ","FILING_STATUS=OR","EQY_CONSOLIDATED=Y","FA_ADJUSTED=GAAP","Sort=A","Dates=H","DateFormat=P","Fill=—","Direction=H","UseDPDF=Y")</f>
        <v>#NAME?</v>
      </c>
      <c r="H441" t="e">
        <f ca="1">_xll.BDH($C$428,"RETURN_ON_CAP","FQ3 2016","FQ3 2016","Currency=INR","Period=FQ","BEST_FPERIOD_OVERRIDE=FQ","FILING_STATUS=OR","EQY_CONSOLIDATED=Y","FA_ADJUSTED=GAAP","Sort=A","Dates=H","DateFormat=P","Fill=—","Direction=H","UseDPDF=Y")</f>
        <v>#NAME?</v>
      </c>
      <c r="I441" t="e">
        <f ca="1">_xll.BDH($C$428,"RETURN_ON_INV_CAPITAL","FQ3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441" t="e">
        <f ca="1">_xll.BDH($C$428,"EBITDA_TO_REVENUE","FQ3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441" t="e">
        <f ca="1">_xll.BDH($C$428,"OPER_MARGIN","FQ3 2016","FQ3 2016","Currency=INR","Period=FQ","BEST_FPERIOD_OVERRIDE=FQ","FILING_STATUS=OR","EQY_CONSOLIDATED=Y","FA_ADJUSTED=GAAP","Sort=A","Dates=H","DateFormat=P","Fill=—","Direction=H","UseDPDF=Y")</f>
        <v>#NAME?</v>
      </c>
      <c r="L441" t="e">
        <f ca="1">_xll.BDH($C$428,"INCREMENTAL_OPERATING_MARGIN","FQ3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441" t="e">
        <f ca="1">_xll.BDH($C$428,"PRETAX_INC_TO_NET_SALES","FQ3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441" t="e">
        <f ca="1">_xll.BDH($C$428,"INC_BEF_XO_ITEMS_TO_NET_SALES","FQ3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441" t="e">
        <f ca="1">_xll.BDH($C$428,"PROF_MARGIN","FQ3 2016","FQ3 2016","Currency=INR","Period=FQ","BEST_FPERIOD_OVERRIDE=FQ","FILING_STATUS=OR","EQY_CONSOLIDATED=Y","FA_ADJUSTED=GAAP","Sort=A","Dates=H","DateFormat=P","Fill=—","Direction=H","UseDPDF=Y")</f>
        <v>#NAME?</v>
      </c>
      <c r="P441" t="e">
        <f ca="1">_xll.BDH($C$428,"NET_INCOME_TO_COMMON_MARGIN","FQ3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441" t="e">
        <f ca="1">_xll.BDH($C$428,"EFF_TAX_RATE","FQ3 2016","FQ3 2016","Currency=INR","Period=FQ","BEST_FPERIOD_OVERRIDE=FQ","FILING_STATUS=OR","EQY_CONSOLIDATED=Y","FA_ADJUSTED=GAAP","Sort=A","Dates=H","DateFormat=P","Fill=—","Direction=H","UseDPDF=Y")</f>
        <v>#NAME?</v>
      </c>
      <c r="R441" t="e">
        <f ca="1">_xll.BDH($C$428,"DVD_PAYOUT_RATIO","FQ3 2016","FQ3 2016","Currency=INR","Period=FQ","BEST_FPERIOD_OVERRIDE=FQ","FILING_STATUS=OR","EQY_CONSOLIDATED=Y","FA_ADJUSTED=GAAP","Sort=A","Dates=H","DateFormat=P","Fill=—","Direction=H","UseDPDF=Y")</f>
        <v>#NAME?</v>
      </c>
      <c r="S441" t="e">
        <f ca="1">_xll.BDH($C$428,"SUSTAIN_GROWTH_RT","FQ3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441" s="2" t="e">
        <f ca="1">_xll.BDH($C$428,"SALES_GROWTH","FQ3 2016","FQ3 2016","Currency=INR","Period=FQ","BEST_FPERIOD_OVERRIDE=FQ","FILING_STATUS=OR","EQY_CONSOLIDATED=Y","FA_ADJUSTED=GAAP","Sort=A","Dates=H","DateFormat=P","Fill=—","Direction=H","UseDPDF=Y")</f>
        <v>#NAME?</v>
      </c>
      <c r="U441" s="2" t="e">
        <f ca="1">_xll.BDH($C$428,"EBITDA_GROWTH","FQ3 2016","FQ3 2016","Currency=INR","Period=FQ","BEST_FPERIOD_OVERRIDE=FQ","FILING_STATUS=OR","EQY_CONSOLIDATED=Y","FA_ADJUSTED=GAAP","Sort=A","Dates=H","DateFormat=P","Fill=—","Direction=H","UseDPDF=Y")</f>
        <v>#NAME?</v>
      </c>
      <c r="V441" s="2" t="e">
        <f ca="1">_xll.BDH($C$428,"OPER_INC_GROWTH","FQ3 2016","FQ3 2016","Currency=INR","Period=FQ","BEST_FPERIOD_OVERRIDE=FQ","FILING_STATUS=OR","EQY_CONSOLIDATED=Y","FA_ADJUSTED=GAAP","Sort=A","Dates=H","DateFormat=P","Fill=—","Direction=H","UseDPDF=Y")</f>
        <v>#NAME?</v>
      </c>
      <c r="W441" s="2" t="e">
        <f ca="1">_xll.BDH($C$428,"EARN_FOR_COM_GROWTH","FQ3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441" s="2" t="e">
        <f ca="1">_xll.BDH($C$428,"DILUTED_EPS_AFT_XO_ITEMS_GROWTH","FQ3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441" s="2" t="e">
        <f ca="1">_xll.BDH($C$428,"DIVIDEND_PER_SHARE_1_YEAR_GROWTH","FQ3 2016","FQ3 2016","Currency=INR","Period=FQ","BEST_FPERIOD_OVERRIDE=FQ","FILING_STATUS=OR","EQY_CONSOLIDATED=Y","Sort=A","Dates=H","DateFormat=P","Fill=—","Direction=H","UseDPDF=Y")</f>
        <v>#NAME?</v>
      </c>
      <c r="Z441" s="2" t="e">
        <f ca="1">_xll.BDH($C$428,"ACCOUNTS_RECEIVABLE_GROWTH","FQ3 2016","FQ3 2016","Currency=INR","Period=FQ","BEST_FPERIOD_OVERRIDE=FQ","FILING_STATUS=OR","EQY_CONSOLIDATED=Y","Sort=A","Dates=H","DateFormat=P","Fill=—","Direction=H","UseDPDF=Y")</f>
        <v>#NAME?</v>
      </c>
      <c r="AA441" s="2" t="e">
        <f ca="1">_xll.BDH($C$428,"INVENTORY_GROWTH","FQ3 2016","FQ3 2016","Currency=INR","Period=FQ","BEST_FPERIOD_OVERRIDE=FQ","FILING_STATUS=OR","EQY_CONSOLIDATED=Y","Sort=A","Dates=H","DateFormat=P","Fill=—","Direction=H","UseDPDF=Y")</f>
        <v>#NAME?</v>
      </c>
      <c r="AB441" s="2" t="e">
        <f ca="1">_xll.BDH($C$428,"NET_FIXED_ASSETS_1_YEAR_GROWTH","FQ3 2016","FQ3 2016","Currency=INR","Period=FQ","BEST_FPERIOD_OVERRIDE=FQ","FILING_STATUS=OR","EQY_CONSOLIDATED=Y","Sort=A","Dates=H","DateFormat=P","Fill=—","Direction=H","UseDPDF=Y")</f>
        <v>#NAME?</v>
      </c>
      <c r="AC441" s="2" t="e">
        <f ca="1">_xll.BDH($C$428,"ASSET_GROWTH","FQ3 2016","FQ3 2016","Currency=INR","Period=FQ","BEST_FPERIOD_OVERRIDE=FQ","FILING_STATUS=OR","EQY_CONSOLIDATED=Y","Sort=A","Dates=H","DateFormat=P","Fill=—","Direction=H","UseDPDF=Y")</f>
        <v>#NAME?</v>
      </c>
      <c r="AD441" s="2" t="e">
        <f ca="1">_xll.BDH($C$428,"MODIFIED_WORK_CAP_GROWTH","FQ3 2016","FQ3 2016","Currency=INR","Period=FQ","BEST_FPERIOD_OVERRIDE=FQ","FILING_STATUS=OR","EQY_CONSOLIDATED=Y","Sort=A","Dates=H","DateFormat=P","Fill=—","Direction=H","UseDPDF=Y")</f>
        <v>#NAME?</v>
      </c>
      <c r="AE441" s="2" t="e">
        <f ca="1">_xll.BDH($C$428,"WORK_CAP_GROWTH","FQ3 2016","FQ3 2016","Currency=INR","Period=FQ","BEST_FPERIOD_OVERRIDE=FQ","FILING_STATUS=OR","EQY_CONSOLIDATED=Y","Sort=A","Dates=H","DateFormat=P","Fill=—","Direction=H","UseDPDF=Y")</f>
        <v>#NAME?</v>
      </c>
      <c r="AF441" s="2" t="e">
        <f ca="1">_xll.BDH($C$428,"ACCOUNTS_PAYABLE_GROWTH_1YR","FQ3 2016","FQ3 2016","Currency=INR","Period=FQ","BEST_FPERIOD_OVERRIDE=FQ","FILING_STATUS=OR","EQY_CONSOLIDATED=Y","Sort=A","Dates=H","DateFormat=P","Fill=—","Direction=H","UseDPDF=Y")</f>
        <v>#NAME?</v>
      </c>
      <c r="AG441" s="2" t="e">
        <f ca="1">_xll.BDH($C$428,"SHORT_TERM_DEBT_1_YEAR_GROWTH","FQ3 2016","FQ3 2016","Currency=INR","Period=FQ","BEST_FPERIOD_OVERRIDE=FQ","FILING_STATUS=OR","EQY_CONSOLIDATED=Y","Sort=A","Dates=H","DateFormat=P","Fill=—","Direction=H","UseDPDF=Y")</f>
        <v>#NAME?</v>
      </c>
      <c r="AH441" s="2" t="e">
        <f ca="1">_xll.BDH($C$428,"TOTAL_DEBT_1_YEAR_GROWTH","FQ3 2016","FQ3 2016","Currency=INR","Period=FQ","BEST_FPERIOD_OVERRIDE=FQ","FILING_STATUS=OR","EQY_CONSOLIDATED=Y","Sort=A","Dates=H","DateFormat=P","Fill=—","Direction=H","UseDPDF=Y")</f>
        <v>#NAME?</v>
      </c>
      <c r="AI441" s="2" t="e">
        <f ca="1">_xll.BDH($C$428,"TOTAL_EQUITY_1_YEAR_GROWTH","FQ3 2016","FQ3 2016","Currency=INR","Period=FQ","BEST_FPERIOD_OVERRIDE=FQ","FILING_STATUS=OR","EQY_CONSOLIDATED=Y","Sort=A","Dates=H","DateFormat=P","Fill=—","Direction=H","UseDPDF=Y")</f>
        <v>#NAME?</v>
      </c>
      <c r="AJ441" s="2" t="e">
        <f ca="1">_xll.BDH($C$428,"GROWTH_IN_CAP","FQ3 2016","FQ3 2016","Currency=INR","Period=FQ","BEST_FPERIOD_OVERRIDE=FQ","FILING_STATUS=OR","EQY_CONSOLIDATED=Y","Sort=A","Dates=H","DateFormat=P","Fill=—","Direction=H","UseDPDF=Y")</f>
        <v>#NAME?</v>
      </c>
      <c r="AK441" s="2" t="e">
        <f ca="1">_xll.BDH($C$428,"BVPS_GROWTH","FQ3 2016","FQ3 2016","Currency=INR","Period=FQ","BEST_FPERIOD_OVERRIDE=FQ","FILING_STATUS=OR","EQY_CONSOLIDATED=Y","Sort=A","Dates=H","DateFormat=P","Fill=—","Direction=H","UseDPDF=Y")</f>
        <v>#NAME?</v>
      </c>
      <c r="AL441" s="2" t="e">
        <f ca="1">_xll.BDH($C$428,"CASH_FLOW_GROWTH","FQ3 2016","FQ3 2016","Currency=INR","Period=FQ","BEST_FPERIOD_OVERRIDE=FQ","FILING_STATUS=OR","EQY_CONSOLIDATED=Y","Sort=A","Dates=H","DateFormat=P","Fill=—","Direction=H","UseDPDF=Y")</f>
        <v>#NAME?</v>
      </c>
      <c r="AM441" s="2" t="e">
        <f ca="1">_xll.BDH($C$428,"GEO_GROW_NET_SALES","FQ3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441" s="2" t="e">
        <f ca="1">_xll.BDH($C$428,"GEO_GROW_EBITDA","FQ3 2016","FQ3 2016","Currency=INR","Period=FQ","BEST_FPERIOD_OVERRIDE=FQ","FILING_STATUS=OR","EQY_CONSOLIDATED=Y","FA_ADJUSTED=GAAP","Sort=A","Dates=H","DateFormat=P","Fill=—","Direction=H","UseDPDF=Y")</f>
        <v>#NAME?</v>
      </c>
      <c r="AO441" s="2" t="e">
        <f ca="1">_xll.BDH($C$428,"GEO_GROW_OPER_INC","FQ3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441" s="2" t="e">
        <f ca="1">_xll.BDH($C$428,"NET_INCOME_TO_COMMON_5_YR_GROWTH","FQ3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441" s="2" t="e">
        <f ca="1">_xll.BDH($C$428,"5Y_GEO_GROWTH_DILUTED_EPS","FQ3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441" s="2" t="e">
        <f ca="1">_xll.BDH($C$428,"GEO_GROW_DVD_PER_SH","FQ3 2016","FQ3 2016","Currency=INR","Period=FQ","BEST_FPERIOD_OVERRIDE=FQ","FILING_STATUS=OR","EQY_CONSOLIDATED=Y","Sort=A","Dates=H","DateFormat=P","Fill=—","Direction=H","UseDPDF=Y")</f>
        <v>#NAME?</v>
      </c>
      <c r="AS441" s="2" t="e">
        <f ca="1">_xll.BDH($C$428,"ACCOUNTS_RECEIVABLE_5_YR_GROWTH","FQ3 2016","FQ3 2016","Currency=INR","Period=FQ","BEST_FPERIOD_OVERRIDE=FQ","FILING_STATUS=OR","EQY_CONSOLIDATED=Y","Sort=A","Dates=H","DateFormat=P","Fill=—","Direction=H","UseDPDF=Y")</f>
        <v>#NAME?</v>
      </c>
      <c r="AT441" s="2" t="e">
        <f ca="1">_xll.BDH($C$428,"INVENTORY_5_YEAR_GROWTH","FQ3 2016","FQ3 2016","Currency=INR","Period=FQ","BEST_FPERIOD_OVERRIDE=FQ","FILING_STATUS=OR","EQY_CONSOLIDATED=Y","Sort=A","Dates=H","DateFormat=P","Fill=—","Direction=H","UseDPDF=Y")</f>
        <v>#NAME?</v>
      </c>
      <c r="AU441" s="2" t="e">
        <f ca="1">_xll.BDH($C$428,"NET_FIXED_ASSETS_5_YEAR_GROWTH","FQ3 2016","FQ3 2016","Currency=INR","Period=FQ","BEST_FPERIOD_OVERRIDE=FQ","FILING_STATUS=OR","EQY_CONSOLIDATED=Y","Sort=A","Dates=H","DateFormat=P","Fill=—","Direction=H","UseDPDF=Y")</f>
        <v>#NAME?</v>
      </c>
      <c r="AV441" s="2" t="e">
        <f ca="1">_xll.BDH($C$428,"GEO_GROW_TOT_ASSET","FQ3 2016","FQ3 2016","Currency=INR","Period=FQ","BEST_FPERIOD_OVERRIDE=FQ","FILING_STATUS=OR","EQY_CONSOLIDATED=Y","Sort=A","Dates=H","DateFormat=P","Fill=—","Direction=H","UseDPDF=Y")</f>
        <v>#NAME?</v>
      </c>
      <c r="AW441" s="2" t="e">
        <f ca="1">_xll.BDH($C$428,"MODIFIED_WORKING_CPTL_5YR_GRWTH","FQ3 2016","FQ3 2016","Currency=INR","Period=FQ","BEST_FPERIOD_OVERRIDE=FQ","FILING_STATUS=OR","EQY_CONSOLIDATED=Y","Sort=A","Dates=H","DateFormat=P","Fill=—","Direction=H","UseDPDF=Y")</f>
        <v>#NAME?</v>
      </c>
      <c r="AX441" s="2" t="e">
        <f ca="1">_xll.BDH($C$428,"WORKING_CAPITAL_5_YEAR_GROWTH","FQ3 2016","FQ3 2016","Currency=INR","Period=FQ","BEST_FPERIOD_OVERRIDE=FQ","FILING_STATUS=OR","EQY_CONSOLIDATED=Y","Sort=A","Dates=H","DateFormat=P","Fill=—","Direction=H","UseDPDF=Y")</f>
        <v>#NAME?</v>
      </c>
      <c r="AY441" s="2" t="e">
        <f ca="1">_xll.BDH($C$428,"ACCOUNTS_PAYABLE_5_YEAR_GROWTH","FQ3 2016","FQ3 2016","Currency=INR","Period=FQ","BEST_FPERIOD_OVERRIDE=FQ","FILING_STATUS=OR","EQY_CONSOLIDATED=Y","Sort=A","Dates=H","DateFormat=P","Fill=—","Direction=H","UseDPDF=Y")</f>
        <v>#NAME?</v>
      </c>
      <c r="AZ441" s="2" t="e">
        <f ca="1">_xll.BDH($C$428,"SHORT_TERM_DEBT_5_YEAR_GROWTH","FQ3 2016","FQ3 2016","Currency=INR","Period=FQ","BEST_FPERIOD_OVERRIDE=FQ","FILING_STATUS=OR","EQY_CONSOLIDATED=Y","Sort=A","Dates=H","DateFormat=P","Fill=—","Direction=H","UseDPDF=Y")</f>
        <v>#NAME?</v>
      </c>
      <c r="BA441" s="2" t="e">
        <f ca="1">_xll.BDH($C$428,"TOTAL_DEBT_5_YEAR_GROWTH","FQ3 2016","FQ3 2016","Currency=INR","Period=FQ","BEST_FPERIOD_OVERRIDE=FQ","FILING_STATUS=OR","EQY_CONSOLIDATED=Y","Sort=A","Dates=H","DateFormat=P","Fill=—","Direction=H","UseDPDF=Y")</f>
        <v>#NAME?</v>
      </c>
      <c r="BB441" s="2" t="e">
        <f ca="1">_xll.BDH($C$428,"GEO_GROW_TOT_SHRHLDR_EQY","FQ3 2016","FQ3 2016","Currency=INR","Period=FQ","BEST_FPERIOD_OVERRIDE=FQ","FILING_STATUS=OR","EQY_CONSOLIDATED=Y","Sort=A","Dates=H","DateFormat=P","Fill=—","Direction=H","UseDPDF=Y")</f>
        <v>#NAME?</v>
      </c>
      <c r="BC441" s="2" t="e">
        <f ca="1">_xll.BDH($C$428,"TOTAL_CAPITAL_5_YEAR_GROWTH","FQ3 2016","FQ3 2016","Currency=INR","Period=FQ","BEST_FPERIOD_OVERRIDE=FQ","FILING_STATUS=OR","EQY_CONSOLIDATED=Y","Sort=A","Dates=H","DateFormat=P","Fill=—","Direction=H","UseDPDF=Y")</f>
        <v>#NAME?</v>
      </c>
      <c r="BD441" s="2" t="e">
        <f ca="1">_xll.BDH($C$428,"GEO_GROW_BOOK_VAL","FQ3 2016","FQ3 2016","Currency=INR","Period=FQ","BEST_FPERIOD_OVERRIDE=FQ","FILING_STATUS=OR","EQY_CONSOLIDATED=Y","Sort=A","Dates=H","DateFormat=P","Fill=—","Direction=H","UseDPDF=Y")</f>
        <v>#NAME?</v>
      </c>
      <c r="BE441" s="2" t="e">
        <f ca="1">_xll.BDH($C$428,"GEO_GROW_CASH_OPER_ACT","FQ3 2016","FQ3 2016","Currency=INR","Period=FQ","BEST_FPERIOD_OVERRIDE=FQ","FILING_STATUS=OR","EQY_CONSOLIDATED=Y","Sort=A","Dates=H","DateFormat=P","Fill=—","Direction=H","UseDPDF=Y")</f>
        <v>#NAME?</v>
      </c>
      <c r="BF441" s="2" t="e">
        <f ca="1">_xll.BDH($C$428,"REVENUE_SEQUENTIAL_GROWTH","FQ3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441" s="2" t="e">
        <f ca="1">_xll.BDH($C$428,"EBITDA_SEQUENTIAL_GROWTH","FQ3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441" s="2" t="e">
        <f ca="1">_xll.BDH($C$428,"OPERATING_INCOME_SEQ_GROWTH","FQ3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441" s="2" t="e">
        <f ca="1">_xll.BDH($C$428,"NET_INCOME_TO_COMMON_SEQ_GROWTH","FQ3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441" s="2" t="e">
        <f ca="1">_xll.BDH($C$428,"EPS_DILUTED_SEQUENTIAL_GROWTH","FQ3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441" s="2" t="e">
        <f ca="1">_xll.BDH($C$428,"DPS_SEQUENTIAL_GROWTH","FQ3 2016","FQ3 2016","Currency=INR","Period=FQ","BEST_FPERIOD_OVERRIDE=FQ","FILING_STATUS=OR","EQY_CONSOLIDATED=Y","Sort=A","Dates=H","DateFormat=P","Fill=—","Direction=H","UseDPDF=Y")</f>
        <v>#NAME?</v>
      </c>
      <c r="BL441" s="2" t="e">
        <f ca="1">_xll.BDH($C$428,"ACCOUNTS_RECEIVABLE_SEQ_GROWTH","FQ3 2016","FQ3 2016","Currency=INR","Period=FQ","BEST_FPERIOD_OVERRIDE=FQ","FILING_STATUS=OR","EQY_CONSOLIDATED=Y","Sort=A","Dates=H","DateFormat=P","Fill=—","Direction=H","UseDPDF=Y")</f>
        <v>#NAME?</v>
      </c>
      <c r="BM441" s="2" t="e">
        <f ca="1">_xll.BDH($C$428,"INVENTORY_SEQUENTIAL_GROWTH","FQ3 2016","FQ3 2016","Currency=INR","Period=FQ","BEST_FPERIOD_OVERRIDE=FQ","FILING_STATUS=OR","EQY_CONSOLIDATED=Y","Sort=A","Dates=H","DateFormat=P","Fill=—","Direction=H","UseDPDF=Y")</f>
        <v>#NAME?</v>
      </c>
      <c r="BN441" s="2" t="e">
        <f ca="1">_xll.BDH($C$428,"FIXED_ASSETS_SEQUENTIAL_GROWTH","FQ3 2016","FQ3 2016","Currency=INR","Period=FQ","BEST_FPERIOD_OVERRIDE=FQ","FILING_STATUS=OR","EQY_CONSOLIDATED=Y","Sort=A","Dates=H","DateFormat=P","Fill=—","Direction=H","UseDPDF=Y")</f>
        <v>#NAME?</v>
      </c>
      <c r="BO441" s="2" t="e">
        <f ca="1">_xll.BDH($C$428,"TOTAL_ASSETS_SEQUENTIAL_GROWTH","FQ3 2016","FQ3 2016","Currency=INR","Period=FQ","BEST_FPERIOD_OVERRIDE=FQ","FILING_STATUS=OR","EQY_CONSOLIDATED=Y","Sort=A","Dates=H","DateFormat=P","Fill=—","Direction=H","UseDPDF=Y")</f>
        <v>#NAME?</v>
      </c>
      <c r="BP441" s="2" t="e">
        <f ca="1">_xll.BDH($C$428,"MODIFIED_WORKING_CPTL_SEQ_GRWTH","FQ3 2016","FQ3 2016","Currency=INR","Period=FQ","BEST_FPERIOD_OVERRIDE=FQ","FILING_STATUS=OR","EQY_CONSOLIDATED=Y","Sort=A","Dates=H","DateFormat=P","Fill=—","Direction=H","UseDPDF=Y")</f>
        <v>#NAME?</v>
      </c>
      <c r="BQ441" s="2" t="e">
        <f ca="1">_xll.BDH($C$428,"WORKING_CAPITAL_SEQ_GROWTH","FQ3 2016","FQ3 2016","Currency=INR","Period=FQ","BEST_FPERIOD_OVERRIDE=FQ","FILING_STATUS=OR","EQY_CONSOLIDATED=Y","Sort=A","Dates=H","DateFormat=P","Fill=—","Direction=H","UseDPDF=Y")</f>
        <v>#NAME?</v>
      </c>
      <c r="BR441" s="2" t="e">
        <f ca="1">_xll.BDH($C$428,"ACCOUNTS_PAYABLE_SEQ_GROWTH","FQ3 2016","FQ3 2016","Currency=INR","Period=FQ","BEST_FPERIOD_OVERRIDE=FQ","FILING_STATUS=OR","EQY_CONSOLIDATED=Y","Sort=A","Dates=H","DateFormat=P","Fill=—","Direction=H","UseDPDF=Y")</f>
        <v>#NAME?</v>
      </c>
      <c r="BS441" s="2" t="e">
        <f ca="1">_xll.BDH($C$428,"ST_DEBT_SEQUENTIAL_GROWTH","FQ3 2016","FQ3 2016","Currency=INR","Period=FQ","BEST_FPERIOD_OVERRIDE=FQ","FILING_STATUS=OR","EQY_CONSOLIDATED=Y","Sort=A","Dates=H","DateFormat=P","Fill=—","Direction=H","UseDPDF=Y")</f>
        <v>#NAME?</v>
      </c>
      <c r="BT441" s="2" t="e">
        <f ca="1">_xll.BDH($C$428,"TOTAL_DEBT_SEQUENTIAL_GROWTH","FQ3 2016","FQ3 2016","Currency=INR","Period=FQ","BEST_FPERIOD_OVERRIDE=FQ","FILING_STATUS=OR","EQY_CONSOLIDATED=Y","Sort=A","Dates=H","DateFormat=P","Fill=—","Direction=H","UseDPDF=Y")</f>
        <v>#NAME?</v>
      </c>
      <c r="BU441" s="2" t="e">
        <f ca="1">_xll.BDH($C$428,"TOTAL_EQUITY_SEQUENTIAL_GROWTH","FQ3 2016","FQ3 2016","Currency=INR","Period=FQ","BEST_FPERIOD_OVERRIDE=FQ","FILING_STATUS=OR","EQY_CONSOLIDATED=Y","Sort=A","Dates=H","DateFormat=P","Fill=—","Direction=H","UseDPDF=Y")</f>
        <v>#NAME?</v>
      </c>
      <c r="BV441" s="2" t="e">
        <f ca="1">_xll.BDH($C$428,"TOTAL_CAPITAL_SEQUENTIAL_GROWTH","FQ3 2016","FQ3 2016","Currency=INR","Period=FQ","BEST_FPERIOD_OVERRIDE=FQ","FILING_STATUS=OR","EQY_CONSOLIDATED=Y","Sort=A","Dates=H","DateFormat=P","Fill=—","Direction=H","UseDPDF=Y")</f>
        <v>#NAME?</v>
      </c>
      <c r="BW441" s="2" t="e">
        <f ca="1">_xll.BDH($C$428,"BPS_SEQUENTIAL_GROWTH","FQ3 2016","FQ3 2016","Currency=INR","Period=FQ","BEST_FPERIOD_OVERRIDE=FQ","FILING_STATUS=OR","EQY_CONSOLIDATED=Y","Sort=A","Dates=H","DateFormat=P","Fill=—","Direction=H","UseDPDF=Y")</f>
        <v>#NAME?</v>
      </c>
      <c r="BX441" s="2" t="e">
        <f ca="1">_xll.BDH($C$428,"CFO_SEQUENTIAL_GROWTH","FQ3 2016","FQ3 2016","Currency=INR","Period=FQ","BEST_FPERIOD_OVERRIDE=FQ","FILING_STATUS=OR","EQY_CONSOLIDATED=Y","Sort=A","Dates=H","DateFormat=P","Fill=—","Direction=H","UseDPDF=Y")</f>
        <v>#NAME?</v>
      </c>
      <c r="BY441" s="3" t="e">
        <f ca="1">_xll.BDH($C$428,"SHORT_AND_LONG_TERM_DEBT","FQ3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441" s="3" t="e">
        <f ca="1">_xll.BDH($C$428,"BS_ST_BORROW","FQ3 2016","FQ3 2016","Currency=INR","Period=FQ","BEST_FPERIOD_OVERRIDE=FQ","FILING_STATUS=OR","EQY_CONSOLIDATED=Y","SCALING_FORMAT=MLN","Sort=A","Dates=H","DateFormat=P","Fill=—","Direction=H","UseDPDF=Y")</f>
        <v>#NAME?</v>
      </c>
      <c r="CA441" s="3" t="e">
        <f ca="1">_xll.BDH($C$428,"BS_LT_BORROW","FQ3 2016","FQ3 2016","Currency=INR","Period=FQ","BEST_FPERIOD_OVERRIDE=FQ","FILING_STATUS=OR","EQY_CONSOLIDATED=Y","SCALING_FORMAT=MLN","Sort=A","Dates=H","DateFormat=P","Fill=—","Direction=H","UseDPDF=Y")</f>
        <v>#NAME?</v>
      </c>
      <c r="CB441" s="2" t="e">
        <f ca="1">_xll.BDH($C$428,"TOT_DEBT_TO_EBITDA","FQ3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441" s="2" t="e">
        <f ca="1">_xll.BDH($C$428,"NET_DEBT_TO_EBITDA","FQ3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441" s="2" t="e">
        <f ca="1">_xll.BDH($C$428,"TOTAL_DEBT_TO_EBIT","FQ3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441" s="2" t="e">
        <f ca="1">_xll.BDH($C$428,"NET_DEBT_TO_EBIT","FQ3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441" s="2" t="e">
        <f ca="1">_xll.BDH($C$428,"EBITDA_TO_INTEREST_EXPN","FQ3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441" s="2" t="e">
        <f ca="1">_xll.BDH($C$428,"COM_EQY_TO_TOT_ASSET","FQ3 2016","FQ3 2016","Currency=INR","Period=FQ","BEST_FPERIOD_OVERRIDE=FQ","FILING_STATUS=OR","EQY_CONSOLIDATED=Y","Sort=A","Dates=H","DateFormat=P","Fill=—","Direction=H","UseDPDF=Y")</f>
        <v>#NAME?</v>
      </c>
      <c r="CH441" s="2" t="e">
        <f ca="1">_xll.BDH($C$428,"LT_DEBT_TO_TOT_EQY","FQ3 2016","FQ3 2016","Currency=INR","Period=FQ","BEST_FPERIOD_OVERRIDE=FQ","FILING_STATUS=OR","EQY_CONSOLIDATED=Y","Sort=A","Dates=H","DateFormat=P","Fill=—","Direction=H","UseDPDF=Y")</f>
        <v>#NAME?</v>
      </c>
      <c r="CI441" s="2" t="e">
        <f ca="1">_xll.BDH($C$428,"LT_DEBT_TO_TOT_CAP","FQ3 2016","FQ3 2016","Currency=INR","Period=FQ","BEST_FPERIOD_OVERRIDE=FQ","FILING_STATUS=OR","EQY_CONSOLIDATED=Y","Sort=A","Dates=H","DateFormat=P","Fill=—","Direction=H","UseDPDF=Y")</f>
        <v>#NAME?</v>
      </c>
      <c r="CJ441" s="2" t="e">
        <f ca="1">_xll.BDH($C$428,"LT_DEBT_TO_TOT_ASSET","FQ3 2016","FQ3 2016","Currency=INR","Period=FQ","BEST_FPERIOD_OVERRIDE=FQ","FILING_STATUS=OR","EQY_CONSOLIDATED=Y","Sort=A","Dates=H","DateFormat=P","Fill=—","Direction=H","UseDPDF=Y")</f>
        <v>#NAME?</v>
      </c>
      <c r="CK441" s="2" t="e">
        <f ca="1">_xll.BDH($C$428,"TOT_DEBT_TO_TOT_EQY","FQ3 2016","FQ3 2016","Currency=INR","Period=FQ","BEST_FPERIOD_OVERRIDE=FQ","FILING_STATUS=OR","EQY_CONSOLIDATED=Y","Sort=A","Dates=H","DateFormat=P","Fill=—","Direction=H","UseDPDF=Y")</f>
        <v>#NAME?</v>
      </c>
      <c r="CL441" s="2" t="e">
        <f ca="1">_xll.BDH($C$428,"TOT_DEBT_TO_TOT_CAP","FQ3 2016","FQ3 2016","Currency=INR","Period=FQ","BEST_FPERIOD_OVERRIDE=FQ","FILING_STATUS=OR","EQY_CONSOLIDATED=Y","Sort=A","Dates=H","DateFormat=P","Fill=—","Direction=H","UseDPDF=Y")</f>
        <v>#NAME?</v>
      </c>
      <c r="CM441" s="2" t="e">
        <f ca="1">_xll.BDH($C$428,"TOT_DEBT_TO_TOT_ASSET","FQ3 2016","FQ3 2016","Currency=INR","Period=FQ","BEST_FPERIOD_OVERRIDE=FQ","FILING_STATUS=OR","EQY_CONSOLIDATED=Y","Sort=A","Dates=H","DateFormat=P","Fill=—","Direction=H","UseDPDF=Y")</f>
        <v>#NAME?</v>
      </c>
      <c r="CN441" s="2" t="e">
        <f ca="1">_xll.BDH($C$428,"NET_DEBT_TO_SHRHLDR_EQTY","FQ3 2016","FQ3 2016","Currency=INR","Period=FQ","BEST_FPERIOD_OVERRIDE=FQ","FILING_STATUS=OR","EQY_CONSOLIDATED=Y","Sort=A","Dates=H","DateFormat=P","Fill=—","Direction=H","UseDPDF=Y")</f>
        <v>#NAME?</v>
      </c>
      <c r="CO441" s="2" t="e">
        <f ca="1">_xll.BDH($C$428,"NET_DEBT_%_CAPITAL","FQ3 2016","FQ3 2016","Currency=INR","Period=FQ","BEST_FPERIOD_OVERRIDE=FQ","FILING_STATUS=OR","EQY_CONSOLIDATED=Y","Sort=A","Dates=H","DateFormat=P","Fill=—","Direction=H","UseDPDF=Y")</f>
        <v>#NAME?</v>
      </c>
      <c r="CP441" s="3" t="e">
        <f ca="1">_xll.BDH($C$428,"EBITDA","FQ3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441" s="3" t="e">
        <f ca="1">_xll.BDH($C$428,"EBITDA_AFTER_CAPEX","FQ3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441" s="3" t="e">
        <f ca="1">_xll.BDH($C$428,"IS_OPER_INC","FQ3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441" s="2" t="e">
        <f ca="1">_xll.BDH($C$428,"CASH_RATIO","FQ3 2016","FQ3 2016","Currency=INR","Period=FQ","BEST_FPERIOD_OVERRIDE=FQ","FILING_STATUS=OR","EQY_CONSOLIDATED=Y","Sort=A","Dates=H","DateFormat=P","Fill=—","Direction=H","UseDPDF=Y")</f>
        <v>#NAME?</v>
      </c>
      <c r="CT441" s="2" t="e">
        <f ca="1">_xll.BDH($C$428,"CUR_RATIO","FQ3 2016","FQ3 2016","Currency=INR","Period=FQ","BEST_FPERIOD_OVERRIDE=FQ","FILING_STATUS=OR","EQY_CONSOLIDATED=Y","Sort=A","Dates=H","DateFormat=P","Fill=—","Direction=H","UseDPDF=Y")</f>
        <v>#NAME?</v>
      </c>
      <c r="CU441" s="2" t="e">
        <f ca="1">_xll.BDH($C$428,"QUICK_RATIO","FQ3 2016","FQ3 2016","Currency=INR","Period=FQ","BEST_FPERIOD_OVERRIDE=FQ","FILING_STATUS=OR","EQY_CONSOLIDATED=Y","Sort=A","Dates=H","DateFormat=P","Fill=—","Direction=H","UseDPDF=Y")</f>
        <v>#NAME?</v>
      </c>
      <c r="CV441" s="2" t="e">
        <f ca="1">_xll.BDH($C$428,"ALTMAN_Z_SCORE","FQ3 2016","FQ3 2016","Currency=INR","Period=FQ","BEST_FPERIOD_OVERRIDE=FQ","FILING_STATUS=OR","EQY_CONSOLIDATED=Y","Sort=A","Dates=H","DateFormat=P","Fill=—","Direction=H","UseDPDF=Y")</f>
        <v>#NAME?</v>
      </c>
      <c r="CW441" s="4" t="e">
        <f ca="1">_xll.BDH($C$428,"ACCT_RCV_TURN","FQ3 2016","FQ3 2016","Currency=INR","Period=FQ","BEST_FPERIOD_OVERRIDE=FQ","FILING_STATUS=OR","EQY_CONSOLIDATED=Y","FA_ADJUSTED=GAAP","Sort=A","Dates=H","DateFormat=P","Fill=—","Direction=H","UseDPDF=Y")</f>
        <v>#NAME?</v>
      </c>
      <c r="CX441" s="2" t="e">
        <f ca="1">_xll.BDH($C$428,"ACCT_RCV_DAYS","FQ3 2016","FQ3 2016","Currency=INR","Period=FQ","BEST_FPERIOD_OVERRIDE=FQ","FILING_STATUS=OR","EQY_CONSOLIDATED=Y","FA_ADJUSTED=GAAP","Sort=A","Dates=H","DateFormat=P","Fill=—","Direction=H","UseDPDF=Y")</f>
        <v>#NAME?</v>
      </c>
      <c r="CY441" s="4" t="e">
        <f ca="1">_xll.BDH($C$428,"INVENT_TURN","FQ3 2016","FQ3 2016","Currency=INR","Period=FQ","BEST_FPERIOD_OVERRIDE=FQ","FILING_STATUS=OR","EQY_CONSOLIDATED=Y","FA_ADJUSTED=GAAP","Sort=A","Dates=H","DateFormat=P","Fill=—","Direction=H","UseDPDF=Y")</f>
        <v>#NAME?</v>
      </c>
      <c r="CZ441" s="2" t="e">
        <f ca="1">_xll.BDH($C$428,"INVENT_DAYS","FQ3 2016","FQ3 2016","Currency=INR","Period=FQ","BEST_FPERIOD_OVERRIDE=FQ","FILING_STATUS=OR","EQY_CONSOLIDATED=Y","FA_ADJUSTED=GAAP","Sort=A","Dates=H","DateFormat=P","Fill=—","Direction=H","UseDPDF=Y")</f>
        <v>#NAME?</v>
      </c>
      <c r="DA441" s="4" t="e">
        <f ca="1">_xll.BDH($C$428,"ACCOUNTS_PAYABLE_TURNOVER","FQ3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441" s="2" t="e">
        <f ca="1">_xll.BDH($C$428,"ACCOUNTS_PAYABLE_TURNOVER_DAYS","FQ3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441" s="4" t="e">
        <f ca="1">_xll.BDH($C$428,"CASH_CONVERSION_CYCLE","FQ3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441" s="4" t="e">
        <f ca="1">_xll.BDH($C$428,"INV_TO_CASH_DAYS","FQ3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441" s="5" t="e">
        <f ca="1">_xll.BDH($C$428,"BS_INVENTORIES","FQ3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441" s="3" t="e">
        <f ca="1">_xll.BDH($C$428,"INVTRY_RAW_MATERIALS","FQ3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441" s="3" t="e">
        <f ca="1">_xll.BDH($C$428,"INVTRY_IN_PROGRESS","FQ3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441" s="3" t="e">
        <f ca="1">_xll.BDH($C$428,"INVTRY_FINISHED_GOODS","FQ3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441" s="3" t="e">
        <f ca="1">_xll.BDH($C$428,"BS_OTHER_INV","FQ3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442" spans="1:113" x14ac:dyDescent="0.3">
      <c r="A442" s="6"/>
      <c r="B442" s="6"/>
      <c r="C442" s="6"/>
      <c r="D442" s="6"/>
      <c r="E442" t="s">
        <v>81</v>
      </c>
      <c r="F442" t="e">
        <f ca="1">_xll.BDH($C$428,"RETURN_COM_EQY","FQ4 2016","FQ4 2016","Currency=INR","Period=FQ","BEST_FPERIOD_OVERRIDE=FQ","FILING_STATUS=OR","EQY_CONSOLIDATED=Y","FA_ADJUSTED=GAAP","Sort=A","Dates=H","DateFormat=P","Fill=—","Direction=H","UseDPDF=Y")</f>
        <v>#NAME?</v>
      </c>
      <c r="G442" t="e">
        <f ca="1">_xll.BDH($C$428,"RETURN_ON_ASSET","FQ4 2016","FQ4 2016","Currency=INR","Period=FQ","BEST_FPERIOD_OVERRIDE=FQ","FILING_STATUS=OR","EQY_CONSOLIDATED=Y","FA_ADJUSTED=GAAP","Sort=A","Dates=H","DateFormat=P","Fill=—","Direction=H","UseDPDF=Y")</f>
        <v>#NAME?</v>
      </c>
      <c r="H442" t="e">
        <f ca="1">_xll.BDH($C$428,"RETURN_ON_CAP","FQ4 2016","FQ4 2016","Currency=INR","Period=FQ","BEST_FPERIOD_OVERRIDE=FQ","FILING_STATUS=OR","EQY_CONSOLIDATED=Y","FA_ADJUSTED=GAAP","Sort=A","Dates=H","DateFormat=P","Fill=—","Direction=H","UseDPDF=Y")</f>
        <v>#NAME?</v>
      </c>
      <c r="I442" t="e">
        <f ca="1">_xll.BDH($C$428,"RETURN_ON_INV_CAPITAL","FQ4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442" t="e">
        <f ca="1">_xll.BDH($C$428,"EBITDA_TO_REVENUE","FQ4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442" t="e">
        <f ca="1">_xll.BDH($C$428,"OPER_MARGIN","FQ4 2016","FQ4 2016","Currency=INR","Period=FQ","BEST_FPERIOD_OVERRIDE=FQ","FILING_STATUS=OR","EQY_CONSOLIDATED=Y","FA_ADJUSTED=GAAP","Sort=A","Dates=H","DateFormat=P","Fill=—","Direction=H","UseDPDF=Y")</f>
        <v>#NAME?</v>
      </c>
      <c r="L442" t="e">
        <f ca="1">_xll.BDH($C$428,"INCREMENTAL_OPERATING_MARGIN","FQ4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442" t="e">
        <f ca="1">_xll.BDH($C$428,"PRETAX_INC_TO_NET_SALES","FQ4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442" t="e">
        <f ca="1">_xll.BDH($C$428,"INC_BEF_XO_ITEMS_TO_NET_SALES","FQ4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442" t="e">
        <f ca="1">_xll.BDH($C$428,"PROF_MARGIN","FQ4 2016","FQ4 2016","Currency=INR","Period=FQ","BEST_FPERIOD_OVERRIDE=FQ","FILING_STATUS=OR","EQY_CONSOLIDATED=Y","FA_ADJUSTED=GAAP","Sort=A","Dates=H","DateFormat=P","Fill=—","Direction=H","UseDPDF=Y")</f>
        <v>#NAME?</v>
      </c>
      <c r="P442" t="e">
        <f ca="1">_xll.BDH($C$428,"NET_INCOME_TO_COMMON_MARGIN","FQ4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442" t="e">
        <f ca="1">_xll.BDH($C$428,"EFF_TAX_RATE","FQ4 2016","FQ4 2016","Currency=INR","Period=FQ","BEST_FPERIOD_OVERRIDE=FQ","FILING_STATUS=OR","EQY_CONSOLIDATED=Y","FA_ADJUSTED=GAAP","Sort=A","Dates=H","DateFormat=P","Fill=—","Direction=H","UseDPDF=Y")</f>
        <v>#NAME?</v>
      </c>
      <c r="R442" t="e">
        <f ca="1">_xll.BDH($C$428,"DVD_PAYOUT_RATIO","FQ4 2016","FQ4 2016","Currency=INR","Period=FQ","BEST_FPERIOD_OVERRIDE=FQ","FILING_STATUS=OR","EQY_CONSOLIDATED=Y","FA_ADJUSTED=GAAP","Sort=A","Dates=H","DateFormat=P","Fill=—","Direction=H","UseDPDF=Y")</f>
        <v>#NAME?</v>
      </c>
      <c r="S442" t="e">
        <f ca="1">_xll.BDH($C$428,"SUSTAIN_GROWTH_RT","FQ4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442" s="2" t="e">
        <f ca="1">_xll.BDH($C$428,"SALES_GROWTH","FQ4 2016","FQ4 2016","Currency=INR","Period=FQ","BEST_FPERIOD_OVERRIDE=FQ","FILING_STATUS=OR","EQY_CONSOLIDATED=Y","FA_ADJUSTED=GAAP","Sort=A","Dates=H","DateFormat=P","Fill=—","Direction=H","UseDPDF=Y")</f>
        <v>#NAME?</v>
      </c>
      <c r="U442" s="2" t="e">
        <f ca="1">_xll.BDH($C$428,"EBITDA_GROWTH","FQ4 2016","FQ4 2016","Currency=INR","Period=FQ","BEST_FPERIOD_OVERRIDE=FQ","FILING_STATUS=OR","EQY_CONSOLIDATED=Y","FA_ADJUSTED=GAAP","Sort=A","Dates=H","DateFormat=P","Fill=—","Direction=H","UseDPDF=Y")</f>
        <v>#NAME?</v>
      </c>
      <c r="V442" s="2" t="e">
        <f ca="1">_xll.BDH($C$428,"OPER_INC_GROWTH","FQ4 2016","FQ4 2016","Currency=INR","Period=FQ","BEST_FPERIOD_OVERRIDE=FQ","FILING_STATUS=OR","EQY_CONSOLIDATED=Y","FA_ADJUSTED=GAAP","Sort=A","Dates=H","DateFormat=P","Fill=—","Direction=H","UseDPDF=Y")</f>
        <v>#NAME?</v>
      </c>
      <c r="W442" s="2" t="e">
        <f ca="1">_xll.BDH($C$428,"EARN_FOR_COM_GROWTH","FQ4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442" s="2" t="e">
        <f ca="1">_xll.BDH($C$428,"DILUTED_EPS_AFT_XO_ITEMS_GROWTH","FQ4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442" s="2" t="e">
        <f ca="1">_xll.BDH($C$428,"DIVIDEND_PER_SHARE_1_YEAR_GROWTH","FQ4 2016","FQ4 2016","Currency=INR","Period=FQ","BEST_FPERIOD_OVERRIDE=FQ","FILING_STATUS=OR","EQY_CONSOLIDATED=Y","Sort=A","Dates=H","DateFormat=P","Fill=—","Direction=H","UseDPDF=Y")</f>
        <v>#NAME?</v>
      </c>
      <c r="Z442" s="2" t="e">
        <f ca="1">_xll.BDH($C$428,"ACCOUNTS_RECEIVABLE_GROWTH","FQ4 2016","FQ4 2016","Currency=INR","Period=FQ","BEST_FPERIOD_OVERRIDE=FQ","FILING_STATUS=OR","EQY_CONSOLIDATED=Y","Sort=A","Dates=H","DateFormat=P","Fill=—","Direction=H","UseDPDF=Y")</f>
        <v>#NAME?</v>
      </c>
      <c r="AA442" s="2" t="e">
        <f ca="1">_xll.BDH($C$428,"INVENTORY_GROWTH","FQ4 2016","FQ4 2016","Currency=INR","Period=FQ","BEST_FPERIOD_OVERRIDE=FQ","FILING_STATUS=OR","EQY_CONSOLIDATED=Y","Sort=A","Dates=H","DateFormat=P","Fill=—","Direction=H","UseDPDF=Y")</f>
        <v>#NAME?</v>
      </c>
      <c r="AB442" s="2" t="e">
        <f ca="1">_xll.BDH($C$428,"NET_FIXED_ASSETS_1_YEAR_GROWTH","FQ4 2016","FQ4 2016","Currency=INR","Period=FQ","BEST_FPERIOD_OVERRIDE=FQ","FILING_STATUS=OR","EQY_CONSOLIDATED=Y","Sort=A","Dates=H","DateFormat=P","Fill=—","Direction=H","UseDPDF=Y")</f>
        <v>#NAME?</v>
      </c>
      <c r="AC442" s="2" t="e">
        <f ca="1">_xll.BDH($C$428,"ASSET_GROWTH","FQ4 2016","FQ4 2016","Currency=INR","Period=FQ","BEST_FPERIOD_OVERRIDE=FQ","FILING_STATUS=OR","EQY_CONSOLIDATED=Y","Sort=A","Dates=H","DateFormat=P","Fill=—","Direction=H","UseDPDF=Y")</f>
        <v>#NAME?</v>
      </c>
      <c r="AD442" s="2" t="e">
        <f ca="1">_xll.BDH($C$428,"MODIFIED_WORK_CAP_GROWTH","FQ4 2016","FQ4 2016","Currency=INR","Period=FQ","BEST_FPERIOD_OVERRIDE=FQ","FILING_STATUS=OR","EQY_CONSOLIDATED=Y","Sort=A","Dates=H","DateFormat=P","Fill=—","Direction=H","UseDPDF=Y")</f>
        <v>#NAME?</v>
      </c>
      <c r="AE442" s="2" t="e">
        <f ca="1">_xll.BDH($C$428,"WORK_CAP_GROWTH","FQ4 2016","FQ4 2016","Currency=INR","Period=FQ","BEST_FPERIOD_OVERRIDE=FQ","FILING_STATUS=OR","EQY_CONSOLIDATED=Y","Sort=A","Dates=H","DateFormat=P","Fill=—","Direction=H","UseDPDF=Y")</f>
        <v>#NAME?</v>
      </c>
      <c r="AF442" s="2" t="e">
        <f ca="1">_xll.BDH($C$428,"ACCOUNTS_PAYABLE_GROWTH_1YR","FQ4 2016","FQ4 2016","Currency=INR","Period=FQ","BEST_FPERIOD_OVERRIDE=FQ","FILING_STATUS=OR","EQY_CONSOLIDATED=Y","Sort=A","Dates=H","DateFormat=P","Fill=—","Direction=H","UseDPDF=Y")</f>
        <v>#NAME?</v>
      </c>
      <c r="AG442" s="2" t="e">
        <f ca="1">_xll.BDH($C$428,"SHORT_TERM_DEBT_1_YEAR_GROWTH","FQ4 2016","FQ4 2016","Currency=INR","Period=FQ","BEST_FPERIOD_OVERRIDE=FQ","FILING_STATUS=OR","EQY_CONSOLIDATED=Y","Sort=A","Dates=H","DateFormat=P","Fill=—","Direction=H","UseDPDF=Y")</f>
        <v>#NAME?</v>
      </c>
      <c r="AH442" s="2" t="e">
        <f ca="1">_xll.BDH($C$428,"TOTAL_DEBT_1_YEAR_GROWTH","FQ4 2016","FQ4 2016","Currency=INR","Period=FQ","BEST_FPERIOD_OVERRIDE=FQ","FILING_STATUS=OR","EQY_CONSOLIDATED=Y","Sort=A","Dates=H","DateFormat=P","Fill=—","Direction=H","UseDPDF=Y")</f>
        <v>#NAME?</v>
      </c>
      <c r="AI442" s="2" t="e">
        <f ca="1">_xll.BDH($C$428,"TOTAL_EQUITY_1_YEAR_GROWTH","FQ4 2016","FQ4 2016","Currency=INR","Period=FQ","BEST_FPERIOD_OVERRIDE=FQ","FILING_STATUS=OR","EQY_CONSOLIDATED=Y","Sort=A","Dates=H","DateFormat=P","Fill=—","Direction=H","UseDPDF=Y")</f>
        <v>#NAME?</v>
      </c>
      <c r="AJ442" s="2" t="e">
        <f ca="1">_xll.BDH($C$428,"GROWTH_IN_CAP","FQ4 2016","FQ4 2016","Currency=INR","Period=FQ","BEST_FPERIOD_OVERRIDE=FQ","FILING_STATUS=OR","EQY_CONSOLIDATED=Y","Sort=A","Dates=H","DateFormat=P","Fill=—","Direction=H","UseDPDF=Y")</f>
        <v>#NAME?</v>
      </c>
      <c r="AK442" s="2" t="e">
        <f ca="1">_xll.BDH($C$428,"BVPS_GROWTH","FQ4 2016","FQ4 2016","Currency=INR","Period=FQ","BEST_FPERIOD_OVERRIDE=FQ","FILING_STATUS=OR","EQY_CONSOLIDATED=Y","Sort=A","Dates=H","DateFormat=P","Fill=—","Direction=H","UseDPDF=Y")</f>
        <v>#NAME?</v>
      </c>
      <c r="AL442" s="2" t="e">
        <f ca="1">_xll.BDH($C$428,"CASH_FLOW_GROWTH","FQ4 2016","FQ4 2016","Currency=INR","Period=FQ","BEST_FPERIOD_OVERRIDE=FQ","FILING_STATUS=OR","EQY_CONSOLIDATED=Y","Sort=A","Dates=H","DateFormat=P","Fill=—","Direction=H","UseDPDF=Y")</f>
        <v>#NAME?</v>
      </c>
      <c r="AM442" s="2" t="e">
        <f ca="1">_xll.BDH($C$428,"GEO_GROW_NET_SALES","FQ4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442" s="2" t="e">
        <f ca="1">_xll.BDH($C$428,"GEO_GROW_EBITDA","FQ4 2016","FQ4 2016","Currency=INR","Period=FQ","BEST_FPERIOD_OVERRIDE=FQ","FILING_STATUS=OR","EQY_CONSOLIDATED=Y","FA_ADJUSTED=GAAP","Sort=A","Dates=H","DateFormat=P","Fill=—","Direction=H","UseDPDF=Y")</f>
        <v>#NAME?</v>
      </c>
      <c r="AO442" s="2" t="e">
        <f ca="1">_xll.BDH($C$428,"GEO_GROW_OPER_INC","FQ4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442" s="2" t="e">
        <f ca="1">_xll.BDH($C$428,"NET_INCOME_TO_COMMON_5_YR_GROWTH","FQ4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442" s="2" t="e">
        <f ca="1">_xll.BDH($C$428,"5Y_GEO_GROWTH_DILUTED_EPS","FQ4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442" s="2" t="e">
        <f ca="1">_xll.BDH($C$428,"GEO_GROW_DVD_PER_SH","FQ4 2016","FQ4 2016","Currency=INR","Period=FQ","BEST_FPERIOD_OVERRIDE=FQ","FILING_STATUS=OR","EQY_CONSOLIDATED=Y","Sort=A","Dates=H","DateFormat=P","Fill=—","Direction=H","UseDPDF=Y")</f>
        <v>#NAME?</v>
      </c>
      <c r="AS442" s="2" t="e">
        <f ca="1">_xll.BDH($C$428,"ACCOUNTS_RECEIVABLE_5_YR_GROWTH","FQ4 2016","FQ4 2016","Currency=INR","Period=FQ","BEST_FPERIOD_OVERRIDE=FQ","FILING_STATUS=OR","EQY_CONSOLIDATED=Y","Sort=A","Dates=H","DateFormat=P","Fill=—","Direction=H","UseDPDF=Y")</f>
        <v>#NAME?</v>
      </c>
      <c r="AT442" s="2" t="e">
        <f ca="1">_xll.BDH($C$428,"INVENTORY_5_YEAR_GROWTH","FQ4 2016","FQ4 2016","Currency=INR","Period=FQ","BEST_FPERIOD_OVERRIDE=FQ","FILING_STATUS=OR","EQY_CONSOLIDATED=Y","Sort=A","Dates=H","DateFormat=P","Fill=—","Direction=H","UseDPDF=Y")</f>
        <v>#NAME?</v>
      </c>
      <c r="AU442" s="2" t="e">
        <f ca="1">_xll.BDH($C$428,"NET_FIXED_ASSETS_5_YEAR_GROWTH","FQ4 2016","FQ4 2016","Currency=INR","Period=FQ","BEST_FPERIOD_OVERRIDE=FQ","FILING_STATUS=OR","EQY_CONSOLIDATED=Y","Sort=A","Dates=H","DateFormat=P","Fill=—","Direction=H","UseDPDF=Y")</f>
        <v>#NAME?</v>
      </c>
      <c r="AV442" s="2" t="e">
        <f ca="1">_xll.BDH($C$428,"GEO_GROW_TOT_ASSET","FQ4 2016","FQ4 2016","Currency=INR","Period=FQ","BEST_FPERIOD_OVERRIDE=FQ","FILING_STATUS=OR","EQY_CONSOLIDATED=Y","Sort=A","Dates=H","DateFormat=P","Fill=—","Direction=H","UseDPDF=Y")</f>
        <v>#NAME?</v>
      </c>
      <c r="AW442" s="2" t="e">
        <f ca="1">_xll.BDH($C$428,"MODIFIED_WORKING_CPTL_5YR_GRWTH","FQ4 2016","FQ4 2016","Currency=INR","Period=FQ","BEST_FPERIOD_OVERRIDE=FQ","FILING_STATUS=OR","EQY_CONSOLIDATED=Y","Sort=A","Dates=H","DateFormat=P","Fill=—","Direction=H","UseDPDF=Y")</f>
        <v>#NAME?</v>
      </c>
      <c r="AX442" s="2" t="e">
        <f ca="1">_xll.BDH($C$428,"WORKING_CAPITAL_5_YEAR_GROWTH","FQ4 2016","FQ4 2016","Currency=INR","Period=FQ","BEST_FPERIOD_OVERRIDE=FQ","FILING_STATUS=OR","EQY_CONSOLIDATED=Y","Sort=A","Dates=H","DateFormat=P","Fill=—","Direction=H","UseDPDF=Y")</f>
        <v>#NAME?</v>
      </c>
      <c r="AY442" s="2" t="e">
        <f ca="1">_xll.BDH($C$428,"ACCOUNTS_PAYABLE_5_YEAR_GROWTH","FQ4 2016","FQ4 2016","Currency=INR","Period=FQ","BEST_FPERIOD_OVERRIDE=FQ","FILING_STATUS=OR","EQY_CONSOLIDATED=Y","Sort=A","Dates=H","DateFormat=P","Fill=—","Direction=H","UseDPDF=Y")</f>
        <v>#NAME?</v>
      </c>
      <c r="AZ442" s="2" t="e">
        <f ca="1">_xll.BDH($C$428,"SHORT_TERM_DEBT_5_YEAR_GROWTH","FQ4 2016","FQ4 2016","Currency=INR","Period=FQ","BEST_FPERIOD_OVERRIDE=FQ","FILING_STATUS=OR","EQY_CONSOLIDATED=Y","Sort=A","Dates=H","DateFormat=P","Fill=—","Direction=H","UseDPDF=Y")</f>
        <v>#NAME?</v>
      </c>
      <c r="BA442" s="2" t="e">
        <f ca="1">_xll.BDH($C$428,"TOTAL_DEBT_5_YEAR_GROWTH","FQ4 2016","FQ4 2016","Currency=INR","Period=FQ","BEST_FPERIOD_OVERRIDE=FQ","FILING_STATUS=OR","EQY_CONSOLIDATED=Y","Sort=A","Dates=H","DateFormat=P","Fill=—","Direction=H","UseDPDF=Y")</f>
        <v>#NAME?</v>
      </c>
      <c r="BB442" s="2" t="e">
        <f ca="1">_xll.BDH($C$428,"GEO_GROW_TOT_SHRHLDR_EQY","FQ4 2016","FQ4 2016","Currency=INR","Period=FQ","BEST_FPERIOD_OVERRIDE=FQ","FILING_STATUS=OR","EQY_CONSOLIDATED=Y","Sort=A","Dates=H","DateFormat=P","Fill=—","Direction=H","UseDPDF=Y")</f>
        <v>#NAME?</v>
      </c>
      <c r="BC442" s="2" t="e">
        <f ca="1">_xll.BDH($C$428,"TOTAL_CAPITAL_5_YEAR_GROWTH","FQ4 2016","FQ4 2016","Currency=INR","Period=FQ","BEST_FPERIOD_OVERRIDE=FQ","FILING_STATUS=OR","EQY_CONSOLIDATED=Y","Sort=A","Dates=H","DateFormat=P","Fill=—","Direction=H","UseDPDF=Y")</f>
        <v>#NAME?</v>
      </c>
      <c r="BD442" s="2" t="e">
        <f ca="1">_xll.BDH($C$428,"GEO_GROW_BOOK_VAL","FQ4 2016","FQ4 2016","Currency=INR","Period=FQ","BEST_FPERIOD_OVERRIDE=FQ","FILING_STATUS=OR","EQY_CONSOLIDATED=Y","Sort=A","Dates=H","DateFormat=P","Fill=—","Direction=H","UseDPDF=Y")</f>
        <v>#NAME?</v>
      </c>
      <c r="BE442" s="2" t="e">
        <f ca="1">_xll.BDH($C$428,"GEO_GROW_CASH_OPER_ACT","FQ4 2016","FQ4 2016","Currency=INR","Period=FQ","BEST_FPERIOD_OVERRIDE=FQ","FILING_STATUS=OR","EQY_CONSOLIDATED=Y","Sort=A","Dates=H","DateFormat=P","Fill=—","Direction=H","UseDPDF=Y")</f>
        <v>#NAME?</v>
      </c>
      <c r="BF442" s="2" t="e">
        <f ca="1">_xll.BDH($C$428,"REVENUE_SEQUENTIAL_GROWTH","FQ4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442" s="2" t="e">
        <f ca="1">_xll.BDH($C$428,"EBITDA_SEQUENTIAL_GROWTH","FQ4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442" s="2" t="e">
        <f ca="1">_xll.BDH($C$428,"OPERATING_INCOME_SEQ_GROWTH","FQ4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442" s="2" t="e">
        <f ca="1">_xll.BDH($C$428,"NET_INCOME_TO_COMMON_SEQ_GROWTH","FQ4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442" s="2" t="e">
        <f ca="1">_xll.BDH($C$428,"EPS_DILUTED_SEQUENTIAL_GROWTH","FQ4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442" s="2" t="e">
        <f ca="1">_xll.BDH($C$428,"DPS_SEQUENTIAL_GROWTH","FQ4 2016","FQ4 2016","Currency=INR","Period=FQ","BEST_FPERIOD_OVERRIDE=FQ","FILING_STATUS=OR","EQY_CONSOLIDATED=Y","Sort=A","Dates=H","DateFormat=P","Fill=—","Direction=H","UseDPDF=Y")</f>
        <v>#NAME?</v>
      </c>
      <c r="BL442" s="2" t="e">
        <f ca="1">_xll.BDH($C$428,"ACCOUNTS_RECEIVABLE_SEQ_GROWTH","FQ4 2016","FQ4 2016","Currency=INR","Period=FQ","BEST_FPERIOD_OVERRIDE=FQ","FILING_STATUS=OR","EQY_CONSOLIDATED=Y","Sort=A","Dates=H","DateFormat=P","Fill=—","Direction=H","UseDPDF=Y")</f>
        <v>#NAME?</v>
      </c>
      <c r="BM442" s="2" t="e">
        <f ca="1">_xll.BDH($C$428,"INVENTORY_SEQUENTIAL_GROWTH","FQ4 2016","FQ4 2016","Currency=INR","Period=FQ","BEST_FPERIOD_OVERRIDE=FQ","FILING_STATUS=OR","EQY_CONSOLIDATED=Y","Sort=A","Dates=H","DateFormat=P","Fill=—","Direction=H","UseDPDF=Y")</f>
        <v>#NAME?</v>
      </c>
      <c r="BN442" s="2" t="e">
        <f ca="1">_xll.BDH($C$428,"FIXED_ASSETS_SEQUENTIAL_GROWTH","FQ4 2016","FQ4 2016","Currency=INR","Period=FQ","BEST_FPERIOD_OVERRIDE=FQ","FILING_STATUS=OR","EQY_CONSOLIDATED=Y","Sort=A","Dates=H","DateFormat=P","Fill=—","Direction=H","UseDPDF=Y")</f>
        <v>#NAME?</v>
      </c>
      <c r="BO442" s="2" t="e">
        <f ca="1">_xll.BDH($C$428,"TOTAL_ASSETS_SEQUENTIAL_GROWTH","FQ4 2016","FQ4 2016","Currency=INR","Period=FQ","BEST_FPERIOD_OVERRIDE=FQ","FILING_STATUS=OR","EQY_CONSOLIDATED=Y","Sort=A","Dates=H","DateFormat=P","Fill=—","Direction=H","UseDPDF=Y")</f>
        <v>#NAME?</v>
      </c>
      <c r="BP442" s="2" t="e">
        <f ca="1">_xll.BDH($C$428,"MODIFIED_WORKING_CPTL_SEQ_GRWTH","FQ4 2016","FQ4 2016","Currency=INR","Period=FQ","BEST_FPERIOD_OVERRIDE=FQ","FILING_STATUS=OR","EQY_CONSOLIDATED=Y","Sort=A","Dates=H","DateFormat=P","Fill=—","Direction=H","UseDPDF=Y")</f>
        <v>#NAME?</v>
      </c>
      <c r="BQ442" s="2" t="e">
        <f ca="1">_xll.BDH($C$428,"WORKING_CAPITAL_SEQ_GROWTH","FQ4 2016","FQ4 2016","Currency=INR","Period=FQ","BEST_FPERIOD_OVERRIDE=FQ","FILING_STATUS=OR","EQY_CONSOLIDATED=Y","Sort=A","Dates=H","DateFormat=P","Fill=—","Direction=H","UseDPDF=Y")</f>
        <v>#NAME?</v>
      </c>
      <c r="BR442" s="2" t="e">
        <f ca="1">_xll.BDH($C$428,"ACCOUNTS_PAYABLE_SEQ_GROWTH","FQ4 2016","FQ4 2016","Currency=INR","Period=FQ","BEST_FPERIOD_OVERRIDE=FQ","FILING_STATUS=OR","EQY_CONSOLIDATED=Y","Sort=A","Dates=H","DateFormat=P","Fill=—","Direction=H","UseDPDF=Y")</f>
        <v>#NAME?</v>
      </c>
      <c r="BS442" s="2" t="e">
        <f ca="1">_xll.BDH($C$428,"ST_DEBT_SEQUENTIAL_GROWTH","FQ4 2016","FQ4 2016","Currency=INR","Period=FQ","BEST_FPERIOD_OVERRIDE=FQ","FILING_STATUS=OR","EQY_CONSOLIDATED=Y","Sort=A","Dates=H","DateFormat=P","Fill=—","Direction=H","UseDPDF=Y")</f>
        <v>#NAME?</v>
      </c>
      <c r="BT442" s="2" t="e">
        <f ca="1">_xll.BDH($C$428,"TOTAL_DEBT_SEQUENTIAL_GROWTH","FQ4 2016","FQ4 2016","Currency=INR","Period=FQ","BEST_FPERIOD_OVERRIDE=FQ","FILING_STATUS=OR","EQY_CONSOLIDATED=Y","Sort=A","Dates=H","DateFormat=P","Fill=—","Direction=H","UseDPDF=Y")</f>
        <v>#NAME?</v>
      </c>
      <c r="BU442" s="2" t="e">
        <f ca="1">_xll.BDH($C$428,"TOTAL_EQUITY_SEQUENTIAL_GROWTH","FQ4 2016","FQ4 2016","Currency=INR","Period=FQ","BEST_FPERIOD_OVERRIDE=FQ","FILING_STATUS=OR","EQY_CONSOLIDATED=Y","Sort=A","Dates=H","DateFormat=P","Fill=—","Direction=H","UseDPDF=Y")</f>
        <v>#NAME?</v>
      </c>
      <c r="BV442" s="2" t="e">
        <f ca="1">_xll.BDH($C$428,"TOTAL_CAPITAL_SEQUENTIAL_GROWTH","FQ4 2016","FQ4 2016","Currency=INR","Period=FQ","BEST_FPERIOD_OVERRIDE=FQ","FILING_STATUS=OR","EQY_CONSOLIDATED=Y","Sort=A","Dates=H","DateFormat=P","Fill=—","Direction=H","UseDPDF=Y")</f>
        <v>#NAME?</v>
      </c>
      <c r="BW442" s="2" t="e">
        <f ca="1">_xll.BDH($C$428,"BPS_SEQUENTIAL_GROWTH","FQ4 2016","FQ4 2016","Currency=INR","Period=FQ","BEST_FPERIOD_OVERRIDE=FQ","FILING_STATUS=OR","EQY_CONSOLIDATED=Y","Sort=A","Dates=H","DateFormat=P","Fill=—","Direction=H","UseDPDF=Y")</f>
        <v>#NAME?</v>
      </c>
      <c r="BX442" s="2" t="e">
        <f ca="1">_xll.BDH($C$428,"CFO_SEQUENTIAL_GROWTH","FQ4 2016","FQ4 2016","Currency=INR","Period=FQ","BEST_FPERIOD_OVERRIDE=FQ","FILING_STATUS=OR","EQY_CONSOLIDATED=Y","Sort=A","Dates=H","DateFormat=P","Fill=—","Direction=H","UseDPDF=Y")</f>
        <v>#NAME?</v>
      </c>
      <c r="BY442" s="3" t="e">
        <f ca="1">_xll.BDH($C$428,"SHORT_AND_LONG_TERM_DEBT","FQ4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442" s="3" t="e">
        <f ca="1">_xll.BDH($C$428,"BS_ST_BORROW","FQ4 2016","FQ4 2016","Currency=INR","Period=FQ","BEST_FPERIOD_OVERRIDE=FQ","FILING_STATUS=OR","EQY_CONSOLIDATED=Y","SCALING_FORMAT=MLN","Sort=A","Dates=H","DateFormat=P","Fill=—","Direction=H","UseDPDF=Y")</f>
        <v>#NAME?</v>
      </c>
      <c r="CA442" s="3" t="e">
        <f ca="1">_xll.BDH($C$428,"BS_LT_BORROW","FQ4 2016","FQ4 2016","Currency=INR","Period=FQ","BEST_FPERIOD_OVERRIDE=FQ","FILING_STATUS=OR","EQY_CONSOLIDATED=Y","SCALING_FORMAT=MLN","Sort=A","Dates=H","DateFormat=P","Fill=—","Direction=H","UseDPDF=Y")</f>
        <v>#NAME?</v>
      </c>
      <c r="CB442" s="2" t="e">
        <f ca="1">_xll.BDH($C$428,"TOT_DEBT_TO_EBITDA","FQ4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442" s="2" t="e">
        <f ca="1">_xll.BDH($C$428,"NET_DEBT_TO_EBITDA","FQ4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442" s="2" t="e">
        <f ca="1">_xll.BDH($C$428,"TOTAL_DEBT_TO_EBIT","FQ4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442" s="2" t="e">
        <f ca="1">_xll.BDH($C$428,"NET_DEBT_TO_EBIT","FQ4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442" s="2" t="e">
        <f ca="1">_xll.BDH($C$428,"EBITDA_TO_INTEREST_EXPN","FQ4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442" s="2" t="e">
        <f ca="1">_xll.BDH($C$428,"COM_EQY_TO_TOT_ASSET","FQ4 2016","FQ4 2016","Currency=INR","Period=FQ","BEST_FPERIOD_OVERRIDE=FQ","FILING_STATUS=OR","EQY_CONSOLIDATED=Y","Sort=A","Dates=H","DateFormat=P","Fill=—","Direction=H","UseDPDF=Y")</f>
        <v>#NAME?</v>
      </c>
      <c r="CH442" s="2" t="e">
        <f ca="1">_xll.BDH($C$428,"LT_DEBT_TO_TOT_EQY","FQ4 2016","FQ4 2016","Currency=INR","Period=FQ","BEST_FPERIOD_OVERRIDE=FQ","FILING_STATUS=OR","EQY_CONSOLIDATED=Y","Sort=A","Dates=H","DateFormat=P","Fill=—","Direction=H","UseDPDF=Y")</f>
        <v>#NAME?</v>
      </c>
      <c r="CI442" s="2" t="e">
        <f ca="1">_xll.BDH($C$428,"LT_DEBT_TO_TOT_CAP","FQ4 2016","FQ4 2016","Currency=INR","Period=FQ","BEST_FPERIOD_OVERRIDE=FQ","FILING_STATUS=OR","EQY_CONSOLIDATED=Y","Sort=A","Dates=H","DateFormat=P","Fill=—","Direction=H","UseDPDF=Y")</f>
        <v>#NAME?</v>
      </c>
      <c r="CJ442" s="2" t="e">
        <f ca="1">_xll.BDH($C$428,"LT_DEBT_TO_TOT_ASSET","FQ4 2016","FQ4 2016","Currency=INR","Period=FQ","BEST_FPERIOD_OVERRIDE=FQ","FILING_STATUS=OR","EQY_CONSOLIDATED=Y","Sort=A","Dates=H","DateFormat=P","Fill=—","Direction=H","UseDPDF=Y")</f>
        <v>#NAME?</v>
      </c>
      <c r="CK442" s="2" t="e">
        <f ca="1">_xll.BDH($C$428,"TOT_DEBT_TO_TOT_EQY","FQ4 2016","FQ4 2016","Currency=INR","Period=FQ","BEST_FPERIOD_OVERRIDE=FQ","FILING_STATUS=OR","EQY_CONSOLIDATED=Y","Sort=A","Dates=H","DateFormat=P","Fill=—","Direction=H","UseDPDF=Y")</f>
        <v>#NAME?</v>
      </c>
      <c r="CL442" s="2" t="e">
        <f ca="1">_xll.BDH($C$428,"TOT_DEBT_TO_TOT_CAP","FQ4 2016","FQ4 2016","Currency=INR","Period=FQ","BEST_FPERIOD_OVERRIDE=FQ","FILING_STATUS=OR","EQY_CONSOLIDATED=Y","Sort=A","Dates=H","DateFormat=P","Fill=—","Direction=H","UseDPDF=Y")</f>
        <v>#NAME?</v>
      </c>
      <c r="CM442" s="2" t="e">
        <f ca="1">_xll.BDH($C$428,"TOT_DEBT_TO_TOT_ASSET","FQ4 2016","FQ4 2016","Currency=INR","Period=FQ","BEST_FPERIOD_OVERRIDE=FQ","FILING_STATUS=OR","EQY_CONSOLIDATED=Y","Sort=A","Dates=H","DateFormat=P","Fill=—","Direction=H","UseDPDF=Y")</f>
        <v>#NAME?</v>
      </c>
      <c r="CN442" s="2" t="e">
        <f ca="1">_xll.BDH($C$428,"NET_DEBT_TO_SHRHLDR_EQTY","FQ4 2016","FQ4 2016","Currency=INR","Period=FQ","BEST_FPERIOD_OVERRIDE=FQ","FILING_STATUS=OR","EQY_CONSOLIDATED=Y","Sort=A","Dates=H","DateFormat=P","Fill=—","Direction=H","UseDPDF=Y")</f>
        <v>#NAME?</v>
      </c>
      <c r="CO442" s="2" t="e">
        <f ca="1">_xll.BDH($C$428,"NET_DEBT_%_CAPITAL","FQ4 2016","FQ4 2016","Currency=INR","Period=FQ","BEST_FPERIOD_OVERRIDE=FQ","FILING_STATUS=OR","EQY_CONSOLIDATED=Y","Sort=A","Dates=H","DateFormat=P","Fill=—","Direction=H","UseDPDF=Y")</f>
        <v>#NAME?</v>
      </c>
      <c r="CP442" s="3" t="e">
        <f ca="1">_xll.BDH($C$428,"EBITDA","FQ4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442" s="3" t="e">
        <f ca="1">_xll.BDH($C$428,"EBITDA_AFTER_CAPEX","FQ4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442" s="3" t="e">
        <f ca="1">_xll.BDH($C$428,"IS_OPER_INC","FQ4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442" s="2" t="e">
        <f ca="1">_xll.BDH($C$428,"CASH_RATIO","FQ4 2016","FQ4 2016","Currency=INR","Period=FQ","BEST_FPERIOD_OVERRIDE=FQ","FILING_STATUS=OR","EQY_CONSOLIDATED=Y","Sort=A","Dates=H","DateFormat=P","Fill=—","Direction=H","UseDPDF=Y")</f>
        <v>#NAME?</v>
      </c>
      <c r="CT442" s="2" t="e">
        <f ca="1">_xll.BDH($C$428,"CUR_RATIO","FQ4 2016","FQ4 2016","Currency=INR","Period=FQ","BEST_FPERIOD_OVERRIDE=FQ","FILING_STATUS=OR","EQY_CONSOLIDATED=Y","Sort=A","Dates=H","DateFormat=P","Fill=—","Direction=H","UseDPDF=Y")</f>
        <v>#NAME?</v>
      </c>
      <c r="CU442" s="2" t="e">
        <f ca="1">_xll.BDH($C$428,"QUICK_RATIO","FQ4 2016","FQ4 2016","Currency=INR","Period=FQ","BEST_FPERIOD_OVERRIDE=FQ","FILING_STATUS=OR","EQY_CONSOLIDATED=Y","Sort=A","Dates=H","DateFormat=P","Fill=—","Direction=H","UseDPDF=Y")</f>
        <v>#NAME?</v>
      </c>
      <c r="CV442" s="2" t="e">
        <f ca="1">_xll.BDH($C$428,"ALTMAN_Z_SCORE","FQ4 2016","FQ4 2016","Currency=INR","Period=FQ","BEST_FPERIOD_OVERRIDE=FQ","FILING_STATUS=OR","EQY_CONSOLIDATED=Y","Sort=A","Dates=H","DateFormat=P","Fill=—","Direction=H","UseDPDF=Y")</f>
        <v>#NAME?</v>
      </c>
      <c r="CW442" s="4" t="e">
        <f ca="1">_xll.BDH($C$428,"ACCT_RCV_TURN","FQ4 2016","FQ4 2016","Currency=INR","Period=FQ","BEST_FPERIOD_OVERRIDE=FQ","FILING_STATUS=OR","EQY_CONSOLIDATED=Y","FA_ADJUSTED=GAAP","Sort=A","Dates=H","DateFormat=P","Fill=—","Direction=H","UseDPDF=Y")</f>
        <v>#NAME?</v>
      </c>
      <c r="CX442" s="2" t="e">
        <f ca="1">_xll.BDH($C$428,"ACCT_RCV_DAYS","FQ4 2016","FQ4 2016","Currency=INR","Period=FQ","BEST_FPERIOD_OVERRIDE=FQ","FILING_STATUS=OR","EQY_CONSOLIDATED=Y","FA_ADJUSTED=GAAP","Sort=A","Dates=H","DateFormat=P","Fill=—","Direction=H","UseDPDF=Y")</f>
        <v>#NAME?</v>
      </c>
      <c r="CY442" s="4" t="e">
        <f ca="1">_xll.BDH($C$428,"INVENT_TURN","FQ4 2016","FQ4 2016","Currency=INR","Period=FQ","BEST_FPERIOD_OVERRIDE=FQ","FILING_STATUS=OR","EQY_CONSOLIDATED=Y","FA_ADJUSTED=GAAP","Sort=A","Dates=H","DateFormat=P","Fill=—","Direction=H","UseDPDF=Y")</f>
        <v>#NAME?</v>
      </c>
      <c r="CZ442" s="2" t="e">
        <f ca="1">_xll.BDH($C$428,"INVENT_DAYS","FQ4 2016","FQ4 2016","Currency=INR","Period=FQ","BEST_FPERIOD_OVERRIDE=FQ","FILING_STATUS=OR","EQY_CONSOLIDATED=Y","FA_ADJUSTED=GAAP","Sort=A","Dates=H","DateFormat=P","Fill=—","Direction=H","UseDPDF=Y")</f>
        <v>#NAME?</v>
      </c>
      <c r="DA442" s="4" t="e">
        <f ca="1">_xll.BDH($C$428,"ACCOUNTS_PAYABLE_TURNOVER","FQ4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442" s="2" t="e">
        <f ca="1">_xll.BDH($C$428,"ACCOUNTS_PAYABLE_TURNOVER_DAYS","FQ4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442" s="4" t="e">
        <f ca="1">_xll.BDH($C$428,"CASH_CONVERSION_CYCLE","FQ4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442" s="4" t="e">
        <f ca="1">_xll.BDH($C$428,"INV_TO_CASH_DAYS","FQ4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442" s="5" t="e">
        <f ca="1">_xll.BDH($C$428,"BS_INVENTORIES","FQ4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442" s="3" t="e">
        <f ca="1">_xll.BDH($C$428,"INVTRY_RAW_MATERIALS","FQ4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442" s="3" t="e">
        <f ca="1">_xll.BDH($C$428,"INVTRY_IN_PROGRESS","FQ4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442" s="3" t="e">
        <f ca="1">_xll.BDH($C$428,"INVTRY_FINISHED_GOODS","FQ4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442" s="3" t="e">
        <f ca="1">_xll.BDH($C$428,"BS_OTHER_INV","FQ4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443" spans="1:113" x14ac:dyDescent="0.3">
      <c r="A443" s="6"/>
      <c r="B443" s="6"/>
      <c r="C443" s="6"/>
      <c r="D443" s="6" t="s">
        <v>84</v>
      </c>
      <c r="E443" t="s">
        <v>77</v>
      </c>
      <c r="F443" t="e">
        <f ca="1">_xll.BDH($C$428,"RETURN_COM_EQY","FY 2017","FY 2017","Currency=INR","Period=FY","BEST_FPERIOD_OVERRIDE=FY","FILING_STATUS=OR","EQY_CONSOLIDATED=Y","FA_ADJUSTED=GAAP","Sort=A","Dates=H","DateFormat=P","Fill=—","Direction=H","UseDPDF=Y")</f>
        <v>#NAME?</v>
      </c>
      <c r="G443" t="e">
        <f ca="1">_xll.BDH($C$428,"RETURN_ON_ASSET","FY 2017","FY 2017","Currency=INR","Period=FY","BEST_FPERIOD_OVERRIDE=FY","FILING_STATUS=OR","EQY_CONSOLIDATED=Y","FA_ADJUSTED=GAAP","Sort=A","Dates=H","DateFormat=P","Fill=—","Direction=H","UseDPDF=Y")</f>
        <v>#NAME?</v>
      </c>
      <c r="H443" t="e">
        <f ca="1">_xll.BDH($C$428,"RETURN_ON_CAP","FY 2017","FY 2017","Currency=INR","Period=FY","BEST_FPERIOD_OVERRIDE=FY","FILING_STATUS=OR","EQY_CONSOLIDATED=Y","FA_ADJUSTED=GAAP","Sort=A","Dates=H","DateFormat=P","Fill=—","Direction=H","UseDPDF=Y")</f>
        <v>#NAME?</v>
      </c>
      <c r="I443" t="e">
        <f ca="1">_xll.BDH($C$428,"RETURN_ON_INV_CAPITAL","FY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443" t="e">
        <f ca="1">_xll.BDH($C$428,"EBITDA_TO_REVENUE","FY 2017","FY 2017","Currency=INR","Period=FY","BEST_FPERIOD_OVERRIDE=FY","FILING_STATUS=OR","EQY_CONSOLIDATED=Y","FA_ADJUSTED=GAAP","Sort=A","Dates=H","DateFormat=P","Fill=—","Direction=H","UseDPDF=Y")</f>
        <v>#NAME?</v>
      </c>
      <c r="K443" t="e">
        <f ca="1">_xll.BDH($C$428,"OPER_MARGIN","FY 2017","FY 2017","Currency=INR","Period=FY","BEST_FPERIOD_OVERRIDE=FY","FILING_STATUS=OR","EQY_CONSOLIDATED=Y","FA_ADJUSTED=GAAP","Sort=A","Dates=H","DateFormat=P","Fill=—","Direction=H","UseDPDF=Y")</f>
        <v>#NAME?</v>
      </c>
      <c r="L443" t="e">
        <f ca="1">_xll.BDH($C$428,"INCREMENTAL_OPERATING_MARGIN","FY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443" t="e">
        <f ca="1">_xll.BDH($C$428,"PRETAX_INC_TO_NET_SALES","FY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443" t="e">
        <f ca="1">_xll.BDH($C$428,"INC_BEF_XO_ITEMS_TO_NET_SALES","FY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443" t="e">
        <f ca="1">_xll.BDH($C$428,"PROF_MARGIN","FY 2017","FY 2017","Currency=INR","Period=FY","BEST_FPERIOD_OVERRIDE=FY","FILING_STATUS=OR","EQY_CONSOLIDATED=Y","FA_ADJUSTED=GAAP","Sort=A","Dates=H","DateFormat=P","Fill=—","Direction=H","UseDPDF=Y")</f>
        <v>#NAME?</v>
      </c>
      <c r="P443" t="e">
        <f ca="1">_xll.BDH($C$428,"NET_INCOME_TO_COMMON_MARGIN","FY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443" t="e">
        <f ca="1">_xll.BDH($C$428,"EFF_TAX_RATE","FY 2017","FY 2017","Currency=INR","Period=FY","BEST_FPERIOD_OVERRIDE=FY","FILING_STATUS=OR","EQY_CONSOLIDATED=Y","FA_ADJUSTED=GAAP","Sort=A","Dates=H","DateFormat=P","Fill=—","Direction=H","UseDPDF=Y")</f>
        <v>#NAME?</v>
      </c>
      <c r="R443" t="e">
        <f ca="1">_xll.BDH($C$428,"DVD_PAYOUT_RATIO","FY 2017","FY 2017","Currency=INR","Period=FY","BEST_FPERIOD_OVERRIDE=FY","FILING_STATUS=OR","EQY_CONSOLIDATED=Y","FA_ADJUSTED=GAAP","Sort=A","Dates=H","DateFormat=P","Fill=—","Direction=H","UseDPDF=Y")</f>
        <v>#NAME?</v>
      </c>
      <c r="S443" t="e">
        <f ca="1">_xll.BDH($C$428,"SUSTAIN_GROWTH_RT","FY 2017","FY 2017","Currency=INR","Period=FY","BEST_FPERIOD_OVERRIDE=FY","FILING_STATUS=OR","EQY_CONSOLIDATED=Y","FA_ADJUSTED=GAAP","Sort=A","Dates=H","DateFormat=P","Fill=—","Direction=H","UseDPDF=Y")</f>
        <v>#NAME?</v>
      </c>
      <c r="T443" s="2" t="e">
        <f ca="1">_xll.BDH($C$428,"SALES_GROWTH","FY 2017","FY 2017","Currency=INR","Period=FY","BEST_FPERIOD_OVERRIDE=FY","FILING_STATUS=OR","EQY_CONSOLIDATED=Y","FA_ADJUSTED=GAAP","Sort=A","Dates=H","DateFormat=P","Fill=—","Direction=H","UseDPDF=Y")</f>
        <v>#NAME?</v>
      </c>
      <c r="U443" s="2" t="e">
        <f ca="1">_xll.BDH($C$428,"EBITDA_GROWTH","FY 2017","FY 2017","Currency=INR","Period=FY","BEST_FPERIOD_OVERRIDE=FY","FILING_STATUS=OR","EQY_CONSOLIDATED=Y","FA_ADJUSTED=GAAP","Sort=A","Dates=H","DateFormat=P","Fill=—","Direction=H","UseDPDF=Y")</f>
        <v>#NAME?</v>
      </c>
      <c r="V443" s="2" t="e">
        <f ca="1">_xll.BDH($C$428,"OPER_INC_GROWTH","FY 2017","FY 2017","Currency=INR","Period=FY","BEST_FPERIOD_OVERRIDE=FY","FILING_STATUS=OR","EQY_CONSOLIDATED=Y","FA_ADJUSTED=GAAP","Sort=A","Dates=H","DateFormat=P","Fill=—","Direction=H","UseDPDF=Y")</f>
        <v>#NAME?</v>
      </c>
      <c r="W443" s="2" t="e">
        <f ca="1">_xll.BDH($C$428,"EARN_FOR_COM_GROWTH","FY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443" s="2" t="e">
        <f ca="1">_xll.BDH($C$428,"DILUTED_EPS_AFT_XO_ITEMS_GROWTH","FY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443" s="2" t="e">
        <f ca="1">_xll.BDH($C$428,"DIVIDEND_PER_SHARE_1_YEAR_GROWTH","FY 2017","FY 2017","Currency=INR","Period=FY","BEST_FPERIOD_OVERRIDE=FY","FILING_STATUS=OR","EQY_CONSOLIDATED=Y","Sort=A","Dates=H","DateFormat=P","Fill=—","Direction=H","UseDPDF=Y")</f>
        <v>#NAME?</v>
      </c>
      <c r="Z443" s="2" t="e">
        <f ca="1">_xll.BDH($C$428,"ACCOUNTS_RECEIVABLE_GROWTH","FY 2017","FY 2017","Currency=INR","Period=FY","BEST_FPERIOD_OVERRIDE=FY","FILING_STATUS=OR","EQY_CONSOLIDATED=Y","Sort=A","Dates=H","DateFormat=P","Fill=—","Direction=H","UseDPDF=Y")</f>
        <v>#NAME?</v>
      </c>
      <c r="AA443" s="2" t="e">
        <f ca="1">_xll.BDH($C$428,"INVENTORY_GROWTH","FY 2017","FY 2017","Currency=INR","Period=FY","BEST_FPERIOD_OVERRIDE=FY","FILING_STATUS=OR","EQY_CONSOLIDATED=Y","Sort=A","Dates=H","DateFormat=P","Fill=—","Direction=H","UseDPDF=Y")</f>
        <v>#NAME?</v>
      </c>
      <c r="AB443" s="2" t="e">
        <f ca="1">_xll.BDH($C$428,"NET_FIXED_ASSETS_1_YEAR_GROWTH","FY 2017","FY 2017","Currency=INR","Period=FY","BEST_FPERIOD_OVERRIDE=FY","FILING_STATUS=OR","EQY_CONSOLIDATED=Y","Sort=A","Dates=H","DateFormat=P","Fill=—","Direction=H","UseDPDF=Y")</f>
        <v>#NAME?</v>
      </c>
      <c r="AC443" s="2" t="e">
        <f ca="1">_xll.BDH($C$428,"ASSET_GROWTH","FY 2017","FY 2017","Currency=INR","Period=FY","BEST_FPERIOD_OVERRIDE=FY","FILING_STATUS=OR","EQY_CONSOLIDATED=Y","Sort=A","Dates=H","DateFormat=P","Fill=—","Direction=H","UseDPDF=Y")</f>
        <v>#NAME?</v>
      </c>
      <c r="AD443" s="2" t="e">
        <f ca="1">_xll.BDH($C$428,"MODIFIED_WORK_CAP_GROWTH","FY 2017","FY 2017","Currency=INR","Period=FY","BEST_FPERIOD_OVERRIDE=FY","FILING_STATUS=OR","EQY_CONSOLIDATED=Y","Sort=A","Dates=H","DateFormat=P","Fill=—","Direction=H","UseDPDF=Y")</f>
        <v>#NAME?</v>
      </c>
      <c r="AE443" s="2" t="e">
        <f ca="1">_xll.BDH($C$428,"WORK_CAP_GROWTH","FY 2017","FY 2017","Currency=INR","Period=FY","BEST_FPERIOD_OVERRIDE=FY","FILING_STATUS=OR","EQY_CONSOLIDATED=Y","Sort=A","Dates=H","DateFormat=P","Fill=—","Direction=H","UseDPDF=Y")</f>
        <v>#NAME?</v>
      </c>
      <c r="AF443" s="2" t="e">
        <f ca="1">_xll.BDH($C$428,"ACCOUNTS_PAYABLE_GROWTH_1YR","FY 2017","FY 2017","Currency=INR","Period=FY","BEST_FPERIOD_OVERRIDE=FY","FILING_STATUS=OR","EQY_CONSOLIDATED=Y","Sort=A","Dates=H","DateFormat=P","Fill=—","Direction=H","UseDPDF=Y")</f>
        <v>#NAME?</v>
      </c>
      <c r="AG443" s="2" t="e">
        <f ca="1">_xll.BDH($C$428,"SHORT_TERM_DEBT_1_YEAR_GROWTH","FY 2017","FY 2017","Currency=INR","Period=FY","BEST_FPERIOD_OVERRIDE=FY","FILING_STATUS=OR","EQY_CONSOLIDATED=Y","Sort=A","Dates=H","DateFormat=P","Fill=—","Direction=H","UseDPDF=Y")</f>
        <v>#NAME?</v>
      </c>
      <c r="AH443" s="2" t="e">
        <f ca="1">_xll.BDH($C$428,"TOTAL_DEBT_1_YEAR_GROWTH","FY 2017","FY 2017","Currency=INR","Period=FY","BEST_FPERIOD_OVERRIDE=FY","FILING_STATUS=OR","EQY_CONSOLIDATED=Y","Sort=A","Dates=H","DateFormat=P","Fill=—","Direction=H","UseDPDF=Y")</f>
        <v>#NAME?</v>
      </c>
      <c r="AI443" s="2" t="e">
        <f ca="1">_xll.BDH($C$428,"TOTAL_EQUITY_1_YEAR_GROWTH","FY 2017","FY 2017","Currency=INR","Period=FY","BEST_FPERIOD_OVERRIDE=FY","FILING_STATUS=OR","EQY_CONSOLIDATED=Y","Sort=A","Dates=H","DateFormat=P","Fill=—","Direction=H","UseDPDF=Y")</f>
        <v>#NAME?</v>
      </c>
      <c r="AJ443" s="2" t="e">
        <f ca="1">_xll.BDH($C$428,"GROWTH_IN_CAP","FY 2017","FY 2017","Currency=INR","Period=FY","BEST_FPERIOD_OVERRIDE=FY","FILING_STATUS=OR","EQY_CONSOLIDATED=Y","Sort=A","Dates=H","DateFormat=P","Fill=—","Direction=H","UseDPDF=Y")</f>
        <v>#NAME?</v>
      </c>
      <c r="AK443" s="2" t="e">
        <f ca="1">_xll.BDH($C$428,"BVPS_GROWTH","FY 2017","FY 2017","Currency=INR","Period=FY","BEST_FPERIOD_OVERRIDE=FY","FILING_STATUS=OR","EQY_CONSOLIDATED=Y","Sort=A","Dates=H","DateFormat=P","Fill=—","Direction=H","UseDPDF=Y")</f>
        <v>#NAME?</v>
      </c>
      <c r="AL443" s="2" t="e">
        <f ca="1">_xll.BDH($C$428,"CASH_FLOW_GROWTH","FY 2017","FY 2017","Currency=INR","Period=FY","BEST_FPERIOD_OVERRIDE=FY","FILING_STATUS=OR","EQY_CONSOLIDATED=Y","Sort=A","Dates=H","DateFormat=P","Fill=—","Direction=H","UseDPDF=Y")</f>
        <v>#NAME?</v>
      </c>
      <c r="AM443" s="2" t="e">
        <f ca="1">_xll.BDH($C$428,"GEO_GROW_NET_SALES","FY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443" s="2" t="e">
        <f ca="1">_xll.BDH($C$428,"GEO_GROW_EBITDA","FY 2017","FY 2017","Currency=INR","Period=FY","BEST_FPERIOD_OVERRIDE=FY","FILING_STATUS=OR","EQY_CONSOLIDATED=Y","FA_ADJUSTED=GAAP","Sort=A","Dates=H","DateFormat=P","Fill=—","Direction=H","UseDPDF=Y")</f>
        <v>#NAME?</v>
      </c>
      <c r="AO443" s="2" t="e">
        <f ca="1">_xll.BDH($C$428,"GEO_GROW_OPER_INC","FY 2017","FY 2017","Currency=INR","Period=FY","BEST_FPERIOD_OVERRIDE=FY","FILING_STATUS=OR","EQY_CONSOLIDATED=Y","FA_ADJUSTED=GAAP","Sort=A","Dates=H","DateFormat=P","Fill=—","Direction=H","UseDPDF=Y")</f>
        <v>#NAME?</v>
      </c>
      <c r="AP443" s="2" t="e">
        <f ca="1">_xll.BDH($C$428,"NET_INCOME_TO_COMMON_5_YR_GROWTH","FY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443" s="2" t="e">
        <f ca="1">_xll.BDH($C$428,"5Y_GEO_GROWTH_DILUTED_EPS","FY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443" s="2" t="e">
        <f ca="1">_xll.BDH($C$428,"GEO_GROW_DVD_PER_SH","FY 2017","FY 2017","Currency=INR","Period=FY","BEST_FPERIOD_OVERRIDE=FY","FILING_STATUS=OR","EQY_CONSOLIDATED=Y","Sort=A","Dates=H","DateFormat=P","Fill=—","Direction=H","UseDPDF=Y")</f>
        <v>#NAME?</v>
      </c>
      <c r="AS443" s="2" t="e">
        <f ca="1">_xll.BDH($C$428,"ACCOUNTS_RECEIVABLE_5_YR_GROWTH","FY 2017","FY 2017","Currency=INR","Period=FY","BEST_FPERIOD_OVERRIDE=FY","FILING_STATUS=OR","EQY_CONSOLIDATED=Y","Sort=A","Dates=H","DateFormat=P","Fill=—","Direction=H","UseDPDF=Y")</f>
        <v>#NAME?</v>
      </c>
      <c r="AT443" s="2" t="e">
        <f ca="1">_xll.BDH($C$428,"INVENTORY_5_YEAR_GROWTH","FY 2017","FY 2017","Currency=INR","Period=FY","BEST_FPERIOD_OVERRIDE=FY","FILING_STATUS=OR","EQY_CONSOLIDATED=Y","Sort=A","Dates=H","DateFormat=P","Fill=—","Direction=H","UseDPDF=Y")</f>
        <v>#NAME?</v>
      </c>
      <c r="AU443" s="2" t="e">
        <f ca="1">_xll.BDH($C$428,"NET_FIXED_ASSETS_5_YEAR_GROWTH","FY 2017","FY 2017","Currency=INR","Period=FY","BEST_FPERIOD_OVERRIDE=FY","FILING_STATUS=OR","EQY_CONSOLIDATED=Y","Sort=A","Dates=H","DateFormat=P","Fill=—","Direction=H","UseDPDF=Y")</f>
        <v>#NAME?</v>
      </c>
      <c r="AV443" s="2" t="e">
        <f ca="1">_xll.BDH($C$428,"GEO_GROW_TOT_ASSET","FY 2017","FY 2017","Currency=INR","Period=FY","BEST_FPERIOD_OVERRIDE=FY","FILING_STATUS=OR","EQY_CONSOLIDATED=Y","Sort=A","Dates=H","DateFormat=P","Fill=—","Direction=H","UseDPDF=Y")</f>
        <v>#NAME?</v>
      </c>
      <c r="AW443" s="2" t="e">
        <f ca="1">_xll.BDH($C$428,"MODIFIED_WORKING_CPTL_5YR_GRWTH","FY 2017","FY 2017","Currency=INR","Period=FY","BEST_FPERIOD_OVERRIDE=FY","FILING_STATUS=OR","EQY_CONSOLIDATED=Y","Sort=A","Dates=H","DateFormat=P","Fill=—","Direction=H","UseDPDF=Y")</f>
        <v>#NAME?</v>
      </c>
      <c r="AX443" s="2" t="e">
        <f ca="1">_xll.BDH($C$428,"WORKING_CAPITAL_5_YEAR_GROWTH","FY 2017","FY 2017","Currency=INR","Period=FY","BEST_FPERIOD_OVERRIDE=FY","FILING_STATUS=OR","EQY_CONSOLIDATED=Y","Sort=A","Dates=H","DateFormat=P","Fill=—","Direction=H","UseDPDF=Y")</f>
        <v>#NAME?</v>
      </c>
      <c r="AY443" s="2" t="e">
        <f ca="1">_xll.BDH($C$428,"ACCOUNTS_PAYABLE_5_YEAR_GROWTH","FY 2017","FY 2017","Currency=INR","Period=FY","BEST_FPERIOD_OVERRIDE=FY","FILING_STATUS=OR","EQY_CONSOLIDATED=Y","Sort=A","Dates=H","DateFormat=P","Fill=—","Direction=H","UseDPDF=Y")</f>
        <v>#NAME?</v>
      </c>
      <c r="AZ443" s="2" t="e">
        <f ca="1">_xll.BDH($C$428,"SHORT_TERM_DEBT_5_YEAR_GROWTH","FY 2017","FY 2017","Currency=INR","Period=FY","BEST_FPERIOD_OVERRIDE=FY","FILING_STATUS=OR","EQY_CONSOLIDATED=Y","Sort=A","Dates=H","DateFormat=P","Fill=—","Direction=H","UseDPDF=Y")</f>
        <v>#NAME?</v>
      </c>
      <c r="BA443" s="2" t="e">
        <f ca="1">_xll.BDH($C$428,"TOTAL_DEBT_5_YEAR_GROWTH","FY 2017","FY 2017","Currency=INR","Period=FY","BEST_FPERIOD_OVERRIDE=FY","FILING_STATUS=OR","EQY_CONSOLIDATED=Y","Sort=A","Dates=H","DateFormat=P","Fill=—","Direction=H","UseDPDF=Y")</f>
        <v>#NAME?</v>
      </c>
      <c r="BB443" s="2" t="e">
        <f ca="1">_xll.BDH($C$428,"GEO_GROW_TOT_SHRHLDR_EQY","FY 2017","FY 2017","Currency=INR","Period=FY","BEST_FPERIOD_OVERRIDE=FY","FILING_STATUS=OR","EQY_CONSOLIDATED=Y","Sort=A","Dates=H","DateFormat=P","Fill=—","Direction=H","UseDPDF=Y")</f>
        <v>#NAME?</v>
      </c>
      <c r="BC443" s="2" t="e">
        <f ca="1">_xll.BDH($C$428,"TOTAL_CAPITAL_5_YEAR_GROWTH","FY 2017","FY 2017","Currency=INR","Period=FY","BEST_FPERIOD_OVERRIDE=FY","FILING_STATUS=OR","EQY_CONSOLIDATED=Y","Sort=A","Dates=H","DateFormat=P","Fill=—","Direction=H","UseDPDF=Y")</f>
        <v>#NAME?</v>
      </c>
      <c r="BD443" s="2" t="e">
        <f ca="1">_xll.BDH($C$428,"GEO_GROW_BOOK_VAL","FY 2017","FY 2017","Currency=INR","Period=FY","BEST_FPERIOD_OVERRIDE=FY","FILING_STATUS=OR","EQY_CONSOLIDATED=Y","Sort=A","Dates=H","DateFormat=P","Fill=—","Direction=H","UseDPDF=Y")</f>
        <v>#NAME?</v>
      </c>
      <c r="BE443" s="2" t="e">
        <f ca="1">_xll.BDH($C$428,"GEO_GROW_CASH_OPER_ACT","FY 2017","FY 2017","Currency=INR","Period=FY","BEST_FPERIOD_OVERRIDE=FY","FILING_STATUS=OR","EQY_CONSOLIDATED=Y","Sort=A","Dates=H","DateFormat=P","Fill=—","Direction=H","UseDPDF=Y")</f>
        <v>#NAME?</v>
      </c>
      <c r="BF443" s="2" t="e">
        <f ca="1">_xll.BDH($C$428,"REVENUE_SEQUENTIAL_GROWTH","FY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443" s="2" t="e">
        <f ca="1">_xll.BDH($C$428,"EBITDA_SEQUENTIAL_GROWTH","FY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443" s="2" t="e">
        <f ca="1">_xll.BDH($C$428,"OPERATING_INCOME_SEQ_GROWTH","FY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443" s="2" t="e">
        <f ca="1">_xll.BDH($C$428,"NET_INCOME_TO_COMMON_SEQ_GROWTH","FY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443" s="2" t="e">
        <f ca="1">_xll.BDH($C$428,"EPS_DILUTED_SEQUENTIAL_GROWTH","FY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443" s="2" t="e">
        <f ca="1">_xll.BDH($C$428,"DPS_SEQUENTIAL_GROWTH","FY 2017","FY 2017","Currency=INR","Period=FY","BEST_FPERIOD_OVERRIDE=FY","FILING_STATUS=OR","EQY_CONSOLIDATED=Y","Sort=A","Dates=H","DateFormat=P","Fill=—","Direction=H","UseDPDF=Y")</f>
        <v>#NAME?</v>
      </c>
      <c r="BL443" s="2" t="e">
        <f ca="1">_xll.BDH($C$428,"ACCOUNTS_RECEIVABLE_SEQ_GROWTH","FY 2017","FY 2017","Currency=INR","Period=FY","BEST_FPERIOD_OVERRIDE=FY","FILING_STATUS=OR","EQY_CONSOLIDATED=Y","Sort=A","Dates=H","DateFormat=P","Fill=—","Direction=H","UseDPDF=Y")</f>
        <v>#NAME?</v>
      </c>
      <c r="BM443" s="2" t="e">
        <f ca="1">_xll.BDH($C$428,"INVENTORY_SEQUENTIAL_GROWTH","FY 2017","FY 2017","Currency=INR","Period=FY","BEST_FPERIOD_OVERRIDE=FY","FILING_STATUS=OR","EQY_CONSOLIDATED=Y","Sort=A","Dates=H","DateFormat=P","Fill=—","Direction=H","UseDPDF=Y")</f>
        <v>#NAME?</v>
      </c>
      <c r="BN443" s="2" t="e">
        <f ca="1">_xll.BDH($C$428,"FIXED_ASSETS_SEQUENTIAL_GROWTH","FY 2017","FY 2017","Currency=INR","Period=FY","BEST_FPERIOD_OVERRIDE=FY","FILING_STATUS=OR","EQY_CONSOLIDATED=Y","Sort=A","Dates=H","DateFormat=P","Fill=—","Direction=H","UseDPDF=Y")</f>
        <v>#NAME?</v>
      </c>
      <c r="BO443" s="2" t="e">
        <f ca="1">_xll.BDH($C$428,"TOTAL_ASSETS_SEQUENTIAL_GROWTH","FY 2017","FY 2017","Currency=INR","Period=FY","BEST_FPERIOD_OVERRIDE=FY","FILING_STATUS=OR","EQY_CONSOLIDATED=Y","Sort=A","Dates=H","DateFormat=P","Fill=—","Direction=H","UseDPDF=Y")</f>
        <v>#NAME?</v>
      </c>
      <c r="BP443" s="2" t="e">
        <f ca="1">_xll.BDH($C$428,"MODIFIED_WORKING_CPTL_SEQ_GRWTH","FY 2017","FY 2017","Currency=INR","Period=FY","BEST_FPERIOD_OVERRIDE=FY","FILING_STATUS=OR","EQY_CONSOLIDATED=Y","Sort=A","Dates=H","DateFormat=P","Fill=—","Direction=H","UseDPDF=Y")</f>
        <v>#NAME?</v>
      </c>
      <c r="BQ443" s="2" t="e">
        <f ca="1">_xll.BDH($C$428,"WORKING_CAPITAL_SEQ_GROWTH","FY 2017","FY 2017","Currency=INR","Period=FY","BEST_FPERIOD_OVERRIDE=FY","FILING_STATUS=OR","EQY_CONSOLIDATED=Y","Sort=A","Dates=H","DateFormat=P","Fill=—","Direction=H","UseDPDF=Y")</f>
        <v>#NAME?</v>
      </c>
      <c r="BR443" s="2" t="e">
        <f ca="1">_xll.BDH($C$428,"ACCOUNTS_PAYABLE_SEQ_GROWTH","FY 2017","FY 2017","Currency=INR","Period=FY","BEST_FPERIOD_OVERRIDE=FY","FILING_STATUS=OR","EQY_CONSOLIDATED=Y","Sort=A","Dates=H","DateFormat=P","Fill=—","Direction=H","UseDPDF=Y")</f>
        <v>#NAME?</v>
      </c>
      <c r="BS443" s="2" t="e">
        <f ca="1">_xll.BDH($C$428,"ST_DEBT_SEQUENTIAL_GROWTH","FY 2017","FY 2017","Currency=INR","Period=FY","BEST_FPERIOD_OVERRIDE=FY","FILING_STATUS=OR","EQY_CONSOLIDATED=Y","Sort=A","Dates=H","DateFormat=P","Fill=—","Direction=H","UseDPDF=Y")</f>
        <v>#NAME?</v>
      </c>
      <c r="BT443" s="2" t="e">
        <f ca="1">_xll.BDH($C$428,"TOTAL_DEBT_SEQUENTIAL_GROWTH","FY 2017","FY 2017","Currency=INR","Period=FY","BEST_FPERIOD_OVERRIDE=FY","FILING_STATUS=OR","EQY_CONSOLIDATED=Y","Sort=A","Dates=H","DateFormat=P","Fill=—","Direction=H","UseDPDF=Y")</f>
        <v>#NAME?</v>
      </c>
      <c r="BU443" s="2" t="e">
        <f ca="1">_xll.BDH($C$428,"TOTAL_EQUITY_SEQUENTIAL_GROWTH","FY 2017","FY 2017","Currency=INR","Period=FY","BEST_FPERIOD_OVERRIDE=FY","FILING_STATUS=OR","EQY_CONSOLIDATED=Y","Sort=A","Dates=H","DateFormat=P","Fill=—","Direction=H","UseDPDF=Y")</f>
        <v>#NAME?</v>
      </c>
      <c r="BV443" s="2" t="e">
        <f ca="1">_xll.BDH($C$428,"TOTAL_CAPITAL_SEQUENTIAL_GROWTH","FY 2017","FY 2017","Currency=INR","Period=FY","BEST_FPERIOD_OVERRIDE=FY","FILING_STATUS=OR","EQY_CONSOLIDATED=Y","Sort=A","Dates=H","DateFormat=P","Fill=—","Direction=H","UseDPDF=Y")</f>
        <v>#NAME?</v>
      </c>
      <c r="BW443" s="2" t="e">
        <f ca="1">_xll.BDH($C$428,"BPS_SEQUENTIAL_GROWTH","FY 2017","FY 2017","Currency=INR","Period=FY","BEST_FPERIOD_OVERRIDE=FY","FILING_STATUS=OR","EQY_CONSOLIDATED=Y","Sort=A","Dates=H","DateFormat=P","Fill=—","Direction=H","UseDPDF=Y")</f>
        <v>#NAME?</v>
      </c>
      <c r="BX443" s="2" t="e">
        <f ca="1">_xll.BDH($C$428,"CFO_SEQUENTIAL_GROWTH","FY 2017","FY 2017","Currency=INR","Period=FY","BEST_FPERIOD_OVERRIDE=FY","FILING_STATUS=OR","EQY_CONSOLIDATED=Y","Sort=A","Dates=H","DateFormat=P","Fill=—","Direction=H","UseDPDF=Y")</f>
        <v>#NAME?</v>
      </c>
      <c r="BY443" s="3" t="e">
        <f ca="1">_xll.BDH($C$428,"SHORT_AND_LONG_TERM_DEBT","FY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443" s="3" t="e">
        <f ca="1">_xll.BDH($C$428,"BS_ST_BORROW","FY 2017","FY 2017","Currency=INR","Period=FY","BEST_FPERIOD_OVERRIDE=FY","FILING_STATUS=OR","EQY_CONSOLIDATED=Y","SCALING_FORMAT=MLN","Sort=A","Dates=H","DateFormat=P","Fill=—","Direction=H","UseDPDF=Y")</f>
        <v>#NAME?</v>
      </c>
      <c r="CA443" s="3" t="e">
        <f ca="1">_xll.BDH($C$428,"BS_LT_BORROW","FY 2017","FY 2017","Currency=INR","Period=FY","BEST_FPERIOD_OVERRIDE=FY","FILING_STATUS=OR","EQY_CONSOLIDATED=Y","SCALING_FORMAT=MLN","Sort=A","Dates=H","DateFormat=P","Fill=—","Direction=H","UseDPDF=Y")</f>
        <v>#NAME?</v>
      </c>
      <c r="CB443" s="2" t="e">
        <f ca="1">_xll.BDH($C$428,"TOT_DEBT_TO_EBITDA","FY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443" s="2" t="e">
        <f ca="1">_xll.BDH($C$428,"NET_DEBT_TO_EBITDA","FY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443" s="2" t="e">
        <f ca="1">_xll.BDH($C$428,"TOTAL_DEBT_TO_EBIT","FY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443" s="2" t="e">
        <f ca="1">_xll.BDH($C$428,"NET_DEBT_TO_EBIT","FY 2017","FY 2017","Currency=INR","Period=FY","BEST_FPERIOD_OVERRIDE=FY","FILING_STATUS=OR","EQY_CONSOLIDATED=Y","FA_ADJUSTED=GAAP","Sort=A","Dates=H","DateFormat=P","Fill=—","Direction=H","UseDPDF=Y")</f>
        <v>#NAME?</v>
      </c>
      <c r="CF443" s="2" t="e">
        <f ca="1">_xll.BDH($C$428,"EBITDA_TO_INTEREST_EXPN","FY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443" s="2" t="e">
        <f ca="1">_xll.BDH($C$428,"COM_EQY_TO_TOT_ASSET","FY 2017","FY 2017","Currency=INR","Period=FY","BEST_FPERIOD_OVERRIDE=FY","FILING_STATUS=OR","EQY_CONSOLIDATED=Y","Sort=A","Dates=H","DateFormat=P","Fill=—","Direction=H","UseDPDF=Y")</f>
        <v>#NAME?</v>
      </c>
      <c r="CH443" s="2" t="e">
        <f ca="1">_xll.BDH($C$428,"LT_DEBT_TO_TOT_EQY","FY 2017","FY 2017","Currency=INR","Period=FY","BEST_FPERIOD_OVERRIDE=FY","FILING_STATUS=OR","EQY_CONSOLIDATED=Y","Sort=A","Dates=H","DateFormat=P","Fill=—","Direction=H","UseDPDF=Y")</f>
        <v>#NAME?</v>
      </c>
      <c r="CI443" s="2" t="e">
        <f ca="1">_xll.BDH($C$428,"LT_DEBT_TO_TOT_CAP","FY 2017","FY 2017","Currency=INR","Period=FY","BEST_FPERIOD_OVERRIDE=FY","FILING_STATUS=OR","EQY_CONSOLIDATED=Y","Sort=A","Dates=H","DateFormat=P","Fill=—","Direction=H","UseDPDF=Y")</f>
        <v>#NAME?</v>
      </c>
      <c r="CJ443" s="2" t="e">
        <f ca="1">_xll.BDH($C$428,"LT_DEBT_TO_TOT_ASSET","FY 2017","FY 2017","Currency=INR","Period=FY","BEST_FPERIOD_OVERRIDE=FY","FILING_STATUS=OR","EQY_CONSOLIDATED=Y","Sort=A","Dates=H","DateFormat=P","Fill=—","Direction=H","UseDPDF=Y")</f>
        <v>#NAME?</v>
      </c>
      <c r="CK443" s="2" t="e">
        <f ca="1">_xll.BDH($C$428,"TOT_DEBT_TO_TOT_EQY","FY 2017","FY 2017","Currency=INR","Period=FY","BEST_FPERIOD_OVERRIDE=FY","FILING_STATUS=OR","EQY_CONSOLIDATED=Y","Sort=A","Dates=H","DateFormat=P","Fill=—","Direction=H","UseDPDF=Y")</f>
        <v>#NAME?</v>
      </c>
      <c r="CL443" s="2" t="e">
        <f ca="1">_xll.BDH($C$428,"TOT_DEBT_TO_TOT_CAP","FY 2017","FY 2017","Currency=INR","Period=FY","BEST_FPERIOD_OVERRIDE=FY","FILING_STATUS=OR","EQY_CONSOLIDATED=Y","Sort=A","Dates=H","DateFormat=P","Fill=—","Direction=H","UseDPDF=Y")</f>
        <v>#NAME?</v>
      </c>
      <c r="CM443" s="2" t="e">
        <f ca="1">_xll.BDH($C$428,"TOT_DEBT_TO_TOT_ASSET","FY 2017","FY 2017","Currency=INR","Period=FY","BEST_FPERIOD_OVERRIDE=FY","FILING_STATUS=OR","EQY_CONSOLIDATED=Y","Sort=A","Dates=H","DateFormat=P","Fill=—","Direction=H","UseDPDF=Y")</f>
        <v>#NAME?</v>
      </c>
      <c r="CN443" s="2" t="e">
        <f ca="1">_xll.BDH($C$428,"NET_DEBT_TO_SHRHLDR_EQTY","FY 2017","FY 2017","Currency=INR","Period=FY","BEST_FPERIOD_OVERRIDE=FY","FILING_STATUS=OR","EQY_CONSOLIDATED=Y","Sort=A","Dates=H","DateFormat=P","Fill=—","Direction=H","UseDPDF=Y")</f>
        <v>#NAME?</v>
      </c>
      <c r="CO443" s="2" t="e">
        <f ca="1">_xll.BDH($C$428,"NET_DEBT_%_CAPITAL","FY 2017","FY 2017","Currency=INR","Period=FY","BEST_FPERIOD_OVERRIDE=FY","FILING_STATUS=OR","EQY_CONSOLIDATED=Y","Sort=A","Dates=H","DateFormat=P","Fill=—","Direction=H","UseDPDF=Y")</f>
        <v>#NAME?</v>
      </c>
      <c r="CP443" s="3" t="e">
        <f ca="1">_xll.BDH($C$428,"EBITDA","FY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443" s="3" t="e">
        <f ca="1">_xll.BDH($C$428,"EBITDA_AFTER_CAPEX","FY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443" s="3" t="e">
        <f ca="1">_xll.BDH($C$428,"IS_OPER_INC","FY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443" s="2" t="e">
        <f ca="1">_xll.BDH($C$428,"CASH_RATIO","FY 2017","FY 2017","Currency=INR","Period=FY","BEST_FPERIOD_OVERRIDE=FY","FILING_STATUS=OR","EQY_CONSOLIDATED=Y","Sort=A","Dates=H","DateFormat=P","Fill=—","Direction=H","UseDPDF=Y")</f>
        <v>#NAME?</v>
      </c>
      <c r="CT443" s="2" t="e">
        <f ca="1">_xll.BDH($C$428,"CUR_RATIO","FY 2017","FY 2017","Currency=INR","Period=FY","BEST_FPERIOD_OVERRIDE=FY","FILING_STATUS=OR","EQY_CONSOLIDATED=Y","Sort=A","Dates=H","DateFormat=P","Fill=—","Direction=H","UseDPDF=Y")</f>
        <v>#NAME?</v>
      </c>
      <c r="CU443" s="2" t="e">
        <f ca="1">_xll.BDH($C$428,"QUICK_RATIO","FY 2017","FY 2017","Currency=INR","Period=FY","BEST_FPERIOD_OVERRIDE=FY","FILING_STATUS=OR","EQY_CONSOLIDATED=Y","Sort=A","Dates=H","DateFormat=P","Fill=—","Direction=H","UseDPDF=Y")</f>
        <v>#NAME?</v>
      </c>
      <c r="CV443" s="2" t="e">
        <f ca="1">_xll.BDH($C$428,"ALTMAN_Z_SCORE","FY 2017","FY 2017","Currency=INR","Period=FY","BEST_FPERIOD_OVERRIDE=FY","FILING_STATUS=OR","EQY_CONSOLIDATED=Y","Sort=A","Dates=H","DateFormat=P","Fill=—","Direction=H","UseDPDF=Y")</f>
        <v>#NAME?</v>
      </c>
      <c r="CW443" s="4" t="e">
        <f ca="1">_xll.BDH($C$428,"ACCT_RCV_TURN","FY 2017","FY 2017","Currency=INR","Period=FY","BEST_FPERIOD_OVERRIDE=FY","FILING_STATUS=OR","EQY_CONSOLIDATED=Y","FA_ADJUSTED=GAAP","Sort=A","Dates=H","DateFormat=P","Fill=—","Direction=H","UseDPDF=Y")</f>
        <v>#NAME?</v>
      </c>
      <c r="CX443" s="2" t="e">
        <f ca="1">_xll.BDH($C$428,"ACCT_RCV_DAYS","FY 2017","FY 2017","Currency=INR","Period=FY","BEST_FPERIOD_OVERRIDE=FY","FILING_STATUS=OR","EQY_CONSOLIDATED=Y","FA_ADJUSTED=GAAP","Sort=A","Dates=H","DateFormat=P","Fill=—","Direction=H","UseDPDF=Y")</f>
        <v>#NAME?</v>
      </c>
      <c r="CY443" s="4" t="e">
        <f ca="1">_xll.BDH($C$428,"INVENT_TURN","FY 2017","FY 2017","Currency=INR","Period=FY","BEST_FPERIOD_OVERRIDE=FY","FILING_STATUS=OR","EQY_CONSOLIDATED=Y","FA_ADJUSTED=GAAP","Sort=A","Dates=H","DateFormat=P","Fill=—","Direction=H","UseDPDF=Y")</f>
        <v>#NAME?</v>
      </c>
      <c r="CZ443" s="2" t="e">
        <f ca="1">_xll.BDH($C$428,"INVENT_DAYS","FY 2017","FY 2017","Currency=INR","Period=FY","BEST_FPERIOD_OVERRIDE=FY","FILING_STATUS=OR","EQY_CONSOLIDATED=Y","FA_ADJUSTED=GAAP","Sort=A","Dates=H","DateFormat=P","Fill=—","Direction=H","UseDPDF=Y")</f>
        <v>#NAME?</v>
      </c>
      <c r="DA443" s="4" t="e">
        <f ca="1">_xll.BDH($C$428,"ACCOUNTS_PAYABLE_TURNOVER","FY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443" s="2" t="e">
        <f ca="1">_xll.BDH($C$428,"ACCOUNTS_PAYABLE_TURNOVER_DAYS","FY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443" s="4" t="e">
        <f ca="1">_xll.BDH($C$428,"CASH_CONVERSION_CYCLE","FY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443" s="4" t="e">
        <f ca="1">_xll.BDH($C$428,"INV_TO_CASH_DAYS","FY 2017","FY 2017","Currency=INR","Period=FY","BEST_FPERIOD_OVERRIDE=FY","FILING_STATUS=OR","EQY_CONSOLIDATED=Y","FA_ADJUSTED=GAAP","Sort=A","Dates=H","DateFormat=P","Fill=—","Direction=H","UseDPDF=Y")</f>
        <v>#NAME?</v>
      </c>
      <c r="DE443" s="5" t="e">
        <f ca="1">_xll.BDH($C$428,"BS_INVENTORIES","FY 2017","FY 2017","Currency=INR","Period=FY","BEST_FPERIOD_OVERRIDE=FY","FILING_STATUS=OR","EQY_CONSOLIDATED=Y","SCALING_FORMAT=MLN","Sort=A","Dates=H","DateFormat=P","Fill=—","Direction=H","UseDPDF=Y")</f>
        <v>#NAME?</v>
      </c>
      <c r="DF443" s="3" t="e">
        <f ca="1">_xll.BDH($C$428,"INVTRY_RAW_MATERIALS","FY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443" s="3" t="e">
        <f ca="1">_xll.BDH($C$428,"INVTRY_IN_PROGRESS","FY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443" s="3" t="e">
        <f ca="1">_xll.BDH($C$428,"INVTRY_FINISHED_GOODS","FY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443" s="3" t="e">
        <f ca="1">_xll.BDH($C$428,"BS_OTHER_INV","FY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444" spans="1:113" x14ac:dyDescent="0.3">
      <c r="A444" s="6"/>
      <c r="B444" s="6"/>
      <c r="C444" s="6"/>
      <c r="D444" s="6"/>
      <c r="E444" t="s">
        <v>78</v>
      </c>
      <c r="F444" t="e">
        <f ca="1">_xll.BDH($C$428,"RETURN_COM_EQY","FQ1 2017","FQ1 2017","Currency=INR","Period=FQ","BEST_FPERIOD_OVERRIDE=FQ","FILING_STATUS=OR","EQY_CONSOLIDATED=Y","FA_ADJUSTED=GAAP","Sort=A","Dates=H","DateFormat=P","Fill=—","Direction=H","UseDPDF=Y")</f>
        <v>#NAME?</v>
      </c>
      <c r="G444" t="e">
        <f ca="1">_xll.BDH($C$428,"RETURN_ON_ASSET","FQ1 2017","FQ1 2017","Currency=INR","Period=FQ","BEST_FPERIOD_OVERRIDE=FQ","FILING_STATUS=OR","EQY_CONSOLIDATED=Y","FA_ADJUSTED=GAAP","Sort=A","Dates=H","DateFormat=P","Fill=—","Direction=H","UseDPDF=Y")</f>
        <v>#NAME?</v>
      </c>
      <c r="H444" t="e">
        <f ca="1">_xll.BDH($C$428,"RETURN_ON_CAP","FQ1 2017","FQ1 2017","Currency=INR","Period=FQ","BEST_FPERIOD_OVERRIDE=FQ","FILING_STATUS=OR","EQY_CONSOLIDATED=Y","FA_ADJUSTED=GAAP","Sort=A","Dates=H","DateFormat=P","Fill=—","Direction=H","UseDPDF=Y")</f>
        <v>#NAME?</v>
      </c>
      <c r="I444" t="e">
        <f ca="1">_xll.BDH($C$428,"RETURN_ON_INV_CAPITAL","FQ1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444" t="e">
        <f ca="1">_xll.BDH($C$428,"EBITDA_TO_REVENUE","FQ1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444" t="e">
        <f ca="1">_xll.BDH($C$428,"OPER_MARGIN","FQ1 2017","FQ1 2017","Currency=INR","Period=FQ","BEST_FPERIOD_OVERRIDE=FQ","FILING_STATUS=OR","EQY_CONSOLIDATED=Y","FA_ADJUSTED=GAAP","Sort=A","Dates=H","DateFormat=P","Fill=—","Direction=H","UseDPDF=Y")</f>
        <v>#NAME?</v>
      </c>
      <c r="L444" t="e">
        <f ca="1">_xll.BDH($C$428,"INCREMENTAL_OPERATING_MARGIN","FQ1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444" t="e">
        <f ca="1">_xll.BDH($C$428,"PRETAX_INC_TO_NET_SALES","FQ1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444" t="e">
        <f ca="1">_xll.BDH($C$428,"INC_BEF_XO_ITEMS_TO_NET_SALES","FQ1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444" t="e">
        <f ca="1">_xll.BDH($C$428,"PROF_MARGIN","FQ1 2017","FQ1 2017","Currency=INR","Period=FQ","BEST_FPERIOD_OVERRIDE=FQ","FILING_STATUS=OR","EQY_CONSOLIDATED=Y","FA_ADJUSTED=GAAP","Sort=A","Dates=H","DateFormat=P","Fill=—","Direction=H","UseDPDF=Y")</f>
        <v>#NAME?</v>
      </c>
      <c r="P444" t="e">
        <f ca="1">_xll.BDH($C$428,"NET_INCOME_TO_COMMON_MARGIN","FQ1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444" t="e">
        <f ca="1">_xll.BDH($C$428,"EFF_TAX_RATE","FQ1 2017","FQ1 2017","Currency=INR","Period=FQ","BEST_FPERIOD_OVERRIDE=FQ","FILING_STATUS=OR","EQY_CONSOLIDATED=Y","FA_ADJUSTED=GAAP","Sort=A","Dates=H","DateFormat=P","Fill=—","Direction=H","UseDPDF=Y")</f>
        <v>#NAME?</v>
      </c>
      <c r="R444" t="e">
        <f ca="1">_xll.BDH($C$428,"DVD_PAYOUT_RATIO","FQ1 2017","FQ1 2017","Currency=INR","Period=FQ","BEST_FPERIOD_OVERRIDE=FQ","FILING_STATUS=OR","EQY_CONSOLIDATED=Y","FA_ADJUSTED=GAAP","Sort=A","Dates=H","DateFormat=P","Fill=—","Direction=H","UseDPDF=Y")</f>
        <v>#NAME?</v>
      </c>
      <c r="S444" t="e">
        <f ca="1">_xll.BDH($C$428,"SUSTAIN_GROWTH_RT","FQ1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444" s="2" t="e">
        <f ca="1">_xll.BDH($C$428,"SALES_GROWTH","FQ1 2017","FQ1 2017","Currency=INR","Period=FQ","BEST_FPERIOD_OVERRIDE=FQ","FILING_STATUS=OR","EQY_CONSOLIDATED=Y","FA_ADJUSTED=GAAP","Sort=A","Dates=H","DateFormat=P","Fill=—","Direction=H","UseDPDF=Y")</f>
        <v>#NAME?</v>
      </c>
      <c r="U444" s="2" t="e">
        <f ca="1">_xll.BDH($C$428,"EBITDA_GROWTH","FQ1 2017","FQ1 2017","Currency=INR","Period=FQ","BEST_FPERIOD_OVERRIDE=FQ","FILING_STATUS=OR","EQY_CONSOLIDATED=Y","FA_ADJUSTED=GAAP","Sort=A","Dates=H","DateFormat=P","Fill=—","Direction=H","UseDPDF=Y")</f>
        <v>#NAME?</v>
      </c>
      <c r="V444" s="2" t="e">
        <f ca="1">_xll.BDH($C$428,"OPER_INC_GROWTH","FQ1 2017","FQ1 2017","Currency=INR","Period=FQ","BEST_FPERIOD_OVERRIDE=FQ","FILING_STATUS=OR","EQY_CONSOLIDATED=Y","FA_ADJUSTED=GAAP","Sort=A","Dates=H","DateFormat=P","Fill=—","Direction=H","UseDPDF=Y")</f>
        <v>#NAME?</v>
      </c>
      <c r="W444" s="2" t="e">
        <f ca="1">_xll.BDH($C$428,"EARN_FOR_COM_GROWTH","FQ1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444" s="2" t="e">
        <f ca="1">_xll.BDH($C$428,"DILUTED_EPS_AFT_XO_ITEMS_GROWTH","FQ1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444" s="2" t="e">
        <f ca="1">_xll.BDH($C$428,"DIVIDEND_PER_SHARE_1_YEAR_GROWTH","FQ1 2017","FQ1 2017","Currency=INR","Period=FQ","BEST_FPERIOD_OVERRIDE=FQ","FILING_STATUS=OR","EQY_CONSOLIDATED=Y","Sort=A","Dates=H","DateFormat=P","Fill=—","Direction=H","UseDPDF=Y")</f>
        <v>#NAME?</v>
      </c>
      <c r="Z444" s="2" t="e">
        <f ca="1">_xll.BDH($C$428,"ACCOUNTS_RECEIVABLE_GROWTH","FQ1 2017","FQ1 2017","Currency=INR","Period=FQ","BEST_FPERIOD_OVERRIDE=FQ","FILING_STATUS=OR","EQY_CONSOLIDATED=Y","Sort=A","Dates=H","DateFormat=P","Fill=—","Direction=H","UseDPDF=Y")</f>
        <v>#NAME?</v>
      </c>
      <c r="AA444" s="2" t="e">
        <f ca="1">_xll.BDH($C$428,"INVENTORY_GROWTH","FQ1 2017","FQ1 2017","Currency=INR","Period=FQ","BEST_FPERIOD_OVERRIDE=FQ","FILING_STATUS=OR","EQY_CONSOLIDATED=Y","Sort=A","Dates=H","DateFormat=P","Fill=—","Direction=H","UseDPDF=Y")</f>
        <v>#NAME?</v>
      </c>
      <c r="AB444" s="2" t="e">
        <f ca="1">_xll.BDH($C$428,"NET_FIXED_ASSETS_1_YEAR_GROWTH","FQ1 2017","FQ1 2017","Currency=INR","Period=FQ","BEST_FPERIOD_OVERRIDE=FQ","FILING_STATUS=OR","EQY_CONSOLIDATED=Y","Sort=A","Dates=H","DateFormat=P","Fill=—","Direction=H","UseDPDF=Y")</f>
        <v>#NAME?</v>
      </c>
      <c r="AC444" s="2" t="e">
        <f ca="1">_xll.BDH($C$428,"ASSET_GROWTH","FQ1 2017","FQ1 2017","Currency=INR","Period=FQ","BEST_FPERIOD_OVERRIDE=FQ","FILING_STATUS=OR","EQY_CONSOLIDATED=Y","Sort=A","Dates=H","DateFormat=P","Fill=—","Direction=H","UseDPDF=Y")</f>
        <v>#NAME?</v>
      </c>
      <c r="AD444" s="2" t="e">
        <f ca="1">_xll.BDH($C$428,"MODIFIED_WORK_CAP_GROWTH","FQ1 2017","FQ1 2017","Currency=INR","Period=FQ","BEST_FPERIOD_OVERRIDE=FQ","FILING_STATUS=OR","EQY_CONSOLIDATED=Y","Sort=A","Dates=H","DateFormat=P","Fill=—","Direction=H","UseDPDF=Y")</f>
        <v>#NAME?</v>
      </c>
      <c r="AE444" s="2" t="e">
        <f ca="1">_xll.BDH($C$428,"WORK_CAP_GROWTH","FQ1 2017","FQ1 2017","Currency=INR","Period=FQ","BEST_FPERIOD_OVERRIDE=FQ","FILING_STATUS=OR","EQY_CONSOLIDATED=Y","Sort=A","Dates=H","DateFormat=P","Fill=—","Direction=H","UseDPDF=Y")</f>
        <v>#NAME?</v>
      </c>
      <c r="AF444" s="2" t="e">
        <f ca="1">_xll.BDH($C$428,"ACCOUNTS_PAYABLE_GROWTH_1YR","FQ1 2017","FQ1 2017","Currency=INR","Period=FQ","BEST_FPERIOD_OVERRIDE=FQ","FILING_STATUS=OR","EQY_CONSOLIDATED=Y","Sort=A","Dates=H","DateFormat=P","Fill=—","Direction=H","UseDPDF=Y")</f>
        <v>#NAME?</v>
      </c>
      <c r="AG444" s="2" t="e">
        <f ca="1">_xll.BDH($C$428,"SHORT_TERM_DEBT_1_YEAR_GROWTH","FQ1 2017","FQ1 2017","Currency=INR","Period=FQ","BEST_FPERIOD_OVERRIDE=FQ","FILING_STATUS=OR","EQY_CONSOLIDATED=Y","Sort=A","Dates=H","DateFormat=P","Fill=—","Direction=H","UseDPDF=Y")</f>
        <v>#NAME?</v>
      </c>
      <c r="AH444" s="2" t="e">
        <f ca="1">_xll.BDH($C$428,"TOTAL_DEBT_1_YEAR_GROWTH","FQ1 2017","FQ1 2017","Currency=INR","Period=FQ","BEST_FPERIOD_OVERRIDE=FQ","FILING_STATUS=OR","EQY_CONSOLIDATED=Y","Sort=A","Dates=H","DateFormat=P","Fill=—","Direction=H","UseDPDF=Y")</f>
        <v>#NAME?</v>
      </c>
      <c r="AI444" s="2" t="e">
        <f ca="1">_xll.BDH($C$428,"TOTAL_EQUITY_1_YEAR_GROWTH","FQ1 2017","FQ1 2017","Currency=INR","Period=FQ","BEST_FPERIOD_OVERRIDE=FQ","FILING_STATUS=OR","EQY_CONSOLIDATED=Y","Sort=A","Dates=H","DateFormat=P","Fill=—","Direction=H","UseDPDF=Y")</f>
        <v>#NAME?</v>
      </c>
      <c r="AJ444" s="2" t="e">
        <f ca="1">_xll.BDH($C$428,"GROWTH_IN_CAP","FQ1 2017","FQ1 2017","Currency=INR","Period=FQ","BEST_FPERIOD_OVERRIDE=FQ","FILING_STATUS=OR","EQY_CONSOLIDATED=Y","Sort=A","Dates=H","DateFormat=P","Fill=—","Direction=H","UseDPDF=Y")</f>
        <v>#NAME?</v>
      </c>
      <c r="AK444" s="2" t="e">
        <f ca="1">_xll.BDH($C$428,"BVPS_GROWTH","FQ1 2017","FQ1 2017","Currency=INR","Period=FQ","BEST_FPERIOD_OVERRIDE=FQ","FILING_STATUS=OR","EQY_CONSOLIDATED=Y","Sort=A","Dates=H","DateFormat=P","Fill=—","Direction=H","UseDPDF=Y")</f>
        <v>#NAME?</v>
      </c>
      <c r="AL444" s="2" t="e">
        <f ca="1">_xll.BDH($C$428,"CASH_FLOW_GROWTH","FQ1 2017","FQ1 2017","Currency=INR","Period=FQ","BEST_FPERIOD_OVERRIDE=FQ","FILING_STATUS=OR","EQY_CONSOLIDATED=Y","Sort=A","Dates=H","DateFormat=P","Fill=—","Direction=H","UseDPDF=Y")</f>
        <v>#NAME?</v>
      </c>
      <c r="AM444" s="2" t="e">
        <f ca="1">_xll.BDH($C$428,"GEO_GROW_NET_SALES","FQ1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444" s="2" t="e">
        <f ca="1">_xll.BDH($C$428,"GEO_GROW_EBITDA","FQ1 2017","FQ1 2017","Currency=INR","Period=FQ","BEST_FPERIOD_OVERRIDE=FQ","FILING_STATUS=OR","EQY_CONSOLIDATED=Y","FA_ADJUSTED=GAAP","Sort=A","Dates=H","DateFormat=P","Fill=—","Direction=H","UseDPDF=Y")</f>
        <v>#NAME?</v>
      </c>
      <c r="AO444" s="2" t="e">
        <f ca="1">_xll.BDH($C$428,"GEO_GROW_OPER_INC","FQ1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444" s="2" t="e">
        <f ca="1">_xll.BDH($C$428,"NET_INCOME_TO_COMMON_5_YR_GROWTH","FQ1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444" s="2" t="e">
        <f ca="1">_xll.BDH($C$428,"5Y_GEO_GROWTH_DILUTED_EPS","FQ1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444" s="2" t="e">
        <f ca="1">_xll.BDH($C$428,"GEO_GROW_DVD_PER_SH","FQ1 2017","FQ1 2017","Currency=INR","Period=FQ","BEST_FPERIOD_OVERRIDE=FQ","FILING_STATUS=OR","EQY_CONSOLIDATED=Y","Sort=A","Dates=H","DateFormat=P","Fill=—","Direction=H","UseDPDF=Y")</f>
        <v>#NAME?</v>
      </c>
      <c r="AS444" s="2" t="e">
        <f ca="1">_xll.BDH($C$428,"ACCOUNTS_RECEIVABLE_5_YR_GROWTH","FQ1 2017","FQ1 2017","Currency=INR","Period=FQ","BEST_FPERIOD_OVERRIDE=FQ","FILING_STATUS=OR","EQY_CONSOLIDATED=Y","Sort=A","Dates=H","DateFormat=P","Fill=—","Direction=H","UseDPDF=Y")</f>
        <v>#NAME?</v>
      </c>
      <c r="AT444" s="2" t="e">
        <f ca="1">_xll.BDH($C$428,"INVENTORY_5_YEAR_GROWTH","FQ1 2017","FQ1 2017","Currency=INR","Period=FQ","BEST_FPERIOD_OVERRIDE=FQ","FILING_STATUS=OR","EQY_CONSOLIDATED=Y","Sort=A","Dates=H","DateFormat=P","Fill=—","Direction=H","UseDPDF=Y")</f>
        <v>#NAME?</v>
      </c>
      <c r="AU444" s="2" t="e">
        <f ca="1">_xll.BDH($C$428,"NET_FIXED_ASSETS_5_YEAR_GROWTH","FQ1 2017","FQ1 2017","Currency=INR","Period=FQ","BEST_FPERIOD_OVERRIDE=FQ","FILING_STATUS=OR","EQY_CONSOLIDATED=Y","Sort=A","Dates=H","DateFormat=P","Fill=—","Direction=H","UseDPDF=Y")</f>
        <v>#NAME?</v>
      </c>
      <c r="AV444" s="2" t="e">
        <f ca="1">_xll.BDH($C$428,"GEO_GROW_TOT_ASSET","FQ1 2017","FQ1 2017","Currency=INR","Period=FQ","BEST_FPERIOD_OVERRIDE=FQ","FILING_STATUS=OR","EQY_CONSOLIDATED=Y","Sort=A","Dates=H","DateFormat=P","Fill=—","Direction=H","UseDPDF=Y")</f>
        <v>#NAME?</v>
      </c>
      <c r="AW444" s="2" t="e">
        <f ca="1">_xll.BDH($C$428,"MODIFIED_WORKING_CPTL_5YR_GRWTH","FQ1 2017","FQ1 2017","Currency=INR","Period=FQ","BEST_FPERIOD_OVERRIDE=FQ","FILING_STATUS=OR","EQY_CONSOLIDATED=Y","Sort=A","Dates=H","DateFormat=P","Fill=—","Direction=H","UseDPDF=Y")</f>
        <v>#NAME?</v>
      </c>
      <c r="AX444" s="2" t="e">
        <f ca="1">_xll.BDH($C$428,"WORKING_CAPITAL_5_YEAR_GROWTH","FQ1 2017","FQ1 2017","Currency=INR","Period=FQ","BEST_FPERIOD_OVERRIDE=FQ","FILING_STATUS=OR","EQY_CONSOLIDATED=Y","Sort=A","Dates=H","DateFormat=P","Fill=—","Direction=H","UseDPDF=Y")</f>
        <v>#NAME?</v>
      </c>
      <c r="AY444" s="2" t="e">
        <f ca="1">_xll.BDH($C$428,"ACCOUNTS_PAYABLE_5_YEAR_GROWTH","FQ1 2017","FQ1 2017","Currency=INR","Period=FQ","BEST_FPERIOD_OVERRIDE=FQ","FILING_STATUS=OR","EQY_CONSOLIDATED=Y","Sort=A","Dates=H","DateFormat=P","Fill=—","Direction=H","UseDPDF=Y")</f>
        <v>#NAME?</v>
      </c>
      <c r="AZ444" s="2" t="e">
        <f ca="1">_xll.BDH($C$428,"SHORT_TERM_DEBT_5_YEAR_GROWTH","FQ1 2017","FQ1 2017","Currency=INR","Period=FQ","BEST_FPERIOD_OVERRIDE=FQ","FILING_STATUS=OR","EQY_CONSOLIDATED=Y","Sort=A","Dates=H","DateFormat=P","Fill=—","Direction=H","UseDPDF=Y")</f>
        <v>#NAME?</v>
      </c>
      <c r="BA444" s="2" t="e">
        <f ca="1">_xll.BDH($C$428,"TOTAL_DEBT_5_YEAR_GROWTH","FQ1 2017","FQ1 2017","Currency=INR","Period=FQ","BEST_FPERIOD_OVERRIDE=FQ","FILING_STATUS=OR","EQY_CONSOLIDATED=Y","Sort=A","Dates=H","DateFormat=P","Fill=—","Direction=H","UseDPDF=Y")</f>
        <v>#NAME?</v>
      </c>
      <c r="BB444" s="2" t="e">
        <f ca="1">_xll.BDH($C$428,"GEO_GROW_TOT_SHRHLDR_EQY","FQ1 2017","FQ1 2017","Currency=INR","Period=FQ","BEST_FPERIOD_OVERRIDE=FQ","FILING_STATUS=OR","EQY_CONSOLIDATED=Y","Sort=A","Dates=H","DateFormat=P","Fill=—","Direction=H","UseDPDF=Y")</f>
        <v>#NAME?</v>
      </c>
      <c r="BC444" s="2" t="e">
        <f ca="1">_xll.BDH($C$428,"TOTAL_CAPITAL_5_YEAR_GROWTH","FQ1 2017","FQ1 2017","Currency=INR","Period=FQ","BEST_FPERIOD_OVERRIDE=FQ","FILING_STATUS=OR","EQY_CONSOLIDATED=Y","Sort=A","Dates=H","DateFormat=P","Fill=—","Direction=H","UseDPDF=Y")</f>
        <v>#NAME?</v>
      </c>
      <c r="BD444" s="2" t="e">
        <f ca="1">_xll.BDH($C$428,"GEO_GROW_BOOK_VAL","FQ1 2017","FQ1 2017","Currency=INR","Period=FQ","BEST_FPERIOD_OVERRIDE=FQ","FILING_STATUS=OR","EQY_CONSOLIDATED=Y","Sort=A","Dates=H","DateFormat=P","Fill=—","Direction=H","UseDPDF=Y")</f>
        <v>#NAME?</v>
      </c>
      <c r="BE444" s="2" t="e">
        <f ca="1">_xll.BDH($C$428,"GEO_GROW_CASH_OPER_ACT","FQ1 2017","FQ1 2017","Currency=INR","Period=FQ","BEST_FPERIOD_OVERRIDE=FQ","FILING_STATUS=OR","EQY_CONSOLIDATED=Y","Sort=A","Dates=H","DateFormat=P","Fill=—","Direction=H","UseDPDF=Y")</f>
        <v>#NAME?</v>
      </c>
      <c r="BF444" s="2" t="e">
        <f ca="1">_xll.BDH($C$428,"REVENUE_SEQUENTIAL_GROWTH","FQ1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444" s="2" t="e">
        <f ca="1">_xll.BDH($C$428,"EBITDA_SEQUENTIAL_GROWTH","FQ1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444" s="2" t="e">
        <f ca="1">_xll.BDH($C$428,"OPERATING_INCOME_SEQ_GROWTH","FQ1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444" s="2" t="e">
        <f ca="1">_xll.BDH($C$428,"NET_INCOME_TO_COMMON_SEQ_GROWTH","FQ1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444" s="2" t="e">
        <f ca="1">_xll.BDH($C$428,"EPS_DILUTED_SEQUENTIAL_GROWTH","FQ1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444" s="2" t="e">
        <f ca="1">_xll.BDH($C$428,"DPS_SEQUENTIAL_GROWTH","FQ1 2017","FQ1 2017","Currency=INR","Period=FQ","BEST_FPERIOD_OVERRIDE=FQ","FILING_STATUS=OR","EQY_CONSOLIDATED=Y","Sort=A","Dates=H","DateFormat=P","Fill=—","Direction=H","UseDPDF=Y")</f>
        <v>#NAME?</v>
      </c>
      <c r="BL444" s="2" t="e">
        <f ca="1">_xll.BDH($C$428,"ACCOUNTS_RECEIVABLE_SEQ_GROWTH","FQ1 2017","FQ1 2017","Currency=INR","Period=FQ","BEST_FPERIOD_OVERRIDE=FQ","FILING_STATUS=OR","EQY_CONSOLIDATED=Y","Sort=A","Dates=H","DateFormat=P","Fill=—","Direction=H","UseDPDF=Y")</f>
        <v>#NAME?</v>
      </c>
      <c r="BM444" s="2" t="e">
        <f ca="1">_xll.BDH($C$428,"INVENTORY_SEQUENTIAL_GROWTH","FQ1 2017","FQ1 2017","Currency=INR","Period=FQ","BEST_FPERIOD_OVERRIDE=FQ","FILING_STATUS=OR","EQY_CONSOLIDATED=Y","Sort=A","Dates=H","DateFormat=P","Fill=—","Direction=H","UseDPDF=Y")</f>
        <v>#NAME?</v>
      </c>
      <c r="BN444" s="2" t="e">
        <f ca="1">_xll.BDH($C$428,"FIXED_ASSETS_SEQUENTIAL_GROWTH","FQ1 2017","FQ1 2017","Currency=INR","Period=FQ","BEST_FPERIOD_OVERRIDE=FQ","FILING_STATUS=OR","EQY_CONSOLIDATED=Y","Sort=A","Dates=H","DateFormat=P","Fill=—","Direction=H","UseDPDF=Y")</f>
        <v>#NAME?</v>
      </c>
      <c r="BO444" s="2" t="e">
        <f ca="1">_xll.BDH($C$428,"TOTAL_ASSETS_SEQUENTIAL_GROWTH","FQ1 2017","FQ1 2017","Currency=INR","Period=FQ","BEST_FPERIOD_OVERRIDE=FQ","FILING_STATUS=OR","EQY_CONSOLIDATED=Y","Sort=A","Dates=H","DateFormat=P","Fill=—","Direction=H","UseDPDF=Y")</f>
        <v>#NAME?</v>
      </c>
      <c r="BP444" s="2" t="e">
        <f ca="1">_xll.BDH($C$428,"MODIFIED_WORKING_CPTL_SEQ_GRWTH","FQ1 2017","FQ1 2017","Currency=INR","Period=FQ","BEST_FPERIOD_OVERRIDE=FQ","FILING_STATUS=OR","EQY_CONSOLIDATED=Y","Sort=A","Dates=H","DateFormat=P","Fill=—","Direction=H","UseDPDF=Y")</f>
        <v>#NAME?</v>
      </c>
      <c r="BQ444" s="2" t="e">
        <f ca="1">_xll.BDH($C$428,"WORKING_CAPITAL_SEQ_GROWTH","FQ1 2017","FQ1 2017","Currency=INR","Period=FQ","BEST_FPERIOD_OVERRIDE=FQ","FILING_STATUS=OR","EQY_CONSOLIDATED=Y","Sort=A","Dates=H","DateFormat=P","Fill=—","Direction=H","UseDPDF=Y")</f>
        <v>#NAME?</v>
      </c>
      <c r="BR444" s="2" t="e">
        <f ca="1">_xll.BDH($C$428,"ACCOUNTS_PAYABLE_SEQ_GROWTH","FQ1 2017","FQ1 2017","Currency=INR","Period=FQ","BEST_FPERIOD_OVERRIDE=FQ","FILING_STATUS=OR","EQY_CONSOLIDATED=Y","Sort=A","Dates=H","DateFormat=P","Fill=—","Direction=H","UseDPDF=Y")</f>
        <v>#NAME?</v>
      </c>
      <c r="BS444" s="2" t="e">
        <f ca="1">_xll.BDH($C$428,"ST_DEBT_SEQUENTIAL_GROWTH","FQ1 2017","FQ1 2017","Currency=INR","Period=FQ","BEST_FPERIOD_OVERRIDE=FQ","FILING_STATUS=OR","EQY_CONSOLIDATED=Y","Sort=A","Dates=H","DateFormat=P","Fill=—","Direction=H","UseDPDF=Y")</f>
        <v>#NAME?</v>
      </c>
      <c r="BT444" s="2" t="e">
        <f ca="1">_xll.BDH($C$428,"TOTAL_DEBT_SEQUENTIAL_GROWTH","FQ1 2017","FQ1 2017","Currency=INR","Period=FQ","BEST_FPERIOD_OVERRIDE=FQ","FILING_STATUS=OR","EQY_CONSOLIDATED=Y","Sort=A","Dates=H","DateFormat=P","Fill=—","Direction=H","UseDPDF=Y")</f>
        <v>#NAME?</v>
      </c>
      <c r="BU444" s="2" t="e">
        <f ca="1">_xll.BDH($C$428,"TOTAL_EQUITY_SEQUENTIAL_GROWTH","FQ1 2017","FQ1 2017","Currency=INR","Period=FQ","BEST_FPERIOD_OVERRIDE=FQ","FILING_STATUS=OR","EQY_CONSOLIDATED=Y","Sort=A","Dates=H","DateFormat=P","Fill=—","Direction=H","UseDPDF=Y")</f>
        <v>#NAME?</v>
      </c>
      <c r="BV444" s="2" t="e">
        <f ca="1">_xll.BDH($C$428,"TOTAL_CAPITAL_SEQUENTIAL_GROWTH","FQ1 2017","FQ1 2017","Currency=INR","Period=FQ","BEST_FPERIOD_OVERRIDE=FQ","FILING_STATUS=OR","EQY_CONSOLIDATED=Y","Sort=A","Dates=H","DateFormat=P","Fill=—","Direction=H","UseDPDF=Y")</f>
        <v>#NAME?</v>
      </c>
      <c r="BW444" s="2" t="e">
        <f ca="1">_xll.BDH($C$428,"BPS_SEQUENTIAL_GROWTH","FQ1 2017","FQ1 2017","Currency=INR","Period=FQ","BEST_FPERIOD_OVERRIDE=FQ","FILING_STATUS=OR","EQY_CONSOLIDATED=Y","Sort=A","Dates=H","DateFormat=P","Fill=—","Direction=H","UseDPDF=Y")</f>
        <v>#NAME?</v>
      </c>
      <c r="BX444" s="2" t="e">
        <f ca="1">_xll.BDH($C$428,"CFO_SEQUENTIAL_GROWTH","FQ1 2017","FQ1 2017","Currency=INR","Period=FQ","BEST_FPERIOD_OVERRIDE=FQ","FILING_STATUS=OR","EQY_CONSOLIDATED=Y","Sort=A","Dates=H","DateFormat=P","Fill=—","Direction=H","UseDPDF=Y")</f>
        <v>#NAME?</v>
      </c>
      <c r="BY444" s="3" t="e">
        <f ca="1">_xll.BDH($C$428,"SHORT_AND_LONG_TERM_DEBT","FQ1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444" s="3" t="e">
        <f ca="1">_xll.BDH($C$428,"BS_ST_BORROW","FQ1 2017","FQ1 2017","Currency=INR","Period=FQ","BEST_FPERIOD_OVERRIDE=FQ","FILING_STATUS=OR","EQY_CONSOLIDATED=Y","SCALING_FORMAT=MLN","Sort=A","Dates=H","DateFormat=P","Fill=—","Direction=H","UseDPDF=Y")</f>
        <v>#NAME?</v>
      </c>
      <c r="CA444" s="3" t="e">
        <f ca="1">_xll.BDH($C$428,"BS_LT_BORROW","FQ1 2017","FQ1 2017","Currency=INR","Period=FQ","BEST_FPERIOD_OVERRIDE=FQ","FILING_STATUS=OR","EQY_CONSOLIDATED=Y","SCALING_FORMAT=MLN","Sort=A","Dates=H","DateFormat=P","Fill=—","Direction=H","UseDPDF=Y")</f>
        <v>#NAME?</v>
      </c>
      <c r="CB444" s="2" t="e">
        <f ca="1">_xll.BDH($C$428,"TOT_DEBT_TO_EBITDA","FQ1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444" s="2" t="e">
        <f ca="1">_xll.BDH($C$428,"NET_DEBT_TO_EBITDA","FQ1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444" s="2" t="e">
        <f ca="1">_xll.BDH($C$428,"TOTAL_DEBT_TO_EBIT","FQ1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444" s="2" t="e">
        <f ca="1">_xll.BDH($C$428,"NET_DEBT_TO_EBIT","FQ1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444" s="2" t="e">
        <f ca="1">_xll.BDH($C$428,"EBITDA_TO_INTEREST_EXPN","FQ1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444" s="2" t="e">
        <f ca="1">_xll.BDH($C$428,"COM_EQY_TO_TOT_ASSET","FQ1 2017","FQ1 2017","Currency=INR","Period=FQ","BEST_FPERIOD_OVERRIDE=FQ","FILING_STATUS=OR","EQY_CONSOLIDATED=Y","Sort=A","Dates=H","DateFormat=P","Fill=—","Direction=H","UseDPDF=Y")</f>
        <v>#NAME?</v>
      </c>
      <c r="CH444" s="2" t="e">
        <f ca="1">_xll.BDH($C$428,"LT_DEBT_TO_TOT_EQY","FQ1 2017","FQ1 2017","Currency=INR","Period=FQ","BEST_FPERIOD_OVERRIDE=FQ","FILING_STATUS=OR","EQY_CONSOLIDATED=Y","Sort=A","Dates=H","DateFormat=P","Fill=—","Direction=H","UseDPDF=Y")</f>
        <v>#NAME?</v>
      </c>
      <c r="CI444" s="2" t="e">
        <f ca="1">_xll.BDH($C$428,"LT_DEBT_TO_TOT_CAP","FQ1 2017","FQ1 2017","Currency=INR","Period=FQ","BEST_FPERIOD_OVERRIDE=FQ","FILING_STATUS=OR","EQY_CONSOLIDATED=Y","Sort=A","Dates=H","DateFormat=P","Fill=—","Direction=H","UseDPDF=Y")</f>
        <v>#NAME?</v>
      </c>
      <c r="CJ444" s="2" t="e">
        <f ca="1">_xll.BDH($C$428,"LT_DEBT_TO_TOT_ASSET","FQ1 2017","FQ1 2017","Currency=INR","Period=FQ","BEST_FPERIOD_OVERRIDE=FQ","FILING_STATUS=OR","EQY_CONSOLIDATED=Y","Sort=A","Dates=H","DateFormat=P","Fill=—","Direction=H","UseDPDF=Y")</f>
        <v>#NAME?</v>
      </c>
      <c r="CK444" s="2" t="e">
        <f ca="1">_xll.BDH($C$428,"TOT_DEBT_TO_TOT_EQY","FQ1 2017","FQ1 2017","Currency=INR","Period=FQ","BEST_FPERIOD_OVERRIDE=FQ","FILING_STATUS=OR","EQY_CONSOLIDATED=Y","Sort=A","Dates=H","DateFormat=P","Fill=—","Direction=H","UseDPDF=Y")</f>
        <v>#NAME?</v>
      </c>
      <c r="CL444" s="2" t="e">
        <f ca="1">_xll.BDH($C$428,"TOT_DEBT_TO_TOT_CAP","FQ1 2017","FQ1 2017","Currency=INR","Period=FQ","BEST_FPERIOD_OVERRIDE=FQ","FILING_STATUS=OR","EQY_CONSOLIDATED=Y","Sort=A","Dates=H","DateFormat=P","Fill=—","Direction=H","UseDPDF=Y")</f>
        <v>#NAME?</v>
      </c>
      <c r="CM444" s="2" t="e">
        <f ca="1">_xll.BDH($C$428,"TOT_DEBT_TO_TOT_ASSET","FQ1 2017","FQ1 2017","Currency=INR","Period=FQ","BEST_FPERIOD_OVERRIDE=FQ","FILING_STATUS=OR","EQY_CONSOLIDATED=Y","Sort=A","Dates=H","DateFormat=P","Fill=—","Direction=H","UseDPDF=Y")</f>
        <v>#NAME?</v>
      </c>
      <c r="CN444" s="2" t="e">
        <f ca="1">_xll.BDH($C$428,"NET_DEBT_TO_SHRHLDR_EQTY","FQ1 2017","FQ1 2017","Currency=INR","Period=FQ","BEST_FPERIOD_OVERRIDE=FQ","FILING_STATUS=OR","EQY_CONSOLIDATED=Y","Sort=A","Dates=H","DateFormat=P","Fill=—","Direction=H","UseDPDF=Y")</f>
        <v>#NAME?</v>
      </c>
      <c r="CO444" s="2" t="e">
        <f ca="1">_xll.BDH($C$428,"NET_DEBT_%_CAPITAL","FQ1 2017","FQ1 2017","Currency=INR","Period=FQ","BEST_FPERIOD_OVERRIDE=FQ","FILING_STATUS=OR","EQY_CONSOLIDATED=Y","Sort=A","Dates=H","DateFormat=P","Fill=—","Direction=H","UseDPDF=Y")</f>
        <v>#NAME?</v>
      </c>
      <c r="CP444" s="3" t="e">
        <f ca="1">_xll.BDH($C$428,"EBITDA","FQ1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444" s="3" t="e">
        <f ca="1">_xll.BDH($C$428,"EBITDA_AFTER_CAPEX","FQ1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444" s="3" t="e">
        <f ca="1">_xll.BDH($C$428,"IS_OPER_INC","FQ1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444" s="2" t="e">
        <f ca="1">_xll.BDH($C$428,"CASH_RATIO","FQ1 2017","FQ1 2017","Currency=INR","Period=FQ","BEST_FPERIOD_OVERRIDE=FQ","FILING_STATUS=OR","EQY_CONSOLIDATED=Y","Sort=A","Dates=H","DateFormat=P","Fill=—","Direction=H","UseDPDF=Y")</f>
        <v>#NAME?</v>
      </c>
      <c r="CT444" s="2" t="e">
        <f ca="1">_xll.BDH($C$428,"CUR_RATIO","FQ1 2017","FQ1 2017","Currency=INR","Period=FQ","BEST_FPERIOD_OVERRIDE=FQ","FILING_STATUS=OR","EQY_CONSOLIDATED=Y","Sort=A","Dates=H","DateFormat=P","Fill=—","Direction=H","UseDPDF=Y")</f>
        <v>#NAME?</v>
      </c>
      <c r="CU444" s="2" t="e">
        <f ca="1">_xll.BDH($C$428,"QUICK_RATIO","FQ1 2017","FQ1 2017","Currency=INR","Period=FQ","BEST_FPERIOD_OVERRIDE=FQ","FILING_STATUS=OR","EQY_CONSOLIDATED=Y","Sort=A","Dates=H","DateFormat=P","Fill=—","Direction=H","UseDPDF=Y")</f>
        <v>#NAME?</v>
      </c>
      <c r="CV444" s="2" t="e">
        <f ca="1">_xll.BDH($C$428,"ALTMAN_Z_SCORE","FQ1 2017","FQ1 2017","Currency=INR","Period=FQ","BEST_FPERIOD_OVERRIDE=FQ","FILING_STATUS=OR","EQY_CONSOLIDATED=Y","Sort=A","Dates=H","DateFormat=P","Fill=—","Direction=H","UseDPDF=Y")</f>
        <v>#NAME?</v>
      </c>
      <c r="CW444" s="4" t="e">
        <f ca="1">_xll.BDH($C$428,"ACCT_RCV_TURN","FQ1 2017","FQ1 2017","Currency=INR","Period=FQ","BEST_FPERIOD_OVERRIDE=FQ","FILING_STATUS=OR","EQY_CONSOLIDATED=Y","FA_ADJUSTED=GAAP","Sort=A","Dates=H","DateFormat=P","Fill=—","Direction=H","UseDPDF=Y")</f>
        <v>#NAME?</v>
      </c>
      <c r="CX444" s="2" t="e">
        <f ca="1">_xll.BDH($C$428,"ACCT_RCV_DAYS","FQ1 2017","FQ1 2017","Currency=INR","Period=FQ","BEST_FPERIOD_OVERRIDE=FQ","FILING_STATUS=OR","EQY_CONSOLIDATED=Y","FA_ADJUSTED=GAAP","Sort=A","Dates=H","DateFormat=P","Fill=—","Direction=H","UseDPDF=Y")</f>
        <v>#NAME?</v>
      </c>
      <c r="CY444" s="4" t="e">
        <f ca="1">_xll.BDH($C$428,"INVENT_TURN","FQ1 2017","FQ1 2017","Currency=INR","Period=FQ","BEST_FPERIOD_OVERRIDE=FQ","FILING_STATUS=OR","EQY_CONSOLIDATED=Y","FA_ADJUSTED=GAAP","Sort=A","Dates=H","DateFormat=P","Fill=—","Direction=H","UseDPDF=Y")</f>
        <v>#NAME?</v>
      </c>
      <c r="CZ444" s="2" t="e">
        <f ca="1">_xll.BDH($C$428,"INVENT_DAYS","FQ1 2017","FQ1 2017","Currency=INR","Period=FQ","BEST_FPERIOD_OVERRIDE=FQ","FILING_STATUS=OR","EQY_CONSOLIDATED=Y","FA_ADJUSTED=GAAP","Sort=A","Dates=H","DateFormat=P","Fill=—","Direction=H","UseDPDF=Y")</f>
        <v>#NAME?</v>
      </c>
      <c r="DA444" s="4" t="e">
        <f ca="1">_xll.BDH($C$428,"ACCOUNTS_PAYABLE_TURNOVER","FQ1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444" s="2" t="e">
        <f ca="1">_xll.BDH($C$428,"ACCOUNTS_PAYABLE_TURNOVER_DAYS","FQ1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444" s="4" t="e">
        <f ca="1">_xll.BDH($C$428,"CASH_CONVERSION_CYCLE","FQ1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444" s="4" t="e">
        <f ca="1">_xll.BDH($C$428,"INV_TO_CASH_DAYS","FQ1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444" s="5" t="e">
        <f ca="1">_xll.BDH($C$428,"BS_INVENTORIES","FQ1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444" s="3" t="e">
        <f ca="1">_xll.BDH($C$428,"INVTRY_RAW_MATERIALS","FQ1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444" s="3" t="e">
        <f ca="1">_xll.BDH($C$428,"INVTRY_IN_PROGRESS","FQ1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444" s="3" t="e">
        <f ca="1">_xll.BDH($C$428,"INVTRY_FINISHED_GOODS","FQ1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444" s="3" t="e">
        <f ca="1">_xll.BDH($C$428,"BS_OTHER_INV","FQ1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445" spans="1:113" x14ac:dyDescent="0.3">
      <c r="A445" s="6"/>
      <c r="B445" s="6"/>
      <c r="C445" s="6"/>
      <c r="D445" s="6"/>
      <c r="E445" t="s">
        <v>79</v>
      </c>
      <c r="F445" t="e">
        <f ca="1">_xll.BDH($C$428,"RETURN_COM_EQY","FQ2 2017","FQ2 2017","Currency=INR","Period=FQ","BEST_FPERIOD_OVERRIDE=FQ","FILING_STATUS=OR","EQY_CONSOLIDATED=Y","FA_ADJUSTED=GAAP","Sort=A","Dates=H","DateFormat=P","Fill=—","Direction=H","UseDPDF=Y")</f>
        <v>#NAME?</v>
      </c>
      <c r="G445" t="e">
        <f ca="1">_xll.BDH($C$428,"RETURN_ON_ASSET","FQ2 2017","FQ2 2017","Currency=INR","Period=FQ","BEST_FPERIOD_OVERRIDE=FQ","FILING_STATUS=OR","EQY_CONSOLIDATED=Y","FA_ADJUSTED=GAAP","Sort=A","Dates=H","DateFormat=P","Fill=—","Direction=H","UseDPDF=Y")</f>
        <v>#NAME?</v>
      </c>
      <c r="H445" t="e">
        <f ca="1">_xll.BDH($C$428,"RETURN_ON_CAP","FQ2 2017","FQ2 2017","Currency=INR","Period=FQ","BEST_FPERIOD_OVERRIDE=FQ","FILING_STATUS=OR","EQY_CONSOLIDATED=Y","FA_ADJUSTED=GAAP","Sort=A","Dates=H","DateFormat=P","Fill=—","Direction=H","UseDPDF=Y")</f>
        <v>#NAME?</v>
      </c>
      <c r="I445" t="e">
        <f ca="1">_xll.BDH($C$428,"RETURN_ON_INV_CAPITAL","FQ2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445" t="e">
        <f ca="1">_xll.BDH($C$428,"EBITDA_TO_REVENUE","FQ2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445" t="e">
        <f ca="1">_xll.BDH($C$428,"OPER_MARGIN","FQ2 2017","FQ2 2017","Currency=INR","Period=FQ","BEST_FPERIOD_OVERRIDE=FQ","FILING_STATUS=OR","EQY_CONSOLIDATED=Y","FA_ADJUSTED=GAAP","Sort=A","Dates=H","DateFormat=P","Fill=—","Direction=H","UseDPDF=Y")</f>
        <v>#NAME?</v>
      </c>
      <c r="L445" t="e">
        <f ca="1">_xll.BDH($C$428,"INCREMENTAL_OPERATING_MARGIN","FQ2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445" t="e">
        <f ca="1">_xll.BDH($C$428,"PRETAX_INC_TO_NET_SALES","FQ2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445" t="e">
        <f ca="1">_xll.BDH($C$428,"INC_BEF_XO_ITEMS_TO_NET_SALES","FQ2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445" t="e">
        <f ca="1">_xll.BDH($C$428,"PROF_MARGIN","FQ2 2017","FQ2 2017","Currency=INR","Period=FQ","BEST_FPERIOD_OVERRIDE=FQ","FILING_STATUS=OR","EQY_CONSOLIDATED=Y","FA_ADJUSTED=GAAP","Sort=A","Dates=H","DateFormat=P","Fill=—","Direction=H","UseDPDF=Y")</f>
        <v>#NAME?</v>
      </c>
      <c r="P445" t="e">
        <f ca="1">_xll.BDH($C$428,"NET_INCOME_TO_COMMON_MARGIN","FQ2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445" t="e">
        <f ca="1">_xll.BDH($C$428,"EFF_TAX_RATE","FQ2 2017","FQ2 2017","Currency=INR","Period=FQ","BEST_FPERIOD_OVERRIDE=FQ","FILING_STATUS=OR","EQY_CONSOLIDATED=Y","FA_ADJUSTED=GAAP","Sort=A","Dates=H","DateFormat=P","Fill=—","Direction=H","UseDPDF=Y")</f>
        <v>#NAME?</v>
      </c>
      <c r="R445" t="e">
        <f ca="1">_xll.BDH($C$428,"DVD_PAYOUT_RATIO","FQ2 2017","FQ2 2017","Currency=INR","Period=FQ","BEST_FPERIOD_OVERRIDE=FQ","FILING_STATUS=OR","EQY_CONSOLIDATED=Y","FA_ADJUSTED=GAAP","Sort=A","Dates=H","DateFormat=P","Fill=—","Direction=H","UseDPDF=Y")</f>
        <v>#NAME?</v>
      </c>
      <c r="S445" t="e">
        <f ca="1">_xll.BDH($C$428,"SUSTAIN_GROWTH_RT","FQ2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445" s="2" t="e">
        <f ca="1">_xll.BDH($C$428,"SALES_GROWTH","FQ2 2017","FQ2 2017","Currency=INR","Period=FQ","BEST_FPERIOD_OVERRIDE=FQ","FILING_STATUS=OR","EQY_CONSOLIDATED=Y","FA_ADJUSTED=GAAP","Sort=A","Dates=H","DateFormat=P","Fill=—","Direction=H","UseDPDF=Y")</f>
        <v>#NAME?</v>
      </c>
      <c r="U445" s="2" t="e">
        <f ca="1">_xll.BDH($C$428,"EBITDA_GROWTH","FQ2 2017","FQ2 2017","Currency=INR","Period=FQ","BEST_FPERIOD_OVERRIDE=FQ","FILING_STATUS=OR","EQY_CONSOLIDATED=Y","FA_ADJUSTED=GAAP","Sort=A","Dates=H","DateFormat=P","Fill=—","Direction=H","UseDPDF=Y")</f>
        <v>#NAME?</v>
      </c>
      <c r="V445" s="2" t="e">
        <f ca="1">_xll.BDH($C$428,"OPER_INC_GROWTH","FQ2 2017","FQ2 2017","Currency=INR","Period=FQ","BEST_FPERIOD_OVERRIDE=FQ","FILING_STATUS=OR","EQY_CONSOLIDATED=Y","FA_ADJUSTED=GAAP","Sort=A","Dates=H","DateFormat=P","Fill=—","Direction=H","UseDPDF=Y")</f>
        <v>#NAME?</v>
      </c>
      <c r="W445" s="2" t="e">
        <f ca="1">_xll.BDH($C$428,"EARN_FOR_COM_GROWTH","FQ2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445" s="2" t="e">
        <f ca="1">_xll.BDH($C$428,"DILUTED_EPS_AFT_XO_ITEMS_GROWTH","FQ2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445" s="2" t="e">
        <f ca="1">_xll.BDH($C$428,"DIVIDEND_PER_SHARE_1_YEAR_GROWTH","FQ2 2017","FQ2 2017","Currency=INR","Period=FQ","BEST_FPERIOD_OVERRIDE=FQ","FILING_STATUS=OR","EQY_CONSOLIDATED=Y","Sort=A","Dates=H","DateFormat=P","Fill=—","Direction=H","UseDPDF=Y")</f>
        <v>#NAME?</v>
      </c>
      <c r="Z445" s="2" t="e">
        <f ca="1">_xll.BDH($C$428,"ACCOUNTS_RECEIVABLE_GROWTH","FQ2 2017","FQ2 2017","Currency=INR","Period=FQ","BEST_FPERIOD_OVERRIDE=FQ","FILING_STATUS=OR","EQY_CONSOLIDATED=Y","Sort=A","Dates=H","DateFormat=P","Fill=—","Direction=H","UseDPDF=Y")</f>
        <v>#NAME?</v>
      </c>
      <c r="AA445" s="2" t="e">
        <f ca="1">_xll.BDH($C$428,"INVENTORY_GROWTH","FQ2 2017","FQ2 2017","Currency=INR","Period=FQ","BEST_FPERIOD_OVERRIDE=FQ","FILING_STATUS=OR","EQY_CONSOLIDATED=Y","Sort=A","Dates=H","DateFormat=P","Fill=—","Direction=H","UseDPDF=Y")</f>
        <v>#NAME?</v>
      </c>
      <c r="AB445" s="2" t="e">
        <f ca="1">_xll.BDH($C$428,"NET_FIXED_ASSETS_1_YEAR_GROWTH","FQ2 2017","FQ2 2017","Currency=INR","Period=FQ","BEST_FPERIOD_OVERRIDE=FQ","FILING_STATUS=OR","EQY_CONSOLIDATED=Y","Sort=A","Dates=H","DateFormat=P","Fill=—","Direction=H","UseDPDF=Y")</f>
        <v>#NAME?</v>
      </c>
      <c r="AC445" s="2" t="e">
        <f ca="1">_xll.BDH($C$428,"ASSET_GROWTH","FQ2 2017","FQ2 2017","Currency=INR","Period=FQ","BEST_FPERIOD_OVERRIDE=FQ","FILING_STATUS=OR","EQY_CONSOLIDATED=Y","Sort=A","Dates=H","DateFormat=P","Fill=—","Direction=H","UseDPDF=Y")</f>
        <v>#NAME?</v>
      </c>
      <c r="AD445" s="2" t="e">
        <f ca="1">_xll.BDH($C$428,"MODIFIED_WORK_CAP_GROWTH","FQ2 2017","FQ2 2017","Currency=INR","Period=FQ","BEST_FPERIOD_OVERRIDE=FQ","FILING_STATUS=OR","EQY_CONSOLIDATED=Y","Sort=A","Dates=H","DateFormat=P","Fill=—","Direction=H","UseDPDF=Y")</f>
        <v>#NAME?</v>
      </c>
      <c r="AE445" s="2" t="e">
        <f ca="1">_xll.BDH($C$428,"WORK_CAP_GROWTH","FQ2 2017","FQ2 2017","Currency=INR","Period=FQ","BEST_FPERIOD_OVERRIDE=FQ","FILING_STATUS=OR","EQY_CONSOLIDATED=Y","Sort=A","Dates=H","DateFormat=P","Fill=—","Direction=H","UseDPDF=Y")</f>
        <v>#NAME?</v>
      </c>
      <c r="AF445" s="2" t="e">
        <f ca="1">_xll.BDH($C$428,"ACCOUNTS_PAYABLE_GROWTH_1YR","FQ2 2017","FQ2 2017","Currency=INR","Period=FQ","BEST_FPERIOD_OVERRIDE=FQ","FILING_STATUS=OR","EQY_CONSOLIDATED=Y","Sort=A","Dates=H","DateFormat=P","Fill=—","Direction=H","UseDPDF=Y")</f>
        <v>#NAME?</v>
      </c>
      <c r="AG445" s="2" t="e">
        <f ca="1">_xll.BDH($C$428,"SHORT_TERM_DEBT_1_YEAR_GROWTH","FQ2 2017","FQ2 2017","Currency=INR","Period=FQ","BEST_FPERIOD_OVERRIDE=FQ","FILING_STATUS=OR","EQY_CONSOLIDATED=Y","Sort=A","Dates=H","DateFormat=P","Fill=—","Direction=H","UseDPDF=Y")</f>
        <v>#NAME?</v>
      </c>
      <c r="AH445" s="2" t="e">
        <f ca="1">_xll.BDH($C$428,"TOTAL_DEBT_1_YEAR_GROWTH","FQ2 2017","FQ2 2017","Currency=INR","Period=FQ","BEST_FPERIOD_OVERRIDE=FQ","FILING_STATUS=OR","EQY_CONSOLIDATED=Y","Sort=A","Dates=H","DateFormat=P","Fill=—","Direction=H","UseDPDF=Y")</f>
        <v>#NAME?</v>
      </c>
      <c r="AI445" s="2" t="e">
        <f ca="1">_xll.BDH($C$428,"TOTAL_EQUITY_1_YEAR_GROWTH","FQ2 2017","FQ2 2017","Currency=INR","Period=FQ","BEST_FPERIOD_OVERRIDE=FQ","FILING_STATUS=OR","EQY_CONSOLIDATED=Y","Sort=A","Dates=H","DateFormat=P","Fill=—","Direction=H","UseDPDF=Y")</f>
        <v>#NAME?</v>
      </c>
      <c r="AJ445" s="2" t="e">
        <f ca="1">_xll.BDH($C$428,"GROWTH_IN_CAP","FQ2 2017","FQ2 2017","Currency=INR","Period=FQ","BEST_FPERIOD_OVERRIDE=FQ","FILING_STATUS=OR","EQY_CONSOLIDATED=Y","Sort=A","Dates=H","DateFormat=P","Fill=—","Direction=H","UseDPDF=Y")</f>
        <v>#NAME?</v>
      </c>
      <c r="AK445" s="2" t="e">
        <f ca="1">_xll.BDH($C$428,"BVPS_GROWTH","FQ2 2017","FQ2 2017","Currency=INR","Period=FQ","BEST_FPERIOD_OVERRIDE=FQ","FILING_STATUS=OR","EQY_CONSOLIDATED=Y","Sort=A","Dates=H","DateFormat=P","Fill=—","Direction=H","UseDPDF=Y")</f>
        <v>#NAME?</v>
      </c>
      <c r="AL445" s="2" t="e">
        <f ca="1">_xll.BDH($C$428,"CASH_FLOW_GROWTH","FQ2 2017","FQ2 2017","Currency=INR","Period=FQ","BEST_FPERIOD_OVERRIDE=FQ","FILING_STATUS=OR","EQY_CONSOLIDATED=Y","Sort=A","Dates=H","DateFormat=P","Fill=—","Direction=H","UseDPDF=Y")</f>
        <v>#NAME?</v>
      </c>
      <c r="AM445" s="2" t="e">
        <f ca="1">_xll.BDH($C$428,"GEO_GROW_NET_SALES","FQ2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445" s="2" t="e">
        <f ca="1">_xll.BDH($C$428,"GEO_GROW_EBITDA","FQ2 2017","FQ2 2017","Currency=INR","Period=FQ","BEST_FPERIOD_OVERRIDE=FQ","FILING_STATUS=OR","EQY_CONSOLIDATED=Y","FA_ADJUSTED=GAAP","Sort=A","Dates=H","DateFormat=P","Fill=—","Direction=H","UseDPDF=Y")</f>
        <v>#NAME?</v>
      </c>
      <c r="AO445" s="2" t="e">
        <f ca="1">_xll.BDH($C$428,"GEO_GROW_OPER_INC","FQ2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445" s="2" t="e">
        <f ca="1">_xll.BDH($C$428,"NET_INCOME_TO_COMMON_5_YR_GROWTH","FQ2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445" s="2" t="e">
        <f ca="1">_xll.BDH($C$428,"5Y_GEO_GROWTH_DILUTED_EPS","FQ2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445" s="2" t="e">
        <f ca="1">_xll.BDH($C$428,"GEO_GROW_DVD_PER_SH","FQ2 2017","FQ2 2017","Currency=INR","Period=FQ","BEST_FPERIOD_OVERRIDE=FQ","FILING_STATUS=OR","EQY_CONSOLIDATED=Y","Sort=A","Dates=H","DateFormat=P","Fill=—","Direction=H","UseDPDF=Y")</f>
        <v>#NAME?</v>
      </c>
      <c r="AS445" s="2" t="e">
        <f ca="1">_xll.BDH($C$428,"ACCOUNTS_RECEIVABLE_5_YR_GROWTH","FQ2 2017","FQ2 2017","Currency=INR","Period=FQ","BEST_FPERIOD_OVERRIDE=FQ","FILING_STATUS=OR","EQY_CONSOLIDATED=Y","Sort=A","Dates=H","DateFormat=P","Fill=—","Direction=H","UseDPDF=Y")</f>
        <v>#NAME?</v>
      </c>
      <c r="AT445" s="2" t="e">
        <f ca="1">_xll.BDH($C$428,"INVENTORY_5_YEAR_GROWTH","FQ2 2017","FQ2 2017","Currency=INR","Period=FQ","BEST_FPERIOD_OVERRIDE=FQ","FILING_STATUS=OR","EQY_CONSOLIDATED=Y","Sort=A","Dates=H","DateFormat=P","Fill=—","Direction=H","UseDPDF=Y")</f>
        <v>#NAME?</v>
      </c>
      <c r="AU445" s="2" t="e">
        <f ca="1">_xll.BDH($C$428,"NET_FIXED_ASSETS_5_YEAR_GROWTH","FQ2 2017","FQ2 2017","Currency=INR","Period=FQ","BEST_FPERIOD_OVERRIDE=FQ","FILING_STATUS=OR","EQY_CONSOLIDATED=Y","Sort=A","Dates=H","DateFormat=P","Fill=—","Direction=H","UseDPDF=Y")</f>
        <v>#NAME?</v>
      </c>
      <c r="AV445" s="2" t="e">
        <f ca="1">_xll.BDH($C$428,"GEO_GROW_TOT_ASSET","FQ2 2017","FQ2 2017","Currency=INR","Period=FQ","BEST_FPERIOD_OVERRIDE=FQ","FILING_STATUS=OR","EQY_CONSOLIDATED=Y","Sort=A","Dates=H","DateFormat=P","Fill=—","Direction=H","UseDPDF=Y")</f>
        <v>#NAME?</v>
      </c>
      <c r="AW445" s="2" t="e">
        <f ca="1">_xll.BDH($C$428,"MODIFIED_WORKING_CPTL_5YR_GRWTH","FQ2 2017","FQ2 2017","Currency=INR","Period=FQ","BEST_FPERIOD_OVERRIDE=FQ","FILING_STATUS=OR","EQY_CONSOLIDATED=Y","Sort=A","Dates=H","DateFormat=P","Fill=—","Direction=H","UseDPDF=Y")</f>
        <v>#NAME?</v>
      </c>
      <c r="AX445" s="2" t="e">
        <f ca="1">_xll.BDH($C$428,"WORKING_CAPITAL_5_YEAR_GROWTH","FQ2 2017","FQ2 2017","Currency=INR","Period=FQ","BEST_FPERIOD_OVERRIDE=FQ","FILING_STATUS=OR","EQY_CONSOLIDATED=Y","Sort=A","Dates=H","DateFormat=P","Fill=—","Direction=H","UseDPDF=Y")</f>
        <v>#NAME?</v>
      </c>
      <c r="AY445" s="2" t="e">
        <f ca="1">_xll.BDH($C$428,"ACCOUNTS_PAYABLE_5_YEAR_GROWTH","FQ2 2017","FQ2 2017","Currency=INR","Period=FQ","BEST_FPERIOD_OVERRIDE=FQ","FILING_STATUS=OR","EQY_CONSOLIDATED=Y","Sort=A","Dates=H","DateFormat=P","Fill=—","Direction=H","UseDPDF=Y")</f>
        <v>#NAME?</v>
      </c>
      <c r="AZ445" s="2" t="e">
        <f ca="1">_xll.BDH($C$428,"SHORT_TERM_DEBT_5_YEAR_GROWTH","FQ2 2017","FQ2 2017","Currency=INR","Period=FQ","BEST_FPERIOD_OVERRIDE=FQ","FILING_STATUS=OR","EQY_CONSOLIDATED=Y","Sort=A","Dates=H","DateFormat=P","Fill=—","Direction=H","UseDPDF=Y")</f>
        <v>#NAME?</v>
      </c>
      <c r="BA445" s="2" t="e">
        <f ca="1">_xll.BDH($C$428,"TOTAL_DEBT_5_YEAR_GROWTH","FQ2 2017","FQ2 2017","Currency=INR","Period=FQ","BEST_FPERIOD_OVERRIDE=FQ","FILING_STATUS=OR","EQY_CONSOLIDATED=Y","Sort=A","Dates=H","DateFormat=P","Fill=—","Direction=H","UseDPDF=Y")</f>
        <v>#NAME?</v>
      </c>
      <c r="BB445" s="2" t="e">
        <f ca="1">_xll.BDH($C$428,"GEO_GROW_TOT_SHRHLDR_EQY","FQ2 2017","FQ2 2017","Currency=INR","Period=FQ","BEST_FPERIOD_OVERRIDE=FQ","FILING_STATUS=OR","EQY_CONSOLIDATED=Y","Sort=A","Dates=H","DateFormat=P","Fill=—","Direction=H","UseDPDF=Y")</f>
        <v>#NAME?</v>
      </c>
      <c r="BC445" s="2" t="e">
        <f ca="1">_xll.BDH($C$428,"TOTAL_CAPITAL_5_YEAR_GROWTH","FQ2 2017","FQ2 2017","Currency=INR","Period=FQ","BEST_FPERIOD_OVERRIDE=FQ","FILING_STATUS=OR","EQY_CONSOLIDATED=Y","Sort=A","Dates=H","DateFormat=P","Fill=—","Direction=H","UseDPDF=Y")</f>
        <v>#NAME?</v>
      </c>
      <c r="BD445" s="2" t="e">
        <f ca="1">_xll.BDH($C$428,"GEO_GROW_BOOK_VAL","FQ2 2017","FQ2 2017","Currency=INR","Period=FQ","BEST_FPERIOD_OVERRIDE=FQ","FILING_STATUS=OR","EQY_CONSOLIDATED=Y","Sort=A","Dates=H","DateFormat=P","Fill=—","Direction=H","UseDPDF=Y")</f>
        <v>#NAME?</v>
      </c>
      <c r="BE445" s="2" t="e">
        <f ca="1">_xll.BDH($C$428,"GEO_GROW_CASH_OPER_ACT","FQ2 2017","FQ2 2017","Currency=INR","Period=FQ","BEST_FPERIOD_OVERRIDE=FQ","FILING_STATUS=OR","EQY_CONSOLIDATED=Y","Sort=A","Dates=H","DateFormat=P","Fill=—","Direction=H","UseDPDF=Y")</f>
        <v>#NAME?</v>
      </c>
      <c r="BF445" s="2" t="e">
        <f ca="1">_xll.BDH($C$428,"REVENUE_SEQUENTIAL_GROWTH","FQ2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445" s="2" t="e">
        <f ca="1">_xll.BDH($C$428,"EBITDA_SEQUENTIAL_GROWTH","FQ2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445" s="2" t="e">
        <f ca="1">_xll.BDH($C$428,"OPERATING_INCOME_SEQ_GROWTH","FQ2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445" s="2" t="e">
        <f ca="1">_xll.BDH($C$428,"NET_INCOME_TO_COMMON_SEQ_GROWTH","FQ2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445" s="2" t="e">
        <f ca="1">_xll.BDH($C$428,"EPS_DILUTED_SEQUENTIAL_GROWTH","FQ2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445" s="2" t="e">
        <f ca="1">_xll.BDH($C$428,"DPS_SEQUENTIAL_GROWTH","FQ2 2017","FQ2 2017","Currency=INR","Period=FQ","BEST_FPERIOD_OVERRIDE=FQ","FILING_STATUS=OR","EQY_CONSOLIDATED=Y","Sort=A","Dates=H","DateFormat=P","Fill=—","Direction=H","UseDPDF=Y")</f>
        <v>#NAME?</v>
      </c>
      <c r="BL445" s="2" t="e">
        <f ca="1">_xll.BDH($C$428,"ACCOUNTS_RECEIVABLE_SEQ_GROWTH","FQ2 2017","FQ2 2017","Currency=INR","Period=FQ","BEST_FPERIOD_OVERRIDE=FQ","FILING_STATUS=OR","EQY_CONSOLIDATED=Y","Sort=A","Dates=H","DateFormat=P","Fill=—","Direction=H","UseDPDF=Y")</f>
        <v>#NAME?</v>
      </c>
      <c r="BM445" s="2" t="e">
        <f ca="1">_xll.BDH($C$428,"INVENTORY_SEQUENTIAL_GROWTH","FQ2 2017","FQ2 2017","Currency=INR","Period=FQ","BEST_FPERIOD_OVERRIDE=FQ","FILING_STATUS=OR","EQY_CONSOLIDATED=Y","Sort=A","Dates=H","DateFormat=P","Fill=—","Direction=H","UseDPDF=Y")</f>
        <v>#NAME?</v>
      </c>
      <c r="BN445" s="2" t="e">
        <f ca="1">_xll.BDH($C$428,"FIXED_ASSETS_SEQUENTIAL_GROWTH","FQ2 2017","FQ2 2017","Currency=INR","Period=FQ","BEST_FPERIOD_OVERRIDE=FQ","FILING_STATUS=OR","EQY_CONSOLIDATED=Y","Sort=A","Dates=H","DateFormat=P","Fill=—","Direction=H","UseDPDF=Y")</f>
        <v>#NAME?</v>
      </c>
      <c r="BO445" s="2" t="e">
        <f ca="1">_xll.BDH($C$428,"TOTAL_ASSETS_SEQUENTIAL_GROWTH","FQ2 2017","FQ2 2017","Currency=INR","Period=FQ","BEST_FPERIOD_OVERRIDE=FQ","FILING_STATUS=OR","EQY_CONSOLIDATED=Y","Sort=A","Dates=H","DateFormat=P","Fill=—","Direction=H","UseDPDF=Y")</f>
        <v>#NAME?</v>
      </c>
      <c r="BP445" s="2" t="e">
        <f ca="1">_xll.BDH($C$428,"MODIFIED_WORKING_CPTL_SEQ_GRWTH","FQ2 2017","FQ2 2017","Currency=INR","Period=FQ","BEST_FPERIOD_OVERRIDE=FQ","FILING_STATUS=OR","EQY_CONSOLIDATED=Y","Sort=A","Dates=H","DateFormat=P","Fill=—","Direction=H","UseDPDF=Y")</f>
        <v>#NAME?</v>
      </c>
      <c r="BQ445" s="2" t="e">
        <f ca="1">_xll.BDH($C$428,"WORKING_CAPITAL_SEQ_GROWTH","FQ2 2017","FQ2 2017","Currency=INR","Period=FQ","BEST_FPERIOD_OVERRIDE=FQ","FILING_STATUS=OR","EQY_CONSOLIDATED=Y","Sort=A","Dates=H","DateFormat=P","Fill=—","Direction=H","UseDPDF=Y")</f>
        <v>#NAME?</v>
      </c>
      <c r="BR445" s="2" t="e">
        <f ca="1">_xll.BDH($C$428,"ACCOUNTS_PAYABLE_SEQ_GROWTH","FQ2 2017","FQ2 2017","Currency=INR","Period=FQ","BEST_FPERIOD_OVERRIDE=FQ","FILING_STATUS=OR","EQY_CONSOLIDATED=Y","Sort=A","Dates=H","DateFormat=P","Fill=—","Direction=H","UseDPDF=Y")</f>
        <v>#NAME?</v>
      </c>
      <c r="BS445" s="2" t="e">
        <f ca="1">_xll.BDH($C$428,"ST_DEBT_SEQUENTIAL_GROWTH","FQ2 2017","FQ2 2017","Currency=INR","Period=FQ","BEST_FPERIOD_OVERRIDE=FQ","FILING_STATUS=OR","EQY_CONSOLIDATED=Y","Sort=A","Dates=H","DateFormat=P","Fill=—","Direction=H","UseDPDF=Y")</f>
        <v>#NAME?</v>
      </c>
      <c r="BT445" s="2" t="e">
        <f ca="1">_xll.BDH($C$428,"TOTAL_DEBT_SEQUENTIAL_GROWTH","FQ2 2017","FQ2 2017","Currency=INR","Period=FQ","BEST_FPERIOD_OVERRIDE=FQ","FILING_STATUS=OR","EQY_CONSOLIDATED=Y","Sort=A","Dates=H","DateFormat=P","Fill=—","Direction=H","UseDPDF=Y")</f>
        <v>#NAME?</v>
      </c>
      <c r="BU445" s="2" t="e">
        <f ca="1">_xll.BDH($C$428,"TOTAL_EQUITY_SEQUENTIAL_GROWTH","FQ2 2017","FQ2 2017","Currency=INR","Period=FQ","BEST_FPERIOD_OVERRIDE=FQ","FILING_STATUS=OR","EQY_CONSOLIDATED=Y","Sort=A","Dates=H","DateFormat=P","Fill=—","Direction=H","UseDPDF=Y")</f>
        <v>#NAME?</v>
      </c>
      <c r="BV445" s="2" t="e">
        <f ca="1">_xll.BDH($C$428,"TOTAL_CAPITAL_SEQUENTIAL_GROWTH","FQ2 2017","FQ2 2017","Currency=INR","Period=FQ","BEST_FPERIOD_OVERRIDE=FQ","FILING_STATUS=OR","EQY_CONSOLIDATED=Y","Sort=A","Dates=H","DateFormat=P","Fill=—","Direction=H","UseDPDF=Y")</f>
        <v>#NAME?</v>
      </c>
      <c r="BW445" s="2" t="e">
        <f ca="1">_xll.BDH($C$428,"BPS_SEQUENTIAL_GROWTH","FQ2 2017","FQ2 2017","Currency=INR","Period=FQ","BEST_FPERIOD_OVERRIDE=FQ","FILING_STATUS=OR","EQY_CONSOLIDATED=Y","Sort=A","Dates=H","DateFormat=P","Fill=—","Direction=H","UseDPDF=Y")</f>
        <v>#NAME?</v>
      </c>
      <c r="BX445" s="2" t="e">
        <f ca="1">_xll.BDH($C$428,"CFO_SEQUENTIAL_GROWTH","FQ2 2017","FQ2 2017","Currency=INR","Period=FQ","BEST_FPERIOD_OVERRIDE=FQ","FILING_STATUS=OR","EQY_CONSOLIDATED=Y","Sort=A","Dates=H","DateFormat=P","Fill=—","Direction=H","UseDPDF=Y")</f>
        <v>#NAME?</v>
      </c>
      <c r="BY445" s="3" t="e">
        <f ca="1">_xll.BDH($C$428,"SHORT_AND_LONG_TERM_DEBT","FQ2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445" s="3" t="e">
        <f ca="1">_xll.BDH($C$428,"BS_ST_BORROW","FQ2 2017","FQ2 2017","Currency=INR","Period=FQ","BEST_FPERIOD_OVERRIDE=FQ","FILING_STATUS=OR","EQY_CONSOLIDATED=Y","SCALING_FORMAT=MLN","Sort=A","Dates=H","DateFormat=P","Fill=—","Direction=H","UseDPDF=Y")</f>
        <v>#NAME?</v>
      </c>
      <c r="CA445" s="3" t="e">
        <f ca="1">_xll.BDH($C$428,"BS_LT_BORROW","FQ2 2017","FQ2 2017","Currency=INR","Period=FQ","BEST_FPERIOD_OVERRIDE=FQ","FILING_STATUS=OR","EQY_CONSOLIDATED=Y","SCALING_FORMAT=MLN","Sort=A","Dates=H","DateFormat=P","Fill=—","Direction=H","UseDPDF=Y")</f>
        <v>#NAME?</v>
      </c>
      <c r="CB445" s="2" t="e">
        <f ca="1">_xll.BDH($C$428,"TOT_DEBT_TO_EBITDA","FQ2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445" s="2" t="e">
        <f ca="1">_xll.BDH($C$428,"NET_DEBT_TO_EBITDA","FQ2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445" s="2" t="e">
        <f ca="1">_xll.BDH($C$428,"TOTAL_DEBT_TO_EBIT","FQ2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445" s="2" t="e">
        <f ca="1">_xll.BDH($C$428,"NET_DEBT_TO_EBIT","FQ2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445" s="2" t="e">
        <f ca="1">_xll.BDH($C$428,"EBITDA_TO_INTEREST_EXPN","FQ2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445" s="2" t="e">
        <f ca="1">_xll.BDH($C$428,"COM_EQY_TO_TOT_ASSET","FQ2 2017","FQ2 2017","Currency=INR","Period=FQ","BEST_FPERIOD_OVERRIDE=FQ","FILING_STATUS=OR","EQY_CONSOLIDATED=Y","Sort=A","Dates=H","DateFormat=P","Fill=—","Direction=H","UseDPDF=Y")</f>
        <v>#NAME?</v>
      </c>
      <c r="CH445" s="2" t="e">
        <f ca="1">_xll.BDH($C$428,"LT_DEBT_TO_TOT_EQY","FQ2 2017","FQ2 2017","Currency=INR","Period=FQ","BEST_FPERIOD_OVERRIDE=FQ","FILING_STATUS=OR","EQY_CONSOLIDATED=Y","Sort=A","Dates=H","DateFormat=P","Fill=—","Direction=H","UseDPDF=Y")</f>
        <v>#NAME?</v>
      </c>
      <c r="CI445" s="2" t="e">
        <f ca="1">_xll.BDH($C$428,"LT_DEBT_TO_TOT_CAP","FQ2 2017","FQ2 2017","Currency=INR","Period=FQ","BEST_FPERIOD_OVERRIDE=FQ","FILING_STATUS=OR","EQY_CONSOLIDATED=Y","Sort=A","Dates=H","DateFormat=P","Fill=—","Direction=H","UseDPDF=Y")</f>
        <v>#NAME?</v>
      </c>
      <c r="CJ445" s="2" t="e">
        <f ca="1">_xll.BDH($C$428,"LT_DEBT_TO_TOT_ASSET","FQ2 2017","FQ2 2017","Currency=INR","Period=FQ","BEST_FPERIOD_OVERRIDE=FQ","FILING_STATUS=OR","EQY_CONSOLIDATED=Y","Sort=A","Dates=H","DateFormat=P","Fill=—","Direction=H","UseDPDF=Y")</f>
        <v>#NAME?</v>
      </c>
      <c r="CK445" s="2" t="e">
        <f ca="1">_xll.BDH($C$428,"TOT_DEBT_TO_TOT_EQY","FQ2 2017","FQ2 2017","Currency=INR","Period=FQ","BEST_FPERIOD_OVERRIDE=FQ","FILING_STATUS=OR","EQY_CONSOLIDATED=Y","Sort=A","Dates=H","DateFormat=P","Fill=—","Direction=H","UseDPDF=Y")</f>
        <v>#NAME?</v>
      </c>
      <c r="CL445" s="2" t="e">
        <f ca="1">_xll.BDH($C$428,"TOT_DEBT_TO_TOT_CAP","FQ2 2017","FQ2 2017","Currency=INR","Period=FQ","BEST_FPERIOD_OVERRIDE=FQ","FILING_STATUS=OR","EQY_CONSOLIDATED=Y","Sort=A","Dates=H","DateFormat=P","Fill=—","Direction=H","UseDPDF=Y")</f>
        <v>#NAME?</v>
      </c>
      <c r="CM445" s="2" t="e">
        <f ca="1">_xll.BDH($C$428,"TOT_DEBT_TO_TOT_ASSET","FQ2 2017","FQ2 2017","Currency=INR","Period=FQ","BEST_FPERIOD_OVERRIDE=FQ","FILING_STATUS=OR","EQY_CONSOLIDATED=Y","Sort=A","Dates=H","DateFormat=P","Fill=—","Direction=H","UseDPDF=Y")</f>
        <v>#NAME?</v>
      </c>
      <c r="CN445" s="2" t="e">
        <f ca="1">_xll.BDH($C$428,"NET_DEBT_TO_SHRHLDR_EQTY","FQ2 2017","FQ2 2017","Currency=INR","Period=FQ","BEST_FPERIOD_OVERRIDE=FQ","FILING_STATUS=OR","EQY_CONSOLIDATED=Y","Sort=A","Dates=H","DateFormat=P","Fill=—","Direction=H","UseDPDF=Y")</f>
        <v>#NAME?</v>
      </c>
      <c r="CO445" s="2" t="e">
        <f ca="1">_xll.BDH($C$428,"NET_DEBT_%_CAPITAL","FQ2 2017","FQ2 2017","Currency=INR","Period=FQ","BEST_FPERIOD_OVERRIDE=FQ","FILING_STATUS=OR","EQY_CONSOLIDATED=Y","Sort=A","Dates=H","DateFormat=P","Fill=—","Direction=H","UseDPDF=Y")</f>
        <v>#NAME?</v>
      </c>
      <c r="CP445" s="3" t="e">
        <f ca="1">_xll.BDH($C$428,"EBITDA","FQ2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445" s="3" t="e">
        <f ca="1">_xll.BDH($C$428,"EBITDA_AFTER_CAPEX","FQ2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445" s="3" t="e">
        <f ca="1">_xll.BDH($C$428,"IS_OPER_INC","FQ2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445" s="2" t="e">
        <f ca="1">_xll.BDH($C$428,"CASH_RATIO","FQ2 2017","FQ2 2017","Currency=INR","Period=FQ","BEST_FPERIOD_OVERRIDE=FQ","FILING_STATUS=OR","EQY_CONSOLIDATED=Y","Sort=A","Dates=H","DateFormat=P","Fill=—","Direction=H","UseDPDF=Y")</f>
        <v>#NAME?</v>
      </c>
      <c r="CT445" s="2" t="e">
        <f ca="1">_xll.BDH($C$428,"CUR_RATIO","FQ2 2017","FQ2 2017","Currency=INR","Period=FQ","BEST_FPERIOD_OVERRIDE=FQ","FILING_STATUS=OR","EQY_CONSOLIDATED=Y","Sort=A","Dates=H","DateFormat=P","Fill=—","Direction=H","UseDPDF=Y")</f>
        <v>#NAME?</v>
      </c>
      <c r="CU445" s="2" t="e">
        <f ca="1">_xll.BDH($C$428,"QUICK_RATIO","FQ2 2017","FQ2 2017","Currency=INR","Period=FQ","BEST_FPERIOD_OVERRIDE=FQ","FILING_STATUS=OR","EQY_CONSOLIDATED=Y","Sort=A","Dates=H","DateFormat=P","Fill=—","Direction=H","UseDPDF=Y")</f>
        <v>#NAME?</v>
      </c>
      <c r="CV445" s="2" t="e">
        <f ca="1">_xll.BDH($C$428,"ALTMAN_Z_SCORE","FQ2 2017","FQ2 2017","Currency=INR","Period=FQ","BEST_FPERIOD_OVERRIDE=FQ","FILING_STATUS=OR","EQY_CONSOLIDATED=Y","Sort=A","Dates=H","DateFormat=P","Fill=—","Direction=H","UseDPDF=Y")</f>
        <v>#NAME?</v>
      </c>
      <c r="CW445" s="4" t="e">
        <f ca="1">_xll.BDH($C$428,"ACCT_RCV_TURN","FQ2 2017","FQ2 2017","Currency=INR","Period=FQ","BEST_FPERIOD_OVERRIDE=FQ","FILING_STATUS=OR","EQY_CONSOLIDATED=Y","FA_ADJUSTED=GAAP","Sort=A","Dates=H","DateFormat=P","Fill=—","Direction=H","UseDPDF=Y")</f>
        <v>#NAME?</v>
      </c>
      <c r="CX445" s="2" t="e">
        <f ca="1">_xll.BDH($C$428,"ACCT_RCV_DAYS","FQ2 2017","FQ2 2017","Currency=INR","Period=FQ","BEST_FPERIOD_OVERRIDE=FQ","FILING_STATUS=OR","EQY_CONSOLIDATED=Y","FA_ADJUSTED=GAAP","Sort=A","Dates=H","DateFormat=P","Fill=—","Direction=H","UseDPDF=Y")</f>
        <v>#NAME?</v>
      </c>
      <c r="CY445" s="4" t="e">
        <f ca="1">_xll.BDH($C$428,"INVENT_TURN","FQ2 2017","FQ2 2017","Currency=INR","Period=FQ","BEST_FPERIOD_OVERRIDE=FQ","FILING_STATUS=OR","EQY_CONSOLIDATED=Y","FA_ADJUSTED=GAAP","Sort=A","Dates=H","DateFormat=P","Fill=—","Direction=H","UseDPDF=Y")</f>
        <v>#NAME?</v>
      </c>
      <c r="CZ445" s="2" t="e">
        <f ca="1">_xll.BDH($C$428,"INVENT_DAYS","FQ2 2017","FQ2 2017","Currency=INR","Period=FQ","BEST_FPERIOD_OVERRIDE=FQ","FILING_STATUS=OR","EQY_CONSOLIDATED=Y","FA_ADJUSTED=GAAP","Sort=A","Dates=H","DateFormat=P","Fill=—","Direction=H","UseDPDF=Y")</f>
        <v>#NAME?</v>
      </c>
      <c r="DA445" s="4" t="e">
        <f ca="1">_xll.BDH($C$428,"ACCOUNTS_PAYABLE_TURNOVER","FQ2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445" s="2" t="e">
        <f ca="1">_xll.BDH($C$428,"ACCOUNTS_PAYABLE_TURNOVER_DAYS","FQ2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445" s="4" t="e">
        <f ca="1">_xll.BDH($C$428,"CASH_CONVERSION_CYCLE","FQ2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445" s="4" t="e">
        <f ca="1">_xll.BDH($C$428,"INV_TO_CASH_DAYS","FQ2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445" s="5" t="e">
        <f ca="1">_xll.BDH($C$428,"BS_INVENTORIES","FQ2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445" s="3" t="e">
        <f ca="1">_xll.BDH($C$428,"INVTRY_RAW_MATERIALS","FQ2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445" s="3" t="e">
        <f ca="1">_xll.BDH($C$428,"INVTRY_IN_PROGRESS","FQ2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445" s="3" t="e">
        <f ca="1">_xll.BDH($C$428,"INVTRY_FINISHED_GOODS","FQ2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445" s="3" t="e">
        <f ca="1">_xll.BDH($C$428,"BS_OTHER_INV","FQ2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446" spans="1:113" x14ac:dyDescent="0.3">
      <c r="A446" s="6"/>
      <c r="B446" s="6"/>
      <c r="C446" s="6"/>
      <c r="D446" s="6"/>
      <c r="E446" t="s">
        <v>80</v>
      </c>
      <c r="F446" t="e">
        <f ca="1">_xll.BDH($C$428,"RETURN_COM_EQY","FQ3 2017","FQ3 2017","Currency=INR","Period=FQ","BEST_FPERIOD_OVERRIDE=FQ","FILING_STATUS=OR","EQY_CONSOLIDATED=Y","FA_ADJUSTED=GAAP","Sort=A","Dates=H","DateFormat=P","Fill=—","Direction=H","UseDPDF=Y")</f>
        <v>#NAME?</v>
      </c>
      <c r="G446" t="e">
        <f ca="1">_xll.BDH($C$428,"RETURN_ON_ASSET","FQ3 2017","FQ3 2017","Currency=INR","Period=FQ","BEST_FPERIOD_OVERRIDE=FQ","FILING_STATUS=OR","EQY_CONSOLIDATED=Y","FA_ADJUSTED=GAAP","Sort=A","Dates=H","DateFormat=P","Fill=—","Direction=H","UseDPDF=Y")</f>
        <v>#NAME?</v>
      </c>
      <c r="H446" t="e">
        <f ca="1">_xll.BDH($C$428,"RETURN_ON_CAP","FQ3 2017","FQ3 2017","Currency=INR","Period=FQ","BEST_FPERIOD_OVERRIDE=FQ","FILING_STATUS=OR","EQY_CONSOLIDATED=Y","FA_ADJUSTED=GAAP","Sort=A","Dates=H","DateFormat=P","Fill=—","Direction=H","UseDPDF=Y")</f>
        <v>#NAME?</v>
      </c>
      <c r="I446" t="e">
        <f ca="1">_xll.BDH($C$428,"RETURN_ON_INV_CAPITAL","FQ3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446" t="e">
        <f ca="1">_xll.BDH($C$428,"EBITDA_TO_REVENUE","FQ3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446" t="e">
        <f ca="1">_xll.BDH($C$428,"OPER_MARGIN","FQ3 2017","FQ3 2017","Currency=INR","Period=FQ","BEST_FPERIOD_OVERRIDE=FQ","FILING_STATUS=OR","EQY_CONSOLIDATED=Y","FA_ADJUSTED=GAAP","Sort=A","Dates=H","DateFormat=P","Fill=—","Direction=H","UseDPDF=Y")</f>
        <v>#NAME?</v>
      </c>
      <c r="L446" t="e">
        <f ca="1">_xll.BDH($C$428,"INCREMENTAL_OPERATING_MARGIN","FQ3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446" t="e">
        <f ca="1">_xll.BDH($C$428,"PRETAX_INC_TO_NET_SALES","FQ3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446" t="e">
        <f ca="1">_xll.BDH($C$428,"INC_BEF_XO_ITEMS_TO_NET_SALES","FQ3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446" t="e">
        <f ca="1">_xll.BDH($C$428,"PROF_MARGIN","FQ3 2017","FQ3 2017","Currency=INR","Period=FQ","BEST_FPERIOD_OVERRIDE=FQ","FILING_STATUS=OR","EQY_CONSOLIDATED=Y","FA_ADJUSTED=GAAP","Sort=A","Dates=H","DateFormat=P","Fill=—","Direction=H","UseDPDF=Y")</f>
        <v>#NAME?</v>
      </c>
      <c r="P446" t="e">
        <f ca="1">_xll.BDH($C$428,"NET_INCOME_TO_COMMON_MARGIN","FQ3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446" t="e">
        <f ca="1">_xll.BDH($C$428,"EFF_TAX_RATE","FQ3 2017","FQ3 2017","Currency=INR","Period=FQ","BEST_FPERIOD_OVERRIDE=FQ","FILING_STATUS=OR","EQY_CONSOLIDATED=Y","FA_ADJUSTED=GAAP","Sort=A","Dates=H","DateFormat=P","Fill=—","Direction=H","UseDPDF=Y")</f>
        <v>#NAME?</v>
      </c>
      <c r="R446" t="e">
        <f ca="1">_xll.BDH($C$428,"DVD_PAYOUT_RATIO","FQ3 2017","FQ3 2017","Currency=INR","Period=FQ","BEST_FPERIOD_OVERRIDE=FQ","FILING_STATUS=OR","EQY_CONSOLIDATED=Y","FA_ADJUSTED=GAAP","Sort=A","Dates=H","DateFormat=P","Fill=—","Direction=H","UseDPDF=Y")</f>
        <v>#NAME?</v>
      </c>
      <c r="S446" t="e">
        <f ca="1">_xll.BDH($C$428,"SUSTAIN_GROWTH_RT","FQ3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446" s="2" t="e">
        <f ca="1">_xll.BDH($C$428,"SALES_GROWTH","FQ3 2017","FQ3 2017","Currency=INR","Period=FQ","BEST_FPERIOD_OVERRIDE=FQ","FILING_STATUS=OR","EQY_CONSOLIDATED=Y","FA_ADJUSTED=GAAP","Sort=A","Dates=H","DateFormat=P","Fill=—","Direction=H","UseDPDF=Y")</f>
        <v>#NAME?</v>
      </c>
      <c r="U446" s="2" t="e">
        <f ca="1">_xll.BDH($C$428,"EBITDA_GROWTH","FQ3 2017","FQ3 2017","Currency=INR","Period=FQ","BEST_FPERIOD_OVERRIDE=FQ","FILING_STATUS=OR","EQY_CONSOLIDATED=Y","FA_ADJUSTED=GAAP","Sort=A","Dates=H","DateFormat=P","Fill=—","Direction=H","UseDPDF=Y")</f>
        <v>#NAME?</v>
      </c>
      <c r="V446" s="2" t="e">
        <f ca="1">_xll.BDH($C$428,"OPER_INC_GROWTH","FQ3 2017","FQ3 2017","Currency=INR","Period=FQ","BEST_FPERIOD_OVERRIDE=FQ","FILING_STATUS=OR","EQY_CONSOLIDATED=Y","FA_ADJUSTED=GAAP","Sort=A","Dates=H","DateFormat=P","Fill=—","Direction=H","UseDPDF=Y")</f>
        <v>#NAME?</v>
      </c>
      <c r="W446" s="2" t="e">
        <f ca="1">_xll.BDH($C$428,"EARN_FOR_COM_GROWTH","FQ3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446" s="2" t="e">
        <f ca="1">_xll.BDH($C$428,"DILUTED_EPS_AFT_XO_ITEMS_GROWTH","FQ3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446" s="2" t="e">
        <f ca="1">_xll.BDH($C$428,"DIVIDEND_PER_SHARE_1_YEAR_GROWTH","FQ3 2017","FQ3 2017","Currency=INR","Period=FQ","BEST_FPERIOD_OVERRIDE=FQ","FILING_STATUS=OR","EQY_CONSOLIDATED=Y","Sort=A","Dates=H","DateFormat=P","Fill=—","Direction=H","UseDPDF=Y")</f>
        <v>#NAME?</v>
      </c>
      <c r="Z446" s="2" t="e">
        <f ca="1">_xll.BDH($C$428,"ACCOUNTS_RECEIVABLE_GROWTH","FQ3 2017","FQ3 2017","Currency=INR","Period=FQ","BEST_FPERIOD_OVERRIDE=FQ","FILING_STATUS=OR","EQY_CONSOLIDATED=Y","Sort=A","Dates=H","DateFormat=P","Fill=—","Direction=H","UseDPDF=Y")</f>
        <v>#NAME?</v>
      </c>
      <c r="AA446" s="2" t="e">
        <f ca="1">_xll.BDH($C$428,"INVENTORY_GROWTH","FQ3 2017","FQ3 2017","Currency=INR","Period=FQ","BEST_FPERIOD_OVERRIDE=FQ","FILING_STATUS=OR","EQY_CONSOLIDATED=Y","Sort=A","Dates=H","DateFormat=P","Fill=—","Direction=H","UseDPDF=Y")</f>
        <v>#NAME?</v>
      </c>
      <c r="AB446" s="2" t="e">
        <f ca="1">_xll.BDH($C$428,"NET_FIXED_ASSETS_1_YEAR_GROWTH","FQ3 2017","FQ3 2017","Currency=INR","Period=FQ","BEST_FPERIOD_OVERRIDE=FQ","FILING_STATUS=OR","EQY_CONSOLIDATED=Y","Sort=A","Dates=H","DateFormat=P","Fill=—","Direction=H","UseDPDF=Y")</f>
        <v>#NAME?</v>
      </c>
      <c r="AC446" s="2" t="e">
        <f ca="1">_xll.BDH($C$428,"ASSET_GROWTH","FQ3 2017","FQ3 2017","Currency=INR","Period=FQ","BEST_FPERIOD_OVERRIDE=FQ","FILING_STATUS=OR","EQY_CONSOLIDATED=Y","Sort=A","Dates=H","DateFormat=P","Fill=—","Direction=H","UseDPDF=Y")</f>
        <v>#NAME?</v>
      </c>
      <c r="AD446" s="2" t="e">
        <f ca="1">_xll.BDH($C$428,"MODIFIED_WORK_CAP_GROWTH","FQ3 2017","FQ3 2017","Currency=INR","Period=FQ","BEST_FPERIOD_OVERRIDE=FQ","FILING_STATUS=OR","EQY_CONSOLIDATED=Y","Sort=A","Dates=H","DateFormat=P","Fill=—","Direction=H","UseDPDF=Y")</f>
        <v>#NAME?</v>
      </c>
      <c r="AE446" s="2" t="e">
        <f ca="1">_xll.BDH($C$428,"WORK_CAP_GROWTH","FQ3 2017","FQ3 2017","Currency=INR","Period=FQ","BEST_FPERIOD_OVERRIDE=FQ","FILING_STATUS=OR","EQY_CONSOLIDATED=Y","Sort=A","Dates=H","DateFormat=P","Fill=—","Direction=H","UseDPDF=Y")</f>
        <v>#NAME?</v>
      </c>
      <c r="AF446" s="2" t="e">
        <f ca="1">_xll.BDH($C$428,"ACCOUNTS_PAYABLE_GROWTH_1YR","FQ3 2017","FQ3 2017","Currency=INR","Period=FQ","BEST_FPERIOD_OVERRIDE=FQ","FILING_STATUS=OR","EQY_CONSOLIDATED=Y","Sort=A","Dates=H","DateFormat=P","Fill=—","Direction=H","UseDPDF=Y")</f>
        <v>#NAME?</v>
      </c>
      <c r="AG446" s="2" t="e">
        <f ca="1">_xll.BDH($C$428,"SHORT_TERM_DEBT_1_YEAR_GROWTH","FQ3 2017","FQ3 2017","Currency=INR","Period=FQ","BEST_FPERIOD_OVERRIDE=FQ","FILING_STATUS=OR","EQY_CONSOLIDATED=Y","Sort=A","Dates=H","DateFormat=P","Fill=—","Direction=H","UseDPDF=Y")</f>
        <v>#NAME?</v>
      </c>
      <c r="AH446" s="2" t="e">
        <f ca="1">_xll.BDH($C$428,"TOTAL_DEBT_1_YEAR_GROWTH","FQ3 2017","FQ3 2017","Currency=INR","Period=FQ","BEST_FPERIOD_OVERRIDE=FQ","FILING_STATUS=OR","EQY_CONSOLIDATED=Y","Sort=A","Dates=H","DateFormat=P","Fill=—","Direction=H","UseDPDF=Y")</f>
        <v>#NAME?</v>
      </c>
      <c r="AI446" s="2" t="e">
        <f ca="1">_xll.BDH($C$428,"TOTAL_EQUITY_1_YEAR_GROWTH","FQ3 2017","FQ3 2017","Currency=INR","Period=FQ","BEST_FPERIOD_OVERRIDE=FQ","FILING_STATUS=OR","EQY_CONSOLIDATED=Y","Sort=A","Dates=H","DateFormat=P","Fill=—","Direction=H","UseDPDF=Y")</f>
        <v>#NAME?</v>
      </c>
      <c r="AJ446" s="2" t="e">
        <f ca="1">_xll.BDH($C$428,"GROWTH_IN_CAP","FQ3 2017","FQ3 2017","Currency=INR","Period=FQ","BEST_FPERIOD_OVERRIDE=FQ","FILING_STATUS=OR","EQY_CONSOLIDATED=Y","Sort=A","Dates=H","DateFormat=P","Fill=—","Direction=H","UseDPDF=Y")</f>
        <v>#NAME?</v>
      </c>
      <c r="AK446" s="2" t="e">
        <f ca="1">_xll.BDH($C$428,"BVPS_GROWTH","FQ3 2017","FQ3 2017","Currency=INR","Period=FQ","BEST_FPERIOD_OVERRIDE=FQ","FILING_STATUS=OR","EQY_CONSOLIDATED=Y","Sort=A","Dates=H","DateFormat=P","Fill=—","Direction=H","UseDPDF=Y")</f>
        <v>#NAME?</v>
      </c>
      <c r="AL446" s="2" t="e">
        <f ca="1">_xll.BDH($C$428,"CASH_FLOW_GROWTH","FQ3 2017","FQ3 2017","Currency=INR","Period=FQ","BEST_FPERIOD_OVERRIDE=FQ","FILING_STATUS=OR","EQY_CONSOLIDATED=Y","Sort=A","Dates=H","DateFormat=P","Fill=—","Direction=H","UseDPDF=Y")</f>
        <v>#NAME?</v>
      </c>
      <c r="AM446" s="2" t="e">
        <f ca="1">_xll.BDH($C$428,"GEO_GROW_NET_SALES","FQ3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446" s="2" t="e">
        <f ca="1">_xll.BDH($C$428,"GEO_GROW_EBITDA","FQ3 2017","FQ3 2017","Currency=INR","Period=FQ","BEST_FPERIOD_OVERRIDE=FQ","FILING_STATUS=OR","EQY_CONSOLIDATED=Y","FA_ADJUSTED=GAAP","Sort=A","Dates=H","DateFormat=P","Fill=—","Direction=H","UseDPDF=Y")</f>
        <v>#NAME?</v>
      </c>
      <c r="AO446" s="2" t="e">
        <f ca="1">_xll.BDH($C$428,"GEO_GROW_OPER_INC","FQ3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446" s="2" t="e">
        <f ca="1">_xll.BDH($C$428,"NET_INCOME_TO_COMMON_5_YR_GROWTH","FQ3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446" s="2" t="e">
        <f ca="1">_xll.BDH($C$428,"5Y_GEO_GROWTH_DILUTED_EPS","FQ3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446" s="2" t="e">
        <f ca="1">_xll.BDH($C$428,"GEO_GROW_DVD_PER_SH","FQ3 2017","FQ3 2017","Currency=INR","Period=FQ","BEST_FPERIOD_OVERRIDE=FQ","FILING_STATUS=OR","EQY_CONSOLIDATED=Y","Sort=A","Dates=H","DateFormat=P","Fill=—","Direction=H","UseDPDF=Y")</f>
        <v>#NAME?</v>
      </c>
      <c r="AS446" s="2" t="e">
        <f ca="1">_xll.BDH($C$428,"ACCOUNTS_RECEIVABLE_5_YR_GROWTH","FQ3 2017","FQ3 2017","Currency=INR","Period=FQ","BEST_FPERIOD_OVERRIDE=FQ","FILING_STATUS=OR","EQY_CONSOLIDATED=Y","Sort=A","Dates=H","DateFormat=P","Fill=—","Direction=H","UseDPDF=Y")</f>
        <v>#NAME?</v>
      </c>
      <c r="AT446" s="2" t="e">
        <f ca="1">_xll.BDH($C$428,"INVENTORY_5_YEAR_GROWTH","FQ3 2017","FQ3 2017","Currency=INR","Period=FQ","BEST_FPERIOD_OVERRIDE=FQ","FILING_STATUS=OR","EQY_CONSOLIDATED=Y","Sort=A","Dates=H","DateFormat=P","Fill=—","Direction=H","UseDPDF=Y")</f>
        <v>#NAME?</v>
      </c>
      <c r="AU446" s="2" t="e">
        <f ca="1">_xll.BDH($C$428,"NET_FIXED_ASSETS_5_YEAR_GROWTH","FQ3 2017","FQ3 2017","Currency=INR","Period=FQ","BEST_FPERIOD_OVERRIDE=FQ","FILING_STATUS=OR","EQY_CONSOLIDATED=Y","Sort=A","Dates=H","DateFormat=P","Fill=—","Direction=H","UseDPDF=Y")</f>
        <v>#NAME?</v>
      </c>
      <c r="AV446" s="2" t="e">
        <f ca="1">_xll.BDH($C$428,"GEO_GROW_TOT_ASSET","FQ3 2017","FQ3 2017","Currency=INR","Period=FQ","BEST_FPERIOD_OVERRIDE=FQ","FILING_STATUS=OR","EQY_CONSOLIDATED=Y","Sort=A","Dates=H","DateFormat=P","Fill=—","Direction=H","UseDPDF=Y")</f>
        <v>#NAME?</v>
      </c>
      <c r="AW446" s="2" t="e">
        <f ca="1">_xll.BDH($C$428,"MODIFIED_WORKING_CPTL_5YR_GRWTH","FQ3 2017","FQ3 2017","Currency=INR","Period=FQ","BEST_FPERIOD_OVERRIDE=FQ","FILING_STATUS=OR","EQY_CONSOLIDATED=Y","Sort=A","Dates=H","DateFormat=P","Fill=—","Direction=H","UseDPDF=Y")</f>
        <v>#NAME?</v>
      </c>
      <c r="AX446" s="2" t="e">
        <f ca="1">_xll.BDH($C$428,"WORKING_CAPITAL_5_YEAR_GROWTH","FQ3 2017","FQ3 2017","Currency=INR","Period=FQ","BEST_FPERIOD_OVERRIDE=FQ","FILING_STATUS=OR","EQY_CONSOLIDATED=Y","Sort=A","Dates=H","DateFormat=P","Fill=—","Direction=H","UseDPDF=Y")</f>
        <v>#NAME?</v>
      </c>
      <c r="AY446" s="2" t="e">
        <f ca="1">_xll.BDH($C$428,"ACCOUNTS_PAYABLE_5_YEAR_GROWTH","FQ3 2017","FQ3 2017","Currency=INR","Period=FQ","BEST_FPERIOD_OVERRIDE=FQ","FILING_STATUS=OR","EQY_CONSOLIDATED=Y","Sort=A","Dates=H","DateFormat=P","Fill=—","Direction=H","UseDPDF=Y")</f>
        <v>#NAME?</v>
      </c>
      <c r="AZ446" s="2" t="e">
        <f ca="1">_xll.BDH($C$428,"SHORT_TERM_DEBT_5_YEAR_GROWTH","FQ3 2017","FQ3 2017","Currency=INR","Period=FQ","BEST_FPERIOD_OVERRIDE=FQ","FILING_STATUS=OR","EQY_CONSOLIDATED=Y","Sort=A","Dates=H","DateFormat=P","Fill=—","Direction=H","UseDPDF=Y")</f>
        <v>#NAME?</v>
      </c>
      <c r="BA446" s="2" t="e">
        <f ca="1">_xll.BDH($C$428,"TOTAL_DEBT_5_YEAR_GROWTH","FQ3 2017","FQ3 2017","Currency=INR","Period=FQ","BEST_FPERIOD_OVERRIDE=FQ","FILING_STATUS=OR","EQY_CONSOLIDATED=Y","Sort=A","Dates=H","DateFormat=P","Fill=—","Direction=H","UseDPDF=Y")</f>
        <v>#NAME?</v>
      </c>
      <c r="BB446" s="2" t="e">
        <f ca="1">_xll.BDH($C$428,"GEO_GROW_TOT_SHRHLDR_EQY","FQ3 2017","FQ3 2017","Currency=INR","Period=FQ","BEST_FPERIOD_OVERRIDE=FQ","FILING_STATUS=OR","EQY_CONSOLIDATED=Y","Sort=A","Dates=H","DateFormat=P","Fill=—","Direction=H","UseDPDF=Y")</f>
        <v>#NAME?</v>
      </c>
      <c r="BC446" s="2" t="e">
        <f ca="1">_xll.BDH($C$428,"TOTAL_CAPITAL_5_YEAR_GROWTH","FQ3 2017","FQ3 2017","Currency=INR","Period=FQ","BEST_FPERIOD_OVERRIDE=FQ","FILING_STATUS=OR","EQY_CONSOLIDATED=Y","Sort=A","Dates=H","DateFormat=P","Fill=—","Direction=H","UseDPDF=Y")</f>
        <v>#NAME?</v>
      </c>
      <c r="BD446" s="2" t="e">
        <f ca="1">_xll.BDH($C$428,"GEO_GROW_BOOK_VAL","FQ3 2017","FQ3 2017","Currency=INR","Period=FQ","BEST_FPERIOD_OVERRIDE=FQ","FILING_STATUS=OR","EQY_CONSOLIDATED=Y","Sort=A","Dates=H","DateFormat=P","Fill=—","Direction=H","UseDPDF=Y")</f>
        <v>#NAME?</v>
      </c>
      <c r="BE446" s="2" t="e">
        <f ca="1">_xll.BDH($C$428,"GEO_GROW_CASH_OPER_ACT","FQ3 2017","FQ3 2017","Currency=INR","Period=FQ","BEST_FPERIOD_OVERRIDE=FQ","FILING_STATUS=OR","EQY_CONSOLIDATED=Y","Sort=A","Dates=H","DateFormat=P","Fill=—","Direction=H","UseDPDF=Y")</f>
        <v>#NAME?</v>
      </c>
      <c r="BF446" s="2" t="e">
        <f ca="1">_xll.BDH($C$428,"REVENUE_SEQUENTIAL_GROWTH","FQ3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446" s="2" t="e">
        <f ca="1">_xll.BDH($C$428,"EBITDA_SEQUENTIAL_GROWTH","FQ3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446" s="2" t="e">
        <f ca="1">_xll.BDH($C$428,"OPERATING_INCOME_SEQ_GROWTH","FQ3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446" s="2" t="e">
        <f ca="1">_xll.BDH($C$428,"NET_INCOME_TO_COMMON_SEQ_GROWTH","FQ3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446" s="2" t="e">
        <f ca="1">_xll.BDH($C$428,"EPS_DILUTED_SEQUENTIAL_GROWTH","FQ3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446" s="2" t="e">
        <f ca="1">_xll.BDH($C$428,"DPS_SEQUENTIAL_GROWTH","FQ3 2017","FQ3 2017","Currency=INR","Period=FQ","BEST_FPERIOD_OVERRIDE=FQ","FILING_STATUS=OR","EQY_CONSOLIDATED=Y","Sort=A","Dates=H","DateFormat=P","Fill=—","Direction=H","UseDPDF=Y")</f>
        <v>#NAME?</v>
      </c>
      <c r="BL446" s="2" t="e">
        <f ca="1">_xll.BDH($C$428,"ACCOUNTS_RECEIVABLE_SEQ_GROWTH","FQ3 2017","FQ3 2017","Currency=INR","Period=FQ","BEST_FPERIOD_OVERRIDE=FQ","FILING_STATUS=OR","EQY_CONSOLIDATED=Y","Sort=A","Dates=H","DateFormat=P","Fill=—","Direction=H","UseDPDF=Y")</f>
        <v>#NAME?</v>
      </c>
      <c r="BM446" s="2" t="e">
        <f ca="1">_xll.BDH($C$428,"INVENTORY_SEQUENTIAL_GROWTH","FQ3 2017","FQ3 2017","Currency=INR","Period=FQ","BEST_FPERIOD_OVERRIDE=FQ","FILING_STATUS=OR","EQY_CONSOLIDATED=Y","Sort=A","Dates=H","DateFormat=P","Fill=—","Direction=H","UseDPDF=Y")</f>
        <v>#NAME?</v>
      </c>
      <c r="BN446" s="2" t="e">
        <f ca="1">_xll.BDH($C$428,"FIXED_ASSETS_SEQUENTIAL_GROWTH","FQ3 2017","FQ3 2017","Currency=INR","Period=FQ","BEST_FPERIOD_OVERRIDE=FQ","FILING_STATUS=OR","EQY_CONSOLIDATED=Y","Sort=A","Dates=H","DateFormat=P","Fill=—","Direction=H","UseDPDF=Y")</f>
        <v>#NAME?</v>
      </c>
      <c r="BO446" s="2" t="e">
        <f ca="1">_xll.BDH($C$428,"TOTAL_ASSETS_SEQUENTIAL_GROWTH","FQ3 2017","FQ3 2017","Currency=INR","Period=FQ","BEST_FPERIOD_OVERRIDE=FQ","FILING_STATUS=OR","EQY_CONSOLIDATED=Y","Sort=A","Dates=H","DateFormat=P","Fill=—","Direction=H","UseDPDF=Y")</f>
        <v>#NAME?</v>
      </c>
      <c r="BP446" s="2" t="e">
        <f ca="1">_xll.BDH($C$428,"MODIFIED_WORKING_CPTL_SEQ_GRWTH","FQ3 2017","FQ3 2017","Currency=INR","Period=FQ","BEST_FPERIOD_OVERRIDE=FQ","FILING_STATUS=OR","EQY_CONSOLIDATED=Y","Sort=A","Dates=H","DateFormat=P","Fill=—","Direction=H","UseDPDF=Y")</f>
        <v>#NAME?</v>
      </c>
      <c r="BQ446" s="2" t="e">
        <f ca="1">_xll.BDH($C$428,"WORKING_CAPITAL_SEQ_GROWTH","FQ3 2017","FQ3 2017","Currency=INR","Period=FQ","BEST_FPERIOD_OVERRIDE=FQ","FILING_STATUS=OR","EQY_CONSOLIDATED=Y","Sort=A","Dates=H","DateFormat=P","Fill=—","Direction=H","UseDPDF=Y")</f>
        <v>#NAME?</v>
      </c>
      <c r="BR446" s="2" t="e">
        <f ca="1">_xll.BDH($C$428,"ACCOUNTS_PAYABLE_SEQ_GROWTH","FQ3 2017","FQ3 2017","Currency=INR","Period=FQ","BEST_FPERIOD_OVERRIDE=FQ","FILING_STATUS=OR","EQY_CONSOLIDATED=Y","Sort=A","Dates=H","DateFormat=P","Fill=—","Direction=H","UseDPDF=Y")</f>
        <v>#NAME?</v>
      </c>
      <c r="BS446" s="2" t="e">
        <f ca="1">_xll.BDH($C$428,"ST_DEBT_SEQUENTIAL_GROWTH","FQ3 2017","FQ3 2017","Currency=INR","Period=FQ","BEST_FPERIOD_OVERRIDE=FQ","FILING_STATUS=OR","EQY_CONSOLIDATED=Y","Sort=A","Dates=H","DateFormat=P","Fill=—","Direction=H","UseDPDF=Y")</f>
        <v>#NAME?</v>
      </c>
      <c r="BT446" s="2" t="e">
        <f ca="1">_xll.BDH($C$428,"TOTAL_DEBT_SEQUENTIAL_GROWTH","FQ3 2017","FQ3 2017","Currency=INR","Period=FQ","BEST_FPERIOD_OVERRIDE=FQ","FILING_STATUS=OR","EQY_CONSOLIDATED=Y","Sort=A","Dates=H","DateFormat=P","Fill=—","Direction=H","UseDPDF=Y")</f>
        <v>#NAME?</v>
      </c>
      <c r="BU446" s="2" t="e">
        <f ca="1">_xll.BDH($C$428,"TOTAL_EQUITY_SEQUENTIAL_GROWTH","FQ3 2017","FQ3 2017","Currency=INR","Period=FQ","BEST_FPERIOD_OVERRIDE=FQ","FILING_STATUS=OR","EQY_CONSOLIDATED=Y","Sort=A","Dates=H","DateFormat=P","Fill=—","Direction=H","UseDPDF=Y")</f>
        <v>#NAME?</v>
      </c>
      <c r="BV446" s="2" t="e">
        <f ca="1">_xll.BDH($C$428,"TOTAL_CAPITAL_SEQUENTIAL_GROWTH","FQ3 2017","FQ3 2017","Currency=INR","Period=FQ","BEST_FPERIOD_OVERRIDE=FQ","FILING_STATUS=OR","EQY_CONSOLIDATED=Y","Sort=A","Dates=H","DateFormat=P","Fill=—","Direction=H","UseDPDF=Y")</f>
        <v>#NAME?</v>
      </c>
      <c r="BW446" s="2" t="e">
        <f ca="1">_xll.BDH($C$428,"BPS_SEQUENTIAL_GROWTH","FQ3 2017","FQ3 2017","Currency=INR","Period=FQ","BEST_FPERIOD_OVERRIDE=FQ","FILING_STATUS=OR","EQY_CONSOLIDATED=Y","Sort=A","Dates=H","DateFormat=P","Fill=—","Direction=H","UseDPDF=Y")</f>
        <v>#NAME?</v>
      </c>
      <c r="BX446" s="2" t="e">
        <f ca="1">_xll.BDH($C$428,"CFO_SEQUENTIAL_GROWTH","FQ3 2017","FQ3 2017","Currency=INR","Period=FQ","BEST_FPERIOD_OVERRIDE=FQ","FILING_STATUS=OR","EQY_CONSOLIDATED=Y","Sort=A","Dates=H","DateFormat=P","Fill=—","Direction=H","UseDPDF=Y")</f>
        <v>#NAME?</v>
      </c>
      <c r="BY446" s="3" t="e">
        <f ca="1">_xll.BDH($C$428,"SHORT_AND_LONG_TERM_DEBT","FQ3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446" s="3" t="e">
        <f ca="1">_xll.BDH($C$428,"BS_ST_BORROW","FQ3 2017","FQ3 2017","Currency=INR","Period=FQ","BEST_FPERIOD_OVERRIDE=FQ","FILING_STATUS=OR","EQY_CONSOLIDATED=Y","SCALING_FORMAT=MLN","Sort=A","Dates=H","DateFormat=P","Fill=—","Direction=H","UseDPDF=Y")</f>
        <v>#NAME?</v>
      </c>
      <c r="CA446" s="3" t="e">
        <f ca="1">_xll.BDH($C$428,"BS_LT_BORROW","FQ3 2017","FQ3 2017","Currency=INR","Period=FQ","BEST_FPERIOD_OVERRIDE=FQ","FILING_STATUS=OR","EQY_CONSOLIDATED=Y","SCALING_FORMAT=MLN","Sort=A","Dates=H","DateFormat=P","Fill=—","Direction=H","UseDPDF=Y")</f>
        <v>#NAME?</v>
      </c>
      <c r="CB446" s="2" t="e">
        <f ca="1">_xll.BDH($C$428,"TOT_DEBT_TO_EBITDA","FQ3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446" s="2" t="e">
        <f ca="1">_xll.BDH($C$428,"NET_DEBT_TO_EBITDA","FQ3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446" s="2" t="e">
        <f ca="1">_xll.BDH($C$428,"TOTAL_DEBT_TO_EBIT","FQ3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446" s="2" t="e">
        <f ca="1">_xll.BDH($C$428,"NET_DEBT_TO_EBIT","FQ3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446" s="2" t="e">
        <f ca="1">_xll.BDH($C$428,"EBITDA_TO_INTEREST_EXPN","FQ3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446" s="2" t="e">
        <f ca="1">_xll.BDH($C$428,"COM_EQY_TO_TOT_ASSET","FQ3 2017","FQ3 2017","Currency=INR","Period=FQ","BEST_FPERIOD_OVERRIDE=FQ","FILING_STATUS=OR","EQY_CONSOLIDATED=Y","Sort=A","Dates=H","DateFormat=P","Fill=—","Direction=H","UseDPDF=Y")</f>
        <v>#NAME?</v>
      </c>
      <c r="CH446" s="2" t="e">
        <f ca="1">_xll.BDH($C$428,"LT_DEBT_TO_TOT_EQY","FQ3 2017","FQ3 2017","Currency=INR","Period=FQ","BEST_FPERIOD_OVERRIDE=FQ","FILING_STATUS=OR","EQY_CONSOLIDATED=Y","Sort=A","Dates=H","DateFormat=P","Fill=—","Direction=H","UseDPDF=Y")</f>
        <v>#NAME?</v>
      </c>
      <c r="CI446" s="2" t="e">
        <f ca="1">_xll.BDH($C$428,"LT_DEBT_TO_TOT_CAP","FQ3 2017","FQ3 2017","Currency=INR","Period=FQ","BEST_FPERIOD_OVERRIDE=FQ","FILING_STATUS=OR","EQY_CONSOLIDATED=Y","Sort=A","Dates=H","DateFormat=P","Fill=—","Direction=H","UseDPDF=Y")</f>
        <v>#NAME?</v>
      </c>
      <c r="CJ446" s="2" t="e">
        <f ca="1">_xll.BDH($C$428,"LT_DEBT_TO_TOT_ASSET","FQ3 2017","FQ3 2017","Currency=INR","Period=FQ","BEST_FPERIOD_OVERRIDE=FQ","FILING_STATUS=OR","EQY_CONSOLIDATED=Y","Sort=A","Dates=H","DateFormat=P","Fill=—","Direction=H","UseDPDF=Y")</f>
        <v>#NAME?</v>
      </c>
      <c r="CK446" s="2" t="e">
        <f ca="1">_xll.BDH($C$428,"TOT_DEBT_TO_TOT_EQY","FQ3 2017","FQ3 2017","Currency=INR","Period=FQ","BEST_FPERIOD_OVERRIDE=FQ","FILING_STATUS=OR","EQY_CONSOLIDATED=Y","Sort=A","Dates=H","DateFormat=P","Fill=—","Direction=H","UseDPDF=Y")</f>
        <v>#NAME?</v>
      </c>
      <c r="CL446" s="2" t="e">
        <f ca="1">_xll.BDH($C$428,"TOT_DEBT_TO_TOT_CAP","FQ3 2017","FQ3 2017","Currency=INR","Period=FQ","BEST_FPERIOD_OVERRIDE=FQ","FILING_STATUS=OR","EQY_CONSOLIDATED=Y","Sort=A","Dates=H","DateFormat=P","Fill=—","Direction=H","UseDPDF=Y")</f>
        <v>#NAME?</v>
      </c>
      <c r="CM446" s="2" t="e">
        <f ca="1">_xll.BDH($C$428,"TOT_DEBT_TO_TOT_ASSET","FQ3 2017","FQ3 2017","Currency=INR","Period=FQ","BEST_FPERIOD_OVERRIDE=FQ","FILING_STATUS=OR","EQY_CONSOLIDATED=Y","Sort=A","Dates=H","DateFormat=P","Fill=—","Direction=H","UseDPDF=Y")</f>
        <v>#NAME?</v>
      </c>
      <c r="CN446" s="2" t="e">
        <f ca="1">_xll.BDH($C$428,"NET_DEBT_TO_SHRHLDR_EQTY","FQ3 2017","FQ3 2017","Currency=INR","Period=FQ","BEST_FPERIOD_OVERRIDE=FQ","FILING_STATUS=OR","EQY_CONSOLIDATED=Y","Sort=A","Dates=H","DateFormat=P","Fill=—","Direction=H","UseDPDF=Y")</f>
        <v>#NAME?</v>
      </c>
      <c r="CO446" s="2" t="e">
        <f ca="1">_xll.BDH($C$428,"NET_DEBT_%_CAPITAL","FQ3 2017","FQ3 2017","Currency=INR","Period=FQ","BEST_FPERIOD_OVERRIDE=FQ","FILING_STATUS=OR","EQY_CONSOLIDATED=Y","Sort=A","Dates=H","DateFormat=P","Fill=—","Direction=H","UseDPDF=Y")</f>
        <v>#NAME?</v>
      </c>
      <c r="CP446" s="3" t="e">
        <f ca="1">_xll.BDH($C$428,"EBITDA","FQ3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446" s="3" t="e">
        <f ca="1">_xll.BDH($C$428,"EBITDA_AFTER_CAPEX","FQ3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446" s="3" t="e">
        <f ca="1">_xll.BDH($C$428,"IS_OPER_INC","FQ3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446" s="2" t="e">
        <f ca="1">_xll.BDH($C$428,"CASH_RATIO","FQ3 2017","FQ3 2017","Currency=INR","Period=FQ","BEST_FPERIOD_OVERRIDE=FQ","FILING_STATUS=OR","EQY_CONSOLIDATED=Y","Sort=A","Dates=H","DateFormat=P","Fill=—","Direction=H","UseDPDF=Y")</f>
        <v>#NAME?</v>
      </c>
      <c r="CT446" s="2" t="e">
        <f ca="1">_xll.BDH($C$428,"CUR_RATIO","FQ3 2017","FQ3 2017","Currency=INR","Period=FQ","BEST_FPERIOD_OVERRIDE=FQ","FILING_STATUS=OR","EQY_CONSOLIDATED=Y","Sort=A","Dates=H","DateFormat=P","Fill=—","Direction=H","UseDPDF=Y")</f>
        <v>#NAME?</v>
      </c>
      <c r="CU446" s="2" t="e">
        <f ca="1">_xll.BDH($C$428,"QUICK_RATIO","FQ3 2017","FQ3 2017","Currency=INR","Period=FQ","BEST_FPERIOD_OVERRIDE=FQ","FILING_STATUS=OR","EQY_CONSOLIDATED=Y","Sort=A","Dates=H","DateFormat=P","Fill=—","Direction=H","UseDPDF=Y")</f>
        <v>#NAME?</v>
      </c>
      <c r="CV446" s="2" t="e">
        <f ca="1">_xll.BDH($C$428,"ALTMAN_Z_SCORE","FQ3 2017","FQ3 2017","Currency=INR","Period=FQ","BEST_FPERIOD_OVERRIDE=FQ","FILING_STATUS=OR","EQY_CONSOLIDATED=Y","Sort=A","Dates=H","DateFormat=P","Fill=—","Direction=H","UseDPDF=Y")</f>
        <v>#NAME?</v>
      </c>
      <c r="CW446" s="4" t="e">
        <f ca="1">_xll.BDH($C$428,"ACCT_RCV_TURN","FQ3 2017","FQ3 2017","Currency=INR","Period=FQ","BEST_FPERIOD_OVERRIDE=FQ","FILING_STATUS=OR","EQY_CONSOLIDATED=Y","FA_ADJUSTED=GAAP","Sort=A","Dates=H","DateFormat=P","Fill=—","Direction=H","UseDPDF=Y")</f>
        <v>#NAME?</v>
      </c>
      <c r="CX446" s="2" t="e">
        <f ca="1">_xll.BDH($C$428,"ACCT_RCV_DAYS","FQ3 2017","FQ3 2017","Currency=INR","Period=FQ","BEST_FPERIOD_OVERRIDE=FQ","FILING_STATUS=OR","EQY_CONSOLIDATED=Y","FA_ADJUSTED=GAAP","Sort=A","Dates=H","DateFormat=P","Fill=—","Direction=H","UseDPDF=Y")</f>
        <v>#NAME?</v>
      </c>
      <c r="CY446" s="4" t="e">
        <f ca="1">_xll.BDH($C$428,"INVENT_TURN","FQ3 2017","FQ3 2017","Currency=INR","Period=FQ","BEST_FPERIOD_OVERRIDE=FQ","FILING_STATUS=OR","EQY_CONSOLIDATED=Y","FA_ADJUSTED=GAAP","Sort=A","Dates=H","DateFormat=P","Fill=—","Direction=H","UseDPDF=Y")</f>
        <v>#NAME?</v>
      </c>
      <c r="CZ446" s="2" t="e">
        <f ca="1">_xll.BDH($C$428,"INVENT_DAYS","FQ3 2017","FQ3 2017","Currency=INR","Period=FQ","BEST_FPERIOD_OVERRIDE=FQ","FILING_STATUS=OR","EQY_CONSOLIDATED=Y","FA_ADJUSTED=GAAP","Sort=A","Dates=H","DateFormat=P","Fill=—","Direction=H","UseDPDF=Y")</f>
        <v>#NAME?</v>
      </c>
      <c r="DA446" s="4" t="e">
        <f ca="1">_xll.BDH($C$428,"ACCOUNTS_PAYABLE_TURNOVER","FQ3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446" s="2" t="e">
        <f ca="1">_xll.BDH($C$428,"ACCOUNTS_PAYABLE_TURNOVER_DAYS","FQ3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446" s="4" t="e">
        <f ca="1">_xll.BDH($C$428,"CASH_CONVERSION_CYCLE","FQ3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446" s="4" t="e">
        <f ca="1">_xll.BDH($C$428,"INV_TO_CASH_DAYS","FQ3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446" s="5" t="e">
        <f ca="1">_xll.BDH($C$428,"BS_INVENTORIES","FQ3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446" s="3" t="e">
        <f ca="1">_xll.BDH($C$428,"INVTRY_RAW_MATERIALS","FQ3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446" s="3" t="e">
        <f ca="1">_xll.BDH($C$428,"INVTRY_IN_PROGRESS","FQ3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446" s="3" t="e">
        <f ca="1">_xll.BDH($C$428,"INVTRY_FINISHED_GOODS","FQ3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446" s="3" t="e">
        <f ca="1">_xll.BDH($C$428,"BS_OTHER_INV","FQ3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447" spans="1:113" x14ac:dyDescent="0.3">
      <c r="A447" s="6"/>
      <c r="B447" s="6"/>
      <c r="C447" s="6"/>
      <c r="D447" s="6"/>
      <c r="E447" t="s">
        <v>81</v>
      </c>
      <c r="F447" t="e">
        <f ca="1">_xll.BDH($C$428,"RETURN_COM_EQY","FQ4 2017","FQ4 2017","Currency=INR","Period=FQ","BEST_FPERIOD_OVERRIDE=FQ","FILING_STATUS=OR","EQY_CONSOLIDATED=Y","FA_ADJUSTED=GAAP","Sort=A","Dates=H","DateFormat=P","Fill=—","Direction=H","UseDPDF=Y")</f>
        <v>#NAME?</v>
      </c>
      <c r="G447" t="e">
        <f ca="1">_xll.BDH($C$428,"RETURN_ON_ASSET","FQ4 2017","FQ4 2017","Currency=INR","Period=FQ","BEST_FPERIOD_OVERRIDE=FQ","FILING_STATUS=OR","EQY_CONSOLIDATED=Y","FA_ADJUSTED=GAAP","Sort=A","Dates=H","DateFormat=P","Fill=—","Direction=H","UseDPDF=Y")</f>
        <v>#NAME?</v>
      </c>
      <c r="H447" t="e">
        <f ca="1">_xll.BDH($C$428,"RETURN_ON_CAP","FQ4 2017","FQ4 2017","Currency=INR","Period=FQ","BEST_FPERIOD_OVERRIDE=FQ","FILING_STATUS=OR","EQY_CONSOLIDATED=Y","FA_ADJUSTED=GAAP","Sort=A","Dates=H","DateFormat=P","Fill=—","Direction=H","UseDPDF=Y")</f>
        <v>#NAME?</v>
      </c>
      <c r="I447" t="e">
        <f ca="1">_xll.BDH($C$428,"RETURN_ON_INV_CAPITAL","FQ4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447" t="e">
        <f ca="1">_xll.BDH($C$428,"EBITDA_TO_REVENUE","FQ4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447" t="e">
        <f ca="1">_xll.BDH($C$428,"OPER_MARGIN","FQ4 2017","FQ4 2017","Currency=INR","Period=FQ","BEST_FPERIOD_OVERRIDE=FQ","FILING_STATUS=OR","EQY_CONSOLIDATED=Y","FA_ADJUSTED=GAAP","Sort=A","Dates=H","DateFormat=P","Fill=—","Direction=H","UseDPDF=Y")</f>
        <v>#NAME?</v>
      </c>
      <c r="L447" t="e">
        <f ca="1">_xll.BDH($C$428,"INCREMENTAL_OPERATING_MARGIN","FQ4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447" t="e">
        <f ca="1">_xll.BDH($C$428,"PRETAX_INC_TO_NET_SALES","FQ4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447" t="e">
        <f ca="1">_xll.BDH($C$428,"INC_BEF_XO_ITEMS_TO_NET_SALES","FQ4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447" t="e">
        <f ca="1">_xll.BDH($C$428,"PROF_MARGIN","FQ4 2017","FQ4 2017","Currency=INR","Period=FQ","BEST_FPERIOD_OVERRIDE=FQ","FILING_STATUS=OR","EQY_CONSOLIDATED=Y","FA_ADJUSTED=GAAP","Sort=A","Dates=H","DateFormat=P","Fill=—","Direction=H","UseDPDF=Y")</f>
        <v>#NAME?</v>
      </c>
      <c r="P447" t="e">
        <f ca="1">_xll.BDH($C$428,"NET_INCOME_TO_COMMON_MARGIN","FQ4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447" t="e">
        <f ca="1">_xll.BDH($C$428,"EFF_TAX_RATE","FQ4 2017","FQ4 2017","Currency=INR","Period=FQ","BEST_FPERIOD_OVERRIDE=FQ","FILING_STATUS=OR","EQY_CONSOLIDATED=Y","FA_ADJUSTED=GAAP","Sort=A","Dates=H","DateFormat=P","Fill=—","Direction=H","UseDPDF=Y")</f>
        <v>#NAME?</v>
      </c>
      <c r="R447" t="e">
        <f ca="1">_xll.BDH($C$428,"DVD_PAYOUT_RATIO","FQ4 2017","FQ4 2017","Currency=INR","Period=FQ","BEST_FPERIOD_OVERRIDE=FQ","FILING_STATUS=OR","EQY_CONSOLIDATED=Y","FA_ADJUSTED=GAAP","Sort=A","Dates=H","DateFormat=P","Fill=—","Direction=H","UseDPDF=Y")</f>
        <v>#NAME?</v>
      </c>
      <c r="S447" t="e">
        <f ca="1">_xll.BDH($C$428,"SUSTAIN_GROWTH_RT","FQ4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447" s="2" t="e">
        <f ca="1">_xll.BDH($C$428,"SALES_GROWTH","FQ4 2017","FQ4 2017","Currency=INR","Period=FQ","BEST_FPERIOD_OVERRIDE=FQ","FILING_STATUS=OR","EQY_CONSOLIDATED=Y","FA_ADJUSTED=GAAP","Sort=A","Dates=H","DateFormat=P","Fill=—","Direction=H","UseDPDF=Y")</f>
        <v>#NAME?</v>
      </c>
      <c r="U447" s="2" t="e">
        <f ca="1">_xll.BDH($C$428,"EBITDA_GROWTH","FQ4 2017","FQ4 2017","Currency=INR","Period=FQ","BEST_FPERIOD_OVERRIDE=FQ","FILING_STATUS=OR","EQY_CONSOLIDATED=Y","FA_ADJUSTED=GAAP","Sort=A","Dates=H","DateFormat=P","Fill=—","Direction=H","UseDPDF=Y")</f>
        <v>#NAME?</v>
      </c>
      <c r="V447" s="2" t="e">
        <f ca="1">_xll.BDH($C$428,"OPER_INC_GROWTH","FQ4 2017","FQ4 2017","Currency=INR","Period=FQ","BEST_FPERIOD_OVERRIDE=FQ","FILING_STATUS=OR","EQY_CONSOLIDATED=Y","FA_ADJUSTED=GAAP","Sort=A","Dates=H","DateFormat=P","Fill=—","Direction=H","UseDPDF=Y")</f>
        <v>#NAME?</v>
      </c>
      <c r="W447" s="2" t="e">
        <f ca="1">_xll.BDH($C$428,"EARN_FOR_COM_GROWTH","FQ4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447" s="2" t="e">
        <f ca="1">_xll.BDH($C$428,"DILUTED_EPS_AFT_XO_ITEMS_GROWTH","FQ4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447" s="2" t="e">
        <f ca="1">_xll.BDH($C$428,"DIVIDEND_PER_SHARE_1_YEAR_GROWTH","FQ4 2017","FQ4 2017","Currency=INR","Period=FQ","BEST_FPERIOD_OVERRIDE=FQ","FILING_STATUS=OR","EQY_CONSOLIDATED=Y","Sort=A","Dates=H","DateFormat=P","Fill=—","Direction=H","UseDPDF=Y")</f>
        <v>#NAME?</v>
      </c>
      <c r="Z447" s="2" t="e">
        <f ca="1">_xll.BDH($C$428,"ACCOUNTS_RECEIVABLE_GROWTH","FQ4 2017","FQ4 2017","Currency=INR","Period=FQ","BEST_FPERIOD_OVERRIDE=FQ","FILING_STATUS=OR","EQY_CONSOLIDATED=Y","Sort=A","Dates=H","DateFormat=P","Fill=—","Direction=H","UseDPDF=Y")</f>
        <v>#NAME?</v>
      </c>
      <c r="AA447" s="2" t="e">
        <f ca="1">_xll.BDH($C$428,"INVENTORY_GROWTH","FQ4 2017","FQ4 2017","Currency=INR","Period=FQ","BEST_FPERIOD_OVERRIDE=FQ","FILING_STATUS=OR","EQY_CONSOLIDATED=Y","Sort=A","Dates=H","DateFormat=P","Fill=—","Direction=H","UseDPDF=Y")</f>
        <v>#NAME?</v>
      </c>
      <c r="AB447" s="2" t="e">
        <f ca="1">_xll.BDH($C$428,"NET_FIXED_ASSETS_1_YEAR_GROWTH","FQ4 2017","FQ4 2017","Currency=INR","Period=FQ","BEST_FPERIOD_OVERRIDE=FQ","FILING_STATUS=OR","EQY_CONSOLIDATED=Y","Sort=A","Dates=H","DateFormat=P","Fill=—","Direction=H","UseDPDF=Y")</f>
        <v>#NAME?</v>
      </c>
      <c r="AC447" s="2" t="e">
        <f ca="1">_xll.BDH($C$428,"ASSET_GROWTH","FQ4 2017","FQ4 2017","Currency=INR","Period=FQ","BEST_FPERIOD_OVERRIDE=FQ","FILING_STATUS=OR","EQY_CONSOLIDATED=Y","Sort=A","Dates=H","DateFormat=P","Fill=—","Direction=H","UseDPDF=Y")</f>
        <v>#NAME?</v>
      </c>
      <c r="AD447" s="2" t="e">
        <f ca="1">_xll.BDH($C$428,"MODIFIED_WORK_CAP_GROWTH","FQ4 2017","FQ4 2017","Currency=INR","Period=FQ","BEST_FPERIOD_OVERRIDE=FQ","FILING_STATUS=OR","EQY_CONSOLIDATED=Y","Sort=A","Dates=H","DateFormat=P","Fill=—","Direction=H","UseDPDF=Y")</f>
        <v>#NAME?</v>
      </c>
      <c r="AE447" s="2" t="e">
        <f ca="1">_xll.BDH($C$428,"WORK_CAP_GROWTH","FQ4 2017","FQ4 2017","Currency=INR","Period=FQ","BEST_FPERIOD_OVERRIDE=FQ","FILING_STATUS=OR","EQY_CONSOLIDATED=Y","Sort=A","Dates=H","DateFormat=P","Fill=—","Direction=H","UseDPDF=Y")</f>
        <v>#NAME?</v>
      </c>
      <c r="AF447" s="2" t="e">
        <f ca="1">_xll.BDH($C$428,"ACCOUNTS_PAYABLE_GROWTH_1YR","FQ4 2017","FQ4 2017","Currency=INR","Period=FQ","BEST_FPERIOD_OVERRIDE=FQ","FILING_STATUS=OR","EQY_CONSOLIDATED=Y","Sort=A","Dates=H","DateFormat=P","Fill=—","Direction=H","UseDPDF=Y")</f>
        <v>#NAME?</v>
      </c>
      <c r="AG447" s="2" t="e">
        <f ca="1">_xll.BDH($C$428,"SHORT_TERM_DEBT_1_YEAR_GROWTH","FQ4 2017","FQ4 2017","Currency=INR","Period=FQ","BEST_FPERIOD_OVERRIDE=FQ","FILING_STATUS=OR","EQY_CONSOLIDATED=Y","Sort=A","Dates=H","DateFormat=P","Fill=—","Direction=H","UseDPDF=Y")</f>
        <v>#NAME?</v>
      </c>
      <c r="AH447" s="2" t="e">
        <f ca="1">_xll.BDH($C$428,"TOTAL_DEBT_1_YEAR_GROWTH","FQ4 2017","FQ4 2017","Currency=INR","Period=FQ","BEST_FPERIOD_OVERRIDE=FQ","FILING_STATUS=OR","EQY_CONSOLIDATED=Y","Sort=A","Dates=H","DateFormat=P","Fill=—","Direction=H","UseDPDF=Y")</f>
        <v>#NAME?</v>
      </c>
      <c r="AI447" s="2" t="e">
        <f ca="1">_xll.BDH($C$428,"TOTAL_EQUITY_1_YEAR_GROWTH","FQ4 2017","FQ4 2017","Currency=INR","Period=FQ","BEST_FPERIOD_OVERRIDE=FQ","FILING_STATUS=OR","EQY_CONSOLIDATED=Y","Sort=A","Dates=H","DateFormat=P","Fill=—","Direction=H","UseDPDF=Y")</f>
        <v>#NAME?</v>
      </c>
      <c r="AJ447" s="2" t="e">
        <f ca="1">_xll.BDH($C$428,"GROWTH_IN_CAP","FQ4 2017","FQ4 2017","Currency=INR","Period=FQ","BEST_FPERIOD_OVERRIDE=FQ","FILING_STATUS=OR","EQY_CONSOLIDATED=Y","Sort=A","Dates=H","DateFormat=P","Fill=—","Direction=H","UseDPDF=Y")</f>
        <v>#NAME?</v>
      </c>
      <c r="AK447" s="2" t="e">
        <f ca="1">_xll.BDH($C$428,"BVPS_GROWTH","FQ4 2017","FQ4 2017","Currency=INR","Period=FQ","BEST_FPERIOD_OVERRIDE=FQ","FILING_STATUS=OR","EQY_CONSOLIDATED=Y","Sort=A","Dates=H","DateFormat=P","Fill=—","Direction=H","UseDPDF=Y")</f>
        <v>#NAME?</v>
      </c>
      <c r="AL447" s="2" t="e">
        <f ca="1">_xll.BDH($C$428,"CASH_FLOW_GROWTH","FQ4 2017","FQ4 2017","Currency=INR","Period=FQ","BEST_FPERIOD_OVERRIDE=FQ","FILING_STATUS=OR","EQY_CONSOLIDATED=Y","Sort=A","Dates=H","DateFormat=P","Fill=—","Direction=H","UseDPDF=Y")</f>
        <v>#NAME?</v>
      </c>
      <c r="AM447" s="2" t="e">
        <f ca="1">_xll.BDH($C$428,"GEO_GROW_NET_SALES","FQ4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447" s="2" t="e">
        <f ca="1">_xll.BDH($C$428,"GEO_GROW_EBITDA","FQ4 2017","FQ4 2017","Currency=INR","Period=FQ","BEST_FPERIOD_OVERRIDE=FQ","FILING_STATUS=OR","EQY_CONSOLIDATED=Y","FA_ADJUSTED=GAAP","Sort=A","Dates=H","DateFormat=P","Fill=—","Direction=H","UseDPDF=Y")</f>
        <v>#NAME?</v>
      </c>
      <c r="AO447" s="2" t="e">
        <f ca="1">_xll.BDH($C$428,"GEO_GROW_OPER_INC","FQ4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447" s="2" t="e">
        <f ca="1">_xll.BDH($C$428,"NET_INCOME_TO_COMMON_5_YR_GROWTH","FQ4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447" s="2" t="e">
        <f ca="1">_xll.BDH($C$428,"5Y_GEO_GROWTH_DILUTED_EPS","FQ4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447" s="2" t="e">
        <f ca="1">_xll.BDH($C$428,"GEO_GROW_DVD_PER_SH","FQ4 2017","FQ4 2017","Currency=INR","Period=FQ","BEST_FPERIOD_OVERRIDE=FQ","FILING_STATUS=OR","EQY_CONSOLIDATED=Y","Sort=A","Dates=H","DateFormat=P","Fill=—","Direction=H","UseDPDF=Y")</f>
        <v>#NAME?</v>
      </c>
      <c r="AS447" s="2" t="e">
        <f ca="1">_xll.BDH($C$428,"ACCOUNTS_RECEIVABLE_5_YR_GROWTH","FQ4 2017","FQ4 2017","Currency=INR","Period=FQ","BEST_FPERIOD_OVERRIDE=FQ","FILING_STATUS=OR","EQY_CONSOLIDATED=Y","Sort=A","Dates=H","DateFormat=P","Fill=—","Direction=H","UseDPDF=Y")</f>
        <v>#NAME?</v>
      </c>
      <c r="AT447" s="2" t="e">
        <f ca="1">_xll.BDH($C$428,"INVENTORY_5_YEAR_GROWTH","FQ4 2017","FQ4 2017","Currency=INR","Period=FQ","BEST_FPERIOD_OVERRIDE=FQ","FILING_STATUS=OR","EQY_CONSOLIDATED=Y","Sort=A","Dates=H","DateFormat=P","Fill=—","Direction=H","UseDPDF=Y")</f>
        <v>#NAME?</v>
      </c>
      <c r="AU447" s="2" t="e">
        <f ca="1">_xll.BDH($C$428,"NET_FIXED_ASSETS_5_YEAR_GROWTH","FQ4 2017","FQ4 2017","Currency=INR","Period=FQ","BEST_FPERIOD_OVERRIDE=FQ","FILING_STATUS=OR","EQY_CONSOLIDATED=Y","Sort=A","Dates=H","DateFormat=P","Fill=—","Direction=H","UseDPDF=Y")</f>
        <v>#NAME?</v>
      </c>
      <c r="AV447" s="2" t="e">
        <f ca="1">_xll.BDH($C$428,"GEO_GROW_TOT_ASSET","FQ4 2017","FQ4 2017","Currency=INR","Period=FQ","BEST_FPERIOD_OVERRIDE=FQ","FILING_STATUS=OR","EQY_CONSOLIDATED=Y","Sort=A","Dates=H","DateFormat=P","Fill=—","Direction=H","UseDPDF=Y")</f>
        <v>#NAME?</v>
      </c>
      <c r="AW447" s="2" t="e">
        <f ca="1">_xll.BDH($C$428,"MODIFIED_WORKING_CPTL_5YR_GRWTH","FQ4 2017","FQ4 2017","Currency=INR","Period=FQ","BEST_FPERIOD_OVERRIDE=FQ","FILING_STATUS=OR","EQY_CONSOLIDATED=Y","Sort=A","Dates=H","DateFormat=P","Fill=—","Direction=H","UseDPDF=Y")</f>
        <v>#NAME?</v>
      </c>
      <c r="AX447" s="2" t="e">
        <f ca="1">_xll.BDH($C$428,"WORKING_CAPITAL_5_YEAR_GROWTH","FQ4 2017","FQ4 2017","Currency=INR","Period=FQ","BEST_FPERIOD_OVERRIDE=FQ","FILING_STATUS=OR","EQY_CONSOLIDATED=Y","Sort=A","Dates=H","DateFormat=P","Fill=—","Direction=H","UseDPDF=Y")</f>
        <v>#NAME?</v>
      </c>
      <c r="AY447" s="2" t="e">
        <f ca="1">_xll.BDH($C$428,"ACCOUNTS_PAYABLE_5_YEAR_GROWTH","FQ4 2017","FQ4 2017","Currency=INR","Period=FQ","BEST_FPERIOD_OVERRIDE=FQ","FILING_STATUS=OR","EQY_CONSOLIDATED=Y","Sort=A","Dates=H","DateFormat=P","Fill=—","Direction=H","UseDPDF=Y")</f>
        <v>#NAME?</v>
      </c>
      <c r="AZ447" s="2" t="e">
        <f ca="1">_xll.BDH($C$428,"SHORT_TERM_DEBT_5_YEAR_GROWTH","FQ4 2017","FQ4 2017","Currency=INR","Period=FQ","BEST_FPERIOD_OVERRIDE=FQ","FILING_STATUS=OR","EQY_CONSOLIDATED=Y","Sort=A","Dates=H","DateFormat=P","Fill=—","Direction=H","UseDPDF=Y")</f>
        <v>#NAME?</v>
      </c>
      <c r="BA447" s="2" t="e">
        <f ca="1">_xll.BDH($C$428,"TOTAL_DEBT_5_YEAR_GROWTH","FQ4 2017","FQ4 2017","Currency=INR","Period=FQ","BEST_FPERIOD_OVERRIDE=FQ","FILING_STATUS=OR","EQY_CONSOLIDATED=Y","Sort=A","Dates=H","DateFormat=P","Fill=—","Direction=H","UseDPDF=Y")</f>
        <v>#NAME?</v>
      </c>
      <c r="BB447" s="2" t="e">
        <f ca="1">_xll.BDH($C$428,"GEO_GROW_TOT_SHRHLDR_EQY","FQ4 2017","FQ4 2017","Currency=INR","Period=FQ","BEST_FPERIOD_OVERRIDE=FQ","FILING_STATUS=OR","EQY_CONSOLIDATED=Y","Sort=A","Dates=H","DateFormat=P","Fill=—","Direction=H","UseDPDF=Y")</f>
        <v>#NAME?</v>
      </c>
      <c r="BC447" s="2" t="e">
        <f ca="1">_xll.BDH($C$428,"TOTAL_CAPITAL_5_YEAR_GROWTH","FQ4 2017","FQ4 2017","Currency=INR","Period=FQ","BEST_FPERIOD_OVERRIDE=FQ","FILING_STATUS=OR","EQY_CONSOLIDATED=Y","Sort=A","Dates=H","DateFormat=P","Fill=—","Direction=H","UseDPDF=Y")</f>
        <v>#NAME?</v>
      </c>
      <c r="BD447" s="2" t="e">
        <f ca="1">_xll.BDH($C$428,"GEO_GROW_BOOK_VAL","FQ4 2017","FQ4 2017","Currency=INR","Period=FQ","BEST_FPERIOD_OVERRIDE=FQ","FILING_STATUS=OR","EQY_CONSOLIDATED=Y","Sort=A","Dates=H","DateFormat=P","Fill=—","Direction=H","UseDPDF=Y")</f>
        <v>#NAME?</v>
      </c>
      <c r="BE447" s="2" t="e">
        <f ca="1">_xll.BDH($C$428,"GEO_GROW_CASH_OPER_ACT","FQ4 2017","FQ4 2017","Currency=INR","Period=FQ","BEST_FPERIOD_OVERRIDE=FQ","FILING_STATUS=OR","EQY_CONSOLIDATED=Y","Sort=A","Dates=H","DateFormat=P","Fill=—","Direction=H","UseDPDF=Y")</f>
        <v>#NAME?</v>
      </c>
      <c r="BF447" s="2" t="e">
        <f ca="1">_xll.BDH($C$428,"REVENUE_SEQUENTIAL_GROWTH","FQ4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447" s="2" t="e">
        <f ca="1">_xll.BDH($C$428,"EBITDA_SEQUENTIAL_GROWTH","FQ4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447" s="2" t="e">
        <f ca="1">_xll.BDH($C$428,"OPERATING_INCOME_SEQ_GROWTH","FQ4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447" s="2" t="e">
        <f ca="1">_xll.BDH($C$428,"NET_INCOME_TO_COMMON_SEQ_GROWTH","FQ4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447" s="2" t="e">
        <f ca="1">_xll.BDH($C$428,"EPS_DILUTED_SEQUENTIAL_GROWTH","FQ4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447" s="2" t="e">
        <f ca="1">_xll.BDH($C$428,"DPS_SEQUENTIAL_GROWTH","FQ4 2017","FQ4 2017","Currency=INR","Period=FQ","BEST_FPERIOD_OVERRIDE=FQ","FILING_STATUS=OR","EQY_CONSOLIDATED=Y","Sort=A","Dates=H","DateFormat=P","Fill=—","Direction=H","UseDPDF=Y")</f>
        <v>#NAME?</v>
      </c>
      <c r="BL447" s="2" t="e">
        <f ca="1">_xll.BDH($C$428,"ACCOUNTS_RECEIVABLE_SEQ_GROWTH","FQ4 2017","FQ4 2017","Currency=INR","Period=FQ","BEST_FPERIOD_OVERRIDE=FQ","FILING_STATUS=OR","EQY_CONSOLIDATED=Y","Sort=A","Dates=H","DateFormat=P","Fill=—","Direction=H","UseDPDF=Y")</f>
        <v>#NAME?</v>
      </c>
      <c r="BM447" s="2" t="e">
        <f ca="1">_xll.BDH($C$428,"INVENTORY_SEQUENTIAL_GROWTH","FQ4 2017","FQ4 2017","Currency=INR","Period=FQ","BEST_FPERIOD_OVERRIDE=FQ","FILING_STATUS=OR","EQY_CONSOLIDATED=Y","Sort=A","Dates=H","DateFormat=P","Fill=—","Direction=H","UseDPDF=Y")</f>
        <v>#NAME?</v>
      </c>
      <c r="BN447" s="2" t="e">
        <f ca="1">_xll.BDH($C$428,"FIXED_ASSETS_SEQUENTIAL_GROWTH","FQ4 2017","FQ4 2017","Currency=INR","Period=FQ","BEST_FPERIOD_OVERRIDE=FQ","FILING_STATUS=OR","EQY_CONSOLIDATED=Y","Sort=A","Dates=H","DateFormat=P","Fill=—","Direction=H","UseDPDF=Y")</f>
        <v>#NAME?</v>
      </c>
      <c r="BO447" s="2" t="e">
        <f ca="1">_xll.BDH($C$428,"TOTAL_ASSETS_SEQUENTIAL_GROWTH","FQ4 2017","FQ4 2017","Currency=INR","Period=FQ","BEST_FPERIOD_OVERRIDE=FQ","FILING_STATUS=OR","EQY_CONSOLIDATED=Y","Sort=A","Dates=H","DateFormat=P","Fill=—","Direction=H","UseDPDF=Y")</f>
        <v>#NAME?</v>
      </c>
      <c r="BP447" s="2" t="e">
        <f ca="1">_xll.BDH($C$428,"MODIFIED_WORKING_CPTL_SEQ_GRWTH","FQ4 2017","FQ4 2017","Currency=INR","Period=FQ","BEST_FPERIOD_OVERRIDE=FQ","FILING_STATUS=OR","EQY_CONSOLIDATED=Y","Sort=A","Dates=H","DateFormat=P","Fill=—","Direction=H","UseDPDF=Y")</f>
        <v>#NAME?</v>
      </c>
      <c r="BQ447" s="2" t="e">
        <f ca="1">_xll.BDH($C$428,"WORKING_CAPITAL_SEQ_GROWTH","FQ4 2017","FQ4 2017","Currency=INR","Period=FQ","BEST_FPERIOD_OVERRIDE=FQ","FILING_STATUS=OR","EQY_CONSOLIDATED=Y","Sort=A","Dates=H","DateFormat=P","Fill=—","Direction=H","UseDPDF=Y")</f>
        <v>#NAME?</v>
      </c>
      <c r="BR447" s="2" t="e">
        <f ca="1">_xll.BDH($C$428,"ACCOUNTS_PAYABLE_SEQ_GROWTH","FQ4 2017","FQ4 2017","Currency=INR","Period=FQ","BEST_FPERIOD_OVERRIDE=FQ","FILING_STATUS=OR","EQY_CONSOLIDATED=Y","Sort=A","Dates=H","DateFormat=P","Fill=—","Direction=H","UseDPDF=Y")</f>
        <v>#NAME?</v>
      </c>
      <c r="BS447" s="2" t="e">
        <f ca="1">_xll.BDH($C$428,"ST_DEBT_SEQUENTIAL_GROWTH","FQ4 2017","FQ4 2017","Currency=INR","Period=FQ","BEST_FPERIOD_OVERRIDE=FQ","FILING_STATUS=OR","EQY_CONSOLIDATED=Y","Sort=A","Dates=H","DateFormat=P","Fill=—","Direction=H","UseDPDF=Y")</f>
        <v>#NAME?</v>
      </c>
      <c r="BT447" s="2" t="e">
        <f ca="1">_xll.BDH($C$428,"TOTAL_DEBT_SEQUENTIAL_GROWTH","FQ4 2017","FQ4 2017","Currency=INR","Period=FQ","BEST_FPERIOD_OVERRIDE=FQ","FILING_STATUS=OR","EQY_CONSOLIDATED=Y","Sort=A","Dates=H","DateFormat=P","Fill=—","Direction=H","UseDPDF=Y")</f>
        <v>#NAME?</v>
      </c>
      <c r="BU447" s="2" t="e">
        <f ca="1">_xll.BDH($C$428,"TOTAL_EQUITY_SEQUENTIAL_GROWTH","FQ4 2017","FQ4 2017","Currency=INR","Period=FQ","BEST_FPERIOD_OVERRIDE=FQ","FILING_STATUS=OR","EQY_CONSOLIDATED=Y","Sort=A","Dates=H","DateFormat=P","Fill=—","Direction=H","UseDPDF=Y")</f>
        <v>#NAME?</v>
      </c>
      <c r="BV447" s="2" t="e">
        <f ca="1">_xll.BDH($C$428,"TOTAL_CAPITAL_SEQUENTIAL_GROWTH","FQ4 2017","FQ4 2017","Currency=INR","Period=FQ","BEST_FPERIOD_OVERRIDE=FQ","FILING_STATUS=OR","EQY_CONSOLIDATED=Y","Sort=A","Dates=H","DateFormat=P","Fill=—","Direction=H","UseDPDF=Y")</f>
        <v>#NAME?</v>
      </c>
      <c r="BW447" s="2" t="e">
        <f ca="1">_xll.BDH($C$428,"BPS_SEQUENTIAL_GROWTH","FQ4 2017","FQ4 2017","Currency=INR","Period=FQ","BEST_FPERIOD_OVERRIDE=FQ","FILING_STATUS=OR","EQY_CONSOLIDATED=Y","Sort=A","Dates=H","DateFormat=P","Fill=—","Direction=H","UseDPDF=Y")</f>
        <v>#NAME?</v>
      </c>
      <c r="BX447" s="2" t="e">
        <f ca="1">_xll.BDH($C$428,"CFO_SEQUENTIAL_GROWTH","FQ4 2017","FQ4 2017","Currency=INR","Period=FQ","BEST_FPERIOD_OVERRIDE=FQ","FILING_STATUS=OR","EQY_CONSOLIDATED=Y","Sort=A","Dates=H","DateFormat=P","Fill=—","Direction=H","UseDPDF=Y")</f>
        <v>#NAME?</v>
      </c>
      <c r="BY447" s="3" t="e">
        <f ca="1">_xll.BDH($C$428,"SHORT_AND_LONG_TERM_DEBT","FQ4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447" s="3" t="e">
        <f ca="1">_xll.BDH($C$428,"BS_ST_BORROW","FQ4 2017","FQ4 2017","Currency=INR","Period=FQ","BEST_FPERIOD_OVERRIDE=FQ","FILING_STATUS=OR","EQY_CONSOLIDATED=Y","SCALING_FORMAT=MLN","Sort=A","Dates=H","DateFormat=P","Fill=—","Direction=H","UseDPDF=Y")</f>
        <v>#NAME?</v>
      </c>
      <c r="CA447" s="3" t="e">
        <f ca="1">_xll.BDH($C$428,"BS_LT_BORROW","FQ4 2017","FQ4 2017","Currency=INR","Period=FQ","BEST_FPERIOD_OVERRIDE=FQ","FILING_STATUS=OR","EQY_CONSOLIDATED=Y","SCALING_FORMAT=MLN","Sort=A","Dates=H","DateFormat=P","Fill=—","Direction=H","UseDPDF=Y")</f>
        <v>#NAME?</v>
      </c>
      <c r="CB447" s="2" t="e">
        <f ca="1">_xll.BDH($C$428,"TOT_DEBT_TO_EBITDA","FQ4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447" s="2" t="e">
        <f ca="1">_xll.BDH($C$428,"NET_DEBT_TO_EBITDA","FQ4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447" s="2" t="e">
        <f ca="1">_xll.BDH($C$428,"TOTAL_DEBT_TO_EBIT","FQ4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447" s="2" t="e">
        <f ca="1">_xll.BDH($C$428,"NET_DEBT_TO_EBIT","FQ4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447" s="2" t="e">
        <f ca="1">_xll.BDH($C$428,"EBITDA_TO_INTEREST_EXPN","FQ4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447" s="2" t="e">
        <f ca="1">_xll.BDH($C$428,"COM_EQY_TO_TOT_ASSET","FQ4 2017","FQ4 2017","Currency=INR","Period=FQ","BEST_FPERIOD_OVERRIDE=FQ","FILING_STATUS=OR","EQY_CONSOLIDATED=Y","Sort=A","Dates=H","DateFormat=P","Fill=—","Direction=H","UseDPDF=Y")</f>
        <v>#NAME?</v>
      </c>
      <c r="CH447" s="2" t="e">
        <f ca="1">_xll.BDH($C$428,"LT_DEBT_TO_TOT_EQY","FQ4 2017","FQ4 2017","Currency=INR","Period=FQ","BEST_FPERIOD_OVERRIDE=FQ","FILING_STATUS=OR","EQY_CONSOLIDATED=Y","Sort=A","Dates=H","DateFormat=P","Fill=—","Direction=H","UseDPDF=Y")</f>
        <v>#NAME?</v>
      </c>
      <c r="CI447" s="2" t="e">
        <f ca="1">_xll.BDH($C$428,"LT_DEBT_TO_TOT_CAP","FQ4 2017","FQ4 2017","Currency=INR","Period=FQ","BEST_FPERIOD_OVERRIDE=FQ","FILING_STATUS=OR","EQY_CONSOLIDATED=Y","Sort=A","Dates=H","DateFormat=P","Fill=—","Direction=H","UseDPDF=Y")</f>
        <v>#NAME?</v>
      </c>
      <c r="CJ447" s="2" t="e">
        <f ca="1">_xll.BDH($C$428,"LT_DEBT_TO_TOT_ASSET","FQ4 2017","FQ4 2017","Currency=INR","Period=FQ","BEST_FPERIOD_OVERRIDE=FQ","FILING_STATUS=OR","EQY_CONSOLIDATED=Y","Sort=A","Dates=H","DateFormat=P","Fill=—","Direction=H","UseDPDF=Y")</f>
        <v>#NAME?</v>
      </c>
      <c r="CK447" s="2" t="e">
        <f ca="1">_xll.BDH($C$428,"TOT_DEBT_TO_TOT_EQY","FQ4 2017","FQ4 2017","Currency=INR","Period=FQ","BEST_FPERIOD_OVERRIDE=FQ","FILING_STATUS=OR","EQY_CONSOLIDATED=Y","Sort=A","Dates=H","DateFormat=P","Fill=—","Direction=H","UseDPDF=Y")</f>
        <v>#NAME?</v>
      </c>
      <c r="CL447" s="2" t="e">
        <f ca="1">_xll.BDH($C$428,"TOT_DEBT_TO_TOT_CAP","FQ4 2017","FQ4 2017","Currency=INR","Period=FQ","BEST_FPERIOD_OVERRIDE=FQ","FILING_STATUS=OR","EQY_CONSOLIDATED=Y","Sort=A","Dates=H","DateFormat=P","Fill=—","Direction=H","UseDPDF=Y")</f>
        <v>#NAME?</v>
      </c>
      <c r="CM447" s="2" t="e">
        <f ca="1">_xll.BDH($C$428,"TOT_DEBT_TO_TOT_ASSET","FQ4 2017","FQ4 2017","Currency=INR","Period=FQ","BEST_FPERIOD_OVERRIDE=FQ","FILING_STATUS=OR","EQY_CONSOLIDATED=Y","Sort=A","Dates=H","DateFormat=P","Fill=—","Direction=H","UseDPDF=Y")</f>
        <v>#NAME?</v>
      </c>
      <c r="CN447" s="2" t="e">
        <f ca="1">_xll.BDH($C$428,"NET_DEBT_TO_SHRHLDR_EQTY","FQ4 2017","FQ4 2017","Currency=INR","Period=FQ","BEST_FPERIOD_OVERRIDE=FQ","FILING_STATUS=OR","EQY_CONSOLIDATED=Y","Sort=A","Dates=H","DateFormat=P","Fill=—","Direction=H","UseDPDF=Y")</f>
        <v>#NAME?</v>
      </c>
      <c r="CO447" s="2" t="e">
        <f ca="1">_xll.BDH($C$428,"NET_DEBT_%_CAPITAL","FQ4 2017","FQ4 2017","Currency=INR","Period=FQ","BEST_FPERIOD_OVERRIDE=FQ","FILING_STATUS=OR","EQY_CONSOLIDATED=Y","Sort=A","Dates=H","DateFormat=P","Fill=—","Direction=H","UseDPDF=Y")</f>
        <v>#NAME?</v>
      </c>
      <c r="CP447" s="3" t="e">
        <f ca="1">_xll.BDH($C$428,"EBITDA","FQ4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447" s="3" t="e">
        <f ca="1">_xll.BDH($C$428,"EBITDA_AFTER_CAPEX","FQ4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447" s="3" t="e">
        <f ca="1">_xll.BDH($C$428,"IS_OPER_INC","FQ4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447" s="2" t="e">
        <f ca="1">_xll.BDH($C$428,"CASH_RATIO","FQ4 2017","FQ4 2017","Currency=INR","Period=FQ","BEST_FPERIOD_OVERRIDE=FQ","FILING_STATUS=OR","EQY_CONSOLIDATED=Y","Sort=A","Dates=H","DateFormat=P","Fill=—","Direction=H","UseDPDF=Y")</f>
        <v>#NAME?</v>
      </c>
      <c r="CT447" s="2" t="e">
        <f ca="1">_xll.BDH($C$428,"CUR_RATIO","FQ4 2017","FQ4 2017","Currency=INR","Period=FQ","BEST_FPERIOD_OVERRIDE=FQ","FILING_STATUS=OR","EQY_CONSOLIDATED=Y","Sort=A","Dates=H","DateFormat=P","Fill=—","Direction=H","UseDPDF=Y")</f>
        <v>#NAME?</v>
      </c>
      <c r="CU447" s="2" t="e">
        <f ca="1">_xll.BDH($C$428,"QUICK_RATIO","FQ4 2017","FQ4 2017","Currency=INR","Period=FQ","BEST_FPERIOD_OVERRIDE=FQ","FILING_STATUS=OR","EQY_CONSOLIDATED=Y","Sort=A","Dates=H","DateFormat=P","Fill=—","Direction=H","UseDPDF=Y")</f>
        <v>#NAME?</v>
      </c>
      <c r="CV447" s="2" t="e">
        <f ca="1">_xll.BDH($C$428,"ALTMAN_Z_SCORE","FQ4 2017","FQ4 2017","Currency=INR","Period=FQ","BEST_FPERIOD_OVERRIDE=FQ","FILING_STATUS=OR","EQY_CONSOLIDATED=Y","Sort=A","Dates=H","DateFormat=P","Fill=—","Direction=H","UseDPDF=Y")</f>
        <v>#NAME?</v>
      </c>
      <c r="CW447" s="4" t="e">
        <f ca="1">_xll.BDH($C$428,"ACCT_RCV_TURN","FQ4 2017","FQ4 2017","Currency=INR","Period=FQ","BEST_FPERIOD_OVERRIDE=FQ","FILING_STATUS=OR","EQY_CONSOLIDATED=Y","FA_ADJUSTED=GAAP","Sort=A","Dates=H","DateFormat=P","Fill=—","Direction=H","UseDPDF=Y")</f>
        <v>#NAME?</v>
      </c>
      <c r="CX447" s="2" t="e">
        <f ca="1">_xll.BDH($C$428,"ACCT_RCV_DAYS","FQ4 2017","FQ4 2017","Currency=INR","Period=FQ","BEST_FPERIOD_OVERRIDE=FQ","FILING_STATUS=OR","EQY_CONSOLIDATED=Y","FA_ADJUSTED=GAAP","Sort=A","Dates=H","DateFormat=P","Fill=—","Direction=H","UseDPDF=Y")</f>
        <v>#NAME?</v>
      </c>
      <c r="CY447" s="4" t="e">
        <f ca="1">_xll.BDH($C$428,"INVENT_TURN","FQ4 2017","FQ4 2017","Currency=INR","Period=FQ","BEST_FPERIOD_OVERRIDE=FQ","FILING_STATUS=OR","EQY_CONSOLIDATED=Y","FA_ADJUSTED=GAAP","Sort=A","Dates=H","DateFormat=P","Fill=—","Direction=H","UseDPDF=Y")</f>
        <v>#NAME?</v>
      </c>
      <c r="CZ447" s="2" t="e">
        <f ca="1">_xll.BDH($C$428,"INVENT_DAYS","FQ4 2017","FQ4 2017","Currency=INR","Period=FQ","BEST_FPERIOD_OVERRIDE=FQ","FILING_STATUS=OR","EQY_CONSOLIDATED=Y","FA_ADJUSTED=GAAP","Sort=A","Dates=H","DateFormat=P","Fill=—","Direction=H","UseDPDF=Y")</f>
        <v>#NAME?</v>
      </c>
      <c r="DA447" s="4" t="e">
        <f ca="1">_xll.BDH($C$428,"ACCOUNTS_PAYABLE_TURNOVER","FQ4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447" s="2" t="e">
        <f ca="1">_xll.BDH($C$428,"ACCOUNTS_PAYABLE_TURNOVER_DAYS","FQ4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447" s="4" t="e">
        <f ca="1">_xll.BDH($C$428,"CASH_CONVERSION_CYCLE","FQ4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447" s="4" t="e">
        <f ca="1">_xll.BDH($C$428,"INV_TO_CASH_DAYS","FQ4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447" s="5" t="e">
        <f ca="1">_xll.BDH($C$428,"BS_INVENTORIES","FQ4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447" s="3" t="e">
        <f ca="1">_xll.BDH($C$428,"INVTRY_RAW_MATERIALS","FQ4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447" s="3" t="e">
        <f ca="1">_xll.BDH($C$428,"INVTRY_IN_PROGRESS","FQ4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447" s="3" t="e">
        <f ca="1">_xll.BDH($C$428,"INVTRY_FINISHED_GOODS","FQ4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447" s="3" t="e">
        <f ca="1">_xll.BDH($C$428,"BS_OTHER_INV","FQ4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448" spans="1:113" x14ac:dyDescent="0.3">
      <c r="A448" s="6"/>
      <c r="B448" s="6"/>
      <c r="C448" s="6"/>
      <c r="D448" s="6" t="s">
        <v>85</v>
      </c>
      <c r="E448" t="s">
        <v>77</v>
      </c>
      <c r="F448" t="e">
        <f ca="1">_xll.BDH($C$428,"RETURN_COM_EQY","FY 2018","FY 2018","Currency=INR","Period=FY","BEST_FPERIOD_OVERRIDE=FY","FILING_STATUS=OR","EQY_CONSOLIDATED=Y","FA_ADJUSTED=GAAP","Sort=A","Dates=H","DateFormat=P","Fill=—","Direction=H","UseDPDF=Y")</f>
        <v>#NAME?</v>
      </c>
      <c r="G448" t="e">
        <f ca="1">_xll.BDH($C$428,"RETURN_ON_ASSET","FY 2018","FY 2018","Currency=INR","Period=FY","BEST_FPERIOD_OVERRIDE=FY","FILING_STATUS=OR","EQY_CONSOLIDATED=Y","FA_ADJUSTED=GAAP","Sort=A","Dates=H","DateFormat=P","Fill=—","Direction=H","UseDPDF=Y")</f>
        <v>#NAME?</v>
      </c>
      <c r="H448" t="e">
        <f ca="1">_xll.BDH($C$428,"RETURN_ON_CAP","FY 2018","FY 2018","Currency=INR","Period=FY","BEST_FPERIOD_OVERRIDE=FY","FILING_STATUS=OR","EQY_CONSOLIDATED=Y","FA_ADJUSTED=GAAP","Sort=A","Dates=H","DateFormat=P","Fill=—","Direction=H","UseDPDF=Y")</f>
        <v>#NAME?</v>
      </c>
      <c r="I448" t="e">
        <f ca="1">_xll.BDH($C$428,"RETURN_ON_INV_CAPITAL","FY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448" t="e">
        <f ca="1">_xll.BDH($C$428,"EBITDA_TO_REVENUE","FY 2018","FY 2018","Currency=INR","Period=FY","BEST_FPERIOD_OVERRIDE=FY","FILING_STATUS=OR","EQY_CONSOLIDATED=Y","FA_ADJUSTED=GAAP","Sort=A","Dates=H","DateFormat=P","Fill=—","Direction=H","UseDPDF=Y")</f>
        <v>#NAME?</v>
      </c>
      <c r="K448" t="e">
        <f ca="1">_xll.BDH($C$428,"OPER_MARGIN","FY 2018","FY 2018","Currency=INR","Period=FY","BEST_FPERIOD_OVERRIDE=FY","FILING_STATUS=OR","EQY_CONSOLIDATED=Y","FA_ADJUSTED=GAAP","Sort=A","Dates=H","DateFormat=P","Fill=—","Direction=H","UseDPDF=Y")</f>
        <v>#NAME?</v>
      </c>
      <c r="L448" t="e">
        <f ca="1">_xll.BDH($C$428,"INCREMENTAL_OPERATING_MARGIN","FY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448" t="e">
        <f ca="1">_xll.BDH($C$428,"PRETAX_INC_TO_NET_SALES","FY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448" t="e">
        <f ca="1">_xll.BDH($C$428,"INC_BEF_XO_ITEMS_TO_NET_SALES","FY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448" t="e">
        <f ca="1">_xll.BDH($C$428,"PROF_MARGIN","FY 2018","FY 2018","Currency=INR","Period=FY","BEST_FPERIOD_OVERRIDE=FY","FILING_STATUS=OR","EQY_CONSOLIDATED=Y","FA_ADJUSTED=GAAP","Sort=A","Dates=H","DateFormat=P","Fill=—","Direction=H","UseDPDF=Y")</f>
        <v>#NAME?</v>
      </c>
      <c r="P448" t="e">
        <f ca="1">_xll.BDH($C$428,"NET_INCOME_TO_COMMON_MARGIN","FY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448" t="e">
        <f ca="1">_xll.BDH($C$428,"EFF_TAX_RATE","FY 2018","FY 2018","Currency=INR","Period=FY","BEST_FPERIOD_OVERRIDE=FY","FILING_STATUS=OR","EQY_CONSOLIDATED=Y","FA_ADJUSTED=GAAP","Sort=A","Dates=H","DateFormat=P","Fill=—","Direction=H","UseDPDF=Y")</f>
        <v>#NAME?</v>
      </c>
      <c r="R448" t="e">
        <f ca="1">_xll.BDH($C$428,"DVD_PAYOUT_RATIO","FY 2018","FY 2018","Currency=INR","Period=FY","BEST_FPERIOD_OVERRIDE=FY","FILING_STATUS=OR","EQY_CONSOLIDATED=Y","FA_ADJUSTED=GAAP","Sort=A","Dates=H","DateFormat=P","Fill=—","Direction=H","UseDPDF=Y")</f>
        <v>#NAME?</v>
      </c>
      <c r="S448" t="e">
        <f ca="1">_xll.BDH($C$428,"SUSTAIN_GROWTH_RT","FY 2018","FY 2018","Currency=INR","Period=FY","BEST_FPERIOD_OVERRIDE=FY","FILING_STATUS=OR","EQY_CONSOLIDATED=Y","FA_ADJUSTED=GAAP","Sort=A","Dates=H","DateFormat=P","Fill=—","Direction=H","UseDPDF=Y")</f>
        <v>#NAME?</v>
      </c>
      <c r="T448" s="2" t="e">
        <f ca="1">_xll.BDH($C$428,"SALES_GROWTH","FY 2018","FY 2018","Currency=INR","Period=FY","BEST_FPERIOD_OVERRIDE=FY","FILING_STATUS=OR","EQY_CONSOLIDATED=Y","FA_ADJUSTED=GAAP","Sort=A","Dates=H","DateFormat=P","Fill=—","Direction=H","UseDPDF=Y")</f>
        <v>#NAME?</v>
      </c>
      <c r="U448" s="2" t="e">
        <f ca="1">_xll.BDH($C$428,"EBITDA_GROWTH","FY 2018","FY 2018","Currency=INR","Period=FY","BEST_FPERIOD_OVERRIDE=FY","FILING_STATUS=OR","EQY_CONSOLIDATED=Y","FA_ADJUSTED=GAAP","Sort=A","Dates=H","DateFormat=P","Fill=—","Direction=H","UseDPDF=Y")</f>
        <v>#NAME?</v>
      </c>
      <c r="V448" s="2" t="e">
        <f ca="1">_xll.BDH($C$428,"OPER_INC_GROWTH","FY 2018","FY 2018","Currency=INR","Period=FY","BEST_FPERIOD_OVERRIDE=FY","FILING_STATUS=OR","EQY_CONSOLIDATED=Y","FA_ADJUSTED=GAAP","Sort=A","Dates=H","DateFormat=P","Fill=—","Direction=H","UseDPDF=Y")</f>
        <v>#NAME?</v>
      </c>
      <c r="W448" s="2" t="e">
        <f ca="1">_xll.BDH($C$428,"EARN_FOR_COM_GROWTH","FY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448" s="2" t="e">
        <f ca="1">_xll.BDH($C$428,"DILUTED_EPS_AFT_XO_ITEMS_GROWTH","FY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448" s="2" t="e">
        <f ca="1">_xll.BDH($C$428,"DIVIDEND_PER_SHARE_1_YEAR_GROWTH","FY 2018","FY 2018","Currency=INR","Period=FY","BEST_FPERIOD_OVERRIDE=FY","FILING_STATUS=OR","EQY_CONSOLIDATED=Y","Sort=A","Dates=H","DateFormat=P","Fill=—","Direction=H","UseDPDF=Y")</f>
        <v>#NAME?</v>
      </c>
      <c r="Z448" s="2" t="e">
        <f ca="1">_xll.BDH($C$428,"ACCOUNTS_RECEIVABLE_GROWTH","FY 2018","FY 2018","Currency=INR","Period=FY","BEST_FPERIOD_OVERRIDE=FY","FILING_STATUS=OR","EQY_CONSOLIDATED=Y","Sort=A","Dates=H","DateFormat=P","Fill=—","Direction=H","UseDPDF=Y")</f>
        <v>#NAME?</v>
      </c>
      <c r="AA448" s="2" t="e">
        <f ca="1">_xll.BDH($C$428,"INVENTORY_GROWTH","FY 2018","FY 2018","Currency=INR","Period=FY","BEST_FPERIOD_OVERRIDE=FY","FILING_STATUS=OR","EQY_CONSOLIDATED=Y","Sort=A","Dates=H","DateFormat=P","Fill=—","Direction=H","UseDPDF=Y")</f>
        <v>#NAME?</v>
      </c>
      <c r="AB448" s="2" t="e">
        <f ca="1">_xll.BDH($C$428,"NET_FIXED_ASSETS_1_YEAR_GROWTH","FY 2018","FY 2018","Currency=INR","Period=FY","BEST_FPERIOD_OVERRIDE=FY","FILING_STATUS=OR","EQY_CONSOLIDATED=Y","Sort=A","Dates=H","DateFormat=P","Fill=—","Direction=H","UseDPDF=Y")</f>
        <v>#NAME?</v>
      </c>
      <c r="AC448" s="2" t="e">
        <f ca="1">_xll.BDH($C$428,"ASSET_GROWTH","FY 2018","FY 2018","Currency=INR","Period=FY","BEST_FPERIOD_OVERRIDE=FY","FILING_STATUS=OR","EQY_CONSOLIDATED=Y","Sort=A","Dates=H","DateFormat=P","Fill=—","Direction=H","UseDPDF=Y")</f>
        <v>#NAME?</v>
      </c>
      <c r="AD448" s="2" t="e">
        <f ca="1">_xll.BDH($C$428,"MODIFIED_WORK_CAP_GROWTH","FY 2018","FY 2018","Currency=INR","Period=FY","BEST_FPERIOD_OVERRIDE=FY","FILING_STATUS=OR","EQY_CONSOLIDATED=Y","Sort=A","Dates=H","DateFormat=P","Fill=—","Direction=H","UseDPDF=Y")</f>
        <v>#NAME?</v>
      </c>
      <c r="AE448" s="2" t="e">
        <f ca="1">_xll.BDH($C$428,"WORK_CAP_GROWTH","FY 2018","FY 2018","Currency=INR","Period=FY","BEST_FPERIOD_OVERRIDE=FY","FILING_STATUS=OR","EQY_CONSOLIDATED=Y","Sort=A","Dates=H","DateFormat=P","Fill=—","Direction=H","UseDPDF=Y")</f>
        <v>#NAME?</v>
      </c>
      <c r="AF448" s="2" t="e">
        <f ca="1">_xll.BDH($C$428,"ACCOUNTS_PAYABLE_GROWTH_1YR","FY 2018","FY 2018","Currency=INR","Period=FY","BEST_FPERIOD_OVERRIDE=FY","FILING_STATUS=OR","EQY_CONSOLIDATED=Y","Sort=A","Dates=H","DateFormat=P","Fill=—","Direction=H","UseDPDF=Y")</f>
        <v>#NAME?</v>
      </c>
      <c r="AG448" s="2" t="e">
        <f ca="1">_xll.BDH($C$428,"SHORT_TERM_DEBT_1_YEAR_GROWTH","FY 2018","FY 2018","Currency=INR","Period=FY","BEST_FPERIOD_OVERRIDE=FY","FILING_STATUS=OR","EQY_CONSOLIDATED=Y","Sort=A","Dates=H","DateFormat=P","Fill=—","Direction=H","UseDPDF=Y")</f>
        <v>#NAME?</v>
      </c>
      <c r="AH448" s="2" t="e">
        <f ca="1">_xll.BDH($C$428,"TOTAL_DEBT_1_YEAR_GROWTH","FY 2018","FY 2018","Currency=INR","Period=FY","BEST_FPERIOD_OVERRIDE=FY","FILING_STATUS=OR","EQY_CONSOLIDATED=Y","Sort=A","Dates=H","DateFormat=P","Fill=—","Direction=H","UseDPDF=Y")</f>
        <v>#NAME?</v>
      </c>
      <c r="AI448" s="2" t="e">
        <f ca="1">_xll.BDH($C$428,"TOTAL_EQUITY_1_YEAR_GROWTH","FY 2018","FY 2018","Currency=INR","Period=FY","BEST_FPERIOD_OVERRIDE=FY","FILING_STATUS=OR","EQY_CONSOLIDATED=Y","Sort=A","Dates=H","DateFormat=P","Fill=—","Direction=H","UseDPDF=Y")</f>
        <v>#NAME?</v>
      </c>
      <c r="AJ448" s="2" t="e">
        <f ca="1">_xll.BDH($C$428,"GROWTH_IN_CAP","FY 2018","FY 2018","Currency=INR","Period=FY","BEST_FPERIOD_OVERRIDE=FY","FILING_STATUS=OR","EQY_CONSOLIDATED=Y","Sort=A","Dates=H","DateFormat=P","Fill=—","Direction=H","UseDPDF=Y")</f>
        <v>#NAME?</v>
      </c>
      <c r="AK448" s="2" t="e">
        <f ca="1">_xll.BDH($C$428,"BVPS_GROWTH","FY 2018","FY 2018","Currency=INR","Period=FY","BEST_FPERIOD_OVERRIDE=FY","FILING_STATUS=OR","EQY_CONSOLIDATED=Y","Sort=A","Dates=H","DateFormat=P","Fill=—","Direction=H","UseDPDF=Y")</f>
        <v>#NAME?</v>
      </c>
      <c r="AL448" s="2" t="e">
        <f ca="1">_xll.BDH($C$428,"CASH_FLOW_GROWTH","FY 2018","FY 2018","Currency=INR","Period=FY","BEST_FPERIOD_OVERRIDE=FY","FILING_STATUS=OR","EQY_CONSOLIDATED=Y","Sort=A","Dates=H","DateFormat=P","Fill=—","Direction=H","UseDPDF=Y")</f>
        <v>#NAME?</v>
      </c>
      <c r="AM448" s="2" t="e">
        <f ca="1">_xll.BDH($C$428,"GEO_GROW_NET_SALES","FY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448" s="2" t="e">
        <f ca="1">_xll.BDH($C$428,"GEO_GROW_EBITDA","FY 2018","FY 2018","Currency=INR","Period=FY","BEST_FPERIOD_OVERRIDE=FY","FILING_STATUS=OR","EQY_CONSOLIDATED=Y","FA_ADJUSTED=GAAP","Sort=A","Dates=H","DateFormat=P","Fill=—","Direction=H","UseDPDF=Y")</f>
        <v>#NAME?</v>
      </c>
      <c r="AO448" s="2" t="e">
        <f ca="1">_xll.BDH($C$428,"GEO_GROW_OPER_INC","FY 2018","FY 2018","Currency=INR","Period=FY","BEST_FPERIOD_OVERRIDE=FY","FILING_STATUS=OR","EQY_CONSOLIDATED=Y","FA_ADJUSTED=GAAP","Sort=A","Dates=H","DateFormat=P","Fill=—","Direction=H","UseDPDF=Y")</f>
        <v>#NAME?</v>
      </c>
      <c r="AP448" s="2" t="e">
        <f ca="1">_xll.BDH($C$428,"NET_INCOME_TO_COMMON_5_YR_GROWTH","FY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448" s="2" t="e">
        <f ca="1">_xll.BDH($C$428,"5Y_GEO_GROWTH_DILUTED_EPS","FY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448" s="2" t="e">
        <f ca="1">_xll.BDH($C$428,"GEO_GROW_DVD_PER_SH","FY 2018","FY 2018","Currency=INR","Period=FY","BEST_FPERIOD_OVERRIDE=FY","FILING_STATUS=OR","EQY_CONSOLIDATED=Y","Sort=A","Dates=H","DateFormat=P","Fill=—","Direction=H","UseDPDF=Y")</f>
        <v>#NAME?</v>
      </c>
      <c r="AS448" s="2" t="e">
        <f ca="1">_xll.BDH($C$428,"ACCOUNTS_RECEIVABLE_5_YR_GROWTH","FY 2018","FY 2018","Currency=INR","Period=FY","BEST_FPERIOD_OVERRIDE=FY","FILING_STATUS=OR","EQY_CONSOLIDATED=Y","Sort=A","Dates=H","DateFormat=P","Fill=—","Direction=H","UseDPDF=Y")</f>
        <v>#NAME?</v>
      </c>
      <c r="AT448" s="2" t="e">
        <f ca="1">_xll.BDH($C$428,"INVENTORY_5_YEAR_GROWTH","FY 2018","FY 2018","Currency=INR","Period=FY","BEST_FPERIOD_OVERRIDE=FY","FILING_STATUS=OR","EQY_CONSOLIDATED=Y","Sort=A","Dates=H","DateFormat=P","Fill=—","Direction=H","UseDPDF=Y")</f>
        <v>#NAME?</v>
      </c>
      <c r="AU448" s="2" t="e">
        <f ca="1">_xll.BDH($C$428,"NET_FIXED_ASSETS_5_YEAR_GROWTH","FY 2018","FY 2018","Currency=INR","Period=FY","BEST_FPERIOD_OVERRIDE=FY","FILING_STATUS=OR","EQY_CONSOLIDATED=Y","Sort=A","Dates=H","DateFormat=P","Fill=—","Direction=H","UseDPDF=Y")</f>
        <v>#NAME?</v>
      </c>
      <c r="AV448" s="2" t="e">
        <f ca="1">_xll.BDH($C$428,"GEO_GROW_TOT_ASSET","FY 2018","FY 2018","Currency=INR","Period=FY","BEST_FPERIOD_OVERRIDE=FY","FILING_STATUS=OR","EQY_CONSOLIDATED=Y","Sort=A","Dates=H","DateFormat=P","Fill=—","Direction=H","UseDPDF=Y")</f>
        <v>#NAME?</v>
      </c>
      <c r="AW448" s="2" t="e">
        <f ca="1">_xll.BDH($C$428,"MODIFIED_WORKING_CPTL_5YR_GRWTH","FY 2018","FY 2018","Currency=INR","Period=FY","BEST_FPERIOD_OVERRIDE=FY","FILING_STATUS=OR","EQY_CONSOLIDATED=Y","Sort=A","Dates=H","DateFormat=P","Fill=—","Direction=H","UseDPDF=Y")</f>
        <v>#NAME?</v>
      </c>
      <c r="AX448" s="2" t="e">
        <f ca="1">_xll.BDH($C$428,"WORKING_CAPITAL_5_YEAR_GROWTH","FY 2018","FY 2018","Currency=INR","Period=FY","BEST_FPERIOD_OVERRIDE=FY","FILING_STATUS=OR","EQY_CONSOLIDATED=Y","Sort=A","Dates=H","DateFormat=P","Fill=—","Direction=H","UseDPDF=Y")</f>
        <v>#NAME?</v>
      </c>
      <c r="AY448" s="2" t="e">
        <f ca="1">_xll.BDH($C$428,"ACCOUNTS_PAYABLE_5_YEAR_GROWTH","FY 2018","FY 2018","Currency=INR","Period=FY","BEST_FPERIOD_OVERRIDE=FY","FILING_STATUS=OR","EQY_CONSOLIDATED=Y","Sort=A","Dates=H","DateFormat=P","Fill=—","Direction=H","UseDPDF=Y")</f>
        <v>#NAME?</v>
      </c>
      <c r="AZ448" s="2" t="e">
        <f ca="1">_xll.BDH($C$428,"SHORT_TERM_DEBT_5_YEAR_GROWTH","FY 2018","FY 2018","Currency=INR","Period=FY","BEST_FPERIOD_OVERRIDE=FY","FILING_STATUS=OR","EQY_CONSOLIDATED=Y","Sort=A","Dates=H","DateFormat=P","Fill=—","Direction=H","UseDPDF=Y")</f>
        <v>#NAME?</v>
      </c>
      <c r="BA448" s="2" t="e">
        <f ca="1">_xll.BDH($C$428,"TOTAL_DEBT_5_YEAR_GROWTH","FY 2018","FY 2018","Currency=INR","Period=FY","BEST_FPERIOD_OVERRIDE=FY","FILING_STATUS=OR","EQY_CONSOLIDATED=Y","Sort=A","Dates=H","DateFormat=P","Fill=—","Direction=H","UseDPDF=Y")</f>
        <v>#NAME?</v>
      </c>
      <c r="BB448" s="2" t="e">
        <f ca="1">_xll.BDH($C$428,"GEO_GROW_TOT_SHRHLDR_EQY","FY 2018","FY 2018","Currency=INR","Period=FY","BEST_FPERIOD_OVERRIDE=FY","FILING_STATUS=OR","EQY_CONSOLIDATED=Y","Sort=A","Dates=H","DateFormat=P","Fill=—","Direction=H","UseDPDF=Y")</f>
        <v>#NAME?</v>
      </c>
      <c r="BC448" s="2" t="e">
        <f ca="1">_xll.BDH($C$428,"TOTAL_CAPITAL_5_YEAR_GROWTH","FY 2018","FY 2018","Currency=INR","Period=FY","BEST_FPERIOD_OVERRIDE=FY","FILING_STATUS=OR","EQY_CONSOLIDATED=Y","Sort=A","Dates=H","DateFormat=P","Fill=—","Direction=H","UseDPDF=Y")</f>
        <v>#NAME?</v>
      </c>
      <c r="BD448" s="2" t="e">
        <f ca="1">_xll.BDH($C$428,"GEO_GROW_BOOK_VAL","FY 2018","FY 2018","Currency=INR","Period=FY","BEST_FPERIOD_OVERRIDE=FY","FILING_STATUS=OR","EQY_CONSOLIDATED=Y","Sort=A","Dates=H","DateFormat=P","Fill=—","Direction=H","UseDPDF=Y")</f>
        <v>#NAME?</v>
      </c>
      <c r="BE448" s="2" t="e">
        <f ca="1">_xll.BDH($C$428,"GEO_GROW_CASH_OPER_ACT","FY 2018","FY 2018","Currency=INR","Period=FY","BEST_FPERIOD_OVERRIDE=FY","FILING_STATUS=OR","EQY_CONSOLIDATED=Y","Sort=A","Dates=H","DateFormat=P","Fill=—","Direction=H","UseDPDF=Y")</f>
        <v>#NAME?</v>
      </c>
      <c r="BF448" s="2" t="e">
        <f ca="1">_xll.BDH($C$428,"REVENUE_SEQUENTIAL_GROWTH","FY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448" s="2" t="e">
        <f ca="1">_xll.BDH($C$428,"EBITDA_SEQUENTIAL_GROWTH","FY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448" s="2" t="e">
        <f ca="1">_xll.BDH($C$428,"OPERATING_INCOME_SEQ_GROWTH","FY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448" s="2" t="e">
        <f ca="1">_xll.BDH($C$428,"NET_INCOME_TO_COMMON_SEQ_GROWTH","FY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448" s="2" t="e">
        <f ca="1">_xll.BDH($C$428,"EPS_DILUTED_SEQUENTIAL_GROWTH","FY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448" s="2" t="e">
        <f ca="1">_xll.BDH($C$428,"DPS_SEQUENTIAL_GROWTH","FY 2018","FY 2018","Currency=INR","Period=FY","BEST_FPERIOD_OVERRIDE=FY","FILING_STATUS=OR","EQY_CONSOLIDATED=Y","Sort=A","Dates=H","DateFormat=P","Fill=—","Direction=H","UseDPDF=Y")</f>
        <v>#NAME?</v>
      </c>
      <c r="BL448" s="2" t="e">
        <f ca="1">_xll.BDH($C$428,"ACCOUNTS_RECEIVABLE_SEQ_GROWTH","FY 2018","FY 2018","Currency=INR","Period=FY","BEST_FPERIOD_OVERRIDE=FY","FILING_STATUS=OR","EQY_CONSOLIDATED=Y","Sort=A","Dates=H","DateFormat=P","Fill=—","Direction=H","UseDPDF=Y")</f>
        <v>#NAME?</v>
      </c>
      <c r="BM448" s="2" t="e">
        <f ca="1">_xll.BDH($C$428,"INVENTORY_SEQUENTIAL_GROWTH","FY 2018","FY 2018","Currency=INR","Period=FY","BEST_FPERIOD_OVERRIDE=FY","FILING_STATUS=OR","EQY_CONSOLIDATED=Y","Sort=A","Dates=H","DateFormat=P","Fill=—","Direction=H","UseDPDF=Y")</f>
        <v>#NAME?</v>
      </c>
      <c r="BN448" s="2" t="e">
        <f ca="1">_xll.BDH($C$428,"FIXED_ASSETS_SEQUENTIAL_GROWTH","FY 2018","FY 2018","Currency=INR","Period=FY","BEST_FPERIOD_OVERRIDE=FY","FILING_STATUS=OR","EQY_CONSOLIDATED=Y","Sort=A","Dates=H","DateFormat=P","Fill=—","Direction=H","UseDPDF=Y")</f>
        <v>#NAME?</v>
      </c>
      <c r="BO448" s="2" t="e">
        <f ca="1">_xll.BDH($C$428,"TOTAL_ASSETS_SEQUENTIAL_GROWTH","FY 2018","FY 2018","Currency=INR","Period=FY","BEST_FPERIOD_OVERRIDE=FY","FILING_STATUS=OR","EQY_CONSOLIDATED=Y","Sort=A","Dates=H","DateFormat=P","Fill=—","Direction=H","UseDPDF=Y")</f>
        <v>#NAME?</v>
      </c>
      <c r="BP448" s="2" t="e">
        <f ca="1">_xll.BDH($C$428,"MODIFIED_WORKING_CPTL_SEQ_GRWTH","FY 2018","FY 2018","Currency=INR","Period=FY","BEST_FPERIOD_OVERRIDE=FY","FILING_STATUS=OR","EQY_CONSOLIDATED=Y","Sort=A","Dates=H","DateFormat=P","Fill=—","Direction=H","UseDPDF=Y")</f>
        <v>#NAME?</v>
      </c>
      <c r="BQ448" s="2" t="e">
        <f ca="1">_xll.BDH($C$428,"WORKING_CAPITAL_SEQ_GROWTH","FY 2018","FY 2018","Currency=INR","Period=FY","BEST_FPERIOD_OVERRIDE=FY","FILING_STATUS=OR","EQY_CONSOLIDATED=Y","Sort=A","Dates=H","DateFormat=P","Fill=—","Direction=H","UseDPDF=Y")</f>
        <v>#NAME?</v>
      </c>
      <c r="BR448" s="2" t="e">
        <f ca="1">_xll.BDH($C$428,"ACCOUNTS_PAYABLE_SEQ_GROWTH","FY 2018","FY 2018","Currency=INR","Period=FY","BEST_FPERIOD_OVERRIDE=FY","FILING_STATUS=OR","EQY_CONSOLIDATED=Y","Sort=A","Dates=H","DateFormat=P","Fill=—","Direction=H","UseDPDF=Y")</f>
        <v>#NAME?</v>
      </c>
      <c r="BS448" s="2" t="e">
        <f ca="1">_xll.BDH($C$428,"ST_DEBT_SEQUENTIAL_GROWTH","FY 2018","FY 2018","Currency=INR","Period=FY","BEST_FPERIOD_OVERRIDE=FY","FILING_STATUS=OR","EQY_CONSOLIDATED=Y","Sort=A","Dates=H","DateFormat=P","Fill=—","Direction=H","UseDPDF=Y")</f>
        <v>#NAME?</v>
      </c>
      <c r="BT448" s="2" t="e">
        <f ca="1">_xll.BDH($C$428,"TOTAL_DEBT_SEQUENTIAL_GROWTH","FY 2018","FY 2018","Currency=INR","Period=FY","BEST_FPERIOD_OVERRIDE=FY","FILING_STATUS=OR","EQY_CONSOLIDATED=Y","Sort=A","Dates=H","DateFormat=P","Fill=—","Direction=H","UseDPDF=Y")</f>
        <v>#NAME?</v>
      </c>
      <c r="BU448" s="2" t="e">
        <f ca="1">_xll.BDH($C$428,"TOTAL_EQUITY_SEQUENTIAL_GROWTH","FY 2018","FY 2018","Currency=INR","Period=FY","BEST_FPERIOD_OVERRIDE=FY","FILING_STATUS=OR","EQY_CONSOLIDATED=Y","Sort=A","Dates=H","DateFormat=P","Fill=—","Direction=H","UseDPDF=Y")</f>
        <v>#NAME?</v>
      </c>
      <c r="BV448" s="2" t="e">
        <f ca="1">_xll.BDH($C$428,"TOTAL_CAPITAL_SEQUENTIAL_GROWTH","FY 2018","FY 2018","Currency=INR","Period=FY","BEST_FPERIOD_OVERRIDE=FY","FILING_STATUS=OR","EQY_CONSOLIDATED=Y","Sort=A","Dates=H","DateFormat=P","Fill=—","Direction=H","UseDPDF=Y")</f>
        <v>#NAME?</v>
      </c>
      <c r="BW448" s="2" t="e">
        <f ca="1">_xll.BDH($C$428,"BPS_SEQUENTIAL_GROWTH","FY 2018","FY 2018","Currency=INR","Period=FY","BEST_FPERIOD_OVERRIDE=FY","FILING_STATUS=OR","EQY_CONSOLIDATED=Y","Sort=A","Dates=H","DateFormat=P","Fill=—","Direction=H","UseDPDF=Y")</f>
        <v>#NAME?</v>
      </c>
      <c r="BX448" s="2" t="e">
        <f ca="1">_xll.BDH($C$428,"CFO_SEQUENTIAL_GROWTH","FY 2018","FY 2018","Currency=INR","Period=FY","BEST_FPERIOD_OVERRIDE=FY","FILING_STATUS=OR","EQY_CONSOLIDATED=Y","Sort=A","Dates=H","DateFormat=P","Fill=—","Direction=H","UseDPDF=Y")</f>
        <v>#NAME?</v>
      </c>
      <c r="BY448" s="3" t="e">
        <f ca="1">_xll.BDH($C$428,"SHORT_AND_LONG_TERM_DEBT","FY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448" s="3" t="e">
        <f ca="1">_xll.BDH($C$428,"BS_ST_BORROW","FY 2018","FY 2018","Currency=INR","Period=FY","BEST_FPERIOD_OVERRIDE=FY","FILING_STATUS=OR","EQY_CONSOLIDATED=Y","SCALING_FORMAT=MLN","Sort=A","Dates=H","DateFormat=P","Fill=—","Direction=H","UseDPDF=Y")</f>
        <v>#NAME?</v>
      </c>
      <c r="CA448" s="3" t="e">
        <f ca="1">_xll.BDH($C$428,"BS_LT_BORROW","FY 2018","FY 2018","Currency=INR","Period=FY","BEST_FPERIOD_OVERRIDE=FY","FILING_STATUS=OR","EQY_CONSOLIDATED=Y","SCALING_FORMAT=MLN","Sort=A","Dates=H","DateFormat=P","Fill=—","Direction=H","UseDPDF=Y")</f>
        <v>#NAME?</v>
      </c>
      <c r="CB448" s="2" t="e">
        <f ca="1">_xll.BDH($C$428,"TOT_DEBT_TO_EBITDA","FY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448" s="2" t="e">
        <f ca="1">_xll.BDH($C$428,"NET_DEBT_TO_EBITDA","FY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448" s="2" t="e">
        <f ca="1">_xll.BDH($C$428,"TOTAL_DEBT_TO_EBIT","FY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448" s="2" t="e">
        <f ca="1">_xll.BDH($C$428,"NET_DEBT_TO_EBIT","FY 2018","FY 2018","Currency=INR","Period=FY","BEST_FPERIOD_OVERRIDE=FY","FILING_STATUS=OR","EQY_CONSOLIDATED=Y","FA_ADJUSTED=GAAP","Sort=A","Dates=H","DateFormat=P","Fill=—","Direction=H","UseDPDF=Y")</f>
        <v>#NAME?</v>
      </c>
      <c r="CF448" s="2" t="e">
        <f ca="1">_xll.BDH($C$428,"EBITDA_TO_INTEREST_EXPN","FY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448" s="2" t="e">
        <f ca="1">_xll.BDH($C$428,"COM_EQY_TO_TOT_ASSET","FY 2018","FY 2018","Currency=INR","Period=FY","BEST_FPERIOD_OVERRIDE=FY","FILING_STATUS=OR","EQY_CONSOLIDATED=Y","Sort=A","Dates=H","DateFormat=P","Fill=—","Direction=H","UseDPDF=Y")</f>
        <v>#NAME?</v>
      </c>
      <c r="CH448" s="2" t="e">
        <f ca="1">_xll.BDH($C$428,"LT_DEBT_TO_TOT_EQY","FY 2018","FY 2018","Currency=INR","Period=FY","BEST_FPERIOD_OVERRIDE=FY","FILING_STATUS=OR","EQY_CONSOLIDATED=Y","Sort=A","Dates=H","DateFormat=P","Fill=—","Direction=H","UseDPDF=Y")</f>
        <v>#NAME?</v>
      </c>
      <c r="CI448" s="2" t="e">
        <f ca="1">_xll.BDH($C$428,"LT_DEBT_TO_TOT_CAP","FY 2018","FY 2018","Currency=INR","Period=FY","BEST_FPERIOD_OVERRIDE=FY","FILING_STATUS=OR","EQY_CONSOLIDATED=Y","Sort=A","Dates=H","DateFormat=P","Fill=—","Direction=H","UseDPDF=Y")</f>
        <v>#NAME?</v>
      </c>
      <c r="CJ448" s="2" t="e">
        <f ca="1">_xll.BDH($C$428,"LT_DEBT_TO_TOT_ASSET","FY 2018","FY 2018","Currency=INR","Period=FY","BEST_FPERIOD_OVERRIDE=FY","FILING_STATUS=OR","EQY_CONSOLIDATED=Y","Sort=A","Dates=H","DateFormat=P","Fill=—","Direction=H","UseDPDF=Y")</f>
        <v>#NAME?</v>
      </c>
      <c r="CK448" s="2" t="e">
        <f ca="1">_xll.BDH($C$428,"TOT_DEBT_TO_TOT_EQY","FY 2018","FY 2018","Currency=INR","Period=FY","BEST_FPERIOD_OVERRIDE=FY","FILING_STATUS=OR","EQY_CONSOLIDATED=Y","Sort=A","Dates=H","DateFormat=P","Fill=—","Direction=H","UseDPDF=Y")</f>
        <v>#NAME?</v>
      </c>
      <c r="CL448" s="2" t="e">
        <f ca="1">_xll.BDH($C$428,"TOT_DEBT_TO_TOT_CAP","FY 2018","FY 2018","Currency=INR","Period=FY","BEST_FPERIOD_OVERRIDE=FY","FILING_STATUS=OR","EQY_CONSOLIDATED=Y","Sort=A","Dates=H","DateFormat=P","Fill=—","Direction=H","UseDPDF=Y")</f>
        <v>#NAME?</v>
      </c>
      <c r="CM448" s="2" t="e">
        <f ca="1">_xll.BDH($C$428,"TOT_DEBT_TO_TOT_ASSET","FY 2018","FY 2018","Currency=INR","Period=FY","BEST_FPERIOD_OVERRIDE=FY","FILING_STATUS=OR","EQY_CONSOLIDATED=Y","Sort=A","Dates=H","DateFormat=P","Fill=—","Direction=H","UseDPDF=Y")</f>
        <v>#NAME?</v>
      </c>
      <c r="CN448" s="2" t="e">
        <f ca="1">_xll.BDH($C$428,"NET_DEBT_TO_SHRHLDR_EQTY","FY 2018","FY 2018","Currency=INR","Period=FY","BEST_FPERIOD_OVERRIDE=FY","FILING_STATUS=OR","EQY_CONSOLIDATED=Y","Sort=A","Dates=H","DateFormat=P","Fill=—","Direction=H","UseDPDF=Y")</f>
        <v>#NAME?</v>
      </c>
      <c r="CO448" s="2" t="e">
        <f ca="1">_xll.BDH($C$428,"NET_DEBT_%_CAPITAL","FY 2018","FY 2018","Currency=INR","Period=FY","BEST_FPERIOD_OVERRIDE=FY","FILING_STATUS=OR","EQY_CONSOLIDATED=Y","Sort=A","Dates=H","DateFormat=P","Fill=—","Direction=H","UseDPDF=Y")</f>
        <v>#NAME?</v>
      </c>
      <c r="CP448" s="3" t="e">
        <f ca="1">_xll.BDH($C$428,"EBITDA","FY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448" s="3" t="e">
        <f ca="1">_xll.BDH($C$428,"EBITDA_AFTER_CAPEX","FY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448" s="3" t="e">
        <f ca="1">_xll.BDH($C$428,"IS_OPER_INC","FY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448" s="2" t="e">
        <f ca="1">_xll.BDH($C$428,"CASH_RATIO","FY 2018","FY 2018","Currency=INR","Period=FY","BEST_FPERIOD_OVERRIDE=FY","FILING_STATUS=OR","EQY_CONSOLIDATED=Y","Sort=A","Dates=H","DateFormat=P","Fill=—","Direction=H","UseDPDF=Y")</f>
        <v>#NAME?</v>
      </c>
      <c r="CT448" s="2" t="e">
        <f ca="1">_xll.BDH($C$428,"CUR_RATIO","FY 2018","FY 2018","Currency=INR","Period=FY","BEST_FPERIOD_OVERRIDE=FY","FILING_STATUS=OR","EQY_CONSOLIDATED=Y","Sort=A","Dates=H","DateFormat=P","Fill=—","Direction=H","UseDPDF=Y")</f>
        <v>#NAME?</v>
      </c>
      <c r="CU448" s="2" t="e">
        <f ca="1">_xll.BDH($C$428,"QUICK_RATIO","FY 2018","FY 2018","Currency=INR","Period=FY","BEST_FPERIOD_OVERRIDE=FY","FILING_STATUS=OR","EQY_CONSOLIDATED=Y","Sort=A","Dates=H","DateFormat=P","Fill=—","Direction=H","UseDPDF=Y")</f>
        <v>#NAME?</v>
      </c>
      <c r="CV448" s="2" t="e">
        <f ca="1">_xll.BDH($C$428,"ALTMAN_Z_SCORE","FY 2018","FY 2018","Currency=INR","Period=FY","BEST_FPERIOD_OVERRIDE=FY","FILING_STATUS=OR","EQY_CONSOLIDATED=Y","Sort=A","Dates=H","DateFormat=P","Fill=—","Direction=H","UseDPDF=Y")</f>
        <v>#NAME?</v>
      </c>
      <c r="CW448" s="4" t="e">
        <f ca="1">_xll.BDH($C$428,"ACCT_RCV_TURN","FY 2018","FY 2018","Currency=INR","Period=FY","BEST_FPERIOD_OVERRIDE=FY","FILING_STATUS=OR","EQY_CONSOLIDATED=Y","FA_ADJUSTED=GAAP","Sort=A","Dates=H","DateFormat=P","Fill=—","Direction=H","UseDPDF=Y")</f>
        <v>#NAME?</v>
      </c>
      <c r="CX448" s="2" t="e">
        <f ca="1">_xll.BDH($C$428,"ACCT_RCV_DAYS","FY 2018","FY 2018","Currency=INR","Period=FY","BEST_FPERIOD_OVERRIDE=FY","FILING_STATUS=OR","EQY_CONSOLIDATED=Y","FA_ADJUSTED=GAAP","Sort=A","Dates=H","DateFormat=P","Fill=—","Direction=H","UseDPDF=Y")</f>
        <v>#NAME?</v>
      </c>
      <c r="CY448" s="4" t="e">
        <f ca="1">_xll.BDH($C$428,"INVENT_TURN","FY 2018","FY 2018","Currency=INR","Period=FY","BEST_FPERIOD_OVERRIDE=FY","FILING_STATUS=OR","EQY_CONSOLIDATED=Y","FA_ADJUSTED=GAAP","Sort=A","Dates=H","DateFormat=P","Fill=—","Direction=H","UseDPDF=Y")</f>
        <v>#NAME?</v>
      </c>
      <c r="CZ448" s="2" t="e">
        <f ca="1">_xll.BDH($C$428,"INVENT_DAYS","FY 2018","FY 2018","Currency=INR","Period=FY","BEST_FPERIOD_OVERRIDE=FY","FILING_STATUS=OR","EQY_CONSOLIDATED=Y","FA_ADJUSTED=GAAP","Sort=A","Dates=H","DateFormat=P","Fill=—","Direction=H","UseDPDF=Y")</f>
        <v>#NAME?</v>
      </c>
      <c r="DA448" s="4" t="e">
        <f ca="1">_xll.BDH($C$428,"ACCOUNTS_PAYABLE_TURNOVER","FY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448" s="2" t="e">
        <f ca="1">_xll.BDH($C$428,"ACCOUNTS_PAYABLE_TURNOVER_DAYS","FY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448" s="4" t="e">
        <f ca="1">_xll.BDH($C$428,"CASH_CONVERSION_CYCLE","FY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448" s="4" t="e">
        <f ca="1">_xll.BDH($C$428,"INV_TO_CASH_DAYS","FY 2018","FY 2018","Currency=INR","Period=FY","BEST_FPERIOD_OVERRIDE=FY","FILING_STATUS=OR","EQY_CONSOLIDATED=Y","FA_ADJUSTED=GAAP","Sort=A","Dates=H","DateFormat=P","Fill=—","Direction=H","UseDPDF=Y")</f>
        <v>#NAME?</v>
      </c>
      <c r="DE448" s="5" t="e">
        <f ca="1">_xll.BDH($C$428,"BS_INVENTORIES","FY 2018","FY 2018","Currency=INR","Period=FY","BEST_FPERIOD_OVERRIDE=FY","FILING_STATUS=OR","EQY_CONSOLIDATED=Y","SCALING_FORMAT=MLN","Sort=A","Dates=H","DateFormat=P","Fill=—","Direction=H","UseDPDF=Y")</f>
        <v>#NAME?</v>
      </c>
      <c r="DF448" s="3" t="e">
        <f ca="1">_xll.BDH($C$428,"INVTRY_RAW_MATERIALS","FY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448" s="3" t="e">
        <f ca="1">_xll.BDH($C$428,"INVTRY_IN_PROGRESS","FY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448" s="3" t="e">
        <f ca="1">_xll.BDH($C$428,"INVTRY_FINISHED_GOODS","FY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448" s="3" t="e">
        <f ca="1">_xll.BDH($C$428,"BS_OTHER_INV","FY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449" spans="1:113" x14ac:dyDescent="0.3">
      <c r="A449" s="6"/>
      <c r="B449" s="6"/>
      <c r="C449" s="6"/>
      <c r="D449" s="6"/>
      <c r="E449" t="s">
        <v>78</v>
      </c>
      <c r="F449" t="e">
        <f ca="1">_xll.BDH($C$428,"RETURN_COM_EQY","FQ1 2018","FQ1 2018","Currency=INR","Period=FQ","BEST_FPERIOD_OVERRIDE=FQ","FILING_STATUS=OR","EQY_CONSOLIDATED=Y","FA_ADJUSTED=GAAP","Sort=A","Dates=H","DateFormat=P","Fill=—","Direction=H","UseDPDF=Y")</f>
        <v>#NAME?</v>
      </c>
      <c r="G449" t="e">
        <f ca="1">_xll.BDH($C$428,"RETURN_ON_ASSET","FQ1 2018","FQ1 2018","Currency=INR","Period=FQ","BEST_FPERIOD_OVERRIDE=FQ","FILING_STATUS=OR","EQY_CONSOLIDATED=Y","FA_ADJUSTED=GAAP","Sort=A","Dates=H","DateFormat=P","Fill=—","Direction=H","UseDPDF=Y")</f>
        <v>#NAME?</v>
      </c>
      <c r="H449" t="e">
        <f ca="1">_xll.BDH($C$428,"RETURN_ON_CAP","FQ1 2018","FQ1 2018","Currency=INR","Period=FQ","BEST_FPERIOD_OVERRIDE=FQ","FILING_STATUS=OR","EQY_CONSOLIDATED=Y","FA_ADJUSTED=GAAP","Sort=A","Dates=H","DateFormat=P","Fill=—","Direction=H","UseDPDF=Y")</f>
        <v>#NAME?</v>
      </c>
      <c r="I449" t="e">
        <f ca="1">_xll.BDH($C$428,"RETURN_ON_INV_CAPITAL","FQ1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449" t="e">
        <f ca="1">_xll.BDH($C$428,"EBITDA_TO_REVENUE","FQ1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449" t="e">
        <f ca="1">_xll.BDH($C$428,"OPER_MARGIN","FQ1 2018","FQ1 2018","Currency=INR","Period=FQ","BEST_FPERIOD_OVERRIDE=FQ","FILING_STATUS=OR","EQY_CONSOLIDATED=Y","FA_ADJUSTED=GAAP","Sort=A","Dates=H","DateFormat=P","Fill=—","Direction=H","UseDPDF=Y")</f>
        <v>#NAME?</v>
      </c>
      <c r="L449" t="e">
        <f ca="1">_xll.BDH($C$428,"INCREMENTAL_OPERATING_MARGIN","FQ1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449" t="e">
        <f ca="1">_xll.BDH($C$428,"PRETAX_INC_TO_NET_SALES","FQ1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449" t="e">
        <f ca="1">_xll.BDH($C$428,"INC_BEF_XO_ITEMS_TO_NET_SALES","FQ1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449" t="e">
        <f ca="1">_xll.BDH($C$428,"PROF_MARGIN","FQ1 2018","FQ1 2018","Currency=INR","Period=FQ","BEST_FPERIOD_OVERRIDE=FQ","FILING_STATUS=OR","EQY_CONSOLIDATED=Y","FA_ADJUSTED=GAAP","Sort=A","Dates=H","DateFormat=P","Fill=—","Direction=H","UseDPDF=Y")</f>
        <v>#NAME?</v>
      </c>
      <c r="P449" t="e">
        <f ca="1">_xll.BDH($C$428,"NET_INCOME_TO_COMMON_MARGIN","FQ1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449" t="e">
        <f ca="1">_xll.BDH($C$428,"EFF_TAX_RATE","FQ1 2018","FQ1 2018","Currency=INR","Period=FQ","BEST_FPERIOD_OVERRIDE=FQ","FILING_STATUS=OR","EQY_CONSOLIDATED=Y","FA_ADJUSTED=GAAP","Sort=A","Dates=H","DateFormat=P","Fill=—","Direction=H","UseDPDF=Y")</f>
        <v>#NAME?</v>
      </c>
      <c r="R449" t="e">
        <f ca="1">_xll.BDH($C$428,"DVD_PAYOUT_RATIO","FQ1 2018","FQ1 2018","Currency=INR","Period=FQ","BEST_FPERIOD_OVERRIDE=FQ","FILING_STATUS=OR","EQY_CONSOLIDATED=Y","FA_ADJUSTED=GAAP","Sort=A","Dates=H","DateFormat=P","Fill=—","Direction=H","UseDPDF=Y")</f>
        <v>#NAME?</v>
      </c>
      <c r="S449" t="e">
        <f ca="1">_xll.BDH($C$428,"SUSTAIN_GROWTH_RT","FQ1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449" s="2" t="e">
        <f ca="1">_xll.BDH($C$428,"SALES_GROWTH","FQ1 2018","FQ1 2018","Currency=INR","Period=FQ","BEST_FPERIOD_OVERRIDE=FQ","FILING_STATUS=OR","EQY_CONSOLIDATED=Y","FA_ADJUSTED=GAAP","Sort=A","Dates=H","DateFormat=P","Fill=—","Direction=H","UseDPDF=Y")</f>
        <v>#NAME?</v>
      </c>
      <c r="U449" s="2" t="e">
        <f ca="1">_xll.BDH($C$428,"EBITDA_GROWTH","FQ1 2018","FQ1 2018","Currency=INR","Period=FQ","BEST_FPERIOD_OVERRIDE=FQ","FILING_STATUS=OR","EQY_CONSOLIDATED=Y","FA_ADJUSTED=GAAP","Sort=A","Dates=H","DateFormat=P","Fill=—","Direction=H","UseDPDF=Y")</f>
        <v>#NAME?</v>
      </c>
      <c r="V449" s="2" t="e">
        <f ca="1">_xll.BDH($C$428,"OPER_INC_GROWTH","FQ1 2018","FQ1 2018","Currency=INR","Period=FQ","BEST_FPERIOD_OVERRIDE=FQ","FILING_STATUS=OR","EQY_CONSOLIDATED=Y","FA_ADJUSTED=GAAP","Sort=A","Dates=H","DateFormat=P","Fill=—","Direction=H","UseDPDF=Y")</f>
        <v>#NAME?</v>
      </c>
      <c r="W449" s="2" t="e">
        <f ca="1">_xll.BDH($C$428,"EARN_FOR_COM_GROWTH","FQ1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449" s="2" t="e">
        <f ca="1">_xll.BDH($C$428,"DILUTED_EPS_AFT_XO_ITEMS_GROWTH","FQ1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449" s="2" t="e">
        <f ca="1">_xll.BDH($C$428,"DIVIDEND_PER_SHARE_1_YEAR_GROWTH","FQ1 2018","FQ1 2018","Currency=INR","Period=FQ","BEST_FPERIOD_OVERRIDE=FQ","FILING_STATUS=OR","EQY_CONSOLIDATED=Y","Sort=A","Dates=H","DateFormat=P","Fill=—","Direction=H","UseDPDF=Y")</f>
        <v>#NAME?</v>
      </c>
      <c r="Z449" s="2" t="e">
        <f ca="1">_xll.BDH($C$428,"ACCOUNTS_RECEIVABLE_GROWTH","FQ1 2018","FQ1 2018","Currency=INR","Period=FQ","BEST_FPERIOD_OVERRIDE=FQ","FILING_STATUS=OR","EQY_CONSOLIDATED=Y","Sort=A","Dates=H","DateFormat=P","Fill=—","Direction=H","UseDPDF=Y")</f>
        <v>#NAME?</v>
      </c>
      <c r="AA449" s="2" t="e">
        <f ca="1">_xll.BDH($C$428,"INVENTORY_GROWTH","FQ1 2018","FQ1 2018","Currency=INR","Period=FQ","BEST_FPERIOD_OVERRIDE=FQ","FILING_STATUS=OR","EQY_CONSOLIDATED=Y","Sort=A","Dates=H","DateFormat=P","Fill=—","Direction=H","UseDPDF=Y")</f>
        <v>#NAME?</v>
      </c>
      <c r="AB449" s="2" t="e">
        <f ca="1">_xll.BDH($C$428,"NET_FIXED_ASSETS_1_YEAR_GROWTH","FQ1 2018","FQ1 2018","Currency=INR","Period=FQ","BEST_FPERIOD_OVERRIDE=FQ","FILING_STATUS=OR","EQY_CONSOLIDATED=Y","Sort=A","Dates=H","DateFormat=P","Fill=—","Direction=H","UseDPDF=Y")</f>
        <v>#NAME?</v>
      </c>
      <c r="AC449" s="2" t="e">
        <f ca="1">_xll.BDH($C$428,"ASSET_GROWTH","FQ1 2018","FQ1 2018","Currency=INR","Period=FQ","BEST_FPERIOD_OVERRIDE=FQ","FILING_STATUS=OR","EQY_CONSOLIDATED=Y","Sort=A","Dates=H","DateFormat=P","Fill=—","Direction=H","UseDPDF=Y")</f>
        <v>#NAME?</v>
      </c>
      <c r="AD449" s="2" t="e">
        <f ca="1">_xll.BDH($C$428,"MODIFIED_WORK_CAP_GROWTH","FQ1 2018","FQ1 2018","Currency=INR","Period=FQ","BEST_FPERIOD_OVERRIDE=FQ","FILING_STATUS=OR","EQY_CONSOLIDATED=Y","Sort=A","Dates=H","DateFormat=P","Fill=—","Direction=H","UseDPDF=Y")</f>
        <v>#NAME?</v>
      </c>
      <c r="AE449" s="2" t="e">
        <f ca="1">_xll.BDH($C$428,"WORK_CAP_GROWTH","FQ1 2018","FQ1 2018","Currency=INR","Period=FQ","BEST_FPERIOD_OVERRIDE=FQ","FILING_STATUS=OR","EQY_CONSOLIDATED=Y","Sort=A","Dates=H","DateFormat=P","Fill=—","Direction=H","UseDPDF=Y")</f>
        <v>#NAME?</v>
      </c>
      <c r="AF449" s="2" t="e">
        <f ca="1">_xll.BDH($C$428,"ACCOUNTS_PAYABLE_GROWTH_1YR","FQ1 2018","FQ1 2018","Currency=INR","Period=FQ","BEST_FPERIOD_OVERRIDE=FQ","FILING_STATUS=OR","EQY_CONSOLIDATED=Y","Sort=A","Dates=H","DateFormat=P","Fill=—","Direction=H","UseDPDF=Y")</f>
        <v>#NAME?</v>
      </c>
      <c r="AG449" s="2" t="e">
        <f ca="1">_xll.BDH($C$428,"SHORT_TERM_DEBT_1_YEAR_GROWTH","FQ1 2018","FQ1 2018","Currency=INR","Period=FQ","BEST_FPERIOD_OVERRIDE=FQ","FILING_STATUS=OR","EQY_CONSOLIDATED=Y","Sort=A","Dates=H","DateFormat=P","Fill=—","Direction=H","UseDPDF=Y")</f>
        <v>#NAME?</v>
      </c>
      <c r="AH449" s="2" t="e">
        <f ca="1">_xll.BDH($C$428,"TOTAL_DEBT_1_YEAR_GROWTH","FQ1 2018","FQ1 2018","Currency=INR","Period=FQ","BEST_FPERIOD_OVERRIDE=FQ","FILING_STATUS=OR","EQY_CONSOLIDATED=Y","Sort=A","Dates=H","DateFormat=P","Fill=—","Direction=H","UseDPDF=Y")</f>
        <v>#NAME?</v>
      </c>
      <c r="AI449" s="2" t="e">
        <f ca="1">_xll.BDH($C$428,"TOTAL_EQUITY_1_YEAR_GROWTH","FQ1 2018","FQ1 2018","Currency=INR","Period=FQ","BEST_FPERIOD_OVERRIDE=FQ","FILING_STATUS=OR","EQY_CONSOLIDATED=Y","Sort=A","Dates=H","DateFormat=P","Fill=—","Direction=H","UseDPDF=Y")</f>
        <v>#NAME?</v>
      </c>
      <c r="AJ449" s="2" t="e">
        <f ca="1">_xll.BDH($C$428,"GROWTH_IN_CAP","FQ1 2018","FQ1 2018","Currency=INR","Period=FQ","BEST_FPERIOD_OVERRIDE=FQ","FILING_STATUS=OR","EQY_CONSOLIDATED=Y","Sort=A","Dates=H","DateFormat=P","Fill=—","Direction=H","UseDPDF=Y")</f>
        <v>#NAME?</v>
      </c>
      <c r="AK449" s="2" t="e">
        <f ca="1">_xll.BDH($C$428,"BVPS_GROWTH","FQ1 2018","FQ1 2018","Currency=INR","Period=FQ","BEST_FPERIOD_OVERRIDE=FQ","FILING_STATUS=OR","EQY_CONSOLIDATED=Y","Sort=A","Dates=H","DateFormat=P","Fill=—","Direction=H","UseDPDF=Y")</f>
        <v>#NAME?</v>
      </c>
      <c r="AL449" s="2" t="e">
        <f ca="1">_xll.BDH($C$428,"CASH_FLOW_GROWTH","FQ1 2018","FQ1 2018","Currency=INR","Period=FQ","BEST_FPERIOD_OVERRIDE=FQ","FILING_STATUS=OR","EQY_CONSOLIDATED=Y","Sort=A","Dates=H","DateFormat=P","Fill=—","Direction=H","UseDPDF=Y")</f>
        <v>#NAME?</v>
      </c>
      <c r="AM449" s="2" t="e">
        <f ca="1">_xll.BDH($C$428,"GEO_GROW_NET_SALES","FQ1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449" s="2" t="e">
        <f ca="1">_xll.BDH($C$428,"GEO_GROW_EBITDA","FQ1 2018","FQ1 2018","Currency=INR","Period=FQ","BEST_FPERIOD_OVERRIDE=FQ","FILING_STATUS=OR","EQY_CONSOLIDATED=Y","FA_ADJUSTED=GAAP","Sort=A","Dates=H","DateFormat=P","Fill=—","Direction=H","UseDPDF=Y")</f>
        <v>#NAME?</v>
      </c>
      <c r="AO449" s="2" t="e">
        <f ca="1">_xll.BDH($C$428,"GEO_GROW_OPER_INC","FQ1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449" s="2" t="e">
        <f ca="1">_xll.BDH($C$428,"NET_INCOME_TO_COMMON_5_YR_GROWTH","FQ1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449" s="2" t="e">
        <f ca="1">_xll.BDH($C$428,"5Y_GEO_GROWTH_DILUTED_EPS","FQ1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449" s="2" t="e">
        <f ca="1">_xll.BDH($C$428,"GEO_GROW_DVD_PER_SH","FQ1 2018","FQ1 2018","Currency=INR","Period=FQ","BEST_FPERIOD_OVERRIDE=FQ","FILING_STATUS=OR","EQY_CONSOLIDATED=Y","Sort=A","Dates=H","DateFormat=P","Fill=—","Direction=H","UseDPDF=Y")</f>
        <v>#NAME?</v>
      </c>
      <c r="AS449" s="2" t="e">
        <f ca="1">_xll.BDH($C$428,"ACCOUNTS_RECEIVABLE_5_YR_GROWTH","FQ1 2018","FQ1 2018","Currency=INR","Period=FQ","BEST_FPERIOD_OVERRIDE=FQ","FILING_STATUS=OR","EQY_CONSOLIDATED=Y","Sort=A","Dates=H","DateFormat=P","Fill=—","Direction=H","UseDPDF=Y")</f>
        <v>#NAME?</v>
      </c>
      <c r="AT449" s="2" t="e">
        <f ca="1">_xll.BDH($C$428,"INVENTORY_5_YEAR_GROWTH","FQ1 2018","FQ1 2018","Currency=INR","Period=FQ","BEST_FPERIOD_OVERRIDE=FQ","FILING_STATUS=OR","EQY_CONSOLIDATED=Y","Sort=A","Dates=H","DateFormat=P","Fill=—","Direction=H","UseDPDF=Y")</f>
        <v>#NAME?</v>
      </c>
      <c r="AU449" s="2" t="e">
        <f ca="1">_xll.BDH($C$428,"NET_FIXED_ASSETS_5_YEAR_GROWTH","FQ1 2018","FQ1 2018","Currency=INR","Period=FQ","BEST_FPERIOD_OVERRIDE=FQ","FILING_STATUS=OR","EQY_CONSOLIDATED=Y","Sort=A","Dates=H","DateFormat=P","Fill=—","Direction=H","UseDPDF=Y")</f>
        <v>#NAME?</v>
      </c>
      <c r="AV449" s="2" t="e">
        <f ca="1">_xll.BDH($C$428,"GEO_GROW_TOT_ASSET","FQ1 2018","FQ1 2018","Currency=INR","Period=FQ","BEST_FPERIOD_OVERRIDE=FQ","FILING_STATUS=OR","EQY_CONSOLIDATED=Y","Sort=A","Dates=H","DateFormat=P","Fill=—","Direction=H","UseDPDF=Y")</f>
        <v>#NAME?</v>
      </c>
      <c r="AW449" s="2" t="e">
        <f ca="1">_xll.BDH($C$428,"MODIFIED_WORKING_CPTL_5YR_GRWTH","FQ1 2018","FQ1 2018","Currency=INR","Period=FQ","BEST_FPERIOD_OVERRIDE=FQ","FILING_STATUS=OR","EQY_CONSOLIDATED=Y","Sort=A","Dates=H","DateFormat=P","Fill=—","Direction=H","UseDPDF=Y")</f>
        <v>#NAME?</v>
      </c>
      <c r="AX449" s="2" t="e">
        <f ca="1">_xll.BDH($C$428,"WORKING_CAPITAL_5_YEAR_GROWTH","FQ1 2018","FQ1 2018","Currency=INR","Period=FQ","BEST_FPERIOD_OVERRIDE=FQ","FILING_STATUS=OR","EQY_CONSOLIDATED=Y","Sort=A","Dates=H","DateFormat=P","Fill=—","Direction=H","UseDPDF=Y")</f>
        <v>#NAME?</v>
      </c>
      <c r="AY449" s="2" t="e">
        <f ca="1">_xll.BDH($C$428,"ACCOUNTS_PAYABLE_5_YEAR_GROWTH","FQ1 2018","FQ1 2018","Currency=INR","Period=FQ","BEST_FPERIOD_OVERRIDE=FQ","FILING_STATUS=OR","EQY_CONSOLIDATED=Y","Sort=A","Dates=H","DateFormat=P","Fill=—","Direction=H","UseDPDF=Y")</f>
        <v>#NAME?</v>
      </c>
      <c r="AZ449" s="2" t="e">
        <f ca="1">_xll.BDH($C$428,"SHORT_TERM_DEBT_5_YEAR_GROWTH","FQ1 2018","FQ1 2018","Currency=INR","Period=FQ","BEST_FPERIOD_OVERRIDE=FQ","FILING_STATUS=OR","EQY_CONSOLIDATED=Y","Sort=A","Dates=H","DateFormat=P","Fill=—","Direction=H","UseDPDF=Y")</f>
        <v>#NAME?</v>
      </c>
      <c r="BA449" s="2" t="e">
        <f ca="1">_xll.BDH($C$428,"TOTAL_DEBT_5_YEAR_GROWTH","FQ1 2018","FQ1 2018","Currency=INR","Period=FQ","BEST_FPERIOD_OVERRIDE=FQ","FILING_STATUS=OR","EQY_CONSOLIDATED=Y","Sort=A","Dates=H","DateFormat=P","Fill=—","Direction=H","UseDPDF=Y")</f>
        <v>#NAME?</v>
      </c>
      <c r="BB449" s="2" t="e">
        <f ca="1">_xll.BDH($C$428,"GEO_GROW_TOT_SHRHLDR_EQY","FQ1 2018","FQ1 2018","Currency=INR","Period=FQ","BEST_FPERIOD_OVERRIDE=FQ","FILING_STATUS=OR","EQY_CONSOLIDATED=Y","Sort=A","Dates=H","DateFormat=P","Fill=—","Direction=H","UseDPDF=Y")</f>
        <v>#NAME?</v>
      </c>
      <c r="BC449" s="2" t="e">
        <f ca="1">_xll.BDH($C$428,"TOTAL_CAPITAL_5_YEAR_GROWTH","FQ1 2018","FQ1 2018","Currency=INR","Period=FQ","BEST_FPERIOD_OVERRIDE=FQ","FILING_STATUS=OR","EQY_CONSOLIDATED=Y","Sort=A","Dates=H","DateFormat=P","Fill=—","Direction=H","UseDPDF=Y")</f>
        <v>#NAME?</v>
      </c>
      <c r="BD449" s="2" t="e">
        <f ca="1">_xll.BDH($C$428,"GEO_GROW_BOOK_VAL","FQ1 2018","FQ1 2018","Currency=INR","Period=FQ","BEST_FPERIOD_OVERRIDE=FQ","FILING_STATUS=OR","EQY_CONSOLIDATED=Y","Sort=A","Dates=H","DateFormat=P","Fill=—","Direction=H","UseDPDF=Y")</f>
        <v>#NAME?</v>
      </c>
      <c r="BE449" s="2" t="e">
        <f ca="1">_xll.BDH($C$428,"GEO_GROW_CASH_OPER_ACT","FQ1 2018","FQ1 2018","Currency=INR","Period=FQ","BEST_FPERIOD_OVERRIDE=FQ","FILING_STATUS=OR","EQY_CONSOLIDATED=Y","Sort=A","Dates=H","DateFormat=P","Fill=—","Direction=H","UseDPDF=Y")</f>
        <v>#NAME?</v>
      </c>
      <c r="BF449" s="2" t="e">
        <f ca="1">_xll.BDH($C$428,"REVENUE_SEQUENTIAL_GROWTH","FQ1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449" s="2" t="e">
        <f ca="1">_xll.BDH($C$428,"EBITDA_SEQUENTIAL_GROWTH","FQ1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449" s="2" t="e">
        <f ca="1">_xll.BDH($C$428,"OPERATING_INCOME_SEQ_GROWTH","FQ1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449" s="2" t="e">
        <f ca="1">_xll.BDH($C$428,"NET_INCOME_TO_COMMON_SEQ_GROWTH","FQ1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449" s="2" t="e">
        <f ca="1">_xll.BDH($C$428,"EPS_DILUTED_SEQUENTIAL_GROWTH","FQ1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449" s="2" t="e">
        <f ca="1">_xll.BDH($C$428,"DPS_SEQUENTIAL_GROWTH","FQ1 2018","FQ1 2018","Currency=INR","Period=FQ","BEST_FPERIOD_OVERRIDE=FQ","FILING_STATUS=OR","EQY_CONSOLIDATED=Y","Sort=A","Dates=H","DateFormat=P","Fill=—","Direction=H","UseDPDF=Y")</f>
        <v>#NAME?</v>
      </c>
      <c r="BL449" s="2" t="e">
        <f ca="1">_xll.BDH($C$428,"ACCOUNTS_RECEIVABLE_SEQ_GROWTH","FQ1 2018","FQ1 2018","Currency=INR","Period=FQ","BEST_FPERIOD_OVERRIDE=FQ","FILING_STATUS=OR","EQY_CONSOLIDATED=Y","Sort=A","Dates=H","DateFormat=P","Fill=—","Direction=H","UseDPDF=Y")</f>
        <v>#NAME?</v>
      </c>
      <c r="BM449" s="2" t="e">
        <f ca="1">_xll.BDH($C$428,"INVENTORY_SEQUENTIAL_GROWTH","FQ1 2018","FQ1 2018","Currency=INR","Period=FQ","BEST_FPERIOD_OVERRIDE=FQ","FILING_STATUS=OR","EQY_CONSOLIDATED=Y","Sort=A","Dates=H","DateFormat=P","Fill=—","Direction=H","UseDPDF=Y")</f>
        <v>#NAME?</v>
      </c>
      <c r="BN449" s="2" t="e">
        <f ca="1">_xll.BDH($C$428,"FIXED_ASSETS_SEQUENTIAL_GROWTH","FQ1 2018","FQ1 2018","Currency=INR","Period=FQ","BEST_FPERIOD_OVERRIDE=FQ","FILING_STATUS=OR","EQY_CONSOLIDATED=Y","Sort=A","Dates=H","DateFormat=P","Fill=—","Direction=H","UseDPDF=Y")</f>
        <v>#NAME?</v>
      </c>
      <c r="BO449" s="2" t="e">
        <f ca="1">_xll.BDH($C$428,"TOTAL_ASSETS_SEQUENTIAL_GROWTH","FQ1 2018","FQ1 2018","Currency=INR","Period=FQ","BEST_FPERIOD_OVERRIDE=FQ","FILING_STATUS=OR","EQY_CONSOLIDATED=Y","Sort=A","Dates=H","DateFormat=P","Fill=—","Direction=H","UseDPDF=Y")</f>
        <v>#NAME?</v>
      </c>
      <c r="BP449" s="2" t="e">
        <f ca="1">_xll.BDH($C$428,"MODIFIED_WORKING_CPTL_SEQ_GRWTH","FQ1 2018","FQ1 2018","Currency=INR","Period=FQ","BEST_FPERIOD_OVERRIDE=FQ","FILING_STATUS=OR","EQY_CONSOLIDATED=Y","Sort=A","Dates=H","DateFormat=P","Fill=—","Direction=H","UseDPDF=Y")</f>
        <v>#NAME?</v>
      </c>
      <c r="BQ449" s="2" t="e">
        <f ca="1">_xll.BDH($C$428,"WORKING_CAPITAL_SEQ_GROWTH","FQ1 2018","FQ1 2018","Currency=INR","Period=FQ","BEST_FPERIOD_OVERRIDE=FQ","FILING_STATUS=OR","EQY_CONSOLIDATED=Y","Sort=A","Dates=H","DateFormat=P","Fill=—","Direction=H","UseDPDF=Y")</f>
        <v>#NAME?</v>
      </c>
      <c r="BR449" s="2" t="e">
        <f ca="1">_xll.BDH($C$428,"ACCOUNTS_PAYABLE_SEQ_GROWTH","FQ1 2018","FQ1 2018","Currency=INR","Period=FQ","BEST_FPERIOD_OVERRIDE=FQ","FILING_STATUS=OR","EQY_CONSOLIDATED=Y","Sort=A","Dates=H","DateFormat=P","Fill=—","Direction=H","UseDPDF=Y")</f>
        <v>#NAME?</v>
      </c>
      <c r="BS449" s="2" t="e">
        <f ca="1">_xll.BDH($C$428,"ST_DEBT_SEQUENTIAL_GROWTH","FQ1 2018","FQ1 2018","Currency=INR","Period=FQ","BEST_FPERIOD_OVERRIDE=FQ","FILING_STATUS=OR","EQY_CONSOLIDATED=Y","Sort=A","Dates=H","DateFormat=P","Fill=—","Direction=H","UseDPDF=Y")</f>
        <v>#NAME?</v>
      </c>
      <c r="BT449" s="2" t="e">
        <f ca="1">_xll.BDH($C$428,"TOTAL_DEBT_SEQUENTIAL_GROWTH","FQ1 2018","FQ1 2018","Currency=INR","Period=FQ","BEST_FPERIOD_OVERRIDE=FQ","FILING_STATUS=OR","EQY_CONSOLIDATED=Y","Sort=A","Dates=H","DateFormat=P","Fill=—","Direction=H","UseDPDF=Y")</f>
        <v>#NAME?</v>
      </c>
      <c r="BU449" s="2" t="e">
        <f ca="1">_xll.BDH($C$428,"TOTAL_EQUITY_SEQUENTIAL_GROWTH","FQ1 2018","FQ1 2018","Currency=INR","Period=FQ","BEST_FPERIOD_OVERRIDE=FQ","FILING_STATUS=OR","EQY_CONSOLIDATED=Y","Sort=A","Dates=H","DateFormat=P","Fill=—","Direction=H","UseDPDF=Y")</f>
        <v>#NAME?</v>
      </c>
      <c r="BV449" s="2" t="e">
        <f ca="1">_xll.BDH($C$428,"TOTAL_CAPITAL_SEQUENTIAL_GROWTH","FQ1 2018","FQ1 2018","Currency=INR","Period=FQ","BEST_FPERIOD_OVERRIDE=FQ","FILING_STATUS=OR","EQY_CONSOLIDATED=Y","Sort=A","Dates=H","DateFormat=P","Fill=—","Direction=H","UseDPDF=Y")</f>
        <v>#NAME?</v>
      </c>
      <c r="BW449" s="2" t="e">
        <f ca="1">_xll.BDH($C$428,"BPS_SEQUENTIAL_GROWTH","FQ1 2018","FQ1 2018","Currency=INR","Period=FQ","BEST_FPERIOD_OVERRIDE=FQ","FILING_STATUS=OR","EQY_CONSOLIDATED=Y","Sort=A","Dates=H","DateFormat=P","Fill=—","Direction=H","UseDPDF=Y")</f>
        <v>#NAME?</v>
      </c>
      <c r="BX449" s="2" t="e">
        <f ca="1">_xll.BDH($C$428,"CFO_SEQUENTIAL_GROWTH","FQ1 2018","FQ1 2018","Currency=INR","Period=FQ","BEST_FPERIOD_OVERRIDE=FQ","FILING_STATUS=OR","EQY_CONSOLIDATED=Y","Sort=A","Dates=H","DateFormat=P","Fill=—","Direction=H","UseDPDF=Y")</f>
        <v>#NAME?</v>
      </c>
      <c r="BY449" s="3" t="e">
        <f ca="1">_xll.BDH($C$428,"SHORT_AND_LONG_TERM_DEBT","FQ1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449" s="3" t="e">
        <f ca="1">_xll.BDH($C$428,"BS_ST_BORROW","FQ1 2018","FQ1 2018","Currency=INR","Period=FQ","BEST_FPERIOD_OVERRIDE=FQ","FILING_STATUS=OR","EQY_CONSOLIDATED=Y","SCALING_FORMAT=MLN","Sort=A","Dates=H","DateFormat=P","Fill=—","Direction=H","UseDPDF=Y")</f>
        <v>#NAME?</v>
      </c>
      <c r="CA449" s="3" t="e">
        <f ca="1">_xll.BDH($C$428,"BS_LT_BORROW","FQ1 2018","FQ1 2018","Currency=INR","Period=FQ","BEST_FPERIOD_OVERRIDE=FQ","FILING_STATUS=OR","EQY_CONSOLIDATED=Y","SCALING_FORMAT=MLN","Sort=A","Dates=H","DateFormat=P","Fill=—","Direction=H","UseDPDF=Y")</f>
        <v>#NAME?</v>
      </c>
      <c r="CB449" s="2" t="e">
        <f ca="1">_xll.BDH($C$428,"TOT_DEBT_TO_EBITDA","FQ1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449" s="2" t="e">
        <f ca="1">_xll.BDH($C$428,"NET_DEBT_TO_EBITDA","FQ1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449" s="2" t="e">
        <f ca="1">_xll.BDH($C$428,"TOTAL_DEBT_TO_EBIT","FQ1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449" s="2" t="e">
        <f ca="1">_xll.BDH($C$428,"NET_DEBT_TO_EBIT","FQ1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449" s="2" t="e">
        <f ca="1">_xll.BDH($C$428,"EBITDA_TO_INTEREST_EXPN","FQ1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449" s="2" t="e">
        <f ca="1">_xll.BDH($C$428,"COM_EQY_TO_TOT_ASSET","FQ1 2018","FQ1 2018","Currency=INR","Period=FQ","BEST_FPERIOD_OVERRIDE=FQ","FILING_STATUS=OR","EQY_CONSOLIDATED=Y","Sort=A","Dates=H","DateFormat=P","Fill=—","Direction=H","UseDPDF=Y")</f>
        <v>#NAME?</v>
      </c>
      <c r="CH449" s="2" t="e">
        <f ca="1">_xll.BDH($C$428,"LT_DEBT_TO_TOT_EQY","FQ1 2018","FQ1 2018","Currency=INR","Period=FQ","BEST_FPERIOD_OVERRIDE=FQ","FILING_STATUS=OR","EQY_CONSOLIDATED=Y","Sort=A","Dates=H","DateFormat=P","Fill=—","Direction=H","UseDPDF=Y")</f>
        <v>#NAME?</v>
      </c>
      <c r="CI449" s="2" t="e">
        <f ca="1">_xll.BDH($C$428,"LT_DEBT_TO_TOT_CAP","FQ1 2018","FQ1 2018","Currency=INR","Period=FQ","BEST_FPERIOD_OVERRIDE=FQ","FILING_STATUS=OR","EQY_CONSOLIDATED=Y","Sort=A","Dates=H","DateFormat=P","Fill=—","Direction=H","UseDPDF=Y")</f>
        <v>#NAME?</v>
      </c>
      <c r="CJ449" s="2" t="e">
        <f ca="1">_xll.BDH($C$428,"LT_DEBT_TO_TOT_ASSET","FQ1 2018","FQ1 2018","Currency=INR","Period=FQ","BEST_FPERIOD_OVERRIDE=FQ","FILING_STATUS=OR","EQY_CONSOLIDATED=Y","Sort=A","Dates=H","DateFormat=P","Fill=—","Direction=H","UseDPDF=Y")</f>
        <v>#NAME?</v>
      </c>
      <c r="CK449" s="2" t="e">
        <f ca="1">_xll.BDH($C$428,"TOT_DEBT_TO_TOT_EQY","FQ1 2018","FQ1 2018","Currency=INR","Period=FQ","BEST_FPERIOD_OVERRIDE=FQ","FILING_STATUS=OR","EQY_CONSOLIDATED=Y","Sort=A","Dates=H","DateFormat=P","Fill=—","Direction=H","UseDPDF=Y")</f>
        <v>#NAME?</v>
      </c>
      <c r="CL449" s="2" t="e">
        <f ca="1">_xll.BDH($C$428,"TOT_DEBT_TO_TOT_CAP","FQ1 2018","FQ1 2018","Currency=INR","Period=FQ","BEST_FPERIOD_OVERRIDE=FQ","FILING_STATUS=OR","EQY_CONSOLIDATED=Y","Sort=A","Dates=H","DateFormat=P","Fill=—","Direction=H","UseDPDF=Y")</f>
        <v>#NAME?</v>
      </c>
      <c r="CM449" s="2" t="e">
        <f ca="1">_xll.BDH($C$428,"TOT_DEBT_TO_TOT_ASSET","FQ1 2018","FQ1 2018","Currency=INR","Period=FQ","BEST_FPERIOD_OVERRIDE=FQ","FILING_STATUS=OR","EQY_CONSOLIDATED=Y","Sort=A","Dates=H","DateFormat=P","Fill=—","Direction=H","UseDPDF=Y")</f>
        <v>#NAME?</v>
      </c>
      <c r="CN449" s="2" t="e">
        <f ca="1">_xll.BDH($C$428,"NET_DEBT_TO_SHRHLDR_EQTY","FQ1 2018","FQ1 2018","Currency=INR","Period=FQ","BEST_FPERIOD_OVERRIDE=FQ","FILING_STATUS=OR","EQY_CONSOLIDATED=Y","Sort=A","Dates=H","DateFormat=P","Fill=—","Direction=H","UseDPDF=Y")</f>
        <v>#NAME?</v>
      </c>
      <c r="CO449" s="2" t="e">
        <f ca="1">_xll.BDH($C$428,"NET_DEBT_%_CAPITAL","FQ1 2018","FQ1 2018","Currency=INR","Period=FQ","BEST_FPERIOD_OVERRIDE=FQ","FILING_STATUS=OR","EQY_CONSOLIDATED=Y","Sort=A","Dates=H","DateFormat=P","Fill=—","Direction=H","UseDPDF=Y")</f>
        <v>#NAME?</v>
      </c>
      <c r="CP449" s="3" t="e">
        <f ca="1">_xll.BDH($C$428,"EBITDA","FQ1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449" s="3" t="e">
        <f ca="1">_xll.BDH($C$428,"EBITDA_AFTER_CAPEX","FQ1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449" s="3" t="e">
        <f ca="1">_xll.BDH($C$428,"IS_OPER_INC","FQ1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449" s="2" t="e">
        <f ca="1">_xll.BDH($C$428,"CASH_RATIO","FQ1 2018","FQ1 2018","Currency=INR","Period=FQ","BEST_FPERIOD_OVERRIDE=FQ","FILING_STATUS=OR","EQY_CONSOLIDATED=Y","Sort=A","Dates=H","DateFormat=P","Fill=—","Direction=H","UseDPDF=Y")</f>
        <v>#NAME?</v>
      </c>
      <c r="CT449" s="2" t="e">
        <f ca="1">_xll.BDH($C$428,"CUR_RATIO","FQ1 2018","FQ1 2018","Currency=INR","Period=FQ","BEST_FPERIOD_OVERRIDE=FQ","FILING_STATUS=OR","EQY_CONSOLIDATED=Y","Sort=A","Dates=H","DateFormat=P","Fill=—","Direction=H","UseDPDF=Y")</f>
        <v>#NAME?</v>
      </c>
      <c r="CU449" s="2" t="e">
        <f ca="1">_xll.BDH($C$428,"QUICK_RATIO","FQ1 2018","FQ1 2018","Currency=INR","Period=FQ","BEST_FPERIOD_OVERRIDE=FQ","FILING_STATUS=OR","EQY_CONSOLIDATED=Y","Sort=A","Dates=H","DateFormat=P","Fill=—","Direction=H","UseDPDF=Y")</f>
        <v>#NAME?</v>
      </c>
      <c r="CV449" s="2" t="e">
        <f ca="1">_xll.BDH($C$428,"ALTMAN_Z_SCORE","FQ1 2018","FQ1 2018","Currency=INR","Period=FQ","BEST_FPERIOD_OVERRIDE=FQ","FILING_STATUS=OR","EQY_CONSOLIDATED=Y","Sort=A","Dates=H","DateFormat=P","Fill=—","Direction=H","UseDPDF=Y")</f>
        <v>#NAME?</v>
      </c>
      <c r="CW449" s="4" t="e">
        <f ca="1">_xll.BDH($C$428,"ACCT_RCV_TURN","FQ1 2018","FQ1 2018","Currency=INR","Period=FQ","BEST_FPERIOD_OVERRIDE=FQ","FILING_STATUS=OR","EQY_CONSOLIDATED=Y","FA_ADJUSTED=GAAP","Sort=A","Dates=H","DateFormat=P","Fill=—","Direction=H","UseDPDF=Y")</f>
        <v>#NAME?</v>
      </c>
      <c r="CX449" s="2" t="e">
        <f ca="1">_xll.BDH($C$428,"ACCT_RCV_DAYS","FQ1 2018","FQ1 2018","Currency=INR","Period=FQ","BEST_FPERIOD_OVERRIDE=FQ","FILING_STATUS=OR","EQY_CONSOLIDATED=Y","FA_ADJUSTED=GAAP","Sort=A","Dates=H","DateFormat=P","Fill=—","Direction=H","UseDPDF=Y")</f>
        <v>#NAME?</v>
      </c>
      <c r="CY449" s="4" t="e">
        <f ca="1">_xll.BDH($C$428,"INVENT_TURN","FQ1 2018","FQ1 2018","Currency=INR","Period=FQ","BEST_FPERIOD_OVERRIDE=FQ","FILING_STATUS=OR","EQY_CONSOLIDATED=Y","FA_ADJUSTED=GAAP","Sort=A","Dates=H","DateFormat=P","Fill=—","Direction=H","UseDPDF=Y")</f>
        <v>#NAME?</v>
      </c>
      <c r="CZ449" s="2" t="e">
        <f ca="1">_xll.BDH($C$428,"INVENT_DAYS","FQ1 2018","FQ1 2018","Currency=INR","Period=FQ","BEST_FPERIOD_OVERRIDE=FQ","FILING_STATUS=OR","EQY_CONSOLIDATED=Y","FA_ADJUSTED=GAAP","Sort=A","Dates=H","DateFormat=P","Fill=—","Direction=H","UseDPDF=Y")</f>
        <v>#NAME?</v>
      </c>
      <c r="DA449" s="4" t="e">
        <f ca="1">_xll.BDH($C$428,"ACCOUNTS_PAYABLE_TURNOVER","FQ1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449" s="2" t="e">
        <f ca="1">_xll.BDH($C$428,"ACCOUNTS_PAYABLE_TURNOVER_DAYS","FQ1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449" s="4" t="e">
        <f ca="1">_xll.BDH($C$428,"CASH_CONVERSION_CYCLE","FQ1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449" s="4" t="e">
        <f ca="1">_xll.BDH($C$428,"INV_TO_CASH_DAYS","FQ1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449" s="5" t="e">
        <f ca="1">_xll.BDH($C$428,"BS_INVENTORIES","FQ1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449" s="3" t="e">
        <f ca="1">_xll.BDH($C$428,"INVTRY_RAW_MATERIALS","FQ1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449" s="3" t="e">
        <f ca="1">_xll.BDH($C$428,"INVTRY_IN_PROGRESS","FQ1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449" s="3" t="e">
        <f ca="1">_xll.BDH($C$428,"INVTRY_FINISHED_GOODS","FQ1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449" s="3" t="e">
        <f ca="1">_xll.BDH($C$428,"BS_OTHER_INV","FQ1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450" spans="1:113" x14ac:dyDescent="0.3">
      <c r="A450" s="6"/>
      <c r="B450" s="6"/>
      <c r="C450" s="6"/>
      <c r="D450" s="6"/>
      <c r="E450" t="s">
        <v>79</v>
      </c>
      <c r="F450" t="e">
        <f ca="1">_xll.BDH($C$428,"RETURN_COM_EQY","FQ2 2018","FQ2 2018","Currency=INR","Period=FQ","BEST_FPERIOD_OVERRIDE=FQ","FILING_STATUS=OR","EQY_CONSOLIDATED=Y","FA_ADJUSTED=GAAP","Sort=A","Dates=H","DateFormat=P","Fill=—","Direction=H","UseDPDF=Y")</f>
        <v>#NAME?</v>
      </c>
      <c r="G450" t="e">
        <f ca="1">_xll.BDH($C$428,"RETURN_ON_ASSET","FQ2 2018","FQ2 2018","Currency=INR","Period=FQ","BEST_FPERIOD_OVERRIDE=FQ","FILING_STATUS=OR","EQY_CONSOLIDATED=Y","FA_ADJUSTED=GAAP","Sort=A","Dates=H","DateFormat=P","Fill=—","Direction=H","UseDPDF=Y")</f>
        <v>#NAME?</v>
      </c>
      <c r="H450" t="e">
        <f ca="1">_xll.BDH($C$428,"RETURN_ON_CAP","FQ2 2018","FQ2 2018","Currency=INR","Period=FQ","BEST_FPERIOD_OVERRIDE=FQ","FILING_STATUS=OR","EQY_CONSOLIDATED=Y","FA_ADJUSTED=GAAP","Sort=A","Dates=H","DateFormat=P","Fill=—","Direction=H","UseDPDF=Y")</f>
        <v>#NAME?</v>
      </c>
      <c r="I450" t="e">
        <f ca="1">_xll.BDH($C$428,"RETURN_ON_INV_CAPITAL","FQ2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450" t="e">
        <f ca="1">_xll.BDH($C$428,"EBITDA_TO_REVENUE","FQ2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450" t="e">
        <f ca="1">_xll.BDH($C$428,"OPER_MARGIN","FQ2 2018","FQ2 2018","Currency=INR","Period=FQ","BEST_FPERIOD_OVERRIDE=FQ","FILING_STATUS=OR","EQY_CONSOLIDATED=Y","FA_ADJUSTED=GAAP","Sort=A","Dates=H","DateFormat=P","Fill=—","Direction=H","UseDPDF=Y")</f>
        <v>#NAME?</v>
      </c>
      <c r="L450" t="e">
        <f ca="1">_xll.BDH($C$428,"INCREMENTAL_OPERATING_MARGIN","FQ2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450" t="e">
        <f ca="1">_xll.BDH($C$428,"PRETAX_INC_TO_NET_SALES","FQ2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450" t="e">
        <f ca="1">_xll.BDH($C$428,"INC_BEF_XO_ITEMS_TO_NET_SALES","FQ2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450" t="e">
        <f ca="1">_xll.BDH($C$428,"PROF_MARGIN","FQ2 2018","FQ2 2018","Currency=INR","Period=FQ","BEST_FPERIOD_OVERRIDE=FQ","FILING_STATUS=OR","EQY_CONSOLIDATED=Y","FA_ADJUSTED=GAAP","Sort=A","Dates=H","DateFormat=P","Fill=—","Direction=H","UseDPDF=Y")</f>
        <v>#NAME?</v>
      </c>
      <c r="P450" t="e">
        <f ca="1">_xll.BDH($C$428,"NET_INCOME_TO_COMMON_MARGIN","FQ2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450" t="e">
        <f ca="1">_xll.BDH($C$428,"EFF_TAX_RATE","FQ2 2018","FQ2 2018","Currency=INR","Period=FQ","BEST_FPERIOD_OVERRIDE=FQ","FILING_STATUS=OR","EQY_CONSOLIDATED=Y","FA_ADJUSTED=GAAP","Sort=A","Dates=H","DateFormat=P","Fill=—","Direction=H","UseDPDF=Y")</f>
        <v>#NAME?</v>
      </c>
      <c r="R450" t="e">
        <f ca="1">_xll.BDH($C$428,"DVD_PAYOUT_RATIO","FQ2 2018","FQ2 2018","Currency=INR","Period=FQ","BEST_FPERIOD_OVERRIDE=FQ","FILING_STATUS=OR","EQY_CONSOLIDATED=Y","FA_ADJUSTED=GAAP","Sort=A","Dates=H","DateFormat=P","Fill=—","Direction=H","UseDPDF=Y")</f>
        <v>#NAME?</v>
      </c>
      <c r="S450" t="e">
        <f ca="1">_xll.BDH($C$428,"SUSTAIN_GROWTH_RT","FQ2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450" s="2" t="e">
        <f ca="1">_xll.BDH($C$428,"SALES_GROWTH","FQ2 2018","FQ2 2018","Currency=INR","Period=FQ","BEST_FPERIOD_OVERRIDE=FQ","FILING_STATUS=OR","EQY_CONSOLIDATED=Y","FA_ADJUSTED=GAAP","Sort=A","Dates=H","DateFormat=P","Fill=—","Direction=H","UseDPDF=Y")</f>
        <v>#NAME?</v>
      </c>
      <c r="U450" s="2" t="e">
        <f ca="1">_xll.BDH($C$428,"EBITDA_GROWTH","FQ2 2018","FQ2 2018","Currency=INR","Period=FQ","BEST_FPERIOD_OVERRIDE=FQ","FILING_STATUS=OR","EQY_CONSOLIDATED=Y","FA_ADJUSTED=GAAP","Sort=A","Dates=H","DateFormat=P","Fill=—","Direction=H","UseDPDF=Y")</f>
        <v>#NAME?</v>
      </c>
      <c r="V450" s="2" t="e">
        <f ca="1">_xll.BDH($C$428,"OPER_INC_GROWTH","FQ2 2018","FQ2 2018","Currency=INR","Period=FQ","BEST_FPERIOD_OVERRIDE=FQ","FILING_STATUS=OR","EQY_CONSOLIDATED=Y","FA_ADJUSTED=GAAP","Sort=A","Dates=H","DateFormat=P","Fill=—","Direction=H","UseDPDF=Y")</f>
        <v>#NAME?</v>
      </c>
      <c r="W450" s="2" t="e">
        <f ca="1">_xll.BDH($C$428,"EARN_FOR_COM_GROWTH","FQ2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450" s="2" t="e">
        <f ca="1">_xll.BDH($C$428,"DILUTED_EPS_AFT_XO_ITEMS_GROWTH","FQ2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450" s="2" t="e">
        <f ca="1">_xll.BDH($C$428,"DIVIDEND_PER_SHARE_1_YEAR_GROWTH","FQ2 2018","FQ2 2018","Currency=INR","Period=FQ","BEST_FPERIOD_OVERRIDE=FQ","FILING_STATUS=OR","EQY_CONSOLIDATED=Y","Sort=A","Dates=H","DateFormat=P","Fill=—","Direction=H","UseDPDF=Y")</f>
        <v>#NAME?</v>
      </c>
      <c r="Z450" s="2" t="e">
        <f ca="1">_xll.BDH($C$428,"ACCOUNTS_RECEIVABLE_GROWTH","FQ2 2018","FQ2 2018","Currency=INR","Period=FQ","BEST_FPERIOD_OVERRIDE=FQ","FILING_STATUS=OR","EQY_CONSOLIDATED=Y","Sort=A","Dates=H","DateFormat=P","Fill=—","Direction=H","UseDPDF=Y")</f>
        <v>#NAME?</v>
      </c>
      <c r="AA450" s="2" t="e">
        <f ca="1">_xll.BDH($C$428,"INVENTORY_GROWTH","FQ2 2018","FQ2 2018","Currency=INR","Period=FQ","BEST_FPERIOD_OVERRIDE=FQ","FILING_STATUS=OR","EQY_CONSOLIDATED=Y","Sort=A","Dates=H","DateFormat=P","Fill=—","Direction=H","UseDPDF=Y")</f>
        <v>#NAME?</v>
      </c>
      <c r="AB450" s="2" t="e">
        <f ca="1">_xll.BDH($C$428,"NET_FIXED_ASSETS_1_YEAR_GROWTH","FQ2 2018","FQ2 2018","Currency=INR","Period=FQ","BEST_FPERIOD_OVERRIDE=FQ","FILING_STATUS=OR","EQY_CONSOLIDATED=Y","Sort=A","Dates=H","DateFormat=P","Fill=—","Direction=H","UseDPDF=Y")</f>
        <v>#NAME?</v>
      </c>
      <c r="AC450" s="2" t="e">
        <f ca="1">_xll.BDH($C$428,"ASSET_GROWTH","FQ2 2018","FQ2 2018","Currency=INR","Period=FQ","BEST_FPERIOD_OVERRIDE=FQ","FILING_STATUS=OR","EQY_CONSOLIDATED=Y","Sort=A","Dates=H","DateFormat=P","Fill=—","Direction=H","UseDPDF=Y")</f>
        <v>#NAME?</v>
      </c>
      <c r="AD450" s="2" t="e">
        <f ca="1">_xll.BDH($C$428,"MODIFIED_WORK_CAP_GROWTH","FQ2 2018","FQ2 2018","Currency=INR","Period=FQ","BEST_FPERIOD_OVERRIDE=FQ","FILING_STATUS=OR","EQY_CONSOLIDATED=Y","Sort=A","Dates=H","DateFormat=P","Fill=—","Direction=H","UseDPDF=Y")</f>
        <v>#NAME?</v>
      </c>
      <c r="AE450" s="2" t="e">
        <f ca="1">_xll.BDH($C$428,"WORK_CAP_GROWTH","FQ2 2018","FQ2 2018","Currency=INR","Period=FQ","BEST_FPERIOD_OVERRIDE=FQ","FILING_STATUS=OR","EQY_CONSOLIDATED=Y","Sort=A","Dates=H","DateFormat=P","Fill=—","Direction=H","UseDPDF=Y")</f>
        <v>#NAME?</v>
      </c>
      <c r="AF450" s="2" t="e">
        <f ca="1">_xll.BDH($C$428,"ACCOUNTS_PAYABLE_GROWTH_1YR","FQ2 2018","FQ2 2018","Currency=INR","Period=FQ","BEST_FPERIOD_OVERRIDE=FQ","FILING_STATUS=OR","EQY_CONSOLIDATED=Y","Sort=A","Dates=H","DateFormat=P","Fill=—","Direction=H","UseDPDF=Y")</f>
        <v>#NAME?</v>
      </c>
      <c r="AG450" s="2" t="e">
        <f ca="1">_xll.BDH($C$428,"SHORT_TERM_DEBT_1_YEAR_GROWTH","FQ2 2018","FQ2 2018","Currency=INR","Period=FQ","BEST_FPERIOD_OVERRIDE=FQ","FILING_STATUS=OR","EQY_CONSOLIDATED=Y","Sort=A","Dates=H","DateFormat=P","Fill=—","Direction=H","UseDPDF=Y")</f>
        <v>#NAME?</v>
      </c>
      <c r="AH450" s="2" t="e">
        <f ca="1">_xll.BDH($C$428,"TOTAL_DEBT_1_YEAR_GROWTH","FQ2 2018","FQ2 2018","Currency=INR","Period=FQ","BEST_FPERIOD_OVERRIDE=FQ","FILING_STATUS=OR","EQY_CONSOLIDATED=Y","Sort=A","Dates=H","DateFormat=P","Fill=—","Direction=H","UseDPDF=Y")</f>
        <v>#NAME?</v>
      </c>
      <c r="AI450" s="2" t="e">
        <f ca="1">_xll.BDH($C$428,"TOTAL_EQUITY_1_YEAR_GROWTH","FQ2 2018","FQ2 2018","Currency=INR","Period=FQ","BEST_FPERIOD_OVERRIDE=FQ","FILING_STATUS=OR","EQY_CONSOLIDATED=Y","Sort=A","Dates=H","DateFormat=P","Fill=—","Direction=H","UseDPDF=Y")</f>
        <v>#NAME?</v>
      </c>
      <c r="AJ450" s="2" t="e">
        <f ca="1">_xll.BDH($C$428,"GROWTH_IN_CAP","FQ2 2018","FQ2 2018","Currency=INR","Period=FQ","BEST_FPERIOD_OVERRIDE=FQ","FILING_STATUS=OR","EQY_CONSOLIDATED=Y","Sort=A","Dates=H","DateFormat=P","Fill=—","Direction=H","UseDPDF=Y")</f>
        <v>#NAME?</v>
      </c>
      <c r="AK450" s="2" t="e">
        <f ca="1">_xll.BDH($C$428,"BVPS_GROWTH","FQ2 2018","FQ2 2018","Currency=INR","Period=FQ","BEST_FPERIOD_OVERRIDE=FQ","FILING_STATUS=OR","EQY_CONSOLIDATED=Y","Sort=A","Dates=H","DateFormat=P","Fill=—","Direction=H","UseDPDF=Y")</f>
        <v>#NAME?</v>
      </c>
      <c r="AL450" s="2" t="e">
        <f ca="1">_xll.BDH($C$428,"CASH_FLOW_GROWTH","FQ2 2018","FQ2 2018","Currency=INR","Period=FQ","BEST_FPERIOD_OVERRIDE=FQ","FILING_STATUS=OR","EQY_CONSOLIDATED=Y","Sort=A","Dates=H","DateFormat=P","Fill=—","Direction=H","UseDPDF=Y")</f>
        <v>#NAME?</v>
      </c>
      <c r="AM450" s="2" t="e">
        <f ca="1">_xll.BDH($C$428,"GEO_GROW_NET_SALES","FQ2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450" s="2" t="e">
        <f ca="1">_xll.BDH($C$428,"GEO_GROW_EBITDA","FQ2 2018","FQ2 2018","Currency=INR","Period=FQ","BEST_FPERIOD_OVERRIDE=FQ","FILING_STATUS=OR","EQY_CONSOLIDATED=Y","FA_ADJUSTED=GAAP","Sort=A","Dates=H","DateFormat=P","Fill=—","Direction=H","UseDPDF=Y")</f>
        <v>#NAME?</v>
      </c>
      <c r="AO450" s="2" t="e">
        <f ca="1">_xll.BDH($C$428,"GEO_GROW_OPER_INC","FQ2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450" s="2" t="e">
        <f ca="1">_xll.BDH($C$428,"NET_INCOME_TO_COMMON_5_YR_GROWTH","FQ2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450" s="2" t="e">
        <f ca="1">_xll.BDH($C$428,"5Y_GEO_GROWTH_DILUTED_EPS","FQ2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450" s="2" t="e">
        <f ca="1">_xll.BDH($C$428,"GEO_GROW_DVD_PER_SH","FQ2 2018","FQ2 2018","Currency=INR","Period=FQ","BEST_FPERIOD_OVERRIDE=FQ","FILING_STATUS=OR","EQY_CONSOLIDATED=Y","Sort=A","Dates=H","DateFormat=P","Fill=—","Direction=H","UseDPDF=Y")</f>
        <v>#NAME?</v>
      </c>
      <c r="AS450" s="2" t="e">
        <f ca="1">_xll.BDH($C$428,"ACCOUNTS_RECEIVABLE_5_YR_GROWTH","FQ2 2018","FQ2 2018","Currency=INR","Period=FQ","BEST_FPERIOD_OVERRIDE=FQ","FILING_STATUS=OR","EQY_CONSOLIDATED=Y","Sort=A","Dates=H","DateFormat=P","Fill=—","Direction=H","UseDPDF=Y")</f>
        <v>#NAME?</v>
      </c>
      <c r="AT450" s="2" t="e">
        <f ca="1">_xll.BDH($C$428,"INVENTORY_5_YEAR_GROWTH","FQ2 2018","FQ2 2018","Currency=INR","Period=FQ","BEST_FPERIOD_OVERRIDE=FQ","FILING_STATUS=OR","EQY_CONSOLIDATED=Y","Sort=A","Dates=H","DateFormat=P","Fill=—","Direction=H","UseDPDF=Y")</f>
        <v>#NAME?</v>
      </c>
      <c r="AU450" s="2" t="e">
        <f ca="1">_xll.BDH($C$428,"NET_FIXED_ASSETS_5_YEAR_GROWTH","FQ2 2018","FQ2 2018","Currency=INR","Period=FQ","BEST_FPERIOD_OVERRIDE=FQ","FILING_STATUS=OR","EQY_CONSOLIDATED=Y","Sort=A","Dates=H","DateFormat=P","Fill=—","Direction=H","UseDPDF=Y")</f>
        <v>#NAME?</v>
      </c>
      <c r="AV450" s="2" t="e">
        <f ca="1">_xll.BDH($C$428,"GEO_GROW_TOT_ASSET","FQ2 2018","FQ2 2018","Currency=INR","Period=FQ","BEST_FPERIOD_OVERRIDE=FQ","FILING_STATUS=OR","EQY_CONSOLIDATED=Y","Sort=A","Dates=H","DateFormat=P","Fill=—","Direction=H","UseDPDF=Y")</f>
        <v>#NAME?</v>
      </c>
      <c r="AW450" s="2" t="e">
        <f ca="1">_xll.BDH($C$428,"MODIFIED_WORKING_CPTL_5YR_GRWTH","FQ2 2018","FQ2 2018","Currency=INR","Period=FQ","BEST_FPERIOD_OVERRIDE=FQ","FILING_STATUS=OR","EQY_CONSOLIDATED=Y","Sort=A","Dates=H","DateFormat=P","Fill=—","Direction=H","UseDPDF=Y")</f>
        <v>#NAME?</v>
      </c>
      <c r="AX450" s="2" t="e">
        <f ca="1">_xll.BDH($C$428,"WORKING_CAPITAL_5_YEAR_GROWTH","FQ2 2018","FQ2 2018","Currency=INR","Period=FQ","BEST_FPERIOD_OVERRIDE=FQ","FILING_STATUS=OR","EQY_CONSOLIDATED=Y","Sort=A","Dates=H","DateFormat=P","Fill=—","Direction=H","UseDPDF=Y")</f>
        <v>#NAME?</v>
      </c>
      <c r="AY450" s="2" t="e">
        <f ca="1">_xll.BDH($C$428,"ACCOUNTS_PAYABLE_5_YEAR_GROWTH","FQ2 2018","FQ2 2018","Currency=INR","Period=FQ","BEST_FPERIOD_OVERRIDE=FQ","FILING_STATUS=OR","EQY_CONSOLIDATED=Y","Sort=A","Dates=H","DateFormat=P","Fill=—","Direction=H","UseDPDF=Y")</f>
        <v>#NAME?</v>
      </c>
      <c r="AZ450" s="2" t="e">
        <f ca="1">_xll.BDH($C$428,"SHORT_TERM_DEBT_5_YEAR_GROWTH","FQ2 2018","FQ2 2018","Currency=INR","Period=FQ","BEST_FPERIOD_OVERRIDE=FQ","FILING_STATUS=OR","EQY_CONSOLIDATED=Y","Sort=A","Dates=H","DateFormat=P","Fill=—","Direction=H","UseDPDF=Y")</f>
        <v>#NAME?</v>
      </c>
      <c r="BA450" s="2" t="e">
        <f ca="1">_xll.BDH($C$428,"TOTAL_DEBT_5_YEAR_GROWTH","FQ2 2018","FQ2 2018","Currency=INR","Period=FQ","BEST_FPERIOD_OVERRIDE=FQ","FILING_STATUS=OR","EQY_CONSOLIDATED=Y","Sort=A","Dates=H","DateFormat=P","Fill=—","Direction=H","UseDPDF=Y")</f>
        <v>#NAME?</v>
      </c>
      <c r="BB450" s="2" t="e">
        <f ca="1">_xll.BDH($C$428,"GEO_GROW_TOT_SHRHLDR_EQY","FQ2 2018","FQ2 2018","Currency=INR","Period=FQ","BEST_FPERIOD_OVERRIDE=FQ","FILING_STATUS=OR","EQY_CONSOLIDATED=Y","Sort=A","Dates=H","DateFormat=P","Fill=—","Direction=H","UseDPDF=Y")</f>
        <v>#NAME?</v>
      </c>
      <c r="BC450" s="2" t="e">
        <f ca="1">_xll.BDH($C$428,"TOTAL_CAPITAL_5_YEAR_GROWTH","FQ2 2018","FQ2 2018","Currency=INR","Period=FQ","BEST_FPERIOD_OVERRIDE=FQ","FILING_STATUS=OR","EQY_CONSOLIDATED=Y","Sort=A","Dates=H","DateFormat=P","Fill=—","Direction=H","UseDPDF=Y")</f>
        <v>#NAME?</v>
      </c>
      <c r="BD450" s="2" t="e">
        <f ca="1">_xll.BDH($C$428,"GEO_GROW_BOOK_VAL","FQ2 2018","FQ2 2018","Currency=INR","Period=FQ","BEST_FPERIOD_OVERRIDE=FQ","FILING_STATUS=OR","EQY_CONSOLIDATED=Y","Sort=A","Dates=H","DateFormat=P","Fill=—","Direction=H","UseDPDF=Y")</f>
        <v>#NAME?</v>
      </c>
      <c r="BE450" s="2" t="e">
        <f ca="1">_xll.BDH($C$428,"GEO_GROW_CASH_OPER_ACT","FQ2 2018","FQ2 2018","Currency=INR","Period=FQ","BEST_FPERIOD_OVERRIDE=FQ","FILING_STATUS=OR","EQY_CONSOLIDATED=Y","Sort=A","Dates=H","DateFormat=P","Fill=—","Direction=H","UseDPDF=Y")</f>
        <v>#NAME?</v>
      </c>
      <c r="BF450" s="2" t="e">
        <f ca="1">_xll.BDH($C$428,"REVENUE_SEQUENTIAL_GROWTH","FQ2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450" s="2" t="e">
        <f ca="1">_xll.BDH($C$428,"EBITDA_SEQUENTIAL_GROWTH","FQ2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450" s="2" t="e">
        <f ca="1">_xll.BDH($C$428,"OPERATING_INCOME_SEQ_GROWTH","FQ2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450" s="2" t="e">
        <f ca="1">_xll.BDH($C$428,"NET_INCOME_TO_COMMON_SEQ_GROWTH","FQ2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450" s="2" t="e">
        <f ca="1">_xll.BDH($C$428,"EPS_DILUTED_SEQUENTIAL_GROWTH","FQ2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450" s="2" t="e">
        <f ca="1">_xll.BDH($C$428,"DPS_SEQUENTIAL_GROWTH","FQ2 2018","FQ2 2018","Currency=INR","Period=FQ","BEST_FPERIOD_OVERRIDE=FQ","FILING_STATUS=OR","EQY_CONSOLIDATED=Y","Sort=A","Dates=H","DateFormat=P","Fill=—","Direction=H","UseDPDF=Y")</f>
        <v>#NAME?</v>
      </c>
      <c r="BL450" s="2" t="e">
        <f ca="1">_xll.BDH($C$428,"ACCOUNTS_RECEIVABLE_SEQ_GROWTH","FQ2 2018","FQ2 2018","Currency=INR","Period=FQ","BEST_FPERIOD_OVERRIDE=FQ","FILING_STATUS=OR","EQY_CONSOLIDATED=Y","Sort=A","Dates=H","DateFormat=P","Fill=—","Direction=H","UseDPDF=Y")</f>
        <v>#NAME?</v>
      </c>
      <c r="BM450" s="2" t="e">
        <f ca="1">_xll.BDH($C$428,"INVENTORY_SEQUENTIAL_GROWTH","FQ2 2018","FQ2 2018","Currency=INR","Period=FQ","BEST_FPERIOD_OVERRIDE=FQ","FILING_STATUS=OR","EQY_CONSOLIDATED=Y","Sort=A","Dates=H","DateFormat=P","Fill=—","Direction=H","UseDPDF=Y")</f>
        <v>#NAME?</v>
      </c>
      <c r="BN450" s="2" t="e">
        <f ca="1">_xll.BDH($C$428,"FIXED_ASSETS_SEQUENTIAL_GROWTH","FQ2 2018","FQ2 2018","Currency=INR","Period=FQ","BEST_FPERIOD_OVERRIDE=FQ","FILING_STATUS=OR","EQY_CONSOLIDATED=Y","Sort=A","Dates=H","DateFormat=P","Fill=—","Direction=H","UseDPDF=Y")</f>
        <v>#NAME?</v>
      </c>
      <c r="BO450" s="2" t="e">
        <f ca="1">_xll.BDH($C$428,"TOTAL_ASSETS_SEQUENTIAL_GROWTH","FQ2 2018","FQ2 2018","Currency=INR","Period=FQ","BEST_FPERIOD_OVERRIDE=FQ","FILING_STATUS=OR","EQY_CONSOLIDATED=Y","Sort=A","Dates=H","DateFormat=P","Fill=—","Direction=H","UseDPDF=Y")</f>
        <v>#NAME?</v>
      </c>
      <c r="BP450" s="2" t="e">
        <f ca="1">_xll.BDH($C$428,"MODIFIED_WORKING_CPTL_SEQ_GRWTH","FQ2 2018","FQ2 2018","Currency=INR","Period=FQ","BEST_FPERIOD_OVERRIDE=FQ","FILING_STATUS=OR","EQY_CONSOLIDATED=Y","Sort=A","Dates=H","DateFormat=P","Fill=—","Direction=H","UseDPDF=Y")</f>
        <v>#NAME?</v>
      </c>
      <c r="BQ450" s="2" t="e">
        <f ca="1">_xll.BDH($C$428,"WORKING_CAPITAL_SEQ_GROWTH","FQ2 2018","FQ2 2018","Currency=INR","Period=FQ","BEST_FPERIOD_OVERRIDE=FQ","FILING_STATUS=OR","EQY_CONSOLIDATED=Y","Sort=A","Dates=H","DateFormat=P","Fill=—","Direction=H","UseDPDF=Y")</f>
        <v>#NAME?</v>
      </c>
      <c r="BR450" s="2" t="e">
        <f ca="1">_xll.BDH($C$428,"ACCOUNTS_PAYABLE_SEQ_GROWTH","FQ2 2018","FQ2 2018","Currency=INR","Period=FQ","BEST_FPERIOD_OVERRIDE=FQ","FILING_STATUS=OR","EQY_CONSOLIDATED=Y","Sort=A","Dates=H","DateFormat=P","Fill=—","Direction=H","UseDPDF=Y")</f>
        <v>#NAME?</v>
      </c>
      <c r="BS450" s="2" t="e">
        <f ca="1">_xll.BDH($C$428,"ST_DEBT_SEQUENTIAL_GROWTH","FQ2 2018","FQ2 2018","Currency=INR","Period=FQ","BEST_FPERIOD_OVERRIDE=FQ","FILING_STATUS=OR","EQY_CONSOLIDATED=Y","Sort=A","Dates=H","DateFormat=P","Fill=—","Direction=H","UseDPDF=Y")</f>
        <v>#NAME?</v>
      </c>
      <c r="BT450" s="2" t="e">
        <f ca="1">_xll.BDH($C$428,"TOTAL_DEBT_SEQUENTIAL_GROWTH","FQ2 2018","FQ2 2018","Currency=INR","Period=FQ","BEST_FPERIOD_OVERRIDE=FQ","FILING_STATUS=OR","EQY_CONSOLIDATED=Y","Sort=A","Dates=H","DateFormat=P","Fill=—","Direction=H","UseDPDF=Y")</f>
        <v>#NAME?</v>
      </c>
      <c r="BU450" s="2" t="e">
        <f ca="1">_xll.BDH($C$428,"TOTAL_EQUITY_SEQUENTIAL_GROWTH","FQ2 2018","FQ2 2018","Currency=INR","Period=FQ","BEST_FPERIOD_OVERRIDE=FQ","FILING_STATUS=OR","EQY_CONSOLIDATED=Y","Sort=A","Dates=H","DateFormat=P","Fill=—","Direction=H","UseDPDF=Y")</f>
        <v>#NAME?</v>
      </c>
      <c r="BV450" s="2" t="e">
        <f ca="1">_xll.BDH($C$428,"TOTAL_CAPITAL_SEQUENTIAL_GROWTH","FQ2 2018","FQ2 2018","Currency=INR","Period=FQ","BEST_FPERIOD_OVERRIDE=FQ","FILING_STATUS=OR","EQY_CONSOLIDATED=Y","Sort=A","Dates=H","DateFormat=P","Fill=—","Direction=H","UseDPDF=Y")</f>
        <v>#NAME?</v>
      </c>
      <c r="BW450" s="2" t="e">
        <f ca="1">_xll.BDH($C$428,"BPS_SEQUENTIAL_GROWTH","FQ2 2018","FQ2 2018","Currency=INR","Period=FQ","BEST_FPERIOD_OVERRIDE=FQ","FILING_STATUS=OR","EQY_CONSOLIDATED=Y","Sort=A","Dates=H","DateFormat=P","Fill=—","Direction=H","UseDPDF=Y")</f>
        <v>#NAME?</v>
      </c>
      <c r="BX450" s="2" t="e">
        <f ca="1">_xll.BDH($C$428,"CFO_SEQUENTIAL_GROWTH","FQ2 2018","FQ2 2018","Currency=INR","Period=FQ","BEST_FPERIOD_OVERRIDE=FQ","FILING_STATUS=OR","EQY_CONSOLIDATED=Y","Sort=A","Dates=H","DateFormat=P","Fill=—","Direction=H","UseDPDF=Y")</f>
        <v>#NAME?</v>
      </c>
      <c r="BY450" s="3" t="e">
        <f ca="1">_xll.BDH($C$428,"SHORT_AND_LONG_TERM_DEBT","FQ2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450" s="3" t="e">
        <f ca="1">_xll.BDH($C$428,"BS_ST_BORROW","FQ2 2018","FQ2 2018","Currency=INR","Period=FQ","BEST_FPERIOD_OVERRIDE=FQ","FILING_STATUS=OR","EQY_CONSOLIDATED=Y","SCALING_FORMAT=MLN","Sort=A","Dates=H","DateFormat=P","Fill=—","Direction=H","UseDPDF=Y")</f>
        <v>#NAME?</v>
      </c>
      <c r="CA450" s="3" t="e">
        <f ca="1">_xll.BDH($C$428,"BS_LT_BORROW","FQ2 2018","FQ2 2018","Currency=INR","Period=FQ","BEST_FPERIOD_OVERRIDE=FQ","FILING_STATUS=OR","EQY_CONSOLIDATED=Y","SCALING_FORMAT=MLN","Sort=A","Dates=H","DateFormat=P","Fill=—","Direction=H","UseDPDF=Y")</f>
        <v>#NAME?</v>
      </c>
      <c r="CB450" s="2" t="e">
        <f ca="1">_xll.BDH($C$428,"TOT_DEBT_TO_EBITDA","FQ2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450" s="2" t="e">
        <f ca="1">_xll.BDH($C$428,"NET_DEBT_TO_EBITDA","FQ2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450" s="2" t="e">
        <f ca="1">_xll.BDH($C$428,"TOTAL_DEBT_TO_EBIT","FQ2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450" s="2" t="e">
        <f ca="1">_xll.BDH($C$428,"NET_DEBT_TO_EBIT","FQ2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450" s="2" t="e">
        <f ca="1">_xll.BDH($C$428,"EBITDA_TO_INTEREST_EXPN","FQ2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450" s="2" t="e">
        <f ca="1">_xll.BDH($C$428,"COM_EQY_TO_TOT_ASSET","FQ2 2018","FQ2 2018","Currency=INR","Period=FQ","BEST_FPERIOD_OVERRIDE=FQ","FILING_STATUS=OR","EQY_CONSOLIDATED=Y","Sort=A","Dates=H","DateFormat=P","Fill=—","Direction=H","UseDPDF=Y")</f>
        <v>#NAME?</v>
      </c>
      <c r="CH450" s="2" t="e">
        <f ca="1">_xll.BDH($C$428,"LT_DEBT_TO_TOT_EQY","FQ2 2018","FQ2 2018","Currency=INR","Period=FQ","BEST_FPERIOD_OVERRIDE=FQ","FILING_STATUS=OR","EQY_CONSOLIDATED=Y","Sort=A","Dates=H","DateFormat=P","Fill=—","Direction=H","UseDPDF=Y")</f>
        <v>#NAME?</v>
      </c>
      <c r="CI450" s="2" t="e">
        <f ca="1">_xll.BDH($C$428,"LT_DEBT_TO_TOT_CAP","FQ2 2018","FQ2 2018","Currency=INR","Period=FQ","BEST_FPERIOD_OVERRIDE=FQ","FILING_STATUS=OR","EQY_CONSOLIDATED=Y","Sort=A","Dates=H","DateFormat=P","Fill=—","Direction=H","UseDPDF=Y")</f>
        <v>#NAME?</v>
      </c>
      <c r="CJ450" s="2" t="e">
        <f ca="1">_xll.BDH($C$428,"LT_DEBT_TO_TOT_ASSET","FQ2 2018","FQ2 2018","Currency=INR","Period=FQ","BEST_FPERIOD_OVERRIDE=FQ","FILING_STATUS=OR","EQY_CONSOLIDATED=Y","Sort=A","Dates=H","DateFormat=P","Fill=—","Direction=H","UseDPDF=Y")</f>
        <v>#NAME?</v>
      </c>
      <c r="CK450" s="2" t="e">
        <f ca="1">_xll.BDH($C$428,"TOT_DEBT_TO_TOT_EQY","FQ2 2018","FQ2 2018","Currency=INR","Period=FQ","BEST_FPERIOD_OVERRIDE=FQ","FILING_STATUS=OR","EQY_CONSOLIDATED=Y","Sort=A","Dates=H","DateFormat=P","Fill=—","Direction=H","UseDPDF=Y")</f>
        <v>#NAME?</v>
      </c>
      <c r="CL450" s="2" t="e">
        <f ca="1">_xll.BDH($C$428,"TOT_DEBT_TO_TOT_CAP","FQ2 2018","FQ2 2018","Currency=INR","Period=FQ","BEST_FPERIOD_OVERRIDE=FQ","FILING_STATUS=OR","EQY_CONSOLIDATED=Y","Sort=A","Dates=H","DateFormat=P","Fill=—","Direction=H","UseDPDF=Y")</f>
        <v>#NAME?</v>
      </c>
      <c r="CM450" s="2" t="e">
        <f ca="1">_xll.BDH($C$428,"TOT_DEBT_TO_TOT_ASSET","FQ2 2018","FQ2 2018","Currency=INR","Period=FQ","BEST_FPERIOD_OVERRIDE=FQ","FILING_STATUS=OR","EQY_CONSOLIDATED=Y","Sort=A","Dates=H","DateFormat=P","Fill=—","Direction=H","UseDPDF=Y")</f>
        <v>#NAME?</v>
      </c>
      <c r="CN450" s="2" t="e">
        <f ca="1">_xll.BDH($C$428,"NET_DEBT_TO_SHRHLDR_EQTY","FQ2 2018","FQ2 2018","Currency=INR","Period=FQ","BEST_FPERIOD_OVERRIDE=FQ","FILING_STATUS=OR","EQY_CONSOLIDATED=Y","Sort=A","Dates=H","DateFormat=P","Fill=—","Direction=H","UseDPDF=Y")</f>
        <v>#NAME?</v>
      </c>
      <c r="CO450" s="2" t="e">
        <f ca="1">_xll.BDH($C$428,"NET_DEBT_%_CAPITAL","FQ2 2018","FQ2 2018","Currency=INR","Period=FQ","BEST_FPERIOD_OVERRIDE=FQ","FILING_STATUS=OR","EQY_CONSOLIDATED=Y","Sort=A","Dates=H","DateFormat=P","Fill=—","Direction=H","UseDPDF=Y")</f>
        <v>#NAME?</v>
      </c>
      <c r="CP450" s="3" t="e">
        <f ca="1">_xll.BDH($C$428,"EBITDA","FQ2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450" s="3" t="e">
        <f ca="1">_xll.BDH($C$428,"EBITDA_AFTER_CAPEX","FQ2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450" s="3" t="e">
        <f ca="1">_xll.BDH($C$428,"IS_OPER_INC","FQ2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450" s="2" t="e">
        <f ca="1">_xll.BDH($C$428,"CASH_RATIO","FQ2 2018","FQ2 2018","Currency=INR","Period=FQ","BEST_FPERIOD_OVERRIDE=FQ","FILING_STATUS=OR","EQY_CONSOLIDATED=Y","Sort=A","Dates=H","DateFormat=P","Fill=—","Direction=H","UseDPDF=Y")</f>
        <v>#NAME?</v>
      </c>
      <c r="CT450" s="2" t="e">
        <f ca="1">_xll.BDH($C$428,"CUR_RATIO","FQ2 2018","FQ2 2018","Currency=INR","Period=FQ","BEST_FPERIOD_OVERRIDE=FQ","FILING_STATUS=OR","EQY_CONSOLIDATED=Y","Sort=A","Dates=H","DateFormat=P","Fill=—","Direction=H","UseDPDF=Y")</f>
        <v>#NAME?</v>
      </c>
      <c r="CU450" s="2" t="e">
        <f ca="1">_xll.BDH($C$428,"QUICK_RATIO","FQ2 2018","FQ2 2018","Currency=INR","Period=FQ","BEST_FPERIOD_OVERRIDE=FQ","FILING_STATUS=OR","EQY_CONSOLIDATED=Y","Sort=A","Dates=H","DateFormat=P","Fill=—","Direction=H","UseDPDF=Y")</f>
        <v>#NAME?</v>
      </c>
      <c r="CV450" s="2" t="e">
        <f ca="1">_xll.BDH($C$428,"ALTMAN_Z_SCORE","FQ2 2018","FQ2 2018","Currency=INR","Period=FQ","BEST_FPERIOD_OVERRIDE=FQ","FILING_STATUS=OR","EQY_CONSOLIDATED=Y","Sort=A","Dates=H","DateFormat=P","Fill=—","Direction=H","UseDPDF=Y")</f>
        <v>#NAME?</v>
      </c>
      <c r="CW450" s="4" t="e">
        <f ca="1">_xll.BDH($C$428,"ACCT_RCV_TURN","FQ2 2018","FQ2 2018","Currency=INR","Period=FQ","BEST_FPERIOD_OVERRIDE=FQ","FILING_STATUS=OR","EQY_CONSOLIDATED=Y","FA_ADJUSTED=GAAP","Sort=A","Dates=H","DateFormat=P","Fill=—","Direction=H","UseDPDF=Y")</f>
        <v>#NAME?</v>
      </c>
      <c r="CX450" s="2" t="e">
        <f ca="1">_xll.BDH($C$428,"ACCT_RCV_DAYS","FQ2 2018","FQ2 2018","Currency=INR","Period=FQ","BEST_FPERIOD_OVERRIDE=FQ","FILING_STATUS=OR","EQY_CONSOLIDATED=Y","FA_ADJUSTED=GAAP","Sort=A","Dates=H","DateFormat=P","Fill=—","Direction=H","UseDPDF=Y")</f>
        <v>#NAME?</v>
      </c>
      <c r="CY450" s="4" t="e">
        <f ca="1">_xll.BDH($C$428,"INVENT_TURN","FQ2 2018","FQ2 2018","Currency=INR","Period=FQ","BEST_FPERIOD_OVERRIDE=FQ","FILING_STATUS=OR","EQY_CONSOLIDATED=Y","FA_ADJUSTED=GAAP","Sort=A","Dates=H","DateFormat=P","Fill=—","Direction=H","UseDPDF=Y")</f>
        <v>#NAME?</v>
      </c>
      <c r="CZ450" s="2" t="e">
        <f ca="1">_xll.BDH($C$428,"INVENT_DAYS","FQ2 2018","FQ2 2018","Currency=INR","Period=FQ","BEST_FPERIOD_OVERRIDE=FQ","FILING_STATUS=OR","EQY_CONSOLIDATED=Y","FA_ADJUSTED=GAAP","Sort=A","Dates=H","DateFormat=P","Fill=—","Direction=H","UseDPDF=Y")</f>
        <v>#NAME?</v>
      </c>
      <c r="DA450" s="4" t="e">
        <f ca="1">_xll.BDH($C$428,"ACCOUNTS_PAYABLE_TURNOVER","FQ2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450" s="2" t="e">
        <f ca="1">_xll.BDH($C$428,"ACCOUNTS_PAYABLE_TURNOVER_DAYS","FQ2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450" s="4" t="e">
        <f ca="1">_xll.BDH($C$428,"CASH_CONVERSION_CYCLE","FQ2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450" s="4" t="e">
        <f ca="1">_xll.BDH($C$428,"INV_TO_CASH_DAYS","FQ2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450" s="5" t="e">
        <f ca="1">_xll.BDH($C$428,"BS_INVENTORIES","FQ2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450" s="3" t="e">
        <f ca="1">_xll.BDH($C$428,"INVTRY_RAW_MATERIALS","FQ2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450" s="3" t="e">
        <f ca="1">_xll.BDH($C$428,"INVTRY_IN_PROGRESS","FQ2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450" s="3" t="e">
        <f ca="1">_xll.BDH($C$428,"INVTRY_FINISHED_GOODS","FQ2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450" s="3" t="e">
        <f ca="1">_xll.BDH($C$428,"BS_OTHER_INV","FQ2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451" spans="1:113" x14ac:dyDescent="0.3">
      <c r="A451" s="6"/>
      <c r="B451" s="6"/>
      <c r="C451" s="6"/>
      <c r="D451" s="6"/>
      <c r="E451" t="s">
        <v>80</v>
      </c>
      <c r="F451" t="e">
        <f ca="1">_xll.BDH($C$428,"RETURN_COM_EQY","FQ3 2018","FQ3 2018","Currency=INR","Period=FQ","BEST_FPERIOD_OVERRIDE=FQ","FILING_STATUS=OR","EQY_CONSOLIDATED=Y","FA_ADJUSTED=GAAP","Sort=A","Dates=H","DateFormat=P","Fill=—","Direction=H","UseDPDF=Y")</f>
        <v>#NAME?</v>
      </c>
      <c r="G451" t="e">
        <f ca="1">_xll.BDH($C$428,"RETURN_ON_ASSET","FQ3 2018","FQ3 2018","Currency=INR","Period=FQ","BEST_FPERIOD_OVERRIDE=FQ","FILING_STATUS=OR","EQY_CONSOLIDATED=Y","FA_ADJUSTED=GAAP","Sort=A","Dates=H","DateFormat=P","Fill=—","Direction=H","UseDPDF=Y")</f>
        <v>#NAME?</v>
      </c>
      <c r="H451" t="e">
        <f ca="1">_xll.BDH($C$428,"RETURN_ON_CAP","FQ3 2018","FQ3 2018","Currency=INR","Period=FQ","BEST_FPERIOD_OVERRIDE=FQ","FILING_STATUS=OR","EQY_CONSOLIDATED=Y","FA_ADJUSTED=GAAP","Sort=A","Dates=H","DateFormat=P","Fill=—","Direction=H","UseDPDF=Y")</f>
        <v>#NAME?</v>
      </c>
      <c r="I451" t="e">
        <f ca="1">_xll.BDH($C$428,"RETURN_ON_INV_CAPITAL","FQ3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451" t="e">
        <f ca="1">_xll.BDH($C$428,"EBITDA_TO_REVENUE","FQ3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451" t="e">
        <f ca="1">_xll.BDH($C$428,"OPER_MARGIN","FQ3 2018","FQ3 2018","Currency=INR","Period=FQ","BEST_FPERIOD_OVERRIDE=FQ","FILING_STATUS=OR","EQY_CONSOLIDATED=Y","FA_ADJUSTED=GAAP","Sort=A","Dates=H","DateFormat=P","Fill=—","Direction=H","UseDPDF=Y")</f>
        <v>#NAME?</v>
      </c>
      <c r="L451" t="e">
        <f ca="1">_xll.BDH($C$428,"INCREMENTAL_OPERATING_MARGIN","FQ3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451" t="e">
        <f ca="1">_xll.BDH($C$428,"PRETAX_INC_TO_NET_SALES","FQ3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451" t="e">
        <f ca="1">_xll.BDH($C$428,"INC_BEF_XO_ITEMS_TO_NET_SALES","FQ3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451" t="e">
        <f ca="1">_xll.BDH($C$428,"PROF_MARGIN","FQ3 2018","FQ3 2018","Currency=INR","Period=FQ","BEST_FPERIOD_OVERRIDE=FQ","FILING_STATUS=OR","EQY_CONSOLIDATED=Y","FA_ADJUSTED=GAAP","Sort=A","Dates=H","DateFormat=P","Fill=—","Direction=H","UseDPDF=Y")</f>
        <v>#NAME?</v>
      </c>
      <c r="P451" t="e">
        <f ca="1">_xll.BDH($C$428,"NET_INCOME_TO_COMMON_MARGIN","FQ3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451" t="e">
        <f ca="1">_xll.BDH($C$428,"EFF_TAX_RATE","FQ3 2018","FQ3 2018","Currency=INR","Period=FQ","BEST_FPERIOD_OVERRIDE=FQ","FILING_STATUS=OR","EQY_CONSOLIDATED=Y","FA_ADJUSTED=GAAP","Sort=A","Dates=H","DateFormat=P","Fill=—","Direction=H","UseDPDF=Y")</f>
        <v>#NAME?</v>
      </c>
      <c r="R451" t="e">
        <f ca="1">_xll.BDH($C$428,"DVD_PAYOUT_RATIO","FQ3 2018","FQ3 2018","Currency=INR","Period=FQ","BEST_FPERIOD_OVERRIDE=FQ","FILING_STATUS=OR","EQY_CONSOLIDATED=Y","FA_ADJUSTED=GAAP","Sort=A","Dates=H","DateFormat=P","Fill=—","Direction=H","UseDPDF=Y")</f>
        <v>#NAME?</v>
      </c>
      <c r="S451" t="e">
        <f ca="1">_xll.BDH($C$428,"SUSTAIN_GROWTH_RT","FQ3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451" s="2" t="e">
        <f ca="1">_xll.BDH($C$428,"SALES_GROWTH","FQ3 2018","FQ3 2018","Currency=INR","Period=FQ","BEST_FPERIOD_OVERRIDE=FQ","FILING_STATUS=OR","EQY_CONSOLIDATED=Y","FA_ADJUSTED=GAAP","Sort=A","Dates=H","DateFormat=P","Fill=—","Direction=H","UseDPDF=Y")</f>
        <v>#NAME?</v>
      </c>
      <c r="U451" s="2" t="e">
        <f ca="1">_xll.BDH($C$428,"EBITDA_GROWTH","FQ3 2018","FQ3 2018","Currency=INR","Period=FQ","BEST_FPERIOD_OVERRIDE=FQ","FILING_STATUS=OR","EQY_CONSOLIDATED=Y","FA_ADJUSTED=GAAP","Sort=A","Dates=H","DateFormat=P","Fill=—","Direction=H","UseDPDF=Y")</f>
        <v>#NAME?</v>
      </c>
      <c r="V451" s="2" t="e">
        <f ca="1">_xll.BDH($C$428,"OPER_INC_GROWTH","FQ3 2018","FQ3 2018","Currency=INR","Period=FQ","BEST_FPERIOD_OVERRIDE=FQ","FILING_STATUS=OR","EQY_CONSOLIDATED=Y","FA_ADJUSTED=GAAP","Sort=A","Dates=H","DateFormat=P","Fill=—","Direction=H","UseDPDF=Y")</f>
        <v>#NAME?</v>
      </c>
      <c r="W451" s="2" t="e">
        <f ca="1">_xll.BDH($C$428,"EARN_FOR_COM_GROWTH","FQ3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451" s="2" t="e">
        <f ca="1">_xll.BDH($C$428,"DILUTED_EPS_AFT_XO_ITEMS_GROWTH","FQ3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451" s="2" t="e">
        <f ca="1">_xll.BDH($C$428,"DIVIDEND_PER_SHARE_1_YEAR_GROWTH","FQ3 2018","FQ3 2018","Currency=INR","Period=FQ","BEST_FPERIOD_OVERRIDE=FQ","FILING_STATUS=OR","EQY_CONSOLIDATED=Y","Sort=A","Dates=H","DateFormat=P","Fill=—","Direction=H","UseDPDF=Y")</f>
        <v>#NAME?</v>
      </c>
      <c r="Z451" s="2" t="e">
        <f ca="1">_xll.BDH($C$428,"ACCOUNTS_RECEIVABLE_GROWTH","FQ3 2018","FQ3 2018","Currency=INR","Period=FQ","BEST_FPERIOD_OVERRIDE=FQ","FILING_STATUS=OR","EQY_CONSOLIDATED=Y","Sort=A","Dates=H","DateFormat=P","Fill=—","Direction=H","UseDPDF=Y")</f>
        <v>#NAME?</v>
      </c>
      <c r="AA451" s="2" t="e">
        <f ca="1">_xll.BDH($C$428,"INVENTORY_GROWTH","FQ3 2018","FQ3 2018","Currency=INR","Period=FQ","BEST_FPERIOD_OVERRIDE=FQ","FILING_STATUS=OR","EQY_CONSOLIDATED=Y","Sort=A","Dates=H","DateFormat=P","Fill=—","Direction=H","UseDPDF=Y")</f>
        <v>#NAME?</v>
      </c>
      <c r="AB451" s="2" t="e">
        <f ca="1">_xll.BDH($C$428,"NET_FIXED_ASSETS_1_YEAR_GROWTH","FQ3 2018","FQ3 2018","Currency=INR","Period=FQ","BEST_FPERIOD_OVERRIDE=FQ","FILING_STATUS=OR","EQY_CONSOLIDATED=Y","Sort=A","Dates=H","DateFormat=P","Fill=—","Direction=H","UseDPDF=Y")</f>
        <v>#NAME?</v>
      </c>
      <c r="AC451" s="2" t="e">
        <f ca="1">_xll.BDH($C$428,"ASSET_GROWTH","FQ3 2018","FQ3 2018","Currency=INR","Period=FQ","BEST_FPERIOD_OVERRIDE=FQ","FILING_STATUS=OR","EQY_CONSOLIDATED=Y","Sort=A","Dates=H","DateFormat=P","Fill=—","Direction=H","UseDPDF=Y")</f>
        <v>#NAME?</v>
      </c>
      <c r="AD451" s="2" t="e">
        <f ca="1">_xll.BDH($C$428,"MODIFIED_WORK_CAP_GROWTH","FQ3 2018","FQ3 2018","Currency=INR","Period=FQ","BEST_FPERIOD_OVERRIDE=FQ","FILING_STATUS=OR","EQY_CONSOLIDATED=Y","Sort=A","Dates=H","DateFormat=P","Fill=—","Direction=H","UseDPDF=Y")</f>
        <v>#NAME?</v>
      </c>
      <c r="AE451" s="2" t="e">
        <f ca="1">_xll.BDH($C$428,"WORK_CAP_GROWTH","FQ3 2018","FQ3 2018","Currency=INR","Period=FQ","BEST_FPERIOD_OVERRIDE=FQ","FILING_STATUS=OR","EQY_CONSOLIDATED=Y","Sort=A","Dates=H","DateFormat=P","Fill=—","Direction=H","UseDPDF=Y")</f>
        <v>#NAME?</v>
      </c>
      <c r="AF451" s="2" t="e">
        <f ca="1">_xll.BDH($C$428,"ACCOUNTS_PAYABLE_GROWTH_1YR","FQ3 2018","FQ3 2018","Currency=INR","Period=FQ","BEST_FPERIOD_OVERRIDE=FQ","FILING_STATUS=OR","EQY_CONSOLIDATED=Y","Sort=A","Dates=H","DateFormat=P","Fill=—","Direction=H","UseDPDF=Y")</f>
        <v>#NAME?</v>
      </c>
      <c r="AG451" s="2" t="e">
        <f ca="1">_xll.BDH($C$428,"SHORT_TERM_DEBT_1_YEAR_GROWTH","FQ3 2018","FQ3 2018","Currency=INR","Period=FQ","BEST_FPERIOD_OVERRIDE=FQ","FILING_STATUS=OR","EQY_CONSOLIDATED=Y","Sort=A","Dates=H","DateFormat=P","Fill=—","Direction=H","UseDPDF=Y")</f>
        <v>#NAME?</v>
      </c>
      <c r="AH451" s="2" t="e">
        <f ca="1">_xll.BDH($C$428,"TOTAL_DEBT_1_YEAR_GROWTH","FQ3 2018","FQ3 2018","Currency=INR","Period=FQ","BEST_FPERIOD_OVERRIDE=FQ","FILING_STATUS=OR","EQY_CONSOLIDATED=Y","Sort=A","Dates=H","DateFormat=P","Fill=—","Direction=H","UseDPDF=Y")</f>
        <v>#NAME?</v>
      </c>
      <c r="AI451" s="2" t="e">
        <f ca="1">_xll.BDH($C$428,"TOTAL_EQUITY_1_YEAR_GROWTH","FQ3 2018","FQ3 2018","Currency=INR","Period=FQ","BEST_FPERIOD_OVERRIDE=FQ","FILING_STATUS=OR","EQY_CONSOLIDATED=Y","Sort=A","Dates=H","DateFormat=P","Fill=—","Direction=H","UseDPDF=Y")</f>
        <v>#NAME?</v>
      </c>
      <c r="AJ451" s="2" t="e">
        <f ca="1">_xll.BDH($C$428,"GROWTH_IN_CAP","FQ3 2018","FQ3 2018","Currency=INR","Period=FQ","BEST_FPERIOD_OVERRIDE=FQ","FILING_STATUS=OR","EQY_CONSOLIDATED=Y","Sort=A","Dates=H","DateFormat=P","Fill=—","Direction=H","UseDPDF=Y")</f>
        <v>#NAME?</v>
      </c>
      <c r="AK451" s="2" t="e">
        <f ca="1">_xll.BDH($C$428,"BVPS_GROWTH","FQ3 2018","FQ3 2018","Currency=INR","Period=FQ","BEST_FPERIOD_OVERRIDE=FQ","FILING_STATUS=OR","EQY_CONSOLIDATED=Y","Sort=A","Dates=H","DateFormat=P","Fill=—","Direction=H","UseDPDF=Y")</f>
        <v>#NAME?</v>
      </c>
      <c r="AL451" s="2" t="e">
        <f ca="1">_xll.BDH($C$428,"CASH_FLOW_GROWTH","FQ3 2018","FQ3 2018","Currency=INR","Period=FQ","BEST_FPERIOD_OVERRIDE=FQ","FILING_STATUS=OR","EQY_CONSOLIDATED=Y","Sort=A","Dates=H","DateFormat=P","Fill=—","Direction=H","UseDPDF=Y")</f>
        <v>#NAME?</v>
      </c>
      <c r="AM451" s="2" t="e">
        <f ca="1">_xll.BDH($C$428,"GEO_GROW_NET_SALES","FQ3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451" s="2" t="e">
        <f ca="1">_xll.BDH($C$428,"GEO_GROW_EBITDA","FQ3 2018","FQ3 2018","Currency=INR","Period=FQ","BEST_FPERIOD_OVERRIDE=FQ","FILING_STATUS=OR","EQY_CONSOLIDATED=Y","FA_ADJUSTED=GAAP","Sort=A","Dates=H","DateFormat=P","Fill=—","Direction=H","UseDPDF=Y")</f>
        <v>#NAME?</v>
      </c>
      <c r="AO451" s="2" t="e">
        <f ca="1">_xll.BDH($C$428,"GEO_GROW_OPER_INC","FQ3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451" s="2" t="e">
        <f ca="1">_xll.BDH($C$428,"NET_INCOME_TO_COMMON_5_YR_GROWTH","FQ3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451" s="2" t="e">
        <f ca="1">_xll.BDH($C$428,"5Y_GEO_GROWTH_DILUTED_EPS","FQ3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451" s="2" t="e">
        <f ca="1">_xll.BDH($C$428,"GEO_GROW_DVD_PER_SH","FQ3 2018","FQ3 2018","Currency=INR","Period=FQ","BEST_FPERIOD_OVERRIDE=FQ","FILING_STATUS=OR","EQY_CONSOLIDATED=Y","Sort=A","Dates=H","DateFormat=P","Fill=—","Direction=H","UseDPDF=Y")</f>
        <v>#NAME?</v>
      </c>
      <c r="AS451" s="2" t="e">
        <f ca="1">_xll.BDH($C$428,"ACCOUNTS_RECEIVABLE_5_YR_GROWTH","FQ3 2018","FQ3 2018","Currency=INR","Period=FQ","BEST_FPERIOD_OVERRIDE=FQ","FILING_STATUS=OR","EQY_CONSOLIDATED=Y","Sort=A","Dates=H","DateFormat=P","Fill=—","Direction=H","UseDPDF=Y")</f>
        <v>#NAME?</v>
      </c>
      <c r="AT451" s="2" t="e">
        <f ca="1">_xll.BDH($C$428,"INVENTORY_5_YEAR_GROWTH","FQ3 2018","FQ3 2018","Currency=INR","Period=FQ","BEST_FPERIOD_OVERRIDE=FQ","FILING_STATUS=OR","EQY_CONSOLIDATED=Y","Sort=A","Dates=H","DateFormat=P","Fill=—","Direction=H","UseDPDF=Y")</f>
        <v>#NAME?</v>
      </c>
      <c r="AU451" s="2" t="e">
        <f ca="1">_xll.BDH($C$428,"NET_FIXED_ASSETS_5_YEAR_GROWTH","FQ3 2018","FQ3 2018","Currency=INR","Period=FQ","BEST_FPERIOD_OVERRIDE=FQ","FILING_STATUS=OR","EQY_CONSOLIDATED=Y","Sort=A","Dates=H","DateFormat=P","Fill=—","Direction=H","UseDPDF=Y")</f>
        <v>#NAME?</v>
      </c>
      <c r="AV451" s="2" t="e">
        <f ca="1">_xll.BDH($C$428,"GEO_GROW_TOT_ASSET","FQ3 2018","FQ3 2018","Currency=INR","Period=FQ","BEST_FPERIOD_OVERRIDE=FQ","FILING_STATUS=OR","EQY_CONSOLIDATED=Y","Sort=A","Dates=H","DateFormat=P","Fill=—","Direction=H","UseDPDF=Y")</f>
        <v>#NAME?</v>
      </c>
      <c r="AW451" s="2" t="e">
        <f ca="1">_xll.BDH($C$428,"MODIFIED_WORKING_CPTL_5YR_GRWTH","FQ3 2018","FQ3 2018","Currency=INR","Period=FQ","BEST_FPERIOD_OVERRIDE=FQ","FILING_STATUS=OR","EQY_CONSOLIDATED=Y","Sort=A","Dates=H","DateFormat=P","Fill=—","Direction=H","UseDPDF=Y")</f>
        <v>#NAME?</v>
      </c>
      <c r="AX451" s="2" t="e">
        <f ca="1">_xll.BDH($C$428,"WORKING_CAPITAL_5_YEAR_GROWTH","FQ3 2018","FQ3 2018","Currency=INR","Period=FQ","BEST_FPERIOD_OVERRIDE=FQ","FILING_STATUS=OR","EQY_CONSOLIDATED=Y","Sort=A","Dates=H","DateFormat=P","Fill=—","Direction=H","UseDPDF=Y")</f>
        <v>#NAME?</v>
      </c>
      <c r="AY451" s="2" t="e">
        <f ca="1">_xll.BDH($C$428,"ACCOUNTS_PAYABLE_5_YEAR_GROWTH","FQ3 2018","FQ3 2018","Currency=INR","Period=FQ","BEST_FPERIOD_OVERRIDE=FQ","FILING_STATUS=OR","EQY_CONSOLIDATED=Y","Sort=A","Dates=H","DateFormat=P","Fill=—","Direction=H","UseDPDF=Y")</f>
        <v>#NAME?</v>
      </c>
      <c r="AZ451" s="2" t="e">
        <f ca="1">_xll.BDH($C$428,"SHORT_TERM_DEBT_5_YEAR_GROWTH","FQ3 2018","FQ3 2018","Currency=INR","Period=FQ","BEST_FPERIOD_OVERRIDE=FQ","FILING_STATUS=OR","EQY_CONSOLIDATED=Y","Sort=A","Dates=H","DateFormat=P","Fill=—","Direction=H","UseDPDF=Y")</f>
        <v>#NAME?</v>
      </c>
      <c r="BA451" s="2" t="e">
        <f ca="1">_xll.BDH($C$428,"TOTAL_DEBT_5_YEAR_GROWTH","FQ3 2018","FQ3 2018","Currency=INR","Period=FQ","BEST_FPERIOD_OVERRIDE=FQ","FILING_STATUS=OR","EQY_CONSOLIDATED=Y","Sort=A","Dates=H","DateFormat=P","Fill=—","Direction=H","UseDPDF=Y")</f>
        <v>#NAME?</v>
      </c>
      <c r="BB451" s="2" t="e">
        <f ca="1">_xll.BDH($C$428,"GEO_GROW_TOT_SHRHLDR_EQY","FQ3 2018","FQ3 2018","Currency=INR","Period=FQ","BEST_FPERIOD_OVERRIDE=FQ","FILING_STATUS=OR","EQY_CONSOLIDATED=Y","Sort=A","Dates=H","DateFormat=P","Fill=—","Direction=H","UseDPDF=Y")</f>
        <v>#NAME?</v>
      </c>
      <c r="BC451" s="2" t="e">
        <f ca="1">_xll.BDH($C$428,"TOTAL_CAPITAL_5_YEAR_GROWTH","FQ3 2018","FQ3 2018","Currency=INR","Period=FQ","BEST_FPERIOD_OVERRIDE=FQ","FILING_STATUS=OR","EQY_CONSOLIDATED=Y","Sort=A","Dates=H","DateFormat=P","Fill=—","Direction=H","UseDPDF=Y")</f>
        <v>#NAME?</v>
      </c>
      <c r="BD451" s="2" t="e">
        <f ca="1">_xll.BDH($C$428,"GEO_GROW_BOOK_VAL","FQ3 2018","FQ3 2018","Currency=INR","Period=FQ","BEST_FPERIOD_OVERRIDE=FQ","FILING_STATUS=OR","EQY_CONSOLIDATED=Y","Sort=A","Dates=H","DateFormat=P","Fill=—","Direction=H","UseDPDF=Y")</f>
        <v>#NAME?</v>
      </c>
      <c r="BE451" s="2" t="e">
        <f ca="1">_xll.BDH($C$428,"GEO_GROW_CASH_OPER_ACT","FQ3 2018","FQ3 2018","Currency=INR","Period=FQ","BEST_FPERIOD_OVERRIDE=FQ","FILING_STATUS=OR","EQY_CONSOLIDATED=Y","Sort=A","Dates=H","DateFormat=P","Fill=—","Direction=H","UseDPDF=Y")</f>
        <v>#NAME?</v>
      </c>
      <c r="BF451" s="2" t="e">
        <f ca="1">_xll.BDH($C$428,"REVENUE_SEQUENTIAL_GROWTH","FQ3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451" s="2" t="e">
        <f ca="1">_xll.BDH($C$428,"EBITDA_SEQUENTIAL_GROWTH","FQ3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451" s="2" t="e">
        <f ca="1">_xll.BDH($C$428,"OPERATING_INCOME_SEQ_GROWTH","FQ3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451" s="2" t="e">
        <f ca="1">_xll.BDH($C$428,"NET_INCOME_TO_COMMON_SEQ_GROWTH","FQ3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451" s="2" t="e">
        <f ca="1">_xll.BDH($C$428,"EPS_DILUTED_SEQUENTIAL_GROWTH","FQ3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451" s="2" t="e">
        <f ca="1">_xll.BDH($C$428,"DPS_SEQUENTIAL_GROWTH","FQ3 2018","FQ3 2018","Currency=INR","Period=FQ","BEST_FPERIOD_OVERRIDE=FQ","FILING_STATUS=OR","EQY_CONSOLIDATED=Y","Sort=A","Dates=H","DateFormat=P","Fill=—","Direction=H","UseDPDF=Y")</f>
        <v>#NAME?</v>
      </c>
      <c r="BL451" s="2" t="e">
        <f ca="1">_xll.BDH($C$428,"ACCOUNTS_RECEIVABLE_SEQ_GROWTH","FQ3 2018","FQ3 2018","Currency=INR","Period=FQ","BEST_FPERIOD_OVERRIDE=FQ","FILING_STATUS=OR","EQY_CONSOLIDATED=Y","Sort=A","Dates=H","DateFormat=P","Fill=—","Direction=H","UseDPDF=Y")</f>
        <v>#NAME?</v>
      </c>
      <c r="BM451" s="2" t="e">
        <f ca="1">_xll.BDH($C$428,"INVENTORY_SEQUENTIAL_GROWTH","FQ3 2018","FQ3 2018","Currency=INR","Period=FQ","BEST_FPERIOD_OVERRIDE=FQ","FILING_STATUS=OR","EQY_CONSOLIDATED=Y","Sort=A","Dates=H","DateFormat=P","Fill=—","Direction=H","UseDPDF=Y")</f>
        <v>#NAME?</v>
      </c>
      <c r="BN451" s="2" t="e">
        <f ca="1">_xll.BDH($C$428,"FIXED_ASSETS_SEQUENTIAL_GROWTH","FQ3 2018","FQ3 2018","Currency=INR","Period=FQ","BEST_FPERIOD_OVERRIDE=FQ","FILING_STATUS=OR","EQY_CONSOLIDATED=Y","Sort=A","Dates=H","DateFormat=P","Fill=—","Direction=H","UseDPDF=Y")</f>
        <v>#NAME?</v>
      </c>
      <c r="BO451" s="2" t="e">
        <f ca="1">_xll.BDH($C$428,"TOTAL_ASSETS_SEQUENTIAL_GROWTH","FQ3 2018","FQ3 2018","Currency=INR","Period=FQ","BEST_FPERIOD_OVERRIDE=FQ","FILING_STATUS=OR","EQY_CONSOLIDATED=Y","Sort=A","Dates=H","DateFormat=P","Fill=—","Direction=H","UseDPDF=Y")</f>
        <v>#NAME?</v>
      </c>
      <c r="BP451" s="2" t="e">
        <f ca="1">_xll.BDH($C$428,"MODIFIED_WORKING_CPTL_SEQ_GRWTH","FQ3 2018","FQ3 2018","Currency=INR","Period=FQ","BEST_FPERIOD_OVERRIDE=FQ","FILING_STATUS=OR","EQY_CONSOLIDATED=Y","Sort=A","Dates=H","DateFormat=P","Fill=—","Direction=H","UseDPDF=Y")</f>
        <v>#NAME?</v>
      </c>
      <c r="BQ451" s="2" t="e">
        <f ca="1">_xll.BDH($C$428,"WORKING_CAPITAL_SEQ_GROWTH","FQ3 2018","FQ3 2018","Currency=INR","Period=FQ","BEST_FPERIOD_OVERRIDE=FQ","FILING_STATUS=OR","EQY_CONSOLIDATED=Y","Sort=A","Dates=H","DateFormat=P","Fill=—","Direction=H","UseDPDF=Y")</f>
        <v>#NAME?</v>
      </c>
      <c r="BR451" s="2" t="e">
        <f ca="1">_xll.BDH($C$428,"ACCOUNTS_PAYABLE_SEQ_GROWTH","FQ3 2018","FQ3 2018","Currency=INR","Period=FQ","BEST_FPERIOD_OVERRIDE=FQ","FILING_STATUS=OR","EQY_CONSOLIDATED=Y","Sort=A","Dates=H","DateFormat=P","Fill=—","Direction=H","UseDPDF=Y")</f>
        <v>#NAME?</v>
      </c>
      <c r="BS451" s="2" t="e">
        <f ca="1">_xll.BDH($C$428,"ST_DEBT_SEQUENTIAL_GROWTH","FQ3 2018","FQ3 2018","Currency=INR","Period=FQ","BEST_FPERIOD_OVERRIDE=FQ","FILING_STATUS=OR","EQY_CONSOLIDATED=Y","Sort=A","Dates=H","DateFormat=P","Fill=—","Direction=H","UseDPDF=Y")</f>
        <v>#NAME?</v>
      </c>
      <c r="BT451" s="2" t="e">
        <f ca="1">_xll.BDH($C$428,"TOTAL_DEBT_SEQUENTIAL_GROWTH","FQ3 2018","FQ3 2018","Currency=INR","Period=FQ","BEST_FPERIOD_OVERRIDE=FQ","FILING_STATUS=OR","EQY_CONSOLIDATED=Y","Sort=A","Dates=H","DateFormat=P","Fill=—","Direction=H","UseDPDF=Y")</f>
        <v>#NAME?</v>
      </c>
      <c r="BU451" s="2" t="e">
        <f ca="1">_xll.BDH($C$428,"TOTAL_EQUITY_SEQUENTIAL_GROWTH","FQ3 2018","FQ3 2018","Currency=INR","Period=FQ","BEST_FPERIOD_OVERRIDE=FQ","FILING_STATUS=OR","EQY_CONSOLIDATED=Y","Sort=A","Dates=H","DateFormat=P","Fill=—","Direction=H","UseDPDF=Y")</f>
        <v>#NAME?</v>
      </c>
      <c r="BV451" s="2" t="e">
        <f ca="1">_xll.BDH($C$428,"TOTAL_CAPITAL_SEQUENTIAL_GROWTH","FQ3 2018","FQ3 2018","Currency=INR","Period=FQ","BEST_FPERIOD_OVERRIDE=FQ","FILING_STATUS=OR","EQY_CONSOLIDATED=Y","Sort=A","Dates=H","DateFormat=P","Fill=—","Direction=H","UseDPDF=Y")</f>
        <v>#NAME?</v>
      </c>
      <c r="BW451" s="2" t="e">
        <f ca="1">_xll.BDH($C$428,"BPS_SEQUENTIAL_GROWTH","FQ3 2018","FQ3 2018","Currency=INR","Period=FQ","BEST_FPERIOD_OVERRIDE=FQ","FILING_STATUS=OR","EQY_CONSOLIDATED=Y","Sort=A","Dates=H","DateFormat=P","Fill=—","Direction=H","UseDPDF=Y")</f>
        <v>#NAME?</v>
      </c>
      <c r="BX451" s="2" t="e">
        <f ca="1">_xll.BDH($C$428,"CFO_SEQUENTIAL_GROWTH","FQ3 2018","FQ3 2018","Currency=INR","Period=FQ","BEST_FPERIOD_OVERRIDE=FQ","FILING_STATUS=OR","EQY_CONSOLIDATED=Y","Sort=A","Dates=H","DateFormat=P","Fill=—","Direction=H","UseDPDF=Y")</f>
        <v>#NAME?</v>
      </c>
      <c r="BY451" s="3" t="e">
        <f ca="1">_xll.BDH($C$428,"SHORT_AND_LONG_TERM_DEBT","FQ3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451" s="3" t="e">
        <f ca="1">_xll.BDH($C$428,"BS_ST_BORROW","FQ3 2018","FQ3 2018","Currency=INR","Period=FQ","BEST_FPERIOD_OVERRIDE=FQ","FILING_STATUS=OR","EQY_CONSOLIDATED=Y","SCALING_FORMAT=MLN","Sort=A","Dates=H","DateFormat=P","Fill=—","Direction=H","UseDPDF=Y")</f>
        <v>#NAME?</v>
      </c>
      <c r="CA451" s="3" t="e">
        <f ca="1">_xll.BDH($C$428,"BS_LT_BORROW","FQ3 2018","FQ3 2018","Currency=INR","Period=FQ","BEST_FPERIOD_OVERRIDE=FQ","FILING_STATUS=OR","EQY_CONSOLIDATED=Y","SCALING_FORMAT=MLN","Sort=A","Dates=H","DateFormat=P","Fill=—","Direction=H","UseDPDF=Y")</f>
        <v>#NAME?</v>
      </c>
      <c r="CB451" s="2" t="e">
        <f ca="1">_xll.BDH($C$428,"TOT_DEBT_TO_EBITDA","FQ3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451" s="2" t="e">
        <f ca="1">_xll.BDH($C$428,"NET_DEBT_TO_EBITDA","FQ3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451" s="2" t="e">
        <f ca="1">_xll.BDH($C$428,"TOTAL_DEBT_TO_EBIT","FQ3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451" s="2" t="e">
        <f ca="1">_xll.BDH($C$428,"NET_DEBT_TO_EBIT","FQ3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451" s="2" t="e">
        <f ca="1">_xll.BDH($C$428,"EBITDA_TO_INTEREST_EXPN","FQ3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451" s="2" t="e">
        <f ca="1">_xll.BDH($C$428,"COM_EQY_TO_TOT_ASSET","FQ3 2018","FQ3 2018","Currency=INR","Period=FQ","BEST_FPERIOD_OVERRIDE=FQ","FILING_STATUS=OR","EQY_CONSOLIDATED=Y","Sort=A","Dates=H","DateFormat=P","Fill=—","Direction=H","UseDPDF=Y")</f>
        <v>#NAME?</v>
      </c>
      <c r="CH451" s="2" t="e">
        <f ca="1">_xll.BDH($C$428,"LT_DEBT_TO_TOT_EQY","FQ3 2018","FQ3 2018","Currency=INR","Period=FQ","BEST_FPERIOD_OVERRIDE=FQ","FILING_STATUS=OR","EQY_CONSOLIDATED=Y","Sort=A","Dates=H","DateFormat=P","Fill=—","Direction=H","UseDPDF=Y")</f>
        <v>#NAME?</v>
      </c>
      <c r="CI451" s="2" t="e">
        <f ca="1">_xll.BDH($C$428,"LT_DEBT_TO_TOT_CAP","FQ3 2018","FQ3 2018","Currency=INR","Period=FQ","BEST_FPERIOD_OVERRIDE=FQ","FILING_STATUS=OR","EQY_CONSOLIDATED=Y","Sort=A","Dates=H","DateFormat=P","Fill=—","Direction=H","UseDPDF=Y")</f>
        <v>#NAME?</v>
      </c>
      <c r="CJ451" s="2" t="e">
        <f ca="1">_xll.BDH($C$428,"LT_DEBT_TO_TOT_ASSET","FQ3 2018","FQ3 2018","Currency=INR","Period=FQ","BEST_FPERIOD_OVERRIDE=FQ","FILING_STATUS=OR","EQY_CONSOLIDATED=Y","Sort=A","Dates=H","DateFormat=P","Fill=—","Direction=H","UseDPDF=Y")</f>
        <v>#NAME?</v>
      </c>
      <c r="CK451" s="2" t="e">
        <f ca="1">_xll.BDH($C$428,"TOT_DEBT_TO_TOT_EQY","FQ3 2018","FQ3 2018","Currency=INR","Period=FQ","BEST_FPERIOD_OVERRIDE=FQ","FILING_STATUS=OR","EQY_CONSOLIDATED=Y","Sort=A","Dates=H","DateFormat=P","Fill=—","Direction=H","UseDPDF=Y")</f>
        <v>#NAME?</v>
      </c>
      <c r="CL451" s="2" t="e">
        <f ca="1">_xll.BDH($C$428,"TOT_DEBT_TO_TOT_CAP","FQ3 2018","FQ3 2018","Currency=INR","Period=FQ","BEST_FPERIOD_OVERRIDE=FQ","FILING_STATUS=OR","EQY_CONSOLIDATED=Y","Sort=A","Dates=H","DateFormat=P","Fill=—","Direction=H","UseDPDF=Y")</f>
        <v>#NAME?</v>
      </c>
      <c r="CM451" s="2" t="e">
        <f ca="1">_xll.BDH($C$428,"TOT_DEBT_TO_TOT_ASSET","FQ3 2018","FQ3 2018","Currency=INR","Period=FQ","BEST_FPERIOD_OVERRIDE=FQ","FILING_STATUS=OR","EQY_CONSOLIDATED=Y","Sort=A","Dates=H","DateFormat=P","Fill=—","Direction=H","UseDPDF=Y")</f>
        <v>#NAME?</v>
      </c>
      <c r="CN451" s="2" t="e">
        <f ca="1">_xll.BDH($C$428,"NET_DEBT_TO_SHRHLDR_EQTY","FQ3 2018","FQ3 2018","Currency=INR","Period=FQ","BEST_FPERIOD_OVERRIDE=FQ","FILING_STATUS=OR","EQY_CONSOLIDATED=Y","Sort=A","Dates=H","DateFormat=P","Fill=—","Direction=H","UseDPDF=Y")</f>
        <v>#NAME?</v>
      </c>
      <c r="CO451" s="2" t="e">
        <f ca="1">_xll.BDH($C$428,"NET_DEBT_%_CAPITAL","FQ3 2018","FQ3 2018","Currency=INR","Period=FQ","BEST_FPERIOD_OVERRIDE=FQ","FILING_STATUS=OR","EQY_CONSOLIDATED=Y","Sort=A","Dates=H","DateFormat=P","Fill=—","Direction=H","UseDPDF=Y")</f>
        <v>#NAME?</v>
      </c>
      <c r="CP451" s="3" t="e">
        <f ca="1">_xll.BDH($C$428,"EBITDA","FQ3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451" s="3" t="e">
        <f ca="1">_xll.BDH($C$428,"EBITDA_AFTER_CAPEX","FQ3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451" s="3" t="e">
        <f ca="1">_xll.BDH($C$428,"IS_OPER_INC","FQ3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451" s="2" t="e">
        <f ca="1">_xll.BDH($C$428,"CASH_RATIO","FQ3 2018","FQ3 2018","Currency=INR","Period=FQ","BEST_FPERIOD_OVERRIDE=FQ","FILING_STATUS=OR","EQY_CONSOLIDATED=Y","Sort=A","Dates=H","DateFormat=P","Fill=—","Direction=H","UseDPDF=Y")</f>
        <v>#NAME?</v>
      </c>
      <c r="CT451" s="2" t="e">
        <f ca="1">_xll.BDH($C$428,"CUR_RATIO","FQ3 2018","FQ3 2018","Currency=INR","Period=FQ","BEST_FPERIOD_OVERRIDE=FQ","FILING_STATUS=OR","EQY_CONSOLIDATED=Y","Sort=A","Dates=H","DateFormat=P","Fill=—","Direction=H","UseDPDF=Y")</f>
        <v>#NAME?</v>
      </c>
      <c r="CU451" s="2" t="e">
        <f ca="1">_xll.BDH($C$428,"QUICK_RATIO","FQ3 2018","FQ3 2018","Currency=INR","Period=FQ","BEST_FPERIOD_OVERRIDE=FQ","FILING_STATUS=OR","EQY_CONSOLIDATED=Y","Sort=A","Dates=H","DateFormat=P","Fill=—","Direction=H","UseDPDF=Y")</f>
        <v>#NAME?</v>
      </c>
      <c r="CV451" s="2" t="e">
        <f ca="1">_xll.BDH($C$428,"ALTMAN_Z_SCORE","FQ3 2018","FQ3 2018","Currency=INR","Period=FQ","BEST_FPERIOD_OVERRIDE=FQ","FILING_STATUS=OR","EQY_CONSOLIDATED=Y","Sort=A","Dates=H","DateFormat=P","Fill=—","Direction=H","UseDPDF=Y")</f>
        <v>#NAME?</v>
      </c>
      <c r="CW451" s="4" t="e">
        <f ca="1">_xll.BDH($C$428,"ACCT_RCV_TURN","FQ3 2018","FQ3 2018","Currency=INR","Period=FQ","BEST_FPERIOD_OVERRIDE=FQ","FILING_STATUS=OR","EQY_CONSOLIDATED=Y","FA_ADJUSTED=GAAP","Sort=A","Dates=H","DateFormat=P","Fill=—","Direction=H","UseDPDF=Y")</f>
        <v>#NAME?</v>
      </c>
      <c r="CX451" s="2" t="e">
        <f ca="1">_xll.BDH($C$428,"ACCT_RCV_DAYS","FQ3 2018","FQ3 2018","Currency=INR","Period=FQ","BEST_FPERIOD_OVERRIDE=FQ","FILING_STATUS=OR","EQY_CONSOLIDATED=Y","FA_ADJUSTED=GAAP","Sort=A","Dates=H","DateFormat=P","Fill=—","Direction=H","UseDPDF=Y")</f>
        <v>#NAME?</v>
      </c>
      <c r="CY451" s="4" t="e">
        <f ca="1">_xll.BDH($C$428,"INVENT_TURN","FQ3 2018","FQ3 2018","Currency=INR","Period=FQ","BEST_FPERIOD_OVERRIDE=FQ","FILING_STATUS=OR","EQY_CONSOLIDATED=Y","FA_ADJUSTED=GAAP","Sort=A","Dates=H","DateFormat=P","Fill=—","Direction=H","UseDPDF=Y")</f>
        <v>#NAME?</v>
      </c>
      <c r="CZ451" s="2" t="e">
        <f ca="1">_xll.BDH($C$428,"INVENT_DAYS","FQ3 2018","FQ3 2018","Currency=INR","Period=FQ","BEST_FPERIOD_OVERRIDE=FQ","FILING_STATUS=OR","EQY_CONSOLIDATED=Y","FA_ADJUSTED=GAAP","Sort=A","Dates=H","DateFormat=P","Fill=—","Direction=H","UseDPDF=Y")</f>
        <v>#NAME?</v>
      </c>
      <c r="DA451" s="4" t="e">
        <f ca="1">_xll.BDH($C$428,"ACCOUNTS_PAYABLE_TURNOVER","FQ3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451" s="2" t="e">
        <f ca="1">_xll.BDH($C$428,"ACCOUNTS_PAYABLE_TURNOVER_DAYS","FQ3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451" s="4" t="e">
        <f ca="1">_xll.BDH($C$428,"CASH_CONVERSION_CYCLE","FQ3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451" s="4" t="e">
        <f ca="1">_xll.BDH($C$428,"INV_TO_CASH_DAYS","FQ3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451" s="5" t="e">
        <f ca="1">_xll.BDH($C$428,"BS_INVENTORIES","FQ3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451" s="3" t="e">
        <f ca="1">_xll.BDH($C$428,"INVTRY_RAW_MATERIALS","FQ3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451" s="3" t="e">
        <f ca="1">_xll.BDH($C$428,"INVTRY_IN_PROGRESS","FQ3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451" s="3" t="e">
        <f ca="1">_xll.BDH($C$428,"INVTRY_FINISHED_GOODS","FQ3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451" s="3" t="e">
        <f ca="1">_xll.BDH($C$428,"BS_OTHER_INV","FQ3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452" spans="1:113" x14ac:dyDescent="0.3">
      <c r="A452" s="6"/>
      <c r="B452" s="6"/>
      <c r="C452" s="6"/>
      <c r="D452" s="6"/>
      <c r="E452" t="s">
        <v>81</v>
      </c>
      <c r="F452" t="e">
        <f ca="1">_xll.BDH($C$428,"RETURN_COM_EQY","FQ4 2018","FQ4 2018","Currency=INR","Period=FQ","BEST_FPERIOD_OVERRIDE=FQ","FILING_STATUS=OR","EQY_CONSOLIDATED=Y","FA_ADJUSTED=GAAP","Sort=A","Dates=H","DateFormat=P","Fill=—","Direction=H","UseDPDF=Y")</f>
        <v>#NAME?</v>
      </c>
      <c r="G452" t="e">
        <f ca="1">_xll.BDH($C$428,"RETURN_ON_ASSET","FQ4 2018","FQ4 2018","Currency=INR","Period=FQ","BEST_FPERIOD_OVERRIDE=FQ","FILING_STATUS=OR","EQY_CONSOLIDATED=Y","FA_ADJUSTED=GAAP","Sort=A","Dates=H","DateFormat=P","Fill=—","Direction=H","UseDPDF=Y")</f>
        <v>#NAME?</v>
      </c>
      <c r="H452" t="e">
        <f ca="1">_xll.BDH($C$428,"RETURN_ON_CAP","FQ4 2018","FQ4 2018","Currency=INR","Period=FQ","BEST_FPERIOD_OVERRIDE=FQ","FILING_STATUS=OR","EQY_CONSOLIDATED=Y","FA_ADJUSTED=GAAP","Sort=A","Dates=H","DateFormat=P","Fill=—","Direction=H","UseDPDF=Y")</f>
        <v>#NAME?</v>
      </c>
      <c r="I452" t="e">
        <f ca="1">_xll.BDH($C$428,"RETURN_ON_INV_CAPITAL","FQ4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452" t="e">
        <f ca="1">_xll.BDH($C$428,"EBITDA_TO_REVENUE","FQ4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452" t="e">
        <f ca="1">_xll.BDH($C$428,"OPER_MARGIN","FQ4 2018","FQ4 2018","Currency=INR","Period=FQ","BEST_FPERIOD_OVERRIDE=FQ","FILING_STATUS=OR","EQY_CONSOLIDATED=Y","FA_ADJUSTED=GAAP","Sort=A","Dates=H","DateFormat=P","Fill=—","Direction=H","UseDPDF=Y")</f>
        <v>#NAME?</v>
      </c>
      <c r="L452" t="e">
        <f ca="1">_xll.BDH($C$428,"INCREMENTAL_OPERATING_MARGIN","FQ4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452" t="e">
        <f ca="1">_xll.BDH($C$428,"PRETAX_INC_TO_NET_SALES","FQ4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452" t="e">
        <f ca="1">_xll.BDH($C$428,"INC_BEF_XO_ITEMS_TO_NET_SALES","FQ4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452" t="e">
        <f ca="1">_xll.BDH($C$428,"PROF_MARGIN","FQ4 2018","FQ4 2018","Currency=INR","Period=FQ","BEST_FPERIOD_OVERRIDE=FQ","FILING_STATUS=OR","EQY_CONSOLIDATED=Y","FA_ADJUSTED=GAAP","Sort=A","Dates=H","DateFormat=P","Fill=—","Direction=H","UseDPDF=Y")</f>
        <v>#NAME?</v>
      </c>
      <c r="P452" t="e">
        <f ca="1">_xll.BDH($C$428,"NET_INCOME_TO_COMMON_MARGIN","FQ4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452" t="e">
        <f ca="1">_xll.BDH($C$428,"EFF_TAX_RATE","FQ4 2018","FQ4 2018","Currency=INR","Period=FQ","BEST_FPERIOD_OVERRIDE=FQ","FILING_STATUS=OR","EQY_CONSOLIDATED=Y","FA_ADJUSTED=GAAP","Sort=A","Dates=H","DateFormat=P","Fill=—","Direction=H","UseDPDF=Y")</f>
        <v>#NAME?</v>
      </c>
      <c r="R452" t="e">
        <f ca="1">_xll.BDH($C$428,"DVD_PAYOUT_RATIO","FQ4 2018","FQ4 2018","Currency=INR","Period=FQ","BEST_FPERIOD_OVERRIDE=FQ","FILING_STATUS=OR","EQY_CONSOLIDATED=Y","FA_ADJUSTED=GAAP","Sort=A","Dates=H","DateFormat=P","Fill=—","Direction=H","UseDPDF=Y")</f>
        <v>#NAME?</v>
      </c>
      <c r="S452" t="e">
        <f ca="1">_xll.BDH($C$428,"SUSTAIN_GROWTH_RT","FQ4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452" s="2" t="e">
        <f ca="1">_xll.BDH($C$428,"SALES_GROWTH","FQ4 2018","FQ4 2018","Currency=INR","Period=FQ","BEST_FPERIOD_OVERRIDE=FQ","FILING_STATUS=OR","EQY_CONSOLIDATED=Y","FA_ADJUSTED=GAAP","Sort=A","Dates=H","DateFormat=P","Fill=—","Direction=H","UseDPDF=Y")</f>
        <v>#NAME?</v>
      </c>
      <c r="U452" s="2" t="e">
        <f ca="1">_xll.BDH($C$428,"EBITDA_GROWTH","FQ4 2018","FQ4 2018","Currency=INR","Period=FQ","BEST_FPERIOD_OVERRIDE=FQ","FILING_STATUS=OR","EQY_CONSOLIDATED=Y","FA_ADJUSTED=GAAP","Sort=A","Dates=H","DateFormat=P","Fill=—","Direction=H","UseDPDF=Y")</f>
        <v>#NAME?</v>
      </c>
      <c r="V452" s="2" t="e">
        <f ca="1">_xll.BDH($C$428,"OPER_INC_GROWTH","FQ4 2018","FQ4 2018","Currency=INR","Period=FQ","BEST_FPERIOD_OVERRIDE=FQ","FILING_STATUS=OR","EQY_CONSOLIDATED=Y","FA_ADJUSTED=GAAP","Sort=A","Dates=H","DateFormat=P","Fill=—","Direction=H","UseDPDF=Y")</f>
        <v>#NAME?</v>
      </c>
      <c r="W452" s="2" t="e">
        <f ca="1">_xll.BDH($C$428,"EARN_FOR_COM_GROWTH","FQ4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452" s="2" t="e">
        <f ca="1">_xll.BDH($C$428,"DILUTED_EPS_AFT_XO_ITEMS_GROWTH","FQ4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452" s="2" t="e">
        <f ca="1">_xll.BDH($C$428,"DIVIDEND_PER_SHARE_1_YEAR_GROWTH","FQ4 2018","FQ4 2018","Currency=INR","Period=FQ","BEST_FPERIOD_OVERRIDE=FQ","FILING_STATUS=OR","EQY_CONSOLIDATED=Y","Sort=A","Dates=H","DateFormat=P","Fill=—","Direction=H","UseDPDF=Y")</f>
        <v>#NAME?</v>
      </c>
      <c r="Z452" s="2" t="e">
        <f ca="1">_xll.BDH($C$428,"ACCOUNTS_RECEIVABLE_GROWTH","FQ4 2018","FQ4 2018","Currency=INR","Period=FQ","BEST_FPERIOD_OVERRIDE=FQ","FILING_STATUS=OR","EQY_CONSOLIDATED=Y","Sort=A","Dates=H","DateFormat=P","Fill=—","Direction=H","UseDPDF=Y")</f>
        <v>#NAME?</v>
      </c>
      <c r="AA452" s="2" t="e">
        <f ca="1">_xll.BDH($C$428,"INVENTORY_GROWTH","FQ4 2018","FQ4 2018","Currency=INR","Period=FQ","BEST_FPERIOD_OVERRIDE=FQ","FILING_STATUS=OR","EQY_CONSOLIDATED=Y","Sort=A","Dates=H","DateFormat=P","Fill=—","Direction=H","UseDPDF=Y")</f>
        <v>#NAME?</v>
      </c>
      <c r="AB452" s="2" t="e">
        <f ca="1">_xll.BDH($C$428,"NET_FIXED_ASSETS_1_YEAR_GROWTH","FQ4 2018","FQ4 2018","Currency=INR","Period=FQ","BEST_FPERIOD_OVERRIDE=FQ","FILING_STATUS=OR","EQY_CONSOLIDATED=Y","Sort=A","Dates=H","DateFormat=P","Fill=—","Direction=H","UseDPDF=Y")</f>
        <v>#NAME?</v>
      </c>
      <c r="AC452" s="2" t="e">
        <f ca="1">_xll.BDH($C$428,"ASSET_GROWTH","FQ4 2018","FQ4 2018","Currency=INR","Period=FQ","BEST_FPERIOD_OVERRIDE=FQ","FILING_STATUS=OR","EQY_CONSOLIDATED=Y","Sort=A","Dates=H","DateFormat=P","Fill=—","Direction=H","UseDPDF=Y")</f>
        <v>#NAME?</v>
      </c>
      <c r="AD452" s="2" t="e">
        <f ca="1">_xll.BDH($C$428,"MODIFIED_WORK_CAP_GROWTH","FQ4 2018","FQ4 2018","Currency=INR","Period=FQ","BEST_FPERIOD_OVERRIDE=FQ","FILING_STATUS=OR","EQY_CONSOLIDATED=Y","Sort=A","Dates=H","DateFormat=P","Fill=—","Direction=H","UseDPDF=Y")</f>
        <v>#NAME?</v>
      </c>
      <c r="AE452" s="2" t="e">
        <f ca="1">_xll.BDH($C$428,"WORK_CAP_GROWTH","FQ4 2018","FQ4 2018","Currency=INR","Period=FQ","BEST_FPERIOD_OVERRIDE=FQ","FILING_STATUS=OR","EQY_CONSOLIDATED=Y","Sort=A","Dates=H","DateFormat=P","Fill=—","Direction=H","UseDPDF=Y")</f>
        <v>#NAME?</v>
      </c>
      <c r="AF452" s="2" t="e">
        <f ca="1">_xll.BDH($C$428,"ACCOUNTS_PAYABLE_GROWTH_1YR","FQ4 2018","FQ4 2018","Currency=INR","Period=FQ","BEST_FPERIOD_OVERRIDE=FQ","FILING_STATUS=OR","EQY_CONSOLIDATED=Y","Sort=A","Dates=H","DateFormat=P","Fill=—","Direction=H","UseDPDF=Y")</f>
        <v>#NAME?</v>
      </c>
      <c r="AG452" s="2" t="e">
        <f ca="1">_xll.BDH($C$428,"SHORT_TERM_DEBT_1_YEAR_GROWTH","FQ4 2018","FQ4 2018","Currency=INR","Period=FQ","BEST_FPERIOD_OVERRIDE=FQ","FILING_STATUS=OR","EQY_CONSOLIDATED=Y","Sort=A","Dates=H","DateFormat=P","Fill=—","Direction=H","UseDPDF=Y")</f>
        <v>#NAME?</v>
      </c>
      <c r="AH452" s="2" t="e">
        <f ca="1">_xll.BDH($C$428,"TOTAL_DEBT_1_YEAR_GROWTH","FQ4 2018","FQ4 2018","Currency=INR","Period=FQ","BEST_FPERIOD_OVERRIDE=FQ","FILING_STATUS=OR","EQY_CONSOLIDATED=Y","Sort=A","Dates=H","DateFormat=P","Fill=—","Direction=H","UseDPDF=Y")</f>
        <v>#NAME?</v>
      </c>
      <c r="AI452" s="2" t="e">
        <f ca="1">_xll.BDH($C$428,"TOTAL_EQUITY_1_YEAR_GROWTH","FQ4 2018","FQ4 2018","Currency=INR","Period=FQ","BEST_FPERIOD_OVERRIDE=FQ","FILING_STATUS=OR","EQY_CONSOLIDATED=Y","Sort=A","Dates=H","DateFormat=P","Fill=—","Direction=H","UseDPDF=Y")</f>
        <v>#NAME?</v>
      </c>
      <c r="AJ452" s="2" t="e">
        <f ca="1">_xll.BDH($C$428,"GROWTH_IN_CAP","FQ4 2018","FQ4 2018","Currency=INR","Period=FQ","BEST_FPERIOD_OVERRIDE=FQ","FILING_STATUS=OR","EQY_CONSOLIDATED=Y","Sort=A","Dates=H","DateFormat=P","Fill=—","Direction=H","UseDPDF=Y")</f>
        <v>#NAME?</v>
      </c>
      <c r="AK452" s="2" t="e">
        <f ca="1">_xll.BDH($C$428,"BVPS_GROWTH","FQ4 2018","FQ4 2018","Currency=INR","Period=FQ","BEST_FPERIOD_OVERRIDE=FQ","FILING_STATUS=OR","EQY_CONSOLIDATED=Y","Sort=A","Dates=H","DateFormat=P","Fill=—","Direction=H","UseDPDF=Y")</f>
        <v>#NAME?</v>
      </c>
      <c r="AL452" s="2" t="e">
        <f ca="1">_xll.BDH($C$428,"CASH_FLOW_GROWTH","FQ4 2018","FQ4 2018","Currency=INR","Period=FQ","BEST_FPERIOD_OVERRIDE=FQ","FILING_STATUS=OR","EQY_CONSOLIDATED=Y","Sort=A","Dates=H","DateFormat=P","Fill=—","Direction=H","UseDPDF=Y")</f>
        <v>#NAME?</v>
      </c>
      <c r="AM452" s="2" t="e">
        <f ca="1">_xll.BDH($C$428,"GEO_GROW_NET_SALES","FQ4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452" s="2" t="e">
        <f ca="1">_xll.BDH($C$428,"GEO_GROW_EBITDA","FQ4 2018","FQ4 2018","Currency=INR","Period=FQ","BEST_FPERIOD_OVERRIDE=FQ","FILING_STATUS=OR","EQY_CONSOLIDATED=Y","FA_ADJUSTED=GAAP","Sort=A","Dates=H","DateFormat=P","Fill=—","Direction=H","UseDPDF=Y")</f>
        <v>#NAME?</v>
      </c>
      <c r="AO452" s="2" t="e">
        <f ca="1">_xll.BDH($C$428,"GEO_GROW_OPER_INC","FQ4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452" s="2" t="e">
        <f ca="1">_xll.BDH($C$428,"NET_INCOME_TO_COMMON_5_YR_GROWTH","FQ4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452" s="2" t="e">
        <f ca="1">_xll.BDH($C$428,"5Y_GEO_GROWTH_DILUTED_EPS","FQ4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452" s="2" t="e">
        <f ca="1">_xll.BDH($C$428,"GEO_GROW_DVD_PER_SH","FQ4 2018","FQ4 2018","Currency=INR","Period=FQ","BEST_FPERIOD_OVERRIDE=FQ","FILING_STATUS=OR","EQY_CONSOLIDATED=Y","Sort=A","Dates=H","DateFormat=P","Fill=—","Direction=H","UseDPDF=Y")</f>
        <v>#NAME?</v>
      </c>
      <c r="AS452" s="2" t="e">
        <f ca="1">_xll.BDH($C$428,"ACCOUNTS_RECEIVABLE_5_YR_GROWTH","FQ4 2018","FQ4 2018","Currency=INR","Period=FQ","BEST_FPERIOD_OVERRIDE=FQ","FILING_STATUS=OR","EQY_CONSOLIDATED=Y","Sort=A","Dates=H","DateFormat=P","Fill=—","Direction=H","UseDPDF=Y")</f>
        <v>#NAME?</v>
      </c>
      <c r="AT452" s="2" t="e">
        <f ca="1">_xll.BDH($C$428,"INVENTORY_5_YEAR_GROWTH","FQ4 2018","FQ4 2018","Currency=INR","Period=FQ","BEST_FPERIOD_OVERRIDE=FQ","FILING_STATUS=OR","EQY_CONSOLIDATED=Y","Sort=A","Dates=H","DateFormat=P","Fill=—","Direction=H","UseDPDF=Y")</f>
        <v>#NAME?</v>
      </c>
      <c r="AU452" s="2" t="e">
        <f ca="1">_xll.BDH($C$428,"NET_FIXED_ASSETS_5_YEAR_GROWTH","FQ4 2018","FQ4 2018","Currency=INR","Period=FQ","BEST_FPERIOD_OVERRIDE=FQ","FILING_STATUS=OR","EQY_CONSOLIDATED=Y","Sort=A","Dates=H","DateFormat=P","Fill=—","Direction=H","UseDPDF=Y")</f>
        <v>#NAME?</v>
      </c>
      <c r="AV452" s="2" t="e">
        <f ca="1">_xll.BDH($C$428,"GEO_GROW_TOT_ASSET","FQ4 2018","FQ4 2018","Currency=INR","Period=FQ","BEST_FPERIOD_OVERRIDE=FQ","FILING_STATUS=OR","EQY_CONSOLIDATED=Y","Sort=A","Dates=H","DateFormat=P","Fill=—","Direction=H","UseDPDF=Y")</f>
        <v>#NAME?</v>
      </c>
      <c r="AW452" s="2" t="e">
        <f ca="1">_xll.BDH($C$428,"MODIFIED_WORKING_CPTL_5YR_GRWTH","FQ4 2018","FQ4 2018","Currency=INR","Period=FQ","BEST_FPERIOD_OVERRIDE=FQ","FILING_STATUS=OR","EQY_CONSOLIDATED=Y","Sort=A","Dates=H","DateFormat=P","Fill=—","Direction=H","UseDPDF=Y")</f>
        <v>#NAME?</v>
      </c>
      <c r="AX452" s="2" t="e">
        <f ca="1">_xll.BDH($C$428,"WORKING_CAPITAL_5_YEAR_GROWTH","FQ4 2018","FQ4 2018","Currency=INR","Period=FQ","BEST_FPERIOD_OVERRIDE=FQ","FILING_STATUS=OR","EQY_CONSOLIDATED=Y","Sort=A","Dates=H","DateFormat=P","Fill=—","Direction=H","UseDPDF=Y")</f>
        <v>#NAME?</v>
      </c>
      <c r="AY452" s="2" t="e">
        <f ca="1">_xll.BDH($C$428,"ACCOUNTS_PAYABLE_5_YEAR_GROWTH","FQ4 2018","FQ4 2018","Currency=INR","Period=FQ","BEST_FPERIOD_OVERRIDE=FQ","FILING_STATUS=OR","EQY_CONSOLIDATED=Y","Sort=A","Dates=H","DateFormat=P","Fill=—","Direction=H","UseDPDF=Y")</f>
        <v>#NAME?</v>
      </c>
      <c r="AZ452" s="2" t="e">
        <f ca="1">_xll.BDH($C$428,"SHORT_TERM_DEBT_5_YEAR_GROWTH","FQ4 2018","FQ4 2018","Currency=INR","Period=FQ","BEST_FPERIOD_OVERRIDE=FQ","FILING_STATUS=OR","EQY_CONSOLIDATED=Y","Sort=A","Dates=H","DateFormat=P","Fill=—","Direction=H","UseDPDF=Y")</f>
        <v>#NAME?</v>
      </c>
      <c r="BA452" s="2" t="e">
        <f ca="1">_xll.BDH($C$428,"TOTAL_DEBT_5_YEAR_GROWTH","FQ4 2018","FQ4 2018","Currency=INR","Period=FQ","BEST_FPERIOD_OVERRIDE=FQ","FILING_STATUS=OR","EQY_CONSOLIDATED=Y","Sort=A","Dates=H","DateFormat=P","Fill=—","Direction=H","UseDPDF=Y")</f>
        <v>#NAME?</v>
      </c>
      <c r="BB452" s="2" t="e">
        <f ca="1">_xll.BDH($C$428,"GEO_GROW_TOT_SHRHLDR_EQY","FQ4 2018","FQ4 2018","Currency=INR","Period=FQ","BEST_FPERIOD_OVERRIDE=FQ","FILING_STATUS=OR","EQY_CONSOLIDATED=Y","Sort=A","Dates=H","DateFormat=P","Fill=—","Direction=H","UseDPDF=Y")</f>
        <v>#NAME?</v>
      </c>
      <c r="BC452" s="2" t="e">
        <f ca="1">_xll.BDH($C$428,"TOTAL_CAPITAL_5_YEAR_GROWTH","FQ4 2018","FQ4 2018","Currency=INR","Period=FQ","BEST_FPERIOD_OVERRIDE=FQ","FILING_STATUS=OR","EQY_CONSOLIDATED=Y","Sort=A","Dates=H","DateFormat=P","Fill=—","Direction=H","UseDPDF=Y")</f>
        <v>#NAME?</v>
      </c>
      <c r="BD452" s="2" t="e">
        <f ca="1">_xll.BDH($C$428,"GEO_GROW_BOOK_VAL","FQ4 2018","FQ4 2018","Currency=INR","Period=FQ","BEST_FPERIOD_OVERRIDE=FQ","FILING_STATUS=OR","EQY_CONSOLIDATED=Y","Sort=A","Dates=H","DateFormat=P","Fill=—","Direction=H","UseDPDF=Y")</f>
        <v>#NAME?</v>
      </c>
      <c r="BE452" s="2" t="e">
        <f ca="1">_xll.BDH($C$428,"GEO_GROW_CASH_OPER_ACT","FQ4 2018","FQ4 2018","Currency=INR","Period=FQ","BEST_FPERIOD_OVERRIDE=FQ","FILING_STATUS=OR","EQY_CONSOLIDATED=Y","Sort=A","Dates=H","DateFormat=P","Fill=—","Direction=H","UseDPDF=Y")</f>
        <v>#NAME?</v>
      </c>
      <c r="BF452" s="2" t="e">
        <f ca="1">_xll.BDH($C$428,"REVENUE_SEQUENTIAL_GROWTH","FQ4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452" s="2" t="e">
        <f ca="1">_xll.BDH($C$428,"EBITDA_SEQUENTIAL_GROWTH","FQ4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452" s="2" t="e">
        <f ca="1">_xll.BDH($C$428,"OPERATING_INCOME_SEQ_GROWTH","FQ4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452" s="2" t="e">
        <f ca="1">_xll.BDH($C$428,"NET_INCOME_TO_COMMON_SEQ_GROWTH","FQ4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452" s="2" t="e">
        <f ca="1">_xll.BDH($C$428,"EPS_DILUTED_SEQUENTIAL_GROWTH","FQ4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452" s="2" t="e">
        <f ca="1">_xll.BDH($C$428,"DPS_SEQUENTIAL_GROWTH","FQ4 2018","FQ4 2018","Currency=INR","Period=FQ","BEST_FPERIOD_OVERRIDE=FQ","FILING_STATUS=OR","EQY_CONSOLIDATED=Y","Sort=A","Dates=H","DateFormat=P","Fill=—","Direction=H","UseDPDF=Y")</f>
        <v>#NAME?</v>
      </c>
      <c r="BL452" s="2" t="e">
        <f ca="1">_xll.BDH($C$428,"ACCOUNTS_RECEIVABLE_SEQ_GROWTH","FQ4 2018","FQ4 2018","Currency=INR","Period=FQ","BEST_FPERIOD_OVERRIDE=FQ","FILING_STATUS=OR","EQY_CONSOLIDATED=Y","Sort=A","Dates=H","DateFormat=P","Fill=—","Direction=H","UseDPDF=Y")</f>
        <v>#NAME?</v>
      </c>
      <c r="BM452" s="2" t="e">
        <f ca="1">_xll.BDH($C$428,"INVENTORY_SEQUENTIAL_GROWTH","FQ4 2018","FQ4 2018","Currency=INR","Period=FQ","BEST_FPERIOD_OVERRIDE=FQ","FILING_STATUS=OR","EQY_CONSOLIDATED=Y","Sort=A","Dates=H","DateFormat=P","Fill=—","Direction=H","UseDPDF=Y")</f>
        <v>#NAME?</v>
      </c>
      <c r="BN452" s="2" t="e">
        <f ca="1">_xll.BDH($C$428,"FIXED_ASSETS_SEQUENTIAL_GROWTH","FQ4 2018","FQ4 2018","Currency=INR","Period=FQ","BEST_FPERIOD_OVERRIDE=FQ","FILING_STATUS=OR","EQY_CONSOLIDATED=Y","Sort=A","Dates=H","DateFormat=P","Fill=—","Direction=H","UseDPDF=Y")</f>
        <v>#NAME?</v>
      </c>
      <c r="BO452" s="2" t="e">
        <f ca="1">_xll.BDH($C$428,"TOTAL_ASSETS_SEQUENTIAL_GROWTH","FQ4 2018","FQ4 2018","Currency=INR","Period=FQ","BEST_FPERIOD_OVERRIDE=FQ","FILING_STATUS=OR","EQY_CONSOLIDATED=Y","Sort=A","Dates=H","DateFormat=P","Fill=—","Direction=H","UseDPDF=Y")</f>
        <v>#NAME?</v>
      </c>
      <c r="BP452" s="2" t="e">
        <f ca="1">_xll.BDH($C$428,"MODIFIED_WORKING_CPTL_SEQ_GRWTH","FQ4 2018","FQ4 2018","Currency=INR","Period=FQ","BEST_FPERIOD_OVERRIDE=FQ","FILING_STATUS=OR","EQY_CONSOLIDATED=Y","Sort=A","Dates=H","DateFormat=P","Fill=—","Direction=H","UseDPDF=Y")</f>
        <v>#NAME?</v>
      </c>
      <c r="BQ452" s="2" t="e">
        <f ca="1">_xll.BDH($C$428,"WORKING_CAPITAL_SEQ_GROWTH","FQ4 2018","FQ4 2018","Currency=INR","Period=FQ","BEST_FPERIOD_OVERRIDE=FQ","FILING_STATUS=OR","EQY_CONSOLIDATED=Y","Sort=A","Dates=H","DateFormat=P","Fill=—","Direction=H","UseDPDF=Y")</f>
        <v>#NAME?</v>
      </c>
      <c r="BR452" s="2" t="e">
        <f ca="1">_xll.BDH($C$428,"ACCOUNTS_PAYABLE_SEQ_GROWTH","FQ4 2018","FQ4 2018","Currency=INR","Period=FQ","BEST_FPERIOD_OVERRIDE=FQ","FILING_STATUS=OR","EQY_CONSOLIDATED=Y","Sort=A","Dates=H","DateFormat=P","Fill=—","Direction=H","UseDPDF=Y")</f>
        <v>#NAME?</v>
      </c>
      <c r="BS452" s="2" t="e">
        <f ca="1">_xll.BDH($C$428,"ST_DEBT_SEQUENTIAL_GROWTH","FQ4 2018","FQ4 2018","Currency=INR","Period=FQ","BEST_FPERIOD_OVERRIDE=FQ","FILING_STATUS=OR","EQY_CONSOLIDATED=Y","Sort=A","Dates=H","DateFormat=P","Fill=—","Direction=H","UseDPDF=Y")</f>
        <v>#NAME?</v>
      </c>
      <c r="BT452" s="2" t="e">
        <f ca="1">_xll.BDH($C$428,"TOTAL_DEBT_SEQUENTIAL_GROWTH","FQ4 2018","FQ4 2018","Currency=INR","Period=FQ","BEST_FPERIOD_OVERRIDE=FQ","FILING_STATUS=OR","EQY_CONSOLIDATED=Y","Sort=A","Dates=H","DateFormat=P","Fill=—","Direction=H","UseDPDF=Y")</f>
        <v>#NAME?</v>
      </c>
      <c r="BU452" s="2" t="e">
        <f ca="1">_xll.BDH($C$428,"TOTAL_EQUITY_SEQUENTIAL_GROWTH","FQ4 2018","FQ4 2018","Currency=INR","Period=FQ","BEST_FPERIOD_OVERRIDE=FQ","FILING_STATUS=OR","EQY_CONSOLIDATED=Y","Sort=A","Dates=H","DateFormat=P","Fill=—","Direction=H","UseDPDF=Y")</f>
        <v>#NAME?</v>
      </c>
      <c r="BV452" s="2" t="e">
        <f ca="1">_xll.BDH($C$428,"TOTAL_CAPITAL_SEQUENTIAL_GROWTH","FQ4 2018","FQ4 2018","Currency=INR","Period=FQ","BEST_FPERIOD_OVERRIDE=FQ","FILING_STATUS=OR","EQY_CONSOLIDATED=Y","Sort=A","Dates=H","DateFormat=P","Fill=—","Direction=H","UseDPDF=Y")</f>
        <v>#NAME?</v>
      </c>
      <c r="BW452" s="2" t="e">
        <f ca="1">_xll.BDH($C$428,"BPS_SEQUENTIAL_GROWTH","FQ4 2018","FQ4 2018","Currency=INR","Period=FQ","BEST_FPERIOD_OVERRIDE=FQ","FILING_STATUS=OR","EQY_CONSOLIDATED=Y","Sort=A","Dates=H","DateFormat=P","Fill=—","Direction=H","UseDPDF=Y")</f>
        <v>#NAME?</v>
      </c>
      <c r="BX452" s="2" t="e">
        <f ca="1">_xll.BDH($C$428,"CFO_SEQUENTIAL_GROWTH","FQ4 2018","FQ4 2018","Currency=INR","Period=FQ","BEST_FPERIOD_OVERRIDE=FQ","FILING_STATUS=OR","EQY_CONSOLIDATED=Y","Sort=A","Dates=H","DateFormat=P","Fill=—","Direction=H","UseDPDF=Y")</f>
        <v>#NAME?</v>
      </c>
      <c r="BY452" s="3" t="e">
        <f ca="1">_xll.BDH($C$428,"SHORT_AND_LONG_TERM_DEBT","FQ4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452" s="3" t="e">
        <f ca="1">_xll.BDH($C$428,"BS_ST_BORROW","FQ4 2018","FQ4 2018","Currency=INR","Period=FQ","BEST_FPERIOD_OVERRIDE=FQ","FILING_STATUS=OR","EQY_CONSOLIDATED=Y","SCALING_FORMAT=MLN","Sort=A","Dates=H","DateFormat=P","Fill=—","Direction=H","UseDPDF=Y")</f>
        <v>#NAME?</v>
      </c>
      <c r="CA452" s="3" t="e">
        <f ca="1">_xll.BDH($C$428,"BS_LT_BORROW","FQ4 2018","FQ4 2018","Currency=INR","Period=FQ","BEST_FPERIOD_OVERRIDE=FQ","FILING_STATUS=OR","EQY_CONSOLIDATED=Y","SCALING_FORMAT=MLN","Sort=A","Dates=H","DateFormat=P","Fill=—","Direction=H","UseDPDF=Y")</f>
        <v>#NAME?</v>
      </c>
      <c r="CB452" s="2" t="e">
        <f ca="1">_xll.BDH($C$428,"TOT_DEBT_TO_EBITDA","FQ4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452" s="2" t="e">
        <f ca="1">_xll.BDH($C$428,"NET_DEBT_TO_EBITDA","FQ4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452" s="2" t="e">
        <f ca="1">_xll.BDH($C$428,"TOTAL_DEBT_TO_EBIT","FQ4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452" s="2" t="e">
        <f ca="1">_xll.BDH($C$428,"NET_DEBT_TO_EBIT","FQ4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452" s="2" t="e">
        <f ca="1">_xll.BDH($C$428,"EBITDA_TO_INTEREST_EXPN","FQ4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452" s="2" t="e">
        <f ca="1">_xll.BDH($C$428,"COM_EQY_TO_TOT_ASSET","FQ4 2018","FQ4 2018","Currency=INR","Period=FQ","BEST_FPERIOD_OVERRIDE=FQ","FILING_STATUS=OR","EQY_CONSOLIDATED=Y","Sort=A","Dates=H","DateFormat=P","Fill=—","Direction=H","UseDPDF=Y")</f>
        <v>#NAME?</v>
      </c>
      <c r="CH452" s="2" t="e">
        <f ca="1">_xll.BDH($C$428,"LT_DEBT_TO_TOT_EQY","FQ4 2018","FQ4 2018","Currency=INR","Period=FQ","BEST_FPERIOD_OVERRIDE=FQ","FILING_STATUS=OR","EQY_CONSOLIDATED=Y","Sort=A","Dates=H","DateFormat=P","Fill=—","Direction=H","UseDPDF=Y")</f>
        <v>#NAME?</v>
      </c>
      <c r="CI452" s="2" t="e">
        <f ca="1">_xll.BDH($C$428,"LT_DEBT_TO_TOT_CAP","FQ4 2018","FQ4 2018","Currency=INR","Period=FQ","BEST_FPERIOD_OVERRIDE=FQ","FILING_STATUS=OR","EQY_CONSOLIDATED=Y","Sort=A","Dates=H","DateFormat=P","Fill=—","Direction=H","UseDPDF=Y")</f>
        <v>#NAME?</v>
      </c>
      <c r="CJ452" s="2" t="e">
        <f ca="1">_xll.BDH($C$428,"LT_DEBT_TO_TOT_ASSET","FQ4 2018","FQ4 2018","Currency=INR","Period=FQ","BEST_FPERIOD_OVERRIDE=FQ","FILING_STATUS=OR","EQY_CONSOLIDATED=Y","Sort=A","Dates=H","DateFormat=P","Fill=—","Direction=H","UseDPDF=Y")</f>
        <v>#NAME?</v>
      </c>
      <c r="CK452" s="2" t="e">
        <f ca="1">_xll.BDH($C$428,"TOT_DEBT_TO_TOT_EQY","FQ4 2018","FQ4 2018","Currency=INR","Period=FQ","BEST_FPERIOD_OVERRIDE=FQ","FILING_STATUS=OR","EQY_CONSOLIDATED=Y","Sort=A","Dates=H","DateFormat=P","Fill=—","Direction=H","UseDPDF=Y")</f>
        <v>#NAME?</v>
      </c>
      <c r="CL452" s="2" t="e">
        <f ca="1">_xll.BDH($C$428,"TOT_DEBT_TO_TOT_CAP","FQ4 2018","FQ4 2018","Currency=INR","Period=FQ","BEST_FPERIOD_OVERRIDE=FQ","FILING_STATUS=OR","EQY_CONSOLIDATED=Y","Sort=A","Dates=H","DateFormat=P","Fill=—","Direction=H","UseDPDF=Y")</f>
        <v>#NAME?</v>
      </c>
      <c r="CM452" s="2" t="e">
        <f ca="1">_xll.BDH($C$428,"TOT_DEBT_TO_TOT_ASSET","FQ4 2018","FQ4 2018","Currency=INR","Period=FQ","BEST_FPERIOD_OVERRIDE=FQ","FILING_STATUS=OR","EQY_CONSOLIDATED=Y","Sort=A","Dates=H","DateFormat=P","Fill=—","Direction=H","UseDPDF=Y")</f>
        <v>#NAME?</v>
      </c>
      <c r="CN452" s="2" t="e">
        <f ca="1">_xll.BDH($C$428,"NET_DEBT_TO_SHRHLDR_EQTY","FQ4 2018","FQ4 2018","Currency=INR","Period=FQ","BEST_FPERIOD_OVERRIDE=FQ","FILING_STATUS=OR","EQY_CONSOLIDATED=Y","Sort=A","Dates=H","DateFormat=P","Fill=—","Direction=H","UseDPDF=Y")</f>
        <v>#NAME?</v>
      </c>
      <c r="CO452" s="2" t="e">
        <f ca="1">_xll.BDH($C$428,"NET_DEBT_%_CAPITAL","FQ4 2018","FQ4 2018","Currency=INR","Period=FQ","BEST_FPERIOD_OVERRIDE=FQ","FILING_STATUS=OR","EQY_CONSOLIDATED=Y","Sort=A","Dates=H","DateFormat=P","Fill=—","Direction=H","UseDPDF=Y")</f>
        <v>#NAME?</v>
      </c>
      <c r="CP452" s="3" t="e">
        <f ca="1">_xll.BDH($C$428,"EBITDA","FQ4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452" s="3" t="e">
        <f ca="1">_xll.BDH($C$428,"EBITDA_AFTER_CAPEX","FQ4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452" s="3" t="e">
        <f ca="1">_xll.BDH($C$428,"IS_OPER_INC","FQ4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452" s="2" t="e">
        <f ca="1">_xll.BDH($C$428,"CASH_RATIO","FQ4 2018","FQ4 2018","Currency=INR","Period=FQ","BEST_FPERIOD_OVERRIDE=FQ","FILING_STATUS=OR","EQY_CONSOLIDATED=Y","Sort=A","Dates=H","DateFormat=P","Fill=—","Direction=H","UseDPDF=Y")</f>
        <v>#NAME?</v>
      </c>
      <c r="CT452" s="2" t="e">
        <f ca="1">_xll.BDH($C$428,"CUR_RATIO","FQ4 2018","FQ4 2018","Currency=INR","Period=FQ","BEST_FPERIOD_OVERRIDE=FQ","FILING_STATUS=OR","EQY_CONSOLIDATED=Y","Sort=A","Dates=H","DateFormat=P","Fill=—","Direction=H","UseDPDF=Y")</f>
        <v>#NAME?</v>
      </c>
      <c r="CU452" s="2" t="e">
        <f ca="1">_xll.BDH($C$428,"QUICK_RATIO","FQ4 2018","FQ4 2018","Currency=INR","Period=FQ","BEST_FPERIOD_OVERRIDE=FQ","FILING_STATUS=OR","EQY_CONSOLIDATED=Y","Sort=A","Dates=H","DateFormat=P","Fill=—","Direction=H","UseDPDF=Y")</f>
        <v>#NAME?</v>
      </c>
      <c r="CV452" s="2" t="e">
        <f ca="1">_xll.BDH($C$428,"ALTMAN_Z_SCORE","FQ4 2018","FQ4 2018","Currency=INR","Period=FQ","BEST_FPERIOD_OVERRIDE=FQ","FILING_STATUS=OR","EQY_CONSOLIDATED=Y","Sort=A","Dates=H","DateFormat=P","Fill=—","Direction=H","UseDPDF=Y")</f>
        <v>#NAME?</v>
      </c>
      <c r="CW452" s="4" t="e">
        <f ca="1">_xll.BDH($C$428,"ACCT_RCV_TURN","FQ4 2018","FQ4 2018","Currency=INR","Period=FQ","BEST_FPERIOD_OVERRIDE=FQ","FILING_STATUS=OR","EQY_CONSOLIDATED=Y","FA_ADJUSTED=GAAP","Sort=A","Dates=H","DateFormat=P","Fill=—","Direction=H","UseDPDF=Y")</f>
        <v>#NAME?</v>
      </c>
      <c r="CX452" s="2" t="e">
        <f ca="1">_xll.BDH($C$428,"ACCT_RCV_DAYS","FQ4 2018","FQ4 2018","Currency=INR","Period=FQ","BEST_FPERIOD_OVERRIDE=FQ","FILING_STATUS=OR","EQY_CONSOLIDATED=Y","FA_ADJUSTED=GAAP","Sort=A","Dates=H","DateFormat=P","Fill=—","Direction=H","UseDPDF=Y")</f>
        <v>#NAME?</v>
      </c>
      <c r="CY452" s="4" t="e">
        <f ca="1">_xll.BDH($C$428,"INVENT_TURN","FQ4 2018","FQ4 2018","Currency=INR","Period=FQ","BEST_FPERIOD_OVERRIDE=FQ","FILING_STATUS=OR","EQY_CONSOLIDATED=Y","FA_ADJUSTED=GAAP","Sort=A","Dates=H","DateFormat=P","Fill=—","Direction=H","UseDPDF=Y")</f>
        <v>#NAME?</v>
      </c>
      <c r="CZ452" s="2" t="e">
        <f ca="1">_xll.BDH($C$428,"INVENT_DAYS","FQ4 2018","FQ4 2018","Currency=INR","Period=FQ","BEST_FPERIOD_OVERRIDE=FQ","FILING_STATUS=OR","EQY_CONSOLIDATED=Y","FA_ADJUSTED=GAAP","Sort=A","Dates=H","DateFormat=P","Fill=—","Direction=H","UseDPDF=Y")</f>
        <v>#NAME?</v>
      </c>
      <c r="DA452" s="4" t="e">
        <f ca="1">_xll.BDH($C$428,"ACCOUNTS_PAYABLE_TURNOVER","FQ4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452" s="2" t="e">
        <f ca="1">_xll.BDH($C$428,"ACCOUNTS_PAYABLE_TURNOVER_DAYS","FQ4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452" s="4" t="e">
        <f ca="1">_xll.BDH($C$428,"CASH_CONVERSION_CYCLE","FQ4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452" s="4" t="e">
        <f ca="1">_xll.BDH($C$428,"INV_TO_CASH_DAYS","FQ4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452" s="5" t="e">
        <f ca="1">_xll.BDH($C$428,"BS_INVENTORIES","FQ4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452" s="3" t="e">
        <f ca="1">_xll.BDH($C$428,"INVTRY_RAW_MATERIALS","FQ4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452" s="3" t="e">
        <f ca="1">_xll.BDH($C$428,"INVTRY_IN_PROGRESS","FQ4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452" s="3" t="e">
        <f ca="1">_xll.BDH($C$428,"INVTRY_FINISHED_GOODS","FQ4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452" s="3" t="e">
        <f ca="1">_xll.BDH($C$428,"BS_OTHER_INV","FQ4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453" spans="1:113" x14ac:dyDescent="0.3">
      <c r="A453" s="6">
        <v>19</v>
      </c>
      <c r="B453" s="6" t="s">
        <v>120</v>
      </c>
      <c r="C453" s="6" t="s">
        <v>121</v>
      </c>
      <c r="D453" s="6" t="s">
        <v>76</v>
      </c>
      <c r="E453" t="s">
        <v>77</v>
      </c>
      <c r="F453" t="e">
        <f ca="1">_xll.BDH($C$453,"RETURN_COM_EQY","FY 2014","FY 2014","Currency=INR","Period=FY","BEST_FPERIOD_OVERRIDE=FY","FILING_STATUS=OR","EQY_CONSOLIDATED=Y","FA_ADJUSTED=GAAP","Sort=A","Dates=H","DateFormat=P","Fill=—","Direction=H","UseDPDF=Y")</f>
        <v>#NAME?</v>
      </c>
      <c r="G453" t="e">
        <f ca="1">_xll.BDH($C$453,"RETURN_ON_ASSET","FY 2014","FY 2014","Currency=INR","Period=FY","BEST_FPERIOD_OVERRIDE=FY","FILING_STATUS=OR","EQY_CONSOLIDATED=Y","FA_ADJUSTED=GAAP","Sort=A","Dates=H","DateFormat=P","Fill=—","Direction=H","UseDPDF=Y")</f>
        <v>#NAME?</v>
      </c>
      <c r="H453" t="e">
        <f ca="1">_xll.BDH($C$453,"RETURN_ON_CAP","FY 2014","FY 2014","Currency=INR","Period=FY","BEST_FPERIOD_OVERRIDE=FY","FILING_STATUS=OR","EQY_CONSOLIDATED=Y","FA_ADJUSTED=GAAP","Sort=A","Dates=H","DateFormat=P","Fill=—","Direction=H","UseDPDF=Y")</f>
        <v>#NAME?</v>
      </c>
      <c r="I453" t="e">
        <f ca="1">_xll.BDH($C$453,"RETURN_ON_INV_CAPITAL","FY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453" t="e">
        <f ca="1">_xll.BDH($C$453,"EBITDA_TO_REVENUE","FY 2014","FY 2014","Currency=INR","Period=FY","BEST_FPERIOD_OVERRIDE=FY","FILING_STATUS=OR","EQY_CONSOLIDATED=Y","FA_ADJUSTED=GAAP","Sort=A","Dates=H","DateFormat=P","Fill=—","Direction=H","UseDPDF=Y")</f>
        <v>#NAME?</v>
      </c>
      <c r="K453" t="e">
        <f ca="1">_xll.BDH($C$453,"OPER_MARGIN","FY 2014","FY 2014","Currency=INR","Period=FY","BEST_FPERIOD_OVERRIDE=FY","FILING_STATUS=OR","EQY_CONSOLIDATED=Y","FA_ADJUSTED=GAAP","Sort=A","Dates=H","DateFormat=P","Fill=—","Direction=H","UseDPDF=Y")</f>
        <v>#NAME?</v>
      </c>
      <c r="L453" t="e">
        <f ca="1">_xll.BDH($C$453,"INCREMENTAL_OPERATING_MARGIN","FY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453" t="e">
        <f ca="1">_xll.BDH($C$453,"PRETAX_INC_TO_NET_SALES","FY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453" t="e">
        <f ca="1">_xll.BDH($C$453,"INC_BEF_XO_ITEMS_TO_NET_SALES","FY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453" t="e">
        <f ca="1">_xll.BDH($C$453,"PROF_MARGIN","FY 2014","FY 2014","Currency=INR","Period=FY","BEST_FPERIOD_OVERRIDE=FY","FILING_STATUS=OR","EQY_CONSOLIDATED=Y","FA_ADJUSTED=GAAP","Sort=A","Dates=H","DateFormat=P","Fill=—","Direction=H","UseDPDF=Y")</f>
        <v>#NAME?</v>
      </c>
      <c r="P453" t="e">
        <f ca="1">_xll.BDH($C$453,"NET_INCOME_TO_COMMON_MARGIN","FY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453" t="e">
        <f ca="1">_xll.BDH($C$453,"EFF_TAX_RATE","FY 2014","FY 2014","Currency=INR","Period=FY","BEST_FPERIOD_OVERRIDE=FY","FILING_STATUS=OR","EQY_CONSOLIDATED=Y","FA_ADJUSTED=GAAP","Sort=A","Dates=H","DateFormat=P","Fill=—","Direction=H","UseDPDF=Y")</f>
        <v>#NAME?</v>
      </c>
      <c r="R453" t="e">
        <f ca="1">_xll.BDH($C$453,"DVD_PAYOUT_RATIO","FY 2014","FY 2014","Currency=INR","Period=FY","BEST_FPERIOD_OVERRIDE=FY","FILING_STATUS=OR","EQY_CONSOLIDATED=Y","FA_ADJUSTED=GAAP","Sort=A","Dates=H","DateFormat=P","Fill=—","Direction=H","UseDPDF=Y")</f>
        <v>#NAME?</v>
      </c>
      <c r="S453" t="e">
        <f ca="1">_xll.BDH($C$453,"SUSTAIN_GROWTH_RT","FY 2014","FY 2014","Currency=INR","Period=FY","BEST_FPERIOD_OVERRIDE=FY","FILING_STATUS=OR","EQY_CONSOLIDATED=Y","FA_ADJUSTED=GAAP","Sort=A","Dates=H","DateFormat=P","Fill=—","Direction=H","UseDPDF=Y")</f>
        <v>#NAME?</v>
      </c>
      <c r="T453" s="2" t="e">
        <f ca="1">_xll.BDH($C$453,"SALES_GROWTH","FY 2014","FY 2014","Currency=INR","Period=FY","BEST_FPERIOD_OVERRIDE=FY","FILING_STATUS=OR","EQY_CONSOLIDATED=Y","FA_ADJUSTED=GAAP","Sort=A","Dates=H","DateFormat=P","Fill=—","Direction=H","UseDPDF=Y")</f>
        <v>#NAME?</v>
      </c>
      <c r="U453" s="2" t="e">
        <f ca="1">_xll.BDH($C$453,"EBITDA_GROWTH","FY 2014","FY 2014","Currency=INR","Period=FY","BEST_FPERIOD_OVERRIDE=FY","FILING_STATUS=OR","EQY_CONSOLIDATED=Y","FA_ADJUSTED=GAAP","Sort=A","Dates=H","DateFormat=P","Fill=—","Direction=H","UseDPDF=Y")</f>
        <v>#NAME?</v>
      </c>
      <c r="V453" s="2" t="e">
        <f ca="1">_xll.BDH($C$453,"OPER_INC_GROWTH","FY 2014","FY 2014","Currency=INR","Period=FY","BEST_FPERIOD_OVERRIDE=FY","FILING_STATUS=OR","EQY_CONSOLIDATED=Y","FA_ADJUSTED=GAAP","Sort=A","Dates=H","DateFormat=P","Fill=—","Direction=H","UseDPDF=Y")</f>
        <v>#NAME?</v>
      </c>
      <c r="W453" s="2" t="e">
        <f ca="1">_xll.BDH($C$453,"EARN_FOR_COM_GROWTH","FY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453" s="2" t="e">
        <f ca="1">_xll.BDH($C$453,"DILUTED_EPS_AFT_XO_ITEMS_GROWTH","FY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453" s="2" t="e">
        <f ca="1">_xll.BDH($C$453,"DIVIDEND_PER_SHARE_1_YEAR_GROWTH","FY 2014","FY 2014","Currency=INR","Period=FY","BEST_FPERIOD_OVERRIDE=FY","FILING_STATUS=OR","EQY_CONSOLIDATED=Y","Sort=A","Dates=H","DateFormat=P","Fill=—","Direction=H","UseDPDF=Y")</f>
        <v>#NAME?</v>
      </c>
      <c r="Z453" s="2" t="e">
        <f ca="1">_xll.BDH($C$453,"ACCOUNTS_RECEIVABLE_GROWTH","FY 2014","FY 2014","Currency=INR","Period=FY","BEST_FPERIOD_OVERRIDE=FY","FILING_STATUS=OR","EQY_CONSOLIDATED=Y","Sort=A","Dates=H","DateFormat=P","Fill=—","Direction=H","UseDPDF=Y")</f>
        <v>#NAME?</v>
      </c>
      <c r="AA453" s="2" t="e">
        <f ca="1">_xll.BDH($C$453,"INVENTORY_GROWTH","FY 2014","FY 2014","Currency=INR","Period=FY","BEST_FPERIOD_OVERRIDE=FY","FILING_STATUS=OR","EQY_CONSOLIDATED=Y","Sort=A","Dates=H","DateFormat=P","Fill=—","Direction=H","UseDPDF=Y")</f>
        <v>#NAME?</v>
      </c>
      <c r="AB453" s="2" t="e">
        <f ca="1">_xll.BDH($C$453,"NET_FIXED_ASSETS_1_YEAR_GROWTH","FY 2014","FY 2014","Currency=INR","Period=FY","BEST_FPERIOD_OVERRIDE=FY","FILING_STATUS=OR","EQY_CONSOLIDATED=Y","Sort=A","Dates=H","DateFormat=P","Fill=—","Direction=H","UseDPDF=Y")</f>
        <v>#NAME?</v>
      </c>
      <c r="AC453" s="2" t="e">
        <f ca="1">_xll.BDH($C$453,"ASSET_GROWTH","FY 2014","FY 2014","Currency=INR","Period=FY","BEST_FPERIOD_OVERRIDE=FY","FILING_STATUS=OR","EQY_CONSOLIDATED=Y","Sort=A","Dates=H","DateFormat=P","Fill=—","Direction=H","UseDPDF=Y")</f>
        <v>#NAME?</v>
      </c>
      <c r="AD453" s="2" t="e">
        <f ca="1">_xll.BDH($C$453,"MODIFIED_WORK_CAP_GROWTH","FY 2014","FY 2014","Currency=INR","Period=FY","BEST_FPERIOD_OVERRIDE=FY","FILING_STATUS=OR","EQY_CONSOLIDATED=Y","Sort=A","Dates=H","DateFormat=P","Fill=—","Direction=H","UseDPDF=Y")</f>
        <v>#NAME?</v>
      </c>
      <c r="AE453" s="2" t="e">
        <f ca="1">_xll.BDH($C$453,"WORK_CAP_GROWTH","FY 2014","FY 2014","Currency=INR","Period=FY","BEST_FPERIOD_OVERRIDE=FY","FILING_STATUS=OR","EQY_CONSOLIDATED=Y","Sort=A","Dates=H","DateFormat=P","Fill=—","Direction=H","UseDPDF=Y")</f>
        <v>#NAME?</v>
      </c>
      <c r="AF453" s="2" t="e">
        <f ca="1">_xll.BDH($C$453,"ACCOUNTS_PAYABLE_GROWTH_1YR","FY 2014","FY 2014","Currency=INR","Period=FY","BEST_FPERIOD_OVERRIDE=FY","FILING_STATUS=OR","EQY_CONSOLIDATED=Y","Sort=A","Dates=H","DateFormat=P","Fill=—","Direction=H","UseDPDF=Y")</f>
        <v>#NAME?</v>
      </c>
      <c r="AG453" s="2" t="e">
        <f ca="1">_xll.BDH($C$453,"SHORT_TERM_DEBT_1_YEAR_GROWTH","FY 2014","FY 2014","Currency=INR","Period=FY","BEST_FPERIOD_OVERRIDE=FY","FILING_STATUS=OR","EQY_CONSOLIDATED=Y","Sort=A","Dates=H","DateFormat=P","Fill=—","Direction=H","UseDPDF=Y")</f>
        <v>#NAME?</v>
      </c>
      <c r="AH453" s="2" t="e">
        <f ca="1">_xll.BDH($C$453,"TOTAL_DEBT_1_YEAR_GROWTH","FY 2014","FY 2014","Currency=INR","Period=FY","BEST_FPERIOD_OVERRIDE=FY","FILING_STATUS=OR","EQY_CONSOLIDATED=Y","Sort=A","Dates=H","DateFormat=P","Fill=—","Direction=H","UseDPDF=Y")</f>
        <v>#NAME?</v>
      </c>
      <c r="AI453" s="2" t="e">
        <f ca="1">_xll.BDH($C$453,"TOTAL_EQUITY_1_YEAR_GROWTH","FY 2014","FY 2014","Currency=INR","Period=FY","BEST_FPERIOD_OVERRIDE=FY","FILING_STATUS=OR","EQY_CONSOLIDATED=Y","Sort=A","Dates=H","DateFormat=P","Fill=—","Direction=H","UseDPDF=Y")</f>
        <v>#NAME?</v>
      </c>
      <c r="AJ453" s="2" t="e">
        <f ca="1">_xll.BDH($C$453,"GROWTH_IN_CAP","FY 2014","FY 2014","Currency=INR","Period=FY","BEST_FPERIOD_OVERRIDE=FY","FILING_STATUS=OR","EQY_CONSOLIDATED=Y","Sort=A","Dates=H","DateFormat=P","Fill=—","Direction=H","UseDPDF=Y")</f>
        <v>#NAME?</v>
      </c>
      <c r="AK453" s="2" t="e">
        <f ca="1">_xll.BDH($C$453,"BVPS_GROWTH","FY 2014","FY 2014","Currency=INR","Period=FY","BEST_FPERIOD_OVERRIDE=FY","FILING_STATUS=OR","EQY_CONSOLIDATED=Y","Sort=A","Dates=H","DateFormat=P","Fill=—","Direction=H","UseDPDF=Y")</f>
        <v>#NAME?</v>
      </c>
      <c r="AL453" s="2" t="e">
        <f ca="1">_xll.BDH($C$453,"CASH_FLOW_GROWTH","FY 2014","FY 2014","Currency=INR","Period=FY","BEST_FPERIOD_OVERRIDE=FY","FILING_STATUS=OR","EQY_CONSOLIDATED=Y","Sort=A","Dates=H","DateFormat=P","Fill=—","Direction=H","UseDPDF=Y")</f>
        <v>#NAME?</v>
      </c>
      <c r="AM453" s="2" t="e">
        <f ca="1">_xll.BDH($C$453,"GEO_GROW_NET_SALES","FY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453" s="2" t="e">
        <f ca="1">_xll.BDH($C$453,"GEO_GROW_EBITDA","FY 2014","FY 2014","Currency=INR","Period=FY","BEST_FPERIOD_OVERRIDE=FY","FILING_STATUS=OR","EQY_CONSOLIDATED=Y","FA_ADJUSTED=GAAP","Sort=A","Dates=H","DateFormat=P","Fill=—","Direction=H","UseDPDF=Y")</f>
        <v>#NAME?</v>
      </c>
      <c r="AO453" s="2" t="e">
        <f ca="1">_xll.BDH($C$453,"GEO_GROW_OPER_INC","FY 2014","FY 2014","Currency=INR","Period=FY","BEST_FPERIOD_OVERRIDE=FY","FILING_STATUS=OR","EQY_CONSOLIDATED=Y","FA_ADJUSTED=GAAP","Sort=A","Dates=H","DateFormat=P","Fill=—","Direction=H","UseDPDF=Y")</f>
        <v>#NAME?</v>
      </c>
      <c r="AP453" s="2" t="e">
        <f ca="1">_xll.BDH($C$453,"NET_INCOME_TO_COMMON_5_YR_GROWTH","FY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453" s="2" t="e">
        <f ca="1">_xll.BDH($C$453,"5Y_GEO_GROWTH_DILUTED_EPS","FY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453" s="2" t="e">
        <f ca="1">_xll.BDH($C$453,"GEO_GROW_DVD_PER_SH","FY 2014","FY 2014","Currency=INR","Period=FY","BEST_FPERIOD_OVERRIDE=FY","FILING_STATUS=OR","EQY_CONSOLIDATED=Y","Sort=A","Dates=H","DateFormat=P","Fill=—","Direction=H","UseDPDF=Y")</f>
        <v>#NAME?</v>
      </c>
      <c r="AS453" s="2" t="e">
        <f ca="1">_xll.BDH($C$453,"ACCOUNTS_RECEIVABLE_5_YR_GROWTH","FY 2014","FY 2014","Currency=INR","Period=FY","BEST_FPERIOD_OVERRIDE=FY","FILING_STATUS=OR","EQY_CONSOLIDATED=Y","Sort=A","Dates=H","DateFormat=P","Fill=—","Direction=H","UseDPDF=Y")</f>
        <v>#NAME?</v>
      </c>
      <c r="AT453" s="2" t="e">
        <f ca="1">_xll.BDH($C$453,"INVENTORY_5_YEAR_GROWTH","FY 2014","FY 2014","Currency=INR","Period=FY","BEST_FPERIOD_OVERRIDE=FY","FILING_STATUS=OR","EQY_CONSOLIDATED=Y","Sort=A","Dates=H","DateFormat=P","Fill=—","Direction=H","UseDPDF=Y")</f>
        <v>#NAME?</v>
      </c>
      <c r="AU453" s="2" t="e">
        <f ca="1">_xll.BDH($C$453,"NET_FIXED_ASSETS_5_YEAR_GROWTH","FY 2014","FY 2014","Currency=INR","Period=FY","BEST_FPERIOD_OVERRIDE=FY","FILING_STATUS=OR","EQY_CONSOLIDATED=Y","Sort=A","Dates=H","DateFormat=P","Fill=—","Direction=H","UseDPDF=Y")</f>
        <v>#NAME?</v>
      </c>
      <c r="AV453" s="2" t="e">
        <f ca="1">_xll.BDH($C$453,"GEO_GROW_TOT_ASSET","FY 2014","FY 2014","Currency=INR","Period=FY","BEST_FPERIOD_OVERRIDE=FY","FILING_STATUS=OR","EQY_CONSOLIDATED=Y","Sort=A","Dates=H","DateFormat=P","Fill=—","Direction=H","UseDPDF=Y")</f>
        <v>#NAME?</v>
      </c>
      <c r="AW453" s="2" t="e">
        <f ca="1">_xll.BDH($C$453,"MODIFIED_WORKING_CPTL_5YR_GRWTH","FY 2014","FY 2014","Currency=INR","Period=FY","BEST_FPERIOD_OVERRIDE=FY","FILING_STATUS=OR","EQY_CONSOLIDATED=Y","Sort=A","Dates=H","DateFormat=P","Fill=—","Direction=H","UseDPDF=Y")</f>
        <v>#NAME?</v>
      </c>
      <c r="AX453" s="2" t="e">
        <f ca="1">_xll.BDH($C$453,"WORKING_CAPITAL_5_YEAR_GROWTH","FY 2014","FY 2014","Currency=INR","Period=FY","BEST_FPERIOD_OVERRIDE=FY","FILING_STATUS=OR","EQY_CONSOLIDATED=Y","Sort=A","Dates=H","DateFormat=P","Fill=—","Direction=H","UseDPDF=Y")</f>
        <v>#NAME?</v>
      </c>
      <c r="AY453" s="2" t="e">
        <f ca="1">_xll.BDH($C$453,"ACCOUNTS_PAYABLE_5_YEAR_GROWTH","FY 2014","FY 2014","Currency=INR","Period=FY","BEST_FPERIOD_OVERRIDE=FY","FILING_STATUS=OR","EQY_CONSOLIDATED=Y","Sort=A","Dates=H","DateFormat=P","Fill=—","Direction=H","UseDPDF=Y")</f>
        <v>#NAME?</v>
      </c>
      <c r="AZ453" s="2" t="e">
        <f ca="1">_xll.BDH($C$453,"SHORT_TERM_DEBT_5_YEAR_GROWTH","FY 2014","FY 2014","Currency=INR","Period=FY","BEST_FPERIOD_OVERRIDE=FY","FILING_STATUS=OR","EQY_CONSOLIDATED=Y","Sort=A","Dates=H","DateFormat=P","Fill=—","Direction=H","UseDPDF=Y")</f>
        <v>#NAME?</v>
      </c>
      <c r="BA453" s="2" t="e">
        <f ca="1">_xll.BDH($C$453,"TOTAL_DEBT_5_YEAR_GROWTH","FY 2014","FY 2014","Currency=INR","Period=FY","BEST_FPERIOD_OVERRIDE=FY","FILING_STATUS=OR","EQY_CONSOLIDATED=Y","Sort=A","Dates=H","DateFormat=P","Fill=—","Direction=H","UseDPDF=Y")</f>
        <v>#NAME?</v>
      </c>
      <c r="BB453" s="2" t="e">
        <f ca="1">_xll.BDH($C$453,"GEO_GROW_TOT_SHRHLDR_EQY","FY 2014","FY 2014","Currency=INR","Period=FY","BEST_FPERIOD_OVERRIDE=FY","FILING_STATUS=OR","EQY_CONSOLIDATED=Y","Sort=A","Dates=H","DateFormat=P","Fill=—","Direction=H","UseDPDF=Y")</f>
        <v>#NAME?</v>
      </c>
      <c r="BC453" s="2" t="e">
        <f ca="1">_xll.BDH($C$453,"TOTAL_CAPITAL_5_YEAR_GROWTH","FY 2014","FY 2014","Currency=INR","Period=FY","BEST_FPERIOD_OVERRIDE=FY","FILING_STATUS=OR","EQY_CONSOLIDATED=Y","Sort=A","Dates=H","DateFormat=P","Fill=—","Direction=H","UseDPDF=Y")</f>
        <v>#NAME?</v>
      </c>
      <c r="BD453" s="2" t="e">
        <f ca="1">_xll.BDH($C$453,"GEO_GROW_BOOK_VAL","FY 2014","FY 2014","Currency=INR","Period=FY","BEST_FPERIOD_OVERRIDE=FY","FILING_STATUS=OR","EQY_CONSOLIDATED=Y","Sort=A","Dates=H","DateFormat=P","Fill=—","Direction=H","UseDPDF=Y")</f>
        <v>#NAME?</v>
      </c>
      <c r="BE453" s="2" t="e">
        <f ca="1">_xll.BDH($C$453,"GEO_GROW_CASH_OPER_ACT","FY 2014","FY 2014","Currency=INR","Period=FY","BEST_FPERIOD_OVERRIDE=FY","FILING_STATUS=OR","EQY_CONSOLIDATED=Y","Sort=A","Dates=H","DateFormat=P","Fill=—","Direction=H","UseDPDF=Y")</f>
        <v>#NAME?</v>
      </c>
      <c r="BF453" s="2" t="e">
        <f ca="1">_xll.BDH($C$453,"REVENUE_SEQUENTIAL_GROWTH","FY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453" s="2" t="e">
        <f ca="1">_xll.BDH($C$453,"EBITDA_SEQUENTIAL_GROWTH","FY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453" s="2" t="e">
        <f ca="1">_xll.BDH($C$453,"OPERATING_INCOME_SEQ_GROWTH","FY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453" s="2" t="e">
        <f ca="1">_xll.BDH($C$453,"NET_INCOME_TO_COMMON_SEQ_GROWTH","FY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453" s="2" t="e">
        <f ca="1">_xll.BDH($C$453,"EPS_DILUTED_SEQUENTIAL_GROWTH","FY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453" s="2" t="e">
        <f ca="1">_xll.BDH($C$453,"DPS_SEQUENTIAL_GROWTH","FY 2014","FY 2014","Currency=INR","Period=FY","BEST_FPERIOD_OVERRIDE=FY","FILING_STATUS=OR","EQY_CONSOLIDATED=Y","Sort=A","Dates=H","DateFormat=P","Fill=—","Direction=H","UseDPDF=Y")</f>
        <v>#NAME?</v>
      </c>
      <c r="BL453" s="2" t="e">
        <f ca="1">_xll.BDH($C$453,"ACCOUNTS_RECEIVABLE_SEQ_GROWTH","FY 2014","FY 2014","Currency=INR","Period=FY","BEST_FPERIOD_OVERRIDE=FY","FILING_STATUS=OR","EQY_CONSOLIDATED=Y","Sort=A","Dates=H","DateFormat=P","Fill=—","Direction=H","UseDPDF=Y")</f>
        <v>#NAME?</v>
      </c>
      <c r="BM453" s="2" t="e">
        <f ca="1">_xll.BDH($C$453,"INVENTORY_SEQUENTIAL_GROWTH","FY 2014","FY 2014","Currency=INR","Period=FY","BEST_FPERIOD_OVERRIDE=FY","FILING_STATUS=OR","EQY_CONSOLIDATED=Y","Sort=A","Dates=H","DateFormat=P","Fill=—","Direction=H","UseDPDF=Y")</f>
        <v>#NAME?</v>
      </c>
      <c r="BN453" s="2" t="e">
        <f ca="1">_xll.BDH($C$453,"FIXED_ASSETS_SEQUENTIAL_GROWTH","FY 2014","FY 2014","Currency=INR","Period=FY","BEST_FPERIOD_OVERRIDE=FY","FILING_STATUS=OR","EQY_CONSOLIDATED=Y","Sort=A","Dates=H","DateFormat=P","Fill=—","Direction=H","UseDPDF=Y")</f>
        <v>#NAME?</v>
      </c>
      <c r="BO453" s="2" t="e">
        <f ca="1">_xll.BDH($C$453,"TOTAL_ASSETS_SEQUENTIAL_GROWTH","FY 2014","FY 2014","Currency=INR","Period=FY","BEST_FPERIOD_OVERRIDE=FY","FILING_STATUS=OR","EQY_CONSOLIDATED=Y","Sort=A","Dates=H","DateFormat=P","Fill=—","Direction=H","UseDPDF=Y")</f>
        <v>#NAME?</v>
      </c>
      <c r="BP453" s="2" t="e">
        <f ca="1">_xll.BDH($C$453,"MODIFIED_WORKING_CPTL_SEQ_GRWTH","FY 2014","FY 2014","Currency=INR","Period=FY","BEST_FPERIOD_OVERRIDE=FY","FILING_STATUS=OR","EQY_CONSOLIDATED=Y","Sort=A","Dates=H","DateFormat=P","Fill=—","Direction=H","UseDPDF=Y")</f>
        <v>#NAME?</v>
      </c>
      <c r="BQ453" s="2" t="e">
        <f ca="1">_xll.BDH($C$453,"WORKING_CAPITAL_SEQ_GROWTH","FY 2014","FY 2014","Currency=INR","Period=FY","BEST_FPERIOD_OVERRIDE=FY","FILING_STATUS=OR","EQY_CONSOLIDATED=Y","Sort=A","Dates=H","DateFormat=P","Fill=—","Direction=H","UseDPDF=Y")</f>
        <v>#NAME?</v>
      </c>
      <c r="BR453" s="2" t="e">
        <f ca="1">_xll.BDH($C$453,"ACCOUNTS_PAYABLE_SEQ_GROWTH","FY 2014","FY 2014","Currency=INR","Period=FY","BEST_FPERIOD_OVERRIDE=FY","FILING_STATUS=OR","EQY_CONSOLIDATED=Y","Sort=A","Dates=H","DateFormat=P","Fill=—","Direction=H","UseDPDF=Y")</f>
        <v>#NAME?</v>
      </c>
      <c r="BS453" s="2" t="e">
        <f ca="1">_xll.BDH($C$453,"ST_DEBT_SEQUENTIAL_GROWTH","FY 2014","FY 2014","Currency=INR","Period=FY","BEST_FPERIOD_OVERRIDE=FY","FILING_STATUS=OR","EQY_CONSOLIDATED=Y","Sort=A","Dates=H","DateFormat=P","Fill=—","Direction=H","UseDPDF=Y")</f>
        <v>#NAME?</v>
      </c>
      <c r="BT453" s="2" t="e">
        <f ca="1">_xll.BDH($C$453,"TOTAL_DEBT_SEQUENTIAL_GROWTH","FY 2014","FY 2014","Currency=INR","Period=FY","BEST_FPERIOD_OVERRIDE=FY","FILING_STATUS=OR","EQY_CONSOLIDATED=Y","Sort=A","Dates=H","DateFormat=P","Fill=—","Direction=H","UseDPDF=Y")</f>
        <v>#NAME?</v>
      </c>
      <c r="BU453" s="2" t="e">
        <f ca="1">_xll.BDH($C$453,"TOTAL_EQUITY_SEQUENTIAL_GROWTH","FY 2014","FY 2014","Currency=INR","Period=FY","BEST_FPERIOD_OVERRIDE=FY","FILING_STATUS=OR","EQY_CONSOLIDATED=Y","Sort=A","Dates=H","DateFormat=P","Fill=—","Direction=H","UseDPDF=Y")</f>
        <v>#NAME?</v>
      </c>
      <c r="BV453" s="2" t="e">
        <f ca="1">_xll.BDH($C$453,"TOTAL_CAPITAL_SEQUENTIAL_GROWTH","FY 2014","FY 2014","Currency=INR","Period=FY","BEST_FPERIOD_OVERRIDE=FY","FILING_STATUS=OR","EQY_CONSOLIDATED=Y","Sort=A","Dates=H","DateFormat=P","Fill=—","Direction=H","UseDPDF=Y")</f>
        <v>#NAME?</v>
      </c>
      <c r="BW453" s="2" t="e">
        <f ca="1">_xll.BDH($C$453,"BPS_SEQUENTIAL_GROWTH","FY 2014","FY 2014","Currency=INR","Period=FY","BEST_FPERIOD_OVERRIDE=FY","FILING_STATUS=OR","EQY_CONSOLIDATED=Y","Sort=A","Dates=H","DateFormat=P","Fill=—","Direction=H","UseDPDF=Y")</f>
        <v>#NAME?</v>
      </c>
      <c r="BX453" s="2" t="e">
        <f ca="1">_xll.BDH($C$453,"CFO_SEQUENTIAL_GROWTH","FY 2014","FY 2014","Currency=INR","Period=FY","BEST_FPERIOD_OVERRIDE=FY","FILING_STATUS=OR","EQY_CONSOLIDATED=Y","Sort=A","Dates=H","DateFormat=P","Fill=—","Direction=H","UseDPDF=Y")</f>
        <v>#NAME?</v>
      </c>
      <c r="BY453" s="3" t="e">
        <f ca="1">_xll.BDH($C$453,"SHORT_AND_LONG_TERM_DEBT","FY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453" s="3" t="e">
        <f ca="1">_xll.BDH($C$453,"BS_ST_BORROW","FY 2014","FY 2014","Currency=INR","Period=FY","BEST_FPERIOD_OVERRIDE=FY","FILING_STATUS=OR","EQY_CONSOLIDATED=Y","SCALING_FORMAT=MLN","Sort=A","Dates=H","DateFormat=P","Fill=—","Direction=H","UseDPDF=Y")</f>
        <v>#NAME?</v>
      </c>
      <c r="CA453" s="3" t="e">
        <f ca="1">_xll.BDH($C$453,"BS_LT_BORROW","FY 2014","FY 2014","Currency=INR","Period=FY","BEST_FPERIOD_OVERRIDE=FY","FILING_STATUS=OR","EQY_CONSOLIDATED=Y","SCALING_FORMAT=MLN","Sort=A","Dates=H","DateFormat=P","Fill=—","Direction=H","UseDPDF=Y")</f>
        <v>#NAME?</v>
      </c>
      <c r="CB453" s="2" t="e">
        <f ca="1">_xll.BDH($C$453,"TOT_DEBT_TO_EBITDA","FY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453" s="2" t="e">
        <f ca="1">_xll.BDH($C$453,"NET_DEBT_TO_EBITDA","FY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453" s="2" t="e">
        <f ca="1">_xll.BDH($C$453,"TOTAL_DEBT_TO_EBIT","FY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453" s="2" t="e">
        <f ca="1">_xll.BDH($C$453,"NET_DEBT_TO_EBIT","FY 2014","FY 2014","Currency=INR","Period=FY","BEST_FPERIOD_OVERRIDE=FY","FILING_STATUS=OR","EQY_CONSOLIDATED=Y","FA_ADJUSTED=GAAP","Sort=A","Dates=H","DateFormat=P","Fill=—","Direction=H","UseDPDF=Y")</f>
        <v>#NAME?</v>
      </c>
      <c r="CF453" s="2" t="e">
        <f ca="1">_xll.BDH($C$453,"EBITDA_TO_INTEREST_EXPN","FY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453" s="2" t="e">
        <f ca="1">_xll.BDH($C$453,"COM_EQY_TO_TOT_ASSET","FY 2014","FY 2014","Currency=INR","Period=FY","BEST_FPERIOD_OVERRIDE=FY","FILING_STATUS=OR","EQY_CONSOLIDATED=Y","Sort=A","Dates=H","DateFormat=P","Fill=—","Direction=H","UseDPDF=Y")</f>
        <v>#NAME?</v>
      </c>
      <c r="CH453" s="2" t="e">
        <f ca="1">_xll.BDH($C$453,"LT_DEBT_TO_TOT_EQY","FY 2014","FY 2014","Currency=INR","Period=FY","BEST_FPERIOD_OVERRIDE=FY","FILING_STATUS=OR","EQY_CONSOLIDATED=Y","Sort=A","Dates=H","DateFormat=P","Fill=—","Direction=H","UseDPDF=Y")</f>
        <v>#NAME?</v>
      </c>
      <c r="CI453" s="2" t="e">
        <f ca="1">_xll.BDH($C$453,"LT_DEBT_TO_TOT_CAP","FY 2014","FY 2014","Currency=INR","Period=FY","BEST_FPERIOD_OVERRIDE=FY","FILING_STATUS=OR","EQY_CONSOLIDATED=Y","Sort=A","Dates=H","DateFormat=P","Fill=—","Direction=H","UseDPDF=Y")</f>
        <v>#NAME?</v>
      </c>
      <c r="CJ453" s="2" t="e">
        <f ca="1">_xll.BDH($C$453,"LT_DEBT_TO_TOT_ASSET","FY 2014","FY 2014","Currency=INR","Period=FY","BEST_FPERIOD_OVERRIDE=FY","FILING_STATUS=OR","EQY_CONSOLIDATED=Y","Sort=A","Dates=H","DateFormat=P","Fill=—","Direction=H","UseDPDF=Y")</f>
        <v>#NAME?</v>
      </c>
      <c r="CK453" s="2" t="e">
        <f ca="1">_xll.BDH($C$453,"TOT_DEBT_TO_TOT_EQY","FY 2014","FY 2014","Currency=INR","Period=FY","BEST_FPERIOD_OVERRIDE=FY","FILING_STATUS=OR","EQY_CONSOLIDATED=Y","Sort=A","Dates=H","DateFormat=P","Fill=—","Direction=H","UseDPDF=Y")</f>
        <v>#NAME?</v>
      </c>
      <c r="CL453" s="2" t="e">
        <f ca="1">_xll.BDH($C$453,"TOT_DEBT_TO_TOT_CAP","FY 2014","FY 2014","Currency=INR","Period=FY","BEST_FPERIOD_OVERRIDE=FY","FILING_STATUS=OR","EQY_CONSOLIDATED=Y","Sort=A","Dates=H","DateFormat=P","Fill=—","Direction=H","UseDPDF=Y")</f>
        <v>#NAME?</v>
      </c>
      <c r="CM453" s="2" t="e">
        <f ca="1">_xll.BDH($C$453,"TOT_DEBT_TO_TOT_ASSET","FY 2014","FY 2014","Currency=INR","Period=FY","BEST_FPERIOD_OVERRIDE=FY","FILING_STATUS=OR","EQY_CONSOLIDATED=Y","Sort=A","Dates=H","DateFormat=P","Fill=—","Direction=H","UseDPDF=Y")</f>
        <v>#NAME?</v>
      </c>
      <c r="CN453" s="2" t="e">
        <f ca="1">_xll.BDH($C$453,"NET_DEBT_TO_SHRHLDR_EQTY","FY 2014","FY 2014","Currency=INR","Period=FY","BEST_FPERIOD_OVERRIDE=FY","FILING_STATUS=OR","EQY_CONSOLIDATED=Y","Sort=A","Dates=H","DateFormat=P","Fill=—","Direction=H","UseDPDF=Y")</f>
        <v>#NAME?</v>
      </c>
      <c r="CO453" s="2" t="e">
        <f ca="1">_xll.BDH($C$453,"NET_DEBT_%_CAPITAL","FY 2014","FY 2014","Currency=INR","Period=FY","BEST_FPERIOD_OVERRIDE=FY","FILING_STATUS=OR","EQY_CONSOLIDATED=Y","Sort=A","Dates=H","DateFormat=P","Fill=—","Direction=H","UseDPDF=Y")</f>
        <v>#NAME?</v>
      </c>
      <c r="CP453" s="3" t="e">
        <f ca="1">_xll.BDH($C$453,"EBITDA","FY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453" s="3" t="e">
        <f ca="1">_xll.BDH($C$453,"EBITDA_AFTER_CAPEX","FY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453" s="3" t="e">
        <f ca="1">_xll.BDH($C$453,"IS_OPER_INC","FY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453" s="2" t="e">
        <f ca="1">_xll.BDH($C$453,"CASH_RATIO","FY 2014","FY 2014","Currency=INR","Period=FY","BEST_FPERIOD_OVERRIDE=FY","FILING_STATUS=OR","EQY_CONSOLIDATED=Y","Sort=A","Dates=H","DateFormat=P","Fill=—","Direction=H","UseDPDF=Y")</f>
        <v>#NAME?</v>
      </c>
      <c r="CT453" s="2" t="e">
        <f ca="1">_xll.BDH($C$453,"CUR_RATIO","FY 2014","FY 2014","Currency=INR","Period=FY","BEST_FPERIOD_OVERRIDE=FY","FILING_STATUS=OR","EQY_CONSOLIDATED=Y","Sort=A","Dates=H","DateFormat=P","Fill=—","Direction=H","UseDPDF=Y")</f>
        <v>#NAME?</v>
      </c>
      <c r="CU453" s="2" t="e">
        <f ca="1">_xll.BDH($C$453,"QUICK_RATIO","FY 2014","FY 2014","Currency=INR","Period=FY","BEST_FPERIOD_OVERRIDE=FY","FILING_STATUS=OR","EQY_CONSOLIDATED=Y","Sort=A","Dates=H","DateFormat=P","Fill=—","Direction=H","UseDPDF=Y")</f>
        <v>#NAME?</v>
      </c>
      <c r="CV453" s="2" t="e">
        <f ca="1">_xll.BDH($C$453,"ALTMAN_Z_SCORE","FY 2014","FY 2014","Currency=INR","Period=FY","BEST_FPERIOD_OVERRIDE=FY","FILING_STATUS=OR","EQY_CONSOLIDATED=Y","Sort=A","Dates=H","DateFormat=P","Fill=—","Direction=H","UseDPDF=Y")</f>
        <v>#NAME?</v>
      </c>
      <c r="CW453" s="4" t="e">
        <f ca="1">_xll.BDH($C$453,"ACCT_RCV_TURN","FY 2014","FY 2014","Currency=INR","Period=FY","BEST_FPERIOD_OVERRIDE=FY","FILING_STATUS=OR","EQY_CONSOLIDATED=Y","FA_ADJUSTED=GAAP","Sort=A","Dates=H","DateFormat=P","Fill=—","Direction=H","UseDPDF=Y")</f>
        <v>#NAME?</v>
      </c>
      <c r="CX453" s="2" t="e">
        <f ca="1">_xll.BDH($C$453,"ACCT_RCV_DAYS","FY 2014","FY 2014","Currency=INR","Period=FY","BEST_FPERIOD_OVERRIDE=FY","FILING_STATUS=OR","EQY_CONSOLIDATED=Y","FA_ADJUSTED=GAAP","Sort=A","Dates=H","DateFormat=P","Fill=—","Direction=H","UseDPDF=Y")</f>
        <v>#NAME?</v>
      </c>
      <c r="CY453" s="4" t="e">
        <f ca="1">_xll.BDH($C$453,"INVENT_TURN","FY 2014","FY 2014","Currency=INR","Period=FY","BEST_FPERIOD_OVERRIDE=FY","FILING_STATUS=OR","EQY_CONSOLIDATED=Y","FA_ADJUSTED=GAAP","Sort=A","Dates=H","DateFormat=P","Fill=—","Direction=H","UseDPDF=Y")</f>
        <v>#NAME?</v>
      </c>
      <c r="CZ453" s="2" t="e">
        <f ca="1">_xll.BDH($C$453,"INVENT_DAYS","FY 2014","FY 2014","Currency=INR","Period=FY","BEST_FPERIOD_OVERRIDE=FY","FILING_STATUS=OR","EQY_CONSOLIDATED=Y","FA_ADJUSTED=GAAP","Sort=A","Dates=H","DateFormat=P","Fill=—","Direction=H","UseDPDF=Y")</f>
        <v>#NAME?</v>
      </c>
      <c r="DA453" s="4" t="e">
        <f ca="1">_xll.BDH($C$453,"ACCOUNTS_PAYABLE_TURNOVER","FY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453" s="2" t="e">
        <f ca="1">_xll.BDH($C$453,"ACCOUNTS_PAYABLE_TURNOVER_DAYS","FY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453" s="4" t="e">
        <f ca="1">_xll.BDH($C$453,"CASH_CONVERSION_CYCLE","FY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453" s="4" t="e">
        <f ca="1">_xll.BDH($C$453,"INV_TO_CASH_DAYS","FY 2014","FY 2014","Currency=INR","Period=FY","BEST_FPERIOD_OVERRIDE=FY","FILING_STATUS=OR","EQY_CONSOLIDATED=Y","FA_ADJUSTED=GAAP","Sort=A","Dates=H","DateFormat=P","Fill=—","Direction=H","UseDPDF=Y")</f>
        <v>#NAME?</v>
      </c>
      <c r="DE453" s="5" t="e">
        <f ca="1">_xll.BDH($C$453,"BS_INVENTORIES","FY 2014","FY 2014","Currency=INR","Period=FY","BEST_FPERIOD_OVERRIDE=FY","FILING_STATUS=OR","EQY_CONSOLIDATED=Y","SCALING_FORMAT=MLN","Sort=A","Dates=H","DateFormat=P","Fill=—","Direction=H","UseDPDF=Y")</f>
        <v>#NAME?</v>
      </c>
      <c r="DF453" s="3" t="e">
        <f ca="1">_xll.BDH($C$453,"INVTRY_RAW_MATERIALS","FY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453" s="3" t="e">
        <f ca="1">_xll.BDH($C$453,"INVTRY_IN_PROGRESS","FY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453" s="3" t="e">
        <f ca="1">_xll.BDH($C$453,"INVTRY_FINISHED_GOODS","FY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453" s="3" t="e">
        <f ca="1">_xll.BDH($C$453,"BS_OTHER_INV","FY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454" spans="1:113" x14ac:dyDescent="0.3">
      <c r="A454" s="6"/>
      <c r="B454" s="6"/>
      <c r="C454" s="6"/>
      <c r="D454" s="6"/>
      <c r="E454" t="s">
        <v>78</v>
      </c>
      <c r="F454" t="e">
        <f ca="1">_xll.BDH($C$453,"RETURN_COM_EQY","FQ1 2014","FQ1 2014","Currency=INR","Period=FQ","BEST_FPERIOD_OVERRIDE=FQ","FILING_STATUS=OR","EQY_CONSOLIDATED=Y","FA_ADJUSTED=GAAP","Sort=A","Dates=H","DateFormat=P","Fill=—","Direction=H","UseDPDF=Y")</f>
        <v>#NAME?</v>
      </c>
      <c r="G454" t="e">
        <f ca="1">_xll.BDH($C$453,"RETURN_ON_ASSET","FQ1 2014","FQ1 2014","Currency=INR","Period=FQ","BEST_FPERIOD_OVERRIDE=FQ","FILING_STATUS=OR","EQY_CONSOLIDATED=Y","FA_ADJUSTED=GAAP","Sort=A","Dates=H","DateFormat=P","Fill=—","Direction=H","UseDPDF=Y")</f>
        <v>#NAME?</v>
      </c>
      <c r="H454" t="e">
        <f ca="1">_xll.BDH($C$453,"RETURN_ON_CAP","FQ1 2014","FQ1 2014","Currency=INR","Period=FQ","BEST_FPERIOD_OVERRIDE=FQ","FILING_STATUS=OR","EQY_CONSOLIDATED=Y","FA_ADJUSTED=GAAP","Sort=A","Dates=H","DateFormat=P","Fill=—","Direction=H","UseDPDF=Y")</f>
        <v>#NAME?</v>
      </c>
      <c r="I454" t="e">
        <f ca="1">_xll.BDH($C$453,"RETURN_ON_INV_CAPITAL","FQ1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454" t="e">
        <f ca="1">_xll.BDH($C$453,"EBITDA_TO_REVENUE","FQ1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454" t="e">
        <f ca="1">_xll.BDH($C$453,"OPER_MARGIN","FQ1 2014","FQ1 2014","Currency=INR","Period=FQ","BEST_FPERIOD_OVERRIDE=FQ","FILING_STATUS=OR","EQY_CONSOLIDATED=Y","FA_ADJUSTED=GAAP","Sort=A","Dates=H","DateFormat=P","Fill=—","Direction=H","UseDPDF=Y")</f>
        <v>#NAME?</v>
      </c>
      <c r="L454" t="e">
        <f ca="1">_xll.BDH($C$453,"INCREMENTAL_OPERATING_MARGIN","FQ1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454" t="e">
        <f ca="1">_xll.BDH($C$453,"PRETAX_INC_TO_NET_SALES","FQ1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454" t="e">
        <f ca="1">_xll.BDH($C$453,"INC_BEF_XO_ITEMS_TO_NET_SALES","FQ1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454" t="e">
        <f ca="1">_xll.BDH($C$453,"PROF_MARGIN","FQ1 2014","FQ1 2014","Currency=INR","Period=FQ","BEST_FPERIOD_OVERRIDE=FQ","FILING_STATUS=OR","EQY_CONSOLIDATED=Y","FA_ADJUSTED=GAAP","Sort=A","Dates=H","DateFormat=P","Fill=—","Direction=H","UseDPDF=Y")</f>
        <v>#NAME?</v>
      </c>
      <c r="P454" t="e">
        <f ca="1">_xll.BDH($C$453,"NET_INCOME_TO_COMMON_MARGIN","FQ1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454" t="e">
        <f ca="1">_xll.BDH($C$453,"EFF_TAX_RATE","FQ1 2014","FQ1 2014","Currency=INR","Period=FQ","BEST_FPERIOD_OVERRIDE=FQ","FILING_STATUS=OR","EQY_CONSOLIDATED=Y","FA_ADJUSTED=GAAP","Sort=A","Dates=H","DateFormat=P","Fill=—","Direction=H","UseDPDF=Y")</f>
        <v>#NAME?</v>
      </c>
      <c r="R454" t="e">
        <f ca="1">_xll.BDH($C$453,"DVD_PAYOUT_RATIO","FQ1 2014","FQ1 2014","Currency=INR","Period=FQ","BEST_FPERIOD_OVERRIDE=FQ","FILING_STATUS=OR","EQY_CONSOLIDATED=Y","FA_ADJUSTED=GAAP","Sort=A","Dates=H","DateFormat=P","Fill=—","Direction=H","UseDPDF=Y")</f>
        <v>#NAME?</v>
      </c>
      <c r="S454" t="e">
        <f ca="1">_xll.BDH($C$453,"SUSTAIN_GROWTH_RT","FQ1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454" s="2" t="e">
        <f ca="1">_xll.BDH($C$453,"SALES_GROWTH","FQ1 2014","FQ1 2014","Currency=INR","Period=FQ","BEST_FPERIOD_OVERRIDE=FQ","FILING_STATUS=OR","EQY_CONSOLIDATED=Y","FA_ADJUSTED=GAAP","Sort=A","Dates=H","DateFormat=P","Fill=—","Direction=H","UseDPDF=Y")</f>
        <v>#NAME?</v>
      </c>
      <c r="U454" s="2" t="e">
        <f ca="1">_xll.BDH($C$453,"EBITDA_GROWTH","FQ1 2014","FQ1 2014","Currency=INR","Period=FQ","BEST_FPERIOD_OVERRIDE=FQ","FILING_STATUS=OR","EQY_CONSOLIDATED=Y","FA_ADJUSTED=GAAP","Sort=A","Dates=H","DateFormat=P","Fill=—","Direction=H","UseDPDF=Y")</f>
        <v>#NAME?</v>
      </c>
      <c r="V454" s="2" t="e">
        <f ca="1">_xll.BDH($C$453,"OPER_INC_GROWTH","FQ1 2014","FQ1 2014","Currency=INR","Period=FQ","BEST_FPERIOD_OVERRIDE=FQ","FILING_STATUS=OR","EQY_CONSOLIDATED=Y","FA_ADJUSTED=GAAP","Sort=A","Dates=H","DateFormat=P","Fill=—","Direction=H","UseDPDF=Y")</f>
        <v>#NAME?</v>
      </c>
      <c r="W454" s="2" t="e">
        <f ca="1">_xll.BDH($C$453,"EARN_FOR_COM_GROWTH","FQ1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454" s="2" t="e">
        <f ca="1">_xll.BDH($C$453,"DILUTED_EPS_AFT_XO_ITEMS_GROWTH","FQ1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454" s="2" t="e">
        <f ca="1">_xll.BDH($C$453,"DIVIDEND_PER_SHARE_1_YEAR_GROWTH","FQ1 2014","FQ1 2014","Currency=INR","Period=FQ","BEST_FPERIOD_OVERRIDE=FQ","FILING_STATUS=OR","EQY_CONSOLIDATED=Y","Sort=A","Dates=H","DateFormat=P","Fill=—","Direction=H","UseDPDF=Y")</f>
        <v>#NAME?</v>
      </c>
      <c r="Z454" s="2" t="e">
        <f ca="1">_xll.BDH($C$453,"ACCOUNTS_RECEIVABLE_GROWTH","FQ1 2014","FQ1 2014","Currency=INR","Period=FQ","BEST_FPERIOD_OVERRIDE=FQ","FILING_STATUS=OR","EQY_CONSOLIDATED=Y","Sort=A","Dates=H","DateFormat=P","Fill=—","Direction=H","UseDPDF=Y")</f>
        <v>#NAME?</v>
      </c>
      <c r="AA454" s="2" t="e">
        <f ca="1">_xll.BDH($C$453,"INVENTORY_GROWTH","FQ1 2014","FQ1 2014","Currency=INR","Period=FQ","BEST_FPERIOD_OVERRIDE=FQ","FILING_STATUS=OR","EQY_CONSOLIDATED=Y","Sort=A","Dates=H","DateFormat=P","Fill=—","Direction=H","UseDPDF=Y")</f>
        <v>#NAME?</v>
      </c>
      <c r="AB454" s="2" t="e">
        <f ca="1">_xll.BDH($C$453,"NET_FIXED_ASSETS_1_YEAR_GROWTH","FQ1 2014","FQ1 2014","Currency=INR","Period=FQ","BEST_FPERIOD_OVERRIDE=FQ","FILING_STATUS=OR","EQY_CONSOLIDATED=Y","Sort=A","Dates=H","DateFormat=P","Fill=—","Direction=H","UseDPDF=Y")</f>
        <v>#NAME?</v>
      </c>
      <c r="AC454" s="2" t="e">
        <f ca="1">_xll.BDH($C$453,"ASSET_GROWTH","FQ1 2014","FQ1 2014","Currency=INR","Period=FQ","BEST_FPERIOD_OVERRIDE=FQ","FILING_STATUS=OR","EQY_CONSOLIDATED=Y","Sort=A","Dates=H","DateFormat=P","Fill=—","Direction=H","UseDPDF=Y")</f>
        <v>#NAME?</v>
      </c>
      <c r="AD454" s="2" t="e">
        <f ca="1">_xll.BDH($C$453,"MODIFIED_WORK_CAP_GROWTH","FQ1 2014","FQ1 2014","Currency=INR","Period=FQ","BEST_FPERIOD_OVERRIDE=FQ","FILING_STATUS=OR","EQY_CONSOLIDATED=Y","Sort=A","Dates=H","DateFormat=P","Fill=—","Direction=H","UseDPDF=Y")</f>
        <v>#NAME?</v>
      </c>
      <c r="AE454" s="2" t="e">
        <f ca="1">_xll.BDH($C$453,"WORK_CAP_GROWTH","FQ1 2014","FQ1 2014","Currency=INR","Period=FQ","BEST_FPERIOD_OVERRIDE=FQ","FILING_STATUS=OR","EQY_CONSOLIDATED=Y","Sort=A","Dates=H","DateFormat=P","Fill=—","Direction=H","UseDPDF=Y")</f>
        <v>#NAME?</v>
      </c>
      <c r="AF454" s="2" t="e">
        <f ca="1">_xll.BDH($C$453,"ACCOUNTS_PAYABLE_GROWTH_1YR","FQ1 2014","FQ1 2014","Currency=INR","Period=FQ","BEST_FPERIOD_OVERRIDE=FQ","FILING_STATUS=OR","EQY_CONSOLIDATED=Y","Sort=A","Dates=H","DateFormat=P","Fill=—","Direction=H","UseDPDF=Y")</f>
        <v>#NAME?</v>
      </c>
      <c r="AG454" s="2" t="e">
        <f ca="1">_xll.BDH($C$453,"SHORT_TERM_DEBT_1_YEAR_GROWTH","FQ1 2014","FQ1 2014","Currency=INR","Period=FQ","BEST_FPERIOD_OVERRIDE=FQ","FILING_STATUS=OR","EQY_CONSOLIDATED=Y","Sort=A","Dates=H","DateFormat=P","Fill=—","Direction=H","UseDPDF=Y")</f>
        <v>#NAME?</v>
      </c>
      <c r="AH454" s="2" t="e">
        <f ca="1">_xll.BDH($C$453,"TOTAL_DEBT_1_YEAR_GROWTH","FQ1 2014","FQ1 2014","Currency=INR","Period=FQ","BEST_FPERIOD_OVERRIDE=FQ","FILING_STATUS=OR","EQY_CONSOLIDATED=Y","Sort=A","Dates=H","DateFormat=P","Fill=—","Direction=H","UseDPDF=Y")</f>
        <v>#NAME?</v>
      </c>
      <c r="AI454" s="2" t="e">
        <f ca="1">_xll.BDH($C$453,"TOTAL_EQUITY_1_YEAR_GROWTH","FQ1 2014","FQ1 2014","Currency=INR","Period=FQ","BEST_FPERIOD_OVERRIDE=FQ","FILING_STATUS=OR","EQY_CONSOLIDATED=Y","Sort=A","Dates=H","DateFormat=P","Fill=—","Direction=H","UseDPDF=Y")</f>
        <v>#NAME?</v>
      </c>
      <c r="AJ454" s="2" t="e">
        <f ca="1">_xll.BDH($C$453,"GROWTH_IN_CAP","FQ1 2014","FQ1 2014","Currency=INR","Period=FQ","BEST_FPERIOD_OVERRIDE=FQ","FILING_STATUS=OR","EQY_CONSOLIDATED=Y","Sort=A","Dates=H","DateFormat=P","Fill=—","Direction=H","UseDPDF=Y")</f>
        <v>#NAME?</v>
      </c>
      <c r="AK454" s="2" t="e">
        <f ca="1">_xll.BDH($C$453,"BVPS_GROWTH","FQ1 2014","FQ1 2014","Currency=INR","Period=FQ","BEST_FPERIOD_OVERRIDE=FQ","FILING_STATUS=OR","EQY_CONSOLIDATED=Y","Sort=A","Dates=H","DateFormat=P","Fill=—","Direction=H","UseDPDF=Y")</f>
        <v>#NAME?</v>
      </c>
      <c r="AL454" s="2" t="e">
        <f ca="1">_xll.BDH($C$453,"CASH_FLOW_GROWTH","FQ1 2014","FQ1 2014","Currency=INR","Period=FQ","BEST_FPERIOD_OVERRIDE=FQ","FILING_STATUS=OR","EQY_CONSOLIDATED=Y","Sort=A","Dates=H","DateFormat=P","Fill=—","Direction=H","UseDPDF=Y")</f>
        <v>#NAME?</v>
      </c>
      <c r="AM454" s="2" t="e">
        <f ca="1">_xll.BDH($C$453,"GEO_GROW_NET_SALES","FQ1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454" s="2" t="e">
        <f ca="1">_xll.BDH($C$453,"GEO_GROW_EBITDA","FQ1 2014","FQ1 2014","Currency=INR","Period=FQ","BEST_FPERIOD_OVERRIDE=FQ","FILING_STATUS=OR","EQY_CONSOLIDATED=Y","FA_ADJUSTED=GAAP","Sort=A","Dates=H","DateFormat=P","Fill=—","Direction=H","UseDPDF=Y")</f>
        <v>#NAME?</v>
      </c>
      <c r="AO454" s="2" t="e">
        <f ca="1">_xll.BDH($C$453,"GEO_GROW_OPER_INC","FQ1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454" s="2" t="e">
        <f ca="1">_xll.BDH($C$453,"NET_INCOME_TO_COMMON_5_YR_GROWTH","FQ1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454" s="2" t="e">
        <f ca="1">_xll.BDH($C$453,"5Y_GEO_GROWTH_DILUTED_EPS","FQ1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454" s="2" t="e">
        <f ca="1">_xll.BDH($C$453,"GEO_GROW_DVD_PER_SH","FQ1 2014","FQ1 2014","Currency=INR","Period=FQ","BEST_FPERIOD_OVERRIDE=FQ","FILING_STATUS=OR","EQY_CONSOLIDATED=Y","Sort=A","Dates=H","DateFormat=P","Fill=—","Direction=H","UseDPDF=Y")</f>
        <v>#NAME?</v>
      </c>
      <c r="AS454" s="2" t="e">
        <f ca="1">_xll.BDH($C$453,"ACCOUNTS_RECEIVABLE_5_YR_GROWTH","FQ1 2014","FQ1 2014","Currency=INR","Period=FQ","BEST_FPERIOD_OVERRIDE=FQ","FILING_STATUS=OR","EQY_CONSOLIDATED=Y","Sort=A","Dates=H","DateFormat=P","Fill=—","Direction=H","UseDPDF=Y")</f>
        <v>#NAME?</v>
      </c>
      <c r="AT454" s="2" t="e">
        <f ca="1">_xll.BDH($C$453,"INVENTORY_5_YEAR_GROWTH","FQ1 2014","FQ1 2014","Currency=INR","Period=FQ","BEST_FPERIOD_OVERRIDE=FQ","FILING_STATUS=OR","EQY_CONSOLIDATED=Y","Sort=A","Dates=H","DateFormat=P","Fill=—","Direction=H","UseDPDF=Y")</f>
        <v>#NAME?</v>
      </c>
      <c r="AU454" s="2" t="e">
        <f ca="1">_xll.BDH($C$453,"NET_FIXED_ASSETS_5_YEAR_GROWTH","FQ1 2014","FQ1 2014","Currency=INR","Period=FQ","BEST_FPERIOD_OVERRIDE=FQ","FILING_STATUS=OR","EQY_CONSOLIDATED=Y","Sort=A","Dates=H","DateFormat=P","Fill=—","Direction=H","UseDPDF=Y")</f>
        <v>#NAME?</v>
      </c>
      <c r="AV454" s="2" t="e">
        <f ca="1">_xll.BDH($C$453,"GEO_GROW_TOT_ASSET","FQ1 2014","FQ1 2014","Currency=INR","Period=FQ","BEST_FPERIOD_OVERRIDE=FQ","FILING_STATUS=OR","EQY_CONSOLIDATED=Y","Sort=A","Dates=H","DateFormat=P","Fill=—","Direction=H","UseDPDF=Y")</f>
        <v>#NAME?</v>
      </c>
      <c r="AW454" s="2" t="e">
        <f ca="1">_xll.BDH($C$453,"MODIFIED_WORKING_CPTL_5YR_GRWTH","FQ1 2014","FQ1 2014","Currency=INR","Period=FQ","BEST_FPERIOD_OVERRIDE=FQ","FILING_STATUS=OR","EQY_CONSOLIDATED=Y","Sort=A","Dates=H","DateFormat=P","Fill=—","Direction=H","UseDPDF=Y")</f>
        <v>#NAME?</v>
      </c>
      <c r="AX454" s="2" t="e">
        <f ca="1">_xll.BDH($C$453,"WORKING_CAPITAL_5_YEAR_GROWTH","FQ1 2014","FQ1 2014","Currency=INR","Period=FQ","BEST_FPERIOD_OVERRIDE=FQ","FILING_STATUS=OR","EQY_CONSOLIDATED=Y","Sort=A","Dates=H","DateFormat=P","Fill=—","Direction=H","UseDPDF=Y")</f>
        <v>#NAME?</v>
      </c>
      <c r="AY454" s="2" t="e">
        <f ca="1">_xll.BDH($C$453,"ACCOUNTS_PAYABLE_5_YEAR_GROWTH","FQ1 2014","FQ1 2014","Currency=INR","Period=FQ","BEST_FPERIOD_OVERRIDE=FQ","FILING_STATUS=OR","EQY_CONSOLIDATED=Y","Sort=A","Dates=H","DateFormat=P","Fill=—","Direction=H","UseDPDF=Y")</f>
        <v>#NAME?</v>
      </c>
      <c r="AZ454" s="2" t="e">
        <f ca="1">_xll.BDH($C$453,"SHORT_TERM_DEBT_5_YEAR_GROWTH","FQ1 2014","FQ1 2014","Currency=INR","Period=FQ","BEST_FPERIOD_OVERRIDE=FQ","FILING_STATUS=OR","EQY_CONSOLIDATED=Y","Sort=A","Dates=H","DateFormat=P","Fill=—","Direction=H","UseDPDF=Y")</f>
        <v>#NAME?</v>
      </c>
      <c r="BA454" s="2" t="e">
        <f ca="1">_xll.BDH($C$453,"TOTAL_DEBT_5_YEAR_GROWTH","FQ1 2014","FQ1 2014","Currency=INR","Period=FQ","BEST_FPERIOD_OVERRIDE=FQ","FILING_STATUS=OR","EQY_CONSOLIDATED=Y","Sort=A","Dates=H","DateFormat=P","Fill=—","Direction=H","UseDPDF=Y")</f>
        <v>#NAME?</v>
      </c>
      <c r="BB454" s="2" t="e">
        <f ca="1">_xll.BDH($C$453,"GEO_GROW_TOT_SHRHLDR_EQY","FQ1 2014","FQ1 2014","Currency=INR","Period=FQ","BEST_FPERIOD_OVERRIDE=FQ","FILING_STATUS=OR","EQY_CONSOLIDATED=Y","Sort=A","Dates=H","DateFormat=P","Fill=—","Direction=H","UseDPDF=Y")</f>
        <v>#NAME?</v>
      </c>
      <c r="BC454" s="2" t="e">
        <f ca="1">_xll.BDH($C$453,"TOTAL_CAPITAL_5_YEAR_GROWTH","FQ1 2014","FQ1 2014","Currency=INR","Period=FQ","BEST_FPERIOD_OVERRIDE=FQ","FILING_STATUS=OR","EQY_CONSOLIDATED=Y","Sort=A","Dates=H","DateFormat=P","Fill=—","Direction=H","UseDPDF=Y")</f>
        <v>#NAME?</v>
      </c>
      <c r="BD454" s="2" t="e">
        <f ca="1">_xll.BDH($C$453,"GEO_GROW_BOOK_VAL","FQ1 2014","FQ1 2014","Currency=INR","Period=FQ","BEST_FPERIOD_OVERRIDE=FQ","FILING_STATUS=OR","EQY_CONSOLIDATED=Y","Sort=A","Dates=H","DateFormat=P","Fill=—","Direction=H","UseDPDF=Y")</f>
        <v>#NAME?</v>
      </c>
      <c r="BE454" s="2" t="e">
        <f ca="1">_xll.BDH($C$453,"GEO_GROW_CASH_OPER_ACT","FQ1 2014","FQ1 2014","Currency=INR","Period=FQ","BEST_FPERIOD_OVERRIDE=FQ","FILING_STATUS=OR","EQY_CONSOLIDATED=Y","Sort=A","Dates=H","DateFormat=P","Fill=—","Direction=H","UseDPDF=Y")</f>
        <v>#NAME?</v>
      </c>
      <c r="BF454" s="2" t="e">
        <f ca="1">_xll.BDH($C$453,"REVENUE_SEQUENTIAL_GROWTH","FQ1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454" s="2" t="e">
        <f ca="1">_xll.BDH($C$453,"EBITDA_SEQUENTIAL_GROWTH","FQ1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454" s="2" t="e">
        <f ca="1">_xll.BDH($C$453,"OPERATING_INCOME_SEQ_GROWTH","FQ1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454" s="2" t="e">
        <f ca="1">_xll.BDH($C$453,"NET_INCOME_TO_COMMON_SEQ_GROWTH","FQ1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454" s="2" t="e">
        <f ca="1">_xll.BDH($C$453,"EPS_DILUTED_SEQUENTIAL_GROWTH","FQ1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454" s="2" t="e">
        <f ca="1">_xll.BDH($C$453,"DPS_SEQUENTIAL_GROWTH","FQ1 2014","FQ1 2014","Currency=INR","Period=FQ","BEST_FPERIOD_OVERRIDE=FQ","FILING_STATUS=OR","EQY_CONSOLIDATED=Y","Sort=A","Dates=H","DateFormat=P","Fill=—","Direction=H","UseDPDF=Y")</f>
        <v>#NAME?</v>
      </c>
      <c r="BL454" s="2" t="e">
        <f ca="1">_xll.BDH($C$453,"ACCOUNTS_RECEIVABLE_SEQ_GROWTH","FQ1 2014","FQ1 2014","Currency=INR","Period=FQ","BEST_FPERIOD_OVERRIDE=FQ","FILING_STATUS=OR","EQY_CONSOLIDATED=Y","Sort=A","Dates=H","DateFormat=P","Fill=—","Direction=H","UseDPDF=Y")</f>
        <v>#NAME?</v>
      </c>
      <c r="BM454" s="2" t="e">
        <f ca="1">_xll.BDH($C$453,"INVENTORY_SEQUENTIAL_GROWTH","FQ1 2014","FQ1 2014","Currency=INR","Period=FQ","BEST_FPERIOD_OVERRIDE=FQ","FILING_STATUS=OR","EQY_CONSOLIDATED=Y","Sort=A","Dates=H","DateFormat=P","Fill=—","Direction=H","UseDPDF=Y")</f>
        <v>#NAME?</v>
      </c>
      <c r="BN454" s="2" t="e">
        <f ca="1">_xll.BDH($C$453,"FIXED_ASSETS_SEQUENTIAL_GROWTH","FQ1 2014","FQ1 2014","Currency=INR","Period=FQ","BEST_FPERIOD_OVERRIDE=FQ","FILING_STATUS=OR","EQY_CONSOLIDATED=Y","Sort=A","Dates=H","DateFormat=P","Fill=—","Direction=H","UseDPDF=Y")</f>
        <v>#NAME?</v>
      </c>
      <c r="BO454" s="2" t="e">
        <f ca="1">_xll.BDH($C$453,"TOTAL_ASSETS_SEQUENTIAL_GROWTH","FQ1 2014","FQ1 2014","Currency=INR","Period=FQ","BEST_FPERIOD_OVERRIDE=FQ","FILING_STATUS=OR","EQY_CONSOLIDATED=Y","Sort=A","Dates=H","DateFormat=P","Fill=—","Direction=H","UseDPDF=Y")</f>
        <v>#NAME?</v>
      </c>
      <c r="BP454" s="2" t="e">
        <f ca="1">_xll.BDH($C$453,"MODIFIED_WORKING_CPTL_SEQ_GRWTH","FQ1 2014","FQ1 2014","Currency=INR","Period=FQ","BEST_FPERIOD_OVERRIDE=FQ","FILING_STATUS=OR","EQY_CONSOLIDATED=Y","Sort=A","Dates=H","DateFormat=P","Fill=—","Direction=H","UseDPDF=Y")</f>
        <v>#NAME?</v>
      </c>
      <c r="BQ454" s="2" t="e">
        <f ca="1">_xll.BDH($C$453,"WORKING_CAPITAL_SEQ_GROWTH","FQ1 2014","FQ1 2014","Currency=INR","Period=FQ","BEST_FPERIOD_OVERRIDE=FQ","FILING_STATUS=OR","EQY_CONSOLIDATED=Y","Sort=A","Dates=H","DateFormat=P","Fill=—","Direction=H","UseDPDF=Y")</f>
        <v>#NAME?</v>
      </c>
      <c r="BR454" s="2" t="e">
        <f ca="1">_xll.BDH($C$453,"ACCOUNTS_PAYABLE_SEQ_GROWTH","FQ1 2014","FQ1 2014","Currency=INR","Period=FQ","BEST_FPERIOD_OVERRIDE=FQ","FILING_STATUS=OR","EQY_CONSOLIDATED=Y","Sort=A","Dates=H","DateFormat=P","Fill=—","Direction=H","UseDPDF=Y")</f>
        <v>#NAME?</v>
      </c>
      <c r="BS454" s="2" t="e">
        <f ca="1">_xll.BDH($C$453,"ST_DEBT_SEQUENTIAL_GROWTH","FQ1 2014","FQ1 2014","Currency=INR","Period=FQ","BEST_FPERIOD_OVERRIDE=FQ","FILING_STATUS=OR","EQY_CONSOLIDATED=Y","Sort=A","Dates=H","DateFormat=P","Fill=—","Direction=H","UseDPDF=Y")</f>
        <v>#NAME?</v>
      </c>
      <c r="BT454" s="2" t="e">
        <f ca="1">_xll.BDH($C$453,"TOTAL_DEBT_SEQUENTIAL_GROWTH","FQ1 2014","FQ1 2014","Currency=INR","Period=FQ","BEST_FPERIOD_OVERRIDE=FQ","FILING_STATUS=OR","EQY_CONSOLIDATED=Y","Sort=A","Dates=H","DateFormat=P","Fill=—","Direction=H","UseDPDF=Y")</f>
        <v>#NAME?</v>
      </c>
      <c r="BU454" s="2" t="e">
        <f ca="1">_xll.BDH($C$453,"TOTAL_EQUITY_SEQUENTIAL_GROWTH","FQ1 2014","FQ1 2014","Currency=INR","Period=FQ","BEST_FPERIOD_OVERRIDE=FQ","FILING_STATUS=OR","EQY_CONSOLIDATED=Y","Sort=A","Dates=H","DateFormat=P","Fill=—","Direction=H","UseDPDF=Y")</f>
        <v>#NAME?</v>
      </c>
      <c r="BV454" s="2" t="e">
        <f ca="1">_xll.BDH($C$453,"TOTAL_CAPITAL_SEQUENTIAL_GROWTH","FQ1 2014","FQ1 2014","Currency=INR","Period=FQ","BEST_FPERIOD_OVERRIDE=FQ","FILING_STATUS=OR","EQY_CONSOLIDATED=Y","Sort=A","Dates=H","DateFormat=P","Fill=—","Direction=H","UseDPDF=Y")</f>
        <v>#NAME?</v>
      </c>
      <c r="BW454" s="2" t="e">
        <f ca="1">_xll.BDH($C$453,"BPS_SEQUENTIAL_GROWTH","FQ1 2014","FQ1 2014","Currency=INR","Period=FQ","BEST_FPERIOD_OVERRIDE=FQ","FILING_STATUS=OR","EQY_CONSOLIDATED=Y","Sort=A","Dates=H","DateFormat=P","Fill=—","Direction=H","UseDPDF=Y")</f>
        <v>#NAME?</v>
      </c>
      <c r="BX454" s="2" t="e">
        <f ca="1">_xll.BDH($C$453,"CFO_SEQUENTIAL_GROWTH","FQ1 2014","FQ1 2014","Currency=INR","Period=FQ","BEST_FPERIOD_OVERRIDE=FQ","FILING_STATUS=OR","EQY_CONSOLIDATED=Y","Sort=A","Dates=H","DateFormat=P","Fill=—","Direction=H","UseDPDF=Y")</f>
        <v>#NAME?</v>
      </c>
      <c r="BY454" s="3" t="e">
        <f ca="1">_xll.BDH($C$453,"SHORT_AND_LONG_TERM_DEBT","FQ1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454" s="3" t="e">
        <f ca="1">_xll.BDH($C$453,"BS_ST_BORROW","FQ1 2014","FQ1 2014","Currency=INR","Period=FQ","BEST_FPERIOD_OVERRIDE=FQ","FILING_STATUS=OR","EQY_CONSOLIDATED=Y","SCALING_FORMAT=MLN","Sort=A","Dates=H","DateFormat=P","Fill=—","Direction=H","UseDPDF=Y")</f>
        <v>#NAME?</v>
      </c>
      <c r="CA454" s="3" t="e">
        <f ca="1">_xll.BDH($C$453,"BS_LT_BORROW","FQ1 2014","FQ1 2014","Currency=INR","Period=FQ","BEST_FPERIOD_OVERRIDE=FQ","FILING_STATUS=OR","EQY_CONSOLIDATED=Y","SCALING_FORMAT=MLN","Sort=A","Dates=H","DateFormat=P","Fill=—","Direction=H","UseDPDF=Y")</f>
        <v>#NAME?</v>
      </c>
      <c r="CB454" s="2" t="e">
        <f ca="1">_xll.BDH($C$453,"TOT_DEBT_TO_EBITDA","FQ1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454" s="2" t="e">
        <f ca="1">_xll.BDH($C$453,"NET_DEBT_TO_EBITDA","FQ1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454" s="2" t="e">
        <f ca="1">_xll.BDH($C$453,"TOTAL_DEBT_TO_EBIT","FQ1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454" s="2" t="e">
        <f ca="1">_xll.BDH($C$453,"NET_DEBT_TO_EBIT","FQ1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454" s="2" t="e">
        <f ca="1">_xll.BDH($C$453,"EBITDA_TO_INTEREST_EXPN","FQ1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454" s="2" t="e">
        <f ca="1">_xll.BDH($C$453,"COM_EQY_TO_TOT_ASSET","FQ1 2014","FQ1 2014","Currency=INR","Period=FQ","BEST_FPERIOD_OVERRIDE=FQ","FILING_STATUS=OR","EQY_CONSOLIDATED=Y","Sort=A","Dates=H","DateFormat=P","Fill=—","Direction=H","UseDPDF=Y")</f>
        <v>#NAME?</v>
      </c>
      <c r="CH454" s="2" t="e">
        <f ca="1">_xll.BDH($C$453,"LT_DEBT_TO_TOT_EQY","FQ1 2014","FQ1 2014","Currency=INR","Period=FQ","BEST_FPERIOD_OVERRIDE=FQ","FILING_STATUS=OR","EQY_CONSOLIDATED=Y","Sort=A","Dates=H","DateFormat=P","Fill=—","Direction=H","UseDPDF=Y")</f>
        <v>#NAME?</v>
      </c>
      <c r="CI454" s="2" t="e">
        <f ca="1">_xll.BDH($C$453,"LT_DEBT_TO_TOT_CAP","FQ1 2014","FQ1 2014","Currency=INR","Period=FQ","BEST_FPERIOD_OVERRIDE=FQ","FILING_STATUS=OR","EQY_CONSOLIDATED=Y","Sort=A","Dates=H","DateFormat=P","Fill=—","Direction=H","UseDPDF=Y")</f>
        <v>#NAME?</v>
      </c>
      <c r="CJ454" s="2" t="e">
        <f ca="1">_xll.BDH($C$453,"LT_DEBT_TO_TOT_ASSET","FQ1 2014","FQ1 2014","Currency=INR","Period=FQ","BEST_FPERIOD_OVERRIDE=FQ","FILING_STATUS=OR","EQY_CONSOLIDATED=Y","Sort=A","Dates=H","DateFormat=P","Fill=—","Direction=H","UseDPDF=Y")</f>
        <v>#NAME?</v>
      </c>
      <c r="CK454" s="2" t="e">
        <f ca="1">_xll.BDH($C$453,"TOT_DEBT_TO_TOT_EQY","FQ1 2014","FQ1 2014","Currency=INR","Period=FQ","BEST_FPERIOD_OVERRIDE=FQ","FILING_STATUS=OR","EQY_CONSOLIDATED=Y","Sort=A","Dates=H","DateFormat=P","Fill=—","Direction=H","UseDPDF=Y")</f>
        <v>#NAME?</v>
      </c>
      <c r="CL454" s="2" t="e">
        <f ca="1">_xll.BDH($C$453,"TOT_DEBT_TO_TOT_CAP","FQ1 2014","FQ1 2014","Currency=INR","Period=FQ","BEST_FPERIOD_OVERRIDE=FQ","FILING_STATUS=OR","EQY_CONSOLIDATED=Y","Sort=A","Dates=H","DateFormat=P","Fill=—","Direction=H","UseDPDF=Y")</f>
        <v>#NAME?</v>
      </c>
      <c r="CM454" s="2" t="e">
        <f ca="1">_xll.BDH($C$453,"TOT_DEBT_TO_TOT_ASSET","FQ1 2014","FQ1 2014","Currency=INR","Period=FQ","BEST_FPERIOD_OVERRIDE=FQ","FILING_STATUS=OR","EQY_CONSOLIDATED=Y","Sort=A","Dates=H","DateFormat=P","Fill=—","Direction=H","UseDPDF=Y")</f>
        <v>#NAME?</v>
      </c>
      <c r="CN454" s="2" t="e">
        <f ca="1">_xll.BDH($C$453,"NET_DEBT_TO_SHRHLDR_EQTY","FQ1 2014","FQ1 2014","Currency=INR","Period=FQ","BEST_FPERIOD_OVERRIDE=FQ","FILING_STATUS=OR","EQY_CONSOLIDATED=Y","Sort=A","Dates=H","DateFormat=P","Fill=—","Direction=H","UseDPDF=Y")</f>
        <v>#NAME?</v>
      </c>
      <c r="CO454" s="2" t="e">
        <f ca="1">_xll.BDH($C$453,"NET_DEBT_%_CAPITAL","FQ1 2014","FQ1 2014","Currency=INR","Period=FQ","BEST_FPERIOD_OVERRIDE=FQ","FILING_STATUS=OR","EQY_CONSOLIDATED=Y","Sort=A","Dates=H","DateFormat=P","Fill=—","Direction=H","UseDPDF=Y")</f>
        <v>#NAME?</v>
      </c>
      <c r="CP454" s="3" t="e">
        <f ca="1">_xll.BDH($C$453,"EBITDA","FQ1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454" s="3" t="e">
        <f ca="1">_xll.BDH($C$453,"EBITDA_AFTER_CAPEX","FQ1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454" s="3" t="e">
        <f ca="1">_xll.BDH($C$453,"IS_OPER_INC","FQ1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454" s="2" t="e">
        <f ca="1">_xll.BDH($C$453,"CASH_RATIO","FQ1 2014","FQ1 2014","Currency=INR","Period=FQ","BEST_FPERIOD_OVERRIDE=FQ","FILING_STATUS=OR","EQY_CONSOLIDATED=Y","Sort=A","Dates=H","DateFormat=P","Fill=—","Direction=H","UseDPDF=Y")</f>
        <v>#NAME?</v>
      </c>
      <c r="CT454" s="2" t="e">
        <f ca="1">_xll.BDH($C$453,"CUR_RATIO","FQ1 2014","FQ1 2014","Currency=INR","Period=FQ","BEST_FPERIOD_OVERRIDE=FQ","FILING_STATUS=OR","EQY_CONSOLIDATED=Y","Sort=A","Dates=H","DateFormat=P","Fill=—","Direction=H","UseDPDF=Y")</f>
        <v>#NAME?</v>
      </c>
      <c r="CU454" s="2" t="e">
        <f ca="1">_xll.BDH($C$453,"QUICK_RATIO","FQ1 2014","FQ1 2014","Currency=INR","Period=FQ","BEST_FPERIOD_OVERRIDE=FQ","FILING_STATUS=OR","EQY_CONSOLIDATED=Y","Sort=A","Dates=H","DateFormat=P","Fill=—","Direction=H","UseDPDF=Y")</f>
        <v>#NAME?</v>
      </c>
      <c r="CV454" s="2" t="e">
        <f ca="1">_xll.BDH($C$453,"ALTMAN_Z_SCORE","FQ1 2014","FQ1 2014","Currency=INR","Period=FQ","BEST_FPERIOD_OVERRIDE=FQ","FILING_STATUS=OR","EQY_CONSOLIDATED=Y","Sort=A","Dates=H","DateFormat=P","Fill=—","Direction=H","UseDPDF=Y")</f>
        <v>#NAME?</v>
      </c>
      <c r="CW454" s="4" t="e">
        <f ca="1">_xll.BDH($C$453,"ACCT_RCV_TURN","FQ1 2014","FQ1 2014","Currency=INR","Period=FQ","BEST_FPERIOD_OVERRIDE=FQ","FILING_STATUS=OR","EQY_CONSOLIDATED=Y","FA_ADJUSTED=GAAP","Sort=A","Dates=H","DateFormat=P","Fill=—","Direction=H","UseDPDF=Y")</f>
        <v>#NAME?</v>
      </c>
      <c r="CX454" s="2" t="e">
        <f ca="1">_xll.BDH($C$453,"ACCT_RCV_DAYS","FQ1 2014","FQ1 2014","Currency=INR","Period=FQ","BEST_FPERIOD_OVERRIDE=FQ","FILING_STATUS=OR","EQY_CONSOLIDATED=Y","FA_ADJUSTED=GAAP","Sort=A","Dates=H","DateFormat=P","Fill=—","Direction=H","UseDPDF=Y")</f>
        <v>#NAME?</v>
      </c>
      <c r="CY454" s="4" t="e">
        <f ca="1">_xll.BDH($C$453,"INVENT_TURN","FQ1 2014","FQ1 2014","Currency=INR","Period=FQ","BEST_FPERIOD_OVERRIDE=FQ","FILING_STATUS=OR","EQY_CONSOLIDATED=Y","FA_ADJUSTED=GAAP","Sort=A","Dates=H","DateFormat=P","Fill=—","Direction=H","UseDPDF=Y")</f>
        <v>#NAME?</v>
      </c>
      <c r="CZ454" s="2" t="e">
        <f ca="1">_xll.BDH($C$453,"INVENT_DAYS","FQ1 2014","FQ1 2014","Currency=INR","Period=FQ","BEST_FPERIOD_OVERRIDE=FQ","FILING_STATUS=OR","EQY_CONSOLIDATED=Y","FA_ADJUSTED=GAAP","Sort=A","Dates=H","DateFormat=P","Fill=—","Direction=H","UseDPDF=Y")</f>
        <v>#NAME?</v>
      </c>
      <c r="DA454" s="4" t="e">
        <f ca="1">_xll.BDH($C$453,"ACCOUNTS_PAYABLE_TURNOVER","FQ1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454" s="2" t="e">
        <f ca="1">_xll.BDH($C$453,"ACCOUNTS_PAYABLE_TURNOVER_DAYS","FQ1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454" s="4" t="e">
        <f ca="1">_xll.BDH($C$453,"CASH_CONVERSION_CYCLE","FQ1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454" s="4" t="e">
        <f ca="1">_xll.BDH($C$453,"INV_TO_CASH_DAYS","FQ1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454" s="5" t="e">
        <f ca="1">_xll.BDH($C$453,"BS_INVENTORIES","FQ1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454" s="3" t="e">
        <f ca="1">_xll.BDH($C$453,"INVTRY_RAW_MATERIALS","FQ1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454" s="3" t="e">
        <f ca="1">_xll.BDH($C$453,"INVTRY_IN_PROGRESS","FQ1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454" s="3" t="e">
        <f ca="1">_xll.BDH($C$453,"INVTRY_FINISHED_GOODS","FQ1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454" s="3" t="e">
        <f ca="1">_xll.BDH($C$453,"BS_OTHER_INV","FQ1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455" spans="1:113" x14ac:dyDescent="0.3">
      <c r="A455" s="6"/>
      <c r="B455" s="6"/>
      <c r="C455" s="6"/>
      <c r="D455" s="6"/>
      <c r="E455" t="s">
        <v>79</v>
      </c>
      <c r="F455" t="e">
        <f ca="1">_xll.BDH($C$453,"RETURN_COM_EQY","FQ2 2014","FQ2 2014","Currency=INR","Period=FQ","BEST_FPERIOD_OVERRIDE=FQ","FILING_STATUS=OR","EQY_CONSOLIDATED=Y","FA_ADJUSTED=GAAP","Sort=A","Dates=H","DateFormat=P","Fill=—","Direction=H","UseDPDF=Y")</f>
        <v>#NAME?</v>
      </c>
      <c r="G455" t="e">
        <f ca="1">_xll.BDH($C$453,"RETURN_ON_ASSET","FQ2 2014","FQ2 2014","Currency=INR","Period=FQ","BEST_FPERIOD_OVERRIDE=FQ","FILING_STATUS=OR","EQY_CONSOLIDATED=Y","FA_ADJUSTED=GAAP","Sort=A","Dates=H","DateFormat=P","Fill=—","Direction=H","UseDPDF=Y")</f>
        <v>#NAME?</v>
      </c>
      <c r="H455" t="e">
        <f ca="1">_xll.BDH($C$453,"RETURN_ON_CAP","FQ2 2014","FQ2 2014","Currency=INR","Period=FQ","BEST_FPERIOD_OVERRIDE=FQ","FILING_STATUS=OR","EQY_CONSOLIDATED=Y","FA_ADJUSTED=GAAP","Sort=A","Dates=H","DateFormat=P","Fill=—","Direction=H","UseDPDF=Y")</f>
        <v>#NAME?</v>
      </c>
      <c r="I455" t="e">
        <f ca="1">_xll.BDH($C$453,"RETURN_ON_INV_CAPITAL","FQ2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455" t="e">
        <f ca="1">_xll.BDH($C$453,"EBITDA_TO_REVENUE","FQ2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455" t="e">
        <f ca="1">_xll.BDH($C$453,"OPER_MARGIN","FQ2 2014","FQ2 2014","Currency=INR","Period=FQ","BEST_FPERIOD_OVERRIDE=FQ","FILING_STATUS=OR","EQY_CONSOLIDATED=Y","FA_ADJUSTED=GAAP","Sort=A","Dates=H","DateFormat=P","Fill=—","Direction=H","UseDPDF=Y")</f>
        <v>#NAME?</v>
      </c>
      <c r="L455" t="e">
        <f ca="1">_xll.BDH($C$453,"INCREMENTAL_OPERATING_MARGIN","FQ2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455" t="e">
        <f ca="1">_xll.BDH($C$453,"PRETAX_INC_TO_NET_SALES","FQ2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455" t="e">
        <f ca="1">_xll.BDH($C$453,"INC_BEF_XO_ITEMS_TO_NET_SALES","FQ2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455" t="e">
        <f ca="1">_xll.BDH($C$453,"PROF_MARGIN","FQ2 2014","FQ2 2014","Currency=INR","Period=FQ","BEST_FPERIOD_OVERRIDE=FQ","FILING_STATUS=OR","EQY_CONSOLIDATED=Y","FA_ADJUSTED=GAAP","Sort=A","Dates=H","DateFormat=P","Fill=—","Direction=H","UseDPDF=Y")</f>
        <v>#NAME?</v>
      </c>
      <c r="P455" t="e">
        <f ca="1">_xll.BDH($C$453,"NET_INCOME_TO_COMMON_MARGIN","FQ2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455" t="e">
        <f ca="1">_xll.BDH($C$453,"EFF_TAX_RATE","FQ2 2014","FQ2 2014","Currency=INR","Period=FQ","BEST_FPERIOD_OVERRIDE=FQ","FILING_STATUS=OR","EQY_CONSOLIDATED=Y","FA_ADJUSTED=GAAP","Sort=A","Dates=H","DateFormat=P","Fill=—","Direction=H","UseDPDF=Y")</f>
        <v>#NAME?</v>
      </c>
      <c r="R455" t="e">
        <f ca="1">_xll.BDH($C$453,"DVD_PAYOUT_RATIO","FQ2 2014","FQ2 2014","Currency=INR","Period=FQ","BEST_FPERIOD_OVERRIDE=FQ","FILING_STATUS=OR","EQY_CONSOLIDATED=Y","FA_ADJUSTED=GAAP","Sort=A","Dates=H","DateFormat=P","Fill=—","Direction=H","UseDPDF=Y")</f>
        <v>#NAME?</v>
      </c>
      <c r="S455" t="e">
        <f ca="1">_xll.BDH($C$453,"SUSTAIN_GROWTH_RT","FQ2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455" s="2" t="e">
        <f ca="1">_xll.BDH($C$453,"SALES_GROWTH","FQ2 2014","FQ2 2014","Currency=INR","Period=FQ","BEST_FPERIOD_OVERRIDE=FQ","FILING_STATUS=OR","EQY_CONSOLIDATED=Y","FA_ADJUSTED=GAAP","Sort=A","Dates=H","DateFormat=P","Fill=—","Direction=H","UseDPDF=Y")</f>
        <v>#NAME?</v>
      </c>
      <c r="U455" s="2" t="e">
        <f ca="1">_xll.BDH($C$453,"EBITDA_GROWTH","FQ2 2014","FQ2 2014","Currency=INR","Period=FQ","BEST_FPERIOD_OVERRIDE=FQ","FILING_STATUS=OR","EQY_CONSOLIDATED=Y","FA_ADJUSTED=GAAP","Sort=A","Dates=H","DateFormat=P","Fill=—","Direction=H","UseDPDF=Y")</f>
        <v>#NAME?</v>
      </c>
      <c r="V455" s="2" t="e">
        <f ca="1">_xll.BDH($C$453,"OPER_INC_GROWTH","FQ2 2014","FQ2 2014","Currency=INR","Period=FQ","BEST_FPERIOD_OVERRIDE=FQ","FILING_STATUS=OR","EQY_CONSOLIDATED=Y","FA_ADJUSTED=GAAP","Sort=A","Dates=H","DateFormat=P","Fill=—","Direction=H","UseDPDF=Y")</f>
        <v>#NAME?</v>
      </c>
      <c r="W455" s="2" t="e">
        <f ca="1">_xll.BDH($C$453,"EARN_FOR_COM_GROWTH","FQ2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455" s="2" t="e">
        <f ca="1">_xll.BDH($C$453,"DILUTED_EPS_AFT_XO_ITEMS_GROWTH","FQ2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455" s="2" t="e">
        <f ca="1">_xll.BDH($C$453,"DIVIDEND_PER_SHARE_1_YEAR_GROWTH","FQ2 2014","FQ2 2014","Currency=INR","Period=FQ","BEST_FPERIOD_OVERRIDE=FQ","FILING_STATUS=OR","EQY_CONSOLIDATED=Y","Sort=A","Dates=H","DateFormat=P","Fill=—","Direction=H","UseDPDF=Y")</f>
        <v>#NAME?</v>
      </c>
      <c r="Z455" s="2" t="e">
        <f ca="1">_xll.BDH($C$453,"ACCOUNTS_RECEIVABLE_GROWTH","FQ2 2014","FQ2 2014","Currency=INR","Period=FQ","BEST_FPERIOD_OVERRIDE=FQ","FILING_STATUS=OR","EQY_CONSOLIDATED=Y","Sort=A","Dates=H","DateFormat=P","Fill=—","Direction=H","UseDPDF=Y")</f>
        <v>#NAME?</v>
      </c>
      <c r="AA455" s="2" t="e">
        <f ca="1">_xll.BDH($C$453,"INVENTORY_GROWTH","FQ2 2014","FQ2 2014","Currency=INR","Period=FQ","BEST_FPERIOD_OVERRIDE=FQ","FILING_STATUS=OR","EQY_CONSOLIDATED=Y","Sort=A","Dates=H","DateFormat=P","Fill=—","Direction=H","UseDPDF=Y")</f>
        <v>#NAME?</v>
      </c>
      <c r="AB455" s="2" t="e">
        <f ca="1">_xll.BDH($C$453,"NET_FIXED_ASSETS_1_YEAR_GROWTH","FQ2 2014","FQ2 2014","Currency=INR","Period=FQ","BEST_FPERIOD_OVERRIDE=FQ","FILING_STATUS=OR","EQY_CONSOLIDATED=Y","Sort=A","Dates=H","DateFormat=P","Fill=—","Direction=H","UseDPDF=Y")</f>
        <v>#NAME?</v>
      </c>
      <c r="AC455" s="2" t="e">
        <f ca="1">_xll.BDH($C$453,"ASSET_GROWTH","FQ2 2014","FQ2 2014","Currency=INR","Period=FQ","BEST_FPERIOD_OVERRIDE=FQ","FILING_STATUS=OR","EQY_CONSOLIDATED=Y","Sort=A","Dates=H","DateFormat=P","Fill=—","Direction=H","UseDPDF=Y")</f>
        <v>#NAME?</v>
      </c>
      <c r="AD455" s="2" t="e">
        <f ca="1">_xll.BDH($C$453,"MODIFIED_WORK_CAP_GROWTH","FQ2 2014","FQ2 2014","Currency=INR","Period=FQ","BEST_FPERIOD_OVERRIDE=FQ","FILING_STATUS=OR","EQY_CONSOLIDATED=Y","Sort=A","Dates=H","DateFormat=P","Fill=—","Direction=H","UseDPDF=Y")</f>
        <v>#NAME?</v>
      </c>
      <c r="AE455" s="2" t="e">
        <f ca="1">_xll.BDH($C$453,"WORK_CAP_GROWTH","FQ2 2014","FQ2 2014","Currency=INR","Period=FQ","BEST_FPERIOD_OVERRIDE=FQ","FILING_STATUS=OR","EQY_CONSOLIDATED=Y","Sort=A","Dates=H","DateFormat=P","Fill=—","Direction=H","UseDPDF=Y")</f>
        <v>#NAME?</v>
      </c>
      <c r="AF455" s="2" t="e">
        <f ca="1">_xll.BDH($C$453,"ACCOUNTS_PAYABLE_GROWTH_1YR","FQ2 2014","FQ2 2014","Currency=INR","Period=FQ","BEST_FPERIOD_OVERRIDE=FQ","FILING_STATUS=OR","EQY_CONSOLIDATED=Y","Sort=A","Dates=H","DateFormat=P","Fill=—","Direction=H","UseDPDF=Y")</f>
        <v>#NAME?</v>
      </c>
      <c r="AG455" s="2" t="e">
        <f ca="1">_xll.BDH($C$453,"SHORT_TERM_DEBT_1_YEAR_GROWTH","FQ2 2014","FQ2 2014","Currency=INR","Period=FQ","BEST_FPERIOD_OVERRIDE=FQ","FILING_STATUS=OR","EQY_CONSOLIDATED=Y","Sort=A","Dates=H","DateFormat=P","Fill=—","Direction=H","UseDPDF=Y")</f>
        <v>#NAME?</v>
      </c>
      <c r="AH455" s="2" t="e">
        <f ca="1">_xll.BDH($C$453,"TOTAL_DEBT_1_YEAR_GROWTH","FQ2 2014","FQ2 2014","Currency=INR","Period=FQ","BEST_FPERIOD_OVERRIDE=FQ","FILING_STATUS=OR","EQY_CONSOLIDATED=Y","Sort=A","Dates=H","DateFormat=P","Fill=—","Direction=H","UseDPDF=Y")</f>
        <v>#NAME?</v>
      </c>
      <c r="AI455" s="2" t="e">
        <f ca="1">_xll.BDH($C$453,"TOTAL_EQUITY_1_YEAR_GROWTH","FQ2 2014","FQ2 2014","Currency=INR","Period=FQ","BEST_FPERIOD_OVERRIDE=FQ","FILING_STATUS=OR","EQY_CONSOLIDATED=Y","Sort=A","Dates=H","DateFormat=P","Fill=—","Direction=H","UseDPDF=Y")</f>
        <v>#NAME?</v>
      </c>
      <c r="AJ455" s="2" t="e">
        <f ca="1">_xll.BDH($C$453,"GROWTH_IN_CAP","FQ2 2014","FQ2 2014","Currency=INR","Period=FQ","BEST_FPERIOD_OVERRIDE=FQ","FILING_STATUS=OR","EQY_CONSOLIDATED=Y","Sort=A","Dates=H","DateFormat=P","Fill=—","Direction=H","UseDPDF=Y")</f>
        <v>#NAME?</v>
      </c>
      <c r="AK455" s="2" t="e">
        <f ca="1">_xll.BDH($C$453,"BVPS_GROWTH","FQ2 2014","FQ2 2014","Currency=INR","Period=FQ","BEST_FPERIOD_OVERRIDE=FQ","FILING_STATUS=OR","EQY_CONSOLIDATED=Y","Sort=A","Dates=H","DateFormat=P","Fill=—","Direction=H","UseDPDF=Y")</f>
        <v>#NAME?</v>
      </c>
      <c r="AL455" s="2" t="e">
        <f ca="1">_xll.BDH($C$453,"CASH_FLOW_GROWTH","FQ2 2014","FQ2 2014","Currency=INR","Period=FQ","BEST_FPERIOD_OVERRIDE=FQ","FILING_STATUS=OR","EQY_CONSOLIDATED=Y","Sort=A","Dates=H","DateFormat=P","Fill=—","Direction=H","UseDPDF=Y")</f>
        <v>#NAME?</v>
      </c>
      <c r="AM455" s="2" t="e">
        <f ca="1">_xll.BDH($C$453,"GEO_GROW_NET_SALES","FQ2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455" s="2" t="e">
        <f ca="1">_xll.BDH($C$453,"GEO_GROW_EBITDA","FQ2 2014","FQ2 2014","Currency=INR","Period=FQ","BEST_FPERIOD_OVERRIDE=FQ","FILING_STATUS=OR","EQY_CONSOLIDATED=Y","FA_ADJUSTED=GAAP","Sort=A","Dates=H","DateFormat=P","Fill=—","Direction=H","UseDPDF=Y")</f>
        <v>#NAME?</v>
      </c>
      <c r="AO455" s="2" t="e">
        <f ca="1">_xll.BDH($C$453,"GEO_GROW_OPER_INC","FQ2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455" s="2" t="e">
        <f ca="1">_xll.BDH($C$453,"NET_INCOME_TO_COMMON_5_YR_GROWTH","FQ2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455" s="2" t="e">
        <f ca="1">_xll.BDH($C$453,"5Y_GEO_GROWTH_DILUTED_EPS","FQ2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455" s="2" t="e">
        <f ca="1">_xll.BDH($C$453,"GEO_GROW_DVD_PER_SH","FQ2 2014","FQ2 2014","Currency=INR","Period=FQ","BEST_FPERIOD_OVERRIDE=FQ","FILING_STATUS=OR","EQY_CONSOLIDATED=Y","Sort=A","Dates=H","DateFormat=P","Fill=—","Direction=H","UseDPDF=Y")</f>
        <v>#NAME?</v>
      </c>
      <c r="AS455" s="2" t="e">
        <f ca="1">_xll.BDH($C$453,"ACCOUNTS_RECEIVABLE_5_YR_GROWTH","FQ2 2014","FQ2 2014","Currency=INR","Period=FQ","BEST_FPERIOD_OVERRIDE=FQ","FILING_STATUS=OR","EQY_CONSOLIDATED=Y","Sort=A","Dates=H","DateFormat=P","Fill=—","Direction=H","UseDPDF=Y")</f>
        <v>#NAME?</v>
      </c>
      <c r="AT455" s="2" t="e">
        <f ca="1">_xll.BDH($C$453,"INVENTORY_5_YEAR_GROWTH","FQ2 2014","FQ2 2014","Currency=INR","Period=FQ","BEST_FPERIOD_OVERRIDE=FQ","FILING_STATUS=OR","EQY_CONSOLIDATED=Y","Sort=A","Dates=H","DateFormat=P","Fill=—","Direction=H","UseDPDF=Y")</f>
        <v>#NAME?</v>
      </c>
      <c r="AU455" s="2" t="e">
        <f ca="1">_xll.BDH($C$453,"NET_FIXED_ASSETS_5_YEAR_GROWTH","FQ2 2014","FQ2 2014","Currency=INR","Period=FQ","BEST_FPERIOD_OVERRIDE=FQ","FILING_STATUS=OR","EQY_CONSOLIDATED=Y","Sort=A","Dates=H","DateFormat=P","Fill=—","Direction=H","UseDPDF=Y")</f>
        <v>#NAME?</v>
      </c>
      <c r="AV455" s="2" t="e">
        <f ca="1">_xll.BDH($C$453,"GEO_GROW_TOT_ASSET","FQ2 2014","FQ2 2014","Currency=INR","Period=FQ","BEST_FPERIOD_OVERRIDE=FQ","FILING_STATUS=OR","EQY_CONSOLIDATED=Y","Sort=A","Dates=H","DateFormat=P","Fill=—","Direction=H","UseDPDF=Y")</f>
        <v>#NAME?</v>
      </c>
      <c r="AW455" s="2" t="e">
        <f ca="1">_xll.BDH($C$453,"MODIFIED_WORKING_CPTL_5YR_GRWTH","FQ2 2014","FQ2 2014","Currency=INR","Period=FQ","BEST_FPERIOD_OVERRIDE=FQ","FILING_STATUS=OR","EQY_CONSOLIDATED=Y","Sort=A","Dates=H","DateFormat=P","Fill=—","Direction=H","UseDPDF=Y")</f>
        <v>#NAME?</v>
      </c>
      <c r="AX455" s="2" t="e">
        <f ca="1">_xll.BDH($C$453,"WORKING_CAPITAL_5_YEAR_GROWTH","FQ2 2014","FQ2 2014","Currency=INR","Period=FQ","BEST_FPERIOD_OVERRIDE=FQ","FILING_STATUS=OR","EQY_CONSOLIDATED=Y","Sort=A","Dates=H","DateFormat=P","Fill=—","Direction=H","UseDPDF=Y")</f>
        <v>#NAME?</v>
      </c>
      <c r="AY455" s="2" t="e">
        <f ca="1">_xll.BDH($C$453,"ACCOUNTS_PAYABLE_5_YEAR_GROWTH","FQ2 2014","FQ2 2014","Currency=INR","Period=FQ","BEST_FPERIOD_OVERRIDE=FQ","FILING_STATUS=OR","EQY_CONSOLIDATED=Y","Sort=A","Dates=H","DateFormat=P","Fill=—","Direction=H","UseDPDF=Y")</f>
        <v>#NAME?</v>
      </c>
      <c r="AZ455" s="2" t="e">
        <f ca="1">_xll.BDH($C$453,"SHORT_TERM_DEBT_5_YEAR_GROWTH","FQ2 2014","FQ2 2014","Currency=INR","Period=FQ","BEST_FPERIOD_OVERRIDE=FQ","FILING_STATUS=OR","EQY_CONSOLIDATED=Y","Sort=A","Dates=H","DateFormat=P","Fill=—","Direction=H","UseDPDF=Y")</f>
        <v>#NAME?</v>
      </c>
      <c r="BA455" s="2" t="e">
        <f ca="1">_xll.BDH($C$453,"TOTAL_DEBT_5_YEAR_GROWTH","FQ2 2014","FQ2 2014","Currency=INR","Period=FQ","BEST_FPERIOD_OVERRIDE=FQ","FILING_STATUS=OR","EQY_CONSOLIDATED=Y","Sort=A","Dates=H","DateFormat=P","Fill=—","Direction=H","UseDPDF=Y")</f>
        <v>#NAME?</v>
      </c>
      <c r="BB455" s="2" t="e">
        <f ca="1">_xll.BDH($C$453,"GEO_GROW_TOT_SHRHLDR_EQY","FQ2 2014","FQ2 2014","Currency=INR","Period=FQ","BEST_FPERIOD_OVERRIDE=FQ","FILING_STATUS=OR","EQY_CONSOLIDATED=Y","Sort=A","Dates=H","DateFormat=P","Fill=—","Direction=H","UseDPDF=Y")</f>
        <v>#NAME?</v>
      </c>
      <c r="BC455" s="2" t="e">
        <f ca="1">_xll.BDH($C$453,"TOTAL_CAPITAL_5_YEAR_GROWTH","FQ2 2014","FQ2 2014","Currency=INR","Period=FQ","BEST_FPERIOD_OVERRIDE=FQ","FILING_STATUS=OR","EQY_CONSOLIDATED=Y","Sort=A","Dates=H","DateFormat=P","Fill=—","Direction=H","UseDPDF=Y")</f>
        <v>#NAME?</v>
      </c>
      <c r="BD455" s="2" t="e">
        <f ca="1">_xll.BDH($C$453,"GEO_GROW_BOOK_VAL","FQ2 2014","FQ2 2014","Currency=INR","Period=FQ","BEST_FPERIOD_OVERRIDE=FQ","FILING_STATUS=OR","EQY_CONSOLIDATED=Y","Sort=A","Dates=H","DateFormat=P","Fill=—","Direction=H","UseDPDF=Y")</f>
        <v>#NAME?</v>
      </c>
      <c r="BE455" s="2" t="e">
        <f ca="1">_xll.BDH($C$453,"GEO_GROW_CASH_OPER_ACT","FQ2 2014","FQ2 2014","Currency=INR","Period=FQ","BEST_FPERIOD_OVERRIDE=FQ","FILING_STATUS=OR","EQY_CONSOLIDATED=Y","Sort=A","Dates=H","DateFormat=P","Fill=—","Direction=H","UseDPDF=Y")</f>
        <v>#NAME?</v>
      </c>
      <c r="BF455" s="2" t="e">
        <f ca="1">_xll.BDH($C$453,"REVENUE_SEQUENTIAL_GROWTH","FQ2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455" s="2" t="e">
        <f ca="1">_xll.BDH($C$453,"EBITDA_SEQUENTIAL_GROWTH","FQ2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455" s="2" t="e">
        <f ca="1">_xll.BDH($C$453,"OPERATING_INCOME_SEQ_GROWTH","FQ2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455" s="2" t="e">
        <f ca="1">_xll.BDH($C$453,"NET_INCOME_TO_COMMON_SEQ_GROWTH","FQ2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455" s="2" t="e">
        <f ca="1">_xll.BDH($C$453,"EPS_DILUTED_SEQUENTIAL_GROWTH","FQ2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455" s="2" t="e">
        <f ca="1">_xll.BDH($C$453,"DPS_SEQUENTIAL_GROWTH","FQ2 2014","FQ2 2014","Currency=INR","Period=FQ","BEST_FPERIOD_OVERRIDE=FQ","FILING_STATUS=OR","EQY_CONSOLIDATED=Y","Sort=A","Dates=H","DateFormat=P","Fill=—","Direction=H","UseDPDF=Y")</f>
        <v>#NAME?</v>
      </c>
      <c r="BL455" s="2" t="e">
        <f ca="1">_xll.BDH($C$453,"ACCOUNTS_RECEIVABLE_SEQ_GROWTH","FQ2 2014","FQ2 2014","Currency=INR","Period=FQ","BEST_FPERIOD_OVERRIDE=FQ","FILING_STATUS=OR","EQY_CONSOLIDATED=Y","Sort=A","Dates=H","DateFormat=P","Fill=—","Direction=H","UseDPDF=Y")</f>
        <v>#NAME?</v>
      </c>
      <c r="BM455" s="2" t="e">
        <f ca="1">_xll.BDH($C$453,"INVENTORY_SEQUENTIAL_GROWTH","FQ2 2014","FQ2 2014","Currency=INR","Period=FQ","BEST_FPERIOD_OVERRIDE=FQ","FILING_STATUS=OR","EQY_CONSOLIDATED=Y","Sort=A","Dates=H","DateFormat=P","Fill=—","Direction=H","UseDPDF=Y")</f>
        <v>#NAME?</v>
      </c>
      <c r="BN455" s="2" t="e">
        <f ca="1">_xll.BDH($C$453,"FIXED_ASSETS_SEQUENTIAL_GROWTH","FQ2 2014","FQ2 2014","Currency=INR","Period=FQ","BEST_FPERIOD_OVERRIDE=FQ","FILING_STATUS=OR","EQY_CONSOLIDATED=Y","Sort=A","Dates=H","DateFormat=P","Fill=—","Direction=H","UseDPDF=Y")</f>
        <v>#NAME?</v>
      </c>
      <c r="BO455" s="2" t="e">
        <f ca="1">_xll.BDH($C$453,"TOTAL_ASSETS_SEQUENTIAL_GROWTH","FQ2 2014","FQ2 2014","Currency=INR","Period=FQ","BEST_FPERIOD_OVERRIDE=FQ","FILING_STATUS=OR","EQY_CONSOLIDATED=Y","Sort=A","Dates=H","DateFormat=P","Fill=—","Direction=H","UseDPDF=Y")</f>
        <v>#NAME?</v>
      </c>
      <c r="BP455" s="2" t="e">
        <f ca="1">_xll.BDH($C$453,"MODIFIED_WORKING_CPTL_SEQ_GRWTH","FQ2 2014","FQ2 2014","Currency=INR","Period=FQ","BEST_FPERIOD_OVERRIDE=FQ","FILING_STATUS=OR","EQY_CONSOLIDATED=Y","Sort=A","Dates=H","DateFormat=P","Fill=—","Direction=H","UseDPDF=Y")</f>
        <v>#NAME?</v>
      </c>
      <c r="BQ455" s="2" t="e">
        <f ca="1">_xll.BDH($C$453,"WORKING_CAPITAL_SEQ_GROWTH","FQ2 2014","FQ2 2014","Currency=INR","Period=FQ","BEST_FPERIOD_OVERRIDE=FQ","FILING_STATUS=OR","EQY_CONSOLIDATED=Y","Sort=A","Dates=H","DateFormat=P","Fill=—","Direction=H","UseDPDF=Y")</f>
        <v>#NAME?</v>
      </c>
      <c r="BR455" s="2" t="e">
        <f ca="1">_xll.BDH($C$453,"ACCOUNTS_PAYABLE_SEQ_GROWTH","FQ2 2014","FQ2 2014","Currency=INR","Period=FQ","BEST_FPERIOD_OVERRIDE=FQ","FILING_STATUS=OR","EQY_CONSOLIDATED=Y","Sort=A","Dates=H","DateFormat=P","Fill=—","Direction=H","UseDPDF=Y")</f>
        <v>#NAME?</v>
      </c>
      <c r="BS455" s="2" t="e">
        <f ca="1">_xll.BDH($C$453,"ST_DEBT_SEQUENTIAL_GROWTH","FQ2 2014","FQ2 2014","Currency=INR","Period=FQ","BEST_FPERIOD_OVERRIDE=FQ","FILING_STATUS=OR","EQY_CONSOLIDATED=Y","Sort=A","Dates=H","DateFormat=P","Fill=—","Direction=H","UseDPDF=Y")</f>
        <v>#NAME?</v>
      </c>
      <c r="BT455" s="2" t="e">
        <f ca="1">_xll.BDH($C$453,"TOTAL_DEBT_SEQUENTIAL_GROWTH","FQ2 2014","FQ2 2014","Currency=INR","Period=FQ","BEST_FPERIOD_OVERRIDE=FQ","FILING_STATUS=OR","EQY_CONSOLIDATED=Y","Sort=A","Dates=H","DateFormat=P","Fill=—","Direction=H","UseDPDF=Y")</f>
        <v>#NAME?</v>
      </c>
      <c r="BU455" s="2" t="e">
        <f ca="1">_xll.BDH($C$453,"TOTAL_EQUITY_SEQUENTIAL_GROWTH","FQ2 2014","FQ2 2014","Currency=INR","Period=FQ","BEST_FPERIOD_OVERRIDE=FQ","FILING_STATUS=OR","EQY_CONSOLIDATED=Y","Sort=A","Dates=H","DateFormat=P","Fill=—","Direction=H","UseDPDF=Y")</f>
        <v>#NAME?</v>
      </c>
      <c r="BV455" s="2" t="e">
        <f ca="1">_xll.BDH($C$453,"TOTAL_CAPITAL_SEQUENTIAL_GROWTH","FQ2 2014","FQ2 2014","Currency=INR","Period=FQ","BEST_FPERIOD_OVERRIDE=FQ","FILING_STATUS=OR","EQY_CONSOLIDATED=Y","Sort=A","Dates=H","DateFormat=P","Fill=—","Direction=H","UseDPDF=Y")</f>
        <v>#NAME?</v>
      </c>
      <c r="BW455" s="2" t="e">
        <f ca="1">_xll.BDH($C$453,"BPS_SEQUENTIAL_GROWTH","FQ2 2014","FQ2 2014","Currency=INR","Period=FQ","BEST_FPERIOD_OVERRIDE=FQ","FILING_STATUS=OR","EQY_CONSOLIDATED=Y","Sort=A","Dates=H","DateFormat=P","Fill=—","Direction=H","UseDPDF=Y")</f>
        <v>#NAME?</v>
      </c>
      <c r="BX455" s="2" t="e">
        <f ca="1">_xll.BDH($C$453,"CFO_SEQUENTIAL_GROWTH","FQ2 2014","FQ2 2014","Currency=INR","Period=FQ","BEST_FPERIOD_OVERRIDE=FQ","FILING_STATUS=OR","EQY_CONSOLIDATED=Y","Sort=A","Dates=H","DateFormat=P","Fill=—","Direction=H","UseDPDF=Y")</f>
        <v>#NAME?</v>
      </c>
      <c r="BY455" s="3" t="e">
        <f ca="1">_xll.BDH($C$453,"SHORT_AND_LONG_TERM_DEBT","FQ2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455" s="3" t="e">
        <f ca="1">_xll.BDH($C$453,"BS_ST_BORROW","FQ2 2014","FQ2 2014","Currency=INR","Period=FQ","BEST_FPERIOD_OVERRIDE=FQ","FILING_STATUS=OR","EQY_CONSOLIDATED=Y","SCALING_FORMAT=MLN","Sort=A","Dates=H","DateFormat=P","Fill=—","Direction=H","UseDPDF=Y")</f>
        <v>#NAME?</v>
      </c>
      <c r="CA455" s="3" t="e">
        <f ca="1">_xll.BDH($C$453,"BS_LT_BORROW","FQ2 2014","FQ2 2014","Currency=INR","Period=FQ","BEST_FPERIOD_OVERRIDE=FQ","FILING_STATUS=OR","EQY_CONSOLIDATED=Y","SCALING_FORMAT=MLN","Sort=A","Dates=H","DateFormat=P","Fill=—","Direction=H","UseDPDF=Y")</f>
        <v>#NAME?</v>
      </c>
      <c r="CB455" s="2" t="e">
        <f ca="1">_xll.BDH($C$453,"TOT_DEBT_TO_EBITDA","FQ2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455" s="2" t="e">
        <f ca="1">_xll.BDH($C$453,"NET_DEBT_TO_EBITDA","FQ2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455" s="2" t="e">
        <f ca="1">_xll.BDH($C$453,"TOTAL_DEBT_TO_EBIT","FQ2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455" s="2" t="e">
        <f ca="1">_xll.BDH($C$453,"NET_DEBT_TO_EBIT","FQ2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455" s="2" t="e">
        <f ca="1">_xll.BDH($C$453,"EBITDA_TO_INTEREST_EXPN","FQ2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455" s="2" t="e">
        <f ca="1">_xll.BDH($C$453,"COM_EQY_TO_TOT_ASSET","FQ2 2014","FQ2 2014","Currency=INR","Period=FQ","BEST_FPERIOD_OVERRIDE=FQ","FILING_STATUS=OR","EQY_CONSOLIDATED=Y","Sort=A","Dates=H","DateFormat=P","Fill=—","Direction=H","UseDPDF=Y")</f>
        <v>#NAME?</v>
      </c>
      <c r="CH455" s="2" t="e">
        <f ca="1">_xll.BDH($C$453,"LT_DEBT_TO_TOT_EQY","FQ2 2014","FQ2 2014","Currency=INR","Period=FQ","BEST_FPERIOD_OVERRIDE=FQ","FILING_STATUS=OR","EQY_CONSOLIDATED=Y","Sort=A","Dates=H","DateFormat=P","Fill=—","Direction=H","UseDPDF=Y")</f>
        <v>#NAME?</v>
      </c>
      <c r="CI455" s="2" t="e">
        <f ca="1">_xll.BDH($C$453,"LT_DEBT_TO_TOT_CAP","FQ2 2014","FQ2 2014","Currency=INR","Period=FQ","BEST_FPERIOD_OVERRIDE=FQ","FILING_STATUS=OR","EQY_CONSOLIDATED=Y","Sort=A","Dates=H","DateFormat=P","Fill=—","Direction=H","UseDPDF=Y")</f>
        <v>#NAME?</v>
      </c>
      <c r="CJ455" s="2" t="e">
        <f ca="1">_xll.BDH($C$453,"LT_DEBT_TO_TOT_ASSET","FQ2 2014","FQ2 2014","Currency=INR","Period=FQ","BEST_FPERIOD_OVERRIDE=FQ","FILING_STATUS=OR","EQY_CONSOLIDATED=Y","Sort=A","Dates=H","DateFormat=P","Fill=—","Direction=H","UseDPDF=Y")</f>
        <v>#NAME?</v>
      </c>
      <c r="CK455" s="2" t="e">
        <f ca="1">_xll.BDH($C$453,"TOT_DEBT_TO_TOT_EQY","FQ2 2014","FQ2 2014","Currency=INR","Period=FQ","BEST_FPERIOD_OVERRIDE=FQ","FILING_STATUS=OR","EQY_CONSOLIDATED=Y","Sort=A","Dates=H","DateFormat=P","Fill=—","Direction=H","UseDPDF=Y")</f>
        <v>#NAME?</v>
      </c>
      <c r="CL455" s="2" t="e">
        <f ca="1">_xll.BDH($C$453,"TOT_DEBT_TO_TOT_CAP","FQ2 2014","FQ2 2014","Currency=INR","Period=FQ","BEST_FPERIOD_OVERRIDE=FQ","FILING_STATUS=OR","EQY_CONSOLIDATED=Y","Sort=A","Dates=H","DateFormat=P","Fill=—","Direction=H","UseDPDF=Y")</f>
        <v>#NAME?</v>
      </c>
      <c r="CM455" s="2" t="e">
        <f ca="1">_xll.BDH($C$453,"TOT_DEBT_TO_TOT_ASSET","FQ2 2014","FQ2 2014","Currency=INR","Period=FQ","BEST_FPERIOD_OVERRIDE=FQ","FILING_STATUS=OR","EQY_CONSOLIDATED=Y","Sort=A","Dates=H","DateFormat=P","Fill=—","Direction=H","UseDPDF=Y")</f>
        <v>#NAME?</v>
      </c>
      <c r="CN455" s="2" t="e">
        <f ca="1">_xll.BDH($C$453,"NET_DEBT_TO_SHRHLDR_EQTY","FQ2 2014","FQ2 2014","Currency=INR","Period=FQ","BEST_FPERIOD_OVERRIDE=FQ","FILING_STATUS=OR","EQY_CONSOLIDATED=Y","Sort=A","Dates=H","DateFormat=P","Fill=—","Direction=H","UseDPDF=Y")</f>
        <v>#NAME?</v>
      </c>
      <c r="CO455" s="2" t="e">
        <f ca="1">_xll.BDH($C$453,"NET_DEBT_%_CAPITAL","FQ2 2014","FQ2 2014","Currency=INR","Period=FQ","BEST_FPERIOD_OVERRIDE=FQ","FILING_STATUS=OR","EQY_CONSOLIDATED=Y","Sort=A","Dates=H","DateFormat=P","Fill=—","Direction=H","UseDPDF=Y")</f>
        <v>#NAME?</v>
      </c>
      <c r="CP455" s="3" t="e">
        <f ca="1">_xll.BDH($C$453,"EBITDA","FQ2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455" s="3" t="e">
        <f ca="1">_xll.BDH($C$453,"EBITDA_AFTER_CAPEX","FQ2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455" s="3" t="e">
        <f ca="1">_xll.BDH($C$453,"IS_OPER_INC","FQ2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455" s="2" t="e">
        <f ca="1">_xll.BDH($C$453,"CASH_RATIO","FQ2 2014","FQ2 2014","Currency=INR","Period=FQ","BEST_FPERIOD_OVERRIDE=FQ","FILING_STATUS=OR","EQY_CONSOLIDATED=Y","Sort=A","Dates=H","DateFormat=P","Fill=—","Direction=H","UseDPDF=Y")</f>
        <v>#NAME?</v>
      </c>
      <c r="CT455" s="2" t="e">
        <f ca="1">_xll.BDH($C$453,"CUR_RATIO","FQ2 2014","FQ2 2014","Currency=INR","Period=FQ","BEST_FPERIOD_OVERRIDE=FQ","FILING_STATUS=OR","EQY_CONSOLIDATED=Y","Sort=A","Dates=H","DateFormat=P","Fill=—","Direction=H","UseDPDF=Y")</f>
        <v>#NAME?</v>
      </c>
      <c r="CU455" s="2" t="e">
        <f ca="1">_xll.BDH($C$453,"QUICK_RATIO","FQ2 2014","FQ2 2014","Currency=INR","Period=FQ","BEST_FPERIOD_OVERRIDE=FQ","FILING_STATUS=OR","EQY_CONSOLIDATED=Y","Sort=A","Dates=H","DateFormat=P","Fill=—","Direction=H","UseDPDF=Y")</f>
        <v>#NAME?</v>
      </c>
      <c r="CV455" s="2" t="e">
        <f ca="1">_xll.BDH($C$453,"ALTMAN_Z_SCORE","FQ2 2014","FQ2 2014","Currency=INR","Period=FQ","BEST_FPERIOD_OVERRIDE=FQ","FILING_STATUS=OR","EQY_CONSOLIDATED=Y","Sort=A","Dates=H","DateFormat=P","Fill=—","Direction=H","UseDPDF=Y")</f>
        <v>#NAME?</v>
      </c>
      <c r="CW455" s="4" t="e">
        <f ca="1">_xll.BDH($C$453,"ACCT_RCV_TURN","FQ2 2014","FQ2 2014","Currency=INR","Period=FQ","BEST_FPERIOD_OVERRIDE=FQ","FILING_STATUS=OR","EQY_CONSOLIDATED=Y","FA_ADJUSTED=GAAP","Sort=A","Dates=H","DateFormat=P","Fill=—","Direction=H","UseDPDF=Y")</f>
        <v>#NAME?</v>
      </c>
      <c r="CX455" s="2" t="e">
        <f ca="1">_xll.BDH($C$453,"ACCT_RCV_DAYS","FQ2 2014","FQ2 2014","Currency=INR","Period=FQ","BEST_FPERIOD_OVERRIDE=FQ","FILING_STATUS=OR","EQY_CONSOLIDATED=Y","FA_ADJUSTED=GAAP","Sort=A","Dates=H","DateFormat=P","Fill=—","Direction=H","UseDPDF=Y")</f>
        <v>#NAME?</v>
      </c>
      <c r="CY455" s="4" t="e">
        <f ca="1">_xll.BDH($C$453,"INVENT_TURN","FQ2 2014","FQ2 2014","Currency=INR","Period=FQ","BEST_FPERIOD_OVERRIDE=FQ","FILING_STATUS=OR","EQY_CONSOLIDATED=Y","FA_ADJUSTED=GAAP","Sort=A","Dates=H","DateFormat=P","Fill=—","Direction=H","UseDPDF=Y")</f>
        <v>#NAME?</v>
      </c>
      <c r="CZ455" s="2" t="e">
        <f ca="1">_xll.BDH($C$453,"INVENT_DAYS","FQ2 2014","FQ2 2014","Currency=INR","Period=FQ","BEST_FPERIOD_OVERRIDE=FQ","FILING_STATUS=OR","EQY_CONSOLIDATED=Y","FA_ADJUSTED=GAAP","Sort=A","Dates=H","DateFormat=P","Fill=—","Direction=H","UseDPDF=Y")</f>
        <v>#NAME?</v>
      </c>
      <c r="DA455" s="4" t="e">
        <f ca="1">_xll.BDH($C$453,"ACCOUNTS_PAYABLE_TURNOVER","FQ2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455" s="2" t="e">
        <f ca="1">_xll.BDH($C$453,"ACCOUNTS_PAYABLE_TURNOVER_DAYS","FQ2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455" s="4" t="e">
        <f ca="1">_xll.BDH($C$453,"CASH_CONVERSION_CYCLE","FQ2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455" s="4" t="e">
        <f ca="1">_xll.BDH($C$453,"INV_TO_CASH_DAYS","FQ2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455" s="5" t="e">
        <f ca="1">_xll.BDH($C$453,"BS_INVENTORIES","FQ2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455" s="3" t="e">
        <f ca="1">_xll.BDH($C$453,"INVTRY_RAW_MATERIALS","FQ2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455" s="3" t="e">
        <f ca="1">_xll.BDH($C$453,"INVTRY_IN_PROGRESS","FQ2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455" s="3" t="e">
        <f ca="1">_xll.BDH($C$453,"INVTRY_FINISHED_GOODS","FQ2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455" s="3" t="e">
        <f ca="1">_xll.BDH($C$453,"BS_OTHER_INV","FQ2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456" spans="1:113" x14ac:dyDescent="0.3">
      <c r="A456" s="6"/>
      <c r="B456" s="6"/>
      <c r="C456" s="6"/>
      <c r="D456" s="6"/>
      <c r="E456" t="s">
        <v>80</v>
      </c>
      <c r="F456" t="e">
        <f ca="1">_xll.BDH($C$453,"RETURN_COM_EQY","FQ3 2014","FQ3 2014","Currency=INR","Period=FQ","BEST_FPERIOD_OVERRIDE=FQ","FILING_STATUS=OR","EQY_CONSOLIDATED=Y","FA_ADJUSTED=GAAP","Sort=A","Dates=H","DateFormat=P","Fill=—","Direction=H","UseDPDF=Y")</f>
        <v>#NAME?</v>
      </c>
      <c r="G456" t="e">
        <f ca="1">_xll.BDH($C$453,"RETURN_ON_ASSET","FQ3 2014","FQ3 2014","Currency=INR","Period=FQ","BEST_FPERIOD_OVERRIDE=FQ","FILING_STATUS=OR","EQY_CONSOLIDATED=Y","FA_ADJUSTED=GAAP","Sort=A","Dates=H","DateFormat=P","Fill=—","Direction=H","UseDPDF=Y")</f>
        <v>#NAME?</v>
      </c>
      <c r="H456" t="e">
        <f ca="1">_xll.BDH($C$453,"RETURN_ON_CAP","FQ3 2014","FQ3 2014","Currency=INR","Period=FQ","BEST_FPERIOD_OVERRIDE=FQ","FILING_STATUS=OR","EQY_CONSOLIDATED=Y","FA_ADJUSTED=GAAP","Sort=A","Dates=H","DateFormat=P","Fill=—","Direction=H","UseDPDF=Y")</f>
        <v>#NAME?</v>
      </c>
      <c r="I456" t="e">
        <f ca="1">_xll.BDH($C$453,"RETURN_ON_INV_CAPITAL","FQ3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456" t="e">
        <f ca="1">_xll.BDH($C$453,"EBITDA_TO_REVENUE","FQ3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456" t="e">
        <f ca="1">_xll.BDH($C$453,"OPER_MARGIN","FQ3 2014","FQ3 2014","Currency=INR","Period=FQ","BEST_FPERIOD_OVERRIDE=FQ","FILING_STATUS=OR","EQY_CONSOLIDATED=Y","FA_ADJUSTED=GAAP","Sort=A","Dates=H","DateFormat=P","Fill=—","Direction=H","UseDPDF=Y")</f>
        <v>#NAME?</v>
      </c>
      <c r="L456" t="e">
        <f ca="1">_xll.BDH($C$453,"INCREMENTAL_OPERATING_MARGIN","FQ3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456" t="e">
        <f ca="1">_xll.BDH($C$453,"PRETAX_INC_TO_NET_SALES","FQ3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456" t="e">
        <f ca="1">_xll.BDH($C$453,"INC_BEF_XO_ITEMS_TO_NET_SALES","FQ3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456" t="e">
        <f ca="1">_xll.BDH($C$453,"PROF_MARGIN","FQ3 2014","FQ3 2014","Currency=INR","Period=FQ","BEST_FPERIOD_OVERRIDE=FQ","FILING_STATUS=OR","EQY_CONSOLIDATED=Y","FA_ADJUSTED=GAAP","Sort=A","Dates=H","DateFormat=P","Fill=—","Direction=H","UseDPDF=Y")</f>
        <v>#NAME?</v>
      </c>
      <c r="P456" t="e">
        <f ca="1">_xll.BDH($C$453,"NET_INCOME_TO_COMMON_MARGIN","FQ3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456" t="e">
        <f ca="1">_xll.BDH($C$453,"EFF_TAX_RATE","FQ3 2014","FQ3 2014","Currency=INR","Period=FQ","BEST_FPERIOD_OVERRIDE=FQ","FILING_STATUS=OR","EQY_CONSOLIDATED=Y","FA_ADJUSTED=GAAP","Sort=A","Dates=H","DateFormat=P","Fill=—","Direction=H","UseDPDF=Y")</f>
        <v>#NAME?</v>
      </c>
      <c r="R456" t="e">
        <f ca="1">_xll.BDH($C$453,"DVD_PAYOUT_RATIO","FQ3 2014","FQ3 2014","Currency=INR","Period=FQ","BEST_FPERIOD_OVERRIDE=FQ","FILING_STATUS=OR","EQY_CONSOLIDATED=Y","FA_ADJUSTED=GAAP","Sort=A","Dates=H","DateFormat=P","Fill=—","Direction=H","UseDPDF=Y")</f>
        <v>#NAME?</v>
      </c>
      <c r="S456" t="e">
        <f ca="1">_xll.BDH($C$453,"SUSTAIN_GROWTH_RT","FQ3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456" s="2" t="e">
        <f ca="1">_xll.BDH($C$453,"SALES_GROWTH","FQ3 2014","FQ3 2014","Currency=INR","Period=FQ","BEST_FPERIOD_OVERRIDE=FQ","FILING_STATUS=OR","EQY_CONSOLIDATED=Y","FA_ADJUSTED=GAAP","Sort=A","Dates=H","DateFormat=P","Fill=—","Direction=H","UseDPDF=Y")</f>
        <v>#NAME?</v>
      </c>
      <c r="U456" s="2" t="e">
        <f ca="1">_xll.BDH($C$453,"EBITDA_GROWTH","FQ3 2014","FQ3 2014","Currency=INR","Period=FQ","BEST_FPERIOD_OVERRIDE=FQ","FILING_STATUS=OR","EQY_CONSOLIDATED=Y","FA_ADJUSTED=GAAP","Sort=A","Dates=H","DateFormat=P","Fill=—","Direction=H","UseDPDF=Y")</f>
        <v>#NAME?</v>
      </c>
      <c r="V456" s="2" t="e">
        <f ca="1">_xll.BDH($C$453,"OPER_INC_GROWTH","FQ3 2014","FQ3 2014","Currency=INR","Period=FQ","BEST_FPERIOD_OVERRIDE=FQ","FILING_STATUS=OR","EQY_CONSOLIDATED=Y","FA_ADJUSTED=GAAP","Sort=A","Dates=H","DateFormat=P","Fill=—","Direction=H","UseDPDF=Y")</f>
        <v>#NAME?</v>
      </c>
      <c r="W456" s="2" t="e">
        <f ca="1">_xll.BDH($C$453,"EARN_FOR_COM_GROWTH","FQ3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456" s="2" t="e">
        <f ca="1">_xll.BDH($C$453,"DILUTED_EPS_AFT_XO_ITEMS_GROWTH","FQ3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456" s="2" t="e">
        <f ca="1">_xll.BDH($C$453,"DIVIDEND_PER_SHARE_1_YEAR_GROWTH","FQ3 2014","FQ3 2014","Currency=INR","Period=FQ","BEST_FPERIOD_OVERRIDE=FQ","FILING_STATUS=OR","EQY_CONSOLIDATED=Y","Sort=A","Dates=H","DateFormat=P","Fill=—","Direction=H","UseDPDF=Y")</f>
        <v>#NAME?</v>
      </c>
      <c r="Z456" s="2" t="e">
        <f ca="1">_xll.BDH($C$453,"ACCOUNTS_RECEIVABLE_GROWTH","FQ3 2014","FQ3 2014","Currency=INR","Period=FQ","BEST_FPERIOD_OVERRIDE=FQ","FILING_STATUS=OR","EQY_CONSOLIDATED=Y","Sort=A","Dates=H","DateFormat=P","Fill=—","Direction=H","UseDPDF=Y")</f>
        <v>#NAME?</v>
      </c>
      <c r="AA456" s="2" t="e">
        <f ca="1">_xll.BDH($C$453,"INVENTORY_GROWTH","FQ3 2014","FQ3 2014","Currency=INR","Period=FQ","BEST_FPERIOD_OVERRIDE=FQ","FILING_STATUS=OR","EQY_CONSOLIDATED=Y","Sort=A","Dates=H","DateFormat=P","Fill=—","Direction=H","UseDPDF=Y")</f>
        <v>#NAME?</v>
      </c>
      <c r="AB456" s="2" t="e">
        <f ca="1">_xll.BDH($C$453,"NET_FIXED_ASSETS_1_YEAR_GROWTH","FQ3 2014","FQ3 2014","Currency=INR","Period=FQ","BEST_FPERIOD_OVERRIDE=FQ","FILING_STATUS=OR","EQY_CONSOLIDATED=Y","Sort=A","Dates=H","DateFormat=P","Fill=—","Direction=H","UseDPDF=Y")</f>
        <v>#NAME?</v>
      </c>
      <c r="AC456" s="2" t="e">
        <f ca="1">_xll.BDH($C$453,"ASSET_GROWTH","FQ3 2014","FQ3 2014","Currency=INR","Period=FQ","BEST_FPERIOD_OVERRIDE=FQ","FILING_STATUS=OR","EQY_CONSOLIDATED=Y","Sort=A","Dates=H","DateFormat=P","Fill=—","Direction=H","UseDPDF=Y")</f>
        <v>#NAME?</v>
      </c>
      <c r="AD456" s="2" t="e">
        <f ca="1">_xll.BDH($C$453,"MODIFIED_WORK_CAP_GROWTH","FQ3 2014","FQ3 2014","Currency=INR","Period=FQ","BEST_FPERIOD_OVERRIDE=FQ","FILING_STATUS=OR","EQY_CONSOLIDATED=Y","Sort=A","Dates=H","DateFormat=P","Fill=—","Direction=H","UseDPDF=Y")</f>
        <v>#NAME?</v>
      </c>
      <c r="AE456" s="2" t="e">
        <f ca="1">_xll.BDH($C$453,"WORK_CAP_GROWTH","FQ3 2014","FQ3 2014","Currency=INR","Period=FQ","BEST_FPERIOD_OVERRIDE=FQ","FILING_STATUS=OR","EQY_CONSOLIDATED=Y","Sort=A","Dates=H","DateFormat=P","Fill=—","Direction=H","UseDPDF=Y")</f>
        <v>#NAME?</v>
      </c>
      <c r="AF456" s="2" t="e">
        <f ca="1">_xll.BDH($C$453,"ACCOUNTS_PAYABLE_GROWTH_1YR","FQ3 2014","FQ3 2014","Currency=INR","Period=FQ","BEST_FPERIOD_OVERRIDE=FQ","FILING_STATUS=OR","EQY_CONSOLIDATED=Y","Sort=A","Dates=H","DateFormat=P","Fill=—","Direction=H","UseDPDF=Y")</f>
        <v>#NAME?</v>
      </c>
      <c r="AG456" s="2" t="e">
        <f ca="1">_xll.BDH($C$453,"SHORT_TERM_DEBT_1_YEAR_GROWTH","FQ3 2014","FQ3 2014","Currency=INR","Period=FQ","BEST_FPERIOD_OVERRIDE=FQ","FILING_STATUS=OR","EQY_CONSOLIDATED=Y","Sort=A","Dates=H","DateFormat=P","Fill=—","Direction=H","UseDPDF=Y")</f>
        <v>#NAME?</v>
      </c>
      <c r="AH456" s="2" t="e">
        <f ca="1">_xll.BDH($C$453,"TOTAL_DEBT_1_YEAR_GROWTH","FQ3 2014","FQ3 2014","Currency=INR","Period=FQ","BEST_FPERIOD_OVERRIDE=FQ","FILING_STATUS=OR","EQY_CONSOLIDATED=Y","Sort=A","Dates=H","DateFormat=P","Fill=—","Direction=H","UseDPDF=Y")</f>
        <v>#NAME?</v>
      </c>
      <c r="AI456" s="2" t="e">
        <f ca="1">_xll.BDH($C$453,"TOTAL_EQUITY_1_YEAR_GROWTH","FQ3 2014","FQ3 2014","Currency=INR","Period=FQ","BEST_FPERIOD_OVERRIDE=FQ","FILING_STATUS=OR","EQY_CONSOLIDATED=Y","Sort=A","Dates=H","DateFormat=P","Fill=—","Direction=H","UseDPDF=Y")</f>
        <v>#NAME?</v>
      </c>
      <c r="AJ456" s="2" t="e">
        <f ca="1">_xll.BDH($C$453,"GROWTH_IN_CAP","FQ3 2014","FQ3 2014","Currency=INR","Period=FQ","BEST_FPERIOD_OVERRIDE=FQ","FILING_STATUS=OR","EQY_CONSOLIDATED=Y","Sort=A","Dates=H","DateFormat=P","Fill=—","Direction=H","UseDPDF=Y")</f>
        <v>#NAME?</v>
      </c>
      <c r="AK456" s="2" t="e">
        <f ca="1">_xll.BDH($C$453,"BVPS_GROWTH","FQ3 2014","FQ3 2014","Currency=INR","Period=FQ","BEST_FPERIOD_OVERRIDE=FQ","FILING_STATUS=OR","EQY_CONSOLIDATED=Y","Sort=A","Dates=H","DateFormat=P","Fill=—","Direction=H","UseDPDF=Y")</f>
        <v>#NAME?</v>
      </c>
      <c r="AL456" s="2" t="e">
        <f ca="1">_xll.BDH($C$453,"CASH_FLOW_GROWTH","FQ3 2014","FQ3 2014","Currency=INR","Period=FQ","BEST_FPERIOD_OVERRIDE=FQ","FILING_STATUS=OR","EQY_CONSOLIDATED=Y","Sort=A","Dates=H","DateFormat=P","Fill=—","Direction=H","UseDPDF=Y")</f>
        <v>#NAME?</v>
      </c>
      <c r="AM456" s="2" t="e">
        <f ca="1">_xll.BDH($C$453,"GEO_GROW_NET_SALES","FQ3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456" s="2" t="e">
        <f ca="1">_xll.BDH($C$453,"GEO_GROW_EBITDA","FQ3 2014","FQ3 2014","Currency=INR","Period=FQ","BEST_FPERIOD_OVERRIDE=FQ","FILING_STATUS=OR","EQY_CONSOLIDATED=Y","FA_ADJUSTED=GAAP","Sort=A","Dates=H","DateFormat=P","Fill=—","Direction=H","UseDPDF=Y")</f>
        <v>#NAME?</v>
      </c>
      <c r="AO456" s="2" t="e">
        <f ca="1">_xll.BDH($C$453,"GEO_GROW_OPER_INC","FQ3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456" s="2" t="e">
        <f ca="1">_xll.BDH($C$453,"NET_INCOME_TO_COMMON_5_YR_GROWTH","FQ3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456" s="2" t="e">
        <f ca="1">_xll.BDH($C$453,"5Y_GEO_GROWTH_DILUTED_EPS","FQ3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456" s="2" t="e">
        <f ca="1">_xll.BDH($C$453,"GEO_GROW_DVD_PER_SH","FQ3 2014","FQ3 2014","Currency=INR","Period=FQ","BEST_FPERIOD_OVERRIDE=FQ","FILING_STATUS=OR","EQY_CONSOLIDATED=Y","Sort=A","Dates=H","DateFormat=P","Fill=—","Direction=H","UseDPDF=Y")</f>
        <v>#NAME?</v>
      </c>
      <c r="AS456" s="2" t="e">
        <f ca="1">_xll.BDH($C$453,"ACCOUNTS_RECEIVABLE_5_YR_GROWTH","FQ3 2014","FQ3 2014","Currency=INR","Period=FQ","BEST_FPERIOD_OVERRIDE=FQ","FILING_STATUS=OR","EQY_CONSOLIDATED=Y","Sort=A","Dates=H","DateFormat=P","Fill=—","Direction=H","UseDPDF=Y")</f>
        <v>#NAME?</v>
      </c>
      <c r="AT456" s="2" t="e">
        <f ca="1">_xll.BDH($C$453,"INVENTORY_5_YEAR_GROWTH","FQ3 2014","FQ3 2014","Currency=INR","Period=FQ","BEST_FPERIOD_OVERRIDE=FQ","FILING_STATUS=OR","EQY_CONSOLIDATED=Y","Sort=A","Dates=H","DateFormat=P","Fill=—","Direction=H","UseDPDF=Y")</f>
        <v>#NAME?</v>
      </c>
      <c r="AU456" s="2" t="e">
        <f ca="1">_xll.BDH($C$453,"NET_FIXED_ASSETS_5_YEAR_GROWTH","FQ3 2014","FQ3 2014","Currency=INR","Period=FQ","BEST_FPERIOD_OVERRIDE=FQ","FILING_STATUS=OR","EQY_CONSOLIDATED=Y","Sort=A","Dates=H","DateFormat=P","Fill=—","Direction=H","UseDPDF=Y")</f>
        <v>#NAME?</v>
      </c>
      <c r="AV456" s="2" t="e">
        <f ca="1">_xll.BDH($C$453,"GEO_GROW_TOT_ASSET","FQ3 2014","FQ3 2014","Currency=INR","Period=FQ","BEST_FPERIOD_OVERRIDE=FQ","FILING_STATUS=OR","EQY_CONSOLIDATED=Y","Sort=A","Dates=H","DateFormat=P","Fill=—","Direction=H","UseDPDF=Y")</f>
        <v>#NAME?</v>
      </c>
      <c r="AW456" s="2" t="e">
        <f ca="1">_xll.BDH($C$453,"MODIFIED_WORKING_CPTL_5YR_GRWTH","FQ3 2014","FQ3 2014","Currency=INR","Period=FQ","BEST_FPERIOD_OVERRIDE=FQ","FILING_STATUS=OR","EQY_CONSOLIDATED=Y","Sort=A","Dates=H","DateFormat=P","Fill=—","Direction=H","UseDPDF=Y")</f>
        <v>#NAME?</v>
      </c>
      <c r="AX456" s="2" t="e">
        <f ca="1">_xll.BDH($C$453,"WORKING_CAPITAL_5_YEAR_GROWTH","FQ3 2014","FQ3 2014","Currency=INR","Period=FQ","BEST_FPERIOD_OVERRIDE=FQ","FILING_STATUS=OR","EQY_CONSOLIDATED=Y","Sort=A","Dates=H","DateFormat=P","Fill=—","Direction=H","UseDPDF=Y")</f>
        <v>#NAME?</v>
      </c>
      <c r="AY456" s="2" t="e">
        <f ca="1">_xll.BDH($C$453,"ACCOUNTS_PAYABLE_5_YEAR_GROWTH","FQ3 2014","FQ3 2014","Currency=INR","Period=FQ","BEST_FPERIOD_OVERRIDE=FQ","FILING_STATUS=OR","EQY_CONSOLIDATED=Y","Sort=A","Dates=H","DateFormat=P","Fill=—","Direction=H","UseDPDF=Y")</f>
        <v>#NAME?</v>
      </c>
      <c r="AZ456" s="2" t="e">
        <f ca="1">_xll.BDH($C$453,"SHORT_TERM_DEBT_5_YEAR_GROWTH","FQ3 2014","FQ3 2014","Currency=INR","Period=FQ","BEST_FPERIOD_OVERRIDE=FQ","FILING_STATUS=OR","EQY_CONSOLIDATED=Y","Sort=A","Dates=H","DateFormat=P","Fill=—","Direction=H","UseDPDF=Y")</f>
        <v>#NAME?</v>
      </c>
      <c r="BA456" s="2" t="e">
        <f ca="1">_xll.BDH($C$453,"TOTAL_DEBT_5_YEAR_GROWTH","FQ3 2014","FQ3 2014","Currency=INR","Period=FQ","BEST_FPERIOD_OVERRIDE=FQ","FILING_STATUS=OR","EQY_CONSOLIDATED=Y","Sort=A","Dates=H","DateFormat=P","Fill=—","Direction=H","UseDPDF=Y")</f>
        <v>#NAME?</v>
      </c>
      <c r="BB456" s="2" t="e">
        <f ca="1">_xll.BDH($C$453,"GEO_GROW_TOT_SHRHLDR_EQY","FQ3 2014","FQ3 2014","Currency=INR","Period=FQ","BEST_FPERIOD_OVERRIDE=FQ","FILING_STATUS=OR","EQY_CONSOLIDATED=Y","Sort=A","Dates=H","DateFormat=P","Fill=—","Direction=H","UseDPDF=Y")</f>
        <v>#NAME?</v>
      </c>
      <c r="BC456" s="2" t="e">
        <f ca="1">_xll.BDH($C$453,"TOTAL_CAPITAL_5_YEAR_GROWTH","FQ3 2014","FQ3 2014","Currency=INR","Period=FQ","BEST_FPERIOD_OVERRIDE=FQ","FILING_STATUS=OR","EQY_CONSOLIDATED=Y","Sort=A","Dates=H","DateFormat=P","Fill=—","Direction=H","UseDPDF=Y")</f>
        <v>#NAME?</v>
      </c>
      <c r="BD456" s="2" t="e">
        <f ca="1">_xll.BDH($C$453,"GEO_GROW_BOOK_VAL","FQ3 2014","FQ3 2014","Currency=INR","Period=FQ","BEST_FPERIOD_OVERRIDE=FQ","FILING_STATUS=OR","EQY_CONSOLIDATED=Y","Sort=A","Dates=H","DateFormat=P","Fill=—","Direction=H","UseDPDF=Y")</f>
        <v>#NAME?</v>
      </c>
      <c r="BE456" s="2" t="e">
        <f ca="1">_xll.BDH($C$453,"GEO_GROW_CASH_OPER_ACT","FQ3 2014","FQ3 2014","Currency=INR","Period=FQ","BEST_FPERIOD_OVERRIDE=FQ","FILING_STATUS=OR","EQY_CONSOLIDATED=Y","Sort=A","Dates=H","DateFormat=P","Fill=—","Direction=H","UseDPDF=Y")</f>
        <v>#NAME?</v>
      </c>
      <c r="BF456" s="2" t="e">
        <f ca="1">_xll.BDH($C$453,"REVENUE_SEQUENTIAL_GROWTH","FQ3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456" s="2" t="e">
        <f ca="1">_xll.BDH($C$453,"EBITDA_SEQUENTIAL_GROWTH","FQ3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456" s="2" t="e">
        <f ca="1">_xll.BDH($C$453,"OPERATING_INCOME_SEQ_GROWTH","FQ3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456" s="2" t="e">
        <f ca="1">_xll.BDH($C$453,"NET_INCOME_TO_COMMON_SEQ_GROWTH","FQ3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456" s="2" t="e">
        <f ca="1">_xll.BDH($C$453,"EPS_DILUTED_SEQUENTIAL_GROWTH","FQ3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456" s="2" t="e">
        <f ca="1">_xll.BDH($C$453,"DPS_SEQUENTIAL_GROWTH","FQ3 2014","FQ3 2014","Currency=INR","Period=FQ","BEST_FPERIOD_OVERRIDE=FQ","FILING_STATUS=OR","EQY_CONSOLIDATED=Y","Sort=A","Dates=H","DateFormat=P","Fill=—","Direction=H","UseDPDF=Y")</f>
        <v>#NAME?</v>
      </c>
      <c r="BL456" s="2" t="e">
        <f ca="1">_xll.BDH($C$453,"ACCOUNTS_RECEIVABLE_SEQ_GROWTH","FQ3 2014","FQ3 2014","Currency=INR","Period=FQ","BEST_FPERIOD_OVERRIDE=FQ","FILING_STATUS=OR","EQY_CONSOLIDATED=Y","Sort=A","Dates=H","DateFormat=P","Fill=—","Direction=H","UseDPDF=Y")</f>
        <v>#NAME?</v>
      </c>
      <c r="BM456" s="2" t="e">
        <f ca="1">_xll.BDH($C$453,"INVENTORY_SEQUENTIAL_GROWTH","FQ3 2014","FQ3 2014","Currency=INR","Period=FQ","BEST_FPERIOD_OVERRIDE=FQ","FILING_STATUS=OR","EQY_CONSOLIDATED=Y","Sort=A","Dates=H","DateFormat=P","Fill=—","Direction=H","UseDPDF=Y")</f>
        <v>#NAME?</v>
      </c>
      <c r="BN456" s="2" t="e">
        <f ca="1">_xll.BDH($C$453,"FIXED_ASSETS_SEQUENTIAL_GROWTH","FQ3 2014","FQ3 2014","Currency=INR","Period=FQ","BEST_FPERIOD_OVERRIDE=FQ","FILING_STATUS=OR","EQY_CONSOLIDATED=Y","Sort=A","Dates=H","DateFormat=P","Fill=—","Direction=H","UseDPDF=Y")</f>
        <v>#NAME?</v>
      </c>
      <c r="BO456" s="2" t="e">
        <f ca="1">_xll.BDH($C$453,"TOTAL_ASSETS_SEQUENTIAL_GROWTH","FQ3 2014","FQ3 2014","Currency=INR","Period=FQ","BEST_FPERIOD_OVERRIDE=FQ","FILING_STATUS=OR","EQY_CONSOLIDATED=Y","Sort=A","Dates=H","DateFormat=P","Fill=—","Direction=H","UseDPDF=Y")</f>
        <v>#NAME?</v>
      </c>
      <c r="BP456" s="2" t="e">
        <f ca="1">_xll.BDH($C$453,"MODIFIED_WORKING_CPTL_SEQ_GRWTH","FQ3 2014","FQ3 2014","Currency=INR","Period=FQ","BEST_FPERIOD_OVERRIDE=FQ","FILING_STATUS=OR","EQY_CONSOLIDATED=Y","Sort=A","Dates=H","DateFormat=P","Fill=—","Direction=H","UseDPDF=Y")</f>
        <v>#NAME?</v>
      </c>
      <c r="BQ456" s="2" t="e">
        <f ca="1">_xll.BDH($C$453,"WORKING_CAPITAL_SEQ_GROWTH","FQ3 2014","FQ3 2014","Currency=INR","Period=FQ","BEST_FPERIOD_OVERRIDE=FQ","FILING_STATUS=OR","EQY_CONSOLIDATED=Y","Sort=A","Dates=H","DateFormat=P","Fill=—","Direction=H","UseDPDF=Y")</f>
        <v>#NAME?</v>
      </c>
      <c r="BR456" s="2" t="e">
        <f ca="1">_xll.BDH($C$453,"ACCOUNTS_PAYABLE_SEQ_GROWTH","FQ3 2014","FQ3 2014","Currency=INR","Period=FQ","BEST_FPERIOD_OVERRIDE=FQ","FILING_STATUS=OR","EQY_CONSOLIDATED=Y","Sort=A","Dates=H","DateFormat=P","Fill=—","Direction=H","UseDPDF=Y")</f>
        <v>#NAME?</v>
      </c>
      <c r="BS456" s="2" t="e">
        <f ca="1">_xll.BDH($C$453,"ST_DEBT_SEQUENTIAL_GROWTH","FQ3 2014","FQ3 2014","Currency=INR","Period=FQ","BEST_FPERIOD_OVERRIDE=FQ","FILING_STATUS=OR","EQY_CONSOLIDATED=Y","Sort=A","Dates=H","DateFormat=P","Fill=—","Direction=H","UseDPDF=Y")</f>
        <v>#NAME?</v>
      </c>
      <c r="BT456" s="2" t="e">
        <f ca="1">_xll.BDH($C$453,"TOTAL_DEBT_SEQUENTIAL_GROWTH","FQ3 2014","FQ3 2014","Currency=INR","Period=FQ","BEST_FPERIOD_OVERRIDE=FQ","FILING_STATUS=OR","EQY_CONSOLIDATED=Y","Sort=A","Dates=H","DateFormat=P","Fill=—","Direction=H","UseDPDF=Y")</f>
        <v>#NAME?</v>
      </c>
      <c r="BU456" s="2" t="e">
        <f ca="1">_xll.BDH($C$453,"TOTAL_EQUITY_SEQUENTIAL_GROWTH","FQ3 2014","FQ3 2014","Currency=INR","Period=FQ","BEST_FPERIOD_OVERRIDE=FQ","FILING_STATUS=OR","EQY_CONSOLIDATED=Y","Sort=A","Dates=H","DateFormat=P","Fill=—","Direction=H","UseDPDF=Y")</f>
        <v>#NAME?</v>
      </c>
      <c r="BV456" s="2" t="e">
        <f ca="1">_xll.BDH($C$453,"TOTAL_CAPITAL_SEQUENTIAL_GROWTH","FQ3 2014","FQ3 2014","Currency=INR","Period=FQ","BEST_FPERIOD_OVERRIDE=FQ","FILING_STATUS=OR","EQY_CONSOLIDATED=Y","Sort=A","Dates=H","DateFormat=P","Fill=—","Direction=H","UseDPDF=Y")</f>
        <v>#NAME?</v>
      </c>
      <c r="BW456" s="2" t="e">
        <f ca="1">_xll.BDH($C$453,"BPS_SEQUENTIAL_GROWTH","FQ3 2014","FQ3 2014","Currency=INR","Period=FQ","BEST_FPERIOD_OVERRIDE=FQ","FILING_STATUS=OR","EQY_CONSOLIDATED=Y","Sort=A","Dates=H","DateFormat=P","Fill=—","Direction=H","UseDPDF=Y")</f>
        <v>#NAME?</v>
      </c>
      <c r="BX456" s="2" t="e">
        <f ca="1">_xll.BDH($C$453,"CFO_SEQUENTIAL_GROWTH","FQ3 2014","FQ3 2014","Currency=INR","Period=FQ","BEST_FPERIOD_OVERRIDE=FQ","FILING_STATUS=OR","EQY_CONSOLIDATED=Y","Sort=A","Dates=H","DateFormat=P","Fill=—","Direction=H","UseDPDF=Y")</f>
        <v>#NAME?</v>
      </c>
      <c r="BY456" s="3" t="e">
        <f ca="1">_xll.BDH($C$453,"SHORT_AND_LONG_TERM_DEBT","FQ3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456" s="3" t="e">
        <f ca="1">_xll.BDH($C$453,"BS_ST_BORROW","FQ3 2014","FQ3 2014","Currency=INR","Period=FQ","BEST_FPERIOD_OVERRIDE=FQ","FILING_STATUS=OR","EQY_CONSOLIDATED=Y","SCALING_FORMAT=MLN","Sort=A","Dates=H","DateFormat=P","Fill=—","Direction=H","UseDPDF=Y")</f>
        <v>#NAME?</v>
      </c>
      <c r="CA456" s="3" t="e">
        <f ca="1">_xll.BDH($C$453,"BS_LT_BORROW","FQ3 2014","FQ3 2014","Currency=INR","Period=FQ","BEST_FPERIOD_OVERRIDE=FQ","FILING_STATUS=OR","EQY_CONSOLIDATED=Y","SCALING_FORMAT=MLN","Sort=A","Dates=H","DateFormat=P","Fill=—","Direction=H","UseDPDF=Y")</f>
        <v>#NAME?</v>
      </c>
      <c r="CB456" s="2" t="e">
        <f ca="1">_xll.BDH($C$453,"TOT_DEBT_TO_EBITDA","FQ3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456" s="2" t="e">
        <f ca="1">_xll.BDH($C$453,"NET_DEBT_TO_EBITDA","FQ3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456" s="2" t="e">
        <f ca="1">_xll.BDH($C$453,"TOTAL_DEBT_TO_EBIT","FQ3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456" s="2" t="e">
        <f ca="1">_xll.BDH($C$453,"NET_DEBT_TO_EBIT","FQ3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456" s="2" t="e">
        <f ca="1">_xll.BDH($C$453,"EBITDA_TO_INTEREST_EXPN","FQ3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456" s="2" t="e">
        <f ca="1">_xll.BDH($C$453,"COM_EQY_TO_TOT_ASSET","FQ3 2014","FQ3 2014","Currency=INR","Period=FQ","BEST_FPERIOD_OVERRIDE=FQ","FILING_STATUS=OR","EQY_CONSOLIDATED=Y","Sort=A","Dates=H","DateFormat=P","Fill=—","Direction=H","UseDPDF=Y")</f>
        <v>#NAME?</v>
      </c>
      <c r="CH456" s="2" t="e">
        <f ca="1">_xll.BDH($C$453,"LT_DEBT_TO_TOT_EQY","FQ3 2014","FQ3 2014","Currency=INR","Period=FQ","BEST_FPERIOD_OVERRIDE=FQ","FILING_STATUS=OR","EQY_CONSOLIDATED=Y","Sort=A","Dates=H","DateFormat=P","Fill=—","Direction=H","UseDPDF=Y")</f>
        <v>#NAME?</v>
      </c>
      <c r="CI456" s="2" t="e">
        <f ca="1">_xll.BDH($C$453,"LT_DEBT_TO_TOT_CAP","FQ3 2014","FQ3 2014","Currency=INR","Period=FQ","BEST_FPERIOD_OVERRIDE=FQ","FILING_STATUS=OR","EQY_CONSOLIDATED=Y","Sort=A","Dates=H","DateFormat=P","Fill=—","Direction=H","UseDPDF=Y")</f>
        <v>#NAME?</v>
      </c>
      <c r="CJ456" s="2" t="e">
        <f ca="1">_xll.BDH($C$453,"LT_DEBT_TO_TOT_ASSET","FQ3 2014","FQ3 2014","Currency=INR","Period=FQ","BEST_FPERIOD_OVERRIDE=FQ","FILING_STATUS=OR","EQY_CONSOLIDATED=Y","Sort=A","Dates=H","DateFormat=P","Fill=—","Direction=H","UseDPDF=Y")</f>
        <v>#NAME?</v>
      </c>
      <c r="CK456" s="2" t="e">
        <f ca="1">_xll.BDH($C$453,"TOT_DEBT_TO_TOT_EQY","FQ3 2014","FQ3 2014","Currency=INR","Period=FQ","BEST_FPERIOD_OVERRIDE=FQ","FILING_STATUS=OR","EQY_CONSOLIDATED=Y","Sort=A","Dates=H","DateFormat=P","Fill=—","Direction=H","UseDPDF=Y")</f>
        <v>#NAME?</v>
      </c>
      <c r="CL456" s="2" t="e">
        <f ca="1">_xll.BDH($C$453,"TOT_DEBT_TO_TOT_CAP","FQ3 2014","FQ3 2014","Currency=INR","Period=FQ","BEST_FPERIOD_OVERRIDE=FQ","FILING_STATUS=OR","EQY_CONSOLIDATED=Y","Sort=A","Dates=H","DateFormat=P","Fill=—","Direction=H","UseDPDF=Y")</f>
        <v>#NAME?</v>
      </c>
      <c r="CM456" s="2" t="e">
        <f ca="1">_xll.BDH($C$453,"TOT_DEBT_TO_TOT_ASSET","FQ3 2014","FQ3 2014","Currency=INR","Period=FQ","BEST_FPERIOD_OVERRIDE=FQ","FILING_STATUS=OR","EQY_CONSOLIDATED=Y","Sort=A","Dates=H","DateFormat=P","Fill=—","Direction=H","UseDPDF=Y")</f>
        <v>#NAME?</v>
      </c>
      <c r="CN456" s="2" t="e">
        <f ca="1">_xll.BDH($C$453,"NET_DEBT_TO_SHRHLDR_EQTY","FQ3 2014","FQ3 2014","Currency=INR","Period=FQ","BEST_FPERIOD_OVERRIDE=FQ","FILING_STATUS=OR","EQY_CONSOLIDATED=Y","Sort=A","Dates=H","DateFormat=P","Fill=—","Direction=H","UseDPDF=Y")</f>
        <v>#NAME?</v>
      </c>
      <c r="CO456" s="2" t="e">
        <f ca="1">_xll.BDH($C$453,"NET_DEBT_%_CAPITAL","FQ3 2014","FQ3 2014","Currency=INR","Period=FQ","BEST_FPERIOD_OVERRIDE=FQ","FILING_STATUS=OR","EQY_CONSOLIDATED=Y","Sort=A","Dates=H","DateFormat=P","Fill=—","Direction=H","UseDPDF=Y")</f>
        <v>#NAME?</v>
      </c>
      <c r="CP456" s="3" t="e">
        <f ca="1">_xll.BDH($C$453,"EBITDA","FQ3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456" s="3" t="e">
        <f ca="1">_xll.BDH($C$453,"EBITDA_AFTER_CAPEX","FQ3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456" s="3" t="e">
        <f ca="1">_xll.BDH($C$453,"IS_OPER_INC","FQ3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456" s="2" t="e">
        <f ca="1">_xll.BDH($C$453,"CASH_RATIO","FQ3 2014","FQ3 2014","Currency=INR","Period=FQ","BEST_FPERIOD_OVERRIDE=FQ","FILING_STATUS=OR","EQY_CONSOLIDATED=Y","Sort=A","Dates=H","DateFormat=P","Fill=—","Direction=H","UseDPDF=Y")</f>
        <v>#NAME?</v>
      </c>
      <c r="CT456" s="2" t="e">
        <f ca="1">_xll.BDH($C$453,"CUR_RATIO","FQ3 2014","FQ3 2014","Currency=INR","Period=FQ","BEST_FPERIOD_OVERRIDE=FQ","FILING_STATUS=OR","EQY_CONSOLIDATED=Y","Sort=A","Dates=H","DateFormat=P","Fill=—","Direction=H","UseDPDF=Y")</f>
        <v>#NAME?</v>
      </c>
      <c r="CU456" s="2" t="e">
        <f ca="1">_xll.BDH($C$453,"QUICK_RATIO","FQ3 2014","FQ3 2014","Currency=INR","Period=FQ","BEST_FPERIOD_OVERRIDE=FQ","FILING_STATUS=OR","EQY_CONSOLIDATED=Y","Sort=A","Dates=H","DateFormat=P","Fill=—","Direction=H","UseDPDF=Y")</f>
        <v>#NAME?</v>
      </c>
      <c r="CV456" s="2" t="e">
        <f ca="1">_xll.BDH($C$453,"ALTMAN_Z_SCORE","FQ3 2014","FQ3 2014","Currency=INR","Period=FQ","BEST_FPERIOD_OVERRIDE=FQ","FILING_STATUS=OR","EQY_CONSOLIDATED=Y","Sort=A","Dates=H","DateFormat=P","Fill=—","Direction=H","UseDPDF=Y")</f>
        <v>#NAME?</v>
      </c>
      <c r="CW456" s="4" t="e">
        <f ca="1">_xll.BDH($C$453,"ACCT_RCV_TURN","FQ3 2014","FQ3 2014","Currency=INR","Period=FQ","BEST_FPERIOD_OVERRIDE=FQ","FILING_STATUS=OR","EQY_CONSOLIDATED=Y","FA_ADJUSTED=GAAP","Sort=A","Dates=H","DateFormat=P","Fill=—","Direction=H","UseDPDF=Y")</f>
        <v>#NAME?</v>
      </c>
      <c r="CX456" s="2" t="e">
        <f ca="1">_xll.BDH($C$453,"ACCT_RCV_DAYS","FQ3 2014","FQ3 2014","Currency=INR","Period=FQ","BEST_FPERIOD_OVERRIDE=FQ","FILING_STATUS=OR","EQY_CONSOLIDATED=Y","FA_ADJUSTED=GAAP","Sort=A","Dates=H","DateFormat=P","Fill=—","Direction=H","UseDPDF=Y")</f>
        <v>#NAME?</v>
      </c>
      <c r="CY456" s="4" t="e">
        <f ca="1">_xll.BDH($C$453,"INVENT_TURN","FQ3 2014","FQ3 2014","Currency=INR","Period=FQ","BEST_FPERIOD_OVERRIDE=FQ","FILING_STATUS=OR","EQY_CONSOLIDATED=Y","FA_ADJUSTED=GAAP","Sort=A","Dates=H","DateFormat=P","Fill=—","Direction=H","UseDPDF=Y")</f>
        <v>#NAME?</v>
      </c>
      <c r="CZ456" s="2" t="e">
        <f ca="1">_xll.BDH($C$453,"INVENT_DAYS","FQ3 2014","FQ3 2014","Currency=INR","Period=FQ","BEST_FPERIOD_OVERRIDE=FQ","FILING_STATUS=OR","EQY_CONSOLIDATED=Y","FA_ADJUSTED=GAAP","Sort=A","Dates=H","DateFormat=P","Fill=—","Direction=H","UseDPDF=Y")</f>
        <v>#NAME?</v>
      </c>
      <c r="DA456" s="4" t="e">
        <f ca="1">_xll.BDH($C$453,"ACCOUNTS_PAYABLE_TURNOVER","FQ3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456" s="2" t="e">
        <f ca="1">_xll.BDH($C$453,"ACCOUNTS_PAYABLE_TURNOVER_DAYS","FQ3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456" s="4" t="e">
        <f ca="1">_xll.BDH($C$453,"CASH_CONVERSION_CYCLE","FQ3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456" s="4" t="e">
        <f ca="1">_xll.BDH($C$453,"INV_TO_CASH_DAYS","FQ3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456" s="5" t="e">
        <f ca="1">_xll.BDH($C$453,"BS_INVENTORIES","FQ3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456" s="3" t="e">
        <f ca="1">_xll.BDH($C$453,"INVTRY_RAW_MATERIALS","FQ3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456" s="3" t="e">
        <f ca="1">_xll.BDH($C$453,"INVTRY_IN_PROGRESS","FQ3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456" s="3" t="e">
        <f ca="1">_xll.BDH($C$453,"INVTRY_FINISHED_GOODS","FQ3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456" s="3" t="e">
        <f ca="1">_xll.BDH($C$453,"BS_OTHER_INV","FQ3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457" spans="1:113" x14ac:dyDescent="0.3">
      <c r="A457" s="6"/>
      <c r="B457" s="6"/>
      <c r="C457" s="6"/>
      <c r="D457" s="6"/>
      <c r="E457" t="s">
        <v>81</v>
      </c>
      <c r="F457" t="e">
        <f ca="1">_xll.BDH($C$453,"RETURN_COM_EQY","FQ4 2014","FQ4 2014","Currency=INR","Period=FQ","BEST_FPERIOD_OVERRIDE=FQ","FILING_STATUS=OR","EQY_CONSOLIDATED=Y","FA_ADJUSTED=GAAP","Sort=A","Dates=H","DateFormat=P","Fill=—","Direction=H","UseDPDF=Y")</f>
        <v>#NAME?</v>
      </c>
      <c r="G457" t="e">
        <f ca="1">_xll.BDH($C$453,"RETURN_ON_ASSET","FQ4 2014","FQ4 2014","Currency=INR","Period=FQ","BEST_FPERIOD_OVERRIDE=FQ","FILING_STATUS=OR","EQY_CONSOLIDATED=Y","FA_ADJUSTED=GAAP","Sort=A","Dates=H","DateFormat=P","Fill=—","Direction=H","UseDPDF=Y")</f>
        <v>#NAME?</v>
      </c>
      <c r="H457" t="e">
        <f ca="1">_xll.BDH($C$453,"RETURN_ON_CAP","FQ4 2014","FQ4 2014","Currency=INR","Period=FQ","BEST_FPERIOD_OVERRIDE=FQ","FILING_STATUS=OR","EQY_CONSOLIDATED=Y","FA_ADJUSTED=GAAP","Sort=A","Dates=H","DateFormat=P","Fill=—","Direction=H","UseDPDF=Y")</f>
        <v>#NAME?</v>
      </c>
      <c r="I457" t="e">
        <f ca="1">_xll.BDH($C$453,"RETURN_ON_INV_CAPITAL","FQ4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457" t="e">
        <f ca="1">_xll.BDH($C$453,"EBITDA_TO_REVENUE","FQ4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457" t="e">
        <f ca="1">_xll.BDH($C$453,"OPER_MARGIN","FQ4 2014","FQ4 2014","Currency=INR","Period=FQ","BEST_FPERIOD_OVERRIDE=FQ","FILING_STATUS=OR","EQY_CONSOLIDATED=Y","FA_ADJUSTED=GAAP","Sort=A","Dates=H","DateFormat=P","Fill=—","Direction=H","UseDPDF=Y")</f>
        <v>#NAME?</v>
      </c>
      <c r="L457" t="e">
        <f ca="1">_xll.BDH($C$453,"INCREMENTAL_OPERATING_MARGIN","FQ4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457" t="e">
        <f ca="1">_xll.BDH($C$453,"PRETAX_INC_TO_NET_SALES","FQ4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457" t="e">
        <f ca="1">_xll.BDH($C$453,"INC_BEF_XO_ITEMS_TO_NET_SALES","FQ4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457" t="e">
        <f ca="1">_xll.BDH($C$453,"PROF_MARGIN","FQ4 2014","FQ4 2014","Currency=INR","Period=FQ","BEST_FPERIOD_OVERRIDE=FQ","FILING_STATUS=OR","EQY_CONSOLIDATED=Y","FA_ADJUSTED=GAAP","Sort=A","Dates=H","DateFormat=P","Fill=—","Direction=H","UseDPDF=Y")</f>
        <v>#NAME?</v>
      </c>
      <c r="P457" t="e">
        <f ca="1">_xll.BDH($C$453,"NET_INCOME_TO_COMMON_MARGIN","FQ4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457" t="e">
        <f ca="1">_xll.BDH($C$453,"EFF_TAX_RATE","FQ4 2014","FQ4 2014","Currency=INR","Period=FQ","BEST_FPERIOD_OVERRIDE=FQ","FILING_STATUS=OR","EQY_CONSOLIDATED=Y","FA_ADJUSTED=GAAP","Sort=A","Dates=H","DateFormat=P","Fill=—","Direction=H","UseDPDF=Y")</f>
        <v>#NAME?</v>
      </c>
      <c r="R457" t="e">
        <f ca="1">_xll.BDH($C$453,"DVD_PAYOUT_RATIO","FQ4 2014","FQ4 2014","Currency=INR","Period=FQ","BEST_FPERIOD_OVERRIDE=FQ","FILING_STATUS=OR","EQY_CONSOLIDATED=Y","FA_ADJUSTED=GAAP","Sort=A","Dates=H","DateFormat=P","Fill=—","Direction=H","UseDPDF=Y")</f>
        <v>#NAME?</v>
      </c>
      <c r="S457" t="e">
        <f ca="1">_xll.BDH($C$453,"SUSTAIN_GROWTH_RT","FQ4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457" s="2" t="e">
        <f ca="1">_xll.BDH($C$453,"SALES_GROWTH","FQ4 2014","FQ4 2014","Currency=INR","Period=FQ","BEST_FPERIOD_OVERRIDE=FQ","FILING_STATUS=OR","EQY_CONSOLIDATED=Y","FA_ADJUSTED=GAAP","Sort=A","Dates=H","DateFormat=P","Fill=—","Direction=H","UseDPDF=Y")</f>
        <v>#NAME?</v>
      </c>
      <c r="U457" s="2" t="e">
        <f ca="1">_xll.BDH($C$453,"EBITDA_GROWTH","FQ4 2014","FQ4 2014","Currency=INR","Period=FQ","BEST_FPERIOD_OVERRIDE=FQ","FILING_STATUS=OR","EQY_CONSOLIDATED=Y","FA_ADJUSTED=GAAP","Sort=A","Dates=H","DateFormat=P","Fill=—","Direction=H","UseDPDF=Y")</f>
        <v>#NAME?</v>
      </c>
      <c r="V457" s="2" t="e">
        <f ca="1">_xll.BDH($C$453,"OPER_INC_GROWTH","FQ4 2014","FQ4 2014","Currency=INR","Period=FQ","BEST_FPERIOD_OVERRIDE=FQ","FILING_STATUS=OR","EQY_CONSOLIDATED=Y","FA_ADJUSTED=GAAP","Sort=A","Dates=H","DateFormat=P","Fill=—","Direction=H","UseDPDF=Y")</f>
        <v>#NAME?</v>
      </c>
      <c r="W457" s="2" t="e">
        <f ca="1">_xll.BDH($C$453,"EARN_FOR_COM_GROWTH","FQ4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457" s="2" t="e">
        <f ca="1">_xll.BDH($C$453,"DILUTED_EPS_AFT_XO_ITEMS_GROWTH","FQ4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457" s="2" t="e">
        <f ca="1">_xll.BDH($C$453,"DIVIDEND_PER_SHARE_1_YEAR_GROWTH","FQ4 2014","FQ4 2014","Currency=INR","Period=FQ","BEST_FPERIOD_OVERRIDE=FQ","FILING_STATUS=OR","EQY_CONSOLIDATED=Y","Sort=A","Dates=H","DateFormat=P","Fill=—","Direction=H","UseDPDF=Y")</f>
        <v>#NAME?</v>
      </c>
      <c r="Z457" s="2" t="e">
        <f ca="1">_xll.BDH($C$453,"ACCOUNTS_RECEIVABLE_GROWTH","FQ4 2014","FQ4 2014","Currency=INR","Period=FQ","BEST_FPERIOD_OVERRIDE=FQ","FILING_STATUS=OR","EQY_CONSOLIDATED=Y","Sort=A","Dates=H","DateFormat=P","Fill=—","Direction=H","UseDPDF=Y")</f>
        <v>#NAME?</v>
      </c>
      <c r="AA457" s="2" t="e">
        <f ca="1">_xll.BDH($C$453,"INVENTORY_GROWTH","FQ4 2014","FQ4 2014","Currency=INR","Period=FQ","BEST_FPERIOD_OVERRIDE=FQ","FILING_STATUS=OR","EQY_CONSOLIDATED=Y","Sort=A","Dates=H","DateFormat=P","Fill=—","Direction=H","UseDPDF=Y")</f>
        <v>#NAME?</v>
      </c>
      <c r="AB457" s="2" t="e">
        <f ca="1">_xll.BDH($C$453,"NET_FIXED_ASSETS_1_YEAR_GROWTH","FQ4 2014","FQ4 2014","Currency=INR","Period=FQ","BEST_FPERIOD_OVERRIDE=FQ","FILING_STATUS=OR","EQY_CONSOLIDATED=Y","Sort=A","Dates=H","DateFormat=P","Fill=—","Direction=H","UseDPDF=Y")</f>
        <v>#NAME?</v>
      </c>
      <c r="AC457" s="2" t="e">
        <f ca="1">_xll.BDH($C$453,"ASSET_GROWTH","FQ4 2014","FQ4 2014","Currency=INR","Period=FQ","BEST_FPERIOD_OVERRIDE=FQ","FILING_STATUS=OR","EQY_CONSOLIDATED=Y","Sort=A","Dates=H","DateFormat=P","Fill=—","Direction=H","UseDPDF=Y")</f>
        <v>#NAME?</v>
      </c>
      <c r="AD457" s="2" t="e">
        <f ca="1">_xll.BDH($C$453,"MODIFIED_WORK_CAP_GROWTH","FQ4 2014","FQ4 2014","Currency=INR","Period=FQ","BEST_FPERIOD_OVERRIDE=FQ","FILING_STATUS=OR","EQY_CONSOLIDATED=Y","Sort=A","Dates=H","DateFormat=P","Fill=—","Direction=H","UseDPDF=Y")</f>
        <v>#NAME?</v>
      </c>
      <c r="AE457" s="2" t="e">
        <f ca="1">_xll.BDH($C$453,"WORK_CAP_GROWTH","FQ4 2014","FQ4 2014","Currency=INR","Period=FQ","BEST_FPERIOD_OVERRIDE=FQ","FILING_STATUS=OR","EQY_CONSOLIDATED=Y","Sort=A","Dates=H","DateFormat=P","Fill=—","Direction=H","UseDPDF=Y")</f>
        <v>#NAME?</v>
      </c>
      <c r="AF457" s="2" t="e">
        <f ca="1">_xll.BDH($C$453,"ACCOUNTS_PAYABLE_GROWTH_1YR","FQ4 2014","FQ4 2014","Currency=INR","Period=FQ","BEST_FPERIOD_OVERRIDE=FQ","FILING_STATUS=OR","EQY_CONSOLIDATED=Y","Sort=A","Dates=H","DateFormat=P","Fill=—","Direction=H","UseDPDF=Y")</f>
        <v>#NAME?</v>
      </c>
      <c r="AG457" s="2" t="e">
        <f ca="1">_xll.BDH($C$453,"SHORT_TERM_DEBT_1_YEAR_GROWTH","FQ4 2014","FQ4 2014","Currency=INR","Period=FQ","BEST_FPERIOD_OVERRIDE=FQ","FILING_STATUS=OR","EQY_CONSOLIDATED=Y","Sort=A","Dates=H","DateFormat=P","Fill=—","Direction=H","UseDPDF=Y")</f>
        <v>#NAME?</v>
      </c>
      <c r="AH457" s="2" t="e">
        <f ca="1">_xll.BDH($C$453,"TOTAL_DEBT_1_YEAR_GROWTH","FQ4 2014","FQ4 2014","Currency=INR","Period=FQ","BEST_FPERIOD_OVERRIDE=FQ","FILING_STATUS=OR","EQY_CONSOLIDATED=Y","Sort=A","Dates=H","DateFormat=P","Fill=—","Direction=H","UseDPDF=Y")</f>
        <v>#NAME?</v>
      </c>
      <c r="AI457" s="2" t="e">
        <f ca="1">_xll.BDH($C$453,"TOTAL_EQUITY_1_YEAR_GROWTH","FQ4 2014","FQ4 2014","Currency=INR","Period=FQ","BEST_FPERIOD_OVERRIDE=FQ","FILING_STATUS=OR","EQY_CONSOLIDATED=Y","Sort=A","Dates=H","DateFormat=P","Fill=—","Direction=H","UseDPDF=Y")</f>
        <v>#NAME?</v>
      </c>
      <c r="AJ457" s="2" t="e">
        <f ca="1">_xll.BDH($C$453,"GROWTH_IN_CAP","FQ4 2014","FQ4 2014","Currency=INR","Period=FQ","BEST_FPERIOD_OVERRIDE=FQ","FILING_STATUS=OR","EQY_CONSOLIDATED=Y","Sort=A","Dates=H","DateFormat=P","Fill=—","Direction=H","UseDPDF=Y")</f>
        <v>#NAME?</v>
      </c>
      <c r="AK457" s="2" t="e">
        <f ca="1">_xll.BDH($C$453,"BVPS_GROWTH","FQ4 2014","FQ4 2014","Currency=INR","Period=FQ","BEST_FPERIOD_OVERRIDE=FQ","FILING_STATUS=OR","EQY_CONSOLIDATED=Y","Sort=A","Dates=H","DateFormat=P","Fill=—","Direction=H","UseDPDF=Y")</f>
        <v>#NAME?</v>
      </c>
      <c r="AL457" s="2" t="e">
        <f ca="1">_xll.BDH($C$453,"CASH_FLOW_GROWTH","FQ4 2014","FQ4 2014","Currency=INR","Period=FQ","BEST_FPERIOD_OVERRIDE=FQ","FILING_STATUS=OR","EQY_CONSOLIDATED=Y","Sort=A","Dates=H","DateFormat=P","Fill=—","Direction=H","UseDPDF=Y")</f>
        <v>#NAME?</v>
      </c>
      <c r="AM457" s="2" t="e">
        <f ca="1">_xll.BDH($C$453,"GEO_GROW_NET_SALES","FQ4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457" s="2" t="e">
        <f ca="1">_xll.BDH($C$453,"GEO_GROW_EBITDA","FQ4 2014","FQ4 2014","Currency=INR","Period=FQ","BEST_FPERIOD_OVERRIDE=FQ","FILING_STATUS=OR","EQY_CONSOLIDATED=Y","FA_ADJUSTED=GAAP","Sort=A","Dates=H","DateFormat=P","Fill=—","Direction=H","UseDPDF=Y")</f>
        <v>#NAME?</v>
      </c>
      <c r="AO457" s="2" t="e">
        <f ca="1">_xll.BDH($C$453,"GEO_GROW_OPER_INC","FQ4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457" s="2" t="e">
        <f ca="1">_xll.BDH($C$453,"NET_INCOME_TO_COMMON_5_YR_GROWTH","FQ4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457" s="2" t="e">
        <f ca="1">_xll.BDH($C$453,"5Y_GEO_GROWTH_DILUTED_EPS","FQ4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457" s="2" t="e">
        <f ca="1">_xll.BDH($C$453,"GEO_GROW_DVD_PER_SH","FQ4 2014","FQ4 2014","Currency=INR","Period=FQ","BEST_FPERIOD_OVERRIDE=FQ","FILING_STATUS=OR","EQY_CONSOLIDATED=Y","Sort=A","Dates=H","DateFormat=P","Fill=—","Direction=H","UseDPDF=Y")</f>
        <v>#NAME?</v>
      </c>
      <c r="AS457" s="2" t="e">
        <f ca="1">_xll.BDH($C$453,"ACCOUNTS_RECEIVABLE_5_YR_GROWTH","FQ4 2014","FQ4 2014","Currency=INR","Period=FQ","BEST_FPERIOD_OVERRIDE=FQ","FILING_STATUS=OR","EQY_CONSOLIDATED=Y","Sort=A","Dates=H","DateFormat=P","Fill=—","Direction=H","UseDPDF=Y")</f>
        <v>#NAME?</v>
      </c>
      <c r="AT457" s="2" t="e">
        <f ca="1">_xll.BDH($C$453,"INVENTORY_5_YEAR_GROWTH","FQ4 2014","FQ4 2014","Currency=INR","Period=FQ","BEST_FPERIOD_OVERRIDE=FQ","FILING_STATUS=OR","EQY_CONSOLIDATED=Y","Sort=A","Dates=H","DateFormat=P","Fill=—","Direction=H","UseDPDF=Y")</f>
        <v>#NAME?</v>
      </c>
      <c r="AU457" s="2" t="e">
        <f ca="1">_xll.BDH($C$453,"NET_FIXED_ASSETS_5_YEAR_GROWTH","FQ4 2014","FQ4 2014","Currency=INR","Period=FQ","BEST_FPERIOD_OVERRIDE=FQ","FILING_STATUS=OR","EQY_CONSOLIDATED=Y","Sort=A","Dates=H","DateFormat=P","Fill=—","Direction=H","UseDPDF=Y")</f>
        <v>#NAME?</v>
      </c>
      <c r="AV457" s="2" t="e">
        <f ca="1">_xll.BDH($C$453,"GEO_GROW_TOT_ASSET","FQ4 2014","FQ4 2014","Currency=INR","Period=FQ","BEST_FPERIOD_OVERRIDE=FQ","FILING_STATUS=OR","EQY_CONSOLIDATED=Y","Sort=A","Dates=H","DateFormat=P","Fill=—","Direction=H","UseDPDF=Y")</f>
        <v>#NAME?</v>
      </c>
      <c r="AW457" s="2" t="e">
        <f ca="1">_xll.BDH($C$453,"MODIFIED_WORKING_CPTL_5YR_GRWTH","FQ4 2014","FQ4 2014","Currency=INR","Period=FQ","BEST_FPERIOD_OVERRIDE=FQ","FILING_STATUS=OR","EQY_CONSOLIDATED=Y","Sort=A","Dates=H","DateFormat=P","Fill=—","Direction=H","UseDPDF=Y")</f>
        <v>#NAME?</v>
      </c>
      <c r="AX457" s="2" t="e">
        <f ca="1">_xll.BDH($C$453,"WORKING_CAPITAL_5_YEAR_GROWTH","FQ4 2014","FQ4 2014","Currency=INR","Period=FQ","BEST_FPERIOD_OVERRIDE=FQ","FILING_STATUS=OR","EQY_CONSOLIDATED=Y","Sort=A","Dates=H","DateFormat=P","Fill=—","Direction=H","UseDPDF=Y")</f>
        <v>#NAME?</v>
      </c>
      <c r="AY457" s="2" t="e">
        <f ca="1">_xll.BDH($C$453,"ACCOUNTS_PAYABLE_5_YEAR_GROWTH","FQ4 2014","FQ4 2014","Currency=INR","Period=FQ","BEST_FPERIOD_OVERRIDE=FQ","FILING_STATUS=OR","EQY_CONSOLIDATED=Y","Sort=A","Dates=H","DateFormat=P","Fill=—","Direction=H","UseDPDF=Y")</f>
        <v>#NAME?</v>
      </c>
      <c r="AZ457" s="2" t="e">
        <f ca="1">_xll.BDH($C$453,"SHORT_TERM_DEBT_5_YEAR_GROWTH","FQ4 2014","FQ4 2014","Currency=INR","Period=FQ","BEST_FPERIOD_OVERRIDE=FQ","FILING_STATUS=OR","EQY_CONSOLIDATED=Y","Sort=A","Dates=H","DateFormat=P","Fill=—","Direction=H","UseDPDF=Y")</f>
        <v>#NAME?</v>
      </c>
      <c r="BA457" s="2" t="e">
        <f ca="1">_xll.BDH($C$453,"TOTAL_DEBT_5_YEAR_GROWTH","FQ4 2014","FQ4 2014","Currency=INR","Period=FQ","BEST_FPERIOD_OVERRIDE=FQ","FILING_STATUS=OR","EQY_CONSOLIDATED=Y","Sort=A","Dates=H","DateFormat=P","Fill=—","Direction=H","UseDPDF=Y")</f>
        <v>#NAME?</v>
      </c>
      <c r="BB457" s="2" t="e">
        <f ca="1">_xll.BDH($C$453,"GEO_GROW_TOT_SHRHLDR_EQY","FQ4 2014","FQ4 2014","Currency=INR","Period=FQ","BEST_FPERIOD_OVERRIDE=FQ","FILING_STATUS=OR","EQY_CONSOLIDATED=Y","Sort=A","Dates=H","DateFormat=P","Fill=—","Direction=H","UseDPDF=Y")</f>
        <v>#NAME?</v>
      </c>
      <c r="BC457" s="2" t="e">
        <f ca="1">_xll.BDH($C$453,"TOTAL_CAPITAL_5_YEAR_GROWTH","FQ4 2014","FQ4 2014","Currency=INR","Period=FQ","BEST_FPERIOD_OVERRIDE=FQ","FILING_STATUS=OR","EQY_CONSOLIDATED=Y","Sort=A","Dates=H","DateFormat=P","Fill=—","Direction=H","UseDPDF=Y")</f>
        <v>#NAME?</v>
      </c>
      <c r="BD457" s="2" t="e">
        <f ca="1">_xll.BDH($C$453,"GEO_GROW_BOOK_VAL","FQ4 2014","FQ4 2014","Currency=INR","Period=FQ","BEST_FPERIOD_OVERRIDE=FQ","FILING_STATUS=OR","EQY_CONSOLIDATED=Y","Sort=A","Dates=H","DateFormat=P","Fill=—","Direction=H","UseDPDF=Y")</f>
        <v>#NAME?</v>
      </c>
      <c r="BE457" s="2" t="e">
        <f ca="1">_xll.BDH($C$453,"GEO_GROW_CASH_OPER_ACT","FQ4 2014","FQ4 2014","Currency=INR","Period=FQ","BEST_FPERIOD_OVERRIDE=FQ","FILING_STATUS=OR","EQY_CONSOLIDATED=Y","Sort=A","Dates=H","DateFormat=P","Fill=—","Direction=H","UseDPDF=Y")</f>
        <v>#NAME?</v>
      </c>
      <c r="BF457" s="2" t="e">
        <f ca="1">_xll.BDH($C$453,"REVENUE_SEQUENTIAL_GROWTH","FQ4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457" s="2" t="e">
        <f ca="1">_xll.BDH($C$453,"EBITDA_SEQUENTIAL_GROWTH","FQ4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457" s="2" t="e">
        <f ca="1">_xll.BDH($C$453,"OPERATING_INCOME_SEQ_GROWTH","FQ4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457" s="2" t="e">
        <f ca="1">_xll.BDH($C$453,"NET_INCOME_TO_COMMON_SEQ_GROWTH","FQ4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457" s="2" t="e">
        <f ca="1">_xll.BDH($C$453,"EPS_DILUTED_SEQUENTIAL_GROWTH","FQ4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457" s="2" t="e">
        <f ca="1">_xll.BDH($C$453,"DPS_SEQUENTIAL_GROWTH","FQ4 2014","FQ4 2014","Currency=INR","Period=FQ","BEST_FPERIOD_OVERRIDE=FQ","FILING_STATUS=OR","EQY_CONSOLIDATED=Y","Sort=A","Dates=H","DateFormat=P","Fill=—","Direction=H","UseDPDF=Y")</f>
        <v>#NAME?</v>
      </c>
      <c r="BL457" s="2" t="e">
        <f ca="1">_xll.BDH($C$453,"ACCOUNTS_RECEIVABLE_SEQ_GROWTH","FQ4 2014","FQ4 2014","Currency=INR","Period=FQ","BEST_FPERIOD_OVERRIDE=FQ","FILING_STATUS=OR","EQY_CONSOLIDATED=Y","Sort=A","Dates=H","DateFormat=P","Fill=—","Direction=H","UseDPDF=Y")</f>
        <v>#NAME?</v>
      </c>
      <c r="BM457" s="2" t="e">
        <f ca="1">_xll.BDH($C$453,"INVENTORY_SEQUENTIAL_GROWTH","FQ4 2014","FQ4 2014","Currency=INR","Period=FQ","BEST_FPERIOD_OVERRIDE=FQ","FILING_STATUS=OR","EQY_CONSOLIDATED=Y","Sort=A","Dates=H","DateFormat=P","Fill=—","Direction=H","UseDPDF=Y")</f>
        <v>#NAME?</v>
      </c>
      <c r="BN457" s="2" t="e">
        <f ca="1">_xll.BDH($C$453,"FIXED_ASSETS_SEQUENTIAL_GROWTH","FQ4 2014","FQ4 2014","Currency=INR","Period=FQ","BEST_FPERIOD_OVERRIDE=FQ","FILING_STATUS=OR","EQY_CONSOLIDATED=Y","Sort=A","Dates=H","DateFormat=P","Fill=—","Direction=H","UseDPDF=Y")</f>
        <v>#NAME?</v>
      </c>
      <c r="BO457" s="2" t="e">
        <f ca="1">_xll.BDH($C$453,"TOTAL_ASSETS_SEQUENTIAL_GROWTH","FQ4 2014","FQ4 2014","Currency=INR","Period=FQ","BEST_FPERIOD_OVERRIDE=FQ","FILING_STATUS=OR","EQY_CONSOLIDATED=Y","Sort=A","Dates=H","DateFormat=P","Fill=—","Direction=H","UseDPDF=Y")</f>
        <v>#NAME?</v>
      </c>
      <c r="BP457" s="2" t="e">
        <f ca="1">_xll.BDH($C$453,"MODIFIED_WORKING_CPTL_SEQ_GRWTH","FQ4 2014","FQ4 2014","Currency=INR","Period=FQ","BEST_FPERIOD_OVERRIDE=FQ","FILING_STATUS=OR","EQY_CONSOLIDATED=Y","Sort=A","Dates=H","DateFormat=P","Fill=—","Direction=H","UseDPDF=Y")</f>
        <v>#NAME?</v>
      </c>
      <c r="BQ457" s="2" t="e">
        <f ca="1">_xll.BDH($C$453,"WORKING_CAPITAL_SEQ_GROWTH","FQ4 2014","FQ4 2014","Currency=INR","Period=FQ","BEST_FPERIOD_OVERRIDE=FQ","FILING_STATUS=OR","EQY_CONSOLIDATED=Y","Sort=A","Dates=H","DateFormat=P","Fill=—","Direction=H","UseDPDF=Y")</f>
        <v>#NAME?</v>
      </c>
      <c r="BR457" s="2" t="e">
        <f ca="1">_xll.BDH($C$453,"ACCOUNTS_PAYABLE_SEQ_GROWTH","FQ4 2014","FQ4 2014","Currency=INR","Period=FQ","BEST_FPERIOD_OVERRIDE=FQ","FILING_STATUS=OR","EQY_CONSOLIDATED=Y","Sort=A","Dates=H","DateFormat=P","Fill=—","Direction=H","UseDPDF=Y")</f>
        <v>#NAME?</v>
      </c>
      <c r="BS457" s="2" t="e">
        <f ca="1">_xll.BDH($C$453,"ST_DEBT_SEQUENTIAL_GROWTH","FQ4 2014","FQ4 2014","Currency=INR","Period=FQ","BEST_FPERIOD_OVERRIDE=FQ","FILING_STATUS=OR","EQY_CONSOLIDATED=Y","Sort=A","Dates=H","DateFormat=P","Fill=—","Direction=H","UseDPDF=Y")</f>
        <v>#NAME?</v>
      </c>
      <c r="BT457" s="2" t="e">
        <f ca="1">_xll.BDH($C$453,"TOTAL_DEBT_SEQUENTIAL_GROWTH","FQ4 2014","FQ4 2014","Currency=INR","Period=FQ","BEST_FPERIOD_OVERRIDE=FQ","FILING_STATUS=OR","EQY_CONSOLIDATED=Y","Sort=A","Dates=H","DateFormat=P","Fill=—","Direction=H","UseDPDF=Y")</f>
        <v>#NAME?</v>
      </c>
      <c r="BU457" s="2" t="e">
        <f ca="1">_xll.BDH($C$453,"TOTAL_EQUITY_SEQUENTIAL_GROWTH","FQ4 2014","FQ4 2014","Currency=INR","Period=FQ","BEST_FPERIOD_OVERRIDE=FQ","FILING_STATUS=OR","EQY_CONSOLIDATED=Y","Sort=A","Dates=H","DateFormat=P","Fill=—","Direction=H","UseDPDF=Y")</f>
        <v>#NAME?</v>
      </c>
      <c r="BV457" s="2" t="e">
        <f ca="1">_xll.BDH($C$453,"TOTAL_CAPITAL_SEQUENTIAL_GROWTH","FQ4 2014","FQ4 2014","Currency=INR","Period=FQ","BEST_FPERIOD_OVERRIDE=FQ","FILING_STATUS=OR","EQY_CONSOLIDATED=Y","Sort=A","Dates=H","DateFormat=P","Fill=—","Direction=H","UseDPDF=Y")</f>
        <v>#NAME?</v>
      </c>
      <c r="BW457" s="2" t="e">
        <f ca="1">_xll.BDH($C$453,"BPS_SEQUENTIAL_GROWTH","FQ4 2014","FQ4 2014","Currency=INR","Period=FQ","BEST_FPERIOD_OVERRIDE=FQ","FILING_STATUS=OR","EQY_CONSOLIDATED=Y","Sort=A","Dates=H","DateFormat=P","Fill=—","Direction=H","UseDPDF=Y")</f>
        <v>#NAME?</v>
      </c>
      <c r="BX457" s="2" t="e">
        <f ca="1">_xll.BDH($C$453,"CFO_SEQUENTIAL_GROWTH","FQ4 2014","FQ4 2014","Currency=INR","Period=FQ","BEST_FPERIOD_OVERRIDE=FQ","FILING_STATUS=OR","EQY_CONSOLIDATED=Y","Sort=A","Dates=H","DateFormat=P","Fill=—","Direction=H","UseDPDF=Y")</f>
        <v>#NAME?</v>
      </c>
      <c r="BY457" s="3" t="e">
        <f ca="1">_xll.BDH($C$453,"SHORT_AND_LONG_TERM_DEBT","FQ4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457" s="3" t="e">
        <f ca="1">_xll.BDH($C$453,"BS_ST_BORROW","FQ4 2014","FQ4 2014","Currency=INR","Period=FQ","BEST_FPERIOD_OVERRIDE=FQ","FILING_STATUS=OR","EQY_CONSOLIDATED=Y","SCALING_FORMAT=MLN","Sort=A","Dates=H","DateFormat=P","Fill=—","Direction=H","UseDPDF=Y")</f>
        <v>#NAME?</v>
      </c>
      <c r="CA457" s="3" t="e">
        <f ca="1">_xll.BDH($C$453,"BS_LT_BORROW","FQ4 2014","FQ4 2014","Currency=INR","Period=FQ","BEST_FPERIOD_OVERRIDE=FQ","FILING_STATUS=OR","EQY_CONSOLIDATED=Y","SCALING_FORMAT=MLN","Sort=A","Dates=H","DateFormat=P","Fill=—","Direction=H","UseDPDF=Y")</f>
        <v>#NAME?</v>
      </c>
      <c r="CB457" s="2" t="e">
        <f ca="1">_xll.BDH($C$453,"TOT_DEBT_TO_EBITDA","FQ4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457" s="2" t="e">
        <f ca="1">_xll.BDH($C$453,"NET_DEBT_TO_EBITDA","FQ4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457" s="2" t="e">
        <f ca="1">_xll.BDH($C$453,"TOTAL_DEBT_TO_EBIT","FQ4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457" s="2" t="e">
        <f ca="1">_xll.BDH($C$453,"NET_DEBT_TO_EBIT","FQ4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457" s="2" t="e">
        <f ca="1">_xll.BDH($C$453,"EBITDA_TO_INTEREST_EXPN","FQ4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457" s="2" t="e">
        <f ca="1">_xll.BDH($C$453,"COM_EQY_TO_TOT_ASSET","FQ4 2014","FQ4 2014","Currency=INR","Period=FQ","BEST_FPERIOD_OVERRIDE=FQ","FILING_STATUS=OR","EQY_CONSOLIDATED=Y","Sort=A","Dates=H","DateFormat=P","Fill=—","Direction=H","UseDPDF=Y")</f>
        <v>#NAME?</v>
      </c>
      <c r="CH457" s="2" t="e">
        <f ca="1">_xll.BDH($C$453,"LT_DEBT_TO_TOT_EQY","FQ4 2014","FQ4 2014","Currency=INR","Period=FQ","BEST_FPERIOD_OVERRIDE=FQ","FILING_STATUS=OR","EQY_CONSOLIDATED=Y","Sort=A","Dates=H","DateFormat=P","Fill=—","Direction=H","UseDPDF=Y")</f>
        <v>#NAME?</v>
      </c>
      <c r="CI457" s="2" t="e">
        <f ca="1">_xll.BDH($C$453,"LT_DEBT_TO_TOT_CAP","FQ4 2014","FQ4 2014","Currency=INR","Period=FQ","BEST_FPERIOD_OVERRIDE=FQ","FILING_STATUS=OR","EQY_CONSOLIDATED=Y","Sort=A","Dates=H","DateFormat=P","Fill=—","Direction=H","UseDPDF=Y")</f>
        <v>#NAME?</v>
      </c>
      <c r="CJ457" s="2" t="e">
        <f ca="1">_xll.BDH($C$453,"LT_DEBT_TO_TOT_ASSET","FQ4 2014","FQ4 2014","Currency=INR","Period=FQ","BEST_FPERIOD_OVERRIDE=FQ","FILING_STATUS=OR","EQY_CONSOLIDATED=Y","Sort=A","Dates=H","DateFormat=P","Fill=—","Direction=H","UseDPDF=Y")</f>
        <v>#NAME?</v>
      </c>
      <c r="CK457" s="2" t="e">
        <f ca="1">_xll.BDH($C$453,"TOT_DEBT_TO_TOT_EQY","FQ4 2014","FQ4 2014","Currency=INR","Period=FQ","BEST_FPERIOD_OVERRIDE=FQ","FILING_STATUS=OR","EQY_CONSOLIDATED=Y","Sort=A","Dates=H","DateFormat=P","Fill=—","Direction=H","UseDPDF=Y")</f>
        <v>#NAME?</v>
      </c>
      <c r="CL457" s="2" t="e">
        <f ca="1">_xll.BDH($C$453,"TOT_DEBT_TO_TOT_CAP","FQ4 2014","FQ4 2014","Currency=INR","Period=FQ","BEST_FPERIOD_OVERRIDE=FQ","FILING_STATUS=OR","EQY_CONSOLIDATED=Y","Sort=A","Dates=H","DateFormat=P","Fill=—","Direction=H","UseDPDF=Y")</f>
        <v>#NAME?</v>
      </c>
      <c r="CM457" s="2" t="e">
        <f ca="1">_xll.BDH($C$453,"TOT_DEBT_TO_TOT_ASSET","FQ4 2014","FQ4 2014","Currency=INR","Period=FQ","BEST_FPERIOD_OVERRIDE=FQ","FILING_STATUS=OR","EQY_CONSOLIDATED=Y","Sort=A","Dates=H","DateFormat=P","Fill=—","Direction=H","UseDPDF=Y")</f>
        <v>#NAME?</v>
      </c>
      <c r="CN457" s="2" t="e">
        <f ca="1">_xll.BDH($C$453,"NET_DEBT_TO_SHRHLDR_EQTY","FQ4 2014","FQ4 2014","Currency=INR","Period=FQ","BEST_FPERIOD_OVERRIDE=FQ","FILING_STATUS=OR","EQY_CONSOLIDATED=Y","Sort=A","Dates=H","DateFormat=P","Fill=—","Direction=H","UseDPDF=Y")</f>
        <v>#NAME?</v>
      </c>
      <c r="CO457" s="2" t="e">
        <f ca="1">_xll.BDH($C$453,"NET_DEBT_%_CAPITAL","FQ4 2014","FQ4 2014","Currency=INR","Period=FQ","BEST_FPERIOD_OVERRIDE=FQ","FILING_STATUS=OR","EQY_CONSOLIDATED=Y","Sort=A","Dates=H","DateFormat=P","Fill=—","Direction=H","UseDPDF=Y")</f>
        <v>#NAME?</v>
      </c>
      <c r="CP457" s="3" t="e">
        <f ca="1">_xll.BDH($C$453,"EBITDA","FQ4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457" s="3" t="e">
        <f ca="1">_xll.BDH($C$453,"EBITDA_AFTER_CAPEX","FQ4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457" s="3" t="e">
        <f ca="1">_xll.BDH($C$453,"IS_OPER_INC","FQ4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457" s="2" t="e">
        <f ca="1">_xll.BDH($C$453,"CASH_RATIO","FQ4 2014","FQ4 2014","Currency=INR","Period=FQ","BEST_FPERIOD_OVERRIDE=FQ","FILING_STATUS=OR","EQY_CONSOLIDATED=Y","Sort=A","Dates=H","DateFormat=P","Fill=—","Direction=H","UseDPDF=Y")</f>
        <v>#NAME?</v>
      </c>
      <c r="CT457" s="2" t="e">
        <f ca="1">_xll.BDH($C$453,"CUR_RATIO","FQ4 2014","FQ4 2014","Currency=INR","Period=FQ","BEST_FPERIOD_OVERRIDE=FQ","FILING_STATUS=OR","EQY_CONSOLIDATED=Y","Sort=A","Dates=H","DateFormat=P","Fill=—","Direction=H","UseDPDF=Y")</f>
        <v>#NAME?</v>
      </c>
      <c r="CU457" s="2" t="e">
        <f ca="1">_xll.BDH($C$453,"QUICK_RATIO","FQ4 2014","FQ4 2014","Currency=INR","Period=FQ","BEST_FPERIOD_OVERRIDE=FQ","FILING_STATUS=OR","EQY_CONSOLIDATED=Y","Sort=A","Dates=H","DateFormat=P","Fill=—","Direction=H","UseDPDF=Y")</f>
        <v>#NAME?</v>
      </c>
      <c r="CV457" s="2" t="e">
        <f ca="1">_xll.BDH($C$453,"ALTMAN_Z_SCORE","FQ4 2014","FQ4 2014","Currency=INR","Period=FQ","BEST_FPERIOD_OVERRIDE=FQ","FILING_STATUS=OR","EQY_CONSOLIDATED=Y","Sort=A","Dates=H","DateFormat=P","Fill=—","Direction=H","UseDPDF=Y")</f>
        <v>#NAME?</v>
      </c>
      <c r="CW457" s="4" t="e">
        <f ca="1">_xll.BDH($C$453,"ACCT_RCV_TURN","FQ4 2014","FQ4 2014","Currency=INR","Period=FQ","BEST_FPERIOD_OVERRIDE=FQ","FILING_STATUS=OR","EQY_CONSOLIDATED=Y","FA_ADJUSTED=GAAP","Sort=A","Dates=H","DateFormat=P","Fill=—","Direction=H","UseDPDF=Y")</f>
        <v>#NAME?</v>
      </c>
      <c r="CX457" s="2" t="e">
        <f ca="1">_xll.BDH($C$453,"ACCT_RCV_DAYS","FQ4 2014","FQ4 2014","Currency=INR","Period=FQ","BEST_FPERIOD_OVERRIDE=FQ","FILING_STATUS=OR","EQY_CONSOLIDATED=Y","FA_ADJUSTED=GAAP","Sort=A","Dates=H","DateFormat=P","Fill=—","Direction=H","UseDPDF=Y")</f>
        <v>#NAME?</v>
      </c>
      <c r="CY457" s="4" t="e">
        <f ca="1">_xll.BDH($C$453,"INVENT_TURN","FQ4 2014","FQ4 2014","Currency=INR","Period=FQ","BEST_FPERIOD_OVERRIDE=FQ","FILING_STATUS=OR","EQY_CONSOLIDATED=Y","FA_ADJUSTED=GAAP","Sort=A","Dates=H","DateFormat=P","Fill=—","Direction=H","UseDPDF=Y")</f>
        <v>#NAME?</v>
      </c>
      <c r="CZ457" s="2" t="e">
        <f ca="1">_xll.BDH($C$453,"INVENT_DAYS","FQ4 2014","FQ4 2014","Currency=INR","Period=FQ","BEST_FPERIOD_OVERRIDE=FQ","FILING_STATUS=OR","EQY_CONSOLIDATED=Y","FA_ADJUSTED=GAAP","Sort=A","Dates=H","DateFormat=P","Fill=—","Direction=H","UseDPDF=Y")</f>
        <v>#NAME?</v>
      </c>
      <c r="DA457" s="4" t="e">
        <f ca="1">_xll.BDH($C$453,"ACCOUNTS_PAYABLE_TURNOVER","FQ4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457" s="2" t="e">
        <f ca="1">_xll.BDH($C$453,"ACCOUNTS_PAYABLE_TURNOVER_DAYS","FQ4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457" s="4" t="e">
        <f ca="1">_xll.BDH($C$453,"CASH_CONVERSION_CYCLE","FQ4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457" s="4" t="e">
        <f ca="1">_xll.BDH($C$453,"INV_TO_CASH_DAYS","FQ4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457" s="5" t="e">
        <f ca="1">_xll.BDH($C$453,"BS_INVENTORIES","FQ4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457" s="3" t="e">
        <f ca="1">_xll.BDH($C$453,"INVTRY_RAW_MATERIALS","FQ4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457" s="3" t="e">
        <f ca="1">_xll.BDH($C$453,"INVTRY_IN_PROGRESS","FQ4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457" s="3" t="e">
        <f ca="1">_xll.BDH($C$453,"INVTRY_FINISHED_GOODS","FQ4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457" s="3" t="e">
        <f ca="1">_xll.BDH($C$453,"BS_OTHER_INV","FQ4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458" spans="1:113" x14ac:dyDescent="0.3">
      <c r="A458" s="6"/>
      <c r="B458" s="6"/>
      <c r="C458" s="6"/>
      <c r="D458" s="6" t="s">
        <v>82</v>
      </c>
      <c r="E458" t="s">
        <v>77</v>
      </c>
      <c r="F458" t="e">
        <f ca="1">_xll.BDH($C$453,"RETURN_COM_EQY","FY 2015","FY 2015","Currency=INR","Period=FY","BEST_FPERIOD_OVERRIDE=FY","FILING_STATUS=OR","EQY_CONSOLIDATED=Y","FA_ADJUSTED=GAAP","Sort=A","Dates=H","DateFormat=P","Fill=—","Direction=H","UseDPDF=Y")</f>
        <v>#NAME?</v>
      </c>
      <c r="G458" t="e">
        <f ca="1">_xll.BDH($C$453,"RETURN_ON_ASSET","FY 2015","FY 2015","Currency=INR","Period=FY","BEST_FPERIOD_OVERRIDE=FY","FILING_STATUS=OR","EQY_CONSOLIDATED=Y","FA_ADJUSTED=GAAP","Sort=A","Dates=H","DateFormat=P","Fill=—","Direction=H","UseDPDF=Y")</f>
        <v>#NAME?</v>
      </c>
      <c r="H458" t="e">
        <f ca="1">_xll.BDH($C$453,"RETURN_ON_CAP","FY 2015","FY 2015","Currency=INR","Period=FY","BEST_FPERIOD_OVERRIDE=FY","FILING_STATUS=OR","EQY_CONSOLIDATED=Y","FA_ADJUSTED=GAAP","Sort=A","Dates=H","DateFormat=P","Fill=—","Direction=H","UseDPDF=Y")</f>
        <v>#NAME?</v>
      </c>
      <c r="I458" t="e">
        <f ca="1">_xll.BDH($C$453,"RETURN_ON_INV_CAPITAL","FY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458" t="e">
        <f ca="1">_xll.BDH($C$453,"EBITDA_TO_REVENUE","FY 2015","FY 2015","Currency=INR","Period=FY","BEST_FPERIOD_OVERRIDE=FY","FILING_STATUS=OR","EQY_CONSOLIDATED=Y","FA_ADJUSTED=GAAP","Sort=A","Dates=H","DateFormat=P","Fill=—","Direction=H","UseDPDF=Y")</f>
        <v>#NAME?</v>
      </c>
      <c r="K458" t="e">
        <f ca="1">_xll.BDH($C$453,"OPER_MARGIN","FY 2015","FY 2015","Currency=INR","Period=FY","BEST_FPERIOD_OVERRIDE=FY","FILING_STATUS=OR","EQY_CONSOLIDATED=Y","FA_ADJUSTED=GAAP","Sort=A","Dates=H","DateFormat=P","Fill=—","Direction=H","UseDPDF=Y")</f>
        <v>#NAME?</v>
      </c>
      <c r="L458" t="e">
        <f ca="1">_xll.BDH($C$453,"INCREMENTAL_OPERATING_MARGIN","FY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458" t="e">
        <f ca="1">_xll.BDH($C$453,"PRETAX_INC_TO_NET_SALES","FY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458" t="e">
        <f ca="1">_xll.BDH($C$453,"INC_BEF_XO_ITEMS_TO_NET_SALES","FY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458" t="e">
        <f ca="1">_xll.BDH($C$453,"PROF_MARGIN","FY 2015","FY 2015","Currency=INR","Period=FY","BEST_FPERIOD_OVERRIDE=FY","FILING_STATUS=OR","EQY_CONSOLIDATED=Y","FA_ADJUSTED=GAAP","Sort=A","Dates=H","DateFormat=P","Fill=—","Direction=H","UseDPDF=Y")</f>
        <v>#NAME?</v>
      </c>
      <c r="P458" t="e">
        <f ca="1">_xll.BDH($C$453,"NET_INCOME_TO_COMMON_MARGIN","FY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458" t="e">
        <f ca="1">_xll.BDH($C$453,"EFF_TAX_RATE","FY 2015","FY 2015","Currency=INR","Period=FY","BEST_FPERIOD_OVERRIDE=FY","FILING_STATUS=OR","EQY_CONSOLIDATED=Y","FA_ADJUSTED=GAAP","Sort=A","Dates=H","DateFormat=P","Fill=—","Direction=H","UseDPDF=Y")</f>
        <v>#NAME?</v>
      </c>
      <c r="R458" t="e">
        <f ca="1">_xll.BDH($C$453,"DVD_PAYOUT_RATIO","FY 2015","FY 2015","Currency=INR","Period=FY","BEST_FPERIOD_OVERRIDE=FY","FILING_STATUS=OR","EQY_CONSOLIDATED=Y","FA_ADJUSTED=GAAP","Sort=A","Dates=H","DateFormat=P","Fill=—","Direction=H","UseDPDF=Y")</f>
        <v>#NAME?</v>
      </c>
      <c r="S458" t="e">
        <f ca="1">_xll.BDH($C$453,"SUSTAIN_GROWTH_RT","FY 2015","FY 2015","Currency=INR","Period=FY","BEST_FPERIOD_OVERRIDE=FY","FILING_STATUS=OR","EQY_CONSOLIDATED=Y","FA_ADJUSTED=GAAP","Sort=A","Dates=H","DateFormat=P","Fill=—","Direction=H","UseDPDF=Y")</f>
        <v>#NAME?</v>
      </c>
      <c r="T458" s="2" t="e">
        <f ca="1">_xll.BDH($C$453,"SALES_GROWTH","FY 2015","FY 2015","Currency=INR","Period=FY","BEST_FPERIOD_OVERRIDE=FY","FILING_STATUS=OR","EQY_CONSOLIDATED=Y","FA_ADJUSTED=GAAP","Sort=A","Dates=H","DateFormat=P","Fill=—","Direction=H","UseDPDF=Y")</f>
        <v>#NAME?</v>
      </c>
      <c r="U458" s="2" t="e">
        <f ca="1">_xll.BDH($C$453,"EBITDA_GROWTH","FY 2015","FY 2015","Currency=INR","Period=FY","BEST_FPERIOD_OVERRIDE=FY","FILING_STATUS=OR","EQY_CONSOLIDATED=Y","FA_ADJUSTED=GAAP","Sort=A","Dates=H","DateFormat=P","Fill=—","Direction=H","UseDPDF=Y")</f>
        <v>#NAME?</v>
      </c>
      <c r="V458" s="2" t="e">
        <f ca="1">_xll.BDH($C$453,"OPER_INC_GROWTH","FY 2015","FY 2015","Currency=INR","Period=FY","BEST_FPERIOD_OVERRIDE=FY","FILING_STATUS=OR","EQY_CONSOLIDATED=Y","FA_ADJUSTED=GAAP","Sort=A","Dates=H","DateFormat=P","Fill=—","Direction=H","UseDPDF=Y")</f>
        <v>#NAME?</v>
      </c>
      <c r="W458" s="2" t="e">
        <f ca="1">_xll.BDH($C$453,"EARN_FOR_COM_GROWTH","FY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458" s="2" t="e">
        <f ca="1">_xll.BDH($C$453,"DILUTED_EPS_AFT_XO_ITEMS_GROWTH","FY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458" s="2" t="e">
        <f ca="1">_xll.BDH($C$453,"DIVIDEND_PER_SHARE_1_YEAR_GROWTH","FY 2015","FY 2015","Currency=INR","Period=FY","BEST_FPERIOD_OVERRIDE=FY","FILING_STATUS=OR","EQY_CONSOLIDATED=Y","Sort=A","Dates=H","DateFormat=P","Fill=—","Direction=H","UseDPDF=Y")</f>
        <v>#NAME?</v>
      </c>
      <c r="Z458" s="2" t="e">
        <f ca="1">_xll.BDH($C$453,"ACCOUNTS_RECEIVABLE_GROWTH","FY 2015","FY 2015","Currency=INR","Period=FY","BEST_FPERIOD_OVERRIDE=FY","FILING_STATUS=OR","EQY_CONSOLIDATED=Y","Sort=A","Dates=H","DateFormat=P","Fill=—","Direction=H","UseDPDF=Y")</f>
        <v>#NAME?</v>
      </c>
      <c r="AA458" s="2" t="e">
        <f ca="1">_xll.BDH($C$453,"INVENTORY_GROWTH","FY 2015","FY 2015","Currency=INR","Period=FY","BEST_FPERIOD_OVERRIDE=FY","FILING_STATUS=OR","EQY_CONSOLIDATED=Y","Sort=A","Dates=H","DateFormat=P","Fill=—","Direction=H","UseDPDF=Y")</f>
        <v>#NAME?</v>
      </c>
      <c r="AB458" s="2" t="e">
        <f ca="1">_xll.BDH($C$453,"NET_FIXED_ASSETS_1_YEAR_GROWTH","FY 2015","FY 2015","Currency=INR","Period=FY","BEST_FPERIOD_OVERRIDE=FY","FILING_STATUS=OR","EQY_CONSOLIDATED=Y","Sort=A","Dates=H","DateFormat=P","Fill=—","Direction=H","UseDPDF=Y")</f>
        <v>#NAME?</v>
      </c>
      <c r="AC458" s="2" t="e">
        <f ca="1">_xll.BDH($C$453,"ASSET_GROWTH","FY 2015","FY 2015","Currency=INR","Period=FY","BEST_FPERIOD_OVERRIDE=FY","FILING_STATUS=OR","EQY_CONSOLIDATED=Y","Sort=A","Dates=H","DateFormat=P","Fill=—","Direction=H","UseDPDF=Y")</f>
        <v>#NAME?</v>
      </c>
      <c r="AD458" s="2" t="e">
        <f ca="1">_xll.BDH($C$453,"MODIFIED_WORK_CAP_GROWTH","FY 2015","FY 2015","Currency=INR","Period=FY","BEST_FPERIOD_OVERRIDE=FY","FILING_STATUS=OR","EQY_CONSOLIDATED=Y","Sort=A","Dates=H","DateFormat=P","Fill=—","Direction=H","UseDPDF=Y")</f>
        <v>#NAME?</v>
      </c>
      <c r="AE458" s="2" t="e">
        <f ca="1">_xll.BDH($C$453,"WORK_CAP_GROWTH","FY 2015","FY 2015","Currency=INR","Period=FY","BEST_FPERIOD_OVERRIDE=FY","FILING_STATUS=OR","EQY_CONSOLIDATED=Y","Sort=A","Dates=H","DateFormat=P","Fill=—","Direction=H","UseDPDF=Y")</f>
        <v>#NAME?</v>
      </c>
      <c r="AF458" s="2" t="e">
        <f ca="1">_xll.BDH($C$453,"ACCOUNTS_PAYABLE_GROWTH_1YR","FY 2015","FY 2015","Currency=INR","Period=FY","BEST_FPERIOD_OVERRIDE=FY","FILING_STATUS=OR","EQY_CONSOLIDATED=Y","Sort=A","Dates=H","DateFormat=P","Fill=—","Direction=H","UseDPDF=Y")</f>
        <v>#NAME?</v>
      </c>
      <c r="AG458" s="2" t="e">
        <f ca="1">_xll.BDH($C$453,"SHORT_TERM_DEBT_1_YEAR_GROWTH","FY 2015","FY 2015","Currency=INR","Period=FY","BEST_FPERIOD_OVERRIDE=FY","FILING_STATUS=OR","EQY_CONSOLIDATED=Y","Sort=A","Dates=H","DateFormat=P","Fill=—","Direction=H","UseDPDF=Y")</f>
        <v>#NAME?</v>
      </c>
      <c r="AH458" s="2" t="e">
        <f ca="1">_xll.BDH($C$453,"TOTAL_DEBT_1_YEAR_GROWTH","FY 2015","FY 2015","Currency=INR","Period=FY","BEST_FPERIOD_OVERRIDE=FY","FILING_STATUS=OR","EQY_CONSOLIDATED=Y","Sort=A","Dates=H","DateFormat=P","Fill=—","Direction=H","UseDPDF=Y")</f>
        <v>#NAME?</v>
      </c>
      <c r="AI458" s="2" t="e">
        <f ca="1">_xll.BDH($C$453,"TOTAL_EQUITY_1_YEAR_GROWTH","FY 2015","FY 2015","Currency=INR","Period=FY","BEST_FPERIOD_OVERRIDE=FY","FILING_STATUS=OR","EQY_CONSOLIDATED=Y","Sort=A","Dates=H","DateFormat=P","Fill=—","Direction=H","UseDPDF=Y")</f>
        <v>#NAME?</v>
      </c>
      <c r="AJ458" s="2" t="e">
        <f ca="1">_xll.BDH($C$453,"GROWTH_IN_CAP","FY 2015","FY 2015","Currency=INR","Period=FY","BEST_FPERIOD_OVERRIDE=FY","FILING_STATUS=OR","EQY_CONSOLIDATED=Y","Sort=A","Dates=H","DateFormat=P","Fill=—","Direction=H","UseDPDF=Y")</f>
        <v>#NAME?</v>
      </c>
      <c r="AK458" s="2" t="e">
        <f ca="1">_xll.BDH($C$453,"BVPS_GROWTH","FY 2015","FY 2015","Currency=INR","Period=FY","BEST_FPERIOD_OVERRIDE=FY","FILING_STATUS=OR","EQY_CONSOLIDATED=Y","Sort=A","Dates=H","DateFormat=P","Fill=—","Direction=H","UseDPDF=Y")</f>
        <v>#NAME?</v>
      </c>
      <c r="AL458" s="2" t="e">
        <f ca="1">_xll.BDH($C$453,"CASH_FLOW_GROWTH","FY 2015","FY 2015","Currency=INR","Period=FY","BEST_FPERIOD_OVERRIDE=FY","FILING_STATUS=OR","EQY_CONSOLIDATED=Y","Sort=A","Dates=H","DateFormat=P","Fill=—","Direction=H","UseDPDF=Y")</f>
        <v>#NAME?</v>
      </c>
      <c r="AM458" s="2" t="e">
        <f ca="1">_xll.BDH($C$453,"GEO_GROW_NET_SALES","FY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458" s="2" t="e">
        <f ca="1">_xll.BDH($C$453,"GEO_GROW_EBITDA","FY 2015","FY 2015","Currency=INR","Period=FY","BEST_FPERIOD_OVERRIDE=FY","FILING_STATUS=OR","EQY_CONSOLIDATED=Y","FA_ADJUSTED=GAAP","Sort=A","Dates=H","DateFormat=P","Fill=—","Direction=H","UseDPDF=Y")</f>
        <v>#NAME?</v>
      </c>
      <c r="AO458" s="2" t="e">
        <f ca="1">_xll.BDH($C$453,"GEO_GROW_OPER_INC","FY 2015","FY 2015","Currency=INR","Period=FY","BEST_FPERIOD_OVERRIDE=FY","FILING_STATUS=OR","EQY_CONSOLIDATED=Y","FA_ADJUSTED=GAAP","Sort=A","Dates=H","DateFormat=P","Fill=—","Direction=H","UseDPDF=Y")</f>
        <v>#NAME?</v>
      </c>
      <c r="AP458" s="2" t="e">
        <f ca="1">_xll.BDH($C$453,"NET_INCOME_TO_COMMON_5_YR_GROWTH","FY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458" s="2" t="e">
        <f ca="1">_xll.BDH($C$453,"5Y_GEO_GROWTH_DILUTED_EPS","FY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458" s="2" t="e">
        <f ca="1">_xll.BDH($C$453,"GEO_GROW_DVD_PER_SH","FY 2015","FY 2015","Currency=INR","Period=FY","BEST_FPERIOD_OVERRIDE=FY","FILING_STATUS=OR","EQY_CONSOLIDATED=Y","Sort=A","Dates=H","DateFormat=P","Fill=—","Direction=H","UseDPDF=Y")</f>
        <v>#NAME?</v>
      </c>
      <c r="AS458" s="2" t="e">
        <f ca="1">_xll.BDH($C$453,"ACCOUNTS_RECEIVABLE_5_YR_GROWTH","FY 2015","FY 2015","Currency=INR","Period=FY","BEST_FPERIOD_OVERRIDE=FY","FILING_STATUS=OR","EQY_CONSOLIDATED=Y","Sort=A","Dates=H","DateFormat=P","Fill=—","Direction=H","UseDPDF=Y")</f>
        <v>#NAME?</v>
      </c>
      <c r="AT458" s="2" t="e">
        <f ca="1">_xll.BDH($C$453,"INVENTORY_5_YEAR_GROWTH","FY 2015","FY 2015","Currency=INR","Period=FY","BEST_FPERIOD_OVERRIDE=FY","FILING_STATUS=OR","EQY_CONSOLIDATED=Y","Sort=A","Dates=H","DateFormat=P","Fill=—","Direction=H","UseDPDF=Y")</f>
        <v>#NAME?</v>
      </c>
      <c r="AU458" s="2" t="e">
        <f ca="1">_xll.BDH($C$453,"NET_FIXED_ASSETS_5_YEAR_GROWTH","FY 2015","FY 2015","Currency=INR","Period=FY","BEST_FPERIOD_OVERRIDE=FY","FILING_STATUS=OR","EQY_CONSOLIDATED=Y","Sort=A","Dates=H","DateFormat=P","Fill=—","Direction=H","UseDPDF=Y")</f>
        <v>#NAME?</v>
      </c>
      <c r="AV458" s="2" t="e">
        <f ca="1">_xll.BDH($C$453,"GEO_GROW_TOT_ASSET","FY 2015","FY 2015","Currency=INR","Period=FY","BEST_FPERIOD_OVERRIDE=FY","FILING_STATUS=OR","EQY_CONSOLIDATED=Y","Sort=A","Dates=H","DateFormat=P","Fill=—","Direction=H","UseDPDF=Y")</f>
        <v>#NAME?</v>
      </c>
      <c r="AW458" s="2" t="e">
        <f ca="1">_xll.BDH($C$453,"MODIFIED_WORKING_CPTL_5YR_GRWTH","FY 2015","FY 2015","Currency=INR","Period=FY","BEST_FPERIOD_OVERRIDE=FY","FILING_STATUS=OR","EQY_CONSOLIDATED=Y","Sort=A","Dates=H","DateFormat=P","Fill=—","Direction=H","UseDPDF=Y")</f>
        <v>#NAME?</v>
      </c>
      <c r="AX458" s="2" t="e">
        <f ca="1">_xll.BDH($C$453,"WORKING_CAPITAL_5_YEAR_GROWTH","FY 2015","FY 2015","Currency=INR","Period=FY","BEST_FPERIOD_OVERRIDE=FY","FILING_STATUS=OR","EQY_CONSOLIDATED=Y","Sort=A","Dates=H","DateFormat=P","Fill=—","Direction=H","UseDPDF=Y")</f>
        <v>#NAME?</v>
      </c>
      <c r="AY458" s="2" t="e">
        <f ca="1">_xll.BDH($C$453,"ACCOUNTS_PAYABLE_5_YEAR_GROWTH","FY 2015","FY 2015","Currency=INR","Period=FY","BEST_FPERIOD_OVERRIDE=FY","FILING_STATUS=OR","EQY_CONSOLIDATED=Y","Sort=A","Dates=H","DateFormat=P","Fill=—","Direction=H","UseDPDF=Y")</f>
        <v>#NAME?</v>
      </c>
      <c r="AZ458" s="2" t="e">
        <f ca="1">_xll.BDH($C$453,"SHORT_TERM_DEBT_5_YEAR_GROWTH","FY 2015","FY 2015","Currency=INR","Period=FY","BEST_FPERIOD_OVERRIDE=FY","FILING_STATUS=OR","EQY_CONSOLIDATED=Y","Sort=A","Dates=H","DateFormat=P","Fill=—","Direction=H","UseDPDF=Y")</f>
        <v>#NAME?</v>
      </c>
      <c r="BA458" s="2" t="e">
        <f ca="1">_xll.BDH($C$453,"TOTAL_DEBT_5_YEAR_GROWTH","FY 2015","FY 2015","Currency=INR","Period=FY","BEST_FPERIOD_OVERRIDE=FY","FILING_STATUS=OR","EQY_CONSOLIDATED=Y","Sort=A","Dates=H","DateFormat=P","Fill=—","Direction=H","UseDPDF=Y")</f>
        <v>#NAME?</v>
      </c>
      <c r="BB458" s="2" t="e">
        <f ca="1">_xll.BDH($C$453,"GEO_GROW_TOT_SHRHLDR_EQY","FY 2015","FY 2015","Currency=INR","Period=FY","BEST_FPERIOD_OVERRIDE=FY","FILING_STATUS=OR","EQY_CONSOLIDATED=Y","Sort=A","Dates=H","DateFormat=P","Fill=—","Direction=H","UseDPDF=Y")</f>
        <v>#NAME?</v>
      </c>
      <c r="BC458" s="2" t="e">
        <f ca="1">_xll.BDH($C$453,"TOTAL_CAPITAL_5_YEAR_GROWTH","FY 2015","FY 2015","Currency=INR","Period=FY","BEST_FPERIOD_OVERRIDE=FY","FILING_STATUS=OR","EQY_CONSOLIDATED=Y","Sort=A","Dates=H","DateFormat=P","Fill=—","Direction=H","UseDPDF=Y")</f>
        <v>#NAME?</v>
      </c>
      <c r="BD458" s="2" t="e">
        <f ca="1">_xll.BDH($C$453,"GEO_GROW_BOOK_VAL","FY 2015","FY 2015","Currency=INR","Period=FY","BEST_FPERIOD_OVERRIDE=FY","FILING_STATUS=OR","EQY_CONSOLIDATED=Y","Sort=A","Dates=H","DateFormat=P","Fill=—","Direction=H","UseDPDF=Y")</f>
        <v>#NAME?</v>
      </c>
      <c r="BE458" s="2" t="e">
        <f ca="1">_xll.BDH($C$453,"GEO_GROW_CASH_OPER_ACT","FY 2015","FY 2015","Currency=INR","Period=FY","BEST_FPERIOD_OVERRIDE=FY","FILING_STATUS=OR","EQY_CONSOLIDATED=Y","Sort=A","Dates=H","DateFormat=P","Fill=—","Direction=H","UseDPDF=Y")</f>
        <v>#NAME?</v>
      </c>
      <c r="BF458" s="2" t="e">
        <f ca="1">_xll.BDH($C$453,"REVENUE_SEQUENTIAL_GROWTH","FY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458" s="2" t="e">
        <f ca="1">_xll.BDH($C$453,"EBITDA_SEQUENTIAL_GROWTH","FY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458" s="2" t="e">
        <f ca="1">_xll.BDH($C$453,"OPERATING_INCOME_SEQ_GROWTH","FY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458" s="2" t="e">
        <f ca="1">_xll.BDH($C$453,"NET_INCOME_TO_COMMON_SEQ_GROWTH","FY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458" s="2" t="e">
        <f ca="1">_xll.BDH($C$453,"EPS_DILUTED_SEQUENTIAL_GROWTH","FY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458" s="2" t="e">
        <f ca="1">_xll.BDH($C$453,"DPS_SEQUENTIAL_GROWTH","FY 2015","FY 2015","Currency=INR","Period=FY","BEST_FPERIOD_OVERRIDE=FY","FILING_STATUS=OR","EQY_CONSOLIDATED=Y","Sort=A","Dates=H","DateFormat=P","Fill=—","Direction=H","UseDPDF=Y")</f>
        <v>#NAME?</v>
      </c>
      <c r="BL458" s="2" t="e">
        <f ca="1">_xll.BDH($C$453,"ACCOUNTS_RECEIVABLE_SEQ_GROWTH","FY 2015","FY 2015","Currency=INR","Period=FY","BEST_FPERIOD_OVERRIDE=FY","FILING_STATUS=OR","EQY_CONSOLIDATED=Y","Sort=A","Dates=H","DateFormat=P","Fill=—","Direction=H","UseDPDF=Y")</f>
        <v>#NAME?</v>
      </c>
      <c r="BM458" s="2" t="e">
        <f ca="1">_xll.BDH($C$453,"INVENTORY_SEQUENTIAL_GROWTH","FY 2015","FY 2015","Currency=INR","Period=FY","BEST_FPERIOD_OVERRIDE=FY","FILING_STATUS=OR","EQY_CONSOLIDATED=Y","Sort=A","Dates=H","DateFormat=P","Fill=—","Direction=H","UseDPDF=Y")</f>
        <v>#NAME?</v>
      </c>
      <c r="BN458" s="2" t="e">
        <f ca="1">_xll.BDH($C$453,"FIXED_ASSETS_SEQUENTIAL_GROWTH","FY 2015","FY 2015","Currency=INR","Period=FY","BEST_FPERIOD_OVERRIDE=FY","FILING_STATUS=OR","EQY_CONSOLIDATED=Y","Sort=A","Dates=H","DateFormat=P","Fill=—","Direction=H","UseDPDF=Y")</f>
        <v>#NAME?</v>
      </c>
      <c r="BO458" s="2" t="e">
        <f ca="1">_xll.BDH($C$453,"TOTAL_ASSETS_SEQUENTIAL_GROWTH","FY 2015","FY 2015","Currency=INR","Period=FY","BEST_FPERIOD_OVERRIDE=FY","FILING_STATUS=OR","EQY_CONSOLIDATED=Y","Sort=A","Dates=H","DateFormat=P","Fill=—","Direction=H","UseDPDF=Y")</f>
        <v>#NAME?</v>
      </c>
      <c r="BP458" s="2" t="e">
        <f ca="1">_xll.BDH($C$453,"MODIFIED_WORKING_CPTL_SEQ_GRWTH","FY 2015","FY 2015","Currency=INR","Period=FY","BEST_FPERIOD_OVERRIDE=FY","FILING_STATUS=OR","EQY_CONSOLIDATED=Y","Sort=A","Dates=H","DateFormat=P","Fill=—","Direction=H","UseDPDF=Y")</f>
        <v>#NAME?</v>
      </c>
      <c r="BQ458" s="2" t="e">
        <f ca="1">_xll.BDH($C$453,"WORKING_CAPITAL_SEQ_GROWTH","FY 2015","FY 2015","Currency=INR","Period=FY","BEST_FPERIOD_OVERRIDE=FY","FILING_STATUS=OR","EQY_CONSOLIDATED=Y","Sort=A","Dates=H","DateFormat=P","Fill=—","Direction=H","UseDPDF=Y")</f>
        <v>#NAME?</v>
      </c>
      <c r="BR458" s="2" t="e">
        <f ca="1">_xll.BDH($C$453,"ACCOUNTS_PAYABLE_SEQ_GROWTH","FY 2015","FY 2015","Currency=INR","Period=FY","BEST_FPERIOD_OVERRIDE=FY","FILING_STATUS=OR","EQY_CONSOLIDATED=Y","Sort=A","Dates=H","DateFormat=P","Fill=—","Direction=H","UseDPDF=Y")</f>
        <v>#NAME?</v>
      </c>
      <c r="BS458" s="2" t="e">
        <f ca="1">_xll.BDH($C$453,"ST_DEBT_SEQUENTIAL_GROWTH","FY 2015","FY 2015","Currency=INR","Period=FY","BEST_FPERIOD_OVERRIDE=FY","FILING_STATUS=OR","EQY_CONSOLIDATED=Y","Sort=A","Dates=H","DateFormat=P","Fill=—","Direction=H","UseDPDF=Y")</f>
        <v>#NAME?</v>
      </c>
      <c r="BT458" s="2" t="e">
        <f ca="1">_xll.BDH($C$453,"TOTAL_DEBT_SEQUENTIAL_GROWTH","FY 2015","FY 2015","Currency=INR","Period=FY","BEST_FPERIOD_OVERRIDE=FY","FILING_STATUS=OR","EQY_CONSOLIDATED=Y","Sort=A","Dates=H","DateFormat=P","Fill=—","Direction=H","UseDPDF=Y")</f>
        <v>#NAME?</v>
      </c>
      <c r="BU458" s="2" t="e">
        <f ca="1">_xll.BDH($C$453,"TOTAL_EQUITY_SEQUENTIAL_GROWTH","FY 2015","FY 2015","Currency=INR","Period=FY","BEST_FPERIOD_OVERRIDE=FY","FILING_STATUS=OR","EQY_CONSOLIDATED=Y","Sort=A","Dates=H","DateFormat=P","Fill=—","Direction=H","UseDPDF=Y")</f>
        <v>#NAME?</v>
      </c>
      <c r="BV458" s="2" t="e">
        <f ca="1">_xll.BDH($C$453,"TOTAL_CAPITAL_SEQUENTIAL_GROWTH","FY 2015","FY 2015","Currency=INR","Period=FY","BEST_FPERIOD_OVERRIDE=FY","FILING_STATUS=OR","EQY_CONSOLIDATED=Y","Sort=A","Dates=H","DateFormat=P","Fill=—","Direction=H","UseDPDF=Y")</f>
        <v>#NAME?</v>
      </c>
      <c r="BW458" s="2" t="e">
        <f ca="1">_xll.BDH($C$453,"BPS_SEQUENTIAL_GROWTH","FY 2015","FY 2015","Currency=INR","Period=FY","BEST_FPERIOD_OVERRIDE=FY","FILING_STATUS=OR","EQY_CONSOLIDATED=Y","Sort=A","Dates=H","DateFormat=P","Fill=—","Direction=H","UseDPDF=Y")</f>
        <v>#NAME?</v>
      </c>
      <c r="BX458" s="2" t="e">
        <f ca="1">_xll.BDH($C$453,"CFO_SEQUENTIAL_GROWTH","FY 2015","FY 2015","Currency=INR","Period=FY","BEST_FPERIOD_OVERRIDE=FY","FILING_STATUS=OR","EQY_CONSOLIDATED=Y","Sort=A","Dates=H","DateFormat=P","Fill=—","Direction=H","UseDPDF=Y")</f>
        <v>#NAME?</v>
      </c>
      <c r="BY458" s="3" t="e">
        <f ca="1">_xll.BDH($C$453,"SHORT_AND_LONG_TERM_DEBT","FY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458" s="3" t="e">
        <f ca="1">_xll.BDH($C$453,"BS_ST_BORROW","FY 2015","FY 2015","Currency=INR","Period=FY","BEST_FPERIOD_OVERRIDE=FY","FILING_STATUS=OR","EQY_CONSOLIDATED=Y","SCALING_FORMAT=MLN","Sort=A","Dates=H","DateFormat=P","Fill=—","Direction=H","UseDPDF=Y")</f>
        <v>#NAME?</v>
      </c>
      <c r="CA458" s="3" t="e">
        <f ca="1">_xll.BDH($C$453,"BS_LT_BORROW","FY 2015","FY 2015","Currency=INR","Period=FY","BEST_FPERIOD_OVERRIDE=FY","FILING_STATUS=OR","EQY_CONSOLIDATED=Y","SCALING_FORMAT=MLN","Sort=A","Dates=H","DateFormat=P","Fill=—","Direction=H","UseDPDF=Y")</f>
        <v>#NAME?</v>
      </c>
      <c r="CB458" s="2" t="e">
        <f ca="1">_xll.BDH($C$453,"TOT_DEBT_TO_EBITDA","FY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458" s="2" t="e">
        <f ca="1">_xll.BDH($C$453,"NET_DEBT_TO_EBITDA","FY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458" s="2" t="e">
        <f ca="1">_xll.BDH($C$453,"TOTAL_DEBT_TO_EBIT","FY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458" s="2" t="e">
        <f ca="1">_xll.BDH($C$453,"NET_DEBT_TO_EBIT","FY 2015","FY 2015","Currency=INR","Period=FY","BEST_FPERIOD_OVERRIDE=FY","FILING_STATUS=OR","EQY_CONSOLIDATED=Y","FA_ADJUSTED=GAAP","Sort=A","Dates=H","DateFormat=P","Fill=—","Direction=H","UseDPDF=Y")</f>
        <v>#NAME?</v>
      </c>
      <c r="CF458" s="2" t="e">
        <f ca="1">_xll.BDH($C$453,"EBITDA_TO_INTEREST_EXPN","FY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458" s="2" t="e">
        <f ca="1">_xll.BDH($C$453,"COM_EQY_TO_TOT_ASSET","FY 2015","FY 2015","Currency=INR","Period=FY","BEST_FPERIOD_OVERRIDE=FY","FILING_STATUS=OR","EQY_CONSOLIDATED=Y","Sort=A","Dates=H","DateFormat=P","Fill=—","Direction=H","UseDPDF=Y")</f>
        <v>#NAME?</v>
      </c>
      <c r="CH458" s="2" t="e">
        <f ca="1">_xll.BDH($C$453,"LT_DEBT_TO_TOT_EQY","FY 2015","FY 2015","Currency=INR","Period=FY","BEST_FPERIOD_OVERRIDE=FY","FILING_STATUS=OR","EQY_CONSOLIDATED=Y","Sort=A","Dates=H","DateFormat=P","Fill=—","Direction=H","UseDPDF=Y")</f>
        <v>#NAME?</v>
      </c>
      <c r="CI458" s="2" t="e">
        <f ca="1">_xll.BDH($C$453,"LT_DEBT_TO_TOT_CAP","FY 2015","FY 2015","Currency=INR","Period=FY","BEST_FPERIOD_OVERRIDE=FY","FILING_STATUS=OR","EQY_CONSOLIDATED=Y","Sort=A","Dates=H","DateFormat=P","Fill=—","Direction=H","UseDPDF=Y")</f>
        <v>#NAME?</v>
      </c>
      <c r="CJ458" s="2" t="e">
        <f ca="1">_xll.BDH($C$453,"LT_DEBT_TO_TOT_ASSET","FY 2015","FY 2015","Currency=INR","Period=FY","BEST_FPERIOD_OVERRIDE=FY","FILING_STATUS=OR","EQY_CONSOLIDATED=Y","Sort=A","Dates=H","DateFormat=P","Fill=—","Direction=H","UseDPDF=Y")</f>
        <v>#NAME?</v>
      </c>
      <c r="CK458" s="2" t="e">
        <f ca="1">_xll.BDH($C$453,"TOT_DEBT_TO_TOT_EQY","FY 2015","FY 2015","Currency=INR","Period=FY","BEST_FPERIOD_OVERRIDE=FY","FILING_STATUS=OR","EQY_CONSOLIDATED=Y","Sort=A","Dates=H","DateFormat=P","Fill=—","Direction=H","UseDPDF=Y")</f>
        <v>#NAME?</v>
      </c>
      <c r="CL458" s="2" t="e">
        <f ca="1">_xll.BDH($C$453,"TOT_DEBT_TO_TOT_CAP","FY 2015","FY 2015","Currency=INR","Period=FY","BEST_FPERIOD_OVERRIDE=FY","FILING_STATUS=OR","EQY_CONSOLIDATED=Y","Sort=A","Dates=H","DateFormat=P","Fill=—","Direction=H","UseDPDF=Y")</f>
        <v>#NAME?</v>
      </c>
      <c r="CM458" s="2" t="e">
        <f ca="1">_xll.BDH($C$453,"TOT_DEBT_TO_TOT_ASSET","FY 2015","FY 2015","Currency=INR","Period=FY","BEST_FPERIOD_OVERRIDE=FY","FILING_STATUS=OR","EQY_CONSOLIDATED=Y","Sort=A","Dates=H","DateFormat=P","Fill=—","Direction=H","UseDPDF=Y")</f>
        <v>#NAME?</v>
      </c>
      <c r="CN458" s="2" t="e">
        <f ca="1">_xll.BDH($C$453,"NET_DEBT_TO_SHRHLDR_EQTY","FY 2015","FY 2015","Currency=INR","Period=FY","BEST_FPERIOD_OVERRIDE=FY","FILING_STATUS=OR","EQY_CONSOLIDATED=Y","Sort=A","Dates=H","DateFormat=P","Fill=—","Direction=H","UseDPDF=Y")</f>
        <v>#NAME?</v>
      </c>
      <c r="CO458" s="2" t="e">
        <f ca="1">_xll.BDH($C$453,"NET_DEBT_%_CAPITAL","FY 2015","FY 2015","Currency=INR","Period=FY","BEST_FPERIOD_OVERRIDE=FY","FILING_STATUS=OR","EQY_CONSOLIDATED=Y","Sort=A","Dates=H","DateFormat=P","Fill=—","Direction=H","UseDPDF=Y")</f>
        <v>#NAME?</v>
      </c>
      <c r="CP458" s="3" t="e">
        <f ca="1">_xll.BDH($C$453,"EBITDA","FY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458" s="3" t="e">
        <f ca="1">_xll.BDH($C$453,"EBITDA_AFTER_CAPEX","FY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458" s="3" t="e">
        <f ca="1">_xll.BDH($C$453,"IS_OPER_INC","FY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458" s="2" t="e">
        <f ca="1">_xll.BDH($C$453,"CASH_RATIO","FY 2015","FY 2015","Currency=INR","Period=FY","BEST_FPERIOD_OVERRIDE=FY","FILING_STATUS=OR","EQY_CONSOLIDATED=Y","Sort=A","Dates=H","DateFormat=P","Fill=—","Direction=H","UseDPDF=Y")</f>
        <v>#NAME?</v>
      </c>
      <c r="CT458" s="2" t="e">
        <f ca="1">_xll.BDH($C$453,"CUR_RATIO","FY 2015","FY 2015","Currency=INR","Period=FY","BEST_FPERIOD_OVERRIDE=FY","FILING_STATUS=OR","EQY_CONSOLIDATED=Y","Sort=A","Dates=H","DateFormat=P","Fill=—","Direction=H","UseDPDF=Y")</f>
        <v>#NAME?</v>
      </c>
      <c r="CU458" s="2" t="e">
        <f ca="1">_xll.BDH($C$453,"QUICK_RATIO","FY 2015","FY 2015","Currency=INR","Period=FY","BEST_FPERIOD_OVERRIDE=FY","FILING_STATUS=OR","EQY_CONSOLIDATED=Y","Sort=A","Dates=H","DateFormat=P","Fill=—","Direction=H","UseDPDF=Y")</f>
        <v>#NAME?</v>
      </c>
      <c r="CV458" s="2" t="e">
        <f ca="1">_xll.BDH($C$453,"ALTMAN_Z_SCORE","FY 2015","FY 2015","Currency=INR","Period=FY","BEST_FPERIOD_OVERRIDE=FY","FILING_STATUS=OR","EQY_CONSOLIDATED=Y","Sort=A","Dates=H","DateFormat=P","Fill=—","Direction=H","UseDPDF=Y")</f>
        <v>#NAME?</v>
      </c>
      <c r="CW458" s="4" t="e">
        <f ca="1">_xll.BDH($C$453,"ACCT_RCV_TURN","FY 2015","FY 2015","Currency=INR","Period=FY","BEST_FPERIOD_OVERRIDE=FY","FILING_STATUS=OR","EQY_CONSOLIDATED=Y","FA_ADJUSTED=GAAP","Sort=A","Dates=H","DateFormat=P","Fill=—","Direction=H","UseDPDF=Y")</f>
        <v>#NAME?</v>
      </c>
      <c r="CX458" s="2" t="e">
        <f ca="1">_xll.BDH($C$453,"ACCT_RCV_DAYS","FY 2015","FY 2015","Currency=INR","Period=FY","BEST_FPERIOD_OVERRIDE=FY","FILING_STATUS=OR","EQY_CONSOLIDATED=Y","FA_ADJUSTED=GAAP","Sort=A","Dates=H","DateFormat=P","Fill=—","Direction=H","UseDPDF=Y")</f>
        <v>#NAME?</v>
      </c>
      <c r="CY458" s="4" t="e">
        <f ca="1">_xll.BDH($C$453,"INVENT_TURN","FY 2015","FY 2015","Currency=INR","Period=FY","BEST_FPERIOD_OVERRIDE=FY","FILING_STATUS=OR","EQY_CONSOLIDATED=Y","FA_ADJUSTED=GAAP","Sort=A","Dates=H","DateFormat=P","Fill=—","Direction=H","UseDPDF=Y")</f>
        <v>#NAME?</v>
      </c>
      <c r="CZ458" s="2" t="e">
        <f ca="1">_xll.BDH($C$453,"INVENT_DAYS","FY 2015","FY 2015","Currency=INR","Period=FY","BEST_FPERIOD_OVERRIDE=FY","FILING_STATUS=OR","EQY_CONSOLIDATED=Y","FA_ADJUSTED=GAAP","Sort=A","Dates=H","DateFormat=P","Fill=—","Direction=H","UseDPDF=Y")</f>
        <v>#NAME?</v>
      </c>
      <c r="DA458" s="4" t="e">
        <f ca="1">_xll.BDH($C$453,"ACCOUNTS_PAYABLE_TURNOVER","FY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458" s="2" t="e">
        <f ca="1">_xll.BDH($C$453,"ACCOUNTS_PAYABLE_TURNOVER_DAYS","FY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458" s="4" t="e">
        <f ca="1">_xll.BDH($C$453,"CASH_CONVERSION_CYCLE","FY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458" s="4" t="e">
        <f ca="1">_xll.BDH($C$453,"INV_TO_CASH_DAYS","FY 2015","FY 2015","Currency=INR","Period=FY","BEST_FPERIOD_OVERRIDE=FY","FILING_STATUS=OR","EQY_CONSOLIDATED=Y","FA_ADJUSTED=GAAP","Sort=A","Dates=H","DateFormat=P","Fill=—","Direction=H","UseDPDF=Y")</f>
        <v>#NAME?</v>
      </c>
      <c r="DE458" s="5" t="e">
        <f ca="1">_xll.BDH($C$453,"BS_INVENTORIES","FY 2015","FY 2015","Currency=INR","Period=FY","BEST_FPERIOD_OVERRIDE=FY","FILING_STATUS=OR","EQY_CONSOLIDATED=Y","SCALING_FORMAT=MLN","Sort=A","Dates=H","DateFormat=P","Fill=—","Direction=H","UseDPDF=Y")</f>
        <v>#NAME?</v>
      </c>
      <c r="DF458" s="3" t="e">
        <f ca="1">_xll.BDH($C$453,"INVTRY_RAW_MATERIALS","FY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458" s="3" t="e">
        <f ca="1">_xll.BDH($C$453,"INVTRY_IN_PROGRESS","FY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458" s="3" t="e">
        <f ca="1">_xll.BDH($C$453,"INVTRY_FINISHED_GOODS","FY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458" s="3" t="e">
        <f ca="1">_xll.BDH($C$453,"BS_OTHER_INV","FY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459" spans="1:113" x14ac:dyDescent="0.3">
      <c r="A459" s="6"/>
      <c r="B459" s="6"/>
      <c r="C459" s="6"/>
      <c r="D459" s="6"/>
      <c r="E459" t="s">
        <v>78</v>
      </c>
      <c r="F459" t="e">
        <f ca="1">_xll.BDH($C$453,"RETURN_COM_EQY","FQ1 2015","FQ1 2015","Currency=INR","Period=FQ","BEST_FPERIOD_OVERRIDE=FQ","FILING_STATUS=OR","EQY_CONSOLIDATED=Y","FA_ADJUSTED=GAAP","Sort=A","Dates=H","DateFormat=P","Fill=—","Direction=H","UseDPDF=Y")</f>
        <v>#NAME?</v>
      </c>
      <c r="G459" t="e">
        <f ca="1">_xll.BDH($C$453,"RETURN_ON_ASSET","FQ1 2015","FQ1 2015","Currency=INR","Period=FQ","BEST_FPERIOD_OVERRIDE=FQ","FILING_STATUS=OR","EQY_CONSOLIDATED=Y","FA_ADJUSTED=GAAP","Sort=A","Dates=H","DateFormat=P","Fill=—","Direction=H","UseDPDF=Y")</f>
        <v>#NAME?</v>
      </c>
      <c r="H459" t="e">
        <f ca="1">_xll.BDH($C$453,"RETURN_ON_CAP","FQ1 2015","FQ1 2015","Currency=INR","Period=FQ","BEST_FPERIOD_OVERRIDE=FQ","FILING_STATUS=OR","EQY_CONSOLIDATED=Y","FA_ADJUSTED=GAAP","Sort=A","Dates=H","DateFormat=P","Fill=—","Direction=H","UseDPDF=Y")</f>
        <v>#NAME?</v>
      </c>
      <c r="I459" t="e">
        <f ca="1">_xll.BDH($C$453,"RETURN_ON_INV_CAPITAL","FQ1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459" t="e">
        <f ca="1">_xll.BDH($C$453,"EBITDA_TO_REVENUE","FQ1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459" t="e">
        <f ca="1">_xll.BDH($C$453,"OPER_MARGIN","FQ1 2015","FQ1 2015","Currency=INR","Period=FQ","BEST_FPERIOD_OVERRIDE=FQ","FILING_STATUS=OR","EQY_CONSOLIDATED=Y","FA_ADJUSTED=GAAP","Sort=A","Dates=H","DateFormat=P","Fill=—","Direction=H","UseDPDF=Y")</f>
        <v>#NAME?</v>
      </c>
      <c r="L459" t="e">
        <f ca="1">_xll.BDH($C$453,"INCREMENTAL_OPERATING_MARGIN","FQ1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459" t="e">
        <f ca="1">_xll.BDH($C$453,"PRETAX_INC_TO_NET_SALES","FQ1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459" t="e">
        <f ca="1">_xll.BDH($C$453,"INC_BEF_XO_ITEMS_TO_NET_SALES","FQ1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459" t="e">
        <f ca="1">_xll.BDH($C$453,"PROF_MARGIN","FQ1 2015","FQ1 2015","Currency=INR","Period=FQ","BEST_FPERIOD_OVERRIDE=FQ","FILING_STATUS=OR","EQY_CONSOLIDATED=Y","FA_ADJUSTED=GAAP","Sort=A","Dates=H","DateFormat=P","Fill=—","Direction=H","UseDPDF=Y")</f>
        <v>#NAME?</v>
      </c>
      <c r="P459" t="e">
        <f ca="1">_xll.BDH($C$453,"NET_INCOME_TO_COMMON_MARGIN","FQ1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459" t="e">
        <f ca="1">_xll.BDH($C$453,"EFF_TAX_RATE","FQ1 2015","FQ1 2015","Currency=INR","Period=FQ","BEST_FPERIOD_OVERRIDE=FQ","FILING_STATUS=OR","EQY_CONSOLIDATED=Y","FA_ADJUSTED=GAAP","Sort=A","Dates=H","DateFormat=P","Fill=—","Direction=H","UseDPDF=Y")</f>
        <v>#NAME?</v>
      </c>
      <c r="R459" t="e">
        <f ca="1">_xll.BDH($C$453,"DVD_PAYOUT_RATIO","FQ1 2015","FQ1 2015","Currency=INR","Period=FQ","BEST_FPERIOD_OVERRIDE=FQ","FILING_STATUS=OR","EQY_CONSOLIDATED=Y","FA_ADJUSTED=GAAP","Sort=A","Dates=H","DateFormat=P","Fill=—","Direction=H","UseDPDF=Y")</f>
        <v>#NAME?</v>
      </c>
      <c r="S459" t="e">
        <f ca="1">_xll.BDH($C$453,"SUSTAIN_GROWTH_RT","FQ1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459" s="2" t="e">
        <f ca="1">_xll.BDH($C$453,"SALES_GROWTH","FQ1 2015","FQ1 2015","Currency=INR","Period=FQ","BEST_FPERIOD_OVERRIDE=FQ","FILING_STATUS=OR","EQY_CONSOLIDATED=Y","FA_ADJUSTED=GAAP","Sort=A","Dates=H","DateFormat=P","Fill=—","Direction=H","UseDPDF=Y")</f>
        <v>#NAME?</v>
      </c>
      <c r="U459" s="2" t="e">
        <f ca="1">_xll.BDH($C$453,"EBITDA_GROWTH","FQ1 2015","FQ1 2015","Currency=INR","Period=FQ","BEST_FPERIOD_OVERRIDE=FQ","FILING_STATUS=OR","EQY_CONSOLIDATED=Y","FA_ADJUSTED=GAAP","Sort=A","Dates=H","DateFormat=P","Fill=—","Direction=H","UseDPDF=Y")</f>
        <v>#NAME?</v>
      </c>
      <c r="V459" s="2" t="e">
        <f ca="1">_xll.BDH($C$453,"OPER_INC_GROWTH","FQ1 2015","FQ1 2015","Currency=INR","Period=FQ","BEST_FPERIOD_OVERRIDE=FQ","FILING_STATUS=OR","EQY_CONSOLIDATED=Y","FA_ADJUSTED=GAAP","Sort=A","Dates=H","DateFormat=P","Fill=—","Direction=H","UseDPDF=Y")</f>
        <v>#NAME?</v>
      </c>
      <c r="W459" s="2" t="e">
        <f ca="1">_xll.BDH($C$453,"EARN_FOR_COM_GROWTH","FQ1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459" s="2" t="e">
        <f ca="1">_xll.BDH($C$453,"DILUTED_EPS_AFT_XO_ITEMS_GROWTH","FQ1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459" s="2" t="e">
        <f ca="1">_xll.BDH($C$453,"DIVIDEND_PER_SHARE_1_YEAR_GROWTH","FQ1 2015","FQ1 2015","Currency=INR","Period=FQ","BEST_FPERIOD_OVERRIDE=FQ","FILING_STATUS=OR","EQY_CONSOLIDATED=Y","Sort=A","Dates=H","DateFormat=P","Fill=—","Direction=H","UseDPDF=Y")</f>
        <v>#NAME?</v>
      </c>
      <c r="Z459" s="2" t="e">
        <f ca="1">_xll.BDH($C$453,"ACCOUNTS_RECEIVABLE_GROWTH","FQ1 2015","FQ1 2015","Currency=INR","Period=FQ","BEST_FPERIOD_OVERRIDE=FQ","FILING_STATUS=OR","EQY_CONSOLIDATED=Y","Sort=A","Dates=H","DateFormat=P","Fill=—","Direction=H","UseDPDF=Y")</f>
        <v>#NAME?</v>
      </c>
      <c r="AA459" s="2" t="e">
        <f ca="1">_xll.BDH($C$453,"INVENTORY_GROWTH","FQ1 2015","FQ1 2015","Currency=INR","Period=FQ","BEST_FPERIOD_OVERRIDE=FQ","FILING_STATUS=OR","EQY_CONSOLIDATED=Y","Sort=A","Dates=H","DateFormat=P","Fill=—","Direction=H","UseDPDF=Y")</f>
        <v>#NAME?</v>
      </c>
      <c r="AB459" s="2" t="e">
        <f ca="1">_xll.BDH($C$453,"NET_FIXED_ASSETS_1_YEAR_GROWTH","FQ1 2015","FQ1 2015","Currency=INR","Period=FQ","BEST_FPERIOD_OVERRIDE=FQ","FILING_STATUS=OR","EQY_CONSOLIDATED=Y","Sort=A","Dates=H","DateFormat=P","Fill=—","Direction=H","UseDPDF=Y")</f>
        <v>#NAME?</v>
      </c>
      <c r="AC459" s="2" t="e">
        <f ca="1">_xll.BDH($C$453,"ASSET_GROWTH","FQ1 2015","FQ1 2015","Currency=INR","Period=FQ","BEST_FPERIOD_OVERRIDE=FQ","FILING_STATUS=OR","EQY_CONSOLIDATED=Y","Sort=A","Dates=H","DateFormat=P","Fill=—","Direction=H","UseDPDF=Y")</f>
        <v>#NAME?</v>
      </c>
      <c r="AD459" s="2" t="e">
        <f ca="1">_xll.BDH($C$453,"MODIFIED_WORK_CAP_GROWTH","FQ1 2015","FQ1 2015","Currency=INR","Period=FQ","BEST_FPERIOD_OVERRIDE=FQ","FILING_STATUS=OR","EQY_CONSOLIDATED=Y","Sort=A","Dates=H","DateFormat=P","Fill=—","Direction=H","UseDPDF=Y")</f>
        <v>#NAME?</v>
      </c>
      <c r="AE459" s="2" t="e">
        <f ca="1">_xll.BDH($C$453,"WORK_CAP_GROWTH","FQ1 2015","FQ1 2015","Currency=INR","Period=FQ","BEST_FPERIOD_OVERRIDE=FQ","FILING_STATUS=OR","EQY_CONSOLIDATED=Y","Sort=A","Dates=H","DateFormat=P","Fill=—","Direction=H","UseDPDF=Y")</f>
        <v>#NAME?</v>
      </c>
      <c r="AF459" s="2" t="e">
        <f ca="1">_xll.BDH($C$453,"ACCOUNTS_PAYABLE_GROWTH_1YR","FQ1 2015","FQ1 2015","Currency=INR","Period=FQ","BEST_FPERIOD_OVERRIDE=FQ","FILING_STATUS=OR","EQY_CONSOLIDATED=Y","Sort=A","Dates=H","DateFormat=P","Fill=—","Direction=H","UseDPDF=Y")</f>
        <v>#NAME?</v>
      </c>
      <c r="AG459" s="2" t="e">
        <f ca="1">_xll.BDH($C$453,"SHORT_TERM_DEBT_1_YEAR_GROWTH","FQ1 2015","FQ1 2015","Currency=INR","Period=FQ","BEST_FPERIOD_OVERRIDE=FQ","FILING_STATUS=OR","EQY_CONSOLIDATED=Y","Sort=A","Dates=H","DateFormat=P","Fill=—","Direction=H","UseDPDF=Y")</f>
        <v>#NAME?</v>
      </c>
      <c r="AH459" s="2" t="e">
        <f ca="1">_xll.BDH($C$453,"TOTAL_DEBT_1_YEAR_GROWTH","FQ1 2015","FQ1 2015","Currency=INR","Period=FQ","BEST_FPERIOD_OVERRIDE=FQ","FILING_STATUS=OR","EQY_CONSOLIDATED=Y","Sort=A","Dates=H","DateFormat=P","Fill=—","Direction=H","UseDPDF=Y")</f>
        <v>#NAME?</v>
      </c>
      <c r="AI459" s="2" t="e">
        <f ca="1">_xll.BDH($C$453,"TOTAL_EQUITY_1_YEAR_GROWTH","FQ1 2015","FQ1 2015","Currency=INR","Period=FQ","BEST_FPERIOD_OVERRIDE=FQ","FILING_STATUS=OR","EQY_CONSOLIDATED=Y","Sort=A","Dates=H","DateFormat=P","Fill=—","Direction=H","UseDPDF=Y")</f>
        <v>#NAME?</v>
      </c>
      <c r="AJ459" s="2" t="e">
        <f ca="1">_xll.BDH($C$453,"GROWTH_IN_CAP","FQ1 2015","FQ1 2015","Currency=INR","Period=FQ","BEST_FPERIOD_OVERRIDE=FQ","FILING_STATUS=OR","EQY_CONSOLIDATED=Y","Sort=A","Dates=H","DateFormat=P","Fill=—","Direction=H","UseDPDF=Y")</f>
        <v>#NAME?</v>
      </c>
      <c r="AK459" s="2" t="e">
        <f ca="1">_xll.BDH($C$453,"BVPS_GROWTH","FQ1 2015","FQ1 2015","Currency=INR","Period=FQ","BEST_FPERIOD_OVERRIDE=FQ","FILING_STATUS=OR","EQY_CONSOLIDATED=Y","Sort=A","Dates=H","DateFormat=P","Fill=—","Direction=H","UseDPDF=Y")</f>
        <v>#NAME?</v>
      </c>
      <c r="AL459" s="2" t="e">
        <f ca="1">_xll.BDH($C$453,"CASH_FLOW_GROWTH","FQ1 2015","FQ1 2015","Currency=INR","Period=FQ","BEST_FPERIOD_OVERRIDE=FQ","FILING_STATUS=OR","EQY_CONSOLIDATED=Y","Sort=A","Dates=H","DateFormat=P","Fill=—","Direction=H","UseDPDF=Y")</f>
        <v>#NAME?</v>
      </c>
      <c r="AM459" s="2" t="e">
        <f ca="1">_xll.BDH($C$453,"GEO_GROW_NET_SALES","FQ1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459" s="2" t="e">
        <f ca="1">_xll.BDH($C$453,"GEO_GROW_EBITDA","FQ1 2015","FQ1 2015","Currency=INR","Period=FQ","BEST_FPERIOD_OVERRIDE=FQ","FILING_STATUS=OR","EQY_CONSOLIDATED=Y","FA_ADJUSTED=GAAP","Sort=A","Dates=H","DateFormat=P","Fill=—","Direction=H","UseDPDF=Y")</f>
        <v>#NAME?</v>
      </c>
      <c r="AO459" s="2" t="e">
        <f ca="1">_xll.BDH($C$453,"GEO_GROW_OPER_INC","FQ1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459" s="2" t="e">
        <f ca="1">_xll.BDH($C$453,"NET_INCOME_TO_COMMON_5_YR_GROWTH","FQ1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459" s="2" t="e">
        <f ca="1">_xll.BDH($C$453,"5Y_GEO_GROWTH_DILUTED_EPS","FQ1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459" s="2" t="e">
        <f ca="1">_xll.BDH($C$453,"GEO_GROW_DVD_PER_SH","FQ1 2015","FQ1 2015","Currency=INR","Period=FQ","BEST_FPERIOD_OVERRIDE=FQ","FILING_STATUS=OR","EQY_CONSOLIDATED=Y","Sort=A","Dates=H","DateFormat=P","Fill=—","Direction=H","UseDPDF=Y")</f>
        <v>#NAME?</v>
      </c>
      <c r="AS459" s="2" t="e">
        <f ca="1">_xll.BDH($C$453,"ACCOUNTS_RECEIVABLE_5_YR_GROWTH","FQ1 2015","FQ1 2015","Currency=INR","Period=FQ","BEST_FPERIOD_OVERRIDE=FQ","FILING_STATUS=OR","EQY_CONSOLIDATED=Y","Sort=A","Dates=H","DateFormat=P","Fill=—","Direction=H","UseDPDF=Y")</f>
        <v>#NAME?</v>
      </c>
      <c r="AT459" s="2" t="e">
        <f ca="1">_xll.BDH($C$453,"INVENTORY_5_YEAR_GROWTH","FQ1 2015","FQ1 2015","Currency=INR","Period=FQ","BEST_FPERIOD_OVERRIDE=FQ","FILING_STATUS=OR","EQY_CONSOLIDATED=Y","Sort=A","Dates=H","DateFormat=P","Fill=—","Direction=H","UseDPDF=Y")</f>
        <v>#NAME?</v>
      </c>
      <c r="AU459" s="2" t="e">
        <f ca="1">_xll.BDH($C$453,"NET_FIXED_ASSETS_5_YEAR_GROWTH","FQ1 2015","FQ1 2015","Currency=INR","Period=FQ","BEST_FPERIOD_OVERRIDE=FQ","FILING_STATUS=OR","EQY_CONSOLIDATED=Y","Sort=A","Dates=H","DateFormat=P","Fill=—","Direction=H","UseDPDF=Y")</f>
        <v>#NAME?</v>
      </c>
      <c r="AV459" s="2" t="e">
        <f ca="1">_xll.BDH($C$453,"GEO_GROW_TOT_ASSET","FQ1 2015","FQ1 2015","Currency=INR","Period=FQ","BEST_FPERIOD_OVERRIDE=FQ","FILING_STATUS=OR","EQY_CONSOLIDATED=Y","Sort=A","Dates=H","DateFormat=P","Fill=—","Direction=H","UseDPDF=Y")</f>
        <v>#NAME?</v>
      </c>
      <c r="AW459" s="2" t="e">
        <f ca="1">_xll.BDH($C$453,"MODIFIED_WORKING_CPTL_5YR_GRWTH","FQ1 2015","FQ1 2015","Currency=INR","Period=FQ","BEST_FPERIOD_OVERRIDE=FQ","FILING_STATUS=OR","EQY_CONSOLIDATED=Y","Sort=A","Dates=H","DateFormat=P","Fill=—","Direction=H","UseDPDF=Y")</f>
        <v>#NAME?</v>
      </c>
      <c r="AX459" s="2" t="e">
        <f ca="1">_xll.BDH($C$453,"WORKING_CAPITAL_5_YEAR_GROWTH","FQ1 2015","FQ1 2015","Currency=INR","Period=FQ","BEST_FPERIOD_OVERRIDE=FQ","FILING_STATUS=OR","EQY_CONSOLIDATED=Y","Sort=A","Dates=H","DateFormat=P","Fill=—","Direction=H","UseDPDF=Y")</f>
        <v>#NAME?</v>
      </c>
      <c r="AY459" s="2" t="e">
        <f ca="1">_xll.BDH($C$453,"ACCOUNTS_PAYABLE_5_YEAR_GROWTH","FQ1 2015","FQ1 2015","Currency=INR","Period=FQ","BEST_FPERIOD_OVERRIDE=FQ","FILING_STATUS=OR","EQY_CONSOLIDATED=Y","Sort=A","Dates=H","DateFormat=P","Fill=—","Direction=H","UseDPDF=Y")</f>
        <v>#NAME?</v>
      </c>
      <c r="AZ459" s="2" t="e">
        <f ca="1">_xll.BDH($C$453,"SHORT_TERM_DEBT_5_YEAR_GROWTH","FQ1 2015","FQ1 2015","Currency=INR","Period=FQ","BEST_FPERIOD_OVERRIDE=FQ","FILING_STATUS=OR","EQY_CONSOLIDATED=Y","Sort=A","Dates=H","DateFormat=P","Fill=—","Direction=H","UseDPDF=Y")</f>
        <v>#NAME?</v>
      </c>
      <c r="BA459" s="2" t="e">
        <f ca="1">_xll.BDH($C$453,"TOTAL_DEBT_5_YEAR_GROWTH","FQ1 2015","FQ1 2015","Currency=INR","Period=FQ","BEST_FPERIOD_OVERRIDE=FQ","FILING_STATUS=OR","EQY_CONSOLIDATED=Y","Sort=A","Dates=H","DateFormat=P","Fill=—","Direction=H","UseDPDF=Y")</f>
        <v>#NAME?</v>
      </c>
      <c r="BB459" s="2" t="e">
        <f ca="1">_xll.BDH($C$453,"GEO_GROW_TOT_SHRHLDR_EQY","FQ1 2015","FQ1 2015","Currency=INR","Period=FQ","BEST_FPERIOD_OVERRIDE=FQ","FILING_STATUS=OR","EQY_CONSOLIDATED=Y","Sort=A","Dates=H","DateFormat=P","Fill=—","Direction=H","UseDPDF=Y")</f>
        <v>#NAME?</v>
      </c>
      <c r="BC459" s="2" t="e">
        <f ca="1">_xll.BDH($C$453,"TOTAL_CAPITAL_5_YEAR_GROWTH","FQ1 2015","FQ1 2015","Currency=INR","Period=FQ","BEST_FPERIOD_OVERRIDE=FQ","FILING_STATUS=OR","EQY_CONSOLIDATED=Y","Sort=A","Dates=H","DateFormat=P","Fill=—","Direction=H","UseDPDF=Y")</f>
        <v>#NAME?</v>
      </c>
      <c r="BD459" s="2" t="e">
        <f ca="1">_xll.BDH($C$453,"GEO_GROW_BOOK_VAL","FQ1 2015","FQ1 2015","Currency=INR","Period=FQ","BEST_FPERIOD_OVERRIDE=FQ","FILING_STATUS=OR","EQY_CONSOLIDATED=Y","Sort=A","Dates=H","DateFormat=P","Fill=—","Direction=H","UseDPDF=Y")</f>
        <v>#NAME?</v>
      </c>
      <c r="BE459" s="2" t="e">
        <f ca="1">_xll.BDH($C$453,"GEO_GROW_CASH_OPER_ACT","FQ1 2015","FQ1 2015","Currency=INR","Period=FQ","BEST_FPERIOD_OVERRIDE=FQ","FILING_STATUS=OR","EQY_CONSOLIDATED=Y","Sort=A","Dates=H","DateFormat=P","Fill=—","Direction=H","UseDPDF=Y")</f>
        <v>#NAME?</v>
      </c>
      <c r="BF459" s="2" t="e">
        <f ca="1">_xll.BDH($C$453,"REVENUE_SEQUENTIAL_GROWTH","FQ1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459" s="2" t="e">
        <f ca="1">_xll.BDH($C$453,"EBITDA_SEQUENTIAL_GROWTH","FQ1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459" s="2" t="e">
        <f ca="1">_xll.BDH($C$453,"OPERATING_INCOME_SEQ_GROWTH","FQ1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459" s="2" t="e">
        <f ca="1">_xll.BDH($C$453,"NET_INCOME_TO_COMMON_SEQ_GROWTH","FQ1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459" s="2" t="e">
        <f ca="1">_xll.BDH($C$453,"EPS_DILUTED_SEQUENTIAL_GROWTH","FQ1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459" s="2" t="e">
        <f ca="1">_xll.BDH($C$453,"DPS_SEQUENTIAL_GROWTH","FQ1 2015","FQ1 2015","Currency=INR","Period=FQ","BEST_FPERIOD_OVERRIDE=FQ","FILING_STATUS=OR","EQY_CONSOLIDATED=Y","Sort=A","Dates=H","DateFormat=P","Fill=—","Direction=H","UseDPDF=Y")</f>
        <v>#NAME?</v>
      </c>
      <c r="BL459" s="2" t="e">
        <f ca="1">_xll.BDH($C$453,"ACCOUNTS_RECEIVABLE_SEQ_GROWTH","FQ1 2015","FQ1 2015","Currency=INR","Period=FQ","BEST_FPERIOD_OVERRIDE=FQ","FILING_STATUS=OR","EQY_CONSOLIDATED=Y","Sort=A","Dates=H","DateFormat=P","Fill=—","Direction=H","UseDPDF=Y")</f>
        <v>#NAME?</v>
      </c>
      <c r="BM459" s="2" t="e">
        <f ca="1">_xll.BDH($C$453,"INVENTORY_SEQUENTIAL_GROWTH","FQ1 2015","FQ1 2015","Currency=INR","Period=FQ","BEST_FPERIOD_OVERRIDE=FQ","FILING_STATUS=OR","EQY_CONSOLIDATED=Y","Sort=A","Dates=H","DateFormat=P","Fill=—","Direction=H","UseDPDF=Y")</f>
        <v>#NAME?</v>
      </c>
      <c r="BN459" s="2" t="e">
        <f ca="1">_xll.BDH($C$453,"FIXED_ASSETS_SEQUENTIAL_GROWTH","FQ1 2015","FQ1 2015","Currency=INR","Period=FQ","BEST_FPERIOD_OVERRIDE=FQ","FILING_STATUS=OR","EQY_CONSOLIDATED=Y","Sort=A","Dates=H","DateFormat=P","Fill=—","Direction=H","UseDPDF=Y")</f>
        <v>#NAME?</v>
      </c>
      <c r="BO459" s="2" t="e">
        <f ca="1">_xll.BDH($C$453,"TOTAL_ASSETS_SEQUENTIAL_GROWTH","FQ1 2015","FQ1 2015","Currency=INR","Period=FQ","BEST_FPERIOD_OVERRIDE=FQ","FILING_STATUS=OR","EQY_CONSOLIDATED=Y","Sort=A","Dates=H","DateFormat=P","Fill=—","Direction=H","UseDPDF=Y")</f>
        <v>#NAME?</v>
      </c>
      <c r="BP459" s="2" t="e">
        <f ca="1">_xll.BDH($C$453,"MODIFIED_WORKING_CPTL_SEQ_GRWTH","FQ1 2015","FQ1 2015","Currency=INR","Period=FQ","BEST_FPERIOD_OVERRIDE=FQ","FILING_STATUS=OR","EQY_CONSOLIDATED=Y","Sort=A","Dates=H","DateFormat=P","Fill=—","Direction=H","UseDPDF=Y")</f>
        <v>#NAME?</v>
      </c>
      <c r="BQ459" s="2" t="e">
        <f ca="1">_xll.BDH($C$453,"WORKING_CAPITAL_SEQ_GROWTH","FQ1 2015","FQ1 2015","Currency=INR","Period=FQ","BEST_FPERIOD_OVERRIDE=FQ","FILING_STATUS=OR","EQY_CONSOLIDATED=Y","Sort=A","Dates=H","DateFormat=P","Fill=—","Direction=H","UseDPDF=Y")</f>
        <v>#NAME?</v>
      </c>
      <c r="BR459" s="2" t="e">
        <f ca="1">_xll.BDH($C$453,"ACCOUNTS_PAYABLE_SEQ_GROWTH","FQ1 2015","FQ1 2015","Currency=INR","Period=FQ","BEST_FPERIOD_OVERRIDE=FQ","FILING_STATUS=OR","EQY_CONSOLIDATED=Y","Sort=A","Dates=H","DateFormat=P","Fill=—","Direction=H","UseDPDF=Y")</f>
        <v>#NAME?</v>
      </c>
      <c r="BS459" s="2" t="e">
        <f ca="1">_xll.BDH($C$453,"ST_DEBT_SEQUENTIAL_GROWTH","FQ1 2015","FQ1 2015","Currency=INR","Period=FQ","BEST_FPERIOD_OVERRIDE=FQ","FILING_STATUS=OR","EQY_CONSOLIDATED=Y","Sort=A","Dates=H","DateFormat=P","Fill=—","Direction=H","UseDPDF=Y")</f>
        <v>#NAME?</v>
      </c>
      <c r="BT459" s="2" t="e">
        <f ca="1">_xll.BDH($C$453,"TOTAL_DEBT_SEQUENTIAL_GROWTH","FQ1 2015","FQ1 2015","Currency=INR","Period=FQ","BEST_FPERIOD_OVERRIDE=FQ","FILING_STATUS=OR","EQY_CONSOLIDATED=Y","Sort=A","Dates=H","DateFormat=P","Fill=—","Direction=H","UseDPDF=Y")</f>
        <v>#NAME?</v>
      </c>
      <c r="BU459" s="2" t="e">
        <f ca="1">_xll.BDH($C$453,"TOTAL_EQUITY_SEQUENTIAL_GROWTH","FQ1 2015","FQ1 2015","Currency=INR","Period=FQ","BEST_FPERIOD_OVERRIDE=FQ","FILING_STATUS=OR","EQY_CONSOLIDATED=Y","Sort=A","Dates=H","DateFormat=P","Fill=—","Direction=H","UseDPDF=Y")</f>
        <v>#NAME?</v>
      </c>
      <c r="BV459" s="2" t="e">
        <f ca="1">_xll.BDH($C$453,"TOTAL_CAPITAL_SEQUENTIAL_GROWTH","FQ1 2015","FQ1 2015","Currency=INR","Period=FQ","BEST_FPERIOD_OVERRIDE=FQ","FILING_STATUS=OR","EQY_CONSOLIDATED=Y","Sort=A","Dates=H","DateFormat=P","Fill=—","Direction=H","UseDPDF=Y")</f>
        <v>#NAME?</v>
      </c>
      <c r="BW459" s="2" t="e">
        <f ca="1">_xll.BDH($C$453,"BPS_SEQUENTIAL_GROWTH","FQ1 2015","FQ1 2015","Currency=INR","Period=FQ","BEST_FPERIOD_OVERRIDE=FQ","FILING_STATUS=OR","EQY_CONSOLIDATED=Y","Sort=A","Dates=H","DateFormat=P","Fill=—","Direction=H","UseDPDF=Y")</f>
        <v>#NAME?</v>
      </c>
      <c r="BX459" s="2" t="e">
        <f ca="1">_xll.BDH($C$453,"CFO_SEQUENTIAL_GROWTH","FQ1 2015","FQ1 2015","Currency=INR","Period=FQ","BEST_FPERIOD_OVERRIDE=FQ","FILING_STATUS=OR","EQY_CONSOLIDATED=Y","Sort=A","Dates=H","DateFormat=P","Fill=—","Direction=H","UseDPDF=Y")</f>
        <v>#NAME?</v>
      </c>
      <c r="BY459" s="3" t="e">
        <f ca="1">_xll.BDH($C$453,"SHORT_AND_LONG_TERM_DEBT","FQ1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459" s="3" t="e">
        <f ca="1">_xll.BDH($C$453,"BS_ST_BORROW","FQ1 2015","FQ1 2015","Currency=INR","Period=FQ","BEST_FPERIOD_OVERRIDE=FQ","FILING_STATUS=OR","EQY_CONSOLIDATED=Y","SCALING_FORMAT=MLN","Sort=A","Dates=H","DateFormat=P","Fill=—","Direction=H","UseDPDF=Y")</f>
        <v>#NAME?</v>
      </c>
      <c r="CA459" s="3" t="e">
        <f ca="1">_xll.BDH($C$453,"BS_LT_BORROW","FQ1 2015","FQ1 2015","Currency=INR","Period=FQ","BEST_FPERIOD_OVERRIDE=FQ","FILING_STATUS=OR","EQY_CONSOLIDATED=Y","SCALING_FORMAT=MLN","Sort=A","Dates=H","DateFormat=P","Fill=—","Direction=H","UseDPDF=Y")</f>
        <v>#NAME?</v>
      </c>
      <c r="CB459" s="2" t="e">
        <f ca="1">_xll.BDH($C$453,"TOT_DEBT_TO_EBITDA","FQ1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459" s="2" t="e">
        <f ca="1">_xll.BDH($C$453,"NET_DEBT_TO_EBITDA","FQ1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459" s="2" t="e">
        <f ca="1">_xll.BDH($C$453,"TOTAL_DEBT_TO_EBIT","FQ1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459" s="2" t="e">
        <f ca="1">_xll.BDH($C$453,"NET_DEBT_TO_EBIT","FQ1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459" s="2" t="e">
        <f ca="1">_xll.BDH($C$453,"EBITDA_TO_INTEREST_EXPN","FQ1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459" s="2" t="e">
        <f ca="1">_xll.BDH($C$453,"COM_EQY_TO_TOT_ASSET","FQ1 2015","FQ1 2015","Currency=INR","Period=FQ","BEST_FPERIOD_OVERRIDE=FQ","FILING_STATUS=OR","EQY_CONSOLIDATED=Y","Sort=A","Dates=H","DateFormat=P","Fill=—","Direction=H","UseDPDF=Y")</f>
        <v>#NAME?</v>
      </c>
      <c r="CH459" s="2" t="e">
        <f ca="1">_xll.BDH($C$453,"LT_DEBT_TO_TOT_EQY","FQ1 2015","FQ1 2015","Currency=INR","Period=FQ","BEST_FPERIOD_OVERRIDE=FQ","FILING_STATUS=OR","EQY_CONSOLIDATED=Y","Sort=A","Dates=H","DateFormat=P","Fill=—","Direction=H","UseDPDF=Y")</f>
        <v>#NAME?</v>
      </c>
      <c r="CI459" s="2" t="e">
        <f ca="1">_xll.BDH($C$453,"LT_DEBT_TO_TOT_CAP","FQ1 2015","FQ1 2015","Currency=INR","Period=FQ","BEST_FPERIOD_OVERRIDE=FQ","FILING_STATUS=OR","EQY_CONSOLIDATED=Y","Sort=A","Dates=H","DateFormat=P","Fill=—","Direction=H","UseDPDF=Y")</f>
        <v>#NAME?</v>
      </c>
      <c r="CJ459" s="2" t="e">
        <f ca="1">_xll.BDH($C$453,"LT_DEBT_TO_TOT_ASSET","FQ1 2015","FQ1 2015","Currency=INR","Period=FQ","BEST_FPERIOD_OVERRIDE=FQ","FILING_STATUS=OR","EQY_CONSOLIDATED=Y","Sort=A","Dates=H","DateFormat=P","Fill=—","Direction=H","UseDPDF=Y")</f>
        <v>#NAME?</v>
      </c>
      <c r="CK459" s="2" t="e">
        <f ca="1">_xll.BDH($C$453,"TOT_DEBT_TO_TOT_EQY","FQ1 2015","FQ1 2015","Currency=INR","Period=FQ","BEST_FPERIOD_OVERRIDE=FQ","FILING_STATUS=OR","EQY_CONSOLIDATED=Y","Sort=A","Dates=H","DateFormat=P","Fill=—","Direction=H","UseDPDF=Y")</f>
        <v>#NAME?</v>
      </c>
      <c r="CL459" s="2" t="e">
        <f ca="1">_xll.BDH($C$453,"TOT_DEBT_TO_TOT_CAP","FQ1 2015","FQ1 2015","Currency=INR","Period=FQ","BEST_FPERIOD_OVERRIDE=FQ","FILING_STATUS=OR","EQY_CONSOLIDATED=Y","Sort=A","Dates=H","DateFormat=P","Fill=—","Direction=H","UseDPDF=Y")</f>
        <v>#NAME?</v>
      </c>
      <c r="CM459" s="2" t="e">
        <f ca="1">_xll.BDH($C$453,"TOT_DEBT_TO_TOT_ASSET","FQ1 2015","FQ1 2015","Currency=INR","Period=FQ","BEST_FPERIOD_OVERRIDE=FQ","FILING_STATUS=OR","EQY_CONSOLIDATED=Y","Sort=A","Dates=H","DateFormat=P","Fill=—","Direction=H","UseDPDF=Y")</f>
        <v>#NAME?</v>
      </c>
      <c r="CN459" s="2" t="e">
        <f ca="1">_xll.BDH($C$453,"NET_DEBT_TO_SHRHLDR_EQTY","FQ1 2015","FQ1 2015","Currency=INR","Period=FQ","BEST_FPERIOD_OVERRIDE=FQ","FILING_STATUS=OR","EQY_CONSOLIDATED=Y","Sort=A","Dates=H","DateFormat=P","Fill=—","Direction=H","UseDPDF=Y")</f>
        <v>#NAME?</v>
      </c>
      <c r="CO459" s="2" t="e">
        <f ca="1">_xll.BDH($C$453,"NET_DEBT_%_CAPITAL","FQ1 2015","FQ1 2015","Currency=INR","Period=FQ","BEST_FPERIOD_OVERRIDE=FQ","FILING_STATUS=OR","EQY_CONSOLIDATED=Y","Sort=A","Dates=H","DateFormat=P","Fill=—","Direction=H","UseDPDF=Y")</f>
        <v>#NAME?</v>
      </c>
      <c r="CP459" s="3" t="e">
        <f ca="1">_xll.BDH($C$453,"EBITDA","FQ1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459" s="3" t="e">
        <f ca="1">_xll.BDH($C$453,"EBITDA_AFTER_CAPEX","FQ1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459" s="3" t="e">
        <f ca="1">_xll.BDH($C$453,"IS_OPER_INC","FQ1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459" s="2" t="e">
        <f ca="1">_xll.BDH($C$453,"CASH_RATIO","FQ1 2015","FQ1 2015","Currency=INR","Period=FQ","BEST_FPERIOD_OVERRIDE=FQ","FILING_STATUS=OR","EQY_CONSOLIDATED=Y","Sort=A","Dates=H","DateFormat=P","Fill=—","Direction=H","UseDPDF=Y")</f>
        <v>#NAME?</v>
      </c>
      <c r="CT459" s="2" t="e">
        <f ca="1">_xll.BDH($C$453,"CUR_RATIO","FQ1 2015","FQ1 2015","Currency=INR","Period=FQ","BEST_FPERIOD_OVERRIDE=FQ","FILING_STATUS=OR","EQY_CONSOLIDATED=Y","Sort=A","Dates=H","DateFormat=P","Fill=—","Direction=H","UseDPDF=Y")</f>
        <v>#NAME?</v>
      </c>
      <c r="CU459" s="2" t="e">
        <f ca="1">_xll.BDH($C$453,"QUICK_RATIO","FQ1 2015","FQ1 2015","Currency=INR","Period=FQ","BEST_FPERIOD_OVERRIDE=FQ","FILING_STATUS=OR","EQY_CONSOLIDATED=Y","Sort=A","Dates=H","DateFormat=P","Fill=—","Direction=H","UseDPDF=Y")</f>
        <v>#NAME?</v>
      </c>
      <c r="CV459" s="2" t="e">
        <f ca="1">_xll.BDH($C$453,"ALTMAN_Z_SCORE","FQ1 2015","FQ1 2015","Currency=INR","Period=FQ","BEST_FPERIOD_OVERRIDE=FQ","FILING_STATUS=OR","EQY_CONSOLIDATED=Y","Sort=A","Dates=H","DateFormat=P","Fill=—","Direction=H","UseDPDF=Y")</f>
        <v>#NAME?</v>
      </c>
      <c r="CW459" s="4" t="e">
        <f ca="1">_xll.BDH($C$453,"ACCT_RCV_TURN","FQ1 2015","FQ1 2015","Currency=INR","Period=FQ","BEST_FPERIOD_OVERRIDE=FQ","FILING_STATUS=OR","EQY_CONSOLIDATED=Y","FA_ADJUSTED=GAAP","Sort=A","Dates=H","DateFormat=P","Fill=—","Direction=H","UseDPDF=Y")</f>
        <v>#NAME?</v>
      </c>
      <c r="CX459" s="2" t="e">
        <f ca="1">_xll.BDH($C$453,"ACCT_RCV_DAYS","FQ1 2015","FQ1 2015","Currency=INR","Period=FQ","BEST_FPERIOD_OVERRIDE=FQ","FILING_STATUS=OR","EQY_CONSOLIDATED=Y","FA_ADJUSTED=GAAP","Sort=A","Dates=H","DateFormat=P","Fill=—","Direction=H","UseDPDF=Y")</f>
        <v>#NAME?</v>
      </c>
      <c r="CY459" s="4" t="e">
        <f ca="1">_xll.BDH($C$453,"INVENT_TURN","FQ1 2015","FQ1 2015","Currency=INR","Period=FQ","BEST_FPERIOD_OVERRIDE=FQ","FILING_STATUS=OR","EQY_CONSOLIDATED=Y","FA_ADJUSTED=GAAP","Sort=A","Dates=H","DateFormat=P","Fill=—","Direction=H","UseDPDF=Y")</f>
        <v>#NAME?</v>
      </c>
      <c r="CZ459" s="2" t="e">
        <f ca="1">_xll.BDH($C$453,"INVENT_DAYS","FQ1 2015","FQ1 2015","Currency=INR","Period=FQ","BEST_FPERIOD_OVERRIDE=FQ","FILING_STATUS=OR","EQY_CONSOLIDATED=Y","FA_ADJUSTED=GAAP","Sort=A","Dates=H","DateFormat=P","Fill=—","Direction=H","UseDPDF=Y")</f>
        <v>#NAME?</v>
      </c>
      <c r="DA459" s="4" t="e">
        <f ca="1">_xll.BDH($C$453,"ACCOUNTS_PAYABLE_TURNOVER","FQ1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459" s="2" t="e">
        <f ca="1">_xll.BDH($C$453,"ACCOUNTS_PAYABLE_TURNOVER_DAYS","FQ1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459" s="4" t="e">
        <f ca="1">_xll.BDH($C$453,"CASH_CONVERSION_CYCLE","FQ1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459" s="4" t="e">
        <f ca="1">_xll.BDH($C$453,"INV_TO_CASH_DAYS","FQ1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459" s="5" t="e">
        <f ca="1">_xll.BDH($C$453,"BS_INVENTORIES","FQ1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459" s="3" t="e">
        <f ca="1">_xll.BDH($C$453,"INVTRY_RAW_MATERIALS","FQ1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459" s="3" t="e">
        <f ca="1">_xll.BDH($C$453,"INVTRY_IN_PROGRESS","FQ1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459" s="3" t="e">
        <f ca="1">_xll.BDH($C$453,"INVTRY_FINISHED_GOODS","FQ1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459" s="3" t="e">
        <f ca="1">_xll.BDH($C$453,"BS_OTHER_INV","FQ1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460" spans="1:113" x14ac:dyDescent="0.3">
      <c r="A460" s="6"/>
      <c r="B460" s="6"/>
      <c r="C460" s="6"/>
      <c r="D460" s="6"/>
      <c r="E460" t="s">
        <v>79</v>
      </c>
      <c r="F460" t="e">
        <f ca="1">_xll.BDH($C$453,"RETURN_COM_EQY","FQ2 2015","FQ2 2015","Currency=INR","Period=FQ","BEST_FPERIOD_OVERRIDE=FQ","FILING_STATUS=OR","EQY_CONSOLIDATED=Y","FA_ADJUSTED=GAAP","Sort=A","Dates=H","DateFormat=P","Fill=—","Direction=H","UseDPDF=Y")</f>
        <v>#NAME?</v>
      </c>
      <c r="G460" t="e">
        <f ca="1">_xll.BDH($C$453,"RETURN_ON_ASSET","FQ2 2015","FQ2 2015","Currency=INR","Period=FQ","BEST_FPERIOD_OVERRIDE=FQ","FILING_STATUS=OR","EQY_CONSOLIDATED=Y","FA_ADJUSTED=GAAP","Sort=A","Dates=H","DateFormat=P","Fill=—","Direction=H","UseDPDF=Y")</f>
        <v>#NAME?</v>
      </c>
      <c r="H460" t="e">
        <f ca="1">_xll.BDH($C$453,"RETURN_ON_CAP","FQ2 2015","FQ2 2015","Currency=INR","Period=FQ","BEST_FPERIOD_OVERRIDE=FQ","FILING_STATUS=OR","EQY_CONSOLIDATED=Y","FA_ADJUSTED=GAAP","Sort=A","Dates=H","DateFormat=P","Fill=—","Direction=H","UseDPDF=Y")</f>
        <v>#NAME?</v>
      </c>
      <c r="I460" t="e">
        <f ca="1">_xll.BDH($C$453,"RETURN_ON_INV_CAPITAL","FQ2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460" t="e">
        <f ca="1">_xll.BDH($C$453,"EBITDA_TO_REVENUE","FQ2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460" t="e">
        <f ca="1">_xll.BDH($C$453,"OPER_MARGIN","FQ2 2015","FQ2 2015","Currency=INR","Period=FQ","BEST_FPERIOD_OVERRIDE=FQ","FILING_STATUS=OR","EQY_CONSOLIDATED=Y","FA_ADJUSTED=GAAP","Sort=A","Dates=H","DateFormat=P","Fill=—","Direction=H","UseDPDF=Y")</f>
        <v>#NAME?</v>
      </c>
      <c r="L460" t="e">
        <f ca="1">_xll.BDH($C$453,"INCREMENTAL_OPERATING_MARGIN","FQ2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460" t="e">
        <f ca="1">_xll.BDH($C$453,"PRETAX_INC_TO_NET_SALES","FQ2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460" t="e">
        <f ca="1">_xll.BDH($C$453,"INC_BEF_XO_ITEMS_TO_NET_SALES","FQ2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460" t="e">
        <f ca="1">_xll.BDH($C$453,"PROF_MARGIN","FQ2 2015","FQ2 2015","Currency=INR","Period=FQ","BEST_FPERIOD_OVERRIDE=FQ","FILING_STATUS=OR","EQY_CONSOLIDATED=Y","FA_ADJUSTED=GAAP","Sort=A","Dates=H","DateFormat=P","Fill=—","Direction=H","UseDPDF=Y")</f>
        <v>#NAME?</v>
      </c>
      <c r="P460" t="e">
        <f ca="1">_xll.BDH($C$453,"NET_INCOME_TO_COMMON_MARGIN","FQ2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460" t="e">
        <f ca="1">_xll.BDH($C$453,"EFF_TAX_RATE","FQ2 2015","FQ2 2015","Currency=INR","Period=FQ","BEST_FPERIOD_OVERRIDE=FQ","FILING_STATUS=OR","EQY_CONSOLIDATED=Y","FA_ADJUSTED=GAAP","Sort=A","Dates=H","DateFormat=P","Fill=—","Direction=H","UseDPDF=Y")</f>
        <v>#NAME?</v>
      </c>
      <c r="R460" t="e">
        <f ca="1">_xll.BDH($C$453,"DVD_PAYOUT_RATIO","FQ2 2015","FQ2 2015","Currency=INR","Period=FQ","BEST_FPERIOD_OVERRIDE=FQ","FILING_STATUS=OR","EQY_CONSOLIDATED=Y","FA_ADJUSTED=GAAP","Sort=A","Dates=H","DateFormat=P","Fill=—","Direction=H","UseDPDF=Y")</f>
        <v>#NAME?</v>
      </c>
      <c r="S460" t="e">
        <f ca="1">_xll.BDH($C$453,"SUSTAIN_GROWTH_RT","FQ2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460" s="2" t="e">
        <f ca="1">_xll.BDH($C$453,"SALES_GROWTH","FQ2 2015","FQ2 2015","Currency=INR","Period=FQ","BEST_FPERIOD_OVERRIDE=FQ","FILING_STATUS=OR","EQY_CONSOLIDATED=Y","FA_ADJUSTED=GAAP","Sort=A","Dates=H","DateFormat=P","Fill=—","Direction=H","UseDPDF=Y")</f>
        <v>#NAME?</v>
      </c>
      <c r="U460" s="2" t="e">
        <f ca="1">_xll.BDH($C$453,"EBITDA_GROWTH","FQ2 2015","FQ2 2015","Currency=INR","Period=FQ","BEST_FPERIOD_OVERRIDE=FQ","FILING_STATUS=OR","EQY_CONSOLIDATED=Y","FA_ADJUSTED=GAAP","Sort=A","Dates=H","DateFormat=P","Fill=—","Direction=H","UseDPDF=Y")</f>
        <v>#NAME?</v>
      </c>
      <c r="V460" s="2" t="e">
        <f ca="1">_xll.BDH($C$453,"OPER_INC_GROWTH","FQ2 2015","FQ2 2015","Currency=INR","Period=FQ","BEST_FPERIOD_OVERRIDE=FQ","FILING_STATUS=OR","EQY_CONSOLIDATED=Y","FA_ADJUSTED=GAAP","Sort=A","Dates=H","DateFormat=P","Fill=—","Direction=H","UseDPDF=Y")</f>
        <v>#NAME?</v>
      </c>
      <c r="W460" s="2" t="e">
        <f ca="1">_xll.BDH($C$453,"EARN_FOR_COM_GROWTH","FQ2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460" s="2" t="e">
        <f ca="1">_xll.BDH($C$453,"DILUTED_EPS_AFT_XO_ITEMS_GROWTH","FQ2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460" s="2" t="e">
        <f ca="1">_xll.BDH($C$453,"DIVIDEND_PER_SHARE_1_YEAR_GROWTH","FQ2 2015","FQ2 2015","Currency=INR","Period=FQ","BEST_FPERIOD_OVERRIDE=FQ","FILING_STATUS=OR","EQY_CONSOLIDATED=Y","Sort=A","Dates=H","DateFormat=P","Fill=—","Direction=H","UseDPDF=Y")</f>
        <v>#NAME?</v>
      </c>
      <c r="Z460" s="2" t="e">
        <f ca="1">_xll.BDH($C$453,"ACCOUNTS_RECEIVABLE_GROWTH","FQ2 2015","FQ2 2015","Currency=INR","Period=FQ","BEST_FPERIOD_OVERRIDE=FQ","FILING_STATUS=OR","EQY_CONSOLIDATED=Y","Sort=A","Dates=H","DateFormat=P","Fill=—","Direction=H","UseDPDF=Y")</f>
        <v>#NAME?</v>
      </c>
      <c r="AA460" s="2" t="e">
        <f ca="1">_xll.BDH($C$453,"INVENTORY_GROWTH","FQ2 2015","FQ2 2015","Currency=INR","Period=FQ","BEST_FPERIOD_OVERRIDE=FQ","FILING_STATUS=OR","EQY_CONSOLIDATED=Y","Sort=A","Dates=H","DateFormat=P","Fill=—","Direction=H","UseDPDF=Y")</f>
        <v>#NAME?</v>
      </c>
      <c r="AB460" s="2" t="e">
        <f ca="1">_xll.BDH($C$453,"NET_FIXED_ASSETS_1_YEAR_GROWTH","FQ2 2015","FQ2 2015","Currency=INR","Period=FQ","BEST_FPERIOD_OVERRIDE=FQ","FILING_STATUS=OR","EQY_CONSOLIDATED=Y","Sort=A","Dates=H","DateFormat=P","Fill=—","Direction=H","UseDPDF=Y")</f>
        <v>#NAME?</v>
      </c>
      <c r="AC460" s="2" t="e">
        <f ca="1">_xll.BDH($C$453,"ASSET_GROWTH","FQ2 2015","FQ2 2015","Currency=INR","Period=FQ","BEST_FPERIOD_OVERRIDE=FQ","FILING_STATUS=OR","EQY_CONSOLIDATED=Y","Sort=A","Dates=H","DateFormat=P","Fill=—","Direction=H","UseDPDF=Y")</f>
        <v>#NAME?</v>
      </c>
      <c r="AD460" s="2" t="e">
        <f ca="1">_xll.BDH($C$453,"MODIFIED_WORK_CAP_GROWTH","FQ2 2015","FQ2 2015","Currency=INR","Period=FQ","BEST_FPERIOD_OVERRIDE=FQ","FILING_STATUS=OR","EQY_CONSOLIDATED=Y","Sort=A","Dates=H","DateFormat=P","Fill=—","Direction=H","UseDPDF=Y")</f>
        <v>#NAME?</v>
      </c>
      <c r="AE460" s="2" t="e">
        <f ca="1">_xll.BDH($C$453,"WORK_CAP_GROWTH","FQ2 2015","FQ2 2015","Currency=INR","Period=FQ","BEST_FPERIOD_OVERRIDE=FQ","FILING_STATUS=OR","EQY_CONSOLIDATED=Y","Sort=A","Dates=H","DateFormat=P","Fill=—","Direction=H","UseDPDF=Y")</f>
        <v>#NAME?</v>
      </c>
      <c r="AF460" s="2" t="e">
        <f ca="1">_xll.BDH($C$453,"ACCOUNTS_PAYABLE_GROWTH_1YR","FQ2 2015","FQ2 2015","Currency=INR","Period=FQ","BEST_FPERIOD_OVERRIDE=FQ","FILING_STATUS=OR","EQY_CONSOLIDATED=Y","Sort=A","Dates=H","DateFormat=P","Fill=—","Direction=H","UseDPDF=Y")</f>
        <v>#NAME?</v>
      </c>
      <c r="AG460" s="2" t="e">
        <f ca="1">_xll.BDH($C$453,"SHORT_TERM_DEBT_1_YEAR_GROWTH","FQ2 2015","FQ2 2015","Currency=INR","Period=FQ","BEST_FPERIOD_OVERRIDE=FQ","FILING_STATUS=OR","EQY_CONSOLIDATED=Y","Sort=A","Dates=H","DateFormat=P","Fill=—","Direction=H","UseDPDF=Y")</f>
        <v>#NAME?</v>
      </c>
      <c r="AH460" s="2" t="e">
        <f ca="1">_xll.BDH($C$453,"TOTAL_DEBT_1_YEAR_GROWTH","FQ2 2015","FQ2 2015","Currency=INR","Period=FQ","BEST_FPERIOD_OVERRIDE=FQ","FILING_STATUS=OR","EQY_CONSOLIDATED=Y","Sort=A","Dates=H","DateFormat=P","Fill=—","Direction=H","UseDPDF=Y")</f>
        <v>#NAME?</v>
      </c>
      <c r="AI460" s="2" t="e">
        <f ca="1">_xll.BDH($C$453,"TOTAL_EQUITY_1_YEAR_GROWTH","FQ2 2015","FQ2 2015","Currency=INR","Period=FQ","BEST_FPERIOD_OVERRIDE=FQ","FILING_STATUS=OR","EQY_CONSOLIDATED=Y","Sort=A","Dates=H","DateFormat=P","Fill=—","Direction=H","UseDPDF=Y")</f>
        <v>#NAME?</v>
      </c>
      <c r="AJ460" s="2" t="e">
        <f ca="1">_xll.BDH($C$453,"GROWTH_IN_CAP","FQ2 2015","FQ2 2015","Currency=INR","Period=FQ","BEST_FPERIOD_OVERRIDE=FQ","FILING_STATUS=OR","EQY_CONSOLIDATED=Y","Sort=A","Dates=H","DateFormat=P","Fill=—","Direction=H","UseDPDF=Y")</f>
        <v>#NAME?</v>
      </c>
      <c r="AK460" s="2" t="e">
        <f ca="1">_xll.BDH($C$453,"BVPS_GROWTH","FQ2 2015","FQ2 2015","Currency=INR","Period=FQ","BEST_FPERIOD_OVERRIDE=FQ","FILING_STATUS=OR","EQY_CONSOLIDATED=Y","Sort=A","Dates=H","DateFormat=P","Fill=—","Direction=H","UseDPDF=Y")</f>
        <v>#NAME?</v>
      </c>
      <c r="AL460" s="2" t="e">
        <f ca="1">_xll.BDH($C$453,"CASH_FLOW_GROWTH","FQ2 2015","FQ2 2015","Currency=INR","Period=FQ","BEST_FPERIOD_OVERRIDE=FQ","FILING_STATUS=OR","EQY_CONSOLIDATED=Y","Sort=A","Dates=H","DateFormat=P","Fill=—","Direction=H","UseDPDF=Y")</f>
        <v>#NAME?</v>
      </c>
      <c r="AM460" s="2" t="e">
        <f ca="1">_xll.BDH($C$453,"GEO_GROW_NET_SALES","FQ2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460" s="2" t="e">
        <f ca="1">_xll.BDH($C$453,"GEO_GROW_EBITDA","FQ2 2015","FQ2 2015","Currency=INR","Period=FQ","BEST_FPERIOD_OVERRIDE=FQ","FILING_STATUS=OR","EQY_CONSOLIDATED=Y","FA_ADJUSTED=GAAP","Sort=A","Dates=H","DateFormat=P","Fill=—","Direction=H","UseDPDF=Y")</f>
        <v>#NAME?</v>
      </c>
      <c r="AO460" s="2" t="e">
        <f ca="1">_xll.BDH($C$453,"GEO_GROW_OPER_INC","FQ2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460" s="2" t="e">
        <f ca="1">_xll.BDH($C$453,"NET_INCOME_TO_COMMON_5_YR_GROWTH","FQ2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460" s="2" t="e">
        <f ca="1">_xll.BDH($C$453,"5Y_GEO_GROWTH_DILUTED_EPS","FQ2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460" s="2" t="e">
        <f ca="1">_xll.BDH($C$453,"GEO_GROW_DVD_PER_SH","FQ2 2015","FQ2 2015","Currency=INR","Period=FQ","BEST_FPERIOD_OVERRIDE=FQ","FILING_STATUS=OR","EQY_CONSOLIDATED=Y","Sort=A","Dates=H","DateFormat=P","Fill=—","Direction=H","UseDPDF=Y")</f>
        <v>#NAME?</v>
      </c>
      <c r="AS460" s="2" t="e">
        <f ca="1">_xll.BDH($C$453,"ACCOUNTS_RECEIVABLE_5_YR_GROWTH","FQ2 2015","FQ2 2015","Currency=INR","Period=FQ","BEST_FPERIOD_OVERRIDE=FQ","FILING_STATUS=OR","EQY_CONSOLIDATED=Y","Sort=A","Dates=H","DateFormat=P","Fill=—","Direction=H","UseDPDF=Y")</f>
        <v>#NAME?</v>
      </c>
      <c r="AT460" s="2" t="e">
        <f ca="1">_xll.BDH($C$453,"INVENTORY_5_YEAR_GROWTH","FQ2 2015","FQ2 2015","Currency=INR","Period=FQ","BEST_FPERIOD_OVERRIDE=FQ","FILING_STATUS=OR","EQY_CONSOLIDATED=Y","Sort=A","Dates=H","DateFormat=P","Fill=—","Direction=H","UseDPDF=Y")</f>
        <v>#NAME?</v>
      </c>
      <c r="AU460" s="2" t="e">
        <f ca="1">_xll.BDH($C$453,"NET_FIXED_ASSETS_5_YEAR_GROWTH","FQ2 2015","FQ2 2015","Currency=INR","Period=FQ","BEST_FPERIOD_OVERRIDE=FQ","FILING_STATUS=OR","EQY_CONSOLIDATED=Y","Sort=A","Dates=H","DateFormat=P","Fill=—","Direction=H","UseDPDF=Y")</f>
        <v>#NAME?</v>
      </c>
      <c r="AV460" s="2" t="e">
        <f ca="1">_xll.BDH($C$453,"GEO_GROW_TOT_ASSET","FQ2 2015","FQ2 2015","Currency=INR","Period=FQ","BEST_FPERIOD_OVERRIDE=FQ","FILING_STATUS=OR","EQY_CONSOLIDATED=Y","Sort=A","Dates=H","DateFormat=P","Fill=—","Direction=H","UseDPDF=Y")</f>
        <v>#NAME?</v>
      </c>
      <c r="AW460" s="2" t="e">
        <f ca="1">_xll.BDH($C$453,"MODIFIED_WORKING_CPTL_5YR_GRWTH","FQ2 2015","FQ2 2015","Currency=INR","Period=FQ","BEST_FPERIOD_OVERRIDE=FQ","FILING_STATUS=OR","EQY_CONSOLIDATED=Y","Sort=A","Dates=H","DateFormat=P","Fill=—","Direction=H","UseDPDF=Y")</f>
        <v>#NAME?</v>
      </c>
      <c r="AX460" s="2" t="e">
        <f ca="1">_xll.BDH($C$453,"WORKING_CAPITAL_5_YEAR_GROWTH","FQ2 2015","FQ2 2015","Currency=INR","Period=FQ","BEST_FPERIOD_OVERRIDE=FQ","FILING_STATUS=OR","EQY_CONSOLIDATED=Y","Sort=A","Dates=H","DateFormat=P","Fill=—","Direction=H","UseDPDF=Y")</f>
        <v>#NAME?</v>
      </c>
      <c r="AY460" s="2" t="e">
        <f ca="1">_xll.BDH($C$453,"ACCOUNTS_PAYABLE_5_YEAR_GROWTH","FQ2 2015","FQ2 2015","Currency=INR","Period=FQ","BEST_FPERIOD_OVERRIDE=FQ","FILING_STATUS=OR","EQY_CONSOLIDATED=Y","Sort=A","Dates=H","DateFormat=P","Fill=—","Direction=H","UseDPDF=Y")</f>
        <v>#NAME?</v>
      </c>
      <c r="AZ460" s="2" t="e">
        <f ca="1">_xll.BDH($C$453,"SHORT_TERM_DEBT_5_YEAR_GROWTH","FQ2 2015","FQ2 2015","Currency=INR","Period=FQ","BEST_FPERIOD_OVERRIDE=FQ","FILING_STATUS=OR","EQY_CONSOLIDATED=Y","Sort=A","Dates=H","DateFormat=P","Fill=—","Direction=H","UseDPDF=Y")</f>
        <v>#NAME?</v>
      </c>
      <c r="BA460" s="2" t="e">
        <f ca="1">_xll.BDH($C$453,"TOTAL_DEBT_5_YEAR_GROWTH","FQ2 2015","FQ2 2015","Currency=INR","Period=FQ","BEST_FPERIOD_OVERRIDE=FQ","FILING_STATUS=OR","EQY_CONSOLIDATED=Y","Sort=A","Dates=H","DateFormat=P","Fill=—","Direction=H","UseDPDF=Y")</f>
        <v>#NAME?</v>
      </c>
      <c r="BB460" s="2" t="e">
        <f ca="1">_xll.BDH($C$453,"GEO_GROW_TOT_SHRHLDR_EQY","FQ2 2015","FQ2 2015","Currency=INR","Period=FQ","BEST_FPERIOD_OVERRIDE=FQ","FILING_STATUS=OR","EQY_CONSOLIDATED=Y","Sort=A","Dates=H","DateFormat=P","Fill=—","Direction=H","UseDPDF=Y")</f>
        <v>#NAME?</v>
      </c>
      <c r="BC460" s="2" t="e">
        <f ca="1">_xll.BDH($C$453,"TOTAL_CAPITAL_5_YEAR_GROWTH","FQ2 2015","FQ2 2015","Currency=INR","Period=FQ","BEST_FPERIOD_OVERRIDE=FQ","FILING_STATUS=OR","EQY_CONSOLIDATED=Y","Sort=A","Dates=H","DateFormat=P","Fill=—","Direction=H","UseDPDF=Y")</f>
        <v>#NAME?</v>
      </c>
      <c r="BD460" s="2" t="e">
        <f ca="1">_xll.BDH($C$453,"GEO_GROW_BOOK_VAL","FQ2 2015","FQ2 2015","Currency=INR","Period=FQ","BEST_FPERIOD_OVERRIDE=FQ","FILING_STATUS=OR","EQY_CONSOLIDATED=Y","Sort=A","Dates=H","DateFormat=P","Fill=—","Direction=H","UseDPDF=Y")</f>
        <v>#NAME?</v>
      </c>
      <c r="BE460" s="2" t="e">
        <f ca="1">_xll.BDH($C$453,"GEO_GROW_CASH_OPER_ACT","FQ2 2015","FQ2 2015","Currency=INR","Period=FQ","BEST_FPERIOD_OVERRIDE=FQ","FILING_STATUS=OR","EQY_CONSOLIDATED=Y","Sort=A","Dates=H","DateFormat=P","Fill=—","Direction=H","UseDPDF=Y")</f>
        <v>#NAME?</v>
      </c>
      <c r="BF460" s="2" t="e">
        <f ca="1">_xll.BDH($C$453,"REVENUE_SEQUENTIAL_GROWTH","FQ2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460" s="2" t="e">
        <f ca="1">_xll.BDH($C$453,"EBITDA_SEQUENTIAL_GROWTH","FQ2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460" s="2" t="e">
        <f ca="1">_xll.BDH($C$453,"OPERATING_INCOME_SEQ_GROWTH","FQ2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460" s="2" t="e">
        <f ca="1">_xll.BDH($C$453,"NET_INCOME_TO_COMMON_SEQ_GROWTH","FQ2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460" s="2" t="e">
        <f ca="1">_xll.BDH($C$453,"EPS_DILUTED_SEQUENTIAL_GROWTH","FQ2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460" s="2" t="e">
        <f ca="1">_xll.BDH($C$453,"DPS_SEQUENTIAL_GROWTH","FQ2 2015","FQ2 2015","Currency=INR","Period=FQ","BEST_FPERIOD_OVERRIDE=FQ","FILING_STATUS=OR","EQY_CONSOLIDATED=Y","Sort=A","Dates=H","DateFormat=P","Fill=—","Direction=H","UseDPDF=Y")</f>
        <v>#NAME?</v>
      </c>
      <c r="BL460" s="2" t="e">
        <f ca="1">_xll.BDH($C$453,"ACCOUNTS_RECEIVABLE_SEQ_GROWTH","FQ2 2015","FQ2 2015","Currency=INR","Period=FQ","BEST_FPERIOD_OVERRIDE=FQ","FILING_STATUS=OR","EQY_CONSOLIDATED=Y","Sort=A","Dates=H","DateFormat=P","Fill=—","Direction=H","UseDPDF=Y")</f>
        <v>#NAME?</v>
      </c>
      <c r="BM460" s="2" t="e">
        <f ca="1">_xll.BDH($C$453,"INVENTORY_SEQUENTIAL_GROWTH","FQ2 2015","FQ2 2015","Currency=INR","Period=FQ","BEST_FPERIOD_OVERRIDE=FQ","FILING_STATUS=OR","EQY_CONSOLIDATED=Y","Sort=A","Dates=H","DateFormat=P","Fill=—","Direction=H","UseDPDF=Y")</f>
        <v>#NAME?</v>
      </c>
      <c r="BN460" s="2" t="e">
        <f ca="1">_xll.BDH($C$453,"FIXED_ASSETS_SEQUENTIAL_GROWTH","FQ2 2015","FQ2 2015","Currency=INR","Period=FQ","BEST_FPERIOD_OVERRIDE=FQ","FILING_STATUS=OR","EQY_CONSOLIDATED=Y","Sort=A","Dates=H","DateFormat=P","Fill=—","Direction=H","UseDPDF=Y")</f>
        <v>#NAME?</v>
      </c>
      <c r="BO460" s="2" t="e">
        <f ca="1">_xll.BDH($C$453,"TOTAL_ASSETS_SEQUENTIAL_GROWTH","FQ2 2015","FQ2 2015","Currency=INR","Period=FQ","BEST_FPERIOD_OVERRIDE=FQ","FILING_STATUS=OR","EQY_CONSOLIDATED=Y","Sort=A","Dates=H","DateFormat=P","Fill=—","Direction=H","UseDPDF=Y")</f>
        <v>#NAME?</v>
      </c>
      <c r="BP460" s="2" t="e">
        <f ca="1">_xll.BDH($C$453,"MODIFIED_WORKING_CPTL_SEQ_GRWTH","FQ2 2015","FQ2 2015","Currency=INR","Period=FQ","BEST_FPERIOD_OVERRIDE=FQ","FILING_STATUS=OR","EQY_CONSOLIDATED=Y","Sort=A","Dates=H","DateFormat=P","Fill=—","Direction=H","UseDPDF=Y")</f>
        <v>#NAME?</v>
      </c>
      <c r="BQ460" s="2" t="e">
        <f ca="1">_xll.BDH($C$453,"WORKING_CAPITAL_SEQ_GROWTH","FQ2 2015","FQ2 2015","Currency=INR","Period=FQ","BEST_FPERIOD_OVERRIDE=FQ","FILING_STATUS=OR","EQY_CONSOLIDATED=Y","Sort=A","Dates=H","DateFormat=P","Fill=—","Direction=H","UseDPDF=Y")</f>
        <v>#NAME?</v>
      </c>
      <c r="BR460" s="2" t="e">
        <f ca="1">_xll.BDH($C$453,"ACCOUNTS_PAYABLE_SEQ_GROWTH","FQ2 2015","FQ2 2015","Currency=INR","Period=FQ","BEST_FPERIOD_OVERRIDE=FQ","FILING_STATUS=OR","EQY_CONSOLIDATED=Y","Sort=A","Dates=H","DateFormat=P","Fill=—","Direction=H","UseDPDF=Y")</f>
        <v>#NAME?</v>
      </c>
      <c r="BS460" s="2" t="e">
        <f ca="1">_xll.BDH($C$453,"ST_DEBT_SEQUENTIAL_GROWTH","FQ2 2015","FQ2 2015","Currency=INR","Period=FQ","BEST_FPERIOD_OVERRIDE=FQ","FILING_STATUS=OR","EQY_CONSOLIDATED=Y","Sort=A","Dates=H","DateFormat=P","Fill=—","Direction=H","UseDPDF=Y")</f>
        <v>#NAME?</v>
      </c>
      <c r="BT460" s="2" t="e">
        <f ca="1">_xll.BDH($C$453,"TOTAL_DEBT_SEQUENTIAL_GROWTH","FQ2 2015","FQ2 2015","Currency=INR","Period=FQ","BEST_FPERIOD_OVERRIDE=FQ","FILING_STATUS=OR","EQY_CONSOLIDATED=Y","Sort=A","Dates=H","DateFormat=P","Fill=—","Direction=H","UseDPDF=Y")</f>
        <v>#NAME?</v>
      </c>
      <c r="BU460" s="2" t="e">
        <f ca="1">_xll.BDH($C$453,"TOTAL_EQUITY_SEQUENTIAL_GROWTH","FQ2 2015","FQ2 2015","Currency=INR","Period=FQ","BEST_FPERIOD_OVERRIDE=FQ","FILING_STATUS=OR","EQY_CONSOLIDATED=Y","Sort=A","Dates=H","DateFormat=P","Fill=—","Direction=H","UseDPDF=Y")</f>
        <v>#NAME?</v>
      </c>
      <c r="BV460" s="2" t="e">
        <f ca="1">_xll.BDH($C$453,"TOTAL_CAPITAL_SEQUENTIAL_GROWTH","FQ2 2015","FQ2 2015","Currency=INR","Period=FQ","BEST_FPERIOD_OVERRIDE=FQ","FILING_STATUS=OR","EQY_CONSOLIDATED=Y","Sort=A","Dates=H","DateFormat=P","Fill=—","Direction=H","UseDPDF=Y")</f>
        <v>#NAME?</v>
      </c>
      <c r="BW460" s="2" t="e">
        <f ca="1">_xll.BDH($C$453,"BPS_SEQUENTIAL_GROWTH","FQ2 2015","FQ2 2015","Currency=INR","Period=FQ","BEST_FPERIOD_OVERRIDE=FQ","FILING_STATUS=OR","EQY_CONSOLIDATED=Y","Sort=A","Dates=H","DateFormat=P","Fill=—","Direction=H","UseDPDF=Y")</f>
        <v>#NAME?</v>
      </c>
      <c r="BX460" s="2" t="e">
        <f ca="1">_xll.BDH($C$453,"CFO_SEQUENTIAL_GROWTH","FQ2 2015","FQ2 2015","Currency=INR","Period=FQ","BEST_FPERIOD_OVERRIDE=FQ","FILING_STATUS=OR","EQY_CONSOLIDATED=Y","Sort=A","Dates=H","DateFormat=P","Fill=—","Direction=H","UseDPDF=Y")</f>
        <v>#NAME?</v>
      </c>
      <c r="BY460" s="3" t="e">
        <f ca="1">_xll.BDH($C$453,"SHORT_AND_LONG_TERM_DEBT","FQ2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460" s="3" t="e">
        <f ca="1">_xll.BDH($C$453,"BS_ST_BORROW","FQ2 2015","FQ2 2015","Currency=INR","Period=FQ","BEST_FPERIOD_OVERRIDE=FQ","FILING_STATUS=OR","EQY_CONSOLIDATED=Y","SCALING_FORMAT=MLN","Sort=A","Dates=H","DateFormat=P","Fill=—","Direction=H","UseDPDF=Y")</f>
        <v>#NAME?</v>
      </c>
      <c r="CA460" s="3" t="e">
        <f ca="1">_xll.BDH($C$453,"BS_LT_BORROW","FQ2 2015","FQ2 2015","Currency=INR","Period=FQ","BEST_FPERIOD_OVERRIDE=FQ","FILING_STATUS=OR","EQY_CONSOLIDATED=Y","SCALING_FORMAT=MLN","Sort=A","Dates=H","DateFormat=P","Fill=—","Direction=H","UseDPDF=Y")</f>
        <v>#NAME?</v>
      </c>
      <c r="CB460" s="2" t="e">
        <f ca="1">_xll.BDH($C$453,"TOT_DEBT_TO_EBITDA","FQ2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460" s="2" t="e">
        <f ca="1">_xll.BDH($C$453,"NET_DEBT_TO_EBITDA","FQ2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460" s="2" t="e">
        <f ca="1">_xll.BDH($C$453,"TOTAL_DEBT_TO_EBIT","FQ2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460" s="2" t="e">
        <f ca="1">_xll.BDH($C$453,"NET_DEBT_TO_EBIT","FQ2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460" s="2" t="e">
        <f ca="1">_xll.BDH($C$453,"EBITDA_TO_INTEREST_EXPN","FQ2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460" s="2" t="e">
        <f ca="1">_xll.BDH($C$453,"COM_EQY_TO_TOT_ASSET","FQ2 2015","FQ2 2015","Currency=INR","Period=FQ","BEST_FPERIOD_OVERRIDE=FQ","FILING_STATUS=OR","EQY_CONSOLIDATED=Y","Sort=A","Dates=H","DateFormat=P","Fill=—","Direction=H","UseDPDF=Y")</f>
        <v>#NAME?</v>
      </c>
      <c r="CH460" s="2" t="e">
        <f ca="1">_xll.BDH($C$453,"LT_DEBT_TO_TOT_EQY","FQ2 2015","FQ2 2015","Currency=INR","Period=FQ","BEST_FPERIOD_OVERRIDE=FQ","FILING_STATUS=OR","EQY_CONSOLIDATED=Y","Sort=A","Dates=H","DateFormat=P","Fill=—","Direction=H","UseDPDF=Y")</f>
        <v>#NAME?</v>
      </c>
      <c r="CI460" s="2" t="e">
        <f ca="1">_xll.BDH($C$453,"LT_DEBT_TO_TOT_CAP","FQ2 2015","FQ2 2015","Currency=INR","Period=FQ","BEST_FPERIOD_OVERRIDE=FQ","FILING_STATUS=OR","EQY_CONSOLIDATED=Y","Sort=A","Dates=H","DateFormat=P","Fill=—","Direction=H","UseDPDF=Y")</f>
        <v>#NAME?</v>
      </c>
      <c r="CJ460" s="2" t="e">
        <f ca="1">_xll.BDH($C$453,"LT_DEBT_TO_TOT_ASSET","FQ2 2015","FQ2 2015","Currency=INR","Period=FQ","BEST_FPERIOD_OVERRIDE=FQ","FILING_STATUS=OR","EQY_CONSOLIDATED=Y","Sort=A","Dates=H","DateFormat=P","Fill=—","Direction=H","UseDPDF=Y")</f>
        <v>#NAME?</v>
      </c>
      <c r="CK460" s="2" t="e">
        <f ca="1">_xll.BDH($C$453,"TOT_DEBT_TO_TOT_EQY","FQ2 2015","FQ2 2015","Currency=INR","Period=FQ","BEST_FPERIOD_OVERRIDE=FQ","FILING_STATUS=OR","EQY_CONSOLIDATED=Y","Sort=A","Dates=H","DateFormat=P","Fill=—","Direction=H","UseDPDF=Y")</f>
        <v>#NAME?</v>
      </c>
      <c r="CL460" s="2" t="e">
        <f ca="1">_xll.BDH($C$453,"TOT_DEBT_TO_TOT_CAP","FQ2 2015","FQ2 2015","Currency=INR","Period=FQ","BEST_FPERIOD_OVERRIDE=FQ","FILING_STATUS=OR","EQY_CONSOLIDATED=Y","Sort=A","Dates=H","DateFormat=P","Fill=—","Direction=H","UseDPDF=Y")</f>
        <v>#NAME?</v>
      </c>
      <c r="CM460" s="2" t="e">
        <f ca="1">_xll.BDH($C$453,"TOT_DEBT_TO_TOT_ASSET","FQ2 2015","FQ2 2015","Currency=INR","Period=FQ","BEST_FPERIOD_OVERRIDE=FQ","FILING_STATUS=OR","EQY_CONSOLIDATED=Y","Sort=A","Dates=H","DateFormat=P","Fill=—","Direction=H","UseDPDF=Y")</f>
        <v>#NAME?</v>
      </c>
      <c r="CN460" s="2" t="e">
        <f ca="1">_xll.BDH($C$453,"NET_DEBT_TO_SHRHLDR_EQTY","FQ2 2015","FQ2 2015","Currency=INR","Period=FQ","BEST_FPERIOD_OVERRIDE=FQ","FILING_STATUS=OR","EQY_CONSOLIDATED=Y","Sort=A","Dates=H","DateFormat=P","Fill=—","Direction=H","UseDPDF=Y")</f>
        <v>#NAME?</v>
      </c>
      <c r="CO460" s="2" t="e">
        <f ca="1">_xll.BDH($C$453,"NET_DEBT_%_CAPITAL","FQ2 2015","FQ2 2015","Currency=INR","Period=FQ","BEST_FPERIOD_OVERRIDE=FQ","FILING_STATUS=OR","EQY_CONSOLIDATED=Y","Sort=A","Dates=H","DateFormat=P","Fill=—","Direction=H","UseDPDF=Y")</f>
        <v>#NAME?</v>
      </c>
      <c r="CP460" s="3" t="e">
        <f ca="1">_xll.BDH($C$453,"EBITDA","FQ2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460" s="3" t="e">
        <f ca="1">_xll.BDH($C$453,"EBITDA_AFTER_CAPEX","FQ2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460" s="3" t="e">
        <f ca="1">_xll.BDH($C$453,"IS_OPER_INC","FQ2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460" s="2" t="e">
        <f ca="1">_xll.BDH($C$453,"CASH_RATIO","FQ2 2015","FQ2 2015","Currency=INR","Period=FQ","BEST_FPERIOD_OVERRIDE=FQ","FILING_STATUS=OR","EQY_CONSOLIDATED=Y","Sort=A","Dates=H","DateFormat=P","Fill=—","Direction=H","UseDPDF=Y")</f>
        <v>#NAME?</v>
      </c>
      <c r="CT460" s="2" t="e">
        <f ca="1">_xll.BDH($C$453,"CUR_RATIO","FQ2 2015","FQ2 2015","Currency=INR","Period=FQ","BEST_FPERIOD_OVERRIDE=FQ","FILING_STATUS=OR","EQY_CONSOLIDATED=Y","Sort=A","Dates=H","DateFormat=P","Fill=—","Direction=H","UseDPDF=Y")</f>
        <v>#NAME?</v>
      </c>
      <c r="CU460" s="2" t="e">
        <f ca="1">_xll.BDH($C$453,"QUICK_RATIO","FQ2 2015","FQ2 2015","Currency=INR","Period=FQ","BEST_FPERIOD_OVERRIDE=FQ","FILING_STATUS=OR","EQY_CONSOLIDATED=Y","Sort=A","Dates=H","DateFormat=P","Fill=—","Direction=H","UseDPDF=Y")</f>
        <v>#NAME?</v>
      </c>
      <c r="CV460" s="2" t="e">
        <f ca="1">_xll.BDH($C$453,"ALTMAN_Z_SCORE","FQ2 2015","FQ2 2015","Currency=INR","Period=FQ","BEST_FPERIOD_OVERRIDE=FQ","FILING_STATUS=OR","EQY_CONSOLIDATED=Y","Sort=A","Dates=H","DateFormat=P","Fill=—","Direction=H","UseDPDF=Y")</f>
        <v>#NAME?</v>
      </c>
      <c r="CW460" s="4" t="e">
        <f ca="1">_xll.BDH($C$453,"ACCT_RCV_TURN","FQ2 2015","FQ2 2015","Currency=INR","Period=FQ","BEST_FPERIOD_OVERRIDE=FQ","FILING_STATUS=OR","EQY_CONSOLIDATED=Y","FA_ADJUSTED=GAAP","Sort=A","Dates=H","DateFormat=P","Fill=—","Direction=H","UseDPDF=Y")</f>
        <v>#NAME?</v>
      </c>
      <c r="CX460" s="2" t="e">
        <f ca="1">_xll.BDH($C$453,"ACCT_RCV_DAYS","FQ2 2015","FQ2 2015","Currency=INR","Period=FQ","BEST_FPERIOD_OVERRIDE=FQ","FILING_STATUS=OR","EQY_CONSOLIDATED=Y","FA_ADJUSTED=GAAP","Sort=A","Dates=H","DateFormat=P","Fill=—","Direction=H","UseDPDF=Y")</f>
        <v>#NAME?</v>
      </c>
      <c r="CY460" s="4" t="e">
        <f ca="1">_xll.BDH($C$453,"INVENT_TURN","FQ2 2015","FQ2 2015","Currency=INR","Period=FQ","BEST_FPERIOD_OVERRIDE=FQ","FILING_STATUS=OR","EQY_CONSOLIDATED=Y","FA_ADJUSTED=GAAP","Sort=A","Dates=H","DateFormat=P","Fill=—","Direction=H","UseDPDF=Y")</f>
        <v>#NAME?</v>
      </c>
      <c r="CZ460" s="2" t="e">
        <f ca="1">_xll.BDH($C$453,"INVENT_DAYS","FQ2 2015","FQ2 2015","Currency=INR","Period=FQ","BEST_FPERIOD_OVERRIDE=FQ","FILING_STATUS=OR","EQY_CONSOLIDATED=Y","FA_ADJUSTED=GAAP","Sort=A","Dates=H","DateFormat=P","Fill=—","Direction=H","UseDPDF=Y")</f>
        <v>#NAME?</v>
      </c>
      <c r="DA460" s="4" t="e">
        <f ca="1">_xll.BDH($C$453,"ACCOUNTS_PAYABLE_TURNOVER","FQ2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460" s="2" t="e">
        <f ca="1">_xll.BDH($C$453,"ACCOUNTS_PAYABLE_TURNOVER_DAYS","FQ2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460" s="4" t="e">
        <f ca="1">_xll.BDH($C$453,"CASH_CONVERSION_CYCLE","FQ2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460" s="4" t="e">
        <f ca="1">_xll.BDH($C$453,"INV_TO_CASH_DAYS","FQ2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460" s="5" t="e">
        <f ca="1">_xll.BDH($C$453,"BS_INVENTORIES","FQ2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460" s="3" t="e">
        <f ca="1">_xll.BDH($C$453,"INVTRY_RAW_MATERIALS","FQ2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460" s="3" t="e">
        <f ca="1">_xll.BDH($C$453,"INVTRY_IN_PROGRESS","FQ2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460" s="3" t="e">
        <f ca="1">_xll.BDH($C$453,"INVTRY_FINISHED_GOODS","FQ2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460" s="3" t="e">
        <f ca="1">_xll.BDH($C$453,"BS_OTHER_INV","FQ2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461" spans="1:113" x14ac:dyDescent="0.3">
      <c r="A461" s="6"/>
      <c r="B461" s="6"/>
      <c r="C461" s="6"/>
      <c r="D461" s="6"/>
      <c r="E461" t="s">
        <v>80</v>
      </c>
      <c r="F461" t="e">
        <f ca="1">_xll.BDH($C$453,"RETURN_COM_EQY","FQ3 2015","FQ3 2015","Currency=INR","Period=FQ","BEST_FPERIOD_OVERRIDE=FQ","FILING_STATUS=OR","EQY_CONSOLIDATED=Y","FA_ADJUSTED=GAAP","Sort=A","Dates=H","DateFormat=P","Fill=—","Direction=H","UseDPDF=Y")</f>
        <v>#NAME?</v>
      </c>
      <c r="G461" t="e">
        <f ca="1">_xll.BDH($C$453,"RETURN_ON_ASSET","FQ3 2015","FQ3 2015","Currency=INR","Period=FQ","BEST_FPERIOD_OVERRIDE=FQ","FILING_STATUS=OR","EQY_CONSOLIDATED=Y","FA_ADJUSTED=GAAP","Sort=A","Dates=H","DateFormat=P","Fill=—","Direction=H","UseDPDF=Y")</f>
        <v>#NAME?</v>
      </c>
      <c r="H461" t="e">
        <f ca="1">_xll.BDH($C$453,"RETURN_ON_CAP","FQ3 2015","FQ3 2015","Currency=INR","Period=FQ","BEST_FPERIOD_OVERRIDE=FQ","FILING_STATUS=OR","EQY_CONSOLIDATED=Y","FA_ADJUSTED=GAAP","Sort=A","Dates=H","DateFormat=P","Fill=—","Direction=H","UseDPDF=Y")</f>
        <v>#NAME?</v>
      </c>
      <c r="I461" t="e">
        <f ca="1">_xll.BDH($C$453,"RETURN_ON_INV_CAPITAL","FQ3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461" t="e">
        <f ca="1">_xll.BDH($C$453,"EBITDA_TO_REVENUE","FQ3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461" t="e">
        <f ca="1">_xll.BDH($C$453,"OPER_MARGIN","FQ3 2015","FQ3 2015","Currency=INR","Period=FQ","BEST_FPERIOD_OVERRIDE=FQ","FILING_STATUS=OR","EQY_CONSOLIDATED=Y","FA_ADJUSTED=GAAP","Sort=A","Dates=H","DateFormat=P","Fill=—","Direction=H","UseDPDF=Y")</f>
        <v>#NAME?</v>
      </c>
      <c r="L461" t="e">
        <f ca="1">_xll.BDH($C$453,"INCREMENTAL_OPERATING_MARGIN","FQ3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461" t="e">
        <f ca="1">_xll.BDH($C$453,"PRETAX_INC_TO_NET_SALES","FQ3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461" t="e">
        <f ca="1">_xll.BDH($C$453,"INC_BEF_XO_ITEMS_TO_NET_SALES","FQ3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461" t="e">
        <f ca="1">_xll.BDH($C$453,"PROF_MARGIN","FQ3 2015","FQ3 2015","Currency=INR","Period=FQ","BEST_FPERIOD_OVERRIDE=FQ","FILING_STATUS=OR","EQY_CONSOLIDATED=Y","FA_ADJUSTED=GAAP","Sort=A","Dates=H","DateFormat=P","Fill=—","Direction=H","UseDPDF=Y")</f>
        <v>#NAME?</v>
      </c>
      <c r="P461" t="e">
        <f ca="1">_xll.BDH($C$453,"NET_INCOME_TO_COMMON_MARGIN","FQ3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461" t="e">
        <f ca="1">_xll.BDH($C$453,"EFF_TAX_RATE","FQ3 2015","FQ3 2015","Currency=INR","Period=FQ","BEST_FPERIOD_OVERRIDE=FQ","FILING_STATUS=OR","EQY_CONSOLIDATED=Y","FA_ADJUSTED=GAAP","Sort=A","Dates=H","DateFormat=P","Fill=—","Direction=H","UseDPDF=Y")</f>
        <v>#NAME?</v>
      </c>
      <c r="R461" t="e">
        <f ca="1">_xll.BDH($C$453,"DVD_PAYOUT_RATIO","FQ3 2015","FQ3 2015","Currency=INR","Period=FQ","BEST_FPERIOD_OVERRIDE=FQ","FILING_STATUS=OR","EQY_CONSOLIDATED=Y","FA_ADJUSTED=GAAP","Sort=A","Dates=H","DateFormat=P","Fill=—","Direction=H","UseDPDF=Y")</f>
        <v>#NAME?</v>
      </c>
      <c r="S461" t="e">
        <f ca="1">_xll.BDH($C$453,"SUSTAIN_GROWTH_RT","FQ3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461" s="2" t="e">
        <f ca="1">_xll.BDH($C$453,"SALES_GROWTH","FQ3 2015","FQ3 2015","Currency=INR","Period=FQ","BEST_FPERIOD_OVERRIDE=FQ","FILING_STATUS=OR","EQY_CONSOLIDATED=Y","FA_ADJUSTED=GAAP","Sort=A","Dates=H","DateFormat=P","Fill=—","Direction=H","UseDPDF=Y")</f>
        <v>#NAME?</v>
      </c>
      <c r="U461" s="2" t="e">
        <f ca="1">_xll.BDH($C$453,"EBITDA_GROWTH","FQ3 2015","FQ3 2015","Currency=INR","Period=FQ","BEST_FPERIOD_OVERRIDE=FQ","FILING_STATUS=OR","EQY_CONSOLIDATED=Y","FA_ADJUSTED=GAAP","Sort=A","Dates=H","DateFormat=P","Fill=—","Direction=H","UseDPDF=Y")</f>
        <v>#NAME?</v>
      </c>
      <c r="V461" s="2" t="e">
        <f ca="1">_xll.BDH($C$453,"OPER_INC_GROWTH","FQ3 2015","FQ3 2015","Currency=INR","Period=FQ","BEST_FPERIOD_OVERRIDE=FQ","FILING_STATUS=OR","EQY_CONSOLIDATED=Y","FA_ADJUSTED=GAAP","Sort=A","Dates=H","DateFormat=P","Fill=—","Direction=H","UseDPDF=Y")</f>
        <v>#NAME?</v>
      </c>
      <c r="W461" s="2" t="e">
        <f ca="1">_xll.BDH($C$453,"EARN_FOR_COM_GROWTH","FQ3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461" s="2" t="e">
        <f ca="1">_xll.BDH($C$453,"DILUTED_EPS_AFT_XO_ITEMS_GROWTH","FQ3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461" s="2" t="e">
        <f ca="1">_xll.BDH($C$453,"DIVIDEND_PER_SHARE_1_YEAR_GROWTH","FQ3 2015","FQ3 2015","Currency=INR","Period=FQ","BEST_FPERIOD_OVERRIDE=FQ","FILING_STATUS=OR","EQY_CONSOLIDATED=Y","Sort=A","Dates=H","DateFormat=P","Fill=—","Direction=H","UseDPDF=Y")</f>
        <v>#NAME?</v>
      </c>
      <c r="Z461" s="2" t="e">
        <f ca="1">_xll.BDH($C$453,"ACCOUNTS_RECEIVABLE_GROWTH","FQ3 2015","FQ3 2015","Currency=INR","Period=FQ","BEST_FPERIOD_OVERRIDE=FQ","FILING_STATUS=OR","EQY_CONSOLIDATED=Y","Sort=A","Dates=H","DateFormat=P","Fill=—","Direction=H","UseDPDF=Y")</f>
        <v>#NAME?</v>
      </c>
      <c r="AA461" s="2" t="e">
        <f ca="1">_xll.BDH($C$453,"INVENTORY_GROWTH","FQ3 2015","FQ3 2015","Currency=INR","Period=FQ","BEST_FPERIOD_OVERRIDE=FQ","FILING_STATUS=OR","EQY_CONSOLIDATED=Y","Sort=A","Dates=H","DateFormat=P","Fill=—","Direction=H","UseDPDF=Y")</f>
        <v>#NAME?</v>
      </c>
      <c r="AB461" s="2" t="e">
        <f ca="1">_xll.BDH($C$453,"NET_FIXED_ASSETS_1_YEAR_GROWTH","FQ3 2015","FQ3 2015","Currency=INR","Period=FQ","BEST_FPERIOD_OVERRIDE=FQ","FILING_STATUS=OR","EQY_CONSOLIDATED=Y","Sort=A","Dates=H","DateFormat=P","Fill=—","Direction=H","UseDPDF=Y")</f>
        <v>#NAME?</v>
      </c>
      <c r="AC461" s="2" t="e">
        <f ca="1">_xll.BDH($C$453,"ASSET_GROWTH","FQ3 2015","FQ3 2015","Currency=INR","Period=FQ","BEST_FPERIOD_OVERRIDE=FQ","FILING_STATUS=OR","EQY_CONSOLIDATED=Y","Sort=A","Dates=H","DateFormat=P","Fill=—","Direction=H","UseDPDF=Y")</f>
        <v>#NAME?</v>
      </c>
      <c r="AD461" s="2" t="e">
        <f ca="1">_xll.BDH($C$453,"MODIFIED_WORK_CAP_GROWTH","FQ3 2015","FQ3 2015","Currency=INR","Period=FQ","BEST_FPERIOD_OVERRIDE=FQ","FILING_STATUS=OR","EQY_CONSOLIDATED=Y","Sort=A","Dates=H","DateFormat=P","Fill=—","Direction=H","UseDPDF=Y")</f>
        <v>#NAME?</v>
      </c>
      <c r="AE461" s="2" t="e">
        <f ca="1">_xll.BDH($C$453,"WORK_CAP_GROWTH","FQ3 2015","FQ3 2015","Currency=INR","Period=FQ","BEST_FPERIOD_OVERRIDE=FQ","FILING_STATUS=OR","EQY_CONSOLIDATED=Y","Sort=A","Dates=H","DateFormat=P","Fill=—","Direction=H","UseDPDF=Y")</f>
        <v>#NAME?</v>
      </c>
      <c r="AF461" s="2" t="e">
        <f ca="1">_xll.BDH($C$453,"ACCOUNTS_PAYABLE_GROWTH_1YR","FQ3 2015","FQ3 2015","Currency=INR","Period=FQ","BEST_FPERIOD_OVERRIDE=FQ","FILING_STATUS=OR","EQY_CONSOLIDATED=Y","Sort=A","Dates=H","DateFormat=P","Fill=—","Direction=H","UseDPDF=Y")</f>
        <v>#NAME?</v>
      </c>
      <c r="AG461" s="2" t="e">
        <f ca="1">_xll.BDH($C$453,"SHORT_TERM_DEBT_1_YEAR_GROWTH","FQ3 2015","FQ3 2015","Currency=INR","Period=FQ","BEST_FPERIOD_OVERRIDE=FQ","FILING_STATUS=OR","EQY_CONSOLIDATED=Y","Sort=A","Dates=H","DateFormat=P","Fill=—","Direction=H","UseDPDF=Y")</f>
        <v>#NAME?</v>
      </c>
      <c r="AH461" s="2" t="e">
        <f ca="1">_xll.BDH($C$453,"TOTAL_DEBT_1_YEAR_GROWTH","FQ3 2015","FQ3 2015","Currency=INR","Period=FQ","BEST_FPERIOD_OVERRIDE=FQ","FILING_STATUS=OR","EQY_CONSOLIDATED=Y","Sort=A","Dates=H","DateFormat=P","Fill=—","Direction=H","UseDPDF=Y")</f>
        <v>#NAME?</v>
      </c>
      <c r="AI461" s="2" t="e">
        <f ca="1">_xll.BDH($C$453,"TOTAL_EQUITY_1_YEAR_GROWTH","FQ3 2015","FQ3 2015","Currency=INR","Period=FQ","BEST_FPERIOD_OVERRIDE=FQ","FILING_STATUS=OR","EQY_CONSOLIDATED=Y","Sort=A","Dates=H","DateFormat=P","Fill=—","Direction=H","UseDPDF=Y")</f>
        <v>#NAME?</v>
      </c>
      <c r="AJ461" s="2" t="e">
        <f ca="1">_xll.BDH($C$453,"GROWTH_IN_CAP","FQ3 2015","FQ3 2015","Currency=INR","Period=FQ","BEST_FPERIOD_OVERRIDE=FQ","FILING_STATUS=OR","EQY_CONSOLIDATED=Y","Sort=A","Dates=H","DateFormat=P","Fill=—","Direction=H","UseDPDF=Y")</f>
        <v>#NAME?</v>
      </c>
      <c r="AK461" s="2" t="e">
        <f ca="1">_xll.BDH($C$453,"BVPS_GROWTH","FQ3 2015","FQ3 2015","Currency=INR","Period=FQ","BEST_FPERIOD_OVERRIDE=FQ","FILING_STATUS=OR","EQY_CONSOLIDATED=Y","Sort=A","Dates=H","DateFormat=P","Fill=—","Direction=H","UseDPDF=Y")</f>
        <v>#NAME?</v>
      </c>
      <c r="AL461" s="2" t="e">
        <f ca="1">_xll.BDH($C$453,"CASH_FLOW_GROWTH","FQ3 2015","FQ3 2015","Currency=INR","Period=FQ","BEST_FPERIOD_OVERRIDE=FQ","FILING_STATUS=OR","EQY_CONSOLIDATED=Y","Sort=A","Dates=H","DateFormat=P","Fill=—","Direction=H","UseDPDF=Y")</f>
        <v>#NAME?</v>
      </c>
      <c r="AM461" s="2" t="e">
        <f ca="1">_xll.BDH($C$453,"GEO_GROW_NET_SALES","FQ3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461" s="2" t="e">
        <f ca="1">_xll.BDH($C$453,"GEO_GROW_EBITDA","FQ3 2015","FQ3 2015","Currency=INR","Period=FQ","BEST_FPERIOD_OVERRIDE=FQ","FILING_STATUS=OR","EQY_CONSOLIDATED=Y","FA_ADJUSTED=GAAP","Sort=A","Dates=H","DateFormat=P","Fill=—","Direction=H","UseDPDF=Y")</f>
        <v>#NAME?</v>
      </c>
      <c r="AO461" s="2" t="e">
        <f ca="1">_xll.BDH($C$453,"GEO_GROW_OPER_INC","FQ3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461" s="2" t="e">
        <f ca="1">_xll.BDH($C$453,"NET_INCOME_TO_COMMON_5_YR_GROWTH","FQ3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461" s="2" t="e">
        <f ca="1">_xll.BDH($C$453,"5Y_GEO_GROWTH_DILUTED_EPS","FQ3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461" s="2" t="e">
        <f ca="1">_xll.BDH($C$453,"GEO_GROW_DVD_PER_SH","FQ3 2015","FQ3 2015","Currency=INR","Period=FQ","BEST_FPERIOD_OVERRIDE=FQ","FILING_STATUS=OR","EQY_CONSOLIDATED=Y","Sort=A","Dates=H","DateFormat=P","Fill=—","Direction=H","UseDPDF=Y")</f>
        <v>#NAME?</v>
      </c>
      <c r="AS461" s="2" t="e">
        <f ca="1">_xll.BDH($C$453,"ACCOUNTS_RECEIVABLE_5_YR_GROWTH","FQ3 2015","FQ3 2015","Currency=INR","Period=FQ","BEST_FPERIOD_OVERRIDE=FQ","FILING_STATUS=OR","EQY_CONSOLIDATED=Y","Sort=A","Dates=H","DateFormat=P","Fill=—","Direction=H","UseDPDF=Y")</f>
        <v>#NAME?</v>
      </c>
      <c r="AT461" s="2" t="e">
        <f ca="1">_xll.BDH($C$453,"INVENTORY_5_YEAR_GROWTH","FQ3 2015","FQ3 2015","Currency=INR","Period=FQ","BEST_FPERIOD_OVERRIDE=FQ","FILING_STATUS=OR","EQY_CONSOLIDATED=Y","Sort=A","Dates=H","DateFormat=P","Fill=—","Direction=H","UseDPDF=Y")</f>
        <v>#NAME?</v>
      </c>
      <c r="AU461" s="2" t="e">
        <f ca="1">_xll.BDH($C$453,"NET_FIXED_ASSETS_5_YEAR_GROWTH","FQ3 2015","FQ3 2015","Currency=INR","Period=FQ","BEST_FPERIOD_OVERRIDE=FQ","FILING_STATUS=OR","EQY_CONSOLIDATED=Y","Sort=A","Dates=H","DateFormat=P","Fill=—","Direction=H","UseDPDF=Y")</f>
        <v>#NAME?</v>
      </c>
      <c r="AV461" s="2" t="e">
        <f ca="1">_xll.BDH($C$453,"GEO_GROW_TOT_ASSET","FQ3 2015","FQ3 2015","Currency=INR","Period=FQ","BEST_FPERIOD_OVERRIDE=FQ","FILING_STATUS=OR","EQY_CONSOLIDATED=Y","Sort=A","Dates=H","DateFormat=P","Fill=—","Direction=H","UseDPDF=Y")</f>
        <v>#NAME?</v>
      </c>
      <c r="AW461" s="2" t="e">
        <f ca="1">_xll.BDH($C$453,"MODIFIED_WORKING_CPTL_5YR_GRWTH","FQ3 2015","FQ3 2015","Currency=INR","Period=FQ","BEST_FPERIOD_OVERRIDE=FQ","FILING_STATUS=OR","EQY_CONSOLIDATED=Y","Sort=A","Dates=H","DateFormat=P","Fill=—","Direction=H","UseDPDF=Y")</f>
        <v>#NAME?</v>
      </c>
      <c r="AX461" s="2" t="e">
        <f ca="1">_xll.BDH($C$453,"WORKING_CAPITAL_5_YEAR_GROWTH","FQ3 2015","FQ3 2015","Currency=INR","Period=FQ","BEST_FPERIOD_OVERRIDE=FQ","FILING_STATUS=OR","EQY_CONSOLIDATED=Y","Sort=A","Dates=H","DateFormat=P","Fill=—","Direction=H","UseDPDF=Y")</f>
        <v>#NAME?</v>
      </c>
      <c r="AY461" s="2" t="e">
        <f ca="1">_xll.BDH($C$453,"ACCOUNTS_PAYABLE_5_YEAR_GROWTH","FQ3 2015","FQ3 2015","Currency=INR","Period=FQ","BEST_FPERIOD_OVERRIDE=FQ","FILING_STATUS=OR","EQY_CONSOLIDATED=Y","Sort=A","Dates=H","DateFormat=P","Fill=—","Direction=H","UseDPDF=Y")</f>
        <v>#NAME?</v>
      </c>
      <c r="AZ461" s="2" t="e">
        <f ca="1">_xll.BDH($C$453,"SHORT_TERM_DEBT_5_YEAR_GROWTH","FQ3 2015","FQ3 2015","Currency=INR","Period=FQ","BEST_FPERIOD_OVERRIDE=FQ","FILING_STATUS=OR","EQY_CONSOLIDATED=Y","Sort=A","Dates=H","DateFormat=P","Fill=—","Direction=H","UseDPDF=Y")</f>
        <v>#NAME?</v>
      </c>
      <c r="BA461" s="2" t="e">
        <f ca="1">_xll.BDH($C$453,"TOTAL_DEBT_5_YEAR_GROWTH","FQ3 2015","FQ3 2015","Currency=INR","Period=FQ","BEST_FPERIOD_OVERRIDE=FQ","FILING_STATUS=OR","EQY_CONSOLIDATED=Y","Sort=A","Dates=H","DateFormat=P","Fill=—","Direction=H","UseDPDF=Y")</f>
        <v>#NAME?</v>
      </c>
      <c r="BB461" s="2" t="e">
        <f ca="1">_xll.BDH($C$453,"GEO_GROW_TOT_SHRHLDR_EQY","FQ3 2015","FQ3 2015","Currency=INR","Period=FQ","BEST_FPERIOD_OVERRIDE=FQ","FILING_STATUS=OR","EQY_CONSOLIDATED=Y","Sort=A","Dates=H","DateFormat=P","Fill=—","Direction=H","UseDPDF=Y")</f>
        <v>#NAME?</v>
      </c>
      <c r="BC461" s="2" t="e">
        <f ca="1">_xll.BDH($C$453,"TOTAL_CAPITAL_5_YEAR_GROWTH","FQ3 2015","FQ3 2015","Currency=INR","Period=FQ","BEST_FPERIOD_OVERRIDE=FQ","FILING_STATUS=OR","EQY_CONSOLIDATED=Y","Sort=A","Dates=H","DateFormat=P","Fill=—","Direction=H","UseDPDF=Y")</f>
        <v>#NAME?</v>
      </c>
      <c r="BD461" s="2" t="e">
        <f ca="1">_xll.BDH($C$453,"GEO_GROW_BOOK_VAL","FQ3 2015","FQ3 2015","Currency=INR","Period=FQ","BEST_FPERIOD_OVERRIDE=FQ","FILING_STATUS=OR","EQY_CONSOLIDATED=Y","Sort=A","Dates=H","DateFormat=P","Fill=—","Direction=H","UseDPDF=Y")</f>
        <v>#NAME?</v>
      </c>
      <c r="BE461" s="2" t="e">
        <f ca="1">_xll.BDH($C$453,"GEO_GROW_CASH_OPER_ACT","FQ3 2015","FQ3 2015","Currency=INR","Period=FQ","BEST_FPERIOD_OVERRIDE=FQ","FILING_STATUS=OR","EQY_CONSOLIDATED=Y","Sort=A","Dates=H","DateFormat=P","Fill=—","Direction=H","UseDPDF=Y")</f>
        <v>#NAME?</v>
      </c>
      <c r="BF461" s="2" t="e">
        <f ca="1">_xll.BDH($C$453,"REVENUE_SEQUENTIAL_GROWTH","FQ3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461" s="2" t="e">
        <f ca="1">_xll.BDH($C$453,"EBITDA_SEQUENTIAL_GROWTH","FQ3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461" s="2" t="e">
        <f ca="1">_xll.BDH($C$453,"OPERATING_INCOME_SEQ_GROWTH","FQ3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461" s="2" t="e">
        <f ca="1">_xll.BDH($C$453,"NET_INCOME_TO_COMMON_SEQ_GROWTH","FQ3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461" s="2" t="e">
        <f ca="1">_xll.BDH($C$453,"EPS_DILUTED_SEQUENTIAL_GROWTH","FQ3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461" s="2" t="e">
        <f ca="1">_xll.BDH($C$453,"DPS_SEQUENTIAL_GROWTH","FQ3 2015","FQ3 2015","Currency=INR","Period=FQ","BEST_FPERIOD_OVERRIDE=FQ","FILING_STATUS=OR","EQY_CONSOLIDATED=Y","Sort=A","Dates=H","DateFormat=P","Fill=—","Direction=H","UseDPDF=Y")</f>
        <v>#NAME?</v>
      </c>
      <c r="BL461" s="2" t="e">
        <f ca="1">_xll.BDH($C$453,"ACCOUNTS_RECEIVABLE_SEQ_GROWTH","FQ3 2015","FQ3 2015","Currency=INR","Period=FQ","BEST_FPERIOD_OVERRIDE=FQ","FILING_STATUS=OR","EQY_CONSOLIDATED=Y","Sort=A","Dates=H","DateFormat=P","Fill=—","Direction=H","UseDPDF=Y")</f>
        <v>#NAME?</v>
      </c>
      <c r="BM461" s="2" t="e">
        <f ca="1">_xll.BDH($C$453,"INVENTORY_SEQUENTIAL_GROWTH","FQ3 2015","FQ3 2015","Currency=INR","Period=FQ","BEST_FPERIOD_OVERRIDE=FQ","FILING_STATUS=OR","EQY_CONSOLIDATED=Y","Sort=A","Dates=H","DateFormat=P","Fill=—","Direction=H","UseDPDF=Y")</f>
        <v>#NAME?</v>
      </c>
      <c r="BN461" s="2" t="e">
        <f ca="1">_xll.BDH($C$453,"FIXED_ASSETS_SEQUENTIAL_GROWTH","FQ3 2015","FQ3 2015","Currency=INR","Period=FQ","BEST_FPERIOD_OVERRIDE=FQ","FILING_STATUS=OR","EQY_CONSOLIDATED=Y","Sort=A","Dates=H","DateFormat=P","Fill=—","Direction=H","UseDPDF=Y")</f>
        <v>#NAME?</v>
      </c>
      <c r="BO461" s="2" t="e">
        <f ca="1">_xll.BDH($C$453,"TOTAL_ASSETS_SEQUENTIAL_GROWTH","FQ3 2015","FQ3 2015","Currency=INR","Period=FQ","BEST_FPERIOD_OVERRIDE=FQ","FILING_STATUS=OR","EQY_CONSOLIDATED=Y","Sort=A","Dates=H","DateFormat=P","Fill=—","Direction=H","UseDPDF=Y")</f>
        <v>#NAME?</v>
      </c>
      <c r="BP461" s="2" t="e">
        <f ca="1">_xll.BDH($C$453,"MODIFIED_WORKING_CPTL_SEQ_GRWTH","FQ3 2015","FQ3 2015","Currency=INR","Period=FQ","BEST_FPERIOD_OVERRIDE=FQ","FILING_STATUS=OR","EQY_CONSOLIDATED=Y","Sort=A","Dates=H","DateFormat=P","Fill=—","Direction=H","UseDPDF=Y")</f>
        <v>#NAME?</v>
      </c>
      <c r="BQ461" s="2" t="e">
        <f ca="1">_xll.BDH($C$453,"WORKING_CAPITAL_SEQ_GROWTH","FQ3 2015","FQ3 2015","Currency=INR","Period=FQ","BEST_FPERIOD_OVERRIDE=FQ","FILING_STATUS=OR","EQY_CONSOLIDATED=Y","Sort=A","Dates=H","DateFormat=P","Fill=—","Direction=H","UseDPDF=Y")</f>
        <v>#NAME?</v>
      </c>
      <c r="BR461" s="2" t="e">
        <f ca="1">_xll.BDH($C$453,"ACCOUNTS_PAYABLE_SEQ_GROWTH","FQ3 2015","FQ3 2015","Currency=INR","Period=FQ","BEST_FPERIOD_OVERRIDE=FQ","FILING_STATUS=OR","EQY_CONSOLIDATED=Y","Sort=A","Dates=H","DateFormat=P","Fill=—","Direction=H","UseDPDF=Y")</f>
        <v>#NAME?</v>
      </c>
      <c r="BS461" s="2" t="e">
        <f ca="1">_xll.BDH($C$453,"ST_DEBT_SEQUENTIAL_GROWTH","FQ3 2015","FQ3 2015","Currency=INR","Period=FQ","BEST_FPERIOD_OVERRIDE=FQ","FILING_STATUS=OR","EQY_CONSOLIDATED=Y","Sort=A","Dates=H","DateFormat=P","Fill=—","Direction=H","UseDPDF=Y")</f>
        <v>#NAME?</v>
      </c>
      <c r="BT461" s="2" t="e">
        <f ca="1">_xll.BDH($C$453,"TOTAL_DEBT_SEQUENTIAL_GROWTH","FQ3 2015","FQ3 2015","Currency=INR","Period=FQ","BEST_FPERIOD_OVERRIDE=FQ","FILING_STATUS=OR","EQY_CONSOLIDATED=Y","Sort=A","Dates=H","DateFormat=P","Fill=—","Direction=H","UseDPDF=Y")</f>
        <v>#NAME?</v>
      </c>
      <c r="BU461" s="2" t="e">
        <f ca="1">_xll.BDH($C$453,"TOTAL_EQUITY_SEQUENTIAL_GROWTH","FQ3 2015","FQ3 2015","Currency=INR","Period=FQ","BEST_FPERIOD_OVERRIDE=FQ","FILING_STATUS=OR","EQY_CONSOLIDATED=Y","Sort=A","Dates=H","DateFormat=P","Fill=—","Direction=H","UseDPDF=Y")</f>
        <v>#NAME?</v>
      </c>
      <c r="BV461" s="2" t="e">
        <f ca="1">_xll.BDH($C$453,"TOTAL_CAPITAL_SEQUENTIAL_GROWTH","FQ3 2015","FQ3 2015","Currency=INR","Period=FQ","BEST_FPERIOD_OVERRIDE=FQ","FILING_STATUS=OR","EQY_CONSOLIDATED=Y","Sort=A","Dates=H","DateFormat=P","Fill=—","Direction=H","UseDPDF=Y")</f>
        <v>#NAME?</v>
      </c>
      <c r="BW461" s="2" t="e">
        <f ca="1">_xll.BDH($C$453,"BPS_SEQUENTIAL_GROWTH","FQ3 2015","FQ3 2015","Currency=INR","Period=FQ","BEST_FPERIOD_OVERRIDE=FQ","FILING_STATUS=OR","EQY_CONSOLIDATED=Y","Sort=A","Dates=H","DateFormat=P","Fill=—","Direction=H","UseDPDF=Y")</f>
        <v>#NAME?</v>
      </c>
      <c r="BX461" s="2" t="e">
        <f ca="1">_xll.BDH($C$453,"CFO_SEQUENTIAL_GROWTH","FQ3 2015","FQ3 2015","Currency=INR","Period=FQ","BEST_FPERIOD_OVERRIDE=FQ","FILING_STATUS=OR","EQY_CONSOLIDATED=Y","Sort=A","Dates=H","DateFormat=P","Fill=—","Direction=H","UseDPDF=Y")</f>
        <v>#NAME?</v>
      </c>
      <c r="BY461" s="3" t="e">
        <f ca="1">_xll.BDH($C$453,"SHORT_AND_LONG_TERM_DEBT","FQ3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461" s="3" t="e">
        <f ca="1">_xll.BDH($C$453,"BS_ST_BORROW","FQ3 2015","FQ3 2015","Currency=INR","Period=FQ","BEST_FPERIOD_OVERRIDE=FQ","FILING_STATUS=OR","EQY_CONSOLIDATED=Y","SCALING_FORMAT=MLN","Sort=A","Dates=H","DateFormat=P","Fill=—","Direction=H","UseDPDF=Y")</f>
        <v>#NAME?</v>
      </c>
      <c r="CA461" s="3" t="e">
        <f ca="1">_xll.BDH($C$453,"BS_LT_BORROW","FQ3 2015","FQ3 2015","Currency=INR","Period=FQ","BEST_FPERIOD_OVERRIDE=FQ","FILING_STATUS=OR","EQY_CONSOLIDATED=Y","SCALING_FORMAT=MLN","Sort=A","Dates=H","DateFormat=P","Fill=—","Direction=H","UseDPDF=Y")</f>
        <v>#NAME?</v>
      </c>
      <c r="CB461" s="2" t="e">
        <f ca="1">_xll.BDH($C$453,"TOT_DEBT_TO_EBITDA","FQ3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461" s="2" t="e">
        <f ca="1">_xll.BDH($C$453,"NET_DEBT_TO_EBITDA","FQ3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461" s="2" t="e">
        <f ca="1">_xll.BDH($C$453,"TOTAL_DEBT_TO_EBIT","FQ3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461" s="2" t="e">
        <f ca="1">_xll.BDH($C$453,"NET_DEBT_TO_EBIT","FQ3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461" s="2" t="e">
        <f ca="1">_xll.BDH($C$453,"EBITDA_TO_INTEREST_EXPN","FQ3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461" s="2" t="e">
        <f ca="1">_xll.BDH($C$453,"COM_EQY_TO_TOT_ASSET","FQ3 2015","FQ3 2015","Currency=INR","Period=FQ","BEST_FPERIOD_OVERRIDE=FQ","FILING_STATUS=OR","EQY_CONSOLIDATED=Y","Sort=A","Dates=H","DateFormat=P","Fill=—","Direction=H","UseDPDF=Y")</f>
        <v>#NAME?</v>
      </c>
      <c r="CH461" s="2" t="e">
        <f ca="1">_xll.BDH($C$453,"LT_DEBT_TO_TOT_EQY","FQ3 2015","FQ3 2015","Currency=INR","Period=FQ","BEST_FPERIOD_OVERRIDE=FQ","FILING_STATUS=OR","EQY_CONSOLIDATED=Y","Sort=A","Dates=H","DateFormat=P","Fill=—","Direction=H","UseDPDF=Y")</f>
        <v>#NAME?</v>
      </c>
      <c r="CI461" s="2" t="e">
        <f ca="1">_xll.BDH($C$453,"LT_DEBT_TO_TOT_CAP","FQ3 2015","FQ3 2015","Currency=INR","Period=FQ","BEST_FPERIOD_OVERRIDE=FQ","FILING_STATUS=OR","EQY_CONSOLIDATED=Y","Sort=A","Dates=H","DateFormat=P","Fill=—","Direction=H","UseDPDF=Y")</f>
        <v>#NAME?</v>
      </c>
      <c r="CJ461" s="2" t="e">
        <f ca="1">_xll.BDH($C$453,"LT_DEBT_TO_TOT_ASSET","FQ3 2015","FQ3 2015","Currency=INR","Period=FQ","BEST_FPERIOD_OVERRIDE=FQ","FILING_STATUS=OR","EQY_CONSOLIDATED=Y","Sort=A","Dates=H","DateFormat=P","Fill=—","Direction=H","UseDPDF=Y")</f>
        <v>#NAME?</v>
      </c>
      <c r="CK461" s="2" t="e">
        <f ca="1">_xll.BDH($C$453,"TOT_DEBT_TO_TOT_EQY","FQ3 2015","FQ3 2015","Currency=INR","Period=FQ","BEST_FPERIOD_OVERRIDE=FQ","FILING_STATUS=OR","EQY_CONSOLIDATED=Y","Sort=A","Dates=H","DateFormat=P","Fill=—","Direction=H","UseDPDF=Y")</f>
        <v>#NAME?</v>
      </c>
      <c r="CL461" s="2" t="e">
        <f ca="1">_xll.BDH($C$453,"TOT_DEBT_TO_TOT_CAP","FQ3 2015","FQ3 2015","Currency=INR","Period=FQ","BEST_FPERIOD_OVERRIDE=FQ","FILING_STATUS=OR","EQY_CONSOLIDATED=Y","Sort=A","Dates=H","DateFormat=P","Fill=—","Direction=H","UseDPDF=Y")</f>
        <v>#NAME?</v>
      </c>
      <c r="CM461" s="2" t="e">
        <f ca="1">_xll.BDH($C$453,"TOT_DEBT_TO_TOT_ASSET","FQ3 2015","FQ3 2015","Currency=INR","Period=FQ","BEST_FPERIOD_OVERRIDE=FQ","FILING_STATUS=OR","EQY_CONSOLIDATED=Y","Sort=A","Dates=H","DateFormat=P","Fill=—","Direction=H","UseDPDF=Y")</f>
        <v>#NAME?</v>
      </c>
      <c r="CN461" s="2" t="e">
        <f ca="1">_xll.BDH($C$453,"NET_DEBT_TO_SHRHLDR_EQTY","FQ3 2015","FQ3 2015","Currency=INR","Period=FQ","BEST_FPERIOD_OVERRIDE=FQ","FILING_STATUS=OR","EQY_CONSOLIDATED=Y","Sort=A","Dates=H","DateFormat=P","Fill=—","Direction=H","UseDPDF=Y")</f>
        <v>#NAME?</v>
      </c>
      <c r="CO461" s="2" t="e">
        <f ca="1">_xll.BDH($C$453,"NET_DEBT_%_CAPITAL","FQ3 2015","FQ3 2015","Currency=INR","Period=FQ","BEST_FPERIOD_OVERRIDE=FQ","FILING_STATUS=OR","EQY_CONSOLIDATED=Y","Sort=A","Dates=H","DateFormat=P","Fill=—","Direction=H","UseDPDF=Y")</f>
        <v>#NAME?</v>
      </c>
      <c r="CP461" s="3" t="e">
        <f ca="1">_xll.BDH($C$453,"EBITDA","FQ3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461" s="3" t="e">
        <f ca="1">_xll.BDH($C$453,"EBITDA_AFTER_CAPEX","FQ3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461" s="3" t="e">
        <f ca="1">_xll.BDH($C$453,"IS_OPER_INC","FQ3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461" s="2" t="e">
        <f ca="1">_xll.BDH($C$453,"CASH_RATIO","FQ3 2015","FQ3 2015","Currency=INR","Period=FQ","BEST_FPERIOD_OVERRIDE=FQ","FILING_STATUS=OR","EQY_CONSOLIDATED=Y","Sort=A","Dates=H","DateFormat=P","Fill=—","Direction=H","UseDPDF=Y")</f>
        <v>#NAME?</v>
      </c>
      <c r="CT461" s="2" t="e">
        <f ca="1">_xll.BDH($C$453,"CUR_RATIO","FQ3 2015","FQ3 2015","Currency=INR","Period=FQ","BEST_FPERIOD_OVERRIDE=FQ","FILING_STATUS=OR","EQY_CONSOLIDATED=Y","Sort=A","Dates=H","DateFormat=P","Fill=—","Direction=H","UseDPDF=Y")</f>
        <v>#NAME?</v>
      </c>
      <c r="CU461" s="2" t="e">
        <f ca="1">_xll.BDH($C$453,"QUICK_RATIO","FQ3 2015","FQ3 2015","Currency=INR","Period=FQ","BEST_FPERIOD_OVERRIDE=FQ","FILING_STATUS=OR","EQY_CONSOLIDATED=Y","Sort=A","Dates=H","DateFormat=P","Fill=—","Direction=H","UseDPDF=Y")</f>
        <v>#NAME?</v>
      </c>
      <c r="CV461" s="2" t="e">
        <f ca="1">_xll.BDH($C$453,"ALTMAN_Z_SCORE","FQ3 2015","FQ3 2015","Currency=INR","Period=FQ","BEST_FPERIOD_OVERRIDE=FQ","FILING_STATUS=OR","EQY_CONSOLIDATED=Y","Sort=A","Dates=H","DateFormat=P","Fill=—","Direction=H","UseDPDF=Y")</f>
        <v>#NAME?</v>
      </c>
      <c r="CW461" s="4" t="e">
        <f ca="1">_xll.BDH($C$453,"ACCT_RCV_TURN","FQ3 2015","FQ3 2015","Currency=INR","Period=FQ","BEST_FPERIOD_OVERRIDE=FQ","FILING_STATUS=OR","EQY_CONSOLIDATED=Y","FA_ADJUSTED=GAAP","Sort=A","Dates=H","DateFormat=P","Fill=—","Direction=H","UseDPDF=Y")</f>
        <v>#NAME?</v>
      </c>
      <c r="CX461" s="2" t="e">
        <f ca="1">_xll.BDH($C$453,"ACCT_RCV_DAYS","FQ3 2015","FQ3 2015","Currency=INR","Period=FQ","BEST_FPERIOD_OVERRIDE=FQ","FILING_STATUS=OR","EQY_CONSOLIDATED=Y","FA_ADJUSTED=GAAP","Sort=A","Dates=H","DateFormat=P","Fill=—","Direction=H","UseDPDF=Y")</f>
        <v>#NAME?</v>
      </c>
      <c r="CY461" s="4" t="e">
        <f ca="1">_xll.BDH($C$453,"INVENT_TURN","FQ3 2015","FQ3 2015","Currency=INR","Period=FQ","BEST_FPERIOD_OVERRIDE=FQ","FILING_STATUS=OR","EQY_CONSOLIDATED=Y","FA_ADJUSTED=GAAP","Sort=A","Dates=H","DateFormat=P","Fill=—","Direction=H","UseDPDF=Y")</f>
        <v>#NAME?</v>
      </c>
      <c r="CZ461" s="2" t="e">
        <f ca="1">_xll.BDH($C$453,"INVENT_DAYS","FQ3 2015","FQ3 2015","Currency=INR","Period=FQ","BEST_FPERIOD_OVERRIDE=FQ","FILING_STATUS=OR","EQY_CONSOLIDATED=Y","FA_ADJUSTED=GAAP","Sort=A","Dates=H","DateFormat=P","Fill=—","Direction=H","UseDPDF=Y")</f>
        <v>#NAME?</v>
      </c>
      <c r="DA461" s="4" t="e">
        <f ca="1">_xll.BDH($C$453,"ACCOUNTS_PAYABLE_TURNOVER","FQ3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461" s="2" t="e">
        <f ca="1">_xll.BDH($C$453,"ACCOUNTS_PAYABLE_TURNOVER_DAYS","FQ3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461" s="4" t="e">
        <f ca="1">_xll.BDH($C$453,"CASH_CONVERSION_CYCLE","FQ3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461" s="4" t="e">
        <f ca="1">_xll.BDH($C$453,"INV_TO_CASH_DAYS","FQ3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461" s="5" t="e">
        <f ca="1">_xll.BDH($C$453,"BS_INVENTORIES","FQ3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461" s="3" t="e">
        <f ca="1">_xll.BDH($C$453,"INVTRY_RAW_MATERIALS","FQ3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461" s="3" t="e">
        <f ca="1">_xll.BDH($C$453,"INVTRY_IN_PROGRESS","FQ3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461" s="3" t="e">
        <f ca="1">_xll.BDH($C$453,"INVTRY_FINISHED_GOODS","FQ3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461" s="3" t="e">
        <f ca="1">_xll.BDH($C$453,"BS_OTHER_INV","FQ3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462" spans="1:113" x14ac:dyDescent="0.3">
      <c r="A462" s="6"/>
      <c r="B462" s="6"/>
      <c r="C462" s="6"/>
      <c r="D462" s="6"/>
      <c r="E462" t="s">
        <v>81</v>
      </c>
      <c r="F462" t="e">
        <f ca="1">_xll.BDH($C$453,"RETURN_COM_EQY","FQ4 2015","FQ4 2015","Currency=INR","Period=FQ","BEST_FPERIOD_OVERRIDE=FQ","FILING_STATUS=OR","EQY_CONSOLIDATED=Y","FA_ADJUSTED=GAAP","Sort=A","Dates=H","DateFormat=P","Fill=—","Direction=H","UseDPDF=Y")</f>
        <v>#NAME?</v>
      </c>
      <c r="G462" t="e">
        <f ca="1">_xll.BDH($C$453,"RETURN_ON_ASSET","FQ4 2015","FQ4 2015","Currency=INR","Period=FQ","BEST_FPERIOD_OVERRIDE=FQ","FILING_STATUS=OR","EQY_CONSOLIDATED=Y","FA_ADJUSTED=GAAP","Sort=A","Dates=H","DateFormat=P","Fill=—","Direction=H","UseDPDF=Y")</f>
        <v>#NAME?</v>
      </c>
      <c r="H462" t="e">
        <f ca="1">_xll.BDH($C$453,"RETURN_ON_CAP","FQ4 2015","FQ4 2015","Currency=INR","Period=FQ","BEST_FPERIOD_OVERRIDE=FQ","FILING_STATUS=OR","EQY_CONSOLIDATED=Y","FA_ADJUSTED=GAAP","Sort=A","Dates=H","DateFormat=P","Fill=—","Direction=H","UseDPDF=Y")</f>
        <v>#NAME?</v>
      </c>
      <c r="I462" t="e">
        <f ca="1">_xll.BDH($C$453,"RETURN_ON_INV_CAPITAL","FQ4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462" t="e">
        <f ca="1">_xll.BDH($C$453,"EBITDA_TO_REVENUE","FQ4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462" t="e">
        <f ca="1">_xll.BDH($C$453,"OPER_MARGIN","FQ4 2015","FQ4 2015","Currency=INR","Period=FQ","BEST_FPERIOD_OVERRIDE=FQ","FILING_STATUS=OR","EQY_CONSOLIDATED=Y","FA_ADJUSTED=GAAP","Sort=A","Dates=H","DateFormat=P","Fill=—","Direction=H","UseDPDF=Y")</f>
        <v>#NAME?</v>
      </c>
      <c r="L462" t="e">
        <f ca="1">_xll.BDH($C$453,"INCREMENTAL_OPERATING_MARGIN","FQ4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462" t="e">
        <f ca="1">_xll.BDH($C$453,"PRETAX_INC_TO_NET_SALES","FQ4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462" t="e">
        <f ca="1">_xll.BDH($C$453,"INC_BEF_XO_ITEMS_TO_NET_SALES","FQ4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462" t="e">
        <f ca="1">_xll.BDH($C$453,"PROF_MARGIN","FQ4 2015","FQ4 2015","Currency=INR","Period=FQ","BEST_FPERIOD_OVERRIDE=FQ","FILING_STATUS=OR","EQY_CONSOLIDATED=Y","FA_ADJUSTED=GAAP","Sort=A","Dates=H","DateFormat=P","Fill=—","Direction=H","UseDPDF=Y")</f>
        <v>#NAME?</v>
      </c>
      <c r="P462" t="e">
        <f ca="1">_xll.BDH($C$453,"NET_INCOME_TO_COMMON_MARGIN","FQ4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462" t="e">
        <f ca="1">_xll.BDH($C$453,"EFF_TAX_RATE","FQ4 2015","FQ4 2015","Currency=INR","Period=FQ","BEST_FPERIOD_OVERRIDE=FQ","FILING_STATUS=OR","EQY_CONSOLIDATED=Y","FA_ADJUSTED=GAAP","Sort=A","Dates=H","DateFormat=P","Fill=—","Direction=H","UseDPDF=Y")</f>
        <v>#NAME?</v>
      </c>
      <c r="R462" t="e">
        <f ca="1">_xll.BDH($C$453,"DVD_PAYOUT_RATIO","FQ4 2015","FQ4 2015","Currency=INR","Period=FQ","BEST_FPERIOD_OVERRIDE=FQ","FILING_STATUS=OR","EQY_CONSOLIDATED=Y","FA_ADJUSTED=GAAP","Sort=A","Dates=H","DateFormat=P","Fill=—","Direction=H","UseDPDF=Y")</f>
        <v>#NAME?</v>
      </c>
      <c r="S462" t="e">
        <f ca="1">_xll.BDH($C$453,"SUSTAIN_GROWTH_RT","FQ4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462" s="2" t="e">
        <f ca="1">_xll.BDH($C$453,"SALES_GROWTH","FQ4 2015","FQ4 2015","Currency=INR","Period=FQ","BEST_FPERIOD_OVERRIDE=FQ","FILING_STATUS=OR","EQY_CONSOLIDATED=Y","FA_ADJUSTED=GAAP","Sort=A","Dates=H","DateFormat=P","Fill=—","Direction=H","UseDPDF=Y")</f>
        <v>#NAME?</v>
      </c>
      <c r="U462" s="2" t="e">
        <f ca="1">_xll.BDH($C$453,"EBITDA_GROWTH","FQ4 2015","FQ4 2015","Currency=INR","Period=FQ","BEST_FPERIOD_OVERRIDE=FQ","FILING_STATUS=OR","EQY_CONSOLIDATED=Y","FA_ADJUSTED=GAAP","Sort=A","Dates=H","DateFormat=P","Fill=—","Direction=H","UseDPDF=Y")</f>
        <v>#NAME?</v>
      </c>
      <c r="V462" s="2" t="e">
        <f ca="1">_xll.BDH($C$453,"OPER_INC_GROWTH","FQ4 2015","FQ4 2015","Currency=INR","Period=FQ","BEST_FPERIOD_OVERRIDE=FQ","FILING_STATUS=OR","EQY_CONSOLIDATED=Y","FA_ADJUSTED=GAAP","Sort=A","Dates=H","DateFormat=P","Fill=—","Direction=H","UseDPDF=Y")</f>
        <v>#NAME?</v>
      </c>
      <c r="W462" s="2" t="e">
        <f ca="1">_xll.BDH($C$453,"EARN_FOR_COM_GROWTH","FQ4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462" s="2" t="e">
        <f ca="1">_xll.BDH($C$453,"DILUTED_EPS_AFT_XO_ITEMS_GROWTH","FQ4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462" s="2" t="e">
        <f ca="1">_xll.BDH($C$453,"DIVIDEND_PER_SHARE_1_YEAR_GROWTH","FQ4 2015","FQ4 2015","Currency=INR","Period=FQ","BEST_FPERIOD_OVERRIDE=FQ","FILING_STATUS=OR","EQY_CONSOLIDATED=Y","Sort=A","Dates=H","DateFormat=P","Fill=—","Direction=H","UseDPDF=Y")</f>
        <v>#NAME?</v>
      </c>
      <c r="Z462" s="2" t="e">
        <f ca="1">_xll.BDH($C$453,"ACCOUNTS_RECEIVABLE_GROWTH","FQ4 2015","FQ4 2015","Currency=INR","Period=FQ","BEST_FPERIOD_OVERRIDE=FQ","FILING_STATUS=OR","EQY_CONSOLIDATED=Y","Sort=A","Dates=H","DateFormat=P","Fill=—","Direction=H","UseDPDF=Y")</f>
        <v>#NAME?</v>
      </c>
      <c r="AA462" s="2" t="e">
        <f ca="1">_xll.BDH($C$453,"INVENTORY_GROWTH","FQ4 2015","FQ4 2015","Currency=INR","Period=FQ","BEST_FPERIOD_OVERRIDE=FQ","FILING_STATUS=OR","EQY_CONSOLIDATED=Y","Sort=A","Dates=H","DateFormat=P","Fill=—","Direction=H","UseDPDF=Y")</f>
        <v>#NAME?</v>
      </c>
      <c r="AB462" s="2" t="e">
        <f ca="1">_xll.BDH($C$453,"NET_FIXED_ASSETS_1_YEAR_GROWTH","FQ4 2015","FQ4 2015","Currency=INR","Period=FQ","BEST_FPERIOD_OVERRIDE=FQ","FILING_STATUS=OR","EQY_CONSOLIDATED=Y","Sort=A","Dates=H","DateFormat=P","Fill=—","Direction=H","UseDPDF=Y")</f>
        <v>#NAME?</v>
      </c>
      <c r="AC462" s="2" t="e">
        <f ca="1">_xll.BDH($C$453,"ASSET_GROWTH","FQ4 2015","FQ4 2015","Currency=INR","Period=FQ","BEST_FPERIOD_OVERRIDE=FQ","FILING_STATUS=OR","EQY_CONSOLIDATED=Y","Sort=A","Dates=H","DateFormat=P","Fill=—","Direction=H","UseDPDF=Y")</f>
        <v>#NAME?</v>
      </c>
      <c r="AD462" s="2" t="e">
        <f ca="1">_xll.BDH($C$453,"MODIFIED_WORK_CAP_GROWTH","FQ4 2015","FQ4 2015","Currency=INR","Period=FQ","BEST_FPERIOD_OVERRIDE=FQ","FILING_STATUS=OR","EQY_CONSOLIDATED=Y","Sort=A","Dates=H","DateFormat=P","Fill=—","Direction=H","UseDPDF=Y")</f>
        <v>#NAME?</v>
      </c>
      <c r="AE462" s="2" t="e">
        <f ca="1">_xll.BDH($C$453,"WORK_CAP_GROWTH","FQ4 2015","FQ4 2015","Currency=INR","Period=FQ","BEST_FPERIOD_OVERRIDE=FQ","FILING_STATUS=OR","EQY_CONSOLIDATED=Y","Sort=A","Dates=H","DateFormat=P","Fill=—","Direction=H","UseDPDF=Y")</f>
        <v>#NAME?</v>
      </c>
      <c r="AF462" s="2" t="e">
        <f ca="1">_xll.BDH($C$453,"ACCOUNTS_PAYABLE_GROWTH_1YR","FQ4 2015","FQ4 2015","Currency=INR","Period=FQ","BEST_FPERIOD_OVERRIDE=FQ","FILING_STATUS=OR","EQY_CONSOLIDATED=Y","Sort=A","Dates=H","DateFormat=P","Fill=—","Direction=H","UseDPDF=Y")</f>
        <v>#NAME?</v>
      </c>
      <c r="AG462" s="2" t="e">
        <f ca="1">_xll.BDH($C$453,"SHORT_TERM_DEBT_1_YEAR_GROWTH","FQ4 2015","FQ4 2015","Currency=INR","Period=FQ","BEST_FPERIOD_OVERRIDE=FQ","FILING_STATUS=OR","EQY_CONSOLIDATED=Y","Sort=A","Dates=H","DateFormat=P","Fill=—","Direction=H","UseDPDF=Y")</f>
        <v>#NAME?</v>
      </c>
      <c r="AH462" s="2" t="e">
        <f ca="1">_xll.BDH($C$453,"TOTAL_DEBT_1_YEAR_GROWTH","FQ4 2015","FQ4 2015","Currency=INR","Period=FQ","BEST_FPERIOD_OVERRIDE=FQ","FILING_STATUS=OR","EQY_CONSOLIDATED=Y","Sort=A","Dates=H","DateFormat=P","Fill=—","Direction=H","UseDPDF=Y")</f>
        <v>#NAME?</v>
      </c>
      <c r="AI462" s="2" t="e">
        <f ca="1">_xll.BDH($C$453,"TOTAL_EQUITY_1_YEAR_GROWTH","FQ4 2015","FQ4 2015","Currency=INR","Period=FQ","BEST_FPERIOD_OVERRIDE=FQ","FILING_STATUS=OR","EQY_CONSOLIDATED=Y","Sort=A","Dates=H","DateFormat=P","Fill=—","Direction=H","UseDPDF=Y")</f>
        <v>#NAME?</v>
      </c>
      <c r="AJ462" s="2" t="e">
        <f ca="1">_xll.BDH($C$453,"GROWTH_IN_CAP","FQ4 2015","FQ4 2015","Currency=INR","Period=FQ","BEST_FPERIOD_OVERRIDE=FQ","FILING_STATUS=OR","EQY_CONSOLIDATED=Y","Sort=A","Dates=H","DateFormat=P","Fill=—","Direction=H","UseDPDF=Y")</f>
        <v>#NAME?</v>
      </c>
      <c r="AK462" s="2" t="e">
        <f ca="1">_xll.BDH($C$453,"BVPS_GROWTH","FQ4 2015","FQ4 2015","Currency=INR","Period=FQ","BEST_FPERIOD_OVERRIDE=FQ","FILING_STATUS=OR","EQY_CONSOLIDATED=Y","Sort=A","Dates=H","DateFormat=P","Fill=—","Direction=H","UseDPDF=Y")</f>
        <v>#NAME?</v>
      </c>
      <c r="AL462" s="2" t="e">
        <f ca="1">_xll.BDH($C$453,"CASH_FLOW_GROWTH","FQ4 2015","FQ4 2015","Currency=INR","Period=FQ","BEST_FPERIOD_OVERRIDE=FQ","FILING_STATUS=OR","EQY_CONSOLIDATED=Y","Sort=A","Dates=H","DateFormat=P","Fill=—","Direction=H","UseDPDF=Y")</f>
        <v>#NAME?</v>
      </c>
      <c r="AM462" s="2" t="e">
        <f ca="1">_xll.BDH($C$453,"GEO_GROW_NET_SALES","FQ4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462" s="2" t="e">
        <f ca="1">_xll.BDH($C$453,"GEO_GROW_EBITDA","FQ4 2015","FQ4 2015","Currency=INR","Period=FQ","BEST_FPERIOD_OVERRIDE=FQ","FILING_STATUS=OR","EQY_CONSOLIDATED=Y","FA_ADJUSTED=GAAP","Sort=A","Dates=H","DateFormat=P","Fill=—","Direction=H","UseDPDF=Y")</f>
        <v>#NAME?</v>
      </c>
      <c r="AO462" s="2" t="e">
        <f ca="1">_xll.BDH($C$453,"GEO_GROW_OPER_INC","FQ4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462" s="2" t="e">
        <f ca="1">_xll.BDH($C$453,"NET_INCOME_TO_COMMON_5_YR_GROWTH","FQ4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462" s="2" t="e">
        <f ca="1">_xll.BDH($C$453,"5Y_GEO_GROWTH_DILUTED_EPS","FQ4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462" s="2" t="e">
        <f ca="1">_xll.BDH($C$453,"GEO_GROW_DVD_PER_SH","FQ4 2015","FQ4 2015","Currency=INR","Period=FQ","BEST_FPERIOD_OVERRIDE=FQ","FILING_STATUS=OR","EQY_CONSOLIDATED=Y","Sort=A","Dates=H","DateFormat=P","Fill=—","Direction=H","UseDPDF=Y")</f>
        <v>#NAME?</v>
      </c>
      <c r="AS462" s="2" t="e">
        <f ca="1">_xll.BDH($C$453,"ACCOUNTS_RECEIVABLE_5_YR_GROWTH","FQ4 2015","FQ4 2015","Currency=INR","Period=FQ","BEST_FPERIOD_OVERRIDE=FQ","FILING_STATUS=OR","EQY_CONSOLIDATED=Y","Sort=A","Dates=H","DateFormat=P","Fill=—","Direction=H","UseDPDF=Y")</f>
        <v>#NAME?</v>
      </c>
      <c r="AT462" s="2" t="e">
        <f ca="1">_xll.BDH($C$453,"INVENTORY_5_YEAR_GROWTH","FQ4 2015","FQ4 2015","Currency=INR","Period=FQ","BEST_FPERIOD_OVERRIDE=FQ","FILING_STATUS=OR","EQY_CONSOLIDATED=Y","Sort=A","Dates=H","DateFormat=P","Fill=—","Direction=H","UseDPDF=Y")</f>
        <v>#NAME?</v>
      </c>
      <c r="AU462" s="2" t="e">
        <f ca="1">_xll.BDH($C$453,"NET_FIXED_ASSETS_5_YEAR_GROWTH","FQ4 2015","FQ4 2015","Currency=INR","Period=FQ","BEST_FPERIOD_OVERRIDE=FQ","FILING_STATUS=OR","EQY_CONSOLIDATED=Y","Sort=A","Dates=H","DateFormat=P","Fill=—","Direction=H","UseDPDF=Y")</f>
        <v>#NAME?</v>
      </c>
      <c r="AV462" s="2" t="e">
        <f ca="1">_xll.BDH($C$453,"GEO_GROW_TOT_ASSET","FQ4 2015","FQ4 2015","Currency=INR","Period=FQ","BEST_FPERIOD_OVERRIDE=FQ","FILING_STATUS=OR","EQY_CONSOLIDATED=Y","Sort=A","Dates=H","DateFormat=P","Fill=—","Direction=H","UseDPDF=Y")</f>
        <v>#NAME?</v>
      </c>
      <c r="AW462" s="2" t="e">
        <f ca="1">_xll.BDH($C$453,"MODIFIED_WORKING_CPTL_5YR_GRWTH","FQ4 2015","FQ4 2015","Currency=INR","Period=FQ","BEST_FPERIOD_OVERRIDE=FQ","FILING_STATUS=OR","EQY_CONSOLIDATED=Y","Sort=A","Dates=H","DateFormat=P","Fill=—","Direction=H","UseDPDF=Y")</f>
        <v>#NAME?</v>
      </c>
      <c r="AX462" s="2" t="e">
        <f ca="1">_xll.BDH($C$453,"WORKING_CAPITAL_5_YEAR_GROWTH","FQ4 2015","FQ4 2015","Currency=INR","Period=FQ","BEST_FPERIOD_OVERRIDE=FQ","FILING_STATUS=OR","EQY_CONSOLIDATED=Y","Sort=A","Dates=H","DateFormat=P","Fill=—","Direction=H","UseDPDF=Y")</f>
        <v>#NAME?</v>
      </c>
      <c r="AY462" s="2" t="e">
        <f ca="1">_xll.BDH($C$453,"ACCOUNTS_PAYABLE_5_YEAR_GROWTH","FQ4 2015","FQ4 2015","Currency=INR","Period=FQ","BEST_FPERIOD_OVERRIDE=FQ","FILING_STATUS=OR","EQY_CONSOLIDATED=Y","Sort=A","Dates=H","DateFormat=P","Fill=—","Direction=H","UseDPDF=Y")</f>
        <v>#NAME?</v>
      </c>
      <c r="AZ462" s="2" t="e">
        <f ca="1">_xll.BDH($C$453,"SHORT_TERM_DEBT_5_YEAR_GROWTH","FQ4 2015","FQ4 2015","Currency=INR","Period=FQ","BEST_FPERIOD_OVERRIDE=FQ","FILING_STATUS=OR","EQY_CONSOLIDATED=Y","Sort=A","Dates=H","DateFormat=P","Fill=—","Direction=H","UseDPDF=Y")</f>
        <v>#NAME?</v>
      </c>
      <c r="BA462" s="2" t="e">
        <f ca="1">_xll.BDH($C$453,"TOTAL_DEBT_5_YEAR_GROWTH","FQ4 2015","FQ4 2015","Currency=INR","Period=FQ","BEST_FPERIOD_OVERRIDE=FQ","FILING_STATUS=OR","EQY_CONSOLIDATED=Y","Sort=A","Dates=H","DateFormat=P","Fill=—","Direction=H","UseDPDF=Y")</f>
        <v>#NAME?</v>
      </c>
      <c r="BB462" s="2" t="e">
        <f ca="1">_xll.BDH($C$453,"GEO_GROW_TOT_SHRHLDR_EQY","FQ4 2015","FQ4 2015","Currency=INR","Period=FQ","BEST_FPERIOD_OVERRIDE=FQ","FILING_STATUS=OR","EQY_CONSOLIDATED=Y","Sort=A","Dates=H","DateFormat=P","Fill=—","Direction=H","UseDPDF=Y")</f>
        <v>#NAME?</v>
      </c>
      <c r="BC462" s="2" t="e">
        <f ca="1">_xll.BDH($C$453,"TOTAL_CAPITAL_5_YEAR_GROWTH","FQ4 2015","FQ4 2015","Currency=INR","Period=FQ","BEST_FPERIOD_OVERRIDE=FQ","FILING_STATUS=OR","EQY_CONSOLIDATED=Y","Sort=A","Dates=H","DateFormat=P","Fill=—","Direction=H","UseDPDF=Y")</f>
        <v>#NAME?</v>
      </c>
      <c r="BD462" s="2" t="e">
        <f ca="1">_xll.BDH($C$453,"GEO_GROW_BOOK_VAL","FQ4 2015","FQ4 2015","Currency=INR","Period=FQ","BEST_FPERIOD_OVERRIDE=FQ","FILING_STATUS=OR","EQY_CONSOLIDATED=Y","Sort=A","Dates=H","DateFormat=P","Fill=—","Direction=H","UseDPDF=Y")</f>
        <v>#NAME?</v>
      </c>
      <c r="BE462" s="2" t="e">
        <f ca="1">_xll.BDH($C$453,"GEO_GROW_CASH_OPER_ACT","FQ4 2015","FQ4 2015","Currency=INR","Period=FQ","BEST_FPERIOD_OVERRIDE=FQ","FILING_STATUS=OR","EQY_CONSOLIDATED=Y","Sort=A","Dates=H","DateFormat=P","Fill=—","Direction=H","UseDPDF=Y")</f>
        <v>#NAME?</v>
      </c>
      <c r="BF462" s="2" t="e">
        <f ca="1">_xll.BDH($C$453,"REVENUE_SEQUENTIAL_GROWTH","FQ4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462" s="2" t="e">
        <f ca="1">_xll.BDH($C$453,"EBITDA_SEQUENTIAL_GROWTH","FQ4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462" s="2" t="e">
        <f ca="1">_xll.BDH($C$453,"OPERATING_INCOME_SEQ_GROWTH","FQ4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462" s="2" t="e">
        <f ca="1">_xll.BDH($C$453,"NET_INCOME_TO_COMMON_SEQ_GROWTH","FQ4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462" s="2" t="e">
        <f ca="1">_xll.BDH($C$453,"EPS_DILUTED_SEQUENTIAL_GROWTH","FQ4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462" s="2" t="e">
        <f ca="1">_xll.BDH($C$453,"DPS_SEQUENTIAL_GROWTH","FQ4 2015","FQ4 2015","Currency=INR","Period=FQ","BEST_FPERIOD_OVERRIDE=FQ","FILING_STATUS=OR","EQY_CONSOLIDATED=Y","Sort=A","Dates=H","DateFormat=P","Fill=—","Direction=H","UseDPDF=Y")</f>
        <v>#NAME?</v>
      </c>
      <c r="BL462" s="2" t="e">
        <f ca="1">_xll.BDH($C$453,"ACCOUNTS_RECEIVABLE_SEQ_GROWTH","FQ4 2015","FQ4 2015","Currency=INR","Period=FQ","BEST_FPERIOD_OVERRIDE=FQ","FILING_STATUS=OR","EQY_CONSOLIDATED=Y","Sort=A","Dates=H","DateFormat=P","Fill=—","Direction=H","UseDPDF=Y")</f>
        <v>#NAME?</v>
      </c>
      <c r="BM462" s="2" t="e">
        <f ca="1">_xll.BDH($C$453,"INVENTORY_SEQUENTIAL_GROWTH","FQ4 2015","FQ4 2015","Currency=INR","Period=FQ","BEST_FPERIOD_OVERRIDE=FQ","FILING_STATUS=OR","EQY_CONSOLIDATED=Y","Sort=A","Dates=H","DateFormat=P","Fill=—","Direction=H","UseDPDF=Y")</f>
        <v>#NAME?</v>
      </c>
      <c r="BN462" s="2" t="e">
        <f ca="1">_xll.BDH($C$453,"FIXED_ASSETS_SEQUENTIAL_GROWTH","FQ4 2015","FQ4 2015","Currency=INR","Period=FQ","BEST_FPERIOD_OVERRIDE=FQ","FILING_STATUS=OR","EQY_CONSOLIDATED=Y","Sort=A","Dates=H","DateFormat=P","Fill=—","Direction=H","UseDPDF=Y")</f>
        <v>#NAME?</v>
      </c>
      <c r="BO462" s="2" t="e">
        <f ca="1">_xll.BDH($C$453,"TOTAL_ASSETS_SEQUENTIAL_GROWTH","FQ4 2015","FQ4 2015","Currency=INR","Period=FQ","BEST_FPERIOD_OVERRIDE=FQ","FILING_STATUS=OR","EQY_CONSOLIDATED=Y","Sort=A","Dates=H","DateFormat=P","Fill=—","Direction=H","UseDPDF=Y")</f>
        <v>#NAME?</v>
      </c>
      <c r="BP462" s="2" t="e">
        <f ca="1">_xll.BDH($C$453,"MODIFIED_WORKING_CPTL_SEQ_GRWTH","FQ4 2015","FQ4 2015","Currency=INR","Period=FQ","BEST_FPERIOD_OVERRIDE=FQ","FILING_STATUS=OR","EQY_CONSOLIDATED=Y","Sort=A","Dates=H","DateFormat=P","Fill=—","Direction=H","UseDPDF=Y")</f>
        <v>#NAME?</v>
      </c>
      <c r="BQ462" s="2" t="e">
        <f ca="1">_xll.BDH($C$453,"WORKING_CAPITAL_SEQ_GROWTH","FQ4 2015","FQ4 2015","Currency=INR","Period=FQ","BEST_FPERIOD_OVERRIDE=FQ","FILING_STATUS=OR","EQY_CONSOLIDATED=Y","Sort=A","Dates=H","DateFormat=P","Fill=—","Direction=H","UseDPDF=Y")</f>
        <v>#NAME?</v>
      </c>
      <c r="BR462" s="2" t="e">
        <f ca="1">_xll.BDH($C$453,"ACCOUNTS_PAYABLE_SEQ_GROWTH","FQ4 2015","FQ4 2015","Currency=INR","Period=FQ","BEST_FPERIOD_OVERRIDE=FQ","FILING_STATUS=OR","EQY_CONSOLIDATED=Y","Sort=A","Dates=H","DateFormat=P","Fill=—","Direction=H","UseDPDF=Y")</f>
        <v>#NAME?</v>
      </c>
      <c r="BS462" s="2" t="e">
        <f ca="1">_xll.BDH($C$453,"ST_DEBT_SEQUENTIAL_GROWTH","FQ4 2015","FQ4 2015","Currency=INR","Period=FQ","BEST_FPERIOD_OVERRIDE=FQ","FILING_STATUS=OR","EQY_CONSOLIDATED=Y","Sort=A","Dates=H","DateFormat=P","Fill=—","Direction=H","UseDPDF=Y")</f>
        <v>#NAME?</v>
      </c>
      <c r="BT462" s="2" t="e">
        <f ca="1">_xll.BDH($C$453,"TOTAL_DEBT_SEQUENTIAL_GROWTH","FQ4 2015","FQ4 2015","Currency=INR","Period=FQ","BEST_FPERIOD_OVERRIDE=FQ","FILING_STATUS=OR","EQY_CONSOLIDATED=Y","Sort=A","Dates=H","DateFormat=P","Fill=—","Direction=H","UseDPDF=Y")</f>
        <v>#NAME?</v>
      </c>
      <c r="BU462" s="2" t="e">
        <f ca="1">_xll.BDH($C$453,"TOTAL_EQUITY_SEQUENTIAL_GROWTH","FQ4 2015","FQ4 2015","Currency=INR","Period=FQ","BEST_FPERIOD_OVERRIDE=FQ","FILING_STATUS=OR","EQY_CONSOLIDATED=Y","Sort=A","Dates=H","DateFormat=P","Fill=—","Direction=H","UseDPDF=Y")</f>
        <v>#NAME?</v>
      </c>
      <c r="BV462" s="2" t="e">
        <f ca="1">_xll.BDH($C$453,"TOTAL_CAPITAL_SEQUENTIAL_GROWTH","FQ4 2015","FQ4 2015","Currency=INR","Period=FQ","BEST_FPERIOD_OVERRIDE=FQ","FILING_STATUS=OR","EQY_CONSOLIDATED=Y","Sort=A","Dates=H","DateFormat=P","Fill=—","Direction=H","UseDPDF=Y")</f>
        <v>#NAME?</v>
      </c>
      <c r="BW462" s="2" t="e">
        <f ca="1">_xll.BDH($C$453,"BPS_SEQUENTIAL_GROWTH","FQ4 2015","FQ4 2015","Currency=INR","Period=FQ","BEST_FPERIOD_OVERRIDE=FQ","FILING_STATUS=OR","EQY_CONSOLIDATED=Y","Sort=A","Dates=H","DateFormat=P","Fill=—","Direction=H","UseDPDF=Y")</f>
        <v>#NAME?</v>
      </c>
      <c r="BX462" s="2" t="e">
        <f ca="1">_xll.BDH($C$453,"CFO_SEQUENTIAL_GROWTH","FQ4 2015","FQ4 2015","Currency=INR","Period=FQ","BEST_FPERIOD_OVERRIDE=FQ","FILING_STATUS=OR","EQY_CONSOLIDATED=Y","Sort=A","Dates=H","DateFormat=P","Fill=—","Direction=H","UseDPDF=Y")</f>
        <v>#NAME?</v>
      </c>
      <c r="BY462" s="3" t="e">
        <f ca="1">_xll.BDH($C$453,"SHORT_AND_LONG_TERM_DEBT","FQ4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462" s="3" t="e">
        <f ca="1">_xll.BDH($C$453,"BS_ST_BORROW","FQ4 2015","FQ4 2015","Currency=INR","Period=FQ","BEST_FPERIOD_OVERRIDE=FQ","FILING_STATUS=OR","EQY_CONSOLIDATED=Y","SCALING_FORMAT=MLN","Sort=A","Dates=H","DateFormat=P","Fill=—","Direction=H","UseDPDF=Y")</f>
        <v>#NAME?</v>
      </c>
      <c r="CA462" s="3" t="e">
        <f ca="1">_xll.BDH($C$453,"BS_LT_BORROW","FQ4 2015","FQ4 2015","Currency=INR","Period=FQ","BEST_FPERIOD_OVERRIDE=FQ","FILING_STATUS=OR","EQY_CONSOLIDATED=Y","SCALING_FORMAT=MLN","Sort=A","Dates=H","DateFormat=P","Fill=—","Direction=H","UseDPDF=Y")</f>
        <v>#NAME?</v>
      </c>
      <c r="CB462" s="2" t="e">
        <f ca="1">_xll.BDH($C$453,"TOT_DEBT_TO_EBITDA","FQ4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462" s="2" t="e">
        <f ca="1">_xll.BDH($C$453,"NET_DEBT_TO_EBITDA","FQ4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462" s="2" t="e">
        <f ca="1">_xll.BDH($C$453,"TOTAL_DEBT_TO_EBIT","FQ4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462" s="2" t="e">
        <f ca="1">_xll.BDH($C$453,"NET_DEBT_TO_EBIT","FQ4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462" s="2" t="e">
        <f ca="1">_xll.BDH($C$453,"EBITDA_TO_INTEREST_EXPN","FQ4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462" s="2" t="e">
        <f ca="1">_xll.BDH($C$453,"COM_EQY_TO_TOT_ASSET","FQ4 2015","FQ4 2015","Currency=INR","Period=FQ","BEST_FPERIOD_OVERRIDE=FQ","FILING_STATUS=OR","EQY_CONSOLIDATED=Y","Sort=A","Dates=H","DateFormat=P","Fill=—","Direction=H","UseDPDF=Y")</f>
        <v>#NAME?</v>
      </c>
      <c r="CH462" s="2" t="e">
        <f ca="1">_xll.BDH($C$453,"LT_DEBT_TO_TOT_EQY","FQ4 2015","FQ4 2015","Currency=INR","Period=FQ","BEST_FPERIOD_OVERRIDE=FQ","FILING_STATUS=OR","EQY_CONSOLIDATED=Y","Sort=A","Dates=H","DateFormat=P","Fill=—","Direction=H","UseDPDF=Y")</f>
        <v>#NAME?</v>
      </c>
      <c r="CI462" s="2" t="e">
        <f ca="1">_xll.BDH($C$453,"LT_DEBT_TO_TOT_CAP","FQ4 2015","FQ4 2015","Currency=INR","Period=FQ","BEST_FPERIOD_OVERRIDE=FQ","FILING_STATUS=OR","EQY_CONSOLIDATED=Y","Sort=A","Dates=H","DateFormat=P","Fill=—","Direction=H","UseDPDF=Y")</f>
        <v>#NAME?</v>
      </c>
      <c r="CJ462" s="2" t="e">
        <f ca="1">_xll.BDH($C$453,"LT_DEBT_TO_TOT_ASSET","FQ4 2015","FQ4 2015","Currency=INR","Period=FQ","BEST_FPERIOD_OVERRIDE=FQ","FILING_STATUS=OR","EQY_CONSOLIDATED=Y","Sort=A","Dates=H","DateFormat=P","Fill=—","Direction=H","UseDPDF=Y")</f>
        <v>#NAME?</v>
      </c>
      <c r="CK462" s="2" t="e">
        <f ca="1">_xll.BDH($C$453,"TOT_DEBT_TO_TOT_EQY","FQ4 2015","FQ4 2015","Currency=INR","Period=FQ","BEST_FPERIOD_OVERRIDE=FQ","FILING_STATUS=OR","EQY_CONSOLIDATED=Y","Sort=A","Dates=H","DateFormat=P","Fill=—","Direction=H","UseDPDF=Y")</f>
        <v>#NAME?</v>
      </c>
      <c r="CL462" s="2" t="e">
        <f ca="1">_xll.BDH($C$453,"TOT_DEBT_TO_TOT_CAP","FQ4 2015","FQ4 2015","Currency=INR","Period=FQ","BEST_FPERIOD_OVERRIDE=FQ","FILING_STATUS=OR","EQY_CONSOLIDATED=Y","Sort=A","Dates=H","DateFormat=P","Fill=—","Direction=H","UseDPDF=Y")</f>
        <v>#NAME?</v>
      </c>
      <c r="CM462" s="2" t="e">
        <f ca="1">_xll.BDH($C$453,"TOT_DEBT_TO_TOT_ASSET","FQ4 2015","FQ4 2015","Currency=INR","Period=FQ","BEST_FPERIOD_OVERRIDE=FQ","FILING_STATUS=OR","EQY_CONSOLIDATED=Y","Sort=A","Dates=H","DateFormat=P","Fill=—","Direction=H","UseDPDF=Y")</f>
        <v>#NAME?</v>
      </c>
      <c r="CN462" s="2" t="e">
        <f ca="1">_xll.BDH($C$453,"NET_DEBT_TO_SHRHLDR_EQTY","FQ4 2015","FQ4 2015","Currency=INR","Period=FQ","BEST_FPERIOD_OVERRIDE=FQ","FILING_STATUS=OR","EQY_CONSOLIDATED=Y","Sort=A","Dates=H","DateFormat=P","Fill=—","Direction=H","UseDPDF=Y")</f>
        <v>#NAME?</v>
      </c>
      <c r="CO462" s="2" t="e">
        <f ca="1">_xll.BDH($C$453,"NET_DEBT_%_CAPITAL","FQ4 2015","FQ4 2015","Currency=INR","Period=FQ","BEST_FPERIOD_OVERRIDE=FQ","FILING_STATUS=OR","EQY_CONSOLIDATED=Y","Sort=A","Dates=H","DateFormat=P","Fill=—","Direction=H","UseDPDF=Y")</f>
        <v>#NAME?</v>
      </c>
      <c r="CP462" s="3" t="e">
        <f ca="1">_xll.BDH($C$453,"EBITDA","FQ4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462" s="3" t="e">
        <f ca="1">_xll.BDH($C$453,"EBITDA_AFTER_CAPEX","FQ4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462" s="3" t="e">
        <f ca="1">_xll.BDH($C$453,"IS_OPER_INC","FQ4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462" s="2" t="e">
        <f ca="1">_xll.BDH($C$453,"CASH_RATIO","FQ4 2015","FQ4 2015","Currency=INR","Period=FQ","BEST_FPERIOD_OVERRIDE=FQ","FILING_STATUS=OR","EQY_CONSOLIDATED=Y","Sort=A","Dates=H","DateFormat=P","Fill=—","Direction=H","UseDPDF=Y")</f>
        <v>#NAME?</v>
      </c>
      <c r="CT462" s="2" t="e">
        <f ca="1">_xll.BDH($C$453,"CUR_RATIO","FQ4 2015","FQ4 2015","Currency=INR","Period=FQ","BEST_FPERIOD_OVERRIDE=FQ","FILING_STATUS=OR","EQY_CONSOLIDATED=Y","Sort=A","Dates=H","DateFormat=P","Fill=—","Direction=H","UseDPDF=Y")</f>
        <v>#NAME?</v>
      </c>
      <c r="CU462" s="2" t="e">
        <f ca="1">_xll.BDH($C$453,"QUICK_RATIO","FQ4 2015","FQ4 2015","Currency=INR","Period=FQ","BEST_FPERIOD_OVERRIDE=FQ","FILING_STATUS=OR","EQY_CONSOLIDATED=Y","Sort=A","Dates=H","DateFormat=P","Fill=—","Direction=H","UseDPDF=Y")</f>
        <v>#NAME?</v>
      </c>
      <c r="CV462" s="2" t="e">
        <f ca="1">_xll.BDH($C$453,"ALTMAN_Z_SCORE","FQ4 2015","FQ4 2015","Currency=INR","Period=FQ","BEST_FPERIOD_OVERRIDE=FQ","FILING_STATUS=OR","EQY_CONSOLIDATED=Y","Sort=A","Dates=H","DateFormat=P","Fill=—","Direction=H","UseDPDF=Y")</f>
        <v>#NAME?</v>
      </c>
      <c r="CW462" s="4" t="e">
        <f ca="1">_xll.BDH($C$453,"ACCT_RCV_TURN","FQ4 2015","FQ4 2015","Currency=INR","Period=FQ","BEST_FPERIOD_OVERRIDE=FQ","FILING_STATUS=OR","EQY_CONSOLIDATED=Y","FA_ADJUSTED=GAAP","Sort=A","Dates=H","DateFormat=P","Fill=—","Direction=H","UseDPDF=Y")</f>
        <v>#NAME?</v>
      </c>
      <c r="CX462" s="2" t="e">
        <f ca="1">_xll.BDH($C$453,"ACCT_RCV_DAYS","FQ4 2015","FQ4 2015","Currency=INR","Period=FQ","BEST_FPERIOD_OVERRIDE=FQ","FILING_STATUS=OR","EQY_CONSOLIDATED=Y","FA_ADJUSTED=GAAP","Sort=A","Dates=H","DateFormat=P","Fill=—","Direction=H","UseDPDF=Y")</f>
        <v>#NAME?</v>
      </c>
      <c r="CY462" s="4" t="e">
        <f ca="1">_xll.BDH($C$453,"INVENT_TURN","FQ4 2015","FQ4 2015","Currency=INR","Period=FQ","BEST_FPERIOD_OVERRIDE=FQ","FILING_STATUS=OR","EQY_CONSOLIDATED=Y","FA_ADJUSTED=GAAP","Sort=A","Dates=H","DateFormat=P","Fill=—","Direction=H","UseDPDF=Y")</f>
        <v>#NAME?</v>
      </c>
      <c r="CZ462" s="2" t="e">
        <f ca="1">_xll.BDH($C$453,"INVENT_DAYS","FQ4 2015","FQ4 2015","Currency=INR","Period=FQ","BEST_FPERIOD_OVERRIDE=FQ","FILING_STATUS=OR","EQY_CONSOLIDATED=Y","FA_ADJUSTED=GAAP","Sort=A","Dates=H","DateFormat=P","Fill=—","Direction=H","UseDPDF=Y")</f>
        <v>#NAME?</v>
      </c>
      <c r="DA462" s="4" t="e">
        <f ca="1">_xll.BDH($C$453,"ACCOUNTS_PAYABLE_TURNOVER","FQ4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462" s="2" t="e">
        <f ca="1">_xll.BDH($C$453,"ACCOUNTS_PAYABLE_TURNOVER_DAYS","FQ4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462" s="4" t="e">
        <f ca="1">_xll.BDH($C$453,"CASH_CONVERSION_CYCLE","FQ4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462" s="4" t="e">
        <f ca="1">_xll.BDH($C$453,"INV_TO_CASH_DAYS","FQ4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462" s="5" t="e">
        <f ca="1">_xll.BDH($C$453,"BS_INVENTORIES","FQ4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462" s="3" t="e">
        <f ca="1">_xll.BDH($C$453,"INVTRY_RAW_MATERIALS","FQ4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462" s="3" t="e">
        <f ca="1">_xll.BDH($C$453,"INVTRY_IN_PROGRESS","FQ4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462" s="3" t="e">
        <f ca="1">_xll.BDH($C$453,"INVTRY_FINISHED_GOODS","FQ4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462" s="3" t="e">
        <f ca="1">_xll.BDH($C$453,"BS_OTHER_INV","FQ4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463" spans="1:113" x14ac:dyDescent="0.3">
      <c r="A463" s="6"/>
      <c r="B463" s="6"/>
      <c r="C463" s="6"/>
      <c r="D463" s="6" t="s">
        <v>83</v>
      </c>
      <c r="E463" t="s">
        <v>77</v>
      </c>
      <c r="F463" t="e">
        <f ca="1">_xll.BDH($C$453,"RETURN_COM_EQY","FY 2016","FY 2016","Currency=INR","Period=FY","BEST_FPERIOD_OVERRIDE=FY","FILING_STATUS=OR","EQY_CONSOLIDATED=Y","FA_ADJUSTED=GAAP","Sort=A","Dates=H","DateFormat=P","Fill=—","Direction=H","UseDPDF=Y")</f>
        <v>#NAME?</v>
      </c>
      <c r="G463" t="e">
        <f ca="1">_xll.BDH($C$453,"RETURN_ON_ASSET","FY 2016","FY 2016","Currency=INR","Period=FY","BEST_FPERIOD_OVERRIDE=FY","FILING_STATUS=OR","EQY_CONSOLIDATED=Y","FA_ADJUSTED=GAAP","Sort=A","Dates=H","DateFormat=P","Fill=—","Direction=H","UseDPDF=Y")</f>
        <v>#NAME?</v>
      </c>
      <c r="H463" t="e">
        <f ca="1">_xll.BDH($C$453,"RETURN_ON_CAP","FY 2016","FY 2016","Currency=INR","Period=FY","BEST_FPERIOD_OVERRIDE=FY","FILING_STATUS=OR","EQY_CONSOLIDATED=Y","FA_ADJUSTED=GAAP","Sort=A","Dates=H","DateFormat=P","Fill=—","Direction=H","UseDPDF=Y")</f>
        <v>#NAME?</v>
      </c>
      <c r="I463" t="e">
        <f ca="1">_xll.BDH($C$453,"RETURN_ON_INV_CAPITAL","FY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463" t="e">
        <f ca="1">_xll.BDH($C$453,"EBITDA_TO_REVENUE","FY 2016","FY 2016","Currency=INR","Period=FY","BEST_FPERIOD_OVERRIDE=FY","FILING_STATUS=OR","EQY_CONSOLIDATED=Y","FA_ADJUSTED=GAAP","Sort=A","Dates=H","DateFormat=P","Fill=—","Direction=H","UseDPDF=Y")</f>
        <v>#NAME?</v>
      </c>
      <c r="K463" t="e">
        <f ca="1">_xll.BDH($C$453,"OPER_MARGIN","FY 2016","FY 2016","Currency=INR","Period=FY","BEST_FPERIOD_OVERRIDE=FY","FILING_STATUS=OR","EQY_CONSOLIDATED=Y","FA_ADJUSTED=GAAP","Sort=A","Dates=H","DateFormat=P","Fill=—","Direction=H","UseDPDF=Y")</f>
        <v>#NAME?</v>
      </c>
      <c r="L463" t="e">
        <f ca="1">_xll.BDH($C$453,"INCREMENTAL_OPERATING_MARGIN","FY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463" t="e">
        <f ca="1">_xll.BDH($C$453,"PRETAX_INC_TO_NET_SALES","FY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463" t="e">
        <f ca="1">_xll.BDH($C$453,"INC_BEF_XO_ITEMS_TO_NET_SALES","FY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463" t="e">
        <f ca="1">_xll.BDH($C$453,"PROF_MARGIN","FY 2016","FY 2016","Currency=INR","Period=FY","BEST_FPERIOD_OVERRIDE=FY","FILING_STATUS=OR","EQY_CONSOLIDATED=Y","FA_ADJUSTED=GAAP","Sort=A","Dates=H","DateFormat=P","Fill=—","Direction=H","UseDPDF=Y")</f>
        <v>#NAME?</v>
      </c>
      <c r="P463" t="e">
        <f ca="1">_xll.BDH($C$453,"NET_INCOME_TO_COMMON_MARGIN","FY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463" t="e">
        <f ca="1">_xll.BDH($C$453,"EFF_TAX_RATE","FY 2016","FY 2016","Currency=INR","Period=FY","BEST_FPERIOD_OVERRIDE=FY","FILING_STATUS=OR","EQY_CONSOLIDATED=Y","FA_ADJUSTED=GAAP","Sort=A","Dates=H","DateFormat=P","Fill=—","Direction=H","UseDPDF=Y")</f>
        <v>#NAME?</v>
      </c>
      <c r="R463" t="e">
        <f ca="1">_xll.BDH($C$453,"DVD_PAYOUT_RATIO","FY 2016","FY 2016","Currency=INR","Period=FY","BEST_FPERIOD_OVERRIDE=FY","FILING_STATUS=OR","EQY_CONSOLIDATED=Y","FA_ADJUSTED=GAAP","Sort=A","Dates=H","DateFormat=P","Fill=—","Direction=H","UseDPDF=Y")</f>
        <v>#NAME?</v>
      </c>
      <c r="S463" t="e">
        <f ca="1">_xll.BDH($C$453,"SUSTAIN_GROWTH_RT","FY 2016","FY 2016","Currency=INR","Period=FY","BEST_FPERIOD_OVERRIDE=FY","FILING_STATUS=OR","EQY_CONSOLIDATED=Y","FA_ADJUSTED=GAAP","Sort=A","Dates=H","DateFormat=P","Fill=—","Direction=H","UseDPDF=Y")</f>
        <v>#NAME?</v>
      </c>
      <c r="T463" s="2" t="e">
        <f ca="1">_xll.BDH($C$453,"SALES_GROWTH","FY 2016","FY 2016","Currency=INR","Period=FY","BEST_FPERIOD_OVERRIDE=FY","FILING_STATUS=OR","EQY_CONSOLIDATED=Y","FA_ADJUSTED=GAAP","Sort=A","Dates=H","DateFormat=P","Fill=—","Direction=H","UseDPDF=Y")</f>
        <v>#NAME?</v>
      </c>
      <c r="U463" s="2" t="e">
        <f ca="1">_xll.BDH($C$453,"EBITDA_GROWTH","FY 2016","FY 2016","Currency=INR","Period=FY","BEST_FPERIOD_OVERRIDE=FY","FILING_STATUS=OR","EQY_CONSOLIDATED=Y","FA_ADJUSTED=GAAP","Sort=A","Dates=H","DateFormat=P","Fill=—","Direction=H","UseDPDF=Y")</f>
        <v>#NAME?</v>
      </c>
      <c r="V463" s="2" t="e">
        <f ca="1">_xll.BDH($C$453,"OPER_INC_GROWTH","FY 2016","FY 2016","Currency=INR","Period=FY","BEST_FPERIOD_OVERRIDE=FY","FILING_STATUS=OR","EQY_CONSOLIDATED=Y","FA_ADJUSTED=GAAP","Sort=A","Dates=H","DateFormat=P","Fill=—","Direction=H","UseDPDF=Y")</f>
        <v>#NAME?</v>
      </c>
      <c r="W463" s="2" t="e">
        <f ca="1">_xll.BDH($C$453,"EARN_FOR_COM_GROWTH","FY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463" s="2" t="e">
        <f ca="1">_xll.BDH($C$453,"DILUTED_EPS_AFT_XO_ITEMS_GROWTH","FY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463" s="2" t="e">
        <f ca="1">_xll.BDH($C$453,"DIVIDEND_PER_SHARE_1_YEAR_GROWTH","FY 2016","FY 2016","Currency=INR","Period=FY","BEST_FPERIOD_OVERRIDE=FY","FILING_STATUS=OR","EQY_CONSOLIDATED=Y","Sort=A","Dates=H","DateFormat=P","Fill=—","Direction=H","UseDPDF=Y")</f>
        <v>#NAME?</v>
      </c>
      <c r="Z463" s="2" t="e">
        <f ca="1">_xll.BDH($C$453,"ACCOUNTS_RECEIVABLE_GROWTH","FY 2016","FY 2016","Currency=INR","Period=FY","BEST_FPERIOD_OVERRIDE=FY","FILING_STATUS=OR","EQY_CONSOLIDATED=Y","Sort=A","Dates=H","DateFormat=P","Fill=—","Direction=H","UseDPDF=Y")</f>
        <v>#NAME?</v>
      </c>
      <c r="AA463" s="2" t="e">
        <f ca="1">_xll.BDH($C$453,"INVENTORY_GROWTH","FY 2016","FY 2016","Currency=INR","Period=FY","BEST_FPERIOD_OVERRIDE=FY","FILING_STATUS=OR","EQY_CONSOLIDATED=Y","Sort=A","Dates=H","DateFormat=P","Fill=—","Direction=H","UseDPDF=Y")</f>
        <v>#NAME?</v>
      </c>
      <c r="AB463" s="2" t="e">
        <f ca="1">_xll.BDH($C$453,"NET_FIXED_ASSETS_1_YEAR_GROWTH","FY 2016","FY 2016","Currency=INR","Period=FY","BEST_FPERIOD_OVERRIDE=FY","FILING_STATUS=OR","EQY_CONSOLIDATED=Y","Sort=A","Dates=H","DateFormat=P","Fill=—","Direction=H","UseDPDF=Y")</f>
        <v>#NAME?</v>
      </c>
      <c r="AC463" s="2" t="e">
        <f ca="1">_xll.BDH($C$453,"ASSET_GROWTH","FY 2016","FY 2016","Currency=INR","Period=FY","BEST_FPERIOD_OVERRIDE=FY","FILING_STATUS=OR","EQY_CONSOLIDATED=Y","Sort=A","Dates=H","DateFormat=P","Fill=—","Direction=H","UseDPDF=Y")</f>
        <v>#NAME?</v>
      </c>
      <c r="AD463" s="2" t="e">
        <f ca="1">_xll.BDH($C$453,"MODIFIED_WORK_CAP_GROWTH","FY 2016","FY 2016","Currency=INR","Period=FY","BEST_FPERIOD_OVERRIDE=FY","FILING_STATUS=OR","EQY_CONSOLIDATED=Y","Sort=A","Dates=H","DateFormat=P","Fill=—","Direction=H","UseDPDF=Y")</f>
        <v>#NAME?</v>
      </c>
      <c r="AE463" s="2" t="e">
        <f ca="1">_xll.BDH($C$453,"WORK_CAP_GROWTH","FY 2016","FY 2016","Currency=INR","Period=FY","BEST_FPERIOD_OVERRIDE=FY","FILING_STATUS=OR","EQY_CONSOLIDATED=Y","Sort=A","Dates=H","DateFormat=P","Fill=—","Direction=H","UseDPDF=Y")</f>
        <v>#NAME?</v>
      </c>
      <c r="AF463" s="2" t="e">
        <f ca="1">_xll.BDH($C$453,"ACCOUNTS_PAYABLE_GROWTH_1YR","FY 2016","FY 2016","Currency=INR","Period=FY","BEST_FPERIOD_OVERRIDE=FY","FILING_STATUS=OR","EQY_CONSOLIDATED=Y","Sort=A","Dates=H","DateFormat=P","Fill=—","Direction=H","UseDPDF=Y")</f>
        <v>#NAME?</v>
      </c>
      <c r="AG463" s="2" t="e">
        <f ca="1">_xll.BDH($C$453,"SHORT_TERM_DEBT_1_YEAR_GROWTH","FY 2016","FY 2016","Currency=INR","Period=FY","BEST_FPERIOD_OVERRIDE=FY","FILING_STATUS=OR","EQY_CONSOLIDATED=Y","Sort=A","Dates=H","DateFormat=P","Fill=—","Direction=H","UseDPDF=Y")</f>
        <v>#NAME?</v>
      </c>
      <c r="AH463" s="2" t="e">
        <f ca="1">_xll.BDH($C$453,"TOTAL_DEBT_1_YEAR_GROWTH","FY 2016","FY 2016","Currency=INR","Period=FY","BEST_FPERIOD_OVERRIDE=FY","FILING_STATUS=OR","EQY_CONSOLIDATED=Y","Sort=A","Dates=H","DateFormat=P","Fill=—","Direction=H","UseDPDF=Y")</f>
        <v>#NAME?</v>
      </c>
      <c r="AI463" s="2" t="e">
        <f ca="1">_xll.BDH($C$453,"TOTAL_EQUITY_1_YEAR_GROWTH","FY 2016","FY 2016","Currency=INR","Period=FY","BEST_FPERIOD_OVERRIDE=FY","FILING_STATUS=OR","EQY_CONSOLIDATED=Y","Sort=A","Dates=H","DateFormat=P","Fill=—","Direction=H","UseDPDF=Y")</f>
        <v>#NAME?</v>
      </c>
      <c r="AJ463" s="2" t="e">
        <f ca="1">_xll.BDH($C$453,"GROWTH_IN_CAP","FY 2016","FY 2016","Currency=INR","Period=FY","BEST_FPERIOD_OVERRIDE=FY","FILING_STATUS=OR","EQY_CONSOLIDATED=Y","Sort=A","Dates=H","DateFormat=P","Fill=—","Direction=H","UseDPDF=Y")</f>
        <v>#NAME?</v>
      </c>
      <c r="AK463" s="2" t="e">
        <f ca="1">_xll.BDH($C$453,"BVPS_GROWTH","FY 2016","FY 2016","Currency=INR","Period=FY","BEST_FPERIOD_OVERRIDE=FY","FILING_STATUS=OR","EQY_CONSOLIDATED=Y","Sort=A","Dates=H","DateFormat=P","Fill=—","Direction=H","UseDPDF=Y")</f>
        <v>#NAME?</v>
      </c>
      <c r="AL463" s="2" t="e">
        <f ca="1">_xll.BDH($C$453,"CASH_FLOW_GROWTH","FY 2016","FY 2016","Currency=INR","Period=FY","BEST_FPERIOD_OVERRIDE=FY","FILING_STATUS=OR","EQY_CONSOLIDATED=Y","Sort=A","Dates=H","DateFormat=P","Fill=—","Direction=H","UseDPDF=Y")</f>
        <v>#NAME?</v>
      </c>
      <c r="AM463" s="2" t="e">
        <f ca="1">_xll.BDH($C$453,"GEO_GROW_NET_SALES","FY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463" s="2" t="e">
        <f ca="1">_xll.BDH($C$453,"GEO_GROW_EBITDA","FY 2016","FY 2016","Currency=INR","Period=FY","BEST_FPERIOD_OVERRIDE=FY","FILING_STATUS=OR","EQY_CONSOLIDATED=Y","FA_ADJUSTED=GAAP","Sort=A","Dates=H","DateFormat=P","Fill=—","Direction=H","UseDPDF=Y")</f>
        <v>#NAME?</v>
      </c>
      <c r="AO463" s="2" t="e">
        <f ca="1">_xll.BDH($C$453,"GEO_GROW_OPER_INC","FY 2016","FY 2016","Currency=INR","Period=FY","BEST_FPERIOD_OVERRIDE=FY","FILING_STATUS=OR","EQY_CONSOLIDATED=Y","FA_ADJUSTED=GAAP","Sort=A","Dates=H","DateFormat=P","Fill=—","Direction=H","UseDPDF=Y")</f>
        <v>#NAME?</v>
      </c>
      <c r="AP463" s="2" t="e">
        <f ca="1">_xll.BDH($C$453,"NET_INCOME_TO_COMMON_5_YR_GROWTH","FY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463" s="2" t="e">
        <f ca="1">_xll.BDH($C$453,"5Y_GEO_GROWTH_DILUTED_EPS","FY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463" s="2" t="e">
        <f ca="1">_xll.BDH($C$453,"GEO_GROW_DVD_PER_SH","FY 2016","FY 2016","Currency=INR","Period=FY","BEST_FPERIOD_OVERRIDE=FY","FILING_STATUS=OR","EQY_CONSOLIDATED=Y","Sort=A","Dates=H","DateFormat=P","Fill=—","Direction=H","UseDPDF=Y")</f>
        <v>#NAME?</v>
      </c>
      <c r="AS463" s="2" t="e">
        <f ca="1">_xll.BDH($C$453,"ACCOUNTS_RECEIVABLE_5_YR_GROWTH","FY 2016","FY 2016","Currency=INR","Period=FY","BEST_FPERIOD_OVERRIDE=FY","FILING_STATUS=OR","EQY_CONSOLIDATED=Y","Sort=A","Dates=H","DateFormat=P","Fill=—","Direction=H","UseDPDF=Y")</f>
        <v>#NAME?</v>
      </c>
      <c r="AT463" s="2" t="e">
        <f ca="1">_xll.BDH($C$453,"INVENTORY_5_YEAR_GROWTH","FY 2016","FY 2016","Currency=INR","Period=FY","BEST_FPERIOD_OVERRIDE=FY","FILING_STATUS=OR","EQY_CONSOLIDATED=Y","Sort=A","Dates=H","DateFormat=P","Fill=—","Direction=H","UseDPDF=Y")</f>
        <v>#NAME?</v>
      </c>
      <c r="AU463" s="2" t="e">
        <f ca="1">_xll.BDH($C$453,"NET_FIXED_ASSETS_5_YEAR_GROWTH","FY 2016","FY 2016","Currency=INR","Period=FY","BEST_FPERIOD_OVERRIDE=FY","FILING_STATUS=OR","EQY_CONSOLIDATED=Y","Sort=A","Dates=H","DateFormat=P","Fill=—","Direction=H","UseDPDF=Y")</f>
        <v>#NAME?</v>
      </c>
      <c r="AV463" s="2" t="e">
        <f ca="1">_xll.BDH($C$453,"GEO_GROW_TOT_ASSET","FY 2016","FY 2016","Currency=INR","Period=FY","BEST_FPERIOD_OVERRIDE=FY","FILING_STATUS=OR","EQY_CONSOLIDATED=Y","Sort=A","Dates=H","DateFormat=P","Fill=—","Direction=H","UseDPDF=Y")</f>
        <v>#NAME?</v>
      </c>
      <c r="AW463" s="2" t="e">
        <f ca="1">_xll.BDH($C$453,"MODIFIED_WORKING_CPTL_5YR_GRWTH","FY 2016","FY 2016","Currency=INR","Period=FY","BEST_FPERIOD_OVERRIDE=FY","FILING_STATUS=OR","EQY_CONSOLIDATED=Y","Sort=A","Dates=H","DateFormat=P","Fill=—","Direction=H","UseDPDF=Y")</f>
        <v>#NAME?</v>
      </c>
      <c r="AX463" s="2" t="e">
        <f ca="1">_xll.BDH($C$453,"WORKING_CAPITAL_5_YEAR_GROWTH","FY 2016","FY 2016","Currency=INR","Period=FY","BEST_FPERIOD_OVERRIDE=FY","FILING_STATUS=OR","EQY_CONSOLIDATED=Y","Sort=A","Dates=H","DateFormat=P","Fill=—","Direction=H","UseDPDF=Y")</f>
        <v>#NAME?</v>
      </c>
      <c r="AY463" s="2" t="e">
        <f ca="1">_xll.BDH($C$453,"ACCOUNTS_PAYABLE_5_YEAR_GROWTH","FY 2016","FY 2016","Currency=INR","Period=FY","BEST_FPERIOD_OVERRIDE=FY","FILING_STATUS=OR","EQY_CONSOLIDATED=Y","Sort=A","Dates=H","DateFormat=P","Fill=—","Direction=H","UseDPDF=Y")</f>
        <v>#NAME?</v>
      </c>
      <c r="AZ463" s="2" t="e">
        <f ca="1">_xll.BDH($C$453,"SHORT_TERM_DEBT_5_YEAR_GROWTH","FY 2016","FY 2016","Currency=INR","Period=FY","BEST_FPERIOD_OVERRIDE=FY","FILING_STATUS=OR","EQY_CONSOLIDATED=Y","Sort=A","Dates=H","DateFormat=P","Fill=—","Direction=H","UseDPDF=Y")</f>
        <v>#NAME?</v>
      </c>
      <c r="BA463" s="2" t="e">
        <f ca="1">_xll.BDH($C$453,"TOTAL_DEBT_5_YEAR_GROWTH","FY 2016","FY 2016","Currency=INR","Period=FY","BEST_FPERIOD_OVERRIDE=FY","FILING_STATUS=OR","EQY_CONSOLIDATED=Y","Sort=A","Dates=H","DateFormat=P","Fill=—","Direction=H","UseDPDF=Y")</f>
        <v>#NAME?</v>
      </c>
      <c r="BB463" s="2" t="e">
        <f ca="1">_xll.BDH($C$453,"GEO_GROW_TOT_SHRHLDR_EQY","FY 2016","FY 2016","Currency=INR","Period=FY","BEST_FPERIOD_OVERRIDE=FY","FILING_STATUS=OR","EQY_CONSOLIDATED=Y","Sort=A","Dates=H","DateFormat=P","Fill=—","Direction=H","UseDPDF=Y")</f>
        <v>#NAME?</v>
      </c>
      <c r="BC463" s="2" t="e">
        <f ca="1">_xll.BDH($C$453,"TOTAL_CAPITAL_5_YEAR_GROWTH","FY 2016","FY 2016","Currency=INR","Period=FY","BEST_FPERIOD_OVERRIDE=FY","FILING_STATUS=OR","EQY_CONSOLIDATED=Y","Sort=A","Dates=H","DateFormat=P","Fill=—","Direction=H","UseDPDF=Y")</f>
        <v>#NAME?</v>
      </c>
      <c r="BD463" s="2" t="e">
        <f ca="1">_xll.BDH($C$453,"GEO_GROW_BOOK_VAL","FY 2016","FY 2016","Currency=INR","Period=FY","BEST_FPERIOD_OVERRIDE=FY","FILING_STATUS=OR","EQY_CONSOLIDATED=Y","Sort=A","Dates=H","DateFormat=P","Fill=—","Direction=H","UseDPDF=Y")</f>
        <v>#NAME?</v>
      </c>
      <c r="BE463" s="2" t="e">
        <f ca="1">_xll.BDH($C$453,"GEO_GROW_CASH_OPER_ACT","FY 2016","FY 2016","Currency=INR","Period=FY","BEST_FPERIOD_OVERRIDE=FY","FILING_STATUS=OR","EQY_CONSOLIDATED=Y","Sort=A","Dates=H","DateFormat=P","Fill=—","Direction=H","UseDPDF=Y")</f>
        <v>#NAME?</v>
      </c>
      <c r="BF463" s="2" t="e">
        <f ca="1">_xll.BDH($C$453,"REVENUE_SEQUENTIAL_GROWTH","FY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463" s="2" t="e">
        <f ca="1">_xll.BDH($C$453,"EBITDA_SEQUENTIAL_GROWTH","FY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463" s="2" t="e">
        <f ca="1">_xll.BDH($C$453,"OPERATING_INCOME_SEQ_GROWTH","FY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463" s="2" t="e">
        <f ca="1">_xll.BDH($C$453,"NET_INCOME_TO_COMMON_SEQ_GROWTH","FY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463" s="2" t="e">
        <f ca="1">_xll.BDH($C$453,"EPS_DILUTED_SEQUENTIAL_GROWTH","FY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463" s="2" t="e">
        <f ca="1">_xll.BDH($C$453,"DPS_SEQUENTIAL_GROWTH","FY 2016","FY 2016","Currency=INR","Period=FY","BEST_FPERIOD_OVERRIDE=FY","FILING_STATUS=OR","EQY_CONSOLIDATED=Y","Sort=A","Dates=H","DateFormat=P","Fill=—","Direction=H","UseDPDF=Y")</f>
        <v>#NAME?</v>
      </c>
      <c r="BL463" s="2" t="e">
        <f ca="1">_xll.BDH($C$453,"ACCOUNTS_RECEIVABLE_SEQ_GROWTH","FY 2016","FY 2016","Currency=INR","Period=FY","BEST_FPERIOD_OVERRIDE=FY","FILING_STATUS=OR","EQY_CONSOLIDATED=Y","Sort=A","Dates=H","DateFormat=P","Fill=—","Direction=H","UseDPDF=Y")</f>
        <v>#NAME?</v>
      </c>
      <c r="BM463" s="2" t="e">
        <f ca="1">_xll.BDH($C$453,"INVENTORY_SEQUENTIAL_GROWTH","FY 2016","FY 2016","Currency=INR","Period=FY","BEST_FPERIOD_OVERRIDE=FY","FILING_STATUS=OR","EQY_CONSOLIDATED=Y","Sort=A","Dates=H","DateFormat=P","Fill=—","Direction=H","UseDPDF=Y")</f>
        <v>#NAME?</v>
      </c>
      <c r="BN463" s="2" t="e">
        <f ca="1">_xll.BDH($C$453,"FIXED_ASSETS_SEQUENTIAL_GROWTH","FY 2016","FY 2016","Currency=INR","Period=FY","BEST_FPERIOD_OVERRIDE=FY","FILING_STATUS=OR","EQY_CONSOLIDATED=Y","Sort=A","Dates=H","DateFormat=P","Fill=—","Direction=H","UseDPDF=Y")</f>
        <v>#NAME?</v>
      </c>
      <c r="BO463" s="2" t="e">
        <f ca="1">_xll.BDH($C$453,"TOTAL_ASSETS_SEQUENTIAL_GROWTH","FY 2016","FY 2016","Currency=INR","Period=FY","BEST_FPERIOD_OVERRIDE=FY","FILING_STATUS=OR","EQY_CONSOLIDATED=Y","Sort=A","Dates=H","DateFormat=P","Fill=—","Direction=H","UseDPDF=Y")</f>
        <v>#NAME?</v>
      </c>
      <c r="BP463" s="2" t="e">
        <f ca="1">_xll.BDH($C$453,"MODIFIED_WORKING_CPTL_SEQ_GRWTH","FY 2016","FY 2016","Currency=INR","Period=FY","BEST_FPERIOD_OVERRIDE=FY","FILING_STATUS=OR","EQY_CONSOLIDATED=Y","Sort=A","Dates=H","DateFormat=P","Fill=—","Direction=H","UseDPDF=Y")</f>
        <v>#NAME?</v>
      </c>
      <c r="BQ463" s="2" t="e">
        <f ca="1">_xll.BDH($C$453,"WORKING_CAPITAL_SEQ_GROWTH","FY 2016","FY 2016","Currency=INR","Period=FY","BEST_FPERIOD_OVERRIDE=FY","FILING_STATUS=OR","EQY_CONSOLIDATED=Y","Sort=A","Dates=H","DateFormat=P","Fill=—","Direction=H","UseDPDF=Y")</f>
        <v>#NAME?</v>
      </c>
      <c r="BR463" s="2" t="e">
        <f ca="1">_xll.BDH($C$453,"ACCOUNTS_PAYABLE_SEQ_GROWTH","FY 2016","FY 2016","Currency=INR","Period=FY","BEST_FPERIOD_OVERRIDE=FY","FILING_STATUS=OR","EQY_CONSOLIDATED=Y","Sort=A","Dates=H","DateFormat=P","Fill=—","Direction=H","UseDPDF=Y")</f>
        <v>#NAME?</v>
      </c>
      <c r="BS463" s="2" t="e">
        <f ca="1">_xll.BDH($C$453,"ST_DEBT_SEQUENTIAL_GROWTH","FY 2016","FY 2016","Currency=INR","Period=FY","BEST_FPERIOD_OVERRIDE=FY","FILING_STATUS=OR","EQY_CONSOLIDATED=Y","Sort=A","Dates=H","DateFormat=P","Fill=—","Direction=H","UseDPDF=Y")</f>
        <v>#NAME?</v>
      </c>
      <c r="BT463" s="2" t="e">
        <f ca="1">_xll.BDH($C$453,"TOTAL_DEBT_SEQUENTIAL_GROWTH","FY 2016","FY 2016","Currency=INR","Period=FY","BEST_FPERIOD_OVERRIDE=FY","FILING_STATUS=OR","EQY_CONSOLIDATED=Y","Sort=A","Dates=H","DateFormat=P","Fill=—","Direction=H","UseDPDF=Y")</f>
        <v>#NAME?</v>
      </c>
      <c r="BU463" s="2" t="e">
        <f ca="1">_xll.BDH($C$453,"TOTAL_EQUITY_SEQUENTIAL_GROWTH","FY 2016","FY 2016","Currency=INR","Period=FY","BEST_FPERIOD_OVERRIDE=FY","FILING_STATUS=OR","EQY_CONSOLIDATED=Y","Sort=A","Dates=H","DateFormat=P","Fill=—","Direction=H","UseDPDF=Y")</f>
        <v>#NAME?</v>
      </c>
      <c r="BV463" s="2" t="e">
        <f ca="1">_xll.BDH($C$453,"TOTAL_CAPITAL_SEQUENTIAL_GROWTH","FY 2016","FY 2016","Currency=INR","Period=FY","BEST_FPERIOD_OVERRIDE=FY","FILING_STATUS=OR","EQY_CONSOLIDATED=Y","Sort=A","Dates=H","DateFormat=P","Fill=—","Direction=H","UseDPDF=Y")</f>
        <v>#NAME?</v>
      </c>
      <c r="BW463" s="2" t="e">
        <f ca="1">_xll.BDH($C$453,"BPS_SEQUENTIAL_GROWTH","FY 2016","FY 2016","Currency=INR","Period=FY","BEST_FPERIOD_OVERRIDE=FY","FILING_STATUS=OR","EQY_CONSOLIDATED=Y","Sort=A","Dates=H","DateFormat=P","Fill=—","Direction=H","UseDPDF=Y")</f>
        <v>#NAME?</v>
      </c>
      <c r="BX463" s="2" t="e">
        <f ca="1">_xll.BDH($C$453,"CFO_SEQUENTIAL_GROWTH","FY 2016","FY 2016","Currency=INR","Period=FY","BEST_FPERIOD_OVERRIDE=FY","FILING_STATUS=OR","EQY_CONSOLIDATED=Y","Sort=A","Dates=H","DateFormat=P","Fill=—","Direction=H","UseDPDF=Y")</f>
        <v>#NAME?</v>
      </c>
      <c r="BY463" s="3" t="e">
        <f ca="1">_xll.BDH($C$453,"SHORT_AND_LONG_TERM_DEBT","FY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463" s="3" t="e">
        <f ca="1">_xll.BDH($C$453,"BS_ST_BORROW","FY 2016","FY 2016","Currency=INR","Period=FY","BEST_FPERIOD_OVERRIDE=FY","FILING_STATUS=OR","EQY_CONSOLIDATED=Y","SCALING_FORMAT=MLN","Sort=A","Dates=H","DateFormat=P","Fill=—","Direction=H","UseDPDF=Y")</f>
        <v>#NAME?</v>
      </c>
      <c r="CA463" s="3" t="e">
        <f ca="1">_xll.BDH($C$453,"BS_LT_BORROW","FY 2016","FY 2016","Currency=INR","Period=FY","BEST_FPERIOD_OVERRIDE=FY","FILING_STATUS=OR","EQY_CONSOLIDATED=Y","SCALING_FORMAT=MLN","Sort=A","Dates=H","DateFormat=P","Fill=—","Direction=H","UseDPDF=Y")</f>
        <v>#NAME?</v>
      </c>
      <c r="CB463" s="2" t="e">
        <f ca="1">_xll.BDH($C$453,"TOT_DEBT_TO_EBITDA","FY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463" s="2" t="e">
        <f ca="1">_xll.BDH($C$453,"NET_DEBT_TO_EBITDA","FY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463" s="2" t="e">
        <f ca="1">_xll.BDH($C$453,"TOTAL_DEBT_TO_EBIT","FY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463" s="2" t="e">
        <f ca="1">_xll.BDH($C$453,"NET_DEBT_TO_EBIT","FY 2016","FY 2016","Currency=INR","Period=FY","BEST_FPERIOD_OVERRIDE=FY","FILING_STATUS=OR","EQY_CONSOLIDATED=Y","FA_ADJUSTED=GAAP","Sort=A","Dates=H","DateFormat=P","Fill=—","Direction=H","UseDPDF=Y")</f>
        <v>#NAME?</v>
      </c>
      <c r="CF463" s="2" t="e">
        <f ca="1">_xll.BDH($C$453,"EBITDA_TO_INTEREST_EXPN","FY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463" s="2" t="e">
        <f ca="1">_xll.BDH($C$453,"COM_EQY_TO_TOT_ASSET","FY 2016","FY 2016","Currency=INR","Period=FY","BEST_FPERIOD_OVERRIDE=FY","FILING_STATUS=OR","EQY_CONSOLIDATED=Y","Sort=A","Dates=H","DateFormat=P","Fill=—","Direction=H","UseDPDF=Y")</f>
        <v>#NAME?</v>
      </c>
      <c r="CH463" s="2" t="e">
        <f ca="1">_xll.BDH($C$453,"LT_DEBT_TO_TOT_EQY","FY 2016","FY 2016","Currency=INR","Period=FY","BEST_FPERIOD_OVERRIDE=FY","FILING_STATUS=OR","EQY_CONSOLIDATED=Y","Sort=A","Dates=H","DateFormat=P","Fill=—","Direction=H","UseDPDF=Y")</f>
        <v>#NAME?</v>
      </c>
      <c r="CI463" s="2" t="e">
        <f ca="1">_xll.BDH($C$453,"LT_DEBT_TO_TOT_CAP","FY 2016","FY 2016","Currency=INR","Period=FY","BEST_FPERIOD_OVERRIDE=FY","FILING_STATUS=OR","EQY_CONSOLIDATED=Y","Sort=A","Dates=H","DateFormat=P","Fill=—","Direction=H","UseDPDF=Y")</f>
        <v>#NAME?</v>
      </c>
      <c r="CJ463" s="2" t="e">
        <f ca="1">_xll.BDH($C$453,"LT_DEBT_TO_TOT_ASSET","FY 2016","FY 2016","Currency=INR","Period=FY","BEST_FPERIOD_OVERRIDE=FY","FILING_STATUS=OR","EQY_CONSOLIDATED=Y","Sort=A","Dates=H","DateFormat=P","Fill=—","Direction=H","UseDPDF=Y")</f>
        <v>#NAME?</v>
      </c>
      <c r="CK463" s="2" t="e">
        <f ca="1">_xll.BDH($C$453,"TOT_DEBT_TO_TOT_EQY","FY 2016","FY 2016","Currency=INR","Period=FY","BEST_FPERIOD_OVERRIDE=FY","FILING_STATUS=OR","EQY_CONSOLIDATED=Y","Sort=A","Dates=H","DateFormat=P","Fill=—","Direction=H","UseDPDF=Y")</f>
        <v>#NAME?</v>
      </c>
      <c r="CL463" s="2" t="e">
        <f ca="1">_xll.BDH($C$453,"TOT_DEBT_TO_TOT_CAP","FY 2016","FY 2016","Currency=INR","Period=FY","BEST_FPERIOD_OVERRIDE=FY","FILING_STATUS=OR","EQY_CONSOLIDATED=Y","Sort=A","Dates=H","DateFormat=P","Fill=—","Direction=H","UseDPDF=Y")</f>
        <v>#NAME?</v>
      </c>
      <c r="CM463" s="2" t="e">
        <f ca="1">_xll.BDH($C$453,"TOT_DEBT_TO_TOT_ASSET","FY 2016","FY 2016","Currency=INR","Period=FY","BEST_FPERIOD_OVERRIDE=FY","FILING_STATUS=OR","EQY_CONSOLIDATED=Y","Sort=A","Dates=H","DateFormat=P","Fill=—","Direction=H","UseDPDF=Y")</f>
        <v>#NAME?</v>
      </c>
      <c r="CN463" s="2" t="e">
        <f ca="1">_xll.BDH($C$453,"NET_DEBT_TO_SHRHLDR_EQTY","FY 2016","FY 2016","Currency=INR","Period=FY","BEST_FPERIOD_OVERRIDE=FY","FILING_STATUS=OR","EQY_CONSOLIDATED=Y","Sort=A","Dates=H","DateFormat=P","Fill=—","Direction=H","UseDPDF=Y")</f>
        <v>#NAME?</v>
      </c>
      <c r="CO463" s="2" t="e">
        <f ca="1">_xll.BDH($C$453,"NET_DEBT_%_CAPITAL","FY 2016","FY 2016","Currency=INR","Period=FY","BEST_FPERIOD_OVERRIDE=FY","FILING_STATUS=OR","EQY_CONSOLIDATED=Y","Sort=A","Dates=H","DateFormat=P","Fill=—","Direction=H","UseDPDF=Y")</f>
        <v>#NAME?</v>
      </c>
      <c r="CP463" s="3" t="e">
        <f ca="1">_xll.BDH($C$453,"EBITDA","FY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463" s="3" t="e">
        <f ca="1">_xll.BDH($C$453,"EBITDA_AFTER_CAPEX","FY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463" s="3" t="e">
        <f ca="1">_xll.BDH($C$453,"IS_OPER_INC","FY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463" s="2" t="e">
        <f ca="1">_xll.BDH($C$453,"CASH_RATIO","FY 2016","FY 2016","Currency=INR","Period=FY","BEST_FPERIOD_OVERRIDE=FY","FILING_STATUS=OR","EQY_CONSOLIDATED=Y","Sort=A","Dates=H","DateFormat=P","Fill=—","Direction=H","UseDPDF=Y")</f>
        <v>#NAME?</v>
      </c>
      <c r="CT463" s="2" t="e">
        <f ca="1">_xll.BDH($C$453,"CUR_RATIO","FY 2016","FY 2016","Currency=INR","Period=FY","BEST_FPERIOD_OVERRIDE=FY","FILING_STATUS=OR","EQY_CONSOLIDATED=Y","Sort=A","Dates=H","DateFormat=P","Fill=—","Direction=H","UseDPDF=Y")</f>
        <v>#NAME?</v>
      </c>
      <c r="CU463" s="2" t="e">
        <f ca="1">_xll.BDH($C$453,"QUICK_RATIO","FY 2016","FY 2016","Currency=INR","Period=FY","BEST_FPERIOD_OVERRIDE=FY","FILING_STATUS=OR","EQY_CONSOLIDATED=Y","Sort=A","Dates=H","DateFormat=P","Fill=—","Direction=H","UseDPDF=Y")</f>
        <v>#NAME?</v>
      </c>
      <c r="CV463" s="2" t="e">
        <f ca="1">_xll.BDH($C$453,"ALTMAN_Z_SCORE","FY 2016","FY 2016","Currency=INR","Period=FY","BEST_FPERIOD_OVERRIDE=FY","FILING_STATUS=OR","EQY_CONSOLIDATED=Y","Sort=A","Dates=H","DateFormat=P","Fill=—","Direction=H","UseDPDF=Y")</f>
        <v>#NAME?</v>
      </c>
      <c r="CW463" s="4" t="e">
        <f ca="1">_xll.BDH($C$453,"ACCT_RCV_TURN","FY 2016","FY 2016","Currency=INR","Period=FY","BEST_FPERIOD_OVERRIDE=FY","FILING_STATUS=OR","EQY_CONSOLIDATED=Y","FA_ADJUSTED=GAAP","Sort=A","Dates=H","DateFormat=P","Fill=—","Direction=H","UseDPDF=Y")</f>
        <v>#NAME?</v>
      </c>
      <c r="CX463" s="2" t="e">
        <f ca="1">_xll.BDH($C$453,"ACCT_RCV_DAYS","FY 2016","FY 2016","Currency=INR","Period=FY","BEST_FPERIOD_OVERRIDE=FY","FILING_STATUS=OR","EQY_CONSOLIDATED=Y","FA_ADJUSTED=GAAP","Sort=A","Dates=H","DateFormat=P","Fill=—","Direction=H","UseDPDF=Y")</f>
        <v>#NAME?</v>
      </c>
      <c r="CY463" s="4" t="e">
        <f ca="1">_xll.BDH($C$453,"INVENT_TURN","FY 2016","FY 2016","Currency=INR","Period=FY","BEST_FPERIOD_OVERRIDE=FY","FILING_STATUS=OR","EQY_CONSOLIDATED=Y","FA_ADJUSTED=GAAP","Sort=A","Dates=H","DateFormat=P","Fill=—","Direction=H","UseDPDF=Y")</f>
        <v>#NAME?</v>
      </c>
      <c r="CZ463" s="2" t="e">
        <f ca="1">_xll.BDH($C$453,"INVENT_DAYS","FY 2016","FY 2016","Currency=INR","Period=FY","BEST_FPERIOD_OVERRIDE=FY","FILING_STATUS=OR","EQY_CONSOLIDATED=Y","FA_ADJUSTED=GAAP","Sort=A","Dates=H","DateFormat=P","Fill=—","Direction=H","UseDPDF=Y")</f>
        <v>#NAME?</v>
      </c>
      <c r="DA463" s="4" t="e">
        <f ca="1">_xll.BDH($C$453,"ACCOUNTS_PAYABLE_TURNOVER","FY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463" s="2" t="e">
        <f ca="1">_xll.BDH($C$453,"ACCOUNTS_PAYABLE_TURNOVER_DAYS","FY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463" s="4" t="e">
        <f ca="1">_xll.BDH($C$453,"CASH_CONVERSION_CYCLE","FY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463" s="4" t="e">
        <f ca="1">_xll.BDH($C$453,"INV_TO_CASH_DAYS","FY 2016","FY 2016","Currency=INR","Period=FY","BEST_FPERIOD_OVERRIDE=FY","FILING_STATUS=OR","EQY_CONSOLIDATED=Y","FA_ADJUSTED=GAAP","Sort=A","Dates=H","DateFormat=P","Fill=—","Direction=H","UseDPDF=Y")</f>
        <v>#NAME?</v>
      </c>
      <c r="DE463" s="5" t="e">
        <f ca="1">_xll.BDH($C$453,"BS_INVENTORIES","FY 2016","FY 2016","Currency=INR","Period=FY","BEST_FPERIOD_OVERRIDE=FY","FILING_STATUS=OR","EQY_CONSOLIDATED=Y","SCALING_FORMAT=MLN","Sort=A","Dates=H","DateFormat=P","Fill=—","Direction=H","UseDPDF=Y")</f>
        <v>#NAME?</v>
      </c>
      <c r="DF463" s="3" t="e">
        <f ca="1">_xll.BDH($C$453,"INVTRY_RAW_MATERIALS","FY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463" s="3" t="e">
        <f ca="1">_xll.BDH($C$453,"INVTRY_IN_PROGRESS","FY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463" s="3" t="e">
        <f ca="1">_xll.BDH($C$453,"INVTRY_FINISHED_GOODS","FY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463" s="3" t="e">
        <f ca="1">_xll.BDH($C$453,"BS_OTHER_INV","FY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464" spans="1:113" x14ac:dyDescent="0.3">
      <c r="A464" s="6"/>
      <c r="B464" s="6"/>
      <c r="C464" s="6"/>
      <c r="D464" s="6"/>
      <c r="E464" t="s">
        <v>78</v>
      </c>
      <c r="F464" t="e">
        <f ca="1">_xll.BDH($C$453,"RETURN_COM_EQY","FQ1 2016","FQ1 2016","Currency=INR","Period=FQ","BEST_FPERIOD_OVERRIDE=FQ","FILING_STATUS=OR","EQY_CONSOLIDATED=Y","FA_ADJUSTED=GAAP","Sort=A","Dates=H","DateFormat=P","Fill=—","Direction=H","UseDPDF=Y")</f>
        <v>#NAME?</v>
      </c>
      <c r="G464" t="e">
        <f ca="1">_xll.BDH($C$453,"RETURN_ON_ASSET","FQ1 2016","FQ1 2016","Currency=INR","Period=FQ","BEST_FPERIOD_OVERRIDE=FQ","FILING_STATUS=OR","EQY_CONSOLIDATED=Y","FA_ADJUSTED=GAAP","Sort=A","Dates=H","DateFormat=P","Fill=—","Direction=H","UseDPDF=Y")</f>
        <v>#NAME?</v>
      </c>
      <c r="H464" t="e">
        <f ca="1">_xll.BDH($C$453,"RETURN_ON_CAP","FQ1 2016","FQ1 2016","Currency=INR","Period=FQ","BEST_FPERIOD_OVERRIDE=FQ","FILING_STATUS=OR","EQY_CONSOLIDATED=Y","FA_ADJUSTED=GAAP","Sort=A","Dates=H","DateFormat=P","Fill=—","Direction=H","UseDPDF=Y")</f>
        <v>#NAME?</v>
      </c>
      <c r="I464" t="e">
        <f ca="1">_xll.BDH($C$453,"RETURN_ON_INV_CAPITAL","FQ1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464" t="e">
        <f ca="1">_xll.BDH($C$453,"EBITDA_TO_REVENUE","FQ1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464" t="e">
        <f ca="1">_xll.BDH($C$453,"OPER_MARGIN","FQ1 2016","FQ1 2016","Currency=INR","Period=FQ","BEST_FPERIOD_OVERRIDE=FQ","FILING_STATUS=OR","EQY_CONSOLIDATED=Y","FA_ADJUSTED=GAAP","Sort=A","Dates=H","DateFormat=P","Fill=—","Direction=H","UseDPDF=Y")</f>
        <v>#NAME?</v>
      </c>
      <c r="L464" t="e">
        <f ca="1">_xll.BDH($C$453,"INCREMENTAL_OPERATING_MARGIN","FQ1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464" t="e">
        <f ca="1">_xll.BDH($C$453,"PRETAX_INC_TO_NET_SALES","FQ1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464" t="e">
        <f ca="1">_xll.BDH($C$453,"INC_BEF_XO_ITEMS_TO_NET_SALES","FQ1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464" t="e">
        <f ca="1">_xll.BDH($C$453,"PROF_MARGIN","FQ1 2016","FQ1 2016","Currency=INR","Period=FQ","BEST_FPERIOD_OVERRIDE=FQ","FILING_STATUS=OR","EQY_CONSOLIDATED=Y","FA_ADJUSTED=GAAP","Sort=A","Dates=H","DateFormat=P","Fill=—","Direction=H","UseDPDF=Y")</f>
        <v>#NAME?</v>
      </c>
      <c r="P464" t="e">
        <f ca="1">_xll.BDH($C$453,"NET_INCOME_TO_COMMON_MARGIN","FQ1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464" t="e">
        <f ca="1">_xll.BDH($C$453,"EFF_TAX_RATE","FQ1 2016","FQ1 2016","Currency=INR","Period=FQ","BEST_FPERIOD_OVERRIDE=FQ","FILING_STATUS=OR","EQY_CONSOLIDATED=Y","FA_ADJUSTED=GAAP","Sort=A","Dates=H","DateFormat=P","Fill=—","Direction=H","UseDPDF=Y")</f>
        <v>#NAME?</v>
      </c>
      <c r="R464" t="e">
        <f ca="1">_xll.BDH($C$453,"DVD_PAYOUT_RATIO","FQ1 2016","FQ1 2016","Currency=INR","Period=FQ","BEST_FPERIOD_OVERRIDE=FQ","FILING_STATUS=OR","EQY_CONSOLIDATED=Y","FA_ADJUSTED=GAAP","Sort=A","Dates=H","DateFormat=P","Fill=—","Direction=H","UseDPDF=Y")</f>
        <v>#NAME?</v>
      </c>
      <c r="S464" t="e">
        <f ca="1">_xll.BDH($C$453,"SUSTAIN_GROWTH_RT","FQ1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464" s="2" t="e">
        <f ca="1">_xll.BDH($C$453,"SALES_GROWTH","FQ1 2016","FQ1 2016","Currency=INR","Period=FQ","BEST_FPERIOD_OVERRIDE=FQ","FILING_STATUS=OR","EQY_CONSOLIDATED=Y","FA_ADJUSTED=GAAP","Sort=A","Dates=H","DateFormat=P","Fill=—","Direction=H","UseDPDF=Y")</f>
        <v>#NAME?</v>
      </c>
      <c r="U464" s="2" t="e">
        <f ca="1">_xll.BDH($C$453,"EBITDA_GROWTH","FQ1 2016","FQ1 2016","Currency=INR","Period=FQ","BEST_FPERIOD_OVERRIDE=FQ","FILING_STATUS=OR","EQY_CONSOLIDATED=Y","FA_ADJUSTED=GAAP","Sort=A","Dates=H","DateFormat=P","Fill=—","Direction=H","UseDPDF=Y")</f>
        <v>#NAME?</v>
      </c>
      <c r="V464" s="2" t="e">
        <f ca="1">_xll.BDH($C$453,"OPER_INC_GROWTH","FQ1 2016","FQ1 2016","Currency=INR","Period=FQ","BEST_FPERIOD_OVERRIDE=FQ","FILING_STATUS=OR","EQY_CONSOLIDATED=Y","FA_ADJUSTED=GAAP","Sort=A","Dates=H","DateFormat=P","Fill=—","Direction=H","UseDPDF=Y")</f>
        <v>#NAME?</v>
      </c>
      <c r="W464" s="2" t="e">
        <f ca="1">_xll.BDH($C$453,"EARN_FOR_COM_GROWTH","FQ1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464" s="2" t="e">
        <f ca="1">_xll.BDH($C$453,"DILUTED_EPS_AFT_XO_ITEMS_GROWTH","FQ1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464" s="2" t="e">
        <f ca="1">_xll.BDH($C$453,"DIVIDEND_PER_SHARE_1_YEAR_GROWTH","FQ1 2016","FQ1 2016","Currency=INR","Period=FQ","BEST_FPERIOD_OVERRIDE=FQ","FILING_STATUS=OR","EQY_CONSOLIDATED=Y","Sort=A","Dates=H","DateFormat=P","Fill=—","Direction=H","UseDPDF=Y")</f>
        <v>#NAME?</v>
      </c>
      <c r="Z464" s="2" t="e">
        <f ca="1">_xll.BDH($C$453,"ACCOUNTS_RECEIVABLE_GROWTH","FQ1 2016","FQ1 2016","Currency=INR","Period=FQ","BEST_FPERIOD_OVERRIDE=FQ","FILING_STATUS=OR","EQY_CONSOLIDATED=Y","Sort=A","Dates=H","DateFormat=P","Fill=—","Direction=H","UseDPDF=Y")</f>
        <v>#NAME?</v>
      </c>
      <c r="AA464" s="2" t="e">
        <f ca="1">_xll.BDH($C$453,"INVENTORY_GROWTH","FQ1 2016","FQ1 2016","Currency=INR","Period=FQ","BEST_FPERIOD_OVERRIDE=FQ","FILING_STATUS=OR","EQY_CONSOLIDATED=Y","Sort=A","Dates=H","DateFormat=P","Fill=—","Direction=H","UseDPDF=Y")</f>
        <v>#NAME?</v>
      </c>
      <c r="AB464" s="2" t="e">
        <f ca="1">_xll.BDH($C$453,"NET_FIXED_ASSETS_1_YEAR_GROWTH","FQ1 2016","FQ1 2016","Currency=INR","Period=FQ","BEST_FPERIOD_OVERRIDE=FQ","FILING_STATUS=OR","EQY_CONSOLIDATED=Y","Sort=A","Dates=H","DateFormat=P","Fill=—","Direction=H","UseDPDF=Y")</f>
        <v>#NAME?</v>
      </c>
      <c r="AC464" s="2" t="e">
        <f ca="1">_xll.BDH($C$453,"ASSET_GROWTH","FQ1 2016","FQ1 2016","Currency=INR","Period=FQ","BEST_FPERIOD_OVERRIDE=FQ","FILING_STATUS=OR","EQY_CONSOLIDATED=Y","Sort=A","Dates=H","DateFormat=P","Fill=—","Direction=H","UseDPDF=Y")</f>
        <v>#NAME?</v>
      </c>
      <c r="AD464" s="2" t="e">
        <f ca="1">_xll.BDH($C$453,"MODIFIED_WORK_CAP_GROWTH","FQ1 2016","FQ1 2016","Currency=INR","Period=FQ","BEST_FPERIOD_OVERRIDE=FQ","FILING_STATUS=OR","EQY_CONSOLIDATED=Y","Sort=A","Dates=H","DateFormat=P","Fill=—","Direction=H","UseDPDF=Y")</f>
        <v>#NAME?</v>
      </c>
      <c r="AE464" s="2" t="e">
        <f ca="1">_xll.BDH($C$453,"WORK_CAP_GROWTH","FQ1 2016","FQ1 2016","Currency=INR","Period=FQ","BEST_FPERIOD_OVERRIDE=FQ","FILING_STATUS=OR","EQY_CONSOLIDATED=Y","Sort=A","Dates=H","DateFormat=P","Fill=—","Direction=H","UseDPDF=Y")</f>
        <v>#NAME?</v>
      </c>
      <c r="AF464" s="2" t="e">
        <f ca="1">_xll.BDH($C$453,"ACCOUNTS_PAYABLE_GROWTH_1YR","FQ1 2016","FQ1 2016","Currency=INR","Period=FQ","BEST_FPERIOD_OVERRIDE=FQ","FILING_STATUS=OR","EQY_CONSOLIDATED=Y","Sort=A","Dates=H","DateFormat=P","Fill=—","Direction=H","UseDPDF=Y")</f>
        <v>#NAME?</v>
      </c>
      <c r="AG464" s="2" t="e">
        <f ca="1">_xll.BDH($C$453,"SHORT_TERM_DEBT_1_YEAR_GROWTH","FQ1 2016","FQ1 2016","Currency=INR","Period=FQ","BEST_FPERIOD_OVERRIDE=FQ","FILING_STATUS=OR","EQY_CONSOLIDATED=Y","Sort=A","Dates=H","DateFormat=P","Fill=—","Direction=H","UseDPDF=Y")</f>
        <v>#NAME?</v>
      </c>
      <c r="AH464" s="2" t="e">
        <f ca="1">_xll.BDH($C$453,"TOTAL_DEBT_1_YEAR_GROWTH","FQ1 2016","FQ1 2016","Currency=INR","Period=FQ","BEST_FPERIOD_OVERRIDE=FQ","FILING_STATUS=OR","EQY_CONSOLIDATED=Y","Sort=A","Dates=H","DateFormat=P","Fill=—","Direction=H","UseDPDF=Y")</f>
        <v>#NAME?</v>
      </c>
      <c r="AI464" s="2" t="e">
        <f ca="1">_xll.BDH($C$453,"TOTAL_EQUITY_1_YEAR_GROWTH","FQ1 2016","FQ1 2016","Currency=INR","Period=FQ","BEST_FPERIOD_OVERRIDE=FQ","FILING_STATUS=OR","EQY_CONSOLIDATED=Y","Sort=A","Dates=H","DateFormat=P","Fill=—","Direction=H","UseDPDF=Y")</f>
        <v>#NAME?</v>
      </c>
      <c r="AJ464" s="2" t="e">
        <f ca="1">_xll.BDH($C$453,"GROWTH_IN_CAP","FQ1 2016","FQ1 2016","Currency=INR","Period=FQ","BEST_FPERIOD_OVERRIDE=FQ","FILING_STATUS=OR","EQY_CONSOLIDATED=Y","Sort=A","Dates=H","DateFormat=P","Fill=—","Direction=H","UseDPDF=Y")</f>
        <v>#NAME?</v>
      </c>
      <c r="AK464" s="2" t="e">
        <f ca="1">_xll.BDH($C$453,"BVPS_GROWTH","FQ1 2016","FQ1 2016","Currency=INR","Period=FQ","BEST_FPERIOD_OVERRIDE=FQ","FILING_STATUS=OR","EQY_CONSOLIDATED=Y","Sort=A","Dates=H","DateFormat=P","Fill=—","Direction=H","UseDPDF=Y")</f>
        <v>#NAME?</v>
      </c>
      <c r="AL464" s="2" t="e">
        <f ca="1">_xll.BDH($C$453,"CASH_FLOW_GROWTH","FQ1 2016","FQ1 2016","Currency=INR","Period=FQ","BEST_FPERIOD_OVERRIDE=FQ","FILING_STATUS=OR","EQY_CONSOLIDATED=Y","Sort=A","Dates=H","DateFormat=P","Fill=—","Direction=H","UseDPDF=Y")</f>
        <v>#NAME?</v>
      </c>
      <c r="AM464" s="2" t="e">
        <f ca="1">_xll.BDH($C$453,"GEO_GROW_NET_SALES","FQ1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464" s="2" t="e">
        <f ca="1">_xll.BDH($C$453,"GEO_GROW_EBITDA","FQ1 2016","FQ1 2016","Currency=INR","Period=FQ","BEST_FPERIOD_OVERRIDE=FQ","FILING_STATUS=OR","EQY_CONSOLIDATED=Y","FA_ADJUSTED=GAAP","Sort=A","Dates=H","DateFormat=P","Fill=—","Direction=H","UseDPDF=Y")</f>
        <v>#NAME?</v>
      </c>
      <c r="AO464" s="2" t="e">
        <f ca="1">_xll.BDH($C$453,"GEO_GROW_OPER_INC","FQ1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464" s="2" t="e">
        <f ca="1">_xll.BDH($C$453,"NET_INCOME_TO_COMMON_5_YR_GROWTH","FQ1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464" s="2" t="e">
        <f ca="1">_xll.BDH($C$453,"5Y_GEO_GROWTH_DILUTED_EPS","FQ1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464" s="2" t="e">
        <f ca="1">_xll.BDH($C$453,"GEO_GROW_DVD_PER_SH","FQ1 2016","FQ1 2016","Currency=INR","Period=FQ","BEST_FPERIOD_OVERRIDE=FQ","FILING_STATUS=OR","EQY_CONSOLIDATED=Y","Sort=A","Dates=H","DateFormat=P","Fill=—","Direction=H","UseDPDF=Y")</f>
        <v>#NAME?</v>
      </c>
      <c r="AS464" s="2" t="e">
        <f ca="1">_xll.BDH($C$453,"ACCOUNTS_RECEIVABLE_5_YR_GROWTH","FQ1 2016","FQ1 2016","Currency=INR","Period=FQ","BEST_FPERIOD_OVERRIDE=FQ","FILING_STATUS=OR","EQY_CONSOLIDATED=Y","Sort=A","Dates=H","DateFormat=P","Fill=—","Direction=H","UseDPDF=Y")</f>
        <v>#NAME?</v>
      </c>
      <c r="AT464" s="2" t="e">
        <f ca="1">_xll.BDH($C$453,"INVENTORY_5_YEAR_GROWTH","FQ1 2016","FQ1 2016","Currency=INR","Period=FQ","BEST_FPERIOD_OVERRIDE=FQ","FILING_STATUS=OR","EQY_CONSOLIDATED=Y","Sort=A","Dates=H","DateFormat=P","Fill=—","Direction=H","UseDPDF=Y")</f>
        <v>#NAME?</v>
      </c>
      <c r="AU464" s="2" t="e">
        <f ca="1">_xll.BDH($C$453,"NET_FIXED_ASSETS_5_YEAR_GROWTH","FQ1 2016","FQ1 2016","Currency=INR","Period=FQ","BEST_FPERIOD_OVERRIDE=FQ","FILING_STATUS=OR","EQY_CONSOLIDATED=Y","Sort=A","Dates=H","DateFormat=P","Fill=—","Direction=H","UseDPDF=Y")</f>
        <v>#NAME?</v>
      </c>
      <c r="AV464" s="2" t="e">
        <f ca="1">_xll.BDH($C$453,"GEO_GROW_TOT_ASSET","FQ1 2016","FQ1 2016","Currency=INR","Period=FQ","BEST_FPERIOD_OVERRIDE=FQ","FILING_STATUS=OR","EQY_CONSOLIDATED=Y","Sort=A","Dates=H","DateFormat=P","Fill=—","Direction=H","UseDPDF=Y")</f>
        <v>#NAME?</v>
      </c>
      <c r="AW464" s="2" t="e">
        <f ca="1">_xll.BDH($C$453,"MODIFIED_WORKING_CPTL_5YR_GRWTH","FQ1 2016","FQ1 2016","Currency=INR","Period=FQ","BEST_FPERIOD_OVERRIDE=FQ","FILING_STATUS=OR","EQY_CONSOLIDATED=Y","Sort=A","Dates=H","DateFormat=P","Fill=—","Direction=H","UseDPDF=Y")</f>
        <v>#NAME?</v>
      </c>
      <c r="AX464" s="2" t="e">
        <f ca="1">_xll.BDH($C$453,"WORKING_CAPITAL_5_YEAR_GROWTH","FQ1 2016","FQ1 2016","Currency=INR","Period=FQ","BEST_FPERIOD_OVERRIDE=FQ","FILING_STATUS=OR","EQY_CONSOLIDATED=Y","Sort=A","Dates=H","DateFormat=P","Fill=—","Direction=H","UseDPDF=Y")</f>
        <v>#NAME?</v>
      </c>
      <c r="AY464" s="2" t="e">
        <f ca="1">_xll.BDH($C$453,"ACCOUNTS_PAYABLE_5_YEAR_GROWTH","FQ1 2016","FQ1 2016","Currency=INR","Period=FQ","BEST_FPERIOD_OVERRIDE=FQ","FILING_STATUS=OR","EQY_CONSOLIDATED=Y","Sort=A","Dates=H","DateFormat=P","Fill=—","Direction=H","UseDPDF=Y")</f>
        <v>#NAME?</v>
      </c>
      <c r="AZ464" s="2" t="e">
        <f ca="1">_xll.BDH($C$453,"SHORT_TERM_DEBT_5_YEAR_GROWTH","FQ1 2016","FQ1 2016","Currency=INR","Period=FQ","BEST_FPERIOD_OVERRIDE=FQ","FILING_STATUS=OR","EQY_CONSOLIDATED=Y","Sort=A","Dates=H","DateFormat=P","Fill=—","Direction=H","UseDPDF=Y")</f>
        <v>#NAME?</v>
      </c>
      <c r="BA464" s="2" t="e">
        <f ca="1">_xll.BDH($C$453,"TOTAL_DEBT_5_YEAR_GROWTH","FQ1 2016","FQ1 2016","Currency=INR","Period=FQ","BEST_FPERIOD_OVERRIDE=FQ","FILING_STATUS=OR","EQY_CONSOLIDATED=Y","Sort=A","Dates=H","DateFormat=P","Fill=—","Direction=H","UseDPDF=Y")</f>
        <v>#NAME?</v>
      </c>
      <c r="BB464" s="2" t="e">
        <f ca="1">_xll.BDH($C$453,"GEO_GROW_TOT_SHRHLDR_EQY","FQ1 2016","FQ1 2016","Currency=INR","Period=FQ","BEST_FPERIOD_OVERRIDE=FQ","FILING_STATUS=OR","EQY_CONSOLIDATED=Y","Sort=A","Dates=H","DateFormat=P","Fill=—","Direction=H","UseDPDF=Y")</f>
        <v>#NAME?</v>
      </c>
      <c r="BC464" s="2" t="e">
        <f ca="1">_xll.BDH($C$453,"TOTAL_CAPITAL_5_YEAR_GROWTH","FQ1 2016","FQ1 2016","Currency=INR","Period=FQ","BEST_FPERIOD_OVERRIDE=FQ","FILING_STATUS=OR","EQY_CONSOLIDATED=Y","Sort=A","Dates=H","DateFormat=P","Fill=—","Direction=H","UseDPDF=Y")</f>
        <v>#NAME?</v>
      </c>
      <c r="BD464" s="2" t="e">
        <f ca="1">_xll.BDH($C$453,"GEO_GROW_BOOK_VAL","FQ1 2016","FQ1 2016","Currency=INR","Period=FQ","BEST_FPERIOD_OVERRIDE=FQ","FILING_STATUS=OR","EQY_CONSOLIDATED=Y","Sort=A","Dates=H","DateFormat=P","Fill=—","Direction=H","UseDPDF=Y")</f>
        <v>#NAME?</v>
      </c>
      <c r="BE464" s="2" t="e">
        <f ca="1">_xll.BDH($C$453,"GEO_GROW_CASH_OPER_ACT","FQ1 2016","FQ1 2016","Currency=INR","Period=FQ","BEST_FPERIOD_OVERRIDE=FQ","FILING_STATUS=OR","EQY_CONSOLIDATED=Y","Sort=A","Dates=H","DateFormat=P","Fill=—","Direction=H","UseDPDF=Y")</f>
        <v>#NAME?</v>
      </c>
      <c r="BF464" s="2" t="e">
        <f ca="1">_xll.BDH($C$453,"REVENUE_SEQUENTIAL_GROWTH","FQ1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464" s="2" t="e">
        <f ca="1">_xll.BDH($C$453,"EBITDA_SEQUENTIAL_GROWTH","FQ1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464" s="2" t="e">
        <f ca="1">_xll.BDH($C$453,"OPERATING_INCOME_SEQ_GROWTH","FQ1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464" s="2" t="e">
        <f ca="1">_xll.BDH($C$453,"NET_INCOME_TO_COMMON_SEQ_GROWTH","FQ1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464" s="2" t="e">
        <f ca="1">_xll.BDH($C$453,"EPS_DILUTED_SEQUENTIAL_GROWTH","FQ1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464" s="2" t="e">
        <f ca="1">_xll.BDH($C$453,"DPS_SEQUENTIAL_GROWTH","FQ1 2016","FQ1 2016","Currency=INR","Period=FQ","BEST_FPERIOD_OVERRIDE=FQ","FILING_STATUS=OR","EQY_CONSOLIDATED=Y","Sort=A","Dates=H","DateFormat=P","Fill=—","Direction=H","UseDPDF=Y")</f>
        <v>#NAME?</v>
      </c>
      <c r="BL464" s="2" t="e">
        <f ca="1">_xll.BDH($C$453,"ACCOUNTS_RECEIVABLE_SEQ_GROWTH","FQ1 2016","FQ1 2016","Currency=INR","Period=FQ","BEST_FPERIOD_OVERRIDE=FQ","FILING_STATUS=OR","EQY_CONSOLIDATED=Y","Sort=A","Dates=H","DateFormat=P","Fill=—","Direction=H","UseDPDF=Y")</f>
        <v>#NAME?</v>
      </c>
      <c r="BM464" s="2" t="e">
        <f ca="1">_xll.BDH($C$453,"INVENTORY_SEQUENTIAL_GROWTH","FQ1 2016","FQ1 2016","Currency=INR","Period=FQ","BEST_FPERIOD_OVERRIDE=FQ","FILING_STATUS=OR","EQY_CONSOLIDATED=Y","Sort=A","Dates=H","DateFormat=P","Fill=—","Direction=H","UseDPDF=Y")</f>
        <v>#NAME?</v>
      </c>
      <c r="BN464" s="2" t="e">
        <f ca="1">_xll.BDH($C$453,"FIXED_ASSETS_SEQUENTIAL_GROWTH","FQ1 2016","FQ1 2016","Currency=INR","Period=FQ","BEST_FPERIOD_OVERRIDE=FQ","FILING_STATUS=OR","EQY_CONSOLIDATED=Y","Sort=A","Dates=H","DateFormat=P","Fill=—","Direction=H","UseDPDF=Y")</f>
        <v>#NAME?</v>
      </c>
      <c r="BO464" s="2" t="e">
        <f ca="1">_xll.BDH($C$453,"TOTAL_ASSETS_SEQUENTIAL_GROWTH","FQ1 2016","FQ1 2016","Currency=INR","Period=FQ","BEST_FPERIOD_OVERRIDE=FQ","FILING_STATUS=OR","EQY_CONSOLIDATED=Y","Sort=A","Dates=H","DateFormat=P","Fill=—","Direction=H","UseDPDF=Y")</f>
        <v>#NAME?</v>
      </c>
      <c r="BP464" s="2" t="e">
        <f ca="1">_xll.BDH($C$453,"MODIFIED_WORKING_CPTL_SEQ_GRWTH","FQ1 2016","FQ1 2016","Currency=INR","Period=FQ","BEST_FPERIOD_OVERRIDE=FQ","FILING_STATUS=OR","EQY_CONSOLIDATED=Y","Sort=A","Dates=H","DateFormat=P","Fill=—","Direction=H","UseDPDF=Y")</f>
        <v>#NAME?</v>
      </c>
      <c r="BQ464" s="2" t="e">
        <f ca="1">_xll.BDH($C$453,"WORKING_CAPITAL_SEQ_GROWTH","FQ1 2016","FQ1 2016","Currency=INR","Period=FQ","BEST_FPERIOD_OVERRIDE=FQ","FILING_STATUS=OR","EQY_CONSOLIDATED=Y","Sort=A","Dates=H","DateFormat=P","Fill=—","Direction=H","UseDPDF=Y")</f>
        <v>#NAME?</v>
      </c>
      <c r="BR464" s="2" t="e">
        <f ca="1">_xll.BDH($C$453,"ACCOUNTS_PAYABLE_SEQ_GROWTH","FQ1 2016","FQ1 2016","Currency=INR","Period=FQ","BEST_FPERIOD_OVERRIDE=FQ","FILING_STATUS=OR","EQY_CONSOLIDATED=Y","Sort=A","Dates=H","DateFormat=P","Fill=—","Direction=H","UseDPDF=Y")</f>
        <v>#NAME?</v>
      </c>
      <c r="BS464" s="2" t="e">
        <f ca="1">_xll.BDH($C$453,"ST_DEBT_SEQUENTIAL_GROWTH","FQ1 2016","FQ1 2016","Currency=INR","Period=FQ","BEST_FPERIOD_OVERRIDE=FQ","FILING_STATUS=OR","EQY_CONSOLIDATED=Y","Sort=A","Dates=H","DateFormat=P","Fill=—","Direction=H","UseDPDF=Y")</f>
        <v>#NAME?</v>
      </c>
      <c r="BT464" s="2" t="e">
        <f ca="1">_xll.BDH($C$453,"TOTAL_DEBT_SEQUENTIAL_GROWTH","FQ1 2016","FQ1 2016","Currency=INR","Period=FQ","BEST_FPERIOD_OVERRIDE=FQ","FILING_STATUS=OR","EQY_CONSOLIDATED=Y","Sort=A","Dates=H","DateFormat=P","Fill=—","Direction=H","UseDPDF=Y")</f>
        <v>#NAME?</v>
      </c>
      <c r="BU464" s="2" t="e">
        <f ca="1">_xll.BDH($C$453,"TOTAL_EQUITY_SEQUENTIAL_GROWTH","FQ1 2016","FQ1 2016","Currency=INR","Period=FQ","BEST_FPERIOD_OVERRIDE=FQ","FILING_STATUS=OR","EQY_CONSOLIDATED=Y","Sort=A","Dates=H","DateFormat=P","Fill=—","Direction=H","UseDPDF=Y")</f>
        <v>#NAME?</v>
      </c>
      <c r="BV464" s="2" t="e">
        <f ca="1">_xll.BDH($C$453,"TOTAL_CAPITAL_SEQUENTIAL_GROWTH","FQ1 2016","FQ1 2016","Currency=INR","Period=FQ","BEST_FPERIOD_OVERRIDE=FQ","FILING_STATUS=OR","EQY_CONSOLIDATED=Y","Sort=A","Dates=H","DateFormat=P","Fill=—","Direction=H","UseDPDF=Y")</f>
        <v>#NAME?</v>
      </c>
      <c r="BW464" s="2" t="e">
        <f ca="1">_xll.BDH($C$453,"BPS_SEQUENTIAL_GROWTH","FQ1 2016","FQ1 2016","Currency=INR","Period=FQ","BEST_FPERIOD_OVERRIDE=FQ","FILING_STATUS=OR","EQY_CONSOLIDATED=Y","Sort=A","Dates=H","DateFormat=P","Fill=—","Direction=H","UseDPDF=Y")</f>
        <v>#NAME?</v>
      </c>
      <c r="BX464" s="2" t="e">
        <f ca="1">_xll.BDH($C$453,"CFO_SEQUENTIAL_GROWTH","FQ1 2016","FQ1 2016","Currency=INR","Period=FQ","BEST_FPERIOD_OVERRIDE=FQ","FILING_STATUS=OR","EQY_CONSOLIDATED=Y","Sort=A","Dates=H","DateFormat=P","Fill=—","Direction=H","UseDPDF=Y")</f>
        <v>#NAME?</v>
      </c>
      <c r="BY464" s="3" t="e">
        <f ca="1">_xll.BDH($C$453,"SHORT_AND_LONG_TERM_DEBT","FQ1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464" s="3" t="e">
        <f ca="1">_xll.BDH($C$453,"BS_ST_BORROW","FQ1 2016","FQ1 2016","Currency=INR","Period=FQ","BEST_FPERIOD_OVERRIDE=FQ","FILING_STATUS=OR","EQY_CONSOLIDATED=Y","SCALING_FORMAT=MLN","Sort=A","Dates=H","DateFormat=P","Fill=—","Direction=H","UseDPDF=Y")</f>
        <v>#NAME?</v>
      </c>
      <c r="CA464" s="3" t="e">
        <f ca="1">_xll.BDH($C$453,"BS_LT_BORROW","FQ1 2016","FQ1 2016","Currency=INR","Period=FQ","BEST_FPERIOD_OVERRIDE=FQ","FILING_STATUS=OR","EQY_CONSOLIDATED=Y","SCALING_FORMAT=MLN","Sort=A","Dates=H","DateFormat=P","Fill=—","Direction=H","UseDPDF=Y")</f>
        <v>#NAME?</v>
      </c>
      <c r="CB464" s="2" t="e">
        <f ca="1">_xll.BDH($C$453,"TOT_DEBT_TO_EBITDA","FQ1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464" s="2" t="e">
        <f ca="1">_xll.BDH($C$453,"NET_DEBT_TO_EBITDA","FQ1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464" s="2" t="e">
        <f ca="1">_xll.BDH($C$453,"TOTAL_DEBT_TO_EBIT","FQ1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464" s="2" t="e">
        <f ca="1">_xll.BDH($C$453,"NET_DEBT_TO_EBIT","FQ1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464" s="2" t="e">
        <f ca="1">_xll.BDH($C$453,"EBITDA_TO_INTEREST_EXPN","FQ1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464" s="2" t="e">
        <f ca="1">_xll.BDH($C$453,"COM_EQY_TO_TOT_ASSET","FQ1 2016","FQ1 2016","Currency=INR","Period=FQ","BEST_FPERIOD_OVERRIDE=FQ","FILING_STATUS=OR","EQY_CONSOLIDATED=Y","Sort=A","Dates=H","DateFormat=P","Fill=—","Direction=H","UseDPDF=Y")</f>
        <v>#NAME?</v>
      </c>
      <c r="CH464" s="2" t="e">
        <f ca="1">_xll.BDH($C$453,"LT_DEBT_TO_TOT_EQY","FQ1 2016","FQ1 2016","Currency=INR","Period=FQ","BEST_FPERIOD_OVERRIDE=FQ","FILING_STATUS=OR","EQY_CONSOLIDATED=Y","Sort=A","Dates=H","DateFormat=P","Fill=—","Direction=H","UseDPDF=Y")</f>
        <v>#NAME?</v>
      </c>
      <c r="CI464" s="2" t="e">
        <f ca="1">_xll.BDH($C$453,"LT_DEBT_TO_TOT_CAP","FQ1 2016","FQ1 2016","Currency=INR","Period=FQ","BEST_FPERIOD_OVERRIDE=FQ","FILING_STATUS=OR","EQY_CONSOLIDATED=Y","Sort=A","Dates=H","DateFormat=P","Fill=—","Direction=H","UseDPDF=Y")</f>
        <v>#NAME?</v>
      </c>
      <c r="CJ464" s="2" t="e">
        <f ca="1">_xll.BDH($C$453,"LT_DEBT_TO_TOT_ASSET","FQ1 2016","FQ1 2016","Currency=INR","Period=FQ","BEST_FPERIOD_OVERRIDE=FQ","FILING_STATUS=OR","EQY_CONSOLIDATED=Y","Sort=A","Dates=H","DateFormat=P","Fill=—","Direction=H","UseDPDF=Y")</f>
        <v>#NAME?</v>
      </c>
      <c r="CK464" s="2" t="e">
        <f ca="1">_xll.BDH($C$453,"TOT_DEBT_TO_TOT_EQY","FQ1 2016","FQ1 2016","Currency=INR","Period=FQ","BEST_FPERIOD_OVERRIDE=FQ","FILING_STATUS=OR","EQY_CONSOLIDATED=Y","Sort=A","Dates=H","DateFormat=P","Fill=—","Direction=H","UseDPDF=Y")</f>
        <v>#NAME?</v>
      </c>
      <c r="CL464" s="2" t="e">
        <f ca="1">_xll.BDH($C$453,"TOT_DEBT_TO_TOT_CAP","FQ1 2016","FQ1 2016","Currency=INR","Period=FQ","BEST_FPERIOD_OVERRIDE=FQ","FILING_STATUS=OR","EQY_CONSOLIDATED=Y","Sort=A","Dates=H","DateFormat=P","Fill=—","Direction=H","UseDPDF=Y")</f>
        <v>#NAME?</v>
      </c>
      <c r="CM464" s="2" t="e">
        <f ca="1">_xll.BDH($C$453,"TOT_DEBT_TO_TOT_ASSET","FQ1 2016","FQ1 2016","Currency=INR","Period=FQ","BEST_FPERIOD_OVERRIDE=FQ","FILING_STATUS=OR","EQY_CONSOLIDATED=Y","Sort=A","Dates=H","DateFormat=P","Fill=—","Direction=H","UseDPDF=Y")</f>
        <v>#NAME?</v>
      </c>
      <c r="CN464" s="2" t="e">
        <f ca="1">_xll.BDH($C$453,"NET_DEBT_TO_SHRHLDR_EQTY","FQ1 2016","FQ1 2016","Currency=INR","Period=FQ","BEST_FPERIOD_OVERRIDE=FQ","FILING_STATUS=OR","EQY_CONSOLIDATED=Y","Sort=A","Dates=H","DateFormat=P","Fill=—","Direction=H","UseDPDF=Y")</f>
        <v>#NAME?</v>
      </c>
      <c r="CO464" s="2" t="e">
        <f ca="1">_xll.BDH($C$453,"NET_DEBT_%_CAPITAL","FQ1 2016","FQ1 2016","Currency=INR","Period=FQ","BEST_FPERIOD_OVERRIDE=FQ","FILING_STATUS=OR","EQY_CONSOLIDATED=Y","Sort=A","Dates=H","DateFormat=P","Fill=—","Direction=H","UseDPDF=Y")</f>
        <v>#NAME?</v>
      </c>
      <c r="CP464" s="3" t="e">
        <f ca="1">_xll.BDH($C$453,"EBITDA","FQ1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464" s="3" t="e">
        <f ca="1">_xll.BDH($C$453,"EBITDA_AFTER_CAPEX","FQ1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464" s="3" t="e">
        <f ca="1">_xll.BDH($C$453,"IS_OPER_INC","FQ1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464" s="2" t="e">
        <f ca="1">_xll.BDH($C$453,"CASH_RATIO","FQ1 2016","FQ1 2016","Currency=INR","Period=FQ","BEST_FPERIOD_OVERRIDE=FQ","FILING_STATUS=OR","EQY_CONSOLIDATED=Y","Sort=A","Dates=H","DateFormat=P","Fill=—","Direction=H","UseDPDF=Y")</f>
        <v>#NAME?</v>
      </c>
      <c r="CT464" s="2" t="e">
        <f ca="1">_xll.BDH($C$453,"CUR_RATIO","FQ1 2016","FQ1 2016","Currency=INR","Period=FQ","BEST_FPERIOD_OVERRIDE=FQ","FILING_STATUS=OR","EQY_CONSOLIDATED=Y","Sort=A","Dates=H","DateFormat=P","Fill=—","Direction=H","UseDPDF=Y")</f>
        <v>#NAME?</v>
      </c>
      <c r="CU464" s="2" t="e">
        <f ca="1">_xll.BDH($C$453,"QUICK_RATIO","FQ1 2016","FQ1 2016","Currency=INR","Period=FQ","BEST_FPERIOD_OVERRIDE=FQ","FILING_STATUS=OR","EQY_CONSOLIDATED=Y","Sort=A","Dates=H","DateFormat=P","Fill=—","Direction=H","UseDPDF=Y")</f>
        <v>#NAME?</v>
      </c>
      <c r="CV464" s="2" t="e">
        <f ca="1">_xll.BDH($C$453,"ALTMAN_Z_SCORE","FQ1 2016","FQ1 2016","Currency=INR","Period=FQ","BEST_FPERIOD_OVERRIDE=FQ","FILING_STATUS=OR","EQY_CONSOLIDATED=Y","Sort=A","Dates=H","DateFormat=P","Fill=—","Direction=H","UseDPDF=Y")</f>
        <v>#NAME?</v>
      </c>
      <c r="CW464" s="4" t="e">
        <f ca="1">_xll.BDH($C$453,"ACCT_RCV_TURN","FQ1 2016","FQ1 2016","Currency=INR","Period=FQ","BEST_FPERIOD_OVERRIDE=FQ","FILING_STATUS=OR","EQY_CONSOLIDATED=Y","FA_ADJUSTED=GAAP","Sort=A","Dates=H","DateFormat=P","Fill=—","Direction=H","UseDPDF=Y")</f>
        <v>#NAME?</v>
      </c>
      <c r="CX464" s="2" t="e">
        <f ca="1">_xll.BDH($C$453,"ACCT_RCV_DAYS","FQ1 2016","FQ1 2016","Currency=INR","Period=FQ","BEST_FPERIOD_OVERRIDE=FQ","FILING_STATUS=OR","EQY_CONSOLIDATED=Y","FA_ADJUSTED=GAAP","Sort=A","Dates=H","DateFormat=P","Fill=—","Direction=H","UseDPDF=Y")</f>
        <v>#NAME?</v>
      </c>
      <c r="CY464" s="4" t="e">
        <f ca="1">_xll.BDH($C$453,"INVENT_TURN","FQ1 2016","FQ1 2016","Currency=INR","Period=FQ","BEST_FPERIOD_OVERRIDE=FQ","FILING_STATUS=OR","EQY_CONSOLIDATED=Y","FA_ADJUSTED=GAAP","Sort=A","Dates=H","DateFormat=P","Fill=—","Direction=H","UseDPDF=Y")</f>
        <v>#NAME?</v>
      </c>
      <c r="CZ464" s="2" t="e">
        <f ca="1">_xll.BDH($C$453,"INVENT_DAYS","FQ1 2016","FQ1 2016","Currency=INR","Period=FQ","BEST_FPERIOD_OVERRIDE=FQ","FILING_STATUS=OR","EQY_CONSOLIDATED=Y","FA_ADJUSTED=GAAP","Sort=A","Dates=H","DateFormat=P","Fill=—","Direction=H","UseDPDF=Y")</f>
        <v>#NAME?</v>
      </c>
      <c r="DA464" s="4" t="e">
        <f ca="1">_xll.BDH($C$453,"ACCOUNTS_PAYABLE_TURNOVER","FQ1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464" s="2" t="e">
        <f ca="1">_xll.BDH($C$453,"ACCOUNTS_PAYABLE_TURNOVER_DAYS","FQ1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464" s="4" t="e">
        <f ca="1">_xll.BDH($C$453,"CASH_CONVERSION_CYCLE","FQ1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464" s="4" t="e">
        <f ca="1">_xll.BDH($C$453,"INV_TO_CASH_DAYS","FQ1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464" s="5" t="e">
        <f ca="1">_xll.BDH($C$453,"BS_INVENTORIES","FQ1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464" s="3" t="e">
        <f ca="1">_xll.BDH($C$453,"INVTRY_RAW_MATERIALS","FQ1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464" s="3" t="e">
        <f ca="1">_xll.BDH($C$453,"INVTRY_IN_PROGRESS","FQ1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464" s="3" t="e">
        <f ca="1">_xll.BDH($C$453,"INVTRY_FINISHED_GOODS","FQ1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464" s="3" t="e">
        <f ca="1">_xll.BDH($C$453,"BS_OTHER_INV","FQ1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465" spans="1:113" x14ac:dyDescent="0.3">
      <c r="A465" s="6"/>
      <c r="B465" s="6"/>
      <c r="C465" s="6"/>
      <c r="D465" s="6"/>
      <c r="E465" t="s">
        <v>79</v>
      </c>
      <c r="F465" t="e">
        <f ca="1">_xll.BDH($C$453,"RETURN_COM_EQY","FQ2 2016","FQ2 2016","Currency=INR","Period=FQ","BEST_FPERIOD_OVERRIDE=FQ","FILING_STATUS=OR","EQY_CONSOLIDATED=Y","FA_ADJUSTED=GAAP","Sort=A","Dates=H","DateFormat=P","Fill=—","Direction=H","UseDPDF=Y")</f>
        <v>#NAME?</v>
      </c>
      <c r="G465" t="e">
        <f ca="1">_xll.BDH($C$453,"RETURN_ON_ASSET","FQ2 2016","FQ2 2016","Currency=INR","Period=FQ","BEST_FPERIOD_OVERRIDE=FQ","FILING_STATUS=OR","EQY_CONSOLIDATED=Y","FA_ADJUSTED=GAAP","Sort=A","Dates=H","DateFormat=P","Fill=—","Direction=H","UseDPDF=Y")</f>
        <v>#NAME?</v>
      </c>
      <c r="H465" t="e">
        <f ca="1">_xll.BDH($C$453,"RETURN_ON_CAP","FQ2 2016","FQ2 2016","Currency=INR","Period=FQ","BEST_FPERIOD_OVERRIDE=FQ","FILING_STATUS=OR","EQY_CONSOLIDATED=Y","FA_ADJUSTED=GAAP","Sort=A","Dates=H","DateFormat=P","Fill=—","Direction=H","UseDPDF=Y")</f>
        <v>#NAME?</v>
      </c>
      <c r="I465" t="e">
        <f ca="1">_xll.BDH($C$453,"RETURN_ON_INV_CAPITAL","FQ2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465" t="e">
        <f ca="1">_xll.BDH($C$453,"EBITDA_TO_REVENUE","FQ2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465" t="e">
        <f ca="1">_xll.BDH($C$453,"OPER_MARGIN","FQ2 2016","FQ2 2016","Currency=INR","Period=FQ","BEST_FPERIOD_OVERRIDE=FQ","FILING_STATUS=OR","EQY_CONSOLIDATED=Y","FA_ADJUSTED=GAAP","Sort=A","Dates=H","DateFormat=P","Fill=—","Direction=H","UseDPDF=Y")</f>
        <v>#NAME?</v>
      </c>
      <c r="L465" t="e">
        <f ca="1">_xll.BDH($C$453,"INCREMENTAL_OPERATING_MARGIN","FQ2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465" t="e">
        <f ca="1">_xll.BDH($C$453,"PRETAX_INC_TO_NET_SALES","FQ2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465" t="e">
        <f ca="1">_xll.BDH($C$453,"INC_BEF_XO_ITEMS_TO_NET_SALES","FQ2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465" t="e">
        <f ca="1">_xll.BDH($C$453,"PROF_MARGIN","FQ2 2016","FQ2 2016","Currency=INR","Period=FQ","BEST_FPERIOD_OVERRIDE=FQ","FILING_STATUS=OR","EQY_CONSOLIDATED=Y","FA_ADJUSTED=GAAP","Sort=A","Dates=H","DateFormat=P","Fill=—","Direction=H","UseDPDF=Y")</f>
        <v>#NAME?</v>
      </c>
      <c r="P465" t="e">
        <f ca="1">_xll.BDH($C$453,"NET_INCOME_TO_COMMON_MARGIN","FQ2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465" t="e">
        <f ca="1">_xll.BDH($C$453,"EFF_TAX_RATE","FQ2 2016","FQ2 2016","Currency=INR","Period=FQ","BEST_FPERIOD_OVERRIDE=FQ","FILING_STATUS=OR","EQY_CONSOLIDATED=Y","FA_ADJUSTED=GAAP","Sort=A","Dates=H","DateFormat=P","Fill=—","Direction=H","UseDPDF=Y")</f>
        <v>#NAME?</v>
      </c>
      <c r="R465" t="e">
        <f ca="1">_xll.BDH($C$453,"DVD_PAYOUT_RATIO","FQ2 2016","FQ2 2016","Currency=INR","Period=FQ","BEST_FPERIOD_OVERRIDE=FQ","FILING_STATUS=OR","EQY_CONSOLIDATED=Y","FA_ADJUSTED=GAAP","Sort=A","Dates=H","DateFormat=P","Fill=—","Direction=H","UseDPDF=Y")</f>
        <v>#NAME?</v>
      </c>
      <c r="S465" t="e">
        <f ca="1">_xll.BDH($C$453,"SUSTAIN_GROWTH_RT","FQ2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465" s="2" t="e">
        <f ca="1">_xll.BDH($C$453,"SALES_GROWTH","FQ2 2016","FQ2 2016","Currency=INR","Period=FQ","BEST_FPERIOD_OVERRIDE=FQ","FILING_STATUS=OR","EQY_CONSOLIDATED=Y","FA_ADJUSTED=GAAP","Sort=A","Dates=H","DateFormat=P","Fill=—","Direction=H","UseDPDF=Y")</f>
        <v>#NAME?</v>
      </c>
      <c r="U465" s="2" t="e">
        <f ca="1">_xll.BDH($C$453,"EBITDA_GROWTH","FQ2 2016","FQ2 2016","Currency=INR","Period=FQ","BEST_FPERIOD_OVERRIDE=FQ","FILING_STATUS=OR","EQY_CONSOLIDATED=Y","FA_ADJUSTED=GAAP","Sort=A","Dates=H","DateFormat=P","Fill=—","Direction=H","UseDPDF=Y")</f>
        <v>#NAME?</v>
      </c>
      <c r="V465" s="2" t="e">
        <f ca="1">_xll.BDH($C$453,"OPER_INC_GROWTH","FQ2 2016","FQ2 2016","Currency=INR","Period=FQ","BEST_FPERIOD_OVERRIDE=FQ","FILING_STATUS=OR","EQY_CONSOLIDATED=Y","FA_ADJUSTED=GAAP","Sort=A","Dates=H","DateFormat=P","Fill=—","Direction=H","UseDPDF=Y")</f>
        <v>#NAME?</v>
      </c>
      <c r="W465" s="2" t="e">
        <f ca="1">_xll.BDH($C$453,"EARN_FOR_COM_GROWTH","FQ2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465" s="2" t="e">
        <f ca="1">_xll.BDH($C$453,"DILUTED_EPS_AFT_XO_ITEMS_GROWTH","FQ2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465" s="2" t="e">
        <f ca="1">_xll.BDH($C$453,"DIVIDEND_PER_SHARE_1_YEAR_GROWTH","FQ2 2016","FQ2 2016","Currency=INR","Period=FQ","BEST_FPERIOD_OVERRIDE=FQ","FILING_STATUS=OR","EQY_CONSOLIDATED=Y","Sort=A","Dates=H","DateFormat=P","Fill=—","Direction=H","UseDPDF=Y")</f>
        <v>#NAME?</v>
      </c>
      <c r="Z465" s="2" t="e">
        <f ca="1">_xll.BDH($C$453,"ACCOUNTS_RECEIVABLE_GROWTH","FQ2 2016","FQ2 2016","Currency=INR","Period=FQ","BEST_FPERIOD_OVERRIDE=FQ","FILING_STATUS=OR","EQY_CONSOLIDATED=Y","Sort=A","Dates=H","DateFormat=P","Fill=—","Direction=H","UseDPDF=Y")</f>
        <v>#NAME?</v>
      </c>
      <c r="AA465" s="2" t="e">
        <f ca="1">_xll.BDH($C$453,"INVENTORY_GROWTH","FQ2 2016","FQ2 2016","Currency=INR","Period=FQ","BEST_FPERIOD_OVERRIDE=FQ","FILING_STATUS=OR","EQY_CONSOLIDATED=Y","Sort=A","Dates=H","DateFormat=P","Fill=—","Direction=H","UseDPDF=Y")</f>
        <v>#NAME?</v>
      </c>
      <c r="AB465" s="2" t="e">
        <f ca="1">_xll.BDH($C$453,"NET_FIXED_ASSETS_1_YEAR_GROWTH","FQ2 2016","FQ2 2016","Currency=INR","Period=FQ","BEST_FPERIOD_OVERRIDE=FQ","FILING_STATUS=OR","EQY_CONSOLIDATED=Y","Sort=A","Dates=H","DateFormat=P","Fill=—","Direction=H","UseDPDF=Y")</f>
        <v>#NAME?</v>
      </c>
      <c r="AC465" s="2" t="e">
        <f ca="1">_xll.BDH($C$453,"ASSET_GROWTH","FQ2 2016","FQ2 2016","Currency=INR","Period=FQ","BEST_FPERIOD_OVERRIDE=FQ","FILING_STATUS=OR","EQY_CONSOLIDATED=Y","Sort=A","Dates=H","DateFormat=P","Fill=—","Direction=H","UseDPDF=Y")</f>
        <v>#NAME?</v>
      </c>
      <c r="AD465" s="2" t="e">
        <f ca="1">_xll.BDH($C$453,"MODIFIED_WORK_CAP_GROWTH","FQ2 2016","FQ2 2016","Currency=INR","Period=FQ","BEST_FPERIOD_OVERRIDE=FQ","FILING_STATUS=OR","EQY_CONSOLIDATED=Y","Sort=A","Dates=H","DateFormat=P","Fill=—","Direction=H","UseDPDF=Y")</f>
        <v>#NAME?</v>
      </c>
      <c r="AE465" s="2" t="e">
        <f ca="1">_xll.BDH($C$453,"WORK_CAP_GROWTH","FQ2 2016","FQ2 2016","Currency=INR","Period=FQ","BEST_FPERIOD_OVERRIDE=FQ","FILING_STATUS=OR","EQY_CONSOLIDATED=Y","Sort=A","Dates=H","DateFormat=P","Fill=—","Direction=H","UseDPDF=Y")</f>
        <v>#NAME?</v>
      </c>
      <c r="AF465" s="2" t="e">
        <f ca="1">_xll.BDH($C$453,"ACCOUNTS_PAYABLE_GROWTH_1YR","FQ2 2016","FQ2 2016","Currency=INR","Period=FQ","BEST_FPERIOD_OVERRIDE=FQ","FILING_STATUS=OR","EQY_CONSOLIDATED=Y","Sort=A","Dates=H","DateFormat=P","Fill=—","Direction=H","UseDPDF=Y")</f>
        <v>#NAME?</v>
      </c>
      <c r="AG465" s="2" t="e">
        <f ca="1">_xll.BDH($C$453,"SHORT_TERM_DEBT_1_YEAR_GROWTH","FQ2 2016","FQ2 2016","Currency=INR","Period=FQ","BEST_FPERIOD_OVERRIDE=FQ","FILING_STATUS=OR","EQY_CONSOLIDATED=Y","Sort=A","Dates=H","DateFormat=P","Fill=—","Direction=H","UseDPDF=Y")</f>
        <v>#NAME?</v>
      </c>
      <c r="AH465" s="2" t="e">
        <f ca="1">_xll.BDH($C$453,"TOTAL_DEBT_1_YEAR_GROWTH","FQ2 2016","FQ2 2016","Currency=INR","Period=FQ","BEST_FPERIOD_OVERRIDE=FQ","FILING_STATUS=OR","EQY_CONSOLIDATED=Y","Sort=A","Dates=H","DateFormat=P","Fill=—","Direction=H","UseDPDF=Y")</f>
        <v>#NAME?</v>
      </c>
      <c r="AI465" s="2" t="e">
        <f ca="1">_xll.BDH($C$453,"TOTAL_EQUITY_1_YEAR_GROWTH","FQ2 2016","FQ2 2016","Currency=INR","Period=FQ","BEST_FPERIOD_OVERRIDE=FQ","FILING_STATUS=OR","EQY_CONSOLIDATED=Y","Sort=A","Dates=H","DateFormat=P","Fill=—","Direction=H","UseDPDF=Y")</f>
        <v>#NAME?</v>
      </c>
      <c r="AJ465" s="2" t="e">
        <f ca="1">_xll.BDH($C$453,"GROWTH_IN_CAP","FQ2 2016","FQ2 2016","Currency=INR","Period=FQ","BEST_FPERIOD_OVERRIDE=FQ","FILING_STATUS=OR","EQY_CONSOLIDATED=Y","Sort=A","Dates=H","DateFormat=P","Fill=—","Direction=H","UseDPDF=Y")</f>
        <v>#NAME?</v>
      </c>
      <c r="AK465" s="2" t="e">
        <f ca="1">_xll.BDH($C$453,"BVPS_GROWTH","FQ2 2016","FQ2 2016","Currency=INR","Period=FQ","BEST_FPERIOD_OVERRIDE=FQ","FILING_STATUS=OR","EQY_CONSOLIDATED=Y","Sort=A","Dates=H","DateFormat=P","Fill=—","Direction=H","UseDPDF=Y")</f>
        <v>#NAME?</v>
      </c>
      <c r="AL465" s="2" t="e">
        <f ca="1">_xll.BDH($C$453,"CASH_FLOW_GROWTH","FQ2 2016","FQ2 2016","Currency=INR","Period=FQ","BEST_FPERIOD_OVERRIDE=FQ","FILING_STATUS=OR","EQY_CONSOLIDATED=Y","Sort=A","Dates=H","DateFormat=P","Fill=—","Direction=H","UseDPDF=Y")</f>
        <v>#NAME?</v>
      </c>
      <c r="AM465" s="2" t="e">
        <f ca="1">_xll.BDH($C$453,"GEO_GROW_NET_SALES","FQ2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465" s="2" t="e">
        <f ca="1">_xll.BDH($C$453,"GEO_GROW_EBITDA","FQ2 2016","FQ2 2016","Currency=INR","Period=FQ","BEST_FPERIOD_OVERRIDE=FQ","FILING_STATUS=OR","EQY_CONSOLIDATED=Y","FA_ADJUSTED=GAAP","Sort=A","Dates=H","DateFormat=P","Fill=—","Direction=H","UseDPDF=Y")</f>
        <v>#NAME?</v>
      </c>
      <c r="AO465" s="2" t="e">
        <f ca="1">_xll.BDH($C$453,"GEO_GROW_OPER_INC","FQ2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465" s="2" t="e">
        <f ca="1">_xll.BDH($C$453,"NET_INCOME_TO_COMMON_5_YR_GROWTH","FQ2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465" s="2" t="e">
        <f ca="1">_xll.BDH($C$453,"5Y_GEO_GROWTH_DILUTED_EPS","FQ2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465" s="2" t="e">
        <f ca="1">_xll.BDH($C$453,"GEO_GROW_DVD_PER_SH","FQ2 2016","FQ2 2016","Currency=INR","Period=FQ","BEST_FPERIOD_OVERRIDE=FQ","FILING_STATUS=OR","EQY_CONSOLIDATED=Y","Sort=A","Dates=H","DateFormat=P","Fill=—","Direction=H","UseDPDF=Y")</f>
        <v>#NAME?</v>
      </c>
      <c r="AS465" s="2" t="e">
        <f ca="1">_xll.BDH($C$453,"ACCOUNTS_RECEIVABLE_5_YR_GROWTH","FQ2 2016","FQ2 2016","Currency=INR","Period=FQ","BEST_FPERIOD_OVERRIDE=FQ","FILING_STATUS=OR","EQY_CONSOLIDATED=Y","Sort=A","Dates=H","DateFormat=P","Fill=—","Direction=H","UseDPDF=Y")</f>
        <v>#NAME?</v>
      </c>
      <c r="AT465" s="2" t="e">
        <f ca="1">_xll.BDH($C$453,"INVENTORY_5_YEAR_GROWTH","FQ2 2016","FQ2 2016","Currency=INR","Period=FQ","BEST_FPERIOD_OVERRIDE=FQ","FILING_STATUS=OR","EQY_CONSOLIDATED=Y","Sort=A","Dates=H","DateFormat=P","Fill=—","Direction=H","UseDPDF=Y")</f>
        <v>#NAME?</v>
      </c>
      <c r="AU465" s="2" t="e">
        <f ca="1">_xll.BDH($C$453,"NET_FIXED_ASSETS_5_YEAR_GROWTH","FQ2 2016","FQ2 2016","Currency=INR","Period=FQ","BEST_FPERIOD_OVERRIDE=FQ","FILING_STATUS=OR","EQY_CONSOLIDATED=Y","Sort=A","Dates=H","DateFormat=P","Fill=—","Direction=H","UseDPDF=Y")</f>
        <v>#NAME?</v>
      </c>
      <c r="AV465" s="2" t="e">
        <f ca="1">_xll.BDH($C$453,"GEO_GROW_TOT_ASSET","FQ2 2016","FQ2 2016","Currency=INR","Period=FQ","BEST_FPERIOD_OVERRIDE=FQ","FILING_STATUS=OR","EQY_CONSOLIDATED=Y","Sort=A","Dates=H","DateFormat=P","Fill=—","Direction=H","UseDPDF=Y")</f>
        <v>#NAME?</v>
      </c>
      <c r="AW465" s="2" t="e">
        <f ca="1">_xll.BDH($C$453,"MODIFIED_WORKING_CPTL_5YR_GRWTH","FQ2 2016","FQ2 2016","Currency=INR","Period=FQ","BEST_FPERIOD_OVERRIDE=FQ","FILING_STATUS=OR","EQY_CONSOLIDATED=Y","Sort=A","Dates=H","DateFormat=P","Fill=—","Direction=H","UseDPDF=Y")</f>
        <v>#NAME?</v>
      </c>
      <c r="AX465" s="2" t="e">
        <f ca="1">_xll.BDH($C$453,"WORKING_CAPITAL_5_YEAR_GROWTH","FQ2 2016","FQ2 2016","Currency=INR","Period=FQ","BEST_FPERIOD_OVERRIDE=FQ","FILING_STATUS=OR","EQY_CONSOLIDATED=Y","Sort=A","Dates=H","DateFormat=P","Fill=—","Direction=H","UseDPDF=Y")</f>
        <v>#NAME?</v>
      </c>
      <c r="AY465" s="2" t="e">
        <f ca="1">_xll.BDH($C$453,"ACCOUNTS_PAYABLE_5_YEAR_GROWTH","FQ2 2016","FQ2 2016","Currency=INR","Period=FQ","BEST_FPERIOD_OVERRIDE=FQ","FILING_STATUS=OR","EQY_CONSOLIDATED=Y","Sort=A","Dates=H","DateFormat=P","Fill=—","Direction=H","UseDPDF=Y")</f>
        <v>#NAME?</v>
      </c>
      <c r="AZ465" s="2" t="e">
        <f ca="1">_xll.BDH($C$453,"SHORT_TERM_DEBT_5_YEAR_GROWTH","FQ2 2016","FQ2 2016","Currency=INR","Period=FQ","BEST_FPERIOD_OVERRIDE=FQ","FILING_STATUS=OR","EQY_CONSOLIDATED=Y","Sort=A","Dates=H","DateFormat=P","Fill=—","Direction=H","UseDPDF=Y")</f>
        <v>#NAME?</v>
      </c>
      <c r="BA465" s="2" t="e">
        <f ca="1">_xll.BDH($C$453,"TOTAL_DEBT_5_YEAR_GROWTH","FQ2 2016","FQ2 2016","Currency=INR","Period=FQ","BEST_FPERIOD_OVERRIDE=FQ","FILING_STATUS=OR","EQY_CONSOLIDATED=Y","Sort=A","Dates=H","DateFormat=P","Fill=—","Direction=H","UseDPDF=Y")</f>
        <v>#NAME?</v>
      </c>
      <c r="BB465" s="2" t="e">
        <f ca="1">_xll.BDH($C$453,"GEO_GROW_TOT_SHRHLDR_EQY","FQ2 2016","FQ2 2016","Currency=INR","Period=FQ","BEST_FPERIOD_OVERRIDE=FQ","FILING_STATUS=OR","EQY_CONSOLIDATED=Y","Sort=A","Dates=H","DateFormat=P","Fill=—","Direction=H","UseDPDF=Y")</f>
        <v>#NAME?</v>
      </c>
      <c r="BC465" s="2" t="e">
        <f ca="1">_xll.BDH($C$453,"TOTAL_CAPITAL_5_YEAR_GROWTH","FQ2 2016","FQ2 2016","Currency=INR","Period=FQ","BEST_FPERIOD_OVERRIDE=FQ","FILING_STATUS=OR","EQY_CONSOLIDATED=Y","Sort=A","Dates=H","DateFormat=P","Fill=—","Direction=H","UseDPDF=Y")</f>
        <v>#NAME?</v>
      </c>
      <c r="BD465" s="2" t="e">
        <f ca="1">_xll.BDH($C$453,"GEO_GROW_BOOK_VAL","FQ2 2016","FQ2 2016","Currency=INR","Period=FQ","BEST_FPERIOD_OVERRIDE=FQ","FILING_STATUS=OR","EQY_CONSOLIDATED=Y","Sort=A","Dates=H","DateFormat=P","Fill=—","Direction=H","UseDPDF=Y")</f>
        <v>#NAME?</v>
      </c>
      <c r="BE465" s="2" t="e">
        <f ca="1">_xll.BDH($C$453,"GEO_GROW_CASH_OPER_ACT","FQ2 2016","FQ2 2016","Currency=INR","Period=FQ","BEST_FPERIOD_OVERRIDE=FQ","FILING_STATUS=OR","EQY_CONSOLIDATED=Y","Sort=A","Dates=H","DateFormat=P","Fill=—","Direction=H","UseDPDF=Y")</f>
        <v>#NAME?</v>
      </c>
      <c r="BF465" s="2" t="e">
        <f ca="1">_xll.BDH($C$453,"REVENUE_SEQUENTIAL_GROWTH","FQ2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465" s="2" t="e">
        <f ca="1">_xll.BDH($C$453,"EBITDA_SEQUENTIAL_GROWTH","FQ2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465" s="2" t="e">
        <f ca="1">_xll.BDH($C$453,"OPERATING_INCOME_SEQ_GROWTH","FQ2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465" s="2" t="e">
        <f ca="1">_xll.BDH($C$453,"NET_INCOME_TO_COMMON_SEQ_GROWTH","FQ2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465" s="2" t="e">
        <f ca="1">_xll.BDH($C$453,"EPS_DILUTED_SEQUENTIAL_GROWTH","FQ2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465" s="2" t="e">
        <f ca="1">_xll.BDH($C$453,"DPS_SEQUENTIAL_GROWTH","FQ2 2016","FQ2 2016","Currency=INR","Period=FQ","BEST_FPERIOD_OVERRIDE=FQ","FILING_STATUS=OR","EQY_CONSOLIDATED=Y","Sort=A","Dates=H","DateFormat=P","Fill=—","Direction=H","UseDPDF=Y")</f>
        <v>#NAME?</v>
      </c>
      <c r="BL465" s="2" t="e">
        <f ca="1">_xll.BDH($C$453,"ACCOUNTS_RECEIVABLE_SEQ_GROWTH","FQ2 2016","FQ2 2016","Currency=INR","Period=FQ","BEST_FPERIOD_OVERRIDE=FQ","FILING_STATUS=OR","EQY_CONSOLIDATED=Y","Sort=A","Dates=H","DateFormat=P","Fill=—","Direction=H","UseDPDF=Y")</f>
        <v>#NAME?</v>
      </c>
      <c r="BM465" s="2" t="e">
        <f ca="1">_xll.BDH($C$453,"INVENTORY_SEQUENTIAL_GROWTH","FQ2 2016","FQ2 2016","Currency=INR","Period=FQ","BEST_FPERIOD_OVERRIDE=FQ","FILING_STATUS=OR","EQY_CONSOLIDATED=Y","Sort=A","Dates=H","DateFormat=P","Fill=—","Direction=H","UseDPDF=Y")</f>
        <v>#NAME?</v>
      </c>
      <c r="BN465" s="2" t="e">
        <f ca="1">_xll.BDH($C$453,"FIXED_ASSETS_SEQUENTIAL_GROWTH","FQ2 2016","FQ2 2016","Currency=INR","Period=FQ","BEST_FPERIOD_OVERRIDE=FQ","FILING_STATUS=OR","EQY_CONSOLIDATED=Y","Sort=A","Dates=H","DateFormat=P","Fill=—","Direction=H","UseDPDF=Y")</f>
        <v>#NAME?</v>
      </c>
      <c r="BO465" s="2" t="e">
        <f ca="1">_xll.BDH($C$453,"TOTAL_ASSETS_SEQUENTIAL_GROWTH","FQ2 2016","FQ2 2016","Currency=INR","Period=FQ","BEST_FPERIOD_OVERRIDE=FQ","FILING_STATUS=OR","EQY_CONSOLIDATED=Y","Sort=A","Dates=H","DateFormat=P","Fill=—","Direction=H","UseDPDF=Y")</f>
        <v>#NAME?</v>
      </c>
      <c r="BP465" s="2" t="e">
        <f ca="1">_xll.BDH($C$453,"MODIFIED_WORKING_CPTL_SEQ_GRWTH","FQ2 2016","FQ2 2016","Currency=INR","Period=FQ","BEST_FPERIOD_OVERRIDE=FQ","FILING_STATUS=OR","EQY_CONSOLIDATED=Y","Sort=A","Dates=H","DateFormat=P","Fill=—","Direction=H","UseDPDF=Y")</f>
        <v>#NAME?</v>
      </c>
      <c r="BQ465" s="2" t="e">
        <f ca="1">_xll.BDH($C$453,"WORKING_CAPITAL_SEQ_GROWTH","FQ2 2016","FQ2 2016","Currency=INR","Period=FQ","BEST_FPERIOD_OVERRIDE=FQ","FILING_STATUS=OR","EQY_CONSOLIDATED=Y","Sort=A","Dates=H","DateFormat=P","Fill=—","Direction=H","UseDPDF=Y")</f>
        <v>#NAME?</v>
      </c>
      <c r="BR465" s="2" t="e">
        <f ca="1">_xll.BDH($C$453,"ACCOUNTS_PAYABLE_SEQ_GROWTH","FQ2 2016","FQ2 2016","Currency=INR","Period=FQ","BEST_FPERIOD_OVERRIDE=FQ","FILING_STATUS=OR","EQY_CONSOLIDATED=Y","Sort=A","Dates=H","DateFormat=P","Fill=—","Direction=H","UseDPDF=Y")</f>
        <v>#NAME?</v>
      </c>
      <c r="BS465" s="2" t="e">
        <f ca="1">_xll.BDH($C$453,"ST_DEBT_SEQUENTIAL_GROWTH","FQ2 2016","FQ2 2016","Currency=INR","Period=FQ","BEST_FPERIOD_OVERRIDE=FQ","FILING_STATUS=OR","EQY_CONSOLIDATED=Y","Sort=A","Dates=H","DateFormat=P","Fill=—","Direction=H","UseDPDF=Y")</f>
        <v>#NAME?</v>
      </c>
      <c r="BT465" s="2" t="e">
        <f ca="1">_xll.BDH($C$453,"TOTAL_DEBT_SEQUENTIAL_GROWTH","FQ2 2016","FQ2 2016","Currency=INR","Period=FQ","BEST_FPERIOD_OVERRIDE=FQ","FILING_STATUS=OR","EQY_CONSOLIDATED=Y","Sort=A","Dates=H","DateFormat=P","Fill=—","Direction=H","UseDPDF=Y")</f>
        <v>#NAME?</v>
      </c>
      <c r="BU465" s="2" t="e">
        <f ca="1">_xll.BDH($C$453,"TOTAL_EQUITY_SEQUENTIAL_GROWTH","FQ2 2016","FQ2 2016","Currency=INR","Period=FQ","BEST_FPERIOD_OVERRIDE=FQ","FILING_STATUS=OR","EQY_CONSOLIDATED=Y","Sort=A","Dates=H","DateFormat=P","Fill=—","Direction=H","UseDPDF=Y")</f>
        <v>#NAME?</v>
      </c>
      <c r="BV465" s="2" t="e">
        <f ca="1">_xll.BDH($C$453,"TOTAL_CAPITAL_SEQUENTIAL_GROWTH","FQ2 2016","FQ2 2016","Currency=INR","Period=FQ","BEST_FPERIOD_OVERRIDE=FQ","FILING_STATUS=OR","EQY_CONSOLIDATED=Y","Sort=A","Dates=H","DateFormat=P","Fill=—","Direction=H","UseDPDF=Y")</f>
        <v>#NAME?</v>
      </c>
      <c r="BW465" s="2" t="e">
        <f ca="1">_xll.BDH($C$453,"BPS_SEQUENTIAL_GROWTH","FQ2 2016","FQ2 2016","Currency=INR","Period=FQ","BEST_FPERIOD_OVERRIDE=FQ","FILING_STATUS=OR","EQY_CONSOLIDATED=Y","Sort=A","Dates=H","DateFormat=P","Fill=—","Direction=H","UseDPDF=Y")</f>
        <v>#NAME?</v>
      </c>
      <c r="BX465" s="2" t="e">
        <f ca="1">_xll.BDH($C$453,"CFO_SEQUENTIAL_GROWTH","FQ2 2016","FQ2 2016","Currency=INR","Period=FQ","BEST_FPERIOD_OVERRIDE=FQ","FILING_STATUS=OR","EQY_CONSOLIDATED=Y","Sort=A","Dates=H","DateFormat=P","Fill=—","Direction=H","UseDPDF=Y")</f>
        <v>#NAME?</v>
      </c>
      <c r="BY465" s="3" t="e">
        <f ca="1">_xll.BDH($C$453,"SHORT_AND_LONG_TERM_DEBT","FQ2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465" s="3" t="e">
        <f ca="1">_xll.BDH($C$453,"BS_ST_BORROW","FQ2 2016","FQ2 2016","Currency=INR","Period=FQ","BEST_FPERIOD_OVERRIDE=FQ","FILING_STATUS=OR","EQY_CONSOLIDATED=Y","SCALING_FORMAT=MLN","Sort=A","Dates=H","DateFormat=P","Fill=—","Direction=H","UseDPDF=Y")</f>
        <v>#NAME?</v>
      </c>
      <c r="CA465" s="3" t="e">
        <f ca="1">_xll.BDH($C$453,"BS_LT_BORROW","FQ2 2016","FQ2 2016","Currency=INR","Period=FQ","BEST_FPERIOD_OVERRIDE=FQ","FILING_STATUS=OR","EQY_CONSOLIDATED=Y","SCALING_FORMAT=MLN","Sort=A","Dates=H","DateFormat=P","Fill=—","Direction=H","UseDPDF=Y")</f>
        <v>#NAME?</v>
      </c>
      <c r="CB465" s="2" t="e">
        <f ca="1">_xll.BDH($C$453,"TOT_DEBT_TO_EBITDA","FQ2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465" s="2" t="e">
        <f ca="1">_xll.BDH($C$453,"NET_DEBT_TO_EBITDA","FQ2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465" s="2" t="e">
        <f ca="1">_xll.BDH($C$453,"TOTAL_DEBT_TO_EBIT","FQ2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465" s="2" t="e">
        <f ca="1">_xll.BDH($C$453,"NET_DEBT_TO_EBIT","FQ2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465" s="2" t="e">
        <f ca="1">_xll.BDH($C$453,"EBITDA_TO_INTEREST_EXPN","FQ2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465" s="2" t="e">
        <f ca="1">_xll.BDH($C$453,"COM_EQY_TO_TOT_ASSET","FQ2 2016","FQ2 2016","Currency=INR","Period=FQ","BEST_FPERIOD_OVERRIDE=FQ","FILING_STATUS=OR","EQY_CONSOLIDATED=Y","Sort=A","Dates=H","DateFormat=P","Fill=—","Direction=H","UseDPDF=Y")</f>
        <v>#NAME?</v>
      </c>
      <c r="CH465" s="2" t="e">
        <f ca="1">_xll.BDH($C$453,"LT_DEBT_TO_TOT_EQY","FQ2 2016","FQ2 2016","Currency=INR","Period=FQ","BEST_FPERIOD_OVERRIDE=FQ","FILING_STATUS=OR","EQY_CONSOLIDATED=Y","Sort=A","Dates=H","DateFormat=P","Fill=—","Direction=H","UseDPDF=Y")</f>
        <v>#NAME?</v>
      </c>
      <c r="CI465" s="2" t="e">
        <f ca="1">_xll.BDH($C$453,"LT_DEBT_TO_TOT_CAP","FQ2 2016","FQ2 2016","Currency=INR","Period=FQ","BEST_FPERIOD_OVERRIDE=FQ","FILING_STATUS=OR","EQY_CONSOLIDATED=Y","Sort=A","Dates=H","DateFormat=P","Fill=—","Direction=H","UseDPDF=Y")</f>
        <v>#NAME?</v>
      </c>
      <c r="CJ465" s="2" t="e">
        <f ca="1">_xll.BDH($C$453,"LT_DEBT_TO_TOT_ASSET","FQ2 2016","FQ2 2016","Currency=INR","Period=FQ","BEST_FPERIOD_OVERRIDE=FQ","FILING_STATUS=OR","EQY_CONSOLIDATED=Y","Sort=A","Dates=H","DateFormat=P","Fill=—","Direction=H","UseDPDF=Y")</f>
        <v>#NAME?</v>
      </c>
      <c r="CK465" s="2" t="e">
        <f ca="1">_xll.BDH($C$453,"TOT_DEBT_TO_TOT_EQY","FQ2 2016","FQ2 2016","Currency=INR","Period=FQ","BEST_FPERIOD_OVERRIDE=FQ","FILING_STATUS=OR","EQY_CONSOLIDATED=Y","Sort=A","Dates=H","DateFormat=P","Fill=—","Direction=H","UseDPDF=Y")</f>
        <v>#NAME?</v>
      </c>
      <c r="CL465" s="2" t="e">
        <f ca="1">_xll.BDH($C$453,"TOT_DEBT_TO_TOT_CAP","FQ2 2016","FQ2 2016","Currency=INR","Period=FQ","BEST_FPERIOD_OVERRIDE=FQ","FILING_STATUS=OR","EQY_CONSOLIDATED=Y","Sort=A","Dates=H","DateFormat=P","Fill=—","Direction=H","UseDPDF=Y")</f>
        <v>#NAME?</v>
      </c>
      <c r="CM465" s="2" t="e">
        <f ca="1">_xll.BDH($C$453,"TOT_DEBT_TO_TOT_ASSET","FQ2 2016","FQ2 2016","Currency=INR","Period=FQ","BEST_FPERIOD_OVERRIDE=FQ","FILING_STATUS=OR","EQY_CONSOLIDATED=Y","Sort=A","Dates=H","DateFormat=P","Fill=—","Direction=H","UseDPDF=Y")</f>
        <v>#NAME?</v>
      </c>
      <c r="CN465" s="2" t="e">
        <f ca="1">_xll.BDH($C$453,"NET_DEBT_TO_SHRHLDR_EQTY","FQ2 2016","FQ2 2016","Currency=INR","Period=FQ","BEST_FPERIOD_OVERRIDE=FQ","FILING_STATUS=OR","EQY_CONSOLIDATED=Y","Sort=A","Dates=H","DateFormat=P","Fill=—","Direction=H","UseDPDF=Y")</f>
        <v>#NAME?</v>
      </c>
      <c r="CO465" s="2" t="e">
        <f ca="1">_xll.BDH($C$453,"NET_DEBT_%_CAPITAL","FQ2 2016","FQ2 2016","Currency=INR","Period=FQ","BEST_FPERIOD_OVERRIDE=FQ","FILING_STATUS=OR","EQY_CONSOLIDATED=Y","Sort=A","Dates=H","DateFormat=P","Fill=—","Direction=H","UseDPDF=Y")</f>
        <v>#NAME?</v>
      </c>
      <c r="CP465" s="3" t="e">
        <f ca="1">_xll.BDH($C$453,"EBITDA","FQ2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465" s="3" t="e">
        <f ca="1">_xll.BDH($C$453,"EBITDA_AFTER_CAPEX","FQ2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465" s="3" t="e">
        <f ca="1">_xll.BDH($C$453,"IS_OPER_INC","FQ2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465" s="2" t="e">
        <f ca="1">_xll.BDH($C$453,"CASH_RATIO","FQ2 2016","FQ2 2016","Currency=INR","Period=FQ","BEST_FPERIOD_OVERRIDE=FQ","FILING_STATUS=OR","EQY_CONSOLIDATED=Y","Sort=A","Dates=H","DateFormat=P","Fill=—","Direction=H","UseDPDF=Y")</f>
        <v>#NAME?</v>
      </c>
      <c r="CT465" s="2" t="e">
        <f ca="1">_xll.BDH($C$453,"CUR_RATIO","FQ2 2016","FQ2 2016","Currency=INR","Period=FQ","BEST_FPERIOD_OVERRIDE=FQ","FILING_STATUS=OR","EQY_CONSOLIDATED=Y","Sort=A","Dates=H","DateFormat=P","Fill=—","Direction=H","UseDPDF=Y")</f>
        <v>#NAME?</v>
      </c>
      <c r="CU465" s="2" t="e">
        <f ca="1">_xll.BDH($C$453,"QUICK_RATIO","FQ2 2016","FQ2 2016","Currency=INR","Period=FQ","BEST_FPERIOD_OVERRIDE=FQ","FILING_STATUS=OR","EQY_CONSOLIDATED=Y","Sort=A","Dates=H","DateFormat=P","Fill=—","Direction=H","UseDPDF=Y")</f>
        <v>#NAME?</v>
      </c>
      <c r="CV465" s="2" t="e">
        <f ca="1">_xll.BDH($C$453,"ALTMAN_Z_SCORE","FQ2 2016","FQ2 2016","Currency=INR","Period=FQ","BEST_FPERIOD_OVERRIDE=FQ","FILING_STATUS=OR","EQY_CONSOLIDATED=Y","Sort=A","Dates=H","DateFormat=P","Fill=—","Direction=H","UseDPDF=Y")</f>
        <v>#NAME?</v>
      </c>
      <c r="CW465" s="4" t="e">
        <f ca="1">_xll.BDH($C$453,"ACCT_RCV_TURN","FQ2 2016","FQ2 2016","Currency=INR","Period=FQ","BEST_FPERIOD_OVERRIDE=FQ","FILING_STATUS=OR","EQY_CONSOLIDATED=Y","FA_ADJUSTED=GAAP","Sort=A","Dates=H","DateFormat=P","Fill=—","Direction=H","UseDPDF=Y")</f>
        <v>#NAME?</v>
      </c>
      <c r="CX465" s="2" t="e">
        <f ca="1">_xll.BDH($C$453,"ACCT_RCV_DAYS","FQ2 2016","FQ2 2016","Currency=INR","Period=FQ","BEST_FPERIOD_OVERRIDE=FQ","FILING_STATUS=OR","EQY_CONSOLIDATED=Y","FA_ADJUSTED=GAAP","Sort=A","Dates=H","DateFormat=P","Fill=—","Direction=H","UseDPDF=Y")</f>
        <v>#NAME?</v>
      </c>
      <c r="CY465" s="4" t="e">
        <f ca="1">_xll.BDH($C$453,"INVENT_TURN","FQ2 2016","FQ2 2016","Currency=INR","Period=FQ","BEST_FPERIOD_OVERRIDE=FQ","FILING_STATUS=OR","EQY_CONSOLIDATED=Y","FA_ADJUSTED=GAAP","Sort=A","Dates=H","DateFormat=P","Fill=—","Direction=H","UseDPDF=Y")</f>
        <v>#NAME?</v>
      </c>
      <c r="CZ465" s="2" t="e">
        <f ca="1">_xll.BDH($C$453,"INVENT_DAYS","FQ2 2016","FQ2 2016","Currency=INR","Period=FQ","BEST_FPERIOD_OVERRIDE=FQ","FILING_STATUS=OR","EQY_CONSOLIDATED=Y","FA_ADJUSTED=GAAP","Sort=A","Dates=H","DateFormat=P","Fill=—","Direction=H","UseDPDF=Y")</f>
        <v>#NAME?</v>
      </c>
      <c r="DA465" s="4" t="e">
        <f ca="1">_xll.BDH($C$453,"ACCOUNTS_PAYABLE_TURNOVER","FQ2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465" s="2" t="e">
        <f ca="1">_xll.BDH($C$453,"ACCOUNTS_PAYABLE_TURNOVER_DAYS","FQ2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465" s="4" t="e">
        <f ca="1">_xll.BDH($C$453,"CASH_CONVERSION_CYCLE","FQ2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465" s="4" t="e">
        <f ca="1">_xll.BDH($C$453,"INV_TO_CASH_DAYS","FQ2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465" s="5" t="e">
        <f ca="1">_xll.BDH($C$453,"BS_INVENTORIES","FQ2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465" s="3" t="e">
        <f ca="1">_xll.BDH($C$453,"INVTRY_RAW_MATERIALS","FQ2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465" s="3" t="e">
        <f ca="1">_xll.BDH($C$453,"INVTRY_IN_PROGRESS","FQ2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465" s="3" t="e">
        <f ca="1">_xll.BDH($C$453,"INVTRY_FINISHED_GOODS","FQ2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465" s="3" t="e">
        <f ca="1">_xll.BDH($C$453,"BS_OTHER_INV","FQ2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466" spans="1:113" x14ac:dyDescent="0.3">
      <c r="A466" s="6"/>
      <c r="B466" s="6"/>
      <c r="C466" s="6"/>
      <c r="D466" s="6"/>
      <c r="E466" t="s">
        <v>80</v>
      </c>
      <c r="F466" t="e">
        <f ca="1">_xll.BDH($C$453,"RETURN_COM_EQY","FQ3 2016","FQ3 2016","Currency=INR","Period=FQ","BEST_FPERIOD_OVERRIDE=FQ","FILING_STATUS=OR","EQY_CONSOLIDATED=Y","FA_ADJUSTED=GAAP","Sort=A","Dates=H","DateFormat=P","Fill=—","Direction=H","UseDPDF=Y")</f>
        <v>#NAME?</v>
      </c>
      <c r="G466" t="e">
        <f ca="1">_xll.BDH($C$453,"RETURN_ON_ASSET","FQ3 2016","FQ3 2016","Currency=INR","Period=FQ","BEST_FPERIOD_OVERRIDE=FQ","FILING_STATUS=OR","EQY_CONSOLIDATED=Y","FA_ADJUSTED=GAAP","Sort=A","Dates=H","DateFormat=P","Fill=—","Direction=H","UseDPDF=Y")</f>
        <v>#NAME?</v>
      </c>
      <c r="H466" t="e">
        <f ca="1">_xll.BDH($C$453,"RETURN_ON_CAP","FQ3 2016","FQ3 2016","Currency=INR","Period=FQ","BEST_FPERIOD_OVERRIDE=FQ","FILING_STATUS=OR","EQY_CONSOLIDATED=Y","FA_ADJUSTED=GAAP","Sort=A","Dates=H","DateFormat=P","Fill=—","Direction=H","UseDPDF=Y")</f>
        <v>#NAME?</v>
      </c>
      <c r="I466" t="e">
        <f ca="1">_xll.BDH($C$453,"RETURN_ON_INV_CAPITAL","FQ3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466" t="e">
        <f ca="1">_xll.BDH($C$453,"EBITDA_TO_REVENUE","FQ3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466" t="e">
        <f ca="1">_xll.BDH($C$453,"OPER_MARGIN","FQ3 2016","FQ3 2016","Currency=INR","Period=FQ","BEST_FPERIOD_OVERRIDE=FQ","FILING_STATUS=OR","EQY_CONSOLIDATED=Y","FA_ADJUSTED=GAAP","Sort=A","Dates=H","DateFormat=P","Fill=—","Direction=H","UseDPDF=Y")</f>
        <v>#NAME?</v>
      </c>
      <c r="L466" t="e">
        <f ca="1">_xll.BDH($C$453,"INCREMENTAL_OPERATING_MARGIN","FQ3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466" t="e">
        <f ca="1">_xll.BDH($C$453,"PRETAX_INC_TO_NET_SALES","FQ3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466" t="e">
        <f ca="1">_xll.BDH($C$453,"INC_BEF_XO_ITEMS_TO_NET_SALES","FQ3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466" t="e">
        <f ca="1">_xll.BDH($C$453,"PROF_MARGIN","FQ3 2016","FQ3 2016","Currency=INR","Period=FQ","BEST_FPERIOD_OVERRIDE=FQ","FILING_STATUS=OR","EQY_CONSOLIDATED=Y","FA_ADJUSTED=GAAP","Sort=A","Dates=H","DateFormat=P","Fill=—","Direction=H","UseDPDF=Y")</f>
        <v>#NAME?</v>
      </c>
      <c r="P466" t="e">
        <f ca="1">_xll.BDH($C$453,"NET_INCOME_TO_COMMON_MARGIN","FQ3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466" t="e">
        <f ca="1">_xll.BDH($C$453,"EFF_TAX_RATE","FQ3 2016","FQ3 2016","Currency=INR","Period=FQ","BEST_FPERIOD_OVERRIDE=FQ","FILING_STATUS=OR","EQY_CONSOLIDATED=Y","FA_ADJUSTED=GAAP","Sort=A","Dates=H","DateFormat=P","Fill=—","Direction=H","UseDPDF=Y")</f>
        <v>#NAME?</v>
      </c>
      <c r="R466" t="e">
        <f ca="1">_xll.BDH($C$453,"DVD_PAYOUT_RATIO","FQ3 2016","FQ3 2016","Currency=INR","Period=FQ","BEST_FPERIOD_OVERRIDE=FQ","FILING_STATUS=OR","EQY_CONSOLIDATED=Y","FA_ADJUSTED=GAAP","Sort=A","Dates=H","DateFormat=P","Fill=—","Direction=H","UseDPDF=Y")</f>
        <v>#NAME?</v>
      </c>
      <c r="S466" t="e">
        <f ca="1">_xll.BDH($C$453,"SUSTAIN_GROWTH_RT","FQ3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466" s="2" t="e">
        <f ca="1">_xll.BDH($C$453,"SALES_GROWTH","FQ3 2016","FQ3 2016","Currency=INR","Period=FQ","BEST_FPERIOD_OVERRIDE=FQ","FILING_STATUS=OR","EQY_CONSOLIDATED=Y","FA_ADJUSTED=GAAP","Sort=A","Dates=H","DateFormat=P","Fill=—","Direction=H","UseDPDF=Y")</f>
        <v>#NAME?</v>
      </c>
      <c r="U466" s="2" t="e">
        <f ca="1">_xll.BDH($C$453,"EBITDA_GROWTH","FQ3 2016","FQ3 2016","Currency=INR","Period=FQ","BEST_FPERIOD_OVERRIDE=FQ","FILING_STATUS=OR","EQY_CONSOLIDATED=Y","FA_ADJUSTED=GAAP","Sort=A","Dates=H","DateFormat=P","Fill=—","Direction=H","UseDPDF=Y")</f>
        <v>#NAME?</v>
      </c>
      <c r="V466" s="2" t="e">
        <f ca="1">_xll.BDH($C$453,"OPER_INC_GROWTH","FQ3 2016","FQ3 2016","Currency=INR","Period=FQ","BEST_FPERIOD_OVERRIDE=FQ","FILING_STATUS=OR","EQY_CONSOLIDATED=Y","FA_ADJUSTED=GAAP","Sort=A","Dates=H","DateFormat=P","Fill=—","Direction=H","UseDPDF=Y")</f>
        <v>#NAME?</v>
      </c>
      <c r="W466" s="2" t="e">
        <f ca="1">_xll.BDH($C$453,"EARN_FOR_COM_GROWTH","FQ3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466" s="2" t="e">
        <f ca="1">_xll.BDH($C$453,"DILUTED_EPS_AFT_XO_ITEMS_GROWTH","FQ3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466" s="2" t="e">
        <f ca="1">_xll.BDH($C$453,"DIVIDEND_PER_SHARE_1_YEAR_GROWTH","FQ3 2016","FQ3 2016","Currency=INR","Period=FQ","BEST_FPERIOD_OVERRIDE=FQ","FILING_STATUS=OR","EQY_CONSOLIDATED=Y","Sort=A","Dates=H","DateFormat=P","Fill=—","Direction=H","UseDPDF=Y")</f>
        <v>#NAME?</v>
      </c>
      <c r="Z466" s="2" t="e">
        <f ca="1">_xll.BDH($C$453,"ACCOUNTS_RECEIVABLE_GROWTH","FQ3 2016","FQ3 2016","Currency=INR","Period=FQ","BEST_FPERIOD_OVERRIDE=FQ","FILING_STATUS=OR","EQY_CONSOLIDATED=Y","Sort=A","Dates=H","DateFormat=P","Fill=—","Direction=H","UseDPDF=Y")</f>
        <v>#NAME?</v>
      </c>
      <c r="AA466" s="2" t="e">
        <f ca="1">_xll.BDH($C$453,"INVENTORY_GROWTH","FQ3 2016","FQ3 2016","Currency=INR","Period=FQ","BEST_FPERIOD_OVERRIDE=FQ","FILING_STATUS=OR","EQY_CONSOLIDATED=Y","Sort=A","Dates=H","DateFormat=P","Fill=—","Direction=H","UseDPDF=Y")</f>
        <v>#NAME?</v>
      </c>
      <c r="AB466" s="2" t="e">
        <f ca="1">_xll.BDH($C$453,"NET_FIXED_ASSETS_1_YEAR_GROWTH","FQ3 2016","FQ3 2016","Currency=INR","Period=FQ","BEST_FPERIOD_OVERRIDE=FQ","FILING_STATUS=OR","EQY_CONSOLIDATED=Y","Sort=A","Dates=H","DateFormat=P","Fill=—","Direction=H","UseDPDF=Y")</f>
        <v>#NAME?</v>
      </c>
      <c r="AC466" s="2" t="e">
        <f ca="1">_xll.BDH($C$453,"ASSET_GROWTH","FQ3 2016","FQ3 2016","Currency=INR","Period=FQ","BEST_FPERIOD_OVERRIDE=FQ","FILING_STATUS=OR","EQY_CONSOLIDATED=Y","Sort=A","Dates=H","DateFormat=P","Fill=—","Direction=H","UseDPDF=Y")</f>
        <v>#NAME?</v>
      </c>
      <c r="AD466" s="2" t="e">
        <f ca="1">_xll.BDH($C$453,"MODIFIED_WORK_CAP_GROWTH","FQ3 2016","FQ3 2016","Currency=INR","Period=FQ","BEST_FPERIOD_OVERRIDE=FQ","FILING_STATUS=OR","EQY_CONSOLIDATED=Y","Sort=A","Dates=H","DateFormat=P","Fill=—","Direction=H","UseDPDF=Y")</f>
        <v>#NAME?</v>
      </c>
      <c r="AE466" s="2" t="e">
        <f ca="1">_xll.BDH($C$453,"WORK_CAP_GROWTH","FQ3 2016","FQ3 2016","Currency=INR","Period=FQ","BEST_FPERIOD_OVERRIDE=FQ","FILING_STATUS=OR","EQY_CONSOLIDATED=Y","Sort=A","Dates=H","DateFormat=P","Fill=—","Direction=H","UseDPDF=Y")</f>
        <v>#NAME?</v>
      </c>
      <c r="AF466" s="2" t="e">
        <f ca="1">_xll.BDH($C$453,"ACCOUNTS_PAYABLE_GROWTH_1YR","FQ3 2016","FQ3 2016","Currency=INR","Period=FQ","BEST_FPERIOD_OVERRIDE=FQ","FILING_STATUS=OR","EQY_CONSOLIDATED=Y","Sort=A","Dates=H","DateFormat=P","Fill=—","Direction=H","UseDPDF=Y")</f>
        <v>#NAME?</v>
      </c>
      <c r="AG466" s="2" t="e">
        <f ca="1">_xll.BDH($C$453,"SHORT_TERM_DEBT_1_YEAR_GROWTH","FQ3 2016","FQ3 2016","Currency=INR","Period=FQ","BEST_FPERIOD_OVERRIDE=FQ","FILING_STATUS=OR","EQY_CONSOLIDATED=Y","Sort=A","Dates=H","DateFormat=P","Fill=—","Direction=H","UseDPDF=Y")</f>
        <v>#NAME?</v>
      </c>
      <c r="AH466" s="2" t="e">
        <f ca="1">_xll.BDH($C$453,"TOTAL_DEBT_1_YEAR_GROWTH","FQ3 2016","FQ3 2016","Currency=INR","Period=FQ","BEST_FPERIOD_OVERRIDE=FQ","FILING_STATUS=OR","EQY_CONSOLIDATED=Y","Sort=A","Dates=H","DateFormat=P","Fill=—","Direction=H","UseDPDF=Y")</f>
        <v>#NAME?</v>
      </c>
      <c r="AI466" s="2" t="e">
        <f ca="1">_xll.BDH($C$453,"TOTAL_EQUITY_1_YEAR_GROWTH","FQ3 2016","FQ3 2016","Currency=INR","Period=FQ","BEST_FPERIOD_OVERRIDE=FQ","FILING_STATUS=OR","EQY_CONSOLIDATED=Y","Sort=A","Dates=H","DateFormat=P","Fill=—","Direction=H","UseDPDF=Y")</f>
        <v>#NAME?</v>
      </c>
      <c r="AJ466" s="2" t="e">
        <f ca="1">_xll.BDH($C$453,"GROWTH_IN_CAP","FQ3 2016","FQ3 2016","Currency=INR","Period=FQ","BEST_FPERIOD_OVERRIDE=FQ","FILING_STATUS=OR","EQY_CONSOLIDATED=Y","Sort=A","Dates=H","DateFormat=P","Fill=—","Direction=H","UseDPDF=Y")</f>
        <v>#NAME?</v>
      </c>
      <c r="AK466" s="2" t="e">
        <f ca="1">_xll.BDH($C$453,"BVPS_GROWTH","FQ3 2016","FQ3 2016","Currency=INR","Period=FQ","BEST_FPERIOD_OVERRIDE=FQ","FILING_STATUS=OR","EQY_CONSOLIDATED=Y","Sort=A","Dates=H","DateFormat=P","Fill=—","Direction=H","UseDPDF=Y")</f>
        <v>#NAME?</v>
      </c>
      <c r="AL466" s="2" t="e">
        <f ca="1">_xll.BDH($C$453,"CASH_FLOW_GROWTH","FQ3 2016","FQ3 2016","Currency=INR","Period=FQ","BEST_FPERIOD_OVERRIDE=FQ","FILING_STATUS=OR","EQY_CONSOLIDATED=Y","Sort=A","Dates=H","DateFormat=P","Fill=—","Direction=H","UseDPDF=Y")</f>
        <v>#NAME?</v>
      </c>
      <c r="AM466" s="2" t="e">
        <f ca="1">_xll.BDH($C$453,"GEO_GROW_NET_SALES","FQ3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466" s="2" t="e">
        <f ca="1">_xll.BDH($C$453,"GEO_GROW_EBITDA","FQ3 2016","FQ3 2016","Currency=INR","Period=FQ","BEST_FPERIOD_OVERRIDE=FQ","FILING_STATUS=OR","EQY_CONSOLIDATED=Y","FA_ADJUSTED=GAAP","Sort=A","Dates=H","DateFormat=P","Fill=—","Direction=H","UseDPDF=Y")</f>
        <v>#NAME?</v>
      </c>
      <c r="AO466" s="2" t="e">
        <f ca="1">_xll.BDH($C$453,"GEO_GROW_OPER_INC","FQ3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466" s="2" t="e">
        <f ca="1">_xll.BDH($C$453,"NET_INCOME_TO_COMMON_5_YR_GROWTH","FQ3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466" s="2" t="e">
        <f ca="1">_xll.BDH($C$453,"5Y_GEO_GROWTH_DILUTED_EPS","FQ3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466" s="2" t="e">
        <f ca="1">_xll.BDH($C$453,"GEO_GROW_DVD_PER_SH","FQ3 2016","FQ3 2016","Currency=INR","Period=FQ","BEST_FPERIOD_OVERRIDE=FQ","FILING_STATUS=OR","EQY_CONSOLIDATED=Y","Sort=A","Dates=H","DateFormat=P","Fill=—","Direction=H","UseDPDF=Y")</f>
        <v>#NAME?</v>
      </c>
      <c r="AS466" s="2" t="e">
        <f ca="1">_xll.BDH($C$453,"ACCOUNTS_RECEIVABLE_5_YR_GROWTH","FQ3 2016","FQ3 2016","Currency=INR","Period=FQ","BEST_FPERIOD_OVERRIDE=FQ","FILING_STATUS=OR","EQY_CONSOLIDATED=Y","Sort=A","Dates=H","DateFormat=P","Fill=—","Direction=H","UseDPDF=Y")</f>
        <v>#NAME?</v>
      </c>
      <c r="AT466" s="2" t="e">
        <f ca="1">_xll.BDH($C$453,"INVENTORY_5_YEAR_GROWTH","FQ3 2016","FQ3 2016","Currency=INR","Period=FQ","BEST_FPERIOD_OVERRIDE=FQ","FILING_STATUS=OR","EQY_CONSOLIDATED=Y","Sort=A","Dates=H","DateFormat=P","Fill=—","Direction=H","UseDPDF=Y")</f>
        <v>#NAME?</v>
      </c>
      <c r="AU466" s="2" t="e">
        <f ca="1">_xll.BDH($C$453,"NET_FIXED_ASSETS_5_YEAR_GROWTH","FQ3 2016","FQ3 2016","Currency=INR","Period=FQ","BEST_FPERIOD_OVERRIDE=FQ","FILING_STATUS=OR","EQY_CONSOLIDATED=Y","Sort=A","Dates=H","DateFormat=P","Fill=—","Direction=H","UseDPDF=Y")</f>
        <v>#NAME?</v>
      </c>
      <c r="AV466" s="2" t="e">
        <f ca="1">_xll.BDH($C$453,"GEO_GROW_TOT_ASSET","FQ3 2016","FQ3 2016","Currency=INR","Period=FQ","BEST_FPERIOD_OVERRIDE=FQ","FILING_STATUS=OR","EQY_CONSOLIDATED=Y","Sort=A","Dates=H","DateFormat=P","Fill=—","Direction=H","UseDPDF=Y")</f>
        <v>#NAME?</v>
      </c>
      <c r="AW466" s="2" t="e">
        <f ca="1">_xll.BDH($C$453,"MODIFIED_WORKING_CPTL_5YR_GRWTH","FQ3 2016","FQ3 2016","Currency=INR","Period=FQ","BEST_FPERIOD_OVERRIDE=FQ","FILING_STATUS=OR","EQY_CONSOLIDATED=Y","Sort=A","Dates=H","DateFormat=P","Fill=—","Direction=H","UseDPDF=Y")</f>
        <v>#NAME?</v>
      </c>
      <c r="AX466" s="2" t="e">
        <f ca="1">_xll.BDH($C$453,"WORKING_CAPITAL_5_YEAR_GROWTH","FQ3 2016","FQ3 2016","Currency=INR","Period=FQ","BEST_FPERIOD_OVERRIDE=FQ","FILING_STATUS=OR","EQY_CONSOLIDATED=Y","Sort=A","Dates=H","DateFormat=P","Fill=—","Direction=H","UseDPDF=Y")</f>
        <v>#NAME?</v>
      </c>
      <c r="AY466" s="2" t="e">
        <f ca="1">_xll.BDH($C$453,"ACCOUNTS_PAYABLE_5_YEAR_GROWTH","FQ3 2016","FQ3 2016","Currency=INR","Period=FQ","BEST_FPERIOD_OVERRIDE=FQ","FILING_STATUS=OR","EQY_CONSOLIDATED=Y","Sort=A","Dates=H","DateFormat=P","Fill=—","Direction=H","UseDPDF=Y")</f>
        <v>#NAME?</v>
      </c>
      <c r="AZ466" s="2" t="e">
        <f ca="1">_xll.BDH($C$453,"SHORT_TERM_DEBT_5_YEAR_GROWTH","FQ3 2016","FQ3 2016","Currency=INR","Period=FQ","BEST_FPERIOD_OVERRIDE=FQ","FILING_STATUS=OR","EQY_CONSOLIDATED=Y","Sort=A","Dates=H","DateFormat=P","Fill=—","Direction=H","UseDPDF=Y")</f>
        <v>#NAME?</v>
      </c>
      <c r="BA466" s="2" t="e">
        <f ca="1">_xll.BDH($C$453,"TOTAL_DEBT_5_YEAR_GROWTH","FQ3 2016","FQ3 2016","Currency=INR","Period=FQ","BEST_FPERIOD_OVERRIDE=FQ","FILING_STATUS=OR","EQY_CONSOLIDATED=Y","Sort=A","Dates=H","DateFormat=P","Fill=—","Direction=H","UseDPDF=Y")</f>
        <v>#NAME?</v>
      </c>
      <c r="BB466" s="2" t="e">
        <f ca="1">_xll.BDH($C$453,"GEO_GROW_TOT_SHRHLDR_EQY","FQ3 2016","FQ3 2016","Currency=INR","Period=FQ","BEST_FPERIOD_OVERRIDE=FQ","FILING_STATUS=OR","EQY_CONSOLIDATED=Y","Sort=A","Dates=H","DateFormat=P","Fill=—","Direction=H","UseDPDF=Y")</f>
        <v>#NAME?</v>
      </c>
      <c r="BC466" s="2" t="e">
        <f ca="1">_xll.BDH($C$453,"TOTAL_CAPITAL_5_YEAR_GROWTH","FQ3 2016","FQ3 2016","Currency=INR","Period=FQ","BEST_FPERIOD_OVERRIDE=FQ","FILING_STATUS=OR","EQY_CONSOLIDATED=Y","Sort=A","Dates=H","DateFormat=P","Fill=—","Direction=H","UseDPDF=Y")</f>
        <v>#NAME?</v>
      </c>
      <c r="BD466" s="2" t="e">
        <f ca="1">_xll.BDH($C$453,"GEO_GROW_BOOK_VAL","FQ3 2016","FQ3 2016","Currency=INR","Period=FQ","BEST_FPERIOD_OVERRIDE=FQ","FILING_STATUS=OR","EQY_CONSOLIDATED=Y","Sort=A","Dates=H","DateFormat=P","Fill=—","Direction=H","UseDPDF=Y")</f>
        <v>#NAME?</v>
      </c>
      <c r="BE466" s="2" t="e">
        <f ca="1">_xll.BDH($C$453,"GEO_GROW_CASH_OPER_ACT","FQ3 2016","FQ3 2016","Currency=INR","Period=FQ","BEST_FPERIOD_OVERRIDE=FQ","FILING_STATUS=OR","EQY_CONSOLIDATED=Y","Sort=A","Dates=H","DateFormat=P","Fill=—","Direction=H","UseDPDF=Y")</f>
        <v>#NAME?</v>
      </c>
      <c r="BF466" s="2" t="e">
        <f ca="1">_xll.BDH($C$453,"REVENUE_SEQUENTIAL_GROWTH","FQ3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466" s="2" t="e">
        <f ca="1">_xll.BDH($C$453,"EBITDA_SEQUENTIAL_GROWTH","FQ3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466" s="2" t="e">
        <f ca="1">_xll.BDH($C$453,"OPERATING_INCOME_SEQ_GROWTH","FQ3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466" s="2" t="e">
        <f ca="1">_xll.BDH($C$453,"NET_INCOME_TO_COMMON_SEQ_GROWTH","FQ3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466" s="2" t="e">
        <f ca="1">_xll.BDH($C$453,"EPS_DILUTED_SEQUENTIAL_GROWTH","FQ3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466" s="2" t="e">
        <f ca="1">_xll.BDH($C$453,"DPS_SEQUENTIAL_GROWTH","FQ3 2016","FQ3 2016","Currency=INR","Period=FQ","BEST_FPERIOD_OVERRIDE=FQ","FILING_STATUS=OR","EQY_CONSOLIDATED=Y","Sort=A","Dates=H","DateFormat=P","Fill=—","Direction=H","UseDPDF=Y")</f>
        <v>#NAME?</v>
      </c>
      <c r="BL466" s="2" t="e">
        <f ca="1">_xll.BDH($C$453,"ACCOUNTS_RECEIVABLE_SEQ_GROWTH","FQ3 2016","FQ3 2016","Currency=INR","Period=FQ","BEST_FPERIOD_OVERRIDE=FQ","FILING_STATUS=OR","EQY_CONSOLIDATED=Y","Sort=A","Dates=H","DateFormat=P","Fill=—","Direction=H","UseDPDF=Y")</f>
        <v>#NAME?</v>
      </c>
      <c r="BM466" s="2" t="e">
        <f ca="1">_xll.BDH($C$453,"INVENTORY_SEQUENTIAL_GROWTH","FQ3 2016","FQ3 2016","Currency=INR","Period=FQ","BEST_FPERIOD_OVERRIDE=FQ","FILING_STATUS=OR","EQY_CONSOLIDATED=Y","Sort=A","Dates=H","DateFormat=P","Fill=—","Direction=H","UseDPDF=Y")</f>
        <v>#NAME?</v>
      </c>
      <c r="BN466" s="2" t="e">
        <f ca="1">_xll.BDH($C$453,"FIXED_ASSETS_SEQUENTIAL_GROWTH","FQ3 2016","FQ3 2016","Currency=INR","Period=FQ","BEST_FPERIOD_OVERRIDE=FQ","FILING_STATUS=OR","EQY_CONSOLIDATED=Y","Sort=A","Dates=H","DateFormat=P","Fill=—","Direction=H","UseDPDF=Y")</f>
        <v>#NAME?</v>
      </c>
      <c r="BO466" s="2" t="e">
        <f ca="1">_xll.BDH($C$453,"TOTAL_ASSETS_SEQUENTIAL_GROWTH","FQ3 2016","FQ3 2016","Currency=INR","Period=FQ","BEST_FPERIOD_OVERRIDE=FQ","FILING_STATUS=OR","EQY_CONSOLIDATED=Y","Sort=A","Dates=H","DateFormat=P","Fill=—","Direction=H","UseDPDF=Y")</f>
        <v>#NAME?</v>
      </c>
      <c r="BP466" s="2" t="e">
        <f ca="1">_xll.BDH($C$453,"MODIFIED_WORKING_CPTL_SEQ_GRWTH","FQ3 2016","FQ3 2016","Currency=INR","Period=FQ","BEST_FPERIOD_OVERRIDE=FQ","FILING_STATUS=OR","EQY_CONSOLIDATED=Y","Sort=A","Dates=H","DateFormat=P","Fill=—","Direction=H","UseDPDF=Y")</f>
        <v>#NAME?</v>
      </c>
      <c r="BQ466" s="2" t="e">
        <f ca="1">_xll.BDH($C$453,"WORKING_CAPITAL_SEQ_GROWTH","FQ3 2016","FQ3 2016","Currency=INR","Period=FQ","BEST_FPERIOD_OVERRIDE=FQ","FILING_STATUS=OR","EQY_CONSOLIDATED=Y","Sort=A","Dates=H","DateFormat=P","Fill=—","Direction=H","UseDPDF=Y")</f>
        <v>#NAME?</v>
      </c>
      <c r="BR466" s="2" t="e">
        <f ca="1">_xll.BDH($C$453,"ACCOUNTS_PAYABLE_SEQ_GROWTH","FQ3 2016","FQ3 2016","Currency=INR","Period=FQ","BEST_FPERIOD_OVERRIDE=FQ","FILING_STATUS=OR","EQY_CONSOLIDATED=Y","Sort=A","Dates=H","DateFormat=P","Fill=—","Direction=H","UseDPDF=Y")</f>
        <v>#NAME?</v>
      </c>
      <c r="BS466" s="2" t="e">
        <f ca="1">_xll.BDH($C$453,"ST_DEBT_SEQUENTIAL_GROWTH","FQ3 2016","FQ3 2016","Currency=INR","Period=FQ","BEST_FPERIOD_OVERRIDE=FQ","FILING_STATUS=OR","EQY_CONSOLIDATED=Y","Sort=A","Dates=H","DateFormat=P","Fill=—","Direction=H","UseDPDF=Y")</f>
        <v>#NAME?</v>
      </c>
      <c r="BT466" s="2" t="e">
        <f ca="1">_xll.BDH($C$453,"TOTAL_DEBT_SEQUENTIAL_GROWTH","FQ3 2016","FQ3 2016","Currency=INR","Period=FQ","BEST_FPERIOD_OVERRIDE=FQ","FILING_STATUS=OR","EQY_CONSOLIDATED=Y","Sort=A","Dates=H","DateFormat=P","Fill=—","Direction=H","UseDPDF=Y")</f>
        <v>#NAME?</v>
      </c>
      <c r="BU466" s="2" t="e">
        <f ca="1">_xll.BDH($C$453,"TOTAL_EQUITY_SEQUENTIAL_GROWTH","FQ3 2016","FQ3 2016","Currency=INR","Period=FQ","BEST_FPERIOD_OVERRIDE=FQ","FILING_STATUS=OR","EQY_CONSOLIDATED=Y","Sort=A","Dates=H","DateFormat=P","Fill=—","Direction=H","UseDPDF=Y")</f>
        <v>#NAME?</v>
      </c>
      <c r="BV466" s="2" t="e">
        <f ca="1">_xll.BDH($C$453,"TOTAL_CAPITAL_SEQUENTIAL_GROWTH","FQ3 2016","FQ3 2016","Currency=INR","Period=FQ","BEST_FPERIOD_OVERRIDE=FQ","FILING_STATUS=OR","EQY_CONSOLIDATED=Y","Sort=A","Dates=H","DateFormat=P","Fill=—","Direction=H","UseDPDF=Y")</f>
        <v>#NAME?</v>
      </c>
      <c r="BW466" s="2" t="e">
        <f ca="1">_xll.BDH($C$453,"BPS_SEQUENTIAL_GROWTH","FQ3 2016","FQ3 2016","Currency=INR","Period=FQ","BEST_FPERIOD_OVERRIDE=FQ","FILING_STATUS=OR","EQY_CONSOLIDATED=Y","Sort=A","Dates=H","DateFormat=P","Fill=—","Direction=H","UseDPDF=Y")</f>
        <v>#NAME?</v>
      </c>
      <c r="BX466" s="2" t="e">
        <f ca="1">_xll.BDH($C$453,"CFO_SEQUENTIAL_GROWTH","FQ3 2016","FQ3 2016","Currency=INR","Period=FQ","BEST_FPERIOD_OVERRIDE=FQ","FILING_STATUS=OR","EQY_CONSOLIDATED=Y","Sort=A","Dates=H","DateFormat=P","Fill=—","Direction=H","UseDPDF=Y")</f>
        <v>#NAME?</v>
      </c>
      <c r="BY466" s="3" t="e">
        <f ca="1">_xll.BDH($C$453,"SHORT_AND_LONG_TERM_DEBT","FQ3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466" s="3" t="e">
        <f ca="1">_xll.BDH($C$453,"BS_ST_BORROW","FQ3 2016","FQ3 2016","Currency=INR","Period=FQ","BEST_FPERIOD_OVERRIDE=FQ","FILING_STATUS=OR","EQY_CONSOLIDATED=Y","SCALING_FORMAT=MLN","Sort=A","Dates=H","DateFormat=P","Fill=—","Direction=H","UseDPDF=Y")</f>
        <v>#NAME?</v>
      </c>
      <c r="CA466" s="3" t="e">
        <f ca="1">_xll.BDH($C$453,"BS_LT_BORROW","FQ3 2016","FQ3 2016","Currency=INR","Period=FQ","BEST_FPERIOD_OVERRIDE=FQ","FILING_STATUS=OR","EQY_CONSOLIDATED=Y","SCALING_FORMAT=MLN","Sort=A","Dates=H","DateFormat=P","Fill=—","Direction=H","UseDPDF=Y")</f>
        <v>#NAME?</v>
      </c>
      <c r="CB466" s="2" t="e">
        <f ca="1">_xll.BDH($C$453,"TOT_DEBT_TO_EBITDA","FQ3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466" s="2" t="e">
        <f ca="1">_xll.BDH($C$453,"NET_DEBT_TO_EBITDA","FQ3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466" s="2" t="e">
        <f ca="1">_xll.BDH($C$453,"TOTAL_DEBT_TO_EBIT","FQ3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466" s="2" t="e">
        <f ca="1">_xll.BDH($C$453,"NET_DEBT_TO_EBIT","FQ3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466" s="2" t="e">
        <f ca="1">_xll.BDH($C$453,"EBITDA_TO_INTEREST_EXPN","FQ3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466" s="2" t="e">
        <f ca="1">_xll.BDH($C$453,"COM_EQY_TO_TOT_ASSET","FQ3 2016","FQ3 2016","Currency=INR","Period=FQ","BEST_FPERIOD_OVERRIDE=FQ","FILING_STATUS=OR","EQY_CONSOLIDATED=Y","Sort=A","Dates=H","DateFormat=P","Fill=—","Direction=H","UseDPDF=Y")</f>
        <v>#NAME?</v>
      </c>
      <c r="CH466" s="2" t="e">
        <f ca="1">_xll.BDH($C$453,"LT_DEBT_TO_TOT_EQY","FQ3 2016","FQ3 2016","Currency=INR","Period=FQ","BEST_FPERIOD_OVERRIDE=FQ","FILING_STATUS=OR","EQY_CONSOLIDATED=Y","Sort=A","Dates=H","DateFormat=P","Fill=—","Direction=H","UseDPDF=Y")</f>
        <v>#NAME?</v>
      </c>
      <c r="CI466" s="2" t="e">
        <f ca="1">_xll.BDH($C$453,"LT_DEBT_TO_TOT_CAP","FQ3 2016","FQ3 2016","Currency=INR","Period=FQ","BEST_FPERIOD_OVERRIDE=FQ","FILING_STATUS=OR","EQY_CONSOLIDATED=Y","Sort=A","Dates=H","DateFormat=P","Fill=—","Direction=H","UseDPDF=Y")</f>
        <v>#NAME?</v>
      </c>
      <c r="CJ466" s="2" t="e">
        <f ca="1">_xll.BDH($C$453,"LT_DEBT_TO_TOT_ASSET","FQ3 2016","FQ3 2016","Currency=INR","Period=FQ","BEST_FPERIOD_OVERRIDE=FQ","FILING_STATUS=OR","EQY_CONSOLIDATED=Y","Sort=A","Dates=H","DateFormat=P","Fill=—","Direction=H","UseDPDF=Y")</f>
        <v>#NAME?</v>
      </c>
      <c r="CK466" s="2" t="e">
        <f ca="1">_xll.BDH($C$453,"TOT_DEBT_TO_TOT_EQY","FQ3 2016","FQ3 2016","Currency=INR","Period=FQ","BEST_FPERIOD_OVERRIDE=FQ","FILING_STATUS=OR","EQY_CONSOLIDATED=Y","Sort=A","Dates=H","DateFormat=P","Fill=—","Direction=H","UseDPDF=Y")</f>
        <v>#NAME?</v>
      </c>
      <c r="CL466" s="2" t="e">
        <f ca="1">_xll.BDH($C$453,"TOT_DEBT_TO_TOT_CAP","FQ3 2016","FQ3 2016","Currency=INR","Period=FQ","BEST_FPERIOD_OVERRIDE=FQ","FILING_STATUS=OR","EQY_CONSOLIDATED=Y","Sort=A","Dates=H","DateFormat=P","Fill=—","Direction=H","UseDPDF=Y")</f>
        <v>#NAME?</v>
      </c>
      <c r="CM466" s="2" t="e">
        <f ca="1">_xll.BDH($C$453,"TOT_DEBT_TO_TOT_ASSET","FQ3 2016","FQ3 2016","Currency=INR","Period=FQ","BEST_FPERIOD_OVERRIDE=FQ","FILING_STATUS=OR","EQY_CONSOLIDATED=Y","Sort=A","Dates=H","DateFormat=P","Fill=—","Direction=H","UseDPDF=Y")</f>
        <v>#NAME?</v>
      </c>
      <c r="CN466" s="2" t="e">
        <f ca="1">_xll.BDH($C$453,"NET_DEBT_TO_SHRHLDR_EQTY","FQ3 2016","FQ3 2016","Currency=INR","Period=FQ","BEST_FPERIOD_OVERRIDE=FQ","FILING_STATUS=OR","EQY_CONSOLIDATED=Y","Sort=A","Dates=H","DateFormat=P","Fill=—","Direction=H","UseDPDF=Y")</f>
        <v>#NAME?</v>
      </c>
      <c r="CO466" s="2" t="e">
        <f ca="1">_xll.BDH($C$453,"NET_DEBT_%_CAPITAL","FQ3 2016","FQ3 2016","Currency=INR","Period=FQ","BEST_FPERIOD_OVERRIDE=FQ","FILING_STATUS=OR","EQY_CONSOLIDATED=Y","Sort=A","Dates=H","DateFormat=P","Fill=—","Direction=H","UseDPDF=Y")</f>
        <v>#NAME?</v>
      </c>
      <c r="CP466" s="3" t="e">
        <f ca="1">_xll.BDH($C$453,"EBITDA","FQ3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466" s="3" t="e">
        <f ca="1">_xll.BDH($C$453,"EBITDA_AFTER_CAPEX","FQ3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466" s="3" t="e">
        <f ca="1">_xll.BDH($C$453,"IS_OPER_INC","FQ3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466" s="2" t="e">
        <f ca="1">_xll.BDH($C$453,"CASH_RATIO","FQ3 2016","FQ3 2016","Currency=INR","Period=FQ","BEST_FPERIOD_OVERRIDE=FQ","FILING_STATUS=OR","EQY_CONSOLIDATED=Y","Sort=A","Dates=H","DateFormat=P","Fill=—","Direction=H","UseDPDF=Y")</f>
        <v>#NAME?</v>
      </c>
      <c r="CT466" s="2" t="e">
        <f ca="1">_xll.BDH($C$453,"CUR_RATIO","FQ3 2016","FQ3 2016","Currency=INR","Period=FQ","BEST_FPERIOD_OVERRIDE=FQ","FILING_STATUS=OR","EQY_CONSOLIDATED=Y","Sort=A","Dates=H","DateFormat=P","Fill=—","Direction=H","UseDPDF=Y")</f>
        <v>#NAME?</v>
      </c>
      <c r="CU466" s="2" t="e">
        <f ca="1">_xll.BDH($C$453,"QUICK_RATIO","FQ3 2016","FQ3 2016","Currency=INR","Period=FQ","BEST_FPERIOD_OVERRIDE=FQ","FILING_STATUS=OR","EQY_CONSOLIDATED=Y","Sort=A","Dates=H","DateFormat=P","Fill=—","Direction=H","UseDPDF=Y")</f>
        <v>#NAME?</v>
      </c>
      <c r="CV466" s="2" t="e">
        <f ca="1">_xll.BDH($C$453,"ALTMAN_Z_SCORE","FQ3 2016","FQ3 2016","Currency=INR","Period=FQ","BEST_FPERIOD_OVERRIDE=FQ","FILING_STATUS=OR","EQY_CONSOLIDATED=Y","Sort=A","Dates=H","DateFormat=P","Fill=—","Direction=H","UseDPDF=Y")</f>
        <v>#NAME?</v>
      </c>
      <c r="CW466" s="4" t="e">
        <f ca="1">_xll.BDH($C$453,"ACCT_RCV_TURN","FQ3 2016","FQ3 2016","Currency=INR","Period=FQ","BEST_FPERIOD_OVERRIDE=FQ","FILING_STATUS=OR","EQY_CONSOLIDATED=Y","FA_ADJUSTED=GAAP","Sort=A","Dates=H","DateFormat=P","Fill=—","Direction=H","UseDPDF=Y")</f>
        <v>#NAME?</v>
      </c>
      <c r="CX466" s="2" t="e">
        <f ca="1">_xll.BDH($C$453,"ACCT_RCV_DAYS","FQ3 2016","FQ3 2016","Currency=INR","Period=FQ","BEST_FPERIOD_OVERRIDE=FQ","FILING_STATUS=OR","EQY_CONSOLIDATED=Y","FA_ADJUSTED=GAAP","Sort=A","Dates=H","DateFormat=P","Fill=—","Direction=H","UseDPDF=Y")</f>
        <v>#NAME?</v>
      </c>
      <c r="CY466" s="4" t="e">
        <f ca="1">_xll.BDH($C$453,"INVENT_TURN","FQ3 2016","FQ3 2016","Currency=INR","Period=FQ","BEST_FPERIOD_OVERRIDE=FQ","FILING_STATUS=OR","EQY_CONSOLIDATED=Y","FA_ADJUSTED=GAAP","Sort=A","Dates=H","DateFormat=P","Fill=—","Direction=H","UseDPDF=Y")</f>
        <v>#NAME?</v>
      </c>
      <c r="CZ466" s="2" t="e">
        <f ca="1">_xll.BDH($C$453,"INVENT_DAYS","FQ3 2016","FQ3 2016","Currency=INR","Period=FQ","BEST_FPERIOD_OVERRIDE=FQ","FILING_STATUS=OR","EQY_CONSOLIDATED=Y","FA_ADJUSTED=GAAP","Sort=A","Dates=H","DateFormat=P","Fill=—","Direction=H","UseDPDF=Y")</f>
        <v>#NAME?</v>
      </c>
      <c r="DA466" s="4" t="e">
        <f ca="1">_xll.BDH($C$453,"ACCOUNTS_PAYABLE_TURNOVER","FQ3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466" s="2" t="e">
        <f ca="1">_xll.BDH($C$453,"ACCOUNTS_PAYABLE_TURNOVER_DAYS","FQ3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466" s="4" t="e">
        <f ca="1">_xll.BDH($C$453,"CASH_CONVERSION_CYCLE","FQ3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466" s="4" t="e">
        <f ca="1">_xll.BDH($C$453,"INV_TO_CASH_DAYS","FQ3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466" s="5" t="e">
        <f ca="1">_xll.BDH($C$453,"BS_INVENTORIES","FQ3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466" s="3" t="e">
        <f ca="1">_xll.BDH($C$453,"INVTRY_RAW_MATERIALS","FQ3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466" s="3" t="e">
        <f ca="1">_xll.BDH($C$453,"INVTRY_IN_PROGRESS","FQ3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466" s="3" t="e">
        <f ca="1">_xll.BDH($C$453,"INVTRY_FINISHED_GOODS","FQ3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466" s="3" t="e">
        <f ca="1">_xll.BDH($C$453,"BS_OTHER_INV","FQ3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467" spans="1:113" x14ac:dyDescent="0.3">
      <c r="A467" s="6"/>
      <c r="B467" s="6"/>
      <c r="C467" s="6"/>
      <c r="D467" s="6"/>
      <c r="E467" t="s">
        <v>81</v>
      </c>
      <c r="F467" t="e">
        <f ca="1">_xll.BDH($C$453,"RETURN_COM_EQY","FQ4 2016","FQ4 2016","Currency=INR","Period=FQ","BEST_FPERIOD_OVERRIDE=FQ","FILING_STATUS=OR","EQY_CONSOLIDATED=Y","FA_ADJUSTED=GAAP","Sort=A","Dates=H","DateFormat=P","Fill=—","Direction=H","UseDPDF=Y")</f>
        <v>#NAME?</v>
      </c>
      <c r="G467" t="e">
        <f ca="1">_xll.BDH($C$453,"RETURN_ON_ASSET","FQ4 2016","FQ4 2016","Currency=INR","Period=FQ","BEST_FPERIOD_OVERRIDE=FQ","FILING_STATUS=OR","EQY_CONSOLIDATED=Y","FA_ADJUSTED=GAAP","Sort=A","Dates=H","DateFormat=P","Fill=—","Direction=H","UseDPDF=Y")</f>
        <v>#NAME?</v>
      </c>
      <c r="H467" t="e">
        <f ca="1">_xll.BDH($C$453,"RETURN_ON_CAP","FQ4 2016","FQ4 2016","Currency=INR","Period=FQ","BEST_FPERIOD_OVERRIDE=FQ","FILING_STATUS=OR","EQY_CONSOLIDATED=Y","FA_ADJUSTED=GAAP","Sort=A","Dates=H","DateFormat=P","Fill=—","Direction=H","UseDPDF=Y")</f>
        <v>#NAME?</v>
      </c>
      <c r="I467" t="e">
        <f ca="1">_xll.BDH($C$453,"RETURN_ON_INV_CAPITAL","FQ4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467" t="e">
        <f ca="1">_xll.BDH($C$453,"EBITDA_TO_REVENUE","FQ4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467" t="e">
        <f ca="1">_xll.BDH($C$453,"OPER_MARGIN","FQ4 2016","FQ4 2016","Currency=INR","Period=FQ","BEST_FPERIOD_OVERRIDE=FQ","FILING_STATUS=OR","EQY_CONSOLIDATED=Y","FA_ADJUSTED=GAAP","Sort=A","Dates=H","DateFormat=P","Fill=—","Direction=H","UseDPDF=Y")</f>
        <v>#NAME?</v>
      </c>
      <c r="L467" t="e">
        <f ca="1">_xll.BDH($C$453,"INCREMENTAL_OPERATING_MARGIN","FQ4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467" t="e">
        <f ca="1">_xll.BDH($C$453,"PRETAX_INC_TO_NET_SALES","FQ4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467" t="e">
        <f ca="1">_xll.BDH($C$453,"INC_BEF_XO_ITEMS_TO_NET_SALES","FQ4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467" t="e">
        <f ca="1">_xll.BDH($C$453,"PROF_MARGIN","FQ4 2016","FQ4 2016","Currency=INR","Period=FQ","BEST_FPERIOD_OVERRIDE=FQ","FILING_STATUS=OR","EQY_CONSOLIDATED=Y","FA_ADJUSTED=GAAP","Sort=A","Dates=H","DateFormat=P","Fill=—","Direction=H","UseDPDF=Y")</f>
        <v>#NAME?</v>
      </c>
      <c r="P467" t="e">
        <f ca="1">_xll.BDH($C$453,"NET_INCOME_TO_COMMON_MARGIN","FQ4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467" t="e">
        <f ca="1">_xll.BDH($C$453,"EFF_TAX_RATE","FQ4 2016","FQ4 2016","Currency=INR","Period=FQ","BEST_FPERIOD_OVERRIDE=FQ","FILING_STATUS=OR","EQY_CONSOLIDATED=Y","FA_ADJUSTED=GAAP","Sort=A","Dates=H","DateFormat=P","Fill=—","Direction=H","UseDPDF=Y")</f>
        <v>#NAME?</v>
      </c>
      <c r="R467" t="e">
        <f ca="1">_xll.BDH($C$453,"DVD_PAYOUT_RATIO","FQ4 2016","FQ4 2016","Currency=INR","Period=FQ","BEST_FPERIOD_OVERRIDE=FQ","FILING_STATUS=OR","EQY_CONSOLIDATED=Y","FA_ADJUSTED=GAAP","Sort=A","Dates=H","DateFormat=P","Fill=—","Direction=H","UseDPDF=Y")</f>
        <v>#NAME?</v>
      </c>
      <c r="S467" t="e">
        <f ca="1">_xll.BDH($C$453,"SUSTAIN_GROWTH_RT","FQ4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467" s="2" t="e">
        <f ca="1">_xll.BDH($C$453,"SALES_GROWTH","FQ4 2016","FQ4 2016","Currency=INR","Period=FQ","BEST_FPERIOD_OVERRIDE=FQ","FILING_STATUS=OR","EQY_CONSOLIDATED=Y","FA_ADJUSTED=GAAP","Sort=A","Dates=H","DateFormat=P","Fill=—","Direction=H","UseDPDF=Y")</f>
        <v>#NAME?</v>
      </c>
      <c r="U467" s="2" t="e">
        <f ca="1">_xll.BDH($C$453,"EBITDA_GROWTH","FQ4 2016","FQ4 2016","Currency=INR","Period=FQ","BEST_FPERIOD_OVERRIDE=FQ","FILING_STATUS=OR","EQY_CONSOLIDATED=Y","FA_ADJUSTED=GAAP","Sort=A","Dates=H","DateFormat=P","Fill=—","Direction=H","UseDPDF=Y")</f>
        <v>#NAME?</v>
      </c>
      <c r="V467" s="2" t="e">
        <f ca="1">_xll.BDH($C$453,"OPER_INC_GROWTH","FQ4 2016","FQ4 2016","Currency=INR","Period=FQ","BEST_FPERIOD_OVERRIDE=FQ","FILING_STATUS=OR","EQY_CONSOLIDATED=Y","FA_ADJUSTED=GAAP","Sort=A","Dates=H","DateFormat=P","Fill=—","Direction=H","UseDPDF=Y")</f>
        <v>#NAME?</v>
      </c>
      <c r="W467" s="2" t="e">
        <f ca="1">_xll.BDH($C$453,"EARN_FOR_COM_GROWTH","FQ4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467" s="2" t="e">
        <f ca="1">_xll.BDH($C$453,"DILUTED_EPS_AFT_XO_ITEMS_GROWTH","FQ4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467" s="2" t="e">
        <f ca="1">_xll.BDH($C$453,"DIVIDEND_PER_SHARE_1_YEAR_GROWTH","FQ4 2016","FQ4 2016","Currency=INR","Period=FQ","BEST_FPERIOD_OVERRIDE=FQ","FILING_STATUS=OR","EQY_CONSOLIDATED=Y","Sort=A","Dates=H","DateFormat=P","Fill=—","Direction=H","UseDPDF=Y")</f>
        <v>#NAME?</v>
      </c>
      <c r="Z467" s="2" t="e">
        <f ca="1">_xll.BDH($C$453,"ACCOUNTS_RECEIVABLE_GROWTH","FQ4 2016","FQ4 2016","Currency=INR","Period=FQ","BEST_FPERIOD_OVERRIDE=FQ","FILING_STATUS=OR","EQY_CONSOLIDATED=Y","Sort=A","Dates=H","DateFormat=P","Fill=—","Direction=H","UseDPDF=Y")</f>
        <v>#NAME?</v>
      </c>
      <c r="AA467" s="2" t="e">
        <f ca="1">_xll.BDH($C$453,"INVENTORY_GROWTH","FQ4 2016","FQ4 2016","Currency=INR","Period=FQ","BEST_FPERIOD_OVERRIDE=FQ","FILING_STATUS=OR","EQY_CONSOLIDATED=Y","Sort=A","Dates=H","DateFormat=P","Fill=—","Direction=H","UseDPDF=Y")</f>
        <v>#NAME?</v>
      </c>
      <c r="AB467" s="2" t="e">
        <f ca="1">_xll.BDH($C$453,"NET_FIXED_ASSETS_1_YEAR_GROWTH","FQ4 2016","FQ4 2016","Currency=INR","Period=FQ","BEST_FPERIOD_OVERRIDE=FQ","FILING_STATUS=OR","EQY_CONSOLIDATED=Y","Sort=A","Dates=H","DateFormat=P","Fill=—","Direction=H","UseDPDF=Y")</f>
        <v>#NAME?</v>
      </c>
      <c r="AC467" s="2" t="e">
        <f ca="1">_xll.BDH($C$453,"ASSET_GROWTH","FQ4 2016","FQ4 2016","Currency=INR","Period=FQ","BEST_FPERIOD_OVERRIDE=FQ","FILING_STATUS=OR","EQY_CONSOLIDATED=Y","Sort=A","Dates=H","DateFormat=P","Fill=—","Direction=H","UseDPDF=Y")</f>
        <v>#NAME?</v>
      </c>
      <c r="AD467" s="2" t="e">
        <f ca="1">_xll.BDH($C$453,"MODIFIED_WORK_CAP_GROWTH","FQ4 2016","FQ4 2016","Currency=INR","Period=FQ","BEST_FPERIOD_OVERRIDE=FQ","FILING_STATUS=OR","EQY_CONSOLIDATED=Y","Sort=A","Dates=H","DateFormat=P","Fill=—","Direction=H","UseDPDF=Y")</f>
        <v>#NAME?</v>
      </c>
      <c r="AE467" s="2" t="e">
        <f ca="1">_xll.BDH($C$453,"WORK_CAP_GROWTH","FQ4 2016","FQ4 2016","Currency=INR","Period=FQ","BEST_FPERIOD_OVERRIDE=FQ","FILING_STATUS=OR","EQY_CONSOLIDATED=Y","Sort=A","Dates=H","DateFormat=P","Fill=—","Direction=H","UseDPDF=Y")</f>
        <v>#NAME?</v>
      </c>
      <c r="AF467" s="2" t="e">
        <f ca="1">_xll.BDH($C$453,"ACCOUNTS_PAYABLE_GROWTH_1YR","FQ4 2016","FQ4 2016","Currency=INR","Period=FQ","BEST_FPERIOD_OVERRIDE=FQ","FILING_STATUS=OR","EQY_CONSOLIDATED=Y","Sort=A","Dates=H","DateFormat=P","Fill=—","Direction=H","UseDPDF=Y")</f>
        <v>#NAME?</v>
      </c>
      <c r="AG467" s="2" t="e">
        <f ca="1">_xll.BDH($C$453,"SHORT_TERM_DEBT_1_YEAR_GROWTH","FQ4 2016","FQ4 2016","Currency=INR","Period=FQ","BEST_FPERIOD_OVERRIDE=FQ","FILING_STATUS=OR","EQY_CONSOLIDATED=Y","Sort=A","Dates=H","DateFormat=P","Fill=—","Direction=H","UseDPDF=Y")</f>
        <v>#NAME?</v>
      </c>
      <c r="AH467" s="2" t="e">
        <f ca="1">_xll.BDH($C$453,"TOTAL_DEBT_1_YEAR_GROWTH","FQ4 2016","FQ4 2016","Currency=INR","Period=FQ","BEST_FPERIOD_OVERRIDE=FQ","FILING_STATUS=OR","EQY_CONSOLIDATED=Y","Sort=A","Dates=H","DateFormat=P","Fill=—","Direction=H","UseDPDF=Y")</f>
        <v>#NAME?</v>
      </c>
      <c r="AI467" s="2" t="e">
        <f ca="1">_xll.BDH($C$453,"TOTAL_EQUITY_1_YEAR_GROWTH","FQ4 2016","FQ4 2016","Currency=INR","Period=FQ","BEST_FPERIOD_OVERRIDE=FQ","FILING_STATUS=OR","EQY_CONSOLIDATED=Y","Sort=A","Dates=H","DateFormat=P","Fill=—","Direction=H","UseDPDF=Y")</f>
        <v>#NAME?</v>
      </c>
      <c r="AJ467" s="2" t="e">
        <f ca="1">_xll.BDH($C$453,"GROWTH_IN_CAP","FQ4 2016","FQ4 2016","Currency=INR","Period=FQ","BEST_FPERIOD_OVERRIDE=FQ","FILING_STATUS=OR","EQY_CONSOLIDATED=Y","Sort=A","Dates=H","DateFormat=P","Fill=—","Direction=H","UseDPDF=Y")</f>
        <v>#NAME?</v>
      </c>
      <c r="AK467" s="2" t="e">
        <f ca="1">_xll.BDH($C$453,"BVPS_GROWTH","FQ4 2016","FQ4 2016","Currency=INR","Period=FQ","BEST_FPERIOD_OVERRIDE=FQ","FILING_STATUS=OR","EQY_CONSOLIDATED=Y","Sort=A","Dates=H","DateFormat=P","Fill=—","Direction=H","UseDPDF=Y")</f>
        <v>#NAME?</v>
      </c>
      <c r="AL467" s="2" t="e">
        <f ca="1">_xll.BDH($C$453,"CASH_FLOW_GROWTH","FQ4 2016","FQ4 2016","Currency=INR","Period=FQ","BEST_FPERIOD_OVERRIDE=FQ","FILING_STATUS=OR","EQY_CONSOLIDATED=Y","Sort=A","Dates=H","DateFormat=P","Fill=—","Direction=H","UseDPDF=Y")</f>
        <v>#NAME?</v>
      </c>
      <c r="AM467" s="2" t="e">
        <f ca="1">_xll.BDH($C$453,"GEO_GROW_NET_SALES","FQ4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467" s="2" t="e">
        <f ca="1">_xll.BDH($C$453,"GEO_GROW_EBITDA","FQ4 2016","FQ4 2016","Currency=INR","Period=FQ","BEST_FPERIOD_OVERRIDE=FQ","FILING_STATUS=OR","EQY_CONSOLIDATED=Y","FA_ADJUSTED=GAAP","Sort=A","Dates=H","DateFormat=P","Fill=—","Direction=H","UseDPDF=Y")</f>
        <v>#NAME?</v>
      </c>
      <c r="AO467" s="2" t="e">
        <f ca="1">_xll.BDH($C$453,"GEO_GROW_OPER_INC","FQ4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467" s="2" t="e">
        <f ca="1">_xll.BDH($C$453,"NET_INCOME_TO_COMMON_5_YR_GROWTH","FQ4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467" s="2" t="e">
        <f ca="1">_xll.BDH($C$453,"5Y_GEO_GROWTH_DILUTED_EPS","FQ4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467" s="2" t="e">
        <f ca="1">_xll.BDH($C$453,"GEO_GROW_DVD_PER_SH","FQ4 2016","FQ4 2016","Currency=INR","Period=FQ","BEST_FPERIOD_OVERRIDE=FQ","FILING_STATUS=OR","EQY_CONSOLIDATED=Y","Sort=A","Dates=H","DateFormat=P","Fill=—","Direction=H","UseDPDF=Y")</f>
        <v>#NAME?</v>
      </c>
      <c r="AS467" s="2" t="e">
        <f ca="1">_xll.BDH($C$453,"ACCOUNTS_RECEIVABLE_5_YR_GROWTH","FQ4 2016","FQ4 2016","Currency=INR","Period=FQ","BEST_FPERIOD_OVERRIDE=FQ","FILING_STATUS=OR","EQY_CONSOLIDATED=Y","Sort=A","Dates=H","DateFormat=P","Fill=—","Direction=H","UseDPDF=Y")</f>
        <v>#NAME?</v>
      </c>
      <c r="AT467" s="2" t="e">
        <f ca="1">_xll.BDH($C$453,"INVENTORY_5_YEAR_GROWTH","FQ4 2016","FQ4 2016","Currency=INR","Period=FQ","BEST_FPERIOD_OVERRIDE=FQ","FILING_STATUS=OR","EQY_CONSOLIDATED=Y","Sort=A","Dates=H","DateFormat=P","Fill=—","Direction=H","UseDPDF=Y")</f>
        <v>#NAME?</v>
      </c>
      <c r="AU467" s="2" t="e">
        <f ca="1">_xll.BDH($C$453,"NET_FIXED_ASSETS_5_YEAR_GROWTH","FQ4 2016","FQ4 2016","Currency=INR","Period=FQ","BEST_FPERIOD_OVERRIDE=FQ","FILING_STATUS=OR","EQY_CONSOLIDATED=Y","Sort=A","Dates=H","DateFormat=P","Fill=—","Direction=H","UseDPDF=Y")</f>
        <v>#NAME?</v>
      </c>
      <c r="AV467" s="2" t="e">
        <f ca="1">_xll.BDH($C$453,"GEO_GROW_TOT_ASSET","FQ4 2016","FQ4 2016","Currency=INR","Period=FQ","BEST_FPERIOD_OVERRIDE=FQ","FILING_STATUS=OR","EQY_CONSOLIDATED=Y","Sort=A","Dates=H","DateFormat=P","Fill=—","Direction=H","UseDPDF=Y")</f>
        <v>#NAME?</v>
      </c>
      <c r="AW467" s="2" t="e">
        <f ca="1">_xll.BDH($C$453,"MODIFIED_WORKING_CPTL_5YR_GRWTH","FQ4 2016","FQ4 2016","Currency=INR","Period=FQ","BEST_FPERIOD_OVERRIDE=FQ","FILING_STATUS=OR","EQY_CONSOLIDATED=Y","Sort=A","Dates=H","DateFormat=P","Fill=—","Direction=H","UseDPDF=Y")</f>
        <v>#NAME?</v>
      </c>
      <c r="AX467" s="2" t="e">
        <f ca="1">_xll.BDH($C$453,"WORKING_CAPITAL_5_YEAR_GROWTH","FQ4 2016","FQ4 2016","Currency=INR","Period=FQ","BEST_FPERIOD_OVERRIDE=FQ","FILING_STATUS=OR","EQY_CONSOLIDATED=Y","Sort=A","Dates=H","DateFormat=P","Fill=—","Direction=H","UseDPDF=Y")</f>
        <v>#NAME?</v>
      </c>
      <c r="AY467" s="2" t="e">
        <f ca="1">_xll.BDH($C$453,"ACCOUNTS_PAYABLE_5_YEAR_GROWTH","FQ4 2016","FQ4 2016","Currency=INR","Period=FQ","BEST_FPERIOD_OVERRIDE=FQ","FILING_STATUS=OR","EQY_CONSOLIDATED=Y","Sort=A","Dates=H","DateFormat=P","Fill=—","Direction=H","UseDPDF=Y")</f>
        <v>#NAME?</v>
      </c>
      <c r="AZ467" s="2" t="e">
        <f ca="1">_xll.BDH($C$453,"SHORT_TERM_DEBT_5_YEAR_GROWTH","FQ4 2016","FQ4 2016","Currency=INR","Period=FQ","BEST_FPERIOD_OVERRIDE=FQ","FILING_STATUS=OR","EQY_CONSOLIDATED=Y","Sort=A","Dates=H","DateFormat=P","Fill=—","Direction=H","UseDPDF=Y")</f>
        <v>#NAME?</v>
      </c>
      <c r="BA467" s="2" t="e">
        <f ca="1">_xll.BDH($C$453,"TOTAL_DEBT_5_YEAR_GROWTH","FQ4 2016","FQ4 2016","Currency=INR","Period=FQ","BEST_FPERIOD_OVERRIDE=FQ","FILING_STATUS=OR","EQY_CONSOLIDATED=Y","Sort=A","Dates=H","DateFormat=P","Fill=—","Direction=H","UseDPDF=Y")</f>
        <v>#NAME?</v>
      </c>
      <c r="BB467" s="2" t="e">
        <f ca="1">_xll.BDH($C$453,"GEO_GROW_TOT_SHRHLDR_EQY","FQ4 2016","FQ4 2016","Currency=INR","Period=FQ","BEST_FPERIOD_OVERRIDE=FQ","FILING_STATUS=OR","EQY_CONSOLIDATED=Y","Sort=A","Dates=H","DateFormat=P","Fill=—","Direction=H","UseDPDF=Y")</f>
        <v>#NAME?</v>
      </c>
      <c r="BC467" s="2" t="e">
        <f ca="1">_xll.BDH($C$453,"TOTAL_CAPITAL_5_YEAR_GROWTH","FQ4 2016","FQ4 2016","Currency=INR","Period=FQ","BEST_FPERIOD_OVERRIDE=FQ","FILING_STATUS=OR","EQY_CONSOLIDATED=Y","Sort=A","Dates=H","DateFormat=P","Fill=—","Direction=H","UseDPDF=Y")</f>
        <v>#NAME?</v>
      </c>
      <c r="BD467" s="2" t="e">
        <f ca="1">_xll.BDH($C$453,"GEO_GROW_BOOK_VAL","FQ4 2016","FQ4 2016","Currency=INR","Period=FQ","BEST_FPERIOD_OVERRIDE=FQ","FILING_STATUS=OR","EQY_CONSOLIDATED=Y","Sort=A","Dates=H","DateFormat=P","Fill=—","Direction=H","UseDPDF=Y")</f>
        <v>#NAME?</v>
      </c>
      <c r="BE467" s="2" t="e">
        <f ca="1">_xll.BDH($C$453,"GEO_GROW_CASH_OPER_ACT","FQ4 2016","FQ4 2016","Currency=INR","Period=FQ","BEST_FPERIOD_OVERRIDE=FQ","FILING_STATUS=OR","EQY_CONSOLIDATED=Y","Sort=A","Dates=H","DateFormat=P","Fill=—","Direction=H","UseDPDF=Y")</f>
        <v>#NAME?</v>
      </c>
      <c r="BF467" s="2" t="e">
        <f ca="1">_xll.BDH($C$453,"REVENUE_SEQUENTIAL_GROWTH","FQ4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467" s="2" t="e">
        <f ca="1">_xll.BDH($C$453,"EBITDA_SEQUENTIAL_GROWTH","FQ4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467" s="2" t="e">
        <f ca="1">_xll.BDH($C$453,"OPERATING_INCOME_SEQ_GROWTH","FQ4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467" s="2" t="e">
        <f ca="1">_xll.BDH($C$453,"NET_INCOME_TO_COMMON_SEQ_GROWTH","FQ4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467" s="2" t="e">
        <f ca="1">_xll.BDH($C$453,"EPS_DILUTED_SEQUENTIAL_GROWTH","FQ4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467" s="2" t="e">
        <f ca="1">_xll.BDH($C$453,"DPS_SEQUENTIAL_GROWTH","FQ4 2016","FQ4 2016","Currency=INR","Period=FQ","BEST_FPERIOD_OVERRIDE=FQ","FILING_STATUS=OR","EQY_CONSOLIDATED=Y","Sort=A","Dates=H","DateFormat=P","Fill=—","Direction=H","UseDPDF=Y")</f>
        <v>#NAME?</v>
      </c>
      <c r="BL467" s="2" t="e">
        <f ca="1">_xll.BDH($C$453,"ACCOUNTS_RECEIVABLE_SEQ_GROWTH","FQ4 2016","FQ4 2016","Currency=INR","Period=FQ","BEST_FPERIOD_OVERRIDE=FQ","FILING_STATUS=OR","EQY_CONSOLIDATED=Y","Sort=A","Dates=H","DateFormat=P","Fill=—","Direction=H","UseDPDF=Y")</f>
        <v>#NAME?</v>
      </c>
      <c r="BM467" s="2" t="e">
        <f ca="1">_xll.BDH($C$453,"INVENTORY_SEQUENTIAL_GROWTH","FQ4 2016","FQ4 2016","Currency=INR","Period=FQ","BEST_FPERIOD_OVERRIDE=FQ","FILING_STATUS=OR","EQY_CONSOLIDATED=Y","Sort=A","Dates=H","DateFormat=P","Fill=—","Direction=H","UseDPDF=Y")</f>
        <v>#NAME?</v>
      </c>
      <c r="BN467" s="2" t="e">
        <f ca="1">_xll.BDH($C$453,"FIXED_ASSETS_SEQUENTIAL_GROWTH","FQ4 2016","FQ4 2016","Currency=INR","Period=FQ","BEST_FPERIOD_OVERRIDE=FQ","FILING_STATUS=OR","EQY_CONSOLIDATED=Y","Sort=A","Dates=H","DateFormat=P","Fill=—","Direction=H","UseDPDF=Y")</f>
        <v>#NAME?</v>
      </c>
      <c r="BO467" s="2" t="e">
        <f ca="1">_xll.BDH($C$453,"TOTAL_ASSETS_SEQUENTIAL_GROWTH","FQ4 2016","FQ4 2016","Currency=INR","Period=FQ","BEST_FPERIOD_OVERRIDE=FQ","FILING_STATUS=OR","EQY_CONSOLIDATED=Y","Sort=A","Dates=H","DateFormat=P","Fill=—","Direction=H","UseDPDF=Y")</f>
        <v>#NAME?</v>
      </c>
      <c r="BP467" s="2" t="e">
        <f ca="1">_xll.BDH($C$453,"MODIFIED_WORKING_CPTL_SEQ_GRWTH","FQ4 2016","FQ4 2016","Currency=INR","Period=FQ","BEST_FPERIOD_OVERRIDE=FQ","FILING_STATUS=OR","EQY_CONSOLIDATED=Y","Sort=A","Dates=H","DateFormat=P","Fill=—","Direction=H","UseDPDF=Y")</f>
        <v>#NAME?</v>
      </c>
      <c r="BQ467" s="2" t="e">
        <f ca="1">_xll.BDH($C$453,"WORKING_CAPITAL_SEQ_GROWTH","FQ4 2016","FQ4 2016","Currency=INR","Period=FQ","BEST_FPERIOD_OVERRIDE=FQ","FILING_STATUS=OR","EQY_CONSOLIDATED=Y","Sort=A","Dates=H","DateFormat=P","Fill=—","Direction=H","UseDPDF=Y")</f>
        <v>#NAME?</v>
      </c>
      <c r="BR467" s="2" t="e">
        <f ca="1">_xll.BDH($C$453,"ACCOUNTS_PAYABLE_SEQ_GROWTH","FQ4 2016","FQ4 2016","Currency=INR","Period=FQ","BEST_FPERIOD_OVERRIDE=FQ","FILING_STATUS=OR","EQY_CONSOLIDATED=Y","Sort=A","Dates=H","DateFormat=P","Fill=—","Direction=H","UseDPDF=Y")</f>
        <v>#NAME?</v>
      </c>
      <c r="BS467" s="2" t="e">
        <f ca="1">_xll.BDH($C$453,"ST_DEBT_SEQUENTIAL_GROWTH","FQ4 2016","FQ4 2016","Currency=INR","Period=FQ","BEST_FPERIOD_OVERRIDE=FQ","FILING_STATUS=OR","EQY_CONSOLIDATED=Y","Sort=A","Dates=H","DateFormat=P","Fill=—","Direction=H","UseDPDF=Y")</f>
        <v>#NAME?</v>
      </c>
      <c r="BT467" s="2" t="e">
        <f ca="1">_xll.BDH($C$453,"TOTAL_DEBT_SEQUENTIAL_GROWTH","FQ4 2016","FQ4 2016","Currency=INR","Period=FQ","BEST_FPERIOD_OVERRIDE=FQ","FILING_STATUS=OR","EQY_CONSOLIDATED=Y","Sort=A","Dates=H","DateFormat=P","Fill=—","Direction=H","UseDPDF=Y")</f>
        <v>#NAME?</v>
      </c>
      <c r="BU467" s="2" t="e">
        <f ca="1">_xll.BDH($C$453,"TOTAL_EQUITY_SEQUENTIAL_GROWTH","FQ4 2016","FQ4 2016","Currency=INR","Period=FQ","BEST_FPERIOD_OVERRIDE=FQ","FILING_STATUS=OR","EQY_CONSOLIDATED=Y","Sort=A","Dates=H","DateFormat=P","Fill=—","Direction=H","UseDPDF=Y")</f>
        <v>#NAME?</v>
      </c>
      <c r="BV467" s="2" t="e">
        <f ca="1">_xll.BDH($C$453,"TOTAL_CAPITAL_SEQUENTIAL_GROWTH","FQ4 2016","FQ4 2016","Currency=INR","Period=FQ","BEST_FPERIOD_OVERRIDE=FQ","FILING_STATUS=OR","EQY_CONSOLIDATED=Y","Sort=A","Dates=H","DateFormat=P","Fill=—","Direction=H","UseDPDF=Y")</f>
        <v>#NAME?</v>
      </c>
      <c r="BW467" s="2" t="e">
        <f ca="1">_xll.BDH($C$453,"BPS_SEQUENTIAL_GROWTH","FQ4 2016","FQ4 2016","Currency=INR","Period=FQ","BEST_FPERIOD_OVERRIDE=FQ","FILING_STATUS=OR","EQY_CONSOLIDATED=Y","Sort=A","Dates=H","DateFormat=P","Fill=—","Direction=H","UseDPDF=Y")</f>
        <v>#NAME?</v>
      </c>
      <c r="BX467" s="2" t="e">
        <f ca="1">_xll.BDH($C$453,"CFO_SEQUENTIAL_GROWTH","FQ4 2016","FQ4 2016","Currency=INR","Period=FQ","BEST_FPERIOD_OVERRIDE=FQ","FILING_STATUS=OR","EQY_CONSOLIDATED=Y","Sort=A","Dates=H","DateFormat=P","Fill=—","Direction=H","UseDPDF=Y")</f>
        <v>#NAME?</v>
      </c>
      <c r="BY467" s="3" t="e">
        <f ca="1">_xll.BDH($C$453,"SHORT_AND_LONG_TERM_DEBT","FQ4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467" s="3" t="e">
        <f ca="1">_xll.BDH($C$453,"BS_ST_BORROW","FQ4 2016","FQ4 2016","Currency=INR","Period=FQ","BEST_FPERIOD_OVERRIDE=FQ","FILING_STATUS=OR","EQY_CONSOLIDATED=Y","SCALING_FORMAT=MLN","Sort=A","Dates=H","DateFormat=P","Fill=—","Direction=H","UseDPDF=Y")</f>
        <v>#NAME?</v>
      </c>
      <c r="CA467" s="3" t="e">
        <f ca="1">_xll.BDH($C$453,"BS_LT_BORROW","FQ4 2016","FQ4 2016","Currency=INR","Period=FQ","BEST_FPERIOD_OVERRIDE=FQ","FILING_STATUS=OR","EQY_CONSOLIDATED=Y","SCALING_FORMAT=MLN","Sort=A","Dates=H","DateFormat=P","Fill=—","Direction=H","UseDPDF=Y")</f>
        <v>#NAME?</v>
      </c>
      <c r="CB467" s="2" t="e">
        <f ca="1">_xll.BDH($C$453,"TOT_DEBT_TO_EBITDA","FQ4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467" s="2" t="e">
        <f ca="1">_xll.BDH($C$453,"NET_DEBT_TO_EBITDA","FQ4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467" s="2" t="e">
        <f ca="1">_xll.BDH($C$453,"TOTAL_DEBT_TO_EBIT","FQ4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467" s="2" t="e">
        <f ca="1">_xll.BDH($C$453,"NET_DEBT_TO_EBIT","FQ4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467" s="2" t="e">
        <f ca="1">_xll.BDH($C$453,"EBITDA_TO_INTEREST_EXPN","FQ4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467" s="2" t="e">
        <f ca="1">_xll.BDH($C$453,"COM_EQY_TO_TOT_ASSET","FQ4 2016","FQ4 2016","Currency=INR","Period=FQ","BEST_FPERIOD_OVERRIDE=FQ","FILING_STATUS=OR","EQY_CONSOLIDATED=Y","Sort=A","Dates=H","DateFormat=P","Fill=—","Direction=H","UseDPDF=Y")</f>
        <v>#NAME?</v>
      </c>
      <c r="CH467" s="2" t="e">
        <f ca="1">_xll.BDH($C$453,"LT_DEBT_TO_TOT_EQY","FQ4 2016","FQ4 2016","Currency=INR","Period=FQ","BEST_FPERIOD_OVERRIDE=FQ","FILING_STATUS=OR","EQY_CONSOLIDATED=Y","Sort=A","Dates=H","DateFormat=P","Fill=—","Direction=H","UseDPDF=Y")</f>
        <v>#NAME?</v>
      </c>
      <c r="CI467" s="2" t="e">
        <f ca="1">_xll.BDH($C$453,"LT_DEBT_TO_TOT_CAP","FQ4 2016","FQ4 2016","Currency=INR","Period=FQ","BEST_FPERIOD_OVERRIDE=FQ","FILING_STATUS=OR","EQY_CONSOLIDATED=Y","Sort=A","Dates=H","DateFormat=P","Fill=—","Direction=H","UseDPDF=Y")</f>
        <v>#NAME?</v>
      </c>
      <c r="CJ467" s="2" t="e">
        <f ca="1">_xll.BDH($C$453,"LT_DEBT_TO_TOT_ASSET","FQ4 2016","FQ4 2016","Currency=INR","Period=FQ","BEST_FPERIOD_OVERRIDE=FQ","FILING_STATUS=OR","EQY_CONSOLIDATED=Y","Sort=A","Dates=H","DateFormat=P","Fill=—","Direction=H","UseDPDF=Y")</f>
        <v>#NAME?</v>
      </c>
      <c r="CK467" s="2" t="e">
        <f ca="1">_xll.BDH($C$453,"TOT_DEBT_TO_TOT_EQY","FQ4 2016","FQ4 2016","Currency=INR","Period=FQ","BEST_FPERIOD_OVERRIDE=FQ","FILING_STATUS=OR","EQY_CONSOLIDATED=Y","Sort=A","Dates=H","DateFormat=P","Fill=—","Direction=H","UseDPDF=Y")</f>
        <v>#NAME?</v>
      </c>
      <c r="CL467" s="2" t="e">
        <f ca="1">_xll.BDH($C$453,"TOT_DEBT_TO_TOT_CAP","FQ4 2016","FQ4 2016","Currency=INR","Period=FQ","BEST_FPERIOD_OVERRIDE=FQ","FILING_STATUS=OR","EQY_CONSOLIDATED=Y","Sort=A","Dates=H","DateFormat=P","Fill=—","Direction=H","UseDPDF=Y")</f>
        <v>#NAME?</v>
      </c>
      <c r="CM467" s="2" t="e">
        <f ca="1">_xll.BDH($C$453,"TOT_DEBT_TO_TOT_ASSET","FQ4 2016","FQ4 2016","Currency=INR","Period=FQ","BEST_FPERIOD_OVERRIDE=FQ","FILING_STATUS=OR","EQY_CONSOLIDATED=Y","Sort=A","Dates=H","DateFormat=P","Fill=—","Direction=H","UseDPDF=Y")</f>
        <v>#NAME?</v>
      </c>
      <c r="CN467" s="2" t="e">
        <f ca="1">_xll.BDH($C$453,"NET_DEBT_TO_SHRHLDR_EQTY","FQ4 2016","FQ4 2016","Currency=INR","Period=FQ","BEST_FPERIOD_OVERRIDE=FQ","FILING_STATUS=OR","EQY_CONSOLIDATED=Y","Sort=A","Dates=H","DateFormat=P","Fill=—","Direction=H","UseDPDF=Y")</f>
        <v>#NAME?</v>
      </c>
      <c r="CO467" s="2" t="e">
        <f ca="1">_xll.BDH($C$453,"NET_DEBT_%_CAPITAL","FQ4 2016","FQ4 2016","Currency=INR","Period=FQ","BEST_FPERIOD_OVERRIDE=FQ","FILING_STATUS=OR","EQY_CONSOLIDATED=Y","Sort=A","Dates=H","DateFormat=P","Fill=—","Direction=H","UseDPDF=Y")</f>
        <v>#NAME?</v>
      </c>
      <c r="CP467" s="3" t="e">
        <f ca="1">_xll.BDH($C$453,"EBITDA","FQ4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467" s="3" t="e">
        <f ca="1">_xll.BDH($C$453,"EBITDA_AFTER_CAPEX","FQ4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467" s="3" t="e">
        <f ca="1">_xll.BDH($C$453,"IS_OPER_INC","FQ4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467" s="2" t="e">
        <f ca="1">_xll.BDH($C$453,"CASH_RATIO","FQ4 2016","FQ4 2016","Currency=INR","Period=FQ","BEST_FPERIOD_OVERRIDE=FQ","FILING_STATUS=OR","EQY_CONSOLIDATED=Y","Sort=A","Dates=H","DateFormat=P","Fill=—","Direction=H","UseDPDF=Y")</f>
        <v>#NAME?</v>
      </c>
      <c r="CT467" s="2" t="e">
        <f ca="1">_xll.BDH($C$453,"CUR_RATIO","FQ4 2016","FQ4 2016","Currency=INR","Period=FQ","BEST_FPERIOD_OVERRIDE=FQ","FILING_STATUS=OR","EQY_CONSOLIDATED=Y","Sort=A","Dates=H","DateFormat=P","Fill=—","Direction=H","UseDPDF=Y")</f>
        <v>#NAME?</v>
      </c>
      <c r="CU467" s="2" t="e">
        <f ca="1">_xll.BDH($C$453,"QUICK_RATIO","FQ4 2016","FQ4 2016","Currency=INR","Period=FQ","BEST_FPERIOD_OVERRIDE=FQ","FILING_STATUS=OR","EQY_CONSOLIDATED=Y","Sort=A","Dates=H","DateFormat=P","Fill=—","Direction=H","UseDPDF=Y")</f>
        <v>#NAME?</v>
      </c>
      <c r="CV467" s="2" t="e">
        <f ca="1">_xll.BDH($C$453,"ALTMAN_Z_SCORE","FQ4 2016","FQ4 2016","Currency=INR","Period=FQ","BEST_FPERIOD_OVERRIDE=FQ","FILING_STATUS=OR","EQY_CONSOLIDATED=Y","Sort=A","Dates=H","DateFormat=P","Fill=—","Direction=H","UseDPDF=Y")</f>
        <v>#NAME?</v>
      </c>
      <c r="CW467" s="4" t="e">
        <f ca="1">_xll.BDH($C$453,"ACCT_RCV_TURN","FQ4 2016","FQ4 2016","Currency=INR","Period=FQ","BEST_FPERIOD_OVERRIDE=FQ","FILING_STATUS=OR","EQY_CONSOLIDATED=Y","FA_ADJUSTED=GAAP","Sort=A","Dates=H","DateFormat=P","Fill=—","Direction=H","UseDPDF=Y")</f>
        <v>#NAME?</v>
      </c>
      <c r="CX467" s="2" t="e">
        <f ca="1">_xll.BDH($C$453,"ACCT_RCV_DAYS","FQ4 2016","FQ4 2016","Currency=INR","Period=FQ","BEST_FPERIOD_OVERRIDE=FQ","FILING_STATUS=OR","EQY_CONSOLIDATED=Y","FA_ADJUSTED=GAAP","Sort=A","Dates=H","DateFormat=P","Fill=—","Direction=H","UseDPDF=Y")</f>
        <v>#NAME?</v>
      </c>
      <c r="CY467" s="4" t="e">
        <f ca="1">_xll.BDH($C$453,"INVENT_TURN","FQ4 2016","FQ4 2016","Currency=INR","Period=FQ","BEST_FPERIOD_OVERRIDE=FQ","FILING_STATUS=OR","EQY_CONSOLIDATED=Y","FA_ADJUSTED=GAAP","Sort=A","Dates=H","DateFormat=P","Fill=—","Direction=H","UseDPDF=Y")</f>
        <v>#NAME?</v>
      </c>
      <c r="CZ467" s="2" t="e">
        <f ca="1">_xll.BDH($C$453,"INVENT_DAYS","FQ4 2016","FQ4 2016","Currency=INR","Period=FQ","BEST_FPERIOD_OVERRIDE=FQ","FILING_STATUS=OR","EQY_CONSOLIDATED=Y","FA_ADJUSTED=GAAP","Sort=A","Dates=H","DateFormat=P","Fill=—","Direction=H","UseDPDF=Y")</f>
        <v>#NAME?</v>
      </c>
      <c r="DA467" s="4" t="e">
        <f ca="1">_xll.BDH($C$453,"ACCOUNTS_PAYABLE_TURNOVER","FQ4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467" s="2" t="e">
        <f ca="1">_xll.BDH($C$453,"ACCOUNTS_PAYABLE_TURNOVER_DAYS","FQ4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467" s="4" t="e">
        <f ca="1">_xll.BDH($C$453,"CASH_CONVERSION_CYCLE","FQ4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467" s="4" t="e">
        <f ca="1">_xll.BDH($C$453,"INV_TO_CASH_DAYS","FQ4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467" s="5" t="e">
        <f ca="1">_xll.BDH($C$453,"BS_INVENTORIES","FQ4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467" s="3" t="e">
        <f ca="1">_xll.BDH($C$453,"INVTRY_RAW_MATERIALS","FQ4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467" s="3" t="e">
        <f ca="1">_xll.BDH($C$453,"INVTRY_IN_PROGRESS","FQ4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467" s="3" t="e">
        <f ca="1">_xll.BDH($C$453,"INVTRY_FINISHED_GOODS","FQ4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467" s="3" t="e">
        <f ca="1">_xll.BDH($C$453,"BS_OTHER_INV","FQ4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468" spans="1:113" x14ac:dyDescent="0.3">
      <c r="A468" s="6"/>
      <c r="B468" s="6"/>
      <c r="C468" s="6"/>
      <c r="D468" s="6" t="s">
        <v>84</v>
      </c>
      <c r="E468" t="s">
        <v>77</v>
      </c>
      <c r="F468" t="e">
        <f ca="1">_xll.BDH($C$453,"RETURN_COM_EQY","FY 2017","FY 2017","Currency=INR","Period=FY","BEST_FPERIOD_OVERRIDE=FY","FILING_STATUS=OR","EQY_CONSOLIDATED=Y","FA_ADJUSTED=GAAP","Sort=A","Dates=H","DateFormat=P","Fill=—","Direction=H","UseDPDF=Y")</f>
        <v>#NAME?</v>
      </c>
      <c r="G468" t="e">
        <f ca="1">_xll.BDH($C$453,"RETURN_ON_ASSET","FY 2017","FY 2017","Currency=INR","Period=FY","BEST_FPERIOD_OVERRIDE=FY","FILING_STATUS=OR","EQY_CONSOLIDATED=Y","FA_ADJUSTED=GAAP","Sort=A","Dates=H","DateFormat=P","Fill=—","Direction=H","UseDPDF=Y")</f>
        <v>#NAME?</v>
      </c>
      <c r="H468" t="e">
        <f ca="1">_xll.BDH($C$453,"RETURN_ON_CAP","FY 2017","FY 2017","Currency=INR","Period=FY","BEST_FPERIOD_OVERRIDE=FY","FILING_STATUS=OR","EQY_CONSOLIDATED=Y","FA_ADJUSTED=GAAP","Sort=A","Dates=H","DateFormat=P","Fill=—","Direction=H","UseDPDF=Y")</f>
        <v>#NAME?</v>
      </c>
      <c r="I468" t="e">
        <f ca="1">_xll.BDH($C$453,"RETURN_ON_INV_CAPITAL","FY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468" t="e">
        <f ca="1">_xll.BDH($C$453,"EBITDA_TO_REVENUE","FY 2017","FY 2017","Currency=INR","Period=FY","BEST_FPERIOD_OVERRIDE=FY","FILING_STATUS=OR","EQY_CONSOLIDATED=Y","FA_ADJUSTED=GAAP","Sort=A","Dates=H","DateFormat=P","Fill=—","Direction=H","UseDPDF=Y")</f>
        <v>#NAME?</v>
      </c>
      <c r="K468" t="e">
        <f ca="1">_xll.BDH($C$453,"OPER_MARGIN","FY 2017","FY 2017","Currency=INR","Period=FY","BEST_FPERIOD_OVERRIDE=FY","FILING_STATUS=OR","EQY_CONSOLIDATED=Y","FA_ADJUSTED=GAAP","Sort=A","Dates=H","DateFormat=P","Fill=—","Direction=H","UseDPDF=Y")</f>
        <v>#NAME?</v>
      </c>
      <c r="L468" t="e">
        <f ca="1">_xll.BDH($C$453,"INCREMENTAL_OPERATING_MARGIN","FY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468" t="e">
        <f ca="1">_xll.BDH($C$453,"PRETAX_INC_TO_NET_SALES","FY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468" t="e">
        <f ca="1">_xll.BDH($C$453,"INC_BEF_XO_ITEMS_TO_NET_SALES","FY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468" t="e">
        <f ca="1">_xll.BDH($C$453,"PROF_MARGIN","FY 2017","FY 2017","Currency=INR","Period=FY","BEST_FPERIOD_OVERRIDE=FY","FILING_STATUS=OR","EQY_CONSOLIDATED=Y","FA_ADJUSTED=GAAP","Sort=A","Dates=H","DateFormat=P","Fill=—","Direction=H","UseDPDF=Y")</f>
        <v>#NAME?</v>
      </c>
      <c r="P468" t="e">
        <f ca="1">_xll.BDH($C$453,"NET_INCOME_TO_COMMON_MARGIN","FY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468" t="e">
        <f ca="1">_xll.BDH($C$453,"EFF_TAX_RATE","FY 2017","FY 2017","Currency=INR","Period=FY","BEST_FPERIOD_OVERRIDE=FY","FILING_STATUS=OR","EQY_CONSOLIDATED=Y","FA_ADJUSTED=GAAP","Sort=A","Dates=H","DateFormat=P","Fill=—","Direction=H","UseDPDF=Y")</f>
        <v>#NAME?</v>
      </c>
      <c r="R468" t="e">
        <f ca="1">_xll.BDH($C$453,"DVD_PAYOUT_RATIO","FY 2017","FY 2017","Currency=INR","Period=FY","BEST_FPERIOD_OVERRIDE=FY","FILING_STATUS=OR","EQY_CONSOLIDATED=Y","FA_ADJUSTED=GAAP","Sort=A","Dates=H","DateFormat=P","Fill=—","Direction=H","UseDPDF=Y")</f>
        <v>#NAME?</v>
      </c>
      <c r="S468" t="e">
        <f ca="1">_xll.BDH($C$453,"SUSTAIN_GROWTH_RT","FY 2017","FY 2017","Currency=INR","Period=FY","BEST_FPERIOD_OVERRIDE=FY","FILING_STATUS=OR","EQY_CONSOLIDATED=Y","FA_ADJUSTED=GAAP","Sort=A","Dates=H","DateFormat=P","Fill=—","Direction=H","UseDPDF=Y")</f>
        <v>#NAME?</v>
      </c>
      <c r="T468" s="2" t="e">
        <f ca="1">_xll.BDH($C$453,"SALES_GROWTH","FY 2017","FY 2017","Currency=INR","Period=FY","BEST_FPERIOD_OVERRIDE=FY","FILING_STATUS=OR","EQY_CONSOLIDATED=Y","FA_ADJUSTED=GAAP","Sort=A","Dates=H","DateFormat=P","Fill=—","Direction=H","UseDPDF=Y")</f>
        <v>#NAME?</v>
      </c>
      <c r="U468" s="2" t="e">
        <f ca="1">_xll.BDH($C$453,"EBITDA_GROWTH","FY 2017","FY 2017","Currency=INR","Period=FY","BEST_FPERIOD_OVERRIDE=FY","FILING_STATUS=OR","EQY_CONSOLIDATED=Y","FA_ADJUSTED=GAAP","Sort=A","Dates=H","DateFormat=P","Fill=—","Direction=H","UseDPDF=Y")</f>
        <v>#NAME?</v>
      </c>
      <c r="V468" s="2" t="e">
        <f ca="1">_xll.BDH($C$453,"OPER_INC_GROWTH","FY 2017","FY 2017","Currency=INR","Period=FY","BEST_FPERIOD_OVERRIDE=FY","FILING_STATUS=OR","EQY_CONSOLIDATED=Y","FA_ADJUSTED=GAAP","Sort=A","Dates=H","DateFormat=P","Fill=—","Direction=H","UseDPDF=Y")</f>
        <v>#NAME?</v>
      </c>
      <c r="W468" s="2" t="e">
        <f ca="1">_xll.BDH($C$453,"EARN_FOR_COM_GROWTH","FY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468" s="2" t="e">
        <f ca="1">_xll.BDH($C$453,"DILUTED_EPS_AFT_XO_ITEMS_GROWTH","FY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468" s="2" t="e">
        <f ca="1">_xll.BDH($C$453,"DIVIDEND_PER_SHARE_1_YEAR_GROWTH","FY 2017","FY 2017","Currency=INR","Period=FY","BEST_FPERIOD_OVERRIDE=FY","FILING_STATUS=OR","EQY_CONSOLIDATED=Y","Sort=A","Dates=H","DateFormat=P","Fill=—","Direction=H","UseDPDF=Y")</f>
        <v>#NAME?</v>
      </c>
      <c r="Z468" s="2" t="e">
        <f ca="1">_xll.BDH($C$453,"ACCOUNTS_RECEIVABLE_GROWTH","FY 2017","FY 2017","Currency=INR","Period=FY","BEST_FPERIOD_OVERRIDE=FY","FILING_STATUS=OR","EQY_CONSOLIDATED=Y","Sort=A","Dates=H","DateFormat=P","Fill=—","Direction=H","UseDPDF=Y")</f>
        <v>#NAME?</v>
      </c>
      <c r="AA468" s="2" t="e">
        <f ca="1">_xll.BDH($C$453,"INVENTORY_GROWTH","FY 2017","FY 2017","Currency=INR","Period=FY","BEST_FPERIOD_OVERRIDE=FY","FILING_STATUS=OR","EQY_CONSOLIDATED=Y","Sort=A","Dates=H","DateFormat=P","Fill=—","Direction=H","UseDPDF=Y")</f>
        <v>#NAME?</v>
      </c>
      <c r="AB468" s="2" t="e">
        <f ca="1">_xll.BDH($C$453,"NET_FIXED_ASSETS_1_YEAR_GROWTH","FY 2017","FY 2017","Currency=INR","Period=FY","BEST_FPERIOD_OVERRIDE=FY","FILING_STATUS=OR","EQY_CONSOLIDATED=Y","Sort=A","Dates=H","DateFormat=P","Fill=—","Direction=H","UseDPDF=Y")</f>
        <v>#NAME?</v>
      </c>
      <c r="AC468" s="2" t="e">
        <f ca="1">_xll.BDH($C$453,"ASSET_GROWTH","FY 2017","FY 2017","Currency=INR","Period=FY","BEST_FPERIOD_OVERRIDE=FY","FILING_STATUS=OR","EQY_CONSOLIDATED=Y","Sort=A","Dates=H","DateFormat=P","Fill=—","Direction=H","UseDPDF=Y")</f>
        <v>#NAME?</v>
      </c>
      <c r="AD468" s="2" t="e">
        <f ca="1">_xll.BDH($C$453,"MODIFIED_WORK_CAP_GROWTH","FY 2017","FY 2017","Currency=INR","Period=FY","BEST_FPERIOD_OVERRIDE=FY","FILING_STATUS=OR","EQY_CONSOLIDATED=Y","Sort=A","Dates=H","DateFormat=P","Fill=—","Direction=H","UseDPDF=Y")</f>
        <v>#NAME?</v>
      </c>
      <c r="AE468" s="2" t="e">
        <f ca="1">_xll.BDH($C$453,"WORK_CAP_GROWTH","FY 2017","FY 2017","Currency=INR","Period=FY","BEST_FPERIOD_OVERRIDE=FY","FILING_STATUS=OR","EQY_CONSOLIDATED=Y","Sort=A","Dates=H","DateFormat=P","Fill=—","Direction=H","UseDPDF=Y")</f>
        <v>#NAME?</v>
      </c>
      <c r="AF468" s="2" t="e">
        <f ca="1">_xll.BDH($C$453,"ACCOUNTS_PAYABLE_GROWTH_1YR","FY 2017","FY 2017","Currency=INR","Period=FY","BEST_FPERIOD_OVERRIDE=FY","FILING_STATUS=OR","EQY_CONSOLIDATED=Y","Sort=A","Dates=H","DateFormat=P","Fill=—","Direction=H","UseDPDF=Y")</f>
        <v>#NAME?</v>
      </c>
      <c r="AG468" s="2" t="e">
        <f ca="1">_xll.BDH($C$453,"SHORT_TERM_DEBT_1_YEAR_GROWTH","FY 2017","FY 2017","Currency=INR","Period=FY","BEST_FPERIOD_OVERRIDE=FY","FILING_STATUS=OR","EQY_CONSOLIDATED=Y","Sort=A","Dates=H","DateFormat=P","Fill=—","Direction=H","UseDPDF=Y")</f>
        <v>#NAME?</v>
      </c>
      <c r="AH468" s="2" t="e">
        <f ca="1">_xll.BDH($C$453,"TOTAL_DEBT_1_YEAR_GROWTH","FY 2017","FY 2017","Currency=INR","Period=FY","BEST_FPERIOD_OVERRIDE=FY","FILING_STATUS=OR","EQY_CONSOLIDATED=Y","Sort=A","Dates=H","DateFormat=P","Fill=—","Direction=H","UseDPDF=Y")</f>
        <v>#NAME?</v>
      </c>
      <c r="AI468" s="2" t="e">
        <f ca="1">_xll.BDH($C$453,"TOTAL_EQUITY_1_YEAR_GROWTH","FY 2017","FY 2017","Currency=INR","Period=FY","BEST_FPERIOD_OVERRIDE=FY","FILING_STATUS=OR","EQY_CONSOLIDATED=Y","Sort=A","Dates=H","DateFormat=P","Fill=—","Direction=H","UseDPDF=Y")</f>
        <v>#NAME?</v>
      </c>
      <c r="AJ468" s="2" t="e">
        <f ca="1">_xll.BDH($C$453,"GROWTH_IN_CAP","FY 2017","FY 2017","Currency=INR","Period=FY","BEST_FPERIOD_OVERRIDE=FY","FILING_STATUS=OR","EQY_CONSOLIDATED=Y","Sort=A","Dates=H","DateFormat=P","Fill=—","Direction=H","UseDPDF=Y")</f>
        <v>#NAME?</v>
      </c>
      <c r="AK468" s="2" t="e">
        <f ca="1">_xll.BDH($C$453,"BVPS_GROWTH","FY 2017","FY 2017","Currency=INR","Period=FY","BEST_FPERIOD_OVERRIDE=FY","FILING_STATUS=OR","EQY_CONSOLIDATED=Y","Sort=A","Dates=H","DateFormat=P","Fill=—","Direction=H","UseDPDF=Y")</f>
        <v>#NAME?</v>
      </c>
      <c r="AL468" s="2" t="e">
        <f ca="1">_xll.BDH($C$453,"CASH_FLOW_GROWTH","FY 2017","FY 2017","Currency=INR","Period=FY","BEST_FPERIOD_OVERRIDE=FY","FILING_STATUS=OR","EQY_CONSOLIDATED=Y","Sort=A","Dates=H","DateFormat=P","Fill=—","Direction=H","UseDPDF=Y")</f>
        <v>#NAME?</v>
      </c>
      <c r="AM468" s="2" t="e">
        <f ca="1">_xll.BDH($C$453,"GEO_GROW_NET_SALES","FY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468" s="2" t="e">
        <f ca="1">_xll.BDH($C$453,"GEO_GROW_EBITDA","FY 2017","FY 2017","Currency=INR","Period=FY","BEST_FPERIOD_OVERRIDE=FY","FILING_STATUS=OR","EQY_CONSOLIDATED=Y","FA_ADJUSTED=GAAP","Sort=A","Dates=H","DateFormat=P","Fill=—","Direction=H","UseDPDF=Y")</f>
        <v>#NAME?</v>
      </c>
      <c r="AO468" s="2" t="e">
        <f ca="1">_xll.BDH($C$453,"GEO_GROW_OPER_INC","FY 2017","FY 2017","Currency=INR","Period=FY","BEST_FPERIOD_OVERRIDE=FY","FILING_STATUS=OR","EQY_CONSOLIDATED=Y","FA_ADJUSTED=GAAP","Sort=A","Dates=H","DateFormat=P","Fill=—","Direction=H","UseDPDF=Y")</f>
        <v>#NAME?</v>
      </c>
      <c r="AP468" s="2" t="e">
        <f ca="1">_xll.BDH($C$453,"NET_INCOME_TO_COMMON_5_YR_GROWTH","FY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468" s="2" t="e">
        <f ca="1">_xll.BDH($C$453,"5Y_GEO_GROWTH_DILUTED_EPS","FY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468" s="2" t="e">
        <f ca="1">_xll.BDH($C$453,"GEO_GROW_DVD_PER_SH","FY 2017","FY 2017","Currency=INR","Period=FY","BEST_FPERIOD_OVERRIDE=FY","FILING_STATUS=OR","EQY_CONSOLIDATED=Y","Sort=A","Dates=H","DateFormat=P","Fill=—","Direction=H","UseDPDF=Y")</f>
        <v>#NAME?</v>
      </c>
      <c r="AS468" s="2" t="e">
        <f ca="1">_xll.BDH($C$453,"ACCOUNTS_RECEIVABLE_5_YR_GROWTH","FY 2017","FY 2017","Currency=INR","Period=FY","BEST_FPERIOD_OVERRIDE=FY","FILING_STATUS=OR","EQY_CONSOLIDATED=Y","Sort=A","Dates=H","DateFormat=P","Fill=—","Direction=H","UseDPDF=Y")</f>
        <v>#NAME?</v>
      </c>
      <c r="AT468" s="2" t="e">
        <f ca="1">_xll.BDH($C$453,"INVENTORY_5_YEAR_GROWTH","FY 2017","FY 2017","Currency=INR","Period=FY","BEST_FPERIOD_OVERRIDE=FY","FILING_STATUS=OR","EQY_CONSOLIDATED=Y","Sort=A","Dates=H","DateFormat=P","Fill=—","Direction=H","UseDPDF=Y")</f>
        <v>#NAME?</v>
      </c>
      <c r="AU468" s="2" t="e">
        <f ca="1">_xll.BDH($C$453,"NET_FIXED_ASSETS_5_YEAR_GROWTH","FY 2017","FY 2017","Currency=INR","Period=FY","BEST_FPERIOD_OVERRIDE=FY","FILING_STATUS=OR","EQY_CONSOLIDATED=Y","Sort=A","Dates=H","DateFormat=P","Fill=—","Direction=H","UseDPDF=Y")</f>
        <v>#NAME?</v>
      </c>
      <c r="AV468" s="2" t="e">
        <f ca="1">_xll.BDH($C$453,"GEO_GROW_TOT_ASSET","FY 2017","FY 2017","Currency=INR","Period=FY","BEST_FPERIOD_OVERRIDE=FY","FILING_STATUS=OR","EQY_CONSOLIDATED=Y","Sort=A","Dates=H","DateFormat=P","Fill=—","Direction=H","UseDPDF=Y")</f>
        <v>#NAME?</v>
      </c>
      <c r="AW468" s="2" t="e">
        <f ca="1">_xll.BDH($C$453,"MODIFIED_WORKING_CPTL_5YR_GRWTH","FY 2017","FY 2017","Currency=INR","Period=FY","BEST_FPERIOD_OVERRIDE=FY","FILING_STATUS=OR","EQY_CONSOLIDATED=Y","Sort=A","Dates=H","DateFormat=P","Fill=—","Direction=H","UseDPDF=Y")</f>
        <v>#NAME?</v>
      </c>
      <c r="AX468" s="2" t="e">
        <f ca="1">_xll.BDH($C$453,"WORKING_CAPITAL_5_YEAR_GROWTH","FY 2017","FY 2017","Currency=INR","Period=FY","BEST_FPERIOD_OVERRIDE=FY","FILING_STATUS=OR","EQY_CONSOLIDATED=Y","Sort=A","Dates=H","DateFormat=P","Fill=—","Direction=H","UseDPDF=Y")</f>
        <v>#NAME?</v>
      </c>
      <c r="AY468" s="2" t="e">
        <f ca="1">_xll.BDH($C$453,"ACCOUNTS_PAYABLE_5_YEAR_GROWTH","FY 2017","FY 2017","Currency=INR","Period=FY","BEST_FPERIOD_OVERRIDE=FY","FILING_STATUS=OR","EQY_CONSOLIDATED=Y","Sort=A","Dates=H","DateFormat=P","Fill=—","Direction=H","UseDPDF=Y")</f>
        <v>#NAME?</v>
      </c>
      <c r="AZ468" s="2" t="e">
        <f ca="1">_xll.BDH($C$453,"SHORT_TERM_DEBT_5_YEAR_GROWTH","FY 2017","FY 2017","Currency=INR","Period=FY","BEST_FPERIOD_OVERRIDE=FY","FILING_STATUS=OR","EQY_CONSOLIDATED=Y","Sort=A","Dates=H","DateFormat=P","Fill=—","Direction=H","UseDPDF=Y")</f>
        <v>#NAME?</v>
      </c>
      <c r="BA468" s="2" t="e">
        <f ca="1">_xll.BDH($C$453,"TOTAL_DEBT_5_YEAR_GROWTH","FY 2017","FY 2017","Currency=INR","Period=FY","BEST_FPERIOD_OVERRIDE=FY","FILING_STATUS=OR","EQY_CONSOLIDATED=Y","Sort=A","Dates=H","DateFormat=P","Fill=—","Direction=H","UseDPDF=Y")</f>
        <v>#NAME?</v>
      </c>
      <c r="BB468" s="2" t="e">
        <f ca="1">_xll.BDH($C$453,"GEO_GROW_TOT_SHRHLDR_EQY","FY 2017","FY 2017","Currency=INR","Period=FY","BEST_FPERIOD_OVERRIDE=FY","FILING_STATUS=OR","EQY_CONSOLIDATED=Y","Sort=A","Dates=H","DateFormat=P","Fill=—","Direction=H","UseDPDF=Y")</f>
        <v>#NAME?</v>
      </c>
      <c r="BC468" s="2" t="e">
        <f ca="1">_xll.BDH($C$453,"TOTAL_CAPITAL_5_YEAR_GROWTH","FY 2017","FY 2017","Currency=INR","Period=FY","BEST_FPERIOD_OVERRIDE=FY","FILING_STATUS=OR","EQY_CONSOLIDATED=Y","Sort=A","Dates=H","DateFormat=P","Fill=—","Direction=H","UseDPDF=Y")</f>
        <v>#NAME?</v>
      </c>
      <c r="BD468" s="2" t="e">
        <f ca="1">_xll.BDH($C$453,"GEO_GROW_BOOK_VAL","FY 2017","FY 2017","Currency=INR","Period=FY","BEST_FPERIOD_OVERRIDE=FY","FILING_STATUS=OR","EQY_CONSOLIDATED=Y","Sort=A","Dates=H","DateFormat=P","Fill=—","Direction=H","UseDPDF=Y")</f>
        <v>#NAME?</v>
      </c>
      <c r="BE468" s="2" t="e">
        <f ca="1">_xll.BDH($C$453,"GEO_GROW_CASH_OPER_ACT","FY 2017","FY 2017","Currency=INR","Period=FY","BEST_FPERIOD_OVERRIDE=FY","FILING_STATUS=OR","EQY_CONSOLIDATED=Y","Sort=A","Dates=H","DateFormat=P","Fill=—","Direction=H","UseDPDF=Y")</f>
        <v>#NAME?</v>
      </c>
      <c r="BF468" s="2" t="e">
        <f ca="1">_xll.BDH($C$453,"REVENUE_SEQUENTIAL_GROWTH","FY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468" s="2" t="e">
        <f ca="1">_xll.BDH($C$453,"EBITDA_SEQUENTIAL_GROWTH","FY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468" s="2" t="e">
        <f ca="1">_xll.BDH($C$453,"OPERATING_INCOME_SEQ_GROWTH","FY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468" s="2" t="e">
        <f ca="1">_xll.BDH($C$453,"NET_INCOME_TO_COMMON_SEQ_GROWTH","FY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468" s="2" t="e">
        <f ca="1">_xll.BDH($C$453,"EPS_DILUTED_SEQUENTIAL_GROWTH","FY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468" s="2" t="e">
        <f ca="1">_xll.BDH($C$453,"DPS_SEQUENTIAL_GROWTH","FY 2017","FY 2017","Currency=INR","Period=FY","BEST_FPERIOD_OVERRIDE=FY","FILING_STATUS=OR","EQY_CONSOLIDATED=Y","Sort=A","Dates=H","DateFormat=P","Fill=—","Direction=H","UseDPDF=Y")</f>
        <v>#NAME?</v>
      </c>
      <c r="BL468" s="2" t="e">
        <f ca="1">_xll.BDH($C$453,"ACCOUNTS_RECEIVABLE_SEQ_GROWTH","FY 2017","FY 2017","Currency=INR","Period=FY","BEST_FPERIOD_OVERRIDE=FY","FILING_STATUS=OR","EQY_CONSOLIDATED=Y","Sort=A","Dates=H","DateFormat=P","Fill=—","Direction=H","UseDPDF=Y")</f>
        <v>#NAME?</v>
      </c>
      <c r="BM468" s="2" t="e">
        <f ca="1">_xll.BDH($C$453,"INVENTORY_SEQUENTIAL_GROWTH","FY 2017","FY 2017","Currency=INR","Period=FY","BEST_FPERIOD_OVERRIDE=FY","FILING_STATUS=OR","EQY_CONSOLIDATED=Y","Sort=A","Dates=H","DateFormat=P","Fill=—","Direction=H","UseDPDF=Y")</f>
        <v>#NAME?</v>
      </c>
      <c r="BN468" s="2" t="e">
        <f ca="1">_xll.BDH($C$453,"FIXED_ASSETS_SEQUENTIAL_GROWTH","FY 2017","FY 2017","Currency=INR","Period=FY","BEST_FPERIOD_OVERRIDE=FY","FILING_STATUS=OR","EQY_CONSOLIDATED=Y","Sort=A","Dates=H","DateFormat=P","Fill=—","Direction=H","UseDPDF=Y")</f>
        <v>#NAME?</v>
      </c>
      <c r="BO468" s="2" t="e">
        <f ca="1">_xll.BDH($C$453,"TOTAL_ASSETS_SEQUENTIAL_GROWTH","FY 2017","FY 2017","Currency=INR","Period=FY","BEST_FPERIOD_OVERRIDE=FY","FILING_STATUS=OR","EQY_CONSOLIDATED=Y","Sort=A","Dates=H","DateFormat=P","Fill=—","Direction=H","UseDPDF=Y")</f>
        <v>#NAME?</v>
      </c>
      <c r="BP468" s="2" t="e">
        <f ca="1">_xll.BDH($C$453,"MODIFIED_WORKING_CPTL_SEQ_GRWTH","FY 2017","FY 2017","Currency=INR","Period=FY","BEST_FPERIOD_OVERRIDE=FY","FILING_STATUS=OR","EQY_CONSOLIDATED=Y","Sort=A","Dates=H","DateFormat=P","Fill=—","Direction=H","UseDPDF=Y")</f>
        <v>#NAME?</v>
      </c>
      <c r="BQ468" s="2" t="e">
        <f ca="1">_xll.BDH($C$453,"WORKING_CAPITAL_SEQ_GROWTH","FY 2017","FY 2017","Currency=INR","Period=FY","BEST_FPERIOD_OVERRIDE=FY","FILING_STATUS=OR","EQY_CONSOLIDATED=Y","Sort=A","Dates=H","DateFormat=P","Fill=—","Direction=H","UseDPDF=Y")</f>
        <v>#NAME?</v>
      </c>
      <c r="BR468" s="2" t="e">
        <f ca="1">_xll.BDH($C$453,"ACCOUNTS_PAYABLE_SEQ_GROWTH","FY 2017","FY 2017","Currency=INR","Period=FY","BEST_FPERIOD_OVERRIDE=FY","FILING_STATUS=OR","EQY_CONSOLIDATED=Y","Sort=A","Dates=H","DateFormat=P","Fill=—","Direction=H","UseDPDF=Y")</f>
        <v>#NAME?</v>
      </c>
      <c r="BS468" s="2" t="e">
        <f ca="1">_xll.BDH($C$453,"ST_DEBT_SEQUENTIAL_GROWTH","FY 2017","FY 2017","Currency=INR","Period=FY","BEST_FPERIOD_OVERRIDE=FY","FILING_STATUS=OR","EQY_CONSOLIDATED=Y","Sort=A","Dates=H","DateFormat=P","Fill=—","Direction=H","UseDPDF=Y")</f>
        <v>#NAME?</v>
      </c>
      <c r="BT468" s="2" t="e">
        <f ca="1">_xll.BDH($C$453,"TOTAL_DEBT_SEQUENTIAL_GROWTH","FY 2017","FY 2017","Currency=INR","Period=FY","BEST_FPERIOD_OVERRIDE=FY","FILING_STATUS=OR","EQY_CONSOLIDATED=Y","Sort=A","Dates=H","DateFormat=P","Fill=—","Direction=H","UseDPDF=Y")</f>
        <v>#NAME?</v>
      </c>
      <c r="BU468" s="2" t="e">
        <f ca="1">_xll.BDH($C$453,"TOTAL_EQUITY_SEQUENTIAL_GROWTH","FY 2017","FY 2017","Currency=INR","Period=FY","BEST_FPERIOD_OVERRIDE=FY","FILING_STATUS=OR","EQY_CONSOLIDATED=Y","Sort=A","Dates=H","DateFormat=P","Fill=—","Direction=H","UseDPDF=Y")</f>
        <v>#NAME?</v>
      </c>
      <c r="BV468" s="2" t="e">
        <f ca="1">_xll.BDH($C$453,"TOTAL_CAPITAL_SEQUENTIAL_GROWTH","FY 2017","FY 2017","Currency=INR","Period=FY","BEST_FPERIOD_OVERRIDE=FY","FILING_STATUS=OR","EQY_CONSOLIDATED=Y","Sort=A","Dates=H","DateFormat=P","Fill=—","Direction=H","UseDPDF=Y")</f>
        <v>#NAME?</v>
      </c>
      <c r="BW468" s="2" t="e">
        <f ca="1">_xll.BDH($C$453,"BPS_SEQUENTIAL_GROWTH","FY 2017","FY 2017","Currency=INR","Period=FY","BEST_FPERIOD_OVERRIDE=FY","FILING_STATUS=OR","EQY_CONSOLIDATED=Y","Sort=A","Dates=H","DateFormat=P","Fill=—","Direction=H","UseDPDF=Y")</f>
        <v>#NAME?</v>
      </c>
      <c r="BX468" s="2" t="e">
        <f ca="1">_xll.BDH($C$453,"CFO_SEQUENTIAL_GROWTH","FY 2017","FY 2017","Currency=INR","Period=FY","BEST_FPERIOD_OVERRIDE=FY","FILING_STATUS=OR","EQY_CONSOLIDATED=Y","Sort=A","Dates=H","DateFormat=P","Fill=—","Direction=H","UseDPDF=Y")</f>
        <v>#NAME?</v>
      </c>
      <c r="BY468" s="3" t="e">
        <f ca="1">_xll.BDH($C$453,"SHORT_AND_LONG_TERM_DEBT","FY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468" s="3" t="e">
        <f ca="1">_xll.BDH($C$453,"BS_ST_BORROW","FY 2017","FY 2017","Currency=INR","Period=FY","BEST_FPERIOD_OVERRIDE=FY","FILING_STATUS=OR","EQY_CONSOLIDATED=Y","SCALING_FORMAT=MLN","Sort=A","Dates=H","DateFormat=P","Fill=—","Direction=H","UseDPDF=Y")</f>
        <v>#NAME?</v>
      </c>
      <c r="CA468" s="3" t="e">
        <f ca="1">_xll.BDH($C$453,"BS_LT_BORROW","FY 2017","FY 2017","Currency=INR","Period=FY","BEST_FPERIOD_OVERRIDE=FY","FILING_STATUS=OR","EQY_CONSOLIDATED=Y","SCALING_FORMAT=MLN","Sort=A","Dates=H","DateFormat=P","Fill=—","Direction=H","UseDPDF=Y")</f>
        <v>#NAME?</v>
      </c>
      <c r="CB468" s="2" t="e">
        <f ca="1">_xll.BDH($C$453,"TOT_DEBT_TO_EBITDA","FY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468" s="2" t="e">
        <f ca="1">_xll.BDH($C$453,"NET_DEBT_TO_EBITDA","FY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468" s="2" t="e">
        <f ca="1">_xll.BDH($C$453,"TOTAL_DEBT_TO_EBIT","FY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468" s="2" t="e">
        <f ca="1">_xll.BDH($C$453,"NET_DEBT_TO_EBIT","FY 2017","FY 2017","Currency=INR","Period=FY","BEST_FPERIOD_OVERRIDE=FY","FILING_STATUS=OR","EQY_CONSOLIDATED=Y","FA_ADJUSTED=GAAP","Sort=A","Dates=H","DateFormat=P","Fill=—","Direction=H","UseDPDF=Y")</f>
        <v>#NAME?</v>
      </c>
      <c r="CF468" s="2" t="e">
        <f ca="1">_xll.BDH($C$453,"EBITDA_TO_INTEREST_EXPN","FY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468" s="2" t="e">
        <f ca="1">_xll.BDH($C$453,"COM_EQY_TO_TOT_ASSET","FY 2017","FY 2017","Currency=INR","Period=FY","BEST_FPERIOD_OVERRIDE=FY","FILING_STATUS=OR","EQY_CONSOLIDATED=Y","Sort=A","Dates=H","DateFormat=P","Fill=—","Direction=H","UseDPDF=Y")</f>
        <v>#NAME?</v>
      </c>
      <c r="CH468" s="2" t="e">
        <f ca="1">_xll.BDH($C$453,"LT_DEBT_TO_TOT_EQY","FY 2017","FY 2017","Currency=INR","Period=FY","BEST_FPERIOD_OVERRIDE=FY","FILING_STATUS=OR","EQY_CONSOLIDATED=Y","Sort=A","Dates=H","DateFormat=P","Fill=—","Direction=H","UseDPDF=Y")</f>
        <v>#NAME?</v>
      </c>
      <c r="CI468" s="2" t="e">
        <f ca="1">_xll.BDH($C$453,"LT_DEBT_TO_TOT_CAP","FY 2017","FY 2017","Currency=INR","Period=FY","BEST_FPERIOD_OVERRIDE=FY","FILING_STATUS=OR","EQY_CONSOLIDATED=Y","Sort=A","Dates=H","DateFormat=P","Fill=—","Direction=H","UseDPDF=Y")</f>
        <v>#NAME?</v>
      </c>
      <c r="CJ468" s="2" t="e">
        <f ca="1">_xll.BDH($C$453,"LT_DEBT_TO_TOT_ASSET","FY 2017","FY 2017","Currency=INR","Period=FY","BEST_FPERIOD_OVERRIDE=FY","FILING_STATUS=OR","EQY_CONSOLIDATED=Y","Sort=A","Dates=H","DateFormat=P","Fill=—","Direction=H","UseDPDF=Y")</f>
        <v>#NAME?</v>
      </c>
      <c r="CK468" s="2" t="e">
        <f ca="1">_xll.BDH($C$453,"TOT_DEBT_TO_TOT_EQY","FY 2017","FY 2017","Currency=INR","Period=FY","BEST_FPERIOD_OVERRIDE=FY","FILING_STATUS=OR","EQY_CONSOLIDATED=Y","Sort=A","Dates=H","DateFormat=P","Fill=—","Direction=H","UseDPDF=Y")</f>
        <v>#NAME?</v>
      </c>
      <c r="CL468" s="2" t="e">
        <f ca="1">_xll.BDH($C$453,"TOT_DEBT_TO_TOT_CAP","FY 2017","FY 2017","Currency=INR","Period=FY","BEST_FPERIOD_OVERRIDE=FY","FILING_STATUS=OR","EQY_CONSOLIDATED=Y","Sort=A","Dates=H","DateFormat=P","Fill=—","Direction=H","UseDPDF=Y")</f>
        <v>#NAME?</v>
      </c>
      <c r="CM468" s="2" t="e">
        <f ca="1">_xll.BDH($C$453,"TOT_DEBT_TO_TOT_ASSET","FY 2017","FY 2017","Currency=INR","Period=FY","BEST_FPERIOD_OVERRIDE=FY","FILING_STATUS=OR","EQY_CONSOLIDATED=Y","Sort=A","Dates=H","DateFormat=P","Fill=—","Direction=H","UseDPDF=Y")</f>
        <v>#NAME?</v>
      </c>
      <c r="CN468" s="2" t="e">
        <f ca="1">_xll.BDH($C$453,"NET_DEBT_TO_SHRHLDR_EQTY","FY 2017","FY 2017","Currency=INR","Period=FY","BEST_FPERIOD_OVERRIDE=FY","FILING_STATUS=OR","EQY_CONSOLIDATED=Y","Sort=A","Dates=H","DateFormat=P","Fill=—","Direction=H","UseDPDF=Y")</f>
        <v>#NAME?</v>
      </c>
      <c r="CO468" s="2" t="e">
        <f ca="1">_xll.BDH($C$453,"NET_DEBT_%_CAPITAL","FY 2017","FY 2017","Currency=INR","Period=FY","BEST_FPERIOD_OVERRIDE=FY","FILING_STATUS=OR","EQY_CONSOLIDATED=Y","Sort=A","Dates=H","DateFormat=P","Fill=—","Direction=H","UseDPDF=Y")</f>
        <v>#NAME?</v>
      </c>
      <c r="CP468" s="3" t="e">
        <f ca="1">_xll.BDH($C$453,"EBITDA","FY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468" s="3" t="e">
        <f ca="1">_xll.BDH($C$453,"EBITDA_AFTER_CAPEX","FY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468" s="3" t="e">
        <f ca="1">_xll.BDH($C$453,"IS_OPER_INC","FY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468" s="2" t="e">
        <f ca="1">_xll.BDH($C$453,"CASH_RATIO","FY 2017","FY 2017","Currency=INR","Period=FY","BEST_FPERIOD_OVERRIDE=FY","FILING_STATUS=OR","EQY_CONSOLIDATED=Y","Sort=A","Dates=H","DateFormat=P","Fill=—","Direction=H","UseDPDF=Y")</f>
        <v>#NAME?</v>
      </c>
      <c r="CT468" s="2" t="e">
        <f ca="1">_xll.BDH($C$453,"CUR_RATIO","FY 2017","FY 2017","Currency=INR","Period=FY","BEST_FPERIOD_OVERRIDE=FY","FILING_STATUS=OR","EQY_CONSOLIDATED=Y","Sort=A","Dates=H","DateFormat=P","Fill=—","Direction=H","UseDPDF=Y")</f>
        <v>#NAME?</v>
      </c>
      <c r="CU468" s="2" t="e">
        <f ca="1">_xll.BDH($C$453,"QUICK_RATIO","FY 2017","FY 2017","Currency=INR","Period=FY","BEST_FPERIOD_OVERRIDE=FY","FILING_STATUS=OR","EQY_CONSOLIDATED=Y","Sort=A","Dates=H","DateFormat=P","Fill=—","Direction=H","UseDPDF=Y")</f>
        <v>#NAME?</v>
      </c>
      <c r="CV468" s="2" t="e">
        <f ca="1">_xll.BDH($C$453,"ALTMAN_Z_SCORE","FY 2017","FY 2017","Currency=INR","Period=FY","BEST_FPERIOD_OVERRIDE=FY","FILING_STATUS=OR","EQY_CONSOLIDATED=Y","Sort=A","Dates=H","DateFormat=P","Fill=—","Direction=H","UseDPDF=Y")</f>
        <v>#NAME?</v>
      </c>
      <c r="CW468" s="4" t="e">
        <f ca="1">_xll.BDH($C$453,"ACCT_RCV_TURN","FY 2017","FY 2017","Currency=INR","Period=FY","BEST_FPERIOD_OVERRIDE=FY","FILING_STATUS=OR","EQY_CONSOLIDATED=Y","FA_ADJUSTED=GAAP","Sort=A","Dates=H","DateFormat=P","Fill=—","Direction=H","UseDPDF=Y")</f>
        <v>#NAME?</v>
      </c>
      <c r="CX468" s="2" t="e">
        <f ca="1">_xll.BDH($C$453,"ACCT_RCV_DAYS","FY 2017","FY 2017","Currency=INR","Period=FY","BEST_FPERIOD_OVERRIDE=FY","FILING_STATUS=OR","EQY_CONSOLIDATED=Y","FA_ADJUSTED=GAAP","Sort=A","Dates=H","DateFormat=P","Fill=—","Direction=H","UseDPDF=Y")</f>
        <v>#NAME?</v>
      </c>
      <c r="CY468" s="4" t="e">
        <f ca="1">_xll.BDH($C$453,"INVENT_TURN","FY 2017","FY 2017","Currency=INR","Period=FY","BEST_FPERIOD_OVERRIDE=FY","FILING_STATUS=OR","EQY_CONSOLIDATED=Y","FA_ADJUSTED=GAAP","Sort=A","Dates=H","DateFormat=P","Fill=—","Direction=H","UseDPDF=Y")</f>
        <v>#NAME?</v>
      </c>
      <c r="CZ468" s="2" t="e">
        <f ca="1">_xll.BDH($C$453,"INVENT_DAYS","FY 2017","FY 2017","Currency=INR","Period=FY","BEST_FPERIOD_OVERRIDE=FY","FILING_STATUS=OR","EQY_CONSOLIDATED=Y","FA_ADJUSTED=GAAP","Sort=A","Dates=H","DateFormat=P","Fill=—","Direction=H","UseDPDF=Y")</f>
        <v>#NAME?</v>
      </c>
      <c r="DA468" s="4" t="e">
        <f ca="1">_xll.BDH($C$453,"ACCOUNTS_PAYABLE_TURNOVER","FY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468" s="2" t="e">
        <f ca="1">_xll.BDH($C$453,"ACCOUNTS_PAYABLE_TURNOVER_DAYS","FY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468" s="4" t="e">
        <f ca="1">_xll.BDH($C$453,"CASH_CONVERSION_CYCLE","FY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468" s="4" t="e">
        <f ca="1">_xll.BDH($C$453,"INV_TO_CASH_DAYS","FY 2017","FY 2017","Currency=INR","Period=FY","BEST_FPERIOD_OVERRIDE=FY","FILING_STATUS=OR","EQY_CONSOLIDATED=Y","FA_ADJUSTED=GAAP","Sort=A","Dates=H","DateFormat=P","Fill=—","Direction=H","UseDPDF=Y")</f>
        <v>#NAME?</v>
      </c>
      <c r="DE468" s="5" t="e">
        <f ca="1">_xll.BDH($C$453,"BS_INVENTORIES","FY 2017","FY 2017","Currency=INR","Period=FY","BEST_FPERIOD_OVERRIDE=FY","FILING_STATUS=OR","EQY_CONSOLIDATED=Y","SCALING_FORMAT=MLN","Sort=A","Dates=H","DateFormat=P","Fill=—","Direction=H","UseDPDF=Y")</f>
        <v>#NAME?</v>
      </c>
      <c r="DF468" s="3" t="e">
        <f ca="1">_xll.BDH($C$453,"INVTRY_RAW_MATERIALS","FY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468" s="3" t="e">
        <f ca="1">_xll.BDH($C$453,"INVTRY_IN_PROGRESS","FY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468" s="3" t="e">
        <f ca="1">_xll.BDH($C$453,"INVTRY_FINISHED_GOODS","FY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468" s="3" t="e">
        <f ca="1">_xll.BDH($C$453,"BS_OTHER_INV","FY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469" spans="1:113" x14ac:dyDescent="0.3">
      <c r="A469" s="6"/>
      <c r="B469" s="6"/>
      <c r="C469" s="6"/>
      <c r="D469" s="6"/>
      <c r="E469" t="s">
        <v>78</v>
      </c>
      <c r="F469" t="e">
        <f ca="1">_xll.BDH($C$453,"RETURN_COM_EQY","FQ1 2017","FQ1 2017","Currency=INR","Period=FQ","BEST_FPERIOD_OVERRIDE=FQ","FILING_STATUS=OR","EQY_CONSOLIDATED=Y","FA_ADJUSTED=GAAP","Sort=A","Dates=H","DateFormat=P","Fill=—","Direction=H","UseDPDF=Y")</f>
        <v>#NAME?</v>
      </c>
      <c r="G469" t="e">
        <f ca="1">_xll.BDH($C$453,"RETURN_ON_ASSET","FQ1 2017","FQ1 2017","Currency=INR","Period=FQ","BEST_FPERIOD_OVERRIDE=FQ","FILING_STATUS=OR","EQY_CONSOLIDATED=Y","FA_ADJUSTED=GAAP","Sort=A","Dates=H","DateFormat=P","Fill=—","Direction=H","UseDPDF=Y")</f>
        <v>#NAME?</v>
      </c>
      <c r="H469" t="e">
        <f ca="1">_xll.BDH($C$453,"RETURN_ON_CAP","FQ1 2017","FQ1 2017","Currency=INR","Period=FQ","BEST_FPERIOD_OVERRIDE=FQ","FILING_STATUS=OR","EQY_CONSOLIDATED=Y","FA_ADJUSTED=GAAP","Sort=A","Dates=H","DateFormat=P","Fill=—","Direction=H","UseDPDF=Y")</f>
        <v>#NAME?</v>
      </c>
      <c r="I469" t="e">
        <f ca="1">_xll.BDH($C$453,"RETURN_ON_INV_CAPITAL","FQ1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469" t="e">
        <f ca="1">_xll.BDH($C$453,"EBITDA_TO_REVENUE","FQ1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469" t="e">
        <f ca="1">_xll.BDH($C$453,"OPER_MARGIN","FQ1 2017","FQ1 2017","Currency=INR","Period=FQ","BEST_FPERIOD_OVERRIDE=FQ","FILING_STATUS=OR","EQY_CONSOLIDATED=Y","FA_ADJUSTED=GAAP","Sort=A","Dates=H","DateFormat=P","Fill=—","Direction=H","UseDPDF=Y")</f>
        <v>#NAME?</v>
      </c>
      <c r="L469" t="e">
        <f ca="1">_xll.BDH($C$453,"INCREMENTAL_OPERATING_MARGIN","FQ1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469" t="e">
        <f ca="1">_xll.BDH($C$453,"PRETAX_INC_TO_NET_SALES","FQ1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469" t="e">
        <f ca="1">_xll.BDH($C$453,"INC_BEF_XO_ITEMS_TO_NET_SALES","FQ1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469" t="e">
        <f ca="1">_xll.BDH($C$453,"PROF_MARGIN","FQ1 2017","FQ1 2017","Currency=INR","Period=FQ","BEST_FPERIOD_OVERRIDE=FQ","FILING_STATUS=OR","EQY_CONSOLIDATED=Y","FA_ADJUSTED=GAAP","Sort=A","Dates=H","DateFormat=P","Fill=—","Direction=H","UseDPDF=Y")</f>
        <v>#NAME?</v>
      </c>
      <c r="P469" t="e">
        <f ca="1">_xll.BDH($C$453,"NET_INCOME_TO_COMMON_MARGIN","FQ1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469" t="e">
        <f ca="1">_xll.BDH($C$453,"EFF_TAX_RATE","FQ1 2017","FQ1 2017","Currency=INR","Period=FQ","BEST_FPERIOD_OVERRIDE=FQ","FILING_STATUS=OR","EQY_CONSOLIDATED=Y","FA_ADJUSTED=GAAP","Sort=A","Dates=H","DateFormat=P","Fill=—","Direction=H","UseDPDF=Y")</f>
        <v>#NAME?</v>
      </c>
      <c r="R469" t="e">
        <f ca="1">_xll.BDH($C$453,"DVD_PAYOUT_RATIO","FQ1 2017","FQ1 2017","Currency=INR","Period=FQ","BEST_FPERIOD_OVERRIDE=FQ","FILING_STATUS=OR","EQY_CONSOLIDATED=Y","FA_ADJUSTED=GAAP","Sort=A","Dates=H","DateFormat=P","Fill=—","Direction=H","UseDPDF=Y")</f>
        <v>#NAME?</v>
      </c>
      <c r="S469" t="e">
        <f ca="1">_xll.BDH($C$453,"SUSTAIN_GROWTH_RT","FQ1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469" s="2" t="e">
        <f ca="1">_xll.BDH($C$453,"SALES_GROWTH","FQ1 2017","FQ1 2017","Currency=INR","Period=FQ","BEST_FPERIOD_OVERRIDE=FQ","FILING_STATUS=OR","EQY_CONSOLIDATED=Y","FA_ADJUSTED=GAAP","Sort=A","Dates=H","DateFormat=P","Fill=—","Direction=H","UseDPDF=Y")</f>
        <v>#NAME?</v>
      </c>
      <c r="U469" s="2" t="e">
        <f ca="1">_xll.BDH($C$453,"EBITDA_GROWTH","FQ1 2017","FQ1 2017","Currency=INR","Period=FQ","BEST_FPERIOD_OVERRIDE=FQ","FILING_STATUS=OR","EQY_CONSOLIDATED=Y","FA_ADJUSTED=GAAP","Sort=A","Dates=H","DateFormat=P","Fill=—","Direction=H","UseDPDF=Y")</f>
        <v>#NAME?</v>
      </c>
      <c r="V469" s="2" t="e">
        <f ca="1">_xll.BDH($C$453,"OPER_INC_GROWTH","FQ1 2017","FQ1 2017","Currency=INR","Period=FQ","BEST_FPERIOD_OVERRIDE=FQ","FILING_STATUS=OR","EQY_CONSOLIDATED=Y","FA_ADJUSTED=GAAP","Sort=A","Dates=H","DateFormat=P","Fill=—","Direction=H","UseDPDF=Y")</f>
        <v>#NAME?</v>
      </c>
      <c r="W469" s="2" t="e">
        <f ca="1">_xll.BDH($C$453,"EARN_FOR_COM_GROWTH","FQ1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469" s="2" t="e">
        <f ca="1">_xll.BDH($C$453,"DILUTED_EPS_AFT_XO_ITEMS_GROWTH","FQ1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469" s="2" t="e">
        <f ca="1">_xll.BDH($C$453,"DIVIDEND_PER_SHARE_1_YEAR_GROWTH","FQ1 2017","FQ1 2017","Currency=INR","Period=FQ","BEST_FPERIOD_OVERRIDE=FQ","FILING_STATUS=OR","EQY_CONSOLIDATED=Y","Sort=A","Dates=H","DateFormat=P","Fill=—","Direction=H","UseDPDF=Y")</f>
        <v>#NAME?</v>
      </c>
      <c r="Z469" s="2" t="e">
        <f ca="1">_xll.BDH($C$453,"ACCOUNTS_RECEIVABLE_GROWTH","FQ1 2017","FQ1 2017","Currency=INR","Period=FQ","BEST_FPERIOD_OVERRIDE=FQ","FILING_STATUS=OR","EQY_CONSOLIDATED=Y","Sort=A","Dates=H","DateFormat=P","Fill=—","Direction=H","UseDPDF=Y")</f>
        <v>#NAME?</v>
      </c>
      <c r="AA469" s="2" t="e">
        <f ca="1">_xll.BDH($C$453,"INVENTORY_GROWTH","FQ1 2017","FQ1 2017","Currency=INR","Period=FQ","BEST_FPERIOD_OVERRIDE=FQ","FILING_STATUS=OR","EQY_CONSOLIDATED=Y","Sort=A","Dates=H","DateFormat=P","Fill=—","Direction=H","UseDPDF=Y")</f>
        <v>#NAME?</v>
      </c>
      <c r="AB469" s="2" t="e">
        <f ca="1">_xll.BDH($C$453,"NET_FIXED_ASSETS_1_YEAR_GROWTH","FQ1 2017","FQ1 2017","Currency=INR","Period=FQ","BEST_FPERIOD_OVERRIDE=FQ","FILING_STATUS=OR","EQY_CONSOLIDATED=Y","Sort=A","Dates=H","DateFormat=P","Fill=—","Direction=H","UseDPDF=Y")</f>
        <v>#NAME?</v>
      </c>
      <c r="AC469" s="2" t="e">
        <f ca="1">_xll.BDH($C$453,"ASSET_GROWTH","FQ1 2017","FQ1 2017","Currency=INR","Period=FQ","BEST_FPERIOD_OVERRIDE=FQ","FILING_STATUS=OR","EQY_CONSOLIDATED=Y","Sort=A","Dates=H","DateFormat=P","Fill=—","Direction=H","UseDPDF=Y")</f>
        <v>#NAME?</v>
      </c>
      <c r="AD469" s="2" t="e">
        <f ca="1">_xll.BDH($C$453,"MODIFIED_WORK_CAP_GROWTH","FQ1 2017","FQ1 2017","Currency=INR","Period=FQ","BEST_FPERIOD_OVERRIDE=FQ","FILING_STATUS=OR","EQY_CONSOLIDATED=Y","Sort=A","Dates=H","DateFormat=P","Fill=—","Direction=H","UseDPDF=Y")</f>
        <v>#NAME?</v>
      </c>
      <c r="AE469" s="2" t="e">
        <f ca="1">_xll.BDH($C$453,"WORK_CAP_GROWTH","FQ1 2017","FQ1 2017","Currency=INR","Period=FQ","BEST_FPERIOD_OVERRIDE=FQ","FILING_STATUS=OR","EQY_CONSOLIDATED=Y","Sort=A","Dates=H","DateFormat=P","Fill=—","Direction=H","UseDPDF=Y")</f>
        <v>#NAME?</v>
      </c>
      <c r="AF469" s="2" t="e">
        <f ca="1">_xll.BDH($C$453,"ACCOUNTS_PAYABLE_GROWTH_1YR","FQ1 2017","FQ1 2017","Currency=INR","Period=FQ","BEST_FPERIOD_OVERRIDE=FQ","FILING_STATUS=OR","EQY_CONSOLIDATED=Y","Sort=A","Dates=H","DateFormat=P","Fill=—","Direction=H","UseDPDF=Y")</f>
        <v>#NAME?</v>
      </c>
      <c r="AG469" s="2" t="e">
        <f ca="1">_xll.BDH($C$453,"SHORT_TERM_DEBT_1_YEAR_GROWTH","FQ1 2017","FQ1 2017","Currency=INR","Period=FQ","BEST_FPERIOD_OVERRIDE=FQ","FILING_STATUS=OR","EQY_CONSOLIDATED=Y","Sort=A","Dates=H","DateFormat=P","Fill=—","Direction=H","UseDPDF=Y")</f>
        <v>#NAME?</v>
      </c>
      <c r="AH469" s="2" t="e">
        <f ca="1">_xll.BDH($C$453,"TOTAL_DEBT_1_YEAR_GROWTH","FQ1 2017","FQ1 2017","Currency=INR","Period=FQ","BEST_FPERIOD_OVERRIDE=FQ","FILING_STATUS=OR","EQY_CONSOLIDATED=Y","Sort=A","Dates=H","DateFormat=P","Fill=—","Direction=H","UseDPDF=Y")</f>
        <v>#NAME?</v>
      </c>
      <c r="AI469" s="2" t="e">
        <f ca="1">_xll.BDH($C$453,"TOTAL_EQUITY_1_YEAR_GROWTH","FQ1 2017","FQ1 2017","Currency=INR","Period=FQ","BEST_FPERIOD_OVERRIDE=FQ","FILING_STATUS=OR","EQY_CONSOLIDATED=Y","Sort=A","Dates=H","DateFormat=P","Fill=—","Direction=H","UseDPDF=Y")</f>
        <v>#NAME?</v>
      </c>
      <c r="AJ469" s="2" t="e">
        <f ca="1">_xll.BDH($C$453,"GROWTH_IN_CAP","FQ1 2017","FQ1 2017","Currency=INR","Period=FQ","BEST_FPERIOD_OVERRIDE=FQ","FILING_STATUS=OR","EQY_CONSOLIDATED=Y","Sort=A","Dates=H","DateFormat=P","Fill=—","Direction=H","UseDPDF=Y")</f>
        <v>#NAME?</v>
      </c>
      <c r="AK469" s="2" t="e">
        <f ca="1">_xll.BDH($C$453,"BVPS_GROWTH","FQ1 2017","FQ1 2017","Currency=INR","Period=FQ","BEST_FPERIOD_OVERRIDE=FQ","FILING_STATUS=OR","EQY_CONSOLIDATED=Y","Sort=A","Dates=H","DateFormat=P","Fill=—","Direction=H","UseDPDF=Y")</f>
        <v>#NAME?</v>
      </c>
      <c r="AL469" s="2" t="e">
        <f ca="1">_xll.BDH($C$453,"CASH_FLOW_GROWTH","FQ1 2017","FQ1 2017","Currency=INR","Period=FQ","BEST_FPERIOD_OVERRIDE=FQ","FILING_STATUS=OR","EQY_CONSOLIDATED=Y","Sort=A","Dates=H","DateFormat=P","Fill=—","Direction=H","UseDPDF=Y")</f>
        <v>#NAME?</v>
      </c>
      <c r="AM469" s="2" t="e">
        <f ca="1">_xll.BDH($C$453,"GEO_GROW_NET_SALES","FQ1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469" s="2" t="e">
        <f ca="1">_xll.BDH($C$453,"GEO_GROW_EBITDA","FQ1 2017","FQ1 2017","Currency=INR","Period=FQ","BEST_FPERIOD_OVERRIDE=FQ","FILING_STATUS=OR","EQY_CONSOLIDATED=Y","FA_ADJUSTED=GAAP","Sort=A","Dates=H","DateFormat=P","Fill=—","Direction=H","UseDPDF=Y")</f>
        <v>#NAME?</v>
      </c>
      <c r="AO469" s="2" t="e">
        <f ca="1">_xll.BDH($C$453,"GEO_GROW_OPER_INC","FQ1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469" s="2" t="e">
        <f ca="1">_xll.BDH($C$453,"NET_INCOME_TO_COMMON_5_YR_GROWTH","FQ1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469" s="2" t="e">
        <f ca="1">_xll.BDH($C$453,"5Y_GEO_GROWTH_DILUTED_EPS","FQ1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469" s="2" t="e">
        <f ca="1">_xll.BDH($C$453,"GEO_GROW_DVD_PER_SH","FQ1 2017","FQ1 2017","Currency=INR","Period=FQ","BEST_FPERIOD_OVERRIDE=FQ","FILING_STATUS=OR","EQY_CONSOLIDATED=Y","Sort=A","Dates=H","DateFormat=P","Fill=—","Direction=H","UseDPDF=Y")</f>
        <v>#NAME?</v>
      </c>
      <c r="AS469" s="2" t="e">
        <f ca="1">_xll.BDH($C$453,"ACCOUNTS_RECEIVABLE_5_YR_GROWTH","FQ1 2017","FQ1 2017","Currency=INR","Period=FQ","BEST_FPERIOD_OVERRIDE=FQ","FILING_STATUS=OR","EQY_CONSOLIDATED=Y","Sort=A","Dates=H","DateFormat=P","Fill=—","Direction=H","UseDPDF=Y")</f>
        <v>#NAME?</v>
      </c>
      <c r="AT469" s="2" t="e">
        <f ca="1">_xll.BDH($C$453,"INVENTORY_5_YEAR_GROWTH","FQ1 2017","FQ1 2017","Currency=INR","Period=FQ","BEST_FPERIOD_OVERRIDE=FQ","FILING_STATUS=OR","EQY_CONSOLIDATED=Y","Sort=A","Dates=H","DateFormat=P","Fill=—","Direction=H","UseDPDF=Y")</f>
        <v>#NAME?</v>
      </c>
      <c r="AU469" s="2" t="e">
        <f ca="1">_xll.BDH($C$453,"NET_FIXED_ASSETS_5_YEAR_GROWTH","FQ1 2017","FQ1 2017","Currency=INR","Period=FQ","BEST_FPERIOD_OVERRIDE=FQ","FILING_STATUS=OR","EQY_CONSOLIDATED=Y","Sort=A","Dates=H","DateFormat=P","Fill=—","Direction=H","UseDPDF=Y")</f>
        <v>#NAME?</v>
      </c>
      <c r="AV469" s="2" t="e">
        <f ca="1">_xll.BDH($C$453,"GEO_GROW_TOT_ASSET","FQ1 2017","FQ1 2017","Currency=INR","Period=FQ","BEST_FPERIOD_OVERRIDE=FQ","FILING_STATUS=OR","EQY_CONSOLIDATED=Y","Sort=A","Dates=H","DateFormat=P","Fill=—","Direction=H","UseDPDF=Y")</f>
        <v>#NAME?</v>
      </c>
      <c r="AW469" s="2" t="e">
        <f ca="1">_xll.BDH($C$453,"MODIFIED_WORKING_CPTL_5YR_GRWTH","FQ1 2017","FQ1 2017","Currency=INR","Period=FQ","BEST_FPERIOD_OVERRIDE=FQ","FILING_STATUS=OR","EQY_CONSOLIDATED=Y","Sort=A","Dates=H","DateFormat=P","Fill=—","Direction=H","UseDPDF=Y")</f>
        <v>#NAME?</v>
      </c>
      <c r="AX469" s="2" t="e">
        <f ca="1">_xll.BDH($C$453,"WORKING_CAPITAL_5_YEAR_GROWTH","FQ1 2017","FQ1 2017","Currency=INR","Period=FQ","BEST_FPERIOD_OVERRIDE=FQ","FILING_STATUS=OR","EQY_CONSOLIDATED=Y","Sort=A","Dates=H","DateFormat=P","Fill=—","Direction=H","UseDPDF=Y")</f>
        <v>#NAME?</v>
      </c>
      <c r="AY469" s="2" t="e">
        <f ca="1">_xll.BDH($C$453,"ACCOUNTS_PAYABLE_5_YEAR_GROWTH","FQ1 2017","FQ1 2017","Currency=INR","Period=FQ","BEST_FPERIOD_OVERRIDE=FQ","FILING_STATUS=OR","EQY_CONSOLIDATED=Y","Sort=A","Dates=H","DateFormat=P","Fill=—","Direction=H","UseDPDF=Y")</f>
        <v>#NAME?</v>
      </c>
      <c r="AZ469" s="2" t="e">
        <f ca="1">_xll.BDH($C$453,"SHORT_TERM_DEBT_5_YEAR_GROWTH","FQ1 2017","FQ1 2017","Currency=INR","Period=FQ","BEST_FPERIOD_OVERRIDE=FQ","FILING_STATUS=OR","EQY_CONSOLIDATED=Y","Sort=A","Dates=H","DateFormat=P","Fill=—","Direction=H","UseDPDF=Y")</f>
        <v>#NAME?</v>
      </c>
      <c r="BA469" s="2" t="e">
        <f ca="1">_xll.BDH($C$453,"TOTAL_DEBT_5_YEAR_GROWTH","FQ1 2017","FQ1 2017","Currency=INR","Period=FQ","BEST_FPERIOD_OVERRIDE=FQ","FILING_STATUS=OR","EQY_CONSOLIDATED=Y","Sort=A","Dates=H","DateFormat=P","Fill=—","Direction=H","UseDPDF=Y")</f>
        <v>#NAME?</v>
      </c>
      <c r="BB469" s="2" t="e">
        <f ca="1">_xll.BDH($C$453,"GEO_GROW_TOT_SHRHLDR_EQY","FQ1 2017","FQ1 2017","Currency=INR","Period=FQ","BEST_FPERIOD_OVERRIDE=FQ","FILING_STATUS=OR","EQY_CONSOLIDATED=Y","Sort=A","Dates=H","DateFormat=P","Fill=—","Direction=H","UseDPDF=Y")</f>
        <v>#NAME?</v>
      </c>
      <c r="BC469" s="2" t="e">
        <f ca="1">_xll.BDH($C$453,"TOTAL_CAPITAL_5_YEAR_GROWTH","FQ1 2017","FQ1 2017","Currency=INR","Period=FQ","BEST_FPERIOD_OVERRIDE=FQ","FILING_STATUS=OR","EQY_CONSOLIDATED=Y","Sort=A","Dates=H","DateFormat=P","Fill=—","Direction=H","UseDPDF=Y")</f>
        <v>#NAME?</v>
      </c>
      <c r="BD469" s="2" t="e">
        <f ca="1">_xll.BDH($C$453,"GEO_GROW_BOOK_VAL","FQ1 2017","FQ1 2017","Currency=INR","Period=FQ","BEST_FPERIOD_OVERRIDE=FQ","FILING_STATUS=OR","EQY_CONSOLIDATED=Y","Sort=A","Dates=H","DateFormat=P","Fill=—","Direction=H","UseDPDF=Y")</f>
        <v>#NAME?</v>
      </c>
      <c r="BE469" s="2" t="e">
        <f ca="1">_xll.BDH($C$453,"GEO_GROW_CASH_OPER_ACT","FQ1 2017","FQ1 2017","Currency=INR","Period=FQ","BEST_FPERIOD_OVERRIDE=FQ","FILING_STATUS=OR","EQY_CONSOLIDATED=Y","Sort=A","Dates=H","DateFormat=P","Fill=—","Direction=H","UseDPDF=Y")</f>
        <v>#NAME?</v>
      </c>
      <c r="BF469" s="2" t="e">
        <f ca="1">_xll.BDH($C$453,"REVENUE_SEQUENTIAL_GROWTH","FQ1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469" s="2" t="e">
        <f ca="1">_xll.BDH($C$453,"EBITDA_SEQUENTIAL_GROWTH","FQ1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469" s="2" t="e">
        <f ca="1">_xll.BDH($C$453,"OPERATING_INCOME_SEQ_GROWTH","FQ1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469" s="2" t="e">
        <f ca="1">_xll.BDH($C$453,"NET_INCOME_TO_COMMON_SEQ_GROWTH","FQ1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469" s="2" t="e">
        <f ca="1">_xll.BDH($C$453,"EPS_DILUTED_SEQUENTIAL_GROWTH","FQ1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469" s="2" t="e">
        <f ca="1">_xll.BDH($C$453,"DPS_SEQUENTIAL_GROWTH","FQ1 2017","FQ1 2017","Currency=INR","Period=FQ","BEST_FPERIOD_OVERRIDE=FQ","FILING_STATUS=OR","EQY_CONSOLIDATED=Y","Sort=A","Dates=H","DateFormat=P","Fill=—","Direction=H","UseDPDF=Y")</f>
        <v>#NAME?</v>
      </c>
      <c r="BL469" s="2" t="e">
        <f ca="1">_xll.BDH($C$453,"ACCOUNTS_RECEIVABLE_SEQ_GROWTH","FQ1 2017","FQ1 2017","Currency=INR","Period=FQ","BEST_FPERIOD_OVERRIDE=FQ","FILING_STATUS=OR","EQY_CONSOLIDATED=Y","Sort=A","Dates=H","DateFormat=P","Fill=—","Direction=H","UseDPDF=Y")</f>
        <v>#NAME?</v>
      </c>
      <c r="BM469" s="2" t="e">
        <f ca="1">_xll.BDH($C$453,"INVENTORY_SEQUENTIAL_GROWTH","FQ1 2017","FQ1 2017","Currency=INR","Period=FQ","BEST_FPERIOD_OVERRIDE=FQ","FILING_STATUS=OR","EQY_CONSOLIDATED=Y","Sort=A","Dates=H","DateFormat=P","Fill=—","Direction=H","UseDPDF=Y")</f>
        <v>#NAME?</v>
      </c>
      <c r="BN469" s="2" t="e">
        <f ca="1">_xll.BDH($C$453,"FIXED_ASSETS_SEQUENTIAL_GROWTH","FQ1 2017","FQ1 2017","Currency=INR","Period=FQ","BEST_FPERIOD_OVERRIDE=FQ","FILING_STATUS=OR","EQY_CONSOLIDATED=Y","Sort=A","Dates=H","DateFormat=P","Fill=—","Direction=H","UseDPDF=Y")</f>
        <v>#NAME?</v>
      </c>
      <c r="BO469" s="2" t="e">
        <f ca="1">_xll.BDH($C$453,"TOTAL_ASSETS_SEQUENTIAL_GROWTH","FQ1 2017","FQ1 2017","Currency=INR","Period=FQ","BEST_FPERIOD_OVERRIDE=FQ","FILING_STATUS=OR","EQY_CONSOLIDATED=Y","Sort=A","Dates=H","DateFormat=P","Fill=—","Direction=H","UseDPDF=Y")</f>
        <v>#NAME?</v>
      </c>
      <c r="BP469" s="2" t="e">
        <f ca="1">_xll.BDH($C$453,"MODIFIED_WORKING_CPTL_SEQ_GRWTH","FQ1 2017","FQ1 2017","Currency=INR","Period=FQ","BEST_FPERIOD_OVERRIDE=FQ","FILING_STATUS=OR","EQY_CONSOLIDATED=Y","Sort=A","Dates=H","DateFormat=P","Fill=—","Direction=H","UseDPDF=Y")</f>
        <v>#NAME?</v>
      </c>
      <c r="BQ469" s="2" t="e">
        <f ca="1">_xll.BDH($C$453,"WORKING_CAPITAL_SEQ_GROWTH","FQ1 2017","FQ1 2017","Currency=INR","Period=FQ","BEST_FPERIOD_OVERRIDE=FQ","FILING_STATUS=OR","EQY_CONSOLIDATED=Y","Sort=A","Dates=H","DateFormat=P","Fill=—","Direction=H","UseDPDF=Y")</f>
        <v>#NAME?</v>
      </c>
      <c r="BR469" s="2" t="e">
        <f ca="1">_xll.BDH($C$453,"ACCOUNTS_PAYABLE_SEQ_GROWTH","FQ1 2017","FQ1 2017","Currency=INR","Period=FQ","BEST_FPERIOD_OVERRIDE=FQ","FILING_STATUS=OR","EQY_CONSOLIDATED=Y","Sort=A","Dates=H","DateFormat=P","Fill=—","Direction=H","UseDPDF=Y")</f>
        <v>#NAME?</v>
      </c>
      <c r="BS469" s="2" t="e">
        <f ca="1">_xll.BDH($C$453,"ST_DEBT_SEQUENTIAL_GROWTH","FQ1 2017","FQ1 2017","Currency=INR","Period=FQ","BEST_FPERIOD_OVERRIDE=FQ","FILING_STATUS=OR","EQY_CONSOLIDATED=Y","Sort=A","Dates=H","DateFormat=P","Fill=—","Direction=H","UseDPDF=Y")</f>
        <v>#NAME?</v>
      </c>
      <c r="BT469" s="2" t="e">
        <f ca="1">_xll.BDH($C$453,"TOTAL_DEBT_SEQUENTIAL_GROWTH","FQ1 2017","FQ1 2017","Currency=INR","Period=FQ","BEST_FPERIOD_OVERRIDE=FQ","FILING_STATUS=OR","EQY_CONSOLIDATED=Y","Sort=A","Dates=H","DateFormat=P","Fill=—","Direction=H","UseDPDF=Y")</f>
        <v>#NAME?</v>
      </c>
      <c r="BU469" s="2" t="e">
        <f ca="1">_xll.BDH($C$453,"TOTAL_EQUITY_SEQUENTIAL_GROWTH","FQ1 2017","FQ1 2017","Currency=INR","Period=FQ","BEST_FPERIOD_OVERRIDE=FQ","FILING_STATUS=OR","EQY_CONSOLIDATED=Y","Sort=A","Dates=H","DateFormat=P","Fill=—","Direction=H","UseDPDF=Y")</f>
        <v>#NAME?</v>
      </c>
      <c r="BV469" s="2" t="e">
        <f ca="1">_xll.BDH($C$453,"TOTAL_CAPITAL_SEQUENTIAL_GROWTH","FQ1 2017","FQ1 2017","Currency=INR","Period=FQ","BEST_FPERIOD_OVERRIDE=FQ","FILING_STATUS=OR","EQY_CONSOLIDATED=Y","Sort=A","Dates=H","DateFormat=P","Fill=—","Direction=H","UseDPDF=Y")</f>
        <v>#NAME?</v>
      </c>
      <c r="BW469" s="2" t="e">
        <f ca="1">_xll.BDH($C$453,"BPS_SEQUENTIAL_GROWTH","FQ1 2017","FQ1 2017","Currency=INR","Period=FQ","BEST_FPERIOD_OVERRIDE=FQ","FILING_STATUS=OR","EQY_CONSOLIDATED=Y","Sort=A","Dates=H","DateFormat=P","Fill=—","Direction=H","UseDPDF=Y")</f>
        <v>#NAME?</v>
      </c>
      <c r="BX469" s="2" t="e">
        <f ca="1">_xll.BDH($C$453,"CFO_SEQUENTIAL_GROWTH","FQ1 2017","FQ1 2017","Currency=INR","Period=FQ","BEST_FPERIOD_OVERRIDE=FQ","FILING_STATUS=OR","EQY_CONSOLIDATED=Y","Sort=A","Dates=H","DateFormat=P","Fill=—","Direction=H","UseDPDF=Y")</f>
        <v>#NAME?</v>
      </c>
      <c r="BY469" s="3" t="e">
        <f ca="1">_xll.BDH($C$453,"SHORT_AND_LONG_TERM_DEBT","FQ1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469" s="3" t="e">
        <f ca="1">_xll.BDH($C$453,"BS_ST_BORROW","FQ1 2017","FQ1 2017","Currency=INR","Period=FQ","BEST_FPERIOD_OVERRIDE=FQ","FILING_STATUS=OR","EQY_CONSOLIDATED=Y","SCALING_FORMAT=MLN","Sort=A","Dates=H","DateFormat=P","Fill=—","Direction=H","UseDPDF=Y")</f>
        <v>#NAME?</v>
      </c>
      <c r="CA469" s="3" t="e">
        <f ca="1">_xll.BDH($C$453,"BS_LT_BORROW","FQ1 2017","FQ1 2017","Currency=INR","Period=FQ","BEST_FPERIOD_OVERRIDE=FQ","FILING_STATUS=OR","EQY_CONSOLIDATED=Y","SCALING_FORMAT=MLN","Sort=A","Dates=H","DateFormat=P","Fill=—","Direction=H","UseDPDF=Y")</f>
        <v>#NAME?</v>
      </c>
      <c r="CB469" s="2" t="e">
        <f ca="1">_xll.BDH($C$453,"TOT_DEBT_TO_EBITDA","FQ1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469" s="2" t="e">
        <f ca="1">_xll.BDH($C$453,"NET_DEBT_TO_EBITDA","FQ1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469" s="2" t="e">
        <f ca="1">_xll.BDH($C$453,"TOTAL_DEBT_TO_EBIT","FQ1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469" s="2" t="e">
        <f ca="1">_xll.BDH($C$453,"NET_DEBT_TO_EBIT","FQ1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469" s="2" t="e">
        <f ca="1">_xll.BDH($C$453,"EBITDA_TO_INTEREST_EXPN","FQ1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469" s="2" t="e">
        <f ca="1">_xll.BDH($C$453,"COM_EQY_TO_TOT_ASSET","FQ1 2017","FQ1 2017","Currency=INR","Period=FQ","BEST_FPERIOD_OVERRIDE=FQ","FILING_STATUS=OR","EQY_CONSOLIDATED=Y","Sort=A","Dates=H","DateFormat=P","Fill=—","Direction=H","UseDPDF=Y")</f>
        <v>#NAME?</v>
      </c>
      <c r="CH469" s="2" t="e">
        <f ca="1">_xll.BDH($C$453,"LT_DEBT_TO_TOT_EQY","FQ1 2017","FQ1 2017","Currency=INR","Period=FQ","BEST_FPERIOD_OVERRIDE=FQ","FILING_STATUS=OR","EQY_CONSOLIDATED=Y","Sort=A","Dates=H","DateFormat=P","Fill=—","Direction=H","UseDPDF=Y")</f>
        <v>#NAME?</v>
      </c>
      <c r="CI469" s="2" t="e">
        <f ca="1">_xll.BDH($C$453,"LT_DEBT_TO_TOT_CAP","FQ1 2017","FQ1 2017","Currency=INR","Period=FQ","BEST_FPERIOD_OVERRIDE=FQ","FILING_STATUS=OR","EQY_CONSOLIDATED=Y","Sort=A","Dates=H","DateFormat=P","Fill=—","Direction=H","UseDPDF=Y")</f>
        <v>#NAME?</v>
      </c>
      <c r="CJ469" s="2" t="e">
        <f ca="1">_xll.BDH($C$453,"LT_DEBT_TO_TOT_ASSET","FQ1 2017","FQ1 2017","Currency=INR","Period=FQ","BEST_FPERIOD_OVERRIDE=FQ","FILING_STATUS=OR","EQY_CONSOLIDATED=Y","Sort=A","Dates=H","DateFormat=P","Fill=—","Direction=H","UseDPDF=Y")</f>
        <v>#NAME?</v>
      </c>
      <c r="CK469" s="2" t="e">
        <f ca="1">_xll.BDH($C$453,"TOT_DEBT_TO_TOT_EQY","FQ1 2017","FQ1 2017","Currency=INR","Period=FQ","BEST_FPERIOD_OVERRIDE=FQ","FILING_STATUS=OR","EQY_CONSOLIDATED=Y","Sort=A","Dates=H","DateFormat=P","Fill=—","Direction=H","UseDPDF=Y")</f>
        <v>#NAME?</v>
      </c>
      <c r="CL469" s="2" t="e">
        <f ca="1">_xll.BDH($C$453,"TOT_DEBT_TO_TOT_CAP","FQ1 2017","FQ1 2017","Currency=INR","Period=FQ","BEST_FPERIOD_OVERRIDE=FQ","FILING_STATUS=OR","EQY_CONSOLIDATED=Y","Sort=A","Dates=H","DateFormat=P","Fill=—","Direction=H","UseDPDF=Y")</f>
        <v>#NAME?</v>
      </c>
      <c r="CM469" s="2" t="e">
        <f ca="1">_xll.BDH($C$453,"TOT_DEBT_TO_TOT_ASSET","FQ1 2017","FQ1 2017","Currency=INR","Period=FQ","BEST_FPERIOD_OVERRIDE=FQ","FILING_STATUS=OR","EQY_CONSOLIDATED=Y","Sort=A","Dates=H","DateFormat=P","Fill=—","Direction=H","UseDPDF=Y")</f>
        <v>#NAME?</v>
      </c>
      <c r="CN469" s="2" t="e">
        <f ca="1">_xll.BDH($C$453,"NET_DEBT_TO_SHRHLDR_EQTY","FQ1 2017","FQ1 2017","Currency=INR","Period=FQ","BEST_FPERIOD_OVERRIDE=FQ","FILING_STATUS=OR","EQY_CONSOLIDATED=Y","Sort=A","Dates=H","DateFormat=P","Fill=—","Direction=H","UseDPDF=Y")</f>
        <v>#NAME?</v>
      </c>
      <c r="CO469" s="2" t="e">
        <f ca="1">_xll.BDH($C$453,"NET_DEBT_%_CAPITAL","FQ1 2017","FQ1 2017","Currency=INR","Period=FQ","BEST_FPERIOD_OVERRIDE=FQ","FILING_STATUS=OR","EQY_CONSOLIDATED=Y","Sort=A","Dates=H","DateFormat=P","Fill=—","Direction=H","UseDPDF=Y")</f>
        <v>#NAME?</v>
      </c>
      <c r="CP469" s="3" t="e">
        <f ca="1">_xll.BDH($C$453,"EBITDA","FQ1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469" s="3" t="e">
        <f ca="1">_xll.BDH($C$453,"EBITDA_AFTER_CAPEX","FQ1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469" s="3" t="e">
        <f ca="1">_xll.BDH($C$453,"IS_OPER_INC","FQ1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469" s="2" t="e">
        <f ca="1">_xll.BDH($C$453,"CASH_RATIO","FQ1 2017","FQ1 2017","Currency=INR","Period=FQ","BEST_FPERIOD_OVERRIDE=FQ","FILING_STATUS=OR","EQY_CONSOLIDATED=Y","Sort=A","Dates=H","DateFormat=P","Fill=—","Direction=H","UseDPDF=Y")</f>
        <v>#NAME?</v>
      </c>
      <c r="CT469" s="2" t="e">
        <f ca="1">_xll.BDH($C$453,"CUR_RATIO","FQ1 2017","FQ1 2017","Currency=INR","Period=FQ","BEST_FPERIOD_OVERRIDE=FQ","FILING_STATUS=OR","EQY_CONSOLIDATED=Y","Sort=A","Dates=H","DateFormat=P","Fill=—","Direction=H","UseDPDF=Y")</f>
        <v>#NAME?</v>
      </c>
      <c r="CU469" s="2" t="e">
        <f ca="1">_xll.BDH($C$453,"QUICK_RATIO","FQ1 2017","FQ1 2017","Currency=INR","Period=FQ","BEST_FPERIOD_OVERRIDE=FQ","FILING_STATUS=OR","EQY_CONSOLIDATED=Y","Sort=A","Dates=H","DateFormat=P","Fill=—","Direction=H","UseDPDF=Y")</f>
        <v>#NAME?</v>
      </c>
      <c r="CV469" s="2" t="e">
        <f ca="1">_xll.BDH($C$453,"ALTMAN_Z_SCORE","FQ1 2017","FQ1 2017","Currency=INR","Period=FQ","BEST_FPERIOD_OVERRIDE=FQ","FILING_STATUS=OR","EQY_CONSOLIDATED=Y","Sort=A","Dates=H","DateFormat=P","Fill=—","Direction=H","UseDPDF=Y")</f>
        <v>#NAME?</v>
      </c>
      <c r="CW469" s="4" t="e">
        <f ca="1">_xll.BDH($C$453,"ACCT_RCV_TURN","FQ1 2017","FQ1 2017","Currency=INR","Period=FQ","BEST_FPERIOD_OVERRIDE=FQ","FILING_STATUS=OR","EQY_CONSOLIDATED=Y","FA_ADJUSTED=GAAP","Sort=A","Dates=H","DateFormat=P","Fill=—","Direction=H","UseDPDF=Y")</f>
        <v>#NAME?</v>
      </c>
      <c r="CX469" s="2" t="e">
        <f ca="1">_xll.BDH($C$453,"ACCT_RCV_DAYS","FQ1 2017","FQ1 2017","Currency=INR","Period=FQ","BEST_FPERIOD_OVERRIDE=FQ","FILING_STATUS=OR","EQY_CONSOLIDATED=Y","FA_ADJUSTED=GAAP","Sort=A","Dates=H","DateFormat=P","Fill=—","Direction=H","UseDPDF=Y")</f>
        <v>#NAME?</v>
      </c>
      <c r="CY469" s="4" t="e">
        <f ca="1">_xll.BDH($C$453,"INVENT_TURN","FQ1 2017","FQ1 2017","Currency=INR","Period=FQ","BEST_FPERIOD_OVERRIDE=FQ","FILING_STATUS=OR","EQY_CONSOLIDATED=Y","FA_ADJUSTED=GAAP","Sort=A","Dates=H","DateFormat=P","Fill=—","Direction=H","UseDPDF=Y")</f>
        <v>#NAME?</v>
      </c>
      <c r="CZ469" s="2" t="e">
        <f ca="1">_xll.BDH($C$453,"INVENT_DAYS","FQ1 2017","FQ1 2017","Currency=INR","Period=FQ","BEST_FPERIOD_OVERRIDE=FQ","FILING_STATUS=OR","EQY_CONSOLIDATED=Y","FA_ADJUSTED=GAAP","Sort=A","Dates=H","DateFormat=P","Fill=—","Direction=H","UseDPDF=Y")</f>
        <v>#NAME?</v>
      </c>
      <c r="DA469" s="4" t="e">
        <f ca="1">_xll.BDH($C$453,"ACCOUNTS_PAYABLE_TURNOVER","FQ1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469" s="2" t="e">
        <f ca="1">_xll.BDH($C$453,"ACCOUNTS_PAYABLE_TURNOVER_DAYS","FQ1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469" s="4" t="e">
        <f ca="1">_xll.BDH($C$453,"CASH_CONVERSION_CYCLE","FQ1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469" s="4" t="e">
        <f ca="1">_xll.BDH($C$453,"INV_TO_CASH_DAYS","FQ1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469" s="5" t="e">
        <f ca="1">_xll.BDH($C$453,"BS_INVENTORIES","FQ1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469" s="3" t="e">
        <f ca="1">_xll.BDH($C$453,"INVTRY_RAW_MATERIALS","FQ1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469" s="3" t="e">
        <f ca="1">_xll.BDH($C$453,"INVTRY_IN_PROGRESS","FQ1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469" s="3" t="e">
        <f ca="1">_xll.BDH($C$453,"INVTRY_FINISHED_GOODS","FQ1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469" s="3" t="e">
        <f ca="1">_xll.BDH($C$453,"BS_OTHER_INV","FQ1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470" spans="1:113" x14ac:dyDescent="0.3">
      <c r="A470" s="6"/>
      <c r="B470" s="6"/>
      <c r="C470" s="6"/>
      <c r="D470" s="6"/>
      <c r="E470" t="s">
        <v>79</v>
      </c>
      <c r="F470" t="e">
        <f ca="1">_xll.BDH($C$453,"RETURN_COM_EQY","FQ2 2017","FQ2 2017","Currency=INR","Period=FQ","BEST_FPERIOD_OVERRIDE=FQ","FILING_STATUS=OR","EQY_CONSOLIDATED=Y","FA_ADJUSTED=GAAP","Sort=A","Dates=H","DateFormat=P","Fill=—","Direction=H","UseDPDF=Y")</f>
        <v>#NAME?</v>
      </c>
      <c r="G470" t="e">
        <f ca="1">_xll.BDH($C$453,"RETURN_ON_ASSET","FQ2 2017","FQ2 2017","Currency=INR","Period=FQ","BEST_FPERIOD_OVERRIDE=FQ","FILING_STATUS=OR","EQY_CONSOLIDATED=Y","FA_ADJUSTED=GAAP","Sort=A","Dates=H","DateFormat=P","Fill=—","Direction=H","UseDPDF=Y")</f>
        <v>#NAME?</v>
      </c>
      <c r="H470" t="e">
        <f ca="1">_xll.BDH($C$453,"RETURN_ON_CAP","FQ2 2017","FQ2 2017","Currency=INR","Period=FQ","BEST_FPERIOD_OVERRIDE=FQ","FILING_STATUS=OR","EQY_CONSOLIDATED=Y","FA_ADJUSTED=GAAP","Sort=A","Dates=H","DateFormat=P","Fill=—","Direction=H","UseDPDF=Y")</f>
        <v>#NAME?</v>
      </c>
      <c r="I470" t="e">
        <f ca="1">_xll.BDH($C$453,"RETURN_ON_INV_CAPITAL","FQ2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470" t="e">
        <f ca="1">_xll.BDH($C$453,"EBITDA_TO_REVENUE","FQ2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470" t="e">
        <f ca="1">_xll.BDH($C$453,"OPER_MARGIN","FQ2 2017","FQ2 2017","Currency=INR","Period=FQ","BEST_FPERIOD_OVERRIDE=FQ","FILING_STATUS=OR","EQY_CONSOLIDATED=Y","FA_ADJUSTED=GAAP","Sort=A","Dates=H","DateFormat=P","Fill=—","Direction=H","UseDPDF=Y")</f>
        <v>#NAME?</v>
      </c>
      <c r="L470" t="e">
        <f ca="1">_xll.BDH($C$453,"INCREMENTAL_OPERATING_MARGIN","FQ2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470" t="e">
        <f ca="1">_xll.BDH($C$453,"PRETAX_INC_TO_NET_SALES","FQ2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470" t="e">
        <f ca="1">_xll.BDH($C$453,"INC_BEF_XO_ITEMS_TO_NET_SALES","FQ2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470" t="e">
        <f ca="1">_xll.BDH($C$453,"PROF_MARGIN","FQ2 2017","FQ2 2017","Currency=INR","Period=FQ","BEST_FPERIOD_OVERRIDE=FQ","FILING_STATUS=OR","EQY_CONSOLIDATED=Y","FA_ADJUSTED=GAAP","Sort=A","Dates=H","DateFormat=P","Fill=—","Direction=H","UseDPDF=Y")</f>
        <v>#NAME?</v>
      </c>
      <c r="P470" t="e">
        <f ca="1">_xll.BDH($C$453,"NET_INCOME_TO_COMMON_MARGIN","FQ2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470" t="e">
        <f ca="1">_xll.BDH($C$453,"EFF_TAX_RATE","FQ2 2017","FQ2 2017","Currency=INR","Period=FQ","BEST_FPERIOD_OVERRIDE=FQ","FILING_STATUS=OR","EQY_CONSOLIDATED=Y","FA_ADJUSTED=GAAP","Sort=A","Dates=H","DateFormat=P","Fill=—","Direction=H","UseDPDF=Y")</f>
        <v>#NAME?</v>
      </c>
      <c r="R470" t="e">
        <f ca="1">_xll.BDH($C$453,"DVD_PAYOUT_RATIO","FQ2 2017","FQ2 2017","Currency=INR","Period=FQ","BEST_FPERIOD_OVERRIDE=FQ","FILING_STATUS=OR","EQY_CONSOLIDATED=Y","FA_ADJUSTED=GAAP","Sort=A","Dates=H","DateFormat=P","Fill=—","Direction=H","UseDPDF=Y")</f>
        <v>#NAME?</v>
      </c>
      <c r="S470" t="e">
        <f ca="1">_xll.BDH($C$453,"SUSTAIN_GROWTH_RT","FQ2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470" s="2" t="e">
        <f ca="1">_xll.BDH($C$453,"SALES_GROWTH","FQ2 2017","FQ2 2017","Currency=INR","Period=FQ","BEST_FPERIOD_OVERRIDE=FQ","FILING_STATUS=OR","EQY_CONSOLIDATED=Y","FA_ADJUSTED=GAAP","Sort=A","Dates=H","DateFormat=P","Fill=—","Direction=H","UseDPDF=Y")</f>
        <v>#NAME?</v>
      </c>
      <c r="U470" s="2" t="e">
        <f ca="1">_xll.BDH($C$453,"EBITDA_GROWTH","FQ2 2017","FQ2 2017","Currency=INR","Period=FQ","BEST_FPERIOD_OVERRIDE=FQ","FILING_STATUS=OR","EQY_CONSOLIDATED=Y","FA_ADJUSTED=GAAP","Sort=A","Dates=H","DateFormat=P","Fill=—","Direction=H","UseDPDF=Y")</f>
        <v>#NAME?</v>
      </c>
      <c r="V470" s="2" t="e">
        <f ca="1">_xll.BDH($C$453,"OPER_INC_GROWTH","FQ2 2017","FQ2 2017","Currency=INR","Period=FQ","BEST_FPERIOD_OVERRIDE=FQ","FILING_STATUS=OR","EQY_CONSOLIDATED=Y","FA_ADJUSTED=GAAP","Sort=A","Dates=H","DateFormat=P","Fill=—","Direction=H","UseDPDF=Y")</f>
        <v>#NAME?</v>
      </c>
      <c r="W470" s="2" t="e">
        <f ca="1">_xll.BDH($C$453,"EARN_FOR_COM_GROWTH","FQ2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470" s="2" t="e">
        <f ca="1">_xll.BDH($C$453,"DILUTED_EPS_AFT_XO_ITEMS_GROWTH","FQ2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470" s="2" t="e">
        <f ca="1">_xll.BDH($C$453,"DIVIDEND_PER_SHARE_1_YEAR_GROWTH","FQ2 2017","FQ2 2017","Currency=INR","Period=FQ","BEST_FPERIOD_OVERRIDE=FQ","FILING_STATUS=OR","EQY_CONSOLIDATED=Y","Sort=A","Dates=H","DateFormat=P","Fill=—","Direction=H","UseDPDF=Y")</f>
        <v>#NAME?</v>
      </c>
      <c r="Z470" s="2" t="e">
        <f ca="1">_xll.BDH($C$453,"ACCOUNTS_RECEIVABLE_GROWTH","FQ2 2017","FQ2 2017","Currency=INR","Period=FQ","BEST_FPERIOD_OVERRIDE=FQ","FILING_STATUS=OR","EQY_CONSOLIDATED=Y","Sort=A","Dates=H","DateFormat=P","Fill=—","Direction=H","UseDPDF=Y")</f>
        <v>#NAME?</v>
      </c>
      <c r="AA470" s="2" t="e">
        <f ca="1">_xll.BDH($C$453,"INVENTORY_GROWTH","FQ2 2017","FQ2 2017","Currency=INR","Period=FQ","BEST_FPERIOD_OVERRIDE=FQ","FILING_STATUS=OR","EQY_CONSOLIDATED=Y","Sort=A","Dates=H","DateFormat=P","Fill=—","Direction=H","UseDPDF=Y")</f>
        <v>#NAME?</v>
      </c>
      <c r="AB470" s="2" t="e">
        <f ca="1">_xll.BDH($C$453,"NET_FIXED_ASSETS_1_YEAR_GROWTH","FQ2 2017","FQ2 2017","Currency=INR","Period=FQ","BEST_FPERIOD_OVERRIDE=FQ","FILING_STATUS=OR","EQY_CONSOLIDATED=Y","Sort=A","Dates=H","DateFormat=P","Fill=—","Direction=H","UseDPDF=Y")</f>
        <v>#NAME?</v>
      </c>
      <c r="AC470" s="2" t="e">
        <f ca="1">_xll.BDH($C$453,"ASSET_GROWTH","FQ2 2017","FQ2 2017","Currency=INR","Period=FQ","BEST_FPERIOD_OVERRIDE=FQ","FILING_STATUS=OR","EQY_CONSOLIDATED=Y","Sort=A","Dates=H","DateFormat=P","Fill=—","Direction=H","UseDPDF=Y")</f>
        <v>#NAME?</v>
      </c>
      <c r="AD470" s="2" t="e">
        <f ca="1">_xll.BDH($C$453,"MODIFIED_WORK_CAP_GROWTH","FQ2 2017","FQ2 2017","Currency=INR","Period=FQ","BEST_FPERIOD_OVERRIDE=FQ","FILING_STATUS=OR","EQY_CONSOLIDATED=Y","Sort=A","Dates=H","DateFormat=P","Fill=—","Direction=H","UseDPDF=Y")</f>
        <v>#NAME?</v>
      </c>
      <c r="AE470" s="2" t="e">
        <f ca="1">_xll.BDH($C$453,"WORK_CAP_GROWTH","FQ2 2017","FQ2 2017","Currency=INR","Period=FQ","BEST_FPERIOD_OVERRIDE=FQ","FILING_STATUS=OR","EQY_CONSOLIDATED=Y","Sort=A","Dates=H","DateFormat=P","Fill=—","Direction=H","UseDPDF=Y")</f>
        <v>#NAME?</v>
      </c>
      <c r="AF470" s="2" t="e">
        <f ca="1">_xll.BDH($C$453,"ACCOUNTS_PAYABLE_GROWTH_1YR","FQ2 2017","FQ2 2017","Currency=INR","Period=FQ","BEST_FPERIOD_OVERRIDE=FQ","FILING_STATUS=OR","EQY_CONSOLIDATED=Y","Sort=A","Dates=H","DateFormat=P","Fill=—","Direction=H","UseDPDF=Y")</f>
        <v>#NAME?</v>
      </c>
      <c r="AG470" s="2" t="e">
        <f ca="1">_xll.BDH($C$453,"SHORT_TERM_DEBT_1_YEAR_GROWTH","FQ2 2017","FQ2 2017","Currency=INR","Period=FQ","BEST_FPERIOD_OVERRIDE=FQ","FILING_STATUS=OR","EQY_CONSOLIDATED=Y","Sort=A","Dates=H","DateFormat=P","Fill=—","Direction=H","UseDPDF=Y")</f>
        <v>#NAME?</v>
      </c>
      <c r="AH470" s="2" t="e">
        <f ca="1">_xll.BDH($C$453,"TOTAL_DEBT_1_YEAR_GROWTH","FQ2 2017","FQ2 2017","Currency=INR","Period=FQ","BEST_FPERIOD_OVERRIDE=FQ","FILING_STATUS=OR","EQY_CONSOLIDATED=Y","Sort=A","Dates=H","DateFormat=P","Fill=—","Direction=H","UseDPDF=Y")</f>
        <v>#NAME?</v>
      </c>
      <c r="AI470" s="2" t="e">
        <f ca="1">_xll.BDH($C$453,"TOTAL_EQUITY_1_YEAR_GROWTH","FQ2 2017","FQ2 2017","Currency=INR","Period=FQ","BEST_FPERIOD_OVERRIDE=FQ","FILING_STATUS=OR","EQY_CONSOLIDATED=Y","Sort=A","Dates=H","DateFormat=P","Fill=—","Direction=H","UseDPDF=Y")</f>
        <v>#NAME?</v>
      </c>
      <c r="AJ470" s="2" t="e">
        <f ca="1">_xll.BDH($C$453,"GROWTH_IN_CAP","FQ2 2017","FQ2 2017","Currency=INR","Period=FQ","BEST_FPERIOD_OVERRIDE=FQ","FILING_STATUS=OR","EQY_CONSOLIDATED=Y","Sort=A","Dates=H","DateFormat=P","Fill=—","Direction=H","UseDPDF=Y")</f>
        <v>#NAME?</v>
      </c>
      <c r="AK470" s="2" t="e">
        <f ca="1">_xll.BDH($C$453,"BVPS_GROWTH","FQ2 2017","FQ2 2017","Currency=INR","Period=FQ","BEST_FPERIOD_OVERRIDE=FQ","FILING_STATUS=OR","EQY_CONSOLIDATED=Y","Sort=A","Dates=H","DateFormat=P","Fill=—","Direction=H","UseDPDF=Y")</f>
        <v>#NAME?</v>
      </c>
      <c r="AL470" s="2" t="e">
        <f ca="1">_xll.BDH($C$453,"CASH_FLOW_GROWTH","FQ2 2017","FQ2 2017","Currency=INR","Period=FQ","BEST_FPERIOD_OVERRIDE=FQ","FILING_STATUS=OR","EQY_CONSOLIDATED=Y","Sort=A","Dates=H","DateFormat=P","Fill=—","Direction=H","UseDPDF=Y")</f>
        <v>#NAME?</v>
      </c>
      <c r="AM470" s="2" t="e">
        <f ca="1">_xll.BDH($C$453,"GEO_GROW_NET_SALES","FQ2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470" s="2" t="e">
        <f ca="1">_xll.BDH($C$453,"GEO_GROW_EBITDA","FQ2 2017","FQ2 2017","Currency=INR","Period=FQ","BEST_FPERIOD_OVERRIDE=FQ","FILING_STATUS=OR","EQY_CONSOLIDATED=Y","FA_ADJUSTED=GAAP","Sort=A","Dates=H","DateFormat=P","Fill=—","Direction=H","UseDPDF=Y")</f>
        <v>#NAME?</v>
      </c>
      <c r="AO470" s="2" t="e">
        <f ca="1">_xll.BDH($C$453,"GEO_GROW_OPER_INC","FQ2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470" s="2" t="e">
        <f ca="1">_xll.BDH($C$453,"NET_INCOME_TO_COMMON_5_YR_GROWTH","FQ2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470" s="2" t="e">
        <f ca="1">_xll.BDH($C$453,"5Y_GEO_GROWTH_DILUTED_EPS","FQ2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470" s="2" t="e">
        <f ca="1">_xll.BDH($C$453,"GEO_GROW_DVD_PER_SH","FQ2 2017","FQ2 2017","Currency=INR","Period=FQ","BEST_FPERIOD_OVERRIDE=FQ","FILING_STATUS=OR","EQY_CONSOLIDATED=Y","Sort=A","Dates=H","DateFormat=P","Fill=—","Direction=H","UseDPDF=Y")</f>
        <v>#NAME?</v>
      </c>
      <c r="AS470" s="2" t="e">
        <f ca="1">_xll.BDH($C$453,"ACCOUNTS_RECEIVABLE_5_YR_GROWTH","FQ2 2017","FQ2 2017","Currency=INR","Period=FQ","BEST_FPERIOD_OVERRIDE=FQ","FILING_STATUS=OR","EQY_CONSOLIDATED=Y","Sort=A","Dates=H","DateFormat=P","Fill=—","Direction=H","UseDPDF=Y")</f>
        <v>#NAME?</v>
      </c>
      <c r="AT470" s="2" t="e">
        <f ca="1">_xll.BDH($C$453,"INVENTORY_5_YEAR_GROWTH","FQ2 2017","FQ2 2017","Currency=INR","Period=FQ","BEST_FPERIOD_OVERRIDE=FQ","FILING_STATUS=OR","EQY_CONSOLIDATED=Y","Sort=A","Dates=H","DateFormat=P","Fill=—","Direction=H","UseDPDF=Y")</f>
        <v>#NAME?</v>
      </c>
      <c r="AU470" s="2" t="e">
        <f ca="1">_xll.BDH($C$453,"NET_FIXED_ASSETS_5_YEAR_GROWTH","FQ2 2017","FQ2 2017","Currency=INR","Period=FQ","BEST_FPERIOD_OVERRIDE=FQ","FILING_STATUS=OR","EQY_CONSOLIDATED=Y","Sort=A","Dates=H","DateFormat=P","Fill=—","Direction=H","UseDPDF=Y")</f>
        <v>#NAME?</v>
      </c>
      <c r="AV470" s="2" t="e">
        <f ca="1">_xll.BDH($C$453,"GEO_GROW_TOT_ASSET","FQ2 2017","FQ2 2017","Currency=INR","Period=FQ","BEST_FPERIOD_OVERRIDE=FQ","FILING_STATUS=OR","EQY_CONSOLIDATED=Y","Sort=A","Dates=H","DateFormat=P","Fill=—","Direction=H","UseDPDF=Y")</f>
        <v>#NAME?</v>
      </c>
      <c r="AW470" s="2" t="e">
        <f ca="1">_xll.BDH($C$453,"MODIFIED_WORKING_CPTL_5YR_GRWTH","FQ2 2017","FQ2 2017","Currency=INR","Period=FQ","BEST_FPERIOD_OVERRIDE=FQ","FILING_STATUS=OR","EQY_CONSOLIDATED=Y","Sort=A","Dates=H","DateFormat=P","Fill=—","Direction=H","UseDPDF=Y")</f>
        <v>#NAME?</v>
      </c>
      <c r="AX470" s="2" t="e">
        <f ca="1">_xll.BDH($C$453,"WORKING_CAPITAL_5_YEAR_GROWTH","FQ2 2017","FQ2 2017","Currency=INR","Period=FQ","BEST_FPERIOD_OVERRIDE=FQ","FILING_STATUS=OR","EQY_CONSOLIDATED=Y","Sort=A","Dates=H","DateFormat=P","Fill=—","Direction=H","UseDPDF=Y")</f>
        <v>#NAME?</v>
      </c>
      <c r="AY470" s="2" t="e">
        <f ca="1">_xll.BDH($C$453,"ACCOUNTS_PAYABLE_5_YEAR_GROWTH","FQ2 2017","FQ2 2017","Currency=INR","Period=FQ","BEST_FPERIOD_OVERRIDE=FQ","FILING_STATUS=OR","EQY_CONSOLIDATED=Y","Sort=A","Dates=H","DateFormat=P","Fill=—","Direction=H","UseDPDF=Y")</f>
        <v>#NAME?</v>
      </c>
      <c r="AZ470" s="2" t="e">
        <f ca="1">_xll.BDH($C$453,"SHORT_TERM_DEBT_5_YEAR_GROWTH","FQ2 2017","FQ2 2017","Currency=INR","Period=FQ","BEST_FPERIOD_OVERRIDE=FQ","FILING_STATUS=OR","EQY_CONSOLIDATED=Y","Sort=A","Dates=H","DateFormat=P","Fill=—","Direction=H","UseDPDF=Y")</f>
        <v>#NAME?</v>
      </c>
      <c r="BA470" s="2" t="e">
        <f ca="1">_xll.BDH($C$453,"TOTAL_DEBT_5_YEAR_GROWTH","FQ2 2017","FQ2 2017","Currency=INR","Period=FQ","BEST_FPERIOD_OVERRIDE=FQ","FILING_STATUS=OR","EQY_CONSOLIDATED=Y","Sort=A","Dates=H","DateFormat=P","Fill=—","Direction=H","UseDPDF=Y")</f>
        <v>#NAME?</v>
      </c>
      <c r="BB470" s="2" t="e">
        <f ca="1">_xll.BDH($C$453,"GEO_GROW_TOT_SHRHLDR_EQY","FQ2 2017","FQ2 2017","Currency=INR","Period=FQ","BEST_FPERIOD_OVERRIDE=FQ","FILING_STATUS=OR","EQY_CONSOLIDATED=Y","Sort=A","Dates=H","DateFormat=P","Fill=—","Direction=H","UseDPDF=Y")</f>
        <v>#NAME?</v>
      </c>
      <c r="BC470" s="2" t="e">
        <f ca="1">_xll.BDH($C$453,"TOTAL_CAPITAL_5_YEAR_GROWTH","FQ2 2017","FQ2 2017","Currency=INR","Period=FQ","BEST_FPERIOD_OVERRIDE=FQ","FILING_STATUS=OR","EQY_CONSOLIDATED=Y","Sort=A","Dates=H","DateFormat=P","Fill=—","Direction=H","UseDPDF=Y")</f>
        <v>#NAME?</v>
      </c>
      <c r="BD470" s="2" t="e">
        <f ca="1">_xll.BDH($C$453,"GEO_GROW_BOOK_VAL","FQ2 2017","FQ2 2017","Currency=INR","Period=FQ","BEST_FPERIOD_OVERRIDE=FQ","FILING_STATUS=OR","EQY_CONSOLIDATED=Y","Sort=A","Dates=H","DateFormat=P","Fill=—","Direction=H","UseDPDF=Y")</f>
        <v>#NAME?</v>
      </c>
      <c r="BE470" s="2" t="e">
        <f ca="1">_xll.BDH($C$453,"GEO_GROW_CASH_OPER_ACT","FQ2 2017","FQ2 2017","Currency=INR","Period=FQ","BEST_FPERIOD_OVERRIDE=FQ","FILING_STATUS=OR","EQY_CONSOLIDATED=Y","Sort=A","Dates=H","DateFormat=P","Fill=—","Direction=H","UseDPDF=Y")</f>
        <v>#NAME?</v>
      </c>
      <c r="BF470" s="2" t="e">
        <f ca="1">_xll.BDH($C$453,"REVENUE_SEQUENTIAL_GROWTH","FQ2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470" s="2" t="e">
        <f ca="1">_xll.BDH($C$453,"EBITDA_SEQUENTIAL_GROWTH","FQ2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470" s="2" t="e">
        <f ca="1">_xll.BDH($C$453,"OPERATING_INCOME_SEQ_GROWTH","FQ2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470" s="2" t="e">
        <f ca="1">_xll.BDH($C$453,"NET_INCOME_TO_COMMON_SEQ_GROWTH","FQ2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470" s="2" t="e">
        <f ca="1">_xll.BDH($C$453,"EPS_DILUTED_SEQUENTIAL_GROWTH","FQ2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470" s="2" t="e">
        <f ca="1">_xll.BDH($C$453,"DPS_SEQUENTIAL_GROWTH","FQ2 2017","FQ2 2017","Currency=INR","Period=FQ","BEST_FPERIOD_OVERRIDE=FQ","FILING_STATUS=OR","EQY_CONSOLIDATED=Y","Sort=A","Dates=H","DateFormat=P","Fill=—","Direction=H","UseDPDF=Y")</f>
        <v>#NAME?</v>
      </c>
      <c r="BL470" s="2" t="e">
        <f ca="1">_xll.BDH($C$453,"ACCOUNTS_RECEIVABLE_SEQ_GROWTH","FQ2 2017","FQ2 2017","Currency=INR","Period=FQ","BEST_FPERIOD_OVERRIDE=FQ","FILING_STATUS=OR","EQY_CONSOLIDATED=Y","Sort=A","Dates=H","DateFormat=P","Fill=—","Direction=H","UseDPDF=Y")</f>
        <v>#NAME?</v>
      </c>
      <c r="BM470" s="2" t="e">
        <f ca="1">_xll.BDH($C$453,"INVENTORY_SEQUENTIAL_GROWTH","FQ2 2017","FQ2 2017","Currency=INR","Period=FQ","BEST_FPERIOD_OVERRIDE=FQ","FILING_STATUS=OR","EQY_CONSOLIDATED=Y","Sort=A","Dates=H","DateFormat=P","Fill=—","Direction=H","UseDPDF=Y")</f>
        <v>#NAME?</v>
      </c>
      <c r="BN470" s="2" t="e">
        <f ca="1">_xll.BDH($C$453,"FIXED_ASSETS_SEQUENTIAL_GROWTH","FQ2 2017","FQ2 2017","Currency=INR","Period=FQ","BEST_FPERIOD_OVERRIDE=FQ","FILING_STATUS=OR","EQY_CONSOLIDATED=Y","Sort=A","Dates=H","DateFormat=P","Fill=—","Direction=H","UseDPDF=Y")</f>
        <v>#NAME?</v>
      </c>
      <c r="BO470" s="2" t="e">
        <f ca="1">_xll.BDH($C$453,"TOTAL_ASSETS_SEQUENTIAL_GROWTH","FQ2 2017","FQ2 2017","Currency=INR","Period=FQ","BEST_FPERIOD_OVERRIDE=FQ","FILING_STATUS=OR","EQY_CONSOLIDATED=Y","Sort=A","Dates=H","DateFormat=P","Fill=—","Direction=H","UseDPDF=Y")</f>
        <v>#NAME?</v>
      </c>
      <c r="BP470" s="2" t="e">
        <f ca="1">_xll.BDH($C$453,"MODIFIED_WORKING_CPTL_SEQ_GRWTH","FQ2 2017","FQ2 2017","Currency=INR","Period=FQ","BEST_FPERIOD_OVERRIDE=FQ","FILING_STATUS=OR","EQY_CONSOLIDATED=Y","Sort=A","Dates=H","DateFormat=P","Fill=—","Direction=H","UseDPDF=Y")</f>
        <v>#NAME?</v>
      </c>
      <c r="BQ470" s="2" t="e">
        <f ca="1">_xll.BDH($C$453,"WORKING_CAPITAL_SEQ_GROWTH","FQ2 2017","FQ2 2017","Currency=INR","Period=FQ","BEST_FPERIOD_OVERRIDE=FQ","FILING_STATUS=OR","EQY_CONSOLIDATED=Y","Sort=A","Dates=H","DateFormat=P","Fill=—","Direction=H","UseDPDF=Y")</f>
        <v>#NAME?</v>
      </c>
      <c r="BR470" s="2" t="e">
        <f ca="1">_xll.BDH($C$453,"ACCOUNTS_PAYABLE_SEQ_GROWTH","FQ2 2017","FQ2 2017","Currency=INR","Period=FQ","BEST_FPERIOD_OVERRIDE=FQ","FILING_STATUS=OR","EQY_CONSOLIDATED=Y","Sort=A","Dates=H","DateFormat=P","Fill=—","Direction=H","UseDPDF=Y")</f>
        <v>#NAME?</v>
      </c>
      <c r="BS470" s="2" t="e">
        <f ca="1">_xll.BDH($C$453,"ST_DEBT_SEQUENTIAL_GROWTH","FQ2 2017","FQ2 2017","Currency=INR","Period=FQ","BEST_FPERIOD_OVERRIDE=FQ","FILING_STATUS=OR","EQY_CONSOLIDATED=Y","Sort=A","Dates=H","DateFormat=P","Fill=—","Direction=H","UseDPDF=Y")</f>
        <v>#NAME?</v>
      </c>
      <c r="BT470" s="2" t="e">
        <f ca="1">_xll.BDH($C$453,"TOTAL_DEBT_SEQUENTIAL_GROWTH","FQ2 2017","FQ2 2017","Currency=INR","Period=FQ","BEST_FPERIOD_OVERRIDE=FQ","FILING_STATUS=OR","EQY_CONSOLIDATED=Y","Sort=A","Dates=H","DateFormat=P","Fill=—","Direction=H","UseDPDF=Y")</f>
        <v>#NAME?</v>
      </c>
      <c r="BU470" s="2" t="e">
        <f ca="1">_xll.BDH($C$453,"TOTAL_EQUITY_SEQUENTIAL_GROWTH","FQ2 2017","FQ2 2017","Currency=INR","Period=FQ","BEST_FPERIOD_OVERRIDE=FQ","FILING_STATUS=OR","EQY_CONSOLIDATED=Y","Sort=A","Dates=H","DateFormat=P","Fill=—","Direction=H","UseDPDF=Y")</f>
        <v>#NAME?</v>
      </c>
      <c r="BV470" s="2" t="e">
        <f ca="1">_xll.BDH($C$453,"TOTAL_CAPITAL_SEQUENTIAL_GROWTH","FQ2 2017","FQ2 2017","Currency=INR","Period=FQ","BEST_FPERIOD_OVERRIDE=FQ","FILING_STATUS=OR","EQY_CONSOLIDATED=Y","Sort=A","Dates=H","DateFormat=P","Fill=—","Direction=H","UseDPDF=Y")</f>
        <v>#NAME?</v>
      </c>
      <c r="BW470" s="2" t="e">
        <f ca="1">_xll.BDH($C$453,"BPS_SEQUENTIAL_GROWTH","FQ2 2017","FQ2 2017","Currency=INR","Period=FQ","BEST_FPERIOD_OVERRIDE=FQ","FILING_STATUS=OR","EQY_CONSOLIDATED=Y","Sort=A","Dates=H","DateFormat=P","Fill=—","Direction=H","UseDPDF=Y")</f>
        <v>#NAME?</v>
      </c>
      <c r="BX470" s="2" t="e">
        <f ca="1">_xll.BDH($C$453,"CFO_SEQUENTIAL_GROWTH","FQ2 2017","FQ2 2017","Currency=INR","Period=FQ","BEST_FPERIOD_OVERRIDE=FQ","FILING_STATUS=OR","EQY_CONSOLIDATED=Y","Sort=A","Dates=H","DateFormat=P","Fill=—","Direction=H","UseDPDF=Y")</f>
        <v>#NAME?</v>
      </c>
      <c r="BY470" s="3" t="e">
        <f ca="1">_xll.BDH($C$453,"SHORT_AND_LONG_TERM_DEBT","FQ2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470" s="3" t="e">
        <f ca="1">_xll.BDH($C$453,"BS_ST_BORROW","FQ2 2017","FQ2 2017","Currency=INR","Period=FQ","BEST_FPERIOD_OVERRIDE=FQ","FILING_STATUS=OR","EQY_CONSOLIDATED=Y","SCALING_FORMAT=MLN","Sort=A","Dates=H","DateFormat=P","Fill=—","Direction=H","UseDPDF=Y")</f>
        <v>#NAME?</v>
      </c>
      <c r="CA470" s="3" t="e">
        <f ca="1">_xll.BDH($C$453,"BS_LT_BORROW","FQ2 2017","FQ2 2017","Currency=INR","Period=FQ","BEST_FPERIOD_OVERRIDE=FQ","FILING_STATUS=OR","EQY_CONSOLIDATED=Y","SCALING_FORMAT=MLN","Sort=A","Dates=H","DateFormat=P","Fill=—","Direction=H","UseDPDF=Y")</f>
        <v>#NAME?</v>
      </c>
      <c r="CB470" s="2" t="e">
        <f ca="1">_xll.BDH($C$453,"TOT_DEBT_TO_EBITDA","FQ2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470" s="2" t="e">
        <f ca="1">_xll.BDH($C$453,"NET_DEBT_TO_EBITDA","FQ2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470" s="2" t="e">
        <f ca="1">_xll.BDH($C$453,"TOTAL_DEBT_TO_EBIT","FQ2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470" s="2" t="e">
        <f ca="1">_xll.BDH($C$453,"NET_DEBT_TO_EBIT","FQ2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470" s="2" t="e">
        <f ca="1">_xll.BDH($C$453,"EBITDA_TO_INTEREST_EXPN","FQ2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470" s="2" t="e">
        <f ca="1">_xll.BDH($C$453,"COM_EQY_TO_TOT_ASSET","FQ2 2017","FQ2 2017","Currency=INR","Period=FQ","BEST_FPERIOD_OVERRIDE=FQ","FILING_STATUS=OR","EQY_CONSOLIDATED=Y","Sort=A","Dates=H","DateFormat=P","Fill=—","Direction=H","UseDPDF=Y")</f>
        <v>#NAME?</v>
      </c>
      <c r="CH470" s="2" t="e">
        <f ca="1">_xll.BDH($C$453,"LT_DEBT_TO_TOT_EQY","FQ2 2017","FQ2 2017","Currency=INR","Period=FQ","BEST_FPERIOD_OVERRIDE=FQ","FILING_STATUS=OR","EQY_CONSOLIDATED=Y","Sort=A","Dates=H","DateFormat=P","Fill=—","Direction=H","UseDPDF=Y")</f>
        <v>#NAME?</v>
      </c>
      <c r="CI470" s="2" t="e">
        <f ca="1">_xll.BDH($C$453,"LT_DEBT_TO_TOT_CAP","FQ2 2017","FQ2 2017","Currency=INR","Period=FQ","BEST_FPERIOD_OVERRIDE=FQ","FILING_STATUS=OR","EQY_CONSOLIDATED=Y","Sort=A","Dates=H","DateFormat=P","Fill=—","Direction=H","UseDPDF=Y")</f>
        <v>#NAME?</v>
      </c>
      <c r="CJ470" s="2" t="e">
        <f ca="1">_xll.BDH($C$453,"LT_DEBT_TO_TOT_ASSET","FQ2 2017","FQ2 2017","Currency=INR","Period=FQ","BEST_FPERIOD_OVERRIDE=FQ","FILING_STATUS=OR","EQY_CONSOLIDATED=Y","Sort=A","Dates=H","DateFormat=P","Fill=—","Direction=H","UseDPDF=Y")</f>
        <v>#NAME?</v>
      </c>
      <c r="CK470" s="2" t="e">
        <f ca="1">_xll.BDH($C$453,"TOT_DEBT_TO_TOT_EQY","FQ2 2017","FQ2 2017","Currency=INR","Period=FQ","BEST_FPERIOD_OVERRIDE=FQ","FILING_STATUS=OR","EQY_CONSOLIDATED=Y","Sort=A","Dates=H","DateFormat=P","Fill=—","Direction=H","UseDPDF=Y")</f>
        <v>#NAME?</v>
      </c>
      <c r="CL470" s="2" t="e">
        <f ca="1">_xll.BDH($C$453,"TOT_DEBT_TO_TOT_CAP","FQ2 2017","FQ2 2017","Currency=INR","Period=FQ","BEST_FPERIOD_OVERRIDE=FQ","FILING_STATUS=OR","EQY_CONSOLIDATED=Y","Sort=A","Dates=H","DateFormat=P","Fill=—","Direction=H","UseDPDF=Y")</f>
        <v>#NAME?</v>
      </c>
      <c r="CM470" s="2" t="e">
        <f ca="1">_xll.BDH($C$453,"TOT_DEBT_TO_TOT_ASSET","FQ2 2017","FQ2 2017","Currency=INR","Period=FQ","BEST_FPERIOD_OVERRIDE=FQ","FILING_STATUS=OR","EQY_CONSOLIDATED=Y","Sort=A","Dates=H","DateFormat=P","Fill=—","Direction=H","UseDPDF=Y")</f>
        <v>#NAME?</v>
      </c>
      <c r="CN470" s="2" t="e">
        <f ca="1">_xll.BDH($C$453,"NET_DEBT_TO_SHRHLDR_EQTY","FQ2 2017","FQ2 2017","Currency=INR","Period=FQ","BEST_FPERIOD_OVERRIDE=FQ","FILING_STATUS=OR","EQY_CONSOLIDATED=Y","Sort=A","Dates=H","DateFormat=P","Fill=—","Direction=H","UseDPDF=Y")</f>
        <v>#NAME?</v>
      </c>
      <c r="CO470" s="2" t="e">
        <f ca="1">_xll.BDH($C$453,"NET_DEBT_%_CAPITAL","FQ2 2017","FQ2 2017","Currency=INR","Period=FQ","BEST_FPERIOD_OVERRIDE=FQ","FILING_STATUS=OR","EQY_CONSOLIDATED=Y","Sort=A","Dates=H","DateFormat=P","Fill=—","Direction=H","UseDPDF=Y")</f>
        <v>#NAME?</v>
      </c>
      <c r="CP470" s="3" t="e">
        <f ca="1">_xll.BDH($C$453,"EBITDA","FQ2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470" s="3" t="e">
        <f ca="1">_xll.BDH($C$453,"EBITDA_AFTER_CAPEX","FQ2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470" s="3" t="e">
        <f ca="1">_xll.BDH($C$453,"IS_OPER_INC","FQ2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470" s="2" t="e">
        <f ca="1">_xll.BDH($C$453,"CASH_RATIO","FQ2 2017","FQ2 2017","Currency=INR","Period=FQ","BEST_FPERIOD_OVERRIDE=FQ","FILING_STATUS=OR","EQY_CONSOLIDATED=Y","Sort=A","Dates=H","DateFormat=P","Fill=—","Direction=H","UseDPDF=Y")</f>
        <v>#NAME?</v>
      </c>
      <c r="CT470" s="2" t="e">
        <f ca="1">_xll.BDH($C$453,"CUR_RATIO","FQ2 2017","FQ2 2017","Currency=INR","Period=FQ","BEST_FPERIOD_OVERRIDE=FQ","FILING_STATUS=OR","EQY_CONSOLIDATED=Y","Sort=A","Dates=H","DateFormat=P","Fill=—","Direction=H","UseDPDF=Y")</f>
        <v>#NAME?</v>
      </c>
      <c r="CU470" s="2" t="e">
        <f ca="1">_xll.BDH($C$453,"QUICK_RATIO","FQ2 2017","FQ2 2017","Currency=INR","Period=FQ","BEST_FPERIOD_OVERRIDE=FQ","FILING_STATUS=OR","EQY_CONSOLIDATED=Y","Sort=A","Dates=H","DateFormat=P","Fill=—","Direction=H","UseDPDF=Y")</f>
        <v>#NAME?</v>
      </c>
      <c r="CV470" s="2" t="e">
        <f ca="1">_xll.BDH($C$453,"ALTMAN_Z_SCORE","FQ2 2017","FQ2 2017","Currency=INR","Period=FQ","BEST_FPERIOD_OVERRIDE=FQ","FILING_STATUS=OR","EQY_CONSOLIDATED=Y","Sort=A","Dates=H","DateFormat=P","Fill=—","Direction=H","UseDPDF=Y")</f>
        <v>#NAME?</v>
      </c>
      <c r="CW470" s="4" t="e">
        <f ca="1">_xll.BDH($C$453,"ACCT_RCV_TURN","FQ2 2017","FQ2 2017","Currency=INR","Period=FQ","BEST_FPERIOD_OVERRIDE=FQ","FILING_STATUS=OR","EQY_CONSOLIDATED=Y","FA_ADJUSTED=GAAP","Sort=A","Dates=H","DateFormat=P","Fill=—","Direction=H","UseDPDF=Y")</f>
        <v>#NAME?</v>
      </c>
      <c r="CX470" s="2" t="e">
        <f ca="1">_xll.BDH($C$453,"ACCT_RCV_DAYS","FQ2 2017","FQ2 2017","Currency=INR","Period=FQ","BEST_FPERIOD_OVERRIDE=FQ","FILING_STATUS=OR","EQY_CONSOLIDATED=Y","FA_ADJUSTED=GAAP","Sort=A","Dates=H","DateFormat=P","Fill=—","Direction=H","UseDPDF=Y")</f>
        <v>#NAME?</v>
      </c>
      <c r="CY470" s="4" t="e">
        <f ca="1">_xll.BDH($C$453,"INVENT_TURN","FQ2 2017","FQ2 2017","Currency=INR","Period=FQ","BEST_FPERIOD_OVERRIDE=FQ","FILING_STATUS=OR","EQY_CONSOLIDATED=Y","FA_ADJUSTED=GAAP","Sort=A","Dates=H","DateFormat=P","Fill=—","Direction=H","UseDPDF=Y")</f>
        <v>#NAME?</v>
      </c>
      <c r="CZ470" s="2" t="e">
        <f ca="1">_xll.BDH($C$453,"INVENT_DAYS","FQ2 2017","FQ2 2017","Currency=INR","Period=FQ","BEST_FPERIOD_OVERRIDE=FQ","FILING_STATUS=OR","EQY_CONSOLIDATED=Y","FA_ADJUSTED=GAAP","Sort=A","Dates=H","DateFormat=P","Fill=—","Direction=H","UseDPDF=Y")</f>
        <v>#NAME?</v>
      </c>
      <c r="DA470" s="4" t="e">
        <f ca="1">_xll.BDH($C$453,"ACCOUNTS_PAYABLE_TURNOVER","FQ2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470" s="2" t="e">
        <f ca="1">_xll.BDH($C$453,"ACCOUNTS_PAYABLE_TURNOVER_DAYS","FQ2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470" s="4" t="e">
        <f ca="1">_xll.BDH($C$453,"CASH_CONVERSION_CYCLE","FQ2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470" s="4" t="e">
        <f ca="1">_xll.BDH($C$453,"INV_TO_CASH_DAYS","FQ2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470" s="5" t="e">
        <f ca="1">_xll.BDH($C$453,"BS_INVENTORIES","FQ2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470" s="3" t="e">
        <f ca="1">_xll.BDH($C$453,"INVTRY_RAW_MATERIALS","FQ2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470" s="3" t="e">
        <f ca="1">_xll.BDH($C$453,"INVTRY_IN_PROGRESS","FQ2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470" s="3" t="e">
        <f ca="1">_xll.BDH($C$453,"INVTRY_FINISHED_GOODS","FQ2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470" s="3" t="e">
        <f ca="1">_xll.BDH($C$453,"BS_OTHER_INV","FQ2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471" spans="1:113" x14ac:dyDescent="0.3">
      <c r="A471" s="6"/>
      <c r="B471" s="6"/>
      <c r="C471" s="6"/>
      <c r="D471" s="6"/>
      <c r="E471" t="s">
        <v>80</v>
      </c>
      <c r="F471" t="e">
        <f ca="1">_xll.BDH($C$453,"RETURN_COM_EQY","FQ3 2017","FQ3 2017","Currency=INR","Period=FQ","BEST_FPERIOD_OVERRIDE=FQ","FILING_STATUS=OR","EQY_CONSOLIDATED=Y","FA_ADJUSTED=GAAP","Sort=A","Dates=H","DateFormat=P","Fill=—","Direction=H","UseDPDF=Y")</f>
        <v>#NAME?</v>
      </c>
      <c r="G471" t="e">
        <f ca="1">_xll.BDH($C$453,"RETURN_ON_ASSET","FQ3 2017","FQ3 2017","Currency=INR","Period=FQ","BEST_FPERIOD_OVERRIDE=FQ","FILING_STATUS=OR","EQY_CONSOLIDATED=Y","FA_ADJUSTED=GAAP","Sort=A","Dates=H","DateFormat=P","Fill=—","Direction=H","UseDPDF=Y")</f>
        <v>#NAME?</v>
      </c>
      <c r="H471" t="e">
        <f ca="1">_xll.BDH($C$453,"RETURN_ON_CAP","FQ3 2017","FQ3 2017","Currency=INR","Period=FQ","BEST_FPERIOD_OVERRIDE=FQ","FILING_STATUS=OR","EQY_CONSOLIDATED=Y","FA_ADJUSTED=GAAP","Sort=A","Dates=H","DateFormat=P","Fill=—","Direction=H","UseDPDF=Y")</f>
        <v>#NAME?</v>
      </c>
      <c r="I471" t="e">
        <f ca="1">_xll.BDH($C$453,"RETURN_ON_INV_CAPITAL","FQ3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471" t="e">
        <f ca="1">_xll.BDH($C$453,"EBITDA_TO_REVENUE","FQ3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471" t="e">
        <f ca="1">_xll.BDH($C$453,"OPER_MARGIN","FQ3 2017","FQ3 2017","Currency=INR","Period=FQ","BEST_FPERIOD_OVERRIDE=FQ","FILING_STATUS=OR","EQY_CONSOLIDATED=Y","FA_ADJUSTED=GAAP","Sort=A","Dates=H","DateFormat=P","Fill=—","Direction=H","UseDPDF=Y")</f>
        <v>#NAME?</v>
      </c>
      <c r="L471" t="e">
        <f ca="1">_xll.BDH($C$453,"INCREMENTAL_OPERATING_MARGIN","FQ3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471" t="e">
        <f ca="1">_xll.BDH($C$453,"PRETAX_INC_TO_NET_SALES","FQ3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471" t="e">
        <f ca="1">_xll.BDH($C$453,"INC_BEF_XO_ITEMS_TO_NET_SALES","FQ3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471" t="e">
        <f ca="1">_xll.BDH($C$453,"PROF_MARGIN","FQ3 2017","FQ3 2017","Currency=INR","Period=FQ","BEST_FPERIOD_OVERRIDE=FQ","FILING_STATUS=OR","EQY_CONSOLIDATED=Y","FA_ADJUSTED=GAAP","Sort=A","Dates=H","DateFormat=P","Fill=—","Direction=H","UseDPDF=Y")</f>
        <v>#NAME?</v>
      </c>
      <c r="P471" t="e">
        <f ca="1">_xll.BDH($C$453,"NET_INCOME_TO_COMMON_MARGIN","FQ3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471" t="e">
        <f ca="1">_xll.BDH($C$453,"EFF_TAX_RATE","FQ3 2017","FQ3 2017","Currency=INR","Period=FQ","BEST_FPERIOD_OVERRIDE=FQ","FILING_STATUS=OR","EQY_CONSOLIDATED=Y","FA_ADJUSTED=GAAP","Sort=A","Dates=H","DateFormat=P","Fill=—","Direction=H","UseDPDF=Y")</f>
        <v>#NAME?</v>
      </c>
      <c r="R471" t="e">
        <f ca="1">_xll.BDH($C$453,"DVD_PAYOUT_RATIO","FQ3 2017","FQ3 2017","Currency=INR","Period=FQ","BEST_FPERIOD_OVERRIDE=FQ","FILING_STATUS=OR","EQY_CONSOLIDATED=Y","FA_ADJUSTED=GAAP","Sort=A","Dates=H","DateFormat=P","Fill=—","Direction=H","UseDPDF=Y")</f>
        <v>#NAME?</v>
      </c>
      <c r="S471" t="e">
        <f ca="1">_xll.BDH($C$453,"SUSTAIN_GROWTH_RT","FQ3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471" s="2" t="e">
        <f ca="1">_xll.BDH($C$453,"SALES_GROWTH","FQ3 2017","FQ3 2017","Currency=INR","Period=FQ","BEST_FPERIOD_OVERRIDE=FQ","FILING_STATUS=OR","EQY_CONSOLIDATED=Y","FA_ADJUSTED=GAAP","Sort=A","Dates=H","DateFormat=P","Fill=—","Direction=H","UseDPDF=Y")</f>
        <v>#NAME?</v>
      </c>
      <c r="U471" s="2" t="e">
        <f ca="1">_xll.BDH($C$453,"EBITDA_GROWTH","FQ3 2017","FQ3 2017","Currency=INR","Period=FQ","BEST_FPERIOD_OVERRIDE=FQ","FILING_STATUS=OR","EQY_CONSOLIDATED=Y","FA_ADJUSTED=GAAP","Sort=A","Dates=H","DateFormat=P","Fill=—","Direction=H","UseDPDF=Y")</f>
        <v>#NAME?</v>
      </c>
      <c r="V471" s="2" t="e">
        <f ca="1">_xll.BDH($C$453,"OPER_INC_GROWTH","FQ3 2017","FQ3 2017","Currency=INR","Period=FQ","BEST_FPERIOD_OVERRIDE=FQ","FILING_STATUS=OR","EQY_CONSOLIDATED=Y","FA_ADJUSTED=GAAP","Sort=A","Dates=H","DateFormat=P","Fill=—","Direction=H","UseDPDF=Y")</f>
        <v>#NAME?</v>
      </c>
      <c r="W471" s="2" t="e">
        <f ca="1">_xll.BDH($C$453,"EARN_FOR_COM_GROWTH","FQ3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471" s="2" t="e">
        <f ca="1">_xll.BDH($C$453,"DILUTED_EPS_AFT_XO_ITEMS_GROWTH","FQ3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471" s="2" t="e">
        <f ca="1">_xll.BDH($C$453,"DIVIDEND_PER_SHARE_1_YEAR_GROWTH","FQ3 2017","FQ3 2017","Currency=INR","Period=FQ","BEST_FPERIOD_OVERRIDE=FQ","FILING_STATUS=OR","EQY_CONSOLIDATED=Y","Sort=A","Dates=H","DateFormat=P","Fill=—","Direction=H","UseDPDF=Y")</f>
        <v>#NAME?</v>
      </c>
      <c r="Z471" s="2" t="e">
        <f ca="1">_xll.BDH($C$453,"ACCOUNTS_RECEIVABLE_GROWTH","FQ3 2017","FQ3 2017","Currency=INR","Period=FQ","BEST_FPERIOD_OVERRIDE=FQ","FILING_STATUS=OR","EQY_CONSOLIDATED=Y","Sort=A","Dates=H","DateFormat=P","Fill=—","Direction=H","UseDPDF=Y")</f>
        <v>#NAME?</v>
      </c>
      <c r="AA471" s="2" t="e">
        <f ca="1">_xll.BDH($C$453,"INVENTORY_GROWTH","FQ3 2017","FQ3 2017","Currency=INR","Period=FQ","BEST_FPERIOD_OVERRIDE=FQ","FILING_STATUS=OR","EQY_CONSOLIDATED=Y","Sort=A","Dates=H","DateFormat=P","Fill=—","Direction=H","UseDPDF=Y")</f>
        <v>#NAME?</v>
      </c>
      <c r="AB471" s="2" t="e">
        <f ca="1">_xll.BDH($C$453,"NET_FIXED_ASSETS_1_YEAR_GROWTH","FQ3 2017","FQ3 2017","Currency=INR","Period=FQ","BEST_FPERIOD_OVERRIDE=FQ","FILING_STATUS=OR","EQY_CONSOLIDATED=Y","Sort=A","Dates=H","DateFormat=P","Fill=—","Direction=H","UseDPDF=Y")</f>
        <v>#NAME?</v>
      </c>
      <c r="AC471" s="2" t="e">
        <f ca="1">_xll.BDH($C$453,"ASSET_GROWTH","FQ3 2017","FQ3 2017","Currency=INR","Period=FQ","BEST_FPERIOD_OVERRIDE=FQ","FILING_STATUS=OR","EQY_CONSOLIDATED=Y","Sort=A","Dates=H","DateFormat=P","Fill=—","Direction=H","UseDPDF=Y")</f>
        <v>#NAME?</v>
      </c>
      <c r="AD471" s="2" t="e">
        <f ca="1">_xll.BDH($C$453,"MODIFIED_WORK_CAP_GROWTH","FQ3 2017","FQ3 2017","Currency=INR","Period=FQ","BEST_FPERIOD_OVERRIDE=FQ","FILING_STATUS=OR","EQY_CONSOLIDATED=Y","Sort=A","Dates=H","DateFormat=P","Fill=—","Direction=H","UseDPDF=Y")</f>
        <v>#NAME?</v>
      </c>
      <c r="AE471" s="2" t="e">
        <f ca="1">_xll.BDH($C$453,"WORK_CAP_GROWTH","FQ3 2017","FQ3 2017","Currency=INR","Period=FQ","BEST_FPERIOD_OVERRIDE=FQ","FILING_STATUS=OR","EQY_CONSOLIDATED=Y","Sort=A","Dates=H","DateFormat=P","Fill=—","Direction=H","UseDPDF=Y")</f>
        <v>#NAME?</v>
      </c>
      <c r="AF471" s="2" t="e">
        <f ca="1">_xll.BDH($C$453,"ACCOUNTS_PAYABLE_GROWTH_1YR","FQ3 2017","FQ3 2017","Currency=INR","Period=FQ","BEST_FPERIOD_OVERRIDE=FQ","FILING_STATUS=OR","EQY_CONSOLIDATED=Y","Sort=A","Dates=H","DateFormat=P","Fill=—","Direction=H","UseDPDF=Y")</f>
        <v>#NAME?</v>
      </c>
      <c r="AG471" s="2" t="e">
        <f ca="1">_xll.BDH($C$453,"SHORT_TERM_DEBT_1_YEAR_GROWTH","FQ3 2017","FQ3 2017","Currency=INR","Period=FQ","BEST_FPERIOD_OVERRIDE=FQ","FILING_STATUS=OR","EQY_CONSOLIDATED=Y","Sort=A","Dates=H","DateFormat=P","Fill=—","Direction=H","UseDPDF=Y")</f>
        <v>#NAME?</v>
      </c>
      <c r="AH471" s="2" t="e">
        <f ca="1">_xll.BDH($C$453,"TOTAL_DEBT_1_YEAR_GROWTH","FQ3 2017","FQ3 2017","Currency=INR","Period=FQ","BEST_FPERIOD_OVERRIDE=FQ","FILING_STATUS=OR","EQY_CONSOLIDATED=Y","Sort=A","Dates=H","DateFormat=P","Fill=—","Direction=H","UseDPDF=Y")</f>
        <v>#NAME?</v>
      </c>
      <c r="AI471" s="2" t="e">
        <f ca="1">_xll.BDH($C$453,"TOTAL_EQUITY_1_YEAR_GROWTH","FQ3 2017","FQ3 2017","Currency=INR","Period=FQ","BEST_FPERIOD_OVERRIDE=FQ","FILING_STATUS=OR","EQY_CONSOLIDATED=Y","Sort=A","Dates=H","DateFormat=P","Fill=—","Direction=H","UseDPDF=Y")</f>
        <v>#NAME?</v>
      </c>
      <c r="AJ471" s="2" t="e">
        <f ca="1">_xll.BDH($C$453,"GROWTH_IN_CAP","FQ3 2017","FQ3 2017","Currency=INR","Period=FQ","BEST_FPERIOD_OVERRIDE=FQ","FILING_STATUS=OR","EQY_CONSOLIDATED=Y","Sort=A","Dates=H","DateFormat=P","Fill=—","Direction=H","UseDPDF=Y")</f>
        <v>#NAME?</v>
      </c>
      <c r="AK471" s="2" t="e">
        <f ca="1">_xll.BDH($C$453,"BVPS_GROWTH","FQ3 2017","FQ3 2017","Currency=INR","Period=FQ","BEST_FPERIOD_OVERRIDE=FQ","FILING_STATUS=OR","EQY_CONSOLIDATED=Y","Sort=A","Dates=H","DateFormat=P","Fill=—","Direction=H","UseDPDF=Y")</f>
        <v>#NAME?</v>
      </c>
      <c r="AL471" s="2" t="e">
        <f ca="1">_xll.BDH($C$453,"CASH_FLOW_GROWTH","FQ3 2017","FQ3 2017","Currency=INR","Period=FQ","BEST_FPERIOD_OVERRIDE=FQ","FILING_STATUS=OR","EQY_CONSOLIDATED=Y","Sort=A","Dates=H","DateFormat=P","Fill=—","Direction=H","UseDPDF=Y")</f>
        <v>#NAME?</v>
      </c>
      <c r="AM471" s="2" t="e">
        <f ca="1">_xll.BDH($C$453,"GEO_GROW_NET_SALES","FQ3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471" s="2" t="e">
        <f ca="1">_xll.BDH($C$453,"GEO_GROW_EBITDA","FQ3 2017","FQ3 2017","Currency=INR","Period=FQ","BEST_FPERIOD_OVERRIDE=FQ","FILING_STATUS=OR","EQY_CONSOLIDATED=Y","FA_ADJUSTED=GAAP","Sort=A","Dates=H","DateFormat=P","Fill=—","Direction=H","UseDPDF=Y")</f>
        <v>#NAME?</v>
      </c>
      <c r="AO471" s="2" t="e">
        <f ca="1">_xll.BDH($C$453,"GEO_GROW_OPER_INC","FQ3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471" s="2" t="e">
        <f ca="1">_xll.BDH($C$453,"NET_INCOME_TO_COMMON_5_YR_GROWTH","FQ3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471" s="2" t="e">
        <f ca="1">_xll.BDH($C$453,"5Y_GEO_GROWTH_DILUTED_EPS","FQ3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471" s="2" t="e">
        <f ca="1">_xll.BDH($C$453,"GEO_GROW_DVD_PER_SH","FQ3 2017","FQ3 2017","Currency=INR","Period=FQ","BEST_FPERIOD_OVERRIDE=FQ","FILING_STATUS=OR","EQY_CONSOLIDATED=Y","Sort=A","Dates=H","DateFormat=P","Fill=—","Direction=H","UseDPDF=Y")</f>
        <v>#NAME?</v>
      </c>
      <c r="AS471" s="2" t="e">
        <f ca="1">_xll.BDH($C$453,"ACCOUNTS_RECEIVABLE_5_YR_GROWTH","FQ3 2017","FQ3 2017","Currency=INR","Period=FQ","BEST_FPERIOD_OVERRIDE=FQ","FILING_STATUS=OR","EQY_CONSOLIDATED=Y","Sort=A","Dates=H","DateFormat=P","Fill=—","Direction=H","UseDPDF=Y")</f>
        <v>#NAME?</v>
      </c>
      <c r="AT471" s="2" t="e">
        <f ca="1">_xll.BDH($C$453,"INVENTORY_5_YEAR_GROWTH","FQ3 2017","FQ3 2017","Currency=INR","Period=FQ","BEST_FPERIOD_OVERRIDE=FQ","FILING_STATUS=OR","EQY_CONSOLIDATED=Y","Sort=A","Dates=H","DateFormat=P","Fill=—","Direction=H","UseDPDF=Y")</f>
        <v>#NAME?</v>
      </c>
      <c r="AU471" s="2" t="e">
        <f ca="1">_xll.BDH($C$453,"NET_FIXED_ASSETS_5_YEAR_GROWTH","FQ3 2017","FQ3 2017","Currency=INR","Period=FQ","BEST_FPERIOD_OVERRIDE=FQ","FILING_STATUS=OR","EQY_CONSOLIDATED=Y","Sort=A","Dates=H","DateFormat=P","Fill=—","Direction=H","UseDPDF=Y")</f>
        <v>#NAME?</v>
      </c>
      <c r="AV471" s="2" t="e">
        <f ca="1">_xll.BDH($C$453,"GEO_GROW_TOT_ASSET","FQ3 2017","FQ3 2017","Currency=INR","Period=FQ","BEST_FPERIOD_OVERRIDE=FQ","FILING_STATUS=OR","EQY_CONSOLIDATED=Y","Sort=A","Dates=H","DateFormat=P","Fill=—","Direction=H","UseDPDF=Y")</f>
        <v>#NAME?</v>
      </c>
      <c r="AW471" s="2" t="e">
        <f ca="1">_xll.BDH($C$453,"MODIFIED_WORKING_CPTL_5YR_GRWTH","FQ3 2017","FQ3 2017","Currency=INR","Period=FQ","BEST_FPERIOD_OVERRIDE=FQ","FILING_STATUS=OR","EQY_CONSOLIDATED=Y","Sort=A","Dates=H","DateFormat=P","Fill=—","Direction=H","UseDPDF=Y")</f>
        <v>#NAME?</v>
      </c>
      <c r="AX471" s="2" t="e">
        <f ca="1">_xll.BDH($C$453,"WORKING_CAPITAL_5_YEAR_GROWTH","FQ3 2017","FQ3 2017","Currency=INR","Period=FQ","BEST_FPERIOD_OVERRIDE=FQ","FILING_STATUS=OR","EQY_CONSOLIDATED=Y","Sort=A","Dates=H","DateFormat=P","Fill=—","Direction=H","UseDPDF=Y")</f>
        <v>#NAME?</v>
      </c>
      <c r="AY471" s="2" t="e">
        <f ca="1">_xll.BDH($C$453,"ACCOUNTS_PAYABLE_5_YEAR_GROWTH","FQ3 2017","FQ3 2017","Currency=INR","Period=FQ","BEST_FPERIOD_OVERRIDE=FQ","FILING_STATUS=OR","EQY_CONSOLIDATED=Y","Sort=A","Dates=H","DateFormat=P","Fill=—","Direction=H","UseDPDF=Y")</f>
        <v>#NAME?</v>
      </c>
      <c r="AZ471" s="2" t="e">
        <f ca="1">_xll.BDH($C$453,"SHORT_TERM_DEBT_5_YEAR_GROWTH","FQ3 2017","FQ3 2017","Currency=INR","Period=FQ","BEST_FPERIOD_OVERRIDE=FQ","FILING_STATUS=OR","EQY_CONSOLIDATED=Y","Sort=A","Dates=H","DateFormat=P","Fill=—","Direction=H","UseDPDF=Y")</f>
        <v>#NAME?</v>
      </c>
      <c r="BA471" s="2" t="e">
        <f ca="1">_xll.BDH($C$453,"TOTAL_DEBT_5_YEAR_GROWTH","FQ3 2017","FQ3 2017","Currency=INR","Period=FQ","BEST_FPERIOD_OVERRIDE=FQ","FILING_STATUS=OR","EQY_CONSOLIDATED=Y","Sort=A","Dates=H","DateFormat=P","Fill=—","Direction=H","UseDPDF=Y")</f>
        <v>#NAME?</v>
      </c>
      <c r="BB471" s="2" t="e">
        <f ca="1">_xll.BDH($C$453,"GEO_GROW_TOT_SHRHLDR_EQY","FQ3 2017","FQ3 2017","Currency=INR","Period=FQ","BEST_FPERIOD_OVERRIDE=FQ","FILING_STATUS=OR","EQY_CONSOLIDATED=Y","Sort=A","Dates=H","DateFormat=P","Fill=—","Direction=H","UseDPDF=Y")</f>
        <v>#NAME?</v>
      </c>
      <c r="BC471" s="2" t="e">
        <f ca="1">_xll.BDH($C$453,"TOTAL_CAPITAL_5_YEAR_GROWTH","FQ3 2017","FQ3 2017","Currency=INR","Period=FQ","BEST_FPERIOD_OVERRIDE=FQ","FILING_STATUS=OR","EQY_CONSOLIDATED=Y","Sort=A","Dates=H","DateFormat=P","Fill=—","Direction=H","UseDPDF=Y")</f>
        <v>#NAME?</v>
      </c>
      <c r="BD471" s="2" t="e">
        <f ca="1">_xll.BDH($C$453,"GEO_GROW_BOOK_VAL","FQ3 2017","FQ3 2017","Currency=INR","Period=FQ","BEST_FPERIOD_OVERRIDE=FQ","FILING_STATUS=OR","EQY_CONSOLIDATED=Y","Sort=A","Dates=H","DateFormat=P","Fill=—","Direction=H","UseDPDF=Y")</f>
        <v>#NAME?</v>
      </c>
      <c r="BE471" s="2" t="e">
        <f ca="1">_xll.BDH($C$453,"GEO_GROW_CASH_OPER_ACT","FQ3 2017","FQ3 2017","Currency=INR","Period=FQ","BEST_FPERIOD_OVERRIDE=FQ","FILING_STATUS=OR","EQY_CONSOLIDATED=Y","Sort=A","Dates=H","DateFormat=P","Fill=—","Direction=H","UseDPDF=Y")</f>
        <v>#NAME?</v>
      </c>
      <c r="BF471" s="2" t="e">
        <f ca="1">_xll.BDH($C$453,"REVENUE_SEQUENTIAL_GROWTH","FQ3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471" s="2" t="e">
        <f ca="1">_xll.BDH($C$453,"EBITDA_SEQUENTIAL_GROWTH","FQ3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471" s="2" t="e">
        <f ca="1">_xll.BDH($C$453,"OPERATING_INCOME_SEQ_GROWTH","FQ3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471" s="2" t="e">
        <f ca="1">_xll.BDH($C$453,"NET_INCOME_TO_COMMON_SEQ_GROWTH","FQ3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471" s="2" t="e">
        <f ca="1">_xll.BDH($C$453,"EPS_DILUTED_SEQUENTIAL_GROWTH","FQ3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471" s="2" t="e">
        <f ca="1">_xll.BDH($C$453,"DPS_SEQUENTIAL_GROWTH","FQ3 2017","FQ3 2017","Currency=INR","Period=FQ","BEST_FPERIOD_OVERRIDE=FQ","FILING_STATUS=OR","EQY_CONSOLIDATED=Y","Sort=A","Dates=H","DateFormat=P","Fill=—","Direction=H","UseDPDF=Y")</f>
        <v>#NAME?</v>
      </c>
      <c r="BL471" s="2" t="e">
        <f ca="1">_xll.BDH($C$453,"ACCOUNTS_RECEIVABLE_SEQ_GROWTH","FQ3 2017","FQ3 2017","Currency=INR","Period=FQ","BEST_FPERIOD_OVERRIDE=FQ","FILING_STATUS=OR","EQY_CONSOLIDATED=Y","Sort=A","Dates=H","DateFormat=P","Fill=—","Direction=H","UseDPDF=Y")</f>
        <v>#NAME?</v>
      </c>
      <c r="BM471" s="2" t="e">
        <f ca="1">_xll.BDH($C$453,"INVENTORY_SEQUENTIAL_GROWTH","FQ3 2017","FQ3 2017","Currency=INR","Period=FQ","BEST_FPERIOD_OVERRIDE=FQ","FILING_STATUS=OR","EQY_CONSOLIDATED=Y","Sort=A","Dates=H","DateFormat=P","Fill=—","Direction=H","UseDPDF=Y")</f>
        <v>#NAME?</v>
      </c>
      <c r="BN471" s="2" t="e">
        <f ca="1">_xll.BDH($C$453,"FIXED_ASSETS_SEQUENTIAL_GROWTH","FQ3 2017","FQ3 2017","Currency=INR","Period=FQ","BEST_FPERIOD_OVERRIDE=FQ","FILING_STATUS=OR","EQY_CONSOLIDATED=Y","Sort=A","Dates=H","DateFormat=P","Fill=—","Direction=H","UseDPDF=Y")</f>
        <v>#NAME?</v>
      </c>
      <c r="BO471" s="2" t="e">
        <f ca="1">_xll.BDH($C$453,"TOTAL_ASSETS_SEQUENTIAL_GROWTH","FQ3 2017","FQ3 2017","Currency=INR","Period=FQ","BEST_FPERIOD_OVERRIDE=FQ","FILING_STATUS=OR","EQY_CONSOLIDATED=Y","Sort=A","Dates=H","DateFormat=P","Fill=—","Direction=H","UseDPDF=Y")</f>
        <v>#NAME?</v>
      </c>
      <c r="BP471" s="2" t="e">
        <f ca="1">_xll.BDH($C$453,"MODIFIED_WORKING_CPTL_SEQ_GRWTH","FQ3 2017","FQ3 2017","Currency=INR","Period=FQ","BEST_FPERIOD_OVERRIDE=FQ","FILING_STATUS=OR","EQY_CONSOLIDATED=Y","Sort=A","Dates=H","DateFormat=P","Fill=—","Direction=H","UseDPDF=Y")</f>
        <v>#NAME?</v>
      </c>
      <c r="BQ471" s="2" t="e">
        <f ca="1">_xll.BDH($C$453,"WORKING_CAPITAL_SEQ_GROWTH","FQ3 2017","FQ3 2017","Currency=INR","Period=FQ","BEST_FPERIOD_OVERRIDE=FQ","FILING_STATUS=OR","EQY_CONSOLIDATED=Y","Sort=A","Dates=H","DateFormat=P","Fill=—","Direction=H","UseDPDF=Y")</f>
        <v>#NAME?</v>
      </c>
      <c r="BR471" s="2" t="e">
        <f ca="1">_xll.BDH($C$453,"ACCOUNTS_PAYABLE_SEQ_GROWTH","FQ3 2017","FQ3 2017","Currency=INR","Period=FQ","BEST_FPERIOD_OVERRIDE=FQ","FILING_STATUS=OR","EQY_CONSOLIDATED=Y","Sort=A","Dates=H","DateFormat=P","Fill=—","Direction=H","UseDPDF=Y")</f>
        <v>#NAME?</v>
      </c>
      <c r="BS471" s="2" t="e">
        <f ca="1">_xll.BDH($C$453,"ST_DEBT_SEQUENTIAL_GROWTH","FQ3 2017","FQ3 2017","Currency=INR","Period=FQ","BEST_FPERIOD_OVERRIDE=FQ","FILING_STATUS=OR","EQY_CONSOLIDATED=Y","Sort=A","Dates=H","DateFormat=P","Fill=—","Direction=H","UseDPDF=Y")</f>
        <v>#NAME?</v>
      </c>
      <c r="BT471" s="2" t="e">
        <f ca="1">_xll.BDH($C$453,"TOTAL_DEBT_SEQUENTIAL_GROWTH","FQ3 2017","FQ3 2017","Currency=INR","Period=FQ","BEST_FPERIOD_OVERRIDE=FQ","FILING_STATUS=OR","EQY_CONSOLIDATED=Y","Sort=A","Dates=H","DateFormat=P","Fill=—","Direction=H","UseDPDF=Y")</f>
        <v>#NAME?</v>
      </c>
      <c r="BU471" s="2" t="e">
        <f ca="1">_xll.BDH($C$453,"TOTAL_EQUITY_SEQUENTIAL_GROWTH","FQ3 2017","FQ3 2017","Currency=INR","Period=FQ","BEST_FPERIOD_OVERRIDE=FQ","FILING_STATUS=OR","EQY_CONSOLIDATED=Y","Sort=A","Dates=H","DateFormat=P","Fill=—","Direction=H","UseDPDF=Y")</f>
        <v>#NAME?</v>
      </c>
      <c r="BV471" s="2" t="e">
        <f ca="1">_xll.BDH($C$453,"TOTAL_CAPITAL_SEQUENTIAL_GROWTH","FQ3 2017","FQ3 2017","Currency=INR","Period=FQ","BEST_FPERIOD_OVERRIDE=FQ","FILING_STATUS=OR","EQY_CONSOLIDATED=Y","Sort=A","Dates=H","DateFormat=P","Fill=—","Direction=H","UseDPDF=Y")</f>
        <v>#NAME?</v>
      </c>
      <c r="BW471" s="2" t="e">
        <f ca="1">_xll.BDH($C$453,"BPS_SEQUENTIAL_GROWTH","FQ3 2017","FQ3 2017","Currency=INR","Period=FQ","BEST_FPERIOD_OVERRIDE=FQ","FILING_STATUS=OR","EQY_CONSOLIDATED=Y","Sort=A","Dates=H","DateFormat=P","Fill=—","Direction=H","UseDPDF=Y")</f>
        <v>#NAME?</v>
      </c>
      <c r="BX471" s="2" t="e">
        <f ca="1">_xll.BDH($C$453,"CFO_SEQUENTIAL_GROWTH","FQ3 2017","FQ3 2017","Currency=INR","Period=FQ","BEST_FPERIOD_OVERRIDE=FQ","FILING_STATUS=OR","EQY_CONSOLIDATED=Y","Sort=A","Dates=H","DateFormat=P","Fill=—","Direction=H","UseDPDF=Y")</f>
        <v>#NAME?</v>
      </c>
      <c r="BY471" s="3" t="e">
        <f ca="1">_xll.BDH($C$453,"SHORT_AND_LONG_TERM_DEBT","FQ3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471" s="3" t="e">
        <f ca="1">_xll.BDH($C$453,"BS_ST_BORROW","FQ3 2017","FQ3 2017","Currency=INR","Period=FQ","BEST_FPERIOD_OVERRIDE=FQ","FILING_STATUS=OR","EQY_CONSOLIDATED=Y","SCALING_FORMAT=MLN","Sort=A","Dates=H","DateFormat=P","Fill=—","Direction=H","UseDPDF=Y")</f>
        <v>#NAME?</v>
      </c>
      <c r="CA471" s="3" t="e">
        <f ca="1">_xll.BDH($C$453,"BS_LT_BORROW","FQ3 2017","FQ3 2017","Currency=INR","Period=FQ","BEST_FPERIOD_OVERRIDE=FQ","FILING_STATUS=OR","EQY_CONSOLIDATED=Y","SCALING_FORMAT=MLN","Sort=A","Dates=H","DateFormat=P","Fill=—","Direction=H","UseDPDF=Y")</f>
        <v>#NAME?</v>
      </c>
      <c r="CB471" s="2" t="e">
        <f ca="1">_xll.BDH($C$453,"TOT_DEBT_TO_EBITDA","FQ3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471" s="2" t="e">
        <f ca="1">_xll.BDH($C$453,"NET_DEBT_TO_EBITDA","FQ3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471" s="2" t="e">
        <f ca="1">_xll.BDH($C$453,"TOTAL_DEBT_TO_EBIT","FQ3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471" s="2" t="e">
        <f ca="1">_xll.BDH($C$453,"NET_DEBT_TO_EBIT","FQ3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471" s="2" t="e">
        <f ca="1">_xll.BDH($C$453,"EBITDA_TO_INTEREST_EXPN","FQ3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471" s="2" t="e">
        <f ca="1">_xll.BDH($C$453,"COM_EQY_TO_TOT_ASSET","FQ3 2017","FQ3 2017","Currency=INR","Period=FQ","BEST_FPERIOD_OVERRIDE=FQ","FILING_STATUS=OR","EQY_CONSOLIDATED=Y","Sort=A","Dates=H","DateFormat=P","Fill=—","Direction=H","UseDPDF=Y")</f>
        <v>#NAME?</v>
      </c>
      <c r="CH471" s="2" t="e">
        <f ca="1">_xll.BDH($C$453,"LT_DEBT_TO_TOT_EQY","FQ3 2017","FQ3 2017","Currency=INR","Period=FQ","BEST_FPERIOD_OVERRIDE=FQ","FILING_STATUS=OR","EQY_CONSOLIDATED=Y","Sort=A","Dates=H","DateFormat=P","Fill=—","Direction=H","UseDPDF=Y")</f>
        <v>#NAME?</v>
      </c>
      <c r="CI471" s="2" t="e">
        <f ca="1">_xll.BDH($C$453,"LT_DEBT_TO_TOT_CAP","FQ3 2017","FQ3 2017","Currency=INR","Period=FQ","BEST_FPERIOD_OVERRIDE=FQ","FILING_STATUS=OR","EQY_CONSOLIDATED=Y","Sort=A","Dates=H","DateFormat=P","Fill=—","Direction=H","UseDPDF=Y")</f>
        <v>#NAME?</v>
      </c>
      <c r="CJ471" s="2" t="e">
        <f ca="1">_xll.BDH($C$453,"LT_DEBT_TO_TOT_ASSET","FQ3 2017","FQ3 2017","Currency=INR","Period=FQ","BEST_FPERIOD_OVERRIDE=FQ","FILING_STATUS=OR","EQY_CONSOLIDATED=Y","Sort=A","Dates=H","DateFormat=P","Fill=—","Direction=H","UseDPDF=Y")</f>
        <v>#NAME?</v>
      </c>
      <c r="CK471" s="2" t="e">
        <f ca="1">_xll.BDH($C$453,"TOT_DEBT_TO_TOT_EQY","FQ3 2017","FQ3 2017","Currency=INR","Period=FQ","BEST_FPERIOD_OVERRIDE=FQ","FILING_STATUS=OR","EQY_CONSOLIDATED=Y","Sort=A","Dates=H","DateFormat=P","Fill=—","Direction=H","UseDPDF=Y")</f>
        <v>#NAME?</v>
      </c>
      <c r="CL471" s="2" t="e">
        <f ca="1">_xll.BDH($C$453,"TOT_DEBT_TO_TOT_CAP","FQ3 2017","FQ3 2017","Currency=INR","Period=FQ","BEST_FPERIOD_OVERRIDE=FQ","FILING_STATUS=OR","EQY_CONSOLIDATED=Y","Sort=A","Dates=H","DateFormat=P","Fill=—","Direction=H","UseDPDF=Y")</f>
        <v>#NAME?</v>
      </c>
      <c r="CM471" s="2" t="e">
        <f ca="1">_xll.BDH($C$453,"TOT_DEBT_TO_TOT_ASSET","FQ3 2017","FQ3 2017","Currency=INR","Period=FQ","BEST_FPERIOD_OVERRIDE=FQ","FILING_STATUS=OR","EQY_CONSOLIDATED=Y","Sort=A","Dates=H","DateFormat=P","Fill=—","Direction=H","UseDPDF=Y")</f>
        <v>#NAME?</v>
      </c>
      <c r="CN471" s="2" t="e">
        <f ca="1">_xll.BDH($C$453,"NET_DEBT_TO_SHRHLDR_EQTY","FQ3 2017","FQ3 2017","Currency=INR","Period=FQ","BEST_FPERIOD_OVERRIDE=FQ","FILING_STATUS=OR","EQY_CONSOLIDATED=Y","Sort=A","Dates=H","DateFormat=P","Fill=—","Direction=H","UseDPDF=Y")</f>
        <v>#NAME?</v>
      </c>
      <c r="CO471" s="2" t="e">
        <f ca="1">_xll.BDH($C$453,"NET_DEBT_%_CAPITAL","FQ3 2017","FQ3 2017","Currency=INR","Period=FQ","BEST_FPERIOD_OVERRIDE=FQ","FILING_STATUS=OR","EQY_CONSOLIDATED=Y","Sort=A","Dates=H","DateFormat=P","Fill=—","Direction=H","UseDPDF=Y")</f>
        <v>#NAME?</v>
      </c>
      <c r="CP471" s="3" t="e">
        <f ca="1">_xll.BDH($C$453,"EBITDA","FQ3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471" s="3" t="e">
        <f ca="1">_xll.BDH($C$453,"EBITDA_AFTER_CAPEX","FQ3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471" s="3" t="e">
        <f ca="1">_xll.BDH($C$453,"IS_OPER_INC","FQ3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471" s="2" t="e">
        <f ca="1">_xll.BDH($C$453,"CASH_RATIO","FQ3 2017","FQ3 2017","Currency=INR","Period=FQ","BEST_FPERIOD_OVERRIDE=FQ","FILING_STATUS=OR","EQY_CONSOLIDATED=Y","Sort=A","Dates=H","DateFormat=P","Fill=—","Direction=H","UseDPDF=Y")</f>
        <v>#NAME?</v>
      </c>
      <c r="CT471" s="2" t="e">
        <f ca="1">_xll.BDH($C$453,"CUR_RATIO","FQ3 2017","FQ3 2017","Currency=INR","Period=FQ","BEST_FPERIOD_OVERRIDE=FQ","FILING_STATUS=OR","EQY_CONSOLIDATED=Y","Sort=A","Dates=H","DateFormat=P","Fill=—","Direction=H","UseDPDF=Y")</f>
        <v>#NAME?</v>
      </c>
      <c r="CU471" s="2" t="e">
        <f ca="1">_xll.BDH($C$453,"QUICK_RATIO","FQ3 2017","FQ3 2017","Currency=INR","Period=FQ","BEST_FPERIOD_OVERRIDE=FQ","FILING_STATUS=OR","EQY_CONSOLIDATED=Y","Sort=A","Dates=H","DateFormat=P","Fill=—","Direction=H","UseDPDF=Y")</f>
        <v>#NAME?</v>
      </c>
      <c r="CV471" s="2" t="e">
        <f ca="1">_xll.BDH($C$453,"ALTMAN_Z_SCORE","FQ3 2017","FQ3 2017","Currency=INR","Period=FQ","BEST_FPERIOD_OVERRIDE=FQ","FILING_STATUS=OR","EQY_CONSOLIDATED=Y","Sort=A","Dates=H","DateFormat=P","Fill=—","Direction=H","UseDPDF=Y")</f>
        <v>#NAME?</v>
      </c>
      <c r="CW471" s="4" t="e">
        <f ca="1">_xll.BDH($C$453,"ACCT_RCV_TURN","FQ3 2017","FQ3 2017","Currency=INR","Period=FQ","BEST_FPERIOD_OVERRIDE=FQ","FILING_STATUS=OR","EQY_CONSOLIDATED=Y","FA_ADJUSTED=GAAP","Sort=A","Dates=H","DateFormat=P","Fill=—","Direction=H","UseDPDF=Y")</f>
        <v>#NAME?</v>
      </c>
      <c r="CX471" s="2" t="e">
        <f ca="1">_xll.BDH($C$453,"ACCT_RCV_DAYS","FQ3 2017","FQ3 2017","Currency=INR","Period=FQ","BEST_FPERIOD_OVERRIDE=FQ","FILING_STATUS=OR","EQY_CONSOLIDATED=Y","FA_ADJUSTED=GAAP","Sort=A","Dates=H","DateFormat=P","Fill=—","Direction=H","UseDPDF=Y")</f>
        <v>#NAME?</v>
      </c>
      <c r="CY471" s="4" t="e">
        <f ca="1">_xll.BDH($C$453,"INVENT_TURN","FQ3 2017","FQ3 2017","Currency=INR","Period=FQ","BEST_FPERIOD_OVERRIDE=FQ","FILING_STATUS=OR","EQY_CONSOLIDATED=Y","FA_ADJUSTED=GAAP","Sort=A","Dates=H","DateFormat=P","Fill=—","Direction=H","UseDPDF=Y")</f>
        <v>#NAME?</v>
      </c>
      <c r="CZ471" s="2" t="e">
        <f ca="1">_xll.BDH($C$453,"INVENT_DAYS","FQ3 2017","FQ3 2017","Currency=INR","Period=FQ","BEST_FPERIOD_OVERRIDE=FQ","FILING_STATUS=OR","EQY_CONSOLIDATED=Y","FA_ADJUSTED=GAAP","Sort=A","Dates=H","DateFormat=P","Fill=—","Direction=H","UseDPDF=Y")</f>
        <v>#NAME?</v>
      </c>
      <c r="DA471" s="4" t="e">
        <f ca="1">_xll.BDH($C$453,"ACCOUNTS_PAYABLE_TURNOVER","FQ3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471" s="2" t="e">
        <f ca="1">_xll.BDH($C$453,"ACCOUNTS_PAYABLE_TURNOVER_DAYS","FQ3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471" s="4" t="e">
        <f ca="1">_xll.BDH($C$453,"CASH_CONVERSION_CYCLE","FQ3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471" s="4" t="e">
        <f ca="1">_xll.BDH($C$453,"INV_TO_CASH_DAYS","FQ3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471" s="5" t="e">
        <f ca="1">_xll.BDH($C$453,"BS_INVENTORIES","FQ3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471" s="3" t="e">
        <f ca="1">_xll.BDH($C$453,"INVTRY_RAW_MATERIALS","FQ3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471" s="3" t="e">
        <f ca="1">_xll.BDH($C$453,"INVTRY_IN_PROGRESS","FQ3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471" s="3" t="e">
        <f ca="1">_xll.BDH($C$453,"INVTRY_FINISHED_GOODS","FQ3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471" s="3" t="e">
        <f ca="1">_xll.BDH($C$453,"BS_OTHER_INV","FQ3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472" spans="1:113" x14ac:dyDescent="0.3">
      <c r="A472" s="6"/>
      <c r="B472" s="6"/>
      <c r="C472" s="6"/>
      <c r="D472" s="6"/>
      <c r="E472" t="s">
        <v>81</v>
      </c>
      <c r="F472" t="e">
        <f ca="1">_xll.BDH($C$453,"RETURN_COM_EQY","FQ4 2017","FQ4 2017","Currency=INR","Period=FQ","BEST_FPERIOD_OVERRIDE=FQ","FILING_STATUS=OR","EQY_CONSOLIDATED=Y","FA_ADJUSTED=GAAP","Sort=A","Dates=H","DateFormat=P","Fill=—","Direction=H","UseDPDF=Y")</f>
        <v>#NAME?</v>
      </c>
      <c r="G472" t="e">
        <f ca="1">_xll.BDH($C$453,"RETURN_ON_ASSET","FQ4 2017","FQ4 2017","Currency=INR","Period=FQ","BEST_FPERIOD_OVERRIDE=FQ","FILING_STATUS=OR","EQY_CONSOLIDATED=Y","FA_ADJUSTED=GAAP","Sort=A","Dates=H","DateFormat=P","Fill=—","Direction=H","UseDPDF=Y")</f>
        <v>#NAME?</v>
      </c>
      <c r="H472" t="e">
        <f ca="1">_xll.BDH($C$453,"RETURN_ON_CAP","FQ4 2017","FQ4 2017","Currency=INR","Period=FQ","BEST_FPERIOD_OVERRIDE=FQ","FILING_STATUS=OR","EQY_CONSOLIDATED=Y","FA_ADJUSTED=GAAP","Sort=A","Dates=H","DateFormat=P","Fill=—","Direction=H","UseDPDF=Y")</f>
        <v>#NAME?</v>
      </c>
      <c r="I472" t="e">
        <f ca="1">_xll.BDH($C$453,"RETURN_ON_INV_CAPITAL","FQ4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472" t="e">
        <f ca="1">_xll.BDH($C$453,"EBITDA_TO_REVENUE","FQ4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472" t="e">
        <f ca="1">_xll.BDH($C$453,"OPER_MARGIN","FQ4 2017","FQ4 2017","Currency=INR","Period=FQ","BEST_FPERIOD_OVERRIDE=FQ","FILING_STATUS=OR","EQY_CONSOLIDATED=Y","FA_ADJUSTED=GAAP","Sort=A","Dates=H","DateFormat=P","Fill=—","Direction=H","UseDPDF=Y")</f>
        <v>#NAME?</v>
      </c>
      <c r="L472" t="e">
        <f ca="1">_xll.BDH($C$453,"INCREMENTAL_OPERATING_MARGIN","FQ4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472" t="e">
        <f ca="1">_xll.BDH($C$453,"PRETAX_INC_TO_NET_SALES","FQ4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472" t="e">
        <f ca="1">_xll.BDH($C$453,"INC_BEF_XO_ITEMS_TO_NET_SALES","FQ4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472" t="e">
        <f ca="1">_xll.BDH($C$453,"PROF_MARGIN","FQ4 2017","FQ4 2017","Currency=INR","Period=FQ","BEST_FPERIOD_OVERRIDE=FQ","FILING_STATUS=OR","EQY_CONSOLIDATED=Y","FA_ADJUSTED=GAAP","Sort=A","Dates=H","DateFormat=P","Fill=—","Direction=H","UseDPDF=Y")</f>
        <v>#NAME?</v>
      </c>
      <c r="P472" t="e">
        <f ca="1">_xll.BDH($C$453,"NET_INCOME_TO_COMMON_MARGIN","FQ4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472" t="e">
        <f ca="1">_xll.BDH($C$453,"EFF_TAX_RATE","FQ4 2017","FQ4 2017","Currency=INR","Period=FQ","BEST_FPERIOD_OVERRIDE=FQ","FILING_STATUS=OR","EQY_CONSOLIDATED=Y","FA_ADJUSTED=GAAP","Sort=A","Dates=H","DateFormat=P","Fill=—","Direction=H","UseDPDF=Y")</f>
        <v>#NAME?</v>
      </c>
      <c r="R472" t="e">
        <f ca="1">_xll.BDH($C$453,"DVD_PAYOUT_RATIO","FQ4 2017","FQ4 2017","Currency=INR","Period=FQ","BEST_FPERIOD_OVERRIDE=FQ","FILING_STATUS=OR","EQY_CONSOLIDATED=Y","FA_ADJUSTED=GAAP","Sort=A","Dates=H","DateFormat=P","Fill=—","Direction=H","UseDPDF=Y")</f>
        <v>#NAME?</v>
      </c>
      <c r="S472" t="e">
        <f ca="1">_xll.BDH($C$453,"SUSTAIN_GROWTH_RT","FQ4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472" s="2" t="e">
        <f ca="1">_xll.BDH($C$453,"SALES_GROWTH","FQ4 2017","FQ4 2017","Currency=INR","Period=FQ","BEST_FPERIOD_OVERRIDE=FQ","FILING_STATUS=OR","EQY_CONSOLIDATED=Y","FA_ADJUSTED=GAAP","Sort=A","Dates=H","DateFormat=P","Fill=—","Direction=H","UseDPDF=Y")</f>
        <v>#NAME?</v>
      </c>
      <c r="U472" s="2" t="e">
        <f ca="1">_xll.BDH($C$453,"EBITDA_GROWTH","FQ4 2017","FQ4 2017","Currency=INR","Period=FQ","BEST_FPERIOD_OVERRIDE=FQ","FILING_STATUS=OR","EQY_CONSOLIDATED=Y","FA_ADJUSTED=GAAP","Sort=A","Dates=H","DateFormat=P","Fill=—","Direction=H","UseDPDF=Y")</f>
        <v>#NAME?</v>
      </c>
      <c r="V472" s="2" t="e">
        <f ca="1">_xll.BDH($C$453,"OPER_INC_GROWTH","FQ4 2017","FQ4 2017","Currency=INR","Period=FQ","BEST_FPERIOD_OVERRIDE=FQ","FILING_STATUS=OR","EQY_CONSOLIDATED=Y","FA_ADJUSTED=GAAP","Sort=A","Dates=H","DateFormat=P","Fill=—","Direction=H","UseDPDF=Y")</f>
        <v>#NAME?</v>
      </c>
      <c r="W472" s="2" t="e">
        <f ca="1">_xll.BDH($C$453,"EARN_FOR_COM_GROWTH","FQ4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472" s="2" t="e">
        <f ca="1">_xll.BDH($C$453,"DILUTED_EPS_AFT_XO_ITEMS_GROWTH","FQ4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472" s="2" t="e">
        <f ca="1">_xll.BDH($C$453,"DIVIDEND_PER_SHARE_1_YEAR_GROWTH","FQ4 2017","FQ4 2017","Currency=INR","Period=FQ","BEST_FPERIOD_OVERRIDE=FQ","FILING_STATUS=OR","EQY_CONSOLIDATED=Y","Sort=A","Dates=H","DateFormat=P","Fill=—","Direction=H","UseDPDF=Y")</f>
        <v>#NAME?</v>
      </c>
      <c r="Z472" s="2" t="e">
        <f ca="1">_xll.BDH($C$453,"ACCOUNTS_RECEIVABLE_GROWTH","FQ4 2017","FQ4 2017","Currency=INR","Period=FQ","BEST_FPERIOD_OVERRIDE=FQ","FILING_STATUS=OR","EQY_CONSOLIDATED=Y","Sort=A","Dates=H","DateFormat=P","Fill=—","Direction=H","UseDPDF=Y")</f>
        <v>#NAME?</v>
      </c>
      <c r="AA472" s="2" t="e">
        <f ca="1">_xll.BDH($C$453,"INVENTORY_GROWTH","FQ4 2017","FQ4 2017","Currency=INR","Period=FQ","BEST_FPERIOD_OVERRIDE=FQ","FILING_STATUS=OR","EQY_CONSOLIDATED=Y","Sort=A","Dates=H","DateFormat=P","Fill=—","Direction=H","UseDPDF=Y")</f>
        <v>#NAME?</v>
      </c>
      <c r="AB472" s="2" t="e">
        <f ca="1">_xll.BDH($C$453,"NET_FIXED_ASSETS_1_YEAR_GROWTH","FQ4 2017","FQ4 2017","Currency=INR","Period=FQ","BEST_FPERIOD_OVERRIDE=FQ","FILING_STATUS=OR","EQY_CONSOLIDATED=Y","Sort=A","Dates=H","DateFormat=P","Fill=—","Direction=H","UseDPDF=Y")</f>
        <v>#NAME?</v>
      </c>
      <c r="AC472" s="2" t="e">
        <f ca="1">_xll.BDH($C$453,"ASSET_GROWTH","FQ4 2017","FQ4 2017","Currency=INR","Period=FQ","BEST_FPERIOD_OVERRIDE=FQ","FILING_STATUS=OR","EQY_CONSOLIDATED=Y","Sort=A","Dates=H","DateFormat=P","Fill=—","Direction=H","UseDPDF=Y")</f>
        <v>#NAME?</v>
      </c>
      <c r="AD472" s="2" t="e">
        <f ca="1">_xll.BDH($C$453,"MODIFIED_WORK_CAP_GROWTH","FQ4 2017","FQ4 2017","Currency=INR","Period=FQ","BEST_FPERIOD_OVERRIDE=FQ","FILING_STATUS=OR","EQY_CONSOLIDATED=Y","Sort=A","Dates=H","DateFormat=P","Fill=—","Direction=H","UseDPDF=Y")</f>
        <v>#NAME?</v>
      </c>
      <c r="AE472" s="2" t="e">
        <f ca="1">_xll.BDH($C$453,"WORK_CAP_GROWTH","FQ4 2017","FQ4 2017","Currency=INR","Period=FQ","BEST_FPERIOD_OVERRIDE=FQ","FILING_STATUS=OR","EQY_CONSOLIDATED=Y","Sort=A","Dates=H","DateFormat=P","Fill=—","Direction=H","UseDPDF=Y")</f>
        <v>#NAME?</v>
      </c>
      <c r="AF472" s="2" t="e">
        <f ca="1">_xll.BDH($C$453,"ACCOUNTS_PAYABLE_GROWTH_1YR","FQ4 2017","FQ4 2017","Currency=INR","Period=FQ","BEST_FPERIOD_OVERRIDE=FQ","FILING_STATUS=OR","EQY_CONSOLIDATED=Y","Sort=A","Dates=H","DateFormat=P","Fill=—","Direction=H","UseDPDF=Y")</f>
        <v>#NAME?</v>
      </c>
      <c r="AG472" s="2" t="e">
        <f ca="1">_xll.BDH($C$453,"SHORT_TERM_DEBT_1_YEAR_GROWTH","FQ4 2017","FQ4 2017","Currency=INR","Period=FQ","BEST_FPERIOD_OVERRIDE=FQ","FILING_STATUS=OR","EQY_CONSOLIDATED=Y","Sort=A","Dates=H","DateFormat=P","Fill=—","Direction=H","UseDPDF=Y")</f>
        <v>#NAME?</v>
      </c>
      <c r="AH472" s="2" t="e">
        <f ca="1">_xll.BDH($C$453,"TOTAL_DEBT_1_YEAR_GROWTH","FQ4 2017","FQ4 2017","Currency=INR","Period=FQ","BEST_FPERIOD_OVERRIDE=FQ","FILING_STATUS=OR","EQY_CONSOLIDATED=Y","Sort=A","Dates=H","DateFormat=P","Fill=—","Direction=H","UseDPDF=Y")</f>
        <v>#NAME?</v>
      </c>
      <c r="AI472" s="2" t="e">
        <f ca="1">_xll.BDH($C$453,"TOTAL_EQUITY_1_YEAR_GROWTH","FQ4 2017","FQ4 2017","Currency=INR","Period=FQ","BEST_FPERIOD_OVERRIDE=FQ","FILING_STATUS=OR","EQY_CONSOLIDATED=Y","Sort=A","Dates=H","DateFormat=P","Fill=—","Direction=H","UseDPDF=Y")</f>
        <v>#NAME?</v>
      </c>
      <c r="AJ472" s="2" t="e">
        <f ca="1">_xll.BDH($C$453,"GROWTH_IN_CAP","FQ4 2017","FQ4 2017","Currency=INR","Period=FQ","BEST_FPERIOD_OVERRIDE=FQ","FILING_STATUS=OR","EQY_CONSOLIDATED=Y","Sort=A","Dates=H","DateFormat=P","Fill=—","Direction=H","UseDPDF=Y")</f>
        <v>#NAME?</v>
      </c>
      <c r="AK472" s="2" t="e">
        <f ca="1">_xll.BDH($C$453,"BVPS_GROWTH","FQ4 2017","FQ4 2017","Currency=INR","Period=FQ","BEST_FPERIOD_OVERRIDE=FQ","FILING_STATUS=OR","EQY_CONSOLIDATED=Y","Sort=A","Dates=H","DateFormat=P","Fill=—","Direction=H","UseDPDF=Y")</f>
        <v>#NAME?</v>
      </c>
      <c r="AL472" s="2" t="e">
        <f ca="1">_xll.BDH($C$453,"CASH_FLOW_GROWTH","FQ4 2017","FQ4 2017","Currency=INR","Period=FQ","BEST_FPERIOD_OVERRIDE=FQ","FILING_STATUS=OR","EQY_CONSOLIDATED=Y","Sort=A","Dates=H","DateFormat=P","Fill=—","Direction=H","UseDPDF=Y")</f>
        <v>#NAME?</v>
      </c>
      <c r="AM472" s="2" t="e">
        <f ca="1">_xll.BDH($C$453,"GEO_GROW_NET_SALES","FQ4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472" s="2" t="e">
        <f ca="1">_xll.BDH($C$453,"GEO_GROW_EBITDA","FQ4 2017","FQ4 2017","Currency=INR","Period=FQ","BEST_FPERIOD_OVERRIDE=FQ","FILING_STATUS=OR","EQY_CONSOLIDATED=Y","FA_ADJUSTED=GAAP","Sort=A","Dates=H","DateFormat=P","Fill=—","Direction=H","UseDPDF=Y")</f>
        <v>#NAME?</v>
      </c>
      <c r="AO472" s="2" t="e">
        <f ca="1">_xll.BDH($C$453,"GEO_GROW_OPER_INC","FQ4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472" s="2" t="e">
        <f ca="1">_xll.BDH($C$453,"NET_INCOME_TO_COMMON_5_YR_GROWTH","FQ4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472" s="2" t="e">
        <f ca="1">_xll.BDH($C$453,"5Y_GEO_GROWTH_DILUTED_EPS","FQ4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472" s="2" t="e">
        <f ca="1">_xll.BDH($C$453,"GEO_GROW_DVD_PER_SH","FQ4 2017","FQ4 2017","Currency=INR","Period=FQ","BEST_FPERIOD_OVERRIDE=FQ","FILING_STATUS=OR","EQY_CONSOLIDATED=Y","Sort=A","Dates=H","DateFormat=P","Fill=—","Direction=H","UseDPDF=Y")</f>
        <v>#NAME?</v>
      </c>
      <c r="AS472" s="2" t="e">
        <f ca="1">_xll.BDH($C$453,"ACCOUNTS_RECEIVABLE_5_YR_GROWTH","FQ4 2017","FQ4 2017","Currency=INR","Period=FQ","BEST_FPERIOD_OVERRIDE=FQ","FILING_STATUS=OR","EQY_CONSOLIDATED=Y","Sort=A","Dates=H","DateFormat=P","Fill=—","Direction=H","UseDPDF=Y")</f>
        <v>#NAME?</v>
      </c>
      <c r="AT472" s="2" t="e">
        <f ca="1">_xll.BDH($C$453,"INVENTORY_5_YEAR_GROWTH","FQ4 2017","FQ4 2017","Currency=INR","Period=FQ","BEST_FPERIOD_OVERRIDE=FQ","FILING_STATUS=OR","EQY_CONSOLIDATED=Y","Sort=A","Dates=H","DateFormat=P","Fill=—","Direction=H","UseDPDF=Y")</f>
        <v>#NAME?</v>
      </c>
      <c r="AU472" s="2" t="e">
        <f ca="1">_xll.BDH($C$453,"NET_FIXED_ASSETS_5_YEAR_GROWTH","FQ4 2017","FQ4 2017","Currency=INR","Period=FQ","BEST_FPERIOD_OVERRIDE=FQ","FILING_STATUS=OR","EQY_CONSOLIDATED=Y","Sort=A","Dates=H","DateFormat=P","Fill=—","Direction=H","UseDPDF=Y")</f>
        <v>#NAME?</v>
      </c>
      <c r="AV472" s="2" t="e">
        <f ca="1">_xll.BDH($C$453,"GEO_GROW_TOT_ASSET","FQ4 2017","FQ4 2017","Currency=INR","Period=FQ","BEST_FPERIOD_OVERRIDE=FQ","FILING_STATUS=OR","EQY_CONSOLIDATED=Y","Sort=A","Dates=H","DateFormat=P","Fill=—","Direction=H","UseDPDF=Y")</f>
        <v>#NAME?</v>
      </c>
      <c r="AW472" s="2" t="e">
        <f ca="1">_xll.BDH($C$453,"MODIFIED_WORKING_CPTL_5YR_GRWTH","FQ4 2017","FQ4 2017","Currency=INR","Period=FQ","BEST_FPERIOD_OVERRIDE=FQ","FILING_STATUS=OR","EQY_CONSOLIDATED=Y","Sort=A","Dates=H","DateFormat=P","Fill=—","Direction=H","UseDPDF=Y")</f>
        <v>#NAME?</v>
      </c>
      <c r="AX472" s="2" t="e">
        <f ca="1">_xll.BDH($C$453,"WORKING_CAPITAL_5_YEAR_GROWTH","FQ4 2017","FQ4 2017","Currency=INR","Period=FQ","BEST_FPERIOD_OVERRIDE=FQ","FILING_STATUS=OR","EQY_CONSOLIDATED=Y","Sort=A","Dates=H","DateFormat=P","Fill=—","Direction=H","UseDPDF=Y")</f>
        <v>#NAME?</v>
      </c>
      <c r="AY472" s="2" t="e">
        <f ca="1">_xll.BDH($C$453,"ACCOUNTS_PAYABLE_5_YEAR_GROWTH","FQ4 2017","FQ4 2017","Currency=INR","Period=FQ","BEST_FPERIOD_OVERRIDE=FQ","FILING_STATUS=OR","EQY_CONSOLIDATED=Y","Sort=A","Dates=H","DateFormat=P","Fill=—","Direction=H","UseDPDF=Y")</f>
        <v>#NAME?</v>
      </c>
      <c r="AZ472" s="2" t="e">
        <f ca="1">_xll.BDH($C$453,"SHORT_TERM_DEBT_5_YEAR_GROWTH","FQ4 2017","FQ4 2017","Currency=INR","Period=FQ","BEST_FPERIOD_OVERRIDE=FQ","FILING_STATUS=OR","EQY_CONSOLIDATED=Y","Sort=A","Dates=H","DateFormat=P","Fill=—","Direction=H","UseDPDF=Y")</f>
        <v>#NAME?</v>
      </c>
      <c r="BA472" s="2" t="e">
        <f ca="1">_xll.BDH($C$453,"TOTAL_DEBT_5_YEAR_GROWTH","FQ4 2017","FQ4 2017","Currency=INR","Period=FQ","BEST_FPERIOD_OVERRIDE=FQ","FILING_STATUS=OR","EQY_CONSOLIDATED=Y","Sort=A","Dates=H","DateFormat=P","Fill=—","Direction=H","UseDPDF=Y")</f>
        <v>#NAME?</v>
      </c>
      <c r="BB472" s="2" t="e">
        <f ca="1">_xll.BDH($C$453,"GEO_GROW_TOT_SHRHLDR_EQY","FQ4 2017","FQ4 2017","Currency=INR","Period=FQ","BEST_FPERIOD_OVERRIDE=FQ","FILING_STATUS=OR","EQY_CONSOLIDATED=Y","Sort=A","Dates=H","DateFormat=P","Fill=—","Direction=H","UseDPDF=Y")</f>
        <v>#NAME?</v>
      </c>
      <c r="BC472" s="2" t="e">
        <f ca="1">_xll.BDH($C$453,"TOTAL_CAPITAL_5_YEAR_GROWTH","FQ4 2017","FQ4 2017","Currency=INR","Period=FQ","BEST_FPERIOD_OVERRIDE=FQ","FILING_STATUS=OR","EQY_CONSOLIDATED=Y","Sort=A","Dates=H","DateFormat=P","Fill=—","Direction=H","UseDPDF=Y")</f>
        <v>#NAME?</v>
      </c>
      <c r="BD472" s="2" t="e">
        <f ca="1">_xll.BDH($C$453,"GEO_GROW_BOOK_VAL","FQ4 2017","FQ4 2017","Currency=INR","Period=FQ","BEST_FPERIOD_OVERRIDE=FQ","FILING_STATUS=OR","EQY_CONSOLIDATED=Y","Sort=A","Dates=H","DateFormat=P","Fill=—","Direction=H","UseDPDF=Y")</f>
        <v>#NAME?</v>
      </c>
      <c r="BE472" s="2" t="e">
        <f ca="1">_xll.BDH($C$453,"GEO_GROW_CASH_OPER_ACT","FQ4 2017","FQ4 2017","Currency=INR","Period=FQ","BEST_FPERIOD_OVERRIDE=FQ","FILING_STATUS=OR","EQY_CONSOLIDATED=Y","Sort=A","Dates=H","DateFormat=P","Fill=—","Direction=H","UseDPDF=Y")</f>
        <v>#NAME?</v>
      </c>
      <c r="BF472" s="2" t="e">
        <f ca="1">_xll.BDH($C$453,"REVENUE_SEQUENTIAL_GROWTH","FQ4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472" s="2" t="e">
        <f ca="1">_xll.BDH($C$453,"EBITDA_SEQUENTIAL_GROWTH","FQ4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472" s="2" t="e">
        <f ca="1">_xll.BDH($C$453,"OPERATING_INCOME_SEQ_GROWTH","FQ4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472" s="2" t="e">
        <f ca="1">_xll.BDH($C$453,"NET_INCOME_TO_COMMON_SEQ_GROWTH","FQ4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472" s="2" t="e">
        <f ca="1">_xll.BDH($C$453,"EPS_DILUTED_SEQUENTIAL_GROWTH","FQ4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472" s="2" t="e">
        <f ca="1">_xll.BDH($C$453,"DPS_SEQUENTIAL_GROWTH","FQ4 2017","FQ4 2017","Currency=INR","Period=FQ","BEST_FPERIOD_OVERRIDE=FQ","FILING_STATUS=OR","EQY_CONSOLIDATED=Y","Sort=A","Dates=H","DateFormat=P","Fill=—","Direction=H","UseDPDF=Y")</f>
        <v>#NAME?</v>
      </c>
      <c r="BL472" s="2" t="e">
        <f ca="1">_xll.BDH($C$453,"ACCOUNTS_RECEIVABLE_SEQ_GROWTH","FQ4 2017","FQ4 2017","Currency=INR","Period=FQ","BEST_FPERIOD_OVERRIDE=FQ","FILING_STATUS=OR","EQY_CONSOLIDATED=Y","Sort=A","Dates=H","DateFormat=P","Fill=—","Direction=H","UseDPDF=Y")</f>
        <v>#NAME?</v>
      </c>
      <c r="BM472" s="2" t="e">
        <f ca="1">_xll.BDH($C$453,"INVENTORY_SEQUENTIAL_GROWTH","FQ4 2017","FQ4 2017","Currency=INR","Period=FQ","BEST_FPERIOD_OVERRIDE=FQ","FILING_STATUS=OR","EQY_CONSOLIDATED=Y","Sort=A","Dates=H","DateFormat=P","Fill=—","Direction=H","UseDPDF=Y")</f>
        <v>#NAME?</v>
      </c>
      <c r="BN472" s="2" t="e">
        <f ca="1">_xll.BDH($C$453,"FIXED_ASSETS_SEQUENTIAL_GROWTH","FQ4 2017","FQ4 2017","Currency=INR","Period=FQ","BEST_FPERIOD_OVERRIDE=FQ","FILING_STATUS=OR","EQY_CONSOLIDATED=Y","Sort=A","Dates=H","DateFormat=P","Fill=—","Direction=H","UseDPDF=Y")</f>
        <v>#NAME?</v>
      </c>
      <c r="BO472" s="2" t="e">
        <f ca="1">_xll.BDH($C$453,"TOTAL_ASSETS_SEQUENTIAL_GROWTH","FQ4 2017","FQ4 2017","Currency=INR","Period=FQ","BEST_FPERIOD_OVERRIDE=FQ","FILING_STATUS=OR","EQY_CONSOLIDATED=Y","Sort=A","Dates=H","DateFormat=P","Fill=—","Direction=H","UseDPDF=Y")</f>
        <v>#NAME?</v>
      </c>
      <c r="BP472" s="2" t="e">
        <f ca="1">_xll.BDH($C$453,"MODIFIED_WORKING_CPTL_SEQ_GRWTH","FQ4 2017","FQ4 2017","Currency=INR","Period=FQ","BEST_FPERIOD_OVERRIDE=FQ","FILING_STATUS=OR","EQY_CONSOLIDATED=Y","Sort=A","Dates=H","DateFormat=P","Fill=—","Direction=H","UseDPDF=Y")</f>
        <v>#NAME?</v>
      </c>
      <c r="BQ472" s="2" t="e">
        <f ca="1">_xll.BDH($C$453,"WORKING_CAPITAL_SEQ_GROWTH","FQ4 2017","FQ4 2017","Currency=INR","Period=FQ","BEST_FPERIOD_OVERRIDE=FQ","FILING_STATUS=OR","EQY_CONSOLIDATED=Y","Sort=A","Dates=H","DateFormat=P","Fill=—","Direction=H","UseDPDF=Y")</f>
        <v>#NAME?</v>
      </c>
      <c r="BR472" s="2" t="e">
        <f ca="1">_xll.BDH($C$453,"ACCOUNTS_PAYABLE_SEQ_GROWTH","FQ4 2017","FQ4 2017","Currency=INR","Period=FQ","BEST_FPERIOD_OVERRIDE=FQ","FILING_STATUS=OR","EQY_CONSOLIDATED=Y","Sort=A","Dates=H","DateFormat=P","Fill=—","Direction=H","UseDPDF=Y")</f>
        <v>#NAME?</v>
      </c>
      <c r="BS472" s="2" t="e">
        <f ca="1">_xll.BDH($C$453,"ST_DEBT_SEQUENTIAL_GROWTH","FQ4 2017","FQ4 2017","Currency=INR","Period=FQ","BEST_FPERIOD_OVERRIDE=FQ","FILING_STATUS=OR","EQY_CONSOLIDATED=Y","Sort=A","Dates=H","DateFormat=P","Fill=—","Direction=H","UseDPDF=Y")</f>
        <v>#NAME?</v>
      </c>
      <c r="BT472" s="2" t="e">
        <f ca="1">_xll.BDH($C$453,"TOTAL_DEBT_SEQUENTIAL_GROWTH","FQ4 2017","FQ4 2017","Currency=INR","Period=FQ","BEST_FPERIOD_OVERRIDE=FQ","FILING_STATUS=OR","EQY_CONSOLIDATED=Y","Sort=A","Dates=H","DateFormat=P","Fill=—","Direction=H","UseDPDF=Y")</f>
        <v>#NAME?</v>
      </c>
      <c r="BU472" s="2" t="e">
        <f ca="1">_xll.BDH($C$453,"TOTAL_EQUITY_SEQUENTIAL_GROWTH","FQ4 2017","FQ4 2017","Currency=INR","Period=FQ","BEST_FPERIOD_OVERRIDE=FQ","FILING_STATUS=OR","EQY_CONSOLIDATED=Y","Sort=A","Dates=H","DateFormat=P","Fill=—","Direction=H","UseDPDF=Y")</f>
        <v>#NAME?</v>
      </c>
      <c r="BV472" s="2" t="e">
        <f ca="1">_xll.BDH($C$453,"TOTAL_CAPITAL_SEQUENTIAL_GROWTH","FQ4 2017","FQ4 2017","Currency=INR","Period=FQ","BEST_FPERIOD_OVERRIDE=FQ","FILING_STATUS=OR","EQY_CONSOLIDATED=Y","Sort=A","Dates=H","DateFormat=P","Fill=—","Direction=H","UseDPDF=Y")</f>
        <v>#NAME?</v>
      </c>
      <c r="BW472" s="2" t="e">
        <f ca="1">_xll.BDH($C$453,"BPS_SEQUENTIAL_GROWTH","FQ4 2017","FQ4 2017","Currency=INR","Period=FQ","BEST_FPERIOD_OVERRIDE=FQ","FILING_STATUS=OR","EQY_CONSOLIDATED=Y","Sort=A","Dates=H","DateFormat=P","Fill=—","Direction=H","UseDPDF=Y")</f>
        <v>#NAME?</v>
      </c>
      <c r="BX472" s="2" t="e">
        <f ca="1">_xll.BDH($C$453,"CFO_SEQUENTIAL_GROWTH","FQ4 2017","FQ4 2017","Currency=INR","Period=FQ","BEST_FPERIOD_OVERRIDE=FQ","FILING_STATUS=OR","EQY_CONSOLIDATED=Y","Sort=A","Dates=H","DateFormat=P","Fill=—","Direction=H","UseDPDF=Y")</f>
        <v>#NAME?</v>
      </c>
      <c r="BY472" s="3" t="e">
        <f ca="1">_xll.BDH($C$453,"SHORT_AND_LONG_TERM_DEBT","FQ4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472" s="3" t="e">
        <f ca="1">_xll.BDH($C$453,"BS_ST_BORROW","FQ4 2017","FQ4 2017","Currency=INR","Period=FQ","BEST_FPERIOD_OVERRIDE=FQ","FILING_STATUS=OR","EQY_CONSOLIDATED=Y","SCALING_FORMAT=MLN","Sort=A","Dates=H","DateFormat=P","Fill=—","Direction=H","UseDPDF=Y")</f>
        <v>#NAME?</v>
      </c>
      <c r="CA472" s="3" t="e">
        <f ca="1">_xll.BDH($C$453,"BS_LT_BORROW","FQ4 2017","FQ4 2017","Currency=INR","Period=FQ","BEST_FPERIOD_OVERRIDE=FQ","FILING_STATUS=OR","EQY_CONSOLIDATED=Y","SCALING_FORMAT=MLN","Sort=A","Dates=H","DateFormat=P","Fill=—","Direction=H","UseDPDF=Y")</f>
        <v>#NAME?</v>
      </c>
      <c r="CB472" s="2" t="e">
        <f ca="1">_xll.BDH($C$453,"TOT_DEBT_TO_EBITDA","FQ4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472" s="2" t="e">
        <f ca="1">_xll.BDH($C$453,"NET_DEBT_TO_EBITDA","FQ4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472" s="2" t="e">
        <f ca="1">_xll.BDH($C$453,"TOTAL_DEBT_TO_EBIT","FQ4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472" s="2" t="e">
        <f ca="1">_xll.BDH($C$453,"NET_DEBT_TO_EBIT","FQ4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472" s="2" t="e">
        <f ca="1">_xll.BDH($C$453,"EBITDA_TO_INTEREST_EXPN","FQ4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472" s="2" t="e">
        <f ca="1">_xll.BDH($C$453,"COM_EQY_TO_TOT_ASSET","FQ4 2017","FQ4 2017","Currency=INR","Period=FQ","BEST_FPERIOD_OVERRIDE=FQ","FILING_STATUS=OR","EQY_CONSOLIDATED=Y","Sort=A","Dates=H","DateFormat=P","Fill=—","Direction=H","UseDPDF=Y")</f>
        <v>#NAME?</v>
      </c>
      <c r="CH472" s="2" t="e">
        <f ca="1">_xll.BDH($C$453,"LT_DEBT_TO_TOT_EQY","FQ4 2017","FQ4 2017","Currency=INR","Period=FQ","BEST_FPERIOD_OVERRIDE=FQ","FILING_STATUS=OR","EQY_CONSOLIDATED=Y","Sort=A","Dates=H","DateFormat=P","Fill=—","Direction=H","UseDPDF=Y")</f>
        <v>#NAME?</v>
      </c>
      <c r="CI472" s="2" t="e">
        <f ca="1">_xll.BDH($C$453,"LT_DEBT_TO_TOT_CAP","FQ4 2017","FQ4 2017","Currency=INR","Period=FQ","BEST_FPERIOD_OVERRIDE=FQ","FILING_STATUS=OR","EQY_CONSOLIDATED=Y","Sort=A","Dates=H","DateFormat=P","Fill=—","Direction=H","UseDPDF=Y")</f>
        <v>#NAME?</v>
      </c>
      <c r="CJ472" s="2" t="e">
        <f ca="1">_xll.BDH($C$453,"LT_DEBT_TO_TOT_ASSET","FQ4 2017","FQ4 2017","Currency=INR","Period=FQ","BEST_FPERIOD_OVERRIDE=FQ","FILING_STATUS=OR","EQY_CONSOLIDATED=Y","Sort=A","Dates=H","DateFormat=P","Fill=—","Direction=H","UseDPDF=Y")</f>
        <v>#NAME?</v>
      </c>
      <c r="CK472" s="2" t="e">
        <f ca="1">_xll.BDH($C$453,"TOT_DEBT_TO_TOT_EQY","FQ4 2017","FQ4 2017","Currency=INR","Period=FQ","BEST_FPERIOD_OVERRIDE=FQ","FILING_STATUS=OR","EQY_CONSOLIDATED=Y","Sort=A","Dates=H","DateFormat=P","Fill=—","Direction=H","UseDPDF=Y")</f>
        <v>#NAME?</v>
      </c>
      <c r="CL472" s="2" t="e">
        <f ca="1">_xll.BDH($C$453,"TOT_DEBT_TO_TOT_CAP","FQ4 2017","FQ4 2017","Currency=INR","Period=FQ","BEST_FPERIOD_OVERRIDE=FQ","FILING_STATUS=OR","EQY_CONSOLIDATED=Y","Sort=A","Dates=H","DateFormat=P","Fill=—","Direction=H","UseDPDF=Y")</f>
        <v>#NAME?</v>
      </c>
      <c r="CM472" s="2" t="e">
        <f ca="1">_xll.BDH($C$453,"TOT_DEBT_TO_TOT_ASSET","FQ4 2017","FQ4 2017","Currency=INR","Period=FQ","BEST_FPERIOD_OVERRIDE=FQ","FILING_STATUS=OR","EQY_CONSOLIDATED=Y","Sort=A","Dates=H","DateFormat=P","Fill=—","Direction=H","UseDPDF=Y")</f>
        <v>#NAME?</v>
      </c>
      <c r="CN472" s="2" t="e">
        <f ca="1">_xll.BDH($C$453,"NET_DEBT_TO_SHRHLDR_EQTY","FQ4 2017","FQ4 2017","Currency=INR","Period=FQ","BEST_FPERIOD_OVERRIDE=FQ","FILING_STATUS=OR","EQY_CONSOLIDATED=Y","Sort=A","Dates=H","DateFormat=P","Fill=—","Direction=H","UseDPDF=Y")</f>
        <v>#NAME?</v>
      </c>
      <c r="CO472" s="2" t="e">
        <f ca="1">_xll.BDH($C$453,"NET_DEBT_%_CAPITAL","FQ4 2017","FQ4 2017","Currency=INR","Period=FQ","BEST_FPERIOD_OVERRIDE=FQ","FILING_STATUS=OR","EQY_CONSOLIDATED=Y","Sort=A","Dates=H","DateFormat=P","Fill=—","Direction=H","UseDPDF=Y")</f>
        <v>#NAME?</v>
      </c>
      <c r="CP472" s="3" t="e">
        <f ca="1">_xll.BDH($C$453,"EBITDA","FQ4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472" s="3" t="e">
        <f ca="1">_xll.BDH($C$453,"EBITDA_AFTER_CAPEX","FQ4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472" s="3" t="e">
        <f ca="1">_xll.BDH($C$453,"IS_OPER_INC","FQ4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472" s="2" t="e">
        <f ca="1">_xll.BDH($C$453,"CASH_RATIO","FQ4 2017","FQ4 2017","Currency=INR","Period=FQ","BEST_FPERIOD_OVERRIDE=FQ","FILING_STATUS=OR","EQY_CONSOLIDATED=Y","Sort=A","Dates=H","DateFormat=P","Fill=—","Direction=H","UseDPDF=Y")</f>
        <v>#NAME?</v>
      </c>
      <c r="CT472" s="2" t="e">
        <f ca="1">_xll.BDH($C$453,"CUR_RATIO","FQ4 2017","FQ4 2017","Currency=INR","Period=FQ","BEST_FPERIOD_OVERRIDE=FQ","FILING_STATUS=OR","EQY_CONSOLIDATED=Y","Sort=A","Dates=H","DateFormat=P","Fill=—","Direction=H","UseDPDF=Y")</f>
        <v>#NAME?</v>
      </c>
      <c r="CU472" s="2" t="e">
        <f ca="1">_xll.BDH($C$453,"QUICK_RATIO","FQ4 2017","FQ4 2017","Currency=INR","Period=FQ","BEST_FPERIOD_OVERRIDE=FQ","FILING_STATUS=OR","EQY_CONSOLIDATED=Y","Sort=A","Dates=H","DateFormat=P","Fill=—","Direction=H","UseDPDF=Y")</f>
        <v>#NAME?</v>
      </c>
      <c r="CV472" s="2" t="e">
        <f ca="1">_xll.BDH($C$453,"ALTMAN_Z_SCORE","FQ4 2017","FQ4 2017","Currency=INR","Period=FQ","BEST_FPERIOD_OVERRIDE=FQ","FILING_STATUS=OR","EQY_CONSOLIDATED=Y","Sort=A","Dates=H","DateFormat=P","Fill=—","Direction=H","UseDPDF=Y")</f>
        <v>#NAME?</v>
      </c>
      <c r="CW472" s="4" t="e">
        <f ca="1">_xll.BDH($C$453,"ACCT_RCV_TURN","FQ4 2017","FQ4 2017","Currency=INR","Period=FQ","BEST_FPERIOD_OVERRIDE=FQ","FILING_STATUS=OR","EQY_CONSOLIDATED=Y","FA_ADJUSTED=GAAP","Sort=A","Dates=H","DateFormat=P","Fill=—","Direction=H","UseDPDF=Y")</f>
        <v>#NAME?</v>
      </c>
      <c r="CX472" s="2" t="e">
        <f ca="1">_xll.BDH($C$453,"ACCT_RCV_DAYS","FQ4 2017","FQ4 2017","Currency=INR","Period=FQ","BEST_FPERIOD_OVERRIDE=FQ","FILING_STATUS=OR","EQY_CONSOLIDATED=Y","FA_ADJUSTED=GAAP","Sort=A","Dates=H","DateFormat=P","Fill=—","Direction=H","UseDPDF=Y")</f>
        <v>#NAME?</v>
      </c>
      <c r="CY472" s="4" t="e">
        <f ca="1">_xll.BDH($C$453,"INVENT_TURN","FQ4 2017","FQ4 2017","Currency=INR","Period=FQ","BEST_FPERIOD_OVERRIDE=FQ","FILING_STATUS=OR","EQY_CONSOLIDATED=Y","FA_ADJUSTED=GAAP","Sort=A","Dates=H","DateFormat=P","Fill=—","Direction=H","UseDPDF=Y")</f>
        <v>#NAME?</v>
      </c>
      <c r="CZ472" s="2" t="e">
        <f ca="1">_xll.BDH($C$453,"INVENT_DAYS","FQ4 2017","FQ4 2017","Currency=INR","Period=FQ","BEST_FPERIOD_OVERRIDE=FQ","FILING_STATUS=OR","EQY_CONSOLIDATED=Y","FA_ADJUSTED=GAAP","Sort=A","Dates=H","DateFormat=P","Fill=—","Direction=H","UseDPDF=Y")</f>
        <v>#NAME?</v>
      </c>
      <c r="DA472" s="4" t="e">
        <f ca="1">_xll.BDH($C$453,"ACCOUNTS_PAYABLE_TURNOVER","FQ4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472" s="2" t="e">
        <f ca="1">_xll.BDH($C$453,"ACCOUNTS_PAYABLE_TURNOVER_DAYS","FQ4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472" s="4" t="e">
        <f ca="1">_xll.BDH($C$453,"CASH_CONVERSION_CYCLE","FQ4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472" s="4" t="e">
        <f ca="1">_xll.BDH($C$453,"INV_TO_CASH_DAYS","FQ4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472" s="5" t="e">
        <f ca="1">_xll.BDH($C$453,"BS_INVENTORIES","FQ4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472" s="3" t="e">
        <f ca="1">_xll.BDH($C$453,"INVTRY_RAW_MATERIALS","FQ4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472" s="3" t="e">
        <f ca="1">_xll.BDH($C$453,"INVTRY_IN_PROGRESS","FQ4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472" s="3" t="e">
        <f ca="1">_xll.BDH($C$453,"INVTRY_FINISHED_GOODS","FQ4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472" s="3" t="e">
        <f ca="1">_xll.BDH($C$453,"BS_OTHER_INV","FQ4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473" spans="1:113" x14ac:dyDescent="0.3">
      <c r="A473" s="6"/>
      <c r="B473" s="6"/>
      <c r="C473" s="6"/>
      <c r="D473" s="6" t="s">
        <v>85</v>
      </c>
      <c r="E473" t="s">
        <v>77</v>
      </c>
      <c r="F473" t="e">
        <f ca="1">_xll.BDH($C$453,"RETURN_COM_EQY","FY 2018","FY 2018","Currency=INR","Period=FY","BEST_FPERIOD_OVERRIDE=FY","FILING_STATUS=OR","EQY_CONSOLIDATED=Y","FA_ADJUSTED=GAAP","Sort=A","Dates=H","DateFormat=P","Fill=—","Direction=H","UseDPDF=Y")</f>
        <v>#NAME?</v>
      </c>
      <c r="G473" t="e">
        <f ca="1">_xll.BDH($C$453,"RETURN_ON_ASSET","FY 2018","FY 2018","Currency=INR","Period=FY","BEST_FPERIOD_OVERRIDE=FY","FILING_STATUS=OR","EQY_CONSOLIDATED=Y","FA_ADJUSTED=GAAP","Sort=A","Dates=H","DateFormat=P","Fill=—","Direction=H","UseDPDF=Y")</f>
        <v>#NAME?</v>
      </c>
      <c r="H473" t="e">
        <f ca="1">_xll.BDH($C$453,"RETURN_ON_CAP","FY 2018","FY 2018","Currency=INR","Period=FY","BEST_FPERIOD_OVERRIDE=FY","FILING_STATUS=OR","EQY_CONSOLIDATED=Y","FA_ADJUSTED=GAAP","Sort=A","Dates=H","DateFormat=P","Fill=—","Direction=H","UseDPDF=Y")</f>
        <v>#NAME?</v>
      </c>
      <c r="I473" t="e">
        <f ca="1">_xll.BDH($C$453,"RETURN_ON_INV_CAPITAL","FY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473" t="e">
        <f ca="1">_xll.BDH($C$453,"EBITDA_TO_REVENUE","FY 2018","FY 2018","Currency=INR","Period=FY","BEST_FPERIOD_OVERRIDE=FY","FILING_STATUS=OR","EQY_CONSOLIDATED=Y","FA_ADJUSTED=GAAP","Sort=A","Dates=H","DateFormat=P","Fill=—","Direction=H","UseDPDF=Y")</f>
        <v>#NAME?</v>
      </c>
      <c r="K473" t="e">
        <f ca="1">_xll.BDH($C$453,"OPER_MARGIN","FY 2018","FY 2018","Currency=INR","Period=FY","BEST_FPERIOD_OVERRIDE=FY","FILING_STATUS=OR","EQY_CONSOLIDATED=Y","FA_ADJUSTED=GAAP","Sort=A","Dates=H","DateFormat=P","Fill=—","Direction=H","UseDPDF=Y")</f>
        <v>#NAME?</v>
      </c>
      <c r="L473" t="e">
        <f ca="1">_xll.BDH($C$453,"INCREMENTAL_OPERATING_MARGIN","FY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473" t="e">
        <f ca="1">_xll.BDH($C$453,"PRETAX_INC_TO_NET_SALES","FY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473" t="e">
        <f ca="1">_xll.BDH($C$453,"INC_BEF_XO_ITEMS_TO_NET_SALES","FY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473" t="e">
        <f ca="1">_xll.BDH($C$453,"PROF_MARGIN","FY 2018","FY 2018","Currency=INR","Period=FY","BEST_FPERIOD_OVERRIDE=FY","FILING_STATUS=OR","EQY_CONSOLIDATED=Y","FA_ADJUSTED=GAAP","Sort=A","Dates=H","DateFormat=P","Fill=—","Direction=H","UseDPDF=Y")</f>
        <v>#NAME?</v>
      </c>
      <c r="P473" t="e">
        <f ca="1">_xll.BDH($C$453,"NET_INCOME_TO_COMMON_MARGIN","FY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473" t="e">
        <f ca="1">_xll.BDH($C$453,"EFF_TAX_RATE","FY 2018","FY 2018","Currency=INR","Period=FY","BEST_FPERIOD_OVERRIDE=FY","FILING_STATUS=OR","EQY_CONSOLIDATED=Y","FA_ADJUSTED=GAAP","Sort=A","Dates=H","DateFormat=P","Fill=—","Direction=H","UseDPDF=Y")</f>
        <v>#NAME?</v>
      </c>
      <c r="R473" t="e">
        <f ca="1">_xll.BDH($C$453,"DVD_PAYOUT_RATIO","FY 2018","FY 2018","Currency=INR","Period=FY","BEST_FPERIOD_OVERRIDE=FY","FILING_STATUS=OR","EQY_CONSOLIDATED=Y","FA_ADJUSTED=GAAP","Sort=A","Dates=H","DateFormat=P","Fill=—","Direction=H","UseDPDF=Y")</f>
        <v>#NAME?</v>
      </c>
      <c r="S473" t="e">
        <f ca="1">_xll.BDH($C$453,"SUSTAIN_GROWTH_RT","FY 2018","FY 2018","Currency=INR","Period=FY","BEST_FPERIOD_OVERRIDE=FY","FILING_STATUS=OR","EQY_CONSOLIDATED=Y","FA_ADJUSTED=GAAP","Sort=A","Dates=H","DateFormat=P","Fill=—","Direction=H","UseDPDF=Y")</f>
        <v>#NAME?</v>
      </c>
      <c r="T473" s="2" t="e">
        <f ca="1">_xll.BDH($C$453,"SALES_GROWTH","FY 2018","FY 2018","Currency=INR","Period=FY","BEST_FPERIOD_OVERRIDE=FY","FILING_STATUS=OR","EQY_CONSOLIDATED=Y","FA_ADJUSTED=GAAP","Sort=A","Dates=H","DateFormat=P","Fill=—","Direction=H","UseDPDF=Y")</f>
        <v>#NAME?</v>
      </c>
      <c r="U473" s="2" t="e">
        <f ca="1">_xll.BDH($C$453,"EBITDA_GROWTH","FY 2018","FY 2018","Currency=INR","Period=FY","BEST_FPERIOD_OVERRIDE=FY","FILING_STATUS=OR","EQY_CONSOLIDATED=Y","FA_ADJUSTED=GAAP","Sort=A","Dates=H","DateFormat=P","Fill=—","Direction=H","UseDPDF=Y")</f>
        <v>#NAME?</v>
      </c>
      <c r="V473" s="2" t="e">
        <f ca="1">_xll.BDH($C$453,"OPER_INC_GROWTH","FY 2018","FY 2018","Currency=INR","Period=FY","BEST_FPERIOD_OVERRIDE=FY","FILING_STATUS=OR","EQY_CONSOLIDATED=Y","FA_ADJUSTED=GAAP","Sort=A","Dates=H","DateFormat=P","Fill=—","Direction=H","UseDPDF=Y")</f>
        <v>#NAME?</v>
      </c>
      <c r="W473" s="2" t="e">
        <f ca="1">_xll.BDH($C$453,"EARN_FOR_COM_GROWTH","FY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473" s="2" t="e">
        <f ca="1">_xll.BDH($C$453,"DILUTED_EPS_AFT_XO_ITEMS_GROWTH","FY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473" s="2" t="e">
        <f ca="1">_xll.BDH($C$453,"DIVIDEND_PER_SHARE_1_YEAR_GROWTH","FY 2018","FY 2018","Currency=INR","Period=FY","BEST_FPERIOD_OVERRIDE=FY","FILING_STATUS=OR","EQY_CONSOLIDATED=Y","Sort=A","Dates=H","DateFormat=P","Fill=—","Direction=H","UseDPDF=Y")</f>
        <v>#NAME?</v>
      </c>
      <c r="Z473" s="2" t="e">
        <f ca="1">_xll.BDH($C$453,"ACCOUNTS_RECEIVABLE_GROWTH","FY 2018","FY 2018","Currency=INR","Period=FY","BEST_FPERIOD_OVERRIDE=FY","FILING_STATUS=OR","EQY_CONSOLIDATED=Y","Sort=A","Dates=H","DateFormat=P","Fill=—","Direction=H","UseDPDF=Y")</f>
        <v>#NAME?</v>
      </c>
      <c r="AA473" s="2" t="e">
        <f ca="1">_xll.BDH($C$453,"INVENTORY_GROWTH","FY 2018","FY 2018","Currency=INR","Period=FY","BEST_FPERIOD_OVERRIDE=FY","FILING_STATUS=OR","EQY_CONSOLIDATED=Y","Sort=A","Dates=H","DateFormat=P","Fill=—","Direction=H","UseDPDF=Y")</f>
        <v>#NAME?</v>
      </c>
      <c r="AB473" s="2" t="e">
        <f ca="1">_xll.BDH($C$453,"NET_FIXED_ASSETS_1_YEAR_GROWTH","FY 2018","FY 2018","Currency=INR","Period=FY","BEST_FPERIOD_OVERRIDE=FY","FILING_STATUS=OR","EQY_CONSOLIDATED=Y","Sort=A","Dates=H","DateFormat=P","Fill=—","Direction=H","UseDPDF=Y")</f>
        <v>#NAME?</v>
      </c>
      <c r="AC473" s="2" t="e">
        <f ca="1">_xll.BDH($C$453,"ASSET_GROWTH","FY 2018","FY 2018","Currency=INR","Period=FY","BEST_FPERIOD_OVERRIDE=FY","FILING_STATUS=OR","EQY_CONSOLIDATED=Y","Sort=A","Dates=H","DateFormat=P","Fill=—","Direction=H","UseDPDF=Y")</f>
        <v>#NAME?</v>
      </c>
      <c r="AD473" s="2" t="e">
        <f ca="1">_xll.BDH($C$453,"MODIFIED_WORK_CAP_GROWTH","FY 2018","FY 2018","Currency=INR","Period=FY","BEST_FPERIOD_OVERRIDE=FY","FILING_STATUS=OR","EQY_CONSOLIDATED=Y","Sort=A","Dates=H","DateFormat=P","Fill=—","Direction=H","UseDPDF=Y")</f>
        <v>#NAME?</v>
      </c>
      <c r="AE473" s="2" t="e">
        <f ca="1">_xll.BDH($C$453,"WORK_CAP_GROWTH","FY 2018","FY 2018","Currency=INR","Period=FY","BEST_FPERIOD_OVERRIDE=FY","FILING_STATUS=OR","EQY_CONSOLIDATED=Y","Sort=A","Dates=H","DateFormat=P","Fill=—","Direction=H","UseDPDF=Y")</f>
        <v>#NAME?</v>
      </c>
      <c r="AF473" s="2" t="e">
        <f ca="1">_xll.BDH($C$453,"ACCOUNTS_PAYABLE_GROWTH_1YR","FY 2018","FY 2018","Currency=INR","Period=FY","BEST_FPERIOD_OVERRIDE=FY","FILING_STATUS=OR","EQY_CONSOLIDATED=Y","Sort=A","Dates=H","DateFormat=P","Fill=—","Direction=H","UseDPDF=Y")</f>
        <v>#NAME?</v>
      </c>
      <c r="AG473" s="2" t="e">
        <f ca="1">_xll.BDH($C$453,"SHORT_TERM_DEBT_1_YEAR_GROWTH","FY 2018","FY 2018","Currency=INR","Period=FY","BEST_FPERIOD_OVERRIDE=FY","FILING_STATUS=OR","EQY_CONSOLIDATED=Y","Sort=A","Dates=H","DateFormat=P","Fill=—","Direction=H","UseDPDF=Y")</f>
        <v>#NAME?</v>
      </c>
      <c r="AH473" s="2" t="e">
        <f ca="1">_xll.BDH($C$453,"TOTAL_DEBT_1_YEAR_GROWTH","FY 2018","FY 2018","Currency=INR","Period=FY","BEST_FPERIOD_OVERRIDE=FY","FILING_STATUS=OR","EQY_CONSOLIDATED=Y","Sort=A","Dates=H","DateFormat=P","Fill=—","Direction=H","UseDPDF=Y")</f>
        <v>#NAME?</v>
      </c>
      <c r="AI473" s="2" t="e">
        <f ca="1">_xll.BDH($C$453,"TOTAL_EQUITY_1_YEAR_GROWTH","FY 2018","FY 2018","Currency=INR","Period=FY","BEST_FPERIOD_OVERRIDE=FY","FILING_STATUS=OR","EQY_CONSOLIDATED=Y","Sort=A","Dates=H","DateFormat=P","Fill=—","Direction=H","UseDPDF=Y")</f>
        <v>#NAME?</v>
      </c>
      <c r="AJ473" s="2" t="e">
        <f ca="1">_xll.BDH($C$453,"GROWTH_IN_CAP","FY 2018","FY 2018","Currency=INR","Period=FY","BEST_FPERIOD_OVERRIDE=FY","FILING_STATUS=OR","EQY_CONSOLIDATED=Y","Sort=A","Dates=H","DateFormat=P","Fill=—","Direction=H","UseDPDF=Y")</f>
        <v>#NAME?</v>
      </c>
      <c r="AK473" s="2" t="e">
        <f ca="1">_xll.BDH($C$453,"BVPS_GROWTH","FY 2018","FY 2018","Currency=INR","Period=FY","BEST_FPERIOD_OVERRIDE=FY","FILING_STATUS=OR","EQY_CONSOLIDATED=Y","Sort=A","Dates=H","DateFormat=P","Fill=—","Direction=H","UseDPDF=Y")</f>
        <v>#NAME?</v>
      </c>
      <c r="AL473" s="2" t="e">
        <f ca="1">_xll.BDH($C$453,"CASH_FLOW_GROWTH","FY 2018","FY 2018","Currency=INR","Period=FY","BEST_FPERIOD_OVERRIDE=FY","FILING_STATUS=OR","EQY_CONSOLIDATED=Y","Sort=A","Dates=H","DateFormat=P","Fill=—","Direction=H","UseDPDF=Y")</f>
        <v>#NAME?</v>
      </c>
      <c r="AM473" s="2" t="e">
        <f ca="1">_xll.BDH($C$453,"GEO_GROW_NET_SALES","FY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473" s="2" t="e">
        <f ca="1">_xll.BDH($C$453,"GEO_GROW_EBITDA","FY 2018","FY 2018","Currency=INR","Period=FY","BEST_FPERIOD_OVERRIDE=FY","FILING_STATUS=OR","EQY_CONSOLIDATED=Y","FA_ADJUSTED=GAAP","Sort=A","Dates=H","DateFormat=P","Fill=—","Direction=H","UseDPDF=Y")</f>
        <v>#NAME?</v>
      </c>
      <c r="AO473" s="2" t="e">
        <f ca="1">_xll.BDH($C$453,"GEO_GROW_OPER_INC","FY 2018","FY 2018","Currency=INR","Period=FY","BEST_FPERIOD_OVERRIDE=FY","FILING_STATUS=OR","EQY_CONSOLIDATED=Y","FA_ADJUSTED=GAAP","Sort=A","Dates=H","DateFormat=P","Fill=—","Direction=H","UseDPDF=Y")</f>
        <v>#NAME?</v>
      </c>
      <c r="AP473" s="2" t="e">
        <f ca="1">_xll.BDH($C$453,"NET_INCOME_TO_COMMON_5_YR_GROWTH","FY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473" s="2" t="e">
        <f ca="1">_xll.BDH($C$453,"5Y_GEO_GROWTH_DILUTED_EPS","FY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473" s="2" t="e">
        <f ca="1">_xll.BDH($C$453,"GEO_GROW_DVD_PER_SH","FY 2018","FY 2018","Currency=INR","Period=FY","BEST_FPERIOD_OVERRIDE=FY","FILING_STATUS=OR","EQY_CONSOLIDATED=Y","Sort=A","Dates=H","DateFormat=P","Fill=—","Direction=H","UseDPDF=Y")</f>
        <v>#NAME?</v>
      </c>
      <c r="AS473" s="2" t="e">
        <f ca="1">_xll.BDH($C$453,"ACCOUNTS_RECEIVABLE_5_YR_GROWTH","FY 2018","FY 2018","Currency=INR","Period=FY","BEST_FPERIOD_OVERRIDE=FY","FILING_STATUS=OR","EQY_CONSOLIDATED=Y","Sort=A","Dates=H","DateFormat=P","Fill=—","Direction=H","UseDPDF=Y")</f>
        <v>#NAME?</v>
      </c>
      <c r="AT473" s="2" t="e">
        <f ca="1">_xll.BDH($C$453,"INVENTORY_5_YEAR_GROWTH","FY 2018","FY 2018","Currency=INR","Period=FY","BEST_FPERIOD_OVERRIDE=FY","FILING_STATUS=OR","EQY_CONSOLIDATED=Y","Sort=A","Dates=H","DateFormat=P","Fill=—","Direction=H","UseDPDF=Y")</f>
        <v>#NAME?</v>
      </c>
      <c r="AU473" s="2" t="e">
        <f ca="1">_xll.BDH($C$453,"NET_FIXED_ASSETS_5_YEAR_GROWTH","FY 2018","FY 2018","Currency=INR","Period=FY","BEST_FPERIOD_OVERRIDE=FY","FILING_STATUS=OR","EQY_CONSOLIDATED=Y","Sort=A","Dates=H","DateFormat=P","Fill=—","Direction=H","UseDPDF=Y")</f>
        <v>#NAME?</v>
      </c>
      <c r="AV473" s="2" t="e">
        <f ca="1">_xll.BDH($C$453,"GEO_GROW_TOT_ASSET","FY 2018","FY 2018","Currency=INR","Period=FY","BEST_FPERIOD_OVERRIDE=FY","FILING_STATUS=OR","EQY_CONSOLIDATED=Y","Sort=A","Dates=H","DateFormat=P","Fill=—","Direction=H","UseDPDF=Y")</f>
        <v>#NAME?</v>
      </c>
      <c r="AW473" s="2" t="e">
        <f ca="1">_xll.BDH($C$453,"MODIFIED_WORKING_CPTL_5YR_GRWTH","FY 2018","FY 2018","Currency=INR","Period=FY","BEST_FPERIOD_OVERRIDE=FY","FILING_STATUS=OR","EQY_CONSOLIDATED=Y","Sort=A","Dates=H","DateFormat=P","Fill=—","Direction=H","UseDPDF=Y")</f>
        <v>#NAME?</v>
      </c>
      <c r="AX473" s="2" t="e">
        <f ca="1">_xll.BDH($C$453,"WORKING_CAPITAL_5_YEAR_GROWTH","FY 2018","FY 2018","Currency=INR","Period=FY","BEST_FPERIOD_OVERRIDE=FY","FILING_STATUS=OR","EQY_CONSOLIDATED=Y","Sort=A","Dates=H","DateFormat=P","Fill=—","Direction=H","UseDPDF=Y")</f>
        <v>#NAME?</v>
      </c>
      <c r="AY473" s="2" t="e">
        <f ca="1">_xll.BDH($C$453,"ACCOUNTS_PAYABLE_5_YEAR_GROWTH","FY 2018","FY 2018","Currency=INR","Period=FY","BEST_FPERIOD_OVERRIDE=FY","FILING_STATUS=OR","EQY_CONSOLIDATED=Y","Sort=A","Dates=H","DateFormat=P","Fill=—","Direction=H","UseDPDF=Y")</f>
        <v>#NAME?</v>
      </c>
      <c r="AZ473" s="2" t="e">
        <f ca="1">_xll.BDH($C$453,"SHORT_TERM_DEBT_5_YEAR_GROWTH","FY 2018","FY 2018","Currency=INR","Period=FY","BEST_FPERIOD_OVERRIDE=FY","FILING_STATUS=OR","EQY_CONSOLIDATED=Y","Sort=A","Dates=H","DateFormat=P","Fill=—","Direction=H","UseDPDF=Y")</f>
        <v>#NAME?</v>
      </c>
      <c r="BA473" s="2" t="e">
        <f ca="1">_xll.BDH($C$453,"TOTAL_DEBT_5_YEAR_GROWTH","FY 2018","FY 2018","Currency=INR","Period=FY","BEST_FPERIOD_OVERRIDE=FY","FILING_STATUS=OR","EQY_CONSOLIDATED=Y","Sort=A","Dates=H","DateFormat=P","Fill=—","Direction=H","UseDPDF=Y")</f>
        <v>#NAME?</v>
      </c>
      <c r="BB473" s="2" t="e">
        <f ca="1">_xll.BDH($C$453,"GEO_GROW_TOT_SHRHLDR_EQY","FY 2018","FY 2018","Currency=INR","Period=FY","BEST_FPERIOD_OVERRIDE=FY","FILING_STATUS=OR","EQY_CONSOLIDATED=Y","Sort=A","Dates=H","DateFormat=P","Fill=—","Direction=H","UseDPDF=Y")</f>
        <v>#NAME?</v>
      </c>
      <c r="BC473" s="2" t="e">
        <f ca="1">_xll.BDH($C$453,"TOTAL_CAPITAL_5_YEAR_GROWTH","FY 2018","FY 2018","Currency=INR","Period=FY","BEST_FPERIOD_OVERRIDE=FY","FILING_STATUS=OR","EQY_CONSOLIDATED=Y","Sort=A","Dates=H","DateFormat=P","Fill=—","Direction=H","UseDPDF=Y")</f>
        <v>#NAME?</v>
      </c>
      <c r="BD473" s="2" t="e">
        <f ca="1">_xll.BDH($C$453,"GEO_GROW_BOOK_VAL","FY 2018","FY 2018","Currency=INR","Period=FY","BEST_FPERIOD_OVERRIDE=FY","FILING_STATUS=OR","EQY_CONSOLIDATED=Y","Sort=A","Dates=H","DateFormat=P","Fill=—","Direction=H","UseDPDF=Y")</f>
        <v>#NAME?</v>
      </c>
      <c r="BE473" s="2" t="e">
        <f ca="1">_xll.BDH($C$453,"GEO_GROW_CASH_OPER_ACT","FY 2018","FY 2018","Currency=INR","Period=FY","BEST_FPERIOD_OVERRIDE=FY","FILING_STATUS=OR","EQY_CONSOLIDATED=Y","Sort=A","Dates=H","DateFormat=P","Fill=—","Direction=H","UseDPDF=Y")</f>
        <v>#NAME?</v>
      </c>
      <c r="BF473" s="2" t="e">
        <f ca="1">_xll.BDH($C$453,"REVENUE_SEQUENTIAL_GROWTH","FY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473" s="2" t="e">
        <f ca="1">_xll.BDH($C$453,"EBITDA_SEQUENTIAL_GROWTH","FY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473" s="2" t="e">
        <f ca="1">_xll.BDH($C$453,"OPERATING_INCOME_SEQ_GROWTH","FY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473" s="2" t="e">
        <f ca="1">_xll.BDH($C$453,"NET_INCOME_TO_COMMON_SEQ_GROWTH","FY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473" s="2" t="e">
        <f ca="1">_xll.BDH($C$453,"EPS_DILUTED_SEQUENTIAL_GROWTH","FY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473" s="2" t="e">
        <f ca="1">_xll.BDH($C$453,"DPS_SEQUENTIAL_GROWTH","FY 2018","FY 2018","Currency=INR","Period=FY","BEST_FPERIOD_OVERRIDE=FY","FILING_STATUS=OR","EQY_CONSOLIDATED=Y","Sort=A","Dates=H","DateFormat=P","Fill=—","Direction=H","UseDPDF=Y")</f>
        <v>#NAME?</v>
      </c>
      <c r="BL473" s="2" t="e">
        <f ca="1">_xll.BDH($C$453,"ACCOUNTS_RECEIVABLE_SEQ_GROWTH","FY 2018","FY 2018","Currency=INR","Period=FY","BEST_FPERIOD_OVERRIDE=FY","FILING_STATUS=OR","EQY_CONSOLIDATED=Y","Sort=A","Dates=H","DateFormat=P","Fill=—","Direction=H","UseDPDF=Y")</f>
        <v>#NAME?</v>
      </c>
      <c r="BM473" s="2" t="e">
        <f ca="1">_xll.BDH($C$453,"INVENTORY_SEQUENTIAL_GROWTH","FY 2018","FY 2018","Currency=INR","Period=FY","BEST_FPERIOD_OVERRIDE=FY","FILING_STATUS=OR","EQY_CONSOLIDATED=Y","Sort=A","Dates=H","DateFormat=P","Fill=—","Direction=H","UseDPDF=Y")</f>
        <v>#NAME?</v>
      </c>
      <c r="BN473" s="2" t="e">
        <f ca="1">_xll.BDH($C$453,"FIXED_ASSETS_SEQUENTIAL_GROWTH","FY 2018","FY 2018","Currency=INR","Period=FY","BEST_FPERIOD_OVERRIDE=FY","FILING_STATUS=OR","EQY_CONSOLIDATED=Y","Sort=A","Dates=H","DateFormat=P","Fill=—","Direction=H","UseDPDF=Y")</f>
        <v>#NAME?</v>
      </c>
      <c r="BO473" s="2" t="e">
        <f ca="1">_xll.BDH($C$453,"TOTAL_ASSETS_SEQUENTIAL_GROWTH","FY 2018","FY 2018","Currency=INR","Period=FY","BEST_FPERIOD_OVERRIDE=FY","FILING_STATUS=OR","EQY_CONSOLIDATED=Y","Sort=A","Dates=H","DateFormat=P","Fill=—","Direction=H","UseDPDF=Y")</f>
        <v>#NAME?</v>
      </c>
      <c r="BP473" s="2" t="e">
        <f ca="1">_xll.BDH($C$453,"MODIFIED_WORKING_CPTL_SEQ_GRWTH","FY 2018","FY 2018","Currency=INR","Period=FY","BEST_FPERIOD_OVERRIDE=FY","FILING_STATUS=OR","EQY_CONSOLIDATED=Y","Sort=A","Dates=H","DateFormat=P","Fill=—","Direction=H","UseDPDF=Y")</f>
        <v>#NAME?</v>
      </c>
      <c r="BQ473" s="2" t="e">
        <f ca="1">_xll.BDH($C$453,"WORKING_CAPITAL_SEQ_GROWTH","FY 2018","FY 2018","Currency=INR","Period=FY","BEST_FPERIOD_OVERRIDE=FY","FILING_STATUS=OR","EQY_CONSOLIDATED=Y","Sort=A","Dates=H","DateFormat=P","Fill=—","Direction=H","UseDPDF=Y")</f>
        <v>#NAME?</v>
      </c>
      <c r="BR473" s="2" t="e">
        <f ca="1">_xll.BDH($C$453,"ACCOUNTS_PAYABLE_SEQ_GROWTH","FY 2018","FY 2018","Currency=INR","Period=FY","BEST_FPERIOD_OVERRIDE=FY","FILING_STATUS=OR","EQY_CONSOLIDATED=Y","Sort=A","Dates=H","DateFormat=P","Fill=—","Direction=H","UseDPDF=Y")</f>
        <v>#NAME?</v>
      </c>
      <c r="BS473" s="2" t="e">
        <f ca="1">_xll.BDH($C$453,"ST_DEBT_SEQUENTIAL_GROWTH","FY 2018","FY 2018","Currency=INR","Period=FY","BEST_FPERIOD_OVERRIDE=FY","FILING_STATUS=OR","EQY_CONSOLIDATED=Y","Sort=A","Dates=H","DateFormat=P","Fill=—","Direction=H","UseDPDF=Y")</f>
        <v>#NAME?</v>
      </c>
      <c r="BT473" s="2" t="e">
        <f ca="1">_xll.BDH($C$453,"TOTAL_DEBT_SEQUENTIAL_GROWTH","FY 2018","FY 2018","Currency=INR","Period=FY","BEST_FPERIOD_OVERRIDE=FY","FILING_STATUS=OR","EQY_CONSOLIDATED=Y","Sort=A","Dates=H","DateFormat=P","Fill=—","Direction=H","UseDPDF=Y")</f>
        <v>#NAME?</v>
      </c>
      <c r="BU473" s="2" t="e">
        <f ca="1">_xll.BDH($C$453,"TOTAL_EQUITY_SEQUENTIAL_GROWTH","FY 2018","FY 2018","Currency=INR","Period=FY","BEST_FPERIOD_OVERRIDE=FY","FILING_STATUS=OR","EQY_CONSOLIDATED=Y","Sort=A","Dates=H","DateFormat=P","Fill=—","Direction=H","UseDPDF=Y")</f>
        <v>#NAME?</v>
      </c>
      <c r="BV473" s="2" t="e">
        <f ca="1">_xll.BDH($C$453,"TOTAL_CAPITAL_SEQUENTIAL_GROWTH","FY 2018","FY 2018","Currency=INR","Period=FY","BEST_FPERIOD_OVERRIDE=FY","FILING_STATUS=OR","EQY_CONSOLIDATED=Y","Sort=A","Dates=H","DateFormat=P","Fill=—","Direction=H","UseDPDF=Y")</f>
        <v>#NAME?</v>
      </c>
      <c r="BW473" s="2" t="e">
        <f ca="1">_xll.BDH($C$453,"BPS_SEQUENTIAL_GROWTH","FY 2018","FY 2018","Currency=INR","Period=FY","BEST_FPERIOD_OVERRIDE=FY","FILING_STATUS=OR","EQY_CONSOLIDATED=Y","Sort=A","Dates=H","DateFormat=P","Fill=—","Direction=H","UseDPDF=Y")</f>
        <v>#NAME?</v>
      </c>
      <c r="BX473" s="2" t="e">
        <f ca="1">_xll.BDH($C$453,"CFO_SEQUENTIAL_GROWTH","FY 2018","FY 2018","Currency=INR","Period=FY","BEST_FPERIOD_OVERRIDE=FY","FILING_STATUS=OR","EQY_CONSOLIDATED=Y","Sort=A","Dates=H","DateFormat=P","Fill=—","Direction=H","UseDPDF=Y")</f>
        <v>#NAME?</v>
      </c>
      <c r="BY473" s="3" t="e">
        <f ca="1">_xll.BDH($C$453,"SHORT_AND_LONG_TERM_DEBT","FY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473" s="3" t="e">
        <f ca="1">_xll.BDH($C$453,"BS_ST_BORROW","FY 2018","FY 2018","Currency=INR","Period=FY","BEST_FPERIOD_OVERRIDE=FY","FILING_STATUS=OR","EQY_CONSOLIDATED=Y","SCALING_FORMAT=MLN","Sort=A","Dates=H","DateFormat=P","Fill=—","Direction=H","UseDPDF=Y")</f>
        <v>#NAME?</v>
      </c>
      <c r="CA473" s="3" t="e">
        <f ca="1">_xll.BDH($C$453,"BS_LT_BORROW","FY 2018","FY 2018","Currency=INR","Period=FY","BEST_FPERIOD_OVERRIDE=FY","FILING_STATUS=OR","EQY_CONSOLIDATED=Y","SCALING_FORMAT=MLN","Sort=A","Dates=H","DateFormat=P","Fill=—","Direction=H","UseDPDF=Y")</f>
        <v>#NAME?</v>
      </c>
      <c r="CB473" s="2" t="e">
        <f ca="1">_xll.BDH($C$453,"TOT_DEBT_TO_EBITDA","FY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473" s="2" t="e">
        <f ca="1">_xll.BDH($C$453,"NET_DEBT_TO_EBITDA","FY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473" s="2" t="e">
        <f ca="1">_xll.BDH($C$453,"TOTAL_DEBT_TO_EBIT","FY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473" s="2" t="e">
        <f ca="1">_xll.BDH($C$453,"NET_DEBT_TO_EBIT","FY 2018","FY 2018","Currency=INR","Period=FY","BEST_FPERIOD_OVERRIDE=FY","FILING_STATUS=OR","EQY_CONSOLIDATED=Y","FA_ADJUSTED=GAAP","Sort=A","Dates=H","DateFormat=P","Fill=—","Direction=H","UseDPDF=Y")</f>
        <v>#NAME?</v>
      </c>
      <c r="CF473" s="2" t="e">
        <f ca="1">_xll.BDH($C$453,"EBITDA_TO_INTEREST_EXPN","FY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473" s="2" t="e">
        <f ca="1">_xll.BDH($C$453,"COM_EQY_TO_TOT_ASSET","FY 2018","FY 2018","Currency=INR","Period=FY","BEST_FPERIOD_OVERRIDE=FY","FILING_STATUS=OR","EQY_CONSOLIDATED=Y","Sort=A","Dates=H","DateFormat=P","Fill=—","Direction=H","UseDPDF=Y")</f>
        <v>#NAME?</v>
      </c>
      <c r="CH473" s="2" t="e">
        <f ca="1">_xll.BDH($C$453,"LT_DEBT_TO_TOT_EQY","FY 2018","FY 2018","Currency=INR","Period=FY","BEST_FPERIOD_OVERRIDE=FY","FILING_STATUS=OR","EQY_CONSOLIDATED=Y","Sort=A","Dates=H","DateFormat=P","Fill=—","Direction=H","UseDPDF=Y")</f>
        <v>#NAME?</v>
      </c>
      <c r="CI473" s="2" t="e">
        <f ca="1">_xll.BDH($C$453,"LT_DEBT_TO_TOT_CAP","FY 2018","FY 2018","Currency=INR","Period=FY","BEST_FPERIOD_OVERRIDE=FY","FILING_STATUS=OR","EQY_CONSOLIDATED=Y","Sort=A","Dates=H","DateFormat=P","Fill=—","Direction=H","UseDPDF=Y")</f>
        <v>#NAME?</v>
      </c>
      <c r="CJ473" s="2" t="e">
        <f ca="1">_xll.BDH($C$453,"LT_DEBT_TO_TOT_ASSET","FY 2018","FY 2018","Currency=INR","Period=FY","BEST_FPERIOD_OVERRIDE=FY","FILING_STATUS=OR","EQY_CONSOLIDATED=Y","Sort=A","Dates=H","DateFormat=P","Fill=—","Direction=H","UseDPDF=Y")</f>
        <v>#NAME?</v>
      </c>
      <c r="CK473" s="2" t="e">
        <f ca="1">_xll.BDH($C$453,"TOT_DEBT_TO_TOT_EQY","FY 2018","FY 2018","Currency=INR","Period=FY","BEST_FPERIOD_OVERRIDE=FY","FILING_STATUS=OR","EQY_CONSOLIDATED=Y","Sort=A","Dates=H","DateFormat=P","Fill=—","Direction=H","UseDPDF=Y")</f>
        <v>#NAME?</v>
      </c>
      <c r="CL473" s="2" t="e">
        <f ca="1">_xll.BDH($C$453,"TOT_DEBT_TO_TOT_CAP","FY 2018","FY 2018","Currency=INR","Period=FY","BEST_FPERIOD_OVERRIDE=FY","FILING_STATUS=OR","EQY_CONSOLIDATED=Y","Sort=A","Dates=H","DateFormat=P","Fill=—","Direction=H","UseDPDF=Y")</f>
        <v>#NAME?</v>
      </c>
      <c r="CM473" s="2" t="e">
        <f ca="1">_xll.BDH($C$453,"TOT_DEBT_TO_TOT_ASSET","FY 2018","FY 2018","Currency=INR","Period=FY","BEST_FPERIOD_OVERRIDE=FY","FILING_STATUS=OR","EQY_CONSOLIDATED=Y","Sort=A","Dates=H","DateFormat=P","Fill=—","Direction=H","UseDPDF=Y")</f>
        <v>#NAME?</v>
      </c>
      <c r="CN473" s="2" t="e">
        <f ca="1">_xll.BDH($C$453,"NET_DEBT_TO_SHRHLDR_EQTY","FY 2018","FY 2018","Currency=INR","Period=FY","BEST_FPERIOD_OVERRIDE=FY","FILING_STATUS=OR","EQY_CONSOLIDATED=Y","Sort=A","Dates=H","DateFormat=P","Fill=—","Direction=H","UseDPDF=Y")</f>
        <v>#NAME?</v>
      </c>
      <c r="CO473" s="2" t="e">
        <f ca="1">_xll.BDH($C$453,"NET_DEBT_%_CAPITAL","FY 2018","FY 2018","Currency=INR","Period=FY","BEST_FPERIOD_OVERRIDE=FY","FILING_STATUS=OR","EQY_CONSOLIDATED=Y","Sort=A","Dates=H","DateFormat=P","Fill=—","Direction=H","UseDPDF=Y")</f>
        <v>#NAME?</v>
      </c>
      <c r="CP473" s="3" t="e">
        <f ca="1">_xll.BDH($C$453,"EBITDA","FY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473" s="3" t="e">
        <f ca="1">_xll.BDH($C$453,"EBITDA_AFTER_CAPEX","FY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473" s="3" t="e">
        <f ca="1">_xll.BDH($C$453,"IS_OPER_INC","FY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473" s="2" t="e">
        <f ca="1">_xll.BDH($C$453,"CASH_RATIO","FY 2018","FY 2018","Currency=INR","Period=FY","BEST_FPERIOD_OVERRIDE=FY","FILING_STATUS=OR","EQY_CONSOLIDATED=Y","Sort=A","Dates=H","DateFormat=P","Fill=—","Direction=H","UseDPDF=Y")</f>
        <v>#NAME?</v>
      </c>
      <c r="CT473" s="2" t="e">
        <f ca="1">_xll.BDH($C$453,"CUR_RATIO","FY 2018","FY 2018","Currency=INR","Period=FY","BEST_FPERIOD_OVERRIDE=FY","FILING_STATUS=OR","EQY_CONSOLIDATED=Y","Sort=A","Dates=H","DateFormat=P","Fill=—","Direction=H","UseDPDF=Y")</f>
        <v>#NAME?</v>
      </c>
      <c r="CU473" s="2" t="e">
        <f ca="1">_xll.BDH($C$453,"QUICK_RATIO","FY 2018","FY 2018","Currency=INR","Period=FY","BEST_FPERIOD_OVERRIDE=FY","FILING_STATUS=OR","EQY_CONSOLIDATED=Y","Sort=A","Dates=H","DateFormat=P","Fill=—","Direction=H","UseDPDF=Y")</f>
        <v>#NAME?</v>
      </c>
      <c r="CV473" s="2" t="e">
        <f ca="1">_xll.BDH($C$453,"ALTMAN_Z_SCORE","FY 2018","FY 2018","Currency=INR","Period=FY","BEST_FPERIOD_OVERRIDE=FY","FILING_STATUS=OR","EQY_CONSOLIDATED=Y","Sort=A","Dates=H","DateFormat=P","Fill=—","Direction=H","UseDPDF=Y")</f>
        <v>#NAME?</v>
      </c>
      <c r="CW473" s="4" t="e">
        <f ca="1">_xll.BDH($C$453,"ACCT_RCV_TURN","FY 2018","FY 2018","Currency=INR","Period=FY","BEST_FPERIOD_OVERRIDE=FY","FILING_STATUS=OR","EQY_CONSOLIDATED=Y","FA_ADJUSTED=GAAP","Sort=A","Dates=H","DateFormat=P","Fill=—","Direction=H","UseDPDF=Y")</f>
        <v>#NAME?</v>
      </c>
      <c r="CX473" s="2" t="e">
        <f ca="1">_xll.BDH($C$453,"ACCT_RCV_DAYS","FY 2018","FY 2018","Currency=INR","Period=FY","BEST_FPERIOD_OVERRIDE=FY","FILING_STATUS=OR","EQY_CONSOLIDATED=Y","FA_ADJUSTED=GAAP","Sort=A","Dates=H","DateFormat=P","Fill=—","Direction=H","UseDPDF=Y")</f>
        <v>#NAME?</v>
      </c>
      <c r="CY473" s="4" t="e">
        <f ca="1">_xll.BDH($C$453,"INVENT_TURN","FY 2018","FY 2018","Currency=INR","Period=FY","BEST_FPERIOD_OVERRIDE=FY","FILING_STATUS=OR","EQY_CONSOLIDATED=Y","FA_ADJUSTED=GAAP","Sort=A","Dates=H","DateFormat=P","Fill=—","Direction=H","UseDPDF=Y")</f>
        <v>#NAME?</v>
      </c>
      <c r="CZ473" s="2" t="e">
        <f ca="1">_xll.BDH($C$453,"INVENT_DAYS","FY 2018","FY 2018","Currency=INR","Period=FY","BEST_FPERIOD_OVERRIDE=FY","FILING_STATUS=OR","EQY_CONSOLIDATED=Y","FA_ADJUSTED=GAAP","Sort=A","Dates=H","DateFormat=P","Fill=—","Direction=H","UseDPDF=Y")</f>
        <v>#NAME?</v>
      </c>
      <c r="DA473" s="4" t="e">
        <f ca="1">_xll.BDH($C$453,"ACCOUNTS_PAYABLE_TURNOVER","FY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473" s="2" t="e">
        <f ca="1">_xll.BDH($C$453,"ACCOUNTS_PAYABLE_TURNOVER_DAYS","FY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473" s="4" t="e">
        <f ca="1">_xll.BDH($C$453,"CASH_CONVERSION_CYCLE","FY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473" s="4" t="e">
        <f ca="1">_xll.BDH($C$453,"INV_TO_CASH_DAYS","FY 2018","FY 2018","Currency=INR","Period=FY","BEST_FPERIOD_OVERRIDE=FY","FILING_STATUS=OR","EQY_CONSOLIDATED=Y","FA_ADJUSTED=GAAP","Sort=A","Dates=H","DateFormat=P","Fill=—","Direction=H","UseDPDF=Y")</f>
        <v>#NAME?</v>
      </c>
      <c r="DE473" s="5" t="e">
        <f ca="1">_xll.BDH($C$453,"BS_INVENTORIES","FY 2018","FY 2018","Currency=INR","Period=FY","BEST_FPERIOD_OVERRIDE=FY","FILING_STATUS=OR","EQY_CONSOLIDATED=Y","SCALING_FORMAT=MLN","Sort=A","Dates=H","DateFormat=P","Fill=—","Direction=H","UseDPDF=Y")</f>
        <v>#NAME?</v>
      </c>
      <c r="DF473" s="3" t="e">
        <f ca="1">_xll.BDH($C$453,"INVTRY_RAW_MATERIALS","FY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473" s="3" t="e">
        <f ca="1">_xll.BDH($C$453,"INVTRY_IN_PROGRESS","FY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473" s="3" t="e">
        <f ca="1">_xll.BDH($C$453,"INVTRY_FINISHED_GOODS","FY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473" s="3" t="e">
        <f ca="1">_xll.BDH($C$453,"BS_OTHER_INV","FY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474" spans="1:113" x14ac:dyDescent="0.3">
      <c r="A474" s="6"/>
      <c r="B474" s="6"/>
      <c r="C474" s="6"/>
      <c r="D474" s="6"/>
      <c r="E474" t="s">
        <v>78</v>
      </c>
      <c r="F474" t="e">
        <f ca="1">_xll.BDH($C$453,"RETURN_COM_EQY","FQ1 2018","FQ1 2018","Currency=INR","Period=FQ","BEST_FPERIOD_OVERRIDE=FQ","FILING_STATUS=OR","EQY_CONSOLIDATED=Y","FA_ADJUSTED=GAAP","Sort=A","Dates=H","DateFormat=P","Fill=—","Direction=H","UseDPDF=Y")</f>
        <v>#NAME?</v>
      </c>
      <c r="G474" t="e">
        <f ca="1">_xll.BDH($C$453,"RETURN_ON_ASSET","FQ1 2018","FQ1 2018","Currency=INR","Period=FQ","BEST_FPERIOD_OVERRIDE=FQ","FILING_STATUS=OR","EQY_CONSOLIDATED=Y","FA_ADJUSTED=GAAP","Sort=A","Dates=H","DateFormat=P","Fill=—","Direction=H","UseDPDF=Y")</f>
        <v>#NAME?</v>
      </c>
      <c r="H474" t="e">
        <f ca="1">_xll.BDH($C$453,"RETURN_ON_CAP","FQ1 2018","FQ1 2018","Currency=INR","Period=FQ","BEST_FPERIOD_OVERRIDE=FQ","FILING_STATUS=OR","EQY_CONSOLIDATED=Y","FA_ADJUSTED=GAAP","Sort=A","Dates=H","DateFormat=P","Fill=—","Direction=H","UseDPDF=Y")</f>
        <v>#NAME?</v>
      </c>
      <c r="I474" t="e">
        <f ca="1">_xll.BDH($C$453,"RETURN_ON_INV_CAPITAL","FQ1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474" t="e">
        <f ca="1">_xll.BDH($C$453,"EBITDA_TO_REVENUE","FQ1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474" t="e">
        <f ca="1">_xll.BDH($C$453,"OPER_MARGIN","FQ1 2018","FQ1 2018","Currency=INR","Period=FQ","BEST_FPERIOD_OVERRIDE=FQ","FILING_STATUS=OR","EQY_CONSOLIDATED=Y","FA_ADJUSTED=GAAP","Sort=A","Dates=H","DateFormat=P","Fill=—","Direction=H","UseDPDF=Y")</f>
        <v>#NAME?</v>
      </c>
      <c r="L474" t="e">
        <f ca="1">_xll.BDH($C$453,"INCREMENTAL_OPERATING_MARGIN","FQ1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474" t="e">
        <f ca="1">_xll.BDH($C$453,"PRETAX_INC_TO_NET_SALES","FQ1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474" t="e">
        <f ca="1">_xll.BDH($C$453,"INC_BEF_XO_ITEMS_TO_NET_SALES","FQ1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474" t="e">
        <f ca="1">_xll.BDH($C$453,"PROF_MARGIN","FQ1 2018","FQ1 2018","Currency=INR","Period=FQ","BEST_FPERIOD_OVERRIDE=FQ","FILING_STATUS=OR","EQY_CONSOLIDATED=Y","FA_ADJUSTED=GAAP","Sort=A","Dates=H","DateFormat=P","Fill=—","Direction=H","UseDPDF=Y")</f>
        <v>#NAME?</v>
      </c>
      <c r="P474" t="e">
        <f ca="1">_xll.BDH($C$453,"NET_INCOME_TO_COMMON_MARGIN","FQ1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474" t="e">
        <f ca="1">_xll.BDH($C$453,"EFF_TAX_RATE","FQ1 2018","FQ1 2018","Currency=INR","Period=FQ","BEST_FPERIOD_OVERRIDE=FQ","FILING_STATUS=OR","EQY_CONSOLIDATED=Y","FA_ADJUSTED=GAAP","Sort=A","Dates=H","DateFormat=P","Fill=—","Direction=H","UseDPDF=Y")</f>
        <v>#NAME?</v>
      </c>
      <c r="R474" t="e">
        <f ca="1">_xll.BDH($C$453,"DVD_PAYOUT_RATIO","FQ1 2018","FQ1 2018","Currency=INR","Period=FQ","BEST_FPERIOD_OVERRIDE=FQ","FILING_STATUS=OR","EQY_CONSOLIDATED=Y","FA_ADJUSTED=GAAP","Sort=A","Dates=H","DateFormat=P","Fill=—","Direction=H","UseDPDF=Y")</f>
        <v>#NAME?</v>
      </c>
      <c r="S474" t="e">
        <f ca="1">_xll.BDH($C$453,"SUSTAIN_GROWTH_RT","FQ1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474" s="2" t="e">
        <f ca="1">_xll.BDH($C$453,"SALES_GROWTH","FQ1 2018","FQ1 2018","Currency=INR","Period=FQ","BEST_FPERIOD_OVERRIDE=FQ","FILING_STATUS=OR","EQY_CONSOLIDATED=Y","FA_ADJUSTED=GAAP","Sort=A","Dates=H","DateFormat=P","Fill=—","Direction=H","UseDPDF=Y")</f>
        <v>#NAME?</v>
      </c>
      <c r="U474" s="2" t="e">
        <f ca="1">_xll.BDH($C$453,"EBITDA_GROWTH","FQ1 2018","FQ1 2018","Currency=INR","Period=FQ","BEST_FPERIOD_OVERRIDE=FQ","FILING_STATUS=OR","EQY_CONSOLIDATED=Y","FA_ADJUSTED=GAAP","Sort=A","Dates=H","DateFormat=P","Fill=—","Direction=H","UseDPDF=Y")</f>
        <v>#NAME?</v>
      </c>
      <c r="V474" s="2" t="e">
        <f ca="1">_xll.BDH($C$453,"OPER_INC_GROWTH","FQ1 2018","FQ1 2018","Currency=INR","Period=FQ","BEST_FPERIOD_OVERRIDE=FQ","FILING_STATUS=OR","EQY_CONSOLIDATED=Y","FA_ADJUSTED=GAAP","Sort=A","Dates=H","DateFormat=P","Fill=—","Direction=H","UseDPDF=Y")</f>
        <v>#NAME?</v>
      </c>
      <c r="W474" s="2" t="e">
        <f ca="1">_xll.BDH($C$453,"EARN_FOR_COM_GROWTH","FQ1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474" s="2" t="e">
        <f ca="1">_xll.BDH($C$453,"DILUTED_EPS_AFT_XO_ITEMS_GROWTH","FQ1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474" s="2" t="e">
        <f ca="1">_xll.BDH($C$453,"DIVIDEND_PER_SHARE_1_YEAR_GROWTH","FQ1 2018","FQ1 2018","Currency=INR","Period=FQ","BEST_FPERIOD_OVERRIDE=FQ","FILING_STATUS=OR","EQY_CONSOLIDATED=Y","Sort=A","Dates=H","DateFormat=P","Fill=—","Direction=H","UseDPDF=Y")</f>
        <v>#NAME?</v>
      </c>
      <c r="Z474" s="2" t="e">
        <f ca="1">_xll.BDH($C$453,"ACCOUNTS_RECEIVABLE_GROWTH","FQ1 2018","FQ1 2018","Currency=INR","Period=FQ","BEST_FPERIOD_OVERRIDE=FQ","FILING_STATUS=OR","EQY_CONSOLIDATED=Y","Sort=A","Dates=H","DateFormat=P","Fill=—","Direction=H","UseDPDF=Y")</f>
        <v>#NAME?</v>
      </c>
      <c r="AA474" s="2" t="e">
        <f ca="1">_xll.BDH($C$453,"INVENTORY_GROWTH","FQ1 2018","FQ1 2018","Currency=INR","Period=FQ","BEST_FPERIOD_OVERRIDE=FQ","FILING_STATUS=OR","EQY_CONSOLIDATED=Y","Sort=A","Dates=H","DateFormat=P","Fill=—","Direction=H","UseDPDF=Y")</f>
        <v>#NAME?</v>
      </c>
      <c r="AB474" s="2" t="e">
        <f ca="1">_xll.BDH($C$453,"NET_FIXED_ASSETS_1_YEAR_GROWTH","FQ1 2018","FQ1 2018","Currency=INR","Period=FQ","BEST_FPERIOD_OVERRIDE=FQ","FILING_STATUS=OR","EQY_CONSOLIDATED=Y","Sort=A","Dates=H","DateFormat=P","Fill=—","Direction=H","UseDPDF=Y")</f>
        <v>#NAME?</v>
      </c>
      <c r="AC474" s="2" t="e">
        <f ca="1">_xll.BDH($C$453,"ASSET_GROWTH","FQ1 2018","FQ1 2018","Currency=INR","Period=FQ","BEST_FPERIOD_OVERRIDE=FQ","FILING_STATUS=OR","EQY_CONSOLIDATED=Y","Sort=A","Dates=H","DateFormat=P","Fill=—","Direction=H","UseDPDF=Y")</f>
        <v>#NAME?</v>
      </c>
      <c r="AD474" s="2" t="e">
        <f ca="1">_xll.BDH($C$453,"MODIFIED_WORK_CAP_GROWTH","FQ1 2018","FQ1 2018","Currency=INR","Period=FQ","BEST_FPERIOD_OVERRIDE=FQ","FILING_STATUS=OR","EQY_CONSOLIDATED=Y","Sort=A","Dates=H","DateFormat=P","Fill=—","Direction=H","UseDPDF=Y")</f>
        <v>#NAME?</v>
      </c>
      <c r="AE474" s="2" t="e">
        <f ca="1">_xll.BDH($C$453,"WORK_CAP_GROWTH","FQ1 2018","FQ1 2018","Currency=INR","Period=FQ","BEST_FPERIOD_OVERRIDE=FQ","FILING_STATUS=OR","EQY_CONSOLIDATED=Y","Sort=A","Dates=H","DateFormat=P","Fill=—","Direction=H","UseDPDF=Y")</f>
        <v>#NAME?</v>
      </c>
      <c r="AF474" s="2" t="e">
        <f ca="1">_xll.BDH($C$453,"ACCOUNTS_PAYABLE_GROWTH_1YR","FQ1 2018","FQ1 2018","Currency=INR","Period=FQ","BEST_FPERIOD_OVERRIDE=FQ","FILING_STATUS=OR","EQY_CONSOLIDATED=Y","Sort=A","Dates=H","DateFormat=P","Fill=—","Direction=H","UseDPDF=Y")</f>
        <v>#NAME?</v>
      </c>
      <c r="AG474" s="2" t="e">
        <f ca="1">_xll.BDH($C$453,"SHORT_TERM_DEBT_1_YEAR_GROWTH","FQ1 2018","FQ1 2018","Currency=INR","Period=FQ","BEST_FPERIOD_OVERRIDE=FQ","FILING_STATUS=OR","EQY_CONSOLIDATED=Y","Sort=A","Dates=H","DateFormat=P","Fill=—","Direction=H","UseDPDF=Y")</f>
        <v>#NAME?</v>
      </c>
      <c r="AH474" s="2" t="e">
        <f ca="1">_xll.BDH($C$453,"TOTAL_DEBT_1_YEAR_GROWTH","FQ1 2018","FQ1 2018","Currency=INR","Period=FQ","BEST_FPERIOD_OVERRIDE=FQ","FILING_STATUS=OR","EQY_CONSOLIDATED=Y","Sort=A","Dates=H","DateFormat=P","Fill=—","Direction=H","UseDPDF=Y")</f>
        <v>#NAME?</v>
      </c>
      <c r="AI474" s="2" t="e">
        <f ca="1">_xll.BDH($C$453,"TOTAL_EQUITY_1_YEAR_GROWTH","FQ1 2018","FQ1 2018","Currency=INR","Period=FQ","BEST_FPERIOD_OVERRIDE=FQ","FILING_STATUS=OR","EQY_CONSOLIDATED=Y","Sort=A","Dates=H","DateFormat=P","Fill=—","Direction=H","UseDPDF=Y")</f>
        <v>#NAME?</v>
      </c>
      <c r="AJ474" s="2" t="e">
        <f ca="1">_xll.BDH($C$453,"GROWTH_IN_CAP","FQ1 2018","FQ1 2018","Currency=INR","Period=FQ","BEST_FPERIOD_OVERRIDE=FQ","FILING_STATUS=OR","EQY_CONSOLIDATED=Y","Sort=A","Dates=H","DateFormat=P","Fill=—","Direction=H","UseDPDF=Y")</f>
        <v>#NAME?</v>
      </c>
      <c r="AK474" s="2" t="e">
        <f ca="1">_xll.BDH($C$453,"BVPS_GROWTH","FQ1 2018","FQ1 2018","Currency=INR","Period=FQ","BEST_FPERIOD_OVERRIDE=FQ","FILING_STATUS=OR","EQY_CONSOLIDATED=Y","Sort=A","Dates=H","DateFormat=P","Fill=—","Direction=H","UseDPDF=Y")</f>
        <v>#NAME?</v>
      </c>
      <c r="AL474" s="2" t="e">
        <f ca="1">_xll.BDH($C$453,"CASH_FLOW_GROWTH","FQ1 2018","FQ1 2018","Currency=INR","Period=FQ","BEST_FPERIOD_OVERRIDE=FQ","FILING_STATUS=OR","EQY_CONSOLIDATED=Y","Sort=A","Dates=H","DateFormat=P","Fill=—","Direction=H","UseDPDF=Y")</f>
        <v>#NAME?</v>
      </c>
      <c r="AM474" s="2" t="e">
        <f ca="1">_xll.BDH($C$453,"GEO_GROW_NET_SALES","FQ1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474" s="2" t="e">
        <f ca="1">_xll.BDH($C$453,"GEO_GROW_EBITDA","FQ1 2018","FQ1 2018","Currency=INR","Period=FQ","BEST_FPERIOD_OVERRIDE=FQ","FILING_STATUS=OR","EQY_CONSOLIDATED=Y","FA_ADJUSTED=GAAP","Sort=A","Dates=H","DateFormat=P","Fill=—","Direction=H","UseDPDF=Y")</f>
        <v>#NAME?</v>
      </c>
      <c r="AO474" s="2" t="e">
        <f ca="1">_xll.BDH($C$453,"GEO_GROW_OPER_INC","FQ1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474" s="2" t="e">
        <f ca="1">_xll.BDH($C$453,"NET_INCOME_TO_COMMON_5_YR_GROWTH","FQ1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474" s="2" t="e">
        <f ca="1">_xll.BDH($C$453,"5Y_GEO_GROWTH_DILUTED_EPS","FQ1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474" s="2" t="e">
        <f ca="1">_xll.BDH($C$453,"GEO_GROW_DVD_PER_SH","FQ1 2018","FQ1 2018","Currency=INR","Period=FQ","BEST_FPERIOD_OVERRIDE=FQ","FILING_STATUS=OR","EQY_CONSOLIDATED=Y","Sort=A","Dates=H","DateFormat=P","Fill=—","Direction=H","UseDPDF=Y")</f>
        <v>#NAME?</v>
      </c>
      <c r="AS474" s="2" t="e">
        <f ca="1">_xll.BDH($C$453,"ACCOUNTS_RECEIVABLE_5_YR_GROWTH","FQ1 2018","FQ1 2018","Currency=INR","Period=FQ","BEST_FPERIOD_OVERRIDE=FQ","FILING_STATUS=OR","EQY_CONSOLIDATED=Y","Sort=A","Dates=H","DateFormat=P","Fill=—","Direction=H","UseDPDF=Y")</f>
        <v>#NAME?</v>
      </c>
      <c r="AT474" s="2" t="e">
        <f ca="1">_xll.BDH($C$453,"INVENTORY_5_YEAR_GROWTH","FQ1 2018","FQ1 2018","Currency=INR","Period=FQ","BEST_FPERIOD_OVERRIDE=FQ","FILING_STATUS=OR","EQY_CONSOLIDATED=Y","Sort=A","Dates=H","DateFormat=P","Fill=—","Direction=H","UseDPDF=Y")</f>
        <v>#NAME?</v>
      </c>
      <c r="AU474" s="2" t="e">
        <f ca="1">_xll.BDH($C$453,"NET_FIXED_ASSETS_5_YEAR_GROWTH","FQ1 2018","FQ1 2018","Currency=INR","Period=FQ","BEST_FPERIOD_OVERRIDE=FQ","FILING_STATUS=OR","EQY_CONSOLIDATED=Y","Sort=A","Dates=H","DateFormat=P","Fill=—","Direction=H","UseDPDF=Y")</f>
        <v>#NAME?</v>
      </c>
      <c r="AV474" s="2" t="e">
        <f ca="1">_xll.BDH($C$453,"GEO_GROW_TOT_ASSET","FQ1 2018","FQ1 2018","Currency=INR","Period=FQ","BEST_FPERIOD_OVERRIDE=FQ","FILING_STATUS=OR","EQY_CONSOLIDATED=Y","Sort=A","Dates=H","DateFormat=P","Fill=—","Direction=H","UseDPDF=Y")</f>
        <v>#NAME?</v>
      </c>
      <c r="AW474" s="2" t="e">
        <f ca="1">_xll.BDH($C$453,"MODIFIED_WORKING_CPTL_5YR_GRWTH","FQ1 2018","FQ1 2018","Currency=INR","Period=FQ","BEST_FPERIOD_OVERRIDE=FQ","FILING_STATUS=OR","EQY_CONSOLIDATED=Y","Sort=A","Dates=H","DateFormat=P","Fill=—","Direction=H","UseDPDF=Y")</f>
        <v>#NAME?</v>
      </c>
      <c r="AX474" s="2" t="e">
        <f ca="1">_xll.BDH($C$453,"WORKING_CAPITAL_5_YEAR_GROWTH","FQ1 2018","FQ1 2018","Currency=INR","Period=FQ","BEST_FPERIOD_OVERRIDE=FQ","FILING_STATUS=OR","EQY_CONSOLIDATED=Y","Sort=A","Dates=H","DateFormat=P","Fill=—","Direction=H","UseDPDF=Y")</f>
        <v>#NAME?</v>
      </c>
      <c r="AY474" s="2" t="e">
        <f ca="1">_xll.BDH($C$453,"ACCOUNTS_PAYABLE_5_YEAR_GROWTH","FQ1 2018","FQ1 2018","Currency=INR","Period=FQ","BEST_FPERIOD_OVERRIDE=FQ","FILING_STATUS=OR","EQY_CONSOLIDATED=Y","Sort=A","Dates=H","DateFormat=P","Fill=—","Direction=H","UseDPDF=Y")</f>
        <v>#NAME?</v>
      </c>
      <c r="AZ474" s="2" t="e">
        <f ca="1">_xll.BDH($C$453,"SHORT_TERM_DEBT_5_YEAR_GROWTH","FQ1 2018","FQ1 2018","Currency=INR","Period=FQ","BEST_FPERIOD_OVERRIDE=FQ","FILING_STATUS=OR","EQY_CONSOLIDATED=Y","Sort=A","Dates=H","DateFormat=P","Fill=—","Direction=H","UseDPDF=Y")</f>
        <v>#NAME?</v>
      </c>
      <c r="BA474" s="2" t="e">
        <f ca="1">_xll.BDH($C$453,"TOTAL_DEBT_5_YEAR_GROWTH","FQ1 2018","FQ1 2018","Currency=INR","Period=FQ","BEST_FPERIOD_OVERRIDE=FQ","FILING_STATUS=OR","EQY_CONSOLIDATED=Y","Sort=A","Dates=H","DateFormat=P","Fill=—","Direction=H","UseDPDF=Y")</f>
        <v>#NAME?</v>
      </c>
      <c r="BB474" s="2" t="e">
        <f ca="1">_xll.BDH($C$453,"GEO_GROW_TOT_SHRHLDR_EQY","FQ1 2018","FQ1 2018","Currency=INR","Period=FQ","BEST_FPERIOD_OVERRIDE=FQ","FILING_STATUS=OR","EQY_CONSOLIDATED=Y","Sort=A","Dates=H","DateFormat=P","Fill=—","Direction=H","UseDPDF=Y")</f>
        <v>#NAME?</v>
      </c>
      <c r="BC474" s="2" t="e">
        <f ca="1">_xll.BDH($C$453,"TOTAL_CAPITAL_5_YEAR_GROWTH","FQ1 2018","FQ1 2018","Currency=INR","Period=FQ","BEST_FPERIOD_OVERRIDE=FQ","FILING_STATUS=OR","EQY_CONSOLIDATED=Y","Sort=A","Dates=H","DateFormat=P","Fill=—","Direction=H","UseDPDF=Y")</f>
        <v>#NAME?</v>
      </c>
      <c r="BD474" s="2" t="e">
        <f ca="1">_xll.BDH($C$453,"GEO_GROW_BOOK_VAL","FQ1 2018","FQ1 2018","Currency=INR","Period=FQ","BEST_FPERIOD_OVERRIDE=FQ","FILING_STATUS=OR","EQY_CONSOLIDATED=Y","Sort=A","Dates=H","DateFormat=P","Fill=—","Direction=H","UseDPDF=Y")</f>
        <v>#NAME?</v>
      </c>
      <c r="BE474" s="2" t="e">
        <f ca="1">_xll.BDH($C$453,"GEO_GROW_CASH_OPER_ACT","FQ1 2018","FQ1 2018","Currency=INR","Period=FQ","BEST_FPERIOD_OVERRIDE=FQ","FILING_STATUS=OR","EQY_CONSOLIDATED=Y","Sort=A","Dates=H","DateFormat=P","Fill=—","Direction=H","UseDPDF=Y")</f>
        <v>#NAME?</v>
      </c>
      <c r="BF474" s="2" t="e">
        <f ca="1">_xll.BDH($C$453,"REVENUE_SEQUENTIAL_GROWTH","FQ1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474" s="2" t="e">
        <f ca="1">_xll.BDH($C$453,"EBITDA_SEQUENTIAL_GROWTH","FQ1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474" s="2" t="e">
        <f ca="1">_xll.BDH($C$453,"OPERATING_INCOME_SEQ_GROWTH","FQ1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474" s="2" t="e">
        <f ca="1">_xll.BDH($C$453,"NET_INCOME_TO_COMMON_SEQ_GROWTH","FQ1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474" s="2" t="e">
        <f ca="1">_xll.BDH($C$453,"EPS_DILUTED_SEQUENTIAL_GROWTH","FQ1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474" s="2" t="e">
        <f ca="1">_xll.BDH($C$453,"DPS_SEQUENTIAL_GROWTH","FQ1 2018","FQ1 2018","Currency=INR","Period=FQ","BEST_FPERIOD_OVERRIDE=FQ","FILING_STATUS=OR","EQY_CONSOLIDATED=Y","Sort=A","Dates=H","DateFormat=P","Fill=—","Direction=H","UseDPDF=Y")</f>
        <v>#NAME?</v>
      </c>
      <c r="BL474" s="2" t="e">
        <f ca="1">_xll.BDH($C$453,"ACCOUNTS_RECEIVABLE_SEQ_GROWTH","FQ1 2018","FQ1 2018","Currency=INR","Period=FQ","BEST_FPERIOD_OVERRIDE=FQ","FILING_STATUS=OR","EQY_CONSOLIDATED=Y","Sort=A","Dates=H","DateFormat=P","Fill=—","Direction=H","UseDPDF=Y")</f>
        <v>#NAME?</v>
      </c>
      <c r="BM474" s="2" t="e">
        <f ca="1">_xll.BDH($C$453,"INVENTORY_SEQUENTIAL_GROWTH","FQ1 2018","FQ1 2018","Currency=INR","Period=FQ","BEST_FPERIOD_OVERRIDE=FQ","FILING_STATUS=OR","EQY_CONSOLIDATED=Y","Sort=A","Dates=H","DateFormat=P","Fill=—","Direction=H","UseDPDF=Y")</f>
        <v>#NAME?</v>
      </c>
      <c r="BN474" s="2" t="e">
        <f ca="1">_xll.BDH($C$453,"FIXED_ASSETS_SEQUENTIAL_GROWTH","FQ1 2018","FQ1 2018","Currency=INR","Period=FQ","BEST_FPERIOD_OVERRIDE=FQ","FILING_STATUS=OR","EQY_CONSOLIDATED=Y","Sort=A","Dates=H","DateFormat=P","Fill=—","Direction=H","UseDPDF=Y")</f>
        <v>#NAME?</v>
      </c>
      <c r="BO474" s="2" t="e">
        <f ca="1">_xll.BDH($C$453,"TOTAL_ASSETS_SEQUENTIAL_GROWTH","FQ1 2018","FQ1 2018","Currency=INR","Period=FQ","BEST_FPERIOD_OVERRIDE=FQ","FILING_STATUS=OR","EQY_CONSOLIDATED=Y","Sort=A","Dates=H","DateFormat=P","Fill=—","Direction=H","UseDPDF=Y")</f>
        <v>#NAME?</v>
      </c>
      <c r="BP474" s="2" t="e">
        <f ca="1">_xll.BDH($C$453,"MODIFIED_WORKING_CPTL_SEQ_GRWTH","FQ1 2018","FQ1 2018","Currency=INR","Period=FQ","BEST_FPERIOD_OVERRIDE=FQ","FILING_STATUS=OR","EQY_CONSOLIDATED=Y","Sort=A","Dates=H","DateFormat=P","Fill=—","Direction=H","UseDPDF=Y")</f>
        <v>#NAME?</v>
      </c>
      <c r="BQ474" s="2" t="e">
        <f ca="1">_xll.BDH($C$453,"WORKING_CAPITAL_SEQ_GROWTH","FQ1 2018","FQ1 2018","Currency=INR","Period=FQ","BEST_FPERIOD_OVERRIDE=FQ","FILING_STATUS=OR","EQY_CONSOLIDATED=Y","Sort=A","Dates=H","DateFormat=P","Fill=—","Direction=H","UseDPDF=Y")</f>
        <v>#NAME?</v>
      </c>
      <c r="BR474" s="2" t="e">
        <f ca="1">_xll.BDH($C$453,"ACCOUNTS_PAYABLE_SEQ_GROWTH","FQ1 2018","FQ1 2018","Currency=INR","Period=FQ","BEST_FPERIOD_OVERRIDE=FQ","FILING_STATUS=OR","EQY_CONSOLIDATED=Y","Sort=A","Dates=H","DateFormat=P","Fill=—","Direction=H","UseDPDF=Y")</f>
        <v>#NAME?</v>
      </c>
      <c r="BS474" s="2" t="e">
        <f ca="1">_xll.BDH($C$453,"ST_DEBT_SEQUENTIAL_GROWTH","FQ1 2018","FQ1 2018","Currency=INR","Period=FQ","BEST_FPERIOD_OVERRIDE=FQ","FILING_STATUS=OR","EQY_CONSOLIDATED=Y","Sort=A","Dates=H","DateFormat=P","Fill=—","Direction=H","UseDPDF=Y")</f>
        <v>#NAME?</v>
      </c>
      <c r="BT474" s="2" t="e">
        <f ca="1">_xll.BDH($C$453,"TOTAL_DEBT_SEQUENTIAL_GROWTH","FQ1 2018","FQ1 2018","Currency=INR","Period=FQ","BEST_FPERIOD_OVERRIDE=FQ","FILING_STATUS=OR","EQY_CONSOLIDATED=Y","Sort=A","Dates=H","DateFormat=P","Fill=—","Direction=H","UseDPDF=Y")</f>
        <v>#NAME?</v>
      </c>
      <c r="BU474" s="2" t="e">
        <f ca="1">_xll.BDH($C$453,"TOTAL_EQUITY_SEQUENTIAL_GROWTH","FQ1 2018","FQ1 2018","Currency=INR","Period=FQ","BEST_FPERIOD_OVERRIDE=FQ","FILING_STATUS=OR","EQY_CONSOLIDATED=Y","Sort=A","Dates=H","DateFormat=P","Fill=—","Direction=H","UseDPDF=Y")</f>
        <v>#NAME?</v>
      </c>
      <c r="BV474" s="2" t="e">
        <f ca="1">_xll.BDH($C$453,"TOTAL_CAPITAL_SEQUENTIAL_GROWTH","FQ1 2018","FQ1 2018","Currency=INR","Period=FQ","BEST_FPERIOD_OVERRIDE=FQ","FILING_STATUS=OR","EQY_CONSOLIDATED=Y","Sort=A","Dates=H","DateFormat=P","Fill=—","Direction=H","UseDPDF=Y")</f>
        <v>#NAME?</v>
      </c>
      <c r="BW474" s="2" t="e">
        <f ca="1">_xll.BDH($C$453,"BPS_SEQUENTIAL_GROWTH","FQ1 2018","FQ1 2018","Currency=INR","Period=FQ","BEST_FPERIOD_OVERRIDE=FQ","FILING_STATUS=OR","EQY_CONSOLIDATED=Y","Sort=A","Dates=H","DateFormat=P","Fill=—","Direction=H","UseDPDF=Y")</f>
        <v>#NAME?</v>
      </c>
      <c r="BX474" s="2" t="e">
        <f ca="1">_xll.BDH($C$453,"CFO_SEQUENTIAL_GROWTH","FQ1 2018","FQ1 2018","Currency=INR","Period=FQ","BEST_FPERIOD_OVERRIDE=FQ","FILING_STATUS=OR","EQY_CONSOLIDATED=Y","Sort=A","Dates=H","DateFormat=P","Fill=—","Direction=H","UseDPDF=Y")</f>
        <v>#NAME?</v>
      </c>
      <c r="BY474" s="3" t="e">
        <f ca="1">_xll.BDH($C$453,"SHORT_AND_LONG_TERM_DEBT","FQ1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474" s="3" t="e">
        <f ca="1">_xll.BDH($C$453,"BS_ST_BORROW","FQ1 2018","FQ1 2018","Currency=INR","Period=FQ","BEST_FPERIOD_OVERRIDE=FQ","FILING_STATUS=OR","EQY_CONSOLIDATED=Y","SCALING_FORMAT=MLN","Sort=A","Dates=H","DateFormat=P","Fill=—","Direction=H","UseDPDF=Y")</f>
        <v>#NAME?</v>
      </c>
      <c r="CA474" s="3" t="e">
        <f ca="1">_xll.BDH($C$453,"BS_LT_BORROW","FQ1 2018","FQ1 2018","Currency=INR","Period=FQ","BEST_FPERIOD_OVERRIDE=FQ","FILING_STATUS=OR","EQY_CONSOLIDATED=Y","SCALING_FORMAT=MLN","Sort=A","Dates=H","DateFormat=P","Fill=—","Direction=H","UseDPDF=Y")</f>
        <v>#NAME?</v>
      </c>
      <c r="CB474" s="2" t="e">
        <f ca="1">_xll.BDH($C$453,"TOT_DEBT_TO_EBITDA","FQ1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474" s="2" t="e">
        <f ca="1">_xll.BDH($C$453,"NET_DEBT_TO_EBITDA","FQ1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474" s="2" t="e">
        <f ca="1">_xll.BDH($C$453,"TOTAL_DEBT_TO_EBIT","FQ1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474" s="2" t="e">
        <f ca="1">_xll.BDH($C$453,"NET_DEBT_TO_EBIT","FQ1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474" s="2" t="e">
        <f ca="1">_xll.BDH($C$453,"EBITDA_TO_INTEREST_EXPN","FQ1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474" s="2" t="e">
        <f ca="1">_xll.BDH($C$453,"COM_EQY_TO_TOT_ASSET","FQ1 2018","FQ1 2018","Currency=INR","Period=FQ","BEST_FPERIOD_OVERRIDE=FQ","FILING_STATUS=OR","EQY_CONSOLIDATED=Y","Sort=A","Dates=H","DateFormat=P","Fill=—","Direction=H","UseDPDF=Y")</f>
        <v>#NAME?</v>
      </c>
      <c r="CH474" s="2" t="e">
        <f ca="1">_xll.BDH($C$453,"LT_DEBT_TO_TOT_EQY","FQ1 2018","FQ1 2018","Currency=INR","Period=FQ","BEST_FPERIOD_OVERRIDE=FQ","FILING_STATUS=OR","EQY_CONSOLIDATED=Y","Sort=A","Dates=H","DateFormat=P","Fill=—","Direction=H","UseDPDF=Y")</f>
        <v>#NAME?</v>
      </c>
      <c r="CI474" s="2" t="e">
        <f ca="1">_xll.BDH($C$453,"LT_DEBT_TO_TOT_CAP","FQ1 2018","FQ1 2018","Currency=INR","Period=FQ","BEST_FPERIOD_OVERRIDE=FQ","FILING_STATUS=OR","EQY_CONSOLIDATED=Y","Sort=A","Dates=H","DateFormat=P","Fill=—","Direction=H","UseDPDF=Y")</f>
        <v>#NAME?</v>
      </c>
      <c r="CJ474" s="2" t="e">
        <f ca="1">_xll.BDH($C$453,"LT_DEBT_TO_TOT_ASSET","FQ1 2018","FQ1 2018","Currency=INR","Period=FQ","BEST_FPERIOD_OVERRIDE=FQ","FILING_STATUS=OR","EQY_CONSOLIDATED=Y","Sort=A","Dates=H","DateFormat=P","Fill=—","Direction=H","UseDPDF=Y")</f>
        <v>#NAME?</v>
      </c>
      <c r="CK474" s="2" t="e">
        <f ca="1">_xll.BDH($C$453,"TOT_DEBT_TO_TOT_EQY","FQ1 2018","FQ1 2018","Currency=INR","Period=FQ","BEST_FPERIOD_OVERRIDE=FQ","FILING_STATUS=OR","EQY_CONSOLIDATED=Y","Sort=A","Dates=H","DateFormat=P","Fill=—","Direction=H","UseDPDF=Y")</f>
        <v>#NAME?</v>
      </c>
      <c r="CL474" s="2" t="e">
        <f ca="1">_xll.BDH($C$453,"TOT_DEBT_TO_TOT_CAP","FQ1 2018","FQ1 2018","Currency=INR","Period=FQ","BEST_FPERIOD_OVERRIDE=FQ","FILING_STATUS=OR","EQY_CONSOLIDATED=Y","Sort=A","Dates=H","DateFormat=P","Fill=—","Direction=H","UseDPDF=Y")</f>
        <v>#NAME?</v>
      </c>
      <c r="CM474" s="2" t="e">
        <f ca="1">_xll.BDH($C$453,"TOT_DEBT_TO_TOT_ASSET","FQ1 2018","FQ1 2018","Currency=INR","Period=FQ","BEST_FPERIOD_OVERRIDE=FQ","FILING_STATUS=OR","EQY_CONSOLIDATED=Y","Sort=A","Dates=H","DateFormat=P","Fill=—","Direction=H","UseDPDF=Y")</f>
        <v>#NAME?</v>
      </c>
      <c r="CN474" s="2" t="e">
        <f ca="1">_xll.BDH($C$453,"NET_DEBT_TO_SHRHLDR_EQTY","FQ1 2018","FQ1 2018","Currency=INR","Period=FQ","BEST_FPERIOD_OVERRIDE=FQ","FILING_STATUS=OR","EQY_CONSOLIDATED=Y","Sort=A","Dates=H","DateFormat=P","Fill=—","Direction=H","UseDPDF=Y")</f>
        <v>#NAME?</v>
      </c>
      <c r="CO474" s="2" t="e">
        <f ca="1">_xll.BDH($C$453,"NET_DEBT_%_CAPITAL","FQ1 2018","FQ1 2018","Currency=INR","Period=FQ","BEST_FPERIOD_OVERRIDE=FQ","FILING_STATUS=OR","EQY_CONSOLIDATED=Y","Sort=A","Dates=H","DateFormat=P","Fill=—","Direction=H","UseDPDF=Y")</f>
        <v>#NAME?</v>
      </c>
      <c r="CP474" s="3" t="e">
        <f ca="1">_xll.BDH($C$453,"EBITDA","FQ1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474" s="3" t="e">
        <f ca="1">_xll.BDH($C$453,"EBITDA_AFTER_CAPEX","FQ1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474" s="3" t="e">
        <f ca="1">_xll.BDH($C$453,"IS_OPER_INC","FQ1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474" s="2" t="e">
        <f ca="1">_xll.BDH($C$453,"CASH_RATIO","FQ1 2018","FQ1 2018","Currency=INR","Period=FQ","BEST_FPERIOD_OVERRIDE=FQ","FILING_STATUS=OR","EQY_CONSOLIDATED=Y","Sort=A","Dates=H","DateFormat=P","Fill=—","Direction=H","UseDPDF=Y")</f>
        <v>#NAME?</v>
      </c>
      <c r="CT474" s="2" t="e">
        <f ca="1">_xll.BDH($C$453,"CUR_RATIO","FQ1 2018","FQ1 2018","Currency=INR","Period=FQ","BEST_FPERIOD_OVERRIDE=FQ","FILING_STATUS=OR","EQY_CONSOLIDATED=Y","Sort=A","Dates=H","DateFormat=P","Fill=—","Direction=H","UseDPDF=Y")</f>
        <v>#NAME?</v>
      </c>
      <c r="CU474" s="2" t="e">
        <f ca="1">_xll.BDH($C$453,"QUICK_RATIO","FQ1 2018","FQ1 2018","Currency=INR","Period=FQ","BEST_FPERIOD_OVERRIDE=FQ","FILING_STATUS=OR","EQY_CONSOLIDATED=Y","Sort=A","Dates=H","DateFormat=P","Fill=—","Direction=H","UseDPDF=Y")</f>
        <v>#NAME?</v>
      </c>
      <c r="CV474" s="2" t="e">
        <f ca="1">_xll.BDH($C$453,"ALTMAN_Z_SCORE","FQ1 2018","FQ1 2018","Currency=INR","Period=FQ","BEST_FPERIOD_OVERRIDE=FQ","FILING_STATUS=OR","EQY_CONSOLIDATED=Y","Sort=A","Dates=H","DateFormat=P","Fill=—","Direction=H","UseDPDF=Y")</f>
        <v>#NAME?</v>
      </c>
      <c r="CW474" s="4" t="e">
        <f ca="1">_xll.BDH($C$453,"ACCT_RCV_TURN","FQ1 2018","FQ1 2018","Currency=INR","Period=FQ","BEST_FPERIOD_OVERRIDE=FQ","FILING_STATUS=OR","EQY_CONSOLIDATED=Y","FA_ADJUSTED=GAAP","Sort=A","Dates=H","DateFormat=P","Fill=—","Direction=H","UseDPDF=Y")</f>
        <v>#NAME?</v>
      </c>
      <c r="CX474" s="2" t="e">
        <f ca="1">_xll.BDH($C$453,"ACCT_RCV_DAYS","FQ1 2018","FQ1 2018","Currency=INR","Period=FQ","BEST_FPERIOD_OVERRIDE=FQ","FILING_STATUS=OR","EQY_CONSOLIDATED=Y","FA_ADJUSTED=GAAP","Sort=A","Dates=H","DateFormat=P","Fill=—","Direction=H","UseDPDF=Y")</f>
        <v>#NAME?</v>
      </c>
      <c r="CY474" s="4" t="e">
        <f ca="1">_xll.BDH($C$453,"INVENT_TURN","FQ1 2018","FQ1 2018","Currency=INR","Period=FQ","BEST_FPERIOD_OVERRIDE=FQ","FILING_STATUS=OR","EQY_CONSOLIDATED=Y","FA_ADJUSTED=GAAP","Sort=A","Dates=H","DateFormat=P","Fill=—","Direction=H","UseDPDF=Y")</f>
        <v>#NAME?</v>
      </c>
      <c r="CZ474" s="2" t="e">
        <f ca="1">_xll.BDH($C$453,"INVENT_DAYS","FQ1 2018","FQ1 2018","Currency=INR","Period=FQ","BEST_FPERIOD_OVERRIDE=FQ","FILING_STATUS=OR","EQY_CONSOLIDATED=Y","FA_ADJUSTED=GAAP","Sort=A","Dates=H","DateFormat=P","Fill=—","Direction=H","UseDPDF=Y")</f>
        <v>#NAME?</v>
      </c>
      <c r="DA474" s="4" t="e">
        <f ca="1">_xll.BDH($C$453,"ACCOUNTS_PAYABLE_TURNOVER","FQ1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474" s="2" t="e">
        <f ca="1">_xll.BDH($C$453,"ACCOUNTS_PAYABLE_TURNOVER_DAYS","FQ1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474" s="4" t="e">
        <f ca="1">_xll.BDH($C$453,"CASH_CONVERSION_CYCLE","FQ1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474" s="4" t="e">
        <f ca="1">_xll.BDH($C$453,"INV_TO_CASH_DAYS","FQ1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474" s="5" t="e">
        <f ca="1">_xll.BDH($C$453,"BS_INVENTORIES","FQ1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474" s="3" t="e">
        <f ca="1">_xll.BDH($C$453,"INVTRY_RAW_MATERIALS","FQ1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474" s="3" t="e">
        <f ca="1">_xll.BDH($C$453,"INVTRY_IN_PROGRESS","FQ1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474" s="3" t="e">
        <f ca="1">_xll.BDH($C$453,"INVTRY_FINISHED_GOODS","FQ1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474" s="3" t="e">
        <f ca="1">_xll.BDH($C$453,"BS_OTHER_INV","FQ1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475" spans="1:113" x14ac:dyDescent="0.3">
      <c r="A475" s="6"/>
      <c r="B475" s="6"/>
      <c r="C475" s="6"/>
      <c r="D475" s="6"/>
      <c r="E475" t="s">
        <v>79</v>
      </c>
      <c r="F475" t="e">
        <f ca="1">_xll.BDH($C$453,"RETURN_COM_EQY","FQ2 2018","FQ2 2018","Currency=INR","Period=FQ","BEST_FPERIOD_OVERRIDE=FQ","FILING_STATUS=OR","EQY_CONSOLIDATED=Y","FA_ADJUSTED=GAAP","Sort=A","Dates=H","DateFormat=P","Fill=—","Direction=H","UseDPDF=Y")</f>
        <v>#NAME?</v>
      </c>
      <c r="G475" t="e">
        <f ca="1">_xll.BDH($C$453,"RETURN_ON_ASSET","FQ2 2018","FQ2 2018","Currency=INR","Period=FQ","BEST_FPERIOD_OVERRIDE=FQ","FILING_STATUS=OR","EQY_CONSOLIDATED=Y","FA_ADJUSTED=GAAP","Sort=A","Dates=H","DateFormat=P","Fill=—","Direction=H","UseDPDF=Y")</f>
        <v>#NAME?</v>
      </c>
      <c r="H475" t="e">
        <f ca="1">_xll.BDH($C$453,"RETURN_ON_CAP","FQ2 2018","FQ2 2018","Currency=INR","Period=FQ","BEST_FPERIOD_OVERRIDE=FQ","FILING_STATUS=OR","EQY_CONSOLIDATED=Y","FA_ADJUSTED=GAAP","Sort=A","Dates=H","DateFormat=P","Fill=—","Direction=H","UseDPDF=Y")</f>
        <v>#NAME?</v>
      </c>
      <c r="I475" t="e">
        <f ca="1">_xll.BDH($C$453,"RETURN_ON_INV_CAPITAL","FQ2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475" t="e">
        <f ca="1">_xll.BDH($C$453,"EBITDA_TO_REVENUE","FQ2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475" t="e">
        <f ca="1">_xll.BDH($C$453,"OPER_MARGIN","FQ2 2018","FQ2 2018","Currency=INR","Period=FQ","BEST_FPERIOD_OVERRIDE=FQ","FILING_STATUS=OR","EQY_CONSOLIDATED=Y","FA_ADJUSTED=GAAP","Sort=A","Dates=H","DateFormat=P","Fill=—","Direction=H","UseDPDF=Y")</f>
        <v>#NAME?</v>
      </c>
      <c r="L475" t="e">
        <f ca="1">_xll.BDH($C$453,"INCREMENTAL_OPERATING_MARGIN","FQ2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475" t="e">
        <f ca="1">_xll.BDH($C$453,"PRETAX_INC_TO_NET_SALES","FQ2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475" t="e">
        <f ca="1">_xll.BDH($C$453,"INC_BEF_XO_ITEMS_TO_NET_SALES","FQ2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475" t="e">
        <f ca="1">_xll.BDH($C$453,"PROF_MARGIN","FQ2 2018","FQ2 2018","Currency=INR","Period=FQ","BEST_FPERIOD_OVERRIDE=FQ","FILING_STATUS=OR","EQY_CONSOLIDATED=Y","FA_ADJUSTED=GAAP","Sort=A","Dates=H","DateFormat=P","Fill=—","Direction=H","UseDPDF=Y")</f>
        <v>#NAME?</v>
      </c>
      <c r="P475" t="e">
        <f ca="1">_xll.BDH($C$453,"NET_INCOME_TO_COMMON_MARGIN","FQ2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475" t="e">
        <f ca="1">_xll.BDH($C$453,"EFF_TAX_RATE","FQ2 2018","FQ2 2018","Currency=INR","Period=FQ","BEST_FPERIOD_OVERRIDE=FQ","FILING_STATUS=OR","EQY_CONSOLIDATED=Y","FA_ADJUSTED=GAAP","Sort=A","Dates=H","DateFormat=P","Fill=—","Direction=H","UseDPDF=Y")</f>
        <v>#NAME?</v>
      </c>
      <c r="R475" t="e">
        <f ca="1">_xll.BDH($C$453,"DVD_PAYOUT_RATIO","FQ2 2018","FQ2 2018","Currency=INR","Period=FQ","BEST_FPERIOD_OVERRIDE=FQ","FILING_STATUS=OR","EQY_CONSOLIDATED=Y","FA_ADJUSTED=GAAP","Sort=A","Dates=H","DateFormat=P","Fill=—","Direction=H","UseDPDF=Y")</f>
        <v>#NAME?</v>
      </c>
      <c r="S475" t="e">
        <f ca="1">_xll.BDH($C$453,"SUSTAIN_GROWTH_RT","FQ2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475" s="2" t="e">
        <f ca="1">_xll.BDH($C$453,"SALES_GROWTH","FQ2 2018","FQ2 2018","Currency=INR","Period=FQ","BEST_FPERIOD_OVERRIDE=FQ","FILING_STATUS=OR","EQY_CONSOLIDATED=Y","FA_ADJUSTED=GAAP","Sort=A","Dates=H","DateFormat=P","Fill=—","Direction=H","UseDPDF=Y")</f>
        <v>#NAME?</v>
      </c>
      <c r="U475" s="2" t="e">
        <f ca="1">_xll.BDH($C$453,"EBITDA_GROWTH","FQ2 2018","FQ2 2018","Currency=INR","Period=FQ","BEST_FPERIOD_OVERRIDE=FQ","FILING_STATUS=OR","EQY_CONSOLIDATED=Y","FA_ADJUSTED=GAAP","Sort=A","Dates=H","DateFormat=P","Fill=—","Direction=H","UseDPDF=Y")</f>
        <v>#NAME?</v>
      </c>
      <c r="V475" s="2" t="e">
        <f ca="1">_xll.BDH($C$453,"OPER_INC_GROWTH","FQ2 2018","FQ2 2018","Currency=INR","Period=FQ","BEST_FPERIOD_OVERRIDE=FQ","FILING_STATUS=OR","EQY_CONSOLIDATED=Y","FA_ADJUSTED=GAAP","Sort=A","Dates=H","DateFormat=P","Fill=—","Direction=H","UseDPDF=Y")</f>
        <v>#NAME?</v>
      </c>
      <c r="W475" s="2" t="e">
        <f ca="1">_xll.BDH($C$453,"EARN_FOR_COM_GROWTH","FQ2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475" s="2" t="e">
        <f ca="1">_xll.BDH($C$453,"DILUTED_EPS_AFT_XO_ITEMS_GROWTH","FQ2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475" s="2" t="e">
        <f ca="1">_xll.BDH($C$453,"DIVIDEND_PER_SHARE_1_YEAR_GROWTH","FQ2 2018","FQ2 2018","Currency=INR","Period=FQ","BEST_FPERIOD_OVERRIDE=FQ","FILING_STATUS=OR","EQY_CONSOLIDATED=Y","Sort=A","Dates=H","DateFormat=P","Fill=—","Direction=H","UseDPDF=Y")</f>
        <v>#NAME?</v>
      </c>
      <c r="Z475" s="2" t="e">
        <f ca="1">_xll.BDH($C$453,"ACCOUNTS_RECEIVABLE_GROWTH","FQ2 2018","FQ2 2018","Currency=INR","Period=FQ","BEST_FPERIOD_OVERRIDE=FQ","FILING_STATUS=OR","EQY_CONSOLIDATED=Y","Sort=A","Dates=H","DateFormat=P","Fill=—","Direction=H","UseDPDF=Y")</f>
        <v>#NAME?</v>
      </c>
      <c r="AA475" s="2" t="e">
        <f ca="1">_xll.BDH($C$453,"INVENTORY_GROWTH","FQ2 2018","FQ2 2018","Currency=INR","Period=FQ","BEST_FPERIOD_OVERRIDE=FQ","FILING_STATUS=OR","EQY_CONSOLIDATED=Y","Sort=A","Dates=H","DateFormat=P","Fill=—","Direction=H","UseDPDF=Y")</f>
        <v>#NAME?</v>
      </c>
      <c r="AB475" s="2" t="e">
        <f ca="1">_xll.BDH($C$453,"NET_FIXED_ASSETS_1_YEAR_GROWTH","FQ2 2018","FQ2 2018","Currency=INR","Period=FQ","BEST_FPERIOD_OVERRIDE=FQ","FILING_STATUS=OR","EQY_CONSOLIDATED=Y","Sort=A","Dates=H","DateFormat=P","Fill=—","Direction=H","UseDPDF=Y")</f>
        <v>#NAME?</v>
      </c>
      <c r="AC475" s="2" t="e">
        <f ca="1">_xll.BDH($C$453,"ASSET_GROWTH","FQ2 2018","FQ2 2018","Currency=INR","Period=FQ","BEST_FPERIOD_OVERRIDE=FQ","FILING_STATUS=OR","EQY_CONSOLIDATED=Y","Sort=A","Dates=H","DateFormat=P","Fill=—","Direction=H","UseDPDF=Y")</f>
        <v>#NAME?</v>
      </c>
      <c r="AD475" s="2" t="e">
        <f ca="1">_xll.BDH($C$453,"MODIFIED_WORK_CAP_GROWTH","FQ2 2018","FQ2 2018","Currency=INR","Period=FQ","BEST_FPERIOD_OVERRIDE=FQ","FILING_STATUS=OR","EQY_CONSOLIDATED=Y","Sort=A","Dates=H","DateFormat=P","Fill=—","Direction=H","UseDPDF=Y")</f>
        <v>#NAME?</v>
      </c>
      <c r="AE475" s="2" t="e">
        <f ca="1">_xll.BDH($C$453,"WORK_CAP_GROWTH","FQ2 2018","FQ2 2018","Currency=INR","Period=FQ","BEST_FPERIOD_OVERRIDE=FQ","FILING_STATUS=OR","EQY_CONSOLIDATED=Y","Sort=A","Dates=H","DateFormat=P","Fill=—","Direction=H","UseDPDF=Y")</f>
        <v>#NAME?</v>
      </c>
      <c r="AF475" s="2" t="e">
        <f ca="1">_xll.BDH($C$453,"ACCOUNTS_PAYABLE_GROWTH_1YR","FQ2 2018","FQ2 2018","Currency=INR","Period=FQ","BEST_FPERIOD_OVERRIDE=FQ","FILING_STATUS=OR","EQY_CONSOLIDATED=Y","Sort=A","Dates=H","DateFormat=P","Fill=—","Direction=H","UseDPDF=Y")</f>
        <v>#NAME?</v>
      </c>
      <c r="AG475" s="2" t="e">
        <f ca="1">_xll.BDH($C$453,"SHORT_TERM_DEBT_1_YEAR_GROWTH","FQ2 2018","FQ2 2018","Currency=INR","Period=FQ","BEST_FPERIOD_OVERRIDE=FQ","FILING_STATUS=OR","EQY_CONSOLIDATED=Y","Sort=A","Dates=H","DateFormat=P","Fill=—","Direction=H","UseDPDF=Y")</f>
        <v>#NAME?</v>
      </c>
      <c r="AH475" s="2" t="e">
        <f ca="1">_xll.BDH($C$453,"TOTAL_DEBT_1_YEAR_GROWTH","FQ2 2018","FQ2 2018","Currency=INR","Period=FQ","BEST_FPERIOD_OVERRIDE=FQ","FILING_STATUS=OR","EQY_CONSOLIDATED=Y","Sort=A","Dates=H","DateFormat=P","Fill=—","Direction=H","UseDPDF=Y")</f>
        <v>#NAME?</v>
      </c>
      <c r="AI475" s="2" t="e">
        <f ca="1">_xll.BDH($C$453,"TOTAL_EQUITY_1_YEAR_GROWTH","FQ2 2018","FQ2 2018","Currency=INR","Period=FQ","BEST_FPERIOD_OVERRIDE=FQ","FILING_STATUS=OR","EQY_CONSOLIDATED=Y","Sort=A","Dates=H","DateFormat=P","Fill=—","Direction=H","UseDPDF=Y")</f>
        <v>#NAME?</v>
      </c>
      <c r="AJ475" s="2" t="e">
        <f ca="1">_xll.BDH($C$453,"GROWTH_IN_CAP","FQ2 2018","FQ2 2018","Currency=INR","Period=FQ","BEST_FPERIOD_OVERRIDE=FQ","FILING_STATUS=OR","EQY_CONSOLIDATED=Y","Sort=A","Dates=H","DateFormat=P","Fill=—","Direction=H","UseDPDF=Y")</f>
        <v>#NAME?</v>
      </c>
      <c r="AK475" s="2" t="e">
        <f ca="1">_xll.BDH($C$453,"BVPS_GROWTH","FQ2 2018","FQ2 2018","Currency=INR","Period=FQ","BEST_FPERIOD_OVERRIDE=FQ","FILING_STATUS=OR","EQY_CONSOLIDATED=Y","Sort=A","Dates=H","DateFormat=P","Fill=—","Direction=H","UseDPDF=Y")</f>
        <v>#NAME?</v>
      </c>
      <c r="AL475" s="2" t="e">
        <f ca="1">_xll.BDH($C$453,"CASH_FLOW_GROWTH","FQ2 2018","FQ2 2018","Currency=INR","Period=FQ","BEST_FPERIOD_OVERRIDE=FQ","FILING_STATUS=OR","EQY_CONSOLIDATED=Y","Sort=A","Dates=H","DateFormat=P","Fill=—","Direction=H","UseDPDF=Y")</f>
        <v>#NAME?</v>
      </c>
      <c r="AM475" s="2" t="e">
        <f ca="1">_xll.BDH($C$453,"GEO_GROW_NET_SALES","FQ2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475" s="2" t="e">
        <f ca="1">_xll.BDH($C$453,"GEO_GROW_EBITDA","FQ2 2018","FQ2 2018","Currency=INR","Period=FQ","BEST_FPERIOD_OVERRIDE=FQ","FILING_STATUS=OR","EQY_CONSOLIDATED=Y","FA_ADJUSTED=GAAP","Sort=A","Dates=H","DateFormat=P","Fill=—","Direction=H","UseDPDF=Y")</f>
        <v>#NAME?</v>
      </c>
      <c r="AO475" s="2" t="e">
        <f ca="1">_xll.BDH($C$453,"GEO_GROW_OPER_INC","FQ2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475" s="2" t="e">
        <f ca="1">_xll.BDH($C$453,"NET_INCOME_TO_COMMON_5_YR_GROWTH","FQ2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475" s="2" t="e">
        <f ca="1">_xll.BDH($C$453,"5Y_GEO_GROWTH_DILUTED_EPS","FQ2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475" s="2" t="e">
        <f ca="1">_xll.BDH($C$453,"GEO_GROW_DVD_PER_SH","FQ2 2018","FQ2 2018","Currency=INR","Period=FQ","BEST_FPERIOD_OVERRIDE=FQ","FILING_STATUS=OR","EQY_CONSOLIDATED=Y","Sort=A","Dates=H","DateFormat=P","Fill=—","Direction=H","UseDPDF=Y")</f>
        <v>#NAME?</v>
      </c>
      <c r="AS475" s="2" t="e">
        <f ca="1">_xll.BDH($C$453,"ACCOUNTS_RECEIVABLE_5_YR_GROWTH","FQ2 2018","FQ2 2018","Currency=INR","Period=FQ","BEST_FPERIOD_OVERRIDE=FQ","FILING_STATUS=OR","EQY_CONSOLIDATED=Y","Sort=A","Dates=H","DateFormat=P","Fill=—","Direction=H","UseDPDF=Y")</f>
        <v>#NAME?</v>
      </c>
      <c r="AT475" s="2" t="e">
        <f ca="1">_xll.BDH($C$453,"INVENTORY_5_YEAR_GROWTH","FQ2 2018","FQ2 2018","Currency=INR","Period=FQ","BEST_FPERIOD_OVERRIDE=FQ","FILING_STATUS=OR","EQY_CONSOLIDATED=Y","Sort=A","Dates=H","DateFormat=P","Fill=—","Direction=H","UseDPDF=Y")</f>
        <v>#NAME?</v>
      </c>
      <c r="AU475" s="2" t="e">
        <f ca="1">_xll.BDH($C$453,"NET_FIXED_ASSETS_5_YEAR_GROWTH","FQ2 2018","FQ2 2018","Currency=INR","Period=FQ","BEST_FPERIOD_OVERRIDE=FQ","FILING_STATUS=OR","EQY_CONSOLIDATED=Y","Sort=A","Dates=H","DateFormat=P","Fill=—","Direction=H","UseDPDF=Y")</f>
        <v>#NAME?</v>
      </c>
      <c r="AV475" s="2" t="e">
        <f ca="1">_xll.BDH($C$453,"GEO_GROW_TOT_ASSET","FQ2 2018","FQ2 2018","Currency=INR","Period=FQ","BEST_FPERIOD_OVERRIDE=FQ","FILING_STATUS=OR","EQY_CONSOLIDATED=Y","Sort=A","Dates=H","DateFormat=P","Fill=—","Direction=H","UseDPDF=Y")</f>
        <v>#NAME?</v>
      </c>
      <c r="AW475" s="2" t="e">
        <f ca="1">_xll.BDH($C$453,"MODIFIED_WORKING_CPTL_5YR_GRWTH","FQ2 2018","FQ2 2018","Currency=INR","Period=FQ","BEST_FPERIOD_OVERRIDE=FQ","FILING_STATUS=OR","EQY_CONSOLIDATED=Y","Sort=A","Dates=H","DateFormat=P","Fill=—","Direction=H","UseDPDF=Y")</f>
        <v>#NAME?</v>
      </c>
      <c r="AX475" s="2" t="e">
        <f ca="1">_xll.BDH($C$453,"WORKING_CAPITAL_5_YEAR_GROWTH","FQ2 2018","FQ2 2018","Currency=INR","Period=FQ","BEST_FPERIOD_OVERRIDE=FQ","FILING_STATUS=OR","EQY_CONSOLIDATED=Y","Sort=A","Dates=H","DateFormat=P","Fill=—","Direction=H","UseDPDF=Y")</f>
        <v>#NAME?</v>
      </c>
      <c r="AY475" s="2" t="e">
        <f ca="1">_xll.BDH($C$453,"ACCOUNTS_PAYABLE_5_YEAR_GROWTH","FQ2 2018","FQ2 2018","Currency=INR","Period=FQ","BEST_FPERIOD_OVERRIDE=FQ","FILING_STATUS=OR","EQY_CONSOLIDATED=Y","Sort=A","Dates=H","DateFormat=P","Fill=—","Direction=H","UseDPDF=Y")</f>
        <v>#NAME?</v>
      </c>
      <c r="AZ475" s="2" t="e">
        <f ca="1">_xll.BDH($C$453,"SHORT_TERM_DEBT_5_YEAR_GROWTH","FQ2 2018","FQ2 2018","Currency=INR","Period=FQ","BEST_FPERIOD_OVERRIDE=FQ","FILING_STATUS=OR","EQY_CONSOLIDATED=Y","Sort=A","Dates=H","DateFormat=P","Fill=—","Direction=H","UseDPDF=Y")</f>
        <v>#NAME?</v>
      </c>
      <c r="BA475" s="2" t="e">
        <f ca="1">_xll.BDH($C$453,"TOTAL_DEBT_5_YEAR_GROWTH","FQ2 2018","FQ2 2018","Currency=INR","Period=FQ","BEST_FPERIOD_OVERRIDE=FQ","FILING_STATUS=OR","EQY_CONSOLIDATED=Y","Sort=A","Dates=H","DateFormat=P","Fill=—","Direction=H","UseDPDF=Y")</f>
        <v>#NAME?</v>
      </c>
      <c r="BB475" s="2" t="e">
        <f ca="1">_xll.BDH($C$453,"GEO_GROW_TOT_SHRHLDR_EQY","FQ2 2018","FQ2 2018","Currency=INR","Period=FQ","BEST_FPERIOD_OVERRIDE=FQ","FILING_STATUS=OR","EQY_CONSOLIDATED=Y","Sort=A","Dates=H","DateFormat=P","Fill=—","Direction=H","UseDPDF=Y")</f>
        <v>#NAME?</v>
      </c>
      <c r="BC475" s="2" t="e">
        <f ca="1">_xll.BDH($C$453,"TOTAL_CAPITAL_5_YEAR_GROWTH","FQ2 2018","FQ2 2018","Currency=INR","Period=FQ","BEST_FPERIOD_OVERRIDE=FQ","FILING_STATUS=OR","EQY_CONSOLIDATED=Y","Sort=A","Dates=H","DateFormat=P","Fill=—","Direction=H","UseDPDF=Y")</f>
        <v>#NAME?</v>
      </c>
      <c r="BD475" s="2" t="e">
        <f ca="1">_xll.BDH($C$453,"GEO_GROW_BOOK_VAL","FQ2 2018","FQ2 2018","Currency=INR","Period=FQ","BEST_FPERIOD_OVERRIDE=FQ","FILING_STATUS=OR","EQY_CONSOLIDATED=Y","Sort=A","Dates=H","DateFormat=P","Fill=—","Direction=H","UseDPDF=Y")</f>
        <v>#NAME?</v>
      </c>
      <c r="BE475" s="2" t="e">
        <f ca="1">_xll.BDH($C$453,"GEO_GROW_CASH_OPER_ACT","FQ2 2018","FQ2 2018","Currency=INR","Period=FQ","BEST_FPERIOD_OVERRIDE=FQ","FILING_STATUS=OR","EQY_CONSOLIDATED=Y","Sort=A","Dates=H","DateFormat=P","Fill=—","Direction=H","UseDPDF=Y")</f>
        <v>#NAME?</v>
      </c>
      <c r="BF475" s="2" t="e">
        <f ca="1">_xll.BDH($C$453,"REVENUE_SEQUENTIAL_GROWTH","FQ2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475" s="2" t="e">
        <f ca="1">_xll.BDH($C$453,"EBITDA_SEQUENTIAL_GROWTH","FQ2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475" s="2" t="e">
        <f ca="1">_xll.BDH($C$453,"OPERATING_INCOME_SEQ_GROWTH","FQ2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475" s="2" t="e">
        <f ca="1">_xll.BDH($C$453,"NET_INCOME_TO_COMMON_SEQ_GROWTH","FQ2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475" s="2" t="e">
        <f ca="1">_xll.BDH($C$453,"EPS_DILUTED_SEQUENTIAL_GROWTH","FQ2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475" s="2" t="e">
        <f ca="1">_xll.BDH($C$453,"DPS_SEQUENTIAL_GROWTH","FQ2 2018","FQ2 2018","Currency=INR","Period=FQ","BEST_FPERIOD_OVERRIDE=FQ","FILING_STATUS=OR","EQY_CONSOLIDATED=Y","Sort=A","Dates=H","DateFormat=P","Fill=—","Direction=H","UseDPDF=Y")</f>
        <v>#NAME?</v>
      </c>
      <c r="BL475" s="2" t="e">
        <f ca="1">_xll.BDH($C$453,"ACCOUNTS_RECEIVABLE_SEQ_GROWTH","FQ2 2018","FQ2 2018","Currency=INR","Period=FQ","BEST_FPERIOD_OVERRIDE=FQ","FILING_STATUS=OR","EQY_CONSOLIDATED=Y","Sort=A","Dates=H","DateFormat=P","Fill=—","Direction=H","UseDPDF=Y")</f>
        <v>#NAME?</v>
      </c>
      <c r="BM475" s="2" t="e">
        <f ca="1">_xll.BDH($C$453,"INVENTORY_SEQUENTIAL_GROWTH","FQ2 2018","FQ2 2018","Currency=INR","Period=FQ","BEST_FPERIOD_OVERRIDE=FQ","FILING_STATUS=OR","EQY_CONSOLIDATED=Y","Sort=A","Dates=H","DateFormat=P","Fill=—","Direction=H","UseDPDF=Y")</f>
        <v>#NAME?</v>
      </c>
      <c r="BN475" s="2" t="e">
        <f ca="1">_xll.BDH($C$453,"FIXED_ASSETS_SEQUENTIAL_GROWTH","FQ2 2018","FQ2 2018","Currency=INR","Period=FQ","BEST_FPERIOD_OVERRIDE=FQ","FILING_STATUS=OR","EQY_CONSOLIDATED=Y","Sort=A","Dates=H","DateFormat=P","Fill=—","Direction=H","UseDPDF=Y")</f>
        <v>#NAME?</v>
      </c>
      <c r="BO475" s="2" t="e">
        <f ca="1">_xll.BDH($C$453,"TOTAL_ASSETS_SEQUENTIAL_GROWTH","FQ2 2018","FQ2 2018","Currency=INR","Period=FQ","BEST_FPERIOD_OVERRIDE=FQ","FILING_STATUS=OR","EQY_CONSOLIDATED=Y","Sort=A","Dates=H","DateFormat=P","Fill=—","Direction=H","UseDPDF=Y")</f>
        <v>#NAME?</v>
      </c>
      <c r="BP475" s="2" t="e">
        <f ca="1">_xll.BDH($C$453,"MODIFIED_WORKING_CPTL_SEQ_GRWTH","FQ2 2018","FQ2 2018","Currency=INR","Period=FQ","BEST_FPERIOD_OVERRIDE=FQ","FILING_STATUS=OR","EQY_CONSOLIDATED=Y","Sort=A","Dates=H","DateFormat=P","Fill=—","Direction=H","UseDPDF=Y")</f>
        <v>#NAME?</v>
      </c>
      <c r="BQ475" s="2" t="e">
        <f ca="1">_xll.BDH($C$453,"WORKING_CAPITAL_SEQ_GROWTH","FQ2 2018","FQ2 2018","Currency=INR","Period=FQ","BEST_FPERIOD_OVERRIDE=FQ","FILING_STATUS=OR","EQY_CONSOLIDATED=Y","Sort=A","Dates=H","DateFormat=P","Fill=—","Direction=H","UseDPDF=Y")</f>
        <v>#NAME?</v>
      </c>
      <c r="BR475" s="2" t="e">
        <f ca="1">_xll.BDH($C$453,"ACCOUNTS_PAYABLE_SEQ_GROWTH","FQ2 2018","FQ2 2018","Currency=INR","Period=FQ","BEST_FPERIOD_OVERRIDE=FQ","FILING_STATUS=OR","EQY_CONSOLIDATED=Y","Sort=A","Dates=H","DateFormat=P","Fill=—","Direction=H","UseDPDF=Y")</f>
        <v>#NAME?</v>
      </c>
      <c r="BS475" s="2" t="e">
        <f ca="1">_xll.BDH($C$453,"ST_DEBT_SEQUENTIAL_GROWTH","FQ2 2018","FQ2 2018","Currency=INR","Period=FQ","BEST_FPERIOD_OVERRIDE=FQ","FILING_STATUS=OR","EQY_CONSOLIDATED=Y","Sort=A","Dates=H","DateFormat=P","Fill=—","Direction=H","UseDPDF=Y")</f>
        <v>#NAME?</v>
      </c>
      <c r="BT475" s="2" t="e">
        <f ca="1">_xll.BDH($C$453,"TOTAL_DEBT_SEQUENTIAL_GROWTH","FQ2 2018","FQ2 2018","Currency=INR","Period=FQ","BEST_FPERIOD_OVERRIDE=FQ","FILING_STATUS=OR","EQY_CONSOLIDATED=Y","Sort=A","Dates=H","DateFormat=P","Fill=—","Direction=H","UseDPDF=Y")</f>
        <v>#NAME?</v>
      </c>
      <c r="BU475" s="2" t="e">
        <f ca="1">_xll.BDH($C$453,"TOTAL_EQUITY_SEQUENTIAL_GROWTH","FQ2 2018","FQ2 2018","Currency=INR","Period=FQ","BEST_FPERIOD_OVERRIDE=FQ","FILING_STATUS=OR","EQY_CONSOLIDATED=Y","Sort=A","Dates=H","DateFormat=P","Fill=—","Direction=H","UseDPDF=Y")</f>
        <v>#NAME?</v>
      </c>
      <c r="BV475" s="2" t="e">
        <f ca="1">_xll.BDH($C$453,"TOTAL_CAPITAL_SEQUENTIAL_GROWTH","FQ2 2018","FQ2 2018","Currency=INR","Period=FQ","BEST_FPERIOD_OVERRIDE=FQ","FILING_STATUS=OR","EQY_CONSOLIDATED=Y","Sort=A","Dates=H","DateFormat=P","Fill=—","Direction=H","UseDPDF=Y")</f>
        <v>#NAME?</v>
      </c>
      <c r="BW475" s="2" t="e">
        <f ca="1">_xll.BDH($C$453,"BPS_SEQUENTIAL_GROWTH","FQ2 2018","FQ2 2018","Currency=INR","Period=FQ","BEST_FPERIOD_OVERRIDE=FQ","FILING_STATUS=OR","EQY_CONSOLIDATED=Y","Sort=A","Dates=H","DateFormat=P","Fill=—","Direction=H","UseDPDF=Y")</f>
        <v>#NAME?</v>
      </c>
      <c r="BX475" s="2" t="e">
        <f ca="1">_xll.BDH($C$453,"CFO_SEQUENTIAL_GROWTH","FQ2 2018","FQ2 2018","Currency=INR","Period=FQ","BEST_FPERIOD_OVERRIDE=FQ","FILING_STATUS=OR","EQY_CONSOLIDATED=Y","Sort=A","Dates=H","DateFormat=P","Fill=—","Direction=H","UseDPDF=Y")</f>
        <v>#NAME?</v>
      </c>
      <c r="BY475" s="3" t="e">
        <f ca="1">_xll.BDH($C$453,"SHORT_AND_LONG_TERM_DEBT","FQ2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475" s="3" t="e">
        <f ca="1">_xll.BDH($C$453,"BS_ST_BORROW","FQ2 2018","FQ2 2018","Currency=INR","Period=FQ","BEST_FPERIOD_OVERRIDE=FQ","FILING_STATUS=OR","EQY_CONSOLIDATED=Y","SCALING_FORMAT=MLN","Sort=A","Dates=H","DateFormat=P","Fill=—","Direction=H","UseDPDF=Y")</f>
        <v>#NAME?</v>
      </c>
      <c r="CA475" s="3" t="e">
        <f ca="1">_xll.BDH($C$453,"BS_LT_BORROW","FQ2 2018","FQ2 2018","Currency=INR","Period=FQ","BEST_FPERIOD_OVERRIDE=FQ","FILING_STATUS=OR","EQY_CONSOLIDATED=Y","SCALING_FORMAT=MLN","Sort=A","Dates=H","DateFormat=P","Fill=—","Direction=H","UseDPDF=Y")</f>
        <v>#NAME?</v>
      </c>
      <c r="CB475" s="2" t="e">
        <f ca="1">_xll.BDH($C$453,"TOT_DEBT_TO_EBITDA","FQ2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475" s="2" t="e">
        <f ca="1">_xll.BDH($C$453,"NET_DEBT_TO_EBITDA","FQ2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475" s="2" t="e">
        <f ca="1">_xll.BDH($C$453,"TOTAL_DEBT_TO_EBIT","FQ2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475" s="2" t="e">
        <f ca="1">_xll.BDH($C$453,"NET_DEBT_TO_EBIT","FQ2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475" s="2" t="e">
        <f ca="1">_xll.BDH($C$453,"EBITDA_TO_INTEREST_EXPN","FQ2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475" s="2" t="e">
        <f ca="1">_xll.BDH($C$453,"COM_EQY_TO_TOT_ASSET","FQ2 2018","FQ2 2018","Currency=INR","Period=FQ","BEST_FPERIOD_OVERRIDE=FQ","FILING_STATUS=OR","EQY_CONSOLIDATED=Y","Sort=A","Dates=H","DateFormat=P","Fill=—","Direction=H","UseDPDF=Y")</f>
        <v>#NAME?</v>
      </c>
      <c r="CH475" s="2" t="e">
        <f ca="1">_xll.BDH($C$453,"LT_DEBT_TO_TOT_EQY","FQ2 2018","FQ2 2018","Currency=INR","Period=FQ","BEST_FPERIOD_OVERRIDE=FQ","FILING_STATUS=OR","EQY_CONSOLIDATED=Y","Sort=A","Dates=H","DateFormat=P","Fill=—","Direction=H","UseDPDF=Y")</f>
        <v>#NAME?</v>
      </c>
      <c r="CI475" s="2" t="e">
        <f ca="1">_xll.BDH($C$453,"LT_DEBT_TO_TOT_CAP","FQ2 2018","FQ2 2018","Currency=INR","Period=FQ","BEST_FPERIOD_OVERRIDE=FQ","FILING_STATUS=OR","EQY_CONSOLIDATED=Y","Sort=A","Dates=H","DateFormat=P","Fill=—","Direction=H","UseDPDF=Y")</f>
        <v>#NAME?</v>
      </c>
      <c r="CJ475" s="2" t="e">
        <f ca="1">_xll.BDH($C$453,"LT_DEBT_TO_TOT_ASSET","FQ2 2018","FQ2 2018","Currency=INR","Period=FQ","BEST_FPERIOD_OVERRIDE=FQ","FILING_STATUS=OR","EQY_CONSOLIDATED=Y","Sort=A","Dates=H","DateFormat=P","Fill=—","Direction=H","UseDPDF=Y")</f>
        <v>#NAME?</v>
      </c>
      <c r="CK475" s="2" t="e">
        <f ca="1">_xll.BDH($C$453,"TOT_DEBT_TO_TOT_EQY","FQ2 2018","FQ2 2018","Currency=INR","Period=FQ","BEST_FPERIOD_OVERRIDE=FQ","FILING_STATUS=OR","EQY_CONSOLIDATED=Y","Sort=A","Dates=H","DateFormat=P","Fill=—","Direction=H","UseDPDF=Y")</f>
        <v>#NAME?</v>
      </c>
      <c r="CL475" s="2" t="e">
        <f ca="1">_xll.BDH($C$453,"TOT_DEBT_TO_TOT_CAP","FQ2 2018","FQ2 2018","Currency=INR","Period=FQ","BEST_FPERIOD_OVERRIDE=FQ","FILING_STATUS=OR","EQY_CONSOLIDATED=Y","Sort=A","Dates=H","DateFormat=P","Fill=—","Direction=H","UseDPDF=Y")</f>
        <v>#NAME?</v>
      </c>
      <c r="CM475" s="2" t="e">
        <f ca="1">_xll.BDH($C$453,"TOT_DEBT_TO_TOT_ASSET","FQ2 2018","FQ2 2018","Currency=INR","Period=FQ","BEST_FPERIOD_OVERRIDE=FQ","FILING_STATUS=OR","EQY_CONSOLIDATED=Y","Sort=A","Dates=H","DateFormat=P","Fill=—","Direction=H","UseDPDF=Y")</f>
        <v>#NAME?</v>
      </c>
      <c r="CN475" s="2" t="e">
        <f ca="1">_xll.BDH($C$453,"NET_DEBT_TO_SHRHLDR_EQTY","FQ2 2018","FQ2 2018","Currency=INR","Period=FQ","BEST_FPERIOD_OVERRIDE=FQ","FILING_STATUS=OR","EQY_CONSOLIDATED=Y","Sort=A","Dates=H","DateFormat=P","Fill=—","Direction=H","UseDPDF=Y")</f>
        <v>#NAME?</v>
      </c>
      <c r="CO475" s="2" t="e">
        <f ca="1">_xll.BDH($C$453,"NET_DEBT_%_CAPITAL","FQ2 2018","FQ2 2018","Currency=INR","Period=FQ","BEST_FPERIOD_OVERRIDE=FQ","FILING_STATUS=OR","EQY_CONSOLIDATED=Y","Sort=A","Dates=H","DateFormat=P","Fill=—","Direction=H","UseDPDF=Y")</f>
        <v>#NAME?</v>
      </c>
      <c r="CP475" s="3" t="e">
        <f ca="1">_xll.BDH($C$453,"EBITDA","FQ2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475" s="3" t="e">
        <f ca="1">_xll.BDH($C$453,"EBITDA_AFTER_CAPEX","FQ2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475" s="3" t="e">
        <f ca="1">_xll.BDH($C$453,"IS_OPER_INC","FQ2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475" s="2" t="e">
        <f ca="1">_xll.BDH($C$453,"CASH_RATIO","FQ2 2018","FQ2 2018","Currency=INR","Period=FQ","BEST_FPERIOD_OVERRIDE=FQ","FILING_STATUS=OR","EQY_CONSOLIDATED=Y","Sort=A","Dates=H","DateFormat=P","Fill=—","Direction=H","UseDPDF=Y")</f>
        <v>#NAME?</v>
      </c>
      <c r="CT475" s="2" t="e">
        <f ca="1">_xll.BDH($C$453,"CUR_RATIO","FQ2 2018","FQ2 2018","Currency=INR","Period=FQ","BEST_FPERIOD_OVERRIDE=FQ","FILING_STATUS=OR","EQY_CONSOLIDATED=Y","Sort=A","Dates=H","DateFormat=P","Fill=—","Direction=H","UseDPDF=Y")</f>
        <v>#NAME?</v>
      </c>
      <c r="CU475" s="2" t="e">
        <f ca="1">_xll.BDH($C$453,"QUICK_RATIO","FQ2 2018","FQ2 2018","Currency=INR","Period=FQ","BEST_FPERIOD_OVERRIDE=FQ","FILING_STATUS=OR","EQY_CONSOLIDATED=Y","Sort=A","Dates=H","DateFormat=P","Fill=—","Direction=H","UseDPDF=Y")</f>
        <v>#NAME?</v>
      </c>
      <c r="CV475" s="2" t="e">
        <f ca="1">_xll.BDH($C$453,"ALTMAN_Z_SCORE","FQ2 2018","FQ2 2018","Currency=INR","Period=FQ","BEST_FPERIOD_OVERRIDE=FQ","FILING_STATUS=OR","EQY_CONSOLIDATED=Y","Sort=A","Dates=H","DateFormat=P","Fill=—","Direction=H","UseDPDF=Y")</f>
        <v>#NAME?</v>
      </c>
      <c r="CW475" s="4" t="e">
        <f ca="1">_xll.BDH($C$453,"ACCT_RCV_TURN","FQ2 2018","FQ2 2018","Currency=INR","Period=FQ","BEST_FPERIOD_OVERRIDE=FQ","FILING_STATUS=OR","EQY_CONSOLIDATED=Y","FA_ADJUSTED=GAAP","Sort=A","Dates=H","DateFormat=P","Fill=—","Direction=H","UseDPDF=Y")</f>
        <v>#NAME?</v>
      </c>
      <c r="CX475" s="2" t="e">
        <f ca="1">_xll.BDH($C$453,"ACCT_RCV_DAYS","FQ2 2018","FQ2 2018","Currency=INR","Period=FQ","BEST_FPERIOD_OVERRIDE=FQ","FILING_STATUS=OR","EQY_CONSOLIDATED=Y","FA_ADJUSTED=GAAP","Sort=A","Dates=H","DateFormat=P","Fill=—","Direction=H","UseDPDF=Y")</f>
        <v>#NAME?</v>
      </c>
      <c r="CY475" s="4" t="e">
        <f ca="1">_xll.BDH($C$453,"INVENT_TURN","FQ2 2018","FQ2 2018","Currency=INR","Period=FQ","BEST_FPERIOD_OVERRIDE=FQ","FILING_STATUS=OR","EQY_CONSOLIDATED=Y","FA_ADJUSTED=GAAP","Sort=A","Dates=H","DateFormat=P","Fill=—","Direction=H","UseDPDF=Y")</f>
        <v>#NAME?</v>
      </c>
      <c r="CZ475" s="2" t="e">
        <f ca="1">_xll.BDH($C$453,"INVENT_DAYS","FQ2 2018","FQ2 2018","Currency=INR","Period=FQ","BEST_FPERIOD_OVERRIDE=FQ","FILING_STATUS=OR","EQY_CONSOLIDATED=Y","FA_ADJUSTED=GAAP","Sort=A","Dates=H","DateFormat=P","Fill=—","Direction=H","UseDPDF=Y")</f>
        <v>#NAME?</v>
      </c>
      <c r="DA475" s="4" t="e">
        <f ca="1">_xll.BDH($C$453,"ACCOUNTS_PAYABLE_TURNOVER","FQ2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475" s="2" t="e">
        <f ca="1">_xll.BDH($C$453,"ACCOUNTS_PAYABLE_TURNOVER_DAYS","FQ2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475" s="4" t="e">
        <f ca="1">_xll.BDH($C$453,"CASH_CONVERSION_CYCLE","FQ2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475" s="4" t="e">
        <f ca="1">_xll.BDH($C$453,"INV_TO_CASH_DAYS","FQ2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475" s="5" t="e">
        <f ca="1">_xll.BDH($C$453,"BS_INVENTORIES","FQ2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475" s="3" t="e">
        <f ca="1">_xll.BDH($C$453,"INVTRY_RAW_MATERIALS","FQ2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475" s="3" t="e">
        <f ca="1">_xll.BDH($C$453,"INVTRY_IN_PROGRESS","FQ2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475" s="3" t="e">
        <f ca="1">_xll.BDH($C$453,"INVTRY_FINISHED_GOODS","FQ2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475" s="3" t="e">
        <f ca="1">_xll.BDH($C$453,"BS_OTHER_INV","FQ2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476" spans="1:113" x14ac:dyDescent="0.3">
      <c r="A476" s="6"/>
      <c r="B476" s="6"/>
      <c r="C476" s="6"/>
      <c r="D476" s="6"/>
      <c r="E476" t="s">
        <v>80</v>
      </c>
      <c r="F476" t="e">
        <f ca="1">_xll.BDH($C$453,"RETURN_COM_EQY","FQ3 2018","FQ3 2018","Currency=INR","Period=FQ","BEST_FPERIOD_OVERRIDE=FQ","FILING_STATUS=OR","EQY_CONSOLIDATED=Y","FA_ADJUSTED=GAAP","Sort=A","Dates=H","DateFormat=P","Fill=—","Direction=H","UseDPDF=Y")</f>
        <v>#NAME?</v>
      </c>
      <c r="G476" t="e">
        <f ca="1">_xll.BDH($C$453,"RETURN_ON_ASSET","FQ3 2018","FQ3 2018","Currency=INR","Period=FQ","BEST_FPERIOD_OVERRIDE=FQ","FILING_STATUS=OR","EQY_CONSOLIDATED=Y","FA_ADJUSTED=GAAP","Sort=A","Dates=H","DateFormat=P","Fill=—","Direction=H","UseDPDF=Y")</f>
        <v>#NAME?</v>
      </c>
      <c r="H476" t="e">
        <f ca="1">_xll.BDH($C$453,"RETURN_ON_CAP","FQ3 2018","FQ3 2018","Currency=INR","Period=FQ","BEST_FPERIOD_OVERRIDE=FQ","FILING_STATUS=OR","EQY_CONSOLIDATED=Y","FA_ADJUSTED=GAAP","Sort=A","Dates=H","DateFormat=P","Fill=—","Direction=H","UseDPDF=Y")</f>
        <v>#NAME?</v>
      </c>
      <c r="I476" t="e">
        <f ca="1">_xll.BDH($C$453,"RETURN_ON_INV_CAPITAL","FQ3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476" t="e">
        <f ca="1">_xll.BDH($C$453,"EBITDA_TO_REVENUE","FQ3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476" t="e">
        <f ca="1">_xll.BDH($C$453,"OPER_MARGIN","FQ3 2018","FQ3 2018","Currency=INR","Period=FQ","BEST_FPERIOD_OVERRIDE=FQ","FILING_STATUS=OR","EQY_CONSOLIDATED=Y","FA_ADJUSTED=GAAP","Sort=A","Dates=H","DateFormat=P","Fill=—","Direction=H","UseDPDF=Y")</f>
        <v>#NAME?</v>
      </c>
      <c r="L476" t="e">
        <f ca="1">_xll.BDH($C$453,"INCREMENTAL_OPERATING_MARGIN","FQ3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476" t="e">
        <f ca="1">_xll.BDH($C$453,"PRETAX_INC_TO_NET_SALES","FQ3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476" t="e">
        <f ca="1">_xll.BDH($C$453,"INC_BEF_XO_ITEMS_TO_NET_SALES","FQ3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476" t="e">
        <f ca="1">_xll.BDH($C$453,"PROF_MARGIN","FQ3 2018","FQ3 2018","Currency=INR","Period=FQ","BEST_FPERIOD_OVERRIDE=FQ","FILING_STATUS=OR","EQY_CONSOLIDATED=Y","FA_ADJUSTED=GAAP","Sort=A","Dates=H","DateFormat=P","Fill=—","Direction=H","UseDPDF=Y")</f>
        <v>#NAME?</v>
      </c>
      <c r="P476" t="e">
        <f ca="1">_xll.BDH($C$453,"NET_INCOME_TO_COMMON_MARGIN","FQ3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476" t="e">
        <f ca="1">_xll.BDH($C$453,"EFF_TAX_RATE","FQ3 2018","FQ3 2018","Currency=INR","Period=FQ","BEST_FPERIOD_OVERRIDE=FQ","FILING_STATUS=OR","EQY_CONSOLIDATED=Y","FA_ADJUSTED=GAAP","Sort=A","Dates=H","DateFormat=P","Fill=—","Direction=H","UseDPDF=Y")</f>
        <v>#NAME?</v>
      </c>
      <c r="R476" t="e">
        <f ca="1">_xll.BDH($C$453,"DVD_PAYOUT_RATIO","FQ3 2018","FQ3 2018","Currency=INR","Period=FQ","BEST_FPERIOD_OVERRIDE=FQ","FILING_STATUS=OR","EQY_CONSOLIDATED=Y","FA_ADJUSTED=GAAP","Sort=A","Dates=H","DateFormat=P","Fill=—","Direction=H","UseDPDF=Y")</f>
        <v>#NAME?</v>
      </c>
      <c r="S476" t="e">
        <f ca="1">_xll.BDH($C$453,"SUSTAIN_GROWTH_RT","FQ3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476" s="2" t="e">
        <f ca="1">_xll.BDH($C$453,"SALES_GROWTH","FQ3 2018","FQ3 2018","Currency=INR","Period=FQ","BEST_FPERIOD_OVERRIDE=FQ","FILING_STATUS=OR","EQY_CONSOLIDATED=Y","FA_ADJUSTED=GAAP","Sort=A","Dates=H","DateFormat=P","Fill=—","Direction=H","UseDPDF=Y")</f>
        <v>#NAME?</v>
      </c>
      <c r="U476" s="2" t="e">
        <f ca="1">_xll.BDH($C$453,"EBITDA_GROWTH","FQ3 2018","FQ3 2018","Currency=INR","Period=FQ","BEST_FPERIOD_OVERRIDE=FQ","FILING_STATUS=OR","EQY_CONSOLIDATED=Y","FA_ADJUSTED=GAAP","Sort=A","Dates=H","DateFormat=P","Fill=—","Direction=H","UseDPDF=Y")</f>
        <v>#NAME?</v>
      </c>
      <c r="V476" s="2" t="e">
        <f ca="1">_xll.BDH($C$453,"OPER_INC_GROWTH","FQ3 2018","FQ3 2018","Currency=INR","Period=FQ","BEST_FPERIOD_OVERRIDE=FQ","FILING_STATUS=OR","EQY_CONSOLIDATED=Y","FA_ADJUSTED=GAAP","Sort=A","Dates=H","DateFormat=P","Fill=—","Direction=H","UseDPDF=Y")</f>
        <v>#NAME?</v>
      </c>
      <c r="W476" s="2" t="e">
        <f ca="1">_xll.BDH($C$453,"EARN_FOR_COM_GROWTH","FQ3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476" s="2" t="e">
        <f ca="1">_xll.BDH($C$453,"DILUTED_EPS_AFT_XO_ITEMS_GROWTH","FQ3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476" s="2" t="e">
        <f ca="1">_xll.BDH($C$453,"DIVIDEND_PER_SHARE_1_YEAR_GROWTH","FQ3 2018","FQ3 2018","Currency=INR","Period=FQ","BEST_FPERIOD_OVERRIDE=FQ","FILING_STATUS=OR","EQY_CONSOLIDATED=Y","Sort=A","Dates=H","DateFormat=P","Fill=—","Direction=H","UseDPDF=Y")</f>
        <v>#NAME?</v>
      </c>
      <c r="Z476" s="2" t="e">
        <f ca="1">_xll.BDH($C$453,"ACCOUNTS_RECEIVABLE_GROWTH","FQ3 2018","FQ3 2018","Currency=INR","Period=FQ","BEST_FPERIOD_OVERRIDE=FQ","FILING_STATUS=OR","EQY_CONSOLIDATED=Y","Sort=A","Dates=H","DateFormat=P","Fill=—","Direction=H","UseDPDF=Y")</f>
        <v>#NAME?</v>
      </c>
      <c r="AA476" s="2" t="e">
        <f ca="1">_xll.BDH($C$453,"INVENTORY_GROWTH","FQ3 2018","FQ3 2018","Currency=INR","Period=FQ","BEST_FPERIOD_OVERRIDE=FQ","FILING_STATUS=OR","EQY_CONSOLIDATED=Y","Sort=A","Dates=H","DateFormat=P","Fill=—","Direction=H","UseDPDF=Y")</f>
        <v>#NAME?</v>
      </c>
      <c r="AB476" s="2" t="e">
        <f ca="1">_xll.BDH($C$453,"NET_FIXED_ASSETS_1_YEAR_GROWTH","FQ3 2018","FQ3 2018","Currency=INR","Period=FQ","BEST_FPERIOD_OVERRIDE=FQ","FILING_STATUS=OR","EQY_CONSOLIDATED=Y","Sort=A","Dates=H","DateFormat=P","Fill=—","Direction=H","UseDPDF=Y")</f>
        <v>#NAME?</v>
      </c>
      <c r="AC476" s="2" t="e">
        <f ca="1">_xll.BDH($C$453,"ASSET_GROWTH","FQ3 2018","FQ3 2018","Currency=INR","Period=FQ","BEST_FPERIOD_OVERRIDE=FQ","FILING_STATUS=OR","EQY_CONSOLIDATED=Y","Sort=A","Dates=H","DateFormat=P","Fill=—","Direction=H","UseDPDF=Y")</f>
        <v>#NAME?</v>
      </c>
      <c r="AD476" s="2" t="e">
        <f ca="1">_xll.BDH($C$453,"MODIFIED_WORK_CAP_GROWTH","FQ3 2018","FQ3 2018","Currency=INR","Period=FQ","BEST_FPERIOD_OVERRIDE=FQ","FILING_STATUS=OR","EQY_CONSOLIDATED=Y","Sort=A","Dates=H","DateFormat=P","Fill=—","Direction=H","UseDPDF=Y")</f>
        <v>#NAME?</v>
      </c>
      <c r="AE476" s="2" t="e">
        <f ca="1">_xll.BDH($C$453,"WORK_CAP_GROWTH","FQ3 2018","FQ3 2018","Currency=INR","Period=FQ","BEST_FPERIOD_OVERRIDE=FQ","FILING_STATUS=OR","EQY_CONSOLIDATED=Y","Sort=A","Dates=H","DateFormat=P","Fill=—","Direction=H","UseDPDF=Y")</f>
        <v>#NAME?</v>
      </c>
      <c r="AF476" s="2" t="e">
        <f ca="1">_xll.BDH($C$453,"ACCOUNTS_PAYABLE_GROWTH_1YR","FQ3 2018","FQ3 2018","Currency=INR","Period=FQ","BEST_FPERIOD_OVERRIDE=FQ","FILING_STATUS=OR","EQY_CONSOLIDATED=Y","Sort=A","Dates=H","DateFormat=P","Fill=—","Direction=H","UseDPDF=Y")</f>
        <v>#NAME?</v>
      </c>
      <c r="AG476" s="2" t="e">
        <f ca="1">_xll.BDH($C$453,"SHORT_TERM_DEBT_1_YEAR_GROWTH","FQ3 2018","FQ3 2018","Currency=INR","Period=FQ","BEST_FPERIOD_OVERRIDE=FQ","FILING_STATUS=OR","EQY_CONSOLIDATED=Y","Sort=A","Dates=H","DateFormat=P","Fill=—","Direction=H","UseDPDF=Y")</f>
        <v>#NAME?</v>
      </c>
      <c r="AH476" s="2" t="e">
        <f ca="1">_xll.BDH($C$453,"TOTAL_DEBT_1_YEAR_GROWTH","FQ3 2018","FQ3 2018","Currency=INR","Period=FQ","BEST_FPERIOD_OVERRIDE=FQ","FILING_STATUS=OR","EQY_CONSOLIDATED=Y","Sort=A","Dates=H","DateFormat=P","Fill=—","Direction=H","UseDPDF=Y")</f>
        <v>#NAME?</v>
      </c>
      <c r="AI476" s="2" t="e">
        <f ca="1">_xll.BDH($C$453,"TOTAL_EQUITY_1_YEAR_GROWTH","FQ3 2018","FQ3 2018","Currency=INR","Period=FQ","BEST_FPERIOD_OVERRIDE=FQ","FILING_STATUS=OR","EQY_CONSOLIDATED=Y","Sort=A","Dates=H","DateFormat=P","Fill=—","Direction=H","UseDPDF=Y")</f>
        <v>#NAME?</v>
      </c>
      <c r="AJ476" s="2" t="e">
        <f ca="1">_xll.BDH($C$453,"GROWTH_IN_CAP","FQ3 2018","FQ3 2018","Currency=INR","Period=FQ","BEST_FPERIOD_OVERRIDE=FQ","FILING_STATUS=OR","EQY_CONSOLIDATED=Y","Sort=A","Dates=H","DateFormat=P","Fill=—","Direction=H","UseDPDF=Y")</f>
        <v>#NAME?</v>
      </c>
      <c r="AK476" s="2" t="e">
        <f ca="1">_xll.BDH($C$453,"BVPS_GROWTH","FQ3 2018","FQ3 2018","Currency=INR","Period=FQ","BEST_FPERIOD_OVERRIDE=FQ","FILING_STATUS=OR","EQY_CONSOLIDATED=Y","Sort=A","Dates=H","DateFormat=P","Fill=—","Direction=H","UseDPDF=Y")</f>
        <v>#NAME?</v>
      </c>
      <c r="AL476" s="2" t="e">
        <f ca="1">_xll.BDH($C$453,"CASH_FLOW_GROWTH","FQ3 2018","FQ3 2018","Currency=INR","Period=FQ","BEST_FPERIOD_OVERRIDE=FQ","FILING_STATUS=OR","EQY_CONSOLIDATED=Y","Sort=A","Dates=H","DateFormat=P","Fill=—","Direction=H","UseDPDF=Y")</f>
        <v>#NAME?</v>
      </c>
      <c r="AM476" s="2" t="e">
        <f ca="1">_xll.BDH($C$453,"GEO_GROW_NET_SALES","FQ3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476" s="2" t="e">
        <f ca="1">_xll.BDH($C$453,"GEO_GROW_EBITDA","FQ3 2018","FQ3 2018","Currency=INR","Period=FQ","BEST_FPERIOD_OVERRIDE=FQ","FILING_STATUS=OR","EQY_CONSOLIDATED=Y","FA_ADJUSTED=GAAP","Sort=A","Dates=H","DateFormat=P","Fill=—","Direction=H","UseDPDF=Y")</f>
        <v>#NAME?</v>
      </c>
      <c r="AO476" s="2" t="e">
        <f ca="1">_xll.BDH($C$453,"GEO_GROW_OPER_INC","FQ3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476" s="2" t="e">
        <f ca="1">_xll.BDH($C$453,"NET_INCOME_TO_COMMON_5_YR_GROWTH","FQ3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476" s="2" t="e">
        <f ca="1">_xll.BDH($C$453,"5Y_GEO_GROWTH_DILUTED_EPS","FQ3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476" s="2" t="e">
        <f ca="1">_xll.BDH($C$453,"GEO_GROW_DVD_PER_SH","FQ3 2018","FQ3 2018","Currency=INR","Period=FQ","BEST_FPERIOD_OVERRIDE=FQ","FILING_STATUS=OR","EQY_CONSOLIDATED=Y","Sort=A","Dates=H","DateFormat=P","Fill=—","Direction=H","UseDPDF=Y")</f>
        <v>#NAME?</v>
      </c>
      <c r="AS476" s="2" t="e">
        <f ca="1">_xll.BDH($C$453,"ACCOUNTS_RECEIVABLE_5_YR_GROWTH","FQ3 2018","FQ3 2018","Currency=INR","Period=FQ","BEST_FPERIOD_OVERRIDE=FQ","FILING_STATUS=OR","EQY_CONSOLIDATED=Y","Sort=A","Dates=H","DateFormat=P","Fill=—","Direction=H","UseDPDF=Y")</f>
        <v>#NAME?</v>
      </c>
      <c r="AT476" s="2" t="e">
        <f ca="1">_xll.BDH($C$453,"INVENTORY_5_YEAR_GROWTH","FQ3 2018","FQ3 2018","Currency=INR","Period=FQ","BEST_FPERIOD_OVERRIDE=FQ","FILING_STATUS=OR","EQY_CONSOLIDATED=Y","Sort=A","Dates=H","DateFormat=P","Fill=—","Direction=H","UseDPDF=Y")</f>
        <v>#NAME?</v>
      </c>
      <c r="AU476" s="2" t="e">
        <f ca="1">_xll.BDH($C$453,"NET_FIXED_ASSETS_5_YEAR_GROWTH","FQ3 2018","FQ3 2018","Currency=INR","Period=FQ","BEST_FPERIOD_OVERRIDE=FQ","FILING_STATUS=OR","EQY_CONSOLIDATED=Y","Sort=A","Dates=H","DateFormat=P","Fill=—","Direction=H","UseDPDF=Y")</f>
        <v>#NAME?</v>
      </c>
      <c r="AV476" s="2" t="e">
        <f ca="1">_xll.BDH($C$453,"GEO_GROW_TOT_ASSET","FQ3 2018","FQ3 2018","Currency=INR","Period=FQ","BEST_FPERIOD_OVERRIDE=FQ","FILING_STATUS=OR","EQY_CONSOLIDATED=Y","Sort=A","Dates=H","DateFormat=P","Fill=—","Direction=H","UseDPDF=Y")</f>
        <v>#NAME?</v>
      </c>
      <c r="AW476" s="2" t="e">
        <f ca="1">_xll.BDH($C$453,"MODIFIED_WORKING_CPTL_5YR_GRWTH","FQ3 2018","FQ3 2018","Currency=INR","Period=FQ","BEST_FPERIOD_OVERRIDE=FQ","FILING_STATUS=OR","EQY_CONSOLIDATED=Y","Sort=A","Dates=H","DateFormat=P","Fill=—","Direction=H","UseDPDF=Y")</f>
        <v>#NAME?</v>
      </c>
      <c r="AX476" s="2" t="e">
        <f ca="1">_xll.BDH($C$453,"WORKING_CAPITAL_5_YEAR_GROWTH","FQ3 2018","FQ3 2018","Currency=INR","Period=FQ","BEST_FPERIOD_OVERRIDE=FQ","FILING_STATUS=OR","EQY_CONSOLIDATED=Y","Sort=A","Dates=H","DateFormat=P","Fill=—","Direction=H","UseDPDF=Y")</f>
        <v>#NAME?</v>
      </c>
      <c r="AY476" s="2" t="e">
        <f ca="1">_xll.BDH($C$453,"ACCOUNTS_PAYABLE_5_YEAR_GROWTH","FQ3 2018","FQ3 2018","Currency=INR","Period=FQ","BEST_FPERIOD_OVERRIDE=FQ","FILING_STATUS=OR","EQY_CONSOLIDATED=Y","Sort=A","Dates=H","DateFormat=P","Fill=—","Direction=H","UseDPDF=Y")</f>
        <v>#NAME?</v>
      </c>
      <c r="AZ476" s="2" t="e">
        <f ca="1">_xll.BDH($C$453,"SHORT_TERM_DEBT_5_YEAR_GROWTH","FQ3 2018","FQ3 2018","Currency=INR","Period=FQ","BEST_FPERIOD_OVERRIDE=FQ","FILING_STATUS=OR","EQY_CONSOLIDATED=Y","Sort=A","Dates=H","DateFormat=P","Fill=—","Direction=H","UseDPDF=Y")</f>
        <v>#NAME?</v>
      </c>
      <c r="BA476" s="2" t="e">
        <f ca="1">_xll.BDH($C$453,"TOTAL_DEBT_5_YEAR_GROWTH","FQ3 2018","FQ3 2018","Currency=INR","Period=FQ","BEST_FPERIOD_OVERRIDE=FQ","FILING_STATUS=OR","EQY_CONSOLIDATED=Y","Sort=A","Dates=H","DateFormat=P","Fill=—","Direction=H","UseDPDF=Y")</f>
        <v>#NAME?</v>
      </c>
      <c r="BB476" s="2" t="e">
        <f ca="1">_xll.BDH($C$453,"GEO_GROW_TOT_SHRHLDR_EQY","FQ3 2018","FQ3 2018","Currency=INR","Period=FQ","BEST_FPERIOD_OVERRIDE=FQ","FILING_STATUS=OR","EQY_CONSOLIDATED=Y","Sort=A","Dates=H","DateFormat=P","Fill=—","Direction=H","UseDPDF=Y")</f>
        <v>#NAME?</v>
      </c>
      <c r="BC476" s="2" t="e">
        <f ca="1">_xll.BDH($C$453,"TOTAL_CAPITAL_5_YEAR_GROWTH","FQ3 2018","FQ3 2018","Currency=INR","Period=FQ","BEST_FPERIOD_OVERRIDE=FQ","FILING_STATUS=OR","EQY_CONSOLIDATED=Y","Sort=A","Dates=H","DateFormat=P","Fill=—","Direction=H","UseDPDF=Y")</f>
        <v>#NAME?</v>
      </c>
      <c r="BD476" s="2" t="e">
        <f ca="1">_xll.BDH($C$453,"GEO_GROW_BOOK_VAL","FQ3 2018","FQ3 2018","Currency=INR","Period=FQ","BEST_FPERIOD_OVERRIDE=FQ","FILING_STATUS=OR","EQY_CONSOLIDATED=Y","Sort=A","Dates=H","DateFormat=P","Fill=—","Direction=H","UseDPDF=Y")</f>
        <v>#NAME?</v>
      </c>
      <c r="BE476" s="2" t="e">
        <f ca="1">_xll.BDH($C$453,"GEO_GROW_CASH_OPER_ACT","FQ3 2018","FQ3 2018","Currency=INR","Period=FQ","BEST_FPERIOD_OVERRIDE=FQ","FILING_STATUS=OR","EQY_CONSOLIDATED=Y","Sort=A","Dates=H","DateFormat=P","Fill=—","Direction=H","UseDPDF=Y")</f>
        <v>#NAME?</v>
      </c>
      <c r="BF476" s="2" t="e">
        <f ca="1">_xll.BDH($C$453,"REVENUE_SEQUENTIAL_GROWTH","FQ3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476" s="2" t="e">
        <f ca="1">_xll.BDH($C$453,"EBITDA_SEQUENTIAL_GROWTH","FQ3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476" s="2" t="e">
        <f ca="1">_xll.BDH($C$453,"OPERATING_INCOME_SEQ_GROWTH","FQ3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476" s="2" t="e">
        <f ca="1">_xll.BDH($C$453,"NET_INCOME_TO_COMMON_SEQ_GROWTH","FQ3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476" s="2" t="e">
        <f ca="1">_xll.BDH($C$453,"EPS_DILUTED_SEQUENTIAL_GROWTH","FQ3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476" s="2" t="e">
        <f ca="1">_xll.BDH($C$453,"DPS_SEQUENTIAL_GROWTH","FQ3 2018","FQ3 2018","Currency=INR","Period=FQ","BEST_FPERIOD_OVERRIDE=FQ","FILING_STATUS=OR","EQY_CONSOLIDATED=Y","Sort=A","Dates=H","DateFormat=P","Fill=—","Direction=H","UseDPDF=Y")</f>
        <v>#NAME?</v>
      </c>
      <c r="BL476" s="2" t="e">
        <f ca="1">_xll.BDH($C$453,"ACCOUNTS_RECEIVABLE_SEQ_GROWTH","FQ3 2018","FQ3 2018","Currency=INR","Period=FQ","BEST_FPERIOD_OVERRIDE=FQ","FILING_STATUS=OR","EQY_CONSOLIDATED=Y","Sort=A","Dates=H","DateFormat=P","Fill=—","Direction=H","UseDPDF=Y")</f>
        <v>#NAME?</v>
      </c>
      <c r="BM476" s="2" t="e">
        <f ca="1">_xll.BDH($C$453,"INVENTORY_SEQUENTIAL_GROWTH","FQ3 2018","FQ3 2018","Currency=INR","Period=FQ","BEST_FPERIOD_OVERRIDE=FQ","FILING_STATUS=OR","EQY_CONSOLIDATED=Y","Sort=A","Dates=H","DateFormat=P","Fill=—","Direction=H","UseDPDF=Y")</f>
        <v>#NAME?</v>
      </c>
      <c r="BN476" s="2" t="e">
        <f ca="1">_xll.BDH($C$453,"FIXED_ASSETS_SEQUENTIAL_GROWTH","FQ3 2018","FQ3 2018","Currency=INR","Period=FQ","BEST_FPERIOD_OVERRIDE=FQ","FILING_STATUS=OR","EQY_CONSOLIDATED=Y","Sort=A","Dates=H","DateFormat=P","Fill=—","Direction=H","UseDPDF=Y")</f>
        <v>#NAME?</v>
      </c>
      <c r="BO476" s="2" t="e">
        <f ca="1">_xll.BDH($C$453,"TOTAL_ASSETS_SEQUENTIAL_GROWTH","FQ3 2018","FQ3 2018","Currency=INR","Period=FQ","BEST_FPERIOD_OVERRIDE=FQ","FILING_STATUS=OR","EQY_CONSOLIDATED=Y","Sort=A","Dates=H","DateFormat=P","Fill=—","Direction=H","UseDPDF=Y")</f>
        <v>#NAME?</v>
      </c>
      <c r="BP476" s="2" t="e">
        <f ca="1">_xll.BDH($C$453,"MODIFIED_WORKING_CPTL_SEQ_GRWTH","FQ3 2018","FQ3 2018","Currency=INR","Period=FQ","BEST_FPERIOD_OVERRIDE=FQ","FILING_STATUS=OR","EQY_CONSOLIDATED=Y","Sort=A","Dates=H","DateFormat=P","Fill=—","Direction=H","UseDPDF=Y")</f>
        <v>#NAME?</v>
      </c>
      <c r="BQ476" s="2" t="e">
        <f ca="1">_xll.BDH($C$453,"WORKING_CAPITAL_SEQ_GROWTH","FQ3 2018","FQ3 2018","Currency=INR","Period=FQ","BEST_FPERIOD_OVERRIDE=FQ","FILING_STATUS=OR","EQY_CONSOLIDATED=Y","Sort=A","Dates=H","DateFormat=P","Fill=—","Direction=H","UseDPDF=Y")</f>
        <v>#NAME?</v>
      </c>
      <c r="BR476" s="2" t="e">
        <f ca="1">_xll.BDH($C$453,"ACCOUNTS_PAYABLE_SEQ_GROWTH","FQ3 2018","FQ3 2018","Currency=INR","Period=FQ","BEST_FPERIOD_OVERRIDE=FQ","FILING_STATUS=OR","EQY_CONSOLIDATED=Y","Sort=A","Dates=H","DateFormat=P","Fill=—","Direction=H","UseDPDF=Y")</f>
        <v>#NAME?</v>
      </c>
      <c r="BS476" s="2" t="e">
        <f ca="1">_xll.BDH($C$453,"ST_DEBT_SEQUENTIAL_GROWTH","FQ3 2018","FQ3 2018","Currency=INR","Period=FQ","BEST_FPERIOD_OVERRIDE=FQ","FILING_STATUS=OR","EQY_CONSOLIDATED=Y","Sort=A","Dates=H","DateFormat=P","Fill=—","Direction=H","UseDPDF=Y")</f>
        <v>#NAME?</v>
      </c>
      <c r="BT476" s="2" t="e">
        <f ca="1">_xll.BDH($C$453,"TOTAL_DEBT_SEQUENTIAL_GROWTH","FQ3 2018","FQ3 2018","Currency=INR","Period=FQ","BEST_FPERIOD_OVERRIDE=FQ","FILING_STATUS=OR","EQY_CONSOLIDATED=Y","Sort=A","Dates=H","DateFormat=P","Fill=—","Direction=H","UseDPDF=Y")</f>
        <v>#NAME?</v>
      </c>
      <c r="BU476" s="2" t="e">
        <f ca="1">_xll.BDH($C$453,"TOTAL_EQUITY_SEQUENTIAL_GROWTH","FQ3 2018","FQ3 2018","Currency=INR","Period=FQ","BEST_FPERIOD_OVERRIDE=FQ","FILING_STATUS=OR","EQY_CONSOLIDATED=Y","Sort=A","Dates=H","DateFormat=P","Fill=—","Direction=H","UseDPDF=Y")</f>
        <v>#NAME?</v>
      </c>
      <c r="BV476" s="2" t="e">
        <f ca="1">_xll.BDH($C$453,"TOTAL_CAPITAL_SEQUENTIAL_GROWTH","FQ3 2018","FQ3 2018","Currency=INR","Period=FQ","BEST_FPERIOD_OVERRIDE=FQ","FILING_STATUS=OR","EQY_CONSOLIDATED=Y","Sort=A","Dates=H","DateFormat=P","Fill=—","Direction=H","UseDPDF=Y")</f>
        <v>#NAME?</v>
      </c>
      <c r="BW476" s="2" t="e">
        <f ca="1">_xll.BDH($C$453,"BPS_SEQUENTIAL_GROWTH","FQ3 2018","FQ3 2018","Currency=INR","Period=FQ","BEST_FPERIOD_OVERRIDE=FQ","FILING_STATUS=OR","EQY_CONSOLIDATED=Y","Sort=A","Dates=H","DateFormat=P","Fill=—","Direction=H","UseDPDF=Y")</f>
        <v>#NAME?</v>
      </c>
      <c r="BX476" s="2" t="e">
        <f ca="1">_xll.BDH($C$453,"CFO_SEQUENTIAL_GROWTH","FQ3 2018","FQ3 2018","Currency=INR","Period=FQ","BEST_FPERIOD_OVERRIDE=FQ","FILING_STATUS=OR","EQY_CONSOLIDATED=Y","Sort=A","Dates=H","DateFormat=P","Fill=—","Direction=H","UseDPDF=Y")</f>
        <v>#NAME?</v>
      </c>
      <c r="BY476" s="3" t="e">
        <f ca="1">_xll.BDH($C$453,"SHORT_AND_LONG_TERM_DEBT","FQ3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476" s="3" t="e">
        <f ca="1">_xll.BDH($C$453,"BS_ST_BORROW","FQ3 2018","FQ3 2018","Currency=INR","Period=FQ","BEST_FPERIOD_OVERRIDE=FQ","FILING_STATUS=OR","EQY_CONSOLIDATED=Y","SCALING_FORMAT=MLN","Sort=A","Dates=H","DateFormat=P","Fill=—","Direction=H","UseDPDF=Y")</f>
        <v>#NAME?</v>
      </c>
      <c r="CA476" s="3" t="e">
        <f ca="1">_xll.BDH($C$453,"BS_LT_BORROW","FQ3 2018","FQ3 2018","Currency=INR","Period=FQ","BEST_FPERIOD_OVERRIDE=FQ","FILING_STATUS=OR","EQY_CONSOLIDATED=Y","SCALING_FORMAT=MLN","Sort=A","Dates=H","DateFormat=P","Fill=—","Direction=H","UseDPDF=Y")</f>
        <v>#NAME?</v>
      </c>
      <c r="CB476" s="2" t="e">
        <f ca="1">_xll.BDH($C$453,"TOT_DEBT_TO_EBITDA","FQ3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476" s="2" t="e">
        <f ca="1">_xll.BDH($C$453,"NET_DEBT_TO_EBITDA","FQ3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476" s="2" t="e">
        <f ca="1">_xll.BDH($C$453,"TOTAL_DEBT_TO_EBIT","FQ3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476" s="2" t="e">
        <f ca="1">_xll.BDH($C$453,"NET_DEBT_TO_EBIT","FQ3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476" s="2" t="e">
        <f ca="1">_xll.BDH($C$453,"EBITDA_TO_INTEREST_EXPN","FQ3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476" s="2" t="e">
        <f ca="1">_xll.BDH($C$453,"COM_EQY_TO_TOT_ASSET","FQ3 2018","FQ3 2018","Currency=INR","Period=FQ","BEST_FPERIOD_OVERRIDE=FQ","FILING_STATUS=OR","EQY_CONSOLIDATED=Y","Sort=A","Dates=H","DateFormat=P","Fill=—","Direction=H","UseDPDF=Y")</f>
        <v>#NAME?</v>
      </c>
      <c r="CH476" s="2" t="e">
        <f ca="1">_xll.BDH($C$453,"LT_DEBT_TO_TOT_EQY","FQ3 2018","FQ3 2018","Currency=INR","Period=FQ","BEST_FPERIOD_OVERRIDE=FQ","FILING_STATUS=OR","EQY_CONSOLIDATED=Y","Sort=A","Dates=H","DateFormat=P","Fill=—","Direction=H","UseDPDF=Y")</f>
        <v>#NAME?</v>
      </c>
      <c r="CI476" s="2" t="e">
        <f ca="1">_xll.BDH($C$453,"LT_DEBT_TO_TOT_CAP","FQ3 2018","FQ3 2018","Currency=INR","Period=FQ","BEST_FPERIOD_OVERRIDE=FQ","FILING_STATUS=OR","EQY_CONSOLIDATED=Y","Sort=A","Dates=H","DateFormat=P","Fill=—","Direction=H","UseDPDF=Y")</f>
        <v>#NAME?</v>
      </c>
      <c r="CJ476" s="2" t="e">
        <f ca="1">_xll.BDH($C$453,"LT_DEBT_TO_TOT_ASSET","FQ3 2018","FQ3 2018","Currency=INR","Period=FQ","BEST_FPERIOD_OVERRIDE=FQ","FILING_STATUS=OR","EQY_CONSOLIDATED=Y","Sort=A","Dates=H","DateFormat=P","Fill=—","Direction=H","UseDPDF=Y")</f>
        <v>#NAME?</v>
      </c>
      <c r="CK476" s="2" t="e">
        <f ca="1">_xll.BDH($C$453,"TOT_DEBT_TO_TOT_EQY","FQ3 2018","FQ3 2018","Currency=INR","Period=FQ","BEST_FPERIOD_OVERRIDE=FQ","FILING_STATUS=OR","EQY_CONSOLIDATED=Y","Sort=A","Dates=H","DateFormat=P","Fill=—","Direction=H","UseDPDF=Y")</f>
        <v>#NAME?</v>
      </c>
      <c r="CL476" s="2" t="e">
        <f ca="1">_xll.BDH($C$453,"TOT_DEBT_TO_TOT_CAP","FQ3 2018","FQ3 2018","Currency=INR","Period=FQ","BEST_FPERIOD_OVERRIDE=FQ","FILING_STATUS=OR","EQY_CONSOLIDATED=Y","Sort=A","Dates=H","DateFormat=P","Fill=—","Direction=H","UseDPDF=Y")</f>
        <v>#NAME?</v>
      </c>
      <c r="CM476" s="2" t="e">
        <f ca="1">_xll.BDH($C$453,"TOT_DEBT_TO_TOT_ASSET","FQ3 2018","FQ3 2018","Currency=INR","Period=FQ","BEST_FPERIOD_OVERRIDE=FQ","FILING_STATUS=OR","EQY_CONSOLIDATED=Y","Sort=A","Dates=H","DateFormat=P","Fill=—","Direction=H","UseDPDF=Y")</f>
        <v>#NAME?</v>
      </c>
      <c r="CN476" s="2" t="e">
        <f ca="1">_xll.BDH($C$453,"NET_DEBT_TO_SHRHLDR_EQTY","FQ3 2018","FQ3 2018","Currency=INR","Period=FQ","BEST_FPERIOD_OVERRIDE=FQ","FILING_STATUS=OR","EQY_CONSOLIDATED=Y","Sort=A","Dates=H","DateFormat=P","Fill=—","Direction=H","UseDPDF=Y")</f>
        <v>#NAME?</v>
      </c>
      <c r="CO476" s="2" t="e">
        <f ca="1">_xll.BDH($C$453,"NET_DEBT_%_CAPITAL","FQ3 2018","FQ3 2018","Currency=INR","Period=FQ","BEST_FPERIOD_OVERRIDE=FQ","FILING_STATUS=OR","EQY_CONSOLIDATED=Y","Sort=A","Dates=H","DateFormat=P","Fill=—","Direction=H","UseDPDF=Y")</f>
        <v>#NAME?</v>
      </c>
      <c r="CP476" s="3" t="e">
        <f ca="1">_xll.BDH($C$453,"EBITDA","FQ3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476" s="3" t="e">
        <f ca="1">_xll.BDH($C$453,"EBITDA_AFTER_CAPEX","FQ3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476" s="3" t="e">
        <f ca="1">_xll.BDH($C$453,"IS_OPER_INC","FQ3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476" s="2" t="e">
        <f ca="1">_xll.BDH($C$453,"CASH_RATIO","FQ3 2018","FQ3 2018","Currency=INR","Period=FQ","BEST_FPERIOD_OVERRIDE=FQ","FILING_STATUS=OR","EQY_CONSOLIDATED=Y","Sort=A","Dates=H","DateFormat=P","Fill=—","Direction=H","UseDPDF=Y")</f>
        <v>#NAME?</v>
      </c>
      <c r="CT476" s="2" t="e">
        <f ca="1">_xll.BDH($C$453,"CUR_RATIO","FQ3 2018","FQ3 2018","Currency=INR","Period=FQ","BEST_FPERIOD_OVERRIDE=FQ","FILING_STATUS=OR","EQY_CONSOLIDATED=Y","Sort=A","Dates=H","DateFormat=P","Fill=—","Direction=H","UseDPDF=Y")</f>
        <v>#NAME?</v>
      </c>
      <c r="CU476" s="2" t="e">
        <f ca="1">_xll.BDH($C$453,"QUICK_RATIO","FQ3 2018","FQ3 2018","Currency=INR","Period=FQ","BEST_FPERIOD_OVERRIDE=FQ","FILING_STATUS=OR","EQY_CONSOLIDATED=Y","Sort=A","Dates=H","DateFormat=P","Fill=—","Direction=H","UseDPDF=Y")</f>
        <v>#NAME?</v>
      </c>
      <c r="CV476" s="2" t="e">
        <f ca="1">_xll.BDH($C$453,"ALTMAN_Z_SCORE","FQ3 2018","FQ3 2018","Currency=INR","Period=FQ","BEST_FPERIOD_OVERRIDE=FQ","FILING_STATUS=OR","EQY_CONSOLIDATED=Y","Sort=A","Dates=H","DateFormat=P","Fill=—","Direction=H","UseDPDF=Y")</f>
        <v>#NAME?</v>
      </c>
      <c r="CW476" s="4" t="e">
        <f ca="1">_xll.BDH($C$453,"ACCT_RCV_TURN","FQ3 2018","FQ3 2018","Currency=INR","Period=FQ","BEST_FPERIOD_OVERRIDE=FQ","FILING_STATUS=OR","EQY_CONSOLIDATED=Y","FA_ADJUSTED=GAAP","Sort=A","Dates=H","DateFormat=P","Fill=—","Direction=H","UseDPDF=Y")</f>
        <v>#NAME?</v>
      </c>
      <c r="CX476" s="2" t="e">
        <f ca="1">_xll.BDH($C$453,"ACCT_RCV_DAYS","FQ3 2018","FQ3 2018","Currency=INR","Period=FQ","BEST_FPERIOD_OVERRIDE=FQ","FILING_STATUS=OR","EQY_CONSOLIDATED=Y","FA_ADJUSTED=GAAP","Sort=A","Dates=H","DateFormat=P","Fill=—","Direction=H","UseDPDF=Y")</f>
        <v>#NAME?</v>
      </c>
      <c r="CY476" s="4" t="e">
        <f ca="1">_xll.BDH($C$453,"INVENT_TURN","FQ3 2018","FQ3 2018","Currency=INR","Period=FQ","BEST_FPERIOD_OVERRIDE=FQ","FILING_STATUS=OR","EQY_CONSOLIDATED=Y","FA_ADJUSTED=GAAP","Sort=A","Dates=H","DateFormat=P","Fill=—","Direction=H","UseDPDF=Y")</f>
        <v>#NAME?</v>
      </c>
      <c r="CZ476" s="2" t="e">
        <f ca="1">_xll.BDH($C$453,"INVENT_DAYS","FQ3 2018","FQ3 2018","Currency=INR","Period=FQ","BEST_FPERIOD_OVERRIDE=FQ","FILING_STATUS=OR","EQY_CONSOLIDATED=Y","FA_ADJUSTED=GAAP","Sort=A","Dates=H","DateFormat=P","Fill=—","Direction=H","UseDPDF=Y")</f>
        <v>#NAME?</v>
      </c>
      <c r="DA476" s="4" t="e">
        <f ca="1">_xll.BDH($C$453,"ACCOUNTS_PAYABLE_TURNOVER","FQ3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476" s="2" t="e">
        <f ca="1">_xll.BDH($C$453,"ACCOUNTS_PAYABLE_TURNOVER_DAYS","FQ3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476" s="4" t="e">
        <f ca="1">_xll.BDH($C$453,"CASH_CONVERSION_CYCLE","FQ3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476" s="4" t="e">
        <f ca="1">_xll.BDH($C$453,"INV_TO_CASH_DAYS","FQ3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476" s="5" t="e">
        <f ca="1">_xll.BDH($C$453,"BS_INVENTORIES","FQ3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476" s="3" t="e">
        <f ca="1">_xll.BDH($C$453,"INVTRY_RAW_MATERIALS","FQ3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476" s="3" t="e">
        <f ca="1">_xll.BDH($C$453,"INVTRY_IN_PROGRESS","FQ3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476" s="3" t="e">
        <f ca="1">_xll.BDH($C$453,"INVTRY_FINISHED_GOODS","FQ3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476" s="3" t="e">
        <f ca="1">_xll.BDH($C$453,"BS_OTHER_INV","FQ3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477" spans="1:113" x14ac:dyDescent="0.3">
      <c r="A477" s="6"/>
      <c r="B477" s="6"/>
      <c r="C477" s="6"/>
      <c r="D477" s="6"/>
      <c r="E477" t="s">
        <v>81</v>
      </c>
      <c r="F477" t="e">
        <f ca="1">_xll.BDH($C$453,"RETURN_COM_EQY","FQ4 2018","FQ4 2018","Currency=INR","Period=FQ","BEST_FPERIOD_OVERRIDE=FQ","FILING_STATUS=OR","EQY_CONSOLIDATED=Y","FA_ADJUSTED=GAAP","Sort=A","Dates=H","DateFormat=P","Fill=—","Direction=H","UseDPDF=Y")</f>
        <v>#NAME?</v>
      </c>
      <c r="G477" t="e">
        <f ca="1">_xll.BDH($C$453,"RETURN_ON_ASSET","FQ4 2018","FQ4 2018","Currency=INR","Period=FQ","BEST_FPERIOD_OVERRIDE=FQ","FILING_STATUS=OR","EQY_CONSOLIDATED=Y","FA_ADJUSTED=GAAP","Sort=A","Dates=H","DateFormat=P","Fill=—","Direction=H","UseDPDF=Y")</f>
        <v>#NAME?</v>
      </c>
      <c r="H477" t="e">
        <f ca="1">_xll.BDH($C$453,"RETURN_ON_CAP","FQ4 2018","FQ4 2018","Currency=INR","Period=FQ","BEST_FPERIOD_OVERRIDE=FQ","FILING_STATUS=OR","EQY_CONSOLIDATED=Y","FA_ADJUSTED=GAAP","Sort=A","Dates=H","DateFormat=P","Fill=—","Direction=H","UseDPDF=Y")</f>
        <v>#NAME?</v>
      </c>
      <c r="I477" t="e">
        <f ca="1">_xll.BDH($C$453,"RETURN_ON_INV_CAPITAL","FQ4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477" t="e">
        <f ca="1">_xll.BDH($C$453,"EBITDA_TO_REVENUE","FQ4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477" t="e">
        <f ca="1">_xll.BDH($C$453,"OPER_MARGIN","FQ4 2018","FQ4 2018","Currency=INR","Period=FQ","BEST_FPERIOD_OVERRIDE=FQ","FILING_STATUS=OR","EQY_CONSOLIDATED=Y","FA_ADJUSTED=GAAP","Sort=A","Dates=H","DateFormat=P","Fill=—","Direction=H","UseDPDF=Y")</f>
        <v>#NAME?</v>
      </c>
      <c r="L477" t="e">
        <f ca="1">_xll.BDH($C$453,"INCREMENTAL_OPERATING_MARGIN","FQ4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477" t="e">
        <f ca="1">_xll.BDH($C$453,"PRETAX_INC_TO_NET_SALES","FQ4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477" t="e">
        <f ca="1">_xll.BDH($C$453,"INC_BEF_XO_ITEMS_TO_NET_SALES","FQ4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477" t="e">
        <f ca="1">_xll.BDH($C$453,"PROF_MARGIN","FQ4 2018","FQ4 2018","Currency=INR","Period=FQ","BEST_FPERIOD_OVERRIDE=FQ","FILING_STATUS=OR","EQY_CONSOLIDATED=Y","FA_ADJUSTED=GAAP","Sort=A","Dates=H","DateFormat=P","Fill=—","Direction=H","UseDPDF=Y")</f>
        <v>#NAME?</v>
      </c>
      <c r="P477" t="e">
        <f ca="1">_xll.BDH($C$453,"NET_INCOME_TO_COMMON_MARGIN","FQ4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477" t="e">
        <f ca="1">_xll.BDH($C$453,"EFF_TAX_RATE","FQ4 2018","FQ4 2018","Currency=INR","Period=FQ","BEST_FPERIOD_OVERRIDE=FQ","FILING_STATUS=OR","EQY_CONSOLIDATED=Y","FA_ADJUSTED=GAAP","Sort=A","Dates=H","DateFormat=P","Fill=—","Direction=H","UseDPDF=Y")</f>
        <v>#NAME?</v>
      </c>
      <c r="R477" t="e">
        <f ca="1">_xll.BDH($C$453,"DVD_PAYOUT_RATIO","FQ4 2018","FQ4 2018","Currency=INR","Period=FQ","BEST_FPERIOD_OVERRIDE=FQ","FILING_STATUS=OR","EQY_CONSOLIDATED=Y","FA_ADJUSTED=GAAP","Sort=A","Dates=H","DateFormat=P","Fill=—","Direction=H","UseDPDF=Y")</f>
        <v>#NAME?</v>
      </c>
      <c r="S477" t="e">
        <f ca="1">_xll.BDH($C$453,"SUSTAIN_GROWTH_RT","FQ4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477" s="2" t="e">
        <f ca="1">_xll.BDH($C$453,"SALES_GROWTH","FQ4 2018","FQ4 2018","Currency=INR","Period=FQ","BEST_FPERIOD_OVERRIDE=FQ","FILING_STATUS=OR","EQY_CONSOLIDATED=Y","FA_ADJUSTED=GAAP","Sort=A","Dates=H","DateFormat=P","Fill=—","Direction=H","UseDPDF=Y")</f>
        <v>#NAME?</v>
      </c>
      <c r="U477" s="2" t="e">
        <f ca="1">_xll.BDH($C$453,"EBITDA_GROWTH","FQ4 2018","FQ4 2018","Currency=INR","Period=FQ","BEST_FPERIOD_OVERRIDE=FQ","FILING_STATUS=OR","EQY_CONSOLIDATED=Y","FA_ADJUSTED=GAAP","Sort=A","Dates=H","DateFormat=P","Fill=—","Direction=H","UseDPDF=Y")</f>
        <v>#NAME?</v>
      </c>
      <c r="V477" s="2" t="e">
        <f ca="1">_xll.BDH($C$453,"OPER_INC_GROWTH","FQ4 2018","FQ4 2018","Currency=INR","Period=FQ","BEST_FPERIOD_OVERRIDE=FQ","FILING_STATUS=OR","EQY_CONSOLIDATED=Y","FA_ADJUSTED=GAAP","Sort=A","Dates=H","DateFormat=P","Fill=—","Direction=H","UseDPDF=Y")</f>
        <v>#NAME?</v>
      </c>
      <c r="W477" s="2" t="e">
        <f ca="1">_xll.BDH($C$453,"EARN_FOR_COM_GROWTH","FQ4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477" s="2" t="e">
        <f ca="1">_xll.BDH($C$453,"DILUTED_EPS_AFT_XO_ITEMS_GROWTH","FQ4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477" s="2" t="e">
        <f ca="1">_xll.BDH($C$453,"DIVIDEND_PER_SHARE_1_YEAR_GROWTH","FQ4 2018","FQ4 2018","Currency=INR","Period=FQ","BEST_FPERIOD_OVERRIDE=FQ","FILING_STATUS=OR","EQY_CONSOLIDATED=Y","Sort=A","Dates=H","DateFormat=P","Fill=—","Direction=H","UseDPDF=Y")</f>
        <v>#NAME?</v>
      </c>
      <c r="Z477" s="2" t="e">
        <f ca="1">_xll.BDH($C$453,"ACCOUNTS_RECEIVABLE_GROWTH","FQ4 2018","FQ4 2018","Currency=INR","Period=FQ","BEST_FPERIOD_OVERRIDE=FQ","FILING_STATUS=OR","EQY_CONSOLIDATED=Y","Sort=A","Dates=H","DateFormat=P","Fill=—","Direction=H","UseDPDF=Y")</f>
        <v>#NAME?</v>
      </c>
      <c r="AA477" s="2" t="e">
        <f ca="1">_xll.BDH($C$453,"INVENTORY_GROWTH","FQ4 2018","FQ4 2018","Currency=INR","Period=FQ","BEST_FPERIOD_OVERRIDE=FQ","FILING_STATUS=OR","EQY_CONSOLIDATED=Y","Sort=A","Dates=H","DateFormat=P","Fill=—","Direction=H","UseDPDF=Y")</f>
        <v>#NAME?</v>
      </c>
      <c r="AB477" s="2" t="e">
        <f ca="1">_xll.BDH($C$453,"NET_FIXED_ASSETS_1_YEAR_GROWTH","FQ4 2018","FQ4 2018","Currency=INR","Period=FQ","BEST_FPERIOD_OVERRIDE=FQ","FILING_STATUS=OR","EQY_CONSOLIDATED=Y","Sort=A","Dates=H","DateFormat=P","Fill=—","Direction=H","UseDPDF=Y")</f>
        <v>#NAME?</v>
      </c>
      <c r="AC477" s="2" t="e">
        <f ca="1">_xll.BDH($C$453,"ASSET_GROWTH","FQ4 2018","FQ4 2018","Currency=INR","Period=FQ","BEST_FPERIOD_OVERRIDE=FQ","FILING_STATUS=OR","EQY_CONSOLIDATED=Y","Sort=A","Dates=H","DateFormat=P","Fill=—","Direction=H","UseDPDF=Y")</f>
        <v>#NAME?</v>
      </c>
      <c r="AD477" s="2" t="e">
        <f ca="1">_xll.BDH($C$453,"MODIFIED_WORK_CAP_GROWTH","FQ4 2018","FQ4 2018","Currency=INR","Period=FQ","BEST_FPERIOD_OVERRIDE=FQ","FILING_STATUS=OR","EQY_CONSOLIDATED=Y","Sort=A","Dates=H","DateFormat=P","Fill=—","Direction=H","UseDPDF=Y")</f>
        <v>#NAME?</v>
      </c>
      <c r="AE477" s="2" t="e">
        <f ca="1">_xll.BDH($C$453,"WORK_CAP_GROWTH","FQ4 2018","FQ4 2018","Currency=INR","Period=FQ","BEST_FPERIOD_OVERRIDE=FQ","FILING_STATUS=OR","EQY_CONSOLIDATED=Y","Sort=A","Dates=H","DateFormat=P","Fill=—","Direction=H","UseDPDF=Y")</f>
        <v>#NAME?</v>
      </c>
      <c r="AF477" s="2" t="e">
        <f ca="1">_xll.BDH($C$453,"ACCOUNTS_PAYABLE_GROWTH_1YR","FQ4 2018","FQ4 2018","Currency=INR","Period=FQ","BEST_FPERIOD_OVERRIDE=FQ","FILING_STATUS=OR","EQY_CONSOLIDATED=Y","Sort=A","Dates=H","DateFormat=P","Fill=—","Direction=H","UseDPDF=Y")</f>
        <v>#NAME?</v>
      </c>
      <c r="AG477" s="2" t="e">
        <f ca="1">_xll.BDH($C$453,"SHORT_TERM_DEBT_1_YEAR_GROWTH","FQ4 2018","FQ4 2018","Currency=INR","Period=FQ","BEST_FPERIOD_OVERRIDE=FQ","FILING_STATUS=OR","EQY_CONSOLIDATED=Y","Sort=A","Dates=H","DateFormat=P","Fill=—","Direction=H","UseDPDF=Y")</f>
        <v>#NAME?</v>
      </c>
      <c r="AH477" s="2" t="e">
        <f ca="1">_xll.BDH($C$453,"TOTAL_DEBT_1_YEAR_GROWTH","FQ4 2018","FQ4 2018","Currency=INR","Period=FQ","BEST_FPERIOD_OVERRIDE=FQ","FILING_STATUS=OR","EQY_CONSOLIDATED=Y","Sort=A","Dates=H","DateFormat=P","Fill=—","Direction=H","UseDPDF=Y")</f>
        <v>#NAME?</v>
      </c>
      <c r="AI477" s="2" t="e">
        <f ca="1">_xll.BDH($C$453,"TOTAL_EQUITY_1_YEAR_GROWTH","FQ4 2018","FQ4 2018","Currency=INR","Period=FQ","BEST_FPERIOD_OVERRIDE=FQ","FILING_STATUS=OR","EQY_CONSOLIDATED=Y","Sort=A","Dates=H","DateFormat=P","Fill=—","Direction=H","UseDPDF=Y")</f>
        <v>#NAME?</v>
      </c>
      <c r="AJ477" s="2" t="e">
        <f ca="1">_xll.BDH($C$453,"GROWTH_IN_CAP","FQ4 2018","FQ4 2018","Currency=INR","Period=FQ","BEST_FPERIOD_OVERRIDE=FQ","FILING_STATUS=OR","EQY_CONSOLIDATED=Y","Sort=A","Dates=H","DateFormat=P","Fill=—","Direction=H","UseDPDF=Y")</f>
        <v>#NAME?</v>
      </c>
      <c r="AK477" s="2" t="e">
        <f ca="1">_xll.BDH($C$453,"BVPS_GROWTH","FQ4 2018","FQ4 2018","Currency=INR","Period=FQ","BEST_FPERIOD_OVERRIDE=FQ","FILING_STATUS=OR","EQY_CONSOLIDATED=Y","Sort=A","Dates=H","DateFormat=P","Fill=—","Direction=H","UseDPDF=Y")</f>
        <v>#NAME?</v>
      </c>
      <c r="AL477" s="2" t="e">
        <f ca="1">_xll.BDH($C$453,"CASH_FLOW_GROWTH","FQ4 2018","FQ4 2018","Currency=INR","Period=FQ","BEST_FPERIOD_OVERRIDE=FQ","FILING_STATUS=OR","EQY_CONSOLIDATED=Y","Sort=A","Dates=H","DateFormat=P","Fill=—","Direction=H","UseDPDF=Y")</f>
        <v>#NAME?</v>
      </c>
      <c r="AM477" s="2" t="e">
        <f ca="1">_xll.BDH($C$453,"GEO_GROW_NET_SALES","FQ4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477" s="2" t="e">
        <f ca="1">_xll.BDH($C$453,"GEO_GROW_EBITDA","FQ4 2018","FQ4 2018","Currency=INR","Period=FQ","BEST_FPERIOD_OVERRIDE=FQ","FILING_STATUS=OR","EQY_CONSOLIDATED=Y","FA_ADJUSTED=GAAP","Sort=A","Dates=H","DateFormat=P","Fill=—","Direction=H","UseDPDF=Y")</f>
        <v>#NAME?</v>
      </c>
      <c r="AO477" s="2" t="e">
        <f ca="1">_xll.BDH($C$453,"GEO_GROW_OPER_INC","FQ4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477" s="2" t="e">
        <f ca="1">_xll.BDH($C$453,"NET_INCOME_TO_COMMON_5_YR_GROWTH","FQ4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477" s="2" t="e">
        <f ca="1">_xll.BDH($C$453,"5Y_GEO_GROWTH_DILUTED_EPS","FQ4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477" s="2" t="e">
        <f ca="1">_xll.BDH($C$453,"GEO_GROW_DVD_PER_SH","FQ4 2018","FQ4 2018","Currency=INR","Period=FQ","BEST_FPERIOD_OVERRIDE=FQ","FILING_STATUS=OR","EQY_CONSOLIDATED=Y","Sort=A","Dates=H","DateFormat=P","Fill=—","Direction=H","UseDPDF=Y")</f>
        <v>#NAME?</v>
      </c>
      <c r="AS477" s="2" t="e">
        <f ca="1">_xll.BDH($C$453,"ACCOUNTS_RECEIVABLE_5_YR_GROWTH","FQ4 2018","FQ4 2018","Currency=INR","Period=FQ","BEST_FPERIOD_OVERRIDE=FQ","FILING_STATUS=OR","EQY_CONSOLIDATED=Y","Sort=A","Dates=H","DateFormat=P","Fill=—","Direction=H","UseDPDF=Y")</f>
        <v>#NAME?</v>
      </c>
      <c r="AT477" s="2" t="e">
        <f ca="1">_xll.BDH($C$453,"INVENTORY_5_YEAR_GROWTH","FQ4 2018","FQ4 2018","Currency=INR","Period=FQ","BEST_FPERIOD_OVERRIDE=FQ","FILING_STATUS=OR","EQY_CONSOLIDATED=Y","Sort=A","Dates=H","DateFormat=P","Fill=—","Direction=H","UseDPDF=Y")</f>
        <v>#NAME?</v>
      </c>
      <c r="AU477" s="2" t="e">
        <f ca="1">_xll.BDH($C$453,"NET_FIXED_ASSETS_5_YEAR_GROWTH","FQ4 2018","FQ4 2018","Currency=INR","Period=FQ","BEST_FPERIOD_OVERRIDE=FQ","FILING_STATUS=OR","EQY_CONSOLIDATED=Y","Sort=A","Dates=H","DateFormat=P","Fill=—","Direction=H","UseDPDF=Y")</f>
        <v>#NAME?</v>
      </c>
      <c r="AV477" s="2" t="e">
        <f ca="1">_xll.BDH($C$453,"GEO_GROW_TOT_ASSET","FQ4 2018","FQ4 2018","Currency=INR","Period=FQ","BEST_FPERIOD_OVERRIDE=FQ","FILING_STATUS=OR","EQY_CONSOLIDATED=Y","Sort=A","Dates=H","DateFormat=P","Fill=—","Direction=H","UseDPDF=Y")</f>
        <v>#NAME?</v>
      </c>
      <c r="AW477" s="2" t="e">
        <f ca="1">_xll.BDH($C$453,"MODIFIED_WORKING_CPTL_5YR_GRWTH","FQ4 2018","FQ4 2018","Currency=INR","Period=FQ","BEST_FPERIOD_OVERRIDE=FQ","FILING_STATUS=OR","EQY_CONSOLIDATED=Y","Sort=A","Dates=H","DateFormat=P","Fill=—","Direction=H","UseDPDF=Y")</f>
        <v>#NAME?</v>
      </c>
      <c r="AX477" s="2" t="e">
        <f ca="1">_xll.BDH($C$453,"WORKING_CAPITAL_5_YEAR_GROWTH","FQ4 2018","FQ4 2018","Currency=INR","Period=FQ","BEST_FPERIOD_OVERRIDE=FQ","FILING_STATUS=OR","EQY_CONSOLIDATED=Y","Sort=A","Dates=H","DateFormat=P","Fill=—","Direction=H","UseDPDF=Y")</f>
        <v>#NAME?</v>
      </c>
      <c r="AY477" s="2" t="e">
        <f ca="1">_xll.BDH($C$453,"ACCOUNTS_PAYABLE_5_YEAR_GROWTH","FQ4 2018","FQ4 2018","Currency=INR","Period=FQ","BEST_FPERIOD_OVERRIDE=FQ","FILING_STATUS=OR","EQY_CONSOLIDATED=Y","Sort=A","Dates=H","DateFormat=P","Fill=—","Direction=H","UseDPDF=Y")</f>
        <v>#NAME?</v>
      </c>
      <c r="AZ477" s="2" t="e">
        <f ca="1">_xll.BDH($C$453,"SHORT_TERM_DEBT_5_YEAR_GROWTH","FQ4 2018","FQ4 2018","Currency=INR","Period=FQ","BEST_FPERIOD_OVERRIDE=FQ","FILING_STATUS=OR","EQY_CONSOLIDATED=Y","Sort=A","Dates=H","DateFormat=P","Fill=—","Direction=H","UseDPDF=Y")</f>
        <v>#NAME?</v>
      </c>
      <c r="BA477" s="2" t="e">
        <f ca="1">_xll.BDH($C$453,"TOTAL_DEBT_5_YEAR_GROWTH","FQ4 2018","FQ4 2018","Currency=INR","Period=FQ","BEST_FPERIOD_OVERRIDE=FQ","FILING_STATUS=OR","EQY_CONSOLIDATED=Y","Sort=A","Dates=H","DateFormat=P","Fill=—","Direction=H","UseDPDF=Y")</f>
        <v>#NAME?</v>
      </c>
      <c r="BB477" s="2" t="e">
        <f ca="1">_xll.BDH($C$453,"GEO_GROW_TOT_SHRHLDR_EQY","FQ4 2018","FQ4 2018","Currency=INR","Period=FQ","BEST_FPERIOD_OVERRIDE=FQ","FILING_STATUS=OR","EQY_CONSOLIDATED=Y","Sort=A","Dates=H","DateFormat=P","Fill=—","Direction=H","UseDPDF=Y")</f>
        <v>#NAME?</v>
      </c>
      <c r="BC477" s="2" t="e">
        <f ca="1">_xll.BDH($C$453,"TOTAL_CAPITAL_5_YEAR_GROWTH","FQ4 2018","FQ4 2018","Currency=INR","Period=FQ","BEST_FPERIOD_OVERRIDE=FQ","FILING_STATUS=OR","EQY_CONSOLIDATED=Y","Sort=A","Dates=H","DateFormat=P","Fill=—","Direction=H","UseDPDF=Y")</f>
        <v>#NAME?</v>
      </c>
      <c r="BD477" s="2" t="e">
        <f ca="1">_xll.BDH($C$453,"GEO_GROW_BOOK_VAL","FQ4 2018","FQ4 2018","Currency=INR","Period=FQ","BEST_FPERIOD_OVERRIDE=FQ","FILING_STATUS=OR","EQY_CONSOLIDATED=Y","Sort=A","Dates=H","DateFormat=P","Fill=—","Direction=H","UseDPDF=Y")</f>
        <v>#NAME?</v>
      </c>
      <c r="BE477" s="2" t="e">
        <f ca="1">_xll.BDH($C$453,"GEO_GROW_CASH_OPER_ACT","FQ4 2018","FQ4 2018","Currency=INR","Period=FQ","BEST_FPERIOD_OVERRIDE=FQ","FILING_STATUS=OR","EQY_CONSOLIDATED=Y","Sort=A","Dates=H","DateFormat=P","Fill=—","Direction=H","UseDPDF=Y")</f>
        <v>#NAME?</v>
      </c>
      <c r="BF477" s="2" t="e">
        <f ca="1">_xll.BDH($C$453,"REVENUE_SEQUENTIAL_GROWTH","FQ4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477" s="2" t="e">
        <f ca="1">_xll.BDH($C$453,"EBITDA_SEQUENTIAL_GROWTH","FQ4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477" s="2" t="e">
        <f ca="1">_xll.BDH($C$453,"OPERATING_INCOME_SEQ_GROWTH","FQ4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477" s="2" t="e">
        <f ca="1">_xll.BDH($C$453,"NET_INCOME_TO_COMMON_SEQ_GROWTH","FQ4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477" s="2" t="e">
        <f ca="1">_xll.BDH($C$453,"EPS_DILUTED_SEQUENTIAL_GROWTH","FQ4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477" s="2" t="e">
        <f ca="1">_xll.BDH($C$453,"DPS_SEQUENTIAL_GROWTH","FQ4 2018","FQ4 2018","Currency=INR","Period=FQ","BEST_FPERIOD_OVERRIDE=FQ","FILING_STATUS=OR","EQY_CONSOLIDATED=Y","Sort=A","Dates=H","DateFormat=P","Fill=—","Direction=H","UseDPDF=Y")</f>
        <v>#NAME?</v>
      </c>
      <c r="BL477" s="2" t="e">
        <f ca="1">_xll.BDH($C$453,"ACCOUNTS_RECEIVABLE_SEQ_GROWTH","FQ4 2018","FQ4 2018","Currency=INR","Period=FQ","BEST_FPERIOD_OVERRIDE=FQ","FILING_STATUS=OR","EQY_CONSOLIDATED=Y","Sort=A","Dates=H","DateFormat=P","Fill=—","Direction=H","UseDPDF=Y")</f>
        <v>#NAME?</v>
      </c>
      <c r="BM477" s="2" t="e">
        <f ca="1">_xll.BDH($C$453,"INVENTORY_SEQUENTIAL_GROWTH","FQ4 2018","FQ4 2018","Currency=INR","Period=FQ","BEST_FPERIOD_OVERRIDE=FQ","FILING_STATUS=OR","EQY_CONSOLIDATED=Y","Sort=A","Dates=H","DateFormat=P","Fill=—","Direction=H","UseDPDF=Y")</f>
        <v>#NAME?</v>
      </c>
      <c r="BN477" s="2" t="e">
        <f ca="1">_xll.BDH($C$453,"FIXED_ASSETS_SEQUENTIAL_GROWTH","FQ4 2018","FQ4 2018","Currency=INR","Period=FQ","BEST_FPERIOD_OVERRIDE=FQ","FILING_STATUS=OR","EQY_CONSOLIDATED=Y","Sort=A","Dates=H","DateFormat=P","Fill=—","Direction=H","UseDPDF=Y")</f>
        <v>#NAME?</v>
      </c>
      <c r="BO477" s="2" t="e">
        <f ca="1">_xll.BDH($C$453,"TOTAL_ASSETS_SEQUENTIAL_GROWTH","FQ4 2018","FQ4 2018","Currency=INR","Period=FQ","BEST_FPERIOD_OVERRIDE=FQ","FILING_STATUS=OR","EQY_CONSOLIDATED=Y","Sort=A","Dates=H","DateFormat=P","Fill=—","Direction=H","UseDPDF=Y")</f>
        <v>#NAME?</v>
      </c>
      <c r="BP477" s="2" t="e">
        <f ca="1">_xll.BDH($C$453,"MODIFIED_WORKING_CPTL_SEQ_GRWTH","FQ4 2018","FQ4 2018","Currency=INR","Period=FQ","BEST_FPERIOD_OVERRIDE=FQ","FILING_STATUS=OR","EQY_CONSOLIDATED=Y","Sort=A","Dates=H","DateFormat=P","Fill=—","Direction=H","UseDPDF=Y")</f>
        <v>#NAME?</v>
      </c>
      <c r="BQ477" s="2" t="e">
        <f ca="1">_xll.BDH($C$453,"WORKING_CAPITAL_SEQ_GROWTH","FQ4 2018","FQ4 2018","Currency=INR","Period=FQ","BEST_FPERIOD_OVERRIDE=FQ","FILING_STATUS=OR","EQY_CONSOLIDATED=Y","Sort=A","Dates=H","DateFormat=P","Fill=—","Direction=H","UseDPDF=Y")</f>
        <v>#NAME?</v>
      </c>
      <c r="BR477" s="2" t="e">
        <f ca="1">_xll.BDH($C$453,"ACCOUNTS_PAYABLE_SEQ_GROWTH","FQ4 2018","FQ4 2018","Currency=INR","Period=FQ","BEST_FPERIOD_OVERRIDE=FQ","FILING_STATUS=OR","EQY_CONSOLIDATED=Y","Sort=A","Dates=H","DateFormat=P","Fill=—","Direction=H","UseDPDF=Y")</f>
        <v>#NAME?</v>
      </c>
      <c r="BS477" s="2" t="e">
        <f ca="1">_xll.BDH($C$453,"ST_DEBT_SEQUENTIAL_GROWTH","FQ4 2018","FQ4 2018","Currency=INR","Period=FQ","BEST_FPERIOD_OVERRIDE=FQ","FILING_STATUS=OR","EQY_CONSOLIDATED=Y","Sort=A","Dates=H","DateFormat=P","Fill=—","Direction=H","UseDPDF=Y")</f>
        <v>#NAME?</v>
      </c>
      <c r="BT477" s="2" t="e">
        <f ca="1">_xll.BDH($C$453,"TOTAL_DEBT_SEQUENTIAL_GROWTH","FQ4 2018","FQ4 2018","Currency=INR","Period=FQ","BEST_FPERIOD_OVERRIDE=FQ","FILING_STATUS=OR","EQY_CONSOLIDATED=Y","Sort=A","Dates=H","DateFormat=P","Fill=—","Direction=H","UseDPDF=Y")</f>
        <v>#NAME?</v>
      </c>
      <c r="BU477" s="2" t="e">
        <f ca="1">_xll.BDH($C$453,"TOTAL_EQUITY_SEQUENTIAL_GROWTH","FQ4 2018","FQ4 2018","Currency=INR","Period=FQ","BEST_FPERIOD_OVERRIDE=FQ","FILING_STATUS=OR","EQY_CONSOLIDATED=Y","Sort=A","Dates=H","DateFormat=P","Fill=—","Direction=H","UseDPDF=Y")</f>
        <v>#NAME?</v>
      </c>
      <c r="BV477" s="2" t="e">
        <f ca="1">_xll.BDH($C$453,"TOTAL_CAPITAL_SEQUENTIAL_GROWTH","FQ4 2018","FQ4 2018","Currency=INR","Period=FQ","BEST_FPERIOD_OVERRIDE=FQ","FILING_STATUS=OR","EQY_CONSOLIDATED=Y","Sort=A","Dates=H","DateFormat=P","Fill=—","Direction=H","UseDPDF=Y")</f>
        <v>#NAME?</v>
      </c>
      <c r="BW477" s="2" t="e">
        <f ca="1">_xll.BDH($C$453,"BPS_SEQUENTIAL_GROWTH","FQ4 2018","FQ4 2018","Currency=INR","Period=FQ","BEST_FPERIOD_OVERRIDE=FQ","FILING_STATUS=OR","EQY_CONSOLIDATED=Y","Sort=A","Dates=H","DateFormat=P","Fill=—","Direction=H","UseDPDF=Y")</f>
        <v>#NAME?</v>
      </c>
      <c r="BX477" s="2" t="e">
        <f ca="1">_xll.BDH($C$453,"CFO_SEQUENTIAL_GROWTH","FQ4 2018","FQ4 2018","Currency=INR","Period=FQ","BEST_FPERIOD_OVERRIDE=FQ","FILING_STATUS=OR","EQY_CONSOLIDATED=Y","Sort=A","Dates=H","DateFormat=P","Fill=—","Direction=H","UseDPDF=Y")</f>
        <v>#NAME?</v>
      </c>
      <c r="BY477" s="3" t="e">
        <f ca="1">_xll.BDH($C$453,"SHORT_AND_LONG_TERM_DEBT","FQ4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477" s="3" t="e">
        <f ca="1">_xll.BDH($C$453,"BS_ST_BORROW","FQ4 2018","FQ4 2018","Currency=INR","Period=FQ","BEST_FPERIOD_OVERRIDE=FQ","FILING_STATUS=OR","EQY_CONSOLIDATED=Y","SCALING_FORMAT=MLN","Sort=A","Dates=H","DateFormat=P","Fill=—","Direction=H","UseDPDF=Y")</f>
        <v>#NAME?</v>
      </c>
      <c r="CA477" s="3" t="e">
        <f ca="1">_xll.BDH($C$453,"BS_LT_BORROW","FQ4 2018","FQ4 2018","Currency=INR","Period=FQ","BEST_FPERIOD_OVERRIDE=FQ","FILING_STATUS=OR","EQY_CONSOLIDATED=Y","SCALING_FORMAT=MLN","Sort=A","Dates=H","DateFormat=P","Fill=—","Direction=H","UseDPDF=Y")</f>
        <v>#NAME?</v>
      </c>
      <c r="CB477" s="2" t="e">
        <f ca="1">_xll.BDH($C$453,"TOT_DEBT_TO_EBITDA","FQ4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477" s="2" t="e">
        <f ca="1">_xll.BDH($C$453,"NET_DEBT_TO_EBITDA","FQ4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477" s="2" t="e">
        <f ca="1">_xll.BDH($C$453,"TOTAL_DEBT_TO_EBIT","FQ4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477" s="2" t="e">
        <f ca="1">_xll.BDH($C$453,"NET_DEBT_TO_EBIT","FQ4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477" s="2" t="e">
        <f ca="1">_xll.BDH($C$453,"EBITDA_TO_INTEREST_EXPN","FQ4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477" s="2" t="e">
        <f ca="1">_xll.BDH($C$453,"COM_EQY_TO_TOT_ASSET","FQ4 2018","FQ4 2018","Currency=INR","Period=FQ","BEST_FPERIOD_OVERRIDE=FQ","FILING_STATUS=OR","EQY_CONSOLIDATED=Y","Sort=A","Dates=H","DateFormat=P","Fill=—","Direction=H","UseDPDF=Y")</f>
        <v>#NAME?</v>
      </c>
      <c r="CH477" s="2" t="e">
        <f ca="1">_xll.BDH($C$453,"LT_DEBT_TO_TOT_EQY","FQ4 2018","FQ4 2018","Currency=INR","Period=FQ","BEST_FPERIOD_OVERRIDE=FQ","FILING_STATUS=OR","EQY_CONSOLIDATED=Y","Sort=A","Dates=H","DateFormat=P","Fill=—","Direction=H","UseDPDF=Y")</f>
        <v>#NAME?</v>
      </c>
      <c r="CI477" s="2" t="e">
        <f ca="1">_xll.BDH($C$453,"LT_DEBT_TO_TOT_CAP","FQ4 2018","FQ4 2018","Currency=INR","Period=FQ","BEST_FPERIOD_OVERRIDE=FQ","FILING_STATUS=OR","EQY_CONSOLIDATED=Y","Sort=A","Dates=H","DateFormat=P","Fill=—","Direction=H","UseDPDF=Y")</f>
        <v>#NAME?</v>
      </c>
      <c r="CJ477" s="2" t="e">
        <f ca="1">_xll.BDH($C$453,"LT_DEBT_TO_TOT_ASSET","FQ4 2018","FQ4 2018","Currency=INR","Period=FQ","BEST_FPERIOD_OVERRIDE=FQ","FILING_STATUS=OR","EQY_CONSOLIDATED=Y","Sort=A","Dates=H","DateFormat=P","Fill=—","Direction=H","UseDPDF=Y")</f>
        <v>#NAME?</v>
      </c>
      <c r="CK477" s="2" t="e">
        <f ca="1">_xll.BDH($C$453,"TOT_DEBT_TO_TOT_EQY","FQ4 2018","FQ4 2018","Currency=INR","Period=FQ","BEST_FPERIOD_OVERRIDE=FQ","FILING_STATUS=OR","EQY_CONSOLIDATED=Y","Sort=A","Dates=H","DateFormat=P","Fill=—","Direction=H","UseDPDF=Y")</f>
        <v>#NAME?</v>
      </c>
      <c r="CL477" s="2" t="e">
        <f ca="1">_xll.BDH($C$453,"TOT_DEBT_TO_TOT_CAP","FQ4 2018","FQ4 2018","Currency=INR","Period=FQ","BEST_FPERIOD_OVERRIDE=FQ","FILING_STATUS=OR","EQY_CONSOLIDATED=Y","Sort=A","Dates=H","DateFormat=P","Fill=—","Direction=H","UseDPDF=Y")</f>
        <v>#NAME?</v>
      </c>
      <c r="CM477" s="2" t="e">
        <f ca="1">_xll.BDH($C$453,"TOT_DEBT_TO_TOT_ASSET","FQ4 2018","FQ4 2018","Currency=INR","Period=FQ","BEST_FPERIOD_OVERRIDE=FQ","FILING_STATUS=OR","EQY_CONSOLIDATED=Y","Sort=A","Dates=H","DateFormat=P","Fill=—","Direction=H","UseDPDF=Y")</f>
        <v>#NAME?</v>
      </c>
      <c r="CN477" s="2" t="e">
        <f ca="1">_xll.BDH($C$453,"NET_DEBT_TO_SHRHLDR_EQTY","FQ4 2018","FQ4 2018","Currency=INR","Period=FQ","BEST_FPERIOD_OVERRIDE=FQ","FILING_STATUS=OR","EQY_CONSOLIDATED=Y","Sort=A","Dates=H","DateFormat=P","Fill=—","Direction=H","UseDPDF=Y")</f>
        <v>#NAME?</v>
      </c>
      <c r="CO477" s="2" t="e">
        <f ca="1">_xll.BDH($C$453,"NET_DEBT_%_CAPITAL","FQ4 2018","FQ4 2018","Currency=INR","Period=FQ","BEST_FPERIOD_OVERRIDE=FQ","FILING_STATUS=OR","EQY_CONSOLIDATED=Y","Sort=A","Dates=H","DateFormat=P","Fill=—","Direction=H","UseDPDF=Y")</f>
        <v>#NAME?</v>
      </c>
      <c r="CP477" s="3" t="e">
        <f ca="1">_xll.BDH($C$453,"EBITDA","FQ4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477" s="3" t="e">
        <f ca="1">_xll.BDH($C$453,"EBITDA_AFTER_CAPEX","FQ4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477" s="3" t="e">
        <f ca="1">_xll.BDH($C$453,"IS_OPER_INC","FQ4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477" s="2" t="e">
        <f ca="1">_xll.BDH($C$453,"CASH_RATIO","FQ4 2018","FQ4 2018","Currency=INR","Period=FQ","BEST_FPERIOD_OVERRIDE=FQ","FILING_STATUS=OR","EQY_CONSOLIDATED=Y","Sort=A","Dates=H","DateFormat=P","Fill=—","Direction=H","UseDPDF=Y")</f>
        <v>#NAME?</v>
      </c>
      <c r="CT477" s="2" t="e">
        <f ca="1">_xll.BDH($C$453,"CUR_RATIO","FQ4 2018","FQ4 2018","Currency=INR","Period=FQ","BEST_FPERIOD_OVERRIDE=FQ","FILING_STATUS=OR","EQY_CONSOLIDATED=Y","Sort=A","Dates=H","DateFormat=P","Fill=—","Direction=H","UseDPDF=Y")</f>
        <v>#NAME?</v>
      </c>
      <c r="CU477" s="2" t="e">
        <f ca="1">_xll.BDH($C$453,"QUICK_RATIO","FQ4 2018","FQ4 2018","Currency=INR","Period=FQ","BEST_FPERIOD_OVERRIDE=FQ","FILING_STATUS=OR","EQY_CONSOLIDATED=Y","Sort=A","Dates=H","DateFormat=P","Fill=—","Direction=H","UseDPDF=Y")</f>
        <v>#NAME?</v>
      </c>
      <c r="CV477" s="2" t="e">
        <f ca="1">_xll.BDH($C$453,"ALTMAN_Z_SCORE","FQ4 2018","FQ4 2018","Currency=INR","Period=FQ","BEST_FPERIOD_OVERRIDE=FQ","FILING_STATUS=OR","EQY_CONSOLIDATED=Y","Sort=A","Dates=H","DateFormat=P","Fill=—","Direction=H","UseDPDF=Y")</f>
        <v>#NAME?</v>
      </c>
      <c r="CW477" s="4" t="e">
        <f ca="1">_xll.BDH($C$453,"ACCT_RCV_TURN","FQ4 2018","FQ4 2018","Currency=INR","Period=FQ","BEST_FPERIOD_OVERRIDE=FQ","FILING_STATUS=OR","EQY_CONSOLIDATED=Y","FA_ADJUSTED=GAAP","Sort=A","Dates=H","DateFormat=P","Fill=—","Direction=H","UseDPDF=Y")</f>
        <v>#NAME?</v>
      </c>
      <c r="CX477" s="2" t="e">
        <f ca="1">_xll.BDH($C$453,"ACCT_RCV_DAYS","FQ4 2018","FQ4 2018","Currency=INR","Period=FQ","BEST_FPERIOD_OVERRIDE=FQ","FILING_STATUS=OR","EQY_CONSOLIDATED=Y","FA_ADJUSTED=GAAP","Sort=A","Dates=H","DateFormat=P","Fill=—","Direction=H","UseDPDF=Y")</f>
        <v>#NAME?</v>
      </c>
      <c r="CY477" s="4" t="e">
        <f ca="1">_xll.BDH($C$453,"INVENT_TURN","FQ4 2018","FQ4 2018","Currency=INR","Period=FQ","BEST_FPERIOD_OVERRIDE=FQ","FILING_STATUS=OR","EQY_CONSOLIDATED=Y","FA_ADJUSTED=GAAP","Sort=A","Dates=H","DateFormat=P","Fill=—","Direction=H","UseDPDF=Y")</f>
        <v>#NAME?</v>
      </c>
      <c r="CZ477" s="2" t="e">
        <f ca="1">_xll.BDH($C$453,"INVENT_DAYS","FQ4 2018","FQ4 2018","Currency=INR","Period=FQ","BEST_FPERIOD_OVERRIDE=FQ","FILING_STATUS=OR","EQY_CONSOLIDATED=Y","FA_ADJUSTED=GAAP","Sort=A","Dates=H","DateFormat=P","Fill=—","Direction=H","UseDPDF=Y")</f>
        <v>#NAME?</v>
      </c>
      <c r="DA477" s="4" t="e">
        <f ca="1">_xll.BDH($C$453,"ACCOUNTS_PAYABLE_TURNOVER","FQ4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477" s="2" t="e">
        <f ca="1">_xll.BDH($C$453,"ACCOUNTS_PAYABLE_TURNOVER_DAYS","FQ4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477" s="4" t="e">
        <f ca="1">_xll.BDH($C$453,"CASH_CONVERSION_CYCLE","FQ4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477" s="4" t="e">
        <f ca="1">_xll.BDH($C$453,"INV_TO_CASH_DAYS","FQ4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477" s="5" t="e">
        <f ca="1">_xll.BDH($C$453,"BS_INVENTORIES","FQ4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477" s="3" t="e">
        <f ca="1">_xll.BDH($C$453,"INVTRY_RAW_MATERIALS","FQ4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477" s="3" t="e">
        <f ca="1">_xll.BDH($C$453,"INVTRY_IN_PROGRESS","FQ4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477" s="3" t="e">
        <f ca="1">_xll.BDH($C$453,"INVTRY_FINISHED_GOODS","FQ4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477" s="3" t="e">
        <f ca="1">_xll.BDH($C$453,"BS_OTHER_INV","FQ4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478" spans="1:113" x14ac:dyDescent="0.3">
      <c r="A478" s="6">
        <v>20</v>
      </c>
      <c r="B478" s="6" t="s">
        <v>122</v>
      </c>
      <c r="C478" s="6" t="s">
        <v>123</v>
      </c>
      <c r="D478" s="6" t="s">
        <v>76</v>
      </c>
      <c r="E478" t="s">
        <v>77</v>
      </c>
      <c r="F478" t="e">
        <f ca="1">_xll.BDH($C$478,"RETURN_COM_EQY","FY 2014","FY 2014","Currency=INR","Period=FY","BEST_FPERIOD_OVERRIDE=FY","FILING_STATUS=OR","EQY_CONSOLIDATED=Y","FA_ADJUSTED=GAAP","Sort=A","Dates=H","DateFormat=P","Fill=—","Direction=H","UseDPDF=Y")</f>
        <v>#NAME?</v>
      </c>
      <c r="G478" t="e">
        <f ca="1">_xll.BDH($C$478,"RETURN_ON_ASSET","FY 2014","FY 2014","Currency=INR","Period=FY","BEST_FPERIOD_OVERRIDE=FY","FILING_STATUS=OR","EQY_CONSOLIDATED=Y","FA_ADJUSTED=GAAP","Sort=A","Dates=H","DateFormat=P","Fill=—","Direction=H","UseDPDF=Y")</f>
        <v>#NAME?</v>
      </c>
      <c r="H478" t="e">
        <f ca="1">_xll.BDH($C$478,"RETURN_ON_CAP","FY 2014","FY 2014","Currency=INR","Period=FY","BEST_FPERIOD_OVERRIDE=FY","FILING_STATUS=OR","EQY_CONSOLIDATED=Y","FA_ADJUSTED=GAAP","Sort=A","Dates=H","DateFormat=P","Fill=—","Direction=H","UseDPDF=Y")</f>
        <v>#NAME?</v>
      </c>
      <c r="I478" t="e">
        <f ca="1">_xll.BDH($C$478,"RETURN_ON_INV_CAPITAL","FY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478" t="e">
        <f ca="1">_xll.BDH($C$478,"EBITDA_TO_REVENUE","FY 2014","FY 2014","Currency=INR","Period=FY","BEST_FPERIOD_OVERRIDE=FY","FILING_STATUS=OR","EQY_CONSOLIDATED=Y","FA_ADJUSTED=GAAP","Sort=A","Dates=H","DateFormat=P","Fill=—","Direction=H","UseDPDF=Y")</f>
        <v>#NAME?</v>
      </c>
      <c r="K478" t="e">
        <f ca="1">_xll.BDH($C$478,"OPER_MARGIN","FY 2014","FY 2014","Currency=INR","Period=FY","BEST_FPERIOD_OVERRIDE=FY","FILING_STATUS=OR","EQY_CONSOLIDATED=Y","FA_ADJUSTED=GAAP","Sort=A","Dates=H","DateFormat=P","Fill=—","Direction=H","UseDPDF=Y")</f>
        <v>#NAME?</v>
      </c>
      <c r="L478" t="e">
        <f ca="1">_xll.BDH($C$478,"INCREMENTAL_OPERATING_MARGIN","FY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478" t="e">
        <f ca="1">_xll.BDH($C$478,"PRETAX_INC_TO_NET_SALES","FY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478" t="e">
        <f ca="1">_xll.BDH($C$478,"INC_BEF_XO_ITEMS_TO_NET_SALES","FY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478" t="e">
        <f ca="1">_xll.BDH($C$478,"PROF_MARGIN","FY 2014","FY 2014","Currency=INR","Period=FY","BEST_FPERIOD_OVERRIDE=FY","FILING_STATUS=OR","EQY_CONSOLIDATED=Y","FA_ADJUSTED=GAAP","Sort=A","Dates=H","DateFormat=P","Fill=—","Direction=H","UseDPDF=Y")</f>
        <v>#NAME?</v>
      </c>
      <c r="P478" t="e">
        <f ca="1">_xll.BDH($C$478,"NET_INCOME_TO_COMMON_MARGIN","FY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478" t="e">
        <f ca="1">_xll.BDH($C$478,"EFF_TAX_RATE","FY 2014","FY 2014","Currency=INR","Period=FY","BEST_FPERIOD_OVERRIDE=FY","FILING_STATUS=OR","EQY_CONSOLIDATED=Y","FA_ADJUSTED=GAAP","Sort=A","Dates=H","DateFormat=P","Fill=—","Direction=H","UseDPDF=Y")</f>
        <v>#NAME?</v>
      </c>
      <c r="R478" t="e">
        <f ca="1">_xll.BDH($C$478,"DVD_PAYOUT_RATIO","FY 2014","FY 2014","Currency=INR","Period=FY","BEST_FPERIOD_OVERRIDE=FY","FILING_STATUS=OR","EQY_CONSOLIDATED=Y","FA_ADJUSTED=GAAP","Sort=A","Dates=H","DateFormat=P","Fill=—","Direction=H","UseDPDF=Y")</f>
        <v>#NAME?</v>
      </c>
      <c r="S478" t="e">
        <f ca="1">_xll.BDH($C$478,"SUSTAIN_GROWTH_RT","FY 2014","FY 2014","Currency=INR","Period=FY","BEST_FPERIOD_OVERRIDE=FY","FILING_STATUS=OR","EQY_CONSOLIDATED=Y","FA_ADJUSTED=GAAP","Sort=A","Dates=H","DateFormat=P","Fill=—","Direction=H","UseDPDF=Y")</f>
        <v>#NAME?</v>
      </c>
      <c r="T478" s="2" t="e">
        <f ca="1">_xll.BDH($C$478,"SALES_GROWTH","FY 2014","FY 2014","Currency=INR","Period=FY","BEST_FPERIOD_OVERRIDE=FY","FILING_STATUS=OR","EQY_CONSOLIDATED=Y","FA_ADJUSTED=GAAP","Sort=A","Dates=H","DateFormat=P","Fill=—","Direction=H","UseDPDF=Y")</f>
        <v>#NAME?</v>
      </c>
      <c r="U478" s="2" t="e">
        <f ca="1">_xll.BDH($C$478,"EBITDA_GROWTH","FY 2014","FY 2014","Currency=INR","Period=FY","BEST_FPERIOD_OVERRIDE=FY","FILING_STATUS=OR","EQY_CONSOLIDATED=Y","FA_ADJUSTED=GAAP","Sort=A","Dates=H","DateFormat=P","Fill=—","Direction=H","UseDPDF=Y")</f>
        <v>#NAME?</v>
      </c>
      <c r="V478" s="2" t="e">
        <f ca="1">_xll.BDH($C$478,"OPER_INC_GROWTH","FY 2014","FY 2014","Currency=INR","Period=FY","BEST_FPERIOD_OVERRIDE=FY","FILING_STATUS=OR","EQY_CONSOLIDATED=Y","FA_ADJUSTED=GAAP","Sort=A","Dates=H","DateFormat=P","Fill=—","Direction=H","UseDPDF=Y")</f>
        <v>#NAME?</v>
      </c>
      <c r="W478" s="2" t="e">
        <f ca="1">_xll.BDH($C$478,"EARN_FOR_COM_GROWTH","FY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478" s="2" t="e">
        <f ca="1">_xll.BDH($C$478,"DILUTED_EPS_AFT_XO_ITEMS_GROWTH","FY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478" s="2" t="e">
        <f ca="1">_xll.BDH($C$478,"DIVIDEND_PER_SHARE_1_YEAR_GROWTH","FY 2014","FY 2014","Currency=INR","Period=FY","BEST_FPERIOD_OVERRIDE=FY","FILING_STATUS=OR","EQY_CONSOLIDATED=Y","Sort=A","Dates=H","DateFormat=P","Fill=—","Direction=H","UseDPDF=Y")</f>
        <v>#NAME?</v>
      </c>
      <c r="Z478" s="2" t="e">
        <f ca="1">_xll.BDH($C$478,"ACCOUNTS_RECEIVABLE_GROWTH","FY 2014","FY 2014","Currency=INR","Period=FY","BEST_FPERIOD_OVERRIDE=FY","FILING_STATUS=OR","EQY_CONSOLIDATED=Y","Sort=A","Dates=H","DateFormat=P","Fill=—","Direction=H","UseDPDF=Y")</f>
        <v>#NAME?</v>
      </c>
      <c r="AA478" s="2" t="e">
        <f ca="1">_xll.BDH($C$478,"INVENTORY_GROWTH","FY 2014","FY 2014","Currency=INR","Period=FY","BEST_FPERIOD_OVERRIDE=FY","FILING_STATUS=OR","EQY_CONSOLIDATED=Y","Sort=A","Dates=H","DateFormat=P","Fill=—","Direction=H","UseDPDF=Y")</f>
        <v>#NAME?</v>
      </c>
      <c r="AB478" s="2" t="e">
        <f ca="1">_xll.BDH($C$478,"NET_FIXED_ASSETS_1_YEAR_GROWTH","FY 2014","FY 2014","Currency=INR","Period=FY","BEST_FPERIOD_OVERRIDE=FY","FILING_STATUS=OR","EQY_CONSOLIDATED=Y","Sort=A","Dates=H","DateFormat=P","Fill=—","Direction=H","UseDPDF=Y")</f>
        <v>#NAME?</v>
      </c>
      <c r="AC478" s="2" t="e">
        <f ca="1">_xll.BDH($C$478,"ASSET_GROWTH","FY 2014","FY 2014","Currency=INR","Period=FY","BEST_FPERIOD_OVERRIDE=FY","FILING_STATUS=OR","EQY_CONSOLIDATED=Y","Sort=A","Dates=H","DateFormat=P","Fill=—","Direction=H","UseDPDF=Y")</f>
        <v>#NAME?</v>
      </c>
      <c r="AD478" s="2" t="e">
        <f ca="1">_xll.BDH($C$478,"MODIFIED_WORK_CAP_GROWTH","FY 2014","FY 2014","Currency=INR","Period=FY","BEST_FPERIOD_OVERRIDE=FY","FILING_STATUS=OR","EQY_CONSOLIDATED=Y","Sort=A","Dates=H","DateFormat=P","Fill=—","Direction=H","UseDPDF=Y")</f>
        <v>#NAME?</v>
      </c>
      <c r="AE478" s="2" t="e">
        <f ca="1">_xll.BDH($C$478,"WORK_CAP_GROWTH","FY 2014","FY 2014","Currency=INR","Period=FY","BEST_FPERIOD_OVERRIDE=FY","FILING_STATUS=OR","EQY_CONSOLIDATED=Y","Sort=A","Dates=H","DateFormat=P","Fill=—","Direction=H","UseDPDF=Y")</f>
        <v>#NAME?</v>
      </c>
      <c r="AF478" s="2" t="e">
        <f ca="1">_xll.BDH($C$478,"ACCOUNTS_PAYABLE_GROWTH_1YR","FY 2014","FY 2014","Currency=INR","Period=FY","BEST_FPERIOD_OVERRIDE=FY","FILING_STATUS=OR","EQY_CONSOLIDATED=Y","Sort=A","Dates=H","DateFormat=P","Fill=—","Direction=H","UseDPDF=Y")</f>
        <v>#NAME?</v>
      </c>
      <c r="AG478" s="2" t="e">
        <f ca="1">_xll.BDH($C$478,"SHORT_TERM_DEBT_1_YEAR_GROWTH","FY 2014","FY 2014","Currency=INR","Period=FY","BEST_FPERIOD_OVERRIDE=FY","FILING_STATUS=OR","EQY_CONSOLIDATED=Y","Sort=A","Dates=H","DateFormat=P","Fill=—","Direction=H","UseDPDF=Y")</f>
        <v>#NAME?</v>
      </c>
      <c r="AH478" s="2" t="e">
        <f ca="1">_xll.BDH($C$478,"TOTAL_DEBT_1_YEAR_GROWTH","FY 2014","FY 2014","Currency=INR","Period=FY","BEST_FPERIOD_OVERRIDE=FY","FILING_STATUS=OR","EQY_CONSOLIDATED=Y","Sort=A","Dates=H","DateFormat=P","Fill=—","Direction=H","UseDPDF=Y")</f>
        <v>#NAME?</v>
      </c>
      <c r="AI478" s="2" t="e">
        <f ca="1">_xll.BDH($C$478,"TOTAL_EQUITY_1_YEAR_GROWTH","FY 2014","FY 2014","Currency=INR","Period=FY","BEST_FPERIOD_OVERRIDE=FY","FILING_STATUS=OR","EQY_CONSOLIDATED=Y","Sort=A","Dates=H","DateFormat=P","Fill=—","Direction=H","UseDPDF=Y")</f>
        <v>#NAME?</v>
      </c>
      <c r="AJ478" s="2" t="e">
        <f ca="1">_xll.BDH($C$478,"GROWTH_IN_CAP","FY 2014","FY 2014","Currency=INR","Period=FY","BEST_FPERIOD_OVERRIDE=FY","FILING_STATUS=OR","EQY_CONSOLIDATED=Y","Sort=A","Dates=H","DateFormat=P","Fill=—","Direction=H","UseDPDF=Y")</f>
        <v>#NAME?</v>
      </c>
      <c r="AK478" s="2" t="e">
        <f ca="1">_xll.BDH($C$478,"BVPS_GROWTH","FY 2014","FY 2014","Currency=INR","Period=FY","BEST_FPERIOD_OVERRIDE=FY","FILING_STATUS=OR","EQY_CONSOLIDATED=Y","Sort=A","Dates=H","DateFormat=P","Fill=—","Direction=H","UseDPDF=Y")</f>
        <v>#NAME?</v>
      </c>
      <c r="AL478" s="2" t="e">
        <f ca="1">_xll.BDH($C$478,"CASH_FLOW_GROWTH","FY 2014","FY 2014","Currency=INR","Period=FY","BEST_FPERIOD_OVERRIDE=FY","FILING_STATUS=OR","EQY_CONSOLIDATED=Y","Sort=A","Dates=H","DateFormat=P","Fill=—","Direction=H","UseDPDF=Y")</f>
        <v>#NAME?</v>
      </c>
      <c r="AM478" s="2" t="e">
        <f ca="1">_xll.BDH($C$478,"GEO_GROW_NET_SALES","FY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478" s="2" t="e">
        <f ca="1">_xll.BDH($C$478,"GEO_GROW_EBITDA","FY 2014","FY 2014","Currency=INR","Period=FY","BEST_FPERIOD_OVERRIDE=FY","FILING_STATUS=OR","EQY_CONSOLIDATED=Y","FA_ADJUSTED=GAAP","Sort=A","Dates=H","DateFormat=P","Fill=—","Direction=H","UseDPDF=Y")</f>
        <v>#NAME?</v>
      </c>
      <c r="AO478" s="2" t="e">
        <f ca="1">_xll.BDH($C$478,"GEO_GROW_OPER_INC","FY 2014","FY 2014","Currency=INR","Period=FY","BEST_FPERIOD_OVERRIDE=FY","FILING_STATUS=OR","EQY_CONSOLIDATED=Y","FA_ADJUSTED=GAAP","Sort=A","Dates=H","DateFormat=P","Fill=—","Direction=H","UseDPDF=Y")</f>
        <v>#NAME?</v>
      </c>
      <c r="AP478" s="2" t="e">
        <f ca="1">_xll.BDH($C$478,"NET_INCOME_TO_COMMON_5_YR_GROWTH","FY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478" s="2" t="e">
        <f ca="1">_xll.BDH($C$478,"5Y_GEO_GROWTH_DILUTED_EPS","FY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478" s="2" t="e">
        <f ca="1">_xll.BDH($C$478,"GEO_GROW_DVD_PER_SH","FY 2014","FY 2014","Currency=INR","Period=FY","BEST_FPERIOD_OVERRIDE=FY","FILING_STATUS=OR","EQY_CONSOLIDATED=Y","Sort=A","Dates=H","DateFormat=P","Fill=—","Direction=H","UseDPDF=Y")</f>
        <v>#NAME?</v>
      </c>
      <c r="AS478" s="2" t="e">
        <f ca="1">_xll.BDH($C$478,"ACCOUNTS_RECEIVABLE_5_YR_GROWTH","FY 2014","FY 2014","Currency=INR","Period=FY","BEST_FPERIOD_OVERRIDE=FY","FILING_STATUS=OR","EQY_CONSOLIDATED=Y","Sort=A","Dates=H","DateFormat=P","Fill=—","Direction=H","UseDPDF=Y")</f>
        <v>#NAME?</v>
      </c>
      <c r="AT478" s="2" t="e">
        <f ca="1">_xll.BDH($C$478,"INVENTORY_5_YEAR_GROWTH","FY 2014","FY 2014","Currency=INR","Period=FY","BEST_FPERIOD_OVERRIDE=FY","FILING_STATUS=OR","EQY_CONSOLIDATED=Y","Sort=A","Dates=H","DateFormat=P","Fill=—","Direction=H","UseDPDF=Y")</f>
        <v>#NAME?</v>
      </c>
      <c r="AU478" s="2" t="e">
        <f ca="1">_xll.BDH($C$478,"NET_FIXED_ASSETS_5_YEAR_GROWTH","FY 2014","FY 2014","Currency=INR","Period=FY","BEST_FPERIOD_OVERRIDE=FY","FILING_STATUS=OR","EQY_CONSOLIDATED=Y","Sort=A","Dates=H","DateFormat=P","Fill=—","Direction=H","UseDPDF=Y")</f>
        <v>#NAME?</v>
      </c>
      <c r="AV478" s="2" t="e">
        <f ca="1">_xll.BDH($C$478,"GEO_GROW_TOT_ASSET","FY 2014","FY 2014","Currency=INR","Period=FY","BEST_FPERIOD_OVERRIDE=FY","FILING_STATUS=OR","EQY_CONSOLIDATED=Y","Sort=A","Dates=H","DateFormat=P","Fill=—","Direction=H","UseDPDF=Y")</f>
        <v>#NAME?</v>
      </c>
      <c r="AW478" s="2" t="e">
        <f ca="1">_xll.BDH($C$478,"MODIFIED_WORKING_CPTL_5YR_GRWTH","FY 2014","FY 2014","Currency=INR","Period=FY","BEST_FPERIOD_OVERRIDE=FY","FILING_STATUS=OR","EQY_CONSOLIDATED=Y","Sort=A","Dates=H","DateFormat=P","Fill=—","Direction=H","UseDPDF=Y")</f>
        <v>#NAME?</v>
      </c>
      <c r="AX478" s="2" t="e">
        <f ca="1">_xll.BDH($C$478,"WORKING_CAPITAL_5_YEAR_GROWTH","FY 2014","FY 2014","Currency=INR","Period=FY","BEST_FPERIOD_OVERRIDE=FY","FILING_STATUS=OR","EQY_CONSOLIDATED=Y","Sort=A","Dates=H","DateFormat=P","Fill=—","Direction=H","UseDPDF=Y")</f>
        <v>#NAME?</v>
      </c>
      <c r="AY478" s="2" t="e">
        <f ca="1">_xll.BDH($C$478,"ACCOUNTS_PAYABLE_5_YEAR_GROWTH","FY 2014","FY 2014","Currency=INR","Period=FY","BEST_FPERIOD_OVERRIDE=FY","FILING_STATUS=OR","EQY_CONSOLIDATED=Y","Sort=A","Dates=H","DateFormat=P","Fill=—","Direction=H","UseDPDF=Y")</f>
        <v>#NAME?</v>
      </c>
      <c r="AZ478" s="2" t="e">
        <f ca="1">_xll.BDH($C$478,"SHORT_TERM_DEBT_5_YEAR_GROWTH","FY 2014","FY 2014","Currency=INR","Period=FY","BEST_FPERIOD_OVERRIDE=FY","FILING_STATUS=OR","EQY_CONSOLIDATED=Y","Sort=A","Dates=H","DateFormat=P","Fill=—","Direction=H","UseDPDF=Y")</f>
        <v>#NAME?</v>
      </c>
      <c r="BA478" s="2" t="e">
        <f ca="1">_xll.BDH($C$478,"TOTAL_DEBT_5_YEAR_GROWTH","FY 2014","FY 2014","Currency=INR","Period=FY","BEST_FPERIOD_OVERRIDE=FY","FILING_STATUS=OR","EQY_CONSOLIDATED=Y","Sort=A","Dates=H","DateFormat=P","Fill=—","Direction=H","UseDPDF=Y")</f>
        <v>#NAME?</v>
      </c>
      <c r="BB478" s="2" t="e">
        <f ca="1">_xll.BDH($C$478,"GEO_GROW_TOT_SHRHLDR_EQY","FY 2014","FY 2014","Currency=INR","Period=FY","BEST_FPERIOD_OVERRIDE=FY","FILING_STATUS=OR","EQY_CONSOLIDATED=Y","Sort=A","Dates=H","DateFormat=P","Fill=—","Direction=H","UseDPDF=Y")</f>
        <v>#NAME?</v>
      </c>
      <c r="BC478" s="2" t="e">
        <f ca="1">_xll.BDH($C$478,"TOTAL_CAPITAL_5_YEAR_GROWTH","FY 2014","FY 2014","Currency=INR","Period=FY","BEST_FPERIOD_OVERRIDE=FY","FILING_STATUS=OR","EQY_CONSOLIDATED=Y","Sort=A","Dates=H","DateFormat=P","Fill=—","Direction=H","UseDPDF=Y")</f>
        <v>#NAME?</v>
      </c>
      <c r="BD478" s="2" t="e">
        <f ca="1">_xll.BDH($C$478,"GEO_GROW_BOOK_VAL","FY 2014","FY 2014","Currency=INR","Period=FY","BEST_FPERIOD_OVERRIDE=FY","FILING_STATUS=OR","EQY_CONSOLIDATED=Y","Sort=A","Dates=H","DateFormat=P","Fill=—","Direction=H","UseDPDF=Y")</f>
        <v>#NAME?</v>
      </c>
      <c r="BE478" s="2" t="e">
        <f ca="1">_xll.BDH($C$478,"GEO_GROW_CASH_OPER_ACT","FY 2014","FY 2014","Currency=INR","Period=FY","BEST_FPERIOD_OVERRIDE=FY","FILING_STATUS=OR","EQY_CONSOLIDATED=Y","Sort=A","Dates=H","DateFormat=P","Fill=—","Direction=H","UseDPDF=Y")</f>
        <v>#NAME?</v>
      </c>
      <c r="BF478" s="2" t="e">
        <f ca="1">_xll.BDH($C$478,"REVENUE_SEQUENTIAL_GROWTH","FY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478" s="2" t="e">
        <f ca="1">_xll.BDH($C$478,"EBITDA_SEQUENTIAL_GROWTH","FY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478" s="2" t="e">
        <f ca="1">_xll.BDH($C$478,"OPERATING_INCOME_SEQ_GROWTH","FY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478" s="2" t="e">
        <f ca="1">_xll.BDH($C$478,"NET_INCOME_TO_COMMON_SEQ_GROWTH","FY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478" s="2" t="e">
        <f ca="1">_xll.BDH($C$478,"EPS_DILUTED_SEQUENTIAL_GROWTH","FY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478" s="2" t="e">
        <f ca="1">_xll.BDH($C$478,"DPS_SEQUENTIAL_GROWTH","FY 2014","FY 2014","Currency=INR","Period=FY","BEST_FPERIOD_OVERRIDE=FY","FILING_STATUS=OR","EQY_CONSOLIDATED=Y","Sort=A","Dates=H","DateFormat=P","Fill=—","Direction=H","UseDPDF=Y")</f>
        <v>#NAME?</v>
      </c>
      <c r="BL478" s="2" t="e">
        <f ca="1">_xll.BDH($C$478,"ACCOUNTS_RECEIVABLE_SEQ_GROWTH","FY 2014","FY 2014","Currency=INR","Period=FY","BEST_FPERIOD_OVERRIDE=FY","FILING_STATUS=OR","EQY_CONSOLIDATED=Y","Sort=A","Dates=H","DateFormat=P","Fill=—","Direction=H","UseDPDF=Y")</f>
        <v>#NAME?</v>
      </c>
      <c r="BM478" s="2" t="e">
        <f ca="1">_xll.BDH($C$478,"INVENTORY_SEQUENTIAL_GROWTH","FY 2014","FY 2014","Currency=INR","Period=FY","BEST_FPERIOD_OVERRIDE=FY","FILING_STATUS=OR","EQY_CONSOLIDATED=Y","Sort=A","Dates=H","DateFormat=P","Fill=—","Direction=H","UseDPDF=Y")</f>
        <v>#NAME?</v>
      </c>
      <c r="BN478" s="2" t="e">
        <f ca="1">_xll.BDH($C$478,"FIXED_ASSETS_SEQUENTIAL_GROWTH","FY 2014","FY 2014","Currency=INR","Period=FY","BEST_FPERIOD_OVERRIDE=FY","FILING_STATUS=OR","EQY_CONSOLIDATED=Y","Sort=A","Dates=H","DateFormat=P","Fill=—","Direction=H","UseDPDF=Y")</f>
        <v>#NAME?</v>
      </c>
      <c r="BO478" s="2" t="e">
        <f ca="1">_xll.BDH($C$478,"TOTAL_ASSETS_SEQUENTIAL_GROWTH","FY 2014","FY 2014","Currency=INR","Period=FY","BEST_FPERIOD_OVERRIDE=FY","FILING_STATUS=OR","EQY_CONSOLIDATED=Y","Sort=A","Dates=H","DateFormat=P","Fill=—","Direction=H","UseDPDF=Y")</f>
        <v>#NAME?</v>
      </c>
      <c r="BP478" s="2" t="e">
        <f ca="1">_xll.BDH($C$478,"MODIFIED_WORKING_CPTL_SEQ_GRWTH","FY 2014","FY 2014","Currency=INR","Period=FY","BEST_FPERIOD_OVERRIDE=FY","FILING_STATUS=OR","EQY_CONSOLIDATED=Y","Sort=A","Dates=H","DateFormat=P","Fill=—","Direction=H","UseDPDF=Y")</f>
        <v>#NAME?</v>
      </c>
      <c r="BQ478" s="2" t="e">
        <f ca="1">_xll.BDH($C$478,"WORKING_CAPITAL_SEQ_GROWTH","FY 2014","FY 2014","Currency=INR","Period=FY","BEST_FPERIOD_OVERRIDE=FY","FILING_STATUS=OR","EQY_CONSOLIDATED=Y","Sort=A","Dates=H","DateFormat=P","Fill=—","Direction=H","UseDPDF=Y")</f>
        <v>#NAME?</v>
      </c>
      <c r="BR478" s="2" t="e">
        <f ca="1">_xll.BDH($C$478,"ACCOUNTS_PAYABLE_SEQ_GROWTH","FY 2014","FY 2014","Currency=INR","Period=FY","BEST_FPERIOD_OVERRIDE=FY","FILING_STATUS=OR","EQY_CONSOLIDATED=Y","Sort=A","Dates=H","DateFormat=P","Fill=—","Direction=H","UseDPDF=Y")</f>
        <v>#NAME?</v>
      </c>
      <c r="BS478" s="2" t="e">
        <f ca="1">_xll.BDH($C$478,"ST_DEBT_SEQUENTIAL_GROWTH","FY 2014","FY 2014","Currency=INR","Period=FY","BEST_FPERIOD_OVERRIDE=FY","FILING_STATUS=OR","EQY_CONSOLIDATED=Y","Sort=A","Dates=H","DateFormat=P","Fill=—","Direction=H","UseDPDF=Y")</f>
        <v>#NAME?</v>
      </c>
      <c r="BT478" s="2" t="e">
        <f ca="1">_xll.BDH($C$478,"TOTAL_DEBT_SEQUENTIAL_GROWTH","FY 2014","FY 2014","Currency=INR","Period=FY","BEST_FPERIOD_OVERRIDE=FY","FILING_STATUS=OR","EQY_CONSOLIDATED=Y","Sort=A","Dates=H","DateFormat=P","Fill=—","Direction=H","UseDPDF=Y")</f>
        <v>#NAME?</v>
      </c>
      <c r="BU478" s="2" t="e">
        <f ca="1">_xll.BDH($C$478,"TOTAL_EQUITY_SEQUENTIAL_GROWTH","FY 2014","FY 2014","Currency=INR","Period=FY","BEST_FPERIOD_OVERRIDE=FY","FILING_STATUS=OR","EQY_CONSOLIDATED=Y","Sort=A","Dates=H","DateFormat=P","Fill=—","Direction=H","UseDPDF=Y")</f>
        <v>#NAME?</v>
      </c>
      <c r="BV478" s="2" t="e">
        <f ca="1">_xll.BDH($C$478,"TOTAL_CAPITAL_SEQUENTIAL_GROWTH","FY 2014","FY 2014","Currency=INR","Period=FY","BEST_FPERIOD_OVERRIDE=FY","FILING_STATUS=OR","EQY_CONSOLIDATED=Y","Sort=A","Dates=H","DateFormat=P","Fill=—","Direction=H","UseDPDF=Y")</f>
        <v>#NAME?</v>
      </c>
      <c r="BW478" s="2" t="e">
        <f ca="1">_xll.BDH($C$478,"BPS_SEQUENTIAL_GROWTH","FY 2014","FY 2014","Currency=INR","Period=FY","BEST_FPERIOD_OVERRIDE=FY","FILING_STATUS=OR","EQY_CONSOLIDATED=Y","Sort=A","Dates=H","DateFormat=P","Fill=—","Direction=H","UseDPDF=Y")</f>
        <v>#NAME?</v>
      </c>
      <c r="BX478" s="2" t="e">
        <f ca="1">_xll.BDH($C$478,"CFO_SEQUENTIAL_GROWTH","FY 2014","FY 2014","Currency=INR","Period=FY","BEST_FPERIOD_OVERRIDE=FY","FILING_STATUS=OR","EQY_CONSOLIDATED=Y","Sort=A","Dates=H","DateFormat=P","Fill=—","Direction=H","UseDPDF=Y")</f>
        <v>#NAME?</v>
      </c>
      <c r="BY478" s="3" t="e">
        <f ca="1">_xll.BDH($C$478,"SHORT_AND_LONG_TERM_DEBT","FY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478" s="3" t="e">
        <f ca="1">_xll.BDH($C$478,"BS_ST_BORROW","FY 2014","FY 2014","Currency=INR","Period=FY","BEST_FPERIOD_OVERRIDE=FY","FILING_STATUS=OR","EQY_CONSOLIDATED=Y","SCALING_FORMAT=MLN","Sort=A","Dates=H","DateFormat=P","Fill=—","Direction=H","UseDPDF=Y")</f>
        <v>#NAME?</v>
      </c>
      <c r="CA478" s="3" t="e">
        <f ca="1">_xll.BDH($C$478,"BS_LT_BORROW","FY 2014","FY 2014","Currency=INR","Period=FY","BEST_FPERIOD_OVERRIDE=FY","FILING_STATUS=OR","EQY_CONSOLIDATED=Y","SCALING_FORMAT=MLN","Sort=A","Dates=H","DateFormat=P","Fill=—","Direction=H","UseDPDF=Y")</f>
        <v>#NAME?</v>
      </c>
      <c r="CB478" s="2" t="e">
        <f ca="1">_xll.BDH($C$478,"TOT_DEBT_TO_EBITDA","FY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478" s="2" t="e">
        <f ca="1">_xll.BDH($C$478,"NET_DEBT_TO_EBITDA","FY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478" s="2" t="e">
        <f ca="1">_xll.BDH($C$478,"TOTAL_DEBT_TO_EBIT","FY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478" s="2" t="e">
        <f ca="1">_xll.BDH($C$478,"NET_DEBT_TO_EBIT","FY 2014","FY 2014","Currency=INR","Period=FY","BEST_FPERIOD_OVERRIDE=FY","FILING_STATUS=OR","EQY_CONSOLIDATED=Y","FA_ADJUSTED=GAAP","Sort=A","Dates=H","DateFormat=P","Fill=—","Direction=H","UseDPDF=Y")</f>
        <v>#NAME?</v>
      </c>
      <c r="CF478" s="2" t="e">
        <f ca="1">_xll.BDH($C$478,"EBITDA_TO_INTEREST_EXPN","FY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478" s="2" t="e">
        <f ca="1">_xll.BDH($C$478,"COM_EQY_TO_TOT_ASSET","FY 2014","FY 2014","Currency=INR","Period=FY","BEST_FPERIOD_OVERRIDE=FY","FILING_STATUS=OR","EQY_CONSOLIDATED=Y","Sort=A","Dates=H","DateFormat=P","Fill=—","Direction=H","UseDPDF=Y")</f>
        <v>#NAME?</v>
      </c>
      <c r="CH478" s="2" t="e">
        <f ca="1">_xll.BDH($C$478,"LT_DEBT_TO_TOT_EQY","FY 2014","FY 2014","Currency=INR","Period=FY","BEST_FPERIOD_OVERRIDE=FY","FILING_STATUS=OR","EQY_CONSOLIDATED=Y","Sort=A","Dates=H","DateFormat=P","Fill=—","Direction=H","UseDPDF=Y")</f>
        <v>#NAME?</v>
      </c>
      <c r="CI478" s="2" t="e">
        <f ca="1">_xll.BDH($C$478,"LT_DEBT_TO_TOT_CAP","FY 2014","FY 2014","Currency=INR","Period=FY","BEST_FPERIOD_OVERRIDE=FY","FILING_STATUS=OR","EQY_CONSOLIDATED=Y","Sort=A","Dates=H","DateFormat=P","Fill=—","Direction=H","UseDPDF=Y")</f>
        <v>#NAME?</v>
      </c>
      <c r="CJ478" s="2" t="e">
        <f ca="1">_xll.BDH($C$478,"LT_DEBT_TO_TOT_ASSET","FY 2014","FY 2014","Currency=INR","Period=FY","BEST_FPERIOD_OVERRIDE=FY","FILING_STATUS=OR","EQY_CONSOLIDATED=Y","Sort=A","Dates=H","DateFormat=P","Fill=—","Direction=H","UseDPDF=Y")</f>
        <v>#NAME?</v>
      </c>
      <c r="CK478" s="2" t="e">
        <f ca="1">_xll.BDH($C$478,"TOT_DEBT_TO_TOT_EQY","FY 2014","FY 2014","Currency=INR","Period=FY","BEST_FPERIOD_OVERRIDE=FY","FILING_STATUS=OR","EQY_CONSOLIDATED=Y","Sort=A","Dates=H","DateFormat=P","Fill=—","Direction=H","UseDPDF=Y")</f>
        <v>#NAME?</v>
      </c>
      <c r="CL478" s="2" t="e">
        <f ca="1">_xll.BDH($C$478,"TOT_DEBT_TO_TOT_CAP","FY 2014","FY 2014","Currency=INR","Period=FY","BEST_FPERIOD_OVERRIDE=FY","FILING_STATUS=OR","EQY_CONSOLIDATED=Y","Sort=A","Dates=H","DateFormat=P","Fill=—","Direction=H","UseDPDF=Y")</f>
        <v>#NAME?</v>
      </c>
      <c r="CM478" s="2" t="e">
        <f ca="1">_xll.BDH($C$478,"TOT_DEBT_TO_TOT_ASSET","FY 2014","FY 2014","Currency=INR","Period=FY","BEST_FPERIOD_OVERRIDE=FY","FILING_STATUS=OR","EQY_CONSOLIDATED=Y","Sort=A","Dates=H","DateFormat=P","Fill=—","Direction=H","UseDPDF=Y")</f>
        <v>#NAME?</v>
      </c>
      <c r="CN478" s="2" t="e">
        <f ca="1">_xll.BDH($C$478,"NET_DEBT_TO_SHRHLDR_EQTY","FY 2014","FY 2014","Currency=INR","Period=FY","BEST_FPERIOD_OVERRIDE=FY","FILING_STATUS=OR","EQY_CONSOLIDATED=Y","Sort=A","Dates=H","DateFormat=P","Fill=—","Direction=H","UseDPDF=Y")</f>
        <v>#NAME?</v>
      </c>
      <c r="CO478" s="2" t="e">
        <f ca="1">_xll.BDH($C$478,"NET_DEBT_%_CAPITAL","FY 2014","FY 2014","Currency=INR","Period=FY","BEST_FPERIOD_OVERRIDE=FY","FILING_STATUS=OR","EQY_CONSOLIDATED=Y","Sort=A","Dates=H","DateFormat=P","Fill=—","Direction=H","UseDPDF=Y")</f>
        <v>#NAME?</v>
      </c>
      <c r="CP478" s="3" t="e">
        <f ca="1">_xll.BDH($C$478,"EBITDA","FY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478" s="3" t="e">
        <f ca="1">_xll.BDH($C$478,"EBITDA_AFTER_CAPEX","FY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478" s="3" t="e">
        <f ca="1">_xll.BDH($C$478,"IS_OPER_INC","FY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478" s="2" t="e">
        <f ca="1">_xll.BDH($C$478,"CASH_RATIO","FY 2014","FY 2014","Currency=INR","Period=FY","BEST_FPERIOD_OVERRIDE=FY","FILING_STATUS=OR","EQY_CONSOLIDATED=Y","Sort=A","Dates=H","DateFormat=P","Fill=—","Direction=H","UseDPDF=Y")</f>
        <v>#NAME?</v>
      </c>
      <c r="CT478" s="2" t="e">
        <f ca="1">_xll.BDH($C$478,"CUR_RATIO","FY 2014","FY 2014","Currency=INR","Period=FY","BEST_FPERIOD_OVERRIDE=FY","FILING_STATUS=OR","EQY_CONSOLIDATED=Y","Sort=A","Dates=H","DateFormat=P","Fill=—","Direction=H","UseDPDF=Y")</f>
        <v>#NAME?</v>
      </c>
      <c r="CU478" s="2" t="e">
        <f ca="1">_xll.BDH($C$478,"QUICK_RATIO","FY 2014","FY 2014","Currency=INR","Period=FY","BEST_FPERIOD_OVERRIDE=FY","FILING_STATUS=OR","EQY_CONSOLIDATED=Y","Sort=A","Dates=H","DateFormat=P","Fill=—","Direction=H","UseDPDF=Y")</f>
        <v>#NAME?</v>
      </c>
      <c r="CV478" s="2" t="e">
        <f ca="1">_xll.BDH($C$478,"ALTMAN_Z_SCORE","FY 2014","FY 2014","Currency=INR","Period=FY","BEST_FPERIOD_OVERRIDE=FY","FILING_STATUS=OR","EQY_CONSOLIDATED=Y","Sort=A","Dates=H","DateFormat=P","Fill=—","Direction=H","UseDPDF=Y")</f>
        <v>#NAME?</v>
      </c>
      <c r="CW478" s="4" t="e">
        <f ca="1">_xll.BDH($C$478,"ACCT_RCV_TURN","FY 2014","FY 2014","Currency=INR","Period=FY","BEST_FPERIOD_OVERRIDE=FY","FILING_STATUS=OR","EQY_CONSOLIDATED=Y","FA_ADJUSTED=GAAP","Sort=A","Dates=H","DateFormat=P","Fill=—","Direction=H","UseDPDF=Y")</f>
        <v>#NAME?</v>
      </c>
      <c r="CX478" s="2" t="e">
        <f ca="1">_xll.BDH($C$478,"ACCT_RCV_DAYS","FY 2014","FY 2014","Currency=INR","Period=FY","BEST_FPERIOD_OVERRIDE=FY","FILING_STATUS=OR","EQY_CONSOLIDATED=Y","FA_ADJUSTED=GAAP","Sort=A","Dates=H","DateFormat=P","Fill=—","Direction=H","UseDPDF=Y")</f>
        <v>#NAME?</v>
      </c>
      <c r="CY478" s="4" t="e">
        <f ca="1">_xll.BDH($C$478,"INVENT_TURN","FY 2014","FY 2014","Currency=INR","Period=FY","BEST_FPERIOD_OVERRIDE=FY","FILING_STATUS=OR","EQY_CONSOLIDATED=Y","FA_ADJUSTED=GAAP","Sort=A","Dates=H","DateFormat=P","Fill=—","Direction=H","UseDPDF=Y")</f>
        <v>#NAME?</v>
      </c>
      <c r="CZ478" s="2" t="e">
        <f ca="1">_xll.BDH($C$478,"INVENT_DAYS","FY 2014","FY 2014","Currency=INR","Period=FY","BEST_FPERIOD_OVERRIDE=FY","FILING_STATUS=OR","EQY_CONSOLIDATED=Y","FA_ADJUSTED=GAAP","Sort=A","Dates=H","DateFormat=P","Fill=—","Direction=H","UseDPDF=Y")</f>
        <v>#NAME?</v>
      </c>
      <c r="DA478" s="4" t="e">
        <f ca="1">_xll.BDH($C$478,"ACCOUNTS_PAYABLE_TURNOVER","FY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478" s="2" t="e">
        <f ca="1">_xll.BDH($C$478,"ACCOUNTS_PAYABLE_TURNOVER_DAYS","FY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478" s="4" t="e">
        <f ca="1">_xll.BDH($C$478,"CASH_CONVERSION_CYCLE","FY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478" s="4" t="e">
        <f ca="1">_xll.BDH($C$478,"INV_TO_CASH_DAYS","FY 2014","FY 2014","Currency=INR","Period=FY","BEST_FPERIOD_OVERRIDE=FY","FILING_STATUS=OR","EQY_CONSOLIDATED=Y","FA_ADJUSTED=GAAP","Sort=A","Dates=H","DateFormat=P","Fill=—","Direction=H","UseDPDF=Y")</f>
        <v>#NAME?</v>
      </c>
      <c r="DE478" s="5" t="e">
        <f ca="1">_xll.BDH($C$478,"BS_INVENTORIES","FY 2014","FY 2014","Currency=INR","Period=FY","BEST_FPERIOD_OVERRIDE=FY","FILING_STATUS=OR","EQY_CONSOLIDATED=Y","SCALING_FORMAT=MLN","Sort=A","Dates=H","DateFormat=P","Fill=—","Direction=H","UseDPDF=Y")</f>
        <v>#NAME?</v>
      </c>
      <c r="DF478" s="3" t="e">
        <f ca="1">_xll.BDH($C$478,"INVTRY_RAW_MATERIALS","FY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478" s="3" t="e">
        <f ca="1">_xll.BDH($C$478,"INVTRY_IN_PROGRESS","FY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478" s="3" t="e">
        <f ca="1">_xll.BDH($C$478,"INVTRY_FINISHED_GOODS","FY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478" s="3" t="e">
        <f ca="1">_xll.BDH($C$478,"BS_OTHER_INV","FY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479" spans="1:113" x14ac:dyDescent="0.3">
      <c r="A479" s="6"/>
      <c r="B479" s="6"/>
      <c r="C479" s="6"/>
      <c r="D479" s="6"/>
      <c r="E479" t="s">
        <v>78</v>
      </c>
      <c r="F479" t="e">
        <f ca="1">_xll.BDH($C$478,"RETURN_COM_EQY","FQ1 2014","FQ1 2014","Currency=INR","Period=FQ","BEST_FPERIOD_OVERRIDE=FQ","FILING_STATUS=OR","EQY_CONSOLIDATED=Y","FA_ADJUSTED=GAAP","Sort=A","Dates=H","DateFormat=P","Fill=—","Direction=H","UseDPDF=Y")</f>
        <v>#NAME?</v>
      </c>
      <c r="G479" t="e">
        <f ca="1">_xll.BDH($C$478,"RETURN_ON_ASSET","FQ1 2014","FQ1 2014","Currency=INR","Period=FQ","BEST_FPERIOD_OVERRIDE=FQ","FILING_STATUS=OR","EQY_CONSOLIDATED=Y","FA_ADJUSTED=GAAP","Sort=A","Dates=H","DateFormat=P","Fill=—","Direction=H","UseDPDF=Y")</f>
        <v>#NAME?</v>
      </c>
      <c r="H479" t="e">
        <f ca="1">_xll.BDH($C$478,"RETURN_ON_CAP","FQ1 2014","FQ1 2014","Currency=INR","Period=FQ","BEST_FPERIOD_OVERRIDE=FQ","FILING_STATUS=OR","EQY_CONSOLIDATED=Y","FA_ADJUSTED=GAAP","Sort=A","Dates=H","DateFormat=P","Fill=—","Direction=H","UseDPDF=Y")</f>
        <v>#NAME?</v>
      </c>
      <c r="I479" t="e">
        <f ca="1">_xll.BDH($C$478,"RETURN_ON_INV_CAPITAL","FQ1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479" t="e">
        <f ca="1">_xll.BDH($C$478,"EBITDA_TO_REVENUE","FQ1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479" t="e">
        <f ca="1">_xll.BDH($C$478,"OPER_MARGIN","FQ1 2014","FQ1 2014","Currency=INR","Period=FQ","BEST_FPERIOD_OVERRIDE=FQ","FILING_STATUS=OR","EQY_CONSOLIDATED=Y","FA_ADJUSTED=GAAP","Sort=A","Dates=H","DateFormat=P","Fill=—","Direction=H","UseDPDF=Y")</f>
        <v>#NAME?</v>
      </c>
      <c r="L479" t="e">
        <f ca="1">_xll.BDH($C$478,"INCREMENTAL_OPERATING_MARGIN","FQ1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479" t="e">
        <f ca="1">_xll.BDH($C$478,"PRETAX_INC_TO_NET_SALES","FQ1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479" t="e">
        <f ca="1">_xll.BDH($C$478,"INC_BEF_XO_ITEMS_TO_NET_SALES","FQ1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479" t="e">
        <f ca="1">_xll.BDH($C$478,"PROF_MARGIN","FQ1 2014","FQ1 2014","Currency=INR","Period=FQ","BEST_FPERIOD_OVERRIDE=FQ","FILING_STATUS=OR","EQY_CONSOLIDATED=Y","FA_ADJUSTED=GAAP","Sort=A","Dates=H","DateFormat=P","Fill=—","Direction=H","UseDPDF=Y")</f>
        <v>#NAME?</v>
      </c>
      <c r="P479" t="e">
        <f ca="1">_xll.BDH($C$478,"NET_INCOME_TO_COMMON_MARGIN","FQ1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479" t="e">
        <f ca="1">_xll.BDH($C$478,"EFF_TAX_RATE","FQ1 2014","FQ1 2014","Currency=INR","Period=FQ","BEST_FPERIOD_OVERRIDE=FQ","FILING_STATUS=OR","EQY_CONSOLIDATED=Y","FA_ADJUSTED=GAAP","Sort=A","Dates=H","DateFormat=P","Fill=—","Direction=H","UseDPDF=Y")</f>
        <v>#NAME?</v>
      </c>
      <c r="R479" t="e">
        <f ca="1">_xll.BDH($C$478,"DVD_PAYOUT_RATIO","FQ1 2014","FQ1 2014","Currency=INR","Period=FQ","BEST_FPERIOD_OVERRIDE=FQ","FILING_STATUS=OR","EQY_CONSOLIDATED=Y","FA_ADJUSTED=GAAP","Sort=A","Dates=H","DateFormat=P","Fill=—","Direction=H","UseDPDF=Y")</f>
        <v>#NAME?</v>
      </c>
      <c r="S479" t="e">
        <f ca="1">_xll.BDH($C$478,"SUSTAIN_GROWTH_RT","FQ1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479" s="2" t="e">
        <f ca="1">_xll.BDH($C$478,"SALES_GROWTH","FQ1 2014","FQ1 2014","Currency=INR","Period=FQ","BEST_FPERIOD_OVERRIDE=FQ","FILING_STATUS=OR","EQY_CONSOLIDATED=Y","FA_ADJUSTED=GAAP","Sort=A","Dates=H","DateFormat=P","Fill=—","Direction=H","UseDPDF=Y")</f>
        <v>#NAME?</v>
      </c>
      <c r="U479" s="2" t="e">
        <f ca="1">_xll.BDH($C$478,"EBITDA_GROWTH","FQ1 2014","FQ1 2014","Currency=INR","Period=FQ","BEST_FPERIOD_OVERRIDE=FQ","FILING_STATUS=OR","EQY_CONSOLIDATED=Y","FA_ADJUSTED=GAAP","Sort=A","Dates=H","DateFormat=P","Fill=—","Direction=H","UseDPDF=Y")</f>
        <v>#NAME?</v>
      </c>
      <c r="V479" s="2" t="e">
        <f ca="1">_xll.BDH($C$478,"OPER_INC_GROWTH","FQ1 2014","FQ1 2014","Currency=INR","Period=FQ","BEST_FPERIOD_OVERRIDE=FQ","FILING_STATUS=OR","EQY_CONSOLIDATED=Y","FA_ADJUSTED=GAAP","Sort=A","Dates=H","DateFormat=P","Fill=—","Direction=H","UseDPDF=Y")</f>
        <v>#NAME?</v>
      </c>
      <c r="W479" s="2" t="e">
        <f ca="1">_xll.BDH($C$478,"EARN_FOR_COM_GROWTH","FQ1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479" s="2" t="e">
        <f ca="1">_xll.BDH($C$478,"DILUTED_EPS_AFT_XO_ITEMS_GROWTH","FQ1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479" s="2" t="e">
        <f ca="1">_xll.BDH($C$478,"DIVIDEND_PER_SHARE_1_YEAR_GROWTH","FQ1 2014","FQ1 2014","Currency=INR","Period=FQ","BEST_FPERIOD_OVERRIDE=FQ","FILING_STATUS=OR","EQY_CONSOLIDATED=Y","Sort=A","Dates=H","DateFormat=P","Fill=—","Direction=H","UseDPDF=Y")</f>
        <v>#NAME?</v>
      </c>
      <c r="Z479" s="2" t="e">
        <f ca="1">_xll.BDH($C$478,"ACCOUNTS_RECEIVABLE_GROWTH","FQ1 2014","FQ1 2014","Currency=INR","Period=FQ","BEST_FPERIOD_OVERRIDE=FQ","FILING_STATUS=OR","EQY_CONSOLIDATED=Y","Sort=A","Dates=H","DateFormat=P","Fill=—","Direction=H","UseDPDF=Y")</f>
        <v>#NAME?</v>
      </c>
      <c r="AA479" s="2" t="e">
        <f ca="1">_xll.BDH($C$478,"INVENTORY_GROWTH","FQ1 2014","FQ1 2014","Currency=INR","Period=FQ","BEST_FPERIOD_OVERRIDE=FQ","FILING_STATUS=OR","EQY_CONSOLIDATED=Y","Sort=A","Dates=H","DateFormat=P","Fill=—","Direction=H","UseDPDF=Y")</f>
        <v>#NAME?</v>
      </c>
      <c r="AB479" s="2" t="e">
        <f ca="1">_xll.BDH($C$478,"NET_FIXED_ASSETS_1_YEAR_GROWTH","FQ1 2014","FQ1 2014","Currency=INR","Period=FQ","BEST_FPERIOD_OVERRIDE=FQ","FILING_STATUS=OR","EQY_CONSOLIDATED=Y","Sort=A","Dates=H","DateFormat=P","Fill=—","Direction=H","UseDPDF=Y")</f>
        <v>#NAME?</v>
      </c>
      <c r="AC479" s="2" t="e">
        <f ca="1">_xll.BDH($C$478,"ASSET_GROWTH","FQ1 2014","FQ1 2014","Currency=INR","Period=FQ","BEST_FPERIOD_OVERRIDE=FQ","FILING_STATUS=OR","EQY_CONSOLIDATED=Y","Sort=A","Dates=H","DateFormat=P","Fill=—","Direction=H","UseDPDF=Y")</f>
        <v>#NAME?</v>
      </c>
      <c r="AD479" s="2" t="e">
        <f ca="1">_xll.BDH($C$478,"MODIFIED_WORK_CAP_GROWTH","FQ1 2014","FQ1 2014","Currency=INR","Period=FQ","BEST_FPERIOD_OVERRIDE=FQ","FILING_STATUS=OR","EQY_CONSOLIDATED=Y","Sort=A","Dates=H","DateFormat=P","Fill=—","Direction=H","UseDPDF=Y")</f>
        <v>#NAME?</v>
      </c>
      <c r="AE479" s="2" t="e">
        <f ca="1">_xll.BDH($C$478,"WORK_CAP_GROWTH","FQ1 2014","FQ1 2014","Currency=INR","Period=FQ","BEST_FPERIOD_OVERRIDE=FQ","FILING_STATUS=OR","EQY_CONSOLIDATED=Y","Sort=A","Dates=H","DateFormat=P","Fill=—","Direction=H","UseDPDF=Y")</f>
        <v>#NAME?</v>
      </c>
      <c r="AF479" s="2" t="e">
        <f ca="1">_xll.BDH($C$478,"ACCOUNTS_PAYABLE_GROWTH_1YR","FQ1 2014","FQ1 2014","Currency=INR","Period=FQ","BEST_FPERIOD_OVERRIDE=FQ","FILING_STATUS=OR","EQY_CONSOLIDATED=Y","Sort=A","Dates=H","DateFormat=P","Fill=—","Direction=H","UseDPDF=Y")</f>
        <v>#NAME?</v>
      </c>
      <c r="AG479" s="2" t="e">
        <f ca="1">_xll.BDH($C$478,"SHORT_TERM_DEBT_1_YEAR_GROWTH","FQ1 2014","FQ1 2014","Currency=INR","Period=FQ","BEST_FPERIOD_OVERRIDE=FQ","FILING_STATUS=OR","EQY_CONSOLIDATED=Y","Sort=A","Dates=H","DateFormat=P","Fill=—","Direction=H","UseDPDF=Y")</f>
        <v>#NAME?</v>
      </c>
      <c r="AH479" s="2" t="e">
        <f ca="1">_xll.BDH($C$478,"TOTAL_DEBT_1_YEAR_GROWTH","FQ1 2014","FQ1 2014","Currency=INR","Period=FQ","BEST_FPERIOD_OVERRIDE=FQ","FILING_STATUS=OR","EQY_CONSOLIDATED=Y","Sort=A","Dates=H","DateFormat=P","Fill=—","Direction=H","UseDPDF=Y")</f>
        <v>#NAME?</v>
      </c>
      <c r="AI479" s="2" t="e">
        <f ca="1">_xll.BDH($C$478,"TOTAL_EQUITY_1_YEAR_GROWTH","FQ1 2014","FQ1 2014","Currency=INR","Period=FQ","BEST_FPERIOD_OVERRIDE=FQ","FILING_STATUS=OR","EQY_CONSOLIDATED=Y","Sort=A","Dates=H","DateFormat=P","Fill=—","Direction=H","UseDPDF=Y")</f>
        <v>#NAME?</v>
      </c>
      <c r="AJ479" s="2" t="e">
        <f ca="1">_xll.BDH($C$478,"GROWTH_IN_CAP","FQ1 2014","FQ1 2014","Currency=INR","Period=FQ","BEST_FPERIOD_OVERRIDE=FQ","FILING_STATUS=OR","EQY_CONSOLIDATED=Y","Sort=A","Dates=H","DateFormat=P","Fill=—","Direction=H","UseDPDF=Y")</f>
        <v>#NAME?</v>
      </c>
      <c r="AK479" s="2" t="e">
        <f ca="1">_xll.BDH($C$478,"BVPS_GROWTH","FQ1 2014","FQ1 2014","Currency=INR","Period=FQ","BEST_FPERIOD_OVERRIDE=FQ","FILING_STATUS=OR","EQY_CONSOLIDATED=Y","Sort=A","Dates=H","DateFormat=P","Fill=—","Direction=H","UseDPDF=Y")</f>
        <v>#NAME?</v>
      </c>
      <c r="AL479" s="2" t="e">
        <f ca="1">_xll.BDH($C$478,"CASH_FLOW_GROWTH","FQ1 2014","FQ1 2014","Currency=INR","Period=FQ","BEST_FPERIOD_OVERRIDE=FQ","FILING_STATUS=OR","EQY_CONSOLIDATED=Y","Sort=A","Dates=H","DateFormat=P","Fill=—","Direction=H","UseDPDF=Y")</f>
        <v>#NAME?</v>
      </c>
      <c r="AM479" s="2" t="e">
        <f ca="1">_xll.BDH($C$478,"GEO_GROW_NET_SALES","FQ1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479" s="2" t="e">
        <f ca="1">_xll.BDH($C$478,"GEO_GROW_EBITDA","FQ1 2014","FQ1 2014","Currency=INR","Period=FQ","BEST_FPERIOD_OVERRIDE=FQ","FILING_STATUS=OR","EQY_CONSOLIDATED=Y","FA_ADJUSTED=GAAP","Sort=A","Dates=H","DateFormat=P","Fill=—","Direction=H","UseDPDF=Y")</f>
        <v>#NAME?</v>
      </c>
      <c r="AO479" s="2" t="e">
        <f ca="1">_xll.BDH($C$478,"GEO_GROW_OPER_INC","FQ1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479" s="2" t="e">
        <f ca="1">_xll.BDH($C$478,"NET_INCOME_TO_COMMON_5_YR_GROWTH","FQ1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479" s="2" t="e">
        <f ca="1">_xll.BDH($C$478,"5Y_GEO_GROWTH_DILUTED_EPS","FQ1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479" s="2" t="e">
        <f ca="1">_xll.BDH($C$478,"GEO_GROW_DVD_PER_SH","FQ1 2014","FQ1 2014","Currency=INR","Period=FQ","BEST_FPERIOD_OVERRIDE=FQ","FILING_STATUS=OR","EQY_CONSOLIDATED=Y","Sort=A","Dates=H","DateFormat=P","Fill=—","Direction=H","UseDPDF=Y")</f>
        <v>#NAME?</v>
      </c>
      <c r="AS479" s="2" t="e">
        <f ca="1">_xll.BDH($C$478,"ACCOUNTS_RECEIVABLE_5_YR_GROWTH","FQ1 2014","FQ1 2014","Currency=INR","Period=FQ","BEST_FPERIOD_OVERRIDE=FQ","FILING_STATUS=OR","EQY_CONSOLIDATED=Y","Sort=A","Dates=H","DateFormat=P","Fill=—","Direction=H","UseDPDF=Y")</f>
        <v>#NAME?</v>
      </c>
      <c r="AT479" s="2" t="e">
        <f ca="1">_xll.BDH($C$478,"INVENTORY_5_YEAR_GROWTH","FQ1 2014","FQ1 2014","Currency=INR","Period=FQ","BEST_FPERIOD_OVERRIDE=FQ","FILING_STATUS=OR","EQY_CONSOLIDATED=Y","Sort=A","Dates=H","DateFormat=P","Fill=—","Direction=H","UseDPDF=Y")</f>
        <v>#NAME?</v>
      </c>
      <c r="AU479" s="2" t="e">
        <f ca="1">_xll.BDH($C$478,"NET_FIXED_ASSETS_5_YEAR_GROWTH","FQ1 2014","FQ1 2014","Currency=INR","Period=FQ","BEST_FPERIOD_OVERRIDE=FQ","FILING_STATUS=OR","EQY_CONSOLIDATED=Y","Sort=A","Dates=H","DateFormat=P","Fill=—","Direction=H","UseDPDF=Y")</f>
        <v>#NAME?</v>
      </c>
      <c r="AV479" s="2" t="e">
        <f ca="1">_xll.BDH($C$478,"GEO_GROW_TOT_ASSET","FQ1 2014","FQ1 2014","Currency=INR","Period=FQ","BEST_FPERIOD_OVERRIDE=FQ","FILING_STATUS=OR","EQY_CONSOLIDATED=Y","Sort=A","Dates=H","DateFormat=P","Fill=—","Direction=H","UseDPDF=Y")</f>
        <v>#NAME?</v>
      </c>
      <c r="AW479" s="2" t="e">
        <f ca="1">_xll.BDH($C$478,"MODIFIED_WORKING_CPTL_5YR_GRWTH","FQ1 2014","FQ1 2014","Currency=INR","Period=FQ","BEST_FPERIOD_OVERRIDE=FQ","FILING_STATUS=OR","EQY_CONSOLIDATED=Y","Sort=A","Dates=H","DateFormat=P","Fill=—","Direction=H","UseDPDF=Y")</f>
        <v>#NAME?</v>
      </c>
      <c r="AX479" s="2" t="e">
        <f ca="1">_xll.BDH($C$478,"WORKING_CAPITAL_5_YEAR_GROWTH","FQ1 2014","FQ1 2014","Currency=INR","Period=FQ","BEST_FPERIOD_OVERRIDE=FQ","FILING_STATUS=OR","EQY_CONSOLIDATED=Y","Sort=A","Dates=H","DateFormat=P","Fill=—","Direction=H","UseDPDF=Y")</f>
        <v>#NAME?</v>
      </c>
      <c r="AY479" s="2" t="e">
        <f ca="1">_xll.BDH($C$478,"ACCOUNTS_PAYABLE_5_YEAR_GROWTH","FQ1 2014","FQ1 2014","Currency=INR","Period=FQ","BEST_FPERIOD_OVERRIDE=FQ","FILING_STATUS=OR","EQY_CONSOLIDATED=Y","Sort=A","Dates=H","DateFormat=P","Fill=—","Direction=H","UseDPDF=Y")</f>
        <v>#NAME?</v>
      </c>
      <c r="AZ479" s="2" t="e">
        <f ca="1">_xll.BDH($C$478,"SHORT_TERM_DEBT_5_YEAR_GROWTH","FQ1 2014","FQ1 2014","Currency=INR","Period=FQ","BEST_FPERIOD_OVERRIDE=FQ","FILING_STATUS=OR","EQY_CONSOLIDATED=Y","Sort=A","Dates=H","DateFormat=P","Fill=—","Direction=H","UseDPDF=Y")</f>
        <v>#NAME?</v>
      </c>
      <c r="BA479" s="2" t="e">
        <f ca="1">_xll.BDH($C$478,"TOTAL_DEBT_5_YEAR_GROWTH","FQ1 2014","FQ1 2014","Currency=INR","Period=FQ","BEST_FPERIOD_OVERRIDE=FQ","FILING_STATUS=OR","EQY_CONSOLIDATED=Y","Sort=A","Dates=H","DateFormat=P","Fill=—","Direction=H","UseDPDF=Y")</f>
        <v>#NAME?</v>
      </c>
      <c r="BB479" s="2" t="e">
        <f ca="1">_xll.BDH($C$478,"GEO_GROW_TOT_SHRHLDR_EQY","FQ1 2014","FQ1 2014","Currency=INR","Period=FQ","BEST_FPERIOD_OVERRIDE=FQ","FILING_STATUS=OR","EQY_CONSOLIDATED=Y","Sort=A","Dates=H","DateFormat=P","Fill=—","Direction=H","UseDPDF=Y")</f>
        <v>#NAME?</v>
      </c>
      <c r="BC479" s="2" t="e">
        <f ca="1">_xll.BDH($C$478,"TOTAL_CAPITAL_5_YEAR_GROWTH","FQ1 2014","FQ1 2014","Currency=INR","Period=FQ","BEST_FPERIOD_OVERRIDE=FQ","FILING_STATUS=OR","EQY_CONSOLIDATED=Y","Sort=A","Dates=H","DateFormat=P","Fill=—","Direction=H","UseDPDF=Y")</f>
        <v>#NAME?</v>
      </c>
      <c r="BD479" s="2" t="e">
        <f ca="1">_xll.BDH($C$478,"GEO_GROW_BOOK_VAL","FQ1 2014","FQ1 2014","Currency=INR","Period=FQ","BEST_FPERIOD_OVERRIDE=FQ","FILING_STATUS=OR","EQY_CONSOLIDATED=Y","Sort=A","Dates=H","DateFormat=P","Fill=—","Direction=H","UseDPDF=Y")</f>
        <v>#NAME?</v>
      </c>
      <c r="BE479" s="2" t="e">
        <f ca="1">_xll.BDH($C$478,"GEO_GROW_CASH_OPER_ACT","FQ1 2014","FQ1 2014","Currency=INR","Period=FQ","BEST_FPERIOD_OVERRIDE=FQ","FILING_STATUS=OR","EQY_CONSOLIDATED=Y","Sort=A","Dates=H","DateFormat=P","Fill=—","Direction=H","UseDPDF=Y")</f>
        <v>#NAME?</v>
      </c>
      <c r="BF479" s="2" t="e">
        <f ca="1">_xll.BDH($C$478,"REVENUE_SEQUENTIAL_GROWTH","FQ1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479" s="2" t="e">
        <f ca="1">_xll.BDH($C$478,"EBITDA_SEQUENTIAL_GROWTH","FQ1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479" s="2" t="e">
        <f ca="1">_xll.BDH($C$478,"OPERATING_INCOME_SEQ_GROWTH","FQ1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479" s="2" t="e">
        <f ca="1">_xll.BDH($C$478,"NET_INCOME_TO_COMMON_SEQ_GROWTH","FQ1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479" s="2" t="e">
        <f ca="1">_xll.BDH($C$478,"EPS_DILUTED_SEQUENTIAL_GROWTH","FQ1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479" s="2" t="e">
        <f ca="1">_xll.BDH($C$478,"DPS_SEQUENTIAL_GROWTH","FQ1 2014","FQ1 2014","Currency=INR","Period=FQ","BEST_FPERIOD_OVERRIDE=FQ","FILING_STATUS=OR","EQY_CONSOLIDATED=Y","Sort=A","Dates=H","DateFormat=P","Fill=—","Direction=H","UseDPDF=Y")</f>
        <v>#NAME?</v>
      </c>
      <c r="BL479" s="2" t="e">
        <f ca="1">_xll.BDH($C$478,"ACCOUNTS_RECEIVABLE_SEQ_GROWTH","FQ1 2014","FQ1 2014","Currency=INR","Period=FQ","BEST_FPERIOD_OVERRIDE=FQ","FILING_STATUS=OR","EQY_CONSOLIDATED=Y","Sort=A","Dates=H","DateFormat=P","Fill=—","Direction=H","UseDPDF=Y")</f>
        <v>#NAME?</v>
      </c>
      <c r="BM479" s="2" t="e">
        <f ca="1">_xll.BDH($C$478,"INVENTORY_SEQUENTIAL_GROWTH","FQ1 2014","FQ1 2014","Currency=INR","Period=FQ","BEST_FPERIOD_OVERRIDE=FQ","FILING_STATUS=OR","EQY_CONSOLIDATED=Y","Sort=A","Dates=H","DateFormat=P","Fill=—","Direction=H","UseDPDF=Y")</f>
        <v>#NAME?</v>
      </c>
      <c r="BN479" s="2" t="e">
        <f ca="1">_xll.BDH($C$478,"FIXED_ASSETS_SEQUENTIAL_GROWTH","FQ1 2014","FQ1 2014","Currency=INR","Period=FQ","BEST_FPERIOD_OVERRIDE=FQ","FILING_STATUS=OR","EQY_CONSOLIDATED=Y","Sort=A","Dates=H","DateFormat=P","Fill=—","Direction=H","UseDPDF=Y")</f>
        <v>#NAME?</v>
      </c>
      <c r="BO479" s="2" t="e">
        <f ca="1">_xll.BDH($C$478,"TOTAL_ASSETS_SEQUENTIAL_GROWTH","FQ1 2014","FQ1 2014","Currency=INR","Period=FQ","BEST_FPERIOD_OVERRIDE=FQ","FILING_STATUS=OR","EQY_CONSOLIDATED=Y","Sort=A","Dates=H","DateFormat=P","Fill=—","Direction=H","UseDPDF=Y")</f>
        <v>#NAME?</v>
      </c>
      <c r="BP479" s="2" t="e">
        <f ca="1">_xll.BDH($C$478,"MODIFIED_WORKING_CPTL_SEQ_GRWTH","FQ1 2014","FQ1 2014","Currency=INR","Period=FQ","BEST_FPERIOD_OVERRIDE=FQ","FILING_STATUS=OR","EQY_CONSOLIDATED=Y","Sort=A","Dates=H","DateFormat=P","Fill=—","Direction=H","UseDPDF=Y")</f>
        <v>#NAME?</v>
      </c>
      <c r="BQ479" s="2" t="e">
        <f ca="1">_xll.BDH($C$478,"WORKING_CAPITAL_SEQ_GROWTH","FQ1 2014","FQ1 2014","Currency=INR","Period=FQ","BEST_FPERIOD_OVERRIDE=FQ","FILING_STATUS=OR","EQY_CONSOLIDATED=Y","Sort=A","Dates=H","DateFormat=P","Fill=—","Direction=H","UseDPDF=Y")</f>
        <v>#NAME?</v>
      </c>
      <c r="BR479" s="2" t="e">
        <f ca="1">_xll.BDH($C$478,"ACCOUNTS_PAYABLE_SEQ_GROWTH","FQ1 2014","FQ1 2014","Currency=INR","Period=FQ","BEST_FPERIOD_OVERRIDE=FQ","FILING_STATUS=OR","EQY_CONSOLIDATED=Y","Sort=A","Dates=H","DateFormat=P","Fill=—","Direction=H","UseDPDF=Y")</f>
        <v>#NAME?</v>
      </c>
      <c r="BS479" s="2" t="e">
        <f ca="1">_xll.BDH($C$478,"ST_DEBT_SEQUENTIAL_GROWTH","FQ1 2014","FQ1 2014","Currency=INR","Period=FQ","BEST_FPERIOD_OVERRIDE=FQ","FILING_STATUS=OR","EQY_CONSOLIDATED=Y","Sort=A","Dates=H","DateFormat=P","Fill=—","Direction=H","UseDPDF=Y")</f>
        <v>#NAME?</v>
      </c>
      <c r="BT479" s="2" t="e">
        <f ca="1">_xll.BDH($C$478,"TOTAL_DEBT_SEQUENTIAL_GROWTH","FQ1 2014","FQ1 2014","Currency=INR","Period=FQ","BEST_FPERIOD_OVERRIDE=FQ","FILING_STATUS=OR","EQY_CONSOLIDATED=Y","Sort=A","Dates=H","DateFormat=P","Fill=—","Direction=H","UseDPDF=Y")</f>
        <v>#NAME?</v>
      </c>
      <c r="BU479" s="2" t="e">
        <f ca="1">_xll.BDH($C$478,"TOTAL_EQUITY_SEQUENTIAL_GROWTH","FQ1 2014","FQ1 2014","Currency=INR","Period=FQ","BEST_FPERIOD_OVERRIDE=FQ","FILING_STATUS=OR","EQY_CONSOLIDATED=Y","Sort=A","Dates=H","DateFormat=P","Fill=—","Direction=H","UseDPDF=Y")</f>
        <v>#NAME?</v>
      </c>
      <c r="BV479" s="2" t="e">
        <f ca="1">_xll.BDH($C$478,"TOTAL_CAPITAL_SEQUENTIAL_GROWTH","FQ1 2014","FQ1 2014","Currency=INR","Period=FQ","BEST_FPERIOD_OVERRIDE=FQ","FILING_STATUS=OR","EQY_CONSOLIDATED=Y","Sort=A","Dates=H","DateFormat=P","Fill=—","Direction=H","UseDPDF=Y")</f>
        <v>#NAME?</v>
      </c>
      <c r="BW479" s="2" t="e">
        <f ca="1">_xll.BDH($C$478,"BPS_SEQUENTIAL_GROWTH","FQ1 2014","FQ1 2014","Currency=INR","Period=FQ","BEST_FPERIOD_OVERRIDE=FQ","FILING_STATUS=OR","EQY_CONSOLIDATED=Y","Sort=A","Dates=H","DateFormat=P","Fill=—","Direction=H","UseDPDF=Y")</f>
        <v>#NAME?</v>
      </c>
      <c r="BX479" s="2" t="e">
        <f ca="1">_xll.BDH($C$478,"CFO_SEQUENTIAL_GROWTH","FQ1 2014","FQ1 2014","Currency=INR","Period=FQ","BEST_FPERIOD_OVERRIDE=FQ","FILING_STATUS=OR","EQY_CONSOLIDATED=Y","Sort=A","Dates=H","DateFormat=P","Fill=—","Direction=H","UseDPDF=Y")</f>
        <v>#NAME?</v>
      </c>
      <c r="BY479" s="3" t="e">
        <f ca="1">_xll.BDH($C$478,"SHORT_AND_LONG_TERM_DEBT","FQ1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479" s="3" t="e">
        <f ca="1">_xll.BDH($C$478,"BS_ST_BORROW","FQ1 2014","FQ1 2014","Currency=INR","Period=FQ","BEST_FPERIOD_OVERRIDE=FQ","FILING_STATUS=OR","EQY_CONSOLIDATED=Y","SCALING_FORMAT=MLN","Sort=A","Dates=H","DateFormat=P","Fill=—","Direction=H","UseDPDF=Y")</f>
        <v>#NAME?</v>
      </c>
      <c r="CA479" s="3" t="e">
        <f ca="1">_xll.BDH($C$478,"BS_LT_BORROW","FQ1 2014","FQ1 2014","Currency=INR","Period=FQ","BEST_FPERIOD_OVERRIDE=FQ","FILING_STATUS=OR","EQY_CONSOLIDATED=Y","SCALING_FORMAT=MLN","Sort=A","Dates=H","DateFormat=P","Fill=—","Direction=H","UseDPDF=Y")</f>
        <v>#NAME?</v>
      </c>
      <c r="CB479" s="2" t="e">
        <f ca="1">_xll.BDH($C$478,"TOT_DEBT_TO_EBITDA","FQ1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479" s="2" t="e">
        <f ca="1">_xll.BDH($C$478,"NET_DEBT_TO_EBITDA","FQ1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479" s="2" t="e">
        <f ca="1">_xll.BDH($C$478,"TOTAL_DEBT_TO_EBIT","FQ1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479" s="2" t="e">
        <f ca="1">_xll.BDH($C$478,"NET_DEBT_TO_EBIT","FQ1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479" s="2" t="e">
        <f ca="1">_xll.BDH($C$478,"EBITDA_TO_INTEREST_EXPN","FQ1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479" s="2" t="e">
        <f ca="1">_xll.BDH($C$478,"COM_EQY_TO_TOT_ASSET","FQ1 2014","FQ1 2014","Currency=INR","Period=FQ","BEST_FPERIOD_OVERRIDE=FQ","FILING_STATUS=OR","EQY_CONSOLIDATED=Y","Sort=A","Dates=H","DateFormat=P","Fill=—","Direction=H","UseDPDF=Y")</f>
        <v>#NAME?</v>
      </c>
      <c r="CH479" s="2" t="e">
        <f ca="1">_xll.BDH($C$478,"LT_DEBT_TO_TOT_EQY","FQ1 2014","FQ1 2014","Currency=INR","Period=FQ","BEST_FPERIOD_OVERRIDE=FQ","FILING_STATUS=OR","EQY_CONSOLIDATED=Y","Sort=A","Dates=H","DateFormat=P","Fill=—","Direction=H","UseDPDF=Y")</f>
        <v>#NAME?</v>
      </c>
      <c r="CI479" s="2" t="e">
        <f ca="1">_xll.BDH($C$478,"LT_DEBT_TO_TOT_CAP","FQ1 2014","FQ1 2014","Currency=INR","Period=FQ","BEST_FPERIOD_OVERRIDE=FQ","FILING_STATUS=OR","EQY_CONSOLIDATED=Y","Sort=A","Dates=H","DateFormat=P","Fill=—","Direction=H","UseDPDF=Y")</f>
        <v>#NAME?</v>
      </c>
      <c r="CJ479" s="2" t="e">
        <f ca="1">_xll.BDH($C$478,"LT_DEBT_TO_TOT_ASSET","FQ1 2014","FQ1 2014","Currency=INR","Period=FQ","BEST_FPERIOD_OVERRIDE=FQ","FILING_STATUS=OR","EQY_CONSOLIDATED=Y","Sort=A","Dates=H","DateFormat=P","Fill=—","Direction=H","UseDPDF=Y")</f>
        <v>#NAME?</v>
      </c>
      <c r="CK479" s="2" t="e">
        <f ca="1">_xll.BDH($C$478,"TOT_DEBT_TO_TOT_EQY","FQ1 2014","FQ1 2014","Currency=INR","Period=FQ","BEST_FPERIOD_OVERRIDE=FQ","FILING_STATUS=OR","EQY_CONSOLIDATED=Y","Sort=A","Dates=H","DateFormat=P","Fill=—","Direction=H","UseDPDF=Y")</f>
        <v>#NAME?</v>
      </c>
      <c r="CL479" s="2" t="e">
        <f ca="1">_xll.BDH($C$478,"TOT_DEBT_TO_TOT_CAP","FQ1 2014","FQ1 2014","Currency=INR","Period=FQ","BEST_FPERIOD_OVERRIDE=FQ","FILING_STATUS=OR","EQY_CONSOLIDATED=Y","Sort=A","Dates=H","DateFormat=P","Fill=—","Direction=H","UseDPDF=Y")</f>
        <v>#NAME?</v>
      </c>
      <c r="CM479" s="2" t="e">
        <f ca="1">_xll.BDH($C$478,"TOT_DEBT_TO_TOT_ASSET","FQ1 2014","FQ1 2014","Currency=INR","Period=FQ","BEST_FPERIOD_OVERRIDE=FQ","FILING_STATUS=OR","EQY_CONSOLIDATED=Y","Sort=A","Dates=H","DateFormat=P","Fill=—","Direction=H","UseDPDF=Y")</f>
        <v>#NAME?</v>
      </c>
      <c r="CN479" s="2" t="e">
        <f ca="1">_xll.BDH($C$478,"NET_DEBT_TO_SHRHLDR_EQTY","FQ1 2014","FQ1 2014","Currency=INR","Period=FQ","BEST_FPERIOD_OVERRIDE=FQ","FILING_STATUS=OR","EQY_CONSOLIDATED=Y","Sort=A","Dates=H","DateFormat=P","Fill=—","Direction=H","UseDPDF=Y")</f>
        <v>#NAME?</v>
      </c>
      <c r="CO479" s="2" t="e">
        <f ca="1">_xll.BDH($C$478,"NET_DEBT_%_CAPITAL","FQ1 2014","FQ1 2014","Currency=INR","Period=FQ","BEST_FPERIOD_OVERRIDE=FQ","FILING_STATUS=OR","EQY_CONSOLIDATED=Y","Sort=A","Dates=H","DateFormat=P","Fill=—","Direction=H","UseDPDF=Y")</f>
        <v>#NAME?</v>
      </c>
      <c r="CP479" s="3" t="e">
        <f ca="1">_xll.BDH($C$478,"EBITDA","FQ1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479" s="3" t="e">
        <f ca="1">_xll.BDH($C$478,"EBITDA_AFTER_CAPEX","FQ1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479" s="3" t="e">
        <f ca="1">_xll.BDH($C$478,"IS_OPER_INC","FQ1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479" s="2" t="e">
        <f ca="1">_xll.BDH($C$478,"CASH_RATIO","FQ1 2014","FQ1 2014","Currency=INR","Period=FQ","BEST_FPERIOD_OVERRIDE=FQ","FILING_STATUS=OR","EQY_CONSOLIDATED=Y","Sort=A","Dates=H","DateFormat=P","Fill=—","Direction=H","UseDPDF=Y")</f>
        <v>#NAME?</v>
      </c>
      <c r="CT479" s="2" t="e">
        <f ca="1">_xll.BDH($C$478,"CUR_RATIO","FQ1 2014","FQ1 2014","Currency=INR","Period=FQ","BEST_FPERIOD_OVERRIDE=FQ","FILING_STATUS=OR","EQY_CONSOLIDATED=Y","Sort=A","Dates=H","DateFormat=P","Fill=—","Direction=H","UseDPDF=Y")</f>
        <v>#NAME?</v>
      </c>
      <c r="CU479" s="2" t="e">
        <f ca="1">_xll.BDH($C$478,"QUICK_RATIO","FQ1 2014","FQ1 2014","Currency=INR","Period=FQ","BEST_FPERIOD_OVERRIDE=FQ","FILING_STATUS=OR","EQY_CONSOLIDATED=Y","Sort=A","Dates=H","DateFormat=P","Fill=—","Direction=H","UseDPDF=Y")</f>
        <v>#NAME?</v>
      </c>
      <c r="CV479" s="2" t="e">
        <f ca="1">_xll.BDH($C$478,"ALTMAN_Z_SCORE","FQ1 2014","FQ1 2014","Currency=INR","Period=FQ","BEST_FPERIOD_OVERRIDE=FQ","FILING_STATUS=OR","EQY_CONSOLIDATED=Y","Sort=A","Dates=H","DateFormat=P","Fill=—","Direction=H","UseDPDF=Y")</f>
        <v>#NAME?</v>
      </c>
      <c r="CW479" s="4" t="e">
        <f ca="1">_xll.BDH($C$478,"ACCT_RCV_TURN","FQ1 2014","FQ1 2014","Currency=INR","Period=FQ","BEST_FPERIOD_OVERRIDE=FQ","FILING_STATUS=OR","EQY_CONSOLIDATED=Y","FA_ADJUSTED=GAAP","Sort=A","Dates=H","DateFormat=P","Fill=—","Direction=H","UseDPDF=Y")</f>
        <v>#NAME?</v>
      </c>
      <c r="CX479" s="2" t="e">
        <f ca="1">_xll.BDH($C$478,"ACCT_RCV_DAYS","FQ1 2014","FQ1 2014","Currency=INR","Period=FQ","BEST_FPERIOD_OVERRIDE=FQ","FILING_STATUS=OR","EQY_CONSOLIDATED=Y","FA_ADJUSTED=GAAP","Sort=A","Dates=H","DateFormat=P","Fill=—","Direction=H","UseDPDF=Y")</f>
        <v>#NAME?</v>
      </c>
      <c r="CY479" s="4" t="e">
        <f ca="1">_xll.BDH($C$478,"INVENT_TURN","FQ1 2014","FQ1 2014","Currency=INR","Period=FQ","BEST_FPERIOD_OVERRIDE=FQ","FILING_STATUS=OR","EQY_CONSOLIDATED=Y","FA_ADJUSTED=GAAP","Sort=A","Dates=H","DateFormat=P","Fill=—","Direction=H","UseDPDF=Y")</f>
        <v>#NAME?</v>
      </c>
      <c r="CZ479" s="2" t="e">
        <f ca="1">_xll.BDH($C$478,"INVENT_DAYS","FQ1 2014","FQ1 2014","Currency=INR","Period=FQ","BEST_FPERIOD_OVERRIDE=FQ","FILING_STATUS=OR","EQY_CONSOLIDATED=Y","FA_ADJUSTED=GAAP","Sort=A","Dates=H","DateFormat=P","Fill=—","Direction=H","UseDPDF=Y")</f>
        <v>#NAME?</v>
      </c>
      <c r="DA479" s="4" t="e">
        <f ca="1">_xll.BDH($C$478,"ACCOUNTS_PAYABLE_TURNOVER","FQ1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479" s="2" t="e">
        <f ca="1">_xll.BDH($C$478,"ACCOUNTS_PAYABLE_TURNOVER_DAYS","FQ1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479" s="4" t="e">
        <f ca="1">_xll.BDH($C$478,"CASH_CONVERSION_CYCLE","FQ1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479" s="4" t="e">
        <f ca="1">_xll.BDH($C$478,"INV_TO_CASH_DAYS","FQ1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479" s="5" t="e">
        <f ca="1">_xll.BDH($C$478,"BS_INVENTORIES","FQ1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479" s="3" t="e">
        <f ca="1">_xll.BDH($C$478,"INVTRY_RAW_MATERIALS","FQ1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479" s="3" t="e">
        <f ca="1">_xll.BDH($C$478,"INVTRY_IN_PROGRESS","FQ1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479" s="3" t="e">
        <f ca="1">_xll.BDH($C$478,"INVTRY_FINISHED_GOODS","FQ1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479" s="3" t="e">
        <f ca="1">_xll.BDH($C$478,"BS_OTHER_INV","FQ1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480" spans="1:113" x14ac:dyDescent="0.3">
      <c r="A480" s="6"/>
      <c r="B480" s="6"/>
      <c r="C480" s="6"/>
      <c r="D480" s="6"/>
      <c r="E480" t="s">
        <v>79</v>
      </c>
      <c r="F480" t="e">
        <f ca="1">_xll.BDH($C$478,"RETURN_COM_EQY","FQ2 2014","FQ2 2014","Currency=INR","Period=FQ","BEST_FPERIOD_OVERRIDE=FQ","FILING_STATUS=OR","EQY_CONSOLIDATED=Y","FA_ADJUSTED=GAAP","Sort=A","Dates=H","DateFormat=P","Fill=—","Direction=H","UseDPDF=Y")</f>
        <v>#NAME?</v>
      </c>
      <c r="G480" t="e">
        <f ca="1">_xll.BDH($C$478,"RETURN_ON_ASSET","FQ2 2014","FQ2 2014","Currency=INR","Period=FQ","BEST_FPERIOD_OVERRIDE=FQ","FILING_STATUS=OR","EQY_CONSOLIDATED=Y","FA_ADJUSTED=GAAP","Sort=A","Dates=H","DateFormat=P","Fill=—","Direction=H","UseDPDF=Y")</f>
        <v>#NAME?</v>
      </c>
      <c r="H480" t="e">
        <f ca="1">_xll.BDH($C$478,"RETURN_ON_CAP","FQ2 2014","FQ2 2014","Currency=INR","Period=FQ","BEST_FPERIOD_OVERRIDE=FQ","FILING_STATUS=OR","EQY_CONSOLIDATED=Y","FA_ADJUSTED=GAAP","Sort=A","Dates=H","DateFormat=P","Fill=—","Direction=H","UseDPDF=Y")</f>
        <v>#NAME?</v>
      </c>
      <c r="I480" t="e">
        <f ca="1">_xll.BDH($C$478,"RETURN_ON_INV_CAPITAL","FQ2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480" t="e">
        <f ca="1">_xll.BDH($C$478,"EBITDA_TO_REVENUE","FQ2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480" t="e">
        <f ca="1">_xll.BDH($C$478,"OPER_MARGIN","FQ2 2014","FQ2 2014","Currency=INR","Period=FQ","BEST_FPERIOD_OVERRIDE=FQ","FILING_STATUS=OR","EQY_CONSOLIDATED=Y","FA_ADJUSTED=GAAP","Sort=A","Dates=H","DateFormat=P","Fill=—","Direction=H","UseDPDF=Y")</f>
        <v>#NAME?</v>
      </c>
      <c r="L480" t="e">
        <f ca="1">_xll.BDH($C$478,"INCREMENTAL_OPERATING_MARGIN","FQ2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480" t="e">
        <f ca="1">_xll.BDH($C$478,"PRETAX_INC_TO_NET_SALES","FQ2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480" t="e">
        <f ca="1">_xll.BDH($C$478,"INC_BEF_XO_ITEMS_TO_NET_SALES","FQ2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480" t="e">
        <f ca="1">_xll.BDH($C$478,"PROF_MARGIN","FQ2 2014","FQ2 2014","Currency=INR","Period=FQ","BEST_FPERIOD_OVERRIDE=FQ","FILING_STATUS=OR","EQY_CONSOLIDATED=Y","FA_ADJUSTED=GAAP","Sort=A","Dates=H","DateFormat=P","Fill=—","Direction=H","UseDPDF=Y")</f>
        <v>#NAME?</v>
      </c>
      <c r="P480" t="e">
        <f ca="1">_xll.BDH($C$478,"NET_INCOME_TO_COMMON_MARGIN","FQ2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480" t="e">
        <f ca="1">_xll.BDH($C$478,"EFF_TAX_RATE","FQ2 2014","FQ2 2014","Currency=INR","Period=FQ","BEST_FPERIOD_OVERRIDE=FQ","FILING_STATUS=OR","EQY_CONSOLIDATED=Y","FA_ADJUSTED=GAAP","Sort=A","Dates=H","DateFormat=P","Fill=—","Direction=H","UseDPDF=Y")</f>
        <v>#NAME?</v>
      </c>
      <c r="R480" t="e">
        <f ca="1">_xll.BDH($C$478,"DVD_PAYOUT_RATIO","FQ2 2014","FQ2 2014","Currency=INR","Period=FQ","BEST_FPERIOD_OVERRIDE=FQ","FILING_STATUS=OR","EQY_CONSOLIDATED=Y","FA_ADJUSTED=GAAP","Sort=A","Dates=H","DateFormat=P","Fill=—","Direction=H","UseDPDF=Y")</f>
        <v>#NAME?</v>
      </c>
      <c r="S480" t="e">
        <f ca="1">_xll.BDH($C$478,"SUSTAIN_GROWTH_RT","FQ2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480" s="2" t="e">
        <f ca="1">_xll.BDH($C$478,"SALES_GROWTH","FQ2 2014","FQ2 2014","Currency=INR","Period=FQ","BEST_FPERIOD_OVERRIDE=FQ","FILING_STATUS=OR","EQY_CONSOLIDATED=Y","FA_ADJUSTED=GAAP","Sort=A","Dates=H","DateFormat=P","Fill=—","Direction=H","UseDPDF=Y")</f>
        <v>#NAME?</v>
      </c>
      <c r="U480" s="2" t="e">
        <f ca="1">_xll.BDH($C$478,"EBITDA_GROWTH","FQ2 2014","FQ2 2014","Currency=INR","Period=FQ","BEST_FPERIOD_OVERRIDE=FQ","FILING_STATUS=OR","EQY_CONSOLIDATED=Y","FA_ADJUSTED=GAAP","Sort=A","Dates=H","DateFormat=P","Fill=—","Direction=H","UseDPDF=Y")</f>
        <v>#NAME?</v>
      </c>
      <c r="V480" s="2" t="e">
        <f ca="1">_xll.BDH($C$478,"OPER_INC_GROWTH","FQ2 2014","FQ2 2014","Currency=INR","Period=FQ","BEST_FPERIOD_OVERRIDE=FQ","FILING_STATUS=OR","EQY_CONSOLIDATED=Y","FA_ADJUSTED=GAAP","Sort=A","Dates=H","DateFormat=P","Fill=—","Direction=H","UseDPDF=Y")</f>
        <v>#NAME?</v>
      </c>
      <c r="W480" s="2" t="e">
        <f ca="1">_xll.BDH($C$478,"EARN_FOR_COM_GROWTH","FQ2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480" s="2" t="e">
        <f ca="1">_xll.BDH($C$478,"DILUTED_EPS_AFT_XO_ITEMS_GROWTH","FQ2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480" s="2" t="e">
        <f ca="1">_xll.BDH($C$478,"DIVIDEND_PER_SHARE_1_YEAR_GROWTH","FQ2 2014","FQ2 2014","Currency=INR","Period=FQ","BEST_FPERIOD_OVERRIDE=FQ","FILING_STATUS=OR","EQY_CONSOLIDATED=Y","Sort=A","Dates=H","DateFormat=P","Fill=—","Direction=H","UseDPDF=Y")</f>
        <v>#NAME?</v>
      </c>
      <c r="Z480" s="2" t="e">
        <f ca="1">_xll.BDH($C$478,"ACCOUNTS_RECEIVABLE_GROWTH","FQ2 2014","FQ2 2014","Currency=INR","Period=FQ","BEST_FPERIOD_OVERRIDE=FQ","FILING_STATUS=OR","EQY_CONSOLIDATED=Y","Sort=A","Dates=H","DateFormat=P","Fill=—","Direction=H","UseDPDF=Y")</f>
        <v>#NAME?</v>
      </c>
      <c r="AA480" s="2" t="e">
        <f ca="1">_xll.BDH($C$478,"INVENTORY_GROWTH","FQ2 2014","FQ2 2014","Currency=INR","Period=FQ","BEST_FPERIOD_OVERRIDE=FQ","FILING_STATUS=OR","EQY_CONSOLIDATED=Y","Sort=A","Dates=H","DateFormat=P","Fill=—","Direction=H","UseDPDF=Y")</f>
        <v>#NAME?</v>
      </c>
      <c r="AB480" s="2" t="e">
        <f ca="1">_xll.BDH($C$478,"NET_FIXED_ASSETS_1_YEAR_GROWTH","FQ2 2014","FQ2 2014","Currency=INR","Period=FQ","BEST_FPERIOD_OVERRIDE=FQ","FILING_STATUS=OR","EQY_CONSOLIDATED=Y","Sort=A","Dates=H","DateFormat=P","Fill=—","Direction=H","UseDPDF=Y")</f>
        <v>#NAME?</v>
      </c>
      <c r="AC480" s="2" t="e">
        <f ca="1">_xll.BDH($C$478,"ASSET_GROWTH","FQ2 2014","FQ2 2014","Currency=INR","Period=FQ","BEST_FPERIOD_OVERRIDE=FQ","FILING_STATUS=OR","EQY_CONSOLIDATED=Y","Sort=A","Dates=H","DateFormat=P","Fill=—","Direction=H","UseDPDF=Y")</f>
        <v>#NAME?</v>
      </c>
      <c r="AD480" s="2" t="e">
        <f ca="1">_xll.BDH($C$478,"MODIFIED_WORK_CAP_GROWTH","FQ2 2014","FQ2 2014","Currency=INR","Period=FQ","BEST_FPERIOD_OVERRIDE=FQ","FILING_STATUS=OR","EQY_CONSOLIDATED=Y","Sort=A","Dates=H","DateFormat=P","Fill=—","Direction=H","UseDPDF=Y")</f>
        <v>#NAME?</v>
      </c>
      <c r="AE480" s="2" t="e">
        <f ca="1">_xll.BDH($C$478,"WORK_CAP_GROWTH","FQ2 2014","FQ2 2014","Currency=INR","Period=FQ","BEST_FPERIOD_OVERRIDE=FQ","FILING_STATUS=OR","EQY_CONSOLIDATED=Y","Sort=A","Dates=H","DateFormat=P","Fill=—","Direction=H","UseDPDF=Y")</f>
        <v>#NAME?</v>
      </c>
      <c r="AF480" s="2" t="e">
        <f ca="1">_xll.BDH($C$478,"ACCOUNTS_PAYABLE_GROWTH_1YR","FQ2 2014","FQ2 2014","Currency=INR","Period=FQ","BEST_FPERIOD_OVERRIDE=FQ","FILING_STATUS=OR","EQY_CONSOLIDATED=Y","Sort=A","Dates=H","DateFormat=P","Fill=—","Direction=H","UseDPDF=Y")</f>
        <v>#NAME?</v>
      </c>
      <c r="AG480" s="2" t="e">
        <f ca="1">_xll.BDH($C$478,"SHORT_TERM_DEBT_1_YEAR_GROWTH","FQ2 2014","FQ2 2014","Currency=INR","Period=FQ","BEST_FPERIOD_OVERRIDE=FQ","FILING_STATUS=OR","EQY_CONSOLIDATED=Y","Sort=A","Dates=H","DateFormat=P","Fill=—","Direction=H","UseDPDF=Y")</f>
        <v>#NAME?</v>
      </c>
      <c r="AH480" s="2" t="e">
        <f ca="1">_xll.BDH($C$478,"TOTAL_DEBT_1_YEAR_GROWTH","FQ2 2014","FQ2 2014","Currency=INR","Period=FQ","BEST_FPERIOD_OVERRIDE=FQ","FILING_STATUS=OR","EQY_CONSOLIDATED=Y","Sort=A","Dates=H","DateFormat=P","Fill=—","Direction=H","UseDPDF=Y")</f>
        <v>#NAME?</v>
      </c>
      <c r="AI480" s="2" t="e">
        <f ca="1">_xll.BDH($C$478,"TOTAL_EQUITY_1_YEAR_GROWTH","FQ2 2014","FQ2 2014","Currency=INR","Period=FQ","BEST_FPERIOD_OVERRIDE=FQ","FILING_STATUS=OR","EQY_CONSOLIDATED=Y","Sort=A","Dates=H","DateFormat=P","Fill=—","Direction=H","UseDPDF=Y")</f>
        <v>#NAME?</v>
      </c>
      <c r="AJ480" s="2" t="e">
        <f ca="1">_xll.BDH($C$478,"GROWTH_IN_CAP","FQ2 2014","FQ2 2014","Currency=INR","Period=FQ","BEST_FPERIOD_OVERRIDE=FQ","FILING_STATUS=OR","EQY_CONSOLIDATED=Y","Sort=A","Dates=H","DateFormat=P","Fill=—","Direction=H","UseDPDF=Y")</f>
        <v>#NAME?</v>
      </c>
      <c r="AK480" s="2" t="e">
        <f ca="1">_xll.BDH($C$478,"BVPS_GROWTH","FQ2 2014","FQ2 2014","Currency=INR","Period=FQ","BEST_FPERIOD_OVERRIDE=FQ","FILING_STATUS=OR","EQY_CONSOLIDATED=Y","Sort=A","Dates=H","DateFormat=P","Fill=—","Direction=H","UseDPDF=Y")</f>
        <v>#NAME?</v>
      </c>
      <c r="AL480" s="2" t="e">
        <f ca="1">_xll.BDH($C$478,"CASH_FLOW_GROWTH","FQ2 2014","FQ2 2014","Currency=INR","Period=FQ","BEST_FPERIOD_OVERRIDE=FQ","FILING_STATUS=OR","EQY_CONSOLIDATED=Y","Sort=A","Dates=H","DateFormat=P","Fill=—","Direction=H","UseDPDF=Y")</f>
        <v>#NAME?</v>
      </c>
      <c r="AM480" s="2" t="e">
        <f ca="1">_xll.BDH($C$478,"GEO_GROW_NET_SALES","FQ2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480" s="2" t="e">
        <f ca="1">_xll.BDH($C$478,"GEO_GROW_EBITDA","FQ2 2014","FQ2 2014","Currency=INR","Period=FQ","BEST_FPERIOD_OVERRIDE=FQ","FILING_STATUS=OR","EQY_CONSOLIDATED=Y","FA_ADJUSTED=GAAP","Sort=A","Dates=H","DateFormat=P","Fill=—","Direction=H","UseDPDF=Y")</f>
        <v>#NAME?</v>
      </c>
      <c r="AO480" s="2" t="e">
        <f ca="1">_xll.BDH($C$478,"GEO_GROW_OPER_INC","FQ2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480" s="2" t="e">
        <f ca="1">_xll.BDH($C$478,"NET_INCOME_TO_COMMON_5_YR_GROWTH","FQ2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480" s="2" t="e">
        <f ca="1">_xll.BDH($C$478,"5Y_GEO_GROWTH_DILUTED_EPS","FQ2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480" s="2" t="e">
        <f ca="1">_xll.BDH($C$478,"GEO_GROW_DVD_PER_SH","FQ2 2014","FQ2 2014","Currency=INR","Period=FQ","BEST_FPERIOD_OVERRIDE=FQ","FILING_STATUS=OR","EQY_CONSOLIDATED=Y","Sort=A","Dates=H","DateFormat=P","Fill=—","Direction=H","UseDPDF=Y")</f>
        <v>#NAME?</v>
      </c>
      <c r="AS480" s="2" t="e">
        <f ca="1">_xll.BDH($C$478,"ACCOUNTS_RECEIVABLE_5_YR_GROWTH","FQ2 2014","FQ2 2014","Currency=INR","Period=FQ","BEST_FPERIOD_OVERRIDE=FQ","FILING_STATUS=OR","EQY_CONSOLIDATED=Y","Sort=A","Dates=H","DateFormat=P","Fill=—","Direction=H","UseDPDF=Y")</f>
        <v>#NAME?</v>
      </c>
      <c r="AT480" s="2" t="e">
        <f ca="1">_xll.BDH($C$478,"INVENTORY_5_YEAR_GROWTH","FQ2 2014","FQ2 2014","Currency=INR","Period=FQ","BEST_FPERIOD_OVERRIDE=FQ","FILING_STATUS=OR","EQY_CONSOLIDATED=Y","Sort=A","Dates=H","DateFormat=P","Fill=—","Direction=H","UseDPDF=Y")</f>
        <v>#NAME?</v>
      </c>
      <c r="AU480" s="2" t="e">
        <f ca="1">_xll.BDH($C$478,"NET_FIXED_ASSETS_5_YEAR_GROWTH","FQ2 2014","FQ2 2014","Currency=INR","Period=FQ","BEST_FPERIOD_OVERRIDE=FQ","FILING_STATUS=OR","EQY_CONSOLIDATED=Y","Sort=A","Dates=H","DateFormat=P","Fill=—","Direction=H","UseDPDF=Y")</f>
        <v>#NAME?</v>
      </c>
      <c r="AV480" s="2" t="e">
        <f ca="1">_xll.BDH($C$478,"GEO_GROW_TOT_ASSET","FQ2 2014","FQ2 2014","Currency=INR","Period=FQ","BEST_FPERIOD_OVERRIDE=FQ","FILING_STATUS=OR","EQY_CONSOLIDATED=Y","Sort=A","Dates=H","DateFormat=P","Fill=—","Direction=H","UseDPDF=Y")</f>
        <v>#NAME?</v>
      </c>
      <c r="AW480" s="2" t="e">
        <f ca="1">_xll.BDH($C$478,"MODIFIED_WORKING_CPTL_5YR_GRWTH","FQ2 2014","FQ2 2014","Currency=INR","Period=FQ","BEST_FPERIOD_OVERRIDE=FQ","FILING_STATUS=OR","EQY_CONSOLIDATED=Y","Sort=A","Dates=H","DateFormat=P","Fill=—","Direction=H","UseDPDF=Y")</f>
        <v>#NAME?</v>
      </c>
      <c r="AX480" s="2" t="e">
        <f ca="1">_xll.BDH($C$478,"WORKING_CAPITAL_5_YEAR_GROWTH","FQ2 2014","FQ2 2014","Currency=INR","Period=FQ","BEST_FPERIOD_OVERRIDE=FQ","FILING_STATUS=OR","EQY_CONSOLIDATED=Y","Sort=A","Dates=H","DateFormat=P","Fill=—","Direction=H","UseDPDF=Y")</f>
        <v>#NAME?</v>
      </c>
      <c r="AY480" s="2" t="e">
        <f ca="1">_xll.BDH($C$478,"ACCOUNTS_PAYABLE_5_YEAR_GROWTH","FQ2 2014","FQ2 2014","Currency=INR","Period=FQ","BEST_FPERIOD_OVERRIDE=FQ","FILING_STATUS=OR","EQY_CONSOLIDATED=Y","Sort=A","Dates=H","DateFormat=P","Fill=—","Direction=H","UseDPDF=Y")</f>
        <v>#NAME?</v>
      </c>
      <c r="AZ480" s="2" t="e">
        <f ca="1">_xll.BDH($C$478,"SHORT_TERM_DEBT_5_YEAR_GROWTH","FQ2 2014","FQ2 2014","Currency=INR","Period=FQ","BEST_FPERIOD_OVERRIDE=FQ","FILING_STATUS=OR","EQY_CONSOLIDATED=Y","Sort=A","Dates=H","DateFormat=P","Fill=—","Direction=H","UseDPDF=Y")</f>
        <v>#NAME?</v>
      </c>
      <c r="BA480" s="2" t="e">
        <f ca="1">_xll.BDH($C$478,"TOTAL_DEBT_5_YEAR_GROWTH","FQ2 2014","FQ2 2014","Currency=INR","Period=FQ","BEST_FPERIOD_OVERRIDE=FQ","FILING_STATUS=OR","EQY_CONSOLIDATED=Y","Sort=A","Dates=H","DateFormat=P","Fill=—","Direction=H","UseDPDF=Y")</f>
        <v>#NAME?</v>
      </c>
      <c r="BB480" s="2" t="e">
        <f ca="1">_xll.BDH($C$478,"GEO_GROW_TOT_SHRHLDR_EQY","FQ2 2014","FQ2 2014","Currency=INR","Period=FQ","BEST_FPERIOD_OVERRIDE=FQ","FILING_STATUS=OR","EQY_CONSOLIDATED=Y","Sort=A","Dates=H","DateFormat=P","Fill=—","Direction=H","UseDPDF=Y")</f>
        <v>#NAME?</v>
      </c>
      <c r="BC480" s="2" t="e">
        <f ca="1">_xll.BDH($C$478,"TOTAL_CAPITAL_5_YEAR_GROWTH","FQ2 2014","FQ2 2014","Currency=INR","Period=FQ","BEST_FPERIOD_OVERRIDE=FQ","FILING_STATUS=OR","EQY_CONSOLIDATED=Y","Sort=A","Dates=H","DateFormat=P","Fill=—","Direction=H","UseDPDF=Y")</f>
        <v>#NAME?</v>
      </c>
      <c r="BD480" s="2" t="e">
        <f ca="1">_xll.BDH($C$478,"GEO_GROW_BOOK_VAL","FQ2 2014","FQ2 2014","Currency=INR","Period=FQ","BEST_FPERIOD_OVERRIDE=FQ","FILING_STATUS=OR","EQY_CONSOLIDATED=Y","Sort=A","Dates=H","DateFormat=P","Fill=—","Direction=H","UseDPDF=Y")</f>
        <v>#NAME?</v>
      </c>
      <c r="BE480" s="2" t="e">
        <f ca="1">_xll.BDH($C$478,"GEO_GROW_CASH_OPER_ACT","FQ2 2014","FQ2 2014","Currency=INR","Period=FQ","BEST_FPERIOD_OVERRIDE=FQ","FILING_STATUS=OR","EQY_CONSOLIDATED=Y","Sort=A","Dates=H","DateFormat=P","Fill=—","Direction=H","UseDPDF=Y")</f>
        <v>#NAME?</v>
      </c>
      <c r="BF480" s="2" t="e">
        <f ca="1">_xll.BDH($C$478,"REVENUE_SEQUENTIAL_GROWTH","FQ2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480" s="2" t="e">
        <f ca="1">_xll.BDH($C$478,"EBITDA_SEQUENTIAL_GROWTH","FQ2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480" s="2" t="e">
        <f ca="1">_xll.BDH($C$478,"OPERATING_INCOME_SEQ_GROWTH","FQ2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480" s="2" t="e">
        <f ca="1">_xll.BDH($C$478,"NET_INCOME_TO_COMMON_SEQ_GROWTH","FQ2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480" s="2" t="e">
        <f ca="1">_xll.BDH($C$478,"EPS_DILUTED_SEQUENTIAL_GROWTH","FQ2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480" s="2" t="e">
        <f ca="1">_xll.BDH($C$478,"DPS_SEQUENTIAL_GROWTH","FQ2 2014","FQ2 2014","Currency=INR","Period=FQ","BEST_FPERIOD_OVERRIDE=FQ","FILING_STATUS=OR","EQY_CONSOLIDATED=Y","Sort=A","Dates=H","DateFormat=P","Fill=—","Direction=H","UseDPDF=Y")</f>
        <v>#NAME?</v>
      </c>
      <c r="BL480" s="2" t="e">
        <f ca="1">_xll.BDH($C$478,"ACCOUNTS_RECEIVABLE_SEQ_GROWTH","FQ2 2014","FQ2 2014","Currency=INR","Period=FQ","BEST_FPERIOD_OVERRIDE=FQ","FILING_STATUS=OR","EQY_CONSOLIDATED=Y","Sort=A","Dates=H","DateFormat=P","Fill=—","Direction=H","UseDPDF=Y")</f>
        <v>#NAME?</v>
      </c>
      <c r="BM480" s="2" t="e">
        <f ca="1">_xll.BDH($C$478,"INVENTORY_SEQUENTIAL_GROWTH","FQ2 2014","FQ2 2014","Currency=INR","Period=FQ","BEST_FPERIOD_OVERRIDE=FQ","FILING_STATUS=OR","EQY_CONSOLIDATED=Y","Sort=A","Dates=H","DateFormat=P","Fill=—","Direction=H","UseDPDF=Y")</f>
        <v>#NAME?</v>
      </c>
      <c r="BN480" s="2" t="e">
        <f ca="1">_xll.BDH($C$478,"FIXED_ASSETS_SEQUENTIAL_GROWTH","FQ2 2014","FQ2 2014","Currency=INR","Period=FQ","BEST_FPERIOD_OVERRIDE=FQ","FILING_STATUS=OR","EQY_CONSOLIDATED=Y","Sort=A","Dates=H","DateFormat=P","Fill=—","Direction=H","UseDPDF=Y")</f>
        <v>#NAME?</v>
      </c>
      <c r="BO480" s="2" t="e">
        <f ca="1">_xll.BDH($C$478,"TOTAL_ASSETS_SEQUENTIAL_GROWTH","FQ2 2014","FQ2 2014","Currency=INR","Period=FQ","BEST_FPERIOD_OVERRIDE=FQ","FILING_STATUS=OR","EQY_CONSOLIDATED=Y","Sort=A","Dates=H","DateFormat=P","Fill=—","Direction=H","UseDPDF=Y")</f>
        <v>#NAME?</v>
      </c>
      <c r="BP480" s="2" t="e">
        <f ca="1">_xll.BDH($C$478,"MODIFIED_WORKING_CPTL_SEQ_GRWTH","FQ2 2014","FQ2 2014","Currency=INR","Period=FQ","BEST_FPERIOD_OVERRIDE=FQ","FILING_STATUS=OR","EQY_CONSOLIDATED=Y","Sort=A","Dates=H","DateFormat=P","Fill=—","Direction=H","UseDPDF=Y")</f>
        <v>#NAME?</v>
      </c>
      <c r="BQ480" s="2" t="e">
        <f ca="1">_xll.BDH($C$478,"WORKING_CAPITAL_SEQ_GROWTH","FQ2 2014","FQ2 2014","Currency=INR","Period=FQ","BEST_FPERIOD_OVERRIDE=FQ","FILING_STATUS=OR","EQY_CONSOLIDATED=Y","Sort=A","Dates=H","DateFormat=P","Fill=—","Direction=H","UseDPDF=Y")</f>
        <v>#NAME?</v>
      </c>
      <c r="BR480" s="2" t="e">
        <f ca="1">_xll.BDH($C$478,"ACCOUNTS_PAYABLE_SEQ_GROWTH","FQ2 2014","FQ2 2014","Currency=INR","Period=FQ","BEST_FPERIOD_OVERRIDE=FQ","FILING_STATUS=OR","EQY_CONSOLIDATED=Y","Sort=A","Dates=H","DateFormat=P","Fill=—","Direction=H","UseDPDF=Y")</f>
        <v>#NAME?</v>
      </c>
      <c r="BS480" s="2" t="e">
        <f ca="1">_xll.BDH($C$478,"ST_DEBT_SEQUENTIAL_GROWTH","FQ2 2014","FQ2 2014","Currency=INR","Period=FQ","BEST_FPERIOD_OVERRIDE=FQ","FILING_STATUS=OR","EQY_CONSOLIDATED=Y","Sort=A","Dates=H","DateFormat=P","Fill=—","Direction=H","UseDPDF=Y")</f>
        <v>#NAME?</v>
      </c>
      <c r="BT480" s="2" t="e">
        <f ca="1">_xll.BDH($C$478,"TOTAL_DEBT_SEQUENTIAL_GROWTH","FQ2 2014","FQ2 2014","Currency=INR","Period=FQ","BEST_FPERIOD_OVERRIDE=FQ","FILING_STATUS=OR","EQY_CONSOLIDATED=Y","Sort=A","Dates=H","DateFormat=P","Fill=—","Direction=H","UseDPDF=Y")</f>
        <v>#NAME?</v>
      </c>
      <c r="BU480" s="2" t="e">
        <f ca="1">_xll.BDH($C$478,"TOTAL_EQUITY_SEQUENTIAL_GROWTH","FQ2 2014","FQ2 2014","Currency=INR","Period=FQ","BEST_FPERIOD_OVERRIDE=FQ","FILING_STATUS=OR","EQY_CONSOLIDATED=Y","Sort=A","Dates=H","DateFormat=P","Fill=—","Direction=H","UseDPDF=Y")</f>
        <v>#NAME?</v>
      </c>
      <c r="BV480" s="2" t="e">
        <f ca="1">_xll.BDH($C$478,"TOTAL_CAPITAL_SEQUENTIAL_GROWTH","FQ2 2014","FQ2 2014","Currency=INR","Period=FQ","BEST_FPERIOD_OVERRIDE=FQ","FILING_STATUS=OR","EQY_CONSOLIDATED=Y","Sort=A","Dates=H","DateFormat=P","Fill=—","Direction=H","UseDPDF=Y")</f>
        <v>#NAME?</v>
      </c>
      <c r="BW480" s="2" t="e">
        <f ca="1">_xll.BDH($C$478,"BPS_SEQUENTIAL_GROWTH","FQ2 2014","FQ2 2014","Currency=INR","Period=FQ","BEST_FPERIOD_OVERRIDE=FQ","FILING_STATUS=OR","EQY_CONSOLIDATED=Y","Sort=A","Dates=H","DateFormat=P","Fill=—","Direction=H","UseDPDF=Y")</f>
        <v>#NAME?</v>
      </c>
      <c r="BX480" s="2" t="e">
        <f ca="1">_xll.BDH($C$478,"CFO_SEQUENTIAL_GROWTH","FQ2 2014","FQ2 2014","Currency=INR","Period=FQ","BEST_FPERIOD_OVERRIDE=FQ","FILING_STATUS=OR","EQY_CONSOLIDATED=Y","Sort=A","Dates=H","DateFormat=P","Fill=—","Direction=H","UseDPDF=Y")</f>
        <v>#NAME?</v>
      </c>
      <c r="BY480" s="3" t="e">
        <f ca="1">_xll.BDH($C$478,"SHORT_AND_LONG_TERM_DEBT","FQ2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480" s="3" t="e">
        <f ca="1">_xll.BDH($C$478,"BS_ST_BORROW","FQ2 2014","FQ2 2014","Currency=INR","Period=FQ","BEST_FPERIOD_OVERRIDE=FQ","FILING_STATUS=OR","EQY_CONSOLIDATED=Y","SCALING_FORMAT=MLN","Sort=A","Dates=H","DateFormat=P","Fill=—","Direction=H","UseDPDF=Y")</f>
        <v>#NAME?</v>
      </c>
      <c r="CA480" s="3" t="e">
        <f ca="1">_xll.BDH($C$478,"BS_LT_BORROW","FQ2 2014","FQ2 2014","Currency=INR","Period=FQ","BEST_FPERIOD_OVERRIDE=FQ","FILING_STATUS=OR","EQY_CONSOLIDATED=Y","SCALING_FORMAT=MLN","Sort=A","Dates=H","DateFormat=P","Fill=—","Direction=H","UseDPDF=Y")</f>
        <v>#NAME?</v>
      </c>
      <c r="CB480" s="2" t="e">
        <f ca="1">_xll.BDH($C$478,"TOT_DEBT_TO_EBITDA","FQ2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480" s="2" t="e">
        <f ca="1">_xll.BDH($C$478,"NET_DEBT_TO_EBITDA","FQ2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480" s="2" t="e">
        <f ca="1">_xll.BDH($C$478,"TOTAL_DEBT_TO_EBIT","FQ2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480" s="2" t="e">
        <f ca="1">_xll.BDH($C$478,"NET_DEBT_TO_EBIT","FQ2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480" s="2" t="e">
        <f ca="1">_xll.BDH($C$478,"EBITDA_TO_INTEREST_EXPN","FQ2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480" s="2" t="e">
        <f ca="1">_xll.BDH($C$478,"COM_EQY_TO_TOT_ASSET","FQ2 2014","FQ2 2014","Currency=INR","Period=FQ","BEST_FPERIOD_OVERRIDE=FQ","FILING_STATUS=OR","EQY_CONSOLIDATED=Y","Sort=A","Dates=H","DateFormat=P","Fill=—","Direction=H","UseDPDF=Y")</f>
        <v>#NAME?</v>
      </c>
      <c r="CH480" s="2" t="e">
        <f ca="1">_xll.BDH($C$478,"LT_DEBT_TO_TOT_EQY","FQ2 2014","FQ2 2014","Currency=INR","Period=FQ","BEST_FPERIOD_OVERRIDE=FQ","FILING_STATUS=OR","EQY_CONSOLIDATED=Y","Sort=A","Dates=H","DateFormat=P","Fill=—","Direction=H","UseDPDF=Y")</f>
        <v>#NAME?</v>
      </c>
      <c r="CI480" s="2" t="e">
        <f ca="1">_xll.BDH($C$478,"LT_DEBT_TO_TOT_CAP","FQ2 2014","FQ2 2014","Currency=INR","Period=FQ","BEST_FPERIOD_OVERRIDE=FQ","FILING_STATUS=OR","EQY_CONSOLIDATED=Y","Sort=A","Dates=H","DateFormat=P","Fill=—","Direction=H","UseDPDF=Y")</f>
        <v>#NAME?</v>
      </c>
      <c r="CJ480" s="2" t="e">
        <f ca="1">_xll.BDH($C$478,"LT_DEBT_TO_TOT_ASSET","FQ2 2014","FQ2 2014","Currency=INR","Period=FQ","BEST_FPERIOD_OVERRIDE=FQ","FILING_STATUS=OR","EQY_CONSOLIDATED=Y","Sort=A","Dates=H","DateFormat=P","Fill=—","Direction=H","UseDPDF=Y")</f>
        <v>#NAME?</v>
      </c>
      <c r="CK480" s="2" t="e">
        <f ca="1">_xll.BDH($C$478,"TOT_DEBT_TO_TOT_EQY","FQ2 2014","FQ2 2014","Currency=INR","Period=FQ","BEST_FPERIOD_OVERRIDE=FQ","FILING_STATUS=OR","EQY_CONSOLIDATED=Y","Sort=A","Dates=H","DateFormat=P","Fill=—","Direction=H","UseDPDF=Y")</f>
        <v>#NAME?</v>
      </c>
      <c r="CL480" s="2" t="e">
        <f ca="1">_xll.BDH($C$478,"TOT_DEBT_TO_TOT_CAP","FQ2 2014","FQ2 2014","Currency=INR","Period=FQ","BEST_FPERIOD_OVERRIDE=FQ","FILING_STATUS=OR","EQY_CONSOLIDATED=Y","Sort=A","Dates=H","DateFormat=P","Fill=—","Direction=H","UseDPDF=Y")</f>
        <v>#NAME?</v>
      </c>
      <c r="CM480" s="2" t="e">
        <f ca="1">_xll.BDH($C$478,"TOT_DEBT_TO_TOT_ASSET","FQ2 2014","FQ2 2014","Currency=INR","Period=FQ","BEST_FPERIOD_OVERRIDE=FQ","FILING_STATUS=OR","EQY_CONSOLIDATED=Y","Sort=A","Dates=H","DateFormat=P","Fill=—","Direction=H","UseDPDF=Y")</f>
        <v>#NAME?</v>
      </c>
      <c r="CN480" s="2" t="e">
        <f ca="1">_xll.BDH($C$478,"NET_DEBT_TO_SHRHLDR_EQTY","FQ2 2014","FQ2 2014","Currency=INR","Period=FQ","BEST_FPERIOD_OVERRIDE=FQ","FILING_STATUS=OR","EQY_CONSOLIDATED=Y","Sort=A","Dates=H","DateFormat=P","Fill=—","Direction=H","UseDPDF=Y")</f>
        <v>#NAME?</v>
      </c>
      <c r="CO480" s="2" t="e">
        <f ca="1">_xll.BDH($C$478,"NET_DEBT_%_CAPITAL","FQ2 2014","FQ2 2014","Currency=INR","Period=FQ","BEST_FPERIOD_OVERRIDE=FQ","FILING_STATUS=OR","EQY_CONSOLIDATED=Y","Sort=A","Dates=H","DateFormat=P","Fill=—","Direction=H","UseDPDF=Y")</f>
        <v>#NAME?</v>
      </c>
      <c r="CP480" s="3" t="e">
        <f ca="1">_xll.BDH($C$478,"EBITDA","FQ2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480" s="3" t="e">
        <f ca="1">_xll.BDH($C$478,"EBITDA_AFTER_CAPEX","FQ2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480" s="3" t="e">
        <f ca="1">_xll.BDH($C$478,"IS_OPER_INC","FQ2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480" s="2" t="e">
        <f ca="1">_xll.BDH($C$478,"CASH_RATIO","FQ2 2014","FQ2 2014","Currency=INR","Period=FQ","BEST_FPERIOD_OVERRIDE=FQ","FILING_STATUS=OR","EQY_CONSOLIDATED=Y","Sort=A","Dates=H","DateFormat=P","Fill=—","Direction=H","UseDPDF=Y")</f>
        <v>#NAME?</v>
      </c>
      <c r="CT480" s="2" t="e">
        <f ca="1">_xll.BDH($C$478,"CUR_RATIO","FQ2 2014","FQ2 2014","Currency=INR","Period=FQ","BEST_FPERIOD_OVERRIDE=FQ","FILING_STATUS=OR","EQY_CONSOLIDATED=Y","Sort=A","Dates=H","DateFormat=P","Fill=—","Direction=H","UseDPDF=Y")</f>
        <v>#NAME?</v>
      </c>
      <c r="CU480" s="2" t="e">
        <f ca="1">_xll.BDH($C$478,"QUICK_RATIO","FQ2 2014","FQ2 2014","Currency=INR","Period=FQ","BEST_FPERIOD_OVERRIDE=FQ","FILING_STATUS=OR","EQY_CONSOLIDATED=Y","Sort=A","Dates=H","DateFormat=P","Fill=—","Direction=H","UseDPDF=Y")</f>
        <v>#NAME?</v>
      </c>
      <c r="CV480" s="2" t="e">
        <f ca="1">_xll.BDH($C$478,"ALTMAN_Z_SCORE","FQ2 2014","FQ2 2014","Currency=INR","Period=FQ","BEST_FPERIOD_OVERRIDE=FQ","FILING_STATUS=OR","EQY_CONSOLIDATED=Y","Sort=A","Dates=H","DateFormat=P","Fill=—","Direction=H","UseDPDF=Y")</f>
        <v>#NAME?</v>
      </c>
      <c r="CW480" s="4" t="e">
        <f ca="1">_xll.BDH($C$478,"ACCT_RCV_TURN","FQ2 2014","FQ2 2014","Currency=INR","Period=FQ","BEST_FPERIOD_OVERRIDE=FQ","FILING_STATUS=OR","EQY_CONSOLIDATED=Y","FA_ADJUSTED=GAAP","Sort=A","Dates=H","DateFormat=P","Fill=—","Direction=H","UseDPDF=Y")</f>
        <v>#NAME?</v>
      </c>
      <c r="CX480" s="2" t="e">
        <f ca="1">_xll.BDH($C$478,"ACCT_RCV_DAYS","FQ2 2014","FQ2 2014","Currency=INR","Period=FQ","BEST_FPERIOD_OVERRIDE=FQ","FILING_STATUS=OR","EQY_CONSOLIDATED=Y","FA_ADJUSTED=GAAP","Sort=A","Dates=H","DateFormat=P","Fill=—","Direction=H","UseDPDF=Y")</f>
        <v>#NAME?</v>
      </c>
      <c r="CY480" s="4" t="e">
        <f ca="1">_xll.BDH($C$478,"INVENT_TURN","FQ2 2014","FQ2 2014","Currency=INR","Period=FQ","BEST_FPERIOD_OVERRIDE=FQ","FILING_STATUS=OR","EQY_CONSOLIDATED=Y","FA_ADJUSTED=GAAP","Sort=A","Dates=H","DateFormat=P","Fill=—","Direction=H","UseDPDF=Y")</f>
        <v>#NAME?</v>
      </c>
      <c r="CZ480" s="2" t="e">
        <f ca="1">_xll.BDH($C$478,"INVENT_DAYS","FQ2 2014","FQ2 2014","Currency=INR","Period=FQ","BEST_FPERIOD_OVERRIDE=FQ","FILING_STATUS=OR","EQY_CONSOLIDATED=Y","FA_ADJUSTED=GAAP","Sort=A","Dates=H","DateFormat=P","Fill=—","Direction=H","UseDPDF=Y")</f>
        <v>#NAME?</v>
      </c>
      <c r="DA480" s="4" t="e">
        <f ca="1">_xll.BDH($C$478,"ACCOUNTS_PAYABLE_TURNOVER","FQ2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480" s="2" t="e">
        <f ca="1">_xll.BDH($C$478,"ACCOUNTS_PAYABLE_TURNOVER_DAYS","FQ2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480" s="4" t="e">
        <f ca="1">_xll.BDH($C$478,"CASH_CONVERSION_CYCLE","FQ2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480" s="4" t="e">
        <f ca="1">_xll.BDH($C$478,"INV_TO_CASH_DAYS","FQ2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480" s="5" t="e">
        <f ca="1">_xll.BDH($C$478,"BS_INVENTORIES","FQ2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480" s="3" t="e">
        <f ca="1">_xll.BDH($C$478,"INVTRY_RAW_MATERIALS","FQ2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480" s="3" t="e">
        <f ca="1">_xll.BDH($C$478,"INVTRY_IN_PROGRESS","FQ2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480" s="3" t="e">
        <f ca="1">_xll.BDH($C$478,"INVTRY_FINISHED_GOODS","FQ2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480" s="3" t="e">
        <f ca="1">_xll.BDH($C$478,"BS_OTHER_INV","FQ2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481" spans="1:113" x14ac:dyDescent="0.3">
      <c r="A481" s="6"/>
      <c r="B481" s="6"/>
      <c r="C481" s="6"/>
      <c r="D481" s="6"/>
      <c r="E481" t="s">
        <v>80</v>
      </c>
      <c r="F481" t="e">
        <f ca="1">_xll.BDH($C$478,"RETURN_COM_EQY","FQ3 2014","FQ3 2014","Currency=INR","Period=FQ","BEST_FPERIOD_OVERRIDE=FQ","FILING_STATUS=OR","EQY_CONSOLIDATED=Y","FA_ADJUSTED=GAAP","Sort=A","Dates=H","DateFormat=P","Fill=—","Direction=H","UseDPDF=Y")</f>
        <v>#NAME?</v>
      </c>
      <c r="G481" t="e">
        <f ca="1">_xll.BDH($C$478,"RETURN_ON_ASSET","FQ3 2014","FQ3 2014","Currency=INR","Period=FQ","BEST_FPERIOD_OVERRIDE=FQ","FILING_STATUS=OR","EQY_CONSOLIDATED=Y","FA_ADJUSTED=GAAP","Sort=A","Dates=H","DateFormat=P","Fill=—","Direction=H","UseDPDF=Y")</f>
        <v>#NAME?</v>
      </c>
      <c r="H481" t="e">
        <f ca="1">_xll.BDH($C$478,"RETURN_ON_CAP","FQ3 2014","FQ3 2014","Currency=INR","Period=FQ","BEST_FPERIOD_OVERRIDE=FQ","FILING_STATUS=OR","EQY_CONSOLIDATED=Y","FA_ADJUSTED=GAAP","Sort=A","Dates=H","DateFormat=P","Fill=—","Direction=H","UseDPDF=Y")</f>
        <v>#NAME?</v>
      </c>
      <c r="I481" t="e">
        <f ca="1">_xll.BDH($C$478,"RETURN_ON_INV_CAPITAL","FQ3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481" t="e">
        <f ca="1">_xll.BDH($C$478,"EBITDA_TO_REVENUE","FQ3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481" t="e">
        <f ca="1">_xll.BDH($C$478,"OPER_MARGIN","FQ3 2014","FQ3 2014","Currency=INR","Period=FQ","BEST_FPERIOD_OVERRIDE=FQ","FILING_STATUS=OR","EQY_CONSOLIDATED=Y","FA_ADJUSTED=GAAP","Sort=A","Dates=H","DateFormat=P","Fill=—","Direction=H","UseDPDF=Y")</f>
        <v>#NAME?</v>
      </c>
      <c r="L481" t="e">
        <f ca="1">_xll.BDH($C$478,"INCREMENTAL_OPERATING_MARGIN","FQ3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481" t="e">
        <f ca="1">_xll.BDH($C$478,"PRETAX_INC_TO_NET_SALES","FQ3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481" t="e">
        <f ca="1">_xll.BDH($C$478,"INC_BEF_XO_ITEMS_TO_NET_SALES","FQ3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481" t="e">
        <f ca="1">_xll.BDH($C$478,"PROF_MARGIN","FQ3 2014","FQ3 2014","Currency=INR","Period=FQ","BEST_FPERIOD_OVERRIDE=FQ","FILING_STATUS=OR","EQY_CONSOLIDATED=Y","FA_ADJUSTED=GAAP","Sort=A","Dates=H","DateFormat=P","Fill=—","Direction=H","UseDPDF=Y")</f>
        <v>#NAME?</v>
      </c>
      <c r="P481" t="e">
        <f ca="1">_xll.BDH($C$478,"NET_INCOME_TO_COMMON_MARGIN","FQ3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481" t="e">
        <f ca="1">_xll.BDH($C$478,"EFF_TAX_RATE","FQ3 2014","FQ3 2014","Currency=INR","Period=FQ","BEST_FPERIOD_OVERRIDE=FQ","FILING_STATUS=OR","EQY_CONSOLIDATED=Y","FA_ADJUSTED=GAAP","Sort=A","Dates=H","DateFormat=P","Fill=—","Direction=H","UseDPDF=Y")</f>
        <v>#NAME?</v>
      </c>
      <c r="R481" t="e">
        <f ca="1">_xll.BDH($C$478,"DVD_PAYOUT_RATIO","FQ3 2014","FQ3 2014","Currency=INR","Period=FQ","BEST_FPERIOD_OVERRIDE=FQ","FILING_STATUS=OR","EQY_CONSOLIDATED=Y","FA_ADJUSTED=GAAP","Sort=A","Dates=H","DateFormat=P","Fill=—","Direction=H","UseDPDF=Y")</f>
        <v>#NAME?</v>
      </c>
      <c r="S481" t="e">
        <f ca="1">_xll.BDH($C$478,"SUSTAIN_GROWTH_RT","FQ3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481" s="2" t="e">
        <f ca="1">_xll.BDH($C$478,"SALES_GROWTH","FQ3 2014","FQ3 2014","Currency=INR","Period=FQ","BEST_FPERIOD_OVERRIDE=FQ","FILING_STATUS=OR","EQY_CONSOLIDATED=Y","FA_ADJUSTED=GAAP","Sort=A","Dates=H","DateFormat=P","Fill=—","Direction=H","UseDPDF=Y")</f>
        <v>#NAME?</v>
      </c>
      <c r="U481" s="2" t="e">
        <f ca="1">_xll.BDH($C$478,"EBITDA_GROWTH","FQ3 2014","FQ3 2014","Currency=INR","Period=FQ","BEST_FPERIOD_OVERRIDE=FQ","FILING_STATUS=OR","EQY_CONSOLIDATED=Y","FA_ADJUSTED=GAAP","Sort=A","Dates=H","DateFormat=P","Fill=—","Direction=H","UseDPDF=Y")</f>
        <v>#NAME?</v>
      </c>
      <c r="V481" s="2" t="e">
        <f ca="1">_xll.BDH($C$478,"OPER_INC_GROWTH","FQ3 2014","FQ3 2014","Currency=INR","Period=FQ","BEST_FPERIOD_OVERRIDE=FQ","FILING_STATUS=OR","EQY_CONSOLIDATED=Y","FA_ADJUSTED=GAAP","Sort=A","Dates=H","DateFormat=P","Fill=—","Direction=H","UseDPDF=Y")</f>
        <v>#NAME?</v>
      </c>
      <c r="W481" s="2" t="e">
        <f ca="1">_xll.BDH($C$478,"EARN_FOR_COM_GROWTH","FQ3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481" s="2" t="e">
        <f ca="1">_xll.BDH($C$478,"DILUTED_EPS_AFT_XO_ITEMS_GROWTH","FQ3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481" s="2" t="e">
        <f ca="1">_xll.BDH($C$478,"DIVIDEND_PER_SHARE_1_YEAR_GROWTH","FQ3 2014","FQ3 2014","Currency=INR","Period=FQ","BEST_FPERIOD_OVERRIDE=FQ","FILING_STATUS=OR","EQY_CONSOLIDATED=Y","Sort=A","Dates=H","DateFormat=P","Fill=—","Direction=H","UseDPDF=Y")</f>
        <v>#NAME?</v>
      </c>
      <c r="Z481" s="2" t="e">
        <f ca="1">_xll.BDH($C$478,"ACCOUNTS_RECEIVABLE_GROWTH","FQ3 2014","FQ3 2014","Currency=INR","Period=FQ","BEST_FPERIOD_OVERRIDE=FQ","FILING_STATUS=OR","EQY_CONSOLIDATED=Y","Sort=A","Dates=H","DateFormat=P","Fill=—","Direction=H","UseDPDF=Y")</f>
        <v>#NAME?</v>
      </c>
      <c r="AA481" s="2" t="e">
        <f ca="1">_xll.BDH($C$478,"INVENTORY_GROWTH","FQ3 2014","FQ3 2014","Currency=INR","Period=FQ","BEST_FPERIOD_OVERRIDE=FQ","FILING_STATUS=OR","EQY_CONSOLIDATED=Y","Sort=A","Dates=H","DateFormat=P","Fill=—","Direction=H","UseDPDF=Y")</f>
        <v>#NAME?</v>
      </c>
      <c r="AB481" s="2" t="e">
        <f ca="1">_xll.BDH($C$478,"NET_FIXED_ASSETS_1_YEAR_GROWTH","FQ3 2014","FQ3 2014","Currency=INR","Period=FQ","BEST_FPERIOD_OVERRIDE=FQ","FILING_STATUS=OR","EQY_CONSOLIDATED=Y","Sort=A","Dates=H","DateFormat=P","Fill=—","Direction=H","UseDPDF=Y")</f>
        <v>#NAME?</v>
      </c>
      <c r="AC481" s="2" t="e">
        <f ca="1">_xll.BDH($C$478,"ASSET_GROWTH","FQ3 2014","FQ3 2014","Currency=INR","Period=FQ","BEST_FPERIOD_OVERRIDE=FQ","FILING_STATUS=OR","EQY_CONSOLIDATED=Y","Sort=A","Dates=H","DateFormat=P","Fill=—","Direction=H","UseDPDF=Y")</f>
        <v>#NAME?</v>
      </c>
      <c r="AD481" s="2" t="e">
        <f ca="1">_xll.BDH($C$478,"MODIFIED_WORK_CAP_GROWTH","FQ3 2014","FQ3 2014","Currency=INR","Period=FQ","BEST_FPERIOD_OVERRIDE=FQ","FILING_STATUS=OR","EQY_CONSOLIDATED=Y","Sort=A","Dates=H","DateFormat=P","Fill=—","Direction=H","UseDPDF=Y")</f>
        <v>#NAME?</v>
      </c>
      <c r="AE481" s="2" t="e">
        <f ca="1">_xll.BDH($C$478,"WORK_CAP_GROWTH","FQ3 2014","FQ3 2014","Currency=INR","Period=FQ","BEST_FPERIOD_OVERRIDE=FQ","FILING_STATUS=OR","EQY_CONSOLIDATED=Y","Sort=A","Dates=H","DateFormat=P","Fill=—","Direction=H","UseDPDF=Y")</f>
        <v>#NAME?</v>
      </c>
      <c r="AF481" s="2" t="e">
        <f ca="1">_xll.BDH($C$478,"ACCOUNTS_PAYABLE_GROWTH_1YR","FQ3 2014","FQ3 2014","Currency=INR","Period=FQ","BEST_FPERIOD_OVERRIDE=FQ","FILING_STATUS=OR","EQY_CONSOLIDATED=Y","Sort=A","Dates=H","DateFormat=P","Fill=—","Direction=H","UseDPDF=Y")</f>
        <v>#NAME?</v>
      </c>
      <c r="AG481" s="2" t="e">
        <f ca="1">_xll.BDH($C$478,"SHORT_TERM_DEBT_1_YEAR_GROWTH","FQ3 2014","FQ3 2014","Currency=INR","Period=FQ","BEST_FPERIOD_OVERRIDE=FQ","FILING_STATUS=OR","EQY_CONSOLIDATED=Y","Sort=A","Dates=H","DateFormat=P","Fill=—","Direction=H","UseDPDF=Y")</f>
        <v>#NAME?</v>
      </c>
      <c r="AH481" s="2" t="e">
        <f ca="1">_xll.BDH($C$478,"TOTAL_DEBT_1_YEAR_GROWTH","FQ3 2014","FQ3 2014","Currency=INR","Period=FQ","BEST_FPERIOD_OVERRIDE=FQ","FILING_STATUS=OR","EQY_CONSOLIDATED=Y","Sort=A","Dates=H","DateFormat=P","Fill=—","Direction=H","UseDPDF=Y")</f>
        <v>#NAME?</v>
      </c>
      <c r="AI481" s="2" t="e">
        <f ca="1">_xll.BDH($C$478,"TOTAL_EQUITY_1_YEAR_GROWTH","FQ3 2014","FQ3 2014","Currency=INR","Period=FQ","BEST_FPERIOD_OVERRIDE=FQ","FILING_STATUS=OR","EQY_CONSOLIDATED=Y","Sort=A","Dates=H","DateFormat=P","Fill=—","Direction=H","UseDPDF=Y")</f>
        <v>#NAME?</v>
      </c>
      <c r="AJ481" s="2" t="e">
        <f ca="1">_xll.BDH($C$478,"GROWTH_IN_CAP","FQ3 2014","FQ3 2014","Currency=INR","Period=FQ","BEST_FPERIOD_OVERRIDE=FQ","FILING_STATUS=OR","EQY_CONSOLIDATED=Y","Sort=A","Dates=H","DateFormat=P","Fill=—","Direction=H","UseDPDF=Y")</f>
        <v>#NAME?</v>
      </c>
      <c r="AK481" s="2" t="e">
        <f ca="1">_xll.BDH($C$478,"BVPS_GROWTH","FQ3 2014","FQ3 2014","Currency=INR","Period=FQ","BEST_FPERIOD_OVERRIDE=FQ","FILING_STATUS=OR","EQY_CONSOLIDATED=Y","Sort=A","Dates=H","DateFormat=P","Fill=—","Direction=H","UseDPDF=Y")</f>
        <v>#NAME?</v>
      </c>
      <c r="AL481" s="2" t="e">
        <f ca="1">_xll.BDH($C$478,"CASH_FLOW_GROWTH","FQ3 2014","FQ3 2014","Currency=INR","Period=FQ","BEST_FPERIOD_OVERRIDE=FQ","FILING_STATUS=OR","EQY_CONSOLIDATED=Y","Sort=A","Dates=H","DateFormat=P","Fill=—","Direction=H","UseDPDF=Y")</f>
        <v>#NAME?</v>
      </c>
      <c r="AM481" s="2" t="e">
        <f ca="1">_xll.BDH($C$478,"GEO_GROW_NET_SALES","FQ3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481" s="2" t="e">
        <f ca="1">_xll.BDH($C$478,"GEO_GROW_EBITDA","FQ3 2014","FQ3 2014","Currency=INR","Period=FQ","BEST_FPERIOD_OVERRIDE=FQ","FILING_STATUS=OR","EQY_CONSOLIDATED=Y","FA_ADJUSTED=GAAP","Sort=A","Dates=H","DateFormat=P","Fill=—","Direction=H","UseDPDF=Y")</f>
        <v>#NAME?</v>
      </c>
      <c r="AO481" s="2" t="e">
        <f ca="1">_xll.BDH($C$478,"GEO_GROW_OPER_INC","FQ3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481" s="2" t="e">
        <f ca="1">_xll.BDH($C$478,"NET_INCOME_TO_COMMON_5_YR_GROWTH","FQ3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481" s="2" t="e">
        <f ca="1">_xll.BDH($C$478,"5Y_GEO_GROWTH_DILUTED_EPS","FQ3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481" s="2" t="e">
        <f ca="1">_xll.BDH($C$478,"GEO_GROW_DVD_PER_SH","FQ3 2014","FQ3 2014","Currency=INR","Period=FQ","BEST_FPERIOD_OVERRIDE=FQ","FILING_STATUS=OR","EQY_CONSOLIDATED=Y","Sort=A","Dates=H","DateFormat=P","Fill=—","Direction=H","UseDPDF=Y")</f>
        <v>#NAME?</v>
      </c>
      <c r="AS481" s="2" t="e">
        <f ca="1">_xll.BDH($C$478,"ACCOUNTS_RECEIVABLE_5_YR_GROWTH","FQ3 2014","FQ3 2014","Currency=INR","Period=FQ","BEST_FPERIOD_OVERRIDE=FQ","FILING_STATUS=OR","EQY_CONSOLIDATED=Y","Sort=A","Dates=H","DateFormat=P","Fill=—","Direction=H","UseDPDF=Y")</f>
        <v>#NAME?</v>
      </c>
      <c r="AT481" s="2" t="e">
        <f ca="1">_xll.BDH($C$478,"INVENTORY_5_YEAR_GROWTH","FQ3 2014","FQ3 2014","Currency=INR","Period=FQ","BEST_FPERIOD_OVERRIDE=FQ","FILING_STATUS=OR","EQY_CONSOLIDATED=Y","Sort=A","Dates=H","DateFormat=P","Fill=—","Direction=H","UseDPDF=Y")</f>
        <v>#NAME?</v>
      </c>
      <c r="AU481" s="2" t="e">
        <f ca="1">_xll.BDH($C$478,"NET_FIXED_ASSETS_5_YEAR_GROWTH","FQ3 2014","FQ3 2014","Currency=INR","Period=FQ","BEST_FPERIOD_OVERRIDE=FQ","FILING_STATUS=OR","EQY_CONSOLIDATED=Y","Sort=A","Dates=H","DateFormat=P","Fill=—","Direction=H","UseDPDF=Y")</f>
        <v>#NAME?</v>
      </c>
      <c r="AV481" s="2" t="e">
        <f ca="1">_xll.BDH($C$478,"GEO_GROW_TOT_ASSET","FQ3 2014","FQ3 2014","Currency=INR","Period=FQ","BEST_FPERIOD_OVERRIDE=FQ","FILING_STATUS=OR","EQY_CONSOLIDATED=Y","Sort=A","Dates=H","DateFormat=P","Fill=—","Direction=H","UseDPDF=Y")</f>
        <v>#NAME?</v>
      </c>
      <c r="AW481" s="2" t="e">
        <f ca="1">_xll.BDH($C$478,"MODIFIED_WORKING_CPTL_5YR_GRWTH","FQ3 2014","FQ3 2014","Currency=INR","Period=FQ","BEST_FPERIOD_OVERRIDE=FQ","FILING_STATUS=OR","EQY_CONSOLIDATED=Y","Sort=A","Dates=H","DateFormat=P","Fill=—","Direction=H","UseDPDF=Y")</f>
        <v>#NAME?</v>
      </c>
      <c r="AX481" s="2" t="e">
        <f ca="1">_xll.BDH($C$478,"WORKING_CAPITAL_5_YEAR_GROWTH","FQ3 2014","FQ3 2014","Currency=INR","Period=FQ","BEST_FPERIOD_OVERRIDE=FQ","FILING_STATUS=OR","EQY_CONSOLIDATED=Y","Sort=A","Dates=H","DateFormat=P","Fill=—","Direction=H","UseDPDF=Y")</f>
        <v>#NAME?</v>
      </c>
      <c r="AY481" s="2" t="e">
        <f ca="1">_xll.BDH($C$478,"ACCOUNTS_PAYABLE_5_YEAR_GROWTH","FQ3 2014","FQ3 2014","Currency=INR","Period=FQ","BEST_FPERIOD_OVERRIDE=FQ","FILING_STATUS=OR","EQY_CONSOLIDATED=Y","Sort=A","Dates=H","DateFormat=P","Fill=—","Direction=H","UseDPDF=Y")</f>
        <v>#NAME?</v>
      </c>
      <c r="AZ481" s="2" t="e">
        <f ca="1">_xll.BDH($C$478,"SHORT_TERM_DEBT_5_YEAR_GROWTH","FQ3 2014","FQ3 2014","Currency=INR","Period=FQ","BEST_FPERIOD_OVERRIDE=FQ","FILING_STATUS=OR","EQY_CONSOLIDATED=Y","Sort=A","Dates=H","DateFormat=P","Fill=—","Direction=H","UseDPDF=Y")</f>
        <v>#NAME?</v>
      </c>
      <c r="BA481" s="2" t="e">
        <f ca="1">_xll.BDH($C$478,"TOTAL_DEBT_5_YEAR_GROWTH","FQ3 2014","FQ3 2014","Currency=INR","Period=FQ","BEST_FPERIOD_OVERRIDE=FQ","FILING_STATUS=OR","EQY_CONSOLIDATED=Y","Sort=A","Dates=H","DateFormat=P","Fill=—","Direction=H","UseDPDF=Y")</f>
        <v>#NAME?</v>
      </c>
      <c r="BB481" s="2" t="e">
        <f ca="1">_xll.BDH($C$478,"GEO_GROW_TOT_SHRHLDR_EQY","FQ3 2014","FQ3 2014","Currency=INR","Period=FQ","BEST_FPERIOD_OVERRIDE=FQ","FILING_STATUS=OR","EQY_CONSOLIDATED=Y","Sort=A","Dates=H","DateFormat=P","Fill=—","Direction=H","UseDPDF=Y")</f>
        <v>#NAME?</v>
      </c>
      <c r="BC481" s="2" t="e">
        <f ca="1">_xll.BDH($C$478,"TOTAL_CAPITAL_5_YEAR_GROWTH","FQ3 2014","FQ3 2014","Currency=INR","Period=FQ","BEST_FPERIOD_OVERRIDE=FQ","FILING_STATUS=OR","EQY_CONSOLIDATED=Y","Sort=A","Dates=H","DateFormat=P","Fill=—","Direction=H","UseDPDF=Y")</f>
        <v>#NAME?</v>
      </c>
      <c r="BD481" s="2" t="e">
        <f ca="1">_xll.BDH($C$478,"GEO_GROW_BOOK_VAL","FQ3 2014","FQ3 2014","Currency=INR","Period=FQ","BEST_FPERIOD_OVERRIDE=FQ","FILING_STATUS=OR","EQY_CONSOLIDATED=Y","Sort=A","Dates=H","DateFormat=P","Fill=—","Direction=H","UseDPDF=Y")</f>
        <v>#NAME?</v>
      </c>
      <c r="BE481" s="2" t="e">
        <f ca="1">_xll.BDH($C$478,"GEO_GROW_CASH_OPER_ACT","FQ3 2014","FQ3 2014","Currency=INR","Period=FQ","BEST_FPERIOD_OVERRIDE=FQ","FILING_STATUS=OR","EQY_CONSOLIDATED=Y","Sort=A","Dates=H","DateFormat=P","Fill=—","Direction=H","UseDPDF=Y")</f>
        <v>#NAME?</v>
      </c>
      <c r="BF481" s="2" t="e">
        <f ca="1">_xll.BDH($C$478,"REVENUE_SEQUENTIAL_GROWTH","FQ3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481" s="2" t="e">
        <f ca="1">_xll.BDH($C$478,"EBITDA_SEQUENTIAL_GROWTH","FQ3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481" s="2" t="e">
        <f ca="1">_xll.BDH($C$478,"OPERATING_INCOME_SEQ_GROWTH","FQ3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481" s="2" t="e">
        <f ca="1">_xll.BDH($C$478,"NET_INCOME_TO_COMMON_SEQ_GROWTH","FQ3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481" s="2" t="e">
        <f ca="1">_xll.BDH($C$478,"EPS_DILUTED_SEQUENTIAL_GROWTH","FQ3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481" s="2" t="e">
        <f ca="1">_xll.BDH($C$478,"DPS_SEQUENTIAL_GROWTH","FQ3 2014","FQ3 2014","Currency=INR","Period=FQ","BEST_FPERIOD_OVERRIDE=FQ","FILING_STATUS=OR","EQY_CONSOLIDATED=Y","Sort=A","Dates=H","DateFormat=P","Fill=—","Direction=H","UseDPDF=Y")</f>
        <v>#NAME?</v>
      </c>
      <c r="BL481" s="2" t="e">
        <f ca="1">_xll.BDH($C$478,"ACCOUNTS_RECEIVABLE_SEQ_GROWTH","FQ3 2014","FQ3 2014","Currency=INR","Period=FQ","BEST_FPERIOD_OVERRIDE=FQ","FILING_STATUS=OR","EQY_CONSOLIDATED=Y","Sort=A","Dates=H","DateFormat=P","Fill=—","Direction=H","UseDPDF=Y")</f>
        <v>#NAME?</v>
      </c>
      <c r="BM481" s="2" t="e">
        <f ca="1">_xll.BDH($C$478,"INVENTORY_SEQUENTIAL_GROWTH","FQ3 2014","FQ3 2014","Currency=INR","Period=FQ","BEST_FPERIOD_OVERRIDE=FQ","FILING_STATUS=OR","EQY_CONSOLIDATED=Y","Sort=A","Dates=H","DateFormat=P","Fill=—","Direction=H","UseDPDF=Y")</f>
        <v>#NAME?</v>
      </c>
      <c r="BN481" s="2" t="e">
        <f ca="1">_xll.BDH($C$478,"FIXED_ASSETS_SEQUENTIAL_GROWTH","FQ3 2014","FQ3 2014","Currency=INR","Period=FQ","BEST_FPERIOD_OVERRIDE=FQ","FILING_STATUS=OR","EQY_CONSOLIDATED=Y","Sort=A","Dates=H","DateFormat=P","Fill=—","Direction=H","UseDPDF=Y")</f>
        <v>#NAME?</v>
      </c>
      <c r="BO481" s="2" t="e">
        <f ca="1">_xll.BDH($C$478,"TOTAL_ASSETS_SEQUENTIAL_GROWTH","FQ3 2014","FQ3 2014","Currency=INR","Period=FQ","BEST_FPERIOD_OVERRIDE=FQ","FILING_STATUS=OR","EQY_CONSOLIDATED=Y","Sort=A","Dates=H","DateFormat=P","Fill=—","Direction=H","UseDPDF=Y")</f>
        <v>#NAME?</v>
      </c>
      <c r="BP481" s="2" t="e">
        <f ca="1">_xll.BDH($C$478,"MODIFIED_WORKING_CPTL_SEQ_GRWTH","FQ3 2014","FQ3 2014","Currency=INR","Period=FQ","BEST_FPERIOD_OVERRIDE=FQ","FILING_STATUS=OR","EQY_CONSOLIDATED=Y","Sort=A","Dates=H","DateFormat=P","Fill=—","Direction=H","UseDPDF=Y")</f>
        <v>#NAME?</v>
      </c>
      <c r="BQ481" s="2" t="e">
        <f ca="1">_xll.BDH($C$478,"WORKING_CAPITAL_SEQ_GROWTH","FQ3 2014","FQ3 2014","Currency=INR","Period=FQ","BEST_FPERIOD_OVERRIDE=FQ","FILING_STATUS=OR","EQY_CONSOLIDATED=Y","Sort=A","Dates=H","DateFormat=P","Fill=—","Direction=H","UseDPDF=Y")</f>
        <v>#NAME?</v>
      </c>
      <c r="BR481" s="2" t="e">
        <f ca="1">_xll.BDH($C$478,"ACCOUNTS_PAYABLE_SEQ_GROWTH","FQ3 2014","FQ3 2014","Currency=INR","Period=FQ","BEST_FPERIOD_OVERRIDE=FQ","FILING_STATUS=OR","EQY_CONSOLIDATED=Y","Sort=A","Dates=H","DateFormat=P","Fill=—","Direction=H","UseDPDF=Y")</f>
        <v>#NAME?</v>
      </c>
      <c r="BS481" s="2" t="e">
        <f ca="1">_xll.BDH($C$478,"ST_DEBT_SEQUENTIAL_GROWTH","FQ3 2014","FQ3 2014","Currency=INR","Period=FQ","BEST_FPERIOD_OVERRIDE=FQ","FILING_STATUS=OR","EQY_CONSOLIDATED=Y","Sort=A","Dates=H","DateFormat=P","Fill=—","Direction=H","UseDPDF=Y")</f>
        <v>#NAME?</v>
      </c>
      <c r="BT481" s="2" t="e">
        <f ca="1">_xll.BDH($C$478,"TOTAL_DEBT_SEQUENTIAL_GROWTH","FQ3 2014","FQ3 2014","Currency=INR","Period=FQ","BEST_FPERIOD_OVERRIDE=FQ","FILING_STATUS=OR","EQY_CONSOLIDATED=Y","Sort=A","Dates=H","DateFormat=P","Fill=—","Direction=H","UseDPDF=Y")</f>
        <v>#NAME?</v>
      </c>
      <c r="BU481" s="2" t="e">
        <f ca="1">_xll.BDH($C$478,"TOTAL_EQUITY_SEQUENTIAL_GROWTH","FQ3 2014","FQ3 2014","Currency=INR","Period=FQ","BEST_FPERIOD_OVERRIDE=FQ","FILING_STATUS=OR","EQY_CONSOLIDATED=Y","Sort=A","Dates=H","DateFormat=P","Fill=—","Direction=H","UseDPDF=Y")</f>
        <v>#NAME?</v>
      </c>
      <c r="BV481" s="2" t="e">
        <f ca="1">_xll.BDH($C$478,"TOTAL_CAPITAL_SEQUENTIAL_GROWTH","FQ3 2014","FQ3 2014","Currency=INR","Period=FQ","BEST_FPERIOD_OVERRIDE=FQ","FILING_STATUS=OR","EQY_CONSOLIDATED=Y","Sort=A","Dates=H","DateFormat=P","Fill=—","Direction=H","UseDPDF=Y")</f>
        <v>#NAME?</v>
      </c>
      <c r="BW481" s="2" t="e">
        <f ca="1">_xll.BDH($C$478,"BPS_SEQUENTIAL_GROWTH","FQ3 2014","FQ3 2014","Currency=INR","Period=FQ","BEST_FPERIOD_OVERRIDE=FQ","FILING_STATUS=OR","EQY_CONSOLIDATED=Y","Sort=A","Dates=H","DateFormat=P","Fill=—","Direction=H","UseDPDF=Y")</f>
        <v>#NAME?</v>
      </c>
      <c r="BX481" s="2" t="e">
        <f ca="1">_xll.BDH($C$478,"CFO_SEQUENTIAL_GROWTH","FQ3 2014","FQ3 2014","Currency=INR","Period=FQ","BEST_FPERIOD_OVERRIDE=FQ","FILING_STATUS=OR","EQY_CONSOLIDATED=Y","Sort=A","Dates=H","DateFormat=P","Fill=—","Direction=H","UseDPDF=Y")</f>
        <v>#NAME?</v>
      </c>
      <c r="BY481" s="3" t="e">
        <f ca="1">_xll.BDH($C$478,"SHORT_AND_LONG_TERM_DEBT","FQ3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481" s="3" t="e">
        <f ca="1">_xll.BDH($C$478,"BS_ST_BORROW","FQ3 2014","FQ3 2014","Currency=INR","Period=FQ","BEST_FPERIOD_OVERRIDE=FQ","FILING_STATUS=OR","EQY_CONSOLIDATED=Y","SCALING_FORMAT=MLN","Sort=A","Dates=H","DateFormat=P","Fill=—","Direction=H","UseDPDF=Y")</f>
        <v>#NAME?</v>
      </c>
      <c r="CA481" s="3" t="e">
        <f ca="1">_xll.BDH($C$478,"BS_LT_BORROW","FQ3 2014","FQ3 2014","Currency=INR","Period=FQ","BEST_FPERIOD_OVERRIDE=FQ","FILING_STATUS=OR","EQY_CONSOLIDATED=Y","SCALING_FORMAT=MLN","Sort=A","Dates=H","DateFormat=P","Fill=—","Direction=H","UseDPDF=Y")</f>
        <v>#NAME?</v>
      </c>
      <c r="CB481" s="2" t="e">
        <f ca="1">_xll.BDH($C$478,"TOT_DEBT_TO_EBITDA","FQ3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481" s="2" t="e">
        <f ca="1">_xll.BDH($C$478,"NET_DEBT_TO_EBITDA","FQ3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481" s="2" t="e">
        <f ca="1">_xll.BDH($C$478,"TOTAL_DEBT_TO_EBIT","FQ3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481" s="2" t="e">
        <f ca="1">_xll.BDH($C$478,"NET_DEBT_TO_EBIT","FQ3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481" s="2" t="e">
        <f ca="1">_xll.BDH($C$478,"EBITDA_TO_INTEREST_EXPN","FQ3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481" s="2" t="e">
        <f ca="1">_xll.BDH($C$478,"COM_EQY_TO_TOT_ASSET","FQ3 2014","FQ3 2014","Currency=INR","Period=FQ","BEST_FPERIOD_OVERRIDE=FQ","FILING_STATUS=OR","EQY_CONSOLIDATED=Y","Sort=A","Dates=H","DateFormat=P","Fill=—","Direction=H","UseDPDF=Y")</f>
        <v>#NAME?</v>
      </c>
      <c r="CH481" s="2" t="e">
        <f ca="1">_xll.BDH($C$478,"LT_DEBT_TO_TOT_EQY","FQ3 2014","FQ3 2014","Currency=INR","Period=FQ","BEST_FPERIOD_OVERRIDE=FQ","FILING_STATUS=OR","EQY_CONSOLIDATED=Y","Sort=A","Dates=H","DateFormat=P","Fill=—","Direction=H","UseDPDF=Y")</f>
        <v>#NAME?</v>
      </c>
      <c r="CI481" s="2" t="e">
        <f ca="1">_xll.BDH($C$478,"LT_DEBT_TO_TOT_CAP","FQ3 2014","FQ3 2014","Currency=INR","Period=FQ","BEST_FPERIOD_OVERRIDE=FQ","FILING_STATUS=OR","EQY_CONSOLIDATED=Y","Sort=A","Dates=H","DateFormat=P","Fill=—","Direction=H","UseDPDF=Y")</f>
        <v>#NAME?</v>
      </c>
      <c r="CJ481" s="2" t="e">
        <f ca="1">_xll.BDH($C$478,"LT_DEBT_TO_TOT_ASSET","FQ3 2014","FQ3 2014","Currency=INR","Period=FQ","BEST_FPERIOD_OVERRIDE=FQ","FILING_STATUS=OR","EQY_CONSOLIDATED=Y","Sort=A","Dates=H","DateFormat=P","Fill=—","Direction=H","UseDPDF=Y")</f>
        <v>#NAME?</v>
      </c>
      <c r="CK481" s="2" t="e">
        <f ca="1">_xll.BDH($C$478,"TOT_DEBT_TO_TOT_EQY","FQ3 2014","FQ3 2014","Currency=INR","Period=FQ","BEST_FPERIOD_OVERRIDE=FQ","FILING_STATUS=OR","EQY_CONSOLIDATED=Y","Sort=A","Dates=H","DateFormat=P","Fill=—","Direction=H","UseDPDF=Y")</f>
        <v>#NAME?</v>
      </c>
      <c r="CL481" s="2" t="e">
        <f ca="1">_xll.BDH($C$478,"TOT_DEBT_TO_TOT_CAP","FQ3 2014","FQ3 2014","Currency=INR","Period=FQ","BEST_FPERIOD_OVERRIDE=FQ","FILING_STATUS=OR","EQY_CONSOLIDATED=Y","Sort=A","Dates=H","DateFormat=P","Fill=—","Direction=H","UseDPDF=Y")</f>
        <v>#NAME?</v>
      </c>
      <c r="CM481" s="2" t="e">
        <f ca="1">_xll.BDH($C$478,"TOT_DEBT_TO_TOT_ASSET","FQ3 2014","FQ3 2014","Currency=INR","Period=FQ","BEST_FPERIOD_OVERRIDE=FQ","FILING_STATUS=OR","EQY_CONSOLIDATED=Y","Sort=A","Dates=H","DateFormat=P","Fill=—","Direction=H","UseDPDF=Y")</f>
        <v>#NAME?</v>
      </c>
      <c r="CN481" s="2" t="e">
        <f ca="1">_xll.BDH($C$478,"NET_DEBT_TO_SHRHLDR_EQTY","FQ3 2014","FQ3 2014","Currency=INR","Period=FQ","BEST_FPERIOD_OVERRIDE=FQ","FILING_STATUS=OR","EQY_CONSOLIDATED=Y","Sort=A","Dates=H","DateFormat=P","Fill=—","Direction=H","UseDPDF=Y")</f>
        <v>#NAME?</v>
      </c>
      <c r="CO481" s="2" t="e">
        <f ca="1">_xll.BDH($C$478,"NET_DEBT_%_CAPITAL","FQ3 2014","FQ3 2014","Currency=INR","Period=FQ","BEST_FPERIOD_OVERRIDE=FQ","FILING_STATUS=OR","EQY_CONSOLIDATED=Y","Sort=A","Dates=H","DateFormat=P","Fill=—","Direction=H","UseDPDF=Y")</f>
        <v>#NAME?</v>
      </c>
      <c r="CP481" s="3" t="e">
        <f ca="1">_xll.BDH($C$478,"EBITDA","FQ3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481" s="3" t="e">
        <f ca="1">_xll.BDH($C$478,"EBITDA_AFTER_CAPEX","FQ3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481" s="3" t="e">
        <f ca="1">_xll.BDH($C$478,"IS_OPER_INC","FQ3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481" s="2" t="e">
        <f ca="1">_xll.BDH($C$478,"CASH_RATIO","FQ3 2014","FQ3 2014","Currency=INR","Period=FQ","BEST_FPERIOD_OVERRIDE=FQ","FILING_STATUS=OR","EQY_CONSOLIDATED=Y","Sort=A","Dates=H","DateFormat=P","Fill=—","Direction=H","UseDPDF=Y")</f>
        <v>#NAME?</v>
      </c>
      <c r="CT481" s="2" t="e">
        <f ca="1">_xll.BDH($C$478,"CUR_RATIO","FQ3 2014","FQ3 2014","Currency=INR","Period=FQ","BEST_FPERIOD_OVERRIDE=FQ","FILING_STATUS=OR","EQY_CONSOLIDATED=Y","Sort=A","Dates=H","DateFormat=P","Fill=—","Direction=H","UseDPDF=Y")</f>
        <v>#NAME?</v>
      </c>
      <c r="CU481" s="2" t="e">
        <f ca="1">_xll.BDH($C$478,"QUICK_RATIO","FQ3 2014","FQ3 2014","Currency=INR","Period=FQ","BEST_FPERIOD_OVERRIDE=FQ","FILING_STATUS=OR","EQY_CONSOLIDATED=Y","Sort=A","Dates=H","DateFormat=P","Fill=—","Direction=H","UseDPDF=Y")</f>
        <v>#NAME?</v>
      </c>
      <c r="CV481" s="2" t="e">
        <f ca="1">_xll.BDH($C$478,"ALTMAN_Z_SCORE","FQ3 2014","FQ3 2014","Currency=INR","Period=FQ","BEST_FPERIOD_OVERRIDE=FQ","FILING_STATUS=OR","EQY_CONSOLIDATED=Y","Sort=A","Dates=H","DateFormat=P","Fill=—","Direction=H","UseDPDF=Y")</f>
        <v>#NAME?</v>
      </c>
      <c r="CW481" s="4" t="e">
        <f ca="1">_xll.BDH($C$478,"ACCT_RCV_TURN","FQ3 2014","FQ3 2014","Currency=INR","Period=FQ","BEST_FPERIOD_OVERRIDE=FQ","FILING_STATUS=OR","EQY_CONSOLIDATED=Y","FA_ADJUSTED=GAAP","Sort=A","Dates=H","DateFormat=P","Fill=—","Direction=H","UseDPDF=Y")</f>
        <v>#NAME?</v>
      </c>
      <c r="CX481" s="2" t="e">
        <f ca="1">_xll.BDH($C$478,"ACCT_RCV_DAYS","FQ3 2014","FQ3 2014","Currency=INR","Period=FQ","BEST_FPERIOD_OVERRIDE=FQ","FILING_STATUS=OR","EQY_CONSOLIDATED=Y","FA_ADJUSTED=GAAP","Sort=A","Dates=H","DateFormat=P","Fill=—","Direction=H","UseDPDF=Y")</f>
        <v>#NAME?</v>
      </c>
      <c r="CY481" s="4" t="e">
        <f ca="1">_xll.BDH($C$478,"INVENT_TURN","FQ3 2014","FQ3 2014","Currency=INR","Period=FQ","BEST_FPERIOD_OVERRIDE=FQ","FILING_STATUS=OR","EQY_CONSOLIDATED=Y","FA_ADJUSTED=GAAP","Sort=A","Dates=H","DateFormat=P","Fill=—","Direction=H","UseDPDF=Y")</f>
        <v>#NAME?</v>
      </c>
      <c r="CZ481" s="2" t="e">
        <f ca="1">_xll.BDH($C$478,"INVENT_DAYS","FQ3 2014","FQ3 2014","Currency=INR","Period=FQ","BEST_FPERIOD_OVERRIDE=FQ","FILING_STATUS=OR","EQY_CONSOLIDATED=Y","FA_ADJUSTED=GAAP","Sort=A","Dates=H","DateFormat=P","Fill=—","Direction=H","UseDPDF=Y")</f>
        <v>#NAME?</v>
      </c>
      <c r="DA481" s="4" t="e">
        <f ca="1">_xll.BDH($C$478,"ACCOUNTS_PAYABLE_TURNOVER","FQ3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481" s="2" t="e">
        <f ca="1">_xll.BDH($C$478,"ACCOUNTS_PAYABLE_TURNOVER_DAYS","FQ3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481" s="4" t="e">
        <f ca="1">_xll.BDH($C$478,"CASH_CONVERSION_CYCLE","FQ3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481" s="4" t="e">
        <f ca="1">_xll.BDH($C$478,"INV_TO_CASH_DAYS","FQ3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481" s="5" t="e">
        <f ca="1">_xll.BDH($C$478,"BS_INVENTORIES","FQ3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481" s="3" t="e">
        <f ca="1">_xll.BDH($C$478,"INVTRY_RAW_MATERIALS","FQ3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481" s="3" t="e">
        <f ca="1">_xll.BDH($C$478,"INVTRY_IN_PROGRESS","FQ3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481" s="3" t="e">
        <f ca="1">_xll.BDH($C$478,"INVTRY_FINISHED_GOODS","FQ3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481" s="3" t="e">
        <f ca="1">_xll.BDH($C$478,"BS_OTHER_INV","FQ3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482" spans="1:113" x14ac:dyDescent="0.3">
      <c r="A482" s="6"/>
      <c r="B482" s="6"/>
      <c r="C482" s="6"/>
      <c r="D482" s="6"/>
      <c r="E482" t="s">
        <v>81</v>
      </c>
      <c r="F482" t="e">
        <f ca="1">_xll.BDH($C$478,"RETURN_COM_EQY","FQ4 2014","FQ4 2014","Currency=INR","Period=FQ","BEST_FPERIOD_OVERRIDE=FQ","FILING_STATUS=OR","EQY_CONSOLIDATED=Y","FA_ADJUSTED=GAAP","Sort=A","Dates=H","DateFormat=P","Fill=—","Direction=H","UseDPDF=Y")</f>
        <v>#NAME?</v>
      </c>
      <c r="G482" t="e">
        <f ca="1">_xll.BDH($C$478,"RETURN_ON_ASSET","FQ4 2014","FQ4 2014","Currency=INR","Period=FQ","BEST_FPERIOD_OVERRIDE=FQ","FILING_STATUS=OR","EQY_CONSOLIDATED=Y","FA_ADJUSTED=GAAP","Sort=A","Dates=H","DateFormat=P","Fill=—","Direction=H","UseDPDF=Y")</f>
        <v>#NAME?</v>
      </c>
      <c r="H482" t="e">
        <f ca="1">_xll.BDH($C$478,"RETURN_ON_CAP","FQ4 2014","FQ4 2014","Currency=INR","Period=FQ","BEST_FPERIOD_OVERRIDE=FQ","FILING_STATUS=OR","EQY_CONSOLIDATED=Y","FA_ADJUSTED=GAAP","Sort=A","Dates=H","DateFormat=P","Fill=—","Direction=H","UseDPDF=Y")</f>
        <v>#NAME?</v>
      </c>
      <c r="I482" t="e">
        <f ca="1">_xll.BDH($C$478,"RETURN_ON_INV_CAPITAL","FQ4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482" t="e">
        <f ca="1">_xll.BDH($C$478,"EBITDA_TO_REVENUE","FQ4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482" t="e">
        <f ca="1">_xll.BDH($C$478,"OPER_MARGIN","FQ4 2014","FQ4 2014","Currency=INR","Period=FQ","BEST_FPERIOD_OVERRIDE=FQ","FILING_STATUS=OR","EQY_CONSOLIDATED=Y","FA_ADJUSTED=GAAP","Sort=A","Dates=H","DateFormat=P","Fill=—","Direction=H","UseDPDF=Y")</f>
        <v>#NAME?</v>
      </c>
      <c r="L482" t="e">
        <f ca="1">_xll.BDH($C$478,"INCREMENTAL_OPERATING_MARGIN","FQ4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482" t="e">
        <f ca="1">_xll.BDH($C$478,"PRETAX_INC_TO_NET_SALES","FQ4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482" t="e">
        <f ca="1">_xll.BDH($C$478,"INC_BEF_XO_ITEMS_TO_NET_SALES","FQ4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482" t="e">
        <f ca="1">_xll.BDH($C$478,"PROF_MARGIN","FQ4 2014","FQ4 2014","Currency=INR","Period=FQ","BEST_FPERIOD_OVERRIDE=FQ","FILING_STATUS=OR","EQY_CONSOLIDATED=Y","FA_ADJUSTED=GAAP","Sort=A","Dates=H","DateFormat=P","Fill=—","Direction=H","UseDPDF=Y")</f>
        <v>#NAME?</v>
      </c>
      <c r="P482" t="e">
        <f ca="1">_xll.BDH($C$478,"NET_INCOME_TO_COMMON_MARGIN","FQ4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482" t="e">
        <f ca="1">_xll.BDH($C$478,"EFF_TAX_RATE","FQ4 2014","FQ4 2014","Currency=INR","Period=FQ","BEST_FPERIOD_OVERRIDE=FQ","FILING_STATUS=OR","EQY_CONSOLIDATED=Y","FA_ADJUSTED=GAAP","Sort=A","Dates=H","DateFormat=P","Fill=—","Direction=H","UseDPDF=Y")</f>
        <v>#NAME?</v>
      </c>
      <c r="R482" t="e">
        <f ca="1">_xll.BDH($C$478,"DVD_PAYOUT_RATIO","FQ4 2014","FQ4 2014","Currency=INR","Period=FQ","BEST_FPERIOD_OVERRIDE=FQ","FILING_STATUS=OR","EQY_CONSOLIDATED=Y","FA_ADJUSTED=GAAP","Sort=A","Dates=H","DateFormat=P","Fill=—","Direction=H","UseDPDF=Y")</f>
        <v>#NAME?</v>
      </c>
      <c r="S482" t="e">
        <f ca="1">_xll.BDH($C$478,"SUSTAIN_GROWTH_RT","FQ4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482" s="2" t="e">
        <f ca="1">_xll.BDH($C$478,"SALES_GROWTH","FQ4 2014","FQ4 2014","Currency=INR","Period=FQ","BEST_FPERIOD_OVERRIDE=FQ","FILING_STATUS=OR","EQY_CONSOLIDATED=Y","FA_ADJUSTED=GAAP","Sort=A","Dates=H","DateFormat=P","Fill=—","Direction=H","UseDPDF=Y")</f>
        <v>#NAME?</v>
      </c>
      <c r="U482" s="2" t="e">
        <f ca="1">_xll.BDH($C$478,"EBITDA_GROWTH","FQ4 2014","FQ4 2014","Currency=INR","Period=FQ","BEST_FPERIOD_OVERRIDE=FQ","FILING_STATUS=OR","EQY_CONSOLIDATED=Y","FA_ADJUSTED=GAAP","Sort=A","Dates=H","DateFormat=P","Fill=—","Direction=H","UseDPDF=Y")</f>
        <v>#NAME?</v>
      </c>
      <c r="V482" s="2" t="e">
        <f ca="1">_xll.BDH($C$478,"OPER_INC_GROWTH","FQ4 2014","FQ4 2014","Currency=INR","Period=FQ","BEST_FPERIOD_OVERRIDE=FQ","FILING_STATUS=OR","EQY_CONSOLIDATED=Y","FA_ADJUSTED=GAAP","Sort=A","Dates=H","DateFormat=P","Fill=—","Direction=H","UseDPDF=Y")</f>
        <v>#NAME?</v>
      </c>
      <c r="W482" s="2" t="e">
        <f ca="1">_xll.BDH($C$478,"EARN_FOR_COM_GROWTH","FQ4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482" s="2" t="e">
        <f ca="1">_xll.BDH($C$478,"DILUTED_EPS_AFT_XO_ITEMS_GROWTH","FQ4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482" s="2" t="e">
        <f ca="1">_xll.BDH($C$478,"DIVIDEND_PER_SHARE_1_YEAR_GROWTH","FQ4 2014","FQ4 2014","Currency=INR","Period=FQ","BEST_FPERIOD_OVERRIDE=FQ","FILING_STATUS=OR","EQY_CONSOLIDATED=Y","Sort=A","Dates=H","DateFormat=P","Fill=—","Direction=H","UseDPDF=Y")</f>
        <v>#NAME?</v>
      </c>
      <c r="Z482" s="2" t="e">
        <f ca="1">_xll.BDH($C$478,"ACCOUNTS_RECEIVABLE_GROWTH","FQ4 2014","FQ4 2014","Currency=INR","Period=FQ","BEST_FPERIOD_OVERRIDE=FQ","FILING_STATUS=OR","EQY_CONSOLIDATED=Y","Sort=A","Dates=H","DateFormat=P","Fill=—","Direction=H","UseDPDF=Y")</f>
        <v>#NAME?</v>
      </c>
      <c r="AA482" s="2" t="e">
        <f ca="1">_xll.BDH($C$478,"INVENTORY_GROWTH","FQ4 2014","FQ4 2014","Currency=INR","Period=FQ","BEST_FPERIOD_OVERRIDE=FQ","FILING_STATUS=OR","EQY_CONSOLIDATED=Y","Sort=A","Dates=H","DateFormat=P","Fill=—","Direction=H","UseDPDF=Y")</f>
        <v>#NAME?</v>
      </c>
      <c r="AB482" s="2" t="e">
        <f ca="1">_xll.BDH($C$478,"NET_FIXED_ASSETS_1_YEAR_GROWTH","FQ4 2014","FQ4 2014","Currency=INR","Period=FQ","BEST_FPERIOD_OVERRIDE=FQ","FILING_STATUS=OR","EQY_CONSOLIDATED=Y","Sort=A","Dates=H","DateFormat=P","Fill=—","Direction=H","UseDPDF=Y")</f>
        <v>#NAME?</v>
      </c>
      <c r="AC482" s="2" t="e">
        <f ca="1">_xll.BDH($C$478,"ASSET_GROWTH","FQ4 2014","FQ4 2014","Currency=INR","Period=FQ","BEST_FPERIOD_OVERRIDE=FQ","FILING_STATUS=OR","EQY_CONSOLIDATED=Y","Sort=A","Dates=H","DateFormat=P","Fill=—","Direction=H","UseDPDF=Y")</f>
        <v>#NAME?</v>
      </c>
      <c r="AD482" s="2" t="e">
        <f ca="1">_xll.BDH($C$478,"MODIFIED_WORK_CAP_GROWTH","FQ4 2014","FQ4 2014","Currency=INR","Period=FQ","BEST_FPERIOD_OVERRIDE=FQ","FILING_STATUS=OR","EQY_CONSOLIDATED=Y","Sort=A","Dates=H","DateFormat=P","Fill=—","Direction=H","UseDPDF=Y")</f>
        <v>#NAME?</v>
      </c>
      <c r="AE482" s="2" t="e">
        <f ca="1">_xll.BDH($C$478,"WORK_CAP_GROWTH","FQ4 2014","FQ4 2014","Currency=INR","Period=FQ","BEST_FPERIOD_OVERRIDE=FQ","FILING_STATUS=OR","EQY_CONSOLIDATED=Y","Sort=A","Dates=H","DateFormat=P","Fill=—","Direction=H","UseDPDF=Y")</f>
        <v>#NAME?</v>
      </c>
      <c r="AF482" s="2" t="e">
        <f ca="1">_xll.BDH($C$478,"ACCOUNTS_PAYABLE_GROWTH_1YR","FQ4 2014","FQ4 2014","Currency=INR","Period=FQ","BEST_FPERIOD_OVERRIDE=FQ","FILING_STATUS=OR","EQY_CONSOLIDATED=Y","Sort=A","Dates=H","DateFormat=P","Fill=—","Direction=H","UseDPDF=Y")</f>
        <v>#NAME?</v>
      </c>
      <c r="AG482" s="2" t="e">
        <f ca="1">_xll.BDH($C$478,"SHORT_TERM_DEBT_1_YEAR_GROWTH","FQ4 2014","FQ4 2014","Currency=INR","Period=FQ","BEST_FPERIOD_OVERRIDE=FQ","FILING_STATUS=OR","EQY_CONSOLIDATED=Y","Sort=A","Dates=H","DateFormat=P","Fill=—","Direction=H","UseDPDF=Y")</f>
        <v>#NAME?</v>
      </c>
      <c r="AH482" s="2" t="e">
        <f ca="1">_xll.BDH($C$478,"TOTAL_DEBT_1_YEAR_GROWTH","FQ4 2014","FQ4 2014","Currency=INR","Period=FQ","BEST_FPERIOD_OVERRIDE=FQ","FILING_STATUS=OR","EQY_CONSOLIDATED=Y","Sort=A","Dates=H","DateFormat=P","Fill=—","Direction=H","UseDPDF=Y")</f>
        <v>#NAME?</v>
      </c>
      <c r="AI482" s="2" t="e">
        <f ca="1">_xll.BDH($C$478,"TOTAL_EQUITY_1_YEAR_GROWTH","FQ4 2014","FQ4 2014","Currency=INR","Period=FQ","BEST_FPERIOD_OVERRIDE=FQ","FILING_STATUS=OR","EQY_CONSOLIDATED=Y","Sort=A","Dates=H","DateFormat=P","Fill=—","Direction=H","UseDPDF=Y")</f>
        <v>#NAME?</v>
      </c>
      <c r="AJ482" s="2" t="e">
        <f ca="1">_xll.BDH($C$478,"GROWTH_IN_CAP","FQ4 2014","FQ4 2014","Currency=INR","Period=FQ","BEST_FPERIOD_OVERRIDE=FQ","FILING_STATUS=OR","EQY_CONSOLIDATED=Y","Sort=A","Dates=H","DateFormat=P","Fill=—","Direction=H","UseDPDF=Y")</f>
        <v>#NAME?</v>
      </c>
      <c r="AK482" s="2" t="e">
        <f ca="1">_xll.BDH($C$478,"BVPS_GROWTH","FQ4 2014","FQ4 2014","Currency=INR","Period=FQ","BEST_FPERIOD_OVERRIDE=FQ","FILING_STATUS=OR","EQY_CONSOLIDATED=Y","Sort=A","Dates=H","DateFormat=P","Fill=—","Direction=H","UseDPDF=Y")</f>
        <v>#NAME?</v>
      </c>
      <c r="AL482" s="2" t="e">
        <f ca="1">_xll.BDH($C$478,"CASH_FLOW_GROWTH","FQ4 2014","FQ4 2014","Currency=INR","Period=FQ","BEST_FPERIOD_OVERRIDE=FQ","FILING_STATUS=OR","EQY_CONSOLIDATED=Y","Sort=A","Dates=H","DateFormat=P","Fill=—","Direction=H","UseDPDF=Y")</f>
        <v>#NAME?</v>
      </c>
      <c r="AM482" s="2" t="e">
        <f ca="1">_xll.BDH($C$478,"GEO_GROW_NET_SALES","FQ4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482" s="2" t="e">
        <f ca="1">_xll.BDH($C$478,"GEO_GROW_EBITDA","FQ4 2014","FQ4 2014","Currency=INR","Period=FQ","BEST_FPERIOD_OVERRIDE=FQ","FILING_STATUS=OR","EQY_CONSOLIDATED=Y","FA_ADJUSTED=GAAP","Sort=A","Dates=H","DateFormat=P","Fill=—","Direction=H","UseDPDF=Y")</f>
        <v>#NAME?</v>
      </c>
      <c r="AO482" s="2" t="e">
        <f ca="1">_xll.BDH($C$478,"GEO_GROW_OPER_INC","FQ4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482" s="2" t="e">
        <f ca="1">_xll.BDH($C$478,"NET_INCOME_TO_COMMON_5_YR_GROWTH","FQ4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482" s="2" t="e">
        <f ca="1">_xll.BDH($C$478,"5Y_GEO_GROWTH_DILUTED_EPS","FQ4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482" s="2" t="e">
        <f ca="1">_xll.BDH($C$478,"GEO_GROW_DVD_PER_SH","FQ4 2014","FQ4 2014","Currency=INR","Period=FQ","BEST_FPERIOD_OVERRIDE=FQ","FILING_STATUS=OR","EQY_CONSOLIDATED=Y","Sort=A","Dates=H","DateFormat=P","Fill=—","Direction=H","UseDPDF=Y")</f>
        <v>#NAME?</v>
      </c>
      <c r="AS482" s="2" t="e">
        <f ca="1">_xll.BDH($C$478,"ACCOUNTS_RECEIVABLE_5_YR_GROWTH","FQ4 2014","FQ4 2014","Currency=INR","Period=FQ","BEST_FPERIOD_OVERRIDE=FQ","FILING_STATUS=OR","EQY_CONSOLIDATED=Y","Sort=A","Dates=H","DateFormat=P","Fill=—","Direction=H","UseDPDF=Y")</f>
        <v>#NAME?</v>
      </c>
      <c r="AT482" s="2" t="e">
        <f ca="1">_xll.BDH($C$478,"INVENTORY_5_YEAR_GROWTH","FQ4 2014","FQ4 2014","Currency=INR","Period=FQ","BEST_FPERIOD_OVERRIDE=FQ","FILING_STATUS=OR","EQY_CONSOLIDATED=Y","Sort=A","Dates=H","DateFormat=P","Fill=—","Direction=H","UseDPDF=Y")</f>
        <v>#NAME?</v>
      </c>
      <c r="AU482" s="2" t="e">
        <f ca="1">_xll.BDH($C$478,"NET_FIXED_ASSETS_5_YEAR_GROWTH","FQ4 2014","FQ4 2014","Currency=INR","Period=FQ","BEST_FPERIOD_OVERRIDE=FQ","FILING_STATUS=OR","EQY_CONSOLIDATED=Y","Sort=A","Dates=H","DateFormat=P","Fill=—","Direction=H","UseDPDF=Y")</f>
        <v>#NAME?</v>
      </c>
      <c r="AV482" s="2" t="e">
        <f ca="1">_xll.BDH($C$478,"GEO_GROW_TOT_ASSET","FQ4 2014","FQ4 2014","Currency=INR","Period=FQ","BEST_FPERIOD_OVERRIDE=FQ","FILING_STATUS=OR","EQY_CONSOLIDATED=Y","Sort=A","Dates=H","DateFormat=P","Fill=—","Direction=H","UseDPDF=Y")</f>
        <v>#NAME?</v>
      </c>
      <c r="AW482" s="2" t="e">
        <f ca="1">_xll.BDH($C$478,"MODIFIED_WORKING_CPTL_5YR_GRWTH","FQ4 2014","FQ4 2014","Currency=INR","Period=FQ","BEST_FPERIOD_OVERRIDE=FQ","FILING_STATUS=OR","EQY_CONSOLIDATED=Y","Sort=A","Dates=H","DateFormat=P","Fill=—","Direction=H","UseDPDF=Y")</f>
        <v>#NAME?</v>
      </c>
      <c r="AX482" s="2" t="e">
        <f ca="1">_xll.BDH($C$478,"WORKING_CAPITAL_5_YEAR_GROWTH","FQ4 2014","FQ4 2014","Currency=INR","Period=FQ","BEST_FPERIOD_OVERRIDE=FQ","FILING_STATUS=OR","EQY_CONSOLIDATED=Y","Sort=A","Dates=H","DateFormat=P","Fill=—","Direction=H","UseDPDF=Y")</f>
        <v>#NAME?</v>
      </c>
      <c r="AY482" s="2" t="e">
        <f ca="1">_xll.BDH($C$478,"ACCOUNTS_PAYABLE_5_YEAR_GROWTH","FQ4 2014","FQ4 2014","Currency=INR","Period=FQ","BEST_FPERIOD_OVERRIDE=FQ","FILING_STATUS=OR","EQY_CONSOLIDATED=Y","Sort=A","Dates=H","DateFormat=P","Fill=—","Direction=H","UseDPDF=Y")</f>
        <v>#NAME?</v>
      </c>
      <c r="AZ482" s="2" t="e">
        <f ca="1">_xll.BDH($C$478,"SHORT_TERM_DEBT_5_YEAR_GROWTH","FQ4 2014","FQ4 2014","Currency=INR","Period=FQ","BEST_FPERIOD_OVERRIDE=FQ","FILING_STATUS=OR","EQY_CONSOLIDATED=Y","Sort=A","Dates=H","DateFormat=P","Fill=—","Direction=H","UseDPDF=Y")</f>
        <v>#NAME?</v>
      </c>
      <c r="BA482" s="2" t="e">
        <f ca="1">_xll.BDH($C$478,"TOTAL_DEBT_5_YEAR_GROWTH","FQ4 2014","FQ4 2014","Currency=INR","Period=FQ","BEST_FPERIOD_OVERRIDE=FQ","FILING_STATUS=OR","EQY_CONSOLIDATED=Y","Sort=A","Dates=H","DateFormat=P","Fill=—","Direction=H","UseDPDF=Y")</f>
        <v>#NAME?</v>
      </c>
      <c r="BB482" s="2" t="e">
        <f ca="1">_xll.BDH($C$478,"GEO_GROW_TOT_SHRHLDR_EQY","FQ4 2014","FQ4 2014","Currency=INR","Period=FQ","BEST_FPERIOD_OVERRIDE=FQ","FILING_STATUS=OR","EQY_CONSOLIDATED=Y","Sort=A","Dates=H","DateFormat=P","Fill=—","Direction=H","UseDPDF=Y")</f>
        <v>#NAME?</v>
      </c>
      <c r="BC482" s="2" t="e">
        <f ca="1">_xll.BDH($C$478,"TOTAL_CAPITAL_5_YEAR_GROWTH","FQ4 2014","FQ4 2014","Currency=INR","Period=FQ","BEST_FPERIOD_OVERRIDE=FQ","FILING_STATUS=OR","EQY_CONSOLIDATED=Y","Sort=A","Dates=H","DateFormat=P","Fill=—","Direction=H","UseDPDF=Y")</f>
        <v>#NAME?</v>
      </c>
      <c r="BD482" s="2" t="e">
        <f ca="1">_xll.BDH($C$478,"GEO_GROW_BOOK_VAL","FQ4 2014","FQ4 2014","Currency=INR","Period=FQ","BEST_FPERIOD_OVERRIDE=FQ","FILING_STATUS=OR","EQY_CONSOLIDATED=Y","Sort=A","Dates=H","DateFormat=P","Fill=—","Direction=H","UseDPDF=Y")</f>
        <v>#NAME?</v>
      </c>
      <c r="BE482" s="2" t="e">
        <f ca="1">_xll.BDH($C$478,"GEO_GROW_CASH_OPER_ACT","FQ4 2014","FQ4 2014","Currency=INR","Period=FQ","BEST_FPERIOD_OVERRIDE=FQ","FILING_STATUS=OR","EQY_CONSOLIDATED=Y","Sort=A","Dates=H","DateFormat=P","Fill=—","Direction=H","UseDPDF=Y")</f>
        <v>#NAME?</v>
      </c>
      <c r="BF482" s="2" t="e">
        <f ca="1">_xll.BDH($C$478,"REVENUE_SEQUENTIAL_GROWTH","FQ4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482" s="2" t="e">
        <f ca="1">_xll.BDH($C$478,"EBITDA_SEQUENTIAL_GROWTH","FQ4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482" s="2" t="e">
        <f ca="1">_xll.BDH($C$478,"OPERATING_INCOME_SEQ_GROWTH","FQ4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482" s="2" t="e">
        <f ca="1">_xll.BDH($C$478,"NET_INCOME_TO_COMMON_SEQ_GROWTH","FQ4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482" s="2" t="e">
        <f ca="1">_xll.BDH($C$478,"EPS_DILUTED_SEQUENTIAL_GROWTH","FQ4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482" s="2" t="e">
        <f ca="1">_xll.BDH($C$478,"DPS_SEQUENTIAL_GROWTH","FQ4 2014","FQ4 2014","Currency=INR","Period=FQ","BEST_FPERIOD_OVERRIDE=FQ","FILING_STATUS=OR","EQY_CONSOLIDATED=Y","Sort=A","Dates=H","DateFormat=P","Fill=—","Direction=H","UseDPDF=Y")</f>
        <v>#NAME?</v>
      </c>
      <c r="BL482" s="2" t="e">
        <f ca="1">_xll.BDH($C$478,"ACCOUNTS_RECEIVABLE_SEQ_GROWTH","FQ4 2014","FQ4 2014","Currency=INR","Period=FQ","BEST_FPERIOD_OVERRIDE=FQ","FILING_STATUS=OR","EQY_CONSOLIDATED=Y","Sort=A","Dates=H","DateFormat=P","Fill=—","Direction=H","UseDPDF=Y")</f>
        <v>#NAME?</v>
      </c>
      <c r="BM482" s="2" t="e">
        <f ca="1">_xll.BDH($C$478,"INVENTORY_SEQUENTIAL_GROWTH","FQ4 2014","FQ4 2014","Currency=INR","Period=FQ","BEST_FPERIOD_OVERRIDE=FQ","FILING_STATUS=OR","EQY_CONSOLIDATED=Y","Sort=A","Dates=H","DateFormat=P","Fill=—","Direction=H","UseDPDF=Y")</f>
        <v>#NAME?</v>
      </c>
      <c r="BN482" s="2" t="e">
        <f ca="1">_xll.BDH($C$478,"FIXED_ASSETS_SEQUENTIAL_GROWTH","FQ4 2014","FQ4 2014","Currency=INR","Period=FQ","BEST_FPERIOD_OVERRIDE=FQ","FILING_STATUS=OR","EQY_CONSOLIDATED=Y","Sort=A","Dates=H","DateFormat=P","Fill=—","Direction=H","UseDPDF=Y")</f>
        <v>#NAME?</v>
      </c>
      <c r="BO482" s="2" t="e">
        <f ca="1">_xll.BDH($C$478,"TOTAL_ASSETS_SEQUENTIAL_GROWTH","FQ4 2014","FQ4 2014","Currency=INR","Period=FQ","BEST_FPERIOD_OVERRIDE=FQ","FILING_STATUS=OR","EQY_CONSOLIDATED=Y","Sort=A","Dates=H","DateFormat=P","Fill=—","Direction=H","UseDPDF=Y")</f>
        <v>#NAME?</v>
      </c>
      <c r="BP482" s="2" t="e">
        <f ca="1">_xll.BDH($C$478,"MODIFIED_WORKING_CPTL_SEQ_GRWTH","FQ4 2014","FQ4 2014","Currency=INR","Period=FQ","BEST_FPERIOD_OVERRIDE=FQ","FILING_STATUS=OR","EQY_CONSOLIDATED=Y","Sort=A","Dates=H","DateFormat=P","Fill=—","Direction=H","UseDPDF=Y")</f>
        <v>#NAME?</v>
      </c>
      <c r="BQ482" s="2" t="e">
        <f ca="1">_xll.BDH($C$478,"WORKING_CAPITAL_SEQ_GROWTH","FQ4 2014","FQ4 2014","Currency=INR","Period=FQ","BEST_FPERIOD_OVERRIDE=FQ","FILING_STATUS=OR","EQY_CONSOLIDATED=Y","Sort=A","Dates=H","DateFormat=P","Fill=—","Direction=H","UseDPDF=Y")</f>
        <v>#NAME?</v>
      </c>
      <c r="BR482" s="2" t="e">
        <f ca="1">_xll.BDH($C$478,"ACCOUNTS_PAYABLE_SEQ_GROWTH","FQ4 2014","FQ4 2014","Currency=INR","Period=FQ","BEST_FPERIOD_OVERRIDE=FQ","FILING_STATUS=OR","EQY_CONSOLIDATED=Y","Sort=A","Dates=H","DateFormat=P","Fill=—","Direction=H","UseDPDF=Y")</f>
        <v>#NAME?</v>
      </c>
      <c r="BS482" s="2" t="e">
        <f ca="1">_xll.BDH($C$478,"ST_DEBT_SEQUENTIAL_GROWTH","FQ4 2014","FQ4 2014","Currency=INR","Period=FQ","BEST_FPERIOD_OVERRIDE=FQ","FILING_STATUS=OR","EQY_CONSOLIDATED=Y","Sort=A","Dates=H","DateFormat=P","Fill=—","Direction=H","UseDPDF=Y")</f>
        <v>#NAME?</v>
      </c>
      <c r="BT482" s="2" t="e">
        <f ca="1">_xll.BDH($C$478,"TOTAL_DEBT_SEQUENTIAL_GROWTH","FQ4 2014","FQ4 2014","Currency=INR","Period=FQ","BEST_FPERIOD_OVERRIDE=FQ","FILING_STATUS=OR","EQY_CONSOLIDATED=Y","Sort=A","Dates=H","DateFormat=P","Fill=—","Direction=H","UseDPDF=Y")</f>
        <v>#NAME?</v>
      </c>
      <c r="BU482" s="2" t="e">
        <f ca="1">_xll.BDH($C$478,"TOTAL_EQUITY_SEQUENTIAL_GROWTH","FQ4 2014","FQ4 2014","Currency=INR","Period=FQ","BEST_FPERIOD_OVERRIDE=FQ","FILING_STATUS=OR","EQY_CONSOLIDATED=Y","Sort=A","Dates=H","DateFormat=P","Fill=—","Direction=H","UseDPDF=Y")</f>
        <v>#NAME?</v>
      </c>
      <c r="BV482" s="2" t="e">
        <f ca="1">_xll.BDH($C$478,"TOTAL_CAPITAL_SEQUENTIAL_GROWTH","FQ4 2014","FQ4 2014","Currency=INR","Period=FQ","BEST_FPERIOD_OVERRIDE=FQ","FILING_STATUS=OR","EQY_CONSOLIDATED=Y","Sort=A","Dates=H","DateFormat=P","Fill=—","Direction=H","UseDPDF=Y")</f>
        <v>#NAME?</v>
      </c>
      <c r="BW482" s="2" t="e">
        <f ca="1">_xll.BDH($C$478,"BPS_SEQUENTIAL_GROWTH","FQ4 2014","FQ4 2014","Currency=INR","Period=FQ","BEST_FPERIOD_OVERRIDE=FQ","FILING_STATUS=OR","EQY_CONSOLIDATED=Y","Sort=A","Dates=H","DateFormat=P","Fill=—","Direction=H","UseDPDF=Y")</f>
        <v>#NAME?</v>
      </c>
      <c r="BX482" s="2" t="e">
        <f ca="1">_xll.BDH($C$478,"CFO_SEQUENTIAL_GROWTH","FQ4 2014","FQ4 2014","Currency=INR","Period=FQ","BEST_FPERIOD_OVERRIDE=FQ","FILING_STATUS=OR","EQY_CONSOLIDATED=Y","Sort=A","Dates=H","DateFormat=P","Fill=—","Direction=H","UseDPDF=Y")</f>
        <v>#NAME?</v>
      </c>
      <c r="BY482" s="3" t="e">
        <f ca="1">_xll.BDH($C$478,"SHORT_AND_LONG_TERM_DEBT","FQ4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482" s="3" t="e">
        <f ca="1">_xll.BDH($C$478,"BS_ST_BORROW","FQ4 2014","FQ4 2014","Currency=INR","Period=FQ","BEST_FPERIOD_OVERRIDE=FQ","FILING_STATUS=OR","EQY_CONSOLIDATED=Y","SCALING_FORMAT=MLN","Sort=A","Dates=H","DateFormat=P","Fill=—","Direction=H","UseDPDF=Y")</f>
        <v>#NAME?</v>
      </c>
      <c r="CA482" s="3" t="e">
        <f ca="1">_xll.BDH($C$478,"BS_LT_BORROW","FQ4 2014","FQ4 2014","Currency=INR","Period=FQ","BEST_FPERIOD_OVERRIDE=FQ","FILING_STATUS=OR","EQY_CONSOLIDATED=Y","SCALING_FORMAT=MLN","Sort=A","Dates=H","DateFormat=P","Fill=—","Direction=H","UseDPDF=Y")</f>
        <v>#NAME?</v>
      </c>
      <c r="CB482" s="2" t="e">
        <f ca="1">_xll.BDH($C$478,"TOT_DEBT_TO_EBITDA","FQ4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482" s="2" t="e">
        <f ca="1">_xll.BDH($C$478,"NET_DEBT_TO_EBITDA","FQ4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482" s="2" t="e">
        <f ca="1">_xll.BDH($C$478,"TOTAL_DEBT_TO_EBIT","FQ4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482" s="2" t="e">
        <f ca="1">_xll.BDH($C$478,"NET_DEBT_TO_EBIT","FQ4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482" s="2" t="e">
        <f ca="1">_xll.BDH($C$478,"EBITDA_TO_INTEREST_EXPN","FQ4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482" s="2" t="e">
        <f ca="1">_xll.BDH($C$478,"COM_EQY_TO_TOT_ASSET","FQ4 2014","FQ4 2014","Currency=INR","Period=FQ","BEST_FPERIOD_OVERRIDE=FQ","FILING_STATUS=OR","EQY_CONSOLIDATED=Y","Sort=A","Dates=H","DateFormat=P","Fill=—","Direction=H","UseDPDF=Y")</f>
        <v>#NAME?</v>
      </c>
      <c r="CH482" s="2" t="e">
        <f ca="1">_xll.BDH($C$478,"LT_DEBT_TO_TOT_EQY","FQ4 2014","FQ4 2014","Currency=INR","Period=FQ","BEST_FPERIOD_OVERRIDE=FQ","FILING_STATUS=OR","EQY_CONSOLIDATED=Y","Sort=A","Dates=H","DateFormat=P","Fill=—","Direction=H","UseDPDF=Y")</f>
        <v>#NAME?</v>
      </c>
      <c r="CI482" s="2" t="e">
        <f ca="1">_xll.BDH($C$478,"LT_DEBT_TO_TOT_CAP","FQ4 2014","FQ4 2014","Currency=INR","Period=FQ","BEST_FPERIOD_OVERRIDE=FQ","FILING_STATUS=OR","EQY_CONSOLIDATED=Y","Sort=A","Dates=H","DateFormat=P","Fill=—","Direction=H","UseDPDF=Y")</f>
        <v>#NAME?</v>
      </c>
      <c r="CJ482" s="2" t="e">
        <f ca="1">_xll.BDH($C$478,"LT_DEBT_TO_TOT_ASSET","FQ4 2014","FQ4 2014","Currency=INR","Period=FQ","BEST_FPERIOD_OVERRIDE=FQ","FILING_STATUS=OR","EQY_CONSOLIDATED=Y","Sort=A","Dates=H","DateFormat=P","Fill=—","Direction=H","UseDPDF=Y")</f>
        <v>#NAME?</v>
      </c>
      <c r="CK482" s="2" t="e">
        <f ca="1">_xll.BDH($C$478,"TOT_DEBT_TO_TOT_EQY","FQ4 2014","FQ4 2014","Currency=INR","Period=FQ","BEST_FPERIOD_OVERRIDE=FQ","FILING_STATUS=OR","EQY_CONSOLIDATED=Y","Sort=A","Dates=H","DateFormat=P","Fill=—","Direction=H","UseDPDF=Y")</f>
        <v>#NAME?</v>
      </c>
      <c r="CL482" s="2" t="e">
        <f ca="1">_xll.BDH($C$478,"TOT_DEBT_TO_TOT_CAP","FQ4 2014","FQ4 2014","Currency=INR","Period=FQ","BEST_FPERIOD_OVERRIDE=FQ","FILING_STATUS=OR","EQY_CONSOLIDATED=Y","Sort=A","Dates=H","DateFormat=P","Fill=—","Direction=H","UseDPDF=Y")</f>
        <v>#NAME?</v>
      </c>
      <c r="CM482" s="2" t="e">
        <f ca="1">_xll.BDH($C$478,"TOT_DEBT_TO_TOT_ASSET","FQ4 2014","FQ4 2014","Currency=INR","Period=FQ","BEST_FPERIOD_OVERRIDE=FQ","FILING_STATUS=OR","EQY_CONSOLIDATED=Y","Sort=A","Dates=H","DateFormat=P","Fill=—","Direction=H","UseDPDF=Y")</f>
        <v>#NAME?</v>
      </c>
      <c r="CN482" s="2" t="e">
        <f ca="1">_xll.BDH($C$478,"NET_DEBT_TO_SHRHLDR_EQTY","FQ4 2014","FQ4 2014","Currency=INR","Period=FQ","BEST_FPERIOD_OVERRIDE=FQ","FILING_STATUS=OR","EQY_CONSOLIDATED=Y","Sort=A","Dates=H","DateFormat=P","Fill=—","Direction=H","UseDPDF=Y")</f>
        <v>#NAME?</v>
      </c>
      <c r="CO482" s="2" t="e">
        <f ca="1">_xll.BDH($C$478,"NET_DEBT_%_CAPITAL","FQ4 2014","FQ4 2014","Currency=INR","Period=FQ","BEST_FPERIOD_OVERRIDE=FQ","FILING_STATUS=OR","EQY_CONSOLIDATED=Y","Sort=A","Dates=H","DateFormat=P","Fill=—","Direction=H","UseDPDF=Y")</f>
        <v>#NAME?</v>
      </c>
      <c r="CP482" s="3" t="e">
        <f ca="1">_xll.BDH($C$478,"EBITDA","FQ4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482" s="3" t="e">
        <f ca="1">_xll.BDH($C$478,"EBITDA_AFTER_CAPEX","FQ4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482" s="3" t="e">
        <f ca="1">_xll.BDH($C$478,"IS_OPER_INC","FQ4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482" s="2" t="e">
        <f ca="1">_xll.BDH($C$478,"CASH_RATIO","FQ4 2014","FQ4 2014","Currency=INR","Period=FQ","BEST_FPERIOD_OVERRIDE=FQ","FILING_STATUS=OR","EQY_CONSOLIDATED=Y","Sort=A","Dates=H","DateFormat=P","Fill=—","Direction=H","UseDPDF=Y")</f>
        <v>#NAME?</v>
      </c>
      <c r="CT482" s="2" t="e">
        <f ca="1">_xll.BDH($C$478,"CUR_RATIO","FQ4 2014","FQ4 2014","Currency=INR","Period=FQ","BEST_FPERIOD_OVERRIDE=FQ","FILING_STATUS=OR","EQY_CONSOLIDATED=Y","Sort=A","Dates=H","DateFormat=P","Fill=—","Direction=H","UseDPDF=Y")</f>
        <v>#NAME?</v>
      </c>
      <c r="CU482" s="2" t="e">
        <f ca="1">_xll.BDH($C$478,"QUICK_RATIO","FQ4 2014","FQ4 2014","Currency=INR","Period=FQ","BEST_FPERIOD_OVERRIDE=FQ","FILING_STATUS=OR","EQY_CONSOLIDATED=Y","Sort=A","Dates=H","DateFormat=P","Fill=—","Direction=H","UseDPDF=Y")</f>
        <v>#NAME?</v>
      </c>
      <c r="CV482" s="2" t="e">
        <f ca="1">_xll.BDH($C$478,"ALTMAN_Z_SCORE","FQ4 2014","FQ4 2014","Currency=INR","Period=FQ","BEST_FPERIOD_OVERRIDE=FQ","FILING_STATUS=OR","EQY_CONSOLIDATED=Y","Sort=A","Dates=H","DateFormat=P","Fill=—","Direction=H","UseDPDF=Y")</f>
        <v>#NAME?</v>
      </c>
      <c r="CW482" s="4" t="e">
        <f ca="1">_xll.BDH($C$478,"ACCT_RCV_TURN","FQ4 2014","FQ4 2014","Currency=INR","Period=FQ","BEST_FPERIOD_OVERRIDE=FQ","FILING_STATUS=OR","EQY_CONSOLIDATED=Y","FA_ADJUSTED=GAAP","Sort=A","Dates=H","DateFormat=P","Fill=—","Direction=H","UseDPDF=Y")</f>
        <v>#NAME?</v>
      </c>
      <c r="CX482" s="2" t="e">
        <f ca="1">_xll.BDH($C$478,"ACCT_RCV_DAYS","FQ4 2014","FQ4 2014","Currency=INR","Period=FQ","BEST_FPERIOD_OVERRIDE=FQ","FILING_STATUS=OR","EQY_CONSOLIDATED=Y","FA_ADJUSTED=GAAP","Sort=A","Dates=H","DateFormat=P","Fill=—","Direction=H","UseDPDF=Y")</f>
        <v>#NAME?</v>
      </c>
      <c r="CY482" s="4" t="e">
        <f ca="1">_xll.BDH($C$478,"INVENT_TURN","FQ4 2014","FQ4 2014","Currency=INR","Period=FQ","BEST_FPERIOD_OVERRIDE=FQ","FILING_STATUS=OR","EQY_CONSOLIDATED=Y","FA_ADJUSTED=GAAP","Sort=A","Dates=H","DateFormat=P","Fill=—","Direction=H","UseDPDF=Y")</f>
        <v>#NAME?</v>
      </c>
      <c r="CZ482" s="2" t="e">
        <f ca="1">_xll.BDH($C$478,"INVENT_DAYS","FQ4 2014","FQ4 2014","Currency=INR","Period=FQ","BEST_FPERIOD_OVERRIDE=FQ","FILING_STATUS=OR","EQY_CONSOLIDATED=Y","FA_ADJUSTED=GAAP","Sort=A","Dates=H","DateFormat=P","Fill=—","Direction=H","UseDPDF=Y")</f>
        <v>#NAME?</v>
      </c>
      <c r="DA482" s="4" t="e">
        <f ca="1">_xll.BDH($C$478,"ACCOUNTS_PAYABLE_TURNOVER","FQ4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482" s="2" t="e">
        <f ca="1">_xll.BDH($C$478,"ACCOUNTS_PAYABLE_TURNOVER_DAYS","FQ4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482" s="4" t="e">
        <f ca="1">_xll.BDH($C$478,"CASH_CONVERSION_CYCLE","FQ4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482" s="4" t="e">
        <f ca="1">_xll.BDH($C$478,"INV_TO_CASH_DAYS","FQ4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482" s="5" t="e">
        <f ca="1">_xll.BDH($C$478,"BS_INVENTORIES","FQ4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482" s="3" t="e">
        <f ca="1">_xll.BDH($C$478,"INVTRY_RAW_MATERIALS","FQ4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482" s="3" t="e">
        <f ca="1">_xll.BDH($C$478,"INVTRY_IN_PROGRESS","FQ4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482" s="3" t="e">
        <f ca="1">_xll.BDH($C$478,"INVTRY_FINISHED_GOODS","FQ4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482" s="3" t="e">
        <f ca="1">_xll.BDH($C$478,"BS_OTHER_INV","FQ4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483" spans="1:113" x14ac:dyDescent="0.3">
      <c r="A483" s="6"/>
      <c r="B483" s="6"/>
      <c r="C483" s="6"/>
      <c r="D483" s="6" t="s">
        <v>82</v>
      </c>
      <c r="E483" t="s">
        <v>77</v>
      </c>
      <c r="F483" t="e">
        <f ca="1">_xll.BDH($C$478,"RETURN_COM_EQY","FY 2015","FY 2015","Currency=INR","Period=FY","BEST_FPERIOD_OVERRIDE=FY","FILING_STATUS=OR","EQY_CONSOLIDATED=Y","FA_ADJUSTED=GAAP","Sort=A","Dates=H","DateFormat=P","Fill=—","Direction=H","UseDPDF=Y")</f>
        <v>#NAME?</v>
      </c>
      <c r="G483" t="e">
        <f ca="1">_xll.BDH($C$478,"RETURN_ON_ASSET","FY 2015","FY 2015","Currency=INR","Period=FY","BEST_FPERIOD_OVERRIDE=FY","FILING_STATUS=OR","EQY_CONSOLIDATED=Y","FA_ADJUSTED=GAAP","Sort=A","Dates=H","DateFormat=P","Fill=—","Direction=H","UseDPDF=Y")</f>
        <v>#NAME?</v>
      </c>
      <c r="H483" t="e">
        <f ca="1">_xll.BDH($C$478,"RETURN_ON_CAP","FY 2015","FY 2015","Currency=INR","Period=FY","BEST_FPERIOD_OVERRIDE=FY","FILING_STATUS=OR","EQY_CONSOLIDATED=Y","FA_ADJUSTED=GAAP","Sort=A","Dates=H","DateFormat=P","Fill=—","Direction=H","UseDPDF=Y")</f>
        <v>#NAME?</v>
      </c>
      <c r="I483" t="e">
        <f ca="1">_xll.BDH($C$478,"RETURN_ON_INV_CAPITAL","FY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483" t="e">
        <f ca="1">_xll.BDH($C$478,"EBITDA_TO_REVENUE","FY 2015","FY 2015","Currency=INR","Period=FY","BEST_FPERIOD_OVERRIDE=FY","FILING_STATUS=OR","EQY_CONSOLIDATED=Y","FA_ADJUSTED=GAAP","Sort=A","Dates=H","DateFormat=P","Fill=—","Direction=H","UseDPDF=Y")</f>
        <v>#NAME?</v>
      </c>
      <c r="K483" t="e">
        <f ca="1">_xll.BDH($C$478,"OPER_MARGIN","FY 2015","FY 2015","Currency=INR","Period=FY","BEST_FPERIOD_OVERRIDE=FY","FILING_STATUS=OR","EQY_CONSOLIDATED=Y","FA_ADJUSTED=GAAP","Sort=A","Dates=H","DateFormat=P","Fill=—","Direction=H","UseDPDF=Y")</f>
        <v>#NAME?</v>
      </c>
      <c r="L483" t="e">
        <f ca="1">_xll.BDH($C$478,"INCREMENTAL_OPERATING_MARGIN","FY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483" t="e">
        <f ca="1">_xll.BDH($C$478,"PRETAX_INC_TO_NET_SALES","FY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483" t="e">
        <f ca="1">_xll.BDH($C$478,"INC_BEF_XO_ITEMS_TO_NET_SALES","FY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483" t="e">
        <f ca="1">_xll.BDH($C$478,"PROF_MARGIN","FY 2015","FY 2015","Currency=INR","Period=FY","BEST_FPERIOD_OVERRIDE=FY","FILING_STATUS=OR","EQY_CONSOLIDATED=Y","FA_ADJUSTED=GAAP","Sort=A","Dates=H","DateFormat=P","Fill=—","Direction=H","UseDPDF=Y")</f>
        <v>#NAME?</v>
      </c>
      <c r="P483" t="e">
        <f ca="1">_xll.BDH($C$478,"NET_INCOME_TO_COMMON_MARGIN","FY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483" t="e">
        <f ca="1">_xll.BDH($C$478,"EFF_TAX_RATE","FY 2015","FY 2015","Currency=INR","Period=FY","BEST_FPERIOD_OVERRIDE=FY","FILING_STATUS=OR","EQY_CONSOLIDATED=Y","FA_ADJUSTED=GAAP","Sort=A","Dates=H","DateFormat=P","Fill=—","Direction=H","UseDPDF=Y")</f>
        <v>#NAME?</v>
      </c>
      <c r="R483" t="e">
        <f ca="1">_xll.BDH($C$478,"DVD_PAYOUT_RATIO","FY 2015","FY 2015","Currency=INR","Period=FY","BEST_FPERIOD_OVERRIDE=FY","FILING_STATUS=OR","EQY_CONSOLIDATED=Y","FA_ADJUSTED=GAAP","Sort=A","Dates=H","DateFormat=P","Fill=—","Direction=H","UseDPDF=Y")</f>
        <v>#NAME?</v>
      </c>
      <c r="S483" t="e">
        <f ca="1">_xll.BDH($C$478,"SUSTAIN_GROWTH_RT","FY 2015","FY 2015","Currency=INR","Period=FY","BEST_FPERIOD_OVERRIDE=FY","FILING_STATUS=OR","EQY_CONSOLIDATED=Y","FA_ADJUSTED=GAAP","Sort=A","Dates=H","DateFormat=P","Fill=—","Direction=H","UseDPDF=Y")</f>
        <v>#NAME?</v>
      </c>
      <c r="T483" s="2" t="e">
        <f ca="1">_xll.BDH($C$478,"SALES_GROWTH","FY 2015","FY 2015","Currency=INR","Period=FY","BEST_FPERIOD_OVERRIDE=FY","FILING_STATUS=OR","EQY_CONSOLIDATED=Y","FA_ADJUSTED=GAAP","Sort=A","Dates=H","DateFormat=P","Fill=—","Direction=H","UseDPDF=Y")</f>
        <v>#NAME?</v>
      </c>
      <c r="U483" s="2" t="e">
        <f ca="1">_xll.BDH($C$478,"EBITDA_GROWTH","FY 2015","FY 2015","Currency=INR","Period=FY","BEST_FPERIOD_OVERRIDE=FY","FILING_STATUS=OR","EQY_CONSOLIDATED=Y","FA_ADJUSTED=GAAP","Sort=A","Dates=H","DateFormat=P","Fill=—","Direction=H","UseDPDF=Y")</f>
        <v>#NAME?</v>
      </c>
      <c r="V483" s="2" t="e">
        <f ca="1">_xll.BDH($C$478,"OPER_INC_GROWTH","FY 2015","FY 2015","Currency=INR","Period=FY","BEST_FPERIOD_OVERRIDE=FY","FILING_STATUS=OR","EQY_CONSOLIDATED=Y","FA_ADJUSTED=GAAP","Sort=A","Dates=H","DateFormat=P","Fill=—","Direction=H","UseDPDF=Y")</f>
        <v>#NAME?</v>
      </c>
      <c r="W483" s="2" t="e">
        <f ca="1">_xll.BDH($C$478,"EARN_FOR_COM_GROWTH","FY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483" s="2" t="e">
        <f ca="1">_xll.BDH($C$478,"DILUTED_EPS_AFT_XO_ITEMS_GROWTH","FY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483" s="2" t="e">
        <f ca="1">_xll.BDH($C$478,"DIVIDEND_PER_SHARE_1_YEAR_GROWTH","FY 2015","FY 2015","Currency=INR","Period=FY","BEST_FPERIOD_OVERRIDE=FY","FILING_STATUS=OR","EQY_CONSOLIDATED=Y","Sort=A","Dates=H","DateFormat=P","Fill=—","Direction=H","UseDPDF=Y")</f>
        <v>#NAME?</v>
      </c>
      <c r="Z483" s="2" t="e">
        <f ca="1">_xll.BDH($C$478,"ACCOUNTS_RECEIVABLE_GROWTH","FY 2015","FY 2015","Currency=INR","Period=FY","BEST_FPERIOD_OVERRIDE=FY","FILING_STATUS=OR","EQY_CONSOLIDATED=Y","Sort=A","Dates=H","DateFormat=P","Fill=—","Direction=H","UseDPDF=Y")</f>
        <v>#NAME?</v>
      </c>
      <c r="AA483" s="2" t="e">
        <f ca="1">_xll.BDH($C$478,"INVENTORY_GROWTH","FY 2015","FY 2015","Currency=INR","Period=FY","BEST_FPERIOD_OVERRIDE=FY","FILING_STATUS=OR","EQY_CONSOLIDATED=Y","Sort=A","Dates=H","DateFormat=P","Fill=—","Direction=H","UseDPDF=Y")</f>
        <v>#NAME?</v>
      </c>
      <c r="AB483" s="2" t="e">
        <f ca="1">_xll.BDH($C$478,"NET_FIXED_ASSETS_1_YEAR_GROWTH","FY 2015","FY 2015","Currency=INR","Period=FY","BEST_FPERIOD_OVERRIDE=FY","FILING_STATUS=OR","EQY_CONSOLIDATED=Y","Sort=A","Dates=H","DateFormat=P","Fill=—","Direction=H","UseDPDF=Y")</f>
        <v>#NAME?</v>
      </c>
      <c r="AC483" s="2" t="e">
        <f ca="1">_xll.BDH($C$478,"ASSET_GROWTH","FY 2015","FY 2015","Currency=INR","Period=FY","BEST_FPERIOD_OVERRIDE=FY","FILING_STATUS=OR","EQY_CONSOLIDATED=Y","Sort=A","Dates=H","DateFormat=P","Fill=—","Direction=H","UseDPDF=Y")</f>
        <v>#NAME?</v>
      </c>
      <c r="AD483" s="2" t="e">
        <f ca="1">_xll.BDH($C$478,"MODIFIED_WORK_CAP_GROWTH","FY 2015","FY 2015","Currency=INR","Period=FY","BEST_FPERIOD_OVERRIDE=FY","FILING_STATUS=OR","EQY_CONSOLIDATED=Y","Sort=A","Dates=H","DateFormat=P","Fill=—","Direction=H","UseDPDF=Y")</f>
        <v>#NAME?</v>
      </c>
      <c r="AE483" s="2" t="e">
        <f ca="1">_xll.BDH($C$478,"WORK_CAP_GROWTH","FY 2015","FY 2015","Currency=INR","Period=FY","BEST_FPERIOD_OVERRIDE=FY","FILING_STATUS=OR","EQY_CONSOLIDATED=Y","Sort=A","Dates=H","DateFormat=P","Fill=—","Direction=H","UseDPDF=Y")</f>
        <v>#NAME?</v>
      </c>
      <c r="AF483" s="2" t="e">
        <f ca="1">_xll.BDH($C$478,"ACCOUNTS_PAYABLE_GROWTH_1YR","FY 2015","FY 2015","Currency=INR","Period=FY","BEST_FPERIOD_OVERRIDE=FY","FILING_STATUS=OR","EQY_CONSOLIDATED=Y","Sort=A","Dates=H","DateFormat=P","Fill=—","Direction=H","UseDPDF=Y")</f>
        <v>#NAME?</v>
      </c>
      <c r="AG483" s="2" t="e">
        <f ca="1">_xll.BDH($C$478,"SHORT_TERM_DEBT_1_YEAR_GROWTH","FY 2015","FY 2015","Currency=INR","Period=FY","BEST_FPERIOD_OVERRIDE=FY","FILING_STATUS=OR","EQY_CONSOLIDATED=Y","Sort=A","Dates=H","DateFormat=P","Fill=—","Direction=H","UseDPDF=Y")</f>
        <v>#NAME?</v>
      </c>
      <c r="AH483" s="2" t="e">
        <f ca="1">_xll.BDH($C$478,"TOTAL_DEBT_1_YEAR_GROWTH","FY 2015","FY 2015","Currency=INR","Period=FY","BEST_FPERIOD_OVERRIDE=FY","FILING_STATUS=OR","EQY_CONSOLIDATED=Y","Sort=A","Dates=H","DateFormat=P","Fill=—","Direction=H","UseDPDF=Y")</f>
        <v>#NAME?</v>
      </c>
      <c r="AI483" s="2" t="e">
        <f ca="1">_xll.BDH($C$478,"TOTAL_EQUITY_1_YEAR_GROWTH","FY 2015","FY 2015","Currency=INR","Period=FY","BEST_FPERIOD_OVERRIDE=FY","FILING_STATUS=OR","EQY_CONSOLIDATED=Y","Sort=A","Dates=H","DateFormat=P","Fill=—","Direction=H","UseDPDF=Y")</f>
        <v>#NAME?</v>
      </c>
      <c r="AJ483" s="2" t="e">
        <f ca="1">_xll.BDH($C$478,"GROWTH_IN_CAP","FY 2015","FY 2015","Currency=INR","Period=FY","BEST_FPERIOD_OVERRIDE=FY","FILING_STATUS=OR","EQY_CONSOLIDATED=Y","Sort=A","Dates=H","DateFormat=P","Fill=—","Direction=H","UseDPDF=Y")</f>
        <v>#NAME?</v>
      </c>
      <c r="AK483" s="2" t="e">
        <f ca="1">_xll.BDH($C$478,"BVPS_GROWTH","FY 2015","FY 2015","Currency=INR","Period=FY","BEST_FPERIOD_OVERRIDE=FY","FILING_STATUS=OR","EQY_CONSOLIDATED=Y","Sort=A","Dates=H","DateFormat=P","Fill=—","Direction=H","UseDPDF=Y")</f>
        <v>#NAME?</v>
      </c>
      <c r="AL483" s="2" t="e">
        <f ca="1">_xll.BDH($C$478,"CASH_FLOW_GROWTH","FY 2015","FY 2015","Currency=INR","Period=FY","BEST_FPERIOD_OVERRIDE=FY","FILING_STATUS=OR","EQY_CONSOLIDATED=Y","Sort=A","Dates=H","DateFormat=P","Fill=—","Direction=H","UseDPDF=Y")</f>
        <v>#NAME?</v>
      </c>
      <c r="AM483" s="2" t="e">
        <f ca="1">_xll.BDH($C$478,"GEO_GROW_NET_SALES","FY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483" s="2" t="e">
        <f ca="1">_xll.BDH($C$478,"GEO_GROW_EBITDA","FY 2015","FY 2015","Currency=INR","Period=FY","BEST_FPERIOD_OVERRIDE=FY","FILING_STATUS=OR","EQY_CONSOLIDATED=Y","FA_ADJUSTED=GAAP","Sort=A","Dates=H","DateFormat=P","Fill=—","Direction=H","UseDPDF=Y")</f>
        <v>#NAME?</v>
      </c>
      <c r="AO483" s="2" t="e">
        <f ca="1">_xll.BDH($C$478,"GEO_GROW_OPER_INC","FY 2015","FY 2015","Currency=INR","Period=FY","BEST_FPERIOD_OVERRIDE=FY","FILING_STATUS=OR","EQY_CONSOLIDATED=Y","FA_ADJUSTED=GAAP","Sort=A","Dates=H","DateFormat=P","Fill=—","Direction=H","UseDPDF=Y")</f>
        <v>#NAME?</v>
      </c>
      <c r="AP483" s="2" t="e">
        <f ca="1">_xll.BDH($C$478,"NET_INCOME_TO_COMMON_5_YR_GROWTH","FY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483" s="2" t="e">
        <f ca="1">_xll.BDH($C$478,"5Y_GEO_GROWTH_DILUTED_EPS","FY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483" s="2" t="e">
        <f ca="1">_xll.BDH($C$478,"GEO_GROW_DVD_PER_SH","FY 2015","FY 2015","Currency=INR","Period=FY","BEST_FPERIOD_OVERRIDE=FY","FILING_STATUS=OR","EQY_CONSOLIDATED=Y","Sort=A","Dates=H","DateFormat=P","Fill=—","Direction=H","UseDPDF=Y")</f>
        <v>#NAME?</v>
      </c>
      <c r="AS483" s="2" t="e">
        <f ca="1">_xll.BDH($C$478,"ACCOUNTS_RECEIVABLE_5_YR_GROWTH","FY 2015","FY 2015","Currency=INR","Period=FY","BEST_FPERIOD_OVERRIDE=FY","FILING_STATUS=OR","EQY_CONSOLIDATED=Y","Sort=A","Dates=H","DateFormat=P","Fill=—","Direction=H","UseDPDF=Y")</f>
        <v>#NAME?</v>
      </c>
      <c r="AT483" s="2" t="e">
        <f ca="1">_xll.BDH($C$478,"INVENTORY_5_YEAR_GROWTH","FY 2015","FY 2015","Currency=INR","Period=FY","BEST_FPERIOD_OVERRIDE=FY","FILING_STATUS=OR","EQY_CONSOLIDATED=Y","Sort=A","Dates=H","DateFormat=P","Fill=—","Direction=H","UseDPDF=Y")</f>
        <v>#NAME?</v>
      </c>
      <c r="AU483" s="2" t="e">
        <f ca="1">_xll.BDH($C$478,"NET_FIXED_ASSETS_5_YEAR_GROWTH","FY 2015","FY 2015","Currency=INR","Period=FY","BEST_FPERIOD_OVERRIDE=FY","FILING_STATUS=OR","EQY_CONSOLIDATED=Y","Sort=A","Dates=H","DateFormat=P","Fill=—","Direction=H","UseDPDF=Y")</f>
        <v>#NAME?</v>
      </c>
      <c r="AV483" s="2" t="e">
        <f ca="1">_xll.BDH($C$478,"GEO_GROW_TOT_ASSET","FY 2015","FY 2015","Currency=INR","Period=FY","BEST_FPERIOD_OVERRIDE=FY","FILING_STATUS=OR","EQY_CONSOLIDATED=Y","Sort=A","Dates=H","DateFormat=P","Fill=—","Direction=H","UseDPDF=Y")</f>
        <v>#NAME?</v>
      </c>
      <c r="AW483" s="2" t="e">
        <f ca="1">_xll.BDH($C$478,"MODIFIED_WORKING_CPTL_5YR_GRWTH","FY 2015","FY 2015","Currency=INR","Period=FY","BEST_FPERIOD_OVERRIDE=FY","FILING_STATUS=OR","EQY_CONSOLIDATED=Y","Sort=A","Dates=H","DateFormat=P","Fill=—","Direction=H","UseDPDF=Y")</f>
        <v>#NAME?</v>
      </c>
      <c r="AX483" s="2" t="e">
        <f ca="1">_xll.BDH($C$478,"WORKING_CAPITAL_5_YEAR_GROWTH","FY 2015","FY 2015","Currency=INR","Period=FY","BEST_FPERIOD_OVERRIDE=FY","FILING_STATUS=OR","EQY_CONSOLIDATED=Y","Sort=A","Dates=H","DateFormat=P","Fill=—","Direction=H","UseDPDF=Y")</f>
        <v>#NAME?</v>
      </c>
      <c r="AY483" s="2" t="e">
        <f ca="1">_xll.BDH($C$478,"ACCOUNTS_PAYABLE_5_YEAR_GROWTH","FY 2015","FY 2015","Currency=INR","Period=FY","BEST_FPERIOD_OVERRIDE=FY","FILING_STATUS=OR","EQY_CONSOLIDATED=Y","Sort=A","Dates=H","DateFormat=P","Fill=—","Direction=H","UseDPDF=Y")</f>
        <v>#NAME?</v>
      </c>
      <c r="AZ483" s="2" t="e">
        <f ca="1">_xll.BDH($C$478,"SHORT_TERM_DEBT_5_YEAR_GROWTH","FY 2015","FY 2015","Currency=INR","Period=FY","BEST_FPERIOD_OVERRIDE=FY","FILING_STATUS=OR","EQY_CONSOLIDATED=Y","Sort=A","Dates=H","DateFormat=P","Fill=—","Direction=H","UseDPDF=Y")</f>
        <v>#NAME?</v>
      </c>
      <c r="BA483" s="2" t="e">
        <f ca="1">_xll.BDH($C$478,"TOTAL_DEBT_5_YEAR_GROWTH","FY 2015","FY 2015","Currency=INR","Period=FY","BEST_FPERIOD_OVERRIDE=FY","FILING_STATUS=OR","EQY_CONSOLIDATED=Y","Sort=A","Dates=H","DateFormat=P","Fill=—","Direction=H","UseDPDF=Y")</f>
        <v>#NAME?</v>
      </c>
      <c r="BB483" s="2" t="e">
        <f ca="1">_xll.BDH($C$478,"GEO_GROW_TOT_SHRHLDR_EQY","FY 2015","FY 2015","Currency=INR","Period=FY","BEST_FPERIOD_OVERRIDE=FY","FILING_STATUS=OR","EQY_CONSOLIDATED=Y","Sort=A","Dates=H","DateFormat=P","Fill=—","Direction=H","UseDPDF=Y")</f>
        <v>#NAME?</v>
      </c>
      <c r="BC483" s="2" t="e">
        <f ca="1">_xll.BDH($C$478,"TOTAL_CAPITAL_5_YEAR_GROWTH","FY 2015","FY 2015","Currency=INR","Period=FY","BEST_FPERIOD_OVERRIDE=FY","FILING_STATUS=OR","EQY_CONSOLIDATED=Y","Sort=A","Dates=H","DateFormat=P","Fill=—","Direction=H","UseDPDF=Y")</f>
        <v>#NAME?</v>
      </c>
      <c r="BD483" s="2" t="e">
        <f ca="1">_xll.BDH($C$478,"GEO_GROW_BOOK_VAL","FY 2015","FY 2015","Currency=INR","Period=FY","BEST_FPERIOD_OVERRIDE=FY","FILING_STATUS=OR","EQY_CONSOLIDATED=Y","Sort=A","Dates=H","DateFormat=P","Fill=—","Direction=H","UseDPDF=Y")</f>
        <v>#NAME?</v>
      </c>
      <c r="BE483" s="2" t="e">
        <f ca="1">_xll.BDH($C$478,"GEO_GROW_CASH_OPER_ACT","FY 2015","FY 2015","Currency=INR","Period=FY","BEST_FPERIOD_OVERRIDE=FY","FILING_STATUS=OR","EQY_CONSOLIDATED=Y","Sort=A","Dates=H","DateFormat=P","Fill=—","Direction=H","UseDPDF=Y")</f>
        <v>#NAME?</v>
      </c>
      <c r="BF483" s="2" t="e">
        <f ca="1">_xll.BDH($C$478,"REVENUE_SEQUENTIAL_GROWTH","FY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483" s="2" t="e">
        <f ca="1">_xll.BDH($C$478,"EBITDA_SEQUENTIAL_GROWTH","FY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483" s="2" t="e">
        <f ca="1">_xll.BDH($C$478,"OPERATING_INCOME_SEQ_GROWTH","FY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483" s="2" t="e">
        <f ca="1">_xll.BDH($C$478,"NET_INCOME_TO_COMMON_SEQ_GROWTH","FY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483" s="2" t="e">
        <f ca="1">_xll.BDH($C$478,"EPS_DILUTED_SEQUENTIAL_GROWTH","FY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483" s="2" t="e">
        <f ca="1">_xll.BDH($C$478,"DPS_SEQUENTIAL_GROWTH","FY 2015","FY 2015","Currency=INR","Period=FY","BEST_FPERIOD_OVERRIDE=FY","FILING_STATUS=OR","EQY_CONSOLIDATED=Y","Sort=A","Dates=H","DateFormat=P","Fill=—","Direction=H","UseDPDF=Y")</f>
        <v>#NAME?</v>
      </c>
      <c r="BL483" s="2" t="e">
        <f ca="1">_xll.BDH($C$478,"ACCOUNTS_RECEIVABLE_SEQ_GROWTH","FY 2015","FY 2015","Currency=INR","Period=FY","BEST_FPERIOD_OVERRIDE=FY","FILING_STATUS=OR","EQY_CONSOLIDATED=Y","Sort=A","Dates=H","DateFormat=P","Fill=—","Direction=H","UseDPDF=Y")</f>
        <v>#NAME?</v>
      </c>
      <c r="BM483" s="2" t="e">
        <f ca="1">_xll.BDH($C$478,"INVENTORY_SEQUENTIAL_GROWTH","FY 2015","FY 2015","Currency=INR","Period=FY","BEST_FPERIOD_OVERRIDE=FY","FILING_STATUS=OR","EQY_CONSOLIDATED=Y","Sort=A","Dates=H","DateFormat=P","Fill=—","Direction=H","UseDPDF=Y")</f>
        <v>#NAME?</v>
      </c>
      <c r="BN483" s="2" t="e">
        <f ca="1">_xll.BDH($C$478,"FIXED_ASSETS_SEQUENTIAL_GROWTH","FY 2015","FY 2015","Currency=INR","Period=FY","BEST_FPERIOD_OVERRIDE=FY","FILING_STATUS=OR","EQY_CONSOLIDATED=Y","Sort=A","Dates=H","DateFormat=P","Fill=—","Direction=H","UseDPDF=Y")</f>
        <v>#NAME?</v>
      </c>
      <c r="BO483" s="2" t="e">
        <f ca="1">_xll.BDH($C$478,"TOTAL_ASSETS_SEQUENTIAL_GROWTH","FY 2015","FY 2015","Currency=INR","Period=FY","BEST_FPERIOD_OVERRIDE=FY","FILING_STATUS=OR","EQY_CONSOLIDATED=Y","Sort=A","Dates=H","DateFormat=P","Fill=—","Direction=H","UseDPDF=Y")</f>
        <v>#NAME?</v>
      </c>
      <c r="BP483" s="2" t="e">
        <f ca="1">_xll.BDH($C$478,"MODIFIED_WORKING_CPTL_SEQ_GRWTH","FY 2015","FY 2015","Currency=INR","Period=FY","BEST_FPERIOD_OVERRIDE=FY","FILING_STATUS=OR","EQY_CONSOLIDATED=Y","Sort=A","Dates=H","DateFormat=P","Fill=—","Direction=H","UseDPDF=Y")</f>
        <v>#NAME?</v>
      </c>
      <c r="BQ483" s="2" t="e">
        <f ca="1">_xll.BDH($C$478,"WORKING_CAPITAL_SEQ_GROWTH","FY 2015","FY 2015","Currency=INR","Period=FY","BEST_FPERIOD_OVERRIDE=FY","FILING_STATUS=OR","EQY_CONSOLIDATED=Y","Sort=A","Dates=H","DateFormat=P","Fill=—","Direction=H","UseDPDF=Y")</f>
        <v>#NAME?</v>
      </c>
      <c r="BR483" s="2" t="e">
        <f ca="1">_xll.BDH($C$478,"ACCOUNTS_PAYABLE_SEQ_GROWTH","FY 2015","FY 2015","Currency=INR","Period=FY","BEST_FPERIOD_OVERRIDE=FY","FILING_STATUS=OR","EQY_CONSOLIDATED=Y","Sort=A","Dates=H","DateFormat=P","Fill=—","Direction=H","UseDPDF=Y")</f>
        <v>#NAME?</v>
      </c>
      <c r="BS483" s="2" t="e">
        <f ca="1">_xll.BDH($C$478,"ST_DEBT_SEQUENTIAL_GROWTH","FY 2015","FY 2015","Currency=INR","Period=FY","BEST_FPERIOD_OVERRIDE=FY","FILING_STATUS=OR","EQY_CONSOLIDATED=Y","Sort=A","Dates=H","DateFormat=P","Fill=—","Direction=H","UseDPDF=Y")</f>
        <v>#NAME?</v>
      </c>
      <c r="BT483" s="2" t="e">
        <f ca="1">_xll.BDH($C$478,"TOTAL_DEBT_SEQUENTIAL_GROWTH","FY 2015","FY 2015","Currency=INR","Period=FY","BEST_FPERIOD_OVERRIDE=FY","FILING_STATUS=OR","EQY_CONSOLIDATED=Y","Sort=A","Dates=H","DateFormat=P","Fill=—","Direction=H","UseDPDF=Y")</f>
        <v>#NAME?</v>
      </c>
      <c r="BU483" s="2" t="e">
        <f ca="1">_xll.BDH($C$478,"TOTAL_EQUITY_SEQUENTIAL_GROWTH","FY 2015","FY 2015","Currency=INR","Period=FY","BEST_FPERIOD_OVERRIDE=FY","FILING_STATUS=OR","EQY_CONSOLIDATED=Y","Sort=A","Dates=H","DateFormat=P","Fill=—","Direction=H","UseDPDF=Y")</f>
        <v>#NAME?</v>
      </c>
      <c r="BV483" s="2" t="e">
        <f ca="1">_xll.BDH($C$478,"TOTAL_CAPITAL_SEQUENTIAL_GROWTH","FY 2015","FY 2015","Currency=INR","Period=FY","BEST_FPERIOD_OVERRIDE=FY","FILING_STATUS=OR","EQY_CONSOLIDATED=Y","Sort=A","Dates=H","DateFormat=P","Fill=—","Direction=H","UseDPDF=Y")</f>
        <v>#NAME?</v>
      </c>
      <c r="BW483" s="2" t="e">
        <f ca="1">_xll.BDH($C$478,"BPS_SEQUENTIAL_GROWTH","FY 2015","FY 2015","Currency=INR","Period=FY","BEST_FPERIOD_OVERRIDE=FY","FILING_STATUS=OR","EQY_CONSOLIDATED=Y","Sort=A","Dates=H","DateFormat=P","Fill=—","Direction=H","UseDPDF=Y")</f>
        <v>#NAME?</v>
      </c>
      <c r="BX483" s="2" t="e">
        <f ca="1">_xll.BDH($C$478,"CFO_SEQUENTIAL_GROWTH","FY 2015","FY 2015","Currency=INR","Period=FY","BEST_FPERIOD_OVERRIDE=FY","FILING_STATUS=OR","EQY_CONSOLIDATED=Y","Sort=A","Dates=H","DateFormat=P","Fill=—","Direction=H","UseDPDF=Y")</f>
        <v>#NAME?</v>
      </c>
      <c r="BY483" s="3" t="e">
        <f ca="1">_xll.BDH($C$478,"SHORT_AND_LONG_TERM_DEBT","FY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483" s="3" t="e">
        <f ca="1">_xll.BDH($C$478,"BS_ST_BORROW","FY 2015","FY 2015","Currency=INR","Period=FY","BEST_FPERIOD_OVERRIDE=FY","FILING_STATUS=OR","EQY_CONSOLIDATED=Y","SCALING_FORMAT=MLN","Sort=A","Dates=H","DateFormat=P","Fill=—","Direction=H","UseDPDF=Y")</f>
        <v>#NAME?</v>
      </c>
      <c r="CA483" s="3" t="e">
        <f ca="1">_xll.BDH($C$478,"BS_LT_BORROW","FY 2015","FY 2015","Currency=INR","Period=FY","BEST_FPERIOD_OVERRIDE=FY","FILING_STATUS=OR","EQY_CONSOLIDATED=Y","SCALING_FORMAT=MLN","Sort=A","Dates=H","DateFormat=P","Fill=—","Direction=H","UseDPDF=Y")</f>
        <v>#NAME?</v>
      </c>
      <c r="CB483" s="2" t="e">
        <f ca="1">_xll.BDH($C$478,"TOT_DEBT_TO_EBITDA","FY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483" s="2" t="e">
        <f ca="1">_xll.BDH($C$478,"NET_DEBT_TO_EBITDA","FY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483" s="2" t="e">
        <f ca="1">_xll.BDH($C$478,"TOTAL_DEBT_TO_EBIT","FY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483" s="2" t="e">
        <f ca="1">_xll.BDH($C$478,"NET_DEBT_TO_EBIT","FY 2015","FY 2015","Currency=INR","Period=FY","BEST_FPERIOD_OVERRIDE=FY","FILING_STATUS=OR","EQY_CONSOLIDATED=Y","FA_ADJUSTED=GAAP","Sort=A","Dates=H","DateFormat=P","Fill=—","Direction=H","UseDPDF=Y")</f>
        <v>#NAME?</v>
      </c>
      <c r="CF483" s="2" t="e">
        <f ca="1">_xll.BDH($C$478,"EBITDA_TO_INTEREST_EXPN","FY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483" s="2" t="e">
        <f ca="1">_xll.BDH($C$478,"COM_EQY_TO_TOT_ASSET","FY 2015","FY 2015","Currency=INR","Period=FY","BEST_FPERIOD_OVERRIDE=FY","FILING_STATUS=OR","EQY_CONSOLIDATED=Y","Sort=A","Dates=H","DateFormat=P","Fill=—","Direction=H","UseDPDF=Y")</f>
        <v>#NAME?</v>
      </c>
      <c r="CH483" s="2" t="e">
        <f ca="1">_xll.BDH($C$478,"LT_DEBT_TO_TOT_EQY","FY 2015","FY 2015","Currency=INR","Period=FY","BEST_FPERIOD_OVERRIDE=FY","FILING_STATUS=OR","EQY_CONSOLIDATED=Y","Sort=A","Dates=H","DateFormat=P","Fill=—","Direction=H","UseDPDF=Y")</f>
        <v>#NAME?</v>
      </c>
      <c r="CI483" s="2" t="e">
        <f ca="1">_xll.BDH($C$478,"LT_DEBT_TO_TOT_CAP","FY 2015","FY 2015","Currency=INR","Period=FY","BEST_FPERIOD_OVERRIDE=FY","FILING_STATUS=OR","EQY_CONSOLIDATED=Y","Sort=A","Dates=H","DateFormat=P","Fill=—","Direction=H","UseDPDF=Y")</f>
        <v>#NAME?</v>
      </c>
      <c r="CJ483" s="2" t="e">
        <f ca="1">_xll.BDH($C$478,"LT_DEBT_TO_TOT_ASSET","FY 2015","FY 2015","Currency=INR","Period=FY","BEST_FPERIOD_OVERRIDE=FY","FILING_STATUS=OR","EQY_CONSOLIDATED=Y","Sort=A","Dates=H","DateFormat=P","Fill=—","Direction=H","UseDPDF=Y")</f>
        <v>#NAME?</v>
      </c>
      <c r="CK483" s="2" t="e">
        <f ca="1">_xll.BDH($C$478,"TOT_DEBT_TO_TOT_EQY","FY 2015","FY 2015","Currency=INR","Period=FY","BEST_FPERIOD_OVERRIDE=FY","FILING_STATUS=OR","EQY_CONSOLIDATED=Y","Sort=A","Dates=H","DateFormat=P","Fill=—","Direction=H","UseDPDF=Y")</f>
        <v>#NAME?</v>
      </c>
      <c r="CL483" s="2" t="e">
        <f ca="1">_xll.BDH($C$478,"TOT_DEBT_TO_TOT_CAP","FY 2015","FY 2015","Currency=INR","Period=FY","BEST_FPERIOD_OVERRIDE=FY","FILING_STATUS=OR","EQY_CONSOLIDATED=Y","Sort=A","Dates=H","DateFormat=P","Fill=—","Direction=H","UseDPDF=Y")</f>
        <v>#NAME?</v>
      </c>
      <c r="CM483" s="2" t="e">
        <f ca="1">_xll.BDH($C$478,"TOT_DEBT_TO_TOT_ASSET","FY 2015","FY 2015","Currency=INR","Period=FY","BEST_FPERIOD_OVERRIDE=FY","FILING_STATUS=OR","EQY_CONSOLIDATED=Y","Sort=A","Dates=H","DateFormat=P","Fill=—","Direction=H","UseDPDF=Y")</f>
        <v>#NAME?</v>
      </c>
      <c r="CN483" s="2" t="e">
        <f ca="1">_xll.BDH($C$478,"NET_DEBT_TO_SHRHLDR_EQTY","FY 2015","FY 2015","Currency=INR","Period=FY","BEST_FPERIOD_OVERRIDE=FY","FILING_STATUS=OR","EQY_CONSOLIDATED=Y","Sort=A","Dates=H","DateFormat=P","Fill=—","Direction=H","UseDPDF=Y")</f>
        <v>#NAME?</v>
      </c>
      <c r="CO483" s="2" t="e">
        <f ca="1">_xll.BDH($C$478,"NET_DEBT_%_CAPITAL","FY 2015","FY 2015","Currency=INR","Period=FY","BEST_FPERIOD_OVERRIDE=FY","FILING_STATUS=OR","EQY_CONSOLIDATED=Y","Sort=A","Dates=H","DateFormat=P","Fill=—","Direction=H","UseDPDF=Y")</f>
        <v>#NAME?</v>
      </c>
      <c r="CP483" s="3" t="e">
        <f ca="1">_xll.BDH($C$478,"EBITDA","FY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483" s="3" t="e">
        <f ca="1">_xll.BDH($C$478,"EBITDA_AFTER_CAPEX","FY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483" s="3" t="e">
        <f ca="1">_xll.BDH($C$478,"IS_OPER_INC","FY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483" s="2" t="e">
        <f ca="1">_xll.BDH($C$478,"CASH_RATIO","FY 2015","FY 2015","Currency=INR","Period=FY","BEST_FPERIOD_OVERRIDE=FY","FILING_STATUS=OR","EQY_CONSOLIDATED=Y","Sort=A","Dates=H","DateFormat=P","Fill=—","Direction=H","UseDPDF=Y")</f>
        <v>#NAME?</v>
      </c>
      <c r="CT483" s="2" t="e">
        <f ca="1">_xll.BDH($C$478,"CUR_RATIO","FY 2015","FY 2015","Currency=INR","Period=FY","BEST_FPERIOD_OVERRIDE=FY","FILING_STATUS=OR","EQY_CONSOLIDATED=Y","Sort=A","Dates=H","DateFormat=P","Fill=—","Direction=H","UseDPDF=Y")</f>
        <v>#NAME?</v>
      </c>
      <c r="CU483" s="2" t="e">
        <f ca="1">_xll.BDH($C$478,"QUICK_RATIO","FY 2015","FY 2015","Currency=INR","Period=FY","BEST_FPERIOD_OVERRIDE=FY","FILING_STATUS=OR","EQY_CONSOLIDATED=Y","Sort=A","Dates=H","DateFormat=P","Fill=—","Direction=H","UseDPDF=Y")</f>
        <v>#NAME?</v>
      </c>
      <c r="CV483" s="2" t="e">
        <f ca="1">_xll.BDH($C$478,"ALTMAN_Z_SCORE","FY 2015","FY 2015","Currency=INR","Period=FY","BEST_FPERIOD_OVERRIDE=FY","FILING_STATUS=OR","EQY_CONSOLIDATED=Y","Sort=A","Dates=H","DateFormat=P","Fill=—","Direction=H","UseDPDF=Y")</f>
        <v>#NAME?</v>
      </c>
      <c r="CW483" s="4" t="e">
        <f ca="1">_xll.BDH($C$478,"ACCT_RCV_TURN","FY 2015","FY 2015","Currency=INR","Period=FY","BEST_FPERIOD_OVERRIDE=FY","FILING_STATUS=OR","EQY_CONSOLIDATED=Y","FA_ADJUSTED=GAAP","Sort=A","Dates=H","DateFormat=P","Fill=—","Direction=H","UseDPDF=Y")</f>
        <v>#NAME?</v>
      </c>
      <c r="CX483" s="2" t="e">
        <f ca="1">_xll.BDH($C$478,"ACCT_RCV_DAYS","FY 2015","FY 2015","Currency=INR","Period=FY","BEST_FPERIOD_OVERRIDE=FY","FILING_STATUS=OR","EQY_CONSOLIDATED=Y","FA_ADJUSTED=GAAP","Sort=A","Dates=H","DateFormat=P","Fill=—","Direction=H","UseDPDF=Y")</f>
        <v>#NAME?</v>
      </c>
      <c r="CY483" s="4" t="e">
        <f ca="1">_xll.BDH($C$478,"INVENT_TURN","FY 2015","FY 2015","Currency=INR","Period=FY","BEST_FPERIOD_OVERRIDE=FY","FILING_STATUS=OR","EQY_CONSOLIDATED=Y","FA_ADJUSTED=GAAP","Sort=A","Dates=H","DateFormat=P","Fill=—","Direction=H","UseDPDF=Y")</f>
        <v>#NAME?</v>
      </c>
      <c r="CZ483" s="2" t="e">
        <f ca="1">_xll.BDH($C$478,"INVENT_DAYS","FY 2015","FY 2015","Currency=INR","Period=FY","BEST_FPERIOD_OVERRIDE=FY","FILING_STATUS=OR","EQY_CONSOLIDATED=Y","FA_ADJUSTED=GAAP","Sort=A","Dates=H","DateFormat=P","Fill=—","Direction=H","UseDPDF=Y")</f>
        <v>#NAME?</v>
      </c>
      <c r="DA483" s="4" t="e">
        <f ca="1">_xll.BDH($C$478,"ACCOUNTS_PAYABLE_TURNOVER","FY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483" s="2" t="e">
        <f ca="1">_xll.BDH($C$478,"ACCOUNTS_PAYABLE_TURNOVER_DAYS","FY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483" s="4" t="e">
        <f ca="1">_xll.BDH($C$478,"CASH_CONVERSION_CYCLE","FY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483" s="4" t="e">
        <f ca="1">_xll.BDH($C$478,"INV_TO_CASH_DAYS","FY 2015","FY 2015","Currency=INR","Period=FY","BEST_FPERIOD_OVERRIDE=FY","FILING_STATUS=OR","EQY_CONSOLIDATED=Y","FA_ADJUSTED=GAAP","Sort=A","Dates=H","DateFormat=P","Fill=—","Direction=H","UseDPDF=Y")</f>
        <v>#NAME?</v>
      </c>
      <c r="DE483" s="5" t="e">
        <f ca="1">_xll.BDH($C$478,"BS_INVENTORIES","FY 2015","FY 2015","Currency=INR","Period=FY","BEST_FPERIOD_OVERRIDE=FY","FILING_STATUS=OR","EQY_CONSOLIDATED=Y","SCALING_FORMAT=MLN","Sort=A","Dates=H","DateFormat=P","Fill=—","Direction=H","UseDPDF=Y")</f>
        <v>#NAME?</v>
      </c>
      <c r="DF483" s="3" t="e">
        <f ca="1">_xll.BDH($C$478,"INVTRY_RAW_MATERIALS","FY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483" s="3" t="e">
        <f ca="1">_xll.BDH($C$478,"INVTRY_IN_PROGRESS","FY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483" s="3" t="e">
        <f ca="1">_xll.BDH($C$478,"INVTRY_FINISHED_GOODS","FY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483" s="3" t="e">
        <f ca="1">_xll.BDH($C$478,"BS_OTHER_INV","FY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484" spans="1:113" x14ac:dyDescent="0.3">
      <c r="A484" s="6"/>
      <c r="B484" s="6"/>
      <c r="C484" s="6"/>
      <c r="D484" s="6"/>
      <c r="E484" t="s">
        <v>78</v>
      </c>
      <c r="F484" t="e">
        <f ca="1">_xll.BDH($C$478,"RETURN_COM_EQY","FQ1 2015","FQ1 2015","Currency=INR","Period=FQ","BEST_FPERIOD_OVERRIDE=FQ","FILING_STATUS=OR","EQY_CONSOLIDATED=Y","FA_ADJUSTED=GAAP","Sort=A","Dates=H","DateFormat=P","Fill=—","Direction=H","UseDPDF=Y")</f>
        <v>#NAME?</v>
      </c>
      <c r="G484" t="e">
        <f ca="1">_xll.BDH($C$478,"RETURN_ON_ASSET","FQ1 2015","FQ1 2015","Currency=INR","Period=FQ","BEST_FPERIOD_OVERRIDE=FQ","FILING_STATUS=OR","EQY_CONSOLIDATED=Y","FA_ADJUSTED=GAAP","Sort=A","Dates=H","DateFormat=P","Fill=—","Direction=H","UseDPDF=Y")</f>
        <v>#NAME?</v>
      </c>
      <c r="H484" t="e">
        <f ca="1">_xll.BDH($C$478,"RETURN_ON_CAP","FQ1 2015","FQ1 2015","Currency=INR","Period=FQ","BEST_FPERIOD_OVERRIDE=FQ","FILING_STATUS=OR","EQY_CONSOLIDATED=Y","FA_ADJUSTED=GAAP","Sort=A","Dates=H","DateFormat=P","Fill=—","Direction=H","UseDPDF=Y")</f>
        <v>#NAME?</v>
      </c>
      <c r="I484" t="e">
        <f ca="1">_xll.BDH($C$478,"RETURN_ON_INV_CAPITAL","FQ1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484" t="e">
        <f ca="1">_xll.BDH($C$478,"EBITDA_TO_REVENUE","FQ1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484" t="e">
        <f ca="1">_xll.BDH($C$478,"OPER_MARGIN","FQ1 2015","FQ1 2015","Currency=INR","Period=FQ","BEST_FPERIOD_OVERRIDE=FQ","FILING_STATUS=OR","EQY_CONSOLIDATED=Y","FA_ADJUSTED=GAAP","Sort=A","Dates=H","DateFormat=P","Fill=—","Direction=H","UseDPDF=Y")</f>
        <v>#NAME?</v>
      </c>
      <c r="L484" t="e">
        <f ca="1">_xll.BDH($C$478,"INCREMENTAL_OPERATING_MARGIN","FQ1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484" t="e">
        <f ca="1">_xll.BDH($C$478,"PRETAX_INC_TO_NET_SALES","FQ1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484" t="e">
        <f ca="1">_xll.BDH($C$478,"INC_BEF_XO_ITEMS_TO_NET_SALES","FQ1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484" t="e">
        <f ca="1">_xll.BDH($C$478,"PROF_MARGIN","FQ1 2015","FQ1 2015","Currency=INR","Period=FQ","BEST_FPERIOD_OVERRIDE=FQ","FILING_STATUS=OR","EQY_CONSOLIDATED=Y","FA_ADJUSTED=GAAP","Sort=A","Dates=H","DateFormat=P","Fill=—","Direction=H","UseDPDF=Y")</f>
        <v>#NAME?</v>
      </c>
      <c r="P484" t="e">
        <f ca="1">_xll.BDH($C$478,"NET_INCOME_TO_COMMON_MARGIN","FQ1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484" t="e">
        <f ca="1">_xll.BDH($C$478,"EFF_TAX_RATE","FQ1 2015","FQ1 2015","Currency=INR","Period=FQ","BEST_FPERIOD_OVERRIDE=FQ","FILING_STATUS=OR","EQY_CONSOLIDATED=Y","FA_ADJUSTED=GAAP","Sort=A","Dates=H","DateFormat=P","Fill=—","Direction=H","UseDPDF=Y")</f>
        <v>#NAME?</v>
      </c>
      <c r="R484" t="e">
        <f ca="1">_xll.BDH($C$478,"DVD_PAYOUT_RATIO","FQ1 2015","FQ1 2015","Currency=INR","Period=FQ","BEST_FPERIOD_OVERRIDE=FQ","FILING_STATUS=OR","EQY_CONSOLIDATED=Y","FA_ADJUSTED=GAAP","Sort=A","Dates=H","DateFormat=P","Fill=—","Direction=H","UseDPDF=Y")</f>
        <v>#NAME?</v>
      </c>
      <c r="S484" t="e">
        <f ca="1">_xll.BDH($C$478,"SUSTAIN_GROWTH_RT","FQ1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484" s="2" t="e">
        <f ca="1">_xll.BDH($C$478,"SALES_GROWTH","FQ1 2015","FQ1 2015","Currency=INR","Period=FQ","BEST_FPERIOD_OVERRIDE=FQ","FILING_STATUS=OR","EQY_CONSOLIDATED=Y","FA_ADJUSTED=GAAP","Sort=A","Dates=H","DateFormat=P","Fill=—","Direction=H","UseDPDF=Y")</f>
        <v>#NAME?</v>
      </c>
      <c r="U484" s="2" t="e">
        <f ca="1">_xll.BDH($C$478,"EBITDA_GROWTH","FQ1 2015","FQ1 2015","Currency=INR","Period=FQ","BEST_FPERIOD_OVERRIDE=FQ","FILING_STATUS=OR","EQY_CONSOLIDATED=Y","FA_ADJUSTED=GAAP","Sort=A","Dates=H","DateFormat=P","Fill=—","Direction=H","UseDPDF=Y")</f>
        <v>#NAME?</v>
      </c>
      <c r="V484" s="2" t="e">
        <f ca="1">_xll.BDH($C$478,"OPER_INC_GROWTH","FQ1 2015","FQ1 2015","Currency=INR","Period=FQ","BEST_FPERIOD_OVERRIDE=FQ","FILING_STATUS=OR","EQY_CONSOLIDATED=Y","FA_ADJUSTED=GAAP","Sort=A","Dates=H","DateFormat=P","Fill=—","Direction=H","UseDPDF=Y")</f>
        <v>#NAME?</v>
      </c>
      <c r="W484" s="2" t="e">
        <f ca="1">_xll.BDH($C$478,"EARN_FOR_COM_GROWTH","FQ1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484" s="2" t="e">
        <f ca="1">_xll.BDH($C$478,"DILUTED_EPS_AFT_XO_ITEMS_GROWTH","FQ1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484" s="2" t="e">
        <f ca="1">_xll.BDH($C$478,"DIVIDEND_PER_SHARE_1_YEAR_GROWTH","FQ1 2015","FQ1 2015","Currency=INR","Period=FQ","BEST_FPERIOD_OVERRIDE=FQ","FILING_STATUS=OR","EQY_CONSOLIDATED=Y","Sort=A","Dates=H","DateFormat=P","Fill=—","Direction=H","UseDPDF=Y")</f>
        <v>#NAME?</v>
      </c>
      <c r="Z484" s="2" t="e">
        <f ca="1">_xll.BDH($C$478,"ACCOUNTS_RECEIVABLE_GROWTH","FQ1 2015","FQ1 2015","Currency=INR","Period=FQ","BEST_FPERIOD_OVERRIDE=FQ","FILING_STATUS=OR","EQY_CONSOLIDATED=Y","Sort=A","Dates=H","DateFormat=P","Fill=—","Direction=H","UseDPDF=Y")</f>
        <v>#NAME?</v>
      </c>
      <c r="AA484" s="2" t="e">
        <f ca="1">_xll.BDH($C$478,"INVENTORY_GROWTH","FQ1 2015","FQ1 2015","Currency=INR","Period=FQ","BEST_FPERIOD_OVERRIDE=FQ","FILING_STATUS=OR","EQY_CONSOLIDATED=Y","Sort=A","Dates=H","DateFormat=P","Fill=—","Direction=H","UseDPDF=Y")</f>
        <v>#NAME?</v>
      </c>
      <c r="AB484" s="2" t="e">
        <f ca="1">_xll.BDH($C$478,"NET_FIXED_ASSETS_1_YEAR_GROWTH","FQ1 2015","FQ1 2015","Currency=INR","Period=FQ","BEST_FPERIOD_OVERRIDE=FQ","FILING_STATUS=OR","EQY_CONSOLIDATED=Y","Sort=A","Dates=H","DateFormat=P","Fill=—","Direction=H","UseDPDF=Y")</f>
        <v>#NAME?</v>
      </c>
      <c r="AC484" s="2" t="e">
        <f ca="1">_xll.BDH($C$478,"ASSET_GROWTH","FQ1 2015","FQ1 2015","Currency=INR","Period=FQ","BEST_FPERIOD_OVERRIDE=FQ","FILING_STATUS=OR","EQY_CONSOLIDATED=Y","Sort=A","Dates=H","DateFormat=P","Fill=—","Direction=H","UseDPDF=Y")</f>
        <v>#NAME?</v>
      </c>
      <c r="AD484" s="2" t="e">
        <f ca="1">_xll.BDH($C$478,"MODIFIED_WORK_CAP_GROWTH","FQ1 2015","FQ1 2015","Currency=INR","Period=FQ","BEST_FPERIOD_OVERRIDE=FQ","FILING_STATUS=OR","EQY_CONSOLIDATED=Y","Sort=A","Dates=H","DateFormat=P","Fill=—","Direction=H","UseDPDF=Y")</f>
        <v>#NAME?</v>
      </c>
      <c r="AE484" s="2" t="e">
        <f ca="1">_xll.BDH($C$478,"WORK_CAP_GROWTH","FQ1 2015","FQ1 2015","Currency=INR","Period=FQ","BEST_FPERIOD_OVERRIDE=FQ","FILING_STATUS=OR","EQY_CONSOLIDATED=Y","Sort=A","Dates=H","DateFormat=P","Fill=—","Direction=H","UseDPDF=Y")</f>
        <v>#NAME?</v>
      </c>
      <c r="AF484" s="2" t="e">
        <f ca="1">_xll.BDH($C$478,"ACCOUNTS_PAYABLE_GROWTH_1YR","FQ1 2015","FQ1 2015","Currency=INR","Period=FQ","BEST_FPERIOD_OVERRIDE=FQ","FILING_STATUS=OR","EQY_CONSOLIDATED=Y","Sort=A","Dates=H","DateFormat=P","Fill=—","Direction=H","UseDPDF=Y")</f>
        <v>#NAME?</v>
      </c>
      <c r="AG484" s="2" t="e">
        <f ca="1">_xll.BDH($C$478,"SHORT_TERM_DEBT_1_YEAR_GROWTH","FQ1 2015","FQ1 2015","Currency=INR","Period=FQ","BEST_FPERIOD_OVERRIDE=FQ","FILING_STATUS=OR","EQY_CONSOLIDATED=Y","Sort=A","Dates=H","DateFormat=P","Fill=—","Direction=H","UseDPDF=Y")</f>
        <v>#NAME?</v>
      </c>
      <c r="AH484" s="2" t="e">
        <f ca="1">_xll.BDH($C$478,"TOTAL_DEBT_1_YEAR_GROWTH","FQ1 2015","FQ1 2015","Currency=INR","Period=FQ","BEST_FPERIOD_OVERRIDE=FQ","FILING_STATUS=OR","EQY_CONSOLIDATED=Y","Sort=A","Dates=H","DateFormat=P","Fill=—","Direction=H","UseDPDF=Y")</f>
        <v>#NAME?</v>
      </c>
      <c r="AI484" s="2" t="e">
        <f ca="1">_xll.BDH($C$478,"TOTAL_EQUITY_1_YEAR_GROWTH","FQ1 2015","FQ1 2015","Currency=INR","Period=FQ","BEST_FPERIOD_OVERRIDE=FQ","FILING_STATUS=OR","EQY_CONSOLIDATED=Y","Sort=A","Dates=H","DateFormat=P","Fill=—","Direction=H","UseDPDF=Y")</f>
        <v>#NAME?</v>
      </c>
      <c r="AJ484" s="2" t="e">
        <f ca="1">_xll.BDH($C$478,"GROWTH_IN_CAP","FQ1 2015","FQ1 2015","Currency=INR","Period=FQ","BEST_FPERIOD_OVERRIDE=FQ","FILING_STATUS=OR","EQY_CONSOLIDATED=Y","Sort=A","Dates=H","DateFormat=P","Fill=—","Direction=H","UseDPDF=Y")</f>
        <v>#NAME?</v>
      </c>
      <c r="AK484" s="2" t="e">
        <f ca="1">_xll.BDH($C$478,"BVPS_GROWTH","FQ1 2015","FQ1 2015","Currency=INR","Period=FQ","BEST_FPERIOD_OVERRIDE=FQ","FILING_STATUS=OR","EQY_CONSOLIDATED=Y","Sort=A","Dates=H","DateFormat=P","Fill=—","Direction=H","UseDPDF=Y")</f>
        <v>#NAME?</v>
      </c>
      <c r="AL484" s="2" t="e">
        <f ca="1">_xll.BDH($C$478,"CASH_FLOW_GROWTH","FQ1 2015","FQ1 2015","Currency=INR","Period=FQ","BEST_FPERIOD_OVERRIDE=FQ","FILING_STATUS=OR","EQY_CONSOLIDATED=Y","Sort=A","Dates=H","DateFormat=P","Fill=—","Direction=H","UseDPDF=Y")</f>
        <v>#NAME?</v>
      </c>
      <c r="AM484" s="2" t="e">
        <f ca="1">_xll.BDH($C$478,"GEO_GROW_NET_SALES","FQ1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484" s="2" t="e">
        <f ca="1">_xll.BDH($C$478,"GEO_GROW_EBITDA","FQ1 2015","FQ1 2015","Currency=INR","Period=FQ","BEST_FPERIOD_OVERRIDE=FQ","FILING_STATUS=OR","EQY_CONSOLIDATED=Y","FA_ADJUSTED=GAAP","Sort=A","Dates=H","DateFormat=P","Fill=—","Direction=H","UseDPDF=Y")</f>
        <v>#NAME?</v>
      </c>
      <c r="AO484" s="2" t="e">
        <f ca="1">_xll.BDH($C$478,"GEO_GROW_OPER_INC","FQ1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484" s="2" t="e">
        <f ca="1">_xll.BDH($C$478,"NET_INCOME_TO_COMMON_5_YR_GROWTH","FQ1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484" s="2" t="e">
        <f ca="1">_xll.BDH($C$478,"5Y_GEO_GROWTH_DILUTED_EPS","FQ1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484" s="2" t="e">
        <f ca="1">_xll.BDH($C$478,"GEO_GROW_DVD_PER_SH","FQ1 2015","FQ1 2015","Currency=INR","Period=FQ","BEST_FPERIOD_OVERRIDE=FQ","FILING_STATUS=OR","EQY_CONSOLIDATED=Y","Sort=A","Dates=H","DateFormat=P","Fill=—","Direction=H","UseDPDF=Y")</f>
        <v>#NAME?</v>
      </c>
      <c r="AS484" s="2" t="e">
        <f ca="1">_xll.BDH($C$478,"ACCOUNTS_RECEIVABLE_5_YR_GROWTH","FQ1 2015","FQ1 2015","Currency=INR","Period=FQ","BEST_FPERIOD_OVERRIDE=FQ","FILING_STATUS=OR","EQY_CONSOLIDATED=Y","Sort=A","Dates=H","DateFormat=P","Fill=—","Direction=H","UseDPDF=Y")</f>
        <v>#NAME?</v>
      </c>
      <c r="AT484" s="2" t="e">
        <f ca="1">_xll.BDH($C$478,"INVENTORY_5_YEAR_GROWTH","FQ1 2015","FQ1 2015","Currency=INR","Period=FQ","BEST_FPERIOD_OVERRIDE=FQ","FILING_STATUS=OR","EQY_CONSOLIDATED=Y","Sort=A","Dates=H","DateFormat=P","Fill=—","Direction=H","UseDPDF=Y")</f>
        <v>#NAME?</v>
      </c>
      <c r="AU484" s="2" t="e">
        <f ca="1">_xll.BDH($C$478,"NET_FIXED_ASSETS_5_YEAR_GROWTH","FQ1 2015","FQ1 2015","Currency=INR","Period=FQ","BEST_FPERIOD_OVERRIDE=FQ","FILING_STATUS=OR","EQY_CONSOLIDATED=Y","Sort=A","Dates=H","DateFormat=P","Fill=—","Direction=H","UseDPDF=Y")</f>
        <v>#NAME?</v>
      </c>
      <c r="AV484" s="2" t="e">
        <f ca="1">_xll.BDH($C$478,"GEO_GROW_TOT_ASSET","FQ1 2015","FQ1 2015","Currency=INR","Period=FQ","BEST_FPERIOD_OVERRIDE=FQ","FILING_STATUS=OR","EQY_CONSOLIDATED=Y","Sort=A","Dates=H","DateFormat=P","Fill=—","Direction=H","UseDPDF=Y")</f>
        <v>#NAME?</v>
      </c>
      <c r="AW484" s="2" t="e">
        <f ca="1">_xll.BDH($C$478,"MODIFIED_WORKING_CPTL_5YR_GRWTH","FQ1 2015","FQ1 2015","Currency=INR","Period=FQ","BEST_FPERIOD_OVERRIDE=FQ","FILING_STATUS=OR","EQY_CONSOLIDATED=Y","Sort=A","Dates=H","DateFormat=P","Fill=—","Direction=H","UseDPDF=Y")</f>
        <v>#NAME?</v>
      </c>
      <c r="AX484" s="2" t="e">
        <f ca="1">_xll.BDH($C$478,"WORKING_CAPITAL_5_YEAR_GROWTH","FQ1 2015","FQ1 2015","Currency=INR","Period=FQ","BEST_FPERIOD_OVERRIDE=FQ","FILING_STATUS=OR","EQY_CONSOLIDATED=Y","Sort=A","Dates=H","DateFormat=P","Fill=—","Direction=H","UseDPDF=Y")</f>
        <v>#NAME?</v>
      </c>
      <c r="AY484" s="2" t="e">
        <f ca="1">_xll.BDH($C$478,"ACCOUNTS_PAYABLE_5_YEAR_GROWTH","FQ1 2015","FQ1 2015","Currency=INR","Period=FQ","BEST_FPERIOD_OVERRIDE=FQ","FILING_STATUS=OR","EQY_CONSOLIDATED=Y","Sort=A","Dates=H","DateFormat=P","Fill=—","Direction=H","UseDPDF=Y")</f>
        <v>#NAME?</v>
      </c>
      <c r="AZ484" s="2" t="e">
        <f ca="1">_xll.BDH($C$478,"SHORT_TERM_DEBT_5_YEAR_GROWTH","FQ1 2015","FQ1 2015","Currency=INR","Period=FQ","BEST_FPERIOD_OVERRIDE=FQ","FILING_STATUS=OR","EQY_CONSOLIDATED=Y","Sort=A","Dates=H","DateFormat=P","Fill=—","Direction=H","UseDPDF=Y")</f>
        <v>#NAME?</v>
      </c>
      <c r="BA484" s="2" t="e">
        <f ca="1">_xll.BDH($C$478,"TOTAL_DEBT_5_YEAR_GROWTH","FQ1 2015","FQ1 2015","Currency=INR","Period=FQ","BEST_FPERIOD_OVERRIDE=FQ","FILING_STATUS=OR","EQY_CONSOLIDATED=Y","Sort=A","Dates=H","DateFormat=P","Fill=—","Direction=H","UseDPDF=Y")</f>
        <v>#NAME?</v>
      </c>
      <c r="BB484" s="2" t="e">
        <f ca="1">_xll.BDH($C$478,"GEO_GROW_TOT_SHRHLDR_EQY","FQ1 2015","FQ1 2015","Currency=INR","Period=FQ","BEST_FPERIOD_OVERRIDE=FQ","FILING_STATUS=OR","EQY_CONSOLIDATED=Y","Sort=A","Dates=H","DateFormat=P","Fill=—","Direction=H","UseDPDF=Y")</f>
        <v>#NAME?</v>
      </c>
      <c r="BC484" s="2" t="e">
        <f ca="1">_xll.BDH($C$478,"TOTAL_CAPITAL_5_YEAR_GROWTH","FQ1 2015","FQ1 2015","Currency=INR","Period=FQ","BEST_FPERIOD_OVERRIDE=FQ","FILING_STATUS=OR","EQY_CONSOLIDATED=Y","Sort=A","Dates=H","DateFormat=P","Fill=—","Direction=H","UseDPDF=Y")</f>
        <v>#NAME?</v>
      </c>
      <c r="BD484" s="2" t="e">
        <f ca="1">_xll.BDH($C$478,"GEO_GROW_BOOK_VAL","FQ1 2015","FQ1 2015","Currency=INR","Period=FQ","BEST_FPERIOD_OVERRIDE=FQ","FILING_STATUS=OR","EQY_CONSOLIDATED=Y","Sort=A","Dates=H","DateFormat=P","Fill=—","Direction=H","UseDPDF=Y")</f>
        <v>#NAME?</v>
      </c>
      <c r="BE484" s="2" t="e">
        <f ca="1">_xll.BDH($C$478,"GEO_GROW_CASH_OPER_ACT","FQ1 2015","FQ1 2015","Currency=INR","Period=FQ","BEST_FPERIOD_OVERRIDE=FQ","FILING_STATUS=OR","EQY_CONSOLIDATED=Y","Sort=A","Dates=H","DateFormat=P","Fill=—","Direction=H","UseDPDF=Y")</f>
        <v>#NAME?</v>
      </c>
      <c r="BF484" s="2" t="e">
        <f ca="1">_xll.BDH($C$478,"REVENUE_SEQUENTIAL_GROWTH","FQ1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484" s="2" t="e">
        <f ca="1">_xll.BDH($C$478,"EBITDA_SEQUENTIAL_GROWTH","FQ1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484" s="2" t="e">
        <f ca="1">_xll.BDH($C$478,"OPERATING_INCOME_SEQ_GROWTH","FQ1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484" s="2" t="e">
        <f ca="1">_xll.BDH($C$478,"NET_INCOME_TO_COMMON_SEQ_GROWTH","FQ1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484" s="2" t="e">
        <f ca="1">_xll.BDH($C$478,"EPS_DILUTED_SEQUENTIAL_GROWTH","FQ1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484" s="2" t="e">
        <f ca="1">_xll.BDH($C$478,"DPS_SEQUENTIAL_GROWTH","FQ1 2015","FQ1 2015","Currency=INR","Period=FQ","BEST_FPERIOD_OVERRIDE=FQ","FILING_STATUS=OR","EQY_CONSOLIDATED=Y","Sort=A","Dates=H","DateFormat=P","Fill=—","Direction=H","UseDPDF=Y")</f>
        <v>#NAME?</v>
      </c>
      <c r="BL484" s="2" t="e">
        <f ca="1">_xll.BDH($C$478,"ACCOUNTS_RECEIVABLE_SEQ_GROWTH","FQ1 2015","FQ1 2015","Currency=INR","Period=FQ","BEST_FPERIOD_OVERRIDE=FQ","FILING_STATUS=OR","EQY_CONSOLIDATED=Y","Sort=A","Dates=H","DateFormat=P","Fill=—","Direction=H","UseDPDF=Y")</f>
        <v>#NAME?</v>
      </c>
      <c r="BM484" s="2" t="e">
        <f ca="1">_xll.BDH($C$478,"INVENTORY_SEQUENTIAL_GROWTH","FQ1 2015","FQ1 2015","Currency=INR","Period=FQ","BEST_FPERIOD_OVERRIDE=FQ","FILING_STATUS=OR","EQY_CONSOLIDATED=Y","Sort=A","Dates=H","DateFormat=P","Fill=—","Direction=H","UseDPDF=Y")</f>
        <v>#NAME?</v>
      </c>
      <c r="BN484" s="2" t="e">
        <f ca="1">_xll.BDH($C$478,"FIXED_ASSETS_SEQUENTIAL_GROWTH","FQ1 2015","FQ1 2015","Currency=INR","Period=FQ","BEST_FPERIOD_OVERRIDE=FQ","FILING_STATUS=OR","EQY_CONSOLIDATED=Y","Sort=A","Dates=H","DateFormat=P","Fill=—","Direction=H","UseDPDF=Y")</f>
        <v>#NAME?</v>
      </c>
      <c r="BO484" s="2" t="e">
        <f ca="1">_xll.BDH($C$478,"TOTAL_ASSETS_SEQUENTIAL_GROWTH","FQ1 2015","FQ1 2015","Currency=INR","Period=FQ","BEST_FPERIOD_OVERRIDE=FQ","FILING_STATUS=OR","EQY_CONSOLIDATED=Y","Sort=A","Dates=H","DateFormat=P","Fill=—","Direction=H","UseDPDF=Y")</f>
        <v>#NAME?</v>
      </c>
      <c r="BP484" s="2" t="e">
        <f ca="1">_xll.BDH($C$478,"MODIFIED_WORKING_CPTL_SEQ_GRWTH","FQ1 2015","FQ1 2015","Currency=INR","Period=FQ","BEST_FPERIOD_OVERRIDE=FQ","FILING_STATUS=OR","EQY_CONSOLIDATED=Y","Sort=A","Dates=H","DateFormat=P","Fill=—","Direction=H","UseDPDF=Y")</f>
        <v>#NAME?</v>
      </c>
      <c r="BQ484" s="2" t="e">
        <f ca="1">_xll.BDH($C$478,"WORKING_CAPITAL_SEQ_GROWTH","FQ1 2015","FQ1 2015","Currency=INR","Period=FQ","BEST_FPERIOD_OVERRIDE=FQ","FILING_STATUS=OR","EQY_CONSOLIDATED=Y","Sort=A","Dates=H","DateFormat=P","Fill=—","Direction=H","UseDPDF=Y")</f>
        <v>#NAME?</v>
      </c>
      <c r="BR484" s="2" t="e">
        <f ca="1">_xll.BDH($C$478,"ACCOUNTS_PAYABLE_SEQ_GROWTH","FQ1 2015","FQ1 2015","Currency=INR","Period=FQ","BEST_FPERIOD_OVERRIDE=FQ","FILING_STATUS=OR","EQY_CONSOLIDATED=Y","Sort=A","Dates=H","DateFormat=P","Fill=—","Direction=H","UseDPDF=Y")</f>
        <v>#NAME?</v>
      </c>
      <c r="BS484" s="2" t="e">
        <f ca="1">_xll.BDH($C$478,"ST_DEBT_SEQUENTIAL_GROWTH","FQ1 2015","FQ1 2015","Currency=INR","Period=FQ","BEST_FPERIOD_OVERRIDE=FQ","FILING_STATUS=OR","EQY_CONSOLIDATED=Y","Sort=A","Dates=H","DateFormat=P","Fill=—","Direction=H","UseDPDF=Y")</f>
        <v>#NAME?</v>
      </c>
      <c r="BT484" s="2" t="e">
        <f ca="1">_xll.BDH($C$478,"TOTAL_DEBT_SEQUENTIAL_GROWTH","FQ1 2015","FQ1 2015","Currency=INR","Period=FQ","BEST_FPERIOD_OVERRIDE=FQ","FILING_STATUS=OR","EQY_CONSOLIDATED=Y","Sort=A","Dates=H","DateFormat=P","Fill=—","Direction=H","UseDPDF=Y")</f>
        <v>#NAME?</v>
      </c>
      <c r="BU484" s="2" t="e">
        <f ca="1">_xll.BDH($C$478,"TOTAL_EQUITY_SEQUENTIAL_GROWTH","FQ1 2015","FQ1 2015","Currency=INR","Period=FQ","BEST_FPERIOD_OVERRIDE=FQ","FILING_STATUS=OR","EQY_CONSOLIDATED=Y","Sort=A","Dates=H","DateFormat=P","Fill=—","Direction=H","UseDPDF=Y")</f>
        <v>#NAME?</v>
      </c>
      <c r="BV484" s="2" t="e">
        <f ca="1">_xll.BDH($C$478,"TOTAL_CAPITAL_SEQUENTIAL_GROWTH","FQ1 2015","FQ1 2015","Currency=INR","Period=FQ","BEST_FPERIOD_OVERRIDE=FQ","FILING_STATUS=OR","EQY_CONSOLIDATED=Y","Sort=A","Dates=H","DateFormat=P","Fill=—","Direction=H","UseDPDF=Y")</f>
        <v>#NAME?</v>
      </c>
      <c r="BW484" s="2" t="e">
        <f ca="1">_xll.BDH($C$478,"BPS_SEQUENTIAL_GROWTH","FQ1 2015","FQ1 2015","Currency=INR","Period=FQ","BEST_FPERIOD_OVERRIDE=FQ","FILING_STATUS=OR","EQY_CONSOLIDATED=Y","Sort=A","Dates=H","DateFormat=P","Fill=—","Direction=H","UseDPDF=Y")</f>
        <v>#NAME?</v>
      </c>
      <c r="BX484" s="2" t="e">
        <f ca="1">_xll.BDH($C$478,"CFO_SEQUENTIAL_GROWTH","FQ1 2015","FQ1 2015","Currency=INR","Period=FQ","BEST_FPERIOD_OVERRIDE=FQ","FILING_STATUS=OR","EQY_CONSOLIDATED=Y","Sort=A","Dates=H","DateFormat=P","Fill=—","Direction=H","UseDPDF=Y")</f>
        <v>#NAME?</v>
      </c>
      <c r="BY484" s="3" t="e">
        <f ca="1">_xll.BDH($C$478,"SHORT_AND_LONG_TERM_DEBT","FQ1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484" s="3" t="e">
        <f ca="1">_xll.BDH($C$478,"BS_ST_BORROW","FQ1 2015","FQ1 2015","Currency=INR","Period=FQ","BEST_FPERIOD_OVERRIDE=FQ","FILING_STATUS=OR","EQY_CONSOLIDATED=Y","SCALING_FORMAT=MLN","Sort=A","Dates=H","DateFormat=P","Fill=—","Direction=H","UseDPDF=Y")</f>
        <v>#NAME?</v>
      </c>
      <c r="CA484" s="3" t="e">
        <f ca="1">_xll.BDH($C$478,"BS_LT_BORROW","FQ1 2015","FQ1 2015","Currency=INR","Period=FQ","BEST_FPERIOD_OVERRIDE=FQ","FILING_STATUS=OR","EQY_CONSOLIDATED=Y","SCALING_FORMAT=MLN","Sort=A","Dates=H","DateFormat=P","Fill=—","Direction=H","UseDPDF=Y")</f>
        <v>#NAME?</v>
      </c>
      <c r="CB484" s="2" t="e">
        <f ca="1">_xll.BDH($C$478,"TOT_DEBT_TO_EBITDA","FQ1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484" s="2" t="e">
        <f ca="1">_xll.BDH($C$478,"NET_DEBT_TO_EBITDA","FQ1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484" s="2" t="e">
        <f ca="1">_xll.BDH($C$478,"TOTAL_DEBT_TO_EBIT","FQ1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484" s="2" t="e">
        <f ca="1">_xll.BDH($C$478,"NET_DEBT_TO_EBIT","FQ1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484" s="2" t="e">
        <f ca="1">_xll.BDH($C$478,"EBITDA_TO_INTEREST_EXPN","FQ1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484" s="2" t="e">
        <f ca="1">_xll.BDH($C$478,"COM_EQY_TO_TOT_ASSET","FQ1 2015","FQ1 2015","Currency=INR","Period=FQ","BEST_FPERIOD_OVERRIDE=FQ","FILING_STATUS=OR","EQY_CONSOLIDATED=Y","Sort=A","Dates=H","DateFormat=P","Fill=—","Direction=H","UseDPDF=Y")</f>
        <v>#NAME?</v>
      </c>
      <c r="CH484" s="2" t="e">
        <f ca="1">_xll.BDH($C$478,"LT_DEBT_TO_TOT_EQY","FQ1 2015","FQ1 2015","Currency=INR","Period=FQ","BEST_FPERIOD_OVERRIDE=FQ","FILING_STATUS=OR","EQY_CONSOLIDATED=Y","Sort=A","Dates=H","DateFormat=P","Fill=—","Direction=H","UseDPDF=Y")</f>
        <v>#NAME?</v>
      </c>
      <c r="CI484" s="2" t="e">
        <f ca="1">_xll.BDH($C$478,"LT_DEBT_TO_TOT_CAP","FQ1 2015","FQ1 2015","Currency=INR","Period=FQ","BEST_FPERIOD_OVERRIDE=FQ","FILING_STATUS=OR","EQY_CONSOLIDATED=Y","Sort=A","Dates=H","DateFormat=P","Fill=—","Direction=H","UseDPDF=Y")</f>
        <v>#NAME?</v>
      </c>
      <c r="CJ484" s="2" t="e">
        <f ca="1">_xll.BDH($C$478,"LT_DEBT_TO_TOT_ASSET","FQ1 2015","FQ1 2015","Currency=INR","Period=FQ","BEST_FPERIOD_OVERRIDE=FQ","FILING_STATUS=OR","EQY_CONSOLIDATED=Y","Sort=A","Dates=H","DateFormat=P","Fill=—","Direction=H","UseDPDF=Y")</f>
        <v>#NAME?</v>
      </c>
      <c r="CK484" s="2" t="e">
        <f ca="1">_xll.BDH($C$478,"TOT_DEBT_TO_TOT_EQY","FQ1 2015","FQ1 2015","Currency=INR","Period=FQ","BEST_FPERIOD_OVERRIDE=FQ","FILING_STATUS=OR","EQY_CONSOLIDATED=Y","Sort=A","Dates=H","DateFormat=P","Fill=—","Direction=H","UseDPDF=Y")</f>
        <v>#NAME?</v>
      </c>
      <c r="CL484" s="2" t="e">
        <f ca="1">_xll.BDH($C$478,"TOT_DEBT_TO_TOT_CAP","FQ1 2015","FQ1 2015","Currency=INR","Period=FQ","BEST_FPERIOD_OVERRIDE=FQ","FILING_STATUS=OR","EQY_CONSOLIDATED=Y","Sort=A","Dates=H","DateFormat=P","Fill=—","Direction=H","UseDPDF=Y")</f>
        <v>#NAME?</v>
      </c>
      <c r="CM484" s="2" t="e">
        <f ca="1">_xll.BDH($C$478,"TOT_DEBT_TO_TOT_ASSET","FQ1 2015","FQ1 2015","Currency=INR","Period=FQ","BEST_FPERIOD_OVERRIDE=FQ","FILING_STATUS=OR","EQY_CONSOLIDATED=Y","Sort=A","Dates=H","DateFormat=P","Fill=—","Direction=H","UseDPDF=Y")</f>
        <v>#NAME?</v>
      </c>
      <c r="CN484" s="2" t="e">
        <f ca="1">_xll.BDH($C$478,"NET_DEBT_TO_SHRHLDR_EQTY","FQ1 2015","FQ1 2015","Currency=INR","Period=FQ","BEST_FPERIOD_OVERRIDE=FQ","FILING_STATUS=OR","EQY_CONSOLIDATED=Y","Sort=A","Dates=H","DateFormat=P","Fill=—","Direction=H","UseDPDF=Y")</f>
        <v>#NAME?</v>
      </c>
      <c r="CO484" s="2" t="e">
        <f ca="1">_xll.BDH($C$478,"NET_DEBT_%_CAPITAL","FQ1 2015","FQ1 2015","Currency=INR","Period=FQ","BEST_FPERIOD_OVERRIDE=FQ","FILING_STATUS=OR","EQY_CONSOLIDATED=Y","Sort=A","Dates=H","DateFormat=P","Fill=—","Direction=H","UseDPDF=Y")</f>
        <v>#NAME?</v>
      </c>
      <c r="CP484" s="3" t="e">
        <f ca="1">_xll.BDH($C$478,"EBITDA","FQ1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484" s="3" t="e">
        <f ca="1">_xll.BDH($C$478,"EBITDA_AFTER_CAPEX","FQ1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484" s="3" t="e">
        <f ca="1">_xll.BDH($C$478,"IS_OPER_INC","FQ1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484" s="2" t="e">
        <f ca="1">_xll.BDH($C$478,"CASH_RATIO","FQ1 2015","FQ1 2015","Currency=INR","Period=FQ","BEST_FPERIOD_OVERRIDE=FQ","FILING_STATUS=OR","EQY_CONSOLIDATED=Y","Sort=A","Dates=H","DateFormat=P","Fill=—","Direction=H","UseDPDF=Y")</f>
        <v>#NAME?</v>
      </c>
      <c r="CT484" s="2" t="e">
        <f ca="1">_xll.BDH($C$478,"CUR_RATIO","FQ1 2015","FQ1 2015","Currency=INR","Period=FQ","BEST_FPERIOD_OVERRIDE=FQ","FILING_STATUS=OR","EQY_CONSOLIDATED=Y","Sort=A","Dates=H","DateFormat=P","Fill=—","Direction=H","UseDPDF=Y")</f>
        <v>#NAME?</v>
      </c>
      <c r="CU484" s="2" t="e">
        <f ca="1">_xll.BDH($C$478,"QUICK_RATIO","FQ1 2015","FQ1 2015","Currency=INR","Period=FQ","BEST_FPERIOD_OVERRIDE=FQ","FILING_STATUS=OR","EQY_CONSOLIDATED=Y","Sort=A","Dates=H","DateFormat=P","Fill=—","Direction=H","UseDPDF=Y")</f>
        <v>#NAME?</v>
      </c>
      <c r="CV484" s="2" t="e">
        <f ca="1">_xll.BDH($C$478,"ALTMAN_Z_SCORE","FQ1 2015","FQ1 2015","Currency=INR","Period=FQ","BEST_FPERIOD_OVERRIDE=FQ","FILING_STATUS=OR","EQY_CONSOLIDATED=Y","Sort=A","Dates=H","DateFormat=P","Fill=—","Direction=H","UseDPDF=Y")</f>
        <v>#NAME?</v>
      </c>
      <c r="CW484" s="4" t="e">
        <f ca="1">_xll.BDH($C$478,"ACCT_RCV_TURN","FQ1 2015","FQ1 2015","Currency=INR","Period=FQ","BEST_FPERIOD_OVERRIDE=FQ","FILING_STATUS=OR","EQY_CONSOLIDATED=Y","FA_ADJUSTED=GAAP","Sort=A","Dates=H","DateFormat=P","Fill=—","Direction=H","UseDPDF=Y")</f>
        <v>#NAME?</v>
      </c>
      <c r="CX484" s="2" t="e">
        <f ca="1">_xll.BDH($C$478,"ACCT_RCV_DAYS","FQ1 2015","FQ1 2015","Currency=INR","Period=FQ","BEST_FPERIOD_OVERRIDE=FQ","FILING_STATUS=OR","EQY_CONSOLIDATED=Y","FA_ADJUSTED=GAAP","Sort=A","Dates=H","DateFormat=P","Fill=—","Direction=H","UseDPDF=Y")</f>
        <v>#NAME?</v>
      </c>
      <c r="CY484" s="4" t="e">
        <f ca="1">_xll.BDH($C$478,"INVENT_TURN","FQ1 2015","FQ1 2015","Currency=INR","Period=FQ","BEST_FPERIOD_OVERRIDE=FQ","FILING_STATUS=OR","EQY_CONSOLIDATED=Y","FA_ADJUSTED=GAAP","Sort=A","Dates=H","DateFormat=P","Fill=—","Direction=H","UseDPDF=Y")</f>
        <v>#NAME?</v>
      </c>
      <c r="CZ484" s="2" t="e">
        <f ca="1">_xll.BDH($C$478,"INVENT_DAYS","FQ1 2015","FQ1 2015","Currency=INR","Period=FQ","BEST_FPERIOD_OVERRIDE=FQ","FILING_STATUS=OR","EQY_CONSOLIDATED=Y","FA_ADJUSTED=GAAP","Sort=A","Dates=H","DateFormat=P","Fill=—","Direction=H","UseDPDF=Y")</f>
        <v>#NAME?</v>
      </c>
      <c r="DA484" s="4" t="e">
        <f ca="1">_xll.BDH($C$478,"ACCOUNTS_PAYABLE_TURNOVER","FQ1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484" s="2" t="e">
        <f ca="1">_xll.BDH($C$478,"ACCOUNTS_PAYABLE_TURNOVER_DAYS","FQ1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484" s="4" t="e">
        <f ca="1">_xll.BDH($C$478,"CASH_CONVERSION_CYCLE","FQ1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484" s="4" t="e">
        <f ca="1">_xll.BDH($C$478,"INV_TO_CASH_DAYS","FQ1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484" s="5" t="e">
        <f ca="1">_xll.BDH($C$478,"BS_INVENTORIES","FQ1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484" s="3" t="e">
        <f ca="1">_xll.BDH($C$478,"INVTRY_RAW_MATERIALS","FQ1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484" s="3" t="e">
        <f ca="1">_xll.BDH($C$478,"INVTRY_IN_PROGRESS","FQ1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484" s="3" t="e">
        <f ca="1">_xll.BDH($C$478,"INVTRY_FINISHED_GOODS","FQ1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484" s="3" t="e">
        <f ca="1">_xll.BDH($C$478,"BS_OTHER_INV","FQ1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485" spans="1:113" x14ac:dyDescent="0.3">
      <c r="A485" s="6"/>
      <c r="B485" s="6"/>
      <c r="C485" s="6"/>
      <c r="D485" s="6"/>
      <c r="E485" t="s">
        <v>79</v>
      </c>
      <c r="F485" t="e">
        <f ca="1">_xll.BDH($C$478,"RETURN_COM_EQY","FQ2 2015","FQ2 2015","Currency=INR","Period=FQ","BEST_FPERIOD_OVERRIDE=FQ","FILING_STATUS=OR","EQY_CONSOLIDATED=Y","FA_ADJUSTED=GAAP","Sort=A","Dates=H","DateFormat=P","Fill=—","Direction=H","UseDPDF=Y")</f>
        <v>#NAME?</v>
      </c>
      <c r="G485" t="e">
        <f ca="1">_xll.BDH($C$478,"RETURN_ON_ASSET","FQ2 2015","FQ2 2015","Currency=INR","Period=FQ","BEST_FPERIOD_OVERRIDE=FQ","FILING_STATUS=OR","EQY_CONSOLIDATED=Y","FA_ADJUSTED=GAAP","Sort=A","Dates=H","DateFormat=P","Fill=—","Direction=H","UseDPDF=Y")</f>
        <v>#NAME?</v>
      </c>
      <c r="H485" t="e">
        <f ca="1">_xll.BDH($C$478,"RETURN_ON_CAP","FQ2 2015","FQ2 2015","Currency=INR","Period=FQ","BEST_FPERIOD_OVERRIDE=FQ","FILING_STATUS=OR","EQY_CONSOLIDATED=Y","FA_ADJUSTED=GAAP","Sort=A","Dates=H","DateFormat=P","Fill=—","Direction=H","UseDPDF=Y")</f>
        <v>#NAME?</v>
      </c>
      <c r="I485" t="e">
        <f ca="1">_xll.BDH($C$478,"RETURN_ON_INV_CAPITAL","FQ2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485" t="e">
        <f ca="1">_xll.BDH($C$478,"EBITDA_TO_REVENUE","FQ2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485" t="e">
        <f ca="1">_xll.BDH($C$478,"OPER_MARGIN","FQ2 2015","FQ2 2015","Currency=INR","Period=FQ","BEST_FPERIOD_OVERRIDE=FQ","FILING_STATUS=OR","EQY_CONSOLIDATED=Y","FA_ADJUSTED=GAAP","Sort=A","Dates=H","DateFormat=P","Fill=—","Direction=H","UseDPDF=Y")</f>
        <v>#NAME?</v>
      </c>
      <c r="L485" t="e">
        <f ca="1">_xll.BDH($C$478,"INCREMENTAL_OPERATING_MARGIN","FQ2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485" t="e">
        <f ca="1">_xll.BDH($C$478,"PRETAX_INC_TO_NET_SALES","FQ2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485" t="e">
        <f ca="1">_xll.BDH($C$478,"INC_BEF_XO_ITEMS_TO_NET_SALES","FQ2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485" t="e">
        <f ca="1">_xll.BDH($C$478,"PROF_MARGIN","FQ2 2015","FQ2 2015","Currency=INR","Period=FQ","BEST_FPERIOD_OVERRIDE=FQ","FILING_STATUS=OR","EQY_CONSOLIDATED=Y","FA_ADJUSTED=GAAP","Sort=A","Dates=H","DateFormat=P","Fill=—","Direction=H","UseDPDF=Y")</f>
        <v>#NAME?</v>
      </c>
      <c r="P485" t="e">
        <f ca="1">_xll.BDH($C$478,"NET_INCOME_TO_COMMON_MARGIN","FQ2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485" t="e">
        <f ca="1">_xll.BDH($C$478,"EFF_TAX_RATE","FQ2 2015","FQ2 2015","Currency=INR","Period=FQ","BEST_FPERIOD_OVERRIDE=FQ","FILING_STATUS=OR","EQY_CONSOLIDATED=Y","FA_ADJUSTED=GAAP","Sort=A","Dates=H","DateFormat=P","Fill=—","Direction=H","UseDPDF=Y")</f>
        <v>#NAME?</v>
      </c>
      <c r="R485" t="e">
        <f ca="1">_xll.BDH($C$478,"DVD_PAYOUT_RATIO","FQ2 2015","FQ2 2015","Currency=INR","Period=FQ","BEST_FPERIOD_OVERRIDE=FQ","FILING_STATUS=OR","EQY_CONSOLIDATED=Y","FA_ADJUSTED=GAAP","Sort=A","Dates=H","DateFormat=P","Fill=—","Direction=H","UseDPDF=Y")</f>
        <v>#NAME?</v>
      </c>
      <c r="S485" t="e">
        <f ca="1">_xll.BDH($C$478,"SUSTAIN_GROWTH_RT","FQ2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485" s="2" t="e">
        <f ca="1">_xll.BDH($C$478,"SALES_GROWTH","FQ2 2015","FQ2 2015","Currency=INR","Period=FQ","BEST_FPERIOD_OVERRIDE=FQ","FILING_STATUS=OR","EQY_CONSOLIDATED=Y","FA_ADJUSTED=GAAP","Sort=A","Dates=H","DateFormat=P","Fill=—","Direction=H","UseDPDF=Y")</f>
        <v>#NAME?</v>
      </c>
      <c r="U485" s="2" t="e">
        <f ca="1">_xll.BDH($C$478,"EBITDA_GROWTH","FQ2 2015","FQ2 2015","Currency=INR","Period=FQ","BEST_FPERIOD_OVERRIDE=FQ","FILING_STATUS=OR","EQY_CONSOLIDATED=Y","FA_ADJUSTED=GAAP","Sort=A","Dates=H","DateFormat=P","Fill=—","Direction=H","UseDPDF=Y")</f>
        <v>#NAME?</v>
      </c>
      <c r="V485" s="2" t="e">
        <f ca="1">_xll.BDH($C$478,"OPER_INC_GROWTH","FQ2 2015","FQ2 2015","Currency=INR","Period=FQ","BEST_FPERIOD_OVERRIDE=FQ","FILING_STATUS=OR","EQY_CONSOLIDATED=Y","FA_ADJUSTED=GAAP","Sort=A","Dates=H","DateFormat=P","Fill=—","Direction=H","UseDPDF=Y")</f>
        <v>#NAME?</v>
      </c>
      <c r="W485" s="2" t="e">
        <f ca="1">_xll.BDH($C$478,"EARN_FOR_COM_GROWTH","FQ2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485" s="2" t="e">
        <f ca="1">_xll.BDH($C$478,"DILUTED_EPS_AFT_XO_ITEMS_GROWTH","FQ2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485" s="2" t="e">
        <f ca="1">_xll.BDH($C$478,"DIVIDEND_PER_SHARE_1_YEAR_GROWTH","FQ2 2015","FQ2 2015","Currency=INR","Period=FQ","BEST_FPERIOD_OVERRIDE=FQ","FILING_STATUS=OR","EQY_CONSOLIDATED=Y","Sort=A","Dates=H","DateFormat=P","Fill=—","Direction=H","UseDPDF=Y")</f>
        <v>#NAME?</v>
      </c>
      <c r="Z485" s="2" t="e">
        <f ca="1">_xll.BDH($C$478,"ACCOUNTS_RECEIVABLE_GROWTH","FQ2 2015","FQ2 2015","Currency=INR","Period=FQ","BEST_FPERIOD_OVERRIDE=FQ","FILING_STATUS=OR","EQY_CONSOLIDATED=Y","Sort=A","Dates=H","DateFormat=P","Fill=—","Direction=H","UseDPDF=Y")</f>
        <v>#NAME?</v>
      </c>
      <c r="AA485" s="2" t="e">
        <f ca="1">_xll.BDH($C$478,"INVENTORY_GROWTH","FQ2 2015","FQ2 2015","Currency=INR","Period=FQ","BEST_FPERIOD_OVERRIDE=FQ","FILING_STATUS=OR","EQY_CONSOLIDATED=Y","Sort=A","Dates=H","DateFormat=P","Fill=—","Direction=H","UseDPDF=Y")</f>
        <v>#NAME?</v>
      </c>
      <c r="AB485" s="2" t="e">
        <f ca="1">_xll.BDH($C$478,"NET_FIXED_ASSETS_1_YEAR_GROWTH","FQ2 2015","FQ2 2015","Currency=INR","Period=FQ","BEST_FPERIOD_OVERRIDE=FQ","FILING_STATUS=OR","EQY_CONSOLIDATED=Y","Sort=A","Dates=H","DateFormat=P","Fill=—","Direction=H","UseDPDF=Y")</f>
        <v>#NAME?</v>
      </c>
      <c r="AC485" s="2" t="e">
        <f ca="1">_xll.BDH($C$478,"ASSET_GROWTH","FQ2 2015","FQ2 2015","Currency=INR","Period=FQ","BEST_FPERIOD_OVERRIDE=FQ","FILING_STATUS=OR","EQY_CONSOLIDATED=Y","Sort=A","Dates=H","DateFormat=P","Fill=—","Direction=H","UseDPDF=Y")</f>
        <v>#NAME?</v>
      </c>
      <c r="AD485" s="2" t="e">
        <f ca="1">_xll.BDH($C$478,"MODIFIED_WORK_CAP_GROWTH","FQ2 2015","FQ2 2015","Currency=INR","Period=FQ","BEST_FPERIOD_OVERRIDE=FQ","FILING_STATUS=OR","EQY_CONSOLIDATED=Y","Sort=A","Dates=H","DateFormat=P","Fill=—","Direction=H","UseDPDF=Y")</f>
        <v>#NAME?</v>
      </c>
      <c r="AE485" s="2" t="e">
        <f ca="1">_xll.BDH($C$478,"WORK_CAP_GROWTH","FQ2 2015","FQ2 2015","Currency=INR","Period=FQ","BEST_FPERIOD_OVERRIDE=FQ","FILING_STATUS=OR","EQY_CONSOLIDATED=Y","Sort=A","Dates=H","DateFormat=P","Fill=—","Direction=H","UseDPDF=Y")</f>
        <v>#NAME?</v>
      </c>
      <c r="AF485" s="2" t="e">
        <f ca="1">_xll.BDH($C$478,"ACCOUNTS_PAYABLE_GROWTH_1YR","FQ2 2015","FQ2 2015","Currency=INR","Period=FQ","BEST_FPERIOD_OVERRIDE=FQ","FILING_STATUS=OR","EQY_CONSOLIDATED=Y","Sort=A","Dates=H","DateFormat=P","Fill=—","Direction=H","UseDPDF=Y")</f>
        <v>#NAME?</v>
      </c>
      <c r="AG485" s="2" t="e">
        <f ca="1">_xll.BDH($C$478,"SHORT_TERM_DEBT_1_YEAR_GROWTH","FQ2 2015","FQ2 2015","Currency=INR","Period=FQ","BEST_FPERIOD_OVERRIDE=FQ","FILING_STATUS=OR","EQY_CONSOLIDATED=Y","Sort=A","Dates=H","DateFormat=P","Fill=—","Direction=H","UseDPDF=Y")</f>
        <v>#NAME?</v>
      </c>
      <c r="AH485" s="2" t="e">
        <f ca="1">_xll.BDH($C$478,"TOTAL_DEBT_1_YEAR_GROWTH","FQ2 2015","FQ2 2015","Currency=INR","Period=FQ","BEST_FPERIOD_OVERRIDE=FQ","FILING_STATUS=OR","EQY_CONSOLIDATED=Y","Sort=A","Dates=H","DateFormat=P","Fill=—","Direction=H","UseDPDF=Y")</f>
        <v>#NAME?</v>
      </c>
      <c r="AI485" s="2" t="e">
        <f ca="1">_xll.BDH($C$478,"TOTAL_EQUITY_1_YEAR_GROWTH","FQ2 2015","FQ2 2015","Currency=INR","Period=FQ","BEST_FPERIOD_OVERRIDE=FQ","FILING_STATUS=OR","EQY_CONSOLIDATED=Y","Sort=A","Dates=H","DateFormat=P","Fill=—","Direction=H","UseDPDF=Y")</f>
        <v>#NAME?</v>
      </c>
      <c r="AJ485" s="2" t="e">
        <f ca="1">_xll.BDH($C$478,"GROWTH_IN_CAP","FQ2 2015","FQ2 2015","Currency=INR","Period=FQ","BEST_FPERIOD_OVERRIDE=FQ","FILING_STATUS=OR","EQY_CONSOLIDATED=Y","Sort=A","Dates=H","DateFormat=P","Fill=—","Direction=H","UseDPDF=Y")</f>
        <v>#NAME?</v>
      </c>
      <c r="AK485" s="2" t="e">
        <f ca="1">_xll.BDH($C$478,"BVPS_GROWTH","FQ2 2015","FQ2 2015","Currency=INR","Period=FQ","BEST_FPERIOD_OVERRIDE=FQ","FILING_STATUS=OR","EQY_CONSOLIDATED=Y","Sort=A","Dates=H","DateFormat=P","Fill=—","Direction=H","UseDPDF=Y")</f>
        <v>#NAME?</v>
      </c>
      <c r="AL485" s="2" t="e">
        <f ca="1">_xll.BDH($C$478,"CASH_FLOW_GROWTH","FQ2 2015","FQ2 2015","Currency=INR","Period=FQ","BEST_FPERIOD_OVERRIDE=FQ","FILING_STATUS=OR","EQY_CONSOLIDATED=Y","Sort=A","Dates=H","DateFormat=P","Fill=—","Direction=H","UseDPDF=Y")</f>
        <v>#NAME?</v>
      </c>
      <c r="AM485" s="2" t="e">
        <f ca="1">_xll.BDH($C$478,"GEO_GROW_NET_SALES","FQ2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485" s="2" t="e">
        <f ca="1">_xll.BDH($C$478,"GEO_GROW_EBITDA","FQ2 2015","FQ2 2015","Currency=INR","Period=FQ","BEST_FPERIOD_OVERRIDE=FQ","FILING_STATUS=OR","EQY_CONSOLIDATED=Y","FA_ADJUSTED=GAAP","Sort=A","Dates=H","DateFormat=P","Fill=—","Direction=H","UseDPDF=Y")</f>
        <v>#NAME?</v>
      </c>
      <c r="AO485" s="2" t="e">
        <f ca="1">_xll.BDH($C$478,"GEO_GROW_OPER_INC","FQ2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485" s="2" t="e">
        <f ca="1">_xll.BDH($C$478,"NET_INCOME_TO_COMMON_5_YR_GROWTH","FQ2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485" s="2" t="e">
        <f ca="1">_xll.BDH($C$478,"5Y_GEO_GROWTH_DILUTED_EPS","FQ2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485" s="2" t="e">
        <f ca="1">_xll.BDH($C$478,"GEO_GROW_DVD_PER_SH","FQ2 2015","FQ2 2015","Currency=INR","Period=FQ","BEST_FPERIOD_OVERRIDE=FQ","FILING_STATUS=OR","EQY_CONSOLIDATED=Y","Sort=A","Dates=H","DateFormat=P","Fill=—","Direction=H","UseDPDF=Y")</f>
        <v>#NAME?</v>
      </c>
      <c r="AS485" s="2" t="e">
        <f ca="1">_xll.BDH($C$478,"ACCOUNTS_RECEIVABLE_5_YR_GROWTH","FQ2 2015","FQ2 2015","Currency=INR","Period=FQ","BEST_FPERIOD_OVERRIDE=FQ","FILING_STATUS=OR","EQY_CONSOLIDATED=Y","Sort=A","Dates=H","DateFormat=P","Fill=—","Direction=H","UseDPDF=Y")</f>
        <v>#NAME?</v>
      </c>
      <c r="AT485" s="2" t="e">
        <f ca="1">_xll.BDH($C$478,"INVENTORY_5_YEAR_GROWTH","FQ2 2015","FQ2 2015","Currency=INR","Period=FQ","BEST_FPERIOD_OVERRIDE=FQ","FILING_STATUS=OR","EQY_CONSOLIDATED=Y","Sort=A","Dates=H","DateFormat=P","Fill=—","Direction=H","UseDPDF=Y")</f>
        <v>#NAME?</v>
      </c>
      <c r="AU485" s="2" t="e">
        <f ca="1">_xll.BDH($C$478,"NET_FIXED_ASSETS_5_YEAR_GROWTH","FQ2 2015","FQ2 2015","Currency=INR","Period=FQ","BEST_FPERIOD_OVERRIDE=FQ","FILING_STATUS=OR","EQY_CONSOLIDATED=Y","Sort=A","Dates=H","DateFormat=P","Fill=—","Direction=H","UseDPDF=Y")</f>
        <v>#NAME?</v>
      </c>
      <c r="AV485" s="2" t="e">
        <f ca="1">_xll.BDH($C$478,"GEO_GROW_TOT_ASSET","FQ2 2015","FQ2 2015","Currency=INR","Period=FQ","BEST_FPERIOD_OVERRIDE=FQ","FILING_STATUS=OR","EQY_CONSOLIDATED=Y","Sort=A","Dates=H","DateFormat=P","Fill=—","Direction=H","UseDPDF=Y")</f>
        <v>#NAME?</v>
      </c>
      <c r="AW485" s="2" t="e">
        <f ca="1">_xll.BDH($C$478,"MODIFIED_WORKING_CPTL_5YR_GRWTH","FQ2 2015","FQ2 2015","Currency=INR","Period=FQ","BEST_FPERIOD_OVERRIDE=FQ","FILING_STATUS=OR","EQY_CONSOLIDATED=Y","Sort=A","Dates=H","DateFormat=P","Fill=—","Direction=H","UseDPDF=Y")</f>
        <v>#NAME?</v>
      </c>
      <c r="AX485" s="2" t="e">
        <f ca="1">_xll.BDH($C$478,"WORKING_CAPITAL_5_YEAR_GROWTH","FQ2 2015","FQ2 2015","Currency=INR","Period=FQ","BEST_FPERIOD_OVERRIDE=FQ","FILING_STATUS=OR","EQY_CONSOLIDATED=Y","Sort=A","Dates=H","DateFormat=P","Fill=—","Direction=H","UseDPDF=Y")</f>
        <v>#NAME?</v>
      </c>
      <c r="AY485" s="2" t="e">
        <f ca="1">_xll.BDH($C$478,"ACCOUNTS_PAYABLE_5_YEAR_GROWTH","FQ2 2015","FQ2 2015","Currency=INR","Period=FQ","BEST_FPERIOD_OVERRIDE=FQ","FILING_STATUS=OR","EQY_CONSOLIDATED=Y","Sort=A","Dates=H","DateFormat=P","Fill=—","Direction=H","UseDPDF=Y")</f>
        <v>#NAME?</v>
      </c>
      <c r="AZ485" s="2" t="e">
        <f ca="1">_xll.BDH($C$478,"SHORT_TERM_DEBT_5_YEAR_GROWTH","FQ2 2015","FQ2 2015","Currency=INR","Period=FQ","BEST_FPERIOD_OVERRIDE=FQ","FILING_STATUS=OR","EQY_CONSOLIDATED=Y","Sort=A","Dates=H","DateFormat=P","Fill=—","Direction=H","UseDPDF=Y")</f>
        <v>#NAME?</v>
      </c>
      <c r="BA485" s="2" t="e">
        <f ca="1">_xll.BDH($C$478,"TOTAL_DEBT_5_YEAR_GROWTH","FQ2 2015","FQ2 2015","Currency=INR","Period=FQ","BEST_FPERIOD_OVERRIDE=FQ","FILING_STATUS=OR","EQY_CONSOLIDATED=Y","Sort=A","Dates=H","DateFormat=P","Fill=—","Direction=H","UseDPDF=Y")</f>
        <v>#NAME?</v>
      </c>
      <c r="BB485" s="2" t="e">
        <f ca="1">_xll.BDH($C$478,"GEO_GROW_TOT_SHRHLDR_EQY","FQ2 2015","FQ2 2015","Currency=INR","Period=FQ","BEST_FPERIOD_OVERRIDE=FQ","FILING_STATUS=OR","EQY_CONSOLIDATED=Y","Sort=A","Dates=H","DateFormat=P","Fill=—","Direction=H","UseDPDF=Y")</f>
        <v>#NAME?</v>
      </c>
      <c r="BC485" s="2" t="e">
        <f ca="1">_xll.BDH($C$478,"TOTAL_CAPITAL_5_YEAR_GROWTH","FQ2 2015","FQ2 2015","Currency=INR","Period=FQ","BEST_FPERIOD_OVERRIDE=FQ","FILING_STATUS=OR","EQY_CONSOLIDATED=Y","Sort=A","Dates=H","DateFormat=P","Fill=—","Direction=H","UseDPDF=Y")</f>
        <v>#NAME?</v>
      </c>
      <c r="BD485" s="2" t="e">
        <f ca="1">_xll.BDH($C$478,"GEO_GROW_BOOK_VAL","FQ2 2015","FQ2 2015","Currency=INR","Period=FQ","BEST_FPERIOD_OVERRIDE=FQ","FILING_STATUS=OR","EQY_CONSOLIDATED=Y","Sort=A","Dates=H","DateFormat=P","Fill=—","Direction=H","UseDPDF=Y")</f>
        <v>#NAME?</v>
      </c>
      <c r="BE485" s="2" t="e">
        <f ca="1">_xll.BDH($C$478,"GEO_GROW_CASH_OPER_ACT","FQ2 2015","FQ2 2015","Currency=INR","Period=FQ","BEST_FPERIOD_OVERRIDE=FQ","FILING_STATUS=OR","EQY_CONSOLIDATED=Y","Sort=A","Dates=H","DateFormat=P","Fill=—","Direction=H","UseDPDF=Y")</f>
        <v>#NAME?</v>
      </c>
      <c r="BF485" s="2" t="e">
        <f ca="1">_xll.BDH($C$478,"REVENUE_SEQUENTIAL_GROWTH","FQ2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485" s="2" t="e">
        <f ca="1">_xll.BDH($C$478,"EBITDA_SEQUENTIAL_GROWTH","FQ2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485" s="2" t="e">
        <f ca="1">_xll.BDH($C$478,"OPERATING_INCOME_SEQ_GROWTH","FQ2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485" s="2" t="e">
        <f ca="1">_xll.BDH($C$478,"NET_INCOME_TO_COMMON_SEQ_GROWTH","FQ2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485" s="2" t="e">
        <f ca="1">_xll.BDH($C$478,"EPS_DILUTED_SEQUENTIAL_GROWTH","FQ2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485" s="2" t="e">
        <f ca="1">_xll.BDH($C$478,"DPS_SEQUENTIAL_GROWTH","FQ2 2015","FQ2 2015","Currency=INR","Period=FQ","BEST_FPERIOD_OVERRIDE=FQ","FILING_STATUS=OR","EQY_CONSOLIDATED=Y","Sort=A","Dates=H","DateFormat=P","Fill=—","Direction=H","UseDPDF=Y")</f>
        <v>#NAME?</v>
      </c>
      <c r="BL485" s="2" t="e">
        <f ca="1">_xll.BDH($C$478,"ACCOUNTS_RECEIVABLE_SEQ_GROWTH","FQ2 2015","FQ2 2015","Currency=INR","Period=FQ","BEST_FPERIOD_OVERRIDE=FQ","FILING_STATUS=OR","EQY_CONSOLIDATED=Y","Sort=A","Dates=H","DateFormat=P","Fill=—","Direction=H","UseDPDF=Y")</f>
        <v>#NAME?</v>
      </c>
      <c r="BM485" s="2" t="e">
        <f ca="1">_xll.BDH($C$478,"INVENTORY_SEQUENTIAL_GROWTH","FQ2 2015","FQ2 2015","Currency=INR","Period=FQ","BEST_FPERIOD_OVERRIDE=FQ","FILING_STATUS=OR","EQY_CONSOLIDATED=Y","Sort=A","Dates=H","DateFormat=P","Fill=—","Direction=H","UseDPDF=Y")</f>
        <v>#NAME?</v>
      </c>
      <c r="BN485" s="2" t="e">
        <f ca="1">_xll.BDH($C$478,"FIXED_ASSETS_SEQUENTIAL_GROWTH","FQ2 2015","FQ2 2015","Currency=INR","Period=FQ","BEST_FPERIOD_OVERRIDE=FQ","FILING_STATUS=OR","EQY_CONSOLIDATED=Y","Sort=A","Dates=H","DateFormat=P","Fill=—","Direction=H","UseDPDF=Y")</f>
        <v>#NAME?</v>
      </c>
      <c r="BO485" s="2" t="e">
        <f ca="1">_xll.BDH($C$478,"TOTAL_ASSETS_SEQUENTIAL_GROWTH","FQ2 2015","FQ2 2015","Currency=INR","Period=FQ","BEST_FPERIOD_OVERRIDE=FQ","FILING_STATUS=OR","EQY_CONSOLIDATED=Y","Sort=A","Dates=H","DateFormat=P","Fill=—","Direction=H","UseDPDF=Y")</f>
        <v>#NAME?</v>
      </c>
      <c r="BP485" s="2" t="e">
        <f ca="1">_xll.BDH($C$478,"MODIFIED_WORKING_CPTL_SEQ_GRWTH","FQ2 2015","FQ2 2015","Currency=INR","Period=FQ","BEST_FPERIOD_OVERRIDE=FQ","FILING_STATUS=OR","EQY_CONSOLIDATED=Y","Sort=A","Dates=H","DateFormat=P","Fill=—","Direction=H","UseDPDF=Y")</f>
        <v>#NAME?</v>
      </c>
      <c r="BQ485" s="2" t="e">
        <f ca="1">_xll.BDH($C$478,"WORKING_CAPITAL_SEQ_GROWTH","FQ2 2015","FQ2 2015","Currency=INR","Period=FQ","BEST_FPERIOD_OVERRIDE=FQ","FILING_STATUS=OR","EQY_CONSOLIDATED=Y","Sort=A","Dates=H","DateFormat=P","Fill=—","Direction=H","UseDPDF=Y")</f>
        <v>#NAME?</v>
      </c>
      <c r="BR485" s="2" t="e">
        <f ca="1">_xll.BDH($C$478,"ACCOUNTS_PAYABLE_SEQ_GROWTH","FQ2 2015","FQ2 2015","Currency=INR","Period=FQ","BEST_FPERIOD_OVERRIDE=FQ","FILING_STATUS=OR","EQY_CONSOLIDATED=Y","Sort=A","Dates=H","DateFormat=P","Fill=—","Direction=H","UseDPDF=Y")</f>
        <v>#NAME?</v>
      </c>
      <c r="BS485" s="2" t="e">
        <f ca="1">_xll.BDH($C$478,"ST_DEBT_SEQUENTIAL_GROWTH","FQ2 2015","FQ2 2015","Currency=INR","Period=FQ","BEST_FPERIOD_OVERRIDE=FQ","FILING_STATUS=OR","EQY_CONSOLIDATED=Y","Sort=A","Dates=H","DateFormat=P","Fill=—","Direction=H","UseDPDF=Y")</f>
        <v>#NAME?</v>
      </c>
      <c r="BT485" s="2" t="e">
        <f ca="1">_xll.BDH($C$478,"TOTAL_DEBT_SEQUENTIAL_GROWTH","FQ2 2015","FQ2 2015","Currency=INR","Period=FQ","BEST_FPERIOD_OVERRIDE=FQ","FILING_STATUS=OR","EQY_CONSOLIDATED=Y","Sort=A","Dates=H","DateFormat=P","Fill=—","Direction=H","UseDPDF=Y")</f>
        <v>#NAME?</v>
      </c>
      <c r="BU485" s="2" t="e">
        <f ca="1">_xll.BDH($C$478,"TOTAL_EQUITY_SEQUENTIAL_GROWTH","FQ2 2015","FQ2 2015","Currency=INR","Period=FQ","BEST_FPERIOD_OVERRIDE=FQ","FILING_STATUS=OR","EQY_CONSOLIDATED=Y","Sort=A","Dates=H","DateFormat=P","Fill=—","Direction=H","UseDPDF=Y")</f>
        <v>#NAME?</v>
      </c>
      <c r="BV485" s="2" t="e">
        <f ca="1">_xll.BDH($C$478,"TOTAL_CAPITAL_SEQUENTIAL_GROWTH","FQ2 2015","FQ2 2015","Currency=INR","Period=FQ","BEST_FPERIOD_OVERRIDE=FQ","FILING_STATUS=OR","EQY_CONSOLIDATED=Y","Sort=A","Dates=H","DateFormat=P","Fill=—","Direction=H","UseDPDF=Y")</f>
        <v>#NAME?</v>
      </c>
      <c r="BW485" s="2" t="e">
        <f ca="1">_xll.BDH($C$478,"BPS_SEQUENTIAL_GROWTH","FQ2 2015","FQ2 2015","Currency=INR","Period=FQ","BEST_FPERIOD_OVERRIDE=FQ","FILING_STATUS=OR","EQY_CONSOLIDATED=Y","Sort=A","Dates=H","DateFormat=P","Fill=—","Direction=H","UseDPDF=Y")</f>
        <v>#NAME?</v>
      </c>
      <c r="BX485" s="2" t="e">
        <f ca="1">_xll.BDH($C$478,"CFO_SEQUENTIAL_GROWTH","FQ2 2015","FQ2 2015","Currency=INR","Period=FQ","BEST_FPERIOD_OVERRIDE=FQ","FILING_STATUS=OR","EQY_CONSOLIDATED=Y","Sort=A","Dates=H","DateFormat=P","Fill=—","Direction=H","UseDPDF=Y")</f>
        <v>#NAME?</v>
      </c>
      <c r="BY485" s="3" t="e">
        <f ca="1">_xll.BDH($C$478,"SHORT_AND_LONG_TERM_DEBT","FQ2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485" s="3" t="e">
        <f ca="1">_xll.BDH($C$478,"BS_ST_BORROW","FQ2 2015","FQ2 2015","Currency=INR","Period=FQ","BEST_FPERIOD_OVERRIDE=FQ","FILING_STATUS=OR","EQY_CONSOLIDATED=Y","SCALING_FORMAT=MLN","Sort=A","Dates=H","DateFormat=P","Fill=—","Direction=H","UseDPDF=Y")</f>
        <v>#NAME?</v>
      </c>
      <c r="CA485" s="3" t="e">
        <f ca="1">_xll.BDH($C$478,"BS_LT_BORROW","FQ2 2015","FQ2 2015","Currency=INR","Period=FQ","BEST_FPERIOD_OVERRIDE=FQ","FILING_STATUS=OR","EQY_CONSOLIDATED=Y","SCALING_FORMAT=MLN","Sort=A","Dates=H","DateFormat=P","Fill=—","Direction=H","UseDPDF=Y")</f>
        <v>#NAME?</v>
      </c>
      <c r="CB485" s="2" t="e">
        <f ca="1">_xll.BDH($C$478,"TOT_DEBT_TO_EBITDA","FQ2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485" s="2" t="e">
        <f ca="1">_xll.BDH($C$478,"NET_DEBT_TO_EBITDA","FQ2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485" s="2" t="e">
        <f ca="1">_xll.BDH($C$478,"TOTAL_DEBT_TO_EBIT","FQ2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485" s="2" t="e">
        <f ca="1">_xll.BDH($C$478,"NET_DEBT_TO_EBIT","FQ2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485" s="2" t="e">
        <f ca="1">_xll.BDH($C$478,"EBITDA_TO_INTEREST_EXPN","FQ2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485" s="2" t="e">
        <f ca="1">_xll.BDH($C$478,"COM_EQY_TO_TOT_ASSET","FQ2 2015","FQ2 2015","Currency=INR","Period=FQ","BEST_FPERIOD_OVERRIDE=FQ","FILING_STATUS=OR","EQY_CONSOLIDATED=Y","Sort=A","Dates=H","DateFormat=P","Fill=—","Direction=H","UseDPDF=Y")</f>
        <v>#NAME?</v>
      </c>
      <c r="CH485" s="2" t="e">
        <f ca="1">_xll.BDH($C$478,"LT_DEBT_TO_TOT_EQY","FQ2 2015","FQ2 2015","Currency=INR","Period=FQ","BEST_FPERIOD_OVERRIDE=FQ","FILING_STATUS=OR","EQY_CONSOLIDATED=Y","Sort=A","Dates=H","DateFormat=P","Fill=—","Direction=H","UseDPDF=Y")</f>
        <v>#NAME?</v>
      </c>
      <c r="CI485" s="2" t="e">
        <f ca="1">_xll.BDH($C$478,"LT_DEBT_TO_TOT_CAP","FQ2 2015","FQ2 2015","Currency=INR","Period=FQ","BEST_FPERIOD_OVERRIDE=FQ","FILING_STATUS=OR","EQY_CONSOLIDATED=Y","Sort=A","Dates=H","DateFormat=P","Fill=—","Direction=H","UseDPDF=Y")</f>
        <v>#NAME?</v>
      </c>
      <c r="CJ485" s="2" t="e">
        <f ca="1">_xll.BDH($C$478,"LT_DEBT_TO_TOT_ASSET","FQ2 2015","FQ2 2015","Currency=INR","Period=FQ","BEST_FPERIOD_OVERRIDE=FQ","FILING_STATUS=OR","EQY_CONSOLIDATED=Y","Sort=A","Dates=H","DateFormat=P","Fill=—","Direction=H","UseDPDF=Y")</f>
        <v>#NAME?</v>
      </c>
      <c r="CK485" s="2" t="e">
        <f ca="1">_xll.BDH($C$478,"TOT_DEBT_TO_TOT_EQY","FQ2 2015","FQ2 2015","Currency=INR","Period=FQ","BEST_FPERIOD_OVERRIDE=FQ","FILING_STATUS=OR","EQY_CONSOLIDATED=Y","Sort=A","Dates=H","DateFormat=P","Fill=—","Direction=H","UseDPDF=Y")</f>
        <v>#NAME?</v>
      </c>
      <c r="CL485" s="2" t="e">
        <f ca="1">_xll.BDH($C$478,"TOT_DEBT_TO_TOT_CAP","FQ2 2015","FQ2 2015","Currency=INR","Period=FQ","BEST_FPERIOD_OVERRIDE=FQ","FILING_STATUS=OR","EQY_CONSOLIDATED=Y","Sort=A","Dates=H","DateFormat=P","Fill=—","Direction=H","UseDPDF=Y")</f>
        <v>#NAME?</v>
      </c>
      <c r="CM485" s="2" t="e">
        <f ca="1">_xll.BDH($C$478,"TOT_DEBT_TO_TOT_ASSET","FQ2 2015","FQ2 2015","Currency=INR","Period=FQ","BEST_FPERIOD_OVERRIDE=FQ","FILING_STATUS=OR","EQY_CONSOLIDATED=Y","Sort=A","Dates=H","DateFormat=P","Fill=—","Direction=H","UseDPDF=Y")</f>
        <v>#NAME?</v>
      </c>
      <c r="CN485" s="2" t="e">
        <f ca="1">_xll.BDH($C$478,"NET_DEBT_TO_SHRHLDR_EQTY","FQ2 2015","FQ2 2015","Currency=INR","Period=FQ","BEST_FPERIOD_OVERRIDE=FQ","FILING_STATUS=OR","EQY_CONSOLIDATED=Y","Sort=A","Dates=H","DateFormat=P","Fill=—","Direction=H","UseDPDF=Y")</f>
        <v>#NAME?</v>
      </c>
      <c r="CO485" s="2" t="e">
        <f ca="1">_xll.BDH($C$478,"NET_DEBT_%_CAPITAL","FQ2 2015","FQ2 2015","Currency=INR","Period=FQ","BEST_FPERIOD_OVERRIDE=FQ","FILING_STATUS=OR","EQY_CONSOLIDATED=Y","Sort=A","Dates=H","DateFormat=P","Fill=—","Direction=H","UseDPDF=Y")</f>
        <v>#NAME?</v>
      </c>
      <c r="CP485" s="3" t="e">
        <f ca="1">_xll.BDH($C$478,"EBITDA","FQ2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485" s="3" t="e">
        <f ca="1">_xll.BDH($C$478,"EBITDA_AFTER_CAPEX","FQ2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485" s="3" t="e">
        <f ca="1">_xll.BDH($C$478,"IS_OPER_INC","FQ2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485" s="2" t="e">
        <f ca="1">_xll.BDH($C$478,"CASH_RATIO","FQ2 2015","FQ2 2015","Currency=INR","Period=FQ","BEST_FPERIOD_OVERRIDE=FQ","FILING_STATUS=OR","EQY_CONSOLIDATED=Y","Sort=A","Dates=H","DateFormat=P","Fill=—","Direction=H","UseDPDF=Y")</f>
        <v>#NAME?</v>
      </c>
      <c r="CT485" s="2" t="e">
        <f ca="1">_xll.BDH($C$478,"CUR_RATIO","FQ2 2015","FQ2 2015","Currency=INR","Period=FQ","BEST_FPERIOD_OVERRIDE=FQ","FILING_STATUS=OR","EQY_CONSOLIDATED=Y","Sort=A","Dates=H","DateFormat=P","Fill=—","Direction=H","UseDPDF=Y")</f>
        <v>#NAME?</v>
      </c>
      <c r="CU485" s="2" t="e">
        <f ca="1">_xll.BDH($C$478,"QUICK_RATIO","FQ2 2015","FQ2 2015","Currency=INR","Period=FQ","BEST_FPERIOD_OVERRIDE=FQ","FILING_STATUS=OR","EQY_CONSOLIDATED=Y","Sort=A","Dates=H","DateFormat=P","Fill=—","Direction=H","UseDPDF=Y")</f>
        <v>#NAME?</v>
      </c>
      <c r="CV485" s="2" t="e">
        <f ca="1">_xll.BDH($C$478,"ALTMAN_Z_SCORE","FQ2 2015","FQ2 2015","Currency=INR","Period=FQ","BEST_FPERIOD_OVERRIDE=FQ","FILING_STATUS=OR","EQY_CONSOLIDATED=Y","Sort=A","Dates=H","DateFormat=P","Fill=—","Direction=H","UseDPDF=Y")</f>
        <v>#NAME?</v>
      </c>
      <c r="CW485" s="4" t="e">
        <f ca="1">_xll.BDH($C$478,"ACCT_RCV_TURN","FQ2 2015","FQ2 2015","Currency=INR","Period=FQ","BEST_FPERIOD_OVERRIDE=FQ","FILING_STATUS=OR","EQY_CONSOLIDATED=Y","FA_ADJUSTED=GAAP","Sort=A","Dates=H","DateFormat=P","Fill=—","Direction=H","UseDPDF=Y")</f>
        <v>#NAME?</v>
      </c>
      <c r="CX485" s="2" t="e">
        <f ca="1">_xll.BDH($C$478,"ACCT_RCV_DAYS","FQ2 2015","FQ2 2015","Currency=INR","Period=FQ","BEST_FPERIOD_OVERRIDE=FQ","FILING_STATUS=OR","EQY_CONSOLIDATED=Y","FA_ADJUSTED=GAAP","Sort=A","Dates=H","DateFormat=P","Fill=—","Direction=H","UseDPDF=Y")</f>
        <v>#NAME?</v>
      </c>
      <c r="CY485" s="4" t="e">
        <f ca="1">_xll.BDH($C$478,"INVENT_TURN","FQ2 2015","FQ2 2015","Currency=INR","Period=FQ","BEST_FPERIOD_OVERRIDE=FQ","FILING_STATUS=OR","EQY_CONSOLIDATED=Y","FA_ADJUSTED=GAAP","Sort=A","Dates=H","DateFormat=P","Fill=—","Direction=H","UseDPDF=Y")</f>
        <v>#NAME?</v>
      </c>
      <c r="CZ485" s="2" t="e">
        <f ca="1">_xll.BDH($C$478,"INVENT_DAYS","FQ2 2015","FQ2 2015","Currency=INR","Period=FQ","BEST_FPERIOD_OVERRIDE=FQ","FILING_STATUS=OR","EQY_CONSOLIDATED=Y","FA_ADJUSTED=GAAP","Sort=A","Dates=H","DateFormat=P","Fill=—","Direction=H","UseDPDF=Y")</f>
        <v>#NAME?</v>
      </c>
      <c r="DA485" s="4" t="e">
        <f ca="1">_xll.BDH($C$478,"ACCOUNTS_PAYABLE_TURNOVER","FQ2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485" s="2" t="e">
        <f ca="1">_xll.BDH($C$478,"ACCOUNTS_PAYABLE_TURNOVER_DAYS","FQ2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485" s="4" t="e">
        <f ca="1">_xll.BDH($C$478,"CASH_CONVERSION_CYCLE","FQ2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485" s="4" t="e">
        <f ca="1">_xll.BDH($C$478,"INV_TO_CASH_DAYS","FQ2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485" s="5" t="e">
        <f ca="1">_xll.BDH($C$478,"BS_INVENTORIES","FQ2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485" s="3" t="e">
        <f ca="1">_xll.BDH($C$478,"INVTRY_RAW_MATERIALS","FQ2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485" s="3" t="e">
        <f ca="1">_xll.BDH($C$478,"INVTRY_IN_PROGRESS","FQ2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485" s="3" t="e">
        <f ca="1">_xll.BDH($C$478,"INVTRY_FINISHED_GOODS","FQ2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485" s="3" t="e">
        <f ca="1">_xll.BDH($C$478,"BS_OTHER_INV","FQ2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486" spans="1:113" x14ac:dyDescent="0.3">
      <c r="A486" s="6"/>
      <c r="B486" s="6"/>
      <c r="C486" s="6"/>
      <c r="D486" s="6"/>
      <c r="E486" t="s">
        <v>80</v>
      </c>
      <c r="F486" t="e">
        <f ca="1">_xll.BDH($C$478,"RETURN_COM_EQY","FQ3 2015","FQ3 2015","Currency=INR","Period=FQ","BEST_FPERIOD_OVERRIDE=FQ","FILING_STATUS=OR","EQY_CONSOLIDATED=Y","FA_ADJUSTED=GAAP","Sort=A","Dates=H","DateFormat=P","Fill=—","Direction=H","UseDPDF=Y")</f>
        <v>#NAME?</v>
      </c>
      <c r="G486" t="e">
        <f ca="1">_xll.BDH($C$478,"RETURN_ON_ASSET","FQ3 2015","FQ3 2015","Currency=INR","Period=FQ","BEST_FPERIOD_OVERRIDE=FQ","FILING_STATUS=OR","EQY_CONSOLIDATED=Y","FA_ADJUSTED=GAAP","Sort=A","Dates=H","DateFormat=P","Fill=—","Direction=H","UseDPDF=Y")</f>
        <v>#NAME?</v>
      </c>
      <c r="H486" t="e">
        <f ca="1">_xll.BDH($C$478,"RETURN_ON_CAP","FQ3 2015","FQ3 2015","Currency=INR","Period=FQ","BEST_FPERIOD_OVERRIDE=FQ","FILING_STATUS=OR","EQY_CONSOLIDATED=Y","FA_ADJUSTED=GAAP","Sort=A","Dates=H","DateFormat=P","Fill=—","Direction=H","UseDPDF=Y")</f>
        <v>#NAME?</v>
      </c>
      <c r="I486" t="e">
        <f ca="1">_xll.BDH($C$478,"RETURN_ON_INV_CAPITAL","FQ3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486" t="e">
        <f ca="1">_xll.BDH($C$478,"EBITDA_TO_REVENUE","FQ3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486" t="e">
        <f ca="1">_xll.BDH($C$478,"OPER_MARGIN","FQ3 2015","FQ3 2015","Currency=INR","Period=FQ","BEST_FPERIOD_OVERRIDE=FQ","FILING_STATUS=OR","EQY_CONSOLIDATED=Y","FA_ADJUSTED=GAAP","Sort=A","Dates=H","DateFormat=P","Fill=—","Direction=H","UseDPDF=Y")</f>
        <v>#NAME?</v>
      </c>
      <c r="L486" t="e">
        <f ca="1">_xll.BDH($C$478,"INCREMENTAL_OPERATING_MARGIN","FQ3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486" t="e">
        <f ca="1">_xll.BDH($C$478,"PRETAX_INC_TO_NET_SALES","FQ3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486" t="e">
        <f ca="1">_xll.BDH($C$478,"INC_BEF_XO_ITEMS_TO_NET_SALES","FQ3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486" t="e">
        <f ca="1">_xll.BDH($C$478,"PROF_MARGIN","FQ3 2015","FQ3 2015","Currency=INR","Period=FQ","BEST_FPERIOD_OVERRIDE=FQ","FILING_STATUS=OR","EQY_CONSOLIDATED=Y","FA_ADJUSTED=GAAP","Sort=A","Dates=H","DateFormat=P","Fill=—","Direction=H","UseDPDF=Y")</f>
        <v>#NAME?</v>
      </c>
      <c r="P486" t="e">
        <f ca="1">_xll.BDH($C$478,"NET_INCOME_TO_COMMON_MARGIN","FQ3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486" t="e">
        <f ca="1">_xll.BDH($C$478,"EFF_TAX_RATE","FQ3 2015","FQ3 2015","Currency=INR","Period=FQ","BEST_FPERIOD_OVERRIDE=FQ","FILING_STATUS=OR","EQY_CONSOLIDATED=Y","FA_ADJUSTED=GAAP","Sort=A","Dates=H","DateFormat=P","Fill=—","Direction=H","UseDPDF=Y")</f>
        <v>#NAME?</v>
      </c>
      <c r="R486" t="e">
        <f ca="1">_xll.BDH($C$478,"DVD_PAYOUT_RATIO","FQ3 2015","FQ3 2015","Currency=INR","Period=FQ","BEST_FPERIOD_OVERRIDE=FQ","FILING_STATUS=OR","EQY_CONSOLIDATED=Y","FA_ADJUSTED=GAAP","Sort=A","Dates=H","DateFormat=P","Fill=—","Direction=H","UseDPDF=Y")</f>
        <v>#NAME?</v>
      </c>
      <c r="S486" t="e">
        <f ca="1">_xll.BDH($C$478,"SUSTAIN_GROWTH_RT","FQ3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486" s="2" t="e">
        <f ca="1">_xll.BDH($C$478,"SALES_GROWTH","FQ3 2015","FQ3 2015","Currency=INR","Period=FQ","BEST_FPERIOD_OVERRIDE=FQ","FILING_STATUS=OR","EQY_CONSOLIDATED=Y","FA_ADJUSTED=GAAP","Sort=A","Dates=H","DateFormat=P","Fill=—","Direction=H","UseDPDF=Y")</f>
        <v>#NAME?</v>
      </c>
      <c r="U486" s="2" t="e">
        <f ca="1">_xll.BDH($C$478,"EBITDA_GROWTH","FQ3 2015","FQ3 2015","Currency=INR","Period=FQ","BEST_FPERIOD_OVERRIDE=FQ","FILING_STATUS=OR","EQY_CONSOLIDATED=Y","FA_ADJUSTED=GAAP","Sort=A","Dates=H","DateFormat=P","Fill=—","Direction=H","UseDPDF=Y")</f>
        <v>#NAME?</v>
      </c>
      <c r="V486" s="2" t="e">
        <f ca="1">_xll.BDH($C$478,"OPER_INC_GROWTH","FQ3 2015","FQ3 2015","Currency=INR","Period=FQ","BEST_FPERIOD_OVERRIDE=FQ","FILING_STATUS=OR","EQY_CONSOLIDATED=Y","FA_ADJUSTED=GAAP","Sort=A","Dates=H","DateFormat=P","Fill=—","Direction=H","UseDPDF=Y")</f>
        <v>#NAME?</v>
      </c>
      <c r="W486" s="2" t="e">
        <f ca="1">_xll.BDH($C$478,"EARN_FOR_COM_GROWTH","FQ3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486" s="2" t="e">
        <f ca="1">_xll.BDH($C$478,"DILUTED_EPS_AFT_XO_ITEMS_GROWTH","FQ3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486" s="2" t="e">
        <f ca="1">_xll.BDH($C$478,"DIVIDEND_PER_SHARE_1_YEAR_GROWTH","FQ3 2015","FQ3 2015","Currency=INR","Period=FQ","BEST_FPERIOD_OVERRIDE=FQ","FILING_STATUS=OR","EQY_CONSOLIDATED=Y","Sort=A","Dates=H","DateFormat=P","Fill=—","Direction=H","UseDPDF=Y")</f>
        <v>#NAME?</v>
      </c>
      <c r="Z486" s="2" t="e">
        <f ca="1">_xll.BDH($C$478,"ACCOUNTS_RECEIVABLE_GROWTH","FQ3 2015","FQ3 2015","Currency=INR","Period=FQ","BEST_FPERIOD_OVERRIDE=FQ","FILING_STATUS=OR","EQY_CONSOLIDATED=Y","Sort=A","Dates=H","DateFormat=P","Fill=—","Direction=H","UseDPDF=Y")</f>
        <v>#NAME?</v>
      </c>
      <c r="AA486" s="2" t="e">
        <f ca="1">_xll.BDH($C$478,"INVENTORY_GROWTH","FQ3 2015","FQ3 2015","Currency=INR","Period=FQ","BEST_FPERIOD_OVERRIDE=FQ","FILING_STATUS=OR","EQY_CONSOLIDATED=Y","Sort=A","Dates=H","DateFormat=P","Fill=—","Direction=H","UseDPDF=Y")</f>
        <v>#NAME?</v>
      </c>
      <c r="AB486" s="2" t="e">
        <f ca="1">_xll.BDH($C$478,"NET_FIXED_ASSETS_1_YEAR_GROWTH","FQ3 2015","FQ3 2015","Currency=INR","Period=FQ","BEST_FPERIOD_OVERRIDE=FQ","FILING_STATUS=OR","EQY_CONSOLIDATED=Y","Sort=A","Dates=H","DateFormat=P","Fill=—","Direction=H","UseDPDF=Y")</f>
        <v>#NAME?</v>
      </c>
      <c r="AC486" s="2" t="e">
        <f ca="1">_xll.BDH($C$478,"ASSET_GROWTH","FQ3 2015","FQ3 2015","Currency=INR","Period=FQ","BEST_FPERIOD_OVERRIDE=FQ","FILING_STATUS=OR","EQY_CONSOLIDATED=Y","Sort=A","Dates=H","DateFormat=P","Fill=—","Direction=H","UseDPDF=Y")</f>
        <v>#NAME?</v>
      </c>
      <c r="AD486" s="2" t="e">
        <f ca="1">_xll.BDH($C$478,"MODIFIED_WORK_CAP_GROWTH","FQ3 2015","FQ3 2015","Currency=INR","Period=FQ","BEST_FPERIOD_OVERRIDE=FQ","FILING_STATUS=OR","EQY_CONSOLIDATED=Y","Sort=A","Dates=H","DateFormat=P","Fill=—","Direction=H","UseDPDF=Y")</f>
        <v>#NAME?</v>
      </c>
      <c r="AE486" s="2" t="e">
        <f ca="1">_xll.BDH($C$478,"WORK_CAP_GROWTH","FQ3 2015","FQ3 2015","Currency=INR","Period=FQ","BEST_FPERIOD_OVERRIDE=FQ","FILING_STATUS=OR","EQY_CONSOLIDATED=Y","Sort=A","Dates=H","DateFormat=P","Fill=—","Direction=H","UseDPDF=Y")</f>
        <v>#NAME?</v>
      </c>
      <c r="AF486" s="2" t="e">
        <f ca="1">_xll.BDH($C$478,"ACCOUNTS_PAYABLE_GROWTH_1YR","FQ3 2015","FQ3 2015","Currency=INR","Period=FQ","BEST_FPERIOD_OVERRIDE=FQ","FILING_STATUS=OR","EQY_CONSOLIDATED=Y","Sort=A","Dates=H","DateFormat=P","Fill=—","Direction=H","UseDPDF=Y")</f>
        <v>#NAME?</v>
      </c>
      <c r="AG486" s="2" t="e">
        <f ca="1">_xll.BDH($C$478,"SHORT_TERM_DEBT_1_YEAR_GROWTH","FQ3 2015","FQ3 2015","Currency=INR","Period=FQ","BEST_FPERIOD_OVERRIDE=FQ","FILING_STATUS=OR","EQY_CONSOLIDATED=Y","Sort=A","Dates=H","DateFormat=P","Fill=—","Direction=H","UseDPDF=Y")</f>
        <v>#NAME?</v>
      </c>
      <c r="AH486" s="2" t="e">
        <f ca="1">_xll.BDH($C$478,"TOTAL_DEBT_1_YEAR_GROWTH","FQ3 2015","FQ3 2015","Currency=INR","Period=FQ","BEST_FPERIOD_OVERRIDE=FQ","FILING_STATUS=OR","EQY_CONSOLIDATED=Y","Sort=A","Dates=H","DateFormat=P","Fill=—","Direction=H","UseDPDF=Y")</f>
        <v>#NAME?</v>
      </c>
      <c r="AI486" s="2" t="e">
        <f ca="1">_xll.BDH($C$478,"TOTAL_EQUITY_1_YEAR_GROWTH","FQ3 2015","FQ3 2015","Currency=INR","Period=FQ","BEST_FPERIOD_OVERRIDE=FQ","FILING_STATUS=OR","EQY_CONSOLIDATED=Y","Sort=A","Dates=H","DateFormat=P","Fill=—","Direction=H","UseDPDF=Y")</f>
        <v>#NAME?</v>
      </c>
      <c r="AJ486" s="2" t="e">
        <f ca="1">_xll.BDH($C$478,"GROWTH_IN_CAP","FQ3 2015","FQ3 2015","Currency=INR","Period=FQ","BEST_FPERIOD_OVERRIDE=FQ","FILING_STATUS=OR","EQY_CONSOLIDATED=Y","Sort=A","Dates=H","DateFormat=P","Fill=—","Direction=H","UseDPDF=Y")</f>
        <v>#NAME?</v>
      </c>
      <c r="AK486" s="2" t="e">
        <f ca="1">_xll.BDH($C$478,"BVPS_GROWTH","FQ3 2015","FQ3 2015","Currency=INR","Period=FQ","BEST_FPERIOD_OVERRIDE=FQ","FILING_STATUS=OR","EQY_CONSOLIDATED=Y","Sort=A","Dates=H","DateFormat=P","Fill=—","Direction=H","UseDPDF=Y")</f>
        <v>#NAME?</v>
      </c>
      <c r="AL486" s="2" t="e">
        <f ca="1">_xll.BDH($C$478,"CASH_FLOW_GROWTH","FQ3 2015","FQ3 2015","Currency=INR","Period=FQ","BEST_FPERIOD_OVERRIDE=FQ","FILING_STATUS=OR","EQY_CONSOLIDATED=Y","Sort=A","Dates=H","DateFormat=P","Fill=—","Direction=H","UseDPDF=Y")</f>
        <v>#NAME?</v>
      </c>
      <c r="AM486" s="2" t="e">
        <f ca="1">_xll.BDH($C$478,"GEO_GROW_NET_SALES","FQ3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486" s="2" t="e">
        <f ca="1">_xll.BDH($C$478,"GEO_GROW_EBITDA","FQ3 2015","FQ3 2015","Currency=INR","Period=FQ","BEST_FPERIOD_OVERRIDE=FQ","FILING_STATUS=OR","EQY_CONSOLIDATED=Y","FA_ADJUSTED=GAAP","Sort=A","Dates=H","DateFormat=P","Fill=—","Direction=H","UseDPDF=Y")</f>
        <v>#NAME?</v>
      </c>
      <c r="AO486" s="2" t="e">
        <f ca="1">_xll.BDH($C$478,"GEO_GROW_OPER_INC","FQ3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486" s="2" t="e">
        <f ca="1">_xll.BDH($C$478,"NET_INCOME_TO_COMMON_5_YR_GROWTH","FQ3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486" s="2" t="e">
        <f ca="1">_xll.BDH($C$478,"5Y_GEO_GROWTH_DILUTED_EPS","FQ3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486" s="2" t="e">
        <f ca="1">_xll.BDH($C$478,"GEO_GROW_DVD_PER_SH","FQ3 2015","FQ3 2015","Currency=INR","Period=FQ","BEST_FPERIOD_OVERRIDE=FQ","FILING_STATUS=OR","EQY_CONSOLIDATED=Y","Sort=A","Dates=H","DateFormat=P","Fill=—","Direction=H","UseDPDF=Y")</f>
        <v>#NAME?</v>
      </c>
      <c r="AS486" s="2" t="e">
        <f ca="1">_xll.BDH($C$478,"ACCOUNTS_RECEIVABLE_5_YR_GROWTH","FQ3 2015","FQ3 2015","Currency=INR","Period=FQ","BEST_FPERIOD_OVERRIDE=FQ","FILING_STATUS=OR","EQY_CONSOLIDATED=Y","Sort=A","Dates=H","DateFormat=P","Fill=—","Direction=H","UseDPDF=Y")</f>
        <v>#NAME?</v>
      </c>
      <c r="AT486" s="2" t="e">
        <f ca="1">_xll.BDH($C$478,"INVENTORY_5_YEAR_GROWTH","FQ3 2015","FQ3 2015","Currency=INR","Period=FQ","BEST_FPERIOD_OVERRIDE=FQ","FILING_STATUS=OR","EQY_CONSOLIDATED=Y","Sort=A","Dates=H","DateFormat=P","Fill=—","Direction=H","UseDPDF=Y")</f>
        <v>#NAME?</v>
      </c>
      <c r="AU486" s="2" t="e">
        <f ca="1">_xll.BDH($C$478,"NET_FIXED_ASSETS_5_YEAR_GROWTH","FQ3 2015","FQ3 2015","Currency=INR","Period=FQ","BEST_FPERIOD_OVERRIDE=FQ","FILING_STATUS=OR","EQY_CONSOLIDATED=Y","Sort=A","Dates=H","DateFormat=P","Fill=—","Direction=H","UseDPDF=Y")</f>
        <v>#NAME?</v>
      </c>
      <c r="AV486" s="2" t="e">
        <f ca="1">_xll.BDH($C$478,"GEO_GROW_TOT_ASSET","FQ3 2015","FQ3 2015","Currency=INR","Period=FQ","BEST_FPERIOD_OVERRIDE=FQ","FILING_STATUS=OR","EQY_CONSOLIDATED=Y","Sort=A","Dates=H","DateFormat=P","Fill=—","Direction=H","UseDPDF=Y")</f>
        <v>#NAME?</v>
      </c>
      <c r="AW486" s="2" t="e">
        <f ca="1">_xll.BDH($C$478,"MODIFIED_WORKING_CPTL_5YR_GRWTH","FQ3 2015","FQ3 2015","Currency=INR","Period=FQ","BEST_FPERIOD_OVERRIDE=FQ","FILING_STATUS=OR","EQY_CONSOLIDATED=Y","Sort=A","Dates=H","DateFormat=P","Fill=—","Direction=H","UseDPDF=Y")</f>
        <v>#NAME?</v>
      </c>
      <c r="AX486" s="2" t="e">
        <f ca="1">_xll.BDH($C$478,"WORKING_CAPITAL_5_YEAR_GROWTH","FQ3 2015","FQ3 2015","Currency=INR","Period=FQ","BEST_FPERIOD_OVERRIDE=FQ","FILING_STATUS=OR","EQY_CONSOLIDATED=Y","Sort=A","Dates=H","DateFormat=P","Fill=—","Direction=H","UseDPDF=Y")</f>
        <v>#NAME?</v>
      </c>
      <c r="AY486" s="2" t="e">
        <f ca="1">_xll.BDH($C$478,"ACCOUNTS_PAYABLE_5_YEAR_GROWTH","FQ3 2015","FQ3 2015","Currency=INR","Period=FQ","BEST_FPERIOD_OVERRIDE=FQ","FILING_STATUS=OR","EQY_CONSOLIDATED=Y","Sort=A","Dates=H","DateFormat=P","Fill=—","Direction=H","UseDPDF=Y")</f>
        <v>#NAME?</v>
      </c>
      <c r="AZ486" s="2" t="e">
        <f ca="1">_xll.BDH($C$478,"SHORT_TERM_DEBT_5_YEAR_GROWTH","FQ3 2015","FQ3 2015","Currency=INR","Period=FQ","BEST_FPERIOD_OVERRIDE=FQ","FILING_STATUS=OR","EQY_CONSOLIDATED=Y","Sort=A","Dates=H","DateFormat=P","Fill=—","Direction=H","UseDPDF=Y")</f>
        <v>#NAME?</v>
      </c>
      <c r="BA486" s="2" t="e">
        <f ca="1">_xll.BDH($C$478,"TOTAL_DEBT_5_YEAR_GROWTH","FQ3 2015","FQ3 2015","Currency=INR","Period=FQ","BEST_FPERIOD_OVERRIDE=FQ","FILING_STATUS=OR","EQY_CONSOLIDATED=Y","Sort=A","Dates=H","DateFormat=P","Fill=—","Direction=H","UseDPDF=Y")</f>
        <v>#NAME?</v>
      </c>
      <c r="BB486" s="2" t="e">
        <f ca="1">_xll.BDH($C$478,"GEO_GROW_TOT_SHRHLDR_EQY","FQ3 2015","FQ3 2015","Currency=INR","Period=FQ","BEST_FPERIOD_OVERRIDE=FQ","FILING_STATUS=OR","EQY_CONSOLIDATED=Y","Sort=A","Dates=H","DateFormat=P","Fill=—","Direction=H","UseDPDF=Y")</f>
        <v>#NAME?</v>
      </c>
      <c r="BC486" s="2" t="e">
        <f ca="1">_xll.BDH($C$478,"TOTAL_CAPITAL_5_YEAR_GROWTH","FQ3 2015","FQ3 2015","Currency=INR","Period=FQ","BEST_FPERIOD_OVERRIDE=FQ","FILING_STATUS=OR","EQY_CONSOLIDATED=Y","Sort=A","Dates=H","DateFormat=P","Fill=—","Direction=H","UseDPDF=Y")</f>
        <v>#NAME?</v>
      </c>
      <c r="BD486" s="2" t="e">
        <f ca="1">_xll.BDH($C$478,"GEO_GROW_BOOK_VAL","FQ3 2015","FQ3 2015","Currency=INR","Period=FQ","BEST_FPERIOD_OVERRIDE=FQ","FILING_STATUS=OR","EQY_CONSOLIDATED=Y","Sort=A","Dates=H","DateFormat=P","Fill=—","Direction=H","UseDPDF=Y")</f>
        <v>#NAME?</v>
      </c>
      <c r="BE486" s="2" t="e">
        <f ca="1">_xll.BDH($C$478,"GEO_GROW_CASH_OPER_ACT","FQ3 2015","FQ3 2015","Currency=INR","Period=FQ","BEST_FPERIOD_OVERRIDE=FQ","FILING_STATUS=OR","EQY_CONSOLIDATED=Y","Sort=A","Dates=H","DateFormat=P","Fill=—","Direction=H","UseDPDF=Y")</f>
        <v>#NAME?</v>
      </c>
      <c r="BF486" s="2" t="e">
        <f ca="1">_xll.BDH($C$478,"REVENUE_SEQUENTIAL_GROWTH","FQ3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486" s="2" t="e">
        <f ca="1">_xll.BDH($C$478,"EBITDA_SEQUENTIAL_GROWTH","FQ3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486" s="2" t="e">
        <f ca="1">_xll.BDH($C$478,"OPERATING_INCOME_SEQ_GROWTH","FQ3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486" s="2" t="e">
        <f ca="1">_xll.BDH($C$478,"NET_INCOME_TO_COMMON_SEQ_GROWTH","FQ3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486" s="2" t="e">
        <f ca="1">_xll.BDH($C$478,"EPS_DILUTED_SEQUENTIAL_GROWTH","FQ3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486" s="2" t="e">
        <f ca="1">_xll.BDH($C$478,"DPS_SEQUENTIAL_GROWTH","FQ3 2015","FQ3 2015","Currency=INR","Period=FQ","BEST_FPERIOD_OVERRIDE=FQ","FILING_STATUS=OR","EQY_CONSOLIDATED=Y","Sort=A","Dates=H","DateFormat=P","Fill=—","Direction=H","UseDPDF=Y")</f>
        <v>#NAME?</v>
      </c>
      <c r="BL486" s="2" t="e">
        <f ca="1">_xll.BDH($C$478,"ACCOUNTS_RECEIVABLE_SEQ_GROWTH","FQ3 2015","FQ3 2015","Currency=INR","Period=FQ","BEST_FPERIOD_OVERRIDE=FQ","FILING_STATUS=OR","EQY_CONSOLIDATED=Y","Sort=A","Dates=H","DateFormat=P","Fill=—","Direction=H","UseDPDF=Y")</f>
        <v>#NAME?</v>
      </c>
      <c r="BM486" s="2" t="e">
        <f ca="1">_xll.BDH($C$478,"INVENTORY_SEQUENTIAL_GROWTH","FQ3 2015","FQ3 2015","Currency=INR","Period=FQ","BEST_FPERIOD_OVERRIDE=FQ","FILING_STATUS=OR","EQY_CONSOLIDATED=Y","Sort=A","Dates=H","DateFormat=P","Fill=—","Direction=H","UseDPDF=Y")</f>
        <v>#NAME?</v>
      </c>
      <c r="BN486" s="2" t="e">
        <f ca="1">_xll.BDH($C$478,"FIXED_ASSETS_SEQUENTIAL_GROWTH","FQ3 2015","FQ3 2015","Currency=INR","Period=FQ","BEST_FPERIOD_OVERRIDE=FQ","FILING_STATUS=OR","EQY_CONSOLIDATED=Y","Sort=A","Dates=H","DateFormat=P","Fill=—","Direction=H","UseDPDF=Y")</f>
        <v>#NAME?</v>
      </c>
      <c r="BO486" s="2" t="e">
        <f ca="1">_xll.BDH($C$478,"TOTAL_ASSETS_SEQUENTIAL_GROWTH","FQ3 2015","FQ3 2015","Currency=INR","Period=FQ","BEST_FPERIOD_OVERRIDE=FQ","FILING_STATUS=OR","EQY_CONSOLIDATED=Y","Sort=A","Dates=H","DateFormat=P","Fill=—","Direction=H","UseDPDF=Y")</f>
        <v>#NAME?</v>
      </c>
      <c r="BP486" s="2" t="e">
        <f ca="1">_xll.BDH($C$478,"MODIFIED_WORKING_CPTL_SEQ_GRWTH","FQ3 2015","FQ3 2015","Currency=INR","Period=FQ","BEST_FPERIOD_OVERRIDE=FQ","FILING_STATUS=OR","EQY_CONSOLIDATED=Y","Sort=A","Dates=H","DateFormat=P","Fill=—","Direction=H","UseDPDF=Y")</f>
        <v>#NAME?</v>
      </c>
      <c r="BQ486" s="2" t="e">
        <f ca="1">_xll.BDH($C$478,"WORKING_CAPITAL_SEQ_GROWTH","FQ3 2015","FQ3 2015","Currency=INR","Period=FQ","BEST_FPERIOD_OVERRIDE=FQ","FILING_STATUS=OR","EQY_CONSOLIDATED=Y","Sort=A","Dates=H","DateFormat=P","Fill=—","Direction=H","UseDPDF=Y")</f>
        <v>#NAME?</v>
      </c>
      <c r="BR486" s="2" t="e">
        <f ca="1">_xll.BDH($C$478,"ACCOUNTS_PAYABLE_SEQ_GROWTH","FQ3 2015","FQ3 2015","Currency=INR","Period=FQ","BEST_FPERIOD_OVERRIDE=FQ","FILING_STATUS=OR","EQY_CONSOLIDATED=Y","Sort=A","Dates=H","DateFormat=P","Fill=—","Direction=H","UseDPDF=Y")</f>
        <v>#NAME?</v>
      </c>
      <c r="BS486" s="2" t="e">
        <f ca="1">_xll.BDH($C$478,"ST_DEBT_SEQUENTIAL_GROWTH","FQ3 2015","FQ3 2015","Currency=INR","Period=FQ","BEST_FPERIOD_OVERRIDE=FQ","FILING_STATUS=OR","EQY_CONSOLIDATED=Y","Sort=A","Dates=H","DateFormat=P","Fill=—","Direction=H","UseDPDF=Y")</f>
        <v>#NAME?</v>
      </c>
      <c r="BT486" s="2" t="e">
        <f ca="1">_xll.BDH($C$478,"TOTAL_DEBT_SEQUENTIAL_GROWTH","FQ3 2015","FQ3 2015","Currency=INR","Period=FQ","BEST_FPERIOD_OVERRIDE=FQ","FILING_STATUS=OR","EQY_CONSOLIDATED=Y","Sort=A","Dates=H","DateFormat=P","Fill=—","Direction=H","UseDPDF=Y")</f>
        <v>#NAME?</v>
      </c>
      <c r="BU486" s="2" t="e">
        <f ca="1">_xll.BDH($C$478,"TOTAL_EQUITY_SEQUENTIAL_GROWTH","FQ3 2015","FQ3 2015","Currency=INR","Period=FQ","BEST_FPERIOD_OVERRIDE=FQ","FILING_STATUS=OR","EQY_CONSOLIDATED=Y","Sort=A","Dates=H","DateFormat=P","Fill=—","Direction=H","UseDPDF=Y")</f>
        <v>#NAME?</v>
      </c>
      <c r="BV486" s="2" t="e">
        <f ca="1">_xll.BDH($C$478,"TOTAL_CAPITAL_SEQUENTIAL_GROWTH","FQ3 2015","FQ3 2015","Currency=INR","Period=FQ","BEST_FPERIOD_OVERRIDE=FQ","FILING_STATUS=OR","EQY_CONSOLIDATED=Y","Sort=A","Dates=H","DateFormat=P","Fill=—","Direction=H","UseDPDF=Y")</f>
        <v>#NAME?</v>
      </c>
      <c r="BW486" s="2" t="e">
        <f ca="1">_xll.BDH($C$478,"BPS_SEQUENTIAL_GROWTH","FQ3 2015","FQ3 2015","Currency=INR","Period=FQ","BEST_FPERIOD_OVERRIDE=FQ","FILING_STATUS=OR","EQY_CONSOLIDATED=Y","Sort=A","Dates=H","DateFormat=P","Fill=—","Direction=H","UseDPDF=Y")</f>
        <v>#NAME?</v>
      </c>
      <c r="BX486" s="2" t="e">
        <f ca="1">_xll.BDH($C$478,"CFO_SEQUENTIAL_GROWTH","FQ3 2015","FQ3 2015","Currency=INR","Period=FQ","BEST_FPERIOD_OVERRIDE=FQ","FILING_STATUS=OR","EQY_CONSOLIDATED=Y","Sort=A","Dates=H","DateFormat=P","Fill=—","Direction=H","UseDPDF=Y")</f>
        <v>#NAME?</v>
      </c>
      <c r="BY486" s="3" t="e">
        <f ca="1">_xll.BDH($C$478,"SHORT_AND_LONG_TERM_DEBT","FQ3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486" s="3" t="e">
        <f ca="1">_xll.BDH($C$478,"BS_ST_BORROW","FQ3 2015","FQ3 2015","Currency=INR","Period=FQ","BEST_FPERIOD_OVERRIDE=FQ","FILING_STATUS=OR","EQY_CONSOLIDATED=Y","SCALING_FORMAT=MLN","Sort=A","Dates=H","DateFormat=P","Fill=—","Direction=H","UseDPDF=Y")</f>
        <v>#NAME?</v>
      </c>
      <c r="CA486" s="3" t="e">
        <f ca="1">_xll.BDH($C$478,"BS_LT_BORROW","FQ3 2015","FQ3 2015","Currency=INR","Period=FQ","BEST_FPERIOD_OVERRIDE=FQ","FILING_STATUS=OR","EQY_CONSOLIDATED=Y","SCALING_FORMAT=MLN","Sort=A","Dates=H","DateFormat=P","Fill=—","Direction=H","UseDPDF=Y")</f>
        <v>#NAME?</v>
      </c>
      <c r="CB486" s="2" t="e">
        <f ca="1">_xll.BDH($C$478,"TOT_DEBT_TO_EBITDA","FQ3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486" s="2" t="e">
        <f ca="1">_xll.BDH($C$478,"NET_DEBT_TO_EBITDA","FQ3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486" s="2" t="e">
        <f ca="1">_xll.BDH($C$478,"TOTAL_DEBT_TO_EBIT","FQ3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486" s="2" t="e">
        <f ca="1">_xll.BDH($C$478,"NET_DEBT_TO_EBIT","FQ3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486" s="2" t="e">
        <f ca="1">_xll.BDH($C$478,"EBITDA_TO_INTEREST_EXPN","FQ3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486" s="2" t="e">
        <f ca="1">_xll.BDH($C$478,"COM_EQY_TO_TOT_ASSET","FQ3 2015","FQ3 2015","Currency=INR","Period=FQ","BEST_FPERIOD_OVERRIDE=FQ","FILING_STATUS=OR","EQY_CONSOLIDATED=Y","Sort=A","Dates=H","DateFormat=P","Fill=—","Direction=H","UseDPDF=Y")</f>
        <v>#NAME?</v>
      </c>
      <c r="CH486" s="2" t="e">
        <f ca="1">_xll.BDH($C$478,"LT_DEBT_TO_TOT_EQY","FQ3 2015","FQ3 2015","Currency=INR","Period=FQ","BEST_FPERIOD_OVERRIDE=FQ","FILING_STATUS=OR","EQY_CONSOLIDATED=Y","Sort=A","Dates=H","DateFormat=P","Fill=—","Direction=H","UseDPDF=Y")</f>
        <v>#NAME?</v>
      </c>
      <c r="CI486" s="2" t="e">
        <f ca="1">_xll.BDH($C$478,"LT_DEBT_TO_TOT_CAP","FQ3 2015","FQ3 2015","Currency=INR","Period=FQ","BEST_FPERIOD_OVERRIDE=FQ","FILING_STATUS=OR","EQY_CONSOLIDATED=Y","Sort=A","Dates=H","DateFormat=P","Fill=—","Direction=H","UseDPDF=Y")</f>
        <v>#NAME?</v>
      </c>
      <c r="CJ486" s="2" t="e">
        <f ca="1">_xll.BDH($C$478,"LT_DEBT_TO_TOT_ASSET","FQ3 2015","FQ3 2015","Currency=INR","Period=FQ","BEST_FPERIOD_OVERRIDE=FQ","FILING_STATUS=OR","EQY_CONSOLIDATED=Y","Sort=A","Dates=H","DateFormat=P","Fill=—","Direction=H","UseDPDF=Y")</f>
        <v>#NAME?</v>
      </c>
      <c r="CK486" s="2" t="e">
        <f ca="1">_xll.BDH($C$478,"TOT_DEBT_TO_TOT_EQY","FQ3 2015","FQ3 2015","Currency=INR","Period=FQ","BEST_FPERIOD_OVERRIDE=FQ","FILING_STATUS=OR","EQY_CONSOLIDATED=Y","Sort=A","Dates=H","DateFormat=P","Fill=—","Direction=H","UseDPDF=Y")</f>
        <v>#NAME?</v>
      </c>
      <c r="CL486" s="2" t="e">
        <f ca="1">_xll.BDH($C$478,"TOT_DEBT_TO_TOT_CAP","FQ3 2015","FQ3 2015","Currency=INR","Period=FQ","BEST_FPERIOD_OVERRIDE=FQ","FILING_STATUS=OR","EQY_CONSOLIDATED=Y","Sort=A","Dates=H","DateFormat=P","Fill=—","Direction=H","UseDPDF=Y")</f>
        <v>#NAME?</v>
      </c>
      <c r="CM486" s="2" t="e">
        <f ca="1">_xll.BDH($C$478,"TOT_DEBT_TO_TOT_ASSET","FQ3 2015","FQ3 2015","Currency=INR","Period=FQ","BEST_FPERIOD_OVERRIDE=FQ","FILING_STATUS=OR","EQY_CONSOLIDATED=Y","Sort=A","Dates=H","DateFormat=P","Fill=—","Direction=H","UseDPDF=Y")</f>
        <v>#NAME?</v>
      </c>
      <c r="CN486" s="2" t="e">
        <f ca="1">_xll.BDH($C$478,"NET_DEBT_TO_SHRHLDR_EQTY","FQ3 2015","FQ3 2015","Currency=INR","Period=FQ","BEST_FPERIOD_OVERRIDE=FQ","FILING_STATUS=OR","EQY_CONSOLIDATED=Y","Sort=A","Dates=H","DateFormat=P","Fill=—","Direction=H","UseDPDF=Y")</f>
        <v>#NAME?</v>
      </c>
      <c r="CO486" s="2" t="e">
        <f ca="1">_xll.BDH($C$478,"NET_DEBT_%_CAPITAL","FQ3 2015","FQ3 2015","Currency=INR","Period=FQ","BEST_FPERIOD_OVERRIDE=FQ","FILING_STATUS=OR","EQY_CONSOLIDATED=Y","Sort=A","Dates=H","DateFormat=P","Fill=—","Direction=H","UseDPDF=Y")</f>
        <v>#NAME?</v>
      </c>
      <c r="CP486" s="3" t="e">
        <f ca="1">_xll.BDH($C$478,"EBITDA","FQ3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486" s="3" t="e">
        <f ca="1">_xll.BDH($C$478,"EBITDA_AFTER_CAPEX","FQ3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486" s="3" t="e">
        <f ca="1">_xll.BDH($C$478,"IS_OPER_INC","FQ3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486" s="2" t="e">
        <f ca="1">_xll.BDH($C$478,"CASH_RATIO","FQ3 2015","FQ3 2015","Currency=INR","Period=FQ","BEST_FPERIOD_OVERRIDE=FQ","FILING_STATUS=OR","EQY_CONSOLIDATED=Y","Sort=A","Dates=H","DateFormat=P","Fill=—","Direction=H","UseDPDF=Y")</f>
        <v>#NAME?</v>
      </c>
      <c r="CT486" s="2" t="e">
        <f ca="1">_xll.BDH($C$478,"CUR_RATIO","FQ3 2015","FQ3 2015","Currency=INR","Period=FQ","BEST_FPERIOD_OVERRIDE=FQ","FILING_STATUS=OR","EQY_CONSOLIDATED=Y","Sort=A","Dates=H","DateFormat=P","Fill=—","Direction=H","UseDPDF=Y")</f>
        <v>#NAME?</v>
      </c>
      <c r="CU486" s="2" t="e">
        <f ca="1">_xll.BDH($C$478,"QUICK_RATIO","FQ3 2015","FQ3 2015","Currency=INR","Period=FQ","BEST_FPERIOD_OVERRIDE=FQ","FILING_STATUS=OR","EQY_CONSOLIDATED=Y","Sort=A","Dates=H","DateFormat=P","Fill=—","Direction=H","UseDPDF=Y")</f>
        <v>#NAME?</v>
      </c>
      <c r="CV486" s="2" t="e">
        <f ca="1">_xll.BDH($C$478,"ALTMAN_Z_SCORE","FQ3 2015","FQ3 2015","Currency=INR","Period=FQ","BEST_FPERIOD_OVERRIDE=FQ","FILING_STATUS=OR","EQY_CONSOLIDATED=Y","Sort=A","Dates=H","DateFormat=P","Fill=—","Direction=H","UseDPDF=Y")</f>
        <v>#NAME?</v>
      </c>
      <c r="CW486" s="4" t="e">
        <f ca="1">_xll.BDH($C$478,"ACCT_RCV_TURN","FQ3 2015","FQ3 2015","Currency=INR","Period=FQ","BEST_FPERIOD_OVERRIDE=FQ","FILING_STATUS=OR","EQY_CONSOLIDATED=Y","FA_ADJUSTED=GAAP","Sort=A","Dates=H","DateFormat=P","Fill=—","Direction=H","UseDPDF=Y")</f>
        <v>#NAME?</v>
      </c>
      <c r="CX486" s="2" t="e">
        <f ca="1">_xll.BDH($C$478,"ACCT_RCV_DAYS","FQ3 2015","FQ3 2015","Currency=INR","Period=FQ","BEST_FPERIOD_OVERRIDE=FQ","FILING_STATUS=OR","EQY_CONSOLIDATED=Y","FA_ADJUSTED=GAAP","Sort=A","Dates=H","DateFormat=P","Fill=—","Direction=H","UseDPDF=Y")</f>
        <v>#NAME?</v>
      </c>
      <c r="CY486" s="4" t="e">
        <f ca="1">_xll.BDH($C$478,"INVENT_TURN","FQ3 2015","FQ3 2015","Currency=INR","Period=FQ","BEST_FPERIOD_OVERRIDE=FQ","FILING_STATUS=OR","EQY_CONSOLIDATED=Y","FA_ADJUSTED=GAAP","Sort=A","Dates=H","DateFormat=P","Fill=—","Direction=H","UseDPDF=Y")</f>
        <v>#NAME?</v>
      </c>
      <c r="CZ486" s="2" t="e">
        <f ca="1">_xll.BDH($C$478,"INVENT_DAYS","FQ3 2015","FQ3 2015","Currency=INR","Period=FQ","BEST_FPERIOD_OVERRIDE=FQ","FILING_STATUS=OR","EQY_CONSOLIDATED=Y","FA_ADJUSTED=GAAP","Sort=A","Dates=H","DateFormat=P","Fill=—","Direction=H","UseDPDF=Y")</f>
        <v>#NAME?</v>
      </c>
      <c r="DA486" s="4" t="e">
        <f ca="1">_xll.BDH($C$478,"ACCOUNTS_PAYABLE_TURNOVER","FQ3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486" s="2" t="e">
        <f ca="1">_xll.BDH($C$478,"ACCOUNTS_PAYABLE_TURNOVER_DAYS","FQ3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486" s="4" t="e">
        <f ca="1">_xll.BDH($C$478,"CASH_CONVERSION_CYCLE","FQ3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486" s="4" t="e">
        <f ca="1">_xll.BDH($C$478,"INV_TO_CASH_DAYS","FQ3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486" s="5" t="e">
        <f ca="1">_xll.BDH($C$478,"BS_INVENTORIES","FQ3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486" s="3" t="e">
        <f ca="1">_xll.BDH($C$478,"INVTRY_RAW_MATERIALS","FQ3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486" s="3" t="e">
        <f ca="1">_xll.BDH($C$478,"INVTRY_IN_PROGRESS","FQ3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486" s="3" t="e">
        <f ca="1">_xll.BDH($C$478,"INVTRY_FINISHED_GOODS","FQ3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486" s="3" t="e">
        <f ca="1">_xll.BDH($C$478,"BS_OTHER_INV","FQ3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487" spans="1:113" x14ac:dyDescent="0.3">
      <c r="A487" s="6"/>
      <c r="B487" s="6"/>
      <c r="C487" s="6"/>
      <c r="D487" s="6"/>
      <c r="E487" t="s">
        <v>81</v>
      </c>
      <c r="F487" t="e">
        <f ca="1">_xll.BDH($C$478,"RETURN_COM_EQY","FQ4 2015","FQ4 2015","Currency=INR","Period=FQ","BEST_FPERIOD_OVERRIDE=FQ","FILING_STATUS=OR","EQY_CONSOLIDATED=Y","FA_ADJUSTED=GAAP","Sort=A","Dates=H","DateFormat=P","Fill=—","Direction=H","UseDPDF=Y")</f>
        <v>#NAME?</v>
      </c>
      <c r="G487" t="e">
        <f ca="1">_xll.BDH($C$478,"RETURN_ON_ASSET","FQ4 2015","FQ4 2015","Currency=INR","Period=FQ","BEST_FPERIOD_OVERRIDE=FQ","FILING_STATUS=OR","EQY_CONSOLIDATED=Y","FA_ADJUSTED=GAAP","Sort=A","Dates=H","DateFormat=P","Fill=—","Direction=H","UseDPDF=Y")</f>
        <v>#NAME?</v>
      </c>
      <c r="H487" t="e">
        <f ca="1">_xll.BDH($C$478,"RETURN_ON_CAP","FQ4 2015","FQ4 2015","Currency=INR","Period=FQ","BEST_FPERIOD_OVERRIDE=FQ","FILING_STATUS=OR","EQY_CONSOLIDATED=Y","FA_ADJUSTED=GAAP","Sort=A","Dates=H","DateFormat=P","Fill=—","Direction=H","UseDPDF=Y")</f>
        <v>#NAME?</v>
      </c>
      <c r="I487" t="e">
        <f ca="1">_xll.BDH($C$478,"RETURN_ON_INV_CAPITAL","FQ4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487" t="e">
        <f ca="1">_xll.BDH($C$478,"EBITDA_TO_REVENUE","FQ4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487" t="e">
        <f ca="1">_xll.BDH($C$478,"OPER_MARGIN","FQ4 2015","FQ4 2015","Currency=INR","Period=FQ","BEST_FPERIOD_OVERRIDE=FQ","FILING_STATUS=OR","EQY_CONSOLIDATED=Y","FA_ADJUSTED=GAAP","Sort=A","Dates=H","DateFormat=P","Fill=—","Direction=H","UseDPDF=Y")</f>
        <v>#NAME?</v>
      </c>
      <c r="L487" t="e">
        <f ca="1">_xll.BDH($C$478,"INCREMENTAL_OPERATING_MARGIN","FQ4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487" t="e">
        <f ca="1">_xll.BDH($C$478,"PRETAX_INC_TO_NET_SALES","FQ4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487" t="e">
        <f ca="1">_xll.BDH($C$478,"INC_BEF_XO_ITEMS_TO_NET_SALES","FQ4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487" t="e">
        <f ca="1">_xll.BDH($C$478,"PROF_MARGIN","FQ4 2015","FQ4 2015","Currency=INR","Period=FQ","BEST_FPERIOD_OVERRIDE=FQ","FILING_STATUS=OR","EQY_CONSOLIDATED=Y","FA_ADJUSTED=GAAP","Sort=A","Dates=H","DateFormat=P","Fill=—","Direction=H","UseDPDF=Y")</f>
        <v>#NAME?</v>
      </c>
      <c r="P487" t="e">
        <f ca="1">_xll.BDH($C$478,"NET_INCOME_TO_COMMON_MARGIN","FQ4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487" t="e">
        <f ca="1">_xll.BDH($C$478,"EFF_TAX_RATE","FQ4 2015","FQ4 2015","Currency=INR","Period=FQ","BEST_FPERIOD_OVERRIDE=FQ","FILING_STATUS=OR","EQY_CONSOLIDATED=Y","FA_ADJUSTED=GAAP","Sort=A","Dates=H","DateFormat=P","Fill=—","Direction=H","UseDPDF=Y")</f>
        <v>#NAME?</v>
      </c>
      <c r="R487" t="e">
        <f ca="1">_xll.BDH($C$478,"DVD_PAYOUT_RATIO","FQ4 2015","FQ4 2015","Currency=INR","Period=FQ","BEST_FPERIOD_OVERRIDE=FQ","FILING_STATUS=OR","EQY_CONSOLIDATED=Y","FA_ADJUSTED=GAAP","Sort=A","Dates=H","DateFormat=P","Fill=—","Direction=H","UseDPDF=Y")</f>
        <v>#NAME?</v>
      </c>
      <c r="S487" t="e">
        <f ca="1">_xll.BDH($C$478,"SUSTAIN_GROWTH_RT","FQ4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487" s="2" t="e">
        <f ca="1">_xll.BDH($C$478,"SALES_GROWTH","FQ4 2015","FQ4 2015","Currency=INR","Period=FQ","BEST_FPERIOD_OVERRIDE=FQ","FILING_STATUS=OR","EQY_CONSOLIDATED=Y","FA_ADJUSTED=GAAP","Sort=A","Dates=H","DateFormat=P","Fill=—","Direction=H","UseDPDF=Y")</f>
        <v>#NAME?</v>
      </c>
      <c r="U487" s="2" t="e">
        <f ca="1">_xll.BDH($C$478,"EBITDA_GROWTH","FQ4 2015","FQ4 2015","Currency=INR","Period=FQ","BEST_FPERIOD_OVERRIDE=FQ","FILING_STATUS=OR","EQY_CONSOLIDATED=Y","FA_ADJUSTED=GAAP","Sort=A","Dates=H","DateFormat=P","Fill=—","Direction=H","UseDPDF=Y")</f>
        <v>#NAME?</v>
      </c>
      <c r="V487" s="2" t="e">
        <f ca="1">_xll.BDH($C$478,"OPER_INC_GROWTH","FQ4 2015","FQ4 2015","Currency=INR","Period=FQ","BEST_FPERIOD_OVERRIDE=FQ","FILING_STATUS=OR","EQY_CONSOLIDATED=Y","FA_ADJUSTED=GAAP","Sort=A","Dates=H","DateFormat=P","Fill=—","Direction=H","UseDPDF=Y")</f>
        <v>#NAME?</v>
      </c>
      <c r="W487" s="2" t="e">
        <f ca="1">_xll.BDH($C$478,"EARN_FOR_COM_GROWTH","FQ4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487" s="2" t="e">
        <f ca="1">_xll.BDH($C$478,"DILUTED_EPS_AFT_XO_ITEMS_GROWTH","FQ4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487" s="2" t="e">
        <f ca="1">_xll.BDH($C$478,"DIVIDEND_PER_SHARE_1_YEAR_GROWTH","FQ4 2015","FQ4 2015","Currency=INR","Period=FQ","BEST_FPERIOD_OVERRIDE=FQ","FILING_STATUS=OR","EQY_CONSOLIDATED=Y","Sort=A","Dates=H","DateFormat=P","Fill=—","Direction=H","UseDPDF=Y")</f>
        <v>#NAME?</v>
      </c>
      <c r="Z487" s="2" t="e">
        <f ca="1">_xll.BDH($C$478,"ACCOUNTS_RECEIVABLE_GROWTH","FQ4 2015","FQ4 2015","Currency=INR","Period=FQ","BEST_FPERIOD_OVERRIDE=FQ","FILING_STATUS=OR","EQY_CONSOLIDATED=Y","Sort=A","Dates=H","DateFormat=P","Fill=—","Direction=H","UseDPDF=Y")</f>
        <v>#NAME?</v>
      </c>
      <c r="AA487" s="2" t="e">
        <f ca="1">_xll.BDH($C$478,"INVENTORY_GROWTH","FQ4 2015","FQ4 2015","Currency=INR","Period=FQ","BEST_FPERIOD_OVERRIDE=FQ","FILING_STATUS=OR","EQY_CONSOLIDATED=Y","Sort=A","Dates=H","DateFormat=P","Fill=—","Direction=H","UseDPDF=Y")</f>
        <v>#NAME?</v>
      </c>
      <c r="AB487" s="2" t="e">
        <f ca="1">_xll.BDH($C$478,"NET_FIXED_ASSETS_1_YEAR_GROWTH","FQ4 2015","FQ4 2015","Currency=INR","Period=FQ","BEST_FPERIOD_OVERRIDE=FQ","FILING_STATUS=OR","EQY_CONSOLIDATED=Y","Sort=A","Dates=H","DateFormat=P","Fill=—","Direction=H","UseDPDF=Y")</f>
        <v>#NAME?</v>
      </c>
      <c r="AC487" s="2" t="e">
        <f ca="1">_xll.BDH($C$478,"ASSET_GROWTH","FQ4 2015","FQ4 2015","Currency=INR","Period=FQ","BEST_FPERIOD_OVERRIDE=FQ","FILING_STATUS=OR","EQY_CONSOLIDATED=Y","Sort=A","Dates=H","DateFormat=P","Fill=—","Direction=H","UseDPDF=Y")</f>
        <v>#NAME?</v>
      </c>
      <c r="AD487" s="2" t="e">
        <f ca="1">_xll.BDH($C$478,"MODIFIED_WORK_CAP_GROWTH","FQ4 2015","FQ4 2015","Currency=INR","Period=FQ","BEST_FPERIOD_OVERRIDE=FQ","FILING_STATUS=OR","EQY_CONSOLIDATED=Y","Sort=A","Dates=H","DateFormat=P","Fill=—","Direction=H","UseDPDF=Y")</f>
        <v>#NAME?</v>
      </c>
      <c r="AE487" s="2" t="e">
        <f ca="1">_xll.BDH($C$478,"WORK_CAP_GROWTH","FQ4 2015","FQ4 2015","Currency=INR","Period=FQ","BEST_FPERIOD_OVERRIDE=FQ","FILING_STATUS=OR","EQY_CONSOLIDATED=Y","Sort=A","Dates=H","DateFormat=P","Fill=—","Direction=H","UseDPDF=Y")</f>
        <v>#NAME?</v>
      </c>
      <c r="AF487" s="2" t="e">
        <f ca="1">_xll.BDH($C$478,"ACCOUNTS_PAYABLE_GROWTH_1YR","FQ4 2015","FQ4 2015","Currency=INR","Period=FQ","BEST_FPERIOD_OVERRIDE=FQ","FILING_STATUS=OR","EQY_CONSOLIDATED=Y","Sort=A","Dates=H","DateFormat=P","Fill=—","Direction=H","UseDPDF=Y")</f>
        <v>#NAME?</v>
      </c>
      <c r="AG487" s="2" t="e">
        <f ca="1">_xll.BDH($C$478,"SHORT_TERM_DEBT_1_YEAR_GROWTH","FQ4 2015","FQ4 2015","Currency=INR","Period=FQ","BEST_FPERIOD_OVERRIDE=FQ","FILING_STATUS=OR","EQY_CONSOLIDATED=Y","Sort=A","Dates=H","DateFormat=P","Fill=—","Direction=H","UseDPDF=Y")</f>
        <v>#NAME?</v>
      </c>
      <c r="AH487" s="2" t="e">
        <f ca="1">_xll.BDH($C$478,"TOTAL_DEBT_1_YEAR_GROWTH","FQ4 2015","FQ4 2015","Currency=INR","Period=FQ","BEST_FPERIOD_OVERRIDE=FQ","FILING_STATUS=OR","EQY_CONSOLIDATED=Y","Sort=A","Dates=H","DateFormat=P","Fill=—","Direction=H","UseDPDF=Y")</f>
        <v>#NAME?</v>
      </c>
      <c r="AI487" s="2" t="e">
        <f ca="1">_xll.BDH($C$478,"TOTAL_EQUITY_1_YEAR_GROWTH","FQ4 2015","FQ4 2015","Currency=INR","Period=FQ","BEST_FPERIOD_OVERRIDE=FQ","FILING_STATUS=OR","EQY_CONSOLIDATED=Y","Sort=A","Dates=H","DateFormat=P","Fill=—","Direction=H","UseDPDF=Y")</f>
        <v>#NAME?</v>
      </c>
      <c r="AJ487" s="2" t="e">
        <f ca="1">_xll.BDH($C$478,"GROWTH_IN_CAP","FQ4 2015","FQ4 2015","Currency=INR","Period=FQ","BEST_FPERIOD_OVERRIDE=FQ","FILING_STATUS=OR","EQY_CONSOLIDATED=Y","Sort=A","Dates=H","DateFormat=P","Fill=—","Direction=H","UseDPDF=Y")</f>
        <v>#NAME?</v>
      </c>
      <c r="AK487" s="2" t="e">
        <f ca="1">_xll.BDH($C$478,"BVPS_GROWTH","FQ4 2015","FQ4 2015","Currency=INR","Period=FQ","BEST_FPERIOD_OVERRIDE=FQ","FILING_STATUS=OR","EQY_CONSOLIDATED=Y","Sort=A","Dates=H","DateFormat=P","Fill=—","Direction=H","UseDPDF=Y")</f>
        <v>#NAME?</v>
      </c>
      <c r="AL487" s="2" t="e">
        <f ca="1">_xll.BDH($C$478,"CASH_FLOW_GROWTH","FQ4 2015","FQ4 2015","Currency=INR","Period=FQ","BEST_FPERIOD_OVERRIDE=FQ","FILING_STATUS=OR","EQY_CONSOLIDATED=Y","Sort=A","Dates=H","DateFormat=P","Fill=—","Direction=H","UseDPDF=Y")</f>
        <v>#NAME?</v>
      </c>
      <c r="AM487" s="2" t="e">
        <f ca="1">_xll.BDH($C$478,"GEO_GROW_NET_SALES","FQ4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487" s="2" t="e">
        <f ca="1">_xll.BDH($C$478,"GEO_GROW_EBITDA","FQ4 2015","FQ4 2015","Currency=INR","Period=FQ","BEST_FPERIOD_OVERRIDE=FQ","FILING_STATUS=OR","EQY_CONSOLIDATED=Y","FA_ADJUSTED=GAAP","Sort=A","Dates=H","DateFormat=P","Fill=—","Direction=H","UseDPDF=Y")</f>
        <v>#NAME?</v>
      </c>
      <c r="AO487" s="2" t="e">
        <f ca="1">_xll.BDH($C$478,"GEO_GROW_OPER_INC","FQ4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487" s="2" t="e">
        <f ca="1">_xll.BDH($C$478,"NET_INCOME_TO_COMMON_5_YR_GROWTH","FQ4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487" s="2" t="e">
        <f ca="1">_xll.BDH($C$478,"5Y_GEO_GROWTH_DILUTED_EPS","FQ4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487" s="2" t="e">
        <f ca="1">_xll.BDH($C$478,"GEO_GROW_DVD_PER_SH","FQ4 2015","FQ4 2015","Currency=INR","Period=FQ","BEST_FPERIOD_OVERRIDE=FQ","FILING_STATUS=OR","EQY_CONSOLIDATED=Y","Sort=A","Dates=H","DateFormat=P","Fill=—","Direction=H","UseDPDF=Y")</f>
        <v>#NAME?</v>
      </c>
      <c r="AS487" s="2" t="e">
        <f ca="1">_xll.BDH($C$478,"ACCOUNTS_RECEIVABLE_5_YR_GROWTH","FQ4 2015","FQ4 2015","Currency=INR","Period=FQ","BEST_FPERIOD_OVERRIDE=FQ","FILING_STATUS=OR","EQY_CONSOLIDATED=Y","Sort=A","Dates=H","DateFormat=P","Fill=—","Direction=H","UseDPDF=Y")</f>
        <v>#NAME?</v>
      </c>
      <c r="AT487" s="2" t="e">
        <f ca="1">_xll.BDH($C$478,"INVENTORY_5_YEAR_GROWTH","FQ4 2015","FQ4 2015","Currency=INR","Period=FQ","BEST_FPERIOD_OVERRIDE=FQ","FILING_STATUS=OR","EQY_CONSOLIDATED=Y","Sort=A","Dates=H","DateFormat=P","Fill=—","Direction=H","UseDPDF=Y")</f>
        <v>#NAME?</v>
      </c>
      <c r="AU487" s="2" t="e">
        <f ca="1">_xll.BDH($C$478,"NET_FIXED_ASSETS_5_YEAR_GROWTH","FQ4 2015","FQ4 2015","Currency=INR","Period=FQ","BEST_FPERIOD_OVERRIDE=FQ","FILING_STATUS=OR","EQY_CONSOLIDATED=Y","Sort=A","Dates=H","DateFormat=P","Fill=—","Direction=H","UseDPDF=Y")</f>
        <v>#NAME?</v>
      </c>
      <c r="AV487" s="2" t="e">
        <f ca="1">_xll.BDH($C$478,"GEO_GROW_TOT_ASSET","FQ4 2015","FQ4 2015","Currency=INR","Period=FQ","BEST_FPERIOD_OVERRIDE=FQ","FILING_STATUS=OR","EQY_CONSOLIDATED=Y","Sort=A","Dates=H","DateFormat=P","Fill=—","Direction=H","UseDPDF=Y")</f>
        <v>#NAME?</v>
      </c>
      <c r="AW487" s="2" t="e">
        <f ca="1">_xll.BDH($C$478,"MODIFIED_WORKING_CPTL_5YR_GRWTH","FQ4 2015","FQ4 2015","Currency=INR","Period=FQ","BEST_FPERIOD_OVERRIDE=FQ","FILING_STATUS=OR","EQY_CONSOLIDATED=Y","Sort=A","Dates=H","DateFormat=P","Fill=—","Direction=H","UseDPDF=Y")</f>
        <v>#NAME?</v>
      </c>
      <c r="AX487" s="2" t="e">
        <f ca="1">_xll.BDH($C$478,"WORKING_CAPITAL_5_YEAR_GROWTH","FQ4 2015","FQ4 2015","Currency=INR","Period=FQ","BEST_FPERIOD_OVERRIDE=FQ","FILING_STATUS=OR","EQY_CONSOLIDATED=Y","Sort=A","Dates=H","DateFormat=P","Fill=—","Direction=H","UseDPDF=Y")</f>
        <v>#NAME?</v>
      </c>
      <c r="AY487" s="2" t="e">
        <f ca="1">_xll.BDH($C$478,"ACCOUNTS_PAYABLE_5_YEAR_GROWTH","FQ4 2015","FQ4 2015","Currency=INR","Period=FQ","BEST_FPERIOD_OVERRIDE=FQ","FILING_STATUS=OR","EQY_CONSOLIDATED=Y","Sort=A","Dates=H","DateFormat=P","Fill=—","Direction=H","UseDPDF=Y")</f>
        <v>#NAME?</v>
      </c>
      <c r="AZ487" s="2" t="e">
        <f ca="1">_xll.BDH($C$478,"SHORT_TERM_DEBT_5_YEAR_GROWTH","FQ4 2015","FQ4 2015","Currency=INR","Period=FQ","BEST_FPERIOD_OVERRIDE=FQ","FILING_STATUS=OR","EQY_CONSOLIDATED=Y","Sort=A","Dates=H","DateFormat=P","Fill=—","Direction=H","UseDPDF=Y")</f>
        <v>#NAME?</v>
      </c>
      <c r="BA487" s="2" t="e">
        <f ca="1">_xll.BDH($C$478,"TOTAL_DEBT_5_YEAR_GROWTH","FQ4 2015","FQ4 2015","Currency=INR","Period=FQ","BEST_FPERIOD_OVERRIDE=FQ","FILING_STATUS=OR","EQY_CONSOLIDATED=Y","Sort=A","Dates=H","DateFormat=P","Fill=—","Direction=H","UseDPDF=Y")</f>
        <v>#NAME?</v>
      </c>
      <c r="BB487" s="2" t="e">
        <f ca="1">_xll.BDH($C$478,"GEO_GROW_TOT_SHRHLDR_EQY","FQ4 2015","FQ4 2015","Currency=INR","Period=FQ","BEST_FPERIOD_OVERRIDE=FQ","FILING_STATUS=OR","EQY_CONSOLIDATED=Y","Sort=A","Dates=H","DateFormat=P","Fill=—","Direction=H","UseDPDF=Y")</f>
        <v>#NAME?</v>
      </c>
      <c r="BC487" s="2" t="e">
        <f ca="1">_xll.BDH($C$478,"TOTAL_CAPITAL_5_YEAR_GROWTH","FQ4 2015","FQ4 2015","Currency=INR","Period=FQ","BEST_FPERIOD_OVERRIDE=FQ","FILING_STATUS=OR","EQY_CONSOLIDATED=Y","Sort=A","Dates=H","DateFormat=P","Fill=—","Direction=H","UseDPDF=Y")</f>
        <v>#NAME?</v>
      </c>
      <c r="BD487" s="2" t="e">
        <f ca="1">_xll.BDH($C$478,"GEO_GROW_BOOK_VAL","FQ4 2015","FQ4 2015","Currency=INR","Period=FQ","BEST_FPERIOD_OVERRIDE=FQ","FILING_STATUS=OR","EQY_CONSOLIDATED=Y","Sort=A","Dates=H","DateFormat=P","Fill=—","Direction=H","UseDPDF=Y")</f>
        <v>#NAME?</v>
      </c>
      <c r="BE487" s="2" t="e">
        <f ca="1">_xll.BDH($C$478,"GEO_GROW_CASH_OPER_ACT","FQ4 2015","FQ4 2015","Currency=INR","Period=FQ","BEST_FPERIOD_OVERRIDE=FQ","FILING_STATUS=OR","EQY_CONSOLIDATED=Y","Sort=A","Dates=H","DateFormat=P","Fill=—","Direction=H","UseDPDF=Y")</f>
        <v>#NAME?</v>
      </c>
      <c r="BF487" s="2" t="e">
        <f ca="1">_xll.BDH($C$478,"REVENUE_SEQUENTIAL_GROWTH","FQ4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487" s="2" t="e">
        <f ca="1">_xll.BDH($C$478,"EBITDA_SEQUENTIAL_GROWTH","FQ4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487" s="2" t="e">
        <f ca="1">_xll.BDH($C$478,"OPERATING_INCOME_SEQ_GROWTH","FQ4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487" s="2" t="e">
        <f ca="1">_xll.BDH($C$478,"NET_INCOME_TO_COMMON_SEQ_GROWTH","FQ4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487" s="2" t="e">
        <f ca="1">_xll.BDH($C$478,"EPS_DILUTED_SEQUENTIAL_GROWTH","FQ4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487" s="2" t="e">
        <f ca="1">_xll.BDH($C$478,"DPS_SEQUENTIAL_GROWTH","FQ4 2015","FQ4 2015","Currency=INR","Period=FQ","BEST_FPERIOD_OVERRIDE=FQ","FILING_STATUS=OR","EQY_CONSOLIDATED=Y","Sort=A","Dates=H","DateFormat=P","Fill=—","Direction=H","UseDPDF=Y")</f>
        <v>#NAME?</v>
      </c>
      <c r="BL487" s="2" t="e">
        <f ca="1">_xll.BDH($C$478,"ACCOUNTS_RECEIVABLE_SEQ_GROWTH","FQ4 2015","FQ4 2015","Currency=INR","Period=FQ","BEST_FPERIOD_OVERRIDE=FQ","FILING_STATUS=OR","EQY_CONSOLIDATED=Y","Sort=A","Dates=H","DateFormat=P","Fill=—","Direction=H","UseDPDF=Y")</f>
        <v>#NAME?</v>
      </c>
      <c r="BM487" s="2" t="e">
        <f ca="1">_xll.BDH($C$478,"INVENTORY_SEQUENTIAL_GROWTH","FQ4 2015","FQ4 2015","Currency=INR","Period=FQ","BEST_FPERIOD_OVERRIDE=FQ","FILING_STATUS=OR","EQY_CONSOLIDATED=Y","Sort=A","Dates=H","DateFormat=P","Fill=—","Direction=H","UseDPDF=Y")</f>
        <v>#NAME?</v>
      </c>
      <c r="BN487" s="2" t="e">
        <f ca="1">_xll.BDH($C$478,"FIXED_ASSETS_SEQUENTIAL_GROWTH","FQ4 2015","FQ4 2015","Currency=INR","Period=FQ","BEST_FPERIOD_OVERRIDE=FQ","FILING_STATUS=OR","EQY_CONSOLIDATED=Y","Sort=A","Dates=H","DateFormat=P","Fill=—","Direction=H","UseDPDF=Y")</f>
        <v>#NAME?</v>
      </c>
      <c r="BO487" s="2" t="e">
        <f ca="1">_xll.BDH($C$478,"TOTAL_ASSETS_SEQUENTIAL_GROWTH","FQ4 2015","FQ4 2015","Currency=INR","Period=FQ","BEST_FPERIOD_OVERRIDE=FQ","FILING_STATUS=OR","EQY_CONSOLIDATED=Y","Sort=A","Dates=H","DateFormat=P","Fill=—","Direction=H","UseDPDF=Y")</f>
        <v>#NAME?</v>
      </c>
      <c r="BP487" s="2" t="e">
        <f ca="1">_xll.BDH($C$478,"MODIFIED_WORKING_CPTL_SEQ_GRWTH","FQ4 2015","FQ4 2015","Currency=INR","Period=FQ","BEST_FPERIOD_OVERRIDE=FQ","FILING_STATUS=OR","EQY_CONSOLIDATED=Y","Sort=A","Dates=H","DateFormat=P","Fill=—","Direction=H","UseDPDF=Y")</f>
        <v>#NAME?</v>
      </c>
      <c r="BQ487" s="2" t="e">
        <f ca="1">_xll.BDH($C$478,"WORKING_CAPITAL_SEQ_GROWTH","FQ4 2015","FQ4 2015","Currency=INR","Period=FQ","BEST_FPERIOD_OVERRIDE=FQ","FILING_STATUS=OR","EQY_CONSOLIDATED=Y","Sort=A","Dates=H","DateFormat=P","Fill=—","Direction=H","UseDPDF=Y")</f>
        <v>#NAME?</v>
      </c>
      <c r="BR487" s="2" t="e">
        <f ca="1">_xll.BDH($C$478,"ACCOUNTS_PAYABLE_SEQ_GROWTH","FQ4 2015","FQ4 2015","Currency=INR","Period=FQ","BEST_FPERIOD_OVERRIDE=FQ","FILING_STATUS=OR","EQY_CONSOLIDATED=Y","Sort=A","Dates=H","DateFormat=P","Fill=—","Direction=H","UseDPDF=Y")</f>
        <v>#NAME?</v>
      </c>
      <c r="BS487" s="2" t="e">
        <f ca="1">_xll.BDH($C$478,"ST_DEBT_SEQUENTIAL_GROWTH","FQ4 2015","FQ4 2015","Currency=INR","Period=FQ","BEST_FPERIOD_OVERRIDE=FQ","FILING_STATUS=OR","EQY_CONSOLIDATED=Y","Sort=A","Dates=H","DateFormat=P","Fill=—","Direction=H","UseDPDF=Y")</f>
        <v>#NAME?</v>
      </c>
      <c r="BT487" s="2" t="e">
        <f ca="1">_xll.BDH($C$478,"TOTAL_DEBT_SEQUENTIAL_GROWTH","FQ4 2015","FQ4 2015","Currency=INR","Period=FQ","BEST_FPERIOD_OVERRIDE=FQ","FILING_STATUS=OR","EQY_CONSOLIDATED=Y","Sort=A","Dates=H","DateFormat=P","Fill=—","Direction=H","UseDPDF=Y")</f>
        <v>#NAME?</v>
      </c>
      <c r="BU487" s="2" t="e">
        <f ca="1">_xll.BDH($C$478,"TOTAL_EQUITY_SEQUENTIAL_GROWTH","FQ4 2015","FQ4 2015","Currency=INR","Period=FQ","BEST_FPERIOD_OVERRIDE=FQ","FILING_STATUS=OR","EQY_CONSOLIDATED=Y","Sort=A","Dates=H","DateFormat=P","Fill=—","Direction=H","UseDPDF=Y")</f>
        <v>#NAME?</v>
      </c>
      <c r="BV487" s="2" t="e">
        <f ca="1">_xll.BDH($C$478,"TOTAL_CAPITAL_SEQUENTIAL_GROWTH","FQ4 2015","FQ4 2015","Currency=INR","Period=FQ","BEST_FPERIOD_OVERRIDE=FQ","FILING_STATUS=OR","EQY_CONSOLIDATED=Y","Sort=A","Dates=H","DateFormat=P","Fill=—","Direction=H","UseDPDF=Y")</f>
        <v>#NAME?</v>
      </c>
      <c r="BW487" s="2" t="e">
        <f ca="1">_xll.BDH($C$478,"BPS_SEQUENTIAL_GROWTH","FQ4 2015","FQ4 2015","Currency=INR","Period=FQ","BEST_FPERIOD_OVERRIDE=FQ","FILING_STATUS=OR","EQY_CONSOLIDATED=Y","Sort=A","Dates=H","DateFormat=P","Fill=—","Direction=H","UseDPDF=Y")</f>
        <v>#NAME?</v>
      </c>
      <c r="BX487" s="2" t="e">
        <f ca="1">_xll.BDH($C$478,"CFO_SEQUENTIAL_GROWTH","FQ4 2015","FQ4 2015","Currency=INR","Period=FQ","BEST_FPERIOD_OVERRIDE=FQ","FILING_STATUS=OR","EQY_CONSOLIDATED=Y","Sort=A","Dates=H","DateFormat=P","Fill=—","Direction=H","UseDPDF=Y")</f>
        <v>#NAME?</v>
      </c>
      <c r="BY487" s="3" t="e">
        <f ca="1">_xll.BDH($C$478,"SHORT_AND_LONG_TERM_DEBT","FQ4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487" s="3" t="e">
        <f ca="1">_xll.BDH($C$478,"BS_ST_BORROW","FQ4 2015","FQ4 2015","Currency=INR","Period=FQ","BEST_FPERIOD_OVERRIDE=FQ","FILING_STATUS=OR","EQY_CONSOLIDATED=Y","SCALING_FORMAT=MLN","Sort=A","Dates=H","DateFormat=P","Fill=—","Direction=H","UseDPDF=Y")</f>
        <v>#NAME?</v>
      </c>
      <c r="CA487" s="3" t="e">
        <f ca="1">_xll.BDH($C$478,"BS_LT_BORROW","FQ4 2015","FQ4 2015","Currency=INR","Period=FQ","BEST_FPERIOD_OVERRIDE=FQ","FILING_STATUS=OR","EQY_CONSOLIDATED=Y","SCALING_FORMAT=MLN","Sort=A","Dates=H","DateFormat=P","Fill=—","Direction=H","UseDPDF=Y")</f>
        <v>#NAME?</v>
      </c>
      <c r="CB487" s="2" t="e">
        <f ca="1">_xll.BDH($C$478,"TOT_DEBT_TO_EBITDA","FQ4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487" s="2" t="e">
        <f ca="1">_xll.BDH($C$478,"NET_DEBT_TO_EBITDA","FQ4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487" s="2" t="e">
        <f ca="1">_xll.BDH($C$478,"TOTAL_DEBT_TO_EBIT","FQ4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487" s="2" t="e">
        <f ca="1">_xll.BDH($C$478,"NET_DEBT_TO_EBIT","FQ4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487" s="2" t="e">
        <f ca="1">_xll.BDH($C$478,"EBITDA_TO_INTEREST_EXPN","FQ4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487" s="2" t="e">
        <f ca="1">_xll.BDH($C$478,"COM_EQY_TO_TOT_ASSET","FQ4 2015","FQ4 2015","Currency=INR","Period=FQ","BEST_FPERIOD_OVERRIDE=FQ","FILING_STATUS=OR","EQY_CONSOLIDATED=Y","Sort=A","Dates=H","DateFormat=P","Fill=—","Direction=H","UseDPDF=Y")</f>
        <v>#NAME?</v>
      </c>
      <c r="CH487" s="2" t="e">
        <f ca="1">_xll.BDH($C$478,"LT_DEBT_TO_TOT_EQY","FQ4 2015","FQ4 2015","Currency=INR","Period=FQ","BEST_FPERIOD_OVERRIDE=FQ","FILING_STATUS=OR","EQY_CONSOLIDATED=Y","Sort=A","Dates=H","DateFormat=P","Fill=—","Direction=H","UseDPDF=Y")</f>
        <v>#NAME?</v>
      </c>
      <c r="CI487" s="2" t="e">
        <f ca="1">_xll.BDH($C$478,"LT_DEBT_TO_TOT_CAP","FQ4 2015","FQ4 2015","Currency=INR","Period=FQ","BEST_FPERIOD_OVERRIDE=FQ","FILING_STATUS=OR","EQY_CONSOLIDATED=Y","Sort=A","Dates=H","DateFormat=P","Fill=—","Direction=H","UseDPDF=Y")</f>
        <v>#NAME?</v>
      </c>
      <c r="CJ487" s="2" t="e">
        <f ca="1">_xll.BDH($C$478,"LT_DEBT_TO_TOT_ASSET","FQ4 2015","FQ4 2015","Currency=INR","Period=FQ","BEST_FPERIOD_OVERRIDE=FQ","FILING_STATUS=OR","EQY_CONSOLIDATED=Y","Sort=A","Dates=H","DateFormat=P","Fill=—","Direction=H","UseDPDF=Y")</f>
        <v>#NAME?</v>
      </c>
      <c r="CK487" s="2" t="e">
        <f ca="1">_xll.BDH($C$478,"TOT_DEBT_TO_TOT_EQY","FQ4 2015","FQ4 2015","Currency=INR","Period=FQ","BEST_FPERIOD_OVERRIDE=FQ","FILING_STATUS=OR","EQY_CONSOLIDATED=Y","Sort=A","Dates=H","DateFormat=P","Fill=—","Direction=H","UseDPDF=Y")</f>
        <v>#NAME?</v>
      </c>
      <c r="CL487" s="2" t="e">
        <f ca="1">_xll.BDH($C$478,"TOT_DEBT_TO_TOT_CAP","FQ4 2015","FQ4 2015","Currency=INR","Period=FQ","BEST_FPERIOD_OVERRIDE=FQ","FILING_STATUS=OR","EQY_CONSOLIDATED=Y","Sort=A","Dates=H","DateFormat=P","Fill=—","Direction=H","UseDPDF=Y")</f>
        <v>#NAME?</v>
      </c>
      <c r="CM487" s="2" t="e">
        <f ca="1">_xll.BDH($C$478,"TOT_DEBT_TO_TOT_ASSET","FQ4 2015","FQ4 2015","Currency=INR","Period=FQ","BEST_FPERIOD_OVERRIDE=FQ","FILING_STATUS=OR","EQY_CONSOLIDATED=Y","Sort=A","Dates=H","DateFormat=P","Fill=—","Direction=H","UseDPDF=Y")</f>
        <v>#NAME?</v>
      </c>
      <c r="CN487" s="2" t="e">
        <f ca="1">_xll.BDH($C$478,"NET_DEBT_TO_SHRHLDR_EQTY","FQ4 2015","FQ4 2015","Currency=INR","Period=FQ","BEST_FPERIOD_OVERRIDE=FQ","FILING_STATUS=OR","EQY_CONSOLIDATED=Y","Sort=A","Dates=H","DateFormat=P","Fill=—","Direction=H","UseDPDF=Y")</f>
        <v>#NAME?</v>
      </c>
      <c r="CO487" s="2" t="e">
        <f ca="1">_xll.BDH($C$478,"NET_DEBT_%_CAPITAL","FQ4 2015","FQ4 2015","Currency=INR","Period=FQ","BEST_FPERIOD_OVERRIDE=FQ","FILING_STATUS=OR","EQY_CONSOLIDATED=Y","Sort=A","Dates=H","DateFormat=P","Fill=—","Direction=H","UseDPDF=Y")</f>
        <v>#NAME?</v>
      </c>
      <c r="CP487" s="3" t="e">
        <f ca="1">_xll.BDH($C$478,"EBITDA","FQ4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487" s="3" t="e">
        <f ca="1">_xll.BDH($C$478,"EBITDA_AFTER_CAPEX","FQ4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487" s="3" t="e">
        <f ca="1">_xll.BDH($C$478,"IS_OPER_INC","FQ4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487" s="2" t="e">
        <f ca="1">_xll.BDH($C$478,"CASH_RATIO","FQ4 2015","FQ4 2015","Currency=INR","Period=FQ","BEST_FPERIOD_OVERRIDE=FQ","FILING_STATUS=OR","EQY_CONSOLIDATED=Y","Sort=A","Dates=H","DateFormat=P","Fill=—","Direction=H","UseDPDF=Y")</f>
        <v>#NAME?</v>
      </c>
      <c r="CT487" s="2" t="e">
        <f ca="1">_xll.BDH($C$478,"CUR_RATIO","FQ4 2015","FQ4 2015","Currency=INR","Period=FQ","BEST_FPERIOD_OVERRIDE=FQ","FILING_STATUS=OR","EQY_CONSOLIDATED=Y","Sort=A","Dates=H","DateFormat=P","Fill=—","Direction=H","UseDPDF=Y")</f>
        <v>#NAME?</v>
      </c>
      <c r="CU487" s="2" t="e">
        <f ca="1">_xll.BDH($C$478,"QUICK_RATIO","FQ4 2015","FQ4 2015","Currency=INR","Period=FQ","BEST_FPERIOD_OVERRIDE=FQ","FILING_STATUS=OR","EQY_CONSOLIDATED=Y","Sort=A","Dates=H","DateFormat=P","Fill=—","Direction=H","UseDPDF=Y")</f>
        <v>#NAME?</v>
      </c>
      <c r="CV487" s="2" t="e">
        <f ca="1">_xll.BDH($C$478,"ALTMAN_Z_SCORE","FQ4 2015","FQ4 2015","Currency=INR","Period=FQ","BEST_FPERIOD_OVERRIDE=FQ","FILING_STATUS=OR","EQY_CONSOLIDATED=Y","Sort=A","Dates=H","DateFormat=P","Fill=—","Direction=H","UseDPDF=Y")</f>
        <v>#NAME?</v>
      </c>
      <c r="CW487" s="4" t="e">
        <f ca="1">_xll.BDH($C$478,"ACCT_RCV_TURN","FQ4 2015","FQ4 2015","Currency=INR","Period=FQ","BEST_FPERIOD_OVERRIDE=FQ","FILING_STATUS=OR","EQY_CONSOLIDATED=Y","FA_ADJUSTED=GAAP","Sort=A","Dates=H","DateFormat=P","Fill=—","Direction=H","UseDPDF=Y")</f>
        <v>#NAME?</v>
      </c>
      <c r="CX487" s="2" t="e">
        <f ca="1">_xll.BDH($C$478,"ACCT_RCV_DAYS","FQ4 2015","FQ4 2015","Currency=INR","Period=FQ","BEST_FPERIOD_OVERRIDE=FQ","FILING_STATUS=OR","EQY_CONSOLIDATED=Y","FA_ADJUSTED=GAAP","Sort=A","Dates=H","DateFormat=P","Fill=—","Direction=H","UseDPDF=Y")</f>
        <v>#NAME?</v>
      </c>
      <c r="CY487" s="4" t="e">
        <f ca="1">_xll.BDH($C$478,"INVENT_TURN","FQ4 2015","FQ4 2015","Currency=INR","Period=FQ","BEST_FPERIOD_OVERRIDE=FQ","FILING_STATUS=OR","EQY_CONSOLIDATED=Y","FA_ADJUSTED=GAAP","Sort=A","Dates=H","DateFormat=P","Fill=—","Direction=H","UseDPDF=Y")</f>
        <v>#NAME?</v>
      </c>
      <c r="CZ487" s="2" t="e">
        <f ca="1">_xll.BDH($C$478,"INVENT_DAYS","FQ4 2015","FQ4 2015","Currency=INR","Period=FQ","BEST_FPERIOD_OVERRIDE=FQ","FILING_STATUS=OR","EQY_CONSOLIDATED=Y","FA_ADJUSTED=GAAP","Sort=A","Dates=H","DateFormat=P","Fill=—","Direction=H","UseDPDF=Y")</f>
        <v>#NAME?</v>
      </c>
      <c r="DA487" s="4" t="e">
        <f ca="1">_xll.BDH($C$478,"ACCOUNTS_PAYABLE_TURNOVER","FQ4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487" s="2" t="e">
        <f ca="1">_xll.BDH($C$478,"ACCOUNTS_PAYABLE_TURNOVER_DAYS","FQ4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487" s="4" t="e">
        <f ca="1">_xll.BDH($C$478,"CASH_CONVERSION_CYCLE","FQ4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487" s="4" t="e">
        <f ca="1">_xll.BDH($C$478,"INV_TO_CASH_DAYS","FQ4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487" s="5" t="e">
        <f ca="1">_xll.BDH($C$478,"BS_INVENTORIES","FQ4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487" s="3" t="e">
        <f ca="1">_xll.BDH($C$478,"INVTRY_RAW_MATERIALS","FQ4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487" s="3" t="e">
        <f ca="1">_xll.BDH($C$478,"INVTRY_IN_PROGRESS","FQ4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487" s="3" t="e">
        <f ca="1">_xll.BDH($C$478,"INVTRY_FINISHED_GOODS","FQ4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487" s="3" t="e">
        <f ca="1">_xll.BDH($C$478,"BS_OTHER_INV","FQ4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488" spans="1:113" x14ac:dyDescent="0.3">
      <c r="A488" s="6"/>
      <c r="B488" s="6"/>
      <c r="C488" s="6"/>
      <c r="D488" s="6" t="s">
        <v>83</v>
      </c>
      <c r="E488" t="s">
        <v>77</v>
      </c>
      <c r="F488" t="e">
        <f ca="1">_xll.BDH($C$478,"RETURN_COM_EQY","FY 2016","FY 2016","Currency=INR","Period=FY","BEST_FPERIOD_OVERRIDE=FY","FILING_STATUS=OR","EQY_CONSOLIDATED=Y","FA_ADJUSTED=GAAP","Sort=A","Dates=H","DateFormat=P","Fill=—","Direction=H","UseDPDF=Y")</f>
        <v>#NAME?</v>
      </c>
      <c r="G488" t="e">
        <f ca="1">_xll.BDH($C$478,"RETURN_ON_ASSET","FY 2016","FY 2016","Currency=INR","Period=FY","BEST_FPERIOD_OVERRIDE=FY","FILING_STATUS=OR","EQY_CONSOLIDATED=Y","FA_ADJUSTED=GAAP","Sort=A","Dates=H","DateFormat=P","Fill=—","Direction=H","UseDPDF=Y")</f>
        <v>#NAME?</v>
      </c>
      <c r="H488" t="e">
        <f ca="1">_xll.BDH($C$478,"RETURN_ON_CAP","FY 2016","FY 2016","Currency=INR","Period=FY","BEST_FPERIOD_OVERRIDE=FY","FILING_STATUS=OR","EQY_CONSOLIDATED=Y","FA_ADJUSTED=GAAP","Sort=A","Dates=H","DateFormat=P","Fill=—","Direction=H","UseDPDF=Y")</f>
        <v>#NAME?</v>
      </c>
      <c r="I488" t="e">
        <f ca="1">_xll.BDH($C$478,"RETURN_ON_INV_CAPITAL","FY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488" t="e">
        <f ca="1">_xll.BDH($C$478,"EBITDA_TO_REVENUE","FY 2016","FY 2016","Currency=INR","Period=FY","BEST_FPERIOD_OVERRIDE=FY","FILING_STATUS=OR","EQY_CONSOLIDATED=Y","FA_ADJUSTED=GAAP","Sort=A","Dates=H","DateFormat=P","Fill=—","Direction=H","UseDPDF=Y")</f>
        <v>#NAME?</v>
      </c>
      <c r="K488" t="e">
        <f ca="1">_xll.BDH($C$478,"OPER_MARGIN","FY 2016","FY 2016","Currency=INR","Period=FY","BEST_FPERIOD_OVERRIDE=FY","FILING_STATUS=OR","EQY_CONSOLIDATED=Y","FA_ADJUSTED=GAAP","Sort=A","Dates=H","DateFormat=P","Fill=—","Direction=H","UseDPDF=Y")</f>
        <v>#NAME?</v>
      </c>
      <c r="L488" t="e">
        <f ca="1">_xll.BDH($C$478,"INCREMENTAL_OPERATING_MARGIN","FY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488" t="e">
        <f ca="1">_xll.BDH($C$478,"PRETAX_INC_TO_NET_SALES","FY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488" t="e">
        <f ca="1">_xll.BDH($C$478,"INC_BEF_XO_ITEMS_TO_NET_SALES","FY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488" t="e">
        <f ca="1">_xll.BDH($C$478,"PROF_MARGIN","FY 2016","FY 2016","Currency=INR","Period=FY","BEST_FPERIOD_OVERRIDE=FY","FILING_STATUS=OR","EQY_CONSOLIDATED=Y","FA_ADJUSTED=GAAP","Sort=A","Dates=H","DateFormat=P","Fill=—","Direction=H","UseDPDF=Y")</f>
        <v>#NAME?</v>
      </c>
      <c r="P488" t="e">
        <f ca="1">_xll.BDH($C$478,"NET_INCOME_TO_COMMON_MARGIN","FY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488" t="e">
        <f ca="1">_xll.BDH($C$478,"EFF_TAX_RATE","FY 2016","FY 2016","Currency=INR","Period=FY","BEST_FPERIOD_OVERRIDE=FY","FILING_STATUS=OR","EQY_CONSOLIDATED=Y","FA_ADJUSTED=GAAP","Sort=A","Dates=H","DateFormat=P","Fill=—","Direction=H","UseDPDF=Y")</f>
        <v>#NAME?</v>
      </c>
      <c r="R488" t="e">
        <f ca="1">_xll.BDH($C$478,"DVD_PAYOUT_RATIO","FY 2016","FY 2016","Currency=INR","Period=FY","BEST_FPERIOD_OVERRIDE=FY","FILING_STATUS=OR","EQY_CONSOLIDATED=Y","FA_ADJUSTED=GAAP","Sort=A","Dates=H","DateFormat=P","Fill=—","Direction=H","UseDPDF=Y")</f>
        <v>#NAME?</v>
      </c>
      <c r="S488" t="e">
        <f ca="1">_xll.BDH($C$478,"SUSTAIN_GROWTH_RT","FY 2016","FY 2016","Currency=INR","Period=FY","BEST_FPERIOD_OVERRIDE=FY","FILING_STATUS=OR","EQY_CONSOLIDATED=Y","FA_ADJUSTED=GAAP","Sort=A","Dates=H","DateFormat=P","Fill=—","Direction=H","UseDPDF=Y")</f>
        <v>#NAME?</v>
      </c>
      <c r="T488" s="2" t="e">
        <f ca="1">_xll.BDH($C$478,"SALES_GROWTH","FY 2016","FY 2016","Currency=INR","Period=FY","BEST_FPERIOD_OVERRIDE=FY","FILING_STATUS=OR","EQY_CONSOLIDATED=Y","FA_ADJUSTED=GAAP","Sort=A","Dates=H","DateFormat=P","Fill=—","Direction=H","UseDPDF=Y")</f>
        <v>#NAME?</v>
      </c>
      <c r="U488" s="2" t="e">
        <f ca="1">_xll.BDH($C$478,"EBITDA_GROWTH","FY 2016","FY 2016","Currency=INR","Period=FY","BEST_FPERIOD_OVERRIDE=FY","FILING_STATUS=OR","EQY_CONSOLIDATED=Y","FA_ADJUSTED=GAAP","Sort=A","Dates=H","DateFormat=P","Fill=—","Direction=H","UseDPDF=Y")</f>
        <v>#NAME?</v>
      </c>
      <c r="V488" s="2" t="e">
        <f ca="1">_xll.BDH($C$478,"OPER_INC_GROWTH","FY 2016","FY 2016","Currency=INR","Period=FY","BEST_FPERIOD_OVERRIDE=FY","FILING_STATUS=OR","EQY_CONSOLIDATED=Y","FA_ADJUSTED=GAAP","Sort=A","Dates=H","DateFormat=P","Fill=—","Direction=H","UseDPDF=Y")</f>
        <v>#NAME?</v>
      </c>
      <c r="W488" s="2" t="e">
        <f ca="1">_xll.BDH($C$478,"EARN_FOR_COM_GROWTH","FY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488" s="2" t="e">
        <f ca="1">_xll.BDH($C$478,"DILUTED_EPS_AFT_XO_ITEMS_GROWTH","FY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488" s="2" t="e">
        <f ca="1">_xll.BDH($C$478,"DIVIDEND_PER_SHARE_1_YEAR_GROWTH","FY 2016","FY 2016","Currency=INR","Period=FY","BEST_FPERIOD_OVERRIDE=FY","FILING_STATUS=OR","EQY_CONSOLIDATED=Y","Sort=A","Dates=H","DateFormat=P","Fill=—","Direction=H","UseDPDF=Y")</f>
        <v>#NAME?</v>
      </c>
      <c r="Z488" s="2" t="e">
        <f ca="1">_xll.BDH($C$478,"ACCOUNTS_RECEIVABLE_GROWTH","FY 2016","FY 2016","Currency=INR","Period=FY","BEST_FPERIOD_OVERRIDE=FY","FILING_STATUS=OR","EQY_CONSOLIDATED=Y","Sort=A","Dates=H","DateFormat=P","Fill=—","Direction=H","UseDPDF=Y")</f>
        <v>#NAME?</v>
      </c>
      <c r="AA488" s="2" t="e">
        <f ca="1">_xll.BDH($C$478,"INVENTORY_GROWTH","FY 2016","FY 2016","Currency=INR","Period=FY","BEST_FPERIOD_OVERRIDE=FY","FILING_STATUS=OR","EQY_CONSOLIDATED=Y","Sort=A","Dates=H","DateFormat=P","Fill=—","Direction=H","UseDPDF=Y")</f>
        <v>#NAME?</v>
      </c>
      <c r="AB488" s="2" t="e">
        <f ca="1">_xll.BDH($C$478,"NET_FIXED_ASSETS_1_YEAR_GROWTH","FY 2016","FY 2016","Currency=INR","Period=FY","BEST_FPERIOD_OVERRIDE=FY","FILING_STATUS=OR","EQY_CONSOLIDATED=Y","Sort=A","Dates=H","DateFormat=P","Fill=—","Direction=H","UseDPDF=Y")</f>
        <v>#NAME?</v>
      </c>
      <c r="AC488" s="2" t="e">
        <f ca="1">_xll.BDH($C$478,"ASSET_GROWTH","FY 2016","FY 2016","Currency=INR","Period=FY","BEST_FPERIOD_OVERRIDE=FY","FILING_STATUS=OR","EQY_CONSOLIDATED=Y","Sort=A","Dates=H","DateFormat=P","Fill=—","Direction=H","UseDPDF=Y")</f>
        <v>#NAME?</v>
      </c>
      <c r="AD488" s="2" t="e">
        <f ca="1">_xll.BDH($C$478,"MODIFIED_WORK_CAP_GROWTH","FY 2016","FY 2016","Currency=INR","Period=FY","BEST_FPERIOD_OVERRIDE=FY","FILING_STATUS=OR","EQY_CONSOLIDATED=Y","Sort=A","Dates=H","DateFormat=P","Fill=—","Direction=H","UseDPDF=Y")</f>
        <v>#NAME?</v>
      </c>
      <c r="AE488" s="2" t="e">
        <f ca="1">_xll.BDH($C$478,"WORK_CAP_GROWTH","FY 2016","FY 2016","Currency=INR","Period=FY","BEST_FPERIOD_OVERRIDE=FY","FILING_STATUS=OR","EQY_CONSOLIDATED=Y","Sort=A","Dates=H","DateFormat=P","Fill=—","Direction=H","UseDPDF=Y")</f>
        <v>#NAME?</v>
      </c>
      <c r="AF488" s="2" t="e">
        <f ca="1">_xll.BDH($C$478,"ACCOUNTS_PAYABLE_GROWTH_1YR","FY 2016","FY 2016","Currency=INR","Period=FY","BEST_FPERIOD_OVERRIDE=FY","FILING_STATUS=OR","EQY_CONSOLIDATED=Y","Sort=A","Dates=H","DateFormat=P","Fill=—","Direction=H","UseDPDF=Y")</f>
        <v>#NAME?</v>
      </c>
      <c r="AG488" s="2" t="e">
        <f ca="1">_xll.BDH($C$478,"SHORT_TERM_DEBT_1_YEAR_GROWTH","FY 2016","FY 2016","Currency=INR","Period=FY","BEST_FPERIOD_OVERRIDE=FY","FILING_STATUS=OR","EQY_CONSOLIDATED=Y","Sort=A","Dates=H","DateFormat=P","Fill=—","Direction=H","UseDPDF=Y")</f>
        <v>#NAME?</v>
      </c>
      <c r="AH488" s="2" t="e">
        <f ca="1">_xll.BDH($C$478,"TOTAL_DEBT_1_YEAR_GROWTH","FY 2016","FY 2016","Currency=INR","Period=FY","BEST_FPERIOD_OVERRIDE=FY","FILING_STATUS=OR","EQY_CONSOLIDATED=Y","Sort=A","Dates=H","DateFormat=P","Fill=—","Direction=H","UseDPDF=Y")</f>
        <v>#NAME?</v>
      </c>
      <c r="AI488" s="2" t="e">
        <f ca="1">_xll.BDH($C$478,"TOTAL_EQUITY_1_YEAR_GROWTH","FY 2016","FY 2016","Currency=INR","Period=FY","BEST_FPERIOD_OVERRIDE=FY","FILING_STATUS=OR","EQY_CONSOLIDATED=Y","Sort=A","Dates=H","DateFormat=P","Fill=—","Direction=H","UseDPDF=Y")</f>
        <v>#NAME?</v>
      </c>
      <c r="AJ488" s="2" t="e">
        <f ca="1">_xll.BDH($C$478,"GROWTH_IN_CAP","FY 2016","FY 2016","Currency=INR","Period=FY","BEST_FPERIOD_OVERRIDE=FY","FILING_STATUS=OR","EQY_CONSOLIDATED=Y","Sort=A","Dates=H","DateFormat=P","Fill=—","Direction=H","UseDPDF=Y")</f>
        <v>#NAME?</v>
      </c>
      <c r="AK488" s="2" t="e">
        <f ca="1">_xll.BDH($C$478,"BVPS_GROWTH","FY 2016","FY 2016","Currency=INR","Period=FY","BEST_FPERIOD_OVERRIDE=FY","FILING_STATUS=OR","EQY_CONSOLIDATED=Y","Sort=A","Dates=H","DateFormat=P","Fill=—","Direction=H","UseDPDF=Y")</f>
        <v>#NAME?</v>
      </c>
      <c r="AL488" s="2" t="e">
        <f ca="1">_xll.BDH($C$478,"CASH_FLOW_GROWTH","FY 2016","FY 2016","Currency=INR","Period=FY","BEST_FPERIOD_OVERRIDE=FY","FILING_STATUS=OR","EQY_CONSOLIDATED=Y","Sort=A","Dates=H","DateFormat=P","Fill=—","Direction=H","UseDPDF=Y")</f>
        <v>#NAME?</v>
      </c>
      <c r="AM488" s="2" t="e">
        <f ca="1">_xll.BDH($C$478,"GEO_GROW_NET_SALES","FY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488" s="2" t="e">
        <f ca="1">_xll.BDH($C$478,"GEO_GROW_EBITDA","FY 2016","FY 2016","Currency=INR","Period=FY","BEST_FPERIOD_OVERRIDE=FY","FILING_STATUS=OR","EQY_CONSOLIDATED=Y","FA_ADJUSTED=GAAP","Sort=A","Dates=H","DateFormat=P","Fill=—","Direction=H","UseDPDF=Y")</f>
        <v>#NAME?</v>
      </c>
      <c r="AO488" s="2" t="e">
        <f ca="1">_xll.BDH($C$478,"GEO_GROW_OPER_INC","FY 2016","FY 2016","Currency=INR","Period=FY","BEST_FPERIOD_OVERRIDE=FY","FILING_STATUS=OR","EQY_CONSOLIDATED=Y","FA_ADJUSTED=GAAP","Sort=A","Dates=H","DateFormat=P","Fill=—","Direction=H","UseDPDF=Y")</f>
        <v>#NAME?</v>
      </c>
      <c r="AP488" s="2" t="e">
        <f ca="1">_xll.BDH($C$478,"NET_INCOME_TO_COMMON_5_YR_GROWTH","FY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488" s="2" t="e">
        <f ca="1">_xll.BDH($C$478,"5Y_GEO_GROWTH_DILUTED_EPS","FY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488" s="2" t="e">
        <f ca="1">_xll.BDH($C$478,"GEO_GROW_DVD_PER_SH","FY 2016","FY 2016","Currency=INR","Period=FY","BEST_FPERIOD_OVERRIDE=FY","FILING_STATUS=OR","EQY_CONSOLIDATED=Y","Sort=A","Dates=H","DateFormat=P","Fill=—","Direction=H","UseDPDF=Y")</f>
        <v>#NAME?</v>
      </c>
      <c r="AS488" s="2" t="e">
        <f ca="1">_xll.BDH($C$478,"ACCOUNTS_RECEIVABLE_5_YR_GROWTH","FY 2016","FY 2016","Currency=INR","Period=FY","BEST_FPERIOD_OVERRIDE=FY","FILING_STATUS=OR","EQY_CONSOLIDATED=Y","Sort=A","Dates=H","DateFormat=P","Fill=—","Direction=H","UseDPDF=Y")</f>
        <v>#NAME?</v>
      </c>
      <c r="AT488" s="2" t="e">
        <f ca="1">_xll.BDH($C$478,"INVENTORY_5_YEAR_GROWTH","FY 2016","FY 2016","Currency=INR","Period=FY","BEST_FPERIOD_OVERRIDE=FY","FILING_STATUS=OR","EQY_CONSOLIDATED=Y","Sort=A","Dates=H","DateFormat=P","Fill=—","Direction=H","UseDPDF=Y")</f>
        <v>#NAME?</v>
      </c>
      <c r="AU488" s="2" t="e">
        <f ca="1">_xll.BDH($C$478,"NET_FIXED_ASSETS_5_YEAR_GROWTH","FY 2016","FY 2016","Currency=INR","Period=FY","BEST_FPERIOD_OVERRIDE=FY","FILING_STATUS=OR","EQY_CONSOLIDATED=Y","Sort=A","Dates=H","DateFormat=P","Fill=—","Direction=H","UseDPDF=Y")</f>
        <v>#NAME?</v>
      </c>
      <c r="AV488" s="2" t="e">
        <f ca="1">_xll.BDH($C$478,"GEO_GROW_TOT_ASSET","FY 2016","FY 2016","Currency=INR","Period=FY","BEST_FPERIOD_OVERRIDE=FY","FILING_STATUS=OR","EQY_CONSOLIDATED=Y","Sort=A","Dates=H","DateFormat=P","Fill=—","Direction=H","UseDPDF=Y")</f>
        <v>#NAME?</v>
      </c>
      <c r="AW488" s="2" t="e">
        <f ca="1">_xll.BDH($C$478,"MODIFIED_WORKING_CPTL_5YR_GRWTH","FY 2016","FY 2016","Currency=INR","Period=FY","BEST_FPERIOD_OVERRIDE=FY","FILING_STATUS=OR","EQY_CONSOLIDATED=Y","Sort=A","Dates=H","DateFormat=P","Fill=—","Direction=H","UseDPDF=Y")</f>
        <v>#NAME?</v>
      </c>
      <c r="AX488" s="2" t="e">
        <f ca="1">_xll.BDH($C$478,"WORKING_CAPITAL_5_YEAR_GROWTH","FY 2016","FY 2016","Currency=INR","Period=FY","BEST_FPERIOD_OVERRIDE=FY","FILING_STATUS=OR","EQY_CONSOLIDATED=Y","Sort=A","Dates=H","DateFormat=P","Fill=—","Direction=H","UseDPDF=Y")</f>
        <v>#NAME?</v>
      </c>
      <c r="AY488" s="2" t="e">
        <f ca="1">_xll.BDH($C$478,"ACCOUNTS_PAYABLE_5_YEAR_GROWTH","FY 2016","FY 2016","Currency=INR","Period=FY","BEST_FPERIOD_OVERRIDE=FY","FILING_STATUS=OR","EQY_CONSOLIDATED=Y","Sort=A","Dates=H","DateFormat=P","Fill=—","Direction=H","UseDPDF=Y")</f>
        <v>#NAME?</v>
      </c>
      <c r="AZ488" s="2" t="e">
        <f ca="1">_xll.BDH($C$478,"SHORT_TERM_DEBT_5_YEAR_GROWTH","FY 2016","FY 2016","Currency=INR","Period=FY","BEST_FPERIOD_OVERRIDE=FY","FILING_STATUS=OR","EQY_CONSOLIDATED=Y","Sort=A","Dates=H","DateFormat=P","Fill=—","Direction=H","UseDPDF=Y")</f>
        <v>#NAME?</v>
      </c>
      <c r="BA488" s="2" t="e">
        <f ca="1">_xll.BDH($C$478,"TOTAL_DEBT_5_YEAR_GROWTH","FY 2016","FY 2016","Currency=INR","Period=FY","BEST_FPERIOD_OVERRIDE=FY","FILING_STATUS=OR","EQY_CONSOLIDATED=Y","Sort=A","Dates=H","DateFormat=P","Fill=—","Direction=H","UseDPDF=Y")</f>
        <v>#NAME?</v>
      </c>
      <c r="BB488" s="2" t="e">
        <f ca="1">_xll.BDH($C$478,"GEO_GROW_TOT_SHRHLDR_EQY","FY 2016","FY 2016","Currency=INR","Period=FY","BEST_FPERIOD_OVERRIDE=FY","FILING_STATUS=OR","EQY_CONSOLIDATED=Y","Sort=A","Dates=H","DateFormat=P","Fill=—","Direction=H","UseDPDF=Y")</f>
        <v>#NAME?</v>
      </c>
      <c r="BC488" s="2" t="e">
        <f ca="1">_xll.BDH($C$478,"TOTAL_CAPITAL_5_YEAR_GROWTH","FY 2016","FY 2016","Currency=INR","Period=FY","BEST_FPERIOD_OVERRIDE=FY","FILING_STATUS=OR","EQY_CONSOLIDATED=Y","Sort=A","Dates=H","DateFormat=P","Fill=—","Direction=H","UseDPDF=Y")</f>
        <v>#NAME?</v>
      </c>
      <c r="BD488" s="2" t="e">
        <f ca="1">_xll.BDH($C$478,"GEO_GROW_BOOK_VAL","FY 2016","FY 2016","Currency=INR","Period=FY","BEST_FPERIOD_OVERRIDE=FY","FILING_STATUS=OR","EQY_CONSOLIDATED=Y","Sort=A","Dates=H","DateFormat=P","Fill=—","Direction=H","UseDPDF=Y")</f>
        <v>#NAME?</v>
      </c>
      <c r="BE488" s="2" t="e">
        <f ca="1">_xll.BDH($C$478,"GEO_GROW_CASH_OPER_ACT","FY 2016","FY 2016","Currency=INR","Period=FY","BEST_FPERIOD_OVERRIDE=FY","FILING_STATUS=OR","EQY_CONSOLIDATED=Y","Sort=A","Dates=H","DateFormat=P","Fill=—","Direction=H","UseDPDF=Y")</f>
        <v>#NAME?</v>
      </c>
      <c r="BF488" s="2" t="e">
        <f ca="1">_xll.BDH($C$478,"REVENUE_SEQUENTIAL_GROWTH","FY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488" s="2" t="e">
        <f ca="1">_xll.BDH($C$478,"EBITDA_SEQUENTIAL_GROWTH","FY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488" s="2" t="e">
        <f ca="1">_xll.BDH($C$478,"OPERATING_INCOME_SEQ_GROWTH","FY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488" s="2" t="e">
        <f ca="1">_xll.BDH($C$478,"NET_INCOME_TO_COMMON_SEQ_GROWTH","FY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488" s="2" t="e">
        <f ca="1">_xll.BDH($C$478,"EPS_DILUTED_SEQUENTIAL_GROWTH","FY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488" s="2" t="e">
        <f ca="1">_xll.BDH($C$478,"DPS_SEQUENTIAL_GROWTH","FY 2016","FY 2016","Currency=INR","Period=FY","BEST_FPERIOD_OVERRIDE=FY","FILING_STATUS=OR","EQY_CONSOLIDATED=Y","Sort=A","Dates=H","DateFormat=P","Fill=—","Direction=H","UseDPDF=Y")</f>
        <v>#NAME?</v>
      </c>
      <c r="BL488" s="2" t="e">
        <f ca="1">_xll.BDH($C$478,"ACCOUNTS_RECEIVABLE_SEQ_GROWTH","FY 2016","FY 2016","Currency=INR","Period=FY","BEST_FPERIOD_OVERRIDE=FY","FILING_STATUS=OR","EQY_CONSOLIDATED=Y","Sort=A","Dates=H","DateFormat=P","Fill=—","Direction=H","UseDPDF=Y")</f>
        <v>#NAME?</v>
      </c>
      <c r="BM488" s="2" t="e">
        <f ca="1">_xll.BDH($C$478,"INVENTORY_SEQUENTIAL_GROWTH","FY 2016","FY 2016","Currency=INR","Period=FY","BEST_FPERIOD_OVERRIDE=FY","FILING_STATUS=OR","EQY_CONSOLIDATED=Y","Sort=A","Dates=H","DateFormat=P","Fill=—","Direction=H","UseDPDF=Y")</f>
        <v>#NAME?</v>
      </c>
      <c r="BN488" s="2" t="e">
        <f ca="1">_xll.BDH($C$478,"FIXED_ASSETS_SEQUENTIAL_GROWTH","FY 2016","FY 2016","Currency=INR","Period=FY","BEST_FPERIOD_OVERRIDE=FY","FILING_STATUS=OR","EQY_CONSOLIDATED=Y","Sort=A","Dates=H","DateFormat=P","Fill=—","Direction=H","UseDPDF=Y")</f>
        <v>#NAME?</v>
      </c>
      <c r="BO488" s="2" t="e">
        <f ca="1">_xll.BDH($C$478,"TOTAL_ASSETS_SEQUENTIAL_GROWTH","FY 2016","FY 2016","Currency=INR","Period=FY","BEST_FPERIOD_OVERRIDE=FY","FILING_STATUS=OR","EQY_CONSOLIDATED=Y","Sort=A","Dates=H","DateFormat=P","Fill=—","Direction=H","UseDPDF=Y")</f>
        <v>#NAME?</v>
      </c>
      <c r="BP488" s="2" t="e">
        <f ca="1">_xll.BDH($C$478,"MODIFIED_WORKING_CPTL_SEQ_GRWTH","FY 2016","FY 2016","Currency=INR","Period=FY","BEST_FPERIOD_OVERRIDE=FY","FILING_STATUS=OR","EQY_CONSOLIDATED=Y","Sort=A","Dates=H","DateFormat=P","Fill=—","Direction=H","UseDPDF=Y")</f>
        <v>#NAME?</v>
      </c>
      <c r="BQ488" s="2" t="e">
        <f ca="1">_xll.BDH($C$478,"WORKING_CAPITAL_SEQ_GROWTH","FY 2016","FY 2016","Currency=INR","Period=FY","BEST_FPERIOD_OVERRIDE=FY","FILING_STATUS=OR","EQY_CONSOLIDATED=Y","Sort=A","Dates=H","DateFormat=P","Fill=—","Direction=H","UseDPDF=Y")</f>
        <v>#NAME?</v>
      </c>
      <c r="BR488" s="2" t="e">
        <f ca="1">_xll.BDH($C$478,"ACCOUNTS_PAYABLE_SEQ_GROWTH","FY 2016","FY 2016","Currency=INR","Period=FY","BEST_FPERIOD_OVERRIDE=FY","FILING_STATUS=OR","EQY_CONSOLIDATED=Y","Sort=A","Dates=H","DateFormat=P","Fill=—","Direction=H","UseDPDF=Y")</f>
        <v>#NAME?</v>
      </c>
      <c r="BS488" s="2" t="e">
        <f ca="1">_xll.BDH($C$478,"ST_DEBT_SEQUENTIAL_GROWTH","FY 2016","FY 2016","Currency=INR","Period=FY","BEST_FPERIOD_OVERRIDE=FY","FILING_STATUS=OR","EQY_CONSOLIDATED=Y","Sort=A","Dates=H","DateFormat=P","Fill=—","Direction=H","UseDPDF=Y")</f>
        <v>#NAME?</v>
      </c>
      <c r="BT488" s="2" t="e">
        <f ca="1">_xll.BDH($C$478,"TOTAL_DEBT_SEQUENTIAL_GROWTH","FY 2016","FY 2016","Currency=INR","Period=FY","BEST_FPERIOD_OVERRIDE=FY","FILING_STATUS=OR","EQY_CONSOLIDATED=Y","Sort=A","Dates=H","DateFormat=P","Fill=—","Direction=H","UseDPDF=Y")</f>
        <v>#NAME?</v>
      </c>
      <c r="BU488" s="2" t="e">
        <f ca="1">_xll.BDH($C$478,"TOTAL_EQUITY_SEQUENTIAL_GROWTH","FY 2016","FY 2016","Currency=INR","Period=FY","BEST_FPERIOD_OVERRIDE=FY","FILING_STATUS=OR","EQY_CONSOLIDATED=Y","Sort=A","Dates=H","DateFormat=P","Fill=—","Direction=H","UseDPDF=Y")</f>
        <v>#NAME?</v>
      </c>
      <c r="BV488" s="2" t="e">
        <f ca="1">_xll.BDH($C$478,"TOTAL_CAPITAL_SEQUENTIAL_GROWTH","FY 2016","FY 2016","Currency=INR","Period=FY","BEST_FPERIOD_OVERRIDE=FY","FILING_STATUS=OR","EQY_CONSOLIDATED=Y","Sort=A","Dates=H","DateFormat=P","Fill=—","Direction=H","UseDPDF=Y")</f>
        <v>#NAME?</v>
      </c>
      <c r="BW488" s="2" t="e">
        <f ca="1">_xll.BDH($C$478,"BPS_SEQUENTIAL_GROWTH","FY 2016","FY 2016","Currency=INR","Period=FY","BEST_FPERIOD_OVERRIDE=FY","FILING_STATUS=OR","EQY_CONSOLIDATED=Y","Sort=A","Dates=H","DateFormat=P","Fill=—","Direction=H","UseDPDF=Y")</f>
        <v>#NAME?</v>
      </c>
      <c r="BX488" s="2" t="e">
        <f ca="1">_xll.BDH($C$478,"CFO_SEQUENTIAL_GROWTH","FY 2016","FY 2016","Currency=INR","Period=FY","BEST_FPERIOD_OVERRIDE=FY","FILING_STATUS=OR","EQY_CONSOLIDATED=Y","Sort=A","Dates=H","DateFormat=P","Fill=—","Direction=H","UseDPDF=Y")</f>
        <v>#NAME?</v>
      </c>
      <c r="BY488" s="3" t="e">
        <f ca="1">_xll.BDH($C$478,"SHORT_AND_LONG_TERM_DEBT","FY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488" s="3" t="e">
        <f ca="1">_xll.BDH($C$478,"BS_ST_BORROW","FY 2016","FY 2016","Currency=INR","Period=FY","BEST_FPERIOD_OVERRIDE=FY","FILING_STATUS=OR","EQY_CONSOLIDATED=Y","SCALING_FORMAT=MLN","Sort=A","Dates=H","DateFormat=P","Fill=—","Direction=H","UseDPDF=Y")</f>
        <v>#NAME?</v>
      </c>
      <c r="CA488" s="3" t="e">
        <f ca="1">_xll.BDH($C$478,"BS_LT_BORROW","FY 2016","FY 2016","Currency=INR","Period=FY","BEST_FPERIOD_OVERRIDE=FY","FILING_STATUS=OR","EQY_CONSOLIDATED=Y","SCALING_FORMAT=MLN","Sort=A","Dates=H","DateFormat=P","Fill=—","Direction=H","UseDPDF=Y")</f>
        <v>#NAME?</v>
      </c>
      <c r="CB488" s="2" t="e">
        <f ca="1">_xll.BDH($C$478,"TOT_DEBT_TO_EBITDA","FY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488" s="2" t="e">
        <f ca="1">_xll.BDH($C$478,"NET_DEBT_TO_EBITDA","FY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488" s="2" t="e">
        <f ca="1">_xll.BDH($C$478,"TOTAL_DEBT_TO_EBIT","FY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488" s="2" t="e">
        <f ca="1">_xll.BDH($C$478,"NET_DEBT_TO_EBIT","FY 2016","FY 2016","Currency=INR","Period=FY","BEST_FPERIOD_OVERRIDE=FY","FILING_STATUS=OR","EQY_CONSOLIDATED=Y","FA_ADJUSTED=GAAP","Sort=A","Dates=H","DateFormat=P","Fill=—","Direction=H","UseDPDF=Y")</f>
        <v>#NAME?</v>
      </c>
      <c r="CF488" s="2" t="e">
        <f ca="1">_xll.BDH($C$478,"EBITDA_TO_INTEREST_EXPN","FY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488" s="2" t="e">
        <f ca="1">_xll.BDH($C$478,"COM_EQY_TO_TOT_ASSET","FY 2016","FY 2016","Currency=INR","Period=FY","BEST_FPERIOD_OVERRIDE=FY","FILING_STATUS=OR","EQY_CONSOLIDATED=Y","Sort=A","Dates=H","DateFormat=P","Fill=—","Direction=H","UseDPDF=Y")</f>
        <v>#NAME?</v>
      </c>
      <c r="CH488" s="2" t="e">
        <f ca="1">_xll.BDH($C$478,"LT_DEBT_TO_TOT_EQY","FY 2016","FY 2016","Currency=INR","Period=FY","BEST_FPERIOD_OVERRIDE=FY","FILING_STATUS=OR","EQY_CONSOLIDATED=Y","Sort=A","Dates=H","DateFormat=P","Fill=—","Direction=H","UseDPDF=Y")</f>
        <v>#NAME?</v>
      </c>
      <c r="CI488" s="2" t="e">
        <f ca="1">_xll.BDH($C$478,"LT_DEBT_TO_TOT_CAP","FY 2016","FY 2016","Currency=INR","Period=FY","BEST_FPERIOD_OVERRIDE=FY","FILING_STATUS=OR","EQY_CONSOLIDATED=Y","Sort=A","Dates=H","DateFormat=P","Fill=—","Direction=H","UseDPDF=Y")</f>
        <v>#NAME?</v>
      </c>
      <c r="CJ488" s="2" t="e">
        <f ca="1">_xll.BDH($C$478,"LT_DEBT_TO_TOT_ASSET","FY 2016","FY 2016","Currency=INR","Period=FY","BEST_FPERIOD_OVERRIDE=FY","FILING_STATUS=OR","EQY_CONSOLIDATED=Y","Sort=A","Dates=H","DateFormat=P","Fill=—","Direction=H","UseDPDF=Y")</f>
        <v>#NAME?</v>
      </c>
      <c r="CK488" s="2" t="e">
        <f ca="1">_xll.BDH($C$478,"TOT_DEBT_TO_TOT_EQY","FY 2016","FY 2016","Currency=INR","Period=FY","BEST_FPERIOD_OVERRIDE=FY","FILING_STATUS=OR","EQY_CONSOLIDATED=Y","Sort=A","Dates=H","DateFormat=P","Fill=—","Direction=H","UseDPDF=Y")</f>
        <v>#NAME?</v>
      </c>
      <c r="CL488" s="2" t="e">
        <f ca="1">_xll.BDH($C$478,"TOT_DEBT_TO_TOT_CAP","FY 2016","FY 2016","Currency=INR","Period=FY","BEST_FPERIOD_OVERRIDE=FY","FILING_STATUS=OR","EQY_CONSOLIDATED=Y","Sort=A","Dates=H","DateFormat=P","Fill=—","Direction=H","UseDPDF=Y")</f>
        <v>#NAME?</v>
      </c>
      <c r="CM488" s="2" t="e">
        <f ca="1">_xll.BDH($C$478,"TOT_DEBT_TO_TOT_ASSET","FY 2016","FY 2016","Currency=INR","Period=FY","BEST_FPERIOD_OVERRIDE=FY","FILING_STATUS=OR","EQY_CONSOLIDATED=Y","Sort=A","Dates=H","DateFormat=P","Fill=—","Direction=H","UseDPDF=Y")</f>
        <v>#NAME?</v>
      </c>
      <c r="CN488" s="2" t="e">
        <f ca="1">_xll.BDH($C$478,"NET_DEBT_TO_SHRHLDR_EQTY","FY 2016","FY 2016","Currency=INR","Period=FY","BEST_FPERIOD_OVERRIDE=FY","FILING_STATUS=OR","EQY_CONSOLIDATED=Y","Sort=A","Dates=H","DateFormat=P","Fill=—","Direction=H","UseDPDF=Y")</f>
        <v>#NAME?</v>
      </c>
      <c r="CO488" s="2" t="e">
        <f ca="1">_xll.BDH($C$478,"NET_DEBT_%_CAPITAL","FY 2016","FY 2016","Currency=INR","Period=FY","BEST_FPERIOD_OVERRIDE=FY","FILING_STATUS=OR","EQY_CONSOLIDATED=Y","Sort=A","Dates=H","DateFormat=P","Fill=—","Direction=H","UseDPDF=Y")</f>
        <v>#NAME?</v>
      </c>
      <c r="CP488" s="3" t="e">
        <f ca="1">_xll.BDH($C$478,"EBITDA","FY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488" s="3" t="e">
        <f ca="1">_xll.BDH($C$478,"EBITDA_AFTER_CAPEX","FY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488" s="3" t="e">
        <f ca="1">_xll.BDH($C$478,"IS_OPER_INC","FY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488" s="2" t="e">
        <f ca="1">_xll.BDH($C$478,"CASH_RATIO","FY 2016","FY 2016","Currency=INR","Period=FY","BEST_FPERIOD_OVERRIDE=FY","FILING_STATUS=OR","EQY_CONSOLIDATED=Y","Sort=A","Dates=H","DateFormat=P","Fill=—","Direction=H","UseDPDF=Y")</f>
        <v>#NAME?</v>
      </c>
      <c r="CT488" s="2" t="e">
        <f ca="1">_xll.BDH($C$478,"CUR_RATIO","FY 2016","FY 2016","Currency=INR","Period=FY","BEST_FPERIOD_OVERRIDE=FY","FILING_STATUS=OR","EQY_CONSOLIDATED=Y","Sort=A","Dates=H","DateFormat=P","Fill=—","Direction=H","UseDPDF=Y")</f>
        <v>#NAME?</v>
      </c>
      <c r="CU488" s="2" t="e">
        <f ca="1">_xll.BDH($C$478,"QUICK_RATIO","FY 2016","FY 2016","Currency=INR","Period=FY","BEST_FPERIOD_OVERRIDE=FY","FILING_STATUS=OR","EQY_CONSOLIDATED=Y","Sort=A","Dates=H","DateFormat=P","Fill=—","Direction=H","UseDPDF=Y")</f>
        <v>#NAME?</v>
      </c>
      <c r="CV488" s="2" t="e">
        <f ca="1">_xll.BDH($C$478,"ALTMAN_Z_SCORE","FY 2016","FY 2016","Currency=INR","Period=FY","BEST_FPERIOD_OVERRIDE=FY","FILING_STATUS=OR","EQY_CONSOLIDATED=Y","Sort=A","Dates=H","DateFormat=P","Fill=—","Direction=H","UseDPDF=Y")</f>
        <v>#NAME?</v>
      </c>
      <c r="CW488" s="4" t="e">
        <f ca="1">_xll.BDH($C$478,"ACCT_RCV_TURN","FY 2016","FY 2016","Currency=INR","Period=FY","BEST_FPERIOD_OVERRIDE=FY","FILING_STATUS=OR","EQY_CONSOLIDATED=Y","FA_ADJUSTED=GAAP","Sort=A","Dates=H","DateFormat=P","Fill=—","Direction=H","UseDPDF=Y")</f>
        <v>#NAME?</v>
      </c>
      <c r="CX488" s="2" t="e">
        <f ca="1">_xll.BDH($C$478,"ACCT_RCV_DAYS","FY 2016","FY 2016","Currency=INR","Period=FY","BEST_FPERIOD_OVERRIDE=FY","FILING_STATUS=OR","EQY_CONSOLIDATED=Y","FA_ADJUSTED=GAAP","Sort=A","Dates=H","DateFormat=P","Fill=—","Direction=H","UseDPDF=Y")</f>
        <v>#NAME?</v>
      </c>
      <c r="CY488" s="4" t="e">
        <f ca="1">_xll.BDH($C$478,"INVENT_TURN","FY 2016","FY 2016","Currency=INR","Period=FY","BEST_FPERIOD_OVERRIDE=FY","FILING_STATUS=OR","EQY_CONSOLIDATED=Y","FA_ADJUSTED=GAAP","Sort=A","Dates=H","DateFormat=P","Fill=—","Direction=H","UseDPDF=Y")</f>
        <v>#NAME?</v>
      </c>
      <c r="CZ488" s="2" t="e">
        <f ca="1">_xll.BDH($C$478,"INVENT_DAYS","FY 2016","FY 2016","Currency=INR","Period=FY","BEST_FPERIOD_OVERRIDE=FY","FILING_STATUS=OR","EQY_CONSOLIDATED=Y","FA_ADJUSTED=GAAP","Sort=A","Dates=H","DateFormat=P","Fill=—","Direction=H","UseDPDF=Y")</f>
        <v>#NAME?</v>
      </c>
      <c r="DA488" s="4" t="e">
        <f ca="1">_xll.BDH($C$478,"ACCOUNTS_PAYABLE_TURNOVER","FY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488" s="2" t="e">
        <f ca="1">_xll.BDH($C$478,"ACCOUNTS_PAYABLE_TURNOVER_DAYS","FY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488" s="4" t="e">
        <f ca="1">_xll.BDH($C$478,"CASH_CONVERSION_CYCLE","FY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488" s="4" t="e">
        <f ca="1">_xll.BDH($C$478,"INV_TO_CASH_DAYS","FY 2016","FY 2016","Currency=INR","Period=FY","BEST_FPERIOD_OVERRIDE=FY","FILING_STATUS=OR","EQY_CONSOLIDATED=Y","FA_ADJUSTED=GAAP","Sort=A","Dates=H","DateFormat=P","Fill=—","Direction=H","UseDPDF=Y")</f>
        <v>#NAME?</v>
      </c>
      <c r="DE488" s="5" t="e">
        <f ca="1">_xll.BDH($C$478,"BS_INVENTORIES","FY 2016","FY 2016","Currency=INR","Period=FY","BEST_FPERIOD_OVERRIDE=FY","FILING_STATUS=OR","EQY_CONSOLIDATED=Y","SCALING_FORMAT=MLN","Sort=A","Dates=H","DateFormat=P","Fill=—","Direction=H","UseDPDF=Y")</f>
        <v>#NAME?</v>
      </c>
      <c r="DF488" s="3" t="e">
        <f ca="1">_xll.BDH($C$478,"INVTRY_RAW_MATERIALS","FY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488" s="3" t="e">
        <f ca="1">_xll.BDH($C$478,"INVTRY_IN_PROGRESS","FY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488" s="3" t="e">
        <f ca="1">_xll.BDH($C$478,"INVTRY_FINISHED_GOODS","FY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488" s="3" t="e">
        <f ca="1">_xll.BDH($C$478,"BS_OTHER_INV","FY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489" spans="1:113" x14ac:dyDescent="0.3">
      <c r="A489" s="6"/>
      <c r="B489" s="6"/>
      <c r="C489" s="6"/>
      <c r="D489" s="6"/>
      <c r="E489" t="s">
        <v>78</v>
      </c>
      <c r="F489" t="e">
        <f ca="1">_xll.BDH($C$478,"RETURN_COM_EQY","FQ1 2016","FQ1 2016","Currency=INR","Period=FQ","BEST_FPERIOD_OVERRIDE=FQ","FILING_STATUS=OR","EQY_CONSOLIDATED=Y","FA_ADJUSTED=GAAP","Sort=A","Dates=H","DateFormat=P","Fill=—","Direction=H","UseDPDF=Y")</f>
        <v>#NAME?</v>
      </c>
      <c r="G489" t="e">
        <f ca="1">_xll.BDH($C$478,"RETURN_ON_ASSET","FQ1 2016","FQ1 2016","Currency=INR","Period=FQ","BEST_FPERIOD_OVERRIDE=FQ","FILING_STATUS=OR","EQY_CONSOLIDATED=Y","FA_ADJUSTED=GAAP","Sort=A","Dates=H","DateFormat=P","Fill=—","Direction=H","UseDPDF=Y")</f>
        <v>#NAME?</v>
      </c>
      <c r="H489" t="e">
        <f ca="1">_xll.BDH($C$478,"RETURN_ON_CAP","FQ1 2016","FQ1 2016","Currency=INR","Period=FQ","BEST_FPERIOD_OVERRIDE=FQ","FILING_STATUS=OR","EQY_CONSOLIDATED=Y","FA_ADJUSTED=GAAP","Sort=A","Dates=H","DateFormat=P","Fill=—","Direction=H","UseDPDF=Y")</f>
        <v>#NAME?</v>
      </c>
      <c r="I489" t="e">
        <f ca="1">_xll.BDH($C$478,"RETURN_ON_INV_CAPITAL","FQ1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489" t="e">
        <f ca="1">_xll.BDH($C$478,"EBITDA_TO_REVENUE","FQ1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489" t="e">
        <f ca="1">_xll.BDH($C$478,"OPER_MARGIN","FQ1 2016","FQ1 2016","Currency=INR","Period=FQ","BEST_FPERIOD_OVERRIDE=FQ","FILING_STATUS=OR","EQY_CONSOLIDATED=Y","FA_ADJUSTED=GAAP","Sort=A","Dates=H","DateFormat=P","Fill=—","Direction=H","UseDPDF=Y")</f>
        <v>#NAME?</v>
      </c>
      <c r="L489" t="e">
        <f ca="1">_xll.BDH($C$478,"INCREMENTAL_OPERATING_MARGIN","FQ1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489" t="e">
        <f ca="1">_xll.BDH($C$478,"PRETAX_INC_TO_NET_SALES","FQ1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489" t="e">
        <f ca="1">_xll.BDH($C$478,"INC_BEF_XO_ITEMS_TO_NET_SALES","FQ1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489" t="e">
        <f ca="1">_xll.BDH($C$478,"PROF_MARGIN","FQ1 2016","FQ1 2016","Currency=INR","Period=FQ","BEST_FPERIOD_OVERRIDE=FQ","FILING_STATUS=OR","EQY_CONSOLIDATED=Y","FA_ADJUSTED=GAAP","Sort=A","Dates=H","DateFormat=P","Fill=—","Direction=H","UseDPDF=Y")</f>
        <v>#NAME?</v>
      </c>
      <c r="P489" t="e">
        <f ca="1">_xll.BDH($C$478,"NET_INCOME_TO_COMMON_MARGIN","FQ1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489" t="e">
        <f ca="1">_xll.BDH($C$478,"EFF_TAX_RATE","FQ1 2016","FQ1 2016","Currency=INR","Period=FQ","BEST_FPERIOD_OVERRIDE=FQ","FILING_STATUS=OR","EQY_CONSOLIDATED=Y","FA_ADJUSTED=GAAP","Sort=A","Dates=H","DateFormat=P","Fill=—","Direction=H","UseDPDF=Y")</f>
        <v>#NAME?</v>
      </c>
      <c r="R489" t="e">
        <f ca="1">_xll.BDH($C$478,"DVD_PAYOUT_RATIO","FQ1 2016","FQ1 2016","Currency=INR","Period=FQ","BEST_FPERIOD_OVERRIDE=FQ","FILING_STATUS=OR","EQY_CONSOLIDATED=Y","FA_ADJUSTED=GAAP","Sort=A","Dates=H","DateFormat=P","Fill=—","Direction=H","UseDPDF=Y")</f>
        <v>#NAME?</v>
      </c>
      <c r="S489" t="e">
        <f ca="1">_xll.BDH($C$478,"SUSTAIN_GROWTH_RT","FQ1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489" s="2" t="e">
        <f ca="1">_xll.BDH($C$478,"SALES_GROWTH","FQ1 2016","FQ1 2016","Currency=INR","Period=FQ","BEST_FPERIOD_OVERRIDE=FQ","FILING_STATUS=OR","EQY_CONSOLIDATED=Y","FA_ADJUSTED=GAAP","Sort=A","Dates=H","DateFormat=P","Fill=—","Direction=H","UseDPDF=Y")</f>
        <v>#NAME?</v>
      </c>
      <c r="U489" s="2" t="e">
        <f ca="1">_xll.BDH($C$478,"EBITDA_GROWTH","FQ1 2016","FQ1 2016","Currency=INR","Period=FQ","BEST_FPERIOD_OVERRIDE=FQ","FILING_STATUS=OR","EQY_CONSOLIDATED=Y","FA_ADJUSTED=GAAP","Sort=A","Dates=H","DateFormat=P","Fill=—","Direction=H","UseDPDF=Y")</f>
        <v>#NAME?</v>
      </c>
      <c r="V489" s="2" t="e">
        <f ca="1">_xll.BDH($C$478,"OPER_INC_GROWTH","FQ1 2016","FQ1 2016","Currency=INR","Period=FQ","BEST_FPERIOD_OVERRIDE=FQ","FILING_STATUS=OR","EQY_CONSOLIDATED=Y","FA_ADJUSTED=GAAP","Sort=A","Dates=H","DateFormat=P","Fill=—","Direction=H","UseDPDF=Y")</f>
        <v>#NAME?</v>
      </c>
      <c r="W489" s="2" t="e">
        <f ca="1">_xll.BDH($C$478,"EARN_FOR_COM_GROWTH","FQ1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489" s="2" t="e">
        <f ca="1">_xll.BDH($C$478,"DILUTED_EPS_AFT_XO_ITEMS_GROWTH","FQ1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489" s="2" t="e">
        <f ca="1">_xll.BDH($C$478,"DIVIDEND_PER_SHARE_1_YEAR_GROWTH","FQ1 2016","FQ1 2016","Currency=INR","Period=FQ","BEST_FPERIOD_OVERRIDE=FQ","FILING_STATUS=OR","EQY_CONSOLIDATED=Y","Sort=A","Dates=H","DateFormat=P","Fill=—","Direction=H","UseDPDF=Y")</f>
        <v>#NAME?</v>
      </c>
      <c r="Z489" s="2" t="e">
        <f ca="1">_xll.BDH($C$478,"ACCOUNTS_RECEIVABLE_GROWTH","FQ1 2016","FQ1 2016","Currency=INR","Period=FQ","BEST_FPERIOD_OVERRIDE=FQ","FILING_STATUS=OR","EQY_CONSOLIDATED=Y","Sort=A","Dates=H","DateFormat=P","Fill=—","Direction=H","UseDPDF=Y")</f>
        <v>#NAME?</v>
      </c>
      <c r="AA489" s="2" t="e">
        <f ca="1">_xll.BDH($C$478,"INVENTORY_GROWTH","FQ1 2016","FQ1 2016","Currency=INR","Period=FQ","BEST_FPERIOD_OVERRIDE=FQ","FILING_STATUS=OR","EQY_CONSOLIDATED=Y","Sort=A","Dates=H","DateFormat=P","Fill=—","Direction=H","UseDPDF=Y")</f>
        <v>#NAME?</v>
      </c>
      <c r="AB489" s="2" t="e">
        <f ca="1">_xll.BDH($C$478,"NET_FIXED_ASSETS_1_YEAR_GROWTH","FQ1 2016","FQ1 2016","Currency=INR","Period=FQ","BEST_FPERIOD_OVERRIDE=FQ","FILING_STATUS=OR","EQY_CONSOLIDATED=Y","Sort=A","Dates=H","DateFormat=P","Fill=—","Direction=H","UseDPDF=Y")</f>
        <v>#NAME?</v>
      </c>
      <c r="AC489" s="2" t="e">
        <f ca="1">_xll.BDH($C$478,"ASSET_GROWTH","FQ1 2016","FQ1 2016","Currency=INR","Period=FQ","BEST_FPERIOD_OVERRIDE=FQ","FILING_STATUS=OR","EQY_CONSOLIDATED=Y","Sort=A","Dates=H","DateFormat=P","Fill=—","Direction=H","UseDPDF=Y")</f>
        <v>#NAME?</v>
      </c>
      <c r="AD489" s="2" t="e">
        <f ca="1">_xll.BDH($C$478,"MODIFIED_WORK_CAP_GROWTH","FQ1 2016","FQ1 2016","Currency=INR","Period=FQ","BEST_FPERIOD_OVERRIDE=FQ","FILING_STATUS=OR","EQY_CONSOLIDATED=Y","Sort=A","Dates=H","DateFormat=P","Fill=—","Direction=H","UseDPDF=Y")</f>
        <v>#NAME?</v>
      </c>
      <c r="AE489" s="2" t="e">
        <f ca="1">_xll.BDH($C$478,"WORK_CAP_GROWTH","FQ1 2016","FQ1 2016","Currency=INR","Period=FQ","BEST_FPERIOD_OVERRIDE=FQ","FILING_STATUS=OR","EQY_CONSOLIDATED=Y","Sort=A","Dates=H","DateFormat=P","Fill=—","Direction=H","UseDPDF=Y")</f>
        <v>#NAME?</v>
      </c>
      <c r="AF489" s="2" t="e">
        <f ca="1">_xll.BDH($C$478,"ACCOUNTS_PAYABLE_GROWTH_1YR","FQ1 2016","FQ1 2016","Currency=INR","Period=FQ","BEST_FPERIOD_OVERRIDE=FQ","FILING_STATUS=OR","EQY_CONSOLIDATED=Y","Sort=A","Dates=H","DateFormat=P","Fill=—","Direction=H","UseDPDF=Y")</f>
        <v>#NAME?</v>
      </c>
      <c r="AG489" s="2" t="e">
        <f ca="1">_xll.BDH($C$478,"SHORT_TERM_DEBT_1_YEAR_GROWTH","FQ1 2016","FQ1 2016","Currency=INR","Period=FQ","BEST_FPERIOD_OVERRIDE=FQ","FILING_STATUS=OR","EQY_CONSOLIDATED=Y","Sort=A","Dates=H","DateFormat=P","Fill=—","Direction=H","UseDPDF=Y")</f>
        <v>#NAME?</v>
      </c>
      <c r="AH489" s="2" t="e">
        <f ca="1">_xll.BDH($C$478,"TOTAL_DEBT_1_YEAR_GROWTH","FQ1 2016","FQ1 2016","Currency=INR","Period=FQ","BEST_FPERIOD_OVERRIDE=FQ","FILING_STATUS=OR","EQY_CONSOLIDATED=Y","Sort=A","Dates=H","DateFormat=P","Fill=—","Direction=H","UseDPDF=Y")</f>
        <v>#NAME?</v>
      </c>
      <c r="AI489" s="2" t="e">
        <f ca="1">_xll.BDH($C$478,"TOTAL_EQUITY_1_YEAR_GROWTH","FQ1 2016","FQ1 2016","Currency=INR","Period=FQ","BEST_FPERIOD_OVERRIDE=FQ","FILING_STATUS=OR","EQY_CONSOLIDATED=Y","Sort=A","Dates=H","DateFormat=P","Fill=—","Direction=H","UseDPDF=Y")</f>
        <v>#NAME?</v>
      </c>
      <c r="AJ489" s="2" t="e">
        <f ca="1">_xll.BDH($C$478,"GROWTH_IN_CAP","FQ1 2016","FQ1 2016","Currency=INR","Period=FQ","BEST_FPERIOD_OVERRIDE=FQ","FILING_STATUS=OR","EQY_CONSOLIDATED=Y","Sort=A","Dates=H","DateFormat=P","Fill=—","Direction=H","UseDPDF=Y")</f>
        <v>#NAME?</v>
      </c>
      <c r="AK489" s="2" t="e">
        <f ca="1">_xll.BDH($C$478,"BVPS_GROWTH","FQ1 2016","FQ1 2016","Currency=INR","Period=FQ","BEST_FPERIOD_OVERRIDE=FQ","FILING_STATUS=OR","EQY_CONSOLIDATED=Y","Sort=A","Dates=H","DateFormat=P","Fill=—","Direction=H","UseDPDF=Y")</f>
        <v>#NAME?</v>
      </c>
      <c r="AL489" s="2" t="e">
        <f ca="1">_xll.BDH($C$478,"CASH_FLOW_GROWTH","FQ1 2016","FQ1 2016","Currency=INR","Period=FQ","BEST_FPERIOD_OVERRIDE=FQ","FILING_STATUS=OR","EQY_CONSOLIDATED=Y","Sort=A","Dates=H","DateFormat=P","Fill=—","Direction=H","UseDPDF=Y")</f>
        <v>#NAME?</v>
      </c>
      <c r="AM489" s="2" t="e">
        <f ca="1">_xll.BDH($C$478,"GEO_GROW_NET_SALES","FQ1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489" s="2" t="e">
        <f ca="1">_xll.BDH($C$478,"GEO_GROW_EBITDA","FQ1 2016","FQ1 2016","Currency=INR","Period=FQ","BEST_FPERIOD_OVERRIDE=FQ","FILING_STATUS=OR","EQY_CONSOLIDATED=Y","FA_ADJUSTED=GAAP","Sort=A","Dates=H","DateFormat=P","Fill=—","Direction=H","UseDPDF=Y")</f>
        <v>#NAME?</v>
      </c>
      <c r="AO489" s="2" t="e">
        <f ca="1">_xll.BDH($C$478,"GEO_GROW_OPER_INC","FQ1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489" s="2" t="e">
        <f ca="1">_xll.BDH($C$478,"NET_INCOME_TO_COMMON_5_YR_GROWTH","FQ1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489" s="2" t="e">
        <f ca="1">_xll.BDH($C$478,"5Y_GEO_GROWTH_DILUTED_EPS","FQ1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489" s="2" t="e">
        <f ca="1">_xll.BDH($C$478,"GEO_GROW_DVD_PER_SH","FQ1 2016","FQ1 2016","Currency=INR","Period=FQ","BEST_FPERIOD_OVERRIDE=FQ","FILING_STATUS=OR","EQY_CONSOLIDATED=Y","Sort=A","Dates=H","DateFormat=P","Fill=—","Direction=H","UseDPDF=Y")</f>
        <v>#NAME?</v>
      </c>
      <c r="AS489" s="2" t="e">
        <f ca="1">_xll.BDH($C$478,"ACCOUNTS_RECEIVABLE_5_YR_GROWTH","FQ1 2016","FQ1 2016","Currency=INR","Period=FQ","BEST_FPERIOD_OVERRIDE=FQ","FILING_STATUS=OR","EQY_CONSOLIDATED=Y","Sort=A","Dates=H","DateFormat=P","Fill=—","Direction=H","UseDPDF=Y")</f>
        <v>#NAME?</v>
      </c>
      <c r="AT489" s="2" t="e">
        <f ca="1">_xll.BDH($C$478,"INVENTORY_5_YEAR_GROWTH","FQ1 2016","FQ1 2016","Currency=INR","Period=FQ","BEST_FPERIOD_OVERRIDE=FQ","FILING_STATUS=OR","EQY_CONSOLIDATED=Y","Sort=A","Dates=H","DateFormat=P","Fill=—","Direction=H","UseDPDF=Y")</f>
        <v>#NAME?</v>
      </c>
      <c r="AU489" s="2" t="e">
        <f ca="1">_xll.BDH($C$478,"NET_FIXED_ASSETS_5_YEAR_GROWTH","FQ1 2016","FQ1 2016","Currency=INR","Period=FQ","BEST_FPERIOD_OVERRIDE=FQ","FILING_STATUS=OR","EQY_CONSOLIDATED=Y","Sort=A","Dates=H","DateFormat=P","Fill=—","Direction=H","UseDPDF=Y")</f>
        <v>#NAME?</v>
      </c>
      <c r="AV489" s="2" t="e">
        <f ca="1">_xll.BDH($C$478,"GEO_GROW_TOT_ASSET","FQ1 2016","FQ1 2016","Currency=INR","Period=FQ","BEST_FPERIOD_OVERRIDE=FQ","FILING_STATUS=OR","EQY_CONSOLIDATED=Y","Sort=A","Dates=H","DateFormat=P","Fill=—","Direction=H","UseDPDF=Y")</f>
        <v>#NAME?</v>
      </c>
      <c r="AW489" s="2" t="e">
        <f ca="1">_xll.BDH($C$478,"MODIFIED_WORKING_CPTL_5YR_GRWTH","FQ1 2016","FQ1 2016","Currency=INR","Period=FQ","BEST_FPERIOD_OVERRIDE=FQ","FILING_STATUS=OR","EQY_CONSOLIDATED=Y","Sort=A","Dates=H","DateFormat=P","Fill=—","Direction=H","UseDPDF=Y")</f>
        <v>#NAME?</v>
      </c>
      <c r="AX489" s="2" t="e">
        <f ca="1">_xll.BDH($C$478,"WORKING_CAPITAL_5_YEAR_GROWTH","FQ1 2016","FQ1 2016","Currency=INR","Period=FQ","BEST_FPERIOD_OVERRIDE=FQ","FILING_STATUS=OR","EQY_CONSOLIDATED=Y","Sort=A","Dates=H","DateFormat=P","Fill=—","Direction=H","UseDPDF=Y")</f>
        <v>#NAME?</v>
      </c>
      <c r="AY489" s="2" t="e">
        <f ca="1">_xll.BDH($C$478,"ACCOUNTS_PAYABLE_5_YEAR_GROWTH","FQ1 2016","FQ1 2016","Currency=INR","Period=FQ","BEST_FPERIOD_OVERRIDE=FQ","FILING_STATUS=OR","EQY_CONSOLIDATED=Y","Sort=A","Dates=H","DateFormat=P","Fill=—","Direction=H","UseDPDF=Y")</f>
        <v>#NAME?</v>
      </c>
      <c r="AZ489" s="2" t="e">
        <f ca="1">_xll.BDH($C$478,"SHORT_TERM_DEBT_5_YEAR_GROWTH","FQ1 2016","FQ1 2016","Currency=INR","Period=FQ","BEST_FPERIOD_OVERRIDE=FQ","FILING_STATUS=OR","EQY_CONSOLIDATED=Y","Sort=A","Dates=H","DateFormat=P","Fill=—","Direction=H","UseDPDF=Y")</f>
        <v>#NAME?</v>
      </c>
      <c r="BA489" s="2" t="e">
        <f ca="1">_xll.BDH($C$478,"TOTAL_DEBT_5_YEAR_GROWTH","FQ1 2016","FQ1 2016","Currency=INR","Period=FQ","BEST_FPERIOD_OVERRIDE=FQ","FILING_STATUS=OR","EQY_CONSOLIDATED=Y","Sort=A","Dates=H","DateFormat=P","Fill=—","Direction=H","UseDPDF=Y")</f>
        <v>#NAME?</v>
      </c>
      <c r="BB489" s="2" t="e">
        <f ca="1">_xll.BDH($C$478,"GEO_GROW_TOT_SHRHLDR_EQY","FQ1 2016","FQ1 2016","Currency=INR","Period=FQ","BEST_FPERIOD_OVERRIDE=FQ","FILING_STATUS=OR","EQY_CONSOLIDATED=Y","Sort=A","Dates=H","DateFormat=P","Fill=—","Direction=H","UseDPDF=Y")</f>
        <v>#NAME?</v>
      </c>
      <c r="BC489" s="2" t="e">
        <f ca="1">_xll.BDH($C$478,"TOTAL_CAPITAL_5_YEAR_GROWTH","FQ1 2016","FQ1 2016","Currency=INR","Period=FQ","BEST_FPERIOD_OVERRIDE=FQ","FILING_STATUS=OR","EQY_CONSOLIDATED=Y","Sort=A","Dates=H","DateFormat=P","Fill=—","Direction=H","UseDPDF=Y")</f>
        <v>#NAME?</v>
      </c>
      <c r="BD489" s="2" t="e">
        <f ca="1">_xll.BDH($C$478,"GEO_GROW_BOOK_VAL","FQ1 2016","FQ1 2016","Currency=INR","Period=FQ","BEST_FPERIOD_OVERRIDE=FQ","FILING_STATUS=OR","EQY_CONSOLIDATED=Y","Sort=A","Dates=H","DateFormat=P","Fill=—","Direction=H","UseDPDF=Y")</f>
        <v>#NAME?</v>
      </c>
      <c r="BE489" s="2" t="e">
        <f ca="1">_xll.BDH($C$478,"GEO_GROW_CASH_OPER_ACT","FQ1 2016","FQ1 2016","Currency=INR","Period=FQ","BEST_FPERIOD_OVERRIDE=FQ","FILING_STATUS=OR","EQY_CONSOLIDATED=Y","Sort=A","Dates=H","DateFormat=P","Fill=—","Direction=H","UseDPDF=Y")</f>
        <v>#NAME?</v>
      </c>
      <c r="BF489" s="2" t="e">
        <f ca="1">_xll.BDH($C$478,"REVENUE_SEQUENTIAL_GROWTH","FQ1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489" s="2" t="e">
        <f ca="1">_xll.BDH($C$478,"EBITDA_SEQUENTIAL_GROWTH","FQ1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489" s="2" t="e">
        <f ca="1">_xll.BDH($C$478,"OPERATING_INCOME_SEQ_GROWTH","FQ1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489" s="2" t="e">
        <f ca="1">_xll.BDH($C$478,"NET_INCOME_TO_COMMON_SEQ_GROWTH","FQ1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489" s="2" t="e">
        <f ca="1">_xll.BDH($C$478,"EPS_DILUTED_SEQUENTIAL_GROWTH","FQ1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489" s="2" t="e">
        <f ca="1">_xll.BDH($C$478,"DPS_SEQUENTIAL_GROWTH","FQ1 2016","FQ1 2016","Currency=INR","Period=FQ","BEST_FPERIOD_OVERRIDE=FQ","FILING_STATUS=OR","EQY_CONSOLIDATED=Y","Sort=A","Dates=H","DateFormat=P","Fill=—","Direction=H","UseDPDF=Y")</f>
        <v>#NAME?</v>
      </c>
      <c r="BL489" s="2" t="e">
        <f ca="1">_xll.BDH($C$478,"ACCOUNTS_RECEIVABLE_SEQ_GROWTH","FQ1 2016","FQ1 2016","Currency=INR","Period=FQ","BEST_FPERIOD_OVERRIDE=FQ","FILING_STATUS=OR","EQY_CONSOLIDATED=Y","Sort=A","Dates=H","DateFormat=P","Fill=—","Direction=H","UseDPDF=Y")</f>
        <v>#NAME?</v>
      </c>
      <c r="BM489" s="2" t="e">
        <f ca="1">_xll.BDH($C$478,"INVENTORY_SEQUENTIAL_GROWTH","FQ1 2016","FQ1 2016","Currency=INR","Period=FQ","BEST_FPERIOD_OVERRIDE=FQ","FILING_STATUS=OR","EQY_CONSOLIDATED=Y","Sort=A","Dates=H","DateFormat=P","Fill=—","Direction=H","UseDPDF=Y")</f>
        <v>#NAME?</v>
      </c>
      <c r="BN489" s="2" t="e">
        <f ca="1">_xll.BDH($C$478,"FIXED_ASSETS_SEQUENTIAL_GROWTH","FQ1 2016","FQ1 2016","Currency=INR","Period=FQ","BEST_FPERIOD_OVERRIDE=FQ","FILING_STATUS=OR","EQY_CONSOLIDATED=Y","Sort=A","Dates=H","DateFormat=P","Fill=—","Direction=H","UseDPDF=Y")</f>
        <v>#NAME?</v>
      </c>
      <c r="BO489" s="2" t="e">
        <f ca="1">_xll.BDH($C$478,"TOTAL_ASSETS_SEQUENTIAL_GROWTH","FQ1 2016","FQ1 2016","Currency=INR","Period=FQ","BEST_FPERIOD_OVERRIDE=FQ","FILING_STATUS=OR","EQY_CONSOLIDATED=Y","Sort=A","Dates=H","DateFormat=P","Fill=—","Direction=H","UseDPDF=Y")</f>
        <v>#NAME?</v>
      </c>
      <c r="BP489" s="2" t="e">
        <f ca="1">_xll.BDH($C$478,"MODIFIED_WORKING_CPTL_SEQ_GRWTH","FQ1 2016","FQ1 2016","Currency=INR","Period=FQ","BEST_FPERIOD_OVERRIDE=FQ","FILING_STATUS=OR","EQY_CONSOLIDATED=Y","Sort=A","Dates=H","DateFormat=P","Fill=—","Direction=H","UseDPDF=Y")</f>
        <v>#NAME?</v>
      </c>
      <c r="BQ489" s="2" t="e">
        <f ca="1">_xll.BDH($C$478,"WORKING_CAPITAL_SEQ_GROWTH","FQ1 2016","FQ1 2016","Currency=INR","Period=FQ","BEST_FPERIOD_OVERRIDE=FQ","FILING_STATUS=OR","EQY_CONSOLIDATED=Y","Sort=A","Dates=H","DateFormat=P","Fill=—","Direction=H","UseDPDF=Y")</f>
        <v>#NAME?</v>
      </c>
      <c r="BR489" s="2" t="e">
        <f ca="1">_xll.BDH($C$478,"ACCOUNTS_PAYABLE_SEQ_GROWTH","FQ1 2016","FQ1 2016","Currency=INR","Period=FQ","BEST_FPERIOD_OVERRIDE=FQ","FILING_STATUS=OR","EQY_CONSOLIDATED=Y","Sort=A","Dates=H","DateFormat=P","Fill=—","Direction=H","UseDPDF=Y")</f>
        <v>#NAME?</v>
      </c>
      <c r="BS489" s="2" t="e">
        <f ca="1">_xll.BDH($C$478,"ST_DEBT_SEQUENTIAL_GROWTH","FQ1 2016","FQ1 2016","Currency=INR","Period=FQ","BEST_FPERIOD_OVERRIDE=FQ","FILING_STATUS=OR","EQY_CONSOLIDATED=Y","Sort=A","Dates=H","DateFormat=P","Fill=—","Direction=H","UseDPDF=Y")</f>
        <v>#NAME?</v>
      </c>
      <c r="BT489" s="2" t="e">
        <f ca="1">_xll.BDH($C$478,"TOTAL_DEBT_SEQUENTIAL_GROWTH","FQ1 2016","FQ1 2016","Currency=INR","Period=FQ","BEST_FPERIOD_OVERRIDE=FQ","FILING_STATUS=OR","EQY_CONSOLIDATED=Y","Sort=A","Dates=H","DateFormat=P","Fill=—","Direction=H","UseDPDF=Y")</f>
        <v>#NAME?</v>
      </c>
      <c r="BU489" s="2" t="e">
        <f ca="1">_xll.BDH($C$478,"TOTAL_EQUITY_SEQUENTIAL_GROWTH","FQ1 2016","FQ1 2016","Currency=INR","Period=FQ","BEST_FPERIOD_OVERRIDE=FQ","FILING_STATUS=OR","EQY_CONSOLIDATED=Y","Sort=A","Dates=H","DateFormat=P","Fill=—","Direction=H","UseDPDF=Y")</f>
        <v>#NAME?</v>
      </c>
      <c r="BV489" s="2" t="e">
        <f ca="1">_xll.BDH($C$478,"TOTAL_CAPITAL_SEQUENTIAL_GROWTH","FQ1 2016","FQ1 2016","Currency=INR","Period=FQ","BEST_FPERIOD_OVERRIDE=FQ","FILING_STATUS=OR","EQY_CONSOLIDATED=Y","Sort=A","Dates=H","DateFormat=P","Fill=—","Direction=H","UseDPDF=Y")</f>
        <v>#NAME?</v>
      </c>
      <c r="BW489" s="2" t="e">
        <f ca="1">_xll.BDH($C$478,"BPS_SEQUENTIAL_GROWTH","FQ1 2016","FQ1 2016","Currency=INR","Period=FQ","BEST_FPERIOD_OVERRIDE=FQ","FILING_STATUS=OR","EQY_CONSOLIDATED=Y","Sort=A","Dates=H","DateFormat=P","Fill=—","Direction=H","UseDPDF=Y")</f>
        <v>#NAME?</v>
      </c>
      <c r="BX489" s="2" t="e">
        <f ca="1">_xll.BDH($C$478,"CFO_SEQUENTIAL_GROWTH","FQ1 2016","FQ1 2016","Currency=INR","Period=FQ","BEST_FPERIOD_OVERRIDE=FQ","FILING_STATUS=OR","EQY_CONSOLIDATED=Y","Sort=A","Dates=H","DateFormat=P","Fill=—","Direction=H","UseDPDF=Y")</f>
        <v>#NAME?</v>
      </c>
      <c r="BY489" s="3" t="e">
        <f ca="1">_xll.BDH($C$478,"SHORT_AND_LONG_TERM_DEBT","FQ1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489" s="3" t="e">
        <f ca="1">_xll.BDH($C$478,"BS_ST_BORROW","FQ1 2016","FQ1 2016","Currency=INR","Period=FQ","BEST_FPERIOD_OVERRIDE=FQ","FILING_STATUS=OR","EQY_CONSOLIDATED=Y","SCALING_FORMAT=MLN","Sort=A","Dates=H","DateFormat=P","Fill=—","Direction=H","UseDPDF=Y")</f>
        <v>#NAME?</v>
      </c>
      <c r="CA489" s="3" t="e">
        <f ca="1">_xll.BDH($C$478,"BS_LT_BORROW","FQ1 2016","FQ1 2016","Currency=INR","Period=FQ","BEST_FPERIOD_OVERRIDE=FQ","FILING_STATUS=OR","EQY_CONSOLIDATED=Y","SCALING_FORMAT=MLN","Sort=A","Dates=H","DateFormat=P","Fill=—","Direction=H","UseDPDF=Y")</f>
        <v>#NAME?</v>
      </c>
      <c r="CB489" s="2" t="e">
        <f ca="1">_xll.BDH($C$478,"TOT_DEBT_TO_EBITDA","FQ1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489" s="2" t="e">
        <f ca="1">_xll.BDH($C$478,"NET_DEBT_TO_EBITDA","FQ1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489" s="2" t="e">
        <f ca="1">_xll.BDH($C$478,"TOTAL_DEBT_TO_EBIT","FQ1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489" s="2" t="e">
        <f ca="1">_xll.BDH($C$478,"NET_DEBT_TO_EBIT","FQ1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489" s="2" t="e">
        <f ca="1">_xll.BDH($C$478,"EBITDA_TO_INTEREST_EXPN","FQ1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489" s="2" t="e">
        <f ca="1">_xll.BDH($C$478,"COM_EQY_TO_TOT_ASSET","FQ1 2016","FQ1 2016","Currency=INR","Period=FQ","BEST_FPERIOD_OVERRIDE=FQ","FILING_STATUS=OR","EQY_CONSOLIDATED=Y","Sort=A","Dates=H","DateFormat=P","Fill=—","Direction=H","UseDPDF=Y")</f>
        <v>#NAME?</v>
      </c>
      <c r="CH489" s="2" t="e">
        <f ca="1">_xll.BDH($C$478,"LT_DEBT_TO_TOT_EQY","FQ1 2016","FQ1 2016","Currency=INR","Period=FQ","BEST_FPERIOD_OVERRIDE=FQ","FILING_STATUS=OR","EQY_CONSOLIDATED=Y","Sort=A","Dates=H","DateFormat=P","Fill=—","Direction=H","UseDPDF=Y")</f>
        <v>#NAME?</v>
      </c>
      <c r="CI489" s="2" t="e">
        <f ca="1">_xll.BDH($C$478,"LT_DEBT_TO_TOT_CAP","FQ1 2016","FQ1 2016","Currency=INR","Period=FQ","BEST_FPERIOD_OVERRIDE=FQ","FILING_STATUS=OR","EQY_CONSOLIDATED=Y","Sort=A","Dates=H","DateFormat=P","Fill=—","Direction=H","UseDPDF=Y")</f>
        <v>#NAME?</v>
      </c>
      <c r="CJ489" s="2" t="e">
        <f ca="1">_xll.BDH($C$478,"LT_DEBT_TO_TOT_ASSET","FQ1 2016","FQ1 2016","Currency=INR","Period=FQ","BEST_FPERIOD_OVERRIDE=FQ","FILING_STATUS=OR","EQY_CONSOLIDATED=Y","Sort=A","Dates=H","DateFormat=P","Fill=—","Direction=H","UseDPDF=Y")</f>
        <v>#NAME?</v>
      </c>
      <c r="CK489" s="2" t="e">
        <f ca="1">_xll.BDH($C$478,"TOT_DEBT_TO_TOT_EQY","FQ1 2016","FQ1 2016","Currency=INR","Period=FQ","BEST_FPERIOD_OVERRIDE=FQ","FILING_STATUS=OR","EQY_CONSOLIDATED=Y","Sort=A","Dates=H","DateFormat=P","Fill=—","Direction=H","UseDPDF=Y")</f>
        <v>#NAME?</v>
      </c>
      <c r="CL489" s="2" t="e">
        <f ca="1">_xll.BDH($C$478,"TOT_DEBT_TO_TOT_CAP","FQ1 2016","FQ1 2016","Currency=INR","Period=FQ","BEST_FPERIOD_OVERRIDE=FQ","FILING_STATUS=OR","EQY_CONSOLIDATED=Y","Sort=A","Dates=H","DateFormat=P","Fill=—","Direction=H","UseDPDF=Y")</f>
        <v>#NAME?</v>
      </c>
      <c r="CM489" s="2" t="e">
        <f ca="1">_xll.BDH($C$478,"TOT_DEBT_TO_TOT_ASSET","FQ1 2016","FQ1 2016","Currency=INR","Period=FQ","BEST_FPERIOD_OVERRIDE=FQ","FILING_STATUS=OR","EQY_CONSOLIDATED=Y","Sort=A","Dates=H","DateFormat=P","Fill=—","Direction=H","UseDPDF=Y")</f>
        <v>#NAME?</v>
      </c>
      <c r="CN489" s="2" t="e">
        <f ca="1">_xll.BDH($C$478,"NET_DEBT_TO_SHRHLDR_EQTY","FQ1 2016","FQ1 2016","Currency=INR","Period=FQ","BEST_FPERIOD_OVERRIDE=FQ","FILING_STATUS=OR","EQY_CONSOLIDATED=Y","Sort=A","Dates=H","DateFormat=P","Fill=—","Direction=H","UseDPDF=Y")</f>
        <v>#NAME?</v>
      </c>
      <c r="CO489" s="2" t="e">
        <f ca="1">_xll.BDH($C$478,"NET_DEBT_%_CAPITAL","FQ1 2016","FQ1 2016","Currency=INR","Period=FQ","BEST_FPERIOD_OVERRIDE=FQ","FILING_STATUS=OR","EQY_CONSOLIDATED=Y","Sort=A","Dates=H","DateFormat=P","Fill=—","Direction=H","UseDPDF=Y")</f>
        <v>#NAME?</v>
      </c>
      <c r="CP489" s="3" t="e">
        <f ca="1">_xll.BDH($C$478,"EBITDA","FQ1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489" s="3" t="e">
        <f ca="1">_xll.BDH($C$478,"EBITDA_AFTER_CAPEX","FQ1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489" s="3" t="e">
        <f ca="1">_xll.BDH($C$478,"IS_OPER_INC","FQ1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489" s="2" t="e">
        <f ca="1">_xll.BDH($C$478,"CASH_RATIO","FQ1 2016","FQ1 2016","Currency=INR","Period=FQ","BEST_FPERIOD_OVERRIDE=FQ","FILING_STATUS=OR","EQY_CONSOLIDATED=Y","Sort=A","Dates=H","DateFormat=P","Fill=—","Direction=H","UseDPDF=Y")</f>
        <v>#NAME?</v>
      </c>
      <c r="CT489" s="2" t="e">
        <f ca="1">_xll.BDH($C$478,"CUR_RATIO","FQ1 2016","FQ1 2016","Currency=INR","Period=FQ","BEST_FPERIOD_OVERRIDE=FQ","FILING_STATUS=OR","EQY_CONSOLIDATED=Y","Sort=A","Dates=H","DateFormat=P","Fill=—","Direction=H","UseDPDF=Y")</f>
        <v>#NAME?</v>
      </c>
      <c r="CU489" s="2" t="e">
        <f ca="1">_xll.BDH($C$478,"QUICK_RATIO","FQ1 2016","FQ1 2016","Currency=INR","Period=FQ","BEST_FPERIOD_OVERRIDE=FQ","FILING_STATUS=OR","EQY_CONSOLIDATED=Y","Sort=A","Dates=H","DateFormat=P","Fill=—","Direction=H","UseDPDF=Y")</f>
        <v>#NAME?</v>
      </c>
      <c r="CV489" s="2" t="e">
        <f ca="1">_xll.BDH($C$478,"ALTMAN_Z_SCORE","FQ1 2016","FQ1 2016","Currency=INR","Period=FQ","BEST_FPERIOD_OVERRIDE=FQ","FILING_STATUS=OR","EQY_CONSOLIDATED=Y","Sort=A","Dates=H","DateFormat=P","Fill=—","Direction=H","UseDPDF=Y")</f>
        <v>#NAME?</v>
      </c>
      <c r="CW489" s="4" t="e">
        <f ca="1">_xll.BDH($C$478,"ACCT_RCV_TURN","FQ1 2016","FQ1 2016","Currency=INR","Period=FQ","BEST_FPERIOD_OVERRIDE=FQ","FILING_STATUS=OR","EQY_CONSOLIDATED=Y","FA_ADJUSTED=GAAP","Sort=A","Dates=H","DateFormat=P","Fill=—","Direction=H","UseDPDF=Y")</f>
        <v>#NAME?</v>
      </c>
      <c r="CX489" s="2" t="e">
        <f ca="1">_xll.BDH($C$478,"ACCT_RCV_DAYS","FQ1 2016","FQ1 2016","Currency=INR","Period=FQ","BEST_FPERIOD_OVERRIDE=FQ","FILING_STATUS=OR","EQY_CONSOLIDATED=Y","FA_ADJUSTED=GAAP","Sort=A","Dates=H","DateFormat=P","Fill=—","Direction=H","UseDPDF=Y")</f>
        <v>#NAME?</v>
      </c>
      <c r="CY489" s="4" t="e">
        <f ca="1">_xll.BDH($C$478,"INVENT_TURN","FQ1 2016","FQ1 2016","Currency=INR","Period=FQ","BEST_FPERIOD_OVERRIDE=FQ","FILING_STATUS=OR","EQY_CONSOLIDATED=Y","FA_ADJUSTED=GAAP","Sort=A","Dates=H","DateFormat=P","Fill=—","Direction=H","UseDPDF=Y")</f>
        <v>#NAME?</v>
      </c>
      <c r="CZ489" s="2" t="e">
        <f ca="1">_xll.BDH($C$478,"INVENT_DAYS","FQ1 2016","FQ1 2016","Currency=INR","Period=FQ","BEST_FPERIOD_OVERRIDE=FQ","FILING_STATUS=OR","EQY_CONSOLIDATED=Y","FA_ADJUSTED=GAAP","Sort=A","Dates=H","DateFormat=P","Fill=—","Direction=H","UseDPDF=Y")</f>
        <v>#NAME?</v>
      </c>
      <c r="DA489" s="4" t="e">
        <f ca="1">_xll.BDH($C$478,"ACCOUNTS_PAYABLE_TURNOVER","FQ1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489" s="2" t="e">
        <f ca="1">_xll.BDH($C$478,"ACCOUNTS_PAYABLE_TURNOVER_DAYS","FQ1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489" s="4" t="e">
        <f ca="1">_xll.BDH($C$478,"CASH_CONVERSION_CYCLE","FQ1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489" s="4" t="e">
        <f ca="1">_xll.BDH($C$478,"INV_TO_CASH_DAYS","FQ1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489" s="5" t="e">
        <f ca="1">_xll.BDH($C$478,"BS_INVENTORIES","FQ1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489" s="3" t="e">
        <f ca="1">_xll.BDH($C$478,"INVTRY_RAW_MATERIALS","FQ1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489" s="3" t="e">
        <f ca="1">_xll.BDH($C$478,"INVTRY_IN_PROGRESS","FQ1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489" s="3" t="e">
        <f ca="1">_xll.BDH($C$478,"INVTRY_FINISHED_GOODS","FQ1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489" s="3" t="e">
        <f ca="1">_xll.BDH($C$478,"BS_OTHER_INV","FQ1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490" spans="1:113" x14ac:dyDescent="0.3">
      <c r="A490" s="6"/>
      <c r="B490" s="6"/>
      <c r="C490" s="6"/>
      <c r="D490" s="6"/>
      <c r="E490" t="s">
        <v>79</v>
      </c>
      <c r="F490" t="e">
        <f ca="1">_xll.BDH($C$478,"RETURN_COM_EQY","FQ2 2016","FQ2 2016","Currency=INR","Period=FQ","BEST_FPERIOD_OVERRIDE=FQ","FILING_STATUS=OR","EQY_CONSOLIDATED=Y","FA_ADJUSTED=GAAP","Sort=A","Dates=H","DateFormat=P","Fill=—","Direction=H","UseDPDF=Y")</f>
        <v>#NAME?</v>
      </c>
      <c r="G490" t="e">
        <f ca="1">_xll.BDH($C$478,"RETURN_ON_ASSET","FQ2 2016","FQ2 2016","Currency=INR","Period=FQ","BEST_FPERIOD_OVERRIDE=FQ","FILING_STATUS=OR","EQY_CONSOLIDATED=Y","FA_ADJUSTED=GAAP","Sort=A","Dates=H","DateFormat=P","Fill=—","Direction=H","UseDPDF=Y")</f>
        <v>#NAME?</v>
      </c>
      <c r="H490" t="e">
        <f ca="1">_xll.BDH($C$478,"RETURN_ON_CAP","FQ2 2016","FQ2 2016","Currency=INR","Period=FQ","BEST_FPERIOD_OVERRIDE=FQ","FILING_STATUS=OR","EQY_CONSOLIDATED=Y","FA_ADJUSTED=GAAP","Sort=A","Dates=H","DateFormat=P","Fill=—","Direction=H","UseDPDF=Y")</f>
        <v>#NAME?</v>
      </c>
      <c r="I490" t="e">
        <f ca="1">_xll.BDH($C$478,"RETURN_ON_INV_CAPITAL","FQ2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490" t="e">
        <f ca="1">_xll.BDH($C$478,"EBITDA_TO_REVENUE","FQ2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490" t="e">
        <f ca="1">_xll.BDH($C$478,"OPER_MARGIN","FQ2 2016","FQ2 2016","Currency=INR","Period=FQ","BEST_FPERIOD_OVERRIDE=FQ","FILING_STATUS=OR","EQY_CONSOLIDATED=Y","FA_ADJUSTED=GAAP","Sort=A","Dates=H","DateFormat=P","Fill=—","Direction=H","UseDPDF=Y")</f>
        <v>#NAME?</v>
      </c>
      <c r="L490" t="e">
        <f ca="1">_xll.BDH($C$478,"INCREMENTAL_OPERATING_MARGIN","FQ2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490" t="e">
        <f ca="1">_xll.BDH($C$478,"PRETAX_INC_TO_NET_SALES","FQ2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490" t="e">
        <f ca="1">_xll.BDH($C$478,"INC_BEF_XO_ITEMS_TO_NET_SALES","FQ2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490" t="e">
        <f ca="1">_xll.BDH($C$478,"PROF_MARGIN","FQ2 2016","FQ2 2016","Currency=INR","Period=FQ","BEST_FPERIOD_OVERRIDE=FQ","FILING_STATUS=OR","EQY_CONSOLIDATED=Y","FA_ADJUSTED=GAAP","Sort=A","Dates=H","DateFormat=P","Fill=—","Direction=H","UseDPDF=Y")</f>
        <v>#NAME?</v>
      </c>
      <c r="P490" t="e">
        <f ca="1">_xll.BDH($C$478,"NET_INCOME_TO_COMMON_MARGIN","FQ2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490" t="e">
        <f ca="1">_xll.BDH($C$478,"EFF_TAX_RATE","FQ2 2016","FQ2 2016","Currency=INR","Period=FQ","BEST_FPERIOD_OVERRIDE=FQ","FILING_STATUS=OR","EQY_CONSOLIDATED=Y","FA_ADJUSTED=GAAP","Sort=A","Dates=H","DateFormat=P","Fill=—","Direction=H","UseDPDF=Y")</f>
        <v>#NAME?</v>
      </c>
      <c r="R490" t="e">
        <f ca="1">_xll.BDH($C$478,"DVD_PAYOUT_RATIO","FQ2 2016","FQ2 2016","Currency=INR","Period=FQ","BEST_FPERIOD_OVERRIDE=FQ","FILING_STATUS=OR","EQY_CONSOLIDATED=Y","FA_ADJUSTED=GAAP","Sort=A","Dates=H","DateFormat=P","Fill=—","Direction=H","UseDPDF=Y")</f>
        <v>#NAME?</v>
      </c>
      <c r="S490" t="e">
        <f ca="1">_xll.BDH($C$478,"SUSTAIN_GROWTH_RT","FQ2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490" s="2" t="e">
        <f ca="1">_xll.BDH($C$478,"SALES_GROWTH","FQ2 2016","FQ2 2016","Currency=INR","Period=FQ","BEST_FPERIOD_OVERRIDE=FQ","FILING_STATUS=OR","EQY_CONSOLIDATED=Y","FA_ADJUSTED=GAAP","Sort=A","Dates=H","DateFormat=P","Fill=—","Direction=H","UseDPDF=Y")</f>
        <v>#NAME?</v>
      </c>
      <c r="U490" s="2" t="e">
        <f ca="1">_xll.BDH($C$478,"EBITDA_GROWTH","FQ2 2016","FQ2 2016","Currency=INR","Period=FQ","BEST_FPERIOD_OVERRIDE=FQ","FILING_STATUS=OR","EQY_CONSOLIDATED=Y","FA_ADJUSTED=GAAP","Sort=A","Dates=H","DateFormat=P","Fill=—","Direction=H","UseDPDF=Y")</f>
        <v>#NAME?</v>
      </c>
      <c r="V490" s="2" t="e">
        <f ca="1">_xll.BDH($C$478,"OPER_INC_GROWTH","FQ2 2016","FQ2 2016","Currency=INR","Period=FQ","BEST_FPERIOD_OVERRIDE=FQ","FILING_STATUS=OR","EQY_CONSOLIDATED=Y","FA_ADJUSTED=GAAP","Sort=A","Dates=H","DateFormat=P","Fill=—","Direction=H","UseDPDF=Y")</f>
        <v>#NAME?</v>
      </c>
      <c r="W490" s="2" t="e">
        <f ca="1">_xll.BDH($C$478,"EARN_FOR_COM_GROWTH","FQ2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490" s="2" t="e">
        <f ca="1">_xll.BDH($C$478,"DILUTED_EPS_AFT_XO_ITEMS_GROWTH","FQ2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490" s="2" t="e">
        <f ca="1">_xll.BDH($C$478,"DIVIDEND_PER_SHARE_1_YEAR_GROWTH","FQ2 2016","FQ2 2016","Currency=INR","Period=FQ","BEST_FPERIOD_OVERRIDE=FQ","FILING_STATUS=OR","EQY_CONSOLIDATED=Y","Sort=A","Dates=H","DateFormat=P","Fill=—","Direction=H","UseDPDF=Y")</f>
        <v>#NAME?</v>
      </c>
      <c r="Z490" s="2" t="e">
        <f ca="1">_xll.BDH($C$478,"ACCOUNTS_RECEIVABLE_GROWTH","FQ2 2016","FQ2 2016","Currency=INR","Period=FQ","BEST_FPERIOD_OVERRIDE=FQ","FILING_STATUS=OR","EQY_CONSOLIDATED=Y","Sort=A","Dates=H","DateFormat=P","Fill=—","Direction=H","UseDPDF=Y")</f>
        <v>#NAME?</v>
      </c>
      <c r="AA490" s="2" t="e">
        <f ca="1">_xll.BDH($C$478,"INVENTORY_GROWTH","FQ2 2016","FQ2 2016","Currency=INR","Period=FQ","BEST_FPERIOD_OVERRIDE=FQ","FILING_STATUS=OR","EQY_CONSOLIDATED=Y","Sort=A","Dates=H","DateFormat=P","Fill=—","Direction=H","UseDPDF=Y")</f>
        <v>#NAME?</v>
      </c>
      <c r="AB490" s="2" t="e">
        <f ca="1">_xll.BDH($C$478,"NET_FIXED_ASSETS_1_YEAR_GROWTH","FQ2 2016","FQ2 2016","Currency=INR","Period=FQ","BEST_FPERIOD_OVERRIDE=FQ","FILING_STATUS=OR","EQY_CONSOLIDATED=Y","Sort=A","Dates=H","DateFormat=P","Fill=—","Direction=H","UseDPDF=Y")</f>
        <v>#NAME?</v>
      </c>
      <c r="AC490" s="2" t="e">
        <f ca="1">_xll.BDH($C$478,"ASSET_GROWTH","FQ2 2016","FQ2 2016","Currency=INR","Period=FQ","BEST_FPERIOD_OVERRIDE=FQ","FILING_STATUS=OR","EQY_CONSOLIDATED=Y","Sort=A","Dates=H","DateFormat=P","Fill=—","Direction=H","UseDPDF=Y")</f>
        <v>#NAME?</v>
      </c>
      <c r="AD490" s="2" t="e">
        <f ca="1">_xll.BDH($C$478,"MODIFIED_WORK_CAP_GROWTH","FQ2 2016","FQ2 2016","Currency=INR","Period=FQ","BEST_FPERIOD_OVERRIDE=FQ","FILING_STATUS=OR","EQY_CONSOLIDATED=Y","Sort=A","Dates=H","DateFormat=P","Fill=—","Direction=H","UseDPDF=Y")</f>
        <v>#NAME?</v>
      </c>
      <c r="AE490" s="2" t="e">
        <f ca="1">_xll.BDH($C$478,"WORK_CAP_GROWTH","FQ2 2016","FQ2 2016","Currency=INR","Period=FQ","BEST_FPERIOD_OVERRIDE=FQ","FILING_STATUS=OR","EQY_CONSOLIDATED=Y","Sort=A","Dates=H","DateFormat=P","Fill=—","Direction=H","UseDPDF=Y")</f>
        <v>#NAME?</v>
      </c>
      <c r="AF490" s="2" t="e">
        <f ca="1">_xll.BDH($C$478,"ACCOUNTS_PAYABLE_GROWTH_1YR","FQ2 2016","FQ2 2016","Currency=INR","Period=FQ","BEST_FPERIOD_OVERRIDE=FQ","FILING_STATUS=OR","EQY_CONSOLIDATED=Y","Sort=A","Dates=H","DateFormat=P","Fill=—","Direction=H","UseDPDF=Y")</f>
        <v>#NAME?</v>
      </c>
      <c r="AG490" s="2" t="e">
        <f ca="1">_xll.BDH($C$478,"SHORT_TERM_DEBT_1_YEAR_GROWTH","FQ2 2016","FQ2 2016","Currency=INR","Period=FQ","BEST_FPERIOD_OVERRIDE=FQ","FILING_STATUS=OR","EQY_CONSOLIDATED=Y","Sort=A","Dates=H","DateFormat=P","Fill=—","Direction=H","UseDPDF=Y")</f>
        <v>#NAME?</v>
      </c>
      <c r="AH490" s="2" t="e">
        <f ca="1">_xll.BDH($C$478,"TOTAL_DEBT_1_YEAR_GROWTH","FQ2 2016","FQ2 2016","Currency=INR","Period=FQ","BEST_FPERIOD_OVERRIDE=FQ","FILING_STATUS=OR","EQY_CONSOLIDATED=Y","Sort=A","Dates=H","DateFormat=P","Fill=—","Direction=H","UseDPDF=Y")</f>
        <v>#NAME?</v>
      </c>
      <c r="AI490" s="2" t="e">
        <f ca="1">_xll.BDH($C$478,"TOTAL_EQUITY_1_YEAR_GROWTH","FQ2 2016","FQ2 2016","Currency=INR","Period=FQ","BEST_FPERIOD_OVERRIDE=FQ","FILING_STATUS=OR","EQY_CONSOLIDATED=Y","Sort=A","Dates=H","DateFormat=P","Fill=—","Direction=H","UseDPDF=Y")</f>
        <v>#NAME?</v>
      </c>
      <c r="AJ490" s="2" t="e">
        <f ca="1">_xll.BDH($C$478,"GROWTH_IN_CAP","FQ2 2016","FQ2 2016","Currency=INR","Period=FQ","BEST_FPERIOD_OVERRIDE=FQ","FILING_STATUS=OR","EQY_CONSOLIDATED=Y","Sort=A","Dates=H","DateFormat=P","Fill=—","Direction=H","UseDPDF=Y")</f>
        <v>#NAME?</v>
      </c>
      <c r="AK490" s="2" t="e">
        <f ca="1">_xll.BDH($C$478,"BVPS_GROWTH","FQ2 2016","FQ2 2016","Currency=INR","Period=FQ","BEST_FPERIOD_OVERRIDE=FQ","FILING_STATUS=OR","EQY_CONSOLIDATED=Y","Sort=A","Dates=H","DateFormat=P","Fill=—","Direction=H","UseDPDF=Y")</f>
        <v>#NAME?</v>
      </c>
      <c r="AL490" s="2" t="e">
        <f ca="1">_xll.BDH($C$478,"CASH_FLOW_GROWTH","FQ2 2016","FQ2 2016","Currency=INR","Period=FQ","BEST_FPERIOD_OVERRIDE=FQ","FILING_STATUS=OR","EQY_CONSOLIDATED=Y","Sort=A","Dates=H","DateFormat=P","Fill=—","Direction=H","UseDPDF=Y")</f>
        <v>#NAME?</v>
      </c>
      <c r="AM490" s="2" t="e">
        <f ca="1">_xll.BDH($C$478,"GEO_GROW_NET_SALES","FQ2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490" s="2" t="e">
        <f ca="1">_xll.BDH($C$478,"GEO_GROW_EBITDA","FQ2 2016","FQ2 2016","Currency=INR","Period=FQ","BEST_FPERIOD_OVERRIDE=FQ","FILING_STATUS=OR","EQY_CONSOLIDATED=Y","FA_ADJUSTED=GAAP","Sort=A","Dates=H","DateFormat=P","Fill=—","Direction=H","UseDPDF=Y")</f>
        <v>#NAME?</v>
      </c>
      <c r="AO490" s="2" t="e">
        <f ca="1">_xll.BDH($C$478,"GEO_GROW_OPER_INC","FQ2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490" s="2" t="e">
        <f ca="1">_xll.BDH($C$478,"NET_INCOME_TO_COMMON_5_YR_GROWTH","FQ2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490" s="2" t="e">
        <f ca="1">_xll.BDH($C$478,"5Y_GEO_GROWTH_DILUTED_EPS","FQ2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490" s="2" t="e">
        <f ca="1">_xll.BDH($C$478,"GEO_GROW_DVD_PER_SH","FQ2 2016","FQ2 2016","Currency=INR","Period=FQ","BEST_FPERIOD_OVERRIDE=FQ","FILING_STATUS=OR","EQY_CONSOLIDATED=Y","Sort=A","Dates=H","DateFormat=P","Fill=—","Direction=H","UseDPDF=Y")</f>
        <v>#NAME?</v>
      </c>
      <c r="AS490" s="2" t="e">
        <f ca="1">_xll.BDH($C$478,"ACCOUNTS_RECEIVABLE_5_YR_GROWTH","FQ2 2016","FQ2 2016","Currency=INR","Period=FQ","BEST_FPERIOD_OVERRIDE=FQ","FILING_STATUS=OR","EQY_CONSOLIDATED=Y","Sort=A","Dates=H","DateFormat=P","Fill=—","Direction=H","UseDPDF=Y")</f>
        <v>#NAME?</v>
      </c>
      <c r="AT490" s="2" t="e">
        <f ca="1">_xll.BDH($C$478,"INVENTORY_5_YEAR_GROWTH","FQ2 2016","FQ2 2016","Currency=INR","Period=FQ","BEST_FPERIOD_OVERRIDE=FQ","FILING_STATUS=OR","EQY_CONSOLIDATED=Y","Sort=A","Dates=H","DateFormat=P","Fill=—","Direction=H","UseDPDF=Y")</f>
        <v>#NAME?</v>
      </c>
      <c r="AU490" s="2" t="e">
        <f ca="1">_xll.BDH($C$478,"NET_FIXED_ASSETS_5_YEAR_GROWTH","FQ2 2016","FQ2 2016","Currency=INR","Period=FQ","BEST_FPERIOD_OVERRIDE=FQ","FILING_STATUS=OR","EQY_CONSOLIDATED=Y","Sort=A","Dates=H","DateFormat=P","Fill=—","Direction=H","UseDPDF=Y")</f>
        <v>#NAME?</v>
      </c>
      <c r="AV490" s="2" t="e">
        <f ca="1">_xll.BDH($C$478,"GEO_GROW_TOT_ASSET","FQ2 2016","FQ2 2016","Currency=INR","Period=FQ","BEST_FPERIOD_OVERRIDE=FQ","FILING_STATUS=OR","EQY_CONSOLIDATED=Y","Sort=A","Dates=H","DateFormat=P","Fill=—","Direction=H","UseDPDF=Y")</f>
        <v>#NAME?</v>
      </c>
      <c r="AW490" s="2" t="e">
        <f ca="1">_xll.BDH($C$478,"MODIFIED_WORKING_CPTL_5YR_GRWTH","FQ2 2016","FQ2 2016","Currency=INR","Period=FQ","BEST_FPERIOD_OVERRIDE=FQ","FILING_STATUS=OR","EQY_CONSOLIDATED=Y","Sort=A","Dates=H","DateFormat=P","Fill=—","Direction=H","UseDPDF=Y")</f>
        <v>#NAME?</v>
      </c>
      <c r="AX490" s="2" t="e">
        <f ca="1">_xll.BDH($C$478,"WORKING_CAPITAL_5_YEAR_GROWTH","FQ2 2016","FQ2 2016","Currency=INR","Period=FQ","BEST_FPERIOD_OVERRIDE=FQ","FILING_STATUS=OR","EQY_CONSOLIDATED=Y","Sort=A","Dates=H","DateFormat=P","Fill=—","Direction=H","UseDPDF=Y")</f>
        <v>#NAME?</v>
      </c>
      <c r="AY490" s="2" t="e">
        <f ca="1">_xll.BDH($C$478,"ACCOUNTS_PAYABLE_5_YEAR_GROWTH","FQ2 2016","FQ2 2016","Currency=INR","Period=FQ","BEST_FPERIOD_OVERRIDE=FQ","FILING_STATUS=OR","EQY_CONSOLIDATED=Y","Sort=A","Dates=H","DateFormat=P","Fill=—","Direction=H","UseDPDF=Y")</f>
        <v>#NAME?</v>
      </c>
      <c r="AZ490" s="2" t="e">
        <f ca="1">_xll.BDH($C$478,"SHORT_TERM_DEBT_5_YEAR_GROWTH","FQ2 2016","FQ2 2016","Currency=INR","Period=FQ","BEST_FPERIOD_OVERRIDE=FQ","FILING_STATUS=OR","EQY_CONSOLIDATED=Y","Sort=A","Dates=H","DateFormat=P","Fill=—","Direction=H","UseDPDF=Y")</f>
        <v>#NAME?</v>
      </c>
      <c r="BA490" s="2" t="e">
        <f ca="1">_xll.BDH($C$478,"TOTAL_DEBT_5_YEAR_GROWTH","FQ2 2016","FQ2 2016","Currency=INR","Period=FQ","BEST_FPERIOD_OVERRIDE=FQ","FILING_STATUS=OR","EQY_CONSOLIDATED=Y","Sort=A","Dates=H","DateFormat=P","Fill=—","Direction=H","UseDPDF=Y")</f>
        <v>#NAME?</v>
      </c>
      <c r="BB490" s="2" t="e">
        <f ca="1">_xll.BDH($C$478,"GEO_GROW_TOT_SHRHLDR_EQY","FQ2 2016","FQ2 2016","Currency=INR","Period=FQ","BEST_FPERIOD_OVERRIDE=FQ","FILING_STATUS=OR","EQY_CONSOLIDATED=Y","Sort=A","Dates=H","DateFormat=P","Fill=—","Direction=H","UseDPDF=Y")</f>
        <v>#NAME?</v>
      </c>
      <c r="BC490" s="2" t="e">
        <f ca="1">_xll.BDH($C$478,"TOTAL_CAPITAL_5_YEAR_GROWTH","FQ2 2016","FQ2 2016","Currency=INR","Period=FQ","BEST_FPERIOD_OVERRIDE=FQ","FILING_STATUS=OR","EQY_CONSOLIDATED=Y","Sort=A","Dates=H","DateFormat=P","Fill=—","Direction=H","UseDPDF=Y")</f>
        <v>#NAME?</v>
      </c>
      <c r="BD490" s="2" t="e">
        <f ca="1">_xll.BDH($C$478,"GEO_GROW_BOOK_VAL","FQ2 2016","FQ2 2016","Currency=INR","Period=FQ","BEST_FPERIOD_OVERRIDE=FQ","FILING_STATUS=OR","EQY_CONSOLIDATED=Y","Sort=A","Dates=H","DateFormat=P","Fill=—","Direction=H","UseDPDF=Y")</f>
        <v>#NAME?</v>
      </c>
      <c r="BE490" s="2" t="e">
        <f ca="1">_xll.BDH($C$478,"GEO_GROW_CASH_OPER_ACT","FQ2 2016","FQ2 2016","Currency=INR","Period=FQ","BEST_FPERIOD_OVERRIDE=FQ","FILING_STATUS=OR","EQY_CONSOLIDATED=Y","Sort=A","Dates=H","DateFormat=P","Fill=—","Direction=H","UseDPDF=Y")</f>
        <v>#NAME?</v>
      </c>
      <c r="BF490" s="2" t="e">
        <f ca="1">_xll.BDH($C$478,"REVENUE_SEQUENTIAL_GROWTH","FQ2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490" s="2" t="e">
        <f ca="1">_xll.BDH($C$478,"EBITDA_SEQUENTIAL_GROWTH","FQ2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490" s="2" t="e">
        <f ca="1">_xll.BDH($C$478,"OPERATING_INCOME_SEQ_GROWTH","FQ2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490" s="2" t="e">
        <f ca="1">_xll.BDH($C$478,"NET_INCOME_TO_COMMON_SEQ_GROWTH","FQ2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490" s="2" t="e">
        <f ca="1">_xll.BDH($C$478,"EPS_DILUTED_SEQUENTIAL_GROWTH","FQ2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490" s="2" t="e">
        <f ca="1">_xll.BDH($C$478,"DPS_SEQUENTIAL_GROWTH","FQ2 2016","FQ2 2016","Currency=INR","Period=FQ","BEST_FPERIOD_OVERRIDE=FQ","FILING_STATUS=OR","EQY_CONSOLIDATED=Y","Sort=A","Dates=H","DateFormat=P","Fill=—","Direction=H","UseDPDF=Y")</f>
        <v>#NAME?</v>
      </c>
      <c r="BL490" s="2" t="e">
        <f ca="1">_xll.BDH($C$478,"ACCOUNTS_RECEIVABLE_SEQ_GROWTH","FQ2 2016","FQ2 2016","Currency=INR","Period=FQ","BEST_FPERIOD_OVERRIDE=FQ","FILING_STATUS=OR","EQY_CONSOLIDATED=Y","Sort=A","Dates=H","DateFormat=P","Fill=—","Direction=H","UseDPDF=Y")</f>
        <v>#NAME?</v>
      </c>
      <c r="BM490" s="2" t="e">
        <f ca="1">_xll.BDH($C$478,"INVENTORY_SEQUENTIAL_GROWTH","FQ2 2016","FQ2 2016","Currency=INR","Period=FQ","BEST_FPERIOD_OVERRIDE=FQ","FILING_STATUS=OR","EQY_CONSOLIDATED=Y","Sort=A","Dates=H","DateFormat=P","Fill=—","Direction=H","UseDPDF=Y")</f>
        <v>#NAME?</v>
      </c>
      <c r="BN490" s="2" t="e">
        <f ca="1">_xll.BDH($C$478,"FIXED_ASSETS_SEQUENTIAL_GROWTH","FQ2 2016","FQ2 2016","Currency=INR","Period=FQ","BEST_FPERIOD_OVERRIDE=FQ","FILING_STATUS=OR","EQY_CONSOLIDATED=Y","Sort=A","Dates=H","DateFormat=P","Fill=—","Direction=H","UseDPDF=Y")</f>
        <v>#NAME?</v>
      </c>
      <c r="BO490" s="2" t="e">
        <f ca="1">_xll.BDH($C$478,"TOTAL_ASSETS_SEQUENTIAL_GROWTH","FQ2 2016","FQ2 2016","Currency=INR","Period=FQ","BEST_FPERIOD_OVERRIDE=FQ","FILING_STATUS=OR","EQY_CONSOLIDATED=Y","Sort=A","Dates=H","DateFormat=P","Fill=—","Direction=H","UseDPDF=Y")</f>
        <v>#NAME?</v>
      </c>
      <c r="BP490" s="2" t="e">
        <f ca="1">_xll.BDH($C$478,"MODIFIED_WORKING_CPTL_SEQ_GRWTH","FQ2 2016","FQ2 2016","Currency=INR","Period=FQ","BEST_FPERIOD_OVERRIDE=FQ","FILING_STATUS=OR","EQY_CONSOLIDATED=Y","Sort=A","Dates=H","DateFormat=P","Fill=—","Direction=H","UseDPDF=Y")</f>
        <v>#NAME?</v>
      </c>
      <c r="BQ490" s="2" t="e">
        <f ca="1">_xll.BDH($C$478,"WORKING_CAPITAL_SEQ_GROWTH","FQ2 2016","FQ2 2016","Currency=INR","Period=FQ","BEST_FPERIOD_OVERRIDE=FQ","FILING_STATUS=OR","EQY_CONSOLIDATED=Y","Sort=A","Dates=H","DateFormat=P","Fill=—","Direction=H","UseDPDF=Y")</f>
        <v>#NAME?</v>
      </c>
      <c r="BR490" s="2" t="e">
        <f ca="1">_xll.BDH($C$478,"ACCOUNTS_PAYABLE_SEQ_GROWTH","FQ2 2016","FQ2 2016","Currency=INR","Period=FQ","BEST_FPERIOD_OVERRIDE=FQ","FILING_STATUS=OR","EQY_CONSOLIDATED=Y","Sort=A","Dates=H","DateFormat=P","Fill=—","Direction=H","UseDPDF=Y")</f>
        <v>#NAME?</v>
      </c>
      <c r="BS490" s="2" t="e">
        <f ca="1">_xll.BDH($C$478,"ST_DEBT_SEQUENTIAL_GROWTH","FQ2 2016","FQ2 2016","Currency=INR","Period=FQ","BEST_FPERIOD_OVERRIDE=FQ","FILING_STATUS=OR","EQY_CONSOLIDATED=Y","Sort=A","Dates=H","DateFormat=P","Fill=—","Direction=H","UseDPDF=Y")</f>
        <v>#NAME?</v>
      </c>
      <c r="BT490" s="2" t="e">
        <f ca="1">_xll.BDH($C$478,"TOTAL_DEBT_SEQUENTIAL_GROWTH","FQ2 2016","FQ2 2016","Currency=INR","Period=FQ","BEST_FPERIOD_OVERRIDE=FQ","FILING_STATUS=OR","EQY_CONSOLIDATED=Y","Sort=A","Dates=H","DateFormat=P","Fill=—","Direction=H","UseDPDF=Y")</f>
        <v>#NAME?</v>
      </c>
      <c r="BU490" s="2" t="e">
        <f ca="1">_xll.BDH($C$478,"TOTAL_EQUITY_SEQUENTIAL_GROWTH","FQ2 2016","FQ2 2016","Currency=INR","Period=FQ","BEST_FPERIOD_OVERRIDE=FQ","FILING_STATUS=OR","EQY_CONSOLIDATED=Y","Sort=A","Dates=H","DateFormat=P","Fill=—","Direction=H","UseDPDF=Y")</f>
        <v>#NAME?</v>
      </c>
      <c r="BV490" s="2" t="e">
        <f ca="1">_xll.BDH($C$478,"TOTAL_CAPITAL_SEQUENTIAL_GROWTH","FQ2 2016","FQ2 2016","Currency=INR","Period=FQ","BEST_FPERIOD_OVERRIDE=FQ","FILING_STATUS=OR","EQY_CONSOLIDATED=Y","Sort=A","Dates=H","DateFormat=P","Fill=—","Direction=H","UseDPDF=Y")</f>
        <v>#NAME?</v>
      </c>
      <c r="BW490" s="2" t="e">
        <f ca="1">_xll.BDH($C$478,"BPS_SEQUENTIAL_GROWTH","FQ2 2016","FQ2 2016","Currency=INR","Period=FQ","BEST_FPERIOD_OVERRIDE=FQ","FILING_STATUS=OR","EQY_CONSOLIDATED=Y","Sort=A","Dates=H","DateFormat=P","Fill=—","Direction=H","UseDPDF=Y")</f>
        <v>#NAME?</v>
      </c>
      <c r="BX490" s="2" t="e">
        <f ca="1">_xll.BDH($C$478,"CFO_SEQUENTIAL_GROWTH","FQ2 2016","FQ2 2016","Currency=INR","Period=FQ","BEST_FPERIOD_OVERRIDE=FQ","FILING_STATUS=OR","EQY_CONSOLIDATED=Y","Sort=A","Dates=H","DateFormat=P","Fill=—","Direction=H","UseDPDF=Y")</f>
        <v>#NAME?</v>
      </c>
      <c r="BY490" s="3" t="e">
        <f ca="1">_xll.BDH($C$478,"SHORT_AND_LONG_TERM_DEBT","FQ2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490" s="3" t="e">
        <f ca="1">_xll.BDH($C$478,"BS_ST_BORROW","FQ2 2016","FQ2 2016","Currency=INR","Period=FQ","BEST_FPERIOD_OVERRIDE=FQ","FILING_STATUS=OR","EQY_CONSOLIDATED=Y","SCALING_FORMAT=MLN","Sort=A","Dates=H","DateFormat=P","Fill=—","Direction=H","UseDPDF=Y")</f>
        <v>#NAME?</v>
      </c>
      <c r="CA490" s="3" t="e">
        <f ca="1">_xll.BDH($C$478,"BS_LT_BORROW","FQ2 2016","FQ2 2016","Currency=INR","Period=FQ","BEST_FPERIOD_OVERRIDE=FQ","FILING_STATUS=OR","EQY_CONSOLIDATED=Y","SCALING_FORMAT=MLN","Sort=A","Dates=H","DateFormat=P","Fill=—","Direction=H","UseDPDF=Y")</f>
        <v>#NAME?</v>
      </c>
      <c r="CB490" s="2" t="e">
        <f ca="1">_xll.BDH($C$478,"TOT_DEBT_TO_EBITDA","FQ2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490" s="2" t="e">
        <f ca="1">_xll.BDH($C$478,"NET_DEBT_TO_EBITDA","FQ2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490" s="2" t="e">
        <f ca="1">_xll.BDH($C$478,"TOTAL_DEBT_TO_EBIT","FQ2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490" s="2" t="e">
        <f ca="1">_xll.BDH($C$478,"NET_DEBT_TO_EBIT","FQ2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490" s="2" t="e">
        <f ca="1">_xll.BDH($C$478,"EBITDA_TO_INTEREST_EXPN","FQ2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490" s="2" t="e">
        <f ca="1">_xll.BDH($C$478,"COM_EQY_TO_TOT_ASSET","FQ2 2016","FQ2 2016","Currency=INR","Period=FQ","BEST_FPERIOD_OVERRIDE=FQ","FILING_STATUS=OR","EQY_CONSOLIDATED=Y","Sort=A","Dates=H","DateFormat=P","Fill=—","Direction=H","UseDPDF=Y")</f>
        <v>#NAME?</v>
      </c>
      <c r="CH490" s="2" t="e">
        <f ca="1">_xll.BDH($C$478,"LT_DEBT_TO_TOT_EQY","FQ2 2016","FQ2 2016","Currency=INR","Period=FQ","BEST_FPERIOD_OVERRIDE=FQ","FILING_STATUS=OR","EQY_CONSOLIDATED=Y","Sort=A","Dates=H","DateFormat=P","Fill=—","Direction=H","UseDPDF=Y")</f>
        <v>#NAME?</v>
      </c>
      <c r="CI490" s="2" t="e">
        <f ca="1">_xll.BDH($C$478,"LT_DEBT_TO_TOT_CAP","FQ2 2016","FQ2 2016","Currency=INR","Period=FQ","BEST_FPERIOD_OVERRIDE=FQ","FILING_STATUS=OR","EQY_CONSOLIDATED=Y","Sort=A","Dates=H","DateFormat=P","Fill=—","Direction=H","UseDPDF=Y")</f>
        <v>#NAME?</v>
      </c>
      <c r="CJ490" s="2" t="e">
        <f ca="1">_xll.BDH($C$478,"LT_DEBT_TO_TOT_ASSET","FQ2 2016","FQ2 2016","Currency=INR","Period=FQ","BEST_FPERIOD_OVERRIDE=FQ","FILING_STATUS=OR","EQY_CONSOLIDATED=Y","Sort=A","Dates=H","DateFormat=P","Fill=—","Direction=H","UseDPDF=Y")</f>
        <v>#NAME?</v>
      </c>
      <c r="CK490" s="2" t="e">
        <f ca="1">_xll.BDH($C$478,"TOT_DEBT_TO_TOT_EQY","FQ2 2016","FQ2 2016","Currency=INR","Period=FQ","BEST_FPERIOD_OVERRIDE=FQ","FILING_STATUS=OR","EQY_CONSOLIDATED=Y","Sort=A","Dates=H","DateFormat=P","Fill=—","Direction=H","UseDPDF=Y")</f>
        <v>#NAME?</v>
      </c>
      <c r="CL490" s="2" t="e">
        <f ca="1">_xll.BDH($C$478,"TOT_DEBT_TO_TOT_CAP","FQ2 2016","FQ2 2016","Currency=INR","Period=FQ","BEST_FPERIOD_OVERRIDE=FQ","FILING_STATUS=OR","EQY_CONSOLIDATED=Y","Sort=A","Dates=H","DateFormat=P","Fill=—","Direction=H","UseDPDF=Y")</f>
        <v>#NAME?</v>
      </c>
      <c r="CM490" s="2" t="e">
        <f ca="1">_xll.BDH($C$478,"TOT_DEBT_TO_TOT_ASSET","FQ2 2016","FQ2 2016","Currency=INR","Period=FQ","BEST_FPERIOD_OVERRIDE=FQ","FILING_STATUS=OR","EQY_CONSOLIDATED=Y","Sort=A","Dates=H","DateFormat=P","Fill=—","Direction=H","UseDPDF=Y")</f>
        <v>#NAME?</v>
      </c>
      <c r="CN490" s="2" t="e">
        <f ca="1">_xll.BDH($C$478,"NET_DEBT_TO_SHRHLDR_EQTY","FQ2 2016","FQ2 2016","Currency=INR","Period=FQ","BEST_FPERIOD_OVERRIDE=FQ","FILING_STATUS=OR","EQY_CONSOLIDATED=Y","Sort=A","Dates=H","DateFormat=P","Fill=—","Direction=H","UseDPDF=Y")</f>
        <v>#NAME?</v>
      </c>
      <c r="CO490" s="2" t="e">
        <f ca="1">_xll.BDH($C$478,"NET_DEBT_%_CAPITAL","FQ2 2016","FQ2 2016","Currency=INR","Period=FQ","BEST_FPERIOD_OVERRIDE=FQ","FILING_STATUS=OR","EQY_CONSOLIDATED=Y","Sort=A","Dates=H","DateFormat=P","Fill=—","Direction=H","UseDPDF=Y")</f>
        <v>#NAME?</v>
      </c>
      <c r="CP490" s="3" t="e">
        <f ca="1">_xll.BDH($C$478,"EBITDA","FQ2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490" s="3" t="e">
        <f ca="1">_xll.BDH($C$478,"EBITDA_AFTER_CAPEX","FQ2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490" s="3" t="e">
        <f ca="1">_xll.BDH($C$478,"IS_OPER_INC","FQ2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490" s="2" t="e">
        <f ca="1">_xll.BDH($C$478,"CASH_RATIO","FQ2 2016","FQ2 2016","Currency=INR","Period=FQ","BEST_FPERIOD_OVERRIDE=FQ","FILING_STATUS=OR","EQY_CONSOLIDATED=Y","Sort=A","Dates=H","DateFormat=P","Fill=—","Direction=H","UseDPDF=Y")</f>
        <v>#NAME?</v>
      </c>
      <c r="CT490" s="2" t="e">
        <f ca="1">_xll.BDH($C$478,"CUR_RATIO","FQ2 2016","FQ2 2016","Currency=INR","Period=FQ","BEST_FPERIOD_OVERRIDE=FQ","FILING_STATUS=OR","EQY_CONSOLIDATED=Y","Sort=A","Dates=H","DateFormat=P","Fill=—","Direction=H","UseDPDF=Y")</f>
        <v>#NAME?</v>
      </c>
      <c r="CU490" s="2" t="e">
        <f ca="1">_xll.BDH($C$478,"QUICK_RATIO","FQ2 2016","FQ2 2016","Currency=INR","Period=FQ","BEST_FPERIOD_OVERRIDE=FQ","FILING_STATUS=OR","EQY_CONSOLIDATED=Y","Sort=A","Dates=H","DateFormat=P","Fill=—","Direction=H","UseDPDF=Y")</f>
        <v>#NAME?</v>
      </c>
      <c r="CV490" s="2" t="e">
        <f ca="1">_xll.BDH($C$478,"ALTMAN_Z_SCORE","FQ2 2016","FQ2 2016","Currency=INR","Period=FQ","BEST_FPERIOD_OVERRIDE=FQ","FILING_STATUS=OR","EQY_CONSOLIDATED=Y","Sort=A","Dates=H","DateFormat=P","Fill=—","Direction=H","UseDPDF=Y")</f>
        <v>#NAME?</v>
      </c>
      <c r="CW490" s="4" t="e">
        <f ca="1">_xll.BDH($C$478,"ACCT_RCV_TURN","FQ2 2016","FQ2 2016","Currency=INR","Period=FQ","BEST_FPERIOD_OVERRIDE=FQ","FILING_STATUS=OR","EQY_CONSOLIDATED=Y","FA_ADJUSTED=GAAP","Sort=A","Dates=H","DateFormat=P","Fill=—","Direction=H","UseDPDF=Y")</f>
        <v>#NAME?</v>
      </c>
      <c r="CX490" s="2" t="e">
        <f ca="1">_xll.BDH($C$478,"ACCT_RCV_DAYS","FQ2 2016","FQ2 2016","Currency=INR","Period=FQ","BEST_FPERIOD_OVERRIDE=FQ","FILING_STATUS=OR","EQY_CONSOLIDATED=Y","FA_ADJUSTED=GAAP","Sort=A","Dates=H","DateFormat=P","Fill=—","Direction=H","UseDPDF=Y")</f>
        <v>#NAME?</v>
      </c>
      <c r="CY490" s="4" t="e">
        <f ca="1">_xll.BDH($C$478,"INVENT_TURN","FQ2 2016","FQ2 2016","Currency=INR","Period=FQ","BEST_FPERIOD_OVERRIDE=FQ","FILING_STATUS=OR","EQY_CONSOLIDATED=Y","FA_ADJUSTED=GAAP","Sort=A","Dates=H","DateFormat=P","Fill=—","Direction=H","UseDPDF=Y")</f>
        <v>#NAME?</v>
      </c>
      <c r="CZ490" s="2" t="e">
        <f ca="1">_xll.BDH($C$478,"INVENT_DAYS","FQ2 2016","FQ2 2016","Currency=INR","Period=FQ","BEST_FPERIOD_OVERRIDE=FQ","FILING_STATUS=OR","EQY_CONSOLIDATED=Y","FA_ADJUSTED=GAAP","Sort=A","Dates=H","DateFormat=P","Fill=—","Direction=H","UseDPDF=Y")</f>
        <v>#NAME?</v>
      </c>
      <c r="DA490" s="4" t="e">
        <f ca="1">_xll.BDH($C$478,"ACCOUNTS_PAYABLE_TURNOVER","FQ2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490" s="2" t="e">
        <f ca="1">_xll.BDH($C$478,"ACCOUNTS_PAYABLE_TURNOVER_DAYS","FQ2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490" s="4" t="e">
        <f ca="1">_xll.BDH($C$478,"CASH_CONVERSION_CYCLE","FQ2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490" s="4" t="e">
        <f ca="1">_xll.BDH($C$478,"INV_TO_CASH_DAYS","FQ2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490" s="5" t="e">
        <f ca="1">_xll.BDH($C$478,"BS_INVENTORIES","FQ2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490" s="3" t="e">
        <f ca="1">_xll.BDH($C$478,"INVTRY_RAW_MATERIALS","FQ2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490" s="3" t="e">
        <f ca="1">_xll.BDH($C$478,"INVTRY_IN_PROGRESS","FQ2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490" s="3" t="e">
        <f ca="1">_xll.BDH($C$478,"INVTRY_FINISHED_GOODS","FQ2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490" s="3" t="e">
        <f ca="1">_xll.BDH($C$478,"BS_OTHER_INV","FQ2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491" spans="1:113" x14ac:dyDescent="0.3">
      <c r="A491" s="6"/>
      <c r="B491" s="6"/>
      <c r="C491" s="6"/>
      <c r="D491" s="6"/>
      <c r="E491" t="s">
        <v>80</v>
      </c>
      <c r="F491" t="e">
        <f ca="1">_xll.BDH($C$478,"RETURN_COM_EQY","FQ3 2016","FQ3 2016","Currency=INR","Period=FQ","BEST_FPERIOD_OVERRIDE=FQ","FILING_STATUS=OR","EQY_CONSOLIDATED=Y","FA_ADJUSTED=GAAP","Sort=A","Dates=H","DateFormat=P","Fill=—","Direction=H","UseDPDF=Y")</f>
        <v>#NAME?</v>
      </c>
      <c r="G491" t="e">
        <f ca="1">_xll.BDH($C$478,"RETURN_ON_ASSET","FQ3 2016","FQ3 2016","Currency=INR","Period=FQ","BEST_FPERIOD_OVERRIDE=FQ","FILING_STATUS=OR","EQY_CONSOLIDATED=Y","FA_ADJUSTED=GAAP","Sort=A","Dates=H","DateFormat=P","Fill=—","Direction=H","UseDPDF=Y")</f>
        <v>#NAME?</v>
      </c>
      <c r="H491" t="e">
        <f ca="1">_xll.BDH($C$478,"RETURN_ON_CAP","FQ3 2016","FQ3 2016","Currency=INR","Period=FQ","BEST_FPERIOD_OVERRIDE=FQ","FILING_STATUS=OR","EQY_CONSOLIDATED=Y","FA_ADJUSTED=GAAP","Sort=A","Dates=H","DateFormat=P","Fill=—","Direction=H","UseDPDF=Y")</f>
        <v>#NAME?</v>
      </c>
      <c r="I491" t="e">
        <f ca="1">_xll.BDH($C$478,"RETURN_ON_INV_CAPITAL","FQ3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491" t="e">
        <f ca="1">_xll.BDH($C$478,"EBITDA_TO_REVENUE","FQ3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491" t="e">
        <f ca="1">_xll.BDH($C$478,"OPER_MARGIN","FQ3 2016","FQ3 2016","Currency=INR","Period=FQ","BEST_FPERIOD_OVERRIDE=FQ","FILING_STATUS=OR","EQY_CONSOLIDATED=Y","FA_ADJUSTED=GAAP","Sort=A","Dates=H","DateFormat=P","Fill=—","Direction=H","UseDPDF=Y")</f>
        <v>#NAME?</v>
      </c>
      <c r="L491" t="e">
        <f ca="1">_xll.BDH($C$478,"INCREMENTAL_OPERATING_MARGIN","FQ3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491" t="e">
        <f ca="1">_xll.BDH($C$478,"PRETAX_INC_TO_NET_SALES","FQ3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491" t="e">
        <f ca="1">_xll.BDH($C$478,"INC_BEF_XO_ITEMS_TO_NET_SALES","FQ3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491" t="e">
        <f ca="1">_xll.BDH($C$478,"PROF_MARGIN","FQ3 2016","FQ3 2016","Currency=INR","Period=FQ","BEST_FPERIOD_OVERRIDE=FQ","FILING_STATUS=OR","EQY_CONSOLIDATED=Y","FA_ADJUSTED=GAAP","Sort=A","Dates=H","DateFormat=P","Fill=—","Direction=H","UseDPDF=Y")</f>
        <v>#NAME?</v>
      </c>
      <c r="P491" t="e">
        <f ca="1">_xll.BDH($C$478,"NET_INCOME_TO_COMMON_MARGIN","FQ3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491" t="e">
        <f ca="1">_xll.BDH($C$478,"EFF_TAX_RATE","FQ3 2016","FQ3 2016","Currency=INR","Period=FQ","BEST_FPERIOD_OVERRIDE=FQ","FILING_STATUS=OR","EQY_CONSOLIDATED=Y","FA_ADJUSTED=GAAP","Sort=A","Dates=H","DateFormat=P","Fill=—","Direction=H","UseDPDF=Y")</f>
        <v>#NAME?</v>
      </c>
      <c r="R491" t="e">
        <f ca="1">_xll.BDH($C$478,"DVD_PAYOUT_RATIO","FQ3 2016","FQ3 2016","Currency=INR","Period=FQ","BEST_FPERIOD_OVERRIDE=FQ","FILING_STATUS=OR","EQY_CONSOLIDATED=Y","FA_ADJUSTED=GAAP","Sort=A","Dates=H","DateFormat=P","Fill=—","Direction=H","UseDPDF=Y")</f>
        <v>#NAME?</v>
      </c>
      <c r="S491" t="e">
        <f ca="1">_xll.BDH($C$478,"SUSTAIN_GROWTH_RT","FQ3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491" s="2" t="e">
        <f ca="1">_xll.BDH($C$478,"SALES_GROWTH","FQ3 2016","FQ3 2016","Currency=INR","Period=FQ","BEST_FPERIOD_OVERRIDE=FQ","FILING_STATUS=OR","EQY_CONSOLIDATED=Y","FA_ADJUSTED=GAAP","Sort=A","Dates=H","DateFormat=P","Fill=—","Direction=H","UseDPDF=Y")</f>
        <v>#NAME?</v>
      </c>
      <c r="U491" s="2" t="e">
        <f ca="1">_xll.BDH($C$478,"EBITDA_GROWTH","FQ3 2016","FQ3 2016","Currency=INR","Period=FQ","BEST_FPERIOD_OVERRIDE=FQ","FILING_STATUS=OR","EQY_CONSOLIDATED=Y","FA_ADJUSTED=GAAP","Sort=A","Dates=H","DateFormat=P","Fill=—","Direction=H","UseDPDF=Y")</f>
        <v>#NAME?</v>
      </c>
      <c r="V491" s="2" t="e">
        <f ca="1">_xll.BDH($C$478,"OPER_INC_GROWTH","FQ3 2016","FQ3 2016","Currency=INR","Period=FQ","BEST_FPERIOD_OVERRIDE=FQ","FILING_STATUS=OR","EQY_CONSOLIDATED=Y","FA_ADJUSTED=GAAP","Sort=A","Dates=H","DateFormat=P","Fill=—","Direction=H","UseDPDF=Y")</f>
        <v>#NAME?</v>
      </c>
      <c r="W491" s="2" t="e">
        <f ca="1">_xll.BDH($C$478,"EARN_FOR_COM_GROWTH","FQ3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491" s="2" t="e">
        <f ca="1">_xll.BDH($C$478,"DILUTED_EPS_AFT_XO_ITEMS_GROWTH","FQ3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491" s="2" t="e">
        <f ca="1">_xll.BDH($C$478,"DIVIDEND_PER_SHARE_1_YEAR_GROWTH","FQ3 2016","FQ3 2016","Currency=INR","Period=FQ","BEST_FPERIOD_OVERRIDE=FQ","FILING_STATUS=OR","EQY_CONSOLIDATED=Y","Sort=A","Dates=H","DateFormat=P","Fill=—","Direction=H","UseDPDF=Y")</f>
        <v>#NAME?</v>
      </c>
      <c r="Z491" s="2" t="e">
        <f ca="1">_xll.BDH($C$478,"ACCOUNTS_RECEIVABLE_GROWTH","FQ3 2016","FQ3 2016","Currency=INR","Period=FQ","BEST_FPERIOD_OVERRIDE=FQ","FILING_STATUS=OR","EQY_CONSOLIDATED=Y","Sort=A","Dates=H","DateFormat=P","Fill=—","Direction=H","UseDPDF=Y")</f>
        <v>#NAME?</v>
      </c>
      <c r="AA491" s="2" t="e">
        <f ca="1">_xll.BDH($C$478,"INVENTORY_GROWTH","FQ3 2016","FQ3 2016","Currency=INR","Period=FQ","BEST_FPERIOD_OVERRIDE=FQ","FILING_STATUS=OR","EQY_CONSOLIDATED=Y","Sort=A","Dates=H","DateFormat=P","Fill=—","Direction=H","UseDPDF=Y")</f>
        <v>#NAME?</v>
      </c>
      <c r="AB491" s="2" t="e">
        <f ca="1">_xll.BDH($C$478,"NET_FIXED_ASSETS_1_YEAR_GROWTH","FQ3 2016","FQ3 2016","Currency=INR","Period=FQ","BEST_FPERIOD_OVERRIDE=FQ","FILING_STATUS=OR","EQY_CONSOLIDATED=Y","Sort=A","Dates=H","DateFormat=P","Fill=—","Direction=H","UseDPDF=Y")</f>
        <v>#NAME?</v>
      </c>
      <c r="AC491" s="2" t="e">
        <f ca="1">_xll.BDH($C$478,"ASSET_GROWTH","FQ3 2016","FQ3 2016","Currency=INR","Period=FQ","BEST_FPERIOD_OVERRIDE=FQ","FILING_STATUS=OR","EQY_CONSOLIDATED=Y","Sort=A","Dates=H","DateFormat=P","Fill=—","Direction=H","UseDPDF=Y")</f>
        <v>#NAME?</v>
      </c>
      <c r="AD491" s="2" t="e">
        <f ca="1">_xll.BDH($C$478,"MODIFIED_WORK_CAP_GROWTH","FQ3 2016","FQ3 2016","Currency=INR","Period=FQ","BEST_FPERIOD_OVERRIDE=FQ","FILING_STATUS=OR","EQY_CONSOLIDATED=Y","Sort=A","Dates=H","DateFormat=P","Fill=—","Direction=H","UseDPDF=Y")</f>
        <v>#NAME?</v>
      </c>
      <c r="AE491" s="2" t="e">
        <f ca="1">_xll.BDH($C$478,"WORK_CAP_GROWTH","FQ3 2016","FQ3 2016","Currency=INR","Period=FQ","BEST_FPERIOD_OVERRIDE=FQ","FILING_STATUS=OR","EQY_CONSOLIDATED=Y","Sort=A","Dates=H","DateFormat=P","Fill=—","Direction=H","UseDPDF=Y")</f>
        <v>#NAME?</v>
      </c>
      <c r="AF491" s="2" t="e">
        <f ca="1">_xll.BDH($C$478,"ACCOUNTS_PAYABLE_GROWTH_1YR","FQ3 2016","FQ3 2016","Currency=INR","Period=FQ","BEST_FPERIOD_OVERRIDE=FQ","FILING_STATUS=OR","EQY_CONSOLIDATED=Y","Sort=A","Dates=H","DateFormat=P","Fill=—","Direction=H","UseDPDF=Y")</f>
        <v>#NAME?</v>
      </c>
      <c r="AG491" s="2" t="e">
        <f ca="1">_xll.BDH($C$478,"SHORT_TERM_DEBT_1_YEAR_GROWTH","FQ3 2016","FQ3 2016","Currency=INR","Period=FQ","BEST_FPERIOD_OVERRIDE=FQ","FILING_STATUS=OR","EQY_CONSOLIDATED=Y","Sort=A","Dates=H","DateFormat=P","Fill=—","Direction=H","UseDPDF=Y")</f>
        <v>#NAME?</v>
      </c>
      <c r="AH491" s="2" t="e">
        <f ca="1">_xll.BDH($C$478,"TOTAL_DEBT_1_YEAR_GROWTH","FQ3 2016","FQ3 2016","Currency=INR","Period=FQ","BEST_FPERIOD_OVERRIDE=FQ","FILING_STATUS=OR","EQY_CONSOLIDATED=Y","Sort=A","Dates=H","DateFormat=P","Fill=—","Direction=H","UseDPDF=Y")</f>
        <v>#NAME?</v>
      </c>
      <c r="AI491" s="2" t="e">
        <f ca="1">_xll.BDH($C$478,"TOTAL_EQUITY_1_YEAR_GROWTH","FQ3 2016","FQ3 2016","Currency=INR","Period=FQ","BEST_FPERIOD_OVERRIDE=FQ","FILING_STATUS=OR","EQY_CONSOLIDATED=Y","Sort=A","Dates=H","DateFormat=P","Fill=—","Direction=H","UseDPDF=Y")</f>
        <v>#NAME?</v>
      </c>
      <c r="AJ491" s="2" t="e">
        <f ca="1">_xll.BDH($C$478,"GROWTH_IN_CAP","FQ3 2016","FQ3 2016","Currency=INR","Period=FQ","BEST_FPERIOD_OVERRIDE=FQ","FILING_STATUS=OR","EQY_CONSOLIDATED=Y","Sort=A","Dates=H","DateFormat=P","Fill=—","Direction=H","UseDPDF=Y")</f>
        <v>#NAME?</v>
      </c>
      <c r="AK491" s="2" t="e">
        <f ca="1">_xll.BDH($C$478,"BVPS_GROWTH","FQ3 2016","FQ3 2016","Currency=INR","Period=FQ","BEST_FPERIOD_OVERRIDE=FQ","FILING_STATUS=OR","EQY_CONSOLIDATED=Y","Sort=A","Dates=H","DateFormat=P","Fill=—","Direction=H","UseDPDF=Y")</f>
        <v>#NAME?</v>
      </c>
      <c r="AL491" s="2" t="e">
        <f ca="1">_xll.BDH($C$478,"CASH_FLOW_GROWTH","FQ3 2016","FQ3 2016","Currency=INR","Period=FQ","BEST_FPERIOD_OVERRIDE=FQ","FILING_STATUS=OR","EQY_CONSOLIDATED=Y","Sort=A","Dates=H","DateFormat=P","Fill=—","Direction=H","UseDPDF=Y")</f>
        <v>#NAME?</v>
      </c>
      <c r="AM491" s="2" t="e">
        <f ca="1">_xll.BDH($C$478,"GEO_GROW_NET_SALES","FQ3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491" s="2" t="e">
        <f ca="1">_xll.BDH($C$478,"GEO_GROW_EBITDA","FQ3 2016","FQ3 2016","Currency=INR","Period=FQ","BEST_FPERIOD_OVERRIDE=FQ","FILING_STATUS=OR","EQY_CONSOLIDATED=Y","FA_ADJUSTED=GAAP","Sort=A","Dates=H","DateFormat=P","Fill=—","Direction=H","UseDPDF=Y")</f>
        <v>#NAME?</v>
      </c>
      <c r="AO491" s="2" t="e">
        <f ca="1">_xll.BDH($C$478,"GEO_GROW_OPER_INC","FQ3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491" s="2" t="e">
        <f ca="1">_xll.BDH($C$478,"NET_INCOME_TO_COMMON_5_YR_GROWTH","FQ3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491" s="2" t="e">
        <f ca="1">_xll.BDH($C$478,"5Y_GEO_GROWTH_DILUTED_EPS","FQ3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491" s="2" t="e">
        <f ca="1">_xll.BDH($C$478,"GEO_GROW_DVD_PER_SH","FQ3 2016","FQ3 2016","Currency=INR","Period=FQ","BEST_FPERIOD_OVERRIDE=FQ","FILING_STATUS=OR","EQY_CONSOLIDATED=Y","Sort=A","Dates=H","DateFormat=P","Fill=—","Direction=H","UseDPDF=Y")</f>
        <v>#NAME?</v>
      </c>
      <c r="AS491" s="2" t="e">
        <f ca="1">_xll.BDH($C$478,"ACCOUNTS_RECEIVABLE_5_YR_GROWTH","FQ3 2016","FQ3 2016","Currency=INR","Period=FQ","BEST_FPERIOD_OVERRIDE=FQ","FILING_STATUS=OR","EQY_CONSOLIDATED=Y","Sort=A","Dates=H","DateFormat=P","Fill=—","Direction=H","UseDPDF=Y")</f>
        <v>#NAME?</v>
      </c>
      <c r="AT491" s="2" t="e">
        <f ca="1">_xll.BDH($C$478,"INVENTORY_5_YEAR_GROWTH","FQ3 2016","FQ3 2016","Currency=INR","Period=FQ","BEST_FPERIOD_OVERRIDE=FQ","FILING_STATUS=OR","EQY_CONSOLIDATED=Y","Sort=A","Dates=H","DateFormat=P","Fill=—","Direction=H","UseDPDF=Y")</f>
        <v>#NAME?</v>
      </c>
      <c r="AU491" s="2" t="e">
        <f ca="1">_xll.BDH($C$478,"NET_FIXED_ASSETS_5_YEAR_GROWTH","FQ3 2016","FQ3 2016","Currency=INR","Period=FQ","BEST_FPERIOD_OVERRIDE=FQ","FILING_STATUS=OR","EQY_CONSOLIDATED=Y","Sort=A","Dates=H","DateFormat=P","Fill=—","Direction=H","UseDPDF=Y")</f>
        <v>#NAME?</v>
      </c>
      <c r="AV491" s="2" t="e">
        <f ca="1">_xll.BDH($C$478,"GEO_GROW_TOT_ASSET","FQ3 2016","FQ3 2016","Currency=INR","Period=FQ","BEST_FPERIOD_OVERRIDE=FQ","FILING_STATUS=OR","EQY_CONSOLIDATED=Y","Sort=A","Dates=H","DateFormat=P","Fill=—","Direction=H","UseDPDF=Y")</f>
        <v>#NAME?</v>
      </c>
      <c r="AW491" s="2" t="e">
        <f ca="1">_xll.BDH($C$478,"MODIFIED_WORKING_CPTL_5YR_GRWTH","FQ3 2016","FQ3 2016","Currency=INR","Period=FQ","BEST_FPERIOD_OVERRIDE=FQ","FILING_STATUS=OR","EQY_CONSOLIDATED=Y","Sort=A","Dates=H","DateFormat=P","Fill=—","Direction=H","UseDPDF=Y")</f>
        <v>#NAME?</v>
      </c>
      <c r="AX491" s="2" t="e">
        <f ca="1">_xll.BDH($C$478,"WORKING_CAPITAL_5_YEAR_GROWTH","FQ3 2016","FQ3 2016","Currency=INR","Period=FQ","BEST_FPERIOD_OVERRIDE=FQ","FILING_STATUS=OR","EQY_CONSOLIDATED=Y","Sort=A","Dates=H","DateFormat=P","Fill=—","Direction=H","UseDPDF=Y")</f>
        <v>#NAME?</v>
      </c>
      <c r="AY491" s="2" t="e">
        <f ca="1">_xll.BDH($C$478,"ACCOUNTS_PAYABLE_5_YEAR_GROWTH","FQ3 2016","FQ3 2016","Currency=INR","Period=FQ","BEST_FPERIOD_OVERRIDE=FQ","FILING_STATUS=OR","EQY_CONSOLIDATED=Y","Sort=A","Dates=H","DateFormat=P","Fill=—","Direction=H","UseDPDF=Y")</f>
        <v>#NAME?</v>
      </c>
      <c r="AZ491" s="2" t="e">
        <f ca="1">_xll.BDH($C$478,"SHORT_TERM_DEBT_5_YEAR_GROWTH","FQ3 2016","FQ3 2016","Currency=INR","Period=FQ","BEST_FPERIOD_OVERRIDE=FQ","FILING_STATUS=OR","EQY_CONSOLIDATED=Y","Sort=A","Dates=H","DateFormat=P","Fill=—","Direction=H","UseDPDF=Y")</f>
        <v>#NAME?</v>
      </c>
      <c r="BA491" s="2" t="e">
        <f ca="1">_xll.BDH($C$478,"TOTAL_DEBT_5_YEAR_GROWTH","FQ3 2016","FQ3 2016","Currency=INR","Period=FQ","BEST_FPERIOD_OVERRIDE=FQ","FILING_STATUS=OR","EQY_CONSOLIDATED=Y","Sort=A","Dates=H","DateFormat=P","Fill=—","Direction=H","UseDPDF=Y")</f>
        <v>#NAME?</v>
      </c>
      <c r="BB491" s="2" t="e">
        <f ca="1">_xll.BDH($C$478,"GEO_GROW_TOT_SHRHLDR_EQY","FQ3 2016","FQ3 2016","Currency=INR","Period=FQ","BEST_FPERIOD_OVERRIDE=FQ","FILING_STATUS=OR","EQY_CONSOLIDATED=Y","Sort=A","Dates=H","DateFormat=P","Fill=—","Direction=H","UseDPDF=Y")</f>
        <v>#NAME?</v>
      </c>
      <c r="BC491" s="2" t="e">
        <f ca="1">_xll.BDH($C$478,"TOTAL_CAPITAL_5_YEAR_GROWTH","FQ3 2016","FQ3 2016","Currency=INR","Period=FQ","BEST_FPERIOD_OVERRIDE=FQ","FILING_STATUS=OR","EQY_CONSOLIDATED=Y","Sort=A","Dates=H","DateFormat=P","Fill=—","Direction=H","UseDPDF=Y")</f>
        <v>#NAME?</v>
      </c>
      <c r="BD491" s="2" t="e">
        <f ca="1">_xll.BDH($C$478,"GEO_GROW_BOOK_VAL","FQ3 2016","FQ3 2016","Currency=INR","Period=FQ","BEST_FPERIOD_OVERRIDE=FQ","FILING_STATUS=OR","EQY_CONSOLIDATED=Y","Sort=A","Dates=H","DateFormat=P","Fill=—","Direction=H","UseDPDF=Y")</f>
        <v>#NAME?</v>
      </c>
      <c r="BE491" s="2" t="e">
        <f ca="1">_xll.BDH($C$478,"GEO_GROW_CASH_OPER_ACT","FQ3 2016","FQ3 2016","Currency=INR","Period=FQ","BEST_FPERIOD_OVERRIDE=FQ","FILING_STATUS=OR","EQY_CONSOLIDATED=Y","Sort=A","Dates=H","DateFormat=P","Fill=—","Direction=H","UseDPDF=Y")</f>
        <v>#NAME?</v>
      </c>
      <c r="BF491" s="2" t="e">
        <f ca="1">_xll.BDH($C$478,"REVENUE_SEQUENTIAL_GROWTH","FQ3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491" s="2" t="e">
        <f ca="1">_xll.BDH($C$478,"EBITDA_SEQUENTIAL_GROWTH","FQ3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491" s="2" t="e">
        <f ca="1">_xll.BDH($C$478,"OPERATING_INCOME_SEQ_GROWTH","FQ3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491" s="2" t="e">
        <f ca="1">_xll.BDH($C$478,"NET_INCOME_TO_COMMON_SEQ_GROWTH","FQ3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491" s="2" t="e">
        <f ca="1">_xll.BDH($C$478,"EPS_DILUTED_SEQUENTIAL_GROWTH","FQ3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491" s="2" t="e">
        <f ca="1">_xll.BDH($C$478,"DPS_SEQUENTIAL_GROWTH","FQ3 2016","FQ3 2016","Currency=INR","Period=FQ","BEST_FPERIOD_OVERRIDE=FQ","FILING_STATUS=OR","EQY_CONSOLIDATED=Y","Sort=A","Dates=H","DateFormat=P","Fill=—","Direction=H","UseDPDF=Y")</f>
        <v>#NAME?</v>
      </c>
      <c r="BL491" s="2" t="e">
        <f ca="1">_xll.BDH($C$478,"ACCOUNTS_RECEIVABLE_SEQ_GROWTH","FQ3 2016","FQ3 2016","Currency=INR","Period=FQ","BEST_FPERIOD_OVERRIDE=FQ","FILING_STATUS=OR","EQY_CONSOLIDATED=Y","Sort=A","Dates=H","DateFormat=P","Fill=—","Direction=H","UseDPDF=Y")</f>
        <v>#NAME?</v>
      </c>
      <c r="BM491" s="2" t="e">
        <f ca="1">_xll.BDH($C$478,"INVENTORY_SEQUENTIAL_GROWTH","FQ3 2016","FQ3 2016","Currency=INR","Period=FQ","BEST_FPERIOD_OVERRIDE=FQ","FILING_STATUS=OR","EQY_CONSOLIDATED=Y","Sort=A","Dates=H","DateFormat=P","Fill=—","Direction=H","UseDPDF=Y")</f>
        <v>#NAME?</v>
      </c>
      <c r="BN491" s="2" t="e">
        <f ca="1">_xll.BDH($C$478,"FIXED_ASSETS_SEQUENTIAL_GROWTH","FQ3 2016","FQ3 2016","Currency=INR","Period=FQ","BEST_FPERIOD_OVERRIDE=FQ","FILING_STATUS=OR","EQY_CONSOLIDATED=Y","Sort=A","Dates=H","DateFormat=P","Fill=—","Direction=H","UseDPDF=Y")</f>
        <v>#NAME?</v>
      </c>
      <c r="BO491" s="2" t="e">
        <f ca="1">_xll.BDH($C$478,"TOTAL_ASSETS_SEQUENTIAL_GROWTH","FQ3 2016","FQ3 2016","Currency=INR","Period=FQ","BEST_FPERIOD_OVERRIDE=FQ","FILING_STATUS=OR","EQY_CONSOLIDATED=Y","Sort=A","Dates=H","DateFormat=P","Fill=—","Direction=H","UseDPDF=Y")</f>
        <v>#NAME?</v>
      </c>
      <c r="BP491" s="2" t="e">
        <f ca="1">_xll.BDH($C$478,"MODIFIED_WORKING_CPTL_SEQ_GRWTH","FQ3 2016","FQ3 2016","Currency=INR","Period=FQ","BEST_FPERIOD_OVERRIDE=FQ","FILING_STATUS=OR","EQY_CONSOLIDATED=Y","Sort=A","Dates=H","DateFormat=P","Fill=—","Direction=H","UseDPDF=Y")</f>
        <v>#NAME?</v>
      </c>
      <c r="BQ491" s="2" t="e">
        <f ca="1">_xll.BDH($C$478,"WORKING_CAPITAL_SEQ_GROWTH","FQ3 2016","FQ3 2016","Currency=INR","Period=FQ","BEST_FPERIOD_OVERRIDE=FQ","FILING_STATUS=OR","EQY_CONSOLIDATED=Y","Sort=A","Dates=H","DateFormat=P","Fill=—","Direction=H","UseDPDF=Y")</f>
        <v>#NAME?</v>
      </c>
      <c r="BR491" s="2" t="e">
        <f ca="1">_xll.BDH($C$478,"ACCOUNTS_PAYABLE_SEQ_GROWTH","FQ3 2016","FQ3 2016","Currency=INR","Period=FQ","BEST_FPERIOD_OVERRIDE=FQ","FILING_STATUS=OR","EQY_CONSOLIDATED=Y","Sort=A","Dates=H","DateFormat=P","Fill=—","Direction=H","UseDPDF=Y")</f>
        <v>#NAME?</v>
      </c>
      <c r="BS491" s="2" t="e">
        <f ca="1">_xll.BDH($C$478,"ST_DEBT_SEQUENTIAL_GROWTH","FQ3 2016","FQ3 2016","Currency=INR","Period=FQ","BEST_FPERIOD_OVERRIDE=FQ","FILING_STATUS=OR","EQY_CONSOLIDATED=Y","Sort=A","Dates=H","DateFormat=P","Fill=—","Direction=H","UseDPDF=Y")</f>
        <v>#NAME?</v>
      </c>
      <c r="BT491" s="2" t="e">
        <f ca="1">_xll.BDH($C$478,"TOTAL_DEBT_SEQUENTIAL_GROWTH","FQ3 2016","FQ3 2016","Currency=INR","Period=FQ","BEST_FPERIOD_OVERRIDE=FQ","FILING_STATUS=OR","EQY_CONSOLIDATED=Y","Sort=A","Dates=H","DateFormat=P","Fill=—","Direction=H","UseDPDF=Y")</f>
        <v>#NAME?</v>
      </c>
      <c r="BU491" s="2" t="e">
        <f ca="1">_xll.BDH($C$478,"TOTAL_EQUITY_SEQUENTIAL_GROWTH","FQ3 2016","FQ3 2016","Currency=INR","Period=FQ","BEST_FPERIOD_OVERRIDE=FQ","FILING_STATUS=OR","EQY_CONSOLIDATED=Y","Sort=A","Dates=H","DateFormat=P","Fill=—","Direction=H","UseDPDF=Y")</f>
        <v>#NAME?</v>
      </c>
      <c r="BV491" s="2" t="e">
        <f ca="1">_xll.BDH($C$478,"TOTAL_CAPITAL_SEQUENTIAL_GROWTH","FQ3 2016","FQ3 2016","Currency=INR","Period=FQ","BEST_FPERIOD_OVERRIDE=FQ","FILING_STATUS=OR","EQY_CONSOLIDATED=Y","Sort=A","Dates=H","DateFormat=P","Fill=—","Direction=H","UseDPDF=Y")</f>
        <v>#NAME?</v>
      </c>
      <c r="BW491" s="2" t="e">
        <f ca="1">_xll.BDH($C$478,"BPS_SEQUENTIAL_GROWTH","FQ3 2016","FQ3 2016","Currency=INR","Period=FQ","BEST_FPERIOD_OVERRIDE=FQ","FILING_STATUS=OR","EQY_CONSOLIDATED=Y","Sort=A","Dates=H","DateFormat=P","Fill=—","Direction=H","UseDPDF=Y")</f>
        <v>#NAME?</v>
      </c>
      <c r="BX491" s="2" t="e">
        <f ca="1">_xll.BDH($C$478,"CFO_SEQUENTIAL_GROWTH","FQ3 2016","FQ3 2016","Currency=INR","Period=FQ","BEST_FPERIOD_OVERRIDE=FQ","FILING_STATUS=OR","EQY_CONSOLIDATED=Y","Sort=A","Dates=H","DateFormat=P","Fill=—","Direction=H","UseDPDF=Y")</f>
        <v>#NAME?</v>
      </c>
      <c r="BY491" s="3" t="e">
        <f ca="1">_xll.BDH($C$478,"SHORT_AND_LONG_TERM_DEBT","FQ3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491" s="3" t="e">
        <f ca="1">_xll.BDH($C$478,"BS_ST_BORROW","FQ3 2016","FQ3 2016","Currency=INR","Period=FQ","BEST_FPERIOD_OVERRIDE=FQ","FILING_STATUS=OR","EQY_CONSOLIDATED=Y","SCALING_FORMAT=MLN","Sort=A","Dates=H","DateFormat=P","Fill=—","Direction=H","UseDPDF=Y")</f>
        <v>#NAME?</v>
      </c>
      <c r="CA491" s="3" t="e">
        <f ca="1">_xll.BDH($C$478,"BS_LT_BORROW","FQ3 2016","FQ3 2016","Currency=INR","Period=FQ","BEST_FPERIOD_OVERRIDE=FQ","FILING_STATUS=OR","EQY_CONSOLIDATED=Y","SCALING_FORMAT=MLN","Sort=A","Dates=H","DateFormat=P","Fill=—","Direction=H","UseDPDF=Y")</f>
        <v>#NAME?</v>
      </c>
      <c r="CB491" s="2" t="e">
        <f ca="1">_xll.BDH($C$478,"TOT_DEBT_TO_EBITDA","FQ3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491" s="2" t="e">
        <f ca="1">_xll.BDH($C$478,"NET_DEBT_TO_EBITDA","FQ3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491" s="2" t="e">
        <f ca="1">_xll.BDH($C$478,"TOTAL_DEBT_TO_EBIT","FQ3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491" s="2" t="e">
        <f ca="1">_xll.BDH($C$478,"NET_DEBT_TO_EBIT","FQ3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491" s="2" t="e">
        <f ca="1">_xll.BDH($C$478,"EBITDA_TO_INTEREST_EXPN","FQ3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491" s="2" t="e">
        <f ca="1">_xll.BDH($C$478,"COM_EQY_TO_TOT_ASSET","FQ3 2016","FQ3 2016","Currency=INR","Period=FQ","BEST_FPERIOD_OVERRIDE=FQ","FILING_STATUS=OR","EQY_CONSOLIDATED=Y","Sort=A","Dates=H","DateFormat=P","Fill=—","Direction=H","UseDPDF=Y")</f>
        <v>#NAME?</v>
      </c>
      <c r="CH491" s="2" t="e">
        <f ca="1">_xll.BDH($C$478,"LT_DEBT_TO_TOT_EQY","FQ3 2016","FQ3 2016","Currency=INR","Period=FQ","BEST_FPERIOD_OVERRIDE=FQ","FILING_STATUS=OR","EQY_CONSOLIDATED=Y","Sort=A","Dates=H","DateFormat=P","Fill=—","Direction=H","UseDPDF=Y")</f>
        <v>#NAME?</v>
      </c>
      <c r="CI491" s="2" t="e">
        <f ca="1">_xll.BDH($C$478,"LT_DEBT_TO_TOT_CAP","FQ3 2016","FQ3 2016","Currency=INR","Period=FQ","BEST_FPERIOD_OVERRIDE=FQ","FILING_STATUS=OR","EQY_CONSOLIDATED=Y","Sort=A","Dates=H","DateFormat=P","Fill=—","Direction=H","UseDPDF=Y")</f>
        <v>#NAME?</v>
      </c>
      <c r="CJ491" s="2" t="e">
        <f ca="1">_xll.BDH($C$478,"LT_DEBT_TO_TOT_ASSET","FQ3 2016","FQ3 2016","Currency=INR","Period=FQ","BEST_FPERIOD_OVERRIDE=FQ","FILING_STATUS=OR","EQY_CONSOLIDATED=Y","Sort=A","Dates=H","DateFormat=P","Fill=—","Direction=H","UseDPDF=Y")</f>
        <v>#NAME?</v>
      </c>
      <c r="CK491" s="2" t="e">
        <f ca="1">_xll.BDH($C$478,"TOT_DEBT_TO_TOT_EQY","FQ3 2016","FQ3 2016","Currency=INR","Period=FQ","BEST_FPERIOD_OVERRIDE=FQ","FILING_STATUS=OR","EQY_CONSOLIDATED=Y","Sort=A","Dates=H","DateFormat=P","Fill=—","Direction=H","UseDPDF=Y")</f>
        <v>#NAME?</v>
      </c>
      <c r="CL491" s="2" t="e">
        <f ca="1">_xll.BDH($C$478,"TOT_DEBT_TO_TOT_CAP","FQ3 2016","FQ3 2016","Currency=INR","Period=FQ","BEST_FPERIOD_OVERRIDE=FQ","FILING_STATUS=OR","EQY_CONSOLIDATED=Y","Sort=A","Dates=H","DateFormat=P","Fill=—","Direction=H","UseDPDF=Y")</f>
        <v>#NAME?</v>
      </c>
      <c r="CM491" s="2" t="e">
        <f ca="1">_xll.BDH($C$478,"TOT_DEBT_TO_TOT_ASSET","FQ3 2016","FQ3 2016","Currency=INR","Period=FQ","BEST_FPERIOD_OVERRIDE=FQ","FILING_STATUS=OR","EQY_CONSOLIDATED=Y","Sort=A","Dates=H","DateFormat=P","Fill=—","Direction=H","UseDPDF=Y")</f>
        <v>#NAME?</v>
      </c>
      <c r="CN491" s="2" t="e">
        <f ca="1">_xll.BDH($C$478,"NET_DEBT_TO_SHRHLDR_EQTY","FQ3 2016","FQ3 2016","Currency=INR","Period=FQ","BEST_FPERIOD_OVERRIDE=FQ","FILING_STATUS=OR","EQY_CONSOLIDATED=Y","Sort=A","Dates=H","DateFormat=P","Fill=—","Direction=H","UseDPDF=Y")</f>
        <v>#NAME?</v>
      </c>
      <c r="CO491" s="2" t="e">
        <f ca="1">_xll.BDH($C$478,"NET_DEBT_%_CAPITAL","FQ3 2016","FQ3 2016","Currency=INR","Period=FQ","BEST_FPERIOD_OVERRIDE=FQ","FILING_STATUS=OR","EQY_CONSOLIDATED=Y","Sort=A","Dates=H","DateFormat=P","Fill=—","Direction=H","UseDPDF=Y")</f>
        <v>#NAME?</v>
      </c>
      <c r="CP491" s="3" t="e">
        <f ca="1">_xll.BDH($C$478,"EBITDA","FQ3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491" s="3" t="e">
        <f ca="1">_xll.BDH($C$478,"EBITDA_AFTER_CAPEX","FQ3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491" s="3" t="e">
        <f ca="1">_xll.BDH($C$478,"IS_OPER_INC","FQ3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491" s="2" t="e">
        <f ca="1">_xll.BDH($C$478,"CASH_RATIO","FQ3 2016","FQ3 2016","Currency=INR","Period=FQ","BEST_FPERIOD_OVERRIDE=FQ","FILING_STATUS=OR","EQY_CONSOLIDATED=Y","Sort=A","Dates=H","DateFormat=P","Fill=—","Direction=H","UseDPDF=Y")</f>
        <v>#NAME?</v>
      </c>
      <c r="CT491" s="2" t="e">
        <f ca="1">_xll.BDH($C$478,"CUR_RATIO","FQ3 2016","FQ3 2016","Currency=INR","Period=FQ","BEST_FPERIOD_OVERRIDE=FQ","FILING_STATUS=OR","EQY_CONSOLIDATED=Y","Sort=A","Dates=H","DateFormat=P","Fill=—","Direction=H","UseDPDF=Y")</f>
        <v>#NAME?</v>
      </c>
      <c r="CU491" s="2" t="e">
        <f ca="1">_xll.BDH($C$478,"QUICK_RATIO","FQ3 2016","FQ3 2016","Currency=INR","Period=FQ","BEST_FPERIOD_OVERRIDE=FQ","FILING_STATUS=OR","EQY_CONSOLIDATED=Y","Sort=A","Dates=H","DateFormat=P","Fill=—","Direction=H","UseDPDF=Y")</f>
        <v>#NAME?</v>
      </c>
      <c r="CV491" s="2" t="e">
        <f ca="1">_xll.BDH($C$478,"ALTMAN_Z_SCORE","FQ3 2016","FQ3 2016","Currency=INR","Period=FQ","BEST_FPERIOD_OVERRIDE=FQ","FILING_STATUS=OR","EQY_CONSOLIDATED=Y","Sort=A","Dates=H","DateFormat=P","Fill=—","Direction=H","UseDPDF=Y")</f>
        <v>#NAME?</v>
      </c>
      <c r="CW491" s="4" t="e">
        <f ca="1">_xll.BDH($C$478,"ACCT_RCV_TURN","FQ3 2016","FQ3 2016","Currency=INR","Period=FQ","BEST_FPERIOD_OVERRIDE=FQ","FILING_STATUS=OR","EQY_CONSOLIDATED=Y","FA_ADJUSTED=GAAP","Sort=A","Dates=H","DateFormat=P","Fill=—","Direction=H","UseDPDF=Y")</f>
        <v>#NAME?</v>
      </c>
      <c r="CX491" s="2" t="e">
        <f ca="1">_xll.BDH($C$478,"ACCT_RCV_DAYS","FQ3 2016","FQ3 2016","Currency=INR","Period=FQ","BEST_FPERIOD_OVERRIDE=FQ","FILING_STATUS=OR","EQY_CONSOLIDATED=Y","FA_ADJUSTED=GAAP","Sort=A","Dates=H","DateFormat=P","Fill=—","Direction=H","UseDPDF=Y")</f>
        <v>#NAME?</v>
      </c>
      <c r="CY491" s="4" t="e">
        <f ca="1">_xll.BDH($C$478,"INVENT_TURN","FQ3 2016","FQ3 2016","Currency=INR","Period=FQ","BEST_FPERIOD_OVERRIDE=FQ","FILING_STATUS=OR","EQY_CONSOLIDATED=Y","FA_ADJUSTED=GAAP","Sort=A","Dates=H","DateFormat=P","Fill=—","Direction=H","UseDPDF=Y")</f>
        <v>#NAME?</v>
      </c>
      <c r="CZ491" s="2" t="e">
        <f ca="1">_xll.BDH($C$478,"INVENT_DAYS","FQ3 2016","FQ3 2016","Currency=INR","Period=FQ","BEST_FPERIOD_OVERRIDE=FQ","FILING_STATUS=OR","EQY_CONSOLIDATED=Y","FA_ADJUSTED=GAAP","Sort=A","Dates=H","DateFormat=P","Fill=—","Direction=H","UseDPDF=Y")</f>
        <v>#NAME?</v>
      </c>
      <c r="DA491" s="4" t="e">
        <f ca="1">_xll.BDH($C$478,"ACCOUNTS_PAYABLE_TURNOVER","FQ3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491" s="2" t="e">
        <f ca="1">_xll.BDH($C$478,"ACCOUNTS_PAYABLE_TURNOVER_DAYS","FQ3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491" s="4" t="e">
        <f ca="1">_xll.BDH($C$478,"CASH_CONVERSION_CYCLE","FQ3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491" s="4" t="e">
        <f ca="1">_xll.BDH($C$478,"INV_TO_CASH_DAYS","FQ3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491" s="5" t="e">
        <f ca="1">_xll.BDH($C$478,"BS_INVENTORIES","FQ3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491" s="3" t="e">
        <f ca="1">_xll.BDH($C$478,"INVTRY_RAW_MATERIALS","FQ3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491" s="3" t="e">
        <f ca="1">_xll.BDH($C$478,"INVTRY_IN_PROGRESS","FQ3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491" s="3" t="e">
        <f ca="1">_xll.BDH($C$478,"INVTRY_FINISHED_GOODS","FQ3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491" s="3" t="e">
        <f ca="1">_xll.BDH($C$478,"BS_OTHER_INV","FQ3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492" spans="1:113" x14ac:dyDescent="0.3">
      <c r="A492" s="6"/>
      <c r="B492" s="6"/>
      <c r="C492" s="6"/>
      <c r="D492" s="6"/>
      <c r="E492" t="s">
        <v>81</v>
      </c>
      <c r="F492" t="e">
        <f ca="1">_xll.BDH($C$478,"RETURN_COM_EQY","FQ4 2016","FQ4 2016","Currency=INR","Period=FQ","BEST_FPERIOD_OVERRIDE=FQ","FILING_STATUS=OR","EQY_CONSOLIDATED=Y","FA_ADJUSTED=GAAP","Sort=A","Dates=H","DateFormat=P","Fill=—","Direction=H","UseDPDF=Y")</f>
        <v>#NAME?</v>
      </c>
      <c r="G492" t="e">
        <f ca="1">_xll.BDH($C$478,"RETURN_ON_ASSET","FQ4 2016","FQ4 2016","Currency=INR","Period=FQ","BEST_FPERIOD_OVERRIDE=FQ","FILING_STATUS=OR","EQY_CONSOLIDATED=Y","FA_ADJUSTED=GAAP","Sort=A","Dates=H","DateFormat=P","Fill=—","Direction=H","UseDPDF=Y")</f>
        <v>#NAME?</v>
      </c>
      <c r="H492" t="e">
        <f ca="1">_xll.BDH($C$478,"RETURN_ON_CAP","FQ4 2016","FQ4 2016","Currency=INR","Period=FQ","BEST_FPERIOD_OVERRIDE=FQ","FILING_STATUS=OR","EQY_CONSOLIDATED=Y","FA_ADJUSTED=GAAP","Sort=A","Dates=H","DateFormat=P","Fill=—","Direction=H","UseDPDF=Y")</f>
        <v>#NAME?</v>
      </c>
      <c r="I492" t="e">
        <f ca="1">_xll.BDH($C$478,"RETURN_ON_INV_CAPITAL","FQ4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492" t="e">
        <f ca="1">_xll.BDH($C$478,"EBITDA_TO_REVENUE","FQ4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492" t="e">
        <f ca="1">_xll.BDH($C$478,"OPER_MARGIN","FQ4 2016","FQ4 2016","Currency=INR","Period=FQ","BEST_FPERIOD_OVERRIDE=FQ","FILING_STATUS=OR","EQY_CONSOLIDATED=Y","FA_ADJUSTED=GAAP","Sort=A","Dates=H","DateFormat=P","Fill=—","Direction=H","UseDPDF=Y")</f>
        <v>#NAME?</v>
      </c>
      <c r="L492" t="e">
        <f ca="1">_xll.BDH($C$478,"INCREMENTAL_OPERATING_MARGIN","FQ4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492" t="e">
        <f ca="1">_xll.BDH($C$478,"PRETAX_INC_TO_NET_SALES","FQ4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492" t="e">
        <f ca="1">_xll.BDH($C$478,"INC_BEF_XO_ITEMS_TO_NET_SALES","FQ4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492" t="e">
        <f ca="1">_xll.BDH($C$478,"PROF_MARGIN","FQ4 2016","FQ4 2016","Currency=INR","Period=FQ","BEST_FPERIOD_OVERRIDE=FQ","FILING_STATUS=OR","EQY_CONSOLIDATED=Y","FA_ADJUSTED=GAAP","Sort=A","Dates=H","DateFormat=P","Fill=—","Direction=H","UseDPDF=Y")</f>
        <v>#NAME?</v>
      </c>
      <c r="P492" t="e">
        <f ca="1">_xll.BDH($C$478,"NET_INCOME_TO_COMMON_MARGIN","FQ4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492" t="e">
        <f ca="1">_xll.BDH($C$478,"EFF_TAX_RATE","FQ4 2016","FQ4 2016","Currency=INR","Period=FQ","BEST_FPERIOD_OVERRIDE=FQ","FILING_STATUS=OR","EQY_CONSOLIDATED=Y","FA_ADJUSTED=GAAP","Sort=A","Dates=H","DateFormat=P","Fill=—","Direction=H","UseDPDF=Y")</f>
        <v>#NAME?</v>
      </c>
      <c r="R492" t="e">
        <f ca="1">_xll.BDH($C$478,"DVD_PAYOUT_RATIO","FQ4 2016","FQ4 2016","Currency=INR","Period=FQ","BEST_FPERIOD_OVERRIDE=FQ","FILING_STATUS=OR","EQY_CONSOLIDATED=Y","FA_ADJUSTED=GAAP","Sort=A","Dates=H","DateFormat=P","Fill=—","Direction=H","UseDPDF=Y")</f>
        <v>#NAME?</v>
      </c>
      <c r="S492" t="e">
        <f ca="1">_xll.BDH($C$478,"SUSTAIN_GROWTH_RT","FQ4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492" s="2" t="e">
        <f ca="1">_xll.BDH($C$478,"SALES_GROWTH","FQ4 2016","FQ4 2016","Currency=INR","Period=FQ","BEST_FPERIOD_OVERRIDE=FQ","FILING_STATUS=OR","EQY_CONSOLIDATED=Y","FA_ADJUSTED=GAAP","Sort=A","Dates=H","DateFormat=P","Fill=—","Direction=H","UseDPDF=Y")</f>
        <v>#NAME?</v>
      </c>
      <c r="U492" s="2" t="e">
        <f ca="1">_xll.BDH($C$478,"EBITDA_GROWTH","FQ4 2016","FQ4 2016","Currency=INR","Period=FQ","BEST_FPERIOD_OVERRIDE=FQ","FILING_STATUS=OR","EQY_CONSOLIDATED=Y","FA_ADJUSTED=GAAP","Sort=A","Dates=H","DateFormat=P","Fill=—","Direction=H","UseDPDF=Y")</f>
        <v>#NAME?</v>
      </c>
      <c r="V492" s="2" t="e">
        <f ca="1">_xll.BDH($C$478,"OPER_INC_GROWTH","FQ4 2016","FQ4 2016","Currency=INR","Period=FQ","BEST_FPERIOD_OVERRIDE=FQ","FILING_STATUS=OR","EQY_CONSOLIDATED=Y","FA_ADJUSTED=GAAP","Sort=A","Dates=H","DateFormat=P","Fill=—","Direction=H","UseDPDF=Y")</f>
        <v>#NAME?</v>
      </c>
      <c r="W492" s="2" t="e">
        <f ca="1">_xll.BDH($C$478,"EARN_FOR_COM_GROWTH","FQ4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492" s="2" t="e">
        <f ca="1">_xll.BDH($C$478,"DILUTED_EPS_AFT_XO_ITEMS_GROWTH","FQ4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492" s="2" t="e">
        <f ca="1">_xll.BDH($C$478,"DIVIDEND_PER_SHARE_1_YEAR_GROWTH","FQ4 2016","FQ4 2016","Currency=INR","Period=FQ","BEST_FPERIOD_OVERRIDE=FQ","FILING_STATUS=OR","EQY_CONSOLIDATED=Y","Sort=A","Dates=H","DateFormat=P","Fill=—","Direction=H","UseDPDF=Y")</f>
        <v>#NAME?</v>
      </c>
      <c r="Z492" s="2" t="e">
        <f ca="1">_xll.BDH($C$478,"ACCOUNTS_RECEIVABLE_GROWTH","FQ4 2016","FQ4 2016","Currency=INR","Period=FQ","BEST_FPERIOD_OVERRIDE=FQ","FILING_STATUS=OR","EQY_CONSOLIDATED=Y","Sort=A","Dates=H","DateFormat=P","Fill=—","Direction=H","UseDPDF=Y")</f>
        <v>#NAME?</v>
      </c>
      <c r="AA492" s="2" t="e">
        <f ca="1">_xll.BDH($C$478,"INVENTORY_GROWTH","FQ4 2016","FQ4 2016","Currency=INR","Period=FQ","BEST_FPERIOD_OVERRIDE=FQ","FILING_STATUS=OR","EQY_CONSOLIDATED=Y","Sort=A","Dates=H","DateFormat=P","Fill=—","Direction=H","UseDPDF=Y")</f>
        <v>#NAME?</v>
      </c>
      <c r="AB492" s="2" t="e">
        <f ca="1">_xll.BDH($C$478,"NET_FIXED_ASSETS_1_YEAR_GROWTH","FQ4 2016","FQ4 2016","Currency=INR","Period=FQ","BEST_FPERIOD_OVERRIDE=FQ","FILING_STATUS=OR","EQY_CONSOLIDATED=Y","Sort=A","Dates=H","DateFormat=P","Fill=—","Direction=H","UseDPDF=Y")</f>
        <v>#NAME?</v>
      </c>
      <c r="AC492" s="2" t="e">
        <f ca="1">_xll.BDH($C$478,"ASSET_GROWTH","FQ4 2016","FQ4 2016","Currency=INR","Period=FQ","BEST_FPERIOD_OVERRIDE=FQ","FILING_STATUS=OR","EQY_CONSOLIDATED=Y","Sort=A","Dates=H","DateFormat=P","Fill=—","Direction=H","UseDPDF=Y")</f>
        <v>#NAME?</v>
      </c>
      <c r="AD492" s="2" t="e">
        <f ca="1">_xll.BDH($C$478,"MODIFIED_WORK_CAP_GROWTH","FQ4 2016","FQ4 2016","Currency=INR","Period=FQ","BEST_FPERIOD_OVERRIDE=FQ","FILING_STATUS=OR","EQY_CONSOLIDATED=Y","Sort=A","Dates=H","DateFormat=P","Fill=—","Direction=H","UseDPDF=Y")</f>
        <v>#NAME?</v>
      </c>
      <c r="AE492" s="2" t="e">
        <f ca="1">_xll.BDH($C$478,"WORK_CAP_GROWTH","FQ4 2016","FQ4 2016","Currency=INR","Period=FQ","BEST_FPERIOD_OVERRIDE=FQ","FILING_STATUS=OR","EQY_CONSOLIDATED=Y","Sort=A","Dates=H","DateFormat=P","Fill=—","Direction=H","UseDPDF=Y")</f>
        <v>#NAME?</v>
      </c>
      <c r="AF492" s="2" t="e">
        <f ca="1">_xll.BDH($C$478,"ACCOUNTS_PAYABLE_GROWTH_1YR","FQ4 2016","FQ4 2016","Currency=INR","Period=FQ","BEST_FPERIOD_OVERRIDE=FQ","FILING_STATUS=OR","EQY_CONSOLIDATED=Y","Sort=A","Dates=H","DateFormat=P","Fill=—","Direction=H","UseDPDF=Y")</f>
        <v>#NAME?</v>
      </c>
      <c r="AG492" s="2" t="e">
        <f ca="1">_xll.BDH($C$478,"SHORT_TERM_DEBT_1_YEAR_GROWTH","FQ4 2016","FQ4 2016","Currency=INR","Period=FQ","BEST_FPERIOD_OVERRIDE=FQ","FILING_STATUS=OR","EQY_CONSOLIDATED=Y","Sort=A","Dates=H","DateFormat=P","Fill=—","Direction=H","UseDPDF=Y")</f>
        <v>#NAME?</v>
      </c>
      <c r="AH492" s="2" t="e">
        <f ca="1">_xll.BDH($C$478,"TOTAL_DEBT_1_YEAR_GROWTH","FQ4 2016","FQ4 2016","Currency=INR","Period=FQ","BEST_FPERIOD_OVERRIDE=FQ","FILING_STATUS=OR","EQY_CONSOLIDATED=Y","Sort=A","Dates=H","DateFormat=P","Fill=—","Direction=H","UseDPDF=Y")</f>
        <v>#NAME?</v>
      </c>
      <c r="AI492" s="2" t="e">
        <f ca="1">_xll.BDH($C$478,"TOTAL_EQUITY_1_YEAR_GROWTH","FQ4 2016","FQ4 2016","Currency=INR","Period=FQ","BEST_FPERIOD_OVERRIDE=FQ","FILING_STATUS=OR","EQY_CONSOLIDATED=Y","Sort=A","Dates=H","DateFormat=P","Fill=—","Direction=H","UseDPDF=Y")</f>
        <v>#NAME?</v>
      </c>
      <c r="AJ492" s="2" t="e">
        <f ca="1">_xll.BDH($C$478,"GROWTH_IN_CAP","FQ4 2016","FQ4 2016","Currency=INR","Period=FQ","BEST_FPERIOD_OVERRIDE=FQ","FILING_STATUS=OR","EQY_CONSOLIDATED=Y","Sort=A","Dates=H","DateFormat=P","Fill=—","Direction=H","UseDPDF=Y")</f>
        <v>#NAME?</v>
      </c>
      <c r="AK492" s="2" t="e">
        <f ca="1">_xll.BDH($C$478,"BVPS_GROWTH","FQ4 2016","FQ4 2016","Currency=INR","Period=FQ","BEST_FPERIOD_OVERRIDE=FQ","FILING_STATUS=OR","EQY_CONSOLIDATED=Y","Sort=A","Dates=H","DateFormat=P","Fill=—","Direction=H","UseDPDF=Y")</f>
        <v>#NAME?</v>
      </c>
      <c r="AL492" s="2" t="e">
        <f ca="1">_xll.BDH($C$478,"CASH_FLOW_GROWTH","FQ4 2016","FQ4 2016","Currency=INR","Period=FQ","BEST_FPERIOD_OVERRIDE=FQ","FILING_STATUS=OR","EQY_CONSOLIDATED=Y","Sort=A","Dates=H","DateFormat=P","Fill=—","Direction=H","UseDPDF=Y")</f>
        <v>#NAME?</v>
      </c>
      <c r="AM492" s="2" t="e">
        <f ca="1">_xll.BDH($C$478,"GEO_GROW_NET_SALES","FQ4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492" s="2" t="e">
        <f ca="1">_xll.BDH($C$478,"GEO_GROW_EBITDA","FQ4 2016","FQ4 2016","Currency=INR","Period=FQ","BEST_FPERIOD_OVERRIDE=FQ","FILING_STATUS=OR","EQY_CONSOLIDATED=Y","FA_ADJUSTED=GAAP","Sort=A","Dates=H","DateFormat=P","Fill=—","Direction=H","UseDPDF=Y")</f>
        <v>#NAME?</v>
      </c>
      <c r="AO492" s="2" t="e">
        <f ca="1">_xll.BDH($C$478,"GEO_GROW_OPER_INC","FQ4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492" s="2" t="e">
        <f ca="1">_xll.BDH($C$478,"NET_INCOME_TO_COMMON_5_YR_GROWTH","FQ4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492" s="2" t="e">
        <f ca="1">_xll.BDH($C$478,"5Y_GEO_GROWTH_DILUTED_EPS","FQ4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492" s="2" t="e">
        <f ca="1">_xll.BDH($C$478,"GEO_GROW_DVD_PER_SH","FQ4 2016","FQ4 2016","Currency=INR","Period=FQ","BEST_FPERIOD_OVERRIDE=FQ","FILING_STATUS=OR","EQY_CONSOLIDATED=Y","Sort=A","Dates=H","DateFormat=P","Fill=—","Direction=H","UseDPDF=Y")</f>
        <v>#NAME?</v>
      </c>
      <c r="AS492" s="2" t="e">
        <f ca="1">_xll.BDH($C$478,"ACCOUNTS_RECEIVABLE_5_YR_GROWTH","FQ4 2016","FQ4 2016","Currency=INR","Period=FQ","BEST_FPERIOD_OVERRIDE=FQ","FILING_STATUS=OR","EQY_CONSOLIDATED=Y","Sort=A","Dates=H","DateFormat=P","Fill=—","Direction=H","UseDPDF=Y")</f>
        <v>#NAME?</v>
      </c>
      <c r="AT492" s="2" t="e">
        <f ca="1">_xll.BDH($C$478,"INVENTORY_5_YEAR_GROWTH","FQ4 2016","FQ4 2016","Currency=INR","Period=FQ","BEST_FPERIOD_OVERRIDE=FQ","FILING_STATUS=OR","EQY_CONSOLIDATED=Y","Sort=A","Dates=H","DateFormat=P","Fill=—","Direction=H","UseDPDF=Y")</f>
        <v>#NAME?</v>
      </c>
      <c r="AU492" s="2" t="e">
        <f ca="1">_xll.BDH($C$478,"NET_FIXED_ASSETS_5_YEAR_GROWTH","FQ4 2016","FQ4 2016","Currency=INR","Period=FQ","BEST_FPERIOD_OVERRIDE=FQ","FILING_STATUS=OR","EQY_CONSOLIDATED=Y","Sort=A","Dates=H","DateFormat=P","Fill=—","Direction=H","UseDPDF=Y")</f>
        <v>#NAME?</v>
      </c>
      <c r="AV492" s="2" t="e">
        <f ca="1">_xll.BDH($C$478,"GEO_GROW_TOT_ASSET","FQ4 2016","FQ4 2016","Currency=INR","Period=FQ","BEST_FPERIOD_OVERRIDE=FQ","FILING_STATUS=OR","EQY_CONSOLIDATED=Y","Sort=A","Dates=H","DateFormat=P","Fill=—","Direction=H","UseDPDF=Y")</f>
        <v>#NAME?</v>
      </c>
      <c r="AW492" s="2" t="e">
        <f ca="1">_xll.BDH($C$478,"MODIFIED_WORKING_CPTL_5YR_GRWTH","FQ4 2016","FQ4 2016","Currency=INR","Period=FQ","BEST_FPERIOD_OVERRIDE=FQ","FILING_STATUS=OR","EQY_CONSOLIDATED=Y","Sort=A","Dates=H","DateFormat=P","Fill=—","Direction=H","UseDPDF=Y")</f>
        <v>#NAME?</v>
      </c>
      <c r="AX492" s="2" t="e">
        <f ca="1">_xll.BDH($C$478,"WORKING_CAPITAL_5_YEAR_GROWTH","FQ4 2016","FQ4 2016","Currency=INR","Period=FQ","BEST_FPERIOD_OVERRIDE=FQ","FILING_STATUS=OR","EQY_CONSOLIDATED=Y","Sort=A","Dates=H","DateFormat=P","Fill=—","Direction=H","UseDPDF=Y")</f>
        <v>#NAME?</v>
      </c>
      <c r="AY492" s="2" t="e">
        <f ca="1">_xll.BDH($C$478,"ACCOUNTS_PAYABLE_5_YEAR_GROWTH","FQ4 2016","FQ4 2016","Currency=INR","Period=FQ","BEST_FPERIOD_OVERRIDE=FQ","FILING_STATUS=OR","EQY_CONSOLIDATED=Y","Sort=A","Dates=H","DateFormat=P","Fill=—","Direction=H","UseDPDF=Y")</f>
        <v>#NAME?</v>
      </c>
      <c r="AZ492" s="2" t="e">
        <f ca="1">_xll.BDH($C$478,"SHORT_TERM_DEBT_5_YEAR_GROWTH","FQ4 2016","FQ4 2016","Currency=INR","Period=FQ","BEST_FPERIOD_OVERRIDE=FQ","FILING_STATUS=OR","EQY_CONSOLIDATED=Y","Sort=A","Dates=H","DateFormat=P","Fill=—","Direction=H","UseDPDF=Y")</f>
        <v>#NAME?</v>
      </c>
      <c r="BA492" s="2" t="e">
        <f ca="1">_xll.BDH($C$478,"TOTAL_DEBT_5_YEAR_GROWTH","FQ4 2016","FQ4 2016","Currency=INR","Period=FQ","BEST_FPERIOD_OVERRIDE=FQ","FILING_STATUS=OR","EQY_CONSOLIDATED=Y","Sort=A","Dates=H","DateFormat=P","Fill=—","Direction=H","UseDPDF=Y")</f>
        <v>#NAME?</v>
      </c>
      <c r="BB492" s="2" t="e">
        <f ca="1">_xll.BDH($C$478,"GEO_GROW_TOT_SHRHLDR_EQY","FQ4 2016","FQ4 2016","Currency=INR","Period=FQ","BEST_FPERIOD_OVERRIDE=FQ","FILING_STATUS=OR","EQY_CONSOLIDATED=Y","Sort=A","Dates=H","DateFormat=P","Fill=—","Direction=H","UseDPDF=Y")</f>
        <v>#NAME?</v>
      </c>
      <c r="BC492" s="2" t="e">
        <f ca="1">_xll.BDH($C$478,"TOTAL_CAPITAL_5_YEAR_GROWTH","FQ4 2016","FQ4 2016","Currency=INR","Period=FQ","BEST_FPERIOD_OVERRIDE=FQ","FILING_STATUS=OR","EQY_CONSOLIDATED=Y","Sort=A","Dates=H","DateFormat=P","Fill=—","Direction=H","UseDPDF=Y")</f>
        <v>#NAME?</v>
      </c>
      <c r="BD492" s="2" t="e">
        <f ca="1">_xll.BDH($C$478,"GEO_GROW_BOOK_VAL","FQ4 2016","FQ4 2016","Currency=INR","Period=FQ","BEST_FPERIOD_OVERRIDE=FQ","FILING_STATUS=OR","EQY_CONSOLIDATED=Y","Sort=A","Dates=H","DateFormat=P","Fill=—","Direction=H","UseDPDF=Y")</f>
        <v>#NAME?</v>
      </c>
      <c r="BE492" s="2" t="e">
        <f ca="1">_xll.BDH($C$478,"GEO_GROW_CASH_OPER_ACT","FQ4 2016","FQ4 2016","Currency=INR","Period=FQ","BEST_FPERIOD_OVERRIDE=FQ","FILING_STATUS=OR","EQY_CONSOLIDATED=Y","Sort=A","Dates=H","DateFormat=P","Fill=—","Direction=H","UseDPDF=Y")</f>
        <v>#NAME?</v>
      </c>
      <c r="BF492" s="2" t="e">
        <f ca="1">_xll.BDH($C$478,"REVENUE_SEQUENTIAL_GROWTH","FQ4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492" s="2" t="e">
        <f ca="1">_xll.BDH($C$478,"EBITDA_SEQUENTIAL_GROWTH","FQ4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492" s="2" t="e">
        <f ca="1">_xll.BDH($C$478,"OPERATING_INCOME_SEQ_GROWTH","FQ4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492" s="2" t="e">
        <f ca="1">_xll.BDH($C$478,"NET_INCOME_TO_COMMON_SEQ_GROWTH","FQ4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492" s="2" t="e">
        <f ca="1">_xll.BDH($C$478,"EPS_DILUTED_SEQUENTIAL_GROWTH","FQ4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492" s="2" t="e">
        <f ca="1">_xll.BDH($C$478,"DPS_SEQUENTIAL_GROWTH","FQ4 2016","FQ4 2016","Currency=INR","Period=FQ","BEST_FPERIOD_OVERRIDE=FQ","FILING_STATUS=OR","EQY_CONSOLIDATED=Y","Sort=A","Dates=H","DateFormat=P","Fill=—","Direction=H","UseDPDF=Y")</f>
        <v>#NAME?</v>
      </c>
      <c r="BL492" s="2" t="e">
        <f ca="1">_xll.BDH($C$478,"ACCOUNTS_RECEIVABLE_SEQ_GROWTH","FQ4 2016","FQ4 2016","Currency=INR","Period=FQ","BEST_FPERIOD_OVERRIDE=FQ","FILING_STATUS=OR","EQY_CONSOLIDATED=Y","Sort=A","Dates=H","DateFormat=P","Fill=—","Direction=H","UseDPDF=Y")</f>
        <v>#NAME?</v>
      </c>
      <c r="BM492" s="2" t="e">
        <f ca="1">_xll.BDH($C$478,"INVENTORY_SEQUENTIAL_GROWTH","FQ4 2016","FQ4 2016","Currency=INR","Period=FQ","BEST_FPERIOD_OVERRIDE=FQ","FILING_STATUS=OR","EQY_CONSOLIDATED=Y","Sort=A","Dates=H","DateFormat=P","Fill=—","Direction=H","UseDPDF=Y")</f>
        <v>#NAME?</v>
      </c>
      <c r="BN492" s="2" t="e">
        <f ca="1">_xll.BDH($C$478,"FIXED_ASSETS_SEQUENTIAL_GROWTH","FQ4 2016","FQ4 2016","Currency=INR","Period=FQ","BEST_FPERIOD_OVERRIDE=FQ","FILING_STATUS=OR","EQY_CONSOLIDATED=Y","Sort=A","Dates=H","DateFormat=P","Fill=—","Direction=H","UseDPDF=Y")</f>
        <v>#NAME?</v>
      </c>
      <c r="BO492" s="2" t="e">
        <f ca="1">_xll.BDH($C$478,"TOTAL_ASSETS_SEQUENTIAL_GROWTH","FQ4 2016","FQ4 2016","Currency=INR","Period=FQ","BEST_FPERIOD_OVERRIDE=FQ","FILING_STATUS=OR","EQY_CONSOLIDATED=Y","Sort=A","Dates=H","DateFormat=P","Fill=—","Direction=H","UseDPDF=Y")</f>
        <v>#NAME?</v>
      </c>
      <c r="BP492" s="2" t="e">
        <f ca="1">_xll.BDH($C$478,"MODIFIED_WORKING_CPTL_SEQ_GRWTH","FQ4 2016","FQ4 2016","Currency=INR","Period=FQ","BEST_FPERIOD_OVERRIDE=FQ","FILING_STATUS=OR","EQY_CONSOLIDATED=Y","Sort=A","Dates=H","DateFormat=P","Fill=—","Direction=H","UseDPDF=Y")</f>
        <v>#NAME?</v>
      </c>
      <c r="BQ492" s="2" t="e">
        <f ca="1">_xll.BDH($C$478,"WORKING_CAPITAL_SEQ_GROWTH","FQ4 2016","FQ4 2016","Currency=INR","Period=FQ","BEST_FPERIOD_OVERRIDE=FQ","FILING_STATUS=OR","EQY_CONSOLIDATED=Y","Sort=A","Dates=H","DateFormat=P","Fill=—","Direction=H","UseDPDF=Y")</f>
        <v>#NAME?</v>
      </c>
      <c r="BR492" s="2" t="e">
        <f ca="1">_xll.BDH($C$478,"ACCOUNTS_PAYABLE_SEQ_GROWTH","FQ4 2016","FQ4 2016","Currency=INR","Period=FQ","BEST_FPERIOD_OVERRIDE=FQ","FILING_STATUS=OR","EQY_CONSOLIDATED=Y","Sort=A","Dates=H","DateFormat=P","Fill=—","Direction=H","UseDPDF=Y")</f>
        <v>#NAME?</v>
      </c>
      <c r="BS492" s="2" t="e">
        <f ca="1">_xll.BDH($C$478,"ST_DEBT_SEQUENTIAL_GROWTH","FQ4 2016","FQ4 2016","Currency=INR","Period=FQ","BEST_FPERIOD_OVERRIDE=FQ","FILING_STATUS=OR","EQY_CONSOLIDATED=Y","Sort=A","Dates=H","DateFormat=P","Fill=—","Direction=H","UseDPDF=Y")</f>
        <v>#NAME?</v>
      </c>
      <c r="BT492" s="2" t="e">
        <f ca="1">_xll.BDH($C$478,"TOTAL_DEBT_SEQUENTIAL_GROWTH","FQ4 2016","FQ4 2016","Currency=INR","Period=FQ","BEST_FPERIOD_OVERRIDE=FQ","FILING_STATUS=OR","EQY_CONSOLIDATED=Y","Sort=A","Dates=H","DateFormat=P","Fill=—","Direction=H","UseDPDF=Y")</f>
        <v>#NAME?</v>
      </c>
      <c r="BU492" s="2" t="e">
        <f ca="1">_xll.BDH($C$478,"TOTAL_EQUITY_SEQUENTIAL_GROWTH","FQ4 2016","FQ4 2016","Currency=INR","Period=FQ","BEST_FPERIOD_OVERRIDE=FQ","FILING_STATUS=OR","EQY_CONSOLIDATED=Y","Sort=A","Dates=H","DateFormat=P","Fill=—","Direction=H","UseDPDF=Y")</f>
        <v>#NAME?</v>
      </c>
      <c r="BV492" s="2" t="e">
        <f ca="1">_xll.BDH($C$478,"TOTAL_CAPITAL_SEQUENTIAL_GROWTH","FQ4 2016","FQ4 2016","Currency=INR","Period=FQ","BEST_FPERIOD_OVERRIDE=FQ","FILING_STATUS=OR","EQY_CONSOLIDATED=Y","Sort=A","Dates=H","DateFormat=P","Fill=—","Direction=H","UseDPDF=Y")</f>
        <v>#NAME?</v>
      </c>
      <c r="BW492" s="2" t="e">
        <f ca="1">_xll.BDH($C$478,"BPS_SEQUENTIAL_GROWTH","FQ4 2016","FQ4 2016","Currency=INR","Period=FQ","BEST_FPERIOD_OVERRIDE=FQ","FILING_STATUS=OR","EQY_CONSOLIDATED=Y","Sort=A","Dates=H","DateFormat=P","Fill=—","Direction=H","UseDPDF=Y")</f>
        <v>#NAME?</v>
      </c>
      <c r="BX492" s="2" t="e">
        <f ca="1">_xll.BDH($C$478,"CFO_SEQUENTIAL_GROWTH","FQ4 2016","FQ4 2016","Currency=INR","Period=FQ","BEST_FPERIOD_OVERRIDE=FQ","FILING_STATUS=OR","EQY_CONSOLIDATED=Y","Sort=A","Dates=H","DateFormat=P","Fill=—","Direction=H","UseDPDF=Y")</f>
        <v>#NAME?</v>
      </c>
      <c r="BY492" s="3" t="e">
        <f ca="1">_xll.BDH($C$478,"SHORT_AND_LONG_TERM_DEBT","FQ4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492" s="3" t="e">
        <f ca="1">_xll.BDH($C$478,"BS_ST_BORROW","FQ4 2016","FQ4 2016","Currency=INR","Period=FQ","BEST_FPERIOD_OVERRIDE=FQ","FILING_STATUS=OR","EQY_CONSOLIDATED=Y","SCALING_FORMAT=MLN","Sort=A","Dates=H","DateFormat=P","Fill=—","Direction=H","UseDPDF=Y")</f>
        <v>#NAME?</v>
      </c>
      <c r="CA492" s="3" t="e">
        <f ca="1">_xll.BDH($C$478,"BS_LT_BORROW","FQ4 2016","FQ4 2016","Currency=INR","Period=FQ","BEST_FPERIOD_OVERRIDE=FQ","FILING_STATUS=OR","EQY_CONSOLIDATED=Y","SCALING_FORMAT=MLN","Sort=A","Dates=H","DateFormat=P","Fill=—","Direction=H","UseDPDF=Y")</f>
        <v>#NAME?</v>
      </c>
      <c r="CB492" s="2" t="e">
        <f ca="1">_xll.BDH($C$478,"TOT_DEBT_TO_EBITDA","FQ4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492" s="2" t="e">
        <f ca="1">_xll.BDH($C$478,"NET_DEBT_TO_EBITDA","FQ4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492" s="2" t="e">
        <f ca="1">_xll.BDH($C$478,"TOTAL_DEBT_TO_EBIT","FQ4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492" s="2" t="e">
        <f ca="1">_xll.BDH($C$478,"NET_DEBT_TO_EBIT","FQ4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492" s="2" t="e">
        <f ca="1">_xll.BDH($C$478,"EBITDA_TO_INTEREST_EXPN","FQ4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492" s="2" t="e">
        <f ca="1">_xll.BDH($C$478,"COM_EQY_TO_TOT_ASSET","FQ4 2016","FQ4 2016","Currency=INR","Period=FQ","BEST_FPERIOD_OVERRIDE=FQ","FILING_STATUS=OR","EQY_CONSOLIDATED=Y","Sort=A","Dates=H","DateFormat=P","Fill=—","Direction=H","UseDPDF=Y")</f>
        <v>#NAME?</v>
      </c>
      <c r="CH492" s="2" t="e">
        <f ca="1">_xll.BDH($C$478,"LT_DEBT_TO_TOT_EQY","FQ4 2016","FQ4 2016","Currency=INR","Period=FQ","BEST_FPERIOD_OVERRIDE=FQ","FILING_STATUS=OR","EQY_CONSOLIDATED=Y","Sort=A","Dates=H","DateFormat=P","Fill=—","Direction=H","UseDPDF=Y")</f>
        <v>#NAME?</v>
      </c>
      <c r="CI492" s="2" t="e">
        <f ca="1">_xll.BDH($C$478,"LT_DEBT_TO_TOT_CAP","FQ4 2016","FQ4 2016","Currency=INR","Period=FQ","BEST_FPERIOD_OVERRIDE=FQ","FILING_STATUS=OR","EQY_CONSOLIDATED=Y","Sort=A","Dates=H","DateFormat=P","Fill=—","Direction=H","UseDPDF=Y")</f>
        <v>#NAME?</v>
      </c>
      <c r="CJ492" s="2" t="e">
        <f ca="1">_xll.BDH($C$478,"LT_DEBT_TO_TOT_ASSET","FQ4 2016","FQ4 2016","Currency=INR","Period=FQ","BEST_FPERIOD_OVERRIDE=FQ","FILING_STATUS=OR","EQY_CONSOLIDATED=Y","Sort=A","Dates=H","DateFormat=P","Fill=—","Direction=H","UseDPDF=Y")</f>
        <v>#NAME?</v>
      </c>
      <c r="CK492" s="2" t="e">
        <f ca="1">_xll.BDH($C$478,"TOT_DEBT_TO_TOT_EQY","FQ4 2016","FQ4 2016","Currency=INR","Period=FQ","BEST_FPERIOD_OVERRIDE=FQ","FILING_STATUS=OR","EQY_CONSOLIDATED=Y","Sort=A","Dates=H","DateFormat=P","Fill=—","Direction=H","UseDPDF=Y")</f>
        <v>#NAME?</v>
      </c>
      <c r="CL492" s="2" t="e">
        <f ca="1">_xll.BDH($C$478,"TOT_DEBT_TO_TOT_CAP","FQ4 2016","FQ4 2016","Currency=INR","Period=FQ","BEST_FPERIOD_OVERRIDE=FQ","FILING_STATUS=OR","EQY_CONSOLIDATED=Y","Sort=A","Dates=H","DateFormat=P","Fill=—","Direction=H","UseDPDF=Y")</f>
        <v>#NAME?</v>
      </c>
      <c r="CM492" s="2" t="e">
        <f ca="1">_xll.BDH($C$478,"TOT_DEBT_TO_TOT_ASSET","FQ4 2016","FQ4 2016","Currency=INR","Period=FQ","BEST_FPERIOD_OVERRIDE=FQ","FILING_STATUS=OR","EQY_CONSOLIDATED=Y","Sort=A","Dates=H","DateFormat=P","Fill=—","Direction=H","UseDPDF=Y")</f>
        <v>#NAME?</v>
      </c>
      <c r="CN492" s="2" t="e">
        <f ca="1">_xll.BDH($C$478,"NET_DEBT_TO_SHRHLDR_EQTY","FQ4 2016","FQ4 2016","Currency=INR","Period=FQ","BEST_FPERIOD_OVERRIDE=FQ","FILING_STATUS=OR","EQY_CONSOLIDATED=Y","Sort=A","Dates=H","DateFormat=P","Fill=—","Direction=H","UseDPDF=Y")</f>
        <v>#NAME?</v>
      </c>
      <c r="CO492" s="2" t="e">
        <f ca="1">_xll.BDH($C$478,"NET_DEBT_%_CAPITAL","FQ4 2016","FQ4 2016","Currency=INR","Period=FQ","BEST_FPERIOD_OVERRIDE=FQ","FILING_STATUS=OR","EQY_CONSOLIDATED=Y","Sort=A","Dates=H","DateFormat=P","Fill=—","Direction=H","UseDPDF=Y")</f>
        <v>#NAME?</v>
      </c>
      <c r="CP492" s="3" t="e">
        <f ca="1">_xll.BDH($C$478,"EBITDA","FQ4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492" s="3" t="e">
        <f ca="1">_xll.BDH($C$478,"EBITDA_AFTER_CAPEX","FQ4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492" s="3" t="e">
        <f ca="1">_xll.BDH($C$478,"IS_OPER_INC","FQ4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492" s="2" t="e">
        <f ca="1">_xll.BDH($C$478,"CASH_RATIO","FQ4 2016","FQ4 2016","Currency=INR","Period=FQ","BEST_FPERIOD_OVERRIDE=FQ","FILING_STATUS=OR","EQY_CONSOLIDATED=Y","Sort=A","Dates=H","DateFormat=P","Fill=—","Direction=H","UseDPDF=Y")</f>
        <v>#NAME?</v>
      </c>
      <c r="CT492" s="2" t="e">
        <f ca="1">_xll.BDH($C$478,"CUR_RATIO","FQ4 2016","FQ4 2016","Currency=INR","Period=FQ","BEST_FPERIOD_OVERRIDE=FQ","FILING_STATUS=OR","EQY_CONSOLIDATED=Y","Sort=A","Dates=H","DateFormat=P","Fill=—","Direction=H","UseDPDF=Y")</f>
        <v>#NAME?</v>
      </c>
      <c r="CU492" s="2" t="e">
        <f ca="1">_xll.BDH($C$478,"QUICK_RATIO","FQ4 2016","FQ4 2016","Currency=INR","Period=FQ","BEST_FPERIOD_OVERRIDE=FQ","FILING_STATUS=OR","EQY_CONSOLIDATED=Y","Sort=A","Dates=H","DateFormat=P","Fill=—","Direction=H","UseDPDF=Y")</f>
        <v>#NAME?</v>
      </c>
      <c r="CV492" s="2" t="e">
        <f ca="1">_xll.BDH($C$478,"ALTMAN_Z_SCORE","FQ4 2016","FQ4 2016","Currency=INR","Period=FQ","BEST_FPERIOD_OVERRIDE=FQ","FILING_STATUS=OR","EQY_CONSOLIDATED=Y","Sort=A","Dates=H","DateFormat=P","Fill=—","Direction=H","UseDPDF=Y")</f>
        <v>#NAME?</v>
      </c>
      <c r="CW492" s="4" t="e">
        <f ca="1">_xll.BDH($C$478,"ACCT_RCV_TURN","FQ4 2016","FQ4 2016","Currency=INR","Period=FQ","BEST_FPERIOD_OVERRIDE=FQ","FILING_STATUS=OR","EQY_CONSOLIDATED=Y","FA_ADJUSTED=GAAP","Sort=A","Dates=H","DateFormat=P","Fill=—","Direction=H","UseDPDF=Y")</f>
        <v>#NAME?</v>
      </c>
      <c r="CX492" s="2" t="e">
        <f ca="1">_xll.BDH($C$478,"ACCT_RCV_DAYS","FQ4 2016","FQ4 2016","Currency=INR","Period=FQ","BEST_FPERIOD_OVERRIDE=FQ","FILING_STATUS=OR","EQY_CONSOLIDATED=Y","FA_ADJUSTED=GAAP","Sort=A","Dates=H","DateFormat=P","Fill=—","Direction=H","UseDPDF=Y")</f>
        <v>#NAME?</v>
      </c>
      <c r="CY492" s="4" t="e">
        <f ca="1">_xll.BDH($C$478,"INVENT_TURN","FQ4 2016","FQ4 2016","Currency=INR","Period=FQ","BEST_FPERIOD_OVERRIDE=FQ","FILING_STATUS=OR","EQY_CONSOLIDATED=Y","FA_ADJUSTED=GAAP","Sort=A","Dates=H","DateFormat=P","Fill=—","Direction=H","UseDPDF=Y")</f>
        <v>#NAME?</v>
      </c>
      <c r="CZ492" s="2" t="e">
        <f ca="1">_xll.BDH($C$478,"INVENT_DAYS","FQ4 2016","FQ4 2016","Currency=INR","Period=FQ","BEST_FPERIOD_OVERRIDE=FQ","FILING_STATUS=OR","EQY_CONSOLIDATED=Y","FA_ADJUSTED=GAAP","Sort=A","Dates=H","DateFormat=P","Fill=—","Direction=H","UseDPDF=Y")</f>
        <v>#NAME?</v>
      </c>
      <c r="DA492" s="4" t="e">
        <f ca="1">_xll.BDH($C$478,"ACCOUNTS_PAYABLE_TURNOVER","FQ4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492" s="2" t="e">
        <f ca="1">_xll.BDH($C$478,"ACCOUNTS_PAYABLE_TURNOVER_DAYS","FQ4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492" s="4" t="e">
        <f ca="1">_xll.BDH($C$478,"CASH_CONVERSION_CYCLE","FQ4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492" s="4" t="e">
        <f ca="1">_xll.BDH($C$478,"INV_TO_CASH_DAYS","FQ4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492" s="5" t="e">
        <f ca="1">_xll.BDH($C$478,"BS_INVENTORIES","FQ4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492" s="3" t="e">
        <f ca="1">_xll.BDH($C$478,"INVTRY_RAW_MATERIALS","FQ4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492" s="3" t="e">
        <f ca="1">_xll.BDH($C$478,"INVTRY_IN_PROGRESS","FQ4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492" s="3" t="e">
        <f ca="1">_xll.BDH($C$478,"INVTRY_FINISHED_GOODS","FQ4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492" s="3" t="e">
        <f ca="1">_xll.BDH($C$478,"BS_OTHER_INV","FQ4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493" spans="1:113" x14ac:dyDescent="0.3">
      <c r="A493" s="6"/>
      <c r="B493" s="6"/>
      <c r="C493" s="6"/>
      <c r="D493" s="6" t="s">
        <v>84</v>
      </c>
      <c r="E493" t="s">
        <v>77</v>
      </c>
      <c r="F493" t="e">
        <f ca="1">_xll.BDH($C$478,"RETURN_COM_EQY","FY 2017","FY 2017","Currency=INR","Period=FY","BEST_FPERIOD_OVERRIDE=FY","FILING_STATUS=OR","EQY_CONSOLIDATED=Y","FA_ADJUSTED=GAAP","Sort=A","Dates=H","DateFormat=P","Fill=—","Direction=H","UseDPDF=Y")</f>
        <v>#NAME?</v>
      </c>
      <c r="G493" t="e">
        <f ca="1">_xll.BDH($C$478,"RETURN_ON_ASSET","FY 2017","FY 2017","Currency=INR","Period=FY","BEST_FPERIOD_OVERRIDE=FY","FILING_STATUS=OR","EQY_CONSOLIDATED=Y","FA_ADJUSTED=GAAP","Sort=A","Dates=H","DateFormat=P","Fill=—","Direction=H","UseDPDF=Y")</f>
        <v>#NAME?</v>
      </c>
      <c r="H493" t="e">
        <f ca="1">_xll.BDH($C$478,"RETURN_ON_CAP","FY 2017","FY 2017","Currency=INR","Period=FY","BEST_FPERIOD_OVERRIDE=FY","FILING_STATUS=OR","EQY_CONSOLIDATED=Y","FA_ADJUSTED=GAAP","Sort=A","Dates=H","DateFormat=P","Fill=—","Direction=H","UseDPDF=Y")</f>
        <v>#NAME?</v>
      </c>
      <c r="I493" t="e">
        <f ca="1">_xll.BDH($C$478,"RETURN_ON_INV_CAPITAL","FY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493" t="e">
        <f ca="1">_xll.BDH($C$478,"EBITDA_TO_REVENUE","FY 2017","FY 2017","Currency=INR","Period=FY","BEST_FPERIOD_OVERRIDE=FY","FILING_STATUS=OR","EQY_CONSOLIDATED=Y","FA_ADJUSTED=GAAP","Sort=A","Dates=H","DateFormat=P","Fill=—","Direction=H","UseDPDF=Y")</f>
        <v>#NAME?</v>
      </c>
      <c r="K493" t="e">
        <f ca="1">_xll.BDH($C$478,"OPER_MARGIN","FY 2017","FY 2017","Currency=INR","Period=FY","BEST_FPERIOD_OVERRIDE=FY","FILING_STATUS=OR","EQY_CONSOLIDATED=Y","FA_ADJUSTED=GAAP","Sort=A","Dates=H","DateFormat=P","Fill=—","Direction=H","UseDPDF=Y")</f>
        <v>#NAME?</v>
      </c>
      <c r="L493" t="e">
        <f ca="1">_xll.BDH($C$478,"INCREMENTAL_OPERATING_MARGIN","FY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493" t="e">
        <f ca="1">_xll.BDH($C$478,"PRETAX_INC_TO_NET_SALES","FY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493" t="e">
        <f ca="1">_xll.BDH($C$478,"INC_BEF_XO_ITEMS_TO_NET_SALES","FY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493" t="e">
        <f ca="1">_xll.BDH($C$478,"PROF_MARGIN","FY 2017","FY 2017","Currency=INR","Period=FY","BEST_FPERIOD_OVERRIDE=FY","FILING_STATUS=OR","EQY_CONSOLIDATED=Y","FA_ADJUSTED=GAAP","Sort=A","Dates=H","DateFormat=P","Fill=—","Direction=H","UseDPDF=Y")</f>
        <v>#NAME?</v>
      </c>
      <c r="P493" t="e">
        <f ca="1">_xll.BDH($C$478,"NET_INCOME_TO_COMMON_MARGIN","FY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493" t="e">
        <f ca="1">_xll.BDH($C$478,"EFF_TAX_RATE","FY 2017","FY 2017","Currency=INR","Period=FY","BEST_FPERIOD_OVERRIDE=FY","FILING_STATUS=OR","EQY_CONSOLIDATED=Y","FA_ADJUSTED=GAAP","Sort=A","Dates=H","DateFormat=P","Fill=—","Direction=H","UseDPDF=Y")</f>
        <v>#NAME?</v>
      </c>
      <c r="R493" t="e">
        <f ca="1">_xll.BDH($C$478,"DVD_PAYOUT_RATIO","FY 2017","FY 2017","Currency=INR","Period=FY","BEST_FPERIOD_OVERRIDE=FY","FILING_STATUS=OR","EQY_CONSOLIDATED=Y","FA_ADJUSTED=GAAP","Sort=A","Dates=H","DateFormat=P","Fill=—","Direction=H","UseDPDF=Y")</f>
        <v>#NAME?</v>
      </c>
      <c r="S493" t="e">
        <f ca="1">_xll.BDH($C$478,"SUSTAIN_GROWTH_RT","FY 2017","FY 2017","Currency=INR","Period=FY","BEST_FPERIOD_OVERRIDE=FY","FILING_STATUS=OR","EQY_CONSOLIDATED=Y","FA_ADJUSTED=GAAP","Sort=A","Dates=H","DateFormat=P","Fill=—","Direction=H","UseDPDF=Y")</f>
        <v>#NAME?</v>
      </c>
      <c r="T493" s="2" t="e">
        <f ca="1">_xll.BDH($C$478,"SALES_GROWTH","FY 2017","FY 2017","Currency=INR","Period=FY","BEST_FPERIOD_OVERRIDE=FY","FILING_STATUS=OR","EQY_CONSOLIDATED=Y","FA_ADJUSTED=GAAP","Sort=A","Dates=H","DateFormat=P","Fill=—","Direction=H","UseDPDF=Y")</f>
        <v>#NAME?</v>
      </c>
      <c r="U493" s="2" t="e">
        <f ca="1">_xll.BDH($C$478,"EBITDA_GROWTH","FY 2017","FY 2017","Currency=INR","Period=FY","BEST_FPERIOD_OVERRIDE=FY","FILING_STATUS=OR","EQY_CONSOLIDATED=Y","FA_ADJUSTED=GAAP","Sort=A","Dates=H","DateFormat=P","Fill=—","Direction=H","UseDPDF=Y")</f>
        <v>#NAME?</v>
      </c>
      <c r="V493" s="2" t="e">
        <f ca="1">_xll.BDH($C$478,"OPER_INC_GROWTH","FY 2017","FY 2017","Currency=INR","Period=FY","BEST_FPERIOD_OVERRIDE=FY","FILING_STATUS=OR","EQY_CONSOLIDATED=Y","FA_ADJUSTED=GAAP","Sort=A","Dates=H","DateFormat=P","Fill=—","Direction=H","UseDPDF=Y")</f>
        <v>#NAME?</v>
      </c>
      <c r="W493" s="2" t="e">
        <f ca="1">_xll.BDH($C$478,"EARN_FOR_COM_GROWTH","FY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493" s="2" t="e">
        <f ca="1">_xll.BDH($C$478,"DILUTED_EPS_AFT_XO_ITEMS_GROWTH","FY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493" s="2" t="e">
        <f ca="1">_xll.BDH($C$478,"DIVIDEND_PER_SHARE_1_YEAR_GROWTH","FY 2017","FY 2017","Currency=INR","Period=FY","BEST_FPERIOD_OVERRIDE=FY","FILING_STATUS=OR","EQY_CONSOLIDATED=Y","Sort=A","Dates=H","DateFormat=P","Fill=—","Direction=H","UseDPDF=Y")</f>
        <v>#NAME?</v>
      </c>
      <c r="Z493" s="2" t="e">
        <f ca="1">_xll.BDH($C$478,"ACCOUNTS_RECEIVABLE_GROWTH","FY 2017","FY 2017","Currency=INR","Period=FY","BEST_FPERIOD_OVERRIDE=FY","FILING_STATUS=OR","EQY_CONSOLIDATED=Y","Sort=A","Dates=H","DateFormat=P","Fill=—","Direction=H","UseDPDF=Y")</f>
        <v>#NAME?</v>
      </c>
      <c r="AA493" s="2" t="e">
        <f ca="1">_xll.BDH($C$478,"INVENTORY_GROWTH","FY 2017","FY 2017","Currency=INR","Period=FY","BEST_FPERIOD_OVERRIDE=FY","FILING_STATUS=OR","EQY_CONSOLIDATED=Y","Sort=A","Dates=H","DateFormat=P","Fill=—","Direction=H","UseDPDF=Y")</f>
        <v>#NAME?</v>
      </c>
      <c r="AB493" s="2" t="e">
        <f ca="1">_xll.BDH($C$478,"NET_FIXED_ASSETS_1_YEAR_GROWTH","FY 2017","FY 2017","Currency=INR","Period=FY","BEST_FPERIOD_OVERRIDE=FY","FILING_STATUS=OR","EQY_CONSOLIDATED=Y","Sort=A","Dates=H","DateFormat=P","Fill=—","Direction=H","UseDPDF=Y")</f>
        <v>#NAME?</v>
      </c>
      <c r="AC493" s="2" t="e">
        <f ca="1">_xll.BDH($C$478,"ASSET_GROWTH","FY 2017","FY 2017","Currency=INR","Period=FY","BEST_FPERIOD_OVERRIDE=FY","FILING_STATUS=OR","EQY_CONSOLIDATED=Y","Sort=A","Dates=H","DateFormat=P","Fill=—","Direction=H","UseDPDF=Y")</f>
        <v>#NAME?</v>
      </c>
      <c r="AD493" s="2" t="e">
        <f ca="1">_xll.BDH($C$478,"MODIFIED_WORK_CAP_GROWTH","FY 2017","FY 2017","Currency=INR","Period=FY","BEST_FPERIOD_OVERRIDE=FY","FILING_STATUS=OR","EQY_CONSOLIDATED=Y","Sort=A","Dates=H","DateFormat=P","Fill=—","Direction=H","UseDPDF=Y")</f>
        <v>#NAME?</v>
      </c>
      <c r="AE493" s="2" t="e">
        <f ca="1">_xll.BDH($C$478,"WORK_CAP_GROWTH","FY 2017","FY 2017","Currency=INR","Period=FY","BEST_FPERIOD_OVERRIDE=FY","FILING_STATUS=OR","EQY_CONSOLIDATED=Y","Sort=A","Dates=H","DateFormat=P","Fill=—","Direction=H","UseDPDF=Y")</f>
        <v>#NAME?</v>
      </c>
      <c r="AF493" s="2" t="e">
        <f ca="1">_xll.BDH($C$478,"ACCOUNTS_PAYABLE_GROWTH_1YR","FY 2017","FY 2017","Currency=INR","Period=FY","BEST_FPERIOD_OVERRIDE=FY","FILING_STATUS=OR","EQY_CONSOLIDATED=Y","Sort=A","Dates=H","DateFormat=P","Fill=—","Direction=H","UseDPDF=Y")</f>
        <v>#NAME?</v>
      </c>
      <c r="AG493" s="2" t="e">
        <f ca="1">_xll.BDH($C$478,"SHORT_TERM_DEBT_1_YEAR_GROWTH","FY 2017","FY 2017","Currency=INR","Period=FY","BEST_FPERIOD_OVERRIDE=FY","FILING_STATUS=OR","EQY_CONSOLIDATED=Y","Sort=A","Dates=H","DateFormat=P","Fill=—","Direction=H","UseDPDF=Y")</f>
        <v>#NAME?</v>
      </c>
      <c r="AH493" s="2" t="e">
        <f ca="1">_xll.BDH($C$478,"TOTAL_DEBT_1_YEAR_GROWTH","FY 2017","FY 2017","Currency=INR","Period=FY","BEST_FPERIOD_OVERRIDE=FY","FILING_STATUS=OR","EQY_CONSOLIDATED=Y","Sort=A","Dates=H","DateFormat=P","Fill=—","Direction=H","UseDPDF=Y")</f>
        <v>#NAME?</v>
      </c>
      <c r="AI493" s="2" t="e">
        <f ca="1">_xll.BDH($C$478,"TOTAL_EQUITY_1_YEAR_GROWTH","FY 2017","FY 2017","Currency=INR","Period=FY","BEST_FPERIOD_OVERRIDE=FY","FILING_STATUS=OR","EQY_CONSOLIDATED=Y","Sort=A","Dates=H","DateFormat=P","Fill=—","Direction=H","UseDPDF=Y")</f>
        <v>#NAME?</v>
      </c>
      <c r="AJ493" s="2" t="e">
        <f ca="1">_xll.BDH($C$478,"GROWTH_IN_CAP","FY 2017","FY 2017","Currency=INR","Period=FY","BEST_FPERIOD_OVERRIDE=FY","FILING_STATUS=OR","EQY_CONSOLIDATED=Y","Sort=A","Dates=H","DateFormat=P","Fill=—","Direction=H","UseDPDF=Y")</f>
        <v>#NAME?</v>
      </c>
      <c r="AK493" s="2" t="e">
        <f ca="1">_xll.BDH($C$478,"BVPS_GROWTH","FY 2017","FY 2017","Currency=INR","Period=FY","BEST_FPERIOD_OVERRIDE=FY","FILING_STATUS=OR","EQY_CONSOLIDATED=Y","Sort=A","Dates=H","DateFormat=P","Fill=—","Direction=H","UseDPDF=Y")</f>
        <v>#NAME?</v>
      </c>
      <c r="AL493" s="2" t="e">
        <f ca="1">_xll.BDH($C$478,"CASH_FLOW_GROWTH","FY 2017","FY 2017","Currency=INR","Period=FY","BEST_FPERIOD_OVERRIDE=FY","FILING_STATUS=OR","EQY_CONSOLIDATED=Y","Sort=A","Dates=H","DateFormat=P","Fill=—","Direction=H","UseDPDF=Y")</f>
        <v>#NAME?</v>
      </c>
      <c r="AM493" s="2" t="e">
        <f ca="1">_xll.BDH($C$478,"GEO_GROW_NET_SALES","FY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493" s="2" t="e">
        <f ca="1">_xll.BDH($C$478,"GEO_GROW_EBITDA","FY 2017","FY 2017","Currency=INR","Period=FY","BEST_FPERIOD_OVERRIDE=FY","FILING_STATUS=OR","EQY_CONSOLIDATED=Y","FA_ADJUSTED=GAAP","Sort=A","Dates=H","DateFormat=P","Fill=—","Direction=H","UseDPDF=Y")</f>
        <v>#NAME?</v>
      </c>
      <c r="AO493" s="2" t="e">
        <f ca="1">_xll.BDH($C$478,"GEO_GROW_OPER_INC","FY 2017","FY 2017","Currency=INR","Period=FY","BEST_FPERIOD_OVERRIDE=FY","FILING_STATUS=OR","EQY_CONSOLIDATED=Y","FA_ADJUSTED=GAAP","Sort=A","Dates=H","DateFormat=P","Fill=—","Direction=H","UseDPDF=Y")</f>
        <v>#NAME?</v>
      </c>
      <c r="AP493" s="2" t="e">
        <f ca="1">_xll.BDH($C$478,"NET_INCOME_TO_COMMON_5_YR_GROWTH","FY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493" s="2" t="e">
        <f ca="1">_xll.BDH($C$478,"5Y_GEO_GROWTH_DILUTED_EPS","FY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493" s="2" t="e">
        <f ca="1">_xll.BDH($C$478,"GEO_GROW_DVD_PER_SH","FY 2017","FY 2017","Currency=INR","Period=FY","BEST_FPERIOD_OVERRIDE=FY","FILING_STATUS=OR","EQY_CONSOLIDATED=Y","Sort=A","Dates=H","DateFormat=P","Fill=—","Direction=H","UseDPDF=Y")</f>
        <v>#NAME?</v>
      </c>
      <c r="AS493" s="2" t="e">
        <f ca="1">_xll.BDH($C$478,"ACCOUNTS_RECEIVABLE_5_YR_GROWTH","FY 2017","FY 2017","Currency=INR","Period=FY","BEST_FPERIOD_OVERRIDE=FY","FILING_STATUS=OR","EQY_CONSOLIDATED=Y","Sort=A","Dates=H","DateFormat=P","Fill=—","Direction=H","UseDPDF=Y")</f>
        <v>#NAME?</v>
      </c>
      <c r="AT493" s="2" t="e">
        <f ca="1">_xll.BDH($C$478,"INVENTORY_5_YEAR_GROWTH","FY 2017","FY 2017","Currency=INR","Period=FY","BEST_FPERIOD_OVERRIDE=FY","FILING_STATUS=OR","EQY_CONSOLIDATED=Y","Sort=A","Dates=H","DateFormat=P","Fill=—","Direction=H","UseDPDF=Y")</f>
        <v>#NAME?</v>
      </c>
      <c r="AU493" s="2" t="e">
        <f ca="1">_xll.BDH($C$478,"NET_FIXED_ASSETS_5_YEAR_GROWTH","FY 2017","FY 2017","Currency=INR","Period=FY","BEST_FPERIOD_OVERRIDE=FY","FILING_STATUS=OR","EQY_CONSOLIDATED=Y","Sort=A","Dates=H","DateFormat=P","Fill=—","Direction=H","UseDPDF=Y")</f>
        <v>#NAME?</v>
      </c>
      <c r="AV493" s="2" t="e">
        <f ca="1">_xll.BDH($C$478,"GEO_GROW_TOT_ASSET","FY 2017","FY 2017","Currency=INR","Period=FY","BEST_FPERIOD_OVERRIDE=FY","FILING_STATUS=OR","EQY_CONSOLIDATED=Y","Sort=A","Dates=H","DateFormat=P","Fill=—","Direction=H","UseDPDF=Y")</f>
        <v>#NAME?</v>
      </c>
      <c r="AW493" s="2" t="e">
        <f ca="1">_xll.BDH($C$478,"MODIFIED_WORKING_CPTL_5YR_GRWTH","FY 2017","FY 2017","Currency=INR","Period=FY","BEST_FPERIOD_OVERRIDE=FY","FILING_STATUS=OR","EQY_CONSOLIDATED=Y","Sort=A","Dates=H","DateFormat=P","Fill=—","Direction=H","UseDPDF=Y")</f>
        <v>#NAME?</v>
      </c>
      <c r="AX493" s="2" t="e">
        <f ca="1">_xll.BDH($C$478,"WORKING_CAPITAL_5_YEAR_GROWTH","FY 2017","FY 2017","Currency=INR","Period=FY","BEST_FPERIOD_OVERRIDE=FY","FILING_STATUS=OR","EQY_CONSOLIDATED=Y","Sort=A","Dates=H","DateFormat=P","Fill=—","Direction=H","UseDPDF=Y")</f>
        <v>#NAME?</v>
      </c>
      <c r="AY493" s="2" t="e">
        <f ca="1">_xll.BDH($C$478,"ACCOUNTS_PAYABLE_5_YEAR_GROWTH","FY 2017","FY 2017","Currency=INR","Period=FY","BEST_FPERIOD_OVERRIDE=FY","FILING_STATUS=OR","EQY_CONSOLIDATED=Y","Sort=A","Dates=H","DateFormat=P","Fill=—","Direction=H","UseDPDF=Y")</f>
        <v>#NAME?</v>
      </c>
      <c r="AZ493" s="2" t="e">
        <f ca="1">_xll.BDH($C$478,"SHORT_TERM_DEBT_5_YEAR_GROWTH","FY 2017","FY 2017","Currency=INR","Period=FY","BEST_FPERIOD_OVERRIDE=FY","FILING_STATUS=OR","EQY_CONSOLIDATED=Y","Sort=A","Dates=H","DateFormat=P","Fill=—","Direction=H","UseDPDF=Y")</f>
        <v>#NAME?</v>
      </c>
      <c r="BA493" s="2" t="e">
        <f ca="1">_xll.BDH($C$478,"TOTAL_DEBT_5_YEAR_GROWTH","FY 2017","FY 2017","Currency=INR","Period=FY","BEST_FPERIOD_OVERRIDE=FY","FILING_STATUS=OR","EQY_CONSOLIDATED=Y","Sort=A","Dates=H","DateFormat=P","Fill=—","Direction=H","UseDPDF=Y")</f>
        <v>#NAME?</v>
      </c>
      <c r="BB493" s="2" t="e">
        <f ca="1">_xll.BDH($C$478,"GEO_GROW_TOT_SHRHLDR_EQY","FY 2017","FY 2017","Currency=INR","Period=FY","BEST_FPERIOD_OVERRIDE=FY","FILING_STATUS=OR","EQY_CONSOLIDATED=Y","Sort=A","Dates=H","DateFormat=P","Fill=—","Direction=H","UseDPDF=Y")</f>
        <v>#NAME?</v>
      </c>
      <c r="BC493" s="2" t="e">
        <f ca="1">_xll.BDH($C$478,"TOTAL_CAPITAL_5_YEAR_GROWTH","FY 2017","FY 2017","Currency=INR","Period=FY","BEST_FPERIOD_OVERRIDE=FY","FILING_STATUS=OR","EQY_CONSOLIDATED=Y","Sort=A","Dates=H","DateFormat=P","Fill=—","Direction=H","UseDPDF=Y")</f>
        <v>#NAME?</v>
      </c>
      <c r="BD493" s="2" t="e">
        <f ca="1">_xll.BDH($C$478,"GEO_GROW_BOOK_VAL","FY 2017","FY 2017","Currency=INR","Period=FY","BEST_FPERIOD_OVERRIDE=FY","FILING_STATUS=OR","EQY_CONSOLIDATED=Y","Sort=A","Dates=H","DateFormat=P","Fill=—","Direction=H","UseDPDF=Y")</f>
        <v>#NAME?</v>
      </c>
      <c r="BE493" s="2" t="e">
        <f ca="1">_xll.BDH($C$478,"GEO_GROW_CASH_OPER_ACT","FY 2017","FY 2017","Currency=INR","Period=FY","BEST_FPERIOD_OVERRIDE=FY","FILING_STATUS=OR","EQY_CONSOLIDATED=Y","Sort=A","Dates=H","DateFormat=P","Fill=—","Direction=H","UseDPDF=Y")</f>
        <v>#NAME?</v>
      </c>
      <c r="BF493" s="2" t="e">
        <f ca="1">_xll.BDH($C$478,"REVENUE_SEQUENTIAL_GROWTH","FY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493" s="2" t="e">
        <f ca="1">_xll.BDH($C$478,"EBITDA_SEQUENTIAL_GROWTH","FY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493" s="2" t="e">
        <f ca="1">_xll.BDH($C$478,"OPERATING_INCOME_SEQ_GROWTH","FY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493" s="2" t="e">
        <f ca="1">_xll.BDH($C$478,"NET_INCOME_TO_COMMON_SEQ_GROWTH","FY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493" s="2" t="e">
        <f ca="1">_xll.BDH($C$478,"EPS_DILUTED_SEQUENTIAL_GROWTH","FY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493" s="2" t="e">
        <f ca="1">_xll.BDH($C$478,"DPS_SEQUENTIAL_GROWTH","FY 2017","FY 2017","Currency=INR","Period=FY","BEST_FPERIOD_OVERRIDE=FY","FILING_STATUS=OR","EQY_CONSOLIDATED=Y","Sort=A","Dates=H","DateFormat=P","Fill=—","Direction=H","UseDPDF=Y")</f>
        <v>#NAME?</v>
      </c>
      <c r="BL493" s="2" t="e">
        <f ca="1">_xll.BDH($C$478,"ACCOUNTS_RECEIVABLE_SEQ_GROWTH","FY 2017","FY 2017","Currency=INR","Period=FY","BEST_FPERIOD_OVERRIDE=FY","FILING_STATUS=OR","EQY_CONSOLIDATED=Y","Sort=A","Dates=H","DateFormat=P","Fill=—","Direction=H","UseDPDF=Y")</f>
        <v>#NAME?</v>
      </c>
      <c r="BM493" s="2" t="e">
        <f ca="1">_xll.BDH($C$478,"INVENTORY_SEQUENTIAL_GROWTH","FY 2017","FY 2017","Currency=INR","Period=FY","BEST_FPERIOD_OVERRIDE=FY","FILING_STATUS=OR","EQY_CONSOLIDATED=Y","Sort=A","Dates=H","DateFormat=P","Fill=—","Direction=H","UseDPDF=Y")</f>
        <v>#NAME?</v>
      </c>
      <c r="BN493" s="2" t="e">
        <f ca="1">_xll.BDH($C$478,"FIXED_ASSETS_SEQUENTIAL_GROWTH","FY 2017","FY 2017","Currency=INR","Period=FY","BEST_FPERIOD_OVERRIDE=FY","FILING_STATUS=OR","EQY_CONSOLIDATED=Y","Sort=A","Dates=H","DateFormat=P","Fill=—","Direction=H","UseDPDF=Y")</f>
        <v>#NAME?</v>
      </c>
      <c r="BO493" s="2" t="e">
        <f ca="1">_xll.BDH($C$478,"TOTAL_ASSETS_SEQUENTIAL_GROWTH","FY 2017","FY 2017","Currency=INR","Period=FY","BEST_FPERIOD_OVERRIDE=FY","FILING_STATUS=OR","EQY_CONSOLIDATED=Y","Sort=A","Dates=H","DateFormat=P","Fill=—","Direction=H","UseDPDF=Y")</f>
        <v>#NAME?</v>
      </c>
      <c r="BP493" s="2" t="e">
        <f ca="1">_xll.BDH($C$478,"MODIFIED_WORKING_CPTL_SEQ_GRWTH","FY 2017","FY 2017","Currency=INR","Period=FY","BEST_FPERIOD_OVERRIDE=FY","FILING_STATUS=OR","EQY_CONSOLIDATED=Y","Sort=A","Dates=H","DateFormat=P","Fill=—","Direction=H","UseDPDF=Y")</f>
        <v>#NAME?</v>
      </c>
      <c r="BQ493" s="2" t="e">
        <f ca="1">_xll.BDH($C$478,"WORKING_CAPITAL_SEQ_GROWTH","FY 2017","FY 2017","Currency=INR","Period=FY","BEST_FPERIOD_OVERRIDE=FY","FILING_STATUS=OR","EQY_CONSOLIDATED=Y","Sort=A","Dates=H","DateFormat=P","Fill=—","Direction=H","UseDPDF=Y")</f>
        <v>#NAME?</v>
      </c>
      <c r="BR493" s="2" t="e">
        <f ca="1">_xll.BDH($C$478,"ACCOUNTS_PAYABLE_SEQ_GROWTH","FY 2017","FY 2017","Currency=INR","Period=FY","BEST_FPERIOD_OVERRIDE=FY","FILING_STATUS=OR","EQY_CONSOLIDATED=Y","Sort=A","Dates=H","DateFormat=P","Fill=—","Direction=H","UseDPDF=Y")</f>
        <v>#NAME?</v>
      </c>
      <c r="BS493" s="2" t="e">
        <f ca="1">_xll.BDH($C$478,"ST_DEBT_SEQUENTIAL_GROWTH","FY 2017","FY 2017","Currency=INR","Period=FY","BEST_FPERIOD_OVERRIDE=FY","FILING_STATUS=OR","EQY_CONSOLIDATED=Y","Sort=A","Dates=H","DateFormat=P","Fill=—","Direction=H","UseDPDF=Y")</f>
        <v>#NAME?</v>
      </c>
      <c r="BT493" s="2" t="e">
        <f ca="1">_xll.BDH($C$478,"TOTAL_DEBT_SEQUENTIAL_GROWTH","FY 2017","FY 2017","Currency=INR","Period=FY","BEST_FPERIOD_OVERRIDE=FY","FILING_STATUS=OR","EQY_CONSOLIDATED=Y","Sort=A","Dates=H","DateFormat=P","Fill=—","Direction=H","UseDPDF=Y")</f>
        <v>#NAME?</v>
      </c>
      <c r="BU493" s="2" t="e">
        <f ca="1">_xll.BDH($C$478,"TOTAL_EQUITY_SEQUENTIAL_GROWTH","FY 2017","FY 2017","Currency=INR","Period=FY","BEST_FPERIOD_OVERRIDE=FY","FILING_STATUS=OR","EQY_CONSOLIDATED=Y","Sort=A","Dates=H","DateFormat=P","Fill=—","Direction=H","UseDPDF=Y")</f>
        <v>#NAME?</v>
      </c>
      <c r="BV493" s="2" t="e">
        <f ca="1">_xll.BDH($C$478,"TOTAL_CAPITAL_SEQUENTIAL_GROWTH","FY 2017","FY 2017","Currency=INR","Period=FY","BEST_FPERIOD_OVERRIDE=FY","FILING_STATUS=OR","EQY_CONSOLIDATED=Y","Sort=A","Dates=H","DateFormat=P","Fill=—","Direction=H","UseDPDF=Y")</f>
        <v>#NAME?</v>
      </c>
      <c r="BW493" s="2" t="e">
        <f ca="1">_xll.BDH($C$478,"BPS_SEQUENTIAL_GROWTH","FY 2017","FY 2017","Currency=INR","Period=FY","BEST_FPERIOD_OVERRIDE=FY","FILING_STATUS=OR","EQY_CONSOLIDATED=Y","Sort=A","Dates=H","DateFormat=P","Fill=—","Direction=H","UseDPDF=Y")</f>
        <v>#NAME?</v>
      </c>
      <c r="BX493" s="2" t="e">
        <f ca="1">_xll.BDH($C$478,"CFO_SEQUENTIAL_GROWTH","FY 2017","FY 2017","Currency=INR","Period=FY","BEST_FPERIOD_OVERRIDE=FY","FILING_STATUS=OR","EQY_CONSOLIDATED=Y","Sort=A","Dates=H","DateFormat=P","Fill=—","Direction=H","UseDPDF=Y")</f>
        <v>#NAME?</v>
      </c>
      <c r="BY493" s="3" t="e">
        <f ca="1">_xll.BDH($C$478,"SHORT_AND_LONG_TERM_DEBT","FY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493" s="3" t="e">
        <f ca="1">_xll.BDH($C$478,"BS_ST_BORROW","FY 2017","FY 2017","Currency=INR","Period=FY","BEST_FPERIOD_OVERRIDE=FY","FILING_STATUS=OR","EQY_CONSOLIDATED=Y","SCALING_FORMAT=MLN","Sort=A","Dates=H","DateFormat=P","Fill=—","Direction=H","UseDPDF=Y")</f>
        <v>#NAME?</v>
      </c>
      <c r="CA493" s="3" t="e">
        <f ca="1">_xll.BDH($C$478,"BS_LT_BORROW","FY 2017","FY 2017","Currency=INR","Period=FY","BEST_FPERIOD_OVERRIDE=FY","FILING_STATUS=OR","EQY_CONSOLIDATED=Y","SCALING_FORMAT=MLN","Sort=A","Dates=H","DateFormat=P","Fill=—","Direction=H","UseDPDF=Y")</f>
        <v>#NAME?</v>
      </c>
      <c r="CB493" s="2" t="e">
        <f ca="1">_xll.BDH($C$478,"TOT_DEBT_TO_EBITDA","FY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493" s="2" t="e">
        <f ca="1">_xll.BDH($C$478,"NET_DEBT_TO_EBITDA","FY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493" s="2" t="e">
        <f ca="1">_xll.BDH($C$478,"TOTAL_DEBT_TO_EBIT","FY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493" s="2" t="e">
        <f ca="1">_xll.BDH($C$478,"NET_DEBT_TO_EBIT","FY 2017","FY 2017","Currency=INR","Period=FY","BEST_FPERIOD_OVERRIDE=FY","FILING_STATUS=OR","EQY_CONSOLIDATED=Y","FA_ADJUSTED=GAAP","Sort=A","Dates=H","DateFormat=P","Fill=—","Direction=H","UseDPDF=Y")</f>
        <v>#NAME?</v>
      </c>
      <c r="CF493" s="2" t="e">
        <f ca="1">_xll.BDH($C$478,"EBITDA_TO_INTEREST_EXPN","FY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493" s="2" t="e">
        <f ca="1">_xll.BDH($C$478,"COM_EQY_TO_TOT_ASSET","FY 2017","FY 2017","Currency=INR","Period=FY","BEST_FPERIOD_OVERRIDE=FY","FILING_STATUS=OR","EQY_CONSOLIDATED=Y","Sort=A","Dates=H","DateFormat=P","Fill=—","Direction=H","UseDPDF=Y")</f>
        <v>#NAME?</v>
      </c>
      <c r="CH493" s="2" t="e">
        <f ca="1">_xll.BDH($C$478,"LT_DEBT_TO_TOT_EQY","FY 2017","FY 2017","Currency=INR","Period=FY","BEST_FPERIOD_OVERRIDE=FY","FILING_STATUS=OR","EQY_CONSOLIDATED=Y","Sort=A","Dates=H","DateFormat=P","Fill=—","Direction=H","UseDPDF=Y")</f>
        <v>#NAME?</v>
      </c>
      <c r="CI493" s="2" t="e">
        <f ca="1">_xll.BDH($C$478,"LT_DEBT_TO_TOT_CAP","FY 2017","FY 2017","Currency=INR","Period=FY","BEST_FPERIOD_OVERRIDE=FY","FILING_STATUS=OR","EQY_CONSOLIDATED=Y","Sort=A","Dates=H","DateFormat=P","Fill=—","Direction=H","UseDPDF=Y")</f>
        <v>#NAME?</v>
      </c>
      <c r="CJ493" s="2" t="e">
        <f ca="1">_xll.BDH($C$478,"LT_DEBT_TO_TOT_ASSET","FY 2017","FY 2017","Currency=INR","Period=FY","BEST_FPERIOD_OVERRIDE=FY","FILING_STATUS=OR","EQY_CONSOLIDATED=Y","Sort=A","Dates=H","DateFormat=P","Fill=—","Direction=H","UseDPDF=Y")</f>
        <v>#NAME?</v>
      </c>
      <c r="CK493" s="2" t="e">
        <f ca="1">_xll.BDH($C$478,"TOT_DEBT_TO_TOT_EQY","FY 2017","FY 2017","Currency=INR","Period=FY","BEST_FPERIOD_OVERRIDE=FY","FILING_STATUS=OR","EQY_CONSOLIDATED=Y","Sort=A","Dates=H","DateFormat=P","Fill=—","Direction=H","UseDPDF=Y")</f>
        <v>#NAME?</v>
      </c>
      <c r="CL493" s="2" t="e">
        <f ca="1">_xll.BDH($C$478,"TOT_DEBT_TO_TOT_CAP","FY 2017","FY 2017","Currency=INR","Period=FY","BEST_FPERIOD_OVERRIDE=FY","FILING_STATUS=OR","EQY_CONSOLIDATED=Y","Sort=A","Dates=H","DateFormat=P","Fill=—","Direction=H","UseDPDF=Y")</f>
        <v>#NAME?</v>
      </c>
      <c r="CM493" s="2" t="e">
        <f ca="1">_xll.BDH($C$478,"TOT_DEBT_TO_TOT_ASSET","FY 2017","FY 2017","Currency=INR","Period=FY","BEST_FPERIOD_OVERRIDE=FY","FILING_STATUS=OR","EQY_CONSOLIDATED=Y","Sort=A","Dates=H","DateFormat=P","Fill=—","Direction=H","UseDPDF=Y")</f>
        <v>#NAME?</v>
      </c>
      <c r="CN493" s="2" t="e">
        <f ca="1">_xll.BDH($C$478,"NET_DEBT_TO_SHRHLDR_EQTY","FY 2017","FY 2017","Currency=INR","Period=FY","BEST_FPERIOD_OVERRIDE=FY","FILING_STATUS=OR","EQY_CONSOLIDATED=Y","Sort=A","Dates=H","DateFormat=P","Fill=—","Direction=H","UseDPDF=Y")</f>
        <v>#NAME?</v>
      </c>
      <c r="CO493" s="2" t="e">
        <f ca="1">_xll.BDH($C$478,"NET_DEBT_%_CAPITAL","FY 2017","FY 2017","Currency=INR","Period=FY","BEST_FPERIOD_OVERRIDE=FY","FILING_STATUS=OR","EQY_CONSOLIDATED=Y","Sort=A","Dates=H","DateFormat=P","Fill=—","Direction=H","UseDPDF=Y")</f>
        <v>#NAME?</v>
      </c>
      <c r="CP493" s="3" t="e">
        <f ca="1">_xll.BDH($C$478,"EBITDA","FY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493" s="3" t="e">
        <f ca="1">_xll.BDH($C$478,"EBITDA_AFTER_CAPEX","FY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493" s="3" t="e">
        <f ca="1">_xll.BDH($C$478,"IS_OPER_INC","FY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493" s="2" t="e">
        <f ca="1">_xll.BDH($C$478,"CASH_RATIO","FY 2017","FY 2017","Currency=INR","Period=FY","BEST_FPERIOD_OVERRIDE=FY","FILING_STATUS=OR","EQY_CONSOLIDATED=Y","Sort=A","Dates=H","DateFormat=P","Fill=—","Direction=H","UseDPDF=Y")</f>
        <v>#NAME?</v>
      </c>
      <c r="CT493" s="2" t="e">
        <f ca="1">_xll.BDH($C$478,"CUR_RATIO","FY 2017","FY 2017","Currency=INR","Period=FY","BEST_FPERIOD_OVERRIDE=FY","FILING_STATUS=OR","EQY_CONSOLIDATED=Y","Sort=A","Dates=H","DateFormat=P","Fill=—","Direction=H","UseDPDF=Y")</f>
        <v>#NAME?</v>
      </c>
      <c r="CU493" s="2" t="e">
        <f ca="1">_xll.BDH($C$478,"QUICK_RATIO","FY 2017","FY 2017","Currency=INR","Period=FY","BEST_FPERIOD_OVERRIDE=FY","FILING_STATUS=OR","EQY_CONSOLIDATED=Y","Sort=A","Dates=H","DateFormat=P","Fill=—","Direction=H","UseDPDF=Y")</f>
        <v>#NAME?</v>
      </c>
      <c r="CV493" s="2" t="e">
        <f ca="1">_xll.BDH($C$478,"ALTMAN_Z_SCORE","FY 2017","FY 2017","Currency=INR","Period=FY","BEST_FPERIOD_OVERRIDE=FY","FILING_STATUS=OR","EQY_CONSOLIDATED=Y","Sort=A","Dates=H","DateFormat=P","Fill=—","Direction=H","UseDPDF=Y")</f>
        <v>#NAME?</v>
      </c>
      <c r="CW493" s="4" t="e">
        <f ca="1">_xll.BDH($C$478,"ACCT_RCV_TURN","FY 2017","FY 2017","Currency=INR","Period=FY","BEST_FPERIOD_OVERRIDE=FY","FILING_STATUS=OR","EQY_CONSOLIDATED=Y","FA_ADJUSTED=GAAP","Sort=A","Dates=H","DateFormat=P","Fill=—","Direction=H","UseDPDF=Y")</f>
        <v>#NAME?</v>
      </c>
      <c r="CX493" s="2" t="e">
        <f ca="1">_xll.BDH($C$478,"ACCT_RCV_DAYS","FY 2017","FY 2017","Currency=INR","Period=FY","BEST_FPERIOD_OVERRIDE=FY","FILING_STATUS=OR","EQY_CONSOLIDATED=Y","FA_ADJUSTED=GAAP","Sort=A","Dates=H","DateFormat=P","Fill=—","Direction=H","UseDPDF=Y")</f>
        <v>#NAME?</v>
      </c>
      <c r="CY493" s="4" t="e">
        <f ca="1">_xll.BDH($C$478,"INVENT_TURN","FY 2017","FY 2017","Currency=INR","Period=FY","BEST_FPERIOD_OVERRIDE=FY","FILING_STATUS=OR","EQY_CONSOLIDATED=Y","FA_ADJUSTED=GAAP","Sort=A","Dates=H","DateFormat=P","Fill=—","Direction=H","UseDPDF=Y")</f>
        <v>#NAME?</v>
      </c>
      <c r="CZ493" s="2" t="e">
        <f ca="1">_xll.BDH($C$478,"INVENT_DAYS","FY 2017","FY 2017","Currency=INR","Period=FY","BEST_FPERIOD_OVERRIDE=FY","FILING_STATUS=OR","EQY_CONSOLIDATED=Y","FA_ADJUSTED=GAAP","Sort=A","Dates=H","DateFormat=P","Fill=—","Direction=H","UseDPDF=Y")</f>
        <v>#NAME?</v>
      </c>
      <c r="DA493" s="4" t="e">
        <f ca="1">_xll.BDH($C$478,"ACCOUNTS_PAYABLE_TURNOVER","FY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493" s="2" t="e">
        <f ca="1">_xll.BDH($C$478,"ACCOUNTS_PAYABLE_TURNOVER_DAYS","FY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493" s="4" t="e">
        <f ca="1">_xll.BDH($C$478,"CASH_CONVERSION_CYCLE","FY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493" s="4" t="e">
        <f ca="1">_xll.BDH($C$478,"INV_TO_CASH_DAYS","FY 2017","FY 2017","Currency=INR","Period=FY","BEST_FPERIOD_OVERRIDE=FY","FILING_STATUS=OR","EQY_CONSOLIDATED=Y","FA_ADJUSTED=GAAP","Sort=A","Dates=H","DateFormat=P","Fill=—","Direction=H","UseDPDF=Y")</f>
        <v>#NAME?</v>
      </c>
      <c r="DE493" s="5" t="e">
        <f ca="1">_xll.BDH($C$478,"BS_INVENTORIES","FY 2017","FY 2017","Currency=INR","Period=FY","BEST_FPERIOD_OVERRIDE=FY","FILING_STATUS=OR","EQY_CONSOLIDATED=Y","SCALING_FORMAT=MLN","Sort=A","Dates=H","DateFormat=P","Fill=—","Direction=H","UseDPDF=Y")</f>
        <v>#NAME?</v>
      </c>
      <c r="DF493" s="3" t="e">
        <f ca="1">_xll.BDH($C$478,"INVTRY_RAW_MATERIALS","FY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493" s="3" t="e">
        <f ca="1">_xll.BDH($C$478,"INVTRY_IN_PROGRESS","FY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493" s="3" t="e">
        <f ca="1">_xll.BDH($C$478,"INVTRY_FINISHED_GOODS","FY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493" s="3" t="e">
        <f ca="1">_xll.BDH($C$478,"BS_OTHER_INV","FY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494" spans="1:113" x14ac:dyDescent="0.3">
      <c r="A494" s="6"/>
      <c r="B494" s="6"/>
      <c r="C494" s="6"/>
      <c r="D494" s="6"/>
      <c r="E494" t="s">
        <v>78</v>
      </c>
      <c r="F494" t="e">
        <f ca="1">_xll.BDH($C$478,"RETURN_COM_EQY","FQ1 2017","FQ1 2017","Currency=INR","Period=FQ","BEST_FPERIOD_OVERRIDE=FQ","FILING_STATUS=OR","EQY_CONSOLIDATED=Y","FA_ADJUSTED=GAAP","Sort=A","Dates=H","DateFormat=P","Fill=—","Direction=H","UseDPDF=Y")</f>
        <v>#NAME?</v>
      </c>
      <c r="G494" t="e">
        <f ca="1">_xll.BDH($C$478,"RETURN_ON_ASSET","FQ1 2017","FQ1 2017","Currency=INR","Period=FQ","BEST_FPERIOD_OVERRIDE=FQ","FILING_STATUS=OR","EQY_CONSOLIDATED=Y","FA_ADJUSTED=GAAP","Sort=A","Dates=H","DateFormat=P","Fill=—","Direction=H","UseDPDF=Y")</f>
        <v>#NAME?</v>
      </c>
      <c r="H494" t="e">
        <f ca="1">_xll.BDH($C$478,"RETURN_ON_CAP","FQ1 2017","FQ1 2017","Currency=INR","Period=FQ","BEST_FPERIOD_OVERRIDE=FQ","FILING_STATUS=OR","EQY_CONSOLIDATED=Y","FA_ADJUSTED=GAAP","Sort=A","Dates=H","DateFormat=P","Fill=—","Direction=H","UseDPDF=Y")</f>
        <v>#NAME?</v>
      </c>
      <c r="I494" t="e">
        <f ca="1">_xll.BDH($C$478,"RETURN_ON_INV_CAPITAL","FQ1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494" t="e">
        <f ca="1">_xll.BDH($C$478,"EBITDA_TO_REVENUE","FQ1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494" t="e">
        <f ca="1">_xll.BDH($C$478,"OPER_MARGIN","FQ1 2017","FQ1 2017","Currency=INR","Period=FQ","BEST_FPERIOD_OVERRIDE=FQ","FILING_STATUS=OR","EQY_CONSOLIDATED=Y","FA_ADJUSTED=GAAP","Sort=A","Dates=H","DateFormat=P","Fill=—","Direction=H","UseDPDF=Y")</f>
        <v>#NAME?</v>
      </c>
      <c r="L494" t="e">
        <f ca="1">_xll.BDH($C$478,"INCREMENTAL_OPERATING_MARGIN","FQ1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494" t="e">
        <f ca="1">_xll.BDH($C$478,"PRETAX_INC_TO_NET_SALES","FQ1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494" t="e">
        <f ca="1">_xll.BDH($C$478,"INC_BEF_XO_ITEMS_TO_NET_SALES","FQ1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494" t="e">
        <f ca="1">_xll.BDH($C$478,"PROF_MARGIN","FQ1 2017","FQ1 2017","Currency=INR","Period=FQ","BEST_FPERIOD_OVERRIDE=FQ","FILING_STATUS=OR","EQY_CONSOLIDATED=Y","FA_ADJUSTED=GAAP","Sort=A","Dates=H","DateFormat=P","Fill=—","Direction=H","UseDPDF=Y")</f>
        <v>#NAME?</v>
      </c>
      <c r="P494" t="e">
        <f ca="1">_xll.BDH($C$478,"NET_INCOME_TO_COMMON_MARGIN","FQ1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494" t="e">
        <f ca="1">_xll.BDH($C$478,"EFF_TAX_RATE","FQ1 2017","FQ1 2017","Currency=INR","Period=FQ","BEST_FPERIOD_OVERRIDE=FQ","FILING_STATUS=OR","EQY_CONSOLIDATED=Y","FA_ADJUSTED=GAAP","Sort=A","Dates=H","DateFormat=P","Fill=—","Direction=H","UseDPDF=Y")</f>
        <v>#NAME?</v>
      </c>
      <c r="R494" t="e">
        <f ca="1">_xll.BDH($C$478,"DVD_PAYOUT_RATIO","FQ1 2017","FQ1 2017","Currency=INR","Period=FQ","BEST_FPERIOD_OVERRIDE=FQ","FILING_STATUS=OR","EQY_CONSOLIDATED=Y","FA_ADJUSTED=GAAP","Sort=A","Dates=H","DateFormat=P","Fill=—","Direction=H","UseDPDF=Y")</f>
        <v>#NAME?</v>
      </c>
      <c r="S494" t="e">
        <f ca="1">_xll.BDH($C$478,"SUSTAIN_GROWTH_RT","FQ1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494" s="2" t="e">
        <f ca="1">_xll.BDH($C$478,"SALES_GROWTH","FQ1 2017","FQ1 2017","Currency=INR","Period=FQ","BEST_FPERIOD_OVERRIDE=FQ","FILING_STATUS=OR","EQY_CONSOLIDATED=Y","FA_ADJUSTED=GAAP","Sort=A","Dates=H","DateFormat=P","Fill=—","Direction=H","UseDPDF=Y")</f>
        <v>#NAME?</v>
      </c>
      <c r="U494" s="2" t="e">
        <f ca="1">_xll.BDH($C$478,"EBITDA_GROWTH","FQ1 2017","FQ1 2017","Currency=INR","Period=FQ","BEST_FPERIOD_OVERRIDE=FQ","FILING_STATUS=OR","EQY_CONSOLIDATED=Y","FA_ADJUSTED=GAAP","Sort=A","Dates=H","DateFormat=P","Fill=—","Direction=H","UseDPDF=Y")</f>
        <v>#NAME?</v>
      </c>
      <c r="V494" s="2" t="e">
        <f ca="1">_xll.BDH($C$478,"OPER_INC_GROWTH","FQ1 2017","FQ1 2017","Currency=INR","Period=FQ","BEST_FPERIOD_OVERRIDE=FQ","FILING_STATUS=OR","EQY_CONSOLIDATED=Y","FA_ADJUSTED=GAAP","Sort=A","Dates=H","DateFormat=P","Fill=—","Direction=H","UseDPDF=Y")</f>
        <v>#NAME?</v>
      </c>
      <c r="W494" s="2" t="e">
        <f ca="1">_xll.BDH($C$478,"EARN_FOR_COM_GROWTH","FQ1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494" s="2" t="e">
        <f ca="1">_xll.BDH($C$478,"DILUTED_EPS_AFT_XO_ITEMS_GROWTH","FQ1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494" s="2" t="e">
        <f ca="1">_xll.BDH($C$478,"DIVIDEND_PER_SHARE_1_YEAR_GROWTH","FQ1 2017","FQ1 2017","Currency=INR","Period=FQ","BEST_FPERIOD_OVERRIDE=FQ","FILING_STATUS=OR","EQY_CONSOLIDATED=Y","Sort=A","Dates=H","DateFormat=P","Fill=—","Direction=H","UseDPDF=Y")</f>
        <v>#NAME?</v>
      </c>
      <c r="Z494" s="2" t="e">
        <f ca="1">_xll.BDH($C$478,"ACCOUNTS_RECEIVABLE_GROWTH","FQ1 2017","FQ1 2017","Currency=INR","Period=FQ","BEST_FPERIOD_OVERRIDE=FQ","FILING_STATUS=OR","EQY_CONSOLIDATED=Y","Sort=A","Dates=H","DateFormat=P","Fill=—","Direction=H","UseDPDF=Y")</f>
        <v>#NAME?</v>
      </c>
      <c r="AA494" s="2" t="e">
        <f ca="1">_xll.BDH($C$478,"INVENTORY_GROWTH","FQ1 2017","FQ1 2017","Currency=INR","Period=FQ","BEST_FPERIOD_OVERRIDE=FQ","FILING_STATUS=OR","EQY_CONSOLIDATED=Y","Sort=A","Dates=H","DateFormat=P","Fill=—","Direction=H","UseDPDF=Y")</f>
        <v>#NAME?</v>
      </c>
      <c r="AB494" s="2" t="e">
        <f ca="1">_xll.BDH($C$478,"NET_FIXED_ASSETS_1_YEAR_GROWTH","FQ1 2017","FQ1 2017","Currency=INR","Period=FQ","BEST_FPERIOD_OVERRIDE=FQ","FILING_STATUS=OR","EQY_CONSOLIDATED=Y","Sort=A","Dates=H","DateFormat=P","Fill=—","Direction=H","UseDPDF=Y")</f>
        <v>#NAME?</v>
      </c>
      <c r="AC494" s="2" t="e">
        <f ca="1">_xll.BDH($C$478,"ASSET_GROWTH","FQ1 2017","FQ1 2017","Currency=INR","Period=FQ","BEST_FPERIOD_OVERRIDE=FQ","FILING_STATUS=OR","EQY_CONSOLIDATED=Y","Sort=A","Dates=H","DateFormat=P","Fill=—","Direction=H","UseDPDF=Y")</f>
        <v>#NAME?</v>
      </c>
      <c r="AD494" s="2" t="e">
        <f ca="1">_xll.BDH($C$478,"MODIFIED_WORK_CAP_GROWTH","FQ1 2017","FQ1 2017","Currency=INR","Period=FQ","BEST_FPERIOD_OVERRIDE=FQ","FILING_STATUS=OR","EQY_CONSOLIDATED=Y","Sort=A","Dates=H","DateFormat=P","Fill=—","Direction=H","UseDPDF=Y")</f>
        <v>#NAME?</v>
      </c>
      <c r="AE494" s="2" t="e">
        <f ca="1">_xll.BDH($C$478,"WORK_CAP_GROWTH","FQ1 2017","FQ1 2017","Currency=INR","Period=FQ","BEST_FPERIOD_OVERRIDE=FQ","FILING_STATUS=OR","EQY_CONSOLIDATED=Y","Sort=A","Dates=H","DateFormat=P","Fill=—","Direction=H","UseDPDF=Y")</f>
        <v>#NAME?</v>
      </c>
      <c r="AF494" s="2" t="e">
        <f ca="1">_xll.BDH($C$478,"ACCOUNTS_PAYABLE_GROWTH_1YR","FQ1 2017","FQ1 2017","Currency=INR","Period=FQ","BEST_FPERIOD_OVERRIDE=FQ","FILING_STATUS=OR","EQY_CONSOLIDATED=Y","Sort=A","Dates=H","DateFormat=P","Fill=—","Direction=H","UseDPDF=Y")</f>
        <v>#NAME?</v>
      </c>
      <c r="AG494" s="2" t="e">
        <f ca="1">_xll.BDH($C$478,"SHORT_TERM_DEBT_1_YEAR_GROWTH","FQ1 2017","FQ1 2017","Currency=INR","Period=FQ","BEST_FPERIOD_OVERRIDE=FQ","FILING_STATUS=OR","EQY_CONSOLIDATED=Y","Sort=A","Dates=H","DateFormat=P","Fill=—","Direction=H","UseDPDF=Y")</f>
        <v>#NAME?</v>
      </c>
      <c r="AH494" s="2" t="e">
        <f ca="1">_xll.BDH($C$478,"TOTAL_DEBT_1_YEAR_GROWTH","FQ1 2017","FQ1 2017","Currency=INR","Period=FQ","BEST_FPERIOD_OVERRIDE=FQ","FILING_STATUS=OR","EQY_CONSOLIDATED=Y","Sort=A","Dates=H","DateFormat=P","Fill=—","Direction=H","UseDPDF=Y")</f>
        <v>#NAME?</v>
      </c>
      <c r="AI494" s="2" t="e">
        <f ca="1">_xll.BDH($C$478,"TOTAL_EQUITY_1_YEAR_GROWTH","FQ1 2017","FQ1 2017","Currency=INR","Period=FQ","BEST_FPERIOD_OVERRIDE=FQ","FILING_STATUS=OR","EQY_CONSOLIDATED=Y","Sort=A","Dates=H","DateFormat=P","Fill=—","Direction=H","UseDPDF=Y")</f>
        <v>#NAME?</v>
      </c>
      <c r="AJ494" s="2" t="e">
        <f ca="1">_xll.BDH($C$478,"GROWTH_IN_CAP","FQ1 2017","FQ1 2017","Currency=INR","Period=FQ","BEST_FPERIOD_OVERRIDE=FQ","FILING_STATUS=OR","EQY_CONSOLIDATED=Y","Sort=A","Dates=H","DateFormat=P","Fill=—","Direction=H","UseDPDF=Y")</f>
        <v>#NAME?</v>
      </c>
      <c r="AK494" s="2" t="e">
        <f ca="1">_xll.BDH($C$478,"BVPS_GROWTH","FQ1 2017","FQ1 2017","Currency=INR","Period=FQ","BEST_FPERIOD_OVERRIDE=FQ","FILING_STATUS=OR","EQY_CONSOLIDATED=Y","Sort=A","Dates=H","DateFormat=P","Fill=—","Direction=H","UseDPDF=Y")</f>
        <v>#NAME?</v>
      </c>
      <c r="AL494" s="2" t="e">
        <f ca="1">_xll.BDH($C$478,"CASH_FLOW_GROWTH","FQ1 2017","FQ1 2017","Currency=INR","Period=FQ","BEST_FPERIOD_OVERRIDE=FQ","FILING_STATUS=OR","EQY_CONSOLIDATED=Y","Sort=A","Dates=H","DateFormat=P","Fill=—","Direction=H","UseDPDF=Y")</f>
        <v>#NAME?</v>
      </c>
      <c r="AM494" s="2" t="e">
        <f ca="1">_xll.BDH($C$478,"GEO_GROW_NET_SALES","FQ1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494" s="2" t="e">
        <f ca="1">_xll.BDH($C$478,"GEO_GROW_EBITDA","FQ1 2017","FQ1 2017","Currency=INR","Period=FQ","BEST_FPERIOD_OVERRIDE=FQ","FILING_STATUS=OR","EQY_CONSOLIDATED=Y","FA_ADJUSTED=GAAP","Sort=A","Dates=H","DateFormat=P","Fill=—","Direction=H","UseDPDF=Y")</f>
        <v>#NAME?</v>
      </c>
      <c r="AO494" s="2" t="e">
        <f ca="1">_xll.BDH($C$478,"GEO_GROW_OPER_INC","FQ1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494" s="2" t="e">
        <f ca="1">_xll.BDH($C$478,"NET_INCOME_TO_COMMON_5_YR_GROWTH","FQ1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494" s="2" t="e">
        <f ca="1">_xll.BDH($C$478,"5Y_GEO_GROWTH_DILUTED_EPS","FQ1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494" s="2" t="e">
        <f ca="1">_xll.BDH($C$478,"GEO_GROW_DVD_PER_SH","FQ1 2017","FQ1 2017","Currency=INR","Period=FQ","BEST_FPERIOD_OVERRIDE=FQ","FILING_STATUS=OR","EQY_CONSOLIDATED=Y","Sort=A","Dates=H","DateFormat=P","Fill=—","Direction=H","UseDPDF=Y")</f>
        <v>#NAME?</v>
      </c>
      <c r="AS494" s="2" t="e">
        <f ca="1">_xll.BDH($C$478,"ACCOUNTS_RECEIVABLE_5_YR_GROWTH","FQ1 2017","FQ1 2017","Currency=INR","Period=FQ","BEST_FPERIOD_OVERRIDE=FQ","FILING_STATUS=OR","EQY_CONSOLIDATED=Y","Sort=A","Dates=H","DateFormat=P","Fill=—","Direction=H","UseDPDF=Y")</f>
        <v>#NAME?</v>
      </c>
      <c r="AT494" s="2" t="e">
        <f ca="1">_xll.BDH($C$478,"INVENTORY_5_YEAR_GROWTH","FQ1 2017","FQ1 2017","Currency=INR","Period=FQ","BEST_FPERIOD_OVERRIDE=FQ","FILING_STATUS=OR","EQY_CONSOLIDATED=Y","Sort=A","Dates=H","DateFormat=P","Fill=—","Direction=H","UseDPDF=Y")</f>
        <v>#NAME?</v>
      </c>
      <c r="AU494" s="2" t="e">
        <f ca="1">_xll.BDH($C$478,"NET_FIXED_ASSETS_5_YEAR_GROWTH","FQ1 2017","FQ1 2017","Currency=INR","Period=FQ","BEST_FPERIOD_OVERRIDE=FQ","FILING_STATUS=OR","EQY_CONSOLIDATED=Y","Sort=A","Dates=H","DateFormat=P","Fill=—","Direction=H","UseDPDF=Y")</f>
        <v>#NAME?</v>
      </c>
      <c r="AV494" s="2" t="e">
        <f ca="1">_xll.BDH($C$478,"GEO_GROW_TOT_ASSET","FQ1 2017","FQ1 2017","Currency=INR","Period=FQ","BEST_FPERIOD_OVERRIDE=FQ","FILING_STATUS=OR","EQY_CONSOLIDATED=Y","Sort=A","Dates=H","DateFormat=P","Fill=—","Direction=H","UseDPDF=Y")</f>
        <v>#NAME?</v>
      </c>
      <c r="AW494" s="2" t="e">
        <f ca="1">_xll.BDH($C$478,"MODIFIED_WORKING_CPTL_5YR_GRWTH","FQ1 2017","FQ1 2017","Currency=INR","Period=FQ","BEST_FPERIOD_OVERRIDE=FQ","FILING_STATUS=OR","EQY_CONSOLIDATED=Y","Sort=A","Dates=H","DateFormat=P","Fill=—","Direction=H","UseDPDF=Y")</f>
        <v>#NAME?</v>
      </c>
      <c r="AX494" s="2" t="e">
        <f ca="1">_xll.BDH($C$478,"WORKING_CAPITAL_5_YEAR_GROWTH","FQ1 2017","FQ1 2017","Currency=INR","Period=FQ","BEST_FPERIOD_OVERRIDE=FQ","FILING_STATUS=OR","EQY_CONSOLIDATED=Y","Sort=A","Dates=H","DateFormat=P","Fill=—","Direction=H","UseDPDF=Y")</f>
        <v>#NAME?</v>
      </c>
      <c r="AY494" s="2" t="e">
        <f ca="1">_xll.BDH($C$478,"ACCOUNTS_PAYABLE_5_YEAR_GROWTH","FQ1 2017","FQ1 2017","Currency=INR","Period=FQ","BEST_FPERIOD_OVERRIDE=FQ","FILING_STATUS=OR","EQY_CONSOLIDATED=Y","Sort=A","Dates=H","DateFormat=P","Fill=—","Direction=H","UseDPDF=Y")</f>
        <v>#NAME?</v>
      </c>
      <c r="AZ494" s="2" t="e">
        <f ca="1">_xll.BDH($C$478,"SHORT_TERM_DEBT_5_YEAR_GROWTH","FQ1 2017","FQ1 2017","Currency=INR","Period=FQ","BEST_FPERIOD_OVERRIDE=FQ","FILING_STATUS=OR","EQY_CONSOLIDATED=Y","Sort=A","Dates=H","DateFormat=P","Fill=—","Direction=H","UseDPDF=Y")</f>
        <v>#NAME?</v>
      </c>
      <c r="BA494" s="2" t="e">
        <f ca="1">_xll.BDH($C$478,"TOTAL_DEBT_5_YEAR_GROWTH","FQ1 2017","FQ1 2017","Currency=INR","Period=FQ","BEST_FPERIOD_OVERRIDE=FQ","FILING_STATUS=OR","EQY_CONSOLIDATED=Y","Sort=A","Dates=H","DateFormat=P","Fill=—","Direction=H","UseDPDF=Y")</f>
        <v>#NAME?</v>
      </c>
      <c r="BB494" s="2" t="e">
        <f ca="1">_xll.BDH($C$478,"GEO_GROW_TOT_SHRHLDR_EQY","FQ1 2017","FQ1 2017","Currency=INR","Period=FQ","BEST_FPERIOD_OVERRIDE=FQ","FILING_STATUS=OR","EQY_CONSOLIDATED=Y","Sort=A","Dates=H","DateFormat=P","Fill=—","Direction=H","UseDPDF=Y")</f>
        <v>#NAME?</v>
      </c>
      <c r="BC494" s="2" t="e">
        <f ca="1">_xll.BDH($C$478,"TOTAL_CAPITAL_5_YEAR_GROWTH","FQ1 2017","FQ1 2017","Currency=INR","Period=FQ","BEST_FPERIOD_OVERRIDE=FQ","FILING_STATUS=OR","EQY_CONSOLIDATED=Y","Sort=A","Dates=H","DateFormat=P","Fill=—","Direction=H","UseDPDF=Y")</f>
        <v>#NAME?</v>
      </c>
      <c r="BD494" s="2" t="e">
        <f ca="1">_xll.BDH($C$478,"GEO_GROW_BOOK_VAL","FQ1 2017","FQ1 2017","Currency=INR","Period=FQ","BEST_FPERIOD_OVERRIDE=FQ","FILING_STATUS=OR","EQY_CONSOLIDATED=Y","Sort=A","Dates=H","DateFormat=P","Fill=—","Direction=H","UseDPDF=Y")</f>
        <v>#NAME?</v>
      </c>
      <c r="BE494" s="2" t="e">
        <f ca="1">_xll.BDH($C$478,"GEO_GROW_CASH_OPER_ACT","FQ1 2017","FQ1 2017","Currency=INR","Period=FQ","BEST_FPERIOD_OVERRIDE=FQ","FILING_STATUS=OR","EQY_CONSOLIDATED=Y","Sort=A","Dates=H","DateFormat=P","Fill=—","Direction=H","UseDPDF=Y")</f>
        <v>#NAME?</v>
      </c>
      <c r="BF494" s="2" t="e">
        <f ca="1">_xll.BDH($C$478,"REVENUE_SEQUENTIAL_GROWTH","FQ1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494" s="2" t="e">
        <f ca="1">_xll.BDH($C$478,"EBITDA_SEQUENTIAL_GROWTH","FQ1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494" s="2" t="e">
        <f ca="1">_xll.BDH($C$478,"OPERATING_INCOME_SEQ_GROWTH","FQ1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494" s="2" t="e">
        <f ca="1">_xll.BDH($C$478,"NET_INCOME_TO_COMMON_SEQ_GROWTH","FQ1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494" s="2" t="e">
        <f ca="1">_xll.BDH($C$478,"EPS_DILUTED_SEQUENTIAL_GROWTH","FQ1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494" s="2" t="e">
        <f ca="1">_xll.BDH($C$478,"DPS_SEQUENTIAL_GROWTH","FQ1 2017","FQ1 2017","Currency=INR","Period=FQ","BEST_FPERIOD_OVERRIDE=FQ","FILING_STATUS=OR","EQY_CONSOLIDATED=Y","Sort=A","Dates=H","DateFormat=P","Fill=—","Direction=H","UseDPDF=Y")</f>
        <v>#NAME?</v>
      </c>
      <c r="BL494" s="2" t="e">
        <f ca="1">_xll.BDH($C$478,"ACCOUNTS_RECEIVABLE_SEQ_GROWTH","FQ1 2017","FQ1 2017","Currency=INR","Period=FQ","BEST_FPERIOD_OVERRIDE=FQ","FILING_STATUS=OR","EQY_CONSOLIDATED=Y","Sort=A","Dates=H","DateFormat=P","Fill=—","Direction=H","UseDPDF=Y")</f>
        <v>#NAME?</v>
      </c>
      <c r="BM494" s="2" t="e">
        <f ca="1">_xll.BDH($C$478,"INVENTORY_SEQUENTIAL_GROWTH","FQ1 2017","FQ1 2017","Currency=INR","Period=FQ","BEST_FPERIOD_OVERRIDE=FQ","FILING_STATUS=OR","EQY_CONSOLIDATED=Y","Sort=A","Dates=H","DateFormat=P","Fill=—","Direction=H","UseDPDF=Y")</f>
        <v>#NAME?</v>
      </c>
      <c r="BN494" s="2" t="e">
        <f ca="1">_xll.BDH($C$478,"FIXED_ASSETS_SEQUENTIAL_GROWTH","FQ1 2017","FQ1 2017","Currency=INR","Period=FQ","BEST_FPERIOD_OVERRIDE=FQ","FILING_STATUS=OR","EQY_CONSOLIDATED=Y","Sort=A","Dates=H","DateFormat=P","Fill=—","Direction=H","UseDPDF=Y")</f>
        <v>#NAME?</v>
      </c>
      <c r="BO494" s="2" t="e">
        <f ca="1">_xll.BDH($C$478,"TOTAL_ASSETS_SEQUENTIAL_GROWTH","FQ1 2017","FQ1 2017","Currency=INR","Period=FQ","BEST_FPERIOD_OVERRIDE=FQ","FILING_STATUS=OR","EQY_CONSOLIDATED=Y","Sort=A","Dates=H","DateFormat=P","Fill=—","Direction=H","UseDPDF=Y")</f>
        <v>#NAME?</v>
      </c>
      <c r="BP494" s="2" t="e">
        <f ca="1">_xll.BDH($C$478,"MODIFIED_WORKING_CPTL_SEQ_GRWTH","FQ1 2017","FQ1 2017","Currency=INR","Period=FQ","BEST_FPERIOD_OVERRIDE=FQ","FILING_STATUS=OR","EQY_CONSOLIDATED=Y","Sort=A","Dates=H","DateFormat=P","Fill=—","Direction=H","UseDPDF=Y")</f>
        <v>#NAME?</v>
      </c>
      <c r="BQ494" s="2" t="e">
        <f ca="1">_xll.BDH($C$478,"WORKING_CAPITAL_SEQ_GROWTH","FQ1 2017","FQ1 2017","Currency=INR","Period=FQ","BEST_FPERIOD_OVERRIDE=FQ","FILING_STATUS=OR","EQY_CONSOLIDATED=Y","Sort=A","Dates=H","DateFormat=P","Fill=—","Direction=H","UseDPDF=Y")</f>
        <v>#NAME?</v>
      </c>
      <c r="BR494" s="2" t="e">
        <f ca="1">_xll.BDH($C$478,"ACCOUNTS_PAYABLE_SEQ_GROWTH","FQ1 2017","FQ1 2017","Currency=INR","Period=FQ","BEST_FPERIOD_OVERRIDE=FQ","FILING_STATUS=OR","EQY_CONSOLIDATED=Y","Sort=A","Dates=H","DateFormat=P","Fill=—","Direction=H","UseDPDF=Y")</f>
        <v>#NAME?</v>
      </c>
      <c r="BS494" s="2" t="e">
        <f ca="1">_xll.BDH($C$478,"ST_DEBT_SEQUENTIAL_GROWTH","FQ1 2017","FQ1 2017","Currency=INR","Period=FQ","BEST_FPERIOD_OVERRIDE=FQ","FILING_STATUS=OR","EQY_CONSOLIDATED=Y","Sort=A","Dates=H","DateFormat=P","Fill=—","Direction=H","UseDPDF=Y")</f>
        <v>#NAME?</v>
      </c>
      <c r="BT494" s="2" t="e">
        <f ca="1">_xll.BDH($C$478,"TOTAL_DEBT_SEQUENTIAL_GROWTH","FQ1 2017","FQ1 2017","Currency=INR","Period=FQ","BEST_FPERIOD_OVERRIDE=FQ","FILING_STATUS=OR","EQY_CONSOLIDATED=Y","Sort=A","Dates=H","DateFormat=P","Fill=—","Direction=H","UseDPDF=Y")</f>
        <v>#NAME?</v>
      </c>
      <c r="BU494" s="2" t="e">
        <f ca="1">_xll.BDH($C$478,"TOTAL_EQUITY_SEQUENTIAL_GROWTH","FQ1 2017","FQ1 2017","Currency=INR","Period=FQ","BEST_FPERIOD_OVERRIDE=FQ","FILING_STATUS=OR","EQY_CONSOLIDATED=Y","Sort=A","Dates=H","DateFormat=P","Fill=—","Direction=H","UseDPDF=Y")</f>
        <v>#NAME?</v>
      </c>
      <c r="BV494" s="2" t="e">
        <f ca="1">_xll.BDH($C$478,"TOTAL_CAPITAL_SEQUENTIAL_GROWTH","FQ1 2017","FQ1 2017","Currency=INR","Period=FQ","BEST_FPERIOD_OVERRIDE=FQ","FILING_STATUS=OR","EQY_CONSOLIDATED=Y","Sort=A","Dates=H","DateFormat=P","Fill=—","Direction=H","UseDPDF=Y")</f>
        <v>#NAME?</v>
      </c>
      <c r="BW494" s="2" t="e">
        <f ca="1">_xll.BDH($C$478,"BPS_SEQUENTIAL_GROWTH","FQ1 2017","FQ1 2017","Currency=INR","Period=FQ","BEST_FPERIOD_OVERRIDE=FQ","FILING_STATUS=OR","EQY_CONSOLIDATED=Y","Sort=A","Dates=H","DateFormat=P","Fill=—","Direction=H","UseDPDF=Y")</f>
        <v>#NAME?</v>
      </c>
      <c r="BX494" s="2" t="e">
        <f ca="1">_xll.BDH($C$478,"CFO_SEQUENTIAL_GROWTH","FQ1 2017","FQ1 2017","Currency=INR","Period=FQ","BEST_FPERIOD_OVERRIDE=FQ","FILING_STATUS=OR","EQY_CONSOLIDATED=Y","Sort=A","Dates=H","DateFormat=P","Fill=—","Direction=H","UseDPDF=Y")</f>
        <v>#NAME?</v>
      </c>
      <c r="BY494" s="3" t="e">
        <f ca="1">_xll.BDH($C$478,"SHORT_AND_LONG_TERM_DEBT","FQ1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494" s="3" t="e">
        <f ca="1">_xll.BDH($C$478,"BS_ST_BORROW","FQ1 2017","FQ1 2017","Currency=INR","Period=FQ","BEST_FPERIOD_OVERRIDE=FQ","FILING_STATUS=OR","EQY_CONSOLIDATED=Y","SCALING_FORMAT=MLN","Sort=A","Dates=H","DateFormat=P","Fill=—","Direction=H","UseDPDF=Y")</f>
        <v>#NAME?</v>
      </c>
      <c r="CA494" s="3" t="e">
        <f ca="1">_xll.BDH($C$478,"BS_LT_BORROW","FQ1 2017","FQ1 2017","Currency=INR","Period=FQ","BEST_FPERIOD_OVERRIDE=FQ","FILING_STATUS=OR","EQY_CONSOLIDATED=Y","SCALING_FORMAT=MLN","Sort=A","Dates=H","DateFormat=P","Fill=—","Direction=H","UseDPDF=Y")</f>
        <v>#NAME?</v>
      </c>
      <c r="CB494" s="2" t="e">
        <f ca="1">_xll.BDH($C$478,"TOT_DEBT_TO_EBITDA","FQ1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494" s="2" t="e">
        <f ca="1">_xll.BDH($C$478,"NET_DEBT_TO_EBITDA","FQ1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494" s="2" t="e">
        <f ca="1">_xll.BDH($C$478,"TOTAL_DEBT_TO_EBIT","FQ1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494" s="2" t="e">
        <f ca="1">_xll.BDH($C$478,"NET_DEBT_TO_EBIT","FQ1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494" s="2" t="e">
        <f ca="1">_xll.BDH($C$478,"EBITDA_TO_INTEREST_EXPN","FQ1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494" s="2" t="e">
        <f ca="1">_xll.BDH($C$478,"COM_EQY_TO_TOT_ASSET","FQ1 2017","FQ1 2017","Currency=INR","Period=FQ","BEST_FPERIOD_OVERRIDE=FQ","FILING_STATUS=OR","EQY_CONSOLIDATED=Y","Sort=A","Dates=H","DateFormat=P","Fill=—","Direction=H","UseDPDF=Y")</f>
        <v>#NAME?</v>
      </c>
      <c r="CH494" s="2" t="e">
        <f ca="1">_xll.BDH($C$478,"LT_DEBT_TO_TOT_EQY","FQ1 2017","FQ1 2017","Currency=INR","Period=FQ","BEST_FPERIOD_OVERRIDE=FQ","FILING_STATUS=OR","EQY_CONSOLIDATED=Y","Sort=A","Dates=H","DateFormat=P","Fill=—","Direction=H","UseDPDF=Y")</f>
        <v>#NAME?</v>
      </c>
      <c r="CI494" s="2" t="e">
        <f ca="1">_xll.BDH($C$478,"LT_DEBT_TO_TOT_CAP","FQ1 2017","FQ1 2017","Currency=INR","Period=FQ","BEST_FPERIOD_OVERRIDE=FQ","FILING_STATUS=OR","EQY_CONSOLIDATED=Y","Sort=A","Dates=H","DateFormat=P","Fill=—","Direction=H","UseDPDF=Y")</f>
        <v>#NAME?</v>
      </c>
      <c r="CJ494" s="2" t="e">
        <f ca="1">_xll.BDH($C$478,"LT_DEBT_TO_TOT_ASSET","FQ1 2017","FQ1 2017","Currency=INR","Period=FQ","BEST_FPERIOD_OVERRIDE=FQ","FILING_STATUS=OR","EQY_CONSOLIDATED=Y","Sort=A","Dates=H","DateFormat=P","Fill=—","Direction=H","UseDPDF=Y")</f>
        <v>#NAME?</v>
      </c>
      <c r="CK494" s="2" t="e">
        <f ca="1">_xll.BDH($C$478,"TOT_DEBT_TO_TOT_EQY","FQ1 2017","FQ1 2017","Currency=INR","Period=FQ","BEST_FPERIOD_OVERRIDE=FQ","FILING_STATUS=OR","EQY_CONSOLIDATED=Y","Sort=A","Dates=H","DateFormat=P","Fill=—","Direction=H","UseDPDF=Y")</f>
        <v>#NAME?</v>
      </c>
      <c r="CL494" s="2" t="e">
        <f ca="1">_xll.BDH($C$478,"TOT_DEBT_TO_TOT_CAP","FQ1 2017","FQ1 2017","Currency=INR","Period=FQ","BEST_FPERIOD_OVERRIDE=FQ","FILING_STATUS=OR","EQY_CONSOLIDATED=Y","Sort=A","Dates=H","DateFormat=P","Fill=—","Direction=H","UseDPDF=Y")</f>
        <v>#NAME?</v>
      </c>
      <c r="CM494" s="2" t="e">
        <f ca="1">_xll.BDH($C$478,"TOT_DEBT_TO_TOT_ASSET","FQ1 2017","FQ1 2017","Currency=INR","Period=FQ","BEST_FPERIOD_OVERRIDE=FQ","FILING_STATUS=OR","EQY_CONSOLIDATED=Y","Sort=A","Dates=H","DateFormat=P","Fill=—","Direction=H","UseDPDF=Y")</f>
        <v>#NAME?</v>
      </c>
      <c r="CN494" s="2" t="e">
        <f ca="1">_xll.BDH($C$478,"NET_DEBT_TO_SHRHLDR_EQTY","FQ1 2017","FQ1 2017","Currency=INR","Period=FQ","BEST_FPERIOD_OVERRIDE=FQ","FILING_STATUS=OR","EQY_CONSOLIDATED=Y","Sort=A","Dates=H","DateFormat=P","Fill=—","Direction=H","UseDPDF=Y")</f>
        <v>#NAME?</v>
      </c>
      <c r="CO494" s="2" t="e">
        <f ca="1">_xll.BDH($C$478,"NET_DEBT_%_CAPITAL","FQ1 2017","FQ1 2017","Currency=INR","Period=FQ","BEST_FPERIOD_OVERRIDE=FQ","FILING_STATUS=OR","EQY_CONSOLIDATED=Y","Sort=A","Dates=H","DateFormat=P","Fill=—","Direction=H","UseDPDF=Y")</f>
        <v>#NAME?</v>
      </c>
      <c r="CP494" s="3" t="e">
        <f ca="1">_xll.BDH($C$478,"EBITDA","FQ1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494" s="3" t="e">
        <f ca="1">_xll.BDH($C$478,"EBITDA_AFTER_CAPEX","FQ1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494" s="3" t="e">
        <f ca="1">_xll.BDH($C$478,"IS_OPER_INC","FQ1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494" s="2" t="e">
        <f ca="1">_xll.BDH($C$478,"CASH_RATIO","FQ1 2017","FQ1 2017","Currency=INR","Period=FQ","BEST_FPERIOD_OVERRIDE=FQ","FILING_STATUS=OR","EQY_CONSOLIDATED=Y","Sort=A","Dates=H","DateFormat=P","Fill=—","Direction=H","UseDPDF=Y")</f>
        <v>#NAME?</v>
      </c>
      <c r="CT494" s="2" t="e">
        <f ca="1">_xll.BDH($C$478,"CUR_RATIO","FQ1 2017","FQ1 2017","Currency=INR","Period=FQ","BEST_FPERIOD_OVERRIDE=FQ","FILING_STATUS=OR","EQY_CONSOLIDATED=Y","Sort=A","Dates=H","DateFormat=P","Fill=—","Direction=H","UseDPDF=Y")</f>
        <v>#NAME?</v>
      </c>
      <c r="CU494" s="2" t="e">
        <f ca="1">_xll.BDH($C$478,"QUICK_RATIO","FQ1 2017","FQ1 2017","Currency=INR","Period=FQ","BEST_FPERIOD_OVERRIDE=FQ","FILING_STATUS=OR","EQY_CONSOLIDATED=Y","Sort=A","Dates=H","DateFormat=P","Fill=—","Direction=H","UseDPDF=Y")</f>
        <v>#NAME?</v>
      </c>
      <c r="CV494" s="2" t="e">
        <f ca="1">_xll.BDH($C$478,"ALTMAN_Z_SCORE","FQ1 2017","FQ1 2017","Currency=INR","Period=FQ","BEST_FPERIOD_OVERRIDE=FQ","FILING_STATUS=OR","EQY_CONSOLIDATED=Y","Sort=A","Dates=H","DateFormat=P","Fill=—","Direction=H","UseDPDF=Y")</f>
        <v>#NAME?</v>
      </c>
      <c r="CW494" s="4" t="e">
        <f ca="1">_xll.BDH($C$478,"ACCT_RCV_TURN","FQ1 2017","FQ1 2017","Currency=INR","Period=FQ","BEST_FPERIOD_OVERRIDE=FQ","FILING_STATUS=OR","EQY_CONSOLIDATED=Y","FA_ADJUSTED=GAAP","Sort=A","Dates=H","DateFormat=P","Fill=—","Direction=H","UseDPDF=Y")</f>
        <v>#NAME?</v>
      </c>
      <c r="CX494" s="2" t="e">
        <f ca="1">_xll.BDH($C$478,"ACCT_RCV_DAYS","FQ1 2017","FQ1 2017","Currency=INR","Period=FQ","BEST_FPERIOD_OVERRIDE=FQ","FILING_STATUS=OR","EQY_CONSOLIDATED=Y","FA_ADJUSTED=GAAP","Sort=A","Dates=H","DateFormat=P","Fill=—","Direction=H","UseDPDF=Y")</f>
        <v>#NAME?</v>
      </c>
      <c r="CY494" s="4" t="e">
        <f ca="1">_xll.BDH($C$478,"INVENT_TURN","FQ1 2017","FQ1 2017","Currency=INR","Period=FQ","BEST_FPERIOD_OVERRIDE=FQ","FILING_STATUS=OR","EQY_CONSOLIDATED=Y","FA_ADJUSTED=GAAP","Sort=A","Dates=H","DateFormat=P","Fill=—","Direction=H","UseDPDF=Y")</f>
        <v>#NAME?</v>
      </c>
      <c r="CZ494" s="2" t="e">
        <f ca="1">_xll.BDH($C$478,"INVENT_DAYS","FQ1 2017","FQ1 2017","Currency=INR","Period=FQ","BEST_FPERIOD_OVERRIDE=FQ","FILING_STATUS=OR","EQY_CONSOLIDATED=Y","FA_ADJUSTED=GAAP","Sort=A","Dates=H","DateFormat=P","Fill=—","Direction=H","UseDPDF=Y")</f>
        <v>#NAME?</v>
      </c>
      <c r="DA494" s="4" t="e">
        <f ca="1">_xll.BDH($C$478,"ACCOUNTS_PAYABLE_TURNOVER","FQ1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494" s="2" t="e">
        <f ca="1">_xll.BDH($C$478,"ACCOUNTS_PAYABLE_TURNOVER_DAYS","FQ1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494" s="4" t="e">
        <f ca="1">_xll.BDH($C$478,"CASH_CONVERSION_CYCLE","FQ1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494" s="4" t="e">
        <f ca="1">_xll.BDH($C$478,"INV_TO_CASH_DAYS","FQ1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494" s="5" t="e">
        <f ca="1">_xll.BDH($C$478,"BS_INVENTORIES","FQ1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494" s="3" t="e">
        <f ca="1">_xll.BDH($C$478,"INVTRY_RAW_MATERIALS","FQ1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494" s="3" t="e">
        <f ca="1">_xll.BDH($C$478,"INVTRY_IN_PROGRESS","FQ1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494" s="3" t="e">
        <f ca="1">_xll.BDH($C$478,"INVTRY_FINISHED_GOODS","FQ1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494" s="3" t="e">
        <f ca="1">_xll.BDH($C$478,"BS_OTHER_INV","FQ1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495" spans="1:113" x14ac:dyDescent="0.3">
      <c r="A495" s="6"/>
      <c r="B495" s="6"/>
      <c r="C495" s="6"/>
      <c r="D495" s="6"/>
      <c r="E495" t="s">
        <v>79</v>
      </c>
      <c r="F495" t="e">
        <f ca="1">_xll.BDH($C$478,"RETURN_COM_EQY","FQ2 2017","FQ2 2017","Currency=INR","Period=FQ","BEST_FPERIOD_OVERRIDE=FQ","FILING_STATUS=OR","EQY_CONSOLIDATED=Y","FA_ADJUSTED=GAAP","Sort=A","Dates=H","DateFormat=P","Fill=—","Direction=H","UseDPDF=Y")</f>
        <v>#NAME?</v>
      </c>
      <c r="G495" t="e">
        <f ca="1">_xll.BDH($C$478,"RETURN_ON_ASSET","FQ2 2017","FQ2 2017","Currency=INR","Period=FQ","BEST_FPERIOD_OVERRIDE=FQ","FILING_STATUS=OR","EQY_CONSOLIDATED=Y","FA_ADJUSTED=GAAP","Sort=A","Dates=H","DateFormat=P","Fill=—","Direction=H","UseDPDF=Y")</f>
        <v>#NAME?</v>
      </c>
      <c r="H495" t="e">
        <f ca="1">_xll.BDH($C$478,"RETURN_ON_CAP","FQ2 2017","FQ2 2017","Currency=INR","Period=FQ","BEST_FPERIOD_OVERRIDE=FQ","FILING_STATUS=OR","EQY_CONSOLIDATED=Y","FA_ADJUSTED=GAAP","Sort=A","Dates=H","DateFormat=P","Fill=—","Direction=H","UseDPDF=Y")</f>
        <v>#NAME?</v>
      </c>
      <c r="I495" t="e">
        <f ca="1">_xll.BDH($C$478,"RETURN_ON_INV_CAPITAL","FQ2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495" t="e">
        <f ca="1">_xll.BDH($C$478,"EBITDA_TO_REVENUE","FQ2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495" t="e">
        <f ca="1">_xll.BDH($C$478,"OPER_MARGIN","FQ2 2017","FQ2 2017","Currency=INR","Period=FQ","BEST_FPERIOD_OVERRIDE=FQ","FILING_STATUS=OR","EQY_CONSOLIDATED=Y","FA_ADJUSTED=GAAP","Sort=A","Dates=H","DateFormat=P","Fill=—","Direction=H","UseDPDF=Y")</f>
        <v>#NAME?</v>
      </c>
      <c r="L495" t="e">
        <f ca="1">_xll.BDH($C$478,"INCREMENTAL_OPERATING_MARGIN","FQ2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495" t="e">
        <f ca="1">_xll.BDH($C$478,"PRETAX_INC_TO_NET_SALES","FQ2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495" t="e">
        <f ca="1">_xll.BDH($C$478,"INC_BEF_XO_ITEMS_TO_NET_SALES","FQ2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495" t="e">
        <f ca="1">_xll.BDH($C$478,"PROF_MARGIN","FQ2 2017","FQ2 2017","Currency=INR","Period=FQ","BEST_FPERIOD_OVERRIDE=FQ","FILING_STATUS=OR","EQY_CONSOLIDATED=Y","FA_ADJUSTED=GAAP","Sort=A","Dates=H","DateFormat=P","Fill=—","Direction=H","UseDPDF=Y")</f>
        <v>#NAME?</v>
      </c>
      <c r="P495" t="e">
        <f ca="1">_xll.BDH($C$478,"NET_INCOME_TO_COMMON_MARGIN","FQ2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495" t="e">
        <f ca="1">_xll.BDH($C$478,"EFF_TAX_RATE","FQ2 2017","FQ2 2017","Currency=INR","Period=FQ","BEST_FPERIOD_OVERRIDE=FQ","FILING_STATUS=OR","EQY_CONSOLIDATED=Y","FA_ADJUSTED=GAAP","Sort=A","Dates=H","DateFormat=P","Fill=—","Direction=H","UseDPDF=Y")</f>
        <v>#NAME?</v>
      </c>
      <c r="R495" t="e">
        <f ca="1">_xll.BDH($C$478,"DVD_PAYOUT_RATIO","FQ2 2017","FQ2 2017","Currency=INR","Period=FQ","BEST_FPERIOD_OVERRIDE=FQ","FILING_STATUS=OR","EQY_CONSOLIDATED=Y","FA_ADJUSTED=GAAP","Sort=A","Dates=H","DateFormat=P","Fill=—","Direction=H","UseDPDF=Y")</f>
        <v>#NAME?</v>
      </c>
      <c r="S495" t="e">
        <f ca="1">_xll.BDH($C$478,"SUSTAIN_GROWTH_RT","FQ2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495" s="2" t="e">
        <f ca="1">_xll.BDH($C$478,"SALES_GROWTH","FQ2 2017","FQ2 2017","Currency=INR","Period=FQ","BEST_FPERIOD_OVERRIDE=FQ","FILING_STATUS=OR","EQY_CONSOLIDATED=Y","FA_ADJUSTED=GAAP","Sort=A","Dates=H","DateFormat=P","Fill=—","Direction=H","UseDPDF=Y")</f>
        <v>#NAME?</v>
      </c>
      <c r="U495" s="2" t="e">
        <f ca="1">_xll.BDH($C$478,"EBITDA_GROWTH","FQ2 2017","FQ2 2017","Currency=INR","Period=FQ","BEST_FPERIOD_OVERRIDE=FQ","FILING_STATUS=OR","EQY_CONSOLIDATED=Y","FA_ADJUSTED=GAAP","Sort=A","Dates=H","DateFormat=P","Fill=—","Direction=H","UseDPDF=Y")</f>
        <v>#NAME?</v>
      </c>
      <c r="V495" s="2" t="e">
        <f ca="1">_xll.BDH($C$478,"OPER_INC_GROWTH","FQ2 2017","FQ2 2017","Currency=INR","Period=FQ","BEST_FPERIOD_OVERRIDE=FQ","FILING_STATUS=OR","EQY_CONSOLIDATED=Y","FA_ADJUSTED=GAAP","Sort=A","Dates=H","DateFormat=P","Fill=—","Direction=H","UseDPDF=Y")</f>
        <v>#NAME?</v>
      </c>
      <c r="W495" s="2" t="e">
        <f ca="1">_xll.BDH($C$478,"EARN_FOR_COM_GROWTH","FQ2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495" s="2" t="e">
        <f ca="1">_xll.BDH($C$478,"DILUTED_EPS_AFT_XO_ITEMS_GROWTH","FQ2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495" s="2" t="e">
        <f ca="1">_xll.BDH($C$478,"DIVIDEND_PER_SHARE_1_YEAR_GROWTH","FQ2 2017","FQ2 2017","Currency=INR","Period=FQ","BEST_FPERIOD_OVERRIDE=FQ","FILING_STATUS=OR","EQY_CONSOLIDATED=Y","Sort=A","Dates=H","DateFormat=P","Fill=—","Direction=H","UseDPDF=Y")</f>
        <v>#NAME?</v>
      </c>
      <c r="Z495" s="2" t="e">
        <f ca="1">_xll.BDH($C$478,"ACCOUNTS_RECEIVABLE_GROWTH","FQ2 2017","FQ2 2017","Currency=INR","Period=FQ","BEST_FPERIOD_OVERRIDE=FQ","FILING_STATUS=OR","EQY_CONSOLIDATED=Y","Sort=A","Dates=H","DateFormat=P","Fill=—","Direction=H","UseDPDF=Y")</f>
        <v>#NAME?</v>
      </c>
      <c r="AA495" s="2" t="e">
        <f ca="1">_xll.BDH($C$478,"INVENTORY_GROWTH","FQ2 2017","FQ2 2017","Currency=INR","Period=FQ","BEST_FPERIOD_OVERRIDE=FQ","FILING_STATUS=OR","EQY_CONSOLIDATED=Y","Sort=A","Dates=H","DateFormat=P","Fill=—","Direction=H","UseDPDF=Y")</f>
        <v>#NAME?</v>
      </c>
      <c r="AB495" s="2" t="e">
        <f ca="1">_xll.BDH($C$478,"NET_FIXED_ASSETS_1_YEAR_GROWTH","FQ2 2017","FQ2 2017","Currency=INR","Period=FQ","BEST_FPERIOD_OVERRIDE=FQ","FILING_STATUS=OR","EQY_CONSOLIDATED=Y","Sort=A","Dates=H","DateFormat=P","Fill=—","Direction=H","UseDPDF=Y")</f>
        <v>#NAME?</v>
      </c>
      <c r="AC495" s="2" t="e">
        <f ca="1">_xll.BDH($C$478,"ASSET_GROWTH","FQ2 2017","FQ2 2017","Currency=INR","Period=FQ","BEST_FPERIOD_OVERRIDE=FQ","FILING_STATUS=OR","EQY_CONSOLIDATED=Y","Sort=A","Dates=H","DateFormat=P","Fill=—","Direction=H","UseDPDF=Y")</f>
        <v>#NAME?</v>
      </c>
      <c r="AD495" s="2" t="e">
        <f ca="1">_xll.BDH($C$478,"MODIFIED_WORK_CAP_GROWTH","FQ2 2017","FQ2 2017","Currency=INR","Period=FQ","BEST_FPERIOD_OVERRIDE=FQ","FILING_STATUS=OR","EQY_CONSOLIDATED=Y","Sort=A","Dates=H","DateFormat=P","Fill=—","Direction=H","UseDPDF=Y")</f>
        <v>#NAME?</v>
      </c>
      <c r="AE495" s="2" t="e">
        <f ca="1">_xll.BDH($C$478,"WORK_CAP_GROWTH","FQ2 2017","FQ2 2017","Currency=INR","Period=FQ","BEST_FPERIOD_OVERRIDE=FQ","FILING_STATUS=OR","EQY_CONSOLIDATED=Y","Sort=A","Dates=H","DateFormat=P","Fill=—","Direction=H","UseDPDF=Y")</f>
        <v>#NAME?</v>
      </c>
      <c r="AF495" s="2" t="e">
        <f ca="1">_xll.BDH($C$478,"ACCOUNTS_PAYABLE_GROWTH_1YR","FQ2 2017","FQ2 2017","Currency=INR","Period=FQ","BEST_FPERIOD_OVERRIDE=FQ","FILING_STATUS=OR","EQY_CONSOLIDATED=Y","Sort=A","Dates=H","DateFormat=P","Fill=—","Direction=H","UseDPDF=Y")</f>
        <v>#NAME?</v>
      </c>
      <c r="AG495" s="2" t="e">
        <f ca="1">_xll.BDH($C$478,"SHORT_TERM_DEBT_1_YEAR_GROWTH","FQ2 2017","FQ2 2017","Currency=INR","Period=FQ","BEST_FPERIOD_OVERRIDE=FQ","FILING_STATUS=OR","EQY_CONSOLIDATED=Y","Sort=A","Dates=H","DateFormat=P","Fill=—","Direction=H","UseDPDF=Y")</f>
        <v>#NAME?</v>
      </c>
      <c r="AH495" s="2" t="e">
        <f ca="1">_xll.BDH($C$478,"TOTAL_DEBT_1_YEAR_GROWTH","FQ2 2017","FQ2 2017","Currency=INR","Period=FQ","BEST_FPERIOD_OVERRIDE=FQ","FILING_STATUS=OR","EQY_CONSOLIDATED=Y","Sort=A","Dates=H","DateFormat=P","Fill=—","Direction=H","UseDPDF=Y")</f>
        <v>#NAME?</v>
      </c>
      <c r="AI495" s="2" t="e">
        <f ca="1">_xll.BDH($C$478,"TOTAL_EQUITY_1_YEAR_GROWTH","FQ2 2017","FQ2 2017","Currency=INR","Period=FQ","BEST_FPERIOD_OVERRIDE=FQ","FILING_STATUS=OR","EQY_CONSOLIDATED=Y","Sort=A","Dates=H","DateFormat=P","Fill=—","Direction=H","UseDPDF=Y")</f>
        <v>#NAME?</v>
      </c>
      <c r="AJ495" s="2" t="e">
        <f ca="1">_xll.BDH($C$478,"GROWTH_IN_CAP","FQ2 2017","FQ2 2017","Currency=INR","Period=FQ","BEST_FPERIOD_OVERRIDE=FQ","FILING_STATUS=OR","EQY_CONSOLIDATED=Y","Sort=A","Dates=H","DateFormat=P","Fill=—","Direction=H","UseDPDF=Y")</f>
        <v>#NAME?</v>
      </c>
      <c r="AK495" s="2" t="e">
        <f ca="1">_xll.BDH($C$478,"BVPS_GROWTH","FQ2 2017","FQ2 2017","Currency=INR","Period=FQ","BEST_FPERIOD_OVERRIDE=FQ","FILING_STATUS=OR","EQY_CONSOLIDATED=Y","Sort=A","Dates=H","DateFormat=P","Fill=—","Direction=H","UseDPDF=Y")</f>
        <v>#NAME?</v>
      </c>
      <c r="AL495" s="2" t="e">
        <f ca="1">_xll.BDH($C$478,"CASH_FLOW_GROWTH","FQ2 2017","FQ2 2017","Currency=INR","Period=FQ","BEST_FPERIOD_OVERRIDE=FQ","FILING_STATUS=OR","EQY_CONSOLIDATED=Y","Sort=A","Dates=H","DateFormat=P","Fill=—","Direction=H","UseDPDF=Y")</f>
        <v>#NAME?</v>
      </c>
      <c r="AM495" s="2" t="e">
        <f ca="1">_xll.BDH($C$478,"GEO_GROW_NET_SALES","FQ2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495" s="2" t="e">
        <f ca="1">_xll.BDH($C$478,"GEO_GROW_EBITDA","FQ2 2017","FQ2 2017","Currency=INR","Period=FQ","BEST_FPERIOD_OVERRIDE=FQ","FILING_STATUS=OR","EQY_CONSOLIDATED=Y","FA_ADJUSTED=GAAP","Sort=A","Dates=H","DateFormat=P","Fill=—","Direction=H","UseDPDF=Y")</f>
        <v>#NAME?</v>
      </c>
      <c r="AO495" s="2" t="e">
        <f ca="1">_xll.BDH($C$478,"GEO_GROW_OPER_INC","FQ2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495" s="2" t="e">
        <f ca="1">_xll.BDH($C$478,"NET_INCOME_TO_COMMON_5_YR_GROWTH","FQ2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495" s="2" t="e">
        <f ca="1">_xll.BDH($C$478,"5Y_GEO_GROWTH_DILUTED_EPS","FQ2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495" s="2" t="e">
        <f ca="1">_xll.BDH($C$478,"GEO_GROW_DVD_PER_SH","FQ2 2017","FQ2 2017","Currency=INR","Period=FQ","BEST_FPERIOD_OVERRIDE=FQ","FILING_STATUS=OR","EQY_CONSOLIDATED=Y","Sort=A","Dates=H","DateFormat=P","Fill=—","Direction=H","UseDPDF=Y")</f>
        <v>#NAME?</v>
      </c>
      <c r="AS495" s="2" t="e">
        <f ca="1">_xll.BDH($C$478,"ACCOUNTS_RECEIVABLE_5_YR_GROWTH","FQ2 2017","FQ2 2017","Currency=INR","Period=FQ","BEST_FPERIOD_OVERRIDE=FQ","FILING_STATUS=OR","EQY_CONSOLIDATED=Y","Sort=A","Dates=H","DateFormat=P","Fill=—","Direction=H","UseDPDF=Y")</f>
        <v>#NAME?</v>
      </c>
      <c r="AT495" s="2" t="e">
        <f ca="1">_xll.BDH($C$478,"INVENTORY_5_YEAR_GROWTH","FQ2 2017","FQ2 2017","Currency=INR","Period=FQ","BEST_FPERIOD_OVERRIDE=FQ","FILING_STATUS=OR","EQY_CONSOLIDATED=Y","Sort=A","Dates=H","DateFormat=P","Fill=—","Direction=H","UseDPDF=Y")</f>
        <v>#NAME?</v>
      </c>
      <c r="AU495" s="2" t="e">
        <f ca="1">_xll.BDH($C$478,"NET_FIXED_ASSETS_5_YEAR_GROWTH","FQ2 2017","FQ2 2017","Currency=INR","Period=FQ","BEST_FPERIOD_OVERRIDE=FQ","FILING_STATUS=OR","EQY_CONSOLIDATED=Y","Sort=A","Dates=H","DateFormat=P","Fill=—","Direction=H","UseDPDF=Y")</f>
        <v>#NAME?</v>
      </c>
      <c r="AV495" s="2" t="e">
        <f ca="1">_xll.BDH($C$478,"GEO_GROW_TOT_ASSET","FQ2 2017","FQ2 2017","Currency=INR","Period=FQ","BEST_FPERIOD_OVERRIDE=FQ","FILING_STATUS=OR","EQY_CONSOLIDATED=Y","Sort=A","Dates=H","DateFormat=P","Fill=—","Direction=H","UseDPDF=Y")</f>
        <v>#NAME?</v>
      </c>
      <c r="AW495" s="2" t="e">
        <f ca="1">_xll.BDH($C$478,"MODIFIED_WORKING_CPTL_5YR_GRWTH","FQ2 2017","FQ2 2017","Currency=INR","Period=FQ","BEST_FPERIOD_OVERRIDE=FQ","FILING_STATUS=OR","EQY_CONSOLIDATED=Y","Sort=A","Dates=H","DateFormat=P","Fill=—","Direction=H","UseDPDF=Y")</f>
        <v>#NAME?</v>
      </c>
      <c r="AX495" s="2" t="e">
        <f ca="1">_xll.BDH($C$478,"WORKING_CAPITAL_5_YEAR_GROWTH","FQ2 2017","FQ2 2017","Currency=INR","Period=FQ","BEST_FPERIOD_OVERRIDE=FQ","FILING_STATUS=OR","EQY_CONSOLIDATED=Y","Sort=A","Dates=H","DateFormat=P","Fill=—","Direction=H","UseDPDF=Y")</f>
        <v>#NAME?</v>
      </c>
      <c r="AY495" s="2" t="e">
        <f ca="1">_xll.BDH($C$478,"ACCOUNTS_PAYABLE_5_YEAR_GROWTH","FQ2 2017","FQ2 2017","Currency=INR","Period=FQ","BEST_FPERIOD_OVERRIDE=FQ","FILING_STATUS=OR","EQY_CONSOLIDATED=Y","Sort=A","Dates=H","DateFormat=P","Fill=—","Direction=H","UseDPDF=Y")</f>
        <v>#NAME?</v>
      </c>
      <c r="AZ495" s="2" t="e">
        <f ca="1">_xll.BDH($C$478,"SHORT_TERM_DEBT_5_YEAR_GROWTH","FQ2 2017","FQ2 2017","Currency=INR","Period=FQ","BEST_FPERIOD_OVERRIDE=FQ","FILING_STATUS=OR","EQY_CONSOLIDATED=Y","Sort=A","Dates=H","DateFormat=P","Fill=—","Direction=H","UseDPDF=Y")</f>
        <v>#NAME?</v>
      </c>
      <c r="BA495" s="2" t="e">
        <f ca="1">_xll.BDH($C$478,"TOTAL_DEBT_5_YEAR_GROWTH","FQ2 2017","FQ2 2017","Currency=INR","Period=FQ","BEST_FPERIOD_OVERRIDE=FQ","FILING_STATUS=OR","EQY_CONSOLIDATED=Y","Sort=A","Dates=H","DateFormat=P","Fill=—","Direction=H","UseDPDF=Y")</f>
        <v>#NAME?</v>
      </c>
      <c r="BB495" s="2" t="e">
        <f ca="1">_xll.BDH($C$478,"GEO_GROW_TOT_SHRHLDR_EQY","FQ2 2017","FQ2 2017","Currency=INR","Period=FQ","BEST_FPERIOD_OVERRIDE=FQ","FILING_STATUS=OR","EQY_CONSOLIDATED=Y","Sort=A","Dates=H","DateFormat=P","Fill=—","Direction=H","UseDPDF=Y")</f>
        <v>#NAME?</v>
      </c>
      <c r="BC495" s="2" t="e">
        <f ca="1">_xll.BDH($C$478,"TOTAL_CAPITAL_5_YEAR_GROWTH","FQ2 2017","FQ2 2017","Currency=INR","Period=FQ","BEST_FPERIOD_OVERRIDE=FQ","FILING_STATUS=OR","EQY_CONSOLIDATED=Y","Sort=A","Dates=H","DateFormat=P","Fill=—","Direction=H","UseDPDF=Y")</f>
        <v>#NAME?</v>
      </c>
      <c r="BD495" s="2" t="e">
        <f ca="1">_xll.BDH($C$478,"GEO_GROW_BOOK_VAL","FQ2 2017","FQ2 2017","Currency=INR","Period=FQ","BEST_FPERIOD_OVERRIDE=FQ","FILING_STATUS=OR","EQY_CONSOLIDATED=Y","Sort=A","Dates=H","DateFormat=P","Fill=—","Direction=H","UseDPDF=Y")</f>
        <v>#NAME?</v>
      </c>
      <c r="BE495" s="2" t="e">
        <f ca="1">_xll.BDH($C$478,"GEO_GROW_CASH_OPER_ACT","FQ2 2017","FQ2 2017","Currency=INR","Period=FQ","BEST_FPERIOD_OVERRIDE=FQ","FILING_STATUS=OR","EQY_CONSOLIDATED=Y","Sort=A","Dates=H","DateFormat=P","Fill=—","Direction=H","UseDPDF=Y")</f>
        <v>#NAME?</v>
      </c>
      <c r="BF495" s="2" t="e">
        <f ca="1">_xll.BDH($C$478,"REVENUE_SEQUENTIAL_GROWTH","FQ2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495" s="2" t="e">
        <f ca="1">_xll.BDH($C$478,"EBITDA_SEQUENTIAL_GROWTH","FQ2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495" s="2" t="e">
        <f ca="1">_xll.BDH($C$478,"OPERATING_INCOME_SEQ_GROWTH","FQ2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495" s="2" t="e">
        <f ca="1">_xll.BDH($C$478,"NET_INCOME_TO_COMMON_SEQ_GROWTH","FQ2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495" s="2" t="e">
        <f ca="1">_xll.BDH($C$478,"EPS_DILUTED_SEQUENTIAL_GROWTH","FQ2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495" s="2" t="e">
        <f ca="1">_xll.BDH($C$478,"DPS_SEQUENTIAL_GROWTH","FQ2 2017","FQ2 2017","Currency=INR","Period=FQ","BEST_FPERIOD_OVERRIDE=FQ","FILING_STATUS=OR","EQY_CONSOLIDATED=Y","Sort=A","Dates=H","DateFormat=P","Fill=—","Direction=H","UseDPDF=Y")</f>
        <v>#NAME?</v>
      </c>
      <c r="BL495" s="2" t="e">
        <f ca="1">_xll.BDH($C$478,"ACCOUNTS_RECEIVABLE_SEQ_GROWTH","FQ2 2017","FQ2 2017","Currency=INR","Period=FQ","BEST_FPERIOD_OVERRIDE=FQ","FILING_STATUS=OR","EQY_CONSOLIDATED=Y","Sort=A","Dates=H","DateFormat=P","Fill=—","Direction=H","UseDPDF=Y")</f>
        <v>#NAME?</v>
      </c>
      <c r="BM495" s="2" t="e">
        <f ca="1">_xll.BDH($C$478,"INVENTORY_SEQUENTIAL_GROWTH","FQ2 2017","FQ2 2017","Currency=INR","Period=FQ","BEST_FPERIOD_OVERRIDE=FQ","FILING_STATUS=OR","EQY_CONSOLIDATED=Y","Sort=A","Dates=H","DateFormat=P","Fill=—","Direction=H","UseDPDF=Y")</f>
        <v>#NAME?</v>
      </c>
      <c r="BN495" s="2" t="e">
        <f ca="1">_xll.BDH($C$478,"FIXED_ASSETS_SEQUENTIAL_GROWTH","FQ2 2017","FQ2 2017","Currency=INR","Period=FQ","BEST_FPERIOD_OVERRIDE=FQ","FILING_STATUS=OR","EQY_CONSOLIDATED=Y","Sort=A","Dates=H","DateFormat=P","Fill=—","Direction=H","UseDPDF=Y")</f>
        <v>#NAME?</v>
      </c>
      <c r="BO495" s="2" t="e">
        <f ca="1">_xll.BDH($C$478,"TOTAL_ASSETS_SEQUENTIAL_GROWTH","FQ2 2017","FQ2 2017","Currency=INR","Period=FQ","BEST_FPERIOD_OVERRIDE=FQ","FILING_STATUS=OR","EQY_CONSOLIDATED=Y","Sort=A","Dates=H","DateFormat=P","Fill=—","Direction=H","UseDPDF=Y")</f>
        <v>#NAME?</v>
      </c>
      <c r="BP495" s="2" t="e">
        <f ca="1">_xll.BDH($C$478,"MODIFIED_WORKING_CPTL_SEQ_GRWTH","FQ2 2017","FQ2 2017","Currency=INR","Period=FQ","BEST_FPERIOD_OVERRIDE=FQ","FILING_STATUS=OR","EQY_CONSOLIDATED=Y","Sort=A","Dates=H","DateFormat=P","Fill=—","Direction=H","UseDPDF=Y")</f>
        <v>#NAME?</v>
      </c>
      <c r="BQ495" s="2" t="e">
        <f ca="1">_xll.BDH($C$478,"WORKING_CAPITAL_SEQ_GROWTH","FQ2 2017","FQ2 2017","Currency=INR","Period=FQ","BEST_FPERIOD_OVERRIDE=FQ","FILING_STATUS=OR","EQY_CONSOLIDATED=Y","Sort=A","Dates=H","DateFormat=P","Fill=—","Direction=H","UseDPDF=Y")</f>
        <v>#NAME?</v>
      </c>
      <c r="BR495" s="2" t="e">
        <f ca="1">_xll.BDH($C$478,"ACCOUNTS_PAYABLE_SEQ_GROWTH","FQ2 2017","FQ2 2017","Currency=INR","Period=FQ","BEST_FPERIOD_OVERRIDE=FQ","FILING_STATUS=OR","EQY_CONSOLIDATED=Y","Sort=A","Dates=H","DateFormat=P","Fill=—","Direction=H","UseDPDF=Y")</f>
        <v>#NAME?</v>
      </c>
      <c r="BS495" s="2" t="e">
        <f ca="1">_xll.BDH($C$478,"ST_DEBT_SEQUENTIAL_GROWTH","FQ2 2017","FQ2 2017","Currency=INR","Period=FQ","BEST_FPERIOD_OVERRIDE=FQ","FILING_STATUS=OR","EQY_CONSOLIDATED=Y","Sort=A","Dates=H","DateFormat=P","Fill=—","Direction=H","UseDPDF=Y")</f>
        <v>#NAME?</v>
      </c>
      <c r="BT495" s="2" t="e">
        <f ca="1">_xll.BDH($C$478,"TOTAL_DEBT_SEQUENTIAL_GROWTH","FQ2 2017","FQ2 2017","Currency=INR","Period=FQ","BEST_FPERIOD_OVERRIDE=FQ","FILING_STATUS=OR","EQY_CONSOLIDATED=Y","Sort=A","Dates=H","DateFormat=P","Fill=—","Direction=H","UseDPDF=Y")</f>
        <v>#NAME?</v>
      </c>
      <c r="BU495" s="2" t="e">
        <f ca="1">_xll.BDH($C$478,"TOTAL_EQUITY_SEQUENTIAL_GROWTH","FQ2 2017","FQ2 2017","Currency=INR","Period=FQ","BEST_FPERIOD_OVERRIDE=FQ","FILING_STATUS=OR","EQY_CONSOLIDATED=Y","Sort=A","Dates=H","DateFormat=P","Fill=—","Direction=H","UseDPDF=Y")</f>
        <v>#NAME?</v>
      </c>
      <c r="BV495" s="2" t="e">
        <f ca="1">_xll.BDH($C$478,"TOTAL_CAPITAL_SEQUENTIAL_GROWTH","FQ2 2017","FQ2 2017","Currency=INR","Period=FQ","BEST_FPERIOD_OVERRIDE=FQ","FILING_STATUS=OR","EQY_CONSOLIDATED=Y","Sort=A","Dates=H","DateFormat=P","Fill=—","Direction=H","UseDPDF=Y")</f>
        <v>#NAME?</v>
      </c>
      <c r="BW495" s="2" t="e">
        <f ca="1">_xll.BDH($C$478,"BPS_SEQUENTIAL_GROWTH","FQ2 2017","FQ2 2017","Currency=INR","Period=FQ","BEST_FPERIOD_OVERRIDE=FQ","FILING_STATUS=OR","EQY_CONSOLIDATED=Y","Sort=A","Dates=H","DateFormat=P","Fill=—","Direction=H","UseDPDF=Y")</f>
        <v>#NAME?</v>
      </c>
      <c r="BX495" s="2" t="e">
        <f ca="1">_xll.BDH($C$478,"CFO_SEQUENTIAL_GROWTH","FQ2 2017","FQ2 2017","Currency=INR","Period=FQ","BEST_FPERIOD_OVERRIDE=FQ","FILING_STATUS=OR","EQY_CONSOLIDATED=Y","Sort=A","Dates=H","DateFormat=P","Fill=—","Direction=H","UseDPDF=Y")</f>
        <v>#NAME?</v>
      </c>
      <c r="BY495" s="3" t="e">
        <f ca="1">_xll.BDH($C$478,"SHORT_AND_LONG_TERM_DEBT","FQ2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495" s="3" t="e">
        <f ca="1">_xll.BDH($C$478,"BS_ST_BORROW","FQ2 2017","FQ2 2017","Currency=INR","Period=FQ","BEST_FPERIOD_OVERRIDE=FQ","FILING_STATUS=OR","EQY_CONSOLIDATED=Y","SCALING_FORMAT=MLN","Sort=A","Dates=H","DateFormat=P","Fill=—","Direction=H","UseDPDF=Y")</f>
        <v>#NAME?</v>
      </c>
      <c r="CA495" s="3" t="e">
        <f ca="1">_xll.BDH($C$478,"BS_LT_BORROW","FQ2 2017","FQ2 2017","Currency=INR","Period=FQ","BEST_FPERIOD_OVERRIDE=FQ","FILING_STATUS=OR","EQY_CONSOLIDATED=Y","SCALING_FORMAT=MLN","Sort=A","Dates=H","DateFormat=P","Fill=—","Direction=H","UseDPDF=Y")</f>
        <v>#NAME?</v>
      </c>
      <c r="CB495" s="2" t="e">
        <f ca="1">_xll.BDH($C$478,"TOT_DEBT_TO_EBITDA","FQ2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495" s="2" t="e">
        <f ca="1">_xll.BDH($C$478,"NET_DEBT_TO_EBITDA","FQ2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495" s="2" t="e">
        <f ca="1">_xll.BDH($C$478,"TOTAL_DEBT_TO_EBIT","FQ2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495" s="2" t="e">
        <f ca="1">_xll.BDH($C$478,"NET_DEBT_TO_EBIT","FQ2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495" s="2" t="e">
        <f ca="1">_xll.BDH($C$478,"EBITDA_TO_INTEREST_EXPN","FQ2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495" s="2" t="e">
        <f ca="1">_xll.BDH($C$478,"COM_EQY_TO_TOT_ASSET","FQ2 2017","FQ2 2017","Currency=INR","Period=FQ","BEST_FPERIOD_OVERRIDE=FQ","FILING_STATUS=OR","EQY_CONSOLIDATED=Y","Sort=A","Dates=H","DateFormat=P","Fill=—","Direction=H","UseDPDF=Y")</f>
        <v>#NAME?</v>
      </c>
      <c r="CH495" s="2" t="e">
        <f ca="1">_xll.BDH($C$478,"LT_DEBT_TO_TOT_EQY","FQ2 2017","FQ2 2017","Currency=INR","Period=FQ","BEST_FPERIOD_OVERRIDE=FQ","FILING_STATUS=OR","EQY_CONSOLIDATED=Y","Sort=A","Dates=H","DateFormat=P","Fill=—","Direction=H","UseDPDF=Y")</f>
        <v>#NAME?</v>
      </c>
      <c r="CI495" s="2" t="e">
        <f ca="1">_xll.BDH($C$478,"LT_DEBT_TO_TOT_CAP","FQ2 2017","FQ2 2017","Currency=INR","Period=FQ","BEST_FPERIOD_OVERRIDE=FQ","FILING_STATUS=OR","EQY_CONSOLIDATED=Y","Sort=A","Dates=H","DateFormat=P","Fill=—","Direction=H","UseDPDF=Y")</f>
        <v>#NAME?</v>
      </c>
      <c r="CJ495" s="2" t="e">
        <f ca="1">_xll.BDH($C$478,"LT_DEBT_TO_TOT_ASSET","FQ2 2017","FQ2 2017","Currency=INR","Period=FQ","BEST_FPERIOD_OVERRIDE=FQ","FILING_STATUS=OR","EQY_CONSOLIDATED=Y","Sort=A","Dates=H","DateFormat=P","Fill=—","Direction=H","UseDPDF=Y")</f>
        <v>#NAME?</v>
      </c>
      <c r="CK495" s="2" t="e">
        <f ca="1">_xll.BDH($C$478,"TOT_DEBT_TO_TOT_EQY","FQ2 2017","FQ2 2017","Currency=INR","Period=FQ","BEST_FPERIOD_OVERRIDE=FQ","FILING_STATUS=OR","EQY_CONSOLIDATED=Y","Sort=A","Dates=H","DateFormat=P","Fill=—","Direction=H","UseDPDF=Y")</f>
        <v>#NAME?</v>
      </c>
      <c r="CL495" s="2" t="e">
        <f ca="1">_xll.BDH($C$478,"TOT_DEBT_TO_TOT_CAP","FQ2 2017","FQ2 2017","Currency=INR","Period=FQ","BEST_FPERIOD_OVERRIDE=FQ","FILING_STATUS=OR","EQY_CONSOLIDATED=Y","Sort=A","Dates=H","DateFormat=P","Fill=—","Direction=H","UseDPDF=Y")</f>
        <v>#NAME?</v>
      </c>
      <c r="CM495" s="2" t="e">
        <f ca="1">_xll.BDH($C$478,"TOT_DEBT_TO_TOT_ASSET","FQ2 2017","FQ2 2017","Currency=INR","Period=FQ","BEST_FPERIOD_OVERRIDE=FQ","FILING_STATUS=OR","EQY_CONSOLIDATED=Y","Sort=A","Dates=H","DateFormat=P","Fill=—","Direction=H","UseDPDF=Y")</f>
        <v>#NAME?</v>
      </c>
      <c r="CN495" s="2" t="e">
        <f ca="1">_xll.BDH($C$478,"NET_DEBT_TO_SHRHLDR_EQTY","FQ2 2017","FQ2 2017","Currency=INR","Period=FQ","BEST_FPERIOD_OVERRIDE=FQ","FILING_STATUS=OR","EQY_CONSOLIDATED=Y","Sort=A","Dates=H","DateFormat=P","Fill=—","Direction=H","UseDPDF=Y")</f>
        <v>#NAME?</v>
      </c>
      <c r="CO495" s="2" t="e">
        <f ca="1">_xll.BDH($C$478,"NET_DEBT_%_CAPITAL","FQ2 2017","FQ2 2017","Currency=INR","Period=FQ","BEST_FPERIOD_OVERRIDE=FQ","FILING_STATUS=OR","EQY_CONSOLIDATED=Y","Sort=A","Dates=H","DateFormat=P","Fill=—","Direction=H","UseDPDF=Y")</f>
        <v>#NAME?</v>
      </c>
      <c r="CP495" s="3" t="e">
        <f ca="1">_xll.BDH($C$478,"EBITDA","FQ2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495" s="3" t="e">
        <f ca="1">_xll.BDH($C$478,"EBITDA_AFTER_CAPEX","FQ2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495" s="3" t="e">
        <f ca="1">_xll.BDH($C$478,"IS_OPER_INC","FQ2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495" s="2" t="e">
        <f ca="1">_xll.BDH($C$478,"CASH_RATIO","FQ2 2017","FQ2 2017","Currency=INR","Period=FQ","BEST_FPERIOD_OVERRIDE=FQ","FILING_STATUS=OR","EQY_CONSOLIDATED=Y","Sort=A","Dates=H","DateFormat=P","Fill=—","Direction=H","UseDPDF=Y")</f>
        <v>#NAME?</v>
      </c>
      <c r="CT495" s="2" t="e">
        <f ca="1">_xll.BDH($C$478,"CUR_RATIO","FQ2 2017","FQ2 2017","Currency=INR","Period=FQ","BEST_FPERIOD_OVERRIDE=FQ","FILING_STATUS=OR","EQY_CONSOLIDATED=Y","Sort=A","Dates=H","DateFormat=P","Fill=—","Direction=H","UseDPDF=Y")</f>
        <v>#NAME?</v>
      </c>
      <c r="CU495" s="2" t="e">
        <f ca="1">_xll.BDH($C$478,"QUICK_RATIO","FQ2 2017","FQ2 2017","Currency=INR","Period=FQ","BEST_FPERIOD_OVERRIDE=FQ","FILING_STATUS=OR","EQY_CONSOLIDATED=Y","Sort=A","Dates=H","DateFormat=P","Fill=—","Direction=H","UseDPDF=Y")</f>
        <v>#NAME?</v>
      </c>
      <c r="CV495" s="2" t="e">
        <f ca="1">_xll.BDH($C$478,"ALTMAN_Z_SCORE","FQ2 2017","FQ2 2017","Currency=INR","Period=FQ","BEST_FPERIOD_OVERRIDE=FQ","FILING_STATUS=OR","EQY_CONSOLIDATED=Y","Sort=A","Dates=H","DateFormat=P","Fill=—","Direction=H","UseDPDF=Y")</f>
        <v>#NAME?</v>
      </c>
      <c r="CW495" s="4" t="e">
        <f ca="1">_xll.BDH($C$478,"ACCT_RCV_TURN","FQ2 2017","FQ2 2017","Currency=INR","Period=FQ","BEST_FPERIOD_OVERRIDE=FQ","FILING_STATUS=OR","EQY_CONSOLIDATED=Y","FA_ADJUSTED=GAAP","Sort=A","Dates=H","DateFormat=P","Fill=—","Direction=H","UseDPDF=Y")</f>
        <v>#NAME?</v>
      </c>
      <c r="CX495" s="2" t="e">
        <f ca="1">_xll.BDH($C$478,"ACCT_RCV_DAYS","FQ2 2017","FQ2 2017","Currency=INR","Period=FQ","BEST_FPERIOD_OVERRIDE=FQ","FILING_STATUS=OR","EQY_CONSOLIDATED=Y","FA_ADJUSTED=GAAP","Sort=A","Dates=H","DateFormat=P","Fill=—","Direction=H","UseDPDF=Y")</f>
        <v>#NAME?</v>
      </c>
      <c r="CY495" s="4" t="e">
        <f ca="1">_xll.BDH($C$478,"INVENT_TURN","FQ2 2017","FQ2 2017","Currency=INR","Period=FQ","BEST_FPERIOD_OVERRIDE=FQ","FILING_STATUS=OR","EQY_CONSOLIDATED=Y","FA_ADJUSTED=GAAP","Sort=A","Dates=H","DateFormat=P","Fill=—","Direction=H","UseDPDF=Y")</f>
        <v>#NAME?</v>
      </c>
      <c r="CZ495" s="2" t="e">
        <f ca="1">_xll.BDH($C$478,"INVENT_DAYS","FQ2 2017","FQ2 2017","Currency=INR","Period=FQ","BEST_FPERIOD_OVERRIDE=FQ","FILING_STATUS=OR","EQY_CONSOLIDATED=Y","FA_ADJUSTED=GAAP","Sort=A","Dates=H","DateFormat=P","Fill=—","Direction=H","UseDPDF=Y")</f>
        <v>#NAME?</v>
      </c>
      <c r="DA495" s="4" t="e">
        <f ca="1">_xll.BDH($C$478,"ACCOUNTS_PAYABLE_TURNOVER","FQ2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495" s="2" t="e">
        <f ca="1">_xll.BDH($C$478,"ACCOUNTS_PAYABLE_TURNOVER_DAYS","FQ2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495" s="4" t="e">
        <f ca="1">_xll.BDH($C$478,"CASH_CONVERSION_CYCLE","FQ2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495" s="4" t="e">
        <f ca="1">_xll.BDH($C$478,"INV_TO_CASH_DAYS","FQ2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495" s="5" t="e">
        <f ca="1">_xll.BDH($C$478,"BS_INVENTORIES","FQ2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495" s="3" t="e">
        <f ca="1">_xll.BDH($C$478,"INVTRY_RAW_MATERIALS","FQ2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495" s="3" t="e">
        <f ca="1">_xll.BDH($C$478,"INVTRY_IN_PROGRESS","FQ2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495" s="3" t="e">
        <f ca="1">_xll.BDH($C$478,"INVTRY_FINISHED_GOODS","FQ2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495" s="3" t="e">
        <f ca="1">_xll.BDH($C$478,"BS_OTHER_INV","FQ2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496" spans="1:113" x14ac:dyDescent="0.3">
      <c r="A496" s="6"/>
      <c r="B496" s="6"/>
      <c r="C496" s="6"/>
      <c r="D496" s="6"/>
      <c r="E496" t="s">
        <v>80</v>
      </c>
      <c r="F496" t="e">
        <f ca="1">_xll.BDH($C$478,"RETURN_COM_EQY","FQ3 2017","FQ3 2017","Currency=INR","Period=FQ","BEST_FPERIOD_OVERRIDE=FQ","FILING_STATUS=OR","EQY_CONSOLIDATED=Y","FA_ADJUSTED=GAAP","Sort=A","Dates=H","DateFormat=P","Fill=—","Direction=H","UseDPDF=Y")</f>
        <v>#NAME?</v>
      </c>
      <c r="G496" t="e">
        <f ca="1">_xll.BDH($C$478,"RETURN_ON_ASSET","FQ3 2017","FQ3 2017","Currency=INR","Period=FQ","BEST_FPERIOD_OVERRIDE=FQ","FILING_STATUS=OR","EQY_CONSOLIDATED=Y","FA_ADJUSTED=GAAP","Sort=A","Dates=H","DateFormat=P","Fill=—","Direction=H","UseDPDF=Y")</f>
        <v>#NAME?</v>
      </c>
      <c r="H496" t="e">
        <f ca="1">_xll.BDH($C$478,"RETURN_ON_CAP","FQ3 2017","FQ3 2017","Currency=INR","Period=FQ","BEST_FPERIOD_OVERRIDE=FQ","FILING_STATUS=OR","EQY_CONSOLIDATED=Y","FA_ADJUSTED=GAAP","Sort=A","Dates=H","DateFormat=P","Fill=—","Direction=H","UseDPDF=Y")</f>
        <v>#NAME?</v>
      </c>
      <c r="I496" t="e">
        <f ca="1">_xll.BDH($C$478,"RETURN_ON_INV_CAPITAL","FQ3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496" t="e">
        <f ca="1">_xll.BDH($C$478,"EBITDA_TO_REVENUE","FQ3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496" t="e">
        <f ca="1">_xll.BDH($C$478,"OPER_MARGIN","FQ3 2017","FQ3 2017","Currency=INR","Period=FQ","BEST_FPERIOD_OVERRIDE=FQ","FILING_STATUS=OR","EQY_CONSOLIDATED=Y","FA_ADJUSTED=GAAP","Sort=A","Dates=H","DateFormat=P","Fill=—","Direction=H","UseDPDF=Y")</f>
        <v>#NAME?</v>
      </c>
      <c r="L496" t="e">
        <f ca="1">_xll.BDH($C$478,"INCREMENTAL_OPERATING_MARGIN","FQ3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496" t="e">
        <f ca="1">_xll.BDH($C$478,"PRETAX_INC_TO_NET_SALES","FQ3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496" t="e">
        <f ca="1">_xll.BDH($C$478,"INC_BEF_XO_ITEMS_TO_NET_SALES","FQ3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496" t="e">
        <f ca="1">_xll.BDH($C$478,"PROF_MARGIN","FQ3 2017","FQ3 2017","Currency=INR","Period=FQ","BEST_FPERIOD_OVERRIDE=FQ","FILING_STATUS=OR","EQY_CONSOLIDATED=Y","FA_ADJUSTED=GAAP","Sort=A","Dates=H","DateFormat=P","Fill=—","Direction=H","UseDPDF=Y")</f>
        <v>#NAME?</v>
      </c>
      <c r="P496" t="e">
        <f ca="1">_xll.BDH($C$478,"NET_INCOME_TO_COMMON_MARGIN","FQ3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496" t="e">
        <f ca="1">_xll.BDH($C$478,"EFF_TAX_RATE","FQ3 2017","FQ3 2017","Currency=INR","Period=FQ","BEST_FPERIOD_OVERRIDE=FQ","FILING_STATUS=OR","EQY_CONSOLIDATED=Y","FA_ADJUSTED=GAAP","Sort=A","Dates=H","DateFormat=P","Fill=—","Direction=H","UseDPDF=Y")</f>
        <v>#NAME?</v>
      </c>
      <c r="R496" t="e">
        <f ca="1">_xll.BDH($C$478,"DVD_PAYOUT_RATIO","FQ3 2017","FQ3 2017","Currency=INR","Period=FQ","BEST_FPERIOD_OVERRIDE=FQ","FILING_STATUS=OR","EQY_CONSOLIDATED=Y","FA_ADJUSTED=GAAP","Sort=A","Dates=H","DateFormat=P","Fill=—","Direction=H","UseDPDF=Y")</f>
        <v>#NAME?</v>
      </c>
      <c r="S496" t="e">
        <f ca="1">_xll.BDH($C$478,"SUSTAIN_GROWTH_RT","FQ3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496" s="2" t="e">
        <f ca="1">_xll.BDH($C$478,"SALES_GROWTH","FQ3 2017","FQ3 2017","Currency=INR","Period=FQ","BEST_FPERIOD_OVERRIDE=FQ","FILING_STATUS=OR","EQY_CONSOLIDATED=Y","FA_ADJUSTED=GAAP","Sort=A","Dates=H","DateFormat=P","Fill=—","Direction=H","UseDPDF=Y")</f>
        <v>#NAME?</v>
      </c>
      <c r="U496" s="2" t="e">
        <f ca="1">_xll.BDH($C$478,"EBITDA_GROWTH","FQ3 2017","FQ3 2017","Currency=INR","Period=FQ","BEST_FPERIOD_OVERRIDE=FQ","FILING_STATUS=OR","EQY_CONSOLIDATED=Y","FA_ADJUSTED=GAAP","Sort=A","Dates=H","DateFormat=P","Fill=—","Direction=H","UseDPDF=Y")</f>
        <v>#NAME?</v>
      </c>
      <c r="V496" s="2" t="e">
        <f ca="1">_xll.BDH($C$478,"OPER_INC_GROWTH","FQ3 2017","FQ3 2017","Currency=INR","Period=FQ","BEST_FPERIOD_OVERRIDE=FQ","FILING_STATUS=OR","EQY_CONSOLIDATED=Y","FA_ADJUSTED=GAAP","Sort=A","Dates=H","DateFormat=P","Fill=—","Direction=H","UseDPDF=Y")</f>
        <v>#NAME?</v>
      </c>
      <c r="W496" s="2" t="e">
        <f ca="1">_xll.BDH($C$478,"EARN_FOR_COM_GROWTH","FQ3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496" s="2" t="e">
        <f ca="1">_xll.BDH($C$478,"DILUTED_EPS_AFT_XO_ITEMS_GROWTH","FQ3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496" s="2" t="e">
        <f ca="1">_xll.BDH($C$478,"DIVIDEND_PER_SHARE_1_YEAR_GROWTH","FQ3 2017","FQ3 2017","Currency=INR","Period=FQ","BEST_FPERIOD_OVERRIDE=FQ","FILING_STATUS=OR","EQY_CONSOLIDATED=Y","Sort=A","Dates=H","DateFormat=P","Fill=—","Direction=H","UseDPDF=Y")</f>
        <v>#NAME?</v>
      </c>
      <c r="Z496" s="2" t="e">
        <f ca="1">_xll.BDH($C$478,"ACCOUNTS_RECEIVABLE_GROWTH","FQ3 2017","FQ3 2017","Currency=INR","Period=FQ","BEST_FPERIOD_OVERRIDE=FQ","FILING_STATUS=OR","EQY_CONSOLIDATED=Y","Sort=A","Dates=H","DateFormat=P","Fill=—","Direction=H","UseDPDF=Y")</f>
        <v>#NAME?</v>
      </c>
      <c r="AA496" s="2" t="e">
        <f ca="1">_xll.BDH($C$478,"INVENTORY_GROWTH","FQ3 2017","FQ3 2017","Currency=INR","Period=FQ","BEST_FPERIOD_OVERRIDE=FQ","FILING_STATUS=OR","EQY_CONSOLIDATED=Y","Sort=A","Dates=H","DateFormat=P","Fill=—","Direction=H","UseDPDF=Y")</f>
        <v>#NAME?</v>
      </c>
      <c r="AB496" s="2" t="e">
        <f ca="1">_xll.BDH($C$478,"NET_FIXED_ASSETS_1_YEAR_GROWTH","FQ3 2017","FQ3 2017","Currency=INR","Period=FQ","BEST_FPERIOD_OVERRIDE=FQ","FILING_STATUS=OR","EQY_CONSOLIDATED=Y","Sort=A","Dates=H","DateFormat=P","Fill=—","Direction=H","UseDPDF=Y")</f>
        <v>#NAME?</v>
      </c>
      <c r="AC496" s="2" t="e">
        <f ca="1">_xll.BDH($C$478,"ASSET_GROWTH","FQ3 2017","FQ3 2017","Currency=INR","Period=FQ","BEST_FPERIOD_OVERRIDE=FQ","FILING_STATUS=OR","EQY_CONSOLIDATED=Y","Sort=A","Dates=H","DateFormat=P","Fill=—","Direction=H","UseDPDF=Y")</f>
        <v>#NAME?</v>
      </c>
      <c r="AD496" s="2" t="e">
        <f ca="1">_xll.BDH($C$478,"MODIFIED_WORK_CAP_GROWTH","FQ3 2017","FQ3 2017","Currency=INR","Period=FQ","BEST_FPERIOD_OVERRIDE=FQ","FILING_STATUS=OR","EQY_CONSOLIDATED=Y","Sort=A","Dates=H","DateFormat=P","Fill=—","Direction=H","UseDPDF=Y")</f>
        <v>#NAME?</v>
      </c>
      <c r="AE496" s="2" t="e">
        <f ca="1">_xll.BDH($C$478,"WORK_CAP_GROWTH","FQ3 2017","FQ3 2017","Currency=INR","Period=FQ","BEST_FPERIOD_OVERRIDE=FQ","FILING_STATUS=OR","EQY_CONSOLIDATED=Y","Sort=A","Dates=H","DateFormat=P","Fill=—","Direction=H","UseDPDF=Y")</f>
        <v>#NAME?</v>
      </c>
      <c r="AF496" s="2" t="e">
        <f ca="1">_xll.BDH($C$478,"ACCOUNTS_PAYABLE_GROWTH_1YR","FQ3 2017","FQ3 2017","Currency=INR","Period=FQ","BEST_FPERIOD_OVERRIDE=FQ","FILING_STATUS=OR","EQY_CONSOLIDATED=Y","Sort=A","Dates=H","DateFormat=P","Fill=—","Direction=H","UseDPDF=Y")</f>
        <v>#NAME?</v>
      </c>
      <c r="AG496" s="2" t="e">
        <f ca="1">_xll.BDH($C$478,"SHORT_TERM_DEBT_1_YEAR_GROWTH","FQ3 2017","FQ3 2017","Currency=INR","Period=FQ","BEST_FPERIOD_OVERRIDE=FQ","FILING_STATUS=OR","EQY_CONSOLIDATED=Y","Sort=A","Dates=H","DateFormat=P","Fill=—","Direction=H","UseDPDF=Y")</f>
        <v>#NAME?</v>
      </c>
      <c r="AH496" s="2" t="e">
        <f ca="1">_xll.BDH($C$478,"TOTAL_DEBT_1_YEAR_GROWTH","FQ3 2017","FQ3 2017","Currency=INR","Period=FQ","BEST_FPERIOD_OVERRIDE=FQ","FILING_STATUS=OR","EQY_CONSOLIDATED=Y","Sort=A","Dates=H","DateFormat=P","Fill=—","Direction=H","UseDPDF=Y")</f>
        <v>#NAME?</v>
      </c>
      <c r="AI496" s="2" t="e">
        <f ca="1">_xll.BDH($C$478,"TOTAL_EQUITY_1_YEAR_GROWTH","FQ3 2017","FQ3 2017","Currency=INR","Period=FQ","BEST_FPERIOD_OVERRIDE=FQ","FILING_STATUS=OR","EQY_CONSOLIDATED=Y","Sort=A","Dates=H","DateFormat=P","Fill=—","Direction=H","UseDPDF=Y")</f>
        <v>#NAME?</v>
      </c>
      <c r="AJ496" s="2" t="e">
        <f ca="1">_xll.BDH($C$478,"GROWTH_IN_CAP","FQ3 2017","FQ3 2017","Currency=INR","Period=FQ","BEST_FPERIOD_OVERRIDE=FQ","FILING_STATUS=OR","EQY_CONSOLIDATED=Y","Sort=A","Dates=H","DateFormat=P","Fill=—","Direction=H","UseDPDF=Y")</f>
        <v>#NAME?</v>
      </c>
      <c r="AK496" s="2" t="e">
        <f ca="1">_xll.BDH($C$478,"BVPS_GROWTH","FQ3 2017","FQ3 2017","Currency=INR","Period=FQ","BEST_FPERIOD_OVERRIDE=FQ","FILING_STATUS=OR","EQY_CONSOLIDATED=Y","Sort=A","Dates=H","DateFormat=P","Fill=—","Direction=H","UseDPDF=Y")</f>
        <v>#NAME?</v>
      </c>
      <c r="AL496" s="2" t="e">
        <f ca="1">_xll.BDH($C$478,"CASH_FLOW_GROWTH","FQ3 2017","FQ3 2017","Currency=INR","Period=FQ","BEST_FPERIOD_OVERRIDE=FQ","FILING_STATUS=OR","EQY_CONSOLIDATED=Y","Sort=A","Dates=H","DateFormat=P","Fill=—","Direction=H","UseDPDF=Y")</f>
        <v>#NAME?</v>
      </c>
      <c r="AM496" s="2" t="e">
        <f ca="1">_xll.BDH($C$478,"GEO_GROW_NET_SALES","FQ3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496" s="2" t="e">
        <f ca="1">_xll.BDH($C$478,"GEO_GROW_EBITDA","FQ3 2017","FQ3 2017","Currency=INR","Period=FQ","BEST_FPERIOD_OVERRIDE=FQ","FILING_STATUS=OR","EQY_CONSOLIDATED=Y","FA_ADJUSTED=GAAP","Sort=A","Dates=H","DateFormat=P","Fill=—","Direction=H","UseDPDF=Y")</f>
        <v>#NAME?</v>
      </c>
      <c r="AO496" s="2" t="e">
        <f ca="1">_xll.BDH($C$478,"GEO_GROW_OPER_INC","FQ3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496" s="2" t="e">
        <f ca="1">_xll.BDH($C$478,"NET_INCOME_TO_COMMON_5_YR_GROWTH","FQ3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496" s="2" t="e">
        <f ca="1">_xll.BDH($C$478,"5Y_GEO_GROWTH_DILUTED_EPS","FQ3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496" s="2" t="e">
        <f ca="1">_xll.BDH($C$478,"GEO_GROW_DVD_PER_SH","FQ3 2017","FQ3 2017","Currency=INR","Period=FQ","BEST_FPERIOD_OVERRIDE=FQ","FILING_STATUS=OR","EQY_CONSOLIDATED=Y","Sort=A","Dates=H","DateFormat=P","Fill=—","Direction=H","UseDPDF=Y")</f>
        <v>#NAME?</v>
      </c>
      <c r="AS496" s="2" t="e">
        <f ca="1">_xll.BDH($C$478,"ACCOUNTS_RECEIVABLE_5_YR_GROWTH","FQ3 2017","FQ3 2017","Currency=INR","Period=FQ","BEST_FPERIOD_OVERRIDE=FQ","FILING_STATUS=OR","EQY_CONSOLIDATED=Y","Sort=A","Dates=H","DateFormat=P","Fill=—","Direction=H","UseDPDF=Y")</f>
        <v>#NAME?</v>
      </c>
      <c r="AT496" s="2" t="e">
        <f ca="1">_xll.BDH($C$478,"INVENTORY_5_YEAR_GROWTH","FQ3 2017","FQ3 2017","Currency=INR","Period=FQ","BEST_FPERIOD_OVERRIDE=FQ","FILING_STATUS=OR","EQY_CONSOLIDATED=Y","Sort=A","Dates=H","DateFormat=P","Fill=—","Direction=H","UseDPDF=Y")</f>
        <v>#NAME?</v>
      </c>
      <c r="AU496" s="2" t="e">
        <f ca="1">_xll.BDH($C$478,"NET_FIXED_ASSETS_5_YEAR_GROWTH","FQ3 2017","FQ3 2017","Currency=INR","Period=FQ","BEST_FPERIOD_OVERRIDE=FQ","FILING_STATUS=OR","EQY_CONSOLIDATED=Y","Sort=A","Dates=H","DateFormat=P","Fill=—","Direction=H","UseDPDF=Y")</f>
        <v>#NAME?</v>
      </c>
      <c r="AV496" s="2" t="e">
        <f ca="1">_xll.BDH($C$478,"GEO_GROW_TOT_ASSET","FQ3 2017","FQ3 2017","Currency=INR","Period=FQ","BEST_FPERIOD_OVERRIDE=FQ","FILING_STATUS=OR","EQY_CONSOLIDATED=Y","Sort=A","Dates=H","DateFormat=P","Fill=—","Direction=H","UseDPDF=Y")</f>
        <v>#NAME?</v>
      </c>
      <c r="AW496" s="2" t="e">
        <f ca="1">_xll.BDH($C$478,"MODIFIED_WORKING_CPTL_5YR_GRWTH","FQ3 2017","FQ3 2017","Currency=INR","Period=FQ","BEST_FPERIOD_OVERRIDE=FQ","FILING_STATUS=OR","EQY_CONSOLIDATED=Y","Sort=A","Dates=H","DateFormat=P","Fill=—","Direction=H","UseDPDF=Y")</f>
        <v>#NAME?</v>
      </c>
      <c r="AX496" s="2" t="e">
        <f ca="1">_xll.BDH($C$478,"WORKING_CAPITAL_5_YEAR_GROWTH","FQ3 2017","FQ3 2017","Currency=INR","Period=FQ","BEST_FPERIOD_OVERRIDE=FQ","FILING_STATUS=OR","EQY_CONSOLIDATED=Y","Sort=A","Dates=H","DateFormat=P","Fill=—","Direction=H","UseDPDF=Y")</f>
        <v>#NAME?</v>
      </c>
      <c r="AY496" s="2" t="e">
        <f ca="1">_xll.BDH($C$478,"ACCOUNTS_PAYABLE_5_YEAR_GROWTH","FQ3 2017","FQ3 2017","Currency=INR","Period=FQ","BEST_FPERIOD_OVERRIDE=FQ","FILING_STATUS=OR","EQY_CONSOLIDATED=Y","Sort=A","Dates=H","DateFormat=P","Fill=—","Direction=H","UseDPDF=Y")</f>
        <v>#NAME?</v>
      </c>
      <c r="AZ496" s="2" t="e">
        <f ca="1">_xll.BDH($C$478,"SHORT_TERM_DEBT_5_YEAR_GROWTH","FQ3 2017","FQ3 2017","Currency=INR","Period=FQ","BEST_FPERIOD_OVERRIDE=FQ","FILING_STATUS=OR","EQY_CONSOLIDATED=Y","Sort=A","Dates=H","DateFormat=P","Fill=—","Direction=H","UseDPDF=Y")</f>
        <v>#NAME?</v>
      </c>
      <c r="BA496" s="2" t="e">
        <f ca="1">_xll.BDH($C$478,"TOTAL_DEBT_5_YEAR_GROWTH","FQ3 2017","FQ3 2017","Currency=INR","Period=FQ","BEST_FPERIOD_OVERRIDE=FQ","FILING_STATUS=OR","EQY_CONSOLIDATED=Y","Sort=A","Dates=H","DateFormat=P","Fill=—","Direction=H","UseDPDF=Y")</f>
        <v>#NAME?</v>
      </c>
      <c r="BB496" s="2" t="e">
        <f ca="1">_xll.BDH($C$478,"GEO_GROW_TOT_SHRHLDR_EQY","FQ3 2017","FQ3 2017","Currency=INR","Period=FQ","BEST_FPERIOD_OVERRIDE=FQ","FILING_STATUS=OR","EQY_CONSOLIDATED=Y","Sort=A","Dates=H","DateFormat=P","Fill=—","Direction=H","UseDPDF=Y")</f>
        <v>#NAME?</v>
      </c>
      <c r="BC496" s="2" t="e">
        <f ca="1">_xll.BDH($C$478,"TOTAL_CAPITAL_5_YEAR_GROWTH","FQ3 2017","FQ3 2017","Currency=INR","Period=FQ","BEST_FPERIOD_OVERRIDE=FQ","FILING_STATUS=OR","EQY_CONSOLIDATED=Y","Sort=A","Dates=H","DateFormat=P","Fill=—","Direction=H","UseDPDF=Y")</f>
        <v>#NAME?</v>
      </c>
      <c r="BD496" s="2" t="e">
        <f ca="1">_xll.BDH($C$478,"GEO_GROW_BOOK_VAL","FQ3 2017","FQ3 2017","Currency=INR","Period=FQ","BEST_FPERIOD_OVERRIDE=FQ","FILING_STATUS=OR","EQY_CONSOLIDATED=Y","Sort=A","Dates=H","DateFormat=P","Fill=—","Direction=H","UseDPDF=Y")</f>
        <v>#NAME?</v>
      </c>
      <c r="BE496" s="2" t="e">
        <f ca="1">_xll.BDH($C$478,"GEO_GROW_CASH_OPER_ACT","FQ3 2017","FQ3 2017","Currency=INR","Period=FQ","BEST_FPERIOD_OVERRIDE=FQ","FILING_STATUS=OR","EQY_CONSOLIDATED=Y","Sort=A","Dates=H","DateFormat=P","Fill=—","Direction=H","UseDPDF=Y")</f>
        <v>#NAME?</v>
      </c>
      <c r="BF496" s="2" t="e">
        <f ca="1">_xll.BDH($C$478,"REVENUE_SEQUENTIAL_GROWTH","FQ3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496" s="2" t="e">
        <f ca="1">_xll.BDH($C$478,"EBITDA_SEQUENTIAL_GROWTH","FQ3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496" s="2" t="e">
        <f ca="1">_xll.BDH($C$478,"OPERATING_INCOME_SEQ_GROWTH","FQ3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496" s="2" t="e">
        <f ca="1">_xll.BDH($C$478,"NET_INCOME_TO_COMMON_SEQ_GROWTH","FQ3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496" s="2" t="e">
        <f ca="1">_xll.BDH($C$478,"EPS_DILUTED_SEQUENTIAL_GROWTH","FQ3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496" s="2" t="e">
        <f ca="1">_xll.BDH($C$478,"DPS_SEQUENTIAL_GROWTH","FQ3 2017","FQ3 2017","Currency=INR","Period=FQ","BEST_FPERIOD_OVERRIDE=FQ","FILING_STATUS=OR","EQY_CONSOLIDATED=Y","Sort=A","Dates=H","DateFormat=P","Fill=—","Direction=H","UseDPDF=Y")</f>
        <v>#NAME?</v>
      </c>
      <c r="BL496" s="2" t="e">
        <f ca="1">_xll.BDH($C$478,"ACCOUNTS_RECEIVABLE_SEQ_GROWTH","FQ3 2017","FQ3 2017","Currency=INR","Period=FQ","BEST_FPERIOD_OVERRIDE=FQ","FILING_STATUS=OR","EQY_CONSOLIDATED=Y","Sort=A","Dates=H","DateFormat=P","Fill=—","Direction=H","UseDPDF=Y")</f>
        <v>#NAME?</v>
      </c>
      <c r="BM496" s="2" t="e">
        <f ca="1">_xll.BDH($C$478,"INVENTORY_SEQUENTIAL_GROWTH","FQ3 2017","FQ3 2017","Currency=INR","Period=FQ","BEST_FPERIOD_OVERRIDE=FQ","FILING_STATUS=OR","EQY_CONSOLIDATED=Y","Sort=A","Dates=H","DateFormat=P","Fill=—","Direction=H","UseDPDF=Y")</f>
        <v>#NAME?</v>
      </c>
      <c r="BN496" s="2" t="e">
        <f ca="1">_xll.BDH($C$478,"FIXED_ASSETS_SEQUENTIAL_GROWTH","FQ3 2017","FQ3 2017","Currency=INR","Period=FQ","BEST_FPERIOD_OVERRIDE=FQ","FILING_STATUS=OR","EQY_CONSOLIDATED=Y","Sort=A","Dates=H","DateFormat=P","Fill=—","Direction=H","UseDPDF=Y")</f>
        <v>#NAME?</v>
      </c>
      <c r="BO496" s="2" t="e">
        <f ca="1">_xll.BDH($C$478,"TOTAL_ASSETS_SEQUENTIAL_GROWTH","FQ3 2017","FQ3 2017","Currency=INR","Period=FQ","BEST_FPERIOD_OVERRIDE=FQ","FILING_STATUS=OR","EQY_CONSOLIDATED=Y","Sort=A","Dates=H","DateFormat=P","Fill=—","Direction=H","UseDPDF=Y")</f>
        <v>#NAME?</v>
      </c>
      <c r="BP496" s="2" t="e">
        <f ca="1">_xll.BDH($C$478,"MODIFIED_WORKING_CPTL_SEQ_GRWTH","FQ3 2017","FQ3 2017","Currency=INR","Period=FQ","BEST_FPERIOD_OVERRIDE=FQ","FILING_STATUS=OR","EQY_CONSOLIDATED=Y","Sort=A","Dates=H","DateFormat=P","Fill=—","Direction=H","UseDPDF=Y")</f>
        <v>#NAME?</v>
      </c>
      <c r="BQ496" s="2" t="e">
        <f ca="1">_xll.BDH($C$478,"WORKING_CAPITAL_SEQ_GROWTH","FQ3 2017","FQ3 2017","Currency=INR","Period=FQ","BEST_FPERIOD_OVERRIDE=FQ","FILING_STATUS=OR","EQY_CONSOLIDATED=Y","Sort=A","Dates=H","DateFormat=P","Fill=—","Direction=H","UseDPDF=Y")</f>
        <v>#NAME?</v>
      </c>
      <c r="BR496" s="2" t="e">
        <f ca="1">_xll.BDH($C$478,"ACCOUNTS_PAYABLE_SEQ_GROWTH","FQ3 2017","FQ3 2017","Currency=INR","Period=FQ","BEST_FPERIOD_OVERRIDE=FQ","FILING_STATUS=OR","EQY_CONSOLIDATED=Y","Sort=A","Dates=H","DateFormat=P","Fill=—","Direction=H","UseDPDF=Y")</f>
        <v>#NAME?</v>
      </c>
      <c r="BS496" s="2" t="e">
        <f ca="1">_xll.BDH($C$478,"ST_DEBT_SEQUENTIAL_GROWTH","FQ3 2017","FQ3 2017","Currency=INR","Period=FQ","BEST_FPERIOD_OVERRIDE=FQ","FILING_STATUS=OR","EQY_CONSOLIDATED=Y","Sort=A","Dates=H","DateFormat=P","Fill=—","Direction=H","UseDPDF=Y")</f>
        <v>#NAME?</v>
      </c>
      <c r="BT496" s="2" t="e">
        <f ca="1">_xll.BDH($C$478,"TOTAL_DEBT_SEQUENTIAL_GROWTH","FQ3 2017","FQ3 2017","Currency=INR","Period=FQ","BEST_FPERIOD_OVERRIDE=FQ","FILING_STATUS=OR","EQY_CONSOLIDATED=Y","Sort=A","Dates=H","DateFormat=P","Fill=—","Direction=H","UseDPDF=Y")</f>
        <v>#NAME?</v>
      </c>
      <c r="BU496" s="2" t="e">
        <f ca="1">_xll.BDH($C$478,"TOTAL_EQUITY_SEQUENTIAL_GROWTH","FQ3 2017","FQ3 2017","Currency=INR","Period=FQ","BEST_FPERIOD_OVERRIDE=FQ","FILING_STATUS=OR","EQY_CONSOLIDATED=Y","Sort=A","Dates=H","DateFormat=P","Fill=—","Direction=H","UseDPDF=Y")</f>
        <v>#NAME?</v>
      </c>
      <c r="BV496" s="2" t="e">
        <f ca="1">_xll.BDH($C$478,"TOTAL_CAPITAL_SEQUENTIAL_GROWTH","FQ3 2017","FQ3 2017","Currency=INR","Period=FQ","BEST_FPERIOD_OVERRIDE=FQ","FILING_STATUS=OR","EQY_CONSOLIDATED=Y","Sort=A","Dates=H","DateFormat=P","Fill=—","Direction=H","UseDPDF=Y")</f>
        <v>#NAME?</v>
      </c>
      <c r="BW496" s="2" t="e">
        <f ca="1">_xll.BDH($C$478,"BPS_SEQUENTIAL_GROWTH","FQ3 2017","FQ3 2017","Currency=INR","Period=FQ","BEST_FPERIOD_OVERRIDE=FQ","FILING_STATUS=OR","EQY_CONSOLIDATED=Y","Sort=A","Dates=H","DateFormat=P","Fill=—","Direction=H","UseDPDF=Y")</f>
        <v>#NAME?</v>
      </c>
      <c r="BX496" s="2" t="e">
        <f ca="1">_xll.BDH($C$478,"CFO_SEQUENTIAL_GROWTH","FQ3 2017","FQ3 2017","Currency=INR","Period=FQ","BEST_FPERIOD_OVERRIDE=FQ","FILING_STATUS=OR","EQY_CONSOLIDATED=Y","Sort=A","Dates=H","DateFormat=P","Fill=—","Direction=H","UseDPDF=Y")</f>
        <v>#NAME?</v>
      </c>
      <c r="BY496" s="3" t="e">
        <f ca="1">_xll.BDH($C$478,"SHORT_AND_LONG_TERM_DEBT","FQ3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496" s="3" t="e">
        <f ca="1">_xll.BDH($C$478,"BS_ST_BORROW","FQ3 2017","FQ3 2017","Currency=INR","Period=FQ","BEST_FPERIOD_OVERRIDE=FQ","FILING_STATUS=OR","EQY_CONSOLIDATED=Y","SCALING_FORMAT=MLN","Sort=A","Dates=H","DateFormat=P","Fill=—","Direction=H","UseDPDF=Y")</f>
        <v>#NAME?</v>
      </c>
      <c r="CA496" s="3" t="e">
        <f ca="1">_xll.BDH($C$478,"BS_LT_BORROW","FQ3 2017","FQ3 2017","Currency=INR","Period=FQ","BEST_FPERIOD_OVERRIDE=FQ","FILING_STATUS=OR","EQY_CONSOLIDATED=Y","SCALING_FORMAT=MLN","Sort=A","Dates=H","DateFormat=P","Fill=—","Direction=H","UseDPDF=Y")</f>
        <v>#NAME?</v>
      </c>
      <c r="CB496" s="2" t="e">
        <f ca="1">_xll.BDH($C$478,"TOT_DEBT_TO_EBITDA","FQ3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496" s="2" t="e">
        <f ca="1">_xll.BDH($C$478,"NET_DEBT_TO_EBITDA","FQ3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496" s="2" t="e">
        <f ca="1">_xll.BDH($C$478,"TOTAL_DEBT_TO_EBIT","FQ3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496" s="2" t="e">
        <f ca="1">_xll.BDH($C$478,"NET_DEBT_TO_EBIT","FQ3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496" s="2" t="e">
        <f ca="1">_xll.BDH($C$478,"EBITDA_TO_INTEREST_EXPN","FQ3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496" s="2" t="e">
        <f ca="1">_xll.BDH($C$478,"COM_EQY_TO_TOT_ASSET","FQ3 2017","FQ3 2017","Currency=INR","Period=FQ","BEST_FPERIOD_OVERRIDE=FQ","FILING_STATUS=OR","EQY_CONSOLIDATED=Y","Sort=A","Dates=H","DateFormat=P","Fill=—","Direction=H","UseDPDF=Y")</f>
        <v>#NAME?</v>
      </c>
      <c r="CH496" s="2" t="e">
        <f ca="1">_xll.BDH($C$478,"LT_DEBT_TO_TOT_EQY","FQ3 2017","FQ3 2017","Currency=INR","Period=FQ","BEST_FPERIOD_OVERRIDE=FQ","FILING_STATUS=OR","EQY_CONSOLIDATED=Y","Sort=A","Dates=H","DateFormat=P","Fill=—","Direction=H","UseDPDF=Y")</f>
        <v>#NAME?</v>
      </c>
      <c r="CI496" s="2" t="e">
        <f ca="1">_xll.BDH($C$478,"LT_DEBT_TO_TOT_CAP","FQ3 2017","FQ3 2017","Currency=INR","Period=FQ","BEST_FPERIOD_OVERRIDE=FQ","FILING_STATUS=OR","EQY_CONSOLIDATED=Y","Sort=A","Dates=H","DateFormat=P","Fill=—","Direction=H","UseDPDF=Y")</f>
        <v>#NAME?</v>
      </c>
      <c r="CJ496" s="2" t="e">
        <f ca="1">_xll.BDH($C$478,"LT_DEBT_TO_TOT_ASSET","FQ3 2017","FQ3 2017","Currency=INR","Period=FQ","BEST_FPERIOD_OVERRIDE=FQ","FILING_STATUS=OR","EQY_CONSOLIDATED=Y","Sort=A","Dates=H","DateFormat=P","Fill=—","Direction=H","UseDPDF=Y")</f>
        <v>#NAME?</v>
      </c>
      <c r="CK496" s="2" t="e">
        <f ca="1">_xll.BDH($C$478,"TOT_DEBT_TO_TOT_EQY","FQ3 2017","FQ3 2017","Currency=INR","Period=FQ","BEST_FPERIOD_OVERRIDE=FQ","FILING_STATUS=OR","EQY_CONSOLIDATED=Y","Sort=A","Dates=H","DateFormat=P","Fill=—","Direction=H","UseDPDF=Y")</f>
        <v>#NAME?</v>
      </c>
      <c r="CL496" s="2" t="e">
        <f ca="1">_xll.BDH($C$478,"TOT_DEBT_TO_TOT_CAP","FQ3 2017","FQ3 2017","Currency=INR","Period=FQ","BEST_FPERIOD_OVERRIDE=FQ","FILING_STATUS=OR","EQY_CONSOLIDATED=Y","Sort=A","Dates=H","DateFormat=P","Fill=—","Direction=H","UseDPDF=Y")</f>
        <v>#NAME?</v>
      </c>
      <c r="CM496" s="2" t="e">
        <f ca="1">_xll.BDH($C$478,"TOT_DEBT_TO_TOT_ASSET","FQ3 2017","FQ3 2017","Currency=INR","Period=FQ","BEST_FPERIOD_OVERRIDE=FQ","FILING_STATUS=OR","EQY_CONSOLIDATED=Y","Sort=A","Dates=H","DateFormat=P","Fill=—","Direction=H","UseDPDF=Y")</f>
        <v>#NAME?</v>
      </c>
      <c r="CN496" s="2" t="e">
        <f ca="1">_xll.BDH($C$478,"NET_DEBT_TO_SHRHLDR_EQTY","FQ3 2017","FQ3 2017","Currency=INR","Period=FQ","BEST_FPERIOD_OVERRIDE=FQ","FILING_STATUS=OR","EQY_CONSOLIDATED=Y","Sort=A","Dates=H","DateFormat=P","Fill=—","Direction=H","UseDPDF=Y")</f>
        <v>#NAME?</v>
      </c>
      <c r="CO496" s="2" t="e">
        <f ca="1">_xll.BDH($C$478,"NET_DEBT_%_CAPITAL","FQ3 2017","FQ3 2017","Currency=INR","Period=FQ","BEST_FPERIOD_OVERRIDE=FQ","FILING_STATUS=OR","EQY_CONSOLIDATED=Y","Sort=A","Dates=H","DateFormat=P","Fill=—","Direction=H","UseDPDF=Y")</f>
        <v>#NAME?</v>
      </c>
      <c r="CP496" s="3" t="e">
        <f ca="1">_xll.BDH($C$478,"EBITDA","FQ3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496" s="3" t="e">
        <f ca="1">_xll.BDH($C$478,"EBITDA_AFTER_CAPEX","FQ3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496" s="3" t="e">
        <f ca="1">_xll.BDH($C$478,"IS_OPER_INC","FQ3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496" s="2" t="e">
        <f ca="1">_xll.BDH($C$478,"CASH_RATIO","FQ3 2017","FQ3 2017","Currency=INR","Period=FQ","BEST_FPERIOD_OVERRIDE=FQ","FILING_STATUS=OR","EQY_CONSOLIDATED=Y","Sort=A","Dates=H","DateFormat=P","Fill=—","Direction=H","UseDPDF=Y")</f>
        <v>#NAME?</v>
      </c>
      <c r="CT496" s="2" t="e">
        <f ca="1">_xll.BDH($C$478,"CUR_RATIO","FQ3 2017","FQ3 2017","Currency=INR","Period=FQ","BEST_FPERIOD_OVERRIDE=FQ","FILING_STATUS=OR","EQY_CONSOLIDATED=Y","Sort=A","Dates=H","DateFormat=P","Fill=—","Direction=H","UseDPDF=Y")</f>
        <v>#NAME?</v>
      </c>
      <c r="CU496" s="2" t="e">
        <f ca="1">_xll.BDH($C$478,"QUICK_RATIO","FQ3 2017","FQ3 2017","Currency=INR","Period=FQ","BEST_FPERIOD_OVERRIDE=FQ","FILING_STATUS=OR","EQY_CONSOLIDATED=Y","Sort=A","Dates=H","DateFormat=P","Fill=—","Direction=H","UseDPDF=Y")</f>
        <v>#NAME?</v>
      </c>
      <c r="CV496" s="2" t="e">
        <f ca="1">_xll.BDH($C$478,"ALTMAN_Z_SCORE","FQ3 2017","FQ3 2017","Currency=INR","Period=FQ","BEST_FPERIOD_OVERRIDE=FQ","FILING_STATUS=OR","EQY_CONSOLIDATED=Y","Sort=A","Dates=H","DateFormat=P","Fill=—","Direction=H","UseDPDF=Y")</f>
        <v>#NAME?</v>
      </c>
      <c r="CW496" s="4" t="e">
        <f ca="1">_xll.BDH($C$478,"ACCT_RCV_TURN","FQ3 2017","FQ3 2017","Currency=INR","Period=FQ","BEST_FPERIOD_OVERRIDE=FQ","FILING_STATUS=OR","EQY_CONSOLIDATED=Y","FA_ADJUSTED=GAAP","Sort=A","Dates=H","DateFormat=P","Fill=—","Direction=H","UseDPDF=Y")</f>
        <v>#NAME?</v>
      </c>
      <c r="CX496" s="2" t="e">
        <f ca="1">_xll.BDH($C$478,"ACCT_RCV_DAYS","FQ3 2017","FQ3 2017","Currency=INR","Period=FQ","BEST_FPERIOD_OVERRIDE=FQ","FILING_STATUS=OR","EQY_CONSOLIDATED=Y","FA_ADJUSTED=GAAP","Sort=A","Dates=H","DateFormat=P","Fill=—","Direction=H","UseDPDF=Y")</f>
        <v>#NAME?</v>
      </c>
      <c r="CY496" s="4" t="e">
        <f ca="1">_xll.BDH($C$478,"INVENT_TURN","FQ3 2017","FQ3 2017","Currency=INR","Period=FQ","BEST_FPERIOD_OVERRIDE=FQ","FILING_STATUS=OR","EQY_CONSOLIDATED=Y","FA_ADJUSTED=GAAP","Sort=A","Dates=H","DateFormat=P","Fill=—","Direction=H","UseDPDF=Y")</f>
        <v>#NAME?</v>
      </c>
      <c r="CZ496" s="2" t="e">
        <f ca="1">_xll.BDH($C$478,"INVENT_DAYS","FQ3 2017","FQ3 2017","Currency=INR","Period=FQ","BEST_FPERIOD_OVERRIDE=FQ","FILING_STATUS=OR","EQY_CONSOLIDATED=Y","FA_ADJUSTED=GAAP","Sort=A","Dates=H","DateFormat=P","Fill=—","Direction=H","UseDPDF=Y")</f>
        <v>#NAME?</v>
      </c>
      <c r="DA496" s="4" t="e">
        <f ca="1">_xll.BDH($C$478,"ACCOUNTS_PAYABLE_TURNOVER","FQ3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496" s="2" t="e">
        <f ca="1">_xll.BDH($C$478,"ACCOUNTS_PAYABLE_TURNOVER_DAYS","FQ3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496" s="4" t="e">
        <f ca="1">_xll.BDH($C$478,"CASH_CONVERSION_CYCLE","FQ3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496" s="4" t="e">
        <f ca="1">_xll.BDH($C$478,"INV_TO_CASH_DAYS","FQ3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496" s="5" t="e">
        <f ca="1">_xll.BDH($C$478,"BS_INVENTORIES","FQ3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496" s="3" t="e">
        <f ca="1">_xll.BDH($C$478,"INVTRY_RAW_MATERIALS","FQ3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496" s="3" t="e">
        <f ca="1">_xll.BDH($C$478,"INVTRY_IN_PROGRESS","FQ3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496" s="3" t="e">
        <f ca="1">_xll.BDH($C$478,"INVTRY_FINISHED_GOODS","FQ3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496" s="3" t="e">
        <f ca="1">_xll.BDH($C$478,"BS_OTHER_INV","FQ3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497" spans="1:113" x14ac:dyDescent="0.3">
      <c r="A497" s="6"/>
      <c r="B497" s="6"/>
      <c r="C497" s="6"/>
      <c r="D497" s="6"/>
      <c r="E497" t="s">
        <v>81</v>
      </c>
      <c r="F497" t="e">
        <f ca="1">_xll.BDH($C$478,"RETURN_COM_EQY","FQ4 2017","FQ4 2017","Currency=INR","Period=FQ","BEST_FPERIOD_OVERRIDE=FQ","FILING_STATUS=OR","EQY_CONSOLIDATED=Y","FA_ADJUSTED=GAAP","Sort=A","Dates=H","DateFormat=P","Fill=—","Direction=H","UseDPDF=Y")</f>
        <v>#NAME?</v>
      </c>
      <c r="G497" t="e">
        <f ca="1">_xll.BDH($C$478,"RETURN_ON_ASSET","FQ4 2017","FQ4 2017","Currency=INR","Period=FQ","BEST_FPERIOD_OVERRIDE=FQ","FILING_STATUS=OR","EQY_CONSOLIDATED=Y","FA_ADJUSTED=GAAP","Sort=A","Dates=H","DateFormat=P","Fill=—","Direction=H","UseDPDF=Y")</f>
        <v>#NAME?</v>
      </c>
      <c r="H497" t="e">
        <f ca="1">_xll.BDH($C$478,"RETURN_ON_CAP","FQ4 2017","FQ4 2017","Currency=INR","Period=FQ","BEST_FPERIOD_OVERRIDE=FQ","FILING_STATUS=OR","EQY_CONSOLIDATED=Y","FA_ADJUSTED=GAAP","Sort=A","Dates=H","DateFormat=P","Fill=—","Direction=H","UseDPDF=Y")</f>
        <v>#NAME?</v>
      </c>
      <c r="I497" t="e">
        <f ca="1">_xll.BDH($C$478,"RETURN_ON_INV_CAPITAL","FQ4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497" t="e">
        <f ca="1">_xll.BDH($C$478,"EBITDA_TO_REVENUE","FQ4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497" t="e">
        <f ca="1">_xll.BDH($C$478,"OPER_MARGIN","FQ4 2017","FQ4 2017","Currency=INR","Period=FQ","BEST_FPERIOD_OVERRIDE=FQ","FILING_STATUS=OR","EQY_CONSOLIDATED=Y","FA_ADJUSTED=GAAP","Sort=A","Dates=H","DateFormat=P","Fill=—","Direction=H","UseDPDF=Y")</f>
        <v>#NAME?</v>
      </c>
      <c r="L497" t="e">
        <f ca="1">_xll.BDH($C$478,"INCREMENTAL_OPERATING_MARGIN","FQ4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497" t="e">
        <f ca="1">_xll.BDH($C$478,"PRETAX_INC_TO_NET_SALES","FQ4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497" t="e">
        <f ca="1">_xll.BDH($C$478,"INC_BEF_XO_ITEMS_TO_NET_SALES","FQ4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497" t="e">
        <f ca="1">_xll.BDH($C$478,"PROF_MARGIN","FQ4 2017","FQ4 2017","Currency=INR","Period=FQ","BEST_FPERIOD_OVERRIDE=FQ","FILING_STATUS=OR","EQY_CONSOLIDATED=Y","FA_ADJUSTED=GAAP","Sort=A","Dates=H","DateFormat=P","Fill=—","Direction=H","UseDPDF=Y")</f>
        <v>#NAME?</v>
      </c>
      <c r="P497" t="e">
        <f ca="1">_xll.BDH($C$478,"NET_INCOME_TO_COMMON_MARGIN","FQ4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497" t="e">
        <f ca="1">_xll.BDH($C$478,"EFF_TAX_RATE","FQ4 2017","FQ4 2017","Currency=INR","Period=FQ","BEST_FPERIOD_OVERRIDE=FQ","FILING_STATUS=OR","EQY_CONSOLIDATED=Y","FA_ADJUSTED=GAAP","Sort=A","Dates=H","DateFormat=P","Fill=—","Direction=H","UseDPDF=Y")</f>
        <v>#NAME?</v>
      </c>
      <c r="R497" t="e">
        <f ca="1">_xll.BDH($C$478,"DVD_PAYOUT_RATIO","FQ4 2017","FQ4 2017","Currency=INR","Period=FQ","BEST_FPERIOD_OVERRIDE=FQ","FILING_STATUS=OR","EQY_CONSOLIDATED=Y","FA_ADJUSTED=GAAP","Sort=A","Dates=H","DateFormat=P","Fill=—","Direction=H","UseDPDF=Y")</f>
        <v>#NAME?</v>
      </c>
      <c r="S497" t="e">
        <f ca="1">_xll.BDH($C$478,"SUSTAIN_GROWTH_RT","FQ4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497" s="2" t="e">
        <f ca="1">_xll.BDH($C$478,"SALES_GROWTH","FQ4 2017","FQ4 2017","Currency=INR","Period=FQ","BEST_FPERIOD_OVERRIDE=FQ","FILING_STATUS=OR","EQY_CONSOLIDATED=Y","FA_ADJUSTED=GAAP","Sort=A","Dates=H","DateFormat=P","Fill=—","Direction=H","UseDPDF=Y")</f>
        <v>#NAME?</v>
      </c>
      <c r="U497" s="2" t="e">
        <f ca="1">_xll.BDH($C$478,"EBITDA_GROWTH","FQ4 2017","FQ4 2017","Currency=INR","Period=FQ","BEST_FPERIOD_OVERRIDE=FQ","FILING_STATUS=OR","EQY_CONSOLIDATED=Y","FA_ADJUSTED=GAAP","Sort=A","Dates=H","DateFormat=P","Fill=—","Direction=H","UseDPDF=Y")</f>
        <v>#NAME?</v>
      </c>
      <c r="V497" s="2" t="e">
        <f ca="1">_xll.BDH($C$478,"OPER_INC_GROWTH","FQ4 2017","FQ4 2017","Currency=INR","Period=FQ","BEST_FPERIOD_OVERRIDE=FQ","FILING_STATUS=OR","EQY_CONSOLIDATED=Y","FA_ADJUSTED=GAAP","Sort=A","Dates=H","DateFormat=P","Fill=—","Direction=H","UseDPDF=Y")</f>
        <v>#NAME?</v>
      </c>
      <c r="W497" s="2" t="e">
        <f ca="1">_xll.BDH($C$478,"EARN_FOR_COM_GROWTH","FQ4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497" s="2" t="e">
        <f ca="1">_xll.BDH($C$478,"DILUTED_EPS_AFT_XO_ITEMS_GROWTH","FQ4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497" s="2" t="e">
        <f ca="1">_xll.BDH($C$478,"DIVIDEND_PER_SHARE_1_YEAR_GROWTH","FQ4 2017","FQ4 2017","Currency=INR","Period=FQ","BEST_FPERIOD_OVERRIDE=FQ","FILING_STATUS=OR","EQY_CONSOLIDATED=Y","Sort=A","Dates=H","DateFormat=P","Fill=—","Direction=H","UseDPDF=Y")</f>
        <v>#NAME?</v>
      </c>
      <c r="Z497" s="2" t="e">
        <f ca="1">_xll.BDH($C$478,"ACCOUNTS_RECEIVABLE_GROWTH","FQ4 2017","FQ4 2017","Currency=INR","Period=FQ","BEST_FPERIOD_OVERRIDE=FQ","FILING_STATUS=OR","EQY_CONSOLIDATED=Y","Sort=A","Dates=H","DateFormat=P","Fill=—","Direction=H","UseDPDF=Y")</f>
        <v>#NAME?</v>
      </c>
      <c r="AA497" s="2" t="e">
        <f ca="1">_xll.BDH($C$478,"INVENTORY_GROWTH","FQ4 2017","FQ4 2017","Currency=INR","Period=FQ","BEST_FPERIOD_OVERRIDE=FQ","FILING_STATUS=OR","EQY_CONSOLIDATED=Y","Sort=A","Dates=H","DateFormat=P","Fill=—","Direction=H","UseDPDF=Y")</f>
        <v>#NAME?</v>
      </c>
      <c r="AB497" s="2" t="e">
        <f ca="1">_xll.BDH($C$478,"NET_FIXED_ASSETS_1_YEAR_GROWTH","FQ4 2017","FQ4 2017","Currency=INR","Period=FQ","BEST_FPERIOD_OVERRIDE=FQ","FILING_STATUS=OR","EQY_CONSOLIDATED=Y","Sort=A","Dates=H","DateFormat=P","Fill=—","Direction=H","UseDPDF=Y")</f>
        <v>#NAME?</v>
      </c>
      <c r="AC497" s="2" t="e">
        <f ca="1">_xll.BDH($C$478,"ASSET_GROWTH","FQ4 2017","FQ4 2017","Currency=INR","Period=FQ","BEST_FPERIOD_OVERRIDE=FQ","FILING_STATUS=OR","EQY_CONSOLIDATED=Y","Sort=A","Dates=H","DateFormat=P","Fill=—","Direction=H","UseDPDF=Y")</f>
        <v>#NAME?</v>
      </c>
      <c r="AD497" s="2" t="e">
        <f ca="1">_xll.BDH($C$478,"MODIFIED_WORK_CAP_GROWTH","FQ4 2017","FQ4 2017","Currency=INR","Period=FQ","BEST_FPERIOD_OVERRIDE=FQ","FILING_STATUS=OR","EQY_CONSOLIDATED=Y","Sort=A","Dates=H","DateFormat=P","Fill=—","Direction=H","UseDPDF=Y")</f>
        <v>#NAME?</v>
      </c>
      <c r="AE497" s="2" t="e">
        <f ca="1">_xll.BDH($C$478,"WORK_CAP_GROWTH","FQ4 2017","FQ4 2017","Currency=INR","Period=FQ","BEST_FPERIOD_OVERRIDE=FQ","FILING_STATUS=OR","EQY_CONSOLIDATED=Y","Sort=A","Dates=H","DateFormat=P","Fill=—","Direction=H","UseDPDF=Y")</f>
        <v>#NAME?</v>
      </c>
      <c r="AF497" s="2" t="e">
        <f ca="1">_xll.BDH($C$478,"ACCOUNTS_PAYABLE_GROWTH_1YR","FQ4 2017","FQ4 2017","Currency=INR","Period=FQ","BEST_FPERIOD_OVERRIDE=FQ","FILING_STATUS=OR","EQY_CONSOLIDATED=Y","Sort=A","Dates=H","DateFormat=P","Fill=—","Direction=H","UseDPDF=Y")</f>
        <v>#NAME?</v>
      </c>
      <c r="AG497" s="2" t="e">
        <f ca="1">_xll.BDH($C$478,"SHORT_TERM_DEBT_1_YEAR_GROWTH","FQ4 2017","FQ4 2017","Currency=INR","Period=FQ","BEST_FPERIOD_OVERRIDE=FQ","FILING_STATUS=OR","EQY_CONSOLIDATED=Y","Sort=A","Dates=H","DateFormat=P","Fill=—","Direction=H","UseDPDF=Y")</f>
        <v>#NAME?</v>
      </c>
      <c r="AH497" s="2" t="e">
        <f ca="1">_xll.BDH($C$478,"TOTAL_DEBT_1_YEAR_GROWTH","FQ4 2017","FQ4 2017","Currency=INR","Period=FQ","BEST_FPERIOD_OVERRIDE=FQ","FILING_STATUS=OR","EQY_CONSOLIDATED=Y","Sort=A","Dates=H","DateFormat=P","Fill=—","Direction=H","UseDPDF=Y")</f>
        <v>#NAME?</v>
      </c>
      <c r="AI497" s="2" t="e">
        <f ca="1">_xll.BDH($C$478,"TOTAL_EQUITY_1_YEAR_GROWTH","FQ4 2017","FQ4 2017","Currency=INR","Period=FQ","BEST_FPERIOD_OVERRIDE=FQ","FILING_STATUS=OR","EQY_CONSOLIDATED=Y","Sort=A","Dates=H","DateFormat=P","Fill=—","Direction=H","UseDPDF=Y")</f>
        <v>#NAME?</v>
      </c>
      <c r="AJ497" s="2" t="e">
        <f ca="1">_xll.BDH($C$478,"GROWTH_IN_CAP","FQ4 2017","FQ4 2017","Currency=INR","Period=FQ","BEST_FPERIOD_OVERRIDE=FQ","FILING_STATUS=OR","EQY_CONSOLIDATED=Y","Sort=A","Dates=H","DateFormat=P","Fill=—","Direction=H","UseDPDF=Y")</f>
        <v>#NAME?</v>
      </c>
      <c r="AK497" s="2" t="e">
        <f ca="1">_xll.BDH($C$478,"BVPS_GROWTH","FQ4 2017","FQ4 2017","Currency=INR","Period=FQ","BEST_FPERIOD_OVERRIDE=FQ","FILING_STATUS=OR","EQY_CONSOLIDATED=Y","Sort=A","Dates=H","DateFormat=P","Fill=—","Direction=H","UseDPDF=Y")</f>
        <v>#NAME?</v>
      </c>
      <c r="AL497" s="2" t="e">
        <f ca="1">_xll.BDH($C$478,"CASH_FLOW_GROWTH","FQ4 2017","FQ4 2017","Currency=INR","Period=FQ","BEST_FPERIOD_OVERRIDE=FQ","FILING_STATUS=OR","EQY_CONSOLIDATED=Y","Sort=A","Dates=H","DateFormat=P","Fill=—","Direction=H","UseDPDF=Y")</f>
        <v>#NAME?</v>
      </c>
      <c r="AM497" s="2" t="e">
        <f ca="1">_xll.BDH($C$478,"GEO_GROW_NET_SALES","FQ4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497" s="2" t="e">
        <f ca="1">_xll.BDH($C$478,"GEO_GROW_EBITDA","FQ4 2017","FQ4 2017","Currency=INR","Period=FQ","BEST_FPERIOD_OVERRIDE=FQ","FILING_STATUS=OR","EQY_CONSOLIDATED=Y","FA_ADJUSTED=GAAP","Sort=A","Dates=H","DateFormat=P","Fill=—","Direction=H","UseDPDF=Y")</f>
        <v>#NAME?</v>
      </c>
      <c r="AO497" s="2" t="e">
        <f ca="1">_xll.BDH($C$478,"GEO_GROW_OPER_INC","FQ4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497" s="2" t="e">
        <f ca="1">_xll.BDH($C$478,"NET_INCOME_TO_COMMON_5_YR_GROWTH","FQ4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497" s="2" t="e">
        <f ca="1">_xll.BDH($C$478,"5Y_GEO_GROWTH_DILUTED_EPS","FQ4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497" s="2" t="e">
        <f ca="1">_xll.BDH($C$478,"GEO_GROW_DVD_PER_SH","FQ4 2017","FQ4 2017","Currency=INR","Period=FQ","BEST_FPERIOD_OVERRIDE=FQ","FILING_STATUS=OR","EQY_CONSOLIDATED=Y","Sort=A","Dates=H","DateFormat=P","Fill=—","Direction=H","UseDPDF=Y")</f>
        <v>#NAME?</v>
      </c>
      <c r="AS497" s="2" t="e">
        <f ca="1">_xll.BDH($C$478,"ACCOUNTS_RECEIVABLE_5_YR_GROWTH","FQ4 2017","FQ4 2017","Currency=INR","Period=FQ","BEST_FPERIOD_OVERRIDE=FQ","FILING_STATUS=OR","EQY_CONSOLIDATED=Y","Sort=A","Dates=H","DateFormat=P","Fill=—","Direction=H","UseDPDF=Y")</f>
        <v>#NAME?</v>
      </c>
      <c r="AT497" s="2" t="e">
        <f ca="1">_xll.BDH($C$478,"INVENTORY_5_YEAR_GROWTH","FQ4 2017","FQ4 2017","Currency=INR","Period=FQ","BEST_FPERIOD_OVERRIDE=FQ","FILING_STATUS=OR","EQY_CONSOLIDATED=Y","Sort=A","Dates=H","DateFormat=P","Fill=—","Direction=H","UseDPDF=Y")</f>
        <v>#NAME?</v>
      </c>
      <c r="AU497" s="2" t="e">
        <f ca="1">_xll.BDH($C$478,"NET_FIXED_ASSETS_5_YEAR_GROWTH","FQ4 2017","FQ4 2017","Currency=INR","Period=FQ","BEST_FPERIOD_OVERRIDE=FQ","FILING_STATUS=OR","EQY_CONSOLIDATED=Y","Sort=A","Dates=H","DateFormat=P","Fill=—","Direction=H","UseDPDF=Y")</f>
        <v>#NAME?</v>
      </c>
      <c r="AV497" s="2" t="e">
        <f ca="1">_xll.BDH($C$478,"GEO_GROW_TOT_ASSET","FQ4 2017","FQ4 2017","Currency=INR","Period=FQ","BEST_FPERIOD_OVERRIDE=FQ","FILING_STATUS=OR","EQY_CONSOLIDATED=Y","Sort=A","Dates=H","DateFormat=P","Fill=—","Direction=H","UseDPDF=Y")</f>
        <v>#NAME?</v>
      </c>
      <c r="AW497" s="2" t="e">
        <f ca="1">_xll.BDH($C$478,"MODIFIED_WORKING_CPTL_5YR_GRWTH","FQ4 2017","FQ4 2017","Currency=INR","Period=FQ","BEST_FPERIOD_OVERRIDE=FQ","FILING_STATUS=OR","EQY_CONSOLIDATED=Y","Sort=A","Dates=H","DateFormat=P","Fill=—","Direction=H","UseDPDF=Y")</f>
        <v>#NAME?</v>
      </c>
      <c r="AX497" s="2" t="e">
        <f ca="1">_xll.BDH($C$478,"WORKING_CAPITAL_5_YEAR_GROWTH","FQ4 2017","FQ4 2017","Currency=INR","Period=FQ","BEST_FPERIOD_OVERRIDE=FQ","FILING_STATUS=OR","EQY_CONSOLIDATED=Y","Sort=A","Dates=H","DateFormat=P","Fill=—","Direction=H","UseDPDF=Y")</f>
        <v>#NAME?</v>
      </c>
      <c r="AY497" s="2" t="e">
        <f ca="1">_xll.BDH($C$478,"ACCOUNTS_PAYABLE_5_YEAR_GROWTH","FQ4 2017","FQ4 2017","Currency=INR","Period=FQ","BEST_FPERIOD_OVERRIDE=FQ","FILING_STATUS=OR","EQY_CONSOLIDATED=Y","Sort=A","Dates=H","DateFormat=P","Fill=—","Direction=H","UseDPDF=Y")</f>
        <v>#NAME?</v>
      </c>
      <c r="AZ497" s="2" t="e">
        <f ca="1">_xll.BDH($C$478,"SHORT_TERM_DEBT_5_YEAR_GROWTH","FQ4 2017","FQ4 2017","Currency=INR","Period=FQ","BEST_FPERIOD_OVERRIDE=FQ","FILING_STATUS=OR","EQY_CONSOLIDATED=Y","Sort=A","Dates=H","DateFormat=P","Fill=—","Direction=H","UseDPDF=Y")</f>
        <v>#NAME?</v>
      </c>
      <c r="BA497" s="2" t="e">
        <f ca="1">_xll.BDH($C$478,"TOTAL_DEBT_5_YEAR_GROWTH","FQ4 2017","FQ4 2017","Currency=INR","Period=FQ","BEST_FPERIOD_OVERRIDE=FQ","FILING_STATUS=OR","EQY_CONSOLIDATED=Y","Sort=A","Dates=H","DateFormat=P","Fill=—","Direction=H","UseDPDF=Y")</f>
        <v>#NAME?</v>
      </c>
      <c r="BB497" s="2" t="e">
        <f ca="1">_xll.BDH($C$478,"GEO_GROW_TOT_SHRHLDR_EQY","FQ4 2017","FQ4 2017","Currency=INR","Period=FQ","BEST_FPERIOD_OVERRIDE=FQ","FILING_STATUS=OR","EQY_CONSOLIDATED=Y","Sort=A","Dates=H","DateFormat=P","Fill=—","Direction=H","UseDPDF=Y")</f>
        <v>#NAME?</v>
      </c>
      <c r="BC497" s="2" t="e">
        <f ca="1">_xll.BDH($C$478,"TOTAL_CAPITAL_5_YEAR_GROWTH","FQ4 2017","FQ4 2017","Currency=INR","Period=FQ","BEST_FPERIOD_OVERRIDE=FQ","FILING_STATUS=OR","EQY_CONSOLIDATED=Y","Sort=A","Dates=H","DateFormat=P","Fill=—","Direction=H","UseDPDF=Y")</f>
        <v>#NAME?</v>
      </c>
      <c r="BD497" s="2" t="e">
        <f ca="1">_xll.BDH($C$478,"GEO_GROW_BOOK_VAL","FQ4 2017","FQ4 2017","Currency=INR","Period=FQ","BEST_FPERIOD_OVERRIDE=FQ","FILING_STATUS=OR","EQY_CONSOLIDATED=Y","Sort=A","Dates=H","DateFormat=P","Fill=—","Direction=H","UseDPDF=Y")</f>
        <v>#NAME?</v>
      </c>
      <c r="BE497" s="2" t="e">
        <f ca="1">_xll.BDH($C$478,"GEO_GROW_CASH_OPER_ACT","FQ4 2017","FQ4 2017","Currency=INR","Period=FQ","BEST_FPERIOD_OVERRIDE=FQ","FILING_STATUS=OR","EQY_CONSOLIDATED=Y","Sort=A","Dates=H","DateFormat=P","Fill=—","Direction=H","UseDPDF=Y")</f>
        <v>#NAME?</v>
      </c>
      <c r="BF497" s="2" t="e">
        <f ca="1">_xll.BDH($C$478,"REVENUE_SEQUENTIAL_GROWTH","FQ4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497" s="2" t="e">
        <f ca="1">_xll.BDH($C$478,"EBITDA_SEQUENTIAL_GROWTH","FQ4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497" s="2" t="e">
        <f ca="1">_xll.BDH($C$478,"OPERATING_INCOME_SEQ_GROWTH","FQ4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497" s="2" t="e">
        <f ca="1">_xll.BDH($C$478,"NET_INCOME_TO_COMMON_SEQ_GROWTH","FQ4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497" s="2" t="e">
        <f ca="1">_xll.BDH($C$478,"EPS_DILUTED_SEQUENTIAL_GROWTH","FQ4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497" s="2" t="e">
        <f ca="1">_xll.BDH($C$478,"DPS_SEQUENTIAL_GROWTH","FQ4 2017","FQ4 2017","Currency=INR","Period=FQ","BEST_FPERIOD_OVERRIDE=FQ","FILING_STATUS=OR","EQY_CONSOLIDATED=Y","Sort=A","Dates=H","DateFormat=P","Fill=—","Direction=H","UseDPDF=Y")</f>
        <v>#NAME?</v>
      </c>
      <c r="BL497" s="2" t="e">
        <f ca="1">_xll.BDH($C$478,"ACCOUNTS_RECEIVABLE_SEQ_GROWTH","FQ4 2017","FQ4 2017","Currency=INR","Period=FQ","BEST_FPERIOD_OVERRIDE=FQ","FILING_STATUS=OR","EQY_CONSOLIDATED=Y","Sort=A","Dates=H","DateFormat=P","Fill=—","Direction=H","UseDPDF=Y")</f>
        <v>#NAME?</v>
      </c>
      <c r="BM497" s="2" t="e">
        <f ca="1">_xll.BDH($C$478,"INVENTORY_SEQUENTIAL_GROWTH","FQ4 2017","FQ4 2017","Currency=INR","Period=FQ","BEST_FPERIOD_OVERRIDE=FQ","FILING_STATUS=OR","EQY_CONSOLIDATED=Y","Sort=A","Dates=H","DateFormat=P","Fill=—","Direction=H","UseDPDF=Y")</f>
        <v>#NAME?</v>
      </c>
      <c r="BN497" s="2" t="e">
        <f ca="1">_xll.BDH($C$478,"FIXED_ASSETS_SEQUENTIAL_GROWTH","FQ4 2017","FQ4 2017","Currency=INR","Period=FQ","BEST_FPERIOD_OVERRIDE=FQ","FILING_STATUS=OR","EQY_CONSOLIDATED=Y","Sort=A","Dates=H","DateFormat=P","Fill=—","Direction=H","UseDPDF=Y")</f>
        <v>#NAME?</v>
      </c>
      <c r="BO497" s="2" t="e">
        <f ca="1">_xll.BDH($C$478,"TOTAL_ASSETS_SEQUENTIAL_GROWTH","FQ4 2017","FQ4 2017","Currency=INR","Period=FQ","BEST_FPERIOD_OVERRIDE=FQ","FILING_STATUS=OR","EQY_CONSOLIDATED=Y","Sort=A","Dates=H","DateFormat=P","Fill=—","Direction=H","UseDPDF=Y")</f>
        <v>#NAME?</v>
      </c>
      <c r="BP497" s="2" t="e">
        <f ca="1">_xll.BDH($C$478,"MODIFIED_WORKING_CPTL_SEQ_GRWTH","FQ4 2017","FQ4 2017","Currency=INR","Period=FQ","BEST_FPERIOD_OVERRIDE=FQ","FILING_STATUS=OR","EQY_CONSOLIDATED=Y","Sort=A","Dates=H","DateFormat=P","Fill=—","Direction=H","UseDPDF=Y")</f>
        <v>#NAME?</v>
      </c>
      <c r="BQ497" s="2" t="e">
        <f ca="1">_xll.BDH($C$478,"WORKING_CAPITAL_SEQ_GROWTH","FQ4 2017","FQ4 2017","Currency=INR","Period=FQ","BEST_FPERIOD_OVERRIDE=FQ","FILING_STATUS=OR","EQY_CONSOLIDATED=Y","Sort=A","Dates=H","DateFormat=P","Fill=—","Direction=H","UseDPDF=Y")</f>
        <v>#NAME?</v>
      </c>
      <c r="BR497" s="2" t="e">
        <f ca="1">_xll.BDH($C$478,"ACCOUNTS_PAYABLE_SEQ_GROWTH","FQ4 2017","FQ4 2017","Currency=INR","Period=FQ","BEST_FPERIOD_OVERRIDE=FQ","FILING_STATUS=OR","EQY_CONSOLIDATED=Y","Sort=A","Dates=H","DateFormat=P","Fill=—","Direction=H","UseDPDF=Y")</f>
        <v>#NAME?</v>
      </c>
      <c r="BS497" s="2" t="e">
        <f ca="1">_xll.BDH($C$478,"ST_DEBT_SEQUENTIAL_GROWTH","FQ4 2017","FQ4 2017","Currency=INR","Period=FQ","BEST_FPERIOD_OVERRIDE=FQ","FILING_STATUS=OR","EQY_CONSOLIDATED=Y","Sort=A","Dates=H","DateFormat=P","Fill=—","Direction=H","UseDPDF=Y")</f>
        <v>#NAME?</v>
      </c>
      <c r="BT497" s="2" t="e">
        <f ca="1">_xll.BDH($C$478,"TOTAL_DEBT_SEQUENTIAL_GROWTH","FQ4 2017","FQ4 2017","Currency=INR","Period=FQ","BEST_FPERIOD_OVERRIDE=FQ","FILING_STATUS=OR","EQY_CONSOLIDATED=Y","Sort=A","Dates=H","DateFormat=P","Fill=—","Direction=H","UseDPDF=Y")</f>
        <v>#NAME?</v>
      </c>
      <c r="BU497" s="2" t="e">
        <f ca="1">_xll.BDH($C$478,"TOTAL_EQUITY_SEQUENTIAL_GROWTH","FQ4 2017","FQ4 2017","Currency=INR","Period=FQ","BEST_FPERIOD_OVERRIDE=FQ","FILING_STATUS=OR","EQY_CONSOLIDATED=Y","Sort=A","Dates=H","DateFormat=P","Fill=—","Direction=H","UseDPDF=Y")</f>
        <v>#NAME?</v>
      </c>
      <c r="BV497" s="2" t="e">
        <f ca="1">_xll.BDH($C$478,"TOTAL_CAPITAL_SEQUENTIAL_GROWTH","FQ4 2017","FQ4 2017","Currency=INR","Period=FQ","BEST_FPERIOD_OVERRIDE=FQ","FILING_STATUS=OR","EQY_CONSOLIDATED=Y","Sort=A","Dates=H","DateFormat=P","Fill=—","Direction=H","UseDPDF=Y")</f>
        <v>#NAME?</v>
      </c>
      <c r="BW497" s="2" t="e">
        <f ca="1">_xll.BDH($C$478,"BPS_SEQUENTIAL_GROWTH","FQ4 2017","FQ4 2017","Currency=INR","Period=FQ","BEST_FPERIOD_OVERRIDE=FQ","FILING_STATUS=OR","EQY_CONSOLIDATED=Y","Sort=A","Dates=H","DateFormat=P","Fill=—","Direction=H","UseDPDF=Y")</f>
        <v>#NAME?</v>
      </c>
      <c r="BX497" s="2" t="e">
        <f ca="1">_xll.BDH($C$478,"CFO_SEQUENTIAL_GROWTH","FQ4 2017","FQ4 2017","Currency=INR","Period=FQ","BEST_FPERIOD_OVERRIDE=FQ","FILING_STATUS=OR","EQY_CONSOLIDATED=Y","Sort=A","Dates=H","DateFormat=P","Fill=—","Direction=H","UseDPDF=Y")</f>
        <v>#NAME?</v>
      </c>
      <c r="BY497" s="3" t="e">
        <f ca="1">_xll.BDH($C$478,"SHORT_AND_LONG_TERM_DEBT","FQ4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497" s="3" t="e">
        <f ca="1">_xll.BDH($C$478,"BS_ST_BORROW","FQ4 2017","FQ4 2017","Currency=INR","Period=FQ","BEST_FPERIOD_OVERRIDE=FQ","FILING_STATUS=OR","EQY_CONSOLIDATED=Y","SCALING_FORMAT=MLN","Sort=A","Dates=H","DateFormat=P","Fill=—","Direction=H","UseDPDF=Y")</f>
        <v>#NAME?</v>
      </c>
      <c r="CA497" s="3" t="e">
        <f ca="1">_xll.BDH($C$478,"BS_LT_BORROW","FQ4 2017","FQ4 2017","Currency=INR","Period=FQ","BEST_FPERIOD_OVERRIDE=FQ","FILING_STATUS=OR","EQY_CONSOLIDATED=Y","SCALING_FORMAT=MLN","Sort=A","Dates=H","DateFormat=P","Fill=—","Direction=H","UseDPDF=Y")</f>
        <v>#NAME?</v>
      </c>
      <c r="CB497" s="2" t="e">
        <f ca="1">_xll.BDH($C$478,"TOT_DEBT_TO_EBITDA","FQ4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497" s="2" t="e">
        <f ca="1">_xll.BDH($C$478,"NET_DEBT_TO_EBITDA","FQ4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497" s="2" t="e">
        <f ca="1">_xll.BDH($C$478,"TOTAL_DEBT_TO_EBIT","FQ4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497" s="2" t="e">
        <f ca="1">_xll.BDH($C$478,"NET_DEBT_TO_EBIT","FQ4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497" s="2" t="e">
        <f ca="1">_xll.BDH($C$478,"EBITDA_TO_INTEREST_EXPN","FQ4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497" s="2" t="e">
        <f ca="1">_xll.BDH($C$478,"COM_EQY_TO_TOT_ASSET","FQ4 2017","FQ4 2017","Currency=INR","Period=FQ","BEST_FPERIOD_OVERRIDE=FQ","FILING_STATUS=OR","EQY_CONSOLIDATED=Y","Sort=A","Dates=H","DateFormat=P","Fill=—","Direction=H","UseDPDF=Y")</f>
        <v>#NAME?</v>
      </c>
      <c r="CH497" s="2" t="e">
        <f ca="1">_xll.BDH($C$478,"LT_DEBT_TO_TOT_EQY","FQ4 2017","FQ4 2017","Currency=INR","Period=FQ","BEST_FPERIOD_OVERRIDE=FQ","FILING_STATUS=OR","EQY_CONSOLIDATED=Y","Sort=A","Dates=H","DateFormat=P","Fill=—","Direction=H","UseDPDF=Y")</f>
        <v>#NAME?</v>
      </c>
      <c r="CI497" s="2" t="e">
        <f ca="1">_xll.BDH($C$478,"LT_DEBT_TO_TOT_CAP","FQ4 2017","FQ4 2017","Currency=INR","Period=FQ","BEST_FPERIOD_OVERRIDE=FQ","FILING_STATUS=OR","EQY_CONSOLIDATED=Y","Sort=A","Dates=H","DateFormat=P","Fill=—","Direction=H","UseDPDF=Y")</f>
        <v>#NAME?</v>
      </c>
      <c r="CJ497" s="2" t="e">
        <f ca="1">_xll.BDH($C$478,"LT_DEBT_TO_TOT_ASSET","FQ4 2017","FQ4 2017","Currency=INR","Period=FQ","BEST_FPERIOD_OVERRIDE=FQ","FILING_STATUS=OR","EQY_CONSOLIDATED=Y","Sort=A","Dates=H","DateFormat=P","Fill=—","Direction=H","UseDPDF=Y")</f>
        <v>#NAME?</v>
      </c>
      <c r="CK497" s="2" t="e">
        <f ca="1">_xll.BDH($C$478,"TOT_DEBT_TO_TOT_EQY","FQ4 2017","FQ4 2017","Currency=INR","Period=FQ","BEST_FPERIOD_OVERRIDE=FQ","FILING_STATUS=OR","EQY_CONSOLIDATED=Y","Sort=A","Dates=H","DateFormat=P","Fill=—","Direction=H","UseDPDF=Y")</f>
        <v>#NAME?</v>
      </c>
      <c r="CL497" s="2" t="e">
        <f ca="1">_xll.BDH($C$478,"TOT_DEBT_TO_TOT_CAP","FQ4 2017","FQ4 2017","Currency=INR","Period=FQ","BEST_FPERIOD_OVERRIDE=FQ","FILING_STATUS=OR","EQY_CONSOLIDATED=Y","Sort=A","Dates=H","DateFormat=P","Fill=—","Direction=H","UseDPDF=Y")</f>
        <v>#NAME?</v>
      </c>
      <c r="CM497" s="2" t="e">
        <f ca="1">_xll.BDH($C$478,"TOT_DEBT_TO_TOT_ASSET","FQ4 2017","FQ4 2017","Currency=INR","Period=FQ","BEST_FPERIOD_OVERRIDE=FQ","FILING_STATUS=OR","EQY_CONSOLIDATED=Y","Sort=A","Dates=H","DateFormat=P","Fill=—","Direction=H","UseDPDF=Y")</f>
        <v>#NAME?</v>
      </c>
      <c r="CN497" s="2" t="e">
        <f ca="1">_xll.BDH($C$478,"NET_DEBT_TO_SHRHLDR_EQTY","FQ4 2017","FQ4 2017","Currency=INR","Period=FQ","BEST_FPERIOD_OVERRIDE=FQ","FILING_STATUS=OR","EQY_CONSOLIDATED=Y","Sort=A","Dates=H","DateFormat=P","Fill=—","Direction=H","UseDPDF=Y")</f>
        <v>#NAME?</v>
      </c>
      <c r="CO497" s="2" t="e">
        <f ca="1">_xll.BDH($C$478,"NET_DEBT_%_CAPITAL","FQ4 2017","FQ4 2017","Currency=INR","Period=FQ","BEST_FPERIOD_OVERRIDE=FQ","FILING_STATUS=OR","EQY_CONSOLIDATED=Y","Sort=A","Dates=H","DateFormat=P","Fill=—","Direction=H","UseDPDF=Y")</f>
        <v>#NAME?</v>
      </c>
      <c r="CP497" s="3" t="e">
        <f ca="1">_xll.BDH($C$478,"EBITDA","FQ4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497" s="3" t="e">
        <f ca="1">_xll.BDH($C$478,"EBITDA_AFTER_CAPEX","FQ4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497" s="3" t="e">
        <f ca="1">_xll.BDH($C$478,"IS_OPER_INC","FQ4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497" s="2" t="e">
        <f ca="1">_xll.BDH($C$478,"CASH_RATIO","FQ4 2017","FQ4 2017","Currency=INR","Period=FQ","BEST_FPERIOD_OVERRIDE=FQ","FILING_STATUS=OR","EQY_CONSOLIDATED=Y","Sort=A","Dates=H","DateFormat=P","Fill=—","Direction=H","UseDPDF=Y")</f>
        <v>#NAME?</v>
      </c>
      <c r="CT497" s="2" t="e">
        <f ca="1">_xll.BDH($C$478,"CUR_RATIO","FQ4 2017","FQ4 2017","Currency=INR","Period=FQ","BEST_FPERIOD_OVERRIDE=FQ","FILING_STATUS=OR","EQY_CONSOLIDATED=Y","Sort=A","Dates=H","DateFormat=P","Fill=—","Direction=H","UseDPDF=Y")</f>
        <v>#NAME?</v>
      </c>
      <c r="CU497" s="2" t="e">
        <f ca="1">_xll.BDH($C$478,"QUICK_RATIO","FQ4 2017","FQ4 2017","Currency=INR","Period=FQ","BEST_FPERIOD_OVERRIDE=FQ","FILING_STATUS=OR","EQY_CONSOLIDATED=Y","Sort=A","Dates=H","DateFormat=P","Fill=—","Direction=H","UseDPDF=Y")</f>
        <v>#NAME?</v>
      </c>
      <c r="CV497" s="2" t="e">
        <f ca="1">_xll.BDH($C$478,"ALTMAN_Z_SCORE","FQ4 2017","FQ4 2017","Currency=INR","Period=FQ","BEST_FPERIOD_OVERRIDE=FQ","FILING_STATUS=OR","EQY_CONSOLIDATED=Y","Sort=A","Dates=H","DateFormat=P","Fill=—","Direction=H","UseDPDF=Y")</f>
        <v>#NAME?</v>
      </c>
      <c r="CW497" s="4" t="e">
        <f ca="1">_xll.BDH($C$478,"ACCT_RCV_TURN","FQ4 2017","FQ4 2017","Currency=INR","Period=FQ","BEST_FPERIOD_OVERRIDE=FQ","FILING_STATUS=OR","EQY_CONSOLIDATED=Y","FA_ADJUSTED=GAAP","Sort=A","Dates=H","DateFormat=P","Fill=—","Direction=H","UseDPDF=Y")</f>
        <v>#NAME?</v>
      </c>
      <c r="CX497" s="2" t="e">
        <f ca="1">_xll.BDH($C$478,"ACCT_RCV_DAYS","FQ4 2017","FQ4 2017","Currency=INR","Period=FQ","BEST_FPERIOD_OVERRIDE=FQ","FILING_STATUS=OR","EQY_CONSOLIDATED=Y","FA_ADJUSTED=GAAP","Sort=A","Dates=H","DateFormat=P","Fill=—","Direction=H","UseDPDF=Y")</f>
        <v>#NAME?</v>
      </c>
      <c r="CY497" s="4" t="e">
        <f ca="1">_xll.BDH($C$478,"INVENT_TURN","FQ4 2017","FQ4 2017","Currency=INR","Period=FQ","BEST_FPERIOD_OVERRIDE=FQ","FILING_STATUS=OR","EQY_CONSOLIDATED=Y","FA_ADJUSTED=GAAP","Sort=A","Dates=H","DateFormat=P","Fill=—","Direction=H","UseDPDF=Y")</f>
        <v>#NAME?</v>
      </c>
      <c r="CZ497" s="2" t="e">
        <f ca="1">_xll.BDH($C$478,"INVENT_DAYS","FQ4 2017","FQ4 2017","Currency=INR","Period=FQ","BEST_FPERIOD_OVERRIDE=FQ","FILING_STATUS=OR","EQY_CONSOLIDATED=Y","FA_ADJUSTED=GAAP","Sort=A","Dates=H","DateFormat=P","Fill=—","Direction=H","UseDPDF=Y")</f>
        <v>#NAME?</v>
      </c>
      <c r="DA497" s="4" t="e">
        <f ca="1">_xll.BDH($C$478,"ACCOUNTS_PAYABLE_TURNOVER","FQ4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497" s="2" t="e">
        <f ca="1">_xll.BDH($C$478,"ACCOUNTS_PAYABLE_TURNOVER_DAYS","FQ4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497" s="4" t="e">
        <f ca="1">_xll.BDH($C$478,"CASH_CONVERSION_CYCLE","FQ4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497" s="4" t="e">
        <f ca="1">_xll.BDH($C$478,"INV_TO_CASH_DAYS","FQ4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497" s="5" t="e">
        <f ca="1">_xll.BDH($C$478,"BS_INVENTORIES","FQ4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497" s="3" t="e">
        <f ca="1">_xll.BDH($C$478,"INVTRY_RAW_MATERIALS","FQ4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497" s="3" t="e">
        <f ca="1">_xll.BDH($C$478,"INVTRY_IN_PROGRESS","FQ4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497" s="3" t="e">
        <f ca="1">_xll.BDH($C$478,"INVTRY_FINISHED_GOODS","FQ4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497" s="3" t="e">
        <f ca="1">_xll.BDH($C$478,"BS_OTHER_INV","FQ4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498" spans="1:113" x14ac:dyDescent="0.3">
      <c r="A498" s="6"/>
      <c r="B498" s="6"/>
      <c r="C498" s="6"/>
      <c r="D498" s="6" t="s">
        <v>85</v>
      </c>
      <c r="E498" t="s">
        <v>77</v>
      </c>
      <c r="F498" t="e">
        <f ca="1">_xll.BDH($C$478,"RETURN_COM_EQY","FY 2018","FY 2018","Currency=INR","Period=FY","BEST_FPERIOD_OVERRIDE=FY","FILING_STATUS=OR","EQY_CONSOLIDATED=Y","FA_ADJUSTED=GAAP","Sort=A","Dates=H","DateFormat=P","Fill=—","Direction=H","UseDPDF=Y")</f>
        <v>#NAME?</v>
      </c>
      <c r="G498" t="e">
        <f ca="1">_xll.BDH($C$478,"RETURN_ON_ASSET","FY 2018","FY 2018","Currency=INR","Period=FY","BEST_FPERIOD_OVERRIDE=FY","FILING_STATUS=OR","EQY_CONSOLIDATED=Y","FA_ADJUSTED=GAAP","Sort=A","Dates=H","DateFormat=P","Fill=—","Direction=H","UseDPDF=Y")</f>
        <v>#NAME?</v>
      </c>
      <c r="H498" t="e">
        <f ca="1">_xll.BDH($C$478,"RETURN_ON_CAP","FY 2018","FY 2018","Currency=INR","Period=FY","BEST_FPERIOD_OVERRIDE=FY","FILING_STATUS=OR","EQY_CONSOLIDATED=Y","FA_ADJUSTED=GAAP","Sort=A","Dates=H","DateFormat=P","Fill=—","Direction=H","UseDPDF=Y")</f>
        <v>#NAME?</v>
      </c>
      <c r="I498" t="e">
        <f ca="1">_xll.BDH($C$478,"RETURN_ON_INV_CAPITAL","FY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498" t="e">
        <f ca="1">_xll.BDH($C$478,"EBITDA_TO_REVENUE","FY 2018","FY 2018","Currency=INR","Period=FY","BEST_FPERIOD_OVERRIDE=FY","FILING_STATUS=OR","EQY_CONSOLIDATED=Y","FA_ADJUSTED=GAAP","Sort=A","Dates=H","DateFormat=P","Fill=—","Direction=H","UseDPDF=Y")</f>
        <v>#NAME?</v>
      </c>
      <c r="K498" t="e">
        <f ca="1">_xll.BDH($C$478,"OPER_MARGIN","FY 2018","FY 2018","Currency=INR","Period=FY","BEST_FPERIOD_OVERRIDE=FY","FILING_STATUS=OR","EQY_CONSOLIDATED=Y","FA_ADJUSTED=GAAP","Sort=A","Dates=H","DateFormat=P","Fill=—","Direction=H","UseDPDF=Y")</f>
        <v>#NAME?</v>
      </c>
      <c r="L498" t="e">
        <f ca="1">_xll.BDH($C$478,"INCREMENTAL_OPERATING_MARGIN","FY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498" t="e">
        <f ca="1">_xll.BDH($C$478,"PRETAX_INC_TO_NET_SALES","FY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498" t="e">
        <f ca="1">_xll.BDH($C$478,"INC_BEF_XO_ITEMS_TO_NET_SALES","FY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498" t="e">
        <f ca="1">_xll.BDH($C$478,"PROF_MARGIN","FY 2018","FY 2018","Currency=INR","Period=FY","BEST_FPERIOD_OVERRIDE=FY","FILING_STATUS=OR","EQY_CONSOLIDATED=Y","FA_ADJUSTED=GAAP","Sort=A","Dates=H","DateFormat=P","Fill=—","Direction=H","UseDPDF=Y")</f>
        <v>#NAME?</v>
      </c>
      <c r="P498" t="e">
        <f ca="1">_xll.BDH($C$478,"NET_INCOME_TO_COMMON_MARGIN","FY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498" t="e">
        <f ca="1">_xll.BDH($C$478,"EFF_TAX_RATE","FY 2018","FY 2018","Currency=INR","Period=FY","BEST_FPERIOD_OVERRIDE=FY","FILING_STATUS=OR","EQY_CONSOLIDATED=Y","FA_ADJUSTED=GAAP","Sort=A","Dates=H","DateFormat=P","Fill=—","Direction=H","UseDPDF=Y")</f>
        <v>#NAME?</v>
      </c>
      <c r="R498" t="e">
        <f ca="1">_xll.BDH($C$478,"DVD_PAYOUT_RATIO","FY 2018","FY 2018","Currency=INR","Period=FY","BEST_FPERIOD_OVERRIDE=FY","FILING_STATUS=OR","EQY_CONSOLIDATED=Y","FA_ADJUSTED=GAAP","Sort=A","Dates=H","DateFormat=P","Fill=—","Direction=H","UseDPDF=Y")</f>
        <v>#NAME?</v>
      </c>
      <c r="S498" t="e">
        <f ca="1">_xll.BDH($C$478,"SUSTAIN_GROWTH_RT","FY 2018","FY 2018","Currency=INR","Period=FY","BEST_FPERIOD_OVERRIDE=FY","FILING_STATUS=OR","EQY_CONSOLIDATED=Y","FA_ADJUSTED=GAAP","Sort=A","Dates=H","DateFormat=P","Fill=—","Direction=H","UseDPDF=Y")</f>
        <v>#NAME?</v>
      </c>
      <c r="T498" s="2" t="e">
        <f ca="1">_xll.BDH($C$478,"SALES_GROWTH","FY 2018","FY 2018","Currency=INR","Period=FY","BEST_FPERIOD_OVERRIDE=FY","FILING_STATUS=OR","EQY_CONSOLIDATED=Y","FA_ADJUSTED=GAAP","Sort=A","Dates=H","DateFormat=P","Fill=—","Direction=H","UseDPDF=Y")</f>
        <v>#NAME?</v>
      </c>
      <c r="U498" s="2" t="e">
        <f ca="1">_xll.BDH($C$478,"EBITDA_GROWTH","FY 2018","FY 2018","Currency=INR","Period=FY","BEST_FPERIOD_OVERRIDE=FY","FILING_STATUS=OR","EQY_CONSOLIDATED=Y","FA_ADJUSTED=GAAP","Sort=A","Dates=H","DateFormat=P","Fill=—","Direction=H","UseDPDF=Y")</f>
        <v>#NAME?</v>
      </c>
      <c r="V498" s="2" t="e">
        <f ca="1">_xll.BDH($C$478,"OPER_INC_GROWTH","FY 2018","FY 2018","Currency=INR","Period=FY","BEST_FPERIOD_OVERRIDE=FY","FILING_STATUS=OR","EQY_CONSOLIDATED=Y","FA_ADJUSTED=GAAP","Sort=A","Dates=H","DateFormat=P","Fill=—","Direction=H","UseDPDF=Y")</f>
        <v>#NAME?</v>
      </c>
      <c r="W498" s="2" t="e">
        <f ca="1">_xll.BDH($C$478,"EARN_FOR_COM_GROWTH","FY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498" s="2" t="e">
        <f ca="1">_xll.BDH($C$478,"DILUTED_EPS_AFT_XO_ITEMS_GROWTH","FY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498" s="2" t="e">
        <f ca="1">_xll.BDH($C$478,"DIVIDEND_PER_SHARE_1_YEAR_GROWTH","FY 2018","FY 2018","Currency=INR","Period=FY","BEST_FPERIOD_OVERRIDE=FY","FILING_STATUS=OR","EQY_CONSOLIDATED=Y","Sort=A","Dates=H","DateFormat=P","Fill=—","Direction=H","UseDPDF=Y")</f>
        <v>#NAME?</v>
      </c>
      <c r="Z498" s="2" t="e">
        <f ca="1">_xll.BDH($C$478,"ACCOUNTS_RECEIVABLE_GROWTH","FY 2018","FY 2018","Currency=INR","Period=FY","BEST_FPERIOD_OVERRIDE=FY","FILING_STATUS=OR","EQY_CONSOLIDATED=Y","Sort=A","Dates=H","DateFormat=P","Fill=—","Direction=H","UseDPDF=Y")</f>
        <v>#NAME?</v>
      </c>
      <c r="AA498" s="2" t="e">
        <f ca="1">_xll.BDH($C$478,"INVENTORY_GROWTH","FY 2018","FY 2018","Currency=INR","Period=FY","BEST_FPERIOD_OVERRIDE=FY","FILING_STATUS=OR","EQY_CONSOLIDATED=Y","Sort=A","Dates=H","DateFormat=P","Fill=—","Direction=H","UseDPDF=Y")</f>
        <v>#NAME?</v>
      </c>
      <c r="AB498" s="2" t="e">
        <f ca="1">_xll.BDH($C$478,"NET_FIXED_ASSETS_1_YEAR_GROWTH","FY 2018","FY 2018","Currency=INR","Period=FY","BEST_FPERIOD_OVERRIDE=FY","FILING_STATUS=OR","EQY_CONSOLIDATED=Y","Sort=A","Dates=H","DateFormat=P","Fill=—","Direction=H","UseDPDF=Y")</f>
        <v>#NAME?</v>
      </c>
      <c r="AC498" s="2" t="e">
        <f ca="1">_xll.BDH($C$478,"ASSET_GROWTH","FY 2018","FY 2018","Currency=INR","Period=FY","BEST_FPERIOD_OVERRIDE=FY","FILING_STATUS=OR","EQY_CONSOLIDATED=Y","Sort=A","Dates=H","DateFormat=P","Fill=—","Direction=H","UseDPDF=Y")</f>
        <v>#NAME?</v>
      </c>
      <c r="AD498" s="2" t="e">
        <f ca="1">_xll.BDH($C$478,"MODIFIED_WORK_CAP_GROWTH","FY 2018","FY 2018","Currency=INR","Period=FY","BEST_FPERIOD_OVERRIDE=FY","FILING_STATUS=OR","EQY_CONSOLIDATED=Y","Sort=A","Dates=H","DateFormat=P","Fill=—","Direction=H","UseDPDF=Y")</f>
        <v>#NAME?</v>
      </c>
      <c r="AE498" s="2" t="e">
        <f ca="1">_xll.BDH($C$478,"WORK_CAP_GROWTH","FY 2018","FY 2018","Currency=INR","Period=FY","BEST_FPERIOD_OVERRIDE=FY","FILING_STATUS=OR","EQY_CONSOLIDATED=Y","Sort=A","Dates=H","DateFormat=P","Fill=—","Direction=H","UseDPDF=Y")</f>
        <v>#NAME?</v>
      </c>
      <c r="AF498" s="2" t="e">
        <f ca="1">_xll.BDH($C$478,"ACCOUNTS_PAYABLE_GROWTH_1YR","FY 2018","FY 2018","Currency=INR","Period=FY","BEST_FPERIOD_OVERRIDE=FY","FILING_STATUS=OR","EQY_CONSOLIDATED=Y","Sort=A","Dates=H","DateFormat=P","Fill=—","Direction=H","UseDPDF=Y")</f>
        <v>#NAME?</v>
      </c>
      <c r="AG498" s="2" t="e">
        <f ca="1">_xll.BDH($C$478,"SHORT_TERM_DEBT_1_YEAR_GROWTH","FY 2018","FY 2018","Currency=INR","Period=FY","BEST_FPERIOD_OVERRIDE=FY","FILING_STATUS=OR","EQY_CONSOLIDATED=Y","Sort=A","Dates=H","DateFormat=P","Fill=—","Direction=H","UseDPDF=Y")</f>
        <v>#NAME?</v>
      </c>
      <c r="AH498" s="2" t="e">
        <f ca="1">_xll.BDH($C$478,"TOTAL_DEBT_1_YEAR_GROWTH","FY 2018","FY 2018","Currency=INR","Period=FY","BEST_FPERIOD_OVERRIDE=FY","FILING_STATUS=OR","EQY_CONSOLIDATED=Y","Sort=A","Dates=H","DateFormat=P","Fill=—","Direction=H","UseDPDF=Y")</f>
        <v>#NAME?</v>
      </c>
      <c r="AI498" s="2" t="e">
        <f ca="1">_xll.BDH($C$478,"TOTAL_EQUITY_1_YEAR_GROWTH","FY 2018","FY 2018","Currency=INR","Period=FY","BEST_FPERIOD_OVERRIDE=FY","FILING_STATUS=OR","EQY_CONSOLIDATED=Y","Sort=A","Dates=H","DateFormat=P","Fill=—","Direction=H","UseDPDF=Y")</f>
        <v>#NAME?</v>
      </c>
      <c r="AJ498" s="2" t="e">
        <f ca="1">_xll.BDH($C$478,"GROWTH_IN_CAP","FY 2018","FY 2018","Currency=INR","Period=FY","BEST_FPERIOD_OVERRIDE=FY","FILING_STATUS=OR","EQY_CONSOLIDATED=Y","Sort=A","Dates=H","DateFormat=P","Fill=—","Direction=H","UseDPDF=Y")</f>
        <v>#NAME?</v>
      </c>
      <c r="AK498" s="2" t="e">
        <f ca="1">_xll.BDH($C$478,"BVPS_GROWTH","FY 2018","FY 2018","Currency=INR","Period=FY","BEST_FPERIOD_OVERRIDE=FY","FILING_STATUS=OR","EQY_CONSOLIDATED=Y","Sort=A","Dates=H","DateFormat=P","Fill=—","Direction=H","UseDPDF=Y")</f>
        <v>#NAME?</v>
      </c>
      <c r="AL498" s="2" t="e">
        <f ca="1">_xll.BDH($C$478,"CASH_FLOW_GROWTH","FY 2018","FY 2018","Currency=INR","Period=FY","BEST_FPERIOD_OVERRIDE=FY","FILING_STATUS=OR","EQY_CONSOLIDATED=Y","Sort=A","Dates=H","DateFormat=P","Fill=—","Direction=H","UseDPDF=Y")</f>
        <v>#NAME?</v>
      </c>
      <c r="AM498" s="2" t="e">
        <f ca="1">_xll.BDH($C$478,"GEO_GROW_NET_SALES","FY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498" s="2" t="e">
        <f ca="1">_xll.BDH($C$478,"GEO_GROW_EBITDA","FY 2018","FY 2018","Currency=INR","Period=FY","BEST_FPERIOD_OVERRIDE=FY","FILING_STATUS=OR","EQY_CONSOLIDATED=Y","FA_ADJUSTED=GAAP","Sort=A","Dates=H","DateFormat=P","Fill=—","Direction=H","UseDPDF=Y")</f>
        <v>#NAME?</v>
      </c>
      <c r="AO498" s="2" t="e">
        <f ca="1">_xll.BDH($C$478,"GEO_GROW_OPER_INC","FY 2018","FY 2018","Currency=INR","Period=FY","BEST_FPERIOD_OVERRIDE=FY","FILING_STATUS=OR","EQY_CONSOLIDATED=Y","FA_ADJUSTED=GAAP","Sort=A","Dates=H","DateFormat=P","Fill=—","Direction=H","UseDPDF=Y")</f>
        <v>#NAME?</v>
      </c>
      <c r="AP498" s="2" t="e">
        <f ca="1">_xll.BDH($C$478,"NET_INCOME_TO_COMMON_5_YR_GROWTH","FY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498" s="2" t="e">
        <f ca="1">_xll.BDH($C$478,"5Y_GEO_GROWTH_DILUTED_EPS","FY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498" s="2" t="e">
        <f ca="1">_xll.BDH($C$478,"GEO_GROW_DVD_PER_SH","FY 2018","FY 2018","Currency=INR","Period=FY","BEST_FPERIOD_OVERRIDE=FY","FILING_STATUS=OR","EQY_CONSOLIDATED=Y","Sort=A","Dates=H","DateFormat=P","Fill=—","Direction=H","UseDPDF=Y")</f>
        <v>#NAME?</v>
      </c>
      <c r="AS498" s="2" t="e">
        <f ca="1">_xll.BDH($C$478,"ACCOUNTS_RECEIVABLE_5_YR_GROWTH","FY 2018","FY 2018","Currency=INR","Period=FY","BEST_FPERIOD_OVERRIDE=FY","FILING_STATUS=OR","EQY_CONSOLIDATED=Y","Sort=A","Dates=H","DateFormat=P","Fill=—","Direction=H","UseDPDF=Y")</f>
        <v>#NAME?</v>
      </c>
      <c r="AT498" s="2" t="e">
        <f ca="1">_xll.BDH($C$478,"INVENTORY_5_YEAR_GROWTH","FY 2018","FY 2018","Currency=INR","Period=FY","BEST_FPERIOD_OVERRIDE=FY","FILING_STATUS=OR","EQY_CONSOLIDATED=Y","Sort=A","Dates=H","DateFormat=P","Fill=—","Direction=H","UseDPDF=Y")</f>
        <v>#NAME?</v>
      </c>
      <c r="AU498" s="2" t="e">
        <f ca="1">_xll.BDH($C$478,"NET_FIXED_ASSETS_5_YEAR_GROWTH","FY 2018","FY 2018","Currency=INR","Period=FY","BEST_FPERIOD_OVERRIDE=FY","FILING_STATUS=OR","EQY_CONSOLIDATED=Y","Sort=A","Dates=H","DateFormat=P","Fill=—","Direction=H","UseDPDF=Y")</f>
        <v>#NAME?</v>
      </c>
      <c r="AV498" s="2" t="e">
        <f ca="1">_xll.BDH($C$478,"GEO_GROW_TOT_ASSET","FY 2018","FY 2018","Currency=INR","Period=FY","BEST_FPERIOD_OVERRIDE=FY","FILING_STATUS=OR","EQY_CONSOLIDATED=Y","Sort=A","Dates=H","DateFormat=P","Fill=—","Direction=H","UseDPDF=Y")</f>
        <v>#NAME?</v>
      </c>
      <c r="AW498" s="2" t="e">
        <f ca="1">_xll.BDH($C$478,"MODIFIED_WORKING_CPTL_5YR_GRWTH","FY 2018","FY 2018","Currency=INR","Period=FY","BEST_FPERIOD_OVERRIDE=FY","FILING_STATUS=OR","EQY_CONSOLIDATED=Y","Sort=A","Dates=H","DateFormat=P","Fill=—","Direction=H","UseDPDF=Y")</f>
        <v>#NAME?</v>
      </c>
      <c r="AX498" s="2" t="e">
        <f ca="1">_xll.BDH($C$478,"WORKING_CAPITAL_5_YEAR_GROWTH","FY 2018","FY 2018","Currency=INR","Period=FY","BEST_FPERIOD_OVERRIDE=FY","FILING_STATUS=OR","EQY_CONSOLIDATED=Y","Sort=A","Dates=H","DateFormat=P","Fill=—","Direction=H","UseDPDF=Y")</f>
        <v>#NAME?</v>
      </c>
      <c r="AY498" s="2" t="e">
        <f ca="1">_xll.BDH($C$478,"ACCOUNTS_PAYABLE_5_YEAR_GROWTH","FY 2018","FY 2018","Currency=INR","Period=FY","BEST_FPERIOD_OVERRIDE=FY","FILING_STATUS=OR","EQY_CONSOLIDATED=Y","Sort=A","Dates=H","DateFormat=P","Fill=—","Direction=H","UseDPDF=Y")</f>
        <v>#NAME?</v>
      </c>
      <c r="AZ498" s="2" t="e">
        <f ca="1">_xll.BDH($C$478,"SHORT_TERM_DEBT_5_YEAR_GROWTH","FY 2018","FY 2018","Currency=INR","Period=FY","BEST_FPERIOD_OVERRIDE=FY","FILING_STATUS=OR","EQY_CONSOLIDATED=Y","Sort=A","Dates=H","DateFormat=P","Fill=—","Direction=H","UseDPDF=Y")</f>
        <v>#NAME?</v>
      </c>
      <c r="BA498" s="2" t="e">
        <f ca="1">_xll.BDH($C$478,"TOTAL_DEBT_5_YEAR_GROWTH","FY 2018","FY 2018","Currency=INR","Period=FY","BEST_FPERIOD_OVERRIDE=FY","FILING_STATUS=OR","EQY_CONSOLIDATED=Y","Sort=A","Dates=H","DateFormat=P","Fill=—","Direction=H","UseDPDF=Y")</f>
        <v>#NAME?</v>
      </c>
      <c r="BB498" s="2" t="e">
        <f ca="1">_xll.BDH($C$478,"GEO_GROW_TOT_SHRHLDR_EQY","FY 2018","FY 2018","Currency=INR","Period=FY","BEST_FPERIOD_OVERRIDE=FY","FILING_STATUS=OR","EQY_CONSOLIDATED=Y","Sort=A","Dates=H","DateFormat=P","Fill=—","Direction=H","UseDPDF=Y")</f>
        <v>#NAME?</v>
      </c>
      <c r="BC498" s="2" t="e">
        <f ca="1">_xll.BDH($C$478,"TOTAL_CAPITAL_5_YEAR_GROWTH","FY 2018","FY 2018","Currency=INR","Period=FY","BEST_FPERIOD_OVERRIDE=FY","FILING_STATUS=OR","EQY_CONSOLIDATED=Y","Sort=A","Dates=H","DateFormat=P","Fill=—","Direction=H","UseDPDF=Y")</f>
        <v>#NAME?</v>
      </c>
      <c r="BD498" s="2" t="e">
        <f ca="1">_xll.BDH($C$478,"GEO_GROW_BOOK_VAL","FY 2018","FY 2018","Currency=INR","Period=FY","BEST_FPERIOD_OVERRIDE=FY","FILING_STATUS=OR","EQY_CONSOLIDATED=Y","Sort=A","Dates=H","DateFormat=P","Fill=—","Direction=H","UseDPDF=Y")</f>
        <v>#NAME?</v>
      </c>
      <c r="BE498" s="2" t="e">
        <f ca="1">_xll.BDH($C$478,"GEO_GROW_CASH_OPER_ACT","FY 2018","FY 2018","Currency=INR","Period=FY","BEST_FPERIOD_OVERRIDE=FY","FILING_STATUS=OR","EQY_CONSOLIDATED=Y","Sort=A","Dates=H","DateFormat=P","Fill=—","Direction=H","UseDPDF=Y")</f>
        <v>#NAME?</v>
      </c>
      <c r="BF498" s="2" t="e">
        <f ca="1">_xll.BDH($C$478,"REVENUE_SEQUENTIAL_GROWTH","FY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498" s="2" t="e">
        <f ca="1">_xll.BDH($C$478,"EBITDA_SEQUENTIAL_GROWTH","FY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498" s="2" t="e">
        <f ca="1">_xll.BDH($C$478,"OPERATING_INCOME_SEQ_GROWTH","FY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498" s="2" t="e">
        <f ca="1">_xll.BDH($C$478,"NET_INCOME_TO_COMMON_SEQ_GROWTH","FY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498" s="2" t="e">
        <f ca="1">_xll.BDH($C$478,"EPS_DILUTED_SEQUENTIAL_GROWTH","FY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498" s="2" t="e">
        <f ca="1">_xll.BDH($C$478,"DPS_SEQUENTIAL_GROWTH","FY 2018","FY 2018","Currency=INR","Period=FY","BEST_FPERIOD_OVERRIDE=FY","FILING_STATUS=OR","EQY_CONSOLIDATED=Y","Sort=A","Dates=H","DateFormat=P","Fill=—","Direction=H","UseDPDF=Y")</f>
        <v>#NAME?</v>
      </c>
      <c r="BL498" s="2" t="e">
        <f ca="1">_xll.BDH($C$478,"ACCOUNTS_RECEIVABLE_SEQ_GROWTH","FY 2018","FY 2018","Currency=INR","Period=FY","BEST_FPERIOD_OVERRIDE=FY","FILING_STATUS=OR","EQY_CONSOLIDATED=Y","Sort=A","Dates=H","DateFormat=P","Fill=—","Direction=H","UseDPDF=Y")</f>
        <v>#NAME?</v>
      </c>
      <c r="BM498" s="2" t="e">
        <f ca="1">_xll.BDH($C$478,"INVENTORY_SEQUENTIAL_GROWTH","FY 2018","FY 2018","Currency=INR","Period=FY","BEST_FPERIOD_OVERRIDE=FY","FILING_STATUS=OR","EQY_CONSOLIDATED=Y","Sort=A","Dates=H","DateFormat=P","Fill=—","Direction=H","UseDPDF=Y")</f>
        <v>#NAME?</v>
      </c>
      <c r="BN498" s="2" t="e">
        <f ca="1">_xll.BDH($C$478,"FIXED_ASSETS_SEQUENTIAL_GROWTH","FY 2018","FY 2018","Currency=INR","Period=FY","BEST_FPERIOD_OVERRIDE=FY","FILING_STATUS=OR","EQY_CONSOLIDATED=Y","Sort=A","Dates=H","DateFormat=P","Fill=—","Direction=H","UseDPDF=Y")</f>
        <v>#NAME?</v>
      </c>
      <c r="BO498" s="2" t="e">
        <f ca="1">_xll.BDH($C$478,"TOTAL_ASSETS_SEQUENTIAL_GROWTH","FY 2018","FY 2018","Currency=INR","Period=FY","BEST_FPERIOD_OVERRIDE=FY","FILING_STATUS=OR","EQY_CONSOLIDATED=Y","Sort=A","Dates=H","DateFormat=P","Fill=—","Direction=H","UseDPDF=Y")</f>
        <v>#NAME?</v>
      </c>
      <c r="BP498" s="2" t="e">
        <f ca="1">_xll.BDH($C$478,"MODIFIED_WORKING_CPTL_SEQ_GRWTH","FY 2018","FY 2018","Currency=INR","Period=FY","BEST_FPERIOD_OVERRIDE=FY","FILING_STATUS=OR","EQY_CONSOLIDATED=Y","Sort=A","Dates=H","DateFormat=P","Fill=—","Direction=H","UseDPDF=Y")</f>
        <v>#NAME?</v>
      </c>
      <c r="BQ498" s="2" t="e">
        <f ca="1">_xll.BDH($C$478,"WORKING_CAPITAL_SEQ_GROWTH","FY 2018","FY 2018","Currency=INR","Period=FY","BEST_FPERIOD_OVERRIDE=FY","FILING_STATUS=OR","EQY_CONSOLIDATED=Y","Sort=A","Dates=H","DateFormat=P","Fill=—","Direction=H","UseDPDF=Y")</f>
        <v>#NAME?</v>
      </c>
      <c r="BR498" s="2" t="e">
        <f ca="1">_xll.BDH($C$478,"ACCOUNTS_PAYABLE_SEQ_GROWTH","FY 2018","FY 2018","Currency=INR","Period=FY","BEST_FPERIOD_OVERRIDE=FY","FILING_STATUS=OR","EQY_CONSOLIDATED=Y","Sort=A","Dates=H","DateFormat=P","Fill=—","Direction=H","UseDPDF=Y")</f>
        <v>#NAME?</v>
      </c>
      <c r="BS498" s="2" t="e">
        <f ca="1">_xll.BDH($C$478,"ST_DEBT_SEQUENTIAL_GROWTH","FY 2018","FY 2018","Currency=INR","Period=FY","BEST_FPERIOD_OVERRIDE=FY","FILING_STATUS=OR","EQY_CONSOLIDATED=Y","Sort=A","Dates=H","DateFormat=P","Fill=—","Direction=H","UseDPDF=Y")</f>
        <v>#NAME?</v>
      </c>
      <c r="BT498" s="2" t="e">
        <f ca="1">_xll.BDH($C$478,"TOTAL_DEBT_SEQUENTIAL_GROWTH","FY 2018","FY 2018","Currency=INR","Period=FY","BEST_FPERIOD_OVERRIDE=FY","FILING_STATUS=OR","EQY_CONSOLIDATED=Y","Sort=A","Dates=H","DateFormat=P","Fill=—","Direction=H","UseDPDF=Y")</f>
        <v>#NAME?</v>
      </c>
      <c r="BU498" s="2" t="e">
        <f ca="1">_xll.BDH($C$478,"TOTAL_EQUITY_SEQUENTIAL_GROWTH","FY 2018","FY 2018","Currency=INR","Period=FY","BEST_FPERIOD_OVERRIDE=FY","FILING_STATUS=OR","EQY_CONSOLIDATED=Y","Sort=A","Dates=H","DateFormat=P","Fill=—","Direction=H","UseDPDF=Y")</f>
        <v>#NAME?</v>
      </c>
      <c r="BV498" s="2" t="e">
        <f ca="1">_xll.BDH($C$478,"TOTAL_CAPITAL_SEQUENTIAL_GROWTH","FY 2018","FY 2018","Currency=INR","Period=FY","BEST_FPERIOD_OVERRIDE=FY","FILING_STATUS=OR","EQY_CONSOLIDATED=Y","Sort=A","Dates=H","DateFormat=P","Fill=—","Direction=H","UseDPDF=Y")</f>
        <v>#NAME?</v>
      </c>
      <c r="BW498" s="2" t="e">
        <f ca="1">_xll.BDH($C$478,"BPS_SEQUENTIAL_GROWTH","FY 2018","FY 2018","Currency=INR","Period=FY","BEST_FPERIOD_OVERRIDE=FY","FILING_STATUS=OR","EQY_CONSOLIDATED=Y","Sort=A","Dates=H","DateFormat=P","Fill=—","Direction=H","UseDPDF=Y")</f>
        <v>#NAME?</v>
      </c>
      <c r="BX498" s="2" t="e">
        <f ca="1">_xll.BDH($C$478,"CFO_SEQUENTIAL_GROWTH","FY 2018","FY 2018","Currency=INR","Period=FY","BEST_FPERIOD_OVERRIDE=FY","FILING_STATUS=OR","EQY_CONSOLIDATED=Y","Sort=A","Dates=H","DateFormat=P","Fill=—","Direction=H","UseDPDF=Y")</f>
        <v>#NAME?</v>
      </c>
      <c r="BY498" s="3" t="e">
        <f ca="1">_xll.BDH($C$478,"SHORT_AND_LONG_TERM_DEBT","FY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498" s="3" t="e">
        <f ca="1">_xll.BDH($C$478,"BS_ST_BORROW","FY 2018","FY 2018","Currency=INR","Period=FY","BEST_FPERIOD_OVERRIDE=FY","FILING_STATUS=OR","EQY_CONSOLIDATED=Y","SCALING_FORMAT=MLN","Sort=A","Dates=H","DateFormat=P","Fill=—","Direction=H","UseDPDF=Y")</f>
        <v>#NAME?</v>
      </c>
      <c r="CA498" s="3" t="e">
        <f ca="1">_xll.BDH($C$478,"BS_LT_BORROW","FY 2018","FY 2018","Currency=INR","Period=FY","BEST_FPERIOD_OVERRIDE=FY","FILING_STATUS=OR","EQY_CONSOLIDATED=Y","SCALING_FORMAT=MLN","Sort=A","Dates=H","DateFormat=P","Fill=—","Direction=H","UseDPDF=Y")</f>
        <v>#NAME?</v>
      </c>
      <c r="CB498" s="2" t="e">
        <f ca="1">_xll.BDH($C$478,"TOT_DEBT_TO_EBITDA","FY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498" s="2" t="e">
        <f ca="1">_xll.BDH($C$478,"NET_DEBT_TO_EBITDA","FY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498" s="2" t="e">
        <f ca="1">_xll.BDH($C$478,"TOTAL_DEBT_TO_EBIT","FY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498" s="2" t="e">
        <f ca="1">_xll.BDH($C$478,"NET_DEBT_TO_EBIT","FY 2018","FY 2018","Currency=INR","Period=FY","BEST_FPERIOD_OVERRIDE=FY","FILING_STATUS=OR","EQY_CONSOLIDATED=Y","FA_ADJUSTED=GAAP","Sort=A","Dates=H","DateFormat=P","Fill=—","Direction=H","UseDPDF=Y")</f>
        <v>#NAME?</v>
      </c>
      <c r="CF498" s="2" t="e">
        <f ca="1">_xll.BDH($C$478,"EBITDA_TO_INTEREST_EXPN","FY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498" s="2" t="e">
        <f ca="1">_xll.BDH($C$478,"COM_EQY_TO_TOT_ASSET","FY 2018","FY 2018","Currency=INR","Period=FY","BEST_FPERIOD_OVERRIDE=FY","FILING_STATUS=OR","EQY_CONSOLIDATED=Y","Sort=A","Dates=H","DateFormat=P","Fill=—","Direction=H","UseDPDF=Y")</f>
        <v>#NAME?</v>
      </c>
      <c r="CH498" s="2" t="e">
        <f ca="1">_xll.BDH($C$478,"LT_DEBT_TO_TOT_EQY","FY 2018","FY 2018","Currency=INR","Period=FY","BEST_FPERIOD_OVERRIDE=FY","FILING_STATUS=OR","EQY_CONSOLIDATED=Y","Sort=A","Dates=H","DateFormat=P","Fill=—","Direction=H","UseDPDF=Y")</f>
        <v>#NAME?</v>
      </c>
      <c r="CI498" s="2" t="e">
        <f ca="1">_xll.BDH($C$478,"LT_DEBT_TO_TOT_CAP","FY 2018","FY 2018","Currency=INR","Period=FY","BEST_FPERIOD_OVERRIDE=FY","FILING_STATUS=OR","EQY_CONSOLIDATED=Y","Sort=A","Dates=H","DateFormat=P","Fill=—","Direction=H","UseDPDF=Y")</f>
        <v>#NAME?</v>
      </c>
      <c r="CJ498" s="2" t="e">
        <f ca="1">_xll.BDH($C$478,"LT_DEBT_TO_TOT_ASSET","FY 2018","FY 2018","Currency=INR","Period=FY","BEST_FPERIOD_OVERRIDE=FY","FILING_STATUS=OR","EQY_CONSOLIDATED=Y","Sort=A","Dates=H","DateFormat=P","Fill=—","Direction=H","UseDPDF=Y")</f>
        <v>#NAME?</v>
      </c>
      <c r="CK498" s="2" t="e">
        <f ca="1">_xll.BDH($C$478,"TOT_DEBT_TO_TOT_EQY","FY 2018","FY 2018","Currency=INR","Period=FY","BEST_FPERIOD_OVERRIDE=FY","FILING_STATUS=OR","EQY_CONSOLIDATED=Y","Sort=A","Dates=H","DateFormat=P","Fill=—","Direction=H","UseDPDF=Y")</f>
        <v>#NAME?</v>
      </c>
      <c r="CL498" s="2" t="e">
        <f ca="1">_xll.BDH($C$478,"TOT_DEBT_TO_TOT_CAP","FY 2018","FY 2018","Currency=INR","Period=FY","BEST_FPERIOD_OVERRIDE=FY","FILING_STATUS=OR","EQY_CONSOLIDATED=Y","Sort=A","Dates=H","DateFormat=P","Fill=—","Direction=H","UseDPDF=Y")</f>
        <v>#NAME?</v>
      </c>
      <c r="CM498" s="2" t="e">
        <f ca="1">_xll.BDH($C$478,"TOT_DEBT_TO_TOT_ASSET","FY 2018","FY 2018","Currency=INR","Period=FY","BEST_FPERIOD_OVERRIDE=FY","FILING_STATUS=OR","EQY_CONSOLIDATED=Y","Sort=A","Dates=H","DateFormat=P","Fill=—","Direction=H","UseDPDF=Y")</f>
        <v>#NAME?</v>
      </c>
      <c r="CN498" s="2" t="e">
        <f ca="1">_xll.BDH($C$478,"NET_DEBT_TO_SHRHLDR_EQTY","FY 2018","FY 2018","Currency=INR","Period=FY","BEST_FPERIOD_OVERRIDE=FY","FILING_STATUS=OR","EQY_CONSOLIDATED=Y","Sort=A","Dates=H","DateFormat=P","Fill=—","Direction=H","UseDPDF=Y")</f>
        <v>#NAME?</v>
      </c>
      <c r="CO498" s="2" t="e">
        <f ca="1">_xll.BDH($C$478,"NET_DEBT_%_CAPITAL","FY 2018","FY 2018","Currency=INR","Period=FY","BEST_FPERIOD_OVERRIDE=FY","FILING_STATUS=OR","EQY_CONSOLIDATED=Y","Sort=A","Dates=H","DateFormat=P","Fill=—","Direction=H","UseDPDF=Y")</f>
        <v>#NAME?</v>
      </c>
      <c r="CP498" s="3" t="e">
        <f ca="1">_xll.BDH($C$478,"EBITDA","FY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498" s="3" t="e">
        <f ca="1">_xll.BDH($C$478,"EBITDA_AFTER_CAPEX","FY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498" s="3" t="e">
        <f ca="1">_xll.BDH($C$478,"IS_OPER_INC","FY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498" s="2" t="e">
        <f ca="1">_xll.BDH($C$478,"CASH_RATIO","FY 2018","FY 2018","Currency=INR","Period=FY","BEST_FPERIOD_OVERRIDE=FY","FILING_STATUS=OR","EQY_CONSOLIDATED=Y","Sort=A","Dates=H","DateFormat=P","Fill=—","Direction=H","UseDPDF=Y")</f>
        <v>#NAME?</v>
      </c>
      <c r="CT498" s="2" t="e">
        <f ca="1">_xll.BDH($C$478,"CUR_RATIO","FY 2018","FY 2018","Currency=INR","Period=FY","BEST_FPERIOD_OVERRIDE=FY","FILING_STATUS=OR","EQY_CONSOLIDATED=Y","Sort=A","Dates=H","DateFormat=P","Fill=—","Direction=H","UseDPDF=Y")</f>
        <v>#NAME?</v>
      </c>
      <c r="CU498" s="2" t="e">
        <f ca="1">_xll.BDH($C$478,"QUICK_RATIO","FY 2018","FY 2018","Currency=INR","Period=FY","BEST_FPERIOD_OVERRIDE=FY","FILING_STATUS=OR","EQY_CONSOLIDATED=Y","Sort=A","Dates=H","DateFormat=P","Fill=—","Direction=H","UseDPDF=Y")</f>
        <v>#NAME?</v>
      </c>
      <c r="CV498" s="2" t="e">
        <f ca="1">_xll.BDH($C$478,"ALTMAN_Z_SCORE","FY 2018","FY 2018","Currency=INR","Period=FY","BEST_FPERIOD_OVERRIDE=FY","FILING_STATUS=OR","EQY_CONSOLIDATED=Y","Sort=A","Dates=H","DateFormat=P","Fill=—","Direction=H","UseDPDF=Y")</f>
        <v>#NAME?</v>
      </c>
      <c r="CW498" s="4" t="e">
        <f ca="1">_xll.BDH($C$478,"ACCT_RCV_TURN","FY 2018","FY 2018","Currency=INR","Period=FY","BEST_FPERIOD_OVERRIDE=FY","FILING_STATUS=OR","EQY_CONSOLIDATED=Y","FA_ADJUSTED=GAAP","Sort=A","Dates=H","DateFormat=P","Fill=—","Direction=H","UseDPDF=Y")</f>
        <v>#NAME?</v>
      </c>
      <c r="CX498" s="2" t="e">
        <f ca="1">_xll.BDH($C$478,"ACCT_RCV_DAYS","FY 2018","FY 2018","Currency=INR","Period=FY","BEST_FPERIOD_OVERRIDE=FY","FILING_STATUS=OR","EQY_CONSOLIDATED=Y","FA_ADJUSTED=GAAP","Sort=A","Dates=H","DateFormat=P","Fill=—","Direction=H","UseDPDF=Y")</f>
        <v>#NAME?</v>
      </c>
      <c r="CY498" s="4" t="e">
        <f ca="1">_xll.BDH($C$478,"INVENT_TURN","FY 2018","FY 2018","Currency=INR","Period=FY","BEST_FPERIOD_OVERRIDE=FY","FILING_STATUS=OR","EQY_CONSOLIDATED=Y","FA_ADJUSTED=GAAP","Sort=A","Dates=H","DateFormat=P","Fill=—","Direction=H","UseDPDF=Y")</f>
        <v>#NAME?</v>
      </c>
      <c r="CZ498" s="2" t="e">
        <f ca="1">_xll.BDH($C$478,"INVENT_DAYS","FY 2018","FY 2018","Currency=INR","Period=FY","BEST_FPERIOD_OVERRIDE=FY","FILING_STATUS=OR","EQY_CONSOLIDATED=Y","FA_ADJUSTED=GAAP","Sort=A","Dates=H","DateFormat=P","Fill=—","Direction=H","UseDPDF=Y")</f>
        <v>#NAME?</v>
      </c>
      <c r="DA498" s="4" t="e">
        <f ca="1">_xll.BDH($C$478,"ACCOUNTS_PAYABLE_TURNOVER","FY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498" s="2" t="e">
        <f ca="1">_xll.BDH($C$478,"ACCOUNTS_PAYABLE_TURNOVER_DAYS","FY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498" s="4" t="e">
        <f ca="1">_xll.BDH($C$478,"CASH_CONVERSION_CYCLE","FY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498" s="4" t="e">
        <f ca="1">_xll.BDH($C$478,"INV_TO_CASH_DAYS","FY 2018","FY 2018","Currency=INR","Period=FY","BEST_FPERIOD_OVERRIDE=FY","FILING_STATUS=OR","EQY_CONSOLIDATED=Y","FA_ADJUSTED=GAAP","Sort=A","Dates=H","DateFormat=P","Fill=—","Direction=H","UseDPDF=Y")</f>
        <v>#NAME?</v>
      </c>
      <c r="DE498" s="5" t="e">
        <f ca="1">_xll.BDH($C$478,"BS_INVENTORIES","FY 2018","FY 2018","Currency=INR","Period=FY","BEST_FPERIOD_OVERRIDE=FY","FILING_STATUS=OR","EQY_CONSOLIDATED=Y","SCALING_FORMAT=MLN","Sort=A","Dates=H","DateFormat=P","Fill=—","Direction=H","UseDPDF=Y")</f>
        <v>#NAME?</v>
      </c>
      <c r="DF498" s="3" t="e">
        <f ca="1">_xll.BDH($C$478,"INVTRY_RAW_MATERIALS","FY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498" s="3" t="e">
        <f ca="1">_xll.BDH($C$478,"INVTRY_IN_PROGRESS","FY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498" s="3" t="e">
        <f ca="1">_xll.BDH($C$478,"INVTRY_FINISHED_GOODS","FY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498" s="3" t="e">
        <f ca="1">_xll.BDH($C$478,"BS_OTHER_INV","FY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499" spans="1:113" x14ac:dyDescent="0.3">
      <c r="A499" s="6"/>
      <c r="B499" s="6"/>
      <c r="C499" s="6"/>
      <c r="D499" s="6"/>
      <c r="E499" t="s">
        <v>78</v>
      </c>
      <c r="F499" t="e">
        <f ca="1">_xll.BDH($C$478,"RETURN_COM_EQY","FQ1 2018","FQ1 2018","Currency=INR","Period=FQ","BEST_FPERIOD_OVERRIDE=FQ","FILING_STATUS=OR","EQY_CONSOLIDATED=Y","FA_ADJUSTED=GAAP","Sort=A","Dates=H","DateFormat=P","Fill=—","Direction=H","UseDPDF=Y")</f>
        <v>#NAME?</v>
      </c>
      <c r="G499" t="e">
        <f ca="1">_xll.BDH($C$478,"RETURN_ON_ASSET","FQ1 2018","FQ1 2018","Currency=INR","Period=FQ","BEST_FPERIOD_OVERRIDE=FQ","FILING_STATUS=OR","EQY_CONSOLIDATED=Y","FA_ADJUSTED=GAAP","Sort=A","Dates=H","DateFormat=P","Fill=—","Direction=H","UseDPDF=Y")</f>
        <v>#NAME?</v>
      </c>
      <c r="H499" t="e">
        <f ca="1">_xll.BDH($C$478,"RETURN_ON_CAP","FQ1 2018","FQ1 2018","Currency=INR","Period=FQ","BEST_FPERIOD_OVERRIDE=FQ","FILING_STATUS=OR","EQY_CONSOLIDATED=Y","FA_ADJUSTED=GAAP","Sort=A","Dates=H","DateFormat=P","Fill=—","Direction=H","UseDPDF=Y")</f>
        <v>#NAME?</v>
      </c>
      <c r="I499" t="e">
        <f ca="1">_xll.BDH($C$478,"RETURN_ON_INV_CAPITAL","FQ1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499" t="e">
        <f ca="1">_xll.BDH($C$478,"EBITDA_TO_REVENUE","FQ1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499" t="e">
        <f ca="1">_xll.BDH($C$478,"OPER_MARGIN","FQ1 2018","FQ1 2018","Currency=INR","Period=FQ","BEST_FPERIOD_OVERRIDE=FQ","FILING_STATUS=OR","EQY_CONSOLIDATED=Y","FA_ADJUSTED=GAAP","Sort=A","Dates=H","DateFormat=P","Fill=—","Direction=H","UseDPDF=Y")</f>
        <v>#NAME?</v>
      </c>
      <c r="L499" t="e">
        <f ca="1">_xll.BDH($C$478,"INCREMENTAL_OPERATING_MARGIN","FQ1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499" t="e">
        <f ca="1">_xll.BDH($C$478,"PRETAX_INC_TO_NET_SALES","FQ1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499" t="e">
        <f ca="1">_xll.BDH($C$478,"INC_BEF_XO_ITEMS_TO_NET_SALES","FQ1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499" t="e">
        <f ca="1">_xll.BDH($C$478,"PROF_MARGIN","FQ1 2018","FQ1 2018","Currency=INR","Period=FQ","BEST_FPERIOD_OVERRIDE=FQ","FILING_STATUS=OR","EQY_CONSOLIDATED=Y","FA_ADJUSTED=GAAP","Sort=A","Dates=H","DateFormat=P","Fill=—","Direction=H","UseDPDF=Y")</f>
        <v>#NAME?</v>
      </c>
      <c r="P499" t="e">
        <f ca="1">_xll.BDH($C$478,"NET_INCOME_TO_COMMON_MARGIN","FQ1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499" t="e">
        <f ca="1">_xll.BDH($C$478,"EFF_TAX_RATE","FQ1 2018","FQ1 2018","Currency=INR","Period=FQ","BEST_FPERIOD_OVERRIDE=FQ","FILING_STATUS=OR","EQY_CONSOLIDATED=Y","FA_ADJUSTED=GAAP","Sort=A","Dates=H","DateFormat=P","Fill=—","Direction=H","UseDPDF=Y")</f>
        <v>#NAME?</v>
      </c>
      <c r="R499" t="e">
        <f ca="1">_xll.BDH($C$478,"DVD_PAYOUT_RATIO","FQ1 2018","FQ1 2018","Currency=INR","Period=FQ","BEST_FPERIOD_OVERRIDE=FQ","FILING_STATUS=OR","EQY_CONSOLIDATED=Y","FA_ADJUSTED=GAAP","Sort=A","Dates=H","DateFormat=P","Fill=—","Direction=H","UseDPDF=Y")</f>
        <v>#NAME?</v>
      </c>
      <c r="S499" t="e">
        <f ca="1">_xll.BDH($C$478,"SUSTAIN_GROWTH_RT","FQ1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499" s="2" t="e">
        <f ca="1">_xll.BDH($C$478,"SALES_GROWTH","FQ1 2018","FQ1 2018","Currency=INR","Period=FQ","BEST_FPERIOD_OVERRIDE=FQ","FILING_STATUS=OR","EQY_CONSOLIDATED=Y","FA_ADJUSTED=GAAP","Sort=A","Dates=H","DateFormat=P","Fill=—","Direction=H","UseDPDF=Y")</f>
        <v>#NAME?</v>
      </c>
      <c r="U499" s="2" t="e">
        <f ca="1">_xll.BDH($C$478,"EBITDA_GROWTH","FQ1 2018","FQ1 2018","Currency=INR","Period=FQ","BEST_FPERIOD_OVERRIDE=FQ","FILING_STATUS=OR","EQY_CONSOLIDATED=Y","FA_ADJUSTED=GAAP","Sort=A","Dates=H","DateFormat=P","Fill=—","Direction=H","UseDPDF=Y")</f>
        <v>#NAME?</v>
      </c>
      <c r="V499" s="2" t="e">
        <f ca="1">_xll.BDH($C$478,"OPER_INC_GROWTH","FQ1 2018","FQ1 2018","Currency=INR","Period=FQ","BEST_FPERIOD_OVERRIDE=FQ","FILING_STATUS=OR","EQY_CONSOLIDATED=Y","FA_ADJUSTED=GAAP","Sort=A","Dates=H","DateFormat=P","Fill=—","Direction=H","UseDPDF=Y")</f>
        <v>#NAME?</v>
      </c>
      <c r="W499" s="2" t="e">
        <f ca="1">_xll.BDH($C$478,"EARN_FOR_COM_GROWTH","FQ1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499" s="2" t="e">
        <f ca="1">_xll.BDH($C$478,"DILUTED_EPS_AFT_XO_ITEMS_GROWTH","FQ1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499" s="2" t="e">
        <f ca="1">_xll.BDH($C$478,"DIVIDEND_PER_SHARE_1_YEAR_GROWTH","FQ1 2018","FQ1 2018","Currency=INR","Period=FQ","BEST_FPERIOD_OVERRIDE=FQ","FILING_STATUS=OR","EQY_CONSOLIDATED=Y","Sort=A","Dates=H","DateFormat=P","Fill=—","Direction=H","UseDPDF=Y")</f>
        <v>#NAME?</v>
      </c>
      <c r="Z499" s="2" t="e">
        <f ca="1">_xll.BDH($C$478,"ACCOUNTS_RECEIVABLE_GROWTH","FQ1 2018","FQ1 2018","Currency=INR","Period=FQ","BEST_FPERIOD_OVERRIDE=FQ","FILING_STATUS=OR","EQY_CONSOLIDATED=Y","Sort=A","Dates=H","DateFormat=P","Fill=—","Direction=H","UseDPDF=Y")</f>
        <v>#NAME?</v>
      </c>
      <c r="AA499" s="2" t="e">
        <f ca="1">_xll.BDH($C$478,"INVENTORY_GROWTH","FQ1 2018","FQ1 2018","Currency=INR","Period=FQ","BEST_FPERIOD_OVERRIDE=FQ","FILING_STATUS=OR","EQY_CONSOLIDATED=Y","Sort=A","Dates=H","DateFormat=P","Fill=—","Direction=H","UseDPDF=Y")</f>
        <v>#NAME?</v>
      </c>
      <c r="AB499" s="2" t="e">
        <f ca="1">_xll.BDH($C$478,"NET_FIXED_ASSETS_1_YEAR_GROWTH","FQ1 2018","FQ1 2018","Currency=INR","Period=FQ","BEST_FPERIOD_OVERRIDE=FQ","FILING_STATUS=OR","EQY_CONSOLIDATED=Y","Sort=A","Dates=H","DateFormat=P","Fill=—","Direction=H","UseDPDF=Y")</f>
        <v>#NAME?</v>
      </c>
      <c r="AC499" s="2" t="e">
        <f ca="1">_xll.BDH($C$478,"ASSET_GROWTH","FQ1 2018","FQ1 2018","Currency=INR","Period=FQ","BEST_FPERIOD_OVERRIDE=FQ","FILING_STATUS=OR","EQY_CONSOLIDATED=Y","Sort=A","Dates=H","DateFormat=P","Fill=—","Direction=H","UseDPDF=Y")</f>
        <v>#NAME?</v>
      </c>
      <c r="AD499" s="2" t="e">
        <f ca="1">_xll.BDH($C$478,"MODIFIED_WORK_CAP_GROWTH","FQ1 2018","FQ1 2018","Currency=INR","Period=FQ","BEST_FPERIOD_OVERRIDE=FQ","FILING_STATUS=OR","EQY_CONSOLIDATED=Y","Sort=A","Dates=H","DateFormat=P","Fill=—","Direction=H","UseDPDF=Y")</f>
        <v>#NAME?</v>
      </c>
      <c r="AE499" s="2" t="e">
        <f ca="1">_xll.BDH($C$478,"WORK_CAP_GROWTH","FQ1 2018","FQ1 2018","Currency=INR","Period=FQ","BEST_FPERIOD_OVERRIDE=FQ","FILING_STATUS=OR","EQY_CONSOLIDATED=Y","Sort=A","Dates=H","DateFormat=P","Fill=—","Direction=H","UseDPDF=Y")</f>
        <v>#NAME?</v>
      </c>
      <c r="AF499" s="2" t="e">
        <f ca="1">_xll.BDH($C$478,"ACCOUNTS_PAYABLE_GROWTH_1YR","FQ1 2018","FQ1 2018","Currency=INR","Period=FQ","BEST_FPERIOD_OVERRIDE=FQ","FILING_STATUS=OR","EQY_CONSOLIDATED=Y","Sort=A","Dates=H","DateFormat=P","Fill=—","Direction=H","UseDPDF=Y")</f>
        <v>#NAME?</v>
      </c>
      <c r="AG499" s="2" t="e">
        <f ca="1">_xll.BDH($C$478,"SHORT_TERM_DEBT_1_YEAR_GROWTH","FQ1 2018","FQ1 2018","Currency=INR","Period=FQ","BEST_FPERIOD_OVERRIDE=FQ","FILING_STATUS=OR","EQY_CONSOLIDATED=Y","Sort=A","Dates=H","DateFormat=P","Fill=—","Direction=H","UseDPDF=Y")</f>
        <v>#NAME?</v>
      </c>
      <c r="AH499" s="2" t="e">
        <f ca="1">_xll.BDH($C$478,"TOTAL_DEBT_1_YEAR_GROWTH","FQ1 2018","FQ1 2018","Currency=INR","Period=FQ","BEST_FPERIOD_OVERRIDE=FQ","FILING_STATUS=OR","EQY_CONSOLIDATED=Y","Sort=A","Dates=H","DateFormat=P","Fill=—","Direction=H","UseDPDF=Y")</f>
        <v>#NAME?</v>
      </c>
      <c r="AI499" s="2" t="e">
        <f ca="1">_xll.BDH($C$478,"TOTAL_EQUITY_1_YEAR_GROWTH","FQ1 2018","FQ1 2018","Currency=INR","Period=FQ","BEST_FPERIOD_OVERRIDE=FQ","FILING_STATUS=OR","EQY_CONSOLIDATED=Y","Sort=A","Dates=H","DateFormat=P","Fill=—","Direction=H","UseDPDF=Y")</f>
        <v>#NAME?</v>
      </c>
      <c r="AJ499" s="2" t="e">
        <f ca="1">_xll.BDH($C$478,"GROWTH_IN_CAP","FQ1 2018","FQ1 2018","Currency=INR","Period=FQ","BEST_FPERIOD_OVERRIDE=FQ","FILING_STATUS=OR","EQY_CONSOLIDATED=Y","Sort=A","Dates=H","DateFormat=P","Fill=—","Direction=H","UseDPDF=Y")</f>
        <v>#NAME?</v>
      </c>
      <c r="AK499" s="2" t="e">
        <f ca="1">_xll.BDH($C$478,"BVPS_GROWTH","FQ1 2018","FQ1 2018","Currency=INR","Period=FQ","BEST_FPERIOD_OVERRIDE=FQ","FILING_STATUS=OR","EQY_CONSOLIDATED=Y","Sort=A","Dates=H","DateFormat=P","Fill=—","Direction=H","UseDPDF=Y")</f>
        <v>#NAME?</v>
      </c>
      <c r="AL499" s="2" t="e">
        <f ca="1">_xll.BDH($C$478,"CASH_FLOW_GROWTH","FQ1 2018","FQ1 2018","Currency=INR","Period=FQ","BEST_FPERIOD_OVERRIDE=FQ","FILING_STATUS=OR","EQY_CONSOLIDATED=Y","Sort=A","Dates=H","DateFormat=P","Fill=—","Direction=H","UseDPDF=Y")</f>
        <v>#NAME?</v>
      </c>
      <c r="AM499" s="2" t="e">
        <f ca="1">_xll.BDH($C$478,"GEO_GROW_NET_SALES","FQ1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499" s="2" t="e">
        <f ca="1">_xll.BDH($C$478,"GEO_GROW_EBITDA","FQ1 2018","FQ1 2018","Currency=INR","Period=FQ","BEST_FPERIOD_OVERRIDE=FQ","FILING_STATUS=OR","EQY_CONSOLIDATED=Y","FA_ADJUSTED=GAAP","Sort=A","Dates=H","DateFormat=P","Fill=—","Direction=H","UseDPDF=Y")</f>
        <v>#NAME?</v>
      </c>
      <c r="AO499" s="2" t="e">
        <f ca="1">_xll.BDH($C$478,"GEO_GROW_OPER_INC","FQ1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499" s="2" t="e">
        <f ca="1">_xll.BDH($C$478,"NET_INCOME_TO_COMMON_5_YR_GROWTH","FQ1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499" s="2" t="e">
        <f ca="1">_xll.BDH($C$478,"5Y_GEO_GROWTH_DILUTED_EPS","FQ1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499" s="2" t="e">
        <f ca="1">_xll.BDH($C$478,"GEO_GROW_DVD_PER_SH","FQ1 2018","FQ1 2018","Currency=INR","Period=FQ","BEST_FPERIOD_OVERRIDE=FQ","FILING_STATUS=OR","EQY_CONSOLIDATED=Y","Sort=A","Dates=H","DateFormat=P","Fill=—","Direction=H","UseDPDF=Y")</f>
        <v>#NAME?</v>
      </c>
      <c r="AS499" s="2" t="e">
        <f ca="1">_xll.BDH($C$478,"ACCOUNTS_RECEIVABLE_5_YR_GROWTH","FQ1 2018","FQ1 2018","Currency=INR","Period=FQ","BEST_FPERIOD_OVERRIDE=FQ","FILING_STATUS=OR","EQY_CONSOLIDATED=Y","Sort=A","Dates=H","DateFormat=P","Fill=—","Direction=H","UseDPDF=Y")</f>
        <v>#NAME?</v>
      </c>
      <c r="AT499" s="2" t="e">
        <f ca="1">_xll.BDH($C$478,"INVENTORY_5_YEAR_GROWTH","FQ1 2018","FQ1 2018","Currency=INR","Period=FQ","BEST_FPERIOD_OVERRIDE=FQ","FILING_STATUS=OR","EQY_CONSOLIDATED=Y","Sort=A","Dates=H","DateFormat=P","Fill=—","Direction=H","UseDPDF=Y")</f>
        <v>#NAME?</v>
      </c>
      <c r="AU499" s="2" t="e">
        <f ca="1">_xll.BDH($C$478,"NET_FIXED_ASSETS_5_YEAR_GROWTH","FQ1 2018","FQ1 2018","Currency=INR","Period=FQ","BEST_FPERIOD_OVERRIDE=FQ","FILING_STATUS=OR","EQY_CONSOLIDATED=Y","Sort=A","Dates=H","DateFormat=P","Fill=—","Direction=H","UseDPDF=Y")</f>
        <v>#NAME?</v>
      </c>
      <c r="AV499" s="2" t="e">
        <f ca="1">_xll.BDH($C$478,"GEO_GROW_TOT_ASSET","FQ1 2018","FQ1 2018","Currency=INR","Period=FQ","BEST_FPERIOD_OVERRIDE=FQ","FILING_STATUS=OR","EQY_CONSOLIDATED=Y","Sort=A","Dates=H","DateFormat=P","Fill=—","Direction=H","UseDPDF=Y")</f>
        <v>#NAME?</v>
      </c>
      <c r="AW499" s="2" t="e">
        <f ca="1">_xll.BDH($C$478,"MODIFIED_WORKING_CPTL_5YR_GRWTH","FQ1 2018","FQ1 2018","Currency=INR","Period=FQ","BEST_FPERIOD_OVERRIDE=FQ","FILING_STATUS=OR","EQY_CONSOLIDATED=Y","Sort=A","Dates=H","DateFormat=P","Fill=—","Direction=H","UseDPDF=Y")</f>
        <v>#NAME?</v>
      </c>
      <c r="AX499" s="2" t="e">
        <f ca="1">_xll.BDH($C$478,"WORKING_CAPITAL_5_YEAR_GROWTH","FQ1 2018","FQ1 2018","Currency=INR","Period=FQ","BEST_FPERIOD_OVERRIDE=FQ","FILING_STATUS=OR","EQY_CONSOLIDATED=Y","Sort=A","Dates=H","DateFormat=P","Fill=—","Direction=H","UseDPDF=Y")</f>
        <v>#NAME?</v>
      </c>
      <c r="AY499" s="2" t="e">
        <f ca="1">_xll.BDH($C$478,"ACCOUNTS_PAYABLE_5_YEAR_GROWTH","FQ1 2018","FQ1 2018","Currency=INR","Period=FQ","BEST_FPERIOD_OVERRIDE=FQ","FILING_STATUS=OR","EQY_CONSOLIDATED=Y","Sort=A","Dates=H","DateFormat=P","Fill=—","Direction=H","UseDPDF=Y")</f>
        <v>#NAME?</v>
      </c>
      <c r="AZ499" s="2" t="e">
        <f ca="1">_xll.BDH($C$478,"SHORT_TERM_DEBT_5_YEAR_GROWTH","FQ1 2018","FQ1 2018","Currency=INR","Period=FQ","BEST_FPERIOD_OVERRIDE=FQ","FILING_STATUS=OR","EQY_CONSOLIDATED=Y","Sort=A","Dates=H","DateFormat=P","Fill=—","Direction=H","UseDPDF=Y")</f>
        <v>#NAME?</v>
      </c>
      <c r="BA499" s="2" t="e">
        <f ca="1">_xll.BDH($C$478,"TOTAL_DEBT_5_YEAR_GROWTH","FQ1 2018","FQ1 2018","Currency=INR","Period=FQ","BEST_FPERIOD_OVERRIDE=FQ","FILING_STATUS=OR","EQY_CONSOLIDATED=Y","Sort=A","Dates=H","DateFormat=P","Fill=—","Direction=H","UseDPDF=Y")</f>
        <v>#NAME?</v>
      </c>
      <c r="BB499" s="2" t="e">
        <f ca="1">_xll.BDH($C$478,"GEO_GROW_TOT_SHRHLDR_EQY","FQ1 2018","FQ1 2018","Currency=INR","Period=FQ","BEST_FPERIOD_OVERRIDE=FQ","FILING_STATUS=OR","EQY_CONSOLIDATED=Y","Sort=A","Dates=H","DateFormat=P","Fill=—","Direction=H","UseDPDF=Y")</f>
        <v>#NAME?</v>
      </c>
      <c r="BC499" s="2" t="e">
        <f ca="1">_xll.BDH($C$478,"TOTAL_CAPITAL_5_YEAR_GROWTH","FQ1 2018","FQ1 2018","Currency=INR","Period=FQ","BEST_FPERIOD_OVERRIDE=FQ","FILING_STATUS=OR","EQY_CONSOLIDATED=Y","Sort=A","Dates=H","DateFormat=P","Fill=—","Direction=H","UseDPDF=Y")</f>
        <v>#NAME?</v>
      </c>
      <c r="BD499" s="2" t="e">
        <f ca="1">_xll.BDH($C$478,"GEO_GROW_BOOK_VAL","FQ1 2018","FQ1 2018","Currency=INR","Period=FQ","BEST_FPERIOD_OVERRIDE=FQ","FILING_STATUS=OR","EQY_CONSOLIDATED=Y","Sort=A","Dates=H","DateFormat=P","Fill=—","Direction=H","UseDPDF=Y")</f>
        <v>#NAME?</v>
      </c>
      <c r="BE499" s="2" t="e">
        <f ca="1">_xll.BDH($C$478,"GEO_GROW_CASH_OPER_ACT","FQ1 2018","FQ1 2018","Currency=INR","Period=FQ","BEST_FPERIOD_OVERRIDE=FQ","FILING_STATUS=OR","EQY_CONSOLIDATED=Y","Sort=A","Dates=H","DateFormat=P","Fill=—","Direction=H","UseDPDF=Y")</f>
        <v>#NAME?</v>
      </c>
      <c r="BF499" s="2" t="e">
        <f ca="1">_xll.BDH($C$478,"REVENUE_SEQUENTIAL_GROWTH","FQ1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499" s="2" t="e">
        <f ca="1">_xll.BDH($C$478,"EBITDA_SEQUENTIAL_GROWTH","FQ1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499" s="2" t="e">
        <f ca="1">_xll.BDH($C$478,"OPERATING_INCOME_SEQ_GROWTH","FQ1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499" s="2" t="e">
        <f ca="1">_xll.BDH($C$478,"NET_INCOME_TO_COMMON_SEQ_GROWTH","FQ1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499" s="2" t="e">
        <f ca="1">_xll.BDH($C$478,"EPS_DILUTED_SEQUENTIAL_GROWTH","FQ1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499" s="2" t="e">
        <f ca="1">_xll.BDH($C$478,"DPS_SEQUENTIAL_GROWTH","FQ1 2018","FQ1 2018","Currency=INR","Period=FQ","BEST_FPERIOD_OVERRIDE=FQ","FILING_STATUS=OR","EQY_CONSOLIDATED=Y","Sort=A","Dates=H","DateFormat=P","Fill=—","Direction=H","UseDPDF=Y")</f>
        <v>#NAME?</v>
      </c>
      <c r="BL499" s="2" t="e">
        <f ca="1">_xll.BDH($C$478,"ACCOUNTS_RECEIVABLE_SEQ_GROWTH","FQ1 2018","FQ1 2018","Currency=INR","Period=FQ","BEST_FPERIOD_OVERRIDE=FQ","FILING_STATUS=OR","EQY_CONSOLIDATED=Y","Sort=A","Dates=H","DateFormat=P","Fill=—","Direction=H","UseDPDF=Y")</f>
        <v>#NAME?</v>
      </c>
      <c r="BM499" s="2" t="e">
        <f ca="1">_xll.BDH($C$478,"INVENTORY_SEQUENTIAL_GROWTH","FQ1 2018","FQ1 2018","Currency=INR","Period=FQ","BEST_FPERIOD_OVERRIDE=FQ","FILING_STATUS=OR","EQY_CONSOLIDATED=Y","Sort=A","Dates=H","DateFormat=P","Fill=—","Direction=H","UseDPDF=Y")</f>
        <v>#NAME?</v>
      </c>
      <c r="BN499" s="2" t="e">
        <f ca="1">_xll.BDH($C$478,"FIXED_ASSETS_SEQUENTIAL_GROWTH","FQ1 2018","FQ1 2018","Currency=INR","Period=FQ","BEST_FPERIOD_OVERRIDE=FQ","FILING_STATUS=OR","EQY_CONSOLIDATED=Y","Sort=A","Dates=H","DateFormat=P","Fill=—","Direction=H","UseDPDF=Y")</f>
        <v>#NAME?</v>
      </c>
      <c r="BO499" s="2" t="e">
        <f ca="1">_xll.BDH($C$478,"TOTAL_ASSETS_SEQUENTIAL_GROWTH","FQ1 2018","FQ1 2018","Currency=INR","Period=FQ","BEST_FPERIOD_OVERRIDE=FQ","FILING_STATUS=OR","EQY_CONSOLIDATED=Y","Sort=A","Dates=H","DateFormat=P","Fill=—","Direction=H","UseDPDF=Y")</f>
        <v>#NAME?</v>
      </c>
      <c r="BP499" s="2" t="e">
        <f ca="1">_xll.BDH($C$478,"MODIFIED_WORKING_CPTL_SEQ_GRWTH","FQ1 2018","FQ1 2018","Currency=INR","Period=FQ","BEST_FPERIOD_OVERRIDE=FQ","FILING_STATUS=OR","EQY_CONSOLIDATED=Y","Sort=A","Dates=H","DateFormat=P","Fill=—","Direction=H","UseDPDF=Y")</f>
        <v>#NAME?</v>
      </c>
      <c r="BQ499" s="2" t="e">
        <f ca="1">_xll.BDH($C$478,"WORKING_CAPITAL_SEQ_GROWTH","FQ1 2018","FQ1 2018","Currency=INR","Period=FQ","BEST_FPERIOD_OVERRIDE=FQ","FILING_STATUS=OR","EQY_CONSOLIDATED=Y","Sort=A","Dates=H","DateFormat=P","Fill=—","Direction=H","UseDPDF=Y")</f>
        <v>#NAME?</v>
      </c>
      <c r="BR499" s="2" t="e">
        <f ca="1">_xll.BDH($C$478,"ACCOUNTS_PAYABLE_SEQ_GROWTH","FQ1 2018","FQ1 2018","Currency=INR","Period=FQ","BEST_FPERIOD_OVERRIDE=FQ","FILING_STATUS=OR","EQY_CONSOLIDATED=Y","Sort=A","Dates=H","DateFormat=P","Fill=—","Direction=H","UseDPDF=Y")</f>
        <v>#NAME?</v>
      </c>
      <c r="BS499" s="2" t="e">
        <f ca="1">_xll.BDH($C$478,"ST_DEBT_SEQUENTIAL_GROWTH","FQ1 2018","FQ1 2018","Currency=INR","Period=FQ","BEST_FPERIOD_OVERRIDE=FQ","FILING_STATUS=OR","EQY_CONSOLIDATED=Y","Sort=A","Dates=H","DateFormat=P","Fill=—","Direction=H","UseDPDF=Y")</f>
        <v>#NAME?</v>
      </c>
      <c r="BT499" s="2" t="e">
        <f ca="1">_xll.BDH($C$478,"TOTAL_DEBT_SEQUENTIAL_GROWTH","FQ1 2018","FQ1 2018","Currency=INR","Period=FQ","BEST_FPERIOD_OVERRIDE=FQ","FILING_STATUS=OR","EQY_CONSOLIDATED=Y","Sort=A","Dates=H","DateFormat=P","Fill=—","Direction=H","UseDPDF=Y")</f>
        <v>#NAME?</v>
      </c>
      <c r="BU499" s="2" t="e">
        <f ca="1">_xll.BDH($C$478,"TOTAL_EQUITY_SEQUENTIAL_GROWTH","FQ1 2018","FQ1 2018","Currency=INR","Period=FQ","BEST_FPERIOD_OVERRIDE=FQ","FILING_STATUS=OR","EQY_CONSOLIDATED=Y","Sort=A","Dates=H","DateFormat=P","Fill=—","Direction=H","UseDPDF=Y")</f>
        <v>#NAME?</v>
      </c>
      <c r="BV499" s="2" t="e">
        <f ca="1">_xll.BDH($C$478,"TOTAL_CAPITAL_SEQUENTIAL_GROWTH","FQ1 2018","FQ1 2018","Currency=INR","Period=FQ","BEST_FPERIOD_OVERRIDE=FQ","FILING_STATUS=OR","EQY_CONSOLIDATED=Y","Sort=A","Dates=H","DateFormat=P","Fill=—","Direction=H","UseDPDF=Y")</f>
        <v>#NAME?</v>
      </c>
      <c r="BW499" s="2" t="e">
        <f ca="1">_xll.BDH($C$478,"BPS_SEQUENTIAL_GROWTH","FQ1 2018","FQ1 2018","Currency=INR","Period=FQ","BEST_FPERIOD_OVERRIDE=FQ","FILING_STATUS=OR","EQY_CONSOLIDATED=Y","Sort=A","Dates=H","DateFormat=P","Fill=—","Direction=H","UseDPDF=Y")</f>
        <v>#NAME?</v>
      </c>
      <c r="BX499" s="2" t="e">
        <f ca="1">_xll.BDH($C$478,"CFO_SEQUENTIAL_GROWTH","FQ1 2018","FQ1 2018","Currency=INR","Period=FQ","BEST_FPERIOD_OVERRIDE=FQ","FILING_STATUS=OR","EQY_CONSOLIDATED=Y","Sort=A","Dates=H","DateFormat=P","Fill=—","Direction=H","UseDPDF=Y")</f>
        <v>#NAME?</v>
      </c>
      <c r="BY499" s="3" t="e">
        <f ca="1">_xll.BDH($C$478,"SHORT_AND_LONG_TERM_DEBT","FQ1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499" s="3" t="e">
        <f ca="1">_xll.BDH($C$478,"BS_ST_BORROW","FQ1 2018","FQ1 2018","Currency=INR","Period=FQ","BEST_FPERIOD_OVERRIDE=FQ","FILING_STATUS=OR","EQY_CONSOLIDATED=Y","SCALING_FORMAT=MLN","Sort=A","Dates=H","DateFormat=P","Fill=—","Direction=H","UseDPDF=Y")</f>
        <v>#NAME?</v>
      </c>
      <c r="CA499" s="3" t="e">
        <f ca="1">_xll.BDH($C$478,"BS_LT_BORROW","FQ1 2018","FQ1 2018","Currency=INR","Period=FQ","BEST_FPERIOD_OVERRIDE=FQ","FILING_STATUS=OR","EQY_CONSOLIDATED=Y","SCALING_FORMAT=MLN","Sort=A","Dates=H","DateFormat=P","Fill=—","Direction=H","UseDPDF=Y")</f>
        <v>#NAME?</v>
      </c>
      <c r="CB499" s="2" t="e">
        <f ca="1">_xll.BDH($C$478,"TOT_DEBT_TO_EBITDA","FQ1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499" s="2" t="e">
        <f ca="1">_xll.BDH($C$478,"NET_DEBT_TO_EBITDA","FQ1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499" s="2" t="e">
        <f ca="1">_xll.BDH($C$478,"TOTAL_DEBT_TO_EBIT","FQ1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499" s="2" t="e">
        <f ca="1">_xll.BDH($C$478,"NET_DEBT_TO_EBIT","FQ1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499" s="2" t="e">
        <f ca="1">_xll.BDH($C$478,"EBITDA_TO_INTEREST_EXPN","FQ1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499" s="2" t="e">
        <f ca="1">_xll.BDH($C$478,"COM_EQY_TO_TOT_ASSET","FQ1 2018","FQ1 2018","Currency=INR","Period=FQ","BEST_FPERIOD_OVERRIDE=FQ","FILING_STATUS=OR","EQY_CONSOLIDATED=Y","Sort=A","Dates=H","DateFormat=P","Fill=—","Direction=H","UseDPDF=Y")</f>
        <v>#NAME?</v>
      </c>
      <c r="CH499" s="2" t="e">
        <f ca="1">_xll.BDH($C$478,"LT_DEBT_TO_TOT_EQY","FQ1 2018","FQ1 2018","Currency=INR","Period=FQ","BEST_FPERIOD_OVERRIDE=FQ","FILING_STATUS=OR","EQY_CONSOLIDATED=Y","Sort=A","Dates=H","DateFormat=P","Fill=—","Direction=H","UseDPDF=Y")</f>
        <v>#NAME?</v>
      </c>
      <c r="CI499" s="2" t="e">
        <f ca="1">_xll.BDH($C$478,"LT_DEBT_TO_TOT_CAP","FQ1 2018","FQ1 2018","Currency=INR","Period=FQ","BEST_FPERIOD_OVERRIDE=FQ","FILING_STATUS=OR","EQY_CONSOLIDATED=Y","Sort=A","Dates=H","DateFormat=P","Fill=—","Direction=H","UseDPDF=Y")</f>
        <v>#NAME?</v>
      </c>
      <c r="CJ499" s="2" t="e">
        <f ca="1">_xll.BDH($C$478,"LT_DEBT_TO_TOT_ASSET","FQ1 2018","FQ1 2018","Currency=INR","Period=FQ","BEST_FPERIOD_OVERRIDE=FQ","FILING_STATUS=OR","EQY_CONSOLIDATED=Y","Sort=A","Dates=H","DateFormat=P","Fill=—","Direction=H","UseDPDF=Y")</f>
        <v>#NAME?</v>
      </c>
      <c r="CK499" s="2" t="e">
        <f ca="1">_xll.BDH($C$478,"TOT_DEBT_TO_TOT_EQY","FQ1 2018","FQ1 2018","Currency=INR","Period=FQ","BEST_FPERIOD_OVERRIDE=FQ","FILING_STATUS=OR","EQY_CONSOLIDATED=Y","Sort=A","Dates=H","DateFormat=P","Fill=—","Direction=H","UseDPDF=Y")</f>
        <v>#NAME?</v>
      </c>
      <c r="CL499" s="2" t="e">
        <f ca="1">_xll.BDH($C$478,"TOT_DEBT_TO_TOT_CAP","FQ1 2018","FQ1 2018","Currency=INR","Period=FQ","BEST_FPERIOD_OVERRIDE=FQ","FILING_STATUS=OR","EQY_CONSOLIDATED=Y","Sort=A","Dates=H","DateFormat=P","Fill=—","Direction=H","UseDPDF=Y")</f>
        <v>#NAME?</v>
      </c>
      <c r="CM499" s="2" t="e">
        <f ca="1">_xll.BDH($C$478,"TOT_DEBT_TO_TOT_ASSET","FQ1 2018","FQ1 2018","Currency=INR","Period=FQ","BEST_FPERIOD_OVERRIDE=FQ","FILING_STATUS=OR","EQY_CONSOLIDATED=Y","Sort=A","Dates=H","DateFormat=P","Fill=—","Direction=H","UseDPDF=Y")</f>
        <v>#NAME?</v>
      </c>
      <c r="CN499" s="2" t="e">
        <f ca="1">_xll.BDH($C$478,"NET_DEBT_TO_SHRHLDR_EQTY","FQ1 2018","FQ1 2018","Currency=INR","Period=FQ","BEST_FPERIOD_OVERRIDE=FQ","FILING_STATUS=OR","EQY_CONSOLIDATED=Y","Sort=A","Dates=H","DateFormat=P","Fill=—","Direction=H","UseDPDF=Y")</f>
        <v>#NAME?</v>
      </c>
      <c r="CO499" s="2" t="e">
        <f ca="1">_xll.BDH($C$478,"NET_DEBT_%_CAPITAL","FQ1 2018","FQ1 2018","Currency=INR","Period=FQ","BEST_FPERIOD_OVERRIDE=FQ","FILING_STATUS=OR","EQY_CONSOLIDATED=Y","Sort=A","Dates=H","DateFormat=P","Fill=—","Direction=H","UseDPDF=Y")</f>
        <v>#NAME?</v>
      </c>
      <c r="CP499" s="3" t="e">
        <f ca="1">_xll.BDH($C$478,"EBITDA","FQ1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499" s="3" t="e">
        <f ca="1">_xll.BDH($C$478,"EBITDA_AFTER_CAPEX","FQ1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499" s="3" t="e">
        <f ca="1">_xll.BDH($C$478,"IS_OPER_INC","FQ1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499" s="2" t="e">
        <f ca="1">_xll.BDH($C$478,"CASH_RATIO","FQ1 2018","FQ1 2018","Currency=INR","Period=FQ","BEST_FPERIOD_OVERRIDE=FQ","FILING_STATUS=OR","EQY_CONSOLIDATED=Y","Sort=A","Dates=H","DateFormat=P","Fill=—","Direction=H","UseDPDF=Y")</f>
        <v>#NAME?</v>
      </c>
      <c r="CT499" s="2" t="e">
        <f ca="1">_xll.BDH($C$478,"CUR_RATIO","FQ1 2018","FQ1 2018","Currency=INR","Period=FQ","BEST_FPERIOD_OVERRIDE=FQ","FILING_STATUS=OR","EQY_CONSOLIDATED=Y","Sort=A","Dates=H","DateFormat=P","Fill=—","Direction=H","UseDPDF=Y")</f>
        <v>#NAME?</v>
      </c>
      <c r="CU499" s="2" t="e">
        <f ca="1">_xll.BDH($C$478,"QUICK_RATIO","FQ1 2018","FQ1 2018","Currency=INR","Period=FQ","BEST_FPERIOD_OVERRIDE=FQ","FILING_STATUS=OR","EQY_CONSOLIDATED=Y","Sort=A","Dates=H","DateFormat=P","Fill=—","Direction=H","UseDPDF=Y")</f>
        <v>#NAME?</v>
      </c>
      <c r="CV499" s="2" t="e">
        <f ca="1">_xll.BDH($C$478,"ALTMAN_Z_SCORE","FQ1 2018","FQ1 2018","Currency=INR","Period=FQ","BEST_FPERIOD_OVERRIDE=FQ","FILING_STATUS=OR","EQY_CONSOLIDATED=Y","Sort=A","Dates=H","DateFormat=P","Fill=—","Direction=H","UseDPDF=Y")</f>
        <v>#NAME?</v>
      </c>
      <c r="CW499" s="4" t="e">
        <f ca="1">_xll.BDH($C$478,"ACCT_RCV_TURN","FQ1 2018","FQ1 2018","Currency=INR","Period=FQ","BEST_FPERIOD_OVERRIDE=FQ","FILING_STATUS=OR","EQY_CONSOLIDATED=Y","FA_ADJUSTED=GAAP","Sort=A","Dates=H","DateFormat=P","Fill=—","Direction=H","UseDPDF=Y")</f>
        <v>#NAME?</v>
      </c>
      <c r="CX499" s="2" t="e">
        <f ca="1">_xll.BDH($C$478,"ACCT_RCV_DAYS","FQ1 2018","FQ1 2018","Currency=INR","Period=FQ","BEST_FPERIOD_OVERRIDE=FQ","FILING_STATUS=OR","EQY_CONSOLIDATED=Y","FA_ADJUSTED=GAAP","Sort=A","Dates=H","DateFormat=P","Fill=—","Direction=H","UseDPDF=Y")</f>
        <v>#NAME?</v>
      </c>
      <c r="CY499" s="4" t="e">
        <f ca="1">_xll.BDH($C$478,"INVENT_TURN","FQ1 2018","FQ1 2018","Currency=INR","Period=FQ","BEST_FPERIOD_OVERRIDE=FQ","FILING_STATUS=OR","EQY_CONSOLIDATED=Y","FA_ADJUSTED=GAAP","Sort=A","Dates=H","DateFormat=P","Fill=—","Direction=H","UseDPDF=Y")</f>
        <v>#NAME?</v>
      </c>
      <c r="CZ499" s="2" t="e">
        <f ca="1">_xll.BDH($C$478,"INVENT_DAYS","FQ1 2018","FQ1 2018","Currency=INR","Period=FQ","BEST_FPERIOD_OVERRIDE=FQ","FILING_STATUS=OR","EQY_CONSOLIDATED=Y","FA_ADJUSTED=GAAP","Sort=A","Dates=H","DateFormat=P","Fill=—","Direction=H","UseDPDF=Y")</f>
        <v>#NAME?</v>
      </c>
      <c r="DA499" s="4" t="e">
        <f ca="1">_xll.BDH($C$478,"ACCOUNTS_PAYABLE_TURNOVER","FQ1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499" s="2" t="e">
        <f ca="1">_xll.BDH($C$478,"ACCOUNTS_PAYABLE_TURNOVER_DAYS","FQ1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499" s="4" t="e">
        <f ca="1">_xll.BDH($C$478,"CASH_CONVERSION_CYCLE","FQ1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499" s="4" t="e">
        <f ca="1">_xll.BDH($C$478,"INV_TO_CASH_DAYS","FQ1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499" s="5" t="e">
        <f ca="1">_xll.BDH($C$478,"BS_INVENTORIES","FQ1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499" s="3" t="e">
        <f ca="1">_xll.BDH($C$478,"INVTRY_RAW_MATERIALS","FQ1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499" s="3" t="e">
        <f ca="1">_xll.BDH($C$478,"INVTRY_IN_PROGRESS","FQ1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499" s="3" t="e">
        <f ca="1">_xll.BDH($C$478,"INVTRY_FINISHED_GOODS","FQ1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499" s="3" t="e">
        <f ca="1">_xll.BDH($C$478,"BS_OTHER_INV","FQ1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500" spans="1:113" x14ac:dyDescent="0.3">
      <c r="A500" s="6"/>
      <c r="B500" s="6"/>
      <c r="C500" s="6"/>
      <c r="D500" s="6"/>
      <c r="E500" t="s">
        <v>79</v>
      </c>
      <c r="F500" t="e">
        <f ca="1">_xll.BDH($C$478,"RETURN_COM_EQY","FQ2 2018","FQ2 2018","Currency=INR","Period=FQ","BEST_FPERIOD_OVERRIDE=FQ","FILING_STATUS=OR","EQY_CONSOLIDATED=Y","FA_ADJUSTED=GAAP","Sort=A","Dates=H","DateFormat=P","Fill=—","Direction=H","UseDPDF=Y")</f>
        <v>#NAME?</v>
      </c>
      <c r="G500" t="e">
        <f ca="1">_xll.BDH($C$478,"RETURN_ON_ASSET","FQ2 2018","FQ2 2018","Currency=INR","Period=FQ","BEST_FPERIOD_OVERRIDE=FQ","FILING_STATUS=OR","EQY_CONSOLIDATED=Y","FA_ADJUSTED=GAAP","Sort=A","Dates=H","DateFormat=P","Fill=—","Direction=H","UseDPDF=Y")</f>
        <v>#NAME?</v>
      </c>
      <c r="H500" t="e">
        <f ca="1">_xll.BDH($C$478,"RETURN_ON_CAP","FQ2 2018","FQ2 2018","Currency=INR","Period=FQ","BEST_FPERIOD_OVERRIDE=FQ","FILING_STATUS=OR","EQY_CONSOLIDATED=Y","FA_ADJUSTED=GAAP","Sort=A","Dates=H","DateFormat=P","Fill=—","Direction=H","UseDPDF=Y")</f>
        <v>#NAME?</v>
      </c>
      <c r="I500" t="e">
        <f ca="1">_xll.BDH($C$478,"RETURN_ON_INV_CAPITAL","FQ2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500" t="e">
        <f ca="1">_xll.BDH($C$478,"EBITDA_TO_REVENUE","FQ2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500" t="e">
        <f ca="1">_xll.BDH($C$478,"OPER_MARGIN","FQ2 2018","FQ2 2018","Currency=INR","Period=FQ","BEST_FPERIOD_OVERRIDE=FQ","FILING_STATUS=OR","EQY_CONSOLIDATED=Y","FA_ADJUSTED=GAAP","Sort=A","Dates=H","DateFormat=P","Fill=—","Direction=H","UseDPDF=Y")</f>
        <v>#NAME?</v>
      </c>
      <c r="L500" t="e">
        <f ca="1">_xll.BDH($C$478,"INCREMENTAL_OPERATING_MARGIN","FQ2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500" t="e">
        <f ca="1">_xll.BDH($C$478,"PRETAX_INC_TO_NET_SALES","FQ2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500" t="e">
        <f ca="1">_xll.BDH($C$478,"INC_BEF_XO_ITEMS_TO_NET_SALES","FQ2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500" t="e">
        <f ca="1">_xll.BDH($C$478,"PROF_MARGIN","FQ2 2018","FQ2 2018","Currency=INR","Period=FQ","BEST_FPERIOD_OVERRIDE=FQ","FILING_STATUS=OR","EQY_CONSOLIDATED=Y","FA_ADJUSTED=GAAP","Sort=A","Dates=H","DateFormat=P","Fill=—","Direction=H","UseDPDF=Y")</f>
        <v>#NAME?</v>
      </c>
      <c r="P500" t="e">
        <f ca="1">_xll.BDH($C$478,"NET_INCOME_TO_COMMON_MARGIN","FQ2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500" t="e">
        <f ca="1">_xll.BDH($C$478,"EFF_TAX_RATE","FQ2 2018","FQ2 2018","Currency=INR","Period=FQ","BEST_FPERIOD_OVERRIDE=FQ","FILING_STATUS=OR","EQY_CONSOLIDATED=Y","FA_ADJUSTED=GAAP","Sort=A","Dates=H","DateFormat=P","Fill=—","Direction=H","UseDPDF=Y")</f>
        <v>#NAME?</v>
      </c>
      <c r="R500" t="e">
        <f ca="1">_xll.BDH($C$478,"DVD_PAYOUT_RATIO","FQ2 2018","FQ2 2018","Currency=INR","Period=FQ","BEST_FPERIOD_OVERRIDE=FQ","FILING_STATUS=OR","EQY_CONSOLIDATED=Y","FA_ADJUSTED=GAAP","Sort=A","Dates=H","DateFormat=P","Fill=—","Direction=H","UseDPDF=Y")</f>
        <v>#NAME?</v>
      </c>
      <c r="S500" t="e">
        <f ca="1">_xll.BDH($C$478,"SUSTAIN_GROWTH_RT","FQ2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500" s="2" t="e">
        <f ca="1">_xll.BDH($C$478,"SALES_GROWTH","FQ2 2018","FQ2 2018","Currency=INR","Period=FQ","BEST_FPERIOD_OVERRIDE=FQ","FILING_STATUS=OR","EQY_CONSOLIDATED=Y","FA_ADJUSTED=GAAP","Sort=A","Dates=H","DateFormat=P","Fill=—","Direction=H","UseDPDF=Y")</f>
        <v>#NAME?</v>
      </c>
      <c r="U500" s="2" t="e">
        <f ca="1">_xll.BDH($C$478,"EBITDA_GROWTH","FQ2 2018","FQ2 2018","Currency=INR","Period=FQ","BEST_FPERIOD_OVERRIDE=FQ","FILING_STATUS=OR","EQY_CONSOLIDATED=Y","FA_ADJUSTED=GAAP","Sort=A","Dates=H","DateFormat=P","Fill=—","Direction=H","UseDPDF=Y")</f>
        <v>#NAME?</v>
      </c>
      <c r="V500" s="2" t="e">
        <f ca="1">_xll.BDH($C$478,"OPER_INC_GROWTH","FQ2 2018","FQ2 2018","Currency=INR","Period=FQ","BEST_FPERIOD_OVERRIDE=FQ","FILING_STATUS=OR","EQY_CONSOLIDATED=Y","FA_ADJUSTED=GAAP","Sort=A","Dates=H","DateFormat=P","Fill=—","Direction=H","UseDPDF=Y")</f>
        <v>#NAME?</v>
      </c>
      <c r="W500" s="2" t="e">
        <f ca="1">_xll.BDH($C$478,"EARN_FOR_COM_GROWTH","FQ2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500" s="2" t="e">
        <f ca="1">_xll.BDH($C$478,"DILUTED_EPS_AFT_XO_ITEMS_GROWTH","FQ2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500" s="2" t="e">
        <f ca="1">_xll.BDH($C$478,"DIVIDEND_PER_SHARE_1_YEAR_GROWTH","FQ2 2018","FQ2 2018","Currency=INR","Period=FQ","BEST_FPERIOD_OVERRIDE=FQ","FILING_STATUS=OR","EQY_CONSOLIDATED=Y","Sort=A","Dates=H","DateFormat=P","Fill=—","Direction=H","UseDPDF=Y")</f>
        <v>#NAME?</v>
      </c>
      <c r="Z500" s="2" t="e">
        <f ca="1">_xll.BDH($C$478,"ACCOUNTS_RECEIVABLE_GROWTH","FQ2 2018","FQ2 2018","Currency=INR","Period=FQ","BEST_FPERIOD_OVERRIDE=FQ","FILING_STATUS=OR","EQY_CONSOLIDATED=Y","Sort=A","Dates=H","DateFormat=P","Fill=—","Direction=H","UseDPDF=Y")</f>
        <v>#NAME?</v>
      </c>
      <c r="AA500" s="2" t="e">
        <f ca="1">_xll.BDH($C$478,"INVENTORY_GROWTH","FQ2 2018","FQ2 2018","Currency=INR","Period=FQ","BEST_FPERIOD_OVERRIDE=FQ","FILING_STATUS=OR","EQY_CONSOLIDATED=Y","Sort=A","Dates=H","DateFormat=P","Fill=—","Direction=H","UseDPDF=Y")</f>
        <v>#NAME?</v>
      </c>
      <c r="AB500" s="2" t="e">
        <f ca="1">_xll.BDH($C$478,"NET_FIXED_ASSETS_1_YEAR_GROWTH","FQ2 2018","FQ2 2018","Currency=INR","Period=FQ","BEST_FPERIOD_OVERRIDE=FQ","FILING_STATUS=OR","EQY_CONSOLIDATED=Y","Sort=A","Dates=H","DateFormat=P","Fill=—","Direction=H","UseDPDF=Y")</f>
        <v>#NAME?</v>
      </c>
      <c r="AC500" s="2" t="e">
        <f ca="1">_xll.BDH($C$478,"ASSET_GROWTH","FQ2 2018","FQ2 2018","Currency=INR","Period=FQ","BEST_FPERIOD_OVERRIDE=FQ","FILING_STATUS=OR","EQY_CONSOLIDATED=Y","Sort=A","Dates=H","DateFormat=P","Fill=—","Direction=H","UseDPDF=Y")</f>
        <v>#NAME?</v>
      </c>
      <c r="AD500" s="2" t="e">
        <f ca="1">_xll.BDH($C$478,"MODIFIED_WORK_CAP_GROWTH","FQ2 2018","FQ2 2018","Currency=INR","Period=FQ","BEST_FPERIOD_OVERRIDE=FQ","FILING_STATUS=OR","EQY_CONSOLIDATED=Y","Sort=A","Dates=H","DateFormat=P","Fill=—","Direction=H","UseDPDF=Y")</f>
        <v>#NAME?</v>
      </c>
      <c r="AE500" s="2" t="e">
        <f ca="1">_xll.BDH($C$478,"WORK_CAP_GROWTH","FQ2 2018","FQ2 2018","Currency=INR","Period=FQ","BEST_FPERIOD_OVERRIDE=FQ","FILING_STATUS=OR","EQY_CONSOLIDATED=Y","Sort=A","Dates=H","DateFormat=P","Fill=—","Direction=H","UseDPDF=Y")</f>
        <v>#NAME?</v>
      </c>
      <c r="AF500" s="2" t="e">
        <f ca="1">_xll.BDH($C$478,"ACCOUNTS_PAYABLE_GROWTH_1YR","FQ2 2018","FQ2 2018","Currency=INR","Period=FQ","BEST_FPERIOD_OVERRIDE=FQ","FILING_STATUS=OR","EQY_CONSOLIDATED=Y","Sort=A","Dates=H","DateFormat=P","Fill=—","Direction=H","UseDPDF=Y")</f>
        <v>#NAME?</v>
      </c>
      <c r="AG500" s="2" t="e">
        <f ca="1">_xll.BDH($C$478,"SHORT_TERM_DEBT_1_YEAR_GROWTH","FQ2 2018","FQ2 2018","Currency=INR","Period=FQ","BEST_FPERIOD_OVERRIDE=FQ","FILING_STATUS=OR","EQY_CONSOLIDATED=Y","Sort=A","Dates=H","DateFormat=P","Fill=—","Direction=H","UseDPDF=Y")</f>
        <v>#NAME?</v>
      </c>
      <c r="AH500" s="2" t="e">
        <f ca="1">_xll.BDH($C$478,"TOTAL_DEBT_1_YEAR_GROWTH","FQ2 2018","FQ2 2018","Currency=INR","Period=FQ","BEST_FPERIOD_OVERRIDE=FQ","FILING_STATUS=OR","EQY_CONSOLIDATED=Y","Sort=A","Dates=H","DateFormat=P","Fill=—","Direction=H","UseDPDF=Y")</f>
        <v>#NAME?</v>
      </c>
      <c r="AI500" s="2" t="e">
        <f ca="1">_xll.BDH($C$478,"TOTAL_EQUITY_1_YEAR_GROWTH","FQ2 2018","FQ2 2018","Currency=INR","Period=FQ","BEST_FPERIOD_OVERRIDE=FQ","FILING_STATUS=OR","EQY_CONSOLIDATED=Y","Sort=A","Dates=H","DateFormat=P","Fill=—","Direction=H","UseDPDF=Y")</f>
        <v>#NAME?</v>
      </c>
      <c r="AJ500" s="2" t="e">
        <f ca="1">_xll.BDH($C$478,"GROWTH_IN_CAP","FQ2 2018","FQ2 2018","Currency=INR","Period=FQ","BEST_FPERIOD_OVERRIDE=FQ","FILING_STATUS=OR","EQY_CONSOLIDATED=Y","Sort=A","Dates=H","DateFormat=P","Fill=—","Direction=H","UseDPDF=Y")</f>
        <v>#NAME?</v>
      </c>
      <c r="AK500" s="2" t="e">
        <f ca="1">_xll.BDH($C$478,"BVPS_GROWTH","FQ2 2018","FQ2 2018","Currency=INR","Period=FQ","BEST_FPERIOD_OVERRIDE=FQ","FILING_STATUS=OR","EQY_CONSOLIDATED=Y","Sort=A","Dates=H","DateFormat=P","Fill=—","Direction=H","UseDPDF=Y")</f>
        <v>#NAME?</v>
      </c>
      <c r="AL500" s="2" t="e">
        <f ca="1">_xll.BDH($C$478,"CASH_FLOW_GROWTH","FQ2 2018","FQ2 2018","Currency=INR","Period=FQ","BEST_FPERIOD_OVERRIDE=FQ","FILING_STATUS=OR","EQY_CONSOLIDATED=Y","Sort=A","Dates=H","DateFormat=P","Fill=—","Direction=H","UseDPDF=Y")</f>
        <v>#NAME?</v>
      </c>
      <c r="AM500" s="2" t="e">
        <f ca="1">_xll.BDH($C$478,"GEO_GROW_NET_SALES","FQ2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500" s="2" t="e">
        <f ca="1">_xll.BDH($C$478,"GEO_GROW_EBITDA","FQ2 2018","FQ2 2018","Currency=INR","Period=FQ","BEST_FPERIOD_OVERRIDE=FQ","FILING_STATUS=OR","EQY_CONSOLIDATED=Y","FA_ADJUSTED=GAAP","Sort=A","Dates=H","DateFormat=P","Fill=—","Direction=H","UseDPDF=Y")</f>
        <v>#NAME?</v>
      </c>
      <c r="AO500" s="2" t="e">
        <f ca="1">_xll.BDH($C$478,"GEO_GROW_OPER_INC","FQ2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500" s="2" t="e">
        <f ca="1">_xll.BDH($C$478,"NET_INCOME_TO_COMMON_5_YR_GROWTH","FQ2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500" s="2" t="e">
        <f ca="1">_xll.BDH($C$478,"5Y_GEO_GROWTH_DILUTED_EPS","FQ2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500" s="2" t="e">
        <f ca="1">_xll.BDH($C$478,"GEO_GROW_DVD_PER_SH","FQ2 2018","FQ2 2018","Currency=INR","Period=FQ","BEST_FPERIOD_OVERRIDE=FQ","FILING_STATUS=OR","EQY_CONSOLIDATED=Y","Sort=A","Dates=H","DateFormat=P","Fill=—","Direction=H","UseDPDF=Y")</f>
        <v>#NAME?</v>
      </c>
      <c r="AS500" s="2" t="e">
        <f ca="1">_xll.BDH($C$478,"ACCOUNTS_RECEIVABLE_5_YR_GROWTH","FQ2 2018","FQ2 2018","Currency=INR","Period=FQ","BEST_FPERIOD_OVERRIDE=FQ","FILING_STATUS=OR","EQY_CONSOLIDATED=Y","Sort=A","Dates=H","DateFormat=P","Fill=—","Direction=H","UseDPDF=Y")</f>
        <v>#NAME?</v>
      </c>
      <c r="AT500" s="2" t="e">
        <f ca="1">_xll.BDH($C$478,"INVENTORY_5_YEAR_GROWTH","FQ2 2018","FQ2 2018","Currency=INR","Period=FQ","BEST_FPERIOD_OVERRIDE=FQ","FILING_STATUS=OR","EQY_CONSOLIDATED=Y","Sort=A","Dates=H","DateFormat=P","Fill=—","Direction=H","UseDPDF=Y")</f>
        <v>#NAME?</v>
      </c>
      <c r="AU500" s="2" t="e">
        <f ca="1">_xll.BDH($C$478,"NET_FIXED_ASSETS_5_YEAR_GROWTH","FQ2 2018","FQ2 2018","Currency=INR","Period=FQ","BEST_FPERIOD_OVERRIDE=FQ","FILING_STATUS=OR","EQY_CONSOLIDATED=Y","Sort=A","Dates=H","DateFormat=P","Fill=—","Direction=H","UseDPDF=Y")</f>
        <v>#NAME?</v>
      </c>
      <c r="AV500" s="2" t="e">
        <f ca="1">_xll.BDH($C$478,"GEO_GROW_TOT_ASSET","FQ2 2018","FQ2 2018","Currency=INR","Period=FQ","BEST_FPERIOD_OVERRIDE=FQ","FILING_STATUS=OR","EQY_CONSOLIDATED=Y","Sort=A","Dates=H","DateFormat=P","Fill=—","Direction=H","UseDPDF=Y")</f>
        <v>#NAME?</v>
      </c>
      <c r="AW500" s="2" t="e">
        <f ca="1">_xll.BDH($C$478,"MODIFIED_WORKING_CPTL_5YR_GRWTH","FQ2 2018","FQ2 2018","Currency=INR","Period=FQ","BEST_FPERIOD_OVERRIDE=FQ","FILING_STATUS=OR","EQY_CONSOLIDATED=Y","Sort=A","Dates=H","DateFormat=P","Fill=—","Direction=H","UseDPDF=Y")</f>
        <v>#NAME?</v>
      </c>
      <c r="AX500" s="2" t="e">
        <f ca="1">_xll.BDH($C$478,"WORKING_CAPITAL_5_YEAR_GROWTH","FQ2 2018","FQ2 2018","Currency=INR","Period=FQ","BEST_FPERIOD_OVERRIDE=FQ","FILING_STATUS=OR","EQY_CONSOLIDATED=Y","Sort=A","Dates=H","DateFormat=P","Fill=—","Direction=H","UseDPDF=Y")</f>
        <v>#NAME?</v>
      </c>
      <c r="AY500" s="2" t="e">
        <f ca="1">_xll.BDH($C$478,"ACCOUNTS_PAYABLE_5_YEAR_GROWTH","FQ2 2018","FQ2 2018","Currency=INR","Period=FQ","BEST_FPERIOD_OVERRIDE=FQ","FILING_STATUS=OR","EQY_CONSOLIDATED=Y","Sort=A","Dates=H","DateFormat=P","Fill=—","Direction=H","UseDPDF=Y")</f>
        <v>#NAME?</v>
      </c>
      <c r="AZ500" s="2" t="e">
        <f ca="1">_xll.BDH($C$478,"SHORT_TERM_DEBT_5_YEAR_GROWTH","FQ2 2018","FQ2 2018","Currency=INR","Period=FQ","BEST_FPERIOD_OVERRIDE=FQ","FILING_STATUS=OR","EQY_CONSOLIDATED=Y","Sort=A","Dates=H","DateFormat=P","Fill=—","Direction=H","UseDPDF=Y")</f>
        <v>#NAME?</v>
      </c>
      <c r="BA500" s="2" t="e">
        <f ca="1">_xll.BDH($C$478,"TOTAL_DEBT_5_YEAR_GROWTH","FQ2 2018","FQ2 2018","Currency=INR","Period=FQ","BEST_FPERIOD_OVERRIDE=FQ","FILING_STATUS=OR","EQY_CONSOLIDATED=Y","Sort=A","Dates=H","DateFormat=P","Fill=—","Direction=H","UseDPDF=Y")</f>
        <v>#NAME?</v>
      </c>
      <c r="BB500" s="2" t="e">
        <f ca="1">_xll.BDH($C$478,"GEO_GROW_TOT_SHRHLDR_EQY","FQ2 2018","FQ2 2018","Currency=INR","Period=FQ","BEST_FPERIOD_OVERRIDE=FQ","FILING_STATUS=OR","EQY_CONSOLIDATED=Y","Sort=A","Dates=H","DateFormat=P","Fill=—","Direction=H","UseDPDF=Y")</f>
        <v>#NAME?</v>
      </c>
      <c r="BC500" s="2" t="e">
        <f ca="1">_xll.BDH($C$478,"TOTAL_CAPITAL_5_YEAR_GROWTH","FQ2 2018","FQ2 2018","Currency=INR","Period=FQ","BEST_FPERIOD_OVERRIDE=FQ","FILING_STATUS=OR","EQY_CONSOLIDATED=Y","Sort=A","Dates=H","DateFormat=P","Fill=—","Direction=H","UseDPDF=Y")</f>
        <v>#NAME?</v>
      </c>
      <c r="BD500" s="2" t="e">
        <f ca="1">_xll.BDH($C$478,"GEO_GROW_BOOK_VAL","FQ2 2018","FQ2 2018","Currency=INR","Period=FQ","BEST_FPERIOD_OVERRIDE=FQ","FILING_STATUS=OR","EQY_CONSOLIDATED=Y","Sort=A","Dates=H","DateFormat=P","Fill=—","Direction=H","UseDPDF=Y")</f>
        <v>#NAME?</v>
      </c>
      <c r="BE500" s="2" t="e">
        <f ca="1">_xll.BDH($C$478,"GEO_GROW_CASH_OPER_ACT","FQ2 2018","FQ2 2018","Currency=INR","Period=FQ","BEST_FPERIOD_OVERRIDE=FQ","FILING_STATUS=OR","EQY_CONSOLIDATED=Y","Sort=A","Dates=H","DateFormat=P","Fill=—","Direction=H","UseDPDF=Y")</f>
        <v>#NAME?</v>
      </c>
      <c r="BF500" s="2" t="e">
        <f ca="1">_xll.BDH($C$478,"REVENUE_SEQUENTIAL_GROWTH","FQ2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500" s="2" t="e">
        <f ca="1">_xll.BDH($C$478,"EBITDA_SEQUENTIAL_GROWTH","FQ2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500" s="2" t="e">
        <f ca="1">_xll.BDH($C$478,"OPERATING_INCOME_SEQ_GROWTH","FQ2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500" s="2" t="e">
        <f ca="1">_xll.BDH($C$478,"NET_INCOME_TO_COMMON_SEQ_GROWTH","FQ2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500" s="2" t="e">
        <f ca="1">_xll.BDH($C$478,"EPS_DILUTED_SEQUENTIAL_GROWTH","FQ2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500" s="2" t="e">
        <f ca="1">_xll.BDH($C$478,"DPS_SEQUENTIAL_GROWTH","FQ2 2018","FQ2 2018","Currency=INR","Period=FQ","BEST_FPERIOD_OVERRIDE=FQ","FILING_STATUS=OR","EQY_CONSOLIDATED=Y","Sort=A","Dates=H","DateFormat=P","Fill=—","Direction=H","UseDPDF=Y")</f>
        <v>#NAME?</v>
      </c>
      <c r="BL500" s="2" t="e">
        <f ca="1">_xll.BDH($C$478,"ACCOUNTS_RECEIVABLE_SEQ_GROWTH","FQ2 2018","FQ2 2018","Currency=INR","Period=FQ","BEST_FPERIOD_OVERRIDE=FQ","FILING_STATUS=OR","EQY_CONSOLIDATED=Y","Sort=A","Dates=H","DateFormat=P","Fill=—","Direction=H","UseDPDF=Y")</f>
        <v>#NAME?</v>
      </c>
      <c r="BM500" s="2" t="e">
        <f ca="1">_xll.BDH($C$478,"INVENTORY_SEQUENTIAL_GROWTH","FQ2 2018","FQ2 2018","Currency=INR","Period=FQ","BEST_FPERIOD_OVERRIDE=FQ","FILING_STATUS=OR","EQY_CONSOLIDATED=Y","Sort=A","Dates=H","DateFormat=P","Fill=—","Direction=H","UseDPDF=Y")</f>
        <v>#NAME?</v>
      </c>
      <c r="BN500" s="2" t="e">
        <f ca="1">_xll.BDH($C$478,"FIXED_ASSETS_SEQUENTIAL_GROWTH","FQ2 2018","FQ2 2018","Currency=INR","Period=FQ","BEST_FPERIOD_OVERRIDE=FQ","FILING_STATUS=OR","EQY_CONSOLIDATED=Y","Sort=A","Dates=H","DateFormat=P","Fill=—","Direction=H","UseDPDF=Y")</f>
        <v>#NAME?</v>
      </c>
      <c r="BO500" s="2" t="e">
        <f ca="1">_xll.BDH($C$478,"TOTAL_ASSETS_SEQUENTIAL_GROWTH","FQ2 2018","FQ2 2018","Currency=INR","Period=FQ","BEST_FPERIOD_OVERRIDE=FQ","FILING_STATUS=OR","EQY_CONSOLIDATED=Y","Sort=A","Dates=H","DateFormat=P","Fill=—","Direction=H","UseDPDF=Y")</f>
        <v>#NAME?</v>
      </c>
      <c r="BP500" s="2" t="e">
        <f ca="1">_xll.BDH($C$478,"MODIFIED_WORKING_CPTL_SEQ_GRWTH","FQ2 2018","FQ2 2018","Currency=INR","Period=FQ","BEST_FPERIOD_OVERRIDE=FQ","FILING_STATUS=OR","EQY_CONSOLIDATED=Y","Sort=A","Dates=H","DateFormat=P","Fill=—","Direction=H","UseDPDF=Y")</f>
        <v>#NAME?</v>
      </c>
      <c r="BQ500" s="2" t="e">
        <f ca="1">_xll.BDH($C$478,"WORKING_CAPITAL_SEQ_GROWTH","FQ2 2018","FQ2 2018","Currency=INR","Period=FQ","BEST_FPERIOD_OVERRIDE=FQ","FILING_STATUS=OR","EQY_CONSOLIDATED=Y","Sort=A","Dates=H","DateFormat=P","Fill=—","Direction=H","UseDPDF=Y")</f>
        <v>#NAME?</v>
      </c>
      <c r="BR500" s="2" t="e">
        <f ca="1">_xll.BDH($C$478,"ACCOUNTS_PAYABLE_SEQ_GROWTH","FQ2 2018","FQ2 2018","Currency=INR","Period=FQ","BEST_FPERIOD_OVERRIDE=FQ","FILING_STATUS=OR","EQY_CONSOLIDATED=Y","Sort=A","Dates=H","DateFormat=P","Fill=—","Direction=H","UseDPDF=Y")</f>
        <v>#NAME?</v>
      </c>
      <c r="BS500" s="2" t="e">
        <f ca="1">_xll.BDH($C$478,"ST_DEBT_SEQUENTIAL_GROWTH","FQ2 2018","FQ2 2018","Currency=INR","Period=FQ","BEST_FPERIOD_OVERRIDE=FQ","FILING_STATUS=OR","EQY_CONSOLIDATED=Y","Sort=A","Dates=H","DateFormat=P","Fill=—","Direction=H","UseDPDF=Y")</f>
        <v>#NAME?</v>
      </c>
      <c r="BT500" s="2" t="e">
        <f ca="1">_xll.BDH($C$478,"TOTAL_DEBT_SEQUENTIAL_GROWTH","FQ2 2018","FQ2 2018","Currency=INR","Period=FQ","BEST_FPERIOD_OVERRIDE=FQ","FILING_STATUS=OR","EQY_CONSOLIDATED=Y","Sort=A","Dates=H","DateFormat=P","Fill=—","Direction=H","UseDPDF=Y")</f>
        <v>#NAME?</v>
      </c>
      <c r="BU500" s="2" t="e">
        <f ca="1">_xll.BDH($C$478,"TOTAL_EQUITY_SEQUENTIAL_GROWTH","FQ2 2018","FQ2 2018","Currency=INR","Period=FQ","BEST_FPERIOD_OVERRIDE=FQ","FILING_STATUS=OR","EQY_CONSOLIDATED=Y","Sort=A","Dates=H","DateFormat=P","Fill=—","Direction=H","UseDPDF=Y")</f>
        <v>#NAME?</v>
      </c>
      <c r="BV500" s="2" t="e">
        <f ca="1">_xll.BDH($C$478,"TOTAL_CAPITAL_SEQUENTIAL_GROWTH","FQ2 2018","FQ2 2018","Currency=INR","Period=FQ","BEST_FPERIOD_OVERRIDE=FQ","FILING_STATUS=OR","EQY_CONSOLIDATED=Y","Sort=A","Dates=H","DateFormat=P","Fill=—","Direction=H","UseDPDF=Y")</f>
        <v>#NAME?</v>
      </c>
      <c r="BW500" s="2" t="e">
        <f ca="1">_xll.BDH($C$478,"BPS_SEQUENTIAL_GROWTH","FQ2 2018","FQ2 2018","Currency=INR","Period=FQ","BEST_FPERIOD_OVERRIDE=FQ","FILING_STATUS=OR","EQY_CONSOLIDATED=Y","Sort=A","Dates=H","DateFormat=P","Fill=—","Direction=H","UseDPDF=Y")</f>
        <v>#NAME?</v>
      </c>
      <c r="BX500" s="2" t="e">
        <f ca="1">_xll.BDH($C$478,"CFO_SEQUENTIAL_GROWTH","FQ2 2018","FQ2 2018","Currency=INR","Period=FQ","BEST_FPERIOD_OVERRIDE=FQ","FILING_STATUS=OR","EQY_CONSOLIDATED=Y","Sort=A","Dates=H","DateFormat=P","Fill=—","Direction=H","UseDPDF=Y")</f>
        <v>#NAME?</v>
      </c>
      <c r="BY500" s="3" t="e">
        <f ca="1">_xll.BDH($C$478,"SHORT_AND_LONG_TERM_DEBT","FQ2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500" s="3" t="e">
        <f ca="1">_xll.BDH($C$478,"BS_ST_BORROW","FQ2 2018","FQ2 2018","Currency=INR","Period=FQ","BEST_FPERIOD_OVERRIDE=FQ","FILING_STATUS=OR","EQY_CONSOLIDATED=Y","SCALING_FORMAT=MLN","Sort=A","Dates=H","DateFormat=P","Fill=—","Direction=H","UseDPDF=Y")</f>
        <v>#NAME?</v>
      </c>
      <c r="CA500" s="3" t="e">
        <f ca="1">_xll.BDH($C$478,"BS_LT_BORROW","FQ2 2018","FQ2 2018","Currency=INR","Period=FQ","BEST_FPERIOD_OVERRIDE=FQ","FILING_STATUS=OR","EQY_CONSOLIDATED=Y","SCALING_FORMAT=MLN","Sort=A","Dates=H","DateFormat=P","Fill=—","Direction=H","UseDPDF=Y")</f>
        <v>#NAME?</v>
      </c>
      <c r="CB500" s="2" t="e">
        <f ca="1">_xll.BDH($C$478,"TOT_DEBT_TO_EBITDA","FQ2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500" s="2" t="e">
        <f ca="1">_xll.BDH($C$478,"NET_DEBT_TO_EBITDA","FQ2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500" s="2" t="e">
        <f ca="1">_xll.BDH($C$478,"TOTAL_DEBT_TO_EBIT","FQ2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500" s="2" t="e">
        <f ca="1">_xll.BDH($C$478,"NET_DEBT_TO_EBIT","FQ2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500" s="2" t="e">
        <f ca="1">_xll.BDH($C$478,"EBITDA_TO_INTEREST_EXPN","FQ2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500" s="2" t="e">
        <f ca="1">_xll.BDH($C$478,"COM_EQY_TO_TOT_ASSET","FQ2 2018","FQ2 2018","Currency=INR","Period=FQ","BEST_FPERIOD_OVERRIDE=FQ","FILING_STATUS=OR","EQY_CONSOLIDATED=Y","Sort=A","Dates=H","DateFormat=P","Fill=—","Direction=H","UseDPDF=Y")</f>
        <v>#NAME?</v>
      </c>
      <c r="CH500" s="2" t="e">
        <f ca="1">_xll.BDH($C$478,"LT_DEBT_TO_TOT_EQY","FQ2 2018","FQ2 2018","Currency=INR","Period=FQ","BEST_FPERIOD_OVERRIDE=FQ","FILING_STATUS=OR","EQY_CONSOLIDATED=Y","Sort=A","Dates=H","DateFormat=P","Fill=—","Direction=H","UseDPDF=Y")</f>
        <v>#NAME?</v>
      </c>
      <c r="CI500" s="2" t="e">
        <f ca="1">_xll.BDH($C$478,"LT_DEBT_TO_TOT_CAP","FQ2 2018","FQ2 2018","Currency=INR","Period=FQ","BEST_FPERIOD_OVERRIDE=FQ","FILING_STATUS=OR","EQY_CONSOLIDATED=Y","Sort=A","Dates=H","DateFormat=P","Fill=—","Direction=H","UseDPDF=Y")</f>
        <v>#NAME?</v>
      </c>
      <c r="CJ500" s="2" t="e">
        <f ca="1">_xll.BDH($C$478,"LT_DEBT_TO_TOT_ASSET","FQ2 2018","FQ2 2018","Currency=INR","Period=FQ","BEST_FPERIOD_OVERRIDE=FQ","FILING_STATUS=OR","EQY_CONSOLIDATED=Y","Sort=A","Dates=H","DateFormat=P","Fill=—","Direction=H","UseDPDF=Y")</f>
        <v>#NAME?</v>
      </c>
      <c r="CK500" s="2" t="e">
        <f ca="1">_xll.BDH($C$478,"TOT_DEBT_TO_TOT_EQY","FQ2 2018","FQ2 2018","Currency=INR","Period=FQ","BEST_FPERIOD_OVERRIDE=FQ","FILING_STATUS=OR","EQY_CONSOLIDATED=Y","Sort=A","Dates=H","DateFormat=P","Fill=—","Direction=H","UseDPDF=Y")</f>
        <v>#NAME?</v>
      </c>
      <c r="CL500" s="2" t="e">
        <f ca="1">_xll.BDH($C$478,"TOT_DEBT_TO_TOT_CAP","FQ2 2018","FQ2 2018","Currency=INR","Period=FQ","BEST_FPERIOD_OVERRIDE=FQ","FILING_STATUS=OR","EQY_CONSOLIDATED=Y","Sort=A","Dates=H","DateFormat=P","Fill=—","Direction=H","UseDPDF=Y")</f>
        <v>#NAME?</v>
      </c>
      <c r="CM500" s="2" t="e">
        <f ca="1">_xll.BDH($C$478,"TOT_DEBT_TO_TOT_ASSET","FQ2 2018","FQ2 2018","Currency=INR","Period=FQ","BEST_FPERIOD_OVERRIDE=FQ","FILING_STATUS=OR","EQY_CONSOLIDATED=Y","Sort=A","Dates=H","DateFormat=P","Fill=—","Direction=H","UseDPDF=Y")</f>
        <v>#NAME?</v>
      </c>
      <c r="CN500" s="2" t="e">
        <f ca="1">_xll.BDH($C$478,"NET_DEBT_TO_SHRHLDR_EQTY","FQ2 2018","FQ2 2018","Currency=INR","Period=FQ","BEST_FPERIOD_OVERRIDE=FQ","FILING_STATUS=OR","EQY_CONSOLIDATED=Y","Sort=A","Dates=H","DateFormat=P","Fill=—","Direction=H","UseDPDF=Y")</f>
        <v>#NAME?</v>
      </c>
      <c r="CO500" s="2" t="e">
        <f ca="1">_xll.BDH($C$478,"NET_DEBT_%_CAPITAL","FQ2 2018","FQ2 2018","Currency=INR","Period=FQ","BEST_FPERIOD_OVERRIDE=FQ","FILING_STATUS=OR","EQY_CONSOLIDATED=Y","Sort=A","Dates=H","DateFormat=P","Fill=—","Direction=H","UseDPDF=Y")</f>
        <v>#NAME?</v>
      </c>
      <c r="CP500" s="3" t="e">
        <f ca="1">_xll.BDH($C$478,"EBITDA","FQ2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500" s="3" t="e">
        <f ca="1">_xll.BDH($C$478,"EBITDA_AFTER_CAPEX","FQ2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500" s="3" t="e">
        <f ca="1">_xll.BDH($C$478,"IS_OPER_INC","FQ2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500" s="2" t="e">
        <f ca="1">_xll.BDH($C$478,"CASH_RATIO","FQ2 2018","FQ2 2018","Currency=INR","Period=FQ","BEST_FPERIOD_OVERRIDE=FQ","FILING_STATUS=OR","EQY_CONSOLIDATED=Y","Sort=A","Dates=H","DateFormat=P","Fill=—","Direction=H","UseDPDF=Y")</f>
        <v>#NAME?</v>
      </c>
      <c r="CT500" s="2" t="e">
        <f ca="1">_xll.BDH($C$478,"CUR_RATIO","FQ2 2018","FQ2 2018","Currency=INR","Period=FQ","BEST_FPERIOD_OVERRIDE=FQ","FILING_STATUS=OR","EQY_CONSOLIDATED=Y","Sort=A","Dates=H","DateFormat=P","Fill=—","Direction=H","UseDPDF=Y")</f>
        <v>#NAME?</v>
      </c>
      <c r="CU500" s="2" t="e">
        <f ca="1">_xll.BDH($C$478,"QUICK_RATIO","FQ2 2018","FQ2 2018","Currency=INR","Period=FQ","BEST_FPERIOD_OVERRIDE=FQ","FILING_STATUS=OR","EQY_CONSOLIDATED=Y","Sort=A","Dates=H","DateFormat=P","Fill=—","Direction=H","UseDPDF=Y")</f>
        <v>#NAME?</v>
      </c>
      <c r="CV500" s="2" t="e">
        <f ca="1">_xll.BDH($C$478,"ALTMAN_Z_SCORE","FQ2 2018","FQ2 2018","Currency=INR","Period=FQ","BEST_FPERIOD_OVERRIDE=FQ","FILING_STATUS=OR","EQY_CONSOLIDATED=Y","Sort=A","Dates=H","DateFormat=P","Fill=—","Direction=H","UseDPDF=Y")</f>
        <v>#NAME?</v>
      </c>
      <c r="CW500" s="4" t="e">
        <f ca="1">_xll.BDH($C$478,"ACCT_RCV_TURN","FQ2 2018","FQ2 2018","Currency=INR","Period=FQ","BEST_FPERIOD_OVERRIDE=FQ","FILING_STATUS=OR","EQY_CONSOLIDATED=Y","FA_ADJUSTED=GAAP","Sort=A","Dates=H","DateFormat=P","Fill=—","Direction=H","UseDPDF=Y")</f>
        <v>#NAME?</v>
      </c>
      <c r="CX500" s="2" t="e">
        <f ca="1">_xll.BDH($C$478,"ACCT_RCV_DAYS","FQ2 2018","FQ2 2018","Currency=INR","Period=FQ","BEST_FPERIOD_OVERRIDE=FQ","FILING_STATUS=OR","EQY_CONSOLIDATED=Y","FA_ADJUSTED=GAAP","Sort=A","Dates=H","DateFormat=P","Fill=—","Direction=H","UseDPDF=Y")</f>
        <v>#NAME?</v>
      </c>
      <c r="CY500" s="4" t="e">
        <f ca="1">_xll.BDH($C$478,"INVENT_TURN","FQ2 2018","FQ2 2018","Currency=INR","Period=FQ","BEST_FPERIOD_OVERRIDE=FQ","FILING_STATUS=OR","EQY_CONSOLIDATED=Y","FA_ADJUSTED=GAAP","Sort=A","Dates=H","DateFormat=P","Fill=—","Direction=H","UseDPDF=Y")</f>
        <v>#NAME?</v>
      </c>
      <c r="CZ500" s="2" t="e">
        <f ca="1">_xll.BDH($C$478,"INVENT_DAYS","FQ2 2018","FQ2 2018","Currency=INR","Period=FQ","BEST_FPERIOD_OVERRIDE=FQ","FILING_STATUS=OR","EQY_CONSOLIDATED=Y","FA_ADJUSTED=GAAP","Sort=A","Dates=H","DateFormat=P","Fill=—","Direction=H","UseDPDF=Y")</f>
        <v>#NAME?</v>
      </c>
      <c r="DA500" s="4" t="e">
        <f ca="1">_xll.BDH($C$478,"ACCOUNTS_PAYABLE_TURNOVER","FQ2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500" s="2" t="e">
        <f ca="1">_xll.BDH($C$478,"ACCOUNTS_PAYABLE_TURNOVER_DAYS","FQ2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500" s="4" t="e">
        <f ca="1">_xll.BDH($C$478,"CASH_CONVERSION_CYCLE","FQ2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500" s="4" t="e">
        <f ca="1">_xll.BDH($C$478,"INV_TO_CASH_DAYS","FQ2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500" s="5" t="e">
        <f ca="1">_xll.BDH($C$478,"BS_INVENTORIES","FQ2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500" s="3" t="e">
        <f ca="1">_xll.BDH($C$478,"INVTRY_RAW_MATERIALS","FQ2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500" s="3" t="e">
        <f ca="1">_xll.BDH($C$478,"INVTRY_IN_PROGRESS","FQ2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500" s="3" t="e">
        <f ca="1">_xll.BDH($C$478,"INVTRY_FINISHED_GOODS","FQ2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500" s="3" t="e">
        <f ca="1">_xll.BDH($C$478,"BS_OTHER_INV","FQ2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501" spans="1:113" x14ac:dyDescent="0.3">
      <c r="A501" s="6"/>
      <c r="B501" s="6"/>
      <c r="C501" s="6"/>
      <c r="D501" s="6"/>
      <c r="E501" t="s">
        <v>80</v>
      </c>
      <c r="F501" t="e">
        <f ca="1">_xll.BDH($C$478,"RETURN_COM_EQY","FQ3 2018","FQ3 2018","Currency=INR","Period=FQ","BEST_FPERIOD_OVERRIDE=FQ","FILING_STATUS=OR","EQY_CONSOLIDATED=Y","FA_ADJUSTED=GAAP","Sort=A","Dates=H","DateFormat=P","Fill=—","Direction=H","UseDPDF=Y")</f>
        <v>#NAME?</v>
      </c>
      <c r="G501" t="e">
        <f ca="1">_xll.BDH($C$478,"RETURN_ON_ASSET","FQ3 2018","FQ3 2018","Currency=INR","Period=FQ","BEST_FPERIOD_OVERRIDE=FQ","FILING_STATUS=OR","EQY_CONSOLIDATED=Y","FA_ADJUSTED=GAAP","Sort=A","Dates=H","DateFormat=P","Fill=—","Direction=H","UseDPDF=Y")</f>
        <v>#NAME?</v>
      </c>
      <c r="H501" t="e">
        <f ca="1">_xll.BDH($C$478,"RETURN_ON_CAP","FQ3 2018","FQ3 2018","Currency=INR","Period=FQ","BEST_FPERIOD_OVERRIDE=FQ","FILING_STATUS=OR","EQY_CONSOLIDATED=Y","FA_ADJUSTED=GAAP","Sort=A","Dates=H","DateFormat=P","Fill=—","Direction=H","UseDPDF=Y")</f>
        <v>#NAME?</v>
      </c>
      <c r="I501" t="e">
        <f ca="1">_xll.BDH($C$478,"RETURN_ON_INV_CAPITAL","FQ3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501" t="e">
        <f ca="1">_xll.BDH($C$478,"EBITDA_TO_REVENUE","FQ3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501" t="e">
        <f ca="1">_xll.BDH($C$478,"OPER_MARGIN","FQ3 2018","FQ3 2018","Currency=INR","Period=FQ","BEST_FPERIOD_OVERRIDE=FQ","FILING_STATUS=OR","EQY_CONSOLIDATED=Y","FA_ADJUSTED=GAAP","Sort=A","Dates=H","DateFormat=P","Fill=—","Direction=H","UseDPDF=Y")</f>
        <v>#NAME?</v>
      </c>
      <c r="L501" t="e">
        <f ca="1">_xll.BDH($C$478,"INCREMENTAL_OPERATING_MARGIN","FQ3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501" t="e">
        <f ca="1">_xll.BDH($C$478,"PRETAX_INC_TO_NET_SALES","FQ3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501" t="e">
        <f ca="1">_xll.BDH($C$478,"INC_BEF_XO_ITEMS_TO_NET_SALES","FQ3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501" t="e">
        <f ca="1">_xll.BDH($C$478,"PROF_MARGIN","FQ3 2018","FQ3 2018","Currency=INR","Period=FQ","BEST_FPERIOD_OVERRIDE=FQ","FILING_STATUS=OR","EQY_CONSOLIDATED=Y","FA_ADJUSTED=GAAP","Sort=A","Dates=H","DateFormat=P","Fill=—","Direction=H","UseDPDF=Y")</f>
        <v>#NAME?</v>
      </c>
      <c r="P501" t="e">
        <f ca="1">_xll.BDH($C$478,"NET_INCOME_TO_COMMON_MARGIN","FQ3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501" t="e">
        <f ca="1">_xll.BDH($C$478,"EFF_TAX_RATE","FQ3 2018","FQ3 2018","Currency=INR","Period=FQ","BEST_FPERIOD_OVERRIDE=FQ","FILING_STATUS=OR","EQY_CONSOLIDATED=Y","FA_ADJUSTED=GAAP","Sort=A","Dates=H","DateFormat=P","Fill=—","Direction=H","UseDPDF=Y")</f>
        <v>#NAME?</v>
      </c>
      <c r="R501" t="e">
        <f ca="1">_xll.BDH($C$478,"DVD_PAYOUT_RATIO","FQ3 2018","FQ3 2018","Currency=INR","Period=FQ","BEST_FPERIOD_OVERRIDE=FQ","FILING_STATUS=OR","EQY_CONSOLIDATED=Y","FA_ADJUSTED=GAAP","Sort=A","Dates=H","DateFormat=P","Fill=—","Direction=H","UseDPDF=Y")</f>
        <v>#NAME?</v>
      </c>
      <c r="S501" t="e">
        <f ca="1">_xll.BDH($C$478,"SUSTAIN_GROWTH_RT","FQ3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501" s="2" t="e">
        <f ca="1">_xll.BDH($C$478,"SALES_GROWTH","FQ3 2018","FQ3 2018","Currency=INR","Period=FQ","BEST_FPERIOD_OVERRIDE=FQ","FILING_STATUS=OR","EQY_CONSOLIDATED=Y","FA_ADJUSTED=GAAP","Sort=A","Dates=H","DateFormat=P","Fill=—","Direction=H","UseDPDF=Y")</f>
        <v>#NAME?</v>
      </c>
      <c r="U501" s="2" t="e">
        <f ca="1">_xll.BDH($C$478,"EBITDA_GROWTH","FQ3 2018","FQ3 2018","Currency=INR","Period=FQ","BEST_FPERIOD_OVERRIDE=FQ","FILING_STATUS=OR","EQY_CONSOLIDATED=Y","FA_ADJUSTED=GAAP","Sort=A","Dates=H","DateFormat=P","Fill=—","Direction=H","UseDPDF=Y")</f>
        <v>#NAME?</v>
      </c>
      <c r="V501" s="2" t="e">
        <f ca="1">_xll.BDH($C$478,"OPER_INC_GROWTH","FQ3 2018","FQ3 2018","Currency=INR","Period=FQ","BEST_FPERIOD_OVERRIDE=FQ","FILING_STATUS=OR","EQY_CONSOLIDATED=Y","FA_ADJUSTED=GAAP","Sort=A","Dates=H","DateFormat=P","Fill=—","Direction=H","UseDPDF=Y")</f>
        <v>#NAME?</v>
      </c>
      <c r="W501" s="2" t="e">
        <f ca="1">_xll.BDH($C$478,"EARN_FOR_COM_GROWTH","FQ3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501" s="2" t="e">
        <f ca="1">_xll.BDH($C$478,"DILUTED_EPS_AFT_XO_ITEMS_GROWTH","FQ3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501" s="2" t="e">
        <f ca="1">_xll.BDH($C$478,"DIVIDEND_PER_SHARE_1_YEAR_GROWTH","FQ3 2018","FQ3 2018","Currency=INR","Period=FQ","BEST_FPERIOD_OVERRIDE=FQ","FILING_STATUS=OR","EQY_CONSOLIDATED=Y","Sort=A","Dates=H","DateFormat=P","Fill=—","Direction=H","UseDPDF=Y")</f>
        <v>#NAME?</v>
      </c>
      <c r="Z501" s="2" t="e">
        <f ca="1">_xll.BDH($C$478,"ACCOUNTS_RECEIVABLE_GROWTH","FQ3 2018","FQ3 2018","Currency=INR","Period=FQ","BEST_FPERIOD_OVERRIDE=FQ","FILING_STATUS=OR","EQY_CONSOLIDATED=Y","Sort=A","Dates=H","DateFormat=P","Fill=—","Direction=H","UseDPDF=Y")</f>
        <v>#NAME?</v>
      </c>
      <c r="AA501" s="2" t="e">
        <f ca="1">_xll.BDH($C$478,"INVENTORY_GROWTH","FQ3 2018","FQ3 2018","Currency=INR","Period=FQ","BEST_FPERIOD_OVERRIDE=FQ","FILING_STATUS=OR","EQY_CONSOLIDATED=Y","Sort=A","Dates=H","DateFormat=P","Fill=—","Direction=H","UseDPDF=Y")</f>
        <v>#NAME?</v>
      </c>
      <c r="AB501" s="2" t="e">
        <f ca="1">_xll.BDH($C$478,"NET_FIXED_ASSETS_1_YEAR_GROWTH","FQ3 2018","FQ3 2018","Currency=INR","Period=FQ","BEST_FPERIOD_OVERRIDE=FQ","FILING_STATUS=OR","EQY_CONSOLIDATED=Y","Sort=A","Dates=H","DateFormat=P","Fill=—","Direction=H","UseDPDF=Y")</f>
        <v>#NAME?</v>
      </c>
      <c r="AC501" s="2" t="e">
        <f ca="1">_xll.BDH($C$478,"ASSET_GROWTH","FQ3 2018","FQ3 2018","Currency=INR","Period=FQ","BEST_FPERIOD_OVERRIDE=FQ","FILING_STATUS=OR","EQY_CONSOLIDATED=Y","Sort=A","Dates=H","DateFormat=P","Fill=—","Direction=H","UseDPDF=Y")</f>
        <v>#NAME?</v>
      </c>
      <c r="AD501" s="2" t="e">
        <f ca="1">_xll.BDH($C$478,"MODIFIED_WORK_CAP_GROWTH","FQ3 2018","FQ3 2018","Currency=INR","Period=FQ","BEST_FPERIOD_OVERRIDE=FQ","FILING_STATUS=OR","EQY_CONSOLIDATED=Y","Sort=A","Dates=H","DateFormat=P","Fill=—","Direction=H","UseDPDF=Y")</f>
        <v>#NAME?</v>
      </c>
      <c r="AE501" s="2" t="e">
        <f ca="1">_xll.BDH($C$478,"WORK_CAP_GROWTH","FQ3 2018","FQ3 2018","Currency=INR","Period=FQ","BEST_FPERIOD_OVERRIDE=FQ","FILING_STATUS=OR","EQY_CONSOLIDATED=Y","Sort=A","Dates=H","DateFormat=P","Fill=—","Direction=H","UseDPDF=Y")</f>
        <v>#NAME?</v>
      </c>
      <c r="AF501" s="2" t="e">
        <f ca="1">_xll.BDH($C$478,"ACCOUNTS_PAYABLE_GROWTH_1YR","FQ3 2018","FQ3 2018","Currency=INR","Period=FQ","BEST_FPERIOD_OVERRIDE=FQ","FILING_STATUS=OR","EQY_CONSOLIDATED=Y","Sort=A","Dates=H","DateFormat=P","Fill=—","Direction=H","UseDPDF=Y")</f>
        <v>#NAME?</v>
      </c>
      <c r="AG501" s="2" t="e">
        <f ca="1">_xll.BDH($C$478,"SHORT_TERM_DEBT_1_YEAR_GROWTH","FQ3 2018","FQ3 2018","Currency=INR","Period=FQ","BEST_FPERIOD_OVERRIDE=FQ","FILING_STATUS=OR","EQY_CONSOLIDATED=Y","Sort=A","Dates=H","DateFormat=P","Fill=—","Direction=H","UseDPDF=Y")</f>
        <v>#NAME?</v>
      </c>
      <c r="AH501" s="2" t="e">
        <f ca="1">_xll.BDH($C$478,"TOTAL_DEBT_1_YEAR_GROWTH","FQ3 2018","FQ3 2018","Currency=INR","Period=FQ","BEST_FPERIOD_OVERRIDE=FQ","FILING_STATUS=OR","EQY_CONSOLIDATED=Y","Sort=A","Dates=H","DateFormat=P","Fill=—","Direction=H","UseDPDF=Y")</f>
        <v>#NAME?</v>
      </c>
      <c r="AI501" s="2" t="e">
        <f ca="1">_xll.BDH($C$478,"TOTAL_EQUITY_1_YEAR_GROWTH","FQ3 2018","FQ3 2018","Currency=INR","Period=FQ","BEST_FPERIOD_OVERRIDE=FQ","FILING_STATUS=OR","EQY_CONSOLIDATED=Y","Sort=A","Dates=H","DateFormat=P","Fill=—","Direction=H","UseDPDF=Y")</f>
        <v>#NAME?</v>
      </c>
      <c r="AJ501" s="2" t="e">
        <f ca="1">_xll.BDH($C$478,"GROWTH_IN_CAP","FQ3 2018","FQ3 2018","Currency=INR","Period=FQ","BEST_FPERIOD_OVERRIDE=FQ","FILING_STATUS=OR","EQY_CONSOLIDATED=Y","Sort=A","Dates=H","DateFormat=P","Fill=—","Direction=H","UseDPDF=Y")</f>
        <v>#NAME?</v>
      </c>
      <c r="AK501" s="2" t="e">
        <f ca="1">_xll.BDH($C$478,"BVPS_GROWTH","FQ3 2018","FQ3 2018","Currency=INR","Period=FQ","BEST_FPERIOD_OVERRIDE=FQ","FILING_STATUS=OR","EQY_CONSOLIDATED=Y","Sort=A","Dates=H","DateFormat=P","Fill=—","Direction=H","UseDPDF=Y")</f>
        <v>#NAME?</v>
      </c>
      <c r="AL501" s="2" t="e">
        <f ca="1">_xll.BDH($C$478,"CASH_FLOW_GROWTH","FQ3 2018","FQ3 2018","Currency=INR","Period=FQ","BEST_FPERIOD_OVERRIDE=FQ","FILING_STATUS=OR","EQY_CONSOLIDATED=Y","Sort=A","Dates=H","DateFormat=P","Fill=—","Direction=H","UseDPDF=Y")</f>
        <v>#NAME?</v>
      </c>
      <c r="AM501" s="2" t="e">
        <f ca="1">_xll.BDH($C$478,"GEO_GROW_NET_SALES","FQ3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501" s="2" t="e">
        <f ca="1">_xll.BDH($C$478,"GEO_GROW_EBITDA","FQ3 2018","FQ3 2018","Currency=INR","Period=FQ","BEST_FPERIOD_OVERRIDE=FQ","FILING_STATUS=OR","EQY_CONSOLIDATED=Y","FA_ADJUSTED=GAAP","Sort=A","Dates=H","DateFormat=P","Fill=—","Direction=H","UseDPDF=Y")</f>
        <v>#NAME?</v>
      </c>
      <c r="AO501" s="2" t="e">
        <f ca="1">_xll.BDH($C$478,"GEO_GROW_OPER_INC","FQ3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501" s="2" t="e">
        <f ca="1">_xll.BDH($C$478,"NET_INCOME_TO_COMMON_5_YR_GROWTH","FQ3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501" s="2" t="e">
        <f ca="1">_xll.BDH($C$478,"5Y_GEO_GROWTH_DILUTED_EPS","FQ3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501" s="2" t="e">
        <f ca="1">_xll.BDH($C$478,"GEO_GROW_DVD_PER_SH","FQ3 2018","FQ3 2018","Currency=INR","Period=FQ","BEST_FPERIOD_OVERRIDE=FQ","FILING_STATUS=OR","EQY_CONSOLIDATED=Y","Sort=A","Dates=H","DateFormat=P","Fill=—","Direction=H","UseDPDF=Y")</f>
        <v>#NAME?</v>
      </c>
      <c r="AS501" s="2" t="e">
        <f ca="1">_xll.BDH($C$478,"ACCOUNTS_RECEIVABLE_5_YR_GROWTH","FQ3 2018","FQ3 2018","Currency=INR","Period=FQ","BEST_FPERIOD_OVERRIDE=FQ","FILING_STATUS=OR","EQY_CONSOLIDATED=Y","Sort=A","Dates=H","DateFormat=P","Fill=—","Direction=H","UseDPDF=Y")</f>
        <v>#NAME?</v>
      </c>
      <c r="AT501" s="2" t="e">
        <f ca="1">_xll.BDH($C$478,"INVENTORY_5_YEAR_GROWTH","FQ3 2018","FQ3 2018","Currency=INR","Period=FQ","BEST_FPERIOD_OVERRIDE=FQ","FILING_STATUS=OR","EQY_CONSOLIDATED=Y","Sort=A","Dates=H","DateFormat=P","Fill=—","Direction=H","UseDPDF=Y")</f>
        <v>#NAME?</v>
      </c>
      <c r="AU501" s="2" t="e">
        <f ca="1">_xll.BDH($C$478,"NET_FIXED_ASSETS_5_YEAR_GROWTH","FQ3 2018","FQ3 2018","Currency=INR","Period=FQ","BEST_FPERIOD_OVERRIDE=FQ","FILING_STATUS=OR","EQY_CONSOLIDATED=Y","Sort=A","Dates=H","DateFormat=P","Fill=—","Direction=H","UseDPDF=Y")</f>
        <v>#NAME?</v>
      </c>
      <c r="AV501" s="2" t="e">
        <f ca="1">_xll.BDH($C$478,"GEO_GROW_TOT_ASSET","FQ3 2018","FQ3 2018","Currency=INR","Period=FQ","BEST_FPERIOD_OVERRIDE=FQ","FILING_STATUS=OR","EQY_CONSOLIDATED=Y","Sort=A","Dates=H","DateFormat=P","Fill=—","Direction=H","UseDPDF=Y")</f>
        <v>#NAME?</v>
      </c>
      <c r="AW501" s="2" t="e">
        <f ca="1">_xll.BDH($C$478,"MODIFIED_WORKING_CPTL_5YR_GRWTH","FQ3 2018","FQ3 2018","Currency=INR","Period=FQ","BEST_FPERIOD_OVERRIDE=FQ","FILING_STATUS=OR","EQY_CONSOLIDATED=Y","Sort=A","Dates=H","DateFormat=P","Fill=—","Direction=H","UseDPDF=Y")</f>
        <v>#NAME?</v>
      </c>
      <c r="AX501" s="2" t="e">
        <f ca="1">_xll.BDH($C$478,"WORKING_CAPITAL_5_YEAR_GROWTH","FQ3 2018","FQ3 2018","Currency=INR","Period=FQ","BEST_FPERIOD_OVERRIDE=FQ","FILING_STATUS=OR","EQY_CONSOLIDATED=Y","Sort=A","Dates=H","DateFormat=P","Fill=—","Direction=H","UseDPDF=Y")</f>
        <v>#NAME?</v>
      </c>
      <c r="AY501" s="2" t="e">
        <f ca="1">_xll.BDH($C$478,"ACCOUNTS_PAYABLE_5_YEAR_GROWTH","FQ3 2018","FQ3 2018","Currency=INR","Period=FQ","BEST_FPERIOD_OVERRIDE=FQ","FILING_STATUS=OR","EQY_CONSOLIDATED=Y","Sort=A","Dates=H","DateFormat=P","Fill=—","Direction=H","UseDPDF=Y")</f>
        <v>#NAME?</v>
      </c>
      <c r="AZ501" s="2" t="e">
        <f ca="1">_xll.BDH($C$478,"SHORT_TERM_DEBT_5_YEAR_GROWTH","FQ3 2018","FQ3 2018","Currency=INR","Period=FQ","BEST_FPERIOD_OVERRIDE=FQ","FILING_STATUS=OR","EQY_CONSOLIDATED=Y","Sort=A","Dates=H","DateFormat=P","Fill=—","Direction=H","UseDPDF=Y")</f>
        <v>#NAME?</v>
      </c>
      <c r="BA501" s="2" t="e">
        <f ca="1">_xll.BDH($C$478,"TOTAL_DEBT_5_YEAR_GROWTH","FQ3 2018","FQ3 2018","Currency=INR","Period=FQ","BEST_FPERIOD_OVERRIDE=FQ","FILING_STATUS=OR","EQY_CONSOLIDATED=Y","Sort=A","Dates=H","DateFormat=P","Fill=—","Direction=H","UseDPDF=Y")</f>
        <v>#NAME?</v>
      </c>
      <c r="BB501" s="2" t="e">
        <f ca="1">_xll.BDH($C$478,"GEO_GROW_TOT_SHRHLDR_EQY","FQ3 2018","FQ3 2018","Currency=INR","Period=FQ","BEST_FPERIOD_OVERRIDE=FQ","FILING_STATUS=OR","EQY_CONSOLIDATED=Y","Sort=A","Dates=H","DateFormat=P","Fill=—","Direction=H","UseDPDF=Y")</f>
        <v>#NAME?</v>
      </c>
      <c r="BC501" s="2" t="e">
        <f ca="1">_xll.BDH($C$478,"TOTAL_CAPITAL_5_YEAR_GROWTH","FQ3 2018","FQ3 2018","Currency=INR","Period=FQ","BEST_FPERIOD_OVERRIDE=FQ","FILING_STATUS=OR","EQY_CONSOLIDATED=Y","Sort=A","Dates=H","DateFormat=P","Fill=—","Direction=H","UseDPDF=Y")</f>
        <v>#NAME?</v>
      </c>
      <c r="BD501" s="2" t="e">
        <f ca="1">_xll.BDH($C$478,"GEO_GROW_BOOK_VAL","FQ3 2018","FQ3 2018","Currency=INR","Period=FQ","BEST_FPERIOD_OVERRIDE=FQ","FILING_STATUS=OR","EQY_CONSOLIDATED=Y","Sort=A","Dates=H","DateFormat=P","Fill=—","Direction=H","UseDPDF=Y")</f>
        <v>#NAME?</v>
      </c>
      <c r="BE501" s="2" t="e">
        <f ca="1">_xll.BDH($C$478,"GEO_GROW_CASH_OPER_ACT","FQ3 2018","FQ3 2018","Currency=INR","Period=FQ","BEST_FPERIOD_OVERRIDE=FQ","FILING_STATUS=OR","EQY_CONSOLIDATED=Y","Sort=A","Dates=H","DateFormat=P","Fill=—","Direction=H","UseDPDF=Y")</f>
        <v>#NAME?</v>
      </c>
      <c r="BF501" s="2" t="e">
        <f ca="1">_xll.BDH($C$478,"REVENUE_SEQUENTIAL_GROWTH","FQ3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501" s="2" t="e">
        <f ca="1">_xll.BDH($C$478,"EBITDA_SEQUENTIAL_GROWTH","FQ3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501" s="2" t="e">
        <f ca="1">_xll.BDH($C$478,"OPERATING_INCOME_SEQ_GROWTH","FQ3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501" s="2" t="e">
        <f ca="1">_xll.BDH($C$478,"NET_INCOME_TO_COMMON_SEQ_GROWTH","FQ3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501" s="2" t="e">
        <f ca="1">_xll.BDH($C$478,"EPS_DILUTED_SEQUENTIAL_GROWTH","FQ3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501" s="2" t="e">
        <f ca="1">_xll.BDH($C$478,"DPS_SEQUENTIAL_GROWTH","FQ3 2018","FQ3 2018","Currency=INR","Period=FQ","BEST_FPERIOD_OVERRIDE=FQ","FILING_STATUS=OR","EQY_CONSOLIDATED=Y","Sort=A","Dates=H","DateFormat=P","Fill=—","Direction=H","UseDPDF=Y")</f>
        <v>#NAME?</v>
      </c>
      <c r="BL501" s="2" t="e">
        <f ca="1">_xll.BDH($C$478,"ACCOUNTS_RECEIVABLE_SEQ_GROWTH","FQ3 2018","FQ3 2018","Currency=INR","Period=FQ","BEST_FPERIOD_OVERRIDE=FQ","FILING_STATUS=OR","EQY_CONSOLIDATED=Y","Sort=A","Dates=H","DateFormat=P","Fill=—","Direction=H","UseDPDF=Y")</f>
        <v>#NAME?</v>
      </c>
      <c r="BM501" s="2" t="e">
        <f ca="1">_xll.BDH($C$478,"INVENTORY_SEQUENTIAL_GROWTH","FQ3 2018","FQ3 2018","Currency=INR","Period=FQ","BEST_FPERIOD_OVERRIDE=FQ","FILING_STATUS=OR","EQY_CONSOLIDATED=Y","Sort=A","Dates=H","DateFormat=P","Fill=—","Direction=H","UseDPDF=Y")</f>
        <v>#NAME?</v>
      </c>
      <c r="BN501" s="2" t="e">
        <f ca="1">_xll.BDH($C$478,"FIXED_ASSETS_SEQUENTIAL_GROWTH","FQ3 2018","FQ3 2018","Currency=INR","Period=FQ","BEST_FPERIOD_OVERRIDE=FQ","FILING_STATUS=OR","EQY_CONSOLIDATED=Y","Sort=A","Dates=H","DateFormat=P","Fill=—","Direction=H","UseDPDF=Y")</f>
        <v>#NAME?</v>
      </c>
      <c r="BO501" s="2" t="e">
        <f ca="1">_xll.BDH($C$478,"TOTAL_ASSETS_SEQUENTIAL_GROWTH","FQ3 2018","FQ3 2018","Currency=INR","Period=FQ","BEST_FPERIOD_OVERRIDE=FQ","FILING_STATUS=OR","EQY_CONSOLIDATED=Y","Sort=A","Dates=H","DateFormat=P","Fill=—","Direction=H","UseDPDF=Y")</f>
        <v>#NAME?</v>
      </c>
      <c r="BP501" s="2" t="e">
        <f ca="1">_xll.BDH($C$478,"MODIFIED_WORKING_CPTL_SEQ_GRWTH","FQ3 2018","FQ3 2018","Currency=INR","Period=FQ","BEST_FPERIOD_OVERRIDE=FQ","FILING_STATUS=OR","EQY_CONSOLIDATED=Y","Sort=A","Dates=H","DateFormat=P","Fill=—","Direction=H","UseDPDF=Y")</f>
        <v>#NAME?</v>
      </c>
      <c r="BQ501" s="2" t="e">
        <f ca="1">_xll.BDH($C$478,"WORKING_CAPITAL_SEQ_GROWTH","FQ3 2018","FQ3 2018","Currency=INR","Period=FQ","BEST_FPERIOD_OVERRIDE=FQ","FILING_STATUS=OR","EQY_CONSOLIDATED=Y","Sort=A","Dates=H","DateFormat=P","Fill=—","Direction=H","UseDPDF=Y")</f>
        <v>#NAME?</v>
      </c>
      <c r="BR501" s="2" t="e">
        <f ca="1">_xll.BDH($C$478,"ACCOUNTS_PAYABLE_SEQ_GROWTH","FQ3 2018","FQ3 2018","Currency=INR","Period=FQ","BEST_FPERIOD_OVERRIDE=FQ","FILING_STATUS=OR","EQY_CONSOLIDATED=Y","Sort=A","Dates=H","DateFormat=P","Fill=—","Direction=H","UseDPDF=Y")</f>
        <v>#NAME?</v>
      </c>
      <c r="BS501" s="2" t="e">
        <f ca="1">_xll.BDH($C$478,"ST_DEBT_SEQUENTIAL_GROWTH","FQ3 2018","FQ3 2018","Currency=INR","Period=FQ","BEST_FPERIOD_OVERRIDE=FQ","FILING_STATUS=OR","EQY_CONSOLIDATED=Y","Sort=A","Dates=H","DateFormat=P","Fill=—","Direction=H","UseDPDF=Y")</f>
        <v>#NAME?</v>
      </c>
      <c r="BT501" s="2" t="e">
        <f ca="1">_xll.BDH($C$478,"TOTAL_DEBT_SEQUENTIAL_GROWTH","FQ3 2018","FQ3 2018","Currency=INR","Period=FQ","BEST_FPERIOD_OVERRIDE=FQ","FILING_STATUS=OR","EQY_CONSOLIDATED=Y","Sort=A","Dates=H","DateFormat=P","Fill=—","Direction=H","UseDPDF=Y")</f>
        <v>#NAME?</v>
      </c>
      <c r="BU501" s="2" t="e">
        <f ca="1">_xll.BDH($C$478,"TOTAL_EQUITY_SEQUENTIAL_GROWTH","FQ3 2018","FQ3 2018","Currency=INR","Period=FQ","BEST_FPERIOD_OVERRIDE=FQ","FILING_STATUS=OR","EQY_CONSOLIDATED=Y","Sort=A","Dates=H","DateFormat=P","Fill=—","Direction=H","UseDPDF=Y")</f>
        <v>#NAME?</v>
      </c>
      <c r="BV501" s="2" t="e">
        <f ca="1">_xll.BDH($C$478,"TOTAL_CAPITAL_SEQUENTIAL_GROWTH","FQ3 2018","FQ3 2018","Currency=INR","Period=FQ","BEST_FPERIOD_OVERRIDE=FQ","FILING_STATUS=OR","EQY_CONSOLIDATED=Y","Sort=A","Dates=H","DateFormat=P","Fill=—","Direction=H","UseDPDF=Y")</f>
        <v>#NAME?</v>
      </c>
      <c r="BW501" s="2" t="e">
        <f ca="1">_xll.BDH($C$478,"BPS_SEQUENTIAL_GROWTH","FQ3 2018","FQ3 2018","Currency=INR","Period=FQ","BEST_FPERIOD_OVERRIDE=FQ","FILING_STATUS=OR","EQY_CONSOLIDATED=Y","Sort=A","Dates=H","DateFormat=P","Fill=—","Direction=H","UseDPDF=Y")</f>
        <v>#NAME?</v>
      </c>
      <c r="BX501" s="2" t="e">
        <f ca="1">_xll.BDH($C$478,"CFO_SEQUENTIAL_GROWTH","FQ3 2018","FQ3 2018","Currency=INR","Period=FQ","BEST_FPERIOD_OVERRIDE=FQ","FILING_STATUS=OR","EQY_CONSOLIDATED=Y","Sort=A","Dates=H","DateFormat=P","Fill=—","Direction=H","UseDPDF=Y")</f>
        <v>#NAME?</v>
      </c>
      <c r="BY501" s="3" t="e">
        <f ca="1">_xll.BDH($C$478,"SHORT_AND_LONG_TERM_DEBT","FQ3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501" s="3" t="e">
        <f ca="1">_xll.BDH($C$478,"BS_ST_BORROW","FQ3 2018","FQ3 2018","Currency=INR","Period=FQ","BEST_FPERIOD_OVERRIDE=FQ","FILING_STATUS=OR","EQY_CONSOLIDATED=Y","SCALING_FORMAT=MLN","Sort=A","Dates=H","DateFormat=P","Fill=—","Direction=H","UseDPDF=Y")</f>
        <v>#NAME?</v>
      </c>
      <c r="CA501" s="3" t="e">
        <f ca="1">_xll.BDH($C$478,"BS_LT_BORROW","FQ3 2018","FQ3 2018","Currency=INR","Period=FQ","BEST_FPERIOD_OVERRIDE=FQ","FILING_STATUS=OR","EQY_CONSOLIDATED=Y","SCALING_FORMAT=MLN","Sort=A","Dates=H","DateFormat=P","Fill=—","Direction=H","UseDPDF=Y")</f>
        <v>#NAME?</v>
      </c>
      <c r="CB501" s="2" t="e">
        <f ca="1">_xll.BDH($C$478,"TOT_DEBT_TO_EBITDA","FQ3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501" s="2" t="e">
        <f ca="1">_xll.BDH($C$478,"NET_DEBT_TO_EBITDA","FQ3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501" s="2" t="e">
        <f ca="1">_xll.BDH($C$478,"TOTAL_DEBT_TO_EBIT","FQ3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501" s="2" t="e">
        <f ca="1">_xll.BDH($C$478,"NET_DEBT_TO_EBIT","FQ3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501" s="2" t="e">
        <f ca="1">_xll.BDH($C$478,"EBITDA_TO_INTEREST_EXPN","FQ3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501" s="2" t="e">
        <f ca="1">_xll.BDH($C$478,"COM_EQY_TO_TOT_ASSET","FQ3 2018","FQ3 2018","Currency=INR","Period=FQ","BEST_FPERIOD_OVERRIDE=FQ","FILING_STATUS=OR","EQY_CONSOLIDATED=Y","Sort=A","Dates=H","DateFormat=P","Fill=—","Direction=H","UseDPDF=Y")</f>
        <v>#NAME?</v>
      </c>
      <c r="CH501" s="2" t="e">
        <f ca="1">_xll.BDH($C$478,"LT_DEBT_TO_TOT_EQY","FQ3 2018","FQ3 2018","Currency=INR","Period=FQ","BEST_FPERIOD_OVERRIDE=FQ","FILING_STATUS=OR","EQY_CONSOLIDATED=Y","Sort=A","Dates=H","DateFormat=P","Fill=—","Direction=H","UseDPDF=Y")</f>
        <v>#NAME?</v>
      </c>
      <c r="CI501" s="2" t="e">
        <f ca="1">_xll.BDH($C$478,"LT_DEBT_TO_TOT_CAP","FQ3 2018","FQ3 2018","Currency=INR","Period=FQ","BEST_FPERIOD_OVERRIDE=FQ","FILING_STATUS=OR","EQY_CONSOLIDATED=Y","Sort=A","Dates=H","DateFormat=P","Fill=—","Direction=H","UseDPDF=Y")</f>
        <v>#NAME?</v>
      </c>
      <c r="CJ501" s="2" t="e">
        <f ca="1">_xll.BDH($C$478,"LT_DEBT_TO_TOT_ASSET","FQ3 2018","FQ3 2018","Currency=INR","Period=FQ","BEST_FPERIOD_OVERRIDE=FQ","FILING_STATUS=OR","EQY_CONSOLIDATED=Y","Sort=A","Dates=H","DateFormat=P","Fill=—","Direction=H","UseDPDF=Y")</f>
        <v>#NAME?</v>
      </c>
      <c r="CK501" s="2" t="e">
        <f ca="1">_xll.BDH($C$478,"TOT_DEBT_TO_TOT_EQY","FQ3 2018","FQ3 2018","Currency=INR","Period=FQ","BEST_FPERIOD_OVERRIDE=FQ","FILING_STATUS=OR","EQY_CONSOLIDATED=Y","Sort=A","Dates=H","DateFormat=P","Fill=—","Direction=H","UseDPDF=Y")</f>
        <v>#NAME?</v>
      </c>
      <c r="CL501" s="2" t="e">
        <f ca="1">_xll.BDH($C$478,"TOT_DEBT_TO_TOT_CAP","FQ3 2018","FQ3 2018","Currency=INR","Period=FQ","BEST_FPERIOD_OVERRIDE=FQ","FILING_STATUS=OR","EQY_CONSOLIDATED=Y","Sort=A","Dates=H","DateFormat=P","Fill=—","Direction=H","UseDPDF=Y")</f>
        <v>#NAME?</v>
      </c>
      <c r="CM501" s="2" t="e">
        <f ca="1">_xll.BDH($C$478,"TOT_DEBT_TO_TOT_ASSET","FQ3 2018","FQ3 2018","Currency=INR","Period=FQ","BEST_FPERIOD_OVERRIDE=FQ","FILING_STATUS=OR","EQY_CONSOLIDATED=Y","Sort=A","Dates=H","DateFormat=P","Fill=—","Direction=H","UseDPDF=Y")</f>
        <v>#NAME?</v>
      </c>
      <c r="CN501" s="2" t="e">
        <f ca="1">_xll.BDH($C$478,"NET_DEBT_TO_SHRHLDR_EQTY","FQ3 2018","FQ3 2018","Currency=INR","Period=FQ","BEST_FPERIOD_OVERRIDE=FQ","FILING_STATUS=OR","EQY_CONSOLIDATED=Y","Sort=A","Dates=H","DateFormat=P","Fill=—","Direction=H","UseDPDF=Y")</f>
        <v>#NAME?</v>
      </c>
      <c r="CO501" s="2" t="e">
        <f ca="1">_xll.BDH($C$478,"NET_DEBT_%_CAPITAL","FQ3 2018","FQ3 2018","Currency=INR","Period=FQ","BEST_FPERIOD_OVERRIDE=FQ","FILING_STATUS=OR","EQY_CONSOLIDATED=Y","Sort=A","Dates=H","DateFormat=P","Fill=—","Direction=H","UseDPDF=Y")</f>
        <v>#NAME?</v>
      </c>
      <c r="CP501" s="3" t="e">
        <f ca="1">_xll.BDH($C$478,"EBITDA","FQ3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501" s="3" t="e">
        <f ca="1">_xll.BDH($C$478,"EBITDA_AFTER_CAPEX","FQ3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501" s="3" t="e">
        <f ca="1">_xll.BDH($C$478,"IS_OPER_INC","FQ3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501" s="2" t="e">
        <f ca="1">_xll.BDH($C$478,"CASH_RATIO","FQ3 2018","FQ3 2018","Currency=INR","Period=FQ","BEST_FPERIOD_OVERRIDE=FQ","FILING_STATUS=OR","EQY_CONSOLIDATED=Y","Sort=A","Dates=H","DateFormat=P","Fill=—","Direction=H","UseDPDF=Y")</f>
        <v>#NAME?</v>
      </c>
      <c r="CT501" s="2" t="e">
        <f ca="1">_xll.BDH($C$478,"CUR_RATIO","FQ3 2018","FQ3 2018","Currency=INR","Period=FQ","BEST_FPERIOD_OVERRIDE=FQ","FILING_STATUS=OR","EQY_CONSOLIDATED=Y","Sort=A","Dates=H","DateFormat=P","Fill=—","Direction=H","UseDPDF=Y")</f>
        <v>#NAME?</v>
      </c>
      <c r="CU501" s="2" t="e">
        <f ca="1">_xll.BDH($C$478,"QUICK_RATIO","FQ3 2018","FQ3 2018","Currency=INR","Period=FQ","BEST_FPERIOD_OVERRIDE=FQ","FILING_STATUS=OR","EQY_CONSOLIDATED=Y","Sort=A","Dates=H","DateFormat=P","Fill=—","Direction=H","UseDPDF=Y")</f>
        <v>#NAME?</v>
      </c>
      <c r="CV501" s="2" t="e">
        <f ca="1">_xll.BDH($C$478,"ALTMAN_Z_SCORE","FQ3 2018","FQ3 2018","Currency=INR","Period=FQ","BEST_FPERIOD_OVERRIDE=FQ","FILING_STATUS=OR","EQY_CONSOLIDATED=Y","Sort=A","Dates=H","DateFormat=P","Fill=—","Direction=H","UseDPDF=Y")</f>
        <v>#NAME?</v>
      </c>
      <c r="CW501" s="4" t="e">
        <f ca="1">_xll.BDH($C$478,"ACCT_RCV_TURN","FQ3 2018","FQ3 2018","Currency=INR","Period=FQ","BEST_FPERIOD_OVERRIDE=FQ","FILING_STATUS=OR","EQY_CONSOLIDATED=Y","FA_ADJUSTED=GAAP","Sort=A","Dates=H","DateFormat=P","Fill=—","Direction=H","UseDPDF=Y")</f>
        <v>#NAME?</v>
      </c>
      <c r="CX501" s="2" t="e">
        <f ca="1">_xll.BDH($C$478,"ACCT_RCV_DAYS","FQ3 2018","FQ3 2018","Currency=INR","Period=FQ","BEST_FPERIOD_OVERRIDE=FQ","FILING_STATUS=OR","EQY_CONSOLIDATED=Y","FA_ADJUSTED=GAAP","Sort=A","Dates=H","DateFormat=P","Fill=—","Direction=H","UseDPDF=Y")</f>
        <v>#NAME?</v>
      </c>
      <c r="CY501" s="4" t="e">
        <f ca="1">_xll.BDH($C$478,"INVENT_TURN","FQ3 2018","FQ3 2018","Currency=INR","Period=FQ","BEST_FPERIOD_OVERRIDE=FQ","FILING_STATUS=OR","EQY_CONSOLIDATED=Y","FA_ADJUSTED=GAAP","Sort=A","Dates=H","DateFormat=P","Fill=—","Direction=H","UseDPDF=Y")</f>
        <v>#NAME?</v>
      </c>
      <c r="CZ501" s="2" t="e">
        <f ca="1">_xll.BDH($C$478,"INVENT_DAYS","FQ3 2018","FQ3 2018","Currency=INR","Period=FQ","BEST_FPERIOD_OVERRIDE=FQ","FILING_STATUS=OR","EQY_CONSOLIDATED=Y","FA_ADJUSTED=GAAP","Sort=A","Dates=H","DateFormat=P","Fill=—","Direction=H","UseDPDF=Y")</f>
        <v>#NAME?</v>
      </c>
      <c r="DA501" s="4" t="e">
        <f ca="1">_xll.BDH($C$478,"ACCOUNTS_PAYABLE_TURNOVER","FQ3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501" s="2" t="e">
        <f ca="1">_xll.BDH($C$478,"ACCOUNTS_PAYABLE_TURNOVER_DAYS","FQ3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501" s="4" t="e">
        <f ca="1">_xll.BDH($C$478,"CASH_CONVERSION_CYCLE","FQ3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501" s="4" t="e">
        <f ca="1">_xll.BDH($C$478,"INV_TO_CASH_DAYS","FQ3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501" s="5" t="e">
        <f ca="1">_xll.BDH($C$478,"BS_INVENTORIES","FQ3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501" s="3" t="e">
        <f ca="1">_xll.BDH($C$478,"INVTRY_RAW_MATERIALS","FQ3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501" s="3" t="e">
        <f ca="1">_xll.BDH($C$478,"INVTRY_IN_PROGRESS","FQ3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501" s="3" t="e">
        <f ca="1">_xll.BDH($C$478,"INVTRY_FINISHED_GOODS","FQ3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501" s="3" t="e">
        <f ca="1">_xll.BDH($C$478,"BS_OTHER_INV","FQ3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502" spans="1:113" x14ac:dyDescent="0.3">
      <c r="A502" s="6"/>
      <c r="B502" s="6"/>
      <c r="C502" s="6"/>
      <c r="D502" s="6"/>
      <c r="E502" t="s">
        <v>81</v>
      </c>
      <c r="F502" t="e">
        <f ca="1">_xll.BDH($C$478,"RETURN_COM_EQY","FQ4 2018","FQ4 2018","Currency=INR","Period=FQ","BEST_FPERIOD_OVERRIDE=FQ","FILING_STATUS=OR","EQY_CONSOLIDATED=Y","FA_ADJUSTED=GAAP","Sort=A","Dates=H","DateFormat=P","Fill=—","Direction=H","UseDPDF=Y")</f>
        <v>#NAME?</v>
      </c>
      <c r="G502" t="e">
        <f ca="1">_xll.BDH($C$478,"RETURN_ON_ASSET","FQ4 2018","FQ4 2018","Currency=INR","Period=FQ","BEST_FPERIOD_OVERRIDE=FQ","FILING_STATUS=OR","EQY_CONSOLIDATED=Y","FA_ADJUSTED=GAAP","Sort=A","Dates=H","DateFormat=P","Fill=—","Direction=H","UseDPDF=Y")</f>
        <v>#NAME?</v>
      </c>
      <c r="H502" t="e">
        <f ca="1">_xll.BDH($C$478,"RETURN_ON_CAP","FQ4 2018","FQ4 2018","Currency=INR","Period=FQ","BEST_FPERIOD_OVERRIDE=FQ","FILING_STATUS=OR","EQY_CONSOLIDATED=Y","FA_ADJUSTED=GAAP","Sort=A","Dates=H","DateFormat=P","Fill=—","Direction=H","UseDPDF=Y")</f>
        <v>#NAME?</v>
      </c>
      <c r="I502" t="e">
        <f ca="1">_xll.BDH($C$478,"RETURN_ON_INV_CAPITAL","FQ4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502" t="e">
        <f ca="1">_xll.BDH($C$478,"EBITDA_TO_REVENUE","FQ4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502" t="e">
        <f ca="1">_xll.BDH($C$478,"OPER_MARGIN","FQ4 2018","FQ4 2018","Currency=INR","Period=FQ","BEST_FPERIOD_OVERRIDE=FQ","FILING_STATUS=OR","EQY_CONSOLIDATED=Y","FA_ADJUSTED=GAAP","Sort=A","Dates=H","DateFormat=P","Fill=—","Direction=H","UseDPDF=Y")</f>
        <v>#NAME?</v>
      </c>
      <c r="L502" t="e">
        <f ca="1">_xll.BDH($C$478,"INCREMENTAL_OPERATING_MARGIN","FQ4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502" t="e">
        <f ca="1">_xll.BDH($C$478,"PRETAX_INC_TO_NET_SALES","FQ4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502" t="e">
        <f ca="1">_xll.BDH($C$478,"INC_BEF_XO_ITEMS_TO_NET_SALES","FQ4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502" t="e">
        <f ca="1">_xll.BDH($C$478,"PROF_MARGIN","FQ4 2018","FQ4 2018","Currency=INR","Period=FQ","BEST_FPERIOD_OVERRIDE=FQ","FILING_STATUS=OR","EQY_CONSOLIDATED=Y","FA_ADJUSTED=GAAP","Sort=A","Dates=H","DateFormat=P","Fill=—","Direction=H","UseDPDF=Y")</f>
        <v>#NAME?</v>
      </c>
      <c r="P502" t="e">
        <f ca="1">_xll.BDH($C$478,"NET_INCOME_TO_COMMON_MARGIN","FQ4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502" t="e">
        <f ca="1">_xll.BDH($C$478,"EFF_TAX_RATE","FQ4 2018","FQ4 2018","Currency=INR","Period=FQ","BEST_FPERIOD_OVERRIDE=FQ","FILING_STATUS=OR","EQY_CONSOLIDATED=Y","FA_ADJUSTED=GAAP","Sort=A","Dates=H","DateFormat=P","Fill=—","Direction=H","UseDPDF=Y")</f>
        <v>#NAME?</v>
      </c>
      <c r="R502" t="e">
        <f ca="1">_xll.BDH($C$478,"DVD_PAYOUT_RATIO","FQ4 2018","FQ4 2018","Currency=INR","Period=FQ","BEST_FPERIOD_OVERRIDE=FQ","FILING_STATUS=OR","EQY_CONSOLIDATED=Y","FA_ADJUSTED=GAAP","Sort=A","Dates=H","DateFormat=P","Fill=—","Direction=H","UseDPDF=Y")</f>
        <v>#NAME?</v>
      </c>
      <c r="S502" t="e">
        <f ca="1">_xll.BDH($C$478,"SUSTAIN_GROWTH_RT","FQ4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502" s="2" t="e">
        <f ca="1">_xll.BDH($C$478,"SALES_GROWTH","FQ4 2018","FQ4 2018","Currency=INR","Period=FQ","BEST_FPERIOD_OVERRIDE=FQ","FILING_STATUS=OR","EQY_CONSOLIDATED=Y","FA_ADJUSTED=GAAP","Sort=A","Dates=H","DateFormat=P","Fill=—","Direction=H","UseDPDF=Y")</f>
        <v>#NAME?</v>
      </c>
      <c r="U502" s="2" t="e">
        <f ca="1">_xll.BDH($C$478,"EBITDA_GROWTH","FQ4 2018","FQ4 2018","Currency=INR","Period=FQ","BEST_FPERIOD_OVERRIDE=FQ","FILING_STATUS=OR","EQY_CONSOLIDATED=Y","FA_ADJUSTED=GAAP","Sort=A","Dates=H","DateFormat=P","Fill=—","Direction=H","UseDPDF=Y")</f>
        <v>#NAME?</v>
      </c>
      <c r="V502" s="2" t="e">
        <f ca="1">_xll.BDH($C$478,"OPER_INC_GROWTH","FQ4 2018","FQ4 2018","Currency=INR","Period=FQ","BEST_FPERIOD_OVERRIDE=FQ","FILING_STATUS=OR","EQY_CONSOLIDATED=Y","FA_ADJUSTED=GAAP","Sort=A","Dates=H","DateFormat=P","Fill=—","Direction=H","UseDPDF=Y")</f>
        <v>#NAME?</v>
      </c>
      <c r="W502" s="2" t="e">
        <f ca="1">_xll.BDH($C$478,"EARN_FOR_COM_GROWTH","FQ4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502" s="2" t="e">
        <f ca="1">_xll.BDH($C$478,"DILUTED_EPS_AFT_XO_ITEMS_GROWTH","FQ4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502" s="2" t="e">
        <f ca="1">_xll.BDH($C$478,"DIVIDEND_PER_SHARE_1_YEAR_GROWTH","FQ4 2018","FQ4 2018","Currency=INR","Period=FQ","BEST_FPERIOD_OVERRIDE=FQ","FILING_STATUS=OR","EQY_CONSOLIDATED=Y","Sort=A","Dates=H","DateFormat=P","Fill=—","Direction=H","UseDPDF=Y")</f>
        <v>#NAME?</v>
      </c>
      <c r="Z502" s="2" t="e">
        <f ca="1">_xll.BDH($C$478,"ACCOUNTS_RECEIVABLE_GROWTH","FQ4 2018","FQ4 2018","Currency=INR","Period=FQ","BEST_FPERIOD_OVERRIDE=FQ","FILING_STATUS=OR","EQY_CONSOLIDATED=Y","Sort=A","Dates=H","DateFormat=P","Fill=—","Direction=H","UseDPDF=Y")</f>
        <v>#NAME?</v>
      </c>
      <c r="AA502" s="2" t="e">
        <f ca="1">_xll.BDH($C$478,"INVENTORY_GROWTH","FQ4 2018","FQ4 2018","Currency=INR","Period=FQ","BEST_FPERIOD_OVERRIDE=FQ","FILING_STATUS=OR","EQY_CONSOLIDATED=Y","Sort=A","Dates=H","DateFormat=P","Fill=—","Direction=H","UseDPDF=Y")</f>
        <v>#NAME?</v>
      </c>
      <c r="AB502" s="2" t="e">
        <f ca="1">_xll.BDH($C$478,"NET_FIXED_ASSETS_1_YEAR_GROWTH","FQ4 2018","FQ4 2018","Currency=INR","Period=FQ","BEST_FPERIOD_OVERRIDE=FQ","FILING_STATUS=OR","EQY_CONSOLIDATED=Y","Sort=A","Dates=H","DateFormat=P","Fill=—","Direction=H","UseDPDF=Y")</f>
        <v>#NAME?</v>
      </c>
      <c r="AC502" s="2" t="e">
        <f ca="1">_xll.BDH($C$478,"ASSET_GROWTH","FQ4 2018","FQ4 2018","Currency=INR","Period=FQ","BEST_FPERIOD_OVERRIDE=FQ","FILING_STATUS=OR","EQY_CONSOLIDATED=Y","Sort=A","Dates=H","DateFormat=P","Fill=—","Direction=H","UseDPDF=Y")</f>
        <v>#NAME?</v>
      </c>
      <c r="AD502" s="2" t="e">
        <f ca="1">_xll.BDH($C$478,"MODIFIED_WORK_CAP_GROWTH","FQ4 2018","FQ4 2018","Currency=INR","Period=FQ","BEST_FPERIOD_OVERRIDE=FQ","FILING_STATUS=OR","EQY_CONSOLIDATED=Y","Sort=A","Dates=H","DateFormat=P","Fill=—","Direction=H","UseDPDF=Y")</f>
        <v>#NAME?</v>
      </c>
      <c r="AE502" s="2" t="e">
        <f ca="1">_xll.BDH($C$478,"WORK_CAP_GROWTH","FQ4 2018","FQ4 2018","Currency=INR","Period=FQ","BEST_FPERIOD_OVERRIDE=FQ","FILING_STATUS=OR","EQY_CONSOLIDATED=Y","Sort=A","Dates=H","DateFormat=P","Fill=—","Direction=H","UseDPDF=Y")</f>
        <v>#NAME?</v>
      </c>
      <c r="AF502" s="2" t="e">
        <f ca="1">_xll.BDH($C$478,"ACCOUNTS_PAYABLE_GROWTH_1YR","FQ4 2018","FQ4 2018","Currency=INR","Period=FQ","BEST_FPERIOD_OVERRIDE=FQ","FILING_STATUS=OR","EQY_CONSOLIDATED=Y","Sort=A","Dates=H","DateFormat=P","Fill=—","Direction=H","UseDPDF=Y")</f>
        <v>#NAME?</v>
      </c>
      <c r="AG502" s="2" t="e">
        <f ca="1">_xll.BDH($C$478,"SHORT_TERM_DEBT_1_YEAR_GROWTH","FQ4 2018","FQ4 2018","Currency=INR","Period=FQ","BEST_FPERIOD_OVERRIDE=FQ","FILING_STATUS=OR","EQY_CONSOLIDATED=Y","Sort=A","Dates=H","DateFormat=P","Fill=—","Direction=H","UseDPDF=Y")</f>
        <v>#NAME?</v>
      </c>
      <c r="AH502" s="2" t="e">
        <f ca="1">_xll.BDH($C$478,"TOTAL_DEBT_1_YEAR_GROWTH","FQ4 2018","FQ4 2018","Currency=INR","Period=FQ","BEST_FPERIOD_OVERRIDE=FQ","FILING_STATUS=OR","EQY_CONSOLIDATED=Y","Sort=A","Dates=H","DateFormat=P","Fill=—","Direction=H","UseDPDF=Y")</f>
        <v>#NAME?</v>
      </c>
      <c r="AI502" s="2" t="e">
        <f ca="1">_xll.BDH($C$478,"TOTAL_EQUITY_1_YEAR_GROWTH","FQ4 2018","FQ4 2018","Currency=INR","Period=FQ","BEST_FPERIOD_OVERRIDE=FQ","FILING_STATUS=OR","EQY_CONSOLIDATED=Y","Sort=A","Dates=H","DateFormat=P","Fill=—","Direction=H","UseDPDF=Y")</f>
        <v>#NAME?</v>
      </c>
      <c r="AJ502" s="2" t="e">
        <f ca="1">_xll.BDH($C$478,"GROWTH_IN_CAP","FQ4 2018","FQ4 2018","Currency=INR","Period=FQ","BEST_FPERIOD_OVERRIDE=FQ","FILING_STATUS=OR","EQY_CONSOLIDATED=Y","Sort=A","Dates=H","DateFormat=P","Fill=—","Direction=H","UseDPDF=Y")</f>
        <v>#NAME?</v>
      </c>
      <c r="AK502" s="2" t="e">
        <f ca="1">_xll.BDH($C$478,"BVPS_GROWTH","FQ4 2018","FQ4 2018","Currency=INR","Period=FQ","BEST_FPERIOD_OVERRIDE=FQ","FILING_STATUS=OR","EQY_CONSOLIDATED=Y","Sort=A","Dates=H","DateFormat=P","Fill=—","Direction=H","UseDPDF=Y")</f>
        <v>#NAME?</v>
      </c>
      <c r="AL502" s="2" t="e">
        <f ca="1">_xll.BDH($C$478,"CASH_FLOW_GROWTH","FQ4 2018","FQ4 2018","Currency=INR","Period=FQ","BEST_FPERIOD_OVERRIDE=FQ","FILING_STATUS=OR","EQY_CONSOLIDATED=Y","Sort=A","Dates=H","DateFormat=P","Fill=—","Direction=H","UseDPDF=Y")</f>
        <v>#NAME?</v>
      </c>
      <c r="AM502" s="2" t="e">
        <f ca="1">_xll.BDH($C$478,"GEO_GROW_NET_SALES","FQ4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502" s="2" t="e">
        <f ca="1">_xll.BDH($C$478,"GEO_GROW_EBITDA","FQ4 2018","FQ4 2018","Currency=INR","Period=FQ","BEST_FPERIOD_OVERRIDE=FQ","FILING_STATUS=OR","EQY_CONSOLIDATED=Y","FA_ADJUSTED=GAAP","Sort=A","Dates=H","DateFormat=P","Fill=—","Direction=H","UseDPDF=Y")</f>
        <v>#NAME?</v>
      </c>
      <c r="AO502" s="2" t="e">
        <f ca="1">_xll.BDH($C$478,"GEO_GROW_OPER_INC","FQ4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502" s="2" t="e">
        <f ca="1">_xll.BDH($C$478,"NET_INCOME_TO_COMMON_5_YR_GROWTH","FQ4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502" s="2" t="e">
        <f ca="1">_xll.BDH($C$478,"5Y_GEO_GROWTH_DILUTED_EPS","FQ4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502" s="2" t="e">
        <f ca="1">_xll.BDH($C$478,"GEO_GROW_DVD_PER_SH","FQ4 2018","FQ4 2018","Currency=INR","Period=FQ","BEST_FPERIOD_OVERRIDE=FQ","FILING_STATUS=OR","EQY_CONSOLIDATED=Y","Sort=A","Dates=H","DateFormat=P","Fill=—","Direction=H","UseDPDF=Y")</f>
        <v>#NAME?</v>
      </c>
      <c r="AS502" s="2" t="e">
        <f ca="1">_xll.BDH($C$478,"ACCOUNTS_RECEIVABLE_5_YR_GROWTH","FQ4 2018","FQ4 2018","Currency=INR","Period=FQ","BEST_FPERIOD_OVERRIDE=FQ","FILING_STATUS=OR","EQY_CONSOLIDATED=Y","Sort=A","Dates=H","DateFormat=P","Fill=—","Direction=H","UseDPDF=Y")</f>
        <v>#NAME?</v>
      </c>
      <c r="AT502" s="2" t="e">
        <f ca="1">_xll.BDH($C$478,"INVENTORY_5_YEAR_GROWTH","FQ4 2018","FQ4 2018","Currency=INR","Period=FQ","BEST_FPERIOD_OVERRIDE=FQ","FILING_STATUS=OR","EQY_CONSOLIDATED=Y","Sort=A","Dates=H","DateFormat=P","Fill=—","Direction=H","UseDPDF=Y")</f>
        <v>#NAME?</v>
      </c>
      <c r="AU502" s="2" t="e">
        <f ca="1">_xll.BDH($C$478,"NET_FIXED_ASSETS_5_YEAR_GROWTH","FQ4 2018","FQ4 2018","Currency=INR","Period=FQ","BEST_FPERIOD_OVERRIDE=FQ","FILING_STATUS=OR","EQY_CONSOLIDATED=Y","Sort=A","Dates=H","DateFormat=P","Fill=—","Direction=H","UseDPDF=Y")</f>
        <v>#NAME?</v>
      </c>
      <c r="AV502" s="2" t="e">
        <f ca="1">_xll.BDH($C$478,"GEO_GROW_TOT_ASSET","FQ4 2018","FQ4 2018","Currency=INR","Period=FQ","BEST_FPERIOD_OVERRIDE=FQ","FILING_STATUS=OR","EQY_CONSOLIDATED=Y","Sort=A","Dates=H","DateFormat=P","Fill=—","Direction=H","UseDPDF=Y")</f>
        <v>#NAME?</v>
      </c>
      <c r="AW502" s="2" t="e">
        <f ca="1">_xll.BDH($C$478,"MODIFIED_WORKING_CPTL_5YR_GRWTH","FQ4 2018","FQ4 2018","Currency=INR","Period=FQ","BEST_FPERIOD_OVERRIDE=FQ","FILING_STATUS=OR","EQY_CONSOLIDATED=Y","Sort=A","Dates=H","DateFormat=P","Fill=—","Direction=H","UseDPDF=Y")</f>
        <v>#NAME?</v>
      </c>
      <c r="AX502" s="2" t="e">
        <f ca="1">_xll.BDH($C$478,"WORKING_CAPITAL_5_YEAR_GROWTH","FQ4 2018","FQ4 2018","Currency=INR","Period=FQ","BEST_FPERIOD_OVERRIDE=FQ","FILING_STATUS=OR","EQY_CONSOLIDATED=Y","Sort=A","Dates=H","DateFormat=P","Fill=—","Direction=H","UseDPDF=Y")</f>
        <v>#NAME?</v>
      </c>
      <c r="AY502" s="2" t="e">
        <f ca="1">_xll.BDH($C$478,"ACCOUNTS_PAYABLE_5_YEAR_GROWTH","FQ4 2018","FQ4 2018","Currency=INR","Period=FQ","BEST_FPERIOD_OVERRIDE=FQ","FILING_STATUS=OR","EQY_CONSOLIDATED=Y","Sort=A","Dates=H","DateFormat=P","Fill=—","Direction=H","UseDPDF=Y")</f>
        <v>#NAME?</v>
      </c>
      <c r="AZ502" s="2" t="e">
        <f ca="1">_xll.BDH($C$478,"SHORT_TERM_DEBT_5_YEAR_GROWTH","FQ4 2018","FQ4 2018","Currency=INR","Period=FQ","BEST_FPERIOD_OVERRIDE=FQ","FILING_STATUS=OR","EQY_CONSOLIDATED=Y","Sort=A","Dates=H","DateFormat=P","Fill=—","Direction=H","UseDPDF=Y")</f>
        <v>#NAME?</v>
      </c>
      <c r="BA502" s="2" t="e">
        <f ca="1">_xll.BDH($C$478,"TOTAL_DEBT_5_YEAR_GROWTH","FQ4 2018","FQ4 2018","Currency=INR","Period=FQ","BEST_FPERIOD_OVERRIDE=FQ","FILING_STATUS=OR","EQY_CONSOLIDATED=Y","Sort=A","Dates=H","DateFormat=P","Fill=—","Direction=H","UseDPDF=Y")</f>
        <v>#NAME?</v>
      </c>
      <c r="BB502" s="2" t="e">
        <f ca="1">_xll.BDH($C$478,"GEO_GROW_TOT_SHRHLDR_EQY","FQ4 2018","FQ4 2018","Currency=INR","Period=FQ","BEST_FPERIOD_OVERRIDE=FQ","FILING_STATUS=OR","EQY_CONSOLIDATED=Y","Sort=A","Dates=H","DateFormat=P","Fill=—","Direction=H","UseDPDF=Y")</f>
        <v>#NAME?</v>
      </c>
      <c r="BC502" s="2" t="e">
        <f ca="1">_xll.BDH($C$478,"TOTAL_CAPITAL_5_YEAR_GROWTH","FQ4 2018","FQ4 2018","Currency=INR","Period=FQ","BEST_FPERIOD_OVERRIDE=FQ","FILING_STATUS=OR","EQY_CONSOLIDATED=Y","Sort=A","Dates=H","DateFormat=P","Fill=—","Direction=H","UseDPDF=Y")</f>
        <v>#NAME?</v>
      </c>
      <c r="BD502" s="2" t="e">
        <f ca="1">_xll.BDH($C$478,"GEO_GROW_BOOK_VAL","FQ4 2018","FQ4 2018","Currency=INR","Period=FQ","BEST_FPERIOD_OVERRIDE=FQ","FILING_STATUS=OR","EQY_CONSOLIDATED=Y","Sort=A","Dates=H","DateFormat=P","Fill=—","Direction=H","UseDPDF=Y")</f>
        <v>#NAME?</v>
      </c>
      <c r="BE502" s="2" t="e">
        <f ca="1">_xll.BDH($C$478,"GEO_GROW_CASH_OPER_ACT","FQ4 2018","FQ4 2018","Currency=INR","Period=FQ","BEST_FPERIOD_OVERRIDE=FQ","FILING_STATUS=OR","EQY_CONSOLIDATED=Y","Sort=A","Dates=H","DateFormat=P","Fill=—","Direction=H","UseDPDF=Y")</f>
        <v>#NAME?</v>
      </c>
      <c r="BF502" s="2" t="e">
        <f ca="1">_xll.BDH($C$478,"REVENUE_SEQUENTIAL_GROWTH","FQ4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502" s="2" t="e">
        <f ca="1">_xll.BDH($C$478,"EBITDA_SEQUENTIAL_GROWTH","FQ4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502" s="2" t="e">
        <f ca="1">_xll.BDH($C$478,"OPERATING_INCOME_SEQ_GROWTH","FQ4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502" s="2" t="e">
        <f ca="1">_xll.BDH($C$478,"NET_INCOME_TO_COMMON_SEQ_GROWTH","FQ4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502" s="2" t="e">
        <f ca="1">_xll.BDH($C$478,"EPS_DILUTED_SEQUENTIAL_GROWTH","FQ4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502" s="2" t="e">
        <f ca="1">_xll.BDH($C$478,"DPS_SEQUENTIAL_GROWTH","FQ4 2018","FQ4 2018","Currency=INR","Period=FQ","BEST_FPERIOD_OVERRIDE=FQ","FILING_STATUS=OR","EQY_CONSOLIDATED=Y","Sort=A","Dates=H","DateFormat=P","Fill=—","Direction=H","UseDPDF=Y")</f>
        <v>#NAME?</v>
      </c>
      <c r="BL502" s="2" t="e">
        <f ca="1">_xll.BDH($C$478,"ACCOUNTS_RECEIVABLE_SEQ_GROWTH","FQ4 2018","FQ4 2018","Currency=INR","Period=FQ","BEST_FPERIOD_OVERRIDE=FQ","FILING_STATUS=OR","EQY_CONSOLIDATED=Y","Sort=A","Dates=H","DateFormat=P","Fill=—","Direction=H","UseDPDF=Y")</f>
        <v>#NAME?</v>
      </c>
      <c r="BM502" s="2" t="e">
        <f ca="1">_xll.BDH($C$478,"INVENTORY_SEQUENTIAL_GROWTH","FQ4 2018","FQ4 2018","Currency=INR","Period=FQ","BEST_FPERIOD_OVERRIDE=FQ","FILING_STATUS=OR","EQY_CONSOLIDATED=Y","Sort=A","Dates=H","DateFormat=P","Fill=—","Direction=H","UseDPDF=Y")</f>
        <v>#NAME?</v>
      </c>
      <c r="BN502" s="2" t="e">
        <f ca="1">_xll.BDH($C$478,"FIXED_ASSETS_SEQUENTIAL_GROWTH","FQ4 2018","FQ4 2018","Currency=INR","Period=FQ","BEST_FPERIOD_OVERRIDE=FQ","FILING_STATUS=OR","EQY_CONSOLIDATED=Y","Sort=A","Dates=H","DateFormat=P","Fill=—","Direction=H","UseDPDF=Y")</f>
        <v>#NAME?</v>
      </c>
      <c r="BO502" s="2" t="e">
        <f ca="1">_xll.BDH($C$478,"TOTAL_ASSETS_SEQUENTIAL_GROWTH","FQ4 2018","FQ4 2018","Currency=INR","Period=FQ","BEST_FPERIOD_OVERRIDE=FQ","FILING_STATUS=OR","EQY_CONSOLIDATED=Y","Sort=A","Dates=H","DateFormat=P","Fill=—","Direction=H","UseDPDF=Y")</f>
        <v>#NAME?</v>
      </c>
      <c r="BP502" s="2" t="e">
        <f ca="1">_xll.BDH($C$478,"MODIFIED_WORKING_CPTL_SEQ_GRWTH","FQ4 2018","FQ4 2018","Currency=INR","Period=FQ","BEST_FPERIOD_OVERRIDE=FQ","FILING_STATUS=OR","EQY_CONSOLIDATED=Y","Sort=A","Dates=H","DateFormat=P","Fill=—","Direction=H","UseDPDF=Y")</f>
        <v>#NAME?</v>
      </c>
      <c r="BQ502" s="2" t="e">
        <f ca="1">_xll.BDH($C$478,"WORKING_CAPITAL_SEQ_GROWTH","FQ4 2018","FQ4 2018","Currency=INR","Period=FQ","BEST_FPERIOD_OVERRIDE=FQ","FILING_STATUS=OR","EQY_CONSOLIDATED=Y","Sort=A","Dates=H","DateFormat=P","Fill=—","Direction=H","UseDPDF=Y")</f>
        <v>#NAME?</v>
      </c>
      <c r="BR502" s="2" t="e">
        <f ca="1">_xll.BDH($C$478,"ACCOUNTS_PAYABLE_SEQ_GROWTH","FQ4 2018","FQ4 2018","Currency=INR","Period=FQ","BEST_FPERIOD_OVERRIDE=FQ","FILING_STATUS=OR","EQY_CONSOLIDATED=Y","Sort=A","Dates=H","DateFormat=P","Fill=—","Direction=H","UseDPDF=Y")</f>
        <v>#NAME?</v>
      </c>
      <c r="BS502" s="2" t="e">
        <f ca="1">_xll.BDH($C$478,"ST_DEBT_SEQUENTIAL_GROWTH","FQ4 2018","FQ4 2018","Currency=INR","Period=FQ","BEST_FPERIOD_OVERRIDE=FQ","FILING_STATUS=OR","EQY_CONSOLIDATED=Y","Sort=A","Dates=H","DateFormat=P","Fill=—","Direction=H","UseDPDF=Y")</f>
        <v>#NAME?</v>
      </c>
      <c r="BT502" s="2" t="e">
        <f ca="1">_xll.BDH($C$478,"TOTAL_DEBT_SEQUENTIAL_GROWTH","FQ4 2018","FQ4 2018","Currency=INR","Period=FQ","BEST_FPERIOD_OVERRIDE=FQ","FILING_STATUS=OR","EQY_CONSOLIDATED=Y","Sort=A","Dates=H","DateFormat=P","Fill=—","Direction=H","UseDPDF=Y")</f>
        <v>#NAME?</v>
      </c>
      <c r="BU502" s="2" t="e">
        <f ca="1">_xll.BDH($C$478,"TOTAL_EQUITY_SEQUENTIAL_GROWTH","FQ4 2018","FQ4 2018","Currency=INR","Period=FQ","BEST_FPERIOD_OVERRIDE=FQ","FILING_STATUS=OR","EQY_CONSOLIDATED=Y","Sort=A","Dates=H","DateFormat=P","Fill=—","Direction=H","UseDPDF=Y")</f>
        <v>#NAME?</v>
      </c>
      <c r="BV502" s="2" t="e">
        <f ca="1">_xll.BDH($C$478,"TOTAL_CAPITAL_SEQUENTIAL_GROWTH","FQ4 2018","FQ4 2018","Currency=INR","Period=FQ","BEST_FPERIOD_OVERRIDE=FQ","FILING_STATUS=OR","EQY_CONSOLIDATED=Y","Sort=A","Dates=H","DateFormat=P","Fill=—","Direction=H","UseDPDF=Y")</f>
        <v>#NAME?</v>
      </c>
      <c r="BW502" s="2" t="e">
        <f ca="1">_xll.BDH($C$478,"BPS_SEQUENTIAL_GROWTH","FQ4 2018","FQ4 2018","Currency=INR","Period=FQ","BEST_FPERIOD_OVERRIDE=FQ","FILING_STATUS=OR","EQY_CONSOLIDATED=Y","Sort=A","Dates=H","DateFormat=P","Fill=—","Direction=H","UseDPDF=Y")</f>
        <v>#NAME?</v>
      </c>
      <c r="BX502" s="2" t="e">
        <f ca="1">_xll.BDH($C$478,"CFO_SEQUENTIAL_GROWTH","FQ4 2018","FQ4 2018","Currency=INR","Period=FQ","BEST_FPERIOD_OVERRIDE=FQ","FILING_STATUS=OR","EQY_CONSOLIDATED=Y","Sort=A","Dates=H","DateFormat=P","Fill=—","Direction=H","UseDPDF=Y")</f>
        <v>#NAME?</v>
      </c>
      <c r="BY502" s="3" t="e">
        <f ca="1">_xll.BDH($C$478,"SHORT_AND_LONG_TERM_DEBT","FQ4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502" s="3" t="e">
        <f ca="1">_xll.BDH($C$478,"BS_ST_BORROW","FQ4 2018","FQ4 2018","Currency=INR","Period=FQ","BEST_FPERIOD_OVERRIDE=FQ","FILING_STATUS=OR","EQY_CONSOLIDATED=Y","SCALING_FORMAT=MLN","Sort=A","Dates=H","DateFormat=P","Fill=—","Direction=H","UseDPDF=Y")</f>
        <v>#NAME?</v>
      </c>
      <c r="CA502" s="3" t="e">
        <f ca="1">_xll.BDH($C$478,"BS_LT_BORROW","FQ4 2018","FQ4 2018","Currency=INR","Period=FQ","BEST_FPERIOD_OVERRIDE=FQ","FILING_STATUS=OR","EQY_CONSOLIDATED=Y","SCALING_FORMAT=MLN","Sort=A","Dates=H","DateFormat=P","Fill=—","Direction=H","UseDPDF=Y")</f>
        <v>#NAME?</v>
      </c>
      <c r="CB502" s="2" t="e">
        <f ca="1">_xll.BDH($C$478,"TOT_DEBT_TO_EBITDA","FQ4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502" s="2" t="e">
        <f ca="1">_xll.BDH($C$478,"NET_DEBT_TO_EBITDA","FQ4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502" s="2" t="e">
        <f ca="1">_xll.BDH($C$478,"TOTAL_DEBT_TO_EBIT","FQ4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502" s="2" t="e">
        <f ca="1">_xll.BDH($C$478,"NET_DEBT_TO_EBIT","FQ4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502" s="2" t="e">
        <f ca="1">_xll.BDH($C$478,"EBITDA_TO_INTEREST_EXPN","FQ4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502" s="2" t="e">
        <f ca="1">_xll.BDH($C$478,"COM_EQY_TO_TOT_ASSET","FQ4 2018","FQ4 2018","Currency=INR","Period=FQ","BEST_FPERIOD_OVERRIDE=FQ","FILING_STATUS=OR","EQY_CONSOLIDATED=Y","Sort=A","Dates=H","DateFormat=P","Fill=—","Direction=H","UseDPDF=Y")</f>
        <v>#NAME?</v>
      </c>
      <c r="CH502" s="2" t="e">
        <f ca="1">_xll.BDH($C$478,"LT_DEBT_TO_TOT_EQY","FQ4 2018","FQ4 2018","Currency=INR","Period=FQ","BEST_FPERIOD_OVERRIDE=FQ","FILING_STATUS=OR","EQY_CONSOLIDATED=Y","Sort=A","Dates=H","DateFormat=P","Fill=—","Direction=H","UseDPDF=Y")</f>
        <v>#NAME?</v>
      </c>
      <c r="CI502" s="2" t="e">
        <f ca="1">_xll.BDH($C$478,"LT_DEBT_TO_TOT_CAP","FQ4 2018","FQ4 2018","Currency=INR","Period=FQ","BEST_FPERIOD_OVERRIDE=FQ","FILING_STATUS=OR","EQY_CONSOLIDATED=Y","Sort=A","Dates=H","DateFormat=P","Fill=—","Direction=H","UseDPDF=Y")</f>
        <v>#NAME?</v>
      </c>
      <c r="CJ502" s="2" t="e">
        <f ca="1">_xll.BDH($C$478,"LT_DEBT_TO_TOT_ASSET","FQ4 2018","FQ4 2018","Currency=INR","Period=FQ","BEST_FPERIOD_OVERRIDE=FQ","FILING_STATUS=OR","EQY_CONSOLIDATED=Y","Sort=A","Dates=H","DateFormat=P","Fill=—","Direction=H","UseDPDF=Y")</f>
        <v>#NAME?</v>
      </c>
      <c r="CK502" s="2" t="e">
        <f ca="1">_xll.BDH($C$478,"TOT_DEBT_TO_TOT_EQY","FQ4 2018","FQ4 2018","Currency=INR","Period=FQ","BEST_FPERIOD_OVERRIDE=FQ","FILING_STATUS=OR","EQY_CONSOLIDATED=Y","Sort=A","Dates=H","DateFormat=P","Fill=—","Direction=H","UseDPDF=Y")</f>
        <v>#NAME?</v>
      </c>
      <c r="CL502" s="2" t="e">
        <f ca="1">_xll.BDH($C$478,"TOT_DEBT_TO_TOT_CAP","FQ4 2018","FQ4 2018","Currency=INR","Period=FQ","BEST_FPERIOD_OVERRIDE=FQ","FILING_STATUS=OR","EQY_CONSOLIDATED=Y","Sort=A","Dates=H","DateFormat=P","Fill=—","Direction=H","UseDPDF=Y")</f>
        <v>#NAME?</v>
      </c>
      <c r="CM502" s="2" t="e">
        <f ca="1">_xll.BDH($C$478,"TOT_DEBT_TO_TOT_ASSET","FQ4 2018","FQ4 2018","Currency=INR","Period=FQ","BEST_FPERIOD_OVERRIDE=FQ","FILING_STATUS=OR","EQY_CONSOLIDATED=Y","Sort=A","Dates=H","DateFormat=P","Fill=—","Direction=H","UseDPDF=Y")</f>
        <v>#NAME?</v>
      </c>
      <c r="CN502" s="2" t="e">
        <f ca="1">_xll.BDH($C$478,"NET_DEBT_TO_SHRHLDR_EQTY","FQ4 2018","FQ4 2018","Currency=INR","Period=FQ","BEST_FPERIOD_OVERRIDE=FQ","FILING_STATUS=OR","EQY_CONSOLIDATED=Y","Sort=A","Dates=H","DateFormat=P","Fill=—","Direction=H","UseDPDF=Y")</f>
        <v>#NAME?</v>
      </c>
      <c r="CO502" s="2" t="e">
        <f ca="1">_xll.BDH($C$478,"NET_DEBT_%_CAPITAL","FQ4 2018","FQ4 2018","Currency=INR","Period=FQ","BEST_FPERIOD_OVERRIDE=FQ","FILING_STATUS=OR","EQY_CONSOLIDATED=Y","Sort=A","Dates=H","DateFormat=P","Fill=—","Direction=H","UseDPDF=Y")</f>
        <v>#NAME?</v>
      </c>
      <c r="CP502" s="3" t="e">
        <f ca="1">_xll.BDH($C$478,"EBITDA","FQ4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502" s="3" t="e">
        <f ca="1">_xll.BDH($C$478,"EBITDA_AFTER_CAPEX","FQ4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502" s="3" t="e">
        <f ca="1">_xll.BDH($C$478,"IS_OPER_INC","FQ4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502" s="2" t="e">
        <f ca="1">_xll.BDH($C$478,"CASH_RATIO","FQ4 2018","FQ4 2018","Currency=INR","Period=FQ","BEST_FPERIOD_OVERRIDE=FQ","FILING_STATUS=OR","EQY_CONSOLIDATED=Y","Sort=A","Dates=H","DateFormat=P","Fill=—","Direction=H","UseDPDF=Y")</f>
        <v>#NAME?</v>
      </c>
      <c r="CT502" s="2" t="e">
        <f ca="1">_xll.BDH($C$478,"CUR_RATIO","FQ4 2018","FQ4 2018","Currency=INR","Period=FQ","BEST_FPERIOD_OVERRIDE=FQ","FILING_STATUS=OR","EQY_CONSOLIDATED=Y","Sort=A","Dates=H","DateFormat=P","Fill=—","Direction=H","UseDPDF=Y")</f>
        <v>#NAME?</v>
      </c>
      <c r="CU502" s="2" t="e">
        <f ca="1">_xll.BDH($C$478,"QUICK_RATIO","FQ4 2018","FQ4 2018","Currency=INR","Period=FQ","BEST_FPERIOD_OVERRIDE=FQ","FILING_STATUS=OR","EQY_CONSOLIDATED=Y","Sort=A","Dates=H","DateFormat=P","Fill=—","Direction=H","UseDPDF=Y")</f>
        <v>#NAME?</v>
      </c>
      <c r="CV502" s="2" t="e">
        <f ca="1">_xll.BDH($C$478,"ALTMAN_Z_SCORE","FQ4 2018","FQ4 2018","Currency=INR","Period=FQ","BEST_FPERIOD_OVERRIDE=FQ","FILING_STATUS=OR","EQY_CONSOLIDATED=Y","Sort=A","Dates=H","DateFormat=P","Fill=—","Direction=H","UseDPDF=Y")</f>
        <v>#NAME?</v>
      </c>
      <c r="CW502" s="4" t="e">
        <f ca="1">_xll.BDH($C$478,"ACCT_RCV_TURN","FQ4 2018","FQ4 2018","Currency=INR","Period=FQ","BEST_FPERIOD_OVERRIDE=FQ","FILING_STATUS=OR","EQY_CONSOLIDATED=Y","FA_ADJUSTED=GAAP","Sort=A","Dates=H","DateFormat=P","Fill=—","Direction=H","UseDPDF=Y")</f>
        <v>#NAME?</v>
      </c>
      <c r="CX502" s="2" t="e">
        <f ca="1">_xll.BDH($C$478,"ACCT_RCV_DAYS","FQ4 2018","FQ4 2018","Currency=INR","Period=FQ","BEST_FPERIOD_OVERRIDE=FQ","FILING_STATUS=OR","EQY_CONSOLIDATED=Y","FA_ADJUSTED=GAAP","Sort=A","Dates=H","DateFormat=P","Fill=—","Direction=H","UseDPDF=Y")</f>
        <v>#NAME?</v>
      </c>
      <c r="CY502" s="4" t="e">
        <f ca="1">_xll.BDH($C$478,"INVENT_TURN","FQ4 2018","FQ4 2018","Currency=INR","Period=FQ","BEST_FPERIOD_OVERRIDE=FQ","FILING_STATUS=OR","EQY_CONSOLIDATED=Y","FA_ADJUSTED=GAAP","Sort=A","Dates=H","DateFormat=P","Fill=—","Direction=H","UseDPDF=Y")</f>
        <v>#NAME?</v>
      </c>
      <c r="CZ502" s="2" t="e">
        <f ca="1">_xll.BDH($C$478,"INVENT_DAYS","FQ4 2018","FQ4 2018","Currency=INR","Period=FQ","BEST_FPERIOD_OVERRIDE=FQ","FILING_STATUS=OR","EQY_CONSOLIDATED=Y","FA_ADJUSTED=GAAP","Sort=A","Dates=H","DateFormat=P","Fill=—","Direction=H","UseDPDF=Y")</f>
        <v>#NAME?</v>
      </c>
      <c r="DA502" s="4" t="e">
        <f ca="1">_xll.BDH($C$478,"ACCOUNTS_PAYABLE_TURNOVER","FQ4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502" s="2" t="e">
        <f ca="1">_xll.BDH($C$478,"ACCOUNTS_PAYABLE_TURNOVER_DAYS","FQ4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502" s="4" t="e">
        <f ca="1">_xll.BDH($C$478,"CASH_CONVERSION_CYCLE","FQ4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502" s="4" t="e">
        <f ca="1">_xll.BDH($C$478,"INV_TO_CASH_DAYS","FQ4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502" s="5" t="e">
        <f ca="1">_xll.BDH($C$478,"BS_INVENTORIES","FQ4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502" s="3" t="e">
        <f ca="1">_xll.BDH($C$478,"INVTRY_RAW_MATERIALS","FQ4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502" s="3" t="e">
        <f ca="1">_xll.BDH($C$478,"INVTRY_IN_PROGRESS","FQ4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502" s="3" t="e">
        <f ca="1">_xll.BDH($C$478,"INVTRY_FINISHED_GOODS","FQ4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502" s="3" t="e">
        <f ca="1">_xll.BDH($C$478,"BS_OTHER_INV","FQ4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503" spans="1:113" x14ac:dyDescent="0.3">
      <c r="A503" s="6">
        <v>21</v>
      </c>
      <c r="B503" s="6" t="s">
        <v>124</v>
      </c>
      <c r="C503" s="6" t="s">
        <v>125</v>
      </c>
      <c r="D503" s="6" t="s">
        <v>76</v>
      </c>
      <c r="E503" t="s">
        <v>77</v>
      </c>
      <c r="F503" t="e">
        <f ca="1">_xll.BDH($C$503,"RETURN_COM_EQY","FY 2014","FY 2014","Currency=INR","Period=FY","BEST_FPERIOD_OVERRIDE=FY","FILING_STATUS=OR","EQY_CONSOLIDATED=Y","FA_ADJUSTED=GAAP","Sort=A","Dates=H","DateFormat=P","Fill=—","Direction=H","UseDPDF=Y")</f>
        <v>#NAME?</v>
      </c>
      <c r="G503" t="e">
        <f ca="1">_xll.BDH($C$503,"RETURN_ON_ASSET","FY 2014","FY 2014","Currency=INR","Period=FY","BEST_FPERIOD_OVERRIDE=FY","FILING_STATUS=OR","EQY_CONSOLIDATED=Y","FA_ADJUSTED=GAAP","Sort=A","Dates=H","DateFormat=P","Fill=—","Direction=H","UseDPDF=Y")</f>
        <v>#NAME?</v>
      </c>
      <c r="H503" t="e">
        <f ca="1">_xll.BDH($C$503,"RETURN_ON_CAP","FY 2014","FY 2014","Currency=INR","Period=FY","BEST_FPERIOD_OVERRIDE=FY","FILING_STATUS=OR","EQY_CONSOLIDATED=Y","FA_ADJUSTED=GAAP","Sort=A","Dates=H","DateFormat=P","Fill=—","Direction=H","UseDPDF=Y")</f>
        <v>#NAME?</v>
      </c>
      <c r="I503" t="e">
        <f ca="1">_xll.BDH($C$503,"RETURN_ON_INV_CAPITAL","FY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503" t="e">
        <f ca="1">_xll.BDH($C$503,"EBITDA_TO_REVENUE","FY 2014","FY 2014","Currency=INR","Period=FY","BEST_FPERIOD_OVERRIDE=FY","FILING_STATUS=OR","EQY_CONSOLIDATED=Y","FA_ADJUSTED=GAAP","Sort=A","Dates=H","DateFormat=P","Fill=—","Direction=H","UseDPDF=Y")</f>
        <v>#NAME?</v>
      </c>
      <c r="K503" t="e">
        <f ca="1">_xll.BDH($C$503,"OPER_MARGIN","FY 2014","FY 2014","Currency=INR","Period=FY","BEST_FPERIOD_OVERRIDE=FY","FILING_STATUS=OR","EQY_CONSOLIDATED=Y","FA_ADJUSTED=GAAP","Sort=A","Dates=H","DateFormat=P","Fill=—","Direction=H","UseDPDF=Y")</f>
        <v>#NAME?</v>
      </c>
      <c r="L503" t="e">
        <f ca="1">_xll.BDH($C$503,"INCREMENTAL_OPERATING_MARGIN","FY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503" t="e">
        <f ca="1">_xll.BDH($C$503,"PRETAX_INC_TO_NET_SALES","FY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503" t="e">
        <f ca="1">_xll.BDH($C$503,"INC_BEF_XO_ITEMS_TO_NET_SALES","FY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503" t="e">
        <f ca="1">_xll.BDH($C$503,"PROF_MARGIN","FY 2014","FY 2014","Currency=INR","Period=FY","BEST_FPERIOD_OVERRIDE=FY","FILING_STATUS=OR","EQY_CONSOLIDATED=Y","FA_ADJUSTED=GAAP","Sort=A","Dates=H","DateFormat=P","Fill=—","Direction=H","UseDPDF=Y")</f>
        <v>#NAME?</v>
      </c>
      <c r="P503" t="e">
        <f ca="1">_xll.BDH($C$503,"NET_INCOME_TO_COMMON_MARGIN","FY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503" t="e">
        <f ca="1">_xll.BDH($C$503,"EFF_TAX_RATE","FY 2014","FY 2014","Currency=INR","Period=FY","BEST_FPERIOD_OVERRIDE=FY","FILING_STATUS=OR","EQY_CONSOLIDATED=Y","FA_ADJUSTED=GAAP","Sort=A","Dates=H","DateFormat=P","Fill=—","Direction=H","UseDPDF=Y")</f>
        <v>#NAME?</v>
      </c>
      <c r="R503" t="e">
        <f ca="1">_xll.BDH($C$503,"DVD_PAYOUT_RATIO","FY 2014","FY 2014","Currency=INR","Period=FY","BEST_FPERIOD_OVERRIDE=FY","FILING_STATUS=OR","EQY_CONSOLIDATED=Y","FA_ADJUSTED=GAAP","Sort=A","Dates=H","DateFormat=P","Fill=—","Direction=H","UseDPDF=Y")</f>
        <v>#NAME?</v>
      </c>
      <c r="S503" t="e">
        <f ca="1">_xll.BDH($C$503,"SUSTAIN_GROWTH_RT","FY 2014","FY 2014","Currency=INR","Period=FY","BEST_FPERIOD_OVERRIDE=FY","FILING_STATUS=OR","EQY_CONSOLIDATED=Y","FA_ADJUSTED=GAAP","Sort=A","Dates=H","DateFormat=P","Fill=—","Direction=H","UseDPDF=Y")</f>
        <v>#NAME?</v>
      </c>
      <c r="T503" s="2" t="e">
        <f ca="1">_xll.BDH($C$503,"SALES_GROWTH","FY 2014","FY 2014","Currency=INR","Period=FY","BEST_FPERIOD_OVERRIDE=FY","FILING_STATUS=OR","EQY_CONSOLIDATED=Y","FA_ADJUSTED=GAAP","Sort=A","Dates=H","DateFormat=P","Fill=—","Direction=H","UseDPDF=Y")</f>
        <v>#NAME?</v>
      </c>
      <c r="U503" s="2" t="e">
        <f ca="1">_xll.BDH($C$503,"EBITDA_GROWTH","FY 2014","FY 2014","Currency=INR","Period=FY","BEST_FPERIOD_OVERRIDE=FY","FILING_STATUS=OR","EQY_CONSOLIDATED=Y","FA_ADJUSTED=GAAP","Sort=A","Dates=H","DateFormat=P","Fill=—","Direction=H","UseDPDF=Y")</f>
        <v>#NAME?</v>
      </c>
      <c r="V503" s="2" t="e">
        <f ca="1">_xll.BDH($C$503,"OPER_INC_GROWTH","FY 2014","FY 2014","Currency=INR","Period=FY","BEST_FPERIOD_OVERRIDE=FY","FILING_STATUS=OR","EQY_CONSOLIDATED=Y","FA_ADJUSTED=GAAP","Sort=A","Dates=H","DateFormat=P","Fill=—","Direction=H","UseDPDF=Y")</f>
        <v>#NAME?</v>
      </c>
      <c r="W503" s="2" t="e">
        <f ca="1">_xll.BDH($C$503,"EARN_FOR_COM_GROWTH","FY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503" s="2" t="e">
        <f ca="1">_xll.BDH($C$503,"DILUTED_EPS_AFT_XO_ITEMS_GROWTH","FY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503" s="2" t="e">
        <f ca="1">_xll.BDH($C$503,"DIVIDEND_PER_SHARE_1_YEAR_GROWTH","FY 2014","FY 2014","Currency=INR","Period=FY","BEST_FPERIOD_OVERRIDE=FY","FILING_STATUS=OR","EQY_CONSOLIDATED=Y","Sort=A","Dates=H","DateFormat=P","Fill=—","Direction=H","UseDPDF=Y")</f>
        <v>#NAME?</v>
      </c>
      <c r="Z503" s="2" t="e">
        <f ca="1">_xll.BDH($C$503,"ACCOUNTS_RECEIVABLE_GROWTH","FY 2014","FY 2014","Currency=INR","Period=FY","BEST_FPERIOD_OVERRIDE=FY","FILING_STATUS=OR","EQY_CONSOLIDATED=Y","Sort=A","Dates=H","DateFormat=P","Fill=—","Direction=H","UseDPDF=Y")</f>
        <v>#NAME?</v>
      </c>
      <c r="AA503" s="2" t="e">
        <f ca="1">_xll.BDH($C$503,"INVENTORY_GROWTH","FY 2014","FY 2014","Currency=INR","Period=FY","BEST_FPERIOD_OVERRIDE=FY","FILING_STATUS=OR","EQY_CONSOLIDATED=Y","Sort=A","Dates=H","DateFormat=P","Fill=—","Direction=H","UseDPDF=Y")</f>
        <v>#NAME?</v>
      </c>
      <c r="AB503" s="2" t="e">
        <f ca="1">_xll.BDH($C$503,"NET_FIXED_ASSETS_1_YEAR_GROWTH","FY 2014","FY 2014","Currency=INR","Period=FY","BEST_FPERIOD_OVERRIDE=FY","FILING_STATUS=OR","EQY_CONSOLIDATED=Y","Sort=A","Dates=H","DateFormat=P","Fill=—","Direction=H","UseDPDF=Y")</f>
        <v>#NAME?</v>
      </c>
      <c r="AC503" s="2" t="e">
        <f ca="1">_xll.BDH($C$503,"ASSET_GROWTH","FY 2014","FY 2014","Currency=INR","Period=FY","BEST_FPERIOD_OVERRIDE=FY","FILING_STATUS=OR","EQY_CONSOLIDATED=Y","Sort=A","Dates=H","DateFormat=P","Fill=—","Direction=H","UseDPDF=Y")</f>
        <v>#NAME?</v>
      </c>
      <c r="AD503" s="2" t="e">
        <f ca="1">_xll.BDH($C$503,"MODIFIED_WORK_CAP_GROWTH","FY 2014","FY 2014","Currency=INR","Period=FY","BEST_FPERIOD_OVERRIDE=FY","FILING_STATUS=OR","EQY_CONSOLIDATED=Y","Sort=A","Dates=H","DateFormat=P","Fill=—","Direction=H","UseDPDF=Y")</f>
        <v>#NAME?</v>
      </c>
      <c r="AE503" s="2" t="e">
        <f ca="1">_xll.BDH($C$503,"WORK_CAP_GROWTH","FY 2014","FY 2014","Currency=INR","Period=FY","BEST_FPERIOD_OVERRIDE=FY","FILING_STATUS=OR","EQY_CONSOLIDATED=Y","Sort=A","Dates=H","DateFormat=P","Fill=—","Direction=H","UseDPDF=Y")</f>
        <v>#NAME?</v>
      </c>
      <c r="AF503" s="2" t="e">
        <f ca="1">_xll.BDH($C$503,"ACCOUNTS_PAYABLE_GROWTH_1YR","FY 2014","FY 2014","Currency=INR","Period=FY","BEST_FPERIOD_OVERRIDE=FY","FILING_STATUS=OR","EQY_CONSOLIDATED=Y","Sort=A","Dates=H","DateFormat=P","Fill=—","Direction=H","UseDPDF=Y")</f>
        <v>#NAME?</v>
      </c>
      <c r="AG503" s="2" t="e">
        <f ca="1">_xll.BDH($C$503,"SHORT_TERM_DEBT_1_YEAR_GROWTH","FY 2014","FY 2014","Currency=INR","Period=FY","BEST_FPERIOD_OVERRIDE=FY","FILING_STATUS=OR","EQY_CONSOLIDATED=Y","Sort=A","Dates=H","DateFormat=P","Fill=—","Direction=H","UseDPDF=Y")</f>
        <v>#NAME?</v>
      </c>
      <c r="AH503" s="2" t="e">
        <f ca="1">_xll.BDH($C$503,"TOTAL_DEBT_1_YEAR_GROWTH","FY 2014","FY 2014","Currency=INR","Period=FY","BEST_FPERIOD_OVERRIDE=FY","FILING_STATUS=OR","EQY_CONSOLIDATED=Y","Sort=A","Dates=H","DateFormat=P","Fill=—","Direction=H","UseDPDF=Y")</f>
        <v>#NAME?</v>
      </c>
      <c r="AI503" s="2" t="e">
        <f ca="1">_xll.BDH($C$503,"TOTAL_EQUITY_1_YEAR_GROWTH","FY 2014","FY 2014","Currency=INR","Period=FY","BEST_FPERIOD_OVERRIDE=FY","FILING_STATUS=OR","EQY_CONSOLIDATED=Y","Sort=A","Dates=H","DateFormat=P","Fill=—","Direction=H","UseDPDF=Y")</f>
        <v>#NAME?</v>
      </c>
      <c r="AJ503" s="2" t="e">
        <f ca="1">_xll.BDH($C$503,"GROWTH_IN_CAP","FY 2014","FY 2014","Currency=INR","Period=FY","BEST_FPERIOD_OVERRIDE=FY","FILING_STATUS=OR","EQY_CONSOLIDATED=Y","Sort=A","Dates=H","DateFormat=P","Fill=—","Direction=H","UseDPDF=Y")</f>
        <v>#NAME?</v>
      </c>
      <c r="AK503" s="2" t="e">
        <f ca="1">_xll.BDH($C$503,"BVPS_GROWTH","FY 2014","FY 2014","Currency=INR","Period=FY","BEST_FPERIOD_OVERRIDE=FY","FILING_STATUS=OR","EQY_CONSOLIDATED=Y","Sort=A","Dates=H","DateFormat=P","Fill=—","Direction=H","UseDPDF=Y")</f>
        <v>#NAME?</v>
      </c>
      <c r="AL503" s="2" t="e">
        <f ca="1">_xll.BDH($C$503,"CASH_FLOW_GROWTH","FY 2014","FY 2014","Currency=INR","Period=FY","BEST_FPERIOD_OVERRIDE=FY","FILING_STATUS=OR","EQY_CONSOLIDATED=Y","Sort=A","Dates=H","DateFormat=P","Fill=—","Direction=H","UseDPDF=Y")</f>
        <v>#NAME?</v>
      </c>
      <c r="AM503" s="2" t="e">
        <f ca="1">_xll.BDH($C$503,"GEO_GROW_NET_SALES","FY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503" s="2" t="e">
        <f ca="1">_xll.BDH($C$503,"GEO_GROW_EBITDA","FY 2014","FY 2014","Currency=INR","Period=FY","BEST_FPERIOD_OVERRIDE=FY","FILING_STATUS=OR","EQY_CONSOLIDATED=Y","FA_ADJUSTED=GAAP","Sort=A","Dates=H","DateFormat=P","Fill=—","Direction=H","UseDPDF=Y")</f>
        <v>#NAME?</v>
      </c>
      <c r="AO503" s="2" t="e">
        <f ca="1">_xll.BDH($C$503,"GEO_GROW_OPER_INC","FY 2014","FY 2014","Currency=INR","Period=FY","BEST_FPERIOD_OVERRIDE=FY","FILING_STATUS=OR","EQY_CONSOLIDATED=Y","FA_ADJUSTED=GAAP","Sort=A","Dates=H","DateFormat=P","Fill=—","Direction=H","UseDPDF=Y")</f>
        <v>#NAME?</v>
      </c>
      <c r="AP503" s="2" t="e">
        <f ca="1">_xll.BDH($C$503,"NET_INCOME_TO_COMMON_5_YR_GROWTH","FY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503" s="2" t="e">
        <f ca="1">_xll.BDH($C$503,"5Y_GEO_GROWTH_DILUTED_EPS","FY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503" s="2" t="e">
        <f ca="1">_xll.BDH($C$503,"GEO_GROW_DVD_PER_SH","FY 2014","FY 2014","Currency=INR","Period=FY","BEST_FPERIOD_OVERRIDE=FY","FILING_STATUS=OR","EQY_CONSOLIDATED=Y","Sort=A","Dates=H","DateFormat=P","Fill=—","Direction=H","UseDPDF=Y")</f>
        <v>#NAME?</v>
      </c>
      <c r="AS503" s="2" t="e">
        <f ca="1">_xll.BDH($C$503,"ACCOUNTS_RECEIVABLE_5_YR_GROWTH","FY 2014","FY 2014","Currency=INR","Period=FY","BEST_FPERIOD_OVERRIDE=FY","FILING_STATUS=OR","EQY_CONSOLIDATED=Y","Sort=A","Dates=H","DateFormat=P","Fill=—","Direction=H","UseDPDF=Y")</f>
        <v>#NAME?</v>
      </c>
      <c r="AT503" s="2" t="e">
        <f ca="1">_xll.BDH($C$503,"INVENTORY_5_YEAR_GROWTH","FY 2014","FY 2014","Currency=INR","Period=FY","BEST_FPERIOD_OVERRIDE=FY","FILING_STATUS=OR","EQY_CONSOLIDATED=Y","Sort=A","Dates=H","DateFormat=P","Fill=—","Direction=H","UseDPDF=Y")</f>
        <v>#NAME?</v>
      </c>
      <c r="AU503" s="2" t="e">
        <f ca="1">_xll.BDH($C$503,"NET_FIXED_ASSETS_5_YEAR_GROWTH","FY 2014","FY 2014","Currency=INR","Period=FY","BEST_FPERIOD_OVERRIDE=FY","FILING_STATUS=OR","EQY_CONSOLIDATED=Y","Sort=A","Dates=H","DateFormat=P","Fill=—","Direction=H","UseDPDF=Y")</f>
        <v>#NAME?</v>
      </c>
      <c r="AV503" s="2" t="e">
        <f ca="1">_xll.BDH($C$503,"GEO_GROW_TOT_ASSET","FY 2014","FY 2014","Currency=INR","Period=FY","BEST_FPERIOD_OVERRIDE=FY","FILING_STATUS=OR","EQY_CONSOLIDATED=Y","Sort=A","Dates=H","DateFormat=P","Fill=—","Direction=H","UseDPDF=Y")</f>
        <v>#NAME?</v>
      </c>
      <c r="AW503" s="2" t="e">
        <f ca="1">_xll.BDH($C$503,"MODIFIED_WORKING_CPTL_5YR_GRWTH","FY 2014","FY 2014","Currency=INR","Period=FY","BEST_FPERIOD_OVERRIDE=FY","FILING_STATUS=OR","EQY_CONSOLIDATED=Y","Sort=A","Dates=H","DateFormat=P","Fill=—","Direction=H","UseDPDF=Y")</f>
        <v>#NAME?</v>
      </c>
      <c r="AX503" s="2" t="e">
        <f ca="1">_xll.BDH($C$503,"WORKING_CAPITAL_5_YEAR_GROWTH","FY 2014","FY 2014","Currency=INR","Period=FY","BEST_FPERIOD_OVERRIDE=FY","FILING_STATUS=OR","EQY_CONSOLIDATED=Y","Sort=A","Dates=H","DateFormat=P","Fill=—","Direction=H","UseDPDF=Y")</f>
        <v>#NAME?</v>
      </c>
      <c r="AY503" s="2" t="e">
        <f ca="1">_xll.BDH($C$503,"ACCOUNTS_PAYABLE_5_YEAR_GROWTH","FY 2014","FY 2014","Currency=INR","Period=FY","BEST_FPERIOD_OVERRIDE=FY","FILING_STATUS=OR","EQY_CONSOLIDATED=Y","Sort=A","Dates=H","DateFormat=P","Fill=—","Direction=H","UseDPDF=Y")</f>
        <v>#NAME?</v>
      </c>
      <c r="AZ503" s="2" t="e">
        <f ca="1">_xll.BDH($C$503,"SHORT_TERM_DEBT_5_YEAR_GROWTH","FY 2014","FY 2014","Currency=INR","Period=FY","BEST_FPERIOD_OVERRIDE=FY","FILING_STATUS=OR","EQY_CONSOLIDATED=Y","Sort=A","Dates=H","DateFormat=P","Fill=—","Direction=H","UseDPDF=Y")</f>
        <v>#NAME?</v>
      </c>
      <c r="BA503" s="2" t="e">
        <f ca="1">_xll.BDH($C$503,"TOTAL_DEBT_5_YEAR_GROWTH","FY 2014","FY 2014","Currency=INR","Period=FY","BEST_FPERIOD_OVERRIDE=FY","FILING_STATUS=OR","EQY_CONSOLIDATED=Y","Sort=A","Dates=H","DateFormat=P","Fill=—","Direction=H","UseDPDF=Y")</f>
        <v>#NAME?</v>
      </c>
      <c r="BB503" s="2" t="e">
        <f ca="1">_xll.BDH($C$503,"GEO_GROW_TOT_SHRHLDR_EQY","FY 2014","FY 2014","Currency=INR","Period=FY","BEST_FPERIOD_OVERRIDE=FY","FILING_STATUS=OR","EQY_CONSOLIDATED=Y","Sort=A","Dates=H","DateFormat=P","Fill=—","Direction=H","UseDPDF=Y")</f>
        <v>#NAME?</v>
      </c>
      <c r="BC503" s="2" t="e">
        <f ca="1">_xll.BDH($C$503,"TOTAL_CAPITAL_5_YEAR_GROWTH","FY 2014","FY 2014","Currency=INR","Period=FY","BEST_FPERIOD_OVERRIDE=FY","FILING_STATUS=OR","EQY_CONSOLIDATED=Y","Sort=A","Dates=H","DateFormat=P","Fill=—","Direction=H","UseDPDF=Y")</f>
        <v>#NAME?</v>
      </c>
      <c r="BD503" s="2" t="e">
        <f ca="1">_xll.BDH($C$503,"GEO_GROW_BOOK_VAL","FY 2014","FY 2014","Currency=INR","Period=FY","BEST_FPERIOD_OVERRIDE=FY","FILING_STATUS=OR","EQY_CONSOLIDATED=Y","Sort=A","Dates=H","DateFormat=P","Fill=—","Direction=H","UseDPDF=Y")</f>
        <v>#NAME?</v>
      </c>
      <c r="BE503" s="2" t="e">
        <f ca="1">_xll.BDH($C$503,"GEO_GROW_CASH_OPER_ACT","FY 2014","FY 2014","Currency=INR","Period=FY","BEST_FPERIOD_OVERRIDE=FY","FILING_STATUS=OR","EQY_CONSOLIDATED=Y","Sort=A","Dates=H","DateFormat=P","Fill=—","Direction=H","UseDPDF=Y")</f>
        <v>#NAME?</v>
      </c>
      <c r="BF503" s="2" t="e">
        <f ca="1">_xll.BDH($C$503,"REVENUE_SEQUENTIAL_GROWTH","FY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503" s="2" t="e">
        <f ca="1">_xll.BDH($C$503,"EBITDA_SEQUENTIAL_GROWTH","FY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503" s="2" t="e">
        <f ca="1">_xll.BDH($C$503,"OPERATING_INCOME_SEQ_GROWTH","FY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503" s="2" t="e">
        <f ca="1">_xll.BDH($C$503,"NET_INCOME_TO_COMMON_SEQ_GROWTH","FY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503" s="2" t="e">
        <f ca="1">_xll.BDH($C$503,"EPS_DILUTED_SEQUENTIAL_GROWTH","FY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503" s="2" t="e">
        <f ca="1">_xll.BDH($C$503,"DPS_SEQUENTIAL_GROWTH","FY 2014","FY 2014","Currency=INR","Period=FY","BEST_FPERIOD_OVERRIDE=FY","FILING_STATUS=OR","EQY_CONSOLIDATED=Y","Sort=A","Dates=H","DateFormat=P","Fill=—","Direction=H","UseDPDF=Y")</f>
        <v>#NAME?</v>
      </c>
      <c r="BL503" s="2" t="e">
        <f ca="1">_xll.BDH($C$503,"ACCOUNTS_RECEIVABLE_SEQ_GROWTH","FY 2014","FY 2014","Currency=INR","Period=FY","BEST_FPERIOD_OVERRIDE=FY","FILING_STATUS=OR","EQY_CONSOLIDATED=Y","Sort=A","Dates=H","DateFormat=P","Fill=—","Direction=H","UseDPDF=Y")</f>
        <v>#NAME?</v>
      </c>
      <c r="BM503" s="2" t="e">
        <f ca="1">_xll.BDH($C$503,"INVENTORY_SEQUENTIAL_GROWTH","FY 2014","FY 2014","Currency=INR","Period=FY","BEST_FPERIOD_OVERRIDE=FY","FILING_STATUS=OR","EQY_CONSOLIDATED=Y","Sort=A","Dates=H","DateFormat=P","Fill=—","Direction=H","UseDPDF=Y")</f>
        <v>#NAME?</v>
      </c>
      <c r="BN503" s="2" t="e">
        <f ca="1">_xll.BDH($C$503,"FIXED_ASSETS_SEQUENTIAL_GROWTH","FY 2014","FY 2014","Currency=INR","Period=FY","BEST_FPERIOD_OVERRIDE=FY","FILING_STATUS=OR","EQY_CONSOLIDATED=Y","Sort=A","Dates=H","DateFormat=P","Fill=—","Direction=H","UseDPDF=Y")</f>
        <v>#NAME?</v>
      </c>
      <c r="BO503" s="2" t="e">
        <f ca="1">_xll.BDH($C$503,"TOTAL_ASSETS_SEQUENTIAL_GROWTH","FY 2014","FY 2014","Currency=INR","Period=FY","BEST_FPERIOD_OVERRIDE=FY","FILING_STATUS=OR","EQY_CONSOLIDATED=Y","Sort=A","Dates=H","DateFormat=P","Fill=—","Direction=H","UseDPDF=Y")</f>
        <v>#NAME?</v>
      </c>
      <c r="BP503" s="2" t="e">
        <f ca="1">_xll.BDH($C$503,"MODIFIED_WORKING_CPTL_SEQ_GRWTH","FY 2014","FY 2014","Currency=INR","Period=FY","BEST_FPERIOD_OVERRIDE=FY","FILING_STATUS=OR","EQY_CONSOLIDATED=Y","Sort=A","Dates=H","DateFormat=P","Fill=—","Direction=H","UseDPDF=Y")</f>
        <v>#NAME?</v>
      </c>
      <c r="BQ503" s="2" t="e">
        <f ca="1">_xll.BDH($C$503,"WORKING_CAPITAL_SEQ_GROWTH","FY 2014","FY 2014","Currency=INR","Period=FY","BEST_FPERIOD_OVERRIDE=FY","FILING_STATUS=OR","EQY_CONSOLIDATED=Y","Sort=A","Dates=H","DateFormat=P","Fill=—","Direction=H","UseDPDF=Y")</f>
        <v>#NAME?</v>
      </c>
      <c r="BR503" s="2" t="e">
        <f ca="1">_xll.BDH($C$503,"ACCOUNTS_PAYABLE_SEQ_GROWTH","FY 2014","FY 2014","Currency=INR","Period=FY","BEST_FPERIOD_OVERRIDE=FY","FILING_STATUS=OR","EQY_CONSOLIDATED=Y","Sort=A","Dates=H","DateFormat=P","Fill=—","Direction=H","UseDPDF=Y")</f>
        <v>#NAME?</v>
      </c>
      <c r="BS503" s="2" t="e">
        <f ca="1">_xll.BDH($C$503,"ST_DEBT_SEQUENTIAL_GROWTH","FY 2014","FY 2014","Currency=INR","Period=FY","BEST_FPERIOD_OVERRIDE=FY","FILING_STATUS=OR","EQY_CONSOLIDATED=Y","Sort=A","Dates=H","DateFormat=P","Fill=—","Direction=H","UseDPDF=Y")</f>
        <v>#NAME?</v>
      </c>
      <c r="BT503" s="2" t="e">
        <f ca="1">_xll.BDH($C$503,"TOTAL_DEBT_SEQUENTIAL_GROWTH","FY 2014","FY 2014","Currency=INR","Period=FY","BEST_FPERIOD_OVERRIDE=FY","FILING_STATUS=OR","EQY_CONSOLIDATED=Y","Sort=A","Dates=H","DateFormat=P","Fill=—","Direction=H","UseDPDF=Y")</f>
        <v>#NAME?</v>
      </c>
      <c r="BU503" s="2" t="e">
        <f ca="1">_xll.BDH($C$503,"TOTAL_EQUITY_SEQUENTIAL_GROWTH","FY 2014","FY 2014","Currency=INR","Period=FY","BEST_FPERIOD_OVERRIDE=FY","FILING_STATUS=OR","EQY_CONSOLIDATED=Y","Sort=A","Dates=H","DateFormat=P","Fill=—","Direction=H","UseDPDF=Y")</f>
        <v>#NAME?</v>
      </c>
      <c r="BV503" s="2" t="e">
        <f ca="1">_xll.BDH($C$503,"TOTAL_CAPITAL_SEQUENTIAL_GROWTH","FY 2014","FY 2014","Currency=INR","Period=FY","BEST_FPERIOD_OVERRIDE=FY","FILING_STATUS=OR","EQY_CONSOLIDATED=Y","Sort=A","Dates=H","DateFormat=P","Fill=—","Direction=H","UseDPDF=Y")</f>
        <v>#NAME?</v>
      </c>
      <c r="BW503" s="2" t="e">
        <f ca="1">_xll.BDH($C$503,"BPS_SEQUENTIAL_GROWTH","FY 2014","FY 2014","Currency=INR","Period=FY","BEST_FPERIOD_OVERRIDE=FY","FILING_STATUS=OR","EQY_CONSOLIDATED=Y","Sort=A","Dates=H","DateFormat=P","Fill=—","Direction=H","UseDPDF=Y")</f>
        <v>#NAME?</v>
      </c>
      <c r="BX503" s="2" t="e">
        <f ca="1">_xll.BDH($C$503,"CFO_SEQUENTIAL_GROWTH","FY 2014","FY 2014","Currency=INR","Period=FY","BEST_FPERIOD_OVERRIDE=FY","FILING_STATUS=OR","EQY_CONSOLIDATED=Y","Sort=A","Dates=H","DateFormat=P","Fill=—","Direction=H","UseDPDF=Y")</f>
        <v>#NAME?</v>
      </c>
      <c r="BY503" s="3" t="e">
        <f ca="1">_xll.BDH($C$503,"SHORT_AND_LONG_TERM_DEBT","FY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503" s="3" t="e">
        <f ca="1">_xll.BDH($C$503,"BS_ST_BORROW","FY 2014","FY 2014","Currency=INR","Period=FY","BEST_FPERIOD_OVERRIDE=FY","FILING_STATUS=OR","EQY_CONSOLIDATED=Y","SCALING_FORMAT=MLN","Sort=A","Dates=H","DateFormat=P","Fill=—","Direction=H","UseDPDF=Y")</f>
        <v>#NAME?</v>
      </c>
      <c r="CA503" s="3" t="e">
        <f ca="1">_xll.BDH($C$503,"BS_LT_BORROW","FY 2014","FY 2014","Currency=INR","Period=FY","BEST_FPERIOD_OVERRIDE=FY","FILING_STATUS=OR","EQY_CONSOLIDATED=Y","SCALING_FORMAT=MLN","Sort=A","Dates=H","DateFormat=P","Fill=—","Direction=H","UseDPDF=Y")</f>
        <v>#NAME?</v>
      </c>
      <c r="CB503" s="2" t="e">
        <f ca="1">_xll.BDH($C$503,"TOT_DEBT_TO_EBITDA","FY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503" s="2" t="e">
        <f ca="1">_xll.BDH($C$503,"NET_DEBT_TO_EBITDA","FY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503" s="2" t="e">
        <f ca="1">_xll.BDH($C$503,"TOTAL_DEBT_TO_EBIT","FY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503" s="2" t="e">
        <f ca="1">_xll.BDH($C$503,"NET_DEBT_TO_EBIT","FY 2014","FY 2014","Currency=INR","Period=FY","BEST_FPERIOD_OVERRIDE=FY","FILING_STATUS=OR","EQY_CONSOLIDATED=Y","FA_ADJUSTED=GAAP","Sort=A","Dates=H","DateFormat=P","Fill=—","Direction=H","UseDPDF=Y")</f>
        <v>#NAME?</v>
      </c>
      <c r="CF503" s="2" t="e">
        <f ca="1">_xll.BDH($C$503,"EBITDA_TO_INTEREST_EXPN","FY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503" s="2" t="e">
        <f ca="1">_xll.BDH($C$503,"COM_EQY_TO_TOT_ASSET","FY 2014","FY 2014","Currency=INR","Period=FY","BEST_FPERIOD_OVERRIDE=FY","FILING_STATUS=OR","EQY_CONSOLIDATED=Y","Sort=A","Dates=H","DateFormat=P","Fill=—","Direction=H","UseDPDF=Y")</f>
        <v>#NAME?</v>
      </c>
      <c r="CH503" s="2" t="e">
        <f ca="1">_xll.BDH($C$503,"LT_DEBT_TO_TOT_EQY","FY 2014","FY 2014","Currency=INR","Period=FY","BEST_FPERIOD_OVERRIDE=FY","FILING_STATUS=OR","EQY_CONSOLIDATED=Y","Sort=A","Dates=H","DateFormat=P","Fill=—","Direction=H","UseDPDF=Y")</f>
        <v>#NAME?</v>
      </c>
      <c r="CI503" s="2" t="e">
        <f ca="1">_xll.BDH($C$503,"LT_DEBT_TO_TOT_CAP","FY 2014","FY 2014","Currency=INR","Period=FY","BEST_FPERIOD_OVERRIDE=FY","FILING_STATUS=OR","EQY_CONSOLIDATED=Y","Sort=A","Dates=H","DateFormat=P","Fill=—","Direction=H","UseDPDF=Y")</f>
        <v>#NAME?</v>
      </c>
      <c r="CJ503" s="2" t="e">
        <f ca="1">_xll.BDH($C$503,"LT_DEBT_TO_TOT_ASSET","FY 2014","FY 2014","Currency=INR","Period=FY","BEST_FPERIOD_OVERRIDE=FY","FILING_STATUS=OR","EQY_CONSOLIDATED=Y","Sort=A","Dates=H","DateFormat=P","Fill=—","Direction=H","UseDPDF=Y")</f>
        <v>#NAME?</v>
      </c>
      <c r="CK503" s="2" t="e">
        <f ca="1">_xll.BDH($C$503,"TOT_DEBT_TO_TOT_EQY","FY 2014","FY 2014","Currency=INR","Period=FY","BEST_FPERIOD_OVERRIDE=FY","FILING_STATUS=OR","EQY_CONSOLIDATED=Y","Sort=A","Dates=H","DateFormat=P","Fill=—","Direction=H","UseDPDF=Y")</f>
        <v>#NAME?</v>
      </c>
      <c r="CL503" s="2" t="e">
        <f ca="1">_xll.BDH($C$503,"TOT_DEBT_TO_TOT_CAP","FY 2014","FY 2014","Currency=INR","Period=FY","BEST_FPERIOD_OVERRIDE=FY","FILING_STATUS=OR","EQY_CONSOLIDATED=Y","Sort=A","Dates=H","DateFormat=P","Fill=—","Direction=H","UseDPDF=Y")</f>
        <v>#NAME?</v>
      </c>
      <c r="CM503" s="2" t="e">
        <f ca="1">_xll.BDH($C$503,"TOT_DEBT_TO_TOT_ASSET","FY 2014","FY 2014","Currency=INR","Period=FY","BEST_FPERIOD_OVERRIDE=FY","FILING_STATUS=OR","EQY_CONSOLIDATED=Y","Sort=A","Dates=H","DateFormat=P","Fill=—","Direction=H","UseDPDF=Y")</f>
        <v>#NAME?</v>
      </c>
      <c r="CN503" s="2" t="e">
        <f ca="1">_xll.BDH($C$503,"NET_DEBT_TO_SHRHLDR_EQTY","FY 2014","FY 2014","Currency=INR","Period=FY","BEST_FPERIOD_OVERRIDE=FY","FILING_STATUS=OR","EQY_CONSOLIDATED=Y","Sort=A","Dates=H","DateFormat=P","Fill=—","Direction=H","UseDPDF=Y")</f>
        <v>#NAME?</v>
      </c>
      <c r="CO503" s="2" t="e">
        <f ca="1">_xll.BDH($C$503,"NET_DEBT_%_CAPITAL","FY 2014","FY 2014","Currency=INR","Period=FY","BEST_FPERIOD_OVERRIDE=FY","FILING_STATUS=OR","EQY_CONSOLIDATED=Y","Sort=A","Dates=H","DateFormat=P","Fill=—","Direction=H","UseDPDF=Y")</f>
        <v>#NAME?</v>
      </c>
      <c r="CP503" s="3" t="e">
        <f ca="1">_xll.BDH($C$503,"EBITDA","FY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503" s="3" t="e">
        <f ca="1">_xll.BDH($C$503,"EBITDA_AFTER_CAPEX","FY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503" s="3" t="e">
        <f ca="1">_xll.BDH($C$503,"IS_OPER_INC","FY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503" s="2" t="e">
        <f ca="1">_xll.BDH($C$503,"CASH_RATIO","FY 2014","FY 2014","Currency=INR","Period=FY","BEST_FPERIOD_OVERRIDE=FY","FILING_STATUS=OR","EQY_CONSOLIDATED=Y","Sort=A","Dates=H","DateFormat=P","Fill=—","Direction=H","UseDPDF=Y")</f>
        <v>#NAME?</v>
      </c>
      <c r="CT503" s="2" t="e">
        <f ca="1">_xll.BDH($C$503,"CUR_RATIO","FY 2014","FY 2014","Currency=INR","Period=FY","BEST_FPERIOD_OVERRIDE=FY","FILING_STATUS=OR","EQY_CONSOLIDATED=Y","Sort=A","Dates=H","DateFormat=P","Fill=—","Direction=H","UseDPDF=Y")</f>
        <v>#NAME?</v>
      </c>
      <c r="CU503" s="2" t="e">
        <f ca="1">_xll.BDH($C$503,"QUICK_RATIO","FY 2014","FY 2014","Currency=INR","Period=FY","BEST_FPERIOD_OVERRIDE=FY","FILING_STATUS=OR","EQY_CONSOLIDATED=Y","Sort=A","Dates=H","DateFormat=P","Fill=—","Direction=H","UseDPDF=Y")</f>
        <v>#NAME?</v>
      </c>
      <c r="CV503" s="2" t="e">
        <f ca="1">_xll.BDH($C$503,"ALTMAN_Z_SCORE","FY 2014","FY 2014","Currency=INR","Period=FY","BEST_FPERIOD_OVERRIDE=FY","FILING_STATUS=OR","EQY_CONSOLIDATED=Y","Sort=A","Dates=H","DateFormat=P","Fill=—","Direction=H","UseDPDF=Y")</f>
        <v>#NAME?</v>
      </c>
      <c r="CW503" s="4" t="e">
        <f ca="1">_xll.BDH($C$503,"ACCT_RCV_TURN","FY 2014","FY 2014","Currency=INR","Period=FY","BEST_FPERIOD_OVERRIDE=FY","FILING_STATUS=OR","EQY_CONSOLIDATED=Y","FA_ADJUSTED=GAAP","Sort=A","Dates=H","DateFormat=P","Fill=—","Direction=H","UseDPDF=Y")</f>
        <v>#NAME?</v>
      </c>
      <c r="CX503" s="2" t="e">
        <f ca="1">_xll.BDH($C$503,"ACCT_RCV_DAYS","FY 2014","FY 2014","Currency=INR","Period=FY","BEST_FPERIOD_OVERRIDE=FY","FILING_STATUS=OR","EQY_CONSOLIDATED=Y","FA_ADJUSTED=GAAP","Sort=A","Dates=H","DateFormat=P","Fill=—","Direction=H","UseDPDF=Y")</f>
        <v>#NAME?</v>
      </c>
      <c r="CY503" s="4" t="e">
        <f ca="1">_xll.BDH($C$503,"INVENT_TURN","FY 2014","FY 2014","Currency=INR","Period=FY","BEST_FPERIOD_OVERRIDE=FY","FILING_STATUS=OR","EQY_CONSOLIDATED=Y","FA_ADJUSTED=GAAP","Sort=A","Dates=H","DateFormat=P","Fill=—","Direction=H","UseDPDF=Y")</f>
        <v>#NAME?</v>
      </c>
      <c r="CZ503" s="2" t="e">
        <f ca="1">_xll.BDH($C$503,"INVENT_DAYS","FY 2014","FY 2014","Currency=INR","Period=FY","BEST_FPERIOD_OVERRIDE=FY","FILING_STATUS=OR","EQY_CONSOLIDATED=Y","FA_ADJUSTED=GAAP","Sort=A","Dates=H","DateFormat=P","Fill=—","Direction=H","UseDPDF=Y")</f>
        <v>#NAME?</v>
      </c>
      <c r="DA503" s="4" t="e">
        <f ca="1">_xll.BDH($C$503,"ACCOUNTS_PAYABLE_TURNOVER","FY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503" s="2" t="e">
        <f ca="1">_xll.BDH($C$503,"ACCOUNTS_PAYABLE_TURNOVER_DAYS","FY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503" s="4" t="e">
        <f ca="1">_xll.BDH($C$503,"CASH_CONVERSION_CYCLE","FY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503" s="4" t="e">
        <f ca="1">_xll.BDH($C$503,"INV_TO_CASH_DAYS","FY 2014","FY 2014","Currency=INR","Period=FY","BEST_FPERIOD_OVERRIDE=FY","FILING_STATUS=OR","EQY_CONSOLIDATED=Y","FA_ADJUSTED=GAAP","Sort=A","Dates=H","DateFormat=P","Fill=—","Direction=H","UseDPDF=Y")</f>
        <v>#NAME?</v>
      </c>
      <c r="DE503" s="5" t="e">
        <f ca="1">_xll.BDH($C$503,"BS_INVENTORIES","FY 2014","FY 2014","Currency=INR","Period=FY","BEST_FPERIOD_OVERRIDE=FY","FILING_STATUS=OR","EQY_CONSOLIDATED=Y","SCALING_FORMAT=MLN","Sort=A","Dates=H","DateFormat=P","Fill=—","Direction=H","UseDPDF=Y")</f>
        <v>#NAME?</v>
      </c>
      <c r="DF503" s="3" t="e">
        <f ca="1">_xll.BDH($C$503,"INVTRY_RAW_MATERIALS","FY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503" s="3" t="e">
        <f ca="1">_xll.BDH($C$503,"INVTRY_IN_PROGRESS","FY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503" s="3" t="e">
        <f ca="1">_xll.BDH($C$503,"INVTRY_FINISHED_GOODS","FY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503" s="3" t="e">
        <f ca="1">_xll.BDH($C$503,"BS_OTHER_INV","FY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504" spans="1:113" x14ac:dyDescent="0.3">
      <c r="A504" s="6"/>
      <c r="B504" s="6"/>
      <c r="C504" s="6"/>
      <c r="D504" s="6"/>
      <c r="E504" t="s">
        <v>78</v>
      </c>
      <c r="F504" t="e">
        <f ca="1">_xll.BDH($C$503,"RETURN_COM_EQY","FQ1 2014","FQ1 2014","Currency=INR","Period=FQ","BEST_FPERIOD_OVERRIDE=FQ","FILING_STATUS=OR","EQY_CONSOLIDATED=Y","FA_ADJUSTED=GAAP","Sort=A","Dates=H","DateFormat=P","Fill=—","Direction=H","UseDPDF=Y")</f>
        <v>#NAME?</v>
      </c>
      <c r="G504" t="e">
        <f ca="1">_xll.BDH($C$503,"RETURN_ON_ASSET","FQ1 2014","FQ1 2014","Currency=INR","Period=FQ","BEST_FPERIOD_OVERRIDE=FQ","FILING_STATUS=OR","EQY_CONSOLIDATED=Y","FA_ADJUSTED=GAAP","Sort=A","Dates=H","DateFormat=P","Fill=—","Direction=H","UseDPDF=Y")</f>
        <v>#NAME?</v>
      </c>
      <c r="H504" t="e">
        <f ca="1">_xll.BDH($C$503,"RETURN_ON_CAP","FQ1 2014","FQ1 2014","Currency=INR","Period=FQ","BEST_FPERIOD_OVERRIDE=FQ","FILING_STATUS=OR","EQY_CONSOLIDATED=Y","FA_ADJUSTED=GAAP","Sort=A","Dates=H","DateFormat=P","Fill=—","Direction=H","UseDPDF=Y")</f>
        <v>#NAME?</v>
      </c>
      <c r="I504" t="e">
        <f ca="1">_xll.BDH($C$503,"RETURN_ON_INV_CAPITAL","FQ1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504" t="e">
        <f ca="1">_xll.BDH($C$503,"EBITDA_TO_REVENUE","FQ1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504" t="e">
        <f ca="1">_xll.BDH($C$503,"OPER_MARGIN","FQ1 2014","FQ1 2014","Currency=INR","Period=FQ","BEST_FPERIOD_OVERRIDE=FQ","FILING_STATUS=OR","EQY_CONSOLIDATED=Y","FA_ADJUSTED=GAAP","Sort=A","Dates=H","DateFormat=P","Fill=—","Direction=H","UseDPDF=Y")</f>
        <v>#NAME?</v>
      </c>
      <c r="L504" t="e">
        <f ca="1">_xll.BDH($C$503,"INCREMENTAL_OPERATING_MARGIN","FQ1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504" t="e">
        <f ca="1">_xll.BDH($C$503,"PRETAX_INC_TO_NET_SALES","FQ1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504" t="e">
        <f ca="1">_xll.BDH($C$503,"INC_BEF_XO_ITEMS_TO_NET_SALES","FQ1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504" t="e">
        <f ca="1">_xll.BDH($C$503,"PROF_MARGIN","FQ1 2014","FQ1 2014","Currency=INR","Period=FQ","BEST_FPERIOD_OVERRIDE=FQ","FILING_STATUS=OR","EQY_CONSOLIDATED=Y","FA_ADJUSTED=GAAP","Sort=A","Dates=H","DateFormat=P","Fill=—","Direction=H","UseDPDF=Y")</f>
        <v>#NAME?</v>
      </c>
      <c r="P504" t="e">
        <f ca="1">_xll.BDH($C$503,"NET_INCOME_TO_COMMON_MARGIN","FQ1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504" t="e">
        <f ca="1">_xll.BDH($C$503,"EFF_TAX_RATE","FQ1 2014","FQ1 2014","Currency=INR","Period=FQ","BEST_FPERIOD_OVERRIDE=FQ","FILING_STATUS=OR","EQY_CONSOLIDATED=Y","FA_ADJUSTED=GAAP","Sort=A","Dates=H","DateFormat=P","Fill=—","Direction=H","UseDPDF=Y")</f>
        <v>#NAME?</v>
      </c>
      <c r="R504" t="e">
        <f ca="1">_xll.BDH($C$503,"DVD_PAYOUT_RATIO","FQ1 2014","FQ1 2014","Currency=INR","Period=FQ","BEST_FPERIOD_OVERRIDE=FQ","FILING_STATUS=OR","EQY_CONSOLIDATED=Y","FA_ADJUSTED=GAAP","Sort=A","Dates=H","DateFormat=P","Fill=—","Direction=H","UseDPDF=Y")</f>
        <v>#NAME?</v>
      </c>
      <c r="S504" t="e">
        <f ca="1">_xll.BDH($C$503,"SUSTAIN_GROWTH_RT","FQ1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504" s="2" t="e">
        <f ca="1">_xll.BDH($C$503,"SALES_GROWTH","FQ1 2014","FQ1 2014","Currency=INR","Period=FQ","BEST_FPERIOD_OVERRIDE=FQ","FILING_STATUS=OR","EQY_CONSOLIDATED=Y","FA_ADJUSTED=GAAP","Sort=A","Dates=H","DateFormat=P","Fill=—","Direction=H","UseDPDF=Y")</f>
        <v>#NAME?</v>
      </c>
      <c r="U504" s="2" t="e">
        <f ca="1">_xll.BDH($C$503,"EBITDA_GROWTH","FQ1 2014","FQ1 2014","Currency=INR","Period=FQ","BEST_FPERIOD_OVERRIDE=FQ","FILING_STATUS=OR","EQY_CONSOLIDATED=Y","FA_ADJUSTED=GAAP","Sort=A","Dates=H","DateFormat=P","Fill=—","Direction=H","UseDPDF=Y")</f>
        <v>#NAME?</v>
      </c>
      <c r="V504" s="2" t="e">
        <f ca="1">_xll.BDH($C$503,"OPER_INC_GROWTH","FQ1 2014","FQ1 2014","Currency=INR","Period=FQ","BEST_FPERIOD_OVERRIDE=FQ","FILING_STATUS=OR","EQY_CONSOLIDATED=Y","FA_ADJUSTED=GAAP","Sort=A","Dates=H","DateFormat=P","Fill=—","Direction=H","UseDPDF=Y")</f>
        <v>#NAME?</v>
      </c>
      <c r="W504" s="2" t="e">
        <f ca="1">_xll.BDH($C$503,"EARN_FOR_COM_GROWTH","FQ1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504" s="2" t="e">
        <f ca="1">_xll.BDH($C$503,"DILUTED_EPS_AFT_XO_ITEMS_GROWTH","FQ1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504" s="2" t="e">
        <f ca="1">_xll.BDH($C$503,"DIVIDEND_PER_SHARE_1_YEAR_GROWTH","FQ1 2014","FQ1 2014","Currency=INR","Period=FQ","BEST_FPERIOD_OVERRIDE=FQ","FILING_STATUS=OR","EQY_CONSOLIDATED=Y","Sort=A","Dates=H","DateFormat=P","Fill=—","Direction=H","UseDPDF=Y")</f>
        <v>#NAME?</v>
      </c>
      <c r="Z504" s="2" t="e">
        <f ca="1">_xll.BDH($C$503,"ACCOUNTS_RECEIVABLE_GROWTH","FQ1 2014","FQ1 2014","Currency=INR","Period=FQ","BEST_FPERIOD_OVERRIDE=FQ","FILING_STATUS=OR","EQY_CONSOLIDATED=Y","Sort=A","Dates=H","DateFormat=P","Fill=—","Direction=H","UseDPDF=Y")</f>
        <v>#NAME?</v>
      </c>
      <c r="AA504" s="2" t="e">
        <f ca="1">_xll.BDH($C$503,"INVENTORY_GROWTH","FQ1 2014","FQ1 2014","Currency=INR","Period=FQ","BEST_FPERIOD_OVERRIDE=FQ","FILING_STATUS=OR","EQY_CONSOLIDATED=Y","Sort=A","Dates=H","DateFormat=P","Fill=—","Direction=H","UseDPDF=Y")</f>
        <v>#NAME?</v>
      </c>
      <c r="AB504" s="2" t="e">
        <f ca="1">_xll.BDH($C$503,"NET_FIXED_ASSETS_1_YEAR_GROWTH","FQ1 2014","FQ1 2014","Currency=INR","Period=FQ","BEST_FPERIOD_OVERRIDE=FQ","FILING_STATUS=OR","EQY_CONSOLIDATED=Y","Sort=A","Dates=H","DateFormat=P","Fill=—","Direction=H","UseDPDF=Y")</f>
        <v>#NAME?</v>
      </c>
      <c r="AC504" s="2" t="e">
        <f ca="1">_xll.BDH($C$503,"ASSET_GROWTH","FQ1 2014","FQ1 2014","Currency=INR","Period=FQ","BEST_FPERIOD_OVERRIDE=FQ","FILING_STATUS=OR","EQY_CONSOLIDATED=Y","Sort=A","Dates=H","DateFormat=P","Fill=—","Direction=H","UseDPDF=Y")</f>
        <v>#NAME?</v>
      </c>
      <c r="AD504" s="2" t="e">
        <f ca="1">_xll.BDH($C$503,"MODIFIED_WORK_CAP_GROWTH","FQ1 2014","FQ1 2014","Currency=INR","Period=FQ","BEST_FPERIOD_OVERRIDE=FQ","FILING_STATUS=OR","EQY_CONSOLIDATED=Y","Sort=A","Dates=H","DateFormat=P","Fill=—","Direction=H","UseDPDF=Y")</f>
        <v>#NAME?</v>
      </c>
      <c r="AE504" s="2" t="e">
        <f ca="1">_xll.BDH($C$503,"WORK_CAP_GROWTH","FQ1 2014","FQ1 2014","Currency=INR","Period=FQ","BEST_FPERIOD_OVERRIDE=FQ","FILING_STATUS=OR","EQY_CONSOLIDATED=Y","Sort=A","Dates=H","DateFormat=P","Fill=—","Direction=H","UseDPDF=Y")</f>
        <v>#NAME?</v>
      </c>
      <c r="AF504" s="2" t="e">
        <f ca="1">_xll.BDH($C$503,"ACCOUNTS_PAYABLE_GROWTH_1YR","FQ1 2014","FQ1 2014","Currency=INR","Period=FQ","BEST_FPERIOD_OVERRIDE=FQ","FILING_STATUS=OR","EQY_CONSOLIDATED=Y","Sort=A","Dates=H","DateFormat=P","Fill=—","Direction=H","UseDPDF=Y")</f>
        <v>#NAME?</v>
      </c>
      <c r="AG504" s="2" t="e">
        <f ca="1">_xll.BDH($C$503,"SHORT_TERM_DEBT_1_YEAR_GROWTH","FQ1 2014","FQ1 2014","Currency=INR","Period=FQ","BEST_FPERIOD_OVERRIDE=FQ","FILING_STATUS=OR","EQY_CONSOLIDATED=Y","Sort=A","Dates=H","DateFormat=P","Fill=—","Direction=H","UseDPDF=Y")</f>
        <v>#NAME?</v>
      </c>
      <c r="AH504" s="2" t="e">
        <f ca="1">_xll.BDH($C$503,"TOTAL_DEBT_1_YEAR_GROWTH","FQ1 2014","FQ1 2014","Currency=INR","Period=FQ","BEST_FPERIOD_OVERRIDE=FQ","FILING_STATUS=OR","EQY_CONSOLIDATED=Y","Sort=A","Dates=H","DateFormat=P","Fill=—","Direction=H","UseDPDF=Y")</f>
        <v>#NAME?</v>
      </c>
      <c r="AI504" s="2" t="e">
        <f ca="1">_xll.BDH($C$503,"TOTAL_EQUITY_1_YEAR_GROWTH","FQ1 2014","FQ1 2014","Currency=INR","Period=FQ","BEST_FPERIOD_OVERRIDE=FQ","FILING_STATUS=OR","EQY_CONSOLIDATED=Y","Sort=A","Dates=H","DateFormat=P","Fill=—","Direction=H","UseDPDF=Y")</f>
        <v>#NAME?</v>
      </c>
      <c r="AJ504" s="2" t="e">
        <f ca="1">_xll.BDH($C$503,"GROWTH_IN_CAP","FQ1 2014","FQ1 2014","Currency=INR","Period=FQ","BEST_FPERIOD_OVERRIDE=FQ","FILING_STATUS=OR","EQY_CONSOLIDATED=Y","Sort=A","Dates=H","DateFormat=P","Fill=—","Direction=H","UseDPDF=Y")</f>
        <v>#NAME?</v>
      </c>
      <c r="AK504" s="2" t="e">
        <f ca="1">_xll.BDH($C$503,"BVPS_GROWTH","FQ1 2014","FQ1 2014","Currency=INR","Period=FQ","BEST_FPERIOD_OVERRIDE=FQ","FILING_STATUS=OR","EQY_CONSOLIDATED=Y","Sort=A","Dates=H","DateFormat=P","Fill=—","Direction=H","UseDPDF=Y")</f>
        <v>#NAME?</v>
      </c>
      <c r="AL504" s="2" t="e">
        <f ca="1">_xll.BDH($C$503,"CASH_FLOW_GROWTH","FQ1 2014","FQ1 2014","Currency=INR","Period=FQ","BEST_FPERIOD_OVERRIDE=FQ","FILING_STATUS=OR","EQY_CONSOLIDATED=Y","Sort=A","Dates=H","DateFormat=P","Fill=—","Direction=H","UseDPDF=Y")</f>
        <v>#NAME?</v>
      </c>
      <c r="AM504" s="2" t="e">
        <f ca="1">_xll.BDH($C$503,"GEO_GROW_NET_SALES","FQ1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504" s="2" t="e">
        <f ca="1">_xll.BDH($C$503,"GEO_GROW_EBITDA","FQ1 2014","FQ1 2014","Currency=INR","Period=FQ","BEST_FPERIOD_OVERRIDE=FQ","FILING_STATUS=OR","EQY_CONSOLIDATED=Y","FA_ADJUSTED=GAAP","Sort=A","Dates=H","DateFormat=P","Fill=—","Direction=H","UseDPDF=Y")</f>
        <v>#NAME?</v>
      </c>
      <c r="AO504" s="2" t="e">
        <f ca="1">_xll.BDH($C$503,"GEO_GROW_OPER_INC","FQ1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504" s="2" t="e">
        <f ca="1">_xll.BDH($C$503,"NET_INCOME_TO_COMMON_5_YR_GROWTH","FQ1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504" s="2" t="e">
        <f ca="1">_xll.BDH($C$503,"5Y_GEO_GROWTH_DILUTED_EPS","FQ1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504" s="2" t="e">
        <f ca="1">_xll.BDH($C$503,"GEO_GROW_DVD_PER_SH","FQ1 2014","FQ1 2014","Currency=INR","Period=FQ","BEST_FPERIOD_OVERRIDE=FQ","FILING_STATUS=OR","EQY_CONSOLIDATED=Y","Sort=A","Dates=H","DateFormat=P","Fill=—","Direction=H","UseDPDF=Y")</f>
        <v>#NAME?</v>
      </c>
      <c r="AS504" s="2" t="e">
        <f ca="1">_xll.BDH($C$503,"ACCOUNTS_RECEIVABLE_5_YR_GROWTH","FQ1 2014","FQ1 2014","Currency=INR","Period=FQ","BEST_FPERIOD_OVERRIDE=FQ","FILING_STATUS=OR","EQY_CONSOLIDATED=Y","Sort=A","Dates=H","DateFormat=P","Fill=—","Direction=H","UseDPDF=Y")</f>
        <v>#NAME?</v>
      </c>
      <c r="AT504" s="2" t="e">
        <f ca="1">_xll.BDH($C$503,"INVENTORY_5_YEAR_GROWTH","FQ1 2014","FQ1 2014","Currency=INR","Period=FQ","BEST_FPERIOD_OVERRIDE=FQ","FILING_STATUS=OR","EQY_CONSOLIDATED=Y","Sort=A","Dates=H","DateFormat=P","Fill=—","Direction=H","UseDPDF=Y")</f>
        <v>#NAME?</v>
      </c>
      <c r="AU504" s="2" t="e">
        <f ca="1">_xll.BDH($C$503,"NET_FIXED_ASSETS_5_YEAR_GROWTH","FQ1 2014","FQ1 2014","Currency=INR","Period=FQ","BEST_FPERIOD_OVERRIDE=FQ","FILING_STATUS=OR","EQY_CONSOLIDATED=Y","Sort=A","Dates=H","DateFormat=P","Fill=—","Direction=H","UseDPDF=Y")</f>
        <v>#NAME?</v>
      </c>
      <c r="AV504" s="2" t="e">
        <f ca="1">_xll.BDH($C$503,"GEO_GROW_TOT_ASSET","FQ1 2014","FQ1 2014","Currency=INR","Period=FQ","BEST_FPERIOD_OVERRIDE=FQ","FILING_STATUS=OR","EQY_CONSOLIDATED=Y","Sort=A","Dates=H","DateFormat=P","Fill=—","Direction=H","UseDPDF=Y")</f>
        <v>#NAME?</v>
      </c>
      <c r="AW504" s="2" t="e">
        <f ca="1">_xll.BDH($C$503,"MODIFIED_WORKING_CPTL_5YR_GRWTH","FQ1 2014","FQ1 2014","Currency=INR","Period=FQ","BEST_FPERIOD_OVERRIDE=FQ","FILING_STATUS=OR","EQY_CONSOLIDATED=Y","Sort=A","Dates=H","DateFormat=P","Fill=—","Direction=H","UseDPDF=Y")</f>
        <v>#NAME?</v>
      </c>
      <c r="AX504" s="2" t="e">
        <f ca="1">_xll.BDH($C$503,"WORKING_CAPITAL_5_YEAR_GROWTH","FQ1 2014","FQ1 2014","Currency=INR","Period=FQ","BEST_FPERIOD_OVERRIDE=FQ","FILING_STATUS=OR","EQY_CONSOLIDATED=Y","Sort=A","Dates=H","DateFormat=P","Fill=—","Direction=H","UseDPDF=Y")</f>
        <v>#NAME?</v>
      </c>
      <c r="AY504" s="2" t="e">
        <f ca="1">_xll.BDH($C$503,"ACCOUNTS_PAYABLE_5_YEAR_GROWTH","FQ1 2014","FQ1 2014","Currency=INR","Period=FQ","BEST_FPERIOD_OVERRIDE=FQ","FILING_STATUS=OR","EQY_CONSOLIDATED=Y","Sort=A","Dates=H","DateFormat=P","Fill=—","Direction=H","UseDPDF=Y")</f>
        <v>#NAME?</v>
      </c>
      <c r="AZ504" s="2" t="e">
        <f ca="1">_xll.BDH($C$503,"SHORT_TERM_DEBT_5_YEAR_GROWTH","FQ1 2014","FQ1 2014","Currency=INR","Period=FQ","BEST_FPERIOD_OVERRIDE=FQ","FILING_STATUS=OR","EQY_CONSOLIDATED=Y","Sort=A","Dates=H","DateFormat=P","Fill=—","Direction=H","UseDPDF=Y")</f>
        <v>#NAME?</v>
      </c>
      <c r="BA504" s="2" t="e">
        <f ca="1">_xll.BDH($C$503,"TOTAL_DEBT_5_YEAR_GROWTH","FQ1 2014","FQ1 2014","Currency=INR","Period=FQ","BEST_FPERIOD_OVERRIDE=FQ","FILING_STATUS=OR","EQY_CONSOLIDATED=Y","Sort=A","Dates=H","DateFormat=P","Fill=—","Direction=H","UseDPDF=Y")</f>
        <v>#NAME?</v>
      </c>
      <c r="BB504" s="2" t="e">
        <f ca="1">_xll.BDH($C$503,"GEO_GROW_TOT_SHRHLDR_EQY","FQ1 2014","FQ1 2014","Currency=INR","Period=FQ","BEST_FPERIOD_OVERRIDE=FQ","FILING_STATUS=OR","EQY_CONSOLIDATED=Y","Sort=A","Dates=H","DateFormat=P","Fill=—","Direction=H","UseDPDF=Y")</f>
        <v>#NAME?</v>
      </c>
      <c r="BC504" s="2" t="e">
        <f ca="1">_xll.BDH($C$503,"TOTAL_CAPITAL_5_YEAR_GROWTH","FQ1 2014","FQ1 2014","Currency=INR","Period=FQ","BEST_FPERIOD_OVERRIDE=FQ","FILING_STATUS=OR","EQY_CONSOLIDATED=Y","Sort=A","Dates=H","DateFormat=P","Fill=—","Direction=H","UseDPDF=Y")</f>
        <v>#NAME?</v>
      </c>
      <c r="BD504" s="2" t="e">
        <f ca="1">_xll.BDH($C$503,"GEO_GROW_BOOK_VAL","FQ1 2014","FQ1 2014","Currency=INR","Period=FQ","BEST_FPERIOD_OVERRIDE=FQ","FILING_STATUS=OR","EQY_CONSOLIDATED=Y","Sort=A","Dates=H","DateFormat=P","Fill=—","Direction=H","UseDPDF=Y")</f>
        <v>#NAME?</v>
      </c>
      <c r="BE504" s="2" t="e">
        <f ca="1">_xll.BDH($C$503,"GEO_GROW_CASH_OPER_ACT","FQ1 2014","FQ1 2014","Currency=INR","Period=FQ","BEST_FPERIOD_OVERRIDE=FQ","FILING_STATUS=OR","EQY_CONSOLIDATED=Y","Sort=A","Dates=H","DateFormat=P","Fill=—","Direction=H","UseDPDF=Y")</f>
        <v>#NAME?</v>
      </c>
      <c r="BF504" s="2" t="e">
        <f ca="1">_xll.BDH($C$503,"REVENUE_SEQUENTIAL_GROWTH","FQ1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504" s="2" t="e">
        <f ca="1">_xll.BDH($C$503,"EBITDA_SEQUENTIAL_GROWTH","FQ1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504" s="2" t="e">
        <f ca="1">_xll.BDH($C$503,"OPERATING_INCOME_SEQ_GROWTH","FQ1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504" s="2" t="e">
        <f ca="1">_xll.BDH($C$503,"NET_INCOME_TO_COMMON_SEQ_GROWTH","FQ1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504" s="2" t="e">
        <f ca="1">_xll.BDH($C$503,"EPS_DILUTED_SEQUENTIAL_GROWTH","FQ1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504" s="2" t="e">
        <f ca="1">_xll.BDH($C$503,"DPS_SEQUENTIAL_GROWTH","FQ1 2014","FQ1 2014","Currency=INR","Period=FQ","BEST_FPERIOD_OVERRIDE=FQ","FILING_STATUS=OR","EQY_CONSOLIDATED=Y","Sort=A","Dates=H","DateFormat=P","Fill=—","Direction=H","UseDPDF=Y")</f>
        <v>#NAME?</v>
      </c>
      <c r="BL504" s="2" t="e">
        <f ca="1">_xll.BDH($C$503,"ACCOUNTS_RECEIVABLE_SEQ_GROWTH","FQ1 2014","FQ1 2014","Currency=INR","Period=FQ","BEST_FPERIOD_OVERRIDE=FQ","FILING_STATUS=OR","EQY_CONSOLIDATED=Y","Sort=A","Dates=H","DateFormat=P","Fill=—","Direction=H","UseDPDF=Y")</f>
        <v>#NAME?</v>
      </c>
      <c r="BM504" s="2" t="e">
        <f ca="1">_xll.BDH($C$503,"INVENTORY_SEQUENTIAL_GROWTH","FQ1 2014","FQ1 2014","Currency=INR","Period=FQ","BEST_FPERIOD_OVERRIDE=FQ","FILING_STATUS=OR","EQY_CONSOLIDATED=Y","Sort=A","Dates=H","DateFormat=P","Fill=—","Direction=H","UseDPDF=Y")</f>
        <v>#NAME?</v>
      </c>
      <c r="BN504" s="2" t="e">
        <f ca="1">_xll.BDH($C$503,"FIXED_ASSETS_SEQUENTIAL_GROWTH","FQ1 2014","FQ1 2014","Currency=INR","Period=FQ","BEST_FPERIOD_OVERRIDE=FQ","FILING_STATUS=OR","EQY_CONSOLIDATED=Y","Sort=A","Dates=H","DateFormat=P","Fill=—","Direction=H","UseDPDF=Y")</f>
        <v>#NAME?</v>
      </c>
      <c r="BO504" s="2" t="e">
        <f ca="1">_xll.BDH($C$503,"TOTAL_ASSETS_SEQUENTIAL_GROWTH","FQ1 2014","FQ1 2014","Currency=INR","Period=FQ","BEST_FPERIOD_OVERRIDE=FQ","FILING_STATUS=OR","EQY_CONSOLIDATED=Y","Sort=A","Dates=H","DateFormat=P","Fill=—","Direction=H","UseDPDF=Y")</f>
        <v>#NAME?</v>
      </c>
      <c r="BP504" s="2" t="e">
        <f ca="1">_xll.BDH($C$503,"MODIFIED_WORKING_CPTL_SEQ_GRWTH","FQ1 2014","FQ1 2014","Currency=INR","Period=FQ","BEST_FPERIOD_OVERRIDE=FQ","FILING_STATUS=OR","EQY_CONSOLIDATED=Y","Sort=A","Dates=H","DateFormat=P","Fill=—","Direction=H","UseDPDF=Y")</f>
        <v>#NAME?</v>
      </c>
      <c r="BQ504" s="2" t="e">
        <f ca="1">_xll.BDH($C$503,"WORKING_CAPITAL_SEQ_GROWTH","FQ1 2014","FQ1 2014","Currency=INR","Period=FQ","BEST_FPERIOD_OVERRIDE=FQ","FILING_STATUS=OR","EQY_CONSOLIDATED=Y","Sort=A","Dates=H","DateFormat=P","Fill=—","Direction=H","UseDPDF=Y")</f>
        <v>#NAME?</v>
      </c>
      <c r="BR504" s="2" t="e">
        <f ca="1">_xll.BDH($C$503,"ACCOUNTS_PAYABLE_SEQ_GROWTH","FQ1 2014","FQ1 2014","Currency=INR","Period=FQ","BEST_FPERIOD_OVERRIDE=FQ","FILING_STATUS=OR","EQY_CONSOLIDATED=Y","Sort=A","Dates=H","DateFormat=P","Fill=—","Direction=H","UseDPDF=Y")</f>
        <v>#NAME?</v>
      </c>
      <c r="BS504" s="2" t="e">
        <f ca="1">_xll.BDH($C$503,"ST_DEBT_SEQUENTIAL_GROWTH","FQ1 2014","FQ1 2014","Currency=INR","Period=FQ","BEST_FPERIOD_OVERRIDE=FQ","FILING_STATUS=OR","EQY_CONSOLIDATED=Y","Sort=A","Dates=H","DateFormat=P","Fill=—","Direction=H","UseDPDF=Y")</f>
        <v>#NAME?</v>
      </c>
      <c r="BT504" s="2" t="e">
        <f ca="1">_xll.BDH($C$503,"TOTAL_DEBT_SEQUENTIAL_GROWTH","FQ1 2014","FQ1 2014","Currency=INR","Period=FQ","BEST_FPERIOD_OVERRIDE=FQ","FILING_STATUS=OR","EQY_CONSOLIDATED=Y","Sort=A","Dates=H","DateFormat=P","Fill=—","Direction=H","UseDPDF=Y")</f>
        <v>#NAME?</v>
      </c>
      <c r="BU504" s="2" t="e">
        <f ca="1">_xll.BDH($C$503,"TOTAL_EQUITY_SEQUENTIAL_GROWTH","FQ1 2014","FQ1 2014","Currency=INR","Period=FQ","BEST_FPERIOD_OVERRIDE=FQ","FILING_STATUS=OR","EQY_CONSOLIDATED=Y","Sort=A","Dates=H","DateFormat=P","Fill=—","Direction=H","UseDPDF=Y")</f>
        <v>#NAME?</v>
      </c>
      <c r="BV504" s="2" t="e">
        <f ca="1">_xll.BDH($C$503,"TOTAL_CAPITAL_SEQUENTIAL_GROWTH","FQ1 2014","FQ1 2014","Currency=INR","Period=FQ","BEST_FPERIOD_OVERRIDE=FQ","FILING_STATUS=OR","EQY_CONSOLIDATED=Y","Sort=A","Dates=H","DateFormat=P","Fill=—","Direction=H","UseDPDF=Y")</f>
        <v>#NAME?</v>
      </c>
      <c r="BW504" s="2" t="e">
        <f ca="1">_xll.BDH($C$503,"BPS_SEQUENTIAL_GROWTH","FQ1 2014","FQ1 2014","Currency=INR","Period=FQ","BEST_FPERIOD_OVERRIDE=FQ","FILING_STATUS=OR","EQY_CONSOLIDATED=Y","Sort=A","Dates=H","DateFormat=P","Fill=—","Direction=H","UseDPDF=Y")</f>
        <v>#NAME?</v>
      </c>
      <c r="BX504" s="2" t="e">
        <f ca="1">_xll.BDH($C$503,"CFO_SEQUENTIAL_GROWTH","FQ1 2014","FQ1 2014","Currency=INR","Period=FQ","BEST_FPERIOD_OVERRIDE=FQ","FILING_STATUS=OR","EQY_CONSOLIDATED=Y","Sort=A","Dates=H","DateFormat=P","Fill=—","Direction=H","UseDPDF=Y")</f>
        <v>#NAME?</v>
      </c>
      <c r="BY504" s="3" t="e">
        <f ca="1">_xll.BDH($C$503,"SHORT_AND_LONG_TERM_DEBT","FQ1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504" s="3" t="e">
        <f ca="1">_xll.BDH($C$503,"BS_ST_BORROW","FQ1 2014","FQ1 2014","Currency=INR","Period=FQ","BEST_FPERIOD_OVERRIDE=FQ","FILING_STATUS=OR","EQY_CONSOLIDATED=Y","SCALING_FORMAT=MLN","Sort=A","Dates=H","DateFormat=P","Fill=—","Direction=H","UseDPDF=Y")</f>
        <v>#NAME?</v>
      </c>
      <c r="CA504" s="3" t="e">
        <f ca="1">_xll.BDH($C$503,"BS_LT_BORROW","FQ1 2014","FQ1 2014","Currency=INR","Period=FQ","BEST_FPERIOD_OVERRIDE=FQ","FILING_STATUS=OR","EQY_CONSOLIDATED=Y","SCALING_FORMAT=MLN","Sort=A","Dates=H","DateFormat=P","Fill=—","Direction=H","UseDPDF=Y")</f>
        <v>#NAME?</v>
      </c>
      <c r="CB504" s="2" t="e">
        <f ca="1">_xll.BDH($C$503,"TOT_DEBT_TO_EBITDA","FQ1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504" s="2" t="e">
        <f ca="1">_xll.BDH($C$503,"NET_DEBT_TO_EBITDA","FQ1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504" s="2" t="e">
        <f ca="1">_xll.BDH($C$503,"TOTAL_DEBT_TO_EBIT","FQ1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504" s="2" t="e">
        <f ca="1">_xll.BDH($C$503,"NET_DEBT_TO_EBIT","FQ1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504" s="2" t="e">
        <f ca="1">_xll.BDH($C$503,"EBITDA_TO_INTEREST_EXPN","FQ1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504" s="2" t="e">
        <f ca="1">_xll.BDH($C$503,"COM_EQY_TO_TOT_ASSET","FQ1 2014","FQ1 2014","Currency=INR","Period=FQ","BEST_FPERIOD_OVERRIDE=FQ","FILING_STATUS=OR","EQY_CONSOLIDATED=Y","Sort=A","Dates=H","DateFormat=P","Fill=—","Direction=H","UseDPDF=Y")</f>
        <v>#NAME?</v>
      </c>
      <c r="CH504" s="2" t="e">
        <f ca="1">_xll.BDH($C$503,"LT_DEBT_TO_TOT_EQY","FQ1 2014","FQ1 2014","Currency=INR","Period=FQ","BEST_FPERIOD_OVERRIDE=FQ","FILING_STATUS=OR","EQY_CONSOLIDATED=Y","Sort=A","Dates=H","DateFormat=P","Fill=—","Direction=H","UseDPDF=Y")</f>
        <v>#NAME?</v>
      </c>
      <c r="CI504" s="2" t="e">
        <f ca="1">_xll.BDH($C$503,"LT_DEBT_TO_TOT_CAP","FQ1 2014","FQ1 2014","Currency=INR","Period=FQ","BEST_FPERIOD_OVERRIDE=FQ","FILING_STATUS=OR","EQY_CONSOLIDATED=Y","Sort=A","Dates=H","DateFormat=P","Fill=—","Direction=H","UseDPDF=Y")</f>
        <v>#NAME?</v>
      </c>
      <c r="CJ504" s="2" t="e">
        <f ca="1">_xll.BDH($C$503,"LT_DEBT_TO_TOT_ASSET","FQ1 2014","FQ1 2014","Currency=INR","Period=FQ","BEST_FPERIOD_OVERRIDE=FQ","FILING_STATUS=OR","EQY_CONSOLIDATED=Y","Sort=A","Dates=H","DateFormat=P","Fill=—","Direction=H","UseDPDF=Y")</f>
        <v>#NAME?</v>
      </c>
      <c r="CK504" s="2" t="e">
        <f ca="1">_xll.BDH($C$503,"TOT_DEBT_TO_TOT_EQY","FQ1 2014","FQ1 2014","Currency=INR","Period=FQ","BEST_FPERIOD_OVERRIDE=FQ","FILING_STATUS=OR","EQY_CONSOLIDATED=Y","Sort=A","Dates=H","DateFormat=P","Fill=—","Direction=H","UseDPDF=Y")</f>
        <v>#NAME?</v>
      </c>
      <c r="CL504" s="2" t="e">
        <f ca="1">_xll.BDH($C$503,"TOT_DEBT_TO_TOT_CAP","FQ1 2014","FQ1 2014","Currency=INR","Period=FQ","BEST_FPERIOD_OVERRIDE=FQ","FILING_STATUS=OR","EQY_CONSOLIDATED=Y","Sort=A","Dates=H","DateFormat=P","Fill=—","Direction=H","UseDPDF=Y")</f>
        <v>#NAME?</v>
      </c>
      <c r="CM504" s="2" t="e">
        <f ca="1">_xll.BDH($C$503,"TOT_DEBT_TO_TOT_ASSET","FQ1 2014","FQ1 2014","Currency=INR","Period=FQ","BEST_FPERIOD_OVERRIDE=FQ","FILING_STATUS=OR","EQY_CONSOLIDATED=Y","Sort=A","Dates=H","DateFormat=P","Fill=—","Direction=H","UseDPDF=Y")</f>
        <v>#NAME?</v>
      </c>
      <c r="CN504" s="2" t="e">
        <f ca="1">_xll.BDH($C$503,"NET_DEBT_TO_SHRHLDR_EQTY","FQ1 2014","FQ1 2014","Currency=INR","Period=FQ","BEST_FPERIOD_OVERRIDE=FQ","FILING_STATUS=OR","EQY_CONSOLIDATED=Y","Sort=A","Dates=H","DateFormat=P","Fill=—","Direction=H","UseDPDF=Y")</f>
        <v>#NAME?</v>
      </c>
      <c r="CO504" s="2" t="e">
        <f ca="1">_xll.BDH($C$503,"NET_DEBT_%_CAPITAL","FQ1 2014","FQ1 2014","Currency=INR","Period=FQ","BEST_FPERIOD_OVERRIDE=FQ","FILING_STATUS=OR","EQY_CONSOLIDATED=Y","Sort=A","Dates=H","DateFormat=P","Fill=—","Direction=H","UseDPDF=Y")</f>
        <v>#NAME?</v>
      </c>
      <c r="CP504" s="3" t="e">
        <f ca="1">_xll.BDH($C$503,"EBITDA","FQ1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504" s="3" t="e">
        <f ca="1">_xll.BDH($C$503,"EBITDA_AFTER_CAPEX","FQ1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504" s="3" t="e">
        <f ca="1">_xll.BDH($C$503,"IS_OPER_INC","FQ1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504" s="2" t="e">
        <f ca="1">_xll.BDH($C$503,"CASH_RATIO","FQ1 2014","FQ1 2014","Currency=INR","Period=FQ","BEST_FPERIOD_OVERRIDE=FQ","FILING_STATUS=OR","EQY_CONSOLIDATED=Y","Sort=A","Dates=H","DateFormat=P","Fill=—","Direction=H","UseDPDF=Y")</f>
        <v>#NAME?</v>
      </c>
      <c r="CT504" s="2" t="e">
        <f ca="1">_xll.BDH($C$503,"CUR_RATIO","FQ1 2014","FQ1 2014","Currency=INR","Period=FQ","BEST_FPERIOD_OVERRIDE=FQ","FILING_STATUS=OR","EQY_CONSOLIDATED=Y","Sort=A","Dates=H","DateFormat=P","Fill=—","Direction=H","UseDPDF=Y")</f>
        <v>#NAME?</v>
      </c>
      <c r="CU504" s="2" t="e">
        <f ca="1">_xll.BDH($C$503,"QUICK_RATIO","FQ1 2014","FQ1 2014","Currency=INR","Period=FQ","BEST_FPERIOD_OVERRIDE=FQ","FILING_STATUS=OR","EQY_CONSOLIDATED=Y","Sort=A","Dates=H","DateFormat=P","Fill=—","Direction=H","UseDPDF=Y")</f>
        <v>#NAME?</v>
      </c>
      <c r="CV504" s="2" t="e">
        <f ca="1">_xll.BDH($C$503,"ALTMAN_Z_SCORE","FQ1 2014","FQ1 2014","Currency=INR","Period=FQ","BEST_FPERIOD_OVERRIDE=FQ","FILING_STATUS=OR","EQY_CONSOLIDATED=Y","Sort=A","Dates=H","DateFormat=P","Fill=—","Direction=H","UseDPDF=Y")</f>
        <v>#NAME?</v>
      </c>
      <c r="CW504" s="4" t="e">
        <f ca="1">_xll.BDH($C$503,"ACCT_RCV_TURN","FQ1 2014","FQ1 2014","Currency=INR","Period=FQ","BEST_FPERIOD_OVERRIDE=FQ","FILING_STATUS=OR","EQY_CONSOLIDATED=Y","FA_ADJUSTED=GAAP","Sort=A","Dates=H","DateFormat=P","Fill=—","Direction=H","UseDPDF=Y")</f>
        <v>#NAME?</v>
      </c>
      <c r="CX504" s="2" t="e">
        <f ca="1">_xll.BDH($C$503,"ACCT_RCV_DAYS","FQ1 2014","FQ1 2014","Currency=INR","Period=FQ","BEST_FPERIOD_OVERRIDE=FQ","FILING_STATUS=OR","EQY_CONSOLIDATED=Y","FA_ADJUSTED=GAAP","Sort=A","Dates=H","DateFormat=P","Fill=—","Direction=H","UseDPDF=Y")</f>
        <v>#NAME?</v>
      </c>
      <c r="CY504" s="4" t="e">
        <f ca="1">_xll.BDH($C$503,"INVENT_TURN","FQ1 2014","FQ1 2014","Currency=INR","Period=FQ","BEST_FPERIOD_OVERRIDE=FQ","FILING_STATUS=OR","EQY_CONSOLIDATED=Y","FA_ADJUSTED=GAAP","Sort=A","Dates=H","DateFormat=P","Fill=—","Direction=H","UseDPDF=Y")</f>
        <v>#NAME?</v>
      </c>
      <c r="CZ504" s="2" t="e">
        <f ca="1">_xll.BDH($C$503,"INVENT_DAYS","FQ1 2014","FQ1 2014","Currency=INR","Period=FQ","BEST_FPERIOD_OVERRIDE=FQ","FILING_STATUS=OR","EQY_CONSOLIDATED=Y","FA_ADJUSTED=GAAP","Sort=A","Dates=H","DateFormat=P","Fill=—","Direction=H","UseDPDF=Y")</f>
        <v>#NAME?</v>
      </c>
      <c r="DA504" s="4" t="e">
        <f ca="1">_xll.BDH($C$503,"ACCOUNTS_PAYABLE_TURNOVER","FQ1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504" s="2" t="e">
        <f ca="1">_xll.BDH($C$503,"ACCOUNTS_PAYABLE_TURNOVER_DAYS","FQ1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504" s="4" t="e">
        <f ca="1">_xll.BDH($C$503,"CASH_CONVERSION_CYCLE","FQ1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504" s="4" t="e">
        <f ca="1">_xll.BDH($C$503,"INV_TO_CASH_DAYS","FQ1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504" s="5" t="e">
        <f ca="1">_xll.BDH($C$503,"BS_INVENTORIES","FQ1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504" s="3" t="e">
        <f ca="1">_xll.BDH($C$503,"INVTRY_RAW_MATERIALS","FQ1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504" s="3" t="e">
        <f ca="1">_xll.BDH($C$503,"INVTRY_IN_PROGRESS","FQ1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504" s="3" t="e">
        <f ca="1">_xll.BDH($C$503,"INVTRY_FINISHED_GOODS","FQ1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504" s="3" t="e">
        <f ca="1">_xll.BDH($C$503,"BS_OTHER_INV","FQ1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05" spans="1:113" x14ac:dyDescent="0.3">
      <c r="A505" s="6"/>
      <c r="B505" s="6"/>
      <c r="C505" s="6"/>
      <c r="D505" s="6"/>
      <c r="E505" t="s">
        <v>79</v>
      </c>
      <c r="F505" t="e">
        <f ca="1">_xll.BDH($C$503,"RETURN_COM_EQY","FQ2 2014","FQ2 2014","Currency=INR","Period=FQ","BEST_FPERIOD_OVERRIDE=FQ","FILING_STATUS=OR","EQY_CONSOLIDATED=Y","FA_ADJUSTED=GAAP","Sort=A","Dates=H","DateFormat=P","Fill=—","Direction=H","UseDPDF=Y")</f>
        <v>#NAME?</v>
      </c>
      <c r="G505" t="e">
        <f ca="1">_xll.BDH($C$503,"RETURN_ON_ASSET","FQ2 2014","FQ2 2014","Currency=INR","Period=FQ","BEST_FPERIOD_OVERRIDE=FQ","FILING_STATUS=OR","EQY_CONSOLIDATED=Y","FA_ADJUSTED=GAAP","Sort=A","Dates=H","DateFormat=P","Fill=—","Direction=H","UseDPDF=Y")</f>
        <v>#NAME?</v>
      </c>
      <c r="H505" t="e">
        <f ca="1">_xll.BDH($C$503,"RETURN_ON_CAP","FQ2 2014","FQ2 2014","Currency=INR","Period=FQ","BEST_FPERIOD_OVERRIDE=FQ","FILING_STATUS=OR","EQY_CONSOLIDATED=Y","FA_ADJUSTED=GAAP","Sort=A","Dates=H","DateFormat=P","Fill=—","Direction=H","UseDPDF=Y")</f>
        <v>#NAME?</v>
      </c>
      <c r="I505" t="e">
        <f ca="1">_xll.BDH($C$503,"RETURN_ON_INV_CAPITAL","FQ2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05" t="e">
        <f ca="1">_xll.BDH($C$503,"EBITDA_TO_REVENUE","FQ2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505" t="e">
        <f ca="1">_xll.BDH($C$503,"OPER_MARGIN","FQ2 2014","FQ2 2014","Currency=INR","Period=FQ","BEST_FPERIOD_OVERRIDE=FQ","FILING_STATUS=OR","EQY_CONSOLIDATED=Y","FA_ADJUSTED=GAAP","Sort=A","Dates=H","DateFormat=P","Fill=—","Direction=H","UseDPDF=Y")</f>
        <v>#NAME?</v>
      </c>
      <c r="L505" t="e">
        <f ca="1">_xll.BDH($C$503,"INCREMENTAL_OPERATING_MARGIN","FQ2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05" t="e">
        <f ca="1">_xll.BDH($C$503,"PRETAX_INC_TO_NET_SALES","FQ2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05" t="e">
        <f ca="1">_xll.BDH($C$503,"INC_BEF_XO_ITEMS_TO_NET_SALES","FQ2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05" t="e">
        <f ca="1">_xll.BDH($C$503,"PROF_MARGIN","FQ2 2014","FQ2 2014","Currency=INR","Period=FQ","BEST_FPERIOD_OVERRIDE=FQ","FILING_STATUS=OR","EQY_CONSOLIDATED=Y","FA_ADJUSTED=GAAP","Sort=A","Dates=H","DateFormat=P","Fill=—","Direction=H","UseDPDF=Y")</f>
        <v>#NAME?</v>
      </c>
      <c r="P505" t="e">
        <f ca="1">_xll.BDH($C$503,"NET_INCOME_TO_COMMON_MARGIN","FQ2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05" t="e">
        <f ca="1">_xll.BDH($C$503,"EFF_TAX_RATE","FQ2 2014","FQ2 2014","Currency=INR","Period=FQ","BEST_FPERIOD_OVERRIDE=FQ","FILING_STATUS=OR","EQY_CONSOLIDATED=Y","FA_ADJUSTED=GAAP","Sort=A","Dates=H","DateFormat=P","Fill=—","Direction=H","UseDPDF=Y")</f>
        <v>#NAME?</v>
      </c>
      <c r="R505" t="e">
        <f ca="1">_xll.BDH($C$503,"DVD_PAYOUT_RATIO","FQ2 2014","FQ2 2014","Currency=INR","Period=FQ","BEST_FPERIOD_OVERRIDE=FQ","FILING_STATUS=OR","EQY_CONSOLIDATED=Y","FA_ADJUSTED=GAAP","Sort=A","Dates=H","DateFormat=P","Fill=—","Direction=H","UseDPDF=Y")</f>
        <v>#NAME?</v>
      </c>
      <c r="S505" t="e">
        <f ca="1">_xll.BDH($C$503,"SUSTAIN_GROWTH_RT","FQ2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505" s="2" t="e">
        <f ca="1">_xll.BDH($C$503,"SALES_GROWTH","FQ2 2014","FQ2 2014","Currency=INR","Period=FQ","BEST_FPERIOD_OVERRIDE=FQ","FILING_STATUS=OR","EQY_CONSOLIDATED=Y","FA_ADJUSTED=GAAP","Sort=A","Dates=H","DateFormat=P","Fill=—","Direction=H","UseDPDF=Y")</f>
        <v>#NAME?</v>
      </c>
      <c r="U505" s="2" t="e">
        <f ca="1">_xll.BDH($C$503,"EBITDA_GROWTH","FQ2 2014","FQ2 2014","Currency=INR","Period=FQ","BEST_FPERIOD_OVERRIDE=FQ","FILING_STATUS=OR","EQY_CONSOLIDATED=Y","FA_ADJUSTED=GAAP","Sort=A","Dates=H","DateFormat=P","Fill=—","Direction=H","UseDPDF=Y")</f>
        <v>#NAME?</v>
      </c>
      <c r="V505" s="2" t="e">
        <f ca="1">_xll.BDH($C$503,"OPER_INC_GROWTH","FQ2 2014","FQ2 2014","Currency=INR","Period=FQ","BEST_FPERIOD_OVERRIDE=FQ","FILING_STATUS=OR","EQY_CONSOLIDATED=Y","FA_ADJUSTED=GAAP","Sort=A","Dates=H","DateFormat=P","Fill=—","Direction=H","UseDPDF=Y")</f>
        <v>#NAME?</v>
      </c>
      <c r="W505" s="2" t="e">
        <f ca="1">_xll.BDH($C$503,"EARN_FOR_COM_GROWTH","FQ2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05" s="2" t="e">
        <f ca="1">_xll.BDH($C$503,"DILUTED_EPS_AFT_XO_ITEMS_GROWTH","FQ2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05" s="2" t="e">
        <f ca="1">_xll.BDH($C$503,"DIVIDEND_PER_SHARE_1_YEAR_GROWTH","FQ2 2014","FQ2 2014","Currency=INR","Period=FQ","BEST_FPERIOD_OVERRIDE=FQ","FILING_STATUS=OR","EQY_CONSOLIDATED=Y","Sort=A","Dates=H","DateFormat=P","Fill=—","Direction=H","UseDPDF=Y")</f>
        <v>#NAME?</v>
      </c>
      <c r="Z505" s="2" t="e">
        <f ca="1">_xll.BDH($C$503,"ACCOUNTS_RECEIVABLE_GROWTH","FQ2 2014","FQ2 2014","Currency=INR","Period=FQ","BEST_FPERIOD_OVERRIDE=FQ","FILING_STATUS=OR","EQY_CONSOLIDATED=Y","Sort=A","Dates=H","DateFormat=P","Fill=—","Direction=H","UseDPDF=Y")</f>
        <v>#NAME?</v>
      </c>
      <c r="AA505" s="2" t="e">
        <f ca="1">_xll.BDH($C$503,"INVENTORY_GROWTH","FQ2 2014","FQ2 2014","Currency=INR","Period=FQ","BEST_FPERIOD_OVERRIDE=FQ","FILING_STATUS=OR","EQY_CONSOLIDATED=Y","Sort=A","Dates=H","DateFormat=P","Fill=—","Direction=H","UseDPDF=Y")</f>
        <v>#NAME?</v>
      </c>
      <c r="AB505" s="2" t="e">
        <f ca="1">_xll.BDH($C$503,"NET_FIXED_ASSETS_1_YEAR_GROWTH","FQ2 2014","FQ2 2014","Currency=INR","Period=FQ","BEST_FPERIOD_OVERRIDE=FQ","FILING_STATUS=OR","EQY_CONSOLIDATED=Y","Sort=A","Dates=H","DateFormat=P","Fill=—","Direction=H","UseDPDF=Y")</f>
        <v>#NAME?</v>
      </c>
      <c r="AC505" s="2" t="e">
        <f ca="1">_xll.BDH($C$503,"ASSET_GROWTH","FQ2 2014","FQ2 2014","Currency=INR","Period=FQ","BEST_FPERIOD_OVERRIDE=FQ","FILING_STATUS=OR","EQY_CONSOLIDATED=Y","Sort=A","Dates=H","DateFormat=P","Fill=—","Direction=H","UseDPDF=Y")</f>
        <v>#NAME?</v>
      </c>
      <c r="AD505" s="2" t="e">
        <f ca="1">_xll.BDH($C$503,"MODIFIED_WORK_CAP_GROWTH","FQ2 2014","FQ2 2014","Currency=INR","Period=FQ","BEST_FPERIOD_OVERRIDE=FQ","FILING_STATUS=OR","EQY_CONSOLIDATED=Y","Sort=A","Dates=H","DateFormat=P","Fill=—","Direction=H","UseDPDF=Y")</f>
        <v>#NAME?</v>
      </c>
      <c r="AE505" s="2" t="e">
        <f ca="1">_xll.BDH($C$503,"WORK_CAP_GROWTH","FQ2 2014","FQ2 2014","Currency=INR","Period=FQ","BEST_FPERIOD_OVERRIDE=FQ","FILING_STATUS=OR","EQY_CONSOLIDATED=Y","Sort=A","Dates=H","DateFormat=P","Fill=—","Direction=H","UseDPDF=Y")</f>
        <v>#NAME?</v>
      </c>
      <c r="AF505" s="2" t="e">
        <f ca="1">_xll.BDH($C$503,"ACCOUNTS_PAYABLE_GROWTH_1YR","FQ2 2014","FQ2 2014","Currency=INR","Period=FQ","BEST_FPERIOD_OVERRIDE=FQ","FILING_STATUS=OR","EQY_CONSOLIDATED=Y","Sort=A","Dates=H","DateFormat=P","Fill=—","Direction=H","UseDPDF=Y")</f>
        <v>#NAME?</v>
      </c>
      <c r="AG505" s="2" t="e">
        <f ca="1">_xll.BDH($C$503,"SHORT_TERM_DEBT_1_YEAR_GROWTH","FQ2 2014","FQ2 2014","Currency=INR","Period=FQ","BEST_FPERIOD_OVERRIDE=FQ","FILING_STATUS=OR","EQY_CONSOLIDATED=Y","Sort=A","Dates=H","DateFormat=P","Fill=—","Direction=H","UseDPDF=Y")</f>
        <v>#NAME?</v>
      </c>
      <c r="AH505" s="2" t="e">
        <f ca="1">_xll.BDH($C$503,"TOTAL_DEBT_1_YEAR_GROWTH","FQ2 2014","FQ2 2014","Currency=INR","Period=FQ","BEST_FPERIOD_OVERRIDE=FQ","FILING_STATUS=OR","EQY_CONSOLIDATED=Y","Sort=A","Dates=H","DateFormat=P","Fill=—","Direction=H","UseDPDF=Y")</f>
        <v>#NAME?</v>
      </c>
      <c r="AI505" s="2" t="e">
        <f ca="1">_xll.BDH($C$503,"TOTAL_EQUITY_1_YEAR_GROWTH","FQ2 2014","FQ2 2014","Currency=INR","Period=FQ","BEST_FPERIOD_OVERRIDE=FQ","FILING_STATUS=OR","EQY_CONSOLIDATED=Y","Sort=A","Dates=H","DateFormat=P","Fill=—","Direction=H","UseDPDF=Y")</f>
        <v>#NAME?</v>
      </c>
      <c r="AJ505" s="2" t="e">
        <f ca="1">_xll.BDH($C$503,"GROWTH_IN_CAP","FQ2 2014","FQ2 2014","Currency=INR","Period=FQ","BEST_FPERIOD_OVERRIDE=FQ","FILING_STATUS=OR","EQY_CONSOLIDATED=Y","Sort=A","Dates=H","DateFormat=P","Fill=—","Direction=H","UseDPDF=Y")</f>
        <v>#NAME?</v>
      </c>
      <c r="AK505" s="2" t="e">
        <f ca="1">_xll.BDH($C$503,"BVPS_GROWTH","FQ2 2014","FQ2 2014","Currency=INR","Period=FQ","BEST_FPERIOD_OVERRIDE=FQ","FILING_STATUS=OR","EQY_CONSOLIDATED=Y","Sort=A","Dates=H","DateFormat=P","Fill=—","Direction=H","UseDPDF=Y")</f>
        <v>#NAME?</v>
      </c>
      <c r="AL505" s="2" t="e">
        <f ca="1">_xll.BDH($C$503,"CASH_FLOW_GROWTH","FQ2 2014","FQ2 2014","Currency=INR","Period=FQ","BEST_FPERIOD_OVERRIDE=FQ","FILING_STATUS=OR","EQY_CONSOLIDATED=Y","Sort=A","Dates=H","DateFormat=P","Fill=—","Direction=H","UseDPDF=Y")</f>
        <v>#NAME?</v>
      </c>
      <c r="AM505" s="2" t="e">
        <f ca="1">_xll.BDH($C$503,"GEO_GROW_NET_SALES","FQ2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05" s="2" t="e">
        <f ca="1">_xll.BDH($C$503,"GEO_GROW_EBITDA","FQ2 2014","FQ2 2014","Currency=INR","Period=FQ","BEST_FPERIOD_OVERRIDE=FQ","FILING_STATUS=OR","EQY_CONSOLIDATED=Y","FA_ADJUSTED=GAAP","Sort=A","Dates=H","DateFormat=P","Fill=—","Direction=H","UseDPDF=Y")</f>
        <v>#NAME?</v>
      </c>
      <c r="AO505" s="2" t="e">
        <f ca="1">_xll.BDH($C$503,"GEO_GROW_OPER_INC","FQ2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05" s="2" t="e">
        <f ca="1">_xll.BDH($C$503,"NET_INCOME_TO_COMMON_5_YR_GROWTH","FQ2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05" s="2" t="e">
        <f ca="1">_xll.BDH($C$503,"5Y_GEO_GROWTH_DILUTED_EPS","FQ2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05" s="2" t="e">
        <f ca="1">_xll.BDH($C$503,"GEO_GROW_DVD_PER_SH","FQ2 2014","FQ2 2014","Currency=INR","Period=FQ","BEST_FPERIOD_OVERRIDE=FQ","FILING_STATUS=OR","EQY_CONSOLIDATED=Y","Sort=A","Dates=H","DateFormat=P","Fill=—","Direction=H","UseDPDF=Y")</f>
        <v>#NAME?</v>
      </c>
      <c r="AS505" s="2" t="e">
        <f ca="1">_xll.BDH($C$503,"ACCOUNTS_RECEIVABLE_5_YR_GROWTH","FQ2 2014","FQ2 2014","Currency=INR","Period=FQ","BEST_FPERIOD_OVERRIDE=FQ","FILING_STATUS=OR","EQY_CONSOLIDATED=Y","Sort=A","Dates=H","DateFormat=P","Fill=—","Direction=H","UseDPDF=Y")</f>
        <v>#NAME?</v>
      </c>
      <c r="AT505" s="2" t="e">
        <f ca="1">_xll.BDH($C$503,"INVENTORY_5_YEAR_GROWTH","FQ2 2014","FQ2 2014","Currency=INR","Period=FQ","BEST_FPERIOD_OVERRIDE=FQ","FILING_STATUS=OR","EQY_CONSOLIDATED=Y","Sort=A","Dates=H","DateFormat=P","Fill=—","Direction=H","UseDPDF=Y")</f>
        <v>#NAME?</v>
      </c>
      <c r="AU505" s="2" t="e">
        <f ca="1">_xll.BDH($C$503,"NET_FIXED_ASSETS_5_YEAR_GROWTH","FQ2 2014","FQ2 2014","Currency=INR","Period=FQ","BEST_FPERIOD_OVERRIDE=FQ","FILING_STATUS=OR","EQY_CONSOLIDATED=Y","Sort=A","Dates=H","DateFormat=P","Fill=—","Direction=H","UseDPDF=Y")</f>
        <v>#NAME?</v>
      </c>
      <c r="AV505" s="2" t="e">
        <f ca="1">_xll.BDH($C$503,"GEO_GROW_TOT_ASSET","FQ2 2014","FQ2 2014","Currency=INR","Period=FQ","BEST_FPERIOD_OVERRIDE=FQ","FILING_STATUS=OR","EQY_CONSOLIDATED=Y","Sort=A","Dates=H","DateFormat=P","Fill=—","Direction=H","UseDPDF=Y")</f>
        <v>#NAME?</v>
      </c>
      <c r="AW505" s="2" t="e">
        <f ca="1">_xll.BDH($C$503,"MODIFIED_WORKING_CPTL_5YR_GRWTH","FQ2 2014","FQ2 2014","Currency=INR","Period=FQ","BEST_FPERIOD_OVERRIDE=FQ","FILING_STATUS=OR","EQY_CONSOLIDATED=Y","Sort=A","Dates=H","DateFormat=P","Fill=—","Direction=H","UseDPDF=Y")</f>
        <v>#NAME?</v>
      </c>
      <c r="AX505" s="2" t="e">
        <f ca="1">_xll.BDH($C$503,"WORKING_CAPITAL_5_YEAR_GROWTH","FQ2 2014","FQ2 2014","Currency=INR","Period=FQ","BEST_FPERIOD_OVERRIDE=FQ","FILING_STATUS=OR","EQY_CONSOLIDATED=Y","Sort=A","Dates=H","DateFormat=P","Fill=—","Direction=H","UseDPDF=Y")</f>
        <v>#NAME?</v>
      </c>
      <c r="AY505" s="2" t="e">
        <f ca="1">_xll.BDH($C$503,"ACCOUNTS_PAYABLE_5_YEAR_GROWTH","FQ2 2014","FQ2 2014","Currency=INR","Period=FQ","BEST_FPERIOD_OVERRIDE=FQ","FILING_STATUS=OR","EQY_CONSOLIDATED=Y","Sort=A","Dates=H","DateFormat=P","Fill=—","Direction=H","UseDPDF=Y")</f>
        <v>#NAME?</v>
      </c>
      <c r="AZ505" s="2" t="e">
        <f ca="1">_xll.BDH($C$503,"SHORT_TERM_DEBT_5_YEAR_GROWTH","FQ2 2014","FQ2 2014","Currency=INR","Period=FQ","BEST_FPERIOD_OVERRIDE=FQ","FILING_STATUS=OR","EQY_CONSOLIDATED=Y","Sort=A","Dates=H","DateFormat=P","Fill=—","Direction=H","UseDPDF=Y")</f>
        <v>#NAME?</v>
      </c>
      <c r="BA505" s="2" t="e">
        <f ca="1">_xll.BDH($C$503,"TOTAL_DEBT_5_YEAR_GROWTH","FQ2 2014","FQ2 2014","Currency=INR","Period=FQ","BEST_FPERIOD_OVERRIDE=FQ","FILING_STATUS=OR","EQY_CONSOLIDATED=Y","Sort=A","Dates=H","DateFormat=P","Fill=—","Direction=H","UseDPDF=Y")</f>
        <v>#NAME?</v>
      </c>
      <c r="BB505" s="2" t="e">
        <f ca="1">_xll.BDH($C$503,"GEO_GROW_TOT_SHRHLDR_EQY","FQ2 2014","FQ2 2014","Currency=INR","Period=FQ","BEST_FPERIOD_OVERRIDE=FQ","FILING_STATUS=OR","EQY_CONSOLIDATED=Y","Sort=A","Dates=H","DateFormat=P","Fill=—","Direction=H","UseDPDF=Y")</f>
        <v>#NAME?</v>
      </c>
      <c r="BC505" s="2" t="e">
        <f ca="1">_xll.BDH($C$503,"TOTAL_CAPITAL_5_YEAR_GROWTH","FQ2 2014","FQ2 2014","Currency=INR","Period=FQ","BEST_FPERIOD_OVERRIDE=FQ","FILING_STATUS=OR","EQY_CONSOLIDATED=Y","Sort=A","Dates=H","DateFormat=P","Fill=—","Direction=H","UseDPDF=Y")</f>
        <v>#NAME?</v>
      </c>
      <c r="BD505" s="2" t="e">
        <f ca="1">_xll.BDH($C$503,"GEO_GROW_BOOK_VAL","FQ2 2014","FQ2 2014","Currency=INR","Period=FQ","BEST_FPERIOD_OVERRIDE=FQ","FILING_STATUS=OR","EQY_CONSOLIDATED=Y","Sort=A","Dates=H","DateFormat=P","Fill=—","Direction=H","UseDPDF=Y")</f>
        <v>#NAME?</v>
      </c>
      <c r="BE505" s="2" t="e">
        <f ca="1">_xll.BDH($C$503,"GEO_GROW_CASH_OPER_ACT","FQ2 2014","FQ2 2014","Currency=INR","Period=FQ","BEST_FPERIOD_OVERRIDE=FQ","FILING_STATUS=OR","EQY_CONSOLIDATED=Y","Sort=A","Dates=H","DateFormat=P","Fill=—","Direction=H","UseDPDF=Y")</f>
        <v>#NAME?</v>
      </c>
      <c r="BF505" s="2" t="e">
        <f ca="1">_xll.BDH($C$503,"REVENUE_SEQUENTIAL_GROWTH","FQ2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05" s="2" t="e">
        <f ca="1">_xll.BDH($C$503,"EBITDA_SEQUENTIAL_GROWTH","FQ2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05" s="2" t="e">
        <f ca="1">_xll.BDH($C$503,"OPERATING_INCOME_SEQ_GROWTH","FQ2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05" s="2" t="e">
        <f ca="1">_xll.BDH($C$503,"NET_INCOME_TO_COMMON_SEQ_GROWTH","FQ2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05" s="2" t="e">
        <f ca="1">_xll.BDH($C$503,"EPS_DILUTED_SEQUENTIAL_GROWTH","FQ2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05" s="2" t="e">
        <f ca="1">_xll.BDH($C$503,"DPS_SEQUENTIAL_GROWTH","FQ2 2014","FQ2 2014","Currency=INR","Period=FQ","BEST_FPERIOD_OVERRIDE=FQ","FILING_STATUS=OR","EQY_CONSOLIDATED=Y","Sort=A","Dates=H","DateFormat=P","Fill=—","Direction=H","UseDPDF=Y")</f>
        <v>#NAME?</v>
      </c>
      <c r="BL505" s="2" t="e">
        <f ca="1">_xll.BDH($C$503,"ACCOUNTS_RECEIVABLE_SEQ_GROWTH","FQ2 2014","FQ2 2014","Currency=INR","Period=FQ","BEST_FPERIOD_OVERRIDE=FQ","FILING_STATUS=OR","EQY_CONSOLIDATED=Y","Sort=A","Dates=H","DateFormat=P","Fill=—","Direction=H","UseDPDF=Y")</f>
        <v>#NAME?</v>
      </c>
      <c r="BM505" s="2" t="e">
        <f ca="1">_xll.BDH($C$503,"INVENTORY_SEQUENTIAL_GROWTH","FQ2 2014","FQ2 2014","Currency=INR","Period=FQ","BEST_FPERIOD_OVERRIDE=FQ","FILING_STATUS=OR","EQY_CONSOLIDATED=Y","Sort=A","Dates=H","DateFormat=P","Fill=—","Direction=H","UseDPDF=Y")</f>
        <v>#NAME?</v>
      </c>
      <c r="BN505" s="2" t="e">
        <f ca="1">_xll.BDH($C$503,"FIXED_ASSETS_SEQUENTIAL_GROWTH","FQ2 2014","FQ2 2014","Currency=INR","Period=FQ","BEST_FPERIOD_OVERRIDE=FQ","FILING_STATUS=OR","EQY_CONSOLIDATED=Y","Sort=A","Dates=H","DateFormat=P","Fill=—","Direction=H","UseDPDF=Y")</f>
        <v>#NAME?</v>
      </c>
      <c r="BO505" s="2" t="e">
        <f ca="1">_xll.BDH($C$503,"TOTAL_ASSETS_SEQUENTIAL_GROWTH","FQ2 2014","FQ2 2014","Currency=INR","Period=FQ","BEST_FPERIOD_OVERRIDE=FQ","FILING_STATUS=OR","EQY_CONSOLIDATED=Y","Sort=A","Dates=H","DateFormat=P","Fill=—","Direction=H","UseDPDF=Y")</f>
        <v>#NAME?</v>
      </c>
      <c r="BP505" s="2" t="e">
        <f ca="1">_xll.BDH($C$503,"MODIFIED_WORKING_CPTL_SEQ_GRWTH","FQ2 2014","FQ2 2014","Currency=INR","Period=FQ","BEST_FPERIOD_OVERRIDE=FQ","FILING_STATUS=OR","EQY_CONSOLIDATED=Y","Sort=A","Dates=H","DateFormat=P","Fill=—","Direction=H","UseDPDF=Y")</f>
        <v>#NAME?</v>
      </c>
      <c r="BQ505" s="2" t="e">
        <f ca="1">_xll.BDH($C$503,"WORKING_CAPITAL_SEQ_GROWTH","FQ2 2014","FQ2 2014","Currency=INR","Period=FQ","BEST_FPERIOD_OVERRIDE=FQ","FILING_STATUS=OR","EQY_CONSOLIDATED=Y","Sort=A","Dates=H","DateFormat=P","Fill=—","Direction=H","UseDPDF=Y")</f>
        <v>#NAME?</v>
      </c>
      <c r="BR505" s="2" t="e">
        <f ca="1">_xll.BDH($C$503,"ACCOUNTS_PAYABLE_SEQ_GROWTH","FQ2 2014","FQ2 2014","Currency=INR","Period=FQ","BEST_FPERIOD_OVERRIDE=FQ","FILING_STATUS=OR","EQY_CONSOLIDATED=Y","Sort=A","Dates=H","DateFormat=P","Fill=—","Direction=H","UseDPDF=Y")</f>
        <v>#NAME?</v>
      </c>
      <c r="BS505" s="2" t="e">
        <f ca="1">_xll.BDH($C$503,"ST_DEBT_SEQUENTIAL_GROWTH","FQ2 2014","FQ2 2014","Currency=INR","Period=FQ","BEST_FPERIOD_OVERRIDE=FQ","FILING_STATUS=OR","EQY_CONSOLIDATED=Y","Sort=A","Dates=H","DateFormat=P","Fill=—","Direction=H","UseDPDF=Y")</f>
        <v>#NAME?</v>
      </c>
      <c r="BT505" s="2" t="e">
        <f ca="1">_xll.BDH($C$503,"TOTAL_DEBT_SEQUENTIAL_GROWTH","FQ2 2014","FQ2 2014","Currency=INR","Period=FQ","BEST_FPERIOD_OVERRIDE=FQ","FILING_STATUS=OR","EQY_CONSOLIDATED=Y","Sort=A","Dates=H","DateFormat=P","Fill=—","Direction=H","UseDPDF=Y")</f>
        <v>#NAME?</v>
      </c>
      <c r="BU505" s="2" t="e">
        <f ca="1">_xll.BDH($C$503,"TOTAL_EQUITY_SEQUENTIAL_GROWTH","FQ2 2014","FQ2 2014","Currency=INR","Period=FQ","BEST_FPERIOD_OVERRIDE=FQ","FILING_STATUS=OR","EQY_CONSOLIDATED=Y","Sort=A","Dates=H","DateFormat=P","Fill=—","Direction=H","UseDPDF=Y")</f>
        <v>#NAME?</v>
      </c>
      <c r="BV505" s="2" t="e">
        <f ca="1">_xll.BDH($C$503,"TOTAL_CAPITAL_SEQUENTIAL_GROWTH","FQ2 2014","FQ2 2014","Currency=INR","Period=FQ","BEST_FPERIOD_OVERRIDE=FQ","FILING_STATUS=OR","EQY_CONSOLIDATED=Y","Sort=A","Dates=H","DateFormat=P","Fill=—","Direction=H","UseDPDF=Y")</f>
        <v>#NAME?</v>
      </c>
      <c r="BW505" s="2" t="e">
        <f ca="1">_xll.BDH($C$503,"BPS_SEQUENTIAL_GROWTH","FQ2 2014","FQ2 2014","Currency=INR","Period=FQ","BEST_FPERIOD_OVERRIDE=FQ","FILING_STATUS=OR","EQY_CONSOLIDATED=Y","Sort=A","Dates=H","DateFormat=P","Fill=—","Direction=H","UseDPDF=Y")</f>
        <v>#NAME?</v>
      </c>
      <c r="BX505" s="2" t="e">
        <f ca="1">_xll.BDH($C$503,"CFO_SEQUENTIAL_GROWTH","FQ2 2014","FQ2 2014","Currency=INR","Period=FQ","BEST_FPERIOD_OVERRIDE=FQ","FILING_STATUS=OR","EQY_CONSOLIDATED=Y","Sort=A","Dates=H","DateFormat=P","Fill=—","Direction=H","UseDPDF=Y")</f>
        <v>#NAME?</v>
      </c>
      <c r="BY505" s="3" t="e">
        <f ca="1">_xll.BDH($C$503,"SHORT_AND_LONG_TERM_DEBT","FQ2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05" s="3" t="e">
        <f ca="1">_xll.BDH($C$503,"BS_ST_BORROW","FQ2 2014","FQ2 2014","Currency=INR","Period=FQ","BEST_FPERIOD_OVERRIDE=FQ","FILING_STATUS=OR","EQY_CONSOLIDATED=Y","SCALING_FORMAT=MLN","Sort=A","Dates=H","DateFormat=P","Fill=—","Direction=H","UseDPDF=Y")</f>
        <v>#NAME?</v>
      </c>
      <c r="CA505" s="3" t="e">
        <f ca="1">_xll.BDH($C$503,"BS_LT_BORROW","FQ2 2014","FQ2 2014","Currency=INR","Period=FQ","BEST_FPERIOD_OVERRIDE=FQ","FILING_STATUS=OR","EQY_CONSOLIDATED=Y","SCALING_FORMAT=MLN","Sort=A","Dates=H","DateFormat=P","Fill=—","Direction=H","UseDPDF=Y")</f>
        <v>#NAME?</v>
      </c>
      <c r="CB505" s="2" t="e">
        <f ca="1">_xll.BDH($C$503,"TOT_DEBT_TO_EBITDA","FQ2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05" s="2" t="e">
        <f ca="1">_xll.BDH($C$503,"NET_DEBT_TO_EBITDA","FQ2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05" s="2" t="e">
        <f ca="1">_xll.BDH($C$503,"TOTAL_DEBT_TO_EBIT","FQ2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05" s="2" t="e">
        <f ca="1">_xll.BDH($C$503,"NET_DEBT_TO_EBIT","FQ2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505" s="2" t="e">
        <f ca="1">_xll.BDH($C$503,"EBITDA_TO_INTEREST_EXPN","FQ2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05" s="2" t="e">
        <f ca="1">_xll.BDH($C$503,"COM_EQY_TO_TOT_ASSET","FQ2 2014","FQ2 2014","Currency=INR","Period=FQ","BEST_FPERIOD_OVERRIDE=FQ","FILING_STATUS=OR","EQY_CONSOLIDATED=Y","Sort=A","Dates=H","DateFormat=P","Fill=—","Direction=H","UseDPDF=Y")</f>
        <v>#NAME?</v>
      </c>
      <c r="CH505" s="2" t="e">
        <f ca="1">_xll.BDH($C$503,"LT_DEBT_TO_TOT_EQY","FQ2 2014","FQ2 2014","Currency=INR","Period=FQ","BEST_FPERIOD_OVERRIDE=FQ","FILING_STATUS=OR","EQY_CONSOLIDATED=Y","Sort=A","Dates=H","DateFormat=P","Fill=—","Direction=H","UseDPDF=Y")</f>
        <v>#NAME?</v>
      </c>
      <c r="CI505" s="2" t="e">
        <f ca="1">_xll.BDH($C$503,"LT_DEBT_TO_TOT_CAP","FQ2 2014","FQ2 2014","Currency=INR","Period=FQ","BEST_FPERIOD_OVERRIDE=FQ","FILING_STATUS=OR","EQY_CONSOLIDATED=Y","Sort=A","Dates=H","DateFormat=P","Fill=—","Direction=H","UseDPDF=Y")</f>
        <v>#NAME?</v>
      </c>
      <c r="CJ505" s="2" t="e">
        <f ca="1">_xll.BDH($C$503,"LT_DEBT_TO_TOT_ASSET","FQ2 2014","FQ2 2014","Currency=INR","Period=FQ","BEST_FPERIOD_OVERRIDE=FQ","FILING_STATUS=OR","EQY_CONSOLIDATED=Y","Sort=A","Dates=H","DateFormat=P","Fill=—","Direction=H","UseDPDF=Y")</f>
        <v>#NAME?</v>
      </c>
      <c r="CK505" s="2" t="e">
        <f ca="1">_xll.BDH($C$503,"TOT_DEBT_TO_TOT_EQY","FQ2 2014","FQ2 2014","Currency=INR","Period=FQ","BEST_FPERIOD_OVERRIDE=FQ","FILING_STATUS=OR","EQY_CONSOLIDATED=Y","Sort=A","Dates=H","DateFormat=P","Fill=—","Direction=H","UseDPDF=Y")</f>
        <v>#NAME?</v>
      </c>
      <c r="CL505" s="2" t="e">
        <f ca="1">_xll.BDH($C$503,"TOT_DEBT_TO_TOT_CAP","FQ2 2014","FQ2 2014","Currency=INR","Period=FQ","BEST_FPERIOD_OVERRIDE=FQ","FILING_STATUS=OR","EQY_CONSOLIDATED=Y","Sort=A","Dates=H","DateFormat=P","Fill=—","Direction=H","UseDPDF=Y")</f>
        <v>#NAME?</v>
      </c>
      <c r="CM505" s="2" t="e">
        <f ca="1">_xll.BDH($C$503,"TOT_DEBT_TO_TOT_ASSET","FQ2 2014","FQ2 2014","Currency=INR","Period=FQ","BEST_FPERIOD_OVERRIDE=FQ","FILING_STATUS=OR","EQY_CONSOLIDATED=Y","Sort=A","Dates=H","DateFormat=P","Fill=—","Direction=H","UseDPDF=Y")</f>
        <v>#NAME?</v>
      </c>
      <c r="CN505" s="2" t="e">
        <f ca="1">_xll.BDH($C$503,"NET_DEBT_TO_SHRHLDR_EQTY","FQ2 2014","FQ2 2014","Currency=INR","Period=FQ","BEST_FPERIOD_OVERRIDE=FQ","FILING_STATUS=OR","EQY_CONSOLIDATED=Y","Sort=A","Dates=H","DateFormat=P","Fill=—","Direction=H","UseDPDF=Y")</f>
        <v>#NAME?</v>
      </c>
      <c r="CO505" s="2" t="e">
        <f ca="1">_xll.BDH($C$503,"NET_DEBT_%_CAPITAL","FQ2 2014","FQ2 2014","Currency=INR","Period=FQ","BEST_FPERIOD_OVERRIDE=FQ","FILING_STATUS=OR","EQY_CONSOLIDATED=Y","Sort=A","Dates=H","DateFormat=P","Fill=—","Direction=H","UseDPDF=Y")</f>
        <v>#NAME?</v>
      </c>
      <c r="CP505" s="3" t="e">
        <f ca="1">_xll.BDH($C$503,"EBITDA","FQ2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05" s="3" t="e">
        <f ca="1">_xll.BDH($C$503,"EBITDA_AFTER_CAPEX","FQ2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05" s="3" t="e">
        <f ca="1">_xll.BDH($C$503,"IS_OPER_INC","FQ2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05" s="2" t="e">
        <f ca="1">_xll.BDH($C$503,"CASH_RATIO","FQ2 2014","FQ2 2014","Currency=INR","Period=FQ","BEST_FPERIOD_OVERRIDE=FQ","FILING_STATUS=OR","EQY_CONSOLIDATED=Y","Sort=A","Dates=H","DateFormat=P","Fill=—","Direction=H","UseDPDF=Y")</f>
        <v>#NAME?</v>
      </c>
      <c r="CT505" s="2" t="e">
        <f ca="1">_xll.BDH($C$503,"CUR_RATIO","FQ2 2014","FQ2 2014","Currency=INR","Period=FQ","BEST_FPERIOD_OVERRIDE=FQ","FILING_STATUS=OR","EQY_CONSOLIDATED=Y","Sort=A","Dates=H","DateFormat=P","Fill=—","Direction=H","UseDPDF=Y")</f>
        <v>#NAME?</v>
      </c>
      <c r="CU505" s="2" t="e">
        <f ca="1">_xll.BDH($C$503,"QUICK_RATIO","FQ2 2014","FQ2 2014","Currency=INR","Period=FQ","BEST_FPERIOD_OVERRIDE=FQ","FILING_STATUS=OR","EQY_CONSOLIDATED=Y","Sort=A","Dates=H","DateFormat=P","Fill=—","Direction=H","UseDPDF=Y")</f>
        <v>#NAME?</v>
      </c>
      <c r="CV505" s="2" t="e">
        <f ca="1">_xll.BDH($C$503,"ALTMAN_Z_SCORE","FQ2 2014","FQ2 2014","Currency=INR","Period=FQ","BEST_FPERIOD_OVERRIDE=FQ","FILING_STATUS=OR","EQY_CONSOLIDATED=Y","Sort=A","Dates=H","DateFormat=P","Fill=—","Direction=H","UseDPDF=Y")</f>
        <v>#NAME?</v>
      </c>
      <c r="CW505" s="4" t="e">
        <f ca="1">_xll.BDH($C$503,"ACCT_RCV_TURN","FQ2 2014","FQ2 2014","Currency=INR","Period=FQ","BEST_FPERIOD_OVERRIDE=FQ","FILING_STATUS=OR","EQY_CONSOLIDATED=Y","FA_ADJUSTED=GAAP","Sort=A","Dates=H","DateFormat=P","Fill=—","Direction=H","UseDPDF=Y")</f>
        <v>#NAME?</v>
      </c>
      <c r="CX505" s="2" t="e">
        <f ca="1">_xll.BDH($C$503,"ACCT_RCV_DAYS","FQ2 2014","FQ2 2014","Currency=INR","Period=FQ","BEST_FPERIOD_OVERRIDE=FQ","FILING_STATUS=OR","EQY_CONSOLIDATED=Y","FA_ADJUSTED=GAAP","Sort=A","Dates=H","DateFormat=P","Fill=—","Direction=H","UseDPDF=Y")</f>
        <v>#NAME?</v>
      </c>
      <c r="CY505" s="4" t="e">
        <f ca="1">_xll.BDH($C$503,"INVENT_TURN","FQ2 2014","FQ2 2014","Currency=INR","Period=FQ","BEST_FPERIOD_OVERRIDE=FQ","FILING_STATUS=OR","EQY_CONSOLIDATED=Y","FA_ADJUSTED=GAAP","Sort=A","Dates=H","DateFormat=P","Fill=—","Direction=H","UseDPDF=Y")</f>
        <v>#NAME?</v>
      </c>
      <c r="CZ505" s="2" t="e">
        <f ca="1">_xll.BDH($C$503,"INVENT_DAYS","FQ2 2014","FQ2 2014","Currency=INR","Period=FQ","BEST_FPERIOD_OVERRIDE=FQ","FILING_STATUS=OR","EQY_CONSOLIDATED=Y","FA_ADJUSTED=GAAP","Sort=A","Dates=H","DateFormat=P","Fill=—","Direction=H","UseDPDF=Y")</f>
        <v>#NAME?</v>
      </c>
      <c r="DA505" s="4" t="e">
        <f ca="1">_xll.BDH($C$503,"ACCOUNTS_PAYABLE_TURNOVER","FQ2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05" s="2" t="e">
        <f ca="1">_xll.BDH($C$503,"ACCOUNTS_PAYABLE_TURNOVER_DAYS","FQ2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05" s="4" t="e">
        <f ca="1">_xll.BDH($C$503,"CASH_CONVERSION_CYCLE","FQ2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05" s="4" t="e">
        <f ca="1">_xll.BDH($C$503,"INV_TO_CASH_DAYS","FQ2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505" s="5" t="e">
        <f ca="1">_xll.BDH($C$503,"BS_INVENTORIES","FQ2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505" s="3" t="e">
        <f ca="1">_xll.BDH($C$503,"INVTRY_RAW_MATERIALS","FQ2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05" s="3" t="e">
        <f ca="1">_xll.BDH($C$503,"INVTRY_IN_PROGRESS","FQ2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05" s="3" t="e">
        <f ca="1">_xll.BDH($C$503,"INVTRY_FINISHED_GOODS","FQ2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05" s="3" t="e">
        <f ca="1">_xll.BDH($C$503,"BS_OTHER_INV","FQ2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506" spans="1:113" x14ac:dyDescent="0.3">
      <c r="A506" s="6"/>
      <c r="B506" s="6"/>
      <c r="C506" s="6"/>
      <c r="D506" s="6"/>
      <c r="E506" t="s">
        <v>80</v>
      </c>
      <c r="F506" t="e">
        <f ca="1">_xll.BDH($C$503,"RETURN_COM_EQY","FQ3 2014","FQ3 2014","Currency=INR","Period=FQ","BEST_FPERIOD_OVERRIDE=FQ","FILING_STATUS=OR","EQY_CONSOLIDATED=Y","FA_ADJUSTED=GAAP","Sort=A","Dates=H","DateFormat=P","Fill=—","Direction=H","UseDPDF=Y")</f>
        <v>#NAME?</v>
      </c>
      <c r="G506" t="e">
        <f ca="1">_xll.BDH($C$503,"RETURN_ON_ASSET","FQ3 2014","FQ3 2014","Currency=INR","Period=FQ","BEST_FPERIOD_OVERRIDE=FQ","FILING_STATUS=OR","EQY_CONSOLIDATED=Y","FA_ADJUSTED=GAAP","Sort=A","Dates=H","DateFormat=P","Fill=—","Direction=H","UseDPDF=Y")</f>
        <v>#NAME?</v>
      </c>
      <c r="H506" t="e">
        <f ca="1">_xll.BDH($C$503,"RETURN_ON_CAP","FQ3 2014","FQ3 2014","Currency=INR","Period=FQ","BEST_FPERIOD_OVERRIDE=FQ","FILING_STATUS=OR","EQY_CONSOLIDATED=Y","FA_ADJUSTED=GAAP","Sort=A","Dates=H","DateFormat=P","Fill=—","Direction=H","UseDPDF=Y")</f>
        <v>#NAME?</v>
      </c>
      <c r="I506" t="e">
        <f ca="1">_xll.BDH($C$503,"RETURN_ON_INV_CAPITAL","FQ3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506" t="e">
        <f ca="1">_xll.BDH($C$503,"EBITDA_TO_REVENUE","FQ3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506" t="e">
        <f ca="1">_xll.BDH($C$503,"OPER_MARGIN","FQ3 2014","FQ3 2014","Currency=INR","Period=FQ","BEST_FPERIOD_OVERRIDE=FQ","FILING_STATUS=OR","EQY_CONSOLIDATED=Y","FA_ADJUSTED=GAAP","Sort=A","Dates=H","DateFormat=P","Fill=—","Direction=H","UseDPDF=Y")</f>
        <v>#NAME?</v>
      </c>
      <c r="L506" t="e">
        <f ca="1">_xll.BDH($C$503,"INCREMENTAL_OPERATING_MARGIN","FQ3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506" t="e">
        <f ca="1">_xll.BDH($C$503,"PRETAX_INC_TO_NET_SALES","FQ3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506" t="e">
        <f ca="1">_xll.BDH($C$503,"INC_BEF_XO_ITEMS_TO_NET_SALES","FQ3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506" t="e">
        <f ca="1">_xll.BDH($C$503,"PROF_MARGIN","FQ3 2014","FQ3 2014","Currency=INR","Period=FQ","BEST_FPERIOD_OVERRIDE=FQ","FILING_STATUS=OR","EQY_CONSOLIDATED=Y","FA_ADJUSTED=GAAP","Sort=A","Dates=H","DateFormat=P","Fill=—","Direction=H","UseDPDF=Y")</f>
        <v>#NAME?</v>
      </c>
      <c r="P506" t="e">
        <f ca="1">_xll.BDH($C$503,"NET_INCOME_TO_COMMON_MARGIN","FQ3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506" t="e">
        <f ca="1">_xll.BDH($C$503,"EFF_TAX_RATE","FQ3 2014","FQ3 2014","Currency=INR","Period=FQ","BEST_FPERIOD_OVERRIDE=FQ","FILING_STATUS=OR","EQY_CONSOLIDATED=Y","FA_ADJUSTED=GAAP","Sort=A","Dates=H","DateFormat=P","Fill=—","Direction=H","UseDPDF=Y")</f>
        <v>#NAME?</v>
      </c>
      <c r="R506" t="e">
        <f ca="1">_xll.BDH($C$503,"DVD_PAYOUT_RATIO","FQ3 2014","FQ3 2014","Currency=INR","Period=FQ","BEST_FPERIOD_OVERRIDE=FQ","FILING_STATUS=OR","EQY_CONSOLIDATED=Y","FA_ADJUSTED=GAAP","Sort=A","Dates=H","DateFormat=P","Fill=—","Direction=H","UseDPDF=Y")</f>
        <v>#NAME?</v>
      </c>
      <c r="S506" t="e">
        <f ca="1">_xll.BDH($C$503,"SUSTAIN_GROWTH_RT","FQ3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506" s="2" t="e">
        <f ca="1">_xll.BDH($C$503,"SALES_GROWTH","FQ3 2014","FQ3 2014","Currency=INR","Period=FQ","BEST_FPERIOD_OVERRIDE=FQ","FILING_STATUS=OR","EQY_CONSOLIDATED=Y","FA_ADJUSTED=GAAP","Sort=A","Dates=H","DateFormat=P","Fill=—","Direction=H","UseDPDF=Y")</f>
        <v>#NAME?</v>
      </c>
      <c r="U506" s="2" t="e">
        <f ca="1">_xll.BDH($C$503,"EBITDA_GROWTH","FQ3 2014","FQ3 2014","Currency=INR","Period=FQ","BEST_FPERIOD_OVERRIDE=FQ","FILING_STATUS=OR","EQY_CONSOLIDATED=Y","FA_ADJUSTED=GAAP","Sort=A","Dates=H","DateFormat=P","Fill=—","Direction=H","UseDPDF=Y")</f>
        <v>#NAME?</v>
      </c>
      <c r="V506" s="2" t="e">
        <f ca="1">_xll.BDH($C$503,"OPER_INC_GROWTH","FQ3 2014","FQ3 2014","Currency=INR","Period=FQ","BEST_FPERIOD_OVERRIDE=FQ","FILING_STATUS=OR","EQY_CONSOLIDATED=Y","FA_ADJUSTED=GAAP","Sort=A","Dates=H","DateFormat=P","Fill=—","Direction=H","UseDPDF=Y")</f>
        <v>#NAME?</v>
      </c>
      <c r="W506" s="2" t="e">
        <f ca="1">_xll.BDH($C$503,"EARN_FOR_COM_GROWTH","FQ3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506" s="2" t="e">
        <f ca="1">_xll.BDH($C$503,"DILUTED_EPS_AFT_XO_ITEMS_GROWTH","FQ3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506" s="2" t="e">
        <f ca="1">_xll.BDH($C$503,"DIVIDEND_PER_SHARE_1_YEAR_GROWTH","FQ3 2014","FQ3 2014","Currency=INR","Period=FQ","BEST_FPERIOD_OVERRIDE=FQ","FILING_STATUS=OR","EQY_CONSOLIDATED=Y","Sort=A","Dates=H","DateFormat=P","Fill=—","Direction=H","UseDPDF=Y")</f>
        <v>#NAME?</v>
      </c>
      <c r="Z506" s="2" t="e">
        <f ca="1">_xll.BDH($C$503,"ACCOUNTS_RECEIVABLE_GROWTH","FQ3 2014","FQ3 2014","Currency=INR","Period=FQ","BEST_FPERIOD_OVERRIDE=FQ","FILING_STATUS=OR","EQY_CONSOLIDATED=Y","Sort=A","Dates=H","DateFormat=P","Fill=—","Direction=H","UseDPDF=Y")</f>
        <v>#NAME?</v>
      </c>
      <c r="AA506" s="2" t="e">
        <f ca="1">_xll.BDH($C$503,"INVENTORY_GROWTH","FQ3 2014","FQ3 2014","Currency=INR","Period=FQ","BEST_FPERIOD_OVERRIDE=FQ","FILING_STATUS=OR","EQY_CONSOLIDATED=Y","Sort=A","Dates=H","DateFormat=P","Fill=—","Direction=H","UseDPDF=Y")</f>
        <v>#NAME?</v>
      </c>
      <c r="AB506" s="2" t="e">
        <f ca="1">_xll.BDH($C$503,"NET_FIXED_ASSETS_1_YEAR_GROWTH","FQ3 2014","FQ3 2014","Currency=INR","Period=FQ","BEST_FPERIOD_OVERRIDE=FQ","FILING_STATUS=OR","EQY_CONSOLIDATED=Y","Sort=A","Dates=H","DateFormat=P","Fill=—","Direction=H","UseDPDF=Y")</f>
        <v>#NAME?</v>
      </c>
      <c r="AC506" s="2" t="e">
        <f ca="1">_xll.BDH($C$503,"ASSET_GROWTH","FQ3 2014","FQ3 2014","Currency=INR","Period=FQ","BEST_FPERIOD_OVERRIDE=FQ","FILING_STATUS=OR","EQY_CONSOLIDATED=Y","Sort=A","Dates=H","DateFormat=P","Fill=—","Direction=H","UseDPDF=Y")</f>
        <v>#NAME?</v>
      </c>
      <c r="AD506" s="2" t="e">
        <f ca="1">_xll.BDH($C$503,"MODIFIED_WORK_CAP_GROWTH","FQ3 2014","FQ3 2014","Currency=INR","Period=FQ","BEST_FPERIOD_OVERRIDE=FQ","FILING_STATUS=OR","EQY_CONSOLIDATED=Y","Sort=A","Dates=H","DateFormat=P","Fill=—","Direction=H","UseDPDF=Y")</f>
        <v>#NAME?</v>
      </c>
      <c r="AE506" s="2" t="e">
        <f ca="1">_xll.BDH($C$503,"WORK_CAP_GROWTH","FQ3 2014","FQ3 2014","Currency=INR","Period=FQ","BEST_FPERIOD_OVERRIDE=FQ","FILING_STATUS=OR","EQY_CONSOLIDATED=Y","Sort=A","Dates=H","DateFormat=P","Fill=—","Direction=H","UseDPDF=Y")</f>
        <v>#NAME?</v>
      </c>
      <c r="AF506" s="2" t="e">
        <f ca="1">_xll.BDH($C$503,"ACCOUNTS_PAYABLE_GROWTH_1YR","FQ3 2014","FQ3 2014","Currency=INR","Period=FQ","BEST_FPERIOD_OVERRIDE=FQ","FILING_STATUS=OR","EQY_CONSOLIDATED=Y","Sort=A","Dates=H","DateFormat=P","Fill=—","Direction=H","UseDPDF=Y")</f>
        <v>#NAME?</v>
      </c>
      <c r="AG506" s="2" t="e">
        <f ca="1">_xll.BDH($C$503,"SHORT_TERM_DEBT_1_YEAR_GROWTH","FQ3 2014","FQ3 2014","Currency=INR","Period=FQ","BEST_FPERIOD_OVERRIDE=FQ","FILING_STATUS=OR","EQY_CONSOLIDATED=Y","Sort=A","Dates=H","DateFormat=P","Fill=—","Direction=H","UseDPDF=Y")</f>
        <v>#NAME?</v>
      </c>
      <c r="AH506" s="2" t="e">
        <f ca="1">_xll.BDH($C$503,"TOTAL_DEBT_1_YEAR_GROWTH","FQ3 2014","FQ3 2014","Currency=INR","Period=FQ","BEST_FPERIOD_OVERRIDE=FQ","FILING_STATUS=OR","EQY_CONSOLIDATED=Y","Sort=A","Dates=H","DateFormat=P","Fill=—","Direction=H","UseDPDF=Y")</f>
        <v>#NAME?</v>
      </c>
      <c r="AI506" s="2" t="e">
        <f ca="1">_xll.BDH($C$503,"TOTAL_EQUITY_1_YEAR_GROWTH","FQ3 2014","FQ3 2014","Currency=INR","Period=FQ","BEST_FPERIOD_OVERRIDE=FQ","FILING_STATUS=OR","EQY_CONSOLIDATED=Y","Sort=A","Dates=H","DateFormat=P","Fill=—","Direction=H","UseDPDF=Y")</f>
        <v>#NAME?</v>
      </c>
      <c r="AJ506" s="2" t="e">
        <f ca="1">_xll.BDH($C$503,"GROWTH_IN_CAP","FQ3 2014","FQ3 2014","Currency=INR","Period=FQ","BEST_FPERIOD_OVERRIDE=FQ","FILING_STATUS=OR","EQY_CONSOLIDATED=Y","Sort=A","Dates=H","DateFormat=P","Fill=—","Direction=H","UseDPDF=Y")</f>
        <v>#NAME?</v>
      </c>
      <c r="AK506" s="2" t="e">
        <f ca="1">_xll.BDH($C$503,"BVPS_GROWTH","FQ3 2014","FQ3 2014","Currency=INR","Period=FQ","BEST_FPERIOD_OVERRIDE=FQ","FILING_STATUS=OR","EQY_CONSOLIDATED=Y","Sort=A","Dates=H","DateFormat=P","Fill=—","Direction=H","UseDPDF=Y")</f>
        <v>#NAME?</v>
      </c>
      <c r="AL506" s="2" t="e">
        <f ca="1">_xll.BDH($C$503,"CASH_FLOW_GROWTH","FQ3 2014","FQ3 2014","Currency=INR","Period=FQ","BEST_FPERIOD_OVERRIDE=FQ","FILING_STATUS=OR","EQY_CONSOLIDATED=Y","Sort=A","Dates=H","DateFormat=P","Fill=—","Direction=H","UseDPDF=Y")</f>
        <v>#NAME?</v>
      </c>
      <c r="AM506" s="2" t="e">
        <f ca="1">_xll.BDH($C$503,"GEO_GROW_NET_SALES","FQ3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506" s="2" t="e">
        <f ca="1">_xll.BDH($C$503,"GEO_GROW_EBITDA","FQ3 2014","FQ3 2014","Currency=INR","Period=FQ","BEST_FPERIOD_OVERRIDE=FQ","FILING_STATUS=OR","EQY_CONSOLIDATED=Y","FA_ADJUSTED=GAAP","Sort=A","Dates=H","DateFormat=P","Fill=—","Direction=H","UseDPDF=Y")</f>
        <v>#NAME?</v>
      </c>
      <c r="AO506" s="2" t="e">
        <f ca="1">_xll.BDH($C$503,"GEO_GROW_OPER_INC","FQ3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506" s="2" t="e">
        <f ca="1">_xll.BDH($C$503,"NET_INCOME_TO_COMMON_5_YR_GROWTH","FQ3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506" s="2" t="e">
        <f ca="1">_xll.BDH($C$503,"5Y_GEO_GROWTH_DILUTED_EPS","FQ3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506" s="2" t="e">
        <f ca="1">_xll.BDH($C$503,"GEO_GROW_DVD_PER_SH","FQ3 2014","FQ3 2014","Currency=INR","Period=FQ","BEST_FPERIOD_OVERRIDE=FQ","FILING_STATUS=OR","EQY_CONSOLIDATED=Y","Sort=A","Dates=H","DateFormat=P","Fill=—","Direction=H","UseDPDF=Y")</f>
        <v>#NAME?</v>
      </c>
      <c r="AS506" s="2" t="e">
        <f ca="1">_xll.BDH($C$503,"ACCOUNTS_RECEIVABLE_5_YR_GROWTH","FQ3 2014","FQ3 2014","Currency=INR","Period=FQ","BEST_FPERIOD_OVERRIDE=FQ","FILING_STATUS=OR","EQY_CONSOLIDATED=Y","Sort=A","Dates=H","DateFormat=P","Fill=—","Direction=H","UseDPDF=Y")</f>
        <v>#NAME?</v>
      </c>
      <c r="AT506" s="2" t="e">
        <f ca="1">_xll.BDH($C$503,"INVENTORY_5_YEAR_GROWTH","FQ3 2014","FQ3 2014","Currency=INR","Period=FQ","BEST_FPERIOD_OVERRIDE=FQ","FILING_STATUS=OR","EQY_CONSOLIDATED=Y","Sort=A","Dates=H","DateFormat=P","Fill=—","Direction=H","UseDPDF=Y")</f>
        <v>#NAME?</v>
      </c>
      <c r="AU506" s="2" t="e">
        <f ca="1">_xll.BDH($C$503,"NET_FIXED_ASSETS_5_YEAR_GROWTH","FQ3 2014","FQ3 2014","Currency=INR","Period=FQ","BEST_FPERIOD_OVERRIDE=FQ","FILING_STATUS=OR","EQY_CONSOLIDATED=Y","Sort=A","Dates=H","DateFormat=P","Fill=—","Direction=H","UseDPDF=Y")</f>
        <v>#NAME?</v>
      </c>
      <c r="AV506" s="2" t="e">
        <f ca="1">_xll.BDH($C$503,"GEO_GROW_TOT_ASSET","FQ3 2014","FQ3 2014","Currency=INR","Period=FQ","BEST_FPERIOD_OVERRIDE=FQ","FILING_STATUS=OR","EQY_CONSOLIDATED=Y","Sort=A","Dates=H","DateFormat=P","Fill=—","Direction=H","UseDPDF=Y")</f>
        <v>#NAME?</v>
      </c>
      <c r="AW506" s="2" t="e">
        <f ca="1">_xll.BDH($C$503,"MODIFIED_WORKING_CPTL_5YR_GRWTH","FQ3 2014","FQ3 2014","Currency=INR","Period=FQ","BEST_FPERIOD_OVERRIDE=FQ","FILING_STATUS=OR","EQY_CONSOLIDATED=Y","Sort=A","Dates=H","DateFormat=P","Fill=—","Direction=H","UseDPDF=Y")</f>
        <v>#NAME?</v>
      </c>
      <c r="AX506" s="2" t="e">
        <f ca="1">_xll.BDH($C$503,"WORKING_CAPITAL_5_YEAR_GROWTH","FQ3 2014","FQ3 2014","Currency=INR","Period=FQ","BEST_FPERIOD_OVERRIDE=FQ","FILING_STATUS=OR","EQY_CONSOLIDATED=Y","Sort=A","Dates=H","DateFormat=P","Fill=—","Direction=H","UseDPDF=Y")</f>
        <v>#NAME?</v>
      </c>
      <c r="AY506" s="2" t="e">
        <f ca="1">_xll.BDH($C$503,"ACCOUNTS_PAYABLE_5_YEAR_GROWTH","FQ3 2014","FQ3 2014","Currency=INR","Period=FQ","BEST_FPERIOD_OVERRIDE=FQ","FILING_STATUS=OR","EQY_CONSOLIDATED=Y","Sort=A","Dates=H","DateFormat=P","Fill=—","Direction=H","UseDPDF=Y")</f>
        <v>#NAME?</v>
      </c>
      <c r="AZ506" s="2" t="e">
        <f ca="1">_xll.BDH($C$503,"SHORT_TERM_DEBT_5_YEAR_GROWTH","FQ3 2014","FQ3 2014","Currency=INR","Period=FQ","BEST_FPERIOD_OVERRIDE=FQ","FILING_STATUS=OR","EQY_CONSOLIDATED=Y","Sort=A","Dates=H","DateFormat=P","Fill=—","Direction=H","UseDPDF=Y")</f>
        <v>#NAME?</v>
      </c>
      <c r="BA506" s="2" t="e">
        <f ca="1">_xll.BDH($C$503,"TOTAL_DEBT_5_YEAR_GROWTH","FQ3 2014","FQ3 2014","Currency=INR","Period=FQ","BEST_FPERIOD_OVERRIDE=FQ","FILING_STATUS=OR","EQY_CONSOLIDATED=Y","Sort=A","Dates=H","DateFormat=P","Fill=—","Direction=H","UseDPDF=Y")</f>
        <v>#NAME?</v>
      </c>
      <c r="BB506" s="2" t="e">
        <f ca="1">_xll.BDH($C$503,"GEO_GROW_TOT_SHRHLDR_EQY","FQ3 2014","FQ3 2014","Currency=INR","Period=FQ","BEST_FPERIOD_OVERRIDE=FQ","FILING_STATUS=OR","EQY_CONSOLIDATED=Y","Sort=A","Dates=H","DateFormat=P","Fill=—","Direction=H","UseDPDF=Y")</f>
        <v>#NAME?</v>
      </c>
      <c r="BC506" s="2" t="e">
        <f ca="1">_xll.BDH($C$503,"TOTAL_CAPITAL_5_YEAR_GROWTH","FQ3 2014","FQ3 2014","Currency=INR","Period=FQ","BEST_FPERIOD_OVERRIDE=FQ","FILING_STATUS=OR","EQY_CONSOLIDATED=Y","Sort=A","Dates=H","DateFormat=P","Fill=—","Direction=H","UseDPDF=Y")</f>
        <v>#NAME?</v>
      </c>
      <c r="BD506" s="2" t="e">
        <f ca="1">_xll.BDH($C$503,"GEO_GROW_BOOK_VAL","FQ3 2014","FQ3 2014","Currency=INR","Period=FQ","BEST_FPERIOD_OVERRIDE=FQ","FILING_STATUS=OR","EQY_CONSOLIDATED=Y","Sort=A","Dates=H","DateFormat=P","Fill=—","Direction=H","UseDPDF=Y")</f>
        <v>#NAME?</v>
      </c>
      <c r="BE506" s="2" t="e">
        <f ca="1">_xll.BDH($C$503,"GEO_GROW_CASH_OPER_ACT","FQ3 2014","FQ3 2014","Currency=INR","Period=FQ","BEST_FPERIOD_OVERRIDE=FQ","FILING_STATUS=OR","EQY_CONSOLIDATED=Y","Sort=A","Dates=H","DateFormat=P","Fill=—","Direction=H","UseDPDF=Y")</f>
        <v>#NAME?</v>
      </c>
      <c r="BF506" s="2" t="e">
        <f ca="1">_xll.BDH($C$503,"REVENUE_SEQUENTIAL_GROWTH","FQ3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506" s="2" t="e">
        <f ca="1">_xll.BDH($C$503,"EBITDA_SEQUENTIAL_GROWTH","FQ3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506" s="2" t="e">
        <f ca="1">_xll.BDH($C$503,"OPERATING_INCOME_SEQ_GROWTH","FQ3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506" s="2" t="e">
        <f ca="1">_xll.BDH($C$503,"NET_INCOME_TO_COMMON_SEQ_GROWTH","FQ3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506" s="2" t="e">
        <f ca="1">_xll.BDH($C$503,"EPS_DILUTED_SEQUENTIAL_GROWTH","FQ3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506" s="2" t="e">
        <f ca="1">_xll.BDH($C$503,"DPS_SEQUENTIAL_GROWTH","FQ3 2014","FQ3 2014","Currency=INR","Period=FQ","BEST_FPERIOD_OVERRIDE=FQ","FILING_STATUS=OR","EQY_CONSOLIDATED=Y","Sort=A","Dates=H","DateFormat=P","Fill=—","Direction=H","UseDPDF=Y")</f>
        <v>#NAME?</v>
      </c>
      <c r="BL506" s="2" t="e">
        <f ca="1">_xll.BDH($C$503,"ACCOUNTS_RECEIVABLE_SEQ_GROWTH","FQ3 2014","FQ3 2014","Currency=INR","Period=FQ","BEST_FPERIOD_OVERRIDE=FQ","FILING_STATUS=OR","EQY_CONSOLIDATED=Y","Sort=A","Dates=H","DateFormat=P","Fill=—","Direction=H","UseDPDF=Y")</f>
        <v>#NAME?</v>
      </c>
      <c r="BM506" s="2" t="e">
        <f ca="1">_xll.BDH($C$503,"INVENTORY_SEQUENTIAL_GROWTH","FQ3 2014","FQ3 2014","Currency=INR","Period=FQ","BEST_FPERIOD_OVERRIDE=FQ","FILING_STATUS=OR","EQY_CONSOLIDATED=Y","Sort=A","Dates=H","DateFormat=P","Fill=—","Direction=H","UseDPDF=Y")</f>
        <v>#NAME?</v>
      </c>
      <c r="BN506" s="2" t="e">
        <f ca="1">_xll.BDH($C$503,"FIXED_ASSETS_SEQUENTIAL_GROWTH","FQ3 2014","FQ3 2014","Currency=INR","Period=FQ","BEST_FPERIOD_OVERRIDE=FQ","FILING_STATUS=OR","EQY_CONSOLIDATED=Y","Sort=A","Dates=H","DateFormat=P","Fill=—","Direction=H","UseDPDF=Y")</f>
        <v>#NAME?</v>
      </c>
      <c r="BO506" s="2" t="e">
        <f ca="1">_xll.BDH($C$503,"TOTAL_ASSETS_SEQUENTIAL_GROWTH","FQ3 2014","FQ3 2014","Currency=INR","Period=FQ","BEST_FPERIOD_OVERRIDE=FQ","FILING_STATUS=OR","EQY_CONSOLIDATED=Y","Sort=A","Dates=H","DateFormat=P","Fill=—","Direction=H","UseDPDF=Y")</f>
        <v>#NAME?</v>
      </c>
      <c r="BP506" s="2" t="e">
        <f ca="1">_xll.BDH($C$503,"MODIFIED_WORKING_CPTL_SEQ_GRWTH","FQ3 2014","FQ3 2014","Currency=INR","Period=FQ","BEST_FPERIOD_OVERRIDE=FQ","FILING_STATUS=OR","EQY_CONSOLIDATED=Y","Sort=A","Dates=H","DateFormat=P","Fill=—","Direction=H","UseDPDF=Y")</f>
        <v>#NAME?</v>
      </c>
      <c r="BQ506" s="2" t="e">
        <f ca="1">_xll.BDH($C$503,"WORKING_CAPITAL_SEQ_GROWTH","FQ3 2014","FQ3 2014","Currency=INR","Period=FQ","BEST_FPERIOD_OVERRIDE=FQ","FILING_STATUS=OR","EQY_CONSOLIDATED=Y","Sort=A","Dates=H","DateFormat=P","Fill=—","Direction=H","UseDPDF=Y")</f>
        <v>#NAME?</v>
      </c>
      <c r="BR506" s="2" t="e">
        <f ca="1">_xll.BDH($C$503,"ACCOUNTS_PAYABLE_SEQ_GROWTH","FQ3 2014","FQ3 2014","Currency=INR","Period=FQ","BEST_FPERIOD_OVERRIDE=FQ","FILING_STATUS=OR","EQY_CONSOLIDATED=Y","Sort=A","Dates=H","DateFormat=P","Fill=—","Direction=H","UseDPDF=Y")</f>
        <v>#NAME?</v>
      </c>
      <c r="BS506" s="2" t="e">
        <f ca="1">_xll.BDH($C$503,"ST_DEBT_SEQUENTIAL_GROWTH","FQ3 2014","FQ3 2014","Currency=INR","Period=FQ","BEST_FPERIOD_OVERRIDE=FQ","FILING_STATUS=OR","EQY_CONSOLIDATED=Y","Sort=A","Dates=H","DateFormat=P","Fill=—","Direction=H","UseDPDF=Y")</f>
        <v>#NAME?</v>
      </c>
      <c r="BT506" s="2" t="e">
        <f ca="1">_xll.BDH($C$503,"TOTAL_DEBT_SEQUENTIAL_GROWTH","FQ3 2014","FQ3 2014","Currency=INR","Period=FQ","BEST_FPERIOD_OVERRIDE=FQ","FILING_STATUS=OR","EQY_CONSOLIDATED=Y","Sort=A","Dates=H","DateFormat=P","Fill=—","Direction=H","UseDPDF=Y")</f>
        <v>#NAME?</v>
      </c>
      <c r="BU506" s="2" t="e">
        <f ca="1">_xll.BDH($C$503,"TOTAL_EQUITY_SEQUENTIAL_GROWTH","FQ3 2014","FQ3 2014","Currency=INR","Period=FQ","BEST_FPERIOD_OVERRIDE=FQ","FILING_STATUS=OR","EQY_CONSOLIDATED=Y","Sort=A","Dates=H","DateFormat=P","Fill=—","Direction=H","UseDPDF=Y")</f>
        <v>#NAME?</v>
      </c>
      <c r="BV506" s="2" t="e">
        <f ca="1">_xll.BDH($C$503,"TOTAL_CAPITAL_SEQUENTIAL_GROWTH","FQ3 2014","FQ3 2014","Currency=INR","Period=FQ","BEST_FPERIOD_OVERRIDE=FQ","FILING_STATUS=OR","EQY_CONSOLIDATED=Y","Sort=A","Dates=H","DateFormat=P","Fill=—","Direction=H","UseDPDF=Y")</f>
        <v>#NAME?</v>
      </c>
      <c r="BW506" s="2" t="e">
        <f ca="1">_xll.BDH($C$503,"BPS_SEQUENTIAL_GROWTH","FQ3 2014","FQ3 2014","Currency=INR","Period=FQ","BEST_FPERIOD_OVERRIDE=FQ","FILING_STATUS=OR","EQY_CONSOLIDATED=Y","Sort=A","Dates=H","DateFormat=P","Fill=—","Direction=H","UseDPDF=Y")</f>
        <v>#NAME?</v>
      </c>
      <c r="BX506" s="2" t="e">
        <f ca="1">_xll.BDH($C$503,"CFO_SEQUENTIAL_GROWTH","FQ3 2014","FQ3 2014","Currency=INR","Period=FQ","BEST_FPERIOD_OVERRIDE=FQ","FILING_STATUS=OR","EQY_CONSOLIDATED=Y","Sort=A","Dates=H","DateFormat=P","Fill=—","Direction=H","UseDPDF=Y")</f>
        <v>#NAME?</v>
      </c>
      <c r="BY506" s="3" t="e">
        <f ca="1">_xll.BDH($C$503,"SHORT_AND_LONG_TERM_DEBT","FQ3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506" s="3" t="e">
        <f ca="1">_xll.BDH($C$503,"BS_ST_BORROW","FQ3 2014","FQ3 2014","Currency=INR","Period=FQ","BEST_FPERIOD_OVERRIDE=FQ","FILING_STATUS=OR","EQY_CONSOLIDATED=Y","SCALING_FORMAT=MLN","Sort=A","Dates=H","DateFormat=P","Fill=—","Direction=H","UseDPDF=Y")</f>
        <v>#NAME?</v>
      </c>
      <c r="CA506" s="3" t="e">
        <f ca="1">_xll.BDH($C$503,"BS_LT_BORROW","FQ3 2014","FQ3 2014","Currency=INR","Period=FQ","BEST_FPERIOD_OVERRIDE=FQ","FILING_STATUS=OR","EQY_CONSOLIDATED=Y","SCALING_FORMAT=MLN","Sort=A","Dates=H","DateFormat=P","Fill=—","Direction=H","UseDPDF=Y")</f>
        <v>#NAME?</v>
      </c>
      <c r="CB506" s="2" t="e">
        <f ca="1">_xll.BDH($C$503,"TOT_DEBT_TO_EBITDA","FQ3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506" s="2" t="e">
        <f ca="1">_xll.BDH($C$503,"NET_DEBT_TO_EBITDA","FQ3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506" s="2" t="e">
        <f ca="1">_xll.BDH($C$503,"TOTAL_DEBT_TO_EBIT","FQ3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506" s="2" t="e">
        <f ca="1">_xll.BDH($C$503,"NET_DEBT_TO_EBIT","FQ3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506" s="2" t="e">
        <f ca="1">_xll.BDH($C$503,"EBITDA_TO_INTEREST_EXPN","FQ3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506" s="2" t="e">
        <f ca="1">_xll.BDH($C$503,"COM_EQY_TO_TOT_ASSET","FQ3 2014","FQ3 2014","Currency=INR","Period=FQ","BEST_FPERIOD_OVERRIDE=FQ","FILING_STATUS=OR","EQY_CONSOLIDATED=Y","Sort=A","Dates=H","DateFormat=P","Fill=—","Direction=H","UseDPDF=Y")</f>
        <v>#NAME?</v>
      </c>
      <c r="CH506" s="2" t="e">
        <f ca="1">_xll.BDH($C$503,"LT_DEBT_TO_TOT_EQY","FQ3 2014","FQ3 2014","Currency=INR","Period=FQ","BEST_FPERIOD_OVERRIDE=FQ","FILING_STATUS=OR","EQY_CONSOLIDATED=Y","Sort=A","Dates=H","DateFormat=P","Fill=—","Direction=H","UseDPDF=Y")</f>
        <v>#NAME?</v>
      </c>
      <c r="CI506" s="2" t="e">
        <f ca="1">_xll.BDH($C$503,"LT_DEBT_TO_TOT_CAP","FQ3 2014","FQ3 2014","Currency=INR","Period=FQ","BEST_FPERIOD_OVERRIDE=FQ","FILING_STATUS=OR","EQY_CONSOLIDATED=Y","Sort=A","Dates=H","DateFormat=P","Fill=—","Direction=H","UseDPDF=Y")</f>
        <v>#NAME?</v>
      </c>
      <c r="CJ506" s="2" t="e">
        <f ca="1">_xll.BDH($C$503,"LT_DEBT_TO_TOT_ASSET","FQ3 2014","FQ3 2014","Currency=INR","Period=FQ","BEST_FPERIOD_OVERRIDE=FQ","FILING_STATUS=OR","EQY_CONSOLIDATED=Y","Sort=A","Dates=H","DateFormat=P","Fill=—","Direction=H","UseDPDF=Y")</f>
        <v>#NAME?</v>
      </c>
      <c r="CK506" s="2" t="e">
        <f ca="1">_xll.BDH($C$503,"TOT_DEBT_TO_TOT_EQY","FQ3 2014","FQ3 2014","Currency=INR","Period=FQ","BEST_FPERIOD_OVERRIDE=FQ","FILING_STATUS=OR","EQY_CONSOLIDATED=Y","Sort=A","Dates=H","DateFormat=P","Fill=—","Direction=H","UseDPDF=Y")</f>
        <v>#NAME?</v>
      </c>
      <c r="CL506" s="2" t="e">
        <f ca="1">_xll.BDH($C$503,"TOT_DEBT_TO_TOT_CAP","FQ3 2014","FQ3 2014","Currency=INR","Period=FQ","BEST_FPERIOD_OVERRIDE=FQ","FILING_STATUS=OR","EQY_CONSOLIDATED=Y","Sort=A","Dates=H","DateFormat=P","Fill=—","Direction=H","UseDPDF=Y")</f>
        <v>#NAME?</v>
      </c>
      <c r="CM506" s="2" t="e">
        <f ca="1">_xll.BDH($C$503,"TOT_DEBT_TO_TOT_ASSET","FQ3 2014","FQ3 2014","Currency=INR","Period=FQ","BEST_FPERIOD_OVERRIDE=FQ","FILING_STATUS=OR","EQY_CONSOLIDATED=Y","Sort=A","Dates=H","DateFormat=P","Fill=—","Direction=H","UseDPDF=Y")</f>
        <v>#NAME?</v>
      </c>
      <c r="CN506" s="2" t="e">
        <f ca="1">_xll.BDH($C$503,"NET_DEBT_TO_SHRHLDR_EQTY","FQ3 2014","FQ3 2014","Currency=INR","Period=FQ","BEST_FPERIOD_OVERRIDE=FQ","FILING_STATUS=OR","EQY_CONSOLIDATED=Y","Sort=A","Dates=H","DateFormat=P","Fill=—","Direction=H","UseDPDF=Y")</f>
        <v>#NAME?</v>
      </c>
      <c r="CO506" s="2" t="e">
        <f ca="1">_xll.BDH($C$503,"NET_DEBT_%_CAPITAL","FQ3 2014","FQ3 2014","Currency=INR","Period=FQ","BEST_FPERIOD_OVERRIDE=FQ","FILING_STATUS=OR","EQY_CONSOLIDATED=Y","Sort=A","Dates=H","DateFormat=P","Fill=—","Direction=H","UseDPDF=Y")</f>
        <v>#NAME?</v>
      </c>
      <c r="CP506" s="3" t="e">
        <f ca="1">_xll.BDH($C$503,"EBITDA","FQ3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506" s="3" t="e">
        <f ca="1">_xll.BDH($C$503,"EBITDA_AFTER_CAPEX","FQ3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506" s="3" t="e">
        <f ca="1">_xll.BDH($C$503,"IS_OPER_INC","FQ3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506" s="2" t="e">
        <f ca="1">_xll.BDH($C$503,"CASH_RATIO","FQ3 2014","FQ3 2014","Currency=INR","Period=FQ","BEST_FPERIOD_OVERRIDE=FQ","FILING_STATUS=OR","EQY_CONSOLIDATED=Y","Sort=A","Dates=H","DateFormat=P","Fill=—","Direction=H","UseDPDF=Y")</f>
        <v>#NAME?</v>
      </c>
      <c r="CT506" s="2" t="e">
        <f ca="1">_xll.BDH($C$503,"CUR_RATIO","FQ3 2014","FQ3 2014","Currency=INR","Period=FQ","BEST_FPERIOD_OVERRIDE=FQ","FILING_STATUS=OR","EQY_CONSOLIDATED=Y","Sort=A","Dates=H","DateFormat=P","Fill=—","Direction=H","UseDPDF=Y")</f>
        <v>#NAME?</v>
      </c>
      <c r="CU506" s="2" t="e">
        <f ca="1">_xll.BDH($C$503,"QUICK_RATIO","FQ3 2014","FQ3 2014","Currency=INR","Period=FQ","BEST_FPERIOD_OVERRIDE=FQ","FILING_STATUS=OR","EQY_CONSOLIDATED=Y","Sort=A","Dates=H","DateFormat=P","Fill=—","Direction=H","UseDPDF=Y")</f>
        <v>#NAME?</v>
      </c>
      <c r="CV506" s="2" t="e">
        <f ca="1">_xll.BDH($C$503,"ALTMAN_Z_SCORE","FQ3 2014","FQ3 2014","Currency=INR","Period=FQ","BEST_FPERIOD_OVERRIDE=FQ","FILING_STATUS=OR","EQY_CONSOLIDATED=Y","Sort=A","Dates=H","DateFormat=P","Fill=—","Direction=H","UseDPDF=Y")</f>
        <v>#NAME?</v>
      </c>
      <c r="CW506" s="4" t="e">
        <f ca="1">_xll.BDH($C$503,"ACCT_RCV_TURN","FQ3 2014","FQ3 2014","Currency=INR","Period=FQ","BEST_FPERIOD_OVERRIDE=FQ","FILING_STATUS=OR","EQY_CONSOLIDATED=Y","FA_ADJUSTED=GAAP","Sort=A","Dates=H","DateFormat=P","Fill=—","Direction=H","UseDPDF=Y")</f>
        <v>#NAME?</v>
      </c>
      <c r="CX506" s="2" t="e">
        <f ca="1">_xll.BDH($C$503,"ACCT_RCV_DAYS","FQ3 2014","FQ3 2014","Currency=INR","Period=FQ","BEST_FPERIOD_OVERRIDE=FQ","FILING_STATUS=OR","EQY_CONSOLIDATED=Y","FA_ADJUSTED=GAAP","Sort=A","Dates=H","DateFormat=P","Fill=—","Direction=H","UseDPDF=Y")</f>
        <v>#NAME?</v>
      </c>
      <c r="CY506" s="4" t="e">
        <f ca="1">_xll.BDH($C$503,"INVENT_TURN","FQ3 2014","FQ3 2014","Currency=INR","Period=FQ","BEST_FPERIOD_OVERRIDE=FQ","FILING_STATUS=OR","EQY_CONSOLIDATED=Y","FA_ADJUSTED=GAAP","Sort=A","Dates=H","DateFormat=P","Fill=—","Direction=H","UseDPDF=Y")</f>
        <v>#NAME?</v>
      </c>
      <c r="CZ506" s="2" t="e">
        <f ca="1">_xll.BDH($C$503,"INVENT_DAYS","FQ3 2014","FQ3 2014","Currency=INR","Period=FQ","BEST_FPERIOD_OVERRIDE=FQ","FILING_STATUS=OR","EQY_CONSOLIDATED=Y","FA_ADJUSTED=GAAP","Sort=A","Dates=H","DateFormat=P","Fill=—","Direction=H","UseDPDF=Y")</f>
        <v>#NAME?</v>
      </c>
      <c r="DA506" s="4" t="e">
        <f ca="1">_xll.BDH($C$503,"ACCOUNTS_PAYABLE_TURNOVER","FQ3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506" s="2" t="e">
        <f ca="1">_xll.BDH($C$503,"ACCOUNTS_PAYABLE_TURNOVER_DAYS","FQ3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506" s="4" t="e">
        <f ca="1">_xll.BDH($C$503,"CASH_CONVERSION_CYCLE","FQ3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506" s="4" t="e">
        <f ca="1">_xll.BDH($C$503,"INV_TO_CASH_DAYS","FQ3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506" s="5" t="e">
        <f ca="1">_xll.BDH($C$503,"BS_INVENTORIES","FQ3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506" s="3" t="e">
        <f ca="1">_xll.BDH($C$503,"INVTRY_RAW_MATERIALS","FQ3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506" s="3" t="e">
        <f ca="1">_xll.BDH($C$503,"INVTRY_IN_PROGRESS","FQ3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506" s="3" t="e">
        <f ca="1">_xll.BDH($C$503,"INVTRY_FINISHED_GOODS","FQ3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506" s="3" t="e">
        <f ca="1">_xll.BDH($C$503,"BS_OTHER_INV","FQ3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507" spans="1:113" x14ac:dyDescent="0.3">
      <c r="A507" s="6"/>
      <c r="B507" s="6"/>
      <c r="C507" s="6"/>
      <c r="D507" s="6"/>
      <c r="E507" t="s">
        <v>81</v>
      </c>
      <c r="F507" t="e">
        <f ca="1">_xll.BDH($C$503,"RETURN_COM_EQY","FQ4 2014","FQ4 2014","Currency=INR","Period=FQ","BEST_FPERIOD_OVERRIDE=FQ","FILING_STATUS=OR","EQY_CONSOLIDATED=Y","FA_ADJUSTED=GAAP","Sort=A","Dates=H","DateFormat=P","Fill=—","Direction=H","UseDPDF=Y")</f>
        <v>#NAME?</v>
      </c>
      <c r="G507" t="e">
        <f ca="1">_xll.BDH($C$503,"RETURN_ON_ASSET","FQ4 2014","FQ4 2014","Currency=INR","Period=FQ","BEST_FPERIOD_OVERRIDE=FQ","FILING_STATUS=OR","EQY_CONSOLIDATED=Y","FA_ADJUSTED=GAAP","Sort=A","Dates=H","DateFormat=P","Fill=—","Direction=H","UseDPDF=Y")</f>
        <v>#NAME?</v>
      </c>
      <c r="H507" t="e">
        <f ca="1">_xll.BDH($C$503,"RETURN_ON_CAP","FQ4 2014","FQ4 2014","Currency=INR","Period=FQ","BEST_FPERIOD_OVERRIDE=FQ","FILING_STATUS=OR","EQY_CONSOLIDATED=Y","FA_ADJUSTED=GAAP","Sort=A","Dates=H","DateFormat=P","Fill=—","Direction=H","UseDPDF=Y")</f>
        <v>#NAME?</v>
      </c>
      <c r="I507" t="e">
        <f ca="1">_xll.BDH($C$503,"RETURN_ON_INV_CAPITAL","FQ4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507" t="e">
        <f ca="1">_xll.BDH($C$503,"EBITDA_TO_REVENUE","FQ4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507" t="e">
        <f ca="1">_xll.BDH($C$503,"OPER_MARGIN","FQ4 2014","FQ4 2014","Currency=INR","Period=FQ","BEST_FPERIOD_OVERRIDE=FQ","FILING_STATUS=OR","EQY_CONSOLIDATED=Y","FA_ADJUSTED=GAAP","Sort=A","Dates=H","DateFormat=P","Fill=—","Direction=H","UseDPDF=Y")</f>
        <v>#NAME?</v>
      </c>
      <c r="L507" t="e">
        <f ca="1">_xll.BDH($C$503,"INCREMENTAL_OPERATING_MARGIN","FQ4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507" t="e">
        <f ca="1">_xll.BDH($C$503,"PRETAX_INC_TO_NET_SALES","FQ4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507" t="e">
        <f ca="1">_xll.BDH($C$503,"INC_BEF_XO_ITEMS_TO_NET_SALES","FQ4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507" t="e">
        <f ca="1">_xll.BDH($C$503,"PROF_MARGIN","FQ4 2014","FQ4 2014","Currency=INR","Period=FQ","BEST_FPERIOD_OVERRIDE=FQ","FILING_STATUS=OR","EQY_CONSOLIDATED=Y","FA_ADJUSTED=GAAP","Sort=A","Dates=H","DateFormat=P","Fill=—","Direction=H","UseDPDF=Y")</f>
        <v>#NAME?</v>
      </c>
      <c r="P507" t="e">
        <f ca="1">_xll.BDH($C$503,"NET_INCOME_TO_COMMON_MARGIN","FQ4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507" t="e">
        <f ca="1">_xll.BDH($C$503,"EFF_TAX_RATE","FQ4 2014","FQ4 2014","Currency=INR","Period=FQ","BEST_FPERIOD_OVERRIDE=FQ","FILING_STATUS=OR","EQY_CONSOLIDATED=Y","FA_ADJUSTED=GAAP","Sort=A","Dates=H","DateFormat=P","Fill=—","Direction=H","UseDPDF=Y")</f>
        <v>#NAME?</v>
      </c>
      <c r="R507" t="e">
        <f ca="1">_xll.BDH($C$503,"DVD_PAYOUT_RATIO","FQ4 2014","FQ4 2014","Currency=INR","Period=FQ","BEST_FPERIOD_OVERRIDE=FQ","FILING_STATUS=OR","EQY_CONSOLIDATED=Y","FA_ADJUSTED=GAAP","Sort=A","Dates=H","DateFormat=P","Fill=—","Direction=H","UseDPDF=Y")</f>
        <v>#NAME?</v>
      </c>
      <c r="S507" t="e">
        <f ca="1">_xll.BDH($C$503,"SUSTAIN_GROWTH_RT","FQ4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507" s="2" t="e">
        <f ca="1">_xll.BDH($C$503,"SALES_GROWTH","FQ4 2014","FQ4 2014","Currency=INR","Period=FQ","BEST_FPERIOD_OVERRIDE=FQ","FILING_STATUS=OR","EQY_CONSOLIDATED=Y","FA_ADJUSTED=GAAP","Sort=A","Dates=H","DateFormat=P","Fill=—","Direction=H","UseDPDF=Y")</f>
        <v>#NAME?</v>
      </c>
      <c r="U507" s="2" t="e">
        <f ca="1">_xll.BDH($C$503,"EBITDA_GROWTH","FQ4 2014","FQ4 2014","Currency=INR","Period=FQ","BEST_FPERIOD_OVERRIDE=FQ","FILING_STATUS=OR","EQY_CONSOLIDATED=Y","FA_ADJUSTED=GAAP","Sort=A","Dates=H","DateFormat=P","Fill=—","Direction=H","UseDPDF=Y")</f>
        <v>#NAME?</v>
      </c>
      <c r="V507" s="2" t="e">
        <f ca="1">_xll.BDH($C$503,"OPER_INC_GROWTH","FQ4 2014","FQ4 2014","Currency=INR","Period=FQ","BEST_FPERIOD_OVERRIDE=FQ","FILING_STATUS=OR","EQY_CONSOLIDATED=Y","FA_ADJUSTED=GAAP","Sort=A","Dates=H","DateFormat=P","Fill=—","Direction=H","UseDPDF=Y")</f>
        <v>#NAME?</v>
      </c>
      <c r="W507" s="2" t="e">
        <f ca="1">_xll.BDH($C$503,"EARN_FOR_COM_GROWTH","FQ4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507" s="2" t="e">
        <f ca="1">_xll.BDH($C$503,"DILUTED_EPS_AFT_XO_ITEMS_GROWTH","FQ4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507" s="2" t="e">
        <f ca="1">_xll.BDH($C$503,"DIVIDEND_PER_SHARE_1_YEAR_GROWTH","FQ4 2014","FQ4 2014","Currency=INR","Period=FQ","BEST_FPERIOD_OVERRIDE=FQ","FILING_STATUS=OR","EQY_CONSOLIDATED=Y","Sort=A","Dates=H","DateFormat=P","Fill=—","Direction=H","UseDPDF=Y")</f>
        <v>#NAME?</v>
      </c>
      <c r="Z507" s="2" t="e">
        <f ca="1">_xll.BDH($C$503,"ACCOUNTS_RECEIVABLE_GROWTH","FQ4 2014","FQ4 2014","Currency=INR","Period=FQ","BEST_FPERIOD_OVERRIDE=FQ","FILING_STATUS=OR","EQY_CONSOLIDATED=Y","Sort=A","Dates=H","DateFormat=P","Fill=—","Direction=H","UseDPDF=Y")</f>
        <v>#NAME?</v>
      </c>
      <c r="AA507" s="2" t="e">
        <f ca="1">_xll.BDH($C$503,"INVENTORY_GROWTH","FQ4 2014","FQ4 2014","Currency=INR","Period=FQ","BEST_FPERIOD_OVERRIDE=FQ","FILING_STATUS=OR","EQY_CONSOLIDATED=Y","Sort=A","Dates=H","DateFormat=P","Fill=—","Direction=H","UseDPDF=Y")</f>
        <v>#NAME?</v>
      </c>
      <c r="AB507" s="2" t="e">
        <f ca="1">_xll.BDH($C$503,"NET_FIXED_ASSETS_1_YEAR_GROWTH","FQ4 2014","FQ4 2014","Currency=INR","Period=FQ","BEST_FPERIOD_OVERRIDE=FQ","FILING_STATUS=OR","EQY_CONSOLIDATED=Y","Sort=A","Dates=H","DateFormat=P","Fill=—","Direction=H","UseDPDF=Y")</f>
        <v>#NAME?</v>
      </c>
      <c r="AC507" s="2" t="e">
        <f ca="1">_xll.BDH($C$503,"ASSET_GROWTH","FQ4 2014","FQ4 2014","Currency=INR","Period=FQ","BEST_FPERIOD_OVERRIDE=FQ","FILING_STATUS=OR","EQY_CONSOLIDATED=Y","Sort=A","Dates=H","DateFormat=P","Fill=—","Direction=H","UseDPDF=Y")</f>
        <v>#NAME?</v>
      </c>
      <c r="AD507" s="2" t="e">
        <f ca="1">_xll.BDH($C$503,"MODIFIED_WORK_CAP_GROWTH","FQ4 2014","FQ4 2014","Currency=INR","Period=FQ","BEST_FPERIOD_OVERRIDE=FQ","FILING_STATUS=OR","EQY_CONSOLIDATED=Y","Sort=A","Dates=H","DateFormat=P","Fill=—","Direction=H","UseDPDF=Y")</f>
        <v>#NAME?</v>
      </c>
      <c r="AE507" s="2" t="e">
        <f ca="1">_xll.BDH($C$503,"WORK_CAP_GROWTH","FQ4 2014","FQ4 2014","Currency=INR","Period=FQ","BEST_FPERIOD_OVERRIDE=FQ","FILING_STATUS=OR","EQY_CONSOLIDATED=Y","Sort=A","Dates=H","DateFormat=P","Fill=—","Direction=H","UseDPDF=Y")</f>
        <v>#NAME?</v>
      </c>
      <c r="AF507" s="2" t="e">
        <f ca="1">_xll.BDH($C$503,"ACCOUNTS_PAYABLE_GROWTH_1YR","FQ4 2014","FQ4 2014","Currency=INR","Period=FQ","BEST_FPERIOD_OVERRIDE=FQ","FILING_STATUS=OR","EQY_CONSOLIDATED=Y","Sort=A","Dates=H","DateFormat=P","Fill=—","Direction=H","UseDPDF=Y")</f>
        <v>#NAME?</v>
      </c>
      <c r="AG507" s="2" t="e">
        <f ca="1">_xll.BDH($C$503,"SHORT_TERM_DEBT_1_YEAR_GROWTH","FQ4 2014","FQ4 2014","Currency=INR","Period=FQ","BEST_FPERIOD_OVERRIDE=FQ","FILING_STATUS=OR","EQY_CONSOLIDATED=Y","Sort=A","Dates=H","DateFormat=P","Fill=—","Direction=H","UseDPDF=Y")</f>
        <v>#NAME?</v>
      </c>
      <c r="AH507" s="2" t="e">
        <f ca="1">_xll.BDH($C$503,"TOTAL_DEBT_1_YEAR_GROWTH","FQ4 2014","FQ4 2014","Currency=INR","Period=FQ","BEST_FPERIOD_OVERRIDE=FQ","FILING_STATUS=OR","EQY_CONSOLIDATED=Y","Sort=A","Dates=H","DateFormat=P","Fill=—","Direction=H","UseDPDF=Y")</f>
        <v>#NAME?</v>
      </c>
      <c r="AI507" s="2" t="e">
        <f ca="1">_xll.BDH($C$503,"TOTAL_EQUITY_1_YEAR_GROWTH","FQ4 2014","FQ4 2014","Currency=INR","Period=FQ","BEST_FPERIOD_OVERRIDE=FQ","FILING_STATUS=OR","EQY_CONSOLIDATED=Y","Sort=A","Dates=H","DateFormat=P","Fill=—","Direction=H","UseDPDF=Y")</f>
        <v>#NAME?</v>
      </c>
      <c r="AJ507" s="2" t="e">
        <f ca="1">_xll.BDH($C$503,"GROWTH_IN_CAP","FQ4 2014","FQ4 2014","Currency=INR","Period=FQ","BEST_FPERIOD_OVERRIDE=FQ","FILING_STATUS=OR","EQY_CONSOLIDATED=Y","Sort=A","Dates=H","DateFormat=P","Fill=—","Direction=H","UseDPDF=Y")</f>
        <v>#NAME?</v>
      </c>
      <c r="AK507" s="2" t="e">
        <f ca="1">_xll.BDH($C$503,"BVPS_GROWTH","FQ4 2014","FQ4 2014","Currency=INR","Period=FQ","BEST_FPERIOD_OVERRIDE=FQ","FILING_STATUS=OR","EQY_CONSOLIDATED=Y","Sort=A","Dates=H","DateFormat=P","Fill=—","Direction=H","UseDPDF=Y")</f>
        <v>#NAME?</v>
      </c>
      <c r="AL507" s="2" t="e">
        <f ca="1">_xll.BDH($C$503,"CASH_FLOW_GROWTH","FQ4 2014","FQ4 2014","Currency=INR","Period=FQ","BEST_FPERIOD_OVERRIDE=FQ","FILING_STATUS=OR","EQY_CONSOLIDATED=Y","Sort=A","Dates=H","DateFormat=P","Fill=—","Direction=H","UseDPDF=Y")</f>
        <v>#NAME?</v>
      </c>
      <c r="AM507" s="2" t="e">
        <f ca="1">_xll.BDH($C$503,"GEO_GROW_NET_SALES","FQ4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507" s="2" t="e">
        <f ca="1">_xll.BDH($C$503,"GEO_GROW_EBITDA","FQ4 2014","FQ4 2014","Currency=INR","Period=FQ","BEST_FPERIOD_OVERRIDE=FQ","FILING_STATUS=OR","EQY_CONSOLIDATED=Y","FA_ADJUSTED=GAAP","Sort=A","Dates=H","DateFormat=P","Fill=—","Direction=H","UseDPDF=Y")</f>
        <v>#NAME?</v>
      </c>
      <c r="AO507" s="2" t="e">
        <f ca="1">_xll.BDH($C$503,"GEO_GROW_OPER_INC","FQ4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507" s="2" t="e">
        <f ca="1">_xll.BDH($C$503,"NET_INCOME_TO_COMMON_5_YR_GROWTH","FQ4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507" s="2" t="e">
        <f ca="1">_xll.BDH($C$503,"5Y_GEO_GROWTH_DILUTED_EPS","FQ4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507" s="2" t="e">
        <f ca="1">_xll.BDH($C$503,"GEO_GROW_DVD_PER_SH","FQ4 2014","FQ4 2014","Currency=INR","Period=FQ","BEST_FPERIOD_OVERRIDE=FQ","FILING_STATUS=OR","EQY_CONSOLIDATED=Y","Sort=A","Dates=H","DateFormat=P","Fill=—","Direction=H","UseDPDF=Y")</f>
        <v>#NAME?</v>
      </c>
      <c r="AS507" s="2" t="e">
        <f ca="1">_xll.BDH($C$503,"ACCOUNTS_RECEIVABLE_5_YR_GROWTH","FQ4 2014","FQ4 2014","Currency=INR","Period=FQ","BEST_FPERIOD_OVERRIDE=FQ","FILING_STATUS=OR","EQY_CONSOLIDATED=Y","Sort=A","Dates=H","DateFormat=P","Fill=—","Direction=H","UseDPDF=Y")</f>
        <v>#NAME?</v>
      </c>
      <c r="AT507" s="2" t="e">
        <f ca="1">_xll.BDH($C$503,"INVENTORY_5_YEAR_GROWTH","FQ4 2014","FQ4 2014","Currency=INR","Period=FQ","BEST_FPERIOD_OVERRIDE=FQ","FILING_STATUS=OR","EQY_CONSOLIDATED=Y","Sort=A","Dates=H","DateFormat=P","Fill=—","Direction=H","UseDPDF=Y")</f>
        <v>#NAME?</v>
      </c>
      <c r="AU507" s="2" t="e">
        <f ca="1">_xll.BDH($C$503,"NET_FIXED_ASSETS_5_YEAR_GROWTH","FQ4 2014","FQ4 2014","Currency=INR","Period=FQ","BEST_FPERIOD_OVERRIDE=FQ","FILING_STATUS=OR","EQY_CONSOLIDATED=Y","Sort=A","Dates=H","DateFormat=P","Fill=—","Direction=H","UseDPDF=Y")</f>
        <v>#NAME?</v>
      </c>
      <c r="AV507" s="2" t="e">
        <f ca="1">_xll.BDH($C$503,"GEO_GROW_TOT_ASSET","FQ4 2014","FQ4 2014","Currency=INR","Period=FQ","BEST_FPERIOD_OVERRIDE=FQ","FILING_STATUS=OR","EQY_CONSOLIDATED=Y","Sort=A","Dates=H","DateFormat=P","Fill=—","Direction=H","UseDPDF=Y")</f>
        <v>#NAME?</v>
      </c>
      <c r="AW507" s="2" t="e">
        <f ca="1">_xll.BDH($C$503,"MODIFIED_WORKING_CPTL_5YR_GRWTH","FQ4 2014","FQ4 2014","Currency=INR","Period=FQ","BEST_FPERIOD_OVERRIDE=FQ","FILING_STATUS=OR","EQY_CONSOLIDATED=Y","Sort=A","Dates=H","DateFormat=P","Fill=—","Direction=H","UseDPDF=Y")</f>
        <v>#NAME?</v>
      </c>
      <c r="AX507" s="2" t="e">
        <f ca="1">_xll.BDH($C$503,"WORKING_CAPITAL_5_YEAR_GROWTH","FQ4 2014","FQ4 2014","Currency=INR","Period=FQ","BEST_FPERIOD_OVERRIDE=FQ","FILING_STATUS=OR","EQY_CONSOLIDATED=Y","Sort=A","Dates=H","DateFormat=P","Fill=—","Direction=H","UseDPDF=Y")</f>
        <v>#NAME?</v>
      </c>
      <c r="AY507" s="2" t="e">
        <f ca="1">_xll.BDH($C$503,"ACCOUNTS_PAYABLE_5_YEAR_GROWTH","FQ4 2014","FQ4 2014","Currency=INR","Period=FQ","BEST_FPERIOD_OVERRIDE=FQ","FILING_STATUS=OR","EQY_CONSOLIDATED=Y","Sort=A","Dates=H","DateFormat=P","Fill=—","Direction=H","UseDPDF=Y")</f>
        <v>#NAME?</v>
      </c>
      <c r="AZ507" s="2" t="e">
        <f ca="1">_xll.BDH($C$503,"SHORT_TERM_DEBT_5_YEAR_GROWTH","FQ4 2014","FQ4 2014","Currency=INR","Period=FQ","BEST_FPERIOD_OVERRIDE=FQ","FILING_STATUS=OR","EQY_CONSOLIDATED=Y","Sort=A","Dates=H","DateFormat=P","Fill=—","Direction=H","UseDPDF=Y")</f>
        <v>#NAME?</v>
      </c>
      <c r="BA507" s="2" t="e">
        <f ca="1">_xll.BDH($C$503,"TOTAL_DEBT_5_YEAR_GROWTH","FQ4 2014","FQ4 2014","Currency=INR","Period=FQ","BEST_FPERIOD_OVERRIDE=FQ","FILING_STATUS=OR","EQY_CONSOLIDATED=Y","Sort=A","Dates=H","DateFormat=P","Fill=—","Direction=H","UseDPDF=Y")</f>
        <v>#NAME?</v>
      </c>
      <c r="BB507" s="2" t="e">
        <f ca="1">_xll.BDH($C$503,"GEO_GROW_TOT_SHRHLDR_EQY","FQ4 2014","FQ4 2014","Currency=INR","Period=FQ","BEST_FPERIOD_OVERRIDE=FQ","FILING_STATUS=OR","EQY_CONSOLIDATED=Y","Sort=A","Dates=H","DateFormat=P","Fill=—","Direction=H","UseDPDF=Y")</f>
        <v>#NAME?</v>
      </c>
      <c r="BC507" s="2" t="e">
        <f ca="1">_xll.BDH($C$503,"TOTAL_CAPITAL_5_YEAR_GROWTH","FQ4 2014","FQ4 2014","Currency=INR","Period=FQ","BEST_FPERIOD_OVERRIDE=FQ","FILING_STATUS=OR","EQY_CONSOLIDATED=Y","Sort=A","Dates=H","DateFormat=P","Fill=—","Direction=H","UseDPDF=Y")</f>
        <v>#NAME?</v>
      </c>
      <c r="BD507" s="2" t="e">
        <f ca="1">_xll.BDH($C$503,"GEO_GROW_BOOK_VAL","FQ4 2014","FQ4 2014","Currency=INR","Period=FQ","BEST_FPERIOD_OVERRIDE=FQ","FILING_STATUS=OR","EQY_CONSOLIDATED=Y","Sort=A","Dates=H","DateFormat=P","Fill=—","Direction=H","UseDPDF=Y")</f>
        <v>#NAME?</v>
      </c>
      <c r="BE507" s="2" t="e">
        <f ca="1">_xll.BDH($C$503,"GEO_GROW_CASH_OPER_ACT","FQ4 2014","FQ4 2014","Currency=INR","Period=FQ","BEST_FPERIOD_OVERRIDE=FQ","FILING_STATUS=OR","EQY_CONSOLIDATED=Y","Sort=A","Dates=H","DateFormat=P","Fill=—","Direction=H","UseDPDF=Y")</f>
        <v>#NAME?</v>
      </c>
      <c r="BF507" s="2" t="e">
        <f ca="1">_xll.BDH($C$503,"REVENUE_SEQUENTIAL_GROWTH","FQ4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507" s="2" t="e">
        <f ca="1">_xll.BDH($C$503,"EBITDA_SEQUENTIAL_GROWTH","FQ4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507" s="2" t="e">
        <f ca="1">_xll.BDH($C$503,"OPERATING_INCOME_SEQ_GROWTH","FQ4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507" s="2" t="e">
        <f ca="1">_xll.BDH($C$503,"NET_INCOME_TO_COMMON_SEQ_GROWTH","FQ4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507" s="2" t="e">
        <f ca="1">_xll.BDH($C$503,"EPS_DILUTED_SEQUENTIAL_GROWTH","FQ4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507" s="2" t="e">
        <f ca="1">_xll.BDH($C$503,"DPS_SEQUENTIAL_GROWTH","FQ4 2014","FQ4 2014","Currency=INR","Period=FQ","BEST_FPERIOD_OVERRIDE=FQ","FILING_STATUS=OR","EQY_CONSOLIDATED=Y","Sort=A","Dates=H","DateFormat=P","Fill=—","Direction=H","UseDPDF=Y")</f>
        <v>#NAME?</v>
      </c>
      <c r="BL507" s="2" t="e">
        <f ca="1">_xll.BDH($C$503,"ACCOUNTS_RECEIVABLE_SEQ_GROWTH","FQ4 2014","FQ4 2014","Currency=INR","Period=FQ","BEST_FPERIOD_OVERRIDE=FQ","FILING_STATUS=OR","EQY_CONSOLIDATED=Y","Sort=A","Dates=H","DateFormat=P","Fill=—","Direction=H","UseDPDF=Y")</f>
        <v>#NAME?</v>
      </c>
      <c r="BM507" s="2" t="e">
        <f ca="1">_xll.BDH($C$503,"INVENTORY_SEQUENTIAL_GROWTH","FQ4 2014","FQ4 2014","Currency=INR","Period=FQ","BEST_FPERIOD_OVERRIDE=FQ","FILING_STATUS=OR","EQY_CONSOLIDATED=Y","Sort=A","Dates=H","DateFormat=P","Fill=—","Direction=H","UseDPDF=Y")</f>
        <v>#NAME?</v>
      </c>
      <c r="BN507" s="2" t="e">
        <f ca="1">_xll.BDH($C$503,"FIXED_ASSETS_SEQUENTIAL_GROWTH","FQ4 2014","FQ4 2014","Currency=INR","Period=FQ","BEST_FPERIOD_OVERRIDE=FQ","FILING_STATUS=OR","EQY_CONSOLIDATED=Y","Sort=A","Dates=H","DateFormat=P","Fill=—","Direction=H","UseDPDF=Y")</f>
        <v>#NAME?</v>
      </c>
      <c r="BO507" s="2" t="e">
        <f ca="1">_xll.BDH($C$503,"TOTAL_ASSETS_SEQUENTIAL_GROWTH","FQ4 2014","FQ4 2014","Currency=INR","Period=FQ","BEST_FPERIOD_OVERRIDE=FQ","FILING_STATUS=OR","EQY_CONSOLIDATED=Y","Sort=A","Dates=H","DateFormat=P","Fill=—","Direction=H","UseDPDF=Y")</f>
        <v>#NAME?</v>
      </c>
      <c r="BP507" s="2" t="e">
        <f ca="1">_xll.BDH($C$503,"MODIFIED_WORKING_CPTL_SEQ_GRWTH","FQ4 2014","FQ4 2014","Currency=INR","Period=FQ","BEST_FPERIOD_OVERRIDE=FQ","FILING_STATUS=OR","EQY_CONSOLIDATED=Y","Sort=A","Dates=H","DateFormat=P","Fill=—","Direction=H","UseDPDF=Y")</f>
        <v>#NAME?</v>
      </c>
      <c r="BQ507" s="2" t="e">
        <f ca="1">_xll.BDH($C$503,"WORKING_CAPITAL_SEQ_GROWTH","FQ4 2014","FQ4 2014","Currency=INR","Period=FQ","BEST_FPERIOD_OVERRIDE=FQ","FILING_STATUS=OR","EQY_CONSOLIDATED=Y","Sort=A","Dates=H","DateFormat=P","Fill=—","Direction=H","UseDPDF=Y")</f>
        <v>#NAME?</v>
      </c>
      <c r="BR507" s="2" t="e">
        <f ca="1">_xll.BDH($C$503,"ACCOUNTS_PAYABLE_SEQ_GROWTH","FQ4 2014","FQ4 2014","Currency=INR","Period=FQ","BEST_FPERIOD_OVERRIDE=FQ","FILING_STATUS=OR","EQY_CONSOLIDATED=Y","Sort=A","Dates=H","DateFormat=P","Fill=—","Direction=H","UseDPDF=Y")</f>
        <v>#NAME?</v>
      </c>
      <c r="BS507" s="2" t="e">
        <f ca="1">_xll.BDH($C$503,"ST_DEBT_SEQUENTIAL_GROWTH","FQ4 2014","FQ4 2014","Currency=INR","Period=FQ","BEST_FPERIOD_OVERRIDE=FQ","FILING_STATUS=OR","EQY_CONSOLIDATED=Y","Sort=A","Dates=H","DateFormat=P","Fill=—","Direction=H","UseDPDF=Y")</f>
        <v>#NAME?</v>
      </c>
      <c r="BT507" s="2" t="e">
        <f ca="1">_xll.BDH($C$503,"TOTAL_DEBT_SEQUENTIAL_GROWTH","FQ4 2014","FQ4 2014","Currency=INR","Period=FQ","BEST_FPERIOD_OVERRIDE=FQ","FILING_STATUS=OR","EQY_CONSOLIDATED=Y","Sort=A","Dates=H","DateFormat=P","Fill=—","Direction=H","UseDPDF=Y")</f>
        <v>#NAME?</v>
      </c>
      <c r="BU507" s="2" t="e">
        <f ca="1">_xll.BDH($C$503,"TOTAL_EQUITY_SEQUENTIAL_GROWTH","FQ4 2014","FQ4 2014","Currency=INR","Period=FQ","BEST_FPERIOD_OVERRIDE=FQ","FILING_STATUS=OR","EQY_CONSOLIDATED=Y","Sort=A","Dates=H","DateFormat=P","Fill=—","Direction=H","UseDPDF=Y")</f>
        <v>#NAME?</v>
      </c>
      <c r="BV507" s="2" t="e">
        <f ca="1">_xll.BDH($C$503,"TOTAL_CAPITAL_SEQUENTIAL_GROWTH","FQ4 2014","FQ4 2014","Currency=INR","Period=FQ","BEST_FPERIOD_OVERRIDE=FQ","FILING_STATUS=OR","EQY_CONSOLIDATED=Y","Sort=A","Dates=H","DateFormat=P","Fill=—","Direction=H","UseDPDF=Y")</f>
        <v>#NAME?</v>
      </c>
      <c r="BW507" s="2" t="e">
        <f ca="1">_xll.BDH($C$503,"BPS_SEQUENTIAL_GROWTH","FQ4 2014","FQ4 2014","Currency=INR","Period=FQ","BEST_FPERIOD_OVERRIDE=FQ","FILING_STATUS=OR","EQY_CONSOLIDATED=Y","Sort=A","Dates=H","DateFormat=P","Fill=—","Direction=H","UseDPDF=Y")</f>
        <v>#NAME?</v>
      </c>
      <c r="BX507" s="2" t="e">
        <f ca="1">_xll.BDH($C$503,"CFO_SEQUENTIAL_GROWTH","FQ4 2014","FQ4 2014","Currency=INR","Period=FQ","BEST_FPERIOD_OVERRIDE=FQ","FILING_STATUS=OR","EQY_CONSOLIDATED=Y","Sort=A","Dates=H","DateFormat=P","Fill=—","Direction=H","UseDPDF=Y")</f>
        <v>#NAME?</v>
      </c>
      <c r="BY507" s="3" t="e">
        <f ca="1">_xll.BDH($C$503,"SHORT_AND_LONG_TERM_DEBT","FQ4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507" s="3" t="e">
        <f ca="1">_xll.BDH($C$503,"BS_ST_BORROW","FQ4 2014","FQ4 2014","Currency=INR","Period=FQ","BEST_FPERIOD_OVERRIDE=FQ","FILING_STATUS=OR","EQY_CONSOLIDATED=Y","SCALING_FORMAT=MLN","Sort=A","Dates=H","DateFormat=P","Fill=—","Direction=H","UseDPDF=Y")</f>
        <v>#NAME?</v>
      </c>
      <c r="CA507" s="3" t="e">
        <f ca="1">_xll.BDH($C$503,"BS_LT_BORROW","FQ4 2014","FQ4 2014","Currency=INR","Period=FQ","BEST_FPERIOD_OVERRIDE=FQ","FILING_STATUS=OR","EQY_CONSOLIDATED=Y","SCALING_FORMAT=MLN","Sort=A","Dates=H","DateFormat=P","Fill=—","Direction=H","UseDPDF=Y")</f>
        <v>#NAME?</v>
      </c>
      <c r="CB507" s="2" t="e">
        <f ca="1">_xll.BDH($C$503,"TOT_DEBT_TO_EBITDA","FQ4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507" s="2" t="e">
        <f ca="1">_xll.BDH($C$503,"NET_DEBT_TO_EBITDA","FQ4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507" s="2" t="e">
        <f ca="1">_xll.BDH($C$503,"TOTAL_DEBT_TO_EBIT","FQ4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507" s="2" t="e">
        <f ca="1">_xll.BDH($C$503,"NET_DEBT_TO_EBIT","FQ4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507" s="2" t="e">
        <f ca="1">_xll.BDH($C$503,"EBITDA_TO_INTEREST_EXPN","FQ4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507" s="2" t="e">
        <f ca="1">_xll.BDH($C$503,"COM_EQY_TO_TOT_ASSET","FQ4 2014","FQ4 2014","Currency=INR","Period=FQ","BEST_FPERIOD_OVERRIDE=FQ","FILING_STATUS=OR","EQY_CONSOLIDATED=Y","Sort=A","Dates=H","DateFormat=P","Fill=—","Direction=H","UseDPDF=Y")</f>
        <v>#NAME?</v>
      </c>
      <c r="CH507" s="2" t="e">
        <f ca="1">_xll.BDH($C$503,"LT_DEBT_TO_TOT_EQY","FQ4 2014","FQ4 2014","Currency=INR","Period=FQ","BEST_FPERIOD_OVERRIDE=FQ","FILING_STATUS=OR","EQY_CONSOLIDATED=Y","Sort=A","Dates=H","DateFormat=P","Fill=—","Direction=H","UseDPDF=Y")</f>
        <v>#NAME?</v>
      </c>
      <c r="CI507" s="2" t="e">
        <f ca="1">_xll.BDH($C$503,"LT_DEBT_TO_TOT_CAP","FQ4 2014","FQ4 2014","Currency=INR","Period=FQ","BEST_FPERIOD_OVERRIDE=FQ","FILING_STATUS=OR","EQY_CONSOLIDATED=Y","Sort=A","Dates=H","DateFormat=P","Fill=—","Direction=H","UseDPDF=Y")</f>
        <v>#NAME?</v>
      </c>
      <c r="CJ507" s="2" t="e">
        <f ca="1">_xll.BDH($C$503,"LT_DEBT_TO_TOT_ASSET","FQ4 2014","FQ4 2014","Currency=INR","Period=FQ","BEST_FPERIOD_OVERRIDE=FQ","FILING_STATUS=OR","EQY_CONSOLIDATED=Y","Sort=A","Dates=H","DateFormat=P","Fill=—","Direction=H","UseDPDF=Y")</f>
        <v>#NAME?</v>
      </c>
      <c r="CK507" s="2" t="e">
        <f ca="1">_xll.BDH($C$503,"TOT_DEBT_TO_TOT_EQY","FQ4 2014","FQ4 2014","Currency=INR","Period=FQ","BEST_FPERIOD_OVERRIDE=FQ","FILING_STATUS=OR","EQY_CONSOLIDATED=Y","Sort=A","Dates=H","DateFormat=P","Fill=—","Direction=H","UseDPDF=Y")</f>
        <v>#NAME?</v>
      </c>
      <c r="CL507" s="2" t="e">
        <f ca="1">_xll.BDH($C$503,"TOT_DEBT_TO_TOT_CAP","FQ4 2014","FQ4 2014","Currency=INR","Period=FQ","BEST_FPERIOD_OVERRIDE=FQ","FILING_STATUS=OR","EQY_CONSOLIDATED=Y","Sort=A","Dates=H","DateFormat=P","Fill=—","Direction=H","UseDPDF=Y")</f>
        <v>#NAME?</v>
      </c>
      <c r="CM507" s="2" t="e">
        <f ca="1">_xll.BDH($C$503,"TOT_DEBT_TO_TOT_ASSET","FQ4 2014","FQ4 2014","Currency=INR","Period=FQ","BEST_FPERIOD_OVERRIDE=FQ","FILING_STATUS=OR","EQY_CONSOLIDATED=Y","Sort=A","Dates=H","DateFormat=P","Fill=—","Direction=H","UseDPDF=Y")</f>
        <v>#NAME?</v>
      </c>
      <c r="CN507" s="2" t="e">
        <f ca="1">_xll.BDH($C$503,"NET_DEBT_TO_SHRHLDR_EQTY","FQ4 2014","FQ4 2014","Currency=INR","Period=FQ","BEST_FPERIOD_OVERRIDE=FQ","FILING_STATUS=OR","EQY_CONSOLIDATED=Y","Sort=A","Dates=H","DateFormat=P","Fill=—","Direction=H","UseDPDF=Y")</f>
        <v>#NAME?</v>
      </c>
      <c r="CO507" s="2" t="e">
        <f ca="1">_xll.BDH($C$503,"NET_DEBT_%_CAPITAL","FQ4 2014","FQ4 2014","Currency=INR","Period=FQ","BEST_FPERIOD_OVERRIDE=FQ","FILING_STATUS=OR","EQY_CONSOLIDATED=Y","Sort=A","Dates=H","DateFormat=P","Fill=—","Direction=H","UseDPDF=Y")</f>
        <v>#NAME?</v>
      </c>
      <c r="CP507" s="3" t="e">
        <f ca="1">_xll.BDH($C$503,"EBITDA","FQ4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507" s="3" t="e">
        <f ca="1">_xll.BDH($C$503,"EBITDA_AFTER_CAPEX","FQ4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507" s="3" t="e">
        <f ca="1">_xll.BDH($C$503,"IS_OPER_INC","FQ4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507" s="2" t="e">
        <f ca="1">_xll.BDH($C$503,"CASH_RATIO","FQ4 2014","FQ4 2014","Currency=INR","Period=FQ","BEST_FPERIOD_OVERRIDE=FQ","FILING_STATUS=OR","EQY_CONSOLIDATED=Y","Sort=A","Dates=H","DateFormat=P","Fill=—","Direction=H","UseDPDF=Y")</f>
        <v>#NAME?</v>
      </c>
      <c r="CT507" s="2" t="e">
        <f ca="1">_xll.BDH($C$503,"CUR_RATIO","FQ4 2014","FQ4 2014","Currency=INR","Period=FQ","BEST_FPERIOD_OVERRIDE=FQ","FILING_STATUS=OR","EQY_CONSOLIDATED=Y","Sort=A","Dates=H","DateFormat=P","Fill=—","Direction=H","UseDPDF=Y")</f>
        <v>#NAME?</v>
      </c>
      <c r="CU507" s="2" t="e">
        <f ca="1">_xll.BDH($C$503,"QUICK_RATIO","FQ4 2014","FQ4 2014","Currency=INR","Period=FQ","BEST_FPERIOD_OVERRIDE=FQ","FILING_STATUS=OR","EQY_CONSOLIDATED=Y","Sort=A","Dates=H","DateFormat=P","Fill=—","Direction=H","UseDPDF=Y")</f>
        <v>#NAME?</v>
      </c>
      <c r="CV507" s="2" t="e">
        <f ca="1">_xll.BDH($C$503,"ALTMAN_Z_SCORE","FQ4 2014","FQ4 2014","Currency=INR","Period=FQ","BEST_FPERIOD_OVERRIDE=FQ","FILING_STATUS=OR","EQY_CONSOLIDATED=Y","Sort=A","Dates=H","DateFormat=P","Fill=—","Direction=H","UseDPDF=Y")</f>
        <v>#NAME?</v>
      </c>
      <c r="CW507" s="4" t="e">
        <f ca="1">_xll.BDH($C$503,"ACCT_RCV_TURN","FQ4 2014","FQ4 2014","Currency=INR","Period=FQ","BEST_FPERIOD_OVERRIDE=FQ","FILING_STATUS=OR","EQY_CONSOLIDATED=Y","FA_ADJUSTED=GAAP","Sort=A","Dates=H","DateFormat=P","Fill=—","Direction=H","UseDPDF=Y")</f>
        <v>#NAME?</v>
      </c>
      <c r="CX507" s="2" t="e">
        <f ca="1">_xll.BDH($C$503,"ACCT_RCV_DAYS","FQ4 2014","FQ4 2014","Currency=INR","Period=FQ","BEST_FPERIOD_OVERRIDE=FQ","FILING_STATUS=OR","EQY_CONSOLIDATED=Y","FA_ADJUSTED=GAAP","Sort=A","Dates=H","DateFormat=P","Fill=—","Direction=H","UseDPDF=Y")</f>
        <v>#NAME?</v>
      </c>
      <c r="CY507" s="4" t="e">
        <f ca="1">_xll.BDH($C$503,"INVENT_TURN","FQ4 2014","FQ4 2014","Currency=INR","Period=FQ","BEST_FPERIOD_OVERRIDE=FQ","FILING_STATUS=OR","EQY_CONSOLIDATED=Y","FA_ADJUSTED=GAAP","Sort=A","Dates=H","DateFormat=P","Fill=—","Direction=H","UseDPDF=Y")</f>
        <v>#NAME?</v>
      </c>
      <c r="CZ507" s="2" t="e">
        <f ca="1">_xll.BDH($C$503,"INVENT_DAYS","FQ4 2014","FQ4 2014","Currency=INR","Period=FQ","BEST_FPERIOD_OVERRIDE=FQ","FILING_STATUS=OR","EQY_CONSOLIDATED=Y","FA_ADJUSTED=GAAP","Sort=A","Dates=H","DateFormat=P","Fill=—","Direction=H","UseDPDF=Y")</f>
        <v>#NAME?</v>
      </c>
      <c r="DA507" s="4" t="e">
        <f ca="1">_xll.BDH($C$503,"ACCOUNTS_PAYABLE_TURNOVER","FQ4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507" s="2" t="e">
        <f ca="1">_xll.BDH($C$503,"ACCOUNTS_PAYABLE_TURNOVER_DAYS","FQ4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507" s="4" t="e">
        <f ca="1">_xll.BDH($C$503,"CASH_CONVERSION_CYCLE","FQ4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507" s="4" t="e">
        <f ca="1">_xll.BDH($C$503,"INV_TO_CASH_DAYS","FQ4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507" s="5" t="e">
        <f ca="1">_xll.BDH($C$503,"BS_INVENTORIES","FQ4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507" s="3" t="e">
        <f ca="1">_xll.BDH($C$503,"INVTRY_RAW_MATERIALS","FQ4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507" s="3" t="e">
        <f ca="1">_xll.BDH($C$503,"INVTRY_IN_PROGRESS","FQ4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507" s="3" t="e">
        <f ca="1">_xll.BDH($C$503,"INVTRY_FINISHED_GOODS","FQ4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507" s="3" t="e">
        <f ca="1">_xll.BDH($C$503,"BS_OTHER_INV","FQ4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508" spans="1:113" x14ac:dyDescent="0.3">
      <c r="A508" s="6"/>
      <c r="B508" s="6"/>
      <c r="C508" s="6"/>
      <c r="D508" s="6" t="s">
        <v>82</v>
      </c>
      <c r="E508" t="s">
        <v>77</v>
      </c>
      <c r="F508" t="e">
        <f ca="1">_xll.BDH($C$503,"RETURN_COM_EQY","FY 2015","FY 2015","Currency=INR","Period=FY","BEST_FPERIOD_OVERRIDE=FY","FILING_STATUS=OR","EQY_CONSOLIDATED=Y","FA_ADJUSTED=GAAP","Sort=A","Dates=H","DateFormat=P","Fill=—","Direction=H","UseDPDF=Y")</f>
        <v>#NAME?</v>
      </c>
      <c r="G508" t="e">
        <f ca="1">_xll.BDH($C$503,"RETURN_ON_ASSET","FY 2015","FY 2015","Currency=INR","Period=FY","BEST_FPERIOD_OVERRIDE=FY","FILING_STATUS=OR","EQY_CONSOLIDATED=Y","FA_ADJUSTED=GAAP","Sort=A","Dates=H","DateFormat=P","Fill=—","Direction=H","UseDPDF=Y")</f>
        <v>#NAME?</v>
      </c>
      <c r="H508" t="e">
        <f ca="1">_xll.BDH($C$503,"RETURN_ON_CAP","FY 2015","FY 2015","Currency=INR","Period=FY","BEST_FPERIOD_OVERRIDE=FY","FILING_STATUS=OR","EQY_CONSOLIDATED=Y","FA_ADJUSTED=GAAP","Sort=A","Dates=H","DateFormat=P","Fill=—","Direction=H","UseDPDF=Y")</f>
        <v>#NAME?</v>
      </c>
      <c r="I508" t="e">
        <f ca="1">_xll.BDH($C$503,"RETURN_ON_INV_CAPITAL","FY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508" t="e">
        <f ca="1">_xll.BDH($C$503,"EBITDA_TO_REVENUE","FY 2015","FY 2015","Currency=INR","Period=FY","BEST_FPERIOD_OVERRIDE=FY","FILING_STATUS=OR","EQY_CONSOLIDATED=Y","FA_ADJUSTED=GAAP","Sort=A","Dates=H","DateFormat=P","Fill=—","Direction=H","UseDPDF=Y")</f>
        <v>#NAME?</v>
      </c>
      <c r="K508" t="e">
        <f ca="1">_xll.BDH($C$503,"OPER_MARGIN","FY 2015","FY 2015","Currency=INR","Period=FY","BEST_FPERIOD_OVERRIDE=FY","FILING_STATUS=OR","EQY_CONSOLIDATED=Y","FA_ADJUSTED=GAAP","Sort=A","Dates=H","DateFormat=P","Fill=—","Direction=H","UseDPDF=Y")</f>
        <v>#NAME?</v>
      </c>
      <c r="L508" t="e">
        <f ca="1">_xll.BDH($C$503,"INCREMENTAL_OPERATING_MARGIN","FY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508" t="e">
        <f ca="1">_xll.BDH($C$503,"PRETAX_INC_TO_NET_SALES","FY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508" t="e">
        <f ca="1">_xll.BDH($C$503,"INC_BEF_XO_ITEMS_TO_NET_SALES","FY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508" t="e">
        <f ca="1">_xll.BDH($C$503,"PROF_MARGIN","FY 2015","FY 2015","Currency=INR","Period=FY","BEST_FPERIOD_OVERRIDE=FY","FILING_STATUS=OR","EQY_CONSOLIDATED=Y","FA_ADJUSTED=GAAP","Sort=A","Dates=H","DateFormat=P","Fill=—","Direction=H","UseDPDF=Y")</f>
        <v>#NAME?</v>
      </c>
      <c r="P508" t="e">
        <f ca="1">_xll.BDH($C$503,"NET_INCOME_TO_COMMON_MARGIN","FY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508" t="e">
        <f ca="1">_xll.BDH($C$503,"EFF_TAX_RATE","FY 2015","FY 2015","Currency=INR","Period=FY","BEST_FPERIOD_OVERRIDE=FY","FILING_STATUS=OR","EQY_CONSOLIDATED=Y","FA_ADJUSTED=GAAP","Sort=A","Dates=H","DateFormat=P","Fill=—","Direction=H","UseDPDF=Y")</f>
        <v>#NAME?</v>
      </c>
      <c r="R508" t="e">
        <f ca="1">_xll.BDH($C$503,"DVD_PAYOUT_RATIO","FY 2015","FY 2015","Currency=INR","Period=FY","BEST_FPERIOD_OVERRIDE=FY","FILING_STATUS=OR","EQY_CONSOLIDATED=Y","FA_ADJUSTED=GAAP","Sort=A","Dates=H","DateFormat=P","Fill=—","Direction=H","UseDPDF=Y")</f>
        <v>#NAME?</v>
      </c>
      <c r="S508" t="e">
        <f ca="1">_xll.BDH($C$503,"SUSTAIN_GROWTH_RT","FY 2015","FY 2015","Currency=INR","Period=FY","BEST_FPERIOD_OVERRIDE=FY","FILING_STATUS=OR","EQY_CONSOLIDATED=Y","FA_ADJUSTED=GAAP","Sort=A","Dates=H","DateFormat=P","Fill=—","Direction=H","UseDPDF=Y")</f>
        <v>#NAME?</v>
      </c>
      <c r="T508" s="2" t="e">
        <f ca="1">_xll.BDH($C$503,"SALES_GROWTH","FY 2015","FY 2015","Currency=INR","Period=FY","BEST_FPERIOD_OVERRIDE=FY","FILING_STATUS=OR","EQY_CONSOLIDATED=Y","FA_ADJUSTED=GAAP","Sort=A","Dates=H","DateFormat=P","Fill=—","Direction=H","UseDPDF=Y")</f>
        <v>#NAME?</v>
      </c>
      <c r="U508" s="2" t="e">
        <f ca="1">_xll.BDH($C$503,"EBITDA_GROWTH","FY 2015","FY 2015","Currency=INR","Period=FY","BEST_FPERIOD_OVERRIDE=FY","FILING_STATUS=OR","EQY_CONSOLIDATED=Y","FA_ADJUSTED=GAAP","Sort=A","Dates=H","DateFormat=P","Fill=—","Direction=H","UseDPDF=Y")</f>
        <v>#NAME?</v>
      </c>
      <c r="V508" s="2" t="e">
        <f ca="1">_xll.BDH($C$503,"OPER_INC_GROWTH","FY 2015","FY 2015","Currency=INR","Period=FY","BEST_FPERIOD_OVERRIDE=FY","FILING_STATUS=OR","EQY_CONSOLIDATED=Y","FA_ADJUSTED=GAAP","Sort=A","Dates=H","DateFormat=P","Fill=—","Direction=H","UseDPDF=Y")</f>
        <v>#NAME?</v>
      </c>
      <c r="W508" s="2" t="e">
        <f ca="1">_xll.BDH($C$503,"EARN_FOR_COM_GROWTH","FY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508" s="2" t="e">
        <f ca="1">_xll.BDH($C$503,"DILUTED_EPS_AFT_XO_ITEMS_GROWTH","FY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508" s="2" t="e">
        <f ca="1">_xll.BDH($C$503,"DIVIDEND_PER_SHARE_1_YEAR_GROWTH","FY 2015","FY 2015","Currency=INR","Period=FY","BEST_FPERIOD_OVERRIDE=FY","FILING_STATUS=OR","EQY_CONSOLIDATED=Y","Sort=A","Dates=H","DateFormat=P","Fill=—","Direction=H","UseDPDF=Y")</f>
        <v>#NAME?</v>
      </c>
      <c r="Z508" s="2" t="e">
        <f ca="1">_xll.BDH($C$503,"ACCOUNTS_RECEIVABLE_GROWTH","FY 2015","FY 2015","Currency=INR","Period=FY","BEST_FPERIOD_OVERRIDE=FY","FILING_STATUS=OR","EQY_CONSOLIDATED=Y","Sort=A","Dates=H","DateFormat=P","Fill=—","Direction=H","UseDPDF=Y")</f>
        <v>#NAME?</v>
      </c>
      <c r="AA508" s="2" t="e">
        <f ca="1">_xll.BDH($C$503,"INVENTORY_GROWTH","FY 2015","FY 2015","Currency=INR","Period=FY","BEST_FPERIOD_OVERRIDE=FY","FILING_STATUS=OR","EQY_CONSOLIDATED=Y","Sort=A","Dates=H","DateFormat=P","Fill=—","Direction=H","UseDPDF=Y")</f>
        <v>#NAME?</v>
      </c>
      <c r="AB508" s="2" t="e">
        <f ca="1">_xll.BDH($C$503,"NET_FIXED_ASSETS_1_YEAR_GROWTH","FY 2015","FY 2015","Currency=INR","Period=FY","BEST_FPERIOD_OVERRIDE=FY","FILING_STATUS=OR","EQY_CONSOLIDATED=Y","Sort=A","Dates=H","DateFormat=P","Fill=—","Direction=H","UseDPDF=Y")</f>
        <v>#NAME?</v>
      </c>
      <c r="AC508" s="2" t="e">
        <f ca="1">_xll.BDH($C$503,"ASSET_GROWTH","FY 2015","FY 2015","Currency=INR","Period=FY","BEST_FPERIOD_OVERRIDE=FY","FILING_STATUS=OR","EQY_CONSOLIDATED=Y","Sort=A","Dates=H","DateFormat=P","Fill=—","Direction=H","UseDPDF=Y")</f>
        <v>#NAME?</v>
      </c>
      <c r="AD508" s="2" t="e">
        <f ca="1">_xll.BDH($C$503,"MODIFIED_WORK_CAP_GROWTH","FY 2015","FY 2015","Currency=INR","Period=FY","BEST_FPERIOD_OVERRIDE=FY","FILING_STATUS=OR","EQY_CONSOLIDATED=Y","Sort=A","Dates=H","DateFormat=P","Fill=—","Direction=H","UseDPDF=Y")</f>
        <v>#NAME?</v>
      </c>
      <c r="AE508" s="2" t="e">
        <f ca="1">_xll.BDH($C$503,"WORK_CAP_GROWTH","FY 2015","FY 2015","Currency=INR","Period=FY","BEST_FPERIOD_OVERRIDE=FY","FILING_STATUS=OR","EQY_CONSOLIDATED=Y","Sort=A","Dates=H","DateFormat=P","Fill=—","Direction=H","UseDPDF=Y")</f>
        <v>#NAME?</v>
      </c>
      <c r="AF508" s="2" t="e">
        <f ca="1">_xll.BDH($C$503,"ACCOUNTS_PAYABLE_GROWTH_1YR","FY 2015","FY 2015","Currency=INR","Period=FY","BEST_FPERIOD_OVERRIDE=FY","FILING_STATUS=OR","EQY_CONSOLIDATED=Y","Sort=A","Dates=H","DateFormat=P","Fill=—","Direction=H","UseDPDF=Y")</f>
        <v>#NAME?</v>
      </c>
      <c r="AG508" s="2" t="e">
        <f ca="1">_xll.BDH($C$503,"SHORT_TERM_DEBT_1_YEAR_GROWTH","FY 2015","FY 2015","Currency=INR","Period=FY","BEST_FPERIOD_OVERRIDE=FY","FILING_STATUS=OR","EQY_CONSOLIDATED=Y","Sort=A","Dates=H","DateFormat=P","Fill=—","Direction=H","UseDPDF=Y")</f>
        <v>#NAME?</v>
      </c>
      <c r="AH508" s="2" t="e">
        <f ca="1">_xll.BDH($C$503,"TOTAL_DEBT_1_YEAR_GROWTH","FY 2015","FY 2015","Currency=INR","Period=FY","BEST_FPERIOD_OVERRIDE=FY","FILING_STATUS=OR","EQY_CONSOLIDATED=Y","Sort=A","Dates=H","DateFormat=P","Fill=—","Direction=H","UseDPDF=Y")</f>
        <v>#NAME?</v>
      </c>
      <c r="AI508" s="2" t="e">
        <f ca="1">_xll.BDH($C$503,"TOTAL_EQUITY_1_YEAR_GROWTH","FY 2015","FY 2015","Currency=INR","Period=FY","BEST_FPERIOD_OVERRIDE=FY","FILING_STATUS=OR","EQY_CONSOLIDATED=Y","Sort=A","Dates=H","DateFormat=P","Fill=—","Direction=H","UseDPDF=Y")</f>
        <v>#NAME?</v>
      </c>
      <c r="AJ508" s="2" t="e">
        <f ca="1">_xll.BDH($C$503,"GROWTH_IN_CAP","FY 2015","FY 2015","Currency=INR","Period=FY","BEST_FPERIOD_OVERRIDE=FY","FILING_STATUS=OR","EQY_CONSOLIDATED=Y","Sort=A","Dates=H","DateFormat=P","Fill=—","Direction=H","UseDPDF=Y")</f>
        <v>#NAME?</v>
      </c>
      <c r="AK508" s="2" t="e">
        <f ca="1">_xll.BDH($C$503,"BVPS_GROWTH","FY 2015","FY 2015","Currency=INR","Period=FY","BEST_FPERIOD_OVERRIDE=FY","FILING_STATUS=OR","EQY_CONSOLIDATED=Y","Sort=A","Dates=H","DateFormat=P","Fill=—","Direction=H","UseDPDF=Y")</f>
        <v>#NAME?</v>
      </c>
      <c r="AL508" s="2" t="e">
        <f ca="1">_xll.BDH($C$503,"CASH_FLOW_GROWTH","FY 2015","FY 2015","Currency=INR","Period=FY","BEST_FPERIOD_OVERRIDE=FY","FILING_STATUS=OR","EQY_CONSOLIDATED=Y","Sort=A","Dates=H","DateFormat=P","Fill=—","Direction=H","UseDPDF=Y")</f>
        <v>#NAME?</v>
      </c>
      <c r="AM508" s="2" t="e">
        <f ca="1">_xll.BDH($C$503,"GEO_GROW_NET_SALES","FY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508" s="2" t="e">
        <f ca="1">_xll.BDH($C$503,"GEO_GROW_EBITDA","FY 2015","FY 2015","Currency=INR","Period=FY","BEST_FPERIOD_OVERRIDE=FY","FILING_STATUS=OR","EQY_CONSOLIDATED=Y","FA_ADJUSTED=GAAP","Sort=A","Dates=H","DateFormat=P","Fill=—","Direction=H","UseDPDF=Y")</f>
        <v>#NAME?</v>
      </c>
      <c r="AO508" s="2" t="e">
        <f ca="1">_xll.BDH($C$503,"GEO_GROW_OPER_INC","FY 2015","FY 2015","Currency=INR","Period=FY","BEST_FPERIOD_OVERRIDE=FY","FILING_STATUS=OR","EQY_CONSOLIDATED=Y","FA_ADJUSTED=GAAP","Sort=A","Dates=H","DateFormat=P","Fill=—","Direction=H","UseDPDF=Y")</f>
        <v>#NAME?</v>
      </c>
      <c r="AP508" s="2" t="e">
        <f ca="1">_xll.BDH($C$503,"NET_INCOME_TO_COMMON_5_YR_GROWTH","FY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508" s="2" t="e">
        <f ca="1">_xll.BDH($C$503,"5Y_GEO_GROWTH_DILUTED_EPS","FY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508" s="2" t="e">
        <f ca="1">_xll.BDH($C$503,"GEO_GROW_DVD_PER_SH","FY 2015","FY 2015","Currency=INR","Period=FY","BEST_FPERIOD_OVERRIDE=FY","FILING_STATUS=OR","EQY_CONSOLIDATED=Y","Sort=A","Dates=H","DateFormat=P","Fill=—","Direction=H","UseDPDF=Y")</f>
        <v>#NAME?</v>
      </c>
      <c r="AS508" s="2" t="e">
        <f ca="1">_xll.BDH($C$503,"ACCOUNTS_RECEIVABLE_5_YR_GROWTH","FY 2015","FY 2015","Currency=INR","Period=FY","BEST_FPERIOD_OVERRIDE=FY","FILING_STATUS=OR","EQY_CONSOLIDATED=Y","Sort=A","Dates=H","DateFormat=P","Fill=—","Direction=H","UseDPDF=Y")</f>
        <v>#NAME?</v>
      </c>
      <c r="AT508" s="2" t="e">
        <f ca="1">_xll.BDH($C$503,"INVENTORY_5_YEAR_GROWTH","FY 2015","FY 2015","Currency=INR","Period=FY","BEST_FPERIOD_OVERRIDE=FY","FILING_STATUS=OR","EQY_CONSOLIDATED=Y","Sort=A","Dates=H","DateFormat=P","Fill=—","Direction=H","UseDPDF=Y")</f>
        <v>#NAME?</v>
      </c>
      <c r="AU508" s="2" t="e">
        <f ca="1">_xll.BDH($C$503,"NET_FIXED_ASSETS_5_YEAR_GROWTH","FY 2015","FY 2015","Currency=INR","Period=FY","BEST_FPERIOD_OVERRIDE=FY","FILING_STATUS=OR","EQY_CONSOLIDATED=Y","Sort=A","Dates=H","DateFormat=P","Fill=—","Direction=H","UseDPDF=Y")</f>
        <v>#NAME?</v>
      </c>
      <c r="AV508" s="2" t="e">
        <f ca="1">_xll.BDH($C$503,"GEO_GROW_TOT_ASSET","FY 2015","FY 2015","Currency=INR","Period=FY","BEST_FPERIOD_OVERRIDE=FY","FILING_STATUS=OR","EQY_CONSOLIDATED=Y","Sort=A","Dates=H","DateFormat=P","Fill=—","Direction=H","UseDPDF=Y")</f>
        <v>#NAME?</v>
      </c>
      <c r="AW508" s="2" t="e">
        <f ca="1">_xll.BDH($C$503,"MODIFIED_WORKING_CPTL_5YR_GRWTH","FY 2015","FY 2015","Currency=INR","Period=FY","BEST_FPERIOD_OVERRIDE=FY","FILING_STATUS=OR","EQY_CONSOLIDATED=Y","Sort=A","Dates=H","DateFormat=P","Fill=—","Direction=H","UseDPDF=Y")</f>
        <v>#NAME?</v>
      </c>
      <c r="AX508" s="2" t="e">
        <f ca="1">_xll.BDH($C$503,"WORKING_CAPITAL_5_YEAR_GROWTH","FY 2015","FY 2015","Currency=INR","Period=FY","BEST_FPERIOD_OVERRIDE=FY","FILING_STATUS=OR","EQY_CONSOLIDATED=Y","Sort=A","Dates=H","DateFormat=P","Fill=—","Direction=H","UseDPDF=Y")</f>
        <v>#NAME?</v>
      </c>
      <c r="AY508" s="2" t="e">
        <f ca="1">_xll.BDH($C$503,"ACCOUNTS_PAYABLE_5_YEAR_GROWTH","FY 2015","FY 2015","Currency=INR","Period=FY","BEST_FPERIOD_OVERRIDE=FY","FILING_STATUS=OR","EQY_CONSOLIDATED=Y","Sort=A","Dates=H","DateFormat=P","Fill=—","Direction=H","UseDPDF=Y")</f>
        <v>#NAME?</v>
      </c>
      <c r="AZ508" s="2" t="e">
        <f ca="1">_xll.BDH($C$503,"SHORT_TERM_DEBT_5_YEAR_GROWTH","FY 2015","FY 2015","Currency=INR","Period=FY","BEST_FPERIOD_OVERRIDE=FY","FILING_STATUS=OR","EQY_CONSOLIDATED=Y","Sort=A","Dates=H","DateFormat=P","Fill=—","Direction=H","UseDPDF=Y")</f>
        <v>#NAME?</v>
      </c>
      <c r="BA508" s="2" t="e">
        <f ca="1">_xll.BDH($C$503,"TOTAL_DEBT_5_YEAR_GROWTH","FY 2015","FY 2015","Currency=INR","Period=FY","BEST_FPERIOD_OVERRIDE=FY","FILING_STATUS=OR","EQY_CONSOLIDATED=Y","Sort=A","Dates=H","DateFormat=P","Fill=—","Direction=H","UseDPDF=Y")</f>
        <v>#NAME?</v>
      </c>
      <c r="BB508" s="2" t="e">
        <f ca="1">_xll.BDH($C$503,"GEO_GROW_TOT_SHRHLDR_EQY","FY 2015","FY 2015","Currency=INR","Period=FY","BEST_FPERIOD_OVERRIDE=FY","FILING_STATUS=OR","EQY_CONSOLIDATED=Y","Sort=A","Dates=H","DateFormat=P","Fill=—","Direction=H","UseDPDF=Y")</f>
        <v>#NAME?</v>
      </c>
      <c r="BC508" s="2" t="e">
        <f ca="1">_xll.BDH($C$503,"TOTAL_CAPITAL_5_YEAR_GROWTH","FY 2015","FY 2015","Currency=INR","Period=FY","BEST_FPERIOD_OVERRIDE=FY","FILING_STATUS=OR","EQY_CONSOLIDATED=Y","Sort=A","Dates=H","DateFormat=P","Fill=—","Direction=H","UseDPDF=Y")</f>
        <v>#NAME?</v>
      </c>
      <c r="BD508" s="2" t="e">
        <f ca="1">_xll.BDH($C$503,"GEO_GROW_BOOK_VAL","FY 2015","FY 2015","Currency=INR","Period=FY","BEST_FPERIOD_OVERRIDE=FY","FILING_STATUS=OR","EQY_CONSOLIDATED=Y","Sort=A","Dates=H","DateFormat=P","Fill=—","Direction=H","UseDPDF=Y")</f>
        <v>#NAME?</v>
      </c>
      <c r="BE508" s="2" t="e">
        <f ca="1">_xll.BDH($C$503,"GEO_GROW_CASH_OPER_ACT","FY 2015","FY 2015","Currency=INR","Period=FY","BEST_FPERIOD_OVERRIDE=FY","FILING_STATUS=OR","EQY_CONSOLIDATED=Y","Sort=A","Dates=H","DateFormat=P","Fill=—","Direction=H","UseDPDF=Y")</f>
        <v>#NAME?</v>
      </c>
      <c r="BF508" s="2" t="e">
        <f ca="1">_xll.BDH($C$503,"REVENUE_SEQUENTIAL_GROWTH","FY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508" s="2" t="e">
        <f ca="1">_xll.BDH($C$503,"EBITDA_SEQUENTIAL_GROWTH","FY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508" s="2" t="e">
        <f ca="1">_xll.BDH($C$503,"OPERATING_INCOME_SEQ_GROWTH","FY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508" s="2" t="e">
        <f ca="1">_xll.BDH($C$503,"NET_INCOME_TO_COMMON_SEQ_GROWTH","FY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508" s="2" t="e">
        <f ca="1">_xll.BDH($C$503,"EPS_DILUTED_SEQUENTIAL_GROWTH","FY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508" s="2" t="e">
        <f ca="1">_xll.BDH($C$503,"DPS_SEQUENTIAL_GROWTH","FY 2015","FY 2015","Currency=INR","Period=FY","BEST_FPERIOD_OVERRIDE=FY","FILING_STATUS=OR","EQY_CONSOLIDATED=Y","Sort=A","Dates=H","DateFormat=P","Fill=—","Direction=H","UseDPDF=Y")</f>
        <v>#NAME?</v>
      </c>
      <c r="BL508" s="2" t="e">
        <f ca="1">_xll.BDH($C$503,"ACCOUNTS_RECEIVABLE_SEQ_GROWTH","FY 2015","FY 2015","Currency=INR","Period=FY","BEST_FPERIOD_OVERRIDE=FY","FILING_STATUS=OR","EQY_CONSOLIDATED=Y","Sort=A","Dates=H","DateFormat=P","Fill=—","Direction=H","UseDPDF=Y")</f>
        <v>#NAME?</v>
      </c>
      <c r="BM508" s="2" t="e">
        <f ca="1">_xll.BDH($C$503,"INVENTORY_SEQUENTIAL_GROWTH","FY 2015","FY 2015","Currency=INR","Period=FY","BEST_FPERIOD_OVERRIDE=FY","FILING_STATUS=OR","EQY_CONSOLIDATED=Y","Sort=A","Dates=H","DateFormat=P","Fill=—","Direction=H","UseDPDF=Y")</f>
        <v>#NAME?</v>
      </c>
      <c r="BN508" s="2" t="e">
        <f ca="1">_xll.BDH($C$503,"FIXED_ASSETS_SEQUENTIAL_GROWTH","FY 2015","FY 2015","Currency=INR","Period=FY","BEST_FPERIOD_OVERRIDE=FY","FILING_STATUS=OR","EQY_CONSOLIDATED=Y","Sort=A","Dates=H","DateFormat=P","Fill=—","Direction=H","UseDPDF=Y")</f>
        <v>#NAME?</v>
      </c>
      <c r="BO508" s="2" t="e">
        <f ca="1">_xll.BDH($C$503,"TOTAL_ASSETS_SEQUENTIAL_GROWTH","FY 2015","FY 2015","Currency=INR","Period=FY","BEST_FPERIOD_OVERRIDE=FY","FILING_STATUS=OR","EQY_CONSOLIDATED=Y","Sort=A","Dates=H","DateFormat=P","Fill=—","Direction=H","UseDPDF=Y")</f>
        <v>#NAME?</v>
      </c>
      <c r="BP508" s="2" t="e">
        <f ca="1">_xll.BDH($C$503,"MODIFIED_WORKING_CPTL_SEQ_GRWTH","FY 2015","FY 2015","Currency=INR","Period=FY","BEST_FPERIOD_OVERRIDE=FY","FILING_STATUS=OR","EQY_CONSOLIDATED=Y","Sort=A","Dates=H","DateFormat=P","Fill=—","Direction=H","UseDPDF=Y")</f>
        <v>#NAME?</v>
      </c>
      <c r="BQ508" s="2" t="e">
        <f ca="1">_xll.BDH($C$503,"WORKING_CAPITAL_SEQ_GROWTH","FY 2015","FY 2015","Currency=INR","Period=FY","BEST_FPERIOD_OVERRIDE=FY","FILING_STATUS=OR","EQY_CONSOLIDATED=Y","Sort=A","Dates=H","DateFormat=P","Fill=—","Direction=H","UseDPDF=Y")</f>
        <v>#NAME?</v>
      </c>
      <c r="BR508" s="2" t="e">
        <f ca="1">_xll.BDH($C$503,"ACCOUNTS_PAYABLE_SEQ_GROWTH","FY 2015","FY 2015","Currency=INR","Period=FY","BEST_FPERIOD_OVERRIDE=FY","FILING_STATUS=OR","EQY_CONSOLIDATED=Y","Sort=A","Dates=H","DateFormat=P","Fill=—","Direction=H","UseDPDF=Y")</f>
        <v>#NAME?</v>
      </c>
      <c r="BS508" s="2" t="e">
        <f ca="1">_xll.BDH($C$503,"ST_DEBT_SEQUENTIAL_GROWTH","FY 2015","FY 2015","Currency=INR","Period=FY","BEST_FPERIOD_OVERRIDE=FY","FILING_STATUS=OR","EQY_CONSOLIDATED=Y","Sort=A","Dates=H","DateFormat=P","Fill=—","Direction=H","UseDPDF=Y")</f>
        <v>#NAME?</v>
      </c>
      <c r="BT508" s="2" t="e">
        <f ca="1">_xll.BDH($C$503,"TOTAL_DEBT_SEQUENTIAL_GROWTH","FY 2015","FY 2015","Currency=INR","Period=FY","BEST_FPERIOD_OVERRIDE=FY","FILING_STATUS=OR","EQY_CONSOLIDATED=Y","Sort=A","Dates=H","DateFormat=P","Fill=—","Direction=H","UseDPDF=Y")</f>
        <v>#NAME?</v>
      </c>
      <c r="BU508" s="2" t="e">
        <f ca="1">_xll.BDH($C$503,"TOTAL_EQUITY_SEQUENTIAL_GROWTH","FY 2015","FY 2015","Currency=INR","Period=FY","BEST_FPERIOD_OVERRIDE=FY","FILING_STATUS=OR","EQY_CONSOLIDATED=Y","Sort=A","Dates=H","DateFormat=P","Fill=—","Direction=H","UseDPDF=Y")</f>
        <v>#NAME?</v>
      </c>
      <c r="BV508" s="2" t="e">
        <f ca="1">_xll.BDH($C$503,"TOTAL_CAPITAL_SEQUENTIAL_GROWTH","FY 2015","FY 2015","Currency=INR","Period=FY","BEST_FPERIOD_OVERRIDE=FY","FILING_STATUS=OR","EQY_CONSOLIDATED=Y","Sort=A","Dates=H","DateFormat=P","Fill=—","Direction=H","UseDPDF=Y")</f>
        <v>#NAME?</v>
      </c>
      <c r="BW508" s="2" t="e">
        <f ca="1">_xll.BDH($C$503,"BPS_SEQUENTIAL_GROWTH","FY 2015","FY 2015","Currency=INR","Period=FY","BEST_FPERIOD_OVERRIDE=FY","FILING_STATUS=OR","EQY_CONSOLIDATED=Y","Sort=A","Dates=H","DateFormat=P","Fill=—","Direction=H","UseDPDF=Y")</f>
        <v>#NAME?</v>
      </c>
      <c r="BX508" s="2" t="e">
        <f ca="1">_xll.BDH($C$503,"CFO_SEQUENTIAL_GROWTH","FY 2015","FY 2015","Currency=INR","Period=FY","BEST_FPERIOD_OVERRIDE=FY","FILING_STATUS=OR","EQY_CONSOLIDATED=Y","Sort=A","Dates=H","DateFormat=P","Fill=—","Direction=H","UseDPDF=Y")</f>
        <v>#NAME?</v>
      </c>
      <c r="BY508" s="3" t="e">
        <f ca="1">_xll.BDH($C$503,"SHORT_AND_LONG_TERM_DEBT","FY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508" s="3" t="e">
        <f ca="1">_xll.BDH($C$503,"BS_ST_BORROW","FY 2015","FY 2015","Currency=INR","Period=FY","BEST_FPERIOD_OVERRIDE=FY","FILING_STATUS=OR","EQY_CONSOLIDATED=Y","SCALING_FORMAT=MLN","Sort=A","Dates=H","DateFormat=P","Fill=—","Direction=H","UseDPDF=Y")</f>
        <v>#NAME?</v>
      </c>
      <c r="CA508" s="3" t="e">
        <f ca="1">_xll.BDH($C$503,"BS_LT_BORROW","FY 2015","FY 2015","Currency=INR","Period=FY","BEST_FPERIOD_OVERRIDE=FY","FILING_STATUS=OR","EQY_CONSOLIDATED=Y","SCALING_FORMAT=MLN","Sort=A","Dates=H","DateFormat=P","Fill=—","Direction=H","UseDPDF=Y")</f>
        <v>#NAME?</v>
      </c>
      <c r="CB508" s="2" t="e">
        <f ca="1">_xll.BDH($C$503,"TOT_DEBT_TO_EBITDA","FY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508" s="2" t="e">
        <f ca="1">_xll.BDH($C$503,"NET_DEBT_TO_EBITDA","FY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508" s="2" t="e">
        <f ca="1">_xll.BDH($C$503,"TOTAL_DEBT_TO_EBIT","FY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508" s="2" t="e">
        <f ca="1">_xll.BDH($C$503,"NET_DEBT_TO_EBIT","FY 2015","FY 2015","Currency=INR","Period=FY","BEST_FPERIOD_OVERRIDE=FY","FILING_STATUS=OR","EQY_CONSOLIDATED=Y","FA_ADJUSTED=GAAP","Sort=A","Dates=H","DateFormat=P","Fill=—","Direction=H","UseDPDF=Y")</f>
        <v>#NAME?</v>
      </c>
      <c r="CF508" s="2" t="e">
        <f ca="1">_xll.BDH($C$503,"EBITDA_TO_INTEREST_EXPN","FY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508" s="2" t="e">
        <f ca="1">_xll.BDH($C$503,"COM_EQY_TO_TOT_ASSET","FY 2015","FY 2015","Currency=INR","Period=FY","BEST_FPERIOD_OVERRIDE=FY","FILING_STATUS=OR","EQY_CONSOLIDATED=Y","Sort=A","Dates=H","DateFormat=P","Fill=—","Direction=H","UseDPDF=Y")</f>
        <v>#NAME?</v>
      </c>
      <c r="CH508" s="2" t="e">
        <f ca="1">_xll.BDH($C$503,"LT_DEBT_TO_TOT_EQY","FY 2015","FY 2015","Currency=INR","Period=FY","BEST_FPERIOD_OVERRIDE=FY","FILING_STATUS=OR","EQY_CONSOLIDATED=Y","Sort=A","Dates=H","DateFormat=P","Fill=—","Direction=H","UseDPDF=Y")</f>
        <v>#NAME?</v>
      </c>
      <c r="CI508" s="2" t="e">
        <f ca="1">_xll.BDH($C$503,"LT_DEBT_TO_TOT_CAP","FY 2015","FY 2015","Currency=INR","Period=FY","BEST_FPERIOD_OVERRIDE=FY","FILING_STATUS=OR","EQY_CONSOLIDATED=Y","Sort=A","Dates=H","DateFormat=P","Fill=—","Direction=H","UseDPDF=Y")</f>
        <v>#NAME?</v>
      </c>
      <c r="CJ508" s="2" t="e">
        <f ca="1">_xll.BDH($C$503,"LT_DEBT_TO_TOT_ASSET","FY 2015","FY 2015","Currency=INR","Period=FY","BEST_FPERIOD_OVERRIDE=FY","FILING_STATUS=OR","EQY_CONSOLIDATED=Y","Sort=A","Dates=H","DateFormat=P","Fill=—","Direction=H","UseDPDF=Y")</f>
        <v>#NAME?</v>
      </c>
      <c r="CK508" s="2" t="e">
        <f ca="1">_xll.BDH($C$503,"TOT_DEBT_TO_TOT_EQY","FY 2015","FY 2015","Currency=INR","Period=FY","BEST_FPERIOD_OVERRIDE=FY","FILING_STATUS=OR","EQY_CONSOLIDATED=Y","Sort=A","Dates=H","DateFormat=P","Fill=—","Direction=H","UseDPDF=Y")</f>
        <v>#NAME?</v>
      </c>
      <c r="CL508" s="2" t="e">
        <f ca="1">_xll.BDH($C$503,"TOT_DEBT_TO_TOT_CAP","FY 2015","FY 2015","Currency=INR","Period=FY","BEST_FPERIOD_OVERRIDE=FY","FILING_STATUS=OR","EQY_CONSOLIDATED=Y","Sort=A","Dates=H","DateFormat=P","Fill=—","Direction=H","UseDPDF=Y")</f>
        <v>#NAME?</v>
      </c>
      <c r="CM508" s="2" t="e">
        <f ca="1">_xll.BDH($C$503,"TOT_DEBT_TO_TOT_ASSET","FY 2015","FY 2015","Currency=INR","Period=FY","BEST_FPERIOD_OVERRIDE=FY","FILING_STATUS=OR","EQY_CONSOLIDATED=Y","Sort=A","Dates=H","DateFormat=P","Fill=—","Direction=H","UseDPDF=Y")</f>
        <v>#NAME?</v>
      </c>
      <c r="CN508" s="2" t="e">
        <f ca="1">_xll.BDH($C$503,"NET_DEBT_TO_SHRHLDR_EQTY","FY 2015","FY 2015","Currency=INR","Period=FY","BEST_FPERIOD_OVERRIDE=FY","FILING_STATUS=OR","EQY_CONSOLIDATED=Y","Sort=A","Dates=H","DateFormat=P","Fill=—","Direction=H","UseDPDF=Y")</f>
        <v>#NAME?</v>
      </c>
      <c r="CO508" s="2" t="e">
        <f ca="1">_xll.BDH($C$503,"NET_DEBT_%_CAPITAL","FY 2015","FY 2015","Currency=INR","Period=FY","BEST_FPERIOD_OVERRIDE=FY","FILING_STATUS=OR","EQY_CONSOLIDATED=Y","Sort=A","Dates=H","DateFormat=P","Fill=—","Direction=H","UseDPDF=Y")</f>
        <v>#NAME?</v>
      </c>
      <c r="CP508" s="3" t="e">
        <f ca="1">_xll.BDH($C$503,"EBITDA","FY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508" s="3" t="e">
        <f ca="1">_xll.BDH($C$503,"EBITDA_AFTER_CAPEX","FY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508" s="3" t="e">
        <f ca="1">_xll.BDH($C$503,"IS_OPER_INC","FY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508" s="2" t="e">
        <f ca="1">_xll.BDH($C$503,"CASH_RATIO","FY 2015","FY 2015","Currency=INR","Period=FY","BEST_FPERIOD_OVERRIDE=FY","FILING_STATUS=OR","EQY_CONSOLIDATED=Y","Sort=A","Dates=H","DateFormat=P","Fill=—","Direction=H","UseDPDF=Y")</f>
        <v>#NAME?</v>
      </c>
      <c r="CT508" s="2" t="e">
        <f ca="1">_xll.BDH($C$503,"CUR_RATIO","FY 2015","FY 2015","Currency=INR","Period=FY","BEST_FPERIOD_OVERRIDE=FY","FILING_STATUS=OR","EQY_CONSOLIDATED=Y","Sort=A","Dates=H","DateFormat=P","Fill=—","Direction=H","UseDPDF=Y")</f>
        <v>#NAME?</v>
      </c>
      <c r="CU508" s="2" t="e">
        <f ca="1">_xll.BDH($C$503,"QUICK_RATIO","FY 2015","FY 2015","Currency=INR","Period=FY","BEST_FPERIOD_OVERRIDE=FY","FILING_STATUS=OR","EQY_CONSOLIDATED=Y","Sort=A","Dates=H","DateFormat=P","Fill=—","Direction=H","UseDPDF=Y")</f>
        <v>#NAME?</v>
      </c>
      <c r="CV508" s="2" t="e">
        <f ca="1">_xll.BDH($C$503,"ALTMAN_Z_SCORE","FY 2015","FY 2015","Currency=INR","Period=FY","BEST_FPERIOD_OVERRIDE=FY","FILING_STATUS=OR","EQY_CONSOLIDATED=Y","Sort=A","Dates=H","DateFormat=P","Fill=—","Direction=H","UseDPDF=Y")</f>
        <v>#NAME?</v>
      </c>
      <c r="CW508" s="4" t="e">
        <f ca="1">_xll.BDH($C$503,"ACCT_RCV_TURN","FY 2015","FY 2015","Currency=INR","Period=FY","BEST_FPERIOD_OVERRIDE=FY","FILING_STATUS=OR","EQY_CONSOLIDATED=Y","FA_ADJUSTED=GAAP","Sort=A","Dates=H","DateFormat=P","Fill=—","Direction=H","UseDPDF=Y")</f>
        <v>#NAME?</v>
      </c>
      <c r="CX508" s="2" t="e">
        <f ca="1">_xll.BDH($C$503,"ACCT_RCV_DAYS","FY 2015","FY 2015","Currency=INR","Period=FY","BEST_FPERIOD_OVERRIDE=FY","FILING_STATUS=OR","EQY_CONSOLIDATED=Y","FA_ADJUSTED=GAAP","Sort=A","Dates=H","DateFormat=P","Fill=—","Direction=H","UseDPDF=Y")</f>
        <v>#NAME?</v>
      </c>
      <c r="CY508" s="4" t="e">
        <f ca="1">_xll.BDH($C$503,"INVENT_TURN","FY 2015","FY 2015","Currency=INR","Period=FY","BEST_FPERIOD_OVERRIDE=FY","FILING_STATUS=OR","EQY_CONSOLIDATED=Y","FA_ADJUSTED=GAAP","Sort=A","Dates=H","DateFormat=P","Fill=—","Direction=H","UseDPDF=Y")</f>
        <v>#NAME?</v>
      </c>
      <c r="CZ508" s="2" t="e">
        <f ca="1">_xll.BDH($C$503,"INVENT_DAYS","FY 2015","FY 2015","Currency=INR","Period=FY","BEST_FPERIOD_OVERRIDE=FY","FILING_STATUS=OR","EQY_CONSOLIDATED=Y","FA_ADJUSTED=GAAP","Sort=A","Dates=H","DateFormat=P","Fill=—","Direction=H","UseDPDF=Y")</f>
        <v>#NAME?</v>
      </c>
      <c r="DA508" s="4" t="e">
        <f ca="1">_xll.BDH($C$503,"ACCOUNTS_PAYABLE_TURNOVER","FY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508" s="2" t="e">
        <f ca="1">_xll.BDH($C$503,"ACCOUNTS_PAYABLE_TURNOVER_DAYS","FY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508" s="4" t="e">
        <f ca="1">_xll.BDH($C$503,"CASH_CONVERSION_CYCLE","FY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508" s="4" t="e">
        <f ca="1">_xll.BDH($C$503,"INV_TO_CASH_DAYS","FY 2015","FY 2015","Currency=INR","Period=FY","BEST_FPERIOD_OVERRIDE=FY","FILING_STATUS=OR","EQY_CONSOLIDATED=Y","FA_ADJUSTED=GAAP","Sort=A","Dates=H","DateFormat=P","Fill=—","Direction=H","UseDPDF=Y")</f>
        <v>#NAME?</v>
      </c>
      <c r="DE508" s="5" t="e">
        <f ca="1">_xll.BDH($C$503,"BS_INVENTORIES","FY 2015","FY 2015","Currency=INR","Period=FY","BEST_FPERIOD_OVERRIDE=FY","FILING_STATUS=OR","EQY_CONSOLIDATED=Y","SCALING_FORMAT=MLN","Sort=A","Dates=H","DateFormat=P","Fill=—","Direction=H","UseDPDF=Y")</f>
        <v>#NAME?</v>
      </c>
      <c r="DF508" s="3" t="e">
        <f ca="1">_xll.BDH($C$503,"INVTRY_RAW_MATERIALS","FY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508" s="3" t="e">
        <f ca="1">_xll.BDH($C$503,"INVTRY_IN_PROGRESS","FY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508" s="3" t="e">
        <f ca="1">_xll.BDH($C$503,"INVTRY_FINISHED_GOODS","FY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508" s="3" t="e">
        <f ca="1">_xll.BDH($C$503,"BS_OTHER_INV","FY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509" spans="1:113" x14ac:dyDescent="0.3">
      <c r="A509" s="6"/>
      <c r="B509" s="6"/>
      <c r="C509" s="6"/>
      <c r="D509" s="6"/>
      <c r="E509" t="s">
        <v>78</v>
      </c>
      <c r="F509" t="e">
        <f ca="1">_xll.BDH($C$503,"RETURN_COM_EQY","FQ1 2015","FQ1 2015","Currency=INR","Period=FQ","BEST_FPERIOD_OVERRIDE=FQ","FILING_STATUS=OR","EQY_CONSOLIDATED=Y","FA_ADJUSTED=GAAP","Sort=A","Dates=H","DateFormat=P","Fill=—","Direction=H","UseDPDF=Y")</f>
        <v>#NAME?</v>
      </c>
      <c r="G509" t="e">
        <f ca="1">_xll.BDH($C$503,"RETURN_ON_ASSET","FQ1 2015","FQ1 2015","Currency=INR","Period=FQ","BEST_FPERIOD_OVERRIDE=FQ","FILING_STATUS=OR","EQY_CONSOLIDATED=Y","FA_ADJUSTED=GAAP","Sort=A","Dates=H","DateFormat=P","Fill=—","Direction=H","UseDPDF=Y")</f>
        <v>#NAME?</v>
      </c>
      <c r="H509" t="e">
        <f ca="1">_xll.BDH($C$503,"RETURN_ON_CAP","FQ1 2015","FQ1 2015","Currency=INR","Period=FQ","BEST_FPERIOD_OVERRIDE=FQ","FILING_STATUS=OR","EQY_CONSOLIDATED=Y","FA_ADJUSTED=GAAP","Sort=A","Dates=H","DateFormat=P","Fill=—","Direction=H","UseDPDF=Y")</f>
        <v>#NAME?</v>
      </c>
      <c r="I509" t="e">
        <f ca="1">_xll.BDH($C$503,"RETURN_ON_INV_CAPITAL","FQ1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509" t="e">
        <f ca="1">_xll.BDH($C$503,"EBITDA_TO_REVENUE","FQ1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509" t="e">
        <f ca="1">_xll.BDH($C$503,"OPER_MARGIN","FQ1 2015","FQ1 2015","Currency=INR","Period=FQ","BEST_FPERIOD_OVERRIDE=FQ","FILING_STATUS=OR","EQY_CONSOLIDATED=Y","FA_ADJUSTED=GAAP","Sort=A","Dates=H","DateFormat=P","Fill=—","Direction=H","UseDPDF=Y")</f>
        <v>#NAME?</v>
      </c>
      <c r="L509" t="e">
        <f ca="1">_xll.BDH($C$503,"INCREMENTAL_OPERATING_MARGIN","FQ1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509" t="e">
        <f ca="1">_xll.BDH($C$503,"PRETAX_INC_TO_NET_SALES","FQ1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509" t="e">
        <f ca="1">_xll.BDH($C$503,"INC_BEF_XO_ITEMS_TO_NET_SALES","FQ1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509" t="e">
        <f ca="1">_xll.BDH($C$503,"PROF_MARGIN","FQ1 2015","FQ1 2015","Currency=INR","Period=FQ","BEST_FPERIOD_OVERRIDE=FQ","FILING_STATUS=OR","EQY_CONSOLIDATED=Y","FA_ADJUSTED=GAAP","Sort=A","Dates=H","DateFormat=P","Fill=—","Direction=H","UseDPDF=Y")</f>
        <v>#NAME?</v>
      </c>
      <c r="P509" t="e">
        <f ca="1">_xll.BDH($C$503,"NET_INCOME_TO_COMMON_MARGIN","FQ1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509" t="e">
        <f ca="1">_xll.BDH($C$503,"EFF_TAX_RATE","FQ1 2015","FQ1 2015","Currency=INR","Period=FQ","BEST_FPERIOD_OVERRIDE=FQ","FILING_STATUS=OR","EQY_CONSOLIDATED=Y","FA_ADJUSTED=GAAP","Sort=A","Dates=H","DateFormat=P","Fill=—","Direction=H","UseDPDF=Y")</f>
        <v>#NAME?</v>
      </c>
      <c r="R509" t="e">
        <f ca="1">_xll.BDH($C$503,"DVD_PAYOUT_RATIO","FQ1 2015","FQ1 2015","Currency=INR","Period=FQ","BEST_FPERIOD_OVERRIDE=FQ","FILING_STATUS=OR","EQY_CONSOLIDATED=Y","FA_ADJUSTED=GAAP","Sort=A","Dates=H","DateFormat=P","Fill=—","Direction=H","UseDPDF=Y")</f>
        <v>#NAME?</v>
      </c>
      <c r="S509" t="e">
        <f ca="1">_xll.BDH($C$503,"SUSTAIN_GROWTH_RT","FQ1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509" s="2" t="e">
        <f ca="1">_xll.BDH($C$503,"SALES_GROWTH","FQ1 2015","FQ1 2015","Currency=INR","Period=FQ","BEST_FPERIOD_OVERRIDE=FQ","FILING_STATUS=OR","EQY_CONSOLIDATED=Y","FA_ADJUSTED=GAAP","Sort=A","Dates=H","DateFormat=P","Fill=—","Direction=H","UseDPDF=Y")</f>
        <v>#NAME?</v>
      </c>
      <c r="U509" s="2" t="e">
        <f ca="1">_xll.BDH($C$503,"EBITDA_GROWTH","FQ1 2015","FQ1 2015","Currency=INR","Period=FQ","BEST_FPERIOD_OVERRIDE=FQ","FILING_STATUS=OR","EQY_CONSOLIDATED=Y","FA_ADJUSTED=GAAP","Sort=A","Dates=H","DateFormat=P","Fill=—","Direction=H","UseDPDF=Y")</f>
        <v>#NAME?</v>
      </c>
      <c r="V509" s="2" t="e">
        <f ca="1">_xll.BDH($C$503,"OPER_INC_GROWTH","FQ1 2015","FQ1 2015","Currency=INR","Period=FQ","BEST_FPERIOD_OVERRIDE=FQ","FILING_STATUS=OR","EQY_CONSOLIDATED=Y","FA_ADJUSTED=GAAP","Sort=A","Dates=H","DateFormat=P","Fill=—","Direction=H","UseDPDF=Y")</f>
        <v>#NAME?</v>
      </c>
      <c r="W509" s="2" t="e">
        <f ca="1">_xll.BDH($C$503,"EARN_FOR_COM_GROWTH","FQ1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509" s="2" t="e">
        <f ca="1">_xll.BDH($C$503,"DILUTED_EPS_AFT_XO_ITEMS_GROWTH","FQ1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509" s="2" t="e">
        <f ca="1">_xll.BDH($C$503,"DIVIDEND_PER_SHARE_1_YEAR_GROWTH","FQ1 2015","FQ1 2015","Currency=INR","Period=FQ","BEST_FPERIOD_OVERRIDE=FQ","FILING_STATUS=OR","EQY_CONSOLIDATED=Y","Sort=A","Dates=H","DateFormat=P","Fill=—","Direction=H","UseDPDF=Y")</f>
        <v>#NAME?</v>
      </c>
      <c r="Z509" s="2" t="e">
        <f ca="1">_xll.BDH($C$503,"ACCOUNTS_RECEIVABLE_GROWTH","FQ1 2015","FQ1 2015","Currency=INR","Period=FQ","BEST_FPERIOD_OVERRIDE=FQ","FILING_STATUS=OR","EQY_CONSOLIDATED=Y","Sort=A","Dates=H","DateFormat=P","Fill=—","Direction=H","UseDPDF=Y")</f>
        <v>#NAME?</v>
      </c>
      <c r="AA509" s="2" t="e">
        <f ca="1">_xll.BDH($C$503,"INVENTORY_GROWTH","FQ1 2015","FQ1 2015","Currency=INR","Period=FQ","BEST_FPERIOD_OVERRIDE=FQ","FILING_STATUS=OR","EQY_CONSOLIDATED=Y","Sort=A","Dates=H","DateFormat=P","Fill=—","Direction=H","UseDPDF=Y")</f>
        <v>#NAME?</v>
      </c>
      <c r="AB509" s="2" t="e">
        <f ca="1">_xll.BDH($C$503,"NET_FIXED_ASSETS_1_YEAR_GROWTH","FQ1 2015","FQ1 2015","Currency=INR","Period=FQ","BEST_FPERIOD_OVERRIDE=FQ","FILING_STATUS=OR","EQY_CONSOLIDATED=Y","Sort=A","Dates=H","DateFormat=P","Fill=—","Direction=H","UseDPDF=Y")</f>
        <v>#NAME?</v>
      </c>
      <c r="AC509" s="2" t="e">
        <f ca="1">_xll.BDH($C$503,"ASSET_GROWTH","FQ1 2015","FQ1 2015","Currency=INR","Period=FQ","BEST_FPERIOD_OVERRIDE=FQ","FILING_STATUS=OR","EQY_CONSOLIDATED=Y","Sort=A","Dates=H","DateFormat=P","Fill=—","Direction=H","UseDPDF=Y")</f>
        <v>#NAME?</v>
      </c>
      <c r="AD509" s="2" t="e">
        <f ca="1">_xll.BDH($C$503,"MODIFIED_WORK_CAP_GROWTH","FQ1 2015","FQ1 2015","Currency=INR","Period=FQ","BEST_FPERIOD_OVERRIDE=FQ","FILING_STATUS=OR","EQY_CONSOLIDATED=Y","Sort=A","Dates=H","DateFormat=P","Fill=—","Direction=H","UseDPDF=Y")</f>
        <v>#NAME?</v>
      </c>
      <c r="AE509" s="2" t="e">
        <f ca="1">_xll.BDH($C$503,"WORK_CAP_GROWTH","FQ1 2015","FQ1 2015","Currency=INR","Period=FQ","BEST_FPERIOD_OVERRIDE=FQ","FILING_STATUS=OR","EQY_CONSOLIDATED=Y","Sort=A","Dates=H","DateFormat=P","Fill=—","Direction=H","UseDPDF=Y")</f>
        <v>#NAME?</v>
      </c>
      <c r="AF509" s="2" t="e">
        <f ca="1">_xll.BDH($C$503,"ACCOUNTS_PAYABLE_GROWTH_1YR","FQ1 2015","FQ1 2015","Currency=INR","Period=FQ","BEST_FPERIOD_OVERRIDE=FQ","FILING_STATUS=OR","EQY_CONSOLIDATED=Y","Sort=A","Dates=H","DateFormat=P","Fill=—","Direction=H","UseDPDF=Y")</f>
        <v>#NAME?</v>
      </c>
      <c r="AG509" s="2" t="e">
        <f ca="1">_xll.BDH($C$503,"SHORT_TERM_DEBT_1_YEAR_GROWTH","FQ1 2015","FQ1 2015","Currency=INR","Period=FQ","BEST_FPERIOD_OVERRIDE=FQ","FILING_STATUS=OR","EQY_CONSOLIDATED=Y","Sort=A","Dates=H","DateFormat=P","Fill=—","Direction=H","UseDPDF=Y")</f>
        <v>#NAME?</v>
      </c>
      <c r="AH509" s="2" t="e">
        <f ca="1">_xll.BDH($C$503,"TOTAL_DEBT_1_YEAR_GROWTH","FQ1 2015","FQ1 2015","Currency=INR","Period=FQ","BEST_FPERIOD_OVERRIDE=FQ","FILING_STATUS=OR","EQY_CONSOLIDATED=Y","Sort=A","Dates=H","DateFormat=P","Fill=—","Direction=H","UseDPDF=Y")</f>
        <v>#NAME?</v>
      </c>
      <c r="AI509" s="2" t="e">
        <f ca="1">_xll.BDH($C$503,"TOTAL_EQUITY_1_YEAR_GROWTH","FQ1 2015","FQ1 2015","Currency=INR","Period=FQ","BEST_FPERIOD_OVERRIDE=FQ","FILING_STATUS=OR","EQY_CONSOLIDATED=Y","Sort=A","Dates=H","DateFormat=P","Fill=—","Direction=H","UseDPDF=Y")</f>
        <v>#NAME?</v>
      </c>
      <c r="AJ509" s="2" t="e">
        <f ca="1">_xll.BDH($C$503,"GROWTH_IN_CAP","FQ1 2015","FQ1 2015","Currency=INR","Period=FQ","BEST_FPERIOD_OVERRIDE=FQ","FILING_STATUS=OR","EQY_CONSOLIDATED=Y","Sort=A","Dates=H","DateFormat=P","Fill=—","Direction=H","UseDPDF=Y")</f>
        <v>#NAME?</v>
      </c>
      <c r="AK509" s="2" t="e">
        <f ca="1">_xll.BDH($C$503,"BVPS_GROWTH","FQ1 2015","FQ1 2015","Currency=INR","Period=FQ","BEST_FPERIOD_OVERRIDE=FQ","FILING_STATUS=OR","EQY_CONSOLIDATED=Y","Sort=A","Dates=H","DateFormat=P","Fill=—","Direction=H","UseDPDF=Y")</f>
        <v>#NAME?</v>
      </c>
      <c r="AL509" s="2" t="e">
        <f ca="1">_xll.BDH($C$503,"CASH_FLOW_GROWTH","FQ1 2015","FQ1 2015","Currency=INR","Period=FQ","BEST_FPERIOD_OVERRIDE=FQ","FILING_STATUS=OR","EQY_CONSOLIDATED=Y","Sort=A","Dates=H","DateFormat=P","Fill=—","Direction=H","UseDPDF=Y")</f>
        <v>#NAME?</v>
      </c>
      <c r="AM509" s="2" t="e">
        <f ca="1">_xll.BDH($C$503,"GEO_GROW_NET_SALES","FQ1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509" s="2" t="e">
        <f ca="1">_xll.BDH($C$503,"GEO_GROW_EBITDA","FQ1 2015","FQ1 2015","Currency=INR","Period=FQ","BEST_FPERIOD_OVERRIDE=FQ","FILING_STATUS=OR","EQY_CONSOLIDATED=Y","FA_ADJUSTED=GAAP","Sort=A","Dates=H","DateFormat=P","Fill=—","Direction=H","UseDPDF=Y")</f>
        <v>#NAME?</v>
      </c>
      <c r="AO509" s="2" t="e">
        <f ca="1">_xll.BDH($C$503,"GEO_GROW_OPER_INC","FQ1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509" s="2" t="e">
        <f ca="1">_xll.BDH($C$503,"NET_INCOME_TO_COMMON_5_YR_GROWTH","FQ1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509" s="2" t="e">
        <f ca="1">_xll.BDH($C$503,"5Y_GEO_GROWTH_DILUTED_EPS","FQ1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509" s="2" t="e">
        <f ca="1">_xll.BDH($C$503,"GEO_GROW_DVD_PER_SH","FQ1 2015","FQ1 2015","Currency=INR","Period=FQ","BEST_FPERIOD_OVERRIDE=FQ","FILING_STATUS=OR","EQY_CONSOLIDATED=Y","Sort=A","Dates=H","DateFormat=P","Fill=—","Direction=H","UseDPDF=Y")</f>
        <v>#NAME?</v>
      </c>
      <c r="AS509" s="2" t="e">
        <f ca="1">_xll.BDH($C$503,"ACCOUNTS_RECEIVABLE_5_YR_GROWTH","FQ1 2015","FQ1 2015","Currency=INR","Period=FQ","BEST_FPERIOD_OVERRIDE=FQ","FILING_STATUS=OR","EQY_CONSOLIDATED=Y","Sort=A","Dates=H","DateFormat=P","Fill=—","Direction=H","UseDPDF=Y")</f>
        <v>#NAME?</v>
      </c>
      <c r="AT509" s="2" t="e">
        <f ca="1">_xll.BDH($C$503,"INVENTORY_5_YEAR_GROWTH","FQ1 2015","FQ1 2015","Currency=INR","Period=FQ","BEST_FPERIOD_OVERRIDE=FQ","FILING_STATUS=OR","EQY_CONSOLIDATED=Y","Sort=A","Dates=H","DateFormat=P","Fill=—","Direction=H","UseDPDF=Y")</f>
        <v>#NAME?</v>
      </c>
      <c r="AU509" s="2" t="e">
        <f ca="1">_xll.BDH($C$503,"NET_FIXED_ASSETS_5_YEAR_GROWTH","FQ1 2015","FQ1 2015","Currency=INR","Period=FQ","BEST_FPERIOD_OVERRIDE=FQ","FILING_STATUS=OR","EQY_CONSOLIDATED=Y","Sort=A","Dates=H","DateFormat=P","Fill=—","Direction=H","UseDPDF=Y")</f>
        <v>#NAME?</v>
      </c>
      <c r="AV509" s="2" t="e">
        <f ca="1">_xll.BDH($C$503,"GEO_GROW_TOT_ASSET","FQ1 2015","FQ1 2015","Currency=INR","Period=FQ","BEST_FPERIOD_OVERRIDE=FQ","FILING_STATUS=OR","EQY_CONSOLIDATED=Y","Sort=A","Dates=H","DateFormat=P","Fill=—","Direction=H","UseDPDF=Y")</f>
        <v>#NAME?</v>
      </c>
      <c r="AW509" s="2" t="e">
        <f ca="1">_xll.BDH($C$503,"MODIFIED_WORKING_CPTL_5YR_GRWTH","FQ1 2015","FQ1 2015","Currency=INR","Period=FQ","BEST_FPERIOD_OVERRIDE=FQ","FILING_STATUS=OR","EQY_CONSOLIDATED=Y","Sort=A","Dates=H","DateFormat=P","Fill=—","Direction=H","UseDPDF=Y")</f>
        <v>#NAME?</v>
      </c>
      <c r="AX509" s="2" t="e">
        <f ca="1">_xll.BDH($C$503,"WORKING_CAPITAL_5_YEAR_GROWTH","FQ1 2015","FQ1 2015","Currency=INR","Period=FQ","BEST_FPERIOD_OVERRIDE=FQ","FILING_STATUS=OR","EQY_CONSOLIDATED=Y","Sort=A","Dates=H","DateFormat=P","Fill=—","Direction=H","UseDPDF=Y")</f>
        <v>#NAME?</v>
      </c>
      <c r="AY509" s="2" t="e">
        <f ca="1">_xll.BDH($C$503,"ACCOUNTS_PAYABLE_5_YEAR_GROWTH","FQ1 2015","FQ1 2015","Currency=INR","Period=FQ","BEST_FPERIOD_OVERRIDE=FQ","FILING_STATUS=OR","EQY_CONSOLIDATED=Y","Sort=A","Dates=H","DateFormat=P","Fill=—","Direction=H","UseDPDF=Y")</f>
        <v>#NAME?</v>
      </c>
      <c r="AZ509" s="2" t="e">
        <f ca="1">_xll.BDH($C$503,"SHORT_TERM_DEBT_5_YEAR_GROWTH","FQ1 2015","FQ1 2015","Currency=INR","Period=FQ","BEST_FPERIOD_OVERRIDE=FQ","FILING_STATUS=OR","EQY_CONSOLIDATED=Y","Sort=A","Dates=H","DateFormat=P","Fill=—","Direction=H","UseDPDF=Y")</f>
        <v>#NAME?</v>
      </c>
      <c r="BA509" s="2" t="e">
        <f ca="1">_xll.BDH($C$503,"TOTAL_DEBT_5_YEAR_GROWTH","FQ1 2015","FQ1 2015","Currency=INR","Period=FQ","BEST_FPERIOD_OVERRIDE=FQ","FILING_STATUS=OR","EQY_CONSOLIDATED=Y","Sort=A","Dates=H","DateFormat=P","Fill=—","Direction=H","UseDPDF=Y")</f>
        <v>#NAME?</v>
      </c>
      <c r="BB509" s="2" t="e">
        <f ca="1">_xll.BDH($C$503,"GEO_GROW_TOT_SHRHLDR_EQY","FQ1 2015","FQ1 2015","Currency=INR","Period=FQ","BEST_FPERIOD_OVERRIDE=FQ","FILING_STATUS=OR","EQY_CONSOLIDATED=Y","Sort=A","Dates=H","DateFormat=P","Fill=—","Direction=H","UseDPDF=Y")</f>
        <v>#NAME?</v>
      </c>
      <c r="BC509" s="2" t="e">
        <f ca="1">_xll.BDH($C$503,"TOTAL_CAPITAL_5_YEAR_GROWTH","FQ1 2015","FQ1 2015","Currency=INR","Period=FQ","BEST_FPERIOD_OVERRIDE=FQ","FILING_STATUS=OR","EQY_CONSOLIDATED=Y","Sort=A","Dates=H","DateFormat=P","Fill=—","Direction=H","UseDPDF=Y")</f>
        <v>#NAME?</v>
      </c>
      <c r="BD509" s="2" t="e">
        <f ca="1">_xll.BDH($C$503,"GEO_GROW_BOOK_VAL","FQ1 2015","FQ1 2015","Currency=INR","Period=FQ","BEST_FPERIOD_OVERRIDE=FQ","FILING_STATUS=OR","EQY_CONSOLIDATED=Y","Sort=A","Dates=H","DateFormat=P","Fill=—","Direction=H","UseDPDF=Y")</f>
        <v>#NAME?</v>
      </c>
      <c r="BE509" s="2" t="e">
        <f ca="1">_xll.BDH($C$503,"GEO_GROW_CASH_OPER_ACT","FQ1 2015","FQ1 2015","Currency=INR","Period=FQ","BEST_FPERIOD_OVERRIDE=FQ","FILING_STATUS=OR","EQY_CONSOLIDATED=Y","Sort=A","Dates=H","DateFormat=P","Fill=—","Direction=H","UseDPDF=Y")</f>
        <v>#NAME?</v>
      </c>
      <c r="BF509" s="2" t="e">
        <f ca="1">_xll.BDH($C$503,"REVENUE_SEQUENTIAL_GROWTH","FQ1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509" s="2" t="e">
        <f ca="1">_xll.BDH($C$503,"EBITDA_SEQUENTIAL_GROWTH","FQ1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509" s="2" t="e">
        <f ca="1">_xll.BDH($C$503,"OPERATING_INCOME_SEQ_GROWTH","FQ1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509" s="2" t="e">
        <f ca="1">_xll.BDH($C$503,"NET_INCOME_TO_COMMON_SEQ_GROWTH","FQ1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509" s="2" t="e">
        <f ca="1">_xll.BDH($C$503,"EPS_DILUTED_SEQUENTIAL_GROWTH","FQ1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509" s="2" t="e">
        <f ca="1">_xll.BDH($C$503,"DPS_SEQUENTIAL_GROWTH","FQ1 2015","FQ1 2015","Currency=INR","Period=FQ","BEST_FPERIOD_OVERRIDE=FQ","FILING_STATUS=OR","EQY_CONSOLIDATED=Y","Sort=A","Dates=H","DateFormat=P","Fill=—","Direction=H","UseDPDF=Y")</f>
        <v>#NAME?</v>
      </c>
      <c r="BL509" s="2" t="e">
        <f ca="1">_xll.BDH($C$503,"ACCOUNTS_RECEIVABLE_SEQ_GROWTH","FQ1 2015","FQ1 2015","Currency=INR","Period=FQ","BEST_FPERIOD_OVERRIDE=FQ","FILING_STATUS=OR","EQY_CONSOLIDATED=Y","Sort=A","Dates=H","DateFormat=P","Fill=—","Direction=H","UseDPDF=Y")</f>
        <v>#NAME?</v>
      </c>
      <c r="BM509" s="2" t="e">
        <f ca="1">_xll.BDH($C$503,"INVENTORY_SEQUENTIAL_GROWTH","FQ1 2015","FQ1 2015","Currency=INR","Period=FQ","BEST_FPERIOD_OVERRIDE=FQ","FILING_STATUS=OR","EQY_CONSOLIDATED=Y","Sort=A","Dates=H","DateFormat=P","Fill=—","Direction=H","UseDPDF=Y")</f>
        <v>#NAME?</v>
      </c>
      <c r="BN509" s="2" t="e">
        <f ca="1">_xll.BDH($C$503,"FIXED_ASSETS_SEQUENTIAL_GROWTH","FQ1 2015","FQ1 2015","Currency=INR","Period=FQ","BEST_FPERIOD_OVERRIDE=FQ","FILING_STATUS=OR","EQY_CONSOLIDATED=Y","Sort=A","Dates=H","DateFormat=P","Fill=—","Direction=H","UseDPDF=Y")</f>
        <v>#NAME?</v>
      </c>
      <c r="BO509" s="2" t="e">
        <f ca="1">_xll.BDH($C$503,"TOTAL_ASSETS_SEQUENTIAL_GROWTH","FQ1 2015","FQ1 2015","Currency=INR","Period=FQ","BEST_FPERIOD_OVERRIDE=FQ","FILING_STATUS=OR","EQY_CONSOLIDATED=Y","Sort=A","Dates=H","DateFormat=P","Fill=—","Direction=H","UseDPDF=Y")</f>
        <v>#NAME?</v>
      </c>
      <c r="BP509" s="2" t="e">
        <f ca="1">_xll.BDH($C$503,"MODIFIED_WORKING_CPTL_SEQ_GRWTH","FQ1 2015","FQ1 2015","Currency=INR","Period=FQ","BEST_FPERIOD_OVERRIDE=FQ","FILING_STATUS=OR","EQY_CONSOLIDATED=Y","Sort=A","Dates=H","DateFormat=P","Fill=—","Direction=H","UseDPDF=Y")</f>
        <v>#NAME?</v>
      </c>
      <c r="BQ509" s="2" t="e">
        <f ca="1">_xll.BDH($C$503,"WORKING_CAPITAL_SEQ_GROWTH","FQ1 2015","FQ1 2015","Currency=INR","Period=FQ","BEST_FPERIOD_OVERRIDE=FQ","FILING_STATUS=OR","EQY_CONSOLIDATED=Y","Sort=A","Dates=H","DateFormat=P","Fill=—","Direction=H","UseDPDF=Y")</f>
        <v>#NAME?</v>
      </c>
      <c r="BR509" s="2" t="e">
        <f ca="1">_xll.BDH($C$503,"ACCOUNTS_PAYABLE_SEQ_GROWTH","FQ1 2015","FQ1 2015","Currency=INR","Period=FQ","BEST_FPERIOD_OVERRIDE=FQ","FILING_STATUS=OR","EQY_CONSOLIDATED=Y","Sort=A","Dates=H","DateFormat=P","Fill=—","Direction=H","UseDPDF=Y")</f>
        <v>#NAME?</v>
      </c>
      <c r="BS509" s="2" t="e">
        <f ca="1">_xll.BDH($C$503,"ST_DEBT_SEQUENTIAL_GROWTH","FQ1 2015","FQ1 2015","Currency=INR","Period=FQ","BEST_FPERIOD_OVERRIDE=FQ","FILING_STATUS=OR","EQY_CONSOLIDATED=Y","Sort=A","Dates=H","DateFormat=P","Fill=—","Direction=H","UseDPDF=Y")</f>
        <v>#NAME?</v>
      </c>
      <c r="BT509" s="2" t="e">
        <f ca="1">_xll.BDH($C$503,"TOTAL_DEBT_SEQUENTIAL_GROWTH","FQ1 2015","FQ1 2015","Currency=INR","Period=FQ","BEST_FPERIOD_OVERRIDE=FQ","FILING_STATUS=OR","EQY_CONSOLIDATED=Y","Sort=A","Dates=H","DateFormat=P","Fill=—","Direction=H","UseDPDF=Y")</f>
        <v>#NAME?</v>
      </c>
      <c r="BU509" s="2" t="e">
        <f ca="1">_xll.BDH($C$503,"TOTAL_EQUITY_SEQUENTIAL_GROWTH","FQ1 2015","FQ1 2015","Currency=INR","Period=FQ","BEST_FPERIOD_OVERRIDE=FQ","FILING_STATUS=OR","EQY_CONSOLIDATED=Y","Sort=A","Dates=H","DateFormat=P","Fill=—","Direction=H","UseDPDF=Y")</f>
        <v>#NAME?</v>
      </c>
      <c r="BV509" s="2" t="e">
        <f ca="1">_xll.BDH($C$503,"TOTAL_CAPITAL_SEQUENTIAL_GROWTH","FQ1 2015","FQ1 2015","Currency=INR","Period=FQ","BEST_FPERIOD_OVERRIDE=FQ","FILING_STATUS=OR","EQY_CONSOLIDATED=Y","Sort=A","Dates=H","DateFormat=P","Fill=—","Direction=H","UseDPDF=Y")</f>
        <v>#NAME?</v>
      </c>
      <c r="BW509" s="2" t="e">
        <f ca="1">_xll.BDH($C$503,"BPS_SEQUENTIAL_GROWTH","FQ1 2015","FQ1 2015","Currency=INR","Period=FQ","BEST_FPERIOD_OVERRIDE=FQ","FILING_STATUS=OR","EQY_CONSOLIDATED=Y","Sort=A","Dates=H","DateFormat=P","Fill=—","Direction=H","UseDPDF=Y")</f>
        <v>#NAME?</v>
      </c>
      <c r="BX509" s="2" t="e">
        <f ca="1">_xll.BDH($C$503,"CFO_SEQUENTIAL_GROWTH","FQ1 2015","FQ1 2015","Currency=INR","Period=FQ","BEST_FPERIOD_OVERRIDE=FQ","FILING_STATUS=OR","EQY_CONSOLIDATED=Y","Sort=A","Dates=H","DateFormat=P","Fill=—","Direction=H","UseDPDF=Y")</f>
        <v>#NAME?</v>
      </c>
      <c r="BY509" s="3" t="e">
        <f ca="1">_xll.BDH($C$503,"SHORT_AND_LONG_TERM_DEBT","FQ1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509" s="3" t="e">
        <f ca="1">_xll.BDH($C$503,"BS_ST_BORROW","FQ1 2015","FQ1 2015","Currency=INR","Period=FQ","BEST_FPERIOD_OVERRIDE=FQ","FILING_STATUS=OR","EQY_CONSOLIDATED=Y","SCALING_FORMAT=MLN","Sort=A","Dates=H","DateFormat=P","Fill=—","Direction=H","UseDPDF=Y")</f>
        <v>#NAME?</v>
      </c>
      <c r="CA509" s="3" t="e">
        <f ca="1">_xll.BDH($C$503,"BS_LT_BORROW","FQ1 2015","FQ1 2015","Currency=INR","Period=FQ","BEST_FPERIOD_OVERRIDE=FQ","FILING_STATUS=OR","EQY_CONSOLIDATED=Y","SCALING_FORMAT=MLN","Sort=A","Dates=H","DateFormat=P","Fill=—","Direction=H","UseDPDF=Y")</f>
        <v>#NAME?</v>
      </c>
      <c r="CB509" s="2" t="e">
        <f ca="1">_xll.BDH($C$503,"TOT_DEBT_TO_EBITDA","FQ1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509" s="2" t="e">
        <f ca="1">_xll.BDH($C$503,"NET_DEBT_TO_EBITDA","FQ1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509" s="2" t="e">
        <f ca="1">_xll.BDH($C$503,"TOTAL_DEBT_TO_EBIT","FQ1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509" s="2" t="e">
        <f ca="1">_xll.BDH($C$503,"NET_DEBT_TO_EBIT","FQ1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509" s="2" t="e">
        <f ca="1">_xll.BDH($C$503,"EBITDA_TO_INTEREST_EXPN","FQ1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509" s="2" t="e">
        <f ca="1">_xll.BDH($C$503,"COM_EQY_TO_TOT_ASSET","FQ1 2015","FQ1 2015","Currency=INR","Period=FQ","BEST_FPERIOD_OVERRIDE=FQ","FILING_STATUS=OR","EQY_CONSOLIDATED=Y","Sort=A","Dates=H","DateFormat=P","Fill=—","Direction=H","UseDPDF=Y")</f>
        <v>#NAME?</v>
      </c>
      <c r="CH509" s="2" t="e">
        <f ca="1">_xll.BDH($C$503,"LT_DEBT_TO_TOT_EQY","FQ1 2015","FQ1 2015","Currency=INR","Period=FQ","BEST_FPERIOD_OVERRIDE=FQ","FILING_STATUS=OR","EQY_CONSOLIDATED=Y","Sort=A","Dates=H","DateFormat=P","Fill=—","Direction=H","UseDPDF=Y")</f>
        <v>#NAME?</v>
      </c>
      <c r="CI509" s="2" t="e">
        <f ca="1">_xll.BDH($C$503,"LT_DEBT_TO_TOT_CAP","FQ1 2015","FQ1 2015","Currency=INR","Period=FQ","BEST_FPERIOD_OVERRIDE=FQ","FILING_STATUS=OR","EQY_CONSOLIDATED=Y","Sort=A","Dates=H","DateFormat=P","Fill=—","Direction=H","UseDPDF=Y")</f>
        <v>#NAME?</v>
      </c>
      <c r="CJ509" s="2" t="e">
        <f ca="1">_xll.BDH($C$503,"LT_DEBT_TO_TOT_ASSET","FQ1 2015","FQ1 2015","Currency=INR","Period=FQ","BEST_FPERIOD_OVERRIDE=FQ","FILING_STATUS=OR","EQY_CONSOLIDATED=Y","Sort=A","Dates=H","DateFormat=P","Fill=—","Direction=H","UseDPDF=Y")</f>
        <v>#NAME?</v>
      </c>
      <c r="CK509" s="2" t="e">
        <f ca="1">_xll.BDH($C$503,"TOT_DEBT_TO_TOT_EQY","FQ1 2015","FQ1 2015","Currency=INR","Period=FQ","BEST_FPERIOD_OVERRIDE=FQ","FILING_STATUS=OR","EQY_CONSOLIDATED=Y","Sort=A","Dates=H","DateFormat=P","Fill=—","Direction=H","UseDPDF=Y")</f>
        <v>#NAME?</v>
      </c>
      <c r="CL509" s="2" t="e">
        <f ca="1">_xll.BDH($C$503,"TOT_DEBT_TO_TOT_CAP","FQ1 2015","FQ1 2015","Currency=INR","Period=FQ","BEST_FPERIOD_OVERRIDE=FQ","FILING_STATUS=OR","EQY_CONSOLIDATED=Y","Sort=A","Dates=H","DateFormat=P","Fill=—","Direction=H","UseDPDF=Y")</f>
        <v>#NAME?</v>
      </c>
      <c r="CM509" s="2" t="e">
        <f ca="1">_xll.BDH($C$503,"TOT_DEBT_TO_TOT_ASSET","FQ1 2015","FQ1 2015","Currency=INR","Period=FQ","BEST_FPERIOD_OVERRIDE=FQ","FILING_STATUS=OR","EQY_CONSOLIDATED=Y","Sort=A","Dates=H","DateFormat=P","Fill=—","Direction=H","UseDPDF=Y")</f>
        <v>#NAME?</v>
      </c>
      <c r="CN509" s="2" t="e">
        <f ca="1">_xll.BDH($C$503,"NET_DEBT_TO_SHRHLDR_EQTY","FQ1 2015","FQ1 2015","Currency=INR","Period=FQ","BEST_FPERIOD_OVERRIDE=FQ","FILING_STATUS=OR","EQY_CONSOLIDATED=Y","Sort=A","Dates=H","DateFormat=P","Fill=—","Direction=H","UseDPDF=Y")</f>
        <v>#NAME?</v>
      </c>
      <c r="CO509" s="2" t="e">
        <f ca="1">_xll.BDH($C$503,"NET_DEBT_%_CAPITAL","FQ1 2015","FQ1 2015","Currency=INR","Period=FQ","BEST_FPERIOD_OVERRIDE=FQ","FILING_STATUS=OR","EQY_CONSOLIDATED=Y","Sort=A","Dates=H","DateFormat=P","Fill=—","Direction=H","UseDPDF=Y")</f>
        <v>#NAME?</v>
      </c>
      <c r="CP509" s="3" t="e">
        <f ca="1">_xll.BDH($C$503,"EBITDA","FQ1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509" s="3" t="e">
        <f ca="1">_xll.BDH($C$503,"EBITDA_AFTER_CAPEX","FQ1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509" s="3" t="e">
        <f ca="1">_xll.BDH($C$503,"IS_OPER_INC","FQ1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509" s="2" t="e">
        <f ca="1">_xll.BDH($C$503,"CASH_RATIO","FQ1 2015","FQ1 2015","Currency=INR","Period=FQ","BEST_FPERIOD_OVERRIDE=FQ","FILING_STATUS=OR","EQY_CONSOLIDATED=Y","Sort=A","Dates=H","DateFormat=P","Fill=—","Direction=H","UseDPDF=Y")</f>
        <v>#NAME?</v>
      </c>
      <c r="CT509" s="2" t="e">
        <f ca="1">_xll.BDH($C$503,"CUR_RATIO","FQ1 2015","FQ1 2015","Currency=INR","Period=FQ","BEST_FPERIOD_OVERRIDE=FQ","FILING_STATUS=OR","EQY_CONSOLIDATED=Y","Sort=A","Dates=H","DateFormat=P","Fill=—","Direction=H","UseDPDF=Y")</f>
        <v>#NAME?</v>
      </c>
      <c r="CU509" s="2" t="e">
        <f ca="1">_xll.BDH($C$503,"QUICK_RATIO","FQ1 2015","FQ1 2015","Currency=INR","Period=FQ","BEST_FPERIOD_OVERRIDE=FQ","FILING_STATUS=OR","EQY_CONSOLIDATED=Y","Sort=A","Dates=H","DateFormat=P","Fill=—","Direction=H","UseDPDF=Y")</f>
        <v>#NAME?</v>
      </c>
      <c r="CV509" s="2" t="e">
        <f ca="1">_xll.BDH($C$503,"ALTMAN_Z_SCORE","FQ1 2015","FQ1 2015","Currency=INR","Period=FQ","BEST_FPERIOD_OVERRIDE=FQ","FILING_STATUS=OR","EQY_CONSOLIDATED=Y","Sort=A","Dates=H","DateFormat=P","Fill=—","Direction=H","UseDPDF=Y")</f>
        <v>#NAME?</v>
      </c>
      <c r="CW509" s="4" t="e">
        <f ca="1">_xll.BDH($C$503,"ACCT_RCV_TURN","FQ1 2015","FQ1 2015","Currency=INR","Period=FQ","BEST_FPERIOD_OVERRIDE=FQ","FILING_STATUS=OR","EQY_CONSOLIDATED=Y","FA_ADJUSTED=GAAP","Sort=A","Dates=H","DateFormat=P","Fill=—","Direction=H","UseDPDF=Y")</f>
        <v>#NAME?</v>
      </c>
      <c r="CX509" s="2" t="e">
        <f ca="1">_xll.BDH($C$503,"ACCT_RCV_DAYS","FQ1 2015","FQ1 2015","Currency=INR","Period=FQ","BEST_FPERIOD_OVERRIDE=FQ","FILING_STATUS=OR","EQY_CONSOLIDATED=Y","FA_ADJUSTED=GAAP","Sort=A","Dates=H","DateFormat=P","Fill=—","Direction=H","UseDPDF=Y")</f>
        <v>#NAME?</v>
      </c>
      <c r="CY509" s="4" t="e">
        <f ca="1">_xll.BDH($C$503,"INVENT_TURN","FQ1 2015","FQ1 2015","Currency=INR","Period=FQ","BEST_FPERIOD_OVERRIDE=FQ","FILING_STATUS=OR","EQY_CONSOLIDATED=Y","FA_ADJUSTED=GAAP","Sort=A","Dates=H","DateFormat=P","Fill=—","Direction=H","UseDPDF=Y")</f>
        <v>#NAME?</v>
      </c>
      <c r="CZ509" s="2" t="e">
        <f ca="1">_xll.BDH($C$503,"INVENT_DAYS","FQ1 2015","FQ1 2015","Currency=INR","Period=FQ","BEST_FPERIOD_OVERRIDE=FQ","FILING_STATUS=OR","EQY_CONSOLIDATED=Y","FA_ADJUSTED=GAAP","Sort=A","Dates=H","DateFormat=P","Fill=—","Direction=H","UseDPDF=Y")</f>
        <v>#NAME?</v>
      </c>
      <c r="DA509" s="4" t="e">
        <f ca="1">_xll.BDH($C$503,"ACCOUNTS_PAYABLE_TURNOVER","FQ1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509" s="2" t="e">
        <f ca="1">_xll.BDH($C$503,"ACCOUNTS_PAYABLE_TURNOVER_DAYS","FQ1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509" s="4" t="e">
        <f ca="1">_xll.BDH($C$503,"CASH_CONVERSION_CYCLE","FQ1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509" s="4" t="e">
        <f ca="1">_xll.BDH($C$503,"INV_TO_CASH_DAYS","FQ1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509" s="5" t="e">
        <f ca="1">_xll.BDH($C$503,"BS_INVENTORIES","FQ1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509" s="3" t="e">
        <f ca="1">_xll.BDH($C$503,"INVTRY_RAW_MATERIALS","FQ1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509" s="3" t="e">
        <f ca="1">_xll.BDH($C$503,"INVTRY_IN_PROGRESS","FQ1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509" s="3" t="e">
        <f ca="1">_xll.BDH($C$503,"INVTRY_FINISHED_GOODS","FQ1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509" s="3" t="e">
        <f ca="1">_xll.BDH($C$503,"BS_OTHER_INV","FQ1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510" spans="1:113" x14ac:dyDescent="0.3">
      <c r="A510" s="6"/>
      <c r="B510" s="6"/>
      <c r="C510" s="6"/>
      <c r="D510" s="6"/>
      <c r="E510" t="s">
        <v>79</v>
      </c>
      <c r="F510" t="e">
        <f ca="1">_xll.BDH($C$503,"RETURN_COM_EQY","FQ2 2015","FQ2 2015","Currency=INR","Period=FQ","BEST_FPERIOD_OVERRIDE=FQ","FILING_STATUS=OR","EQY_CONSOLIDATED=Y","FA_ADJUSTED=GAAP","Sort=A","Dates=H","DateFormat=P","Fill=—","Direction=H","UseDPDF=Y")</f>
        <v>#NAME?</v>
      </c>
      <c r="G510" t="e">
        <f ca="1">_xll.BDH($C$503,"RETURN_ON_ASSET","FQ2 2015","FQ2 2015","Currency=INR","Period=FQ","BEST_FPERIOD_OVERRIDE=FQ","FILING_STATUS=OR","EQY_CONSOLIDATED=Y","FA_ADJUSTED=GAAP","Sort=A","Dates=H","DateFormat=P","Fill=—","Direction=H","UseDPDF=Y")</f>
        <v>#NAME?</v>
      </c>
      <c r="H510" t="e">
        <f ca="1">_xll.BDH($C$503,"RETURN_ON_CAP","FQ2 2015","FQ2 2015","Currency=INR","Period=FQ","BEST_FPERIOD_OVERRIDE=FQ","FILING_STATUS=OR","EQY_CONSOLIDATED=Y","FA_ADJUSTED=GAAP","Sort=A","Dates=H","DateFormat=P","Fill=—","Direction=H","UseDPDF=Y")</f>
        <v>#NAME?</v>
      </c>
      <c r="I510" t="e">
        <f ca="1">_xll.BDH($C$503,"RETURN_ON_INV_CAPITAL","FQ2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510" t="e">
        <f ca="1">_xll.BDH($C$503,"EBITDA_TO_REVENUE","FQ2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510" t="e">
        <f ca="1">_xll.BDH($C$503,"OPER_MARGIN","FQ2 2015","FQ2 2015","Currency=INR","Period=FQ","BEST_FPERIOD_OVERRIDE=FQ","FILING_STATUS=OR","EQY_CONSOLIDATED=Y","FA_ADJUSTED=GAAP","Sort=A","Dates=H","DateFormat=P","Fill=—","Direction=H","UseDPDF=Y")</f>
        <v>#NAME?</v>
      </c>
      <c r="L510" t="e">
        <f ca="1">_xll.BDH($C$503,"INCREMENTAL_OPERATING_MARGIN","FQ2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510" t="e">
        <f ca="1">_xll.BDH($C$503,"PRETAX_INC_TO_NET_SALES","FQ2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510" t="e">
        <f ca="1">_xll.BDH($C$503,"INC_BEF_XO_ITEMS_TO_NET_SALES","FQ2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510" t="e">
        <f ca="1">_xll.BDH($C$503,"PROF_MARGIN","FQ2 2015","FQ2 2015","Currency=INR","Period=FQ","BEST_FPERIOD_OVERRIDE=FQ","FILING_STATUS=OR","EQY_CONSOLIDATED=Y","FA_ADJUSTED=GAAP","Sort=A","Dates=H","DateFormat=P","Fill=—","Direction=H","UseDPDF=Y")</f>
        <v>#NAME?</v>
      </c>
      <c r="P510" t="e">
        <f ca="1">_xll.BDH($C$503,"NET_INCOME_TO_COMMON_MARGIN","FQ2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510" t="e">
        <f ca="1">_xll.BDH($C$503,"EFF_TAX_RATE","FQ2 2015","FQ2 2015","Currency=INR","Period=FQ","BEST_FPERIOD_OVERRIDE=FQ","FILING_STATUS=OR","EQY_CONSOLIDATED=Y","FA_ADJUSTED=GAAP","Sort=A","Dates=H","DateFormat=P","Fill=—","Direction=H","UseDPDF=Y")</f>
        <v>#NAME?</v>
      </c>
      <c r="R510" t="e">
        <f ca="1">_xll.BDH($C$503,"DVD_PAYOUT_RATIO","FQ2 2015","FQ2 2015","Currency=INR","Period=FQ","BEST_FPERIOD_OVERRIDE=FQ","FILING_STATUS=OR","EQY_CONSOLIDATED=Y","FA_ADJUSTED=GAAP","Sort=A","Dates=H","DateFormat=P","Fill=—","Direction=H","UseDPDF=Y")</f>
        <v>#NAME?</v>
      </c>
      <c r="S510" t="e">
        <f ca="1">_xll.BDH($C$503,"SUSTAIN_GROWTH_RT","FQ2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510" s="2" t="e">
        <f ca="1">_xll.BDH($C$503,"SALES_GROWTH","FQ2 2015","FQ2 2015","Currency=INR","Period=FQ","BEST_FPERIOD_OVERRIDE=FQ","FILING_STATUS=OR","EQY_CONSOLIDATED=Y","FA_ADJUSTED=GAAP","Sort=A","Dates=H","DateFormat=P","Fill=—","Direction=H","UseDPDF=Y")</f>
        <v>#NAME?</v>
      </c>
      <c r="U510" s="2" t="e">
        <f ca="1">_xll.BDH($C$503,"EBITDA_GROWTH","FQ2 2015","FQ2 2015","Currency=INR","Period=FQ","BEST_FPERIOD_OVERRIDE=FQ","FILING_STATUS=OR","EQY_CONSOLIDATED=Y","FA_ADJUSTED=GAAP","Sort=A","Dates=H","DateFormat=P","Fill=—","Direction=H","UseDPDF=Y")</f>
        <v>#NAME?</v>
      </c>
      <c r="V510" s="2" t="e">
        <f ca="1">_xll.BDH($C$503,"OPER_INC_GROWTH","FQ2 2015","FQ2 2015","Currency=INR","Period=FQ","BEST_FPERIOD_OVERRIDE=FQ","FILING_STATUS=OR","EQY_CONSOLIDATED=Y","FA_ADJUSTED=GAAP","Sort=A","Dates=H","DateFormat=P","Fill=—","Direction=H","UseDPDF=Y")</f>
        <v>#NAME?</v>
      </c>
      <c r="W510" s="2" t="e">
        <f ca="1">_xll.BDH($C$503,"EARN_FOR_COM_GROWTH","FQ2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510" s="2" t="e">
        <f ca="1">_xll.BDH($C$503,"DILUTED_EPS_AFT_XO_ITEMS_GROWTH","FQ2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510" s="2" t="e">
        <f ca="1">_xll.BDH($C$503,"DIVIDEND_PER_SHARE_1_YEAR_GROWTH","FQ2 2015","FQ2 2015","Currency=INR","Period=FQ","BEST_FPERIOD_OVERRIDE=FQ","FILING_STATUS=OR","EQY_CONSOLIDATED=Y","Sort=A","Dates=H","DateFormat=P","Fill=—","Direction=H","UseDPDF=Y")</f>
        <v>#NAME?</v>
      </c>
      <c r="Z510" s="2" t="e">
        <f ca="1">_xll.BDH($C$503,"ACCOUNTS_RECEIVABLE_GROWTH","FQ2 2015","FQ2 2015","Currency=INR","Period=FQ","BEST_FPERIOD_OVERRIDE=FQ","FILING_STATUS=OR","EQY_CONSOLIDATED=Y","Sort=A","Dates=H","DateFormat=P","Fill=—","Direction=H","UseDPDF=Y")</f>
        <v>#NAME?</v>
      </c>
      <c r="AA510" s="2" t="e">
        <f ca="1">_xll.BDH($C$503,"INVENTORY_GROWTH","FQ2 2015","FQ2 2015","Currency=INR","Period=FQ","BEST_FPERIOD_OVERRIDE=FQ","FILING_STATUS=OR","EQY_CONSOLIDATED=Y","Sort=A","Dates=H","DateFormat=P","Fill=—","Direction=H","UseDPDF=Y")</f>
        <v>#NAME?</v>
      </c>
      <c r="AB510" s="2" t="e">
        <f ca="1">_xll.BDH($C$503,"NET_FIXED_ASSETS_1_YEAR_GROWTH","FQ2 2015","FQ2 2015","Currency=INR","Period=FQ","BEST_FPERIOD_OVERRIDE=FQ","FILING_STATUS=OR","EQY_CONSOLIDATED=Y","Sort=A","Dates=H","DateFormat=P","Fill=—","Direction=H","UseDPDF=Y")</f>
        <v>#NAME?</v>
      </c>
      <c r="AC510" s="2" t="e">
        <f ca="1">_xll.BDH($C$503,"ASSET_GROWTH","FQ2 2015","FQ2 2015","Currency=INR","Period=FQ","BEST_FPERIOD_OVERRIDE=FQ","FILING_STATUS=OR","EQY_CONSOLIDATED=Y","Sort=A","Dates=H","DateFormat=P","Fill=—","Direction=H","UseDPDF=Y")</f>
        <v>#NAME?</v>
      </c>
      <c r="AD510" s="2" t="e">
        <f ca="1">_xll.BDH($C$503,"MODIFIED_WORK_CAP_GROWTH","FQ2 2015","FQ2 2015","Currency=INR","Period=FQ","BEST_FPERIOD_OVERRIDE=FQ","FILING_STATUS=OR","EQY_CONSOLIDATED=Y","Sort=A","Dates=H","DateFormat=P","Fill=—","Direction=H","UseDPDF=Y")</f>
        <v>#NAME?</v>
      </c>
      <c r="AE510" s="2" t="e">
        <f ca="1">_xll.BDH($C$503,"WORK_CAP_GROWTH","FQ2 2015","FQ2 2015","Currency=INR","Period=FQ","BEST_FPERIOD_OVERRIDE=FQ","FILING_STATUS=OR","EQY_CONSOLIDATED=Y","Sort=A","Dates=H","DateFormat=P","Fill=—","Direction=H","UseDPDF=Y")</f>
        <v>#NAME?</v>
      </c>
      <c r="AF510" s="2" t="e">
        <f ca="1">_xll.BDH($C$503,"ACCOUNTS_PAYABLE_GROWTH_1YR","FQ2 2015","FQ2 2015","Currency=INR","Period=FQ","BEST_FPERIOD_OVERRIDE=FQ","FILING_STATUS=OR","EQY_CONSOLIDATED=Y","Sort=A","Dates=H","DateFormat=P","Fill=—","Direction=H","UseDPDF=Y")</f>
        <v>#NAME?</v>
      </c>
      <c r="AG510" s="2" t="e">
        <f ca="1">_xll.BDH($C$503,"SHORT_TERM_DEBT_1_YEAR_GROWTH","FQ2 2015","FQ2 2015","Currency=INR","Period=FQ","BEST_FPERIOD_OVERRIDE=FQ","FILING_STATUS=OR","EQY_CONSOLIDATED=Y","Sort=A","Dates=H","DateFormat=P","Fill=—","Direction=H","UseDPDF=Y")</f>
        <v>#NAME?</v>
      </c>
      <c r="AH510" s="2" t="e">
        <f ca="1">_xll.BDH($C$503,"TOTAL_DEBT_1_YEAR_GROWTH","FQ2 2015","FQ2 2015","Currency=INR","Period=FQ","BEST_FPERIOD_OVERRIDE=FQ","FILING_STATUS=OR","EQY_CONSOLIDATED=Y","Sort=A","Dates=H","DateFormat=P","Fill=—","Direction=H","UseDPDF=Y")</f>
        <v>#NAME?</v>
      </c>
      <c r="AI510" s="2" t="e">
        <f ca="1">_xll.BDH($C$503,"TOTAL_EQUITY_1_YEAR_GROWTH","FQ2 2015","FQ2 2015","Currency=INR","Period=FQ","BEST_FPERIOD_OVERRIDE=FQ","FILING_STATUS=OR","EQY_CONSOLIDATED=Y","Sort=A","Dates=H","DateFormat=P","Fill=—","Direction=H","UseDPDF=Y")</f>
        <v>#NAME?</v>
      </c>
      <c r="AJ510" s="2" t="e">
        <f ca="1">_xll.BDH($C$503,"GROWTH_IN_CAP","FQ2 2015","FQ2 2015","Currency=INR","Period=FQ","BEST_FPERIOD_OVERRIDE=FQ","FILING_STATUS=OR","EQY_CONSOLIDATED=Y","Sort=A","Dates=H","DateFormat=P","Fill=—","Direction=H","UseDPDF=Y")</f>
        <v>#NAME?</v>
      </c>
      <c r="AK510" s="2" t="e">
        <f ca="1">_xll.BDH($C$503,"BVPS_GROWTH","FQ2 2015","FQ2 2015","Currency=INR","Period=FQ","BEST_FPERIOD_OVERRIDE=FQ","FILING_STATUS=OR","EQY_CONSOLIDATED=Y","Sort=A","Dates=H","DateFormat=P","Fill=—","Direction=H","UseDPDF=Y")</f>
        <v>#NAME?</v>
      </c>
      <c r="AL510" s="2" t="e">
        <f ca="1">_xll.BDH($C$503,"CASH_FLOW_GROWTH","FQ2 2015","FQ2 2015","Currency=INR","Period=FQ","BEST_FPERIOD_OVERRIDE=FQ","FILING_STATUS=OR","EQY_CONSOLIDATED=Y","Sort=A","Dates=H","DateFormat=P","Fill=—","Direction=H","UseDPDF=Y")</f>
        <v>#NAME?</v>
      </c>
      <c r="AM510" s="2" t="e">
        <f ca="1">_xll.BDH($C$503,"GEO_GROW_NET_SALES","FQ2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510" s="2" t="e">
        <f ca="1">_xll.BDH($C$503,"GEO_GROW_EBITDA","FQ2 2015","FQ2 2015","Currency=INR","Period=FQ","BEST_FPERIOD_OVERRIDE=FQ","FILING_STATUS=OR","EQY_CONSOLIDATED=Y","FA_ADJUSTED=GAAP","Sort=A","Dates=H","DateFormat=P","Fill=—","Direction=H","UseDPDF=Y")</f>
        <v>#NAME?</v>
      </c>
      <c r="AO510" s="2" t="e">
        <f ca="1">_xll.BDH($C$503,"GEO_GROW_OPER_INC","FQ2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510" s="2" t="e">
        <f ca="1">_xll.BDH($C$503,"NET_INCOME_TO_COMMON_5_YR_GROWTH","FQ2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510" s="2" t="e">
        <f ca="1">_xll.BDH($C$503,"5Y_GEO_GROWTH_DILUTED_EPS","FQ2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510" s="2" t="e">
        <f ca="1">_xll.BDH($C$503,"GEO_GROW_DVD_PER_SH","FQ2 2015","FQ2 2015","Currency=INR","Period=FQ","BEST_FPERIOD_OVERRIDE=FQ","FILING_STATUS=OR","EQY_CONSOLIDATED=Y","Sort=A","Dates=H","DateFormat=P","Fill=—","Direction=H","UseDPDF=Y")</f>
        <v>#NAME?</v>
      </c>
      <c r="AS510" s="2" t="e">
        <f ca="1">_xll.BDH($C$503,"ACCOUNTS_RECEIVABLE_5_YR_GROWTH","FQ2 2015","FQ2 2015","Currency=INR","Period=FQ","BEST_FPERIOD_OVERRIDE=FQ","FILING_STATUS=OR","EQY_CONSOLIDATED=Y","Sort=A","Dates=H","DateFormat=P","Fill=—","Direction=H","UseDPDF=Y")</f>
        <v>#NAME?</v>
      </c>
      <c r="AT510" s="2" t="e">
        <f ca="1">_xll.BDH($C$503,"INVENTORY_5_YEAR_GROWTH","FQ2 2015","FQ2 2015","Currency=INR","Period=FQ","BEST_FPERIOD_OVERRIDE=FQ","FILING_STATUS=OR","EQY_CONSOLIDATED=Y","Sort=A","Dates=H","DateFormat=P","Fill=—","Direction=H","UseDPDF=Y")</f>
        <v>#NAME?</v>
      </c>
      <c r="AU510" s="2" t="e">
        <f ca="1">_xll.BDH($C$503,"NET_FIXED_ASSETS_5_YEAR_GROWTH","FQ2 2015","FQ2 2015","Currency=INR","Period=FQ","BEST_FPERIOD_OVERRIDE=FQ","FILING_STATUS=OR","EQY_CONSOLIDATED=Y","Sort=A","Dates=H","DateFormat=P","Fill=—","Direction=H","UseDPDF=Y")</f>
        <v>#NAME?</v>
      </c>
      <c r="AV510" s="2" t="e">
        <f ca="1">_xll.BDH($C$503,"GEO_GROW_TOT_ASSET","FQ2 2015","FQ2 2015","Currency=INR","Period=FQ","BEST_FPERIOD_OVERRIDE=FQ","FILING_STATUS=OR","EQY_CONSOLIDATED=Y","Sort=A","Dates=H","DateFormat=P","Fill=—","Direction=H","UseDPDF=Y")</f>
        <v>#NAME?</v>
      </c>
      <c r="AW510" s="2" t="e">
        <f ca="1">_xll.BDH($C$503,"MODIFIED_WORKING_CPTL_5YR_GRWTH","FQ2 2015","FQ2 2015","Currency=INR","Period=FQ","BEST_FPERIOD_OVERRIDE=FQ","FILING_STATUS=OR","EQY_CONSOLIDATED=Y","Sort=A","Dates=H","DateFormat=P","Fill=—","Direction=H","UseDPDF=Y")</f>
        <v>#NAME?</v>
      </c>
      <c r="AX510" s="2" t="e">
        <f ca="1">_xll.BDH($C$503,"WORKING_CAPITAL_5_YEAR_GROWTH","FQ2 2015","FQ2 2015","Currency=INR","Period=FQ","BEST_FPERIOD_OVERRIDE=FQ","FILING_STATUS=OR","EQY_CONSOLIDATED=Y","Sort=A","Dates=H","DateFormat=P","Fill=—","Direction=H","UseDPDF=Y")</f>
        <v>#NAME?</v>
      </c>
      <c r="AY510" s="2" t="e">
        <f ca="1">_xll.BDH($C$503,"ACCOUNTS_PAYABLE_5_YEAR_GROWTH","FQ2 2015","FQ2 2015","Currency=INR","Period=FQ","BEST_FPERIOD_OVERRIDE=FQ","FILING_STATUS=OR","EQY_CONSOLIDATED=Y","Sort=A","Dates=H","DateFormat=P","Fill=—","Direction=H","UseDPDF=Y")</f>
        <v>#NAME?</v>
      </c>
      <c r="AZ510" s="2" t="e">
        <f ca="1">_xll.BDH($C$503,"SHORT_TERM_DEBT_5_YEAR_GROWTH","FQ2 2015","FQ2 2015","Currency=INR","Period=FQ","BEST_FPERIOD_OVERRIDE=FQ","FILING_STATUS=OR","EQY_CONSOLIDATED=Y","Sort=A","Dates=H","DateFormat=P","Fill=—","Direction=H","UseDPDF=Y")</f>
        <v>#NAME?</v>
      </c>
      <c r="BA510" s="2" t="e">
        <f ca="1">_xll.BDH($C$503,"TOTAL_DEBT_5_YEAR_GROWTH","FQ2 2015","FQ2 2015","Currency=INR","Period=FQ","BEST_FPERIOD_OVERRIDE=FQ","FILING_STATUS=OR","EQY_CONSOLIDATED=Y","Sort=A","Dates=H","DateFormat=P","Fill=—","Direction=H","UseDPDF=Y")</f>
        <v>#NAME?</v>
      </c>
      <c r="BB510" s="2" t="e">
        <f ca="1">_xll.BDH($C$503,"GEO_GROW_TOT_SHRHLDR_EQY","FQ2 2015","FQ2 2015","Currency=INR","Period=FQ","BEST_FPERIOD_OVERRIDE=FQ","FILING_STATUS=OR","EQY_CONSOLIDATED=Y","Sort=A","Dates=H","DateFormat=P","Fill=—","Direction=H","UseDPDF=Y")</f>
        <v>#NAME?</v>
      </c>
      <c r="BC510" s="2" t="e">
        <f ca="1">_xll.BDH($C$503,"TOTAL_CAPITAL_5_YEAR_GROWTH","FQ2 2015","FQ2 2015","Currency=INR","Period=FQ","BEST_FPERIOD_OVERRIDE=FQ","FILING_STATUS=OR","EQY_CONSOLIDATED=Y","Sort=A","Dates=H","DateFormat=P","Fill=—","Direction=H","UseDPDF=Y")</f>
        <v>#NAME?</v>
      </c>
      <c r="BD510" s="2" t="e">
        <f ca="1">_xll.BDH($C$503,"GEO_GROW_BOOK_VAL","FQ2 2015","FQ2 2015","Currency=INR","Period=FQ","BEST_FPERIOD_OVERRIDE=FQ","FILING_STATUS=OR","EQY_CONSOLIDATED=Y","Sort=A","Dates=H","DateFormat=P","Fill=—","Direction=H","UseDPDF=Y")</f>
        <v>#NAME?</v>
      </c>
      <c r="BE510" s="2" t="e">
        <f ca="1">_xll.BDH($C$503,"GEO_GROW_CASH_OPER_ACT","FQ2 2015","FQ2 2015","Currency=INR","Period=FQ","BEST_FPERIOD_OVERRIDE=FQ","FILING_STATUS=OR","EQY_CONSOLIDATED=Y","Sort=A","Dates=H","DateFormat=P","Fill=—","Direction=H","UseDPDF=Y")</f>
        <v>#NAME?</v>
      </c>
      <c r="BF510" s="2" t="e">
        <f ca="1">_xll.BDH($C$503,"REVENUE_SEQUENTIAL_GROWTH","FQ2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510" s="2" t="e">
        <f ca="1">_xll.BDH($C$503,"EBITDA_SEQUENTIAL_GROWTH","FQ2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510" s="2" t="e">
        <f ca="1">_xll.BDH($C$503,"OPERATING_INCOME_SEQ_GROWTH","FQ2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510" s="2" t="e">
        <f ca="1">_xll.BDH($C$503,"NET_INCOME_TO_COMMON_SEQ_GROWTH","FQ2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510" s="2" t="e">
        <f ca="1">_xll.BDH($C$503,"EPS_DILUTED_SEQUENTIAL_GROWTH","FQ2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510" s="2" t="e">
        <f ca="1">_xll.BDH($C$503,"DPS_SEQUENTIAL_GROWTH","FQ2 2015","FQ2 2015","Currency=INR","Period=FQ","BEST_FPERIOD_OVERRIDE=FQ","FILING_STATUS=OR","EQY_CONSOLIDATED=Y","Sort=A","Dates=H","DateFormat=P","Fill=—","Direction=H","UseDPDF=Y")</f>
        <v>#NAME?</v>
      </c>
      <c r="BL510" s="2" t="e">
        <f ca="1">_xll.BDH($C$503,"ACCOUNTS_RECEIVABLE_SEQ_GROWTH","FQ2 2015","FQ2 2015","Currency=INR","Period=FQ","BEST_FPERIOD_OVERRIDE=FQ","FILING_STATUS=OR","EQY_CONSOLIDATED=Y","Sort=A","Dates=H","DateFormat=P","Fill=—","Direction=H","UseDPDF=Y")</f>
        <v>#NAME?</v>
      </c>
      <c r="BM510" s="2" t="e">
        <f ca="1">_xll.BDH($C$503,"INVENTORY_SEQUENTIAL_GROWTH","FQ2 2015","FQ2 2015","Currency=INR","Period=FQ","BEST_FPERIOD_OVERRIDE=FQ","FILING_STATUS=OR","EQY_CONSOLIDATED=Y","Sort=A","Dates=H","DateFormat=P","Fill=—","Direction=H","UseDPDF=Y")</f>
        <v>#NAME?</v>
      </c>
      <c r="BN510" s="2" t="e">
        <f ca="1">_xll.BDH($C$503,"FIXED_ASSETS_SEQUENTIAL_GROWTH","FQ2 2015","FQ2 2015","Currency=INR","Period=FQ","BEST_FPERIOD_OVERRIDE=FQ","FILING_STATUS=OR","EQY_CONSOLIDATED=Y","Sort=A","Dates=H","DateFormat=P","Fill=—","Direction=H","UseDPDF=Y")</f>
        <v>#NAME?</v>
      </c>
      <c r="BO510" s="2" t="e">
        <f ca="1">_xll.BDH($C$503,"TOTAL_ASSETS_SEQUENTIAL_GROWTH","FQ2 2015","FQ2 2015","Currency=INR","Period=FQ","BEST_FPERIOD_OVERRIDE=FQ","FILING_STATUS=OR","EQY_CONSOLIDATED=Y","Sort=A","Dates=H","DateFormat=P","Fill=—","Direction=H","UseDPDF=Y")</f>
        <v>#NAME?</v>
      </c>
      <c r="BP510" s="2" t="e">
        <f ca="1">_xll.BDH($C$503,"MODIFIED_WORKING_CPTL_SEQ_GRWTH","FQ2 2015","FQ2 2015","Currency=INR","Period=FQ","BEST_FPERIOD_OVERRIDE=FQ","FILING_STATUS=OR","EQY_CONSOLIDATED=Y","Sort=A","Dates=H","DateFormat=P","Fill=—","Direction=H","UseDPDF=Y")</f>
        <v>#NAME?</v>
      </c>
      <c r="BQ510" s="2" t="e">
        <f ca="1">_xll.BDH($C$503,"WORKING_CAPITAL_SEQ_GROWTH","FQ2 2015","FQ2 2015","Currency=INR","Period=FQ","BEST_FPERIOD_OVERRIDE=FQ","FILING_STATUS=OR","EQY_CONSOLIDATED=Y","Sort=A","Dates=H","DateFormat=P","Fill=—","Direction=H","UseDPDF=Y")</f>
        <v>#NAME?</v>
      </c>
      <c r="BR510" s="2" t="e">
        <f ca="1">_xll.BDH($C$503,"ACCOUNTS_PAYABLE_SEQ_GROWTH","FQ2 2015","FQ2 2015","Currency=INR","Period=FQ","BEST_FPERIOD_OVERRIDE=FQ","FILING_STATUS=OR","EQY_CONSOLIDATED=Y","Sort=A","Dates=H","DateFormat=P","Fill=—","Direction=H","UseDPDF=Y")</f>
        <v>#NAME?</v>
      </c>
      <c r="BS510" s="2" t="e">
        <f ca="1">_xll.BDH($C$503,"ST_DEBT_SEQUENTIAL_GROWTH","FQ2 2015","FQ2 2015","Currency=INR","Period=FQ","BEST_FPERIOD_OVERRIDE=FQ","FILING_STATUS=OR","EQY_CONSOLIDATED=Y","Sort=A","Dates=H","DateFormat=P","Fill=—","Direction=H","UseDPDF=Y")</f>
        <v>#NAME?</v>
      </c>
      <c r="BT510" s="2" t="e">
        <f ca="1">_xll.BDH($C$503,"TOTAL_DEBT_SEQUENTIAL_GROWTH","FQ2 2015","FQ2 2015","Currency=INR","Period=FQ","BEST_FPERIOD_OVERRIDE=FQ","FILING_STATUS=OR","EQY_CONSOLIDATED=Y","Sort=A","Dates=H","DateFormat=P","Fill=—","Direction=H","UseDPDF=Y")</f>
        <v>#NAME?</v>
      </c>
      <c r="BU510" s="2" t="e">
        <f ca="1">_xll.BDH($C$503,"TOTAL_EQUITY_SEQUENTIAL_GROWTH","FQ2 2015","FQ2 2015","Currency=INR","Period=FQ","BEST_FPERIOD_OVERRIDE=FQ","FILING_STATUS=OR","EQY_CONSOLIDATED=Y","Sort=A","Dates=H","DateFormat=P","Fill=—","Direction=H","UseDPDF=Y")</f>
        <v>#NAME?</v>
      </c>
      <c r="BV510" s="2" t="e">
        <f ca="1">_xll.BDH($C$503,"TOTAL_CAPITAL_SEQUENTIAL_GROWTH","FQ2 2015","FQ2 2015","Currency=INR","Period=FQ","BEST_FPERIOD_OVERRIDE=FQ","FILING_STATUS=OR","EQY_CONSOLIDATED=Y","Sort=A","Dates=H","DateFormat=P","Fill=—","Direction=H","UseDPDF=Y")</f>
        <v>#NAME?</v>
      </c>
      <c r="BW510" s="2" t="e">
        <f ca="1">_xll.BDH($C$503,"BPS_SEQUENTIAL_GROWTH","FQ2 2015","FQ2 2015","Currency=INR","Period=FQ","BEST_FPERIOD_OVERRIDE=FQ","FILING_STATUS=OR","EQY_CONSOLIDATED=Y","Sort=A","Dates=H","DateFormat=P","Fill=—","Direction=H","UseDPDF=Y")</f>
        <v>#NAME?</v>
      </c>
      <c r="BX510" s="2" t="e">
        <f ca="1">_xll.BDH($C$503,"CFO_SEQUENTIAL_GROWTH","FQ2 2015","FQ2 2015","Currency=INR","Period=FQ","BEST_FPERIOD_OVERRIDE=FQ","FILING_STATUS=OR","EQY_CONSOLIDATED=Y","Sort=A","Dates=H","DateFormat=P","Fill=—","Direction=H","UseDPDF=Y")</f>
        <v>#NAME?</v>
      </c>
      <c r="BY510" s="3" t="e">
        <f ca="1">_xll.BDH($C$503,"SHORT_AND_LONG_TERM_DEBT","FQ2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510" s="3" t="e">
        <f ca="1">_xll.BDH($C$503,"BS_ST_BORROW","FQ2 2015","FQ2 2015","Currency=INR","Period=FQ","BEST_FPERIOD_OVERRIDE=FQ","FILING_STATUS=OR","EQY_CONSOLIDATED=Y","SCALING_FORMAT=MLN","Sort=A","Dates=H","DateFormat=P","Fill=—","Direction=H","UseDPDF=Y")</f>
        <v>#NAME?</v>
      </c>
      <c r="CA510" s="3" t="e">
        <f ca="1">_xll.BDH($C$503,"BS_LT_BORROW","FQ2 2015","FQ2 2015","Currency=INR","Period=FQ","BEST_FPERIOD_OVERRIDE=FQ","FILING_STATUS=OR","EQY_CONSOLIDATED=Y","SCALING_FORMAT=MLN","Sort=A","Dates=H","DateFormat=P","Fill=—","Direction=H","UseDPDF=Y")</f>
        <v>#NAME?</v>
      </c>
      <c r="CB510" s="2" t="e">
        <f ca="1">_xll.BDH($C$503,"TOT_DEBT_TO_EBITDA","FQ2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510" s="2" t="e">
        <f ca="1">_xll.BDH($C$503,"NET_DEBT_TO_EBITDA","FQ2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510" s="2" t="e">
        <f ca="1">_xll.BDH($C$503,"TOTAL_DEBT_TO_EBIT","FQ2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510" s="2" t="e">
        <f ca="1">_xll.BDH($C$503,"NET_DEBT_TO_EBIT","FQ2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510" s="2" t="e">
        <f ca="1">_xll.BDH($C$503,"EBITDA_TO_INTEREST_EXPN","FQ2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510" s="2" t="e">
        <f ca="1">_xll.BDH($C$503,"COM_EQY_TO_TOT_ASSET","FQ2 2015","FQ2 2015","Currency=INR","Period=FQ","BEST_FPERIOD_OVERRIDE=FQ","FILING_STATUS=OR","EQY_CONSOLIDATED=Y","Sort=A","Dates=H","DateFormat=P","Fill=—","Direction=H","UseDPDF=Y")</f>
        <v>#NAME?</v>
      </c>
      <c r="CH510" s="2" t="e">
        <f ca="1">_xll.BDH($C$503,"LT_DEBT_TO_TOT_EQY","FQ2 2015","FQ2 2015","Currency=INR","Period=FQ","BEST_FPERIOD_OVERRIDE=FQ","FILING_STATUS=OR","EQY_CONSOLIDATED=Y","Sort=A","Dates=H","DateFormat=P","Fill=—","Direction=H","UseDPDF=Y")</f>
        <v>#NAME?</v>
      </c>
      <c r="CI510" s="2" t="e">
        <f ca="1">_xll.BDH($C$503,"LT_DEBT_TO_TOT_CAP","FQ2 2015","FQ2 2015","Currency=INR","Period=FQ","BEST_FPERIOD_OVERRIDE=FQ","FILING_STATUS=OR","EQY_CONSOLIDATED=Y","Sort=A","Dates=H","DateFormat=P","Fill=—","Direction=H","UseDPDF=Y")</f>
        <v>#NAME?</v>
      </c>
      <c r="CJ510" s="2" t="e">
        <f ca="1">_xll.BDH($C$503,"LT_DEBT_TO_TOT_ASSET","FQ2 2015","FQ2 2015","Currency=INR","Period=FQ","BEST_FPERIOD_OVERRIDE=FQ","FILING_STATUS=OR","EQY_CONSOLIDATED=Y","Sort=A","Dates=H","DateFormat=P","Fill=—","Direction=H","UseDPDF=Y")</f>
        <v>#NAME?</v>
      </c>
      <c r="CK510" s="2" t="e">
        <f ca="1">_xll.BDH($C$503,"TOT_DEBT_TO_TOT_EQY","FQ2 2015","FQ2 2015","Currency=INR","Period=FQ","BEST_FPERIOD_OVERRIDE=FQ","FILING_STATUS=OR","EQY_CONSOLIDATED=Y","Sort=A","Dates=H","DateFormat=P","Fill=—","Direction=H","UseDPDF=Y")</f>
        <v>#NAME?</v>
      </c>
      <c r="CL510" s="2" t="e">
        <f ca="1">_xll.BDH($C$503,"TOT_DEBT_TO_TOT_CAP","FQ2 2015","FQ2 2015","Currency=INR","Period=FQ","BEST_FPERIOD_OVERRIDE=FQ","FILING_STATUS=OR","EQY_CONSOLIDATED=Y","Sort=A","Dates=H","DateFormat=P","Fill=—","Direction=H","UseDPDF=Y")</f>
        <v>#NAME?</v>
      </c>
      <c r="CM510" s="2" t="e">
        <f ca="1">_xll.BDH($C$503,"TOT_DEBT_TO_TOT_ASSET","FQ2 2015","FQ2 2015","Currency=INR","Period=FQ","BEST_FPERIOD_OVERRIDE=FQ","FILING_STATUS=OR","EQY_CONSOLIDATED=Y","Sort=A","Dates=H","DateFormat=P","Fill=—","Direction=H","UseDPDF=Y")</f>
        <v>#NAME?</v>
      </c>
      <c r="CN510" s="2" t="e">
        <f ca="1">_xll.BDH($C$503,"NET_DEBT_TO_SHRHLDR_EQTY","FQ2 2015","FQ2 2015","Currency=INR","Period=FQ","BEST_FPERIOD_OVERRIDE=FQ","FILING_STATUS=OR","EQY_CONSOLIDATED=Y","Sort=A","Dates=H","DateFormat=P","Fill=—","Direction=H","UseDPDF=Y")</f>
        <v>#NAME?</v>
      </c>
      <c r="CO510" s="2" t="e">
        <f ca="1">_xll.BDH($C$503,"NET_DEBT_%_CAPITAL","FQ2 2015","FQ2 2015","Currency=INR","Period=FQ","BEST_FPERIOD_OVERRIDE=FQ","FILING_STATUS=OR","EQY_CONSOLIDATED=Y","Sort=A","Dates=H","DateFormat=P","Fill=—","Direction=H","UseDPDF=Y")</f>
        <v>#NAME?</v>
      </c>
      <c r="CP510" s="3" t="e">
        <f ca="1">_xll.BDH($C$503,"EBITDA","FQ2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510" s="3" t="e">
        <f ca="1">_xll.BDH($C$503,"EBITDA_AFTER_CAPEX","FQ2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510" s="3" t="e">
        <f ca="1">_xll.BDH($C$503,"IS_OPER_INC","FQ2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510" s="2" t="e">
        <f ca="1">_xll.BDH($C$503,"CASH_RATIO","FQ2 2015","FQ2 2015","Currency=INR","Period=FQ","BEST_FPERIOD_OVERRIDE=FQ","FILING_STATUS=OR","EQY_CONSOLIDATED=Y","Sort=A","Dates=H","DateFormat=P","Fill=—","Direction=H","UseDPDF=Y")</f>
        <v>#NAME?</v>
      </c>
      <c r="CT510" s="2" t="e">
        <f ca="1">_xll.BDH($C$503,"CUR_RATIO","FQ2 2015","FQ2 2015","Currency=INR","Period=FQ","BEST_FPERIOD_OVERRIDE=FQ","FILING_STATUS=OR","EQY_CONSOLIDATED=Y","Sort=A","Dates=H","DateFormat=P","Fill=—","Direction=H","UseDPDF=Y")</f>
        <v>#NAME?</v>
      </c>
      <c r="CU510" s="2" t="e">
        <f ca="1">_xll.BDH($C$503,"QUICK_RATIO","FQ2 2015","FQ2 2015","Currency=INR","Period=FQ","BEST_FPERIOD_OVERRIDE=FQ","FILING_STATUS=OR","EQY_CONSOLIDATED=Y","Sort=A","Dates=H","DateFormat=P","Fill=—","Direction=H","UseDPDF=Y")</f>
        <v>#NAME?</v>
      </c>
      <c r="CV510" s="2" t="e">
        <f ca="1">_xll.BDH($C$503,"ALTMAN_Z_SCORE","FQ2 2015","FQ2 2015","Currency=INR","Period=FQ","BEST_FPERIOD_OVERRIDE=FQ","FILING_STATUS=OR","EQY_CONSOLIDATED=Y","Sort=A","Dates=H","DateFormat=P","Fill=—","Direction=H","UseDPDF=Y")</f>
        <v>#NAME?</v>
      </c>
      <c r="CW510" s="4" t="e">
        <f ca="1">_xll.BDH($C$503,"ACCT_RCV_TURN","FQ2 2015","FQ2 2015","Currency=INR","Period=FQ","BEST_FPERIOD_OVERRIDE=FQ","FILING_STATUS=OR","EQY_CONSOLIDATED=Y","FA_ADJUSTED=GAAP","Sort=A","Dates=H","DateFormat=P","Fill=—","Direction=H","UseDPDF=Y")</f>
        <v>#NAME?</v>
      </c>
      <c r="CX510" s="2" t="e">
        <f ca="1">_xll.BDH($C$503,"ACCT_RCV_DAYS","FQ2 2015","FQ2 2015","Currency=INR","Period=FQ","BEST_FPERIOD_OVERRIDE=FQ","FILING_STATUS=OR","EQY_CONSOLIDATED=Y","FA_ADJUSTED=GAAP","Sort=A","Dates=H","DateFormat=P","Fill=—","Direction=H","UseDPDF=Y")</f>
        <v>#NAME?</v>
      </c>
      <c r="CY510" s="4" t="e">
        <f ca="1">_xll.BDH($C$503,"INVENT_TURN","FQ2 2015","FQ2 2015","Currency=INR","Period=FQ","BEST_FPERIOD_OVERRIDE=FQ","FILING_STATUS=OR","EQY_CONSOLIDATED=Y","FA_ADJUSTED=GAAP","Sort=A","Dates=H","DateFormat=P","Fill=—","Direction=H","UseDPDF=Y")</f>
        <v>#NAME?</v>
      </c>
      <c r="CZ510" s="2" t="e">
        <f ca="1">_xll.BDH($C$503,"INVENT_DAYS","FQ2 2015","FQ2 2015","Currency=INR","Period=FQ","BEST_FPERIOD_OVERRIDE=FQ","FILING_STATUS=OR","EQY_CONSOLIDATED=Y","FA_ADJUSTED=GAAP","Sort=A","Dates=H","DateFormat=P","Fill=—","Direction=H","UseDPDF=Y")</f>
        <v>#NAME?</v>
      </c>
      <c r="DA510" s="4" t="e">
        <f ca="1">_xll.BDH($C$503,"ACCOUNTS_PAYABLE_TURNOVER","FQ2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510" s="2" t="e">
        <f ca="1">_xll.BDH($C$503,"ACCOUNTS_PAYABLE_TURNOVER_DAYS","FQ2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510" s="4" t="e">
        <f ca="1">_xll.BDH($C$503,"CASH_CONVERSION_CYCLE","FQ2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510" s="4" t="e">
        <f ca="1">_xll.BDH($C$503,"INV_TO_CASH_DAYS","FQ2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510" s="5" t="e">
        <f ca="1">_xll.BDH($C$503,"BS_INVENTORIES","FQ2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510" s="3" t="e">
        <f ca="1">_xll.BDH($C$503,"INVTRY_RAW_MATERIALS","FQ2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510" s="3" t="e">
        <f ca="1">_xll.BDH($C$503,"INVTRY_IN_PROGRESS","FQ2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510" s="3" t="e">
        <f ca="1">_xll.BDH($C$503,"INVTRY_FINISHED_GOODS","FQ2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510" s="3" t="e">
        <f ca="1">_xll.BDH($C$503,"BS_OTHER_INV","FQ2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511" spans="1:113" x14ac:dyDescent="0.3">
      <c r="A511" s="6"/>
      <c r="B511" s="6"/>
      <c r="C511" s="6"/>
      <c r="D511" s="6"/>
      <c r="E511" t="s">
        <v>80</v>
      </c>
      <c r="F511" t="e">
        <f ca="1">_xll.BDH($C$503,"RETURN_COM_EQY","FQ3 2015","FQ3 2015","Currency=INR","Period=FQ","BEST_FPERIOD_OVERRIDE=FQ","FILING_STATUS=OR","EQY_CONSOLIDATED=Y","FA_ADJUSTED=GAAP","Sort=A","Dates=H","DateFormat=P","Fill=—","Direction=H","UseDPDF=Y")</f>
        <v>#NAME?</v>
      </c>
      <c r="G511" t="e">
        <f ca="1">_xll.BDH($C$503,"RETURN_ON_ASSET","FQ3 2015","FQ3 2015","Currency=INR","Period=FQ","BEST_FPERIOD_OVERRIDE=FQ","FILING_STATUS=OR","EQY_CONSOLIDATED=Y","FA_ADJUSTED=GAAP","Sort=A","Dates=H","DateFormat=P","Fill=—","Direction=H","UseDPDF=Y")</f>
        <v>#NAME?</v>
      </c>
      <c r="H511" t="e">
        <f ca="1">_xll.BDH($C$503,"RETURN_ON_CAP","FQ3 2015","FQ3 2015","Currency=INR","Period=FQ","BEST_FPERIOD_OVERRIDE=FQ","FILING_STATUS=OR","EQY_CONSOLIDATED=Y","FA_ADJUSTED=GAAP","Sort=A","Dates=H","DateFormat=P","Fill=—","Direction=H","UseDPDF=Y")</f>
        <v>#NAME?</v>
      </c>
      <c r="I511" t="e">
        <f ca="1">_xll.BDH($C$503,"RETURN_ON_INV_CAPITAL","FQ3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511" t="e">
        <f ca="1">_xll.BDH($C$503,"EBITDA_TO_REVENUE","FQ3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511" t="e">
        <f ca="1">_xll.BDH($C$503,"OPER_MARGIN","FQ3 2015","FQ3 2015","Currency=INR","Period=FQ","BEST_FPERIOD_OVERRIDE=FQ","FILING_STATUS=OR","EQY_CONSOLIDATED=Y","FA_ADJUSTED=GAAP","Sort=A","Dates=H","DateFormat=P","Fill=—","Direction=H","UseDPDF=Y")</f>
        <v>#NAME?</v>
      </c>
      <c r="L511" t="e">
        <f ca="1">_xll.BDH($C$503,"INCREMENTAL_OPERATING_MARGIN","FQ3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511" t="e">
        <f ca="1">_xll.BDH($C$503,"PRETAX_INC_TO_NET_SALES","FQ3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511" t="e">
        <f ca="1">_xll.BDH($C$503,"INC_BEF_XO_ITEMS_TO_NET_SALES","FQ3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511" t="e">
        <f ca="1">_xll.BDH($C$503,"PROF_MARGIN","FQ3 2015","FQ3 2015","Currency=INR","Period=FQ","BEST_FPERIOD_OVERRIDE=FQ","FILING_STATUS=OR","EQY_CONSOLIDATED=Y","FA_ADJUSTED=GAAP","Sort=A","Dates=H","DateFormat=P","Fill=—","Direction=H","UseDPDF=Y")</f>
        <v>#NAME?</v>
      </c>
      <c r="P511" t="e">
        <f ca="1">_xll.BDH($C$503,"NET_INCOME_TO_COMMON_MARGIN","FQ3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511" t="e">
        <f ca="1">_xll.BDH($C$503,"EFF_TAX_RATE","FQ3 2015","FQ3 2015","Currency=INR","Period=FQ","BEST_FPERIOD_OVERRIDE=FQ","FILING_STATUS=OR","EQY_CONSOLIDATED=Y","FA_ADJUSTED=GAAP","Sort=A","Dates=H","DateFormat=P","Fill=—","Direction=H","UseDPDF=Y")</f>
        <v>#NAME?</v>
      </c>
      <c r="R511" t="e">
        <f ca="1">_xll.BDH($C$503,"DVD_PAYOUT_RATIO","FQ3 2015","FQ3 2015","Currency=INR","Period=FQ","BEST_FPERIOD_OVERRIDE=FQ","FILING_STATUS=OR","EQY_CONSOLIDATED=Y","FA_ADJUSTED=GAAP","Sort=A","Dates=H","DateFormat=P","Fill=—","Direction=H","UseDPDF=Y")</f>
        <v>#NAME?</v>
      </c>
      <c r="S511" t="e">
        <f ca="1">_xll.BDH($C$503,"SUSTAIN_GROWTH_RT","FQ3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511" s="2" t="e">
        <f ca="1">_xll.BDH($C$503,"SALES_GROWTH","FQ3 2015","FQ3 2015","Currency=INR","Period=FQ","BEST_FPERIOD_OVERRIDE=FQ","FILING_STATUS=OR","EQY_CONSOLIDATED=Y","FA_ADJUSTED=GAAP","Sort=A","Dates=H","DateFormat=P","Fill=—","Direction=H","UseDPDF=Y")</f>
        <v>#NAME?</v>
      </c>
      <c r="U511" s="2" t="e">
        <f ca="1">_xll.BDH($C$503,"EBITDA_GROWTH","FQ3 2015","FQ3 2015","Currency=INR","Period=FQ","BEST_FPERIOD_OVERRIDE=FQ","FILING_STATUS=OR","EQY_CONSOLIDATED=Y","FA_ADJUSTED=GAAP","Sort=A","Dates=H","DateFormat=P","Fill=—","Direction=H","UseDPDF=Y")</f>
        <v>#NAME?</v>
      </c>
      <c r="V511" s="2" t="e">
        <f ca="1">_xll.BDH($C$503,"OPER_INC_GROWTH","FQ3 2015","FQ3 2015","Currency=INR","Period=FQ","BEST_FPERIOD_OVERRIDE=FQ","FILING_STATUS=OR","EQY_CONSOLIDATED=Y","FA_ADJUSTED=GAAP","Sort=A","Dates=H","DateFormat=P","Fill=—","Direction=H","UseDPDF=Y")</f>
        <v>#NAME?</v>
      </c>
      <c r="W511" s="2" t="e">
        <f ca="1">_xll.BDH($C$503,"EARN_FOR_COM_GROWTH","FQ3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511" s="2" t="e">
        <f ca="1">_xll.BDH($C$503,"DILUTED_EPS_AFT_XO_ITEMS_GROWTH","FQ3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511" s="2" t="e">
        <f ca="1">_xll.BDH($C$503,"DIVIDEND_PER_SHARE_1_YEAR_GROWTH","FQ3 2015","FQ3 2015","Currency=INR","Period=FQ","BEST_FPERIOD_OVERRIDE=FQ","FILING_STATUS=OR","EQY_CONSOLIDATED=Y","Sort=A","Dates=H","DateFormat=P","Fill=—","Direction=H","UseDPDF=Y")</f>
        <v>#NAME?</v>
      </c>
      <c r="Z511" s="2" t="e">
        <f ca="1">_xll.BDH($C$503,"ACCOUNTS_RECEIVABLE_GROWTH","FQ3 2015","FQ3 2015","Currency=INR","Period=FQ","BEST_FPERIOD_OVERRIDE=FQ","FILING_STATUS=OR","EQY_CONSOLIDATED=Y","Sort=A","Dates=H","DateFormat=P","Fill=—","Direction=H","UseDPDF=Y")</f>
        <v>#NAME?</v>
      </c>
      <c r="AA511" s="2" t="e">
        <f ca="1">_xll.BDH($C$503,"INVENTORY_GROWTH","FQ3 2015","FQ3 2015","Currency=INR","Period=FQ","BEST_FPERIOD_OVERRIDE=FQ","FILING_STATUS=OR","EQY_CONSOLIDATED=Y","Sort=A","Dates=H","DateFormat=P","Fill=—","Direction=H","UseDPDF=Y")</f>
        <v>#NAME?</v>
      </c>
      <c r="AB511" s="2" t="e">
        <f ca="1">_xll.BDH($C$503,"NET_FIXED_ASSETS_1_YEAR_GROWTH","FQ3 2015","FQ3 2015","Currency=INR","Period=FQ","BEST_FPERIOD_OVERRIDE=FQ","FILING_STATUS=OR","EQY_CONSOLIDATED=Y","Sort=A","Dates=H","DateFormat=P","Fill=—","Direction=H","UseDPDF=Y")</f>
        <v>#NAME?</v>
      </c>
      <c r="AC511" s="2" t="e">
        <f ca="1">_xll.BDH($C$503,"ASSET_GROWTH","FQ3 2015","FQ3 2015","Currency=INR","Period=FQ","BEST_FPERIOD_OVERRIDE=FQ","FILING_STATUS=OR","EQY_CONSOLIDATED=Y","Sort=A","Dates=H","DateFormat=P","Fill=—","Direction=H","UseDPDF=Y")</f>
        <v>#NAME?</v>
      </c>
      <c r="AD511" s="2" t="e">
        <f ca="1">_xll.BDH($C$503,"MODIFIED_WORK_CAP_GROWTH","FQ3 2015","FQ3 2015","Currency=INR","Period=FQ","BEST_FPERIOD_OVERRIDE=FQ","FILING_STATUS=OR","EQY_CONSOLIDATED=Y","Sort=A","Dates=H","DateFormat=P","Fill=—","Direction=H","UseDPDF=Y")</f>
        <v>#NAME?</v>
      </c>
      <c r="AE511" s="2" t="e">
        <f ca="1">_xll.BDH($C$503,"WORK_CAP_GROWTH","FQ3 2015","FQ3 2015","Currency=INR","Period=FQ","BEST_FPERIOD_OVERRIDE=FQ","FILING_STATUS=OR","EQY_CONSOLIDATED=Y","Sort=A","Dates=H","DateFormat=P","Fill=—","Direction=H","UseDPDF=Y")</f>
        <v>#NAME?</v>
      </c>
      <c r="AF511" s="2" t="e">
        <f ca="1">_xll.BDH($C$503,"ACCOUNTS_PAYABLE_GROWTH_1YR","FQ3 2015","FQ3 2015","Currency=INR","Period=FQ","BEST_FPERIOD_OVERRIDE=FQ","FILING_STATUS=OR","EQY_CONSOLIDATED=Y","Sort=A","Dates=H","DateFormat=P","Fill=—","Direction=H","UseDPDF=Y")</f>
        <v>#NAME?</v>
      </c>
      <c r="AG511" s="2" t="e">
        <f ca="1">_xll.BDH($C$503,"SHORT_TERM_DEBT_1_YEAR_GROWTH","FQ3 2015","FQ3 2015","Currency=INR","Period=FQ","BEST_FPERIOD_OVERRIDE=FQ","FILING_STATUS=OR","EQY_CONSOLIDATED=Y","Sort=A","Dates=H","DateFormat=P","Fill=—","Direction=H","UseDPDF=Y")</f>
        <v>#NAME?</v>
      </c>
      <c r="AH511" s="2" t="e">
        <f ca="1">_xll.BDH($C$503,"TOTAL_DEBT_1_YEAR_GROWTH","FQ3 2015","FQ3 2015","Currency=INR","Period=FQ","BEST_FPERIOD_OVERRIDE=FQ","FILING_STATUS=OR","EQY_CONSOLIDATED=Y","Sort=A","Dates=H","DateFormat=P","Fill=—","Direction=H","UseDPDF=Y")</f>
        <v>#NAME?</v>
      </c>
      <c r="AI511" s="2" t="e">
        <f ca="1">_xll.BDH($C$503,"TOTAL_EQUITY_1_YEAR_GROWTH","FQ3 2015","FQ3 2015","Currency=INR","Period=FQ","BEST_FPERIOD_OVERRIDE=FQ","FILING_STATUS=OR","EQY_CONSOLIDATED=Y","Sort=A","Dates=H","DateFormat=P","Fill=—","Direction=H","UseDPDF=Y")</f>
        <v>#NAME?</v>
      </c>
      <c r="AJ511" s="2" t="e">
        <f ca="1">_xll.BDH($C$503,"GROWTH_IN_CAP","FQ3 2015","FQ3 2015","Currency=INR","Period=FQ","BEST_FPERIOD_OVERRIDE=FQ","FILING_STATUS=OR","EQY_CONSOLIDATED=Y","Sort=A","Dates=H","DateFormat=P","Fill=—","Direction=H","UseDPDF=Y")</f>
        <v>#NAME?</v>
      </c>
      <c r="AK511" s="2" t="e">
        <f ca="1">_xll.BDH($C$503,"BVPS_GROWTH","FQ3 2015","FQ3 2015","Currency=INR","Period=FQ","BEST_FPERIOD_OVERRIDE=FQ","FILING_STATUS=OR","EQY_CONSOLIDATED=Y","Sort=A","Dates=H","DateFormat=P","Fill=—","Direction=H","UseDPDF=Y")</f>
        <v>#NAME?</v>
      </c>
      <c r="AL511" s="2" t="e">
        <f ca="1">_xll.BDH($C$503,"CASH_FLOW_GROWTH","FQ3 2015","FQ3 2015","Currency=INR","Period=FQ","BEST_FPERIOD_OVERRIDE=FQ","FILING_STATUS=OR","EQY_CONSOLIDATED=Y","Sort=A","Dates=H","DateFormat=P","Fill=—","Direction=H","UseDPDF=Y")</f>
        <v>#NAME?</v>
      </c>
      <c r="AM511" s="2" t="e">
        <f ca="1">_xll.BDH($C$503,"GEO_GROW_NET_SALES","FQ3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511" s="2" t="e">
        <f ca="1">_xll.BDH($C$503,"GEO_GROW_EBITDA","FQ3 2015","FQ3 2015","Currency=INR","Period=FQ","BEST_FPERIOD_OVERRIDE=FQ","FILING_STATUS=OR","EQY_CONSOLIDATED=Y","FA_ADJUSTED=GAAP","Sort=A","Dates=H","DateFormat=P","Fill=—","Direction=H","UseDPDF=Y")</f>
        <v>#NAME?</v>
      </c>
      <c r="AO511" s="2" t="e">
        <f ca="1">_xll.BDH($C$503,"GEO_GROW_OPER_INC","FQ3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511" s="2" t="e">
        <f ca="1">_xll.BDH($C$503,"NET_INCOME_TO_COMMON_5_YR_GROWTH","FQ3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511" s="2" t="e">
        <f ca="1">_xll.BDH($C$503,"5Y_GEO_GROWTH_DILUTED_EPS","FQ3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511" s="2" t="e">
        <f ca="1">_xll.BDH($C$503,"GEO_GROW_DVD_PER_SH","FQ3 2015","FQ3 2015","Currency=INR","Period=FQ","BEST_FPERIOD_OVERRIDE=FQ","FILING_STATUS=OR","EQY_CONSOLIDATED=Y","Sort=A","Dates=H","DateFormat=P","Fill=—","Direction=H","UseDPDF=Y")</f>
        <v>#NAME?</v>
      </c>
      <c r="AS511" s="2" t="e">
        <f ca="1">_xll.BDH($C$503,"ACCOUNTS_RECEIVABLE_5_YR_GROWTH","FQ3 2015","FQ3 2015","Currency=INR","Period=FQ","BEST_FPERIOD_OVERRIDE=FQ","FILING_STATUS=OR","EQY_CONSOLIDATED=Y","Sort=A","Dates=H","DateFormat=P","Fill=—","Direction=H","UseDPDF=Y")</f>
        <v>#NAME?</v>
      </c>
      <c r="AT511" s="2" t="e">
        <f ca="1">_xll.BDH($C$503,"INVENTORY_5_YEAR_GROWTH","FQ3 2015","FQ3 2015","Currency=INR","Period=FQ","BEST_FPERIOD_OVERRIDE=FQ","FILING_STATUS=OR","EQY_CONSOLIDATED=Y","Sort=A","Dates=H","DateFormat=P","Fill=—","Direction=H","UseDPDF=Y")</f>
        <v>#NAME?</v>
      </c>
      <c r="AU511" s="2" t="e">
        <f ca="1">_xll.BDH($C$503,"NET_FIXED_ASSETS_5_YEAR_GROWTH","FQ3 2015","FQ3 2015","Currency=INR","Period=FQ","BEST_FPERIOD_OVERRIDE=FQ","FILING_STATUS=OR","EQY_CONSOLIDATED=Y","Sort=A","Dates=H","DateFormat=P","Fill=—","Direction=H","UseDPDF=Y")</f>
        <v>#NAME?</v>
      </c>
      <c r="AV511" s="2" t="e">
        <f ca="1">_xll.BDH($C$503,"GEO_GROW_TOT_ASSET","FQ3 2015","FQ3 2015","Currency=INR","Period=FQ","BEST_FPERIOD_OVERRIDE=FQ","FILING_STATUS=OR","EQY_CONSOLIDATED=Y","Sort=A","Dates=H","DateFormat=P","Fill=—","Direction=H","UseDPDF=Y")</f>
        <v>#NAME?</v>
      </c>
      <c r="AW511" s="2" t="e">
        <f ca="1">_xll.BDH($C$503,"MODIFIED_WORKING_CPTL_5YR_GRWTH","FQ3 2015","FQ3 2015","Currency=INR","Period=FQ","BEST_FPERIOD_OVERRIDE=FQ","FILING_STATUS=OR","EQY_CONSOLIDATED=Y","Sort=A","Dates=H","DateFormat=P","Fill=—","Direction=H","UseDPDF=Y")</f>
        <v>#NAME?</v>
      </c>
      <c r="AX511" s="2" t="e">
        <f ca="1">_xll.BDH($C$503,"WORKING_CAPITAL_5_YEAR_GROWTH","FQ3 2015","FQ3 2015","Currency=INR","Period=FQ","BEST_FPERIOD_OVERRIDE=FQ","FILING_STATUS=OR","EQY_CONSOLIDATED=Y","Sort=A","Dates=H","DateFormat=P","Fill=—","Direction=H","UseDPDF=Y")</f>
        <v>#NAME?</v>
      </c>
      <c r="AY511" s="2" t="e">
        <f ca="1">_xll.BDH($C$503,"ACCOUNTS_PAYABLE_5_YEAR_GROWTH","FQ3 2015","FQ3 2015","Currency=INR","Period=FQ","BEST_FPERIOD_OVERRIDE=FQ","FILING_STATUS=OR","EQY_CONSOLIDATED=Y","Sort=A","Dates=H","DateFormat=P","Fill=—","Direction=H","UseDPDF=Y")</f>
        <v>#NAME?</v>
      </c>
      <c r="AZ511" s="2" t="e">
        <f ca="1">_xll.BDH($C$503,"SHORT_TERM_DEBT_5_YEAR_GROWTH","FQ3 2015","FQ3 2015","Currency=INR","Period=FQ","BEST_FPERIOD_OVERRIDE=FQ","FILING_STATUS=OR","EQY_CONSOLIDATED=Y","Sort=A","Dates=H","DateFormat=P","Fill=—","Direction=H","UseDPDF=Y")</f>
        <v>#NAME?</v>
      </c>
      <c r="BA511" s="2" t="e">
        <f ca="1">_xll.BDH($C$503,"TOTAL_DEBT_5_YEAR_GROWTH","FQ3 2015","FQ3 2015","Currency=INR","Period=FQ","BEST_FPERIOD_OVERRIDE=FQ","FILING_STATUS=OR","EQY_CONSOLIDATED=Y","Sort=A","Dates=H","DateFormat=P","Fill=—","Direction=H","UseDPDF=Y")</f>
        <v>#NAME?</v>
      </c>
      <c r="BB511" s="2" t="e">
        <f ca="1">_xll.BDH($C$503,"GEO_GROW_TOT_SHRHLDR_EQY","FQ3 2015","FQ3 2015","Currency=INR","Period=FQ","BEST_FPERIOD_OVERRIDE=FQ","FILING_STATUS=OR","EQY_CONSOLIDATED=Y","Sort=A","Dates=H","DateFormat=P","Fill=—","Direction=H","UseDPDF=Y")</f>
        <v>#NAME?</v>
      </c>
      <c r="BC511" s="2" t="e">
        <f ca="1">_xll.BDH($C$503,"TOTAL_CAPITAL_5_YEAR_GROWTH","FQ3 2015","FQ3 2015","Currency=INR","Period=FQ","BEST_FPERIOD_OVERRIDE=FQ","FILING_STATUS=OR","EQY_CONSOLIDATED=Y","Sort=A","Dates=H","DateFormat=P","Fill=—","Direction=H","UseDPDF=Y")</f>
        <v>#NAME?</v>
      </c>
      <c r="BD511" s="2" t="e">
        <f ca="1">_xll.BDH($C$503,"GEO_GROW_BOOK_VAL","FQ3 2015","FQ3 2015","Currency=INR","Period=FQ","BEST_FPERIOD_OVERRIDE=FQ","FILING_STATUS=OR","EQY_CONSOLIDATED=Y","Sort=A","Dates=H","DateFormat=P","Fill=—","Direction=H","UseDPDF=Y")</f>
        <v>#NAME?</v>
      </c>
      <c r="BE511" s="2" t="e">
        <f ca="1">_xll.BDH($C$503,"GEO_GROW_CASH_OPER_ACT","FQ3 2015","FQ3 2015","Currency=INR","Period=FQ","BEST_FPERIOD_OVERRIDE=FQ","FILING_STATUS=OR","EQY_CONSOLIDATED=Y","Sort=A","Dates=H","DateFormat=P","Fill=—","Direction=H","UseDPDF=Y")</f>
        <v>#NAME?</v>
      </c>
      <c r="BF511" s="2" t="e">
        <f ca="1">_xll.BDH($C$503,"REVENUE_SEQUENTIAL_GROWTH","FQ3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511" s="2" t="e">
        <f ca="1">_xll.BDH($C$503,"EBITDA_SEQUENTIAL_GROWTH","FQ3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511" s="2" t="e">
        <f ca="1">_xll.BDH($C$503,"OPERATING_INCOME_SEQ_GROWTH","FQ3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511" s="2" t="e">
        <f ca="1">_xll.BDH($C$503,"NET_INCOME_TO_COMMON_SEQ_GROWTH","FQ3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511" s="2" t="e">
        <f ca="1">_xll.BDH($C$503,"EPS_DILUTED_SEQUENTIAL_GROWTH","FQ3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511" s="2" t="e">
        <f ca="1">_xll.BDH($C$503,"DPS_SEQUENTIAL_GROWTH","FQ3 2015","FQ3 2015","Currency=INR","Period=FQ","BEST_FPERIOD_OVERRIDE=FQ","FILING_STATUS=OR","EQY_CONSOLIDATED=Y","Sort=A","Dates=H","DateFormat=P","Fill=—","Direction=H","UseDPDF=Y")</f>
        <v>#NAME?</v>
      </c>
      <c r="BL511" s="2" t="e">
        <f ca="1">_xll.BDH($C$503,"ACCOUNTS_RECEIVABLE_SEQ_GROWTH","FQ3 2015","FQ3 2015","Currency=INR","Period=FQ","BEST_FPERIOD_OVERRIDE=FQ","FILING_STATUS=OR","EQY_CONSOLIDATED=Y","Sort=A","Dates=H","DateFormat=P","Fill=—","Direction=H","UseDPDF=Y")</f>
        <v>#NAME?</v>
      </c>
      <c r="BM511" s="2" t="e">
        <f ca="1">_xll.BDH($C$503,"INVENTORY_SEQUENTIAL_GROWTH","FQ3 2015","FQ3 2015","Currency=INR","Period=FQ","BEST_FPERIOD_OVERRIDE=FQ","FILING_STATUS=OR","EQY_CONSOLIDATED=Y","Sort=A","Dates=H","DateFormat=P","Fill=—","Direction=H","UseDPDF=Y")</f>
        <v>#NAME?</v>
      </c>
      <c r="BN511" s="2" t="e">
        <f ca="1">_xll.BDH($C$503,"FIXED_ASSETS_SEQUENTIAL_GROWTH","FQ3 2015","FQ3 2015","Currency=INR","Period=FQ","BEST_FPERIOD_OVERRIDE=FQ","FILING_STATUS=OR","EQY_CONSOLIDATED=Y","Sort=A","Dates=H","DateFormat=P","Fill=—","Direction=H","UseDPDF=Y")</f>
        <v>#NAME?</v>
      </c>
      <c r="BO511" s="2" t="e">
        <f ca="1">_xll.BDH($C$503,"TOTAL_ASSETS_SEQUENTIAL_GROWTH","FQ3 2015","FQ3 2015","Currency=INR","Period=FQ","BEST_FPERIOD_OVERRIDE=FQ","FILING_STATUS=OR","EQY_CONSOLIDATED=Y","Sort=A","Dates=H","DateFormat=P","Fill=—","Direction=H","UseDPDF=Y")</f>
        <v>#NAME?</v>
      </c>
      <c r="BP511" s="2" t="e">
        <f ca="1">_xll.BDH($C$503,"MODIFIED_WORKING_CPTL_SEQ_GRWTH","FQ3 2015","FQ3 2015","Currency=INR","Period=FQ","BEST_FPERIOD_OVERRIDE=FQ","FILING_STATUS=OR","EQY_CONSOLIDATED=Y","Sort=A","Dates=H","DateFormat=P","Fill=—","Direction=H","UseDPDF=Y")</f>
        <v>#NAME?</v>
      </c>
      <c r="BQ511" s="2" t="e">
        <f ca="1">_xll.BDH($C$503,"WORKING_CAPITAL_SEQ_GROWTH","FQ3 2015","FQ3 2015","Currency=INR","Period=FQ","BEST_FPERIOD_OVERRIDE=FQ","FILING_STATUS=OR","EQY_CONSOLIDATED=Y","Sort=A","Dates=H","DateFormat=P","Fill=—","Direction=H","UseDPDF=Y")</f>
        <v>#NAME?</v>
      </c>
      <c r="BR511" s="2" t="e">
        <f ca="1">_xll.BDH($C$503,"ACCOUNTS_PAYABLE_SEQ_GROWTH","FQ3 2015","FQ3 2015","Currency=INR","Period=FQ","BEST_FPERIOD_OVERRIDE=FQ","FILING_STATUS=OR","EQY_CONSOLIDATED=Y","Sort=A","Dates=H","DateFormat=P","Fill=—","Direction=H","UseDPDF=Y")</f>
        <v>#NAME?</v>
      </c>
      <c r="BS511" s="2" t="e">
        <f ca="1">_xll.BDH($C$503,"ST_DEBT_SEQUENTIAL_GROWTH","FQ3 2015","FQ3 2015","Currency=INR","Period=FQ","BEST_FPERIOD_OVERRIDE=FQ","FILING_STATUS=OR","EQY_CONSOLIDATED=Y","Sort=A","Dates=H","DateFormat=P","Fill=—","Direction=H","UseDPDF=Y")</f>
        <v>#NAME?</v>
      </c>
      <c r="BT511" s="2" t="e">
        <f ca="1">_xll.BDH($C$503,"TOTAL_DEBT_SEQUENTIAL_GROWTH","FQ3 2015","FQ3 2015","Currency=INR","Period=FQ","BEST_FPERIOD_OVERRIDE=FQ","FILING_STATUS=OR","EQY_CONSOLIDATED=Y","Sort=A","Dates=H","DateFormat=P","Fill=—","Direction=H","UseDPDF=Y")</f>
        <v>#NAME?</v>
      </c>
      <c r="BU511" s="2" t="e">
        <f ca="1">_xll.BDH($C$503,"TOTAL_EQUITY_SEQUENTIAL_GROWTH","FQ3 2015","FQ3 2015","Currency=INR","Period=FQ","BEST_FPERIOD_OVERRIDE=FQ","FILING_STATUS=OR","EQY_CONSOLIDATED=Y","Sort=A","Dates=H","DateFormat=P","Fill=—","Direction=H","UseDPDF=Y")</f>
        <v>#NAME?</v>
      </c>
      <c r="BV511" s="2" t="e">
        <f ca="1">_xll.BDH($C$503,"TOTAL_CAPITAL_SEQUENTIAL_GROWTH","FQ3 2015","FQ3 2015","Currency=INR","Period=FQ","BEST_FPERIOD_OVERRIDE=FQ","FILING_STATUS=OR","EQY_CONSOLIDATED=Y","Sort=A","Dates=H","DateFormat=P","Fill=—","Direction=H","UseDPDF=Y")</f>
        <v>#NAME?</v>
      </c>
      <c r="BW511" s="2" t="e">
        <f ca="1">_xll.BDH($C$503,"BPS_SEQUENTIAL_GROWTH","FQ3 2015","FQ3 2015","Currency=INR","Period=FQ","BEST_FPERIOD_OVERRIDE=FQ","FILING_STATUS=OR","EQY_CONSOLIDATED=Y","Sort=A","Dates=H","DateFormat=P","Fill=—","Direction=H","UseDPDF=Y")</f>
        <v>#NAME?</v>
      </c>
      <c r="BX511" s="2" t="e">
        <f ca="1">_xll.BDH($C$503,"CFO_SEQUENTIAL_GROWTH","FQ3 2015","FQ3 2015","Currency=INR","Period=FQ","BEST_FPERIOD_OVERRIDE=FQ","FILING_STATUS=OR","EQY_CONSOLIDATED=Y","Sort=A","Dates=H","DateFormat=P","Fill=—","Direction=H","UseDPDF=Y")</f>
        <v>#NAME?</v>
      </c>
      <c r="BY511" s="3" t="e">
        <f ca="1">_xll.BDH($C$503,"SHORT_AND_LONG_TERM_DEBT","FQ3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511" s="3" t="e">
        <f ca="1">_xll.BDH($C$503,"BS_ST_BORROW","FQ3 2015","FQ3 2015","Currency=INR","Period=FQ","BEST_FPERIOD_OVERRIDE=FQ","FILING_STATUS=OR","EQY_CONSOLIDATED=Y","SCALING_FORMAT=MLN","Sort=A","Dates=H","DateFormat=P","Fill=—","Direction=H","UseDPDF=Y")</f>
        <v>#NAME?</v>
      </c>
      <c r="CA511" s="3" t="e">
        <f ca="1">_xll.BDH($C$503,"BS_LT_BORROW","FQ3 2015","FQ3 2015","Currency=INR","Period=FQ","BEST_FPERIOD_OVERRIDE=FQ","FILING_STATUS=OR","EQY_CONSOLIDATED=Y","SCALING_FORMAT=MLN","Sort=A","Dates=H","DateFormat=P","Fill=—","Direction=H","UseDPDF=Y")</f>
        <v>#NAME?</v>
      </c>
      <c r="CB511" s="2" t="e">
        <f ca="1">_xll.BDH($C$503,"TOT_DEBT_TO_EBITDA","FQ3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511" s="2" t="e">
        <f ca="1">_xll.BDH($C$503,"NET_DEBT_TO_EBITDA","FQ3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511" s="2" t="e">
        <f ca="1">_xll.BDH($C$503,"TOTAL_DEBT_TO_EBIT","FQ3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511" s="2" t="e">
        <f ca="1">_xll.BDH($C$503,"NET_DEBT_TO_EBIT","FQ3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511" s="2" t="e">
        <f ca="1">_xll.BDH($C$503,"EBITDA_TO_INTEREST_EXPN","FQ3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511" s="2" t="e">
        <f ca="1">_xll.BDH($C$503,"COM_EQY_TO_TOT_ASSET","FQ3 2015","FQ3 2015","Currency=INR","Period=FQ","BEST_FPERIOD_OVERRIDE=FQ","FILING_STATUS=OR","EQY_CONSOLIDATED=Y","Sort=A","Dates=H","DateFormat=P","Fill=—","Direction=H","UseDPDF=Y")</f>
        <v>#NAME?</v>
      </c>
      <c r="CH511" s="2" t="e">
        <f ca="1">_xll.BDH($C$503,"LT_DEBT_TO_TOT_EQY","FQ3 2015","FQ3 2015","Currency=INR","Period=FQ","BEST_FPERIOD_OVERRIDE=FQ","FILING_STATUS=OR","EQY_CONSOLIDATED=Y","Sort=A","Dates=H","DateFormat=P","Fill=—","Direction=H","UseDPDF=Y")</f>
        <v>#NAME?</v>
      </c>
      <c r="CI511" s="2" t="e">
        <f ca="1">_xll.BDH($C$503,"LT_DEBT_TO_TOT_CAP","FQ3 2015","FQ3 2015","Currency=INR","Period=FQ","BEST_FPERIOD_OVERRIDE=FQ","FILING_STATUS=OR","EQY_CONSOLIDATED=Y","Sort=A","Dates=H","DateFormat=P","Fill=—","Direction=H","UseDPDF=Y")</f>
        <v>#NAME?</v>
      </c>
      <c r="CJ511" s="2" t="e">
        <f ca="1">_xll.BDH($C$503,"LT_DEBT_TO_TOT_ASSET","FQ3 2015","FQ3 2015","Currency=INR","Period=FQ","BEST_FPERIOD_OVERRIDE=FQ","FILING_STATUS=OR","EQY_CONSOLIDATED=Y","Sort=A","Dates=H","DateFormat=P","Fill=—","Direction=H","UseDPDF=Y")</f>
        <v>#NAME?</v>
      </c>
      <c r="CK511" s="2" t="e">
        <f ca="1">_xll.BDH($C$503,"TOT_DEBT_TO_TOT_EQY","FQ3 2015","FQ3 2015","Currency=INR","Period=FQ","BEST_FPERIOD_OVERRIDE=FQ","FILING_STATUS=OR","EQY_CONSOLIDATED=Y","Sort=A","Dates=H","DateFormat=P","Fill=—","Direction=H","UseDPDF=Y")</f>
        <v>#NAME?</v>
      </c>
      <c r="CL511" s="2" t="e">
        <f ca="1">_xll.BDH($C$503,"TOT_DEBT_TO_TOT_CAP","FQ3 2015","FQ3 2015","Currency=INR","Period=FQ","BEST_FPERIOD_OVERRIDE=FQ","FILING_STATUS=OR","EQY_CONSOLIDATED=Y","Sort=A","Dates=H","DateFormat=P","Fill=—","Direction=H","UseDPDF=Y")</f>
        <v>#NAME?</v>
      </c>
      <c r="CM511" s="2" t="e">
        <f ca="1">_xll.BDH($C$503,"TOT_DEBT_TO_TOT_ASSET","FQ3 2015","FQ3 2015","Currency=INR","Period=FQ","BEST_FPERIOD_OVERRIDE=FQ","FILING_STATUS=OR","EQY_CONSOLIDATED=Y","Sort=A","Dates=H","DateFormat=P","Fill=—","Direction=H","UseDPDF=Y")</f>
        <v>#NAME?</v>
      </c>
      <c r="CN511" s="2" t="e">
        <f ca="1">_xll.BDH($C$503,"NET_DEBT_TO_SHRHLDR_EQTY","FQ3 2015","FQ3 2015","Currency=INR","Period=FQ","BEST_FPERIOD_OVERRIDE=FQ","FILING_STATUS=OR","EQY_CONSOLIDATED=Y","Sort=A","Dates=H","DateFormat=P","Fill=—","Direction=H","UseDPDF=Y")</f>
        <v>#NAME?</v>
      </c>
      <c r="CO511" s="2" t="e">
        <f ca="1">_xll.BDH($C$503,"NET_DEBT_%_CAPITAL","FQ3 2015","FQ3 2015","Currency=INR","Period=FQ","BEST_FPERIOD_OVERRIDE=FQ","FILING_STATUS=OR","EQY_CONSOLIDATED=Y","Sort=A","Dates=H","DateFormat=P","Fill=—","Direction=H","UseDPDF=Y")</f>
        <v>#NAME?</v>
      </c>
      <c r="CP511" s="3" t="e">
        <f ca="1">_xll.BDH($C$503,"EBITDA","FQ3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511" s="3" t="e">
        <f ca="1">_xll.BDH($C$503,"EBITDA_AFTER_CAPEX","FQ3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511" s="3" t="e">
        <f ca="1">_xll.BDH($C$503,"IS_OPER_INC","FQ3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511" s="2" t="e">
        <f ca="1">_xll.BDH($C$503,"CASH_RATIO","FQ3 2015","FQ3 2015","Currency=INR","Period=FQ","BEST_FPERIOD_OVERRIDE=FQ","FILING_STATUS=OR","EQY_CONSOLIDATED=Y","Sort=A","Dates=H","DateFormat=P","Fill=—","Direction=H","UseDPDF=Y")</f>
        <v>#NAME?</v>
      </c>
      <c r="CT511" s="2" t="e">
        <f ca="1">_xll.BDH($C$503,"CUR_RATIO","FQ3 2015","FQ3 2015","Currency=INR","Period=FQ","BEST_FPERIOD_OVERRIDE=FQ","FILING_STATUS=OR","EQY_CONSOLIDATED=Y","Sort=A","Dates=H","DateFormat=P","Fill=—","Direction=H","UseDPDF=Y")</f>
        <v>#NAME?</v>
      </c>
      <c r="CU511" s="2" t="e">
        <f ca="1">_xll.BDH($C$503,"QUICK_RATIO","FQ3 2015","FQ3 2015","Currency=INR","Period=FQ","BEST_FPERIOD_OVERRIDE=FQ","FILING_STATUS=OR","EQY_CONSOLIDATED=Y","Sort=A","Dates=H","DateFormat=P","Fill=—","Direction=H","UseDPDF=Y")</f>
        <v>#NAME?</v>
      </c>
      <c r="CV511" s="2" t="e">
        <f ca="1">_xll.BDH($C$503,"ALTMAN_Z_SCORE","FQ3 2015","FQ3 2015","Currency=INR","Period=FQ","BEST_FPERIOD_OVERRIDE=FQ","FILING_STATUS=OR","EQY_CONSOLIDATED=Y","Sort=A","Dates=H","DateFormat=P","Fill=—","Direction=H","UseDPDF=Y")</f>
        <v>#NAME?</v>
      </c>
      <c r="CW511" s="4" t="e">
        <f ca="1">_xll.BDH($C$503,"ACCT_RCV_TURN","FQ3 2015","FQ3 2015","Currency=INR","Period=FQ","BEST_FPERIOD_OVERRIDE=FQ","FILING_STATUS=OR","EQY_CONSOLIDATED=Y","FA_ADJUSTED=GAAP","Sort=A","Dates=H","DateFormat=P","Fill=—","Direction=H","UseDPDF=Y")</f>
        <v>#NAME?</v>
      </c>
      <c r="CX511" s="2" t="e">
        <f ca="1">_xll.BDH($C$503,"ACCT_RCV_DAYS","FQ3 2015","FQ3 2015","Currency=INR","Period=FQ","BEST_FPERIOD_OVERRIDE=FQ","FILING_STATUS=OR","EQY_CONSOLIDATED=Y","FA_ADJUSTED=GAAP","Sort=A","Dates=H","DateFormat=P","Fill=—","Direction=H","UseDPDF=Y")</f>
        <v>#NAME?</v>
      </c>
      <c r="CY511" s="4" t="e">
        <f ca="1">_xll.BDH($C$503,"INVENT_TURN","FQ3 2015","FQ3 2015","Currency=INR","Period=FQ","BEST_FPERIOD_OVERRIDE=FQ","FILING_STATUS=OR","EQY_CONSOLIDATED=Y","FA_ADJUSTED=GAAP","Sort=A","Dates=H","DateFormat=P","Fill=—","Direction=H","UseDPDF=Y")</f>
        <v>#NAME?</v>
      </c>
      <c r="CZ511" s="2" t="e">
        <f ca="1">_xll.BDH($C$503,"INVENT_DAYS","FQ3 2015","FQ3 2015","Currency=INR","Period=FQ","BEST_FPERIOD_OVERRIDE=FQ","FILING_STATUS=OR","EQY_CONSOLIDATED=Y","FA_ADJUSTED=GAAP","Sort=A","Dates=H","DateFormat=P","Fill=—","Direction=H","UseDPDF=Y")</f>
        <v>#NAME?</v>
      </c>
      <c r="DA511" s="4" t="e">
        <f ca="1">_xll.BDH($C$503,"ACCOUNTS_PAYABLE_TURNOVER","FQ3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511" s="2" t="e">
        <f ca="1">_xll.BDH($C$503,"ACCOUNTS_PAYABLE_TURNOVER_DAYS","FQ3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511" s="4" t="e">
        <f ca="1">_xll.BDH($C$503,"CASH_CONVERSION_CYCLE","FQ3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511" s="4" t="e">
        <f ca="1">_xll.BDH($C$503,"INV_TO_CASH_DAYS","FQ3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511" s="5" t="e">
        <f ca="1">_xll.BDH($C$503,"BS_INVENTORIES","FQ3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511" s="3" t="e">
        <f ca="1">_xll.BDH($C$503,"INVTRY_RAW_MATERIALS","FQ3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511" s="3" t="e">
        <f ca="1">_xll.BDH($C$503,"INVTRY_IN_PROGRESS","FQ3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511" s="3" t="e">
        <f ca="1">_xll.BDH($C$503,"INVTRY_FINISHED_GOODS","FQ3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511" s="3" t="e">
        <f ca="1">_xll.BDH($C$503,"BS_OTHER_INV","FQ3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512" spans="1:113" x14ac:dyDescent="0.3">
      <c r="A512" s="6"/>
      <c r="B512" s="6"/>
      <c r="C512" s="6"/>
      <c r="D512" s="6"/>
      <c r="E512" t="s">
        <v>81</v>
      </c>
      <c r="F512" t="e">
        <f ca="1">_xll.BDH($C$503,"RETURN_COM_EQY","FQ4 2015","FQ4 2015","Currency=INR","Period=FQ","BEST_FPERIOD_OVERRIDE=FQ","FILING_STATUS=OR","EQY_CONSOLIDATED=Y","FA_ADJUSTED=GAAP","Sort=A","Dates=H","DateFormat=P","Fill=—","Direction=H","UseDPDF=Y")</f>
        <v>#NAME?</v>
      </c>
      <c r="G512" t="e">
        <f ca="1">_xll.BDH($C$503,"RETURN_ON_ASSET","FQ4 2015","FQ4 2015","Currency=INR","Period=FQ","BEST_FPERIOD_OVERRIDE=FQ","FILING_STATUS=OR","EQY_CONSOLIDATED=Y","FA_ADJUSTED=GAAP","Sort=A","Dates=H","DateFormat=P","Fill=—","Direction=H","UseDPDF=Y")</f>
        <v>#NAME?</v>
      </c>
      <c r="H512" t="e">
        <f ca="1">_xll.BDH($C$503,"RETURN_ON_CAP","FQ4 2015","FQ4 2015","Currency=INR","Period=FQ","BEST_FPERIOD_OVERRIDE=FQ","FILING_STATUS=OR","EQY_CONSOLIDATED=Y","FA_ADJUSTED=GAAP","Sort=A","Dates=H","DateFormat=P","Fill=—","Direction=H","UseDPDF=Y")</f>
        <v>#NAME?</v>
      </c>
      <c r="I512" t="e">
        <f ca="1">_xll.BDH($C$503,"RETURN_ON_INV_CAPITAL","FQ4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512" t="e">
        <f ca="1">_xll.BDH($C$503,"EBITDA_TO_REVENUE","FQ4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512" t="e">
        <f ca="1">_xll.BDH($C$503,"OPER_MARGIN","FQ4 2015","FQ4 2015","Currency=INR","Period=FQ","BEST_FPERIOD_OVERRIDE=FQ","FILING_STATUS=OR","EQY_CONSOLIDATED=Y","FA_ADJUSTED=GAAP","Sort=A","Dates=H","DateFormat=P","Fill=—","Direction=H","UseDPDF=Y")</f>
        <v>#NAME?</v>
      </c>
      <c r="L512" t="e">
        <f ca="1">_xll.BDH($C$503,"INCREMENTAL_OPERATING_MARGIN","FQ4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512" t="e">
        <f ca="1">_xll.BDH($C$503,"PRETAX_INC_TO_NET_SALES","FQ4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512" t="e">
        <f ca="1">_xll.BDH($C$503,"INC_BEF_XO_ITEMS_TO_NET_SALES","FQ4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512" t="e">
        <f ca="1">_xll.BDH($C$503,"PROF_MARGIN","FQ4 2015","FQ4 2015","Currency=INR","Period=FQ","BEST_FPERIOD_OVERRIDE=FQ","FILING_STATUS=OR","EQY_CONSOLIDATED=Y","FA_ADJUSTED=GAAP","Sort=A","Dates=H","DateFormat=P","Fill=—","Direction=H","UseDPDF=Y")</f>
        <v>#NAME?</v>
      </c>
      <c r="P512" t="e">
        <f ca="1">_xll.BDH($C$503,"NET_INCOME_TO_COMMON_MARGIN","FQ4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512" t="e">
        <f ca="1">_xll.BDH($C$503,"EFF_TAX_RATE","FQ4 2015","FQ4 2015","Currency=INR","Period=FQ","BEST_FPERIOD_OVERRIDE=FQ","FILING_STATUS=OR","EQY_CONSOLIDATED=Y","FA_ADJUSTED=GAAP","Sort=A","Dates=H","DateFormat=P","Fill=—","Direction=H","UseDPDF=Y")</f>
        <v>#NAME?</v>
      </c>
      <c r="R512" t="e">
        <f ca="1">_xll.BDH($C$503,"DVD_PAYOUT_RATIO","FQ4 2015","FQ4 2015","Currency=INR","Period=FQ","BEST_FPERIOD_OVERRIDE=FQ","FILING_STATUS=OR","EQY_CONSOLIDATED=Y","FA_ADJUSTED=GAAP","Sort=A","Dates=H","DateFormat=P","Fill=—","Direction=H","UseDPDF=Y")</f>
        <v>#NAME?</v>
      </c>
      <c r="S512" t="e">
        <f ca="1">_xll.BDH($C$503,"SUSTAIN_GROWTH_RT","FQ4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512" s="2" t="e">
        <f ca="1">_xll.BDH($C$503,"SALES_GROWTH","FQ4 2015","FQ4 2015","Currency=INR","Period=FQ","BEST_FPERIOD_OVERRIDE=FQ","FILING_STATUS=OR","EQY_CONSOLIDATED=Y","FA_ADJUSTED=GAAP","Sort=A","Dates=H","DateFormat=P","Fill=—","Direction=H","UseDPDF=Y")</f>
        <v>#NAME?</v>
      </c>
      <c r="U512" s="2" t="e">
        <f ca="1">_xll.BDH($C$503,"EBITDA_GROWTH","FQ4 2015","FQ4 2015","Currency=INR","Period=FQ","BEST_FPERIOD_OVERRIDE=FQ","FILING_STATUS=OR","EQY_CONSOLIDATED=Y","FA_ADJUSTED=GAAP","Sort=A","Dates=H","DateFormat=P","Fill=—","Direction=H","UseDPDF=Y")</f>
        <v>#NAME?</v>
      </c>
      <c r="V512" s="2" t="e">
        <f ca="1">_xll.BDH($C$503,"OPER_INC_GROWTH","FQ4 2015","FQ4 2015","Currency=INR","Period=FQ","BEST_FPERIOD_OVERRIDE=FQ","FILING_STATUS=OR","EQY_CONSOLIDATED=Y","FA_ADJUSTED=GAAP","Sort=A","Dates=H","DateFormat=P","Fill=—","Direction=H","UseDPDF=Y")</f>
        <v>#NAME?</v>
      </c>
      <c r="W512" s="2" t="e">
        <f ca="1">_xll.BDH($C$503,"EARN_FOR_COM_GROWTH","FQ4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512" s="2" t="e">
        <f ca="1">_xll.BDH($C$503,"DILUTED_EPS_AFT_XO_ITEMS_GROWTH","FQ4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512" s="2" t="e">
        <f ca="1">_xll.BDH($C$503,"DIVIDEND_PER_SHARE_1_YEAR_GROWTH","FQ4 2015","FQ4 2015","Currency=INR","Period=FQ","BEST_FPERIOD_OVERRIDE=FQ","FILING_STATUS=OR","EQY_CONSOLIDATED=Y","Sort=A","Dates=H","DateFormat=P","Fill=—","Direction=H","UseDPDF=Y")</f>
        <v>#NAME?</v>
      </c>
      <c r="Z512" s="2" t="e">
        <f ca="1">_xll.BDH($C$503,"ACCOUNTS_RECEIVABLE_GROWTH","FQ4 2015","FQ4 2015","Currency=INR","Period=FQ","BEST_FPERIOD_OVERRIDE=FQ","FILING_STATUS=OR","EQY_CONSOLIDATED=Y","Sort=A","Dates=H","DateFormat=P","Fill=—","Direction=H","UseDPDF=Y")</f>
        <v>#NAME?</v>
      </c>
      <c r="AA512" s="2" t="e">
        <f ca="1">_xll.BDH($C$503,"INVENTORY_GROWTH","FQ4 2015","FQ4 2015","Currency=INR","Period=FQ","BEST_FPERIOD_OVERRIDE=FQ","FILING_STATUS=OR","EQY_CONSOLIDATED=Y","Sort=A","Dates=H","DateFormat=P","Fill=—","Direction=H","UseDPDF=Y")</f>
        <v>#NAME?</v>
      </c>
      <c r="AB512" s="2" t="e">
        <f ca="1">_xll.BDH($C$503,"NET_FIXED_ASSETS_1_YEAR_GROWTH","FQ4 2015","FQ4 2015","Currency=INR","Period=FQ","BEST_FPERIOD_OVERRIDE=FQ","FILING_STATUS=OR","EQY_CONSOLIDATED=Y","Sort=A","Dates=H","DateFormat=P","Fill=—","Direction=H","UseDPDF=Y")</f>
        <v>#NAME?</v>
      </c>
      <c r="AC512" s="2" t="e">
        <f ca="1">_xll.BDH($C$503,"ASSET_GROWTH","FQ4 2015","FQ4 2015","Currency=INR","Period=FQ","BEST_FPERIOD_OVERRIDE=FQ","FILING_STATUS=OR","EQY_CONSOLIDATED=Y","Sort=A","Dates=H","DateFormat=P","Fill=—","Direction=H","UseDPDF=Y")</f>
        <v>#NAME?</v>
      </c>
      <c r="AD512" s="2" t="e">
        <f ca="1">_xll.BDH($C$503,"MODIFIED_WORK_CAP_GROWTH","FQ4 2015","FQ4 2015","Currency=INR","Period=FQ","BEST_FPERIOD_OVERRIDE=FQ","FILING_STATUS=OR","EQY_CONSOLIDATED=Y","Sort=A","Dates=H","DateFormat=P","Fill=—","Direction=H","UseDPDF=Y")</f>
        <v>#NAME?</v>
      </c>
      <c r="AE512" s="2" t="e">
        <f ca="1">_xll.BDH($C$503,"WORK_CAP_GROWTH","FQ4 2015","FQ4 2015","Currency=INR","Period=FQ","BEST_FPERIOD_OVERRIDE=FQ","FILING_STATUS=OR","EQY_CONSOLIDATED=Y","Sort=A","Dates=H","DateFormat=P","Fill=—","Direction=H","UseDPDF=Y")</f>
        <v>#NAME?</v>
      </c>
      <c r="AF512" s="2" t="e">
        <f ca="1">_xll.BDH($C$503,"ACCOUNTS_PAYABLE_GROWTH_1YR","FQ4 2015","FQ4 2015","Currency=INR","Period=FQ","BEST_FPERIOD_OVERRIDE=FQ","FILING_STATUS=OR","EQY_CONSOLIDATED=Y","Sort=A","Dates=H","DateFormat=P","Fill=—","Direction=H","UseDPDF=Y")</f>
        <v>#NAME?</v>
      </c>
      <c r="AG512" s="2" t="e">
        <f ca="1">_xll.BDH($C$503,"SHORT_TERM_DEBT_1_YEAR_GROWTH","FQ4 2015","FQ4 2015","Currency=INR","Period=FQ","BEST_FPERIOD_OVERRIDE=FQ","FILING_STATUS=OR","EQY_CONSOLIDATED=Y","Sort=A","Dates=H","DateFormat=P","Fill=—","Direction=H","UseDPDF=Y")</f>
        <v>#NAME?</v>
      </c>
      <c r="AH512" s="2" t="e">
        <f ca="1">_xll.BDH($C$503,"TOTAL_DEBT_1_YEAR_GROWTH","FQ4 2015","FQ4 2015","Currency=INR","Period=FQ","BEST_FPERIOD_OVERRIDE=FQ","FILING_STATUS=OR","EQY_CONSOLIDATED=Y","Sort=A","Dates=H","DateFormat=P","Fill=—","Direction=H","UseDPDF=Y")</f>
        <v>#NAME?</v>
      </c>
      <c r="AI512" s="2" t="e">
        <f ca="1">_xll.BDH($C$503,"TOTAL_EQUITY_1_YEAR_GROWTH","FQ4 2015","FQ4 2015","Currency=INR","Period=FQ","BEST_FPERIOD_OVERRIDE=FQ","FILING_STATUS=OR","EQY_CONSOLIDATED=Y","Sort=A","Dates=H","DateFormat=P","Fill=—","Direction=H","UseDPDF=Y")</f>
        <v>#NAME?</v>
      </c>
      <c r="AJ512" s="2" t="e">
        <f ca="1">_xll.BDH($C$503,"GROWTH_IN_CAP","FQ4 2015","FQ4 2015","Currency=INR","Period=FQ","BEST_FPERIOD_OVERRIDE=FQ","FILING_STATUS=OR","EQY_CONSOLIDATED=Y","Sort=A","Dates=H","DateFormat=P","Fill=—","Direction=H","UseDPDF=Y")</f>
        <v>#NAME?</v>
      </c>
      <c r="AK512" s="2" t="e">
        <f ca="1">_xll.BDH($C$503,"BVPS_GROWTH","FQ4 2015","FQ4 2015","Currency=INR","Period=FQ","BEST_FPERIOD_OVERRIDE=FQ","FILING_STATUS=OR","EQY_CONSOLIDATED=Y","Sort=A","Dates=H","DateFormat=P","Fill=—","Direction=H","UseDPDF=Y")</f>
        <v>#NAME?</v>
      </c>
      <c r="AL512" s="2" t="e">
        <f ca="1">_xll.BDH($C$503,"CASH_FLOW_GROWTH","FQ4 2015","FQ4 2015","Currency=INR","Period=FQ","BEST_FPERIOD_OVERRIDE=FQ","FILING_STATUS=OR","EQY_CONSOLIDATED=Y","Sort=A","Dates=H","DateFormat=P","Fill=—","Direction=H","UseDPDF=Y")</f>
        <v>#NAME?</v>
      </c>
      <c r="AM512" s="2" t="e">
        <f ca="1">_xll.BDH($C$503,"GEO_GROW_NET_SALES","FQ4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512" s="2" t="e">
        <f ca="1">_xll.BDH($C$503,"GEO_GROW_EBITDA","FQ4 2015","FQ4 2015","Currency=INR","Period=FQ","BEST_FPERIOD_OVERRIDE=FQ","FILING_STATUS=OR","EQY_CONSOLIDATED=Y","FA_ADJUSTED=GAAP","Sort=A","Dates=H","DateFormat=P","Fill=—","Direction=H","UseDPDF=Y")</f>
        <v>#NAME?</v>
      </c>
      <c r="AO512" s="2" t="e">
        <f ca="1">_xll.BDH($C$503,"GEO_GROW_OPER_INC","FQ4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512" s="2" t="e">
        <f ca="1">_xll.BDH($C$503,"NET_INCOME_TO_COMMON_5_YR_GROWTH","FQ4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512" s="2" t="e">
        <f ca="1">_xll.BDH($C$503,"5Y_GEO_GROWTH_DILUTED_EPS","FQ4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512" s="2" t="e">
        <f ca="1">_xll.BDH($C$503,"GEO_GROW_DVD_PER_SH","FQ4 2015","FQ4 2015","Currency=INR","Period=FQ","BEST_FPERIOD_OVERRIDE=FQ","FILING_STATUS=OR","EQY_CONSOLIDATED=Y","Sort=A","Dates=H","DateFormat=P","Fill=—","Direction=H","UseDPDF=Y")</f>
        <v>#NAME?</v>
      </c>
      <c r="AS512" s="2" t="e">
        <f ca="1">_xll.BDH($C$503,"ACCOUNTS_RECEIVABLE_5_YR_GROWTH","FQ4 2015","FQ4 2015","Currency=INR","Period=FQ","BEST_FPERIOD_OVERRIDE=FQ","FILING_STATUS=OR","EQY_CONSOLIDATED=Y","Sort=A","Dates=H","DateFormat=P","Fill=—","Direction=H","UseDPDF=Y")</f>
        <v>#NAME?</v>
      </c>
      <c r="AT512" s="2" t="e">
        <f ca="1">_xll.BDH($C$503,"INVENTORY_5_YEAR_GROWTH","FQ4 2015","FQ4 2015","Currency=INR","Period=FQ","BEST_FPERIOD_OVERRIDE=FQ","FILING_STATUS=OR","EQY_CONSOLIDATED=Y","Sort=A","Dates=H","DateFormat=P","Fill=—","Direction=H","UseDPDF=Y")</f>
        <v>#NAME?</v>
      </c>
      <c r="AU512" s="2" t="e">
        <f ca="1">_xll.BDH($C$503,"NET_FIXED_ASSETS_5_YEAR_GROWTH","FQ4 2015","FQ4 2015","Currency=INR","Period=FQ","BEST_FPERIOD_OVERRIDE=FQ","FILING_STATUS=OR","EQY_CONSOLIDATED=Y","Sort=A","Dates=H","DateFormat=P","Fill=—","Direction=H","UseDPDF=Y")</f>
        <v>#NAME?</v>
      </c>
      <c r="AV512" s="2" t="e">
        <f ca="1">_xll.BDH($C$503,"GEO_GROW_TOT_ASSET","FQ4 2015","FQ4 2015","Currency=INR","Period=FQ","BEST_FPERIOD_OVERRIDE=FQ","FILING_STATUS=OR","EQY_CONSOLIDATED=Y","Sort=A","Dates=H","DateFormat=P","Fill=—","Direction=H","UseDPDF=Y")</f>
        <v>#NAME?</v>
      </c>
      <c r="AW512" s="2" t="e">
        <f ca="1">_xll.BDH($C$503,"MODIFIED_WORKING_CPTL_5YR_GRWTH","FQ4 2015","FQ4 2015","Currency=INR","Period=FQ","BEST_FPERIOD_OVERRIDE=FQ","FILING_STATUS=OR","EQY_CONSOLIDATED=Y","Sort=A","Dates=H","DateFormat=P","Fill=—","Direction=H","UseDPDF=Y")</f>
        <v>#NAME?</v>
      </c>
      <c r="AX512" s="2" t="e">
        <f ca="1">_xll.BDH($C$503,"WORKING_CAPITAL_5_YEAR_GROWTH","FQ4 2015","FQ4 2015","Currency=INR","Period=FQ","BEST_FPERIOD_OVERRIDE=FQ","FILING_STATUS=OR","EQY_CONSOLIDATED=Y","Sort=A","Dates=H","DateFormat=P","Fill=—","Direction=H","UseDPDF=Y")</f>
        <v>#NAME?</v>
      </c>
      <c r="AY512" s="2" t="e">
        <f ca="1">_xll.BDH($C$503,"ACCOUNTS_PAYABLE_5_YEAR_GROWTH","FQ4 2015","FQ4 2015","Currency=INR","Period=FQ","BEST_FPERIOD_OVERRIDE=FQ","FILING_STATUS=OR","EQY_CONSOLIDATED=Y","Sort=A","Dates=H","DateFormat=P","Fill=—","Direction=H","UseDPDF=Y")</f>
        <v>#NAME?</v>
      </c>
      <c r="AZ512" s="2" t="e">
        <f ca="1">_xll.BDH($C$503,"SHORT_TERM_DEBT_5_YEAR_GROWTH","FQ4 2015","FQ4 2015","Currency=INR","Period=FQ","BEST_FPERIOD_OVERRIDE=FQ","FILING_STATUS=OR","EQY_CONSOLIDATED=Y","Sort=A","Dates=H","DateFormat=P","Fill=—","Direction=H","UseDPDF=Y")</f>
        <v>#NAME?</v>
      </c>
      <c r="BA512" s="2" t="e">
        <f ca="1">_xll.BDH($C$503,"TOTAL_DEBT_5_YEAR_GROWTH","FQ4 2015","FQ4 2015","Currency=INR","Period=FQ","BEST_FPERIOD_OVERRIDE=FQ","FILING_STATUS=OR","EQY_CONSOLIDATED=Y","Sort=A","Dates=H","DateFormat=P","Fill=—","Direction=H","UseDPDF=Y")</f>
        <v>#NAME?</v>
      </c>
      <c r="BB512" s="2" t="e">
        <f ca="1">_xll.BDH($C$503,"GEO_GROW_TOT_SHRHLDR_EQY","FQ4 2015","FQ4 2015","Currency=INR","Period=FQ","BEST_FPERIOD_OVERRIDE=FQ","FILING_STATUS=OR","EQY_CONSOLIDATED=Y","Sort=A","Dates=H","DateFormat=P","Fill=—","Direction=H","UseDPDF=Y")</f>
        <v>#NAME?</v>
      </c>
      <c r="BC512" s="2" t="e">
        <f ca="1">_xll.BDH($C$503,"TOTAL_CAPITAL_5_YEAR_GROWTH","FQ4 2015","FQ4 2015","Currency=INR","Period=FQ","BEST_FPERIOD_OVERRIDE=FQ","FILING_STATUS=OR","EQY_CONSOLIDATED=Y","Sort=A","Dates=H","DateFormat=P","Fill=—","Direction=H","UseDPDF=Y")</f>
        <v>#NAME?</v>
      </c>
      <c r="BD512" s="2" t="e">
        <f ca="1">_xll.BDH($C$503,"GEO_GROW_BOOK_VAL","FQ4 2015","FQ4 2015","Currency=INR","Period=FQ","BEST_FPERIOD_OVERRIDE=FQ","FILING_STATUS=OR","EQY_CONSOLIDATED=Y","Sort=A","Dates=H","DateFormat=P","Fill=—","Direction=H","UseDPDF=Y")</f>
        <v>#NAME?</v>
      </c>
      <c r="BE512" s="2" t="e">
        <f ca="1">_xll.BDH($C$503,"GEO_GROW_CASH_OPER_ACT","FQ4 2015","FQ4 2015","Currency=INR","Period=FQ","BEST_FPERIOD_OVERRIDE=FQ","FILING_STATUS=OR","EQY_CONSOLIDATED=Y","Sort=A","Dates=H","DateFormat=P","Fill=—","Direction=H","UseDPDF=Y")</f>
        <v>#NAME?</v>
      </c>
      <c r="BF512" s="2" t="e">
        <f ca="1">_xll.BDH($C$503,"REVENUE_SEQUENTIAL_GROWTH","FQ4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512" s="2" t="e">
        <f ca="1">_xll.BDH($C$503,"EBITDA_SEQUENTIAL_GROWTH","FQ4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512" s="2" t="e">
        <f ca="1">_xll.BDH($C$503,"OPERATING_INCOME_SEQ_GROWTH","FQ4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512" s="2" t="e">
        <f ca="1">_xll.BDH($C$503,"NET_INCOME_TO_COMMON_SEQ_GROWTH","FQ4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512" s="2" t="e">
        <f ca="1">_xll.BDH($C$503,"EPS_DILUTED_SEQUENTIAL_GROWTH","FQ4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512" s="2" t="e">
        <f ca="1">_xll.BDH($C$503,"DPS_SEQUENTIAL_GROWTH","FQ4 2015","FQ4 2015","Currency=INR","Period=FQ","BEST_FPERIOD_OVERRIDE=FQ","FILING_STATUS=OR","EQY_CONSOLIDATED=Y","Sort=A","Dates=H","DateFormat=P","Fill=—","Direction=H","UseDPDF=Y")</f>
        <v>#NAME?</v>
      </c>
      <c r="BL512" s="2" t="e">
        <f ca="1">_xll.BDH($C$503,"ACCOUNTS_RECEIVABLE_SEQ_GROWTH","FQ4 2015","FQ4 2015","Currency=INR","Period=FQ","BEST_FPERIOD_OVERRIDE=FQ","FILING_STATUS=OR","EQY_CONSOLIDATED=Y","Sort=A","Dates=H","DateFormat=P","Fill=—","Direction=H","UseDPDF=Y")</f>
        <v>#NAME?</v>
      </c>
      <c r="BM512" s="2" t="e">
        <f ca="1">_xll.BDH($C$503,"INVENTORY_SEQUENTIAL_GROWTH","FQ4 2015","FQ4 2015","Currency=INR","Period=FQ","BEST_FPERIOD_OVERRIDE=FQ","FILING_STATUS=OR","EQY_CONSOLIDATED=Y","Sort=A","Dates=H","DateFormat=P","Fill=—","Direction=H","UseDPDF=Y")</f>
        <v>#NAME?</v>
      </c>
      <c r="BN512" s="2" t="e">
        <f ca="1">_xll.BDH($C$503,"FIXED_ASSETS_SEQUENTIAL_GROWTH","FQ4 2015","FQ4 2015","Currency=INR","Period=FQ","BEST_FPERIOD_OVERRIDE=FQ","FILING_STATUS=OR","EQY_CONSOLIDATED=Y","Sort=A","Dates=H","DateFormat=P","Fill=—","Direction=H","UseDPDF=Y")</f>
        <v>#NAME?</v>
      </c>
      <c r="BO512" s="2" t="e">
        <f ca="1">_xll.BDH($C$503,"TOTAL_ASSETS_SEQUENTIAL_GROWTH","FQ4 2015","FQ4 2015","Currency=INR","Period=FQ","BEST_FPERIOD_OVERRIDE=FQ","FILING_STATUS=OR","EQY_CONSOLIDATED=Y","Sort=A","Dates=H","DateFormat=P","Fill=—","Direction=H","UseDPDF=Y")</f>
        <v>#NAME?</v>
      </c>
      <c r="BP512" s="2" t="e">
        <f ca="1">_xll.BDH($C$503,"MODIFIED_WORKING_CPTL_SEQ_GRWTH","FQ4 2015","FQ4 2015","Currency=INR","Period=FQ","BEST_FPERIOD_OVERRIDE=FQ","FILING_STATUS=OR","EQY_CONSOLIDATED=Y","Sort=A","Dates=H","DateFormat=P","Fill=—","Direction=H","UseDPDF=Y")</f>
        <v>#NAME?</v>
      </c>
      <c r="BQ512" s="2" t="e">
        <f ca="1">_xll.BDH($C$503,"WORKING_CAPITAL_SEQ_GROWTH","FQ4 2015","FQ4 2015","Currency=INR","Period=FQ","BEST_FPERIOD_OVERRIDE=FQ","FILING_STATUS=OR","EQY_CONSOLIDATED=Y","Sort=A","Dates=H","DateFormat=P","Fill=—","Direction=H","UseDPDF=Y")</f>
        <v>#NAME?</v>
      </c>
      <c r="BR512" s="2" t="e">
        <f ca="1">_xll.BDH($C$503,"ACCOUNTS_PAYABLE_SEQ_GROWTH","FQ4 2015","FQ4 2015","Currency=INR","Period=FQ","BEST_FPERIOD_OVERRIDE=FQ","FILING_STATUS=OR","EQY_CONSOLIDATED=Y","Sort=A","Dates=H","DateFormat=P","Fill=—","Direction=H","UseDPDF=Y")</f>
        <v>#NAME?</v>
      </c>
      <c r="BS512" s="2" t="e">
        <f ca="1">_xll.BDH($C$503,"ST_DEBT_SEQUENTIAL_GROWTH","FQ4 2015","FQ4 2015","Currency=INR","Period=FQ","BEST_FPERIOD_OVERRIDE=FQ","FILING_STATUS=OR","EQY_CONSOLIDATED=Y","Sort=A","Dates=H","DateFormat=P","Fill=—","Direction=H","UseDPDF=Y")</f>
        <v>#NAME?</v>
      </c>
      <c r="BT512" s="2" t="e">
        <f ca="1">_xll.BDH($C$503,"TOTAL_DEBT_SEQUENTIAL_GROWTH","FQ4 2015","FQ4 2015","Currency=INR","Period=FQ","BEST_FPERIOD_OVERRIDE=FQ","FILING_STATUS=OR","EQY_CONSOLIDATED=Y","Sort=A","Dates=H","DateFormat=P","Fill=—","Direction=H","UseDPDF=Y")</f>
        <v>#NAME?</v>
      </c>
      <c r="BU512" s="2" t="e">
        <f ca="1">_xll.BDH($C$503,"TOTAL_EQUITY_SEQUENTIAL_GROWTH","FQ4 2015","FQ4 2015","Currency=INR","Period=FQ","BEST_FPERIOD_OVERRIDE=FQ","FILING_STATUS=OR","EQY_CONSOLIDATED=Y","Sort=A","Dates=H","DateFormat=P","Fill=—","Direction=H","UseDPDF=Y")</f>
        <v>#NAME?</v>
      </c>
      <c r="BV512" s="2" t="e">
        <f ca="1">_xll.BDH($C$503,"TOTAL_CAPITAL_SEQUENTIAL_GROWTH","FQ4 2015","FQ4 2015","Currency=INR","Period=FQ","BEST_FPERIOD_OVERRIDE=FQ","FILING_STATUS=OR","EQY_CONSOLIDATED=Y","Sort=A","Dates=H","DateFormat=P","Fill=—","Direction=H","UseDPDF=Y")</f>
        <v>#NAME?</v>
      </c>
      <c r="BW512" s="2" t="e">
        <f ca="1">_xll.BDH($C$503,"BPS_SEQUENTIAL_GROWTH","FQ4 2015","FQ4 2015","Currency=INR","Period=FQ","BEST_FPERIOD_OVERRIDE=FQ","FILING_STATUS=OR","EQY_CONSOLIDATED=Y","Sort=A","Dates=H","DateFormat=P","Fill=—","Direction=H","UseDPDF=Y")</f>
        <v>#NAME?</v>
      </c>
      <c r="BX512" s="2" t="e">
        <f ca="1">_xll.BDH($C$503,"CFO_SEQUENTIAL_GROWTH","FQ4 2015","FQ4 2015","Currency=INR","Period=FQ","BEST_FPERIOD_OVERRIDE=FQ","FILING_STATUS=OR","EQY_CONSOLIDATED=Y","Sort=A","Dates=H","DateFormat=P","Fill=—","Direction=H","UseDPDF=Y")</f>
        <v>#NAME?</v>
      </c>
      <c r="BY512" s="3" t="e">
        <f ca="1">_xll.BDH($C$503,"SHORT_AND_LONG_TERM_DEBT","FQ4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512" s="3" t="e">
        <f ca="1">_xll.BDH($C$503,"BS_ST_BORROW","FQ4 2015","FQ4 2015","Currency=INR","Period=FQ","BEST_FPERIOD_OVERRIDE=FQ","FILING_STATUS=OR","EQY_CONSOLIDATED=Y","SCALING_FORMAT=MLN","Sort=A","Dates=H","DateFormat=P","Fill=—","Direction=H","UseDPDF=Y")</f>
        <v>#NAME?</v>
      </c>
      <c r="CA512" s="3" t="e">
        <f ca="1">_xll.BDH($C$503,"BS_LT_BORROW","FQ4 2015","FQ4 2015","Currency=INR","Period=FQ","BEST_FPERIOD_OVERRIDE=FQ","FILING_STATUS=OR","EQY_CONSOLIDATED=Y","SCALING_FORMAT=MLN","Sort=A","Dates=H","DateFormat=P","Fill=—","Direction=H","UseDPDF=Y")</f>
        <v>#NAME?</v>
      </c>
      <c r="CB512" s="2" t="e">
        <f ca="1">_xll.BDH($C$503,"TOT_DEBT_TO_EBITDA","FQ4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512" s="2" t="e">
        <f ca="1">_xll.BDH($C$503,"NET_DEBT_TO_EBITDA","FQ4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512" s="2" t="e">
        <f ca="1">_xll.BDH($C$503,"TOTAL_DEBT_TO_EBIT","FQ4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512" s="2" t="e">
        <f ca="1">_xll.BDH($C$503,"NET_DEBT_TO_EBIT","FQ4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512" s="2" t="e">
        <f ca="1">_xll.BDH($C$503,"EBITDA_TO_INTEREST_EXPN","FQ4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512" s="2" t="e">
        <f ca="1">_xll.BDH($C$503,"COM_EQY_TO_TOT_ASSET","FQ4 2015","FQ4 2015","Currency=INR","Period=FQ","BEST_FPERIOD_OVERRIDE=FQ","FILING_STATUS=OR","EQY_CONSOLIDATED=Y","Sort=A","Dates=H","DateFormat=P","Fill=—","Direction=H","UseDPDF=Y")</f>
        <v>#NAME?</v>
      </c>
      <c r="CH512" s="2" t="e">
        <f ca="1">_xll.BDH($C$503,"LT_DEBT_TO_TOT_EQY","FQ4 2015","FQ4 2015","Currency=INR","Period=FQ","BEST_FPERIOD_OVERRIDE=FQ","FILING_STATUS=OR","EQY_CONSOLIDATED=Y","Sort=A","Dates=H","DateFormat=P","Fill=—","Direction=H","UseDPDF=Y")</f>
        <v>#NAME?</v>
      </c>
      <c r="CI512" s="2" t="e">
        <f ca="1">_xll.BDH($C$503,"LT_DEBT_TO_TOT_CAP","FQ4 2015","FQ4 2015","Currency=INR","Period=FQ","BEST_FPERIOD_OVERRIDE=FQ","FILING_STATUS=OR","EQY_CONSOLIDATED=Y","Sort=A","Dates=H","DateFormat=P","Fill=—","Direction=H","UseDPDF=Y")</f>
        <v>#NAME?</v>
      </c>
      <c r="CJ512" s="2" t="e">
        <f ca="1">_xll.BDH($C$503,"LT_DEBT_TO_TOT_ASSET","FQ4 2015","FQ4 2015","Currency=INR","Period=FQ","BEST_FPERIOD_OVERRIDE=FQ","FILING_STATUS=OR","EQY_CONSOLIDATED=Y","Sort=A","Dates=H","DateFormat=P","Fill=—","Direction=H","UseDPDF=Y")</f>
        <v>#NAME?</v>
      </c>
      <c r="CK512" s="2" t="e">
        <f ca="1">_xll.BDH($C$503,"TOT_DEBT_TO_TOT_EQY","FQ4 2015","FQ4 2015","Currency=INR","Period=FQ","BEST_FPERIOD_OVERRIDE=FQ","FILING_STATUS=OR","EQY_CONSOLIDATED=Y","Sort=A","Dates=H","DateFormat=P","Fill=—","Direction=H","UseDPDF=Y")</f>
        <v>#NAME?</v>
      </c>
      <c r="CL512" s="2" t="e">
        <f ca="1">_xll.BDH($C$503,"TOT_DEBT_TO_TOT_CAP","FQ4 2015","FQ4 2015","Currency=INR","Period=FQ","BEST_FPERIOD_OVERRIDE=FQ","FILING_STATUS=OR","EQY_CONSOLIDATED=Y","Sort=A","Dates=H","DateFormat=P","Fill=—","Direction=H","UseDPDF=Y")</f>
        <v>#NAME?</v>
      </c>
      <c r="CM512" s="2" t="e">
        <f ca="1">_xll.BDH($C$503,"TOT_DEBT_TO_TOT_ASSET","FQ4 2015","FQ4 2015","Currency=INR","Period=FQ","BEST_FPERIOD_OVERRIDE=FQ","FILING_STATUS=OR","EQY_CONSOLIDATED=Y","Sort=A","Dates=H","DateFormat=P","Fill=—","Direction=H","UseDPDF=Y")</f>
        <v>#NAME?</v>
      </c>
      <c r="CN512" s="2" t="e">
        <f ca="1">_xll.BDH($C$503,"NET_DEBT_TO_SHRHLDR_EQTY","FQ4 2015","FQ4 2015","Currency=INR","Period=FQ","BEST_FPERIOD_OVERRIDE=FQ","FILING_STATUS=OR","EQY_CONSOLIDATED=Y","Sort=A","Dates=H","DateFormat=P","Fill=—","Direction=H","UseDPDF=Y")</f>
        <v>#NAME?</v>
      </c>
      <c r="CO512" s="2" t="e">
        <f ca="1">_xll.BDH($C$503,"NET_DEBT_%_CAPITAL","FQ4 2015","FQ4 2015","Currency=INR","Period=FQ","BEST_FPERIOD_OVERRIDE=FQ","FILING_STATUS=OR","EQY_CONSOLIDATED=Y","Sort=A","Dates=H","DateFormat=P","Fill=—","Direction=H","UseDPDF=Y")</f>
        <v>#NAME?</v>
      </c>
      <c r="CP512" s="3" t="e">
        <f ca="1">_xll.BDH($C$503,"EBITDA","FQ4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512" s="3" t="e">
        <f ca="1">_xll.BDH($C$503,"EBITDA_AFTER_CAPEX","FQ4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512" s="3" t="e">
        <f ca="1">_xll.BDH($C$503,"IS_OPER_INC","FQ4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512" s="2" t="e">
        <f ca="1">_xll.BDH($C$503,"CASH_RATIO","FQ4 2015","FQ4 2015","Currency=INR","Period=FQ","BEST_FPERIOD_OVERRIDE=FQ","FILING_STATUS=OR","EQY_CONSOLIDATED=Y","Sort=A","Dates=H","DateFormat=P","Fill=—","Direction=H","UseDPDF=Y")</f>
        <v>#NAME?</v>
      </c>
      <c r="CT512" s="2" t="e">
        <f ca="1">_xll.BDH($C$503,"CUR_RATIO","FQ4 2015","FQ4 2015","Currency=INR","Period=FQ","BEST_FPERIOD_OVERRIDE=FQ","FILING_STATUS=OR","EQY_CONSOLIDATED=Y","Sort=A","Dates=H","DateFormat=P","Fill=—","Direction=H","UseDPDF=Y")</f>
        <v>#NAME?</v>
      </c>
      <c r="CU512" s="2" t="e">
        <f ca="1">_xll.BDH($C$503,"QUICK_RATIO","FQ4 2015","FQ4 2015","Currency=INR","Period=FQ","BEST_FPERIOD_OVERRIDE=FQ","FILING_STATUS=OR","EQY_CONSOLIDATED=Y","Sort=A","Dates=H","DateFormat=P","Fill=—","Direction=H","UseDPDF=Y")</f>
        <v>#NAME?</v>
      </c>
      <c r="CV512" s="2" t="e">
        <f ca="1">_xll.BDH($C$503,"ALTMAN_Z_SCORE","FQ4 2015","FQ4 2015","Currency=INR","Period=FQ","BEST_FPERIOD_OVERRIDE=FQ","FILING_STATUS=OR","EQY_CONSOLIDATED=Y","Sort=A","Dates=H","DateFormat=P","Fill=—","Direction=H","UseDPDF=Y")</f>
        <v>#NAME?</v>
      </c>
      <c r="CW512" s="4" t="e">
        <f ca="1">_xll.BDH($C$503,"ACCT_RCV_TURN","FQ4 2015","FQ4 2015","Currency=INR","Period=FQ","BEST_FPERIOD_OVERRIDE=FQ","FILING_STATUS=OR","EQY_CONSOLIDATED=Y","FA_ADJUSTED=GAAP","Sort=A","Dates=H","DateFormat=P","Fill=—","Direction=H","UseDPDF=Y")</f>
        <v>#NAME?</v>
      </c>
      <c r="CX512" s="2" t="e">
        <f ca="1">_xll.BDH($C$503,"ACCT_RCV_DAYS","FQ4 2015","FQ4 2015","Currency=INR","Period=FQ","BEST_FPERIOD_OVERRIDE=FQ","FILING_STATUS=OR","EQY_CONSOLIDATED=Y","FA_ADJUSTED=GAAP","Sort=A","Dates=H","DateFormat=P","Fill=—","Direction=H","UseDPDF=Y")</f>
        <v>#NAME?</v>
      </c>
      <c r="CY512" s="4" t="e">
        <f ca="1">_xll.BDH($C$503,"INVENT_TURN","FQ4 2015","FQ4 2015","Currency=INR","Period=FQ","BEST_FPERIOD_OVERRIDE=FQ","FILING_STATUS=OR","EQY_CONSOLIDATED=Y","FA_ADJUSTED=GAAP","Sort=A","Dates=H","DateFormat=P","Fill=—","Direction=H","UseDPDF=Y")</f>
        <v>#NAME?</v>
      </c>
      <c r="CZ512" s="2" t="e">
        <f ca="1">_xll.BDH($C$503,"INVENT_DAYS","FQ4 2015","FQ4 2015","Currency=INR","Period=FQ","BEST_FPERIOD_OVERRIDE=FQ","FILING_STATUS=OR","EQY_CONSOLIDATED=Y","FA_ADJUSTED=GAAP","Sort=A","Dates=H","DateFormat=P","Fill=—","Direction=H","UseDPDF=Y")</f>
        <v>#NAME?</v>
      </c>
      <c r="DA512" s="4" t="e">
        <f ca="1">_xll.BDH($C$503,"ACCOUNTS_PAYABLE_TURNOVER","FQ4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512" s="2" t="e">
        <f ca="1">_xll.BDH($C$503,"ACCOUNTS_PAYABLE_TURNOVER_DAYS","FQ4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512" s="4" t="e">
        <f ca="1">_xll.BDH($C$503,"CASH_CONVERSION_CYCLE","FQ4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512" s="4" t="e">
        <f ca="1">_xll.BDH($C$503,"INV_TO_CASH_DAYS","FQ4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512" s="5" t="e">
        <f ca="1">_xll.BDH($C$503,"BS_INVENTORIES","FQ4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512" s="3" t="e">
        <f ca="1">_xll.BDH($C$503,"INVTRY_RAW_MATERIALS","FQ4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512" s="3" t="e">
        <f ca="1">_xll.BDH($C$503,"INVTRY_IN_PROGRESS","FQ4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512" s="3" t="e">
        <f ca="1">_xll.BDH($C$503,"INVTRY_FINISHED_GOODS","FQ4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512" s="3" t="e">
        <f ca="1">_xll.BDH($C$503,"BS_OTHER_INV","FQ4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513" spans="1:113" x14ac:dyDescent="0.3">
      <c r="A513" s="6"/>
      <c r="B513" s="6"/>
      <c r="C513" s="6"/>
      <c r="D513" s="6" t="s">
        <v>83</v>
      </c>
      <c r="E513" t="s">
        <v>77</v>
      </c>
      <c r="F513" t="e">
        <f ca="1">_xll.BDH($C$503,"RETURN_COM_EQY","FY 2016","FY 2016","Currency=INR","Period=FY","BEST_FPERIOD_OVERRIDE=FY","FILING_STATUS=OR","EQY_CONSOLIDATED=Y","FA_ADJUSTED=GAAP","Sort=A","Dates=H","DateFormat=P","Fill=—","Direction=H","UseDPDF=Y")</f>
        <v>#NAME?</v>
      </c>
      <c r="G513" t="e">
        <f ca="1">_xll.BDH($C$503,"RETURN_ON_ASSET","FY 2016","FY 2016","Currency=INR","Period=FY","BEST_FPERIOD_OVERRIDE=FY","FILING_STATUS=OR","EQY_CONSOLIDATED=Y","FA_ADJUSTED=GAAP","Sort=A","Dates=H","DateFormat=P","Fill=—","Direction=H","UseDPDF=Y")</f>
        <v>#NAME?</v>
      </c>
      <c r="H513" t="e">
        <f ca="1">_xll.BDH($C$503,"RETURN_ON_CAP","FY 2016","FY 2016","Currency=INR","Period=FY","BEST_FPERIOD_OVERRIDE=FY","FILING_STATUS=OR","EQY_CONSOLIDATED=Y","FA_ADJUSTED=GAAP","Sort=A","Dates=H","DateFormat=P","Fill=—","Direction=H","UseDPDF=Y")</f>
        <v>#NAME?</v>
      </c>
      <c r="I513" t="e">
        <f ca="1">_xll.BDH($C$503,"RETURN_ON_INV_CAPITAL","FY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513" t="e">
        <f ca="1">_xll.BDH($C$503,"EBITDA_TO_REVENUE","FY 2016","FY 2016","Currency=INR","Period=FY","BEST_FPERIOD_OVERRIDE=FY","FILING_STATUS=OR","EQY_CONSOLIDATED=Y","FA_ADJUSTED=GAAP","Sort=A","Dates=H","DateFormat=P","Fill=—","Direction=H","UseDPDF=Y")</f>
        <v>#NAME?</v>
      </c>
      <c r="K513" t="e">
        <f ca="1">_xll.BDH($C$503,"OPER_MARGIN","FY 2016","FY 2016","Currency=INR","Period=FY","BEST_FPERIOD_OVERRIDE=FY","FILING_STATUS=OR","EQY_CONSOLIDATED=Y","FA_ADJUSTED=GAAP","Sort=A","Dates=H","DateFormat=P","Fill=—","Direction=H","UseDPDF=Y")</f>
        <v>#NAME?</v>
      </c>
      <c r="L513" t="e">
        <f ca="1">_xll.BDH($C$503,"INCREMENTAL_OPERATING_MARGIN","FY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513" t="e">
        <f ca="1">_xll.BDH($C$503,"PRETAX_INC_TO_NET_SALES","FY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513" t="e">
        <f ca="1">_xll.BDH($C$503,"INC_BEF_XO_ITEMS_TO_NET_SALES","FY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513" t="e">
        <f ca="1">_xll.BDH($C$503,"PROF_MARGIN","FY 2016","FY 2016","Currency=INR","Period=FY","BEST_FPERIOD_OVERRIDE=FY","FILING_STATUS=OR","EQY_CONSOLIDATED=Y","FA_ADJUSTED=GAAP","Sort=A","Dates=H","DateFormat=P","Fill=—","Direction=H","UseDPDF=Y")</f>
        <v>#NAME?</v>
      </c>
      <c r="P513" t="e">
        <f ca="1">_xll.BDH($C$503,"NET_INCOME_TO_COMMON_MARGIN","FY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513" t="e">
        <f ca="1">_xll.BDH($C$503,"EFF_TAX_RATE","FY 2016","FY 2016","Currency=INR","Period=FY","BEST_FPERIOD_OVERRIDE=FY","FILING_STATUS=OR","EQY_CONSOLIDATED=Y","FA_ADJUSTED=GAAP","Sort=A","Dates=H","DateFormat=P","Fill=—","Direction=H","UseDPDF=Y")</f>
        <v>#NAME?</v>
      </c>
      <c r="R513" t="e">
        <f ca="1">_xll.BDH($C$503,"DVD_PAYOUT_RATIO","FY 2016","FY 2016","Currency=INR","Period=FY","BEST_FPERIOD_OVERRIDE=FY","FILING_STATUS=OR","EQY_CONSOLIDATED=Y","FA_ADJUSTED=GAAP","Sort=A","Dates=H","DateFormat=P","Fill=—","Direction=H","UseDPDF=Y")</f>
        <v>#NAME?</v>
      </c>
      <c r="S513" t="e">
        <f ca="1">_xll.BDH($C$503,"SUSTAIN_GROWTH_RT","FY 2016","FY 2016","Currency=INR","Period=FY","BEST_FPERIOD_OVERRIDE=FY","FILING_STATUS=OR","EQY_CONSOLIDATED=Y","FA_ADJUSTED=GAAP","Sort=A","Dates=H","DateFormat=P","Fill=—","Direction=H","UseDPDF=Y")</f>
        <v>#NAME?</v>
      </c>
      <c r="T513" s="2" t="e">
        <f ca="1">_xll.BDH($C$503,"SALES_GROWTH","FY 2016","FY 2016","Currency=INR","Period=FY","BEST_FPERIOD_OVERRIDE=FY","FILING_STATUS=OR","EQY_CONSOLIDATED=Y","FA_ADJUSTED=GAAP","Sort=A","Dates=H","DateFormat=P","Fill=—","Direction=H","UseDPDF=Y")</f>
        <v>#NAME?</v>
      </c>
      <c r="U513" s="2" t="e">
        <f ca="1">_xll.BDH($C$503,"EBITDA_GROWTH","FY 2016","FY 2016","Currency=INR","Period=FY","BEST_FPERIOD_OVERRIDE=FY","FILING_STATUS=OR","EQY_CONSOLIDATED=Y","FA_ADJUSTED=GAAP","Sort=A","Dates=H","DateFormat=P","Fill=—","Direction=H","UseDPDF=Y")</f>
        <v>#NAME?</v>
      </c>
      <c r="V513" s="2" t="e">
        <f ca="1">_xll.BDH($C$503,"OPER_INC_GROWTH","FY 2016","FY 2016","Currency=INR","Period=FY","BEST_FPERIOD_OVERRIDE=FY","FILING_STATUS=OR","EQY_CONSOLIDATED=Y","FA_ADJUSTED=GAAP","Sort=A","Dates=H","DateFormat=P","Fill=—","Direction=H","UseDPDF=Y")</f>
        <v>#NAME?</v>
      </c>
      <c r="W513" s="2" t="e">
        <f ca="1">_xll.BDH($C$503,"EARN_FOR_COM_GROWTH","FY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513" s="2" t="e">
        <f ca="1">_xll.BDH($C$503,"DILUTED_EPS_AFT_XO_ITEMS_GROWTH","FY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513" s="2" t="e">
        <f ca="1">_xll.BDH($C$503,"DIVIDEND_PER_SHARE_1_YEAR_GROWTH","FY 2016","FY 2016","Currency=INR","Period=FY","BEST_FPERIOD_OVERRIDE=FY","FILING_STATUS=OR","EQY_CONSOLIDATED=Y","Sort=A","Dates=H","DateFormat=P","Fill=—","Direction=H","UseDPDF=Y")</f>
        <v>#NAME?</v>
      </c>
      <c r="Z513" s="2" t="e">
        <f ca="1">_xll.BDH($C$503,"ACCOUNTS_RECEIVABLE_GROWTH","FY 2016","FY 2016","Currency=INR","Period=FY","BEST_FPERIOD_OVERRIDE=FY","FILING_STATUS=OR","EQY_CONSOLIDATED=Y","Sort=A","Dates=H","DateFormat=P","Fill=—","Direction=H","UseDPDF=Y")</f>
        <v>#NAME?</v>
      </c>
      <c r="AA513" s="2" t="e">
        <f ca="1">_xll.BDH($C$503,"INVENTORY_GROWTH","FY 2016","FY 2016","Currency=INR","Period=FY","BEST_FPERIOD_OVERRIDE=FY","FILING_STATUS=OR","EQY_CONSOLIDATED=Y","Sort=A","Dates=H","DateFormat=P","Fill=—","Direction=H","UseDPDF=Y")</f>
        <v>#NAME?</v>
      </c>
      <c r="AB513" s="2" t="e">
        <f ca="1">_xll.BDH($C$503,"NET_FIXED_ASSETS_1_YEAR_GROWTH","FY 2016","FY 2016","Currency=INR","Period=FY","BEST_FPERIOD_OVERRIDE=FY","FILING_STATUS=OR","EQY_CONSOLIDATED=Y","Sort=A","Dates=H","DateFormat=P","Fill=—","Direction=H","UseDPDF=Y")</f>
        <v>#NAME?</v>
      </c>
      <c r="AC513" s="2" t="e">
        <f ca="1">_xll.BDH($C$503,"ASSET_GROWTH","FY 2016","FY 2016","Currency=INR","Period=FY","BEST_FPERIOD_OVERRIDE=FY","FILING_STATUS=OR","EQY_CONSOLIDATED=Y","Sort=A","Dates=H","DateFormat=P","Fill=—","Direction=H","UseDPDF=Y")</f>
        <v>#NAME?</v>
      </c>
      <c r="AD513" s="2" t="e">
        <f ca="1">_xll.BDH($C$503,"MODIFIED_WORK_CAP_GROWTH","FY 2016","FY 2016","Currency=INR","Period=FY","BEST_FPERIOD_OVERRIDE=FY","FILING_STATUS=OR","EQY_CONSOLIDATED=Y","Sort=A","Dates=H","DateFormat=P","Fill=—","Direction=H","UseDPDF=Y")</f>
        <v>#NAME?</v>
      </c>
      <c r="AE513" s="2" t="e">
        <f ca="1">_xll.BDH($C$503,"WORK_CAP_GROWTH","FY 2016","FY 2016","Currency=INR","Period=FY","BEST_FPERIOD_OVERRIDE=FY","FILING_STATUS=OR","EQY_CONSOLIDATED=Y","Sort=A","Dates=H","DateFormat=P","Fill=—","Direction=H","UseDPDF=Y")</f>
        <v>#NAME?</v>
      </c>
      <c r="AF513" s="2" t="e">
        <f ca="1">_xll.BDH($C$503,"ACCOUNTS_PAYABLE_GROWTH_1YR","FY 2016","FY 2016","Currency=INR","Period=FY","BEST_FPERIOD_OVERRIDE=FY","FILING_STATUS=OR","EQY_CONSOLIDATED=Y","Sort=A","Dates=H","DateFormat=P","Fill=—","Direction=H","UseDPDF=Y")</f>
        <v>#NAME?</v>
      </c>
      <c r="AG513" s="2" t="e">
        <f ca="1">_xll.BDH($C$503,"SHORT_TERM_DEBT_1_YEAR_GROWTH","FY 2016","FY 2016","Currency=INR","Period=FY","BEST_FPERIOD_OVERRIDE=FY","FILING_STATUS=OR","EQY_CONSOLIDATED=Y","Sort=A","Dates=H","DateFormat=P","Fill=—","Direction=H","UseDPDF=Y")</f>
        <v>#NAME?</v>
      </c>
      <c r="AH513" s="2" t="e">
        <f ca="1">_xll.BDH($C$503,"TOTAL_DEBT_1_YEAR_GROWTH","FY 2016","FY 2016","Currency=INR","Period=FY","BEST_FPERIOD_OVERRIDE=FY","FILING_STATUS=OR","EQY_CONSOLIDATED=Y","Sort=A","Dates=H","DateFormat=P","Fill=—","Direction=H","UseDPDF=Y")</f>
        <v>#NAME?</v>
      </c>
      <c r="AI513" s="2" t="e">
        <f ca="1">_xll.BDH($C$503,"TOTAL_EQUITY_1_YEAR_GROWTH","FY 2016","FY 2016","Currency=INR","Period=FY","BEST_FPERIOD_OVERRIDE=FY","FILING_STATUS=OR","EQY_CONSOLIDATED=Y","Sort=A","Dates=H","DateFormat=P","Fill=—","Direction=H","UseDPDF=Y")</f>
        <v>#NAME?</v>
      </c>
      <c r="AJ513" s="2" t="e">
        <f ca="1">_xll.BDH($C$503,"GROWTH_IN_CAP","FY 2016","FY 2016","Currency=INR","Period=FY","BEST_FPERIOD_OVERRIDE=FY","FILING_STATUS=OR","EQY_CONSOLIDATED=Y","Sort=A","Dates=H","DateFormat=P","Fill=—","Direction=H","UseDPDF=Y")</f>
        <v>#NAME?</v>
      </c>
      <c r="AK513" s="2" t="e">
        <f ca="1">_xll.BDH($C$503,"BVPS_GROWTH","FY 2016","FY 2016","Currency=INR","Period=FY","BEST_FPERIOD_OVERRIDE=FY","FILING_STATUS=OR","EQY_CONSOLIDATED=Y","Sort=A","Dates=H","DateFormat=P","Fill=—","Direction=H","UseDPDF=Y")</f>
        <v>#NAME?</v>
      </c>
      <c r="AL513" s="2" t="e">
        <f ca="1">_xll.BDH($C$503,"CASH_FLOW_GROWTH","FY 2016","FY 2016","Currency=INR","Period=FY","BEST_FPERIOD_OVERRIDE=FY","FILING_STATUS=OR","EQY_CONSOLIDATED=Y","Sort=A","Dates=H","DateFormat=P","Fill=—","Direction=H","UseDPDF=Y")</f>
        <v>#NAME?</v>
      </c>
      <c r="AM513" s="2" t="e">
        <f ca="1">_xll.BDH($C$503,"GEO_GROW_NET_SALES","FY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513" s="2" t="e">
        <f ca="1">_xll.BDH($C$503,"GEO_GROW_EBITDA","FY 2016","FY 2016","Currency=INR","Period=FY","BEST_FPERIOD_OVERRIDE=FY","FILING_STATUS=OR","EQY_CONSOLIDATED=Y","FA_ADJUSTED=GAAP","Sort=A","Dates=H","DateFormat=P","Fill=—","Direction=H","UseDPDF=Y")</f>
        <v>#NAME?</v>
      </c>
      <c r="AO513" s="2" t="e">
        <f ca="1">_xll.BDH($C$503,"GEO_GROW_OPER_INC","FY 2016","FY 2016","Currency=INR","Period=FY","BEST_FPERIOD_OVERRIDE=FY","FILING_STATUS=OR","EQY_CONSOLIDATED=Y","FA_ADJUSTED=GAAP","Sort=A","Dates=H","DateFormat=P","Fill=—","Direction=H","UseDPDF=Y")</f>
        <v>#NAME?</v>
      </c>
      <c r="AP513" s="2" t="e">
        <f ca="1">_xll.BDH($C$503,"NET_INCOME_TO_COMMON_5_YR_GROWTH","FY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513" s="2" t="e">
        <f ca="1">_xll.BDH($C$503,"5Y_GEO_GROWTH_DILUTED_EPS","FY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513" s="2" t="e">
        <f ca="1">_xll.BDH($C$503,"GEO_GROW_DVD_PER_SH","FY 2016","FY 2016","Currency=INR","Period=FY","BEST_FPERIOD_OVERRIDE=FY","FILING_STATUS=OR","EQY_CONSOLIDATED=Y","Sort=A","Dates=H","DateFormat=P","Fill=—","Direction=H","UseDPDF=Y")</f>
        <v>#NAME?</v>
      </c>
      <c r="AS513" s="2" t="e">
        <f ca="1">_xll.BDH($C$503,"ACCOUNTS_RECEIVABLE_5_YR_GROWTH","FY 2016","FY 2016","Currency=INR","Period=FY","BEST_FPERIOD_OVERRIDE=FY","FILING_STATUS=OR","EQY_CONSOLIDATED=Y","Sort=A","Dates=H","DateFormat=P","Fill=—","Direction=H","UseDPDF=Y")</f>
        <v>#NAME?</v>
      </c>
      <c r="AT513" s="2" t="e">
        <f ca="1">_xll.BDH($C$503,"INVENTORY_5_YEAR_GROWTH","FY 2016","FY 2016","Currency=INR","Period=FY","BEST_FPERIOD_OVERRIDE=FY","FILING_STATUS=OR","EQY_CONSOLIDATED=Y","Sort=A","Dates=H","DateFormat=P","Fill=—","Direction=H","UseDPDF=Y")</f>
        <v>#NAME?</v>
      </c>
      <c r="AU513" s="2" t="e">
        <f ca="1">_xll.BDH($C$503,"NET_FIXED_ASSETS_5_YEAR_GROWTH","FY 2016","FY 2016","Currency=INR","Period=FY","BEST_FPERIOD_OVERRIDE=FY","FILING_STATUS=OR","EQY_CONSOLIDATED=Y","Sort=A","Dates=H","DateFormat=P","Fill=—","Direction=H","UseDPDF=Y")</f>
        <v>#NAME?</v>
      </c>
      <c r="AV513" s="2" t="e">
        <f ca="1">_xll.BDH($C$503,"GEO_GROW_TOT_ASSET","FY 2016","FY 2016","Currency=INR","Period=FY","BEST_FPERIOD_OVERRIDE=FY","FILING_STATUS=OR","EQY_CONSOLIDATED=Y","Sort=A","Dates=H","DateFormat=P","Fill=—","Direction=H","UseDPDF=Y")</f>
        <v>#NAME?</v>
      </c>
      <c r="AW513" s="2" t="e">
        <f ca="1">_xll.BDH($C$503,"MODIFIED_WORKING_CPTL_5YR_GRWTH","FY 2016","FY 2016","Currency=INR","Period=FY","BEST_FPERIOD_OVERRIDE=FY","FILING_STATUS=OR","EQY_CONSOLIDATED=Y","Sort=A","Dates=H","DateFormat=P","Fill=—","Direction=H","UseDPDF=Y")</f>
        <v>#NAME?</v>
      </c>
      <c r="AX513" s="2" t="e">
        <f ca="1">_xll.BDH($C$503,"WORKING_CAPITAL_5_YEAR_GROWTH","FY 2016","FY 2016","Currency=INR","Period=FY","BEST_FPERIOD_OVERRIDE=FY","FILING_STATUS=OR","EQY_CONSOLIDATED=Y","Sort=A","Dates=H","DateFormat=P","Fill=—","Direction=H","UseDPDF=Y")</f>
        <v>#NAME?</v>
      </c>
      <c r="AY513" s="2" t="e">
        <f ca="1">_xll.BDH($C$503,"ACCOUNTS_PAYABLE_5_YEAR_GROWTH","FY 2016","FY 2016","Currency=INR","Period=FY","BEST_FPERIOD_OVERRIDE=FY","FILING_STATUS=OR","EQY_CONSOLIDATED=Y","Sort=A","Dates=H","DateFormat=P","Fill=—","Direction=H","UseDPDF=Y")</f>
        <v>#NAME?</v>
      </c>
      <c r="AZ513" s="2" t="e">
        <f ca="1">_xll.BDH($C$503,"SHORT_TERM_DEBT_5_YEAR_GROWTH","FY 2016","FY 2016","Currency=INR","Period=FY","BEST_FPERIOD_OVERRIDE=FY","FILING_STATUS=OR","EQY_CONSOLIDATED=Y","Sort=A","Dates=H","DateFormat=P","Fill=—","Direction=H","UseDPDF=Y")</f>
        <v>#NAME?</v>
      </c>
      <c r="BA513" s="2" t="e">
        <f ca="1">_xll.BDH($C$503,"TOTAL_DEBT_5_YEAR_GROWTH","FY 2016","FY 2016","Currency=INR","Period=FY","BEST_FPERIOD_OVERRIDE=FY","FILING_STATUS=OR","EQY_CONSOLIDATED=Y","Sort=A","Dates=H","DateFormat=P","Fill=—","Direction=H","UseDPDF=Y")</f>
        <v>#NAME?</v>
      </c>
      <c r="BB513" s="2" t="e">
        <f ca="1">_xll.BDH($C$503,"GEO_GROW_TOT_SHRHLDR_EQY","FY 2016","FY 2016","Currency=INR","Period=FY","BEST_FPERIOD_OVERRIDE=FY","FILING_STATUS=OR","EQY_CONSOLIDATED=Y","Sort=A","Dates=H","DateFormat=P","Fill=—","Direction=H","UseDPDF=Y")</f>
        <v>#NAME?</v>
      </c>
      <c r="BC513" s="2" t="e">
        <f ca="1">_xll.BDH($C$503,"TOTAL_CAPITAL_5_YEAR_GROWTH","FY 2016","FY 2016","Currency=INR","Period=FY","BEST_FPERIOD_OVERRIDE=FY","FILING_STATUS=OR","EQY_CONSOLIDATED=Y","Sort=A","Dates=H","DateFormat=P","Fill=—","Direction=H","UseDPDF=Y")</f>
        <v>#NAME?</v>
      </c>
      <c r="BD513" s="2" t="e">
        <f ca="1">_xll.BDH($C$503,"GEO_GROW_BOOK_VAL","FY 2016","FY 2016","Currency=INR","Period=FY","BEST_FPERIOD_OVERRIDE=FY","FILING_STATUS=OR","EQY_CONSOLIDATED=Y","Sort=A","Dates=H","DateFormat=P","Fill=—","Direction=H","UseDPDF=Y")</f>
        <v>#NAME?</v>
      </c>
      <c r="BE513" s="2" t="e">
        <f ca="1">_xll.BDH($C$503,"GEO_GROW_CASH_OPER_ACT","FY 2016","FY 2016","Currency=INR","Period=FY","BEST_FPERIOD_OVERRIDE=FY","FILING_STATUS=OR","EQY_CONSOLIDATED=Y","Sort=A","Dates=H","DateFormat=P","Fill=—","Direction=H","UseDPDF=Y")</f>
        <v>#NAME?</v>
      </c>
      <c r="BF513" s="2" t="e">
        <f ca="1">_xll.BDH($C$503,"REVENUE_SEQUENTIAL_GROWTH","FY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513" s="2" t="e">
        <f ca="1">_xll.BDH($C$503,"EBITDA_SEQUENTIAL_GROWTH","FY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513" s="2" t="e">
        <f ca="1">_xll.BDH($C$503,"OPERATING_INCOME_SEQ_GROWTH","FY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513" s="2" t="e">
        <f ca="1">_xll.BDH($C$503,"NET_INCOME_TO_COMMON_SEQ_GROWTH","FY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513" s="2" t="e">
        <f ca="1">_xll.BDH($C$503,"EPS_DILUTED_SEQUENTIAL_GROWTH","FY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513" s="2" t="e">
        <f ca="1">_xll.BDH($C$503,"DPS_SEQUENTIAL_GROWTH","FY 2016","FY 2016","Currency=INR","Period=FY","BEST_FPERIOD_OVERRIDE=FY","FILING_STATUS=OR","EQY_CONSOLIDATED=Y","Sort=A","Dates=H","DateFormat=P","Fill=—","Direction=H","UseDPDF=Y")</f>
        <v>#NAME?</v>
      </c>
      <c r="BL513" s="2" t="e">
        <f ca="1">_xll.BDH($C$503,"ACCOUNTS_RECEIVABLE_SEQ_GROWTH","FY 2016","FY 2016","Currency=INR","Period=FY","BEST_FPERIOD_OVERRIDE=FY","FILING_STATUS=OR","EQY_CONSOLIDATED=Y","Sort=A","Dates=H","DateFormat=P","Fill=—","Direction=H","UseDPDF=Y")</f>
        <v>#NAME?</v>
      </c>
      <c r="BM513" s="2" t="e">
        <f ca="1">_xll.BDH($C$503,"INVENTORY_SEQUENTIAL_GROWTH","FY 2016","FY 2016","Currency=INR","Period=FY","BEST_FPERIOD_OVERRIDE=FY","FILING_STATUS=OR","EQY_CONSOLIDATED=Y","Sort=A","Dates=H","DateFormat=P","Fill=—","Direction=H","UseDPDF=Y")</f>
        <v>#NAME?</v>
      </c>
      <c r="BN513" s="2" t="e">
        <f ca="1">_xll.BDH($C$503,"FIXED_ASSETS_SEQUENTIAL_GROWTH","FY 2016","FY 2016","Currency=INR","Period=FY","BEST_FPERIOD_OVERRIDE=FY","FILING_STATUS=OR","EQY_CONSOLIDATED=Y","Sort=A","Dates=H","DateFormat=P","Fill=—","Direction=H","UseDPDF=Y")</f>
        <v>#NAME?</v>
      </c>
      <c r="BO513" s="2" t="e">
        <f ca="1">_xll.BDH($C$503,"TOTAL_ASSETS_SEQUENTIAL_GROWTH","FY 2016","FY 2016","Currency=INR","Period=FY","BEST_FPERIOD_OVERRIDE=FY","FILING_STATUS=OR","EQY_CONSOLIDATED=Y","Sort=A","Dates=H","DateFormat=P","Fill=—","Direction=H","UseDPDF=Y")</f>
        <v>#NAME?</v>
      </c>
      <c r="BP513" s="2" t="e">
        <f ca="1">_xll.BDH($C$503,"MODIFIED_WORKING_CPTL_SEQ_GRWTH","FY 2016","FY 2016","Currency=INR","Period=FY","BEST_FPERIOD_OVERRIDE=FY","FILING_STATUS=OR","EQY_CONSOLIDATED=Y","Sort=A","Dates=H","DateFormat=P","Fill=—","Direction=H","UseDPDF=Y")</f>
        <v>#NAME?</v>
      </c>
      <c r="BQ513" s="2" t="e">
        <f ca="1">_xll.BDH($C$503,"WORKING_CAPITAL_SEQ_GROWTH","FY 2016","FY 2016","Currency=INR","Period=FY","BEST_FPERIOD_OVERRIDE=FY","FILING_STATUS=OR","EQY_CONSOLIDATED=Y","Sort=A","Dates=H","DateFormat=P","Fill=—","Direction=H","UseDPDF=Y")</f>
        <v>#NAME?</v>
      </c>
      <c r="BR513" s="2" t="e">
        <f ca="1">_xll.BDH($C$503,"ACCOUNTS_PAYABLE_SEQ_GROWTH","FY 2016","FY 2016","Currency=INR","Period=FY","BEST_FPERIOD_OVERRIDE=FY","FILING_STATUS=OR","EQY_CONSOLIDATED=Y","Sort=A","Dates=H","DateFormat=P","Fill=—","Direction=H","UseDPDF=Y")</f>
        <v>#NAME?</v>
      </c>
      <c r="BS513" s="2" t="e">
        <f ca="1">_xll.BDH($C$503,"ST_DEBT_SEQUENTIAL_GROWTH","FY 2016","FY 2016","Currency=INR","Period=FY","BEST_FPERIOD_OVERRIDE=FY","FILING_STATUS=OR","EQY_CONSOLIDATED=Y","Sort=A","Dates=H","DateFormat=P","Fill=—","Direction=H","UseDPDF=Y")</f>
        <v>#NAME?</v>
      </c>
      <c r="BT513" s="2" t="e">
        <f ca="1">_xll.BDH($C$503,"TOTAL_DEBT_SEQUENTIAL_GROWTH","FY 2016","FY 2016","Currency=INR","Period=FY","BEST_FPERIOD_OVERRIDE=FY","FILING_STATUS=OR","EQY_CONSOLIDATED=Y","Sort=A","Dates=H","DateFormat=P","Fill=—","Direction=H","UseDPDF=Y")</f>
        <v>#NAME?</v>
      </c>
      <c r="BU513" s="2" t="e">
        <f ca="1">_xll.BDH($C$503,"TOTAL_EQUITY_SEQUENTIAL_GROWTH","FY 2016","FY 2016","Currency=INR","Period=FY","BEST_FPERIOD_OVERRIDE=FY","FILING_STATUS=OR","EQY_CONSOLIDATED=Y","Sort=A","Dates=H","DateFormat=P","Fill=—","Direction=H","UseDPDF=Y")</f>
        <v>#NAME?</v>
      </c>
      <c r="BV513" s="2" t="e">
        <f ca="1">_xll.BDH($C$503,"TOTAL_CAPITAL_SEQUENTIAL_GROWTH","FY 2016","FY 2016","Currency=INR","Period=FY","BEST_FPERIOD_OVERRIDE=FY","FILING_STATUS=OR","EQY_CONSOLIDATED=Y","Sort=A","Dates=H","DateFormat=P","Fill=—","Direction=H","UseDPDF=Y")</f>
        <v>#NAME?</v>
      </c>
      <c r="BW513" s="2" t="e">
        <f ca="1">_xll.BDH($C$503,"BPS_SEQUENTIAL_GROWTH","FY 2016","FY 2016","Currency=INR","Period=FY","BEST_FPERIOD_OVERRIDE=FY","FILING_STATUS=OR","EQY_CONSOLIDATED=Y","Sort=A","Dates=H","DateFormat=P","Fill=—","Direction=H","UseDPDF=Y")</f>
        <v>#NAME?</v>
      </c>
      <c r="BX513" s="2" t="e">
        <f ca="1">_xll.BDH($C$503,"CFO_SEQUENTIAL_GROWTH","FY 2016","FY 2016","Currency=INR","Period=FY","BEST_FPERIOD_OVERRIDE=FY","FILING_STATUS=OR","EQY_CONSOLIDATED=Y","Sort=A","Dates=H","DateFormat=P","Fill=—","Direction=H","UseDPDF=Y")</f>
        <v>#NAME?</v>
      </c>
      <c r="BY513" s="3" t="e">
        <f ca="1">_xll.BDH($C$503,"SHORT_AND_LONG_TERM_DEBT","FY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513" s="3" t="e">
        <f ca="1">_xll.BDH($C$503,"BS_ST_BORROW","FY 2016","FY 2016","Currency=INR","Period=FY","BEST_FPERIOD_OVERRIDE=FY","FILING_STATUS=OR","EQY_CONSOLIDATED=Y","SCALING_FORMAT=MLN","Sort=A","Dates=H","DateFormat=P","Fill=—","Direction=H","UseDPDF=Y")</f>
        <v>#NAME?</v>
      </c>
      <c r="CA513" s="3" t="e">
        <f ca="1">_xll.BDH($C$503,"BS_LT_BORROW","FY 2016","FY 2016","Currency=INR","Period=FY","BEST_FPERIOD_OVERRIDE=FY","FILING_STATUS=OR","EQY_CONSOLIDATED=Y","SCALING_FORMAT=MLN","Sort=A","Dates=H","DateFormat=P","Fill=—","Direction=H","UseDPDF=Y")</f>
        <v>#NAME?</v>
      </c>
      <c r="CB513" s="2" t="e">
        <f ca="1">_xll.BDH($C$503,"TOT_DEBT_TO_EBITDA","FY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513" s="2" t="e">
        <f ca="1">_xll.BDH($C$503,"NET_DEBT_TO_EBITDA","FY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513" s="2" t="e">
        <f ca="1">_xll.BDH($C$503,"TOTAL_DEBT_TO_EBIT","FY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513" s="2" t="e">
        <f ca="1">_xll.BDH($C$503,"NET_DEBT_TO_EBIT","FY 2016","FY 2016","Currency=INR","Period=FY","BEST_FPERIOD_OVERRIDE=FY","FILING_STATUS=OR","EQY_CONSOLIDATED=Y","FA_ADJUSTED=GAAP","Sort=A","Dates=H","DateFormat=P","Fill=—","Direction=H","UseDPDF=Y")</f>
        <v>#NAME?</v>
      </c>
      <c r="CF513" s="2" t="e">
        <f ca="1">_xll.BDH($C$503,"EBITDA_TO_INTEREST_EXPN","FY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513" s="2" t="e">
        <f ca="1">_xll.BDH($C$503,"COM_EQY_TO_TOT_ASSET","FY 2016","FY 2016","Currency=INR","Period=FY","BEST_FPERIOD_OVERRIDE=FY","FILING_STATUS=OR","EQY_CONSOLIDATED=Y","Sort=A","Dates=H","DateFormat=P","Fill=—","Direction=H","UseDPDF=Y")</f>
        <v>#NAME?</v>
      </c>
      <c r="CH513" s="2" t="e">
        <f ca="1">_xll.BDH($C$503,"LT_DEBT_TO_TOT_EQY","FY 2016","FY 2016","Currency=INR","Period=FY","BEST_FPERIOD_OVERRIDE=FY","FILING_STATUS=OR","EQY_CONSOLIDATED=Y","Sort=A","Dates=H","DateFormat=P","Fill=—","Direction=H","UseDPDF=Y")</f>
        <v>#NAME?</v>
      </c>
      <c r="CI513" s="2" t="e">
        <f ca="1">_xll.BDH($C$503,"LT_DEBT_TO_TOT_CAP","FY 2016","FY 2016","Currency=INR","Period=FY","BEST_FPERIOD_OVERRIDE=FY","FILING_STATUS=OR","EQY_CONSOLIDATED=Y","Sort=A","Dates=H","DateFormat=P","Fill=—","Direction=H","UseDPDF=Y")</f>
        <v>#NAME?</v>
      </c>
      <c r="CJ513" s="2" t="e">
        <f ca="1">_xll.BDH($C$503,"LT_DEBT_TO_TOT_ASSET","FY 2016","FY 2016","Currency=INR","Period=FY","BEST_FPERIOD_OVERRIDE=FY","FILING_STATUS=OR","EQY_CONSOLIDATED=Y","Sort=A","Dates=H","DateFormat=P","Fill=—","Direction=H","UseDPDF=Y")</f>
        <v>#NAME?</v>
      </c>
      <c r="CK513" s="2" t="e">
        <f ca="1">_xll.BDH($C$503,"TOT_DEBT_TO_TOT_EQY","FY 2016","FY 2016","Currency=INR","Period=FY","BEST_FPERIOD_OVERRIDE=FY","FILING_STATUS=OR","EQY_CONSOLIDATED=Y","Sort=A","Dates=H","DateFormat=P","Fill=—","Direction=H","UseDPDF=Y")</f>
        <v>#NAME?</v>
      </c>
      <c r="CL513" s="2" t="e">
        <f ca="1">_xll.BDH($C$503,"TOT_DEBT_TO_TOT_CAP","FY 2016","FY 2016","Currency=INR","Period=FY","BEST_FPERIOD_OVERRIDE=FY","FILING_STATUS=OR","EQY_CONSOLIDATED=Y","Sort=A","Dates=H","DateFormat=P","Fill=—","Direction=H","UseDPDF=Y")</f>
        <v>#NAME?</v>
      </c>
      <c r="CM513" s="2" t="e">
        <f ca="1">_xll.BDH($C$503,"TOT_DEBT_TO_TOT_ASSET","FY 2016","FY 2016","Currency=INR","Period=FY","BEST_FPERIOD_OVERRIDE=FY","FILING_STATUS=OR","EQY_CONSOLIDATED=Y","Sort=A","Dates=H","DateFormat=P","Fill=—","Direction=H","UseDPDF=Y")</f>
        <v>#NAME?</v>
      </c>
      <c r="CN513" s="2" t="e">
        <f ca="1">_xll.BDH($C$503,"NET_DEBT_TO_SHRHLDR_EQTY","FY 2016","FY 2016","Currency=INR","Period=FY","BEST_FPERIOD_OVERRIDE=FY","FILING_STATUS=OR","EQY_CONSOLIDATED=Y","Sort=A","Dates=H","DateFormat=P","Fill=—","Direction=H","UseDPDF=Y")</f>
        <v>#NAME?</v>
      </c>
      <c r="CO513" s="2" t="e">
        <f ca="1">_xll.BDH($C$503,"NET_DEBT_%_CAPITAL","FY 2016","FY 2016","Currency=INR","Period=FY","BEST_FPERIOD_OVERRIDE=FY","FILING_STATUS=OR","EQY_CONSOLIDATED=Y","Sort=A","Dates=H","DateFormat=P","Fill=—","Direction=H","UseDPDF=Y")</f>
        <v>#NAME?</v>
      </c>
      <c r="CP513" s="3" t="e">
        <f ca="1">_xll.BDH($C$503,"EBITDA","FY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513" s="3" t="e">
        <f ca="1">_xll.BDH($C$503,"EBITDA_AFTER_CAPEX","FY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513" s="3" t="e">
        <f ca="1">_xll.BDH($C$503,"IS_OPER_INC","FY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513" s="2" t="e">
        <f ca="1">_xll.BDH($C$503,"CASH_RATIO","FY 2016","FY 2016","Currency=INR","Period=FY","BEST_FPERIOD_OVERRIDE=FY","FILING_STATUS=OR","EQY_CONSOLIDATED=Y","Sort=A","Dates=H","DateFormat=P","Fill=—","Direction=H","UseDPDF=Y")</f>
        <v>#NAME?</v>
      </c>
      <c r="CT513" s="2" t="e">
        <f ca="1">_xll.BDH($C$503,"CUR_RATIO","FY 2016","FY 2016","Currency=INR","Period=FY","BEST_FPERIOD_OVERRIDE=FY","FILING_STATUS=OR","EQY_CONSOLIDATED=Y","Sort=A","Dates=H","DateFormat=P","Fill=—","Direction=H","UseDPDF=Y")</f>
        <v>#NAME?</v>
      </c>
      <c r="CU513" s="2" t="e">
        <f ca="1">_xll.BDH($C$503,"QUICK_RATIO","FY 2016","FY 2016","Currency=INR","Period=FY","BEST_FPERIOD_OVERRIDE=FY","FILING_STATUS=OR","EQY_CONSOLIDATED=Y","Sort=A","Dates=H","DateFormat=P","Fill=—","Direction=H","UseDPDF=Y")</f>
        <v>#NAME?</v>
      </c>
      <c r="CV513" s="2" t="e">
        <f ca="1">_xll.BDH($C$503,"ALTMAN_Z_SCORE","FY 2016","FY 2016","Currency=INR","Period=FY","BEST_FPERIOD_OVERRIDE=FY","FILING_STATUS=OR","EQY_CONSOLIDATED=Y","Sort=A","Dates=H","DateFormat=P","Fill=—","Direction=H","UseDPDF=Y")</f>
        <v>#NAME?</v>
      </c>
      <c r="CW513" s="4" t="e">
        <f ca="1">_xll.BDH($C$503,"ACCT_RCV_TURN","FY 2016","FY 2016","Currency=INR","Period=FY","BEST_FPERIOD_OVERRIDE=FY","FILING_STATUS=OR","EQY_CONSOLIDATED=Y","FA_ADJUSTED=GAAP","Sort=A","Dates=H","DateFormat=P","Fill=—","Direction=H","UseDPDF=Y")</f>
        <v>#NAME?</v>
      </c>
      <c r="CX513" s="2" t="e">
        <f ca="1">_xll.BDH($C$503,"ACCT_RCV_DAYS","FY 2016","FY 2016","Currency=INR","Period=FY","BEST_FPERIOD_OVERRIDE=FY","FILING_STATUS=OR","EQY_CONSOLIDATED=Y","FA_ADJUSTED=GAAP","Sort=A","Dates=H","DateFormat=P","Fill=—","Direction=H","UseDPDF=Y")</f>
        <v>#NAME?</v>
      </c>
      <c r="CY513" s="4" t="e">
        <f ca="1">_xll.BDH($C$503,"INVENT_TURN","FY 2016","FY 2016","Currency=INR","Period=FY","BEST_FPERIOD_OVERRIDE=FY","FILING_STATUS=OR","EQY_CONSOLIDATED=Y","FA_ADJUSTED=GAAP","Sort=A","Dates=H","DateFormat=P","Fill=—","Direction=H","UseDPDF=Y")</f>
        <v>#NAME?</v>
      </c>
      <c r="CZ513" s="2" t="e">
        <f ca="1">_xll.BDH($C$503,"INVENT_DAYS","FY 2016","FY 2016","Currency=INR","Period=FY","BEST_FPERIOD_OVERRIDE=FY","FILING_STATUS=OR","EQY_CONSOLIDATED=Y","FA_ADJUSTED=GAAP","Sort=A","Dates=H","DateFormat=P","Fill=—","Direction=H","UseDPDF=Y")</f>
        <v>#NAME?</v>
      </c>
      <c r="DA513" s="4" t="e">
        <f ca="1">_xll.BDH($C$503,"ACCOUNTS_PAYABLE_TURNOVER","FY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513" s="2" t="e">
        <f ca="1">_xll.BDH($C$503,"ACCOUNTS_PAYABLE_TURNOVER_DAYS","FY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513" s="4" t="e">
        <f ca="1">_xll.BDH($C$503,"CASH_CONVERSION_CYCLE","FY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513" s="4" t="e">
        <f ca="1">_xll.BDH($C$503,"INV_TO_CASH_DAYS","FY 2016","FY 2016","Currency=INR","Period=FY","BEST_FPERIOD_OVERRIDE=FY","FILING_STATUS=OR","EQY_CONSOLIDATED=Y","FA_ADJUSTED=GAAP","Sort=A","Dates=H","DateFormat=P","Fill=—","Direction=H","UseDPDF=Y")</f>
        <v>#NAME?</v>
      </c>
      <c r="DE513" s="5" t="e">
        <f ca="1">_xll.BDH($C$503,"BS_INVENTORIES","FY 2016","FY 2016","Currency=INR","Period=FY","BEST_FPERIOD_OVERRIDE=FY","FILING_STATUS=OR","EQY_CONSOLIDATED=Y","SCALING_FORMAT=MLN","Sort=A","Dates=H","DateFormat=P","Fill=—","Direction=H","UseDPDF=Y")</f>
        <v>#NAME?</v>
      </c>
      <c r="DF513" s="3" t="e">
        <f ca="1">_xll.BDH($C$503,"INVTRY_RAW_MATERIALS","FY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513" s="3" t="e">
        <f ca="1">_xll.BDH($C$503,"INVTRY_IN_PROGRESS","FY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513" s="3" t="e">
        <f ca="1">_xll.BDH($C$503,"INVTRY_FINISHED_GOODS","FY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513" s="3" t="e">
        <f ca="1">_xll.BDH($C$503,"BS_OTHER_INV","FY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514" spans="1:113" x14ac:dyDescent="0.3">
      <c r="A514" s="6"/>
      <c r="B514" s="6"/>
      <c r="C514" s="6"/>
      <c r="D514" s="6"/>
      <c r="E514" t="s">
        <v>78</v>
      </c>
      <c r="F514" t="e">
        <f ca="1">_xll.BDH($C$503,"RETURN_COM_EQY","FQ1 2016","FQ1 2016","Currency=INR","Period=FQ","BEST_FPERIOD_OVERRIDE=FQ","FILING_STATUS=OR","EQY_CONSOLIDATED=Y","FA_ADJUSTED=GAAP","Sort=A","Dates=H","DateFormat=P","Fill=—","Direction=H","UseDPDF=Y")</f>
        <v>#NAME?</v>
      </c>
      <c r="G514" t="e">
        <f ca="1">_xll.BDH($C$503,"RETURN_ON_ASSET","FQ1 2016","FQ1 2016","Currency=INR","Period=FQ","BEST_FPERIOD_OVERRIDE=FQ","FILING_STATUS=OR","EQY_CONSOLIDATED=Y","FA_ADJUSTED=GAAP","Sort=A","Dates=H","DateFormat=P","Fill=—","Direction=H","UseDPDF=Y")</f>
        <v>#NAME?</v>
      </c>
      <c r="H514" t="e">
        <f ca="1">_xll.BDH($C$503,"RETURN_ON_CAP","FQ1 2016","FQ1 2016","Currency=INR","Period=FQ","BEST_FPERIOD_OVERRIDE=FQ","FILING_STATUS=OR","EQY_CONSOLIDATED=Y","FA_ADJUSTED=GAAP","Sort=A","Dates=H","DateFormat=P","Fill=—","Direction=H","UseDPDF=Y")</f>
        <v>#NAME?</v>
      </c>
      <c r="I514" t="e">
        <f ca="1">_xll.BDH($C$503,"RETURN_ON_INV_CAPITAL","FQ1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514" t="e">
        <f ca="1">_xll.BDH($C$503,"EBITDA_TO_REVENUE","FQ1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514" t="e">
        <f ca="1">_xll.BDH($C$503,"OPER_MARGIN","FQ1 2016","FQ1 2016","Currency=INR","Period=FQ","BEST_FPERIOD_OVERRIDE=FQ","FILING_STATUS=OR","EQY_CONSOLIDATED=Y","FA_ADJUSTED=GAAP","Sort=A","Dates=H","DateFormat=P","Fill=—","Direction=H","UseDPDF=Y")</f>
        <v>#NAME?</v>
      </c>
      <c r="L514" t="e">
        <f ca="1">_xll.BDH($C$503,"INCREMENTAL_OPERATING_MARGIN","FQ1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514" t="e">
        <f ca="1">_xll.BDH($C$503,"PRETAX_INC_TO_NET_SALES","FQ1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514" t="e">
        <f ca="1">_xll.BDH($C$503,"INC_BEF_XO_ITEMS_TO_NET_SALES","FQ1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514" t="e">
        <f ca="1">_xll.BDH($C$503,"PROF_MARGIN","FQ1 2016","FQ1 2016","Currency=INR","Period=FQ","BEST_FPERIOD_OVERRIDE=FQ","FILING_STATUS=OR","EQY_CONSOLIDATED=Y","FA_ADJUSTED=GAAP","Sort=A","Dates=H","DateFormat=P","Fill=—","Direction=H","UseDPDF=Y")</f>
        <v>#NAME?</v>
      </c>
      <c r="P514" t="e">
        <f ca="1">_xll.BDH($C$503,"NET_INCOME_TO_COMMON_MARGIN","FQ1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514" t="e">
        <f ca="1">_xll.BDH($C$503,"EFF_TAX_RATE","FQ1 2016","FQ1 2016","Currency=INR","Period=FQ","BEST_FPERIOD_OVERRIDE=FQ","FILING_STATUS=OR","EQY_CONSOLIDATED=Y","FA_ADJUSTED=GAAP","Sort=A","Dates=H","DateFormat=P","Fill=—","Direction=H","UseDPDF=Y")</f>
        <v>#NAME?</v>
      </c>
      <c r="R514" t="e">
        <f ca="1">_xll.BDH($C$503,"DVD_PAYOUT_RATIO","FQ1 2016","FQ1 2016","Currency=INR","Period=FQ","BEST_FPERIOD_OVERRIDE=FQ","FILING_STATUS=OR","EQY_CONSOLIDATED=Y","FA_ADJUSTED=GAAP","Sort=A","Dates=H","DateFormat=P","Fill=—","Direction=H","UseDPDF=Y")</f>
        <v>#NAME?</v>
      </c>
      <c r="S514" t="e">
        <f ca="1">_xll.BDH($C$503,"SUSTAIN_GROWTH_RT","FQ1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514" s="2" t="e">
        <f ca="1">_xll.BDH($C$503,"SALES_GROWTH","FQ1 2016","FQ1 2016","Currency=INR","Period=FQ","BEST_FPERIOD_OVERRIDE=FQ","FILING_STATUS=OR","EQY_CONSOLIDATED=Y","FA_ADJUSTED=GAAP","Sort=A","Dates=H","DateFormat=P","Fill=—","Direction=H","UseDPDF=Y")</f>
        <v>#NAME?</v>
      </c>
      <c r="U514" s="2" t="e">
        <f ca="1">_xll.BDH($C$503,"EBITDA_GROWTH","FQ1 2016","FQ1 2016","Currency=INR","Period=FQ","BEST_FPERIOD_OVERRIDE=FQ","FILING_STATUS=OR","EQY_CONSOLIDATED=Y","FA_ADJUSTED=GAAP","Sort=A","Dates=H","DateFormat=P","Fill=—","Direction=H","UseDPDF=Y")</f>
        <v>#NAME?</v>
      </c>
      <c r="V514" s="2" t="e">
        <f ca="1">_xll.BDH($C$503,"OPER_INC_GROWTH","FQ1 2016","FQ1 2016","Currency=INR","Period=FQ","BEST_FPERIOD_OVERRIDE=FQ","FILING_STATUS=OR","EQY_CONSOLIDATED=Y","FA_ADJUSTED=GAAP","Sort=A","Dates=H","DateFormat=P","Fill=—","Direction=H","UseDPDF=Y")</f>
        <v>#NAME?</v>
      </c>
      <c r="W514" s="2" t="e">
        <f ca="1">_xll.BDH($C$503,"EARN_FOR_COM_GROWTH","FQ1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514" s="2" t="e">
        <f ca="1">_xll.BDH($C$503,"DILUTED_EPS_AFT_XO_ITEMS_GROWTH","FQ1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514" s="2" t="e">
        <f ca="1">_xll.BDH($C$503,"DIVIDEND_PER_SHARE_1_YEAR_GROWTH","FQ1 2016","FQ1 2016","Currency=INR","Period=FQ","BEST_FPERIOD_OVERRIDE=FQ","FILING_STATUS=OR","EQY_CONSOLIDATED=Y","Sort=A","Dates=H","DateFormat=P","Fill=—","Direction=H","UseDPDF=Y")</f>
        <v>#NAME?</v>
      </c>
      <c r="Z514" s="2" t="e">
        <f ca="1">_xll.BDH($C$503,"ACCOUNTS_RECEIVABLE_GROWTH","FQ1 2016","FQ1 2016","Currency=INR","Period=FQ","BEST_FPERIOD_OVERRIDE=FQ","FILING_STATUS=OR","EQY_CONSOLIDATED=Y","Sort=A","Dates=H","DateFormat=P","Fill=—","Direction=H","UseDPDF=Y")</f>
        <v>#NAME?</v>
      </c>
      <c r="AA514" s="2" t="e">
        <f ca="1">_xll.BDH($C$503,"INVENTORY_GROWTH","FQ1 2016","FQ1 2016","Currency=INR","Period=FQ","BEST_FPERIOD_OVERRIDE=FQ","FILING_STATUS=OR","EQY_CONSOLIDATED=Y","Sort=A","Dates=H","DateFormat=P","Fill=—","Direction=H","UseDPDF=Y")</f>
        <v>#NAME?</v>
      </c>
      <c r="AB514" s="2" t="e">
        <f ca="1">_xll.BDH($C$503,"NET_FIXED_ASSETS_1_YEAR_GROWTH","FQ1 2016","FQ1 2016","Currency=INR","Period=FQ","BEST_FPERIOD_OVERRIDE=FQ","FILING_STATUS=OR","EQY_CONSOLIDATED=Y","Sort=A","Dates=H","DateFormat=P","Fill=—","Direction=H","UseDPDF=Y")</f>
        <v>#NAME?</v>
      </c>
      <c r="AC514" s="2" t="e">
        <f ca="1">_xll.BDH($C$503,"ASSET_GROWTH","FQ1 2016","FQ1 2016","Currency=INR","Period=FQ","BEST_FPERIOD_OVERRIDE=FQ","FILING_STATUS=OR","EQY_CONSOLIDATED=Y","Sort=A","Dates=H","DateFormat=P","Fill=—","Direction=H","UseDPDF=Y")</f>
        <v>#NAME?</v>
      </c>
      <c r="AD514" s="2" t="e">
        <f ca="1">_xll.BDH($C$503,"MODIFIED_WORK_CAP_GROWTH","FQ1 2016","FQ1 2016","Currency=INR","Period=FQ","BEST_FPERIOD_OVERRIDE=FQ","FILING_STATUS=OR","EQY_CONSOLIDATED=Y","Sort=A","Dates=H","DateFormat=P","Fill=—","Direction=H","UseDPDF=Y")</f>
        <v>#NAME?</v>
      </c>
      <c r="AE514" s="2" t="e">
        <f ca="1">_xll.BDH($C$503,"WORK_CAP_GROWTH","FQ1 2016","FQ1 2016","Currency=INR","Period=FQ","BEST_FPERIOD_OVERRIDE=FQ","FILING_STATUS=OR","EQY_CONSOLIDATED=Y","Sort=A","Dates=H","DateFormat=P","Fill=—","Direction=H","UseDPDF=Y")</f>
        <v>#NAME?</v>
      </c>
      <c r="AF514" s="2" t="e">
        <f ca="1">_xll.BDH($C$503,"ACCOUNTS_PAYABLE_GROWTH_1YR","FQ1 2016","FQ1 2016","Currency=INR","Period=FQ","BEST_FPERIOD_OVERRIDE=FQ","FILING_STATUS=OR","EQY_CONSOLIDATED=Y","Sort=A","Dates=H","DateFormat=P","Fill=—","Direction=H","UseDPDF=Y")</f>
        <v>#NAME?</v>
      </c>
      <c r="AG514" s="2" t="e">
        <f ca="1">_xll.BDH($C$503,"SHORT_TERM_DEBT_1_YEAR_GROWTH","FQ1 2016","FQ1 2016","Currency=INR","Period=FQ","BEST_FPERIOD_OVERRIDE=FQ","FILING_STATUS=OR","EQY_CONSOLIDATED=Y","Sort=A","Dates=H","DateFormat=P","Fill=—","Direction=H","UseDPDF=Y")</f>
        <v>#NAME?</v>
      </c>
      <c r="AH514" s="2" t="e">
        <f ca="1">_xll.BDH($C$503,"TOTAL_DEBT_1_YEAR_GROWTH","FQ1 2016","FQ1 2016","Currency=INR","Period=FQ","BEST_FPERIOD_OVERRIDE=FQ","FILING_STATUS=OR","EQY_CONSOLIDATED=Y","Sort=A","Dates=H","DateFormat=P","Fill=—","Direction=H","UseDPDF=Y")</f>
        <v>#NAME?</v>
      </c>
      <c r="AI514" s="2" t="e">
        <f ca="1">_xll.BDH($C$503,"TOTAL_EQUITY_1_YEAR_GROWTH","FQ1 2016","FQ1 2016","Currency=INR","Period=FQ","BEST_FPERIOD_OVERRIDE=FQ","FILING_STATUS=OR","EQY_CONSOLIDATED=Y","Sort=A","Dates=H","DateFormat=P","Fill=—","Direction=H","UseDPDF=Y")</f>
        <v>#NAME?</v>
      </c>
      <c r="AJ514" s="2" t="e">
        <f ca="1">_xll.BDH($C$503,"GROWTH_IN_CAP","FQ1 2016","FQ1 2016","Currency=INR","Period=FQ","BEST_FPERIOD_OVERRIDE=FQ","FILING_STATUS=OR","EQY_CONSOLIDATED=Y","Sort=A","Dates=H","DateFormat=P","Fill=—","Direction=H","UseDPDF=Y")</f>
        <v>#NAME?</v>
      </c>
      <c r="AK514" s="2" t="e">
        <f ca="1">_xll.BDH($C$503,"BVPS_GROWTH","FQ1 2016","FQ1 2016","Currency=INR","Period=FQ","BEST_FPERIOD_OVERRIDE=FQ","FILING_STATUS=OR","EQY_CONSOLIDATED=Y","Sort=A","Dates=H","DateFormat=P","Fill=—","Direction=H","UseDPDF=Y")</f>
        <v>#NAME?</v>
      </c>
      <c r="AL514" s="2" t="e">
        <f ca="1">_xll.BDH($C$503,"CASH_FLOW_GROWTH","FQ1 2016","FQ1 2016","Currency=INR","Period=FQ","BEST_FPERIOD_OVERRIDE=FQ","FILING_STATUS=OR","EQY_CONSOLIDATED=Y","Sort=A","Dates=H","DateFormat=P","Fill=—","Direction=H","UseDPDF=Y")</f>
        <v>#NAME?</v>
      </c>
      <c r="AM514" s="2" t="e">
        <f ca="1">_xll.BDH($C$503,"GEO_GROW_NET_SALES","FQ1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514" s="2" t="e">
        <f ca="1">_xll.BDH($C$503,"GEO_GROW_EBITDA","FQ1 2016","FQ1 2016","Currency=INR","Period=FQ","BEST_FPERIOD_OVERRIDE=FQ","FILING_STATUS=OR","EQY_CONSOLIDATED=Y","FA_ADJUSTED=GAAP","Sort=A","Dates=H","DateFormat=P","Fill=—","Direction=H","UseDPDF=Y")</f>
        <v>#NAME?</v>
      </c>
      <c r="AO514" s="2" t="e">
        <f ca="1">_xll.BDH($C$503,"GEO_GROW_OPER_INC","FQ1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514" s="2" t="e">
        <f ca="1">_xll.BDH($C$503,"NET_INCOME_TO_COMMON_5_YR_GROWTH","FQ1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514" s="2" t="e">
        <f ca="1">_xll.BDH($C$503,"5Y_GEO_GROWTH_DILUTED_EPS","FQ1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514" s="2" t="e">
        <f ca="1">_xll.BDH($C$503,"GEO_GROW_DVD_PER_SH","FQ1 2016","FQ1 2016","Currency=INR","Period=FQ","BEST_FPERIOD_OVERRIDE=FQ","FILING_STATUS=OR","EQY_CONSOLIDATED=Y","Sort=A","Dates=H","DateFormat=P","Fill=—","Direction=H","UseDPDF=Y")</f>
        <v>#NAME?</v>
      </c>
      <c r="AS514" s="2" t="e">
        <f ca="1">_xll.BDH($C$503,"ACCOUNTS_RECEIVABLE_5_YR_GROWTH","FQ1 2016","FQ1 2016","Currency=INR","Period=FQ","BEST_FPERIOD_OVERRIDE=FQ","FILING_STATUS=OR","EQY_CONSOLIDATED=Y","Sort=A","Dates=H","DateFormat=P","Fill=—","Direction=H","UseDPDF=Y")</f>
        <v>#NAME?</v>
      </c>
      <c r="AT514" s="2" t="e">
        <f ca="1">_xll.BDH($C$503,"INVENTORY_5_YEAR_GROWTH","FQ1 2016","FQ1 2016","Currency=INR","Period=FQ","BEST_FPERIOD_OVERRIDE=FQ","FILING_STATUS=OR","EQY_CONSOLIDATED=Y","Sort=A","Dates=H","DateFormat=P","Fill=—","Direction=H","UseDPDF=Y")</f>
        <v>#NAME?</v>
      </c>
      <c r="AU514" s="2" t="e">
        <f ca="1">_xll.BDH($C$503,"NET_FIXED_ASSETS_5_YEAR_GROWTH","FQ1 2016","FQ1 2016","Currency=INR","Period=FQ","BEST_FPERIOD_OVERRIDE=FQ","FILING_STATUS=OR","EQY_CONSOLIDATED=Y","Sort=A","Dates=H","DateFormat=P","Fill=—","Direction=H","UseDPDF=Y")</f>
        <v>#NAME?</v>
      </c>
      <c r="AV514" s="2" t="e">
        <f ca="1">_xll.BDH($C$503,"GEO_GROW_TOT_ASSET","FQ1 2016","FQ1 2016","Currency=INR","Period=FQ","BEST_FPERIOD_OVERRIDE=FQ","FILING_STATUS=OR","EQY_CONSOLIDATED=Y","Sort=A","Dates=H","DateFormat=P","Fill=—","Direction=H","UseDPDF=Y")</f>
        <v>#NAME?</v>
      </c>
      <c r="AW514" s="2" t="e">
        <f ca="1">_xll.BDH($C$503,"MODIFIED_WORKING_CPTL_5YR_GRWTH","FQ1 2016","FQ1 2016","Currency=INR","Period=FQ","BEST_FPERIOD_OVERRIDE=FQ","FILING_STATUS=OR","EQY_CONSOLIDATED=Y","Sort=A","Dates=H","DateFormat=P","Fill=—","Direction=H","UseDPDF=Y")</f>
        <v>#NAME?</v>
      </c>
      <c r="AX514" s="2" t="e">
        <f ca="1">_xll.BDH($C$503,"WORKING_CAPITAL_5_YEAR_GROWTH","FQ1 2016","FQ1 2016","Currency=INR","Period=FQ","BEST_FPERIOD_OVERRIDE=FQ","FILING_STATUS=OR","EQY_CONSOLIDATED=Y","Sort=A","Dates=H","DateFormat=P","Fill=—","Direction=H","UseDPDF=Y")</f>
        <v>#NAME?</v>
      </c>
      <c r="AY514" s="2" t="e">
        <f ca="1">_xll.BDH($C$503,"ACCOUNTS_PAYABLE_5_YEAR_GROWTH","FQ1 2016","FQ1 2016","Currency=INR","Period=FQ","BEST_FPERIOD_OVERRIDE=FQ","FILING_STATUS=OR","EQY_CONSOLIDATED=Y","Sort=A","Dates=H","DateFormat=P","Fill=—","Direction=H","UseDPDF=Y")</f>
        <v>#NAME?</v>
      </c>
      <c r="AZ514" s="2" t="e">
        <f ca="1">_xll.BDH($C$503,"SHORT_TERM_DEBT_5_YEAR_GROWTH","FQ1 2016","FQ1 2016","Currency=INR","Period=FQ","BEST_FPERIOD_OVERRIDE=FQ","FILING_STATUS=OR","EQY_CONSOLIDATED=Y","Sort=A","Dates=H","DateFormat=P","Fill=—","Direction=H","UseDPDF=Y")</f>
        <v>#NAME?</v>
      </c>
      <c r="BA514" s="2" t="e">
        <f ca="1">_xll.BDH($C$503,"TOTAL_DEBT_5_YEAR_GROWTH","FQ1 2016","FQ1 2016","Currency=INR","Period=FQ","BEST_FPERIOD_OVERRIDE=FQ","FILING_STATUS=OR","EQY_CONSOLIDATED=Y","Sort=A","Dates=H","DateFormat=P","Fill=—","Direction=H","UseDPDF=Y")</f>
        <v>#NAME?</v>
      </c>
      <c r="BB514" s="2" t="e">
        <f ca="1">_xll.BDH($C$503,"GEO_GROW_TOT_SHRHLDR_EQY","FQ1 2016","FQ1 2016","Currency=INR","Period=FQ","BEST_FPERIOD_OVERRIDE=FQ","FILING_STATUS=OR","EQY_CONSOLIDATED=Y","Sort=A","Dates=H","DateFormat=P","Fill=—","Direction=H","UseDPDF=Y")</f>
        <v>#NAME?</v>
      </c>
      <c r="BC514" s="2" t="e">
        <f ca="1">_xll.BDH($C$503,"TOTAL_CAPITAL_5_YEAR_GROWTH","FQ1 2016","FQ1 2016","Currency=INR","Period=FQ","BEST_FPERIOD_OVERRIDE=FQ","FILING_STATUS=OR","EQY_CONSOLIDATED=Y","Sort=A","Dates=H","DateFormat=P","Fill=—","Direction=H","UseDPDF=Y")</f>
        <v>#NAME?</v>
      </c>
      <c r="BD514" s="2" t="e">
        <f ca="1">_xll.BDH($C$503,"GEO_GROW_BOOK_VAL","FQ1 2016","FQ1 2016","Currency=INR","Period=FQ","BEST_FPERIOD_OVERRIDE=FQ","FILING_STATUS=OR","EQY_CONSOLIDATED=Y","Sort=A","Dates=H","DateFormat=P","Fill=—","Direction=H","UseDPDF=Y")</f>
        <v>#NAME?</v>
      </c>
      <c r="BE514" s="2" t="e">
        <f ca="1">_xll.BDH($C$503,"GEO_GROW_CASH_OPER_ACT","FQ1 2016","FQ1 2016","Currency=INR","Period=FQ","BEST_FPERIOD_OVERRIDE=FQ","FILING_STATUS=OR","EQY_CONSOLIDATED=Y","Sort=A","Dates=H","DateFormat=P","Fill=—","Direction=H","UseDPDF=Y")</f>
        <v>#NAME?</v>
      </c>
      <c r="BF514" s="2" t="e">
        <f ca="1">_xll.BDH($C$503,"REVENUE_SEQUENTIAL_GROWTH","FQ1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514" s="2" t="e">
        <f ca="1">_xll.BDH($C$503,"EBITDA_SEQUENTIAL_GROWTH","FQ1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514" s="2" t="e">
        <f ca="1">_xll.BDH($C$503,"OPERATING_INCOME_SEQ_GROWTH","FQ1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514" s="2" t="e">
        <f ca="1">_xll.BDH($C$503,"NET_INCOME_TO_COMMON_SEQ_GROWTH","FQ1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514" s="2" t="e">
        <f ca="1">_xll.BDH($C$503,"EPS_DILUTED_SEQUENTIAL_GROWTH","FQ1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514" s="2" t="e">
        <f ca="1">_xll.BDH($C$503,"DPS_SEQUENTIAL_GROWTH","FQ1 2016","FQ1 2016","Currency=INR","Period=FQ","BEST_FPERIOD_OVERRIDE=FQ","FILING_STATUS=OR","EQY_CONSOLIDATED=Y","Sort=A","Dates=H","DateFormat=P","Fill=—","Direction=H","UseDPDF=Y")</f>
        <v>#NAME?</v>
      </c>
      <c r="BL514" s="2" t="e">
        <f ca="1">_xll.BDH($C$503,"ACCOUNTS_RECEIVABLE_SEQ_GROWTH","FQ1 2016","FQ1 2016","Currency=INR","Period=FQ","BEST_FPERIOD_OVERRIDE=FQ","FILING_STATUS=OR","EQY_CONSOLIDATED=Y","Sort=A","Dates=H","DateFormat=P","Fill=—","Direction=H","UseDPDF=Y")</f>
        <v>#NAME?</v>
      </c>
      <c r="BM514" s="2" t="e">
        <f ca="1">_xll.BDH($C$503,"INVENTORY_SEQUENTIAL_GROWTH","FQ1 2016","FQ1 2016","Currency=INR","Period=FQ","BEST_FPERIOD_OVERRIDE=FQ","FILING_STATUS=OR","EQY_CONSOLIDATED=Y","Sort=A","Dates=H","DateFormat=P","Fill=—","Direction=H","UseDPDF=Y")</f>
        <v>#NAME?</v>
      </c>
      <c r="BN514" s="2" t="e">
        <f ca="1">_xll.BDH($C$503,"FIXED_ASSETS_SEQUENTIAL_GROWTH","FQ1 2016","FQ1 2016","Currency=INR","Period=FQ","BEST_FPERIOD_OVERRIDE=FQ","FILING_STATUS=OR","EQY_CONSOLIDATED=Y","Sort=A","Dates=H","DateFormat=P","Fill=—","Direction=H","UseDPDF=Y")</f>
        <v>#NAME?</v>
      </c>
      <c r="BO514" s="2" t="e">
        <f ca="1">_xll.BDH($C$503,"TOTAL_ASSETS_SEQUENTIAL_GROWTH","FQ1 2016","FQ1 2016","Currency=INR","Period=FQ","BEST_FPERIOD_OVERRIDE=FQ","FILING_STATUS=OR","EQY_CONSOLIDATED=Y","Sort=A","Dates=H","DateFormat=P","Fill=—","Direction=H","UseDPDF=Y")</f>
        <v>#NAME?</v>
      </c>
      <c r="BP514" s="2" t="e">
        <f ca="1">_xll.BDH($C$503,"MODIFIED_WORKING_CPTL_SEQ_GRWTH","FQ1 2016","FQ1 2016","Currency=INR","Period=FQ","BEST_FPERIOD_OVERRIDE=FQ","FILING_STATUS=OR","EQY_CONSOLIDATED=Y","Sort=A","Dates=H","DateFormat=P","Fill=—","Direction=H","UseDPDF=Y")</f>
        <v>#NAME?</v>
      </c>
      <c r="BQ514" s="2" t="e">
        <f ca="1">_xll.BDH($C$503,"WORKING_CAPITAL_SEQ_GROWTH","FQ1 2016","FQ1 2016","Currency=INR","Period=FQ","BEST_FPERIOD_OVERRIDE=FQ","FILING_STATUS=OR","EQY_CONSOLIDATED=Y","Sort=A","Dates=H","DateFormat=P","Fill=—","Direction=H","UseDPDF=Y")</f>
        <v>#NAME?</v>
      </c>
      <c r="BR514" s="2" t="e">
        <f ca="1">_xll.BDH($C$503,"ACCOUNTS_PAYABLE_SEQ_GROWTH","FQ1 2016","FQ1 2016","Currency=INR","Period=FQ","BEST_FPERIOD_OVERRIDE=FQ","FILING_STATUS=OR","EQY_CONSOLIDATED=Y","Sort=A","Dates=H","DateFormat=P","Fill=—","Direction=H","UseDPDF=Y")</f>
        <v>#NAME?</v>
      </c>
      <c r="BS514" s="2" t="e">
        <f ca="1">_xll.BDH($C$503,"ST_DEBT_SEQUENTIAL_GROWTH","FQ1 2016","FQ1 2016","Currency=INR","Period=FQ","BEST_FPERIOD_OVERRIDE=FQ","FILING_STATUS=OR","EQY_CONSOLIDATED=Y","Sort=A","Dates=H","DateFormat=P","Fill=—","Direction=H","UseDPDF=Y")</f>
        <v>#NAME?</v>
      </c>
      <c r="BT514" s="2" t="e">
        <f ca="1">_xll.BDH($C$503,"TOTAL_DEBT_SEQUENTIAL_GROWTH","FQ1 2016","FQ1 2016","Currency=INR","Period=FQ","BEST_FPERIOD_OVERRIDE=FQ","FILING_STATUS=OR","EQY_CONSOLIDATED=Y","Sort=A","Dates=H","DateFormat=P","Fill=—","Direction=H","UseDPDF=Y")</f>
        <v>#NAME?</v>
      </c>
      <c r="BU514" s="2" t="e">
        <f ca="1">_xll.BDH($C$503,"TOTAL_EQUITY_SEQUENTIAL_GROWTH","FQ1 2016","FQ1 2016","Currency=INR","Period=FQ","BEST_FPERIOD_OVERRIDE=FQ","FILING_STATUS=OR","EQY_CONSOLIDATED=Y","Sort=A","Dates=H","DateFormat=P","Fill=—","Direction=H","UseDPDF=Y")</f>
        <v>#NAME?</v>
      </c>
      <c r="BV514" s="2" t="e">
        <f ca="1">_xll.BDH($C$503,"TOTAL_CAPITAL_SEQUENTIAL_GROWTH","FQ1 2016","FQ1 2016","Currency=INR","Period=FQ","BEST_FPERIOD_OVERRIDE=FQ","FILING_STATUS=OR","EQY_CONSOLIDATED=Y","Sort=A","Dates=H","DateFormat=P","Fill=—","Direction=H","UseDPDF=Y")</f>
        <v>#NAME?</v>
      </c>
      <c r="BW514" s="2" t="e">
        <f ca="1">_xll.BDH($C$503,"BPS_SEQUENTIAL_GROWTH","FQ1 2016","FQ1 2016","Currency=INR","Period=FQ","BEST_FPERIOD_OVERRIDE=FQ","FILING_STATUS=OR","EQY_CONSOLIDATED=Y","Sort=A","Dates=H","DateFormat=P","Fill=—","Direction=H","UseDPDF=Y")</f>
        <v>#NAME?</v>
      </c>
      <c r="BX514" s="2" t="e">
        <f ca="1">_xll.BDH($C$503,"CFO_SEQUENTIAL_GROWTH","FQ1 2016","FQ1 2016","Currency=INR","Period=FQ","BEST_FPERIOD_OVERRIDE=FQ","FILING_STATUS=OR","EQY_CONSOLIDATED=Y","Sort=A","Dates=H","DateFormat=P","Fill=—","Direction=H","UseDPDF=Y")</f>
        <v>#NAME?</v>
      </c>
      <c r="BY514" s="3" t="e">
        <f ca="1">_xll.BDH($C$503,"SHORT_AND_LONG_TERM_DEBT","FQ1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514" s="3" t="e">
        <f ca="1">_xll.BDH($C$503,"BS_ST_BORROW","FQ1 2016","FQ1 2016","Currency=INR","Period=FQ","BEST_FPERIOD_OVERRIDE=FQ","FILING_STATUS=OR","EQY_CONSOLIDATED=Y","SCALING_FORMAT=MLN","Sort=A","Dates=H","DateFormat=P","Fill=—","Direction=H","UseDPDF=Y")</f>
        <v>#NAME?</v>
      </c>
      <c r="CA514" s="3" t="e">
        <f ca="1">_xll.BDH($C$503,"BS_LT_BORROW","FQ1 2016","FQ1 2016","Currency=INR","Period=FQ","BEST_FPERIOD_OVERRIDE=FQ","FILING_STATUS=OR","EQY_CONSOLIDATED=Y","SCALING_FORMAT=MLN","Sort=A","Dates=H","DateFormat=P","Fill=—","Direction=H","UseDPDF=Y")</f>
        <v>#NAME?</v>
      </c>
      <c r="CB514" s="2" t="e">
        <f ca="1">_xll.BDH($C$503,"TOT_DEBT_TO_EBITDA","FQ1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514" s="2" t="e">
        <f ca="1">_xll.BDH($C$503,"NET_DEBT_TO_EBITDA","FQ1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514" s="2" t="e">
        <f ca="1">_xll.BDH($C$503,"TOTAL_DEBT_TO_EBIT","FQ1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514" s="2" t="e">
        <f ca="1">_xll.BDH($C$503,"NET_DEBT_TO_EBIT","FQ1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514" s="2" t="e">
        <f ca="1">_xll.BDH($C$503,"EBITDA_TO_INTEREST_EXPN","FQ1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514" s="2" t="e">
        <f ca="1">_xll.BDH($C$503,"COM_EQY_TO_TOT_ASSET","FQ1 2016","FQ1 2016","Currency=INR","Period=FQ","BEST_FPERIOD_OVERRIDE=FQ","FILING_STATUS=OR","EQY_CONSOLIDATED=Y","Sort=A","Dates=H","DateFormat=P","Fill=—","Direction=H","UseDPDF=Y")</f>
        <v>#NAME?</v>
      </c>
      <c r="CH514" s="2" t="e">
        <f ca="1">_xll.BDH($C$503,"LT_DEBT_TO_TOT_EQY","FQ1 2016","FQ1 2016","Currency=INR","Period=FQ","BEST_FPERIOD_OVERRIDE=FQ","FILING_STATUS=OR","EQY_CONSOLIDATED=Y","Sort=A","Dates=H","DateFormat=P","Fill=—","Direction=H","UseDPDF=Y")</f>
        <v>#NAME?</v>
      </c>
      <c r="CI514" s="2" t="e">
        <f ca="1">_xll.BDH($C$503,"LT_DEBT_TO_TOT_CAP","FQ1 2016","FQ1 2016","Currency=INR","Period=FQ","BEST_FPERIOD_OVERRIDE=FQ","FILING_STATUS=OR","EQY_CONSOLIDATED=Y","Sort=A","Dates=H","DateFormat=P","Fill=—","Direction=H","UseDPDF=Y")</f>
        <v>#NAME?</v>
      </c>
      <c r="CJ514" s="2" t="e">
        <f ca="1">_xll.BDH($C$503,"LT_DEBT_TO_TOT_ASSET","FQ1 2016","FQ1 2016","Currency=INR","Period=FQ","BEST_FPERIOD_OVERRIDE=FQ","FILING_STATUS=OR","EQY_CONSOLIDATED=Y","Sort=A","Dates=H","DateFormat=P","Fill=—","Direction=H","UseDPDF=Y")</f>
        <v>#NAME?</v>
      </c>
      <c r="CK514" s="2" t="e">
        <f ca="1">_xll.BDH($C$503,"TOT_DEBT_TO_TOT_EQY","FQ1 2016","FQ1 2016","Currency=INR","Period=FQ","BEST_FPERIOD_OVERRIDE=FQ","FILING_STATUS=OR","EQY_CONSOLIDATED=Y","Sort=A","Dates=H","DateFormat=P","Fill=—","Direction=H","UseDPDF=Y")</f>
        <v>#NAME?</v>
      </c>
      <c r="CL514" s="2" t="e">
        <f ca="1">_xll.BDH($C$503,"TOT_DEBT_TO_TOT_CAP","FQ1 2016","FQ1 2016","Currency=INR","Period=FQ","BEST_FPERIOD_OVERRIDE=FQ","FILING_STATUS=OR","EQY_CONSOLIDATED=Y","Sort=A","Dates=H","DateFormat=P","Fill=—","Direction=H","UseDPDF=Y")</f>
        <v>#NAME?</v>
      </c>
      <c r="CM514" s="2" t="e">
        <f ca="1">_xll.BDH($C$503,"TOT_DEBT_TO_TOT_ASSET","FQ1 2016","FQ1 2016","Currency=INR","Period=FQ","BEST_FPERIOD_OVERRIDE=FQ","FILING_STATUS=OR","EQY_CONSOLIDATED=Y","Sort=A","Dates=H","DateFormat=P","Fill=—","Direction=H","UseDPDF=Y")</f>
        <v>#NAME?</v>
      </c>
      <c r="CN514" s="2" t="e">
        <f ca="1">_xll.BDH($C$503,"NET_DEBT_TO_SHRHLDR_EQTY","FQ1 2016","FQ1 2016","Currency=INR","Period=FQ","BEST_FPERIOD_OVERRIDE=FQ","FILING_STATUS=OR","EQY_CONSOLIDATED=Y","Sort=A","Dates=H","DateFormat=P","Fill=—","Direction=H","UseDPDF=Y")</f>
        <v>#NAME?</v>
      </c>
      <c r="CO514" s="2" t="e">
        <f ca="1">_xll.BDH($C$503,"NET_DEBT_%_CAPITAL","FQ1 2016","FQ1 2016","Currency=INR","Period=FQ","BEST_FPERIOD_OVERRIDE=FQ","FILING_STATUS=OR","EQY_CONSOLIDATED=Y","Sort=A","Dates=H","DateFormat=P","Fill=—","Direction=H","UseDPDF=Y")</f>
        <v>#NAME?</v>
      </c>
      <c r="CP514" s="3" t="e">
        <f ca="1">_xll.BDH($C$503,"EBITDA","FQ1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514" s="3" t="e">
        <f ca="1">_xll.BDH($C$503,"EBITDA_AFTER_CAPEX","FQ1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514" s="3" t="e">
        <f ca="1">_xll.BDH($C$503,"IS_OPER_INC","FQ1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514" s="2" t="e">
        <f ca="1">_xll.BDH($C$503,"CASH_RATIO","FQ1 2016","FQ1 2016","Currency=INR","Period=FQ","BEST_FPERIOD_OVERRIDE=FQ","FILING_STATUS=OR","EQY_CONSOLIDATED=Y","Sort=A","Dates=H","DateFormat=P","Fill=—","Direction=H","UseDPDF=Y")</f>
        <v>#NAME?</v>
      </c>
      <c r="CT514" s="2" t="e">
        <f ca="1">_xll.BDH($C$503,"CUR_RATIO","FQ1 2016","FQ1 2016","Currency=INR","Period=FQ","BEST_FPERIOD_OVERRIDE=FQ","FILING_STATUS=OR","EQY_CONSOLIDATED=Y","Sort=A","Dates=H","DateFormat=P","Fill=—","Direction=H","UseDPDF=Y")</f>
        <v>#NAME?</v>
      </c>
      <c r="CU514" s="2" t="e">
        <f ca="1">_xll.BDH($C$503,"QUICK_RATIO","FQ1 2016","FQ1 2016","Currency=INR","Period=FQ","BEST_FPERIOD_OVERRIDE=FQ","FILING_STATUS=OR","EQY_CONSOLIDATED=Y","Sort=A","Dates=H","DateFormat=P","Fill=—","Direction=H","UseDPDF=Y")</f>
        <v>#NAME?</v>
      </c>
      <c r="CV514" s="2" t="e">
        <f ca="1">_xll.BDH($C$503,"ALTMAN_Z_SCORE","FQ1 2016","FQ1 2016","Currency=INR","Period=FQ","BEST_FPERIOD_OVERRIDE=FQ","FILING_STATUS=OR","EQY_CONSOLIDATED=Y","Sort=A","Dates=H","DateFormat=P","Fill=—","Direction=H","UseDPDF=Y")</f>
        <v>#NAME?</v>
      </c>
      <c r="CW514" s="4" t="e">
        <f ca="1">_xll.BDH($C$503,"ACCT_RCV_TURN","FQ1 2016","FQ1 2016","Currency=INR","Period=FQ","BEST_FPERIOD_OVERRIDE=FQ","FILING_STATUS=OR","EQY_CONSOLIDATED=Y","FA_ADJUSTED=GAAP","Sort=A","Dates=H","DateFormat=P","Fill=—","Direction=H","UseDPDF=Y")</f>
        <v>#NAME?</v>
      </c>
      <c r="CX514" s="2" t="e">
        <f ca="1">_xll.BDH($C$503,"ACCT_RCV_DAYS","FQ1 2016","FQ1 2016","Currency=INR","Period=FQ","BEST_FPERIOD_OVERRIDE=FQ","FILING_STATUS=OR","EQY_CONSOLIDATED=Y","FA_ADJUSTED=GAAP","Sort=A","Dates=H","DateFormat=P","Fill=—","Direction=H","UseDPDF=Y")</f>
        <v>#NAME?</v>
      </c>
      <c r="CY514" s="4" t="e">
        <f ca="1">_xll.BDH($C$503,"INVENT_TURN","FQ1 2016","FQ1 2016","Currency=INR","Period=FQ","BEST_FPERIOD_OVERRIDE=FQ","FILING_STATUS=OR","EQY_CONSOLIDATED=Y","FA_ADJUSTED=GAAP","Sort=A","Dates=H","DateFormat=P","Fill=—","Direction=H","UseDPDF=Y")</f>
        <v>#NAME?</v>
      </c>
      <c r="CZ514" s="2" t="e">
        <f ca="1">_xll.BDH($C$503,"INVENT_DAYS","FQ1 2016","FQ1 2016","Currency=INR","Period=FQ","BEST_FPERIOD_OVERRIDE=FQ","FILING_STATUS=OR","EQY_CONSOLIDATED=Y","FA_ADJUSTED=GAAP","Sort=A","Dates=H","DateFormat=P","Fill=—","Direction=H","UseDPDF=Y")</f>
        <v>#NAME?</v>
      </c>
      <c r="DA514" s="4" t="e">
        <f ca="1">_xll.BDH($C$503,"ACCOUNTS_PAYABLE_TURNOVER","FQ1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514" s="2" t="e">
        <f ca="1">_xll.BDH($C$503,"ACCOUNTS_PAYABLE_TURNOVER_DAYS","FQ1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514" s="4" t="e">
        <f ca="1">_xll.BDH($C$503,"CASH_CONVERSION_CYCLE","FQ1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514" s="4" t="e">
        <f ca="1">_xll.BDH($C$503,"INV_TO_CASH_DAYS","FQ1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514" s="5" t="e">
        <f ca="1">_xll.BDH($C$503,"BS_INVENTORIES","FQ1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514" s="3" t="e">
        <f ca="1">_xll.BDH($C$503,"INVTRY_RAW_MATERIALS","FQ1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514" s="3" t="e">
        <f ca="1">_xll.BDH($C$503,"INVTRY_IN_PROGRESS","FQ1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514" s="3" t="e">
        <f ca="1">_xll.BDH($C$503,"INVTRY_FINISHED_GOODS","FQ1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514" s="3" t="e">
        <f ca="1">_xll.BDH($C$503,"BS_OTHER_INV","FQ1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515" spans="1:113" x14ac:dyDescent="0.3">
      <c r="A515" s="6"/>
      <c r="B515" s="6"/>
      <c r="C515" s="6"/>
      <c r="D515" s="6"/>
      <c r="E515" t="s">
        <v>79</v>
      </c>
      <c r="F515" t="e">
        <f ca="1">_xll.BDH($C$503,"RETURN_COM_EQY","FQ2 2016","FQ2 2016","Currency=INR","Period=FQ","BEST_FPERIOD_OVERRIDE=FQ","FILING_STATUS=OR","EQY_CONSOLIDATED=Y","FA_ADJUSTED=GAAP","Sort=A","Dates=H","DateFormat=P","Fill=—","Direction=H","UseDPDF=Y")</f>
        <v>#NAME?</v>
      </c>
      <c r="G515" t="e">
        <f ca="1">_xll.BDH($C$503,"RETURN_ON_ASSET","FQ2 2016","FQ2 2016","Currency=INR","Period=FQ","BEST_FPERIOD_OVERRIDE=FQ","FILING_STATUS=OR","EQY_CONSOLIDATED=Y","FA_ADJUSTED=GAAP","Sort=A","Dates=H","DateFormat=P","Fill=—","Direction=H","UseDPDF=Y")</f>
        <v>#NAME?</v>
      </c>
      <c r="H515" t="e">
        <f ca="1">_xll.BDH($C$503,"RETURN_ON_CAP","FQ2 2016","FQ2 2016","Currency=INR","Period=FQ","BEST_FPERIOD_OVERRIDE=FQ","FILING_STATUS=OR","EQY_CONSOLIDATED=Y","FA_ADJUSTED=GAAP","Sort=A","Dates=H","DateFormat=P","Fill=—","Direction=H","UseDPDF=Y")</f>
        <v>#NAME?</v>
      </c>
      <c r="I515" t="e">
        <f ca="1">_xll.BDH($C$503,"RETURN_ON_INV_CAPITAL","FQ2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515" t="e">
        <f ca="1">_xll.BDH($C$503,"EBITDA_TO_REVENUE","FQ2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515" t="e">
        <f ca="1">_xll.BDH($C$503,"OPER_MARGIN","FQ2 2016","FQ2 2016","Currency=INR","Period=FQ","BEST_FPERIOD_OVERRIDE=FQ","FILING_STATUS=OR","EQY_CONSOLIDATED=Y","FA_ADJUSTED=GAAP","Sort=A","Dates=H","DateFormat=P","Fill=—","Direction=H","UseDPDF=Y")</f>
        <v>#NAME?</v>
      </c>
      <c r="L515" t="e">
        <f ca="1">_xll.BDH($C$503,"INCREMENTAL_OPERATING_MARGIN","FQ2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515" t="e">
        <f ca="1">_xll.BDH($C$503,"PRETAX_INC_TO_NET_SALES","FQ2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515" t="e">
        <f ca="1">_xll.BDH($C$503,"INC_BEF_XO_ITEMS_TO_NET_SALES","FQ2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515" t="e">
        <f ca="1">_xll.BDH($C$503,"PROF_MARGIN","FQ2 2016","FQ2 2016","Currency=INR","Period=FQ","BEST_FPERIOD_OVERRIDE=FQ","FILING_STATUS=OR","EQY_CONSOLIDATED=Y","FA_ADJUSTED=GAAP","Sort=A","Dates=H","DateFormat=P","Fill=—","Direction=H","UseDPDF=Y")</f>
        <v>#NAME?</v>
      </c>
      <c r="P515" t="e">
        <f ca="1">_xll.BDH($C$503,"NET_INCOME_TO_COMMON_MARGIN","FQ2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515" t="e">
        <f ca="1">_xll.BDH($C$503,"EFF_TAX_RATE","FQ2 2016","FQ2 2016","Currency=INR","Period=FQ","BEST_FPERIOD_OVERRIDE=FQ","FILING_STATUS=OR","EQY_CONSOLIDATED=Y","FA_ADJUSTED=GAAP","Sort=A","Dates=H","DateFormat=P","Fill=—","Direction=H","UseDPDF=Y")</f>
        <v>#NAME?</v>
      </c>
      <c r="R515" t="e">
        <f ca="1">_xll.BDH($C$503,"DVD_PAYOUT_RATIO","FQ2 2016","FQ2 2016","Currency=INR","Period=FQ","BEST_FPERIOD_OVERRIDE=FQ","FILING_STATUS=OR","EQY_CONSOLIDATED=Y","FA_ADJUSTED=GAAP","Sort=A","Dates=H","DateFormat=P","Fill=—","Direction=H","UseDPDF=Y")</f>
        <v>#NAME?</v>
      </c>
      <c r="S515" t="e">
        <f ca="1">_xll.BDH($C$503,"SUSTAIN_GROWTH_RT","FQ2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515" s="2" t="e">
        <f ca="1">_xll.BDH($C$503,"SALES_GROWTH","FQ2 2016","FQ2 2016","Currency=INR","Period=FQ","BEST_FPERIOD_OVERRIDE=FQ","FILING_STATUS=OR","EQY_CONSOLIDATED=Y","FA_ADJUSTED=GAAP","Sort=A","Dates=H","DateFormat=P","Fill=—","Direction=H","UseDPDF=Y")</f>
        <v>#NAME?</v>
      </c>
      <c r="U515" s="2" t="e">
        <f ca="1">_xll.BDH($C$503,"EBITDA_GROWTH","FQ2 2016","FQ2 2016","Currency=INR","Period=FQ","BEST_FPERIOD_OVERRIDE=FQ","FILING_STATUS=OR","EQY_CONSOLIDATED=Y","FA_ADJUSTED=GAAP","Sort=A","Dates=H","DateFormat=P","Fill=—","Direction=H","UseDPDF=Y")</f>
        <v>#NAME?</v>
      </c>
      <c r="V515" s="2" t="e">
        <f ca="1">_xll.BDH($C$503,"OPER_INC_GROWTH","FQ2 2016","FQ2 2016","Currency=INR","Period=FQ","BEST_FPERIOD_OVERRIDE=FQ","FILING_STATUS=OR","EQY_CONSOLIDATED=Y","FA_ADJUSTED=GAAP","Sort=A","Dates=H","DateFormat=P","Fill=—","Direction=H","UseDPDF=Y")</f>
        <v>#NAME?</v>
      </c>
      <c r="W515" s="2" t="e">
        <f ca="1">_xll.BDH($C$503,"EARN_FOR_COM_GROWTH","FQ2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515" s="2" t="e">
        <f ca="1">_xll.BDH($C$503,"DILUTED_EPS_AFT_XO_ITEMS_GROWTH","FQ2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515" s="2" t="e">
        <f ca="1">_xll.BDH($C$503,"DIVIDEND_PER_SHARE_1_YEAR_GROWTH","FQ2 2016","FQ2 2016","Currency=INR","Period=FQ","BEST_FPERIOD_OVERRIDE=FQ","FILING_STATUS=OR","EQY_CONSOLIDATED=Y","Sort=A","Dates=H","DateFormat=P","Fill=—","Direction=H","UseDPDF=Y")</f>
        <v>#NAME?</v>
      </c>
      <c r="Z515" s="2" t="e">
        <f ca="1">_xll.BDH($C$503,"ACCOUNTS_RECEIVABLE_GROWTH","FQ2 2016","FQ2 2016","Currency=INR","Period=FQ","BEST_FPERIOD_OVERRIDE=FQ","FILING_STATUS=OR","EQY_CONSOLIDATED=Y","Sort=A","Dates=H","DateFormat=P","Fill=—","Direction=H","UseDPDF=Y")</f>
        <v>#NAME?</v>
      </c>
      <c r="AA515" s="2" t="e">
        <f ca="1">_xll.BDH($C$503,"INVENTORY_GROWTH","FQ2 2016","FQ2 2016","Currency=INR","Period=FQ","BEST_FPERIOD_OVERRIDE=FQ","FILING_STATUS=OR","EQY_CONSOLIDATED=Y","Sort=A","Dates=H","DateFormat=P","Fill=—","Direction=H","UseDPDF=Y")</f>
        <v>#NAME?</v>
      </c>
      <c r="AB515" s="2" t="e">
        <f ca="1">_xll.BDH($C$503,"NET_FIXED_ASSETS_1_YEAR_GROWTH","FQ2 2016","FQ2 2016","Currency=INR","Period=FQ","BEST_FPERIOD_OVERRIDE=FQ","FILING_STATUS=OR","EQY_CONSOLIDATED=Y","Sort=A","Dates=H","DateFormat=P","Fill=—","Direction=H","UseDPDF=Y")</f>
        <v>#NAME?</v>
      </c>
      <c r="AC515" s="2" t="e">
        <f ca="1">_xll.BDH($C$503,"ASSET_GROWTH","FQ2 2016","FQ2 2016","Currency=INR","Period=FQ","BEST_FPERIOD_OVERRIDE=FQ","FILING_STATUS=OR","EQY_CONSOLIDATED=Y","Sort=A","Dates=H","DateFormat=P","Fill=—","Direction=H","UseDPDF=Y")</f>
        <v>#NAME?</v>
      </c>
      <c r="AD515" s="2" t="e">
        <f ca="1">_xll.BDH($C$503,"MODIFIED_WORK_CAP_GROWTH","FQ2 2016","FQ2 2016","Currency=INR","Period=FQ","BEST_FPERIOD_OVERRIDE=FQ","FILING_STATUS=OR","EQY_CONSOLIDATED=Y","Sort=A","Dates=H","DateFormat=P","Fill=—","Direction=H","UseDPDF=Y")</f>
        <v>#NAME?</v>
      </c>
      <c r="AE515" s="2" t="e">
        <f ca="1">_xll.BDH($C$503,"WORK_CAP_GROWTH","FQ2 2016","FQ2 2016","Currency=INR","Period=FQ","BEST_FPERIOD_OVERRIDE=FQ","FILING_STATUS=OR","EQY_CONSOLIDATED=Y","Sort=A","Dates=H","DateFormat=P","Fill=—","Direction=H","UseDPDF=Y")</f>
        <v>#NAME?</v>
      </c>
      <c r="AF515" s="2" t="e">
        <f ca="1">_xll.BDH($C$503,"ACCOUNTS_PAYABLE_GROWTH_1YR","FQ2 2016","FQ2 2016","Currency=INR","Period=FQ","BEST_FPERIOD_OVERRIDE=FQ","FILING_STATUS=OR","EQY_CONSOLIDATED=Y","Sort=A","Dates=H","DateFormat=P","Fill=—","Direction=H","UseDPDF=Y")</f>
        <v>#NAME?</v>
      </c>
      <c r="AG515" s="2" t="e">
        <f ca="1">_xll.BDH($C$503,"SHORT_TERM_DEBT_1_YEAR_GROWTH","FQ2 2016","FQ2 2016","Currency=INR","Period=FQ","BEST_FPERIOD_OVERRIDE=FQ","FILING_STATUS=OR","EQY_CONSOLIDATED=Y","Sort=A","Dates=H","DateFormat=P","Fill=—","Direction=H","UseDPDF=Y")</f>
        <v>#NAME?</v>
      </c>
      <c r="AH515" s="2" t="e">
        <f ca="1">_xll.BDH($C$503,"TOTAL_DEBT_1_YEAR_GROWTH","FQ2 2016","FQ2 2016","Currency=INR","Period=FQ","BEST_FPERIOD_OVERRIDE=FQ","FILING_STATUS=OR","EQY_CONSOLIDATED=Y","Sort=A","Dates=H","DateFormat=P","Fill=—","Direction=H","UseDPDF=Y")</f>
        <v>#NAME?</v>
      </c>
      <c r="AI515" s="2" t="e">
        <f ca="1">_xll.BDH($C$503,"TOTAL_EQUITY_1_YEAR_GROWTH","FQ2 2016","FQ2 2016","Currency=INR","Period=FQ","BEST_FPERIOD_OVERRIDE=FQ","FILING_STATUS=OR","EQY_CONSOLIDATED=Y","Sort=A","Dates=H","DateFormat=P","Fill=—","Direction=H","UseDPDF=Y")</f>
        <v>#NAME?</v>
      </c>
      <c r="AJ515" s="2" t="e">
        <f ca="1">_xll.BDH($C$503,"GROWTH_IN_CAP","FQ2 2016","FQ2 2016","Currency=INR","Period=FQ","BEST_FPERIOD_OVERRIDE=FQ","FILING_STATUS=OR","EQY_CONSOLIDATED=Y","Sort=A","Dates=H","DateFormat=P","Fill=—","Direction=H","UseDPDF=Y")</f>
        <v>#NAME?</v>
      </c>
      <c r="AK515" s="2" t="e">
        <f ca="1">_xll.BDH($C$503,"BVPS_GROWTH","FQ2 2016","FQ2 2016","Currency=INR","Period=FQ","BEST_FPERIOD_OVERRIDE=FQ","FILING_STATUS=OR","EQY_CONSOLIDATED=Y","Sort=A","Dates=H","DateFormat=P","Fill=—","Direction=H","UseDPDF=Y")</f>
        <v>#NAME?</v>
      </c>
      <c r="AL515" s="2" t="e">
        <f ca="1">_xll.BDH($C$503,"CASH_FLOW_GROWTH","FQ2 2016","FQ2 2016","Currency=INR","Period=FQ","BEST_FPERIOD_OVERRIDE=FQ","FILING_STATUS=OR","EQY_CONSOLIDATED=Y","Sort=A","Dates=H","DateFormat=P","Fill=—","Direction=H","UseDPDF=Y")</f>
        <v>#NAME?</v>
      </c>
      <c r="AM515" s="2" t="e">
        <f ca="1">_xll.BDH($C$503,"GEO_GROW_NET_SALES","FQ2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515" s="2" t="e">
        <f ca="1">_xll.BDH($C$503,"GEO_GROW_EBITDA","FQ2 2016","FQ2 2016","Currency=INR","Period=FQ","BEST_FPERIOD_OVERRIDE=FQ","FILING_STATUS=OR","EQY_CONSOLIDATED=Y","FA_ADJUSTED=GAAP","Sort=A","Dates=H","DateFormat=P","Fill=—","Direction=H","UseDPDF=Y")</f>
        <v>#NAME?</v>
      </c>
      <c r="AO515" s="2" t="e">
        <f ca="1">_xll.BDH($C$503,"GEO_GROW_OPER_INC","FQ2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515" s="2" t="e">
        <f ca="1">_xll.BDH($C$503,"NET_INCOME_TO_COMMON_5_YR_GROWTH","FQ2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515" s="2" t="e">
        <f ca="1">_xll.BDH($C$503,"5Y_GEO_GROWTH_DILUTED_EPS","FQ2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515" s="2" t="e">
        <f ca="1">_xll.BDH($C$503,"GEO_GROW_DVD_PER_SH","FQ2 2016","FQ2 2016","Currency=INR","Period=FQ","BEST_FPERIOD_OVERRIDE=FQ","FILING_STATUS=OR","EQY_CONSOLIDATED=Y","Sort=A","Dates=H","DateFormat=P","Fill=—","Direction=H","UseDPDF=Y")</f>
        <v>#NAME?</v>
      </c>
      <c r="AS515" s="2" t="e">
        <f ca="1">_xll.BDH($C$503,"ACCOUNTS_RECEIVABLE_5_YR_GROWTH","FQ2 2016","FQ2 2016","Currency=INR","Period=FQ","BEST_FPERIOD_OVERRIDE=FQ","FILING_STATUS=OR","EQY_CONSOLIDATED=Y","Sort=A","Dates=H","DateFormat=P","Fill=—","Direction=H","UseDPDF=Y")</f>
        <v>#NAME?</v>
      </c>
      <c r="AT515" s="2" t="e">
        <f ca="1">_xll.BDH($C$503,"INVENTORY_5_YEAR_GROWTH","FQ2 2016","FQ2 2016","Currency=INR","Period=FQ","BEST_FPERIOD_OVERRIDE=FQ","FILING_STATUS=OR","EQY_CONSOLIDATED=Y","Sort=A","Dates=H","DateFormat=P","Fill=—","Direction=H","UseDPDF=Y")</f>
        <v>#NAME?</v>
      </c>
      <c r="AU515" s="2" t="e">
        <f ca="1">_xll.BDH($C$503,"NET_FIXED_ASSETS_5_YEAR_GROWTH","FQ2 2016","FQ2 2016","Currency=INR","Period=FQ","BEST_FPERIOD_OVERRIDE=FQ","FILING_STATUS=OR","EQY_CONSOLIDATED=Y","Sort=A","Dates=H","DateFormat=P","Fill=—","Direction=H","UseDPDF=Y")</f>
        <v>#NAME?</v>
      </c>
      <c r="AV515" s="2" t="e">
        <f ca="1">_xll.BDH($C$503,"GEO_GROW_TOT_ASSET","FQ2 2016","FQ2 2016","Currency=INR","Period=FQ","BEST_FPERIOD_OVERRIDE=FQ","FILING_STATUS=OR","EQY_CONSOLIDATED=Y","Sort=A","Dates=H","DateFormat=P","Fill=—","Direction=H","UseDPDF=Y")</f>
        <v>#NAME?</v>
      </c>
      <c r="AW515" s="2" t="e">
        <f ca="1">_xll.BDH($C$503,"MODIFIED_WORKING_CPTL_5YR_GRWTH","FQ2 2016","FQ2 2016","Currency=INR","Period=FQ","BEST_FPERIOD_OVERRIDE=FQ","FILING_STATUS=OR","EQY_CONSOLIDATED=Y","Sort=A","Dates=H","DateFormat=P","Fill=—","Direction=H","UseDPDF=Y")</f>
        <v>#NAME?</v>
      </c>
      <c r="AX515" s="2" t="e">
        <f ca="1">_xll.BDH($C$503,"WORKING_CAPITAL_5_YEAR_GROWTH","FQ2 2016","FQ2 2016","Currency=INR","Period=FQ","BEST_FPERIOD_OVERRIDE=FQ","FILING_STATUS=OR","EQY_CONSOLIDATED=Y","Sort=A","Dates=H","DateFormat=P","Fill=—","Direction=H","UseDPDF=Y")</f>
        <v>#NAME?</v>
      </c>
      <c r="AY515" s="2" t="e">
        <f ca="1">_xll.BDH($C$503,"ACCOUNTS_PAYABLE_5_YEAR_GROWTH","FQ2 2016","FQ2 2016","Currency=INR","Period=FQ","BEST_FPERIOD_OVERRIDE=FQ","FILING_STATUS=OR","EQY_CONSOLIDATED=Y","Sort=A","Dates=H","DateFormat=P","Fill=—","Direction=H","UseDPDF=Y")</f>
        <v>#NAME?</v>
      </c>
      <c r="AZ515" s="2" t="e">
        <f ca="1">_xll.BDH($C$503,"SHORT_TERM_DEBT_5_YEAR_GROWTH","FQ2 2016","FQ2 2016","Currency=INR","Period=FQ","BEST_FPERIOD_OVERRIDE=FQ","FILING_STATUS=OR","EQY_CONSOLIDATED=Y","Sort=A","Dates=H","DateFormat=P","Fill=—","Direction=H","UseDPDF=Y")</f>
        <v>#NAME?</v>
      </c>
      <c r="BA515" s="2" t="e">
        <f ca="1">_xll.BDH($C$503,"TOTAL_DEBT_5_YEAR_GROWTH","FQ2 2016","FQ2 2016","Currency=INR","Period=FQ","BEST_FPERIOD_OVERRIDE=FQ","FILING_STATUS=OR","EQY_CONSOLIDATED=Y","Sort=A","Dates=H","DateFormat=P","Fill=—","Direction=H","UseDPDF=Y")</f>
        <v>#NAME?</v>
      </c>
      <c r="BB515" s="2" t="e">
        <f ca="1">_xll.BDH($C$503,"GEO_GROW_TOT_SHRHLDR_EQY","FQ2 2016","FQ2 2016","Currency=INR","Period=FQ","BEST_FPERIOD_OVERRIDE=FQ","FILING_STATUS=OR","EQY_CONSOLIDATED=Y","Sort=A","Dates=H","DateFormat=P","Fill=—","Direction=H","UseDPDF=Y")</f>
        <v>#NAME?</v>
      </c>
      <c r="BC515" s="2" t="e">
        <f ca="1">_xll.BDH($C$503,"TOTAL_CAPITAL_5_YEAR_GROWTH","FQ2 2016","FQ2 2016","Currency=INR","Period=FQ","BEST_FPERIOD_OVERRIDE=FQ","FILING_STATUS=OR","EQY_CONSOLIDATED=Y","Sort=A","Dates=H","DateFormat=P","Fill=—","Direction=H","UseDPDF=Y")</f>
        <v>#NAME?</v>
      </c>
      <c r="BD515" s="2" t="e">
        <f ca="1">_xll.BDH($C$503,"GEO_GROW_BOOK_VAL","FQ2 2016","FQ2 2016","Currency=INR","Period=FQ","BEST_FPERIOD_OVERRIDE=FQ","FILING_STATUS=OR","EQY_CONSOLIDATED=Y","Sort=A","Dates=H","DateFormat=P","Fill=—","Direction=H","UseDPDF=Y")</f>
        <v>#NAME?</v>
      </c>
      <c r="BE515" s="2" t="e">
        <f ca="1">_xll.BDH($C$503,"GEO_GROW_CASH_OPER_ACT","FQ2 2016","FQ2 2016","Currency=INR","Period=FQ","BEST_FPERIOD_OVERRIDE=FQ","FILING_STATUS=OR","EQY_CONSOLIDATED=Y","Sort=A","Dates=H","DateFormat=P","Fill=—","Direction=H","UseDPDF=Y")</f>
        <v>#NAME?</v>
      </c>
      <c r="BF515" s="2" t="e">
        <f ca="1">_xll.BDH($C$503,"REVENUE_SEQUENTIAL_GROWTH","FQ2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515" s="2" t="e">
        <f ca="1">_xll.BDH($C$503,"EBITDA_SEQUENTIAL_GROWTH","FQ2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515" s="2" t="e">
        <f ca="1">_xll.BDH($C$503,"OPERATING_INCOME_SEQ_GROWTH","FQ2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515" s="2" t="e">
        <f ca="1">_xll.BDH($C$503,"NET_INCOME_TO_COMMON_SEQ_GROWTH","FQ2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515" s="2" t="e">
        <f ca="1">_xll.BDH($C$503,"EPS_DILUTED_SEQUENTIAL_GROWTH","FQ2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515" s="2" t="e">
        <f ca="1">_xll.BDH($C$503,"DPS_SEQUENTIAL_GROWTH","FQ2 2016","FQ2 2016","Currency=INR","Period=FQ","BEST_FPERIOD_OVERRIDE=FQ","FILING_STATUS=OR","EQY_CONSOLIDATED=Y","Sort=A","Dates=H","DateFormat=P","Fill=—","Direction=H","UseDPDF=Y")</f>
        <v>#NAME?</v>
      </c>
      <c r="BL515" s="2" t="e">
        <f ca="1">_xll.BDH($C$503,"ACCOUNTS_RECEIVABLE_SEQ_GROWTH","FQ2 2016","FQ2 2016","Currency=INR","Period=FQ","BEST_FPERIOD_OVERRIDE=FQ","FILING_STATUS=OR","EQY_CONSOLIDATED=Y","Sort=A","Dates=H","DateFormat=P","Fill=—","Direction=H","UseDPDF=Y")</f>
        <v>#NAME?</v>
      </c>
      <c r="BM515" s="2" t="e">
        <f ca="1">_xll.BDH($C$503,"INVENTORY_SEQUENTIAL_GROWTH","FQ2 2016","FQ2 2016","Currency=INR","Period=FQ","BEST_FPERIOD_OVERRIDE=FQ","FILING_STATUS=OR","EQY_CONSOLIDATED=Y","Sort=A","Dates=H","DateFormat=P","Fill=—","Direction=H","UseDPDF=Y")</f>
        <v>#NAME?</v>
      </c>
      <c r="BN515" s="2" t="e">
        <f ca="1">_xll.BDH($C$503,"FIXED_ASSETS_SEQUENTIAL_GROWTH","FQ2 2016","FQ2 2016","Currency=INR","Period=FQ","BEST_FPERIOD_OVERRIDE=FQ","FILING_STATUS=OR","EQY_CONSOLIDATED=Y","Sort=A","Dates=H","DateFormat=P","Fill=—","Direction=H","UseDPDF=Y")</f>
        <v>#NAME?</v>
      </c>
      <c r="BO515" s="2" t="e">
        <f ca="1">_xll.BDH($C$503,"TOTAL_ASSETS_SEQUENTIAL_GROWTH","FQ2 2016","FQ2 2016","Currency=INR","Period=FQ","BEST_FPERIOD_OVERRIDE=FQ","FILING_STATUS=OR","EQY_CONSOLIDATED=Y","Sort=A","Dates=H","DateFormat=P","Fill=—","Direction=H","UseDPDF=Y")</f>
        <v>#NAME?</v>
      </c>
      <c r="BP515" s="2" t="e">
        <f ca="1">_xll.BDH($C$503,"MODIFIED_WORKING_CPTL_SEQ_GRWTH","FQ2 2016","FQ2 2016","Currency=INR","Period=FQ","BEST_FPERIOD_OVERRIDE=FQ","FILING_STATUS=OR","EQY_CONSOLIDATED=Y","Sort=A","Dates=H","DateFormat=P","Fill=—","Direction=H","UseDPDF=Y")</f>
        <v>#NAME?</v>
      </c>
      <c r="BQ515" s="2" t="e">
        <f ca="1">_xll.BDH($C$503,"WORKING_CAPITAL_SEQ_GROWTH","FQ2 2016","FQ2 2016","Currency=INR","Period=FQ","BEST_FPERIOD_OVERRIDE=FQ","FILING_STATUS=OR","EQY_CONSOLIDATED=Y","Sort=A","Dates=H","DateFormat=P","Fill=—","Direction=H","UseDPDF=Y")</f>
        <v>#NAME?</v>
      </c>
      <c r="BR515" s="2" t="e">
        <f ca="1">_xll.BDH($C$503,"ACCOUNTS_PAYABLE_SEQ_GROWTH","FQ2 2016","FQ2 2016","Currency=INR","Period=FQ","BEST_FPERIOD_OVERRIDE=FQ","FILING_STATUS=OR","EQY_CONSOLIDATED=Y","Sort=A","Dates=H","DateFormat=P","Fill=—","Direction=H","UseDPDF=Y")</f>
        <v>#NAME?</v>
      </c>
      <c r="BS515" s="2" t="e">
        <f ca="1">_xll.BDH($C$503,"ST_DEBT_SEQUENTIAL_GROWTH","FQ2 2016","FQ2 2016","Currency=INR","Period=FQ","BEST_FPERIOD_OVERRIDE=FQ","FILING_STATUS=OR","EQY_CONSOLIDATED=Y","Sort=A","Dates=H","DateFormat=P","Fill=—","Direction=H","UseDPDF=Y")</f>
        <v>#NAME?</v>
      </c>
      <c r="BT515" s="2" t="e">
        <f ca="1">_xll.BDH($C$503,"TOTAL_DEBT_SEQUENTIAL_GROWTH","FQ2 2016","FQ2 2016","Currency=INR","Period=FQ","BEST_FPERIOD_OVERRIDE=FQ","FILING_STATUS=OR","EQY_CONSOLIDATED=Y","Sort=A","Dates=H","DateFormat=P","Fill=—","Direction=H","UseDPDF=Y")</f>
        <v>#NAME?</v>
      </c>
      <c r="BU515" s="2" t="e">
        <f ca="1">_xll.BDH($C$503,"TOTAL_EQUITY_SEQUENTIAL_GROWTH","FQ2 2016","FQ2 2016","Currency=INR","Period=FQ","BEST_FPERIOD_OVERRIDE=FQ","FILING_STATUS=OR","EQY_CONSOLIDATED=Y","Sort=A","Dates=H","DateFormat=P","Fill=—","Direction=H","UseDPDF=Y")</f>
        <v>#NAME?</v>
      </c>
      <c r="BV515" s="2" t="e">
        <f ca="1">_xll.BDH($C$503,"TOTAL_CAPITAL_SEQUENTIAL_GROWTH","FQ2 2016","FQ2 2016","Currency=INR","Period=FQ","BEST_FPERIOD_OVERRIDE=FQ","FILING_STATUS=OR","EQY_CONSOLIDATED=Y","Sort=A","Dates=H","DateFormat=P","Fill=—","Direction=H","UseDPDF=Y")</f>
        <v>#NAME?</v>
      </c>
      <c r="BW515" s="2" t="e">
        <f ca="1">_xll.BDH($C$503,"BPS_SEQUENTIAL_GROWTH","FQ2 2016","FQ2 2016","Currency=INR","Period=FQ","BEST_FPERIOD_OVERRIDE=FQ","FILING_STATUS=OR","EQY_CONSOLIDATED=Y","Sort=A","Dates=H","DateFormat=P","Fill=—","Direction=H","UseDPDF=Y")</f>
        <v>#NAME?</v>
      </c>
      <c r="BX515" s="2" t="e">
        <f ca="1">_xll.BDH($C$503,"CFO_SEQUENTIAL_GROWTH","FQ2 2016","FQ2 2016","Currency=INR","Period=FQ","BEST_FPERIOD_OVERRIDE=FQ","FILING_STATUS=OR","EQY_CONSOLIDATED=Y","Sort=A","Dates=H","DateFormat=P","Fill=—","Direction=H","UseDPDF=Y")</f>
        <v>#NAME?</v>
      </c>
      <c r="BY515" s="3" t="e">
        <f ca="1">_xll.BDH($C$503,"SHORT_AND_LONG_TERM_DEBT","FQ2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515" s="3" t="e">
        <f ca="1">_xll.BDH($C$503,"BS_ST_BORROW","FQ2 2016","FQ2 2016","Currency=INR","Period=FQ","BEST_FPERIOD_OVERRIDE=FQ","FILING_STATUS=OR","EQY_CONSOLIDATED=Y","SCALING_FORMAT=MLN","Sort=A","Dates=H","DateFormat=P","Fill=—","Direction=H","UseDPDF=Y")</f>
        <v>#NAME?</v>
      </c>
      <c r="CA515" s="3" t="e">
        <f ca="1">_xll.BDH($C$503,"BS_LT_BORROW","FQ2 2016","FQ2 2016","Currency=INR","Period=FQ","BEST_FPERIOD_OVERRIDE=FQ","FILING_STATUS=OR","EQY_CONSOLIDATED=Y","SCALING_FORMAT=MLN","Sort=A","Dates=H","DateFormat=P","Fill=—","Direction=H","UseDPDF=Y")</f>
        <v>#NAME?</v>
      </c>
      <c r="CB515" s="2" t="e">
        <f ca="1">_xll.BDH($C$503,"TOT_DEBT_TO_EBITDA","FQ2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515" s="2" t="e">
        <f ca="1">_xll.BDH($C$503,"NET_DEBT_TO_EBITDA","FQ2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515" s="2" t="e">
        <f ca="1">_xll.BDH($C$503,"TOTAL_DEBT_TO_EBIT","FQ2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515" s="2" t="e">
        <f ca="1">_xll.BDH($C$503,"NET_DEBT_TO_EBIT","FQ2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515" s="2" t="e">
        <f ca="1">_xll.BDH($C$503,"EBITDA_TO_INTEREST_EXPN","FQ2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515" s="2" t="e">
        <f ca="1">_xll.BDH($C$503,"COM_EQY_TO_TOT_ASSET","FQ2 2016","FQ2 2016","Currency=INR","Period=FQ","BEST_FPERIOD_OVERRIDE=FQ","FILING_STATUS=OR","EQY_CONSOLIDATED=Y","Sort=A","Dates=H","DateFormat=P","Fill=—","Direction=H","UseDPDF=Y")</f>
        <v>#NAME?</v>
      </c>
      <c r="CH515" s="2" t="e">
        <f ca="1">_xll.BDH($C$503,"LT_DEBT_TO_TOT_EQY","FQ2 2016","FQ2 2016","Currency=INR","Period=FQ","BEST_FPERIOD_OVERRIDE=FQ","FILING_STATUS=OR","EQY_CONSOLIDATED=Y","Sort=A","Dates=H","DateFormat=P","Fill=—","Direction=H","UseDPDF=Y")</f>
        <v>#NAME?</v>
      </c>
      <c r="CI515" s="2" t="e">
        <f ca="1">_xll.BDH($C$503,"LT_DEBT_TO_TOT_CAP","FQ2 2016","FQ2 2016","Currency=INR","Period=FQ","BEST_FPERIOD_OVERRIDE=FQ","FILING_STATUS=OR","EQY_CONSOLIDATED=Y","Sort=A","Dates=H","DateFormat=P","Fill=—","Direction=H","UseDPDF=Y")</f>
        <v>#NAME?</v>
      </c>
      <c r="CJ515" s="2" t="e">
        <f ca="1">_xll.BDH($C$503,"LT_DEBT_TO_TOT_ASSET","FQ2 2016","FQ2 2016","Currency=INR","Period=FQ","BEST_FPERIOD_OVERRIDE=FQ","FILING_STATUS=OR","EQY_CONSOLIDATED=Y","Sort=A","Dates=H","DateFormat=P","Fill=—","Direction=H","UseDPDF=Y")</f>
        <v>#NAME?</v>
      </c>
      <c r="CK515" s="2" t="e">
        <f ca="1">_xll.BDH($C$503,"TOT_DEBT_TO_TOT_EQY","FQ2 2016","FQ2 2016","Currency=INR","Period=FQ","BEST_FPERIOD_OVERRIDE=FQ","FILING_STATUS=OR","EQY_CONSOLIDATED=Y","Sort=A","Dates=H","DateFormat=P","Fill=—","Direction=H","UseDPDF=Y")</f>
        <v>#NAME?</v>
      </c>
      <c r="CL515" s="2" t="e">
        <f ca="1">_xll.BDH($C$503,"TOT_DEBT_TO_TOT_CAP","FQ2 2016","FQ2 2016","Currency=INR","Period=FQ","BEST_FPERIOD_OVERRIDE=FQ","FILING_STATUS=OR","EQY_CONSOLIDATED=Y","Sort=A","Dates=H","DateFormat=P","Fill=—","Direction=H","UseDPDF=Y")</f>
        <v>#NAME?</v>
      </c>
      <c r="CM515" s="2" t="e">
        <f ca="1">_xll.BDH($C$503,"TOT_DEBT_TO_TOT_ASSET","FQ2 2016","FQ2 2016","Currency=INR","Period=FQ","BEST_FPERIOD_OVERRIDE=FQ","FILING_STATUS=OR","EQY_CONSOLIDATED=Y","Sort=A","Dates=H","DateFormat=P","Fill=—","Direction=H","UseDPDF=Y")</f>
        <v>#NAME?</v>
      </c>
      <c r="CN515" s="2" t="e">
        <f ca="1">_xll.BDH($C$503,"NET_DEBT_TO_SHRHLDR_EQTY","FQ2 2016","FQ2 2016","Currency=INR","Period=FQ","BEST_FPERIOD_OVERRIDE=FQ","FILING_STATUS=OR","EQY_CONSOLIDATED=Y","Sort=A","Dates=H","DateFormat=P","Fill=—","Direction=H","UseDPDF=Y")</f>
        <v>#NAME?</v>
      </c>
      <c r="CO515" s="2" t="e">
        <f ca="1">_xll.BDH($C$503,"NET_DEBT_%_CAPITAL","FQ2 2016","FQ2 2016","Currency=INR","Period=FQ","BEST_FPERIOD_OVERRIDE=FQ","FILING_STATUS=OR","EQY_CONSOLIDATED=Y","Sort=A","Dates=H","DateFormat=P","Fill=—","Direction=H","UseDPDF=Y")</f>
        <v>#NAME?</v>
      </c>
      <c r="CP515" s="3" t="e">
        <f ca="1">_xll.BDH($C$503,"EBITDA","FQ2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515" s="3" t="e">
        <f ca="1">_xll.BDH($C$503,"EBITDA_AFTER_CAPEX","FQ2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515" s="3" t="e">
        <f ca="1">_xll.BDH($C$503,"IS_OPER_INC","FQ2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515" s="2" t="e">
        <f ca="1">_xll.BDH($C$503,"CASH_RATIO","FQ2 2016","FQ2 2016","Currency=INR","Period=FQ","BEST_FPERIOD_OVERRIDE=FQ","FILING_STATUS=OR","EQY_CONSOLIDATED=Y","Sort=A","Dates=H","DateFormat=P","Fill=—","Direction=H","UseDPDF=Y")</f>
        <v>#NAME?</v>
      </c>
      <c r="CT515" s="2" t="e">
        <f ca="1">_xll.BDH($C$503,"CUR_RATIO","FQ2 2016","FQ2 2016","Currency=INR","Period=FQ","BEST_FPERIOD_OVERRIDE=FQ","FILING_STATUS=OR","EQY_CONSOLIDATED=Y","Sort=A","Dates=H","DateFormat=P","Fill=—","Direction=H","UseDPDF=Y")</f>
        <v>#NAME?</v>
      </c>
      <c r="CU515" s="2" t="e">
        <f ca="1">_xll.BDH($C$503,"QUICK_RATIO","FQ2 2016","FQ2 2016","Currency=INR","Period=FQ","BEST_FPERIOD_OVERRIDE=FQ","FILING_STATUS=OR","EQY_CONSOLIDATED=Y","Sort=A","Dates=H","DateFormat=P","Fill=—","Direction=H","UseDPDF=Y")</f>
        <v>#NAME?</v>
      </c>
      <c r="CV515" s="2" t="e">
        <f ca="1">_xll.BDH($C$503,"ALTMAN_Z_SCORE","FQ2 2016","FQ2 2016","Currency=INR","Period=FQ","BEST_FPERIOD_OVERRIDE=FQ","FILING_STATUS=OR","EQY_CONSOLIDATED=Y","Sort=A","Dates=H","DateFormat=P","Fill=—","Direction=H","UseDPDF=Y")</f>
        <v>#NAME?</v>
      </c>
      <c r="CW515" s="4" t="e">
        <f ca="1">_xll.BDH($C$503,"ACCT_RCV_TURN","FQ2 2016","FQ2 2016","Currency=INR","Period=FQ","BEST_FPERIOD_OVERRIDE=FQ","FILING_STATUS=OR","EQY_CONSOLIDATED=Y","FA_ADJUSTED=GAAP","Sort=A","Dates=H","DateFormat=P","Fill=—","Direction=H","UseDPDF=Y")</f>
        <v>#NAME?</v>
      </c>
      <c r="CX515" s="2" t="e">
        <f ca="1">_xll.BDH($C$503,"ACCT_RCV_DAYS","FQ2 2016","FQ2 2016","Currency=INR","Period=FQ","BEST_FPERIOD_OVERRIDE=FQ","FILING_STATUS=OR","EQY_CONSOLIDATED=Y","FA_ADJUSTED=GAAP","Sort=A","Dates=H","DateFormat=P","Fill=—","Direction=H","UseDPDF=Y")</f>
        <v>#NAME?</v>
      </c>
      <c r="CY515" s="4" t="e">
        <f ca="1">_xll.BDH($C$503,"INVENT_TURN","FQ2 2016","FQ2 2016","Currency=INR","Period=FQ","BEST_FPERIOD_OVERRIDE=FQ","FILING_STATUS=OR","EQY_CONSOLIDATED=Y","FA_ADJUSTED=GAAP","Sort=A","Dates=H","DateFormat=P","Fill=—","Direction=H","UseDPDF=Y")</f>
        <v>#NAME?</v>
      </c>
      <c r="CZ515" s="2" t="e">
        <f ca="1">_xll.BDH($C$503,"INVENT_DAYS","FQ2 2016","FQ2 2016","Currency=INR","Period=FQ","BEST_FPERIOD_OVERRIDE=FQ","FILING_STATUS=OR","EQY_CONSOLIDATED=Y","FA_ADJUSTED=GAAP","Sort=A","Dates=H","DateFormat=P","Fill=—","Direction=H","UseDPDF=Y")</f>
        <v>#NAME?</v>
      </c>
      <c r="DA515" s="4" t="e">
        <f ca="1">_xll.BDH($C$503,"ACCOUNTS_PAYABLE_TURNOVER","FQ2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515" s="2" t="e">
        <f ca="1">_xll.BDH($C$503,"ACCOUNTS_PAYABLE_TURNOVER_DAYS","FQ2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515" s="4" t="e">
        <f ca="1">_xll.BDH($C$503,"CASH_CONVERSION_CYCLE","FQ2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515" s="4" t="e">
        <f ca="1">_xll.BDH($C$503,"INV_TO_CASH_DAYS","FQ2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515" s="5" t="e">
        <f ca="1">_xll.BDH($C$503,"BS_INVENTORIES","FQ2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515" s="3" t="e">
        <f ca="1">_xll.BDH($C$503,"INVTRY_RAW_MATERIALS","FQ2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515" s="3" t="e">
        <f ca="1">_xll.BDH($C$503,"INVTRY_IN_PROGRESS","FQ2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515" s="3" t="e">
        <f ca="1">_xll.BDH($C$503,"INVTRY_FINISHED_GOODS","FQ2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515" s="3" t="e">
        <f ca="1">_xll.BDH($C$503,"BS_OTHER_INV","FQ2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516" spans="1:113" x14ac:dyDescent="0.3">
      <c r="A516" s="6"/>
      <c r="B516" s="6"/>
      <c r="C516" s="6"/>
      <c r="D516" s="6"/>
      <c r="E516" t="s">
        <v>80</v>
      </c>
      <c r="F516" t="e">
        <f ca="1">_xll.BDH($C$503,"RETURN_COM_EQY","FQ3 2016","FQ3 2016","Currency=INR","Period=FQ","BEST_FPERIOD_OVERRIDE=FQ","FILING_STATUS=OR","EQY_CONSOLIDATED=Y","FA_ADJUSTED=GAAP","Sort=A","Dates=H","DateFormat=P","Fill=—","Direction=H","UseDPDF=Y")</f>
        <v>#NAME?</v>
      </c>
      <c r="G516" t="e">
        <f ca="1">_xll.BDH($C$503,"RETURN_ON_ASSET","FQ3 2016","FQ3 2016","Currency=INR","Period=FQ","BEST_FPERIOD_OVERRIDE=FQ","FILING_STATUS=OR","EQY_CONSOLIDATED=Y","FA_ADJUSTED=GAAP","Sort=A","Dates=H","DateFormat=P","Fill=—","Direction=H","UseDPDF=Y")</f>
        <v>#NAME?</v>
      </c>
      <c r="H516" t="e">
        <f ca="1">_xll.BDH($C$503,"RETURN_ON_CAP","FQ3 2016","FQ3 2016","Currency=INR","Period=FQ","BEST_FPERIOD_OVERRIDE=FQ","FILING_STATUS=OR","EQY_CONSOLIDATED=Y","FA_ADJUSTED=GAAP","Sort=A","Dates=H","DateFormat=P","Fill=—","Direction=H","UseDPDF=Y")</f>
        <v>#NAME?</v>
      </c>
      <c r="I516" t="e">
        <f ca="1">_xll.BDH($C$503,"RETURN_ON_INV_CAPITAL","FQ3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516" t="e">
        <f ca="1">_xll.BDH($C$503,"EBITDA_TO_REVENUE","FQ3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516" t="e">
        <f ca="1">_xll.BDH($C$503,"OPER_MARGIN","FQ3 2016","FQ3 2016","Currency=INR","Period=FQ","BEST_FPERIOD_OVERRIDE=FQ","FILING_STATUS=OR","EQY_CONSOLIDATED=Y","FA_ADJUSTED=GAAP","Sort=A","Dates=H","DateFormat=P","Fill=—","Direction=H","UseDPDF=Y")</f>
        <v>#NAME?</v>
      </c>
      <c r="L516" t="e">
        <f ca="1">_xll.BDH($C$503,"INCREMENTAL_OPERATING_MARGIN","FQ3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516" t="e">
        <f ca="1">_xll.BDH($C$503,"PRETAX_INC_TO_NET_SALES","FQ3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516" t="e">
        <f ca="1">_xll.BDH($C$503,"INC_BEF_XO_ITEMS_TO_NET_SALES","FQ3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516" t="e">
        <f ca="1">_xll.BDH($C$503,"PROF_MARGIN","FQ3 2016","FQ3 2016","Currency=INR","Period=FQ","BEST_FPERIOD_OVERRIDE=FQ","FILING_STATUS=OR","EQY_CONSOLIDATED=Y","FA_ADJUSTED=GAAP","Sort=A","Dates=H","DateFormat=P","Fill=—","Direction=H","UseDPDF=Y")</f>
        <v>#NAME?</v>
      </c>
      <c r="P516" t="e">
        <f ca="1">_xll.BDH($C$503,"NET_INCOME_TO_COMMON_MARGIN","FQ3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516" t="e">
        <f ca="1">_xll.BDH($C$503,"EFF_TAX_RATE","FQ3 2016","FQ3 2016","Currency=INR","Period=FQ","BEST_FPERIOD_OVERRIDE=FQ","FILING_STATUS=OR","EQY_CONSOLIDATED=Y","FA_ADJUSTED=GAAP","Sort=A","Dates=H","DateFormat=P","Fill=—","Direction=H","UseDPDF=Y")</f>
        <v>#NAME?</v>
      </c>
      <c r="R516" t="e">
        <f ca="1">_xll.BDH($C$503,"DVD_PAYOUT_RATIO","FQ3 2016","FQ3 2016","Currency=INR","Period=FQ","BEST_FPERIOD_OVERRIDE=FQ","FILING_STATUS=OR","EQY_CONSOLIDATED=Y","FA_ADJUSTED=GAAP","Sort=A","Dates=H","DateFormat=P","Fill=—","Direction=H","UseDPDF=Y")</f>
        <v>#NAME?</v>
      </c>
      <c r="S516" t="e">
        <f ca="1">_xll.BDH($C$503,"SUSTAIN_GROWTH_RT","FQ3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516" s="2" t="e">
        <f ca="1">_xll.BDH($C$503,"SALES_GROWTH","FQ3 2016","FQ3 2016","Currency=INR","Period=FQ","BEST_FPERIOD_OVERRIDE=FQ","FILING_STATUS=OR","EQY_CONSOLIDATED=Y","FA_ADJUSTED=GAAP","Sort=A","Dates=H","DateFormat=P","Fill=—","Direction=H","UseDPDF=Y")</f>
        <v>#NAME?</v>
      </c>
      <c r="U516" s="2" t="e">
        <f ca="1">_xll.BDH($C$503,"EBITDA_GROWTH","FQ3 2016","FQ3 2016","Currency=INR","Period=FQ","BEST_FPERIOD_OVERRIDE=FQ","FILING_STATUS=OR","EQY_CONSOLIDATED=Y","FA_ADJUSTED=GAAP","Sort=A","Dates=H","DateFormat=P","Fill=—","Direction=H","UseDPDF=Y")</f>
        <v>#NAME?</v>
      </c>
      <c r="V516" s="2" t="e">
        <f ca="1">_xll.BDH($C$503,"OPER_INC_GROWTH","FQ3 2016","FQ3 2016","Currency=INR","Period=FQ","BEST_FPERIOD_OVERRIDE=FQ","FILING_STATUS=OR","EQY_CONSOLIDATED=Y","FA_ADJUSTED=GAAP","Sort=A","Dates=H","DateFormat=P","Fill=—","Direction=H","UseDPDF=Y")</f>
        <v>#NAME?</v>
      </c>
      <c r="W516" s="2" t="e">
        <f ca="1">_xll.BDH($C$503,"EARN_FOR_COM_GROWTH","FQ3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516" s="2" t="e">
        <f ca="1">_xll.BDH($C$503,"DILUTED_EPS_AFT_XO_ITEMS_GROWTH","FQ3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516" s="2" t="e">
        <f ca="1">_xll.BDH($C$503,"DIVIDEND_PER_SHARE_1_YEAR_GROWTH","FQ3 2016","FQ3 2016","Currency=INR","Period=FQ","BEST_FPERIOD_OVERRIDE=FQ","FILING_STATUS=OR","EQY_CONSOLIDATED=Y","Sort=A","Dates=H","DateFormat=P","Fill=—","Direction=H","UseDPDF=Y")</f>
        <v>#NAME?</v>
      </c>
      <c r="Z516" s="2" t="e">
        <f ca="1">_xll.BDH($C$503,"ACCOUNTS_RECEIVABLE_GROWTH","FQ3 2016","FQ3 2016","Currency=INR","Period=FQ","BEST_FPERIOD_OVERRIDE=FQ","FILING_STATUS=OR","EQY_CONSOLIDATED=Y","Sort=A","Dates=H","DateFormat=P","Fill=—","Direction=H","UseDPDF=Y")</f>
        <v>#NAME?</v>
      </c>
      <c r="AA516" s="2" t="e">
        <f ca="1">_xll.BDH($C$503,"INVENTORY_GROWTH","FQ3 2016","FQ3 2016","Currency=INR","Period=FQ","BEST_FPERIOD_OVERRIDE=FQ","FILING_STATUS=OR","EQY_CONSOLIDATED=Y","Sort=A","Dates=H","DateFormat=P","Fill=—","Direction=H","UseDPDF=Y")</f>
        <v>#NAME?</v>
      </c>
      <c r="AB516" s="2" t="e">
        <f ca="1">_xll.BDH($C$503,"NET_FIXED_ASSETS_1_YEAR_GROWTH","FQ3 2016","FQ3 2016","Currency=INR","Period=FQ","BEST_FPERIOD_OVERRIDE=FQ","FILING_STATUS=OR","EQY_CONSOLIDATED=Y","Sort=A","Dates=H","DateFormat=P","Fill=—","Direction=H","UseDPDF=Y")</f>
        <v>#NAME?</v>
      </c>
      <c r="AC516" s="2" t="e">
        <f ca="1">_xll.BDH($C$503,"ASSET_GROWTH","FQ3 2016","FQ3 2016","Currency=INR","Period=FQ","BEST_FPERIOD_OVERRIDE=FQ","FILING_STATUS=OR","EQY_CONSOLIDATED=Y","Sort=A","Dates=H","DateFormat=P","Fill=—","Direction=H","UseDPDF=Y")</f>
        <v>#NAME?</v>
      </c>
      <c r="AD516" s="2" t="e">
        <f ca="1">_xll.BDH($C$503,"MODIFIED_WORK_CAP_GROWTH","FQ3 2016","FQ3 2016","Currency=INR","Period=FQ","BEST_FPERIOD_OVERRIDE=FQ","FILING_STATUS=OR","EQY_CONSOLIDATED=Y","Sort=A","Dates=H","DateFormat=P","Fill=—","Direction=H","UseDPDF=Y")</f>
        <v>#NAME?</v>
      </c>
      <c r="AE516" s="2" t="e">
        <f ca="1">_xll.BDH($C$503,"WORK_CAP_GROWTH","FQ3 2016","FQ3 2016","Currency=INR","Period=FQ","BEST_FPERIOD_OVERRIDE=FQ","FILING_STATUS=OR","EQY_CONSOLIDATED=Y","Sort=A","Dates=H","DateFormat=P","Fill=—","Direction=H","UseDPDF=Y")</f>
        <v>#NAME?</v>
      </c>
      <c r="AF516" s="2" t="e">
        <f ca="1">_xll.BDH($C$503,"ACCOUNTS_PAYABLE_GROWTH_1YR","FQ3 2016","FQ3 2016","Currency=INR","Period=FQ","BEST_FPERIOD_OVERRIDE=FQ","FILING_STATUS=OR","EQY_CONSOLIDATED=Y","Sort=A","Dates=H","DateFormat=P","Fill=—","Direction=H","UseDPDF=Y")</f>
        <v>#NAME?</v>
      </c>
      <c r="AG516" s="2" t="e">
        <f ca="1">_xll.BDH($C$503,"SHORT_TERM_DEBT_1_YEAR_GROWTH","FQ3 2016","FQ3 2016","Currency=INR","Period=FQ","BEST_FPERIOD_OVERRIDE=FQ","FILING_STATUS=OR","EQY_CONSOLIDATED=Y","Sort=A","Dates=H","DateFormat=P","Fill=—","Direction=H","UseDPDF=Y")</f>
        <v>#NAME?</v>
      </c>
      <c r="AH516" s="2" t="e">
        <f ca="1">_xll.BDH($C$503,"TOTAL_DEBT_1_YEAR_GROWTH","FQ3 2016","FQ3 2016","Currency=INR","Period=FQ","BEST_FPERIOD_OVERRIDE=FQ","FILING_STATUS=OR","EQY_CONSOLIDATED=Y","Sort=A","Dates=H","DateFormat=P","Fill=—","Direction=H","UseDPDF=Y")</f>
        <v>#NAME?</v>
      </c>
      <c r="AI516" s="2" t="e">
        <f ca="1">_xll.BDH($C$503,"TOTAL_EQUITY_1_YEAR_GROWTH","FQ3 2016","FQ3 2016","Currency=INR","Period=FQ","BEST_FPERIOD_OVERRIDE=FQ","FILING_STATUS=OR","EQY_CONSOLIDATED=Y","Sort=A","Dates=H","DateFormat=P","Fill=—","Direction=H","UseDPDF=Y")</f>
        <v>#NAME?</v>
      </c>
      <c r="AJ516" s="2" t="e">
        <f ca="1">_xll.BDH($C$503,"GROWTH_IN_CAP","FQ3 2016","FQ3 2016","Currency=INR","Period=FQ","BEST_FPERIOD_OVERRIDE=FQ","FILING_STATUS=OR","EQY_CONSOLIDATED=Y","Sort=A","Dates=H","DateFormat=P","Fill=—","Direction=H","UseDPDF=Y")</f>
        <v>#NAME?</v>
      </c>
      <c r="AK516" s="2" t="e">
        <f ca="1">_xll.BDH($C$503,"BVPS_GROWTH","FQ3 2016","FQ3 2016","Currency=INR","Period=FQ","BEST_FPERIOD_OVERRIDE=FQ","FILING_STATUS=OR","EQY_CONSOLIDATED=Y","Sort=A","Dates=H","DateFormat=P","Fill=—","Direction=H","UseDPDF=Y")</f>
        <v>#NAME?</v>
      </c>
      <c r="AL516" s="2" t="e">
        <f ca="1">_xll.BDH($C$503,"CASH_FLOW_GROWTH","FQ3 2016","FQ3 2016","Currency=INR","Period=FQ","BEST_FPERIOD_OVERRIDE=FQ","FILING_STATUS=OR","EQY_CONSOLIDATED=Y","Sort=A","Dates=H","DateFormat=P","Fill=—","Direction=H","UseDPDF=Y")</f>
        <v>#NAME?</v>
      </c>
      <c r="AM516" s="2" t="e">
        <f ca="1">_xll.BDH($C$503,"GEO_GROW_NET_SALES","FQ3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516" s="2" t="e">
        <f ca="1">_xll.BDH($C$503,"GEO_GROW_EBITDA","FQ3 2016","FQ3 2016","Currency=INR","Period=FQ","BEST_FPERIOD_OVERRIDE=FQ","FILING_STATUS=OR","EQY_CONSOLIDATED=Y","FA_ADJUSTED=GAAP","Sort=A","Dates=H","DateFormat=P","Fill=—","Direction=H","UseDPDF=Y")</f>
        <v>#NAME?</v>
      </c>
      <c r="AO516" s="2" t="e">
        <f ca="1">_xll.BDH($C$503,"GEO_GROW_OPER_INC","FQ3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516" s="2" t="e">
        <f ca="1">_xll.BDH($C$503,"NET_INCOME_TO_COMMON_5_YR_GROWTH","FQ3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516" s="2" t="e">
        <f ca="1">_xll.BDH($C$503,"5Y_GEO_GROWTH_DILUTED_EPS","FQ3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516" s="2" t="e">
        <f ca="1">_xll.BDH($C$503,"GEO_GROW_DVD_PER_SH","FQ3 2016","FQ3 2016","Currency=INR","Period=FQ","BEST_FPERIOD_OVERRIDE=FQ","FILING_STATUS=OR","EQY_CONSOLIDATED=Y","Sort=A","Dates=H","DateFormat=P","Fill=—","Direction=H","UseDPDF=Y")</f>
        <v>#NAME?</v>
      </c>
      <c r="AS516" s="2" t="e">
        <f ca="1">_xll.BDH($C$503,"ACCOUNTS_RECEIVABLE_5_YR_GROWTH","FQ3 2016","FQ3 2016","Currency=INR","Period=FQ","BEST_FPERIOD_OVERRIDE=FQ","FILING_STATUS=OR","EQY_CONSOLIDATED=Y","Sort=A","Dates=H","DateFormat=P","Fill=—","Direction=H","UseDPDF=Y")</f>
        <v>#NAME?</v>
      </c>
      <c r="AT516" s="2" t="e">
        <f ca="1">_xll.BDH($C$503,"INVENTORY_5_YEAR_GROWTH","FQ3 2016","FQ3 2016","Currency=INR","Period=FQ","BEST_FPERIOD_OVERRIDE=FQ","FILING_STATUS=OR","EQY_CONSOLIDATED=Y","Sort=A","Dates=H","DateFormat=P","Fill=—","Direction=H","UseDPDF=Y")</f>
        <v>#NAME?</v>
      </c>
      <c r="AU516" s="2" t="e">
        <f ca="1">_xll.BDH($C$503,"NET_FIXED_ASSETS_5_YEAR_GROWTH","FQ3 2016","FQ3 2016","Currency=INR","Period=FQ","BEST_FPERIOD_OVERRIDE=FQ","FILING_STATUS=OR","EQY_CONSOLIDATED=Y","Sort=A","Dates=H","DateFormat=P","Fill=—","Direction=H","UseDPDF=Y")</f>
        <v>#NAME?</v>
      </c>
      <c r="AV516" s="2" t="e">
        <f ca="1">_xll.BDH($C$503,"GEO_GROW_TOT_ASSET","FQ3 2016","FQ3 2016","Currency=INR","Period=FQ","BEST_FPERIOD_OVERRIDE=FQ","FILING_STATUS=OR","EQY_CONSOLIDATED=Y","Sort=A","Dates=H","DateFormat=P","Fill=—","Direction=H","UseDPDF=Y")</f>
        <v>#NAME?</v>
      </c>
      <c r="AW516" s="2" t="e">
        <f ca="1">_xll.BDH($C$503,"MODIFIED_WORKING_CPTL_5YR_GRWTH","FQ3 2016","FQ3 2016","Currency=INR","Period=FQ","BEST_FPERIOD_OVERRIDE=FQ","FILING_STATUS=OR","EQY_CONSOLIDATED=Y","Sort=A","Dates=H","DateFormat=P","Fill=—","Direction=H","UseDPDF=Y")</f>
        <v>#NAME?</v>
      </c>
      <c r="AX516" s="2" t="e">
        <f ca="1">_xll.BDH($C$503,"WORKING_CAPITAL_5_YEAR_GROWTH","FQ3 2016","FQ3 2016","Currency=INR","Period=FQ","BEST_FPERIOD_OVERRIDE=FQ","FILING_STATUS=OR","EQY_CONSOLIDATED=Y","Sort=A","Dates=H","DateFormat=P","Fill=—","Direction=H","UseDPDF=Y")</f>
        <v>#NAME?</v>
      </c>
      <c r="AY516" s="2" t="e">
        <f ca="1">_xll.BDH($C$503,"ACCOUNTS_PAYABLE_5_YEAR_GROWTH","FQ3 2016","FQ3 2016","Currency=INR","Period=FQ","BEST_FPERIOD_OVERRIDE=FQ","FILING_STATUS=OR","EQY_CONSOLIDATED=Y","Sort=A","Dates=H","DateFormat=P","Fill=—","Direction=H","UseDPDF=Y")</f>
        <v>#NAME?</v>
      </c>
      <c r="AZ516" s="2" t="e">
        <f ca="1">_xll.BDH($C$503,"SHORT_TERM_DEBT_5_YEAR_GROWTH","FQ3 2016","FQ3 2016","Currency=INR","Period=FQ","BEST_FPERIOD_OVERRIDE=FQ","FILING_STATUS=OR","EQY_CONSOLIDATED=Y","Sort=A","Dates=H","DateFormat=P","Fill=—","Direction=H","UseDPDF=Y")</f>
        <v>#NAME?</v>
      </c>
      <c r="BA516" s="2" t="e">
        <f ca="1">_xll.BDH($C$503,"TOTAL_DEBT_5_YEAR_GROWTH","FQ3 2016","FQ3 2016","Currency=INR","Period=FQ","BEST_FPERIOD_OVERRIDE=FQ","FILING_STATUS=OR","EQY_CONSOLIDATED=Y","Sort=A","Dates=H","DateFormat=P","Fill=—","Direction=H","UseDPDF=Y")</f>
        <v>#NAME?</v>
      </c>
      <c r="BB516" s="2" t="e">
        <f ca="1">_xll.BDH($C$503,"GEO_GROW_TOT_SHRHLDR_EQY","FQ3 2016","FQ3 2016","Currency=INR","Period=FQ","BEST_FPERIOD_OVERRIDE=FQ","FILING_STATUS=OR","EQY_CONSOLIDATED=Y","Sort=A","Dates=H","DateFormat=P","Fill=—","Direction=H","UseDPDF=Y")</f>
        <v>#NAME?</v>
      </c>
      <c r="BC516" s="2" t="e">
        <f ca="1">_xll.BDH($C$503,"TOTAL_CAPITAL_5_YEAR_GROWTH","FQ3 2016","FQ3 2016","Currency=INR","Period=FQ","BEST_FPERIOD_OVERRIDE=FQ","FILING_STATUS=OR","EQY_CONSOLIDATED=Y","Sort=A","Dates=H","DateFormat=P","Fill=—","Direction=H","UseDPDF=Y")</f>
        <v>#NAME?</v>
      </c>
      <c r="BD516" s="2" t="e">
        <f ca="1">_xll.BDH($C$503,"GEO_GROW_BOOK_VAL","FQ3 2016","FQ3 2016","Currency=INR","Period=FQ","BEST_FPERIOD_OVERRIDE=FQ","FILING_STATUS=OR","EQY_CONSOLIDATED=Y","Sort=A","Dates=H","DateFormat=P","Fill=—","Direction=H","UseDPDF=Y")</f>
        <v>#NAME?</v>
      </c>
      <c r="BE516" s="2" t="e">
        <f ca="1">_xll.BDH($C$503,"GEO_GROW_CASH_OPER_ACT","FQ3 2016","FQ3 2016","Currency=INR","Period=FQ","BEST_FPERIOD_OVERRIDE=FQ","FILING_STATUS=OR","EQY_CONSOLIDATED=Y","Sort=A","Dates=H","DateFormat=P","Fill=—","Direction=H","UseDPDF=Y")</f>
        <v>#NAME?</v>
      </c>
      <c r="BF516" s="2" t="e">
        <f ca="1">_xll.BDH($C$503,"REVENUE_SEQUENTIAL_GROWTH","FQ3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516" s="2" t="e">
        <f ca="1">_xll.BDH($C$503,"EBITDA_SEQUENTIAL_GROWTH","FQ3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516" s="2" t="e">
        <f ca="1">_xll.BDH($C$503,"OPERATING_INCOME_SEQ_GROWTH","FQ3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516" s="2" t="e">
        <f ca="1">_xll.BDH($C$503,"NET_INCOME_TO_COMMON_SEQ_GROWTH","FQ3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516" s="2" t="e">
        <f ca="1">_xll.BDH($C$503,"EPS_DILUTED_SEQUENTIAL_GROWTH","FQ3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516" s="2" t="e">
        <f ca="1">_xll.BDH($C$503,"DPS_SEQUENTIAL_GROWTH","FQ3 2016","FQ3 2016","Currency=INR","Period=FQ","BEST_FPERIOD_OVERRIDE=FQ","FILING_STATUS=OR","EQY_CONSOLIDATED=Y","Sort=A","Dates=H","DateFormat=P","Fill=—","Direction=H","UseDPDF=Y")</f>
        <v>#NAME?</v>
      </c>
      <c r="BL516" s="2" t="e">
        <f ca="1">_xll.BDH($C$503,"ACCOUNTS_RECEIVABLE_SEQ_GROWTH","FQ3 2016","FQ3 2016","Currency=INR","Period=FQ","BEST_FPERIOD_OVERRIDE=FQ","FILING_STATUS=OR","EQY_CONSOLIDATED=Y","Sort=A","Dates=H","DateFormat=P","Fill=—","Direction=H","UseDPDF=Y")</f>
        <v>#NAME?</v>
      </c>
      <c r="BM516" s="2" t="e">
        <f ca="1">_xll.BDH($C$503,"INVENTORY_SEQUENTIAL_GROWTH","FQ3 2016","FQ3 2016","Currency=INR","Period=FQ","BEST_FPERIOD_OVERRIDE=FQ","FILING_STATUS=OR","EQY_CONSOLIDATED=Y","Sort=A","Dates=H","DateFormat=P","Fill=—","Direction=H","UseDPDF=Y")</f>
        <v>#NAME?</v>
      </c>
      <c r="BN516" s="2" t="e">
        <f ca="1">_xll.BDH($C$503,"FIXED_ASSETS_SEQUENTIAL_GROWTH","FQ3 2016","FQ3 2016","Currency=INR","Period=FQ","BEST_FPERIOD_OVERRIDE=FQ","FILING_STATUS=OR","EQY_CONSOLIDATED=Y","Sort=A","Dates=H","DateFormat=P","Fill=—","Direction=H","UseDPDF=Y")</f>
        <v>#NAME?</v>
      </c>
      <c r="BO516" s="2" t="e">
        <f ca="1">_xll.BDH($C$503,"TOTAL_ASSETS_SEQUENTIAL_GROWTH","FQ3 2016","FQ3 2016","Currency=INR","Period=FQ","BEST_FPERIOD_OVERRIDE=FQ","FILING_STATUS=OR","EQY_CONSOLIDATED=Y","Sort=A","Dates=H","DateFormat=P","Fill=—","Direction=H","UseDPDF=Y")</f>
        <v>#NAME?</v>
      </c>
      <c r="BP516" s="2" t="e">
        <f ca="1">_xll.BDH($C$503,"MODIFIED_WORKING_CPTL_SEQ_GRWTH","FQ3 2016","FQ3 2016","Currency=INR","Period=FQ","BEST_FPERIOD_OVERRIDE=FQ","FILING_STATUS=OR","EQY_CONSOLIDATED=Y","Sort=A","Dates=H","DateFormat=P","Fill=—","Direction=H","UseDPDF=Y")</f>
        <v>#NAME?</v>
      </c>
      <c r="BQ516" s="2" t="e">
        <f ca="1">_xll.BDH($C$503,"WORKING_CAPITAL_SEQ_GROWTH","FQ3 2016","FQ3 2016","Currency=INR","Period=FQ","BEST_FPERIOD_OVERRIDE=FQ","FILING_STATUS=OR","EQY_CONSOLIDATED=Y","Sort=A","Dates=H","DateFormat=P","Fill=—","Direction=H","UseDPDF=Y")</f>
        <v>#NAME?</v>
      </c>
      <c r="BR516" s="2" t="e">
        <f ca="1">_xll.BDH($C$503,"ACCOUNTS_PAYABLE_SEQ_GROWTH","FQ3 2016","FQ3 2016","Currency=INR","Period=FQ","BEST_FPERIOD_OVERRIDE=FQ","FILING_STATUS=OR","EQY_CONSOLIDATED=Y","Sort=A","Dates=H","DateFormat=P","Fill=—","Direction=H","UseDPDF=Y")</f>
        <v>#NAME?</v>
      </c>
      <c r="BS516" s="2" t="e">
        <f ca="1">_xll.BDH($C$503,"ST_DEBT_SEQUENTIAL_GROWTH","FQ3 2016","FQ3 2016","Currency=INR","Period=FQ","BEST_FPERIOD_OVERRIDE=FQ","FILING_STATUS=OR","EQY_CONSOLIDATED=Y","Sort=A","Dates=H","DateFormat=P","Fill=—","Direction=H","UseDPDF=Y")</f>
        <v>#NAME?</v>
      </c>
      <c r="BT516" s="2" t="e">
        <f ca="1">_xll.BDH($C$503,"TOTAL_DEBT_SEQUENTIAL_GROWTH","FQ3 2016","FQ3 2016","Currency=INR","Period=FQ","BEST_FPERIOD_OVERRIDE=FQ","FILING_STATUS=OR","EQY_CONSOLIDATED=Y","Sort=A","Dates=H","DateFormat=P","Fill=—","Direction=H","UseDPDF=Y")</f>
        <v>#NAME?</v>
      </c>
      <c r="BU516" s="2" t="e">
        <f ca="1">_xll.BDH($C$503,"TOTAL_EQUITY_SEQUENTIAL_GROWTH","FQ3 2016","FQ3 2016","Currency=INR","Period=FQ","BEST_FPERIOD_OVERRIDE=FQ","FILING_STATUS=OR","EQY_CONSOLIDATED=Y","Sort=A","Dates=H","DateFormat=P","Fill=—","Direction=H","UseDPDF=Y")</f>
        <v>#NAME?</v>
      </c>
      <c r="BV516" s="2" t="e">
        <f ca="1">_xll.BDH($C$503,"TOTAL_CAPITAL_SEQUENTIAL_GROWTH","FQ3 2016","FQ3 2016","Currency=INR","Period=FQ","BEST_FPERIOD_OVERRIDE=FQ","FILING_STATUS=OR","EQY_CONSOLIDATED=Y","Sort=A","Dates=H","DateFormat=P","Fill=—","Direction=H","UseDPDF=Y")</f>
        <v>#NAME?</v>
      </c>
      <c r="BW516" s="2" t="e">
        <f ca="1">_xll.BDH($C$503,"BPS_SEQUENTIAL_GROWTH","FQ3 2016","FQ3 2016","Currency=INR","Period=FQ","BEST_FPERIOD_OVERRIDE=FQ","FILING_STATUS=OR","EQY_CONSOLIDATED=Y","Sort=A","Dates=H","DateFormat=P","Fill=—","Direction=H","UseDPDF=Y")</f>
        <v>#NAME?</v>
      </c>
      <c r="BX516" s="2" t="e">
        <f ca="1">_xll.BDH($C$503,"CFO_SEQUENTIAL_GROWTH","FQ3 2016","FQ3 2016","Currency=INR","Period=FQ","BEST_FPERIOD_OVERRIDE=FQ","FILING_STATUS=OR","EQY_CONSOLIDATED=Y","Sort=A","Dates=H","DateFormat=P","Fill=—","Direction=H","UseDPDF=Y")</f>
        <v>#NAME?</v>
      </c>
      <c r="BY516" s="3" t="e">
        <f ca="1">_xll.BDH($C$503,"SHORT_AND_LONG_TERM_DEBT","FQ3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516" s="3" t="e">
        <f ca="1">_xll.BDH($C$503,"BS_ST_BORROW","FQ3 2016","FQ3 2016","Currency=INR","Period=FQ","BEST_FPERIOD_OVERRIDE=FQ","FILING_STATUS=OR","EQY_CONSOLIDATED=Y","SCALING_FORMAT=MLN","Sort=A","Dates=H","DateFormat=P","Fill=—","Direction=H","UseDPDF=Y")</f>
        <v>#NAME?</v>
      </c>
      <c r="CA516" s="3" t="e">
        <f ca="1">_xll.BDH($C$503,"BS_LT_BORROW","FQ3 2016","FQ3 2016","Currency=INR","Period=FQ","BEST_FPERIOD_OVERRIDE=FQ","FILING_STATUS=OR","EQY_CONSOLIDATED=Y","SCALING_FORMAT=MLN","Sort=A","Dates=H","DateFormat=P","Fill=—","Direction=H","UseDPDF=Y")</f>
        <v>#NAME?</v>
      </c>
      <c r="CB516" s="2" t="e">
        <f ca="1">_xll.BDH($C$503,"TOT_DEBT_TO_EBITDA","FQ3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516" s="2" t="e">
        <f ca="1">_xll.BDH($C$503,"NET_DEBT_TO_EBITDA","FQ3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516" s="2" t="e">
        <f ca="1">_xll.BDH($C$503,"TOTAL_DEBT_TO_EBIT","FQ3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516" s="2" t="e">
        <f ca="1">_xll.BDH($C$503,"NET_DEBT_TO_EBIT","FQ3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516" s="2" t="e">
        <f ca="1">_xll.BDH($C$503,"EBITDA_TO_INTEREST_EXPN","FQ3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516" s="2" t="e">
        <f ca="1">_xll.BDH($C$503,"COM_EQY_TO_TOT_ASSET","FQ3 2016","FQ3 2016","Currency=INR","Period=FQ","BEST_FPERIOD_OVERRIDE=FQ","FILING_STATUS=OR","EQY_CONSOLIDATED=Y","Sort=A","Dates=H","DateFormat=P","Fill=—","Direction=H","UseDPDF=Y")</f>
        <v>#NAME?</v>
      </c>
      <c r="CH516" s="2" t="e">
        <f ca="1">_xll.BDH($C$503,"LT_DEBT_TO_TOT_EQY","FQ3 2016","FQ3 2016","Currency=INR","Period=FQ","BEST_FPERIOD_OVERRIDE=FQ","FILING_STATUS=OR","EQY_CONSOLIDATED=Y","Sort=A","Dates=H","DateFormat=P","Fill=—","Direction=H","UseDPDF=Y")</f>
        <v>#NAME?</v>
      </c>
      <c r="CI516" s="2" t="e">
        <f ca="1">_xll.BDH($C$503,"LT_DEBT_TO_TOT_CAP","FQ3 2016","FQ3 2016","Currency=INR","Period=FQ","BEST_FPERIOD_OVERRIDE=FQ","FILING_STATUS=OR","EQY_CONSOLIDATED=Y","Sort=A","Dates=H","DateFormat=P","Fill=—","Direction=H","UseDPDF=Y")</f>
        <v>#NAME?</v>
      </c>
      <c r="CJ516" s="2" t="e">
        <f ca="1">_xll.BDH($C$503,"LT_DEBT_TO_TOT_ASSET","FQ3 2016","FQ3 2016","Currency=INR","Period=FQ","BEST_FPERIOD_OVERRIDE=FQ","FILING_STATUS=OR","EQY_CONSOLIDATED=Y","Sort=A","Dates=H","DateFormat=P","Fill=—","Direction=H","UseDPDF=Y")</f>
        <v>#NAME?</v>
      </c>
      <c r="CK516" s="2" t="e">
        <f ca="1">_xll.BDH($C$503,"TOT_DEBT_TO_TOT_EQY","FQ3 2016","FQ3 2016","Currency=INR","Period=FQ","BEST_FPERIOD_OVERRIDE=FQ","FILING_STATUS=OR","EQY_CONSOLIDATED=Y","Sort=A","Dates=H","DateFormat=P","Fill=—","Direction=H","UseDPDF=Y")</f>
        <v>#NAME?</v>
      </c>
      <c r="CL516" s="2" t="e">
        <f ca="1">_xll.BDH($C$503,"TOT_DEBT_TO_TOT_CAP","FQ3 2016","FQ3 2016","Currency=INR","Period=FQ","BEST_FPERIOD_OVERRIDE=FQ","FILING_STATUS=OR","EQY_CONSOLIDATED=Y","Sort=A","Dates=H","DateFormat=P","Fill=—","Direction=H","UseDPDF=Y")</f>
        <v>#NAME?</v>
      </c>
      <c r="CM516" s="2" t="e">
        <f ca="1">_xll.BDH($C$503,"TOT_DEBT_TO_TOT_ASSET","FQ3 2016","FQ3 2016","Currency=INR","Period=FQ","BEST_FPERIOD_OVERRIDE=FQ","FILING_STATUS=OR","EQY_CONSOLIDATED=Y","Sort=A","Dates=H","DateFormat=P","Fill=—","Direction=H","UseDPDF=Y")</f>
        <v>#NAME?</v>
      </c>
      <c r="CN516" s="2" t="e">
        <f ca="1">_xll.BDH($C$503,"NET_DEBT_TO_SHRHLDR_EQTY","FQ3 2016","FQ3 2016","Currency=INR","Period=FQ","BEST_FPERIOD_OVERRIDE=FQ","FILING_STATUS=OR","EQY_CONSOLIDATED=Y","Sort=A","Dates=H","DateFormat=P","Fill=—","Direction=H","UseDPDF=Y")</f>
        <v>#NAME?</v>
      </c>
      <c r="CO516" s="2" t="e">
        <f ca="1">_xll.BDH($C$503,"NET_DEBT_%_CAPITAL","FQ3 2016","FQ3 2016","Currency=INR","Period=FQ","BEST_FPERIOD_OVERRIDE=FQ","FILING_STATUS=OR","EQY_CONSOLIDATED=Y","Sort=A","Dates=H","DateFormat=P","Fill=—","Direction=H","UseDPDF=Y")</f>
        <v>#NAME?</v>
      </c>
      <c r="CP516" s="3" t="e">
        <f ca="1">_xll.BDH($C$503,"EBITDA","FQ3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516" s="3" t="e">
        <f ca="1">_xll.BDH($C$503,"EBITDA_AFTER_CAPEX","FQ3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516" s="3" t="e">
        <f ca="1">_xll.BDH($C$503,"IS_OPER_INC","FQ3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516" s="2" t="e">
        <f ca="1">_xll.BDH($C$503,"CASH_RATIO","FQ3 2016","FQ3 2016","Currency=INR","Period=FQ","BEST_FPERIOD_OVERRIDE=FQ","FILING_STATUS=OR","EQY_CONSOLIDATED=Y","Sort=A","Dates=H","DateFormat=P","Fill=—","Direction=H","UseDPDF=Y")</f>
        <v>#NAME?</v>
      </c>
      <c r="CT516" s="2" t="e">
        <f ca="1">_xll.BDH($C$503,"CUR_RATIO","FQ3 2016","FQ3 2016","Currency=INR","Period=FQ","BEST_FPERIOD_OVERRIDE=FQ","FILING_STATUS=OR","EQY_CONSOLIDATED=Y","Sort=A","Dates=H","DateFormat=P","Fill=—","Direction=H","UseDPDF=Y")</f>
        <v>#NAME?</v>
      </c>
      <c r="CU516" s="2" t="e">
        <f ca="1">_xll.BDH($C$503,"QUICK_RATIO","FQ3 2016","FQ3 2016","Currency=INR","Period=FQ","BEST_FPERIOD_OVERRIDE=FQ","FILING_STATUS=OR","EQY_CONSOLIDATED=Y","Sort=A","Dates=H","DateFormat=P","Fill=—","Direction=H","UseDPDF=Y")</f>
        <v>#NAME?</v>
      </c>
      <c r="CV516" s="2" t="e">
        <f ca="1">_xll.BDH($C$503,"ALTMAN_Z_SCORE","FQ3 2016","FQ3 2016","Currency=INR","Period=FQ","BEST_FPERIOD_OVERRIDE=FQ","FILING_STATUS=OR","EQY_CONSOLIDATED=Y","Sort=A","Dates=H","DateFormat=P","Fill=—","Direction=H","UseDPDF=Y")</f>
        <v>#NAME?</v>
      </c>
      <c r="CW516" s="4" t="e">
        <f ca="1">_xll.BDH($C$503,"ACCT_RCV_TURN","FQ3 2016","FQ3 2016","Currency=INR","Period=FQ","BEST_FPERIOD_OVERRIDE=FQ","FILING_STATUS=OR","EQY_CONSOLIDATED=Y","FA_ADJUSTED=GAAP","Sort=A","Dates=H","DateFormat=P","Fill=—","Direction=H","UseDPDF=Y")</f>
        <v>#NAME?</v>
      </c>
      <c r="CX516" s="2" t="e">
        <f ca="1">_xll.BDH($C$503,"ACCT_RCV_DAYS","FQ3 2016","FQ3 2016","Currency=INR","Period=FQ","BEST_FPERIOD_OVERRIDE=FQ","FILING_STATUS=OR","EQY_CONSOLIDATED=Y","FA_ADJUSTED=GAAP","Sort=A","Dates=H","DateFormat=P","Fill=—","Direction=H","UseDPDF=Y")</f>
        <v>#NAME?</v>
      </c>
      <c r="CY516" s="4" t="e">
        <f ca="1">_xll.BDH($C$503,"INVENT_TURN","FQ3 2016","FQ3 2016","Currency=INR","Period=FQ","BEST_FPERIOD_OVERRIDE=FQ","FILING_STATUS=OR","EQY_CONSOLIDATED=Y","FA_ADJUSTED=GAAP","Sort=A","Dates=H","DateFormat=P","Fill=—","Direction=H","UseDPDF=Y")</f>
        <v>#NAME?</v>
      </c>
      <c r="CZ516" s="2" t="e">
        <f ca="1">_xll.BDH($C$503,"INVENT_DAYS","FQ3 2016","FQ3 2016","Currency=INR","Period=FQ","BEST_FPERIOD_OVERRIDE=FQ","FILING_STATUS=OR","EQY_CONSOLIDATED=Y","FA_ADJUSTED=GAAP","Sort=A","Dates=H","DateFormat=P","Fill=—","Direction=H","UseDPDF=Y")</f>
        <v>#NAME?</v>
      </c>
      <c r="DA516" s="4" t="e">
        <f ca="1">_xll.BDH($C$503,"ACCOUNTS_PAYABLE_TURNOVER","FQ3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516" s="2" t="e">
        <f ca="1">_xll.BDH($C$503,"ACCOUNTS_PAYABLE_TURNOVER_DAYS","FQ3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516" s="4" t="e">
        <f ca="1">_xll.BDH($C$503,"CASH_CONVERSION_CYCLE","FQ3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516" s="4" t="e">
        <f ca="1">_xll.BDH($C$503,"INV_TO_CASH_DAYS","FQ3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516" s="5" t="e">
        <f ca="1">_xll.BDH($C$503,"BS_INVENTORIES","FQ3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516" s="3" t="e">
        <f ca="1">_xll.BDH($C$503,"INVTRY_RAW_MATERIALS","FQ3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516" s="3" t="e">
        <f ca="1">_xll.BDH($C$503,"INVTRY_IN_PROGRESS","FQ3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516" s="3" t="e">
        <f ca="1">_xll.BDH($C$503,"INVTRY_FINISHED_GOODS","FQ3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516" s="3" t="e">
        <f ca="1">_xll.BDH($C$503,"BS_OTHER_INV","FQ3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517" spans="1:113" x14ac:dyDescent="0.3">
      <c r="A517" s="6"/>
      <c r="B517" s="6"/>
      <c r="C517" s="6"/>
      <c r="D517" s="6"/>
      <c r="E517" t="s">
        <v>81</v>
      </c>
      <c r="F517" t="e">
        <f ca="1">_xll.BDH($C$503,"RETURN_COM_EQY","FQ4 2016","FQ4 2016","Currency=INR","Period=FQ","BEST_FPERIOD_OVERRIDE=FQ","FILING_STATUS=OR","EQY_CONSOLIDATED=Y","FA_ADJUSTED=GAAP","Sort=A","Dates=H","DateFormat=P","Fill=—","Direction=H","UseDPDF=Y")</f>
        <v>#NAME?</v>
      </c>
      <c r="G517" t="e">
        <f ca="1">_xll.BDH($C$503,"RETURN_ON_ASSET","FQ4 2016","FQ4 2016","Currency=INR","Period=FQ","BEST_FPERIOD_OVERRIDE=FQ","FILING_STATUS=OR","EQY_CONSOLIDATED=Y","FA_ADJUSTED=GAAP","Sort=A","Dates=H","DateFormat=P","Fill=—","Direction=H","UseDPDF=Y")</f>
        <v>#NAME?</v>
      </c>
      <c r="H517" t="e">
        <f ca="1">_xll.BDH($C$503,"RETURN_ON_CAP","FQ4 2016","FQ4 2016","Currency=INR","Period=FQ","BEST_FPERIOD_OVERRIDE=FQ","FILING_STATUS=OR","EQY_CONSOLIDATED=Y","FA_ADJUSTED=GAAP","Sort=A","Dates=H","DateFormat=P","Fill=—","Direction=H","UseDPDF=Y")</f>
        <v>#NAME?</v>
      </c>
      <c r="I517" t="e">
        <f ca="1">_xll.BDH($C$503,"RETURN_ON_INV_CAPITAL","FQ4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517" t="e">
        <f ca="1">_xll.BDH($C$503,"EBITDA_TO_REVENUE","FQ4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517" t="e">
        <f ca="1">_xll.BDH($C$503,"OPER_MARGIN","FQ4 2016","FQ4 2016","Currency=INR","Period=FQ","BEST_FPERIOD_OVERRIDE=FQ","FILING_STATUS=OR","EQY_CONSOLIDATED=Y","FA_ADJUSTED=GAAP","Sort=A","Dates=H","DateFormat=P","Fill=—","Direction=H","UseDPDF=Y")</f>
        <v>#NAME?</v>
      </c>
      <c r="L517" t="e">
        <f ca="1">_xll.BDH($C$503,"INCREMENTAL_OPERATING_MARGIN","FQ4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517" t="e">
        <f ca="1">_xll.BDH($C$503,"PRETAX_INC_TO_NET_SALES","FQ4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517" t="e">
        <f ca="1">_xll.BDH($C$503,"INC_BEF_XO_ITEMS_TO_NET_SALES","FQ4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517" t="e">
        <f ca="1">_xll.BDH($C$503,"PROF_MARGIN","FQ4 2016","FQ4 2016","Currency=INR","Period=FQ","BEST_FPERIOD_OVERRIDE=FQ","FILING_STATUS=OR","EQY_CONSOLIDATED=Y","FA_ADJUSTED=GAAP","Sort=A","Dates=H","DateFormat=P","Fill=—","Direction=H","UseDPDF=Y")</f>
        <v>#NAME?</v>
      </c>
      <c r="P517" t="e">
        <f ca="1">_xll.BDH($C$503,"NET_INCOME_TO_COMMON_MARGIN","FQ4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517" t="e">
        <f ca="1">_xll.BDH($C$503,"EFF_TAX_RATE","FQ4 2016","FQ4 2016","Currency=INR","Period=FQ","BEST_FPERIOD_OVERRIDE=FQ","FILING_STATUS=OR","EQY_CONSOLIDATED=Y","FA_ADJUSTED=GAAP","Sort=A","Dates=H","DateFormat=P","Fill=—","Direction=H","UseDPDF=Y")</f>
        <v>#NAME?</v>
      </c>
      <c r="R517" t="e">
        <f ca="1">_xll.BDH($C$503,"DVD_PAYOUT_RATIO","FQ4 2016","FQ4 2016","Currency=INR","Period=FQ","BEST_FPERIOD_OVERRIDE=FQ","FILING_STATUS=OR","EQY_CONSOLIDATED=Y","FA_ADJUSTED=GAAP","Sort=A","Dates=H","DateFormat=P","Fill=—","Direction=H","UseDPDF=Y")</f>
        <v>#NAME?</v>
      </c>
      <c r="S517" t="e">
        <f ca="1">_xll.BDH($C$503,"SUSTAIN_GROWTH_RT","FQ4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517" s="2" t="e">
        <f ca="1">_xll.BDH($C$503,"SALES_GROWTH","FQ4 2016","FQ4 2016","Currency=INR","Period=FQ","BEST_FPERIOD_OVERRIDE=FQ","FILING_STATUS=OR","EQY_CONSOLIDATED=Y","FA_ADJUSTED=GAAP","Sort=A","Dates=H","DateFormat=P","Fill=—","Direction=H","UseDPDF=Y")</f>
        <v>#NAME?</v>
      </c>
      <c r="U517" s="2" t="e">
        <f ca="1">_xll.BDH($C$503,"EBITDA_GROWTH","FQ4 2016","FQ4 2016","Currency=INR","Period=FQ","BEST_FPERIOD_OVERRIDE=FQ","FILING_STATUS=OR","EQY_CONSOLIDATED=Y","FA_ADJUSTED=GAAP","Sort=A","Dates=H","DateFormat=P","Fill=—","Direction=H","UseDPDF=Y")</f>
        <v>#NAME?</v>
      </c>
      <c r="V517" s="2" t="e">
        <f ca="1">_xll.BDH($C$503,"OPER_INC_GROWTH","FQ4 2016","FQ4 2016","Currency=INR","Period=FQ","BEST_FPERIOD_OVERRIDE=FQ","FILING_STATUS=OR","EQY_CONSOLIDATED=Y","FA_ADJUSTED=GAAP","Sort=A","Dates=H","DateFormat=P","Fill=—","Direction=H","UseDPDF=Y")</f>
        <v>#NAME?</v>
      </c>
      <c r="W517" s="2" t="e">
        <f ca="1">_xll.BDH($C$503,"EARN_FOR_COM_GROWTH","FQ4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517" s="2" t="e">
        <f ca="1">_xll.BDH($C$503,"DILUTED_EPS_AFT_XO_ITEMS_GROWTH","FQ4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517" s="2" t="e">
        <f ca="1">_xll.BDH($C$503,"DIVIDEND_PER_SHARE_1_YEAR_GROWTH","FQ4 2016","FQ4 2016","Currency=INR","Period=FQ","BEST_FPERIOD_OVERRIDE=FQ","FILING_STATUS=OR","EQY_CONSOLIDATED=Y","Sort=A","Dates=H","DateFormat=P","Fill=—","Direction=H","UseDPDF=Y")</f>
        <v>#NAME?</v>
      </c>
      <c r="Z517" s="2" t="e">
        <f ca="1">_xll.BDH($C$503,"ACCOUNTS_RECEIVABLE_GROWTH","FQ4 2016","FQ4 2016","Currency=INR","Period=FQ","BEST_FPERIOD_OVERRIDE=FQ","FILING_STATUS=OR","EQY_CONSOLIDATED=Y","Sort=A","Dates=H","DateFormat=P","Fill=—","Direction=H","UseDPDF=Y")</f>
        <v>#NAME?</v>
      </c>
      <c r="AA517" s="2" t="e">
        <f ca="1">_xll.BDH($C$503,"INVENTORY_GROWTH","FQ4 2016","FQ4 2016","Currency=INR","Period=FQ","BEST_FPERIOD_OVERRIDE=FQ","FILING_STATUS=OR","EQY_CONSOLIDATED=Y","Sort=A","Dates=H","DateFormat=P","Fill=—","Direction=H","UseDPDF=Y")</f>
        <v>#NAME?</v>
      </c>
      <c r="AB517" s="2" t="e">
        <f ca="1">_xll.BDH($C$503,"NET_FIXED_ASSETS_1_YEAR_GROWTH","FQ4 2016","FQ4 2016","Currency=INR","Period=FQ","BEST_FPERIOD_OVERRIDE=FQ","FILING_STATUS=OR","EQY_CONSOLIDATED=Y","Sort=A","Dates=H","DateFormat=P","Fill=—","Direction=H","UseDPDF=Y")</f>
        <v>#NAME?</v>
      </c>
      <c r="AC517" s="2" t="e">
        <f ca="1">_xll.BDH($C$503,"ASSET_GROWTH","FQ4 2016","FQ4 2016","Currency=INR","Period=FQ","BEST_FPERIOD_OVERRIDE=FQ","FILING_STATUS=OR","EQY_CONSOLIDATED=Y","Sort=A","Dates=H","DateFormat=P","Fill=—","Direction=H","UseDPDF=Y")</f>
        <v>#NAME?</v>
      </c>
      <c r="AD517" s="2" t="e">
        <f ca="1">_xll.BDH($C$503,"MODIFIED_WORK_CAP_GROWTH","FQ4 2016","FQ4 2016","Currency=INR","Period=FQ","BEST_FPERIOD_OVERRIDE=FQ","FILING_STATUS=OR","EQY_CONSOLIDATED=Y","Sort=A","Dates=H","DateFormat=P","Fill=—","Direction=H","UseDPDF=Y")</f>
        <v>#NAME?</v>
      </c>
      <c r="AE517" s="2" t="e">
        <f ca="1">_xll.BDH($C$503,"WORK_CAP_GROWTH","FQ4 2016","FQ4 2016","Currency=INR","Period=FQ","BEST_FPERIOD_OVERRIDE=FQ","FILING_STATUS=OR","EQY_CONSOLIDATED=Y","Sort=A","Dates=H","DateFormat=P","Fill=—","Direction=H","UseDPDF=Y")</f>
        <v>#NAME?</v>
      </c>
      <c r="AF517" s="2" t="e">
        <f ca="1">_xll.BDH($C$503,"ACCOUNTS_PAYABLE_GROWTH_1YR","FQ4 2016","FQ4 2016","Currency=INR","Period=FQ","BEST_FPERIOD_OVERRIDE=FQ","FILING_STATUS=OR","EQY_CONSOLIDATED=Y","Sort=A","Dates=H","DateFormat=P","Fill=—","Direction=H","UseDPDF=Y")</f>
        <v>#NAME?</v>
      </c>
      <c r="AG517" s="2" t="e">
        <f ca="1">_xll.BDH($C$503,"SHORT_TERM_DEBT_1_YEAR_GROWTH","FQ4 2016","FQ4 2016","Currency=INR","Period=FQ","BEST_FPERIOD_OVERRIDE=FQ","FILING_STATUS=OR","EQY_CONSOLIDATED=Y","Sort=A","Dates=H","DateFormat=P","Fill=—","Direction=H","UseDPDF=Y")</f>
        <v>#NAME?</v>
      </c>
      <c r="AH517" s="2" t="e">
        <f ca="1">_xll.BDH($C$503,"TOTAL_DEBT_1_YEAR_GROWTH","FQ4 2016","FQ4 2016","Currency=INR","Period=FQ","BEST_FPERIOD_OVERRIDE=FQ","FILING_STATUS=OR","EQY_CONSOLIDATED=Y","Sort=A","Dates=H","DateFormat=P","Fill=—","Direction=H","UseDPDF=Y")</f>
        <v>#NAME?</v>
      </c>
      <c r="AI517" s="2" t="e">
        <f ca="1">_xll.BDH($C$503,"TOTAL_EQUITY_1_YEAR_GROWTH","FQ4 2016","FQ4 2016","Currency=INR","Period=FQ","BEST_FPERIOD_OVERRIDE=FQ","FILING_STATUS=OR","EQY_CONSOLIDATED=Y","Sort=A","Dates=H","DateFormat=P","Fill=—","Direction=H","UseDPDF=Y")</f>
        <v>#NAME?</v>
      </c>
      <c r="AJ517" s="2" t="e">
        <f ca="1">_xll.BDH($C$503,"GROWTH_IN_CAP","FQ4 2016","FQ4 2016","Currency=INR","Period=FQ","BEST_FPERIOD_OVERRIDE=FQ","FILING_STATUS=OR","EQY_CONSOLIDATED=Y","Sort=A","Dates=H","DateFormat=P","Fill=—","Direction=H","UseDPDF=Y")</f>
        <v>#NAME?</v>
      </c>
      <c r="AK517" s="2" t="e">
        <f ca="1">_xll.BDH($C$503,"BVPS_GROWTH","FQ4 2016","FQ4 2016","Currency=INR","Period=FQ","BEST_FPERIOD_OVERRIDE=FQ","FILING_STATUS=OR","EQY_CONSOLIDATED=Y","Sort=A","Dates=H","DateFormat=P","Fill=—","Direction=H","UseDPDF=Y")</f>
        <v>#NAME?</v>
      </c>
      <c r="AL517" s="2" t="e">
        <f ca="1">_xll.BDH($C$503,"CASH_FLOW_GROWTH","FQ4 2016","FQ4 2016","Currency=INR","Period=FQ","BEST_FPERIOD_OVERRIDE=FQ","FILING_STATUS=OR","EQY_CONSOLIDATED=Y","Sort=A","Dates=H","DateFormat=P","Fill=—","Direction=H","UseDPDF=Y")</f>
        <v>#NAME?</v>
      </c>
      <c r="AM517" s="2" t="e">
        <f ca="1">_xll.BDH($C$503,"GEO_GROW_NET_SALES","FQ4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517" s="2" t="e">
        <f ca="1">_xll.BDH($C$503,"GEO_GROW_EBITDA","FQ4 2016","FQ4 2016","Currency=INR","Period=FQ","BEST_FPERIOD_OVERRIDE=FQ","FILING_STATUS=OR","EQY_CONSOLIDATED=Y","FA_ADJUSTED=GAAP","Sort=A","Dates=H","DateFormat=P","Fill=—","Direction=H","UseDPDF=Y")</f>
        <v>#NAME?</v>
      </c>
      <c r="AO517" s="2" t="e">
        <f ca="1">_xll.BDH($C$503,"GEO_GROW_OPER_INC","FQ4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517" s="2" t="e">
        <f ca="1">_xll.BDH($C$503,"NET_INCOME_TO_COMMON_5_YR_GROWTH","FQ4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517" s="2" t="e">
        <f ca="1">_xll.BDH($C$503,"5Y_GEO_GROWTH_DILUTED_EPS","FQ4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517" s="2" t="e">
        <f ca="1">_xll.BDH($C$503,"GEO_GROW_DVD_PER_SH","FQ4 2016","FQ4 2016","Currency=INR","Period=FQ","BEST_FPERIOD_OVERRIDE=FQ","FILING_STATUS=OR","EQY_CONSOLIDATED=Y","Sort=A","Dates=H","DateFormat=P","Fill=—","Direction=H","UseDPDF=Y")</f>
        <v>#NAME?</v>
      </c>
      <c r="AS517" s="2" t="e">
        <f ca="1">_xll.BDH($C$503,"ACCOUNTS_RECEIVABLE_5_YR_GROWTH","FQ4 2016","FQ4 2016","Currency=INR","Period=FQ","BEST_FPERIOD_OVERRIDE=FQ","FILING_STATUS=OR","EQY_CONSOLIDATED=Y","Sort=A","Dates=H","DateFormat=P","Fill=—","Direction=H","UseDPDF=Y")</f>
        <v>#NAME?</v>
      </c>
      <c r="AT517" s="2" t="e">
        <f ca="1">_xll.BDH($C$503,"INVENTORY_5_YEAR_GROWTH","FQ4 2016","FQ4 2016","Currency=INR","Period=FQ","BEST_FPERIOD_OVERRIDE=FQ","FILING_STATUS=OR","EQY_CONSOLIDATED=Y","Sort=A","Dates=H","DateFormat=P","Fill=—","Direction=H","UseDPDF=Y")</f>
        <v>#NAME?</v>
      </c>
      <c r="AU517" s="2" t="e">
        <f ca="1">_xll.BDH($C$503,"NET_FIXED_ASSETS_5_YEAR_GROWTH","FQ4 2016","FQ4 2016","Currency=INR","Period=FQ","BEST_FPERIOD_OVERRIDE=FQ","FILING_STATUS=OR","EQY_CONSOLIDATED=Y","Sort=A","Dates=H","DateFormat=P","Fill=—","Direction=H","UseDPDF=Y")</f>
        <v>#NAME?</v>
      </c>
      <c r="AV517" s="2" t="e">
        <f ca="1">_xll.BDH($C$503,"GEO_GROW_TOT_ASSET","FQ4 2016","FQ4 2016","Currency=INR","Period=FQ","BEST_FPERIOD_OVERRIDE=FQ","FILING_STATUS=OR","EQY_CONSOLIDATED=Y","Sort=A","Dates=H","DateFormat=P","Fill=—","Direction=H","UseDPDF=Y")</f>
        <v>#NAME?</v>
      </c>
      <c r="AW517" s="2" t="e">
        <f ca="1">_xll.BDH($C$503,"MODIFIED_WORKING_CPTL_5YR_GRWTH","FQ4 2016","FQ4 2016","Currency=INR","Period=FQ","BEST_FPERIOD_OVERRIDE=FQ","FILING_STATUS=OR","EQY_CONSOLIDATED=Y","Sort=A","Dates=H","DateFormat=P","Fill=—","Direction=H","UseDPDF=Y")</f>
        <v>#NAME?</v>
      </c>
      <c r="AX517" s="2" t="e">
        <f ca="1">_xll.BDH($C$503,"WORKING_CAPITAL_5_YEAR_GROWTH","FQ4 2016","FQ4 2016","Currency=INR","Period=FQ","BEST_FPERIOD_OVERRIDE=FQ","FILING_STATUS=OR","EQY_CONSOLIDATED=Y","Sort=A","Dates=H","DateFormat=P","Fill=—","Direction=H","UseDPDF=Y")</f>
        <v>#NAME?</v>
      </c>
      <c r="AY517" s="2" t="e">
        <f ca="1">_xll.BDH($C$503,"ACCOUNTS_PAYABLE_5_YEAR_GROWTH","FQ4 2016","FQ4 2016","Currency=INR","Period=FQ","BEST_FPERIOD_OVERRIDE=FQ","FILING_STATUS=OR","EQY_CONSOLIDATED=Y","Sort=A","Dates=H","DateFormat=P","Fill=—","Direction=H","UseDPDF=Y")</f>
        <v>#NAME?</v>
      </c>
      <c r="AZ517" s="2" t="e">
        <f ca="1">_xll.BDH($C$503,"SHORT_TERM_DEBT_5_YEAR_GROWTH","FQ4 2016","FQ4 2016","Currency=INR","Period=FQ","BEST_FPERIOD_OVERRIDE=FQ","FILING_STATUS=OR","EQY_CONSOLIDATED=Y","Sort=A","Dates=H","DateFormat=P","Fill=—","Direction=H","UseDPDF=Y")</f>
        <v>#NAME?</v>
      </c>
      <c r="BA517" s="2" t="e">
        <f ca="1">_xll.BDH($C$503,"TOTAL_DEBT_5_YEAR_GROWTH","FQ4 2016","FQ4 2016","Currency=INR","Period=FQ","BEST_FPERIOD_OVERRIDE=FQ","FILING_STATUS=OR","EQY_CONSOLIDATED=Y","Sort=A","Dates=H","DateFormat=P","Fill=—","Direction=H","UseDPDF=Y")</f>
        <v>#NAME?</v>
      </c>
      <c r="BB517" s="2" t="e">
        <f ca="1">_xll.BDH($C$503,"GEO_GROW_TOT_SHRHLDR_EQY","FQ4 2016","FQ4 2016","Currency=INR","Period=FQ","BEST_FPERIOD_OVERRIDE=FQ","FILING_STATUS=OR","EQY_CONSOLIDATED=Y","Sort=A","Dates=H","DateFormat=P","Fill=—","Direction=H","UseDPDF=Y")</f>
        <v>#NAME?</v>
      </c>
      <c r="BC517" s="2" t="e">
        <f ca="1">_xll.BDH($C$503,"TOTAL_CAPITAL_5_YEAR_GROWTH","FQ4 2016","FQ4 2016","Currency=INR","Period=FQ","BEST_FPERIOD_OVERRIDE=FQ","FILING_STATUS=OR","EQY_CONSOLIDATED=Y","Sort=A","Dates=H","DateFormat=P","Fill=—","Direction=H","UseDPDF=Y")</f>
        <v>#NAME?</v>
      </c>
      <c r="BD517" s="2" t="e">
        <f ca="1">_xll.BDH($C$503,"GEO_GROW_BOOK_VAL","FQ4 2016","FQ4 2016","Currency=INR","Period=FQ","BEST_FPERIOD_OVERRIDE=FQ","FILING_STATUS=OR","EQY_CONSOLIDATED=Y","Sort=A","Dates=H","DateFormat=P","Fill=—","Direction=H","UseDPDF=Y")</f>
        <v>#NAME?</v>
      </c>
      <c r="BE517" s="2" t="e">
        <f ca="1">_xll.BDH($C$503,"GEO_GROW_CASH_OPER_ACT","FQ4 2016","FQ4 2016","Currency=INR","Period=FQ","BEST_FPERIOD_OVERRIDE=FQ","FILING_STATUS=OR","EQY_CONSOLIDATED=Y","Sort=A","Dates=H","DateFormat=P","Fill=—","Direction=H","UseDPDF=Y")</f>
        <v>#NAME?</v>
      </c>
      <c r="BF517" s="2" t="e">
        <f ca="1">_xll.BDH($C$503,"REVENUE_SEQUENTIAL_GROWTH","FQ4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517" s="2" t="e">
        <f ca="1">_xll.BDH($C$503,"EBITDA_SEQUENTIAL_GROWTH","FQ4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517" s="2" t="e">
        <f ca="1">_xll.BDH($C$503,"OPERATING_INCOME_SEQ_GROWTH","FQ4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517" s="2" t="e">
        <f ca="1">_xll.BDH($C$503,"NET_INCOME_TO_COMMON_SEQ_GROWTH","FQ4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517" s="2" t="e">
        <f ca="1">_xll.BDH($C$503,"EPS_DILUTED_SEQUENTIAL_GROWTH","FQ4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517" s="2" t="e">
        <f ca="1">_xll.BDH($C$503,"DPS_SEQUENTIAL_GROWTH","FQ4 2016","FQ4 2016","Currency=INR","Period=FQ","BEST_FPERIOD_OVERRIDE=FQ","FILING_STATUS=OR","EQY_CONSOLIDATED=Y","Sort=A","Dates=H","DateFormat=P","Fill=—","Direction=H","UseDPDF=Y")</f>
        <v>#NAME?</v>
      </c>
      <c r="BL517" s="2" t="e">
        <f ca="1">_xll.BDH($C$503,"ACCOUNTS_RECEIVABLE_SEQ_GROWTH","FQ4 2016","FQ4 2016","Currency=INR","Period=FQ","BEST_FPERIOD_OVERRIDE=FQ","FILING_STATUS=OR","EQY_CONSOLIDATED=Y","Sort=A","Dates=H","DateFormat=P","Fill=—","Direction=H","UseDPDF=Y")</f>
        <v>#NAME?</v>
      </c>
      <c r="BM517" s="2" t="e">
        <f ca="1">_xll.BDH($C$503,"INVENTORY_SEQUENTIAL_GROWTH","FQ4 2016","FQ4 2016","Currency=INR","Period=FQ","BEST_FPERIOD_OVERRIDE=FQ","FILING_STATUS=OR","EQY_CONSOLIDATED=Y","Sort=A","Dates=H","DateFormat=P","Fill=—","Direction=H","UseDPDF=Y")</f>
        <v>#NAME?</v>
      </c>
      <c r="BN517" s="2" t="e">
        <f ca="1">_xll.BDH($C$503,"FIXED_ASSETS_SEQUENTIAL_GROWTH","FQ4 2016","FQ4 2016","Currency=INR","Period=FQ","BEST_FPERIOD_OVERRIDE=FQ","FILING_STATUS=OR","EQY_CONSOLIDATED=Y","Sort=A","Dates=H","DateFormat=P","Fill=—","Direction=H","UseDPDF=Y")</f>
        <v>#NAME?</v>
      </c>
      <c r="BO517" s="2" t="e">
        <f ca="1">_xll.BDH($C$503,"TOTAL_ASSETS_SEQUENTIAL_GROWTH","FQ4 2016","FQ4 2016","Currency=INR","Period=FQ","BEST_FPERIOD_OVERRIDE=FQ","FILING_STATUS=OR","EQY_CONSOLIDATED=Y","Sort=A","Dates=H","DateFormat=P","Fill=—","Direction=H","UseDPDF=Y")</f>
        <v>#NAME?</v>
      </c>
      <c r="BP517" s="2" t="e">
        <f ca="1">_xll.BDH($C$503,"MODIFIED_WORKING_CPTL_SEQ_GRWTH","FQ4 2016","FQ4 2016","Currency=INR","Period=FQ","BEST_FPERIOD_OVERRIDE=FQ","FILING_STATUS=OR","EQY_CONSOLIDATED=Y","Sort=A","Dates=H","DateFormat=P","Fill=—","Direction=H","UseDPDF=Y")</f>
        <v>#NAME?</v>
      </c>
      <c r="BQ517" s="2" t="e">
        <f ca="1">_xll.BDH($C$503,"WORKING_CAPITAL_SEQ_GROWTH","FQ4 2016","FQ4 2016","Currency=INR","Period=FQ","BEST_FPERIOD_OVERRIDE=FQ","FILING_STATUS=OR","EQY_CONSOLIDATED=Y","Sort=A","Dates=H","DateFormat=P","Fill=—","Direction=H","UseDPDF=Y")</f>
        <v>#NAME?</v>
      </c>
      <c r="BR517" s="2" t="e">
        <f ca="1">_xll.BDH($C$503,"ACCOUNTS_PAYABLE_SEQ_GROWTH","FQ4 2016","FQ4 2016","Currency=INR","Period=FQ","BEST_FPERIOD_OVERRIDE=FQ","FILING_STATUS=OR","EQY_CONSOLIDATED=Y","Sort=A","Dates=H","DateFormat=P","Fill=—","Direction=H","UseDPDF=Y")</f>
        <v>#NAME?</v>
      </c>
      <c r="BS517" s="2" t="e">
        <f ca="1">_xll.BDH($C$503,"ST_DEBT_SEQUENTIAL_GROWTH","FQ4 2016","FQ4 2016","Currency=INR","Period=FQ","BEST_FPERIOD_OVERRIDE=FQ","FILING_STATUS=OR","EQY_CONSOLIDATED=Y","Sort=A","Dates=H","DateFormat=P","Fill=—","Direction=H","UseDPDF=Y")</f>
        <v>#NAME?</v>
      </c>
      <c r="BT517" s="2" t="e">
        <f ca="1">_xll.BDH($C$503,"TOTAL_DEBT_SEQUENTIAL_GROWTH","FQ4 2016","FQ4 2016","Currency=INR","Period=FQ","BEST_FPERIOD_OVERRIDE=FQ","FILING_STATUS=OR","EQY_CONSOLIDATED=Y","Sort=A","Dates=H","DateFormat=P","Fill=—","Direction=H","UseDPDF=Y")</f>
        <v>#NAME?</v>
      </c>
      <c r="BU517" s="2" t="e">
        <f ca="1">_xll.BDH($C$503,"TOTAL_EQUITY_SEQUENTIAL_GROWTH","FQ4 2016","FQ4 2016","Currency=INR","Period=FQ","BEST_FPERIOD_OVERRIDE=FQ","FILING_STATUS=OR","EQY_CONSOLIDATED=Y","Sort=A","Dates=H","DateFormat=P","Fill=—","Direction=H","UseDPDF=Y")</f>
        <v>#NAME?</v>
      </c>
      <c r="BV517" s="2" t="e">
        <f ca="1">_xll.BDH($C$503,"TOTAL_CAPITAL_SEQUENTIAL_GROWTH","FQ4 2016","FQ4 2016","Currency=INR","Period=FQ","BEST_FPERIOD_OVERRIDE=FQ","FILING_STATUS=OR","EQY_CONSOLIDATED=Y","Sort=A","Dates=H","DateFormat=P","Fill=—","Direction=H","UseDPDF=Y")</f>
        <v>#NAME?</v>
      </c>
      <c r="BW517" s="2" t="e">
        <f ca="1">_xll.BDH($C$503,"BPS_SEQUENTIAL_GROWTH","FQ4 2016","FQ4 2016","Currency=INR","Period=FQ","BEST_FPERIOD_OVERRIDE=FQ","FILING_STATUS=OR","EQY_CONSOLIDATED=Y","Sort=A","Dates=H","DateFormat=P","Fill=—","Direction=H","UseDPDF=Y")</f>
        <v>#NAME?</v>
      </c>
      <c r="BX517" s="2" t="e">
        <f ca="1">_xll.BDH($C$503,"CFO_SEQUENTIAL_GROWTH","FQ4 2016","FQ4 2016","Currency=INR","Period=FQ","BEST_FPERIOD_OVERRIDE=FQ","FILING_STATUS=OR","EQY_CONSOLIDATED=Y","Sort=A","Dates=H","DateFormat=P","Fill=—","Direction=H","UseDPDF=Y")</f>
        <v>#NAME?</v>
      </c>
      <c r="BY517" s="3" t="e">
        <f ca="1">_xll.BDH($C$503,"SHORT_AND_LONG_TERM_DEBT","FQ4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517" s="3" t="e">
        <f ca="1">_xll.BDH($C$503,"BS_ST_BORROW","FQ4 2016","FQ4 2016","Currency=INR","Period=FQ","BEST_FPERIOD_OVERRIDE=FQ","FILING_STATUS=OR","EQY_CONSOLIDATED=Y","SCALING_FORMAT=MLN","Sort=A","Dates=H","DateFormat=P","Fill=—","Direction=H","UseDPDF=Y")</f>
        <v>#NAME?</v>
      </c>
      <c r="CA517" s="3" t="e">
        <f ca="1">_xll.BDH($C$503,"BS_LT_BORROW","FQ4 2016","FQ4 2016","Currency=INR","Period=FQ","BEST_FPERIOD_OVERRIDE=FQ","FILING_STATUS=OR","EQY_CONSOLIDATED=Y","SCALING_FORMAT=MLN","Sort=A","Dates=H","DateFormat=P","Fill=—","Direction=H","UseDPDF=Y")</f>
        <v>#NAME?</v>
      </c>
      <c r="CB517" s="2" t="e">
        <f ca="1">_xll.BDH($C$503,"TOT_DEBT_TO_EBITDA","FQ4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517" s="2" t="e">
        <f ca="1">_xll.BDH($C$503,"NET_DEBT_TO_EBITDA","FQ4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517" s="2" t="e">
        <f ca="1">_xll.BDH($C$503,"TOTAL_DEBT_TO_EBIT","FQ4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517" s="2" t="e">
        <f ca="1">_xll.BDH($C$503,"NET_DEBT_TO_EBIT","FQ4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517" s="2" t="e">
        <f ca="1">_xll.BDH($C$503,"EBITDA_TO_INTEREST_EXPN","FQ4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517" s="2" t="e">
        <f ca="1">_xll.BDH($C$503,"COM_EQY_TO_TOT_ASSET","FQ4 2016","FQ4 2016","Currency=INR","Period=FQ","BEST_FPERIOD_OVERRIDE=FQ","FILING_STATUS=OR","EQY_CONSOLIDATED=Y","Sort=A","Dates=H","DateFormat=P","Fill=—","Direction=H","UseDPDF=Y")</f>
        <v>#NAME?</v>
      </c>
      <c r="CH517" s="2" t="e">
        <f ca="1">_xll.BDH($C$503,"LT_DEBT_TO_TOT_EQY","FQ4 2016","FQ4 2016","Currency=INR","Period=FQ","BEST_FPERIOD_OVERRIDE=FQ","FILING_STATUS=OR","EQY_CONSOLIDATED=Y","Sort=A","Dates=H","DateFormat=P","Fill=—","Direction=H","UseDPDF=Y")</f>
        <v>#NAME?</v>
      </c>
      <c r="CI517" s="2" t="e">
        <f ca="1">_xll.BDH($C$503,"LT_DEBT_TO_TOT_CAP","FQ4 2016","FQ4 2016","Currency=INR","Period=FQ","BEST_FPERIOD_OVERRIDE=FQ","FILING_STATUS=OR","EQY_CONSOLIDATED=Y","Sort=A","Dates=H","DateFormat=P","Fill=—","Direction=H","UseDPDF=Y")</f>
        <v>#NAME?</v>
      </c>
      <c r="CJ517" s="2" t="e">
        <f ca="1">_xll.BDH($C$503,"LT_DEBT_TO_TOT_ASSET","FQ4 2016","FQ4 2016","Currency=INR","Period=FQ","BEST_FPERIOD_OVERRIDE=FQ","FILING_STATUS=OR","EQY_CONSOLIDATED=Y","Sort=A","Dates=H","DateFormat=P","Fill=—","Direction=H","UseDPDF=Y")</f>
        <v>#NAME?</v>
      </c>
      <c r="CK517" s="2" t="e">
        <f ca="1">_xll.BDH($C$503,"TOT_DEBT_TO_TOT_EQY","FQ4 2016","FQ4 2016","Currency=INR","Period=FQ","BEST_FPERIOD_OVERRIDE=FQ","FILING_STATUS=OR","EQY_CONSOLIDATED=Y","Sort=A","Dates=H","DateFormat=P","Fill=—","Direction=H","UseDPDF=Y")</f>
        <v>#NAME?</v>
      </c>
      <c r="CL517" s="2" t="e">
        <f ca="1">_xll.BDH($C$503,"TOT_DEBT_TO_TOT_CAP","FQ4 2016","FQ4 2016","Currency=INR","Period=FQ","BEST_FPERIOD_OVERRIDE=FQ","FILING_STATUS=OR","EQY_CONSOLIDATED=Y","Sort=A","Dates=H","DateFormat=P","Fill=—","Direction=H","UseDPDF=Y")</f>
        <v>#NAME?</v>
      </c>
      <c r="CM517" s="2" t="e">
        <f ca="1">_xll.BDH($C$503,"TOT_DEBT_TO_TOT_ASSET","FQ4 2016","FQ4 2016","Currency=INR","Period=FQ","BEST_FPERIOD_OVERRIDE=FQ","FILING_STATUS=OR","EQY_CONSOLIDATED=Y","Sort=A","Dates=H","DateFormat=P","Fill=—","Direction=H","UseDPDF=Y")</f>
        <v>#NAME?</v>
      </c>
      <c r="CN517" s="2" t="e">
        <f ca="1">_xll.BDH($C$503,"NET_DEBT_TO_SHRHLDR_EQTY","FQ4 2016","FQ4 2016","Currency=INR","Period=FQ","BEST_FPERIOD_OVERRIDE=FQ","FILING_STATUS=OR","EQY_CONSOLIDATED=Y","Sort=A","Dates=H","DateFormat=P","Fill=—","Direction=H","UseDPDF=Y")</f>
        <v>#NAME?</v>
      </c>
      <c r="CO517" s="2" t="e">
        <f ca="1">_xll.BDH($C$503,"NET_DEBT_%_CAPITAL","FQ4 2016","FQ4 2016","Currency=INR","Period=FQ","BEST_FPERIOD_OVERRIDE=FQ","FILING_STATUS=OR","EQY_CONSOLIDATED=Y","Sort=A","Dates=H","DateFormat=P","Fill=—","Direction=H","UseDPDF=Y")</f>
        <v>#NAME?</v>
      </c>
      <c r="CP517" s="3" t="e">
        <f ca="1">_xll.BDH($C$503,"EBITDA","FQ4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517" s="3" t="e">
        <f ca="1">_xll.BDH($C$503,"EBITDA_AFTER_CAPEX","FQ4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517" s="3" t="e">
        <f ca="1">_xll.BDH($C$503,"IS_OPER_INC","FQ4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517" s="2" t="e">
        <f ca="1">_xll.BDH($C$503,"CASH_RATIO","FQ4 2016","FQ4 2016","Currency=INR","Period=FQ","BEST_FPERIOD_OVERRIDE=FQ","FILING_STATUS=OR","EQY_CONSOLIDATED=Y","Sort=A","Dates=H","DateFormat=P","Fill=—","Direction=H","UseDPDF=Y")</f>
        <v>#NAME?</v>
      </c>
      <c r="CT517" s="2" t="e">
        <f ca="1">_xll.BDH($C$503,"CUR_RATIO","FQ4 2016","FQ4 2016","Currency=INR","Period=FQ","BEST_FPERIOD_OVERRIDE=FQ","FILING_STATUS=OR","EQY_CONSOLIDATED=Y","Sort=A","Dates=H","DateFormat=P","Fill=—","Direction=H","UseDPDF=Y")</f>
        <v>#NAME?</v>
      </c>
      <c r="CU517" s="2" t="e">
        <f ca="1">_xll.BDH($C$503,"QUICK_RATIO","FQ4 2016","FQ4 2016","Currency=INR","Period=FQ","BEST_FPERIOD_OVERRIDE=FQ","FILING_STATUS=OR","EQY_CONSOLIDATED=Y","Sort=A","Dates=H","DateFormat=P","Fill=—","Direction=H","UseDPDF=Y")</f>
        <v>#NAME?</v>
      </c>
      <c r="CV517" s="2" t="e">
        <f ca="1">_xll.BDH($C$503,"ALTMAN_Z_SCORE","FQ4 2016","FQ4 2016","Currency=INR","Period=FQ","BEST_FPERIOD_OVERRIDE=FQ","FILING_STATUS=OR","EQY_CONSOLIDATED=Y","Sort=A","Dates=H","DateFormat=P","Fill=—","Direction=H","UseDPDF=Y")</f>
        <v>#NAME?</v>
      </c>
      <c r="CW517" s="4" t="e">
        <f ca="1">_xll.BDH($C$503,"ACCT_RCV_TURN","FQ4 2016","FQ4 2016","Currency=INR","Period=FQ","BEST_FPERIOD_OVERRIDE=FQ","FILING_STATUS=OR","EQY_CONSOLIDATED=Y","FA_ADJUSTED=GAAP","Sort=A","Dates=H","DateFormat=P","Fill=—","Direction=H","UseDPDF=Y")</f>
        <v>#NAME?</v>
      </c>
      <c r="CX517" s="2" t="e">
        <f ca="1">_xll.BDH($C$503,"ACCT_RCV_DAYS","FQ4 2016","FQ4 2016","Currency=INR","Period=FQ","BEST_FPERIOD_OVERRIDE=FQ","FILING_STATUS=OR","EQY_CONSOLIDATED=Y","FA_ADJUSTED=GAAP","Sort=A","Dates=H","DateFormat=P","Fill=—","Direction=H","UseDPDF=Y")</f>
        <v>#NAME?</v>
      </c>
      <c r="CY517" s="4" t="e">
        <f ca="1">_xll.BDH($C$503,"INVENT_TURN","FQ4 2016","FQ4 2016","Currency=INR","Period=FQ","BEST_FPERIOD_OVERRIDE=FQ","FILING_STATUS=OR","EQY_CONSOLIDATED=Y","FA_ADJUSTED=GAAP","Sort=A","Dates=H","DateFormat=P","Fill=—","Direction=H","UseDPDF=Y")</f>
        <v>#NAME?</v>
      </c>
      <c r="CZ517" s="2" t="e">
        <f ca="1">_xll.BDH($C$503,"INVENT_DAYS","FQ4 2016","FQ4 2016","Currency=INR","Period=FQ","BEST_FPERIOD_OVERRIDE=FQ","FILING_STATUS=OR","EQY_CONSOLIDATED=Y","FA_ADJUSTED=GAAP","Sort=A","Dates=H","DateFormat=P","Fill=—","Direction=H","UseDPDF=Y")</f>
        <v>#NAME?</v>
      </c>
      <c r="DA517" s="4" t="e">
        <f ca="1">_xll.BDH($C$503,"ACCOUNTS_PAYABLE_TURNOVER","FQ4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517" s="2" t="e">
        <f ca="1">_xll.BDH($C$503,"ACCOUNTS_PAYABLE_TURNOVER_DAYS","FQ4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517" s="4" t="e">
        <f ca="1">_xll.BDH($C$503,"CASH_CONVERSION_CYCLE","FQ4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517" s="4" t="e">
        <f ca="1">_xll.BDH($C$503,"INV_TO_CASH_DAYS","FQ4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517" s="5" t="e">
        <f ca="1">_xll.BDH($C$503,"BS_INVENTORIES","FQ4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517" s="3" t="e">
        <f ca="1">_xll.BDH($C$503,"INVTRY_RAW_MATERIALS","FQ4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517" s="3" t="e">
        <f ca="1">_xll.BDH($C$503,"INVTRY_IN_PROGRESS","FQ4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517" s="3" t="e">
        <f ca="1">_xll.BDH($C$503,"INVTRY_FINISHED_GOODS","FQ4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517" s="3" t="e">
        <f ca="1">_xll.BDH($C$503,"BS_OTHER_INV","FQ4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518" spans="1:113" x14ac:dyDescent="0.3">
      <c r="A518" s="6"/>
      <c r="B518" s="6"/>
      <c r="C518" s="6"/>
      <c r="D518" s="6" t="s">
        <v>84</v>
      </c>
      <c r="E518" t="s">
        <v>77</v>
      </c>
      <c r="F518" t="e">
        <f ca="1">_xll.BDH($C$503,"RETURN_COM_EQY","FY 2017","FY 2017","Currency=INR","Period=FY","BEST_FPERIOD_OVERRIDE=FY","FILING_STATUS=OR","EQY_CONSOLIDATED=Y","FA_ADJUSTED=GAAP","Sort=A","Dates=H","DateFormat=P","Fill=—","Direction=H","UseDPDF=Y")</f>
        <v>#NAME?</v>
      </c>
      <c r="G518" t="e">
        <f ca="1">_xll.BDH($C$503,"RETURN_ON_ASSET","FY 2017","FY 2017","Currency=INR","Period=FY","BEST_FPERIOD_OVERRIDE=FY","FILING_STATUS=OR","EQY_CONSOLIDATED=Y","FA_ADJUSTED=GAAP","Sort=A","Dates=H","DateFormat=P","Fill=—","Direction=H","UseDPDF=Y")</f>
        <v>#NAME?</v>
      </c>
      <c r="H518" t="e">
        <f ca="1">_xll.BDH($C$503,"RETURN_ON_CAP","FY 2017","FY 2017","Currency=INR","Period=FY","BEST_FPERIOD_OVERRIDE=FY","FILING_STATUS=OR","EQY_CONSOLIDATED=Y","FA_ADJUSTED=GAAP","Sort=A","Dates=H","DateFormat=P","Fill=—","Direction=H","UseDPDF=Y")</f>
        <v>#NAME?</v>
      </c>
      <c r="I518" t="e">
        <f ca="1">_xll.BDH($C$503,"RETURN_ON_INV_CAPITAL","FY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518" t="e">
        <f ca="1">_xll.BDH($C$503,"EBITDA_TO_REVENUE","FY 2017","FY 2017","Currency=INR","Period=FY","BEST_FPERIOD_OVERRIDE=FY","FILING_STATUS=OR","EQY_CONSOLIDATED=Y","FA_ADJUSTED=GAAP","Sort=A","Dates=H","DateFormat=P","Fill=—","Direction=H","UseDPDF=Y")</f>
        <v>#NAME?</v>
      </c>
      <c r="K518" t="e">
        <f ca="1">_xll.BDH($C$503,"OPER_MARGIN","FY 2017","FY 2017","Currency=INR","Period=FY","BEST_FPERIOD_OVERRIDE=FY","FILING_STATUS=OR","EQY_CONSOLIDATED=Y","FA_ADJUSTED=GAAP","Sort=A","Dates=H","DateFormat=P","Fill=—","Direction=H","UseDPDF=Y")</f>
        <v>#NAME?</v>
      </c>
      <c r="L518" t="e">
        <f ca="1">_xll.BDH($C$503,"INCREMENTAL_OPERATING_MARGIN","FY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518" t="e">
        <f ca="1">_xll.BDH($C$503,"PRETAX_INC_TO_NET_SALES","FY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518" t="e">
        <f ca="1">_xll.BDH($C$503,"INC_BEF_XO_ITEMS_TO_NET_SALES","FY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518" t="e">
        <f ca="1">_xll.BDH($C$503,"PROF_MARGIN","FY 2017","FY 2017","Currency=INR","Period=FY","BEST_FPERIOD_OVERRIDE=FY","FILING_STATUS=OR","EQY_CONSOLIDATED=Y","FA_ADJUSTED=GAAP","Sort=A","Dates=H","DateFormat=P","Fill=—","Direction=H","UseDPDF=Y")</f>
        <v>#NAME?</v>
      </c>
      <c r="P518" t="e">
        <f ca="1">_xll.BDH($C$503,"NET_INCOME_TO_COMMON_MARGIN","FY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518" t="e">
        <f ca="1">_xll.BDH($C$503,"EFF_TAX_RATE","FY 2017","FY 2017","Currency=INR","Period=FY","BEST_FPERIOD_OVERRIDE=FY","FILING_STATUS=OR","EQY_CONSOLIDATED=Y","FA_ADJUSTED=GAAP","Sort=A","Dates=H","DateFormat=P","Fill=—","Direction=H","UseDPDF=Y")</f>
        <v>#NAME?</v>
      </c>
      <c r="R518" t="e">
        <f ca="1">_xll.BDH($C$503,"DVD_PAYOUT_RATIO","FY 2017","FY 2017","Currency=INR","Period=FY","BEST_FPERIOD_OVERRIDE=FY","FILING_STATUS=OR","EQY_CONSOLIDATED=Y","FA_ADJUSTED=GAAP","Sort=A","Dates=H","DateFormat=P","Fill=—","Direction=H","UseDPDF=Y")</f>
        <v>#NAME?</v>
      </c>
      <c r="S518" t="e">
        <f ca="1">_xll.BDH($C$503,"SUSTAIN_GROWTH_RT","FY 2017","FY 2017","Currency=INR","Period=FY","BEST_FPERIOD_OVERRIDE=FY","FILING_STATUS=OR","EQY_CONSOLIDATED=Y","FA_ADJUSTED=GAAP","Sort=A","Dates=H","DateFormat=P","Fill=—","Direction=H","UseDPDF=Y")</f>
        <v>#NAME?</v>
      </c>
      <c r="T518" s="2" t="e">
        <f ca="1">_xll.BDH($C$503,"SALES_GROWTH","FY 2017","FY 2017","Currency=INR","Period=FY","BEST_FPERIOD_OVERRIDE=FY","FILING_STATUS=OR","EQY_CONSOLIDATED=Y","FA_ADJUSTED=GAAP","Sort=A","Dates=H","DateFormat=P","Fill=—","Direction=H","UseDPDF=Y")</f>
        <v>#NAME?</v>
      </c>
      <c r="U518" s="2" t="e">
        <f ca="1">_xll.BDH($C$503,"EBITDA_GROWTH","FY 2017","FY 2017","Currency=INR","Period=FY","BEST_FPERIOD_OVERRIDE=FY","FILING_STATUS=OR","EQY_CONSOLIDATED=Y","FA_ADJUSTED=GAAP","Sort=A","Dates=H","DateFormat=P","Fill=—","Direction=H","UseDPDF=Y")</f>
        <v>#NAME?</v>
      </c>
      <c r="V518" s="2" t="e">
        <f ca="1">_xll.BDH($C$503,"OPER_INC_GROWTH","FY 2017","FY 2017","Currency=INR","Period=FY","BEST_FPERIOD_OVERRIDE=FY","FILING_STATUS=OR","EQY_CONSOLIDATED=Y","FA_ADJUSTED=GAAP","Sort=A","Dates=H","DateFormat=P","Fill=—","Direction=H","UseDPDF=Y")</f>
        <v>#NAME?</v>
      </c>
      <c r="W518" s="2" t="e">
        <f ca="1">_xll.BDH($C$503,"EARN_FOR_COM_GROWTH","FY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518" s="2" t="e">
        <f ca="1">_xll.BDH($C$503,"DILUTED_EPS_AFT_XO_ITEMS_GROWTH","FY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518" s="2" t="e">
        <f ca="1">_xll.BDH($C$503,"DIVIDEND_PER_SHARE_1_YEAR_GROWTH","FY 2017","FY 2017","Currency=INR","Period=FY","BEST_FPERIOD_OVERRIDE=FY","FILING_STATUS=OR","EQY_CONSOLIDATED=Y","Sort=A","Dates=H","DateFormat=P","Fill=—","Direction=H","UseDPDF=Y")</f>
        <v>#NAME?</v>
      </c>
      <c r="Z518" s="2" t="e">
        <f ca="1">_xll.BDH($C$503,"ACCOUNTS_RECEIVABLE_GROWTH","FY 2017","FY 2017","Currency=INR","Period=FY","BEST_FPERIOD_OVERRIDE=FY","FILING_STATUS=OR","EQY_CONSOLIDATED=Y","Sort=A","Dates=H","DateFormat=P","Fill=—","Direction=H","UseDPDF=Y")</f>
        <v>#NAME?</v>
      </c>
      <c r="AA518" s="2" t="e">
        <f ca="1">_xll.BDH($C$503,"INVENTORY_GROWTH","FY 2017","FY 2017","Currency=INR","Period=FY","BEST_FPERIOD_OVERRIDE=FY","FILING_STATUS=OR","EQY_CONSOLIDATED=Y","Sort=A","Dates=H","DateFormat=P","Fill=—","Direction=H","UseDPDF=Y")</f>
        <v>#NAME?</v>
      </c>
      <c r="AB518" s="2" t="e">
        <f ca="1">_xll.BDH($C$503,"NET_FIXED_ASSETS_1_YEAR_GROWTH","FY 2017","FY 2017","Currency=INR","Period=FY","BEST_FPERIOD_OVERRIDE=FY","FILING_STATUS=OR","EQY_CONSOLIDATED=Y","Sort=A","Dates=H","DateFormat=P","Fill=—","Direction=H","UseDPDF=Y")</f>
        <v>#NAME?</v>
      </c>
      <c r="AC518" s="2" t="e">
        <f ca="1">_xll.BDH($C$503,"ASSET_GROWTH","FY 2017","FY 2017","Currency=INR","Period=FY","BEST_FPERIOD_OVERRIDE=FY","FILING_STATUS=OR","EQY_CONSOLIDATED=Y","Sort=A","Dates=H","DateFormat=P","Fill=—","Direction=H","UseDPDF=Y")</f>
        <v>#NAME?</v>
      </c>
      <c r="AD518" s="2" t="e">
        <f ca="1">_xll.BDH($C$503,"MODIFIED_WORK_CAP_GROWTH","FY 2017","FY 2017","Currency=INR","Period=FY","BEST_FPERIOD_OVERRIDE=FY","FILING_STATUS=OR","EQY_CONSOLIDATED=Y","Sort=A","Dates=H","DateFormat=P","Fill=—","Direction=H","UseDPDF=Y")</f>
        <v>#NAME?</v>
      </c>
      <c r="AE518" s="2" t="e">
        <f ca="1">_xll.BDH($C$503,"WORK_CAP_GROWTH","FY 2017","FY 2017","Currency=INR","Period=FY","BEST_FPERIOD_OVERRIDE=FY","FILING_STATUS=OR","EQY_CONSOLIDATED=Y","Sort=A","Dates=H","DateFormat=P","Fill=—","Direction=H","UseDPDF=Y")</f>
        <v>#NAME?</v>
      </c>
      <c r="AF518" s="2" t="e">
        <f ca="1">_xll.BDH($C$503,"ACCOUNTS_PAYABLE_GROWTH_1YR","FY 2017","FY 2017","Currency=INR","Period=FY","BEST_FPERIOD_OVERRIDE=FY","FILING_STATUS=OR","EQY_CONSOLIDATED=Y","Sort=A","Dates=H","DateFormat=P","Fill=—","Direction=H","UseDPDF=Y")</f>
        <v>#NAME?</v>
      </c>
      <c r="AG518" s="2" t="e">
        <f ca="1">_xll.BDH($C$503,"SHORT_TERM_DEBT_1_YEAR_GROWTH","FY 2017","FY 2017","Currency=INR","Period=FY","BEST_FPERIOD_OVERRIDE=FY","FILING_STATUS=OR","EQY_CONSOLIDATED=Y","Sort=A","Dates=H","DateFormat=P","Fill=—","Direction=H","UseDPDF=Y")</f>
        <v>#NAME?</v>
      </c>
      <c r="AH518" s="2" t="e">
        <f ca="1">_xll.BDH($C$503,"TOTAL_DEBT_1_YEAR_GROWTH","FY 2017","FY 2017","Currency=INR","Period=FY","BEST_FPERIOD_OVERRIDE=FY","FILING_STATUS=OR","EQY_CONSOLIDATED=Y","Sort=A","Dates=H","DateFormat=P","Fill=—","Direction=H","UseDPDF=Y")</f>
        <v>#NAME?</v>
      </c>
      <c r="AI518" s="2" t="e">
        <f ca="1">_xll.BDH($C$503,"TOTAL_EQUITY_1_YEAR_GROWTH","FY 2017","FY 2017","Currency=INR","Period=FY","BEST_FPERIOD_OVERRIDE=FY","FILING_STATUS=OR","EQY_CONSOLIDATED=Y","Sort=A","Dates=H","DateFormat=P","Fill=—","Direction=H","UseDPDF=Y")</f>
        <v>#NAME?</v>
      </c>
      <c r="AJ518" s="2" t="e">
        <f ca="1">_xll.BDH($C$503,"GROWTH_IN_CAP","FY 2017","FY 2017","Currency=INR","Period=FY","BEST_FPERIOD_OVERRIDE=FY","FILING_STATUS=OR","EQY_CONSOLIDATED=Y","Sort=A","Dates=H","DateFormat=P","Fill=—","Direction=H","UseDPDF=Y")</f>
        <v>#NAME?</v>
      </c>
      <c r="AK518" s="2" t="e">
        <f ca="1">_xll.BDH($C$503,"BVPS_GROWTH","FY 2017","FY 2017","Currency=INR","Period=FY","BEST_FPERIOD_OVERRIDE=FY","FILING_STATUS=OR","EQY_CONSOLIDATED=Y","Sort=A","Dates=H","DateFormat=P","Fill=—","Direction=H","UseDPDF=Y")</f>
        <v>#NAME?</v>
      </c>
      <c r="AL518" s="2" t="e">
        <f ca="1">_xll.BDH($C$503,"CASH_FLOW_GROWTH","FY 2017","FY 2017","Currency=INR","Period=FY","BEST_FPERIOD_OVERRIDE=FY","FILING_STATUS=OR","EQY_CONSOLIDATED=Y","Sort=A","Dates=H","DateFormat=P","Fill=—","Direction=H","UseDPDF=Y")</f>
        <v>#NAME?</v>
      </c>
      <c r="AM518" s="2" t="e">
        <f ca="1">_xll.BDH($C$503,"GEO_GROW_NET_SALES","FY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518" s="2" t="e">
        <f ca="1">_xll.BDH($C$503,"GEO_GROW_EBITDA","FY 2017","FY 2017","Currency=INR","Period=FY","BEST_FPERIOD_OVERRIDE=FY","FILING_STATUS=OR","EQY_CONSOLIDATED=Y","FA_ADJUSTED=GAAP","Sort=A","Dates=H","DateFormat=P","Fill=—","Direction=H","UseDPDF=Y")</f>
        <v>#NAME?</v>
      </c>
      <c r="AO518" s="2" t="e">
        <f ca="1">_xll.BDH($C$503,"GEO_GROW_OPER_INC","FY 2017","FY 2017","Currency=INR","Period=FY","BEST_FPERIOD_OVERRIDE=FY","FILING_STATUS=OR","EQY_CONSOLIDATED=Y","FA_ADJUSTED=GAAP","Sort=A","Dates=H","DateFormat=P","Fill=—","Direction=H","UseDPDF=Y")</f>
        <v>#NAME?</v>
      </c>
      <c r="AP518" s="2" t="e">
        <f ca="1">_xll.BDH($C$503,"NET_INCOME_TO_COMMON_5_YR_GROWTH","FY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518" s="2" t="e">
        <f ca="1">_xll.BDH($C$503,"5Y_GEO_GROWTH_DILUTED_EPS","FY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518" s="2" t="e">
        <f ca="1">_xll.BDH($C$503,"GEO_GROW_DVD_PER_SH","FY 2017","FY 2017","Currency=INR","Period=FY","BEST_FPERIOD_OVERRIDE=FY","FILING_STATUS=OR","EQY_CONSOLIDATED=Y","Sort=A","Dates=H","DateFormat=P","Fill=—","Direction=H","UseDPDF=Y")</f>
        <v>#NAME?</v>
      </c>
      <c r="AS518" s="2" t="e">
        <f ca="1">_xll.BDH($C$503,"ACCOUNTS_RECEIVABLE_5_YR_GROWTH","FY 2017","FY 2017","Currency=INR","Period=FY","BEST_FPERIOD_OVERRIDE=FY","FILING_STATUS=OR","EQY_CONSOLIDATED=Y","Sort=A","Dates=H","DateFormat=P","Fill=—","Direction=H","UseDPDF=Y")</f>
        <v>#NAME?</v>
      </c>
      <c r="AT518" s="2" t="e">
        <f ca="1">_xll.BDH($C$503,"INVENTORY_5_YEAR_GROWTH","FY 2017","FY 2017","Currency=INR","Period=FY","BEST_FPERIOD_OVERRIDE=FY","FILING_STATUS=OR","EQY_CONSOLIDATED=Y","Sort=A","Dates=H","DateFormat=P","Fill=—","Direction=H","UseDPDF=Y")</f>
        <v>#NAME?</v>
      </c>
      <c r="AU518" s="2" t="e">
        <f ca="1">_xll.BDH($C$503,"NET_FIXED_ASSETS_5_YEAR_GROWTH","FY 2017","FY 2017","Currency=INR","Period=FY","BEST_FPERIOD_OVERRIDE=FY","FILING_STATUS=OR","EQY_CONSOLIDATED=Y","Sort=A","Dates=H","DateFormat=P","Fill=—","Direction=H","UseDPDF=Y")</f>
        <v>#NAME?</v>
      </c>
      <c r="AV518" s="2" t="e">
        <f ca="1">_xll.BDH($C$503,"GEO_GROW_TOT_ASSET","FY 2017","FY 2017","Currency=INR","Period=FY","BEST_FPERIOD_OVERRIDE=FY","FILING_STATUS=OR","EQY_CONSOLIDATED=Y","Sort=A","Dates=H","DateFormat=P","Fill=—","Direction=H","UseDPDF=Y")</f>
        <v>#NAME?</v>
      </c>
      <c r="AW518" s="2" t="e">
        <f ca="1">_xll.BDH($C$503,"MODIFIED_WORKING_CPTL_5YR_GRWTH","FY 2017","FY 2017","Currency=INR","Period=FY","BEST_FPERIOD_OVERRIDE=FY","FILING_STATUS=OR","EQY_CONSOLIDATED=Y","Sort=A","Dates=H","DateFormat=P","Fill=—","Direction=H","UseDPDF=Y")</f>
        <v>#NAME?</v>
      </c>
      <c r="AX518" s="2" t="e">
        <f ca="1">_xll.BDH($C$503,"WORKING_CAPITAL_5_YEAR_GROWTH","FY 2017","FY 2017","Currency=INR","Period=FY","BEST_FPERIOD_OVERRIDE=FY","FILING_STATUS=OR","EQY_CONSOLIDATED=Y","Sort=A","Dates=H","DateFormat=P","Fill=—","Direction=H","UseDPDF=Y")</f>
        <v>#NAME?</v>
      </c>
      <c r="AY518" s="2" t="e">
        <f ca="1">_xll.BDH($C$503,"ACCOUNTS_PAYABLE_5_YEAR_GROWTH","FY 2017","FY 2017","Currency=INR","Period=FY","BEST_FPERIOD_OVERRIDE=FY","FILING_STATUS=OR","EQY_CONSOLIDATED=Y","Sort=A","Dates=H","DateFormat=P","Fill=—","Direction=H","UseDPDF=Y")</f>
        <v>#NAME?</v>
      </c>
      <c r="AZ518" s="2" t="e">
        <f ca="1">_xll.BDH($C$503,"SHORT_TERM_DEBT_5_YEAR_GROWTH","FY 2017","FY 2017","Currency=INR","Period=FY","BEST_FPERIOD_OVERRIDE=FY","FILING_STATUS=OR","EQY_CONSOLIDATED=Y","Sort=A","Dates=H","DateFormat=P","Fill=—","Direction=H","UseDPDF=Y")</f>
        <v>#NAME?</v>
      </c>
      <c r="BA518" s="2" t="e">
        <f ca="1">_xll.BDH($C$503,"TOTAL_DEBT_5_YEAR_GROWTH","FY 2017","FY 2017","Currency=INR","Period=FY","BEST_FPERIOD_OVERRIDE=FY","FILING_STATUS=OR","EQY_CONSOLIDATED=Y","Sort=A","Dates=H","DateFormat=P","Fill=—","Direction=H","UseDPDF=Y")</f>
        <v>#NAME?</v>
      </c>
      <c r="BB518" s="2" t="e">
        <f ca="1">_xll.BDH($C$503,"GEO_GROW_TOT_SHRHLDR_EQY","FY 2017","FY 2017","Currency=INR","Period=FY","BEST_FPERIOD_OVERRIDE=FY","FILING_STATUS=OR","EQY_CONSOLIDATED=Y","Sort=A","Dates=H","DateFormat=P","Fill=—","Direction=H","UseDPDF=Y")</f>
        <v>#NAME?</v>
      </c>
      <c r="BC518" s="2" t="e">
        <f ca="1">_xll.BDH($C$503,"TOTAL_CAPITAL_5_YEAR_GROWTH","FY 2017","FY 2017","Currency=INR","Period=FY","BEST_FPERIOD_OVERRIDE=FY","FILING_STATUS=OR","EQY_CONSOLIDATED=Y","Sort=A","Dates=H","DateFormat=P","Fill=—","Direction=H","UseDPDF=Y")</f>
        <v>#NAME?</v>
      </c>
      <c r="BD518" s="2" t="e">
        <f ca="1">_xll.BDH($C$503,"GEO_GROW_BOOK_VAL","FY 2017","FY 2017","Currency=INR","Period=FY","BEST_FPERIOD_OVERRIDE=FY","FILING_STATUS=OR","EQY_CONSOLIDATED=Y","Sort=A","Dates=H","DateFormat=P","Fill=—","Direction=H","UseDPDF=Y")</f>
        <v>#NAME?</v>
      </c>
      <c r="BE518" s="2" t="e">
        <f ca="1">_xll.BDH($C$503,"GEO_GROW_CASH_OPER_ACT","FY 2017","FY 2017","Currency=INR","Period=FY","BEST_FPERIOD_OVERRIDE=FY","FILING_STATUS=OR","EQY_CONSOLIDATED=Y","Sort=A","Dates=H","DateFormat=P","Fill=—","Direction=H","UseDPDF=Y")</f>
        <v>#NAME?</v>
      </c>
      <c r="BF518" s="2" t="e">
        <f ca="1">_xll.BDH($C$503,"REVENUE_SEQUENTIAL_GROWTH","FY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518" s="2" t="e">
        <f ca="1">_xll.BDH($C$503,"EBITDA_SEQUENTIAL_GROWTH","FY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518" s="2" t="e">
        <f ca="1">_xll.BDH($C$503,"OPERATING_INCOME_SEQ_GROWTH","FY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518" s="2" t="e">
        <f ca="1">_xll.BDH($C$503,"NET_INCOME_TO_COMMON_SEQ_GROWTH","FY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518" s="2" t="e">
        <f ca="1">_xll.BDH($C$503,"EPS_DILUTED_SEQUENTIAL_GROWTH","FY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518" s="2" t="e">
        <f ca="1">_xll.BDH($C$503,"DPS_SEQUENTIAL_GROWTH","FY 2017","FY 2017","Currency=INR","Period=FY","BEST_FPERIOD_OVERRIDE=FY","FILING_STATUS=OR","EQY_CONSOLIDATED=Y","Sort=A","Dates=H","DateFormat=P","Fill=—","Direction=H","UseDPDF=Y")</f>
        <v>#NAME?</v>
      </c>
      <c r="BL518" s="2" t="e">
        <f ca="1">_xll.BDH($C$503,"ACCOUNTS_RECEIVABLE_SEQ_GROWTH","FY 2017","FY 2017","Currency=INR","Period=FY","BEST_FPERIOD_OVERRIDE=FY","FILING_STATUS=OR","EQY_CONSOLIDATED=Y","Sort=A","Dates=H","DateFormat=P","Fill=—","Direction=H","UseDPDF=Y")</f>
        <v>#NAME?</v>
      </c>
      <c r="BM518" s="2" t="e">
        <f ca="1">_xll.BDH($C$503,"INVENTORY_SEQUENTIAL_GROWTH","FY 2017","FY 2017","Currency=INR","Period=FY","BEST_FPERIOD_OVERRIDE=FY","FILING_STATUS=OR","EQY_CONSOLIDATED=Y","Sort=A","Dates=H","DateFormat=P","Fill=—","Direction=H","UseDPDF=Y")</f>
        <v>#NAME?</v>
      </c>
      <c r="BN518" s="2" t="e">
        <f ca="1">_xll.BDH($C$503,"FIXED_ASSETS_SEQUENTIAL_GROWTH","FY 2017","FY 2017","Currency=INR","Period=FY","BEST_FPERIOD_OVERRIDE=FY","FILING_STATUS=OR","EQY_CONSOLIDATED=Y","Sort=A","Dates=H","DateFormat=P","Fill=—","Direction=H","UseDPDF=Y")</f>
        <v>#NAME?</v>
      </c>
      <c r="BO518" s="2" t="e">
        <f ca="1">_xll.BDH($C$503,"TOTAL_ASSETS_SEQUENTIAL_GROWTH","FY 2017","FY 2017","Currency=INR","Period=FY","BEST_FPERIOD_OVERRIDE=FY","FILING_STATUS=OR","EQY_CONSOLIDATED=Y","Sort=A","Dates=H","DateFormat=P","Fill=—","Direction=H","UseDPDF=Y")</f>
        <v>#NAME?</v>
      </c>
      <c r="BP518" s="2" t="e">
        <f ca="1">_xll.BDH($C$503,"MODIFIED_WORKING_CPTL_SEQ_GRWTH","FY 2017","FY 2017","Currency=INR","Period=FY","BEST_FPERIOD_OVERRIDE=FY","FILING_STATUS=OR","EQY_CONSOLIDATED=Y","Sort=A","Dates=H","DateFormat=P","Fill=—","Direction=H","UseDPDF=Y")</f>
        <v>#NAME?</v>
      </c>
      <c r="BQ518" s="2" t="e">
        <f ca="1">_xll.BDH($C$503,"WORKING_CAPITAL_SEQ_GROWTH","FY 2017","FY 2017","Currency=INR","Period=FY","BEST_FPERIOD_OVERRIDE=FY","FILING_STATUS=OR","EQY_CONSOLIDATED=Y","Sort=A","Dates=H","DateFormat=P","Fill=—","Direction=H","UseDPDF=Y")</f>
        <v>#NAME?</v>
      </c>
      <c r="BR518" s="2" t="e">
        <f ca="1">_xll.BDH($C$503,"ACCOUNTS_PAYABLE_SEQ_GROWTH","FY 2017","FY 2017","Currency=INR","Period=FY","BEST_FPERIOD_OVERRIDE=FY","FILING_STATUS=OR","EQY_CONSOLIDATED=Y","Sort=A","Dates=H","DateFormat=P","Fill=—","Direction=H","UseDPDF=Y")</f>
        <v>#NAME?</v>
      </c>
      <c r="BS518" s="2" t="e">
        <f ca="1">_xll.BDH($C$503,"ST_DEBT_SEQUENTIAL_GROWTH","FY 2017","FY 2017","Currency=INR","Period=FY","BEST_FPERIOD_OVERRIDE=FY","FILING_STATUS=OR","EQY_CONSOLIDATED=Y","Sort=A","Dates=H","DateFormat=P","Fill=—","Direction=H","UseDPDF=Y")</f>
        <v>#NAME?</v>
      </c>
      <c r="BT518" s="2" t="e">
        <f ca="1">_xll.BDH($C$503,"TOTAL_DEBT_SEQUENTIAL_GROWTH","FY 2017","FY 2017","Currency=INR","Period=FY","BEST_FPERIOD_OVERRIDE=FY","FILING_STATUS=OR","EQY_CONSOLIDATED=Y","Sort=A","Dates=H","DateFormat=P","Fill=—","Direction=H","UseDPDF=Y")</f>
        <v>#NAME?</v>
      </c>
      <c r="BU518" s="2" t="e">
        <f ca="1">_xll.BDH($C$503,"TOTAL_EQUITY_SEQUENTIAL_GROWTH","FY 2017","FY 2017","Currency=INR","Period=FY","BEST_FPERIOD_OVERRIDE=FY","FILING_STATUS=OR","EQY_CONSOLIDATED=Y","Sort=A","Dates=H","DateFormat=P","Fill=—","Direction=H","UseDPDF=Y")</f>
        <v>#NAME?</v>
      </c>
      <c r="BV518" s="2" t="e">
        <f ca="1">_xll.BDH($C$503,"TOTAL_CAPITAL_SEQUENTIAL_GROWTH","FY 2017","FY 2017","Currency=INR","Period=FY","BEST_FPERIOD_OVERRIDE=FY","FILING_STATUS=OR","EQY_CONSOLIDATED=Y","Sort=A","Dates=H","DateFormat=P","Fill=—","Direction=H","UseDPDF=Y")</f>
        <v>#NAME?</v>
      </c>
      <c r="BW518" s="2" t="e">
        <f ca="1">_xll.BDH($C$503,"BPS_SEQUENTIAL_GROWTH","FY 2017","FY 2017","Currency=INR","Period=FY","BEST_FPERIOD_OVERRIDE=FY","FILING_STATUS=OR","EQY_CONSOLIDATED=Y","Sort=A","Dates=H","DateFormat=P","Fill=—","Direction=H","UseDPDF=Y")</f>
        <v>#NAME?</v>
      </c>
      <c r="BX518" s="2" t="e">
        <f ca="1">_xll.BDH($C$503,"CFO_SEQUENTIAL_GROWTH","FY 2017","FY 2017","Currency=INR","Period=FY","BEST_FPERIOD_OVERRIDE=FY","FILING_STATUS=OR","EQY_CONSOLIDATED=Y","Sort=A","Dates=H","DateFormat=P","Fill=—","Direction=H","UseDPDF=Y")</f>
        <v>#NAME?</v>
      </c>
      <c r="BY518" s="3" t="e">
        <f ca="1">_xll.BDH($C$503,"SHORT_AND_LONG_TERM_DEBT","FY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518" s="3" t="e">
        <f ca="1">_xll.BDH($C$503,"BS_ST_BORROW","FY 2017","FY 2017","Currency=INR","Period=FY","BEST_FPERIOD_OVERRIDE=FY","FILING_STATUS=OR","EQY_CONSOLIDATED=Y","SCALING_FORMAT=MLN","Sort=A","Dates=H","DateFormat=P","Fill=—","Direction=H","UseDPDF=Y")</f>
        <v>#NAME?</v>
      </c>
      <c r="CA518" s="3" t="e">
        <f ca="1">_xll.BDH($C$503,"BS_LT_BORROW","FY 2017","FY 2017","Currency=INR","Period=FY","BEST_FPERIOD_OVERRIDE=FY","FILING_STATUS=OR","EQY_CONSOLIDATED=Y","SCALING_FORMAT=MLN","Sort=A","Dates=H","DateFormat=P","Fill=—","Direction=H","UseDPDF=Y")</f>
        <v>#NAME?</v>
      </c>
      <c r="CB518" s="2" t="e">
        <f ca="1">_xll.BDH($C$503,"TOT_DEBT_TO_EBITDA","FY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518" s="2" t="e">
        <f ca="1">_xll.BDH($C$503,"NET_DEBT_TO_EBITDA","FY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518" s="2" t="e">
        <f ca="1">_xll.BDH($C$503,"TOTAL_DEBT_TO_EBIT","FY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518" s="2" t="e">
        <f ca="1">_xll.BDH($C$503,"NET_DEBT_TO_EBIT","FY 2017","FY 2017","Currency=INR","Period=FY","BEST_FPERIOD_OVERRIDE=FY","FILING_STATUS=OR","EQY_CONSOLIDATED=Y","FA_ADJUSTED=GAAP","Sort=A","Dates=H","DateFormat=P","Fill=—","Direction=H","UseDPDF=Y")</f>
        <v>#NAME?</v>
      </c>
      <c r="CF518" s="2" t="e">
        <f ca="1">_xll.BDH($C$503,"EBITDA_TO_INTEREST_EXPN","FY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518" s="2" t="e">
        <f ca="1">_xll.BDH($C$503,"COM_EQY_TO_TOT_ASSET","FY 2017","FY 2017","Currency=INR","Period=FY","BEST_FPERIOD_OVERRIDE=FY","FILING_STATUS=OR","EQY_CONSOLIDATED=Y","Sort=A","Dates=H","DateFormat=P","Fill=—","Direction=H","UseDPDF=Y")</f>
        <v>#NAME?</v>
      </c>
      <c r="CH518" s="2" t="e">
        <f ca="1">_xll.BDH($C$503,"LT_DEBT_TO_TOT_EQY","FY 2017","FY 2017","Currency=INR","Period=FY","BEST_FPERIOD_OVERRIDE=FY","FILING_STATUS=OR","EQY_CONSOLIDATED=Y","Sort=A","Dates=H","DateFormat=P","Fill=—","Direction=H","UseDPDF=Y")</f>
        <v>#NAME?</v>
      </c>
      <c r="CI518" s="2" t="e">
        <f ca="1">_xll.BDH($C$503,"LT_DEBT_TO_TOT_CAP","FY 2017","FY 2017","Currency=INR","Period=FY","BEST_FPERIOD_OVERRIDE=FY","FILING_STATUS=OR","EQY_CONSOLIDATED=Y","Sort=A","Dates=H","DateFormat=P","Fill=—","Direction=H","UseDPDF=Y")</f>
        <v>#NAME?</v>
      </c>
      <c r="CJ518" s="2" t="e">
        <f ca="1">_xll.BDH($C$503,"LT_DEBT_TO_TOT_ASSET","FY 2017","FY 2017","Currency=INR","Period=FY","BEST_FPERIOD_OVERRIDE=FY","FILING_STATUS=OR","EQY_CONSOLIDATED=Y","Sort=A","Dates=H","DateFormat=P","Fill=—","Direction=H","UseDPDF=Y")</f>
        <v>#NAME?</v>
      </c>
      <c r="CK518" s="2" t="e">
        <f ca="1">_xll.BDH($C$503,"TOT_DEBT_TO_TOT_EQY","FY 2017","FY 2017","Currency=INR","Period=FY","BEST_FPERIOD_OVERRIDE=FY","FILING_STATUS=OR","EQY_CONSOLIDATED=Y","Sort=A","Dates=H","DateFormat=P","Fill=—","Direction=H","UseDPDF=Y")</f>
        <v>#NAME?</v>
      </c>
      <c r="CL518" s="2" t="e">
        <f ca="1">_xll.BDH($C$503,"TOT_DEBT_TO_TOT_CAP","FY 2017","FY 2017","Currency=INR","Period=FY","BEST_FPERIOD_OVERRIDE=FY","FILING_STATUS=OR","EQY_CONSOLIDATED=Y","Sort=A","Dates=H","DateFormat=P","Fill=—","Direction=H","UseDPDF=Y")</f>
        <v>#NAME?</v>
      </c>
      <c r="CM518" s="2" t="e">
        <f ca="1">_xll.BDH($C$503,"TOT_DEBT_TO_TOT_ASSET","FY 2017","FY 2017","Currency=INR","Period=FY","BEST_FPERIOD_OVERRIDE=FY","FILING_STATUS=OR","EQY_CONSOLIDATED=Y","Sort=A","Dates=H","DateFormat=P","Fill=—","Direction=H","UseDPDF=Y")</f>
        <v>#NAME?</v>
      </c>
      <c r="CN518" s="2" t="e">
        <f ca="1">_xll.BDH($C$503,"NET_DEBT_TO_SHRHLDR_EQTY","FY 2017","FY 2017","Currency=INR","Period=FY","BEST_FPERIOD_OVERRIDE=FY","FILING_STATUS=OR","EQY_CONSOLIDATED=Y","Sort=A","Dates=H","DateFormat=P","Fill=—","Direction=H","UseDPDF=Y")</f>
        <v>#NAME?</v>
      </c>
      <c r="CO518" s="2" t="e">
        <f ca="1">_xll.BDH($C$503,"NET_DEBT_%_CAPITAL","FY 2017","FY 2017","Currency=INR","Period=FY","BEST_FPERIOD_OVERRIDE=FY","FILING_STATUS=OR","EQY_CONSOLIDATED=Y","Sort=A","Dates=H","DateFormat=P","Fill=—","Direction=H","UseDPDF=Y")</f>
        <v>#NAME?</v>
      </c>
      <c r="CP518" s="3" t="e">
        <f ca="1">_xll.BDH($C$503,"EBITDA","FY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518" s="3" t="e">
        <f ca="1">_xll.BDH($C$503,"EBITDA_AFTER_CAPEX","FY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518" s="3" t="e">
        <f ca="1">_xll.BDH($C$503,"IS_OPER_INC","FY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518" s="2" t="e">
        <f ca="1">_xll.BDH($C$503,"CASH_RATIO","FY 2017","FY 2017","Currency=INR","Period=FY","BEST_FPERIOD_OVERRIDE=FY","FILING_STATUS=OR","EQY_CONSOLIDATED=Y","Sort=A","Dates=H","DateFormat=P","Fill=—","Direction=H","UseDPDF=Y")</f>
        <v>#NAME?</v>
      </c>
      <c r="CT518" s="2" t="e">
        <f ca="1">_xll.BDH($C$503,"CUR_RATIO","FY 2017","FY 2017","Currency=INR","Period=FY","BEST_FPERIOD_OVERRIDE=FY","FILING_STATUS=OR","EQY_CONSOLIDATED=Y","Sort=A","Dates=H","DateFormat=P","Fill=—","Direction=H","UseDPDF=Y")</f>
        <v>#NAME?</v>
      </c>
      <c r="CU518" s="2" t="e">
        <f ca="1">_xll.BDH($C$503,"QUICK_RATIO","FY 2017","FY 2017","Currency=INR","Period=FY","BEST_FPERIOD_OVERRIDE=FY","FILING_STATUS=OR","EQY_CONSOLIDATED=Y","Sort=A","Dates=H","DateFormat=P","Fill=—","Direction=H","UseDPDF=Y")</f>
        <v>#NAME?</v>
      </c>
      <c r="CV518" s="2" t="e">
        <f ca="1">_xll.BDH($C$503,"ALTMAN_Z_SCORE","FY 2017","FY 2017","Currency=INR","Period=FY","BEST_FPERIOD_OVERRIDE=FY","FILING_STATUS=OR","EQY_CONSOLIDATED=Y","Sort=A","Dates=H","DateFormat=P","Fill=—","Direction=H","UseDPDF=Y")</f>
        <v>#NAME?</v>
      </c>
      <c r="CW518" s="4" t="e">
        <f ca="1">_xll.BDH($C$503,"ACCT_RCV_TURN","FY 2017","FY 2017","Currency=INR","Period=FY","BEST_FPERIOD_OVERRIDE=FY","FILING_STATUS=OR","EQY_CONSOLIDATED=Y","FA_ADJUSTED=GAAP","Sort=A","Dates=H","DateFormat=P","Fill=—","Direction=H","UseDPDF=Y")</f>
        <v>#NAME?</v>
      </c>
      <c r="CX518" s="2" t="e">
        <f ca="1">_xll.BDH($C$503,"ACCT_RCV_DAYS","FY 2017","FY 2017","Currency=INR","Period=FY","BEST_FPERIOD_OVERRIDE=FY","FILING_STATUS=OR","EQY_CONSOLIDATED=Y","FA_ADJUSTED=GAAP","Sort=A","Dates=H","DateFormat=P","Fill=—","Direction=H","UseDPDF=Y")</f>
        <v>#NAME?</v>
      </c>
      <c r="CY518" s="4" t="e">
        <f ca="1">_xll.BDH($C$503,"INVENT_TURN","FY 2017","FY 2017","Currency=INR","Period=FY","BEST_FPERIOD_OVERRIDE=FY","FILING_STATUS=OR","EQY_CONSOLIDATED=Y","FA_ADJUSTED=GAAP","Sort=A","Dates=H","DateFormat=P","Fill=—","Direction=H","UseDPDF=Y")</f>
        <v>#NAME?</v>
      </c>
      <c r="CZ518" s="2" t="e">
        <f ca="1">_xll.BDH($C$503,"INVENT_DAYS","FY 2017","FY 2017","Currency=INR","Period=FY","BEST_FPERIOD_OVERRIDE=FY","FILING_STATUS=OR","EQY_CONSOLIDATED=Y","FA_ADJUSTED=GAAP","Sort=A","Dates=H","DateFormat=P","Fill=—","Direction=H","UseDPDF=Y")</f>
        <v>#NAME?</v>
      </c>
      <c r="DA518" s="4" t="e">
        <f ca="1">_xll.BDH($C$503,"ACCOUNTS_PAYABLE_TURNOVER","FY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518" s="2" t="e">
        <f ca="1">_xll.BDH($C$503,"ACCOUNTS_PAYABLE_TURNOVER_DAYS","FY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518" s="4" t="e">
        <f ca="1">_xll.BDH($C$503,"CASH_CONVERSION_CYCLE","FY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518" s="4" t="e">
        <f ca="1">_xll.BDH($C$503,"INV_TO_CASH_DAYS","FY 2017","FY 2017","Currency=INR","Period=FY","BEST_FPERIOD_OVERRIDE=FY","FILING_STATUS=OR","EQY_CONSOLIDATED=Y","FA_ADJUSTED=GAAP","Sort=A","Dates=H","DateFormat=P","Fill=—","Direction=H","UseDPDF=Y")</f>
        <v>#NAME?</v>
      </c>
      <c r="DE518" s="5" t="e">
        <f ca="1">_xll.BDH($C$503,"BS_INVENTORIES","FY 2017","FY 2017","Currency=INR","Period=FY","BEST_FPERIOD_OVERRIDE=FY","FILING_STATUS=OR","EQY_CONSOLIDATED=Y","SCALING_FORMAT=MLN","Sort=A","Dates=H","DateFormat=P","Fill=—","Direction=H","UseDPDF=Y")</f>
        <v>#NAME?</v>
      </c>
      <c r="DF518" s="3" t="e">
        <f ca="1">_xll.BDH($C$503,"INVTRY_RAW_MATERIALS","FY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518" s="3" t="e">
        <f ca="1">_xll.BDH($C$503,"INVTRY_IN_PROGRESS","FY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518" s="3" t="e">
        <f ca="1">_xll.BDH($C$503,"INVTRY_FINISHED_GOODS","FY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518" s="3" t="e">
        <f ca="1">_xll.BDH($C$503,"BS_OTHER_INV","FY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519" spans="1:113" x14ac:dyDescent="0.3">
      <c r="A519" s="6"/>
      <c r="B519" s="6"/>
      <c r="C519" s="6"/>
      <c r="D519" s="6"/>
      <c r="E519" t="s">
        <v>78</v>
      </c>
      <c r="F519" t="e">
        <f ca="1">_xll.BDH($C$503,"RETURN_COM_EQY","FQ1 2017","FQ1 2017","Currency=INR","Period=FQ","BEST_FPERIOD_OVERRIDE=FQ","FILING_STATUS=OR","EQY_CONSOLIDATED=Y","FA_ADJUSTED=GAAP","Sort=A","Dates=H","DateFormat=P","Fill=—","Direction=H","UseDPDF=Y")</f>
        <v>#NAME?</v>
      </c>
      <c r="G519" t="e">
        <f ca="1">_xll.BDH($C$503,"RETURN_ON_ASSET","FQ1 2017","FQ1 2017","Currency=INR","Period=FQ","BEST_FPERIOD_OVERRIDE=FQ","FILING_STATUS=OR","EQY_CONSOLIDATED=Y","FA_ADJUSTED=GAAP","Sort=A","Dates=H","DateFormat=P","Fill=—","Direction=H","UseDPDF=Y")</f>
        <v>#NAME?</v>
      </c>
      <c r="H519" t="e">
        <f ca="1">_xll.BDH($C$503,"RETURN_ON_CAP","FQ1 2017","FQ1 2017","Currency=INR","Period=FQ","BEST_FPERIOD_OVERRIDE=FQ","FILING_STATUS=OR","EQY_CONSOLIDATED=Y","FA_ADJUSTED=GAAP","Sort=A","Dates=H","DateFormat=P","Fill=—","Direction=H","UseDPDF=Y")</f>
        <v>#NAME?</v>
      </c>
      <c r="I519" t="e">
        <f ca="1">_xll.BDH($C$503,"RETURN_ON_INV_CAPITAL","FQ1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519" t="e">
        <f ca="1">_xll.BDH($C$503,"EBITDA_TO_REVENUE","FQ1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519" t="e">
        <f ca="1">_xll.BDH($C$503,"OPER_MARGIN","FQ1 2017","FQ1 2017","Currency=INR","Period=FQ","BEST_FPERIOD_OVERRIDE=FQ","FILING_STATUS=OR","EQY_CONSOLIDATED=Y","FA_ADJUSTED=GAAP","Sort=A","Dates=H","DateFormat=P","Fill=—","Direction=H","UseDPDF=Y")</f>
        <v>#NAME?</v>
      </c>
      <c r="L519" t="e">
        <f ca="1">_xll.BDH($C$503,"INCREMENTAL_OPERATING_MARGIN","FQ1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519" t="e">
        <f ca="1">_xll.BDH($C$503,"PRETAX_INC_TO_NET_SALES","FQ1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519" t="e">
        <f ca="1">_xll.BDH($C$503,"INC_BEF_XO_ITEMS_TO_NET_SALES","FQ1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519" t="e">
        <f ca="1">_xll.BDH($C$503,"PROF_MARGIN","FQ1 2017","FQ1 2017","Currency=INR","Period=FQ","BEST_FPERIOD_OVERRIDE=FQ","FILING_STATUS=OR","EQY_CONSOLIDATED=Y","FA_ADJUSTED=GAAP","Sort=A","Dates=H","DateFormat=P","Fill=—","Direction=H","UseDPDF=Y")</f>
        <v>#NAME?</v>
      </c>
      <c r="P519" t="e">
        <f ca="1">_xll.BDH($C$503,"NET_INCOME_TO_COMMON_MARGIN","FQ1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519" t="e">
        <f ca="1">_xll.BDH($C$503,"EFF_TAX_RATE","FQ1 2017","FQ1 2017","Currency=INR","Period=FQ","BEST_FPERIOD_OVERRIDE=FQ","FILING_STATUS=OR","EQY_CONSOLIDATED=Y","FA_ADJUSTED=GAAP","Sort=A","Dates=H","DateFormat=P","Fill=—","Direction=H","UseDPDF=Y")</f>
        <v>#NAME?</v>
      </c>
      <c r="R519" t="e">
        <f ca="1">_xll.BDH($C$503,"DVD_PAYOUT_RATIO","FQ1 2017","FQ1 2017","Currency=INR","Period=FQ","BEST_FPERIOD_OVERRIDE=FQ","FILING_STATUS=OR","EQY_CONSOLIDATED=Y","FA_ADJUSTED=GAAP","Sort=A","Dates=H","DateFormat=P","Fill=—","Direction=H","UseDPDF=Y")</f>
        <v>#NAME?</v>
      </c>
      <c r="S519" t="e">
        <f ca="1">_xll.BDH($C$503,"SUSTAIN_GROWTH_RT","FQ1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519" s="2" t="e">
        <f ca="1">_xll.BDH($C$503,"SALES_GROWTH","FQ1 2017","FQ1 2017","Currency=INR","Period=FQ","BEST_FPERIOD_OVERRIDE=FQ","FILING_STATUS=OR","EQY_CONSOLIDATED=Y","FA_ADJUSTED=GAAP","Sort=A","Dates=H","DateFormat=P","Fill=—","Direction=H","UseDPDF=Y")</f>
        <v>#NAME?</v>
      </c>
      <c r="U519" s="2" t="e">
        <f ca="1">_xll.BDH($C$503,"EBITDA_GROWTH","FQ1 2017","FQ1 2017","Currency=INR","Period=FQ","BEST_FPERIOD_OVERRIDE=FQ","FILING_STATUS=OR","EQY_CONSOLIDATED=Y","FA_ADJUSTED=GAAP","Sort=A","Dates=H","DateFormat=P","Fill=—","Direction=H","UseDPDF=Y")</f>
        <v>#NAME?</v>
      </c>
      <c r="V519" s="2" t="e">
        <f ca="1">_xll.BDH($C$503,"OPER_INC_GROWTH","FQ1 2017","FQ1 2017","Currency=INR","Period=FQ","BEST_FPERIOD_OVERRIDE=FQ","FILING_STATUS=OR","EQY_CONSOLIDATED=Y","FA_ADJUSTED=GAAP","Sort=A","Dates=H","DateFormat=P","Fill=—","Direction=H","UseDPDF=Y")</f>
        <v>#NAME?</v>
      </c>
      <c r="W519" s="2" t="e">
        <f ca="1">_xll.BDH($C$503,"EARN_FOR_COM_GROWTH","FQ1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519" s="2" t="e">
        <f ca="1">_xll.BDH($C$503,"DILUTED_EPS_AFT_XO_ITEMS_GROWTH","FQ1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519" s="2" t="e">
        <f ca="1">_xll.BDH($C$503,"DIVIDEND_PER_SHARE_1_YEAR_GROWTH","FQ1 2017","FQ1 2017","Currency=INR","Period=FQ","BEST_FPERIOD_OVERRIDE=FQ","FILING_STATUS=OR","EQY_CONSOLIDATED=Y","Sort=A","Dates=H","DateFormat=P","Fill=—","Direction=H","UseDPDF=Y")</f>
        <v>#NAME?</v>
      </c>
      <c r="Z519" s="2" t="e">
        <f ca="1">_xll.BDH($C$503,"ACCOUNTS_RECEIVABLE_GROWTH","FQ1 2017","FQ1 2017","Currency=INR","Period=FQ","BEST_FPERIOD_OVERRIDE=FQ","FILING_STATUS=OR","EQY_CONSOLIDATED=Y","Sort=A","Dates=H","DateFormat=P","Fill=—","Direction=H","UseDPDF=Y")</f>
        <v>#NAME?</v>
      </c>
      <c r="AA519" s="2" t="e">
        <f ca="1">_xll.BDH($C$503,"INVENTORY_GROWTH","FQ1 2017","FQ1 2017","Currency=INR","Period=FQ","BEST_FPERIOD_OVERRIDE=FQ","FILING_STATUS=OR","EQY_CONSOLIDATED=Y","Sort=A","Dates=H","DateFormat=P","Fill=—","Direction=H","UseDPDF=Y")</f>
        <v>#NAME?</v>
      </c>
      <c r="AB519" s="2" t="e">
        <f ca="1">_xll.BDH($C$503,"NET_FIXED_ASSETS_1_YEAR_GROWTH","FQ1 2017","FQ1 2017","Currency=INR","Period=FQ","BEST_FPERIOD_OVERRIDE=FQ","FILING_STATUS=OR","EQY_CONSOLIDATED=Y","Sort=A","Dates=H","DateFormat=P","Fill=—","Direction=H","UseDPDF=Y")</f>
        <v>#NAME?</v>
      </c>
      <c r="AC519" s="2" t="e">
        <f ca="1">_xll.BDH($C$503,"ASSET_GROWTH","FQ1 2017","FQ1 2017","Currency=INR","Period=FQ","BEST_FPERIOD_OVERRIDE=FQ","FILING_STATUS=OR","EQY_CONSOLIDATED=Y","Sort=A","Dates=H","DateFormat=P","Fill=—","Direction=H","UseDPDF=Y")</f>
        <v>#NAME?</v>
      </c>
      <c r="AD519" s="2" t="e">
        <f ca="1">_xll.BDH($C$503,"MODIFIED_WORK_CAP_GROWTH","FQ1 2017","FQ1 2017","Currency=INR","Period=FQ","BEST_FPERIOD_OVERRIDE=FQ","FILING_STATUS=OR","EQY_CONSOLIDATED=Y","Sort=A","Dates=H","DateFormat=P","Fill=—","Direction=H","UseDPDF=Y")</f>
        <v>#NAME?</v>
      </c>
      <c r="AE519" s="2" t="e">
        <f ca="1">_xll.BDH($C$503,"WORK_CAP_GROWTH","FQ1 2017","FQ1 2017","Currency=INR","Period=FQ","BEST_FPERIOD_OVERRIDE=FQ","FILING_STATUS=OR","EQY_CONSOLIDATED=Y","Sort=A","Dates=H","DateFormat=P","Fill=—","Direction=H","UseDPDF=Y")</f>
        <v>#NAME?</v>
      </c>
      <c r="AF519" s="2" t="e">
        <f ca="1">_xll.BDH($C$503,"ACCOUNTS_PAYABLE_GROWTH_1YR","FQ1 2017","FQ1 2017","Currency=INR","Period=FQ","BEST_FPERIOD_OVERRIDE=FQ","FILING_STATUS=OR","EQY_CONSOLIDATED=Y","Sort=A","Dates=H","DateFormat=P","Fill=—","Direction=H","UseDPDF=Y")</f>
        <v>#NAME?</v>
      </c>
      <c r="AG519" s="2" t="e">
        <f ca="1">_xll.BDH($C$503,"SHORT_TERM_DEBT_1_YEAR_GROWTH","FQ1 2017","FQ1 2017","Currency=INR","Period=FQ","BEST_FPERIOD_OVERRIDE=FQ","FILING_STATUS=OR","EQY_CONSOLIDATED=Y","Sort=A","Dates=H","DateFormat=P","Fill=—","Direction=H","UseDPDF=Y")</f>
        <v>#NAME?</v>
      </c>
      <c r="AH519" s="2" t="e">
        <f ca="1">_xll.BDH($C$503,"TOTAL_DEBT_1_YEAR_GROWTH","FQ1 2017","FQ1 2017","Currency=INR","Period=FQ","BEST_FPERIOD_OVERRIDE=FQ","FILING_STATUS=OR","EQY_CONSOLIDATED=Y","Sort=A","Dates=H","DateFormat=P","Fill=—","Direction=H","UseDPDF=Y")</f>
        <v>#NAME?</v>
      </c>
      <c r="AI519" s="2" t="e">
        <f ca="1">_xll.BDH($C$503,"TOTAL_EQUITY_1_YEAR_GROWTH","FQ1 2017","FQ1 2017","Currency=INR","Period=FQ","BEST_FPERIOD_OVERRIDE=FQ","FILING_STATUS=OR","EQY_CONSOLIDATED=Y","Sort=A","Dates=H","DateFormat=P","Fill=—","Direction=H","UseDPDF=Y")</f>
        <v>#NAME?</v>
      </c>
      <c r="AJ519" s="2" t="e">
        <f ca="1">_xll.BDH($C$503,"GROWTH_IN_CAP","FQ1 2017","FQ1 2017","Currency=INR","Period=FQ","BEST_FPERIOD_OVERRIDE=FQ","FILING_STATUS=OR","EQY_CONSOLIDATED=Y","Sort=A","Dates=H","DateFormat=P","Fill=—","Direction=H","UseDPDF=Y")</f>
        <v>#NAME?</v>
      </c>
      <c r="AK519" s="2" t="e">
        <f ca="1">_xll.BDH($C$503,"BVPS_GROWTH","FQ1 2017","FQ1 2017","Currency=INR","Period=FQ","BEST_FPERIOD_OVERRIDE=FQ","FILING_STATUS=OR","EQY_CONSOLIDATED=Y","Sort=A","Dates=H","DateFormat=P","Fill=—","Direction=H","UseDPDF=Y")</f>
        <v>#NAME?</v>
      </c>
      <c r="AL519" s="2" t="e">
        <f ca="1">_xll.BDH($C$503,"CASH_FLOW_GROWTH","FQ1 2017","FQ1 2017","Currency=INR","Period=FQ","BEST_FPERIOD_OVERRIDE=FQ","FILING_STATUS=OR","EQY_CONSOLIDATED=Y","Sort=A","Dates=H","DateFormat=P","Fill=—","Direction=H","UseDPDF=Y")</f>
        <v>#NAME?</v>
      </c>
      <c r="AM519" s="2" t="e">
        <f ca="1">_xll.BDH($C$503,"GEO_GROW_NET_SALES","FQ1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519" s="2" t="e">
        <f ca="1">_xll.BDH($C$503,"GEO_GROW_EBITDA","FQ1 2017","FQ1 2017","Currency=INR","Period=FQ","BEST_FPERIOD_OVERRIDE=FQ","FILING_STATUS=OR","EQY_CONSOLIDATED=Y","FA_ADJUSTED=GAAP","Sort=A","Dates=H","DateFormat=P","Fill=—","Direction=H","UseDPDF=Y")</f>
        <v>#NAME?</v>
      </c>
      <c r="AO519" s="2" t="e">
        <f ca="1">_xll.BDH($C$503,"GEO_GROW_OPER_INC","FQ1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519" s="2" t="e">
        <f ca="1">_xll.BDH($C$503,"NET_INCOME_TO_COMMON_5_YR_GROWTH","FQ1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519" s="2" t="e">
        <f ca="1">_xll.BDH($C$503,"5Y_GEO_GROWTH_DILUTED_EPS","FQ1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519" s="2" t="e">
        <f ca="1">_xll.BDH($C$503,"GEO_GROW_DVD_PER_SH","FQ1 2017","FQ1 2017","Currency=INR","Period=FQ","BEST_FPERIOD_OVERRIDE=FQ","FILING_STATUS=OR","EQY_CONSOLIDATED=Y","Sort=A","Dates=H","DateFormat=P","Fill=—","Direction=H","UseDPDF=Y")</f>
        <v>#NAME?</v>
      </c>
      <c r="AS519" s="2" t="e">
        <f ca="1">_xll.BDH($C$503,"ACCOUNTS_RECEIVABLE_5_YR_GROWTH","FQ1 2017","FQ1 2017","Currency=INR","Period=FQ","BEST_FPERIOD_OVERRIDE=FQ","FILING_STATUS=OR","EQY_CONSOLIDATED=Y","Sort=A","Dates=H","DateFormat=P","Fill=—","Direction=H","UseDPDF=Y")</f>
        <v>#NAME?</v>
      </c>
      <c r="AT519" s="2" t="e">
        <f ca="1">_xll.BDH($C$503,"INVENTORY_5_YEAR_GROWTH","FQ1 2017","FQ1 2017","Currency=INR","Period=FQ","BEST_FPERIOD_OVERRIDE=FQ","FILING_STATUS=OR","EQY_CONSOLIDATED=Y","Sort=A","Dates=H","DateFormat=P","Fill=—","Direction=H","UseDPDF=Y")</f>
        <v>#NAME?</v>
      </c>
      <c r="AU519" s="2" t="e">
        <f ca="1">_xll.BDH($C$503,"NET_FIXED_ASSETS_5_YEAR_GROWTH","FQ1 2017","FQ1 2017","Currency=INR","Period=FQ","BEST_FPERIOD_OVERRIDE=FQ","FILING_STATUS=OR","EQY_CONSOLIDATED=Y","Sort=A","Dates=H","DateFormat=P","Fill=—","Direction=H","UseDPDF=Y")</f>
        <v>#NAME?</v>
      </c>
      <c r="AV519" s="2" t="e">
        <f ca="1">_xll.BDH($C$503,"GEO_GROW_TOT_ASSET","FQ1 2017","FQ1 2017","Currency=INR","Period=FQ","BEST_FPERIOD_OVERRIDE=FQ","FILING_STATUS=OR","EQY_CONSOLIDATED=Y","Sort=A","Dates=H","DateFormat=P","Fill=—","Direction=H","UseDPDF=Y")</f>
        <v>#NAME?</v>
      </c>
      <c r="AW519" s="2" t="e">
        <f ca="1">_xll.BDH($C$503,"MODIFIED_WORKING_CPTL_5YR_GRWTH","FQ1 2017","FQ1 2017","Currency=INR","Period=FQ","BEST_FPERIOD_OVERRIDE=FQ","FILING_STATUS=OR","EQY_CONSOLIDATED=Y","Sort=A","Dates=H","DateFormat=P","Fill=—","Direction=H","UseDPDF=Y")</f>
        <v>#NAME?</v>
      </c>
      <c r="AX519" s="2" t="e">
        <f ca="1">_xll.BDH($C$503,"WORKING_CAPITAL_5_YEAR_GROWTH","FQ1 2017","FQ1 2017","Currency=INR","Period=FQ","BEST_FPERIOD_OVERRIDE=FQ","FILING_STATUS=OR","EQY_CONSOLIDATED=Y","Sort=A","Dates=H","DateFormat=P","Fill=—","Direction=H","UseDPDF=Y")</f>
        <v>#NAME?</v>
      </c>
      <c r="AY519" s="2" t="e">
        <f ca="1">_xll.BDH($C$503,"ACCOUNTS_PAYABLE_5_YEAR_GROWTH","FQ1 2017","FQ1 2017","Currency=INR","Period=FQ","BEST_FPERIOD_OVERRIDE=FQ","FILING_STATUS=OR","EQY_CONSOLIDATED=Y","Sort=A","Dates=H","DateFormat=P","Fill=—","Direction=H","UseDPDF=Y")</f>
        <v>#NAME?</v>
      </c>
      <c r="AZ519" s="2" t="e">
        <f ca="1">_xll.BDH($C$503,"SHORT_TERM_DEBT_5_YEAR_GROWTH","FQ1 2017","FQ1 2017","Currency=INR","Period=FQ","BEST_FPERIOD_OVERRIDE=FQ","FILING_STATUS=OR","EQY_CONSOLIDATED=Y","Sort=A","Dates=H","DateFormat=P","Fill=—","Direction=H","UseDPDF=Y")</f>
        <v>#NAME?</v>
      </c>
      <c r="BA519" s="2" t="e">
        <f ca="1">_xll.BDH($C$503,"TOTAL_DEBT_5_YEAR_GROWTH","FQ1 2017","FQ1 2017","Currency=INR","Period=FQ","BEST_FPERIOD_OVERRIDE=FQ","FILING_STATUS=OR","EQY_CONSOLIDATED=Y","Sort=A","Dates=H","DateFormat=P","Fill=—","Direction=H","UseDPDF=Y")</f>
        <v>#NAME?</v>
      </c>
      <c r="BB519" s="2" t="e">
        <f ca="1">_xll.BDH($C$503,"GEO_GROW_TOT_SHRHLDR_EQY","FQ1 2017","FQ1 2017","Currency=INR","Period=FQ","BEST_FPERIOD_OVERRIDE=FQ","FILING_STATUS=OR","EQY_CONSOLIDATED=Y","Sort=A","Dates=H","DateFormat=P","Fill=—","Direction=H","UseDPDF=Y")</f>
        <v>#NAME?</v>
      </c>
      <c r="BC519" s="2" t="e">
        <f ca="1">_xll.BDH($C$503,"TOTAL_CAPITAL_5_YEAR_GROWTH","FQ1 2017","FQ1 2017","Currency=INR","Period=FQ","BEST_FPERIOD_OVERRIDE=FQ","FILING_STATUS=OR","EQY_CONSOLIDATED=Y","Sort=A","Dates=H","DateFormat=P","Fill=—","Direction=H","UseDPDF=Y")</f>
        <v>#NAME?</v>
      </c>
      <c r="BD519" s="2" t="e">
        <f ca="1">_xll.BDH($C$503,"GEO_GROW_BOOK_VAL","FQ1 2017","FQ1 2017","Currency=INR","Period=FQ","BEST_FPERIOD_OVERRIDE=FQ","FILING_STATUS=OR","EQY_CONSOLIDATED=Y","Sort=A","Dates=H","DateFormat=P","Fill=—","Direction=H","UseDPDF=Y")</f>
        <v>#NAME?</v>
      </c>
      <c r="BE519" s="2" t="e">
        <f ca="1">_xll.BDH($C$503,"GEO_GROW_CASH_OPER_ACT","FQ1 2017","FQ1 2017","Currency=INR","Period=FQ","BEST_FPERIOD_OVERRIDE=FQ","FILING_STATUS=OR","EQY_CONSOLIDATED=Y","Sort=A","Dates=H","DateFormat=P","Fill=—","Direction=H","UseDPDF=Y")</f>
        <v>#NAME?</v>
      </c>
      <c r="BF519" s="2" t="e">
        <f ca="1">_xll.BDH($C$503,"REVENUE_SEQUENTIAL_GROWTH","FQ1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519" s="2" t="e">
        <f ca="1">_xll.BDH($C$503,"EBITDA_SEQUENTIAL_GROWTH","FQ1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519" s="2" t="e">
        <f ca="1">_xll.BDH($C$503,"OPERATING_INCOME_SEQ_GROWTH","FQ1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519" s="2" t="e">
        <f ca="1">_xll.BDH($C$503,"NET_INCOME_TO_COMMON_SEQ_GROWTH","FQ1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519" s="2" t="e">
        <f ca="1">_xll.BDH($C$503,"EPS_DILUTED_SEQUENTIAL_GROWTH","FQ1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519" s="2" t="e">
        <f ca="1">_xll.BDH($C$503,"DPS_SEQUENTIAL_GROWTH","FQ1 2017","FQ1 2017","Currency=INR","Period=FQ","BEST_FPERIOD_OVERRIDE=FQ","FILING_STATUS=OR","EQY_CONSOLIDATED=Y","Sort=A","Dates=H","DateFormat=P","Fill=—","Direction=H","UseDPDF=Y")</f>
        <v>#NAME?</v>
      </c>
      <c r="BL519" s="2" t="e">
        <f ca="1">_xll.BDH($C$503,"ACCOUNTS_RECEIVABLE_SEQ_GROWTH","FQ1 2017","FQ1 2017","Currency=INR","Period=FQ","BEST_FPERIOD_OVERRIDE=FQ","FILING_STATUS=OR","EQY_CONSOLIDATED=Y","Sort=A","Dates=H","DateFormat=P","Fill=—","Direction=H","UseDPDF=Y")</f>
        <v>#NAME?</v>
      </c>
      <c r="BM519" s="2" t="e">
        <f ca="1">_xll.BDH($C$503,"INVENTORY_SEQUENTIAL_GROWTH","FQ1 2017","FQ1 2017","Currency=INR","Period=FQ","BEST_FPERIOD_OVERRIDE=FQ","FILING_STATUS=OR","EQY_CONSOLIDATED=Y","Sort=A","Dates=H","DateFormat=P","Fill=—","Direction=H","UseDPDF=Y")</f>
        <v>#NAME?</v>
      </c>
      <c r="BN519" s="2" t="e">
        <f ca="1">_xll.BDH($C$503,"FIXED_ASSETS_SEQUENTIAL_GROWTH","FQ1 2017","FQ1 2017","Currency=INR","Period=FQ","BEST_FPERIOD_OVERRIDE=FQ","FILING_STATUS=OR","EQY_CONSOLIDATED=Y","Sort=A","Dates=H","DateFormat=P","Fill=—","Direction=H","UseDPDF=Y")</f>
        <v>#NAME?</v>
      </c>
      <c r="BO519" s="2" t="e">
        <f ca="1">_xll.BDH($C$503,"TOTAL_ASSETS_SEQUENTIAL_GROWTH","FQ1 2017","FQ1 2017","Currency=INR","Period=FQ","BEST_FPERIOD_OVERRIDE=FQ","FILING_STATUS=OR","EQY_CONSOLIDATED=Y","Sort=A","Dates=H","DateFormat=P","Fill=—","Direction=H","UseDPDF=Y")</f>
        <v>#NAME?</v>
      </c>
      <c r="BP519" s="2" t="e">
        <f ca="1">_xll.BDH($C$503,"MODIFIED_WORKING_CPTL_SEQ_GRWTH","FQ1 2017","FQ1 2017","Currency=INR","Period=FQ","BEST_FPERIOD_OVERRIDE=FQ","FILING_STATUS=OR","EQY_CONSOLIDATED=Y","Sort=A","Dates=H","DateFormat=P","Fill=—","Direction=H","UseDPDF=Y")</f>
        <v>#NAME?</v>
      </c>
      <c r="BQ519" s="2" t="e">
        <f ca="1">_xll.BDH($C$503,"WORKING_CAPITAL_SEQ_GROWTH","FQ1 2017","FQ1 2017","Currency=INR","Period=FQ","BEST_FPERIOD_OVERRIDE=FQ","FILING_STATUS=OR","EQY_CONSOLIDATED=Y","Sort=A","Dates=H","DateFormat=P","Fill=—","Direction=H","UseDPDF=Y")</f>
        <v>#NAME?</v>
      </c>
      <c r="BR519" s="2" t="e">
        <f ca="1">_xll.BDH($C$503,"ACCOUNTS_PAYABLE_SEQ_GROWTH","FQ1 2017","FQ1 2017","Currency=INR","Period=FQ","BEST_FPERIOD_OVERRIDE=FQ","FILING_STATUS=OR","EQY_CONSOLIDATED=Y","Sort=A","Dates=H","DateFormat=P","Fill=—","Direction=H","UseDPDF=Y")</f>
        <v>#NAME?</v>
      </c>
      <c r="BS519" s="2" t="e">
        <f ca="1">_xll.BDH($C$503,"ST_DEBT_SEQUENTIAL_GROWTH","FQ1 2017","FQ1 2017","Currency=INR","Period=FQ","BEST_FPERIOD_OVERRIDE=FQ","FILING_STATUS=OR","EQY_CONSOLIDATED=Y","Sort=A","Dates=H","DateFormat=P","Fill=—","Direction=H","UseDPDF=Y")</f>
        <v>#NAME?</v>
      </c>
      <c r="BT519" s="2" t="e">
        <f ca="1">_xll.BDH($C$503,"TOTAL_DEBT_SEQUENTIAL_GROWTH","FQ1 2017","FQ1 2017","Currency=INR","Period=FQ","BEST_FPERIOD_OVERRIDE=FQ","FILING_STATUS=OR","EQY_CONSOLIDATED=Y","Sort=A","Dates=H","DateFormat=P","Fill=—","Direction=H","UseDPDF=Y")</f>
        <v>#NAME?</v>
      </c>
      <c r="BU519" s="2" t="e">
        <f ca="1">_xll.BDH($C$503,"TOTAL_EQUITY_SEQUENTIAL_GROWTH","FQ1 2017","FQ1 2017","Currency=INR","Period=FQ","BEST_FPERIOD_OVERRIDE=FQ","FILING_STATUS=OR","EQY_CONSOLIDATED=Y","Sort=A","Dates=H","DateFormat=P","Fill=—","Direction=H","UseDPDF=Y")</f>
        <v>#NAME?</v>
      </c>
      <c r="BV519" s="2" t="e">
        <f ca="1">_xll.BDH($C$503,"TOTAL_CAPITAL_SEQUENTIAL_GROWTH","FQ1 2017","FQ1 2017","Currency=INR","Period=FQ","BEST_FPERIOD_OVERRIDE=FQ","FILING_STATUS=OR","EQY_CONSOLIDATED=Y","Sort=A","Dates=H","DateFormat=P","Fill=—","Direction=H","UseDPDF=Y")</f>
        <v>#NAME?</v>
      </c>
      <c r="BW519" s="2" t="e">
        <f ca="1">_xll.BDH($C$503,"BPS_SEQUENTIAL_GROWTH","FQ1 2017","FQ1 2017","Currency=INR","Period=FQ","BEST_FPERIOD_OVERRIDE=FQ","FILING_STATUS=OR","EQY_CONSOLIDATED=Y","Sort=A","Dates=H","DateFormat=P","Fill=—","Direction=H","UseDPDF=Y")</f>
        <v>#NAME?</v>
      </c>
      <c r="BX519" s="2" t="e">
        <f ca="1">_xll.BDH($C$503,"CFO_SEQUENTIAL_GROWTH","FQ1 2017","FQ1 2017","Currency=INR","Period=FQ","BEST_FPERIOD_OVERRIDE=FQ","FILING_STATUS=OR","EQY_CONSOLIDATED=Y","Sort=A","Dates=H","DateFormat=P","Fill=—","Direction=H","UseDPDF=Y")</f>
        <v>#NAME?</v>
      </c>
      <c r="BY519" s="3" t="e">
        <f ca="1">_xll.BDH($C$503,"SHORT_AND_LONG_TERM_DEBT","FQ1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519" s="3" t="e">
        <f ca="1">_xll.BDH($C$503,"BS_ST_BORROW","FQ1 2017","FQ1 2017","Currency=INR","Period=FQ","BEST_FPERIOD_OVERRIDE=FQ","FILING_STATUS=OR","EQY_CONSOLIDATED=Y","SCALING_FORMAT=MLN","Sort=A","Dates=H","DateFormat=P","Fill=—","Direction=H","UseDPDF=Y")</f>
        <v>#NAME?</v>
      </c>
      <c r="CA519" s="3" t="e">
        <f ca="1">_xll.BDH($C$503,"BS_LT_BORROW","FQ1 2017","FQ1 2017","Currency=INR","Period=FQ","BEST_FPERIOD_OVERRIDE=FQ","FILING_STATUS=OR","EQY_CONSOLIDATED=Y","SCALING_FORMAT=MLN","Sort=A","Dates=H","DateFormat=P","Fill=—","Direction=H","UseDPDF=Y")</f>
        <v>#NAME?</v>
      </c>
      <c r="CB519" s="2" t="e">
        <f ca="1">_xll.BDH($C$503,"TOT_DEBT_TO_EBITDA","FQ1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519" s="2" t="e">
        <f ca="1">_xll.BDH($C$503,"NET_DEBT_TO_EBITDA","FQ1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519" s="2" t="e">
        <f ca="1">_xll.BDH($C$503,"TOTAL_DEBT_TO_EBIT","FQ1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519" s="2" t="e">
        <f ca="1">_xll.BDH($C$503,"NET_DEBT_TO_EBIT","FQ1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519" s="2" t="e">
        <f ca="1">_xll.BDH($C$503,"EBITDA_TO_INTEREST_EXPN","FQ1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519" s="2" t="e">
        <f ca="1">_xll.BDH($C$503,"COM_EQY_TO_TOT_ASSET","FQ1 2017","FQ1 2017","Currency=INR","Period=FQ","BEST_FPERIOD_OVERRIDE=FQ","FILING_STATUS=OR","EQY_CONSOLIDATED=Y","Sort=A","Dates=H","DateFormat=P","Fill=—","Direction=H","UseDPDF=Y")</f>
        <v>#NAME?</v>
      </c>
      <c r="CH519" s="2" t="e">
        <f ca="1">_xll.BDH($C$503,"LT_DEBT_TO_TOT_EQY","FQ1 2017","FQ1 2017","Currency=INR","Period=FQ","BEST_FPERIOD_OVERRIDE=FQ","FILING_STATUS=OR","EQY_CONSOLIDATED=Y","Sort=A","Dates=H","DateFormat=P","Fill=—","Direction=H","UseDPDF=Y")</f>
        <v>#NAME?</v>
      </c>
      <c r="CI519" s="2" t="e">
        <f ca="1">_xll.BDH($C$503,"LT_DEBT_TO_TOT_CAP","FQ1 2017","FQ1 2017","Currency=INR","Period=FQ","BEST_FPERIOD_OVERRIDE=FQ","FILING_STATUS=OR","EQY_CONSOLIDATED=Y","Sort=A","Dates=H","DateFormat=P","Fill=—","Direction=H","UseDPDF=Y")</f>
        <v>#NAME?</v>
      </c>
      <c r="CJ519" s="2" t="e">
        <f ca="1">_xll.BDH($C$503,"LT_DEBT_TO_TOT_ASSET","FQ1 2017","FQ1 2017","Currency=INR","Period=FQ","BEST_FPERIOD_OVERRIDE=FQ","FILING_STATUS=OR","EQY_CONSOLIDATED=Y","Sort=A","Dates=H","DateFormat=P","Fill=—","Direction=H","UseDPDF=Y")</f>
        <v>#NAME?</v>
      </c>
      <c r="CK519" s="2" t="e">
        <f ca="1">_xll.BDH($C$503,"TOT_DEBT_TO_TOT_EQY","FQ1 2017","FQ1 2017","Currency=INR","Period=FQ","BEST_FPERIOD_OVERRIDE=FQ","FILING_STATUS=OR","EQY_CONSOLIDATED=Y","Sort=A","Dates=H","DateFormat=P","Fill=—","Direction=H","UseDPDF=Y")</f>
        <v>#NAME?</v>
      </c>
      <c r="CL519" s="2" t="e">
        <f ca="1">_xll.BDH($C$503,"TOT_DEBT_TO_TOT_CAP","FQ1 2017","FQ1 2017","Currency=INR","Period=FQ","BEST_FPERIOD_OVERRIDE=FQ","FILING_STATUS=OR","EQY_CONSOLIDATED=Y","Sort=A","Dates=H","DateFormat=P","Fill=—","Direction=H","UseDPDF=Y")</f>
        <v>#NAME?</v>
      </c>
      <c r="CM519" s="2" t="e">
        <f ca="1">_xll.BDH($C$503,"TOT_DEBT_TO_TOT_ASSET","FQ1 2017","FQ1 2017","Currency=INR","Period=FQ","BEST_FPERIOD_OVERRIDE=FQ","FILING_STATUS=OR","EQY_CONSOLIDATED=Y","Sort=A","Dates=H","DateFormat=P","Fill=—","Direction=H","UseDPDF=Y")</f>
        <v>#NAME?</v>
      </c>
      <c r="CN519" s="2" t="e">
        <f ca="1">_xll.BDH($C$503,"NET_DEBT_TO_SHRHLDR_EQTY","FQ1 2017","FQ1 2017","Currency=INR","Period=FQ","BEST_FPERIOD_OVERRIDE=FQ","FILING_STATUS=OR","EQY_CONSOLIDATED=Y","Sort=A","Dates=H","DateFormat=P","Fill=—","Direction=H","UseDPDF=Y")</f>
        <v>#NAME?</v>
      </c>
      <c r="CO519" s="2" t="e">
        <f ca="1">_xll.BDH($C$503,"NET_DEBT_%_CAPITAL","FQ1 2017","FQ1 2017","Currency=INR","Period=FQ","BEST_FPERIOD_OVERRIDE=FQ","FILING_STATUS=OR","EQY_CONSOLIDATED=Y","Sort=A","Dates=H","DateFormat=P","Fill=—","Direction=H","UseDPDF=Y")</f>
        <v>#NAME?</v>
      </c>
      <c r="CP519" s="3" t="e">
        <f ca="1">_xll.BDH($C$503,"EBITDA","FQ1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519" s="3" t="e">
        <f ca="1">_xll.BDH($C$503,"EBITDA_AFTER_CAPEX","FQ1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519" s="3" t="e">
        <f ca="1">_xll.BDH($C$503,"IS_OPER_INC","FQ1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519" s="2" t="e">
        <f ca="1">_xll.BDH($C$503,"CASH_RATIO","FQ1 2017","FQ1 2017","Currency=INR","Period=FQ","BEST_FPERIOD_OVERRIDE=FQ","FILING_STATUS=OR","EQY_CONSOLIDATED=Y","Sort=A","Dates=H","DateFormat=P","Fill=—","Direction=H","UseDPDF=Y")</f>
        <v>#NAME?</v>
      </c>
      <c r="CT519" s="2" t="e">
        <f ca="1">_xll.BDH($C$503,"CUR_RATIO","FQ1 2017","FQ1 2017","Currency=INR","Period=FQ","BEST_FPERIOD_OVERRIDE=FQ","FILING_STATUS=OR","EQY_CONSOLIDATED=Y","Sort=A","Dates=H","DateFormat=P","Fill=—","Direction=H","UseDPDF=Y")</f>
        <v>#NAME?</v>
      </c>
      <c r="CU519" s="2" t="e">
        <f ca="1">_xll.BDH($C$503,"QUICK_RATIO","FQ1 2017","FQ1 2017","Currency=INR","Period=FQ","BEST_FPERIOD_OVERRIDE=FQ","FILING_STATUS=OR","EQY_CONSOLIDATED=Y","Sort=A","Dates=H","DateFormat=P","Fill=—","Direction=H","UseDPDF=Y")</f>
        <v>#NAME?</v>
      </c>
      <c r="CV519" s="2" t="e">
        <f ca="1">_xll.BDH($C$503,"ALTMAN_Z_SCORE","FQ1 2017","FQ1 2017","Currency=INR","Period=FQ","BEST_FPERIOD_OVERRIDE=FQ","FILING_STATUS=OR","EQY_CONSOLIDATED=Y","Sort=A","Dates=H","DateFormat=P","Fill=—","Direction=H","UseDPDF=Y")</f>
        <v>#NAME?</v>
      </c>
      <c r="CW519" s="4" t="e">
        <f ca="1">_xll.BDH($C$503,"ACCT_RCV_TURN","FQ1 2017","FQ1 2017","Currency=INR","Period=FQ","BEST_FPERIOD_OVERRIDE=FQ","FILING_STATUS=OR","EQY_CONSOLIDATED=Y","FA_ADJUSTED=GAAP","Sort=A","Dates=H","DateFormat=P","Fill=—","Direction=H","UseDPDF=Y")</f>
        <v>#NAME?</v>
      </c>
      <c r="CX519" s="2" t="e">
        <f ca="1">_xll.BDH($C$503,"ACCT_RCV_DAYS","FQ1 2017","FQ1 2017","Currency=INR","Period=FQ","BEST_FPERIOD_OVERRIDE=FQ","FILING_STATUS=OR","EQY_CONSOLIDATED=Y","FA_ADJUSTED=GAAP","Sort=A","Dates=H","DateFormat=P","Fill=—","Direction=H","UseDPDF=Y")</f>
        <v>#NAME?</v>
      </c>
      <c r="CY519" s="4" t="e">
        <f ca="1">_xll.BDH($C$503,"INVENT_TURN","FQ1 2017","FQ1 2017","Currency=INR","Period=FQ","BEST_FPERIOD_OVERRIDE=FQ","FILING_STATUS=OR","EQY_CONSOLIDATED=Y","FA_ADJUSTED=GAAP","Sort=A","Dates=H","DateFormat=P","Fill=—","Direction=H","UseDPDF=Y")</f>
        <v>#NAME?</v>
      </c>
      <c r="CZ519" s="2" t="e">
        <f ca="1">_xll.BDH($C$503,"INVENT_DAYS","FQ1 2017","FQ1 2017","Currency=INR","Period=FQ","BEST_FPERIOD_OVERRIDE=FQ","FILING_STATUS=OR","EQY_CONSOLIDATED=Y","FA_ADJUSTED=GAAP","Sort=A","Dates=H","DateFormat=P","Fill=—","Direction=H","UseDPDF=Y")</f>
        <v>#NAME?</v>
      </c>
      <c r="DA519" s="4" t="e">
        <f ca="1">_xll.BDH($C$503,"ACCOUNTS_PAYABLE_TURNOVER","FQ1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519" s="2" t="e">
        <f ca="1">_xll.BDH($C$503,"ACCOUNTS_PAYABLE_TURNOVER_DAYS","FQ1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519" s="4" t="e">
        <f ca="1">_xll.BDH($C$503,"CASH_CONVERSION_CYCLE","FQ1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519" s="4" t="e">
        <f ca="1">_xll.BDH($C$503,"INV_TO_CASH_DAYS","FQ1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519" s="5" t="e">
        <f ca="1">_xll.BDH($C$503,"BS_INVENTORIES","FQ1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519" s="3" t="e">
        <f ca="1">_xll.BDH($C$503,"INVTRY_RAW_MATERIALS","FQ1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519" s="3" t="e">
        <f ca="1">_xll.BDH($C$503,"INVTRY_IN_PROGRESS","FQ1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519" s="3" t="e">
        <f ca="1">_xll.BDH($C$503,"INVTRY_FINISHED_GOODS","FQ1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519" s="3" t="e">
        <f ca="1">_xll.BDH($C$503,"BS_OTHER_INV","FQ1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520" spans="1:113" x14ac:dyDescent="0.3">
      <c r="A520" s="6"/>
      <c r="B520" s="6"/>
      <c r="C520" s="6"/>
      <c r="D520" s="6"/>
      <c r="E520" t="s">
        <v>79</v>
      </c>
      <c r="F520" t="e">
        <f ca="1">_xll.BDH($C$503,"RETURN_COM_EQY","FQ2 2017","FQ2 2017","Currency=INR","Period=FQ","BEST_FPERIOD_OVERRIDE=FQ","FILING_STATUS=OR","EQY_CONSOLIDATED=Y","FA_ADJUSTED=GAAP","Sort=A","Dates=H","DateFormat=P","Fill=—","Direction=H","UseDPDF=Y")</f>
        <v>#NAME?</v>
      </c>
      <c r="G520" t="e">
        <f ca="1">_xll.BDH($C$503,"RETURN_ON_ASSET","FQ2 2017","FQ2 2017","Currency=INR","Period=FQ","BEST_FPERIOD_OVERRIDE=FQ","FILING_STATUS=OR","EQY_CONSOLIDATED=Y","FA_ADJUSTED=GAAP","Sort=A","Dates=H","DateFormat=P","Fill=—","Direction=H","UseDPDF=Y")</f>
        <v>#NAME?</v>
      </c>
      <c r="H520" t="e">
        <f ca="1">_xll.BDH($C$503,"RETURN_ON_CAP","FQ2 2017","FQ2 2017","Currency=INR","Period=FQ","BEST_FPERIOD_OVERRIDE=FQ","FILING_STATUS=OR","EQY_CONSOLIDATED=Y","FA_ADJUSTED=GAAP","Sort=A","Dates=H","DateFormat=P","Fill=—","Direction=H","UseDPDF=Y")</f>
        <v>#NAME?</v>
      </c>
      <c r="I520" t="e">
        <f ca="1">_xll.BDH($C$503,"RETURN_ON_INV_CAPITAL","FQ2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520" t="e">
        <f ca="1">_xll.BDH($C$503,"EBITDA_TO_REVENUE","FQ2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520" t="e">
        <f ca="1">_xll.BDH($C$503,"OPER_MARGIN","FQ2 2017","FQ2 2017","Currency=INR","Period=FQ","BEST_FPERIOD_OVERRIDE=FQ","FILING_STATUS=OR","EQY_CONSOLIDATED=Y","FA_ADJUSTED=GAAP","Sort=A","Dates=H","DateFormat=P","Fill=—","Direction=H","UseDPDF=Y")</f>
        <v>#NAME?</v>
      </c>
      <c r="L520" t="e">
        <f ca="1">_xll.BDH($C$503,"INCREMENTAL_OPERATING_MARGIN","FQ2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520" t="e">
        <f ca="1">_xll.BDH($C$503,"PRETAX_INC_TO_NET_SALES","FQ2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520" t="e">
        <f ca="1">_xll.BDH($C$503,"INC_BEF_XO_ITEMS_TO_NET_SALES","FQ2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520" t="e">
        <f ca="1">_xll.BDH($C$503,"PROF_MARGIN","FQ2 2017","FQ2 2017","Currency=INR","Period=FQ","BEST_FPERIOD_OVERRIDE=FQ","FILING_STATUS=OR","EQY_CONSOLIDATED=Y","FA_ADJUSTED=GAAP","Sort=A","Dates=H","DateFormat=P","Fill=—","Direction=H","UseDPDF=Y")</f>
        <v>#NAME?</v>
      </c>
      <c r="P520" t="e">
        <f ca="1">_xll.BDH($C$503,"NET_INCOME_TO_COMMON_MARGIN","FQ2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520" t="e">
        <f ca="1">_xll.BDH($C$503,"EFF_TAX_RATE","FQ2 2017","FQ2 2017","Currency=INR","Period=FQ","BEST_FPERIOD_OVERRIDE=FQ","FILING_STATUS=OR","EQY_CONSOLIDATED=Y","FA_ADJUSTED=GAAP","Sort=A","Dates=H","DateFormat=P","Fill=—","Direction=H","UseDPDF=Y")</f>
        <v>#NAME?</v>
      </c>
      <c r="R520" t="e">
        <f ca="1">_xll.BDH($C$503,"DVD_PAYOUT_RATIO","FQ2 2017","FQ2 2017","Currency=INR","Period=FQ","BEST_FPERIOD_OVERRIDE=FQ","FILING_STATUS=OR","EQY_CONSOLIDATED=Y","FA_ADJUSTED=GAAP","Sort=A","Dates=H","DateFormat=P","Fill=—","Direction=H","UseDPDF=Y")</f>
        <v>#NAME?</v>
      </c>
      <c r="S520" t="e">
        <f ca="1">_xll.BDH($C$503,"SUSTAIN_GROWTH_RT","FQ2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520" s="2" t="e">
        <f ca="1">_xll.BDH($C$503,"SALES_GROWTH","FQ2 2017","FQ2 2017","Currency=INR","Period=FQ","BEST_FPERIOD_OVERRIDE=FQ","FILING_STATUS=OR","EQY_CONSOLIDATED=Y","FA_ADJUSTED=GAAP","Sort=A","Dates=H","DateFormat=P","Fill=—","Direction=H","UseDPDF=Y")</f>
        <v>#NAME?</v>
      </c>
      <c r="U520" s="2" t="e">
        <f ca="1">_xll.BDH($C$503,"EBITDA_GROWTH","FQ2 2017","FQ2 2017","Currency=INR","Period=FQ","BEST_FPERIOD_OVERRIDE=FQ","FILING_STATUS=OR","EQY_CONSOLIDATED=Y","FA_ADJUSTED=GAAP","Sort=A","Dates=H","DateFormat=P","Fill=—","Direction=H","UseDPDF=Y")</f>
        <v>#NAME?</v>
      </c>
      <c r="V520" s="2" t="e">
        <f ca="1">_xll.BDH($C$503,"OPER_INC_GROWTH","FQ2 2017","FQ2 2017","Currency=INR","Period=FQ","BEST_FPERIOD_OVERRIDE=FQ","FILING_STATUS=OR","EQY_CONSOLIDATED=Y","FA_ADJUSTED=GAAP","Sort=A","Dates=H","DateFormat=P","Fill=—","Direction=H","UseDPDF=Y")</f>
        <v>#NAME?</v>
      </c>
      <c r="W520" s="2" t="e">
        <f ca="1">_xll.BDH($C$503,"EARN_FOR_COM_GROWTH","FQ2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520" s="2" t="e">
        <f ca="1">_xll.BDH($C$503,"DILUTED_EPS_AFT_XO_ITEMS_GROWTH","FQ2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520" s="2" t="e">
        <f ca="1">_xll.BDH($C$503,"DIVIDEND_PER_SHARE_1_YEAR_GROWTH","FQ2 2017","FQ2 2017","Currency=INR","Period=FQ","BEST_FPERIOD_OVERRIDE=FQ","FILING_STATUS=OR","EQY_CONSOLIDATED=Y","Sort=A","Dates=H","DateFormat=P","Fill=—","Direction=H","UseDPDF=Y")</f>
        <v>#NAME?</v>
      </c>
      <c r="Z520" s="2" t="e">
        <f ca="1">_xll.BDH($C$503,"ACCOUNTS_RECEIVABLE_GROWTH","FQ2 2017","FQ2 2017","Currency=INR","Period=FQ","BEST_FPERIOD_OVERRIDE=FQ","FILING_STATUS=OR","EQY_CONSOLIDATED=Y","Sort=A","Dates=H","DateFormat=P","Fill=—","Direction=H","UseDPDF=Y")</f>
        <v>#NAME?</v>
      </c>
      <c r="AA520" s="2" t="e">
        <f ca="1">_xll.BDH($C$503,"INVENTORY_GROWTH","FQ2 2017","FQ2 2017","Currency=INR","Period=FQ","BEST_FPERIOD_OVERRIDE=FQ","FILING_STATUS=OR","EQY_CONSOLIDATED=Y","Sort=A","Dates=H","DateFormat=P","Fill=—","Direction=H","UseDPDF=Y")</f>
        <v>#NAME?</v>
      </c>
      <c r="AB520" s="2" t="e">
        <f ca="1">_xll.BDH($C$503,"NET_FIXED_ASSETS_1_YEAR_GROWTH","FQ2 2017","FQ2 2017","Currency=INR","Period=FQ","BEST_FPERIOD_OVERRIDE=FQ","FILING_STATUS=OR","EQY_CONSOLIDATED=Y","Sort=A","Dates=H","DateFormat=P","Fill=—","Direction=H","UseDPDF=Y")</f>
        <v>#NAME?</v>
      </c>
      <c r="AC520" s="2" t="e">
        <f ca="1">_xll.BDH($C$503,"ASSET_GROWTH","FQ2 2017","FQ2 2017","Currency=INR","Period=FQ","BEST_FPERIOD_OVERRIDE=FQ","FILING_STATUS=OR","EQY_CONSOLIDATED=Y","Sort=A","Dates=H","DateFormat=P","Fill=—","Direction=H","UseDPDF=Y")</f>
        <v>#NAME?</v>
      </c>
      <c r="AD520" s="2" t="e">
        <f ca="1">_xll.BDH($C$503,"MODIFIED_WORK_CAP_GROWTH","FQ2 2017","FQ2 2017","Currency=INR","Period=FQ","BEST_FPERIOD_OVERRIDE=FQ","FILING_STATUS=OR","EQY_CONSOLIDATED=Y","Sort=A","Dates=H","DateFormat=P","Fill=—","Direction=H","UseDPDF=Y")</f>
        <v>#NAME?</v>
      </c>
      <c r="AE520" s="2" t="e">
        <f ca="1">_xll.BDH($C$503,"WORK_CAP_GROWTH","FQ2 2017","FQ2 2017","Currency=INR","Period=FQ","BEST_FPERIOD_OVERRIDE=FQ","FILING_STATUS=OR","EQY_CONSOLIDATED=Y","Sort=A","Dates=H","DateFormat=P","Fill=—","Direction=H","UseDPDF=Y")</f>
        <v>#NAME?</v>
      </c>
      <c r="AF520" s="2" t="e">
        <f ca="1">_xll.BDH($C$503,"ACCOUNTS_PAYABLE_GROWTH_1YR","FQ2 2017","FQ2 2017","Currency=INR","Period=FQ","BEST_FPERIOD_OVERRIDE=FQ","FILING_STATUS=OR","EQY_CONSOLIDATED=Y","Sort=A","Dates=H","DateFormat=P","Fill=—","Direction=H","UseDPDF=Y")</f>
        <v>#NAME?</v>
      </c>
      <c r="AG520" s="2" t="e">
        <f ca="1">_xll.BDH($C$503,"SHORT_TERM_DEBT_1_YEAR_GROWTH","FQ2 2017","FQ2 2017","Currency=INR","Period=FQ","BEST_FPERIOD_OVERRIDE=FQ","FILING_STATUS=OR","EQY_CONSOLIDATED=Y","Sort=A","Dates=H","DateFormat=P","Fill=—","Direction=H","UseDPDF=Y")</f>
        <v>#NAME?</v>
      </c>
      <c r="AH520" s="2" t="e">
        <f ca="1">_xll.BDH($C$503,"TOTAL_DEBT_1_YEAR_GROWTH","FQ2 2017","FQ2 2017","Currency=INR","Period=FQ","BEST_FPERIOD_OVERRIDE=FQ","FILING_STATUS=OR","EQY_CONSOLIDATED=Y","Sort=A","Dates=H","DateFormat=P","Fill=—","Direction=H","UseDPDF=Y")</f>
        <v>#NAME?</v>
      </c>
      <c r="AI520" s="2" t="e">
        <f ca="1">_xll.BDH($C$503,"TOTAL_EQUITY_1_YEAR_GROWTH","FQ2 2017","FQ2 2017","Currency=INR","Period=FQ","BEST_FPERIOD_OVERRIDE=FQ","FILING_STATUS=OR","EQY_CONSOLIDATED=Y","Sort=A","Dates=H","DateFormat=P","Fill=—","Direction=H","UseDPDF=Y")</f>
        <v>#NAME?</v>
      </c>
      <c r="AJ520" s="2" t="e">
        <f ca="1">_xll.BDH($C$503,"GROWTH_IN_CAP","FQ2 2017","FQ2 2017","Currency=INR","Period=FQ","BEST_FPERIOD_OVERRIDE=FQ","FILING_STATUS=OR","EQY_CONSOLIDATED=Y","Sort=A","Dates=H","DateFormat=P","Fill=—","Direction=H","UseDPDF=Y")</f>
        <v>#NAME?</v>
      </c>
      <c r="AK520" s="2" t="e">
        <f ca="1">_xll.BDH($C$503,"BVPS_GROWTH","FQ2 2017","FQ2 2017","Currency=INR","Period=FQ","BEST_FPERIOD_OVERRIDE=FQ","FILING_STATUS=OR","EQY_CONSOLIDATED=Y","Sort=A","Dates=H","DateFormat=P","Fill=—","Direction=H","UseDPDF=Y")</f>
        <v>#NAME?</v>
      </c>
      <c r="AL520" s="2" t="e">
        <f ca="1">_xll.BDH($C$503,"CASH_FLOW_GROWTH","FQ2 2017","FQ2 2017","Currency=INR","Period=FQ","BEST_FPERIOD_OVERRIDE=FQ","FILING_STATUS=OR","EQY_CONSOLIDATED=Y","Sort=A","Dates=H","DateFormat=P","Fill=—","Direction=H","UseDPDF=Y")</f>
        <v>#NAME?</v>
      </c>
      <c r="AM520" s="2" t="e">
        <f ca="1">_xll.BDH($C$503,"GEO_GROW_NET_SALES","FQ2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520" s="2" t="e">
        <f ca="1">_xll.BDH($C$503,"GEO_GROW_EBITDA","FQ2 2017","FQ2 2017","Currency=INR","Period=FQ","BEST_FPERIOD_OVERRIDE=FQ","FILING_STATUS=OR","EQY_CONSOLIDATED=Y","FA_ADJUSTED=GAAP","Sort=A","Dates=H","DateFormat=P","Fill=—","Direction=H","UseDPDF=Y")</f>
        <v>#NAME?</v>
      </c>
      <c r="AO520" s="2" t="e">
        <f ca="1">_xll.BDH($C$503,"GEO_GROW_OPER_INC","FQ2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520" s="2" t="e">
        <f ca="1">_xll.BDH($C$503,"NET_INCOME_TO_COMMON_5_YR_GROWTH","FQ2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520" s="2" t="e">
        <f ca="1">_xll.BDH($C$503,"5Y_GEO_GROWTH_DILUTED_EPS","FQ2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520" s="2" t="e">
        <f ca="1">_xll.BDH($C$503,"GEO_GROW_DVD_PER_SH","FQ2 2017","FQ2 2017","Currency=INR","Period=FQ","BEST_FPERIOD_OVERRIDE=FQ","FILING_STATUS=OR","EQY_CONSOLIDATED=Y","Sort=A","Dates=H","DateFormat=P","Fill=—","Direction=H","UseDPDF=Y")</f>
        <v>#NAME?</v>
      </c>
      <c r="AS520" s="2" t="e">
        <f ca="1">_xll.BDH($C$503,"ACCOUNTS_RECEIVABLE_5_YR_GROWTH","FQ2 2017","FQ2 2017","Currency=INR","Period=FQ","BEST_FPERIOD_OVERRIDE=FQ","FILING_STATUS=OR","EQY_CONSOLIDATED=Y","Sort=A","Dates=H","DateFormat=P","Fill=—","Direction=H","UseDPDF=Y")</f>
        <v>#NAME?</v>
      </c>
      <c r="AT520" s="2" t="e">
        <f ca="1">_xll.BDH($C$503,"INVENTORY_5_YEAR_GROWTH","FQ2 2017","FQ2 2017","Currency=INR","Period=FQ","BEST_FPERIOD_OVERRIDE=FQ","FILING_STATUS=OR","EQY_CONSOLIDATED=Y","Sort=A","Dates=H","DateFormat=P","Fill=—","Direction=H","UseDPDF=Y")</f>
        <v>#NAME?</v>
      </c>
      <c r="AU520" s="2" t="e">
        <f ca="1">_xll.BDH($C$503,"NET_FIXED_ASSETS_5_YEAR_GROWTH","FQ2 2017","FQ2 2017","Currency=INR","Period=FQ","BEST_FPERIOD_OVERRIDE=FQ","FILING_STATUS=OR","EQY_CONSOLIDATED=Y","Sort=A","Dates=H","DateFormat=P","Fill=—","Direction=H","UseDPDF=Y")</f>
        <v>#NAME?</v>
      </c>
      <c r="AV520" s="2" t="e">
        <f ca="1">_xll.BDH($C$503,"GEO_GROW_TOT_ASSET","FQ2 2017","FQ2 2017","Currency=INR","Period=FQ","BEST_FPERIOD_OVERRIDE=FQ","FILING_STATUS=OR","EQY_CONSOLIDATED=Y","Sort=A","Dates=H","DateFormat=P","Fill=—","Direction=H","UseDPDF=Y")</f>
        <v>#NAME?</v>
      </c>
      <c r="AW520" s="2" t="e">
        <f ca="1">_xll.BDH($C$503,"MODIFIED_WORKING_CPTL_5YR_GRWTH","FQ2 2017","FQ2 2017","Currency=INR","Period=FQ","BEST_FPERIOD_OVERRIDE=FQ","FILING_STATUS=OR","EQY_CONSOLIDATED=Y","Sort=A","Dates=H","DateFormat=P","Fill=—","Direction=H","UseDPDF=Y")</f>
        <v>#NAME?</v>
      </c>
      <c r="AX520" s="2" t="e">
        <f ca="1">_xll.BDH($C$503,"WORKING_CAPITAL_5_YEAR_GROWTH","FQ2 2017","FQ2 2017","Currency=INR","Period=FQ","BEST_FPERIOD_OVERRIDE=FQ","FILING_STATUS=OR","EQY_CONSOLIDATED=Y","Sort=A","Dates=H","DateFormat=P","Fill=—","Direction=H","UseDPDF=Y")</f>
        <v>#NAME?</v>
      </c>
      <c r="AY520" s="2" t="e">
        <f ca="1">_xll.BDH($C$503,"ACCOUNTS_PAYABLE_5_YEAR_GROWTH","FQ2 2017","FQ2 2017","Currency=INR","Period=FQ","BEST_FPERIOD_OVERRIDE=FQ","FILING_STATUS=OR","EQY_CONSOLIDATED=Y","Sort=A","Dates=H","DateFormat=P","Fill=—","Direction=H","UseDPDF=Y")</f>
        <v>#NAME?</v>
      </c>
      <c r="AZ520" s="2" t="e">
        <f ca="1">_xll.BDH($C$503,"SHORT_TERM_DEBT_5_YEAR_GROWTH","FQ2 2017","FQ2 2017","Currency=INR","Period=FQ","BEST_FPERIOD_OVERRIDE=FQ","FILING_STATUS=OR","EQY_CONSOLIDATED=Y","Sort=A","Dates=H","DateFormat=P","Fill=—","Direction=H","UseDPDF=Y")</f>
        <v>#NAME?</v>
      </c>
      <c r="BA520" s="2" t="e">
        <f ca="1">_xll.BDH($C$503,"TOTAL_DEBT_5_YEAR_GROWTH","FQ2 2017","FQ2 2017","Currency=INR","Period=FQ","BEST_FPERIOD_OVERRIDE=FQ","FILING_STATUS=OR","EQY_CONSOLIDATED=Y","Sort=A","Dates=H","DateFormat=P","Fill=—","Direction=H","UseDPDF=Y")</f>
        <v>#NAME?</v>
      </c>
      <c r="BB520" s="2" t="e">
        <f ca="1">_xll.BDH($C$503,"GEO_GROW_TOT_SHRHLDR_EQY","FQ2 2017","FQ2 2017","Currency=INR","Period=FQ","BEST_FPERIOD_OVERRIDE=FQ","FILING_STATUS=OR","EQY_CONSOLIDATED=Y","Sort=A","Dates=H","DateFormat=P","Fill=—","Direction=H","UseDPDF=Y")</f>
        <v>#NAME?</v>
      </c>
      <c r="BC520" s="2" t="e">
        <f ca="1">_xll.BDH($C$503,"TOTAL_CAPITAL_5_YEAR_GROWTH","FQ2 2017","FQ2 2017","Currency=INR","Period=FQ","BEST_FPERIOD_OVERRIDE=FQ","FILING_STATUS=OR","EQY_CONSOLIDATED=Y","Sort=A","Dates=H","DateFormat=P","Fill=—","Direction=H","UseDPDF=Y")</f>
        <v>#NAME?</v>
      </c>
      <c r="BD520" s="2" t="e">
        <f ca="1">_xll.BDH($C$503,"GEO_GROW_BOOK_VAL","FQ2 2017","FQ2 2017","Currency=INR","Period=FQ","BEST_FPERIOD_OVERRIDE=FQ","FILING_STATUS=OR","EQY_CONSOLIDATED=Y","Sort=A","Dates=H","DateFormat=P","Fill=—","Direction=H","UseDPDF=Y")</f>
        <v>#NAME?</v>
      </c>
      <c r="BE520" s="2" t="e">
        <f ca="1">_xll.BDH($C$503,"GEO_GROW_CASH_OPER_ACT","FQ2 2017","FQ2 2017","Currency=INR","Period=FQ","BEST_FPERIOD_OVERRIDE=FQ","FILING_STATUS=OR","EQY_CONSOLIDATED=Y","Sort=A","Dates=H","DateFormat=P","Fill=—","Direction=H","UseDPDF=Y")</f>
        <v>#NAME?</v>
      </c>
      <c r="BF520" s="2" t="e">
        <f ca="1">_xll.BDH($C$503,"REVENUE_SEQUENTIAL_GROWTH","FQ2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520" s="2" t="e">
        <f ca="1">_xll.BDH($C$503,"EBITDA_SEQUENTIAL_GROWTH","FQ2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520" s="2" t="e">
        <f ca="1">_xll.BDH($C$503,"OPERATING_INCOME_SEQ_GROWTH","FQ2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520" s="2" t="e">
        <f ca="1">_xll.BDH($C$503,"NET_INCOME_TO_COMMON_SEQ_GROWTH","FQ2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520" s="2" t="e">
        <f ca="1">_xll.BDH($C$503,"EPS_DILUTED_SEQUENTIAL_GROWTH","FQ2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520" s="2" t="e">
        <f ca="1">_xll.BDH($C$503,"DPS_SEQUENTIAL_GROWTH","FQ2 2017","FQ2 2017","Currency=INR","Period=FQ","BEST_FPERIOD_OVERRIDE=FQ","FILING_STATUS=OR","EQY_CONSOLIDATED=Y","Sort=A","Dates=H","DateFormat=P","Fill=—","Direction=H","UseDPDF=Y")</f>
        <v>#NAME?</v>
      </c>
      <c r="BL520" s="2" t="e">
        <f ca="1">_xll.BDH($C$503,"ACCOUNTS_RECEIVABLE_SEQ_GROWTH","FQ2 2017","FQ2 2017","Currency=INR","Period=FQ","BEST_FPERIOD_OVERRIDE=FQ","FILING_STATUS=OR","EQY_CONSOLIDATED=Y","Sort=A","Dates=H","DateFormat=P","Fill=—","Direction=H","UseDPDF=Y")</f>
        <v>#NAME?</v>
      </c>
      <c r="BM520" s="2" t="e">
        <f ca="1">_xll.BDH($C$503,"INVENTORY_SEQUENTIAL_GROWTH","FQ2 2017","FQ2 2017","Currency=INR","Period=FQ","BEST_FPERIOD_OVERRIDE=FQ","FILING_STATUS=OR","EQY_CONSOLIDATED=Y","Sort=A","Dates=H","DateFormat=P","Fill=—","Direction=H","UseDPDF=Y")</f>
        <v>#NAME?</v>
      </c>
      <c r="BN520" s="2" t="e">
        <f ca="1">_xll.BDH($C$503,"FIXED_ASSETS_SEQUENTIAL_GROWTH","FQ2 2017","FQ2 2017","Currency=INR","Period=FQ","BEST_FPERIOD_OVERRIDE=FQ","FILING_STATUS=OR","EQY_CONSOLIDATED=Y","Sort=A","Dates=H","DateFormat=P","Fill=—","Direction=H","UseDPDF=Y")</f>
        <v>#NAME?</v>
      </c>
      <c r="BO520" s="2" t="e">
        <f ca="1">_xll.BDH($C$503,"TOTAL_ASSETS_SEQUENTIAL_GROWTH","FQ2 2017","FQ2 2017","Currency=INR","Period=FQ","BEST_FPERIOD_OVERRIDE=FQ","FILING_STATUS=OR","EQY_CONSOLIDATED=Y","Sort=A","Dates=H","DateFormat=P","Fill=—","Direction=H","UseDPDF=Y")</f>
        <v>#NAME?</v>
      </c>
      <c r="BP520" s="2" t="e">
        <f ca="1">_xll.BDH($C$503,"MODIFIED_WORKING_CPTL_SEQ_GRWTH","FQ2 2017","FQ2 2017","Currency=INR","Period=FQ","BEST_FPERIOD_OVERRIDE=FQ","FILING_STATUS=OR","EQY_CONSOLIDATED=Y","Sort=A","Dates=H","DateFormat=P","Fill=—","Direction=H","UseDPDF=Y")</f>
        <v>#NAME?</v>
      </c>
      <c r="BQ520" s="2" t="e">
        <f ca="1">_xll.BDH($C$503,"WORKING_CAPITAL_SEQ_GROWTH","FQ2 2017","FQ2 2017","Currency=INR","Period=FQ","BEST_FPERIOD_OVERRIDE=FQ","FILING_STATUS=OR","EQY_CONSOLIDATED=Y","Sort=A","Dates=H","DateFormat=P","Fill=—","Direction=H","UseDPDF=Y")</f>
        <v>#NAME?</v>
      </c>
      <c r="BR520" s="2" t="e">
        <f ca="1">_xll.BDH($C$503,"ACCOUNTS_PAYABLE_SEQ_GROWTH","FQ2 2017","FQ2 2017","Currency=INR","Period=FQ","BEST_FPERIOD_OVERRIDE=FQ","FILING_STATUS=OR","EQY_CONSOLIDATED=Y","Sort=A","Dates=H","DateFormat=P","Fill=—","Direction=H","UseDPDF=Y")</f>
        <v>#NAME?</v>
      </c>
      <c r="BS520" s="2" t="e">
        <f ca="1">_xll.BDH($C$503,"ST_DEBT_SEQUENTIAL_GROWTH","FQ2 2017","FQ2 2017","Currency=INR","Period=FQ","BEST_FPERIOD_OVERRIDE=FQ","FILING_STATUS=OR","EQY_CONSOLIDATED=Y","Sort=A","Dates=H","DateFormat=P","Fill=—","Direction=H","UseDPDF=Y")</f>
        <v>#NAME?</v>
      </c>
      <c r="BT520" s="2" t="e">
        <f ca="1">_xll.BDH($C$503,"TOTAL_DEBT_SEQUENTIAL_GROWTH","FQ2 2017","FQ2 2017","Currency=INR","Period=FQ","BEST_FPERIOD_OVERRIDE=FQ","FILING_STATUS=OR","EQY_CONSOLIDATED=Y","Sort=A","Dates=H","DateFormat=P","Fill=—","Direction=H","UseDPDF=Y")</f>
        <v>#NAME?</v>
      </c>
      <c r="BU520" s="2" t="e">
        <f ca="1">_xll.BDH($C$503,"TOTAL_EQUITY_SEQUENTIAL_GROWTH","FQ2 2017","FQ2 2017","Currency=INR","Period=FQ","BEST_FPERIOD_OVERRIDE=FQ","FILING_STATUS=OR","EQY_CONSOLIDATED=Y","Sort=A","Dates=H","DateFormat=P","Fill=—","Direction=H","UseDPDF=Y")</f>
        <v>#NAME?</v>
      </c>
      <c r="BV520" s="2" t="e">
        <f ca="1">_xll.BDH($C$503,"TOTAL_CAPITAL_SEQUENTIAL_GROWTH","FQ2 2017","FQ2 2017","Currency=INR","Period=FQ","BEST_FPERIOD_OVERRIDE=FQ","FILING_STATUS=OR","EQY_CONSOLIDATED=Y","Sort=A","Dates=H","DateFormat=P","Fill=—","Direction=H","UseDPDF=Y")</f>
        <v>#NAME?</v>
      </c>
      <c r="BW520" s="2" t="e">
        <f ca="1">_xll.BDH($C$503,"BPS_SEQUENTIAL_GROWTH","FQ2 2017","FQ2 2017","Currency=INR","Period=FQ","BEST_FPERIOD_OVERRIDE=FQ","FILING_STATUS=OR","EQY_CONSOLIDATED=Y","Sort=A","Dates=H","DateFormat=P","Fill=—","Direction=H","UseDPDF=Y")</f>
        <v>#NAME?</v>
      </c>
      <c r="BX520" s="2" t="e">
        <f ca="1">_xll.BDH($C$503,"CFO_SEQUENTIAL_GROWTH","FQ2 2017","FQ2 2017","Currency=INR","Period=FQ","BEST_FPERIOD_OVERRIDE=FQ","FILING_STATUS=OR","EQY_CONSOLIDATED=Y","Sort=A","Dates=H","DateFormat=P","Fill=—","Direction=H","UseDPDF=Y")</f>
        <v>#NAME?</v>
      </c>
      <c r="BY520" s="3" t="e">
        <f ca="1">_xll.BDH($C$503,"SHORT_AND_LONG_TERM_DEBT","FQ2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520" s="3" t="e">
        <f ca="1">_xll.BDH($C$503,"BS_ST_BORROW","FQ2 2017","FQ2 2017","Currency=INR","Period=FQ","BEST_FPERIOD_OVERRIDE=FQ","FILING_STATUS=OR","EQY_CONSOLIDATED=Y","SCALING_FORMAT=MLN","Sort=A","Dates=H","DateFormat=P","Fill=—","Direction=H","UseDPDF=Y")</f>
        <v>#NAME?</v>
      </c>
      <c r="CA520" s="3" t="e">
        <f ca="1">_xll.BDH($C$503,"BS_LT_BORROW","FQ2 2017","FQ2 2017","Currency=INR","Period=FQ","BEST_FPERIOD_OVERRIDE=FQ","FILING_STATUS=OR","EQY_CONSOLIDATED=Y","SCALING_FORMAT=MLN","Sort=A","Dates=H","DateFormat=P","Fill=—","Direction=H","UseDPDF=Y")</f>
        <v>#NAME?</v>
      </c>
      <c r="CB520" s="2" t="e">
        <f ca="1">_xll.BDH($C$503,"TOT_DEBT_TO_EBITDA","FQ2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520" s="2" t="e">
        <f ca="1">_xll.BDH($C$503,"NET_DEBT_TO_EBITDA","FQ2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520" s="2" t="e">
        <f ca="1">_xll.BDH($C$503,"TOTAL_DEBT_TO_EBIT","FQ2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520" s="2" t="e">
        <f ca="1">_xll.BDH($C$503,"NET_DEBT_TO_EBIT","FQ2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520" s="2" t="e">
        <f ca="1">_xll.BDH($C$503,"EBITDA_TO_INTEREST_EXPN","FQ2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520" s="2" t="e">
        <f ca="1">_xll.BDH($C$503,"COM_EQY_TO_TOT_ASSET","FQ2 2017","FQ2 2017","Currency=INR","Period=FQ","BEST_FPERIOD_OVERRIDE=FQ","FILING_STATUS=OR","EQY_CONSOLIDATED=Y","Sort=A","Dates=H","DateFormat=P","Fill=—","Direction=H","UseDPDF=Y")</f>
        <v>#NAME?</v>
      </c>
      <c r="CH520" s="2" t="e">
        <f ca="1">_xll.BDH($C$503,"LT_DEBT_TO_TOT_EQY","FQ2 2017","FQ2 2017","Currency=INR","Period=FQ","BEST_FPERIOD_OVERRIDE=FQ","FILING_STATUS=OR","EQY_CONSOLIDATED=Y","Sort=A","Dates=H","DateFormat=P","Fill=—","Direction=H","UseDPDF=Y")</f>
        <v>#NAME?</v>
      </c>
      <c r="CI520" s="2" t="e">
        <f ca="1">_xll.BDH($C$503,"LT_DEBT_TO_TOT_CAP","FQ2 2017","FQ2 2017","Currency=INR","Period=FQ","BEST_FPERIOD_OVERRIDE=FQ","FILING_STATUS=OR","EQY_CONSOLIDATED=Y","Sort=A","Dates=H","DateFormat=P","Fill=—","Direction=H","UseDPDF=Y")</f>
        <v>#NAME?</v>
      </c>
      <c r="CJ520" s="2" t="e">
        <f ca="1">_xll.BDH($C$503,"LT_DEBT_TO_TOT_ASSET","FQ2 2017","FQ2 2017","Currency=INR","Period=FQ","BEST_FPERIOD_OVERRIDE=FQ","FILING_STATUS=OR","EQY_CONSOLIDATED=Y","Sort=A","Dates=H","DateFormat=P","Fill=—","Direction=H","UseDPDF=Y")</f>
        <v>#NAME?</v>
      </c>
      <c r="CK520" s="2" t="e">
        <f ca="1">_xll.BDH($C$503,"TOT_DEBT_TO_TOT_EQY","FQ2 2017","FQ2 2017","Currency=INR","Period=FQ","BEST_FPERIOD_OVERRIDE=FQ","FILING_STATUS=OR","EQY_CONSOLIDATED=Y","Sort=A","Dates=H","DateFormat=P","Fill=—","Direction=H","UseDPDF=Y")</f>
        <v>#NAME?</v>
      </c>
      <c r="CL520" s="2" t="e">
        <f ca="1">_xll.BDH($C$503,"TOT_DEBT_TO_TOT_CAP","FQ2 2017","FQ2 2017","Currency=INR","Period=FQ","BEST_FPERIOD_OVERRIDE=FQ","FILING_STATUS=OR","EQY_CONSOLIDATED=Y","Sort=A","Dates=H","DateFormat=P","Fill=—","Direction=H","UseDPDF=Y")</f>
        <v>#NAME?</v>
      </c>
      <c r="CM520" s="2" t="e">
        <f ca="1">_xll.BDH($C$503,"TOT_DEBT_TO_TOT_ASSET","FQ2 2017","FQ2 2017","Currency=INR","Period=FQ","BEST_FPERIOD_OVERRIDE=FQ","FILING_STATUS=OR","EQY_CONSOLIDATED=Y","Sort=A","Dates=H","DateFormat=P","Fill=—","Direction=H","UseDPDF=Y")</f>
        <v>#NAME?</v>
      </c>
      <c r="CN520" s="2" t="e">
        <f ca="1">_xll.BDH($C$503,"NET_DEBT_TO_SHRHLDR_EQTY","FQ2 2017","FQ2 2017","Currency=INR","Period=FQ","BEST_FPERIOD_OVERRIDE=FQ","FILING_STATUS=OR","EQY_CONSOLIDATED=Y","Sort=A","Dates=H","DateFormat=P","Fill=—","Direction=H","UseDPDF=Y")</f>
        <v>#NAME?</v>
      </c>
      <c r="CO520" s="2" t="e">
        <f ca="1">_xll.BDH($C$503,"NET_DEBT_%_CAPITAL","FQ2 2017","FQ2 2017","Currency=INR","Period=FQ","BEST_FPERIOD_OVERRIDE=FQ","FILING_STATUS=OR","EQY_CONSOLIDATED=Y","Sort=A","Dates=H","DateFormat=P","Fill=—","Direction=H","UseDPDF=Y")</f>
        <v>#NAME?</v>
      </c>
      <c r="CP520" s="3" t="e">
        <f ca="1">_xll.BDH($C$503,"EBITDA","FQ2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520" s="3" t="e">
        <f ca="1">_xll.BDH($C$503,"EBITDA_AFTER_CAPEX","FQ2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520" s="3" t="e">
        <f ca="1">_xll.BDH($C$503,"IS_OPER_INC","FQ2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520" s="2" t="e">
        <f ca="1">_xll.BDH($C$503,"CASH_RATIO","FQ2 2017","FQ2 2017","Currency=INR","Period=FQ","BEST_FPERIOD_OVERRIDE=FQ","FILING_STATUS=OR","EQY_CONSOLIDATED=Y","Sort=A","Dates=H","DateFormat=P","Fill=—","Direction=H","UseDPDF=Y")</f>
        <v>#NAME?</v>
      </c>
      <c r="CT520" s="2" t="e">
        <f ca="1">_xll.BDH($C$503,"CUR_RATIO","FQ2 2017","FQ2 2017","Currency=INR","Period=FQ","BEST_FPERIOD_OVERRIDE=FQ","FILING_STATUS=OR","EQY_CONSOLIDATED=Y","Sort=A","Dates=H","DateFormat=P","Fill=—","Direction=H","UseDPDF=Y")</f>
        <v>#NAME?</v>
      </c>
      <c r="CU520" s="2" t="e">
        <f ca="1">_xll.BDH($C$503,"QUICK_RATIO","FQ2 2017","FQ2 2017","Currency=INR","Period=FQ","BEST_FPERIOD_OVERRIDE=FQ","FILING_STATUS=OR","EQY_CONSOLIDATED=Y","Sort=A","Dates=H","DateFormat=P","Fill=—","Direction=H","UseDPDF=Y")</f>
        <v>#NAME?</v>
      </c>
      <c r="CV520" s="2" t="e">
        <f ca="1">_xll.BDH($C$503,"ALTMAN_Z_SCORE","FQ2 2017","FQ2 2017","Currency=INR","Period=FQ","BEST_FPERIOD_OVERRIDE=FQ","FILING_STATUS=OR","EQY_CONSOLIDATED=Y","Sort=A","Dates=H","DateFormat=P","Fill=—","Direction=H","UseDPDF=Y")</f>
        <v>#NAME?</v>
      </c>
      <c r="CW520" s="4" t="e">
        <f ca="1">_xll.BDH($C$503,"ACCT_RCV_TURN","FQ2 2017","FQ2 2017","Currency=INR","Period=FQ","BEST_FPERIOD_OVERRIDE=FQ","FILING_STATUS=OR","EQY_CONSOLIDATED=Y","FA_ADJUSTED=GAAP","Sort=A","Dates=H","DateFormat=P","Fill=—","Direction=H","UseDPDF=Y")</f>
        <v>#NAME?</v>
      </c>
      <c r="CX520" s="2" t="e">
        <f ca="1">_xll.BDH($C$503,"ACCT_RCV_DAYS","FQ2 2017","FQ2 2017","Currency=INR","Period=FQ","BEST_FPERIOD_OVERRIDE=FQ","FILING_STATUS=OR","EQY_CONSOLIDATED=Y","FA_ADJUSTED=GAAP","Sort=A","Dates=H","DateFormat=P","Fill=—","Direction=H","UseDPDF=Y")</f>
        <v>#NAME?</v>
      </c>
      <c r="CY520" s="4" t="e">
        <f ca="1">_xll.BDH($C$503,"INVENT_TURN","FQ2 2017","FQ2 2017","Currency=INR","Period=FQ","BEST_FPERIOD_OVERRIDE=FQ","FILING_STATUS=OR","EQY_CONSOLIDATED=Y","FA_ADJUSTED=GAAP","Sort=A","Dates=H","DateFormat=P","Fill=—","Direction=H","UseDPDF=Y")</f>
        <v>#NAME?</v>
      </c>
      <c r="CZ520" s="2" t="e">
        <f ca="1">_xll.BDH($C$503,"INVENT_DAYS","FQ2 2017","FQ2 2017","Currency=INR","Period=FQ","BEST_FPERIOD_OVERRIDE=FQ","FILING_STATUS=OR","EQY_CONSOLIDATED=Y","FA_ADJUSTED=GAAP","Sort=A","Dates=H","DateFormat=P","Fill=—","Direction=H","UseDPDF=Y")</f>
        <v>#NAME?</v>
      </c>
      <c r="DA520" s="4" t="e">
        <f ca="1">_xll.BDH($C$503,"ACCOUNTS_PAYABLE_TURNOVER","FQ2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520" s="2" t="e">
        <f ca="1">_xll.BDH($C$503,"ACCOUNTS_PAYABLE_TURNOVER_DAYS","FQ2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520" s="4" t="e">
        <f ca="1">_xll.BDH($C$503,"CASH_CONVERSION_CYCLE","FQ2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520" s="4" t="e">
        <f ca="1">_xll.BDH($C$503,"INV_TO_CASH_DAYS","FQ2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520" s="5" t="e">
        <f ca="1">_xll.BDH($C$503,"BS_INVENTORIES","FQ2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520" s="3" t="e">
        <f ca="1">_xll.BDH($C$503,"INVTRY_RAW_MATERIALS","FQ2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520" s="3" t="e">
        <f ca="1">_xll.BDH($C$503,"INVTRY_IN_PROGRESS","FQ2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520" s="3" t="e">
        <f ca="1">_xll.BDH($C$503,"INVTRY_FINISHED_GOODS","FQ2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520" s="3" t="e">
        <f ca="1">_xll.BDH($C$503,"BS_OTHER_INV","FQ2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521" spans="1:113" x14ac:dyDescent="0.3">
      <c r="A521" s="6"/>
      <c r="B521" s="6"/>
      <c r="C521" s="6"/>
      <c r="D521" s="6"/>
      <c r="E521" t="s">
        <v>80</v>
      </c>
      <c r="F521" t="e">
        <f ca="1">_xll.BDH($C$503,"RETURN_COM_EQY","FQ3 2017","FQ3 2017","Currency=INR","Period=FQ","BEST_FPERIOD_OVERRIDE=FQ","FILING_STATUS=OR","EQY_CONSOLIDATED=Y","FA_ADJUSTED=GAAP","Sort=A","Dates=H","DateFormat=P","Fill=—","Direction=H","UseDPDF=Y")</f>
        <v>#NAME?</v>
      </c>
      <c r="G521" t="e">
        <f ca="1">_xll.BDH($C$503,"RETURN_ON_ASSET","FQ3 2017","FQ3 2017","Currency=INR","Period=FQ","BEST_FPERIOD_OVERRIDE=FQ","FILING_STATUS=OR","EQY_CONSOLIDATED=Y","FA_ADJUSTED=GAAP","Sort=A","Dates=H","DateFormat=P","Fill=—","Direction=H","UseDPDF=Y")</f>
        <v>#NAME?</v>
      </c>
      <c r="H521" t="e">
        <f ca="1">_xll.BDH($C$503,"RETURN_ON_CAP","FQ3 2017","FQ3 2017","Currency=INR","Period=FQ","BEST_FPERIOD_OVERRIDE=FQ","FILING_STATUS=OR","EQY_CONSOLIDATED=Y","FA_ADJUSTED=GAAP","Sort=A","Dates=H","DateFormat=P","Fill=—","Direction=H","UseDPDF=Y")</f>
        <v>#NAME?</v>
      </c>
      <c r="I521" t="e">
        <f ca="1">_xll.BDH($C$503,"RETURN_ON_INV_CAPITAL","FQ3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521" t="e">
        <f ca="1">_xll.BDH($C$503,"EBITDA_TO_REVENUE","FQ3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521" t="e">
        <f ca="1">_xll.BDH($C$503,"OPER_MARGIN","FQ3 2017","FQ3 2017","Currency=INR","Period=FQ","BEST_FPERIOD_OVERRIDE=FQ","FILING_STATUS=OR","EQY_CONSOLIDATED=Y","FA_ADJUSTED=GAAP","Sort=A","Dates=H","DateFormat=P","Fill=—","Direction=H","UseDPDF=Y")</f>
        <v>#NAME?</v>
      </c>
      <c r="L521" t="e">
        <f ca="1">_xll.BDH($C$503,"INCREMENTAL_OPERATING_MARGIN","FQ3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521" t="e">
        <f ca="1">_xll.BDH($C$503,"PRETAX_INC_TO_NET_SALES","FQ3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521" t="e">
        <f ca="1">_xll.BDH($C$503,"INC_BEF_XO_ITEMS_TO_NET_SALES","FQ3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521" t="e">
        <f ca="1">_xll.BDH($C$503,"PROF_MARGIN","FQ3 2017","FQ3 2017","Currency=INR","Period=FQ","BEST_FPERIOD_OVERRIDE=FQ","FILING_STATUS=OR","EQY_CONSOLIDATED=Y","FA_ADJUSTED=GAAP","Sort=A","Dates=H","DateFormat=P","Fill=—","Direction=H","UseDPDF=Y")</f>
        <v>#NAME?</v>
      </c>
      <c r="P521" t="e">
        <f ca="1">_xll.BDH($C$503,"NET_INCOME_TO_COMMON_MARGIN","FQ3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521" t="e">
        <f ca="1">_xll.BDH($C$503,"EFF_TAX_RATE","FQ3 2017","FQ3 2017","Currency=INR","Period=FQ","BEST_FPERIOD_OVERRIDE=FQ","FILING_STATUS=OR","EQY_CONSOLIDATED=Y","FA_ADJUSTED=GAAP","Sort=A","Dates=H","DateFormat=P","Fill=—","Direction=H","UseDPDF=Y")</f>
        <v>#NAME?</v>
      </c>
      <c r="R521" t="e">
        <f ca="1">_xll.BDH($C$503,"DVD_PAYOUT_RATIO","FQ3 2017","FQ3 2017","Currency=INR","Period=FQ","BEST_FPERIOD_OVERRIDE=FQ","FILING_STATUS=OR","EQY_CONSOLIDATED=Y","FA_ADJUSTED=GAAP","Sort=A","Dates=H","DateFormat=P","Fill=—","Direction=H","UseDPDF=Y")</f>
        <v>#NAME?</v>
      </c>
      <c r="S521" t="e">
        <f ca="1">_xll.BDH($C$503,"SUSTAIN_GROWTH_RT","FQ3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521" s="2" t="e">
        <f ca="1">_xll.BDH($C$503,"SALES_GROWTH","FQ3 2017","FQ3 2017","Currency=INR","Period=FQ","BEST_FPERIOD_OVERRIDE=FQ","FILING_STATUS=OR","EQY_CONSOLIDATED=Y","FA_ADJUSTED=GAAP","Sort=A","Dates=H","DateFormat=P","Fill=—","Direction=H","UseDPDF=Y")</f>
        <v>#NAME?</v>
      </c>
      <c r="U521" s="2" t="e">
        <f ca="1">_xll.BDH($C$503,"EBITDA_GROWTH","FQ3 2017","FQ3 2017","Currency=INR","Period=FQ","BEST_FPERIOD_OVERRIDE=FQ","FILING_STATUS=OR","EQY_CONSOLIDATED=Y","FA_ADJUSTED=GAAP","Sort=A","Dates=H","DateFormat=P","Fill=—","Direction=H","UseDPDF=Y")</f>
        <v>#NAME?</v>
      </c>
      <c r="V521" s="2" t="e">
        <f ca="1">_xll.BDH($C$503,"OPER_INC_GROWTH","FQ3 2017","FQ3 2017","Currency=INR","Period=FQ","BEST_FPERIOD_OVERRIDE=FQ","FILING_STATUS=OR","EQY_CONSOLIDATED=Y","FA_ADJUSTED=GAAP","Sort=A","Dates=H","DateFormat=P","Fill=—","Direction=H","UseDPDF=Y")</f>
        <v>#NAME?</v>
      </c>
      <c r="W521" s="2" t="e">
        <f ca="1">_xll.BDH($C$503,"EARN_FOR_COM_GROWTH","FQ3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521" s="2" t="e">
        <f ca="1">_xll.BDH($C$503,"DILUTED_EPS_AFT_XO_ITEMS_GROWTH","FQ3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521" s="2" t="e">
        <f ca="1">_xll.BDH($C$503,"DIVIDEND_PER_SHARE_1_YEAR_GROWTH","FQ3 2017","FQ3 2017","Currency=INR","Period=FQ","BEST_FPERIOD_OVERRIDE=FQ","FILING_STATUS=OR","EQY_CONSOLIDATED=Y","Sort=A","Dates=H","DateFormat=P","Fill=—","Direction=H","UseDPDF=Y")</f>
        <v>#NAME?</v>
      </c>
      <c r="Z521" s="2" t="e">
        <f ca="1">_xll.BDH($C$503,"ACCOUNTS_RECEIVABLE_GROWTH","FQ3 2017","FQ3 2017","Currency=INR","Period=FQ","BEST_FPERIOD_OVERRIDE=FQ","FILING_STATUS=OR","EQY_CONSOLIDATED=Y","Sort=A","Dates=H","DateFormat=P","Fill=—","Direction=H","UseDPDF=Y")</f>
        <v>#NAME?</v>
      </c>
      <c r="AA521" s="2" t="e">
        <f ca="1">_xll.BDH($C$503,"INVENTORY_GROWTH","FQ3 2017","FQ3 2017","Currency=INR","Period=FQ","BEST_FPERIOD_OVERRIDE=FQ","FILING_STATUS=OR","EQY_CONSOLIDATED=Y","Sort=A","Dates=H","DateFormat=P","Fill=—","Direction=H","UseDPDF=Y")</f>
        <v>#NAME?</v>
      </c>
      <c r="AB521" s="2" t="e">
        <f ca="1">_xll.BDH($C$503,"NET_FIXED_ASSETS_1_YEAR_GROWTH","FQ3 2017","FQ3 2017","Currency=INR","Period=FQ","BEST_FPERIOD_OVERRIDE=FQ","FILING_STATUS=OR","EQY_CONSOLIDATED=Y","Sort=A","Dates=H","DateFormat=P","Fill=—","Direction=H","UseDPDF=Y")</f>
        <v>#NAME?</v>
      </c>
      <c r="AC521" s="2" t="e">
        <f ca="1">_xll.BDH($C$503,"ASSET_GROWTH","FQ3 2017","FQ3 2017","Currency=INR","Period=FQ","BEST_FPERIOD_OVERRIDE=FQ","FILING_STATUS=OR","EQY_CONSOLIDATED=Y","Sort=A","Dates=H","DateFormat=P","Fill=—","Direction=H","UseDPDF=Y")</f>
        <v>#NAME?</v>
      </c>
      <c r="AD521" s="2" t="e">
        <f ca="1">_xll.BDH($C$503,"MODIFIED_WORK_CAP_GROWTH","FQ3 2017","FQ3 2017","Currency=INR","Period=FQ","BEST_FPERIOD_OVERRIDE=FQ","FILING_STATUS=OR","EQY_CONSOLIDATED=Y","Sort=A","Dates=H","DateFormat=P","Fill=—","Direction=H","UseDPDF=Y")</f>
        <v>#NAME?</v>
      </c>
      <c r="AE521" s="2" t="e">
        <f ca="1">_xll.BDH($C$503,"WORK_CAP_GROWTH","FQ3 2017","FQ3 2017","Currency=INR","Period=FQ","BEST_FPERIOD_OVERRIDE=FQ","FILING_STATUS=OR","EQY_CONSOLIDATED=Y","Sort=A","Dates=H","DateFormat=P","Fill=—","Direction=H","UseDPDF=Y")</f>
        <v>#NAME?</v>
      </c>
      <c r="AF521" s="2" t="e">
        <f ca="1">_xll.BDH($C$503,"ACCOUNTS_PAYABLE_GROWTH_1YR","FQ3 2017","FQ3 2017","Currency=INR","Period=FQ","BEST_FPERIOD_OVERRIDE=FQ","FILING_STATUS=OR","EQY_CONSOLIDATED=Y","Sort=A","Dates=H","DateFormat=P","Fill=—","Direction=H","UseDPDF=Y")</f>
        <v>#NAME?</v>
      </c>
      <c r="AG521" s="2" t="e">
        <f ca="1">_xll.BDH($C$503,"SHORT_TERM_DEBT_1_YEAR_GROWTH","FQ3 2017","FQ3 2017","Currency=INR","Period=FQ","BEST_FPERIOD_OVERRIDE=FQ","FILING_STATUS=OR","EQY_CONSOLIDATED=Y","Sort=A","Dates=H","DateFormat=P","Fill=—","Direction=H","UseDPDF=Y")</f>
        <v>#NAME?</v>
      </c>
      <c r="AH521" s="2" t="e">
        <f ca="1">_xll.BDH($C$503,"TOTAL_DEBT_1_YEAR_GROWTH","FQ3 2017","FQ3 2017","Currency=INR","Period=FQ","BEST_FPERIOD_OVERRIDE=FQ","FILING_STATUS=OR","EQY_CONSOLIDATED=Y","Sort=A","Dates=H","DateFormat=P","Fill=—","Direction=H","UseDPDF=Y")</f>
        <v>#NAME?</v>
      </c>
      <c r="AI521" s="2" t="e">
        <f ca="1">_xll.BDH($C$503,"TOTAL_EQUITY_1_YEAR_GROWTH","FQ3 2017","FQ3 2017","Currency=INR","Period=FQ","BEST_FPERIOD_OVERRIDE=FQ","FILING_STATUS=OR","EQY_CONSOLIDATED=Y","Sort=A","Dates=H","DateFormat=P","Fill=—","Direction=H","UseDPDF=Y")</f>
        <v>#NAME?</v>
      </c>
      <c r="AJ521" s="2" t="e">
        <f ca="1">_xll.BDH($C$503,"GROWTH_IN_CAP","FQ3 2017","FQ3 2017","Currency=INR","Period=FQ","BEST_FPERIOD_OVERRIDE=FQ","FILING_STATUS=OR","EQY_CONSOLIDATED=Y","Sort=A","Dates=H","DateFormat=P","Fill=—","Direction=H","UseDPDF=Y")</f>
        <v>#NAME?</v>
      </c>
      <c r="AK521" s="2" t="e">
        <f ca="1">_xll.BDH($C$503,"BVPS_GROWTH","FQ3 2017","FQ3 2017","Currency=INR","Period=FQ","BEST_FPERIOD_OVERRIDE=FQ","FILING_STATUS=OR","EQY_CONSOLIDATED=Y","Sort=A","Dates=H","DateFormat=P","Fill=—","Direction=H","UseDPDF=Y")</f>
        <v>#NAME?</v>
      </c>
      <c r="AL521" s="2" t="e">
        <f ca="1">_xll.BDH($C$503,"CASH_FLOW_GROWTH","FQ3 2017","FQ3 2017","Currency=INR","Period=FQ","BEST_FPERIOD_OVERRIDE=FQ","FILING_STATUS=OR","EQY_CONSOLIDATED=Y","Sort=A","Dates=H","DateFormat=P","Fill=—","Direction=H","UseDPDF=Y")</f>
        <v>#NAME?</v>
      </c>
      <c r="AM521" s="2" t="e">
        <f ca="1">_xll.BDH($C$503,"GEO_GROW_NET_SALES","FQ3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521" s="2" t="e">
        <f ca="1">_xll.BDH($C$503,"GEO_GROW_EBITDA","FQ3 2017","FQ3 2017","Currency=INR","Period=FQ","BEST_FPERIOD_OVERRIDE=FQ","FILING_STATUS=OR","EQY_CONSOLIDATED=Y","FA_ADJUSTED=GAAP","Sort=A","Dates=H","DateFormat=P","Fill=—","Direction=H","UseDPDF=Y")</f>
        <v>#NAME?</v>
      </c>
      <c r="AO521" s="2" t="e">
        <f ca="1">_xll.BDH($C$503,"GEO_GROW_OPER_INC","FQ3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521" s="2" t="e">
        <f ca="1">_xll.BDH($C$503,"NET_INCOME_TO_COMMON_5_YR_GROWTH","FQ3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521" s="2" t="e">
        <f ca="1">_xll.BDH($C$503,"5Y_GEO_GROWTH_DILUTED_EPS","FQ3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521" s="2" t="e">
        <f ca="1">_xll.BDH($C$503,"GEO_GROW_DVD_PER_SH","FQ3 2017","FQ3 2017","Currency=INR","Period=FQ","BEST_FPERIOD_OVERRIDE=FQ","FILING_STATUS=OR","EQY_CONSOLIDATED=Y","Sort=A","Dates=H","DateFormat=P","Fill=—","Direction=H","UseDPDF=Y")</f>
        <v>#NAME?</v>
      </c>
      <c r="AS521" s="2" t="e">
        <f ca="1">_xll.BDH($C$503,"ACCOUNTS_RECEIVABLE_5_YR_GROWTH","FQ3 2017","FQ3 2017","Currency=INR","Period=FQ","BEST_FPERIOD_OVERRIDE=FQ","FILING_STATUS=OR","EQY_CONSOLIDATED=Y","Sort=A","Dates=H","DateFormat=P","Fill=—","Direction=H","UseDPDF=Y")</f>
        <v>#NAME?</v>
      </c>
      <c r="AT521" s="2" t="e">
        <f ca="1">_xll.BDH($C$503,"INVENTORY_5_YEAR_GROWTH","FQ3 2017","FQ3 2017","Currency=INR","Period=FQ","BEST_FPERIOD_OVERRIDE=FQ","FILING_STATUS=OR","EQY_CONSOLIDATED=Y","Sort=A","Dates=H","DateFormat=P","Fill=—","Direction=H","UseDPDF=Y")</f>
        <v>#NAME?</v>
      </c>
      <c r="AU521" s="2" t="e">
        <f ca="1">_xll.BDH($C$503,"NET_FIXED_ASSETS_5_YEAR_GROWTH","FQ3 2017","FQ3 2017","Currency=INR","Period=FQ","BEST_FPERIOD_OVERRIDE=FQ","FILING_STATUS=OR","EQY_CONSOLIDATED=Y","Sort=A","Dates=H","DateFormat=P","Fill=—","Direction=H","UseDPDF=Y")</f>
        <v>#NAME?</v>
      </c>
      <c r="AV521" s="2" t="e">
        <f ca="1">_xll.BDH($C$503,"GEO_GROW_TOT_ASSET","FQ3 2017","FQ3 2017","Currency=INR","Period=FQ","BEST_FPERIOD_OVERRIDE=FQ","FILING_STATUS=OR","EQY_CONSOLIDATED=Y","Sort=A","Dates=H","DateFormat=P","Fill=—","Direction=H","UseDPDF=Y")</f>
        <v>#NAME?</v>
      </c>
      <c r="AW521" s="2" t="e">
        <f ca="1">_xll.BDH($C$503,"MODIFIED_WORKING_CPTL_5YR_GRWTH","FQ3 2017","FQ3 2017","Currency=INR","Period=FQ","BEST_FPERIOD_OVERRIDE=FQ","FILING_STATUS=OR","EQY_CONSOLIDATED=Y","Sort=A","Dates=H","DateFormat=P","Fill=—","Direction=H","UseDPDF=Y")</f>
        <v>#NAME?</v>
      </c>
      <c r="AX521" s="2" t="e">
        <f ca="1">_xll.BDH($C$503,"WORKING_CAPITAL_5_YEAR_GROWTH","FQ3 2017","FQ3 2017","Currency=INR","Period=FQ","BEST_FPERIOD_OVERRIDE=FQ","FILING_STATUS=OR","EQY_CONSOLIDATED=Y","Sort=A","Dates=H","DateFormat=P","Fill=—","Direction=H","UseDPDF=Y")</f>
        <v>#NAME?</v>
      </c>
      <c r="AY521" s="2" t="e">
        <f ca="1">_xll.BDH($C$503,"ACCOUNTS_PAYABLE_5_YEAR_GROWTH","FQ3 2017","FQ3 2017","Currency=INR","Period=FQ","BEST_FPERIOD_OVERRIDE=FQ","FILING_STATUS=OR","EQY_CONSOLIDATED=Y","Sort=A","Dates=H","DateFormat=P","Fill=—","Direction=H","UseDPDF=Y")</f>
        <v>#NAME?</v>
      </c>
      <c r="AZ521" s="2" t="e">
        <f ca="1">_xll.BDH($C$503,"SHORT_TERM_DEBT_5_YEAR_GROWTH","FQ3 2017","FQ3 2017","Currency=INR","Period=FQ","BEST_FPERIOD_OVERRIDE=FQ","FILING_STATUS=OR","EQY_CONSOLIDATED=Y","Sort=A","Dates=H","DateFormat=P","Fill=—","Direction=H","UseDPDF=Y")</f>
        <v>#NAME?</v>
      </c>
      <c r="BA521" s="2" t="e">
        <f ca="1">_xll.BDH($C$503,"TOTAL_DEBT_5_YEAR_GROWTH","FQ3 2017","FQ3 2017","Currency=INR","Period=FQ","BEST_FPERIOD_OVERRIDE=FQ","FILING_STATUS=OR","EQY_CONSOLIDATED=Y","Sort=A","Dates=H","DateFormat=P","Fill=—","Direction=H","UseDPDF=Y")</f>
        <v>#NAME?</v>
      </c>
      <c r="BB521" s="2" t="e">
        <f ca="1">_xll.BDH($C$503,"GEO_GROW_TOT_SHRHLDR_EQY","FQ3 2017","FQ3 2017","Currency=INR","Period=FQ","BEST_FPERIOD_OVERRIDE=FQ","FILING_STATUS=OR","EQY_CONSOLIDATED=Y","Sort=A","Dates=H","DateFormat=P","Fill=—","Direction=H","UseDPDF=Y")</f>
        <v>#NAME?</v>
      </c>
      <c r="BC521" s="2" t="e">
        <f ca="1">_xll.BDH($C$503,"TOTAL_CAPITAL_5_YEAR_GROWTH","FQ3 2017","FQ3 2017","Currency=INR","Period=FQ","BEST_FPERIOD_OVERRIDE=FQ","FILING_STATUS=OR","EQY_CONSOLIDATED=Y","Sort=A","Dates=H","DateFormat=P","Fill=—","Direction=H","UseDPDF=Y")</f>
        <v>#NAME?</v>
      </c>
      <c r="BD521" s="2" t="e">
        <f ca="1">_xll.BDH($C$503,"GEO_GROW_BOOK_VAL","FQ3 2017","FQ3 2017","Currency=INR","Period=FQ","BEST_FPERIOD_OVERRIDE=FQ","FILING_STATUS=OR","EQY_CONSOLIDATED=Y","Sort=A","Dates=H","DateFormat=P","Fill=—","Direction=H","UseDPDF=Y")</f>
        <v>#NAME?</v>
      </c>
      <c r="BE521" s="2" t="e">
        <f ca="1">_xll.BDH($C$503,"GEO_GROW_CASH_OPER_ACT","FQ3 2017","FQ3 2017","Currency=INR","Period=FQ","BEST_FPERIOD_OVERRIDE=FQ","FILING_STATUS=OR","EQY_CONSOLIDATED=Y","Sort=A","Dates=H","DateFormat=P","Fill=—","Direction=H","UseDPDF=Y")</f>
        <v>#NAME?</v>
      </c>
      <c r="BF521" s="2" t="e">
        <f ca="1">_xll.BDH($C$503,"REVENUE_SEQUENTIAL_GROWTH","FQ3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521" s="2" t="e">
        <f ca="1">_xll.BDH($C$503,"EBITDA_SEQUENTIAL_GROWTH","FQ3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521" s="2" t="e">
        <f ca="1">_xll.BDH($C$503,"OPERATING_INCOME_SEQ_GROWTH","FQ3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521" s="2" t="e">
        <f ca="1">_xll.BDH($C$503,"NET_INCOME_TO_COMMON_SEQ_GROWTH","FQ3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521" s="2" t="e">
        <f ca="1">_xll.BDH($C$503,"EPS_DILUTED_SEQUENTIAL_GROWTH","FQ3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521" s="2" t="e">
        <f ca="1">_xll.BDH($C$503,"DPS_SEQUENTIAL_GROWTH","FQ3 2017","FQ3 2017","Currency=INR","Period=FQ","BEST_FPERIOD_OVERRIDE=FQ","FILING_STATUS=OR","EQY_CONSOLIDATED=Y","Sort=A","Dates=H","DateFormat=P","Fill=—","Direction=H","UseDPDF=Y")</f>
        <v>#NAME?</v>
      </c>
      <c r="BL521" s="2" t="e">
        <f ca="1">_xll.BDH($C$503,"ACCOUNTS_RECEIVABLE_SEQ_GROWTH","FQ3 2017","FQ3 2017","Currency=INR","Period=FQ","BEST_FPERIOD_OVERRIDE=FQ","FILING_STATUS=OR","EQY_CONSOLIDATED=Y","Sort=A","Dates=H","DateFormat=P","Fill=—","Direction=H","UseDPDF=Y")</f>
        <v>#NAME?</v>
      </c>
      <c r="BM521" s="2" t="e">
        <f ca="1">_xll.BDH($C$503,"INVENTORY_SEQUENTIAL_GROWTH","FQ3 2017","FQ3 2017","Currency=INR","Period=FQ","BEST_FPERIOD_OVERRIDE=FQ","FILING_STATUS=OR","EQY_CONSOLIDATED=Y","Sort=A","Dates=H","DateFormat=P","Fill=—","Direction=H","UseDPDF=Y")</f>
        <v>#NAME?</v>
      </c>
      <c r="BN521" s="2" t="e">
        <f ca="1">_xll.BDH($C$503,"FIXED_ASSETS_SEQUENTIAL_GROWTH","FQ3 2017","FQ3 2017","Currency=INR","Period=FQ","BEST_FPERIOD_OVERRIDE=FQ","FILING_STATUS=OR","EQY_CONSOLIDATED=Y","Sort=A","Dates=H","DateFormat=P","Fill=—","Direction=H","UseDPDF=Y")</f>
        <v>#NAME?</v>
      </c>
      <c r="BO521" s="2" t="e">
        <f ca="1">_xll.BDH($C$503,"TOTAL_ASSETS_SEQUENTIAL_GROWTH","FQ3 2017","FQ3 2017","Currency=INR","Period=FQ","BEST_FPERIOD_OVERRIDE=FQ","FILING_STATUS=OR","EQY_CONSOLIDATED=Y","Sort=A","Dates=H","DateFormat=P","Fill=—","Direction=H","UseDPDF=Y")</f>
        <v>#NAME?</v>
      </c>
      <c r="BP521" s="2" t="e">
        <f ca="1">_xll.BDH($C$503,"MODIFIED_WORKING_CPTL_SEQ_GRWTH","FQ3 2017","FQ3 2017","Currency=INR","Period=FQ","BEST_FPERIOD_OVERRIDE=FQ","FILING_STATUS=OR","EQY_CONSOLIDATED=Y","Sort=A","Dates=H","DateFormat=P","Fill=—","Direction=H","UseDPDF=Y")</f>
        <v>#NAME?</v>
      </c>
      <c r="BQ521" s="2" t="e">
        <f ca="1">_xll.BDH($C$503,"WORKING_CAPITAL_SEQ_GROWTH","FQ3 2017","FQ3 2017","Currency=INR","Period=FQ","BEST_FPERIOD_OVERRIDE=FQ","FILING_STATUS=OR","EQY_CONSOLIDATED=Y","Sort=A","Dates=H","DateFormat=P","Fill=—","Direction=H","UseDPDF=Y")</f>
        <v>#NAME?</v>
      </c>
      <c r="BR521" s="2" t="e">
        <f ca="1">_xll.BDH($C$503,"ACCOUNTS_PAYABLE_SEQ_GROWTH","FQ3 2017","FQ3 2017","Currency=INR","Period=FQ","BEST_FPERIOD_OVERRIDE=FQ","FILING_STATUS=OR","EQY_CONSOLIDATED=Y","Sort=A","Dates=H","DateFormat=P","Fill=—","Direction=H","UseDPDF=Y")</f>
        <v>#NAME?</v>
      </c>
      <c r="BS521" s="2" t="e">
        <f ca="1">_xll.BDH($C$503,"ST_DEBT_SEQUENTIAL_GROWTH","FQ3 2017","FQ3 2017","Currency=INR","Period=FQ","BEST_FPERIOD_OVERRIDE=FQ","FILING_STATUS=OR","EQY_CONSOLIDATED=Y","Sort=A","Dates=H","DateFormat=P","Fill=—","Direction=H","UseDPDF=Y")</f>
        <v>#NAME?</v>
      </c>
      <c r="BT521" s="2" t="e">
        <f ca="1">_xll.BDH($C$503,"TOTAL_DEBT_SEQUENTIAL_GROWTH","FQ3 2017","FQ3 2017","Currency=INR","Period=FQ","BEST_FPERIOD_OVERRIDE=FQ","FILING_STATUS=OR","EQY_CONSOLIDATED=Y","Sort=A","Dates=H","DateFormat=P","Fill=—","Direction=H","UseDPDF=Y")</f>
        <v>#NAME?</v>
      </c>
      <c r="BU521" s="2" t="e">
        <f ca="1">_xll.BDH($C$503,"TOTAL_EQUITY_SEQUENTIAL_GROWTH","FQ3 2017","FQ3 2017","Currency=INR","Period=FQ","BEST_FPERIOD_OVERRIDE=FQ","FILING_STATUS=OR","EQY_CONSOLIDATED=Y","Sort=A","Dates=H","DateFormat=P","Fill=—","Direction=H","UseDPDF=Y")</f>
        <v>#NAME?</v>
      </c>
      <c r="BV521" s="2" t="e">
        <f ca="1">_xll.BDH($C$503,"TOTAL_CAPITAL_SEQUENTIAL_GROWTH","FQ3 2017","FQ3 2017","Currency=INR","Period=FQ","BEST_FPERIOD_OVERRIDE=FQ","FILING_STATUS=OR","EQY_CONSOLIDATED=Y","Sort=A","Dates=H","DateFormat=P","Fill=—","Direction=H","UseDPDF=Y")</f>
        <v>#NAME?</v>
      </c>
      <c r="BW521" s="2" t="e">
        <f ca="1">_xll.BDH($C$503,"BPS_SEQUENTIAL_GROWTH","FQ3 2017","FQ3 2017","Currency=INR","Period=FQ","BEST_FPERIOD_OVERRIDE=FQ","FILING_STATUS=OR","EQY_CONSOLIDATED=Y","Sort=A","Dates=H","DateFormat=P","Fill=—","Direction=H","UseDPDF=Y")</f>
        <v>#NAME?</v>
      </c>
      <c r="BX521" s="2" t="e">
        <f ca="1">_xll.BDH($C$503,"CFO_SEQUENTIAL_GROWTH","FQ3 2017","FQ3 2017","Currency=INR","Period=FQ","BEST_FPERIOD_OVERRIDE=FQ","FILING_STATUS=OR","EQY_CONSOLIDATED=Y","Sort=A","Dates=H","DateFormat=P","Fill=—","Direction=H","UseDPDF=Y")</f>
        <v>#NAME?</v>
      </c>
      <c r="BY521" s="3" t="e">
        <f ca="1">_xll.BDH($C$503,"SHORT_AND_LONG_TERM_DEBT","FQ3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521" s="3" t="e">
        <f ca="1">_xll.BDH($C$503,"BS_ST_BORROW","FQ3 2017","FQ3 2017","Currency=INR","Period=FQ","BEST_FPERIOD_OVERRIDE=FQ","FILING_STATUS=OR","EQY_CONSOLIDATED=Y","SCALING_FORMAT=MLN","Sort=A","Dates=H","DateFormat=P","Fill=—","Direction=H","UseDPDF=Y")</f>
        <v>#NAME?</v>
      </c>
      <c r="CA521" s="3" t="e">
        <f ca="1">_xll.BDH($C$503,"BS_LT_BORROW","FQ3 2017","FQ3 2017","Currency=INR","Period=FQ","BEST_FPERIOD_OVERRIDE=FQ","FILING_STATUS=OR","EQY_CONSOLIDATED=Y","SCALING_FORMAT=MLN","Sort=A","Dates=H","DateFormat=P","Fill=—","Direction=H","UseDPDF=Y")</f>
        <v>#NAME?</v>
      </c>
      <c r="CB521" s="2" t="e">
        <f ca="1">_xll.BDH($C$503,"TOT_DEBT_TO_EBITDA","FQ3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521" s="2" t="e">
        <f ca="1">_xll.BDH($C$503,"NET_DEBT_TO_EBITDA","FQ3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521" s="2" t="e">
        <f ca="1">_xll.BDH($C$503,"TOTAL_DEBT_TO_EBIT","FQ3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521" s="2" t="e">
        <f ca="1">_xll.BDH($C$503,"NET_DEBT_TO_EBIT","FQ3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521" s="2" t="e">
        <f ca="1">_xll.BDH($C$503,"EBITDA_TO_INTEREST_EXPN","FQ3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521" s="2" t="e">
        <f ca="1">_xll.BDH($C$503,"COM_EQY_TO_TOT_ASSET","FQ3 2017","FQ3 2017","Currency=INR","Period=FQ","BEST_FPERIOD_OVERRIDE=FQ","FILING_STATUS=OR","EQY_CONSOLIDATED=Y","Sort=A","Dates=H","DateFormat=P","Fill=—","Direction=H","UseDPDF=Y")</f>
        <v>#NAME?</v>
      </c>
      <c r="CH521" s="2" t="e">
        <f ca="1">_xll.BDH($C$503,"LT_DEBT_TO_TOT_EQY","FQ3 2017","FQ3 2017","Currency=INR","Period=FQ","BEST_FPERIOD_OVERRIDE=FQ","FILING_STATUS=OR","EQY_CONSOLIDATED=Y","Sort=A","Dates=H","DateFormat=P","Fill=—","Direction=H","UseDPDF=Y")</f>
        <v>#NAME?</v>
      </c>
      <c r="CI521" s="2" t="e">
        <f ca="1">_xll.BDH($C$503,"LT_DEBT_TO_TOT_CAP","FQ3 2017","FQ3 2017","Currency=INR","Period=FQ","BEST_FPERIOD_OVERRIDE=FQ","FILING_STATUS=OR","EQY_CONSOLIDATED=Y","Sort=A","Dates=H","DateFormat=P","Fill=—","Direction=H","UseDPDF=Y")</f>
        <v>#NAME?</v>
      </c>
      <c r="CJ521" s="2" t="e">
        <f ca="1">_xll.BDH($C$503,"LT_DEBT_TO_TOT_ASSET","FQ3 2017","FQ3 2017","Currency=INR","Period=FQ","BEST_FPERIOD_OVERRIDE=FQ","FILING_STATUS=OR","EQY_CONSOLIDATED=Y","Sort=A","Dates=H","DateFormat=P","Fill=—","Direction=H","UseDPDF=Y")</f>
        <v>#NAME?</v>
      </c>
      <c r="CK521" s="2" t="e">
        <f ca="1">_xll.BDH($C$503,"TOT_DEBT_TO_TOT_EQY","FQ3 2017","FQ3 2017","Currency=INR","Period=FQ","BEST_FPERIOD_OVERRIDE=FQ","FILING_STATUS=OR","EQY_CONSOLIDATED=Y","Sort=A","Dates=H","DateFormat=P","Fill=—","Direction=H","UseDPDF=Y")</f>
        <v>#NAME?</v>
      </c>
      <c r="CL521" s="2" t="e">
        <f ca="1">_xll.BDH($C$503,"TOT_DEBT_TO_TOT_CAP","FQ3 2017","FQ3 2017","Currency=INR","Period=FQ","BEST_FPERIOD_OVERRIDE=FQ","FILING_STATUS=OR","EQY_CONSOLIDATED=Y","Sort=A","Dates=H","DateFormat=P","Fill=—","Direction=H","UseDPDF=Y")</f>
        <v>#NAME?</v>
      </c>
      <c r="CM521" s="2" t="e">
        <f ca="1">_xll.BDH($C$503,"TOT_DEBT_TO_TOT_ASSET","FQ3 2017","FQ3 2017","Currency=INR","Period=FQ","BEST_FPERIOD_OVERRIDE=FQ","FILING_STATUS=OR","EQY_CONSOLIDATED=Y","Sort=A","Dates=H","DateFormat=P","Fill=—","Direction=H","UseDPDF=Y")</f>
        <v>#NAME?</v>
      </c>
      <c r="CN521" s="2" t="e">
        <f ca="1">_xll.BDH($C$503,"NET_DEBT_TO_SHRHLDR_EQTY","FQ3 2017","FQ3 2017","Currency=INR","Period=FQ","BEST_FPERIOD_OVERRIDE=FQ","FILING_STATUS=OR","EQY_CONSOLIDATED=Y","Sort=A","Dates=H","DateFormat=P","Fill=—","Direction=H","UseDPDF=Y")</f>
        <v>#NAME?</v>
      </c>
      <c r="CO521" s="2" t="e">
        <f ca="1">_xll.BDH($C$503,"NET_DEBT_%_CAPITAL","FQ3 2017","FQ3 2017","Currency=INR","Period=FQ","BEST_FPERIOD_OVERRIDE=FQ","FILING_STATUS=OR","EQY_CONSOLIDATED=Y","Sort=A","Dates=H","DateFormat=P","Fill=—","Direction=H","UseDPDF=Y")</f>
        <v>#NAME?</v>
      </c>
      <c r="CP521" s="3" t="e">
        <f ca="1">_xll.BDH($C$503,"EBITDA","FQ3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521" s="3" t="e">
        <f ca="1">_xll.BDH($C$503,"EBITDA_AFTER_CAPEX","FQ3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521" s="3" t="e">
        <f ca="1">_xll.BDH($C$503,"IS_OPER_INC","FQ3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521" s="2" t="e">
        <f ca="1">_xll.BDH($C$503,"CASH_RATIO","FQ3 2017","FQ3 2017","Currency=INR","Period=FQ","BEST_FPERIOD_OVERRIDE=FQ","FILING_STATUS=OR","EQY_CONSOLIDATED=Y","Sort=A","Dates=H","DateFormat=P","Fill=—","Direction=H","UseDPDF=Y")</f>
        <v>#NAME?</v>
      </c>
      <c r="CT521" s="2" t="e">
        <f ca="1">_xll.BDH($C$503,"CUR_RATIO","FQ3 2017","FQ3 2017","Currency=INR","Period=FQ","BEST_FPERIOD_OVERRIDE=FQ","FILING_STATUS=OR","EQY_CONSOLIDATED=Y","Sort=A","Dates=H","DateFormat=P","Fill=—","Direction=H","UseDPDF=Y")</f>
        <v>#NAME?</v>
      </c>
      <c r="CU521" s="2" t="e">
        <f ca="1">_xll.BDH($C$503,"QUICK_RATIO","FQ3 2017","FQ3 2017","Currency=INR","Period=FQ","BEST_FPERIOD_OVERRIDE=FQ","FILING_STATUS=OR","EQY_CONSOLIDATED=Y","Sort=A","Dates=H","DateFormat=P","Fill=—","Direction=H","UseDPDF=Y")</f>
        <v>#NAME?</v>
      </c>
      <c r="CV521" s="2" t="e">
        <f ca="1">_xll.BDH($C$503,"ALTMAN_Z_SCORE","FQ3 2017","FQ3 2017","Currency=INR","Period=FQ","BEST_FPERIOD_OVERRIDE=FQ","FILING_STATUS=OR","EQY_CONSOLIDATED=Y","Sort=A","Dates=H","DateFormat=P","Fill=—","Direction=H","UseDPDF=Y")</f>
        <v>#NAME?</v>
      </c>
      <c r="CW521" s="4" t="e">
        <f ca="1">_xll.BDH($C$503,"ACCT_RCV_TURN","FQ3 2017","FQ3 2017","Currency=INR","Period=FQ","BEST_FPERIOD_OVERRIDE=FQ","FILING_STATUS=OR","EQY_CONSOLIDATED=Y","FA_ADJUSTED=GAAP","Sort=A","Dates=H","DateFormat=P","Fill=—","Direction=H","UseDPDF=Y")</f>
        <v>#NAME?</v>
      </c>
      <c r="CX521" s="2" t="e">
        <f ca="1">_xll.BDH($C$503,"ACCT_RCV_DAYS","FQ3 2017","FQ3 2017","Currency=INR","Period=FQ","BEST_FPERIOD_OVERRIDE=FQ","FILING_STATUS=OR","EQY_CONSOLIDATED=Y","FA_ADJUSTED=GAAP","Sort=A","Dates=H","DateFormat=P","Fill=—","Direction=H","UseDPDF=Y")</f>
        <v>#NAME?</v>
      </c>
      <c r="CY521" s="4" t="e">
        <f ca="1">_xll.BDH($C$503,"INVENT_TURN","FQ3 2017","FQ3 2017","Currency=INR","Period=FQ","BEST_FPERIOD_OVERRIDE=FQ","FILING_STATUS=OR","EQY_CONSOLIDATED=Y","FA_ADJUSTED=GAAP","Sort=A","Dates=H","DateFormat=P","Fill=—","Direction=H","UseDPDF=Y")</f>
        <v>#NAME?</v>
      </c>
      <c r="CZ521" s="2" t="e">
        <f ca="1">_xll.BDH($C$503,"INVENT_DAYS","FQ3 2017","FQ3 2017","Currency=INR","Period=FQ","BEST_FPERIOD_OVERRIDE=FQ","FILING_STATUS=OR","EQY_CONSOLIDATED=Y","FA_ADJUSTED=GAAP","Sort=A","Dates=H","DateFormat=P","Fill=—","Direction=H","UseDPDF=Y")</f>
        <v>#NAME?</v>
      </c>
      <c r="DA521" s="4" t="e">
        <f ca="1">_xll.BDH($C$503,"ACCOUNTS_PAYABLE_TURNOVER","FQ3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521" s="2" t="e">
        <f ca="1">_xll.BDH($C$503,"ACCOUNTS_PAYABLE_TURNOVER_DAYS","FQ3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521" s="4" t="e">
        <f ca="1">_xll.BDH($C$503,"CASH_CONVERSION_CYCLE","FQ3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521" s="4" t="e">
        <f ca="1">_xll.BDH($C$503,"INV_TO_CASH_DAYS","FQ3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521" s="5" t="e">
        <f ca="1">_xll.BDH($C$503,"BS_INVENTORIES","FQ3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521" s="3" t="e">
        <f ca="1">_xll.BDH($C$503,"INVTRY_RAW_MATERIALS","FQ3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521" s="3" t="e">
        <f ca="1">_xll.BDH($C$503,"INVTRY_IN_PROGRESS","FQ3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521" s="3" t="e">
        <f ca="1">_xll.BDH($C$503,"INVTRY_FINISHED_GOODS","FQ3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521" s="3" t="e">
        <f ca="1">_xll.BDH($C$503,"BS_OTHER_INV","FQ3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522" spans="1:113" x14ac:dyDescent="0.3">
      <c r="A522" s="6"/>
      <c r="B522" s="6"/>
      <c r="C522" s="6"/>
      <c r="D522" s="6"/>
      <c r="E522" t="s">
        <v>81</v>
      </c>
      <c r="F522" t="e">
        <f ca="1">_xll.BDH($C$503,"RETURN_COM_EQY","FQ4 2017","FQ4 2017","Currency=INR","Period=FQ","BEST_FPERIOD_OVERRIDE=FQ","FILING_STATUS=OR","EQY_CONSOLIDATED=Y","FA_ADJUSTED=GAAP","Sort=A","Dates=H","DateFormat=P","Fill=—","Direction=H","UseDPDF=Y")</f>
        <v>#NAME?</v>
      </c>
      <c r="G522" t="e">
        <f ca="1">_xll.BDH($C$503,"RETURN_ON_ASSET","FQ4 2017","FQ4 2017","Currency=INR","Period=FQ","BEST_FPERIOD_OVERRIDE=FQ","FILING_STATUS=OR","EQY_CONSOLIDATED=Y","FA_ADJUSTED=GAAP","Sort=A","Dates=H","DateFormat=P","Fill=—","Direction=H","UseDPDF=Y")</f>
        <v>#NAME?</v>
      </c>
      <c r="H522" t="e">
        <f ca="1">_xll.BDH($C$503,"RETURN_ON_CAP","FQ4 2017","FQ4 2017","Currency=INR","Period=FQ","BEST_FPERIOD_OVERRIDE=FQ","FILING_STATUS=OR","EQY_CONSOLIDATED=Y","FA_ADJUSTED=GAAP","Sort=A","Dates=H","DateFormat=P","Fill=—","Direction=H","UseDPDF=Y")</f>
        <v>#NAME?</v>
      </c>
      <c r="I522" t="e">
        <f ca="1">_xll.BDH($C$503,"RETURN_ON_INV_CAPITAL","FQ4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522" t="e">
        <f ca="1">_xll.BDH($C$503,"EBITDA_TO_REVENUE","FQ4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522" t="e">
        <f ca="1">_xll.BDH($C$503,"OPER_MARGIN","FQ4 2017","FQ4 2017","Currency=INR","Period=FQ","BEST_FPERIOD_OVERRIDE=FQ","FILING_STATUS=OR","EQY_CONSOLIDATED=Y","FA_ADJUSTED=GAAP","Sort=A","Dates=H","DateFormat=P","Fill=—","Direction=H","UseDPDF=Y")</f>
        <v>#NAME?</v>
      </c>
      <c r="L522" t="e">
        <f ca="1">_xll.BDH($C$503,"INCREMENTAL_OPERATING_MARGIN","FQ4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522" t="e">
        <f ca="1">_xll.BDH($C$503,"PRETAX_INC_TO_NET_SALES","FQ4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522" t="e">
        <f ca="1">_xll.BDH($C$503,"INC_BEF_XO_ITEMS_TO_NET_SALES","FQ4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522" t="e">
        <f ca="1">_xll.BDH($C$503,"PROF_MARGIN","FQ4 2017","FQ4 2017","Currency=INR","Period=FQ","BEST_FPERIOD_OVERRIDE=FQ","FILING_STATUS=OR","EQY_CONSOLIDATED=Y","FA_ADJUSTED=GAAP","Sort=A","Dates=H","DateFormat=P","Fill=—","Direction=H","UseDPDF=Y")</f>
        <v>#NAME?</v>
      </c>
      <c r="P522" t="e">
        <f ca="1">_xll.BDH($C$503,"NET_INCOME_TO_COMMON_MARGIN","FQ4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522" t="e">
        <f ca="1">_xll.BDH($C$503,"EFF_TAX_RATE","FQ4 2017","FQ4 2017","Currency=INR","Period=FQ","BEST_FPERIOD_OVERRIDE=FQ","FILING_STATUS=OR","EQY_CONSOLIDATED=Y","FA_ADJUSTED=GAAP","Sort=A","Dates=H","DateFormat=P","Fill=—","Direction=H","UseDPDF=Y")</f>
        <v>#NAME?</v>
      </c>
      <c r="R522" t="e">
        <f ca="1">_xll.BDH($C$503,"DVD_PAYOUT_RATIO","FQ4 2017","FQ4 2017","Currency=INR","Period=FQ","BEST_FPERIOD_OVERRIDE=FQ","FILING_STATUS=OR","EQY_CONSOLIDATED=Y","FA_ADJUSTED=GAAP","Sort=A","Dates=H","DateFormat=P","Fill=—","Direction=H","UseDPDF=Y")</f>
        <v>#NAME?</v>
      </c>
      <c r="S522" t="e">
        <f ca="1">_xll.BDH($C$503,"SUSTAIN_GROWTH_RT","FQ4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522" s="2" t="e">
        <f ca="1">_xll.BDH($C$503,"SALES_GROWTH","FQ4 2017","FQ4 2017","Currency=INR","Period=FQ","BEST_FPERIOD_OVERRIDE=FQ","FILING_STATUS=OR","EQY_CONSOLIDATED=Y","FA_ADJUSTED=GAAP","Sort=A","Dates=H","DateFormat=P","Fill=—","Direction=H","UseDPDF=Y")</f>
        <v>#NAME?</v>
      </c>
      <c r="U522" s="2" t="e">
        <f ca="1">_xll.BDH($C$503,"EBITDA_GROWTH","FQ4 2017","FQ4 2017","Currency=INR","Period=FQ","BEST_FPERIOD_OVERRIDE=FQ","FILING_STATUS=OR","EQY_CONSOLIDATED=Y","FA_ADJUSTED=GAAP","Sort=A","Dates=H","DateFormat=P","Fill=—","Direction=H","UseDPDF=Y")</f>
        <v>#NAME?</v>
      </c>
      <c r="V522" s="2" t="e">
        <f ca="1">_xll.BDH($C$503,"OPER_INC_GROWTH","FQ4 2017","FQ4 2017","Currency=INR","Period=FQ","BEST_FPERIOD_OVERRIDE=FQ","FILING_STATUS=OR","EQY_CONSOLIDATED=Y","FA_ADJUSTED=GAAP","Sort=A","Dates=H","DateFormat=P","Fill=—","Direction=H","UseDPDF=Y")</f>
        <v>#NAME?</v>
      </c>
      <c r="W522" s="2" t="e">
        <f ca="1">_xll.BDH($C$503,"EARN_FOR_COM_GROWTH","FQ4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522" s="2" t="e">
        <f ca="1">_xll.BDH($C$503,"DILUTED_EPS_AFT_XO_ITEMS_GROWTH","FQ4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522" s="2" t="e">
        <f ca="1">_xll.BDH($C$503,"DIVIDEND_PER_SHARE_1_YEAR_GROWTH","FQ4 2017","FQ4 2017","Currency=INR","Period=FQ","BEST_FPERIOD_OVERRIDE=FQ","FILING_STATUS=OR","EQY_CONSOLIDATED=Y","Sort=A","Dates=H","DateFormat=P","Fill=—","Direction=H","UseDPDF=Y")</f>
        <v>#NAME?</v>
      </c>
      <c r="Z522" s="2" t="e">
        <f ca="1">_xll.BDH($C$503,"ACCOUNTS_RECEIVABLE_GROWTH","FQ4 2017","FQ4 2017","Currency=INR","Period=FQ","BEST_FPERIOD_OVERRIDE=FQ","FILING_STATUS=OR","EQY_CONSOLIDATED=Y","Sort=A","Dates=H","DateFormat=P","Fill=—","Direction=H","UseDPDF=Y")</f>
        <v>#NAME?</v>
      </c>
      <c r="AA522" s="2" t="e">
        <f ca="1">_xll.BDH($C$503,"INVENTORY_GROWTH","FQ4 2017","FQ4 2017","Currency=INR","Period=FQ","BEST_FPERIOD_OVERRIDE=FQ","FILING_STATUS=OR","EQY_CONSOLIDATED=Y","Sort=A","Dates=H","DateFormat=P","Fill=—","Direction=H","UseDPDF=Y")</f>
        <v>#NAME?</v>
      </c>
      <c r="AB522" s="2" t="e">
        <f ca="1">_xll.BDH($C$503,"NET_FIXED_ASSETS_1_YEAR_GROWTH","FQ4 2017","FQ4 2017","Currency=INR","Period=FQ","BEST_FPERIOD_OVERRIDE=FQ","FILING_STATUS=OR","EQY_CONSOLIDATED=Y","Sort=A","Dates=H","DateFormat=P","Fill=—","Direction=H","UseDPDF=Y")</f>
        <v>#NAME?</v>
      </c>
      <c r="AC522" s="2" t="e">
        <f ca="1">_xll.BDH($C$503,"ASSET_GROWTH","FQ4 2017","FQ4 2017","Currency=INR","Period=FQ","BEST_FPERIOD_OVERRIDE=FQ","FILING_STATUS=OR","EQY_CONSOLIDATED=Y","Sort=A","Dates=H","DateFormat=P","Fill=—","Direction=H","UseDPDF=Y")</f>
        <v>#NAME?</v>
      </c>
      <c r="AD522" s="2" t="e">
        <f ca="1">_xll.BDH($C$503,"MODIFIED_WORK_CAP_GROWTH","FQ4 2017","FQ4 2017","Currency=INR","Period=FQ","BEST_FPERIOD_OVERRIDE=FQ","FILING_STATUS=OR","EQY_CONSOLIDATED=Y","Sort=A","Dates=H","DateFormat=P","Fill=—","Direction=H","UseDPDF=Y")</f>
        <v>#NAME?</v>
      </c>
      <c r="AE522" s="2" t="e">
        <f ca="1">_xll.BDH($C$503,"WORK_CAP_GROWTH","FQ4 2017","FQ4 2017","Currency=INR","Period=FQ","BEST_FPERIOD_OVERRIDE=FQ","FILING_STATUS=OR","EQY_CONSOLIDATED=Y","Sort=A","Dates=H","DateFormat=P","Fill=—","Direction=H","UseDPDF=Y")</f>
        <v>#NAME?</v>
      </c>
      <c r="AF522" s="2" t="e">
        <f ca="1">_xll.BDH($C$503,"ACCOUNTS_PAYABLE_GROWTH_1YR","FQ4 2017","FQ4 2017","Currency=INR","Period=FQ","BEST_FPERIOD_OVERRIDE=FQ","FILING_STATUS=OR","EQY_CONSOLIDATED=Y","Sort=A","Dates=H","DateFormat=P","Fill=—","Direction=H","UseDPDF=Y")</f>
        <v>#NAME?</v>
      </c>
      <c r="AG522" s="2" t="e">
        <f ca="1">_xll.BDH($C$503,"SHORT_TERM_DEBT_1_YEAR_GROWTH","FQ4 2017","FQ4 2017","Currency=INR","Period=FQ","BEST_FPERIOD_OVERRIDE=FQ","FILING_STATUS=OR","EQY_CONSOLIDATED=Y","Sort=A","Dates=H","DateFormat=P","Fill=—","Direction=H","UseDPDF=Y")</f>
        <v>#NAME?</v>
      </c>
      <c r="AH522" s="2" t="e">
        <f ca="1">_xll.BDH($C$503,"TOTAL_DEBT_1_YEAR_GROWTH","FQ4 2017","FQ4 2017","Currency=INR","Period=FQ","BEST_FPERIOD_OVERRIDE=FQ","FILING_STATUS=OR","EQY_CONSOLIDATED=Y","Sort=A","Dates=H","DateFormat=P","Fill=—","Direction=H","UseDPDF=Y")</f>
        <v>#NAME?</v>
      </c>
      <c r="AI522" s="2" t="e">
        <f ca="1">_xll.BDH($C$503,"TOTAL_EQUITY_1_YEAR_GROWTH","FQ4 2017","FQ4 2017","Currency=INR","Period=FQ","BEST_FPERIOD_OVERRIDE=FQ","FILING_STATUS=OR","EQY_CONSOLIDATED=Y","Sort=A","Dates=H","DateFormat=P","Fill=—","Direction=H","UseDPDF=Y")</f>
        <v>#NAME?</v>
      </c>
      <c r="AJ522" s="2" t="e">
        <f ca="1">_xll.BDH($C$503,"GROWTH_IN_CAP","FQ4 2017","FQ4 2017","Currency=INR","Period=FQ","BEST_FPERIOD_OVERRIDE=FQ","FILING_STATUS=OR","EQY_CONSOLIDATED=Y","Sort=A","Dates=H","DateFormat=P","Fill=—","Direction=H","UseDPDF=Y")</f>
        <v>#NAME?</v>
      </c>
      <c r="AK522" s="2" t="e">
        <f ca="1">_xll.BDH($C$503,"BVPS_GROWTH","FQ4 2017","FQ4 2017","Currency=INR","Period=FQ","BEST_FPERIOD_OVERRIDE=FQ","FILING_STATUS=OR","EQY_CONSOLIDATED=Y","Sort=A","Dates=H","DateFormat=P","Fill=—","Direction=H","UseDPDF=Y")</f>
        <v>#NAME?</v>
      </c>
      <c r="AL522" s="2" t="e">
        <f ca="1">_xll.BDH($C$503,"CASH_FLOW_GROWTH","FQ4 2017","FQ4 2017","Currency=INR","Period=FQ","BEST_FPERIOD_OVERRIDE=FQ","FILING_STATUS=OR","EQY_CONSOLIDATED=Y","Sort=A","Dates=H","DateFormat=P","Fill=—","Direction=H","UseDPDF=Y")</f>
        <v>#NAME?</v>
      </c>
      <c r="AM522" s="2" t="e">
        <f ca="1">_xll.BDH($C$503,"GEO_GROW_NET_SALES","FQ4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522" s="2" t="e">
        <f ca="1">_xll.BDH($C$503,"GEO_GROW_EBITDA","FQ4 2017","FQ4 2017","Currency=INR","Period=FQ","BEST_FPERIOD_OVERRIDE=FQ","FILING_STATUS=OR","EQY_CONSOLIDATED=Y","FA_ADJUSTED=GAAP","Sort=A","Dates=H","DateFormat=P","Fill=—","Direction=H","UseDPDF=Y")</f>
        <v>#NAME?</v>
      </c>
      <c r="AO522" s="2" t="e">
        <f ca="1">_xll.BDH($C$503,"GEO_GROW_OPER_INC","FQ4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522" s="2" t="e">
        <f ca="1">_xll.BDH($C$503,"NET_INCOME_TO_COMMON_5_YR_GROWTH","FQ4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522" s="2" t="e">
        <f ca="1">_xll.BDH($C$503,"5Y_GEO_GROWTH_DILUTED_EPS","FQ4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522" s="2" t="e">
        <f ca="1">_xll.BDH($C$503,"GEO_GROW_DVD_PER_SH","FQ4 2017","FQ4 2017","Currency=INR","Period=FQ","BEST_FPERIOD_OVERRIDE=FQ","FILING_STATUS=OR","EQY_CONSOLIDATED=Y","Sort=A","Dates=H","DateFormat=P","Fill=—","Direction=H","UseDPDF=Y")</f>
        <v>#NAME?</v>
      </c>
      <c r="AS522" s="2" t="e">
        <f ca="1">_xll.BDH($C$503,"ACCOUNTS_RECEIVABLE_5_YR_GROWTH","FQ4 2017","FQ4 2017","Currency=INR","Period=FQ","BEST_FPERIOD_OVERRIDE=FQ","FILING_STATUS=OR","EQY_CONSOLIDATED=Y","Sort=A","Dates=H","DateFormat=P","Fill=—","Direction=H","UseDPDF=Y")</f>
        <v>#NAME?</v>
      </c>
      <c r="AT522" s="2" t="e">
        <f ca="1">_xll.BDH($C$503,"INVENTORY_5_YEAR_GROWTH","FQ4 2017","FQ4 2017","Currency=INR","Period=FQ","BEST_FPERIOD_OVERRIDE=FQ","FILING_STATUS=OR","EQY_CONSOLIDATED=Y","Sort=A","Dates=H","DateFormat=P","Fill=—","Direction=H","UseDPDF=Y")</f>
        <v>#NAME?</v>
      </c>
      <c r="AU522" s="2" t="e">
        <f ca="1">_xll.BDH($C$503,"NET_FIXED_ASSETS_5_YEAR_GROWTH","FQ4 2017","FQ4 2017","Currency=INR","Period=FQ","BEST_FPERIOD_OVERRIDE=FQ","FILING_STATUS=OR","EQY_CONSOLIDATED=Y","Sort=A","Dates=H","DateFormat=P","Fill=—","Direction=H","UseDPDF=Y")</f>
        <v>#NAME?</v>
      </c>
      <c r="AV522" s="2" t="e">
        <f ca="1">_xll.BDH($C$503,"GEO_GROW_TOT_ASSET","FQ4 2017","FQ4 2017","Currency=INR","Period=FQ","BEST_FPERIOD_OVERRIDE=FQ","FILING_STATUS=OR","EQY_CONSOLIDATED=Y","Sort=A","Dates=H","DateFormat=P","Fill=—","Direction=H","UseDPDF=Y")</f>
        <v>#NAME?</v>
      </c>
      <c r="AW522" s="2" t="e">
        <f ca="1">_xll.BDH($C$503,"MODIFIED_WORKING_CPTL_5YR_GRWTH","FQ4 2017","FQ4 2017","Currency=INR","Period=FQ","BEST_FPERIOD_OVERRIDE=FQ","FILING_STATUS=OR","EQY_CONSOLIDATED=Y","Sort=A","Dates=H","DateFormat=P","Fill=—","Direction=H","UseDPDF=Y")</f>
        <v>#NAME?</v>
      </c>
      <c r="AX522" s="2" t="e">
        <f ca="1">_xll.BDH($C$503,"WORKING_CAPITAL_5_YEAR_GROWTH","FQ4 2017","FQ4 2017","Currency=INR","Period=FQ","BEST_FPERIOD_OVERRIDE=FQ","FILING_STATUS=OR","EQY_CONSOLIDATED=Y","Sort=A","Dates=H","DateFormat=P","Fill=—","Direction=H","UseDPDF=Y")</f>
        <v>#NAME?</v>
      </c>
      <c r="AY522" s="2" t="e">
        <f ca="1">_xll.BDH($C$503,"ACCOUNTS_PAYABLE_5_YEAR_GROWTH","FQ4 2017","FQ4 2017","Currency=INR","Period=FQ","BEST_FPERIOD_OVERRIDE=FQ","FILING_STATUS=OR","EQY_CONSOLIDATED=Y","Sort=A","Dates=H","DateFormat=P","Fill=—","Direction=H","UseDPDF=Y")</f>
        <v>#NAME?</v>
      </c>
      <c r="AZ522" s="2" t="e">
        <f ca="1">_xll.BDH($C$503,"SHORT_TERM_DEBT_5_YEAR_GROWTH","FQ4 2017","FQ4 2017","Currency=INR","Period=FQ","BEST_FPERIOD_OVERRIDE=FQ","FILING_STATUS=OR","EQY_CONSOLIDATED=Y","Sort=A","Dates=H","DateFormat=P","Fill=—","Direction=H","UseDPDF=Y")</f>
        <v>#NAME?</v>
      </c>
      <c r="BA522" s="2" t="e">
        <f ca="1">_xll.BDH($C$503,"TOTAL_DEBT_5_YEAR_GROWTH","FQ4 2017","FQ4 2017","Currency=INR","Period=FQ","BEST_FPERIOD_OVERRIDE=FQ","FILING_STATUS=OR","EQY_CONSOLIDATED=Y","Sort=A","Dates=H","DateFormat=P","Fill=—","Direction=H","UseDPDF=Y")</f>
        <v>#NAME?</v>
      </c>
      <c r="BB522" s="2" t="e">
        <f ca="1">_xll.BDH($C$503,"GEO_GROW_TOT_SHRHLDR_EQY","FQ4 2017","FQ4 2017","Currency=INR","Period=FQ","BEST_FPERIOD_OVERRIDE=FQ","FILING_STATUS=OR","EQY_CONSOLIDATED=Y","Sort=A","Dates=H","DateFormat=P","Fill=—","Direction=H","UseDPDF=Y")</f>
        <v>#NAME?</v>
      </c>
      <c r="BC522" s="2" t="e">
        <f ca="1">_xll.BDH($C$503,"TOTAL_CAPITAL_5_YEAR_GROWTH","FQ4 2017","FQ4 2017","Currency=INR","Period=FQ","BEST_FPERIOD_OVERRIDE=FQ","FILING_STATUS=OR","EQY_CONSOLIDATED=Y","Sort=A","Dates=H","DateFormat=P","Fill=—","Direction=H","UseDPDF=Y")</f>
        <v>#NAME?</v>
      </c>
      <c r="BD522" s="2" t="e">
        <f ca="1">_xll.BDH($C$503,"GEO_GROW_BOOK_VAL","FQ4 2017","FQ4 2017","Currency=INR","Period=FQ","BEST_FPERIOD_OVERRIDE=FQ","FILING_STATUS=OR","EQY_CONSOLIDATED=Y","Sort=A","Dates=H","DateFormat=P","Fill=—","Direction=H","UseDPDF=Y")</f>
        <v>#NAME?</v>
      </c>
      <c r="BE522" s="2" t="e">
        <f ca="1">_xll.BDH($C$503,"GEO_GROW_CASH_OPER_ACT","FQ4 2017","FQ4 2017","Currency=INR","Period=FQ","BEST_FPERIOD_OVERRIDE=FQ","FILING_STATUS=OR","EQY_CONSOLIDATED=Y","Sort=A","Dates=H","DateFormat=P","Fill=—","Direction=H","UseDPDF=Y")</f>
        <v>#NAME?</v>
      </c>
      <c r="BF522" s="2" t="e">
        <f ca="1">_xll.BDH($C$503,"REVENUE_SEQUENTIAL_GROWTH","FQ4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522" s="2" t="e">
        <f ca="1">_xll.BDH($C$503,"EBITDA_SEQUENTIAL_GROWTH","FQ4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522" s="2" t="e">
        <f ca="1">_xll.BDH($C$503,"OPERATING_INCOME_SEQ_GROWTH","FQ4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522" s="2" t="e">
        <f ca="1">_xll.BDH($C$503,"NET_INCOME_TO_COMMON_SEQ_GROWTH","FQ4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522" s="2" t="e">
        <f ca="1">_xll.BDH($C$503,"EPS_DILUTED_SEQUENTIAL_GROWTH","FQ4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522" s="2" t="e">
        <f ca="1">_xll.BDH($C$503,"DPS_SEQUENTIAL_GROWTH","FQ4 2017","FQ4 2017","Currency=INR","Period=FQ","BEST_FPERIOD_OVERRIDE=FQ","FILING_STATUS=OR","EQY_CONSOLIDATED=Y","Sort=A","Dates=H","DateFormat=P","Fill=—","Direction=H","UseDPDF=Y")</f>
        <v>#NAME?</v>
      </c>
      <c r="BL522" s="2" t="e">
        <f ca="1">_xll.BDH($C$503,"ACCOUNTS_RECEIVABLE_SEQ_GROWTH","FQ4 2017","FQ4 2017","Currency=INR","Period=FQ","BEST_FPERIOD_OVERRIDE=FQ","FILING_STATUS=OR","EQY_CONSOLIDATED=Y","Sort=A","Dates=H","DateFormat=P","Fill=—","Direction=H","UseDPDF=Y")</f>
        <v>#NAME?</v>
      </c>
      <c r="BM522" s="2" t="e">
        <f ca="1">_xll.BDH($C$503,"INVENTORY_SEQUENTIAL_GROWTH","FQ4 2017","FQ4 2017","Currency=INR","Period=FQ","BEST_FPERIOD_OVERRIDE=FQ","FILING_STATUS=OR","EQY_CONSOLIDATED=Y","Sort=A","Dates=H","DateFormat=P","Fill=—","Direction=H","UseDPDF=Y")</f>
        <v>#NAME?</v>
      </c>
      <c r="BN522" s="2" t="e">
        <f ca="1">_xll.BDH($C$503,"FIXED_ASSETS_SEQUENTIAL_GROWTH","FQ4 2017","FQ4 2017","Currency=INR","Period=FQ","BEST_FPERIOD_OVERRIDE=FQ","FILING_STATUS=OR","EQY_CONSOLIDATED=Y","Sort=A","Dates=H","DateFormat=P","Fill=—","Direction=H","UseDPDF=Y")</f>
        <v>#NAME?</v>
      </c>
      <c r="BO522" s="2" t="e">
        <f ca="1">_xll.BDH($C$503,"TOTAL_ASSETS_SEQUENTIAL_GROWTH","FQ4 2017","FQ4 2017","Currency=INR","Period=FQ","BEST_FPERIOD_OVERRIDE=FQ","FILING_STATUS=OR","EQY_CONSOLIDATED=Y","Sort=A","Dates=H","DateFormat=P","Fill=—","Direction=H","UseDPDF=Y")</f>
        <v>#NAME?</v>
      </c>
      <c r="BP522" s="2" t="e">
        <f ca="1">_xll.BDH($C$503,"MODIFIED_WORKING_CPTL_SEQ_GRWTH","FQ4 2017","FQ4 2017","Currency=INR","Period=FQ","BEST_FPERIOD_OVERRIDE=FQ","FILING_STATUS=OR","EQY_CONSOLIDATED=Y","Sort=A","Dates=H","DateFormat=P","Fill=—","Direction=H","UseDPDF=Y")</f>
        <v>#NAME?</v>
      </c>
      <c r="BQ522" s="2" t="e">
        <f ca="1">_xll.BDH($C$503,"WORKING_CAPITAL_SEQ_GROWTH","FQ4 2017","FQ4 2017","Currency=INR","Period=FQ","BEST_FPERIOD_OVERRIDE=FQ","FILING_STATUS=OR","EQY_CONSOLIDATED=Y","Sort=A","Dates=H","DateFormat=P","Fill=—","Direction=H","UseDPDF=Y")</f>
        <v>#NAME?</v>
      </c>
      <c r="BR522" s="2" t="e">
        <f ca="1">_xll.BDH($C$503,"ACCOUNTS_PAYABLE_SEQ_GROWTH","FQ4 2017","FQ4 2017","Currency=INR","Period=FQ","BEST_FPERIOD_OVERRIDE=FQ","FILING_STATUS=OR","EQY_CONSOLIDATED=Y","Sort=A","Dates=H","DateFormat=P","Fill=—","Direction=H","UseDPDF=Y")</f>
        <v>#NAME?</v>
      </c>
      <c r="BS522" s="2" t="e">
        <f ca="1">_xll.BDH($C$503,"ST_DEBT_SEQUENTIAL_GROWTH","FQ4 2017","FQ4 2017","Currency=INR","Period=FQ","BEST_FPERIOD_OVERRIDE=FQ","FILING_STATUS=OR","EQY_CONSOLIDATED=Y","Sort=A","Dates=H","DateFormat=P","Fill=—","Direction=H","UseDPDF=Y")</f>
        <v>#NAME?</v>
      </c>
      <c r="BT522" s="2" t="e">
        <f ca="1">_xll.BDH($C$503,"TOTAL_DEBT_SEQUENTIAL_GROWTH","FQ4 2017","FQ4 2017","Currency=INR","Period=FQ","BEST_FPERIOD_OVERRIDE=FQ","FILING_STATUS=OR","EQY_CONSOLIDATED=Y","Sort=A","Dates=H","DateFormat=P","Fill=—","Direction=H","UseDPDF=Y")</f>
        <v>#NAME?</v>
      </c>
      <c r="BU522" s="2" t="e">
        <f ca="1">_xll.BDH($C$503,"TOTAL_EQUITY_SEQUENTIAL_GROWTH","FQ4 2017","FQ4 2017","Currency=INR","Period=FQ","BEST_FPERIOD_OVERRIDE=FQ","FILING_STATUS=OR","EQY_CONSOLIDATED=Y","Sort=A","Dates=H","DateFormat=P","Fill=—","Direction=H","UseDPDF=Y")</f>
        <v>#NAME?</v>
      </c>
      <c r="BV522" s="2" t="e">
        <f ca="1">_xll.BDH($C$503,"TOTAL_CAPITAL_SEQUENTIAL_GROWTH","FQ4 2017","FQ4 2017","Currency=INR","Period=FQ","BEST_FPERIOD_OVERRIDE=FQ","FILING_STATUS=OR","EQY_CONSOLIDATED=Y","Sort=A","Dates=H","DateFormat=P","Fill=—","Direction=H","UseDPDF=Y")</f>
        <v>#NAME?</v>
      </c>
      <c r="BW522" s="2" t="e">
        <f ca="1">_xll.BDH($C$503,"BPS_SEQUENTIAL_GROWTH","FQ4 2017","FQ4 2017","Currency=INR","Period=FQ","BEST_FPERIOD_OVERRIDE=FQ","FILING_STATUS=OR","EQY_CONSOLIDATED=Y","Sort=A","Dates=H","DateFormat=P","Fill=—","Direction=H","UseDPDF=Y")</f>
        <v>#NAME?</v>
      </c>
      <c r="BX522" s="2" t="e">
        <f ca="1">_xll.BDH($C$503,"CFO_SEQUENTIAL_GROWTH","FQ4 2017","FQ4 2017","Currency=INR","Period=FQ","BEST_FPERIOD_OVERRIDE=FQ","FILING_STATUS=OR","EQY_CONSOLIDATED=Y","Sort=A","Dates=H","DateFormat=P","Fill=—","Direction=H","UseDPDF=Y")</f>
        <v>#NAME?</v>
      </c>
      <c r="BY522" s="3" t="e">
        <f ca="1">_xll.BDH($C$503,"SHORT_AND_LONG_TERM_DEBT","FQ4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522" s="3" t="e">
        <f ca="1">_xll.BDH($C$503,"BS_ST_BORROW","FQ4 2017","FQ4 2017","Currency=INR","Period=FQ","BEST_FPERIOD_OVERRIDE=FQ","FILING_STATUS=OR","EQY_CONSOLIDATED=Y","SCALING_FORMAT=MLN","Sort=A","Dates=H","DateFormat=P","Fill=—","Direction=H","UseDPDF=Y")</f>
        <v>#NAME?</v>
      </c>
      <c r="CA522" s="3" t="e">
        <f ca="1">_xll.BDH($C$503,"BS_LT_BORROW","FQ4 2017","FQ4 2017","Currency=INR","Period=FQ","BEST_FPERIOD_OVERRIDE=FQ","FILING_STATUS=OR","EQY_CONSOLIDATED=Y","SCALING_FORMAT=MLN","Sort=A","Dates=H","DateFormat=P","Fill=—","Direction=H","UseDPDF=Y")</f>
        <v>#NAME?</v>
      </c>
      <c r="CB522" s="2" t="e">
        <f ca="1">_xll.BDH($C$503,"TOT_DEBT_TO_EBITDA","FQ4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522" s="2" t="e">
        <f ca="1">_xll.BDH($C$503,"NET_DEBT_TO_EBITDA","FQ4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522" s="2" t="e">
        <f ca="1">_xll.BDH($C$503,"TOTAL_DEBT_TO_EBIT","FQ4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522" s="2" t="e">
        <f ca="1">_xll.BDH($C$503,"NET_DEBT_TO_EBIT","FQ4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522" s="2" t="e">
        <f ca="1">_xll.BDH($C$503,"EBITDA_TO_INTEREST_EXPN","FQ4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522" s="2" t="e">
        <f ca="1">_xll.BDH($C$503,"COM_EQY_TO_TOT_ASSET","FQ4 2017","FQ4 2017","Currency=INR","Period=FQ","BEST_FPERIOD_OVERRIDE=FQ","FILING_STATUS=OR","EQY_CONSOLIDATED=Y","Sort=A","Dates=H","DateFormat=P","Fill=—","Direction=H","UseDPDF=Y")</f>
        <v>#NAME?</v>
      </c>
      <c r="CH522" s="2" t="e">
        <f ca="1">_xll.BDH($C$503,"LT_DEBT_TO_TOT_EQY","FQ4 2017","FQ4 2017","Currency=INR","Period=FQ","BEST_FPERIOD_OVERRIDE=FQ","FILING_STATUS=OR","EQY_CONSOLIDATED=Y","Sort=A","Dates=H","DateFormat=P","Fill=—","Direction=H","UseDPDF=Y")</f>
        <v>#NAME?</v>
      </c>
      <c r="CI522" s="2" t="e">
        <f ca="1">_xll.BDH($C$503,"LT_DEBT_TO_TOT_CAP","FQ4 2017","FQ4 2017","Currency=INR","Period=FQ","BEST_FPERIOD_OVERRIDE=FQ","FILING_STATUS=OR","EQY_CONSOLIDATED=Y","Sort=A","Dates=H","DateFormat=P","Fill=—","Direction=H","UseDPDF=Y")</f>
        <v>#NAME?</v>
      </c>
      <c r="CJ522" s="2" t="e">
        <f ca="1">_xll.BDH($C$503,"LT_DEBT_TO_TOT_ASSET","FQ4 2017","FQ4 2017","Currency=INR","Period=FQ","BEST_FPERIOD_OVERRIDE=FQ","FILING_STATUS=OR","EQY_CONSOLIDATED=Y","Sort=A","Dates=H","DateFormat=P","Fill=—","Direction=H","UseDPDF=Y")</f>
        <v>#NAME?</v>
      </c>
      <c r="CK522" s="2" t="e">
        <f ca="1">_xll.BDH($C$503,"TOT_DEBT_TO_TOT_EQY","FQ4 2017","FQ4 2017","Currency=INR","Period=FQ","BEST_FPERIOD_OVERRIDE=FQ","FILING_STATUS=OR","EQY_CONSOLIDATED=Y","Sort=A","Dates=H","DateFormat=P","Fill=—","Direction=H","UseDPDF=Y")</f>
        <v>#NAME?</v>
      </c>
      <c r="CL522" s="2" t="e">
        <f ca="1">_xll.BDH($C$503,"TOT_DEBT_TO_TOT_CAP","FQ4 2017","FQ4 2017","Currency=INR","Period=FQ","BEST_FPERIOD_OVERRIDE=FQ","FILING_STATUS=OR","EQY_CONSOLIDATED=Y","Sort=A","Dates=H","DateFormat=P","Fill=—","Direction=H","UseDPDF=Y")</f>
        <v>#NAME?</v>
      </c>
      <c r="CM522" s="2" t="e">
        <f ca="1">_xll.BDH($C$503,"TOT_DEBT_TO_TOT_ASSET","FQ4 2017","FQ4 2017","Currency=INR","Period=FQ","BEST_FPERIOD_OVERRIDE=FQ","FILING_STATUS=OR","EQY_CONSOLIDATED=Y","Sort=A","Dates=H","DateFormat=P","Fill=—","Direction=H","UseDPDF=Y")</f>
        <v>#NAME?</v>
      </c>
      <c r="CN522" s="2" t="e">
        <f ca="1">_xll.BDH($C$503,"NET_DEBT_TO_SHRHLDR_EQTY","FQ4 2017","FQ4 2017","Currency=INR","Period=FQ","BEST_FPERIOD_OVERRIDE=FQ","FILING_STATUS=OR","EQY_CONSOLIDATED=Y","Sort=A","Dates=H","DateFormat=P","Fill=—","Direction=H","UseDPDF=Y")</f>
        <v>#NAME?</v>
      </c>
      <c r="CO522" s="2" t="e">
        <f ca="1">_xll.BDH($C$503,"NET_DEBT_%_CAPITAL","FQ4 2017","FQ4 2017","Currency=INR","Period=FQ","BEST_FPERIOD_OVERRIDE=FQ","FILING_STATUS=OR","EQY_CONSOLIDATED=Y","Sort=A","Dates=H","DateFormat=P","Fill=—","Direction=H","UseDPDF=Y")</f>
        <v>#NAME?</v>
      </c>
      <c r="CP522" s="3" t="e">
        <f ca="1">_xll.BDH($C$503,"EBITDA","FQ4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522" s="3" t="e">
        <f ca="1">_xll.BDH($C$503,"EBITDA_AFTER_CAPEX","FQ4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522" s="3" t="e">
        <f ca="1">_xll.BDH($C$503,"IS_OPER_INC","FQ4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522" s="2" t="e">
        <f ca="1">_xll.BDH($C$503,"CASH_RATIO","FQ4 2017","FQ4 2017","Currency=INR","Period=FQ","BEST_FPERIOD_OVERRIDE=FQ","FILING_STATUS=OR","EQY_CONSOLIDATED=Y","Sort=A","Dates=H","DateFormat=P","Fill=—","Direction=H","UseDPDF=Y")</f>
        <v>#NAME?</v>
      </c>
      <c r="CT522" s="2" t="e">
        <f ca="1">_xll.BDH($C$503,"CUR_RATIO","FQ4 2017","FQ4 2017","Currency=INR","Period=FQ","BEST_FPERIOD_OVERRIDE=FQ","FILING_STATUS=OR","EQY_CONSOLIDATED=Y","Sort=A","Dates=H","DateFormat=P","Fill=—","Direction=H","UseDPDF=Y")</f>
        <v>#NAME?</v>
      </c>
      <c r="CU522" s="2" t="e">
        <f ca="1">_xll.BDH($C$503,"QUICK_RATIO","FQ4 2017","FQ4 2017","Currency=INR","Period=FQ","BEST_FPERIOD_OVERRIDE=FQ","FILING_STATUS=OR","EQY_CONSOLIDATED=Y","Sort=A","Dates=H","DateFormat=P","Fill=—","Direction=H","UseDPDF=Y")</f>
        <v>#NAME?</v>
      </c>
      <c r="CV522" s="2" t="e">
        <f ca="1">_xll.BDH($C$503,"ALTMAN_Z_SCORE","FQ4 2017","FQ4 2017","Currency=INR","Period=FQ","BEST_FPERIOD_OVERRIDE=FQ","FILING_STATUS=OR","EQY_CONSOLIDATED=Y","Sort=A","Dates=H","DateFormat=P","Fill=—","Direction=H","UseDPDF=Y")</f>
        <v>#NAME?</v>
      </c>
      <c r="CW522" s="4" t="e">
        <f ca="1">_xll.BDH($C$503,"ACCT_RCV_TURN","FQ4 2017","FQ4 2017","Currency=INR","Period=FQ","BEST_FPERIOD_OVERRIDE=FQ","FILING_STATUS=OR","EQY_CONSOLIDATED=Y","FA_ADJUSTED=GAAP","Sort=A","Dates=H","DateFormat=P","Fill=—","Direction=H","UseDPDF=Y")</f>
        <v>#NAME?</v>
      </c>
      <c r="CX522" s="2" t="e">
        <f ca="1">_xll.BDH($C$503,"ACCT_RCV_DAYS","FQ4 2017","FQ4 2017","Currency=INR","Period=FQ","BEST_FPERIOD_OVERRIDE=FQ","FILING_STATUS=OR","EQY_CONSOLIDATED=Y","FA_ADJUSTED=GAAP","Sort=A","Dates=H","DateFormat=P","Fill=—","Direction=H","UseDPDF=Y")</f>
        <v>#NAME?</v>
      </c>
      <c r="CY522" s="4" t="e">
        <f ca="1">_xll.BDH($C$503,"INVENT_TURN","FQ4 2017","FQ4 2017","Currency=INR","Period=FQ","BEST_FPERIOD_OVERRIDE=FQ","FILING_STATUS=OR","EQY_CONSOLIDATED=Y","FA_ADJUSTED=GAAP","Sort=A","Dates=H","DateFormat=P","Fill=—","Direction=H","UseDPDF=Y")</f>
        <v>#NAME?</v>
      </c>
      <c r="CZ522" s="2" t="e">
        <f ca="1">_xll.BDH($C$503,"INVENT_DAYS","FQ4 2017","FQ4 2017","Currency=INR","Period=FQ","BEST_FPERIOD_OVERRIDE=FQ","FILING_STATUS=OR","EQY_CONSOLIDATED=Y","FA_ADJUSTED=GAAP","Sort=A","Dates=H","DateFormat=P","Fill=—","Direction=H","UseDPDF=Y")</f>
        <v>#NAME?</v>
      </c>
      <c r="DA522" s="4" t="e">
        <f ca="1">_xll.BDH($C$503,"ACCOUNTS_PAYABLE_TURNOVER","FQ4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522" s="2" t="e">
        <f ca="1">_xll.BDH($C$503,"ACCOUNTS_PAYABLE_TURNOVER_DAYS","FQ4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522" s="4" t="e">
        <f ca="1">_xll.BDH($C$503,"CASH_CONVERSION_CYCLE","FQ4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522" s="4" t="e">
        <f ca="1">_xll.BDH($C$503,"INV_TO_CASH_DAYS","FQ4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522" s="5" t="e">
        <f ca="1">_xll.BDH($C$503,"BS_INVENTORIES","FQ4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522" s="3" t="e">
        <f ca="1">_xll.BDH($C$503,"INVTRY_RAW_MATERIALS","FQ4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522" s="3" t="e">
        <f ca="1">_xll.BDH($C$503,"INVTRY_IN_PROGRESS","FQ4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522" s="3" t="e">
        <f ca="1">_xll.BDH($C$503,"INVTRY_FINISHED_GOODS","FQ4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522" s="3" t="e">
        <f ca="1">_xll.BDH($C$503,"BS_OTHER_INV","FQ4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523" spans="1:113" x14ac:dyDescent="0.3">
      <c r="A523" s="6"/>
      <c r="B523" s="6"/>
      <c r="C523" s="6"/>
      <c r="D523" s="6" t="s">
        <v>85</v>
      </c>
      <c r="E523" t="s">
        <v>77</v>
      </c>
      <c r="F523" t="e">
        <f ca="1">_xll.BDH($C$503,"RETURN_COM_EQY","FY 2018","FY 2018","Currency=INR","Period=FY","BEST_FPERIOD_OVERRIDE=FY","FILING_STATUS=OR","EQY_CONSOLIDATED=Y","FA_ADJUSTED=GAAP","Sort=A","Dates=H","DateFormat=P","Fill=—","Direction=H","UseDPDF=Y")</f>
        <v>#NAME?</v>
      </c>
      <c r="G523" t="e">
        <f ca="1">_xll.BDH($C$503,"RETURN_ON_ASSET","FY 2018","FY 2018","Currency=INR","Period=FY","BEST_FPERIOD_OVERRIDE=FY","FILING_STATUS=OR","EQY_CONSOLIDATED=Y","FA_ADJUSTED=GAAP","Sort=A","Dates=H","DateFormat=P","Fill=—","Direction=H","UseDPDF=Y")</f>
        <v>#NAME?</v>
      </c>
      <c r="H523" t="e">
        <f ca="1">_xll.BDH($C$503,"RETURN_ON_CAP","FY 2018","FY 2018","Currency=INR","Period=FY","BEST_FPERIOD_OVERRIDE=FY","FILING_STATUS=OR","EQY_CONSOLIDATED=Y","FA_ADJUSTED=GAAP","Sort=A","Dates=H","DateFormat=P","Fill=—","Direction=H","UseDPDF=Y")</f>
        <v>#NAME?</v>
      </c>
      <c r="I523" t="e">
        <f ca="1">_xll.BDH($C$503,"RETURN_ON_INV_CAPITAL","FY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523" t="e">
        <f ca="1">_xll.BDH($C$503,"EBITDA_TO_REVENUE","FY 2018","FY 2018","Currency=INR","Period=FY","BEST_FPERIOD_OVERRIDE=FY","FILING_STATUS=OR","EQY_CONSOLIDATED=Y","FA_ADJUSTED=GAAP","Sort=A","Dates=H","DateFormat=P","Fill=—","Direction=H","UseDPDF=Y")</f>
        <v>#NAME?</v>
      </c>
      <c r="K523" t="e">
        <f ca="1">_xll.BDH($C$503,"OPER_MARGIN","FY 2018","FY 2018","Currency=INR","Period=FY","BEST_FPERIOD_OVERRIDE=FY","FILING_STATUS=OR","EQY_CONSOLIDATED=Y","FA_ADJUSTED=GAAP","Sort=A","Dates=H","DateFormat=P","Fill=—","Direction=H","UseDPDF=Y")</f>
        <v>#NAME?</v>
      </c>
      <c r="L523" t="e">
        <f ca="1">_xll.BDH($C$503,"INCREMENTAL_OPERATING_MARGIN","FY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523" t="e">
        <f ca="1">_xll.BDH($C$503,"PRETAX_INC_TO_NET_SALES","FY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523" t="e">
        <f ca="1">_xll.BDH($C$503,"INC_BEF_XO_ITEMS_TO_NET_SALES","FY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523" t="e">
        <f ca="1">_xll.BDH($C$503,"PROF_MARGIN","FY 2018","FY 2018","Currency=INR","Period=FY","BEST_FPERIOD_OVERRIDE=FY","FILING_STATUS=OR","EQY_CONSOLIDATED=Y","FA_ADJUSTED=GAAP","Sort=A","Dates=H","DateFormat=P","Fill=—","Direction=H","UseDPDF=Y")</f>
        <v>#NAME?</v>
      </c>
      <c r="P523" t="e">
        <f ca="1">_xll.BDH($C$503,"NET_INCOME_TO_COMMON_MARGIN","FY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523" t="e">
        <f ca="1">_xll.BDH($C$503,"EFF_TAX_RATE","FY 2018","FY 2018","Currency=INR","Period=FY","BEST_FPERIOD_OVERRIDE=FY","FILING_STATUS=OR","EQY_CONSOLIDATED=Y","FA_ADJUSTED=GAAP","Sort=A","Dates=H","DateFormat=P","Fill=—","Direction=H","UseDPDF=Y")</f>
        <v>#NAME?</v>
      </c>
      <c r="R523" t="e">
        <f ca="1">_xll.BDH($C$503,"DVD_PAYOUT_RATIO","FY 2018","FY 2018","Currency=INR","Period=FY","BEST_FPERIOD_OVERRIDE=FY","FILING_STATUS=OR","EQY_CONSOLIDATED=Y","FA_ADJUSTED=GAAP","Sort=A","Dates=H","DateFormat=P","Fill=—","Direction=H","UseDPDF=Y")</f>
        <v>#NAME?</v>
      </c>
      <c r="S523" t="e">
        <f ca="1">_xll.BDH($C$503,"SUSTAIN_GROWTH_RT","FY 2018","FY 2018","Currency=INR","Period=FY","BEST_FPERIOD_OVERRIDE=FY","FILING_STATUS=OR","EQY_CONSOLIDATED=Y","FA_ADJUSTED=GAAP","Sort=A","Dates=H","DateFormat=P","Fill=—","Direction=H","UseDPDF=Y")</f>
        <v>#NAME?</v>
      </c>
      <c r="T523" s="2" t="e">
        <f ca="1">_xll.BDH($C$503,"SALES_GROWTH","FY 2018","FY 2018","Currency=INR","Period=FY","BEST_FPERIOD_OVERRIDE=FY","FILING_STATUS=OR","EQY_CONSOLIDATED=Y","FA_ADJUSTED=GAAP","Sort=A","Dates=H","DateFormat=P","Fill=—","Direction=H","UseDPDF=Y")</f>
        <v>#NAME?</v>
      </c>
      <c r="U523" s="2" t="e">
        <f ca="1">_xll.BDH($C$503,"EBITDA_GROWTH","FY 2018","FY 2018","Currency=INR","Period=FY","BEST_FPERIOD_OVERRIDE=FY","FILING_STATUS=OR","EQY_CONSOLIDATED=Y","FA_ADJUSTED=GAAP","Sort=A","Dates=H","DateFormat=P","Fill=—","Direction=H","UseDPDF=Y")</f>
        <v>#NAME?</v>
      </c>
      <c r="V523" s="2" t="e">
        <f ca="1">_xll.BDH($C$503,"OPER_INC_GROWTH","FY 2018","FY 2018","Currency=INR","Period=FY","BEST_FPERIOD_OVERRIDE=FY","FILING_STATUS=OR","EQY_CONSOLIDATED=Y","FA_ADJUSTED=GAAP","Sort=A","Dates=H","DateFormat=P","Fill=—","Direction=H","UseDPDF=Y")</f>
        <v>#NAME?</v>
      </c>
      <c r="W523" s="2" t="e">
        <f ca="1">_xll.BDH($C$503,"EARN_FOR_COM_GROWTH","FY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523" s="2" t="e">
        <f ca="1">_xll.BDH($C$503,"DILUTED_EPS_AFT_XO_ITEMS_GROWTH","FY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523" s="2" t="e">
        <f ca="1">_xll.BDH($C$503,"DIVIDEND_PER_SHARE_1_YEAR_GROWTH","FY 2018","FY 2018","Currency=INR","Period=FY","BEST_FPERIOD_OVERRIDE=FY","FILING_STATUS=OR","EQY_CONSOLIDATED=Y","Sort=A","Dates=H","DateFormat=P","Fill=—","Direction=H","UseDPDF=Y")</f>
        <v>#NAME?</v>
      </c>
      <c r="Z523" s="2" t="e">
        <f ca="1">_xll.BDH($C$503,"ACCOUNTS_RECEIVABLE_GROWTH","FY 2018","FY 2018","Currency=INR","Period=FY","BEST_FPERIOD_OVERRIDE=FY","FILING_STATUS=OR","EQY_CONSOLIDATED=Y","Sort=A","Dates=H","DateFormat=P","Fill=—","Direction=H","UseDPDF=Y")</f>
        <v>#NAME?</v>
      </c>
      <c r="AA523" s="2" t="e">
        <f ca="1">_xll.BDH($C$503,"INVENTORY_GROWTH","FY 2018","FY 2018","Currency=INR","Period=FY","BEST_FPERIOD_OVERRIDE=FY","FILING_STATUS=OR","EQY_CONSOLIDATED=Y","Sort=A","Dates=H","DateFormat=P","Fill=—","Direction=H","UseDPDF=Y")</f>
        <v>#NAME?</v>
      </c>
      <c r="AB523" s="2" t="e">
        <f ca="1">_xll.BDH($C$503,"NET_FIXED_ASSETS_1_YEAR_GROWTH","FY 2018","FY 2018","Currency=INR","Period=FY","BEST_FPERIOD_OVERRIDE=FY","FILING_STATUS=OR","EQY_CONSOLIDATED=Y","Sort=A","Dates=H","DateFormat=P","Fill=—","Direction=H","UseDPDF=Y")</f>
        <v>#NAME?</v>
      </c>
      <c r="AC523" s="2" t="e">
        <f ca="1">_xll.BDH($C$503,"ASSET_GROWTH","FY 2018","FY 2018","Currency=INR","Period=FY","BEST_FPERIOD_OVERRIDE=FY","FILING_STATUS=OR","EQY_CONSOLIDATED=Y","Sort=A","Dates=H","DateFormat=P","Fill=—","Direction=H","UseDPDF=Y")</f>
        <v>#NAME?</v>
      </c>
      <c r="AD523" s="2" t="e">
        <f ca="1">_xll.BDH($C$503,"MODIFIED_WORK_CAP_GROWTH","FY 2018","FY 2018","Currency=INR","Period=FY","BEST_FPERIOD_OVERRIDE=FY","FILING_STATUS=OR","EQY_CONSOLIDATED=Y","Sort=A","Dates=H","DateFormat=P","Fill=—","Direction=H","UseDPDF=Y")</f>
        <v>#NAME?</v>
      </c>
      <c r="AE523" s="2" t="e">
        <f ca="1">_xll.BDH($C$503,"WORK_CAP_GROWTH","FY 2018","FY 2018","Currency=INR","Period=FY","BEST_FPERIOD_OVERRIDE=FY","FILING_STATUS=OR","EQY_CONSOLIDATED=Y","Sort=A","Dates=H","DateFormat=P","Fill=—","Direction=H","UseDPDF=Y")</f>
        <v>#NAME?</v>
      </c>
      <c r="AF523" s="2" t="e">
        <f ca="1">_xll.BDH($C$503,"ACCOUNTS_PAYABLE_GROWTH_1YR","FY 2018","FY 2018","Currency=INR","Period=FY","BEST_FPERIOD_OVERRIDE=FY","FILING_STATUS=OR","EQY_CONSOLIDATED=Y","Sort=A","Dates=H","DateFormat=P","Fill=—","Direction=H","UseDPDF=Y")</f>
        <v>#NAME?</v>
      </c>
      <c r="AG523" s="2" t="e">
        <f ca="1">_xll.BDH($C$503,"SHORT_TERM_DEBT_1_YEAR_GROWTH","FY 2018","FY 2018","Currency=INR","Period=FY","BEST_FPERIOD_OVERRIDE=FY","FILING_STATUS=OR","EQY_CONSOLIDATED=Y","Sort=A","Dates=H","DateFormat=P","Fill=—","Direction=H","UseDPDF=Y")</f>
        <v>#NAME?</v>
      </c>
      <c r="AH523" s="2" t="e">
        <f ca="1">_xll.BDH($C$503,"TOTAL_DEBT_1_YEAR_GROWTH","FY 2018","FY 2018","Currency=INR","Period=FY","BEST_FPERIOD_OVERRIDE=FY","FILING_STATUS=OR","EQY_CONSOLIDATED=Y","Sort=A","Dates=H","DateFormat=P","Fill=—","Direction=H","UseDPDF=Y")</f>
        <v>#NAME?</v>
      </c>
      <c r="AI523" s="2" t="e">
        <f ca="1">_xll.BDH($C$503,"TOTAL_EQUITY_1_YEAR_GROWTH","FY 2018","FY 2018","Currency=INR","Period=FY","BEST_FPERIOD_OVERRIDE=FY","FILING_STATUS=OR","EQY_CONSOLIDATED=Y","Sort=A","Dates=H","DateFormat=P","Fill=—","Direction=H","UseDPDF=Y")</f>
        <v>#NAME?</v>
      </c>
      <c r="AJ523" s="2" t="e">
        <f ca="1">_xll.BDH($C$503,"GROWTH_IN_CAP","FY 2018","FY 2018","Currency=INR","Period=FY","BEST_FPERIOD_OVERRIDE=FY","FILING_STATUS=OR","EQY_CONSOLIDATED=Y","Sort=A","Dates=H","DateFormat=P","Fill=—","Direction=H","UseDPDF=Y")</f>
        <v>#NAME?</v>
      </c>
      <c r="AK523" s="2" t="e">
        <f ca="1">_xll.BDH($C$503,"BVPS_GROWTH","FY 2018","FY 2018","Currency=INR","Period=FY","BEST_FPERIOD_OVERRIDE=FY","FILING_STATUS=OR","EQY_CONSOLIDATED=Y","Sort=A","Dates=H","DateFormat=P","Fill=—","Direction=H","UseDPDF=Y")</f>
        <v>#NAME?</v>
      </c>
      <c r="AL523" s="2" t="e">
        <f ca="1">_xll.BDH($C$503,"CASH_FLOW_GROWTH","FY 2018","FY 2018","Currency=INR","Period=FY","BEST_FPERIOD_OVERRIDE=FY","FILING_STATUS=OR","EQY_CONSOLIDATED=Y","Sort=A","Dates=H","DateFormat=P","Fill=—","Direction=H","UseDPDF=Y")</f>
        <v>#NAME?</v>
      </c>
      <c r="AM523" s="2" t="e">
        <f ca="1">_xll.BDH($C$503,"GEO_GROW_NET_SALES","FY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523" s="2" t="e">
        <f ca="1">_xll.BDH($C$503,"GEO_GROW_EBITDA","FY 2018","FY 2018","Currency=INR","Period=FY","BEST_FPERIOD_OVERRIDE=FY","FILING_STATUS=OR","EQY_CONSOLIDATED=Y","FA_ADJUSTED=GAAP","Sort=A","Dates=H","DateFormat=P","Fill=—","Direction=H","UseDPDF=Y")</f>
        <v>#NAME?</v>
      </c>
      <c r="AO523" s="2" t="e">
        <f ca="1">_xll.BDH($C$503,"GEO_GROW_OPER_INC","FY 2018","FY 2018","Currency=INR","Period=FY","BEST_FPERIOD_OVERRIDE=FY","FILING_STATUS=OR","EQY_CONSOLIDATED=Y","FA_ADJUSTED=GAAP","Sort=A","Dates=H","DateFormat=P","Fill=—","Direction=H","UseDPDF=Y")</f>
        <v>#NAME?</v>
      </c>
      <c r="AP523" s="2" t="e">
        <f ca="1">_xll.BDH($C$503,"NET_INCOME_TO_COMMON_5_YR_GROWTH","FY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523" s="2" t="e">
        <f ca="1">_xll.BDH($C$503,"5Y_GEO_GROWTH_DILUTED_EPS","FY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523" s="2" t="e">
        <f ca="1">_xll.BDH($C$503,"GEO_GROW_DVD_PER_SH","FY 2018","FY 2018","Currency=INR","Period=FY","BEST_FPERIOD_OVERRIDE=FY","FILING_STATUS=OR","EQY_CONSOLIDATED=Y","Sort=A","Dates=H","DateFormat=P","Fill=—","Direction=H","UseDPDF=Y")</f>
        <v>#NAME?</v>
      </c>
      <c r="AS523" s="2" t="e">
        <f ca="1">_xll.BDH($C$503,"ACCOUNTS_RECEIVABLE_5_YR_GROWTH","FY 2018","FY 2018","Currency=INR","Period=FY","BEST_FPERIOD_OVERRIDE=FY","FILING_STATUS=OR","EQY_CONSOLIDATED=Y","Sort=A","Dates=H","DateFormat=P","Fill=—","Direction=H","UseDPDF=Y")</f>
        <v>#NAME?</v>
      </c>
      <c r="AT523" s="2" t="e">
        <f ca="1">_xll.BDH($C$503,"INVENTORY_5_YEAR_GROWTH","FY 2018","FY 2018","Currency=INR","Period=FY","BEST_FPERIOD_OVERRIDE=FY","FILING_STATUS=OR","EQY_CONSOLIDATED=Y","Sort=A","Dates=H","DateFormat=P","Fill=—","Direction=H","UseDPDF=Y")</f>
        <v>#NAME?</v>
      </c>
      <c r="AU523" s="2" t="e">
        <f ca="1">_xll.BDH($C$503,"NET_FIXED_ASSETS_5_YEAR_GROWTH","FY 2018","FY 2018","Currency=INR","Period=FY","BEST_FPERIOD_OVERRIDE=FY","FILING_STATUS=OR","EQY_CONSOLIDATED=Y","Sort=A","Dates=H","DateFormat=P","Fill=—","Direction=H","UseDPDF=Y")</f>
        <v>#NAME?</v>
      </c>
      <c r="AV523" s="2" t="e">
        <f ca="1">_xll.BDH($C$503,"GEO_GROW_TOT_ASSET","FY 2018","FY 2018","Currency=INR","Period=FY","BEST_FPERIOD_OVERRIDE=FY","FILING_STATUS=OR","EQY_CONSOLIDATED=Y","Sort=A","Dates=H","DateFormat=P","Fill=—","Direction=H","UseDPDF=Y")</f>
        <v>#NAME?</v>
      </c>
      <c r="AW523" s="2" t="e">
        <f ca="1">_xll.BDH($C$503,"MODIFIED_WORKING_CPTL_5YR_GRWTH","FY 2018","FY 2018","Currency=INR","Period=FY","BEST_FPERIOD_OVERRIDE=FY","FILING_STATUS=OR","EQY_CONSOLIDATED=Y","Sort=A","Dates=H","DateFormat=P","Fill=—","Direction=H","UseDPDF=Y")</f>
        <v>#NAME?</v>
      </c>
      <c r="AX523" s="2" t="e">
        <f ca="1">_xll.BDH($C$503,"WORKING_CAPITAL_5_YEAR_GROWTH","FY 2018","FY 2018","Currency=INR","Period=FY","BEST_FPERIOD_OVERRIDE=FY","FILING_STATUS=OR","EQY_CONSOLIDATED=Y","Sort=A","Dates=H","DateFormat=P","Fill=—","Direction=H","UseDPDF=Y")</f>
        <v>#NAME?</v>
      </c>
      <c r="AY523" s="2" t="e">
        <f ca="1">_xll.BDH($C$503,"ACCOUNTS_PAYABLE_5_YEAR_GROWTH","FY 2018","FY 2018","Currency=INR","Period=FY","BEST_FPERIOD_OVERRIDE=FY","FILING_STATUS=OR","EQY_CONSOLIDATED=Y","Sort=A","Dates=H","DateFormat=P","Fill=—","Direction=H","UseDPDF=Y")</f>
        <v>#NAME?</v>
      </c>
      <c r="AZ523" s="2" t="e">
        <f ca="1">_xll.BDH($C$503,"SHORT_TERM_DEBT_5_YEAR_GROWTH","FY 2018","FY 2018","Currency=INR","Period=FY","BEST_FPERIOD_OVERRIDE=FY","FILING_STATUS=OR","EQY_CONSOLIDATED=Y","Sort=A","Dates=H","DateFormat=P","Fill=—","Direction=H","UseDPDF=Y")</f>
        <v>#NAME?</v>
      </c>
      <c r="BA523" s="2" t="e">
        <f ca="1">_xll.BDH($C$503,"TOTAL_DEBT_5_YEAR_GROWTH","FY 2018","FY 2018","Currency=INR","Period=FY","BEST_FPERIOD_OVERRIDE=FY","FILING_STATUS=OR","EQY_CONSOLIDATED=Y","Sort=A","Dates=H","DateFormat=P","Fill=—","Direction=H","UseDPDF=Y")</f>
        <v>#NAME?</v>
      </c>
      <c r="BB523" s="2" t="e">
        <f ca="1">_xll.BDH($C$503,"GEO_GROW_TOT_SHRHLDR_EQY","FY 2018","FY 2018","Currency=INR","Period=FY","BEST_FPERIOD_OVERRIDE=FY","FILING_STATUS=OR","EQY_CONSOLIDATED=Y","Sort=A","Dates=H","DateFormat=P","Fill=—","Direction=H","UseDPDF=Y")</f>
        <v>#NAME?</v>
      </c>
      <c r="BC523" s="2" t="e">
        <f ca="1">_xll.BDH($C$503,"TOTAL_CAPITAL_5_YEAR_GROWTH","FY 2018","FY 2018","Currency=INR","Period=FY","BEST_FPERIOD_OVERRIDE=FY","FILING_STATUS=OR","EQY_CONSOLIDATED=Y","Sort=A","Dates=H","DateFormat=P","Fill=—","Direction=H","UseDPDF=Y")</f>
        <v>#NAME?</v>
      </c>
      <c r="BD523" s="2" t="e">
        <f ca="1">_xll.BDH($C$503,"GEO_GROW_BOOK_VAL","FY 2018","FY 2018","Currency=INR","Period=FY","BEST_FPERIOD_OVERRIDE=FY","FILING_STATUS=OR","EQY_CONSOLIDATED=Y","Sort=A","Dates=H","DateFormat=P","Fill=—","Direction=H","UseDPDF=Y")</f>
        <v>#NAME?</v>
      </c>
      <c r="BE523" s="2" t="e">
        <f ca="1">_xll.BDH($C$503,"GEO_GROW_CASH_OPER_ACT","FY 2018","FY 2018","Currency=INR","Period=FY","BEST_FPERIOD_OVERRIDE=FY","FILING_STATUS=OR","EQY_CONSOLIDATED=Y","Sort=A","Dates=H","DateFormat=P","Fill=—","Direction=H","UseDPDF=Y")</f>
        <v>#NAME?</v>
      </c>
      <c r="BF523" s="2" t="e">
        <f ca="1">_xll.BDH($C$503,"REVENUE_SEQUENTIAL_GROWTH","FY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523" s="2" t="e">
        <f ca="1">_xll.BDH($C$503,"EBITDA_SEQUENTIAL_GROWTH","FY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523" s="2" t="e">
        <f ca="1">_xll.BDH($C$503,"OPERATING_INCOME_SEQ_GROWTH","FY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523" s="2" t="e">
        <f ca="1">_xll.BDH($C$503,"NET_INCOME_TO_COMMON_SEQ_GROWTH","FY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523" s="2" t="e">
        <f ca="1">_xll.BDH($C$503,"EPS_DILUTED_SEQUENTIAL_GROWTH","FY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523" s="2" t="e">
        <f ca="1">_xll.BDH($C$503,"DPS_SEQUENTIAL_GROWTH","FY 2018","FY 2018","Currency=INR","Period=FY","BEST_FPERIOD_OVERRIDE=FY","FILING_STATUS=OR","EQY_CONSOLIDATED=Y","Sort=A","Dates=H","DateFormat=P","Fill=—","Direction=H","UseDPDF=Y")</f>
        <v>#NAME?</v>
      </c>
      <c r="BL523" s="2" t="e">
        <f ca="1">_xll.BDH($C$503,"ACCOUNTS_RECEIVABLE_SEQ_GROWTH","FY 2018","FY 2018","Currency=INR","Period=FY","BEST_FPERIOD_OVERRIDE=FY","FILING_STATUS=OR","EQY_CONSOLIDATED=Y","Sort=A","Dates=H","DateFormat=P","Fill=—","Direction=H","UseDPDF=Y")</f>
        <v>#NAME?</v>
      </c>
      <c r="BM523" s="2" t="e">
        <f ca="1">_xll.BDH($C$503,"INVENTORY_SEQUENTIAL_GROWTH","FY 2018","FY 2018","Currency=INR","Period=FY","BEST_FPERIOD_OVERRIDE=FY","FILING_STATUS=OR","EQY_CONSOLIDATED=Y","Sort=A","Dates=H","DateFormat=P","Fill=—","Direction=H","UseDPDF=Y")</f>
        <v>#NAME?</v>
      </c>
      <c r="BN523" s="2" t="e">
        <f ca="1">_xll.BDH($C$503,"FIXED_ASSETS_SEQUENTIAL_GROWTH","FY 2018","FY 2018","Currency=INR","Period=FY","BEST_FPERIOD_OVERRIDE=FY","FILING_STATUS=OR","EQY_CONSOLIDATED=Y","Sort=A","Dates=H","DateFormat=P","Fill=—","Direction=H","UseDPDF=Y")</f>
        <v>#NAME?</v>
      </c>
      <c r="BO523" s="2" t="e">
        <f ca="1">_xll.BDH($C$503,"TOTAL_ASSETS_SEQUENTIAL_GROWTH","FY 2018","FY 2018","Currency=INR","Period=FY","BEST_FPERIOD_OVERRIDE=FY","FILING_STATUS=OR","EQY_CONSOLIDATED=Y","Sort=A","Dates=H","DateFormat=P","Fill=—","Direction=H","UseDPDF=Y")</f>
        <v>#NAME?</v>
      </c>
      <c r="BP523" s="2" t="e">
        <f ca="1">_xll.BDH($C$503,"MODIFIED_WORKING_CPTL_SEQ_GRWTH","FY 2018","FY 2018","Currency=INR","Period=FY","BEST_FPERIOD_OVERRIDE=FY","FILING_STATUS=OR","EQY_CONSOLIDATED=Y","Sort=A","Dates=H","DateFormat=P","Fill=—","Direction=H","UseDPDF=Y")</f>
        <v>#NAME?</v>
      </c>
      <c r="BQ523" s="2" t="e">
        <f ca="1">_xll.BDH($C$503,"WORKING_CAPITAL_SEQ_GROWTH","FY 2018","FY 2018","Currency=INR","Period=FY","BEST_FPERIOD_OVERRIDE=FY","FILING_STATUS=OR","EQY_CONSOLIDATED=Y","Sort=A","Dates=H","DateFormat=P","Fill=—","Direction=H","UseDPDF=Y")</f>
        <v>#NAME?</v>
      </c>
      <c r="BR523" s="2" t="e">
        <f ca="1">_xll.BDH($C$503,"ACCOUNTS_PAYABLE_SEQ_GROWTH","FY 2018","FY 2018","Currency=INR","Period=FY","BEST_FPERIOD_OVERRIDE=FY","FILING_STATUS=OR","EQY_CONSOLIDATED=Y","Sort=A","Dates=H","DateFormat=P","Fill=—","Direction=H","UseDPDF=Y")</f>
        <v>#NAME?</v>
      </c>
      <c r="BS523" s="2" t="e">
        <f ca="1">_xll.BDH($C$503,"ST_DEBT_SEQUENTIAL_GROWTH","FY 2018","FY 2018","Currency=INR","Period=FY","BEST_FPERIOD_OVERRIDE=FY","FILING_STATUS=OR","EQY_CONSOLIDATED=Y","Sort=A","Dates=H","DateFormat=P","Fill=—","Direction=H","UseDPDF=Y")</f>
        <v>#NAME?</v>
      </c>
      <c r="BT523" s="2" t="e">
        <f ca="1">_xll.BDH($C$503,"TOTAL_DEBT_SEQUENTIAL_GROWTH","FY 2018","FY 2018","Currency=INR","Period=FY","BEST_FPERIOD_OVERRIDE=FY","FILING_STATUS=OR","EQY_CONSOLIDATED=Y","Sort=A","Dates=H","DateFormat=P","Fill=—","Direction=H","UseDPDF=Y")</f>
        <v>#NAME?</v>
      </c>
      <c r="BU523" s="2" t="e">
        <f ca="1">_xll.BDH($C$503,"TOTAL_EQUITY_SEQUENTIAL_GROWTH","FY 2018","FY 2018","Currency=INR","Period=FY","BEST_FPERIOD_OVERRIDE=FY","FILING_STATUS=OR","EQY_CONSOLIDATED=Y","Sort=A","Dates=H","DateFormat=P","Fill=—","Direction=H","UseDPDF=Y")</f>
        <v>#NAME?</v>
      </c>
      <c r="BV523" s="2" t="e">
        <f ca="1">_xll.BDH($C$503,"TOTAL_CAPITAL_SEQUENTIAL_GROWTH","FY 2018","FY 2018","Currency=INR","Period=FY","BEST_FPERIOD_OVERRIDE=FY","FILING_STATUS=OR","EQY_CONSOLIDATED=Y","Sort=A","Dates=H","DateFormat=P","Fill=—","Direction=H","UseDPDF=Y")</f>
        <v>#NAME?</v>
      </c>
      <c r="BW523" s="2" t="e">
        <f ca="1">_xll.BDH($C$503,"BPS_SEQUENTIAL_GROWTH","FY 2018","FY 2018","Currency=INR","Period=FY","BEST_FPERIOD_OVERRIDE=FY","FILING_STATUS=OR","EQY_CONSOLIDATED=Y","Sort=A","Dates=H","DateFormat=P","Fill=—","Direction=H","UseDPDF=Y")</f>
        <v>#NAME?</v>
      </c>
      <c r="BX523" s="2" t="e">
        <f ca="1">_xll.BDH($C$503,"CFO_SEQUENTIAL_GROWTH","FY 2018","FY 2018","Currency=INR","Period=FY","BEST_FPERIOD_OVERRIDE=FY","FILING_STATUS=OR","EQY_CONSOLIDATED=Y","Sort=A","Dates=H","DateFormat=P","Fill=—","Direction=H","UseDPDF=Y")</f>
        <v>#NAME?</v>
      </c>
      <c r="BY523" s="3" t="e">
        <f ca="1">_xll.BDH($C$503,"SHORT_AND_LONG_TERM_DEBT","FY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523" s="3" t="e">
        <f ca="1">_xll.BDH($C$503,"BS_ST_BORROW","FY 2018","FY 2018","Currency=INR","Period=FY","BEST_FPERIOD_OVERRIDE=FY","FILING_STATUS=OR","EQY_CONSOLIDATED=Y","SCALING_FORMAT=MLN","Sort=A","Dates=H","DateFormat=P","Fill=—","Direction=H","UseDPDF=Y")</f>
        <v>#NAME?</v>
      </c>
      <c r="CA523" s="3" t="e">
        <f ca="1">_xll.BDH($C$503,"BS_LT_BORROW","FY 2018","FY 2018","Currency=INR","Period=FY","BEST_FPERIOD_OVERRIDE=FY","FILING_STATUS=OR","EQY_CONSOLIDATED=Y","SCALING_FORMAT=MLN","Sort=A","Dates=H","DateFormat=P","Fill=—","Direction=H","UseDPDF=Y")</f>
        <v>#NAME?</v>
      </c>
      <c r="CB523" s="2" t="e">
        <f ca="1">_xll.BDH($C$503,"TOT_DEBT_TO_EBITDA","FY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523" s="2" t="e">
        <f ca="1">_xll.BDH($C$503,"NET_DEBT_TO_EBITDA","FY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523" s="2" t="e">
        <f ca="1">_xll.BDH($C$503,"TOTAL_DEBT_TO_EBIT","FY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523" s="2" t="e">
        <f ca="1">_xll.BDH($C$503,"NET_DEBT_TO_EBIT","FY 2018","FY 2018","Currency=INR","Period=FY","BEST_FPERIOD_OVERRIDE=FY","FILING_STATUS=OR","EQY_CONSOLIDATED=Y","FA_ADJUSTED=GAAP","Sort=A","Dates=H","DateFormat=P","Fill=—","Direction=H","UseDPDF=Y")</f>
        <v>#NAME?</v>
      </c>
      <c r="CF523" s="2" t="e">
        <f ca="1">_xll.BDH($C$503,"EBITDA_TO_INTEREST_EXPN","FY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523" s="2" t="e">
        <f ca="1">_xll.BDH($C$503,"COM_EQY_TO_TOT_ASSET","FY 2018","FY 2018","Currency=INR","Period=FY","BEST_FPERIOD_OVERRIDE=FY","FILING_STATUS=OR","EQY_CONSOLIDATED=Y","Sort=A","Dates=H","DateFormat=P","Fill=—","Direction=H","UseDPDF=Y")</f>
        <v>#NAME?</v>
      </c>
      <c r="CH523" s="2" t="e">
        <f ca="1">_xll.BDH($C$503,"LT_DEBT_TO_TOT_EQY","FY 2018","FY 2018","Currency=INR","Period=FY","BEST_FPERIOD_OVERRIDE=FY","FILING_STATUS=OR","EQY_CONSOLIDATED=Y","Sort=A","Dates=H","DateFormat=P","Fill=—","Direction=H","UseDPDF=Y")</f>
        <v>#NAME?</v>
      </c>
      <c r="CI523" s="2" t="e">
        <f ca="1">_xll.BDH($C$503,"LT_DEBT_TO_TOT_CAP","FY 2018","FY 2018","Currency=INR","Period=FY","BEST_FPERIOD_OVERRIDE=FY","FILING_STATUS=OR","EQY_CONSOLIDATED=Y","Sort=A","Dates=H","DateFormat=P","Fill=—","Direction=H","UseDPDF=Y")</f>
        <v>#NAME?</v>
      </c>
      <c r="CJ523" s="2" t="e">
        <f ca="1">_xll.BDH($C$503,"LT_DEBT_TO_TOT_ASSET","FY 2018","FY 2018","Currency=INR","Period=FY","BEST_FPERIOD_OVERRIDE=FY","FILING_STATUS=OR","EQY_CONSOLIDATED=Y","Sort=A","Dates=H","DateFormat=P","Fill=—","Direction=H","UseDPDF=Y")</f>
        <v>#NAME?</v>
      </c>
      <c r="CK523" s="2" t="e">
        <f ca="1">_xll.BDH($C$503,"TOT_DEBT_TO_TOT_EQY","FY 2018","FY 2018","Currency=INR","Period=FY","BEST_FPERIOD_OVERRIDE=FY","FILING_STATUS=OR","EQY_CONSOLIDATED=Y","Sort=A","Dates=H","DateFormat=P","Fill=—","Direction=H","UseDPDF=Y")</f>
        <v>#NAME?</v>
      </c>
      <c r="CL523" s="2" t="e">
        <f ca="1">_xll.BDH($C$503,"TOT_DEBT_TO_TOT_CAP","FY 2018","FY 2018","Currency=INR","Period=FY","BEST_FPERIOD_OVERRIDE=FY","FILING_STATUS=OR","EQY_CONSOLIDATED=Y","Sort=A","Dates=H","DateFormat=P","Fill=—","Direction=H","UseDPDF=Y")</f>
        <v>#NAME?</v>
      </c>
      <c r="CM523" s="2" t="e">
        <f ca="1">_xll.BDH($C$503,"TOT_DEBT_TO_TOT_ASSET","FY 2018","FY 2018","Currency=INR","Period=FY","BEST_FPERIOD_OVERRIDE=FY","FILING_STATUS=OR","EQY_CONSOLIDATED=Y","Sort=A","Dates=H","DateFormat=P","Fill=—","Direction=H","UseDPDF=Y")</f>
        <v>#NAME?</v>
      </c>
      <c r="CN523" s="2" t="e">
        <f ca="1">_xll.BDH($C$503,"NET_DEBT_TO_SHRHLDR_EQTY","FY 2018","FY 2018","Currency=INR","Period=FY","BEST_FPERIOD_OVERRIDE=FY","FILING_STATUS=OR","EQY_CONSOLIDATED=Y","Sort=A","Dates=H","DateFormat=P","Fill=—","Direction=H","UseDPDF=Y")</f>
        <v>#NAME?</v>
      </c>
      <c r="CO523" s="2" t="e">
        <f ca="1">_xll.BDH($C$503,"NET_DEBT_%_CAPITAL","FY 2018","FY 2018","Currency=INR","Period=FY","BEST_FPERIOD_OVERRIDE=FY","FILING_STATUS=OR","EQY_CONSOLIDATED=Y","Sort=A","Dates=H","DateFormat=P","Fill=—","Direction=H","UseDPDF=Y")</f>
        <v>#NAME?</v>
      </c>
      <c r="CP523" s="3" t="e">
        <f ca="1">_xll.BDH($C$503,"EBITDA","FY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523" s="3" t="e">
        <f ca="1">_xll.BDH($C$503,"EBITDA_AFTER_CAPEX","FY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523" s="3" t="e">
        <f ca="1">_xll.BDH($C$503,"IS_OPER_INC","FY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523" s="2" t="e">
        <f ca="1">_xll.BDH($C$503,"CASH_RATIO","FY 2018","FY 2018","Currency=INR","Period=FY","BEST_FPERIOD_OVERRIDE=FY","FILING_STATUS=OR","EQY_CONSOLIDATED=Y","Sort=A","Dates=H","DateFormat=P","Fill=—","Direction=H","UseDPDF=Y")</f>
        <v>#NAME?</v>
      </c>
      <c r="CT523" s="2" t="e">
        <f ca="1">_xll.BDH($C$503,"CUR_RATIO","FY 2018","FY 2018","Currency=INR","Period=FY","BEST_FPERIOD_OVERRIDE=FY","FILING_STATUS=OR","EQY_CONSOLIDATED=Y","Sort=A","Dates=H","DateFormat=P","Fill=—","Direction=H","UseDPDF=Y")</f>
        <v>#NAME?</v>
      </c>
      <c r="CU523" s="2" t="e">
        <f ca="1">_xll.BDH($C$503,"QUICK_RATIO","FY 2018","FY 2018","Currency=INR","Period=FY","BEST_FPERIOD_OVERRIDE=FY","FILING_STATUS=OR","EQY_CONSOLIDATED=Y","Sort=A","Dates=H","DateFormat=P","Fill=—","Direction=H","UseDPDF=Y")</f>
        <v>#NAME?</v>
      </c>
      <c r="CV523" s="2" t="e">
        <f ca="1">_xll.BDH($C$503,"ALTMAN_Z_SCORE","FY 2018","FY 2018","Currency=INR","Period=FY","BEST_FPERIOD_OVERRIDE=FY","FILING_STATUS=OR","EQY_CONSOLIDATED=Y","Sort=A","Dates=H","DateFormat=P","Fill=—","Direction=H","UseDPDF=Y")</f>
        <v>#NAME?</v>
      </c>
      <c r="CW523" s="4" t="e">
        <f ca="1">_xll.BDH($C$503,"ACCT_RCV_TURN","FY 2018","FY 2018","Currency=INR","Period=FY","BEST_FPERIOD_OVERRIDE=FY","FILING_STATUS=OR","EQY_CONSOLIDATED=Y","FA_ADJUSTED=GAAP","Sort=A","Dates=H","DateFormat=P","Fill=—","Direction=H","UseDPDF=Y")</f>
        <v>#NAME?</v>
      </c>
      <c r="CX523" s="2" t="e">
        <f ca="1">_xll.BDH($C$503,"ACCT_RCV_DAYS","FY 2018","FY 2018","Currency=INR","Period=FY","BEST_FPERIOD_OVERRIDE=FY","FILING_STATUS=OR","EQY_CONSOLIDATED=Y","FA_ADJUSTED=GAAP","Sort=A","Dates=H","DateFormat=P","Fill=—","Direction=H","UseDPDF=Y")</f>
        <v>#NAME?</v>
      </c>
      <c r="CY523" s="4" t="e">
        <f ca="1">_xll.BDH($C$503,"INVENT_TURN","FY 2018","FY 2018","Currency=INR","Period=FY","BEST_FPERIOD_OVERRIDE=FY","FILING_STATUS=OR","EQY_CONSOLIDATED=Y","FA_ADJUSTED=GAAP","Sort=A","Dates=H","DateFormat=P","Fill=—","Direction=H","UseDPDF=Y")</f>
        <v>#NAME?</v>
      </c>
      <c r="CZ523" s="2" t="e">
        <f ca="1">_xll.BDH($C$503,"INVENT_DAYS","FY 2018","FY 2018","Currency=INR","Period=FY","BEST_FPERIOD_OVERRIDE=FY","FILING_STATUS=OR","EQY_CONSOLIDATED=Y","FA_ADJUSTED=GAAP","Sort=A","Dates=H","DateFormat=P","Fill=—","Direction=H","UseDPDF=Y")</f>
        <v>#NAME?</v>
      </c>
      <c r="DA523" s="4" t="e">
        <f ca="1">_xll.BDH($C$503,"ACCOUNTS_PAYABLE_TURNOVER","FY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523" s="2" t="e">
        <f ca="1">_xll.BDH($C$503,"ACCOUNTS_PAYABLE_TURNOVER_DAYS","FY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523" s="4" t="e">
        <f ca="1">_xll.BDH($C$503,"CASH_CONVERSION_CYCLE","FY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523" s="4" t="e">
        <f ca="1">_xll.BDH($C$503,"INV_TO_CASH_DAYS","FY 2018","FY 2018","Currency=INR","Period=FY","BEST_FPERIOD_OVERRIDE=FY","FILING_STATUS=OR","EQY_CONSOLIDATED=Y","FA_ADJUSTED=GAAP","Sort=A","Dates=H","DateFormat=P","Fill=—","Direction=H","UseDPDF=Y")</f>
        <v>#NAME?</v>
      </c>
      <c r="DE523" s="5" t="e">
        <f ca="1">_xll.BDH($C$503,"BS_INVENTORIES","FY 2018","FY 2018","Currency=INR","Period=FY","BEST_FPERIOD_OVERRIDE=FY","FILING_STATUS=OR","EQY_CONSOLIDATED=Y","SCALING_FORMAT=MLN","Sort=A","Dates=H","DateFormat=P","Fill=—","Direction=H","UseDPDF=Y")</f>
        <v>#NAME?</v>
      </c>
      <c r="DF523" s="3" t="e">
        <f ca="1">_xll.BDH($C$503,"INVTRY_RAW_MATERIALS","FY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523" s="3" t="e">
        <f ca="1">_xll.BDH($C$503,"INVTRY_IN_PROGRESS","FY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523" s="3" t="e">
        <f ca="1">_xll.BDH($C$503,"INVTRY_FINISHED_GOODS","FY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523" s="3" t="e">
        <f ca="1">_xll.BDH($C$503,"BS_OTHER_INV","FY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524" spans="1:113" x14ac:dyDescent="0.3">
      <c r="A524" s="6"/>
      <c r="B524" s="6"/>
      <c r="C524" s="6"/>
      <c r="D524" s="6"/>
      <c r="E524" t="s">
        <v>78</v>
      </c>
      <c r="F524" t="e">
        <f ca="1">_xll.BDH($C$503,"RETURN_COM_EQY","FQ1 2018","FQ1 2018","Currency=INR","Period=FQ","BEST_FPERIOD_OVERRIDE=FQ","FILING_STATUS=OR","EQY_CONSOLIDATED=Y","FA_ADJUSTED=GAAP","Sort=A","Dates=H","DateFormat=P","Fill=—","Direction=H","UseDPDF=Y")</f>
        <v>#NAME?</v>
      </c>
      <c r="G524" t="e">
        <f ca="1">_xll.BDH($C$503,"RETURN_ON_ASSET","FQ1 2018","FQ1 2018","Currency=INR","Period=FQ","BEST_FPERIOD_OVERRIDE=FQ","FILING_STATUS=OR","EQY_CONSOLIDATED=Y","FA_ADJUSTED=GAAP","Sort=A","Dates=H","DateFormat=P","Fill=—","Direction=H","UseDPDF=Y")</f>
        <v>#NAME?</v>
      </c>
      <c r="H524" t="e">
        <f ca="1">_xll.BDH($C$503,"RETURN_ON_CAP","FQ1 2018","FQ1 2018","Currency=INR","Period=FQ","BEST_FPERIOD_OVERRIDE=FQ","FILING_STATUS=OR","EQY_CONSOLIDATED=Y","FA_ADJUSTED=GAAP","Sort=A","Dates=H","DateFormat=P","Fill=—","Direction=H","UseDPDF=Y")</f>
        <v>#NAME?</v>
      </c>
      <c r="I524" t="e">
        <f ca="1">_xll.BDH($C$503,"RETURN_ON_INV_CAPITAL","FQ1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524" t="e">
        <f ca="1">_xll.BDH($C$503,"EBITDA_TO_REVENUE","FQ1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524" t="e">
        <f ca="1">_xll.BDH($C$503,"OPER_MARGIN","FQ1 2018","FQ1 2018","Currency=INR","Period=FQ","BEST_FPERIOD_OVERRIDE=FQ","FILING_STATUS=OR","EQY_CONSOLIDATED=Y","FA_ADJUSTED=GAAP","Sort=A","Dates=H","DateFormat=P","Fill=—","Direction=H","UseDPDF=Y")</f>
        <v>#NAME?</v>
      </c>
      <c r="L524" t="e">
        <f ca="1">_xll.BDH($C$503,"INCREMENTAL_OPERATING_MARGIN","FQ1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524" t="e">
        <f ca="1">_xll.BDH($C$503,"PRETAX_INC_TO_NET_SALES","FQ1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524" t="e">
        <f ca="1">_xll.BDH($C$503,"INC_BEF_XO_ITEMS_TO_NET_SALES","FQ1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524" t="e">
        <f ca="1">_xll.BDH($C$503,"PROF_MARGIN","FQ1 2018","FQ1 2018","Currency=INR","Period=FQ","BEST_FPERIOD_OVERRIDE=FQ","FILING_STATUS=OR","EQY_CONSOLIDATED=Y","FA_ADJUSTED=GAAP","Sort=A","Dates=H","DateFormat=P","Fill=—","Direction=H","UseDPDF=Y")</f>
        <v>#NAME?</v>
      </c>
      <c r="P524" t="e">
        <f ca="1">_xll.BDH($C$503,"NET_INCOME_TO_COMMON_MARGIN","FQ1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524" t="e">
        <f ca="1">_xll.BDH($C$503,"EFF_TAX_RATE","FQ1 2018","FQ1 2018","Currency=INR","Period=FQ","BEST_FPERIOD_OVERRIDE=FQ","FILING_STATUS=OR","EQY_CONSOLIDATED=Y","FA_ADJUSTED=GAAP","Sort=A","Dates=H","DateFormat=P","Fill=—","Direction=H","UseDPDF=Y")</f>
        <v>#NAME?</v>
      </c>
      <c r="R524" t="e">
        <f ca="1">_xll.BDH($C$503,"DVD_PAYOUT_RATIO","FQ1 2018","FQ1 2018","Currency=INR","Period=FQ","BEST_FPERIOD_OVERRIDE=FQ","FILING_STATUS=OR","EQY_CONSOLIDATED=Y","FA_ADJUSTED=GAAP","Sort=A","Dates=H","DateFormat=P","Fill=—","Direction=H","UseDPDF=Y")</f>
        <v>#NAME?</v>
      </c>
      <c r="S524" t="e">
        <f ca="1">_xll.BDH($C$503,"SUSTAIN_GROWTH_RT","FQ1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524" s="2" t="e">
        <f ca="1">_xll.BDH($C$503,"SALES_GROWTH","FQ1 2018","FQ1 2018","Currency=INR","Period=FQ","BEST_FPERIOD_OVERRIDE=FQ","FILING_STATUS=OR","EQY_CONSOLIDATED=Y","FA_ADJUSTED=GAAP","Sort=A","Dates=H","DateFormat=P","Fill=—","Direction=H","UseDPDF=Y")</f>
        <v>#NAME?</v>
      </c>
      <c r="U524" s="2" t="e">
        <f ca="1">_xll.BDH($C$503,"EBITDA_GROWTH","FQ1 2018","FQ1 2018","Currency=INR","Period=FQ","BEST_FPERIOD_OVERRIDE=FQ","FILING_STATUS=OR","EQY_CONSOLIDATED=Y","FA_ADJUSTED=GAAP","Sort=A","Dates=H","DateFormat=P","Fill=—","Direction=H","UseDPDF=Y")</f>
        <v>#NAME?</v>
      </c>
      <c r="V524" s="2" t="e">
        <f ca="1">_xll.BDH($C$503,"OPER_INC_GROWTH","FQ1 2018","FQ1 2018","Currency=INR","Period=FQ","BEST_FPERIOD_OVERRIDE=FQ","FILING_STATUS=OR","EQY_CONSOLIDATED=Y","FA_ADJUSTED=GAAP","Sort=A","Dates=H","DateFormat=P","Fill=—","Direction=H","UseDPDF=Y")</f>
        <v>#NAME?</v>
      </c>
      <c r="W524" s="2" t="e">
        <f ca="1">_xll.BDH($C$503,"EARN_FOR_COM_GROWTH","FQ1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524" s="2" t="e">
        <f ca="1">_xll.BDH($C$503,"DILUTED_EPS_AFT_XO_ITEMS_GROWTH","FQ1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524" s="2" t="e">
        <f ca="1">_xll.BDH($C$503,"DIVIDEND_PER_SHARE_1_YEAR_GROWTH","FQ1 2018","FQ1 2018","Currency=INR","Period=FQ","BEST_FPERIOD_OVERRIDE=FQ","FILING_STATUS=OR","EQY_CONSOLIDATED=Y","Sort=A","Dates=H","DateFormat=P","Fill=—","Direction=H","UseDPDF=Y")</f>
        <v>#NAME?</v>
      </c>
      <c r="Z524" s="2" t="e">
        <f ca="1">_xll.BDH($C$503,"ACCOUNTS_RECEIVABLE_GROWTH","FQ1 2018","FQ1 2018","Currency=INR","Period=FQ","BEST_FPERIOD_OVERRIDE=FQ","FILING_STATUS=OR","EQY_CONSOLIDATED=Y","Sort=A","Dates=H","DateFormat=P","Fill=—","Direction=H","UseDPDF=Y")</f>
        <v>#NAME?</v>
      </c>
      <c r="AA524" s="2" t="e">
        <f ca="1">_xll.BDH($C$503,"INVENTORY_GROWTH","FQ1 2018","FQ1 2018","Currency=INR","Period=FQ","BEST_FPERIOD_OVERRIDE=FQ","FILING_STATUS=OR","EQY_CONSOLIDATED=Y","Sort=A","Dates=H","DateFormat=P","Fill=—","Direction=H","UseDPDF=Y")</f>
        <v>#NAME?</v>
      </c>
      <c r="AB524" s="2" t="e">
        <f ca="1">_xll.BDH($C$503,"NET_FIXED_ASSETS_1_YEAR_GROWTH","FQ1 2018","FQ1 2018","Currency=INR","Period=FQ","BEST_FPERIOD_OVERRIDE=FQ","FILING_STATUS=OR","EQY_CONSOLIDATED=Y","Sort=A","Dates=H","DateFormat=P","Fill=—","Direction=H","UseDPDF=Y")</f>
        <v>#NAME?</v>
      </c>
      <c r="AC524" s="2" t="e">
        <f ca="1">_xll.BDH($C$503,"ASSET_GROWTH","FQ1 2018","FQ1 2018","Currency=INR","Period=FQ","BEST_FPERIOD_OVERRIDE=FQ","FILING_STATUS=OR","EQY_CONSOLIDATED=Y","Sort=A","Dates=H","DateFormat=P","Fill=—","Direction=H","UseDPDF=Y")</f>
        <v>#NAME?</v>
      </c>
      <c r="AD524" s="2" t="e">
        <f ca="1">_xll.BDH($C$503,"MODIFIED_WORK_CAP_GROWTH","FQ1 2018","FQ1 2018","Currency=INR","Period=FQ","BEST_FPERIOD_OVERRIDE=FQ","FILING_STATUS=OR","EQY_CONSOLIDATED=Y","Sort=A","Dates=H","DateFormat=P","Fill=—","Direction=H","UseDPDF=Y")</f>
        <v>#NAME?</v>
      </c>
      <c r="AE524" s="2" t="e">
        <f ca="1">_xll.BDH($C$503,"WORK_CAP_GROWTH","FQ1 2018","FQ1 2018","Currency=INR","Period=FQ","BEST_FPERIOD_OVERRIDE=FQ","FILING_STATUS=OR","EQY_CONSOLIDATED=Y","Sort=A","Dates=H","DateFormat=P","Fill=—","Direction=H","UseDPDF=Y")</f>
        <v>#NAME?</v>
      </c>
      <c r="AF524" s="2" t="e">
        <f ca="1">_xll.BDH($C$503,"ACCOUNTS_PAYABLE_GROWTH_1YR","FQ1 2018","FQ1 2018","Currency=INR","Period=FQ","BEST_FPERIOD_OVERRIDE=FQ","FILING_STATUS=OR","EQY_CONSOLIDATED=Y","Sort=A","Dates=H","DateFormat=P","Fill=—","Direction=H","UseDPDF=Y")</f>
        <v>#NAME?</v>
      </c>
      <c r="AG524" s="2" t="e">
        <f ca="1">_xll.BDH($C$503,"SHORT_TERM_DEBT_1_YEAR_GROWTH","FQ1 2018","FQ1 2018","Currency=INR","Period=FQ","BEST_FPERIOD_OVERRIDE=FQ","FILING_STATUS=OR","EQY_CONSOLIDATED=Y","Sort=A","Dates=H","DateFormat=P","Fill=—","Direction=H","UseDPDF=Y")</f>
        <v>#NAME?</v>
      </c>
      <c r="AH524" s="2" t="e">
        <f ca="1">_xll.BDH($C$503,"TOTAL_DEBT_1_YEAR_GROWTH","FQ1 2018","FQ1 2018","Currency=INR","Period=FQ","BEST_FPERIOD_OVERRIDE=FQ","FILING_STATUS=OR","EQY_CONSOLIDATED=Y","Sort=A","Dates=H","DateFormat=P","Fill=—","Direction=H","UseDPDF=Y")</f>
        <v>#NAME?</v>
      </c>
      <c r="AI524" s="2" t="e">
        <f ca="1">_xll.BDH($C$503,"TOTAL_EQUITY_1_YEAR_GROWTH","FQ1 2018","FQ1 2018","Currency=INR","Period=FQ","BEST_FPERIOD_OVERRIDE=FQ","FILING_STATUS=OR","EQY_CONSOLIDATED=Y","Sort=A","Dates=H","DateFormat=P","Fill=—","Direction=H","UseDPDF=Y")</f>
        <v>#NAME?</v>
      </c>
      <c r="AJ524" s="2" t="e">
        <f ca="1">_xll.BDH($C$503,"GROWTH_IN_CAP","FQ1 2018","FQ1 2018","Currency=INR","Period=FQ","BEST_FPERIOD_OVERRIDE=FQ","FILING_STATUS=OR","EQY_CONSOLIDATED=Y","Sort=A","Dates=H","DateFormat=P","Fill=—","Direction=H","UseDPDF=Y")</f>
        <v>#NAME?</v>
      </c>
      <c r="AK524" s="2" t="e">
        <f ca="1">_xll.BDH($C$503,"BVPS_GROWTH","FQ1 2018","FQ1 2018","Currency=INR","Period=FQ","BEST_FPERIOD_OVERRIDE=FQ","FILING_STATUS=OR","EQY_CONSOLIDATED=Y","Sort=A","Dates=H","DateFormat=P","Fill=—","Direction=H","UseDPDF=Y")</f>
        <v>#NAME?</v>
      </c>
      <c r="AL524" s="2" t="e">
        <f ca="1">_xll.BDH($C$503,"CASH_FLOW_GROWTH","FQ1 2018","FQ1 2018","Currency=INR","Period=FQ","BEST_FPERIOD_OVERRIDE=FQ","FILING_STATUS=OR","EQY_CONSOLIDATED=Y","Sort=A","Dates=H","DateFormat=P","Fill=—","Direction=H","UseDPDF=Y")</f>
        <v>#NAME?</v>
      </c>
      <c r="AM524" s="2" t="e">
        <f ca="1">_xll.BDH($C$503,"GEO_GROW_NET_SALES","FQ1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524" s="2" t="e">
        <f ca="1">_xll.BDH($C$503,"GEO_GROW_EBITDA","FQ1 2018","FQ1 2018","Currency=INR","Period=FQ","BEST_FPERIOD_OVERRIDE=FQ","FILING_STATUS=OR","EQY_CONSOLIDATED=Y","FA_ADJUSTED=GAAP","Sort=A","Dates=H","DateFormat=P","Fill=—","Direction=H","UseDPDF=Y")</f>
        <v>#NAME?</v>
      </c>
      <c r="AO524" s="2" t="e">
        <f ca="1">_xll.BDH($C$503,"GEO_GROW_OPER_INC","FQ1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524" s="2" t="e">
        <f ca="1">_xll.BDH($C$503,"NET_INCOME_TO_COMMON_5_YR_GROWTH","FQ1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524" s="2" t="e">
        <f ca="1">_xll.BDH($C$503,"5Y_GEO_GROWTH_DILUTED_EPS","FQ1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524" s="2" t="e">
        <f ca="1">_xll.BDH($C$503,"GEO_GROW_DVD_PER_SH","FQ1 2018","FQ1 2018","Currency=INR","Period=FQ","BEST_FPERIOD_OVERRIDE=FQ","FILING_STATUS=OR","EQY_CONSOLIDATED=Y","Sort=A","Dates=H","DateFormat=P","Fill=—","Direction=H","UseDPDF=Y")</f>
        <v>#NAME?</v>
      </c>
      <c r="AS524" s="2" t="e">
        <f ca="1">_xll.BDH($C$503,"ACCOUNTS_RECEIVABLE_5_YR_GROWTH","FQ1 2018","FQ1 2018","Currency=INR","Period=FQ","BEST_FPERIOD_OVERRIDE=FQ","FILING_STATUS=OR","EQY_CONSOLIDATED=Y","Sort=A","Dates=H","DateFormat=P","Fill=—","Direction=H","UseDPDF=Y")</f>
        <v>#NAME?</v>
      </c>
      <c r="AT524" s="2" t="e">
        <f ca="1">_xll.BDH($C$503,"INVENTORY_5_YEAR_GROWTH","FQ1 2018","FQ1 2018","Currency=INR","Period=FQ","BEST_FPERIOD_OVERRIDE=FQ","FILING_STATUS=OR","EQY_CONSOLIDATED=Y","Sort=A","Dates=H","DateFormat=P","Fill=—","Direction=H","UseDPDF=Y")</f>
        <v>#NAME?</v>
      </c>
      <c r="AU524" s="2" t="e">
        <f ca="1">_xll.BDH($C$503,"NET_FIXED_ASSETS_5_YEAR_GROWTH","FQ1 2018","FQ1 2018","Currency=INR","Period=FQ","BEST_FPERIOD_OVERRIDE=FQ","FILING_STATUS=OR","EQY_CONSOLIDATED=Y","Sort=A","Dates=H","DateFormat=P","Fill=—","Direction=H","UseDPDF=Y")</f>
        <v>#NAME?</v>
      </c>
      <c r="AV524" s="2" t="e">
        <f ca="1">_xll.BDH($C$503,"GEO_GROW_TOT_ASSET","FQ1 2018","FQ1 2018","Currency=INR","Period=FQ","BEST_FPERIOD_OVERRIDE=FQ","FILING_STATUS=OR","EQY_CONSOLIDATED=Y","Sort=A","Dates=H","DateFormat=P","Fill=—","Direction=H","UseDPDF=Y")</f>
        <v>#NAME?</v>
      </c>
      <c r="AW524" s="2" t="e">
        <f ca="1">_xll.BDH($C$503,"MODIFIED_WORKING_CPTL_5YR_GRWTH","FQ1 2018","FQ1 2018","Currency=INR","Period=FQ","BEST_FPERIOD_OVERRIDE=FQ","FILING_STATUS=OR","EQY_CONSOLIDATED=Y","Sort=A","Dates=H","DateFormat=P","Fill=—","Direction=H","UseDPDF=Y")</f>
        <v>#NAME?</v>
      </c>
      <c r="AX524" s="2" t="e">
        <f ca="1">_xll.BDH($C$503,"WORKING_CAPITAL_5_YEAR_GROWTH","FQ1 2018","FQ1 2018","Currency=INR","Period=FQ","BEST_FPERIOD_OVERRIDE=FQ","FILING_STATUS=OR","EQY_CONSOLIDATED=Y","Sort=A","Dates=H","DateFormat=P","Fill=—","Direction=H","UseDPDF=Y")</f>
        <v>#NAME?</v>
      </c>
      <c r="AY524" s="2" t="e">
        <f ca="1">_xll.BDH($C$503,"ACCOUNTS_PAYABLE_5_YEAR_GROWTH","FQ1 2018","FQ1 2018","Currency=INR","Period=FQ","BEST_FPERIOD_OVERRIDE=FQ","FILING_STATUS=OR","EQY_CONSOLIDATED=Y","Sort=A","Dates=H","DateFormat=P","Fill=—","Direction=H","UseDPDF=Y")</f>
        <v>#NAME?</v>
      </c>
      <c r="AZ524" s="2" t="e">
        <f ca="1">_xll.BDH($C$503,"SHORT_TERM_DEBT_5_YEAR_GROWTH","FQ1 2018","FQ1 2018","Currency=INR","Period=FQ","BEST_FPERIOD_OVERRIDE=FQ","FILING_STATUS=OR","EQY_CONSOLIDATED=Y","Sort=A","Dates=H","DateFormat=P","Fill=—","Direction=H","UseDPDF=Y")</f>
        <v>#NAME?</v>
      </c>
      <c r="BA524" s="2" t="e">
        <f ca="1">_xll.BDH($C$503,"TOTAL_DEBT_5_YEAR_GROWTH","FQ1 2018","FQ1 2018","Currency=INR","Period=FQ","BEST_FPERIOD_OVERRIDE=FQ","FILING_STATUS=OR","EQY_CONSOLIDATED=Y","Sort=A","Dates=H","DateFormat=P","Fill=—","Direction=H","UseDPDF=Y")</f>
        <v>#NAME?</v>
      </c>
      <c r="BB524" s="2" t="e">
        <f ca="1">_xll.BDH($C$503,"GEO_GROW_TOT_SHRHLDR_EQY","FQ1 2018","FQ1 2018","Currency=INR","Period=FQ","BEST_FPERIOD_OVERRIDE=FQ","FILING_STATUS=OR","EQY_CONSOLIDATED=Y","Sort=A","Dates=H","DateFormat=P","Fill=—","Direction=H","UseDPDF=Y")</f>
        <v>#NAME?</v>
      </c>
      <c r="BC524" s="2" t="e">
        <f ca="1">_xll.BDH($C$503,"TOTAL_CAPITAL_5_YEAR_GROWTH","FQ1 2018","FQ1 2018","Currency=INR","Period=FQ","BEST_FPERIOD_OVERRIDE=FQ","FILING_STATUS=OR","EQY_CONSOLIDATED=Y","Sort=A","Dates=H","DateFormat=P","Fill=—","Direction=H","UseDPDF=Y")</f>
        <v>#NAME?</v>
      </c>
      <c r="BD524" s="2" t="e">
        <f ca="1">_xll.BDH($C$503,"GEO_GROW_BOOK_VAL","FQ1 2018","FQ1 2018","Currency=INR","Period=FQ","BEST_FPERIOD_OVERRIDE=FQ","FILING_STATUS=OR","EQY_CONSOLIDATED=Y","Sort=A","Dates=H","DateFormat=P","Fill=—","Direction=H","UseDPDF=Y")</f>
        <v>#NAME?</v>
      </c>
      <c r="BE524" s="2" t="e">
        <f ca="1">_xll.BDH($C$503,"GEO_GROW_CASH_OPER_ACT","FQ1 2018","FQ1 2018","Currency=INR","Period=FQ","BEST_FPERIOD_OVERRIDE=FQ","FILING_STATUS=OR","EQY_CONSOLIDATED=Y","Sort=A","Dates=H","DateFormat=P","Fill=—","Direction=H","UseDPDF=Y")</f>
        <v>#NAME?</v>
      </c>
      <c r="BF524" s="2" t="e">
        <f ca="1">_xll.BDH($C$503,"REVENUE_SEQUENTIAL_GROWTH","FQ1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524" s="2" t="e">
        <f ca="1">_xll.BDH($C$503,"EBITDA_SEQUENTIAL_GROWTH","FQ1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524" s="2" t="e">
        <f ca="1">_xll.BDH($C$503,"OPERATING_INCOME_SEQ_GROWTH","FQ1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524" s="2" t="e">
        <f ca="1">_xll.BDH($C$503,"NET_INCOME_TO_COMMON_SEQ_GROWTH","FQ1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524" s="2" t="e">
        <f ca="1">_xll.BDH($C$503,"EPS_DILUTED_SEQUENTIAL_GROWTH","FQ1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524" s="2" t="e">
        <f ca="1">_xll.BDH($C$503,"DPS_SEQUENTIAL_GROWTH","FQ1 2018","FQ1 2018","Currency=INR","Period=FQ","BEST_FPERIOD_OVERRIDE=FQ","FILING_STATUS=OR","EQY_CONSOLIDATED=Y","Sort=A","Dates=H","DateFormat=P","Fill=—","Direction=H","UseDPDF=Y")</f>
        <v>#NAME?</v>
      </c>
      <c r="BL524" s="2" t="e">
        <f ca="1">_xll.BDH($C$503,"ACCOUNTS_RECEIVABLE_SEQ_GROWTH","FQ1 2018","FQ1 2018","Currency=INR","Period=FQ","BEST_FPERIOD_OVERRIDE=FQ","FILING_STATUS=OR","EQY_CONSOLIDATED=Y","Sort=A","Dates=H","DateFormat=P","Fill=—","Direction=H","UseDPDF=Y")</f>
        <v>#NAME?</v>
      </c>
      <c r="BM524" s="2" t="e">
        <f ca="1">_xll.BDH($C$503,"INVENTORY_SEQUENTIAL_GROWTH","FQ1 2018","FQ1 2018","Currency=INR","Period=FQ","BEST_FPERIOD_OVERRIDE=FQ","FILING_STATUS=OR","EQY_CONSOLIDATED=Y","Sort=A","Dates=H","DateFormat=P","Fill=—","Direction=H","UseDPDF=Y")</f>
        <v>#NAME?</v>
      </c>
      <c r="BN524" s="2" t="e">
        <f ca="1">_xll.BDH($C$503,"FIXED_ASSETS_SEQUENTIAL_GROWTH","FQ1 2018","FQ1 2018","Currency=INR","Period=FQ","BEST_FPERIOD_OVERRIDE=FQ","FILING_STATUS=OR","EQY_CONSOLIDATED=Y","Sort=A","Dates=H","DateFormat=P","Fill=—","Direction=H","UseDPDF=Y")</f>
        <v>#NAME?</v>
      </c>
      <c r="BO524" s="2" t="e">
        <f ca="1">_xll.BDH($C$503,"TOTAL_ASSETS_SEQUENTIAL_GROWTH","FQ1 2018","FQ1 2018","Currency=INR","Period=FQ","BEST_FPERIOD_OVERRIDE=FQ","FILING_STATUS=OR","EQY_CONSOLIDATED=Y","Sort=A","Dates=H","DateFormat=P","Fill=—","Direction=H","UseDPDF=Y")</f>
        <v>#NAME?</v>
      </c>
      <c r="BP524" s="2" t="e">
        <f ca="1">_xll.BDH($C$503,"MODIFIED_WORKING_CPTL_SEQ_GRWTH","FQ1 2018","FQ1 2018","Currency=INR","Period=FQ","BEST_FPERIOD_OVERRIDE=FQ","FILING_STATUS=OR","EQY_CONSOLIDATED=Y","Sort=A","Dates=H","DateFormat=P","Fill=—","Direction=H","UseDPDF=Y")</f>
        <v>#NAME?</v>
      </c>
      <c r="BQ524" s="2" t="e">
        <f ca="1">_xll.BDH($C$503,"WORKING_CAPITAL_SEQ_GROWTH","FQ1 2018","FQ1 2018","Currency=INR","Period=FQ","BEST_FPERIOD_OVERRIDE=FQ","FILING_STATUS=OR","EQY_CONSOLIDATED=Y","Sort=A","Dates=H","DateFormat=P","Fill=—","Direction=H","UseDPDF=Y")</f>
        <v>#NAME?</v>
      </c>
      <c r="BR524" s="2" t="e">
        <f ca="1">_xll.BDH($C$503,"ACCOUNTS_PAYABLE_SEQ_GROWTH","FQ1 2018","FQ1 2018","Currency=INR","Period=FQ","BEST_FPERIOD_OVERRIDE=FQ","FILING_STATUS=OR","EQY_CONSOLIDATED=Y","Sort=A","Dates=H","DateFormat=P","Fill=—","Direction=H","UseDPDF=Y")</f>
        <v>#NAME?</v>
      </c>
      <c r="BS524" s="2" t="e">
        <f ca="1">_xll.BDH($C$503,"ST_DEBT_SEQUENTIAL_GROWTH","FQ1 2018","FQ1 2018","Currency=INR","Period=FQ","BEST_FPERIOD_OVERRIDE=FQ","FILING_STATUS=OR","EQY_CONSOLIDATED=Y","Sort=A","Dates=H","DateFormat=P","Fill=—","Direction=H","UseDPDF=Y")</f>
        <v>#NAME?</v>
      </c>
      <c r="BT524" s="2" t="e">
        <f ca="1">_xll.BDH($C$503,"TOTAL_DEBT_SEQUENTIAL_GROWTH","FQ1 2018","FQ1 2018","Currency=INR","Period=FQ","BEST_FPERIOD_OVERRIDE=FQ","FILING_STATUS=OR","EQY_CONSOLIDATED=Y","Sort=A","Dates=H","DateFormat=P","Fill=—","Direction=H","UseDPDF=Y")</f>
        <v>#NAME?</v>
      </c>
      <c r="BU524" s="2" t="e">
        <f ca="1">_xll.BDH($C$503,"TOTAL_EQUITY_SEQUENTIAL_GROWTH","FQ1 2018","FQ1 2018","Currency=INR","Period=FQ","BEST_FPERIOD_OVERRIDE=FQ","FILING_STATUS=OR","EQY_CONSOLIDATED=Y","Sort=A","Dates=H","DateFormat=P","Fill=—","Direction=H","UseDPDF=Y")</f>
        <v>#NAME?</v>
      </c>
      <c r="BV524" s="2" t="e">
        <f ca="1">_xll.BDH($C$503,"TOTAL_CAPITAL_SEQUENTIAL_GROWTH","FQ1 2018","FQ1 2018","Currency=INR","Period=FQ","BEST_FPERIOD_OVERRIDE=FQ","FILING_STATUS=OR","EQY_CONSOLIDATED=Y","Sort=A","Dates=H","DateFormat=P","Fill=—","Direction=H","UseDPDF=Y")</f>
        <v>#NAME?</v>
      </c>
      <c r="BW524" s="2" t="e">
        <f ca="1">_xll.BDH($C$503,"BPS_SEQUENTIAL_GROWTH","FQ1 2018","FQ1 2018","Currency=INR","Period=FQ","BEST_FPERIOD_OVERRIDE=FQ","FILING_STATUS=OR","EQY_CONSOLIDATED=Y","Sort=A","Dates=H","DateFormat=P","Fill=—","Direction=H","UseDPDF=Y")</f>
        <v>#NAME?</v>
      </c>
      <c r="BX524" s="2" t="e">
        <f ca="1">_xll.BDH($C$503,"CFO_SEQUENTIAL_GROWTH","FQ1 2018","FQ1 2018","Currency=INR","Period=FQ","BEST_FPERIOD_OVERRIDE=FQ","FILING_STATUS=OR","EQY_CONSOLIDATED=Y","Sort=A","Dates=H","DateFormat=P","Fill=—","Direction=H","UseDPDF=Y")</f>
        <v>#NAME?</v>
      </c>
      <c r="BY524" s="3" t="e">
        <f ca="1">_xll.BDH($C$503,"SHORT_AND_LONG_TERM_DEBT","FQ1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524" s="3" t="e">
        <f ca="1">_xll.BDH($C$503,"BS_ST_BORROW","FQ1 2018","FQ1 2018","Currency=INR","Period=FQ","BEST_FPERIOD_OVERRIDE=FQ","FILING_STATUS=OR","EQY_CONSOLIDATED=Y","SCALING_FORMAT=MLN","Sort=A","Dates=H","DateFormat=P","Fill=—","Direction=H","UseDPDF=Y")</f>
        <v>#NAME?</v>
      </c>
      <c r="CA524" s="3" t="e">
        <f ca="1">_xll.BDH($C$503,"BS_LT_BORROW","FQ1 2018","FQ1 2018","Currency=INR","Period=FQ","BEST_FPERIOD_OVERRIDE=FQ","FILING_STATUS=OR","EQY_CONSOLIDATED=Y","SCALING_FORMAT=MLN","Sort=A","Dates=H","DateFormat=P","Fill=—","Direction=H","UseDPDF=Y")</f>
        <v>#NAME?</v>
      </c>
      <c r="CB524" s="2" t="e">
        <f ca="1">_xll.BDH($C$503,"TOT_DEBT_TO_EBITDA","FQ1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524" s="2" t="e">
        <f ca="1">_xll.BDH($C$503,"NET_DEBT_TO_EBITDA","FQ1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524" s="2" t="e">
        <f ca="1">_xll.BDH($C$503,"TOTAL_DEBT_TO_EBIT","FQ1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524" s="2" t="e">
        <f ca="1">_xll.BDH($C$503,"NET_DEBT_TO_EBIT","FQ1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524" s="2" t="e">
        <f ca="1">_xll.BDH($C$503,"EBITDA_TO_INTEREST_EXPN","FQ1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524" s="2" t="e">
        <f ca="1">_xll.BDH($C$503,"COM_EQY_TO_TOT_ASSET","FQ1 2018","FQ1 2018","Currency=INR","Period=FQ","BEST_FPERIOD_OVERRIDE=FQ","FILING_STATUS=OR","EQY_CONSOLIDATED=Y","Sort=A","Dates=H","DateFormat=P","Fill=—","Direction=H","UseDPDF=Y")</f>
        <v>#NAME?</v>
      </c>
      <c r="CH524" s="2" t="e">
        <f ca="1">_xll.BDH($C$503,"LT_DEBT_TO_TOT_EQY","FQ1 2018","FQ1 2018","Currency=INR","Period=FQ","BEST_FPERIOD_OVERRIDE=FQ","FILING_STATUS=OR","EQY_CONSOLIDATED=Y","Sort=A","Dates=H","DateFormat=P","Fill=—","Direction=H","UseDPDF=Y")</f>
        <v>#NAME?</v>
      </c>
      <c r="CI524" s="2" t="e">
        <f ca="1">_xll.BDH($C$503,"LT_DEBT_TO_TOT_CAP","FQ1 2018","FQ1 2018","Currency=INR","Period=FQ","BEST_FPERIOD_OVERRIDE=FQ","FILING_STATUS=OR","EQY_CONSOLIDATED=Y","Sort=A","Dates=H","DateFormat=P","Fill=—","Direction=H","UseDPDF=Y")</f>
        <v>#NAME?</v>
      </c>
      <c r="CJ524" s="2" t="e">
        <f ca="1">_xll.BDH($C$503,"LT_DEBT_TO_TOT_ASSET","FQ1 2018","FQ1 2018","Currency=INR","Period=FQ","BEST_FPERIOD_OVERRIDE=FQ","FILING_STATUS=OR","EQY_CONSOLIDATED=Y","Sort=A","Dates=H","DateFormat=P","Fill=—","Direction=H","UseDPDF=Y")</f>
        <v>#NAME?</v>
      </c>
      <c r="CK524" s="2" t="e">
        <f ca="1">_xll.BDH($C$503,"TOT_DEBT_TO_TOT_EQY","FQ1 2018","FQ1 2018","Currency=INR","Period=FQ","BEST_FPERIOD_OVERRIDE=FQ","FILING_STATUS=OR","EQY_CONSOLIDATED=Y","Sort=A","Dates=H","DateFormat=P","Fill=—","Direction=H","UseDPDF=Y")</f>
        <v>#NAME?</v>
      </c>
      <c r="CL524" s="2" t="e">
        <f ca="1">_xll.BDH($C$503,"TOT_DEBT_TO_TOT_CAP","FQ1 2018","FQ1 2018","Currency=INR","Period=FQ","BEST_FPERIOD_OVERRIDE=FQ","FILING_STATUS=OR","EQY_CONSOLIDATED=Y","Sort=A","Dates=H","DateFormat=P","Fill=—","Direction=H","UseDPDF=Y")</f>
        <v>#NAME?</v>
      </c>
      <c r="CM524" s="2" t="e">
        <f ca="1">_xll.BDH($C$503,"TOT_DEBT_TO_TOT_ASSET","FQ1 2018","FQ1 2018","Currency=INR","Period=FQ","BEST_FPERIOD_OVERRIDE=FQ","FILING_STATUS=OR","EQY_CONSOLIDATED=Y","Sort=A","Dates=H","DateFormat=P","Fill=—","Direction=H","UseDPDF=Y")</f>
        <v>#NAME?</v>
      </c>
      <c r="CN524" s="2" t="e">
        <f ca="1">_xll.BDH($C$503,"NET_DEBT_TO_SHRHLDR_EQTY","FQ1 2018","FQ1 2018","Currency=INR","Period=FQ","BEST_FPERIOD_OVERRIDE=FQ","FILING_STATUS=OR","EQY_CONSOLIDATED=Y","Sort=A","Dates=H","DateFormat=P","Fill=—","Direction=H","UseDPDF=Y")</f>
        <v>#NAME?</v>
      </c>
      <c r="CO524" s="2" t="e">
        <f ca="1">_xll.BDH($C$503,"NET_DEBT_%_CAPITAL","FQ1 2018","FQ1 2018","Currency=INR","Period=FQ","BEST_FPERIOD_OVERRIDE=FQ","FILING_STATUS=OR","EQY_CONSOLIDATED=Y","Sort=A","Dates=H","DateFormat=P","Fill=—","Direction=H","UseDPDF=Y")</f>
        <v>#NAME?</v>
      </c>
      <c r="CP524" s="3" t="e">
        <f ca="1">_xll.BDH($C$503,"EBITDA","FQ1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524" s="3" t="e">
        <f ca="1">_xll.BDH($C$503,"EBITDA_AFTER_CAPEX","FQ1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524" s="3" t="e">
        <f ca="1">_xll.BDH($C$503,"IS_OPER_INC","FQ1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524" s="2" t="e">
        <f ca="1">_xll.BDH($C$503,"CASH_RATIO","FQ1 2018","FQ1 2018","Currency=INR","Period=FQ","BEST_FPERIOD_OVERRIDE=FQ","FILING_STATUS=OR","EQY_CONSOLIDATED=Y","Sort=A","Dates=H","DateFormat=P","Fill=—","Direction=H","UseDPDF=Y")</f>
        <v>#NAME?</v>
      </c>
      <c r="CT524" s="2" t="e">
        <f ca="1">_xll.BDH($C$503,"CUR_RATIO","FQ1 2018","FQ1 2018","Currency=INR","Period=FQ","BEST_FPERIOD_OVERRIDE=FQ","FILING_STATUS=OR","EQY_CONSOLIDATED=Y","Sort=A","Dates=H","DateFormat=P","Fill=—","Direction=H","UseDPDF=Y")</f>
        <v>#NAME?</v>
      </c>
      <c r="CU524" s="2" t="e">
        <f ca="1">_xll.BDH($C$503,"QUICK_RATIO","FQ1 2018","FQ1 2018","Currency=INR","Period=FQ","BEST_FPERIOD_OVERRIDE=FQ","FILING_STATUS=OR","EQY_CONSOLIDATED=Y","Sort=A","Dates=H","DateFormat=P","Fill=—","Direction=H","UseDPDF=Y")</f>
        <v>#NAME?</v>
      </c>
      <c r="CV524" s="2" t="e">
        <f ca="1">_xll.BDH($C$503,"ALTMAN_Z_SCORE","FQ1 2018","FQ1 2018","Currency=INR","Period=FQ","BEST_FPERIOD_OVERRIDE=FQ","FILING_STATUS=OR","EQY_CONSOLIDATED=Y","Sort=A","Dates=H","DateFormat=P","Fill=—","Direction=H","UseDPDF=Y")</f>
        <v>#NAME?</v>
      </c>
      <c r="CW524" s="4" t="e">
        <f ca="1">_xll.BDH($C$503,"ACCT_RCV_TURN","FQ1 2018","FQ1 2018","Currency=INR","Period=FQ","BEST_FPERIOD_OVERRIDE=FQ","FILING_STATUS=OR","EQY_CONSOLIDATED=Y","FA_ADJUSTED=GAAP","Sort=A","Dates=H","DateFormat=P","Fill=—","Direction=H","UseDPDF=Y")</f>
        <v>#NAME?</v>
      </c>
      <c r="CX524" s="2" t="e">
        <f ca="1">_xll.BDH($C$503,"ACCT_RCV_DAYS","FQ1 2018","FQ1 2018","Currency=INR","Period=FQ","BEST_FPERIOD_OVERRIDE=FQ","FILING_STATUS=OR","EQY_CONSOLIDATED=Y","FA_ADJUSTED=GAAP","Sort=A","Dates=H","DateFormat=P","Fill=—","Direction=H","UseDPDF=Y")</f>
        <v>#NAME?</v>
      </c>
      <c r="CY524" s="4" t="e">
        <f ca="1">_xll.BDH($C$503,"INVENT_TURN","FQ1 2018","FQ1 2018","Currency=INR","Period=FQ","BEST_FPERIOD_OVERRIDE=FQ","FILING_STATUS=OR","EQY_CONSOLIDATED=Y","FA_ADJUSTED=GAAP","Sort=A","Dates=H","DateFormat=P","Fill=—","Direction=H","UseDPDF=Y")</f>
        <v>#NAME?</v>
      </c>
      <c r="CZ524" s="2" t="e">
        <f ca="1">_xll.BDH($C$503,"INVENT_DAYS","FQ1 2018","FQ1 2018","Currency=INR","Period=FQ","BEST_FPERIOD_OVERRIDE=FQ","FILING_STATUS=OR","EQY_CONSOLIDATED=Y","FA_ADJUSTED=GAAP","Sort=A","Dates=H","DateFormat=P","Fill=—","Direction=H","UseDPDF=Y")</f>
        <v>#NAME?</v>
      </c>
      <c r="DA524" s="4" t="e">
        <f ca="1">_xll.BDH($C$503,"ACCOUNTS_PAYABLE_TURNOVER","FQ1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524" s="2" t="e">
        <f ca="1">_xll.BDH($C$503,"ACCOUNTS_PAYABLE_TURNOVER_DAYS","FQ1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524" s="4" t="e">
        <f ca="1">_xll.BDH($C$503,"CASH_CONVERSION_CYCLE","FQ1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524" s="4" t="e">
        <f ca="1">_xll.BDH($C$503,"INV_TO_CASH_DAYS","FQ1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524" s="5" t="e">
        <f ca="1">_xll.BDH($C$503,"BS_INVENTORIES","FQ1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524" s="3" t="e">
        <f ca="1">_xll.BDH($C$503,"INVTRY_RAW_MATERIALS","FQ1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524" s="3" t="e">
        <f ca="1">_xll.BDH($C$503,"INVTRY_IN_PROGRESS","FQ1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524" s="3" t="e">
        <f ca="1">_xll.BDH($C$503,"INVTRY_FINISHED_GOODS","FQ1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524" s="3" t="e">
        <f ca="1">_xll.BDH($C$503,"BS_OTHER_INV","FQ1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525" spans="1:113" x14ac:dyDescent="0.3">
      <c r="A525" s="6"/>
      <c r="B525" s="6"/>
      <c r="C525" s="6"/>
      <c r="D525" s="6"/>
      <c r="E525" t="s">
        <v>79</v>
      </c>
      <c r="F525" t="e">
        <f ca="1">_xll.BDH($C$503,"RETURN_COM_EQY","FQ2 2018","FQ2 2018","Currency=INR","Period=FQ","BEST_FPERIOD_OVERRIDE=FQ","FILING_STATUS=OR","EQY_CONSOLIDATED=Y","FA_ADJUSTED=GAAP","Sort=A","Dates=H","DateFormat=P","Fill=—","Direction=H","UseDPDF=Y")</f>
        <v>#NAME?</v>
      </c>
      <c r="G525" t="e">
        <f ca="1">_xll.BDH($C$503,"RETURN_ON_ASSET","FQ2 2018","FQ2 2018","Currency=INR","Period=FQ","BEST_FPERIOD_OVERRIDE=FQ","FILING_STATUS=OR","EQY_CONSOLIDATED=Y","FA_ADJUSTED=GAAP","Sort=A","Dates=H","DateFormat=P","Fill=—","Direction=H","UseDPDF=Y")</f>
        <v>#NAME?</v>
      </c>
      <c r="H525" t="e">
        <f ca="1">_xll.BDH($C$503,"RETURN_ON_CAP","FQ2 2018","FQ2 2018","Currency=INR","Period=FQ","BEST_FPERIOD_OVERRIDE=FQ","FILING_STATUS=OR","EQY_CONSOLIDATED=Y","FA_ADJUSTED=GAAP","Sort=A","Dates=H","DateFormat=P","Fill=—","Direction=H","UseDPDF=Y")</f>
        <v>#NAME?</v>
      </c>
      <c r="I525" t="e">
        <f ca="1">_xll.BDH($C$503,"RETURN_ON_INV_CAPITAL","FQ2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525" t="e">
        <f ca="1">_xll.BDH($C$503,"EBITDA_TO_REVENUE","FQ2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525" t="e">
        <f ca="1">_xll.BDH($C$503,"OPER_MARGIN","FQ2 2018","FQ2 2018","Currency=INR","Period=FQ","BEST_FPERIOD_OVERRIDE=FQ","FILING_STATUS=OR","EQY_CONSOLIDATED=Y","FA_ADJUSTED=GAAP","Sort=A","Dates=H","DateFormat=P","Fill=—","Direction=H","UseDPDF=Y")</f>
        <v>#NAME?</v>
      </c>
      <c r="L525" t="e">
        <f ca="1">_xll.BDH($C$503,"INCREMENTAL_OPERATING_MARGIN","FQ2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525" t="e">
        <f ca="1">_xll.BDH($C$503,"PRETAX_INC_TO_NET_SALES","FQ2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525" t="e">
        <f ca="1">_xll.BDH($C$503,"INC_BEF_XO_ITEMS_TO_NET_SALES","FQ2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525" t="e">
        <f ca="1">_xll.BDH($C$503,"PROF_MARGIN","FQ2 2018","FQ2 2018","Currency=INR","Period=FQ","BEST_FPERIOD_OVERRIDE=FQ","FILING_STATUS=OR","EQY_CONSOLIDATED=Y","FA_ADJUSTED=GAAP","Sort=A","Dates=H","DateFormat=P","Fill=—","Direction=H","UseDPDF=Y")</f>
        <v>#NAME?</v>
      </c>
      <c r="P525" t="e">
        <f ca="1">_xll.BDH($C$503,"NET_INCOME_TO_COMMON_MARGIN","FQ2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525" t="e">
        <f ca="1">_xll.BDH($C$503,"EFF_TAX_RATE","FQ2 2018","FQ2 2018","Currency=INR","Period=FQ","BEST_FPERIOD_OVERRIDE=FQ","FILING_STATUS=OR","EQY_CONSOLIDATED=Y","FA_ADJUSTED=GAAP","Sort=A","Dates=H","DateFormat=P","Fill=—","Direction=H","UseDPDF=Y")</f>
        <v>#NAME?</v>
      </c>
      <c r="R525" t="e">
        <f ca="1">_xll.BDH($C$503,"DVD_PAYOUT_RATIO","FQ2 2018","FQ2 2018","Currency=INR","Period=FQ","BEST_FPERIOD_OVERRIDE=FQ","FILING_STATUS=OR","EQY_CONSOLIDATED=Y","FA_ADJUSTED=GAAP","Sort=A","Dates=H","DateFormat=P","Fill=—","Direction=H","UseDPDF=Y")</f>
        <v>#NAME?</v>
      </c>
      <c r="S525" t="e">
        <f ca="1">_xll.BDH($C$503,"SUSTAIN_GROWTH_RT","FQ2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525" s="2" t="e">
        <f ca="1">_xll.BDH($C$503,"SALES_GROWTH","FQ2 2018","FQ2 2018","Currency=INR","Period=FQ","BEST_FPERIOD_OVERRIDE=FQ","FILING_STATUS=OR","EQY_CONSOLIDATED=Y","FA_ADJUSTED=GAAP","Sort=A","Dates=H","DateFormat=P","Fill=—","Direction=H","UseDPDF=Y")</f>
        <v>#NAME?</v>
      </c>
      <c r="U525" s="2" t="e">
        <f ca="1">_xll.BDH($C$503,"EBITDA_GROWTH","FQ2 2018","FQ2 2018","Currency=INR","Period=FQ","BEST_FPERIOD_OVERRIDE=FQ","FILING_STATUS=OR","EQY_CONSOLIDATED=Y","FA_ADJUSTED=GAAP","Sort=A","Dates=H","DateFormat=P","Fill=—","Direction=H","UseDPDF=Y")</f>
        <v>#NAME?</v>
      </c>
      <c r="V525" s="2" t="e">
        <f ca="1">_xll.BDH($C$503,"OPER_INC_GROWTH","FQ2 2018","FQ2 2018","Currency=INR","Period=FQ","BEST_FPERIOD_OVERRIDE=FQ","FILING_STATUS=OR","EQY_CONSOLIDATED=Y","FA_ADJUSTED=GAAP","Sort=A","Dates=H","DateFormat=P","Fill=—","Direction=H","UseDPDF=Y")</f>
        <v>#NAME?</v>
      </c>
      <c r="W525" s="2" t="e">
        <f ca="1">_xll.BDH($C$503,"EARN_FOR_COM_GROWTH","FQ2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525" s="2" t="e">
        <f ca="1">_xll.BDH($C$503,"DILUTED_EPS_AFT_XO_ITEMS_GROWTH","FQ2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525" s="2" t="e">
        <f ca="1">_xll.BDH($C$503,"DIVIDEND_PER_SHARE_1_YEAR_GROWTH","FQ2 2018","FQ2 2018","Currency=INR","Period=FQ","BEST_FPERIOD_OVERRIDE=FQ","FILING_STATUS=OR","EQY_CONSOLIDATED=Y","Sort=A","Dates=H","DateFormat=P","Fill=—","Direction=H","UseDPDF=Y")</f>
        <v>#NAME?</v>
      </c>
      <c r="Z525" s="2" t="e">
        <f ca="1">_xll.BDH($C$503,"ACCOUNTS_RECEIVABLE_GROWTH","FQ2 2018","FQ2 2018","Currency=INR","Period=FQ","BEST_FPERIOD_OVERRIDE=FQ","FILING_STATUS=OR","EQY_CONSOLIDATED=Y","Sort=A","Dates=H","DateFormat=P","Fill=—","Direction=H","UseDPDF=Y")</f>
        <v>#NAME?</v>
      </c>
      <c r="AA525" s="2" t="e">
        <f ca="1">_xll.BDH($C$503,"INVENTORY_GROWTH","FQ2 2018","FQ2 2018","Currency=INR","Period=FQ","BEST_FPERIOD_OVERRIDE=FQ","FILING_STATUS=OR","EQY_CONSOLIDATED=Y","Sort=A","Dates=H","DateFormat=P","Fill=—","Direction=H","UseDPDF=Y")</f>
        <v>#NAME?</v>
      </c>
      <c r="AB525" s="2" t="e">
        <f ca="1">_xll.BDH($C$503,"NET_FIXED_ASSETS_1_YEAR_GROWTH","FQ2 2018","FQ2 2018","Currency=INR","Period=FQ","BEST_FPERIOD_OVERRIDE=FQ","FILING_STATUS=OR","EQY_CONSOLIDATED=Y","Sort=A","Dates=H","DateFormat=P","Fill=—","Direction=H","UseDPDF=Y")</f>
        <v>#NAME?</v>
      </c>
      <c r="AC525" s="2" t="e">
        <f ca="1">_xll.BDH($C$503,"ASSET_GROWTH","FQ2 2018","FQ2 2018","Currency=INR","Period=FQ","BEST_FPERIOD_OVERRIDE=FQ","FILING_STATUS=OR","EQY_CONSOLIDATED=Y","Sort=A","Dates=H","DateFormat=P","Fill=—","Direction=H","UseDPDF=Y")</f>
        <v>#NAME?</v>
      </c>
      <c r="AD525" s="2" t="e">
        <f ca="1">_xll.BDH($C$503,"MODIFIED_WORK_CAP_GROWTH","FQ2 2018","FQ2 2018","Currency=INR","Period=FQ","BEST_FPERIOD_OVERRIDE=FQ","FILING_STATUS=OR","EQY_CONSOLIDATED=Y","Sort=A","Dates=H","DateFormat=P","Fill=—","Direction=H","UseDPDF=Y")</f>
        <v>#NAME?</v>
      </c>
      <c r="AE525" s="2" t="e">
        <f ca="1">_xll.BDH($C$503,"WORK_CAP_GROWTH","FQ2 2018","FQ2 2018","Currency=INR","Period=FQ","BEST_FPERIOD_OVERRIDE=FQ","FILING_STATUS=OR","EQY_CONSOLIDATED=Y","Sort=A","Dates=H","DateFormat=P","Fill=—","Direction=H","UseDPDF=Y")</f>
        <v>#NAME?</v>
      </c>
      <c r="AF525" s="2" t="e">
        <f ca="1">_xll.BDH($C$503,"ACCOUNTS_PAYABLE_GROWTH_1YR","FQ2 2018","FQ2 2018","Currency=INR","Period=FQ","BEST_FPERIOD_OVERRIDE=FQ","FILING_STATUS=OR","EQY_CONSOLIDATED=Y","Sort=A","Dates=H","DateFormat=P","Fill=—","Direction=H","UseDPDF=Y")</f>
        <v>#NAME?</v>
      </c>
      <c r="AG525" s="2" t="e">
        <f ca="1">_xll.BDH($C$503,"SHORT_TERM_DEBT_1_YEAR_GROWTH","FQ2 2018","FQ2 2018","Currency=INR","Period=FQ","BEST_FPERIOD_OVERRIDE=FQ","FILING_STATUS=OR","EQY_CONSOLIDATED=Y","Sort=A","Dates=H","DateFormat=P","Fill=—","Direction=H","UseDPDF=Y")</f>
        <v>#NAME?</v>
      </c>
      <c r="AH525" s="2" t="e">
        <f ca="1">_xll.BDH($C$503,"TOTAL_DEBT_1_YEAR_GROWTH","FQ2 2018","FQ2 2018","Currency=INR","Period=FQ","BEST_FPERIOD_OVERRIDE=FQ","FILING_STATUS=OR","EQY_CONSOLIDATED=Y","Sort=A","Dates=H","DateFormat=P","Fill=—","Direction=H","UseDPDF=Y")</f>
        <v>#NAME?</v>
      </c>
      <c r="AI525" s="2" t="e">
        <f ca="1">_xll.BDH($C$503,"TOTAL_EQUITY_1_YEAR_GROWTH","FQ2 2018","FQ2 2018","Currency=INR","Period=FQ","BEST_FPERIOD_OVERRIDE=FQ","FILING_STATUS=OR","EQY_CONSOLIDATED=Y","Sort=A","Dates=H","DateFormat=P","Fill=—","Direction=H","UseDPDF=Y")</f>
        <v>#NAME?</v>
      </c>
      <c r="AJ525" s="2" t="e">
        <f ca="1">_xll.BDH($C$503,"GROWTH_IN_CAP","FQ2 2018","FQ2 2018","Currency=INR","Period=FQ","BEST_FPERIOD_OVERRIDE=FQ","FILING_STATUS=OR","EQY_CONSOLIDATED=Y","Sort=A","Dates=H","DateFormat=P","Fill=—","Direction=H","UseDPDF=Y")</f>
        <v>#NAME?</v>
      </c>
      <c r="AK525" s="2" t="e">
        <f ca="1">_xll.BDH($C$503,"BVPS_GROWTH","FQ2 2018","FQ2 2018","Currency=INR","Period=FQ","BEST_FPERIOD_OVERRIDE=FQ","FILING_STATUS=OR","EQY_CONSOLIDATED=Y","Sort=A","Dates=H","DateFormat=P","Fill=—","Direction=H","UseDPDF=Y")</f>
        <v>#NAME?</v>
      </c>
      <c r="AL525" s="2" t="e">
        <f ca="1">_xll.BDH($C$503,"CASH_FLOW_GROWTH","FQ2 2018","FQ2 2018","Currency=INR","Period=FQ","BEST_FPERIOD_OVERRIDE=FQ","FILING_STATUS=OR","EQY_CONSOLIDATED=Y","Sort=A","Dates=H","DateFormat=P","Fill=—","Direction=H","UseDPDF=Y")</f>
        <v>#NAME?</v>
      </c>
      <c r="AM525" s="2" t="e">
        <f ca="1">_xll.BDH($C$503,"GEO_GROW_NET_SALES","FQ2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525" s="2" t="e">
        <f ca="1">_xll.BDH($C$503,"GEO_GROW_EBITDA","FQ2 2018","FQ2 2018","Currency=INR","Period=FQ","BEST_FPERIOD_OVERRIDE=FQ","FILING_STATUS=OR","EQY_CONSOLIDATED=Y","FA_ADJUSTED=GAAP","Sort=A","Dates=H","DateFormat=P","Fill=—","Direction=H","UseDPDF=Y")</f>
        <v>#NAME?</v>
      </c>
      <c r="AO525" s="2" t="e">
        <f ca="1">_xll.BDH($C$503,"GEO_GROW_OPER_INC","FQ2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525" s="2" t="e">
        <f ca="1">_xll.BDH($C$503,"NET_INCOME_TO_COMMON_5_YR_GROWTH","FQ2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525" s="2" t="e">
        <f ca="1">_xll.BDH($C$503,"5Y_GEO_GROWTH_DILUTED_EPS","FQ2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525" s="2" t="e">
        <f ca="1">_xll.BDH($C$503,"GEO_GROW_DVD_PER_SH","FQ2 2018","FQ2 2018","Currency=INR","Period=FQ","BEST_FPERIOD_OVERRIDE=FQ","FILING_STATUS=OR","EQY_CONSOLIDATED=Y","Sort=A","Dates=H","DateFormat=P","Fill=—","Direction=H","UseDPDF=Y")</f>
        <v>#NAME?</v>
      </c>
      <c r="AS525" s="2" t="e">
        <f ca="1">_xll.BDH($C$503,"ACCOUNTS_RECEIVABLE_5_YR_GROWTH","FQ2 2018","FQ2 2018","Currency=INR","Period=FQ","BEST_FPERIOD_OVERRIDE=FQ","FILING_STATUS=OR","EQY_CONSOLIDATED=Y","Sort=A","Dates=H","DateFormat=P","Fill=—","Direction=H","UseDPDF=Y")</f>
        <v>#NAME?</v>
      </c>
      <c r="AT525" s="2" t="e">
        <f ca="1">_xll.BDH($C$503,"INVENTORY_5_YEAR_GROWTH","FQ2 2018","FQ2 2018","Currency=INR","Period=FQ","BEST_FPERIOD_OVERRIDE=FQ","FILING_STATUS=OR","EQY_CONSOLIDATED=Y","Sort=A","Dates=H","DateFormat=P","Fill=—","Direction=H","UseDPDF=Y")</f>
        <v>#NAME?</v>
      </c>
      <c r="AU525" s="2" t="e">
        <f ca="1">_xll.BDH($C$503,"NET_FIXED_ASSETS_5_YEAR_GROWTH","FQ2 2018","FQ2 2018","Currency=INR","Period=FQ","BEST_FPERIOD_OVERRIDE=FQ","FILING_STATUS=OR","EQY_CONSOLIDATED=Y","Sort=A","Dates=H","DateFormat=P","Fill=—","Direction=H","UseDPDF=Y")</f>
        <v>#NAME?</v>
      </c>
      <c r="AV525" s="2" t="e">
        <f ca="1">_xll.BDH($C$503,"GEO_GROW_TOT_ASSET","FQ2 2018","FQ2 2018","Currency=INR","Period=FQ","BEST_FPERIOD_OVERRIDE=FQ","FILING_STATUS=OR","EQY_CONSOLIDATED=Y","Sort=A","Dates=H","DateFormat=P","Fill=—","Direction=H","UseDPDF=Y")</f>
        <v>#NAME?</v>
      </c>
      <c r="AW525" s="2" t="e">
        <f ca="1">_xll.BDH($C$503,"MODIFIED_WORKING_CPTL_5YR_GRWTH","FQ2 2018","FQ2 2018","Currency=INR","Period=FQ","BEST_FPERIOD_OVERRIDE=FQ","FILING_STATUS=OR","EQY_CONSOLIDATED=Y","Sort=A","Dates=H","DateFormat=P","Fill=—","Direction=H","UseDPDF=Y")</f>
        <v>#NAME?</v>
      </c>
      <c r="AX525" s="2" t="e">
        <f ca="1">_xll.BDH($C$503,"WORKING_CAPITAL_5_YEAR_GROWTH","FQ2 2018","FQ2 2018","Currency=INR","Period=FQ","BEST_FPERIOD_OVERRIDE=FQ","FILING_STATUS=OR","EQY_CONSOLIDATED=Y","Sort=A","Dates=H","DateFormat=P","Fill=—","Direction=H","UseDPDF=Y")</f>
        <v>#NAME?</v>
      </c>
      <c r="AY525" s="2" t="e">
        <f ca="1">_xll.BDH($C$503,"ACCOUNTS_PAYABLE_5_YEAR_GROWTH","FQ2 2018","FQ2 2018","Currency=INR","Period=FQ","BEST_FPERIOD_OVERRIDE=FQ","FILING_STATUS=OR","EQY_CONSOLIDATED=Y","Sort=A","Dates=H","DateFormat=P","Fill=—","Direction=H","UseDPDF=Y")</f>
        <v>#NAME?</v>
      </c>
      <c r="AZ525" s="2" t="e">
        <f ca="1">_xll.BDH($C$503,"SHORT_TERM_DEBT_5_YEAR_GROWTH","FQ2 2018","FQ2 2018","Currency=INR","Period=FQ","BEST_FPERIOD_OVERRIDE=FQ","FILING_STATUS=OR","EQY_CONSOLIDATED=Y","Sort=A","Dates=H","DateFormat=P","Fill=—","Direction=H","UseDPDF=Y")</f>
        <v>#NAME?</v>
      </c>
      <c r="BA525" s="2" t="e">
        <f ca="1">_xll.BDH($C$503,"TOTAL_DEBT_5_YEAR_GROWTH","FQ2 2018","FQ2 2018","Currency=INR","Period=FQ","BEST_FPERIOD_OVERRIDE=FQ","FILING_STATUS=OR","EQY_CONSOLIDATED=Y","Sort=A","Dates=H","DateFormat=P","Fill=—","Direction=H","UseDPDF=Y")</f>
        <v>#NAME?</v>
      </c>
      <c r="BB525" s="2" t="e">
        <f ca="1">_xll.BDH($C$503,"GEO_GROW_TOT_SHRHLDR_EQY","FQ2 2018","FQ2 2018","Currency=INR","Period=FQ","BEST_FPERIOD_OVERRIDE=FQ","FILING_STATUS=OR","EQY_CONSOLIDATED=Y","Sort=A","Dates=H","DateFormat=P","Fill=—","Direction=H","UseDPDF=Y")</f>
        <v>#NAME?</v>
      </c>
      <c r="BC525" s="2" t="e">
        <f ca="1">_xll.BDH($C$503,"TOTAL_CAPITAL_5_YEAR_GROWTH","FQ2 2018","FQ2 2018","Currency=INR","Period=FQ","BEST_FPERIOD_OVERRIDE=FQ","FILING_STATUS=OR","EQY_CONSOLIDATED=Y","Sort=A","Dates=H","DateFormat=P","Fill=—","Direction=H","UseDPDF=Y")</f>
        <v>#NAME?</v>
      </c>
      <c r="BD525" s="2" t="e">
        <f ca="1">_xll.BDH($C$503,"GEO_GROW_BOOK_VAL","FQ2 2018","FQ2 2018","Currency=INR","Period=FQ","BEST_FPERIOD_OVERRIDE=FQ","FILING_STATUS=OR","EQY_CONSOLIDATED=Y","Sort=A","Dates=H","DateFormat=P","Fill=—","Direction=H","UseDPDF=Y")</f>
        <v>#NAME?</v>
      </c>
      <c r="BE525" s="2" t="e">
        <f ca="1">_xll.BDH($C$503,"GEO_GROW_CASH_OPER_ACT","FQ2 2018","FQ2 2018","Currency=INR","Period=FQ","BEST_FPERIOD_OVERRIDE=FQ","FILING_STATUS=OR","EQY_CONSOLIDATED=Y","Sort=A","Dates=H","DateFormat=P","Fill=—","Direction=H","UseDPDF=Y")</f>
        <v>#NAME?</v>
      </c>
      <c r="BF525" s="2" t="e">
        <f ca="1">_xll.BDH($C$503,"REVENUE_SEQUENTIAL_GROWTH","FQ2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525" s="2" t="e">
        <f ca="1">_xll.BDH($C$503,"EBITDA_SEQUENTIAL_GROWTH","FQ2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525" s="2" t="e">
        <f ca="1">_xll.BDH($C$503,"OPERATING_INCOME_SEQ_GROWTH","FQ2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525" s="2" t="e">
        <f ca="1">_xll.BDH($C$503,"NET_INCOME_TO_COMMON_SEQ_GROWTH","FQ2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525" s="2" t="e">
        <f ca="1">_xll.BDH($C$503,"EPS_DILUTED_SEQUENTIAL_GROWTH","FQ2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525" s="2" t="e">
        <f ca="1">_xll.BDH($C$503,"DPS_SEQUENTIAL_GROWTH","FQ2 2018","FQ2 2018","Currency=INR","Period=FQ","BEST_FPERIOD_OVERRIDE=FQ","FILING_STATUS=OR","EQY_CONSOLIDATED=Y","Sort=A","Dates=H","DateFormat=P","Fill=—","Direction=H","UseDPDF=Y")</f>
        <v>#NAME?</v>
      </c>
      <c r="BL525" s="2" t="e">
        <f ca="1">_xll.BDH($C$503,"ACCOUNTS_RECEIVABLE_SEQ_GROWTH","FQ2 2018","FQ2 2018","Currency=INR","Period=FQ","BEST_FPERIOD_OVERRIDE=FQ","FILING_STATUS=OR","EQY_CONSOLIDATED=Y","Sort=A","Dates=H","DateFormat=P","Fill=—","Direction=H","UseDPDF=Y")</f>
        <v>#NAME?</v>
      </c>
      <c r="BM525" s="2" t="e">
        <f ca="1">_xll.BDH($C$503,"INVENTORY_SEQUENTIAL_GROWTH","FQ2 2018","FQ2 2018","Currency=INR","Period=FQ","BEST_FPERIOD_OVERRIDE=FQ","FILING_STATUS=OR","EQY_CONSOLIDATED=Y","Sort=A","Dates=H","DateFormat=P","Fill=—","Direction=H","UseDPDF=Y")</f>
        <v>#NAME?</v>
      </c>
      <c r="BN525" s="2" t="e">
        <f ca="1">_xll.BDH($C$503,"FIXED_ASSETS_SEQUENTIAL_GROWTH","FQ2 2018","FQ2 2018","Currency=INR","Period=FQ","BEST_FPERIOD_OVERRIDE=FQ","FILING_STATUS=OR","EQY_CONSOLIDATED=Y","Sort=A","Dates=H","DateFormat=P","Fill=—","Direction=H","UseDPDF=Y")</f>
        <v>#NAME?</v>
      </c>
      <c r="BO525" s="2" t="e">
        <f ca="1">_xll.BDH($C$503,"TOTAL_ASSETS_SEQUENTIAL_GROWTH","FQ2 2018","FQ2 2018","Currency=INR","Period=FQ","BEST_FPERIOD_OVERRIDE=FQ","FILING_STATUS=OR","EQY_CONSOLIDATED=Y","Sort=A","Dates=H","DateFormat=P","Fill=—","Direction=H","UseDPDF=Y")</f>
        <v>#NAME?</v>
      </c>
      <c r="BP525" s="2" t="e">
        <f ca="1">_xll.BDH($C$503,"MODIFIED_WORKING_CPTL_SEQ_GRWTH","FQ2 2018","FQ2 2018","Currency=INR","Period=FQ","BEST_FPERIOD_OVERRIDE=FQ","FILING_STATUS=OR","EQY_CONSOLIDATED=Y","Sort=A","Dates=H","DateFormat=P","Fill=—","Direction=H","UseDPDF=Y")</f>
        <v>#NAME?</v>
      </c>
      <c r="BQ525" s="2" t="e">
        <f ca="1">_xll.BDH($C$503,"WORKING_CAPITAL_SEQ_GROWTH","FQ2 2018","FQ2 2018","Currency=INR","Period=FQ","BEST_FPERIOD_OVERRIDE=FQ","FILING_STATUS=OR","EQY_CONSOLIDATED=Y","Sort=A","Dates=H","DateFormat=P","Fill=—","Direction=H","UseDPDF=Y")</f>
        <v>#NAME?</v>
      </c>
      <c r="BR525" s="2" t="e">
        <f ca="1">_xll.BDH($C$503,"ACCOUNTS_PAYABLE_SEQ_GROWTH","FQ2 2018","FQ2 2018","Currency=INR","Period=FQ","BEST_FPERIOD_OVERRIDE=FQ","FILING_STATUS=OR","EQY_CONSOLIDATED=Y","Sort=A","Dates=H","DateFormat=P","Fill=—","Direction=H","UseDPDF=Y")</f>
        <v>#NAME?</v>
      </c>
      <c r="BS525" s="2" t="e">
        <f ca="1">_xll.BDH($C$503,"ST_DEBT_SEQUENTIAL_GROWTH","FQ2 2018","FQ2 2018","Currency=INR","Period=FQ","BEST_FPERIOD_OVERRIDE=FQ","FILING_STATUS=OR","EQY_CONSOLIDATED=Y","Sort=A","Dates=H","DateFormat=P","Fill=—","Direction=H","UseDPDF=Y")</f>
        <v>#NAME?</v>
      </c>
      <c r="BT525" s="2" t="e">
        <f ca="1">_xll.BDH($C$503,"TOTAL_DEBT_SEQUENTIAL_GROWTH","FQ2 2018","FQ2 2018","Currency=INR","Period=FQ","BEST_FPERIOD_OVERRIDE=FQ","FILING_STATUS=OR","EQY_CONSOLIDATED=Y","Sort=A","Dates=H","DateFormat=P","Fill=—","Direction=H","UseDPDF=Y")</f>
        <v>#NAME?</v>
      </c>
      <c r="BU525" s="2" t="e">
        <f ca="1">_xll.BDH($C$503,"TOTAL_EQUITY_SEQUENTIAL_GROWTH","FQ2 2018","FQ2 2018","Currency=INR","Period=FQ","BEST_FPERIOD_OVERRIDE=FQ","FILING_STATUS=OR","EQY_CONSOLIDATED=Y","Sort=A","Dates=H","DateFormat=P","Fill=—","Direction=H","UseDPDF=Y")</f>
        <v>#NAME?</v>
      </c>
      <c r="BV525" s="2" t="e">
        <f ca="1">_xll.BDH($C$503,"TOTAL_CAPITAL_SEQUENTIAL_GROWTH","FQ2 2018","FQ2 2018","Currency=INR","Period=FQ","BEST_FPERIOD_OVERRIDE=FQ","FILING_STATUS=OR","EQY_CONSOLIDATED=Y","Sort=A","Dates=H","DateFormat=P","Fill=—","Direction=H","UseDPDF=Y")</f>
        <v>#NAME?</v>
      </c>
      <c r="BW525" s="2" t="e">
        <f ca="1">_xll.BDH($C$503,"BPS_SEQUENTIAL_GROWTH","FQ2 2018","FQ2 2018","Currency=INR","Period=FQ","BEST_FPERIOD_OVERRIDE=FQ","FILING_STATUS=OR","EQY_CONSOLIDATED=Y","Sort=A","Dates=H","DateFormat=P","Fill=—","Direction=H","UseDPDF=Y")</f>
        <v>#NAME?</v>
      </c>
      <c r="BX525" s="2" t="e">
        <f ca="1">_xll.BDH($C$503,"CFO_SEQUENTIAL_GROWTH","FQ2 2018","FQ2 2018","Currency=INR","Period=FQ","BEST_FPERIOD_OVERRIDE=FQ","FILING_STATUS=OR","EQY_CONSOLIDATED=Y","Sort=A","Dates=H","DateFormat=P","Fill=—","Direction=H","UseDPDF=Y")</f>
        <v>#NAME?</v>
      </c>
      <c r="BY525" s="3" t="e">
        <f ca="1">_xll.BDH($C$503,"SHORT_AND_LONG_TERM_DEBT","FQ2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525" s="3" t="e">
        <f ca="1">_xll.BDH($C$503,"BS_ST_BORROW","FQ2 2018","FQ2 2018","Currency=INR","Period=FQ","BEST_FPERIOD_OVERRIDE=FQ","FILING_STATUS=OR","EQY_CONSOLIDATED=Y","SCALING_FORMAT=MLN","Sort=A","Dates=H","DateFormat=P","Fill=—","Direction=H","UseDPDF=Y")</f>
        <v>#NAME?</v>
      </c>
      <c r="CA525" s="3" t="e">
        <f ca="1">_xll.BDH($C$503,"BS_LT_BORROW","FQ2 2018","FQ2 2018","Currency=INR","Period=FQ","BEST_FPERIOD_OVERRIDE=FQ","FILING_STATUS=OR","EQY_CONSOLIDATED=Y","SCALING_FORMAT=MLN","Sort=A","Dates=H","DateFormat=P","Fill=—","Direction=H","UseDPDF=Y")</f>
        <v>#NAME?</v>
      </c>
      <c r="CB525" s="2" t="e">
        <f ca="1">_xll.BDH($C$503,"TOT_DEBT_TO_EBITDA","FQ2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525" s="2" t="e">
        <f ca="1">_xll.BDH($C$503,"NET_DEBT_TO_EBITDA","FQ2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525" s="2" t="e">
        <f ca="1">_xll.BDH($C$503,"TOTAL_DEBT_TO_EBIT","FQ2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525" s="2" t="e">
        <f ca="1">_xll.BDH($C$503,"NET_DEBT_TO_EBIT","FQ2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525" s="2" t="e">
        <f ca="1">_xll.BDH($C$503,"EBITDA_TO_INTEREST_EXPN","FQ2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525" s="2" t="e">
        <f ca="1">_xll.BDH($C$503,"COM_EQY_TO_TOT_ASSET","FQ2 2018","FQ2 2018","Currency=INR","Period=FQ","BEST_FPERIOD_OVERRIDE=FQ","FILING_STATUS=OR","EQY_CONSOLIDATED=Y","Sort=A","Dates=H","DateFormat=P","Fill=—","Direction=H","UseDPDF=Y")</f>
        <v>#NAME?</v>
      </c>
      <c r="CH525" s="2" t="e">
        <f ca="1">_xll.BDH($C$503,"LT_DEBT_TO_TOT_EQY","FQ2 2018","FQ2 2018","Currency=INR","Period=FQ","BEST_FPERIOD_OVERRIDE=FQ","FILING_STATUS=OR","EQY_CONSOLIDATED=Y","Sort=A","Dates=H","DateFormat=P","Fill=—","Direction=H","UseDPDF=Y")</f>
        <v>#NAME?</v>
      </c>
      <c r="CI525" s="2" t="e">
        <f ca="1">_xll.BDH($C$503,"LT_DEBT_TO_TOT_CAP","FQ2 2018","FQ2 2018","Currency=INR","Period=FQ","BEST_FPERIOD_OVERRIDE=FQ","FILING_STATUS=OR","EQY_CONSOLIDATED=Y","Sort=A","Dates=H","DateFormat=P","Fill=—","Direction=H","UseDPDF=Y")</f>
        <v>#NAME?</v>
      </c>
      <c r="CJ525" s="2" t="e">
        <f ca="1">_xll.BDH($C$503,"LT_DEBT_TO_TOT_ASSET","FQ2 2018","FQ2 2018","Currency=INR","Period=FQ","BEST_FPERIOD_OVERRIDE=FQ","FILING_STATUS=OR","EQY_CONSOLIDATED=Y","Sort=A","Dates=H","DateFormat=P","Fill=—","Direction=H","UseDPDF=Y")</f>
        <v>#NAME?</v>
      </c>
      <c r="CK525" s="2" t="e">
        <f ca="1">_xll.BDH($C$503,"TOT_DEBT_TO_TOT_EQY","FQ2 2018","FQ2 2018","Currency=INR","Period=FQ","BEST_FPERIOD_OVERRIDE=FQ","FILING_STATUS=OR","EQY_CONSOLIDATED=Y","Sort=A","Dates=H","DateFormat=P","Fill=—","Direction=H","UseDPDF=Y")</f>
        <v>#NAME?</v>
      </c>
      <c r="CL525" s="2" t="e">
        <f ca="1">_xll.BDH($C$503,"TOT_DEBT_TO_TOT_CAP","FQ2 2018","FQ2 2018","Currency=INR","Period=FQ","BEST_FPERIOD_OVERRIDE=FQ","FILING_STATUS=OR","EQY_CONSOLIDATED=Y","Sort=A","Dates=H","DateFormat=P","Fill=—","Direction=H","UseDPDF=Y")</f>
        <v>#NAME?</v>
      </c>
      <c r="CM525" s="2" t="e">
        <f ca="1">_xll.BDH($C$503,"TOT_DEBT_TO_TOT_ASSET","FQ2 2018","FQ2 2018","Currency=INR","Period=FQ","BEST_FPERIOD_OVERRIDE=FQ","FILING_STATUS=OR","EQY_CONSOLIDATED=Y","Sort=A","Dates=H","DateFormat=P","Fill=—","Direction=H","UseDPDF=Y")</f>
        <v>#NAME?</v>
      </c>
      <c r="CN525" s="2" t="e">
        <f ca="1">_xll.BDH($C$503,"NET_DEBT_TO_SHRHLDR_EQTY","FQ2 2018","FQ2 2018","Currency=INR","Period=FQ","BEST_FPERIOD_OVERRIDE=FQ","FILING_STATUS=OR","EQY_CONSOLIDATED=Y","Sort=A","Dates=H","DateFormat=P","Fill=—","Direction=H","UseDPDF=Y")</f>
        <v>#NAME?</v>
      </c>
      <c r="CO525" s="2" t="e">
        <f ca="1">_xll.BDH($C$503,"NET_DEBT_%_CAPITAL","FQ2 2018","FQ2 2018","Currency=INR","Period=FQ","BEST_FPERIOD_OVERRIDE=FQ","FILING_STATUS=OR","EQY_CONSOLIDATED=Y","Sort=A","Dates=H","DateFormat=P","Fill=—","Direction=H","UseDPDF=Y")</f>
        <v>#NAME?</v>
      </c>
      <c r="CP525" s="3" t="e">
        <f ca="1">_xll.BDH($C$503,"EBITDA","FQ2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525" s="3" t="e">
        <f ca="1">_xll.BDH($C$503,"EBITDA_AFTER_CAPEX","FQ2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525" s="3" t="e">
        <f ca="1">_xll.BDH($C$503,"IS_OPER_INC","FQ2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525" s="2" t="e">
        <f ca="1">_xll.BDH($C$503,"CASH_RATIO","FQ2 2018","FQ2 2018","Currency=INR","Period=FQ","BEST_FPERIOD_OVERRIDE=FQ","FILING_STATUS=OR","EQY_CONSOLIDATED=Y","Sort=A","Dates=H","DateFormat=P","Fill=—","Direction=H","UseDPDF=Y")</f>
        <v>#NAME?</v>
      </c>
      <c r="CT525" s="2" t="e">
        <f ca="1">_xll.BDH($C$503,"CUR_RATIO","FQ2 2018","FQ2 2018","Currency=INR","Period=FQ","BEST_FPERIOD_OVERRIDE=FQ","FILING_STATUS=OR","EQY_CONSOLIDATED=Y","Sort=A","Dates=H","DateFormat=P","Fill=—","Direction=H","UseDPDF=Y")</f>
        <v>#NAME?</v>
      </c>
      <c r="CU525" s="2" t="e">
        <f ca="1">_xll.BDH($C$503,"QUICK_RATIO","FQ2 2018","FQ2 2018","Currency=INR","Period=FQ","BEST_FPERIOD_OVERRIDE=FQ","FILING_STATUS=OR","EQY_CONSOLIDATED=Y","Sort=A","Dates=H","DateFormat=P","Fill=—","Direction=H","UseDPDF=Y")</f>
        <v>#NAME?</v>
      </c>
      <c r="CV525" s="2" t="e">
        <f ca="1">_xll.BDH($C$503,"ALTMAN_Z_SCORE","FQ2 2018","FQ2 2018","Currency=INR","Period=FQ","BEST_FPERIOD_OVERRIDE=FQ","FILING_STATUS=OR","EQY_CONSOLIDATED=Y","Sort=A","Dates=H","DateFormat=P","Fill=—","Direction=H","UseDPDF=Y")</f>
        <v>#NAME?</v>
      </c>
      <c r="CW525" s="4" t="e">
        <f ca="1">_xll.BDH($C$503,"ACCT_RCV_TURN","FQ2 2018","FQ2 2018","Currency=INR","Period=FQ","BEST_FPERIOD_OVERRIDE=FQ","FILING_STATUS=OR","EQY_CONSOLIDATED=Y","FA_ADJUSTED=GAAP","Sort=A","Dates=H","DateFormat=P","Fill=—","Direction=H","UseDPDF=Y")</f>
        <v>#NAME?</v>
      </c>
      <c r="CX525" s="2" t="e">
        <f ca="1">_xll.BDH($C$503,"ACCT_RCV_DAYS","FQ2 2018","FQ2 2018","Currency=INR","Period=FQ","BEST_FPERIOD_OVERRIDE=FQ","FILING_STATUS=OR","EQY_CONSOLIDATED=Y","FA_ADJUSTED=GAAP","Sort=A","Dates=H","DateFormat=P","Fill=—","Direction=H","UseDPDF=Y")</f>
        <v>#NAME?</v>
      </c>
      <c r="CY525" s="4" t="e">
        <f ca="1">_xll.BDH($C$503,"INVENT_TURN","FQ2 2018","FQ2 2018","Currency=INR","Period=FQ","BEST_FPERIOD_OVERRIDE=FQ","FILING_STATUS=OR","EQY_CONSOLIDATED=Y","FA_ADJUSTED=GAAP","Sort=A","Dates=H","DateFormat=P","Fill=—","Direction=H","UseDPDF=Y")</f>
        <v>#NAME?</v>
      </c>
      <c r="CZ525" s="2" t="e">
        <f ca="1">_xll.BDH($C$503,"INVENT_DAYS","FQ2 2018","FQ2 2018","Currency=INR","Period=FQ","BEST_FPERIOD_OVERRIDE=FQ","FILING_STATUS=OR","EQY_CONSOLIDATED=Y","FA_ADJUSTED=GAAP","Sort=A","Dates=H","DateFormat=P","Fill=—","Direction=H","UseDPDF=Y")</f>
        <v>#NAME?</v>
      </c>
      <c r="DA525" s="4" t="e">
        <f ca="1">_xll.BDH($C$503,"ACCOUNTS_PAYABLE_TURNOVER","FQ2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525" s="2" t="e">
        <f ca="1">_xll.BDH($C$503,"ACCOUNTS_PAYABLE_TURNOVER_DAYS","FQ2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525" s="4" t="e">
        <f ca="1">_xll.BDH($C$503,"CASH_CONVERSION_CYCLE","FQ2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525" s="4" t="e">
        <f ca="1">_xll.BDH($C$503,"INV_TO_CASH_DAYS","FQ2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525" s="5" t="e">
        <f ca="1">_xll.BDH($C$503,"BS_INVENTORIES","FQ2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525" s="3" t="e">
        <f ca="1">_xll.BDH($C$503,"INVTRY_RAW_MATERIALS","FQ2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525" s="3" t="e">
        <f ca="1">_xll.BDH($C$503,"INVTRY_IN_PROGRESS","FQ2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525" s="3" t="e">
        <f ca="1">_xll.BDH($C$503,"INVTRY_FINISHED_GOODS","FQ2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525" s="3" t="e">
        <f ca="1">_xll.BDH($C$503,"BS_OTHER_INV","FQ2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526" spans="1:113" x14ac:dyDescent="0.3">
      <c r="A526" s="6"/>
      <c r="B526" s="6"/>
      <c r="C526" s="6"/>
      <c r="D526" s="6"/>
      <c r="E526" t="s">
        <v>80</v>
      </c>
      <c r="F526" t="e">
        <f ca="1">_xll.BDH($C$503,"RETURN_COM_EQY","FQ3 2018","FQ3 2018","Currency=INR","Period=FQ","BEST_FPERIOD_OVERRIDE=FQ","FILING_STATUS=OR","EQY_CONSOLIDATED=Y","FA_ADJUSTED=GAAP","Sort=A","Dates=H","DateFormat=P","Fill=—","Direction=H","UseDPDF=Y")</f>
        <v>#NAME?</v>
      </c>
      <c r="G526" t="e">
        <f ca="1">_xll.BDH($C$503,"RETURN_ON_ASSET","FQ3 2018","FQ3 2018","Currency=INR","Period=FQ","BEST_FPERIOD_OVERRIDE=FQ","FILING_STATUS=OR","EQY_CONSOLIDATED=Y","FA_ADJUSTED=GAAP","Sort=A","Dates=H","DateFormat=P","Fill=—","Direction=H","UseDPDF=Y")</f>
        <v>#NAME?</v>
      </c>
      <c r="H526" t="e">
        <f ca="1">_xll.BDH($C$503,"RETURN_ON_CAP","FQ3 2018","FQ3 2018","Currency=INR","Period=FQ","BEST_FPERIOD_OVERRIDE=FQ","FILING_STATUS=OR","EQY_CONSOLIDATED=Y","FA_ADJUSTED=GAAP","Sort=A","Dates=H","DateFormat=P","Fill=—","Direction=H","UseDPDF=Y")</f>
        <v>#NAME?</v>
      </c>
      <c r="I526" t="e">
        <f ca="1">_xll.BDH($C$503,"RETURN_ON_INV_CAPITAL","FQ3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526" t="e">
        <f ca="1">_xll.BDH($C$503,"EBITDA_TO_REVENUE","FQ3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526" t="e">
        <f ca="1">_xll.BDH($C$503,"OPER_MARGIN","FQ3 2018","FQ3 2018","Currency=INR","Period=FQ","BEST_FPERIOD_OVERRIDE=FQ","FILING_STATUS=OR","EQY_CONSOLIDATED=Y","FA_ADJUSTED=GAAP","Sort=A","Dates=H","DateFormat=P","Fill=—","Direction=H","UseDPDF=Y")</f>
        <v>#NAME?</v>
      </c>
      <c r="L526" t="e">
        <f ca="1">_xll.BDH($C$503,"INCREMENTAL_OPERATING_MARGIN","FQ3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526" t="e">
        <f ca="1">_xll.BDH($C$503,"PRETAX_INC_TO_NET_SALES","FQ3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526" t="e">
        <f ca="1">_xll.BDH($C$503,"INC_BEF_XO_ITEMS_TO_NET_SALES","FQ3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526" t="e">
        <f ca="1">_xll.BDH($C$503,"PROF_MARGIN","FQ3 2018","FQ3 2018","Currency=INR","Period=FQ","BEST_FPERIOD_OVERRIDE=FQ","FILING_STATUS=OR","EQY_CONSOLIDATED=Y","FA_ADJUSTED=GAAP","Sort=A","Dates=H","DateFormat=P","Fill=—","Direction=H","UseDPDF=Y")</f>
        <v>#NAME?</v>
      </c>
      <c r="P526" t="e">
        <f ca="1">_xll.BDH($C$503,"NET_INCOME_TO_COMMON_MARGIN","FQ3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526" t="e">
        <f ca="1">_xll.BDH($C$503,"EFF_TAX_RATE","FQ3 2018","FQ3 2018","Currency=INR","Period=FQ","BEST_FPERIOD_OVERRIDE=FQ","FILING_STATUS=OR","EQY_CONSOLIDATED=Y","FA_ADJUSTED=GAAP","Sort=A","Dates=H","DateFormat=P","Fill=—","Direction=H","UseDPDF=Y")</f>
        <v>#NAME?</v>
      </c>
      <c r="R526" t="e">
        <f ca="1">_xll.BDH($C$503,"DVD_PAYOUT_RATIO","FQ3 2018","FQ3 2018","Currency=INR","Period=FQ","BEST_FPERIOD_OVERRIDE=FQ","FILING_STATUS=OR","EQY_CONSOLIDATED=Y","FA_ADJUSTED=GAAP","Sort=A","Dates=H","DateFormat=P","Fill=—","Direction=H","UseDPDF=Y")</f>
        <v>#NAME?</v>
      </c>
      <c r="S526" t="e">
        <f ca="1">_xll.BDH($C$503,"SUSTAIN_GROWTH_RT","FQ3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526" s="2" t="e">
        <f ca="1">_xll.BDH($C$503,"SALES_GROWTH","FQ3 2018","FQ3 2018","Currency=INR","Period=FQ","BEST_FPERIOD_OVERRIDE=FQ","FILING_STATUS=OR","EQY_CONSOLIDATED=Y","FA_ADJUSTED=GAAP","Sort=A","Dates=H","DateFormat=P","Fill=—","Direction=H","UseDPDF=Y")</f>
        <v>#NAME?</v>
      </c>
      <c r="U526" s="2" t="e">
        <f ca="1">_xll.BDH($C$503,"EBITDA_GROWTH","FQ3 2018","FQ3 2018","Currency=INR","Period=FQ","BEST_FPERIOD_OVERRIDE=FQ","FILING_STATUS=OR","EQY_CONSOLIDATED=Y","FA_ADJUSTED=GAAP","Sort=A","Dates=H","DateFormat=P","Fill=—","Direction=H","UseDPDF=Y")</f>
        <v>#NAME?</v>
      </c>
      <c r="V526" s="2" t="e">
        <f ca="1">_xll.BDH($C$503,"OPER_INC_GROWTH","FQ3 2018","FQ3 2018","Currency=INR","Period=FQ","BEST_FPERIOD_OVERRIDE=FQ","FILING_STATUS=OR","EQY_CONSOLIDATED=Y","FA_ADJUSTED=GAAP","Sort=A","Dates=H","DateFormat=P","Fill=—","Direction=H","UseDPDF=Y")</f>
        <v>#NAME?</v>
      </c>
      <c r="W526" s="2" t="e">
        <f ca="1">_xll.BDH($C$503,"EARN_FOR_COM_GROWTH","FQ3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526" s="2" t="e">
        <f ca="1">_xll.BDH($C$503,"DILUTED_EPS_AFT_XO_ITEMS_GROWTH","FQ3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526" s="2" t="e">
        <f ca="1">_xll.BDH($C$503,"DIVIDEND_PER_SHARE_1_YEAR_GROWTH","FQ3 2018","FQ3 2018","Currency=INR","Period=FQ","BEST_FPERIOD_OVERRIDE=FQ","FILING_STATUS=OR","EQY_CONSOLIDATED=Y","Sort=A","Dates=H","DateFormat=P","Fill=—","Direction=H","UseDPDF=Y")</f>
        <v>#NAME?</v>
      </c>
      <c r="Z526" s="2" t="e">
        <f ca="1">_xll.BDH($C$503,"ACCOUNTS_RECEIVABLE_GROWTH","FQ3 2018","FQ3 2018","Currency=INR","Period=FQ","BEST_FPERIOD_OVERRIDE=FQ","FILING_STATUS=OR","EQY_CONSOLIDATED=Y","Sort=A","Dates=H","DateFormat=P","Fill=—","Direction=H","UseDPDF=Y")</f>
        <v>#NAME?</v>
      </c>
      <c r="AA526" s="2" t="e">
        <f ca="1">_xll.BDH($C$503,"INVENTORY_GROWTH","FQ3 2018","FQ3 2018","Currency=INR","Period=FQ","BEST_FPERIOD_OVERRIDE=FQ","FILING_STATUS=OR","EQY_CONSOLIDATED=Y","Sort=A","Dates=H","DateFormat=P","Fill=—","Direction=H","UseDPDF=Y")</f>
        <v>#NAME?</v>
      </c>
      <c r="AB526" s="2" t="e">
        <f ca="1">_xll.BDH($C$503,"NET_FIXED_ASSETS_1_YEAR_GROWTH","FQ3 2018","FQ3 2018","Currency=INR","Period=FQ","BEST_FPERIOD_OVERRIDE=FQ","FILING_STATUS=OR","EQY_CONSOLIDATED=Y","Sort=A","Dates=H","DateFormat=P","Fill=—","Direction=H","UseDPDF=Y")</f>
        <v>#NAME?</v>
      </c>
      <c r="AC526" s="2" t="e">
        <f ca="1">_xll.BDH($C$503,"ASSET_GROWTH","FQ3 2018","FQ3 2018","Currency=INR","Period=FQ","BEST_FPERIOD_OVERRIDE=FQ","FILING_STATUS=OR","EQY_CONSOLIDATED=Y","Sort=A","Dates=H","DateFormat=P","Fill=—","Direction=H","UseDPDF=Y")</f>
        <v>#NAME?</v>
      </c>
      <c r="AD526" s="2" t="e">
        <f ca="1">_xll.BDH($C$503,"MODIFIED_WORK_CAP_GROWTH","FQ3 2018","FQ3 2018","Currency=INR","Period=FQ","BEST_FPERIOD_OVERRIDE=FQ","FILING_STATUS=OR","EQY_CONSOLIDATED=Y","Sort=A","Dates=H","DateFormat=P","Fill=—","Direction=H","UseDPDF=Y")</f>
        <v>#NAME?</v>
      </c>
      <c r="AE526" s="2" t="e">
        <f ca="1">_xll.BDH($C$503,"WORK_CAP_GROWTH","FQ3 2018","FQ3 2018","Currency=INR","Period=FQ","BEST_FPERIOD_OVERRIDE=FQ","FILING_STATUS=OR","EQY_CONSOLIDATED=Y","Sort=A","Dates=H","DateFormat=P","Fill=—","Direction=H","UseDPDF=Y")</f>
        <v>#NAME?</v>
      </c>
      <c r="AF526" s="2" t="e">
        <f ca="1">_xll.BDH($C$503,"ACCOUNTS_PAYABLE_GROWTH_1YR","FQ3 2018","FQ3 2018","Currency=INR","Period=FQ","BEST_FPERIOD_OVERRIDE=FQ","FILING_STATUS=OR","EQY_CONSOLIDATED=Y","Sort=A","Dates=H","DateFormat=P","Fill=—","Direction=H","UseDPDF=Y")</f>
        <v>#NAME?</v>
      </c>
      <c r="AG526" s="2" t="e">
        <f ca="1">_xll.BDH($C$503,"SHORT_TERM_DEBT_1_YEAR_GROWTH","FQ3 2018","FQ3 2018","Currency=INR","Period=FQ","BEST_FPERIOD_OVERRIDE=FQ","FILING_STATUS=OR","EQY_CONSOLIDATED=Y","Sort=A","Dates=H","DateFormat=P","Fill=—","Direction=H","UseDPDF=Y")</f>
        <v>#NAME?</v>
      </c>
      <c r="AH526" s="2" t="e">
        <f ca="1">_xll.BDH($C$503,"TOTAL_DEBT_1_YEAR_GROWTH","FQ3 2018","FQ3 2018","Currency=INR","Period=FQ","BEST_FPERIOD_OVERRIDE=FQ","FILING_STATUS=OR","EQY_CONSOLIDATED=Y","Sort=A","Dates=H","DateFormat=P","Fill=—","Direction=H","UseDPDF=Y")</f>
        <v>#NAME?</v>
      </c>
      <c r="AI526" s="2" t="e">
        <f ca="1">_xll.BDH($C$503,"TOTAL_EQUITY_1_YEAR_GROWTH","FQ3 2018","FQ3 2018","Currency=INR","Period=FQ","BEST_FPERIOD_OVERRIDE=FQ","FILING_STATUS=OR","EQY_CONSOLIDATED=Y","Sort=A","Dates=H","DateFormat=P","Fill=—","Direction=H","UseDPDF=Y")</f>
        <v>#NAME?</v>
      </c>
      <c r="AJ526" s="2" t="e">
        <f ca="1">_xll.BDH($C$503,"GROWTH_IN_CAP","FQ3 2018","FQ3 2018","Currency=INR","Period=FQ","BEST_FPERIOD_OVERRIDE=FQ","FILING_STATUS=OR","EQY_CONSOLIDATED=Y","Sort=A","Dates=H","DateFormat=P","Fill=—","Direction=H","UseDPDF=Y")</f>
        <v>#NAME?</v>
      </c>
      <c r="AK526" s="2" t="e">
        <f ca="1">_xll.BDH($C$503,"BVPS_GROWTH","FQ3 2018","FQ3 2018","Currency=INR","Period=FQ","BEST_FPERIOD_OVERRIDE=FQ","FILING_STATUS=OR","EQY_CONSOLIDATED=Y","Sort=A","Dates=H","DateFormat=P","Fill=—","Direction=H","UseDPDF=Y")</f>
        <v>#NAME?</v>
      </c>
      <c r="AL526" s="2" t="e">
        <f ca="1">_xll.BDH($C$503,"CASH_FLOW_GROWTH","FQ3 2018","FQ3 2018","Currency=INR","Period=FQ","BEST_FPERIOD_OVERRIDE=FQ","FILING_STATUS=OR","EQY_CONSOLIDATED=Y","Sort=A","Dates=H","DateFormat=P","Fill=—","Direction=H","UseDPDF=Y")</f>
        <v>#NAME?</v>
      </c>
      <c r="AM526" s="2" t="e">
        <f ca="1">_xll.BDH($C$503,"GEO_GROW_NET_SALES","FQ3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526" s="2" t="e">
        <f ca="1">_xll.BDH($C$503,"GEO_GROW_EBITDA","FQ3 2018","FQ3 2018","Currency=INR","Period=FQ","BEST_FPERIOD_OVERRIDE=FQ","FILING_STATUS=OR","EQY_CONSOLIDATED=Y","FA_ADJUSTED=GAAP","Sort=A","Dates=H","DateFormat=P","Fill=—","Direction=H","UseDPDF=Y")</f>
        <v>#NAME?</v>
      </c>
      <c r="AO526" s="2" t="e">
        <f ca="1">_xll.BDH($C$503,"GEO_GROW_OPER_INC","FQ3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526" s="2" t="e">
        <f ca="1">_xll.BDH($C$503,"NET_INCOME_TO_COMMON_5_YR_GROWTH","FQ3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526" s="2" t="e">
        <f ca="1">_xll.BDH($C$503,"5Y_GEO_GROWTH_DILUTED_EPS","FQ3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526" s="2" t="e">
        <f ca="1">_xll.BDH($C$503,"GEO_GROW_DVD_PER_SH","FQ3 2018","FQ3 2018","Currency=INR","Period=FQ","BEST_FPERIOD_OVERRIDE=FQ","FILING_STATUS=OR","EQY_CONSOLIDATED=Y","Sort=A","Dates=H","DateFormat=P","Fill=—","Direction=H","UseDPDF=Y")</f>
        <v>#NAME?</v>
      </c>
      <c r="AS526" s="2" t="e">
        <f ca="1">_xll.BDH($C$503,"ACCOUNTS_RECEIVABLE_5_YR_GROWTH","FQ3 2018","FQ3 2018","Currency=INR","Period=FQ","BEST_FPERIOD_OVERRIDE=FQ","FILING_STATUS=OR","EQY_CONSOLIDATED=Y","Sort=A","Dates=H","DateFormat=P","Fill=—","Direction=H","UseDPDF=Y")</f>
        <v>#NAME?</v>
      </c>
      <c r="AT526" s="2" t="e">
        <f ca="1">_xll.BDH($C$503,"INVENTORY_5_YEAR_GROWTH","FQ3 2018","FQ3 2018","Currency=INR","Period=FQ","BEST_FPERIOD_OVERRIDE=FQ","FILING_STATUS=OR","EQY_CONSOLIDATED=Y","Sort=A","Dates=H","DateFormat=P","Fill=—","Direction=H","UseDPDF=Y")</f>
        <v>#NAME?</v>
      </c>
      <c r="AU526" s="2" t="e">
        <f ca="1">_xll.BDH($C$503,"NET_FIXED_ASSETS_5_YEAR_GROWTH","FQ3 2018","FQ3 2018","Currency=INR","Period=FQ","BEST_FPERIOD_OVERRIDE=FQ","FILING_STATUS=OR","EQY_CONSOLIDATED=Y","Sort=A","Dates=H","DateFormat=P","Fill=—","Direction=H","UseDPDF=Y")</f>
        <v>#NAME?</v>
      </c>
      <c r="AV526" s="2" t="e">
        <f ca="1">_xll.BDH($C$503,"GEO_GROW_TOT_ASSET","FQ3 2018","FQ3 2018","Currency=INR","Period=FQ","BEST_FPERIOD_OVERRIDE=FQ","FILING_STATUS=OR","EQY_CONSOLIDATED=Y","Sort=A","Dates=H","DateFormat=P","Fill=—","Direction=H","UseDPDF=Y")</f>
        <v>#NAME?</v>
      </c>
      <c r="AW526" s="2" t="e">
        <f ca="1">_xll.BDH($C$503,"MODIFIED_WORKING_CPTL_5YR_GRWTH","FQ3 2018","FQ3 2018","Currency=INR","Period=FQ","BEST_FPERIOD_OVERRIDE=FQ","FILING_STATUS=OR","EQY_CONSOLIDATED=Y","Sort=A","Dates=H","DateFormat=P","Fill=—","Direction=H","UseDPDF=Y")</f>
        <v>#NAME?</v>
      </c>
      <c r="AX526" s="2" t="e">
        <f ca="1">_xll.BDH($C$503,"WORKING_CAPITAL_5_YEAR_GROWTH","FQ3 2018","FQ3 2018","Currency=INR","Period=FQ","BEST_FPERIOD_OVERRIDE=FQ","FILING_STATUS=OR","EQY_CONSOLIDATED=Y","Sort=A","Dates=H","DateFormat=P","Fill=—","Direction=H","UseDPDF=Y")</f>
        <v>#NAME?</v>
      </c>
      <c r="AY526" s="2" t="e">
        <f ca="1">_xll.BDH($C$503,"ACCOUNTS_PAYABLE_5_YEAR_GROWTH","FQ3 2018","FQ3 2018","Currency=INR","Period=FQ","BEST_FPERIOD_OVERRIDE=FQ","FILING_STATUS=OR","EQY_CONSOLIDATED=Y","Sort=A","Dates=H","DateFormat=P","Fill=—","Direction=H","UseDPDF=Y")</f>
        <v>#NAME?</v>
      </c>
      <c r="AZ526" s="2" t="e">
        <f ca="1">_xll.BDH($C$503,"SHORT_TERM_DEBT_5_YEAR_GROWTH","FQ3 2018","FQ3 2018","Currency=INR","Period=FQ","BEST_FPERIOD_OVERRIDE=FQ","FILING_STATUS=OR","EQY_CONSOLIDATED=Y","Sort=A","Dates=H","DateFormat=P","Fill=—","Direction=H","UseDPDF=Y")</f>
        <v>#NAME?</v>
      </c>
      <c r="BA526" s="2" t="e">
        <f ca="1">_xll.BDH($C$503,"TOTAL_DEBT_5_YEAR_GROWTH","FQ3 2018","FQ3 2018","Currency=INR","Period=FQ","BEST_FPERIOD_OVERRIDE=FQ","FILING_STATUS=OR","EQY_CONSOLIDATED=Y","Sort=A","Dates=H","DateFormat=P","Fill=—","Direction=H","UseDPDF=Y")</f>
        <v>#NAME?</v>
      </c>
      <c r="BB526" s="2" t="e">
        <f ca="1">_xll.BDH($C$503,"GEO_GROW_TOT_SHRHLDR_EQY","FQ3 2018","FQ3 2018","Currency=INR","Period=FQ","BEST_FPERIOD_OVERRIDE=FQ","FILING_STATUS=OR","EQY_CONSOLIDATED=Y","Sort=A","Dates=H","DateFormat=P","Fill=—","Direction=H","UseDPDF=Y")</f>
        <v>#NAME?</v>
      </c>
      <c r="BC526" s="2" t="e">
        <f ca="1">_xll.BDH($C$503,"TOTAL_CAPITAL_5_YEAR_GROWTH","FQ3 2018","FQ3 2018","Currency=INR","Period=FQ","BEST_FPERIOD_OVERRIDE=FQ","FILING_STATUS=OR","EQY_CONSOLIDATED=Y","Sort=A","Dates=H","DateFormat=P","Fill=—","Direction=H","UseDPDF=Y")</f>
        <v>#NAME?</v>
      </c>
      <c r="BD526" s="2" t="e">
        <f ca="1">_xll.BDH($C$503,"GEO_GROW_BOOK_VAL","FQ3 2018","FQ3 2018","Currency=INR","Period=FQ","BEST_FPERIOD_OVERRIDE=FQ","FILING_STATUS=OR","EQY_CONSOLIDATED=Y","Sort=A","Dates=H","DateFormat=P","Fill=—","Direction=H","UseDPDF=Y")</f>
        <v>#NAME?</v>
      </c>
      <c r="BE526" s="2" t="e">
        <f ca="1">_xll.BDH($C$503,"GEO_GROW_CASH_OPER_ACT","FQ3 2018","FQ3 2018","Currency=INR","Period=FQ","BEST_FPERIOD_OVERRIDE=FQ","FILING_STATUS=OR","EQY_CONSOLIDATED=Y","Sort=A","Dates=H","DateFormat=P","Fill=—","Direction=H","UseDPDF=Y")</f>
        <v>#NAME?</v>
      </c>
      <c r="BF526" s="2" t="e">
        <f ca="1">_xll.BDH($C$503,"REVENUE_SEQUENTIAL_GROWTH","FQ3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526" s="2" t="e">
        <f ca="1">_xll.BDH($C$503,"EBITDA_SEQUENTIAL_GROWTH","FQ3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526" s="2" t="e">
        <f ca="1">_xll.BDH($C$503,"OPERATING_INCOME_SEQ_GROWTH","FQ3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526" s="2" t="e">
        <f ca="1">_xll.BDH($C$503,"NET_INCOME_TO_COMMON_SEQ_GROWTH","FQ3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526" s="2" t="e">
        <f ca="1">_xll.BDH($C$503,"EPS_DILUTED_SEQUENTIAL_GROWTH","FQ3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526" s="2" t="e">
        <f ca="1">_xll.BDH($C$503,"DPS_SEQUENTIAL_GROWTH","FQ3 2018","FQ3 2018","Currency=INR","Period=FQ","BEST_FPERIOD_OVERRIDE=FQ","FILING_STATUS=OR","EQY_CONSOLIDATED=Y","Sort=A","Dates=H","DateFormat=P","Fill=—","Direction=H","UseDPDF=Y")</f>
        <v>#NAME?</v>
      </c>
      <c r="BL526" s="2" t="e">
        <f ca="1">_xll.BDH($C$503,"ACCOUNTS_RECEIVABLE_SEQ_GROWTH","FQ3 2018","FQ3 2018","Currency=INR","Period=FQ","BEST_FPERIOD_OVERRIDE=FQ","FILING_STATUS=OR","EQY_CONSOLIDATED=Y","Sort=A","Dates=H","DateFormat=P","Fill=—","Direction=H","UseDPDF=Y")</f>
        <v>#NAME?</v>
      </c>
      <c r="BM526" s="2" t="e">
        <f ca="1">_xll.BDH($C$503,"INVENTORY_SEQUENTIAL_GROWTH","FQ3 2018","FQ3 2018","Currency=INR","Period=FQ","BEST_FPERIOD_OVERRIDE=FQ","FILING_STATUS=OR","EQY_CONSOLIDATED=Y","Sort=A","Dates=H","DateFormat=P","Fill=—","Direction=H","UseDPDF=Y")</f>
        <v>#NAME?</v>
      </c>
      <c r="BN526" s="2" t="e">
        <f ca="1">_xll.BDH($C$503,"FIXED_ASSETS_SEQUENTIAL_GROWTH","FQ3 2018","FQ3 2018","Currency=INR","Period=FQ","BEST_FPERIOD_OVERRIDE=FQ","FILING_STATUS=OR","EQY_CONSOLIDATED=Y","Sort=A","Dates=H","DateFormat=P","Fill=—","Direction=H","UseDPDF=Y")</f>
        <v>#NAME?</v>
      </c>
      <c r="BO526" s="2" t="e">
        <f ca="1">_xll.BDH($C$503,"TOTAL_ASSETS_SEQUENTIAL_GROWTH","FQ3 2018","FQ3 2018","Currency=INR","Period=FQ","BEST_FPERIOD_OVERRIDE=FQ","FILING_STATUS=OR","EQY_CONSOLIDATED=Y","Sort=A","Dates=H","DateFormat=P","Fill=—","Direction=H","UseDPDF=Y")</f>
        <v>#NAME?</v>
      </c>
      <c r="BP526" s="2" t="e">
        <f ca="1">_xll.BDH($C$503,"MODIFIED_WORKING_CPTL_SEQ_GRWTH","FQ3 2018","FQ3 2018","Currency=INR","Period=FQ","BEST_FPERIOD_OVERRIDE=FQ","FILING_STATUS=OR","EQY_CONSOLIDATED=Y","Sort=A","Dates=H","DateFormat=P","Fill=—","Direction=H","UseDPDF=Y")</f>
        <v>#NAME?</v>
      </c>
      <c r="BQ526" s="2" t="e">
        <f ca="1">_xll.BDH($C$503,"WORKING_CAPITAL_SEQ_GROWTH","FQ3 2018","FQ3 2018","Currency=INR","Period=FQ","BEST_FPERIOD_OVERRIDE=FQ","FILING_STATUS=OR","EQY_CONSOLIDATED=Y","Sort=A","Dates=H","DateFormat=P","Fill=—","Direction=H","UseDPDF=Y")</f>
        <v>#NAME?</v>
      </c>
      <c r="BR526" s="2" t="e">
        <f ca="1">_xll.BDH($C$503,"ACCOUNTS_PAYABLE_SEQ_GROWTH","FQ3 2018","FQ3 2018","Currency=INR","Period=FQ","BEST_FPERIOD_OVERRIDE=FQ","FILING_STATUS=OR","EQY_CONSOLIDATED=Y","Sort=A","Dates=H","DateFormat=P","Fill=—","Direction=H","UseDPDF=Y")</f>
        <v>#NAME?</v>
      </c>
      <c r="BS526" s="2" t="e">
        <f ca="1">_xll.BDH($C$503,"ST_DEBT_SEQUENTIAL_GROWTH","FQ3 2018","FQ3 2018","Currency=INR","Period=FQ","BEST_FPERIOD_OVERRIDE=FQ","FILING_STATUS=OR","EQY_CONSOLIDATED=Y","Sort=A","Dates=H","DateFormat=P","Fill=—","Direction=H","UseDPDF=Y")</f>
        <v>#NAME?</v>
      </c>
      <c r="BT526" s="2" t="e">
        <f ca="1">_xll.BDH($C$503,"TOTAL_DEBT_SEQUENTIAL_GROWTH","FQ3 2018","FQ3 2018","Currency=INR","Period=FQ","BEST_FPERIOD_OVERRIDE=FQ","FILING_STATUS=OR","EQY_CONSOLIDATED=Y","Sort=A","Dates=H","DateFormat=P","Fill=—","Direction=H","UseDPDF=Y")</f>
        <v>#NAME?</v>
      </c>
      <c r="BU526" s="2" t="e">
        <f ca="1">_xll.BDH($C$503,"TOTAL_EQUITY_SEQUENTIAL_GROWTH","FQ3 2018","FQ3 2018","Currency=INR","Period=FQ","BEST_FPERIOD_OVERRIDE=FQ","FILING_STATUS=OR","EQY_CONSOLIDATED=Y","Sort=A","Dates=H","DateFormat=P","Fill=—","Direction=H","UseDPDF=Y")</f>
        <v>#NAME?</v>
      </c>
      <c r="BV526" s="2" t="e">
        <f ca="1">_xll.BDH($C$503,"TOTAL_CAPITAL_SEQUENTIAL_GROWTH","FQ3 2018","FQ3 2018","Currency=INR","Period=FQ","BEST_FPERIOD_OVERRIDE=FQ","FILING_STATUS=OR","EQY_CONSOLIDATED=Y","Sort=A","Dates=H","DateFormat=P","Fill=—","Direction=H","UseDPDF=Y")</f>
        <v>#NAME?</v>
      </c>
      <c r="BW526" s="2" t="e">
        <f ca="1">_xll.BDH($C$503,"BPS_SEQUENTIAL_GROWTH","FQ3 2018","FQ3 2018","Currency=INR","Period=FQ","BEST_FPERIOD_OVERRIDE=FQ","FILING_STATUS=OR","EQY_CONSOLIDATED=Y","Sort=A","Dates=H","DateFormat=P","Fill=—","Direction=H","UseDPDF=Y")</f>
        <v>#NAME?</v>
      </c>
      <c r="BX526" s="2" t="e">
        <f ca="1">_xll.BDH($C$503,"CFO_SEQUENTIAL_GROWTH","FQ3 2018","FQ3 2018","Currency=INR","Period=FQ","BEST_FPERIOD_OVERRIDE=FQ","FILING_STATUS=OR","EQY_CONSOLIDATED=Y","Sort=A","Dates=H","DateFormat=P","Fill=—","Direction=H","UseDPDF=Y")</f>
        <v>#NAME?</v>
      </c>
      <c r="BY526" s="3" t="e">
        <f ca="1">_xll.BDH($C$503,"SHORT_AND_LONG_TERM_DEBT","FQ3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526" s="3" t="e">
        <f ca="1">_xll.BDH($C$503,"BS_ST_BORROW","FQ3 2018","FQ3 2018","Currency=INR","Period=FQ","BEST_FPERIOD_OVERRIDE=FQ","FILING_STATUS=OR","EQY_CONSOLIDATED=Y","SCALING_FORMAT=MLN","Sort=A","Dates=H","DateFormat=P","Fill=—","Direction=H","UseDPDF=Y")</f>
        <v>#NAME?</v>
      </c>
      <c r="CA526" s="3" t="e">
        <f ca="1">_xll.BDH($C$503,"BS_LT_BORROW","FQ3 2018","FQ3 2018","Currency=INR","Period=FQ","BEST_FPERIOD_OVERRIDE=FQ","FILING_STATUS=OR","EQY_CONSOLIDATED=Y","SCALING_FORMAT=MLN","Sort=A","Dates=H","DateFormat=P","Fill=—","Direction=H","UseDPDF=Y")</f>
        <v>#NAME?</v>
      </c>
      <c r="CB526" s="2" t="e">
        <f ca="1">_xll.BDH($C$503,"TOT_DEBT_TO_EBITDA","FQ3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526" s="2" t="e">
        <f ca="1">_xll.BDH($C$503,"NET_DEBT_TO_EBITDA","FQ3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526" s="2" t="e">
        <f ca="1">_xll.BDH($C$503,"TOTAL_DEBT_TO_EBIT","FQ3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526" s="2" t="e">
        <f ca="1">_xll.BDH($C$503,"NET_DEBT_TO_EBIT","FQ3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526" s="2" t="e">
        <f ca="1">_xll.BDH($C$503,"EBITDA_TO_INTEREST_EXPN","FQ3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526" s="2" t="e">
        <f ca="1">_xll.BDH($C$503,"COM_EQY_TO_TOT_ASSET","FQ3 2018","FQ3 2018","Currency=INR","Period=FQ","BEST_FPERIOD_OVERRIDE=FQ","FILING_STATUS=OR","EQY_CONSOLIDATED=Y","Sort=A","Dates=H","DateFormat=P","Fill=—","Direction=H","UseDPDF=Y")</f>
        <v>#NAME?</v>
      </c>
      <c r="CH526" s="2" t="e">
        <f ca="1">_xll.BDH($C$503,"LT_DEBT_TO_TOT_EQY","FQ3 2018","FQ3 2018","Currency=INR","Period=FQ","BEST_FPERIOD_OVERRIDE=FQ","FILING_STATUS=OR","EQY_CONSOLIDATED=Y","Sort=A","Dates=H","DateFormat=P","Fill=—","Direction=H","UseDPDF=Y")</f>
        <v>#NAME?</v>
      </c>
      <c r="CI526" s="2" t="e">
        <f ca="1">_xll.BDH($C$503,"LT_DEBT_TO_TOT_CAP","FQ3 2018","FQ3 2018","Currency=INR","Period=FQ","BEST_FPERIOD_OVERRIDE=FQ","FILING_STATUS=OR","EQY_CONSOLIDATED=Y","Sort=A","Dates=H","DateFormat=P","Fill=—","Direction=H","UseDPDF=Y")</f>
        <v>#NAME?</v>
      </c>
      <c r="CJ526" s="2" t="e">
        <f ca="1">_xll.BDH($C$503,"LT_DEBT_TO_TOT_ASSET","FQ3 2018","FQ3 2018","Currency=INR","Period=FQ","BEST_FPERIOD_OVERRIDE=FQ","FILING_STATUS=OR","EQY_CONSOLIDATED=Y","Sort=A","Dates=H","DateFormat=P","Fill=—","Direction=H","UseDPDF=Y")</f>
        <v>#NAME?</v>
      </c>
      <c r="CK526" s="2" t="e">
        <f ca="1">_xll.BDH($C$503,"TOT_DEBT_TO_TOT_EQY","FQ3 2018","FQ3 2018","Currency=INR","Period=FQ","BEST_FPERIOD_OVERRIDE=FQ","FILING_STATUS=OR","EQY_CONSOLIDATED=Y","Sort=A","Dates=H","DateFormat=P","Fill=—","Direction=H","UseDPDF=Y")</f>
        <v>#NAME?</v>
      </c>
      <c r="CL526" s="2" t="e">
        <f ca="1">_xll.BDH($C$503,"TOT_DEBT_TO_TOT_CAP","FQ3 2018","FQ3 2018","Currency=INR","Period=FQ","BEST_FPERIOD_OVERRIDE=FQ","FILING_STATUS=OR","EQY_CONSOLIDATED=Y","Sort=A","Dates=H","DateFormat=P","Fill=—","Direction=H","UseDPDF=Y")</f>
        <v>#NAME?</v>
      </c>
      <c r="CM526" s="2" t="e">
        <f ca="1">_xll.BDH($C$503,"TOT_DEBT_TO_TOT_ASSET","FQ3 2018","FQ3 2018","Currency=INR","Period=FQ","BEST_FPERIOD_OVERRIDE=FQ","FILING_STATUS=OR","EQY_CONSOLIDATED=Y","Sort=A","Dates=H","DateFormat=P","Fill=—","Direction=H","UseDPDF=Y")</f>
        <v>#NAME?</v>
      </c>
      <c r="CN526" s="2" t="e">
        <f ca="1">_xll.BDH($C$503,"NET_DEBT_TO_SHRHLDR_EQTY","FQ3 2018","FQ3 2018","Currency=INR","Period=FQ","BEST_FPERIOD_OVERRIDE=FQ","FILING_STATUS=OR","EQY_CONSOLIDATED=Y","Sort=A","Dates=H","DateFormat=P","Fill=—","Direction=H","UseDPDF=Y")</f>
        <v>#NAME?</v>
      </c>
      <c r="CO526" s="2" t="e">
        <f ca="1">_xll.BDH($C$503,"NET_DEBT_%_CAPITAL","FQ3 2018","FQ3 2018","Currency=INR","Period=FQ","BEST_FPERIOD_OVERRIDE=FQ","FILING_STATUS=OR","EQY_CONSOLIDATED=Y","Sort=A","Dates=H","DateFormat=P","Fill=—","Direction=H","UseDPDF=Y")</f>
        <v>#NAME?</v>
      </c>
      <c r="CP526" s="3" t="e">
        <f ca="1">_xll.BDH($C$503,"EBITDA","FQ3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526" s="3" t="e">
        <f ca="1">_xll.BDH($C$503,"EBITDA_AFTER_CAPEX","FQ3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526" s="3" t="e">
        <f ca="1">_xll.BDH($C$503,"IS_OPER_INC","FQ3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526" s="2" t="e">
        <f ca="1">_xll.BDH($C$503,"CASH_RATIO","FQ3 2018","FQ3 2018","Currency=INR","Period=FQ","BEST_FPERIOD_OVERRIDE=FQ","FILING_STATUS=OR","EQY_CONSOLIDATED=Y","Sort=A","Dates=H","DateFormat=P","Fill=—","Direction=H","UseDPDF=Y")</f>
        <v>#NAME?</v>
      </c>
      <c r="CT526" s="2" t="e">
        <f ca="1">_xll.BDH($C$503,"CUR_RATIO","FQ3 2018","FQ3 2018","Currency=INR","Period=FQ","BEST_FPERIOD_OVERRIDE=FQ","FILING_STATUS=OR","EQY_CONSOLIDATED=Y","Sort=A","Dates=H","DateFormat=P","Fill=—","Direction=H","UseDPDF=Y")</f>
        <v>#NAME?</v>
      </c>
      <c r="CU526" s="2" t="e">
        <f ca="1">_xll.BDH($C$503,"QUICK_RATIO","FQ3 2018","FQ3 2018","Currency=INR","Period=FQ","BEST_FPERIOD_OVERRIDE=FQ","FILING_STATUS=OR","EQY_CONSOLIDATED=Y","Sort=A","Dates=H","DateFormat=P","Fill=—","Direction=H","UseDPDF=Y")</f>
        <v>#NAME?</v>
      </c>
      <c r="CV526" s="2" t="e">
        <f ca="1">_xll.BDH($C$503,"ALTMAN_Z_SCORE","FQ3 2018","FQ3 2018","Currency=INR","Period=FQ","BEST_FPERIOD_OVERRIDE=FQ","FILING_STATUS=OR","EQY_CONSOLIDATED=Y","Sort=A","Dates=H","DateFormat=P","Fill=—","Direction=H","UseDPDF=Y")</f>
        <v>#NAME?</v>
      </c>
      <c r="CW526" s="4" t="e">
        <f ca="1">_xll.BDH($C$503,"ACCT_RCV_TURN","FQ3 2018","FQ3 2018","Currency=INR","Period=FQ","BEST_FPERIOD_OVERRIDE=FQ","FILING_STATUS=OR","EQY_CONSOLIDATED=Y","FA_ADJUSTED=GAAP","Sort=A","Dates=H","DateFormat=P","Fill=—","Direction=H","UseDPDF=Y")</f>
        <v>#NAME?</v>
      </c>
      <c r="CX526" s="2" t="e">
        <f ca="1">_xll.BDH($C$503,"ACCT_RCV_DAYS","FQ3 2018","FQ3 2018","Currency=INR","Period=FQ","BEST_FPERIOD_OVERRIDE=FQ","FILING_STATUS=OR","EQY_CONSOLIDATED=Y","FA_ADJUSTED=GAAP","Sort=A","Dates=H","DateFormat=P","Fill=—","Direction=H","UseDPDF=Y")</f>
        <v>#NAME?</v>
      </c>
      <c r="CY526" s="4" t="e">
        <f ca="1">_xll.BDH($C$503,"INVENT_TURN","FQ3 2018","FQ3 2018","Currency=INR","Period=FQ","BEST_FPERIOD_OVERRIDE=FQ","FILING_STATUS=OR","EQY_CONSOLIDATED=Y","FA_ADJUSTED=GAAP","Sort=A","Dates=H","DateFormat=P","Fill=—","Direction=H","UseDPDF=Y")</f>
        <v>#NAME?</v>
      </c>
      <c r="CZ526" s="2" t="e">
        <f ca="1">_xll.BDH($C$503,"INVENT_DAYS","FQ3 2018","FQ3 2018","Currency=INR","Period=FQ","BEST_FPERIOD_OVERRIDE=FQ","FILING_STATUS=OR","EQY_CONSOLIDATED=Y","FA_ADJUSTED=GAAP","Sort=A","Dates=H","DateFormat=P","Fill=—","Direction=H","UseDPDF=Y")</f>
        <v>#NAME?</v>
      </c>
      <c r="DA526" s="4" t="e">
        <f ca="1">_xll.BDH($C$503,"ACCOUNTS_PAYABLE_TURNOVER","FQ3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526" s="2" t="e">
        <f ca="1">_xll.BDH($C$503,"ACCOUNTS_PAYABLE_TURNOVER_DAYS","FQ3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526" s="4" t="e">
        <f ca="1">_xll.BDH($C$503,"CASH_CONVERSION_CYCLE","FQ3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526" s="4" t="e">
        <f ca="1">_xll.BDH($C$503,"INV_TO_CASH_DAYS","FQ3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526" s="5" t="e">
        <f ca="1">_xll.BDH($C$503,"BS_INVENTORIES","FQ3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526" s="3" t="e">
        <f ca="1">_xll.BDH($C$503,"INVTRY_RAW_MATERIALS","FQ3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526" s="3" t="e">
        <f ca="1">_xll.BDH($C$503,"INVTRY_IN_PROGRESS","FQ3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526" s="3" t="e">
        <f ca="1">_xll.BDH($C$503,"INVTRY_FINISHED_GOODS","FQ3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526" s="3" t="e">
        <f ca="1">_xll.BDH($C$503,"BS_OTHER_INV","FQ3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527" spans="1:113" x14ac:dyDescent="0.3">
      <c r="A527" s="6"/>
      <c r="B527" s="6"/>
      <c r="C527" s="6"/>
      <c r="D527" s="6"/>
      <c r="E527" t="s">
        <v>81</v>
      </c>
      <c r="F527" t="e">
        <f ca="1">_xll.BDH($C$503,"RETURN_COM_EQY","FQ4 2018","FQ4 2018","Currency=INR","Period=FQ","BEST_FPERIOD_OVERRIDE=FQ","FILING_STATUS=OR","EQY_CONSOLIDATED=Y","FA_ADJUSTED=GAAP","Sort=A","Dates=H","DateFormat=P","Fill=—","Direction=H","UseDPDF=Y")</f>
        <v>#NAME?</v>
      </c>
      <c r="G527" t="e">
        <f ca="1">_xll.BDH($C$503,"RETURN_ON_ASSET","FQ4 2018","FQ4 2018","Currency=INR","Period=FQ","BEST_FPERIOD_OVERRIDE=FQ","FILING_STATUS=OR","EQY_CONSOLIDATED=Y","FA_ADJUSTED=GAAP","Sort=A","Dates=H","DateFormat=P","Fill=—","Direction=H","UseDPDF=Y")</f>
        <v>#NAME?</v>
      </c>
      <c r="H527" t="e">
        <f ca="1">_xll.BDH($C$503,"RETURN_ON_CAP","FQ4 2018","FQ4 2018","Currency=INR","Period=FQ","BEST_FPERIOD_OVERRIDE=FQ","FILING_STATUS=OR","EQY_CONSOLIDATED=Y","FA_ADJUSTED=GAAP","Sort=A","Dates=H","DateFormat=P","Fill=—","Direction=H","UseDPDF=Y")</f>
        <v>#NAME?</v>
      </c>
      <c r="I527" t="e">
        <f ca="1">_xll.BDH($C$503,"RETURN_ON_INV_CAPITAL","FQ4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527" t="e">
        <f ca="1">_xll.BDH($C$503,"EBITDA_TO_REVENUE","FQ4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527" t="e">
        <f ca="1">_xll.BDH($C$503,"OPER_MARGIN","FQ4 2018","FQ4 2018","Currency=INR","Period=FQ","BEST_FPERIOD_OVERRIDE=FQ","FILING_STATUS=OR","EQY_CONSOLIDATED=Y","FA_ADJUSTED=GAAP","Sort=A","Dates=H","DateFormat=P","Fill=—","Direction=H","UseDPDF=Y")</f>
        <v>#NAME?</v>
      </c>
      <c r="L527" t="e">
        <f ca="1">_xll.BDH($C$503,"INCREMENTAL_OPERATING_MARGIN","FQ4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527" t="e">
        <f ca="1">_xll.BDH($C$503,"PRETAX_INC_TO_NET_SALES","FQ4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527" t="e">
        <f ca="1">_xll.BDH($C$503,"INC_BEF_XO_ITEMS_TO_NET_SALES","FQ4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527" t="e">
        <f ca="1">_xll.BDH($C$503,"PROF_MARGIN","FQ4 2018","FQ4 2018","Currency=INR","Period=FQ","BEST_FPERIOD_OVERRIDE=FQ","FILING_STATUS=OR","EQY_CONSOLIDATED=Y","FA_ADJUSTED=GAAP","Sort=A","Dates=H","DateFormat=P","Fill=—","Direction=H","UseDPDF=Y")</f>
        <v>#NAME?</v>
      </c>
      <c r="P527" t="e">
        <f ca="1">_xll.BDH($C$503,"NET_INCOME_TO_COMMON_MARGIN","FQ4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527" t="e">
        <f ca="1">_xll.BDH($C$503,"EFF_TAX_RATE","FQ4 2018","FQ4 2018","Currency=INR","Period=FQ","BEST_FPERIOD_OVERRIDE=FQ","FILING_STATUS=OR","EQY_CONSOLIDATED=Y","FA_ADJUSTED=GAAP","Sort=A","Dates=H","DateFormat=P","Fill=—","Direction=H","UseDPDF=Y")</f>
        <v>#NAME?</v>
      </c>
      <c r="R527" t="e">
        <f ca="1">_xll.BDH($C$503,"DVD_PAYOUT_RATIO","FQ4 2018","FQ4 2018","Currency=INR","Period=FQ","BEST_FPERIOD_OVERRIDE=FQ","FILING_STATUS=OR","EQY_CONSOLIDATED=Y","FA_ADJUSTED=GAAP","Sort=A","Dates=H","DateFormat=P","Fill=—","Direction=H","UseDPDF=Y")</f>
        <v>#NAME?</v>
      </c>
      <c r="S527" t="e">
        <f ca="1">_xll.BDH($C$503,"SUSTAIN_GROWTH_RT","FQ4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527" s="2" t="e">
        <f ca="1">_xll.BDH($C$503,"SALES_GROWTH","FQ4 2018","FQ4 2018","Currency=INR","Period=FQ","BEST_FPERIOD_OVERRIDE=FQ","FILING_STATUS=OR","EQY_CONSOLIDATED=Y","FA_ADJUSTED=GAAP","Sort=A","Dates=H","DateFormat=P","Fill=—","Direction=H","UseDPDF=Y")</f>
        <v>#NAME?</v>
      </c>
      <c r="U527" s="2" t="e">
        <f ca="1">_xll.BDH($C$503,"EBITDA_GROWTH","FQ4 2018","FQ4 2018","Currency=INR","Period=FQ","BEST_FPERIOD_OVERRIDE=FQ","FILING_STATUS=OR","EQY_CONSOLIDATED=Y","FA_ADJUSTED=GAAP","Sort=A","Dates=H","DateFormat=P","Fill=—","Direction=H","UseDPDF=Y")</f>
        <v>#NAME?</v>
      </c>
      <c r="V527" s="2" t="e">
        <f ca="1">_xll.BDH($C$503,"OPER_INC_GROWTH","FQ4 2018","FQ4 2018","Currency=INR","Period=FQ","BEST_FPERIOD_OVERRIDE=FQ","FILING_STATUS=OR","EQY_CONSOLIDATED=Y","FA_ADJUSTED=GAAP","Sort=A","Dates=H","DateFormat=P","Fill=—","Direction=H","UseDPDF=Y")</f>
        <v>#NAME?</v>
      </c>
      <c r="W527" s="2" t="e">
        <f ca="1">_xll.BDH($C$503,"EARN_FOR_COM_GROWTH","FQ4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527" s="2" t="e">
        <f ca="1">_xll.BDH($C$503,"DILUTED_EPS_AFT_XO_ITEMS_GROWTH","FQ4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527" s="2" t="e">
        <f ca="1">_xll.BDH($C$503,"DIVIDEND_PER_SHARE_1_YEAR_GROWTH","FQ4 2018","FQ4 2018","Currency=INR","Period=FQ","BEST_FPERIOD_OVERRIDE=FQ","FILING_STATUS=OR","EQY_CONSOLIDATED=Y","Sort=A","Dates=H","DateFormat=P","Fill=—","Direction=H","UseDPDF=Y")</f>
        <v>#NAME?</v>
      </c>
      <c r="Z527" s="2" t="e">
        <f ca="1">_xll.BDH($C$503,"ACCOUNTS_RECEIVABLE_GROWTH","FQ4 2018","FQ4 2018","Currency=INR","Period=FQ","BEST_FPERIOD_OVERRIDE=FQ","FILING_STATUS=OR","EQY_CONSOLIDATED=Y","Sort=A","Dates=H","DateFormat=P","Fill=—","Direction=H","UseDPDF=Y")</f>
        <v>#NAME?</v>
      </c>
      <c r="AA527" s="2" t="e">
        <f ca="1">_xll.BDH($C$503,"INVENTORY_GROWTH","FQ4 2018","FQ4 2018","Currency=INR","Period=FQ","BEST_FPERIOD_OVERRIDE=FQ","FILING_STATUS=OR","EQY_CONSOLIDATED=Y","Sort=A","Dates=H","DateFormat=P","Fill=—","Direction=H","UseDPDF=Y")</f>
        <v>#NAME?</v>
      </c>
      <c r="AB527" s="2" t="e">
        <f ca="1">_xll.BDH($C$503,"NET_FIXED_ASSETS_1_YEAR_GROWTH","FQ4 2018","FQ4 2018","Currency=INR","Period=FQ","BEST_FPERIOD_OVERRIDE=FQ","FILING_STATUS=OR","EQY_CONSOLIDATED=Y","Sort=A","Dates=H","DateFormat=P","Fill=—","Direction=H","UseDPDF=Y")</f>
        <v>#NAME?</v>
      </c>
      <c r="AC527" s="2" t="e">
        <f ca="1">_xll.BDH($C$503,"ASSET_GROWTH","FQ4 2018","FQ4 2018","Currency=INR","Period=FQ","BEST_FPERIOD_OVERRIDE=FQ","FILING_STATUS=OR","EQY_CONSOLIDATED=Y","Sort=A","Dates=H","DateFormat=P","Fill=—","Direction=H","UseDPDF=Y")</f>
        <v>#NAME?</v>
      </c>
      <c r="AD527" s="2" t="e">
        <f ca="1">_xll.BDH($C$503,"MODIFIED_WORK_CAP_GROWTH","FQ4 2018","FQ4 2018","Currency=INR","Period=FQ","BEST_FPERIOD_OVERRIDE=FQ","FILING_STATUS=OR","EQY_CONSOLIDATED=Y","Sort=A","Dates=H","DateFormat=P","Fill=—","Direction=H","UseDPDF=Y")</f>
        <v>#NAME?</v>
      </c>
      <c r="AE527" s="2" t="e">
        <f ca="1">_xll.BDH($C$503,"WORK_CAP_GROWTH","FQ4 2018","FQ4 2018","Currency=INR","Period=FQ","BEST_FPERIOD_OVERRIDE=FQ","FILING_STATUS=OR","EQY_CONSOLIDATED=Y","Sort=A","Dates=H","DateFormat=P","Fill=—","Direction=H","UseDPDF=Y")</f>
        <v>#NAME?</v>
      </c>
      <c r="AF527" s="2" t="e">
        <f ca="1">_xll.BDH($C$503,"ACCOUNTS_PAYABLE_GROWTH_1YR","FQ4 2018","FQ4 2018","Currency=INR","Period=FQ","BEST_FPERIOD_OVERRIDE=FQ","FILING_STATUS=OR","EQY_CONSOLIDATED=Y","Sort=A","Dates=H","DateFormat=P","Fill=—","Direction=H","UseDPDF=Y")</f>
        <v>#NAME?</v>
      </c>
      <c r="AG527" s="2" t="e">
        <f ca="1">_xll.BDH($C$503,"SHORT_TERM_DEBT_1_YEAR_GROWTH","FQ4 2018","FQ4 2018","Currency=INR","Period=FQ","BEST_FPERIOD_OVERRIDE=FQ","FILING_STATUS=OR","EQY_CONSOLIDATED=Y","Sort=A","Dates=H","DateFormat=P","Fill=—","Direction=H","UseDPDF=Y")</f>
        <v>#NAME?</v>
      </c>
      <c r="AH527" s="2" t="e">
        <f ca="1">_xll.BDH($C$503,"TOTAL_DEBT_1_YEAR_GROWTH","FQ4 2018","FQ4 2018","Currency=INR","Period=FQ","BEST_FPERIOD_OVERRIDE=FQ","FILING_STATUS=OR","EQY_CONSOLIDATED=Y","Sort=A","Dates=H","DateFormat=P","Fill=—","Direction=H","UseDPDF=Y")</f>
        <v>#NAME?</v>
      </c>
      <c r="AI527" s="2" t="e">
        <f ca="1">_xll.BDH($C$503,"TOTAL_EQUITY_1_YEAR_GROWTH","FQ4 2018","FQ4 2018","Currency=INR","Period=FQ","BEST_FPERIOD_OVERRIDE=FQ","FILING_STATUS=OR","EQY_CONSOLIDATED=Y","Sort=A","Dates=H","DateFormat=P","Fill=—","Direction=H","UseDPDF=Y")</f>
        <v>#NAME?</v>
      </c>
      <c r="AJ527" s="2" t="e">
        <f ca="1">_xll.BDH($C$503,"GROWTH_IN_CAP","FQ4 2018","FQ4 2018","Currency=INR","Period=FQ","BEST_FPERIOD_OVERRIDE=FQ","FILING_STATUS=OR","EQY_CONSOLIDATED=Y","Sort=A","Dates=H","DateFormat=P","Fill=—","Direction=H","UseDPDF=Y")</f>
        <v>#NAME?</v>
      </c>
      <c r="AK527" s="2" t="e">
        <f ca="1">_xll.BDH($C$503,"BVPS_GROWTH","FQ4 2018","FQ4 2018","Currency=INR","Period=FQ","BEST_FPERIOD_OVERRIDE=FQ","FILING_STATUS=OR","EQY_CONSOLIDATED=Y","Sort=A","Dates=H","DateFormat=P","Fill=—","Direction=H","UseDPDF=Y")</f>
        <v>#NAME?</v>
      </c>
      <c r="AL527" s="2" t="e">
        <f ca="1">_xll.BDH($C$503,"CASH_FLOW_GROWTH","FQ4 2018","FQ4 2018","Currency=INR","Period=FQ","BEST_FPERIOD_OVERRIDE=FQ","FILING_STATUS=OR","EQY_CONSOLIDATED=Y","Sort=A","Dates=H","DateFormat=P","Fill=—","Direction=H","UseDPDF=Y")</f>
        <v>#NAME?</v>
      </c>
      <c r="AM527" s="2" t="e">
        <f ca="1">_xll.BDH($C$503,"GEO_GROW_NET_SALES","FQ4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527" s="2" t="e">
        <f ca="1">_xll.BDH($C$503,"GEO_GROW_EBITDA","FQ4 2018","FQ4 2018","Currency=INR","Period=FQ","BEST_FPERIOD_OVERRIDE=FQ","FILING_STATUS=OR","EQY_CONSOLIDATED=Y","FA_ADJUSTED=GAAP","Sort=A","Dates=H","DateFormat=P","Fill=—","Direction=H","UseDPDF=Y")</f>
        <v>#NAME?</v>
      </c>
      <c r="AO527" s="2" t="e">
        <f ca="1">_xll.BDH($C$503,"GEO_GROW_OPER_INC","FQ4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527" s="2" t="e">
        <f ca="1">_xll.BDH($C$503,"NET_INCOME_TO_COMMON_5_YR_GROWTH","FQ4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527" s="2" t="e">
        <f ca="1">_xll.BDH($C$503,"5Y_GEO_GROWTH_DILUTED_EPS","FQ4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527" s="2" t="e">
        <f ca="1">_xll.BDH($C$503,"GEO_GROW_DVD_PER_SH","FQ4 2018","FQ4 2018","Currency=INR","Period=FQ","BEST_FPERIOD_OVERRIDE=FQ","FILING_STATUS=OR","EQY_CONSOLIDATED=Y","Sort=A","Dates=H","DateFormat=P","Fill=—","Direction=H","UseDPDF=Y")</f>
        <v>#NAME?</v>
      </c>
      <c r="AS527" s="2" t="e">
        <f ca="1">_xll.BDH($C$503,"ACCOUNTS_RECEIVABLE_5_YR_GROWTH","FQ4 2018","FQ4 2018","Currency=INR","Period=FQ","BEST_FPERIOD_OVERRIDE=FQ","FILING_STATUS=OR","EQY_CONSOLIDATED=Y","Sort=A","Dates=H","DateFormat=P","Fill=—","Direction=H","UseDPDF=Y")</f>
        <v>#NAME?</v>
      </c>
      <c r="AT527" s="2" t="e">
        <f ca="1">_xll.BDH($C$503,"INVENTORY_5_YEAR_GROWTH","FQ4 2018","FQ4 2018","Currency=INR","Period=FQ","BEST_FPERIOD_OVERRIDE=FQ","FILING_STATUS=OR","EQY_CONSOLIDATED=Y","Sort=A","Dates=H","DateFormat=P","Fill=—","Direction=H","UseDPDF=Y")</f>
        <v>#NAME?</v>
      </c>
      <c r="AU527" s="2" t="e">
        <f ca="1">_xll.BDH($C$503,"NET_FIXED_ASSETS_5_YEAR_GROWTH","FQ4 2018","FQ4 2018","Currency=INR","Period=FQ","BEST_FPERIOD_OVERRIDE=FQ","FILING_STATUS=OR","EQY_CONSOLIDATED=Y","Sort=A","Dates=H","DateFormat=P","Fill=—","Direction=H","UseDPDF=Y")</f>
        <v>#NAME?</v>
      </c>
      <c r="AV527" s="2" t="e">
        <f ca="1">_xll.BDH($C$503,"GEO_GROW_TOT_ASSET","FQ4 2018","FQ4 2018","Currency=INR","Period=FQ","BEST_FPERIOD_OVERRIDE=FQ","FILING_STATUS=OR","EQY_CONSOLIDATED=Y","Sort=A","Dates=H","DateFormat=P","Fill=—","Direction=H","UseDPDF=Y")</f>
        <v>#NAME?</v>
      </c>
      <c r="AW527" s="2" t="e">
        <f ca="1">_xll.BDH($C$503,"MODIFIED_WORKING_CPTL_5YR_GRWTH","FQ4 2018","FQ4 2018","Currency=INR","Period=FQ","BEST_FPERIOD_OVERRIDE=FQ","FILING_STATUS=OR","EQY_CONSOLIDATED=Y","Sort=A","Dates=H","DateFormat=P","Fill=—","Direction=H","UseDPDF=Y")</f>
        <v>#NAME?</v>
      </c>
      <c r="AX527" s="2" t="e">
        <f ca="1">_xll.BDH($C$503,"WORKING_CAPITAL_5_YEAR_GROWTH","FQ4 2018","FQ4 2018","Currency=INR","Period=FQ","BEST_FPERIOD_OVERRIDE=FQ","FILING_STATUS=OR","EQY_CONSOLIDATED=Y","Sort=A","Dates=H","DateFormat=P","Fill=—","Direction=H","UseDPDF=Y")</f>
        <v>#NAME?</v>
      </c>
      <c r="AY527" s="2" t="e">
        <f ca="1">_xll.BDH($C$503,"ACCOUNTS_PAYABLE_5_YEAR_GROWTH","FQ4 2018","FQ4 2018","Currency=INR","Period=FQ","BEST_FPERIOD_OVERRIDE=FQ","FILING_STATUS=OR","EQY_CONSOLIDATED=Y","Sort=A","Dates=H","DateFormat=P","Fill=—","Direction=H","UseDPDF=Y")</f>
        <v>#NAME?</v>
      </c>
      <c r="AZ527" s="2" t="e">
        <f ca="1">_xll.BDH($C$503,"SHORT_TERM_DEBT_5_YEAR_GROWTH","FQ4 2018","FQ4 2018","Currency=INR","Period=FQ","BEST_FPERIOD_OVERRIDE=FQ","FILING_STATUS=OR","EQY_CONSOLIDATED=Y","Sort=A","Dates=H","DateFormat=P","Fill=—","Direction=H","UseDPDF=Y")</f>
        <v>#NAME?</v>
      </c>
      <c r="BA527" s="2" t="e">
        <f ca="1">_xll.BDH($C$503,"TOTAL_DEBT_5_YEAR_GROWTH","FQ4 2018","FQ4 2018","Currency=INR","Period=FQ","BEST_FPERIOD_OVERRIDE=FQ","FILING_STATUS=OR","EQY_CONSOLIDATED=Y","Sort=A","Dates=H","DateFormat=P","Fill=—","Direction=H","UseDPDF=Y")</f>
        <v>#NAME?</v>
      </c>
      <c r="BB527" s="2" t="e">
        <f ca="1">_xll.BDH($C$503,"GEO_GROW_TOT_SHRHLDR_EQY","FQ4 2018","FQ4 2018","Currency=INR","Period=FQ","BEST_FPERIOD_OVERRIDE=FQ","FILING_STATUS=OR","EQY_CONSOLIDATED=Y","Sort=A","Dates=H","DateFormat=P","Fill=—","Direction=H","UseDPDF=Y")</f>
        <v>#NAME?</v>
      </c>
      <c r="BC527" s="2" t="e">
        <f ca="1">_xll.BDH($C$503,"TOTAL_CAPITAL_5_YEAR_GROWTH","FQ4 2018","FQ4 2018","Currency=INR","Period=FQ","BEST_FPERIOD_OVERRIDE=FQ","FILING_STATUS=OR","EQY_CONSOLIDATED=Y","Sort=A","Dates=H","DateFormat=P","Fill=—","Direction=H","UseDPDF=Y")</f>
        <v>#NAME?</v>
      </c>
      <c r="BD527" s="2" t="e">
        <f ca="1">_xll.BDH($C$503,"GEO_GROW_BOOK_VAL","FQ4 2018","FQ4 2018","Currency=INR","Period=FQ","BEST_FPERIOD_OVERRIDE=FQ","FILING_STATUS=OR","EQY_CONSOLIDATED=Y","Sort=A","Dates=H","DateFormat=P","Fill=—","Direction=H","UseDPDF=Y")</f>
        <v>#NAME?</v>
      </c>
      <c r="BE527" s="2" t="e">
        <f ca="1">_xll.BDH($C$503,"GEO_GROW_CASH_OPER_ACT","FQ4 2018","FQ4 2018","Currency=INR","Period=FQ","BEST_FPERIOD_OVERRIDE=FQ","FILING_STATUS=OR","EQY_CONSOLIDATED=Y","Sort=A","Dates=H","DateFormat=P","Fill=—","Direction=H","UseDPDF=Y")</f>
        <v>#NAME?</v>
      </c>
      <c r="BF527" s="2" t="e">
        <f ca="1">_xll.BDH($C$503,"REVENUE_SEQUENTIAL_GROWTH","FQ4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527" s="2" t="e">
        <f ca="1">_xll.BDH($C$503,"EBITDA_SEQUENTIAL_GROWTH","FQ4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527" s="2" t="e">
        <f ca="1">_xll.BDH($C$503,"OPERATING_INCOME_SEQ_GROWTH","FQ4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527" s="2" t="e">
        <f ca="1">_xll.BDH($C$503,"NET_INCOME_TO_COMMON_SEQ_GROWTH","FQ4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527" s="2" t="e">
        <f ca="1">_xll.BDH($C$503,"EPS_DILUTED_SEQUENTIAL_GROWTH","FQ4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527" s="2" t="e">
        <f ca="1">_xll.BDH($C$503,"DPS_SEQUENTIAL_GROWTH","FQ4 2018","FQ4 2018","Currency=INR","Period=FQ","BEST_FPERIOD_OVERRIDE=FQ","FILING_STATUS=OR","EQY_CONSOLIDATED=Y","Sort=A","Dates=H","DateFormat=P","Fill=—","Direction=H","UseDPDF=Y")</f>
        <v>#NAME?</v>
      </c>
      <c r="BL527" s="2" t="e">
        <f ca="1">_xll.BDH($C$503,"ACCOUNTS_RECEIVABLE_SEQ_GROWTH","FQ4 2018","FQ4 2018","Currency=INR","Period=FQ","BEST_FPERIOD_OVERRIDE=FQ","FILING_STATUS=OR","EQY_CONSOLIDATED=Y","Sort=A","Dates=H","DateFormat=P","Fill=—","Direction=H","UseDPDF=Y")</f>
        <v>#NAME?</v>
      </c>
      <c r="BM527" s="2" t="e">
        <f ca="1">_xll.BDH($C$503,"INVENTORY_SEQUENTIAL_GROWTH","FQ4 2018","FQ4 2018","Currency=INR","Period=FQ","BEST_FPERIOD_OVERRIDE=FQ","FILING_STATUS=OR","EQY_CONSOLIDATED=Y","Sort=A","Dates=H","DateFormat=P","Fill=—","Direction=H","UseDPDF=Y")</f>
        <v>#NAME?</v>
      </c>
      <c r="BN527" s="2" t="e">
        <f ca="1">_xll.BDH($C$503,"FIXED_ASSETS_SEQUENTIAL_GROWTH","FQ4 2018","FQ4 2018","Currency=INR","Period=FQ","BEST_FPERIOD_OVERRIDE=FQ","FILING_STATUS=OR","EQY_CONSOLIDATED=Y","Sort=A","Dates=H","DateFormat=P","Fill=—","Direction=H","UseDPDF=Y")</f>
        <v>#NAME?</v>
      </c>
      <c r="BO527" s="2" t="e">
        <f ca="1">_xll.BDH($C$503,"TOTAL_ASSETS_SEQUENTIAL_GROWTH","FQ4 2018","FQ4 2018","Currency=INR","Period=FQ","BEST_FPERIOD_OVERRIDE=FQ","FILING_STATUS=OR","EQY_CONSOLIDATED=Y","Sort=A","Dates=H","DateFormat=P","Fill=—","Direction=H","UseDPDF=Y")</f>
        <v>#NAME?</v>
      </c>
      <c r="BP527" s="2" t="e">
        <f ca="1">_xll.BDH($C$503,"MODIFIED_WORKING_CPTL_SEQ_GRWTH","FQ4 2018","FQ4 2018","Currency=INR","Period=FQ","BEST_FPERIOD_OVERRIDE=FQ","FILING_STATUS=OR","EQY_CONSOLIDATED=Y","Sort=A","Dates=H","DateFormat=P","Fill=—","Direction=H","UseDPDF=Y")</f>
        <v>#NAME?</v>
      </c>
      <c r="BQ527" s="2" t="e">
        <f ca="1">_xll.BDH($C$503,"WORKING_CAPITAL_SEQ_GROWTH","FQ4 2018","FQ4 2018","Currency=INR","Period=FQ","BEST_FPERIOD_OVERRIDE=FQ","FILING_STATUS=OR","EQY_CONSOLIDATED=Y","Sort=A","Dates=H","DateFormat=P","Fill=—","Direction=H","UseDPDF=Y")</f>
        <v>#NAME?</v>
      </c>
      <c r="BR527" s="2" t="e">
        <f ca="1">_xll.BDH($C$503,"ACCOUNTS_PAYABLE_SEQ_GROWTH","FQ4 2018","FQ4 2018","Currency=INR","Period=FQ","BEST_FPERIOD_OVERRIDE=FQ","FILING_STATUS=OR","EQY_CONSOLIDATED=Y","Sort=A","Dates=H","DateFormat=P","Fill=—","Direction=H","UseDPDF=Y")</f>
        <v>#NAME?</v>
      </c>
      <c r="BS527" s="2" t="e">
        <f ca="1">_xll.BDH($C$503,"ST_DEBT_SEQUENTIAL_GROWTH","FQ4 2018","FQ4 2018","Currency=INR","Period=FQ","BEST_FPERIOD_OVERRIDE=FQ","FILING_STATUS=OR","EQY_CONSOLIDATED=Y","Sort=A","Dates=H","DateFormat=P","Fill=—","Direction=H","UseDPDF=Y")</f>
        <v>#NAME?</v>
      </c>
      <c r="BT527" s="2" t="e">
        <f ca="1">_xll.BDH($C$503,"TOTAL_DEBT_SEQUENTIAL_GROWTH","FQ4 2018","FQ4 2018","Currency=INR","Period=FQ","BEST_FPERIOD_OVERRIDE=FQ","FILING_STATUS=OR","EQY_CONSOLIDATED=Y","Sort=A","Dates=H","DateFormat=P","Fill=—","Direction=H","UseDPDF=Y")</f>
        <v>#NAME?</v>
      </c>
      <c r="BU527" s="2" t="e">
        <f ca="1">_xll.BDH($C$503,"TOTAL_EQUITY_SEQUENTIAL_GROWTH","FQ4 2018","FQ4 2018","Currency=INR","Period=FQ","BEST_FPERIOD_OVERRIDE=FQ","FILING_STATUS=OR","EQY_CONSOLIDATED=Y","Sort=A","Dates=H","DateFormat=P","Fill=—","Direction=H","UseDPDF=Y")</f>
        <v>#NAME?</v>
      </c>
      <c r="BV527" s="2" t="e">
        <f ca="1">_xll.BDH($C$503,"TOTAL_CAPITAL_SEQUENTIAL_GROWTH","FQ4 2018","FQ4 2018","Currency=INR","Period=FQ","BEST_FPERIOD_OVERRIDE=FQ","FILING_STATUS=OR","EQY_CONSOLIDATED=Y","Sort=A","Dates=H","DateFormat=P","Fill=—","Direction=H","UseDPDF=Y")</f>
        <v>#NAME?</v>
      </c>
      <c r="BW527" s="2" t="e">
        <f ca="1">_xll.BDH($C$503,"BPS_SEQUENTIAL_GROWTH","FQ4 2018","FQ4 2018","Currency=INR","Period=FQ","BEST_FPERIOD_OVERRIDE=FQ","FILING_STATUS=OR","EQY_CONSOLIDATED=Y","Sort=A","Dates=H","DateFormat=P","Fill=—","Direction=H","UseDPDF=Y")</f>
        <v>#NAME?</v>
      </c>
      <c r="BX527" s="2" t="e">
        <f ca="1">_xll.BDH($C$503,"CFO_SEQUENTIAL_GROWTH","FQ4 2018","FQ4 2018","Currency=INR","Period=FQ","BEST_FPERIOD_OVERRIDE=FQ","FILING_STATUS=OR","EQY_CONSOLIDATED=Y","Sort=A","Dates=H","DateFormat=P","Fill=—","Direction=H","UseDPDF=Y")</f>
        <v>#NAME?</v>
      </c>
      <c r="BY527" s="3" t="e">
        <f ca="1">_xll.BDH($C$503,"SHORT_AND_LONG_TERM_DEBT","FQ4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527" s="3" t="e">
        <f ca="1">_xll.BDH($C$503,"BS_ST_BORROW","FQ4 2018","FQ4 2018","Currency=INR","Period=FQ","BEST_FPERIOD_OVERRIDE=FQ","FILING_STATUS=OR","EQY_CONSOLIDATED=Y","SCALING_FORMAT=MLN","Sort=A","Dates=H","DateFormat=P","Fill=—","Direction=H","UseDPDF=Y")</f>
        <v>#NAME?</v>
      </c>
      <c r="CA527" s="3" t="e">
        <f ca="1">_xll.BDH($C$503,"BS_LT_BORROW","FQ4 2018","FQ4 2018","Currency=INR","Period=FQ","BEST_FPERIOD_OVERRIDE=FQ","FILING_STATUS=OR","EQY_CONSOLIDATED=Y","SCALING_FORMAT=MLN","Sort=A","Dates=H","DateFormat=P","Fill=—","Direction=H","UseDPDF=Y")</f>
        <v>#NAME?</v>
      </c>
      <c r="CB527" s="2" t="e">
        <f ca="1">_xll.BDH($C$503,"TOT_DEBT_TO_EBITDA","FQ4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527" s="2" t="e">
        <f ca="1">_xll.BDH($C$503,"NET_DEBT_TO_EBITDA","FQ4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527" s="2" t="e">
        <f ca="1">_xll.BDH($C$503,"TOTAL_DEBT_TO_EBIT","FQ4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527" s="2" t="e">
        <f ca="1">_xll.BDH($C$503,"NET_DEBT_TO_EBIT","FQ4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527" s="2" t="e">
        <f ca="1">_xll.BDH($C$503,"EBITDA_TO_INTEREST_EXPN","FQ4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527" s="2" t="e">
        <f ca="1">_xll.BDH($C$503,"COM_EQY_TO_TOT_ASSET","FQ4 2018","FQ4 2018","Currency=INR","Period=FQ","BEST_FPERIOD_OVERRIDE=FQ","FILING_STATUS=OR","EQY_CONSOLIDATED=Y","Sort=A","Dates=H","DateFormat=P","Fill=—","Direction=H","UseDPDF=Y")</f>
        <v>#NAME?</v>
      </c>
      <c r="CH527" s="2" t="e">
        <f ca="1">_xll.BDH($C$503,"LT_DEBT_TO_TOT_EQY","FQ4 2018","FQ4 2018","Currency=INR","Period=FQ","BEST_FPERIOD_OVERRIDE=FQ","FILING_STATUS=OR","EQY_CONSOLIDATED=Y","Sort=A","Dates=H","DateFormat=P","Fill=—","Direction=H","UseDPDF=Y")</f>
        <v>#NAME?</v>
      </c>
      <c r="CI527" s="2" t="e">
        <f ca="1">_xll.BDH($C$503,"LT_DEBT_TO_TOT_CAP","FQ4 2018","FQ4 2018","Currency=INR","Period=FQ","BEST_FPERIOD_OVERRIDE=FQ","FILING_STATUS=OR","EQY_CONSOLIDATED=Y","Sort=A","Dates=H","DateFormat=P","Fill=—","Direction=H","UseDPDF=Y")</f>
        <v>#NAME?</v>
      </c>
      <c r="CJ527" s="2" t="e">
        <f ca="1">_xll.BDH($C$503,"LT_DEBT_TO_TOT_ASSET","FQ4 2018","FQ4 2018","Currency=INR","Period=FQ","BEST_FPERIOD_OVERRIDE=FQ","FILING_STATUS=OR","EQY_CONSOLIDATED=Y","Sort=A","Dates=H","DateFormat=P","Fill=—","Direction=H","UseDPDF=Y")</f>
        <v>#NAME?</v>
      </c>
      <c r="CK527" s="2" t="e">
        <f ca="1">_xll.BDH($C$503,"TOT_DEBT_TO_TOT_EQY","FQ4 2018","FQ4 2018","Currency=INR","Period=FQ","BEST_FPERIOD_OVERRIDE=FQ","FILING_STATUS=OR","EQY_CONSOLIDATED=Y","Sort=A","Dates=H","DateFormat=P","Fill=—","Direction=H","UseDPDF=Y")</f>
        <v>#NAME?</v>
      </c>
      <c r="CL527" s="2" t="e">
        <f ca="1">_xll.BDH($C$503,"TOT_DEBT_TO_TOT_CAP","FQ4 2018","FQ4 2018","Currency=INR","Period=FQ","BEST_FPERIOD_OVERRIDE=FQ","FILING_STATUS=OR","EQY_CONSOLIDATED=Y","Sort=A","Dates=H","DateFormat=P","Fill=—","Direction=H","UseDPDF=Y")</f>
        <v>#NAME?</v>
      </c>
      <c r="CM527" s="2" t="e">
        <f ca="1">_xll.BDH($C$503,"TOT_DEBT_TO_TOT_ASSET","FQ4 2018","FQ4 2018","Currency=INR","Period=FQ","BEST_FPERIOD_OVERRIDE=FQ","FILING_STATUS=OR","EQY_CONSOLIDATED=Y","Sort=A","Dates=H","DateFormat=P","Fill=—","Direction=H","UseDPDF=Y")</f>
        <v>#NAME?</v>
      </c>
      <c r="CN527" s="2" t="e">
        <f ca="1">_xll.BDH($C$503,"NET_DEBT_TO_SHRHLDR_EQTY","FQ4 2018","FQ4 2018","Currency=INR","Period=FQ","BEST_FPERIOD_OVERRIDE=FQ","FILING_STATUS=OR","EQY_CONSOLIDATED=Y","Sort=A","Dates=H","DateFormat=P","Fill=—","Direction=H","UseDPDF=Y")</f>
        <v>#NAME?</v>
      </c>
      <c r="CO527" s="2" t="e">
        <f ca="1">_xll.BDH($C$503,"NET_DEBT_%_CAPITAL","FQ4 2018","FQ4 2018","Currency=INR","Period=FQ","BEST_FPERIOD_OVERRIDE=FQ","FILING_STATUS=OR","EQY_CONSOLIDATED=Y","Sort=A","Dates=H","DateFormat=P","Fill=—","Direction=H","UseDPDF=Y")</f>
        <v>#NAME?</v>
      </c>
      <c r="CP527" s="3" t="e">
        <f ca="1">_xll.BDH($C$503,"EBITDA","FQ4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527" s="3" t="e">
        <f ca="1">_xll.BDH($C$503,"EBITDA_AFTER_CAPEX","FQ4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527" s="3" t="e">
        <f ca="1">_xll.BDH($C$503,"IS_OPER_INC","FQ4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527" s="2" t="e">
        <f ca="1">_xll.BDH($C$503,"CASH_RATIO","FQ4 2018","FQ4 2018","Currency=INR","Period=FQ","BEST_FPERIOD_OVERRIDE=FQ","FILING_STATUS=OR","EQY_CONSOLIDATED=Y","Sort=A","Dates=H","DateFormat=P","Fill=—","Direction=H","UseDPDF=Y")</f>
        <v>#NAME?</v>
      </c>
      <c r="CT527" s="2" t="e">
        <f ca="1">_xll.BDH($C$503,"CUR_RATIO","FQ4 2018","FQ4 2018","Currency=INR","Period=FQ","BEST_FPERIOD_OVERRIDE=FQ","FILING_STATUS=OR","EQY_CONSOLIDATED=Y","Sort=A","Dates=H","DateFormat=P","Fill=—","Direction=H","UseDPDF=Y")</f>
        <v>#NAME?</v>
      </c>
      <c r="CU527" s="2" t="e">
        <f ca="1">_xll.BDH($C$503,"QUICK_RATIO","FQ4 2018","FQ4 2018","Currency=INR","Period=FQ","BEST_FPERIOD_OVERRIDE=FQ","FILING_STATUS=OR","EQY_CONSOLIDATED=Y","Sort=A","Dates=H","DateFormat=P","Fill=—","Direction=H","UseDPDF=Y")</f>
        <v>#NAME?</v>
      </c>
      <c r="CV527" s="2" t="e">
        <f ca="1">_xll.BDH($C$503,"ALTMAN_Z_SCORE","FQ4 2018","FQ4 2018","Currency=INR","Period=FQ","BEST_FPERIOD_OVERRIDE=FQ","FILING_STATUS=OR","EQY_CONSOLIDATED=Y","Sort=A","Dates=H","DateFormat=P","Fill=—","Direction=H","UseDPDF=Y")</f>
        <v>#NAME?</v>
      </c>
      <c r="CW527" s="4" t="e">
        <f ca="1">_xll.BDH($C$503,"ACCT_RCV_TURN","FQ4 2018","FQ4 2018","Currency=INR","Period=FQ","BEST_FPERIOD_OVERRIDE=FQ","FILING_STATUS=OR","EQY_CONSOLIDATED=Y","FA_ADJUSTED=GAAP","Sort=A","Dates=H","DateFormat=P","Fill=—","Direction=H","UseDPDF=Y")</f>
        <v>#NAME?</v>
      </c>
      <c r="CX527" s="2" t="e">
        <f ca="1">_xll.BDH($C$503,"ACCT_RCV_DAYS","FQ4 2018","FQ4 2018","Currency=INR","Period=FQ","BEST_FPERIOD_OVERRIDE=FQ","FILING_STATUS=OR","EQY_CONSOLIDATED=Y","FA_ADJUSTED=GAAP","Sort=A","Dates=H","DateFormat=P","Fill=—","Direction=H","UseDPDF=Y")</f>
        <v>#NAME?</v>
      </c>
      <c r="CY527" s="4" t="e">
        <f ca="1">_xll.BDH($C$503,"INVENT_TURN","FQ4 2018","FQ4 2018","Currency=INR","Period=FQ","BEST_FPERIOD_OVERRIDE=FQ","FILING_STATUS=OR","EQY_CONSOLIDATED=Y","FA_ADJUSTED=GAAP","Sort=A","Dates=H","DateFormat=P","Fill=—","Direction=H","UseDPDF=Y")</f>
        <v>#NAME?</v>
      </c>
      <c r="CZ527" s="2" t="e">
        <f ca="1">_xll.BDH($C$503,"INVENT_DAYS","FQ4 2018","FQ4 2018","Currency=INR","Period=FQ","BEST_FPERIOD_OVERRIDE=FQ","FILING_STATUS=OR","EQY_CONSOLIDATED=Y","FA_ADJUSTED=GAAP","Sort=A","Dates=H","DateFormat=P","Fill=—","Direction=H","UseDPDF=Y")</f>
        <v>#NAME?</v>
      </c>
      <c r="DA527" s="4" t="e">
        <f ca="1">_xll.BDH($C$503,"ACCOUNTS_PAYABLE_TURNOVER","FQ4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527" s="2" t="e">
        <f ca="1">_xll.BDH($C$503,"ACCOUNTS_PAYABLE_TURNOVER_DAYS","FQ4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527" s="4" t="e">
        <f ca="1">_xll.BDH($C$503,"CASH_CONVERSION_CYCLE","FQ4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527" s="4" t="e">
        <f ca="1">_xll.BDH($C$503,"INV_TO_CASH_DAYS","FQ4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527" s="5" t="e">
        <f ca="1">_xll.BDH($C$503,"BS_INVENTORIES","FQ4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527" s="3" t="e">
        <f ca="1">_xll.BDH($C$503,"INVTRY_RAW_MATERIALS","FQ4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527" s="3" t="e">
        <f ca="1">_xll.BDH($C$503,"INVTRY_IN_PROGRESS","FQ4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527" s="3" t="e">
        <f ca="1">_xll.BDH($C$503,"INVTRY_FINISHED_GOODS","FQ4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527" s="3" t="e">
        <f ca="1">_xll.BDH($C$503,"BS_OTHER_INV","FQ4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528" spans="1:113" x14ac:dyDescent="0.3">
      <c r="A528" s="6">
        <v>22</v>
      </c>
      <c r="B528" s="6" t="s">
        <v>126</v>
      </c>
      <c r="C528" s="6" t="s">
        <v>127</v>
      </c>
      <c r="D528" s="6" t="s">
        <v>76</v>
      </c>
      <c r="E528" t="s">
        <v>77</v>
      </c>
      <c r="F528" t="e">
        <f ca="1">_xll.BDH($C$528,"RETURN_COM_EQY","FY 2014","FY 2014","Currency=INR","Period=FY","BEST_FPERIOD_OVERRIDE=FY","FILING_STATUS=OR","EQY_CONSOLIDATED=Y","FA_ADJUSTED=GAAP","Sort=A","Dates=H","DateFormat=P","Fill=—","Direction=H","UseDPDF=Y")</f>
        <v>#NAME?</v>
      </c>
      <c r="G528" t="e">
        <f ca="1">_xll.BDH($C$528,"RETURN_ON_ASSET","FY 2014","FY 2014","Currency=INR","Period=FY","BEST_FPERIOD_OVERRIDE=FY","FILING_STATUS=OR","EQY_CONSOLIDATED=Y","FA_ADJUSTED=GAAP","Sort=A","Dates=H","DateFormat=P","Fill=—","Direction=H","UseDPDF=Y")</f>
        <v>#NAME?</v>
      </c>
      <c r="H528" t="e">
        <f ca="1">_xll.BDH($C$528,"RETURN_ON_CAP","FY 2014","FY 2014","Currency=INR","Period=FY","BEST_FPERIOD_OVERRIDE=FY","FILING_STATUS=OR","EQY_CONSOLIDATED=Y","FA_ADJUSTED=GAAP","Sort=A","Dates=H","DateFormat=P","Fill=—","Direction=H","UseDPDF=Y")</f>
        <v>#NAME?</v>
      </c>
      <c r="I528" t="e">
        <f ca="1">_xll.BDH($C$528,"RETURN_ON_INV_CAPITAL","FY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528" t="e">
        <f ca="1">_xll.BDH($C$528,"EBITDA_TO_REVENUE","FY 2014","FY 2014","Currency=INR","Period=FY","BEST_FPERIOD_OVERRIDE=FY","FILING_STATUS=OR","EQY_CONSOLIDATED=Y","FA_ADJUSTED=GAAP","Sort=A","Dates=H","DateFormat=P","Fill=—","Direction=H","UseDPDF=Y")</f>
        <v>#NAME?</v>
      </c>
      <c r="K528" t="e">
        <f ca="1">_xll.BDH($C$528,"OPER_MARGIN","FY 2014","FY 2014","Currency=INR","Period=FY","BEST_FPERIOD_OVERRIDE=FY","FILING_STATUS=OR","EQY_CONSOLIDATED=Y","FA_ADJUSTED=GAAP","Sort=A","Dates=H","DateFormat=P","Fill=—","Direction=H","UseDPDF=Y")</f>
        <v>#NAME?</v>
      </c>
      <c r="L528" t="e">
        <f ca="1">_xll.BDH($C$528,"INCREMENTAL_OPERATING_MARGIN","FY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528" t="e">
        <f ca="1">_xll.BDH($C$528,"PRETAX_INC_TO_NET_SALES","FY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528" t="e">
        <f ca="1">_xll.BDH($C$528,"INC_BEF_XO_ITEMS_TO_NET_SALES","FY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528" t="e">
        <f ca="1">_xll.BDH($C$528,"PROF_MARGIN","FY 2014","FY 2014","Currency=INR","Period=FY","BEST_FPERIOD_OVERRIDE=FY","FILING_STATUS=OR","EQY_CONSOLIDATED=Y","FA_ADJUSTED=GAAP","Sort=A","Dates=H","DateFormat=P","Fill=—","Direction=H","UseDPDF=Y")</f>
        <v>#NAME?</v>
      </c>
      <c r="P528" t="e">
        <f ca="1">_xll.BDH($C$528,"NET_INCOME_TO_COMMON_MARGIN","FY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528" t="e">
        <f ca="1">_xll.BDH($C$528,"EFF_TAX_RATE","FY 2014","FY 2014","Currency=INR","Period=FY","BEST_FPERIOD_OVERRIDE=FY","FILING_STATUS=OR","EQY_CONSOLIDATED=Y","FA_ADJUSTED=GAAP","Sort=A","Dates=H","DateFormat=P","Fill=—","Direction=H","UseDPDF=Y")</f>
        <v>#NAME?</v>
      </c>
      <c r="R528" t="e">
        <f ca="1">_xll.BDH($C$528,"DVD_PAYOUT_RATIO","FY 2014","FY 2014","Currency=INR","Period=FY","BEST_FPERIOD_OVERRIDE=FY","FILING_STATUS=OR","EQY_CONSOLIDATED=Y","FA_ADJUSTED=GAAP","Sort=A","Dates=H","DateFormat=P","Fill=—","Direction=H","UseDPDF=Y")</f>
        <v>#NAME?</v>
      </c>
      <c r="S528" t="e">
        <f ca="1">_xll.BDH($C$528,"SUSTAIN_GROWTH_RT","FY 2014","FY 2014","Currency=INR","Period=FY","BEST_FPERIOD_OVERRIDE=FY","FILING_STATUS=OR","EQY_CONSOLIDATED=Y","FA_ADJUSTED=GAAP","Sort=A","Dates=H","DateFormat=P","Fill=—","Direction=H","UseDPDF=Y")</f>
        <v>#NAME?</v>
      </c>
      <c r="T528" s="2" t="e">
        <f ca="1">_xll.BDH($C$528,"SALES_GROWTH","FY 2014","FY 2014","Currency=INR","Period=FY","BEST_FPERIOD_OVERRIDE=FY","FILING_STATUS=OR","EQY_CONSOLIDATED=Y","FA_ADJUSTED=GAAP","Sort=A","Dates=H","DateFormat=P","Fill=—","Direction=H","UseDPDF=Y")</f>
        <v>#NAME?</v>
      </c>
      <c r="U528" s="2" t="e">
        <f ca="1">_xll.BDH($C$528,"EBITDA_GROWTH","FY 2014","FY 2014","Currency=INR","Period=FY","BEST_FPERIOD_OVERRIDE=FY","FILING_STATUS=OR","EQY_CONSOLIDATED=Y","FA_ADJUSTED=GAAP","Sort=A","Dates=H","DateFormat=P","Fill=—","Direction=H","UseDPDF=Y")</f>
        <v>#NAME?</v>
      </c>
      <c r="V528" s="2" t="e">
        <f ca="1">_xll.BDH($C$528,"OPER_INC_GROWTH","FY 2014","FY 2014","Currency=INR","Period=FY","BEST_FPERIOD_OVERRIDE=FY","FILING_STATUS=OR","EQY_CONSOLIDATED=Y","FA_ADJUSTED=GAAP","Sort=A","Dates=H","DateFormat=P","Fill=—","Direction=H","UseDPDF=Y")</f>
        <v>#NAME?</v>
      </c>
      <c r="W528" s="2" t="e">
        <f ca="1">_xll.BDH($C$528,"EARN_FOR_COM_GROWTH","FY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528" s="2" t="e">
        <f ca="1">_xll.BDH($C$528,"DILUTED_EPS_AFT_XO_ITEMS_GROWTH","FY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528" s="2" t="e">
        <f ca="1">_xll.BDH($C$528,"DIVIDEND_PER_SHARE_1_YEAR_GROWTH","FY 2014","FY 2014","Currency=INR","Period=FY","BEST_FPERIOD_OVERRIDE=FY","FILING_STATUS=OR","EQY_CONSOLIDATED=Y","Sort=A","Dates=H","DateFormat=P","Fill=—","Direction=H","UseDPDF=Y")</f>
        <v>#NAME?</v>
      </c>
      <c r="Z528" s="2" t="e">
        <f ca="1">_xll.BDH($C$528,"ACCOUNTS_RECEIVABLE_GROWTH","FY 2014","FY 2014","Currency=INR","Period=FY","BEST_FPERIOD_OVERRIDE=FY","FILING_STATUS=OR","EQY_CONSOLIDATED=Y","Sort=A","Dates=H","DateFormat=P","Fill=—","Direction=H","UseDPDF=Y")</f>
        <v>#NAME?</v>
      </c>
      <c r="AA528" s="2" t="e">
        <f ca="1">_xll.BDH($C$528,"INVENTORY_GROWTH","FY 2014","FY 2014","Currency=INR","Period=FY","BEST_FPERIOD_OVERRIDE=FY","FILING_STATUS=OR","EQY_CONSOLIDATED=Y","Sort=A","Dates=H","DateFormat=P","Fill=—","Direction=H","UseDPDF=Y")</f>
        <v>#NAME?</v>
      </c>
      <c r="AB528" s="2" t="e">
        <f ca="1">_xll.BDH($C$528,"NET_FIXED_ASSETS_1_YEAR_GROWTH","FY 2014","FY 2014","Currency=INR","Period=FY","BEST_FPERIOD_OVERRIDE=FY","FILING_STATUS=OR","EQY_CONSOLIDATED=Y","Sort=A","Dates=H","DateFormat=P","Fill=—","Direction=H","UseDPDF=Y")</f>
        <v>#NAME?</v>
      </c>
      <c r="AC528" s="2" t="e">
        <f ca="1">_xll.BDH($C$528,"ASSET_GROWTH","FY 2014","FY 2014","Currency=INR","Period=FY","BEST_FPERIOD_OVERRIDE=FY","FILING_STATUS=OR","EQY_CONSOLIDATED=Y","Sort=A","Dates=H","DateFormat=P","Fill=—","Direction=H","UseDPDF=Y")</f>
        <v>#NAME?</v>
      </c>
      <c r="AD528" s="2" t="e">
        <f ca="1">_xll.BDH($C$528,"MODIFIED_WORK_CAP_GROWTH","FY 2014","FY 2014","Currency=INR","Period=FY","BEST_FPERIOD_OVERRIDE=FY","FILING_STATUS=OR","EQY_CONSOLIDATED=Y","Sort=A","Dates=H","DateFormat=P","Fill=—","Direction=H","UseDPDF=Y")</f>
        <v>#NAME?</v>
      </c>
      <c r="AE528" s="2" t="e">
        <f ca="1">_xll.BDH($C$528,"WORK_CAP_GROWTH","FY 2014","FY 2014","Currency=INR","Period=FY","BEST_FPERIOD_OVERRIDE=FY","FILING_STATUS=OR","EQY_CONSOLIDATED=Y","Sort=A","Dates=H","DateFormat=P","Fill=—","Direction=H","UseDPDF=Y")</f>
        <v>#NAME?</v>
      </c>
      <c r="AF528" s="2" t="e">
        <f ca="1">_xll.BDH($C$528,"ACCOUNTS_PAYABLE_GROWTH_1YR","FY 2014","FY 2014","Currency=INR","Period=FY","BEST_FPERIOD_OVERRIDE=FY","FILING_STATUS=OR","EQY_CONSOLIDATED=Y","Sort=A","Dates=H","DateFormat=P","Fill=—","Direction=H","UseDPDF=Y")</f>
        <v>#NAME?</v>
      </c>
      <c r="AG528" s="2" t="e">
        <f ca="1">_xll.BDH($C$528,"SHORT_TERM_DEBT_1_YEAR_GROWTH","FY 2014","FY 2014","Currency=INR","Period=FY","BEST_FPERIOD_OVERRIDE=FY","FILING_STATUS=OR","EQY_CONSOLIDATED=Y","Sort=A","Dates=H","DateFormat=P","Fill=—","Direction=H","UseDPDF=Y")</f>
        <v>#NAME?</v>
      </c>
      <c r="AH528" s="2" t="e">
        <f ca="1">_xll.BDH($C$528,"TOTAL_DEBT_1_YEAR_GROWTH","FY 2014","FY 2014","Currency=INR","Period=FY","BEST_FPERIOD_OVERRIDE=FY","FILING_STATUS=OR","EQY_CONSOLIDATED=Y","Sort=A","Dates=H","DateFormat=P","Fill=—","Direction=H","UseDPDF=Y")</f>
        <v>#NAME?</v>
      </c>
      <c r="AI528" s="2" t="e">
        <f ca="1">_xll.BDH($C$528,"TOTAL_EQUITY_1_YEAR_GROWTH","FY 2014","FY 2014","Currency=INR","Period=FY","BEST_FPERIOD_OVERRIDE=FY","FILING_STATUS=OR","EQY_CONSOLIDATED=Y","Sort=A","Dates=H","DateFormat=P","Fill=—","Direction=H","UseDPDF=Y")</f>
        <v>#NAME?</v>
      </c>
      <c r="AJ528" s="2" t="e">
        <f ca="1">_xll.BDH($C$528,"GROWTH_IN_CAP","FY 2014","FY 2014","Currency=INR","Period=FY","BEST_FPERIOD_OVERRIDE=FY","FILING_STATUS=OR","EQY_CONSOLIDATED=Y","Sort=A","Dates=H","DateFormat=P","Fill=—","Direction=H","UseDPDF=Y")</f>
        <v>#NAME?</v>
      </c>
      <c r="AK528" s="2" t="e">
        <f ca="1">_xll.BDH($C$528,"BVPS_GROWTH","FY 2014","FY 2014","Currency=INR","Period=FY","BEST_FPERIOD_OVERRIDE=FY","FILING_STATUS=OR","EQY_CONSOLIDATED=Y","Sort=A","Dates=H","DateFormat=P","Fill=—","Direction=H","UseDPDF=Y")</f>
        <v>#NAME?</v>
      </c>
      <c r="AL528" s="2" t="e">
        <f ca="1">_xll.BDH($C$528,"CASH_FLOW_GROWTH","FY 2014","FY 2014","Currency=INR","Period=FY","BEST_FPERIOD_OVERRIDE=FY","FILING_STATUS=OR","EQY_CONSOLIDATED=Y","Sort=A","Dates=H","DateFormat=P","Fill=—","Direction=H","UseDPDF=Y")</f>
        <v>#NAME?</v>
      </c>
      <c r="AM528" s="2" t="e">
        <f ca="1">_xll.BDH($C$528,"GEO_GROW_NET_SALES","FY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528" s="2" t="e">
        <f ca="1">_xll.BDH($C$528,"GEO_GROW_EBITDA","FY 2014","FY 2014","Currency=INR","Period=FY","BEST_FPERIOD_OVERRIDE=FY","FILING_STATUS=OR","EQY_CONSOLIDATED=Y","FA_ADJUSTED=GAAP","Sort=A","Dates=H","DateFormat=P","Fill=—","Direction=H","UseDPDF=Y")</f>
        <v>#NAME?</v>
      </c>
      <c r="AO528" s="2" t="e">
        <f ca="1">_xll.BDH($C$528,"GEO_GROW_OPER_INC","FY 2014","FY 2014","Currency=INR","Period=FY","BEST_FPERIOD_OVERRIDE=FY","FILING_STATUS=OR","EQY_CONSOLIDATED=Y","FA_ADJUSTED=GAAP","Sort=A","Dates=H","DateFormat=P","Fill=—","Direction=H","UseDPDF=Y")</f>
        <v>#NAME?</v>
      </c>
      <c r="AP528" s="2" t="e">
        <f ca="1">_xll.BDH($C$528,"NET_INCOME_TO_COMMON_5_YR_GROWTH","FY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528" s="2" t="e">
        <f ca="1">_xll.BDH($C$528,"5Y_GEO_GROWTH_DILUTED_EPS","FY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528" s="2" t="e">
        <f ca="1">_xll.BDH($C$528,"GEO_GROW_DVD_PER_SH","FY 2014","FY 2014","Currency=INR","Period=FY","BEST_FPERIOD_OVERRIDE=FY","FILING_STATUS=OR","EQY_CONSOLIDATED=Y","Sort=A","Dates=H","DateFormat=P","Fill=—","Direction=H","UseDPDF=Y")</f>
        <v>#NAME?</v>
      </c>
      <c r="AS528" s="2" t="e">
        <f ca="1">_xll.BDH($C$528,"ACCOUNTS_RECEIVABLE_5_YR_GROWTH","FY 2014","FY 2014","Currency=INR","Period=FY","BEST_FPERIOD_OVERRIDE=FY","FILING_STATUS=OR","EQY_CONSOLIDATED=Y","Sort=A","Dates=H","DateFormat=P","Fill=—","Direction=H","UseDPDF=Y")</f>
        <v>#NAME?</v>
      </c>
      <c r="AT528" s="2" t="e">
        <f ca="1">_xll.BDH($C$528,"INVENTORY_5_YEAR_GROWTH","FY 2014","FY 2014","Currency=INR","Period=FY","BEST_FPERIOD_OVERRIDE=FY","FILING_STATUS=OR","EQY_CONSOLIDATED=Y","Sort=A","Dates=H","DateFormat=P","Fill=—","Direction=H","UseDPDF=Y")</f>
        <v>#NAME?</v>
      </c>
      <c r="AU528" s="2" t="e">
        <f ca="1">_xll.BDH($C$528,"NET_FIXED_ASSETS_5_YEAR_GROWTH","FY 2014","FY 2014","Currency=INR","Period=FY","BEST_FPERIOD_OVERRIDE=FY","FILING_STATUS=OR","EQY_CONSOLIDATED=Y","Sort=A","Dates=H","DateFormat=P","Fill=—","Direction=H","UseDPDF=Y")</f>
        <v>#NAME?</v>
      </c>
      <c r="AV528" s="2" t="e">
        <f ca="1">_xll.BDH($C$528,"GEO_GROW_TOT_ASSET","FY 2014","FY 2014","Currency=INR","Period=FY","BEST_FPERIOD_OVERRIDE=FY","FILING_STATUS=OR","EQY_CONSOLIDATED=Y","Sort=A","Dates=H","DateFormat=P","Fill=—","Direction=H","UseDPDF=Y")</f>
        <v>#NAME?</v>
      </c>
      <c r="AW528" s="2" t="e">
        <f ca="1">_xll.BDH($C$528,"MODIFIED_WORKING_CPTL_5YR_GRWTH","FY 2014","FY 2014","Currency=INR","Period=FY","BEST_FPERIOD_OVERRIDE=FY","FILING_STATUS=OR","EQY_CONSOLIDATED=Y","Sort=A","Dates=H","DateFormat=P","Fill=—","Direction=H","UseDPDF=Y")</f>
        <v>#NAME?</v>
      </c>
      <c r="AX528" s="2" t="e">
        <f ca="1">_xll.BDH($C$528,"WORKING_CAPITAL_5_YEAR_GROWTH","FY 2014","FY 2014","Currency=INR","Period=FY","BEST_FPERIOD_OVERRIDE=FY","FILING_STATUS=OR","EQY_CONSOLIDATED=Y","Sort=A","Dates=H","DateFormat=P","Fill=—","Direction=H","UseDPDF=Y")</f>
        <v>#NAME?</v>
      </c>
      <c r="AY528" s="2" t="e">
        <f ca="1">_xll.BDH($C$528,"ACCOUNTS_PAYABLE_5_YEAR_GROWTH","FY 2014","FY 2014","Currency=INR","Period=FY","BEST_FPERIOD_OVERRIDE=FY","FILING_STATUS=OR","EQY_CONSOLIDATED=Y","Sort=A","Dates=H","DateFormat=P","Fill=—","Direction=H","UseDPDF=Y")</f>
        <v>#NAME?</v>
      </c>
      <c r="AZ528" s="2" t="e">
        <f ca="1">_xll.BDH($C$528,"SHORT_TERM_DEBT_5_YEAR_GROWTH","FY 2014","FY 2014","Currency=INR","Period=FY","BEST_FPERIOD_OVERRIDE=FY","FILING_STATUS=OR","EQY_CONSOLIDATED=Y","Sort=A","Dates=H","DateFormat=P","Fill=—","Direction=H","UseDPDF=Y")</f>
        <v>#NAME?</v>
      </c>
      <c r="BA528" s="2" t="e">
        <f ca="1">_xll.BDH($C$528,"TOTAL_DEBT_5_YEAR_GROWTH","FY 2014","FY 2014","Currency=INR","Period=FY","BEST_FPERIOD_OVERRIDE=FY","FILING_STATUS=OR","EQY_CONSOLIDATED=Y","Sort=A","Dates=H","DateFormat=P","Fill=—","Direction=H","UseDPDF=Y")</f>
        <v>#NAME?</v>
      </c>
      <c r="BB528" s="2" t="e">
        <f ca="1">_xll.BDH($C$528,"GEO_GROW_TOT_SHRHLDR_EQY","FY 2014","FY 2014","Currency=INR","Period=FY","BEST_FPERIOD_OVERRIDE=FY","FILING_STATUS=OR","EQY_CONSOLIDATED=Y","Sort=A","Dates=H","DateFormat=P","Fill=—","Direction=H","UseDPDF=Y")</f>
        <v>#NAME?</v>
      </c>
      <c r="BC528" s="2" t="e">
        <f ca="1">_xll.BDH($C$528,"TOTAL_CAPITAL_5_YEAR_GROWTH","FY 2014","FY 2014","Currency=INR","Period=FY","BEST_FPERIOD_OVERRIDE=FY","FILING_STATUS=OR","EQY_CONSOLIDATED=Y","Sort=A","Dates=H","DateFormat=P","Fill=—","Direction=H","UseDPDF=Y")</f>
        <v>#NAME?</v>
      </c>
      <c r="BD528" s="2" t="e">
        <f ca="1">_xll.BDH($C$528,"GEO_GROW_BOOK_VAL","FY 2014","FY 2014","Currency=INR","Period=FY","BEST_FPERIOD_OVERRIDE=FY","FILING_STATUS=OR","EQY_CONSOLIDATED=Y","Sort=A","Dates=H","DateFormat=P","Fill=—","Direction=H","UseDPDF=Y")</f>
        <v>#NAME?</v>
      </c>
      <c r="BE528" s="2" t="e">
        <f ca="1">_xll.BDH($C$528,"GEO_GROW_CASH_OPER_ACT","FY 2014","FY 2014","Currency=INR","Period=FY","BEST_FPERIOD_OVERRIDE=FY","FILING_STATUS=OR","EQY_CONSOLIDATED=Y","Sort=A","Dates=H","DateFormat=P","Fill=—","Direction=H","UseDPDF=Y")</f>
        <v>#NAME?</v>
      </c>
      <c r="BF528" s="2" t="e">
        <f ca="1">_xll.BDH($C$528,"REVENUE_SEQUENTIAL_GROWTH","FY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528" s="2" t="e">
        <f ca="1">_xll.BDH($C$528,"EBITDA_SEQUENTIAL_GROWTH","FY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528" s="2" t="e">
        <f ca="1">_xll.BDH($C$528,"OPERATING_INCOME_SEQ_GROWTH","FY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528" s="2" t="e">
        <f ca="1">_xll.BDH($C$528,"NET_INCOME_TO_COMMON_SEQ_GROWTH","FY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528" s="2" t="e">
        <f ca="1">_xll.BDH($C$528,"EPS_DILUTED_SEQUENTIAL_GROWTH","FY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528" s="2" t="e">
        <f ca="1">_xll.BDH($C$528,"DPS_SEQUENTIAL_GROWTH","FY 2014","FY 2014","Currency=INR","Period=FY","BEST_FPERIOD_OVERRIDE=FY","FILING_STATUS=OR","EQY_CONSOLIDATED=Y","Sort=A","Dates=H","DateFormat=P","Fill=—","Direction=H","UseDPDF=Y")</f>
        <v>#NAME?</v>
      </c>
      <c r="BL528" s="2" t="e">
        <f ca="1">_xll.BDH($C$528,"ACCOUNTS_RECEIVABLE_SEQ_GROWTH","FY 2014","FY 2014","Currency=INR","Period=FY","BEST_FPERIOD_OVERRIDE=FY","FILING_STATUS=OR","EQY_CONSOLIDATED=Y","Sort=A","Dates=H","DateFormat=P","Fill=—","Direction=H","UseDPDF=Y")</f>
        <v>#NAME?</v>
      </c>
      <c r="BM528" s="2" t="e">
        <f ca="1">_xll.BDH($C$528,"INVENTORY_SEQUENTIAL_GROWTH","FY 2014","FY 2014","Currency=INR","Period=FY","BEST_FPERIOD_OVERRIDE=FY","FILING_STATUS=OR","EQY_CONSOLIDATED=Y","Sort=A","Dates=H","DateFormat=P","Fill=—","Direction=H","UseDPDF=Y")</f>
        <v>#NAME?</v>
      </c>
      <c r="BN528" s="2" t="e">
        <f ca="1">_xll.BDH($C$528,"FIXED_ASSETS_SEQUENTIAL_GROWTH","FY 2014","FY 2014","Currency=INR","Period=FY","BEST_FPERIOD_OVERRIDE=FY","FILING_STATUS=OR","EQY_CONSOLIDATED=Y","Sort=A","Dates=H","DateFormat=P","Fill=—","Direction=H","UseDPDF=Y")</f>
        <v>#NAME?</v>
      </c>
      <c r="BO528" s="2" t="e">
        <f ca="1">_xll.BDH($C$528,"TOTAL_ASSETS_SEQUENTIAL_GROWTH","FY 2014","FY 2014","Currency=INR","Period=FY","BEST_FPERIOD_OVERRIDE=FY","FILING_STATUS=OR","EQY_CONSOLIDATED=Y","Sort=A","Dates=H","DateFormat=P","Fill=—","Direction=H","UseDPDF=Y")</f>
        <v>#NAME?</v>
      </c>
      <c r="BP528" s="2" t="e">
        <f ca="1">_xll.BDH($C$528,"MODIFIED_WORKING_CPTL_SEQ_GRWTH","FY 2014","FY 2014","Currency=INR","Period=FY","BEST_FPERIOD_OVERRIDE=FY","FILING_STATUS=OR","EQY_CONSOLIDATED=Y","Sort=A","Dates=H","DateFormat=P","Fill=—","Direction=H","UseDPDF=Y")</f>
        <v>#NAME?</v>
      </c>
      <c r="BQ528" s="2" t="e">
        <f ca="1">_xll.BDH($C$528,"WORKING_CAPITAL_SEQ_GROWTH","FY 2014","FY 2014","Currency=INR","Period=FY","BEST_FPERIOD_OVERRIDE=FY","FILING_STATUS=OR","EQY_CONSOLIDATED=Y","Sort=A","Dates=H","DateFormat=P","Fill=—","Direction=H","UseDPDF=Y")</f>
        <v>#NAME?</v>
      </c>
      <c r="BR528" s="2" t="e">
        <f ca="1">_xll.BDH($C$528,"ACCOUNTS_PAYABLE_SEQ_GROWTH","FY 2014","FY 2014","Currency=INR","Period=FY","BEST_FPERIOD_OVERRIDE=FY","FILING_STATUS=OR","EQY_CONSOLIDATED=Y","Sort=A","Dates=H","DateFormat=P","Fill=—","Direction=H","UseDPDF=Y")</f>
        <v>#NAME?</v>
      </c>
      <c r="BS528" s="2" t="e">
        <f ca="1">_xll.BDH($C$528,"ST_DEBT_SEQUENTIAL_GROWTH","FY 2014","FY 2014","Currency=INR","Period=FY","BEST_FPERIOD_OVERRIDE=FY","FILING_STATUS=OR","EQY_CONSOLIDATED=Y","Sort=A","Dates=H","DateFormat=P","Fill=—","Direction=H","UseDPDF=Y")</f>
        <v>#NAME?</v>
      </c>
      <c r="BT528" s="2" t="e">
        <f ca="1">_xll.BDH($C$528,"TOTAL_DEBT_SEQUENTIAL_GROWTH","FY 2014","FY 2014","Currency=INR","Period=FY","BEST_FPERIOD_OVERRIDE=FY","FILING_STATUS=OR","EQY_CONSOLIDATED=Y","Sort=A","Dates=H","DateFormat=P","Fill=—","Direction=H","UseDPDF=Y")</f>
        <v>#NAME?</v>
      </c>
      <c r="BU528" s="2" t="e">
        <f ca="1">_xll.BDH($C$528,"TOTAL_EQUITY_SEQUENTIAL_GROWTH","FY 2014","FY 2014","Currency=INR","Period=FY","BEST_FPERIOD_OVERRIDE=FY","FILING_STATUS=OR","EQY_CONSOLIDATED=Y","Sort=A","Dates=H","DateFormat=P","Fill=—","Direction=H","UseDPDF=Y")</f>
        <v>#NAME?</v>
      </c>
      <c r="BV528" s="2" t="e">
        <f ca="1">_xll.BDH($C$528,"TOTAL_CAPITAL_SEQUENTIAL_GROWTH","FY 2014","FY 2014","Currency=INR","Period=FY","BEST_FPERIOD_OVERRIDE=FY","FILING_STATUS=OR","EQY_CONSOLIDATED=Y","Sort=A","Dates=H","DateFormat=P","Fill=—","Direction=H","UseDPDF=Y")</f>
        <v>#NAME?</v>
      </c>
      <c r="BW528" s="2" t="e">
        <f ca="1">_xll.BDH($C$528,"BPS_SEQUENTIAL_GROWTH","FY 2014","FY 2014","Currency=INR","Period=FY","BEST_FPERIOD_OVERRIDE=FY","FILING_STATUS=OR","EQY_CONSOLIDATED=Y","Sort=A","Dates=H","DateFormat=P","Fill=—","Direction=H","UseDPDF=Y")</f>
        <v>#NAME?</v>
      </c>
      <c r="BX528" s="2" t="e">
        <f ca="1">_xll.BDH($C$528,"CFO_SEQUENTIAL_GROWTH","FY 2014","FY 2014","Currency=INR","Period=FY","BEST_FPERIOD_OVERRIDE=FY","FILING_STATUS=OR","EQY_CONSOLIDATED=Y","Sort=A","Dates=H","DateFormat=P","Fill=—","Direction=H","UseDPDF=Y")</f>
        <v>#NAME?</v>
      </c>
      <c r="BY528" s="3" t="e">
        <f ca="1">_xll.BDH($C$528,"SHORT_AND_LONG_TERM_DEBT","FY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528" s="3" t="e">
        <f ca="1">_xll.BDH($C$528,"BS_ST_BORROW","FY 2014","FY 2014","Currency=INR","Period=FY","BEST_FPERIOD_OVERRIDE=FY","FILING_STATUS=OR","EQY_CONSOLIDATED=Y","SCALING_FORMAT=MLN","Sort=A","Dates=H","DateFormat=P","Fill=—","Direction=H","UseDPDF=Y")</f>
        <v>#NAME?</v>
      </c>
      <c r="CA528" s="3" t="e">
        <f ca="1">_xll.BDH($C$528,"BS_LT_BORROW","FY 2014","FY 2014","Currency=INR","Period=FY","BEST_FPERIOD_OVERRIDE=FY","FILING_STATUS=OR","EQY_CONSOLIDATED=Y","SCALING_FORMAT=MLN","Sort=A","Dates=H","DateFormat=P","Fill=—","Direction=H","UseDPDF=Y")</f>
        <v>#NAME?</v>
      </c>
      <c r="CB528" s="2" t="e">
        <f ca="1">_xll.BDH($C$528,"TOT_DEBT_TO_EBITDA","FY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528" s="2" t="e">
        <f ca="1">_xll.BDH($C$528,"NET_DEBT_TO_EBITDA","FY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528" s="2" t="e">
        <f ca="1">_xll.BDH($C$528,"TOTAL_DEBT_TO_EBIT","FY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528" s="2" t="e">
        <f ca="1">_xll.BDH($C$528,"NET_DEBT_TO_EBIT","FY 2014","FY 2014","Currency=INR","Period=FY","BEST_FPERIOD_OVERRIDE=FY","FILING_STATUS=OR","EQY_CONSOLIDATED=Y","FA_ADJUSTED=GAAP","Sort=A","Dates=H","DateFormat=P","Fill=—","Direction=H","UseDPDF=Y")</f>
        <v>#NAME?</v>
      </c>
      <c r="CF528" s="2" t="e">
        <f ca="1">_xll.BDH($C$528,"EBITDA_TO_INTEREST_EXPN","FY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528" s="2" t="e">
        <f ca="1">_xll.BDH($C$528,"COM_EQY_TO_TOT_ASSET","FY 2014","FY 2014","Currency=INR","Period=FY","BEST_FPERIOD_OVERRIDE=FY","FILING_STATUS=OR","EQY_CONSOLIDATED=Y","Sort=A","Dates=H","DateFormat=P","Fill=—","Direction=H","UseDPDF=Y")</f>
        <v>#NAME?</v>
      </c>
      <c r="CH528" s="2" t="e">
        <f ca="1">_xll.BDH($C$528,"LT_DEBT_TO_TOT_EQY","FY 2014","FY 2014","Currency=INR","Period=FY","BEST_FPERIOD_OVERRIDE=FY","FILING_STATUS=OR","EQY_CONSOLIDATED=Y","Sort=A","Dates=H","DateFormat=P","Fill=—","Direction=H","UseDPDF=Y")</f>
        <v>#NAME?</v>
      </c>
      <c r="CI528" s="2" t="e">
        <f ca="1">_xll.BDH($C$528,"LT_DEBT_TO_TOT_CAP","FY 2014","FY 2014","Currency=INR","Period=FY","BEST_FPERIOD_OVERRIDE=FY","FILING_STATUS=OR","EQY_CONSOLIDATED=Y","Sort=A","Dates=H","DateFormat=P","Fill=—","Direction=H","UseDPDF=Y")</f>
        <v>#NAME?</v>
      </c>
      <c r="CJ528" s="2" t="e">
        <f ca="1">_xll.BDH($C$528,"LT_DEBT_TO_TOT_ASSET","FY 2014","FY 2014","Currency=INR","Period=FY","BEST_FPERIOD_OVERRIDE=FY","FILING_STATUS=OR","EQY_CONSOLIDATED=Y","Sort=A","Dates=H","DateFormat=P","Fill=—","Direction=H","UseDPDF=Y")</f>
        <v>#NAME?</v>
      </c>
      <c r="CK528" s="2" t="e">
        <f ca="1">_xll.BDH($C$528,"TOT_DEBT_TO_TOT_EQY","FY 2014","FY 2014","Currency=INR","Period=FY","BEST_FPERIOD_OVERRIDE=FY","FILING_STATUS=OR","EQY_CONSOLIDATED=Y","Sort=A","Dates=H","DateFormat=P","Fill=—","Direction=H","UseDPDF=Y")</f>
        <v>#NAME?</v>
      </c>
      <c r="CL528" s="2" t="e">
        <f ca="1">_xll.BDH($C$528,"TOT_DEBT_TO_TOT_CAP","FY 2014","FY 2014","Currency=INR","Period=FY","BEST_FPERIOD_OVERRIDE=FY","FILING_STATUS=OR","EQY_CONSOLIDATED=Y","Sort=A","Dates=H","DateFormat=P","Fill=—","Direction=H","UseDPDF=Y")</f>
        <v>#NAME?</v>
      </c>
      <c r="CM528" s="2" t="e">
        <f ca="1">_xll.BDH($C$528,"TOT_DEBT_TO_TOT_ASSET","FY 2014","FY 2014","Currency=INR","Period=FY","BEST_FPERIOD_OVERRIDE=FY","FILING_STATUS=OR","EQY_CONSOLIDATED=Y","Sort=A","Dates=H","DateFormat=P","Fill=—","Direction=H","UseDPDF=Y")</f>
        <v>#NAME?</v>
      </c>
      <c r="CN528" s="2" t="e">
        <f ca="1">_xll.BDH($C$528,"NET_DEBT_TO_SHRHLDR_EQTY","FY 2014","FY 2014","Currency=INR","Period=FY","BEST_FPERIOD_OVERRIDE=FY","FILING_STATUS=OR","EQY_CONSOLIDATED=Y","Sort=A","Dates=H","DateFormat=P","Fill=—","Direction=H","UseDPDF=Y")</f>
        <v>#NAME?</v>
      </c>
      <c r="CO528" s="2" t="e">
        <f ca="1">_xll.BDH($C$528,"NET_DEBT_%_CAPITAL","FY 2014","FY 2014","Currency=INR","Period=FY","BEST_FPERIOD_OVERRIDE=FY","FILING_STATUS=OR","EQY_CONSOLIDATED=Y","Sort=A","Dates=H","DateFormat=P","Fill=—","Direction=H","UseDPDF=Y")</f>
        <v>#NAME?</v>
      </c>
      <c r="CP528" s="3" t="e">
        <f ca="1">_xll.BDH($C$528,"EBITDA","FY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528" s="3" t="e">
        <f ca="1">_xll.BDH($C$528,"EBITDA_AFTER_CAPEX","FY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528" s="3" t="e">
        <f ca="1">_xll.BDH($C$528,"IS_OPER_INC","FY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528" s="2" t="e">
        <f ca="1">_xll.BDH($C$528,"CASH_RATIO","FY 2014","FY 2014","Currency=INR","Period=FY","BEST_FPERIOD_OVERRIDE=FY","FILING_STATUS=OR","EQY_CONSOLIDATED=Y","Sort=A","Dates=H","DateFormat=P","Fill=—","Direction=H","UseDPDF=Y")</f>
        <v>#NAME?</v>
      </c>
      <c r="CT528" s="2" t="e">
        <f ca="1">_xll.BDH($C$528,"CUR_RATIO","FY 2014","FY 2014","Currency=INR","Period=FY","BEST_FPERIOD_OVERRIDE=FY","FILING_STATUS=OR","EQY_CONSOLIDATED=Y","Sort=A","Dates=H","DateFormat=P","Fill=—","Direction=H","UseDPDF=Y")</f>
        <v>#NAME?</v>
      </c>
      <c r="CU528" s="2" t="e">
        <f ca="1">_xll.BDH($C$528,"QUICK_RATIO","FY 2014","FY 2014","Currency=INR","Period=FY","BEST_FPERIOD_OVERRIDE=FY","FILING_STATUS=OR","EQY_CONSOLIDATED=Y","Sort=A","Dates=H","DateFormat=P","Fill=—","Direction=H","UseDPDF=Y")</f>
        <v>#NAME?</v>
      </c>
      <c r="CV528" s="2" t="e">
        <f ca="1">_xll.BDH($C$528,"ALTMAN_Z_SCORE","FY 2014","FY 2014","Currency=INR","Period=FY","BEST_FPERIOD_OVERRIDE=FY","FILING_STATUS=OR","EQY_CONSOLIDATED=Y","Sort=A","Dates=H","DateFormat=P","Fill=—","Direction=H","UseDPDF=Y")</f>
        <v>#NAME?</v>
      </c>
      <c r="CW528" s="4" t="e">
        <f ca="1">_xll.BDH($C$528,"ACCT_RCV_TURN","FY 2014","FY 2014","Currency=INR","Period=FY","BEST_FPERIOD_OVERRIDE=FY","FILING_STATUS=OR","EQY_CONSOLIDATED=Y","FA_ADJUSTED=GAAP","Sort=A","Dates=H","DateFormat=P","Fill=—","Direction=H","UseDPDF=Y")</f>
        <v>#NAME?</v>
      </c>
      <c r="CX528" s="2" t="e">
        <f ca="1">_xll.BDH($C$528,"ACCT_RCV_DAYS","FY 2014","FY 2014","Currency=INR","Period=FY","BEST_FPERIOD_OVERRIDE=FY","FILING_STATUS=OR","EQY_CONSOLIDATED=Y","FA_ADJUSTED=GAAP","Sort=A","Dates=H","DateFormat=P","Fill=—","Direction=H","UseDPDF=Y")</f>
        <v>#NAME?</v>
      </c>
      <c r="CY528" s="4" t="e">
        <f ca="1">_xll.BDH($C$528,"INVENT_TURN","FY 2014","FY 2014","Currency=INR","Period=FY","BEST_FPERIOD_OVERRIDE=FY","FILING_STATUS=OR","EQY_CONSOLIDATED=Y","FA_ADJUSTED=GAAP","Sort=A","Dates=H","DateFormat=P","Fill=—","Direction=H","UseDPDF=Y")</f>
        <v>#NAME?</v>
      </c>
      <c r="CZ528" s="2" t="e">
        <f ca="1">_xll.BDH($C$528,"INVENT_DAYS","FY 2014","FY 2014","Currency=INR","Period=FY","BEST_FPERIOD_OVERRIDE=FY","FILING_STATUS=OR","EQY_CONSOLIDATED=Y","FA_ADJUSTED=GAAP","Sort=A","Dates=H","DateFormat=P","Fill=—","Direction=H","UseDPDF=Y")</f>
        <v>#NAME?</v>
      </c>
      <c r="DA528" s="4" t="e">
        <f ca="1">_xll.BDH($C$528,"ACCOUNTS_PAYABLE_TURNOVER","FY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528" s="2" t="e">
        <f ca="1">_xll.BDH($C$528,"ACCOUNTS_PAYABLE_TURNOVER_DAYS","FY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528" s="4" t="e">
        <f ca="1">_xll.BDH($C$528,"CASH_CONVERSION_CYCLE","FY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528" s="4" t="e">
        <f ca="1">_xll.BDH($C$528,"INV_TO_CASH_DAYS","FY 2014","FY 2014","Currency=INR","Period=FY","BEST_FPERIOD_OVERRIDE=FY","FILING_STATUS=OR","EQY_CONSOLIDATED=Y","FA_ADJUSTED=GAAP","Sort=A","Dates=H","DateFormat=P","Fill=—","Direction=H","UseDPDF=Y")</f>
        <v>#NAME?</v>
      </c>
      <c r="DE528" s="5" t="e">
        <f ca="1">_xll.BDH($C$528,"BS_INVENTORIES","FY 2014","FY 2014","Currency=INR","Period=FY","BEST_FPERIOD_OVERRIDE=FY","FILING_STATUS=OR","EQY_CONSOLIDATED=Y","SCALING_FORMAT=MLN","Sort=A","Dates=H","DateFormat=P","Fill=—","Direction=H","UseDPDF=Y")</f>
        <v>#NAME?</v>
      </c>
      <c r="DF528" s="3" t="e">
        <f ca="1">_xll.BDH($C$528,"INVTRY_RAW_MATERIALS","FY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528" s="3" t="e">
        <f ca="1">_xll.BDH($C$528,"INVTRY_IN_PROGRESS","FY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528" s="3" t="e">
        <f ca="1">_xll.BDH($C$528,"INVTRY_FINISHED_GOODS","FY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528" s="3" t="e">
        <f ca="1">_xll.BDH($C$528,"BS_OTHER_INV","FY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529" spans="1:113" x14ac:dyDescent="0.3">
      <c r="A529" s="6"/>
      <c r="B529" s="6"/>
      <c r="C529" s="6"/>
      <c r="D529" s="6"/>
      <c r="E529" t="s">
        <v>78</v>
      </c>
      <c r="F529" t="e">
        <f ca="1">_xll.BDH($C$528,"RETURN_COM_EQY","FQ1 2014","FQ1 2014","Currency=INR","Period=FQ","BEST_FPERIOD_OVERRIDE=FQ","FILING_STATUS=OR","EQY_CONSOLIDATED=Y","FA_ADJUSTED=GAAP","Sort=A","Dates=H","DateFormat=P","Fill=—","Direction=H","UseDPDF=Y")</f>
        <v>#NAME?</v>
      </c>
      <c r="G529" t="e">
        <f ca="1">_xll.BDH($C$528,"RETURN_ON_ASSET","FQ1 2014","FQ1 2014","Currency=INR","Period=FQ","BEST_FPERIOD_OVERRIDE=FQ","FILING_STATUS=OR","EQY_CONSOLIDATED=Y","FA_ADJUSTED=GAAP","Sort=A","Dates=H","DateFormat=P","Fill=—","Direction=H","UseDPDF=Y")</f>
        <v>#NAME?</v>
      </c>
      <c r="H529" t="e">
        <f ca="1">_xll.BDH($C$528,"RETURN_ON_CAP","FQ1 2014","FQ1 2014","Currency=INR","Period=FQ","BEST_FPERIOD_OVERRIDE=FQ","FILING_STATUS=OR","EQY_CONSOLIDATED=Y","FA_ADJUSTED=GAAP","Sort=A","Dates=H","DateFormat=P","Fill=—","Direction=H","UseDPDF=Y")</f>
        <v>#NAME?</v>
      </c>
      <c r="I529" t="e">
        <f ca="1">_xll.BDH($C$528,"RETURN_ON_INV_CAPITAL","FQ1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529" t="e">
        <f ca="1">_xll.BDH($C$528,"EBITDA_TO_REVENUE","FQ1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529" t="e">
        <f ca="1">_xll.BDH($C$528,"OPER_MARGIN","FQ1 2014","FQ1 2014","Currency=INR","Period=FQ","BEST_FPERIOD_OVERRIDE=FQ","FILING_STATUS=OR","EQY_CONSOLIDATED=Y","FA_ADJUSTED=GAAP","Sort=A","Dates=H","DateFormat=P","Fill=—","Direction=H","UseDPDF=Y")</f>
        <v>#NAME?</v>
      </c>
      <c r="L529" t="e">
        <f ca="1">_xll.BDH($C$528,"INCREMENTAL_OPERATING_MARGIN","FQ1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529" t="e">
        <f ca="1">_xll.BDH($C$528,"PRETAX_INC_TO_NET_SALES","FQ1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529" t="e">
        <f ca="1">_xll.BDH($C$528,"INC_BEF_XO_ITEMS_TO_NET_SALES","FQ1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529" t="e">
        <f ca="1">_xll.BDH($C$528,"PROF_MARGIN","FQ1 2014","FQ1 2014","Currency=INR","Period=FQ","BEST_FPERIOD_OVERRIDE=FQ","FILING_STATUS=OR","EQY_CONSOLIDATED=Y","FA_ADJUSTED=GAAP","Sort=A","Dates=H","DateFormat=P","Fill=—","Direction=H","UseDPDF=Y")</f>
        <v>#NAME?</v>
      </c>
      <c r="P529" t="e">
        <f ca="1">_xll.BDH($C$528,"NET_INCOME_TO_COMMON_MARGIN","FQ1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529" t="e">
        <f ca="1">_xll.BDH($C$528,"EFF_TAX_RATE","FQ1 2014","FQ1 2014","Currency=INR","Period=FQ","BEST_FPERIOD_OVERRIDE=FQ","FILING_STATUS=OR","EQY_CONSOLIDATED=Y","FA_ADJUSTED=GAAP","Sort=A","Dates=H","DateFormat=P","Fill=—","Direction=H","UseDPDF=Y")</f>
        <v>#NAME?</v>
      </c>
      <c r="R529" t="e">
        <f ca="1">_xll.BDH($C$528,"DVD_PAYOUT_RATIO","FQ1 2014","FQ1 2014","Currency=INR","Period=FQ","BEST_FPERIOD_OVERRIDE=FQ","FILING_STATUS=OR","EQY_CONSOLIDATED=Y","FA_ADJUSTED=GAAP","Sort=A","Dates=H","DateFormat=P","Fill=—","Direction=H","UseDPDF=Y")</f>
        <v>#NAME?</v>
      </c>
      <c r="S529" t="e">
        <f ca="1">_xll.BDH($C$528,"SUSTAIN_GROWTH_RT","FQ1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529" s="2" t="e">
        <f ca="1">_xll.BDH($C$528,"SALES_GROWTH","FQ1 2014","FQ1 2014","Currency=INR","Period=FQ","BEST_FPERIOD_OVERRIDE=FQ","FILING_STATUS=OR","EQY_CONSOLIDATED=Y","FA_ADJUSTED=GAAP","Sort=A","Dates=H","DateFormat=P","Fill=—","Direction=H","UseDPDF=Y")</f>
        <v>#NAME?</v>
      </c>
      <c r="U529" s="2" t="e">
        <f ca="1">_xll.BDH($C$528,"EBITDA_GROWTH","FQ1 2014","FQ1 2014","Currency=INR","Period=FQ","BEST_FPERIOD_OVERRIDE=FQ","FILING_STATUS=OR","EQY_CONSOLIDATED=Y","FA_ADJUSTED=GAAP","Sort=A","Dates=H","DateFormat=P","Fill=—","Direction=H","UseDPDF=Y")</f>
        <v>#NAME?</v>
      </c>
      <c r="V529" s="2" t="e">
        <f ca="1">_xll.BDH($C$528,"OPER_INC_GROWTH","FQ1 2014","FQ1 2014","Currency=INR","Period=FQ","BEST_FPERIOD_OVERRIDE=FQ","FILING_STATUS=OR","EQY_CONSOLIDATED=Y","FA_ADJUSTED=GAAP","Sort=A","Dates=H","DateFormat=P","Fill=—","Direction=H","UseDPDF=Y")</f>
        <v>#NAME?</v>
      </c>
      <c r="W529" s="2" t="e">
        <f ca="1">_xll.BDH($C$528,"EARN_FOR_COM_GROWTH","FQ1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529" s="2" t="e">
        <f ca="1">_xll.BDH($C$528,"DILUTED_EPS_AFT_XO_ITEMS_GROWTH","FQ1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529" s="2" t="e">
        <f ca="1">_xll.BDH($C$528,"DIVIDEND_PER_SHARE_1_YEAR_GROWTH","FQ1 2014","FQ1 2014","Currency=INR","Period=FQ","BEST_FPERIOD_OVERRIDE=FQ","FILING_STATUS=OR","EQY_CONSOLIDATED=Y","Sort=A","Dates=H","DateFormat=P","Fill=—","Direction=H","UseDPDF=Y")</f>
        <v>#NAME?</v>
      </c>
      <c r="Z529" s="2" t="e">
        <f ca="1">_xll.BDH($C$528,"ACCOUNTS_RECEIVABLE_GROWTH","FQ1 2014","FQ1 2014","Currency=INR","Period=FQ","BEST_FPERIOD_OVERRIDE=FQ","FILING_STATUS=OR","EQY_CONSOLIDATED=Y","Sort=A","Dates=H","DateFormat=P","Fill=—","Direction=H","UseDPDF=Y")</f>
        <v>#NAME?</v>
      </c>
      <c r="AA529" s="2" t="e">
        <f ca="1">_xll.BDH($C$528,"INVENTORY_GROWTH","FQ1 2014","FQ1 2014","Currency=INR","Period=FQ","BEST_FPERIOD_OVERRIDE=FQ","FILING_STATUS=OR","EQY_CONSOLIDATED=Y","Sort=A","Dates=H","DateFormat=P","Fill=—","Direction=H","UseDPDF=Y")</f>
        <v>#NAME?</v>
      </c>
      <c r="AB529" s="2" t="e">
        <f ca="1">_xll.BDH($C$528,"NET_FIXED_ASSETS_1_YEAR_GROWTH","FQ1 2014","FQ1 2014","Currency=INR","Period=FQ","BEST_FPERIOD_OVERRIDE=FQ","FILING_STATUS=OR","EQY_CONSOLIDATED=Y","Sort=A","Dates=H","DateFormat=P","Fill=—","Direction=H","UseDPDF=Y")</f>
        <v>#NAME?</v>
      </c>
      <c r="AC529" s="2" t="e">
        <f ca="1">_xll.BDH($C$528,"ASSET_GROWTH","FQ1 2014","FQ1 2014","Currency=INR","Period=FQ","BEST_FPERIOD_OVERRIDE=FQ","FILING_STATUS=OR","EQY_CONSOLIDATED=Y","Sort=A","Dates=H","DateFormat=P","Fill=—","Direction=H","UseDPDF=Y")</f>
        <v>#NAME?</v>
      </c>
      <c r="AD529" s="2" t="e">
        <f ca="1">_xll.BDH($C$528,"MODIFIED_WORK_CAP_GROWTH","FQ1 2014","FQ1 2014","Currency=INR","Period=FQ","BEST_FPERIOD_OVERRIDE=FQ","FILING_STATUS=OR","EQY_CONSOLIDATED=Y","Sort=A","Dates=H","DateFormat=P","Fill=—","Direction=H","UseDPDF=Y")</f>
        <v>#NAME?</v>
      </c>
      <c r="AE529" s="2" t="e">
        <f ca="1">_xll.BDH($C$528,"WORK_CAP_GROWTH","FQ1 2014","FQ1 2014","Currency=INR","Period=FQ","BEST_FPERIOD_OVERRIDE=FQ","FILING_STATUS=OR","EQY_CONSOLIDATED=Y","Sort=A","Dates=H","DateFormat=P","Fill=—","Direction=H","UseDPDF=Y")</f>
        <v>#NAME?</v>
      </c>
      <c r="AF529" s="2" t="e">
        <f ca="1">_xll.BDH($C$528,"ACCOUNTS_PAYABLE_GROWTH_1YR","FQ1 2014","FQ1 2014","Currency=INR","Period=FQ","BEST_FPERIOD_OVERRIDE=FQ","FILING_STATUS=OR","EQY_CONSOLIDATED=Y","Sort=A","Dates=H","DateFormat=P","Fill=—","Direction=H","UseDPDF=Y")</f>
        <v>#NAME?</v>
      </c>
      <c r="AG529" s="2" t="e">
        <f ca="1">_xll.BDH($C$528,"SHORT_TERM_DEBT_1_YEAR_GROWTH","FQ1 2014","FQ1 2014","Currency=INR","Period=FQ","BEST_FPERIOD_OVERRIDE=FQ","FILING_STATUS=OR","EQY_CONSOLIDATED=Y","Sort=A","Dates=H","DateFormat=P","Fill=—","Direction=H","UseDPDF=Y")</f>
        <v>#NAME?</v>
      </c>
      <c r="AH529" s="2" t="e">
        <f ca="1">_xll.BDH($C$528,"TOTAL_DEBT_1_YEAR_GROWTH","FQ1 2014","FQ1 2014","Currency=INR","Period=FQ","BEST_FPERIOD_OVERRIDE=FQ","FILING_STATUS=OR","EQY_CONSOLIDATED=Y","Sort=A","Dates=H","DateFormat=P","Fill=—","Direction=H","UseDPDF=Y")</f>
        <v>#NAME?</v>
      </c>
      <c r="AI529" s="2" t="e">
        <f ca="1">_xll.BDH($C$528,"TOTAL_EQUITY_1_YEAR_GROWTH","FQ1 2014","FQ1 2014","Currency=INR","Period=FQ","BEST_FPERIOD_OVERRIDE=FQ","FILING_STATUS=OR","EQY_CONSOLIDATED=Y","Sort=A","Dates=H","DateFormat=P","Fill=—","Direction=H","UseDPDF=Y")</f>
        <v>#NAME?</v>
      </c>
      <c r="AJ529" s="2" t="e">
        <f ca="1">_xll.BDH($C$528,"GROWTH_IN_CAP","FQ1 2014","FQ1 2014","Currency=INR","Period=FQ","BEST_FPERIOD_OVERRIDE=FQ","FILING_STATUS=OR","EQY_CONSOLIDATED=Y","Sort=A","Dates=H","DateFormat=P","Fill=—","Direction=H","UseDPDF=Y")</f>
        <v>#NAME?</v>
      </c>
      <c r="AK529" s="2" t="e">
        <f ca="1">_xll.BDH($C$528,"BVPS_GROWTH","FQ1 2014","FQ1 2014","Currency=INR","Period=FQ","BEST_FPERIOD_OVERRIDE=FQ","FILING_STATUS=OR","EQY_CONSOLIDATED=Y","Sort=A","Dates=H","DateFormat=P","Fill=—","Direction=H","UseDPDF=Y")</f>
        <v>#NAME?</v>
      </c>
      <c r="AL529" s="2" t="e">
        <f ca="1">_xll.BDH($C$528,"CASH_FLOW_GROWTH","FQ1 2014","FQ1 2014","Currency=INR","Period=FQ","BEST_FPERIOD_OVERRIDE=FQ","FILING_STATUS=OR","EQY_CONSOLIDATED=Y","Sort=A","Dates=H","DateFormat=P","Fill=—","Direction=H","UseDPDF=Y")</f>
        <v>#NAME?</v>
      </c>
      <c r="AM529" s="2" t="e">
        <f ca="1">_xll.BDH($C$528,"GEO_GROW_NET_SALES","FQ1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529" s="2" t="e">
        <f ca="1">_xll.BDH($C$528,"GEO_GROW_EBITDA","FQ1 2014","FQ1 2014","Currency=INR","Period=FQ","BEST_FPERIOD_OVERRIDE=FQ","FILING_STATUS=OR","EQY_CONSOLIDATED=Y","FA_ADJUSTED=GAAP","Sort=A","Dates=H","DateFormat=P","Fill=—","Direction=H","UseDPDF=Y")</f>
        <v>#NAME?</v>
      </c>
      <c r="AO529" s="2" t="e">
        <f ca="1">_xll.BDH($C$528,"GEO_GROW_OPER_INC","FQ1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529" s="2" t="e">
        <f ca="1">_xll.BDH($C$528,"NET_INCOME_TO_COMMON_5_YR_GROWTH","FQ1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529" s="2" t="e">
        <f ca="1">_xll.BDH($C$528,"5Y_GEO_GROWTH_DILUTED_EPS","FQ1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529" s="2" t="e">
        <f ca="1">_xll.BDH($C$528,"GEO_GROW_DVD_PER_SH","FQ1 2014","FQ1 2014","Currency=INR","Period=FQ","BEST_FPERIOD_OVERRIDE=FQ","FILING_STATUS=OR","EQY_CONSOLIDATED=Y","Sort=A","Dates=H","DateFormat=P","Fill=—","Direction=H","UseDPDF=Y")</f>
        <v>#NAME?</v>
      </c>
      <c r="AS529" s="2" t="e">
        <f ca="1">_xll.BDH($C$528,"ACCOUNTS_RECEIVABLE_5_YR_GROWTH","FQ1 2014","FQ1 2014","Currency=INR","Period=FQ","BEST_FPERIOD_OVERRIDE=FQ","FILING_STATUS=OR","EQY_CONSOLIDATED=Y","Sort=A","Dates=H","DateFormat=P","Fill=—","Direction=H","UseDPDF=Y")</f>
        <v>#NAME?</v>
      </c>
      <c r="AT529" s="2" t="e">
        <f ca="1">_xll.BDH($C$528,"INVENTORY_5_YEAR_GROWTH","FQ1 2014","FQ1 2014","Currency=INR","Period=FQ","BEST_FPERIOD_OVERRIDE=FQ","FILING_STATUS=OR","EQY_CONSOLIDATED=Y","Sort=A","Dates=H","DateFormat=P","Fill=—","Direction=H","UseDPDF=Y")</f>
        <v>#NAME?</v>
      </c>
      <c r="AU529" s="2" t="e">
        <f ca="1">_xll.BDH($C$528,"NET_FIXED_ASSETS_5_YEAR_GROWTH","FQ1 2014","FQ1 2014","Currency=INR","Period=FQ","BEST_FPERIOD_OVERRIDE=FQ","FILING_STATUS=OR","EQY_CONSOLIDATED=Y","Sort=A","Dates=H","DateFormat=P","Fill=—","Direction=H","UseDPDF=Y")</f>
        <v>#NAME?</v>
      </c>
      <c r="AV529" s="2" t="e">
        <f ca="1">_xll.BDH($C$528,"GEO_GROW_TOT_ASSET","FQ1 2014","FQ1 2014","Currency=INR","Period=FQ","BEST_FPERIOD_OVERRIDE=FQ","FILING_STATUS=OR","EQY_CONSOLIDATED=Y","Sort=A","Dates=H","DateFormat=P","Fill=—","Direction=H","UseDPDF=Y")</f>
        <v>#NAME?</v>
      </c>
      <c r="AW529" s="2" t="e">
        <f ca="1">_xll.BDH($C$528,"MODIFIED_WORKING_CPTL_5YR_GRWTH","FQ1 2014","FQ1 2014","Currency=INR","Period=FQ","BEST_FPERIOD_OVERRIDE=FQ","FILING_STATUS=OR","EQY_CONSOLIDATED=Y","Sort=A","Dates=H","DateFormat=P","Fill=—","Direction=H","UseDPDF=Y")</f>
        <v>#NAME?</v>
      </c>
      <c r="AX529" s="2" t="e">
        <f ca="1">_xll.BDH($C$528,"WORKING_CAPITAL_5_YEAR_GROWTH","FQ1 2014","FQ1 2014","Currency=INR","Period=FQ","BEST_FPERIOD_OVERRIDE=FQ","FILING_STATUS=OR","EQY_CONSOLIDATED=Y","Sort=A","Dates=H","DateFormat=P","Fill=—","Direction=H","UseDPDF=Y")</f>
        <v>#NAME?</v>
      </c>
      <c r="AY529" s="2" t="e">
        <f ca="1">_xll.BDH($C$528,"ACCOUNTS_PAYABLE_5_YEAR_GROWTH","FQ1 2014","FQ1 2014","Currency=INR","Period=FQ","BEST_FPERIOD_OVERRIDE=FQ","FILING_STATUS=OR","EQY_CONSOLIDATED=Y","Sort=A","Dates=H","DateFormat=P","Fill=—","Direction=H","UseDPDF=Y")</f>
        <v>#NAME?</v>
      </c>
      <c r="AZ529" s="2" t="e">
        <f ca="1">_xll.BDH($C$528,"SHORT_TERM_DEBT_5_YEAR_GROWTH","FQ1 2014","FQ1 2014","Currency=INR","Period=FQ","BEST_FPERIOD_OVERRIDE=FQ","FILING_STATUS=OR","EQY_CONSOLIDATED=Y","Sort=A","Dates=H","DateFormat=P","Fill=—","Direction=H","UseDPDF=Y")</f>
        <v>#NAME?</v>
      </c>
      <c r="BA529" s="2" t="e">
        <f ca="1">_xll.BDH($C$528,"TOTAL_DEBT_5_YEAR_GROWTH","FQ1 2014","FQ1 2014","Currency=INR","Period=FQ","BEST_FPERIOD_OVERRIDE=FQ","FILING_STATUS=OR","EQY_CONSOLIDATED=Y","Sort=A","Dates=H","DateFormat=P","Fill=—","Direction=H","UseDPDF=Y")</f>
        <v>#NAME?</v>
      </c>
      <c r="BB529" s="2" t="e">
        <f ca="1">_xll.BDH($C$528,"GEO_GROW_TOT_SHRHLDR_EQY","FQ1 2014","FQ1 2014","Currency=INR","Period=FQ","BEST_FPERIOD_OVERRIDE=FQ","FILING_STATUS=OR","EQY_CONSOLIDATED=Y","Sort=A","Dates=H","DateFormat=P","Fill=—","Direction=H","UseDPDF=Y")</f>
        <v>#NAME?</v>
      </c>
      <c r="BC529" s="2" t="e">
        <f ca="1">_xll.BDH($C$528,"TOTAL_CAPITAL_5_YEAR_GROWTH","FQ1 2014","FQ1 2014","Currency=INR","Period=FQ","BEST_FPERIOD_OVERRIDE=FQ","FILING_STATUS=OR","EQY_CONSOLIDATED=Y","Sort=A","Dates=H","DateFormat=P","Fill=—","Direction=H","UseDPDF=Y")</f>
        <v>#NAME?</v>
      </c>
      <c r="BD529" s="2" t="e">
        <f ca="1">_xll.BDH($C$528,"GEO_GROW_BOOK_VAL","FQ1 2014","FQ1 2014","Currency=INR","Period=FQ","BEST_FPERIOD_OVERRIDE=FQ","FILING_STATUS=OR","EQY_CONSOLIDATED=Y","Sort=A","Dates=H","DateFormat=P","Fill=—","Direction=H","UseDPDF=Y")</f>
        <v>#NAME?</v>
      </c>
      <c r="BE529" s="2" t="e">
        <f ca="1">_xll.BDH($C$528,"GEO_GROW_CASH_OPER_ACT","FQ1 2014","FQ1 2014","Currency=INR","Period=FQ","BEST_FPERIOD_OVERRIDE=FQ","FILING_STATUS=OR","EQY_CONSOLIDATED=Y","Sort=A","Dates=H","DateFormat=P","Fill=—","Direction=H","UseDPDF=Y")</f>
        <v>#NAME?</v>
      </c>
      <c r="BF529" s="2" t="e">
        <f ca="1">_xll.BDH($C$528,"REVENUE_SEQUENTIAL_GROWTH","FQ1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529" s="2" t="e">
        <f ca="1">_xll.BDH($C$528,"EBITDA_SEQUENTIAL_GROWTH","FQ1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529" s="2" t="e">
        <f ca="1">_xll.BDH($C$528,"OPERATING_INCOME_SEQ_GROWTH","FQ1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529" s="2" t="e">
        <f ca="1">_xll.BDH($C$528,"NET_INCOME_TO_COMMON_SEQ_GROWTH","FQ1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529" s="2" t="e">
        <f ca="1">_xll.BDH($C$528,"EPS_DILUTED_SEQUENTIAL_GROWTH","FQ1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529" s="2" t="e">
        <f ca="1">_xll.BDH($C$528,"DPS_SEQUENTIAL_GROWTH","FQ1 2014","FQ1 2014","Currency=INR","Period=FQ","BEST_FPERIOD_OVERRIDE=FQ","FILING_STATUS=OR","EQY_CONSOLIDATED=Y","Sort=A","Dates=H","DateFormat=P","Fill=—","Direction=H","UseDPDF=Y")</f>
        <v>#NAME?</v>
      </c>
      <c r="BL529" s="2" t="e">
        <f ca="1">_xll.BDH($C$528,"ACCOUNTS_RECEIVABLE_SEQ_GROWTH","FQ1 2014","FQ1 2014","Currency=INR","Period=FQ","BEST_FPERIOD_OVERRIDE=FQ","FILING_STATUS=OR","EQY_CONSOLIDATED=Y","Sort=A","Dates=H","DateFormat=P","Fill=—","Direction=H","UseDPDF=Y")</f>
        <v>#NAME?</v>
      </c>
      <c r="BM529" s="2" t="e">
        <f ca="1">_xll.BDH($C$528,"INVENTORY_SEQUENTIAL_GROWTH","FQ1 2014","FQ1 2014","Currency=INR","Period=FQ","BEST_FPERIOD_OVERRIDE=FQ","FILING_STATUS=OR","EQY_CONSOLIDATED=Y","Sort=A","Dates=H","DateFormat=P","Fill=—","Direction=H","UseDPDF=Y")</f>
        <v>#NAME?</v>
      </c>
      <c r="BN529" s="2" t="e">
        <f ca="1">_xll.BDH($C$528,"FIXED_ASSETS_SEQUENTIAL_GROWTH","FQ1 2014","FQ1 2014","Currency=INR","Period=FQ","BEST_FPERIOD_OVERRIDE=FQ","FILING_STATUS=OR","EQY_CONSOLIDATED=Y","Sort=A","Dates=H","DateFormat=P","Fill=—","Direction=H","UseDPDF=Y")</f>
        <v>#NAME?</v>
      </c>
      <c r="BO529" s="2" t="e">
        <f ca="1">_xll.BDH($C$528,"TOTAL_ASSETS_SEQUENTIAL_GROWTH","FQ1 2014","FQ1 2014","Currency=INR","Period=FQ","BEST_FPERIOD_OVERRIDE=FQ","FILING_STATUS=OR","EQY_CONSOLIDATED=Y","Sort=A","Dates=H","DateFormat=P","Fill=—","Direction=H","UseDPDF=Y")</f>
        <v>#NAME?</v>
      </c>
      <c r="BP529" s="2" t="e">
        <f ca="1">_xll.BDH($C$528,"MODIFIED_WORKING_CPTL_SEQ_GRWTH","FQ1 2014","FQ1 2014","Currency=INR","Period=FQ","BEST_FPERIOD_OVERRIDE=FQ","FILING_STATUS=OR","EQY_CONSOLIDATED=Y","Sort=A","Dates=H","DateFormat=P","Fill=—","Direction=H","UseDPDF=Y")</f>
        <v>#NAME?</v>
      </c>
      <c r="BQ529" s="2" t="e">
        <f ca="1">_xll.BDH($C$528,"WORKING_CAPITAL_SEQ_GROWTH","FQ1 2014","FQ1 2014","Currency=INR","Period=FQ","BEST_FPERIOD_OVERRIDE=FQ","FILING_STATUS=OR","EQY_CONSOLIDATED=Y","Sort=A","Dates=H","DateFormat=P","Fill=—","Direction=H","UseDPDF=Y")</f>
        <v>#NAME?</v>
      </c>
      <c r="BR529" s="2" t="e">
        <f ca="1">_xll.BDH($C$528,"ACCOUNTS_PAYABLE_SEQ_GROWTH","FQ1 2014","FQ1 2014","Currency=INR","Period=FQ","BEST_FPERIOD_OVERRIDE=FQ","FILING_STATUS=OR","EQY_CONSOLIDATED=Y","Sort=A","Dates=H","DateFormat=P","Fill=—","Direction=H","UseDPDF=Y")</f>
        <v>#NAME?</v>
      </c>
      <c r="BS529" s="2" t="e">
        <f ca="1">_xll.BDH($C$528,"ST_DEBT_SEQUENTIAL_GROWTH","FQ1 2014","FQ1 2014","Currency=INR","Period=FQ","BEST_FPERIOD_OVERRIDE=FQ","FILING_STATUS=OR","EQY_CONSOLIDATED=Y","Sort=A","Dates=H","DateFormat=P","Fill=—","Direction=H","UseDPDF=Y")</f>
        <v>#NAME?</v>
      </c>
      <c r="BT529" s="2" t="e">
        <f ca="1">_xll.BDH($C$528,"TOTAL_DEBT_SEQUENTIAL_GROWTH","FQ1 2014","FQ1 2014","Currency=INR","Period=FQ","BEST_FPERIOD_OVERRIDE=FQ","FILING_STATUS=OR","EQY_CONSOLIDATED=Y","Sort=A","Dates=H","DateFormat=P","Fill=—","Direction=H","UseDPDF=Y")</f>
        <v>#NAME?</v>
      </c>
      <c r="BU529" s="2" t="e">
        <f ca="1">_xll.BDH($C$528,"TOTAL_EQUITY_SEQUENTIAL_GROWTH","FQ1 2014","FQ1 2014","Currency=INR","Period=FQ","BEST_FPERIOD_OVERRIDE=FQ","FILING_STATUS=OR","EQY_CONSOLIDATED=Y","Sort=A","Dates=H","DateFormat=P","Fill=—","Direction=H","UseDPDF=Y")</f>
        <v>#NAME?</v>
      </c>
      <c r="BV529" s="2" t="e">
        <f ca="1">_xll.BDH($C$528,"TOTAL_CAPITAL_SEQUENTIAL_GROWTH","FQ1 2014","FQ1 2014","Currency=INR","Period=FQ","BEST_FPERIOD_OVERRIDE=FQ","FILING_STATUS=OR","EQY_CONSOLIDATED=Y","Sort=A","Dates=H","DateFormat=P","Fill=—","Direction=H","UseDPDF=Y")</f>
        <v>#NAME?</v>
      </c>
      <c r="BW529" s="2" t="e">
        <f ca="1">_xll.BDH($C$528,"BPS_SEQUENTIAL_GROWTH","FQ1 2014","FQ1 2014","Currency=INR","Period=FQ","BEST_FPERIOD_OVERRIDE=FQ","FILING_STATUS=OR","EQY_CONSOLIDATED=Y","Sort=A","Dates=H","DateFormat=P","Fill=—","Direction=H","UseDPDF=Y")</f>
        <v>#NAME?</v>
      </c>
      <c r="BX529" s="2" t="e">
        <f ca="1">_xll.BDH($C$528,"CFO_SEQUENTIAL_GROWTH","FQ1 2014","FQ1 2014","Currency=INR","Period=FQ","BEST_FPERIOD_OVERRIDE=FQ","FILING_STATUS=OR","EQY_CONSOLIDATED=Y","Sort=A","Dates=H","DateFormat=P","Fill=—","Direction=H","UseDPDF=Y")</f>
        <v>#NAME?</v>
      </c>
      <c r="BY529" s="3" t="e">
        <f ca="1">_xll.BDH($C$528,"SHORT_AND_LONG_TERM_DEBT","FQ1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529" s="3" t="e">
        <f ca="1">_xll.BDH($C$528,"BS_ST_BORROW","FQ1 2014","FQ1 2014","Currency=INR","Period=FQ","BEST_FPERIOD_OVERRIDE=FQ","FILING_STATUS=OR","EQY_CONSOLIDATED=Y","SCALING_FORMAT=MLN","Sort=A","Dates=H","DateFormat=P","Fill=—","Direction=H","UseDPDF=Y")</f>
        <v>#NAME?</v>
      </c>
      <c r="CA529" s="3" t="e">
        <f ca="1">_xll.BDH($C$528,"BS_LT_BORROW","FQ1 2014","FQ1 2014","Currency=INR","Period=FQ","BEST_FPERIOD_OVERRIDE=FQ","FILING_STATUS=OR","EQY_CONSOLIDATED=Y","SCALING_FORMAT=MLN","Sort=A","Dates=H","DateFormat=P","Fill=—","Direction=H","UseDPDF=Y")</f>
        <v>#NAME?</v>
      </c>
      <c r="CB529" s="2" t="e">
        <f ca="1">_xll.BDH($C$528,"TOT_DEBT_TO_EBITDA","FQ1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529" s="2" t="e">
        <f ca="1">_xll.BDH($C$528,"NET_DEBT_TO_EBITDA","FQ1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529" s="2" t="e">
        <f ca="1">_xll.BDH($C$528,"TOTAL_DEBT_TO_EBIT","FQ1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529" s="2" t="e">
        <f ca="1">_xll.BDH($C$528,"NET_DEBT_TO_EBIT","FQ1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529" s="2" t="e">
        <f ca="1">_xll.BDH($C$528,"EBITDA_TO_INTEREST_EXPN","FQ1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529" s="2" t="e">
        <f ca="1">_xll.BDH($C$528,"COM_EQY_TO_TOT_ASSET","FQ1 2014","FQ1 2014","Currency=INR","Period=FQ","BEST_FPERIOD_OVERRIDE=FQ","FILING_STATUS=OR","EQY_CONSOLIDATED=Y","Sort=A","Dates=H","DateFormat=P","Fill=—","Direction=H","UseDPDF=Y")</f>
        <v>#NAME?</v>
      </c>
      <c r="CH529" s="2" t="e">
        <f ca="1">_xll.BDH($C$528,"LT_DEBT_TO_TOT_EQY","FQ1 2014","FQ1 2014","Currency=INR","Period=FQ","BEST_FPERIOD_OVERRIDE=FQ","FILING_STATUS=OR","EQY_CONSOLIDATED=Y","Sort=A","Dates=H","DateFormat=P","Fill=—","Direction=H","UseDPDF=Y")</f>
        <v>#NAME?</v>
      </c>
      <c r="CI529" s="2" t="e">
        <f ca="1">_xll.BDH($C$528,"LT_DEBT_TO_TOT_CAP","FQ1 2014","FQ1 2014","Currency=INR","Period=FQ","BEST_FPERIOD_OVERRIDE=FQ","FILING_STATUS=OR","EQY_CONSOLIDATED=Y","Sort=A","Dates=H","DateFormat=P","Fill=—","Direction=H","UseDPDF=Y")</f>
        <v>#NAME?</v>
      </c>
      <c r="CJ529" s="2" t="e">
        <f ca="1">_xll.BDH($C$528,"LT_DEBT_TO_TOT_ASSET","FQ1 2014","FQ1 2014","Currency=INR","Period=FQ","BEST_FPERIOD_OVERRIDE=FQ","FILING_STATUS=OR","EQY_CONSOLIDATED=Y","Sort=A","Dates=H","DateFormat=P","Fill=—","Direction=H","UseDPDF=Y")</f>
        <v>#NAME?</v>
      </c>
      <c r="CK529" s="2" t="e">
        <f ca="1">_xll.BDH($C$528,"TOT_DEBT_TO_TOT_EQY","FQ1 2014","FQ1 2014","Currency=INR","Period=FQ","BEST_FPERIOD_OVERRIDE=FQ","FILING_STATUS=OR","EQY_CONSOLIDATED=Y","Sort=A","Dates=H","DateFormat=P","Fill=—","Direction=H","UseDPDF=Y")</f>
        <v>#NAME?</v>
      </c>
      <c r="CL529" s="2" t="e">
        <f ca="1">_xll.BDH($C$528,"TOT_DEBT_TO_TOT_CAP","FQ1 2014","FQ1 2014","Currency=INR","Period=FQ","BEST_FPERIOD_OVERRIDE=FQ","FILING_STATUS=OR","EQY_CONSOLIDATED=Y","Sort=A","Dates=H","DateFormat=P","Fill=—","Direction=H","UseDPDF=Y")</f>
        <v>#NAME?</v>
      </c>
      <c r="CM529" s="2" t="e">
        <f ca="1">_xll.BDH($C$528,"TOT_DEBT_TO_TOT_ASSET","FQ1 2014","FQ1 2014","Currency=INR","Period=FQ","BEST_FPERIOD_OVERRIDE=FQ","FILING_STATUS=OR","EQY_CONSOLIDATED=Y","Sort=A","Dates=H","DateFormat=P","Fill=—","Direction=H","UseDPDF=Y")</f>
        <v>#NAME?</v>
      </c>
      <c r="CN529" s="2" t="e">
        <f ca="1">_xll.BDH($C$528,"NET_DEBT_TO_SHRHLDR_EQTY","FQ1 2014","FQ1 2014","Currency=INR","Period=FQ","BEST_FPERIOD_OVERRIDE=FQ","FILING_STATUS=OR","EQY_CONSOLIDATED=Y","Sort=A","Dates=H","DateFormat=P","Fill=—","Direction=H","UseDPDF=Y")</f>
        <v>#NAME?</v>
      </c>
      <c r="CO529" s="2" t="e">
        <f ca="1">_xll.BDH($C$528,"NET_DEBT_%_CAPITAL","FQ1 2014","FQ1 2014","Currency=INR","Period=FQ","BEST_FPERIOD_OVERRIDE=FQ","FILING_STATUS=OR","EQY_CONSOLIDATED=Y","Sort=A","Dates=H","DateFormat=P","Fill=—","Direction=H","UseDPDF=Y")</f>
        <v>#NAME?</v>
      </c>
      <c r="CP529" s="3" t="e">
        <f ca="1">_xll.BDH($C$528,"EBITDA","FQ1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529" s="3" t="e">
        <f ca="1">_xll.BDH($C$528,"EBITDA_AFTER_CAPEX","FQ1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529" s="3" t="e">
        <f ca="1">_xll.BDH($C$528,"IS_OPER_INC","FQ1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529" s="2" t="e">
        <f ca="1">_xll.BDH($C$528,"CASH_RATIO","FQ1 2014","FQ1 2014","Currency=INR","Period=FQ","BEST_FPERIOD_OVERRIDE=FQ","FILING_STATUS=OR","EQY_CONSOLIDATED=Y","Sort=A","Dates=H","DateFormat=P","Fill=—","Direction=H","UseDPDF=Y")</f>
        <v>#NAME?</v>
      </c>
      <c r="CT529" s="2" t="e">
        <f ca="1">_xll.BDH($C$528,"CUR_RATIO","FQ1 2014","FQ1 2014","Currency=INR","Period=FQ","BEST_FPERIOD_OVERRIDE=FQ","FILING_STATUS=OR","EQY_CONSOLIDATED=Y","Sort=A","Dates=H","DateFormat=P","Fill=—","Direction=H","UseDPDF=Y")</f>
        <v>#NAME?</v>
      </c>
      <c r="CU529" s="2" t="e">
        <f ca="1">_xll.BDH($C$528,"QUICK_RATIO","FQ1 2014","FQ1 2014","Currency=INR","Period=FQ","BEST_FPERIOD_OVERRIDE=FQ","FILING_STATUS=OR","EQY_CONSOLIDATED=Y","Sort=A","Dates=H","DateFormat=P","Fill=—","Direction=H","UseDPDF=Y")</f>
        <v>#NAME?</v>
      </c>
      <c r="CV529" s="2" t="e">
        <f ca="1">_xll.BDH($C$528,"ALTMAN_Z_SCORE","FQ1 2014","FQ1 2014","Currency=INR","Period=FQ","BEST_FPERIOD_OVERRIDE=FQ","FILING_STATUS=OR","EQY_CONSOLIDATED=Y","Sort=A","Dates=H","DateFormat=P","Fill=—","Direction=H","UseDPDF=Y")</f>
        <v>#NAME?</v>
      </c>
      <c r="CW529" s="4" t="e">
        <f ca="1">_xll.BDH($C$528,"ACCT_RCV_TURN","FQ1 2014","FQ1 2014","Currency=INR","Period=FQ","BEST_FPERIOD_OVERRIDE=FQ","FILING_STATUS=OR","EQY_CONSOLIDATED=Y","FA_ADJUSTED=GAAP","Sort=A","Dates=H","DateFormat=P","Fill=—","Direction=H","UseDPDF=Y")</f>
        <v>#NAME?</v>
      </c>
      <c r="CX529" s="2" t="e">
        <f ca="1">_xll.BDH($C$528,"ACCT_RCV_DAYS","FQ1 2014","FQ1 2014","Currency=INR","Period=FQ","BEST_FPERIOD_OVERRIDE=FQ","FILING_STATUS=OR","EQY_CONSOLIDATED=Y","FA_ADJUSTED=GAAP","Sort=A","Dates=H","DateFormat=P","Fill=—","Direction=H","UseDPDF=Y")</f>
        <v>#NAME?</v>
      </c>
      <c r="CY529" s="4" t="e">
        <f ca="1">_xll.BDH($C$528,"INVENT_TURN","FQ1 2014","FQ1 2014","Currency=INR","Period=FQ","BEST_FPERIOD_OVERRIDE=FQ","FILING_STATUS=OR","EQY_CONSOLIDATED=Y","FA_ADJUSTED=GAAP","Sort=A","Dates=H","DateFormat=P","Fill=—","Direction=H","UseDPDF=Y")</f>
        <v>#NAME?</v>
      </c>
      <c r="CZ529" s="2" t="e">
        <f ca="1">_xll.BDH($C$528,"INVENT_DAYS","FQ1 2014","FQ1 2014","Currency=INR","Period=FQ","BEST_FPERIOD_OVERRIDE=FQ","FILING_STATUS=OR","EQY_CONSOLIDATED=Y","FA_ADJUSTED=GAAP","Sort=A","Dates=H","DateFormat=P","Fill=—","Direction=H","UseDPDF=Y")</f>
        <v>#NAME?</v>
      </c>
      <c r="DA529" s="4" t="e">
        <f ca="1">_xll.BDH($C$528,"ACCOUNTS_PAYABLE_TURNOVER","FQ1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529" s="2" t="e">
        <f ca="1">_xll.BDH($C$528,"ACCOUNTS_PAYABLE_TURNOVER_DAYS","FQ1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529" s="4" t="e">
        <f ca="1">_xll.BDH($C$528,"CASH_CONVERSION_CYCLE","FQ1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529" s="4" t="e">
        <f ca="1">_xll.BDH($C$528,"INV_TO_CASH_DAYS","FQ1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529" s="5" t="e">
        <f ca="1">_xll.BDH($C$528,"BS_INVENTORIES","FQ1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529" s="3" t="e">
        <f ca="1">_xll.BDH($C$528,"INVTRY_RAW_MATERIALS","FQ1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529" s="3" t="e">
        <f ca="1">_xll.BDH($C$528,"INVTRY_IN_PROGRESS","FQ1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529" s="3" t="e">
        <f ca="1">_xll.BDH($C$528,"INVTRY_FINISHED_GOODS","FQ1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529" s="3" t="e">
        <f ca="1">_xll.BDH($C$528,"BS_OTHER_INV","FQ1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30" spans="1:113" x14ac:dyDescent="0.3">
      <c r="A530" s="6"/>
      <c r="B530" s="6"/>
      <c r="C530" s="6"/>
      <c r="D530" s="6"/>
      <c r="E530" t="s">
        <v>79</v>
      </c>
      <c r="F530" t="e">
        <f ca="1">_xll.BDH($C$528,"RETURN_COM_EQY","FQ2 2014","FQ2 2014","Currency=INR","Period=FQ","BEST_FPERIOD_OVERRIDE=FQ","FILING_STATUS=OR","EQY_CONSOLIDATED=Y","FA_ADJUSTED=GAAP","Sort=A","Dates=H","DateFormat=P","Fill=—","Direction=H","UseDPDF=Y")</f>
        <v>#NAME?</v>
      </c>
      <c r="G530" t="e">
        <f ca="1">_xll.BDH($C$528,"RETURN_ON_ASSET","FQ2 2014","FQ2 2014","Currency=INR","Period=FQ","BEST_FPERIOD_OVERRIDE=FQ","FILING_STATUS=OR","EQY_CONSOLIDATED=Y","FA_ADJUSTED=GAAP","Sort=A","Dates=H","DateFormat=P","Fill=—","Direction=H","UseDPDF=Y")</f>
        <v>#NAME?</v>
      </c>
      <c r="H530" t="e">
        <f ca="1">_xll.BDH($C$528,"RETURN_ON_CAP","FQ2 2014","FQ2 2014","Currency=INR","Period=FQ","BEST_FPERIOD_OVERRIDE=FQ","FILING_STATUS=OR","EQY_CONSOLIDATED=Y","FA_ADJUSTED=GAAP","Sort=A","Dates=H","DateFormat=P","Fill=—","Direction=H","UseDPDF=Y")</f>
        <v>#NAME?</v>
      </c>
      <c r="I530" t="e">
        <f ca="1">_xll.BDH($C$528,"RETURN_ON_INV_CAPITAL","FQ2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30" t="e">
        <f ca="1">_xll.BDH($C$528,"EBITDA_TO_REVENUE","FQ2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530" t="e">
        <f ca="1">_xll.BDH($C$528,"OPER_MARGIN","FQ2 2014","FQ2 2014","Currency=INR","Period=FQ","BEST_FPERIOD_OVERRIDE=FQ","FILING_STATUS=OR","EQY_CONSOLIDATED=Y","FA_ADJUSTED=GAAP","Sort=A","Dates=H","DateFormat=P","Fill=—","Direction=H","UseDPDF=Y")</f>
        <v>#NAME?</v>
      </c>
      <c r="L530" t="e">
        <f ca="1">_xll.BDH($C$528,"INCREMENTAL_OPERATING_MARGIN","FQ2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30" t="e">
        <f ca="1">_xll.BDH($C$528,"PRETAX_INC_TO_NET_SALES","FQ2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30" t="e">
        <f ca="1">_xll.BDH($C$528,"INC_BEF_XO_ITEMS_TO_NET_SALES","FQ2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30" t="e">
        <f ca="1">_xll.BDH($C$528,"PROF_MARGIN","FQ2 2014","FQ2 2014","Currency=INR","Period=FQ","BEST_FPERIOD_OVERRIDE=FQ","FILING_STATUS=OR","EQY_CONSOLIDATED=Y","FA_ADJUSTED=GAAP","Sort=A","Dates=H","DateFormat=P","Fill=—","Direction=H","UseDPDF=Y")</f>
        <v>#NAME?</v>
      </c>
      <c r="P530" t="e">
        <f ca="1">_xll.BDH($C$528,"NET_INCOME_TO_COMMON_MARGIN","FQ2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30" t="e">
        <f ca="1">_xll.BDH($C$528,"EFF_TAX_RATE","FQ2 2014","FQ2 2014","Currency=INR","Period=FQ","BEST_FPERIOD_OVERRIDE=FQ","FILING_STATUS=OR","EQY_CONSOLIDATED=Y","FA_ADJUSTED=GAAP","Sort=A","Dates=H","DateFormat=P","Fill=—","Direction=H","UseDPDF=Y")</f>
        <v>#NAME?</v>
      </c>
      <c r="R530" t="e">
        <f ca="1">_xll.BDH($C$528,"DVD_PAYOUT_RATIO","FQ2 2014","FQ2 2014","Currency=INR","Period=FQ","BEST_FPERIOD_OVERRIDE=FQ","FILING_STATUS=OR","EQY_CONSOLIDATED=Y","FA_ADJUSTED=GAAP","Sort=A","Dates=H","DateFormat=P","Fill=—","Direction=H","UseDPDF=Y")</f>
        <v>#NAME?</v>
      </c>
      <c r="S530" t="e">
        <f ca="1">_xll.BDH($C$528,"SUSTAIN_GROWTH_RT","FQ2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530" s="2" t="e">
        <f ca="1">_xll.BDH($C$528,"SALES_GROWTH","FQ2 2014","FQ2 2014","Currency=INR","Period=FQ","BEST_FPERIOD_OVERRIDE=FQ","FILING_STATUS=OR","EQY_CONSOLIDATED=Y","FA_ADJUSTED=GAAP","Sort=A","Dates=H","DateFormat=P","Fill=—","Direction=H","UseDPDF=Y")</f>
        <v>#NAME?</v>
      </c>
      <c r="U530" s="2" t="e">
        <f ca="1">_xll.BDH($C$528,"EBITDA_GROWTH","FQ2 2014","FQ2 2014","Currency=INR","Period=FQ","BEST_FPERIOD_OVERRIDE=FQ","FILING_STATUS=OR","EQY_CONSOLIDATED=Y","FA_ADJUSTED=GAAP","Sort=A","Dates=H","DateFormat=P","Fill=—","Direction=H","UseDPDF=Y")</f>
        <v>#NAME?</v>
      </c>
      <c r="V530" s="2" t="e">
        <f ca="1">_xll.BDH($C$528,"OPER_INC_GROWTH","FQ2 2014","FQ2 2014","Currency=INR","Period=FQ","BEST_FPERIOD_OVERRIDE=FQ","FILING_STATUS=OR","EQY_CONSOLIDATED=Y","FA_ADJUSTED=GAAP","Sort=A","Dates=H","DateFormat=P","Fill=—","Direction=H","UseDPDF=Y")</f>
        <v>#NAME?</v>
      </c>
      <c r="W530" s="2" t="e">
        <f ca="1">_xll.BDH($C$528,"EARN_FOR_COM_GROWTH","FQ2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30" s="2" t="e">
        <f ca="1">_xll.BDH($C$528,"DILUTED_EPS_AFT_XO_ITEMS_GROWTH","FQ2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30" s="2" t="e">
        <f ca="1">_xll.BDH($C$528,"DIVIDEND_PER_SHARE_1_YEAR_GROWTH","FQ2 2014","FQ2 2014","Currency=INR","Period=FQ","BEST_FPERIOD_OVERRIDE=FQ","FILING_STATUS=OR","EQY_CONSOLIDATED=Y","Sort=A","Dates=H","DateFormat=P","Fill=—","Direction=H","UseDPDF=Y")</f>
        <v>#NAME?</v>
      </c>
      <c r="Z530" s="2" t="e">
        <f ca="1">_xll.BDH($C$528,"ACCOUNTS_RECEIVABLE_GROWTH","FQ2 2014","FQ2 2014","Currency=INR","Period=FQ","BEST_FPERIOD_OVERRIDE=FQ","FILING_STATUS=OR","EQY_CONSOLIDATED=Y","Sort=A","Dates=H","DateFormat=P","Fill=—","Direction=H","UseDPDF=Y")</f>
        <v>#NAME?</v>
      </c>
      <c r="AA530" s="2" t="e">
        <f ca="1">_xll.BDH($C$528,"INVENTORY_GROWTH","FQ2 2014","FQ2 2014","Currency=INR","Period=FQ","BEST_FPERIOD_OVERRIDE=FQ","FILING_STATUS=OR","EQY_CONSOLIDATED=Y","Sort=A","Dates=H","DateFormat=P","Fill=—","Direction=H","UseDPDF=Y")</f>
        <v>#NAME?</v>
      </c>
      <c r="AB530" s="2" t="e">
        <f ca="1">_xll.BDH($C$528,"NET_FIXED_ASSETS_1_YEAR_GROWTH","FQ2 2014","FQ2 2014","Currency=INR","Period=FQ","BEST_FPERIOD_OVERRIDE=FQ","FILING_STATUS=OR","EQY_CONSOLIDATED=Y","Sort=A","Dates=H","DateFormat=P","Fill=—","Direction=H","UseDPDF=Y")</f>
        <v>#NAME?</v>
      </c>
      <c r="AC530" s="2" t="e">
        <f ca="1">_xll.BDH($C$528,"ASSET_GROWTH","FQ2 2014","FQ2 2014","Currency=INR","Period=FQ","BEST_FPERIOD_OVERRIDE=FQ","FILING_STATUS=OR","EQY_CONSOLIDATED=Y","Sort=A","Dates=H","DateFormat=P","Fill=—","Direction=H","UseDPDF=Y")</f>
        <v>#NAME?</v>
      </c>
      <c r="AD530" s="2" t="e">
        <f ca="1">_xll.BDH($C$528,"MODIFIED_WORK_CAP_GROWTH","FQ2 2014","FQ2 2014","Currency=INR","Period=FQ","BEST_FPERIOD_OVERRIDE=FQ","FILING_STATUS=OR","EQY_CONSOLIDATED=Y","Sort=A","Dates=H","DateFormat=P","Fill=—","Direction=H","UseDPDF=Y")</f>
        <v>#NAME?</v>
      </c>
      <c r="AE530" s="2" t="e">
        <f ca="1">_xll.BDH($C$528,"WORK_CAP_GROWTH","FQ2 2014","FQ2 2014","Currency=INR","Period=FQ","BEST_FPERIOD_OVERRIDE=FQ","FILING_STATUS=OR","EQY_CONSOLIDATED=Y","Sort=A","Dates=H","DateFormat=P","Fill=—","Direction=H","UseDPDF=Y")</f>
        <v>#NAME?</v>
      </c>
      <c r="AF530" s="2" t="e">
        <f ca="1">_xll.BDH($C$528,"ACCOUNTS_PAYABLE_GROWTH_1YR","FQ2 2014","FQ2 2014","Currency=INR","Period=FQ","BEST_FPERIOD_OVERRIDE=FQ","FILING_STATUS=OR","EQY_CONSOLIDATED=Y","Sort=A","Dates=H","DateFormat=P","Fill=—","Direction=H","UseDPDF=Y")</f>
        <v>#NAME?</v>
      </c>
      <c r="AG530" s="2" t="e">
        <f ca="1">_xll.BDH($C$528,"SHORT_TERM_DEBT_1_YEAR_GROWTH","FQ2 2014","FQ2 2014","Currency=INR","Period=FQ","BEST_FPERIOD_OVERRIDE=FQ","FILING_STATUS=OR","EQY_CONSOLIDATED=Y","Sort=A","Dates=H","DateFormat=P","Fill=—","Direction=H","UseDPDF=Y")</f>
        <v>#NAME?</v>
      </c>
      <c r="AH530" s="2" t="e">
        <f ca="1">_xll.BDH($C$528,"TOTAL_DEBT_1_YEAR_GROWTH","FQ2 2014","FQ2 2014","Currency=INR","Period=FQ","BEST_FPERIOD_OVERRIDE=FQ","FILING_STATUS=OR","EQY_CONSOLIDATED=Y","Sort=A","Dates=H","DateFormat=P","Fill=—","Direction=H","UseDPDF=Y")</f>
        <v>#NAME?</v>
      </c>
      <c r="AI530" s="2" t="e">
        <f ca="1">_xll.BDH($C$528,"TOTAL_EQUITY_1_YEAR_GROWTH","FQ2 2014","FQ2 2014","Currency=INR","Period=FQ","BEST_FPERIOD_OVERRIDE=FQ","FILING_STATUS=OR","EQY_CONSOLIDATED=Y","Sort=A","Dates=H","DateFormat=P","Fill=—","Direction=H","UseDPDF=Y")</f>
        <v>#NAME?</v>
      </c>
      <c r="AJ530" s="2" t="e">
        <f ca="1">_xll.BDH($C$528,"GROWTH_IN_CAP","FQ2 2014","FQ2 2014","Currency=INR","Period=FQ","BEST_FPERIOD_OVERRIDE=FQ","FILING_STATUS=OR","EQY_CONSOLIDATED=Y","Sort=A","Dates=H","DateFormat=P","Fill=—","Direction=H","UseDPDF=Y")</f>
        <v>#NAME?</v>
      </c>
      <c r="AK530" s="2" t="e">
        <f ca="1">_xll.BDH($C$528,"BVPS_GROWTH","FQ2 2014","FQ2 2014","Currency=INR","Period=FQ","BEST_FPERIOD_OVERRIDE=FQ","FILING_STATUS=OR","EQY_CONSOLIDATED=Y","Sort=A","Dates=H","DateFormat=P","Fill=—","Direction=H","UseDPDF=Y")</f>
        <v>#NAME?</v>
      </c>
      <c r="AL530" s="2" t="e">
        <f ca="1">_xll.BDH($C$528,"CASH_FLOW_GROWTH","FQ2 2014","FQ2 2014","Currency=INR","Period=FQ","BEST_FPERIOD_OVERRIDE=FQ","FILING_STATUS=OR","EQY_CONSOLIDATED=Y","Sort=A","Dates=H","DateFormat=P","Fill=—","Direction=H","UseDPDF=Y")</f>
        <v>#NAME?</v>
      </c>
      <c r="AM530" s="2" t="e">
        <f ca="1">_xll.BDH($C$528,"GEO_GROW_NET_SALES","FQ2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30" s="2" t="e">
        <f ca="1">_xll.BDH($C$528,"GEO_GROW_EBITDA","FQ2 2014","FQ2 2014","Currency=INR","Period=FQ","BEST_FPERIOD_OVERRIDE=FQ","FILING_STATUS=OR","EQY_CONSOLIDATED=Y","FA_ADJUSTED=GAAP","Sort=A","Dates=H","DateFormat=P","Fill=—","Direction=H","UseDPDF=Y")</f>
        <v>#NAME?</v>
      </c>
      <c r="AO530" s="2" t="e">
        <f ca="1">_xll.BDH($C$528,"GEO_GROW_OPER_INC","FQ2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30" s="2" t="e">
        <f ca="1">_xll.BDH($C$528,"NET_INCOME_TO_COMMON_5_YR_GROWTH","FQ2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30" s="2" t="e">
        <f ca="1">_xll.BDH($C$528,"5Y_GEO_GROWTH_DILUTED_EPS","FQ2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30" s="2" t="e">
        <f ca="1">_xll.BDH($C$528,"GEO_GROW_DVD_PER_SH","FQ2 2014","FQ2 2014","Currency=INR","Period=FQ","BEST_FPERIOD_OVERRIDE=FQ","FILING_STATUS=OR","EQY_CONSOLIDATED=Y","Sort=A","Dates=H","DateFormat=P","Fill=—","Direction=H","UseDPDF=Y")</f>
        <v>#NAME?</v>
      </c>
      <c r="AS530" s="2" t="e">
        <f ca="1">_xll.BDH($C$528,"ACCOUNTS_RECEIVABLE_5_YR_GROWTH","FQ2 2014","FQ2 2014","Currency=INR","Period=FQ","BEST_FPERIOD_OVERRIDE=FQ","FILING_STATUS=OR","EQY_CONSOLIDATED=Y","Sort=A","Dates=H","DateFormat=P","Fill=—","Direction=H","UseDPDF=Y")</f>
        <v>#NAME?</v>
      </c>
      <c r="AT530" s="2" t="e">
        <f ca="1">_xll.BDH($C$528,"INVENTORY_5_YEAR_GROWTH","FQ2 2014","FQ2 2014","Currency=INR","Period=FQ","BEST_FPERIOD_OVERRIDE=FQ","FILING_STATUS=OR","EQY_CONSOLIDATED=Y","Sort=A","Dates=H","DateFormat=P","Fill=—","Direction=H","UseDPDF=Y")</f>
        <v>#NAME?</v>
      </c>
      <c r="AU530" s="2" t="e">
        <f ca="1">_xll.BDH($C$528,"NET_FIXED_ASSETS_5_YEAR_GROWTH","FQ2 2014","FQ2 2014","Currency=INR","Period=FQ","BEST_FPERIOD_OVERRIDE=FQ","FILING_STATUS=OR","EQY_CONSOLIDATED=Y","Sort=A","Dates=H","DateFormat=P","Fill=—","Direction=H","UseDPDF=Y")</f>
        <v>#NAME?</v>
      </c>
      <c r="AV530" s="2" t="e">
        <f ca="1">_xll.BDH($C$528,"GEO_GROW_TOT_ASSET","FQ2 2014","FQ2 2014","Currency=INR","Period=FQ","BEST_FPERIOD_OVERRIDE=FQ","FILING_STATUS=OR","EQY_CONSOLIDATED=Y","Sort=A","Dates=H","DateFormat=P","Fill=—","Direction=H","UseDPDF=Y")</f>
        <v>#NAME?</v>
      </c>
      <c r="AW530" s="2" t="e">
        <f ca="1">_xll.BDH($C$528,"MODIFIED_WORKING_CPTL_5YR_GRWTH","FQ2 2014","FQ2 2014","Currency=INR","Period=FQ","BEST_FPERIOD_OVERRIDE=FQ","FILING_STATUS=OR","EQY_CONSOLIDATED=Y","Sort=A","Dates=H","DateFormat=P","Fill=—","Direction=H","UseDPDF=Y")</f>
        <v>#NAME?</v>
      </c>
      <c r="AX530" s="2" t="e">
        <f ca="1">_xll.BDH($C$528,"WORKING_CAPITAL_5_YEAR_GROWTH","FQ2 2014","FQ2 2014","Currency=INR","Period=FQ","BEST_FPERIOD_OVERRIDE=FQ","FILING_STATUS=OR","EQY_CONSOLIDATED=Y","Sort=A","Dates=H","DateFormat=P","Fill=—","Direction=H","UseDPDF=Y")</f>
        <v>#NAME?</v>
      </c>
      <c r="AY530" s="2" t="e">
        <f ca="1">_xll.BDH($C$528,"ACCOUNTS_PAYABLE_5_YEAR_GROWTH","FQ2 2014","FQ2 2014","Currency=INR","Period=FQ","BEST_FPERIOD_OVERRIDE=FQ","FILING_STATUS=OR","EQY_CONSOLIDATED=Y","Sort=A","Dates=H","DateFormat=P","Fill=—","Direction=H","UseDPDF=Y")</f>
        <v>#NAME?</v>
      </c>
      <c r="AZ530" s="2" t="e">
        <f ca="1">_xll.BDH($C$528,"SHORT_TERM_DEBT_5_YEAR_GROWTH","FQ2 2014","FQ2 2014","Currency=INR","Period=FQ","BEST_FPERIOD_OVERRIDE=FQ","FILING_STATUS=OR","EQY_CONSOLIDATED=Y","Sort=A","Dates=H","DateFormat=P","Fill=—","Direction=H","UseDPDF=Y")</f>
        <v>#NAME?</v>
      </c>
      <c r="BA530" s="2" t="e">
        <f ca="1">_xll.BDH($C$528,"TOTAL_DEBT_5_YEAR_GROWTH","FQ2 2014","FQ2 2014","Currency=INR","Period=FQ","BEST_FPERIOD_OVERRIDE=FQ","FILING_STATUS=OR","EQY_CONSOLIDATED=Y","Sort=A","Dates=H","DateFormat=P","Fill=—","Direction=H","UseDPDF=Y")</f>
        <v>#NAME?</v>
      </c>
      <c r="BB530" s="2" t="e">
        <f ca="1">_xll.BDH($C$528,"GEO_GROW_TOT_SHRHLDR_EQY","FQ2 2014","FQ2 2014","Currency=INR","Period=FQ","BEST_FPERIOD_OVERRIDE=FQ","FILING_STATUS=OR","EQY_CONSOLIDATED=Y","Sort=A","Dates=H","DateFormat=P","Fill=—","Direction=H","UseDPDF=Y")</f>
        <v>#NAME?</v>
      </c>
      <c r="BC530" s="2" t="e">
        <f ca="1">_xll.BDH($C$528,"TOTAL_CAPITAL_5_YEAR_GROWTH","FQ2 2014","FQ2 2014","Currency=INR","Period=FQ","BEST_FPERIOD_OVERRIDE=FQ","FILING_STATUS=OR","EQY_CONSOLIDATED=Y","Sort=A","Dates=H","DateFormat=P","Fill=—","Direction=H","UseDPDF=Y")</f>
        <v>#NAME?</v>
      </c>
      <c r="BD530" s="2" t="e">
        <f ca="1">_xll.BDH($C$528,"GEO_GROW_BOOK_VAL","FQ2 2014","FQ2 2014","Currency=INR","Period=FQ","BEST_FPERIOD_OVERRIDE=FQ","FILING_STATUS=OR","EQY_CONSOLIDATED=Y","Sort=A","Dates=H","DateFormat=P","Fill=—","Direction=H","UseDPDF=Y")</f>
        <v>#NAME?</v>
      </c>
      <c r="BE530" s="2" t="e">
        <f ca="1">_xll.BDH($C$528,"GEO_GROW_CASH_OPER_ACT","FQ2 2014","FQ2 2014","Currency=INR","Period=FQ","BEST_FPERIOD_OVERRIDE=FQ","FILING_STATUS=OR","EQY_CONSOLIDATED=Y","Sort=A","Dates=H","DateFormat=P","Fill=—","Direction=H","UseDPDF=Y")</f>
        <v>#NAME?</v>
      </c>
      <c r="BF530" s="2" t="e">
        <f ca="1">_xll.BDH($C$528,"REVENUE_SEQUENTIAL_GROWTH","FQ2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30" s="2" t="e">
        <f ca="1">_xll.BDH($C$528,"EBITDA_SEQUENTIAL_GROWTH","FQ2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30" s="2" t="e">
        <f ca="1">_xll.BDH($C$528,"OPERATING_INCOME_SEQ_GROWTH","FQ2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30" s="2" t="e">
        <f ca="1">_xll.BDH($C$528,"NET_INCOME_TO_COMMON_SEQ_GROWTH","FQ2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30" s="2" t="e">
        <f ca="1">_xll.BDH($C$528,"EPS_DILUTED_SEQUENTIAL_GROWTH","FQ2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30" s="2" t="e">
        <f ca="1">_xll.BDH($C$528,"DPS_SEQUENTIAL_GROWTH","FQ2 2014","FQ2 2014","Currency=INR","Period=FQ","BEST_FPERIOD_OVERRIDE=FQ","FILING_STATUS=OR","EQY_CONSOLIDATED=Y","Sort=A","Dates=H","DateFormat=P","Fill=—","Direction=H","UseDPDF=Y")</f>
        <v>#NAME?</v>
      </c>
      <c r="BL530" s="2" t="e">
        <f ca="1">_xll.BDH($C$528,"ACCOUNTS_RECEIVABLE_SEQ_GROWTH","FQ2 2014","FQ2 2014","Currency=INR","Period=FQ","BEST_FPERIOD_OVERRIDE=FQ","FILING_STATUS=OR","EQY_CONSOLIDATED=Y","Sort=A","Dates=H","DateFormat=P","Fill=—","Direction=H","UseDPDF=Y")</f>
        <v>#NAME?</v>
      </c>
      <c r="BM530" s="2" t="e">
        <f ca="1">_xll.BDH($C$528,"INVENTORY_SEQUENTIAL_GROWTH","FQ2 2014","FQ2 2014","Currency=INR","Period=FQ","BEST_FPERIOD_OVERRIDE=FQ","FILING_STATUS=OR","EQY_CONSOLIDATED=Y","Sort=A","Dates=H","DateFormat=P","Fill=—","Direction=H","UseDPDF=Y")</f>
        <v>#NAME?</v>
      </c>
      <c r="BN530" s="2" t="e">
        <f ca="1">_xll.BDH($C$528,"FIXED_ASSETS_SEQUENTIAL_GROWTH","FQ2 2014","FQ2 2014","Currency=INR","Period=FQ","BEST_FPERIOD_OVERRIDE=FQ","FILING_STATUS=OR","EQY_CONSOLIDATED=Y","Sort=A","Dates=H","DateFormat=P","Fill=—","Direction=H","UseDPDF=Y")</f>
        <v>#NAME?</v>
      </c>
      <c r="BO530" s="2" t="e">
        <f ca="1">_xll.BDH($C$528,"TOTAL_ASSETS_SEQUENTIAL_GROWTH","FQ2 2014","FQ2 2014","Currency=INR","Period=FQ","BEST_FPERIOD_OVERRIDE=FQ","FILING_STATUS=OR","EQY_CONSOLIDATED=Y","Sort=A","Dates=H","DateFormat=P","Fill=—","Direction=H","UseDPDF=Y")</f>
        <v>#NAME?</v>
      </c>
      <c r="BP530" s="2" t="e">
        <f ca="1">_xll.BDH($C$528,"MODIFIED_WORKING_CPTL_SEQ_GRWTH","FQ2 2014","FQ2 2014","Currency=INR","Period=FQ","BEST_FPERIOD_OVERRIDE=FQ","FILING_STATUS=OR","EQY_CONSOLIDATED=Y","Sort=A","Dates=H","DateFormat=P","Fill=—","Direction=H","UseDPDF=Y")</f>
        <v>#NAME?</v>
      </c>
      <c r="BQ530" s="2" t="e">
        <f ca="1">_xll.BDH($C$528,"WORKING_CAPITAL_SEQ_GROWTH","FQ2 2014","FQ2 2014","Currency=INR","Period=FQ","BEST_FPERIOD_OVERRIDE=FQ","FILING_STATUS=OR","EQY_CONSOLIDATED=Y","Sort=A","Dates=H","DateFormat=P","Fill=—","Direction=H","UseDPDF=Y")</f>
        <v>#NAME?</v>
      </c>
      <c r="BR530" s="2" t="e">
        <f ca="1">_xll.BDH($C$528,"ACCOUNTS_PAYABLE_SEQ_GROWTH","FQ2 2014","FQ2 2014","Currency=INR","Period=FQ","BEST_FPERIOD_OVERRIDE=FQ","FILING_STATUS=OR","EQY_CONSOLIDATED=Y","Sort=A","Dates=H","DateFormat=P","Fill=—","Direction=H","UseDPDF=Y")</f>
        <v>#NAME?</v>
      </c>
      <c r="BS530" s="2" t="e">
        <f ca="1">_xll.BDH($C$528,"ST_DEBT_SEQUENTIAL_GROWTH","FQ2 2014","FQ2 2014","Currency=INR","Period=FQ","BEST_FPERIOD_OVERRIDE=FQ","FILING_STATUS=OR","EQY_CONSOLIDATED=Y","Sort=A","Dates=H","DateFormat=P","Fill=—","Direction=H","UseDPDF=Y")</f>
        <v>#NAME?</v>
      </c>
      <c r="BT530" s="2" t="e">
        <f ca="1">_xll.BDH($C$528,"TOTAL_DEBT_SEQUENTIAL_GROWTH","FQ2 2014","FQ2 2014","Currency=INR","Period=FQ","BEST_FPERIOD_OVERRIDE=FQ","FILING_STATUS=OR","EQY_CONSOLIDATED=Y","Sort=A","Dates=H","DateFormat=P","Fill=—","Direction=H","UseDPDF=Y")</f>
        <v>#NAME?</v>
      </c>
      <c r="BU530" s="2" t="e">
        <f ca="1">_xll.BDH($C$528,"TOTAL_EQUITY_SEQUENTIAL_GROWTH","FQ2 2014","FQ2 2014","Currency=INR","Period=FQ","BEST_FPERIOD_OVERRIDE=FQ","FILING_STATUS=OR","EQY_CONSOLIDATED=Y","Sort=A","Dates=H","DateFormat=P","Fill=—","Direction=H","UseDPDF=Y")</f>
        <v>#NAME?</v>
      </c>
      <c r="BV530" s="2" t="e">
        <f ca="1">_xll.BDH($C$528,"TOTAL_CAPITAL_SEQUENTIAL_GROWTH","FQ2 2014","FQ2 2014","Currency=INR","Period=FQ","BEST_FPERIOD_OVERRIDE=FQ","FILING_STATUS=OR","EQY_CONSOLIDATED=Y","Sort=A","Dates=H","DateFormat=P","Fill=—","Direction=H","UseDPDF=Y")</f>
        <v>#NAME?</v>
      </c>
      <c r="BW530" s="2" t="e">
        <f ca="1">_xll.BDH($C$528,"BPS_SEQUENTIAL_GROWTH","FQ2 2014","FQ2 2014","Currency=INR","Period=FQ","BEST_FPERIOD_OVERRIDE=FQ","FILING_STATUS=OR","EQY_CONSOLIDATED=Y","Sort=A","Dates=H","DateFormat=P","Fill=—","Direction=H","UseDPDF=Y")</f>
        <v>#NAME?</v>
      </c>
      <c r="BX530" s="2" t="e">
        <f ca="1">_xll.BDH($C$528,"CFO_SEQUENTIAL_GROWTH","FQ2 2014","FQ2 2014","Currency=INR","Period=FQ","BEST_FPERIOD_OVERRIDE=FQ","FILING_STATUS=OR","EQY_CONSOLIDATED=Y","Sort=A","Dates=H","DateFormat=P","Fill=—","Direction=H","UseDPDF=Y")</f>
        <v>#NAME?</v>
      </c>
      <c r="BY530" s="3" t="e">
        <f ca="1">_xll.BDH($C$528,"SHORT_AND_LONG_TERM_DEBT","FQ2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30" s="3" t="e">
        <f ca="1">_xll.BDH($C$528,"BS_ST_BORROW","FQ2 2014","FQ2 2014","Currency=INR","Period=FQ","BEST_FPERIOD_OVERRIDE=FQ","FILING_STATUS=OR","EQY_CONSOLIDATED=Y","SCALING_FORMAT=MLN","Sort=A","Dates=H","DateFormat=P","Fill=—","Direction=H","UseDPDF=Y")</f>
        <v>#NAME?</v>
      </c>
      <c r="CA530" s="3" t="e">
        <f ca="1">_xll.BDH($C$528,"BS_LT_BORROW","FQ2 2014","FQ2 2014","Currency=INR","Period=FQ","BEST_FPERIOD_OVERRIDE=FQ","FILING_STATUS=OR","EQY_CONSOLIDATED=Y","SCALING_FORMAT=MLN","Sort=A","Dates=H","DateFormat=P","Fill=—","Direction=H","UseDPDF=Y")</f>
        <v>#NAME?</v>
      </c>
      <c r="CB530" s="2" t="e">
        <f ca="1">_xll.BDH($C$528,"TOT_DEBT_TO_EBITDA","FQ2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30" s="2" t="e">
        <f ca="1">_xll.BDH($C$528,"NET_DEBT_TO_EBITDA","FQ2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30" s="2" t="e">
        <f ca="1">_xll.BDH($C$528,"TOTAL_DEBT_TO_EBIT","FQ2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30" s="2" t="e">
        <f ca="1">_xll.BDH($C$528,"NET_DEBT_TO_EBIT","FQ2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530" s="2" t="e">
        <f ca="1">_xll.BDH($C$528,"EBITDA_TO_INTEREST_EXPN","FQ2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30" s="2" t="e">
        <f ca="1">_xll.BDH($C$528,"COM_EQY_TO_TOT_ASSET","FQ2 2014","FQ2 2014","Currency=INR","Period=FQ","BEST_FPERIOD_OVERRIDE=FQ","FILING_STATUS=OR","EQY_CONSOLIDATED=Y","Sort=A","Dates=H","DateFormat=P","Fill=—","Direction=H","UseDPDF=Y")</f>
        <v>#NAME?</v>
      </c>
      <c r="CH530" s="2" t="e">
        <f ca="1">_xll.BDH($C$528,"LT_DEBT_TO_TOT_EQY","FQ2 2014","FQ2 2014","Currency=INR","Period=FQ","BEST_FPERIOD_OVERRIDE=FQ","FILING_STATUS=OR","EQY_CONSOLIDATED=Y","Sort=A","Dates=H","DateFormat=P","Fill=—","Direction=H","UseDPDF=Y")</f>
        <v>#NAME?</v>
      </c>
      <c r="CI530" s="2" t="e">
        <f ca="1">_xll.BDH($C$528,"LT_DEBT_TO_TOT_CAP","FQ2 2014","FQ2 2014","Currency=INR","Period=FQ","BEST_FPERIOD_OVERRIDE=FQ","FILING_STATUS=OR","EQY_CONSOLIDATED=Y","Sort=A","Dates=H","DateFormat=P","Fill=—","Direction=H","UseDPDF=Y")</f>
        <v>#NAME?</v>
      </c>
      <c r="CJ530" s="2" t="e">
        <f ca="1">_xll.BDH($C$528,"LT_DEBT_TO_TOT_ASSET","FQ2 2014","FQ2 2014","Currency=INR","Period=FQ","BEST_FPERIOD_OVERRIDE=FQ","FILING_STATUS=OR","EQY_CONSOLIDATED=Y","Sort=A","Dates=H","DateFormat=P","Fill=—","Direction=H","UseDPDF=Y")</f>
        <v>#NAME?</v>
      </c>
      <c r="CK530" s="2" t="e">
        <f ca="1">_xll.BDH($C$528,"TOT_DEBT_TO_TOT_EQY","FQ2 2014","FQ2 2014","Currency=INR","Period=FQ","BEST_FPERIOD_OVERRIDE=FQ","FILING_STATUS=OR","EQY_CONSOLIDATED=Y","Sort=A","Dates=H","DateFormat=P","Fill=—","Direction=H","UseDPDF=Y")</f>
        <v>#NAME?</v>
      </c>
      <c r="CL530" s="2" t="e">
        <f ca="1">_xll.BDH($C$528,"TOT_DEBT_TO_TOT_CAP","FQ2 2014","FQ2 2014","Currency=INR","Period=FQ","BEST_FPERIOD_OVERRIDE=FQ","FILING_STATUS=OR","EQY_CONSOLIDATED=Y","Sort=A","Dates=H","DateFormat=P","Fill=—","Direction=H","UseDPDF=Y")</f>
        <v>#NAME?</v>
      </c>
      <c r="CM530" s="2" t="e">
        <f ca="1">_xll.BDH($C$528,"TOT_DEBT_TO_TOT_ASSET","FQ2 2014","FQ2 2014","Currency=INR","Period=FQ","BEST_FPERIOD_OVERRIDE=FQ","FILING_STATUS=OR","EQY_CONSOLIDATED=Y","Sort=A","Dates=H","DateFormat=P","Fill=—","Direction=H","UseDPDF=Y")</f>
        <v>#NAME?</v>
      </c>
      <c r="CN530" s="2" t="e">
        <f ca="1">_xll.BDH($C$528,"NET_DEBT_TO_SHRHLDR_EQTY","FQ2 2014","FQ2 2014","Currency=INR","Period=FQ","BEST_FPERIOD_OVERRIDE=FQ","FILING_STATUS=OR","EQY_CONSOLIDATED=Y","Sort=A","Dates=H","DateFormat=P","Fill=—","Direction=H","UseDPDF=Y")</f>
        <v>#NAME?</v>
      </c>
      <c r="CO530" s="2" t="e">
        <f ca="1">_xll.BDH($C$528,"NET_DEBT_%_CAPITAL","FQ2 2014","FQ2 2014","Currency=INR","Period=FQ","BEST_FPERIOD_OVERRIDE=FQ","FILING_STATUS=OR","EQY_CONSOLIDATED=Y","Sort=A","Dates=H","DateFormat=P","Fill=—","Direction=H","UseDPDF=Y")</f>
        <v>#NAME?</v>
      </c>
      <c r="CP530" s="3" t="e">
        <f ca="1">_xll.BDH($C$528,"EBITDA","FQ2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30" s="3" t="e">
        <f ca="1">_xll.BDH($C$528,"EBITDA_AFTER_CAPEX","FQ2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30" s="3" t="e">
        <f ca="1">_xll.BDH($C$528,"IS_OPER_INC","FQ2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30" s="2" t="e">
        <f ca="1">_xll.BDH($C$528,"CASH_RATIO","FQ2 2014","FQ2 2014","Currency=INR","Period=FQ","BEST_FPERIOD_OVERRIDE=FQ","FILING_STATUS=OR","EQY_CONSOLIDATED=Y","Sort=A","Dates=H","DateFormat=P","Fill=—","Direction=H","UseDPDF=Y")</f>
        <v>#NAME?</v>
      </c>
      <c r="CT530" s="2" t="e">
        <f ca="1">_xll.BDH($C$528,"CUR_RATIO","FQ2 2014","FQ2 2014","Currency=INR","Period=FQ","BEST_FPERIOD_OVERRIDE=FQ","FILING_STATUS=OR","EQY_CONSOLIDATED=Y","Sort=A","Dates=H","DateFormat=P","Fill=—","Direction=H","UseDPDF=Y")</f>
        <v>#NAME?</v>
      </c>
      <c r="CU530" s="2" t="e">
        <f ca="1">_xll.BDH($C$528,"QUICK_RATIO","FQ2 2014","FQ2 2014","Currency=INR","Period=FQ","BEST_FPERIOD_OVERRIDE=FQ","FILING_STATUS=OR","EQY_CONSOLIDATED=Y","Sort=A","Dates=H","DateFormat=P","Fill=—","Direction=H","UseDPDF=Y")</f>
        <v>#NAME?</v>
      </c>
      <c r="CV530" s="2" t="e">
        <f ca="1">_xll.BDH($C$528,"ALTMAN_Z_SCORE","FQ2 2014","FQ2 2014","Currency=INR","Period=FQ","BEST_FPERIOD_OVERRIDE=FQ","FILING_STATUS=OR","EQY_CONSOLIDATED=Y","Sort=A","Dates=H","DateFormat=P","Fill=—","Direction=H","UseDPDF=Y")</f>
        <v>#NAME?</v>
      </c>
      <c r="CW530" s="4" t="e">
        <f ca="1">_xll.BDH($C$528,"ACCT_RCV_TURN","FQ2 2014","FQ2 2014","Currency=INR","Period=FQ","BEST_FPERIOD_OVERRIDE=FQ","FILING_STATUS=OR","EQY_CONSOLIDATED=Y","FA_ADJUSTED=GAAP","Sort=A","Dates=H","DateFormat=P","Fill=—","Direction=H","UseDPDF=Y")</f>
        <v>#NAME?</v>
      </c>
      <c r="CX530" s="2" t="e">
        <f ca="1">_xll.BDH($C$528,"ACCT_RCV_DAYS","FQ2 2014","FQ2 2014","Currency=INR","Period=FQ","BEST_FPERIOD_OVERRIDE=FQ","FILING_STATUS=OR","EQY_CONSOLIDATED=Y","FA_ADJUSTED=GAAP","Sort=A","Dates=H","DateFormat=P","Fill=—","Direction=H","UseDPDF=Y")</f>
        <v>#NAME?</v>
      </c>
      <c r="CY530" s="4" t="e">
        <f ca="1">_xll.BDH($C$528,"INVENT_TURN","FQ2 2014","FQ2 2014","Currency=INR","Period=FQ","BEST_FPERIOD_OVERRIDE=FQ","FILING_STATUS=OR","EQY_CONSOLIDATED=Y","FA_ADJUSTED=GAAP","Sort=A","Dates=H","DateFormat=P","Fill=—","Direction=H","UseDPDF=Y")</f>
        <v>#NAME?</v>
      </c>
      <c r="CZ530" s="2" t="e">
        <f ca="1">_xll.BDH($C$528,"INVENT_DAYS","FQ2 2014","FQ2 2014","Currency=INR","Period=FQ","BEST_FPERIOD_OVERRIDE=FQ","FILING_STATUS=OR","EQY_CONSOLIDATED=Y","FA_ADJUSTED=GAAP","Sort=A","Dates=H","DateFormat=P","Fill=—","Direction=H","UseDPDF=Y")</f>
        <v>#NAME?</v>
      </c>
      <c r="DA530" s="4" t="e">
        <f ca="1">_xll.BDH($C$528,"ACCOUNTS_PAYABLE_TURNOVER","FQ2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30" s="2" t="e">
        <f ca="1">_xll.BDH($C$528,"ACCOUNTS_PAYABLE_TURNOVER_DAYS","FQ2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30" s="4" t="e">
        <f ca="1">_xll.BDH($C$528,"CASH_CONVERSION_CYCLE","FQ2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30" s="4" t="e">
        <f ca="1">_xll.BDH($C$528,"INV_TO_CASH_DAYS","FQ2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530" s="5" t="e">
        <f ca="1">_xll.BDH($C$528,"BS_INVENTORIES","FQ2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530" s="3" t="e">
        <f ca="1">_xll.BDH($C$528,"INVTRY_RAW_MATERIALS","FQ2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30" s="3" t="e">
        <f ca="1">_xll.BDH($C$528,"INVTRY_IN_PROGRESS","FQ2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30" s="3" t="e">
        <f ca="1">_xll.BDH($C$528,"INVTRY_FINISHED_GOODS","FQ2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30" s="3" t="e">
        <f ca="1">_xll.BDH($C$528,"BS_OTHER_INV","FQ2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531" spans="1:113" x14ac:dyDescent="0.3">
      <c r="A531" s="6"/>
      <c r="B531" s="6"/>
      <c r="C531" s="6"/>
      <c r="D531" s="6"/>
      <c r="E531" t="s">
        <v>80</v>
      </c>
      <c r="F531" t="e">
        <f ca="1">_xll.BDH($C$528,"RETURN_COM_EQY","FQ3 2014","FQ3 2014","Currency=INR","Period=FQ","BEST_FPERIOD_OVERRIDE=FQ","FILING_STATUS=OR","EQY_CONSOLIDATED=Y","FA_ADJUSTED=GAAP","Sort=A","Dates=H","DateFormat=P","Fill=—","Direction=H","UseDPDF=Y")</f>
        <v>#NAME?</v>
      </c>
      <c r="G531" t="e">
        <f ca="1">_xll.BDH($C$528,"RETURN_ON_ASSET","FQ3 2014","FQ3 2014","Currency=INR","Period=FQ","BEST_FPERIOD_OVERRIDE=FQ","FILING_STATUS=OR","EQY_CONSOLIDATED=Y","FA_ADJUSTED=GAAP","Sort=A","Dates=H","DateFormat=P","Fill=—","Direction=H","UseDPDF=Y")</f>
        <v>#NAME?</v>
      </c>
      <c r="H531" t="e">
        <f ca="1">_xll.BDH($C$528,"RETURN_ON_CAP","FQ3 2014","FQ3 2014","Currency=INR","Period=FQ","BEST_FPERIOD_OVERRIDE=FQ","FILING_STATUS=OR","EQY_CONSOLIDATED=Y","FA_ADJUSTED=GAAP","Sort=A","Dates=H","DateFormat=P","Fill=—","Direction=H","UseDPDF=Y")</f>
        <v>#NAME?</v>
      </c>
      <c r="I531" t="e">
        <f ca="1">_xll.BDH($C$528,"RETURN_ON_INV_CAPITAL","FQ3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531" t="e">
        <f ca="1">_xll.BDH($C$528,"EBITDA_TO_REVENUE","FQ3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531" t="e">
        <f ca="1">_xll.BDH($C$528,"OPER_MARGIN","FQ3 2014","FQ3 2014","Currency=INR","Period=FQ","BEST_FPERIOD_OVERRIDE=FQ","FILING_STATUS=OR","EQY_CONSOLIDATED=Y","FA_ADJUSTED=GAAP","Sort=A","Dates=H","DateFormat=P","Fill=—","Direction=H","UseDPDF=Y")</f>
        <v>#NAME?</v>
      </c>
      <c r="L531" t="e">
        <f ca="1">_xll.BDH($C$528,"INCREMENTAL_OPERATING_MARGIN","FQ3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531" t="e">
        <f ca="1">_xll.BDH($C$528,"PRETAX_INC_TO_NET_SALES","FQ3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531" t="e">
        <f ca="1">_xll.BDH($C$528,"INC_BEF_XO_ITEMS_TO_NET_SALES","FQ3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531" t="e">
        <f ca="1">_xll.BDH($C$528,"PROF_MARGIN","FQ3 2014","FQ3 2014","Currency=INR","Period=FQ","BEST_FPERIOD_OVERRIDE=FQ","FILING_STATUS=OR","EQY_CONSOLIDATED=Y","FA_ADJUSTED=GAAP","Sort=A","Dates=H","DateFormat=P","Fill=—","Direction=H","UseDPDF=Y")</f>
        <v>#NAME?</v>
      </c>
      <c r="P531" t="e">
        <f ca="1">_xll.BDH($C$528,"NET_INCOME_TO_COMMON_MARGIN","FQ3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531" t="e">
        <f ca="1">_xll.BDH($C$528,"EFF_TAX_RATE","FQ3 2014","FQ3 2014","Currency=INR","Period=FQ","BEST_FPERIOD_OVERRIDE=FQ","FILING_STATUS=OR","EQY_CONSOLIDATED=Y","FA_ADJUSTED=GAAP","Sort=A","Dates=H","DateFormat=P","Fill=—","Direction=H","UseDPDF=Y")</f>
        <v>#NAME?</v>
      </c>
      <c r="R531" t="e">
        <f ca="1">_xll.BDH($C$528,"DVD_PAYOUT_RATIO","FQ3 2014","FQ3 2014","Currency=INR","Period=FQ","BEST_FPERIOD_OVERRIDE=FQ","FILING_STATUS=OR","EQY_CONSOLIDATED=Y","FA_ADJUSTED=GAAP","Sort=A","Dates=H","DateFormat=P","Fill=—","Direction=H","UseDPDF=Y")</f>
        <v>#NAME?</v>
      </c>
      <c r="S531" t="e">
        <f ca="1">_xll.BDH($C$528,"SUSTAIN_GROWTH_RT","FQ3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531" s="2" t="e">
        <f ca="1">_xll.BDH($C$528,"SALES_GROWTH","FQ3 2014","FQ3 2014","Currency=INR","Period=FQ","BEST_FPERIOD_OVERRIDE=FQ","FILING_STATUS=OR","EQY_CONSOLIDATED=Y","FA_ADJUSTED=GAAP","Sort=A","Dates=H","DateFormat=P","Fill=—","Direction=H","UseDPDF=Y")</f>
        <v>#NAME?</v>
      </c>
      <c r="U531" s="2" t="e">
        <f ca="1">_xll.BDH($C$528,"EBITDA_GROWTH","FQ3 2014","FQ3 2014","Currency=INR","Period=FQ","BEST_FPERIOD_OVERRIDE=FQ","FILING_STATUS=OR","EQY_CONSOLIDATED=Y","FA_ADJUSTED=GAAP","Sort=A","Dates=H","DateFormat=P","Fill=—","Direction=H","UseDPDF=Y")</f>
        <v>#NAME?</v>
      </c>
      <c r="V531" s="2" t="e">
        <f ca="1">_xll.BDH($C$528,"OPER_INC_GROWTH","FQ3 2014","FQ3 2014","Currency=INR","Period=FQ","BEST_FPERIOD_OVERRIDE=FQ","FILING_STATUS=OR","EQY_CONSOLIDATED=Y","FA_ADJUSTED=GAAP","Sort=A","Dates=H","DateFormat=P","Fill=—","Direction=H","UseDPDF=Y")</f>
        <v>#NAME?</v>
      </c>
      <c r="W531" s="2" t="e">
        <f ca="1">_xll.BDH($C$528,"EARN_FOR_COM_GROWTH","FQ3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531" s="2" t="e">
        <f ca="1">_xll.BDH($C$528,"DILUTED_EPS_AFT_XO_ITEMS_GROWTH","FQ3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531" s="2" t="e">
        <f ca="1">_xll.BDH($C$528,"DIVIDEND_PER_SHARE_1_YEAR_GROWTH","FQ3 2014","FQ3 2014","Currency=INR","Period=FQ","BEST_FPERIOD_OVERRIDE=FQ","FILING_STATUS=OR","EQY_CONSOLIDATED=Y","Sort=A","Dates=H","DateFormat=P","Fill=—","Direction=H","UseDPDF=Y")</f>
        <v>#NAME?</v>
      </c>
      <c r="Z531" s="2" t="e">
        <f ca="1">_xll.BDH($C$528,"ACCOUNTS_RECEIVABLE_GROWTH","FQ3 2014","FQ3 2014","Currency=INR","Period=FQ","BEST_FPERIOD_OVERRIDE=FQ","FILING_STATUS=OR","EQY_CONSOLIDATED=Y","Sort=A","Dates=H","DateFormat=P","Fill=—","Direction=H","UseDPDF=Y")</f>
        <v>#NAME?</v>
      </c>
      <c r="AA531" s="2" t="e">
        <f ca="1">_xll.BDH($C$528,"INVENTORY_GROWTH","FQ3 2014","FQ3 2014","Currency=INR","Period=FQ","BEST_FPERIOD_OVERRIDE=FQ","FILING_STATUS=OR","EQY_CONSOLIDATED=Y","Sort=A","Dates=H","DateFormat=P","Fill=—","Direction=H","UseDPDF=Y")</f>
        <v>#NAME?</v>
      </c>
      <c r="AB531" s="2" t="e">
        <f ca="1">_xll.BDH($C$528,"NET_FIXED_ASSETS_1_YEAR_GROWTH","FQ3 2014","FQ3 2014","Currency=INR","Period=FQ","BEST_FPERIOD_OVERRIDE=FQ","FILING_STATUS=OR","EQY_CONSOLIDATED=Y","Sort=A","Dates=H","DateFormat=P","Fill=—","Direction=H","UseDPDF=Y")</f>
        <v>#NAME?</v>
      </c>
      <c r="AC531" s="2" t="e">
        <f ca="1">_xll.BDH($C$528,"ASSET_GROWTH","FQ3 2014","FQ3 2014","Currency=INR","Period=FQ","BEST_FPERIOD_OVERRIDE=FQ","FILING_STATUS=OR","EQY_CONSOLIDATED=Y","Sort=A","Dates=H","DateFormat=P","Fill=—","Direction=H","UseDPDF=Y")</f>
        <v>#NAME?</v>
      </c>
      <c r="AD531" s="2" t="e">
        <f ca="1">_xll.BDH($C$528,"MODIFIED_WORK_CAP_GROWTH","FQ3 2014","FQ3 2014","Currency=INR","Period=FQ","BEST_FPERIOD_OVERRIDE=FQ","FILING_STATUS=OR","EQY_CONSOLIDATED=Y","Sort=A","Dates=H","DateFormat=P","Fill=—","Direction=H","UseDPDF=Y")</f>
        <v>#NAME?</v>
      </c>
      <c r="AE531" s="2" t="e">
        <f ca="1">_xll.BDH($C$528,"WORK_CAP_GROWTH","FQ3 2014","FQ3 2014","Currency=INR","Period=FQ","BEST_FPERIOD_OVERRIDE=FQ","FILING_STATUS=OR","EQY_CONSOLIDATED=Y","Sort=A","Dates=H","DateFormat=P","Fill=—","Direction=H","UseDPDF=Y")</f>
        <v>#NAME?</v>
      </c>
      <c r="AF531" s="2" t="e">
        <f ca="1">_xll.BDH($C$528,"ACCOUNTS_PAYABLE_GROWTH_1YR","FQ3 2014","FQ3 2014","Currency=INR","Period=FQ","BEST_FPERIOD_OVERRIDE=FQ","FILING_STATUS=OR","EQY_CONSOLIDATED=Y","Sort=A","Dates=H","DateFormat=P","Fill=—","Direction=H","UseDPDF=Y")</f>
        <v>#NAME?</v>
      </c>
      <c r="AG531" s="2" t="e">
        <f ca="1">_xll.BDH($C$528,"SHORT_TERM_DEBT_1_YEAR_GROWTH","FQ3 2014","FQ3 2014","Currency=INR","Period=FQ","BEST_FPERIOD_OVERRIDE=FQ","FILING_STATUS=OR","EQY_CONSOLIDATED=Y","Sort=A","Dates=H","DateFormat=P","Fill=—","Direction=H","UseDPDF=Y")</f>
        <v>#NAME?</v>
      </c>
      <c r="AH531" s="2" t="e">
        <f ca="1">_xll.BDH($C$528,"TOTAL_DEBT_1_YEAR_GROWTH","FQ3 2014","FQ3 2014","Currency=INR","Period=FQ","BEST_FPERIOD_OVERRIDE=FQ","FILING_STATUS=OR","EQY_CONSOLIDATED=Y","Sort=A","Dates=H","DateFormat=P","Fill=—","Direction=H","UseDPDF=Y")</f>
        <v>#NAME?</v>
      </c>
      <c r="AI531" s="2" t="e">
        <f ca="1">_xll.BDH($C$528,"TOTAL_EQUITY_1_YEAR_GROWTH","FQ3 2014","FQ3 2014","Currency=INR","Period=FQ","BEST_FPERIOD_OVERRIDE=FQ","FILING_STATUS=OR","EQY_CONSOLIDATED=Y","Sort=A","Dates=H","DateFormat=P","Fill=—","Direction=H","UseDPDF=Y")</f>
        <v>#NAME?</v>
      </c>
      <c r="AJ531" s="2" t="e">
        <f ca="1">_xll.BDH($C$528,"GROWTH_IN_CAP","FQ3 2014","FQ3 2014","Currency=INR","Period=FQ","BEST_FPERIOD_OVERRIDE=FQ","FILING_STATUS=OR","EQY_CONSOLIDATED=Y","Sort=A","Dates=H","DateFormat=P","Fill=—","Direction=H","UseDPDF=Y")</f>
        <v>#NAME?</v>
      </c>
      <c r="AK531" s="2" t="e">
        <f ca="1">_xll.BDH($C$528,"BVPS_GROWTH","FQ3 2014","FQ3 2014","Currency=INR","Period=FQ","BEST_FPERIOD_OVERRIDE=FQ","FILING_STATUS=OR","EQY_CONSOLIDATED=Y","Sort=A","Dates=H","DateFormat=P","Fill=—","Direction=H","UseDPDF=Y")</f>
        <v>#NAME?</v>
      </c>
      <c r="AL531" s="2" t="e">
        <f ca="1">_xll.BDH($C$528,"CASH_FLOW_GROWTH","FQ3 2014","FQ3 2014","Currency=INR","Period=FQ","BEST_FPERIOD_OVERRIDE=FQ","FILING_STATUS=OR","EQY_CONSOLIDATED=Y","Sort=A","Dates=H","DateFormat=P","Fill=—","Direction=H","UseDPDF=Y")</f>
        <v>#NAME?</v>
      </c>
      <c r="AM531" s="2" t="e">
        <f ca="1">_xll.BDH($C$528,"GEO_GROW_NET_SALES","FQ3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531" s="2" t="e">
        <f ca="1">_xll.BDH($C$528,"GEO_GROW_EBITDA","FQ3 2014","FQ3 2014","Currency=INR","Period=FQ","BEST_FPERIOD_OVERRIDE=FQ","FILING_STATUS=OR","EQY_CONSOLIDATED=Y","FA_ADJUSTED=GAAP","Sort=A","Dates=H","DateFormat=P","Fill=—","Direction=H","UseDPDF=Y")</f>
        <v>#NAME?</v>
      </c>
      <c r="AO531" s="2" t="e">
        <f ca="1">_xll.BDH($C$528,"GEO_GROW_OPER_INC","FQ3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531" s="2" t="e">
        <f ca="1">_xll.BDH($C$528,"NET_INCOME_TO_COMMON_5_YR_GROWTH","FQ3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531" s="2" t="e">
        <f ca="1">_xll.BDH($C$528,"5Y_GEO_GROWTH_DILUTED_EPS","FQ3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531" s="2" t="e">
        <f ca="1">_xll.BDH($C$528,"GEO_GROW_DVD_PER_SH","FQ3 2014","FQ3 2014","Currency=INR","Period=FQ","BEST_FPERIOD_OVERRIDE=FQ","FILING_STATUS=OR","EQY_CONSOLIDATED=Y","Sort=A","Dates=H","DateFormat=P","Fill=—","Direction=H","UseDPDF=Y")</f>
        <v>#NAME?</v>
      </c>
      <c r="AS531" s="2" t="e">
        <f ca="1">_xll.BDH($C$528,"ACCOUNTS_RECEIVABLE_5_YR_GROWTH","FQ3 2014","FQ3 2014","Currency=INR","Period=FQ","BEST_FPERIOD_OVERRIDE=FQ","FILING_STATUS=OR","EQY_CONSOLIDATED=Y","Sort=A","Dates=H","DateFormat=P","Fill=—","Direction=H","UseDPDF=Y")</f>
        <v>#NAME?</v>
      </c>
      <c r="AT531" s="2" t="e">
        <f ca="1">_xll.BDH($C$528,"INVENTORY_5_YEAR_GROWTH","FQ3 2014","FQ3 2014","Currency=INR","Period=FQ","BEST_FPERIOD_OVERRIDE=FQ","FILING_STATUS=OR","EQY_CONSOLIDATED=Y","Sort=A","Dates=H","DateFormat=P","Fill=—","Direction=H","UseDPDF=Y")</f>
        <v>#NAME?</v>
      </c>
      <c r="AU531" s="2" t="e">
        <f ca="1">_xll.BDH($C$528,"NET_FIXED_ASSETS_5_YEAR_GROWTH","FQ3 2014","FQ3 2014","Currency=INR","Period=FQ","BEST_FPERIOD_OVERRIDE=FQ","FILING_STATUS=OR","EQY_CONSOLIDATED=Y","Sort=A","Dates=H","DateFormat=P","Fill=—","Direction=H","UseDPDF=Y")</f>
        <v>#NAME?</v>
      </c>
      <c r="AV531" s="2" t="e">
        <f ca="1">_xll.BDH($C$528,"GEO_GROW_TOT_ASSET","FQ3 2014","FQ3 2014","Currency=INR","Period=FQ","BEST_FPERIOD_OVERRIDE=FQ","FILING_STATUS=OR","EQY_CONSOLIDATED=Y","Sort=A","Dates=H","DateFormat=P","Fill=—","Direction=H","UseDPDF=Y")</f>
        <v>#NAME?</v>
      </c>
      <c r="AW531" s="2" t="e">
        <f ca="1">_xll.BDH($C$528,"MODIFIED_WORKING_CPTL_5YR_GRWTH","FQ3 2014","FQ3 2014","Currency=INR","Period=FQ","BEST_FPERIOD_OVERRIDE=FQ","FILING_STATUS=OR","EQY_CONSOLIDATED=Y","Sort=A","Dates=H","DateFormat=P","Fill=—","Direction=H","UseDPDF=Y")</f>
        <v>#NAME?</v>
      </c>
      <c r="AX531" s="2" t="e">
        <f ca="1">_xll.BDH($C$528,"WORKING_CAPITAL_5_YEAR_GROWTH","FQ3 2014","FQ3 2014","Currency=INR","Period=FQ","BEST_FPERIOD_OVERRIDE=FQ","FILING_STATUS=OR","EQY_CONSOLIDATED=Y","Sort=A","Dates=H","DateFormat=P","Fill=—","Direction=H","UseDPDF=Y")</f>
        <v>#NAME?</v>
      </c>
      <c r="AY531" s="2" t="e">
        <f ca="1">_xll.BDH($C$528,"ACCOUNTS_PAYABLE_5_YEAR_GROWTH","FQ3 2014","FQ3 2014","Currency=INR","Period=FQ","BEST_FPERIOD_OVERRIDE=FQ","FILING_STATUS=OR","EQY_CONSOLIDATED=Y","Sort=A","Dates=H","DateFormat=P","Fill=—","Direction=H","UseDPDF=Y")</f>
        <v>#NAME?</v>
      </c>
      <c r="AZ531" s="2" t="e">
        <f ca="1">_xll.BDH($C$528,"SHORT_TERM_DEBT_5_YEAR_GROWTH","FQ3 2014","FQ3 2014","Currency=INR","Period=FQ","BEST_FPERIOD_OVERRIDE=FQ","FILING_STATUS=OR","EQY_CONSOLIDATED=Y","Sort=A","Dates=H","DateFormat=P","Fill=—","Direction=H","UseDPDF=Y")</f>
        <v>#NAME?</v>
      </c>
      <c r="BA531" s="2" t="e">
        <f ca="1">_xll.BDH($C$528,"TOTAL_DEBT_5_YEAR_GROWTH","FQ3 2014","FQ3 2014","Currency=INR","Period=FQ","BEST_FPERIOD_OVERRIDE=FQ","FILING_STATUS=OR","EQY_CONSOLIDATED=Y","Sort=A","Dates=H","DateFormat=P","Fill=—","Direction=H","UseDPDF=Y")</f>
        <v>#NAME?</v>
      </c>
      <c r="BB531" s="2" t="e">
        <f ca="1">_xll.BDH($C$528,"GEO_GROW_TOT_SHRHLDR_EQY","FQ3 2014","FQ3 2014","Currency=INR","Period=FQ","BEST_FPERIOD_OVERRIDE=FQ","FILING_STATUS=OR","EQY_CONSOLIDATED=Y","Sort=A","Dates=H","DateFormat=P","Fill=—","Direction=H","UseDPDF=Y")</f>
        <v>#NAME?</v>
      </c>
      <c r="BC531" s="2" t="e">
        <f ca="1">_xll.BDH($C$528,"TOTAL_CAPITAL_5_YEAR_GROWTH","FQ3 2014","FQ3 2014","Currency=INR","Period=FQ","BEST_FPERIOD_OVERRIDE=FQ","FILING_STATUS=OR","EQY_CONSOLIDATED=Y","Sort=A","Dates=H","DateFormat=P","Fill=—","Direction=H","UseDPDF=Y")</f>
        <v>#NAME?</v>
      </c>
      <c r="BD531" s="2" t="e">
        <f ca="1">_xll.BDH($C$528,"GEO_GROW_BOOK_VAL","FQ3 2014","FQ3 2014","Currency=INR","Period=FQ","BEST_FPERIOD_OVERRIDE=FQ","FILING_STATUS=OR","EQY_CONSOLIDATED=Y","Sort=A","Dates=H","DateFormat=P","Fill=—","Direction=H","UseDPDF=Y")</f>
        <v>#NAME?</v>
      </c>
      <c r="BE531" s="2" t="e">
        <f ca="1">_xll.BDH($C$528,"GEO_GROW_CASH_OPER_ACT","FQ3 2014","FQ3 2014","Currency=INR","Period=FQ","BEST_FPERIOD_OVERRIDE=FQ","FILING_STATUS=OR","EQY_CONSOLIDATED=Y","Sort=A","Dates=H","DateFormat=P","Fill=—","Direction=H","UseDPDF=Y")</f>
        <v>#NAME?</v>
      </c>
      <c r="BF531" s="2" t="e">
        <f ca="1">_xll.BDH($C$528,"REVENUE_SEQUENTIAL_GROWTH","FQ3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531" s="2" t="e">
        <f ca="1">_xll.BDH($C$528,"EBITDA_SEQUENTIAL_GROWTH","FQ3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531" s="2" t="e">
        <f ca="1">_xll.BDH($C$528,"OPERATING_INCOME_SEQ_GROWTH","FQ3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531" s="2" t="e">
        <f ca="1">_xll.BDH($C$528,"NET_INCOME_TO_COMMON_SEQ_GROWTH","FQ3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531" s="2" t="e">
        <f ca="1">_xll.BDH($C$528,"EPS_DILUTED_SEQUENTIAL_GROWTH","FQ3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531" s="2" t="e">
        <f ca="1">_xll.BDH($C$528,"DPS_SEQUENTIAL_GROWTH","FQ3 2014","FQ3 2014","Currency=INR","Period=FQ","BEST_FPERIOD_OVERRIDE=FQ","FILING_STATUS=OR","EQY_CONSOLIDATED=Y","Sort=A","Dates=H","DateFormat=P","Fill=—","Direction=H","UseDPDF=Y")</f>
        <v>#NAME?</v>
      </c>
      <c r="BL531" s="2" t="e">
        <f ca="1">_xll.BDH($C$528,"ACCOUNTS_RECEIVABLE_SEQ_GROWTH","FQ3 2014","FQ3 2014","Currency=INR","Period=FQ","BEST_FPERIOD_OVERRIDE=FQ","FILING_STATUS=OR","EQY_CONSOLIDATED=Y","Sort=A","Dates=H","DateFormat=P","Fill=—","Direction=H","UseDPDF=Y")</f>
        <v>#NAME?</v>
      </c>
      <c r="BM531" s="2" t="e">
        <f ca="1">_xll.BDH($C$528,"INVENTORY_SEQUENTIAL_GROWTH","FQ3 2014","FQ3 2014","Currency=INR","Period=FQ","BEST_FPERIOD_OVERRIDE=FQ","FILING_STATUS=OR","EQY_CONSOLIDATED=Y","Sort=A","Dates=H","DateFormat=P","Fill=—","Direction=H","UseDPDF=Y")</f>
        <v>#NAME?</v>
      </c>
      <c r="BN531" s="2" t="e">
        <f ca="1">_xll.BDH($C$528,"FIXED_ASSETS_SEQUENTIAL_GROWTH","FQ3 2014","FQ3 2014","Currency=INR","Period=FQ","BEST_FPERIOD_OVERRIDE=FQ","FILING_STATUS=OR","EQY_CONSOLIDATED=Y","Sort=A","Dates=H","DateFormat=P","Fill=—","Direction=H","UseDPDF=Y")</f>
        <v>#NAME?</v>
      </c>
      <c r="BO531" s="2" t="e">
        <f ca="1">_xll.BDH($C$528,"TOTAL_ASSETS_SEQUENTIAL_GROWTH","FQ3 2014","FQ3 2014","Currency=INR","Period=FQ","BEST_FPERIOD_OVERRIDE=FQ","FILING_STATUS=OR","EQY_CONSOLIDATED=Y","Sort=A","Dates=H","DateFormat=P","Fill=—","Direction=H","UseDPDF=Y")</f>
        <v>#NAME?</v>
      </c>
      <c r="BP531" s="2" t="e">
        <f ca="1">_xll.BDH($C$528,"MODIFIED_WORKING_CPTL_SEQ_GRWTH","FQ3 2014","FQ3 2014","Currency=INR","Period=FQ","BEST_FPERIOD_OVERRIDE=FQ","FILING_STATUS=OR","EQY_CONSOLIDATED=Y","Sort=A","Dates=H","DateFormat=P","Fill=—","Direction=H","UseDPDF=Y")</f>
        <v>#NAME?</v>
      </c>
      <c r="BQ531" s="2" t="e">
        <f ca="1">_xll.BDH($C$528,"WORKING_CAPITAL_SEQ_GROWTH","FQ3 2014","FQ3 2014","Currency=INR","Period=FQ","BEST_FPERIOD_OVERRIDE=FQ","FILING_STATUS=OR","EQY_CONSOLIDATED=Y","Sort=A","Dates=H","DateFormat=P","Fill=—","Direction=H","UseDPDF=Y")</f>
        <v>#NAME?</v>
      </c>
      <c r="BR531" s="2" t="e">
        <f ca="1">_xll.BDH($C$528,"ACCOUNTS_PAYABLE_SEQ_GROWTH","FQ3 2014","FQ3 2014","Currency=INR","Period=FQ","BEST_FPERIOD_OVERRIDE=FQ","FILING_STATUS=OR","EQY_CONSOLIDATED=Y","Sort=A","Dates=H","DateFormat=P","Fill=—","Direction=H","UseDPDF=Y")</f>
        <v>#NAME?</v>
      </c>
      <c r="BS531" s="2" t="e">
        <f ca="1">_xll.BDH($C$528,"ST_DEBT_SEQUENTIAL_GROWTH","FQ3 2014","FQ3 2014","Currency=INR","Period=FQ","BEST_FPERIOD_OVERRIDE=FQ","FILING_STATUS=OR","EQY_CONSOLIDATED=Y","Sort=A","Dates=H","DateFormat=P","Fill=—","Direction=H","UseDPDF=Y")</f>
        <v>#NAME?</v>
      </c>
      <c r="BT531" s="2" t="e">
        <f ca="1">_xll.BDH($C$528,"TOTAL_DEBT_SEQUENTIAL_GROWTH","FQ3 2014","FQ3 2014","Currency=INR","Period=FQ","BEST_FPERIOD_OVERRIDE=FQ","FILING_STATUS=OR","EQY_CONSOLIDATED=Y","Sort=A","Dates=H","DateFormat=P","Fill=—","Direction=H","UseDPDF=Y")</f>
        <v>#NAME?</v>
      </c>
      <c r="BU531" s="2" t="e">
        <f ca="1">_xll.BDH($C$528,"TOTAL_EQUITY_SEQUENTIAL_GROWTH","FQ3 2014","FQ3 2014","Currency=INR","Period=FQ","BEST_FPERIOD_OVERRIDE=FQ","FILING_STATUS=OR","EQY_CONSOLIDATED=Y","Sort=A","Dates=H","DateFormat=P","Fill=—","Direction=H","UseDPDF=Y")</f>
        <v>#NAME?</v>
      </c>
      <c r="BV531" s="2" t="e">
        <f ca="1">_xll.BDH($C$528,"TOTAL_CAPITAL_SEQUENTIAL_GROWTH","FQ3 2014","FQ3 2014","Currency=INR","Period=FQ","BEST_FPERIOD_OVERRIDE=FQ","FILING_STATUS=OR","EQY_CONSOLIDATED=Y","Sort=A","Dates=H","DateFormat=P","Fill=—","Direction=H","UseDPDF=Y")</f>
        <v>#NAME?</v>
      </c>
      <c r="BW531" s="2" t="e">
        <f ca="1">_xll.BDH($C$528,"BPS_SEQUENTIAL_GROWTH","FQ3 2014","FQ3 2014","Currency=INR","Period=FQ","BEST_FPERIOD_OVERRIDE=FQ","FILING_STATUS=OR","EQY_CONSOLIDATED=Y","Sort=A","Dates=H","DateFormat=P","Fill=—","Direction=H","UseDPDF=Y")</f>
        <v>#NAME?</v>
      </c>
      <c r="BX531" s="2" t="e">
        <f ca="1">_xll.BDH($C$528,"CFO_SEQUENTIAL_GROWTH","FQ3 2014","FQ3 2014","Currency=INR","Period=FQ","BEST_FPERIOD_OVERRIDE=FQ","FILING_STATUS=OR","EQY_CONSOLIDATED=Y","Sort=A","Dates=H","DateFormat=P","Fill=—","Direction=H","UseDPDF=Y")</f>
        <v>#NAME?</v>
      </c>
      <c r="BY531" s="3" t="e">
        <f ca="1">_xll.BDH($C$528,"SHORT_AND_LONG_TERM_DEBT","FQ3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531" s="3" t="e">
        <f ca="1">_xll.BDH($C$528,"BS_ST_BORROW","FQ3 2014","FQ3 2014","Currency=INR","Period=FQ","BEST_FPERIOD_OVERRIDE=FQ","FILING_STATUS=OR","EQY_CONSOLIDATED=Y","SCALING_FORMAT=MLN","Sort=A","Dates=H","DateFormat=P","Fill=—","Direction=H","UseDPDF=Y")</f>
        <v>#NAME?</v>
      </c>
      <c r="CA531" s="3" t="e">
        <f ca="1">_xll.BDH($C$528,"BS_LT_BORROW","FQ3 2014","FQ3 2014","Currency=INR","Period=FQ","BEST_FPERIOD_OVERRIDE=FQ","FILING_STATUS=OR","EQY_CONSOLIDATED=Y","SCALING_FORMAT=MLN","Sort=A","Dates=H","DateFormat=P","Fill=—","Direction=H","UseDPDF=Y")</f>
        <v>#NAME?</v>
      </c>
      <c r="CB531" s="2" t="e">
        <f ca="1">_xll.BDH($C$528,"TOT_DEBT_TO_EBITDA","FQ3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531" s="2" t="e">
        <f ca="1">_xll.BDH($C$528,"NET_DEBT_TO_EBITDA","FQ3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531" s="2" t="e">
        <f ca="1">_xll.BDH($C$528,"TOTAL_DEBT_TO_EBIT","FQ3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531" s="2" t="e">
        <f ca="1">_xll.BDH($C$528,"NET_DEBT_TO_EBIT","FQ3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531" s="2" t="e">
        <f ca="1">_xll.BDH($C$528,"EBITDA_TO_INTEREST_EXPN","FQ3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531" s="2" t="e">
        <f ca="1">_xll.BDH($C$528,"COM_EQY_TO_TOT_ASSET","FQ3 2014","FQ3 2014","Currency=INR","Period=FQ","BEST_FPERIOD_OVERRIDE=FQ","FILING_STATUS=OR","EQY_CONSOLIDATED=Y","Sort=A","Dates=H","DateFormat=P","Fill=—","Direction=H","UseDPDF=Y")</f>
        <v>#NAME?</v>
      </c>
      <c r="CH531" s="2" t="e">
        <f ca="1">_xll.BDH($C$528,"LT_DEBT_TO_TOT_EQY","FQ3 2014","FQ3 2014","Currency=INR","Period=FQ","BEST_FPERIOD_OVERRIDE=FQ","FILING_STATUS=OR","EQY_CONSOLIDATED=Y","Sort=A","Dates=H","DateFormat=P","Fill=—","Direction=H","UseDPDF=Y")</f>
        <v>#NAME?</v>
      </c>
      <c r="CI531" s="2" t="e">
        <f ca="1">_xll.BDH($C$528,"LT_DEBT_TO_TOT_CAP","FQ3 2014","FQ3 2014","Currency=INR","Period=FQ","BEST_FPERIOD_OVERRIDE=FQ","FILING_STATUS=OR","EQY_CONSOLIDATED=Y","Sort=A","Dates=H","DateFormat=P","Fill=—","Direction=H","UseDPDF=Y")</f>
        <v>#NAME?</v>
      </c>
      <c r="CJ531" s="2" t="e">
        <f ca="1">_xll.BDH($C$528,"LT_DEBT_TO_TOT_ASSET","FQ3 2014","FQ3 2014","Currency=INR","Period=FQ","BEST_FPERIOD_OVERRIDE=FQ","FILING_STATUS=OR","EQY_CONSOLIDATED=Y","Sort=A","Dates=H","DateFormat=P","Fill=—","Direction=H","UseDPDF=Y")</f>
        <v>#NAME?</v>
      </c>
      <c r="CK531" s="2" t="e">
        <f ca="1">_xll.BDH($C$528,"TOT_DEBT_TO_TOT_EQY","FQ3 2014","FQ3 2014","Currency=INR","Period=FQ","BEST_FPERIOD_OVERRIDE=FQ","FILING_STATUS=OR","EQY_CONSOLIDATED=Y","Sort=A","Dates=H","DateFormat=P","Fill=—","Direction=H","UseDPDF=Y")</f>
        <v>#NAME?</v>
      </c>
      <c r="CL531" s="2" t="e">
        <f ca="1">_xll.BDH($C$528,"TOT_DEBT_TO_TOT_CAP","FQ3 2014","FQ3 2014","Currency=INR","Period=FQ","BEST_FPERIOD_OVERRIDE=FQ","FILING_STATUS=OR","EQY_CONSOLIDATED=Y","Sort=A","Dates=H","DateFormat=P","Fill=—","Direction=H","UseDPDF=Y")</f>
        <v>#NAME?</v>
      </c>
      <c r="CM531" s="2" t="e">
        <f ca="1">_xll.BDH($C$528,"TOT_DEBT_TO_TOT_ASSET","FQ3 2014","FQ3 2014","Currency=INR","Period=FQ","BEST_FPERIOD_OVERRIDE=FQ","FILING_STATUS=OR","EQY_CONSOLIDATED=Y","Sort=A","Dates=H","DateFormat=P","Fill=—","Direction=H","UseDPDF=Y")</f>
        <v>#NAME?</v>
      </c>
      <c r="CN531" s="2" t="e">
        <f ca="1">_xll.BDH($C$528,"NET_DEBT_TO_SHRHLDR_EQTY","FQ3 2014","FQ3 2014","Currency=INR","Period=FQ","BEST_FPERIOD_OVERRIDE=FQ","FILING_STATUS=OR","EQY_CONSOLIDATED=Y","Sort=A","Dates=H","DateFormat=P","Fill=—","Direction=H","UseDPDF=Y")</f>
        <v>#NAME?</v>
      </c>
      <c r="CO531" s="2" t="e">
        <f ca="1">_xll.BDH($C$528,"NET_DEBT_%_CAPITAL","FQ3 2014","FQ3 2014","Currency=INR","Period=FQ","BEST_FPERIOD_OVERRIDE=FQ","FILING_STATUS=OR","EQY_CONSOLIDATED=Y","Sort=A","Dates=H","DateFormat=P","Fill=—","Direction=H","UseDPDF=Y")</f>
        <v>#NAME?</v>
      </c>
      <c r="CP531" s="3" t="e">
        <f ca="1">_xll.BDH($C$528,"EBITDA","FQ3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531" s="3" t="e">
        <f ca="1">_xll.BDH($C$528,"EBITDA_AFTER_CAPEX","FQ3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531" s="3" t="e">
        <f ca="1">_xll.BDH($C$528,"IS_OPER_INC","FQ3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531" s="2" t="e">
        <f ca="1">_xll.BDH($C$528,"CASH_RATIO","FQ3 2014","FQ3 2014","Currency=INR","Period=FQ","BEST_FPERIOD_OVERRIDE=FQ","FILING_STATUS=OR","EQY_CONSOLIDATED=Y","Sort=A","Dates=H","DateFormat=P","Fill=—","Direction=H","UseDPDF=Y")</f>
        <v>#NAME?</v>
      </c>
      <c r="CT531" s="2" t="e">
        <f ca="1">_xll.BDH($C$528,"CUR_RATIO","FQ3 2014","FQ3 2014","Currency=INR","Period=FQ","BEST_FPERIOD_OVERRIDE=FQ","FILING_STATUS=OR","EQY_CONSOLIDATED=Y","Sort=A","Dates=H","DateFormat=P","Fill=—","Direction=H","UseDPDF=Y")</f>
        <v>#NAME?</v>
      </c>
      <c r="CU531" s="2" t="e">
        <f ca="1">_xll.BDH($C$528,"QUICK_RATIO","FQ3 2014","FQ3 2014","Currency=INR","Period=FQ","BEST_FPERIOD_OVERRIDE=FQ","FILING_STATUS=OR","EQY_CONSOLIDATED=Y","Sort=A","Dates=H","DateFormat=P","Fill=—","Direction=H","UseDPDF=Y")</f>
        <v>#NAME?</v>
      </c>
      <c r="CV531" s="2" t="e">
        <f ca="1">_xll.BDH($C$528,"ALTMAN_Z_SCORE","FQ3 2014","FQ3 2014","Currency=INR","Period=FQ","BEST_FPERIOD_OVERRIDE=FQ","FILING_STATUS=OR","EQY_CONSOLIDATED=Y","Sort=A","Dates=H","DateFormat=P","Fill=—","Direction=H","UseDPDF=Y")</f>
        <v>#NAME?</v>
      </c>
      <c r="CW531" s="4" t="e">
        <f ca="1">_xll.BDH($C$528,"ACCT_RCV_TURN","FQ3 2014","FQ3 2014","Currency=INR","Period=FQ","BEST_FPERIOD_OVERRIDE=FQ","FILING_STATUS=OR","EQY_CONSOLIDATED=Y","FA_ADJUSTED=GAAP","Sort=A","Dates=H","DateFormat=P","Fill=—","Direction=H","UseDPDF=Y")</f>
        <v>#NAME?</v>
      </c>
      <c r="CX531" s="2" t="e">
        <f ca="1">_xll.BDH($C$528,"ACCT_RCV_DAYS","FQ3 2014","FQ3 2014","Currency=INR","Period=FQ","BEST_FPERIOD_OVERRIDE=FQ","FILING_STATUS=OR","EQY_CONSOLIDATED=Y","FA_ADJUSTED=GAAP","Sort=A","Dates=H","DateFormat=P","Fill=—","Direction=H","UseDPDF=Y")</f>
        <v>#NAME?</v>
      </c>
      <c r="CY531" s="4" t="e">
        <f ca="1">_xll.BDH($C$528,"INVENT_TURN","FQ3 2014","FQ3 2014","Currency=INR","Period=FQ","BEST_FPERIOD_OVERRIDE=FQ","FILING_STATUS=OR","EQY_CONSOLIDATED=Y","FA_ADJUSTED=GAAP","Sort=A","Dates=H","DateFormat=P","Fill=—","Direction=H","UseDPDF=Y")</f>
        <v>#NAME?</v>
      </c>
      <c r="CZ531" s="2" t="e">
        <f ca="1">_xll.BDH($C$528,"INVENT_DAYS","FQ3 2014","FQ3 2014","Currency=INR","Period=FQ","BEST_FPERIOD_OVERRIDE=FQ","FILING_STATUS=OR","EQY_CONSOLIDATED=Y","FA_ADJUSTED=GAAP","Sort=A","Dates=H","DateFormat=P","Fill=—","Direction=H","UseDPDF=Y")</f>
        <v>#NAME?</v>
      </c>
      <c r="DA531" s="4" t="e">
        <f ca="1">_xll.BDH($C$528,"ACCOUNTS_PAYABLE_TURNOVER","FQ3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531" s="2" t="e">
        <f ca="1">_xll.BDH($C$528,"ACCOUNTS_PAYABLE_TURNOVER_DAYS","FQ3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531" s="4" t="e">
        <f ca="1">_xll.BDH($C$528,"CASH_CONVERSION_CYCLE","FQ3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531" s="4" t="e">
        <f ca="1">_xll.BDH($C$528,"INV_TO_CASH_DAYS","FQ3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531" s="5" t="e">
        <f ca="1">_xll.BDH($C$528,"BS_INVENTORIES","FQ3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531" s="3" t="e">
        <f ca="1">_xll.BDH($C$528,"INVTRY_RAW_MATERIALS","FQ3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531" s="3" t="e">
        <f ca="1">_xll.BDH($C$528,"INVTRY_IN_PROGRESS","FQ3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531" s="3" t="e">
        <f ca="1">_xll.BDH($C$528,"INVTRY_FINISHED_GOODS","FQ3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531" s="3" t="e">
        <f ca="1">_xll.BDH($C$528,"BS_OTHER_INV","FQ3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532" spans="1:113" x14ac:dyDescent="0.3">
      <c r="A532" s="6"/>
      <c r="B532" s="6"/>
      <c r="C532" s="6"/>
      <c r="D532" s="6"/>
      <c r="E532" t="s">
        <v>81</v>
      </c>
      <c r="F532" t="e">
        <f ca="1">_xll.BDH($C$528,"RETURN_COM_EQY","FQ4 2014","FQ4 2014","Currency=INR","Period=FQ","BEST_FPERIOD_OVERRIDE=FQ","FILING_STATUS=OR","EQY_CONSOLIDATED=Y","FA_ADJUSTED=GAAP","Sort=A","Dates=H","DateFormat=P","Fill=—","Direction=H","UseDPDF=Y")</f>
        <v>#NAME?</v>
      </c>
      <c r="G532" t="e">
        <f ca="1">_xll.BDH($C$528,"RETURN_ON_ASSET","FQ4 2014","FQ4 2014","Currency=INR","Period=FQ","BEST_FPERIOD_OVERRIDE=FQ","FILING_STATUS=OR","EQY_CONSOLIDATED=Y","FA_ADJUSTED=GAAP","Sort=A","Dates=H","DateFormat=P","Fill=—","Direction=H","UseDPDF=Y")</f>
        <v>#NAME?</v>
      </c>
      <c r="H532" t="e">
        <f ca="1">_xll.BDH($C$528,"RETURN_ON_CAP","FQ4 2014","FQ4 2014","Currency=INR","Period=FQ","BEST_FPERIOD_OVERRIDE=FQ","FILING_STATUS=OR","EQY_CONSOLIDATED=Y","FA_ADJUSTED=GAAP","Sort=A","Dates=H","DateFormat=P","Fill=—","Direction=H","UseDPDF=Y")</f>
        <v>#NAME?</v>
      </c>
      <c r="I532" t="e">
        <f ca="1">_xll.BDH($C$528,"RETURN_ON_INV_CAPITAL","FQ4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532" t="e">
        <f ca="1">_xll.BDH($C$528,"EBITDA_TO_REVENUE","FQ4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532" t="e">
        <f ca="1">_xll.BDH($C$528,"OPER_MARGIN","FQ4 2014","FQ4 2014","Currency=INR","Period=FQ","BEST_FPERIOD_OVERRIDE=FQ","FILING_STATUS=OR","EQY_CONSOLIDATED=Y","FA_ADJUSTED=GAAP","Sort=A","Dates=H","DateFormat=P","Fill=—","Direction=H","UseDPDF=Y")</f>
        <v>#NAME?</v>
      </c>
      <c r="L532" t="e">
        <f ca="1">_xll.BDH($C$528,"INCREMENTAL_OPERATING_MARGIN","FQ4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532" t="e">
        <f ca="1">_xll.BDH($C$528,"PRETAX_INC_TO_NET_SALES","FQ4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532" t="e">
        <f ca="1">_xll.BDH($C$528,"INC_BEF_XO_ITEMS_TO_NET_SALES","FQ4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532" t="e">
        <f ca="1">_xll.BDH($C$528,"PROF_MARGIN","FQ4 2014","FQ4 2014","Currency=INR","Period=FQ","BEST_FPERIOD_OVERRIDE=FQ","FILING_STATUS=OR","EQY_CONSOLIDATED=Y","FA_ADJUSTED=GAAP","Sort=A","Dates=H","DateFormat=P","Fill=—","Direction=H","UseDPDF=Y")</f>
        <v>#NAME?</v>
      </c>
      <c r="P532" t="e">
        <f ca="1">_xll.BDH($C$528,"NET_INCOME_TO_COMMON_MARGIN","FQ4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532" t="e">
        <f ca="1">_xll.BDH($C$528,"EFF_TAX_RATE","FQ4 2014","FQ4 2014","Currency=INR","Period=FQ","BEST_FPERIOD_OVERRIDE=FQ","FILING_STATUS=OR","EQY_CONSOLIDATED=Y","FA_ADJUSTED=GAAP","Sort=A","Dates=H","DateFormat=P","Fill=—","Direction=H","UseDPDF=Y")</f>
        <v>#NAME?</v>
      </c>
      <c r="R532" t="e">
        <f ca="1">_xll.BDH($C$528,"DVD_PAYOUT_RATIO","FQ4 2014","FQ4 2014","Currency=INR","Period=FQ","BEST_FPERIOD_OVERRIDE=FQ","FILING_STATUS=OR","EQY_CONSOLIDATED=Y","FA_ADJUSTED=GAAP","Sort=A","Dates=H","DateFormat=P","Fill=—","Direction=H","UseDPDF=Y")</f>
        <v>#NAME?</v>
      </c>
      <c r="S532" t="e">
        <f ca="1">_xll.BDH($C$528,"SUSTAIN_GROWTH_RT","FQ4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532" s="2" t="e">
        <f ca="1">_xll.BDH($C$528,"SALES_GROWTH","FQ4 2014","FQ4 2014","Currency=INR","Period=FQ","BEST_FPERIOD_OVERRIDE=FQ","FILING_STATUS=OR","EQY_CONSOLIDATED=Y","FA_ADJUSTED=GAAP","Sort=A","Dates=H","DateFormat=P","Fill=—","Direction=H","UseDPDF=Y")</f>
        <v>#NAME?</v>
      </c>
      <c r="U532" s="2" t="e">
        <f ca="1">_xll.BDH($C$528,"EBITDA_GROWTH","FQ4 2014","FQ4 2014","Currency=INR","Period=FQ","BEST_FPERIOD_OVERRIDE=FQ","FILING_STATUS=OR","EQY_CONSOLIDATED=Y","FA_ADJUSTED=GAAP","Sort=A","Dates=H","DateFormat=P","Fill=—","Direction=H","UseDPDF=Y")</f>
        <v>#NAME?</v>
      </c>
      <c r="V532" s="2" t="e">
        <f ca="1">_xll.BDH($C$528,"OPER_INC_GROWTH","FQ4 2014","FQ4 2014","Currency=INR","Period=FQ","BEST_FPERIOD_OVERRIDE=FQ","FILING_STATUS=OR","EQY_CONSOLIDATED=Y","FA_ADJUSTED=GAAP","Sort=A","Dates=H","DateFormat=P","Fill=—","Direction=H","UseDPDF=Y")</f>
        <v>#NAME?</v>
      </c>
      <c r="W532" s="2" t="e">
        <f ca="1">_xll.BDH($C$528,"EARN_FOR_COM_GROWTH","FQ4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532" s="2" t="e">
        <f ca="1">_xll.BDH($C$528,"DILUTED_EPS_AFT_XO_ITEMS_GROWTH","FQ4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532" s="2" t="e">
        <f ca="1">_xll.BDH($C$528,"DIVIDEND_PER_SHARE_1_YEAR_GROWTH","FQ4 2014","FQ4 2014","Currency=INR","Period=FQ","BEST_FPERIOD_OVERRIDE=FQ","FILING_STATUS=OR","EQY_CONSOLIDATED=Y","Sort=A","Dates=H","DateFormat=P","Fill=—","Direction=H","UseDPDF=Y")</f>
        <v>#NAME?</v>
      </c>
      <c r="Z532" s="2" t="e">
        <f ca="1">_xll.BDH($C$528,"ACCOUNTS_RECEIVABLE_GROWTH","FQ4 2014","FQ4 2014","Currency=INR","Period=FQ","BEST_FPERIOD_OVERRIDE=FQ","FILING_STATUS=OR","EQY_CONSOLIDATED=Y","Sort=A","Dates=H","DateFormat=P","Fill=—","Direction=H","UseDPDF=Y")</f>
        <v>#NAME?</v>
      </c>
      <c r="AA532" s="2" t="e">
        <f ca="1">_xll.BDH($C$528,"INVENTORY_GROWTH","FQ4 2014","FQ4 2014","Currency=INR","Period=FQ","BEST_FPERIOD_OVERRIDE=FQ","FILING_STATUS=OR","EQY_CONSOLIDATED=Y","Sort=A","Dates=H","DateFormat=P","Fill=—","Direction=H","UseDPDF=Y")</f>
        <v>#NAME?</v>
      </c>
      <c r="AB532" s="2" t="e">
        <f ca="1">_xll.BDH($C$528,"NET_FIXED_ASSETS_1_YEAR_GROWTH","FQ4 2014","FQ4 2014","Currency=INR","Period=FQ","BEST_FPERIOD_OVERRIDE=FQ","FILING_STATUS=OR","EQY_CONSOLIDATED=Y","Sort=A","Dates=H","DateFormat=P","Fill=—","Direction=H","UseDPDF=Y")</f>
        <v>#NAME?</v>
      </c>
      <c r="AC532" s="2" t="e">
        <f ca="1">_xll.BDH($C$528,"ASSET_GROWTH","FQ4 2014","FQ4 2014","Currency=INR","Period=FQ","BEST_FPERIOD_OVERRIDE=FQ","FILING_STATUS=OR","EQY_CONSOLIDATED=Y","Sort=A","Dates=H","DateFormat=P","Fill=—","Direction=H","UseDPDF=Y")</f>
        <v>#NAME?</v>
      </c>
      <c r="AD532" s="2" t="e">
        <f ca="1">_xll.BDH($C$528,"MODIFIED_WORK_CAP_GROWTH","FQ4 2014","FQ4 2014","Currency=INR","Period=FQ","BEST_FPERIOD_OVERRIDE=FQ","FILING_STATUS=OR","EQY_CONSOLIDATED=Y","Sort=A","Dates=H","DateFormat=P","Fill=—","Direction=H","UseDPDF=Y")</f>
        <v>#NAME?</v>
      </c>
      <c r="AE532" s="2" t="e">
        <f ca="1">_xll.BDH($C$528,"WORK_CAP_GROWTH","FQ4 2014","FQ4 2014","Currency=INR","Period=FQ","BEST_FPERIOD_OVERRIDE=FQ","FILING_STATUS=OR","EQY_CONSOLIDATED=Y","Sort=A","Dates=H","DateFormat=P","Fill=—","Direction=H","UseDPDF=Y")</f>
        <v>#NAME?</v>
      </c>
      <c r="AF532" s="2" t="e">
        <f ca="1">_xll.BDH($C$528,"ACCOUNTS_PAYABLE_GROWTH_1YR","FQ4 2014","FQ4 2014","Currency=INR","Period=FQ","BEST_FPERIOD_OVERRIDE=FQ","FILING_STATUS=OR","EQY_CONSOLIDATED=Y","Sort=A","Dates=H","DateFormat=P","Fill=—","Direction=H","UseDPDF=Y")</f>
        <v>#NAME?</v>
      </c>
      <c r="AG532" s="2" t="e">
        <f ca="1">_xll.BDH($C$528,"SHORT_TERM_DEBT_1_YEAR_GROWTH","FQ4 2014","FQ4 2014","Currency=INR","Period=FQ","BEST_FPERIOD_OVERRIDE=FQ","FILING_STATUS=OR","EQY_CONSOLIDATED=Y","Sort=A","Dates=H","DateFormat=P","Fill=—","Direction=H","UseDPDF=Y")</f>
        <v>#NAME?</v>
      </c>
      <c r="AH532" s="2" t="e">
        <f ca="1">_xll.BDH($C$528,"TOTAL_DEBT_1_YEAR_GROWTH","FQ4 2014","FQ4 2014","Currency=INR","Period=FQ","BEST_FPERIOD_OVERRIDE=FQ","FILING_STATUS=OR","EQY_CONSOLIDATED=Y","Sort=A","Dates=H","DateFormat=P","Fill=—","Direction=H","UseDPDF=Y")</f>
        <v>#NAME?</v>
      </c>
      <c r="AI532" s="2" t="e">
        <f ca="1">_xll.BDH($C$528,"TOTAL_EQUITY_1_YEAR_GROWTH","FQ4 2014","FQ4 2014","Currency=INR","Period=FQ","BEST_FPERIOD_OVERRIDE=FQ","FILING_STATUS=OR","EQY_CONSOLIDATED=Y","Sort=A","Dates=H","DateFormat=P","Fill=—","Direction=H","UseDPDF=Y")</f>
        <v>#NAME?</v>
      </c>
      <c r="AJ532" s="2" t="e">
        <f ca="1">_xll.BDH($C$528,"GROWTH_IN_CAP","FQ4 2014","FQ4 2014","Currency=INR","Period=FQ","BEST_FPERIOD_OVERRIDE=FQ","FILING_STATUS=OR","EQY_CONSOLIDATED=Y","Sort=A","Dates=H","DateFormat=P","Fill=—","Direction=H","UseDPDF=Y")</f>
        <v>#NAME?</v>
      </c>
      <c r="AK532" s="2" t="e">
        <f ca="1">_xll.BDH($C$528,"BVPS_GROWTH","FQ4 2014","FQ4 2014","Currency=INR","Period=FQ","BEST_FPERIOD_OVERRIDE=FQ","FILING_STATUS=OR","EQY_CONSOLIDATED=Y","Sort=A","Dates=H","DateFormat=P","Fill=—","Direction=H","UseDPDF=Y")</f>
        <v>#NAME?</v>
      </c>
      <c r="AL532" s="2" t="e">
        <f ca="1">_xll.BDH($C$528,"CASH_FLOW_GROWTH","FQ4 2014","FQ4 2014","Currency=INR","Period=FQ","BEST_FPERIOD_OVERRIDE=FQ","FILING_STATUS=OR","EQY_CONSOLIDATED=Y","Sort=A","Dates=H","DateFormat=P","Fill=—","Direction=H","UseDPDF=Y")</f>
        <v>#NAME?</v>
      </c>
      <c r="AM532" s="2" t="e">
        <f ca="1">_xll.BDH($C$528,"GEO_GROW_NET_SALES","FQ4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532" s="2" t="e">
        <f ca="1">_xll.BDH($C$528,"GEO_GROW_EBITDA","FQ4 2014","FQ4 2014","Currency=INR","Period=FQ","BEST_FPERIOD_OVERRIDE=FQ","FILING_STATUS=OR","EQY_CONSOLIDATED=Y","FA_ADJUSTED=GAAP","Sort=A","Dates=H","DateFormat=P","Fill=—","Direction=H","UseDPDF=Y")</f>
        <v>#NAME?</v>
      </c>
      <c r="AO532" s="2" t="e">
        <f ca="1">_xll.BDH($C$528,"GEO_GROW_OPER_INC","FQ4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532" s="2" t="e">
        <f ca="1">_xll.BDH($C$528,"NET_INCOME_TO_COMMON_5_YR_GROWTH","FQ4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532" s="2" t="e">
        <f ca="1">_xll.BDH($C$528,"5Y_GEO_GROWTH_DILUTED_EPS","FQ4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532" s="2" t="e">
        <f ca="1">_xll.BDH($C$528,"GEO_GROW_DVD_PER_SH","FQ4 2014","FQ4 2014","Currency=INR","Period=FQ","BEST_FPERIOD_OVERRIDE=FQ","FILING_STATUS=OR","EQY_CONSOLIDATED=Y","Sort=A","Dates=H","DateFormat=P","Fill=—","Direction=H","UseDPDF=Y")</f>
        <v>#NAME?</v>
      </c>
      <c r="AS532" s="2" t="e">
        <f ca="1">_xll.BDH($C$528,"ACCOUNTS_RECEIVABLE_5_YR_GROWTH","FQ4 2014","FQ4 2014","Currency=INR","Period=FQ","BEST_FPERIOD_OVERRIDE=FQ","FILING_STATUS=OR","EQY_CONSOLIDATED=Y","Sort=A","Dates=H","DateFormat=P","Fill=—","Direction=H","UseDPDF=Y")</f>
        <v>#NAME?</v>
      </c>
      <c r="AT532" s="2" t="e">
        <f ca="1">_xll.BDH($C$528,"INVENTORY_5_YEAR_GROWTH","FQ4 2014","FQ4 2014","Currency=INR","Period=FQ","BEST_FPERIOD_OVERRIDE=FQ","FILING_STATUS=OR","EQY_CONSOLIDATED=Y","Sort=A","Dates=H","DateFormat=P","Fill=—","Direction=H","UseDPDF=Y")</f>
        <v>#NAME?</v>
      </c>
      <c r="AU532" s="2" t="e">
        <f ca="1">_xll.BDH($C$528,"NET_FIXED_ASSETS_5_YEAR_GROWTH","FQ4 2014","FQ4 2014","Currency=INR","Period=FQ","BEST_FPERIOD_OVERRIDE=FQ","FILING_STATUS=OR","EQY_CONSOLIDATED=Y","Sort=A","Dates=H","DateFormat=P","Fill=—","Direction=H","UseDPDF=Y")</f>
        <v>#NAME?</v>
      </c>
      <c r="AV532" s="2" t="e">
        <f ca="1">_xll.BDH($C$528,"GEO_GROW_TOT_ASSET","FQ4 2014","FQ4 2014","Currency=INR","Period=FQ","BEST_FPERIOD_OVERRIDE=FQ","FILING_STATUS=OR","EQY_CONSOLIDATED=Y","Sort=A","Dates=H","DateFormat=P","Fill=—","Direction=H","UseDPDF=Y")</f>
        <v>#NAME?</v>
      </c>
      <c r="AW532" s="2" t="e">
        <f ca="1">_xll.BDH($C$528,"MODIFIED_WORKING_CPTL_5YR_GRWTH","FQ4 2014","FQ4 2014","Currency=INR","Period=FQ","BEST_FPERIOD_OVERRIDE=FQ","FILING_STATUS=OR","EQY_CONSOLIDATED=Y","Sort=A","Dates=H","DateFormat=P","Fill=—","Direction=H","UseDPDF=Y")</f>
        <v>#NAME?</v>
      </c>
      <c r="AX532" s="2" t="e">
        <f ca="1">_xll.BDH($C$528,"WORKING_CAPITAL_5_YEAR_GROWTH","FQ4 2014","FQ4 2014","Currency=INR","Period=FQ","BEST_FPERIOD_OVERRIDE=FQ","FILING_STATUS=OR","EQY_CONSOLIDATED=Y","Sort=A","Dates=H","DateFormat=P","Fill=—","Direction=H","UseDPDF=Y")</f>
        <v>#NAME?</v>
      </c>
      <c r="AY532" s="2" t="e">
        <f ca="1">_xll.BDH($C$528,"ACCOUNTS_PAYABLE_5_YEAR_GROWTH","FQ4 2014","FQ4 2014","Currency=INR","Period=FQ","BEST_FPERIOD_OVERRIDE=FQ","FILING_STATUS=OR","EQY_CONSOLIDATED=Y","Sort=A","Dates=H","DateFormat=P","Fill=—","Direction=H","UseDPDF=Y")</f>
        <v>#NAME?</v>
      </c>
      <c r="AZ532" s="2" t="e">
        <f ca="1">_xll.BDH($C$528,"SHORT_TERM_DEBT_5_YEAR_GROWTH","FQ4 2014","FQ4 2014","Currency=INR","Period=FQ","BEST_FPERIOD_OVERRIDE=FQ","FILING_STATUS=OR","EQY_CONSOLIDATED=Y","Sort=A","Dates=H","DateFormat=P","Fill=—","Direction=H","UseDPDF=Y")</f>
        <v>#NAME?</v>
      </c>
      <c r="BA532" s="2" t="e">
        <f ca="1">_xll.BDH($C$528,"TOTAL_DEBT_5_YEAR_GROWTH","FQ4 2014","FQ4 2014","Currency=INR","Period=FQ","BEST_FPERIOD_OVERRIDE=FQ","FILING_STATUS=OR","EQY_CONSOLIDATED=Y","Sort=A","Dates=H","DateFormat=P","Fill=—","Direction=H","UseDPDF=Y")</f>
        <v>#NAME?</v>
      </c>
      <c r="BB532" s="2" t="e">
        <f ca="1">_xll.BDH($C$528,"GEO_GROW_TOT_SHRHLDR_EQY","FQ4 2014","FQ4 2014","Currency=INR","Period=FQ","BEST_FPERIOD_OVERRIDE=FQ","FILING_STATUS=OR","EQY_CONSOLIDATED=Y","Sort=A","Dates=H","DateFormat=P","Fill=—","Direction=H","UseDPDF=Y")</f>
        <v>#NAME?</v>
      </c>
      <c r="BC532" s="2" t="e">
        <f ca="1">_xll.BDH($C$528,"TOTAL_CAPITAL_5_YEAR_GROWTH","FQ4 2014","FQ4 2014","Currency=INR","Period=FQ","BEST_FPERIOD_OVERRIDE=FQ","FILING_STATUS=OR","EQY_CONSOLIDATED=Y","Sort=A","Dates=H","DateFormat=P","Fill=—","Direction=H","UseDPDF=Y")</f>
        <v>#NAME?</v>
      </c>
      <c r="BD532" s="2" t="e">
        <f ca="1">_xll.BDH($C$528,"GEO_GROW_BOOK_VAL","FQ4 2014","FQ4 2014","Currency=INR","Period=FQ","BEST_FPERIOD_OVERRIDE=FQ","FILING_STATUS=OR","EQY_CONSOLIDATED=Y","Sort=A","Dates=H","DateFormat=P","Fill=—","Direction=H","UseDPDF=Y")</f>
        <v>#NAME?</v>
      </c>
      <c r="BE532" s="2" t="e">
        <f ca="1">_xll.BDH($C$528,"GEO_GROW_CASH_OPER_ACT","FQ4 2014","FQ4 2014","Currency=INR","Period=FQ","BEST_FPERIOD_OVERRIDE=FQ","FILING_STATUS=OR","EQY_CONSOLIDATED=Y","Sort=A","Dates=H","DateFormat=P","Fill=—","Direction=H","UseDPDF=Y")</f>
        <v>#NAME?</v>
      </c>
      <c r="BF532" s="2" t="e">
        <f ca="1">_xll.BDH($C$528,"REVENUE_SEQUENTIAL_GROWTH","FQ4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532" s="2" t="e">
        <f ca="1">_xll.BDH($C$528,"EBITDA_SEQUENTIAL_GROWTH","FQ4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532" s="2" t="e">
        <f ca="1">_xll.BDH($C$528,"OPERATING_INCOME_SEQ_GROWTH","FQ4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532" s="2" t="e">
        <f ca="1">_xll.BDH($C$528,"NET_INCOME_TO_COMMON_SEQ_GROWTH","FQ4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532" s="2" t="e">
        <f ca="1">_xll.BDH($C$528,"EPS_DILUTED_SEQUENTIAL_GROWTH","FQ4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532" s="2" t="e">
        <f ca="1">_xll.BDH($C$528,"DPS_SEQUENTIAL_GROWTH","FQ4 2014","FQ4 2014","Currency=INR","Period=FQ","BEST_FPERIOD_OVERRIDE=FQ","FILING_STATUS=OR","EQY_CONSOLIDATED=Y","Sort=A","Dates=H","DateFormat=P","Fill=—","Direction=H","UseDPDF=Y")</f>
        <v>#NAME?</v>
      </c>
      <c r="BL532" s="2" t="e">
        <f ca="1">_xll.BDH($C$528,"ACCOUNTS_RECEIVABLE_SEQ_GROWTH","FQ4 2014","FQ4 2014","Currency=INR","Period=FQ","BEST_FPERIOD_OVERRIDE=FQ","FILING_STATUS=OR","EQY_CONSOLIDATED=Y","Sort=A","Dates=H","DateFormat=P","Fill=—","Direction=H","UseDPDF=Y")</f>
        <v>#NAME?</v>
      </c>
      <c r="BM532" s="2" t="e">
        <f ca="1">_xll.BDH($C$528,"INVENTORY_SEQUENTIAL_GROWTH","FQ4 2014","FQ4 2014","Currency=INR","Period=FQ","BEST_FPERIOD_OVERRIDE=FQ","FILING_STATUS=OR","EQY_CONSOLIDATED=Y","Sort=A","Dates=H","DateFormat=P","Fill=—","Direction=H","UseDPDF=Y")</f>
        <v>#NAME?</v>
      </c>
      <c r="BN532" s="2" t="e">
        <f ca="1">_xll.BDH($C$528,"FIXED_ASSETS_SEQUENTIAL_GROWTH","FQ4 2014","FQ4 2014","Currency=INR","Period=FQ","BEST_FPERIOD_OVERRIDE=FQ","FILING_STATUS=OR","EQY_CONSOLIDATED=Y","Sort=A","Dates=H","DateFormat=P","Fill=—","Direction=H","UseDPDF=Y")</f>
        <v>#NAME?</v>
      </c>
      <c r="BO532" s="2" t="e">
        <f ca="1">_xll.BDH($C$528,"TOTAL_ASSETS_SEQUENTIAL_GROWTH","FQ4 2014","FQ4 2014","Currency=INR","Period=FQ","BEST_FPERIOD_OVERRIDE=FQ","FILING_STATUS=OR","EQY_CONSOLIDATED=Y","Sort=A","Dates=H","DateFormat=P","Fill=—","Direction=H","UseDPDF=Y")</f>
        <v>#NAME?</v>
      </c>
      <c r="BP532" s="2" t="e">
        <f ca="1">_xll.BDH($C$528,"MODIFIED_WORKING_CPTL_SEQ_GRWTH","FQ4 2014","FQ4 2014","Currency=INR","Period=FQ","BEST_FPERIOD_OVERRIDE=FQ","FILING_STATUS=OR","EQY_CONSOLIDATED=Y","Sort=A","Dates=H","DateFormat=P","Fill=—","Direction=H","UseDPDF=Y")</f>
        <v>#NAME?</v>
      </c>
      <c r="BQ532" s="2" t="e">
        <f ca="1">_xll.BDH($C$528,"WORKING_CAPITAL_SEQ_GROWTH","FQ4 2014","FQ4 2014","Currency=INR","Period=FQ","BEST_FPERIOD_OVERRIDE=FQ","FILING_STATUS=OR","EQY_CONSOLIDATED=Y","Sort=A","Dates=H","DateFormat=P","Fill=—","Direction=H","UseDPDF=Y")</f>
        <v>#NAME?</v>
      </c>
      <c r="BR532" s="2" t="e">
        <f ca="1">_xll.BDH($C$528,"ACCOUNTS_PAYABLE_SEQ_GROWTH","FQ4 2014","FQ4 2014","Currency=INR","Period=FQ","BEST_FPERIOD_OVERRIDE=FQ","FILING_STATUS=OR","EQY_CONSOLIDATED=Y","Sort=A","Dates=H","DateFormat=P","Fill=—","Direction=H","UseDPDF=Y")</f>
        <v>#NAME?</v>
      </c>
      <c r="BS532" s="2" t="e">
        <f ca="1">_xll.BDH($C$528,"ST_DEBT_SEQUENTIAL_GROWTH","FQ4 2014","FQ4 2014","Currency=INR","Period=FQ","BEST_FPERIOD_OVERRIDE=FQ","FILING_STATUS=OR","EQY_CONSOLIDATED=Y","Sort=A","Dates=H","DateFormat=P","Fill=—","Direction=H","UseDPDF=Y")</f>
        <v>#NAME?</v>
      </c>
      <c r="BT532" s="2" t="e">
        <f ca="1">_xll.BDH($C$528,"TOTAL_DEBT_SEQUENTIAL_GROWTH","FQ4 2014","FQ4 2014","Currency=INR","Period=FQ","BEST_FPERIOD_OVERRIDE=FQ","FILING_STATUS=OR","EQY_CONSOLIDATED=Y","Sort=A","Dates=H","DateFormat=P","Fill=—","Direction=H","UseDPDF=Y")</f>
        <v>#NAME?</v>
      </c>
      <c r="BU532" s="2" t="e">
        <f ca="1">_xll.BDH($C$528,"TOTAL_EQUITY_SEQUENTIAL_GROWTH","FQ4 2014","FQ4 2014","Currency=INR","Period=FQ","BEST_FPERIOD_OVERRIDE=FQ","FILING_STATUS=OR","EQY_CONSOLIDATED=Y","Sort=A","Dates=H","DateFormat=P","Fill=—","Direction=H","UseDPDF=Y")</f>
        <v>#NAME?</v>
      </c>
      <c r="BV532" s="2" t="e">
        <f ca="1">_xll.BDH($C$528,"TOTAL_CAPITAL_SEQUENTIAL_GROWTH","FQ4 2014","FQ4 2014","Currency=INR","Period=FQ","BEST_FPERIOD_OVERRIDE=FQ","FILING_STATUS=OR","EQY_CONSOLIDATED=Y","Sort=A","Dates=H","DateFormat=P","Fill=—","Direction=H","UseDPDF=Y")</f>
        <v>#NAME?</v>
      </c>
      <c r="BW532" s="2" t="e">
        <f ca="1">_xll.BDH($C$528,"BPS_SEQUENTIAL_GROWTH","FQ4 2014","FQ4 2014","Currency=INR","Period=FQ","BEST_FPERIOD_OVERRIDE=FQ","FILING_STATUS=OR","EQY_CONSOLIDATED=Y","Sort=A","Dates=H","DateFormat=P","Fill=—","Direction=H","UseDPDF=Y")</f>
        <v>#NAME?</v>
      </c>
      <c r="BX532" s="2" t="e">
        <f ca="1">_xll.BDH($C$528,"CFO_SEQUENTIAL_GROWTH","FQ4 2014","FQ4 2014","Currency=INR","Period=FQ","BEST_FPERIOD_OVERRIDE=FQ","FILING_STATUS=OR","EQY_CONSOLIDATED=Y","Sort=A","Dates=H","DateFormat=P","Fill=—","Direction=H","UseDPDF=Y")</f>
        <v>#NAME?</v>
      </c>
      <c r="BY532" s="3" t="e">
        <f ca="1">_xll.BDH($C$528,"SHORT_AND_LONG_TERM_DEBT","FQ4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532" s="3" t="e">
        <f ca="1">_xll.BDH($C$528,"BS_ST_BORROW","FQ4 2014","FQ4 2014","Currency=INR","Period=FQ","BEST_FPERIOD_OVERRIDE=FQ","FILING_STATUS=OR","EQY_CONSOLIDATED=Y","SCALING_FORMAT=MLN","Sort=A","Dates=H","DateFormat=P","Fill=—","Direction=H","UseDPDF=Y")</f>
        <v>#NAME?</v>
      </c>
      <c r="CA532" s="3" t="e">
        <f ca="1">_xll.BDH($C$528,"BS_LT_BORROW","FQ4 2014","FQ4 2014","Currency=INR","Period=FQ","BEST_FPERIOD_OVERRIDE=FQ","FILING_STATUS=OR","EQY_CONSOLIDATED=Y","SCALING_FORMAT=MLN","Sort=A","Dates=H","DateFormat=P","Fill=—","Direction=H","UseDPDF=Y")</f>
        <v>#NAME?</v>
      </c>
      <c r="CB532" s="2" t="e">
        <f ca="1">_xll.BDH($C$528,"TOT_DEBT_TO_EBITDA","FQ4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532" s="2" t="e">
        <f ca="1">_xll.BDH($C$528,"NET_DEBT_TO_EBITDA","FQ4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532" s="2" t="e">
        <f ca="1">_xll.BDH($C$528,"TOTAL_DEBT_TO_EBIT","FQ4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532" s="2" t="e">
        <f ca="1">_xll.BDH($C$528,"NET_DEBT_TO_EBIT","FQ4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532" s="2" t="e">
        <f ca="1">_xll.BDH($C$528,"EBITDA_TO_INTEREST_EXPN","FQ4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532" s="2" t="e">
        <f ca="1">_xll.BDH($C$528,"COM_EQY_TO_TOT_ASSET","FQ4 2014","FQ4 2014","Currency=INR","Period=FQ","BEST_FPERIOD_OVERRIDE=FQ","FILING_STATUS=OR","EQY_CONSOLIDATED=Y","Sort=A","Dates=H","DateFormat=P","Fill=—","Direction=H","UseDPDF=Y")</f>
        <v>#NAME?</v>
      </c>
      <c r="CH532" s="2" t="e">
        <f ca="1">_xll.BDH($C$528,"LT_DEBT_TO_TOT_EQY","FQ4 2014","FQ4 2014","Currency=INR","Period=FQ","BEST_FPERIOD_OVERRIDE=FQ","FILING_STATUS=OR","EQY_CONSOLIDATED=Y","Sort=A","Dates=H","DateFormat=P","Fill=—","Direction=H","UseDPDF=Y")</f>
        <v>#NAME?</v>
      </c>
      <c r="CI532" s="2" t="e">
        <f ca="1">_xll.BDH($C$528,"LT_DEBT_TO_TOT_CAP","FQ4 2014","FQ4 2014","Currency=INR","Period=FQ","BEST_FPERIOD_OVERRIDE=FQ","FILING_STATUS=OR","EQY_CONSOLIDATED=Y","Sort=A","Dates=H","DateFormat=P","Fill=—","Direction=H","UseDPDF=Y")</f>
        <v>#NAME?</v>
      </c>
      <c r="CJ532" s="2" t="e">
        <f ca="1">_xll.BDH($C$528,"LT_DEBT_TO_TOT_ASSET","FQ4 2014","FQ4 2014","Currency=INR","Period=FQ","BEST_FPERIOD_OVERRIDE=FQ","FILING_STATUS=OR","EQY_CONSOLIDATED=Y","Sort=A","Dates=H","DateFormat=P","Fill=—","Direction=H","UseDPDF=Y")</f>
        <v>#NAME?</v>
      </c>
      <c r="CK532" s="2" t="e">
        <f ca="1">_xll.BDH($C$528,"TOT_DEBT_TO_TOT_EQY","FQ4 2014","FQ4 2014","Currency=INR","Period=FQ","BEST_FPERIOD_OVERRIDE=FQ","FILING_STATUS=OR","EQY_CONSOLIDATED=Y","Sort=A","Dates=H","DateFormat=P","Fill=—","Direction=H","UseDPDF=Y")</f>
        <v>#NAME?</v>
      </c>
      <c r="CL532" s="2" t="e">
        <f ca="1">_xll.BDH($C$528,"TOT_DEBT_TO_TOT_CAP","FQ4 2014","FQ4 2014","Currency=INR","Period=FQ","BEST_FPERIOD_OVERRIDE=FQ","FILING_STATUS=OR","EQY_CONSOLIDATED=Y","Sort=A","Dates=H","DateFormat=P","Fill=—","Direction=H","UseDPDF=Y")</f>
        <v>#NAME?</v>
      </c>
      <c r="CM532" s="2" t="e">
        <f ca="1">_xll.BDH($C$528,"TOT_DEBT_TO_TOT_ASSET","FQ4 2014","FQ4 2014","Currency=INR","Period=FQ","BEST_FPERIOD_OVERRIDE=FQ","FILING_STATUS=OR","EQY_CONSOLIDATED=Y","Sort=A","Dates=H","DateFormat=P","Fill=—","Direction=H","UseDPDF=Y")</f>
        <v>#NAME?</v>
      </c>
      <c r="CN532" s="2" t="e">
        <f ca="1">_xll.BDH($C$528,"NET_DEBT_TO_SHRHLDR_EQTY","FQ4 2014","FQ4 2014","Currency=INR","Period=FQ","BEST_FPERIOD_OVERRIDE=FQ","FILING_STATUS=OR","EQY_CONSOLIDATED=Y","Sort=A","Dates=H","DateFormat=P","Fill=—","Direction=H","UseDPDF=Y")</f>
        <v>#NAME?</v>
      </c>
      <c r="CO532" s="2" t="e">
        <f ca="1">_xll.BDH($C$528,"NET_DEBT_%_CAPITAL","FQ4 2014","FQ4 2014","Currency=INR","Period=FQ","BEST_FPERIOD_OVERRIDE=FQ","FILING_STATUS=OR","EQY_CONSOLIDATED=Y","Sort=A","Dates=H","DateFormat=P","Fill=—","Direction=H","UseDPDF=Y")</f>
        <v>#NAME?</v>
      </c>
      <c r="CP532" s="3" t="e">
        <f ca="1">_xll.BDH($C$528,"EBITDA","FQ4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532" s="3" t="e">
        <f ca="1">_xll.BDH($C$528,"EBITDA_AFTER_CAPEX","FQ4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532" s="3" t="e">
        <f ca="1">_xll.BDH($C$528,"IS_OPER_INC","FQ4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532" s="2" t="e">
        <f ca="1">_xll.BDH($C$528,"CASH_RATIO","FQ4 2014","FQ4 2014","Currency=INR","Period=FQ","BEST_FPERIOD_OVERRIDE=FQ","FILING_STATUS=OR","EQY_CONSOLIDATED=Y","Sort=A","Dates=H","DateFormat=P","Fill=—","Direction=H","UseDPDF=Y")</f>
        <v>#NAME?</v>
      </c>
      <c r="CT532" s="2" t="e">
        <f ca="1">_xll.BDH($C$528,"CUR_RATIO","FQ4 2014","FQ4 2014","Currency=INR","Period=FQ","BEST_FPERIOD_OVERRIDE=FQ","FILING_STATUS=OR","EQY_CONSOLIDATED=Y","Sort=A","Dates=H","DateFormat=P","Fill=—","Direction=H","UseDPDF=Y")</f>
        <v>#NAME?</v>
      </c>
      <c r="CU532" s="2" t="e">
        <f ca="1">_xll.BDH($C$528,"QUICK_RATIO","FQ4 2014","FQ4 2014","Currency=INR","Period=FQ","BEST_FPERIOD_OVERRIDE=FQ","FILING_STATUS=OR","EQY_CONSOLIDATED=Y","Sort=A","Dates=H","DateFormat=P","Fill=—","Direction=H","UseDPDF=Y")</f>
        <v>#NAME?</v>
      </c>
      <c r="CV532" s="2" t="e">
        <f ca="1">_xll.BDH($C$528,"ALTMAN_Z_SCORE","FQ4 2014","FQ4 2014","Currency=INR","Period=FQ","BEST_FPERIOD_OVERRIDE=FQ","FILING_STATUS=OR","EQY_CONSOLIDATED=Y","Sort=A","Dates=H","DateFormat=P","Fill=—","Direction=H","UseDPDF=Y")</f>
        <v>#NAME?</v>
      </c>
      <c r="CW532" s="4" t="e">
        <f ca="1">_xll.BDH($C$528,"ACCT_RCV_TURN","FQ4 2014","FQ4 2014","Currency=INR","Period=FQ","BEST_FPERIOD_OVERRIDE=FQ","FILING_STATUS=OR","EQY_CONSOLIDATED=Y","FA_ADJUSTED=GAAP","Sort=A","Dates=H","DateFormat=P","Fill=—","Direction=H","UseDPDF=Y")</f>
        <v>#NAME?</v>
      </c>
      <c r="CX532" s="2" t="e">
        <f ca="1">_xll.BDH($C$528,"ACCT_RCV_DAYS","FQ4 2014","FQ4 2014","Currency=INR","Period=FQ","BEST_FPERIOD_OVERRIDE=FQ","FILING_STATUS=OR","EQY_CONSOLIDATED=Y","FA_ADJUSTED=GAAP","Sort=A","Dates=H","DateFormat=P","Fill=—","Direction=H","UseDPDF=Y")</f>
        <v>#NAME?</v>
      </c>
      <c r="CY532" s="4" t="e">
        <f ca="1">_xll.BDH($C$528,"INVENT_TURN","FQ4 2014","FQ4 2014","Currency=INR","Period=FQ","BEST_FPERIOD_OVERRIDE=FQ","FILING_STATUS=OR","EQY_CONSOLIDATED=Y","FA_ADJUSTED=GAAP","Sort=A","Dates=H","DateFormat=P","Fill=—","Direction=H","UseDPDF=Y")</f>
        <v>#NAME?</v>
      </c>
      <c r="CZ532" s="2" t="e">
        <f ca="1">_xll.BDH($C$528,"INVENT_DAYS","FQ4 2014","FQ4 2014","Currency=INR","Period=FQ","BEST_FPERIOD_OVERRIDE=FQ","FILING_STATUS=OR","EQY_CONSOLIDATED=Y","FA_ADJUSTED=GAAP","Sort=A","Dates=H","DateFormat=P","Fill=—","Direction=H","UseDPDF=Y")</f>
        <v>#NAME?</v>
      </c>
      <c r="DA532" s="4" t="e">
        <f ca="1">_xll.BDH($C$528,"ACCOUNTS_PAYABLE_TURNOVER","FQ4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532" s="2" t="e">
        <f ca="1">_xll.BDH($C$528,"ACCOUNTS_PAYABLE_TURNOVER_DAYS","FQ4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532" s="4" t="e">
        <f ca="1">_xll.BDH($C$528,"CASH_CONVERSION_CYCLE","FQ4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532" s="4" t="e">
        <f ca="1">_xll.BDH($C$528,"INV_TO_CASH_DAYS","FQ4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532" s="5" t="e">
        <f ca="1">_xll.BDH($C$528,"BS_INVENTORIES","FQ4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532" s="3" t="e">
        <f ca="1">_xll.BDH($C$528,"INVTRY_RAW_MATERIALS","FQ4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532" s="3" t="e">
        <f ca="1">_xll.BDH($C$528,"INVTRY_IN_PROGRESS","FQ4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532" s="3" t="e">
        <f ca="1">_xll.BDH($C$528,"INVTRY_FINISHED_GOODS","FQ4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532" s="3" t="e">
        <f ca="1">_xll.BDH($C$528,"BS_OTHER_INV","FQ4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533" spans="1:113" x14ac:dyDescent="0.3">
      <c r="A533" s="6"/>
      <c r="B533" s="6"/>
      <c r="C533" s="6"/>
      <c r="D533" s="6" t="s">
        <v>82</v>
      </c>
      <c r="E533" t="s">
        <v>77</v>
      </c>
      <c r="F533" t="e">
        <f ca="1">_xll.BDH($C$528,"RETURN_COM_EQY","FY 2015","FY 2015","Currency=INR","Period=FY","BEST_FPERIOD_OVERRIDE=FY","FILING_STATUS=OR","EQY_CONSOLIDATED=Y","FA_ADJUSTED=GAAP","Sort=A","Dates=H","DateFormat=P","Fill=—","Direction=H","UseDPDF=Y")</f>
        <v>#NAME?</v>
      </c>
      <c r="G533" t="e">
        <f ca="1">_xll.BDH($C$528,"RETURN_ON_ASSET","FY 2015","FY 2015","Currency=INR","Period=FY","BEST_FPERIOD_OVERRIDE=FY","FILING_STATUS=OR","EQY_CONSOLIDATED=Y","FA_ADJUSTED=GAAP","Sort=A","Dates=H","DateFormat=P","Fill=—","Direction=H","UseDPDF=Y")</f>
        <v>#NAME?</v>
      </c>
      <c r="H533" t="e">
        <f ca="1">_xll.BDH($C$528,"RETURN_ON_CAP","FY 2015","FY 2015","Currency=INR","Period=FY","BEST_FPERIOD_OVERRIDE=FY","FILING_STATUS=OR","EQY_CONSOLIDATED=Y","FA_ADJUSTED=GAAP","Sort=A","Dates=H","DateFormat=P","Fill=—","Direction=H","UseDPDF=Y")</f>
        <v>#NAME?</v>
      </c>
      <c r="I533" t="e">
        <f ca="1">_xll.BDH($C$528,"RETURN_ON_INV_CAPITAL","FY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533" t="e">
        <f ca="1">_xll.BDH($C$528,"EBITDA_TO_REVENUE","FY 2015","FY 2015","Currency=INR","Period=FY","BEST_FPERIOD_OVERRIDE=FY","FILING_STATUS=OR","EQY_CONSOLIDATED=Y","FA_ADJUSTED=GAAP","Sort=A","Dates=H","DateFormat=P","Fill=—","Direction=H","UseDPDF=Y")</f>
        <v>#NAME?</v>
      </c>
      <c r="K533" t="e">
        <f ca="1">_xll.BDH($C$528,"OPER_MARGIN","FY 2015","FY 2015","Currency=INR","Period=FY","BEST_FPERIOD_OVERRIDE=FY","FILING_STATUS=OR","EQY_CONSOLIDATED=Y","FA_ADJUSTED=GAAP","Sort=A","Dates=H","DateFormat=P","Fill=—","Direction=H","UseDPDF=Y")</f>
        <v>#NAME?</v>
      </c>
      <c r="L533" t="e">
        <f ca="1">_xll.BDH($C$528,"INCREMENTAL_OPERATING_MARGIN","FY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533" t="e">
        <f ca="1">_xll.BDH($C$528,"PRETAX_INC_TO_NET_SALES","FY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533" t="e">
        <f ca="1">_xll.BDH($C$528,"INC_BEF_XO_ITEMS_TO_NET_SALES","FY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533" t="e">
        <f ca="1">_xll.BDH($C$528,"PROF_MARGIN","FY 2015","FY 2015","Currency=INR","Period=FY","BEST_FPERIOD_OVERRIDE=FY","FILING_STATUS=OR","EQY_CONSOLIDATED=Y","FA_ADJUSTED=GAAP","Sort=A","Dates=H","DateFormat=P","Fill=—","Direction=H","UseDPDF=Y")</f>
        <v>#NAME?</v>
      </c>
      <c r="P533" t="e">
        <f ca="1">_xll.BDH($C$528,"NET_INCOME_TO_COMMON_MARGIN","FY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533" t="e">
        <f ca="1">_xll.BDH($C$528,"EFF_TAX_RATE","FY 2015","FY 2015","Currency=INR","Period=FY","BEST_FPERIOD_OVERRIDE=FY","FILING_STATUS=OR","EQY_CONSOLIDATED=Y","FA_ADJUSTED=GAAP","Sort=A","Dates=H","DateFormat=P","Fill=—","Direction=H","UseDPDF=Y")</f>
        <v>#NAME?</v>
      </c>
      <c r="R533" t="e">
        <f ca="1">_xll.BDH($C$528,"DVD_PAYOUT_RATIO","FY 2015","FY 2015","Currency=INR","Period=FY","BEST_FPERIOD_OVERRIDE=FY","FILING_STATUS=OR","EQY_CONSOLIDATED=Y","FA_ADJUSTED=GAAP","Sort=A","Dates=H","DateFormat=P","Fill=—","Direction=H","UseDPDF=Y")</f>
        <v>#NAME?</v>
      </c>
      <c r="S533" t="e">
        <f ca="1">_xll.BDH($C$528,"SUSTAIN_GROWTH_RT","FY 2015","FY 2015","Currency=INR","Period=FY","BEST_FPERIOD_OVERRIDE=FY","FILING_STATUS=OR","EQY_CONSOLIDATED=Y","FA_ADJUSTED=GAAP","Sort=A","Dates=H","DateFormat=P","Fill=—","Direction=H","UseDPDF=Y")</f>
        <v>#NAME?</v>
      </c>
      <c r="T533" s="2" t="e">
        <f ca="1">_xll.BDH($C$528,"SALES_GROWTH","FY 2015","FY 2015","Currency=INR","Period=FY","BEST_FPERIOD_OVERRIDE=FY","FILING_STATUS=OR","EQY_CONSOLIDATED=Y","FA_ADJUSTED=GAAP","Sort=A","Dates=H","DateFormat=P","Fill=—","Direction=H","UseDPDF=Y")</f>
        <v>#NAME?</v>
      </c>
      <c r="U533" s="2" t="e">
        <f ca="1">_xll.BDH($C$528,"EBITDA_GROWTH","FY 2015","FY 2015","Currency=INR","Period=FY","BEST_FPERIOD_OVERRIDE=FY","FILING_STATUS=OR","EQY_CONSOLIDATED=Y","FA_ADJUSTED=GAAP","Sort=A","Dates=H","DateFormat=P","Fill=—","Direction=H","UseDPDF=Y")</f>
        <v>#NAME?</v>
      </c>
      <c r="V533" s="2" t="e">
        <f ca="1">_xll.BDH($C$528,"OPER_INC_GROWTH","FY 2015","FY 2015","Currency=INR","Period=FY","BEST_FPERIOD_OVERRIDE=FY","FILING_STATUS=OR","EQY_CONSOLIDATED=Y","FA_ADJUSTED=GAAP","Sort=A","Dates=H","DateFormat=P","Fill=—","Direction=H","UseDPDF=Y")</f>
        <v>#NAME?</v>
      </c>
      <c r="W533" s="2" t="e">
        <f ca="1">_xll.BDH($C$528,"EARN_FOR_COM_GROWTH","FY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533" s="2" t="e">
        <f ca="1">_xll.BDH($C$528,"DILUTED_EPS_AFT_XO_ITEMS_GROWTH","FY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533" s="2" t="e">
        <f ca="1">_xll.BDH($C$528,"DIVIDEND_PER_SHARE_1_YEAR_GROWTH","FY 2015","FY 2015","Currency=INR","Period=FY","BEST_FPERIOD_OVERRIDE=FY","FILING_STATUS=OR","EQY_CONSOLIDATED=Y","Sort=A","Dates=H","DateFormat=P","Fill=—","Direction=H","UseDPDF=Y")</f>
        <v>#NAME?</v>
      </c>
      <c r="Z533" s="2" t="e">
        <f ca="1">_xll.BDH($C$528,"ACCOUNTS_RECEIVABLE_GROWTH","FY 2015","FY 2015","Currency=INR","Period=FY","BEST_FPERIOD_OVERRIDE=FY","FILING_STATUS=OR","EQY_CONSOLIDATED=Y","Sort=A","Dates=H","DateFormat=P","Fill=—","Direction=H","UseDPDF=Y")</f>
        <v>#NAME?</v>
      </c>
      <c r="AA533" s="2" t="e">
        <f ca="1">_xll.BDH($C$528,"INVENTORY_GROWTH","FY 2015","FY 2015","Currency=INR","Period=FY","BEST_FPERIOD_OVERRIDE=FY","FILING_STATUS=OR","EQY_CONSOLIDATED=Y","Sort=A","Dates=H","DateFormat=P","Fill=—","Direction=H","UseDPDF=Y")</f>
        <v>#NAME?</v>
      </c>
      <c r="AB533" s="2" t="e">
        <f ca="1">_xll.BDH($C$528,"NET_FIXED_ASSETS_1_YEAR_GROWTH","FY 2015","FY 2015","Currency=INR","Period=FY","BEST_FPERIOD_OVERRIDE=FY","FILING_STATUS=OR","EQY_CONSOLIDATED=Y","Sort=A","Dates=H","DateFormat=P","Fill=—","Direction=H","UseDPDF=Y")</f>
        <v>#NAME?</v>
      </c>
      <c r="AC533" s="2" t="e">
        <f ca="1">_xll.BDH($C$528,"ASSET_GROWTH","FY 2015","FY 2015","Currency=INR","Period=FY","BEST_FPERIOD_OVERRIDE=FY","FILING_STATUS=OR","EQY_CONSOLIDATED=Y","Sort=A","Dates=H","DateFormat=P","Fill=—","Direction=H","UseDPDF=Y")</f>
        <v>#NAME?</v>
      </c>
      <c r="AD533" s="2" t="e">
        <f ca="1">_xll.BDH($C$528,"MODIFIED_WORK_CAP_GROWTH","FY 2015","FY 2015","Currency=INR","Period=FY","BEST_FPERIOD_OVERRIDE=FY","FILING_STATUS=OR","EQY_CONSOLIDATED=Y","Sort=A","Dates=H","DateFormat=P","Fill=—","Direction=H","UseDPDF=Y")</f>
        <v>#NAME?</v>
      </c>
      <c r="AE533" s="2" t="e">
        <f ca="1">_xll.BDH($C$528,"WORK_CAP_GROWTH","FY 2015","FY 2015","Currency=INR","Period=FY","BEST_FPERIOD_OVERRIDE=FY","FILING_STATUS=OR","EQY_CONSOLIDATED=Y","Sort=A","Dates=H","DateFormat=P","Fill=—","Direction=H","UseDPDF=Y")</f>
        <v>#NAME?</v>
      </c>
      <c r="AF533" s="2" t="e">
        <f ca="1">_xll.BDH($C$528,"ACCOUNTS_PAYABLE_GROWTH_1YR","FY 2015","FY 2015","Currency=INR","Period=FY","BEST_FPERIOD_OVERRIDE=FY","FILING_STATUS=OR","EQY_CONSOLIDATED=Y","Sort=A","Dates=H","DateFormat=P","Fill=—","Direction=H","UseDPDF=Y")</f>
        <v>#NAME?</v>
      </c>
      <c r="AG533" s="2" t="e">
        <f ca="1">_xll.BDH($C$528,"SHORT_TERM_DEBT_1_YEAR_GROWTH","FY 2015","FY 2015","Currency=INR","Period=FY","BEST_FPERIOD_OVERRIDE=FY","FILING_STATUS=OR","EQY_CONSOLIDATED=Y","Sort=A","Dates=H","DateFormat=P","Fill=—","Direction=H","UseDPDF=Y")</f>
        <v>#NAME?</v>
      </c>
      <c r="AH533" s="2" t="e">
        <f ca="1">_xll.BDH($C$528,"TOTAL_DEBT_1_YEAR_GROWTH","FY 2015","FY 2015","Currency=INR","Period=FY","BEST_FPERIOD_OVERRIDE=FY","FILING_STATUS=OR","EQY_CONSOLIDATED=Y","Sort=A","Dates=H","DateFormat=P","Fill=—","Direction=H","UseDPDF=Y")</f>
        <v>#NAME?</v>
      </c>
      <c r="AI533" s="2" t="e">
        <f ca="1">_xll.BDH($C$528,"TOTAL_EQUITY_1_YEAR_GROWTH","FY 2015","FY 2015","Currency=INR","Period=FY","BEST_FPERIOD_OVERRIDE=FY","FILING_STATUS=OR","EQY_CONSOLIDATED=Y","Sort=A","Dates=H","DateFormat=P","Fill=—","Direction=H","UseDPDF=Y")</f>
        <v>#NAME?</v>
      </c>
      <c r="AJ533" s="2" t="e">
        <f ca="1">_xll.BDH($C$528,"GROWTH_IN_CAP","FY 2015","FY 2015","Currency=INR","Period=FY","BEST_FPERIOD_OVERRIDE=FY","FILING_STATUS=OR","EQY_CONSOLIDATED=Y","Sort=A","Dates=H","DateFormat=P","Fill=—","Direction=H","UseDPDF=Y")</f>
        <v>#NAME?</v>
      </c>
      <c r="AK533" s="2" t="e">
        <f ca="1">_xll.BDH($C$528,"BVPS_GROWTH","FY 2015","FY 2015","Currency=INR","Period=FY","BEST_FPERIOD_OVERRIDE=FY","FILING_STATUS=OR","EQY_CONSOLIDATED=Y","Sort=A","Dates=H","DateFormat=P","Fill=—","Direction=H","UseDPDF=Y")</f>
        <v>#NAME?</v>
      </c>
      <c r="AL533" s="2" t="e">
        <f ca="1">_xll.BDH($C$528,"CASH_FLOW_GROWTH","FY 2015","FY 2015","Currency=INR","Period=FY","BEST_FPERIOD_OVERRIDE=FY","FILING_STATUS=OR","EQY_CONSOLIDATED=Y","Sort=A","Dates=H","DateFormat=P","Fill=—","Direction=H","UseDPDF=Y")</f>
        <v>#NAME?</v>
      </c>
      <c r="AM533" s="2" t="e">
        <f ca="1">_xll.BDH($C$528,"GEO_GROW_NET_SALES","FY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533" s="2" t="e">
        <f ca="1">_xll.BDH($C$528,"GEO_GROW_EBITDA","FY 2015","FY 2015","Currency=INR","Period=FY","BEST_FPERIOD_OVERRIDE=FY","FILING_STATUS=OR","EQY_CONSOLIDATED=Y","FA_ADJUSTED=GAAP","Sort=A","Dates=H","DateFormat=P","Fill=—","Direction=H","UseDPDF=Y")</f>
        <v>#NAME?</v>
      </c>
      <c r="AO533" s="2" t="e">
        <f ca="1">_xll.BDH($C$528,"GEO_GROW_OPER_INC","FY 2015","FY 2015","Currency=INR","Period=FY","BEST_FPERIOD_OVERRIDE=FY","FILING_STATUS=OR","EQY_CONSOLIDATED=Y","FA_ADJUSTED=GAAP","Sort=A","Dates=H","DateFormat=P","Fill=—","Direction=H","UseDPDF=Y")</f>
        <v>#NAME?</v>
      </c>
      <c r="AP533" s="2" t="e">
        <f ca="1">_xll.BDH($C$528,"NET_INCOME_TO_COMMON_5_YR_GROWTH","FY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533" s="2" t="e">
        <f ca="1">_xll.BDH($C$528,"5Y_GEO_GROWTH_DILUTED_EPS","FY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533" s="2" t="e">
        <f ca="1">_xll.BDH($C$528,"GEO_GROW_DVD_PER_SH","FY 2015","FY 2015","Currency=INR","Period=FY","BEST_FPERIOD_OVERRIDE=FY","FILING_STATUS=OR","EQY_CONSOLIDATED=Y","Sort=A","Dates=H","DateFormat=P","Fill=—","Direction=H","UseDPDF=Y")</f>
        <v>#NAME?</v>
      </c>
      <c r="AS533" s="2" t="e">
        <f ca="1">_xll.BDH($C$528,"ACCOUNTS_RECEIVABLE_5_YR_GROWTH","FY 2015","FY 2015","Currency=INR","Period=FY","BEST_FPERIOD_OVERRIDE=FY","FILING_STATUS=OR","EQY_CONSOLIDATED=Y","Sort=A","Dates=H","DateFormat=P","Fill=—","Direction=H","UseDPDF=Y")</f>
        <v>#NAME?</v>
      </c>
      <c r="AT533" s="2" t="e">
        <f ca="1">_xll.BDH($C$528,"INVENTORY_5_YEAR_GROWTH","FY 2015","FY 2015","Currency=INR","Period=FY","BEST_FPERIOD_OVERRIDE=FY","FILING_STATUS=OR","EQY_CONSOLIDATED=Y","Sort=A","Dates=H","DateFormat=P","Fill=—","Direction=H","UseDPDF=Y")</f>
        <v>#NAME?</v>
      </c>
      <c r="AU533" s="2" t="e">
        <f ca="1">_xll.BDH($C$528,"NET_FIXED_ASSETS_5_YEAR_GROWTH","FY 2015","FY 2015","Currency=INR","Period=FY","BEST_FPERIOD_OVERRIDE=FY","FILING_STATUS=OR","EQY_CONSOLIDATED=Y","Sort=A","Dates=H","DateFormat=P","Fill=—","Direction=H","UseDPDF=Y")</f>
        <v>#NAME?</v>
      </c>
      <c r="AV533" s="2" t="e">
        <f ca="1">_xll.BDH($C$528,"GEO_GROW_TOT_ASSET","FY 2015","FY 2015","Currency=INR","Period=FY","BEST_FPERIOD_OVERRIDE=FY","FILING_STATUS=OR","EQY_CONSOLIDATED=Y","Sort=A","Dates=H","DateFormat=P","Fill=—","Direction=H","UseDPDF=Y")</f>
        <v>#NAME?</v>
      </c>
      <c r="AW533" s="2" t="e">
        <f ca="1">_xll.BDH($C$528,"MODIFIED_WORKING_CPTL_5YR_GRWTH","FY 2015","FY 2015","Currency=INR","Period=FY","BEST_FPERIOD_OVERRIDE=FY","FILING_STATUS=OR","EQY_CONSOLIDATED=Y","Sort=A","Dates=H","DateFormat=P","Fill=—","Direction=H","UseDPDF=Y")</f>
        <v>#NAME?</v>
      </c>
      <c r="AX533" s="2" t="e">
        <f ca="1">_xll.BDH($C$528,"WORKING_CAPITAL_5_YEAR_GROWTH","FY 2015","FY 2015","Currency=INR","Period=FY","BEST_FPERIOD_OVERRIDE=FY","FILING_STATUS=OR","EQY_CONSOLIDATED=Y","Sort=A","Dates=H","DateFormat=P","Fill=—","Direction=H","UseDPDF=Y")</f>
        <v>#NAME?</v>
      </c>
      <c r="AY533" s="2" t="e">
        <f ca="1">_xll.BDH($C$528,"ACCOUNTS_PAYABLE_5_YEAR_GROWTH","FY 2015","FY 2015","Currency=INR","Period=FY","BEST_FPERIOD_OVERRIDE=FY","FILING_STATUS=OR","EQY_CONSOLIDATED=Y","Sort=A","Dates=H","DateFormat=P","Fill=—","Direction=H","UseDPDF=Y")</f>
        <v>#NAME?</v>
      </c>
      <c r="AZ533" s="2" t="e">
        <f ca="1">_xll.BDH($C$528,"SHORT_TERM_DEBT_5_YEAR_GROWTH","FY 2015","FY 2015","Currency=INR","Period=FY","BEST_FPERIOD_OVERRIDE=FY","FILING_STATUS=OR","EQY_CONSOLIDATED=Y","Sort=A","Dates=H","DateFormat=P","Fill=—","Direction=H","UseDPDF=Y")</f>
        <v>#NAME?</v>
      </c>
      <c r="BA533" s="2" t="e">
        <f ca="1">_xll.BDH($C$528,"TOTAL_DEBT_5_YEAR_GROWTH","FY 2015","FY 2015","Currency=INR","Period=FY","BEST_FPERIOD_OVERRIDE=FY","FILING_STATUS=OR","EQY_CONSOLIDATED=Y","Sort=A","Dates=H","DateFormat=P","Fill=—","Direction=H","UseDPDF=Y")</f>
        <v>#NAME?</v>
      </c>
      <c r="BB533" s="2" t="e">
        <f ca="1">_xll.BDH($C$528,"GEO_GROW_TOT_SHRHLDR_EQY","FY 2015","FY 2015","Currency=INR","Period=FY","BEST_FPERIOD_OVERRIDE=FY","FILING_STATUS=OR","EQY_CONSOLIDATED=Y","Sort=A","Dates=H","DateFormat=P","Fill=—","Direction=H","UseDPDF=Y")</f>
        <v>#NAME?</v>
      </c>
      <c r="BC533" s="2" t="e">
        <f ca="1">_xll.BDH($C$528,"TOTAL_CAPITAL_5_YEAR_GROWTH","FY 2015","FY 2015","Currency=INR","Period=FY","BEST_FPERIOD_OVERRIDE=FY","FILING_STATUS=OR","EQY_CONSOLIDATED=Y","Sort=A","Dates=H","DateFormat=P","Fill=—","Direction=H","UseDPDF=Y")</f>
        <v>#NAME?</v>
      </c>
      <c r="BD533" s="2" t="e">
        <f ca="1">_xll.BDH($C$528,"GEO_GROW_BOOK_VAL","FY 2015","FY 2015","Currency=INR","Period=FY","BEST_FPERIOD_OVERRIDE=FY","FILING_STATUS=OR","EQY_CONSOLIDATED=Y","Sort=A","Dates=H","DateFormat=P","Fill=—","Direction=H","UseDPDF=Y")</f>
        <v>#NAME?</v>
      </c>
      <c r="BE533" s="2" t="e">
        <f ca="1">_xll.BDH($C$528,"GEO_GROW_CASH_OPER_ACT","FY 2015","FY 2015","Currency=INR","Period=FY","BEST_FPERIOD_OVERRIDE=FY","FILING_STATUS=OR","EQY_CONSOLIDATED=Y","Sort=A","Dates=H","DateFormat=P","Fill=—","Direction=H","UseDPDF=Y")</f>
        <v>#NAME?</v>
      </c>
      <c r="BF533" s="2" t="e">
        <f ca="1">_xll.BDH($C$528,"REVENUE_SEQUENTIAL_GROWTH","FY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533" s="2" t="e">
        <f ca="1">_xll.BDH($C$528,"EBITDA_SEQUENTIAL_GROWTH","FY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533" s="2" t="e">
        <f ca="1">_xll.BDH($C$528,"OPERATING_INCOME_SEQ_GROWTH","FY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533" s="2" t="e">
        <f ca="1">_xll.BDH($C$528,"NET_INCOME_TO_COMMON_SEQ_GROWTH","FY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533" s="2" t="e">
        <f ca="1">_xll.BDH($C$528,"EPS_DILUTED_SEQUENTIAL_GROWTH","FY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533" s="2" t="e">
        <f ca="1">_xll.BDH($C$528,"DPS_SEQUENTIAL_GROWTH","FY 2015","FY 2015","Currency=INR","Period=FY","BEST_FPERIOD_OVERRIDE=FY","FILING_STATUS=OR","EQY_CONSOLIDATED=Y","Sort=A","Dates=H","DateFormat=P","Fill=—","Direction=H","UseDPDF=Y")</f>
        <v>#NAME?</v>
      </c>
      <c r="BL533" s="2" t="e">
        <f ca="1">_xll.BDH($C$528,"ACCOUNTS_RECEIVABLE_SEQ_GROWTH","FY 2015","FY 2015","Currency=INR","Period=FY","BEST_FPERIOD_OVERRIDE=FY","FILING_STATUS=OR","EQY_CONSOLIDATED=Y","Sort=A","Dates=H","DateFormat=P","Fill=—","Direction=H","UseDPDF=Y")</f>
        <v>#NAME?</v>
      </c>
      <c r="BM533" s="2" t="e">
        <f ca="1">_xll.BDH($C$528,"INVENTORY_SEQUENTIAL_GROWTH","FY 2015","FY 2015","Currency=INR","Period=FY","BEST_FPERIOD_OVERRIDE=FY","FILING_STATUS=OR","EQY_CONSOLIDATED=Y","Sort=A","Dates=H","DateFormat=P","Fill=—","Direction=H","UseDPDF=Y")</f>
        <v>#NAME?</v>
      </c>
      <c r="BN533" s="2" t="e">
        <f ca="1">_xll.BDH($C$528,"FIXED_ASSETS_SEQUENTIAL_GROWTH","FY 2015","FY 2015","Currency=INR","Period=FY","BEST_FPERIOD_OVERRIDE=FY","FILING_STATUS=OR","EQY_CONSOLIDATED=Y","Sort=A","Dates=H","DateFormat=P","Fill=—","Direction=H","UseDPDF=Y")</f>
        <v>#NAME?</v>
      </c>
      <c r="BO533" s="2" t="e">
        <f ca="1">_xll.BDH($C$528,"TOTAL_ASSETS_SEQUENTIAL_GROWTH","FY 2015","FY 2015","Currency=INR","Period=FY","BEST_FPERIOD_OVERRIDE=FY","FILING_STATUS=OR","EQY_CONSOLIDATED=Y","Sort=A","Dates=H","DateFormat=P","Fill=—","Direction=H","UseDPDF=Y")</f>
        <v>#NAME?</v>
      </c>
      <c r="BP533" s="2" t="e">
        <f ca="1">_xll.BDH($C$528,"MODIFIED_WORKING_CPTL_SEQ_GRWTH","FY 2015","FY 2015","Currency=INR","Period=FY","BEST_FPERIOD_OVERRIDE=FY","FILING_STATUS=OR","EQY_CONSOLIDATED=Y","Sort=A","Dates=H","DateFormat=P","Fill=—","Direction=H","UseDPDF=Y")</f>
        <v>#NAME?</v>
      </c>
      <c r="BQ533" s="2" t="e">
        <f ca="1">_xll.BDH($C$528,"WORKING_CAPITAL_SEQ_GROWTH","FY 2015","FY 2015","Currency=INR","Period=FY","BEST_FPERIOD_OVERRIDE=FY","FILING_STATUS=OR","EQY_CONSOLIDATED=Y","Sort=A","Dates=H","DateFormat=P","Fill=—","Direction=H","UseDPDF=Y")</f>
        <v>#NAME?</v>
      </c>
      <c r="BR533" s="2" t="e">
        <f ca="1">_xll.BDH($C$528,"ACCOUNTS_PAYABLE_SEQ_GROWTH","FY 2015","FY 2015","Currency=INR","Period=FY","BEST_FPERIOD_OVERRIDE=FY","FILING_STATUS=OR","EQY_CONSOLIDATED=Y","Sort=A","Dates=H","DateFormat=P","Fill=—","Direction=H","UseDPDF=Y")</f>
        <v>#NAME?</v>
      </c>
      <c r="BS533" s="2" t="e">
        <f ca="1">_xll.BDH($C$528,"ST_DEBT_SEQUENTIAL_GROWTH","FY 2015","FY 2015","Currency=INR","Period=FY","BEST_FPERIOD_OVERRIDE=FY","FILING_STATUS=OR","EQY_CONSOLIDATED=Y","Sort=A","Dates=H","DateFormat=P","Fill=—","Direction=H","UseDPDF=Y")</f>
        <v>#NAME?</v>
      </c>
      <c r="BT533" s="2" t="e">
        <f ca="1">_xll.BDH($C$528,"TOTAL_DEBT_SEQUENTIAL_GROWTH","FY 2015","FY 2015","Currency=INR","Period=FY","BEST_FPERIOD_OVERRIDE=FY","FILING_STATUS=OR","EQY_CONSOLIDATED=Y","Sort=A","Dates=H","DateFormat=P","Fill=—","Direction=H","UseDPDF=Y")</f>
        <v>#NAME?</v>
      </c>
      <c r="BU533" s="2" t="e">
        <f ca="1">_xll.BDH($C$528,"TOTAL_EQUITY_SEQUENTIAL_GROWTH","FY 2015","FY 2015","Currency=INR","Period=FY","BEST_FPERIOD_OVERRIDE=FY","FILING_STATUS=OR","EQY_CONSOLIDATED=Y","Sort=A","Dates=H","DateFormat=P","Fill=—","Direction=H","UseDPDF=Y")</f>
        <v>#NAME?</v>
      </c>
      <c r="BV533" s="2" t="e">
        <f ca="1">_xll.BDH($C$528,"TOTAL_CAPITAL_SEQUENTIAL_GROWTH","FY 2015","FY 2015","Currency=INR","Period=FY","BEST_FPERIOD_OVERRIDE=FY","FILING_STATUS=OR","EQY_CONSOLIDATED=Y","Sort=A","Dates=H","DateFormat=P","Fill=—","Direction=H","UseDPDF=Y")</f>
        <v>#NAME?</v>
      </c>
      <c r="BW533" s="2" t="e">
        <f ca="1">_xll.BDH($C$528,"BPS_SEQUENTIAL_GROWTH","FY 2015","FY 2015","Currency=INR","Period=FY","BEST_FPERIOD_OVERRIDE=FY","FILING_STATUS=OR","EQY_CONSOLIDATED=Y","Sort=A","Dates=H","DateFormat=P","Fill=—","Direction=H","UseDPDF=Y")</f>
        <v>#NAME?</v>
      </c>
      <c r="BX533" s="2" t="e">
        <f ca="1">_xll.BDH($C$528,"CFO_SEQUENTIAL_GROWTH","FY 2015","FY 2015","Currency=INR","Period=FY","BEST_FPERIOD_OVERRIDE=FY","FILING_STATUS=OR","EQY_CONSOLIDATED=Y","Sort=A","Dates=H","DateFormat=P","Fill=—","Direction=H","UseDPDF=Y")</f>
        <v>#NAME?</v>
      </c>
      <c r="BY533" s="3" t="e">
        <f ca="1">_xll.BDH($C$528,"SHORT_AND_LONG_TERM_DEBT","FY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533" s="3" t="e">
        <f ca="1">_xll.BDH($C$528,"BS_ST_BORROW","FY 2015","FY 2015","Currency=INR","Period=FY","BEST_FPERIOD_OVERRIDE=FY","FILING_STATUS=OR","EQY_CONSOLIDATED=Y","SCALING_FORMAT=MLN","Sort=A","Dates=H","DateFormat=P","Fill=—","Direction=H","UseDPDF=Y")</f>
        <v>#NAME?</v>
      </c>
      <c r="CA533" s="3" t="e">
        <f ca="1">_xll.BDH($C$528,"BS_LT_BORROW","FY 2015","FY 2015","Currency=INR","Period=FY","BEST_FPERIOD_OVERRIDE=FY","FILING_STATUS=OR","EQY_CONSOLIDATED=Y","SCALING_FORMAT=MLN","Sort=A","Dates=H","DateFormat=P","Fill=—","Direction=H","UseDPDF=Y")</f>
        <v>#NAME?</v>
      </c>
      <c r="CB533" s="2" t="e">
        <f ca="1">_xll.BDH($C$528,"TOT_DEBT_TO_EBITDA","FY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533" s="2" t="e">
        <f ca="1">_xll.BDH($C$528,"NET_DEBT_TO_EBITDA","FY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533" s="2" t="e">
        <f ca="1">_xll.BDH($C$528,"TOTAL_DEBT_TO_EBIT","FY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533" s="2" t="e">
        <f ca="1">_xll.BDH($C$528,"NET_DEBT_TO_EBIT","FY 2015","FY 2015","Currency=INR","Period=FY","BEST_FPERIOD_OVERRIDE=FY","FILING_STATUS=OR","EQY_CONSOLIDATED=Y","FA_ADJUSTED=GAAP","Sort=A","Dates=H","DateFormat=P","Fill=—","Direction=H","UseDPDF=Y")</f>
        <v>#NAME?</v>
      </c>
      <c r="CF533" s="2" t="e">
        <f ca="1">_xll.BDH($C$528,"EBITDA_TO_INTEREST_EXPN","FY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533" s="2" t="e">
        <f ca="1">_xll.BDH($C$528,"COM_EQY_TO_TOT_ASSET","FY 2015","FY 2015","Currency=INR","Period=FY","BEST_FPERIOD_OVERRIDE=FY","FILING_STATUS=OR","EQY_CONSOLIDATED=Y","Sort=A","Dates=H","DateFormat=P","Fill=—","Direction=H","UseDPDF=Y")</f>
        <v>#NAME?</v>
      </c>
      <c r="CH533" s="2" t="e">
        <f ca="1">_xll.BDH($C$528,"LT_DEBT_TO_TOT_EQY","FY 2015","FY 2015","Currency=INR","Period=FY","BEST_FPERIOD_OVERRIDE=FY","FILING_STATUS=OR","EQY_CONSOLIDATED=Y","Sort=A","Dates=H","DateFormat=P","Fill=—","Direction=H","UseDPDF=Y")</f>
        <v>#NAME?</v>
      </c>
      <c r="CI533" s="2" t="e">
        <f ca="1">_xll.BDH($C$528,"LT_DEBT_TO_TOT_CAP","FY 2015","FY 2015","Currency=INR","Period=FY","BEST_FPERIOD_OVERRIDE=FY","FILING_STATUS=OR","EQY_CONSOLIDATED=Y","Sort=A","Dates=H","DateFormat=P","Fill=—","Direction=H","UseDPDF=Y")</f>
        <v>#NAME?</v>
      </c>
      <c r="CJ533" s="2" t="e">
        <f ca="1">_xll.BDH($C$528,"LT_DEBT_TO_TOT_ASSET","FY 2015","FY 2015","Currency=INR","Period=FY","BEST_FPERIOD_OVERRIDE=FY","FILING_STATUS=OR","EQY_CONSOLIDATED=Y","Sort=A","Dates=H","DateFormat=P","Fill=—","Direction=H","UseDPDF=Y")</f>
        <v>#NAME?</v>
      </c>
      <c r="CK533" s="2" t="e">
        <f ca="1">_xll.BDH($C$528,"TOT_DEBT_TO_TOT_EQY","FY 2015","FY 2015","Currency=INR","Period=FY","BEST_FPERIOD_OVERRIDE=FY","FILING_STATUS=OR","EQY_CONSOLIDATED=Y","Sort=A","Dates=H","DateFormat=P","Fill=—","Direction=H","UseDPDF=Y")</f>
        <v>#NAME?</v>
      </c>
      <c r="CL533" s="2" t="e">
        <f ca="1">_xll.BDH($C$528,"TOT_DEBT_TO_TOT_CAP","FY 2015","FY 2015","Currency=INR","Period=FY","BEST_FPERIOD_OVERRIDE=FY","FILING_STATUS=OR","EQY_CONSOLIDATED=Y","Sort=A","Dates=H","DateFormat=P","Fill=—","Direction=H","UseDPDF=Y")</f>
        <v>#NAME?</v>
      </c>
      <c r="CM533" s="2" t="e">
        <f ca="1">_xll.BDH($C$528,"TOT_DEBT_TO_TOT_ASSET","FY 2015","FY 2015","Currency=INR","Period=FY","BEST_FPERIOD_OVERRIDE=FY","FILING_STATUS=OR","EQY_CONSOLIDATED=Y","Sort=A","Dates=H","DateFormat=P","Fill=—","Direction=H","UseDPDF=Y")</f>
        <v>#NAME?</v>
      </c>
      <c r="CN533" s="2" t="e">
        <f ca="1">_xll.BDH($C$528,"NET_DEBT_TO_SHRHLDR_EQTY","FY 2015","FY 2015","Currency=INR","Period=FY","BEST_FPERIOD_OVERRIDE=FY","FILING_STATUS=OR","EQY_CONSOLIDATED=Y","Sort=A","Dates=H","DateFormat=P","Fill=—","Direction=H","UseDPDF=Y")</f>
        <v>#NAME?</v>
      </c>
      <c r="CO533" s="2" t="e">
        <f ca="1">_xll.BDH($C$528,"NET_DEBT_%_CAPITAL","FY 2015","FY 2015","Currency=INR","Period=FY","BEST_FPERIOD_OVERRIDE=FY","FILING_STATUS=OR","EQY_CONSOLIDATED=Y","Sort=A","Dates=H","DateFormat=P","Fill=—","Direction=H","UseDPDF=Y")</f>
        <v>#NAME?</v>
      </c>
      <c r="CP533" s="3" t="e">
        <f ca="1">_xll.BDH($C$528,"EBITDA","FY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533" s="3" t="e">
        <f ca="1">_xll.BDH($C$528,"EBITDA_AFTER_CAPEX","FY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533" s="3" t="e">
        <f ca="1">_xll.BDH($C$528,"IS_OPER_INC","FY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533" s="2" t="e">
        <f ca="1">_xll.BDH($C$528,"CASH_RATIO","FY 2015","FY 2015","Currency=INR","Period=FY","BEST_FPERIOD_OVERRIDE=FY","FILING_STATUS=OR","EQY_CONSOLIDATED=Y","Sort=A","Dates=H","DateFormat=P","Fill=—","Direction=H","UseDPDF=Y")</f>
        <v>#NAME?</v>
      </c>
      <c r="CT533" s="2" t="e">
        <f ca="1">_xll.BDH($C$528,"CUR_RATIO","FY 2015","FY 2015","Currency=INR","Period=FY","BEST_FPERIOD_OVERRIDE=FY","FILING_STATUS=OR","EQY_CONSOLIDATED=Y","Sort=A","Dates=H","DateFormat=P","Fill=—","Direction=H","UseDPDF=Y")</f>
        <v>#NAME?</v>
      </c>
      <c r="CU533" s="2" t="e">
        <f ca="1">_xll.BDH($C$528,"QUICK_RATIO","FY 2015","FY 2015","Currency=INR","Period=FY","BEST_FPERIOD_OVERRIDE=FY","FILING_STATUS=OR","EQY_CONSOLIDATED=Y","Sort=A","Dates=H","DateFormat=P","Fill=—","Direction=H","UseDPDF=Y")</f>
        <v>#NAME?</v>
      </c>
      <c r="CV533" s="2" t="e">
        <f ca="1">_xll.BDH($C$528,"ALTMAN_Z_SCORE","FY 2015","FY 2015","Currency=INR","Period=FY","BEST_FPERIOD_OVERRIDE=FY","FILING_STATUS=OR","EQY_CONSOLIDATED=Y","Sort=A","Dates=H","DateFormat=P","Fill=—","Direction=H","UseDPDF=Y")</f>
        <v>#NAME?</v>
      </c>
      <c r="CW533" s="4" t="e">
        <f ca="1">_xll.BDH($C$528,"ACCT_RCV_TURN","FY 2015","FY 2015","Currency=INR","Period=FY","BEST_FPERIOD_OVERRIDE=FY","FILING_STATUS=OR","EQY_CONSOLIDATED=Y","FA_ADJUSTED=GAAP","Sort=A","Dates=H","DateFormat=P","Fill=—","Direction=H","UseDPDF=Y")</f>
        <v>#NAME?</v>
      </c>
      <c r="CX533" s="2" t="e">
        <f ca="1">_xll.BDH($C$528,"ACCT_RCV_DAYS","FY 2015","FY 2015","Currency=INR","Period=FY","BEST_FPERIOD_OVERRIDE=FY","FILING_STATUS=OR","EQY_CONSOLIDATED=Y","FA_ADJUSTED=GAAP","Sort=A","Dates=H","DateFormat=P","Fill=—","Direction=H","UseDPDF=Y")</f>
        <v>#NAME?</v>
      </c>
      <c r="CY533" s="4" t="e">
        <f ca="1">_xll.BDH($C$528,"INVENT_TURN","FY 2015","FY 2015","Currency=INR","Period=FY","BEST_FPERIOD_OVERRIDE=FY","FILING_STATUS=OR","EQY_CONSOLIDATED=Y","FA_ADJUSTED=GAAP","Sort=A","Dates=H","DateFormat=P","Fill=—","Direction=H","UseDPDF=Y")</f>
        <v>#NAME?</v>
      </c>
      <c r="CZ533" s="2" t="e">
        <f ca="1">_xll.BDH($C$528,"INVENT_DAYS","FY 2015","FY 2015","Currency=INR","Period=FY","BEST_FPERIOD_OVERRIDE=FY","FILING_STATUS=OR","EQY_CONSOLIDATED=Y","FA_ADJUSTED=GAAP","Sort=A","Dates=H","DateFormat=P","Fill=—","Direction=H","UseDPDF=Y")</f>
        <v>#NAME?</v>
      </c>
      <c r="DA533" s="4" t="e">
        <f ca="1">_xll.BDH($C$528,"ACCOUNTS_PAYABLE_TURNOVER","FY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533" s="2" t="e">
        <f ca="1">_xll.BDH($C$528,"ACCOUNTS_PAYABLE_TURNOVER_DAYS","FY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533" s="4" t="e">
        <f ca="1">_xll.BDH($C$528,"CASH_CONVERSION_CYCLE","FY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533" s="4" t="e">
        <f ca="1">_xll.BDH($C$528,"INV_TO_CASH_DAYS","FY 2015","FY 2015","Currency=INR","Period=FY","BEST_FPERIOD_OVERRIDE=FY","FILING_STATUS=OR","EQY_CONSOLIDATED=Y","FA_ADJUSTED=GAAP","Sort=A","Dates=H","DateFormat=P","Fill=—","Direction=H","UseDPDF=Y")</f>
        <v>#NAME?</v>
      </c>
      <c r="DE533" s="5" t="e">
        <f ca="1">_xll.BDH($C$528,"BS_INVENTORIES","FY 2015","FY 2015","Currency=INR","Period=FY","BEST_FPERIOD_OVERRIDE=FY","FILING_STATUS=OR","EQY_CONSOLIDATED=Y","SCALING_FORMAT=MLN","Sort=A","Dates=H","DateFormat=P","Fill=—","Direction=H","UseDPDF=Y")</f>
        <v>#NAME?</v>
      </c>
      <c r="DF533" s="3" t="e">
        <f ca="1">_xll.BDH($C$528,"INVTRY_RAW_MATERIALS","FY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533" s="3" t="e">
        <f ca="1">_xll.BDH($C$528,"INVTRY_IN_PROGRESS","FY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533" s="3" t="e">
        <f ca="1">_xll.BDH($C$528,"INVTRY_FINISHED_GOODS","FY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533" s="3" t="e">
        <f ca="1">_xll.BDH($C$528,"BS_OTHER_INV","FY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534" spans="1:113" x14ac:dyDescent="0.3">
      <c r="A534" s="6"/>
      <c r="B534" s="6"/>
      <c r="C534" s="6"/>
      <c r="D534" s="6"/>
      <c r="E534" t="s">
        <v>78</v>
      </c>
      <c r="F534" t="e">
        <f ca="1">_xll.BDH($C$528,"RETURN_COM_EQY","FQ1 2015","FQ1 2015","Currency=INR","Period=FQ","BEST_FPERIOD_OVERRIDE=FQ","FILING_STATUS=OR","EQY_CONSOLIDATED=Y","FA_ADJUSTED=GAAP","Sort=A","Dates=H","DateFormat=P","Fill=—","Direction=H","UseDPDF=Y")</f>
        <v>#NAME?</v>
      </c>
      <c r="G534" t="e">
        <f ca="1">_xll.BDH($C$528,"RETURN_ON_ASSET","FQ1 2015","FQ1 2015","Currency=INR","Period=FQ","BEST_FPERIOD_OVERRIDE=FQ","FILING_STATUS=OR","EQY_CONSOLIDATED=Y","FA_ADJUSTED=GAAP","Sort=A","Dates=H","DateFormat=P","Fill=—","Direction=H","UseDPDF=Y")</f>
        <v>#NAME?</v>
      </c>
      <c r="H534" t="e">
        <f ca="1">_xll.BDH($C$528,"RETURN_ON_CAP","FQ1 2015","FQ1 2015","Currency=INR","Period=FQ","BEST_FPERIOD_OVERRIDE=FQ","FILING_STATUS=OR","EQY_CONSOLIDATED=Y","FA_ADJUSTED=GAAP","Sort=A","Dates=H","DateFormat=P","Fill=—","Direction=H","UseDPDF=Y")</f>
        <v>#NAME?</v>
      </c>
      <c r="I534" t="e">
        <f ca="1">_xll.BDH($C$528,"RETURN_ON_INV_CAPITAL","FQ1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534" t="e">
        <f ca="1">_xll.BDH($C$528,"EBITDA_TO_REVENUE","FQ1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534" t="e">
        <f ca="1">_xll.BDH($C$528,"OPER_MARGIN","FQ1 2015","FQ1 2015","Currency=INR","Period=FQ","BEST_FPERIOD_OVERRIDE=FQ","FILING_STATUS=OR","EQY_CONSOLIDATED=Y","FA_ADJUSTED=GAAP","Sort=A","Dates=H","DateFormat=P","Fill=—","Direction=H","UseDPDF=Y")</f>
        <v>#NAME?</v>
      </c>
      <c r="L534" t="e">
        <f ca="1">_xll.BDH($C$528,"INCREMENTAL_OPERATING_MARGIN","FQ1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534" t="e">
        <f ca="1">_xll.BDH($C$528,"PRETAX_INC_TO_NET_SALES","FQ1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534" t="e">
        <f ca="1">_xll.BDH($C$528,"INC_BEF_XO_ITEMS_TO_NET_SALES","FQ1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534" t="e">
        <f ca="1">_xll.BDH($C$528,"PROF_MARGIN","FQ1 2015","FQ1 2015","Currency=INR","Period=FQ","BEST_FPERIOD_OVERRIDE=FQ","FILING_STATUS=OR","EQY_CONSOLIDATED=Y","FA_ADJUSTED=GAAP","Sort=A","Dates=H","DateFormat=P","Fill=—","Direction=H","UseDPDF=Y")</f>
        <v>#NAME?</v>
      </c>
      <c r="P534" t="e">
        <f ca="1">_xll.BDH($C$528,"NET_INCOME_TO_COMMON_MARGIN","FQ1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534" t="e">
        <f ca="1">_xll.BDH($C$528,"EFF_TAX_RATE","FQ1 2015","FQ1 2015","Currency=INR","Period=FQ","BEST_FPERIOD_OVERRIDE=FQ","FILING_STATUS=OR","EQY_CONSOLIDATED=Y","FA_ADJUSTED=GAAP","Sort=A","Dates=H","DateFormat=P","Fill=—","Direction=H","UseDPDF=Y")</f>
        <v>#NAME?</v>
      </c>
      <c r="R534" t="e">
        <f ca="1">_xll.BDH($C$528,"DVD_PAYOUT_RATIO","FQ1 2015","FQ1 2015","Currency=INR","Period=FQ","BEST_FPERIOD_OVERRIDE=FQ","FILING_STATUS=OR","EQY_CONSOLIDATED=Y","FA_ADJUSTED=GAAP","Sort=A","Dates=H","DateFormat=P","Fill=—","Direction=H","UseDPDF=Y")</f>
        <v>#NAME?</v>
      </c>
      <c r="S534" t="e">
        <f ca="1">_xll.BDH($C$528,"SUSTAIN_GROWTH_RT","FQ1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534" s="2" t="e">
        <f ca="1">_xll.BDH($C$528,"SALES_GROWTH","FQ1 2015","FQ1 2015","Currency=INR","Period=FQ","BEST_FPERIOD_OVERRIDE=FQ","FILING_STATUS=OR","EQY_CONSOLIDATED=Y","FA_ADJUSTED=GAAP","Sort=A","Dates=H","DateFormat=P","Fill=—","Direction=H","UseDPDF=Y")</f>
        <v>#NAME?</v>
      </c>
      <c r="U534" s="2" t="e">
        <f ca="1">_xll.BDH($C$528,"EBITDA_GROWTH","FQ1 2015","FQ1 2015","Currency=INR","Period=FQ","BEST_FPERIOD_OVERRIDE=FQ","FILING_STATUS=OR","EQY_CONSOLIDATED=Y","FA_ADJUSTED=GAAP","Sort=A","Dates=H","DateFormat=P","Fill=—","Direction=H","UseDPDF=Y")</f>
        <v>#NAME?</v>
      </c>
      <c r="V534" s="2" t="e">
        <f ca="1">_xll.BDH($C$528,"OPER_INC_GROWTH","FQ1 2015","FQ1 2015","Currency=INR","Period=FQ","BEST_FPERIOD_OVERRIDE=FQ","FILING_STATUS=OR","EQY_CONSOLIDATED=Y","FA_ADJUSTED=GAAP","Sort=A","Dates=H","DateFormat=P","Fill=—","Direction=H","UseDPDF=Y")</f>
        <v>#NAME?</v>
      </c>
      <c r="W534" s="2" t="e">
        <f ca="1">_xll.BDH($C$528,"EARN_FOR_COM_GROWTH","FQ1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534" s="2" t="e">
        <f ca="1">_xll.BDH($C$528,"DILUTED_EPS_AFT_XO_ITEMS_GROWTH","FQ1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534" s="2" t="e">
        <f ca="1">_xll.BDH($C$528,"DIVIDEND_PER_SHARE_1_YEAR_GROWTH","FQ1 2015","FQ1 2015","Currency=INR","Period=FQ","BEST_FPERIOD_OVERRIDE=FQ","FILING_STATUS=OR","EQY_CONSOLIDATED=Y","Sort=A","Dates=H","DateFormat=P","Fill=—","Direction=H","UseDPDF=Y")</f>
        <v>#NAME?</v>
      </c>
      <c r="Z534" s="2" t="e">
        <f ca="1">_xll.BDH($C$528,"ACCOUNTS_RECEIVABLE_GROWTH","FQ1 2015","FQ1 2015","Currency=INR","Period=FQ","BEST_FPERIOD_OVERRIDE=FQ","FILING_STATUS=OR","EQY_CONSOLIDATED=Y","Sort=A","Dates=H","DateFormat=P","Fill=—","Direction=H","UseDPDF=Y")</f>
        <v>#NAME?</v>
      </c>
      <c r="AA534" s="2" t="e">
        <f ca="1">_xll.BDH($C$528,"INVENTORY_GROWTH","FQ1 2015","FQ1 2015","Currency=INR","Period=FQ","BEST_FPERIOD_OVERRIDE=FQ","FILING_STATUS=OR","EQY_CONSOLIDATED=Y","Sort=A","Dates=H","DateFormat=P","Fill=—","Direction=H","UseDPDF=Y")</f>
        <v>#NAME?</v>
      </c>
      <c r="AB534" s="2" t="e">
        <f ca="1">_xll.BDH($C$528,"NET_FIXED_ASSETS_1_YEAR_GROWTH","FQ1 2015","FQ1 2015","Currency=INR","Period=FQ","BEST_FPERIOD_OVERRIDE=FQ","FILING_STATUS=OR","EQY_CONSOLIDATED=Y","Sort=A","Dates=H","DateFormat=P","Fill=—","Direction=H","UseDPDF=Y")</f>
        <v>#NAME?</v>
      </c>
      <c r="AC534" s="2" t="e">
        <f ca="1">_xll.BDH($C$528,"ASSET_GROWTH","FQ1 2015","FQ1 2015","Currency=INR","Period=FQ","BEST_FPERIOD_OVERRIDE=FQ","FILING_STATUS=OR","EQY_CONSOLIDATED=Y","Sort=A","Dates=H","DateFormat=P","Fill=—","Direction=H","UseDPDF=Y")</f>
        <v>#NAME?</v>
      </c>
      <c r="AD534" s="2" t="e">
        <f ca="1">_xll.BDH($C$528,"MODIFIED_WORK_CAP_GROWTH","FQ1 2015","FQ1 2015","Currency=INR","Period=FQ","BEST_FPERIOD_OVERRIDE=FQ","FILING_STATUS=OR","EQY_CONSOLIDATED=Y","Sort=A","Dates=H","DateFormat=P","Fill=—","Direction=H","UseDPDF=Y")</f>
        <v>#NAME?</v>
      </c>
      <c r="AE534" s="2" t="e">
        <f ca="1">_xll.BDH($C$528,"WORK_CAP_GROWTH","FQ1 2015","FQ1 2015","Currency=INR","Period=FQ","BEST_FPERIOD_OVERRIDE=FQ","FILING_STATUS=OR","EQY_CONSOLIDATED=Y","Sort=A","Dates=H","DateFormat=P","Fill=—","Direction=H","UseDPDF=Y")</f>
        <v>#NAME?</v>
      </c>
      <c r="AF534" s="2" t="e">
        <f ca="1">_xll.BDH($C$528,"ACCOUNTS_PAYABLE_GROWTH_1YR","FQ1 2015","FQ1 2015","Currency=INR","Period=FQ","BEST_FPERIOD_OVERRIDE=FQ","FILING_STATUS=OR","EQY_CONSOLIDATED=Y","Sort=A","Dates=H","DateFormat=P","Fill=—","Direction=H","UseDPDF=Y")</f>
        <v>#NAME?</v>
      </c>
      <c r="AG534" s="2" t="e">
        <f ca="1">_xll.BDH($C$528,"SHORT_TERM_DEBT_1_YEAR_GROWTH","FQ1 2015","FQ1 2015","Currency=INR","Period=FQ","BEST_FPERIOD_OVERRIDE=FQ","FILING_STATUS=OR","EQY_CONSOLIDATED=Y","Sort=A","Dates=H","DateFormat=P","Fill=—","Direction=H","UseDPDF=Y")</f>
        <v>#NAME?</v>
      </c>
      <c r="AH534" s="2" t="e">
        <f ca="1">_xll.BDH($C$528,"TOTAL_DEBT_1_YEAR_GROWTH","FQ1 2015","FQ1 2015","Currency=INR","Period=FQ","BEST_FPERIOD_OVERRIDE=FQ","FILING_STATUS=OR","EQY_CONSOLIDATED=Y","Sort=A","Dates=H","DateFormat=P","Fill=—","Direction=H","UseDPDF=Y")</f>
        <v>#NAME?</v>
      </c>
      <c r="AI534" s="2" t="e">
        <f ca="1">_xll.BDH($C$528,"TOTAL_EQUITY_1_YEAR_GROWTH","FQ1 2015","FQ1 2015","Currency=INR","Period=FQ","BEST_FPERIOD_OVERRIDE=FQ","FILING_STATUS=OR","EQY_CONSOLIDATED=Y","Sort=A","Dates=H","DateFormat=P","Fill=—","Direction=H","UseDPDF=Y")</f>
        <v>#NAME?</v>
      </c>
      <c r="AJ534" s="2" t="e">
        <f ca="1">_xll.BDH($C$528,"GROWTH_IN_CAP","FQ1 2015","FQ1 2015","Currency=INR","Period=FQ","BEST_FPERIOD_OVERRIDE=FQ","FILING_STATUS=OR","EQY_CONSOLIDATED=Y","Sort=A","Dates=H","DateFormat=P","Fill=—","Direction=H","UseDPDF=Y")</f>
        <v>#NAME?</v>
      </c>
      <c r="AK534" s="2" t="e">
        <f ca="1">_xll.BDH($C$528,"BVPS_GROWTH","FQ1 2015","FQ1 2015","Currency=INR","Period=FQ","BEST_FPERIOD_OVERRIDE=FQ","FILING_STATUS=OR","EQY_CONSOLIDATED=Y","Sort=A","Dates=H","DateFormat=P","Fill=—","Direction=H","UseDPDF=Y")</f>
        <v>#NAME?</v>
      </c>
      <c r="AL534" s="2" t="e">
        <f ca="1">_xll.BDH($C$528,"CASH_FLOW_GROWTH","FQ1 2015","FQ1 2015","Currency=INR","Period=FQ","BEST_FPERIOD_OVERRIDE=FQ","FILING_STATUS=OR","EQY_CONSOLIDATED=Y","Sort=A","Dates=H","DateFormat=P","Fill=—","Direction=H","UseDPDF=Y")</f>
        <v>#NAME?</v>
      </c>
      <c r="AM534" s="2" t="e">
        <f ca="1">_xll.BDH($C$528,"GEO_GROW_NET_SALES","FQ1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534" s="2" t="e">
        <f ca="1">_xll.BDH($C$528,"GEO_GROW_EBITDA","FQ1 2015","FQ1 2015","Currency=INR","Period=FQ","BEST_FPERIOD_OVERRIDE=FQ","FILING_STATUS=OR","EQY_CONSOLIDATED=Y","FA_ADJUSTED=GAAP","Sort=A","Dates=H","DateFormat=P","Fill=—","Direction=H","UseDPDF=Y")</f>
        <v>#NAME?</v>
      </c>
      <c r="AO534" s="2" t="e">
        <f ca="1">_xll.BDH($C$528,"GEO_GROW_OPER_INC","FQ1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534" s="2" t="e">
        <f ca="1">_xll.BDH($C$528,"NET_INCOME_TO_COMMON_5_YR_GROWTH","FQ1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534" s="2" t="e">
        <f ca="1">_xll.BDH($C$528,"5Y_GEO_GROWTH_DILUTED_EPS","FQ1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534" s="2" t="e">
        <f ca="1">_xll.BDH($C$528,"GEO_GROW_DVD_PER_SH","FQ1 2015","FQ1 2015","Currency=INR","Period=FQ","BEST_FPERIOD_OVERRIDE=FQ","FILING_STATUS=OR","EQY_CONSOLIDATED=Y","Sort=A","Dates=H","DateFormat=P","Fill=—","Direction=H","UseDPDF=Y")</f>
        <v>#NAME?</v>
      </c>
      <c r="AS534" s="2" t="e">
        <f ca="1">_xll.BDH($C$528,"ACCOUNTS_RECEIVABLE_5_YR_GROWTH","FQ1 2015","FQ1 2015","Currency=INR","Period=FQ","BEST_FPERIOD_OVERRIDE=FQ","FILING_STATUS=OR","EQY_CONSOLIDATED=Y","Sort=A","Dates=H","DateFormat=P","Fill=—","Direction=H","UseDPDF=Y")</f>
        <v>#NAME?</v>
      </c>
      <c r="AT534" s="2" t="e">
        <f ca="1">_xll.BDH($C$528,"INVENTORY_5_YEAR_GROWTH","FQ1 2015","FQ1 2015","Currency=INR","Period=FQ","BEST_FPERIOD_OVERRIDE=FQ","FILING_STATUS=OR","EQY_CONSOLIDATED=Y","Sort=A","Dates=H","DateFormat=P","Fill=—","Direction=H","UseDPDF=Y")</f>
        <v>#NAME?</v>
      </c>
      <c r="AU534" s="2" t="e">
        <f ca="1">_xll.BDH($C$528,"NET_FIXED_ASSETS_5_YEAR_GROWTH","FQ1 2015","FQ1 2015","Currency=INR","Period=FQ","BEST_FPERIOD_OVERRIDE=FQ","FILING_STATUS=OR","EQY_CONSOLIDATED=Y","Sort=A","Dates=H","DateFormat=P","Fill=—","Direction=H","UseDPDF=Y")</f>
        <v>#NAME?</v>
      </c>
      <c r="AV534" s="2" t="e">
        <f ca="1">_xll.BDH($C$528,"GEO_GROW_TOT_ASSET","FQ1 2015","FQ1 2015","Currency=INR","Period=FQ","BEST_FPERIOD_OVERRIDE=FQ","FILING_STATUS=OR","EQY_CONSOLIDATED=Y","Sort=A","Dates=H","DateFormat=P","Fill=—","Direction=H","UseDPDF=Y")</f>
        <v>#NAME?</v>
      </c>
      <c r="AW534" s="2" t="e">
        <f ca="1">_xll.BDH($C$528,"MODIFIED_WORKING_CPTL_5YR_GRWTH","FQ1 2015","FQ1 2015","Currency=INR","Period=FQ","BEST_FPERIOD_OVERRIDE=FQ","FILING_STATUS=OR","EQY_CONSOLIDATED=Y","Sort=A","Dates=H","DateFormat=P","Fill=—","Direction=H","UseDPDF=Y")</f>
        <v>#NAME?</v>
      </c>
      <c r="AX534" s="2" t="e">
        <f ca="1">_xll.BDH($C$528,"WORKING_CAPITAL_5_YEAR_GROWTH","FQ1 2015","FQ1 2015","Currency=INR","Period=FQ","BEST_FPERIOD_OVERRIDE=FQ","FILING_STATUS=OR","EQY_CONSOLIDATED=Y","Sort=A","Dates=H","DateFormat=P","Fill=—","Direction=H","UseDPDF=Y")</f>
        <v>#NAME?</v>
      </c>
      <c r="AY534" s="2" t="e">
        <f ca="1">_xll.BDH($C$528,"ACCOUNTS_PAYABLE_5_YEAR_GROWTH","FQ1 2015","FQ1 2015","Currency=INR","Period=FQ","BEST_FPERIOD_OVERRIDE=FQ","FILING_STATUS=OR","EQY_CONSOLIDATED=Y","Sort=A","Dates=H","DateFormat=P","Fill=—","Direction=H","UseDPDF=Y")</f>
        <v>#NAME?</v>
      </c>
      <c r="AZ534" s="2" t="e">
        <f ca="1">_xll.BDH($C$528,"SHORT_TERM_DEBT_5_YEAR_GROWTH","FQ1 2015","FQ1 2015","Currency=INR","Period=FQ","BEST_FPERIOD_OVERRIDE=FQ","FILING_STATUS=OR","EQY_CONSOLIDATED=Y","Sort=A","Dates=H","DateFormat=P","Fill=—","Direction=H","UseDPDF=Y")</f>
        <v>#NAME?</v>
      </c>
      <c r="BA534" s="2" t="e">
        <f ca="1">_xll.BDH($C$528,"TOTAL_DEBT_5_YEAR_GROWTH","FQ1 2015","FQ1 2015","Currency=INR","Period=FQ","BEST_FPERIOD_OVERRIDE=FQ","FILING_STATUS=OR","EQY_CONSOLIDATED=Y","Sort=A","Dates=H","DateFormat=P","Fill=—","Direction=H","UseDPDF=Y")</f>
        <v>#NAME?</v>
      </c>
      <c r="BB534" s="2" t="e">
        <f ca="1">_xll.BDH($C$528,"GEO_GROW_TOT_SHRHLDR_EQY","FQ1 2015","FQ1 2015","Currency=INR","Period=FQ","BEST_FPERIOD_OVERRIDE=FQ","FILING_STATUS=OR","EQY_CONSOLIDATED=Y","Sort=A","Dates=H","DateFormat=P","Fill=—","Direction=H","UseDPDF=Y")</f>
        <v>#NAME?</v>
      </c>
      <c r="BC534" s="2" t="e">
        <f ca="1">_xll.BDH($C$528,"TOTAL_CAPITAL_5_YEAR_GROWTH","FQ1 2015","FQ1 2015","Currency=INR","Period=FQ","BEST_FPERIOD_OVERRIDE=FQ","FILING_STATUS=OR","EQY_CONSOLIDATED=Y","Sort=A","Dates=H","DateFormat=P","Fill=—","Direction=H","UseDPDF=Y")</f>
        <v>#NAME?</v>
      </c>
      <c r="BD534" s="2" t="e">
        <f ca="1">_xll.BDH($C$528,"GEO_GROW_BOOK_VAL","FQ1 2015","FQ1 2015","Currency=INR","Period=FQ","BEST_FPERIOD_OVERRIDE=FQ","FILING_STATUS=OR","EQY_CONSOLIDATED=Y","Sort=A","Dates=H","DateFormat=P","Fill=—","Direction=H","UseDPDF=Y")</f>
        <v>#NAME?</v>
      </c>
      <c r="BE534" s="2" t="e">
        <f ca="1">_xll.BDH($C$528,"GEO_GROW_CASH_OPER_ACT","FQ1 2015","FQ1 2015","Currency=INR","Period=FQ","BEST_FPERIOD_OVERRIDE=FQ","FILING_STATUS=OR","EQY_CONSOLIDATED=Y","Sort=A","Dates=H","DateFormat=P","Fill=—","Direction=H","UseDPDF=Y")</f>
        <v>#NAME?</v>
      </c>
      <c r="BF534" s="2" t="e">
        <f ca="1">_xll.BDH($C$528,"REVENUE_SEQUENTIAL_GROWTH","FQ1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534" s="2" t="e">
        <f ca="1">_xll.BDH($C$528,"EBITDA_SEQUENTIAL_GROWTH","FQ1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534" s="2" t="e">
        <f ca="1">_xll.BDH($C$528,"OPERATING_INCOME_SEQ_GROWTH","FQ1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534" s="2" t="e">
        <f ca="1">_xll.BDH($C$528,"NET_INCOME_TO_COMMON_SEQ_GROWTH","FQ1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534" s="2" t="e">
        <f ca="1">_xll.BDH($C$528,"EPS_DILUTED_SEQUENTIAL_GROWTH","FQ1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534" s="2" t="e">
        <f ca="1">_xll.BDH($C$528,"DPS_SEQUENTIAL_GROWTH","FQ1 2015","FQ1 2015","Currency=INR","Period=FQ","BEST_FPERIOD_OVERRIDE=FQ","FILING_STATUS=OR","EQY_CONSOLIDATED=Y","Sort=A","Dates=H","DateFormat=P","Fill=—","Direction=H","UseDPDF=Y")</f>
        <v>#NAME?</v>
      </c>
      <c r="BL534" s="2" t="e">
        <f ca="1">_xll.BDH($C$528,"ACCOUNTS_RECEIVABLE_SEQ_GROWTH","FQ1 2015","FQ1 2015","Currency=INR","Period=FQ","BEST_FPERIOD_OVERRIDE=FQ","FILING_STATUS=OR","EQY_CONSOLIDATED=Y","Sort=A","Dates=H","DateFormat=P","Fill=—","Direction=H","UseDPDF=Y")</f>
        <v>#NAME?</v>
      </c>
      <c r="BM534" s="2" t="e">
        <f ca="1">_xll.BDH($C$528,"INVENTORY_SEQUENTIAL_GROWTH","FQ1 2015","FQ1 2015","Currency=INR","Period=FQ","BEST_FPERIOD_OVERRIDE=FQ","FILING_STATUS=OR","EQY_CONSOLIDATED=Y","Sort=A","Dates=H","DateFormat=P","Fill=—","Direction=H","UseDPDF=Y")</f>
        <v>#NAME?</v>
      </c>
      <c r="BN534" s="2" t="e">
        <f ca="1">_xll.BDH($C$528,"FIXED_ASSETS_SEQUENTIAL_GROWTH","FQ1 2015","FQ1 2015","Currency=INR","Period=FQ","BEST_FPERIOD_OVERRIDE=FQ","FILING_STATUS=OR","EQY_CONSOLIDATED=Y","Sort=A","Dates=H","DateFormat=P","Fill=—","Direction=H","UseDPDF=Y")</f>
        <v>#NAME?</v>
      </c>
      <c r="BO534" s="2" t="e">
        <f ca="1">_xll.BDH($C$528,"TOTAL_ASSETS_SEQUENTIAL_GROWTH","FQ1 2015","FQ1 2015","Currency=INR","Period=FQ","BEST_FPERIOD_OVERRIDE=FQ","FILING_STATUS=OR","EQY_CONSOLIDATED=Y","Sort=A","Dates=H","DateFormat=P","Fill=—","Direction=H","UseDPDF=Y")</f>
        <v>#NAME?</v>
      </c>
      <c r="BP534" s="2" t="e">
        <f ca="1">_xll.BDH($C$528,"MODIFIED_WORKING_CPTL_SEQ_GRWTH","FQ1 2015","FQ1 2015","Currency=INR","Period=FQ","BEST_FPERIOD_OVERRIDE=FQ","FILING_STATUS=OR","EQY_CONSOLIDATED=Y","Sort=A","Dates=H","DateFormat=P","Fill=—","Direction=H","UseDPDF=Y")</f>
        <v>#NAME?</v>
      </c>
      <c r="BQ534" s="2" t="e">
        <f ca="1">_xll.BDH($C$528,"WORKING_CAPITAL_SEQ_GROWTH","FQ1 2015","FQ1 2015","Currency=INR","Period=FQ","BEST_FPERIOD_OVERRIDE=FQ","FILING_STATUS=OR","EQY_CONSOLIDATED=Y","Sort=A","Dates=H","DateFormat=P","Fill=—","Direction=H","UseDPDF=Y")</f>
        <v>#NAME?</v>
      </c>
      <c r="BR534" s="2" t="e">
        <f ca="1">_xll.BDH($C$528,"ACCOUNTS_PAYABLE_SEQ_GROWTH","FQ1 2015","FQ1 2015","Currency=INR","Period=FQ","BEST_FPERIOD_OVERRIDE=FQ","FILING_STATUS=OR","EQY_CONSOLIDATED=Y","Sort=A","Dates=H","DateFormat=P","Fill=—","Direction=H","UseDPDF=Y")</f>
        <v>#NAME?</v>
      </c>
      <c r="BS534" s="2" t="e">
        <f ca="1">_xll.BDH($C$528,"ST_DEBT_SEQUENTIAL_GROWTH","FQ1 2015","FQ1 2015","Currency=INR","Period=FQ","BEST_FPERIOD_OVERRIDE=FQ","FILING_STATUS=OR","EQY_CONSOLIDATED=Y","Sort=A","Dates=H","DateFormat=P","Fill=—","Direction=H","UseDPDF=Y")</f>
        <v>#NAME?</v>
      </c>
      <c r="BT534" s="2" t="e">
        <f ca="1">_xll.BDH($C$528,"TOTAL_DEBT_SEQUENTIAL_GROWTH","FQ1 2015","FQ1 2015","Currency=INR","Period=FQ","BEST_FPERIOD_OVERRIDE=FQ","FILING_STATUS=OR","EQY_CONSOLIDATED=Y","Sort=A","Dates=H","DateFormat=P","Fill=—","Direction=H","UseDPDF=Y")</f>
        <v>#NAME?</v>
      </c>
      <c r="BU534" s="2" t="e">
        <f ca="1">_xll.BDH($C$528,"TOTAL_EQUITY_SEQUENTIAL_GROWTH","FQ1 2015","FQ1 2015","Currency=INR","Period=FQ","BEST_FPERIOD_OVERRIDE=FQ","FILING_STATUS=OR","EQY_CONSOLIDATED=Y","Sort=A","Dates=H","DateFormat=P","Fill=—","Direction=H","UseDPDF=Y")</f>
        <v>#NAME?</v>
      </c>
      <c r="BV534" s="2" t="e">
        <f ca="1">_xll.BDH($C$528,"TOTAL_CAPITAL_SEQUENTIAL_GROWTH","FQ1 2015","FQ1 2015","Currency=INR","Period=FQ","BEST_FPERIOD_OVERRIDE=FQ","FILING_STATUS=OR","EQY_CONSOLIDATED=Y","Sort=A","Dates=H","DateFormat=P","Fill=—","Direction=H","UseDPDF=Y")</f>
        <v>#NAME?</v>
      </c>
      <c r="BW534" s="2" t="e">
        <f ca="1">_xll.BDH($C$528,"BPS_SEQUENTIAL_GROWTH","FQ1 2015","FQ1 2015","Currency=INR","Period=FQ","BEST_FPERIOD_OVERRIDE=FQ","FILING_STATUS=OR","EQY_CONSOLIDATED=Y","Sort=A","Dates=H","DateFormat=P","Fill=—","Direction=H","UseDPDF=Y")</f>
        <v>#NAME?</v>
      </c>
      <c r="BX534" s="2" t="e">
        <f ca="1">_xll.BDH($C$528,"CFO_SEQUENTIAL_GROWTH","FQ1 2015","FQ1 2015","Currency=INR","Period=FQ","BEST_FPERIOD_OVERRIDE=FQ","FILING_STATUS=OR","EQY_CONSOLIDATED=Y","Sort=A","Dates=H","DateFormat=P","Fill=—","Direction=H","UseDPDF=Y")</f>
        <v>#NAME?</v>
      </c>
      <c r="BY534" s="3" t="e">
        <f ca="1">_xll.BDH($C$528,"SHORT_AND_LONG_TERM_DEBT","FQ1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534" s="3" t="e">
        <f ca="1">_xll.BDH($C$528,"BS_ST_BORROW","FQ1 2015","FQ1 2015","Currency=INR","Period=FQ","BEST_FPERIOD_OVERRIDE=FQ","FILING_STATUS=OR","EQY_CONSOLIDATED=Y","SCALING_FORMAT=MLN","Sort=A","Dates=H","DateFormat=P","Fill=—","Direction=H","UseDPDF=Y")</f>
        <v>#NAME?</v>
      </c>
      <c r="CA534" s="3" t="e">
        <f ca="1">_xll.BDH($C$528,"BS_LT_BORROW","FQ1 2015","FQ1 2015","Currency=INR","Period=FQ","BEST_FPERIOD_OVERRIDE=FQ","FILING_STATUS=OR","EQY_CONSOLIDATED=Y","SCALING_FORMAT=MLN","Sort=A","Dates=H","DateFormat=P","Fill=—","Direction=H","UseDPDF=Y")</f>
        <v>#NAME?</v>
      </c>
      <c r="CB534" s="2" t="e">
        <f ca="1">_xll.BDH($C$528,"TOT_DEBT_TO_EBITDA","FQ1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534" s="2" t="e">
        <f ca="1">_xll.BDH($C$528,"NET_DEBT_TO_EBITDA","FQ1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534" s="2" t="e">
        <f ca="1">_xll.BDH($C$528,"TOTAL_DEBT_TO_EBIT","FQ1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534" s="2" t="e">
        <f ca="1">_xll.BDH($C$528,"NET_DEBT_TO_EBIT","FQ1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534" s="2" t="e">
        <f ca="1">_xll.BDH($C$528,"EBITDA_TO_INTEREST_EXPN","FQ1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534" s="2" t="e">
        <f ca="1">_xll.BDH($C$528,"COM_EQY_TO_TOT_ASSET","FQ1 2015","FQ1 2015","Currency=INR","Period=FQ","BEST_FPERIOD_OVERRIDE=FQ","FILING_STATUS=OR","EQY_CONSOLIDATED=Y","Sort=A","Dates=H","DateFormat=P","Fill=—","Direction=H","UseDPDF=Y")</f>
        <v>#NAME?</v>
      </c>
      <c r="CH534" s="2" t="e">
        <f ca="1">_xll.BDH($C$528,"LT_DEBT_TO_TOT_EQY","FQ1 2015","FQ1 2015","Currency=INR","Period=FQ","BEST_FPERIOD_OVERRIDE=FQ","FILING_STATUS=OR","EQY_CONSOLIDATED=Y","Sort=A","Dates=H","DateFormat=P","Fill=—","Direction=H","UseDPDF=Y")</f>
        <v>#NAME?</v>
      </c>
      <c r="CI534" s="2" t="e">
        <f ca="1">_xll.BDH($C$528,"LT_DEBT_TO_TOT_CAP","FQ1 2015","FQ1 2015","Currency=INR","Period=FQ","BEST_FPERIOD_OVERRIDE=FQ","FILING_STATUS=OR","EQY_CONSOLIDATED=Y","Sort=A","Dates=H","DateFormat=P","Fill=—","Direction=H","UseDPDF=Y")</f>
        <v>#NAME?</v>
      </c>
      <c r="CJ534" s="2" t="e">
        <f ca="1">_xll.BDH($C$528,"LT_DEBT_TO_TOT_ASSET","FQ1 2015","FQ1 2015","Currency=INR","Period=FQ","BEST_FPERIOD_OVERRIDE=FQ","FILING_STATUS=OR","EQY_CONSOLIDATED=Y","Sort=A","Dates=H","DateFormat=P","Fill=—","Direction=H","UseDPDF=Y")</f>
        <v>#NAME?</v>
      </c>
      <c r="CK534" s="2" t="e">
        <f ca="1">_xll.BDH($C$528,"TOT_DEBT_TO_TOT_EQY","FQ1 2015","FQ1 2015","Currency=INR","Period=FQ","BEST_FPERIOD_OVERRIDE=FQ","FILING_STATUS=OR","EQY_CONSOLIDATED=Y","Sort=A","Dates=H","DateFormat=P","Fill=—","Direction=H","UseDPDF=Y")</f>
        <v>#NAME?</v>
      </c>
      <c r="CL534" s="2" t="e">
        <f ca="1">_xll.BDH($C$528,"TOT_DEBT_TO_TOT_CAP","FQ1 2015","FQ1 2015","Currency=INR","Period=FQ","BEST_FPERIOD_OVERRIDE=FQ","FILING_STATUS=OR","EQY_CONSOLIDATED=Y","Sort=A","Dates=H","DateFormat=P","Fill=—","Direction=H","UseDPDF=Y")</f>
        <v>#NAME?</v>
      </c>
      <c r="CM534" s="2" t="e">
        <f ca="1">_xll.BDH($C$528,"TOT_DEBT_TO_TOT_ASSET","FQ1 2015","FQ1 2015","Currency=INR","Period=FQ","BEST_FPERIOD_OVERRIDE=FQ","FILING_STATUS=OR","EQY_CONSOLIDATED=Y","Sort=A","Dates=H","DateFormat=P","Fill=—","Direction=H","UseDPDF=Y")</f>
        <v>#NAME?</v>
      </c>
      <c r="CN534" s="2" t="e">
        <f ca="1">_xll.BDH($C$528,"NET_DEBT_TO_SHRHLDR_EQTY","FQ1 2015","FQ1 2015","Currency=INR","Period=FQ","BEST_FPERIOD_OVERRIDE=FQ","FILING_STATUS=OR","EQY_CONSOLIDATED=Y","Sort=A","Dates=H","DateFormat=P","Fill=—","Direction=H","UseDPDF=Y")</f>
        <v>#NAME?</v>
      </c>
      <c r="CO534" s="2" t="e">
        <f ca="1">_xll.BDH($C$528,"NET_DEBT_%_CAPITAL","FQ1 2015","FQ1 2015","Currency=INR","Period=FQ","BEST_FPERIOD_OVERRIDE=FQ","FILING_STATUS=OR","EQY_CONSOLIDATED=Y","Sort=A","Dates=H","DateFormat=P","Fill=—","Direction=H","UseDPDF=Y")</f>
        <v>#NAME?</v>
      </c>
      <c r="CP534" s="3" t="e">
        <f ca="1">_xll.BDH($C$528,"EBITDA","FQ1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534" s="3" t="e">
        <f ca="1">_xll.BDH($C$528,"EBITDA_AFTER_CAPEX","FQ1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534" s="3" t="e">
        <f ca="1">_xll.BDH($C$528,"IS_OPER_INC","FQ1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534" s="2" t="e">
        <f ca="1">_xll.BDH($C$528,"CASH_RATIO","FQ1 2015","FQ1 2015","Currency=INR","Period=FQ","BEST_FPERIOD_OVERRIDE=FQ","FILING_STATUS=OR","EQY_CONSOLIDATED=Y","Sort=A","Dates=H","DateFormat=P","Fill=—","Direction=H","UseDPDF=Y")</f>
        <v>#NAME?</v>
      </c>
      <c r="CT534" s="2" t="e">
        <f ca="1">_xll.BDH($C$528,"CUR_RATIO","FQ1 2015","FQ1 2015","Currency=INR","Period=FQ","BEST_FPERIOD_OVERRIDE=FQ","FILING_STATUS=OR","EQY_CONSOLIDATED=Y","Sort=A","Dates=H","DateFormat=P","Fill=—","Direction=H","UseDPDF=Y")</f>
        <v>#NAME?</v>
      </c>
      <c r="CU534" s="2" t="e">
        <f ca="1">_xll.BDH($C$528,"QUICK_RATIO","FQ1 2015","FQ1 2015","Currency=INR","Period=FQ","BEST_FPERIOD_OVERRIDE=FQ","FILING_STATUS=OR","EQY_CONSOLIDATED=Y","Sort=A","Dates=H","DateFormat=P","Fill=—","Direction=H","UseDPDF=Y")</f>
        <v>#NAME?</v>
      </c>
      <c r="CV534" s="2" t="e">
        <f ca="1">_xll.BDH($C$528,"ALTMAN_Z_SCORE","FQ1 2015","FQ1 2015","Currency=INR","Period=FQ","BEST_FPERIOD_OVERRIDE=FQ","FILING_STATUS=OR","EQY_CONSOLIDATED=Y","Sort=A","Dates=H","DateFormat=P","Fill=—","Direction=H","UseDPDF=Y")</f>
        <v>#NAME?</v>
      </c>
      <c r="CW534" s="4" t="e">
        <f ca="1">_xll.BDH($C$528,"ACCT_RCV_TURN","FQ1 2015","FQ1 2015","Currency=INR","Period=FQ","BEST_FPERIOD_OVERRIDE=FQ","FILING_STATUS=OR","EQY_CONSOLIDATED=Y","FA_ADJUSTED=GAAP","Sort=A","Dates=H","DateFormat=P","Fill=—","Direction=H","UseDPDF=Y")</f>
        <v>#NAME?</v>
      </c>
      <c r="CX534" s="2" t="e">
        <f ca="1">_xll.BDH($C$528,"ACCT_RCV_DAYS","FQ1 2015","FQ1 2015","Currency=INR","Period=FQ","BEST_FPERIOD_OVERRIDE=FQ","FILING_STATUS=OR","EQY_CONSOLIDATED=Y","FA_ADJUSTED=GAAP","Sort=A","Dates=H","DateFormat=P","Fill=—","Direction=H","UseDPDF=Y")</f>
        <v>#NAME?</v>
      </c>
      <c r="CY534" s="4" t="e">
        <f ca="1">_xll.BDH($C$528,"INVENT_TURN","FQ1 2015","FQ1 2015","Currency=INR","Period=FQ","BEST_FPERIOD_OVERRIDE=FQ","FILING_STATUS=OR","EQY_CONSOLIDATED=Y","FA_ADJUSTED=GAAP","Sort=A","Dates=H","DateFormat=P","Fill=—","Direction=H","UseDPDF=Y")</f>
        <v>#NAME?</v>
      </c>
      <c r="CZ534" s="2" t="e">
        <f ca="1">_xll.BDH($C$528,"INVENT_DAYS","FQ1 2015","FQ1 2015","Currency=INR","Period=FQ","BEST_FPERIOD_OVERRIDE=FQ","FILING_STATUS=OR","EQY_CONSOLIDATED=Y","FA_ADJUSTED=GAAP","Sort=A","Dates=H","DateFormat=P","Fill=—","Direction=H","UseDPDF=Y")</f>
        <v>#NAME?</v>
      </c>
      <c r="DA534" s="4" t="e">
        <f ca="1">_xll.BDH($C$528,"ACCOUNTS_PAYABLE_TURNOVER","FQ1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534" s="2" t="e">
        <f ca="1">_xll.BDH($C$528,"ACCOUNTS_PAYABLE_TURNOVER_DAYS","FQ1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534" s="4" t="e">
        <f ca="1">_xll.BDH($C$528,"CASH_CONVERSION_CYCLE","FQ1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534" s="4" t="e">
        <f ca="1">_xll.BDH($C$528,"INV_TO_CASH_DAYS","FQ1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534" s="5" t="e">
        <f ca="1">_xll.BDH($C$528,"BS_INVENTORIES","FQ1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534" s="3" t="e">
        <f ca="1">_xll.BDH($C$528,"INVTRY_RAW_MATERIALS","FQ1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534" s="3" t="e">
        <f ca="1">_xll.BDH($C$528,"INVTRY_IN_PROGRESS","FQ1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534" s="3" t="e">
        <f ca="1">_xll.BDH($C$528,"INVTRY_FINISHED_GOODS","FQ1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534" s="3" t="e">
        <f ca="1">_xll.BDH($C$528,"BS_OTHER_INV","FQ1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535" spans="1:113" x14ac:dyDescent="0.3">
      <c r="A535" s="6"/>
      <c r="B535" s="6"/>
      <c r="C535" s="6"/>
      <c r="D535" s="6"/>
      <c r="E535" t="s">
        <v>79</v>
      </c>
      <c r="F535" t="e">
        <f ca="1">_xll.BDH($C$528,"RETURN_COM_EQY","FQ2 2015","FQ2 2015","Currency=INR","Period=FQ","BEST_FPERIOD_OVERRIDE=FQ","FILING_STATUS=OR","EQY_CONSOLIDATED=Y","FA_ADJUSTED=GAAP","Sort=A","Dates=H","DateFormat=P","Fill=—","Direction=H","UseDPDF=Y")</f>
        <v>#NAME?</v>
      </c>
      <c r="G535" t="e">
        <f ca="1">_xll.BDH($C$528,"RETURN_ON_ASSET","FQ2 2015","FQ2 2015","Currency=INR","Period=FQ","BEST_FPERIOD_OVERRIDE=FQ","FILING_STATUS=OR","EQY_CONSOLIDATED=Y","FA_ADJUSTED=GAAP","Sort=A","Dates=H","DateFormat=P","Fill=—","Direction=H","UseDPDF=Y")</f>
        <v>#NAME?</v>
      </c>
      <c r="H535" t="e">
        <f ca="1">_xll.BDH($C$528,"RETURN_ON_CAP","FQ2 2015","FQ2 2015","Currency=INR","Period=FQ","BEST_FPERIOD_OVERRIDE=FQ","FILING_STATUS=OR","EQY_CONSOLIDATED=Y","FA_ADJUSTED=GAAP","Sort=A","Dates=H","DateFormat=P","Fill=—","Direction=H","UseDPDF=Y")</f>
        <v>#NAME?</v>
      </c>
      <c r="I535" t="e">
        <f ca="1">_xll.BDH($C$528,"RETURN_ON_INV_CAPITAL","FQ2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535" t="e">
        <f ca="1">_xll.BDH($C$528,"EBITDA_TO_REVENUE","FQ2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535" t="e">
        <f ca="1">_xll.BDH($C$528,"OPER_MARGIN","FQ2 2015","FQ2 2015","Currency=INR","Period=FQ","BEST_FPERIOD_OVERRIDE=FQ","FILING_STATUS=OR","EQY_CONSOLIDATED=Y","FA_ADJUSTED=GAAP","Sort=A","Dates=H","DateFormat=P","Fill=—","Direction=H","UseDPDF=Y")</f>
        <v>#NAME?</v>
      </c>
      <c r="L535" t="e">
        <f ca="1">_xll.BDH($C$528,"INCREMENTAL_OPERATING_MARGIN","FQ2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535" t="e">
        <f ca="1">_xll.BDH($C$528,"PRETAX_INC_TO_NET_SALES","FQ2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535" t="e">
        <f ca="1">_xll.BDH($C$528,"INC_BEF_XO_ITEMS_TO_NET_SALES","FQ2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535" t="e">
        <f ca="1">_xll.BDH($C$528,"PROF_MARGIN","FQ2 2015","FQ2 2015","Currency=INR","Period=FQ","BEST_FPERIOD_OVERRIDE=FQ","FILING_STATUS=OR","EQY_CONSOLIDATED=Y","FA_ADJUSTED=GAAP","Sort=A","Dates=H","DateFormat=P","Fill=—","Direction=H","UseDPDF=Y")</f>
        <v>#NAME?</v>
      </c>
      <c r="P535" t="e">
        <f ca="1">_xll.BDH($C$528,"NET_INCOME_TO_COMMON_MARGIN","FQ2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535" t="e">
        <f ca="1">_xll.BDH($C$528,"EFF_TAX_RATE","FQ2 2015","FQ2 2015","Currency=INR","Period=FQ","BEST_FPERIOD_OVERRIDE=FQ","FILING_STATUS=OR","EQY_CONSOLIDATED=Y","FA_ADJUSTED=GAAP","Sort=A","Dates=H","DateFormat=P","Fill=—","Direction=H","UseDPDF=Y")</f>
        <v>#NAME?</v>
      </c>
      <c r="R535" t="e">
        <f ca="1">_xll.BDH($C$528,"DVD_PAYOUT_RATIO","FQ2 2015","FQ2 2015","Currency=INR","Period=FQ","BEST_FPERIOD_OVERRIDE=FQ","FILING_STATUS=OR","EQY_CONSOLIDATED=Y","FA_ADJUSTED=GAAP","Sort=A","Dates=H","DateFormat=P","Fill=—","Direction=H","UseDPDF=Y")</f>
        <v>#NAME?</v>
      </c>
      <c r="S535" t="e">
        <f ca="1">_xll.BDH($C$528,"SUSTAIN_GROWTH_RT","FQ2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535" s="2" t="e">
        <f ca="1">_xll.BDH($C$528,"SALES_GROWTH","FQ2 2015","FQ2 2015","Currency=INR","Period=FQ","BEST_FPERIOD_OVERRIDE=FQ","FILING_STATUS=OR","EQY_CONSOLIDATED=Y","FA_ADJUSTED=GAAP","Sort=A","Dates=H","DateFormat=P","Fill=—","Direction=H","UseDPDF=Y")</f>
        <v>#NAME?</v>
      </c>
      <c r="U535" s="2" t="e">
        <f ca="1">_xll.BDH($C$528,"EBITDA_GROWTH","FQ2 2015","FQ2 2015","Currency=INR","Period=FQ","BEST_FPERIOD_OVERRIDE=FQ","FILING_STATUS=OR","EQY_CONSOLIDATED=Y","FA_ADJUSTED=GAAP","Sort=A","Dates=H","DateFormat=P","Fill=—","Direction=H","UseDPDF=Y")</f>
        <v>#NAME?</v>
      </c>
      <c r="V535" s="2" t="e">
        <f ca="1">_xll.BDH($C$528,"OPER_INC_GROWTH","FQ2 2015","FQ2 2015","Currency=INR","Period=FQ","BEST_FPERIOD_OVERRIDE=FQ","FILING_STATUS=OR","EQY_CONSOLIDATED=Y","FA_ADJUSTED=GAAP","Sort=A","Dates=H","DateFormat=P","Fill=—","Direction=H","UseDPDF=Y")</f>
        <v>#NAME?</v>
      </c>
      <c r="W535" s="2" t="e">
        <f ca="1">_xll.BDH($C$528,"EARN_FOR_COM_GROWTH","FQ2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535" s="2" t="e">
        <f ca="1">_xll.BDH($C$528,"DILUTED_EPS_AFT_XO_ITEMS_GROWTH","FQ2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535" s="2" t="e">
        <f ca="1">_xll.BDH($C$528,"DIVIDEND_PER_SHARE_1_YEAR_GROWTH","FQ2 2015","FQ2 2015","Currency=INR","Period=FQ","BEST_FPERIOD_OVERRIDE=FQ","FILING_STATUS=OR","EQY_CONSOLIDATED=Y","Sort=A","Dates=H","DateFormat=P","Fill=—","Direction=H","UseDPDF=Y")</f>
        <v>#NAME?</v>
      </c>
      <c r="Z535" s="2" t="e">
        <f ca="1">_xll.BDH($C$528,"ACCOUNTS_RECEIVABLE_GROWTH","FQ2 2015","FQ2 2015","Currency=INR","Period=FQ","BEST_FPERIOD_OVERRIDE=FQ","FILING_STATUS=OR","EQY_CONSOLIDATED=Y","Sort=A","Dates=H","DateFormat=P","Fill=—","Direction=H","UseDPDF=Y")</f>
        <v>#NAME?</v>
      </c>
      <c r="AA535" s="2" t="e">
        <f ca="1">_xll.BDH($C$528,"INVENTORY_GROWTH","FQ2 2015","FQ2 2015","Currency=INR","Period=FQ","BEST_FPERIOD_OVERRIDE=FQ","FILING_STATUS=OR","EQY_CONSOLIDATED=Y","Sort=A","Dates=H","DateFormat=P","Fill=—","Direction=H","UseDPDF=Y")</f>
        <v>#NAME?</v>
      </c>
      <c r="AB535" s="2" t="e">
        <f ca="1">_xll.BDH($C$528,"NET_FIXED_ASSETS_1_YEAR_GROWTH","FQ2 2015","FQ2 2015","Currency=INR","Period=FQ","BEST_FPERIOD_OVERRIDE=FQ","FILING_STATUS=OR","EQY_CONSOLIDATED=Y","Sort=A","Dates=H","DateFormat=P","Fill=—","Direction=H","UseDPDF=Y")</f>
        <v>#NAME?</v>
      </c>
      <c r="AC535" s="2" t="e">
        <f ca="1">_xll.BDH($C$528,"ASSET_GROWTH","FQ2 2015","FQ2 2015","Currency=INR","Period=FQ","BEST_FPERIOD_OVERRIDE=FQ","FILING_STATUS=OR","EQY_CONSOLIDATED=Y","Sort=A","Dates=H","DateFormat=P","Fill=—","Direction=H","UseDPDF=Y")</f>
        <v>#NAME?</v>
      </c>
      <c r="AD535" s="2" t="e">
        <f ca="1">_xll.BDH($C$528,"MODIFIED_WORK_CAP_GROWTH","FQ2 2015","FQ2 2015","Currency=INR","Period=FQ","BEST_FPERIOD_OVERRIDE=FQ","FILING_STATUS=OR","EQY_CONSOLIDATED=Y","Sort=A","Dates=H","DateFormat=P","Fill=—","Direction=H","UseDPDF=Y")</f>
        <v>#NAME?</v>
      </c>
      <c r="AE535" s="2" t="e">
        <f ca="1">_xll.BDH($C$528,"WORK_CAP_GROWTH","FQ2 2015","FQ2 2015","Currency=INR","Period=FQ","BEST_FPERIOD_OVERRIDE=FQ","FILING_STATUS=OR","EQY_CONSOLIDATED=Y","Sort=A","Dates=H","DateFormat=P","Fill=—","Direction=H","UseDPDF=Y")</f>
        <v>#NAME?</v>
      </c>
      <c r="AF535" s="2" t="e">
        <f ca="1">_xll.BDH($C$528,"ACCOUNTS_PAYABLE_GROWTH_1YR","FQ2 2015","FQ2 2015","Currency=INR","Period=FQ","BEST_FPERIOD_OVERRIDE=FQ","FILING_STATUS=OR","EQY_CONSOLIDATED=Y","Sort=A","Dates=H","DateFormat=P","Fill=—","Direction=H","UseDPDF=Y")</f>
        <v>#NAME?</v>
      </c>
      <c r="AG535" s="2" t="e">
        <f ca="1">_xll.BDH($C$528,"SHORT_TERM_DEBT_1_YEAR_GROWTH","FQ2 2015","FQ2 2015","Currency=INR","Period=FQ","BEST_FPERIOD_OVERRIDE=FQ","FILING_STATUS=OR","EQY_CONSOLIDATED=Y","Sort=A","Dates=H","DateFormat=P","Fill=—","Direction=H","UseDPDF=Y")</f>
        <v>#NAME?</v>
      </c>
      <c r="AH535" s="2" t="e">
        <f ca="1">_xll.BDH($C$528,"TOTAL_DEBT_1_YEAR_GROWTH","FQ2 2015","FQ2 2015","Currency=INR","Period=FQ","BEST_FPERIOD_OVERRIDE=FQ","FILING_STATUS=OR","EQY_CONSOLIDATED=Y","Sort=A","Dates=H","DateFormat=P","Fill=—","Direction=H","UseDPDF=Y")</f>
        <v>#NAME?</v>
      </c>
      <c r="AI535" s="2" t="e">
        <f ca="1">_xll.BDH($C$528,"TOTAL_EQUITY_1_YEAR_GROWTH","FQ2 2015","FQ2 2015","Currency=INR","Period=FQ","BEST_FPERIOD_OVERRIDE=FQ","FILING_STATUS=OR","EQY_CONSOLIDATED=Y","Sort=A","Dates=H","DateFormat=P","Fill=—","Direction=H","UseDPDF=Y")</f>
        <v>#NAME?</v>
      </c>
      <c r="AJ535" s="2" t="e">
        <f ca="1">_xll.BDH($C$528,"GROWTH_IN_CAP","FQ2 2015","FQ2 2015","Currency=INR","Period=FQ","BEST_FPERIOD_OVERRIDE=FQ","FILING_STATUS=OR","EQY_CONSOLIDATED=Y","Sort=A","Dates=H","DateFormat=P","Fill=—","Direction=H","UseDPDF=Y")</f>
        <v>#NAME?</v>
      </c>
      <c r="AK535" s="2" t="e">
        <f ca="1">_xll.BDH($C$528,"BVPS_GROWTH","FQ2 2015","FQ2 2015","Currency=INR","Period=FQ","BEST_FPERIOD_OVERRIDE=FQ","FILING_STATUS=OR","EQY_CONSOLIDATED=Y","Sort=A","Dates=H","DateFormat=P","Fill=—","Direction=H","UseDPDF=Y")</f>
        <v>#NAME?</v>
      </c>
      <c r="AL535" s="2" t="e">
        <f ca="1">_xll.BDH($C$528,"CASH_FLOW_GROWTH","FQ2 2015","FQ2 2015","Currency=INR","Period=FQ","BEST_FPERIOD_OVERRIDE=FQ","FILING_STATUS=OR","EQY_CONSOLIDATED=Y","Sort=A","Dates=H","DateFormat=P","Fill=—","Direction=H","UseDPDF=Y")</f>
        <v>#NAME?</v>
      </c>
      <c r="AM535" s="2" t="e">
        <f ca="1">_xll.BDH($C$528,"GEO_GROW_NET_SALES","FQ2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535" s="2" t="e">
        <f ca="1">_xll.BDH($C$528,"GEO_GROW_EBITDA","FQ2 2015","FQ2 2015","Currency=INR","Period=FQ","BEST_FPERIOD_OVERRIDE=FQ","FILING_STATUS=OR","EQY_CONSOLIDATED=Y","FA_ADJUSTED=GAAP","Sort=A","Dates=H","DateFormat=P","Fill=—","Direction=H","UseDPDF=Y")</f>
        <v>#NAME?</v>
      </c>
      <c r="AO535" s="2" t="e">
        <f ca="1">_xll.BDH($C$528,"GEO_GROW_OPER_INC","FQ2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535" s="2" t="e">
        <f ca="1">_xll.BDH($C$528,"NET_INCOME_TO_COMMON_5_YR_GROWTH","FQ2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535" s="2" t="e">
        <f ca="1">_xll.BDH($C$528,"5Y_GEO_GROWTH_DILUTED_EPS","FQ2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535" s="2" t="e">
        <f ca="1">_xll.BDH($C$528,"GEO_GROW_DVD_PER_SH","FQ2 2015","FQ2 2015","Currency=INR","Period=FQ","BEST_FPERIOD_OVERRIDE=FQ","FILING_STATUS=OR","EQY_CONSOLIDATED=Y","Sort=A","Dates=H","DateFormat=P","Fill=—","Direction=H","UseDPDF=Y")</f>
        <v>#NAME?</v>
      </c>
      <c r="AS535" s="2" t="e">
        <f ca="1">_xll.BDH($C$528,"ACCOUNTS_RECEIVABLE_5_YR_GROWTH","FQ2 2015","FQ2 2015","Currency=INR","Period=FQ","BEST_FPERIOD_OVERRIDE=FQ","FILING_STATUS=OR","EQY_CONSOLIDATED=Y","Sort=A","Dates=H","DateFormat=P","Fill=—","Direction=H","UseDPDF=Y")</f>
        <v>#NAME?</v>
      </c>
      <c r="AT535" s="2" t="e">
        <f ca="1">_xll.BDH($C$528,"INVENTORY_5_YEAR_GROWTH","FQ2 2015","FQ2 2015","Currency=INR","Period=FQ","BEST_FPERIOD_OVERRIDE=FQ","FILING_STATUS=OR","EQY_CONSOLIDATED=Y","Sort=A","Dates=H","DateFormat=P","Fill=—","Direction=H","UseDPDF=Y")</f>
        <v>#NAME?</v>
      </c>
      <c r="AU535" s="2" t="e">
        <f ca="1">_xll.BDH($C$528,"NET_FIXED_ASSETS_5_YEAR_GROWTH","FQ2 2015","FQ2 2015","Currency=INR","Period=FQ","BEST_FPERIOD_OVERRIDE=FQ","FILING_STATUS=OR","EQY_CONSOLIDATED=Y","Sort=A","Dates=H","DateFormat=P","Fill=—","Direction=H","UseDPDF=Y")</f>
        <v>#NAME?</v>
      </c>
      <c r="AV535" s="2" t="e">
        <f ca="1">_xll.BDH($C$528,"GEO_GROW_TOT_ASSET","FQ2 2015","FQ2 2015","Currency=INR","Period=FQ","BEST_FPERIOD_OVERRIDE=FQ","FILING_STATUS=OR","EQY_CONSOLIDATED=Y","Sort=A","Dates=H","DateFormat=P","Fill=—","Direction=H","UseDPDF=Y")</f>
        <v>#NAME?</v>
      </c>
      <c r="AW535" s="2" t="e">
        <f ca="1">_xll.BDH($C$528,"MODIFIED_WORKING_CPTL_5YR_GRWTH","FQ2 2015","FQ2 2015","Currency=INR","Period=FQ","BEST_FPERIOD_OVERRIDE=FQ","FILING_STATUS=OR","EQY_CONSOLIDATED=Y","Sort=A","Dates=H","DateFormat=P","Fill=—","Direction=H","UseDPDF=Y")</f>
        <v>#NAME?</v>
      </c>
      <c r="AX535" s="2" t="e">
        <f ca="1">_xll.BDH($C$528,"WORKING_CAPITAL_5_YEAR_GROWTH","FQ2 2015","FQ2 2015","Currency=INR","Period=FQ","BEST_FPERIOD_OVERRIDE=FQ","FILING_STATUS=OR","EQY_CONSOLIDATED=Y","Sort=A","Dates=H","DateFormat=P","Fill=—","Direction=H","UseDPDF=Y")</f>
        <v>#NAME?</v>
      </c>
      <c r="AY535" s="2" t="e">
        <f ca="1">_xll.BDH($C$528,"ACCOUNTS_PAYABLE_5_YEAR_GROWTH","FQ2 2015","FQ2 2015","Currency=INR","Period=FQ","BEST_FPERIOD_OVERRIDE=FQ","FILING_STATUS=OR","EQY_CONSOLIDATED=Y","Sort=A","Dates=H","DateFormat=P","Fill=—","Direction=H","UseDPDF=Y")</f>
        <v>#NAME?</v>
      </c>
      <c r="AZ535" s="2" t="e">
        <f ca="1">_xll.BDH($C$528,"SHORT_TERM_DEBT_5_YEAR_GROWTH","FQ2 2015","FQ2 2015","Currency=INR","Period=FQ","BEST_FPERIOD_OVERRIDE=FQ","FILING_STATUS=OR","EQY_CONSOLIDATED=Y","Sort=A","Dates=H","DateFormat=P","Fill=—","Direction=H","UseDPDF=Y")</f>
        <v>#NAME?</v>
      </c>
      <c r="BA535" s="2" t="e">
        <f ca="1">_xll.BDH($C$528,"TOTAL_DEBT_5_YEAR_GROWTH","FQ2 2015","FQ2 2015","Currency=INR","Period=FQ","BEST_FPERIOD_OVERRIDE=FQ","FILING_STATUS=OR","EQY_CONSOLIDATED=Y","Sort=A","Dates=H","DateFormat=P","Fill=—","Direction=H","UseDPDF=Y")</f>
        <v>#NAME?</v>
      </c>
      <c r="BB535" s="2" t="e">
        <f ca="1">_xll.BDH($C$528,"GEO_GROW_TOT_SHRHLDR_EQY","FQ2 2015","FQ2 2015","Currency=INR","Period=FQ","BEST_FPERIOD_OVERRIDE=FQ","FILING_STATUS=OR","EQY_CONSOLIDATED=Y","Sort=A","Dates=H","DateFormat=P","Fill=—","Direction=H","UseDPDF=Y")</f>
        <v>#NAME?</v>
      </c>
      <c r="BC535" s="2" t="e">
        <f ca="1">_xll.BDH($C$528,"TOTAL_CAPITAL_5_YEAR_GROWTH","FQ2 2015","FQ2 2015","Currency=INR","Period=FQ","BEST_FPERIOD_OVERRIDE=FQ","FILING_STATUS=OR","EQY_CONSOLIDATED=Y","Sort=A","Dates=H","DateFormat=P","Fill=—","Direction=H","UseDPDF=Y")</f>
        <v>#NAME?</v>
      </c>
      <c r="BD535" s="2" t="e">
        <f ca="1">_xll.BDH($C$528,"GEO_GROW_BOOK_VAL","FQ2 2015","FQ2 2015","Currency=INR","Period=FQ","BEST_FPERIOD_OVERRIDE=FQ","FILING_STATUS=OR","EQY_CONSOLIDATED=Y","Sort=A","Dates=H","DateFormat=P","Fill=—","Direction=H","UseDPDF=Y")</f>
        <v>#NAME?</v>
      </c>
      <c r="BE535" s="2" t="e">
        <f ca="1">_xll.BDH($C$528,"GEO_GROW_CASH_OPER_ACT","FQ2 2015","FQ2 2015","Currency=INR","Period=FQ","BEST_FPERIOD_OVERRIDE=FQ","FILING_STATUS=OR","EQY_CONSOLIDATED=Y","Sort=A","Dates=H","DateFormat=P","Fill=—","Direction=H","UseDPDF=Y")</f>
        <v>#NAME?</v>
      </c>
      <c r="BF535" s="2" t="e">
        <f ca="1">_xll.BDH($C$528,"REVENUE_SEQUENTIAL_GROWTH","FQ2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535" s="2" t="e">
        <f ca="1">_xll.BDH($C$528,"EBITDA_SEQUENTIAL_GROWTH","FQ2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535" s="2" t="e">
        <f ca="1">_xll.BDH($C$528,"OPERATING_INCOME_SEQ_GROWTH","FQ2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535" s="2" t="e">
        <f ca="1">_xll.BDH($C$528,"NET_INCOME_TO_COMMON_SEQ_GROWTH","FQ2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535" s="2" t="e">
        <f ca="1">_xll.BDH($C$528,"EPS_DILUTED_SEQUENTIAL_GROWTH","FQ2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535" s="2" t="e">
        <f ca="1">_xll.BDH($C$528,"DPS_SEQUENTIAL_GROWTH","FQ2 2015","FQ2 2015","Currency=INR","Period=FQ","BEST_FPERIOD_OVERRIDE=FQ","FILING_STATUS=OR","EQY_CONSOLIDATED=Y","Sort=A","Dates=H","DateFormat=P","Fill=—","Direction=H","UseDPDF=Y")</f>
        <v>#NAME?</v>
      </c>
      <c r="BL535" s="2" t="e">
        <f ca="1">_xll.BDH($C$528,"ACCOUNTS_RECEIVABLE_SEQ_GROWTH","FQ2 2015","FQ2 2015","Currency=INR","Period=FQ","BEST_FPERIOD_OVERRIDE=FQ","FILING_STATUS=OR","EQY_CONSOLIDATED=Y","Sort=A","Dates=H","DateFormat=P","Fill=—","Direction=H","UseDPDF=Y")</f>
        <v>#NAME?</v>
      </c>
      <c r="BM535" s="2" t="e">
        <f ca="1">_xll.BDH($C$528,"INVENTORY_SEQUENTIAL_GROWTH","FQ2 2015","FQ2 2015","Currency=INR","Period=FQ","BEST_FPERIOD_OVERRIDE=FQ","FILING_STATUS=OR","EQY_CONSOLIDATED=Y","Sort=A","Dates=H","DateFormat=P","Fill=—","Direction=H","UseDPDF=Y")</f>
        <v>#NAME?</v>
      </c>
      <c r="BN535" s="2" t="e">
        <f ca="1">_xll.BDH($C$528,"FIXED_ASSETS_SEQUENTIAL_GROWTH","FQ2 2015","FQ2 2015","Currency=INR","Period=FQ","BEST_FPERIOD_OVERRIDE=FQ","FILING_STATUS=OR","EQY_CONSOLIDATED=Y","Sort=A","Dates=H","DateFormat=P","Fill=—","Direction=H","UseDPDF=Y")</f>
        <v>#NAME?</v>
      </c>
      <c r="BO535" s="2" t="e">
        <f ca="1">_xll.BDH($C$528,"TOTAL_ASSETS_SEQUENTIAL_GROWTH","FQ2 2015","FQ2 2015","Currency=INR","Period=FQ","BEST_FPERIOD_OVERRIDE=FQ","FILING_STATUS=OR","EQY_CONSOLIDATED=Y","Sort=A","Dates=H","DateFormat=P","Fill=—","Direction=H","UseDPDF=Y")</f>
        <v>#NAME?</v>
      </c>
      <c r="BP535" s="2" t="e">
        <f ca="1">_xll.BDH($C$528,"MODIFIED_WORKING_CPTL_SEQ_GRWTH","FQ2 2015","FQ2 2015","Currency=INR","Period=FQ","BEST_FPERIOD_OVERRIDE=FQ","FILING_STATUS=OR","EQY_CONSOLIDATED=Y","Sort=A","Dates=H","DateFormat=P","Fill=—","Direction=H","UseDPDF=Y")</f>
        <v>#NAME?</v>
      </c>
      <c r="BQ535" s="2" t="e">
        <f ca="1">_xll.BDH($C$528,"WORKING_CAPITAL_SEQ_GROWTH","FQ2 2015","FQ2 2015","Currency=INR","Period=FQ","BEST_FPERIOD_OVERRIDE=FQ","FILING_STATUS=OR","EQY_CONSOLIDATED=Y","Sort=A","Dates=H","DateFormat=P","Fill=—","Direction=H","UseDPDF=Y")</f>
        <v>#NAME?</v>
      </c>
      <c r="BR535" s="2" t="e">
        <f ca="1">_xll.BDH($C$528,"ACCOUNTS_PAYABLE_SEQ_GROWTH","FQ2 2015","FQ2 2015","Currency=INR","Period=FQ","BEST_FPERIOD_OVERRIDE=FQ","FILING_STATUS=OR","EQY_CONSOLIDATED=Y","Sort=A","Dates=H","DateFormat=P","Fill=—","Direction=H","UseDPDF=Y")</f>
        <v>#NAME?</v>
      </c>
      <c r="BS535" s="2" t="e">
        <f ca="1">_xll.BDH($C$528,"ST_DEBT_SEQUENTIAL_GROWTH","FQ2 2015","FQ2 2015","Currency=INR","Period=FQ","BEST_FPERIOD_OVERRIDE=FQ","FILING_STATUS=OR","EQY_CONSOLIDATED=Y","Sort=A","Dates=H","DateFormat=P","Fill=—","Direction=H","UseDPDF=Y")</f>
        <v>#NAME?</v>
      </c>
      <c r="BT535" s="2" t="e">
        <f ca="1">_xll.BDH($C$528,"TOTAL_DEBT_SEQUENTIAL_GROWTH","FQ2 2015","FQ2 2015","Currency=INR","Period=FQ","BEST_FPERIOD_OVERRIDE=FQ","FILING_STATUS=OR","EQY_CONSOLIDATED=Y","Sort=A","Dates=H","DateFormat=P","Fill=—","Direction=H","UseDPDF=Y")</f>
        <v>#NAME?</v>
      </c>
      <c r="BU535" s="2" t="e">
        <f ca="1">_xll.BDH($C$528,"TOTAL_EQUITY_SEQUENTIAL_GROWTH","FQ2 2015","FQ2 2015","Currency=INR","Period=FQ","BEST_FPERIOD_OVERRIDE=FQ","FILING_STATUS=OR","EQY_CONSOLIDATED=Y","Sort=A","Dates=H","DateFormat=P","Fill=—","Direction=H","UseDPDF=Y")</f>
        <v>#NAME?</v>
      </c>
      <c r="BV535" s="2" t="e">
        <f ca="1">_xll.BDH($C$528,"TOTAL_CAPITAL_SEQUENTIAL_GROWTH","FQ2 2015","FQ2 2015","Currency=INR","Period=FQ","BEST_FPERIOD_OVERRIDE=FQ","FILING_STATUS=OR","EQY_CONSOLIDATED=Y","Sort=A","Dates=H","DateFormat=P","Fill=—","Direction=H","UseDPDF=Y")</f>
        <v>#NAME?</v>
      </c>
      <c r="BW535" s="2" t="e">
        <f ca="1">_xll.BDH($C$528,"BPS_SEQUENTIAL_GROWTH","FQ2 2015","FQ2 2015","Currency=INR","Period=FQ","BEST_FPERIOD_OVERRIDE=FQ","FILING_STATUS=OR","EQY_CONSOLIDATED=Y","Sort=A","Dates=H","DateFormat=P","Fill=—","Direction=H","UseDPDF=Y")</f>
        <v>#NAME?</v>
      </c>
      <c r="BX535" s="2" t="e">
        <f ca="1">_xll.BDH($C$528,"CFO_SEQUENTIAL_GROWTH","FQ2 2015","FQ2 2015","Currency=INR","Period=FQ","BEST_FPERIOD_OVERRIDE=FQ","FILING_STATUS=OR","EQY_CONSOLIDATED=Y","Sort=A","Dates=H","DateFormat=P","Fill=—","Direction=H","UseDPDF=Y")</f>
        <v>#NAME?</v>
      </c>
      <c r="BY535" s="3" t="e">
        <f ca="1">_xll.BDH($C$528,"SHORT_AND_LONG_TERM_DEBT","FQ2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535" s="3" t="e">
        <f ca="1">_xll.BDH($C$528,"BS_ST_BORROW","FQ2 2015","FQ2 2015","Currency=INR","Period=FQ","BEST_FPERIOD_OVERRIDE=FQ","FILING_STATUS=OR","EQY_CONSOLIDATED=Y","SCALING_FORMAT=MLN","Sort=A","Dates=H","DateFormat=P","Fill=—","Direction=H","UseDPDF=Y")</f>
        <v>#NAME?</v>
      </c>
      <c r="CA535" s="3" t="e">
        <f ca="1">_xll.BDH($C$528,"BS_LT_BORROW","FQ2 2015","FQ2 2015","Currency=INR","Period=FQ","BEST_FPERIOD_OVERRIDE=FQ","FILING_STATUS=OR","EQY_CONSOLIDATED=Y","SCALING_FORMAT=MLN","Sort=A","Dates=H","DateFormat=P","Fill=—","Direction=H","UseDPDF=Y")</f>
        <v>#NAME?</v>
      </c>
      <c r="CB535" s="2" t="e">
        <f ca="1">_xll.BDH($C$528,"TOT_DEBT_TO_EBITDA","FQ2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535" s="2" t="e">
        <f ca="1">_xll.BDH($C$528,"NET_DEBT_TO_EBITDA","FQ2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535" s="2" t="e">
        <f ca="1">_xll.BDH($C$528,"TOTAL_DEBT_TO_EBIT","FQ2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535" s="2" t="e">
        <f ca="1">_xll.BDH($C$528,"NET_DEBT_TO_EBIT","FQ2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535" s="2" t="e">
        <f ca="1">_xll.BDH($C$528,"EBITDA_TO_INTEREST_EXPN","FQ2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535" s="2" t="e">
        <f ca="1">_xll.BDH($C$528,"COM_EQY_TO_TOT_ASSET","FQ2 2015","FQ2 2015","Currency=INR","Period=FQ","BEST_FPERIOD_OVERRIDE=FQ","FILING_STATUS=OR","EQY_CONSOLIDATED=Y","Sort=A","Dates=H","DateFormat=P","Fill=—","Direction=H","UseDPDF=Y")</f>
        <v>#NAME?</v>
      </c>
      <c r="CH535" s="2" t="e">
        <f ca="1">_xll.BDH($C$528,"LT_DEBT_TO_TOT_EQY","FQ2 2015","FQ2 2015","Currency=INR","Period=FQ","BEST_FPERIOD_OVERRIDE=FQ","FILING_STATUS=OR","EQY_CONSOLIDATED=Y","Sort=A","Dates=H","DateFormat=P","Fill=—","Direction=H","UseDPDF=Y")</f>
        <v>#NAME?</v>
      </c>
      <c r="CI535" s="2" t="e">
        <f ca="1">_xll.BDH($C$528,"LT_DEBT_TO_TOT_CAP","FQ2 2015","FQ2 2015","Currency=INR","Period=FQ","BEST_FPERIOD_OVERRIDE=FQ","FILING_STATUS=OR","EQY_CONSOLIDATED=Y","Sort=A","Dates=H","DateFormat=P","Fill=—","Direction=H","UseDPDF=Y")</f>
        <v>#NAME?</v>
      </c>
      <c r="CJ535" s="2" t="e">
        <f ca="1">_xll.BDH($C$528,"LT_DEBT_TO_TOT_ASSET","FQ2 2015","FQ2 2015","Currency=INR","Period=FQ","BEST_FPERIOD_OVERRIDE=FQ","FILING_STATUS=OR","EQY_CONSOLIDATED=Y","Sort=A","Dates=H","DateFormat=P","Fill=—","Direction=H","UseDPDF=Y")</f>
        <v>#NAME?</v>
      </c>
      <c r="CK535" s="2" t="e">
        <f ca="1">_xll.BDH($C$528,"TOT_DEBT_TO_TOT_EQY","FQ2 2015","FQ2 2015","Currency=INR","Period=FQ","BEST_FPERIOD_OVERRIDE=FQ","FILING_STATUS=OR","EQY_CONSOLIDATED=Y","Sort=A","Dates=H","DateFormat=P","Fill=—","Direction=H","UseDPDF=Y")</f>
        <v>#NAME?</v>
      </c>
      <c r="CL535" s="2" t="e">
        <f ca="1">_xll.BDH($C$528,"TOT_DEBT_TO_TOT_CAP","FQ2 2015","FQ2 2015","Currency=INR","Period=FQ","BEST_FPERIOD_OVERRIDE=FQ","FILING_STATUS=OR","EQY_CONSOLIDATED=Y","Sort=A","Dates=H","DateFormat=P","Fill=—","Direction=H","UseDPDF=Y")</f>
        <v>#NAME?</v>
      </c>
      <c r="CM535" s="2" t="e">
        <f ca="1">_xll.BDH($C$528,"TOT_DEBT_TO_TOT_ASSET","FQ2 2015","FQ2 2015","Currency=INR","Period=FQ","BEST_FPERIOD_OVERRIDE=FQ","FILING_STATUS=OR","EQY_CONSOLIDATED=Y","Sort=A","Dates=H","DateFormat=P","Fill=—","Direction=H","UseDPDF=Y")</f>
        <v>#NAME?</v>
      </c>
      <c r="CN535" s="2" t="e">
        <f ca="1">_xll.BDH($C$528,"NET_DEBT_TO_SHRHLDR_EQTY","FQ2 2015","FQ2 2015","Currency=INR","Period=FQ","BEST_FPERIOD_OVERRIDE=FQ","FILING_STATUS=OR","EQY_CONSOLIDATED=Y","Sort=A","Dates=H","DateFormat=P","Fill=—","Direction=H","UseDPDF=Y")</f>
        <v>#NAME?</v>
      </c>
      <c r="CO535" s="2" t="e">
        <f ca="1">_xll.BDH($C$528,"NET_DEBT_%_CAPITAL","FQ2 2015","FQ2 2015","Currency=INR","Period=FQ","BEST_FPERIOD_OVERRIDE=FQ","FILING_STATUS=OR","EQY_CONSOLIDATED=Y","Sort=A","Dates=H","DateFormat=P","Fill=—","Direction=H","UseDPDF=Y")</f>
        <v>#NAME?</v>
      </c>
      <c r="CP535" s="3" t="e">
        <f ca="1">_xll.BDH($C$528,"EBITDA","FQ2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535" s="3" t="e">
        <f ca="1">_xll.BDH($C$528,"EBITDA_AFTER_CAPEX","FQ2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535" s="3" t="e">
        <f ca="1">_xll.BDH($C$528,"IS_OPER_INC","FQ2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535" s="2" t="e">
        <f ca="1">_xll.BDH($C$528,"CASH_RATIO","FQ2 2015","FQ2 2015","Currency=INR","Period=FQ","BEST_FPERIOD_OVERRIDE=FQ","FILING_STATUS=OR","EQY_CONSOLIDATED=Y","Sort=A","Dates=H","DateFormat=P","Fill=—","Direction=H","UseDPDF=Y")</f>
        <v>#NAME?</v>
      </c>
      <c r="CT535" s="2" t="e">
        <f ca="1">_xll.BDH($C$528,"CUR_RATIO","FQ2 2015","FQ2 2015","Currency=INR","Period=FQ","BEST_FPERIOD_OVERRIDE=FQ","FILING_STATUS=OR","EQY_CONSOLIDATED=Y","Sort=A","Dates=H","DateFormat=P","Fill=—","Direction=H","UseDPDF=Y")</f>
        <v>#NAME?</v>
      </c>
      <c r="CU535" s="2" t="e">
        <f ca="1">_xll.BDH($C$528,"QUICK_RATIO","FQ2 2015","FQ2 2015","Currency=INR","Period=FQ","BEST_FPERIOD_OVERRIDE=FQ","FILING_STATUS=OR","EQY_CONSOLIDATED=Y","Sort=A","Dates=H","DateFormat=P","Fill=—","Direction=H","UseDPDF=Y")</f>
        <v>#NAME?</v>
      </c>
      <c r="CV535" s="2" t="e">
        <f ca="1">_xll.BDH($C$528,"ALTMAN_Z_SCORE","FQ2 2015","FQ2 2015","Currency=INR","Period=FQ","BEST_FPERIOD_OVERRIDE=FQ","FILING_STATUS=OR","EQY_CONSOLIDATED=Y","Sort=A","Dates=H","DateFormat=P","Fill=—","Direction=H","UseDPDF=Y")</f>
        <v>#NAME?</v>
      </c>
      <c r="CW535" s="4" t="e">
        <f ca="1">_xll.BDH($C$528,"ACCT_RCV_TURN","FQ2 2015","FQ2 2015","Currency=INR","Period=FQ","BEST_FPERIOD_OVERRIDE=FQ","FILING_STATUS=OR","EQY_CONSOLIDATED=Y","FA_ADJUSTED=GAAP","Sort=A","Dates=H","DateFormat=P","Fill=—","Direction=H","UseDPDF=Y")</f>
        <v>#NAME?</v>
      </c>
      <c r="CX535" s="2" t="e">
        <f ca="1">_xll.BDH($C$528,"ACCT_RCV_DAYS","FQ2 2015","FQ2 2015","Currency=INR","Period=FQ","BEST_FPERIOD_OVERRIDE=FQ","FILING_STATUS=OR","EQY_CONSOLIDATED=Y","FA_ADJUSTED=GAAP","Sort=A","Dates=H","DateFormat=P","Fill=—","Direction=H","UseDPDF=Y")</f>
        <v>#NAME?</v>
      </c>
      <c r="CY535" s="4" t="e">
        <f ca="1">_xll.BDH($C$528,"INVENT_TURN","FQ2 2015","FQ2 2015","Currency=INR","Period=FQ","BEST_FPERIOD_OVERRIDE=FQ","FILING_STATUS=OR","EQY_CONSOLIDATED=Y","FA_ADJUSTED=GAAP","Sort=A","Dates=H","DateFormat=P","Fill=—","Direction=H","UseDPDF=Y")</f>
        <v>#NAME?</v>
      </c>
      <c r="CZ535" s="2" t="e">
        <f ca="1">_xll.BDH($C$528,"INVENT_DAYS","FQ2 2015","FQ2 2015","Currency=INR","Period=FQ","BEST_FPERIOD_OVERRIDE=FQ","FILING_STATUS=OR","EQY_CONSOLIDATED=Y","FA_ADJUSTED=GAAP","Sort=A","Dates=H","DateFormat=P","Fill=—","Direction=H","UseDPDF=Y")</f>
        <v>#NAME?</v>
      </c>
      <c r="DA535" s="4" t="e">
        <f ca="1">_xll.BDH($C$528,"ACCOUNTS_PAYABLE_TURNOVER","FQ2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535" s="2" t="e">
        <f ca="1">_xll.BDH($C$528,"ACCOUNTS_PAYABLE_TURNOVER_DAYS","FQ2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535" s="4" t="e">
        <f ca="1">_xll.BDH($C$528,"CASH_CONVERSION_CYCLE","FQ2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535" s="4" t="e">
        <f ca="1">_xll.BDH($C$528,"INV_TO_CASH_DAYS","FQ2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535" s="5" t="e">
        <f ca="1">_xll.BDH($C$528,"BS_INVENTORIES","FQ2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535" s="3" t="e">
        <f ca="1">_xll.BDH($C$528,"INVTRY_RAW_MATERIALS","FQ2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535" s="3" t="e">
        <f ca="1">_xll.BDH($C$528,"INVTRY_IN_PROGRESS","FQ2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535" s="3" t="e">
        <f ca="1">_xll.BDH($C$528,"INVTRY_FINISHED_GOODS","FQ2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535" s="3" t="e">
        <f ca="1">_xll.BDH($C$528,"BS_OTHER_INV","FQ2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536" spans="1:113" x14ac:dyDescent="0.3">
      <c r="A536" s="6"/>
      <c r="B536" s="6"/>
      <c r="C536" s="6"/>
      <c r="D536" s="6"/>
      <c r="E536" t="s">
        <v>80</v>
      </c>
      <c r="F536" t="e">
        <f ca="1">_xll.BDH($C$528,"RETURN_COM_EQY","FQ3 2015","FQ3 2015","Currency=INR","Period=FQ","BEST_FPERIOD_OVERRIDE=FQ","FILING_STATUS=OR","EQY_CONSOLIDATED=Y","FA_ADJUSTED=GAAP","Sort=A","Dates=H","DateFormat=P","Fill=—","Direction=H","UseDPDF=Y")</f>
        <v>#NAME?</v>
      </c>
      <c r="G536" t="e">
        <f ca="1">_xll.BDH($C$528,"RETURN_ON_ASSET","FQ3 2015","FQ3 2015","Currency=INR","Period=FQ","BEST_FPERIOD_OVERRIDE=FQ","FILING_STATUS=OR","EQY_CONSOLIDATED=Y","FA_ADJUSTED=GAAP","Sort=A","Dates=H","DateFormat=P","Fill=—","Direction=H","UseDPDF=Y")</f>
        <v>#NAME?</v>
      </c>
      <c r="H536" t="e">
        <f ca="1">_xll.BDH($C$528,"RETURN_ON_CAP","FQ3 2015","FQ3 2015","Currency=INR","Period=FQ","BEST_FPERIOD_OVERRIDE=FQ","FILING_STATUS=OR","EQY_CONSOLIDATED=Y","FA_ADJUSTED=GAAP","Sort=A","Dates=H","DateFormat=P","Fill=—","Direction=H","UseDPDF=Y")</f>
        <v>#NAME?</v>
      </c>
      <c r="I536" t="e">
        <f ca="1">_xll.BDH($C$528,"RETURN_ON_INV_CAPITAL","FQ3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536" t="e">
        <f ca="1">_xll.BDH($C$528,"EBITDA_TO_REVENUE","FQ3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536" t="e">
        <f ca="1">_xll.BDH($C$528,"OPER_MARGIN","FQ3 2015","FQ3 2015","Currency=INR","Period=FQ","BEST_FPERIOD_OVERRIDE=FQ","FILING_STATUS=OR","EQY_CONSOLIDATED=Y","FA_ADJUSTED=GAAP","Sort=A","Dates=H","DateFormat=P","Fill=—","Direction=H","UseDPDF=Y")</f>
        <v>#NAME?</v>
      </c>
      <c r="L536" t="e">
        <f ca="1">_xll.BDH($C$528,"INCREMENTAL_OPERATING_MARGIN","FQ3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536" t="e">
        <f ca="1">_xll.BDH($C$528,"PRETAX_INC_TO_NET_SALES","FQ3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536" t="e">
        <f ca="1">_xll.BDH($C$528,"INC_BEF_XO_ITEMS_TO_NET_SALES","FQ3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536" t="e">
        <f ca="1">_xll.BDH($C$528,"PROF_MARGIN","FQ3 2015","FQ3 2015","Currency=INR","Period=FQ","BEST_FPERIOD_OVERRIDE=FQ","FILING_STATUS=OR","EQY_CONSOLIDATED=Y","FA_ADJUSTED=GAAP","Sort=A","Dates=H","DateFormat=P","Fill=—","Direction=H","UseDPDF=Y")</f>
        <v>#NAME?</v>
      </c>
      <c r="P536" t="e">
        <f ca="1">_xll.BDH($C$528,"NET_INCOME_TO_COMMON_MARGIN","FQ3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536" t="e">
        <f ca="1">_xll.BDH($C$528,"EFF_TAX_RATE","FQ3 2015","FQ3 2015","Currency=INR","Period=FQ","BEST_FPERIOD_OVERRIDE=FQ","FILING_STATUS=OR","EQY_CONSOLIDATED=Y","FA_ADJUSTED=GAAP","Sort=A","Dates=H","DateFormat=P","Fill=—","Direction=H","UseDPDF=Y")</f>
        <v>#NAME?</v>
      </c>
      <c r="R536" t="e">
        <f ca="1">_xll.BDH($C$528,"DVD_PAYOUT_RATIO","FQ3 2015","FQ3 2015","Currency=INR","Period=FQ","BEST_FPERIOD_OVERRIDE=FQ","FILING_STATUS=OR","EQY_CONSOLIDATED=Y","FA_ADJUSTED=GAAP","Sort=A","Dates=H","DateFormat=P","Fill=—","Direction=H","UseDPDF=Y")</f>
        <v>#NAME?</v>
      </c>
      <c r="S536" t="e">
        <f ca="1">_xll.BDH($C$528,"SUSTAIN_GROWTH_RT","FQ3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536" s="2" t="e">
        <f ca="1">_xll.BDH($C$528,"SALES_GROWTH","FQ3 2015","FQ3 2015","Currency=INR","Period=FQ","BEST_FPERIOD_OVERRIDE=FQ","FILING_STATUS=OR","EQY_CONSOLIDATED=Y","FA_ADJUSTED=GAAP","Sort=A","Dates=H","DateFormat=P","Fill=—","Direction=H","UseDPDF=Y")</f>
        <v>#NAME?</v>
      </c>
      <c r="U536" s="2" t="e">
        <f ca="1">_xll.BDH($C$528,"EBITDA_GROWTH","FQ3 2015","FQ3 2015","Currency=INR","Period=FQ","BEST_FPERIOD_OVERRIDE=FQ","FILING_STATUS=OR","EQY_CONSOLIDATED=Y","FA_ADJUSTED=GAAP","Sort=A","Dates=H","DateFormat=P","Fill=—","Direction=H","UseDPDF=Y")</f>
        <v>#NAME?</v>
      </c>
      <c r="V536" s="2" t="e">
        <f ca="1">_xll.BDH($C$528,"OPER_INC_GROWTH","FQ3 2015","FQ3 2015","Currency=INR","Period=FQ","BEST_FPERIOD_OVERRIDE=FQ","FILING_STATUS=OR","EQY_CONSOLIDATED=Y","FA_ADJUSTED=GAAP","Sort=A","Dates=H","DateFormat=P","Fill=—","Direction=H","UseDPDF=Y")</f>
        <v>#NAME?</v>
      </c>
      <c r="W536" s="2" t="e">
        <f ca="1">_xll.BDH($C$528,"EARN_FOR_COM_GROWTH","FQ3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536" s="2" t="e">
        <f ca="1">_xll.BDH($C$528,"DILUTED_EPS_AFT_XO_ITEMS_GROWTH","FQ3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536" s="2" t="e">
        <f ca="1">_xll.BDH($C$528,"DIVIDEND_PER_SHARE_1_YEAR_GROWTH","FQ3 2015","FQ3 2015","Currency=INR","Period=FQ","BEST_FPERIOD_OVERRIDE=FQ","FILING_STATUS=OR","EQY_CONSOLIDATED=Y","Sort=A","Dates=H","DateFormat=P","Fill=—","Direction=H","UseDPDF=Y")</f>
        <v>#NAME?</v>
      </c>
      <c r="Z536" s="2" t="e">
        <f ca="1">_xll.BDH($C$528,"ACCOUNTS_RECEIVABLE_GROWTH","FQ3 2015","FQ3 2015","Currency=INR","Period=FQ","BEST_FPERIOD_OVERRIDE=FQ","FILING_STATUS=OR","EQY_CONSOLIDATED=Y","Sort=A","Dates=H","DateFormat=P","Fill=—","Direction=H","UseDPDF=Y")</f>
        <v>#NAME?</v>
      </c>
      <c r="AA536" s="2" t="e">
        <f ca="1">_xll.BDH($C$528,"INVENTORY_GROWTH","FQ3 2015","FQ3 2015","Currency=INR","Period=FQ","BEST_FPERIOD_OVERRIDE=FQ","FILING_STATUS=OR","EQY_CONSOLIDATED=Y","Sort=A","Dates=H","DateFormat=P","Fill=—","Direction=H","UseDPDF=Y")</f>
        <v>#NAME?</v>
      </c>
      <c r="AB536" s="2" t="e">
        <f ca="1">_xll.BDH($C$528,"NET_FIXED_ASSETS_1_YEAR_GROWTH","FQ3 2015","FQ3 2015","Currency=INR","Period=FQ","BEST_FPERIOD_OVERRIDE=FQ","FILING_STATUS=OR","EQY_CONSOLIDATED=Y","Sort=A","Dates=H","DateFormat=P","Fill=—","Direction=H","UseDPDF=Y")</f>
        <v>#NAME?</v>
      </c>
      <c r="AC536" s="2" t="e">
        <f ca="1">_xll.BDH($C$528,"ASSET_GROWTH","FQ3 2015","FQ3 2015","Currency=INR","Period=FQ","BEST_FPERIOD_OVERRIDE=FQ","FILING_STATUS=OR","EQY_CONSOLIDATED=Y","Sort=A","Dates=H","DateFormat=P","Fill=—","Direction=H","UseDPDF=Y")</f>
        <v>#NAME?</v>
      </c>
      <c r="AD536" s="2" t="e">
        <f ca="1">_xll.BDH($C$528,"MODIFIED_WORK_CAP_GROWTH","FQ3 2015","FQ3 2015","Currency=INR","Period=FQ","BEST_FPERIOD_OVERRIDE=FQ","FILING_STATUS=OR","EQY_CONSOLIDATED=Y","Sort=A","Dates=H","DateFormat=P","Fill=—","Direction=H","UseDPDF=Y")</f>
        <v>#NAME?</v>
      </c>
      <c r="AE536" s="2" t="e">
        <f ca="1">_xll.BDH($C$528,"WORK_CAP_GROWTH","FQ3 2015","FQ3 2015","Currency=INR","Period=FQ","BEST_FPERIOD_OVERRIDE=FQ","FILING_STATUS=OR","EQY_CONSOLIDATED=Y","Sort=A","Dates=H","DateFormat=P","Fill=—","Direction=H","UseDPDF=Y")</f>
        <v>#NAME?</v>
      </c>
      <c r="AF536" s="2" t="e">
        <f ca="1">_xll.BDH($C$528,"ACCOUNTS_PAYABLE_GROWTH_1YR","FQ3 2015","FQ3 2015","Currency=INR","Period=FQ","BEST_FPERIOD_OVERRIDE=FQ","FILING_STATUS=OR","EQY_CONSOLIDATED=Y","Sort=A","Dates=H","DateFormat=P","Fill=—","Direction=H","UseDPDF=Y")</f>
        <v>#NAME?</v>
      </c>
      <c r="AG536" s="2" t="e">
        <f ca="1">_xll.BDH($C$528,"SHORT_TERM_DEBT_1_YEAR_GROWTH","FQ3 2015","FQ3 2015","Currency=INR","Period=FQ","BEST_FPERIOD_OVERRIDE=FQ","FILING_STATUS=OR","EQY_CONSOLIDATED=Y","Sort=A","Dates=H","DateFormat=P","Fill=—","Direction=H","UseDPDF=Y")</f>
        <v>#NAME?</v>
      </c>
      <c r="AH536" s="2" t="e">
        <f ca="1">_xll.BDH($C$528,"TOTAL_DEBT_1_YEAR_GROWTH","FQ3 2015","FQ3 2015","Currency=INR","Period=FQ","BEST_FPERIOD_OVERRIDE=FQ","FILING_STATUS=OR","EQY_CONSOLIDATED=Y","Sort=A","Dates=H","DateFormat=P","Fill=—","Direction=H","UseDPDF=Y")</f>
        <v>#NAME?</v>
      </c>
      <c r="AI536" s="2" t="e">
        <f ca="1">_xll.BDH($C$528,"TOTAL_EQUITY_1_YEAR_GROWTH","FQ3 2015","FQ3 2015","Currency=INR","Period=FQ","BEST_FPERIOD_OVERRIDE=FQ","FILING_STATUS=OR","EQY_CONSOLIDATED=Y","Sort=A","Dates=H","DateFormat=P","Fill=—","Direction=H","UseDPDF=Y")</f>
        <v>#NAME?</v>
      </c>
      <c r="AJ536" s="2" t="e">
        <f ca="1">_xll.BDH($C$528,"GROWTH_IN_CAP","FQ3 2015","FQ3 2015","Currency=INR","Period=FQ","BEST_FPERIOD_OVERRIDE=FQ","FILING_STATUS=OR","EQY_CONSOLIDATED=Y","Sort=A","Dates=H","DateFormat=P","Fill=—","Direction=H","UseDPDF=Y")</f>
        <v>#NAME?</v>
      </c>
      <c r="AK536" s="2" t="e">
        <f ca="1">_xll.BDH($C$528,"BVPS_GROWTH","FQ3 2015","FQ3 2015","Currency=INR","Period=FQ","BEST_FPERIOD_OVERRIDE=FQ","FILING_STATUS=OR","EQY_CONSOLIDATED=Y","Sort=A","Dates=H","DateFormat=P","Fill=—","Direction=H","UseDPDF=Y")</f>
        <v>#NAME?</v>
      </c>
      <c r="AL536" s="2" t="e">
        <f ca="1">_xll.BDH($C$528,"CASH_FLOW_GROWTH","FQ3 2015","FQ3 2015","Currency=INR","Period=FQ","BEST_FPERIOD_OVERRIDE=FQ","FILING_STATUS=OR","EQY_CONSOLIDATED=Y","Sort=A","Dates=H","DateFormat=P","Fill=—","Direction=H","UseDPDF=Y")</f>
        <v>#NAME?</v>
      </c>
      <c r="AM536" s="2" t="e">
        <f ca="1">_xll.BDH($C$528,"GEO_GROW_NET_SALES","FQ3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536" s="2" t="e">
        <f ca="1">_xll.BDH($C$528,"GEO_GROW_EBITDA","FQ3 2015","FQ3 2015","Currency=INR","Period=FQ","BEST_FPERIOD_OVERRIDE=FQ","FILING_STATUS=OR","EQY_CONSOLIDATED=Y","FA_ADJUSTED=GAAP","Sort=A","Dates=H","DateFormat=P","Fill=—","Direction=H","UseDPDF=Y")</f>
        <v>#NAME?</v>
      </c>
      <c r="AO536" s="2" t="e">
        <f ca="1">_xll.BDH($C$528,"GEO_GROW_OPER_INC","FQ3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536" s="2" t="e">
        <f ca="1">_xll.BDH($C$528,"NET_INCOME_TO_COMMON_5_YR_GROWTH","FQ3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536" s="2" t="e">
        <f ca="1">_xll.BDH($C$528,"5Y_GEO_GROWTH_DILUTED_EPS","FQ3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536" s="2" t="e">
        <f ca="1">_xll.BDH($C$528,"GEO_GROW_DVD_PER_SH","FQ3 2015","FQ3 2015","Currency=INR","Period=FQ","BEST_FPERIOD_OVERRIDE=FQ","FILING_STATUS=OR","EQY_CONSOLIDATED=Y","Sort=A","Dates=H","DateFormat=P","Fill=—","Direction=H","UseDPDF=Y")</f>
        <v>#NAME?</v>
      </c>
      <c r="AS536" s="2" t="e">
        <f ca="1">_xll.BDH($C$528,"ACCOUNTS_RECEIVABLE_5_YR_GROWTH","FQ3 2015","FQ3 2015","Currency=INR","Period=FQ","BEST_FPERIOD_OVERRIDE=FQ","FILING_STATUS=OR","EQY_CONSOLIDATED=Y","Sort=A","Dates=H","DateFormat=P","Fill=—","Direction=H","UseDPDF=Y")</f>
        <v>#NAME?</v>
      </c>
      <c r="AT536" s="2" t="e">
        <f ca="1">_xll.BDH($C$528,"INVENTORY_5_YEAR_GROWTH","FQ3 2015","FQ3 2015","Currency=INR","Period=FQ","BEST_FPERIOD_OVERRIDE=FQ","FILING_STATUS=OR","EQY_CONSOLIDATED=Y","Sort=A","Dates=H","DateFormat=P","Fill=—","Direction=H","UseDPDF=Y")</f>
        <v>#NAME?</v>
      </c>
      <c r="AU536" s="2" t="e">
        <f ca="1">_xll.BDH($C$528,"NET_FIXED_ASSETS_5_YEAR_GROWTH","FQ3 2015","FQ3 2015","Currency=INR","Period=FQ","BEST_FPERIOD_OVERRIDE=FQ","FILING_STATUS=OR","EQY_CONSOLIDATED=Y","Sort=A","Dates=H","DateFormat=P","Fill=—","Direction=H","UseDPDF=Y")</f>
        <v>#NAME?</v>
      </c>
      <c r="AV536" s="2" t="e">
        <f ca="1">_xll.BDH($C$528,"GEO_GROW_TOT_ASSET","FQ3 2015","FQ3 2015","Currency=INR","Period=FQ","BEST_FPERIOD_OVERRIDE=FQ","FILING_STATUS=OR","EQY_CONSOLIDATED=Y","Sort=A","Dates=H","DateFormat=P","Fill=—","Direction=H","UseDPDF=Y")</f>
        <v>#NAME?</v>
      </c>
      <c r="AW536" s="2" t="e">
        <f ca="1">_xll.BDH($C$528,"MODIFIED_WORKING_CPTL_5YR_GRWTH","FQ3 2015","FQ3 2015","Currency=INR","Period=FQ","BEST_FPERIOD_OVERRIDE=FQ","FILING_STATUS=OR","EQY_CONSOLIDATED=Y","Sort=A","Dates=H","DateFormat=P","Fill=—","Direction=H","UseDPDF=Y")</f>
        <v>#NAME?</v>
      </c>
      <c r="AX536" s="2" t="e">
        <f ca="1">_xll.BDH($C$528,"WORKING_CAPITAL_5_YEAR_GROWTH","FQ3 2015","FQ3 2015","Currency=INR","Period=FQ","BEST_FPERIOD_OVERRIDE=FQ","FILING_STATUS=OR","EQY_CONSOLIDATED=Y","Sort=A","Dates=H","DateFormat=P","Fill=—","Direction=H","UseDPDF=Y")</f>
        <v>#NAME?</v>
      </c>
      <c r="AY536" s="2" t="e">
        <f ca="1">_xll.BDH($C$528,"ACCOUNTS_PAYABLE_5_YEAR_GROWTH","FQ3 2015","FQ3 2015","Currency=INR","Period=FQ","BEST_FPERIOD_OVERRIDE=FQ","FILING_STATUS=OR","EQY_CONSOLIDATED=Y","Sort=A","Dates=H","DateFormat=P","Fill=—","Direction=H","UseDPDF=Y")</f>
        <v>#NAME?</v>
      </c>
      <c r="AZ536" s="2" t="e">
        <f ca="1">_xll.BDH($C$528,"SHORT_TERM_DEBT_5_YEAR_GROWTH","FQ3 2015","FQ3 2015","Currency=INR","Period=FQ","BEST_FPERIOD_OVERRIDE=FQ","FILING_STATUS=OR","EQY_CONSOLIDATED=Y","Sort=A","Dates=H","DateFormat=P","Fill=—","Direction=H","UseDPDF=Y")</f>
        <v>#NAME?</v>
      </c>
      <c r="BA536" s="2" t="e">
        <f ca="1">_xll.BDH($C$528,"TOTAL_DEBT_5_YEAR_GROWTH","FQ3 2015","FQ3 2015","Currency=INR","Period=FQ","BEST_FPERIOD_OVERRIDE=FQ","FILING_STATUS=OR","EQY_CONSOLIDATED=Y","Sort=A","Dates=H","DateFormat=P","Fill=—","Direction=H","UseDPDF=Y")</f>
        <v>#NAME?</v>
      </c>
      <c r="BB536" s="2" t="e">
        <f ca="1">_xll.BDH($C$528,"GEO_GROW_TOT_SHRHLDR_EQY","FQ3 2015","FQ3 2015","Currency=INR","Period=FQ","BEST_FPERIOD_OVERRIDE=FQ","FILING_STATUS=OR","EQY_CONSOLIDATED=Y","Sort=A","Dates=H","DateFormat=P","Fill=—","Direction=H","UseDPDF=Y")</f>
        <v>#NAME?</v>
      </c>
      <c r="BC536" s="2" t="e">
        <f ca="1">_xll.BDH($C$528,"TOTAL_CAPITAL_5_YEAR_GROWTH","FQ3 2015","FQ3 2015","Currency=INR","Period=FQ","BEST_FPERIOD_OVERRIDE=FQ","FILING_STATUS=OR","EQY_CONSOLIDATED=Y","Sort=A","Dates=H","DateFormat=P","Fill=—","Direction=H","UseDPDF=Y")</f>
        <v>#NAME?</v>
      </c>
      <c r="BD536" s="2" t="e">
        <f ca="1">_xll.BDH($C$528,"GEO_GROW_BOOK_VAL","FQ3 2015","FQ3 2015","Currency=INR","Period=FQ","BEST_FPERIOD_OVERRIDE=FQ","FILING_STATUS=OR","EQY_CONSOLIDATED=Y","Sort=A","Dates=H","DateFormat=P","Fill=—","Direction=H","UseDPDF=Y")</f>
        <v>#NAME?</v>
      </c>
      <c r="BE536" s="2" t="e">
        <f ca="1">_xll.BDH($C$528,"GEO_GROW_CASH_OPER_ACT","FQ3 2015","FQ3 2015","Currency=INR","Period=FQ","BEST_FPERIOD_OVERRIDE=FQ","FILING_STATUS=OR","EQY_CONSOLIDATED=Y","Sort=A","Dates=H","DateFormat=P","Fill=—","Direction=H","UseDPDF=Y")</f>
        <v>#NAME?</v>
      </c>
      <c r="BF536" s="2" t="e">
        <f ca="1">_xll.BDH($C$528,"REVENUE_SEQUENTIAL_GROWTH","FQ3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536" s="2" t="e">
        <f ca="1">_xll.BDH($C$528,"EBITDA_SEQUENTIAL_GROWTH","FQ3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536" s="2" t="e">
        <f ca="1">_xll.BDH($C$528,"OPERATING_INCOME_SEQ_GROWTH","FQ3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536" s="2" t="e">
        <f ca="1">_xll.BDH($C$528,"NET_INCOME_TO_COMMON_SEQ_GROWTH","FQ3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536" s="2" t="e">
        <f ca="1">_xll.BDH($C$528,"EPS_DILUTED_SEQUENTIAL_GROWTH","FQ3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536" s="2" t="e">
        <f ca="1">_xll.BDH($C$528,"DPS_SEQUENTIAL_GROWTH","FQ3 2015","FQ3 2015","Currency=INR","Period=FQ","BEST_FPERIOD_OVERRIDE=FQ","FILING_STATUS=OR","EQY_CONSOLIDATED=Y","Sort=A","Dates=H","DateFormat=P","Fill=—","Direction=H","UseDPDF=Y")</f>
        <v>#NAME?</v>
      </c>
      <c r="BL536" s="2" t="e">
        <f ca="1">_xll.BDH($C$528,"ACCOUNTS_RECEIVABLE_SEQ_GROWTH","FQ3 2015","FQ3 2015","Currency=INR","Period=FQ","BEST_FPERIOD_OVERRIDE=FQ","FILING_STATUS=OR","EQY_CONSOLIDATED=Y","Sort=A","Dates=H","DateFormat=P","Fill=—","Direction=H","UseDPDF=Y")</f>
        <v>#NAME?</v>
      </c>
      <c r="BM536" s="2" t="e">
        <f ca="1">_xll.BDH($C$528,"INVENTORY_SEQUENTIAL_GROWTH","FQ3 2015","FQ3 2015","Currency=INR","Period=FQ","BEST_FPERIOD_OVERRIDE=FQ","FILING_STATUS=OR","EQY_CONSOLIDATED=Y","Sort=A","Dates=H","DateFormat=P","Fill=—","Direction=H","UseDPDF=Y")</f>
        <v>#NAME?</v>
      </c>
      <c r="BN536" s="2" t="e">
        <f ca="1">_xll.BDH($C$528,"FIXED_ASSETS_SEQUENTIAL_GROWTH","FQ3 2015","FQ3 2015","Currency=INR","Period=FQ","BEST_FPERIOD_OVERRIDE=FQ","FILING_STATUS=OR","EQY_CONSOLIDATED=Y","Sort=A","Dates=H","DateFormat=P","Fill=—","Direction=H","UseDPDF=Y")</f>
        <v>#NAME?</v>
      </c>
      <c r="BO536" s="2" t="e">
        <f ca="1">_xll.BDH($C$528,"TOTAL_ASSETS_SEQUENTIAL_GROWTH","FQ3 2015","FQ3 2015","Currency=INR","Period=FQ","BEST_FPERIOD_OVERRIDE=FQ","FILING_STATUS=OR","EQY_CONSOLIDATED=Y","Sort=A","Dates=H","DateFormat=P","Fill=—","Direction=H","UseDPDF=Y")</f>
        <v>#NAME?</v>
      </c>
      <c r="BP536" s="2" t="e">
        <f ca="1">_xll.BDH($C$528,"MODIFIED_WORKING_CPTL_SEQ_GRWTH","FQ3 2015","FQ3 2015","Currency=INR","Period=FQ","BEST_FPERIOD_OVERRIDE=FQ","FILING_STATUS=OR","EQY_CONSOLIDATED=Y","Sort=A","Dates=H","DateFormat=P","Fill=—","Direction=H","UseDPDF=Y")</f>
        <v>#NAME?</v>
      </c>
      <c r="BQ536" s="2" t="e">
        <f ca="1">_xll.BDH($C$528,"WORKING_CAPITAL_SEQ_GROWTH","FQ3 2015","FQ3 2015","Currency=INR","Period=FQ","BEST_FPERIOD_OVERRIDE=FQ","FILING_STATUS=OR","EQY_CONSOLIDATED=Y","Sort=A","Dates=H","DateFormat=P","Fill=—","Direction=H","UseDPDF=Y")</f>
        <v>#NAME?</v>
      </c>
      <c r="BR536" s="2" t="e">
        <f ca="1">_xll.BDH($C$528,"ACCOUNTS_PAYABLE_SEQ_GROWTH","FQ3 2015","FQ3 2015","Currency=INR","Period=FQ","BEST_FPERIOD_OVERRIDE=FQ","FILING_STATUS=OR","EQY_CONSOLIDATED=Y","Sort=A","Dates=H","DateFormat=P","Fill=—","Direction=H","UseDPDF=Y")</f>
        <v>#NAME?</v>
      </c>
      <c r="BS536" s="2" t="e">
        <f ca="1">_xll.BDH($C$528,"ST_DEBT_SEQUENTIAL_GROWTH","FQ3 2015","FQ3 2015","Currency=INR","Period=FQ","BEST_FPERIOD_OVERRIDE=FQ","FILING_STATUS=OR","EQY_CONSOLIDATED=Y","Sort=A","Dates=H","DateFormat=P","Fill=—","Direction=H","UseDPDF=Y")</f>
        <v>#NAME?</v>
      </c>
      <c r="BT536" s="2" t="e">
        <f ca="1">_xll.BDH($C$528,"TOTAL_DEBT_SEQUENTIAL_GROWTH","FQ3 2015","FQ3 2015","Currency=INR","Period=FQ","BEST_FPERIOD_OVERRIDE=FQ","FILING_STATUS=OR","EQY_CONSOLIDATED=Y","Sort=A","Dates=H","DateFormat=P","Fill=—","Direction=H","UseDPDF=Y")</f>
        <v>#NAME?</v>
      </c>
      <c r="BU536" s="2" t="e">
        <f ca="1">_xll.BDH($C$528,"TOTAL_EQUITY_SEQUENTIAL_GROWTH","FQ3 2015","FQ3 2015","Currency=INR","Period=FQ","BEST_FPERIOD_OVERRIDE=FQ","FILING_STATUS=OR","EQY_CONSOLIDATED=Y","Sort=A","Dates=H","DateFormat=P","Fill=—","Direction=H","UseDPDF=Y")</f>
        <v>#NAME?</v>
      </c>
      <c r="BV536" s="2" t="e">
        <f ca="1">_xll.BDH($C$528,"TOTAL_CAPITAL_SEQUENTIAL_GROWTH","FQ3 2015","FQ3 2015","Currency=INR","Period=FQ","BEST_FPERIOD_OVERRIDE=FQ","FILING_STATUS=OR","EQY_CONSOLIDATED=Y","Sort=A","Dates=H","DateFormat=P","Fill=—","Direction=H","UseDPDF=Y")</f>
        <v>#NAME?</v>
      </c>
      <c r="BW536" s="2" t="e">
        <f ca="1">_xll.BDH($C$528,"BPS_SEQUENTIAL_GROWTH","FQ3 2015","FQ3 2015","Currency=INR","Period=FQ","BEST_FPERIOD_OVERRIDE=FQ","FILING_STATUS=OR","EQY_CONSOLIDATED=Y","Sort=A","Dates=H","DateFormat=P","Fill=—","Direction=H","UseDPDF=Y")</f>
        <v>#NAME?</v>
      </c>
      <c r="BX536" s="2" t="e">
        <f ca="1">_xll.BDH($C$528,"CFO_SEQUENTIAL_GROWTH","FQ3 2015","FQ3 2015","Currency=INR","Period=FQ","BEST_FPERIOD_OVERRIDE=FQ","FILING_STATUS=OR","EQY_CONSOLIDATED=Y","Sort=A","Dates=H","DateFormat=P","Fill=—","Direction=H","UseDPDF=Y")</f>
        <v>#NAME?</v>
      </c>
      <c r="BY536" s="3" t="e">
        <f ca="1">_xll.BDH($C$528,"SHORT_AND_LONG_TERM_DEBT","FQ3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536" s="3" t="e">
        <f ca="1">_xll.BDH($C$528,"BS_ST_BORROW","FQ3 2015","FQ3 2015","Currency=INR","Period=FQ","BEST_FPERIOD_OVERRIDE=FQ","FILING_STATUS=OR","EQY_CONSOLIDATED=Y","SCALING_FORMAT=MLN","Sort=A","Dates=H","DateFormat=P","Fill=—","Direction=H","UseDPDF=Y")</f>
        <v>#NAME?</v>
      </c>
      <c r="CA536" s="3" t="e">
        <f ca="1">_xll.BDH($C$528,"BS_LT_BORROW","FQ3 2015","FQ3 2015","Currency=INR","Period=FQ","BEST_FPERIOD_OVERRIDE=FQ","FILING_STATUS=OR","EQY_CONSOLIDATED=Y","SCALING_FORMAT=MLN","Sort=A","Dates=H","DateFormat=P","Fill=—","Direction=H","UseDPDF=Y")</f>
        <v>#NAME?</v>
      </c>
      <c r="CB536" s="2" t="e">
        <f ca="1">_xll.BDH($C$528,"TOT_DEBT_TO_EBITDA","FQ3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536" s="2" t="e">
        <f ca="1">_xll.BDH($C$528,"NET_DEBT_TO_EBITDA","FQ3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536" s="2" t="e">
        <f ca="1">_xll.BDH($C$528,"TOTAL_DEBT_TO_EBIT","FQ3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536" s="2" t="e">
        <f ca="1">_xll.BDH($C$528,"NET_DEBT_TO_EBIT","FQ3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536" s="2" t="e">
        <f ca="1">_xll.BDH($C$528,"EBITDA_TO_INTEREST_EXPN","FQ3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536" s="2" t="e">
        <f ca="1">_xll.BDH($C$528,"COM_EQY_TO_TOT_ASSET","FQ3 2015","FQ3 2015","Currency=INR","Period=FQ","BEST_FPERIOD_OVERRIDE=FQ","FILING_STATUS=OR","EQY_CONSOLIDATED=Y","Sort=A","Dates=H","DateFormat=P","Fill=—","Direction=H","UseDPDF=Y")</f>
        <v>#NAME?</v>
      </c>
      <c r="CH536" s="2" t="e">
        <f ca="1">_xll.BDH($C$528,"LT_DEBT_TO_TOT_EQY","FQ3 2015","FQ3 2015","Currency=INR","Period=FQ","BEST_FPERIOD_OVERRIDE=FQ","FILING_STATUS=OR","EQY_CONSOLIDATED=Y","Sort=A","Dates=H","DateFormat=P","Fill=—","Direction=H","UseDPDF=Y")</f>
        <v>#NAME?</v>
      </c>
      <c r="CI536" s="2" t="e">
        <f ca="1">_xll.BDH($C$528,"LT_DEBT_TO_TOT_CAP","FQ3 2015","FQ3 2015","Currency=INR","Period=FQ","BEST_FPERIOD_OVERRIDE=FQ","FILING_STATUS=OR","EQY_CONSOLIDATED=Y","Sort=A","Dates=H","DateFormat=P","Fill=—","Direction=H","UseDPDF=Y")</f>
        <v>#NAME?</v>
      </c>
      <c r="CJ536" s="2" t="e">
        <f ca="1">_xll.BDH($C$528,"LT_DEBT_TO_TOT_ASSET","FQ3 2015","FQ3 2015","Currency=INR","Period=FQ","BEST_FPERIOD_OVERRIDE=FQ","FILING_STATUS=OR","EQY_CONSOLIDATED=Y","Sort=A","Dates=H","DateFormat=P","Fill=—","Direction=H","UseDPDF=Y")</f>
        <v>#NAME?</v>
      </c>
      <c r="CK536" s="2" t="e">
        <f ca="1">_xll.BDH($C$528,"TOT_DEBT_TO_TOT_EQY","FQ3 2015","FQ3 2015","Currency=INR","Period=FQ","BEST_FPERIOD_OVERRIDE=FQ","FILING_STATUS=OR","EQY_CONSOLIDATED=Y","Sort=A","Dates=H","DateFormat=P","Fill=—","Direction=H","UseDPDF=Y")</f>
        <v>#NAME?</v>
      </c>
      <c r="CL536" s="2" t="e">
        <f ca="1">_xll.BDH($C$528,"TOT_DEBT_TO_TOT_CAP","FQ3 2015","FQ3 2015","Currency=INR","Period=FQ","BEST_FPERIOD_OVERRIDE=FQ","FILING_STATUS=OR","EQY_CONSOLIDATED=Y","Sort=A","Dates=H","DateFormat=P","Fill=—","Direction=H","UseDPDF=Y")</f>
        <v>#NAME?</v>
      </c>
      <c r="CM536" s="2" t="e">
        <f ca="1">_xll.BDH($C$528,"TOT_DEBT_TO_TOT_ASSET","FQ3 2015","FQ3 2015","Currency=INR","Period=FQ","BEST_FPERIOD_OVERRIDE=FQ","FILING_STATUS=OR","EQY_CONSOLIDATED=Y","Sort=A","Dates=H","DateFormat=P","Fill=—","Direction=H","UseDPDF=Y")</f>
        <v>#NAME?</v>
      </c>
      <c r="CN536" s="2" t="e">
        <f ca="1">_xll.BDH($C$528,"NET_DEBT_TO_SHRHLDR_EQTY","FQ3 2015","FQ3 2015","Currency=INR","Period=FQ","BEST_FPERIOD_OVERRIDE=FQ","FILING_STATUS=OR","EQY_CONSOLIDATED=Y","Sort=A","Dates=H","DateFormat=P","Fill=—","Direction=H","UseDPDF=Y")</f>
        <v>#NAME?</v>
      </c>
      <c r="CO536" s="2" t="e">
        <f ca="1">_xll.BDH($C$528,"NET_DEBT_%_CAPITAL","FQ3 2015","FQ3 2015","Currency=INR","Period=FQ","BEST_FPERIOD_OVERRIDE=FQ","FILING_STATUS=OR","EQY_CONSOLIDATED=Y","Sort=A","Dates=H","DateFormat=P","Fill=—","Direction=H","UseDPDF=Y")</f>
        <v>#NAME?</v>
      </c>
      <c r="CP536" s="3" t="e">
        <f ca="1">_xll.BDH($C$528,"EBITDA","FQ3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536" s="3" t="e">
        <f ca="1">_xll.BDH($C$528,"EBITDA_AFTER_CAPEX","FQ3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536" s="3" t="e">
        <f ca="1">_xll.BDH($C$528,"IS_OPER_INC","FQ3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536" s="2" t="e">
        <f ca="1">_xll.BDH($C$528,"CASH_RATIO","FQ3 2015","FQ3 2015","Currency=INR","Period=FQ","BEST_FPERIOD_OVERRIDE=FQ","FILING_STATUS=OR","EQY_CONSOLIDATED=Y","Sort=A","Dates=H","DateFormat=P","Fill=—","Direction=H","UseDPDF=Y")</f>
        <v>#NAME?</v>
      </c>
      <c r="CT536" s="2" t="e">
        <f ca="1">_xll.BDH($C$528,"CUR_RATIO","FQ3 2015","FQ3 2015","Currency=INR","Period=FQ","BEST_FPERIOD_OVERRIDE=FQ","FILING_STATUS=OR","EQY_CONSOLIDATED=Y","Sort=A","Dates=H","DateFormat=P","Fill=—","Direction=H","UseDPDF=Y")</f>
        <v>#NAME?</v>
      </c>
      <c r="CU536" s="2" t="e">
        <f ca="1">_xll.BDH($C$528,"QUICK_RATIO","FQ3 2015","FQ3 2015","Currency=INR","Period=FQ","BEST_FPERIOD_OVERRIDE=FQ","FILING_STATUS=OR","EQY_CONSOLIDATED=Y","Sort=A","Dates=H","DateFormat=P","Fill=—","Direction=H","UseDPDF=Y")</f>
        <v>#NAME?</v>
      </c>
      <c r="CV536" s="2" t="e">
        <f ca="1">_xll.BDH($C$528,"ALTMAN_Z_SCORE","FQ3 2015","FQ3 2015","Currency=INR","Period=FQ","BEST_FPERIOD_OVERRIDE=FQ","FILING_STATUS=OR","EQY_CONSOLIDATED=Y","Sort=A","Dates=H","DateFormat=P","Fill=—","Direction=H","UseDPDF=Y")</f>
        <v>#NAME?</v>
      </c>
      <c r="CW536" s="4" t="e">
        <f ca="1">_xll.BDH($C$528,"ACCT_RCV_TURN","FQ3 2015","FQ3 2015","Currency=INR","Period=FQ","BEST_FPERIOD_OVERRIDE=FQ","FILING_STATUS=OR","EQY_CONSOLIDATED=Y","FA_ADJUSTED=GAAP","Sort=A","Dates=H","DateFormat=P","Fill=—","Direction=H","UseDPDF=Y")</f>
        <v>#NAME?</v>
      </c>
      <c r="CX536" s="2" t="e">
        <f ca="1">_xll.BDH($C$528,"ACCT_RCV_DAYS","FQ3 2015","FQ3 2015","Currency=INR","Period=FQ","BEST_FPERIOD_OVERRIDE=FQ","FILING_STATUS=OR","EQY_CONSOLIDATED=Y","FA_ADJUSTED=GAAP","Sort=A","Dates=H","DateFormat=P","Fill=—","Direction=H","UseDPDF=Y")</f>
        <v>#NAME?</v>
      </c>
      <c r="CY536" s="4" t="e">
        <f ca="1">_xll.BDH($C$528,"INVENT_TURN","FQ3 2015","FQ3 2015","Currency=INR","Period=FQ","BEST_FPERIOD_OVERRIDE=FQ","FILING_STATUS=OR","EQY_CONSOLIDATED=Y","FA_ADJUSTED=GAAP","Sort=A","Dates=H","DateFormat=P","Fill=—","Direction=H","UseDPDF=Y")</f>
        <v>#NAME?</v>
      </c>
      <c r="CZ536" s="2" t="e">
        <f ca="1">_xll.BDH($C$528,"INVENT_DAYS","FQ3 2015","FQ3 2015","Currency=INR","Period=FQ","BEST_FPERIOD_OVERRIDE=FQ","FILING_STATUS=OR","EQY_CONSOLIDATED=Y","FA_ADJUSTED=GAAP","Sort=A","Dates=H","DateFormat=P","Fill=—","Direction=H","UseDPDF=Y")</f>
        <v>#NAME?</v>
      </c>
      <c r="DA536" s="4" t="e">
        <f ca="1">_xll.BDH($C$528,"ACCOUNTS_PAYABLE_TURNOVER","FQ3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536" s="2" t="e">
        <f ca="1">_xll.BDH($C$528,"ACCOUNTS_PAYABLE_TURNOVER_DAYS","FQ3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536" s="4" t="e">
        <f ca="1">_xll.BDH($C$528,"CASH_CONVERSION_CYCLE","FQ3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536" s="4" t="e">
        <f ca="1">_xll.BDH($C$528,"INV_TO_CASH_DAYS","FQ3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536" s="5" t="e">
        <f ca="1">_xll.BDH($C$528,"BS_INVENTORIES","FQ3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536" s="3" t="e">
        <f ca="1">_xll.BDH($C$528,"INVTRY_RAW_MATERIALS","FQ3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536" s="3" t="e">
        <f ca="1">_xll.BDH($C$528,"INVTRY_IN_PROGRESS","FQ3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536" s="3" t="e">
        <f ca="1">_xll.BDH($C$528,"INVTRY_FINISHED_GOODS","FQ3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536" s="3" t="e">
        <f ca="1">_xll.BDH($C$528,"BS_OTHER_INV","FQ3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537" spans="1:113" x14ac:dyDescent="0.3">
      <c r="A537" s="6"/>
      <c r="B537" s="6"/>
      <c r="C537" s="6"/>
      <c r="D537" s="6"/>
      <c r="E537" t="s">
        <v>81</v>
      </c>
      <c r="F537" t="e">
        <f ca="1">_xll.BDH($C$528,"RETURN_COM_EQY","FQ4 2015","FQ4 2015","Currency=INR","Period=FQ","BEST_FPERIOD_OVERRIDE=FQ","FILING_STATUS=OR","EQY_CONSOLIDATED=Y","FA_ADJUSTED=GAAP","Sort=A","Dates=H","DateFormat=P","Fill=—","Direction=H","UseDPDF=Y")</f>
        <v>#NAME?</v>
      </c>
      <c r="G537" t="e">
        <f ca="1">_xll.BDH($C$528,"RETURN_ON_ASSET","FQ4 2015","FQ4 2015","Currency=INR","Period=FQ","BEST_FPERIOD_OVERRIDE=FQ","FILING_STATUS=OR","EQY_CONSOLIDATED=Y","FA_ADJUSTED=GAAP","Sort=A","Dates=H","DateFormat=P","Fill=—","Direction=H","UseDPDF=Y")</f>
        <v>#NAME?</v>
      </c>
      <c r="H537" t="e">
        <f ca="1">_xll.BDH($C$528,"RETURN_ON_CAP","FQ4 2015","FQ4 2015","Currency=INR","Period=FQ","BEST_FPERIOD_OVERRIDE=FQ","FILING_STATUS=OR","EQY_CONSOLIDATED=Y","FA_ADJUSTED=GAAP","Sort=A","Dates=H","DateFormat=P","Fill=—","Direction=H","UseDPDF=Y")</f>
        <v>#NAME?</v>
      </c>
      <c r="I537" t="e">
        <f ca="1">_xll.BDH($C$528,"RETURN_ON_INV_CAPITAL","FQ4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537" t="e">
        <f ca="1">_xll.BDH($C$528,"EBITDA_TO_REVENUE","FQ4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537" t="e">
        <f ca="1">_xll.BDH($C$528,"OPER_MARGIN","FQ4 2015","FQ4 2015","Currency=INR","Period=FQ","BEST_FPERIOD_OVERRIDE=FQ","FILING_STATUS=OR","EQY_CONSOLIDATED=Y","FA_ADJUSTED=GAAP","Sort=A","Dates=H","DateFormat=P","Fill=—","Direction=H","UseDPDF=Y")</f>
        <v>#NAME?</v>
      </c>
      <c r="L537" t="e">
        <f ca="1">_xll.BDH($C$528,"INCREMENTAL_OPERATING_MARGIN","FQ4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537" t="e">
        <f ca="1">_xll.BDH($C$528,"PRETAX_INC_TO_NET_SALES","FQ4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537" t="e">
        <f ca="1">_xll.BDH($C$528,"INC_BEF_XO_ITEMS_TO_NET_SALES","FQ4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537" t="e">
        <f ca="1">_xll.BDH($C$528,"PROF_MARGIN","FQ4 2015","FQ4 2015","Currency=INR","Period=FQ","BEST_FPERIOD_OVERRIDE=FQ","FILING_STATUS=OR","EQY_CONSOLIDATED=Y","FA_ADJUSTED=GAAP","Sort=A","Dates=H","DateFormat=P","Fill=—","Direction=H","UseDPDF=Y")</f>
        <v>#NAME?</v>
      </c>
      <c r="P537" t="e">
        <f ca="1">_xll.BDH($C$528,"NET_INCOME_TO_COMMON_MARGIN","FQ4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537" t="e">
        <f ca="1">_xll.BDH($C$528,"EFF_TAX_RATE","FQ4 2015","FQ4 2015","Currency=INR","Period=FQ","BEST_FPERIOD_OVERRIDE=FQ","FILING_STATUS=OR","EQY_CONSOLIDATED=Y","FA_ADJUSTED=GAAP","Sort=A","Dates=H","DateFormat=P","Fill=—","Direction=H","UseDPDF=Y")</f>
        <v>#NAME?</v>
      </c>
      <c r="R537" t="e">
        <f ca="1">_xll.BDH($C$528,"DVD_PAYOUT_RATIO","FQ4 2015","FQ4 2015","Currency=INR","Period=FQ","BEST_FPERIOD_OVERRIDE=FQ","FILING_STATUS=OR","EQY_CONSOLIDATED=Y","FA_ADJUSTED=GAAP","Sort=A","Dates=H","DateFormat=P","Fill=—","Direction=H","UseDPDF=Y")</f>
        <v>#NAME?</v>
      </c>
      <c r="S537" t="e">
        <f ca="1">_xll.BDH($C$528,"SUSTAIN_GROWTH_RT","FQ4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537" s="2" t="e">
        <f ca="1">_xll.BDH($C$528,"SALES_GROWTH","FQ4 2015","FQ4 2015","Currency=INR","Period=FQ","BEST_FPERIOD_OVERRIDE=FQ","FILING_STATUS=OR","EQY_CONSOLIDATED=Y","FA_ADJUSTED=GAAP","Sort=A","Dates=H","DateFormat=P","Fill=—","Direction=H","UseDPDF=Y")</f>
        <v>#NAME?</v>
      </c>
      <c r="U537" s="2" t="e">
        <f ca="1">_xll.BDH($C$528,"EBITDA_GROWTH","FQ4 2015","FQ4 2015","Currency=INR","Period=FQ","BEST_FPERIOD_OVERRIDE=FQ","FILING_STATUS=OR","EQY_CONSOLIDATED=Y","FA_ADJUSTED=GAAP","Sort=A","Dates=H","DateFormat=P","Fill=—","Direction=H","UseDPDF=Y")</f>
        <v>#NAME?</v>
      </c>
      <c r="V537" s="2" t="e">
        <f ca="1">_xll.BDH($C$528,"OPER_INC_GROWTH","FQ4 2015","FQ4 2015","Currency=INR","Period=FQ","BEST_FPERIOD_OVERRIDE=FQ","FILING_STATUS=OR","EQY_CONSOLIDATED=Y","FA_ADJUSTED=GAAP","Sort=A","Dates=H","DateFormat=P","Fill=—","Direction=H","UseDPDF=Y")</f>
        <v>#NAME?</v>
      </c>
      <c r="W537" s="2" t="e">
        <f ca="1">_xll.BDH($C$528,"EARN_FOR_COM_GROWTH","FQ4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537" s="2" t="e">
        <f ca="1">_xll.BDH($C$528,"DILUTED_EPS_AFT_XO_ITEMS_GROWTH","FQ4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537" s="2" t="e">
        <f ca="1">_xll.BDH($C$528,"DIVIDEND_PER_SHARE_1_YEAR_GROWTH","FQ4 2015","FQ4 2015","Currency=INR","Period=FQ","BEST_FPERIOD_OVERRIDE=FQ","FILING_STATUS=OR","EQY_CONSOLIDATED=Y","Sort=A","Dates=H","DateFormat=P","Fill=—","Direction=H","UseDPDF=Y")</f>
        <v>#NAME?</v>
      </c>
      <c r="Z537" s="2" t="e">
        <f ca="1">_xll.BDH($C$528,"ACCOUNTS_RECEIVABLE_GROWTH","FQ4 2015","FQ4 2015","Currency=INR","Period=FQ","BEST_FPERIOD_OVERRIDE=FQ","FILING_STATUS=OR","EQY_CONSOLIDATED=Y","Sort=A","Dates=H","DateFormat=P","Fill=—","Direction=H","UseDPDF=Y")</f>
        <v>#NAME?</v>
      </c>
      <c r="AA537" s="2" t="e">
        <f ca="1">_xll.BDH($C$528,"INVENTORY_GROWTH","FQ4 2015","FQ4 2015","Currency=INR","Period=FQ","BEST_FPERIOD_OVERRIDE=FQ","FILING_STATUS=OR","EQY_CONSOLIDATED=Y","Sort=A","Dates=H","DateFormat=P","Fill=—","Direction=H","UseDPDF=Y")</f>
        <v>#NAME?</v>
      </c>
      <c r="AB537" s="2" t="e">
        <f ca="1">_xll.BDH($C$528,"NET_FIXED_ASSETS_1_YEAR_GROWTH","FQ4 2015","FQ4 2015","Currency=INR","Period=FQ","BEST_FPERIOD_OVERRIDE=FQ","FILING_STATUS=OR","EQY_CONSOLIDATED=Y","Sort=A","Dates=H","DateFormat=P","Fill=—","Direction=H","UseDPDF=Y")</f>
        <v>#NAME?</v>
      </c>
      <c r="AC537" s="2" t="e">
        <f ca="1">_xll.BDH($C$528,"ASSET_GROWTH","FQ4 2015","FQ4 2015","Currency=INR","Period=FQ","BEST_FPERIOD_OVERRIDE=FQ","FILING_STATUS=OR","EQY_CONSOLIDATED=Y","Sort=A","Dates=H","DateFormat=P","Fill=—","Direction=H","UseDPDF=Y")</f>
        <v>#NAME?</v>
      </c>
      <c r="AD537" s="2" t="e">
        <f ca="1">_xll.BDH($C$528,"MODIFIED_WORK_CAP_GROWTH","FQ4 2015","FQ4 2015","Currency=INR","Period=FQ","BEST_FPERIOD_OVERRIDE=FQ","FILING_STATUS=OR","EQY_CONSOLIDATED=Y","Sort=A","Dates=H","DateFormat=P","Fill=—","Direction=H","UseDPDF=Y")</f>
        <v>#NAME?</v>
      </c>
      <c r="AE537" s="2" t="e">
        <f ca="1">_xll.BDH($C$528,"WORK_CAP_GROWTH","FQ4 2015","FQ4 2015","Currency=INR","Period=FQ","BEST_FPERIOD_OVERRIDE=FQ","FILING_STATUS=OR","EQY_CONSOLIDATED=Y","Sort=A","Dates=H","DateFormat=P","Fill=—","Direction=H","UseDPDF=Y")</f>
        <v>#NAME?</v>
      </c>
      <c r="AF537" s="2" t="e">
        <f ca="1">_xll.BDH($C$528,"ACCOUNTS_PAYABLE_GROWTH_1YR","FQ4 2015","FQ4 2015","Currency=INR","Period=FQ","BEST_FPERIOD_OVERRIDE=FQ","FILING_STATUS=OR","EQY_CONSOLIDATED=Y","Sort=A","Dates=H","DateFormat=P","Fill=—","Direction=H","UseDPDF=Y")</f>
        <v>#NAME?</v>
      </c>
      <c r="AG537" s="2" t="e">
        <f ca="1">_xll.BDH($C$528,"SHORT_TERM_DEBT_1_YEAR_GROWTH","FQ4 2015","FQ4 2015","Currency=INR","Period=FQ","BEST_FPERIOD_OVERRIDE=FQ","FILING_STATUS=OR","EQY_CONSOLIDATED=Y","Sort=A","Dates=H","DateFormat=P","Fill=—","Direction=H","UseDPDF=Y")</f>
        <v>#NAME?</v>
      </c>
      <c r="AH537" s="2" t="e">
        <f ca="1">_xll.BDH($C$528,"TOTAL_DEBT_1_YEAR_GROWTH","FQ4 2015","FQ4 2015","Currency=INR","Period=FQ","BEST_FPERIOD_OVERRIDE=FQ","FILING_STATUS=OR","EQY_CONSOLIDATED=Y","Sort=A","Dates=H","DateFormat=P","Fill=—","Direction=H","UseDPDF=Y")</f>
        <v>#NAME?</v>
      </c>
      <c r="AI537" s="2" t="e">
        <f ca="1">_xll.BDH($C$528,"TOTAL_EQUITY_1_YEAR_GROWTH","FQ4 2015","FQ4 2015","Currency=INR","Period=FQ","BEST_FPERIOD_OVERRIDE=FQ","FILING_STATUS=OR","EQY_CONSOLIDATED=Y","Sort=A","Dates=H","DateFormat=P","Fill=—","Direction=H","UseDPDF=Y")</f>
        <v>#NAME?</v>
      </c>
      <c r="AJ537" s="2" t="e">
        <f ca="1">_xll.BDH($C$528,"GROWTH_IN_CAP","FQ4 2015","FQ4 2015","Currency=INR","Period=FQ","BEST_FPERIOD_OVERRIDE=FQ","FILING_STATUS=OR","EQY_CONSOLIDATED=Y","Sort=A","Dates=H","DateFormat=P","Fill=—","Direction=H","UseDPDF=Y")</f>
        <v>#NAME?</v>
      </c>
      <c r="AK537" s="2" t="e">
        <f ca="1">_xll.BDH($C$528,"BVPS_GROWTH","FQ4 2015","FQ4 2015","Currency=INR","Period=FQ","BEST_FPERIOD_OVERRIDE=FQ","FILING_STATUS=OR","EQY_CONSOLIDATED=Y","Sort=A","Dates=H","DateFormat=P","Fill=—","Direction=H","UseDPDF=Y")</f>
        <v>#NAME?</v>
      </c>
      <c r="AL537" s="2" t="e">
        <f ca="1">_xll.BDH($C$528,"CASH_FLOW_GROWTH","FQ4 2015","FQ4 2015","Currency=INR","Period=FQ","BEST_FPERIOD_OVERRIDE=FQ","FILING_STATUS=OR","EQY_CONSOLIDATED=Y","Sort=A","Dates=H","DateFormat=P","Fill=—","Direction=H","UseDPDF=Y")</f>
        <v>#NAME?</v>
      </c>
      <c r="AM537" s="2" t="e">
        <f ca="1">_xll.BDH($C$528,"GEO_GROW_NET_SALES","FQ4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537" s="2" t="e">
        <f ca="1">_xll.BDH($C$528,"GEO_GROW_EBITDA","FQ4 2015","FQ4 2015","Currency=INR","Period=FQ","BEST_FPERIOD_OVERRIDE=FQ","FILING_STATUS=OR","EQY_CONSOLIDATED=Y","FA_ADJUSTED=GAAP","Sort=A","Dates=H","DateFormat=P","Fill=—","Direction=H","UseDPDF=Y")</f>
        <v>#NAME?</v>
      </c>
      <c r="AO537" s="2" t="e">
        <f ca="1">_xll.BDH($C$528,"GEO_GROW_OPER_INC","FQ4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537" s="2" t="e">
        <f ca="1">_xll.BDH($C$528,"NET_INCOME_TO_COMMON_5_YR_GROWTH","FQ4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537" s="2" t="e">
        <f ca="1">_xll.BDH($C$528,"5Y_GEO_GROWTH_DILUTED_EPS","FQ4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537" s="2" t="e">
        <f ca="1">_xll.BDH($C$528,"GEO_GROW_DVD_PER_SH","FQ4 2015","FQ4 2015","Currency=INR","Period=FQ","BEST_FPERIOD_OVERRIDE=FQ","FILING_STATUS=OR","EQY_CONSOLIDATED=Y","Sort=A","Dates=H","DateFormat=P","Fill=—","Direction=H","UseDPDF=Y")</f>
        <v>#NAME?</v>
      </c>
      <c r="AS537" s="2" t="e">
        <f ca="1">_xll.BDH($C$528,"ACCOUNTS_RECEIVABLE_5_YR_GROWTH","FQ4 2015","FQ4 2015","Currency=INR","Period=FQ","BEST_FPERIOD_OVERRIDE=FQ","FILING_STATUS=OR","EQY_CONSOLIDATED=Y","Sort=A","Dates=H","DateFormat=P","Fill=—","Direction=H","UseDPDF=Y")</f>
        <v>#NAME?</v>
      </c>
      <c r="AT537" s="2" t="e">
        <f ca="1">_xll.BDH($C$528,"INVENTORY_5_YEAR_GROWTH","FQ4 2015","FQ4 2015","Currency=INR","Period=FQ","BEST_FPERIOD_OVERRIDE=FQ","FILING_STATUS=OR","EQY_CONSOLIDATED=Y","Sort=A","Dates=H","DateFormat=P","Fill=—","Direction=H","UseDPDF=Y")</f>
        <v>#NAME?</v>
      </c>
      <c r="AU537" s="2" t="e">
        <f ca="1">_xll.BDH($C$528,"NET_FIXED_ASSETS_5_YEAR_GROWTH","FQ4 2015","FQ4 2015","Currency=INR","Period=FQ","BEST_FPERIOD_OVERRIDE=FQ","FILING_STATUS=OR","EQY_CONSOLIDATED=Y","Sort=A","Dates=H","DateFormat=P","Fill=—","Direction=H","UseDPDF=Y")</f>
        <v>#NAME?</v>
      </c>
      <c r="AV537" s="2" t="e">
        <f ca="1">_xll.BDH($C$528,"GEO_GROW_TOT_ASSET","FQ4 2015","FQ4 2015","Currency=INR","Period=FQ","BEST_FPERIOD_OVERRIDE=FQ","FILING_STATUS=OR","EQY_CONSOLIDATED=Y","Sort=A","Dates=H","DateFormat=P","Fill=—","Direction=H","UseDPDF=Y")</f>
        <v>#NAME?</v>
      </c>
      <c r="AW537" s="2" t="e">
        <f ca="1">_xll.BDH($C$528,"MODIFIED_WORKING_CPTL_5YR_GRWTH","FQ4 2015","FQ4 2015","Currency=INR","Period=FQ","BEST_FPERIOD_OVERRIDE=FQ","FILING_STATUS=OR","EQY_CONSOLIDATED=Y","Sort=A","Dates=H","DateFormat=P","Fill=—","Direction=H","UseDPDF=Y")</f>
        <v>#NAME?</v>
      </c>
      <c r="AX537" s="2" t="e">
        <f ca="1">_xll.BDH($C$528,"WORKING_CAPITAL_5_YEAR_GROWTH","FQ4 2015","FQ4 2015","Currency=INR","Period=FQ","BEST_FPERIOD_OVERRIDE=FQ","FILING_STATUS=OR","EQY_CONSOLIDATED=Y","Sort=A","Dates=H","DateFormat=P","Fill=—","Direction=H","UseDPDF=Y")</f>
        <v>#NAME?</v>
      </c>
      <c r="AY537" s="2" t="e">
        <f ca="1">_xll.BDH($C$528,"ACCOUNTS_PAYABLE_5_YEAR_GROWTH","FQ4 2015","FQ4 2015","Currency=INR","Period=FQ","BEST_FPERIOD_OVERRIDE=FQ","FILING_STATUS=OR","EQY_CONSOLIDATED=Y","Sort=A","Dates=H","DateFormat=P","Fill=—","Direction=H","UseDPDF=Y")</f>
        <v>#NAME?</v>
      </c>
      <c r="AZ537" s="2" t="e">
        <f ca="1">_xll.BDH($C$528,"SHORT_TERM_DEBT_5_YEAR_GROWTH","FQ4 2015","FQ4 2015","Currency=INR","Period=FQ","BEST_FPERIOD_OVERRIDE=FQ","FILING_STATUS=OR","EQY_CONSOLIDATED=Y","Sort=A","Dates=H","DateFormat=P","Fill=—","Direction=H","UseDPDF=Y")</f>
        <v>#NAME?</v>
      </c>
      <c r="BA537" s="2" t="e">
        <f ca="1">_xll.BDH($C$528,"TOTAL_DEBT_5_YEAR_GROWTH","FQ4 2015","FQ4 2015","Currency=INR","Period=FQ","BEST_FPERIOD_OVERRIDE=FQ","FILING_STATUS=OR","EQY_CONSOLIDATED=Y","Sort=A","Dates=H","DateFormat=P","Fill=—","Direction=H","UseDPDF=Y")</f>
        <v>#NAME?</v>
      </c>
      <c r="BB537" s="2" t="e">
        <f ca="1">_xll.BDH($C$528,"GEO_GROW_TOT_SHRHLDR_EQY","FQ4 2015","FQ4 2015","Currency=INR","Period=FQ","BEST_FPERIOD_OVERRIDE=FQ","FILING_STATUS=OR","EQY_CONSOLIDATED=Y","Sort=A","Dates=H","DateFormat=P","Fill=—","Direction=H","UseDPDF=Y")</f>
        <v>#NAME?</v>
      </c>
      <c r="BC537" s="2" t="e">
        <f ca="1">_xll.BDH($C$528,"TOTAL_CAPITAL_5_YEAR_GROWTH","FQ4 2015","FQ4 2015","Currency=INR","Period=FQ","BEST_FPERIOD_OVERRIDE=FQ","FILING_STATUS=OR","EQY_CONSOLIDATED=Y","Sort=A","Dates=H","DateFormat=P","Fill=—","Direction=H","UseDPDF=Y")</f>
        <v>#NAME?</v>
      </c>
      <c r="BD537" s="2" t="e">
        <f ca="1">_xll.BDH($C$528,"GEO_GROW_BOOK_VAL","FQ4 2015","FQ4 2015","Currency=INR","Period=FQ","BEST_FPERIOD_OVERRIDE=FQ","FILING_STATUS=OR","EQY_CONSOLIDATED=Y","Sort=A","Dates=H","DateFormat=P","Fill=—","Direction=H","UseDPDF=Y")</f>
        <v>#NAME?</v>
      </c>
      <c r="BE537" s="2" t="e">
        <f ca="1">_xll.BDH($C$528,"GEO_GROW_CASH_OPER_ACT","FQ4 2015","FQ4 2015","Currency=INR","Period=FQ","BEST_FPERIOD_OVERRIDE=FQ","FILING_STATUS=OR","EQY_CONSOLIDATED=Y","Sort=A","Dates=H","DateFormat=P","Fill=—","Direction=H","UseDPDF=Y")</f>
        <v>#NAME?</v>
      </c>
      <c r="BF537" s="2" t="e">
        <f ca="1">_xll.BDH($C$528,"REVENUE_SEQUENTIAL_GROWTH","FQ4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537" s="2" t="e">
        <f ca="1">_xll.BDH($C$528,"EBITDA_SEQUENTIAL_GROWTH","FQ4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537" s="2" t="e">
        <f ca="1">_xll.BDH($C$528,"OPERATING_INCOME_SEQ_GROWTH","FQ4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537" s="2" t="e">
        <f ca="1">_xll.BDH($C$528,"NET_INCOME_TO_COMMON_SEQ_GROWTH","FQ4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537" s="2" t="e">
        <f ca="1">_xll.BDH($C$528,"EPS_DILUTED_SEQUENTIAL_GROWTH","FQ4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537" s="2" t="e">
        <f ca="1">_xll.BDH($C$528,"DPS_SEQUENTIAL_GROWTH","FQ4 2015","FQ4 2015","Currency=INR","Period=FQ","BEST_FPERIOD_OVERRIDE=FQ","FILING_STATUS=OR","EQY_CONSOLIDATED=Y","Sort=A","Dates=H","DateFormat=P","Fill=—","Direction=H","UseDPDF=Y")</f>
        <v>#NAME?</v>
      </c>
      <c r="BL537" s="2" t="e">
        <f ca="1">_xll.BDH($C$528,"ACCOUNTS_RECEIVABLE_SEQ_GROWTH","FQ4 2015","FQ4 2015","Currency=INR","Period=FQ","BEST_FPERIOD_OVERRIDE=FQ","FILING_STATUS=OR","EQY_CONSOLIDATED=Y","Sort=A","Dates=H","DateFormat=P","Fill=—","Direction=H","UseDPDF=Y")</f>
        <v>#NAME?</v>
      </c>
      <c r="BM537" s="2" t="e">
        <f ca="1">_xll.BDH($C$528,"INVENTORY_SEQUENTIAL_GROWTH","FQ4 2015","FQ4 2015","Currency=INR","Period=FQ","BEST_FPERIOD_OVERRIDE=FQ","FILING_STATUS=OR","EQY_CONSOLIDATED=Y","Sort=A","Dates=H","DateFormat=P","Fill=—","Direction=H","UseDPDF=Y")</f>
        <v>#NAME?</v>
      </c>
      <c r="BN537" s="2" t="e">
        <f ca="1">_xll.BDH($C$528,"FIXED_ASSETS_SEQUENTIAL_GROWTH","FQ4 2015","FQ4 2015","Currency=INR","Period=FQ","BEST_FPERIOD_OVERRIDE=FQ","FILING_STATUS=OR","EQY_CONSOLIDATED=Y","Sort=A","Dates=H","DateFormat=P","Fill=—","Direction=H","UseDPDF=Y")</f>
        <v>#NAME?</v>
      </c>
      <c r="BO537" s="2" t="e">
        <f ca="1">_xll.BDH($C$528,"TOTAL_ASSETS_SEQUENTIAL_GROWTH","FQ4 2015","FQ4 2015","Currency=INR","Period=FQ","BEST_FPERIOD_OVERRIDE=FQ","FILING_STATUS=OR","EQY_CONSOLIDATED=Y","Sort=A","Dates=H","DateFormat=P","Fill=—","Direction=H","UseDPDF=Y")</f>
        <v>#NAME?</v>
      </c>
      <c r="BP537" s="2" t="e">
        <f ca="1">_xll.BDH($C$528,"MODIFIED_WORKING_CPTL_SEQ_GRWTH","FQ4 2015","FQ4 2015","Currency=INR","Period=FQ","BEST_FPERIOD_OVERRIDE=FQ","FILING_STATUS=OR","EQY_CONSOLIDATED=Y","Sort=A","Dates=H","DateFormat=P","Fill=—","Direction=H","UseDPDF=Y")</f>
        <v>#NAME?</v>
      </c>
      <c r="BQ537" s="2" t="e">
        <f ca="1">_xll.BDH($C$528,"WORKING_CAPITAL_SEQ_GROWTH","FQ4 2015","FQ4 2015","Currency=INR","Period=FQ","BEST_FPERIOD_OVERRIDE=FQ","FILING_STATUS=OR","EQY_CONSOLIDATED=Y","Sort=A","Dates=H","DateFormat=P","Fill=—","Direction=H","UseDPDF=Y")</f>
        <v>#NAME?</v>
      </c>
      <c r="BR537" s="2" t="e">
        <f ca="1">_xll.BDH($C$528,"ACCOUNTS_PAYABLE_SEQ_GROWTH","FQ4 2015","FQ4 2015","Currency=INR","Period=FQ","BEST_FPERIOD_OVERRIDE=FQ","FILING_STATUS=OR","EQY_CONSOLIDATED=Y","Sort=A","Dates=H","DateFormat=P","Fill=—","Direction=H","UseDPDF=Y")</f>
        <v>#NAME?</v>
      </c>
      <c r="BS537" s="2" t="e">
        <f ca="1">_xll.BDH($C$528,"ST_DEBT_SEQUENTIAL_GROWTH","FQ4 2015","FQ4 2015","Currency=INR","Period=FQ","BEST_FPERIOD_OVERRIDE=FQ","FILING_STATUS=OR","EQY_CONSOLIDATED=Y","Sort=A","Dates=H","DateFormat=P","Fill=—","Direction=H","UseDPDF=Y")</f>
        <v>#NAME?</v>
      </c>
      <c r="BT537" s="2" t="e">
        <f ca="1">_xll.BDH($C$528,"TOTAL_DEBT_SEQUENTIAL_GROWTH","FQ4 2015","FQ4 2015","Currency=INR","Period=FQ","BEST_FPERIOD_OVERRIDE=FQ","FILING_STATUS=OR","EQY_CONSOLIDATED=Y","Sort=A","Dates=H","DateFormat=P","Fill=—","Direction=H","UseDPDF=Y")</f>
        <v>#NAME?</v>
      </c>
      <c r="BU537" s="2" t="e">
        <f ca="1">_xll.BDH($C$528,"TOTAL_EQUITY_SEQUENTIAL_GROWTH","FQ4 2015","FQ4 2015","Currency=INR","Period=FQ","BEST_FPERIOD_OVERRIDE=FQ","FILING_STATUS=OR","EQY_CONSOLIDATED=Y","Sort=A","Dates=H","DateFormat=P","Fill=—","Direction=H","UseDPDF=Y")</f>
        <v>#NAME?</v>
      </c>
      <c r="BV537" s="2" t="e">
        <f ca="1">_xll.BDH($C$528,"TOTAL_CAPITAL_SEQUENTIAL_GROWTH","FQ4 2015","FQ4 2015","Currency=INR","Period=FQ","BEST_FPERIOD_OVERRIDE=FQ","FILING_STATUS=OR","EQY_CONSOLIDATED=Y","Sort=A","Dates=H","DateFormat=P","Fill=—","Direction=H","UseDPDF=Y")</f>
        <v>#NAME?</v>
      </c>
      <c r="BW537" s="2" t="e">
        <f ca="1">_xll.BDH($C$528,"BPS_SEQUENTIAL_GROWTH","FQ4 2015","FQ4 2015","Currency=INR","Period=FQ","BEST_FPERIOD_OVERRIDE=FQ","FILING_STATUS=OR","EQY_CONSOLIDATED=Y","Sort=A","Dates=H","DateFormat=P","Fill=—","Direction=H","UseDPDF=Y")</f>
        <v>#NAME?</v>
      </c>
      <c r="BX537" s="2" t="e">
        <f ca="1">_xll.BDH($C$528,"CFO_SEQUENTIAL_GROWTH","FQ4 2015","FQ4 2015","Currency=INR","Period=FQ","BEST_FPERIOD_OVERRIDE=FQ","FILING_STATUS=OR","EQY_CONSOLIDATED=Y","Sort=A","Dates=H","DateFormat=P","Fill=—","Direction=H","UseDPDF=Y")</f>
        <v>#NAME?</v>
      </c>
      <c r="BY537" s="3" t="e">
        <f ca="1">_xll.BDH($C$528,"SHORT_AND_LONG_TERM_DEBT","FQ4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537" s="3" t="e">
        <f ca="1">_xll.BDH($C$528,"BS_ST_BORROW","FQ4 2015","FQ4 2015","Currency=INR","Period=FQ","BEST_FPERIOD_OVERRIDE=FQ","FILING_STATUS=OR","EQY_CONSOLIDATED=Y","SCALING_FORMAT=MLN","Sort=A","Dates=H","DateFormat=P","Fill=—","Direction=H","UseDPDF=Y")</f>
        <v>#NAME?</v>
      </c>
      <c r="CA537" s="3" t="e">
        <f ca="1">_xll.BDH($C$528,"BS_LT_BORROW","FQ4 2015","FQ4 2015","Currency=INR","Period=FQ","BEST_FPERIOD_OVERRIDE=FQ","FILING_STATUS=OR","EQY_CONSOLIDATED=Y","SCALING_FORMAT=MLN","Sort=A","Dates=H","DateFormat=P","Fill=—","Direction=H","UseDPDF=Y")</f>
        <v>#NAME?</v>
      </c>
      <c r="CB537" s="2" t="e">
        <f ca="1">_xll.BDH($C$528,"TOT_DEBT_TO_EBITDA","FQ4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537" s="2" t="e">
        <f ca="1">_xll.BDH($C$528,"NET_DEBT_TO_EBITDA","FQ4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537" s="2" t="e">
        <f ca="1">_xll.BDH($C$528,"TOTAL_DEBT_TO_EBIT","FQ4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537" s="2" t="e">
        <f ca="1">_xll.BDH($C$528,"NET_DEBT_TO_EBIT","FQ4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537" s="2" t="e">
        <f ca="1">_xll.BDH($C$528,"EBITDA_TO_INTEREST_EXPN","FQ4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537" s="2" t="e">
        <f ca="1">_xll.BDH($C$528,"COM_EQY_TO_TOT_ASSET","FQ4 2015","FQ4 2015","Currency=INR","Period=FQ","BEST_FPERIOD_OVERRIDE=FQ","FILING_STATUS=OR","EQY_CONSOLIDATED=Y","Sort=A","Dates=H","DateFormat=P","Fill=—","Direction=H","UseDPDF=Y")</f>
        <v>#NAME?</v>
      </c>
      <c r="CH537" s="2" t="e">
        <f ca="1">_xll.BDH($C$528,"LT_DEBT_TO_TOT_EQY","FQ4 2015","FQ4 2015","Currency=INR","Period=FQ","BEST_FPERIOD_OVERRIDE=FQ","FILING_STATUS=OR","EQY_CONSOLIDATED=Y","Sort=A","Dates=H","DateFormat=P","Fill=—","Direction=H","UseDPDF=Y")</f>
        <v>#NAME?</v>
      </c>
      <c r="CI537" s="2" t="e">
        <f ca="1">_xll.BDH($C$528,"LT_DEBT_TO_TOT_CAP","FQ4 2015","FQ4 2015","Currency=INR","Period=FQ","BEST_FPERIOD_OVERRIDE=FQ","FILING_STATUS=OR","EQY_CONSOLIDATED=Y","Sort=A","Dates=H","DateFormat=P","Fill=—","Direction=H","UseDPDF=Y")</f>
        <v>#NAME?</v>
      </c>
      <c r="CJ537" s="2" t="e">
        <f ca="1">_xll.BDH($C$528,"LT_DEBT_TO_TOT_ASSET","FQ4 2015","FQ4 2015","Currency=INR","Period=FQ","BEST_FPERIOD_OVERRIDE=FQ","FILING_STATUS=OR","EQY_CONSOLIDATED=Y","Sort=A","Dates=H","DateFormat=P","Fill=—","Direction=H","UseDPDF=Y")</f>
        <v>#NAME?</v>
      </c>
      <c r="CK537" s="2" t="e">
        <f ca="1">_xll.BDH($C$528,"TOT_DEBT_TO_TOT_EQY","FQ4 2015","FQ4 2015","Currency=INR","Period=FQ","BEST_FPERIOD_OVERRIDE=FQ","FILING_STATUS=OR","EQY_CONSOLIDATED=Y","Sort=A","Dates=H","DateFormat=P","Fill=—","Direction=H","UseDPDF=Y")</f>
        <v>#NAME?</v>
      </c>
      <c r="CL537" s="2" t="e">
        <f ca="1">_xll.BDH($C$528,"TOT_DEBT_TO_TOT_CAP","FQ4 2015","FQ4 2015","Currency=INR","Period=FQ","BEST_FPERIOD_OVERRIDE=FQ","FILING_STATUS=OR","EQY_CONSOLIDATED=Y","Sort=A","Dates=H","DateFormat=P","Fill=—","Direction=H","UseDPDF=Y")</f>
        <v>#NAME?</v>
      </c>
      <c r="CM537" s="2" t="e">
        <f ca="1">_xll.BDH($C$528,"TOT_DEBT_TO_TOT_ASSET","FQ4 2015","FQ4 2015","Currency=INR","Period=FQ","BEST_FPERIOD_OVERRIDE=FQ","FILING_STATUS=OR","EQY_CONSOLIDATED=Y","Sort=A","Dates=H","DateFormat=P","Fill=—","Direction=H","UseDPDF=Y")</f>
        <v>#NAME?</v>
      </c>
      <c r="CN537" s="2" t="e">
        <f ca="1">_xll.BDH($C$528,"NET_DEBT_TO_SHRHLDR_EQTY","FQ4 2015","FQ4 2015","Currency=INR","Period=FQ","BEST_FPERIOD_OVERRIDE=FQ","FILING_STATUS=OR","EQY_CONSOLIDATED=Y","Sort=A","Dates=H","DateFormat=P","Fill=—","Direction=H","UseDPDF=Y")</f>
        <v>#NAME?</v>
      </c>
      <c r="CO537" s="2" t="e">
        <f ca="1">_xll.BDH($C$528,"NET_DEBT_%_CAPITAL","FQ4 2015","FQ4 2015","Currency=INR","Period=FQ","BEST_FPERIOD_OVERRIDE=FQ","FILING_STATUS=OR","EQY_CONSOLIDATED=Y","Sort=A","Dates=H","DateFormat=P","Fill=—","Direction=H","UseDPDF=Y")</f>
        <v>#NAME?</v>
      </c>
      <c r="CP537" s="3" t="e">
        <f ca="1">_xll.BDH($C$528,"EBITDA","FQ4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537" s="3" t="e">
        <f ca="1">_xll.BDH($C$528,"EBITDA_AFTER_CAPEX","FQ4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537" s="3" t="e">
        <f ca="1">_xll.BDH($C$528,"IS_OPER_INC","FQ4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537" s="2" t="e">
        <f ca="1">_xll.BDH($C$528,"CASH_RATIO","FQ4 2015","FQ4 2015","Currency=INR","Period=FQ","BEST_FPERIOD_OVERRIDE=FQ","FILING_STATUS=OR","EQY_CONSOLIDATED=Y","Sort=A","Dates=H","DateFormat=P","Fill=—","Direction=H","UseDPDF=Y")</f>
        <v>#NAME?</v>
      </c>
      <c r="CT537" s="2" t="e">
        <f ca="1">_xll.BDH($C$528,"CUR_RATIO","FQ4 2015","FQ4 2015","Currency=INR","Period=FQ","BEST_FPERIOD_OVERRIDE=FQ","FILING_STATUS=OR","EQY_CONSOLIDATED=Y","Sort=A","Dates=H","DateFormat=P","Fill=—","Direction=H","UseDPDF=Y")</f>
        <v>#NAME?</v>
      </c>
      <c r="CU537" s="2" t="e">
        <f ca="1">_xll.BDH($C$528,"QUICK_RATIO","FQ4 2015","FQ4 2015","Currency=INR","Period=FQ","BEST_FPERIOD_OVERRIDE=FQ","FILING_STATUS=OR","EQY_CONSOLIDATED=Y","Sort=A","Dates=H","DateFormat=P","Fill=—","Direction=H","UseDPDF=Y")</f>
        <v>#NAME?</v>
      </c>
      <c r="CV537" s="2" t="e">
        <f ca="1">_xll.BDH($C$528,"ALTMAN_Z_SCORE","FQ4 2015","FQ4 2015","Currency=INR","Period=FQ","BEST_FPERIOD_OVERRIDE=FQ","FILING_STATUS=OR","EQY_CONSOLIDATED=Y","Sort=A","Dates=H","DateFormat=P","Fill=—","Direction=H","UseDPDF=Y")</f>
        <v>#NAME?</v>
      </c>
      <c r="CW537" s="4" t="e">
        <f ca="1">_xll.BDH($C$528,"ACCT_RCV_TURN","FQ4 2015","FQ4 2015","Currency=INR","Period=FQ","BEST_FPERIOD_OVERRIDE=FQ","FILING_STATUS=OR","EQY_CONSOLIDATED=Y","FA_ADJUSTED=GAAP","Sort=A","Dates=H","DateFormat=P","Fill=—","Direction=H","UseDPDF=Y")</f>
        <v>#NAME?</v>
      </c>
      <c r="CX537" s="2" t="e">
        <f ca="1">_xll.BDH($C$528,"ACCT_RCV_DAYS","FQ4 2015","FQ4 2015","Currency=INR","Period=FQ","BEST_FPERIOD_OVERRIDE=FQ","FILING_STATUS=OR","EQY_CONSOLIDATED=Y","FA_ADJUSTED=GAAP","Sort=A","Dates=H","DateFormat=P","Fill=—","Direction=H","UseDPDF=Y")</f>
        <v>#NAME?</v>
      </c>
      <c r="CY537" s="4" t="e">
        <f ca="1">_xll.BDH($C$528,"INVENT_TURN","FQ4 2015","FQ4 2015","Currency=INR","Period=FQ","BEST_FPERIOD_OVERRIDE=FQ","FILING_STATUS=OR","EQY_CONSOLIDATED=Y","FA_ADJUSTED=GAAP","Sort=A","Dates=H","DateFormat=P","Fill=—","Direction=H","UseDPDF=Y")</f>
        <v>#NAME?</v>
      </c>
      <c r="CZ537" s="2" t="e">
        <f ca="1">_xll.BDH($C$528,"INVENT_DAYS","FQ4 2015","FQ4 2015","Currency=INR","Period=FQ","BEST_FPERIOD_OVERRIDE=FQ","FILING_STATUS=OR","EQY_CONSOLIDATED=Y","FA_ADJUSTED=GAAP","Sort=A","Dates=H","DateFormat=P","Fill=—","Direction=H","UseDPDF=Y")</f>
        <v>#NAME?</v>
      </c>
      <c r="DA537" s="4" t="e">
        <f ca="1">_xll.BDH($C$528,"ACCOUNTS_PAYABLE_TURNOVER","FQ4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537" s="2" t="e">
        <f ca="1">_xll.BDH($C$528,"ACCOUNTS_PAYABLE_TURNOVER_DAYS","FQ4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537" s="4" t="e">
        <f ca="1">_xll.BDH($C$528,"CASH_CONVERSION_CYCLE","FQ4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537" s="4" t="e">
        <f ca="1">_xll.BDH($C$528,"INV_TO_CASH_DAYS","FQ4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537" s="5" t="e">
        <f ca="1">_xll.BDH($C$528,"BS_INVENTORIES","FQ4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537" s="3" t="e">
        <f ca="1">_xll.BDH($C$528,"INVTRY_RAW_MATERIALS","FQ4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537" s="3" t="e">
        <f ca="1">_xll.BDH($C$528,"INVTRY_IN_PROGRESS","FQ4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537" s="3" t="e">
        <f ca="1">_xll.BDH($C$528,"INVTRY_FINISHED_GOODS","FQ4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537" s="3" t="e">
        <f ca="1">_xll.BDH($C$528,"BS_OTHER_INV","FQ4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538" spans="1:113" x14ac:dyDescent="0.3">
      <c r="A538" s="6"/>
      <c r="B538" s="6"/>
      <c r="C538" s="6"/>
      <c r="D538" s="6" t="s">
        <v>83</v>
      </c>
      <c r="E538" t="s">
        <v>77</v>
      </c>
      <c r="F538" t="e">
        <f ca="1">_xll.BDH($C$528,"RETURN_COM_EQY","FY 2016","FY 2016","Currency=INR","Period=FY","BEST_FPERIOD_OVERRIDE=FY","FILING_STATUS=OR","EQY_CONSOLIDATED=Y","FA_ADJUSTED=GAAP","Sort=A","Dates=H","DateFormat=P","Fill=—","Direction=H","UseDPDF=Y")</f>
        <v>#NAME?</v>
      </c>
      <c r="G538" t="e">
        <f ca="1">_xll.BDH($C$528,"RETURN_ON_ASSET","FY 2016","FY 2016","Currency=INR","Period=FY","BEST_FPERIOD_OVERRIDE=FY","FILING_STATUS=OR","EQY_CONSOLIDATED=Y","FA_ADJUSTED=GAAP","Sort=A","Dates=H","DateFormat=P","Fill=—","Direction=H","UseDPDF=Y")</f>
        <v>#NAME?</v>
      </c>
      <c r="H538" t="e">
        <f ca="1">_xll.BDH($C$528,"RETURN_ON_CAP","FY 2016","FY 2016","Currency=INR","Period=FY","BEST_FPERIOD_OVERRIDE=FY","FILING_STATUS=OR","EQY_CONSOLIDATED=Y","FA_ADJUSTED=GAAP","Sort=A","Dates=H","DateFormat=P","Fill=—","Direction=H","UseDPDF=Y")</f>
        <v>#NAME?</v>
      </c>
      <c r="I538" t="e">
        <f ca="1">_xll.BDH($C$528,"RETURN_ON_INV_CAPITAL","FY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538" t="e">
        <f ca="1">_xll.BDH($C$528,"EBITDA_TO_REVENUE","FY 2016","FY 2016","Currency=INR","Period=FY","BEST_FPERIOD_OVERRIDE=FY","FILING_STATUS=OR","EQY_CONSOLIDATED=Y","FA_ADJUSTED=GAAP","Sort=A","Dates=H","DateFormat=P","Fill=—","Direction=H","UseDPDF=Y")</f>
        <v>#NAME?</v>
      </c>
      <c r="K538" t="e">
        <f ca="1">_xll.BDH($C$528,"OPER_MARGIN","FY 2016","FY 2016","Currency=INR","Period=FY","BEST_FPERIOD_OVERRIDE=FY","FILING_STATUS=OR","EQY_CONSOLIDATED=Y","FA_ADJUSTED=GAAP","Sort=A","Dates=H","DateFormat=P","Fill=—","Direction=H","UseDPDF=Y")</f>
        <v>#NAME?</v>
      </c>
      <c r="L538" t="e">
        <f ca="1">_xll.BDH($C$528,"INCREMENTAL_OPERATING_MARGIN","FY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538" t="e">
        <f ca="1">_xll.BDH($C$528,"PRETAX_INC_TO_NET_SALES","FY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538" t="e">
        <f ca="1">_xll.BDH($C$528,"INC_BEF_XO_ITEMS_TO_NET_SALES","FY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538" t="e">
        <f ca="1">_xll.BDH($C$528,"PROF_MARGIN","FY 2016","FY 2016","Currency=INR","Period=FY","BEST_FPERIOD_OVERRIDE=FY","FILING_STATUS=OR","EQY_CONSOLIDATED=Y","FA_ADJUSTED=GAAP","Sort=A","Dates=H","DateFormat=P","Fill=—","Direction=H","UseDPDF=Y")</f>
        <v>#NAME?</v>
      </c>
      <c r="P538" t="e">
        <f ca="1">_xll.BDH($C$528,"NET_INCOME_TO_COMMON_MARGIN","FY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538" t="e">
        <f ca="1">_xll.BDH($C$528,"EFF_TAX_RATE","FY 2016","FY 2016","Currency=INR","Period=FY","BEST_FPERIOD_OVERRIDE=FY","FILING_STATUS=OR","EQY_CONSOLIDATED=Y","FA_ADJUSTED=GAAP","Sort=A","Dates=H","DateFormat=P","Fill=—","Direction=H","UseDPDF=Y")</f>
        <v>#NAME?</v>
      </c>
      <c r="R538" t="e">
        <f ca="1">_xll.BDH($C$528,"DVD_PAYOUT_RATIO","FY 2016","FY 2016","Currency=INR","Period=FY","BEST_FPERIOD_OVERRIDE=FY","FILING_STATUS=OR","EQY_CONSOLIDATED=Y","FA_ADJUSTED=GAAP","Sort=A","Dates=H","DateFormat=P","Fill=—","Direction=H","UseDPDF=Y")</f>
        <v>#NAME?</v>
      </c>
      <c r="S538" t="e">
        <f ca="1">_xll.BDH($C$528,"SUSTAIN_GROWTH_RT","FY 2016","FY 2016","Currency=INR","Period=FY","BEST_FPERIOD_OVERRIDE=FY","FILING_STATUS=OR","EQY_CONSOLIDATED=Y","FA_ADJUSTED=GAAP","Sort=A","Dates=H","DateFormat=P","Fill=—","Direction=H","UseDPDF=Y")</f>
        <v>#NAME?</v>
      </c>
      <c r="T538" s="2" t="e">
        <f ca="1">_xll.BDH($C$528,"SALES_GROWTH","FY 2016","FY 2016","Currency=INR","Period=FY","BEST_FPERIOD_OVERRIDE=FY","FILING_STATUS=OR","EQY_CONSOLIDATED=Y","FA_ADJUSTED=GAAP","Sort=A","Dates=H","DateFormat=P","Fill=—","Direction=H","UseDPDF=Y")</f>
        <v>#NAME?</v>
      </c>
      <c r="U538" s="2" t="e">
        <f ca="1">_xll.BDH($C$528,"EBITDA_GROWTH","FY 2016","FY 2016","Currency=INR","Period=FY","BEST_FPERIOD_OVERRIDE=FY","FILING_STATUS=OR","EQY_CONSOLIDATED=Y","FA_ADJUSTED=GAAP","Sort=A","Dates=H","DateFormat=P","Fill=—","Direction=H","UseDPDF=Y")</f>
        <v>#NAME?</v>
      </c>
      <c r="V538" s="2" t="e">
        <f ca="1">_xll.BDH($C$528,"OPER_INC_GROWTH","FY 2016","FY 2016","Currency=INR","Period=FY","BEST_FPERIOD_OVERRIDE=FY","FILING_STATUS=OR","EQY_CONSOLIDATED=Y","FA_ADJUSTED=GAAP","Sort=A","Dates=H","DateFormat=P","Fill=—","Direction=H","UseDPDF=Y")</f>
        <v>#NAME?</v>
      </c>
      <c r="W538" s="2" t="e">
        <f ca="1">_xll.BDH($C$528,"EARN_FOR_COM_GROWTH","FY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538" s="2" t="e">
        <f ca="1">_xll.BDH($C$528,"DILUTED_EPS_AFT_XO_ITEMS_GROWTH","FY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538" s="2" t="e">
        <f ca="1">_xll.BDH($C$528,"DIVIDEND_PER_SHARE_1_YEAR_GROWTH","FY 2016","FY 2016","Currency=INR","Period=FY","BEST_FPERIOD_OVERRIDE=FY","FILING_STATUS=OR","EQY_CONSOLIDATED=Y","Sort=A","Dates=H","DateFormat=P","Fill=—","Direction=H","UseDPDF=Y")</f>
        <v>#NAME?</v>
      </c>
      <c r="Z538" s="2" t="e">
        <f ca="1">_xll.BDH($C$528,"ACCOUNTS_RECEIVABLE_GROWTH","FY 2016","FY 2016","Currency=INR","Period=FY","BEST_FPERIOD_OVERRIDE=FY","FILING_STATUS=OR","EQY_CONSOLIDATED=Y","Sort=A","Dates=H","DateFormat=P","Fill=—","Direction=H","UseDPDF=Y")</f>
        <v>#NAME?</v>
      </c>
      <c r="AA538" s="2" t="e">
        <f ca="1">_xll.BDH($C$528,"INVENTORY_GROWTH","FY 2016","FY 2016","Currency=INR","Period=FY","BEST_FPERIOD_OVERRIDE=FY","FILING_STATUS=OR","EQY_CONSOLIDATED=Y","Sort=A","Dates=H","DateFormat=P","Fill=—","Direction=H","UseDPDF=Y")</f>
        <v>#NAME?</v>
      </c>
      <c r="AB538" s="2" t="e">
        <f ca="1">_xll.BDH($C$528,"NET_FIXED_ASSETS_1_YEAR_GROWTH","FY 2016","FY 2016","Currency=INR","Period=FY","BEST_FPERIOD_OVERRIDE=FY","FILING_STATUS=OR","EQY_CONSOLIDATED=Y","Sort=A","Dates=H","DateFormat=P","Fill=—","Direction=H","UseDPDF=Y")</f>
        <v>#NAME?</v>
      </c>
      <c r="AC538" s="2" t="e">
        <f ca="1">_xll.BDH($C$528,"ASSET_GROWTH","FY 2016","FY 2016","Currency=INR","Period=FY","BEST_FPERIOD_OVERRIDE=FY","FILING_STATUS=OR","EQY_CONSOLIDATED=Y","Sort=A","Dates=H","DateFormat=P","Fill=—","Direction=H","UseDPDF=Y")</f>
        <v>#NAME?</v>
      </c>
      <c r="AD538" s="2" t="e">
        <f ca="1">_xll.BDH($C$528,"MODIFIED_WORK_CAP_GROWTH","FY 2016","FY 2016","Currency=INR","Period=FY","BEST_FPERIOD_OVERRIDE=FY","FILING_STATUS=OR","EQY_CONSOLIDATED=Y","Sort=A","Dates=H","DateFormat=P","Fill=—","Direction=H","UseDPDF=Y")</f>
        <v>#NAME?</v>
      </c>
      <c r="AE538" s="2" t="e">
        <f ca="1">_xll.BDH($C$528,"WORK_CAP_GROWTH","FY 2016","FY 2016","Currency=INR","Period=FY","BEST_FPERIOD_OVERRIDE=FY","FILING_STATUS=OR","EQY_CONSOLIDATED=Y","Sort=A","Dates=H","DateFormat=P","Fill=—","Direction=H","UseDPDF=Y")</f>
        <v>#NAME?</v>
      </c>
      <c r="AF538" s="2" t="e">
        <f ca="1">_xll.BDH($C$528,"ACCOUNTS_PAYABLE_GROWTH_1YR","FY 2016","FY 2016","Currency=INR","Period=FY","BEST_FPERIOD_OVERRIDE=FY","FILING_STATUS=OR","EQY_CONSOLIDATED=Y","Sort=A","Dates=H","DateFormat=P","Fill=—","Direction=H","UseDPDF=Y")</f>
        <v>#NAME?</v>
      </c>
      <c r="AG538" s="2" t="e">
        <f ca="1">_xll.BDH($C$528,"SHORT_TERM_DEBT_1_YEAR_GROWTH","FY 2016","FY 2016","Currency=INR","Period=FY","BEST_FPERIOD_OVERRIDE=FY","FILING_STATUS=OR","EQY_CONSOLIDATED=Y","Sort=A","Dates=H","DateFormat=P","Fill=—","Direction=H","UseDPDF=Y")</f>
        <v>#NAME?</v>
      </c>
      <c r="AH538" s="2" t="e">
        <f ca="1">_xll.BDH($C$528,"TOTAL_DEBT_1_YEAR_GROWTH","FY 2016","FY 2016","Currency=INR","Period=FY","BEST_FPERIOD_OVERRIDE=FY","FILING_STATUS=OR","EQY_CONSOLIDATED=Y","Sort=A","Dates=H","DateFormat=P","Fill=—","Direction=H","UseDPDF=Y")</f>
        <v>#NAME?</v>
      </c>
      <c r="AI538" s="2" t="e">
        <f ca="1">_xll.BDH($C$528,"TOTAL_EQUITY_1_YEAR_GROWTH","FY 2016","FY 2016","Currency=INR","Period=FY","BEST_FPERIOD_OVERRIDE=FY","FILING_STATUS=OR","EQY_CONSOLIDATED=Y","Sort=A","Dates=H","DateFormat=P","Fill=—","Direction=H","UseDPDF=Y")</f>
        <v>#NAME?</v>
      </c>
      <c r="AJ538" s="2" t="e">
        <f ca="1">_xll.BDH($C$528,"GROWTH_IN_CAP","FY 2016","FY 2016","Currency=INR","Period=FY","BEST_FPERIOD_OVERRIDE=FY","FILING_STATUS=OR","EQY_CONSOLIDATED=Y","Sort=A","Dates=H","DateFormat=P","Fill=—","Direction=H","UseDPDF=Y")</f>
        <v>#NAME?</v>
      </c>
      <c r="AK538" s="2" t="e">
        <f ca="1">_xll.BDH($C$528,"BVPS_GROWTH","FY 2016","FY 2016","Currency=INR","Period=FY","BEST_FPERIOD_OVERRIDE=FY","FILING_STATUS=OR","EQY_CONSOLIDATED=Y","Sort=A","Dates=H","DateFormat=P","Fill=—","Direction=H","UseDPDF=Y")</f>
        <v>#NAME?</v>
      </c>
      <c r="AL538" s="2" t="e">
        <f ca="1">_xll.BDH($C$528,"CASH_FLOW_GROWTH","FY 2016","FY 2016","Currency=INR","Period=FY","BEST_FPERIOD_OVERRIDE=FY","FILING_STATUS=OR","EQY_CONSOLIDATED=Y","Sort=A","Dates=H","DateFormat=P","Fill=—","Direction=H","UseDPDF=Y")</f>
        <v>#NAME?</v>
      </c>
      <c r="AM538" s="2" t="e">
        <f ca="1">_xll.BDH($C$528,"GEO_GROW_NET_SALES","FY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538" s="2" t="e">
        <f ca="1">_xll.BDH($C$528,"GEO_GROW_EBITDA","FY 2016","FY 2016","Currency=INR","Period=FY","BEST_FPERIOD_OVERRIDE=FY","FILING_STATUS=OR","EQY_CONSOLIDATED=Y","FA_ADJUSTED=GAAP","Sort=A","Dates=H","DateFormat=P","Fill=—","Direction=H","UseDPDF=Y")</f>
        <v>#NAME?</v>
      </c>
      <c r="AO538" s="2" t="e">
        <f ca="1">_xll.BDH($C$528,"GEO_GROW_OPER_INC","FY 2016","FY 2016","Currency=INR","Period=FY","BEST_FPERIOD_OVERRIDE=FY","FILING_STATUS=OR","EQY_CONSOLIDATED=Y","FA_ADJUSTED=GAAP","Sort=A","Dates=H","DateFormat=P","Fill=—","Direction=H","UseDPDF=Y")</f>
        <v>#NAME?</v>
      </c>
      <c r="AP538" s="2" t="e">
        <f ca="1">_xll.BDH($C$528,"NET_INCOME_TO_COMMON_5_YR_GROWTH","FY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538" s="2" t="e">
        <f ca="1">_xll.BDH($C$528,"5Y_GEO_GROWTH_DILUTED_EPS","FY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538" s="2" t="e">
        <f ca="1">_xll.BDH($C$528,"GEO_GROW_DVD_PER_SH","FY 2016","FY 2016","Currency=INR","Period=FY","BEST_FPERIOD_OVERRIDE=FY","FILING_STATUS=OR","EQY_CONSOLIDATED=Y","Sort=A","Dates=H","DateFormat=P","Fill=—","Direction=H","UseDPDF=Y")</f>
        <v>#NAME?</v>
      </c>
      <c r="AS538" s="2" t="e">
        <f ca="1">_xll.BDH($C$528,"ACCOUNTS_RECEIVABLE_5_YR_GROWTH","FY 2016","FY 2016","Currency=INR","Period=FY","BEST_FPERIOD_OVERRIDE=FY","FILING_STATUS=OR","EQY_CONSOLIDATED=Y","Sort=A","Dates=H","DateFormat=P","Fill=—","Direction=H","UseDPDF=Y")</f>
        <v>#NAME?</v>
      </c>
      <c r="AT538" s="2" t="e">
        <f ca="1">_xll.BDH($C$528,"INVENTORY_5_YEAR_GROWTH","FY 2016","FY 2016","Currency=INR","Period=FY","BEST_FPERIOD_OVERRIDE=FY","FILING_STATUS=OR","EQY_CONSOLIDATED=Y","Sort=A","Dates=H","DateFormat=P","Fill=—","Direction=H","UseDPDF=Y")</f>
        <v>#NAME?</v>
      </c>
      <c r="AU538" s="2" t="e">
        <f ca="1">_xll.BDH($C$528,"NET_FIXED_ASSETS_5_YEAR_GROWTH","FY 2016","FY 2016","Currency=INR","Period=FY","BEST_FPERIOD_OVERRIDE=FY","FILING_STATUS=OR","EQY_CONSOLIDATED=Y","Sort=A","Dates=H","DateFormat=P","Fill=—","Direction=H","UseDPDF=Y")</f>
        <v>#NAME?</v>
      </c>
      <c r="AV538" s="2" t="e">
        <f ca="1">_xll.BDH($C$528,"GEO_GROW_TOT_ASSET","FY 2016","FY 2016","Currency=INR","Period=FY","BEST_FPERIOD_OVERRIDE=FY","FILING_STATUS=OR","EQY_CONSOLIDATED=Y","Sort=A","Dates=H","DateFormat=P","Fill=—","Direction=H","UseDPDF=Y")</f>
        <v>#NAME?</v>
      </c>
      <c r="AW538" s="2" t="e">
        <f ca="1">_xll.BDH($C$528,"MODIFIED_WORKING_CPTL_5YR_GRWTH","FY 2016","FY 2016","Currency=INR","Period=FY","BEST_FPERIOD_OVERRIDE=FY","FILING_STATUS=OR","EQY_CONSOLIDATED=Y","Sort=A","Dates=H","DateFormat=P","Fill=—","Direction=H","UseDPDF=Y")</f>
        <v>#NAME?</v>
      </c>
      <c r="AX538" s="2" t="e">
        <f ca="1">_xll.BDH($C$528,"WORKING_CAPITAL_5_YEAR_GROWTH","FY 2016","FY 2016","Currency=INR","Period=FY","BEST_FPERIOD_OVERRIDE=FY","FILING_STATUS=OR","EQY_CONSOLIDATED=Y","Sort=A","Dates=H","DateFormat=P","Fill=—","Direction=H","UseDPDF=Y")</f>
        <v>#NAME?</v>
      </c>
      <c r="AY538" s="2" t="e">
        <f ca="1">_xll.BDH($C$528,"ACCOUNTS_PAYABLE_5_YEAR_GROWTH","FY 2016","FY 2016","Currency=INR","Period=FY","BEST_FPERIOD_OVERRIDE=FY","FILING_STATUS=OR","EQY_CONSOLIDATED=Y","Sort=A","Dates=H","DateFormat=P","Fill=—","Direction=H","UseDPDF=Y")</f>
        <v>#NAME?</v>
      </c>
      <c r="AZ538" s="2" t="e">
        <f ca="1">_xll.BDH($C$528,"SHORT_TERM_DEBT_5_YEAR_GROWTH","FY 2016","FY 2016","Currency=INR","Period=FY","BEST_FPERIOD_OVERRIDE=FY","FILING_STATUS=OR","EQY_CONSOLIDATED=Y","Sort=A","Dates=H","DateFormat=P","Fill=—","Direction=H","UseDPDF=Y")</f>
        <v>#NAME?</v>
      </c>
      <c r="BA538" s="2" t="e">
        <f ca="1">_xll.BDH($C$528,"TOTAL_DEBT_5_YEAR_GROWTH","FY 2016","FY 2016","Currency=INR","Period=FY","BEST_FPERIOD_OVERRIDE=FY","FILING_STATUS=OR","EQY_CONSOLIDATED=Y","Sort=A","Dates=H","DateFormat=P","Fill=—","Direction=H","UseDPDF=Y")</f>
        <v>#NAME?</v>
      </c>
      <c r="BB538" s="2" t="e">
        <f ca="1">_xll.BDH($C$528,"GEO_GROW_TOT_SHRHLDR_EQY","FY 2016","FY 2016","Currency=INR","Period=FY","BEST_FPERIOD_OVERRIDE=FY","FILING_STATUS=OR","EQY_CONSOLIDATED=Y","Sort=A","Dates=H","DateFormat=P","Fill=—","Direction=H","UseDPDF=Y")</f>
        <v>#NAME?</v>
      </c>
      <c r="BC538" s="2" t="e">
        <f ca="1">_xll.BDH($C$528,"TOTAL_CAPITAL_5_YEAR_GROWTH","FY 2016","FY 2016","Currency=INR","Period=FY","BEST_FPERIOD_OVERRIDE=FY","FILING_STATUS=OR","EQY_CONSOLIDATED=Y","Sort=A","Dates=H","DateFormat=P","Fill=—","Direction=H","UseDPDF=Y")</f>
        <v>#NAME?</v>
      </c>
      <c r="BD538" s="2" t="e">
        <f ca="1">_xll.BDH($C$528,"GEO_GROW_BOOK_VAL","FY 2016","FY 2016","Currency=INR","Period=FY","BEST_FPERIOD_OVERRIDE=FY","FILING_STATUS=OR","EQY_CONSOLIDATED=Y","Sort=A","Dates=H","DateFormat=P","Fill=—","Direction=H","UseDPDF=Y")</f>
        <v>#NAME?</v>
      </c>
      <c r="BE538" s="2" t="e">
        <f ca="1">_xll.BDH($C$528,"GEO_GROW_CASH_OPER_ACT","FY 2016","FY 2016","Currency=INR","Period=FY","BEST_FPERIOD_OVERRIDE=FY","FILING_STATUS=OR","EQY_CONSOLIDATED=Y","Sort=A","Dates=H","DateFormat=P","Fill=—","Direction=H","UseDPDF=Y")</f>
        <v>#NAME?</v>
      </c>
      <c r="BF538" s="2" t="e">
        <f ca="1">_xll.BDH($C$528,"REVENUE_SEQUENTIAL_GROWTH","FY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538" s="2" t="e">
        <f ca="1">_xll.BDH($C$528,"EBITDA_SEQUENTIAL_GROWTH","FY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538" s="2" t="e">
        <f ca="1">_xll.BDH($C$528,"OPERATING_INCOME_SEQ_GROWTH","FY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538" s="2" t="e">
        <f ca="1">_xll.BDH($C$528,"NET_INCOME_TO_COMMON_SEQ_GROWTH","FY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538" s="2" t="e">
        <f ca="1">_xll.BDH($C$528,"EPS_DILUTED_SEQUENTIAL_GROWTH","FY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538" s="2" t="e">
        <f ca="1">_xll.BDH($C$528,"DPS_SEQUENTIAL_GROWTH","FY 2016","FY 2016","Currency=INR","Period=FY","BEST_FPERIOD_OVERRIDE=FY","FILING_STATUS=OR","EQY_CONSOLIDATED=Y","Sort=A","Dates=H","DateFormat=P","Fill=—","Direction=H","UseDPDF=Y")</f>
        <v>#NAME?</v>
      </c>
      <c r="BL538" s="2" t="e">
        <f ca="1">_xll.BDH($C$528,"ACCOUNTS_RECEIVABLE_SEQ_GROWTH","FY 2016","FY 2016","Currency=INR","Period=FY","BEST_FPERIOD_OVERRIDE=FY","FILING_STATUS=OR","EQY_CONSOLIDATED=Y","Sort=A","Dates=H","DateFormat=P","Fill=—","Direction=H","UseDPDF=Y")</f>
        <v>#NAME?</v>
      </c>
      <c r="BM538" s="2" t="e">
        <f ca="1">_xll.BDH($C$528,"INVENTORY_SEQUENTIAL_GROWTH","FY 2016","FY 2016","Currency=INR","Period=FY","BEST_FPERIOD_OVERRIDE=FY","FILING_STATUS=OR","EQY_CONSOLIDATED=Y","Sort=A","Dates=H","DateFormat=P","Fill=—","Direction=H","UseDPDF=Y")</f>
        <v>#NAME?</v>
      </c>
      <c r="BN538" s="2" t="e">
        <f ca="1">_xll.BDH($C$528,"FIXED_ASSETS_SEQUENTIAL_GROWTH","FY 2016","FY 2016","Currency=INR","Period=FY","BEST_FPERIOD_OVERRIDE=FY","FILING_STATUS=OR","EQY_CONSOLIDATED=Y","Sort=A","Dates=H","DateFormat=P","Fill=—","Direction=H","UseDPDF=Y")</f>
        <v>#NAME?</v>
      </c>
      <c r="BO538" s="2" t="e">
        <f ca="1">_xll.BDH($C$528,"TOTAL_ASSETS_SEQUENTIAL_GROWTH","FY 2016","FY 2016","Currency=INR","Period=FY","BEST_FPERIOD_OVERRIDE=FY","FILING_STATUS=OR","EQY_CONSOLIDATED=Y","Sort=A","Dates=H","DateFormat=P","Fill=—","Direction=H","UseDPDF=Y")</f>
        <v>#NAME?</v>
      </c>
      <c r="BP538" s="2" t="e">
        <f ca="1">_xll.BDH($C$528,"MODIFIED_WORKING_CPTL_SEQ_GRWTH","FY 2016","FY 2016","Currency=INR","Period=FY","BEST_FPERIOD_OVERRIDE=FY","FILING_STATUS=OR","EQY_CONSOLIDATED=Y","Sort=A","Dates=H","DateFormat=P","Fill=—","Direction=H","UseDPDF=Y")</f>
        <v>#NAME?</v>
      </c>
      <c r="BQ538" s="2" t="e">
        <f ca="1">_xll.BDH($C$528,"WORKING_CAPITAL_SEQ_GROWTH","FY 2016","FY 2016","Currency=INR","Period=FY","BEST_FPERIOD_OVERRIDE=FY","FILING_STATUS=OR","EQY_CONSOLIDATED=Y","Sort=A","Dates=H","DateFormat=P","Fill=—","Direction=H","UseDPDF=Y")</f>
        <v>#NAME?</v>
      </c>
      <c r="BR538" s="2" t="e">
        <f ca="1">_xll.BDH($C$528,"ACCOUNTS_PAYABLE_SEQ_GROWTH","FY 2016","FY 2016","Currency=INR","Period=FY","BEST_FPERIOD_OVERRIDE=FY","FILING_STATUS=OR","EQY_CONSOLIDATED=Y","Sort=A","Dates=H","DateFormat=P","Fill=—","Direction=H","UseDPDF=Y")</f>
        <v>#NAME?</v>
      </c>
      <c r="BS538" s="2" t="e">
        <f ca="1">_xll.BDH($C$528,"ST_DEBT_SEQUENTIAL_GROWTH","FY 2016","FY 2016","Currency=INR","Period=FY","BEST_FPERIOD_OVERRIDE=FY","FILING_STATUS=OR","EQY_CONSOLIDATED=Y","Sort=A","Dates=H","DateFormat=P","Fill=—","Direction=H","UseDPDF=Y")</f>
        <v>#NAME?</v>
      </c>
      <c r="BT538" s="2" t="e">
        <f ca="1">_xll.BDH($C$528,"TOTAL_DEBT_SEQUENTIAL_GROWTH","FY 2016","FY 2016","Currency=INR","Period=FY","BEST_FPERIOD_OVERRIDE=FY","FILING_STATUS=OR","EQY_CONSOLIDATED=Y","Sort=A","Dates=H","DateFormat=P","Fill=—","Direction=H","UseDPDF=Y")</f>
        <v>#NAME?</v>
      </c>
      <c r="BU538" s="2" t="e">
        <f ca="1">_xll.BDH($C$528,"TOTAL_EQUITY_SEQUENTIAL_GROWTH","FY 2016","FY 2016","Currency=INR","Period=FY","BEST_FPERIOD_OVERRIDE=FY","FILING_STATUS=OR","EQY_CONSOLIDATED=Y","Sort=A","Dates=H","DateFormat=P","Fill=—","Direction=H","UseDPDF=Y")</f>
        <v>#NAME?</v>
      </c>
      <c r="BV538" s="2" t="e">
        <f ca="1">_xll.BDH($C$528,"TOTAL_CAPITAL_SEQUENTIAL_GROWTH","FY 2016","FY 2016","Currency=INR","Period=FY","BEST_FPERIOD_OVERRIDE=FY","FILING_STATUS=OR","EQY_CONSOLIDATED=Y","Sort=A","Dates=H","DateFormat=P","Fill=—","Direction=H","UseDPDF=Y")</f>
        <v>#NAME?</v>
      </c>
      <c r="BW538" s="2" t="e">
        <f ca="1">_xll.BDH($C$528,"BPS_SEQUENTIAL_GROWTH","FY 2016","FY 2016","Currency=INR","Period=FY","BEST_FPERIOD_OVERRIDE=FY","FILING_STATUS=OR","EQY_CONSOLIDATED=Y","Sort=A","Dates=H","DateFormat=P","Fill=—","Direction=H","UseDPDF=Y")</f>
        <v>#NAME?</v>
      </c>
      <c r="BX538" s="2" t="e">
        <f ca="1">_xll.BDH($C$528,"CFO_SEQUENTIAL_GROWTH","FY 2016","FY 2016","Currency=INR","Period=FY","BEST_FPERIOD_OVERRIDE=FY","FILING_STATUS=OR","EQY_CONSOLIDATED=Y","Sort=A","Dates=H","DateFormat=P","Fill=—","Direction=H","UseDPDF=Y")</f>
        <v>#NAME?</v>
      </c>
      <c r="BY538" s="3" t="e">
        <f ca="1">_xll.BDH($C$528,"SHORT_AND_LONG_TERM_DEBT","FY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538" s="3" t="e">
        <f ca="1">_xll.BDH($C$528,"BS_ST_BORROW","FY 2016","FY 2016","Currency=INR","Period=FY","BEST_FPERIOD_OVERRIDE=FY","FILING_STATUS=OR","EQY_CONSOLIDATED=Y","SCALING_FORMAT=MLN","Sort=A","Dates=H","DateFormat=P","Fill=—","Direction=H","UseDPDF=Y")</f>
        <v>#NAME?</v>
      </c>
      <c r="CA538" s="3" t="e">
        <f ca="1">_xll.BDH($C$528,"BS_LT_BORROW","FY 2016","FY 2016","Currency=INR","Period=FY","BEST_FPERIOD_OVERRIDE=FY","FILING_STATUS=OR","EQY_CONSOLIDATED=Y","SCALING_FORMAT=MLN","Sort=A","Dates=H","DateFormat=P","Fill=—","Direction=H","UseDPDF=Y")</f>
        <v>#NAME?</v>
      </c>
      <c r="CB538" s="2" t="e">
        <f ca="1">_xll.BDH($C$528,"TOT_DEBT_TO_EBITDA","FY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538" s="2" t="e">
        <f ca="1">_xll.BDH($C$528,"NET_DEBT_TO_EBITDA","FY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538" s="2" t="e">
        <f ca="1">_xll.BDH($C$528,"TOTAL_DEBT_TO_EBIT","FY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538" s="2" t="e">
        <f ca="1">_xll.BDH($C$528,"NET_DEBT_TO_EBIT","FY 2016","FY 2016","Currency=INR","Period=FY","BEST_FPERIOD_OVERRIDE=FY","FILING_STATUS=OR","EQY_CONSOLIDATED=Y","FA_ADJUSTED=GAAP","Sort=A","Dates=H","DateFormat=P","Fill=—","Direction=H","UseDPDF=Y")</f>
        <v>#NAME?</v>
      </c>
      <c r="CF538" s="2" t="e">
        <f ca="1">_xll.BDH($C$528,"EBITDA_TO_INTEREST_EXPN","FY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538" s="2" t="e">
        <f ca="1">_xll.BDH($C$528,"COM_EQY_TO_TOT_ASSET","FY 2016","FY 2016","Currency=INR","Period=FY","BEST_FPERIOD_OVERRIDE=FY","FILING_STATUS=OR","EQY_CONSOLIDATED=Y","Sort=A","Dates=H","DateFormat=P","Fill=—","Direction=H","UseDPDF=Y")</f>
        <v>#NAME?</v>
      </c>
      <c r="CH538" s="2" t="e">
        <f ca="1">_xll.BDH($C$528,"LT_DEBT_TO_TOT_EQY","FY 2016","FY 2016","Currency=INR","Period=FY","BEST_FPERIOD_OVERRIDE=FY","FILING_STATUS=OR","EQY_CONSOLIDATED=Y","Sort=A","Dates=H","DateFormat=P","Fill=—","Direction=H","UseDPDF=Y")</f>
        <v>#NAME?</v>
      </c>
      <c r="CI538" s="2" t="e">
        <f ca="1">_xll.BDH($C$528,"LT_DEBT_TO_TOT_CAP","FY 2016","FY 2016","Currency=INR","Period=FY","BEST_FPERIOD_OVERRIDE=FY","FILING_STATUS=OR","EQY_CONSOLIDATED=Y","Sort=A","Dates=H","DateFormat=P","Fill=—","Direction=H","UseDPDF=Y")</f>
        <v>#NAME?</v>
      </c>
      <c r="CJ538" s="2" t="e">
        <f ca="1">_xll.BDH($C$528,"LT_DEBT_TO_TOT_ASSET","FY 2016","FY 2016","Currency=INR","Period=FY","BEST_FPERIOD_OVERRIDE=FY","FILING_STATUS=OR","EQY_CONSOLIDATED=Y","Sort=A","Dates=H","DateFormat=P","Fill=—","Direction=H","UseDPDF=Y")</f>
        <v>#NAME?</v>
      </c>
      <c r="CK538" s="2" t="e">
        <f ca="1">_xll.BDH($C$528,"TOT_DEBT_TO_TOT_EQY","FY 2016","FY 2016","Currency=INR","Period=FY","BEST_FPERIOD_OVERRIDE=FY","FILING_STATUS=OR","EQY_CONSOLIDATED=Y","Sort=A","Dates=H","DateFormat=P","Fill=—","Direction=H","UseDPDF=Y")</f>
        <v>#NAME?</v>
      </c>
      <c r="CL538" s="2" t="e">
        <f ca="1">_xll.BDH($C$528,"TOT_DEBT_TO_TOT_CAP","FY 2016","FY 2016","Currency=INR","Period=FY","BEST_FPERIOD_OVERRIDE=FY","FILING_STATUS=OR","EQY_CONSOLIDATED=Y","Sort=A","Dates=H","DateFormat=P","Fill=—","Direction=H","UseDPDF=Y")</f>
        <v>#NAME?</v>
      </c>
      <c r="CM538" s="2" t="e">
        <f ca="1">_xll.BDH($C$528,"TOT_DEBT_TO_TOT_ASSET","FY 2016","FY 2016","Currency=INR","Period=FY","BEST_FPERIOD_OVERRIDE=FY","FILING_STATUS=OR","EQY_CONSOLIDATED=Y","Sort=A","Dates=H","DateFormat=P","Fill=—","Direction=H","UseDPDF=Y")</f>
        <v>#NAME?</v>
      </c>
      <c r="CN538" s="2" t="e">
        <f ca="1">_xll.BDH($C$528,"NET_DEBT_TO_SHRHLDR_EQTY","FY 2016","FY 2016","Currency=INR","Period=FY","BEST_FPERIOD_OVERRIDE=FY","FILING_STATUS=OR","EQY_CONSOLIDATED=Y","Sort=A","Dates=H","DateFormat=P","Fill=—","Direction=H","UseDPDF=Y")</f>
        <v>#NAME?</v>
      </c>
      <c r="CO538" s="2" t="e">
        <f ca="1">_xll.BDH($C$528,"NET_DEBT_%_CAPITAL","FY 2016","FY 2016","Currency=INR","Period=FY","BEST_FPERIOD_OVERRIDE=FY","FILING_STATUS=OR","EQY_CONSOLIDATED=Y","Sort=A","Dates=H","DateFormat=P","Fill=—","Direction=H","UseDPDF=Y")</f>
        <v>#NAME?</v>
      </c>
      <c r="CP538" s="3" t="e">
        <f ca="1">_xll.BDH($C$528,"EBITDA","FY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538" s="3" t="e">
        <f ca="1">_xll.BDH($C$528,"EBITDA_AFTER_CAPEX","FY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538" s="3" t="e">
        <f ca="1">_xll.BDH($C$528,"IS_OPER_INC","FY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538" s="2" t="e">
        <f ca="1">_xll.BDH($C$528,"CASH_RATIO","FY 2016","FY 2016","Currency=INR","Period=FY","BEST_FPERIOD_OVERRIDE=FY","FILING_STATUS=OR","EQY_CONSOLIDATED=Y","Sort=A","Dates=H","DateFormat=P","Fill=—","Direction=H","UseDPDF=Y")</f>
        <v>#NAME?</v>
      </c>
      <c r="CT538" s="2" t="e">
        <f ca="1">_xll.BDH($C$528,"CUR_RATIO","FY 2016","FY 2016","Currency=INR","Period=FY","BEST_FPERIOD_OVERRIDE=FY","FILING_STATUS=OR","EQY_CONSOLIDATED=Y","Sort=A","Dates=H","DateFormat=P","Fill=—","Direction=H","UseDPDF=Y")</f>
        <v>#NAME?</v>
      </c>
      <c r="CU538" s="2" t="e">
        <f ca="1">_xll.BDH($C$528,"QUICK_RATIO","FY 2016","FY 2016","Currency=INR","Period=FY","BEST_FPERIOD_OVERRIDE=FY","FILING_STATUS=OR","EQY_CONSOLIDATED=Y","Sort=A","Dates=H","DateFormat=P","Fill=—","Direction=H","UseDPDF=Y")</f>
        <v>#NAME?</v>
      </c>
      <c r="CV538" s="2" t="e">
        <f ca="1">_xll.BDH($C$528,"ALTMAN_Z_SCORE","FY 2016","FY 2016","Currency=INR","Period=FY","BEST_FPERIOD_OVERRIDE=FY","FILING_STATUS=OR","EQY_CONSOLIDATED=Y","Sort=A","Dates=H","DateFormat=P","Fill=—","Direction=H","UseDPDF=Y")</f>
        <v>#NAME?</v>
      </c>
      <c r="CW538" s="4" t="e">
        <f ca="1">_xll.BDH($C$528,"ACCT_RCV_TURN","FY 2016","FY 2016","Currency=INR","Period=FY","BEST_FPERIOD_OVERRIDE=FY","FILING_STATUS=OR","EQY_CONSOLIDATED=Y","FA_ADJUSTED=GAAP","Sort=A","Dates=H","DateFormat=P","Fill=—","Direction=H","UseDPDF=Y")</f>
        <v>#NAME?</v>
      </c>
      <c r="CX538" s="2" t="e">
        <f ca="1">_xll.BDH($C$528,"ACCT_RCV_DAYS","FY 2016","FY 2016","Currency=INR","Period=FY","BEST_FPERIOD_OVERRIDE=FY","FILING_STATUS=OR","EQY_CONSOLIDATED=Y","FA_ADJUSTED=GAAP","Sort=A","Dates=H","DateFormat=P","Fill=—","Direction=H","UseDPDF=Y")</f>
        <v>#NAME?</v>
      </c>
      <c r="CY538" s="4" t="e">
        <f ca="1">_xll.BDH($C$528,"INVENT_TURN","FY 2016","FY 2016","Currency=INR","Period=FY","BEST_FPERIOD_OVERRIDE=FY","FILING_STATUS=OR","EQY_CONSOLIDATED=Y","FA_ADJUSTED=GAAP","Sort=A","Dates=H","DateFormat=P","Fill=—","Direction=H","UseDPDF=Y")</f>
        <v>#NAME?</v>
      </c>
      <c r="CZ538" s="2" t="e">
        <f ca="1">_xll.BDH($C$528,"INVENT_DAYS","FY 2016","FY 2016","Currency=INR","Period=FY","BEST_FPERIOD_OVERRIDE=FY","FILING_STATUS=OR","EQY_CONSOLIDATED=Y","FA_ADJUSTED=GAAP","Sort=A","Dates=H","DateFormat=P","Fill=—","Direction=H","UseDPDF=Y")</f>
        <v>#NAME?</v>
      </c>
      <c r="DA538" s="4" t="e">
        <f ca="1">_xll.BDH($C$528,"ACCOUNTS_PAYABLE_TURNOVER","FY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538" s="2" t="e">
        <f ca="1">_xll.BDH($C$528,"ACCOUNTS_PAYABLE_TURNOVER_DAYS","FY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538" s="4" t="e">
        <f ca="1">_xll.BDH($C$528,"CASH_CONVERSION_CYCLE","FY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538" s="4" t="e">
        <f ca="1">_xll.BDH($C$528,"INV_TO_CASH_DAYS","FY 2016","FY 2016","Currency=INR","Period=FY","BEST_FPERIOD_OVERRIDE=FY","FILING_STATUS=OR","EQY_CONSOLIDATED=Y","FA_ADJUSTED=GAAP","Sort=A","Dates=H","DateFormat=P","Fill=—","Direction=H","UseDPDF=Y")</f>
        <v>#NAME?</v>
      </c>
      <c r="DE538" s="5" t="e">
        <f ca="1">_xll.BDH($C$528,"BS_INVENTORIES","FY 2016","FY 2016","Currency=INR","Period=FY","BEST_FPERIOD_OVERRIDE=FY","FILING_STATUS=OR","EQY_CONSOLIDATED=Y","SCALING_FORMAT=MLN","Sort=A","Dates=H","DateFormat=P","Fill=—","Direction=H","UseDPDF=Y")</f>
        <v>#NAME?</v>
      </c>
      <c r="DF538" s="3" t="e">
        <f ca="1">_xll.BDH($C$528,"INVTRY_RAW_MATERIALS","FY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538" s="3" t="e">
        <f ca="1">_xll.BDH($C$528,"INVTRY_IN_PROGRESS","FY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538" s="3" t="e">
        <f ca="1">_xll.BDH($C$528,"INVTRY_FINISHED_GOODS","FY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538" s="3" t="e">
        <f ca="1">_xll.BDH($C$528,"BS_OTHER_INV","FY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539" spans="1:113" x14ac:dyDescent="0.3">
      <c r="A539" s="6"/>
      <c r="B539" s="6"/>
      <c r="C539" s="6"/>
      <c r="D539" s="6"/>
      <c r="E539" t="s">
        <v>78</v>
      </c>
      <c r="F539" t="e">
        <f ca="1">_xll.BDH($C$528,"RETURN_COM_EQY","FQ1 2016","FQ1 2016","Currency=INR","Period=FQ","BEST_FPERIOD_OVERRIDE=FQ","FILING_STATUS=OR","EQY_CONSOLIDATED=Y","FA_ADJUSTED=GAAP","Sort=A","Dates=H","DateFormat=P","Fill=—","Direction=H","UseDPDF=Y")</f>
        <v>#NAME?</v>
      </c>
      <c r="G539" t="e">
        <f ca="1">_xll.BDH($C$528,"RETURN_ON_ASSET","FQ1 2016","FQ1 2016","Currency=INR","Period=FQ","BEST_FPERIOD_OVERRIDE=FQ","FILING_STATUS=OR","EQY_CONSOLIDATED=Y","FA_ADJUSTED=GAAP","Sort=A","Dates=H","DateFormat=P","Fill=—","Direction=H","UseDPDF=Y")</f>
        <v>#NAME?</v>
      </c>
      <c r="H539" t="e">
        <f ca="1">_xll.BDH($C$528,"RETURN_ON_CAP","FQ1 2016","FQ1 2016","Currency=INR","Period=FQ","BEST_FPERIOD_OVERRIDE=FQ","FILING_STATUS=OR","EQY_CONSOLIDATED=Y","FA_ADJUSTED=GAAP","Sort=A","Dates=H","DateFormat=P","Fill=—","Direction=H","UseDPDF=Y")</f>
        <v>#NAME?</v>
      </c>
      <c r="I539" t="e">
        <f ca="1">_xll.BDH($C$528,"RETURN_ON_INV_CAPITAL","FQ1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539" t="e">
        <f ca="1">_xll.BDH($C$528,"EBITDA_TO_REVENUE","FQ1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539" t="e">
        <f ca="1">_xll.BDH($C$528,"OPER_MARGIN","FQ1 2016","FQ1 2016","Currency=INR","Period=FQ","BEST_FPERIOD_OVERRIDE=FQ","FILING_STATUS=OR","EQY_CONSOLIDATED=Y","FA_ADJUSTED=GAAP","Sort=A","Dates=H","DateFormat=P","Fill=—","Direction=H","UseDPDF=Y")</f>
        <v>#NAME?</v>
      </c>
      <c r="L539" t="e">
        <f ca="1">_xll.BDH($C$528,"INCREMENTAL_OPERATING_MARGIN","FQ1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539" t="e">
        <f ca="1">_xll.BDH($C$528,"PRETAX_INC_TO_NET_SALES","FQ1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539" t="e">
        <f ca="1">_xll.BDH($C$528,"INC_BEF_XO_ITEMS_TO_NET_SALES","FQ1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539" t="e">
        <f ca="1">_xll.BDH($C$528,"PROF_MARGIN","FQ1 2016","FQ1 2016","Currency=INR","Period=FQ","BEST_FPERIOD_OVERRIDE=FQ","FILING_STATUS=OR","EQY_CONSOLIDATED=Y","FA_ADJUSTED=GAAP","Sort=A","Dates=H","DateFormat=P","Fill=—","Direction=H","UseDPDF=Y")</f>
        <v>#NAME?</v>
      </c>
      <c r="P539" t="e">
        <f ca="1">_xll.BDH($C$528,"NET_INCOME_TO_COMMON_MARGIN","FQ1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539" t="e">
        <f ca="1">_xll.BDH($C$528,"EFF_TAX_RATE","FQ1 2016","FQ1 2016","Currency=INR","Period=FQ","BEST_FPERIOD_OVERRIDE=FQ","FILING_STATUS=OR","EQY_CONSOLIDATED=Y","FA_ADJUSTED=GAAP","Sort=A","Dates=H","DateFormat=P","Fill=—","Direction=H","UseDPDF=Y")</f>
        <v>#NAME?</v>
      </c>
      <c r="R539" t="e">
        <f ca="1">_xll.BDH($C$528,"DVD_PAYOUT_RATIO","FQ1 2016","FQ1 2016","Currency=INR","Period=FQ","BEST_FPERIOD_OVERRIDE=FQ","FILING_STATUS=OR","EQY_CONSOLIDATED=Y","FA_ADJUSTED=GAAP","Sort=A","Dates=H","DateFormat=P","Fill=—","Direction=H","UseDPDF=Y")</f>
        <v>#NAME?</v>
      </c>
      <c r="S539" t="e">
        <f ca="1">_xll.BDH($C$528,"SUSTAIN_GROWTH_RT","FQ1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539" s="2" t="e">
        <f ca="1">_xll.BDH($C$528,"SALES_GROWTH","FQ1 2016","FQ1 2016","Currency=INR","Period=FQ","BEST_FPERIOD_OVERRIDE=FQ","FILING_STATUS=OR","EQY_CONSOLIDATED=Y","FA_ADJUSTED=GAAP","Sort=A","Dates=H","DateFormat=P","Fill=—","Direction=H","UseDPDF=Y")</f>
        <v>#NAME?</v>
      </c>
      <c r="U539" s="2" t="e">
        <f ca="1">_xll.BDH($C$528,"EBITDA_GROWTH","FQ1 2016","FQ1 2016","Currency=INR","Period=FQ","BEST_FPERIOD_OVERRIDE=FQ","FILING_STATUS=OR","EQY_CONSOLIDATED=Y","FA_ADJUSTED=GAAP","Sort=A","Dates=H","DateFormat=P","Fill=—","Direction=H","UseDPDF=Y")</f>
        <v>#NAME?</v>
      </c>
      <c r="V539" s="2" t="e">
        <f ca="1">_xll.BDH($C$528,"OPER_INC_GROWTH","FQ1 2016","FQ1 2016","Currency=INR","Period=FQ","BEST_FPERIOD_OVERRIDE=FQ","FILING_STATUS=OR","EQY_CONSOLIDATED=Y","FA_ADJUSTED=GAAP","Sort=A","Dates=H","DateFormat=P","Fill=—","Direction=H","UseDPDF=Y")</f>
        <v>#NAME?</v>
      </c>
      <c r="W539" s="2" t="e">
        <f ca="1">_xll.BDH($C$528,"EARN_FOR_COM_GROWTH","FQ1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539" s="2" t="e">
        <f ca="1">_xll.BDH($C$528,"DILUTED_EPS_AFT_XO_ITEMS_GROWTH","FQ1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539" s="2" t="e">
        <f ca="1">_xll.BDH($C$528,"DIVIDEND_PER_SHARE_1_YEAR_GROWTH","FQ1 2016","FQ1 2016","Currency=INR","Period=FQ","BEST_FPERIOD_OVERRIDE=FQ","FILING_STATUS=OR","EQY_CONSOLIDATED=Y","Sort=A","Dates=H","DateFormat=P","Fill=—","Direction=H","UseDPDF=Y")</f>
        <v>#NAME?</v>
      </c>
      <c r="Z539" s="2" t="e">
        <f ca="1">_xll.BDH($C$528,"ACCOUNTS_RECEIVABLE_GROWTH","FQ1 2016","FQ1 2016","Currency=INR","Period=FQ","BEST_FPERIOD_OVERRIDE=FQ","FILING_STATUS=OR","EQY_CONSOLIDATED=Y","Sort=A","Dates=H","DateFormat=P","Fill=—","Direction=H","UseDPDF=Y")</f>
        <v>#NAME?</v>
      </c>
      <c r="AA539" s="2" t="e">
        <f ca="1">_xll.BDH($C$528,"INVENTORY_GROWTH","FQ1 2016","FQ1 2016","Currency=INR","Period=FQ","BEST_FPERIOD_OVERRIDE=FQ","FILING_STATUS=OR","EQY_CONSOLIDATED=Y","Sort=A","Dates=H","DateFormat=P","Fill=—","Direction=H","UseDPDF=Y")</f>
        <v>#NAME?</v>
      </c>
      <c r="AB539" s="2" t="e">
        <f ca="1">_xll.BDH($C$528,"NET_FIXED_ASSETS_1_YEAR_GROWTH","FQ1 2016","FQ1 2016","Currency=INR","Period=FQ","BEST_FPERIOD_OVERRIDE=FQ","FILING_STATUS=OR","EQY_CONSOLIDATED=Y","Sort=A","Dates=H","DateFormat=P","Fill=—","Direction=H","UseDPDF=Y")</f>
        <v>#NAME?</v>
      </c>
      <c r="AC539" s="2" t="e">
        <f ca="1">_xll.BDH($C$528,"ASSET_GROWTH","FQ1 2016","FQ1 2016","Currency=INR","Period=FQ","BEST_FPERIOD_OVERRIDE=FQ","FILING_STATUS=OR","EQY_CONSOLIDATED=Y","Sort=A","Dates=H","DateFormat=P","Fill=—","Direction=H","UseDPDF=Y")</f>
        <v>#NAME?</v>
      </c>
      <c r="AD539" s="2" t="e">
        <f ca="1">_xll.BDH($C$528,"MODIFIED_WORK_CAP_GROWTH","FQ1 2016","FQ1 2016","Currency=INR","Period=FQ","BEST_FPERIOD_OVERRIDE=FQ","FILING_STATUS=OR","EQY_CONSOLIDATED=Y","Sort=A","Dates=H","DateFormat=P","Fill=—","Direction=H","UseDPDF=Y")</f>
        <v>#NAME?</v>
      </c>
      <c r="AE539" s="2" t="e">
        <f ca="1">_xll.BDH($C$528,"WORK_CAP_GROWTH","FQ1 2016","FQ1 2016","Currency=INR","Period=FQ","BEST_FPERIOD_OVERRIDE=FQ","FILING_STATUS=OR","EQY_CONSOLIDATED=Y","Sort=A","Dates=H","DateFormat=P","Fill=—","Direction=H","UseDPDF=Y")</f>
        <v>#NAME?</v>
      </c>
      <c r="AF539" s="2" t="e">
        <f ca="1">_xll.BDH($C$528,"ACCOUNTS_PAYABLE_GROWTH_1YR","FQ1 2016","FQ1 2016","Currency=INR","Period=FQ","BEST_FPERIOD_OVERRIDE=FQ","FILING_STATUS=OR","EQY_CONSOLIDATED=Y","Sort=A","Dates=H","DateFormat=P","Fill=—","Direction=H","UseDPDF=Y")</f>
        <v>#NAME?</v>
      </c>
      <c r="AG539" s="2" t="e">
        <f ca="1">_xll.BDH($C$528,"SHORT_TERM_DEBT_1_YEAR_GROWTH","FQ1 2016","FQ1 2016","Currency=INR","Period=FQ","BEST_FPERIOD_OVERRIDE=FQ","FILING_STATUS=OR","EQY_CONSOLIDATED=Y","Sort=A","Dates=H","DateFormat=P","Fill=—","Direction=H","UseDPDF=Y")</f>
        <v>#NAME?</v>
      </c>
      <c r="AH539" s="2" t="e">
        <f ca="1">_xll.BDH($C$528,"TOTAL_DEBT_1_YEAR_GROWTH","FQ1 2016","FQ1 2016","Currency=INR","Period=FQ","BEST_FPERIOD_OVERRIDE=FQ","FILING_STATUS=OR","EQY_CONSOLIDATED=Y","Sort=A","Dates=H","DateFormat=P","Fill=—","Direction=H","UseDPDF=Y")</f>
        <v>#NAME?</v>
      </c>
      <c r="AI539" s="2" t="e">
        <f ca="1">_xll.BDH($C$528,"TOTAL_EQUITY_1_YEAR_GROWTH","FQ1 2016","FQ1 2016","Currency=INR","Period=FQ","BEST_FPERIOD_OVERRIDE=FQ","FILING_STATUS=OR","EQY_CONSOLIDATED=Y","Sort=A","Dates=H","DateFormat=P","Fill=—","Direction=H","UseDPDF=Y")</f>
        <v>#NAME?</v>
      </c>
      <c r="AJ539" s="2" t="e">
        <f ca="1">_xll.BDH($C$528,"GROWTH_IN_CAP","FQ1 2016","FQ1 2016","Currency=INR","Period=FQ","BEST_FPERIOD_OVERRIDE=FQ","FILING_STATUS=OR","EQY_CONSOLIDATED=Y","Sort=A","Dates=H","DateFormat=P","Fill=—","Direction=H","UseDPDF=Y")</f>
        <v>#NAME?</v>
      </c>
      <c r="AK539" s="2" t="e">
        <f ca="1">_xll.BDH($C$528,"BVPS_GROWTH","FQ1 2016","FQ1 2016","Currency=INR","Period=FQ","BEST_FPERIOD_OVERRIDE=FQ","FILING_STATUS=OR","EQY_CONSOLIDATED=Y","Sort=A","Dates=H","DateFormat=P","Fill=—","Direction=H","UseDPDF=Y")</f>
        <v>#NAME?</v>
      </c>
      <c r="AL539" s="2" t="e">
        <f ca="1">_xll.BDH($C$528,"CASH_FLOW_GROWTH","FQ1 2016","FQ1 2016","Currency=INR","Period=FQ","BEST_FPERIOD_OVERRIDE=FQ","FILING_STATUS=OR","EQY_CONSOLIDATED=Y","Sort=A","Dates=H","DateFormat=P","Fill=—","Direction=H","UseDPDF=Y")</f>
        <v>#NAME?</v>
      </c>
      <c r="AM539" s="2" t="e">
        <f ca="1">_xll.BDH($C$528,"GEO_GROW_NET_SALES","FQ1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539" s="2" t="e">
        <f ca="1">_xll.BDH($C$528,"GEO_GROW_EBITDA","FQ1 2016","FQ1 2016","Currency=INR","Period=FQ","BEST_FPERIOD_OVERRIDE=FQ","FILING_STATUS=OR","EQY_CONSOLIDATED=Y","FA_ADJUSTED=GAAP","Sort=A","Dates=H","DateFormat=P","Fill=—","Direction=H","UseDPDF=Y")</f>
        <v>#NAME?</v>
      </c>
      <c r="AO539" s="2" t="e">
        <f ca="1">_xll.BDH($C$528,"GEO_GROW_OPER_INC","FQ1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539" s="2" t="e">
        <f ca="1">_xll.BDH($C$528,"NET_INCOME_TO_COMMON_5_YR_GROWTH","FQ1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539" s="2" t="e">
        <f ca="1">_xll.BDH($C$528,"5Y_GEO_GROWTH_DILUTED_EPS","FQ1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539" s="2" t="e">
        <f ca="1">_xll.BDH($C$528,"GEO_GROW_DVD_PER_SH","FQ1 2016","FQ1 2016","Currency=INR","Period=FQ","BEST_FPERIOD_OVERRIDE=FQ","FILING_STATUS=OR","EQY_CONSOLIDATED=Y","Sort=A","Dates=H","DateFormat=P","Fill=—","Direction=H","UseDPDF=Y")</f>
        <v>#NAME?</v>
      </c>
      <c r="AS539" s="2" t="e">
        <f ca="1">_xll.BDH($C$528,"ACCOUNTS_RECEIVABLE_5_YR_GROWTH","FQ1 2016","FQ1 2016","Currency=INR","Period=FQ","BEST_FPERIOD_OVERRIDE=FQ","FILING_STATUS=OR","EQY_CONSOLIDATED=Y","Sort=A","Dates=H","DateFormat=P","Fill=—","Direction=H","UseDPDF=Y")</f>
        <v>#NAME?</v>
      </c>
      <c r="AT539" s="2" t="e">
        <f ca="1">_xll.BDH($C$528,"INVENTORY_5_YEAR_GROWTH","FQ1 2016","FQ1 2016","Currency=INR","Period=FQ","BEST_FPERIOD_OVERRIDE=FQ","FILING_STATUS=OR","EQY_CONSOLIDATED=Y","Sort=A","Dates=H","DateFormat=P","Fill=—","Direction=H","UseDPDF=Y")</f>
        <v>#NAME?</v>
      </c>
      <c r="AU539" s="2" t="e">
        <f ca="1">_xll.BDH($C$528,"NET_FIXED_ASSETS_5_YEAR_GROWTH","FQ1 2016","FQ1 2016","Currency=INR","Period=FQ","BEST_FPERIOD_OVERRIDE=FQ","FILING_STATUS=OR","EQY_CONSOLIDATED=Y","Sort=A","Dates=H","DateFormat=P","Fill=—","Direction=H","UseDPDF=Y")</f>
        <v>#NAME?</v>
      </c>
      <c r="AV539" s="2" t="e">
        <f ca="1">_xll.BDH($C$528,"GEO_GROW_TOT_ASSET","FQ1 2016","FQ1 2016","Currency=INR","Period=FQ","BEST_FPERIOD_OVERRIDE=FQ","FILING_STATUS=OR","EQY_CONSOLIDATED=Y","Sort=A","Dates=H","DateFormat=P","Fill=—","Direction=H","UseDPDF=Y")</f>
        <v>#NAME?</v>
      </c>
      <c r="AW539" s="2" t="e">
        <f ca="1">_xll.BDH($C$528,"MODIFIED_WORKING_CPTL_5YR_GRWTH","FQ1 2016","FQ1 2016","Currency=INR","Period=FQ","BEST_FPERIOD_OVERRIDE=FQ","FILING_STATUS=OR","EQY_CONSOLIDATED=Y","Sort=A","Dates=H","DateFormat=P","Fill=—","Direction=H","UseDPDF=Y")</f>
        <v>#NAME?</v>
      </c>
      <c r="AX539" s="2" t="e">
        <f ca="1">_xll.BDH($C$528,"WORKING_CAPITAL_5_YEAR_GROWTH","FQ1 2016","FQ1 2016","Currency=INR","Period=FQ","BEST_FPERIOD_OVERRIDE=FQ","FILING_STATUS=OR","EQY_CONSOLIDATED=Y","Sort=A","Dates=H","DateFormat=P","Fill=—","Direction=H","UseDPDF=Y")</f>
        <v>#NAME?</v>
      </c>
      <c r="AY539" s="2" t="e">
        <f ca="1">_xll.BDH($C$528,"ACCOUNTS_PAYABLE_5_YEAR_GROWTH","FQ1 2016","FQ1 2016","Currency=INR","Period=FQ","BEST_FPERIOD_OVERRIDE=FQ","FILING_STATUS=OR","EQY_CONSOLIDATED=Y","Sort=A","Dates=H","DateFormat=P","Fill=—","Direction=H","UseDPDF=Y")</f>
        <v>#NAME?</v>
      </c>
      <c r="AZ539" s="2" t="e">
        <f ca="1">_xll.BDH($C$528,"SHORT_TERM_DEBT_5_YEAR_GROWTH","FQ1 2016","FQ1 2016","Currency=INR","Period=FQ","BEST_FPERIOD_OVERRIDE=FQ","FILING_STATUS=OR","EQY_CONSOLIDATED=Y","Sort=A","Dates=H","DateFormat=P","Fill=—","Direction=H","UseDPDF=Y")</f>
        <v>#NAME?</v>
      </c>
      <c r="BA539" s="2" t="e">
        <f ca="1">_xll.BDH($C$528,"TOTAL_DEBT_5_YEAR_GROWTH","FQ1 2016","FQ1 2016","Currency=INR","Period=FQ","BEST_FPERIOD_OVERRIDE=FQ","FILING_STATUS=OR","EQY_CONSOLIDATED=Y","Sort=A","Dates=H","DateFormat=P","Fill=—","Direction=H","UseDPDF=Y")</f>
        <v>#NAME?</v>
      </c>
      <c r="BB539" s="2" t="e">
        <f ca="1">_xll.BDH($C$528,"GEO_GROW_TOT_SHRHLDR_EQY","FQ1 2016","FQ1 2016","Currency=INR","Period=FQ","BEST_FPERIOD_OVERRIDE=FQ","FILING_STATUS=OR","EQY_CONSOLIDATED=Y","Sort=A","Dates=H","DateFormat=P","Fill=—","Direction=H","UseDPDF=Y")</f>
        <v>#NAME?</v>
      </c>
      <c r="BC539" s="2" t="e">
        <f ca="1">_xll.BDH($C$528,"TOTAL_CAPITAL_5_YEAR_GROWTH","FQ1 2016","FQ1 2016","Currency=INR","Period=FQ","BEST_FPERIOD_OVERRIDE=FQ","FILING_STATUS=OR","EQY_CONSOLIDATED=Y","Sort=A","Dates=H","DateFormat=P","Fill=—","Direction=H","UseDPDF=Y")</f>
        <v>#NAME?</v>
      </c>
      <c r="BD539" s="2" t="e">
        <f ca="1">_xll.BDH($C$528,"GEO_GROW_BOOK_VAL","FQ1 2016","FQ1 2016","Currency=INR","Period=FQ","BEST_FPERIOD_OVERRIDE=FQ","FILING_STATUS=OR","EQY_CONSOLIDATED=Y","Sort=A","Dates=H","DateFormat=P","Fill=—","Direction=H","UseDPDF=Y")</f>
        <v>#NAME?</v>
      </c>
      <c r="BE539" s="2" t="e">
        <f ca="1">_xll.BDH($C$528,"GEO_GROW_CASH_OPER_ACT","FQ1 2016","FQ1 2016","Currency=INR","Period=FQ","BEST_FPERIOD_OVERRIDE=FQ","FILING_STATUS=OR","EQY_CONSOLIDATED=Y","Sort=A","Dates=H","DateFormat=P","Fill=—","Direction=H","UseDPDF=Y")</f>
        <v>#NAME?</v>
      </c>
      <c r="BF539" s="2" t="e">
        <f ca="1">_xll.BDH($C$528,"REVENUE_SEQUENTIAL_GROWTH","FQ1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539" s="2" t="e">
        <f ca="1">_xll.BDH($C$528,"EBITDA_SEQUENTIAL_GROWTH","FQ1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539" s="2" t="e">
        <f ca="1">_xll.BDH($C$528,"OPERATING_INCOME_SEQ_GROWTH","FQ1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539" s="2" t="e">
        <f ca="1">_xll.BDH($C$528,"NET_INCOME_TO_COMMON_SEQ_GROWTH","FQ1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539" s="2" t="e">
        <f ca="1">_xll.BDH($C$528,"EPS_DILUTED_SEQUENTIAL_GROWTH","FQ1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539" s="2" t="e">
        <f ca="1">_xll.BDH($C$528,"DPS_SEQUENTIAL_GROWTH","FQ1 2016","FQ1 2016","Currency=INR","Period=FQ","BEST_FPERIOD_OVERRIDE=FQ","FILING_STATUS=OR","EQY_CONSOLIDATED=Y","Sort=A","Dates=H","DateFormat=P","Fill=—","Direction=H","UseDPDF=Y")</f>
        <v>#NAME?</v>
      </c>
      <c r="BL539" s="2" t="e">
        <f ca="1">_xll.BDH($C$528,"ACCOUNTS_RECEIVABLE_SEQ_GROWTH","FQ1 2016","FQ1 2016","Currency=INR","Period=FQ","BEST_FPERIOD_OVERRIDE=FQ","FILING_STATUS=OR","EQY_CONSOLIDATED=Y","Sort=A","Dates=H","DateFormat=P","Fill=—","Direction=H","UseDPDF=Y")</f>
        <v>#NAME?</v>
      </c>
      <c r="BM539" s="2" t="e">
        <f ca="1">_xll.BDH($C$528,"INVENTORY_SEQUENTIAL_GROWTH","FQ1 2016","FQ1 2016","Currency=INR","Period=FQ","BEST_FPERIOD_OVERRIDE=FQ","FILING_STATUS=OR","EQY_CONSOLIDATED=Y","Sort=A","Dates=H","DateFormat=P","Fill=—","Direction=H","UseDPDF=Y")</f>
        <v>#NAME?</v>
      </c>
      <c r="BN539" s="2" t="e">
        <f ca="1">_xll.BDH($C$528,"FIXED_ASSETS_SEQUENTIAL_GROWTH","FQ1 2016","FQ1 2016","Currency=INR","Period=FQ","BEST_FPERIOD_OVERRIDE=FQ","FILING_STATUS=OR","EQY_CONSOLIDATED=Y","Sort=A","Dates=H","DateFormat=P","Fill=—","Direction=H","UseDPDF=Y")</f>
        <v>#NAME?</v>
      </c>
      <c r="BO539" s="2" t="e">
        <f ca="1">_xll.BDH($C$528,"TOTAL_ASSETS_SEQUENTIAL_GROWTH","FQ1 2016","FQ1 2016","Currency=INR","Period=FQ","BEST_FPERIOD_OVERRIDE=FQ","FILING_STATUS=OR","EQY_CONSOLIDATED=Y","Sort=A","Dates=H","DateFormat=P","Fill=—","Direction=H","UseDPDF=Y")</f>
        <v>#NAME?</v>
      </c>
      <c r="BP539" s="2" t="e">
        <f ca="1">_xll.BDH($C$528,"MODIFIED_WORKING_CPTL_SEQ_GRWTH","FQ1 2016","FQ1 2016","Currency=INR","Period=FQ","BEST_FPERIOD_OVERRIDE=FQ","FILING_STATUS=OR","EQY_CONSOLIDATED=Y","Sort=A","Dates=H","DateFormat=P","Fill=—","Direction=H","UseDPDF=Y")</f>
        <v>#NAME?</v>
      </c>
      <c r="BQ539" s="2" t="e">
        <f ca="1">_xll.BDH($C$528,"WORKING_CAPITAL_SEQ_GROWTH","FQ1 2016","FQ1 2016","Currency=INR","Period=FQ","BEST_FPERIOD_OVERRIDE=FQ","FILING_STATUS=OR","EQY_CONSOLIDATED=Y","Sort=A","Dates=H","DateFormat=P","Fill=—","Direction=H","UseDPDF=Y")</f>
        <v>#NAME?</v>
      </c>
      <c r="BR539" s="2" t="e">
        <f ca="1">_xll.BDH($C$528,"ACCOUNTS_PAYABLE_SEQ_GROWTH","FQ1 2016","FQ1 2016","Currency=INR","Period=FQ","BEST_FPERIOD_OVERRIDE=FQ","FILING_STATUS=OR","EQY_CONSOLIDATED=Y","Sort=A","Dates=H","DateFormat=P","Fill=—","Direction=H","UseDPDF=Y")</f>
        <v>#NAME?</v>
      </c>
      <c r="BS539" s="2" t="e">
        <f ca="1">_xll.BDH($C$528,"ST_DEBT_SEQUENTIAL_GROWTH","FQ1 2016","FQ1 2016","Currency=INR","Period=FQ","BEST_FPERIOD_OVERRIDE=FQ","FILING_STATUS=OR","EQY_CONSOLIDATED=Y","Sort=A","Dates=H","DateFormat=P","Fill=—","Direction=H","UseDPDF=Y")</f>
        <v>#NAME?</v>
      </c>
      <c r="BT539" s="2" t="e">
        <f ca="1">_xll.BDH($C$528,"TOTAL_DEBT_SEQUENTIAL_GROWTH","FQ1 2016","FQ1 2016","Currency=INR","Period=FQ","BEST_FPERIOD_OVERRIDE=FQ","FILING_STATUS=OR","EQY_CONSOLIDATED=Y","Sort=A","Dates=H","DateFormat=P","Fill=—","Direction=H","UseDPDF=Y")</f>
        <v>#NAME?</v>
      </c>
      <c r="BU539" s="2" t="e">
        <f ca="1">_xll.BDH($C$528,"TOTAL_EQUITY_SEQUENTIAL_GROWTH","FQ1 2016","FQ1 2016","Currency=INR","Period=FQ","BEST_FPERIOD_OVERRIDE=FQ","FILING_STATUS=OR","EQY_CONSOLIDATED=Y","Sort=A","Dates=H","DateFormat=P","Fill=—","Direction=H","UseDPDF=Y")</f>
        <v>#NAME?</v>
      </c>
      <c r="BV539" s="2" t="e">
        <f ca="1">_xll.BDH($C$528,"TOTAL_CAPITAL_SEQUENTIAL_GROWTH","FQ1 2016","FQ1 2016","Currency=INR","Period=FQ","BEST_FPERIOD_OVERRIDE=FQ","FILING_STATUS=OR","EQY_CONSOLIDATED=Y","Sort=A","Dates=H","DateFormat=P","Fill=—","Direction=H","UseDPDF=Y")</f>
        <v>#NAME?</v>
      </c>
      <c r="BW539" s="2" t="e">
        <f ca="1">_xll.BDH($C$528,"BPS_SEQUENTIAL_GROWTH","FQ1 2016","FQ1 2016","Currency=INR","Period=FQ","BEST_FPERIOD_OVERRIDE=FQ","FILING_STATUS=OR","EQY_CONSOLIDATED=Y","Sort=A","Dates=H","DateFormat=P","Fill=—","Direction=H","UseDPDF=Y")</f>
        <v>#NAME?</v>
      </c>
      <c r="BX539" s="2" t="e">
        <f ca="1">_xll.BDH($C$528,"CFO_SEQUENTIAL_GROWTH","FQ1 2016","FQ1 2016","Currency=INR","Period=FQ","BEST_FPERIOD_OVERRIDE=FQ","FILING_STATUS=OR","EQY_CONSOLIDATED=Y","Sort=A","Dates=H","DateFormat=P","Fill=—","Direction=H","UseDPDF=Y")</f>
        <v>#NAME?</v>
      </c>
      <c r="BY539" s="3" t="e">
        <f ca="1">_xll.BDH($C$528,"SHORT_AND_LONG_TERM_DEBT","FQ1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539" s="3" t="e">
        <f ca="1">_xll.BDH($C$528,"BS_ST_BORROW","FQ1 2016","FQ1 2016","Currency=INR","Period=FQ","BEST_FPERIOD_OVERRIDE=FQ","FILING_STATUS=OR","EQY_CONSOLIDATED=Y","SCALING_FORMAT=MLN","Sort=A","Dates=H","DateFormat=P","Fill=—","Direction=H","UseDPDF=Y")</f>
        <v>#NAME?</v>
      </c>
      <c r="CA539" s="3" t="e">
        <f ca="1">_xll.BDH($C$528,"BS_LT_BORROW","FQ1 2016","FQ1 2016","Currency=INR","Period=FQ","BEST_FPERIOD_OVERRIDE=FQ","FILING_STATUS=OR","EQY_CONSOLIDATED=Y","SCALING_FORMAT=MLN","Sort=A","Dates=H","DateFormat=P","Fill=—","Direction=H","UseDPDF=Y")</f>
        <v>#NAME?</v>
      </c>
      <c r="CB539" s="2" t="e">
        <f ca="1">_xll.BDH($C$528,"TOT_DEBT_TO_EBITDA","FQ1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539" s="2" t="e">
        <f ca="1">_xll.BDH($C$528,"NET_DEBT_TO_EBITDA","FQ1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539" s="2" t="e">
        <f ca="1">_xll.BDH($C$528,"TOTAL_DEBT_TO_EBIT","FQ1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539" s="2" t="e">
        <f ca="1">_xll.BDH($C$528,"NET_DEBT_TO_EBIT","FQ1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539" s="2" t="e">
        <f ca="1">_xll.BDH($C$528,"EBITDA_TO_INTEREST_EXPN","FQ1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539" s="2" t="e">
        <f ca="1">_xll.BDH($C$528,"COM_EQY_TO_TOT_ASSET","FQ1 2016","FQ1 2016","Currency=INR","Period=FQ","BEST_FPERIOD_OVERRIDE=FQ","FILING_STATUS=OR","EQY_CONSOLIDATED=Y","Sort=A","Dates=H","DateFormat=P","Fill=—","Direction=H","UseDPDF=Y")</f>
        <v>#NAME?</v>
      </c>
      <c r="CH539" s="2" t="e">
        <f ca="1">_xll.BDH($C$528,"LT_DEBT_TO_TOT_EQY","FQ1 2016","FQ1 2016","Currency=INR","Period=FQ","BEST_FPERIOD_OVERRIDE=FQ","FILING_STATUS=OR","EQY_CONSOLIDATED=Y","Sort=A","Dates=H","DateFormat=P","Fill=—","Direction=H","UseDPDF=Y")</f>
        <v>#NAME?</v>
      </c>
      <c r="CI539" s="2" t="e">
        <f ca="1">_xll.BDH($C$528,"LT_DEBT_TO_TOT_CAP","FQ1 2016","FQ1 2016","Currency=INR","Period=FQ","BEST_FPERIOD_OVERRIDE=FQ","FILING_STATUS=OR","EQY_CONSOLIDATED=Y","Sort=A","Dates=H","DateFormat=P","Fill=—","Direction=H","UseDPDF=Y")</f>
        <v>#NAME?</v>
      </c>
      <c r="CJ539" s="2" t="e">
        <f ca="1">_xll.BDH($C$528,"LT_DEBT_TO_TOT_ASSET","FQ1 2016","FQ1 2016","Currency=INR","Period=FQ","BEST_FPERIOD_OVERRIDE=FQ","FILING_STATUS=OR","EQY_CONSOLIDATED=Y","Sort=A","Dates=H","DateFormat=P","Fill=—","Direction=H","UseDPDF=Y")</f>
        <v>#NAME?</v>
      </c>
      <c r="CK539" s="2" t="e">
        <f ca="1">_xll.BDH($C$528,"TOT_DEBT_TO_TOT_EQY","FQ1 2016","FQ1 2016","Currency=INR","Period=FQ","BEST_FPERIOD_OVERRIDE=FQ","FILING_STATUS=OR","EQY_CONSOLIDATED=Y","Sort=A","Dates=H","DateFormat=P","Fill=—","Direction=H","UseDPDF=Y")</f>
        <v>#NAME?</v>
      </c>
      <c r="CL539" s="2" t="e">
        <f ca="1">_xll.BDH($C$528,"TOT_DEBT_TO_TOT_CAP","FQ1 2016","FQ1 2016","Currency=INR","Period=FQ","BEST_FPERIOD_OVERRIDE=FQ","FILING_STATUS=OR","EQY_CONSOLIDATED=Y","Sort=A","Dates=H","DateFormat=P","Fill=—","Direction=H","UseDPDF=Y")</f>
        <v>#NAME?</v>
      </c>
      <c r="CM539" s="2" t="e">
        <f ca="1">_xll.BDH($C$528,"TOT_DEBT_TO_TOT_ASSET","FQ1 2016","FQ1 2016","Currency=INR","Period=FQ","BEST_FPERIOD_OVERRIDE=FQ","FILING_STATUS=OR","EQY_CONSOLIDATED=Y","Sort=A","Dates=H","DateFormat=P","Fill=—","Direction=H","UseDPDF=Y")</f>
        <v>#NAME?</v>
      </c>
      <c r="CN539" s="2" t="e">
        <f ca="1">_xll.BDH($C$528,"NET_DEBT_TO_SHRHLDR_EQTY","FQ1 2016","FQ1 2016","Currency=INR","Period=FQ","BEST_FPERIOD_OVERRIDE=FQ","FILING_STATUS=OR","EQY_CONSOLIDATED=Y","Sort=A","Dates=H","DateFormat=P","Fill=—","Direction=H","UseDPDF=Y")</f>
        <v>#NAME?</v>
      </c>
      <c r="CO539" s="2" t="e">
        <f ca="1">_xll.BDH($C$528,"NET_DEBT_%_CAPITAL","FQ1 2016","FQ1 2016","Currency=INR","Period=FQ","BEST_FPERIOD_OVERRIDE=FQ","FILING_STATUS=OR","EQY_CONSOLIDATED=Y","Sort=A","Dates=H","DateFormat=P","Fill=—","Direction=H","UseDPDF=Y")</f>
        <v>#NAME?</v>
      </c>
      <c r="CP539" s="3" t="e">
        <f ca="1">_xll.BDH($C$528,"EBITDA","FQ1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539" s="3" t="e">
        <f ca="1">_xll.BDH($C$528,"EBITDA_AFTER_CAPEX","FQ1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539" s="3" t="e">
        <f ca="1">_xll.BDH($C$528,"IS_OPER_INC","FQ1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539" s="2" t="e">
        <f ca="1">_xll.BDH($C$528,"CASH_RATIO","FQ1 2016","FQ1 2016","Currency=INR","Period=FQ","BEST_FPERIOD_OVERRIDE=FQ","FILING_STATUS=OR","EQY_CONSOLIDATED=Y","Sort=A","Dates=H","DateFormat=P","Fill=—","Direction=H","UseDPDF=Y")</f>
        <v>#NAME?</v>
      </c>
      <c r="CT539" s="2" t="e">
        <f ca="1">_xll.BDH($C$528,"CUR_RATIO","FQ1 2016","FQ1 2016","Currency=INR","Period=FQ","BEST_FPERIOD_OVERRIDE=FQ","FILING_STATUS=OR","EQY_CONSOLIDATED=Y","Sort=A","Dates=H","DateFormat=P","Fill=—","Direction=H","UseDPDF=Y")</f>
        <v>#NAME?</v>
      </c>
      <c r="CU539" s="2" t="e">
        <f ca="1">_xll.BDH($C$528,"QUICK_RATIO","FQ1 2016","FQ1 2016","Currency=INR","Period=FQ","BEST_FPERIOD_OVERRIDE=FQ","FILING_STATUS=OR","EQY_CONSOLIDATED=Y","Sort=A","Dates=H","DateFormat=P","Fill=—","Direction=H","UseDPDF=Y")</f>
        <v>#NAME?</v>
      </c>
      <c r="CV539" s="2" t="e">
        <f ca="1">_xll.BDH($C$528,"ALTMAN_Z_SCORE","FQ1 2016","FQ1 2016","Currency=INR","Period=FQ","BEST_FPERIOD_OVERRIDE=FQ","FILING_STATUS=OR","EQY_CONSOLIDATED=Y","Sort=A","Dates=H","DateFormat=P","Fill=—","Direction=H","UseDPDF=Y")</f>
        <v>#NAME?</v>
      </c>
      <c r="CW539" s="4" t="e">
        <f ca="1">_xll.BDH($C$528,"ACCT_RCV_TURN","FQ1 2016","FQ1 2016","Currency=INR","Period=FQ","BEST_FPERIOD_OVERRIDE=FQ","FILING_STATUS=OR","EQY_CONSOLIDATED=Y","FA_ADJUSTED=GAAP","Sort=A","Dates=H","DateFormat=P","Fill=—","Direction=H","UseDPDF=Y")</f>
        <v>#NAME?</v>
      </c>
      <c r="CX539" s="2" t="e">
        <f ca="1">_xll.BDH($C$528,"ACCT_RCV_DAYS","FQ1 2016","FQ1 2016","Currency=INR","Period=FQ","BEST_FPERIOD_OVERRIDE=FQ","FILING_STATUS=OR","EQY_CONSOLIDATED=Y","FA_ADJUSTED=GAAP","Sort=A","Dates=H","DateFormat=P","Fill=—","Direction=H","UseDPDF=Y")</f>
        <v>#NAME?</v>
      </c>
      <c r="CY539" s="4" t="e">
        <f ca="1">_xll.BDH($C$528,"INVENT_TURN","FQ1 2016","FQ1 2016","Currency=INR","Period=FQ","BEST_FPERIOD_OVERRIDE=FQ","FILING_STATUS=OR","EQY_CONSOLIDATED=Y","FA_ADJUSTED=GAAP","Sort=A","Dates=H","DateFormat=P","Fill=—","Direction=H","UseDPDF=Y")</f>
        <v>#NAME?</v>
      </c>
      <c r="CZ539" s="2" t="e">
        <f ca="1">_xll.BDH($C$528,"INVENT_DAYS","FQ1 2016","FQ1 2016","Currency=INR","Period=FQ","BEST_FPERIOD_OVERRIDE=FQ","FILING_STATUS=OR","EQY_CONSOLIDATED=Y","FA_ADJUSTED=GAAP","Sort=A","Dates=H","DateFormat=P","Fill=—","Direction=H","UseDPDF=Y")</f>
        <v>#NAME?</v>
      </c>
      <c r="DA539" s="4" t="e">
        <f ca="1">_xll.BDH($C$528,"ACCOUNTS_PAYABLE_TURNOVER","FQ1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539" s="2" t="e">
        <f ca="1">_xll.BDH($C$528,"ACCOUNTS_PAYABLE_TURNOVER_DAYS","FQ1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539" s="4" t="e">
        <f ca="1">_xll.BDH($C$528,"CASH_CONVERSION_CYCLE","FQ1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539" s="4" t="e">
        <f ca="1">_xll.BDH($C$528,"INV_TO_CASH_DAYS","FQ1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539" s="5" t="e">
        <f ca="1">_xll.BDH($C$528,"BS_INVENTORIES","FQ1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539" s="3" t="e">
        <f ca="1">_xll.BDH($C$528,"INVTRY_RAW_MATERIALS","FQ1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539" s="3" t="e">
        <f ca="1">_xll.BDH($C$528,"INVTRY_IN_PROGRESS","FQ1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539" s="3" t="e">
        <f ca="1">_xll.BDH($C$528,"INVTRY_FINISHED_GOODS","FQ1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539" s="3" t="e">
        <f ca="1">_xll.BDH($C$528,"BS_OTHER_INV","FQ1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540" spans="1:113" x14ac:dyDescent="0.3">
      <c r="A540" s="6"/>
      <c r="B540" s="6"/>
      <c r="C540" s="6"/>
      <c r="D540" s="6"/>
      <c r="E540" t="s">
        <v>79</v>
      </c>
      <c r="F540" t="e">
        <f ca="1">_xll.BDH($C$528,"RETURN_COM_EQY","FQ2 2016","FQ2 2016","Currency=INR","Period=FQ","BEST_FPERIOD_OVERRIDE=FQ","FILING_STATUS=OR","EQY_CONSOLIDATED=Y","FA_ADJUSTED=GAAP","Sort=A","Dates=H","DateFormat=P","Fill=—","Direction=H","UseDPDF=Y")</f>
        <v>#NAME?</v>
      </c>
      <c r="G540" t="e">
        <f ca="1">_xll.BDH($C$528,"RETURN_ON_ASSET","FQ2 2016","FQ2 2016","Currency=INR","Period=FQ","BEST_FPERIOD_OVERRIDE=FQ","FILING_STATUS=OR","EQY_CONSOLIDATED=Y","FA_ADJUSTED=GAAP","Sort=A","Dates=H","DateFormat=P","Fill=—","Direction=H","UseDPDF=Y")</f>
        <v>#NAME?</v>
      </c>
      <c r="H540" t="e">
        <f ca="1">_xll.BDH($C$528,"RETURN_ON_CAP","FQ2 2016","FQ2 2016","Currency=INR","Period=FQ","BEST_FPERIOD_OVERRIDE=FQ","FILING_STATUS=OR","EQY_CONSOLIDATED=Y","FA_ADJUSTED=GAAP","Sort=A","Dates=H","DateFormat=P","Fill=—","Direction=H","UseDPDF=Y")</f>
        <v>#NAME?</v>
      </c>
      <c r="I540" t="e">
        <f ca="1">_xll.BDH($C$528,"RETURN_ON_INV_CAPITAL","FQ2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540" t="e">
        <f ca="1">_xll.BDH($C$528,"EBITDA_TO_REVENUE","FQ2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540" t="e">
        <f ca="1">_xll.BDH($C$528,"OPER_MARGIN","FQ2 2016","FQ2 2016","Currency=INR","Period=FQ","BEST_FPERIOD_OVERRIDE=FQ","FILING_STATUS=OR","EQY_CONSOLIDATED=Y","FA_ADJUSTED=GAAP","Sort=A","Dates=H","DateFormat=P","Fill=—","Direction=H","UseDPDF=Y")</f>
        <v>#NAME?</v>
      </c>
      <c r="L540" t="e">
        <f ca="1">_xll.BDH($C$528,"INCREMENTAL_OPERATING_MARGIN","FQ2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540" t="e">
        <f ca="1">_xll.BDH($C$528,"PRETAX_INC_TO_NET_SALES","FQ2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540" t="e">
        <f ca="1">_xll.BDH($C$528,"INC_BEF_XO_ITEMS_TO_NET_SALES","FQ2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540" t="e">
        <f ca="1">_xll.BDH($C$528,"PROF_MARGIN","FQ2 2016","FQ2 2016","Currency=INR","Period=FQ","BEST_FPERIOD_OVERRIDE=FQ","FILING_STATUS=OR","EQY_CONSOLIDATED=Y","FA_ADJUSTED=GAAP","Sort=A","Dates=H","DateFormat=P","Fill=—","Direction=H","UseDPDF=Y")</f>
        <v>#NAME?</v>
      </c>
      <c r="P540" t="e">
        <f ca="1">_xll.BDH($C$528,"NET_INCOME_TO_COMMON_MARGIN","FQ2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540" t="e">
        <f ca="1">_xll.BDH($C$528,"EFF_TAX_RATE","FQ2 2016","FQ2 2016","Currency=INR","Period=FQ","BEST_FPERIOD_OVERRIDE=FQ","FILING_STATUS=OR","EQY_CONSOLIDATED=Y","FA_ADJUSTED=GAAP","Sort=A","Dates=H","DateFormat=P","Fill=—","Direction=H","UseDPDF=Y")</f>
        <v>#NAME?</v>
      </c>
      <c r="R540" t="e">
        <f ca="1">_xll.BDH($C$528,"DVD_PAYOUT_RATIO","FQ2 2016","FQ2 2016","Currency=INR","Period=FQ","BEST_FPERIOD_OVERRIDE=FQ","FILING_STATUS=OR","EQY_CONSOLIDATED=Y","FA_ADJUSTED=GAAP","Sort=A","Dates=H","DateFormat=P","Fill=—","Direction=H","UseDPDF=Y")</f>
        <v>#NAME?</v>
      </c>
      <c r="S540" t="e">
        <f ca="1">_xll.BDH($C$528,"SUSTAIN_GROWTH_RT","FQ2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540" s="2" t="e">
        <f ca="1">_xll.BDH($C$528,"SALES_GROWTH","FQ2 2016","FQ2 2016","Currency=INR","Period=FQ","BEST_FPERIOD_OVERRIDE=FQ","FILING_STATUS=OR","EQY_CONSOLIDATED=Y","FA_ADJUSTED=GAAP","Sort=A","Dates=H","DateFormat=P","Fill=—","Direction=H","UseDPDF=Y")</f>
        <v>#NAME?</v>
      </c>
      <c r="U540" s="2" t="e">
        <f ca="1">_xll.BDH($C$528,"EBITDA_GROWTH","FQ2 2016","FQ2 2016","Currency=INR","Period=FQ","BEST_FPERIOD_OVERRIDE=FQ","FILING_STATUS=OR","EQY_CONSOLIDATED=Y","FA_ADJUSTED=GAAP","Sort=A","Dates=H","DateFormat=P","Fill=—","Direction=H","UseDPDF=Y")</f>
        <v>#NAME?</v>
      </c>
      <c r="V540" s="2" t="e">
        <f ca="1">_xll.BDH($C$528,"OPER_INC_GROWTH","FQ2 2016","FQ2 2016","Currency=INR","Period=FQ","BEST_FPERIOD_OVERRIDE=FQ","FILING_STATUS=OR","EQY_CONSOLIDATED=Y","FA_ADJUSTED=GAAP","Sort=A","Dates=H","DateFormat=P","Fill=—","Direction=H","UseDPDF=Y")</f>
        <v>#NAME?</v>
      </c>
      <c r="W540" s="2" t="e">
        <f ca="1">_xll.BDH($C$528,"EARN_FOR_COM_GROWTH","FQ2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540" s="2" t="e">
        <f ca="1">_xll.BDH($C$528,"DILUTED_EPS_AFT_XO_ITEMS_GROWTH","FQ2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540" s="2" t="e">
        <f ca="1">_xll.BDH($C$528,"DIVIDEND_PER_SHARE_1_YEAR_GROWTH","FQ2 2016","FQ2 2016","Currency=INR","Period=FQ","BEST_FPERIOD_OVERRIDE=FQ","FILING_STATUS=OR","EQY_CONSOLIDATED=Y","Sort=A","Dates=H","DateFormat=P","Fill=—","Direction=H","UseDPDF=Y")</f>
        <v>#NAME?</v>
      </c>
      <c r="Z540" s="2" t="e">
        <f ca="1">_xll.BDH($C$528,"ACCOUNTS_RECEIVABLE_GROWTH","FQ2 2016","FQ2 2016","Currency=INR","Period=FQ","BEST_FPERIOD_OVERRIDE=FQ","FILING_STATUS=OR","EQY_CONSOLIDATED=Y","Sort=A","Dates=H","DateFormat=P","Fill=—","Direction=H","UseDPDF=Y")</f>
        <v>#NAME?</v>
      </c>
      <c r="AA540" s="2" t="e">
        <f ca="1">_xll.BDH($C$528,"INVENTORY_GROWTH","FQ2 2016","FQ2 2016","Currency=INR","Period=FQ","BEST_FPERIOD_OVERRIDE=FQ","FILING_STATUS=OR","EQY_CONSOLIDATED=Y","Sort=A","Dates=H","DateFormat=P","Fill=—","Direction=H","UseDPDF=Y")</f>
        <v>#NAME?</v>
      </c>
      <c r="AB540" s="2" t="e">
        <f ca="1">_xll.BDH($C$528,"NET_FIXED_ASSETS_1_YEAR_GROWTH","FQ2 2016","FQ2 2016","Currency=INR","Period=FQ","BEST_FPERIOD_OVERRIDE=FQ","FILING_STATUS=OR","EQY_CONSOLIDATED=Y","Sort=A","Dates=H","DateFormat=P","Fill=—","Direction=H","UseDPDF=Y")</f>
        <v>#NAME?</v>
      </c>
      <c r="AC540" s="2" t="e">
        <f ca="1">_xll.BDH($C$528,"ASSET_GROWTH","FQ2 2016","FQ2 2016","Currency=INR","Period=FQ","BEST_FPERIOD_OVERRIDE=FQ","FILING_STATUS=OR","EQY_CONSOLIDATED=Y","Sort=A","Dates=H","DateFormat=P","Fill=—","Direction=H","UseDPDF=Y")</f>
        <v>#NAME?</v>
      </c>
      <c r="AD540" s="2" t="e">
        <f ca="1">_xll.BDH($C$528,"MODIFIED_WORK_CAP_GROWTH","FQ2 2016","FQ2 2016","Currency=INR","Period=FQ","BEST_FPERIOD_OVERRIDE=FQ","FILING_STATUS=OR","EQY_CONSOLIDATED=Y","Sort=A","Dates=H","DateFormat=P","Fill=—","Direction=H","UseDPDF=Y")</f>
        <v>#NAME?</v>
      </c>
      <c r="AE540" s="2" t="e">
        <f ca="1">_xll.BDH($C$528,"WORK_CAP_GROWTH","FQ2 2016","FQ2 2016","Currency=INR","Period=FQ","BEST_FPERIOD_OVERRIDE=FQ","FILING_STATUS=OR","EQY_CONSOLIDATED=Y","Sort=A","Dates=H","DateFormat=P","Fill=—","Direction=H","UseDPDF=Y")</f>
        <v>#NAME?</v>
      </c>
      <c r="AF540" s="2" t="e">
        <f ca="1">_xll.BDH($C$528,"ACCOUNTS_PAYABLE_GROWTH_1YR","FQ2 2016","FQ2 2016","Currency=INR","Period=FQ","BEST_FPERIOD_OVERRIDE=FQ","FILING_STATUS=OR","EQY_CONSOLIDATED=Y","Sort=A","Dates=H","DateFormat=P","Fill=—","Direction=H","UseDPDF=Y")</f>
        <v>#NAME?</v>
      </c>
      <c r="AG540" s="2" t="e">
        <f ca="1">_xll.BDH($C$528,"SHORT_TERM_DEBT_1_YEAR_GROWTH","FQ2 2016","FQ2 2016","Currency=INR","Period=FQ","BEST_FPERIOD_OVERRIDE=FQ","FILING_STATUS=OR","EQY_CONSOLIDATED=Y","Sort=A","Dates=H","DateFormat=P","Fill=—","Direction=H","UseDPDF=Y")</f>
        <v>#NAME?</v>
      </c>
      <c r="AH540" s="2" t="e">
        <f ca="1">_xll.BDH($C$528,"TOTAL_DEBT_1_YEAR_GROWTH","FQ2 2016","FQ2 2016","Currency=INR","Period=FQ","BEST_FPERIOD_OVERRIDE=FQ","FILING_STATUS=OR","EQY_CONSOLIDATED=Y","Sort=A","Dates=H","DateFormat=P","Fill=—","Direction=H","UseDPDF=Y")</f>
        <v>#NAME?</v>
      </c>
      <c r="AI540" s="2" t="e">
        <f ca="1">_xll.BDH($C$528,"TOTAL_EQUITY_1_YEAR_GROWTH","FQ2 2016","FQ2 2016","Currency=INR","Period=FQ","BEST_FPERIOD_OVERRIDE=FQ","FILING_STATUS=OR","EQY_CONSOLIDATED=Y","Sort=A","Dates=H","DateFormat=P","Fill=—","Direction=H","UseDPDF=Y")</f>
        <v>#NAME?</v>
      </c>
      <c r="AJ540" s="2" t="e">
        <f ca="1">_xll.BDH($C$528,"GROWTH_IN_CAP","FQ2 2016","FQ2 2016","Currency=INR","Period=FQ","BEST_FPERIOD_OVERRIDE=FQ","FILING_STATUS=OR","EQY_CONSOLIDATED=Y","Sort=A","Dates=H","DateFormat=P","Fill=—","Direction=H","UseDPDF=Y")</f>
        <v>#NAME?</v>
      </c>
      <c r="AK540" s="2" t="e">
        <f ca="1">_xll.BDH($C$528,"BVPS_GROWTH","FQ2 2016","FQ2 2016","Currency=INR","Period=FQ","BEST_FPERIOD_OVERRIDE=FQ","FILING_STATUS=OR","EQY_CONSOLIDATED=Y","Sort=A","Dates=H","DateFormat=P","Fill=—","Direction=H","UseDPDF=Y")</f>
        <v>#NAME?</v>
      </c>
      <c r="AL540" s="2" t="e">
        <f ca="1">_xll.BDH($C$528,"CASH_FLOW_GROWTH","FQ2 2016","FQ2 2016","Currency=INR","Period=FQ","BEST_FPERIOD_OVERRIDE=FQ","FILING_STATUS=OR","EQY_CONSOLIDATED=Y","Sort=A","Dates=H","DateFormat=P","Fill=—","Direction=H","UseDPDF=Y")</f>
        <v>#NAME?</v>
      </c>
      <c r="AM540" s="2" t="e">
        <f ca="1">_xll.BDH($C$528,"GEO_GROW_NET_SALES","FQ2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540" s="2" t="e">
        <f ca="1">_xll.BDH($C$528,"GEO_GROW_EBITDA","FQ2 2016","FQ2 2016","Currency=INR","Period=FQ","BEST_FPERIOD_OVERRIDE=FQ","FILING_STATUS=OR","EQY_CONSOLIDATED=Y","FA_ADJUSTED=GAAP","Sort=A","Dates=H","DateFormat=P","Fill=—","Direction=H","UseDPDF=Y")</f>
        <v>#NAME?</v>
      </c>
      <c r="AO540" s="2" t="e">
        <f ca="1">_xll.BDH($C$528,"GEO_GROW_OPER_INC","FQ2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540" s="2" t="e">
        <f ca="1">_xll.BDH($C$528,"NET_INCOME_TO_COMMON_5_YR_GROWTH","FQ2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540" s="2" t="e">
        <f ca="1">_xll.BDH($C$528,"5Y_GEO_GROWTH_DILUTED_EPS","FQ2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540" s="2" t="e">
        <f ca="1">_xll.BDH($C$528,"GEO_GROW_DVD_PER_SH","FQ2 2016","FQ2 2016","Currency=INR","Period=FQ","BEST_FPERIOD_OVERRIDE=FQ","FILING_STATUS=OR","EQY_CONSOLIDATED=Y","Sort=A","Dates=H","DateFormat=P","Fill=—","Direction=H","UseDPDF=Y")</f>
        <v>#NAME?</v>
      </c>
      <c r="AS540" s="2" t="e">
        <f ca="1">_xll.BDH($C$528,"ACCOUNTS_RECEIVABLE_5_YR_GROWTH","FQ2 2016","FQ2 2016","Currency=INR","Period=FQ","BEST_FPERIOD_OVERRIDE=FQ","FILING_STATUS=OR","EQY_CONSOLIDATED=Y","Sort=A","Dates=H","DateFormat=P","Fill=—","Direction=H","UseDPDF=Y")</f>
        <v>#NAME?</v>
      </c>
      <c r="AT540" s="2" t="e">
        <f ca="1">_xll.BDH($C$528,"INVENTORY_5_YEAR_GROWTH","FQ2 2016","FQ2 2016","Currency=INR","Period=FQ","BEST_FPERIOD_OVERRIDE=FQ","FILING_STATUS=OR","EQY_CONSOLIDATED=Y","Sort=A","Dates=H","DateFormat=P","Fill=—","Direction=H","UseDPDF=Y")</f>
        <v>#NAME?</v>
      </c>
      <c r="AU540" s="2" t="e">
        <f ca="1">_xll.BDH($C$528,"NET_FIXED_ASSETS_5_YEAR_GROWTH","FQ2 2016","FQ2 2016","Currency=INR","Period=FQ","BEST_FPERIOD_OVERRIDE=FQ","FILING_STATUS=OR","EQY_CONSOLIDATED=Y","Sort=A","Dates=H","DateFormat=P","Fill=—","Direction=H","UseDPDF=Y")</f>
        <v>#NAME?</v>
      </c>
      <c r="AV540" s="2" t="e">
        <f ca="1">_xll.BDH($C$528,"GEO_GROW_TOT_ASSET","FQ2 2016","FQ2 2016","Currency=INR","Period=FQ","BEST_FPERIOD_OVERRIDE=FQ","FILING_STATUS=OR","EQY_CONSOLIDATED=Y","Sort=A","Dates=H","DateFormat=P","Fill=—","Direction=H","UseDPDF=Y")</f>
        <v>#NAME?</v>
      </c>
      <c r="AW540" s="2" t="e">
        <f ca="1">_xll.BDH($C$528,"MODIFIED_WORKING_CPTL_5YR_GRWTH","FQ2 2016","FQ2 2016","Currency=INR","Period=FQ","BEST_FPERIOD_OVERRIDE=FQ","FILING_STATUS=OR","EQY_CONSOLIDATED=Y","Sort=A","Dates=H","DateFormat=P","Fill=—","Direction=H","UseDPDF=Y")</f>
        <v>#NAME?</v>
      </c>
      <c r="AX540" s="2" t="e">
        <f ca="1">_xll.BDH($C$528,"WORKING_CAPITAL_5_YEAR_GROWTH","FQ2 2016","FQ2 2016","Currency=INR","Period=FQ","BEST_FPERIOD_OVERRIDE=FQ","FILING_STATUS=OR","EQY_CONSOLIDATED=Y","Sort=A","Dates=H","DateFormat=P","Fill=—","Direction=H","UseDPDF=Y")</f>
        <v>#NAME?</v>
      </c>
      <c r="AY540" s="2" t="e">
        <f ca="1">_xll.BDH($C$528,"ACCOUNTS_PAYABLE_5_YEAR_GROWTH","FQ2 2016","FQ2 2016","Currency=INR","Period=FQ","BEST_FPERIOD_OVERRIDE=FQ","FILING_STATUS=OR","EQY_CONSOLIDATED=Y","Sort=A","Dates=H","DateFormat=P","Fill=—","Direction=H","UseDPDF=Y")</f>
        <v>#NAME?</v>
      </c>
      <c r="AZ540" s="2" t="e">
        <f ca="1">_xll.BDH($C$528,"SHORT_TERM_DEBT_5_YEAR_GROWTH","FQ2 2016","FQ2 2016","Currency=INR","Period=FQ","BEST_FPERIOD_OVERRIDE=FQ","FILING_STATUS=OR","EQY_CONSOLIDATED=Y","Sort=A","Dates=H","DateFormat=P","Fill=—","Direction=H","UseDPDF=Y")</f>
        <v>#NAME?</v>
      </c>
      <c r="BA540" s="2" t="e">
        <f ca="1">_xll.BDH($C$528,"TOTAL_DEBT_5_YEAR_GROWTH","FQ2 2016","FQ2 2016","Currency=INR","Period=FQ","BEST_FPERIOD_OVERRIDE=FQ","FILING_STATUS=OR","EQY_CONSOLIDATED=Y","Sort=A","Dates=H","DateFormat=P","Fill=—","Direction=H","UseDPDF=Y")</f>
        <v>#NAME?</v>
      </c>
      <c r="BB540" s="2" t="e">
        <f ca="1">_xll.BDH($C$528,"GEO_GROW_TOT_SHRHLDR_EQY","FQ2 2016","FQ2 2016","Currency=INR","Period=FQ","BEST_FPERIOD_OVERRIDE=FQ","FILING_STATUS=OR","EQY_CONSOLIDATED=Y","Sort=A","Dates=H","DateFormat=P","Fill=—","Direction=H","UseDPDF=Y")</f>
        <v>#NAME?</v>
      </c>
      <c r="BC540" s="2" t="e">
        <f ca="1">_xll.BDH($C$528,"TOTAL_CAPITAL_5_YEAR_GROWTH","FQ2 2016","FQ2 2016","Currency=INR","Period=FQ","BEST_FPERIOD_OVERRIDE=FQ","FILING_STATUS=OR","EQY_CONSOLIDATED=Y","Sort=A","Dates=H","DateFormat=P","Fill=—","Direction=H","UseDPDF=Y")</f>
        <v>#NAME?</v>
      </c>
      <c r="BD540" s="2" t="e">
        <f ca="1">_xll.BDH($C$528,"GEO_GROW_BOOK_VAL","FQ2 2016","FQ2 2016","Currency=INR","Period=FQ","BEST_FPERIOD_OVERRIDE=FQ","FILING_STATUS=OR","EQY_CONSOLIDATED=Y","Sort=A","Dates=H","DateFormat=P","Fill=—","Direction=H","UseDPDF=Y")</f>
        <v>#NAME?</v>
      </c>
      <c r="BE540" s="2" t="e">
        <f ca="1">_xll.BDH($C$528,"GEO_GROW_CASH_OPER_ACT","FQ2 2016","FQ2 2016","Currency=INR","Period=FQ","BEST_FPERIOD_OVERRIDE=FQ","FILING_STATUS=OR","EQY_CONSOLIDATED=Y","Sort=A","Dates=H","DateFormat=P","Fill=—","Direction=H","UseDPDF=Y")</f>
        <v>#NAME?</v>
      </c>
      <c r="BF540" s="2" t="e">
        <f ca="1">_xll.BDH($C$528,"REVENUE_SEQUENTIAL_GROWTH","FQ2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540" s="2" t="e">
        <f ca="1">_xll.BDH($C$528,"EBITDA_SEQUENTIAL_GROWTH","FQ2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540" s="2" t="e">
        <f ca="1">_xll.BDH($C$528,"OPERATING_INCOME_SEQ_GROWTH","FQ2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540" s="2" t="e">
        <f ca="1">_xll.BDH($C$528,"NET_INCOME_TO_COMMON_SEQ_GROWTH","FQ2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540" s="2" t="e">
        <f ca="1">_xll.BDH($C$528,"EPS_DILUTED_SEQUENTIAL_GROWTH","FQ2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540" s="2" t="e">
        <f ca="1">_xll.BDH($C$528,"DPS_SEQUENTIAL_GROWTH","FQ2 2016","FQ2 2016","Currency=INR","Period=FQ","BEST_FPERIOD_OVERRIDE=FQ","FILING_STATUS=OR","EQY_CONSOLIDATED=Y","Sort=A","Dates=H","DateFormat=P","Fill=—","Direction=H","UseDPDF=Y")</f>
        <v>#NAME?</v>
      </c>
      <c r="BL540" s="2" t="e">
        <f ca="1">_xll.BDH($C$528,"ACCOUNTS_RECEIVABLE_SEQ_GROWTH","FQ2 2016","FQ2 2016","Currency=INR","Period=FQ","BEST_FPERIOD_OVERRIDE=FQ","FILING_STATUS=OR","EQY_CONSOLIDATED=Y","Sort=A","Dates=H","DateFormat=P","Fill=—","Direction=H","UseDPDF=Y")</f>
        <v>#NAME?</v>
      </c>
      <c r="BM540" s="2" t="e">
        <f ca="1">_xll.BDH($C$528,"INVENTORY_SEQUENTIAL_GROWTH","FQ2 2016","FQ2 2016","Currency=INR","Period=FQ","BEST_FPERIOD_OVERRIDE=FQ","FILING_STATUS=OR","EQY_CONSOLIDATED=Y","Sort=A","Dates=H","DateFormat=P","Fill=—","Direction=H","UseDPDF=Y")</f>
        <v>#NAME?</v>
      </c>
      <c r="BN540" s="2" t="e">
        <f ca="1">_xll.BDH($C$528,"FIXED_ASSETS_SEQUENTIAL_GROWTH","FQ2 2016","FQ2 2016","Currency=INR","Period=FQ","BEST_FPERIOD_OVERRIDE=FQ","FILING_STATUS=OR","EQY_CONSOLIDATED=Y","Sort=A","Dates=H","DateFormat=P","Fill=—","Direction=H","UseDPDF=Y")</f>
        <v>#NAME?</v>
      </c>
      <c r="BO540" s="2" t="e">
        <f ca="1">_xll.BDH($C$528,"TOTAL_ASSETS_SEQUENTIAL_GROWTH","FQ2 2016","FQ2 2016","Currency=INR","Period=FQ","BEST_FPERIOD_OVERRIDE=FQ","FILING_STATUS=OR","EQY_CONSOLIDATED=Y","Sort=A","Dates=H","DateFormat=P","Fill=—","Direction=H","UseDPDF=Y")</f>
        <v>#NAME?</v>
      </c>
      <c r="BP540" s="2" t="e">
        <f ca="1">_xll.BDH($C$528,"MODIFIED_WORKING_CPTL_SEQ_GRWTH","FQ2 2016","FQ2 2016","Currency=INR","Period=FQ","BEST_FPERIOD_OVERRIDE=FQ","FILING_STATUS=OR","EQY_CONSOLIDATED=Y","Sort=A","Dates=H","DateFormat=P","Fill=—","Direction=H","UseDPDF=Y")</f>
        <v>#NAME?</v>
      </c>
      <c r="BQ540" s="2" t="e">
        <f ca="1">_xll.BDH($C$528,"WORKING_CAPITAL_SEQ_GROWTH","FQ2 2016","FQ2 2016","Currency=INR","Period=FQ","BEST_FPERIOD_OVERRIDE=FQ","FILING_STATUS=OR","EQY_CONSOLIDATED=Y","Sort=A","Dates=H","DateFormat=P","Fill=—","Direction=H","UseDPDF=Y")</f>
        <v>#NAME?</v>
      </c>
      <c r="BR540" s="2" t="e">
        <f ca="1">_xll.BDH($C$528,"ACCOUNTS_PAYABLE_SEQ_GROWTH","FQ2 2016","FQ2 2016","Currency=INR","Period=FQ","BEST_FPERIOD_OVERRIDE=FQ","FILING_STATUS=OR","EQY_CONSOLIDATED=Y","Sort=A","Dates=H","DateFormat=P","Fill=—","Direction=H","UseDPDF=Y")</f>
        <v>#NAME?</v>
      </c>
      <c r="BS540" s="2" t="e">
        <f ca="1">_xll.BDH($C$528,"ST_DEBT_SEQUENTIAL_GROWTH","FQ2 2016","FQ2 2016","Currency=INR","Period=FQ","BEST_FPERIOD_OVERRIDE=FQ","FILING_STATUS=OR","EQY_CONSOLIDATED=Y","Sort=A","Dates=H","DateFormat=P","Fill=—","Direction=H","UseDPDF=Y")</f>
        <v>#NAME?</v>
      </c>
      <c r="BT540" s="2" t="e">
        <f ca="1">_xll.BDH($C$528,"TOTAL_DEBT_SEQUENTIAL_GROWTH","FQ2 2016","FQ2 2016","Currency=INR","Period=FQ","BEST_FPERIOD_OVERRIDE=FQ","FILING_STATUS=OR","EQY_CONSOLIDATED=Y","Sort=A","Dates=H","DateFormat=P","Fill=—","Direction=H","UseDPDF=Y")</f>
        <v>#NAME?</v>
      </c>
      <c r="BU540" s="2" t="e">
        <f ca="1">_xll.BDH($C$528,"TOTAL_EQUITY_SEQUENTIAL_GROWTH","FQ2 2016","FQ2 2016","Currency=INR","Period=FQ","BEST_FPERIOD_OVERRIDE=FQ","FILING_STATUS=OR","EQY_CONSOLIDATED=Y","Sort=A","Dates=H","DateFormat=P","Fill=—","Direction=H","UseDPDF=Y")</f>
        <v>#NAME?</v>
      </c>
      <c r="BV540" s="2" t="e">
        <f ca="1">_xll.BDH($C$528,"TOTAL_CAPITAL_SEQUENTIAL_GROWTH","FQ2 2016","FQ2 2016","Currency=INR","Period=FQ","BEST_FPERIOD_OVERRIDE=FQ","FILING_STATUS=OR","EQY_CONSOLIDATED=Y","Sort=A","Dates=H","DateFormat=P","Fill=—","Direction=H","UseDPDF=Y")</f>
        <v>#NAME?</v>
      </c>
      <c r="BW540" s="2" t="e">
        <f ca="1">_xll.BDH($C$528,"BPS_SEQUENTIAL_GROWTH","FQ2 2016","FQ2 2016","Currency=INR","Period=FQ","BEST_FPERIOD_OVERRIDE=FQ","FILING_STATUS=OR","EQY_CONSOLIDATED=Y","Sort=A","Dates=H","DateFormat=P","Fill=—","Direction=H","UseDPDF=Y")</f>
        <v>#NAME?</v>
      </c>
      <c r="BX540" s="2" t="e">
        <f ca="1">_xll.BDH($C$528,"CFO_SEQUENTIAL_GROWTH","FQ2 2016","FQ2 2016","Currency=INR","Period=FQ","BEST_FPERIOD_OVERRIDE=FQ","FILING_STATUS=OR","EQY_CONSOLIDATED=Y","Sort=A","Dates=H","DateFormat=P","Fill=—","Direction=H","UseDPDF=Y")</f>
        <v>#NAME?</v>
      </c>
      <c r="BY540" s="3" t="e">
        <f ca="1">_xll.BDH($C$528,"SHORT_AND_LONG_TERM_DEBT","FQ2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540" s="3" t="e">
        <f ca="1">_xll.BDH($C$528,"BS_ST_BORROW","FQ2 2016","FQ2 2016","Currency=INR","Period=FQ","BEST_FPERIOD_OVERRIDE=FQ","FILING_STATUS=OR","EQY_CONSOLIDATED=Y","SCALING_FORMAT=MLN","Sort=A","Dates=H","DateFormat=P","Fill=—","Direction=H","UseDPDF=Y")</f>
        <v>#NAME?</v>
      </c>
      <c r="CA540" s="3" t="e">
        <f ca="1">_xll.BDH($C$528,"BS_LT_BORROW","FQ2 2016","FQ2 2016","Currency=INR","Period=FQ","BEST_FPERIOD_OVERRIDE=FQ","FILING_STATUS=OR","EQY_CONSOLIDATED=Y","SCALING_FORMAT=MLN","Sort=A","Dates=H","DateFormat=P","Fill=—","Direction=H","UseDPDF=Y")</f>
        <v>#NAME?</v>
      </c>
      <c r="CB540" s="2" t="e">
        <f ca="1">_xll.BDH($C$528,"TOT_DEBT_TO_EBITDA","FQ2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540" s="2" t="e">
        <f ca="1">_xll.BDH($C$528,"NET_DEBT_TO_EBITDA","FQ2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540" s="2" t="e">
        <f ca="1">_xll.BDH($C$528,"TOTAL_DEBT_TO_EBIT","FQ2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540" s="2" t="e">
        <f ca="1">_xll.BDH($C$528,"NET_DEBT_TO_EBIT","FQ2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540" s="2" t="e">
        <f ca="1">_xll.BDH($C$528,"EBITDA_TO_INTEREST_EXPN","FQ2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540" s="2" t="e">
        <f ca="1">_xll.BDH($C$528,"COM_EQY_TO_TOT_ASSET","FQ2 2016","FQ2 2016","Currency=INR","Period=FQ","BEST_FPERIOD_OVERRIDE=FQ","FILING_STATUS=OR","EQY_CONSOLIDATED=Y","Sort=A","Dates=H","DateFormat=P","Fill=—","Direction=H","UseDPDF=Y")</f>
        <v>#NAME?</v>
      </c>
      <c r="CH540" s="2" t="e">
        <f ca="1">_xll.BDH($C$528,"LT_DEBT_TO_TOT_EQY","FQ2 2016","FQ2 2016","Currency=INR","Period=FQ","BEST_FPERIOD_OVERRIDE=FQ","FILING_STATUS=OR","EQY_CONSOLIDATED=Y","Sort=A","Dates=H","DateFormat=P","Fill=—","Direction=H","UseDPDF=Y")</f>
        <v>#NAME?</v>
      </c>
      <c r="CI540" s="2" t="e">
        <f ca="1">_xll.BDH($C$528,"LT_DEBT_TO_TOT_CAP","FQ2 2016","FQ2 2016","Currency=INR","Period=FQ","BEST_FPERIOD_OVERRIDE=FQ","FILING_STATUS=OR","EQY_CONSOLIDATED=Y","Sort=A","Dates=H","DateFormat=P","Fill=—","Direction=H","UseDPDF=Y")</f>
        <v>#NAME?</v>
      </c>
      <c r="CJ540" s="2" t="e">
        <f ca="1">_xll.BDH($C$528,"LT_DEBT_TO_TOT_ASSET","FQ2 2016","FQ2 2016","Currency=INR","Period=FQ","BEST_FPERIOD_OVERRIDE=FQ","FILING_STATUS=OR","EQY_CONSOLIDATED=Y","Sort=A","Dates=H","DateFormat=P","Fill=—","Direction=H","UseDPDF=Y")</f>
        <v>#NAME?</v>
      </c>
      <c r="CK540" s="2" t="e">
        <f ca="1">_xll.BDH($C$528,"TOT_DEBT_TO_TOT_EQY","FQ2 2016","FQ2 2016","Currency=INR","Period=FQ","BEST_FPERIOD_OVERRIDE=FQ","FILING_STATUS=OR","EQY_CONSOLIDATED=Y","Sort=A","Dates=H","DateFormat=P","Fill=—","Direction=H","UseDPDF=Y")</f>
        <v>#NAME?</v>
      </c>
      <c r="CL540" s="2" t="e">
        <f ca="1">_xll.BDH($C$528,"TOT_DEBT_TO_TOT_CAP","FQ2 2016","FQ2 2016","Currency=INR","Period=FQ","BEST_FPERIOD_OVERRIDE=FQ","FILING_STATUS=OR","EQY_CONSOLIDATED=Y","Sort=A","Dates=H","DateFormat=P","Fill=—","Direction=H","UseDPDF=Y")</f>
        <v>#NAME?</v>
      </c>
      <c r="CM540" s="2" t="e">
        <f ca="1">_xll.BDH($C$528,"TOT_DEBT_TO_TOT_ASSET","FQ2 2016","FQ2 2016","Currency=INR","Period=FQ","BEST_FPERIOD_OVERRIDE=FQ","FILING_STATUS=OR","EQY_CONSOLIDATED=Y","Sort=A","Dates=H","DateFormat=P","Fill=—","Direction=H","UseDPDF=Y")</f>
        <v>#NAME?</v>
      </c>
      <c r="CN540" s="2" t="e">
        <f ca="1">_xll.BDH($C$528,"NET_DEBT_TO_SHRHLDR_EQTY","FQ2 2016","FQ2 2016","Currency=INR","Period=FQ","BEST_FPERIOD_OVERRIDE=FQ","FILING_STATUS=OR","EQY_CONSOLIDATED=Y","Sort=A","Dates=H","DateFormat=P","Fill=—","Direction=H","UseDPDF=Y")</f>
        <v>#NAME?</v>
      </c>
      <c r="CO540" s="2" t="e">
        <f ca="1">_xll.BDH($C$528,"NET_DEBT_%_CAPITAL","FQ2 2016","FQ2 2016","Currency=INR","Period=FQ","BEST_FPERIOD_OVERRIDE=FQ","FILING_STATUS=OR","EQY_CONSOLIDATED=Y","Sort=A","Dates=H","DateFormat=P","Fill=—","Direction=H","UseDPDF=Y")</f>
        <v>#NAME?</v>
      </c>
      <c r="CP540" s="3" t="e">
        <f ca="1">_xll.BDH($C$528,"EBITDA","FQ2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540" s="3" t="e">
        <f ca="1">_xll.BDH($C$528,"EBITDA_AFTER_CAPEX","FQ2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540" s="3" t="e">
        <f ca="1">_xll.BDH($C$528,"IS_OPER_INC","FQ2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540" s="2" t="e">
        <f ca="1">_xll.BDH($C$528,"CASH_RATIO","FQ2 2016","FQ2 2016","Currency=INR","Period=FQ","BEST_FPERIOD_OVERRIDE=FQ","FILING_STATUS=OR","EQY_CONSOLIDATED=Y","Sort=A","Dates=H","DateFormat=P","Fill=—","Direction=H","UseDPDF=Y")</f>
        <v>#NAME?</v>
      </c>
      <c r="CT540" s="2" t="e">
        <f ca="1">_xll.BDH($C$528,"CUR_RATIO","FQ2 2016","FQ2 2016","Currency=INR","Period=FQ","BEST_FPERIOD_OVERRIDE=FQ","FILING_STATUS=OR","EQY_CONSOLIDATED=Y","Sort=A","Dates=H","DateFormat=P","Fill=—","Direction=H","UseDPDF=Y")</f>
        <v>#NAME?</v>
      </c>
      <c r="CU540" s="2" t="e">
        <f ca="1">_xll.BDH($C$528,"QUICK_RATIO","FQ2 2016","FQ2 2016","Currency=INR","Period=FQ","BEST_FPERIOD_OVERRIDE=FQ","FILING_STATUS=OR","EQY_CONSOLIDATED=Y","Sort=A","Dates=H","DateFormat=P","Fill=—","Direction=H","UseDPDF=Y")</f>
        <v>#NAME?</v>
      </c>
      <c r="CV540" s="2" t="e">
        <f ca="1">_xll.BDH($C$528,"ALTMAN_Z_SCORE","FQ2 2016","FQ2 2016","Currency=INR","Period=FQ","BEST_FPERIOD_OVERRIDE=FQ","FILING_STATUS=OR","EQY_CONSOLIDATED=Y","Sort=A","Dates=H","DateFormat=P","Fill=—","Direction=H","UseDPDF=Y")</f>
        <v>#NAME?</v>
      </c>
      <c r="CW540" s="4" t="e">
        <f ca="1">_xll.BDH($C$528,"ACCT_RCV_TURN","FQ2 2016","FQ2 2016","Currency=INR","Period=FQ","BEST_FPERIOD_OVERRIDE=FQ","FILING_STATUS=OR","EQY_CONSOLIDATED=Y","FA_ADJUSTED=GAAP","Sort=A","Dates=H","DateFormat=P","Fill=—","Direction=H","UseDPDF=Y")</f>
        <v>#NAME?</v>
      </c>
      <c r="CX540" s="2" t="e">
        <f ca="1">_xll.BDH($C$528,"ACCT_RCV_DAYS","FQ2 2016","FQ2 2016","Currency=INR","Period=FQ","BEST_FPERIOD_OVERRIDE=FQ","FILING_STATUS=OR","EQY_CONSOLIDATED=Y","FA_ADJUSTED=GAAP","Sort=A","Dates=H","DateFormat=P","Fill=—","Direction=H","UseDPDF=Y")</f>
        <v>#NAME?</v>
      </c>
      <c r="CY540" s="4" t="e">
        <f ca="1">_xll.BDH($C$528,"INVENT_TURN","FQ2 2016","FQ2 2016","Currency=INR","Period=FQ","BEST_FPERIOD_OVERRIDE=FQ","FILING_STATUS=OR","EQY_CONSOLIDATED=Y","FA_ADJUSTED=GAAP","Sort=A","Dates=H","DateFormat=P","Fill=—","Direction=H","UseDPDF=Y")</f>
        <v>#NAME?</v>
      </c>
      <c r="CZ540" s="2" t="e">
        <f ca="1">_xll.BDH($C$528,"INVENT_DAYS","FQ2 2016","FQ2 2016","Currency=INR","Period=FQ","BEST_FPERIOD_OVERRIDE=FQ","FILING_STATUS=OR","EQY_CONSOLIDATED=Y","FA_ADJUSTED=GAAP","Sort=A","Dates=H","DateFormat=P","Fill=—","Direction=H","UseDPDF=Y")</f>
        <v>#NAME?</v>
      </c>
      <c r="DA540" s="4" t="e">
        <f ca="1">_xll.BDH($C$528,"ACCOUNTS_PAYABLE_TURNOVER","FQ2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540" s="2" t="e">
        <f ca="1">_xll.BDH($C$528,"ACCOUNTS_PAYABLE_TURNOVER_DAYS","FQ2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540" s="4" t="e">
        <f ca="1">_xll.BDH($C$528,"CASH_CONVERSION_CYCLE","FQ2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540" s="4" t="e">
        <f ca="1">_xll.BDH($C$528,"INV_TO_CASH_DAYS","FQ2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540" s="5" t="e">
        <f ca="1">_xll.BDH($C$528,"BS_INVENTORIES","FQ2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540" s="3" t="e">
        <f ca="1">_xll.BDH($C$528,"INVTRY_RAW_MATERIALS","FQ2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540" s="3" t="e">
        <f ca="1">_xll.BDH($C$528,"INVTRY_IN_PROGRESS","FQ2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540" s="3" t="e">
        <f ca="1">_xll.BDH($C$528,"INVTRY_FINISHED_GOODS","FQ2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540" s="3" t="e">
        <f ca="1">_xll.BDH($C$528,"BS_OTHER_INV","FQ2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541" spans="1:113" x14ac:dyDescent="0.3">
      <c r="A541" s="6"/>
      <c r="B541" s="6"/>
      <c r="C541" s="6"/>
      <c r="D541" s="6"/>
      <c r="E541" t="s">
        <v>80</v>
      </c>
      <c r="F541" t="e">
        <f ca="1">_xll.BDH($C$528,"RETURN_COM_EQY","FQ3 2016","FQ3 2016","Currency=INR","Period=FQ","BEST_FPERIOD_OVERRIDE=FQ","FILING_STATUS=OR","EQY_CONSOLIDATED=Y","FA_ADJUSTED=GAAP","Sort=A","Dates=H","DateFormat=P","Fill=—","Direction=H","UseDPDF=Y")</f>
        <v>#NAME?</v>
      </c>
      <c r="G541" t="e">
        <f ca="1">_xll.BDH($C$528,"RETURN_ON_ASSET","FQ3 2016","FQ3 2016","Currency=INR","Period=FQ","BEST_FPERIOD_OVERRIDE=FQ","FILING_STATUS=OR","EQY_CONSOLIDATED=Y","FA_ADJUSTED=GAAP","Sort=A","Dates=H","DateFormat=P","Fill=—","Direction=H","UseDPDF=Y")</f>
        <v>#NAME?</v>
      </c>
      <c r="H541" t="e">
        <f ca="1">_xll.BDH($C$528,"RETURN_ON_CAP","FQ3 2016","FQ3 2016","Currency=INR","Period=FQ","BEST_FPERIOD_OVERRIDE=FQ","FILING_STATUS=OR","EQY_CONSOLIDATED=Y","FA_ADJUSTED=GAAP","Sort=A","Dates=H","DateFormat=P","Fill=—","Direction=H","UseDPDF=Y")</f>
        <v>#NAME?</v>
      </c>
      <c r="I541" t="e">
        <f ca="1">_xll.BDH($C$528,"RETURN_ON_INV_CAPITAL","FQ3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541" t="e">
        <f ca="1">_xll.BDH($C$528,"EBITDA_TO_REVENUE","FQ3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541" t="e">
        <f ca="1">_xll.BDH($C$528,"OPER_MARGIN","FQ3 2016","FQ3 2016","Currency=INR","Period=FQ","BEST_FPERIOD_OVERRIDE=FQ","FILING_STATUS=OR","EQY_CONSOLIDATED=Y","FA_ADJUSTED=GAAP","Sort=A","Dates=H","DateFormat=P","Fill=—","Direction=H","UseDPDF=Y")</f>
        <v>#NAME?</v>
      </c>
      <c r="L541" t="e">
        <f ca="1">_xll.BDH($C$528,"INCREMENTAL_OPERATING_MARGIN","FQ3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541" t="e">
        <f ca="1">_xll.BDH($C$528,"PRETAX_INC_TO_NET_SALES","FQ3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541" t="e">
        <f ca="1">_xll.BDH($C$528,"INC_BEF_XO_ITEMS_TO_NET_SALES","FQ3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541" t="e">
        <f ca="1">_xll.BDH($C$528,"PROF_MARGIN","FQ3 2016","FQ3 2016","Currency=INR","Period=FQ","BEST_FPERIOD_OVERRIDE=FQ","FILING_STATUS=OR","EQY_CONSOLIDATED=Y","FA_ADJUSTED=GAAP","Sort=A","Dates=H","DateFormat=P","Fill=—","Direction=H","UseDPDF=Y")</f>
        <v>#NAME?</v>
      </c>
      <c r="P541" t="e">
        <f ca="1">_xll.BDH($C$528,"NET_INCOME_TO_COMMON_MARGIN","FQ3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541" t="e">
        <f ca="1">_xll.BDH($C$528,"EFF_TAX_RATE","FQ3 2016","FQ3 2016","Currency=INR","Period=FQ","BEST_FPERIOD_OVERRIDE=FQ","FILING_STATUS=OR","EQY_CONSOLIDATED=Y","FA_ADJUSTED=GAAP","Sort=A","Dates=H","DateFormat=P","Fill=—","Direction=H","UseDPDF=Y")</f>
        <v>#NAME?</v>
      </c>
      <c r="R541" t="e">
        <f ca="1">_xll.BDH($C$528,"DVD_PAYOUT_RATIO","FQ3 2016","FQ3 2016","Currency=INR","Period=FQ","BEST_FPERIOD_OVERRIDE=FQ","FILING_STATUS=OR","EQY_CONSOLIDATED=Y","FA_ADJUSTED=GAAP","Sort=A","Dates=H","DateFormat=P","Fill=—","Direction=H","UseDPDF=Y")</f>
        <v>#NAME?</v>
      </c>
      <c r="S541" t="e">
        <f ca="1">_xll.BDH($C$528,"SUSTAIN_GROWTH_RT","FQ3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541" s="2" t="e">
        <f ca="1">_xll.BDH($C$528,"SALES_GROWTH","FQ3 2016","FQ3 2016","Currency=INR","Period=FQ","BEST_FPERIOD_OVERRIDE=FQ","FILING_STATUS=OR","EQY_CONSOLIDATED=Y","FA_ADJUSTED=GAAP","Sort=A","Dates=H","DateFormat=P","Fill=—","Direction=H","UseDPDF=Y")</f>
        <v>#NAME?</v>
      </c>
      <c r="U541" s="2" t="e">
        <f ca="1">_xll.BDH($C$528,"EBITDA_GROWTH","FQ3 2016","FQ3 2016","Currency=INR","Period=FQ","BEST_FPERIOD_OVERRIDE=FQ","FILING_STATUS=OR","EQY_CONSOLIDATED=Y","FA_ADJUSTED=GAAP","Sort=A","Dates=H","DateFormat=P","Fill=—","Direction=H","UseDPDF=Y")</f>
        <v>#NAME?</v>
      </c>
      <c r="V541" s="2" t="e">
        <f ca="1">_xll.BDH($C$528,"OPER_INC_GROWTH","FQ3 2016","FQ3 2016","Currency=INR","Period=FQ","BEST_FPERIOD_OVERRIDE=FQ","FILING_STATUS=OR","EQY_CONSOLIDATED=Y","FA_ADJUSTED=GAAP","Sort=A","Dates=H","DateFormat=P","Fill=—","Direction=H","UseDPDF=Y")</f>
        <v>#NAME?</v>
      </c>
      <c r="W541" s="2" t="e">
        <f ca="1">_xll.BDH($C$528,"EARN_FOR_COM_GROWTH","FQ3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541" s="2" t="e">
        <f ca="1">_xll.BDH($C$528,"DILUTED_EPS_AFT_XO_ITEMS_GROWTH","FQ3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541" s="2" t="e">
        <f ca="1">_xll.BDH($C$528,"DIVIDEND_PER_SHARE_1_YEAR_GROWTH","FQ3 2016","FQ3 2016","Currency=INR","Period=FQ","BEST_FPERIOD_OVERRIDE=FQ","FILING_STATUS=OR","EQY_CONSOLIDATED=Y","Sort=A","Dates=H","DateFormat=P","Fill=—","Direction=H","UseDPDF=Y")</f>
        <v>#NAME?</v>
      </c>
      <c r="Z541" s="2" t="e">
        <f ca="1">_xll.BDH($C$528,"ACCOUNTS_RECEIVABLE_GROWTH","FQ3 2016","FQ3 2016","Currency=INR","Period=FQ","BEST_FPERIOD_OVERRIDE=FQ","FILING_STATUS=OR","EQY_CONSOLIDATED=Y","Sort=A","Dates=H","DateFormat=P","Fill=—","Direction=H","UseDPDF=Y")</f>
        <v>#NAME?</v>
      </c>
      <c r="AA541" s="2" t="e">
        <f ca="1">_xll.BDH($C$528,"INVENTORY_GROWTH","FQ3 2016","FQ3 2016","Currency=INR","Period=FQ","BEST_FPERIOD_OVERRIDE=FQ","FILING_STATUS=OR","EQY_CONSOLIDATED=Y","Sort=A","Dates=H","DateFormat=P","Fill=—","Direction=H","UseDPDF=Y")</f>
        <v>#NAME?</v>
      </c>
      <c r="AB541" s="2" t="e">
        <f ca="1">_xll.BDH($C$528,"NET_FIXED_ASSETS_1_YEAR_GROWTH","FQ3 2016","FQ3 2016","Currency=INR","Period=FQ","BEST_FPERIOD_OVERRIDE=FQ","FILING_STATUS=OR","EQY_CONSOLIDATED=Y","Sort=A","Dates=H","DateFormat=P","Fill=—","Direction=H","UseDPDF=Y")</f>
        <v>#NAME?</v>
      </c>
      <c r="AC541" s="2" t="e">
        <f ca="1">_xll.BDH($C$528,"ASSET_GROWTH","FQ3 2016","FQ3 2016","Currency=INR","Period=FQ","BEST_FPERIOD_OVERRIDE=FQ","FILING_STATUS=OR","EQY_CONSOLIDATED=Y","Sort=A","Dates=H","DateFormat=P","Fill=—","Direction=H","UseDPDF=Y")</f>
        <v>#NAME?</v>
      </c>
      <c r="AD541" s="2" t="e">
        <f ca="1">_xll.BDH($C$528,"MODIFIED_WORK_CAP_GROWTH","FQ3 2016","FQ3 2016","Currency=INR","Period=FQ","BEST_FPERIOD_OVERRIDE=FQ","FILING_STATUS=OR","EQY_CONSOLIDATED=Y","Sort=A","Dates=H","DateFormat=P","Fill=—","Direction=H","UseDPDF=Y")</f>
        <v>#NAME?</v>
      </c>
      <c r="AE541" s="2" t="e">
        <f ca="1">_xll.BDH($C$528,"WORK_CAP_GROWTH","FQ3 2016","FQ3 2016","Currency=INR","Period=FQ","BEST_FPERIOD_OVERRIDE=FQ","FILING_STATUS=OR","EQY_CONSOLIDATED=Y","Sort=A","Dates=H","DateFormat=P","Fill=—","Direction=H","UseDPDF=Y")</f>
        <v>#NAME?</v>
      </c>
      <c r="AF541" s="2" t="e">
        <f ca="1">_xll.BDH($C$528,"ACCOUNTS_PAYABLE_GROWTH_1YR","FQ3 2016","FQ3 2016","Currency=INR","Period=FQ","BEST_FPERIOD_OVERRIDE=FQ","FILING_STATUS=OR","EQY_CONSOLIDATED=Y","Sort=A","Dates=H","DateFormat=P","Fill=—","Direction=H","UseDPDF=Y")</f>
        <v>#NAME?</v>
      </c>
      <c r="AG541" s="2" t="e">
        <f ca="1">_xll.BDH($C$528,"SHORT_TERM_DEBT_1_YEAR_GROWTH","FQ3 2016","FQ3 2016","Currency=INR","Period=FQ","BEST_FPERIOD_OVERRIDE=FQ","FILING_STATUS=OR","EQY_CONSOLIDATED=Y","Sort=A","Dates=H","DateFormat=P","Fill=—","Direction=H","UseDPDF=Y")</f>
        <v>#NAME?</v>
      </c>
      <c r="AH541" s="2" t="e">
        <f ca="1">_xll.BDH($C$528,"TOTAL_DEBT_1_YEAR_GROWTH","FQ3 2016","FQ3 2016","Currency=INR","Period=FQ","BEST_FPERIOD_OVERRIDE=FQ","FILING_STATUS=OR","EQY_CONSOLIDATED=Y","Sort=A","Dates=H","DateFormat=P","Fill=—","Direction=H","UseDPDF=Y")</f>
        <v>#NAME?</v>
      </c>
      <c r="AI541" s="2" t="e">
        <f ca="1">_xll.BDH($C$528,"TOTAL_EQUITY_1_YEAR_GROWTH","FQ3 2016","FQ3 2016","Currency=INR","Period=FQ","BEST_FPERIOD_OVERRIDE=FQ","FILING_STATUS=OR","EQY_CONSOLIDATED=Y","Sort=A","Dates=H","DateFormat=P","Fill=—","Direction=H","UseDPDF=Y")</f>
        <v>#NAME?</v>
      </c>
      <c r="AJ541" s="2" t="e">
        <f ca="1">_xll.BDH($C$528,"GROWTH_IN_CAP","FQ3 2016","FQ3 2016","Currency=INR","Period=FQ","BEST_FPERIOD_OVERRIDE=FQ","FILING_STATUS=OR","EQY_CONSOLIDATED=Y","Sort=A","Dates=H","DateFormat=P","Fill=—","Direction=H","UseDPDF=Y")</f>
        <v>#NAME?</v>
      </c>
      <c r="AK541" s="2" t="e">
        <f ca="1">_xll.BDH($C$528,"BVPS_GROWTH","FQ3 2016","FQ3 2016","Currency=INR","Period=FQ","BEST_FPERIOD_OVERRIDE=FQ","FILING_STATUS=OR","EQY_CONSOLIDATED=Y","Sort=A","Dates=H","DateFormat=P","Fill=—","Direction=H","UseDPDF=Y")</f>
        <v>#NAME?</v>
      </c>
      <c r="AL541" s="2" t="e">
        <f ca="1">_xll.BDH($C$528,"CASH_FLOW_GROWTH","FQ3 2016","FQ3 2016","Currency=INR","Period=FQ","BEST_FPERIOD_OVERRIDE=FQ","FILING_STATUS=OR","EQY_CONSOLIDATED=Y","Sort=A","Dates=H","DateFormat=P","Fill=—","Direction=H","UseDPDF=Y")</f>
        <v>#NAME?</v>
      </c>
      <c r="AM541" s="2" t="e">
        <f ca="1">_xll.BDH($C$528,"GEO_GROW_NET_SALES","FQ3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541" s="2" t="e">
        <f ca="1">_xll.BDH($C$528,"GEO_GROW_EBITDA","FQ3 2016","FQ3 2016","Currency=INR","Period=FQ","BEST_FPERIOD_OVERRIDE=FQ","FILING_STATUS=OR","EQY_CONSOLIDATED=Y","FA_ADJUSTED=GAAP","Sort=A","Dates=H","DateFormat=P","Fill=—","Direction=H","UseDPDF=Y")</f>
        <v>#NAME?</v>
      </c>
      <c r="AO541" s="2" t="e">
        <f ca="1">_xll.BDH($C$528,"GEO_GROW_OPER_INC","FQ3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541" s="2" t="e">
        <f ca="1">_xll.BDH($C$528,"NET_INCOME_TO_COMMON_5_YR_GROWTH","FQ3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541" s="2" t="e">
        <f ca="1">_xll.BDH($C$528,"5Y_GEO_GROWTH_DILUTED_EPS","FQ3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541" s="2" t="e">
        <f ca="1">_xll.BDH($C$528,"GEO_GROW_DVD_PER_SH","FQ3 2016","FQ3 2016","Currency=INR","Period=FQ","BEST_FPERIOD_OVERRIDE=FQ","FILING_STATUS=OR","EQY_CONSOLIDATED=Y","Sort=A","Dates=H","DateFormat=P","Fill=—","Direction=H","UseDPDF=Y")</f>
        <v>#NAME?</v>
      </c>
      <c r="AS541" s="2" t="e">
        <f ca="1">_xll.BDH($C$528,"ACCOUNTS_RECEIVABLE_5_YR_GROWTH","FQ3 2016","FQ3 2016","Currency=INR","Period=FQ","BEST_FPERIOD_OVERRIDE=FQ","FILING_STATUS=OR","EQY_CONSOLIDATED=Y","Sort=A","Dates=H","DateFormat=P","Fill=—","Direction=H","UseDPDF=Y")</f>
        <v>#NAME?</v>
      </c>
      <c r="AT541" s="2" t="e">
        <f ca="1">_xll.BDH($C$528,"INVENTORY_5_YEAR_GROWTH","FQ3 2016","FQ3 2016","Currency=INR","Period=FQ","BEST_FPERIOD_OVERRIDE=FQ","FILING_STATUS=OR","EQY_CONSOLIDATED=Y","Sort=A","Dates=H","DateFormat=P","Fill=—","Direction=H","UseDPDF=Y")</f>
        <v>#NAME?</v>
      </c>
      <c r="AU541" s="2" t="e">
        <f ca="1">_xll.BDH($C$528,"NET_FIXED_ASSETS_5_YEAR_GROWTH","FQ3 2016","FQ3 2016","Currency=INR","Period=FQ","BEST_FPERIOD_OVERRIDE=FQ","FILING_STATUS=OR","EQY_CONSOLIDATED=Y","Sort=A","Dates=H","DateFormat=P","Fill=—","Direction=H","UseDPDF=Y")</f>
        <v>#NAME?</v>
      </c>
      <c r="AV541" s="2" t="e">
        <f ca="1">_xll.BDH($C$528,"GEO_GROW_TOT_ASSET","FQ3 2016","FQ3 2016","Currency=INR","Period=FQ","BEST_FPERIOD_OVERRIDE=FQ","FILING_STATUS=OR","EQY_CONSOLIDATED=Y","Sort=A","Dates=H","DateFormat=P","Fill=—","Direction=H","UseDPDF=Y")</f>
        <v>#NAME?</v>
      </c>
      <c r="AW541" s="2" t="e">
        <f ca="1">_xll.BDH($C$528,"MODIFIED_WORKING_CPTL_5YR_GRWTH","FQ3 2016","FQ3 2016","Currency=INR","Period=FQ","BEST_FPERIOD_OVERRIDE=FQ","FILING_STATUS=OR","EQY_CONSOLIDATED=Y","Sort=A","Dates=H","DateFormat=P","Fill=—","Direction=H","UseDPDF=Y")</f>
        <v>#NAME?</v>
      </c>
      <c r="AX541" s="2" t="e">
        <f ca="1">_xll.BDH($C$528,"WORKING_CAPITAL_5_YEAR_GROWTH","FQ3 2016","FQ3 2016","Currency=INR","Period=FQ","BEST_FPERIOD_OVERRIDE=FQ","FILING_STATUS=OR","EQY_CONSOLIDATED=Y","Sort=A","Dates=H","DateFormat=P","Fill=—","Direction=H","UseDPDF=Y")</f>
        <v>#NAME?</v>
      </c>
      <c r="AY541" s="2" t="e">
        <f ca="1">_xll.BDH($C$528,"ACCOUNTS_PAYABLE_5_YEAR_GROWTH","FQ3 2016","FQ3 2016","Currency=INR","Period=FQ","BEST_FPERIOD_OVERRIDE=FQ","FILING_STATUS=OR","EQY_CONSOLIDATED=Y","Sort=A","Dates=H","DateFormat=P","Fill=—","Direction=H","UseDPDF=Y")</f>
        <v>#NAME?</v>
      </c>
      <c r="AZ541" s="2" t="e">
        <f ca="1">_xll.BDH($C$528,"SHORT_TERM_DEBT_5_YEAR_GROWTH","FQ3 2016","FQ3 2016","Currency=INR","Period=FQ","BEST_FPERIOD_OVERRIDE=FQ","FILING_STATUS=OR","EQY_CONSOLIDATED=Y","Sort=A","Dates=H","DateFormat=P","Fill=—","Direction=H","UseDPDF=Y")</f>
        <v>#NAME?</v>
      </c>
      <c r="BA541" s="2" t="e">
        <f ca="1">_xll.BDH($C$528,"TOTAL_DEBT_5_YEAR_GROWTH","FQ3 2016","FQ3 2016","Currency=INR","Period=FQ","BEST_FPERIOD_OVERRIDE=FQ","FILING_STATUS=OR","EQY_CONSOLIDATED=Y","Sort=A","Dates=H","DateFormat=P","Fill=—","Direction=H","UseDPDF=Y")</f>
        <v>#NAME?</v>
      </c>
      <c r="BB541" s="2" t="e">
        <f ca="1">_xll.BDH($C$528,"GEO_GROW_TOT_SHRHLDR_EQY","FQ3 2016","FQ3 2016","Currency=INR","Period=FQ","BEST_FPERIOD_OVERRIDE=FQ","FILING_STATUS=OR","EQY_CONSOLIDATED=Y","Sort=A","Dates=H","DateFormat=P","Fill=—","Direction=H","UseDPDF=Y")</f>
        <v>#NAME?</v>
      </c>
      <c r="BC541" s="2" t="e">
        <f ca="1">_xll.BDH($C$528,"TOTAL_CAPITAL_5_YEAR_GROWTH","FQ3 2016","FQ3 2016","Currency=INR","Period=FQ","BEST_FPERIOD_OVERRIDE=FQ","FILING_STATUS=OR","EQY_CONSOLIDATED=Y","Sort=A","Dates=H","DateFormat=P","Fill=—","Direction=H","UseDPDF=Y")</f>
        <v>#NAME?</v>
      </c>
      <c r="BD541" s="2" t="e">
        <f ca="1">_xll.BDH($C$528,"GEO_GROW_BOOK_VAL","FQ3 2016","FQ3 2016","Currency=INR","Period=FQ","BEST_FPERIOD_OVERRIDE=FQ","FILING_STATUS=OR","EQY_CONSOLIDATED=Y","Sort=A","Dates=H","DateFormat=P","Fill=—","Direction=H","UseDPDF=Y")</f>
        <v>#NAME?</v>
      </c>
      <c r="BE541" s="2" t="e">
        <f ca="1">_xll.BDH($C$528,"GEO_GROW_CASH_OPER_ACT","FQ3 2016","FQ3 2016","Currency=INR","Period=FQ","BEST_FPERIOD_OVERRIDE=FQ","FILING_STATUS=OR","EQY_CONSOLIDATED=Y","Sort=A","Dates=H","DateFormat=P","Fill=—","Direction=H","UseDPDF=Y")</f>
        <v>#NAME?</v>
      </c>
      <c r="BF541" s="2" t="e">
        <f ca="1">_xll.BDH($C$528,"REVENUE_SEQUENTIAL_GROWTH","FQ3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541" s="2" t="e">
        <f ca="1">_xll.BDH($C$528,"EBITDA_SEQUENTIAL_GROWTH","FQ3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541" s="2" t="e">
        <f ca="1">_xll.BDH($C$528,"OPERATING_INCOME_SEQ_GROWTH","FQ3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541" s="2" t="e">
        <f ca="1">_xll.BDH($C$528,"NET_INCOME_TO_COMMON_SEQ_GROWTH","FQ3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541" s="2" t="e">
        <f ca="1">_xll.BDH($C$528,"EPS_DILUTED_SEQUENTIAL_GROWTH","FQ3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541" s="2" t="e">
        <f ca="1">_xll.BDH($C$528,"DPS_SEQUENTIAL_GROWTH","FQ3 2016","FQ3 2016","Currency=INR","Period=FQ","BEST_FPERIOD_OVERRIDE=FQ","FILING_STATUS=OR","EQY_CONSOLIDATED=Y","Sort=A","Dates=H","DateFormat=P","Fill=—","Direction=H","UseDPDF=Y")</f>
        <v>#NAME?</v>
      </c>
      <c r="BL541" s="2" t="e">
        <f ca="1">_xll.BDH($C$528,"ACCOUNTS_RECEIVABLE_SEQ_GROWTH","FQ3 2016","FQ3 2016","Currency=INR","Period=FQ","BEST_FPERIOD_OVERRIDE=FQ","FILING_STATUS=OR","EQY_CONSOLIDATED=Y","Sort=A","Dates=H","DateFormat=P","Fill=—","Direction=H","UseDPDF=Y")</f>
        <v>#NAME?</v>
      </c>
      <c r="BM541" s="2" t="e">
        <f ca="1">_xll.BDH($C$528,"INVENTORY_SEQUENTIAL_GROWTH","FQ3 2016","FQ3 2016","Currency=INR","Period=FQ","BEST_FPERIOD_OVERRIDE=FQ","FILING_STATUS=OR","EQY_CONSOLIDATED=Y","Sort=A","Dates=H","DateFormat=P","Fill=—","Direction=H","UseDPDF=Y")</f>
        <v>#NAME?</v>
      </c>
      <c r="BN541" s="2" t="e">
        <f ca="1">_xll.BDH($C$528,"FIXED_ASSETS_SEQUENTIAL_GROWTH","FQ3 2016","FQ3 2016","Currency=INR","Period=FQ","BEST_FPERIOD_OVERRIDE=FQ","FILING_STATUS=OR","EQY_CONSOLIDATED=Y","Sort=A","Dates=H","DateFormat=P","Fill=—","Direction=H","UseDPDF=Y")</f>
        <v>#NAME?</v>
      </c>
      <c r="BO541" s="2" t="e">
        <f ca="1">_xll.BDH($C$528,"TOTAL_ASSETS_SEQUENTIAL_GROWTH","FQ3 2016","FQ3 2016","Currency=INR","Period=FQ","BEST_FPERIOD_OVERRIDE=FQ","FILING_STATUS=OR","EQY_CONSOLIDATED=Y","Sort=A","Dates=H","DateFormat=P","Fill=—","Direction=H","UseDPDF=Y")</f>
        <v>#NAME?</v>
      </c>
      <c r="BP541" s="2" t="e">
        <f ca="1">_xll.BDH($C$528,"MODIFIED_WORKING_CPTL_SEQ_GRWTH","FQ3 2016","FQ3 2016","Currency=INR","Period=FQ","BEST_FPERIOD_OVERRIDE=FQ","FILING_STATUS=OR","EQY_CONSOLIDATED=Y","Sort=A","Dates=H","DateFormat=P","Fill=—","Direction=H","UseDPDF=Y")</f>
        <v>#NAME?</v>
      </c>
      <c r="BQ541" s="2" t="e">
        <f ca="1">_xll.BDH($C$528,"WORKING_CAPITAL_SEQ_GROWTH","FQ3 2016","FQ3 2016","Currency=INR","Period=FQ","BEST_FPERIOD_OVERRIDE=FQ","FILING_STATUS=OR","EQY_CONSOLIDATED=Y","Sort=A","Dates=H","DateFormat=P","Fill=—","Direction=H","UseDPDF=Y")</f>
        <v>#NAME?</v>
      </c>
      <c r="BR541" s="2" t="e">
        <f ca="1">_xll.BDH($C$528,"ACCOUNTS_PAYABLE_SEQ_GROWTH","FQ3 2016","FQ3 2016","Currency=INR","Period=FQ","BEST_FPERIOD_OVERRIDE=FQ","FILING_STATUS=OR","EQY_CONSOLIDATED=Y","Sort=A","Dates=H","DateFormat=P","Fill=—","Direction=H","UseDPDF=Y")</f>
        <v>#NAME?</v>
      </c>
      <c r="BS541" s="2" t="e">
        <f ca="1">_xll.BDH($C$528,"ST_DEBT_SEQUENTIAL_GROWTH","FQ3 2016","FQ3 2016","Currency=INR","Period=FQ","BEST_FPERIOD_OVERRIDE=FQ","FILING_STATUS=OR","EQY_CONSOLIDATED=Y","Sort=A","Dates=H","DateFormat=P","Fill=—","Direction=H","UseDPDF=Y")</f>
        <v>#NAME?</v>
      </c>
      <c r="BT541" s="2" t="e">
        <f ca="1">_xll.BDH($C$528,"TOTAL_DEBT_SEQUENTIAL_GROWTH","FQ3 2016","FQ3 2016","Currency=INR","Period=FQ","BEST_FPERIOD_OVERRIDE=FQ","FILING_STATUS=OR","EQY_CONSOLIDATED=Y","Sort=A","Dates=H","DateFormat=P","Fill=—","Direction=H","UseDPDF=Y")</f>
        <v>#NAME?</v>
      </c>
      <c r="BU541" s="2" t="e">
        <f ca="1">_xll.BDH($C$528,"TOTAL_EQUITY_SEQUENTIAL_GROWTH","FQ3 2016","FQ3 2016","Currency=INR","Period=FQ","BEST_FPERIOD_OVERRIDE=FQ","FILING_STATUS=OR","EQY_CONSOLIDATED=Y","Sort=A","Dates=H","DateFormat=P","Fill=—","Direction=H","UseDPDF=Y")</f>
        <v>#NAME?</v>
      </c>
      <c r="BV541" s="2" t="e">
        <f ca="1">_xll.BDH($C$528,"TOTAL_CAPITAL_SEQUENTIAL_GROWTH","FQ3 2016","FQ3 2016","Currency=INR","Period=FQ","BEST_FPERIOD_OVERRIDE=FQ","FILING_STATUS=OR","EQY_CONSOLIDATED=Y","Sort=A","Dates=H","DateFormat=P","Fill=—","Direction=H","UseDPDF=Y")</f>
        <v>#NAME?</v>
      </c>
      <c r="BW541" s="2" t="e">
        <f ca="1">_xll.BDH($C$528,"BPS_SEQUENTIAL_GROWTH","FQ3 2016","FQ3 2016","Currency=INR","Period=FQ","BEST_FPERIOD_OVERRIDE=FQ","FILING_STATUS=OR","EQY_CONSOLIDATED=Y","Sort=A","Dates=H","DateFormat=P","Fill=—","Direction=H","UseDPDF=Y")</f>
        <v>#NAME?</v>
      </c>
      <c r="BX541" s="2" t="e">
        <f ca="1">_xll.BDH($C$528,"CFO_SEQUENTIAL_GROWTH","FQ3 2016","FQ3 2016","Currency=INR","Period=FQ","BEST_FPERIOD_OVERRIDE=FQ","FILING_STATUS=OR","EQY_CONSOLIDATED=Y","Sort=A","Dates=H","DateFormat=P","Fill=—","Direction=H","UseDPDF=Y")</f>
        <v>#NAME?</v>
      </c>
      <c r="BY541" s="3" t="e">
        <f ca="1">_xll.BDH($C$528,"SHORT_AND_LONG_TERM_DEBT","FQ3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541" s="3" t="e">
        <f ca="1">_xll.BDH($C$528,"BS_ST_BORROW","FQ3 2016","FQ3 2016","Currency=INR","Period=FQ","BEST_FPERIOD_OVERRIDE=FQ","FILING_STATUS=OR","EQY_CONSOLIDATED=Y","SCALING_FORMAT=MLN","Sort=A","Dates=H","DateFormat=P","Fill=—","Direction=H","UseDPDF=Y")</f>
        <v>#NAME?</v>
      </c>
      <c r="CA541" s="3" t="e">
        <f ca="1">_xll.BDH($C$528,"BS_LT_BORROW","FQ3 2016","FQ3 2016","Currency=INR","Period=FQ","BEST_FPERIOD_OVERRIDE=FQ","FILING_STATUS=OR","EQY_CONSOLIDATED=Y","SCALING_FORMAT=MLN","Sort=A","Dates=H","DateFormat=P","Fill=—","Direction=H","UseDPDF=Y")</f>
        <v>#NAME?</v>
      </c>
      <c r="CB541" s="2" t="e">
        <f ca="1">_xll.BDH($C$528,"TOT_DEBT_TO_EBITDA","FQ3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541" s="2" t="e">
        <f ca="1">_xll.BDH($C$528,"NET_DEBT_TO_EBITDA","FQ3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541" s="2" t="e">
        <f ca="1">_xll.BDH($C$528,"TOTAL_DEBT_TO_EBIT","FQ3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541" s="2" t="e">
        <f ca="1">_xll.BDH($C$528,"NET_DEBT_TO_EBIT","FQ3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541" s="2" t="e">
        <f ca="1">_xll.BDH($C$528,"EBITDA_TO_INTEREST_EXPN","FQ3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541" s="2" t="e">
        <f ca="1">_xll.BDH($C$528,"COM_EQY_TO_TOT_ASSET","FQ3 2016","FQ3 2016","Currency=INR","Period=FQ","BEST_FPERIOD_OVERRIDE=FQ","FILING_STATUS=OR","EQY_CONSOLIDATED=Y","Sort=A","Dates=H","DateFormat=P","Fill=—","Direction=H","UseDPDF=Y")</f>
        <v>#NAME?</v>
      </c>
      <c r="CH541" s="2" t="e">
        <f ca="1">_xll.BDH($C$528,"LT_DEBT_TO_TOT_EQY","FQ3 2016","FQ3 2016","Currency=INR","Period=FQ","BEST_FPERIOD_OVERRIDE=FQ","FILING_STATUS=OR","EQY_CONSOLIDATED=Y","Sort=A","Dates=H","DateFormat=P","Fill=—","Direction=H","UseDPDF=Y")</f>
        <v>#NAME?</v>
      </c>
      <c r="CI541" s="2" t="e">
        <f ca="1">_xll.BDH($C$528,"LT_DEBT_TO_TOT_CAP","FQ3 2016","FQ3 2016","Currency=INR","Period=FQ","BEST_FPERIOD_OVERRIDE=FQ","FILING_STATUS=OR","EQY_CONSOLIDATED=Y","Sort=A","Dates=H","DateFormat=P","Fill=—","Direction=H","UseDPDF=Y")</f>
        <v>#NAME?</v>
      </c>
      <c r="CJ541" s="2" t="e">
        <f ca="1">_xll.BDH($C$528,"LT_DEBT_TO_TOT_ASSET","FQ3 2016","FQ3 2016","Currency=INR","Period=FQ","BEST_FPERIOD_OVERRIDE=FQ","FILING_STATUS=OR","EQY_CONSOLIDATED=Y","Sort=A","Dates=H","DateFormat=P","Fill=—","Direction=H","UseDPDF=Y")</f>
        <v>#NAME?</v>
      </c>
      <c r="CK541" s="2" t="e">
        <f ca="1">_xll.BDH($C$528,"TOT_DEBT_TO_TOT_EQY","FQ3 2016","FQ3 2016","Currency=INR","Period=FQ","BEST_FPERIOD_OVERRIDE=FQ","FILING_STATUS=OR","EQY_CONSOLIDATED=Y","Sort=A","Dates=H","DateFormat=P","Fill=—","Direction=H","UseDPDF=Y")</f>
        <v>#NAME?</v>
      </c>
      <c r="CL541" s="2" t="e">
        <f ca="1">_xll.BDH($C$528,"TOT_DEBT_TO_TOT_CAP","FQ3 2016","FQ3 2016","Currency=INR","Period=FQ","BEST_FPERIOD_OVERRIDE=FQ","FILING_STATUS=OR","EQY_CONSOLIDATED=Y","Sort=A","Dates=H","DateFormat=P","Fill=—","Direction=H","UseDPDF=Y")</f>
        <v>#NAME?</v>
      </c>
      <c r="CM541" s="2" t="e">
        <f ca="1">_xll.BDH($C$528,"TOT_DEBT_TO_TOT_ASSET","FQ3 2016","FQ3 2016","Currency=INR","Period=FQ","BEST_FPERIOD_OVERRIDE=FQ","FILING_STATUS=OR","EQY_CONSOLIDATED=Y","Sort=A","Dates=H","DateFormat=P","Fill=—","Direction=H","UseDPDF=Y")</f>
        <v>#NAME?</v>
      </c>
      <c r="CN541" s="2" t="e">
        <f ca="1">_xll.BDH($C$528,"NET_DEBT_TO_SHRHLDR_EQTY","FQ3 2016","FQ3 2016","Currency=INR","Period=FQ","BEST_FPERIOD_OVERRIDE=FQ","FILING_STATUS=OR","EQY_CONSOLIDATED=Y","Sort=A","Dates=H","DateFormat=P","Fill=—","Direction=H","UseDPDF=Y")</f>
        <v>#NAME?</v>
      </c>
      <c r="CO541" s="2" t="e">
        <f ca="1">_xll.BDH($C$528,"NET_DEBT_%_CAPITAL","FQ3 2016","FQ3 2016","Currency=INR","Period=FQ","BEST_FPERIOD_OVERRIDE=FQ","FILING_STATUS=OR","EQY_CONSOLIDATED=Y","Sort=A","Dates=H","DateFormat=P","Fill=—","Direction=H","UseDPDF=Y")</f>
        <v>#NAME?</v>
      </c>
      <c r="CP541" s="3" t="e">
        <f ca="1">_xll.BDH($C$528,"EBITDA","FQ3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541" s="3" t="e">
        <f ca="1">_xll.BDH($C$528,"EBITDA_AFTER_CAPEX","FQ3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541" s="3" t="e">
        <f ca="1">_xll.BDH($C$528,"IS_OPER_INC","FQ3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541" s="2" t="e">
        <f ca="1">_xll.BDH($C$528,"CASH_RATIO","FQ3 2016","FQ3 2016","Currency=INR","Period=FQ","BEST_FPERIOD_OVERRIDE=FQ","FILING_STATUS=OR","EQY_CONSOLIDATED=Y","Sort=A","Dates=H","DateFormat=P","Fill=—","Direction=H","UseDPDF=Y")</f>
        <v>#NAME?</v>
      </c>
      <c r="CT541" s="2" t="e">
        <f ca="1">_xll.BDH($C$528,"CUR_RATIO","FQ3 2016","FQ3 2016","Currency=INR","Period=FQ","BEST_FPERIOD_OVERRIDE=FQ","FILING_STATUS=OR","EQY_CONSOLIDATED=Y","Sort=A","Dates=H","DateFormat=P","Fill=—","Direction=H","UseDPDF=Y")</f>
        <v>#NAME?</v>
      </c>
      <c r="CU541" s="2" t="e">
        <f ca="1">_xll.BDH($C$528,"QUICK_RATIO","FQ3 2016","FQ3 2016","Currency=INR","Period=FQ","BEST_FPERIOD_OVERRIDE=FQ","FILING_STATUS=OR","EQY_CONSOLIDATED=Y","Sort=A","Dates=H","DateFormat=P","Fill=—","Direction=H","UseDPDF=Y")</f>
        <v>#NAME?</v>
      </c>
      <c r="CV541" s="2" t="e">
        <f ca="1">_xll.BDH($C$528,"ALTMAN_Z_SCORE","FQ3 2016","FQ3 2016","Currency=INR","Period=FQ","BEST_FPERIOD_OVERRIDE=FQ","FILING_STATUS=OR","EQY_CONSOLIDATED=Y","Sort=A","Dates=H","DateFormat=P","Fill=—","Direction=H","UseDPDF=Y")</f>
        <v>#NAME?</v>
      </c>
      <c r="CW541" s="4" t="e">
        <f ca="1">_xll.BDH($C$528,"ACCT_RCV_TURN","FQ3 2016","FQ3 2016","Currency=INR","Period=FQ","BEST_FPERIOD_OVERRIDE=FQ","FILING_STATUS=OR","EQY_CONSOLIDATED=Y","FA_ADJUSTED=GAAP","Sort=A","Dates=H","DateFormat=P","Fill=—","Direction=H","UseDPDF=Y")</f>
        <v>#NAME?</v>
      </c>
      <c r="CX541" s="2" t="e">
        <f ca="1">_xll.BDH($C$528,"ACCT_RCV_DAYS","FQ3 2016","FQ3 2016","Currency=INR","Period=FQ","BEST_FPERIOD_OVERRIDE=FQ","FILING_STATUS=OR","EQY_CONSOLIDATED=Y","FA_ADJUSTED=GAAP","Sort=A","Dates=H","DateFormat=P","Fill=—","Direction=H","UseDPDF=Y")</f>
        <v>#NAME?</v>
      </c>
      <c r="CY541" s="4" t="e">
        <f ca="1">_xll.BDH($C$528,"INVENT_TURN","FQ3 2016","FQ3 2016","Currency=INR","Period=FQ","BEST_FPERIOD_OVERRIDE=FQ","FILING_STATUS=OR","EQY_CONSOLIDATED=Y","FA_ADJUSTED=GAAP","Sort=A","Dates=H","DateFormat=P","Fill=—","Direction=H","UseDPDF=Y")</f>
        <v>#NAME?</v>
      </c>
      <c r="CZ541" s="2" t="e">
        <f ca="1">_xll.BDH($C$528,"INVENT_DAYS","FQ3 2016","FQ3 2016","Currency=INR","Period=FQ","BEST_FPERIOD_OVERRIDE=FQ","FILING_STATUS=OR","EQY_CONSOLIDATED=Y","FA_ADJUSTED=GAAP","Sort=A","Dates=H","DateFormat=P","Fill=—","Direction=H","UseDPDF=Y")</f>
        <v>#NAME?</v>
      </c>
      <c r="DA541" s="4" t="e">
        <f ca="1">_xll.BDH($C$528,"ACCOUNTS_PAYABLE_TURNOVER","FQ3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541" s="2" t="e">
        <f ca="1">_xll.BDH($C$528,"ACCOUNTS_PAYABLE_TURNOVER_DAYS","FQ3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541" s="4" t="e">
        <f ca="1">_xll.BDH($C$528,"CASH_CONVERSION_CYCLE","FQ3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541" s="4" t="e">
        <f ca="1">_xll.BDH($C$528,"INV_TO_CASH_DAYS","FQ3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541" s="5" t="e">
        <f ca="1">_xll.BDH($C$528,"BS_INVENTORIES","FQ3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541" s="3" t="e">
        <f ca="1">_xll.BDH($C$528,"INVTRY_RAW_MATERIALS","FQ3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541" s="3" t="e">
        <f ca="1">_xll.BDH($C$528,"INVTRY_IN_PROGRESS","FQ3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541" s="3" t="e">
        <f ca="1">_xll.BDH($C$528,"INVTRY_FINISHED_GOODS","FQ3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541" s="3" t="e">
        <f ca="1">_xll.BDH($C$528,"BS_OTHER_INV","FQ3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542" spans="1:113" x14ac:dyDescent="0.3">
      <c r="A542" s="6"/>
      <c r="B542" s="6"/>
      <c r="C542" s="6"/>
      <c r="D542" s="6"/>
      <c r="E542" t="s">
        <v>81</v>
      </c>
      <c r="F542" t="e">
        <f ca="1">_xll.BDH($C$528,"RETURN_COM_EQY","FQ4 2016","FQ4 2016","Currency=INR","Period=FQ","BEST_FPERIOD_OVERRIDE=FQ","FILING_STATUS=OR","EQY_CONSOLIDATED=Y","FA_ADJUSTED=GAAP","Sort=A","Dates=H","DateFormat=P","Fill=—","Direction=H","UseDPDF=Y")</f>
        <v>#NAME?</v>
      </c>
      <c r="G542" t="e">
        <f ca="1">_xll.BDH($C$528,"RETURN_ON_ASSET","FQ4 2016","FQ4 2016","Currency=INR","Period=FQ","BEST_FPERIOD_OVERRIDE=FQ","FILING_STATUS=OR","EQY_CONSOLIDATED=Y","FA_ADJUSTED=GAAP","Sort=A","Dates=H","DateFormat=P","Fill=—","Direction=H","UseDPDF=Y")</f>
        <v>#NAME?</v>
      </c>
      <c r="H542" t="e">
        <f ca="1">_xll.BDH($C$528,"RETURN_ON_CAP","FQ4 2016","FQ4 2016","Currency=INR","Period=FQ","BEST_FPERIOD_OVERRIDE=FQ","FILING_STATUS=OR","EQY_CONSOLIDATED=Y","FA_ADJUSTED=GAAP","Sort=A","Dates=H","DateFormat=P","Fill=—","Direction=H","UseDPDF=Y")</f>
        <v>#NAME?</v>
      </c>
      <c r="I542" t="e">
        <f ca="1">_xll.BDH($C$528,"RETURN_ON_INV_CAPITAL","FQ4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542" t="e">
        <f ca="1">_xll.BDH($C$528,"EBITDA_TO_REVENUE","FQ4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542" t="e">
        <f ca="1">_xll.BDH($C$528,"OPER_MARGIN","FQ4 2016","FQ4 2016","Currency=INR","Period=FQ","BEST_FPERIOD_OVERRIDE=FQ","FILING_STATUS=OR","EQY_CONSOLIDATED=Y","FA_ADJUSTED=GAAP","Sort=A","Dates=H","DateFormat=P","Fill=—","Direction=H","UseDPDF=Y")</f>
        <v>#NAME?</v>
      </c>
      <c r="L542" t="e">
        <f ca="1">_xll.BDH($C$528,"INCREMENTAL_OPERATING_MARGIN","FQ4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542" t="e">
        <f ca="1">_xll.BDH($C$528,"PRETAX_INC_TO_NET_SALES","FQ4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542" t="e">
        <f ca="1">_xll.BDH($C$528,"INC_BEF_XO_ITEMS_TO_NET_SALES","FQ4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542" t="e">
        <f ca="1">_xll.BDH($C$528,"PROF_MARGIN","FQ4 2016","FQ4 2016","Currency=INR","Period=FQ","BEST_FPERIOD_OVERRIDE=FQ","FILING_STATUS=OR","EQY_CONSOLIDATED=Y","FA_ADJUSTED=GAAP","Sort=A","Dates=H","DateFormat=P","Fill=—","Direction=H","UseDPDF=Y")</f>
        <v>#NAME?</v>
      </c>
      <c r="P542" t="e">
        <f ca="1">_xll.BDH($C$528,"NET_INCOME_TO_COMMON_MARGIN","FQ4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542" t="e">
        <f ca="1">_xll.BDH($C$528,"EFF_TAX_RATE","FQ4 2016","FQ4 2016","Currency=INR","Period=FQ","BEST_FPERIOD_OVERRIDE=FQ","FILING_STATUS=OR","EQY_CONSOLIDATED=Y","FA_ADJUSTED=GAAP","Sort=A","Dates=H","DateFormat=P","Fill=—","Direction=H","UseDPDF=Y")</f>
        <v>#NAME?</v>
      </c>
      <c r="R542" t="e">
        <f ca="1">_xll.BDH($C$528,"DVD_PAYOUT_RATIO","FQ4 2016","FQ4 2016","Currency=INR","Period=FQ","BEST_FPERIOD_OVERRIDE=FQ","FILING_STATUS=OR","EQY_CONSOLIDATED=Y","FA_ADJUSTED=GAAP","Sort=A","Dates=H","DateFormat=P","Fill=—","Direction=H","UseDPDF=Y")</f>
        <v>#NAME?</v>
      </c>
      <c r="S542" t="e">
        <f ca="1">_xll.BDH($C$528,"SUSTAIN_GROWTH_RT","FQ4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542" s="2" t="e">
        <f ca="1">_xll.BDH($C$528,"SALES_GROWTH","FQ4 2016","FQ4 2016","Currency=INR","Period=FQ","BEST_FPERIOD_OVERRIDE=FQ","FILING_STATUS=OR","EQY_CONSOLIDATED=Y","FA_ADJUSTED=GAAP","Sort=A","Dates=H","DateFormat=P","Fill=—","Direction=H","UseDPDF=Y")</f>
        <v>#NAME?</v>
      </c>
      <c r="U542" s="2" t="e">
        <f ca="1">_xll.BDH($C$528,"EBITDA_GROWTH","FQ4 2016","FQ4 2016","Currency=INR","Period=FQ","BEST_FPERIOD_OVERRIDE=FQ","FILING_STATUS=OR","EQY_CONSOLIDATED=Y","FA_ADJUSTED=GAAP","Sort=A","Dates=H","DateFormat=P","Fill=—","Direction=H","UseDPDF=Y")</f>
        <v>#NAME?</v>
      </c>
      <c r="V542" s="2" t="e">
        <f ca="1">_xll.BDH($C$528,"OPER_INC_GROWTH","FQ4 2016","FQ4 2016","Currency=INR","Period=FQ","BEST_FPERIOD_OVERRIDE=FQ","FILING_STATUS=OR","EQY_CONSOLIDATED=Y","FA_ADJUSTED=GAAP","Sort=A","Dates=H","DateFormat=P","Fill=—","Direction=H","UseDPDF=Y")</f>
        <v>#NAME?</v>
      </c>
      <c r="W542" s="2" t="e">
        <f ca="1">_xll.BDH($C$528,"EARN_FOR_COM_GROWTH","FQ4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542" s="2" t="e">
        <f ca="1">_xll.BDH($C$528,"DILUTED_EPS_AFT_XO_ITEMS_GROWTH","FQ4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542" s="2" t="e">
        <f ca="1">_xll.BDH($C$528,"DIVIDEND_PER_SHARE_1_YEAR_GROWTH","FQ4 2016","FQ4 2016","Currency=INR","Period=FQ","BEST_FPERIOD_OVERRIDE=FQ","FILING_STATUS=OR","EQY_CONSOLIDATED=Y","Sort=A","Dates=H","DateFormat=P","Fill=—","Direction=H","UseDPDF=Y")</f>
        <v>#NAME?</v>
      </c>
      <c r="Z542" s="2" t="e">
        <f ca="1">_xll.BDH($C$528,"ACCOUNTS_RECEIVABLE_GROWTH","FQ4 2016","FQ4 2016","Currency=INR","Period=FQ","BEST_FPERIOD_OVERRIDE=FQ","FILING_STATUS=OR","EQY_CONSOLIDATED=Y","Sort=A","Dates=H","DateFormat=P","Fill=—","Direction=H","UseDPDF=Y")</f>
        <v>#NAME?</v>
      </c>
      <c r="AA542" s="2" t="e">
        <f ca="1">_xll.BDH($C$528,"INVENTORY_GROWTH","FQ4 2016","FQ4 2016","Currency=INR","Period=FQ","BEST_FPERIOD_OVERRIDE=FQ","FILING_STATUS=OR","EQY_CONSOLIDATED=Y","Sort=A","Dates=H","DateFormat=P","Fill=—","Direction=H","UseDPDF=Y")</f>
        <v>#NAME?</v>
      </c>
      <c r="AB542" s="2" t="e">
        <f ca="1">_xll.BDH($C$528,"NET_FIXED_ASSETS_1_YEAR_GROWTH","FQ4 2016","FQ4 2016","Currency=INR","Period=FQ","BEST_FPERIOD_OVERRIDE=FQ","FILING_STATUS=OR","EQY_CONSOLIDATED=Y","Sort=A","Dates=H","DateFormat=P","Fill=—","Direction=H","UseDPDF=Y")</f>
        <v>#NAME?</v>
      </c>
      <c r="AC542" s="2" t="e">
        <f ca="1">_xll.BDH($C$528,"ASSET_GROWTH","FQ4 2016","FQ4 2016","Currency=INR","Period=FQ","BEST_FPERIOD_OVERRIDE=FQ","FILING_STATUS=OR","EQY_CONSOLIDATED=Y","Sort=A","Dates=H","DateFormat=P","Fill=—","Direction=H","UseDPDF=Y")</f>
        <v>#NAME?</v>
      </c>
      <c r="AD542" s="2" t="e">
        <f ca="1">_xll.BDH($C$528,"MODIFIED_WORK_CAP_GROWTH","FQ4 2016","FQ4 2016","Currency=INR","Period=FQ","BEST_FPERIOD_OVERRIDE=FQ","FILING_STATUS=OR","EQY_CONSOLIDATED=Y","Sort=A","Dates=H","DateFormat=P","Fill=—","Direction=H","UseDPDF=Y")</f>
        <v>#NAME?</v>
      </c>
      <c r="AE542" s="2" t="e">
        <f ca="1">_xll.BDH($C$528,"WORK_CAP_GROWTH","FQ4 2016","FQ4 2016","Currency=INR","Period=FQ","BEST_FPERIOD_OVERRIDE=FQ","FILING_STATUS=OR","EQY_CONSOLIDATED=Y","Sort=A","Dates=H","DateFormat=P","Fill=—","Direction=H","UseDPDF=Y")</f>
        <v>#NAME?</v>
      </c>
      <c r="AF542" s="2" t="e">
        <f ca="1">_xll.BDH($C$528,"ACCOUNTS_PAYABLE_GROWTH_1YR","FQ4 2016","FQ4 2016","Currency=INR","Period=FQ","BEST_FPERIOD_OVERRIDE=FQ","FILING_STATUS=OR","EQY_CONSOLIDATED=Y","Sort=A","Dates=H","DateFormat=P","Fill=—","Direction=H","UseDPDF=Y")</f>
        <v>#NAME?</v>
      </c>
      <c r="AG542" s="2" t="e">
        <f ca="1">_xll.BDH($C$528,"SHORT_TERM_DEBT_1_YEAR_GROWTH","FQ4 2016","FQ4 2016","Currency=INR","Period=FQ","BEST_FPERIOD_OVERRIDE=FQ","FILING_STATUS=OR","EQY_CONSOLIDATED=Y","Sort=A","Dates=H","DateFormat=P","Fill=—","Direction=H","UseDPDF=Y")</f>
        <v>#NAME?</v>
      </c>
      <c r="AH542" s="2" t="e">
        <f ca="1">_xll.BDH($C$528,"TOTAL_DEBT_1_YEAR_GROWTH","FQ4 2016","FQ4 2016","Currency=INR","Period=FQ","BEST_FPERIOD_OVERRIDE=FQ","FILING_STATUS=OR","EQY_CONSOLIDATED=Y","Sort=A","Dates=H","DateFormat=P","Fill=—","Direction=H","UseDPDF=Y")</f>
        <v>#NAME?</v>
      </c>
      <c r="AI542" s="2" t="e">
        <f ca="1">_xll.BDH($C$528,"TOTAL_EQUITY_1_YEAR_GROWTH","FQ4 2016","FQ4 2016","Currency=INR","Period=FQ","BEST_FPERIOD_OVERRIDE=FQ","FILING_STATUS=OR","EQY_CONSOLIDATED=Y","Sort=A","Dates=H","DateFormat=P","Fill=—","Direction=H","UseDPDF=Y")</f>
        <v>#NAME?</v>
      </c>
      <c r="AJ542" s="2" t="e">
        <f ca="1">_xll.BDH($C$528,"GROWTH_IN_CAP","FQ4 2016","FQ4 2016","Currency=INR","Period=FQ","BEST_FPERIOD_OVERRIDE=FQ","FILING_STATUS=OR","EQY_CONSOLIDATED=Y","Sort=A","Dates=H","DateFormat=P","Fill=—","Direction=H","UseDPDF=Y")</f>
        <v>#NAME?</v>
      </c>
      <c r="AK542" s="2" t="e">
        <f ca="1">_xll.BDH($C$528,"BVPS_GROWTH","FQ4 2016","FQ4 2016","Currency=INR","Period=FQ","BEST_FPERIOD_OVERRIDE=FQ","FILING_STATUS=OR","EQY_CONSOLIDATED=Y","Sort=A","Dates=H","DateFormat=P","Fill=—","Direction=H","UseDPDF=Y")</f>
        <v>#NAME?</v>
      </c>
      <c r="AL542" s="2" t="e">
        <f ca="1">_xll.BDH($C$528,"CASH_FLOW_GROWTH","FQ4 2016","FQ4 2016","Currency=INR","Period=FQ","BEST_FPERIOD_OVERRIDE=FQ","FILING_STATUS=OR","EQY_CONSOLIDATED=Y","Sort=A","Dates=H","DateFormat=P","Fill=—","Direction=H","UseDPDF=Y")</f>
        <v>#NAME?</v>
      </c>
      <c r="AM542" s="2" t="e">
        <f ca="1">_xll.BDH($C$528,"GEO_GROW_NET_SALES","FQ4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542" s="2" t="e">
        <f ca="1">_xll.BDH($C$528,"GEO_GROW_EBITDA","FQ4 2016","FQ4 2016","Currency=INR","Period=FQ","BEST_FPERIOD_OVERRIDE=FQ","FILING_STATUS=OR","EQY_CONSOLIDATED=Y","FA_ADJUSTED=GAAP","Sort=A","Dates=H","DateFormat=P","Fill=—","Direction=H","UseDPDF=Y")</f>
        <v>#NAME?</v>
      </c>
      <c r="AO542" s="2" t="e">
        <f ca="1">_xll.BDH($C$528,"GEO_GROW_OPER_INC","FQ4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542" s="2" t="e">
        <f ca="1">_xll.BDH($C$528,"NET_INCOME_TO_COMMON_5_YR_GROWTH","FQ4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542" s="2" t="e">
        <f ca="1">_xll.BDH($C$528,"5Y_GEO_GROWTH_DILUTED_EPS","FQ4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542" s="2" t="e">
        <f ca="1">_xll.BDH($C$528,"GEO_GROW_DVD_PER_SH","FQ4 2016","FQ4 2016","Currency=INR","Period=FQ","BEST_FPERIOD_OVERRIDE=FQ","FILING_STATUS=OR","EQY_CONSOLIDATED=Y","Sort=A","Dates=H","DateFormat=P","Fill=—","Direction=H","UseDPDF=Y")</f>
        <v>#NAME?</v>
      </c>
      <c r="AS542" s="2" t="e">
        <f ca="1">_xll.BDH($C$528,"ACCOUNTS_RECEIVABLE_5_YR_GROWTH","FQ4 2016","FQ4 2016","Currency=INR","Period=FQ","BEST_FPERIOD_OVERRIDE=FQ","FILING_STATUS=OR","EQY_CONSOLIDATED=Y","Sort=A","Dates=H","DateFormat=P","Fill=—","Direction=H","UseDPDF=Y")</f>
        <v>#NAME?</v>
      </c>
      <c r="AT542" s="2" t="e">
        <f ca="1">_xll.BDH($C$528,"INVENTORY_5_YEAR_GROWTH","FQ4 2016","FQ4 2016","Currency=INR","Period=FQ","BEST_FPERIOD_OVERRIDE=FQ","FILING_STATUS=OR","EQY_CONSOLIDATED=Y","Sort=A","Dates=H","DateFormat=P","Fill=—","Direction=H","UseDPDF=Y")</f>
        <v>#NAME?</v>
      </c>
      <c r="AU542" s="2" t="e">
        <f ca="1">_xll.BDH($C$528,"NET_FIXED_ASSETS_5_YEAR_GROWTH","FQ4 2016","FQ4 2016","Currency=INR","Period=FQ","BEST_FPERIOD_OVERRIDE=FQ","FILING_STATUS=OR","EQY_CONSOLIDATED=Y","Sort=A","Dates=H","DateFormat=P","Fill=—","Direction=H","UseDPDF=Y")</f>
        <v>#NAME?</v>
      </c>
      <c r="AV542" s="2" t="e">
        <f ca="1">_xll.BDH($C$528,"GEO_GROW_TOT_ASSET","FQ4 2016","FQ4 2016","Currency=INR","Period=FQ","BEST_FPERIOD_OVERRIDE=FQ","FILING_STATUS=OR","EQY_CONSOLIDATED=Y","Sort=A","Dates=H","DateFormat=P","Fill=—","Direction=H","UseDPDF=Y")</f>
        <v>#NAME?</v>
      </c>
      <c r="AW542" s="2" t="e">
        <f ca="1">_xll.BDH($C$528,"MODIFIED_WORKING_CPTL_5YR_GRWTH","FQ4 2016","FQ4 2016","Currency=INR","Period=FQ","BEST_FPERIOD_OVERRIDE=FQ","FILING_STATUS=OR","EQY_CONSOLIDATED=Y","Sort=A","Dates=H","DateFormat=P","Fill=—","Direction=H","UseDPDF=Y")</f>
        <v>#NAME?</v>
      </c>
      <c r="AX542" s="2" t="e">
        <f ca="1">_xll.BDH($C$528,"WORKING_CAPITAL_5_YEAR_GROWTH","FQ4 2016","FQ4 2016","Currency=INR","Period=FQ","BEST_FPERIOD_OVERRIDE=FQ","FILING_STATUS=OR","EQY_CONSOLIDATED=Y","Sort=A","Dates=H","DateFormat=P","Fill=—","Direction=H","UseDPDF=Y")</f>
        <v>#NAME?</v>
      </c>
      <c r="AY542" s="2" t="e">
        <f ca="1">_xll.BDH($C$528,"ACCOUNTS_PAYABLE_5_YEAR_GROWTH","FQ4 2016","FQ4 2016","Currency=INR","Period=FQ","BEST_FPERIOD_OVERRIDE=FQ","FILING_STATUS=OR","EQY_CONSOLIDATED=Y","Sort=A","Dates=H","DateFormat=P","Fill=—","Direction=H","UseDPDF=Y")</f>
        <v>#NAME?</v>
      </c>
      <c r="AZ542" s="2" t="e">
        <f ca="1">_xll.BDH($C$528,"SHORT_TERM_DEBT_5_YEAR_GROWTH","FQ4 2016","FQ4 2016","Currency=INR","Period=FQ","BEST_FPERIOD_OVERRIDE=FQ","FILING_STATUS=OR","EQY_CONSOLIDATED=Y","Sort=A","Dates=H","DateFormat=P","Fill=—","Direction=H","UseDPDF=Y")</f>
        <v>#NAME?</v>
      </c>
      <c r="BA542" s="2" t="e">
        <f ca="1">_xll.BDH($C$528,"TOTAL_DEBT_5_YEAR_GROWTH","FQ4 2016","FQ4 2016","Currency=INR","Period=FQ","BEST_FPERIOD_OVERRIDE=FQ","FILING_STATUS=OR","EQY_CONSOLIDATED=Y","Sort=A","Dates=H","DateFormat=P","Fill=—","Direction=H","UseDPDF=Y")</f>
        <v>#NAME?</v>
      </c>
      <c r="BB542" s="2" t="e">
        <f ca="1">_xll.BDH($C$528,"GEO_GROW_TOT_SHRHLDR_EQY","FQ4 2016","FQ4 2016","Currency=INR","Period=FQ","BEST_FPERIOD_OVERRIDE=FQ","FILING_STATUS=OR","EQY_CONSOLIDATED=Y","Sort=A","Dates=H","DateFormat=P","Fill=—","Direction=H","UseDPDF=Y")</f>
        <v>#NAME?</v>
      </c>
      <c r="BC542" s="2" t="e">
        <f ca="1">_xll.BDH($C$528,"TOTAL_CAPITAL_5_YEAR_GROWTH","FQ4 2016","FQ4 2016","Currency=INR","Period=FQ","BEST_FPERIOD_OVERRIDE=FQ","FILING_STATUS=OR","EQY_CONSOLIDATED=Y","Sort=A","Dates=H","DateFormat=P","Fill=—","Direction=H","UseDPDF=Y")</f>
        <v>#NAME?</v>
      </c>
      <c r="BD542" s="2" t="e">
        <f ca="1">_xll.BDH($C$528,"GEO_GROW_BOOK_VAL","FQ4 2016","FQ4 2016","Currency=INR","Period=FQ","BEST_FPERIOD_OVERRIDE=FQ","FILING_STATUS=OR","EQY_CONSOLIDATED=Y","Sort=A","Dates=H","DateFormat=P","Fill=—","Direction=H","UseDPDF=Y")</f>
        <v>#NAME?</v>
      </c>
      <c r="BE542" s="2" t="e">
        <f ca="1">_xll.BDH($C$528,"GEO_GROW_CASH_OPER_ACT","FQ4 2016","FQ4 2016","Currency=INR","Period=FQ","BEST_FPERIOD_OVERRIDE=FQ","FILING_STATUS=OR","EQY_CONSOLIDATED=Y","Sort=A","Dates=H","DateFormat=P","Fill=—","Direction=H","UseDPDF=Y")</f>
        <v>#NAME?</v>
      </c>
      <c r="BF542" s="2" t="e">
        <f ca="1">_xll.BDH($C$528,"REVENUE_SEQUENTIAL_GROWTH","FQ4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542" s="2" t="e">
        <f ca="1">_xll.BDH($C$528,"EBITDA_SEQUENTIAL_GROWTH","FQ4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542" s="2" t="e">
        <f ca="1">_xll.BDH($C$528,"OPERATING_INCOME_SEQ_GROWTH","FQ4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542" s="2" t="e">
        <f ca="1">_xll.BDH($C$528,"NET_INCOME_TO_COMMON_SEQ_GROWTH","FQ4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542" s="2" t="e">
        <f ca="1">_xll.BDH($C$528,"EPS_DILUTED_SEQUENTIAL_GROWTH","FQ4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542" s="2" t="e">
        <f ca="1">_xll.BDH($C$528,"DPS_SEQUENTIAL_GROWTH","FQ4 2016","FQ4 2016","Currency=INR","Period=FQ","BEST_FPERIOD_OVERRIDE=FQ","FILING_STATUS=OR","EQY_CONSOLIDATED=Y","Sort=A","Dates=H","DateFormat=P","Fill=—","Direction=H","UseDPDF=Y")</f>
        <v>#NAME?</v>
      </c>
      <c r="BL542" s="2" t="e">
        <f ca="1">_xll.BDH($C$528,"ACCOUNTS_RECEIVABLE_SEQ_GROWTH","FQ4 2016","FQ4 2016","Currency=INR","Period=FQ","BEST_FPERIOD_OVERRIDE=FQ","FILING_STATUS=OR","EQY_CONSOLIDATED=Y","Sort=A","Dates=H","DateFormat=P","Fill=—","Direction=H","UseDPDF=Y")</f>
        <v>#NAME?</v>
      </c>
      <c r="BM542" s="2" t="e">
        <f ca="1">_xll.BDH($C$528,"INVENTORY_SEQUENTIAL_GROWTH","FQ4 2016","FQ4 2016","Currency=INR","Period=FQ","BEST_FPERIOD_OVERRIDE=FQ","FILING_STATUS=OR","EQY_CONSOLIDATED=Y","Sort=A","Dates=H","DateFormat=P","Fill=—","Direction=H","UseDPDF=Y")</f>
        <v>#NAME?</v>
      </c>
      <c r="BN542" s="2" t="e">
        <f ca="1">_xll.BDH($C$528,"FIXED_ASSETS_SEQUENTIAL_GROWTH","FQ4 2016","FQ4 2016","Currency=INR","Period=FQ","BEST_FPERIOD_OVERRIDE=FQ","FILING_STATUS=OR","EQY_CONSOLIDATED=Y","Sort=A","Dates=H","DateFormat=P","Fill=—","Direction=H","UseDPDF=Y")</f>
        <v>#NAME?</v>
      </c>
      <c r="BO542" s="2" t="e">
        <f ca="1">_xll.BDH($C$528,"TOTAL_ASSETS_SEQUENTIAL_GROWTH","FQ4 2016","FQ4 2016","Currency=INR","Period=FQ","BEST_FPERIOD_OVERRIDE=FQ","FILING_STATUS=OR","EQY_CONSOLIDATED=Y","Sort=A","Dates=H","DateFormat=P","Fill=—","Direction=H","UseDPDF=Y")</f>
        <v>#NAME?</v>
      </c>
      <c r="BP542" s="2" t="e">
        <f ca="1">_xll.BDH($C$528,"MODIFIED_WORKING_CPTL_SEQ_GRWTH","FQ4 2016","FQ4 2016","Currency=INR","Period=FQ","BEST_FPERIOD_OVERRIDE=FQ","FILING_STATUS=OR","EQY_CONSOLIDATED=Y","Sort=A","Dates=H","DateFormat=P","Fill=—","Direction=H","UseDPDF=Y")</f>
        <v>#NAME?</v>
      </c>
      <c r="BQ542" s="2" t="e">
        <f ca="1">_xll.BDH($C$528,"WORKING_CAPITAL_SEQ_GROWTH","FQ4 2016","FQ4 2016","Currency=INR","Period=FQ","BEST_FPERIOD_OVERRIDE=FQ","FILING_STATUS=OR","EQY_CONSOLIDATED=Y","Sort=A","Dates=H","DateFormat=P","Fill=—","Direction=H","UseDPDF=Y")</f>
        <v>#NAME?</v>
      </c>
      <c r="BR542" s="2" t="e">
        <f ca="1">_xll.BDH($C$528,"ACCOUNTS_PAYABLE_SEQ_GROWTH","FQ4 2016","FQ4 2016","Currency=INR","Period=FQ","BEST_FPERIOD_OVERRIDE=FQ","FILING_STATUS=OR","EQY_CONSOLIDATED=Y","Sort=A","Dates=H","DateFormat=P","Fill=—","Direction=H","UseDPDF=Y")</f>
        <v>#NAME?</v>
      </c>
      <c r="BS542" s="2" t="e">
        <f ca="1">_xll.BDH($C$528,"ST_DEBT_SEQUENTIAL_GROWTH","FQ4 2016","FQ4 2016","Currency=INR","Period=FQ","BEST_FPERIOD_OVERRIDE=FQ","FILING_STATUS=OR","EQY_CONSOLIDATED=Y","Sort=A","Dates=H","DateFormat=P","Fill=—","Direction=H","UseDPDF=Y")</f>
        <v>#NAME?</v>
      </c>
      <c r="BT542" s="2" t="e">
        <f ca="1">_xll.BDH($C$528,"TOTAL_DEBT_SEQUENTIAL_GROWTH","FQ4 2016","FQ4 2016","Currency=INR","Period=FQ","BEST_FPERIOD_OVERRIDE=FQ","FILING_STATUS=OR","EQY_CONSOLIDATED=Y","Sort=A","Dates=H","DateFormat=P","Fill=—","Direction=H","UseDPDF=Y")</f>
        <v>#NAME?</v>
      </c>
      <c r="BU542" s="2" t="e">
        <f ca="1">_xll.BDH($C$528,"TOTAL_EQUITY_SEQUENTIAL_GROWTH","FQ4 2016","FQ4 2016","Currency=INR","Period=FQ","BEST_FPERIOD_OVERRIDE=FQ","FILING_STATUS=OR","EQY_CONSOLIDATED=Y","Sort=A","Dates=H","DateFormat=P","Fill=—","Direction=H","UseDPDF=Y")</f>
        <v>#NAME?</v>
      </c>
      <c r="BV542" s="2" t="e">
        <f ca="1">_xll.BDH($C$528,"TOTAL_CAPITAL_SEQUENTIAL_GROWTH","FQ4 2016","FQ4 2016","Currency=INR","Period=FQ","BEST_FPERIOD_OVERRIDE=FQ","FILING_STATUS=OR","EQY_CONSOLIDATED=Y","Sort=A","Dates=H","DateFormat=P","Fill=—","Direction=H","UseDPDF=Y")</f>
        <v>#NAME?</v>
      </c>
      <c r="BW542" s="2" t="e">
        <f ca="1">_xll.BDH($C$528,"BPS_SEQUENTIAL_GROWTH","FQ4 2016","FQ4 2016","Currency=INR","Period=FQ","BEST_FPERIOD_OVERRIDE=FQ","FILING_STATUS=OR","EQY_CONSOLIDATED=Y","Sort=A","Dates=H","DateFormat=P","Fill=—","Direction=H","UseDPDF=Y")</f>
        <v>#NAME?</v>
      </c>
      <c r="BX542" s="2" t="e">
        <f ca="1">_xll.BDH($C$528,"CFO_SEQUENTIAL_GROWTH","FQ4 2016","FQ4 2016","Currency=INR","Period=FQ","BEST_FPERIOD_OVERRIDE=FQ","FILING_STATUS=OR","EQY_CONSOLIDATED=Y","Sort=A","Dates=H","DateFormat=P","Fill=—","Direction=H","UseDPDF=Y")</f>
        <v>#NAME?</v>
      </c>
      <c r="BY542" s="3" t="e">
        <f ca="1">_xll.BDH($C$528,"SHORT_AND_LONG_TERM_DEBT","FQ4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542" s="3" t="e">
        <f ca="1">_xll.BDH($C$528,"BS_ST_BORROW","FQ4 2016","FQ4 2016","Currency=INR","Period=FQ","BEST_FPERIOD_OVERRIDE=FQ","FILING_STATUS=OR","EQY_CONSOLIDATED=Y","SCALING_FORMAT=MLN","Sort=A","Dates=H","DateFormat=P","Fill=—","Direction=H","UseDPDF=Y")</f>
        <v>#NAME?</v>
      </c>
      <c r="CA542" s="3" t="e">
        <f ca="1">_xll.BDH($C$528,"BS_LT_BORROW","FQ4 2016","FQ4 2016","Currency=INR","Period=FQ","BEST_FPERIOD_OVERRIDE=FQ","FILING_STATUS=OR","EQY_CONSOLIDATED=Y","SCALING_FORMAT=MLN","Sort=A","Dates=H","DateFormat=P","Fill=—","Direction=H","UseDPDF=Y")</f>
        <v>#NAME?</v>
      </c>
      <c r="CB542" s="2" t="e">
        <f ca="1">_xll.BDH($C$528,"TOT_DEBT_TO_EBITDA","FQ4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542" s="2" t="e">
        <f ca="1">_xll.BDH($C$528,"NET_DEBT_TO_EBITDA","FQ4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542" s="2" t="e">
        <f ca="1">_xll.BDH($C$528,"TOTAL_DEBT_TO_EBIT","FQ4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542" s="2" t="e">
        <f ca="1">_xll.BDH($C$528,"NET_DEBT_TO_EBIT","FQ4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542" s="2" t="e">
        <f ca="1">_xll.BDH($C$528,"EBITDA_TO_INTEREST_EXPN","FQ4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542" s="2" t="e">
        <f ca="1">_xll.BDH($C$528,"COM_EQY_TO_TOT_ASSET","FQ4 2016","FQ4 2016","Currency=INR","Period=FQ","BEST_FPERIOD_OVERRIDE=FQ","FILING_STATUS=OR","EQY_CONSOLIDATED=Y","Sort=A","Dates=H","DateFormat=P","Fill=—","Direction=H","UseDPDF=Y")</f>
        <v>#NAME?</v>
      </c>
      <c r="CH542" s="2" t="e">
        <f ca="1">_xll.BDH($C$528,"LT_DEBT_TO_TOT_EQY","FQ4 2016","FQ4 2016","Currency=INR","Period=FQ","BEST_FPERIOD_OVERRIDE=FQ","FILING_STATUS=OR","EQY_CONSOLIDATED=Y","Sort=A","Dates=H","DateFormat=P","Fill=—","Direction=H","UseDPDF=Y")</f>
        <v>#NAME?</v>
      </c>
      <c r="CI542" s="2" t="e">
        <f ca="1">_xll.BDH($C$528,"LT_DEBT_TO_TOT_CAP","FQ4 2016","FQ4 2016","Currency=INR","Period=FQ","BEST_FPERIOD_OVERRIDE=FQ","FILING_STATUS=OR","EQY_CONSOLIDATED=Y","Sort=A","Dates=H","DateFormat=P","Fill=—","Direction=H","UseDPDF=Y")</f>
        <v>#NAME?</v>
      </c>
      <c r="CJ542" s="2" t="e">
        <f ca="1">_xll.BDH($C$528,"LT_DEBT_TO_TOT_ASSET","FQ4 2016","FQ4 2016","Currency=INR","Period=FQ","BEST_FPERIOD_OVERRIDE=FQ","FILING_STATUS=OR","EQY_CONSOLIDATED=Y","Sort=A","Dates=H","DateFormat=P","Fill=—","Direction=H","UseDPDF=Y")</f>
        <v>#NAME?</v>
      </c>
      <c r="CK542" s="2" t="e">
        <f ca="1">_xll.BDH($C$528,"TOT_DEBT_TO_TOT_EQY","FQ4 2016","FQ4 2016","Currency=INR","Period=FQ","BEST_FPERIOD_OVERRIDE=FQ","FILING_STATUS=OR","EQY_CONSOLIDATED=Y","Sort=A","Dates=H","DateFormat=P","Fill=—","Direction=H","UseDPDF=Y")</f>
        <v>#NAME?</v>
      </c>
      <c r="CL542" s="2" t="e">
        <f ca="1">_xll.BDH($C$528,"TOT_DEBT_TO_TOT_CAP","FQ4 2016","FQ4 2016","Currency=INR","Period=FQ","BEST_FPERIOD_OVERRIDE=FQ","FILING_STATUS=OR","EQY_CONSOLIDATED=Y","Sort=A","Dates=H","DateFormat=P","Fill=—","Direction=H","UseDPDF=Y")</f>
        <v>#NAME?</v>
      </c>
      <c r="CM542" s="2" t="e">
        <f ca="1">_xll.BDH($C$528,"TOT_DEBT_TO_TOT_ASSET","FQ4 2016","FQ4 2016","Currency=INR","Period=FQ","BEST_FPERIOD_OVERRIDE=FQ","FILING_STATUS=OR","EQY_CONSOLIDATED=Y","Sort=A","Dates=H","DateFormat=P","Fill=—","Direction=H","UseDPDF=Y")</f>
        <v>#NAME?</v>
      </c>
      <c r="CN542" s="2" t="e">
        <f ca="1">_xll.BDH($C$528,"NET_DEBT_TO_SHRHLDR_EQTY","FQ4 2016","FQ4 2016","Currency=INR","Period=FQ","BEST_FPERIOD_OVERRIDE=FQ","FILING_STATUS=OR","EQY_CONSOLIDATED=Y","Sort=A","Dates=H","DateFormat=P","Fill=—","Direction=H","UseDPDF=Y")</f>
        <v>#NAME?</v>
      </c>
      <c r="CO542" s="2" t="e">
        <f ca="1">_xll.BDH($C$528,"NET_DEBT_%_CAPITAL","FQ4 2016","FQ4 2016","Currency=INR","Period=FQ","BEST_FPERIOD_OVERRIDE=FQ","FILING_STATUS=OR","EQY_CONSOLIDATED=Y","Sort=A","Dates=H","DateFormat=P","Fill=—","Direction=H","UseDPDF=Y")</f>
        <v>#NAME?</v>
      </c>
      <c r="CP542" s="3" t="e">
        <f ca="1">_xll.BDH($C$528,"EBITDA","FQ4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542" s="3" t="e">
        <f ca="1">_xll.BDH($C$528,"EBITDA_AFTER_CAPEX","FQ4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542" s="3" t="e">
        <f ca="1">_xll.BDH($C$528,"IS_OPER_INC","FQ4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542" s="2" t="e">
        <f ca="1">_xll.BDH($C$528,"CASH_RATIO","FQ4 2016","FQ4 2016","Currency=INR","Period=FQ","BEST_FPERIOD_OVERRIDE=FQ","FILING_STATUS=OR","EQY_CONSOLIDATED=Y","Sort=A","Dates=H","DateFormat=P","Fill=—","Direction=H","UseDPDF=Y")</f>
        <v>#NAME?</v>
      </c>
      <c r="CT542" s="2" t="e">
        <f ca="1">_xll.BDH($C$528,"CUR_RATIO","FQ4 2016","FQ4 2016","Currency=INR","Period=FQ","BEST_FPERIOD_OVERRIDE=FQ","FILING_STATUS=OR","EQY_CONSOLIDATED=Y","Sort=A","Dates=H","DateFormat=P","Fill=—","Direction=H","UseDPDF=Y")</f>
        <v>#NAME?</v>
      </c>
      <c r="CU542" s="2" t="e">
        <f ca="1">_xll.BDH($C$528,"QUICK_RATIO","FQ4 2016","FQ4 2016","Currency=INR","Period=FQ","BEST_FPERIOD_OVERRIDE=FQ","FILING_STATUS=OR","EQY_CONSOLIDATED=Y","Sort=A","Dates=H","DateFormat=P","Fill=—","Direction=H","UseDPDF=Y")</f>
        <v>#NAME?</v>
      </c>
      <c r="CV542" s="2" t="e">
        <f ca="1">_xll.BDH($C$528,"ALTMAN_Z_SCORE","FQ4 2016","FQ4 2016","Currency=INR","Period=FQ","BEST_FPERIOD_OVERRIDE=FQ","FILING_STATUS=OR","EQY_CONSOLIDATED=Y","Sort=A","Dates=H","DateFormat=P","Fill=—","Direction=H","UseDPDF=Y")</f>
        <v>#NAME?</v>
      </c>
      <c r="CW542" s="4" t="e">
        <f ca="1">_xll.BDH($C$528,"ACCT_RCV_TURN","FQ4 2016","FQ4 2016","Currency=INR","Period=FQ","BEST_FPERIOD_OVERRIDE=FQ","FILING_STATUS=OR","EQY_CONSOLIDATED=Y","FA_ADJUSTED=GAAP","Sort=A","Dates=H","DateFormat=P","Fill=—","Direction=H","UseDPDF=Y")</f>
        <v>#NAME?</v>
      </c>
      <c r="CX542" s="2" t="e">
        <f ca="1">_xll.BDH($C$528,"ACCT_RCV_DAYS","FQ4 2016","FQ4 2016","Currency=INR","Period=FQ","BEST_FPERIOD_OVERRIDE=FQ","FILING_STATUS=OR","EQY_CONSOLIDATED=Y","FA_ADJUSTED=GAAP","Sort=A","Dates=H","DateFormat=P","Fill=—","Direction=H","UseDPDF=Y")</f>
        <v>#NAME?</v>
      </c>
      <c r="CY542" s="4" t="e">
        <f ca="1">_xll.BDH($C$528,"INVENT_TURN","FQ4 2016","FQ4 2016","Currency=INR","Period=FQ","BEST_FPERIOD_OVERRIDE=FQ","FILING_STATUS=OR","EQY_CONSOLIDATED=Y","FA_ADJUSTED=GAAP","Sort=A","Dates=H","DateFormat=P","Fill=—","Direction=H","UseDPDF=Y")</f>
        <v>#NAME?</v>
      </c>
      <c r="CZ542" s="2" t="e">
        <f ca="1">_xll.BDH($C$528,"INVENT_DAYS","FQ4 2016","FQ4 2016","Currency=INR","Period=FQ","BEST_FPERIOD_OVERRIDE=FQ","FILING_STATUS=OR","EQY_CONSOLIDATED=Y","FA_ADJUSTED=GAAP","Sort=A","Dates=H","DateFormat=P","Fill=—","Direction=H","UseDPDF=Y")</f>
        <v>#NAME?</v>
      </c>
      <c r="DA542" s="4" t="e">
        <f ca="1">_xll.BDH($C$528,"ACCOUNTS_PAYABLE_TURNOVER","FQ4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542" s="2" t="e">
        <f ca="1">_xll.BDH($C$528,"ACCOUNTS_PAYABLE_TURNOVER_DAYS","FQ4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542" s="4" t="e">
        <f ca="1">_xll.BDH($C$528,"CASH_CONVERSION_CYCLE","FQ4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542" s="4" t="e">
        <f ca="1">_xll.BDH($C$528,"INV_TO_CASH_DAYS","FQ4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542" s="5" t="e">
        <f ca="1">_xll.BDH($C$528,"BS_INVENTORIES","FQ4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542" s="3" t="e">
        <f ca="1">_xll.BDH($C$528,"INVTRY_RAW_MATERIALS","FQ4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542" s="3" t="e">
        <f ca="1">_xll.BDH($C$528,"INVTRY_IN_PROGRESS","FQ4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542" s="3" t="e">
        <f ca="1">_xll.BDH($C$528,"INVTRY_FINISHED_GOODS","FQ4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542" s="3" t="e">
        <f ca="1">_xll.BDH($C$528,"BS_OTHER_INV","FQ4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543" spans="1:113" x14ac:dyDescent="0.3">
      <c r="A543" s="6"/>
      <c r="B543" s="6"/>
      <c r="C543" s="6"/>
      <c r="D543" s="6" t="s">
        <v>84</v>
      </c>
      <c r="E543" t="s">
        <v>77</v>
      </c>
      <c r="F543" t="e">
        <f ca="1">_xll.BDH($C$528,"RETURN_COM_EQY","FY 2017","FY 2017","Currency=INR","Period=FY","BEST_FPERIOD_OVERRIDE=FY","FILING_STATUS=OR","EQY_CONSOLIDATED=Y","FA_ADJUSTED=GAAP","Sort=A","Dates=H","DateFormat=P","Fill=—","Direction=H","UseDPDF=Y")</f>
        <v>#NAME?</v>
      </c>
      <c r="G543" t="e">
        <f ca="1">_xll.BDH($C$528,"RETURN_ON_ASSET","FY 2017","FY 2017","Currency=INR","Period=FY","BEST_FPERIOD_OVERRIDE=FY","FILING_STATUS=OR","EQY_CONSOLIDATED=Y","FA_ADJUSTED=GAAP","Sort=A","Dates=H","DateFormat=P","Fill=—","Direction=H","UseDPDF=Y")</f>
        <v>#NAME?</v>
      </c>
      <c r="H543" t="e">
        <f ca="1">_xll.BDH($C$528,"RETURN_ON_CAP","FY 2017","FY 2017","Currency=INR","Period=FY","BEST_FPERIOD_OVERRIDE=FY","FILING_STATUS=OR","EQY_CONSOLIDATED=Y","FA_ADJUSTED=GAAP","Sort=A","Dates=H","DateFormat=P","Fill=—","Direction=H","UseDPDF=Y")</f>
        <v>#NAME?</v>
      </c>
      <c r="I543" t="e">
        <f ca="1">_xll.BDH($C$528,"RETURN_ON_INV_CAPITAL","FY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543" t="e">
        <f ca="1">_xll.BDH($C$528,"EBITDA_TO_REVENUE","FY 2017","FY 2017","Currency=INR","Period=FY","BEST_FPERIOD_OVERRIDE=FY","FILING_STATUS=OR","EQY_CONSOLIDATED=Y","FA_ADJUSTED=GAAP","Sort=A","Dates=H","DateFormat=P","Fill=—","Direction=H","UseDPDF=Y")</f>
        <v>#NAME?</v>
      </c>
      <c r="K543" t="e">
        <f ca="1">_xll.BDH($C$528,"OPER_MARGIN","FY 2017","FY 2017","Currency=INR","Period=FY","BEST_FPERIOD_OVERRIDE=FY","FILING_STATUS=OR","EQY_CONSOLIDATED=Y","FA_ADJUSTED=GAAP","Sort=A","Dates=H","DateFormat=P","Fill=—","Direction=H","UseDPDF=Y")</f>
        <v>#NAME?</v>
      </c>
      <c r="L543" t="e">
        <f ca="1">_xll.BDH($C$528,"INCREMENTAL_OPERATING_MARGIN","FY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543" t="e">
        <f ca="1">_xll.BDH($C$528,"PRETAX_INC_TO_NET_SALES","FY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543" t="e">
        <f ca="1">_xll.BDH($C$528,"INC_BEF_XO_ITEMS_TO_NET_SALES","FY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543" t="e">
        <f ca="1">_xll.BDH($C$528,"PROF_MARGIN","FY 2017","FY 2017","Currency=INR","Period=FY","BEST_FPERIOD_OVERRIDE=FY","FILING_STATUS=OR","EQY_CONSOLIDATED=Y","FA_ADJUSTED=GAAP","Sort=A","Dates=H","DateFormat=P","Fill=—","Direction=H","UseDPDF=Y")</f>
        <v>#NAME?</v>
      </c>
      <c r="P543" t="e">
        <f ca="1">_xll.BDH($C$528,"NET_INCOME_TO_COMMON_MARGIN","FY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543" t="e">
        <f ca="1">_xll.BDH($C$528,"EFF_TAX_RATE","FY 2017","FY 2017","Currency=INR","Period=FY","BEST_FPERIOD_OVERRIDE=FY","FILING_STATUS=OR","EQY_CONSOLIDATED=Y","FA_ADJUSTED=GAAP","Sort=A","Dates=H","DateFormat=P","Fill=—","Direction=H","UseDPDF=Y")</f>
        <v>#NAME?</v>
      </c>
      <c r="R543" t="e">
        <f ca="1">_xll.BDH($C$528,"DVD_PAYOUT_RATIO","FY 2017","FY 2017","Currency=INR","Period=FY","BEST_FPERIOD_OVERRIDE=FY","FILING_STATUS=OR","EQY_CONSOLIDATED=Y","FA_ADJUSTED=GAAP","Sort=A","Dates=H","DateFormat=P","Fill=—","Direction=H","UseDPDF=Y")</f>
        <v>#NAME?</v>
      </c>
      <c r="S543" t="e">
        <f ca="1">_xll.BDH($C$528,"SUSTAIN_GROWTH_RT","FY 2017","FY 2017","Currency=INR","Period=FY","BEST_FPERIOD_OVERRIDE=FY","FILING_STATUS=OR","EQY_CONSOLIDATED=Y","FA_ADJUSTED=GAAP","Sort=A","Dates=H","DateFormat=P","Fill=—","Direction=H","UseDPDF=Y")</f>
        <v>#NAME?</v>
      </c>
      <c r="T543" s="2" t="e">
        <f ca="1">_xll.BDH($C$528,"SALES_GROWTH","FY 2017","FY 2017","Currency=INR","Period=FY","BEST_FPERIOD_OVERRIDE=FY","FILING_STATUS=OR","EQY_CONSOLIDATED=Y","FA_ADJUSTED=GAAP","Sort=A","Dates=H","DateFormat=P","Fill=—","Direction=H","UseDPDF=Y")</f>
        <v>#NAME?</v>
      </c>
      <c r="U543" s="2" t="e">
        <f ca="1">_xll.BDH($C$528,"EBITDA_GROWTH","FY 2017","FY 2017","Currency=INR","Period=FY","BEST_FPERIOD_OVERRIDE=FY","FILING_STATUS=OR","EQY_CONSOLIDATED=Y","FA_ADJUSTED=GAAP","Sort=A","Dates=H","DateFormat=P","Fill=—","Direction=H","UseDPDF=Y")</f>
        <v>#NAME?</v>
      </c>
      <c r="V543" s="2" t="e">
        <f ca="1">_xll.BDH($C$528,"OPER_INC_GROWTH","FY 2017","FY 2017","Currency=INR","Period=FY","BEST_FPERIOD_OVERRIDE=FY","FILING_STATUS=OR","EQY_CONSOLIDATED=Y","FA_ADJUSTED=GAAP","Sort=A","Dates=H","DateFormat=P","Fill=—","Direction=H","UseDPDF=Y")</f>
        <v>#NAME?</v>
      </c>
      <c r="W543" s="2" t="e">
        <f ca="1">_xll.BDH($C$528,"EARN_FOR_COM_GROWTH","FY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543" s="2" t="e">
        <f ca="1">_xll.BDH($C$528,"DILUTED_EPS_AFT_XO_ITEMS_GROWTH","FY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543" s="2" t="e">
        <f ca="1">_xll.BDH($C$528,"DIVIDEND_PER_SHARE_1_YEAR_GROWTH","FY 2017","FY 2017","Currency=INR","Period=FY","BEST_FPERIOD_OVERRIDE=FY","FILING_STATUS=OR","EQY_CONSOLIDATED=Y","Sort=A","Dates=H","DateFormat=P","Fill=—","Direction=H","UseDPDF=Y")</f>
        <v>#NAME?</v>
      </c>
      <c r="Z543" s="2" t="e">
        <f ca="1">_xll.BDH($C$528,"ACCOUNTS_RECEIVABLE_GROWTH","FY 2017","FY 2017","Currency=INR","Period=FY","BEST_FPERIOD_OVERRIDE=FY","FILING_STATUS=OR","EQY_CONSOLIDATED=Y","Sort=A","Dates=H","DateFormat=P","Fill=—","Direction=H","UseDPDF=Y")</f>
        <v>#NAME?</v>
      </c>
      <c r="AA543" s="2" t="e">
        <f ca="1">_xll.BDH($C$528,"INVENTORY_GROWTH","FY 2017","FY 2017","Currency=INR","Period=FY","BEST_FPERIOD_OVERRIDE=FY","FILING_STATUS=OR","EQY_CONSOLIDATED=Y","Sort=A","Dates=H","DateFormat=P","Fill=—","Direction=H","UseDPDF=Y")</f>
        <v>#NAME?</v>
      </c>
      <c r="AB543" s="2" t="e">
        <f ca="1">_xll.BDH($C$528,"NET_FIXED_ASSETS_1_YEAR_GROWTH","FY 2017","FY 2017","Currency=INR","Period=FY","BEST_FPERIOD_OVERRIDE=FY","FILING_STATUS=OR","EQY_CONSOLIDATED=Y","Sort=A","Dates=H","DateFormat=P","Fill=—","Direction=H","UseDPDF=Y")</f>
        <v>#NAME?</v>
      </c>
      <c r="AC543" s="2" t="e">
        <f ca="1">_xll.BDH($C$528,"ASSET_GROWTH","FY 2017","FY 2017","Currency=INR","Period=FY","BEST_FPERIOD_OVERRIDE=FY","FILING_STATUS=OR","EQY_CONSOLIDATED=Y","Sort=A","Dates=H","DateFormat=P","Fill=—","Direction=H","UseDPDF=Y")</f>
        <v>#NAME?</v>
      </c>
      <c r="AD543" s="2" t="e">
        <f ca="1">_xll.BDH($C$528,"MODIFIED_WORK_CAP_GROWTH","FY 2017","FY 2017","Currency=INR","Period=FY","BEST_FPERIOD_OVERRIDE=FY","FILING_STATUS=OR","EQY_CONSOLIDATED=Y","Sort=A","Dates=H","DateFormat=P","Fill=—","Direction=H","UseDPDF=Y")</f>
        <v>#NAME?</v>
      </c>
      <c r="AE543" s="2" t="e">
        <f ca="1">_xll.BDH($C$528,"WORK_CAP_GROWTH","FY 2017","FY 2017","Currency=INR","Period=FY","BEST_FPERIOD_OVERRIDE=FY","FILING_STATUS=OR","EQY_CONSOLIDATED=Y","Sort=A","Dates=H","DateFormat=P","Fill=—","Direction=H","UseDPDF=Y")</f>
        <v>#NAME?</v>
      </c>
      <c r="AF543" s="2" t="e">
        <f ca="1">_xll.BDH($C$528,"ACCOUNTS_PAYABLE_GROWTH_1YR","FY 2017","FY 2017","Currency=INR","Period=FY","BEST_FPERIOD_OVERRIDE=FY","FILING_STATUS=OR","EQY_CONSOLIDATED=Y","Sort=A","Dates=H","DateFormat=P","Fill=—","Direction=H","UseDPDF=Y")</f>
        <v>#NAME?</v>
      </c>
      <c r="AG543" s="2" t="e">
        <f ca="1">_xll.BDH($C$528,"SHORT_TERM_DEBT_1_YEAR_GROWTH","FY 2017","FY 2017","Currency=INR","Period=FY","BEST_FPERIOD_OVERRIDE=FY","FILING_STATUS=OR","EQY_CONSOLIDATED=Y","Sort=A","Dates=H","DateFormat=P","Fill=—","Direction=H","UseDPDF=Y")</f>
        <v>#NAME?</v>
      </c>
      <c r="AH543" s="2" t="e">
        <f ca="1">_xll.BDH($C$528,"TOTAL_DEBT_1_YEAR_GROWTH","FY 2017","FY 2017","Currency=INR","Period=FY","BEST_FPERIOD_OVERRIDE=FY","FILING_STATUS=OR","EQY_CONSOLIDATED=Y","Sort=A","Dates=H","DateFormat=P","Fill=—","Direction=H","UseDPDF=Y")</f>
        <v>#NAME?</v>
      </c>
      <c r="AI543" s="2" t="e">
        <f ca="1">_xll.BDH($C$528,"TOTAL_EQUITY_1_YEAR_GROWTH","FY 2017","FY 2017","Currency=INR","Period=FY","BEST_FPERIOD_OVERRIDE=FY","FILING_STATUS=OR","EQY_CONSOLIDATED=Y","Sort=A","Dates=H","DateFormat=P","Fill=—","Direction=H","UseDPDF=Y")</f>
        <v>#NAME?</v>
      </c>
      <c r="AJ543" s="2" t="e">
        <f ca="1">_xll.BDH($C$528,"GROWTH_IN_CAP","FY 2017","FY 2017","Currency=INR","Period=FY","BEST_FPERIOD_OVERRIDE=FY","FILING_STATUS=OR","EQY_CONSOLIDATED=Y","Sort=A","Dates=H","DateFormat=P","Fill=—","Direction=H","UseDPDF=Y")</f>
        <v>#NAME?</v>
      </c>
      <c r="AK543" s="2" t="e">
        <f ca="1">_xll.BDH($C$528,"BVPS_GROWTH","FY 2017","FY 2017","Currency=INR","Period=FY","BEST_FPERIOD_OVERRIDE=FY","FILING_STATUS=OR","EQY_CONSOLIDATED=Y","Sort=A","Dates=H","DateFormat=P","Fill=—","Direction=H","UseDPDF=Y")</f>
        <v>#NAME?</v>
      </c>
      <c r="AL543" s="2" t="e">
        <f ca="1">_xll.BDH($C$528,"CASH_FLOW_GROWTH","FY 2017","FY 2017","Currency=INR","Period=FY","BEST_FPERIOD_OVERRIDE=FY","FILING_STATUS=OR","EQY_CONSOLIDATED=Y","Sort=A","Dates=H","DateFormat=P","Fill=—","Direction=H","UseDPDF=Y")</f>
        <v>#NAME?</v>
      </c>
      <c r="AM543" s="2" t="e">
        <f ca="1">_xll.BDH($C$528,"GEO_GROW_NET_SALES","FY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543" s="2" t="e">
        <f ca="1">_xll.BDH($C$528,"GEO_GROW_EBITDA","FY 2017","FY 2017","Currency=INR","Period=FY","BEST_FPERIOD_OVERRIDE=FY","FILING_STATUS=OR","EQY_CONSOLIDATED=Y","FA_ADJUSTED=GAAP","Sort=A","Dates=H","DateFormat=P","Fill=—","Direction=H","UseDPDF=Y")</f>
        <v>#NAME?</v>
      </c>
      <c r="AO543" s="2" t="e">
        <f ca="1">_xll.BDH($C$528,"GEO_GROW_OPER_INC","FY 2017","FY 2017","Currency=INR","Period=FY","BEST_FPERIOD_OVERRIDE=FY","FILING_STATUS=OR","EQY_CONSOLIDATED=Y","FA_ADJUSTED=GAAP","Sort=A","Dates=H","DateFormat=P","Fill=—","Direction=H","UseDPDF=Y")</f>
        <v>#NAME?</v>
      </c>
      <c r="AP543" s="2" t="e">
        <f ca="1">_xll.BDH($C$528,"NET_INCOME_TO_COMMON_5_YR_GROWTH","FY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543" s="2" t="e">
        <f ca="1">_xll.BDH($C$528,"5Y_GEO_GROWTH_DILUTED_EPS","FY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543" s="2" t="e">
        <f ca="1">_xll.BDH($C$528,"GEO_GROW_DVD_PER_SH","FY 2017","FY 2017","Currency=INR","Period=FY","BEST_FPERIOD_OVERRIDE=FY","FILING_STATUS=OR","EQY_CONSOLIDATED=Y","Sort=A","Dates=H","DateFormat=P","Fill=—","Direction=H","UseDPDF=Y")</f>
        <v>#NAME?</v>
      </c>
      <c r="AS543" s="2" t="e">
        <f ca="1">_xll.BDH($C$528,"ACCOUNTS_RECEIVABLE_5_YR_GROWTH","FY 2017","FY 2017","Currency=INR","Period=FY","BEST_FPERIOD_OVERRIDE=FY","FILING_STATUS=OR","EQY_CONSOLIDATED=Y","Sort=A","Dates=H","DateFormat=P","Fill=—","Direction=H","UseDPDF=Y")</f>
        <v>#NAME?</v>
      </c>
      <c r="AT543" s="2" t="e">
        <f ca="1">_xll.BDH($C$528,"INVENTORY_5_YEAR_GROWTH","FY 2017","FY 2017","Currency=INR","Period=FY","BEST_FPERIOD_OVERRIDE=FY","FILING_STATUS=OR","EQY_CONSOLIDATED=Y","Sort=A","Dates=H","DateFormat=P","Fill=—","Direction=H","UseDPDF=Y")</f>
        <v>#NAME?</v>
      </c>
      <c r="AU543" s="2" t="e">
        <f ca="1">_xll.BDH($C$528,"NET_FIXED_ASSETS_5_YEAR_GROWTH","FY 2017","FY 2017","Currency=INR","Period=FY","BEST_FPERIOD_OVERRIDE=FY","FILING_STATUS=OR","EQY_CONSOLIDATED=Y","Sort=A","Dates=H","DateFormat=P","Fill=—","Direction=H","UseDPDF=Y")</f>
        <v>#NAME?</v>
      </c>
      <c r="AV543" s="2" t="e">
        <f ca="1">_xll.BDH($C$528,"GEO_GROW_TOT_ASSET","FY 2017","FY 2017","Currency=INR","Period=FY","BEST_FPERIOD_OVERRIDE=FY","FILING_STATUS=OR","EQY_CONSOLIDATED=Y","Sort=A","Dates=H","DateFormat=P","Fill=—","Direction=H","UseDPDF=Y")</f>
        <v>#NAME?</v>
      </c>
      <c r="AW543" s="2" t="e">
        <f ca="1">_xll.BDH($C$528,"MODIFIED_WORKING_CPTL_5YR_GRWTH","FY 2017","FY 2017","Currency=INR","Period=FY","BEST_FPERIOD_OVERRIDE=FY","FILING_STATUS=OR","EQY_CONSOLIDATED=Y","Sort=A","Dates=H","DateFormat=P","Fill=—","Direction=H","UseDPDF=Y")</f>
        <v>#NAME?</v>
      </c>
      <c r="AX543" s="2" t="e">
        <f ca="1">_xll.BDH($C$528,"WORKING_CAPITAL_5_YEAR_GROWTH","FY 2017","FY 2017","Currency=INR","Period=FY","BEST_FPERIOD_OVERRIDE=FY","FILING_STATUS=OR","EQY_CONSOLIDATED=Y","Sort=A","Dates=H","DateFormat=P","Fill=—","Direction=H","UseDPDF=Y")</f>
        <v>#NAME?</v>
      </c>
      <c r="AY543" s="2" t="e">
        <f ca="1">_xll.BDH($C$528,"ACCOUNTS_PAYABLE_5_YEAR_GROWTH","FY 2017","FY 2017","Currency=INR","Period=FY","BEST_FPERIOD_OVERRIDE=FY","FILING_STATUS=OR","EQY_CONSOLIDATED=Y","Sort=A","Dates=H","DateFormat=P","Fill=—","Direction=H","UseDPDF=Y")</f>
        <v>#NAME?</v>
      </c>
      <c r="AZ543" s="2" t="e">
        <f ca="1">_xll.BDH($C$528,"SHORT_TERM_DEBT_5_YEAR_GROWTH","FY 2017","FY 2017","Currency=INR","Period=FY","BEST_FPERIOD_OVERRIDE=FY","FILING_STATUS=OR","EQY_CONSOLIDATED=Y","Sort=A","Dates=H","DateFormat=P","Fill=—","Direction=H","UseDPDF=Y")</f>
        <v>#NAME?</v>
      </c>
      <c r="BA543" s="2" t="e">
        <f ca="1">_xll.BDH($C$528,"TOTAL_DEBT_5_YEAR_GROWTH","FY 2017","FY 2017","Currency=INR","Period=FY","BEST_FPERIOD_OVERRIDE=FY","FILING_STATUS=OR","EQY_CONSOLIDATED=Y","Sort=A","Dates=H","DateFormat=P","Fill=—","Direction=H","UseDPDF=Y")</f>
        <v>#NAME?</v>
      </c>
      <c r="BB543" s="2" t="e">
        <f ca="1">_xll.BDH($C$528,"GEO_GROW_TOT_SHRHLDR_EQY","FY 2017","FY 2017","Currency=INR","Period=FY","BEST_FPERIOD_OVERRIDE=FY","FILING_STATUS=OR","EQY_CONSOLIDATED=Y","Sort=A","Dates=H","DateFormat=P","Fill=—","Direction=H","UseDPDF=Y")</f>
        <v>#NAME?</v>
      </c>
      <c r="BC543" s="2" t="e">
        <f ca="1">_xll.BDH($C$528,"TOTAL_CAPITAL_5_YEAR_GROWTH","FY 2017","FY 2017","Currency=INR","Period=FY","BEST_FPERIOD_OVERRIDE=FY","FILING_STATUS=OR","EQY_CONSOLIDATED=Y","Sort=A","Dates=H","DateFormat=P","Fill=—","Direction=H","UseDPDF=Y")</f>
        <v>#NAME?</v>
      </c>
      <c r="BD543" s="2" t="e">
        <f ca="1">_xll.BDH($C$528,"GEO_GROW_BOOK_VAL","FY 2017","FY 2017","Currency=INR","Period=FY","BEST_FPERIOD_OVERRIDE=FY","FILING_STATUS=OR","EQY_CONSOLIDATED=Y","Sort=A","Dates=H","DateFormat=P","Fill=—","Direction=H","UseDPDF=Y")</f>
        <v>#NAME?</v>
      </c>
      <c r="BE543" s="2" t="e">
        <f ca="1">_xll.BDH($C$528,"GEO_GROW_CASH_OPER_ACT","FY 2017","FY 2017","Currency=INR","Period=FY","BEST_FPERIOD_OVERRIDE=FY","FILING_STATUS=OR","EQY_CONSOLIDATED=Y","Sort=A","Dates=H","DateFormat=P","Fill=—","Direction=H","UseDPDF=Y")</f>
        <v>#NAME?</v>
      </c>
      <c r="BF543" s="2" t="e">
        <f ca="1">_xll.BDH($C$528,"REVENUE_SEQUENTIAL_GROWTH","FY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543" s="2" t="e">
        <f ca="1">_xll.BDH($C$528,"EBITDA_SEQUENTIAL_GROWTH","FY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543" s="2" t="e">
        <f ca="1">_xll.BDH($C$528,"OPERATING_INCOME_SEQ_GROWTH","FY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543" s="2" t="e">
        <f ca="1">_xll.BDH($C$528,"NET_INCOME_TO_COMMON_SEQ_GROWTH","FY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543" s="2" t="e">
        <f ca="1">_xll.BDH($C$528,"EPS_DILUTED_SEQUENTIAL_GROWTH","FY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543" s="2" t="e">
        <f ca="1">_xll.BDH($C$528,"DPS_SEQUENTIAL_GROWTH","FY 2017","FY 2017","Currency=INR","Period=FY","BEST_FPERIOD_OVERRIDE=FY","FILING_STATUS=OR","EQY_CONSOLIDATED=Y","Sort=A","Dates=H","DateFormat=P","Fill=—","Direction=H","UseDPDF=Y")</f>
        <v>#NAME?</v>
      </c>
      <c r="BL543" s="2" t="e">
        <f ca="1">_xll.BDH($C$528,"ACCOUNTS_RECEIVABLE_SEQ_GROWTH","FY 2017","FY 2017","Currency=INR","Period=FY","BEST_FPERIOD_OVERRIDE=FY","FILING_STATUS=OR","EQY_CONSOLIDATED=Y","Sort=A","Dates=H","DateFormat=P","Fill=—","Direction=H","UseDPDF=Y")</f>
        <v>#NAME?</v>
      </c>
      <c r="BM543" s="2" t="e">
        <f ca="1">_xll.BDH($C$528,"INVENTORY_SEQUENTIAL_GROWTH","FY 2017","FY 2017","Currency=INR","Period=FY","BEST_FPERIOD_OVERRIDE=FY","FILING_STATUS=OR","EQY_CONSOLIDATED=Y","Sort=A","Dates=H","DateFormat=P","Fill=—","Direction=H","UseDPDF=Y")</f>
        <v>#NAME?</v>
      </c>
      <c r="BN543" s="2" t="e">
        <f ca="1">_xll.BDH($C$528,"FIXED_ASSETS_SEQUENTIAL_GROWTH","FY 2017","FY 2017","Currency=INR","Period=FY","BEST_FPERIOD_OVERRIDE=FY","FILING_STATUS=OR","EQY_CONSOLIDATED=Y","Sort=A","Dates=H","DateFormat=P","Fill=—","Direction=H","UseDPDF=Y")</f>
        <v>#NAME?</v>
      </c>
      <c r="BO543" s="2" t="e">
        <f ca="1">_xll.BDH($C$528,"TOTAL_ASSETS_SEQUENTIAL_GROWTH","FY 2017","FY 2017","Currency=INR","Period=FY","BEST_FPERIOD_OVERRIDE=FY","FILING_STATUS=OR","EQY_CONSOLIDATED=Y","Sort=A","Dates=H","DateFormat=P","Fill=—","Direction=H","UseDPDF=Y")</f>
        <v>#NAME?</v>
      </c>
      <c r="BP543" s="2" t="e">
        <f ca="1">_xll.BDH($C$528,"MODIFIED_WORKING_CPTL_SEQ_GRWTH","FY 2017","FY 2017","Currency=INR","Period=FY","BEST_FPERIOD_OVERRIDE=FY","FILING_STATUS=OR","EQY_CONSOLIDATED=Y","Sort=A","Dates=H","DateFormat=P","Fill=—","Direction=H","UseDPDF=Y")</f>
        <v>#NAME?</v>
      </c>
      <c r="BQ543" s="2" t="e">
        <f ca="1">_xll.BDH($C$528,"WORKING_CAPITAL_SEQ_GROWTH","FY 2017","FY 2017","Currency=INR","Period=FY","BEST_FPERIOD_OVERRIDE=FY","FILING_STATUS=OR","EQY_CONSOLIDATED=Y","Sort=A","Dates=H","DateFormat=P","Fill=—","Direction=H","UseDPDF=Y")</f>
        <v>#NAME?</v>
      </c>
      <c r="BR543" s="2" t="e">
        <f ca="1">_xll.BDH($C$528,"ACCOUNTS_PAYABLE_SEQ_GROWTH","FY 2017","FY 2017","Currency=INR","Period=FY","BEST_FPERIOD_OVERRIDE=FY","FILING_STATUS=OR","EQY_CONSOLIDATED=Y","Sort=A","Dates=H","DateFormat=P","Fill=—","Direction=H","UseDPDF=Y")</f>
        <v>#NAME?</v>
      </c>
      <c r="BS543" s="2" t="e">
        <f ca="1">_xll.BDH($C$528,"ST_DEBT_SEQUENTIAL_GROWTH","FY 2017","FY 2017","Currency=INR","Period=FY","BEST_FPERIOD_OVERRIDE=FY","FILING_STATUS=OR","EQY_CONSOLIDATED=Y","Sort=A","Dates=H","DateFormat=P","Fill=—","Direction=H","UseDPDF=Y")</f>
        <v>#NAME?</v>
      </c>
      <c r="BT543" s="2" t="e">
        <f ca="1">_xll.BDH($C$528,"TOTAL_DEBT_SEQUENTIAL_GROWTH","FY 2017","FY 2017","Currency=INR","Period=FY","BEST_FPERIOD_OVERRIDE=FY","FILING_STATUS=OR","EQY_CONSOLIDATED=Y","Sort=A","Dates=H","DateFormat=P","Fill=—","Direction=H","UseDPDF=Y")</f>
        <v>#NAME?</v>
      </c>
      <c r="BU543" s="2" t="e">
        <f ca="1">_xll.BDH($C$528,"TOTAL_EQUITY_SEQUENTIAL_GROWTH","FY 2017","FY 2017","Currency=INR","Period=FY","BEST_FPERIOD_OVERRIDE=FY","FILING_STATUS=OR","EQY_CONSOLIDATED=Y","Sort=A","Dates=H","DateFormat=P","Fill=—","Direction=H","UseDPDF=Y")</f>
        <v>#NAME?</v>
      </c>
      <c r="BV543" s="2" t="e">
        <f ca="1">_xll.BDH($C$528,"TOTAL_CAPITAL_SEQUENTIAL_GROWTH","FY 2017","FY 2017","Currency=INR","Period=FY","BEST_FPERIOD_OVERRIDE=FY","FILING_STATUS=OR","EQY_CONSOLIDATED=Y","Sort=A","Dates=H","DateFormat=P","Fill=—","Direction=H","UseDPDF=Y")</f>
        <v>#NAME?</v>
      </c>
      <c r="BW543" s="2" t="e">
        <f ca="1">_xll.BDH($C$528,"BPS_SEQUENTIAL_GROWTH","FY 2017","FY 2017","Currency=INR","Period=FY","BEST_FPERIOD_OVERRIDE=FY","FILING_STATUS=OR","EQY_CONSOLIDATED=Y","Sort=A","Dates=H","DateFormat=P","Fill=—","Direction=H","UseDPDF=Y")</f>
        <v>#NAME?</v>
      </c>
      <c r="BX543" s="2" t="e">
        <f ca="1">_xll.BDH($C$528,"CFO_SEQUENTIAL_GROWTH","FY 2017","FY 2017","Currency=INR","Period=FY","BEST_FPERIOD_OVERRIDE=FY","FILING_STATUS=OR","EQY_CONSOLIDATED=Y","Sort=A","Dates=H","DateFormat=P","Fill=—","Direction=H","UseDPDF=Y")</f>
        <v>#NAME?</v>
      </c>
      <c r="BY543" s="3" t="e">
        <f ca="1">_xll.BDH($C$528,"SHORT_AND_LONG_TERM_DEBT","FY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543" s="3" t="e">
        <f ca="1">_xll.BDH($C$528,"BS_ST_BORROW","FY 2017","FY 2017","Currency=INR","Period=FY","BEST_FPERIOD_OVERRIDE=FY","FILING_STATUS=OR","EQY_CONSOLIDATED=Y","SCALING_FORMAT=MLN","Sort=A","Dates=H","DateFormat=P","Fill=—","Direction=H","UseDPDF=Y")</f>
        <v>#NAME?</v>
      </c>
      <c r="CA543" s="3" t="e">
        <f ca="1">_xll.BDH($C$528,"BS_LT_BORROW","FY 2017","FY 2017","Currency=INR","Period=FY","BEST_FPERIOD_OVERRIDE=FY","FILING_STATUS=OR","EQY_CONSOLIDATED=Y","SCALING_FORMAT=MLN","Sort=A","Dates=H","DateFormat=P","Fill=—","Direction=H","UseDPDF=Y")</f>
        <v>#NAME?</v>
      </c>
      <c r="CB543" s="2" t="e">
        <f ca="1">_xll.BDH($C$528,"TOT_DEBT_TO_EBITDA","FY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543" s="2" t="e">
        <f ca="1">_xll.BDH($C$528,"NET_DEBT_TO_EBITDA","FY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543" s="2" t="e">
        <f ca="1">_xll.BDH($C$528,"TOTAL_DEBT_TO_EBIT","FY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543" s="2" t="e">
        <f ca="1">_xll.BDH($C$528,"NET_DEBT_TO_EBIT","FY 2017","FY 2017","Currency=INR","Period=FY","BEST_FPERIOD_OVERRIDE=FY","FILING_STATUS=OR","EQY_CONSOLIDATED=Y","FA_ADJUSTED=GAAP","Sort=A","Dates=H","DateFormat=P","Fill=—","Direction=H","UseDPDF=Y")</f>
        <v>#NAME?</v>
      </c>
      <c r="CF543" s="2" t="e">
        <f ca="1">_xll.BDH($C$528,"EBITDA_TO_INTEREST_EXPN","FY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543" s="2" t="e">
        <f ca="1">_xll.BDH($C$528,"COM_EQY_TO_TOT_ASSET","FY 2017","FY 2017","Currency=INR","Period=FY","BEST_FPERIOD_OVERRIDE=FY","FILING_STATUS=OR","EQY_CONSOLIDATED=Y","Sort=A","Dates=H","DateFormat=P","Fill=—","Direction=H","UseDPDF=Y")</f>
        <v>#NAME?</v>
      </c>
      <c r="CH543" s="2" t="e">
        <f ca="1">_xll.BDH($C$528,"LT_DEBT_TO_TOT_EQY","FY 2017","FY 2017","Currency=INR","Period=FY","BEST_FPERIOD_OVERRIDE=FY","FILING_STATUS=OR","EQY_CONSOLIDATED=Y","Sort=A","Dates=H","DateFormat=P","Fill=—","Direction=H","UseDPDF=Y")</f>
        <v>#NAME?</v>
      </c>
      <c r="CI543" s="2" t="e">
        <f ca="1">_xll.BDH($C$528,"LT_DEBT_TO_TOT_CAP","FY 2017","FY 2017","Currency=INR","Period=FY","BEST_FPERIOD_OVERRIDE=FY","FILING_STATUS=OR","EQY_CONSOLIDATED=Y","Sort=A","Dates=H","DateFormat=P","Fill=—","Direction=H","UseDPDF=Y")</f>
        <v>#NAME?</v>
      </c>
      <c r="CJ543" s="2" t="e">
        <f ca="1">_xll.BDH($C$528,"LT_DEBT_TO_TOT_ASSET","FY 2017","FY 2017","Currency=INR","Period=FY","BEST_FPERIOD_OVERRIDE=FY","FILING_STATUS=OR","EQY_CONSOLIDATED=Y","Sort=A","Dates=H","DateFormat=P","Fill=—","Direction=H","UseDPDF=Y")</f>
        <v>#NAME?</v>
      </c>
      <c r="CK543" s="2" t="e">
        <f ca="1">_xll.BDH($C$528,"TOT_DEBT_TO_TOT_EQY","FY 2017","FY 2017","Currency=INR","Period=FY","BEST_FPERIOD_OVERRIDE=FY","FILING_STATUS=OR","EQY_CONSOLIDATED=Y","Sort=A","Dates=H","DateFormat=P","Fill=—","Direction=H","UseDPDF=Y")</f>
        <v>#NAME?</v>
      </c>
      <c r="CL543" s="2" t="e">
        <f ca="1">_xll.BDH($C$528,"TOT_DEBT_TO_TOT_CAP","FY 2017","FY 2017","Currency=INR","Period=FY","BEST_FPERIOD_OVERRIDE=FY","FILING_STATUS=OR","EQY_CONSOLIDATED=Y","Sort=A","Dates=H","DateFormat=P","Fill=—","Direction=H","UseDPDF=Y")</f>
        <v>#NAME?</v>
      </c>
      <c r="CM543" s="2" t="e">
        <f ca="1">_xll.BDH($C$528,"TOT_DEBT_TO_TOT_ASSET","FY 2017","FY 2017","Currency=INR","Period=FY","BEST_FPERIOD_OVERRIDE=FY","FILING_STATUS=OR","EQY_CONSOLIDATED=Y","Sort=A","Dates=H","DateFormat=P","Fill=—","Direction=H","UseDPDF=Y")</f>
        <v>#NAME?</v>
      </c>
      <c r="CN543" s="2" t="e">
        <f ca="1">_xll.BDH($C$528,"NET_DEBT_TO_SHRHLDR_EQTY","FY 2017","FY 2017","Currency=INR","Period=FY","BEST_FPERIOD_OVERRIDE=FY","FILING_STATUS=OR","EQY_CONSOLIDATED=Y","Sort=A","Dates=H","DateFormat=P","Fill=—","Direction=H","UseDPDF=Y")</f>
        <v>#NAME?</v>
      </c>
      <c r="CO543" s="2" t="e">
        <f ca="1">_xll.BDH($C$528,"NET_DEBT_%_CAPITAL","FY 2017","FY 2017","Currency=INR","Period=FY","BEST_FPERIOD_OVERRIDE=FY","FILING_STATUS=OR","EQY_CONSOLIDATED=Y","Sort=A","Dates=H","DateFormat=P","Fill=—","Direction=H","UseDPDF=Y")</f>
        <v>#NAME?</v>
      </c>
      <c r="CP543" s="3" t="e">
        <f ca="1">_xll.BDH($C$528,"EBITDA","FY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543" s="3" t="e">
        <f ca="1">_xll.BDH($C$528,"EBITDA_AFTER_CAPEX","FY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543" s="3" t="e">
        <f ca="1">_xll.BDH($C$528,"IS_OPER_INC","FY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543" s="2" t="e">
        <f ca="1">_xll.BDH($C$528,"CASH_RATIO","FY 2017","FY 2017","Currency=INR","Period=FY","BEST_FPERIOD_OVERRIDE=FY","FILING_STATUS=OR","EQY_CONSOLIDATED=Y","Sort=A","Dates=H","DateFormat=P","Fill=—","Direction=H","UseDPDF=Y")</f>
        <v>#NAME?</v>
      </c>
      <c r="CT543" s="2" t="e">
        <f ca="1">_xll.BDH($C$528,"CUR_RATIO","FY 2017","FY 2017","Currency=INR","Period=FY","BEST_FPERIOD_OVERRIDE=FY","FILING_STATUS=OR","EQY_CONSOLIDATED=Y","Sort=A","Dates=H","DateFormat=P","Fill=—","Direction=H","UseDPDF=Y")</f>
        <v>#NAME?</v>
      </c>
      <c r="CU543" s="2" t="e">
        <f ca="1">_xll.BDH($C$528,"QUICK_RATIO","FY 2017","FY 2017","Currency=INR","Period=FY","BEST_FPERIOD_OVERRIDE=FY","FILING_STATUS=OR","EQY_CONSOLIDATED=Y","Sort=A","Dates=H","DateFormat=P","Fill=—","Direction=H","UseDPDF=Y")</f>
        <v>#NAME?</v>
      </c>
      <c r="CV543" s="2" t="e">
        <f ca="1">_xll.BDH($C$528,"ALTMAN_Z_SCORE","FY 2017","FY 2017","Currency=INR","Period=FY","BEST_FPERIOD_OVERRIDE=FY","FILING_STATUS=OR","EQY_CONSOLIDATED=Y","Sort=A","Dates=H","DateFormat=P","Fill=—","Direction=H","UseDPDF=Y")</f>
        <v>#NAME?</v>
      </c>
      <c r="CW543" s="4" t="e">
        <f ca="1">_xll.BDH($C$528,"ACCT_RCV_TURN","FY 2017","FY 2017","Currency=INR","Period=FY","BEST_FPERIOD_OVERRIDE=FY","FILING_STATUS=OR","EQY_CONSOLIDATED=Y","FA_ADJUSTED=GAAP","Sort=A","Dates=H","DateFormat=P","Fill=—","Direction=H","UseDPDF=Y")</f>
        <v>#NAME?</v>
      </c>
      <c r="CX543" s="2" t="e">
        <f ca="1">_xll.BDH($C$528,"ACCT_RCV_DAYS","FY 2017","FY 2017","Currency=INR","Period=FY","BEST_FPERIOD_OVERRIDE=FY","FILING_STATUS=OR","EQY_CONSOLIDATED=Y","FA_ADJUSTED=GAAP","Sort=A","Dates=H","DateFormat=P","Fill=—","Direction=H","UseDPDF=Y")</f>
        <v>#NAME?</v>
      </c>
      <c r="CY543" s="4" t="e">
        <f ca="1">_xll.BDH($C$528,"INVENT_TURN","FY 2017","FY 2017","Currency=INR","Period=FY","BEST_FPERIOD_OVERRIDE=FY","FILING_STATUS=OR","EQY_CONSOLIDATED=Y","FA_ADJUSTED=GAAP","Sort=A","Dates=H","DateFormat=P","Fill=—","Direction=H","UseDPDF=Y")</f>
        <v>#NAME?</v>
      </c>
      <c r="CZ543" s="2" t="e">
        <f ca="1">_xll.BDH($C$528,"INVENT_DAYS","FY 2017","FY 2017","Currency=INR","Period=FY","BEST_FPERIOD_OVERRIDE=FY","FILING_STATUS=OR","EQY_CONSOLIDATED=Y","FA_ADJUSTED=GAAP","Sort=A","Dates=H","DateFormat=P","Fill=—","Direction=H","UseDPDF=Y")</f>
        <v>#NAME?</v>
      </c>
      <c r="DA543" s="4" t="e">
        <f ca="1">_xll.BDH($C$528,"ACCOUNTS_PAYABLE_TURNOVER","FY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543" s="2" t="e">
        <f ca="1">_xll.BDH($C$528,"ACCOUNTS_PAYABLE_TURNOVER_DAYS","FY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543" s="4" t="e">
        <f ca="1">_xll.BDH($C$528,"CASH_CONVERSION_CYCLE","FY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543" s="4" t="e">
        <f ca="1">_xll.BDH($C$528,"INV_TO_CASH_DAYS","FY 2017","FY 2017","Currency=INR","Period=FY","BEST_FPERIOD_OVERRIDE=FY","FILING_STATUS=OR","EQY_CONSOLIDATED=Y","FA_ADJUSTED=GAAP","Sort=A","Dates=H","DateFormat=P","Fill=—","Direction=H","UseDPDF=Y")</f>
        <v>#NAME?</v>
      </c>
      <c r="DE543" s="5" t="e">
        <f ca="1">_xll.BDH($C$528,"BS_INVENTORIES","FY 2017","FY 2017","Currency=INR","Period=FY","BEST_FPERIOD_OVERRIDE=FY","FILING_STATUS=OR","EQY_CONSOLIDATED=Y","SCALING_FORMAT=MLN","Sort=A","Dates=H","DateFormat=P","Fill=—","Direction=H","UseDPDF=Y")</f>
        <v>#NAME?</v>
      </c>
      <c r="DF543" s="3" t="e">
        <f ca="1">_xll.BDH($C$528,"INVTRY_RAW_MATERIALS","FY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543" s="3" t="e">
        <f ca="1">_xll.BDH($C$528,"INVTRY_IN_PROGRESS","FY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543" s="3" t="e">
        <f ca="1">_xll.BDH($C$528,"INVTRY_FINISHED_GOODS","FY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543" s="3" t="e">
        <f ca="1">_xll.BDH($C$528,"BS_OTHER_INV","FY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544" spans="1:113" x14ac:dyDescent="0.3">
      <c r="A544" s="6"/>
      <c r="B544" s="6"/>
      <c r="C544" s="6"/>
      <c r="D544" s="6"/>
      <c r="E544" t="s">
        <v>78</v>
      </c>
      <c r="F544" t="e">
        <f ca="1">_xll.BDH($C$528,"RETURN_COM_EQY","FQ1 2017","FQ1 2017","Currency=INR","Period=FQ","BEST_FPERIOD_OVERRIDE=FQ","FILING_STATUS=OR","EQY_CONSOLIDATED=Y","FA_ADJUSTED=GAAP","Sort=A","Dates=H","DateFormat=P","Fill=—","Direction=H","UseDPDF=Y")</f>
        <v>#NAME?</v>
      </c>
      <c r="G544" t="e">
        <f ca="1">_xll.BDH($C$528,"RETURN_ON_ASSET","FQ1 2017","FQ1 2017","Currency=INR","Period=FQ","BEST_FPERIOD_OVERRIDE=FQ","FILING_STATUS=OR","EQY_CONSOLIDATED=Y","FA_ADJUSTED=GAAP","Sort=A","Dates=H","DateFormat=P","Fill=—","Direction=H","UseDPDF=Y")</f>
        <v>#NAME?</v>
      </c>
      <c r="H544" t="e">
        <f ca="1">_xll.BDH($C$528,"RETURN_ON_CAP","FQ1 2017","FQ1 2017","Currency=INR","Period=FQ","BEST_FPERIOD_OVERRIDE=FQ","FILING_STATUS=OR","EQY_CONSOLIDATED=Y","FA_ADJUSTED=GAAP","Sort=A","Dates=H","DateFormat=P","Fill=—","Direction=H","UseDPDF=Y")</f>
        <v>#NAME?</v>
      </c>
      <c r="I544" t="e">
        <f ca="1">_xll.BDH($C$528,"RETURN_ON_INV_CAPITAL","FQ1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544" t="e">
        <f ca="1">_xll.BDH($C$528,"EBITDA_TO_REVENUE","FQ1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544" t="e">
        <f ca="1">_xll.BDH($C$528,"OPER_MARGIN","FQ1 2017","FQ1 2017","Currency=INR","Period=FQ","BEST_FPERIOD_OVERRIDE=FQ","FILING_STATUS=OR","EQY_CONSOLIDATED=Y","FA_ADJUSTED=GAAP","Sort=A","Dates=H","DateFormat=P","Fill=—","Direction=H","UseDPDF=Y")</f>
        <v>#NAME?</v>
      </c>
      <c r="L544" t="e">
        <f ca="1">_xll.BDH($C$528,"INCREMENTAL_OPERATING_MARGIN","FQ1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544" t="e">
        <f ca="1">_xll.BDH($C$528,"PRETAX_INC_TO_NET_SALES","FQ1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544" t="e">
        <f ca="1">_xll.BDH($C$528,"INC_BEF_XO_ITEMS_TO_NET_SALES","FQ1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544" t="e">
        <f ca="1">_xll.BDH($C$528,"PROF_MARGIN","FQ1 2017","FQ1 2017","Currency=INR","Period=FQ","BEST_FPERIOD_OVERRIDE=FQ","FILING_STATUS=OR","EQY_CONSOLIDATED=Y","FA_ADJUSTED=GAAP","Sort=A","Dates=H","DateFormat=P","Fill=—","Direction=H","UseDPDF=Y")</f>
        <v>#NAME?</v>
      </c>
      <c r="P544" t="e">
        <f ca="1">_xll.BDH($C$528,"NET_INCOME_TO_COMMON_MARGIN","FQ1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544" t="e">
        <f ca="1">_xll.BDH($C$528,"EFF_TAX_RATE","FQ1 2017","FQ1 2017","Currency=INR","Period=FQ","BEST_FPERIOD_OVERRIDE=FQ","FILING_STATUS=OR","EQY_CONSOLIDATED=Y","FA_ADJUSTED=GAAP","Sort=A","Dates=H","DateFormat=P","Fill=—","Direction=H","UseDPDF=Y")</f>
        <v>#NAME?</v>
      </c>
      <c r="R544" t="e">
        <f ca="1">_xll.BDH($C$528,"DVD_PAYOUT_RATIO","FQ1 2017","FQ1 2017","Currency=INR","Period=FQ","BEST_FPERIOD_OVERRIDE=FQ","FILING_STATUS=OR","EQY_CONSOLIDATED=Y","FA_ADJUSTED=GAAP","Sort=A","Dates=H","DateFormat=P","Fill=—","Direction=H","UseDPDF=Y")</f>
        <v>#NAME?</v>
      </c>
      <c r="S544" t="e">
        <f ca="1">_xll.BDH($C$528,"SUSTAIN_GROWTH_RT","FQ1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544" s="2" t="e">
        <f ca="1">_xll.BDH($C$528,"SALES_GROWTH","FQ1 2017","FQ1 2017","Currency=INR","Period=FQ","BEST_FPERIOD_OVERRIDE=FQ","FILING_STATUS=OR","EQY_CONSOLIDATED=Y","FA_ADJUSTED=GAAP","Sort=A","Dates=H","DateFormat=P","Fill=—","Direction=H","UseDPDF=Y")</f>
        <v>#NAME?</v>
      </c>
      <c r="U544" s="2" t="e">
        <f ca="1">_xll.BDH($C$528,"EBITDA_GROWTH","FQ1 2017","FQ1 2017","Currency=INR","Period=FQ","BEST_FPERIOD_OVERRIDE=FQ","FILING_STATUS=OR","EQY_CONSOLIDATED=Y","FA_ADJUSTED=GAAP","Sort=A","Dates=H","DateFormat=P","Fill=—","Direction=H","UseDPDF=Y")</f>
        <v>#NAME?</v>
      </c>
      <c r="V544" s="2" t="e">
        <f ca="1">_xll.BDH($C$528,"OPER_INC_GROWTH","FQ1 2017","FQ1 2017","Currency=INR","Period=FQ","BEST_FPERIOD_OVERRIDE=FQ","FILING_STATUS=OR","EQY_CONSOLIDATED=Y","FA_ADJUSTED=GAAP","Sort=A","Dates=H","DateFormat=P","Fill=—","Direction=H","UseDPDF=Y")</f>
        <v>#NAME?</v>
      </c>
      <c r="W544" s="2" t="e">
        <f ca="1">_xll.BDH($C$528,"EARN_FOR_COM_GROWTH","FQ1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544" s="2" t="e">
        <f ca="1">_xll.BDH($C$528,"DILUTED_EPS_AFT_XO_ITEMS_GROWTH","FQ1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544" s="2" t="e">
        <f ca="1">_xll.BDH($C$528,"DIVIDEND_PER_SHARE_1_YEAR_GROWTH","FQ1 2017","FQ1 2017","Currency=INR","Period=FQ","BEST_FPERIOD_OVERRIDE=FQ","FILING_STATUS=OR","EQY_CONSOLIDATED=Y","Sort=A","Dates=H","DateFormat=P","Fill=—","Direction=H","UseDPDF=Y")</f>
        <v>#NAME?</v>
      </c>
      <c r="Z544" s="2" t="e">
        <f ca="1">_xll.BDH($C$528,"ACCOUNTS_RECEIVABLE_GROWTH","FQ1 2017","FQ1 2017","Currency=INR","Period=FQ","BEST_FPERIOD_OVERRIDE=FQ","FILING_STATUS=OR","EQY_CONSOLIDATED=Y","Sort=A","Dates=H","DateFormat=P","Fill=—","Direction=H","UseDPDF=Y")</f>
        <v>#NAME?</v>
      </c>
      <c r="AA544" s="2" t="e">
        <f ca="1">_xll.BDH($C$528,"INVENTORY_GROWTH","FQ1 2017","FQ1 2017","Currency=INR","Period=FQ","BEST_FPERIOD_OVERRIDE=FQ","FILING_STATUS=OR","EQY_CONSOLIDATED=Y","Sort=A","Dates=H","DateFormat=P","Fill=—","Direction=H","UseDPDF=Y")</f>
        <v>#NAME?</v>
      </c>
      <c r="AB544" s="2" t="e">
        <f ca="1">_xll.BDH($C$528,"NET_FIXED_ASSETS_1_YEAR_GROWTH","FQ1 2017","FQ1 2017","Currency=INR","Period=FQ","BEST_FPERIOD_OVERRIDE=FQ","FILING_STATUS=OR","EQY_CONSOLIDATED=Y","Sort=A","Dates=H","DateFormat=P","Fill=—","Direction=H","UseDPDF=Y")</f>
        <v>#NAME?</v>
      </c>
      <c r="AC544" s="2" t="e">
        <f ca="1">_xll.BDH($C$528,"ASSET_GROWTH","FQ1 2017","FQ1 2017","Currency=INR","Period=FQ","BEST_FPERIOD_OVERRIDE=FQ","FILING_STATUS=OR","EQY_CONSOLIDATED=Y","Sort=A","Dates=H","DateFormat=P","Fill=—","Direction=H","UseDPDF=Y")</f>
        <v>#NAME?</v>
      </c>
      <c r="AD544" s="2" t="e">
        <f ca="1">_xll.BDH($C$528,"MODIFIED_WORK_CAP_GROWTH","FQ1 2017","FQ1 2017","Currency=INR","Period=FQ","BEST_FPERIOD_OVERRIDE=FQ","FILING_STATUS=OR","EQY_CONSOLIDATED=Y","Sort=A","Dates=H","DateFormat=P","Fill=—","Direction=H","UseDPDF=Y")</f>
        <v>#NAME?</v>
      </c>
      <c r="AE544" s="2" t="e">
        <f ca="1">_xll.BDH($C$528,"WORK_CAP_GROWTH","FQ1 2017","FQ1 2017","Currency=INR","Period=FQ","BEST_FPERIOD_OVERRIDE=FQ","FILING_STATUS=OR","EQY_CONSOLIDATED=Y","Sort=A","Dates=H","DateFormat=P","Fill=—","Direction=H","UseDPDF=Y")</f>
        <v>#NAME?</v>
      </c>
      <c r="AF544" s="2" t="e">
        <f ca="1">_xll.BDH($C$528,"ACCOUNTS_PAYABLE_GROWTH_1YR","FQ1 2017","FQ1 2017","Currency=INR","Period=FQ","BEST_FPERIOD_OVERRIDE=FQ","FILING_STATUS=OR","EQY_CONSOLIDATED=Y","Sort=A","Dates=H","DateFormat=P","Fill=—","Direction=H","UseDPDF=Y")</f>
        <v>#NAME?</v>
      </c>
      <c r="AG544" s="2" t="e">
        <f ca="1">_xll.BDH($C$528,"SHORT_TERM_DEBT_1_YEAR_GROWTH","FQ1 2017","FQ1 2017","Currency=INR","Period=FQ","BEST_FPERIOD_OVERRIDE=FQ","FILING_STATUS=OR","EQY_CONSOLIDATED=Y","Sort=A","Dates=H","DateFormat=P","Fill=—","Direction=H","UseDPDF=Y")</f>
        <v>#NAME?</v>
      </c>
      <c r="AH544" s="2" t="e">
        <f ca="1">_xll.BDH($C$528,"TOTAL_DEBT_1_YEAR_GROWTH","FQ1 2017","FQ1 2017","Currency=INR","Period=FQ","BEST_FPERIOD_OVERRIDE=FQ","FILING_STATUS=OR","EQY_CONSOLIDATED=Y","Sort=A","Dates=H","DateFormat=P","Fill=—","Direction=H","UseDPDF=Y")</f>
        <v>#NAME?</v>
      </c>
      <c r="AI544" s="2" t="e">
        <f ca="1">_xll.BDH($C$528,"TOTAL_EQUITY_1_YEAR_GROWTH","FQ1 2017","FQ1 2017","Currency=INR","Period=FQ","BEST_FPERIOD_OVERRIDE=FQ","FILING_STATUS=OR","EQY_CONSOLIDATED=Y","Sort=A","Dates=H","DateFormat=P","Fill=—","Direction=H","UseDPDF=Y")</f>
        <v>#NAME?</v>
      </c>
      <c r="AJ544" s="2" t="e">
        <f ca="1">_xll.BDH($C$528,"GROWTH_IN_CAP","FQ1 2017","FQ1 2017","Currency=INR","Period=FQ","BEST_FPERIOD_OVERRIDE=FQ","FILING_STATUS=OR","EQY_CONSOLIDATED=Y","Sort=A","Dates=H","DateFormat=P","Fill=—","Direction=H","UseDPDF=Y")</f>
        <v>#NAME?</v>
      </c>
      <c r="AK544" s="2" t="e">
        <f ca="1">_xll.BDH($C$528,"BVPS_GROWTH","FQ1 2017","FQ1 2017","Currency=INR","Period=FQ","BEST_FPERIOD_OVERRIDE=FQ","FILING_STATUS=OR","EQY_CONSOLIDATED=Y","Sort=A","Dates=H","DateFormat=P","Fill=—","Direction=H","UseDPDF=Y")</f>
        <v>#NAME?</v>
      </c>
      <c r="AL544" s="2" t="e">
        <f ca="1">_xll.BDH($C$528,"CASH_FLOW_GROWTH","FQ1 2017","FQ1 2017","Currency=INR","Period=FQ","BEST_FPERIOD_OVERRIDE=FQ","FILING_STATUS=OR","EQY_CONSOLIDATED=Y","Sort=A","Dates=H","DateFormat=P","Fill=—","Direction=H","UseDPDF=Y")</f>
        <v>#NAME?</v>
      </c>
      <c r="AM544" s="2" t="e">
        <f ca="1">_xll.BDH($C$528,"GEO_GROW_NET_SALES","FQ1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544" s="2" t="e">
        <f ca="1">_xll.BDH($C$528,"GEO_GROW_EBITDA","FQ1 2017","FQ1 2017","Currency=INR","Period=FQ","BEST_FPERIOD_OVERRIDE=FQ","FILING_STATUS=OR","EQY_CONSOLIDATED=Y","FA_ADJUSTED=GAAP","Sort=A","Dates=H","DateFormat=P","Fill=—","Direction=H","UseDPDF=Y")</f>
        <v>#NAME?</v>
      </c>
      <c r="AO544" s="2" t="e">
        <f ca="1">_xll.BDH($C$528,"GEO_GROW_OPER_INC","FQ1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544" s="2" t="e">
        <f ca="1">_xll.BDH($C$528,"NET_INCOME_TO_COMMON_5_YR_GROWTH","FQ1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544" s="2" t="e">
        <f ca="1">_xll.BDH($C$528,"5Y_GEO_GROWTH_DILUTED_EPS","FQ1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544" s="2" t="e">
        <f ca="1">_xll.BDH($C$528,"GEO_GROW_DVD_PER_SH","FQ1 2017","FQ1 2017","Currency=INR","Period=FQ","BEST_FPERIOD_OVERRIDE=FQ","FILING_STATUS=OR","EQY_CONSOLIDATED=Y","Sort=A","Dates=H","DateFormat=P","Fill=—","Direction=H","UseDPDF=Y")</f>
        <v>#NAME?</v>
      </c>
      <c r="AS544" s="2" t="e">
        <f ca="1">_xll.BDH($C$528,"ACCOUNTS_RECEIVABLE_5_YR_GROWTH","FQ1 2017","FQ1 2017","Currency=INR","Period=FQ","BEST_FPERIOD_OVERRIDE=FQ","FILING_STATUS=OR","EQY_CONSOLIDATED=Y","Sort=A","Dates=H","DateFormat=P","Fill=—","Direction=H","UseDPDF=Y")</f>
        <v>#NAME?</v>
      </c>
      <c r="AT544" s="2" t="e">
        <f ca="1">_xll.BDH($C$528,"INVENTORY_5_YEAR_GROWTH","FQ1 2017","FQ1 2017","Currency=INR","Period=FQ","BEST_FPERIOD_OVERRIDE=FQ","FILING_STATUS=OR","EQY_CONSOLIDATED=Y","Sort=A","Dates=H","DateFormat=P","Fill=—","Direction=H","UseDPDF=Y")</f>
        <v>#NAME?</v>
      </c>
      <c r="AU544" s="2" t="e">
        <f ca="1">_xll.BDH($C$528,"NET_FIXED_ASSETS_5_YEAR_GROWTH","FQ1 2017","FQ1 2017","Currency=INR","Period=FQ","BEST_FPERIOD_OVERRIDE=FQ","FILING_STATUS=OR","EQY_CONSOLIDATED=Y","Sort=A","Dates=H","DateFormat=P","Fill=—","Direction=H","UseDPDF=Y")</f>
        <v>#NAME?</v>
      </c>
      <c r="AV544" s="2" t="e">
        <f ca="1">_xll.BDH($C$528,"GEO_GROW_TOT_ASSET","FQ1 2017","FQ1 2017","Currency=INR","Period=FQ","BEST_FPERIOD_OVERRIDE=FQ","FILING_STATUS=OR","EQY_CONSOLIDATED=Y","Sort=A","Dates=H","DateFormat=P","Fill=—","Direction=H","UseDPDF=Y")</f>
        <v>#NAME?</v>
      </c>
      <c r="AW544" s="2" t="e">
        <f ca="1">_xll.BDH($C$528,"MODIFIED_WORKING_CPTL_5YR_GRWTH","FQ1 2017","FQ1 2017","Currency=INR","Period=FQ","BEST_FPERIOD_OVERRIDE=FQ","FILING_STATUS=OR","EQY_CONSOLIDATED=Y","Sort=A","Dates=H","DateFormat=P","Fill=—","Direction=H","UseDPDF=Y")</f>
        <v>#NAME?</v>
      </c>
      <c r="AX544" s="2" t="e">
        <f ca="1">_xll.BDH($C$528,"WORKING_CAPITAL_5_YEAR_GROWTH","FQ1 2017","FQ1 2017","Currency=INR","Period=FQ","BEST_FPERIOD_OVERRIDE=FQ","FILING_STATUS=OR","EQY_CONSOLIDATED=Y","Sort=A","Dates=H","DateFormat=P","Fill=—","Direction=H","UseDPDF=Y")</f>
        <v>#NAME?</v>
      </c>
      <c r="AY544" s="2" t="e">
        <f ca="1">_xll.BDH($C$528,"ACCOUNTS_PAYABLE_5_YEAR_GROWTH","FQ1 2017","FQ1 2017","Currency=INR","Period=FQ","BEST_FPERIOD_OVERRIDE=FQ","FILING_STATUS=OR","EQY_CONSOLIDATED=Y","Sort=A","Dates=H","DateFormat=P","Fill=—","Direction=H","UseDPDF=Y")</f>
        <v>#NAME?</v>
      </c>
      <c r="AZ544" s="2" t="e">
        <f ca="1">_xll.BDH($C$528,"SHORT_TERM_DEBT_5_YEAR_GROWTH","FQ1 2017","FQ1 2017","Currency=INR","Period=FQ","BEST_FPERIOD_OVERRIDE=FQ","FILING_STATUS=OR","EQY_CONSOLIDATED=Y","Sort=A","Dates=H","DateFormat=P","Fill=—","Direction=H","UseDPDF=Y")</f>
        <v>#NAME?</v>
      </c>
      <c r="BA544" s="2" t="e">
        <f ca="1">_xll.BDH($C$528,"TOTAL_DEBT_5_YEAR_GROWTH","FQ1 2017","FQ1 2017","Currency=INR","Period=FQ","BEST_FPERIOD_OVERRIDE=FQ","FILING_STATUS=OR","EQY_CONSOLIDATED=Y","Sort=A","Dates=H","DateFormat=P","Fill=—","Direction=H","UseDPDF=Y")</f>
        <v>#NAME?</v>
      </c>
      <c r="BB544" s="2" t="e">
        <f ca="1">_xll.BDH($C$528,"GEO_GROW_TOT_SHRHLDR_EQY","FQ1 2017","FQ1 2017","Currency=INR","Period=FQ","BEST_FPERIOD_OVERRIDE=FQ","FILING_STATUS=OR","EQY_CONSOLIDATED=Y","Sort=A","Dates=H","DateFormat=P","Fill=—","Direction=H","UseDPDF=Y")</f>
        <v>#NAME?</v>
      </c>
      <c r="BC544" s="2" t="e">
        <f ca="1">_xll.BDH($C$528,"TOTAL_CAPITAL_5_YEAR_GROWTH","FQ1 2017","FQ1 2017","Currency=INR","Period=FQ","BEST_FPERIOD_OVERRIDE=FQ","FILING_STATUS=OR","EQY_CONSOLIDATED=Y","Sort=A","Dates=H","DateFormat=P","Fill=—","Direction=H","UseDPDF=Y")</f>
        <v>#NAME?</v>
      </c>
      <c r="BD544" s="2" t="e">
        <f ca="1">_xll.BDH($C$528,"GEO_GROW_BOOK_VAL","FQ1 2017","FQ1 2017","Currency=INR","Period=FQ","BEST_FPERIOD_OVERRIDE=FQ","FILING_STATUS=OR","EQY_CONSOLIDATED=Y","Sort=A","Dates=H","DateFormat=P","Fill=—","Direction=H","UseDPDF=Y")</f>
        <v>#NAME?</v>
      </c>
      <c r="BE544" s="2" t="e">
        <f ca="1">_xll.BDH($C$528,"GEO_GROW_CASH_OPER_ACT","FQ1 2017","FQ1 2017","Currency=INR","Period=FQ","BEST_FPERIOD_OVERRIDE=FQ","FILING_STATUS=OR","EQY_CONSOLIDATED=Y","Sort=A","Dates=H","DateFormat=P","Fill=—","Direction=H","UseDPDF=Y")</f>
        <v>#NAME?</v>
      </c>
      <c r="BF544" s="2" t="e">
        <f ca="1">_xll.BDH($C$528,"REVENUE_SEQUENTIAL_GROWTH","FQ1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544" s="2" t="e">
        <f ca="1">_xll.BDH($C$528,"EBITDA_SEQUENTIAL_GROWTH","FQ1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544" s="2" t="e">
        <f ca="1">_xll.BDH($C$528,"OPERATING_INCOME_SEQ_GROWTH","FQ1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544" s="2" t="e">
        <f ca="1">_xll.BDH($C$528,"NET_INCOME_TO_COMMON_SEQ_GROWTH","FQ1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544" s="2" t="e">
        <f ca="1">_xll.BDH($C$528,"EPS_DILUTED_SEQUENTIAL_GROWTH","FQ1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544" s="2" t="e">
        <f ca="1">_xll.BDH($C$528,"DPS_SEQUENTIAL_GROWTH","FQ1 2017","FQ1 2017","Currency=INR","Period=FQ","BEST_FPERIOD_OVERRIDE=FQ","FILING_STATUS=OR","EQY_CONSOLIDATED=Y","Sort=A","Dates=H","DateFormat=P","Fill=—","Direction=H","UseDPDF=Y")</f>
        <v>#NAME?</v>
      </c>
      <c r="BL544" s="2" t="e">
        <f ca="1">_xll.BDH($C$528,"ACCOUNTS_RECEIVABLE_SEQ_GROWTH","FQ1 2017","FQ1 2017","Currency=INR","Period=FQ","BEST_FPERIOD_OVERRIDE=FQ","FILING_STATUS=OR","EQY_CONSOLIDATED=Y","Sort=A","Dates=H","DateFormat=P","Fill=—","Direction=H","UseDPDF=Y")</f>
        <v>#NAME?</v>
      </c>
      <c r="BM544" s="2" t="e">
        <f ca="1">_xll.BDH($C$528,"INVENTORY_SEQUENTIAL_GROWTH","FQ1 2017","FQ1 2017","Currency=INR","Period=FQ","BEST_FPERIOD_OVERRIDE=FQ","FILING_STATUS=OR","EQY_CONSOLIDATED=Y","Sort=A","Dates=H","DateFormat=P","Fill=—","Direction=H","UseDPDF=Y")</f>
        <v>#NAME?</v>
      </c>
      <c r="BN544" s="2" t="e">
        <f ca="1">_xll.BDH($C$528,"FIXED_ASSETS_SEQUENTIAL_GROWTH","FQ1 2017","FQ1 2017","Currency=INR","Period=FQ","BEST_FPERIOD_OVERRIDE=FQ","FILING_STATUS=OR","EQY_CONSOLIDATED=Y","Sort=A","Dates=H","DateFormat=P","Fill=—","Direction=H","UseDPDF=Y")</f>
        <v>#NAME?</v>
      </c>
      <c r="BO544" s="2" t="e">
        <f ca="1">_xll.BDH($C$528,"TOTAL_ASSETS_SEQUENTIAL_GROWTH","FQ1 2017","FQ1 2017","Currency=INR","Period=FQ","BEST_FPERIOD_OVERRIDE=FQ","FILING_STATUS=OR","EQY_CONSOLIDATED=Y","Sort=A","Dates=H","DateFormat=P","Fill=—","Direction=H","UseDPDF=Y")</f>
        <v>#NAME?</v>
      </c>
      <c r="BP544" s="2" t="e">
        <f ca="1">_xll.BDH($C$528,"MODIFIED_WORKING_CPTL_SEQ_GRWTH","FQ1 2017","FQ1 2017","Currency=INR","Period=FQ","BEST_FPERIOD_OVERRIDE=FQ","FILING_STATUS=OR","EQY_CONSOLIDATED=Y","Sort=A","Dates=H","DateFormat=P","Fill=—","Direction=H","UseDPDF=Y")</f>
        <v>#NAME?</v>
      </c>
      <c r="BQ544" s="2" t="e">
        <f ca="1">_xll.BDH($C$528,"WORKING_CAPITAL_SEQ_GROWTH","FQ1 2017","FQ1 2017","Currency=INR","Period=FQ","BEST_FPERIOD_OVERRIDE=FQ","FILING_STATUS=OR","EQY_CONSOLIDATED=Y","Sort=A","Dates=H","DateFormat=P","Fill=—","Direction=H","UseDPDF=Y")</f>
        <v>#NAME?</v>
      </c>
      <c r="BR544" s="2" t="e">
        <f ca="1">_xll.BDH($C$528,"ACCOUNTS_PAYABLE_SEQ_GROWTH","FQ1 2017","FQ1 2017","Currency=INR","Period=FQ","BEST_FPERIOD_OVERRIDE=FQ","FILING_STATUS=OR","EQY_CONSOLIDATED=Y","Sort=A","Dates=H","DateFormat=P","Fill=—","Direction=H","UseDPDF=Y")</f>
        <v>#NAME?</v>
      </c>
      <c r="BS544" s="2" t="e">
        <f ca="1">_xll.BDH($C$528,"ST_DEBT_SEQUENTIAL_GROWTH","FQ1 2017","FQ1 2017","Currency=INR","Period=FQ","BEST_FPERIOD_OVERRIDE=FQ","FILING_STATUS=OR","EQY_CONSOLIDATED=Y","Sort=A","Dates=H","DateFormat=P","Fill=—","Direction=H","UseDPDF=Y")</f>
        <v>#NAME?</v>
      </c>
      <c r="BT544" s="2" t="e">
        <f ca="1">_xll.BDH($C$528,"TOTAL_DEBT_SEQUENTIAL_GROWTH","FQ1 2017","FQ1 2017","Currency=INR","Period=FQ","BEST_FPERIOD_OVERRIDE=FQ","FILING_STATUS=OR","EQY_CONSOLIDATED=Y","Sort=A","Dates=H","DateFormat=P","Fill=—","Direction=H","UseDPDF=Y")</f>
        <v>#NAME?</v>
      </c>
      <c r="BU544" s="2" t="e">
        <f ca="1">_xll.BDH($C$528,"TOTAL_EQUITY_SEQUENTIAL_GROWTH","FQ1 2017","FQ1 2017","Currency=INR","Period=FQ","BEST_FPERIOD_OVERRIDE=FQ","FILING_STATUS=OR","EQY_CONSOLIDATED=Y","Sort=A","Dates=H","DateFormat=P","Fill=—","Direction=H","UseDPDF=Y")</f>
        <v>#NAME?</v>
      </c>
      <c r="BV544" s="2" t="e">
        <f ca="1">_xll.BDH($C$528,"TOTAL_CAPITAL_SEQUENTIAL_GROWTH","FQ1 2017","FQ1 2017","Currency=INR","Period=FQ","BEST_FPERIOD_OVERRIDE=FQ","FILING_STATUS=OR","EQY_CONSOLIDATED=Y","Sort=A","Dates=H","DateFormat=P","Fill=—","Direction=H","UseDPDF=Y")</f>
        <v>#NAME?</v>
      </c>
      <c r="BW544" s="2" t="e">
        <f ca="1">_xll.BDH($C$528,"BPS_SEQUENTIAL_GROWTH","FQ1 2017","FQ1 2017","Currency=INR","Period=FQ","BEST_FPERIOD_OVERRIDE=FQ","FILING_STATUS=OR","EQY_CONSOLIDATED=Y","Sort=A","Dates=H","DateFormat=P","Fill=—","Direction=H","UseDPDF=Y")</f>
        <v>#NAME?</v>
      </c>
      <c r="BX544" s="2" t="e">
        <f ca="1">_xll.BDH($C$528,"CFO_SEQUENTIAL_GROWTH","FQ1 2017","FQ1 2017","Currency=INR","Period=FQ","BEST_FPERIOD_OVERRIDE=FQ","FILING_STATUS=OR","EQY_CONSOLIDATED=Y","Sort=A","Dates=H","DateFormat=P","Fill=—","Direction=H","UseDPDF=Y")</f>
        <v>#NAME?</v>
      </c>
      <c r="BY544" s="3" t="e">
        <f ca="1">_xll.BDH($C$528,"SHORT_AND_LONG_TERM_DEBT","FQ1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544" s="3" t="e">
        <f ca="1">_xll.BDH($C$528,"BS_ST_BORROW","FQ1 2017","FQ1 2017","Currency=INR","Period=FQ","BEST_FPERIOD_OVERRIDE=FQ","FILING_STATUS=OR","EQY_CONSOLIDATED=Y","SCALING_FORMAT=MLN","Sort=A","Dates=H","DateFormat=P","Fill=—","Direction=H","UseDPDF=Y")</f>
        <v>#NAME?</v>
      </c>
      <c r="CA544" s="3" t="e">
        <f ca="1">_xll.BDH($C$528,"BS_LT_BORROW","FQ1 2017","FQ1 2017","Currency=INR","Period=FQ","BEST_FPERIOD_OVERRIDE=FQ","FILING_STATUS=OR","EQY_CONSOLIDATED=Y","SCALING_FORMAT=MLN","Sort=A","Dates=H","DateFormat=P","Fill=—","Direction=H","UseDPDF=Y")</f>
        <v>#NAME?</v>
      </c>
      <c r="CB544" s="2" t="e">
        <f ca="1">_xll.BDH($C$528,"TOT_DEBT_TO_EBITDA","FQ1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544" s="2" t="e">
        <f ca="1">_xll.BDH($C$528,"NET_DEBT_TO_EBITDA","FQ1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544" s="2" t="e">
        <f ca="1">_xll.BDH($C$528,"TOTAL_DEBT_TO_EBIT","FQ1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544" s="2" t="e">
        <f ca="1">_xll.BDH($C$528,"NET_DEBT_TO_EBIT","FQ1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544" s="2" t="e">
        <f ca="1">_xll.BDH($C$528,"EBITDA_TO_INTEREST_EXPN","FQ1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544" s="2" t="e">
        <f ca="1">_xll.BDH($C$528,"COM_EQY_TO_TOT_ASSET","FQ1 2017","FQ1 2017","Currency=INR","Period=FQ","BEST_FPERIOD_OVERRIDE=FQ","FILING_STATUS=OR","EQY_CONSOLIDATED=Y","Sort=A","Dates=H","DateFormat=P","Fill=—","Direction=H","UseDPDF=Y")</f>
        <v>#NAME?</v>
      </c>
      <c r="CH544" s="2" t="e">
        <f ca="1">_xll.BDH($C$528,"LT_DEBT_TO_TOT_EQY","FQ1 2017","FQ1 2017","Currency=INR","Period=FQ","BEST_FPERIOD_OVERRIDE=FQ","FILING_STATUS=OR","EQY_CONSOLIDATED=Y","Sort=A","Dates=H","DateFormat=P","Fill=—","Direction=H","UseDPDF=Y")</f>
        <v>#NAME?</v>
      </c>
      <c r="CI544" s="2" t="e">
        <f ca="1">_xll.BDH($C$528,"LT_DEBT_TO_TOT_CAP","FQ1 2017","FQ1 2017","Currency=INR","Period=FQ","BEST_FPERIOD_OVERRIDE=FQ","FILING_STATUS=OR","EQY_CONSOLIDATED=Y","Sort=A","Dates=H","DateFormat=P","Fill=—","Direction=H","UseDPDF=Y")</f>
        <v>#NAME?</v>
      </c>
      <c r="CJ544" s="2" t="e">
        <f ca="1">_xll.BDH($C$528,"LT_DEBT_TO_TOT_ASSET","FQ1 2017","FQ1 2017","Currency=INR","Period=FQ","BEST_FPERIOD_OVERRIDE=FQ","FILING_STATUS=OR","EQY_CONSOLIDATED=Y","Sort=A","Dates=H","DateFormat=P","Fill=—","Direction=H","UseDPDF=Y")</f>
        <v>#NAME?</v>
      </c>
      <c r="CK544" s="2" t="e">
        <f ca="1">_xll.BDH($C$528,"TOT_DEBT_TO_TOT_EQY","FQ1 2017","FQ1 2017","Currency=INR","Period=FQ","BEST_FPERIOD_OVERRIDE=FQ","FILING_STATUS=OR","EQY_CONSOLIDATED=Y","Sort=A","Dates=H","DateFormat=P","Fill=—","Direction=H","UseDPDF=Y")</f>
        <v>#NAME?</v>
      </c>
      <c r="CL544" s="2" t="e">
        <f ca="1">_xll.BDH($C$528,"TOT_DEBT_TO_TOT_CAP","FQ1 2017","FQ1 2017","Currency=INR","Period=FQ","BEST_FPERIOD_OVERRIDE=FQ","FILING_STATUS=OR","EQY_CONSOLIDATED=Y","Sort=A","Dates=H","DateFormat=P","Fill=—","Direction=H","UseDPDF=Y")</f>
        <v>#NAME?</v>
      </c>
      <c r="CM544" s="2" t="e">
        <f ca="1">_xll.BDH($C$528,"TOT_DEBT_TO_TOT_ASSET","FQ1 2017","FQ1 2017","Currency=INR","Period=FQ","BEST_FPERIOD_OVERRIDE=FQ","FILING_STATUS=OR","EQY_CONSOLIDATED=Y","Sort=A","Dates=H","DateFormat=P","Fill=—","Direction=H","UseDPDF=Y")</f>
        <v>#NAME?</v>
      </c>
      <c r="CN544" s="2" t="e">
        <f ca="1">_xll.BDH($C$528,"NET_DEBT_TO_SHRHLDR_EQTY","FQ1 2017","FQ1 2017","Currency=INR","Period=FQ","BEST_FPERIOD_OVERRIDE=FQ","FILING_STATUS=OR","EQY_CONSOLIDATED=Y","Sort=A","Dates=H","DateFormat=P","Fill=—","Direction=H","UseDPDF=Y")</f>
        <v>#NAME?</v>
      </c>
      <c r="CO544" s="2" t="e">
        <f ca="1">_xll.BDH($C$528,"NET_DEBT_%_CAPITAL","FQ1 2017","FQ1 2017","Currency=INR","Period=FQ","BEST_FPERIOD_OVERRIDE=FQ","FILING_STATUS=OR","EQY_CONSOLIDATED=Y","Sort=A","Dates=H","DateFormat=P","Fill=—","Direction=H","UseDPDF=Y")</f>
        <v>#NAME?</v>
      </c>
      <c r="CP544" s="3" t="e">
        <f ca="1">_xll.BDH($C$528,"EBITDA","FQ1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544" s="3" t="e">
        <f ca="1">_xll.BDH($C$528,"EBITDA_AFTER_CAPEX","FQ1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544" s="3" t="e">
        <f ca="1">_xll.BDH($C$528,"IS_OPER_INC","FQ1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544" s="2" t="e">
        <f ca="1">_xll.BDH($C$528,"CASH_RATIO","FQ1 2017","FQ1 2017","Currency=INR","Period=FQ","BEST_FPERIOD_OVERRIDE=FQ","FILING_STATUS=OR","EQY_CONSOLIDATED=Y","Sort=A","Dates=H","DateFormat=P","Fill=—","Direction=H","UseDPDF=Y")</f>
        <v>#NAME?</v>
      </c>
      <c r="CT544" s="2" t="e">
        <f ca="1">_xll.BDH($C$528,"CUR_RATIO","FQ1 2017","FQ1 2017","Currency=INR","Period=FQ","BEST_FPERIOD_OVERRIDE=FQ","FILING_STATUS=OR","EQY_CONSOLIDATED=Y","Sort=A","Dates=H","DateFormat=P","Fill=—","Direction=H","UseDPDF=Y")</f>
        <v>#NAME?</v>
      </c>
      <c r="CU544" s="2" t="e">
        <f ca="1">_xll.BDH($C$528,"QUICK_RATIO","FQ1 2017","FQ1 2017","Currency=INR","Period=FQ","BEST_FPERIOD_OVERRIDE=FQ","FILING_STATUS=OR","EQY_CONSOLIDATED=Y","Sort=A","Dates=H","DateFormat=P","Fill=—","Direction=H","UseDPDF=Y")</f>
        <v>#NAME?</v>
      </c>
      <c r="CV544" s="2" t="e">
        <f ca="1">_xll.BDH($C$528,"ALTMAN_Z_SCORE","FQ1 2017","FQ1 2017","Currency=INR","Period=FQ","BEST_FPERIOD_OVERRIDE=FQ","FILING_STATUS=OR","EQY_CONSOLIDATED=Y","Sort=A","Dates=H","DateFormat=P","Fill=—","Direction=H","UseDPDF=Y")</f>
        <v>#NAME?</v>
      </c>
      <c r="CW544" s="4" t="e">
        <f ca="1">_xll.BDH($C$528,"ACCT_RCV_TURN","FQ1 2017","FQ1 2017","Currency=INR","Period=FQ","BEST_FPERIOD_OVERRIDE=FQ","FILING_STATUS=OR","EQY_CONSOLIDATED=Y","FA_ADJUSTED=GAAP","Sort=A","Dates=H","DateFormat=P","Fill=—","Direction=H","UseDPDF=Y")</f>
        <v>#NAME?</v>
      </c>
      <c r="CX544" s="2" t="e">
        <f ca="1">_xll.BDH($C$528,"ACCT_RCV_DAYS","FQ1 2017","FQ1 2017","Currency=INR","Period=FQ","BEST_FPERIOD_OVERRIDE=FQ","FILING_STATUS=OR","EQY_CONSOLIDATED=Y","FA_ADJUSTED=GAAP","Sort=A","Dates=H","DateFormat=P","Fill=—","Direction=H","UseDPDF=Y")</f>
        <v>#NAME?</v>
      </c>
      <c r="CY544" s="4" t="e">
        <f ca="1">_xll.BDH($C$528,"INVENT_TURN","FQ1 2017","FQ1 2017","Currency=INR","Period=FQ","BEST_FPERIOD_OVERRIDE=FQ","FILING_STATUS=OR","EQY_CONSOLIDATED=Y","FA_ADJUSTED=GAAP","Sort=A","Dates=H","DateFormat=P","Fill=—","Direction=H","UseDPDF=Y")</f>
        <v>#NAME?</v>
      </c>
      <c r="CZ544" s="2" t="e">
        <f ca="1">_xll.BDH($C$528,"INVENT_DAYS","FQ1 2017","FQ1 2017","Currency=INR","Period=FQ","BEST_FPERIOD_OVERRIDE=FQ","FILING_STATUS=OR","EQY_CONSOLIDATED=Y","FA_ADJUSTED=GAAP","Sort=A","Dates=H","DateFormat=P","Fill=—","Direction=H","UseDPDF=Y")</f>
        <v>#NAME?</v>
      </c>
      <c r="DA544" s="4" t="e">
        <f ca="1">_xll.BDH($C$528,"ACCOUNTS_PAYABLE_TURNOVER","FQ1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544" s="2" t="e">
        <f ca="1">_xll.BDH($C$528,"ACCOUNTS_PAYABLE_TURNOVER_DAYS","FQ1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544" s="4" t="e">
        <f ca="1">_xll.BDH($C$528,"CASH_CONVERSION_CYCLE","FQ1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544" s="4" t="e">
        <f ca="1">_xll.BDH($C$528,"INV_TO_CASH_DAYS","FQ1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544" s="5" t="e">
        <f ca="1">_xll.BDH($C$528,"BS_INVENTORIES","FQ1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544" s="3" t="e">
        <f ca="1">_xll.BDH($C$528,"INVTRY_RAW_MATERIALS","FQ1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544" s="3" t="e">
        <f ca="1">_xll.BDH($C$528,"INVTRY_IN_PROGRESS","FQ1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544" s="3" t="e">
        <f ca="1">_xll.BDH($C$528,"INVTRY_FINISHED_GOODS","FQ1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544" s="3" t="e">
        <f ca="1">_xll.BDH($C$528,"BS_OTHER_INV","FQ1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545" spans="1:113" x14ac:dyDescent="0.3">
      <c r="A545" s="6"/>
      <c r="B545" s="6"/>
      <c r="C545" s="6"/>
      <c r="D545" s="6"/>
      <c r="E545" t="s">
        <v>79</v>
      </c>
      <c r="F545" t="e">
        <f ca="1">_xll.BDH($C$528,"RETURN_COM_EQY","FQ2 2017","FQ2 2017","Currency=INR","Period=FQ","BEST_FPERIOD_OVERRIDE=FQ","FILING_STATUS=OR","EQY_CONSOLIDATED=Y","FA_ADJUSTED=GAAP","Sort=A","Dates=H","DateFormat=P","Fill=—","Direction=H","UseDPDF=Y")</f>
        <v>#NAME?</v>
      </c>
      <c r="G545" t="e">
        <f ca="1">_xll.BDH($C$528,"RETURN_ON_ASSET","FQ2 2017","FQ2 2017","Currency=INR","Period=FQ","BEST_FPERIOD_OVERRIDE=FQ","FILING_STATUS=OR","EQY_CONSOLIDATED=Y","FA_ADJUSTED=GAAP","Sort=A","Dates=H","DateFormat=P","Fill=—","Direction=H","UseDPDF=Y")</f>
        <v>#NAME?</v>
      </c>
      <c r="H545" t="e">
        <f ca="1">_xll.BDH($C$528,"RETURN_ON_CAP","FQ2 2017","FQ2 2017","Currency=INR","Period=FQ","BEST_FPERIOD_OVERRIDE=FQ","FILING_STATUS=OR","EQY_CONSOLIDATED=Y","FA_ADJUSTED=GAAP","Sort=A","Dates=H","DateFormat=P","Fill=—","Direction=H","UseDPDF=Y")</f>
        <v>#NAME?</v>
      </c>
      <c r="I545" t="e">
        <f ca="1">_xll.BDH($C$528,"RETURN_ON_INV_CAPITAL","FQ2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545" t="e">
        <f ca="1">_xll.BDH($C$528,"EBITDA_TO_REVENUE","FQ2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545" t="e">
        <f ca="1">_xll.BDH($C$528,"OPER_MARGIN","FQ2 2017","FQ2 2017","Currency=INR","Period=FQ","BEST_FPERIOD_OVERRIDE=FQ","FILING_STATUS=OR","EQY_CONSOLIDATED=Y","FA_ADJUSTED=GAAP","Sort=A","Dates=H","DateFormat=P","Fill=—","Direction=H","UseDPDF=Y")</f>
        <v>#NAME?</v>
      </c>
      <c r="L545" t="e">
        <f ca="1">_xll.BDH($C$528,"INCREMENTAL_OPERATING_MARGIN","FQ2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545" t="e">
        <f ca="1">_xll.BDH($C$528,"PRETAX_INC_TO_NET_SALES","FQ2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545" t="e">
        <f ca="1">_xll.BDH($C$528,"INC_BEF_XO_ITEMS_TO_NET_SALES","FQ2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545" t="e">
        <f ca="1">_xll.BDH($C$528,"PROF_MARGIN","FQ2 2017","FQ2 2017","Currency=INR","Period=FQ","BEST_FPERIOD_OVERRIDE=FQ","FILING_STATUS=OR","EQY_CONSOLIDATED=Y","FA_ADJUSTED=GAAP","Sort=A","Dates=H","DateFormat=P","Fill=—","Direction=H","UseDPDF=Y")</f>
        <v>#NAME?</v>
      </c>
      <c r="P545" t="e">
        <f ca="1">_xll.BDH($C$528,"NET_INCOME_TO_COMMON_MARGIN","FQ2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545" t="e">
        <f ca="1">_xll.BDH($C$528,"EFF_TAX_RATE","FQ2 2017","FQ2 2017","Currency=INR","Period=FQ","BEST_FPERIOD_OVERRIDE=FQ","FILING_STATUS=OR","EQY_CONSOLIDATED=Y","FA_ADJUSTED=GAAP","Sort=A","Dates=H","DateFormat=P","Fill=—","Direction=H","UseDPDF=Y")</f>
        <v>#NAME?</v>
      </c>
      <c r="R545" t="e">
        <f ca="1">_xll.BDH($C$528,"DVD_PAYOUT_RATIO","FQ2 2017","FQ2 2017","Currency=INR","Period=FQ","BEST_FPERIOD_OVERRIDE=FQ","FILING_STATUS=OR","EQY_CONSOLIDATED=Y","FA_ADJUSTED=GAAP","Sort=A","Dates=H","DateFormat=P","Fill=—","Direction=H","UseDPDF=Y")</f>
        <v>#NAME?</v>
      </c>
      <c r="S545" t="e">
        <f ca="1">_xll.BDH($C$528,"SUSTAIN_GROWTH_RT","FQ2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545" s="2" t="e">
        <f ca="1">_xll.BDH($C$528,"SALES_GROWTH","FQ2 2017","FQ2 2017","Currency=INR","Period=FQ","BEST_FPERIOD_OVERRIDE=FQ","FILING_STATUS=OR","EQY_CONSOLIDATED=Y","FA_ADJUSTED=GAAP","Sort=A","Dates=H","DateFormat=P","Fill=—","Direction=H","UseDPDF=Y")</f>
        <v>#NAME?</v>
      </c>
      <c r="U545" s="2" t="e">
        <f ca="1">_xll.BDH($C$528,"EBITDA_GROWTH","FQ2 2017","FQ2 2017","Currency=INR","Period=FQ","BEST_FPERIOD_OVERRIDE=FQ","FILING_STATUS=OR","EQY_CONSOLIDATED=Y","FA_ADJUSTED=GAAP","Sort=A","Dates=H","DateFormat=P","Fill=—","Direction=H","UseDPDF=Y")</f>
        <v>#NAME?</v>
      </c>
      <c r="V545" s="2" t="e">
        <f ca="1">_xll.BDH($C$528,"OPER_INC_GROWTH","FQ2 2017","FQ2 2017","Currency=INR","Period=FQ","BEST_FPERIOD_OVERRIDE=FQ","FILING_STATUS=OR","EQY_CONSOLIDATED=Y","FA_ADJUSTED=GAAP","Sort=A","Dates=H","DateFormat=P","Fill=—","Direction=H","UseDPDF=Y")</f>
        <v>#NAME?</v>
      </c>
      <c r="W545" s="2" t="e">
        <f ca="1">_xll.BDH($C$528,"EARN_FOR_COM_GROWTH","FQ2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545" s="2" t="e">
        <f ca="1">_xll.BDH($C$528,"DILUTED_EPS_AFT_XO_ITEMS_GROWTH","FQ2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545" s="2" t="e">
        <f ca="1">_xll.BDH($C$528,"DIVIDEND_PER_SHARE_1_YEAR_GROWTH","FQ2 2017","FQ2 2017","Currency=INR","Period=FQ","BEST_FPERIOD_OVERRIDE=FQ","FILING_STATUS=OR","EQY_CONSOLIDATED=Y","Sort=A","Dates=H","DateFormat=P","Fill=—","Direction=H","UseDPDF=Y")</f>
        <v>#NAME?</v>
      </c>
      <c r="Z545" s="2" t="e">
        <f ca="1">_xll.BDH($C$528,"ACCOUNTS_RECEIVABLE_GROWTH","FQ2 2017","FQ2 2017","Currency=INR","Period=FQ","BEST_FPERIOD_OVERRIDE=FQ","FILING_STATUS=OR","EQY_CONSOLIDATED=Y","Sort=A","Dates=H","DateFormat=P","Fill=—","Direction=H","UseDPDF=Y")</f>
        <v>#NAME?</v>
      </c>
      <c r="AA545" s="2" t="e">
        <f ca="1">_xll.BDH($C$528,"INVENTORY_GROWTH","FQ2 2017","FQ2 2017","Currency=INR","Period=FQ","BEST_FPERIOD_OVERRIDE=FQ","FILING_STATUS=OR","EQY_CONSOLIDATED=Y","Sort=A","Dates=H","DateFormat=P","Fill=—","Direction=H","UseDPDF=Y")</f>
        <v>#NAME?</v>
      </c>
      <c r="AB545" s="2" t="e">
        <f ca="1">_xll.BDH($C$528,"NET_FIXED_ASSETS_1_YEAR_GROWTH","FQ2 2017","FQ2 2017","Currency=INR","Period=FQ","BEST_FPERIOD_OVERRIDE=FQ","FILING_STATUS=OR","EQY_CONSOLIDATED=Y","Sort=A","Dates=H","DateFormat=P","Fill=—","Direction=H","UseDPDF=Y")</f>
        <v>#NAME?</v>
      </c>
      <c r="AC545" s="2" t="e">
        <f ca="1">_xll.BDH($C$528,"ASSET_GROWTH","FQ2 2017","FQ2 2017","Currency=INR","Period=FQ","BEST_FPERIOD_OVERRIDE=FQ","FILING_STATUS=OR","EQY_CONSOLIDATED=Y","Sort=A","Dates=H","DateFormat=P","Fill=—","Direction=H","UseDPDF=Y")</f>
        <v>#NAME?</v>
      </c>
      <c r="AD545" s="2" t="e">
        <f ca="1">_xll.BDH($C$528,"MODIFIED_WORK_CAP_GROWTH","FQ2 2017","FQ2 2017","Currency=INR","Period=FQ","BEST_FPERIOD_OVERRIDE=FQ","FILING_STATUS=OR","EQY_CONSOLIDATED=Y","Sort=A","Dates=H","DateFormat=P","Fill=—","Direction=H","UseDPDF=Y")</f>
        <v>#NAME?</v>
      </c>
      <c r="AE545" s="2" t="e">
        <f ca="1">_xll.BDH($C$528,"WORK_CAP_GROWTH","FQ2 2017","FQ2 2017","Currency=INR","Period=FQ","BEST_FPERIOD_OVERRIDE=FQ","FILING_STATUS=OR","EQY_CONSOLIDATED=Y","Sort=A","Dates=H","DateFormat=P","Fill=—","Direction=H","UseDPDF=Y")</f>
        <v>#NAME?</v>
      </c>
      <c r="AF545" s="2" t="e">
        <f ca="1">_xll.BDH($C$528,"ACCOUNTS_PAYABLE_GROWTH_1YR","FQ2 2017","FQ2 2017","Currency=INR","Period=FQ","BEST_FPERIOD_OVERRIDE=FQ","FILING_STATUS=OR","EQY_CONSOLIDATED=Y","Sort=A","Dates=H","DateFormat=P","Fill=—","Direction=H","UseDPDF=Y")</f>
        <v>#NAME?</v>
      </c>
      <c r="AG545" s="2" t="e">
        <f ca="1">_xll.BDH($C$528,"SHORT_TERM_DEBT_1_YEAR_GROWTH","FQ2 2017","FQ2 2017","Currency=INR","Period=FQ","BEST_FPERIOD_OVERRIDE=FQ","FILING_STATUS=OR","EQY_CONSOLIDATED=Y","Sort=A","Dates=H","DateFormat=P","Fill=—","Direction=H","UseDPDF=Y")</f>
        <v>#NAME?</v>
      </c>
      <c r="AH545" s="2" t="e">
        <f ca="1">_xll.BDH($C$528,"TOTAL_DEBT_1_YEAR_GROWTH","FQ2 2017","FQ2 2017","Currency=INR","Period=FQ","BEST_FPERIOD_OVERRIDE=FQ","FILING_STATUS=OR","EQY_CONSOLIDATED=Y","Sort=A","Dates=H","DateFormat=P","Fill=—","Direction=H","UseDPDF=Y")</f>
        <v>#NAME?</v>
      </c>
      <c r="AI545" s="2" t="e">
        <f ca="1">_xll.BDH($C$528,"TOTAL_EQUITY_1_YEAR_GROWTH","FQ2 2017","FQ2 2017","Currency=INR","Period=FQ","BEST_FPERIOD_OVERRIDE=FQ","FILING_STATUS=OR","EQY_CONSOLIDATED=Y","Sort=A","Dates=H","DateFormat=P","Fill=—","Direction=H","UseDPDF=Y")</f>
        <v>#NAME?</v>
      </c>
      <c r="AJ545" s="2" t="e">
        <f ca="1">_xll.BDH($C$528,"GROWTH_IN_CAP","FQ2 2017","FQ2 2017","Currency=INR","Period=FQ","BEST_FPERIOD_OVERRIDE=FQ","FILING_STATUS=OR","EQY_CONSOLIDATED=Y","Sort=A","Dates=H","DateFormat=P","Fill=—","Direction=H","UseDPDF=Y")</f>
        <v>#NAME?</v>
      </c>
      <c r="AK545" s="2" t="e">
        <f ca="1">_xll.BDH($C$528,"BVPS_GROWTH","FQ2 2017","FQ2 2017","Currency=INR","Period=FQ","BEST_FPERIOD_OVERRIDE=FQ","FILING_STATUS=OR","EQY_CONSOLIDATED=Y","Sort=A","Dates=H","DateFormat=P","Fill=—","Direction=H","UseDPDF=Y")</f>
        <v>#NAME?</v>
      </c>
      <c r="AL545" s="2" t="e">
        <f ca="1">_xll.BDH($C$528,"CASH_FLOW_GROWTH","FQ2 2017","FQ2 2017","Currency=INR","Period=FQ","BEST_FPERIOD_OVERRIDE=FQ","FILING_STATUS=OR","EQY_CONSOLIDATED=Y","Sort=A","Dates=H","DateFormat=P","Fill=—","Direction=H","UseDPDF=Y")</f>
        <v>#NAME?</v>
      </c>
      <c r="AM545" s="2" t="e">
        <f ca="1">_xll.BDH($C$528,"GEO_GROW_NET_SALES","FQ2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545" s="2" t="e">
        <f ca="1">_xll.BDH($C$528,"GEO_GROW_EBITDA","FQ2 2017","FQ2 2017","Currency=INR","Period=FQ","BEST_FPERIOD_OVERRIDE=FQ","FILING_STATUS=OR","EQY_CONSOLIDATED=Y","FA_ADJUSTED=GAAP","Sort=A","Dates=H","DateFormat=P","Fill=—","Direction=H","UseDPDF=Y")</f>
        <v>#NAME?</v>
      </c>
      <c r="AO545" s="2" t="e">
        <f ca="1">_xll.BDH($C$528,"GEO_GROW_OPER_INC","FQ2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545" s="2" t="e">
        <f ca="1">_xll.BDH($C$528,"NET_INCOME_TO_COMMON_5_YR_GROWTH","FQ2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545" s="2" t="e">
        <f ca="1">_xll.BDH($C$528,"5Y_GEO_GROWTH_DILUTED_EPS","FQ2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545" s="2" t="e">
        <f ca="1">_xll.BDH($C$528,"GEO_GROW_DVD_PER_SH","FQ2 2017","FQ2 2017","Currency=INR","Period=FQ","BEST_FPERIOD_OVERRIDE=FQ","FILING_STATUS=OR","EQY_CONSOLIDATED=Y","Sort=A","Dates=H","DateFormat=P","Fill=—","Direction=H","UseDPDF=Y")</f>
        <v>#NAME?</v>
      </c>
      <c r="AS545" s="2" t="e">
        <f ca="1">_xll.BDH($C$528,"ACCOUNTS_RECEIVABLE_5_YR_GROWTH","FQ2 2017","FQ2 2017","Currency=INR","Period=FQ","BEST_FPERIOD_OVERRIDE=FQ","FILING_STATUS=OR","EQY_CONSOLIDATED=Y","Sort=A","Dates=H","DateFormat=P","Fill=—","Direction=H","UseDPDF=Y")</f>
        <v>#NAME?</v>
      </c>
      <c r="AT545" s="2" t="e">
        <f ca="1">_xll.BDH($C$528,"INVENTORY_5_YEAR_GROWTH","FQ2 2017","FQ2 2017","Currency=INR","Period=FQ","BEST_FPERIOD_OVERRIDE=FQ","FILING_STATUS=OR","EQY_CONSOLIDATED=Y","Sort=A","Dates=H","DateFormat=P","Fill=—","Direction=H","UseDPDF=Y")</f>
        <v>#NAME?</v>
      </c>
      <c r="AU545" s="2" t="e">
        <f ca="1">_xll.BDH($C$528,"NET_FIXED_ASSETS_5_YEAR_GROWTH","FQ2 2017","FQ2 2017","Currency=INR","Period=FQ","BEST_FPERIOD_OVERRIDE=FQ","FILING_STATUS=OR","EQY_CONSOLIDATED=Y","Sort=A","Dates=H","DateFormat=P","Fill=—","Direction=H","UseDPDF=Y")</f>
        <v>#NAME?</v>
      </c>
      <c r="AV545" s="2" t="e">
        <f ca="1">_xll.BDH($C$528,"GEO_GROW_TOT_ASSET","FQ2 2017","FQ2 2017","Currency=INR","Period=FQ","BEST_FPERIOD_OVERRIDE=FQ","FILING_STATUS=OR","EQY_CONSOLIDATED=Y","Sort=A","Dates=H","DateFormat=P","Fill=—","Direction=H","UseDPDF=Y")</f>
        <v>#NAME?</v>
      </c>
      <c r="AW545" s="2" t="e">
        <f ca="1">_xll.BDH($C$528,"MODIFIED_WORKING_CPTL_5YR_GRWTH","FQ2 2017","FQ2 2017","Currency=INR","Period=FQ","BEST_FPERIOD_OVERRIDE=FQ","FILING_STATUS=OR","EQY_CONSOLIDATED=Y","Sort=A","Dates=H","DateFormat=P","Fill=—","Direction=H","UseDPDF=Y")</f>
        <v>#NAME?</v>
      </c>
      <c r="AX545" s="2" t="e">
        <f ca="1">_xll.BDH($C$528,"WORKING_CAPITAL_5_YEAR_GROWTH","FQ2 2017","FQ2 2017","Currency=INR","Period=FQ","BEST_FPERIOD_OVERRIDE=FQ","FILING_STATUS=OR","EQY_CONSOLIDATED=Y","Sort=A","Dates=H","DateFormat=P","Fill=—","Direction=H","UseDPDF=Y")</f>
        <v>#NAME?</v>
      </c>
      <c r="AY545" s="2" t="e">
        <f ca="1">_xll.BDH($C$528,"ACCOUNTS_PAYABLE_5_YEAR_GROWTH","FQ2 2017","FQ2 2017","Currency=INR","Period=FQ","BEST_FPERIOD_OVERRIDE=FQ","FILING_STATUS=OR","EQY_CONSOLIDATED=Y","Sort=A","Dates=H","DateFormat=P","Fill=—","Direction=H","UseDPDF=Y")</f>
        <v>#NAME?</v>
      </c>
      <c r="AZ545" s="2" t="e">
        <f ca="1">_xll.BDH($C$528,"SHORT_TERM_DEBT_5_YEAR_GROWTH","FQ2 2017","FQ2 2017","Currency=INR","Period=FQ","BEST_FPERIOD_OVERRIDE=FQ","FILING_STATUS=OR","EQY_CONSOLIDATED=Y","Sort=A","Dates=H","DateFormat=P","Fill=—","Direction=H","UseDPDF=Y")</f>
        <v>#NAME?</v>
      </c>
      <c r="BA545" s="2" t="e">
        <f ca="1">_xll.BDH($C$528,"TOTAL_DEBT_5_YEAR_GROWTH","FQ2 2017","FQ2 2017","Currency=INR","Period=FQ","BEST_FPERIOD_OVERRIDE=FQ","FILING_STATUS=OR","EQY_CONSOLIDATED=Y","Sort=A","Dates=H","DateFormat=P","Fill=—","Direction=H","UseDPDF=Y")</f>
        <v>#NAME?</v>
      </c>
      <c r="BB545" s="2" t="e">
        <f ca="1">_xll.BDH($C$528,"GEO_GROW_TOT_SHRHLDR_EQY","FQ2 2017","FQ2 2017","Currency=INR","Period=FQ","BEST_FPERIOD_OVERRIDE=FQ","FILING_STATUS=OR","EQY_CONSOLIDATED=Y","Sort=A","Dates=H","DateFormat=P","Fill=—","Direction=H","UseDPDF=Y")</f>
        <v>#NAME?</v>
      </c>
      <c r="BC545" s="2" t="e">
        <f ca="1">_xll.BDH($C$528,"TOTAL_CAPITAL_5_YEAR_GROWTH","FQ2 2017","FQ2 2017","Currency=INR","Period=FQ","BEST_FPERIOD_OVERRIDE=FQ","FILING_STATUS=OR","EQY_CONSOLIDATED=Y","Sort=A","Dates=H","DateFormat=P","Fill=—","Direction=H","UseDPDF=Y")</f>
        <v>#NAME?</v>
      </c>
      <c r="BD545" s="2" t="e">
        <f ca="1">_xll.BDH($C$528,"GEO_GROW_BOOK_VAL","FQ2 2017","FQ2 2017","Currency=INR","Period=FQ","BEST_FPERIOD_OVERRIDE=FQ","FILING_STATUS=OR","EQY_CONSOLIDATED=Y","Sort=A","Dates=H","DateFormat=P","Fill=—","Direction=H","UseDPDF=Y")</f>
        <v>#NAME?</v>
      </c>
      <c r="BE545" s="2" t="e">
        <f ca="1">_xll.BDH($C$528,"GEO_GROW_CASH_OPER_ACT","FQ2 2017","FQ2 2017","Currency=INR","Period=FQ","BEST_FPERIOD_OVERRIDE=FQ","FILING_STATUS=OR","EQY_CONSOLIDATED=Y","Sort=A","Dates=H","DateFormat=P","Fill=—","Direction=H","UseDPDF=Y")</f>
        <v>#NAME?</v>
      </c>
      <c r="BF545" s="2" t="e">
        <f ca="1">_xll.BDH($C$528,"REVENUE_SEQUENTIAL_GROWTH","FQ2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545" s="2" t="e">
        <f ca="1">_xll.BDH($C$528,"EBITDA_SEQUENTIAL_GROWTH","FQ2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545" s="2" t="e">
        <f ca="1">_xll.BDH($C$528,"OPERATING_INCOME_SEQ_GROWTH","FQ2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545" s="2" t="e">
        <f ca="1">_xll.BDH($C$528,"NET_INCOME_TO_COMMON_SEQ_GROWTH","FQ2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545" s="2" t="e">
        <f ca="1">_xll.BDH($C$528,"EPS_DILUTED_SEQUENTIAL_GROWTH","FQ2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545" s="2" t="e">
        <f ca="1">_xll.BDH($C$528,"DPS_SEQUENTIAL_GROWTH","FQ2 2017","FQ2 2017","Currency=INR","Period=FQ","BEST_FPERIOD_OVERRIDE=FQ","FILING_STATUS=OR","EQY_CONSOLIDATED=Y","Sort=A","Dates=H","DateFormat=P","Fill=—","Direction=H","UseDPDF=Y")</f>
        <v>#NAME?</v>
      </c>
      <c r="BL545" s="2" t="e">
        <f ca="1">_xll.BDH($C$528,"ACCOUNTS_RECEIVABLE_SEQ_GROWTH","FQ2 2017","FQ2 2017","Currency=INR","Period=FQ","BEST_FPERIOD_OVERRIDE=FQ","FILING_STATUS=OR","EQY_CONSOLIDATED=Y","Sort=A","Dates=H","DateFormat=P","Fill=—","Direction=H","UseDPDF=Y")</f>
        <v>#NAME?</v>
      </c>
      <c r="BM545" s="2" t="e">
        <f ca="1">_xll.BDH($C$528,"INVENTORY_SEQUENTIAL_GROWTH","FQ2 2017","FQ2 2017","Currency=INR","Period=FQ","BEST_FPERIOD_OVERRIDE=FQ","FILING_STATUS=OR","EQY_CONSOLIDATED=Y","Sort=A","Dates=H","DateFormat=P","Fill=—","Direction=H","UseDPDF=Y")</f>
        <v>#NAME?</v>
      </c>
      <c r="BN545" s="2" t="e">
        <f ca="1">_xll.BDH($C$528,"FIXED_ASSETS_SEQUENTIAL_GROWTH","FQ2 2017","FQ2 2017","Currency=INR","Period=FQ","BEST_FPERIOD_OVERRIDE=FQ","FILING_STATUS=OR","EQY_CONSOLIDATED=Y","Sort=A","Dates=H","DateFormat=P","Fill=—","Direction=H","UseDPDF=Y")</f>
        <v>#NAME?</v>
      </c>
      <c r="BO545" s="2" t="e">
        <f ca="1">_xll.BDH($C$528,"TOTAL_ASSETS_SEQUENTIAL_GROWTH","FQ2 2017","FQ2 2017","Currency=INR","Period=FQ","BEST_FPERIOD_OVERRIDE=FQ","FILING_STATUS=OR","EQY_CONSOLIDATED=Y","Sort=A","Dates=H","DateFormat=P","Fill=—","Direction=H","UseDPDF=Y")</f>
        <v>#NAME?</v>
      </c>
      <c r="BP545" s="2" t="e">
        <f ca="1">_xll.BDH($C$528,"MODIFIED_WORKING_CPTL_SEQ_GRWTH","FQ2 2017","FQ2 2017","Currency=INR","Period=FQ","BEST_FPERIOD_OVERRIDE=FQ","FILING_STATUS=OR","EQY_CONSOLIDATED=Y","Sort=A","Dates=H","DateFormat=P","Fill=—","Direction=H","UseDPDF=Y")</f>
        <v>#NAME?</v>
      </c>
      <c r="BQ545" s="2" t="e">
        <f ca="1">_xll.BDH($C$528,"WORKING_CAPITAL_SEQ_GROWTH","FQ2 2017","FQ2 2017","Currency=INR","Period=FQ","BEST_FPERIOD_OVERRIDE=FQ","FILING_STATUS=OR","EQY_CONSOLIDATED=Y","Sort=A","Dates=H","DateFormat=P","Fill=—","Direction=H","UseDPDF=Y")</f>
        <v>#NAME?</v>
      </c>
      <c r="BR545" s="2" t="e">
        <f ca="1">_xll.BDH($C$528,"ACCOUNTS_PAYABLE_SEQ_GROWTH","FQ2 2017","FQ2 2017","Currency=INR","Period=FQ","BEST_FPERIOD_OVERRIDE=FQ","FILING_STATUS=OR","EQY_CONSOLIDATED=Y","Sort=A","Dates=H","DateFormat=P","Fill=—","Direction=H","UseDPDF=Y")</f>
        <v>#NAME?</v>
      </c>
      <c r="BS545" s="2" t="e">
        <f ca="1">_xll.BDH($C$528,"ST_DEBT_SEQUENTIAL_GROWTH","FQ2 2017","FQ2 2017","Currency=INR","Period=FQ","BEST_FPERIOD_OVERRIDE=FQ","FILING_STATUS=OR","EQY_CONSOLIDATED=Y","Sort=A","Dates=H","DateFormat=P","Fill=—","Direction=H","UseDPDF=Y")</f>
        <v>#NAME?</v>
      </c>
      <c r="BT545" s="2" t="e">
        <f ca="1">_xll.BDH($C$528,"TOTAL_DEBT_SEQUENTIAL_GROWTH","FQ2 2017","FQ2 2017","Currency=INR","Period=FQ","BEST_FPERIOD_OVERRIDE=FQ","FILING_STATUS=OR","EQY_CONSOLIDATED=Y","Sort=A","Dates=H","DateFormat=P","Fill=—","Direction=H","UseDPDF=Y")</f>
        <v>#NAME?</v>
      </c>
      <c r="BU545" s="2" t="e">
        <f ca="1">_xll.BDH($C$528,"TOTAL_EQUITY_SEQUENTIAL_GROWTH","FQ2 2017","FQ2 2017","Currency=INR","Period=FQ","BEST_FPERIOD_OVERRIDE=FQ","FILING_STATUS=OR","EQY_CONSOLIDATED=Y","Sort=A","Dates=H","DateFormat=P","Fill=—","Direction=H","UseDPDF=Y")</f>
        <v>#NAME?</v>
      </c>
      <c r="BV545" s="2" t="e">
        <f ca="1">_xll.BDH($C$528,"TOTAL_CAPITAL_SEQUENTIAL_GROWTH","FQ2 2017","FQ2 2017","Currency=INR","Period=FQ","BEST_FPERIOD_OVERRIDE=FQ","FILING_STATUS=OR","EQY_CONSOLIDATED=Y","Sort=A","Dates=H","DateFormat=P","Fill=—","Direction=H","UseDPDF=Y")</f>
        <v>#NAME?</v>
      </c>
      <c r="BW545" s="2" t="e">
        <f ca="1">_xll.BDH($C$528,"BPS_SEQUENTIAL_GROWTH","FQ2 2017","FQ2 2017","Currency=INR","Period=FQ","BEST_FPERIOD_OVERRIDE=FQ","FILING_STATUS=OR","EQY_CONSOLIDATED=Y","Sort=A","Dates=H","DateFormat=P","Fill=—","Direction=H","UseDPDF=Y")</f>
        <v>#NAME?</v>
      </c>
      <c r="BX545" s="2" t="e">
        <f ca="1">_xll.BDH($C$528,"CFO_SEQUENTIAL_GROWTH","FQ2 2017","FQ2 2017","Currency=INR","Period=FQ","BEST_FPERIOD_OVERRIDE=FQ","FILING_STATUS=OR","EQY_CONSOLIDATED=Y","Sort=A","Dates=H","DateFormat=P","Fill=—","Direction=H","UseDPDF=Y")</f>
        <v>#NAME?</v>
      </c>
      <c r="BY545" s="3" t="e">
        <f ca="1">_xll.BDH($C$528,"SHORT_AND_LONG_TERM_DEBT","FQ2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545" s="3" t="e">
        <f ca="1">_xll.BDH($C$528,"BS_ST_BORROW","FQ2 2017","FQ2 2017","Currency=INR","Period=FQ","BEST_FPERIOD_OVERRIDE=FQ","FILING_STATUS=OR","EQY_CONSOLIDATED=Y","SCALING_FORMAT=MLN","Sort=A","Dates=H","DateFormat=P","Fill=—","Direction=H","UseDPDF=Y")</f>
        <v>#NAME?</v>
      </c>
      <c r="CA545" s="3" t="e">
        <f ca="1">_xll.BDH($C$528,"BS_LT_BORROW","FQ2 2017","FQ2 2017","Currency=INR","Period=FQ","BEST_FPERIOD_OVERRIDE=FQ","FILING_STATUS=OR","EQY_CONSOLIDATED=Y","SCALING_FORMAT=MLN","Sort=A","Dates=H","DateFormat=P","Fill=—","Direction=H","UseDPDF=Y")</f>
        <v>#NAME?</v>
      </c>
      <c r="CB545" s="2" t="e">
        <f ca="1">_xll.BDH($C$528,"TOT_DEBT_TO_EBITDA","FQ2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545" s="2" t="e">
        <f ca="1">_xll.BDH($C$528,"NET_DEBT_TO_EBITDA","FQ2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545" s="2" t="e">
        <f ca="1">_xll.BDH($C$528,"TOTAL_DEBT_TO_EBIT","FQ2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545" s="2" t="e">
        <f ca="1">_xll.BDH($C$528,"NET_DEBT_TO_EBIT","FQ2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545" s="2" t="e">
        <f ca="1">_xll.BDH($C$528,"EBITDA_TO_INTEREST_EXPN","FQ2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545" s="2" t="e">
        <f ca="1">_xll.BDH($C$528,"COM_EQY_TO_TOT_ASSET","FQ2 2017","FQ2 2017","Currency=INR","Period=FQ","BEST_FPERIOD_OVERRIDE=FQ","FILING_STATUS=OR","EQY_CONSOLIDATED=Y","Sort=A","Dates=H","DateFormat=P","Fill=—","Direction=H","UseDPDF=Y")</f>
        <v>#NAME?</v>
      </c>
      <c r="CH545" s="2" t="e">
        <f ca="1">_xll.BDH($C$528,"LT_DEBT_TO_TOT_EQY","FQ2 2017","FQ2 2017","Currency=INR","Period=FQ","BEST_FPERIOD_OVERRIDE=FQ","FILING_STATUS=OR","EQY_CONSOLIDATED=Y","Sort=A","Dates=H","DateFormat=P","Fill=—","Direction=H","UseDPDF=Y")</f>
        <v>#NAME?</v>
      </c>
      <c r="CI545" s="2" t="e">
        <f ca="1">_xll.BDH($C$528,"LT_DEBT_TO_TOT_CAP","FQ2 2017","FQ2 2017","Currency=INR","Period=FQ","BEST_FPERIOD_OVERRIDE=FQ","FILING_STATUS=OR","EQY_CONSOLIDATED=Y","Sort=A","Dates=H","DateFormat=P","Fill=—","Direction=H","UseDPDF=Y")</f>
        <v>#NAME?</v>
      </c>
      <c r="CJ545" s="2" t="e">
        <f ca="1">_xll.BDH($C$528,"LT_DEBT_TO_TOT_ASSET","FQ2 2017","FQ2 2017","Currency=INR","Period=FQ","BEST_FPERIOD_OVERRIDE=FQ","FILING_STATUS=OR","EQY_CONSOLIDATED=Y","Sort=A","Dates=H","DateFormat=P","Fill=—","Direction=H","UseDPDF=Y")</f>
        <v>#NAME?</v>
      </c>
      <c r="CK545" s="2" t="e">
        <f ca="1">_xll.BDH($C$528,"TOT_DEBT_TO_TOT_EQY","FQ2 2017","FQ2 2017","Currency=INR","Period=FQ","BEST_FPERIOD_OVERRIDE=FQ","FILING_STATUS=OR","EQY_CONSOLIDATED=Y","Sort=A","Dates=H","DateFormat=P","Fill=—","Direction=H","UseDPDF=Y")</f>
        <v>#NAME?</v>
      </c>
      <c r="CL545" s="2" t="e">
        <f ca="1">_xll.BDH($C$528,"TOT_DEBT_TO_TOT_CAP","FQ2 2017","FQ2 2017","Currency=INR","Period=FQ","BEST_FPERIOD_OVERRIDE=FQ","FILING_STATUS=OR","EQY_CONSOLIDATED=Y","Sort=A","Dates=H","DateFormat=P","Fill=—","Direction=H","UseDPDF=Y")</f>
        <v>#NAME?</v>
      </c>
      <c r="CM545" s="2" t="e">
        <f ca="1">_xll.BDH($C$528,"TOT_DEBT_TO_TOT_ASSET","FQ2 2017","FQ2 2017","Currency=INR","Period=FQ","BEST_FPERIOD_OVERRIDE=FQ","FILING_STATUS=OR","EQY_CONSOLIDATED=Y","Sort=A","Dates=H","DateFormat=P","Fill=—","Direction=H","UseDPDF=Y")</f>
        <v>#NAME?</v>
      </c>
      <c r="CN545" s="2" t="e">
        <f ca="1">_xll.BDH($C$528,"NET_DEBT_TO_SHRHLDR_EQTY","FQ2 2017","FQ2 2017","Currency=INR","Period=FQ","BEST_FPERIOD_OVERRIDE=FQ","FILING_STATUS=OR","EQY_CONSOLIDATED=Y","Sort=A","Dates=H","DateFormat=P","Fill=—","Direction=H","UseDPDF=Y")</f>
        <v>#NAME?</v>
      </c>
      <c r="CO545" s="2" t="e">
        <f ca="1">_xll.BDH($C$528,"NET_DEBT_%_CAPITAL","FQ2 2017","FQ2 2017","Currency=INR","Period=FQ","BEST_FPERIOD_OVERRIDE=FQ","FILING_STATUS=OR","EQY_CONSOLIDATED=Y","Sort=A","Dates=H","DateFormat=P","Fill=—","Direction=H","UseDPDF=Y")</f>
        <v>#NAME?</v>
      </c>
      <c r="CP545" s="3" t="e">
        <f ca="1">_xll.BDH($C$528,"EBITDA","FQ2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545" s="3" t="e">
        <f ca="1">_xll.BDH($C$528,"EBITDA_AFTER_CAPEX","FQ2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545" s="3" t="e">
        <f ca="1">_xll.BDH($C$528,"IS_OPER_INC","FQ2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545" s="2" t="e">
        <f ca="1">_xll.BDH($C$528,"CASH_RATIO","FQ2 2017","FQ2 2017","Currency=INR","Period=FQ","BEST_FPERIOD_OVERRIDE=FQ","FILING_STATUS=OR","EQY_CONSOLIDATED=Y","Sort=A","Dates=H","DateFormat=P","Fill=—","Direction=H","UseDPDF=Y")</f>
        <v>#NAME?</v>
      </c>
      <c r="CT545" s="2" t="e">
        <f ca="1">_xll.BDH($C$528,"CUR_RATIO","FQ2 2017","FQ2 2017","Currency=INR","Period=FQ","BEST_FPERIOD_OVERRIDE=FQ","FILING_STATUS=OR","EQY_CONSOLIDATED=Y","Sort=A","Dates=H","DateFormat=P","Fill=—","Direction=H","UseDPDF=Y")</f>
        <v>#NAME?</v>
      </c>
      <c r="CU545" s="2" t="e">
        <f ca="1">_xll.BDH($C$528,"QUICK_RATIO","FQ2 2017","FQ2 2017","Currency=INR","Period=FQ","BEST_FPERIOD_OVERRIDE=FQ","FILING_STATUS=OR","EQY_CONSOLIDATED=Y","Sort=A","Dates=H","DateFormat=P","Fill=—","Direction=H","UseDPDF=Y")</f>
        <v>#NAME?</v>
      </c>
      <c r="CV545" s="2" t="e">
        <f ca="1">_xll.BDH($C$528,"ALTMAN_Z_SCORE","FQ2 2017","FQ2 2017","Currency=INR","Period=FQ","BEST_FPERIOD_OVERRIDE=FQ","FILING_STATUS=OR","EQY_CONSOLIDATED=Y","Sort=A","Dates=H","DateFormat=P","Fill=—","Direction=H","UseDPDF=Y")</f>
        <v>#NAME?</v>
      </c>
      <c r="CW545" s="4" t="e">
        <f ca="1">_xll.BDH($C$528,"ACCT_RCV_TURN","FQ2 2017","FQ2 2017","Currency=INR","Period=FQ","BEST_FPERIOD_OVERRIDE=FQ","FILING_STATUS=OR","EQY_CONSOLIDATED=Y","FA_ADJUSTED=GAAP","Sort=A","Dates=H","DateFormat=P","Fill=—","Direction=H","UseDPDF=Y")</f>
        <v>#NAME?</v>
      </c>
      <c r="CX545" s="2" t="e">
        <f ca="1">_xll.BDH($C$528,"ACCT_RCV_DAYS","FQ2 2017","FQ2 2017","Currency=INR","Period=FQ","BEST_FPERIOD_OVERRIDE=FQ","FILING_STATUS=OR","EQY_CONSOLIDATED=Y","FA_ADJUSTED=GAAP","Sort=A","Dates=H","DateFormat=P","Fill=—","Direction=H","UseDPDF=Y")</f>
        <v>#NAME?</v>
      </c>
      <c r="CY545" s="4" t="e">
        <f ca="1">_xll.BDH($C$528,"INVENT_TURN","FQ2 2017","FQ2 2017","Currency=INR","Period=FQ","BEST_FPERIOD_OVERRIDE=FQ","FILING_STATUS=OR","EQY_CONSOLIDATED=Y","FA_ADJUSTED=GAAP","Sort=A","Dates=H","DateFormat=P","Fill=—","Direction=H","UseDPDF=Y")</f>
        <v>#NAME?</v>
      </c>
      <c r="CZ545" s="2" t="e">
        <f ca="1">_xll.BDH($C$528,"INVENT_DAYS","FQ2 2017","FQ2 2017","Currency=INR","Period=FQ","BEST_FPERIOD_OVERRIDE=FQ","FILING_STATUS=OR","EQY_CONSOLIDATED=Y","FA_ADJUSTED=GAAP","Sort=A","Dates=H","DateFormat=P","Fill=—","Direction=H","UseDPDF=Y")</f>
        <v>#NAME?</v>
      </c>
      <c r="DA545" s="4" t="e">
        <f ca="1">_xll.BDH($C$528,"ACCOUNTS_PAYABLE_TURNOVER","FQ2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545" s="2" t="e">
        <f ca="1">_xll.BDH($C$528,"ACCOUNTS_PAYABLE_TURNOVER_DAYS","FQ2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545" s="4" t="e">
        <f ca="1">_xll.BDH($C$528,"CASH_CONVERSION_CYCLE","FQ2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545" s="4" t="e">
        <f ca="1">_xll.BDH($C$528,"INV_TO_CASH_DAYS","FQ2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545" s="5" t="e">
        <f ca="1">_xll.BDH($C$528,"BS_INVENTORIES","FQ2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545" s="3" t="e">
        <f ca="1">_xll.BDH($C$528,"INVTRY_RAW_MATERIALS","FQ2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545" s="3" t="e">
        <f ca="1">_xll.BDH($C$528,"INVTRY_IN_PROGRESS","FQ2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545" s="3" t="e">
        <f ca="1">_xll.BDH($C$528,"INVTRY_FINISHED_GOODS","FQ2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545" s="3" t="e">
        <f ca="1">_xll.BDH($C$528,"BS_OTHER_INV","FQ2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546" spans="1:113" x14ac:dyDescent="0.3">
      <c r="A546" s="6"/>
      <c r="B546" s="6"/>
      <c r="C546" s="6"/>
      <c r="D546" s="6"/>
      <c r="E546" t="s">
        <v>80</v>
      </c>
      <c r="F546" t="e">
        <f ca="1">_xll.BDH($C$528,"RETURN_COM_EQY","FQ3 2017","FQ3 2017","Currency=INR","Period=FQ","BEST_FPERIOD_OVERRIDE=FQ","FILING_STATUS=OR","EQY_CONSOLIDATED=Y","FA_ADJUSTED=GAAP","Sort=A","Dates=H","DateFormat=P","Fill=—","Direction=H","UseDPDF=Y")</f>
        <v>#NAME?</v>
      </c>
      <c r="G546" t="e">
        <f ca="1">_xll.BDH($C$528,"RETURN_ON_ASSET","FQ3 2017","FQ3 2017","Currency=INR","Period=FQ","BEST_FPERIOD_OVERRIDE=FQ","FILING_STATUS=OR","EQY_CONSOLIDATED=Y","FA_ADJUSTED=GAAP","Sort=A","Dates=H","DateFormat=P","Fill=—","Direction=H","UseDPDF=Y")</f>
        <v>#NAME?</v>
      </c>
      <c r="H546" t="e">
        <f ca="1">_xll.BDH($C$528,"RETURN_ON_CAP","FQ3 2017","FQ3 2017","Currency=INR","Period=FQ","BEST_FPERIOD_OVERRIDE=FQ","FILING_STATUS=OR","EQY_CONSOLIDATED=Y","FA_ADJUSTED=GAAP","Sort=A","Dates=H","DateFormat=P","Fill=—","Direction=H","UseDPDF=Y")</f>
        <v>#NAME?</v>
      </c>
      <c r="I546" t="e">
        <f ca="1">_xll.BDH($C$528,"RETURN_ON_INV_CAPITAL","FQ3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546" t="e">
        <f ca="1">_xll.BDH($C$528,"EBITDA_TO_REVENUE","FQ3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546" t="e">
        <f ca="1">_xll.BDH($C$528,"OPER_MARGIN","FQ3 2017","FQ3 2017","Currency=INR","Period=FQ","BEST_FPERIOD_OVERRIDE=FQ","FILING_STATUS=OR","EQY_CONSOLIDATED=Y","FA_ADJUSTED=GAAP","Sort=A","Dates=H","DateFormat=P","Fill=—","Direction=H","UseDPDF=Y")</f>
        <v>#NAME?</v>
      </c>
      <c r="L546" t="e">
        <f ca="1">_xll.BDH($C$528,"INCREMENTAL_OPERATING_MARGIN","FQ3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546" t="e">
        <f ca="1">_xll.BDH($C$528,"PRETAX_INC_TO_NET_SALES","FQ3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546" t="e">
        <f ca="1">_xll.BDH($C$528,"INC_BEF_XO_ITEMS_TO_NET_SALES","FQ3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546" t="e">
        <f ca="1">_xll.BDH($C$528,"PROF_MARGIN","FQ3 2017","FQ3 2017","Currency=INR","Period=FQ","BEST_FPERIOD_OVERRIDE=FQ","FILING_STATUS=OR","EQY_CONSOLIDATED=Y","FA_ADJUSTED=GAAP","Sort=A","Dates=H","DateFormat=P","Fill=—","Direction=H","UseDPDF=Y")</f>
        <v>#NAME?</v>
      </c>
      <c r="P546" t="e">
        <f ca="1">_xll.BDH($C$528,"NET_INCOME_TO_COMMON_MARGIN","FQ3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546" t="e">
        <f ca="1">_xll.BDH($C$528,"EFF_TAX_RATE","FQ3 2017","FQ3 2017","Currency=INR","Period=FQ","BEST_FPERIOD_OVERRIDE=FQ","FILING_STATUS=OR","EQY_CONSOLIDATED=Y","FA_ADJUSTED=GAAP","Sort=A","Dates=H","DateFormat=P","Fill=—","Direction=H","UseDPDF=Y")</f>
        <v>#NAME?</v>
      </c>
      <c r="R546" t="e">
        <f ca="1">_xll.BDH($C$528,"DVD_PAYOUT_RATIO","FQ3 2017","FQ3 2017","Currency=INR","Period=FQ","BEST_FPERIOD_OVERRIDE=FQ","FILING_STATUS=OR","EQY_CONSOLIDATED=Y","FA_ADJUSTED=GAAP","Sort=A","Dates=H","DateFormat=P","Fill=—","Direction=H","UseDPDF=Y")</f>
        <v>#NAME?</v>
      </c>
      <c r="S546" t="e">
        <f ca="1">_xll.BDH($C$528,"SUSTAIN_GROWTH_RT","FQ3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546" s="2" t="e">
        <f ca="1">_xll.BDH($C$528,"SALES_GROWTH","FQ3 2017","FQ3 2017","Currency=INR","Period=FQ","BEST_FPERIOD_OVERRIDE=FQ","FILING_STATUS=OR","EQY_CONSOLIDATED=Y","FA_ADJUSTED=GAAP","Sort=A","Dates=H","DateFormat=P","Fill=—","Direction=H","UseDPDF=Y")</f>
        <v>#NAME?</v>
      </c>
      <c r="U546" s="2" t="e">
        <f ca="1">_xll.BDH($C$528,"EBITDA_GROWTH","FQ3 2017","FQ3 2017","Currency=INR","Period=FQ","BEST_FPERIOD_OVERRIDE=FQ","FILING_STATUS=OR","EQY_CONSOLIDATED=Y","FA_ADJUSTED=GAAP","Sort=A","Dates=H","DateFormat=P","Fill=—","Direction=H","UseDPDF=Y")</f>
        <v>#NAME?</v>
      </c>
      <c r="V546" s="2" t="e">
        <f ca="1">_xll.BDH($C$528,"OPER_INC_GROWTH","FQ3 2017","FQ3 2017","Currency=INR","Period=FQ","BEST_FPERIOD_OVERRIDE=FQ","FILING_STATUS=OR","EQY_CONSOLIDATED=Y","FA_ADJUSTED=GAAP","Sort=A","Dates=H","DateFormat=P","Fill=—","Direction=H","UseDPDF=Y")</f>
        <v>#NAME?</v>
      </c>
      <c r="W546" s="2" t="e">
        <f ca="1">_xll.BDH($C$528,"EARN_FOR_COM_GROWTH","FQ3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546" s="2" t="e">
        <f ca="1">_xll.BDH($C$528,"DILUTED_EPS_AFT_XO_ITEMS_GROWTH","FQ3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546" s="2" t="e">
        <f ca="1">_xll.BDH($C$528,"DIVIDEND_PER_SHARE_1_YEAR_GROWTH","FQ3 2017","FQ3 2017","Currency=INR","Period=FQ","BEST_FPERIOD_OVERRIDE=FQ","FILING_STATUS=OR","EQY_CONSOLIDATED=Y","Sort=A","Dates=H","DateFormat=P","Fill=—","Direction=H","UseDPDF=Y")</f>
        <v>#NAME?</v>
      </c>
      <c r="Z546" s="2" t="e">
        <f ca="1">_xll.BDH($C$528,"ACCOUNTS_RECEIVABLE_GROWTH","FQ3 2017","FQ3 2017","Currency=INR","Period=FQ","BEST_FPERIOD_OVERRIDE=FQ","FILING_STATUS=OR","EQY_CONSOLIDATED=Y","Sort=A","Dates=H","DateFormat=P","Fill=—","Direction=H","UseDPDF=Y")</f>
        <v>#NAME?</v>
      </c>
      <c r="AA546" s="2" t="e">
        <f ca="1">_xll.BDH($C$528,"INVENTORY_GROWTH","FQ3 2017","FQ3 2017","Currency=INR","Period=FQ","BEST_FPERIOD_OVERRIDE=FQ","FILING_STATUS=OR","EQY_CONSOLIDATED=Y","Sort=A","Dates=H","DateFormat=P","Fill=—","Direction=H","UseDPDF=Y")</f>
        <v>#NAME?</v>
      </c>
      <c r="AB546" s="2" t="e">
        <f ca="1">_xll.BDH($C$528,"NET_FIXED_ASSETS_1_YEAR_GROWTH","FQ3 2017","FQ3 2017","Currency=INR","Period=FQ","BEST_FPERIOD_OVERRIDE=FQ","FILING_STATUS=OR","EQY_CONSOLIDATED=Y","Sort=A","Dates=H","DateFormat=P","Fill=—","Direction=H","UseDPDF=Y")</f>
        <v>#NAME?</v>
      </c>
      <c r="AC546" s="2" t="e">
        <f ca="1">_xll.BDH($C$528,"ASSET_GROWTH","FQ3 2017","FQ3 2017","Currency=INR","Period=FQ","BEST_FPERIOD_OVERRIDE=FQ","FILING_STATUS=OR","EQY_CONSOLIDATED=Y","Sort=A","Dates=H","DateFormat=P","Fill=—","Direction=H","UseDPDF=Y")</f>
        <v>#NAME?</v>
      </c>
      <c r="AD546" s="2" t="e">
        <f ca="1">_xll.BDH($C$528,"MODIFIED_WORK_CAP_GROWTH","FQ3 2017","FQ3 2017","Currency=INR","Period=FQ","BEST_FPERIOD_OVERRIDE=FQ","FILING_STATUS=OR","EQY_CONSOLIDATED=Y","Sort=A","Dates=H","DateFormat=P","Fill=—","Direction=H","UseDPDF=Y")</f>
        <v>#NAME?</v>
      </c>
      <c r="AE546" s="2" t="e">
        <f ca="1">_xll.BDH($C$528,"WORK_CAP_GROWTH","FQ3 2017","FQ3 2017","Currency=INR","Period=FQ","BEST_FPERIOD_OVERRIDE=FQ","FILING_STATUS=OR","EQY_CONSOLIDATED=Y","Sort=A","Dates=H","DateFormat=P","Fill=—","Direction=H","UseDPDF=Y")</f>
        <v>#NAME?</v>
      </c>
      <c r="AF546" s="2" t="e">
        <f ca="1">_xll.BDH($C$528,"ACCOUNTS_PAYABLE_GROWTH_1YR","FQ3 2017","FQ3 2017","Currency=INR","Period=FQ","BEST_FPERIOD_OVERRIDE=FQ","FILING_STATUS=OR","EQY_CONSOLIDATED=Y","Sort=A","Dates=H","DateFormat=P","Fill=—","Direction=H","UseDPDF=Y")</f>
        <v>#NAME?</v>
      </c>
      <c r="AG546" s="2" t="e">
        <f ca="1">_xll.BDH($C$528,"SHORT_TERM_DEBT_1_YEAR_GROWTH","FQ3 2017","FQ3 2017","Currency=INR","Period=FQ","BEST_FPERIOD_OVERRIDE=FQ","FILING_STATUS=OR","EQY_CONSOLIDATED=Y","Sort=A","Dates=H","DateFormat=P","Fill=—","Direction=H","UseDPDF=Y")</f>
        <v>#NAME?</v>
      </c>
      <c r="AH546" s="2" t="e">
        <f ca="1">_xll.BDH($C$528,"TOTAL_DEBT_1_YEAR_GROWTH","FQ3 2017","FQ3 2017","Currency=INR","Period=FQ","BEST_FPERIOD_OVERRIDE=FQ","FILING_STATUS=OR","EQY_CONSOLIDATED=Y","Sort=A","Dates=H","DateFormat=P","Fill=—","Direction=H","UseDPDF=Y")</f>
        <v>#NAME?</v>
      </c>
      <c r="AI546" s="2" t="e">
        <f ca="1">_xll.BDH($C$528,"TOTAL_EQUITY_1_YEAR_GROWTH","FQ3 2017","FQ3 2017","Currency=INR","Period=FQ","BEST_FPERIOD_OVERRIDE=FQ","FILING_STATUS=OR","EQY_CONSOLIDATED=Y","Sort=A","Dates=H","DateFormat=P","Fill=—","Direction=H","UseDPDF=Y")</f>
        <v>#NAME?</v>
      </c>
      <c r="AJ546" s="2" t="e">
        <f ca="1">_xll.BDH($C$528,"GROWTH_IN_CAP","FQ3 2017","FQ3 2017","Currency=INR","Period=FQ","BEST_FPERIOD_OVERRIDE=FQ","FILING_STATUS=OR","EQY_CONSOLIDATED=Y","Sort=A","Dates=H","DateFormat=P","Fill=—","Direction=H","UseDPDF=Y")</f>
        <v>#NAME?</v>
      </c>
      <c r="AK546" s="2" t="e">
        <f ca="1">_xll.BDH($C$528,"BVPS_GROWTH","FQ3 2017","FQ3 2017","Currency=INR","Period=FQ","BEST_FPERIOD_OVERRIDE=FQ","FILING_STATUS=OR","EQY_CONSOLIDATED=Y","Sort=A","Dates=H","DateFormat=P","Fill=—","Direction=H","UseDPDF=Y")</f>
        <v>#NAME?</v>
      </c>
      <c r="AL546" s="2" t="e">
        <f ca="1">_xll.BDH($C$528,"CASH_FLOW_GROWTH","FQ3 2017","FQ3 2017","Currency=INR","Period=FQ","BEST_FPERIOD_OVERRIDE=FQ","FILING_STATUS=OR","EQY_CONSOLIDATED=Y","Sort=A","Dates=H","DateFormat=P","Fill=—","Direction=H","UseDPDF=Y")</f>
        <v>#NAME?</v>
      </c>
      <c r="AM546" s="2" t="e">
        <f ca="1">_xll.BDH($C$528,"GEO_GROW_NET_SALES","FQ3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546" s="2" t="e">
        <f ca="1">_xll.BDH($C$528,"GEO_GROW_EBITDA","FQ3 2017","FQ3 2017","Currency=INR","Period=FQ","BEST_FPERIOD_OVERRIDE=FQ","FILING_STATUS=OR","EQY_CONSOLIDATED=Y","FA_ADJUSTED=GAAP","Sort=A","Dates=H","DateFormat=P","Fill=—","Direction=H","UseDPDF=Y")</f>
        <v>#NAME?</v>
      </c>
      <c r="AO546" s="2" t="e">
        <f ca="1">_xll.BDH($C$528,"GEO_GROW_OPER_INC","FQ3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546" s="2" t="e">
        <f ca="1">_xll.BDH($C$528,"NET_INCOME_TO_COMMON_5_YR_GROWTH","FQ3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546" s="2" t="e">
        <f ca="1">_xll.BDH($C$528,"5Y_GEO_GROWTH_DILUTED_EPS","FQ3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546" s="2" t="e">
        <f ca="1">_xll.BDH($C$528,"GEO_GROW_DVD_PER_SH","FQ3 2017","FQ3 2017","Currency=INR","Period=FQ","BEST_FPERIOD_OVERRIDE=FQ","FILING_STATUS=OR","EQY_CONSOLIDATED=Y","Sort=A","Dates=H","DateFormat=P","Fill=—","Direction=H","UseDPDF=Y")</f>
        <v>#NAME?</v>
      </c>
      <c r="AS546" s="2" t="e">
        <f ca="1">_xll.BDH($C$528,"ACCOUNTS_RECEIVABLE_5_YR_GROWTH","FQ3 2017","FQ3 2017","Currency=INR","Period=FQ","BEST_FPERIOD_OVERRIDE=FQ","FILING_STATUS=OR","EQY_CONSOLIDATED=Y","Sort=A","Dates=H","DateFormat=P","Fill=—","Direction=H","UseDPDF=Y")</f>
        <v>#NAME?</v>
      </c>
      <c r="AT546" s="2" t="e">
        <f ca="1">_xll.BDH($C$528,"INVENTORY_5_YEAR_GROWTH","FQ3 2017","FQ3 2017","Currency=INR","Period=FQ","BEST_FPERIOD_OVERRIDE=FQ","FILING_STATUS=OR","EQY_CONSOLIDATED=Y","Sort=A","Dates=H","DateFormat=P","Fill=—","Direction=H","UseDPDF=Y")</f>
        <v>#NAME?</v>
      </c>
      <c r="AU546" s="2" t="e">
        <f ca="1">_xll.BDH($C$528,"NET_FIXED_ASSETS_5_YEAR_GROWTH","FQ3 2017","FQ3 2017","Currency=INR","Period=FQ","BEST_FPERIOD_OVERRIDE=FQ","FILING_STATUS=OR","EQY_CONSOLIDATED=Y","Sort=A","Dates=H","DateFormat=P","Fill=—","Direction=H","UseDPDF=Y")</f>
        <v>#NAME?</v>
      </c>
      <c r="AV546" s="2" t="e">
        <f ca="1">_xll.BDH($C$528,"GEO_GROW_TOT_ASSET","FQ3 2017","FQ3 2017","Currency=INR","Period=FQ","BEST_FPERIOD_OVERRIDE=FQ","FILING_STATUS=OR","EQY_CONSOLIDATED=Y","Sort=A","Dates=H","DateFormat=P","Fill=—","Direction=H","UseDPDF=Y")</f>
        <v>#NAME?</v>
      </c>
      <c r="AW546" s="2" t="e">
        <f ca="1">_xll.BDH($C$528,"MODIFIED_WORKING_CPTL_5YR_GRWTH","FQ3 2017","FQ3 2017","Currency=INR","Period=FQ","BEST_FPERIOD_OVERRIDE=FQ","FILING_STATUS=OR","EQY_CONSOLIDATED=Y","Sort=A","Dates=H","DateFormat=P","Fill=—","Direction=H","UseDPDF=Y")</f>
        <v>#NAME?</v>
      </c>
      <c r="AX546" s="2" t="e">
        <f ca="1">_xll.BDH($C$528,"WORKING_CAPITAL_5_YEAR_GROWTH","FQ3 2017","FQ3 2017","Currency=INR","Period=FQ","BEST_FPERIOD_OVERRIDE=FQ","FILING_STATUS=OR","EQY_CONSOLIDATED=Y","Sort=A","Dates=H","DateFormat=P","Fill=—","Direction=H","UseDPDF=Y")</f>
        <v>#NAME?</v>
      </c>
      <c r="AY546" s="2" t="e">
        <f ca="1">_xll.BDH($C$528,"ACCOUNTS_PAYABLE_5_YEAR_GROWTH","FQ3 2017","FQ3 2017","Currency=INR","Period=FQ","BEST_FPERIOD_OVERRIDE=FQ","FILING_STATUS=OR","EQY_CONSOLIDATED=Y","Sort=A","Dates=H","DateFormat=P","Fill=—","Direction=H","UseDPDF=Y")</f>
        <v>#NAME?</v>
      </c>
      <c r="AZ546" s="2" t="e">
        <f ca="1">_xll.BDH($C$528,"SHORT_TERM_DEBT_5_YEAR_GROWTH","FQ3 2017","FQ3 2017","Currency=INR","Period=FQ","BEST_FPERIOD_OVERRIDE=FQ","FILING_STATUS=OR","EQY_CONSOLIDATED=Y","Sort=A","Dates=H","DateFormat=P","Fill=—","Direction=H","UseDPDF=Y")</f>
        <v>#NAME?</v>
      </c>
      <c r="BA546" s="2" t="e">
        <f ca="1">_xll.BDH($C$528,"TOTAL_DEBT_5_YEAR_GROWTH","FQ3 2017","FQ3 2017","Currency=INR","Period=FQ","BEST_FPERIOD_OVERRIDE=FQ","FILING_STATUS=OR","EQY_CONSOLIDATED=Y","Sort=A","Dates=H","DateFormat=P","Fill=—","Direction=H","UseDPDF=Y")</f>
        <v>#NAME?</v>
      </c>
      <c r="BB546" s="2" t="e">
        <f ca="1">_xll.BDH($C$528,"GEO_GROW_TOT_SHRHLDR_EQY","FQ3 2017","FQ3 2017","Currency=INR","Period=FQ","BEST_FPERIOD_OVERRIDE=FQ","FILING_STATUS=OR","EQY_CONSOLIDATED=Y","Sort=A","Dates=H","DateFormat=P","Fill=—","Direction=H","UseDPDF=Y")</f>
        <v>#NAME?</v>
      </c>
      <c r="BC546" s="2" t="e">
        <f ca="1">_xll.BDH($C$528,"TOTAL_CAPITAL_5_YEAR_GROWTH","FQ3 2017","FQ3 2017","Currency=INR","Period=FQ","BEST_FPERIOD_OVERRIDE=FQ","FILING_STATUS=OR","EQY_CONSOLIDATED=Y","Sort=A","Dates=H","DateFormat=P","Fill=—","Direction=H","UseDPDF=Y")</f>
        <v>#NAME?</v>
      </c>
      <c r="BD546" s="2" t="e">
        <f ca="1">_xll.BDH($C$528,"GEO_GROW_BOOK_VAL","FQ3 2017","FQ3 2017","Currency=INR","Period=FQ","BEST_FPERIOD_OVERRIDE=FQ","FILING_STATUS=OR","EQY_CONSOLIDATED=Y","Sort=A","Dates=H","DateFormat=P","Fill=—","Direction=H","UseDPDF=Y")</f>
        <v>#NAME?</v>
      </c>
      <c r="BE546" s="2" t="e">
        <f ca="1">_xll.BDH($C$528,"GEO_GROW_CASH_OPER_ACT","FQ3 2017","FQ3 2017","Currency=INR","Period=FQ","BEST_FPERIOD_OVERRIDE=FQ","FILING_STATUS=OR","EQY_CONSOLIDATED=Y","Sort=A","Dates=H","DateFormat=P","Fill=—","Direction=H","UseDPDF=Y")</f>
        <v>#NAME?</v>
      </c>
      <c r="BF546" s="2" t="e">
        <f ca="1">_xll.BDH($C$528,"REVENUE_SEQUENTIAL_GROWTH","FQ3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546" s="2" t="e">
        <f ca="1">_xll.BDH($C$528,"EBITDA_SEQUENTIAL_GROWTH","FQ3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546" s="2" t="e">
        <f ca="1">_xll.BDH($C$528,"OPERATING_INCOME_SEQ_GROWTH","FQ3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546" s="2" t="e">
        <f ca="1">_xll.BDH($C$528,"NET_INCOME_TO_COMMON_SEQ_GROWTH","FQ3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546" s="2" t="e">
        <f ca="1">_xll.BDH($C$528,"EPS_DILUTED_SEQUENTIAL_GROWTH","FQ3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546" s="2" t="e">
        <f ca="1">_xll.BDH($C$528,"DPS_SEQUENTIAL_GROWTH","FQ3 2017","FQ3 2017","Currency=INR","Period=FQ","BEST_FPERIOD_OVERRIDE=FQ","FILING_STATUS=OR","EQY_CONSOLIDATED=Y","Sort=A","Dates=H","DateFormat=P","Fill=—","Direction=H","UseDPDF=Y")</f>
        <v>#NAME?</v>
      </c>
      <c r="BL546" s="2" t="e">
        <f ca="1">_xll.BDH($C$528,"ACCOUNTS_RECEIVABLE_SEQ_GROWTH","FQ3 2017","FQ3 2017","Currency=INR","Period=FQ","BEST_FPERIOD_OVERRIDE=FQ","FILING_STATUS=OR","EQY_CONSOLIDATED=Y","Sort=A","Dates=H","DateFormat=P","Fill=—","Direction=H","UseDPDF=Y")</f>
        <v>#NAME?</v>
      </c>
      <c r="BM546" s="2" t="e">
        <f ca="1">_xll.BDH($C$528,"INVENTORY_SEQUENTIAL_GROWTH","FQ3 2017","FQ3 2017","Currency=INR","Period=FQ","BEST_FPERIOD_OVERRIDE=FQ","FILING_STATUS=OR","EQY_CONSOLIDATED=Y","Sort=A","Dates=H","DateFormat=P","Fill=—","Direction=H","UseDPDF=Y")</f>
        <v>#NAME?</v>
      </c>
      <c r="BN546" s="2" t="e">
        <f ca="1">_xll.BDH($C$528,"FIXED_ASSETS_SEQUENTIAL_GROWTH","FQ3 2017","FQ3 2017","Currency=INR","Period=FQ","BEST_FPERIOD_OVERRIDE=FQ","FILING_STATUS=OR","EQY_CONSOLIDATED=Y","Sort=A","Dates=H","DateFormat=P","Fill=—","Direction=H","UseDPDF=Y")</f>
        <v>#NAME?</v>
      </c>
      <c r="BO546" s="2" t="e">
        <f ca="1">_xll.BDH($C$528,"TOTAL_ASSETS_SEQUENTIAL_GROWTH","FQ3 2017","FQ3 2017","Currency=INR","Period=FQ","BEST_FPERIOD_OVERRIDE=FQ","FILING_STATUS=OR","EQY_CONSOLIDATED=Y","Sort=A","Dates=H","DateFormat=P","Fill=—","Direction=H","UseDPDF=Y")</f>
        <v>#NAME?</v>
      </c>
      <c r="BP546" s="2" t="e">
        <f ca="1">_xll.BDH($C$528,"MODIFIED_WORKING_CPTL_SEQ_GRWTH","FQ3 2017","FQ3 2017","Currency=INR","Period=FQ","BEST_FPERIOD_OVERRIDE=FQ","FILING_STATUS=OR","EQY_CONSOLIDATED=Y","Sort=A","Dates=H","DateFormat=P","Fill=—","Direction=H","UseDPDF=Y")</f>
        <v>#NAME?</v>
      </c>
      <c r="BQ546" s="2" t="e">
        <f ca="1">_xll.BDH($C$528,"WORKING_CAPITAL_SEQ_GROWTH","FQ3 2017","FQ3 2017","Currency=INR","Period=FQ","BEST_FPERIOD_OVERRIDE=FQ","FILING_STATUS=OR","EQY_CONSOLIDATED=Y","Sort=A","Dates=H","DateFormat=P","Fill=—","Direction=H","UseDPDF=Y")</f>
        <v>#NAME?</v>
      </c>
      <c r="BR546" s="2" t="e">
        <f ca="1">_xll.BDH($C$528,"ACCOUNTS_PAYABLE_SEQ_GROWTH","FQ3 2017","FQ3 2017","Currency=INR","Period=FQ","BEST_FPERIOD_OVERRIDE=FQ","FILING_STATUS=OR","EQY_CONSOLIDATED=Y","Sort=A","Dates=H","DateFormat=P","Fill=—","Direction=H","UseDPDF=Y")</f>
        <v>#NAME?</v>
      </c>
      <c r="BS546" s="2" t="e">
        <f ca="1">_xll.BDH($C$528,"ST_DEBT_SEQUENTIAL_GROWTH","FQ3 2017","FQ3 2017","Currency=INR","Period=FQ","BEST_FPERIOD_OVERRIDE=FQ","FILING_STATUS=OR","EQY_CONSOLIDATED=Y","Sort=A","Dates=H","DateFormat=P","Fill=—","Direction=H","UseDPDF=Y")</f>
        <v>#NAME?</v>
      </c>
      <c r="BT546" s="2" t="e">
        <f ca="1">_xll.BDH($C$528,"TOTAL_DEBT_SEQUENTIAL_GROWTH","FQ3 2017","FQ3 2017","Currency=INR","Period=FQ","BEST_FPERIOD_OVERRIDE=FQ","FILING_STATUS=OR","EQY_CONSOLIDATED=Y","Sort=A","Dates=H","DateFormat=P","Fill=—","Direction=H","UseDPDF=Y")</f>
        <v>#NAME?</v>
      </c>
      <c r="BU546" s="2" t="e">
        <f ca="1">_xll.BDH($C$528,"TOTAL_EQUITY_SEQUENTIAL_GROWTH","FQ3 2017","FQ3 2017","Currency=INR","Period=FQ","BEST_FPERIOD_OVERRIDE=FQ","FILING_STATUS=OR","EQY_CONSOLIDATED=Y","Sort=A","Dates=H","DateFormat=P","Fill=—","Direction=H","UseDPDF=Y")</f>
        <v>#NAME?</v>
      </c>
      <c r="BV546" s="2" t="e">
        <f ca="1">_xll.BDH($C$528,"TOTAL_CAPITAL_SEQUENTIAL_GROWTH","FQ3 2017","FQ3 2017","Currency=INR","Period=FQ","BEST_FPERIOD_OVERRIDE=FQ","FILING_STATUS=OR","EQY_CONSOLIDATED=Y","Sort=A","Dates=H","DateFormat=P","Fill=—","Direction=H","UseDPDF=Y")</f>
        <v>#NAME?</v>
      </c>
      <c r="BW546" s="2" t="e">
        <f ca="1">_xll.BDH($C$528,"BPS_SEQUENTIAL_GROWTH","FQ3 2017","FQ3 2017","Currency=INR","Period=FQ","BEST_FPERIOD_OVERRIDE=FQ","FILING_STATUS=OR","EQY_CONSOLIDATED=Y","Sort=A","Dates=H","DateFormat=P","Fill=—","Direction=H","UseDPDF=Y")</f>
        <v>#NAME?</v>
      </c>
      <c r="BX546" s="2" t="e">
        <f ca="1">_xll.BDH($C$528,"CFO_SEQUENTIAL_GROWTH","FQ3 2017","FQ3 2017","Currency=INR","Period=FQ","BEST_FPERIOD_OVERRIDE=FQ","FILING_STATUS=OR","EQY_CONSOLIDATED=Y","Sort=A","Dates=H","DateFormat=P","Fill=—","Direction=H","UseDPDF=Y")</f>
        <v>#NAME?</v>
      </c>
      <c r="BY546" s="3" t="e">
        <f ca="1">_xll.BDH($C$528,"SHORT_AND_LONG_TERM_DEBT","FQ3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546" s="3" t="e">
        <f ca="1">_xll.BDH($C$528,"BS_ST_BORROW","FQ3 2017","FQ3 2017","Currency=INR","Period=FQ","BEST_FPERIOD_OVERRIDE=FQ","FILING_STATUS=OR","EQY_CONSOLIDATED=Y","SCALING_FORMAT=MLN","Sort=A","Dates=H","DateFormat=P","Fill=—","Direction=H","UseDPDF=Y")</f>
        <v>#NAME?</v>
      </c>
      <c r="CA546" s="3" t="e">
        <f ca="1">_xll.BDH($C$528,"BS_LT_BORROW","FQ3 2017","FQ3 2017","Currency=INR","Period=FQ","BEST_FPERIOD_OVERRIDE=FQ","FILING_STATUS=OR","EQY_CONSOLIDATED=Y","SCALING_FORMAT=MLN","Sort=A","Dates=H","DateFormat=P","Fill=—","Direction=H","UseDPDF=Y")</f>
        <v>#NAME?</v>
      </c>
      <c r="CB546" s="2" t="e">
        <f ca="1">_xll.BDH($C$528,"TOT_DEBT_TO_EBITDA","FQ3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546" s="2" t="e">
        <f ca="1">_xll.BDH($C$528,"NET_DEBT_TO_EBITDA","FQ3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546" s="2" t="e">
        <f ca="1">_xll.BDH($C$528,"TOTAL_DEBT_TO_EBIT","FQ3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546" s="2" t="e">
        <f ca="1">_xll.BDH($C$528,"NET_DEBT_TO_EBIT","FQ3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546" s="2" t="e">
        <f ca="1">_xll.BDH($C$528,"EBITDA_TO_INTEREST_EXPN","FQ3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546" s="2" t="e">
        <f ca="1">_xll.BDH($C$528,"COM_EQY_TO_TOT_ASSET","FQ3 2017","FQ3 2017","Currency=INR","Period=FQ","BEST_FPERIOD_OVERRIDE=FQ","FILING_STATUS=OR","EQY_CONSOLIDATED=Y","Sort=A","Dates=H","DateFormat=P","Fill=—","Direction=H","UseDPDF=Y")</f>
        <v>#NAME?</v>
      </c>
      <c r="CH546" s="2" t="e">
        <f ca="1">_xll.BDH($C$528,"LT_DEBT_TO_TOT_EQY","FQ3 2017","FQ3 2017","Currency=INR","Period=FQ","BEST_FPERIOD_OVERRIDE=FQ","FILING_STATUS=OR","EQY_CONSOLIDATED=Y","Sort=A","Dates=H","DateFormat=P","Fill=—","Direction=H","UseDPDF=Y")</f>
        <v>#NAME?</v>
      </c>
      <c r="CI546" s="2" t="e">
        <f ca="1">_xll.BDH($C$528,"LT_DEBT_TO_TOT_CAP","FQ3 2017","FQ3 2017","Currency=INR","Period=FQ","BEST_FPERIOD_OVERRIDE=FQ","FILING_STATUS=OR","EQY_CONSOLIDATED=Y","Sort=A","Dates=H","DateFormat=P","Fill=—","Direction=H","UseDPDF=Y")</f>
        <v>#NAME?</v>
      </c>
      <c r="CJ546" s="2" t="e">
        <f ca="1">_xll.BDH($C$528,"LT_DEBT_TO_TOT_ASSET","FQ3 2017","FQ3 2017","Currency=INR","Period=FQ","BEST_FPERIOD_OVERRIDE=FQ","FILING_STATUS=OR","EQY_CONSOLIDATED=Y","Sort=A","Dates=H","DateFormat=P","Fill=—","Direction=H","UseDPDF=Y")</f>
        <v>#NAME?</v>
      </c>
      <c r="CK546" s="2" t="e">
        <f ca="1">_xll.BDH($C$528,"TOT_DEBT_TO_TOT_EQY","FQ3 2017","FQ3 2017","Currency=INR","Period=FQ","BEST_FPERIOD_OVERRIDE=FQ","FILING_STATUS=OR","EQY_CONSOLIDATED=Y","Sort=A","Dates=H","DateFormat=P","Fill=—","Direction=H","UseDPDF=Y")</f>
        <v>#NAME?</v>
      </c>
      <c r="CL546" s="2" t="e">
        <f ca="1">_xll.BDH($C$528,"TOT_DEBT_TO_TOT_CAP","FQ3 2017","FQ3 2017","Currency=INR","Period=FQ","BEST_FPERIOD_OVERRIDE=FQ","FILING_STATUS=OR","EQY_CONSOLIDATED=Y","Sort=A","Dates=H","DateFormat=P","Fill=—","Direction=H","UseDPDF=Y")</f>
        <v>#NAME?</v>
      </c>
      <c r="CM546" s="2" t="e">
        <f ca="1">_xll.BDH($C$528,"TOT_DEBT_TO_TOT_ASSET","FQ3 2017","FQ3 2017","Currency=INR","Period=FQ","BEST_FPERIOD_OVERRIDE=FQ","FILING_STATUS=OR","EQY_CONSOLIDATED=Y","Sort=A","Dates=H","DateFormat=P","Fill=—","Direction=H","UseDPDF=Y")</f>
        <v>#NAME?</v>
      </c>
      <c r="CN546" s="2" t="e">
        <f ca="1">_xll.BDH($C$528,"NET_DEBT_TO_SHRHLDR_EQTY","FQ3 2017","FQ3 2017","Currency=INR","Period=FQ","BEST_FPERIOD_OVERRIDE=FQ","FILING_STATUS=OR","EQY_CONSOLIDATED=Y","Sort=A","Dates=H","DateFormat=P","Fill=—","Direction=H","UseDPDF=Y")</f>
        <v>#NAME?</v>
      </c>
      <c r="CO546" s="2" t="e">
        <f ca="1">_xll.BDH($C$528,"NET_DEBT_%_CAPITAL","FQ3 2017","FQ3 2017","Currency=INR","Period=FQ","BEST_FPERIOD_OVERRIDE=FQ","FILING_STATUS=OR","EQY_CONSOLIDATED=Y","Sort=A","Dates=H","DateFormat=P","Fill=—","Direction=H","UseDPDF=Y")</f>
        <v>#NAME?</v>
      </c>
      <c r="CP546" s="3" t="e">
        <f ca="1">_xll.BDH($C$528,"EBITDA","FQ3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546" s="3" t="e">
        <f ca="1">_xll.BDH($C$528,"EBITDA_AFTER_CAPEX","FQ3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546" s="3" t="e">
        <f ca="1">_xll.BDH($C$528,"IS_OPER_INC","FQ3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546" s="2" t="e">
        <f ca="1">_xll.BDH($C$528,"CASH_RATIO","FQ3 2017","FQ3 2017","Currency=INR","Period=FQ","BEST_FPERIOD_OVERRIDE=FQ","FILING_STATUS=OR","EQY_CONSOLIDATED=Y","Sort=A","Dates=H","DateFormat=P","Fill=—","Direction=H","UseDPDF=Y")</f>
        <v>#NAME?</v>
      </c>
      <c r="CT546" s="2" t="e">
        <f ca="1">_xll.BDH($C$528,"CUR_RATIO","FQ3 2017","FQ3 2017","Currency=INR","Period=FQ","BEST_FPERIOD_OVERRIDE=FQ","FILING_STATUS=OR","EQY_CONSOLIDATED=Y","Sort=A","Dates=H","DateFormat=P","Fill=—","Direction=H","UseDPDF=Y")</f>
        <v>#NAME?</v>
      </c>
      <c r="CU546" s="2" t="e">
        <f ca="1">_xll.BDH($C$528,"QUICK_RATIO","FQ3 2017","FQ3 2017","Currency=INR","Period=FQ","BEST_FPERIOD_OVERRIDE=FQ","FILING_STATUS=OR","EQY_CONSOLIDATED=Y","Sort=A","Dates=H","DateFormat=P","Fill=—","Direction=H","UseDPDF=Y")</f>
        <v>#NAME?</v>
      </c>
      <c r="CV546" s="2" t="e">
        <f ca="1">_xll.BDH($C$528,"ALTMAN_Z_SCORE","FQ3 2017","FQ3 2017","Currency=INR","Period=FQ","BEST_FPERIOD_OVERRIDE=FQ","FILING_STATUS=OR","EQY_CONSOLIDATED=Y","Sort=A","Dates=H","DateFormat=P","Fill=—","Direction=H","UseDPDF=Y")</f>
        <v>#NAME?</v>
      </c>
      <c r="CW546" s="4" t="e">
        <f ca="1">_xll.BDH($C$528,"ACCT_RCV_TURN","FQ3 2017","FQ3 2017","Currency=INR","Period=FQ","BEST_FPERIOD_OVERRIDE=FQ","FILING_STATUS=OR","EQY_CONSOLIDATED=Y","FA_ADJUSTED=GAAP","Sort=A","Dates=H","DateFormat=P","Fill=—","Direction=H","UseDPDF=Y")</f>
        <v>#NAME?</v>
      </c>
      <c r="CX546" s="2" t="e">
        <f ca="1">_xll.BDH($C$528,"ACCT_RCV_DAYS","FQ3 2017","FQ3 2017","Currency=INR","Period=FQ","BEST_FPERIOD_OVERRIDE=FQ","FILING_STATUS=OR","EQY_CONSOLIDATED=Y","FA_ADJUSTED=GAAP","Sort=A","Dates=H","DateFormat=P","Fill=—","Direction=H","UseDPDF=Y")</f>
        <v>#NAME?</v>
      </c>
      <c r="CY546" s="4" t="e">
        <f ca="1">_xll.BDH($C$528,"INVENT_TURN","FQ3 2017","FQ3 2017","Currency=INR","Period=FQ","BEST_FPERIOD_OVERRIDE=FQ","FILING_STATUS=OR","EQY_CONSOLIDATED=Y","FA_ADJUSTED=GAAP","Sort=A","Dates=H","DateFormat=P","Fill=—","Direction=H","UseDPDF=Y")</f>
        <v>#NAME?</v>
      </c>
      <c r="CZ546" s="2" t="e">
        <f ca="1">_xll.BDH($C$528,"INVENT_DAYS","FQ3 2017","FQ3 2017","Currency=INR","Period=FQ","BEST_FPERIOD_OVERRIDE=FQ","FILING_STATUS=OR","EQY_CONSOLIDATED=Y","FA_ADJUSTED=GAAP","Sort=A","Dates=H","DateFormat=P","Fill=—","Direction=H","UseDPDF=Y")</f>
        <v>#NAME?</v>
      </c>
      <c r="DA546" s="4" t="e">
        <f ca="1">_xll.BDH($C$528,"ACCOUNTS_PAYABLE_TURNOVER","FQ3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546" s="2" t="e">
        <f ca="1">_xll.BDH($C$528,"ACCOUNTS_PAYABLE_TURNOVER_DAYS","FQ3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546" s="4" t="e">
        <f ca="1">_xll.BDH($C$528,"CASH_CONVERSION_CYCLE","FQ3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546" s="4" t="e">
        <f ca="1">_xll.BDH($C$528,"INV_TO_CASH_DAYS","FQ3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546" s="5" t="e">
        <f ca="1">_xll.BDH($C$528,"BS_INVENTORIES","FQ3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546" s="3" t="e">
        <f ca="1">_xll.BDH($C$528,"INVTRY_RAW_MATERIALS","FQ3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546" s="3" t="e">
        <f ca="1">_xll.BDH($C$528,"INVTRY_IN_PROGRESS","FQ3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546" s="3" t="e">
        <f ca="1">_xll.BDH($C$528,"INVTRY_FINISHED_GOODS","FQ3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546" s="3" t="e">
        <f ca="1">_xll.BDH($C$528,"BS_OTHER_INV","FQ3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547" spans="1:113" x14ac:dyDescent="0.3">
      <c r="A547" s="6"/>
      <c r="B547" s="6"/>
      <c r="C547" s="6"/>
      <c r="D547" s="6"/>
      <c r="E547" t="s">
        <v>81</v>
      </c>
      <c r="F547" t="e">
        <f ca="1">_xll.BDH($C$528,"RETURN_COM_EQY","FQ4 2017","FQ4 2017","Currency=INR","Period=FQ","BEST_FPERIOD_OVERRIDE=FQ","FILING_STATUS=OR","EQY_CONSOLIDATED=Y","FA_ADJUSTED=GAAP","Sort=A","Dates=H","DateFormat=P","Fill=—","Direction=H","UseDPDF=Y")</f>
        <v>#NAME?</v>
      </c>
      <c r="G547" t="e">
        <f ca="1">_xll.BDH($C$528,"RETURN_ON_ASSET","FQ4 2017","FQ4 2017","Currency=INR","Period=FQ","BEST_FPERIOD_OVERRIDE=FQ","FILING_STATUS=OR","EQY_CONSOLIDATED=Y","FA_ADJUSTED=GAAP","Sort=A","Dates=H","DateFormat=P","Fill=—","Direction=H","UseDPDF=Y")</f>
        <v>#NAME?</v>
      </c>
      <c r="H547" t="e">
        <f ca="1">_xll.BDH($C$528,"RETURN_ON_CAP","FQ4 2017","FQ4 2017","Currency=INR","Period=FQ","BEST_FPERIOD_OVERRIDE=FQ","FILING_STATUS=OR","EQY_CONSOLIDATED=Y","FA_ADJUSTED=GAAP","Sort=A","Dates=H","DateFormat=P","Fill=—","Direction=H","UseDPDF=Y")</f>
        <v>#NAME?</v>
      </c>
      <c r="I547" t="e">
        <f ca="1">_xll.BDH($C$528,"RETURN_ON_INV_CAPITAL","FQ4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547" t="e">
        <f ca="1">_xll.BDH($C$528,"EBITDA_TO_REVENUE","FQ4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547" t="e">
        <f ca="1">_xll.BDH($C$528,"OPER_MARGIN","FQ4 2017","FQ4 2017","Currency=INR","Period=FQ","BEST_FPERIOD_OVERRIDE=FQ","FILING_STATUS=OR","EQY_CONSOLIDATED=Y","FA_ADJUSTED=GAAP","Sort=A","Dates=H","DateFormat=P","Fill=—","Direction=H","UseDPDF=Y")</f>
        <v>#NAME?</v>
      </c>
      <c r="L547" t="e">
        <f ca="1">_xll.BDH($C$528,"INCREMENTAL_OPERATING_MARGIN","FQ4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547" t="e">
        <f ca="1">_xll.BDH($C$528,"PRETAX_INC_TO_NET_SALES","FQ4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547" t="e">
        <f ca="1">_xll.BDH($C$528,"INC_BEF_XO_ITEMS_TO_NET_SALES","FQ4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547" t="e">
        <f ca="1">_xll.BDH($C$528,"PROF_MARGIN","FQ4 2017","FQ4 2017","Currency=INR","Period=FQ","BEST_FPERIOD_OVERRIDE=FQ","FILING_STATUS=OR","EQY_CONSOLIDATED=Y","FA_ADJUSTED=GAAP","Sort=A","Dates=H","DateFormat=P","Fill=—","Direction=H","UseDPDF=Y")</f>
        <v>#NAME?</v>
      </c>
      <c r="P547" t="e">
        <f ca="1">_xll.BDH($C$528,"NET_INCOME_TO_COMMON_MARGIN","FQ4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547" t="e">
        <f ca="1">_xll.BDH($C$528,"EFF_TAX_RATE","FQ4 2017","FQ4 2017","Currency=INR","Period=FQ","BEST_FPERIOD_OVERRIDE=FQ","FILING_STATUS=OR","EQY_CONSOLIDATED=Y","FA_ADJUSTED=GAAP","Sort=A","Dates=H","DateFormat=P","Fill=—","Direction=H","UseDPDF=Y")</f>
        <v>#NAME?</v>
      </c>
      <c r="R547" t="e">
        <f ca="1">_xll.BDH($C$528,"DVD_PAYOUT_RATIO","FQ4 2017","FQ4 2017","Currency=INR","Period=FQ","BEST_FPERIOD_OVERRIDE=FQ","FILING_STATUS=OR","EQY_CONSOLIDATED=Y","FA_ADJUSTED=GAAP","Sort=A","Dates=H","DateFormat=P","Fill=—","Direction=H","UseDPDF=Y")</f>
        <v>#NAME?</v>
      </c>
      <c r="S547" t="e">
        <f ca="1">_xll.BDH($C$528,"SUSTAIN_GROWTH_RT","FQ4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547" s="2" t="e">
        <f ca="1">_xll.BDH($C$528,"SALES_GROWTH","FQ4 2017","FQ4 2017","Currency=INR","Period=FQ","BEST_FPERIOD_OVERRIDE=FQ","FILING_STATUS=OR","EQY_CONSOLIDATED=Y","FA_ADJUSTED=GAAP","Sort=A","Dates=H","DateFormat=P","Fill=—","Direction=H","UseDPDF=Y")</f>
        <v>#NAME?</v>
      </c>
      <c r="U547" s="2" t="e">
        <f ca="1">_xll.BDH($C$528,"EBITDA_GROWTH","FQ4 2017","FQ4 2017","Currency=INR","Period=FQ","BEST_FPERIOD_OVERRIDE=FQ","FILING_STATUS=OR","EQY_CONSOLIDATED=Y","FA_ADJUSTED=GAAP","Sort=A","Dates=H","DateFormat=P","Fill=—","Direction=H","UseDPDF=Y")</f>
        <v>#NAME?</v>
      </c>
      <c r="V547" s="2" t="e">
        <f ca="1">_xll.BDH($C$528,"OPER_INC_GROWTH","FQ4 2017","FQ4 2017","Currency=INR","Period=FQ","BEST_FPERIOD_OVERRIDE=FQ","FILING_STATUS=OR","EQY_CONSOLIDATED=Y","FA_ADJUSTED=GAAP","Sort=A","Dates=H","DateFormat=P","Fill=—","Direction=H","UseDPDF=Y")</f>
        <v>#NAME?</v>
      </c>
      <c r="W547" s="2" t="e">
        <f ca="1">_xll.BDH($C$528,"EARN_FOR_COM_GROWTH","FQ4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547" s="2" t="e">
        <f ca="1">_xll.BDH($C$528,"DILUTED_EPS_AFT_XO_ITEMS_GROWTH","FQ4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547" s="2" t="e">
        <f ca="1">_xll.BDH($C$528,"DIVIDEND_PER_SHARE_1_YEAR_GROWTH","FQ4 2017","FQ4 2017","Currency=INR","Period=FQ","BEST_FPERIOD_OVERRIDE=FQ","FILING_STATUS=OR","EQY_CONSOLIDATED=Y","Sort=A","Dates=H","DateFormat=P","Fill=—","Direction=H","UseDPDF=Y")</f>
        <v>#NAME?</v>
      </c>
      <c r="Z547" s="2" t="e">
        <f ca="1">_xll.BDH($C$528,"ACCOUNTS_RECEIVABLE_GROWTH","FQ4 2017","FQ4 2017","Currency=INR","Period=FQ","BEST_FPERIOD_OVERRIDE=FQ","FILING_STATUS=OR","EQY_CONSOLIDATED=Y","Sort=A","Dates=H","DateFormat=P","Fill=—","Direction=H","UseDPDF=Y")</f>
        <v>#NAME?</v>
      </c>
      <c r="AA547" s="2" t="e">
        <f ca="1">_xll.BDH($C$528,"INVENTORY_GROWTH","FQ4 2017","FQ4 2017","Currency=INR","Period=FQ","BEST_FPERIOD_OVERRIDE=FQ","FILING_STATUS=OR","EQY_CONSOLIDATED=Y","Sort=A","Dates=H","DateFormat=P","Fill=—","Direction=H","UseDPDF=Y")</f>
        <v>#NAME?</v>
      </c>
      <c r="AB547" s="2" t="e">
        <f ca="1">_xll.BDH($C$528,"NET_FIXED_ASSETS_1_YEAR_GROWTH","FQ4 2017","FQ4 2017","Currency=INR","Period=FQ","BEST_FPERIOD_OVERRIDE=FQ","FILING_STATUS=OR","EQY_CONSOLIDATED=Y","Sort=A","Dates=H","DateFormat=P","Fill=—","Direction=H","UseDPDF=Y")</f>
        <v>#NAME?</v>
      </c>
      <c r="AC547" s="2" t="e">
        <f ca="1">_xll.BDH($C$528,"ASSET_GROWTH","FQ4 2017","FQ4 2017","Currency=INR","Period=FQ","BEST_FPERIOD_OVERRIDE=FQ","FILING_STATUS=OR","EQY_CONSOLIDATED=Y","Sort=A","Dates=H","DateFormat=P","Fill=—","Direction=H","UseDPDF=Y")</f>
        <v>#NAME?</v>
      </c>
      <c r="AD547" s="2" t="e">
        <f ca="1">_xll.BDH($C$528,"MODIFIED_WORK_CAP_GROWTH","FQ4 2017","FQ4 2017","Currency=INR","Period=FQ","BEST_FPERIOD_OVERRIDE=FQ","FILING_STATUS=OR","EQY_CONSOLIDATED=Y","Sort=A","Dates=H","DateFormat=P","Fill=—","Direction=H","UseDPDF=Y")</f>
        <v>#NAME?</v>
      </c>
      <c r="AE547" s="2" t="e">
        <f ca="1">_xll.BDH($C$528,"WORK_CAP_GROWTH","FQ4 2017","FQ4 2017","Currency=INR","Period=FQ","BEST_FPERIOD_OVERRIDE=FQ","FILING_STATUS=OR","EQY_CONSOLIDATED=Y","Sort=A","Dates=H","DateFormat=P","Fill=—","Direction=H","UseDPDF=Y")</f>
        <v>#NAME?</v>
      </c>
      <c r="AF547" s="2" t="e">
        <f ca="1">_xll.BDH($C$528,"ACCOUNTS_PAYABLE_GROWTH_1YR","FQ4 2017","FQ4 2017","Currency=INR","Period=FQ","BEST_FPERIOD_OVERRIDE=FQ","FILING_STATUS=OR","EQY_CONSOLIDATED=Y","Sort=A","Dates=H","DateFormat=P","Fill=—","Direction=H","UseDPDF=Y")</f>
        <v>#NAME?</v>
      </c>
      <c r="AG547" s="2" t="e">
        <f ca="1">_xll.BDH($C$528,"SHORT_TERM_DEBT_1_YEAR_GROWTH","FQ4 2017","FQ4 2017","Currency=INR","Period=FQ","BEST_FPERIOD_OVERRIDE=FQ","FILING_STATUS=OR","EQY_CONSOLIDATED=Y","Sort=A","Dates=H","DateFormat=P","Fill=—","Direction=H","UseDPDF=Y")</f>
        <v>#NAME?</v>
      </c>
      <c r="AH547" s="2" t="e">
        <f ca="1">_xll.BDH($C$528,"TOTAL_DEBT_1_YEAR_GROWTH","FQ4 2017","FQ4 2017","Currency=INR","Period=FQ","BEST_FPERIOD_OVERRIDE=FQ","FILING_STATUS=OR","EQY_CONSOLIDATED=Y","Sort=A","Dates=H","DateFormat=P","Fill=—","Direction=H","UseDPDF=Y")</f>
        <v>#NAME?</v>
      </c>
      <c r="AI547" s="2" t="e">
        <f ca="1">_xll.BDH($C$528,"TOTAL_EQUITY_1_YEAR_GROWTH","FQ4 2017","FQ4 2017","Currency=INR","Period=FQ","BEST_FPERIOD_OVERRIDE=FQ","FILING_STATUS=OR","EQY_CONSOLIDATED=Y","Sort=A","Dates=H","DateFormat=P","Fill=—","Direction=H","UseDPDF=Y")</f>
        <v>#NAME?</v>
      </c>
      <c r="AJ547" s="2" t="e">
        <f ca="1">_xll.BDH($C$528,"GROWTH_IN_CAP","FQ4 2017","FQ4 2017","Currency=INR","Period=FQ","BEST_FPERIOD_OVERRIDE=FQ","FILING_STATUS=OR","EQY_CONSOLIDATED=Y","Sort=A","Dates=H","DateFormat=P","Fill=—","Direction=H","UseDPDF=Y")</f>
        <v>#NAME?</v>
      </c>
      <c r="AK547" s="2" t="e">
        <f ca="1">_xll.BDH($C$528,"BVPS_GROWTH","FQ4 2017","FQ4 2017","Currency=INR","Period=FQ","BEST_FPERIOD_OVERRIDE=FQ","FILING_STATUS=OR","EQY_CONSOLIDATED=Y","Sort=A","Dates=H","DateFormat=P","Fill=—","Direction=H","UseDPDF=Y")</f>
        <v>#NAME?</v>
      </c>
      <c r="AL547" s="2" t="e">
        <f ca="1">_xll.BDH($C$528,"CASH_FLOW_GROWTH","FQ4 2017","FQ4 2017","Currency=INR","Period=FQ","BEST_FPERIOD_OVERRIDE=FQ","FILING_STATUS=OR","EQY_CONSOLIDATED=Y","Sort=A","Dates=H","DateFormat=P","Fill=—","Direction=H","UseDPDF=Y")</f>
        <v>#NAME?</v>
      </c>
      <c r="AM547" s="2" t="e">
        <f ca="1">_xll.BDH($C$528,"GEO_GROW_NET_SALES","FQ4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547" s="2" t="e">
        <f ca="1">_xll.BDH($C$528,"GEO_GROW_EBITDA","FQ4 2017","FQ4 2017","Currency=INR","Period=FQ","BEST_FPERIOD_OVERRIDE=FQ","FILING_STATUS=OR","EQY_CONSOLIDATED=Y","FA_ADJUSTED=GAAP","Sort=A","Dates=H","DateFormat=P","Fill=—","Direction=H","UseDPDF=Y")</f>
        <v>#NAME?</v>
      </c>
      <c r="AO547" s="2" t="e">
        <f ca="1">_xll.BDH($C$528,"GEO_GROW_OPER_INC","FQ4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547" s="2" t="e">
        <f ca="1">_xll.BDH($C$528,"NET_INCOME_TO_COMMON_5_YR_GROWTH","FQ4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547" s="2" t="e">
        <f ca="1">_xll.BDH($C$528,"5Y_GEO_GROWTH_DILUTED_EPS","FQ4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547" s="2" t="e">
        <f ca="1">_xll.BDH($C$528,"GEO_GROW_DVD_PER_SH","FQ4 2017","FQ4 2017","Currency=INR","Period=FQ","BEST_FPERIOD_OVERRIDE=FQ","FILING_STATUS=OR","EQY_CONSOLIDATED=Y","Sort=A","Dates=H","DateFormat=P","Fill=—","Direction=H","UseDPDF=Y")</f>
        <v>#NAME?</v>
      </c>
      <c r="AS547" s="2" t="e">
        <f ca="1">_xll.BDH($C$528,"ACCOUNTS_RECEIVABLE_5_YR_GROWTH","FQ4 2017","FQ4 2017","Currency=INR","Period=FQ","BEST_FPERIOD_OVERRIDE=FQ","FILING_STATUS=OR","EQY_CONSOLIDATED=Y","Sort=A","Dates=H","DateFormat=P","Fill=—","Direction=H","UseDPDF=Y")</f>
        <v>#NAME?</v>
      </c>
      <c r="AT547" s="2" t="e">
        <f ca="1">_xll.BDH($C$528,"INVENTORY_5_YEAR_GROWTH","FQ4 2017","FQ4 2017","Currency=INR","Period=FQ","BEST_FPERIOD_OVERRIDE=FQ","FILING_STATUS=OR","EQY_CONSOLIDATED=Y","Sort=A","Dates=H","DateFormat=P","Fill=—","Direction=H","UseDPDF=Y")</f>
        <v>#NAME?</v>
      </c>
      <c r="AU547" s="2" t="e">
        <f ca="1">_xll.BDH($C$528,"NET_FIXED_ASSETS_5_YEAR_GROWTH","FQ4 2017","FQ4 2017","Currency=INR","Period=FQ","BEST_FPERIOD_OVERRIDE=FQ","FILING_STATUS=OR","EQY_CONSOLIDATED=Y","Sort=A","Dates=H","DateFormat=P","Fill=—","Direction=H","UseDPDF=Y")</f>
        <v>#NAME?</v>
      </c>
      <c r="AV547" s="2" t="e">
        <f ca="1">_xll.BDH($C$528,"GEO_GROW_TOT_ASSET","FQ4 2017","FQ4 2017","Currency=INR","Period=FQ","BEST_FPERIOD_OVERRIDE=FQ","FILING_STATUS=OR","EQY_CONSOLIDATED=Y","Sort=A","Dates=H","DateFormat=P","Fill=—","Direction=H","UseDPDF=Y")</f>
        <v>#NAME?</v>
      </c>
      <c r="AW547" s="2" t="e">
        <f ca="1">_xll.BDH($C$528,"MODIFIED_WORKING_CPTL_5YR_GRWTH","FQ4 2017","FQ4 2017","Currency=INR","Period=FQ","BEST_FPERIOD_OVERRIDE=FQ","FILING_STATUS=OR","EQY_CONSOLIDATED=Y","Sort=A","Dates=H","DateFormat=P","Fill=—","Direction=H","UseDPDF=Y")</f>
        <v>#NAME?</v>
      </c>
      <c r="AX547" s="2" t="e">
        <f ca="1">_xll.BDH($C$528,"WORKING_CAPITAL_5_YEAR_GROWTH","FQ4 2017","FQ4 2017","Currency=INR","Period=FQ","BEST_FPERIOD_OVERRIDE=FQ","FILING_STATUS=OR","EQY_CONSOLIDATED=Y","Sort=A","Dates=H","DateFormat=P","Fill=—","Direction=H","UseDPDF=Y")</f>
        <v>#NAME?</v>
      </c>
      <c r="AY547" s="2" t="e">
        <f ca="1">_xll.BDH($C$528,"ACCOUNTS_PAYABLE_5_YEAR_GROWTH","FQ4 2017","FQ4 2017","Currency=INR","Period=FQ","BEST_FPERIOD_OVERRIDE=FQ","FILING_STATUS=OR","EQY_CONSOLIDATED=Y","Sort=A","Dates=H","DateFormat=P","Fill=—","Direction=H","UseDPDF=Y")</f>
        <v>#NAME?</v>
      </c>
      <c r="AZ547" s="2" t="e">
        <f ca="1">_xll.BDH($C$528,"SHORT_TERM_DEBT_5_YEAR_GROWTH","FQ4 2017","FQ4 2017","Currency=INR","Period=FQ","BEST_FPERIOD_OVERRIDE=FQ","FILING_STATUS=OR","EQY_CONSOLIDATED=Y","Sort=A","Dates=H","DateFormat=P","Fill=—","Direction=H","UseDPDF=Y")</f>
        <v>#NAME?</v>
      </c>
      <c r="BA547" s="2" t="e">
        <f ca="1">_xll.BDH($C$528,"TOTAL_DEBT_5_YEAR_GROWTH","FQ4 2017","FQ4 2017","Currency=INR","Period=FQ","BEST_FPERIOD_OVERRIDE=FQ","FILING_STATUS=OR","EQY_CONSOLIDATED=Y","Sort=A","Dates=H","DateFormat=P","Fill=—","Direction=H","UseDPDF=Y")</f>
        <v>#NAME?</v>
      </c>
      <c r="BB547" s="2" t="e">
        <f ca="1">_xll.BDH($C$528,"GEO_GROW_TOT_SHRHLDR_EQY","FQ4 2017","FQ4 2017","Currency=INR","Period=FQ","BEST_FPERIOD_OVERRIDE=FQ","FILING_STATUS=OR","EQY_CONSOLIDATED=Y","Sort=A","Dates=H","DateFormat=P","Fill=—","Direction=H","UseDPDF=Y")</f>
        <v>#NAME?</v>
      </c>
      <c r="BC547" s="2" t="e">
        <f ca="1">_xll.BDH($C$528,"TOTAL_CAPITAL_5_YEAR_GROWTH","FQ4 2017","FQ4 2017","Currency=INR","Period=FQ","BEST_FPERIOD_OVERRIDE=FQ","FILING_STATUS=OR","EQY_CONSOLIDATED=Y","Sort=A","Dates=H","DateFormat=P","Fill=—","Direction=H","UseDPDF=Y")</f>
        <v>#NAME?</v>
      </c>
      <c r="BD547" s="2" t="e">
        <f ca="1">_xll.BDH($C$528,"GEO_GROW_BOOK_VAL","FQ4 2017","FQ4 2017","Currency=INR","Period=FQ","BEST_FPERIOD_OVERRIDE=FQ","FILING_STATUS=OR","EQY_CONSOLIDATED=Y","Sort=A","Dates=H","DateFormat=P","Fill=—","Direction=H","UseDPDF=Y")</f>
        <v>#NAME?</v>
      </c>
      <c r="BE547" s="2" t="e">
        <f ca="1">_xll.BDH($C$528,"GEO_GROW_CASH_OPER_ACT","FQ4 2017","FQ4 2017","Currency=INR","Period=FQ","BEST_FPERIOD_OVERRIDE=FQ","FILING_STATUS=OR","EQY_CONSOLIDATED=Y","Sort=A","Dates=H","DateFormat=P","Fill=—","Direction=H","UseDPDF=Y")</f>
        <v>#NAME?</v>
      </c>
      <c r="BF547" s="2" t="e">
        <f ca="1">_xll.BDH($C$528,"REVENUE_SEQUENTIAL_GROWTH","FQ4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547" s="2" t="e">
        <f ca="1">_xll.BDH($C$528,"EBITDA_SEQUENTIAL_GROWTH","FQ4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547" s="2" t="e">
        <f ca="1">_xll.BDH($C$528,"OPERATING_INCOME_SEQ_GROWTH","FQ4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547" s="2" t="e">
        <f ca="1">_xll.BDH($C$528,"NET_INCOME_TO_COMMON_SEQ_GROWTH","FQ4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547" s="2" t="e">
        <f ca="1">_xll.BDH($C$528,"EPS_DILUTED_SEQUENTIAL_GROWTH","FQ4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547" s="2" t="e">
        <f ca="1">_xll.BDH($C$528,"DPS_SEQUENTIAL_GROWTH","FQ4 2017","FQ4 2017","Currency=INR","Period=FQ","BEST_FPERIOD_OVERRIDE=FQ","FILING_STATUS=OR","EQY_CONSOLIDATED=Y","Sort=A","Dates=H","DateFormat=P","Fill=—","Direction=H","UseDPDF=Y")</f>
        <v>#NAME?</v>
      </c>
      <c r="BL547" s="2" t="e">
        <f ca="1">_xll.BDH($C$528,"ACCOUNTS_RECEIVABLE_SEQ_GROWTH","FQ4 2017","FQ4 2017","Currency=INR","Period=FQ","BEST_FPERIOD_OVERRIDE=FQ","FILING_STATUS=OR","EQY_CONSOLIDATED=Y","Sort=A","Dates=H","DateFormat=P","Fill=—","Direction=H","UseDPDF=Y")</f>
        <v>#NAME?</v>
      </c>
      <c r="BM547" s="2" t="e">
        <f ca="1">_xll.BDH($C$528,"INVENTORY_SEQUENTIAL_GROWTH","FQ4 2017","FQ4 2017","Currency=INR","Period=FQ","BEST_FPERIOD_OVERRIDE=FQ","FILING_STATUS=OR","EQY_CONSOLIDATED=Y","Sort=A","Dates=H","DateFormat=P","Fill=—","Direction=H","UseDPDF=Y")</f>
        <v>#NAME?</v>
      </c>
      <c r="BN547" s="2" t="e">
        <f ca="1">_xll.BDH($C$528,"FIXED_ASSETS_SEQUENTIAL_GROWTH","FQ4 2017","FQ4 2017","Currency=INR","Period=FQ","BEST_FPERIOD_OVERRIDE=FQ","FILING_STATUS=OR","EQY_CONSOLIDATED=Y","Sort=A","Dates=H","DateFormat=P","Fill=—","Direction=H","UseDPDF=Y")</f>
        <v>#NAME?</v>
      </c>
      <c r="BO547" s="2" t="e">
        <f ca="1">_xll.BDH($C$528,"TOTAL_ASSETS_SEQUENTIAL_GROWTH","FQ4 2017","FQ4 2017","Currency=INR","Period=FQ","BEST_FPERIOD_OVERRIDE=FQ","FILING_STATUS=OR","EQY_CONSOLIDATED=Y","Sort=A","Dates=H","DateFormat=P","Fill=—","Direction=H","UseDPDF=Y")</f>
        <v>#NAME?</v>
      </c>
      <c r="BP547" s="2" t="e">
        <f ca="1">_xll.BDH($C$528,"MODIFIED_WORKING_CPTL_SEQ_GRWTH","FQ4 2017","FQ4 2017","Currency=INR","Period=FQ","BEST_FPERIOD_OVERRIDE=FQ","FILING_STATUS=OR","EQY_CONSOLIDATED=Y","Sort=A","Dates=H","DateFormat=P","Fill=—","Direction=H","UseDPDF=Y")</f>
        <v>#NAME?</v>
      </c>
      <c r="BQ547" s="2" t="e">
        <f ca="1">_xll.BDH($C$528,"WORKING_CAPITAL_SEQ_GROWTH","FQ4 2017","FQ4 2017","Currency=INR","Period=FQ","BEST_FPERIOD_OVERRIDE=FQ","FILING_STATUS=OR","EQY_CONSOLIDATED=Y","Sort=A","Dates=H","DateFormat=P","Fill=—","Direction=H","UseDPDF=Y")</f>
        <v>#NAME?</v>
      </c>
      <c r="BR547" s="2" t="e">
        <f ca="1">_xll.BDH($C$528,"ACCOUNTS_PAYABLE_SEQ_GROWTH","FQ4 2017","FQ4 2017","Currency=INR","Period=FQ","BEST_FPERIOD_OVERRIDE=FQ","FILING_STATUS=OR","EQY_CONSOLIDATED=Y","Sort=A","Dates=H","DateFormat=P","Fill=—","Direction=H","UseDPDF=Y")</f>
        <v>#NAME?</v>
      </c>
      <c r="BS547" s="2" t="e">
        <f ca="1">_xll.BDH($C$528,"ST_DEBT_SEQUENTIAL_GROWTH","FQ4 2017","FQ4 2017","Currency=INR","Period=FQ","BEST_FPERIOD_OVERRIDE=FQ","FILING_STATUS=OR","EQY_CONSOLIDATED=Y","Sort=A","Dates=H","DateFormat=P","Fill=—","Direction=H","UseDPDF=Y")</f>
        <v>#NAME?</v>
      </c>
      <c r="BT547" s="2" t="e">
        <f ca="1">_xll.BDH($C$528,"TOTAL_DEBT_SEQUENTIAL_GROWTH","FQ4 2017","FQ4 2017","Currency=INR","Period=FQ","BEST_FPERIOD_OVERRIDE=FQ","FILING_STATUS=OR","EQY_CONSOLIDATED=Y","Sort=A","Dates=H","DateFormat=P","Fill=—","Direction=H","UseDPDF=Y")</f>
        <v>#NAME?</v>
      </c>
      <c r="BU547" s="2" t="e">
        <f ca="1">_xll.BDH($C$528,"TOTAL_EQUITY_SEQUENTIAL_GROWTH","FQ4 2017","FQ4 2017","Currency=INR","Period=FQ","BEST_FPERIOD_OVERRIDE=FQ","FILING_STATUS=OR","EQY_CONSOLIDATED=Y","Sort=A","Dates=H","DateFormat=P","Fill=—","Direction=H","UseDPDF=Y")</f>
        <v>#NAME?</v>
      </c>
      <c r="BV547" s="2" t="e">
        <f ca="1">_xll.BDH($C$528,"TOTAL_CAPITAL_SEQUENTIAL_GROWTH","FQ4 2017","FQ4 2017","Currency=INR","Period=FQ","BEST_FPERIOD_OVERRIDE=FQ","FILING_STATUS=OR","EQY_CONSOLIDATED=Y","Sort=A","Dates=H","DateFormat=P","Fill=—","Direction=H","UseDPDF=Y")</f>
        <v>#NAME?</v>
      </c>
      <c r="BW547" s="2" t="e">
        <f ca="1">_xll.BDH($C$528,"BPS_SEQUENTIAL_GROWTH","FQ4 2017","FQ4 2017","Currency=INR","Period=FQ","BEST_FPERIOD_OVERRIDE=FQ","FILING_STATUS=OR","EQY_CONSOLIDATED=Y","Sort=A","Dates=H","DateFormat=P","Fill=—","Direction=H","UseDPDF=Y")</f>
        <v>#NAME?</v>
      </c>
      <c r="BX547" s="2" t="e">
        <f ca="1">_xll.BDH($C$528,"CFO_SEQUENTIAL_GROWTH","FQ4 2017","FQ4 2017","Currency=INR","Period=FQ","BEST_FPERIOD_OVERRIDE=FQ","FILING_STATUS=OR","EQY_CONSOLIDATED=Y","Sort=A","Dates=H","DateFormat=P","Fill=—","Direction=H","UseDPDF=Y")</f>
        <v>#NAME?</v>
      </c>
      <c r="BY547" s="3" t="e">
        <f ca="1">_xll.BDH($C$528,"SHORT_AND_LONG_TERM_DEBT","FQ4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547" s="3" t="e">
        <f ca="1">_xll.BDH($C$528,"BS_ST_BORROW","FQ4 2017","FQ4 2017","Currency=INR","Period=FQ","BEST_FPERIOD_OVERRIDE=FQ","FILING_STATUS=OR","EQY_CONSOLIDATED=Y","SCALING_FORMAT=MLN","Sort=A","Dates=H","DateFormat=P","Fill=—","Direction=H","UseDPDF=Y")</f>
        <v>#NAME?</v>
      </c>
      <c r="CA547" s="3" t="e">
        <f ca="1">_xll.BDH($C$528,"BS_LT_BORROW","FQ4 2017","FQ4 2017","Currency=INR","Period=FQ","BEST_FPERIOD_OVERRIDE=FQ","FILING_STATUS=OR","EQY_CONSOLIDATED=Y","SCALING_FORMAT=MLN","Sort=A","Dates=H","DateFormat=P","Fill=—","Direction=H","UseDPDF=Y")</f>
        <v>#NAME?</v>
      </c>
      <c r="CB547" s="2" t="e">
        <f ca="1">_xll.BDH($C$528,"TOT_DEBT_TO_EBITDA","FQ4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547" s="2" t="e">
        <f ca="1">_xll.BDH($C$528,"NET_DEBT_TO_EBITDA","FQ4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547" s="2" t="e">
        <f ca="1">_xll.BDH($C$528,"TOTAL_DEBT_TO_EBIT","FQ4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547" s="2" t="e">
        <f ca="1">_xll.BDH($C$528,"NET_DEBT_TO_EBIT","FQ4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547" s="2" t="e">
        <f ca="1">_xll.BDH($C$528,"EBITDA_TO_INTEREST_EXPN","FQ4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547" s="2" t="e">
        <f ca="1">_xll.BDH($C$528,"COM_EQY_TO_TOT_ASSET","FQ4 2017","FQ4 2017","Currency=INR","Period=FQ","BEST_FPERIOD_OVERRIDE=FQ","FILING_STATUS=OR","EQY_CONSOLIDATED=Y","Sort=A","Dates=H","DateFormat=P","Fill=—","Direction=H","UseDPDF=Y")</f>
        <v>#NAME?</v>
      </c>
      <c r="CH547" s="2" t="e">
        <f ca="1">_xll.BDH($C$528,"LT_DEBT_TO_TOT_EQY","FQ4 2017","FQ4 2017","Currency=INR","Period=FQ","BEST_FPERIOD_OVERRIDE=FQ","FILING_STATUS=OR","EQY_CONSOLIDATED=Y","Sort=A","Dates=H","DateFormat=P","Fill=—","Direction=H","UseDPDF=Y")</f>
        <v>#NAME?</v>
      </c>
      <c r="CI547" s="2" t="e">
        <f ca="1">_xll.BDH($C$528,"LT_DEBT_TO_TOT_CAP","FQ4 2017","FQ4 2017","Currency=INR","Period=FQ","BEST_FPERIOD_OVERRIDE=FQ","FILING_STATUS=OR","EQY_CONSOLIDATED=Y","Sort=A","Dates=H","DateFormat=P","Fill=—","Direction=H","UseDPDF=Y")</f>
        <v>#NAME?</v>
      </c>
      <c r="CJ547" s="2" t="e">
        <f ca="1">_xll.BDH($C$528,"LT_DEBT_TO_TOT_ASSET","FQ4 2017","FQ4 2017","Currency=INR","Period=FQ","BEST_FPERIOD_OVERRIDE=FQ","FILING_STATUS=OR","EQY_CONSOLIDATED=Y","Sort=A","Dates=H","DateFormat=P","Fill=—","Direction=H","UseDPDF=Y")</f>
        <v>#NAME?</v>
      </c>
      <c r="CK547" s="2" t="e">
        <f ca="1">_xll.BDH($C$528,"TOT_DEBT_TO_TOT_EQY","FQ4 2017","FQ4 2017","Currency=INR","Period=FQ","BEST_FPERIOD_OVERRIDE=FQ","FILING_STATUS=OR","EQY_CONSOLIDATED=Y","Sort=A","Dates=H","DateFormat=P","Fill=—","Direction=H","UseDPDF=Y")</f>
        <v>#NAME?</v>
      </c>
      <c r="CL547" s="2" t="e">
        <f ca="1">_xll.BDH($C$528,"TOT_DEBT_TO_TOT_CAP","FQ4 2017","FQ4 2017","Currency=INR","Period=FQ","BEST_FPERIOD_OVERRIDE=FQ","FILING_STATUS=OR","EQY_CONSOLIDATED=Y","Sort=A","Dates=H","DateFormat=P","Fill=—","Direction=H","UseDPDF=Y")</f>
        <v>#NAME?</v>
      </c>
      <c r="CM547" s="2" t="e">
        <f ca="1">_xll.BDH($C$528,"TOT_DEBT_TO_TOT_ASSET","FQ4 2017","FQ4 2017","Currency=INR","Period=FQ","BEST_FPERIOD_OVERRIDE=FQ","FILING_STATUS=OR","EQY_CONSOLIDATED=Y","Sort=A","Dates=H","DateFormat=P","Fill=—","Direction=H","UseDPDF=Y")</f>
        <v>#NAME?</v>
      </c>
      <c r="CN547" s="2" t="e">
        <f ca="1">_xll.BDH($C$528,"NET_DEBT_TO_SHRHLDR_EQTY","FQ4 2017","FQ4 2017","Currency=INR","Period=FQ","BEST_FPERIOD_OVERRIDE=FQ","FILING_STATUS=OR","EQY_CONSOLIDATED=Y","Sort=A","Dates=H","DateFormat=P","Fill=—","Direction=H","UseDPDF=Y")</f>
        <v>#NAME?</v>
      </c>
      <c r="CO547" s="2" t="e">
        <f ca="1">_xll.BDH($C$528,"NET_DEBT_%_CAPITAL","FQ4 2017","FQ4 2017","Currency=INR","Period=FQ","BEST_FPERIOD_OVERRIDE=FQ","FILING_STATUS=OR","EQY_CONSOLIDATED=Y","Sort=A","Dates=H","DateFormat=P","Fill=—","Direction=H","UseDPDF=Y")</f>
        <v>#NAME?</v>
      </c>
      <c r="CP547" s="3" t="e">
        <f ca="1">_xll.BDH($C$528,"EBITDA","FQ4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547" s="3" t="e">
        <f ca="1">_xll.BDH($C$528,"EBITDA_AFTER_CAPEX","FQ4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547" s="3" t="e">
        <f ca="1">_xll.BDH($C$528,"IS_OPER_INC","FQ4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547" s="2" t="e">
        <f ca="1">_xll.BDH($C$528,"CASH_RATIO","FQ4 2017","FQ4 2017","Currency=INR","Period=FQ","BEST_FPERIOD_OVERRIDE=FQ","FILING_STATUS=OR","EQY_CONSOLIDATED=Y","Sort=A","Dates=H","DateFormat=P","Fill=—","Direction=H","UseDPDF=Y")</f>
        <v>#NAME?</v>
      </c>
      <c r="CT547" s="2" t="e">
        <f ca="1">_xll.BDH($C$528,"CUR_RATIO","FQ4 2017","FQ4 2017","Currency=INR","Period=FQ","BEST_FPERIOD_OVERRIDE=FQ","FILING_STATUS=OR","EQY_CONSOLIDATED=Y","Sort=A","Dates=H","DateFormat=P","Fill=—","Direction=H","UseDPDF=Y")</f>
        <v>#NAME?</v>
      </c>
      <c r="CU547" s="2" t="e">
        <f ca="1">_xll.BDH($C$528,"QUICK_RATIO","FQ4 2017","FQ4 2017","Currency=INR","Period=FQ","BEST_FPERIOD_OVERRIDE=FQ","FILING_STATUS=OR","EQY_CONSOLIDATED=Y","Sort=A","Dates=H","DateFormat=P","Fill=—","Direction=H","UseDPDF=Y")</f>
        <v>#NAME?</v>
      </c>
      <c r="CV547" s="2" t="e">
        <f ca="1">_xll.BDH($C$528,"ALTMAN_Z_SCORE","FQ4 2017","FQ4 2017","Currency=INR","Period=FQ","BEST_FPERIOD_OVERRIDE=FQ","FILING_STATUS=OR","EQY_CONSOLIDATED=Y","Sort=A","Dates=H","DateFormat=P","Fill=—","Direction=H","UseDPDF=Y")</f>
        <v>#NAME?</v>
      </c>
      <c r="CW547" s="4" t="e">
        <f ca="1">_xll.BDH($C$528,"ACCT_RCV_TURN","FQ4 2017","FQ4 2017","Currency=INR","Period=FQ","BEST_FPERIOD_OVERRIDE=FQ","FILING_STATUS=OR","EQY_CONSOLIDATED=Y","FA_ADJUSTED=GAAP","Sort=A","Dates=H","DateFormat=P","Fill=—","Direction=H","UseDPDF=Y")</f>
        <v>#NAME?</v>
      </c>
      <c r="CX547" s="2" t="e">
        <f ca="1">_xll.BDH($C$528,"ACCT_RCV_DAYS","FQ4 2017","FQ4 2017","Currency=INR","Period=FQ","BEST_FPERIOD_OVERRIDE=FQ","FILING_STATUS=OR","EQY_CONSOLIDATED=Y","FA_ADJUSTED=GAAP","Sort=A","Dates=H","DateFormat=P","Fill=—","Direction=H","UseDPDF=Y")</f>
        <v>#NAME?</v>
      </c>
      <c r="CY547" s="4" t="e">
        <f ca="1">_xll.BDH($C$528,"INVENT_TURN","FQ4 2017","FQ4 2017","Currency=INR","Period=FQ","BEST_FPERIOD_OVERRIDE=FQ","FILING_STATUS=OR","EQY_CONSOLIDATED=Y","FA_ADJUSTED=GAAP","Sort=A","Dates=H","DateFormat=P","Fill=—","Direction=H","UseDPDF=Y")</f>
        <v>#NAME?</v>
      </c>
      <c r="CZ547" s="2" t="e">
        <f ca="1">_xll.BDH($C$528,"INVENT_DAYS","FQ4 2017","FQ4 2017","Currency=INR","Period=FQ","BEST_FPERIOD_OVERRIDE=FQ","FILING_STATUS=OR","EQY_CONSOLIDATED=Y","FA_ADJUSTED=GAAP","Sort=A","Dates=H","DateFormat=P","Fill=—","Direction=H","UseDPDF=Y")</f>
        <v>#NAME?</v>
      </c>
      <c r="DA547" s="4" t="e">
        <f ca="1">_xll.BDH($C$528,"ACCOUNTS_PAYABLE_TURNOVER","FQ4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547" s="2" t="e">
        <f ca="1">_xll.BDH($C$528,"ACCOUNTS_PAYABLE_TURNOVER_DAYS","FQ4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547" s="4" t="e">
        <f ca="1">_xll.BDH($C$528,"CASH_CONVERSION_CYCLE","FQ4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547" s="4" t="e">
        <f ca="1">_xll.BDH($C$528,"INV_TO_CASH_DAYS","FQ4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547" s="5" t="e">
        <f ca="1">_xll.BDH($C$528,"BS_INVENTORIES","FQ4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547" s="3" t="e">
        <f ca="1">_xll.BDH($C$528,"INVTRY_RAW_MATERIALS","FQ4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547" s="3" t="e">
        <f ca="1">_xll.BDH($C$528,"INVTRY_IN_PROGRESS","FQ4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547" s="3" t="e">
        <f ca="1">_xll.BDH($C$528,"INVTRY_FINISHED_GOODS","FQ4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547" s="3" t="e">
        <f ca="1">_xll.BDH($C$528,"BS_OTHER_INV","FQ4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548" spans="1:113" x14ac:dyDescent="0.3">
      <c r="A548" s="6"/>
      <c r="B548" s="6"/>
      <c r="C548" s="6"/>
      <c r="D548" s="6" t="s">
        <v>85</v>
      </c>
      <c r="E548" t="s">
        <v>77</v>
      </c>
      <c r="F548" t="e">
        <f ca="1">_xll.BDH($C$528,"RETURN_COM_EQY","FY 2018","FY 2018","Currency=INR","Period=FY","BEST_FPERIOD_OVERRIDE=FY","FILING_STATUS=OR","EQY_CONSOLIDATED=Y","FA_ADJUSTED=GAAP","Sort=A","Dates=H","DateFormat=P","Fill=—","Direction=H","UseDPDF=Y")</f>
        <v>#NAME?</v>
      </c>
      <c r="G548" t="e">
        <f ca="1">_xll.BDH($C$528,"RETURN_ON_ASSET","FY 2018","FY 2018","Currency=INR","Period=FY","BEST_FPERIOD_OVERRIDE=FY","FILING_STATUS=OR","EQY_CONSOLIDATED=Y","FA_ADJUSTED=GAAP","Sort=A","Dates=H","DateFormat=P","Fill=—","Direction=H","UseDPDF=Y")</f>
        <v>#NAME?</v>
      </c>
      <c r="H548" t="e">
        <f ca="1">_xll.BDH($C$528,"RETURN_ON_CAP","FY 2018","FY 2018","Currency=INR","Period=FY","BEST_FPERIOD_OVERRIDE=FY","FILING_STATUS=OR","EQY_CONSOLIDATED=Y","FA_ADJUSTED=GAAP","Sort=A","Dates=H","DateFormat=P","Fill=—","Direction=H","UseDPDF=Y")</f>
        <v>#NAME?</v>
      </c>
      <c r="I548" t="e">
        <f ca="1">_xll.BDH($C$528,"RETURN_ON_INV_CAPITAL","FY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548" t="e">
        <f ca="1">_xll.BDH($C$528,"EBITDA_TO_REVENUE","FY 2018","FY 2018","Currency=INR","Period=FY","BEST_FPERIOD_OVERRIDE=FY","FILING_STATUS=OR","EQY_CONSOLIDATED=Y","FA_ADJUSTED=GAAP","Sort=A","Dates=H","DateFormat=P","Fill=—","Direction=H","UseDPDF=Y")</f>
        <v>#NAME?</v>
      </c>
      <c r="K548" t="e">
        <f ca="1">_xll.BDH($C$528,"OPER_MARGIN","FY 2018","FY 2018","Currency=INR","Period=FY","BEST_FPERIOD_OVERRIDE=FY","FILING_STATUS=OR","EQY_CONSOLIDATED=Y","FA_ADJUSTED=GAAP","Sort=A","Dates=H","DateFormat=P","Fill=—","Direction=H","UseDPDF=Y")</f>
        <v>#NAME?</v>
      </c>
      <c r="L548" t="e">
        <f ca="1">_xll.BDH($C$528,"INCREMENTAL_OPERATING_MARGIN","FY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548" t="e">
        <f ca="1">_xll.BDH($C$528,"PRETAX_INC_TO_NET_SALES","FY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548" t="e">
        <f ca="1">_xll.BDH($C$528,"INC_BEF_XO_ITEMS_TO_NET_SALES","FY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548" t="e">
        <f ca="1">_xll.BDH($C$528,"PROF_MARGIN","FY 2018","FY 2018","Currency=INR","Period=FY","BEST_FPERIOD_OVERRIDE=FY","FILING_STATUS=OR","EQY_CONSOLIDATED=Y","FA_ADJUSTED=GAAP","Sort=A","Dates=H","DateFormat=P","Fill=—","Direction=H","UseDPDF=Y")</f>
        <v>#NAME?</v>
      </c>
      <c r="P548" t="e">
        <f ca="1">_xll.BDH($C$528,"NET_INCOME_TO_COMMON_MARGIN","FY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548" t="e">
        <f ca="1">_xll.BDH($C$528,"EFF_TAX_RATE","FY 2018","FY 2018","Currency=INR","Period=FY","BEST_FPERIOD_OVERRIDE=FY","FILING_STATUS=OR","EQY_CONSOLIDATED=Y","FA_ADJUSTED=GAAP","Sort=A","Dates=H","DateFormat=P","Fill=—","Direction=H","UseDPDF=Y")</f>
        <v>#NAME?</v>
      </c>
      <c r="R548" t="e">
        <f ca="1">_xll.BDH($C$528,"DVD_PAYOUT_RATIO","FY 2018","FY 2018","Currency=INR","Period=FY","BEST_FPERIOD_OVERRIDE=FY","FILING_STATUS=OR","EQY_CONSOLIDATED=Y","FA_ADJUSTED=GAAP","Sort=A","Dates=H","DateFormat=P","Fill=—","Direction=H","UseDPDF=Y")</f>
        <v>#NAME?</v>
      </c>
      <c r="S548" t="e">
        <f ca="1">_xll.BDH($C$528,"SUSTAIN_GROWTH_RT","FY 2018","FY 2018","Currency=INR","Period=FY","BEST_FPERIOD_OVERRIDE=FY","FILING_STATUS=OR","EQY_CONSOLIDATED=Y","FA_ADJUSTED=GAAP","Sort=A","Dates=H","DateFormat=P","Fill=—","Direction=H","UseDPDF=Y")</f>
        <v>#NAME?</v>
      </c>
      <c r="T548" s="2" t="e">
        <f ca="1">_xll.BDH($C$528,"SALES_GROWTH","FY 2018","FY 2018","Currency=INR","Period=FY","BEST_FPERIOD_OVERRIDE=FY","FILING_STATUS=OR","EQY_CONSOLIDATED=Y","FA_ADJUSTED=GAAP","Sort=A","Dates=H","DateFormat=P","Fill=—","Direction=H","UseDPDF=Y")</f>
        <v>#NAME?</v>
      </c>
      <c r="U548" s="2" t="e">
        <f ca="1">_xll.BDH($C$528,"EBITDA_GROWTH","FY 2018","FY 2018","Currency=INR","Period=FY","BEST_FPERIOD_OVERRIDE=FY","FILING_STATUS=OR","EQY_CONSOLIDATED=Y","FA_ADJUSTED=GAAP","Sort=A","Dates=H","DateFormat=P","Fill=—","Direction=H","UseDPDF=Y")</f>
        <v>#NAME?</v>
      </c>
      <c r="V548" s="2" t="e">
        <f ca="1">_xll.BDH($C$528,"OPER_INC_GROWTH","FY 2018","FY 2018","Currency=INR","Period=FY","BEST_FPERIOD_OVERRIDE=FY","FILING_STATUS=OR","EQY_CONSOLIDATED=Y","FA_ADJUSTED=GAAP","Sort=A","Dates=H","DateFormat=P","Fill=—","Direction=H","UseDPDF=Y")</f>
        <v>#NAME?</v>
      </c>
      <c r="W548" s="2" t="e">
        <f ca="1">_xll.BDH($C$528,"EARN_FOR_COM_GROWTH","FY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548" s="2" t="e">
        <f ca="1">_xll.BDH($C$528,"DILUTED_EPS_AFT_XO_ITEMS_GROWTH","FY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548" s="2" t="e">
        <f ca="1">_xll.BDH($C$528,"DIVIDEND_PER_SHARE_1_YEAR_GROWTH","FY 2018","FY 2018","Currency=INR","Period=FY","BEST_FPERIOD_OVERRIDE=FY","FILING_STATUS=OR","EQY_CONSOLIDATED=Y","Sort=A","Dates=H","DateFormat=P","Fill=—","Direction=H","UseDPDF=Y")</f>
        <v>#NAME?</v>
      </c>
      <c r="Z548" s="2" t="e">
        <f ca="1">_xll.BDH($C$528,"ACCOUNTS_RECEIVABLE_GROWTH","FY 2018","FY 2018","Currency=INR","Period=FY","BEST_FPERIOD_OVERRIDE=FY","FILING_STATUS=OR","EQY_CONSOLIDATED=Y","Sort=A","Dates=H","DateFormat=P","Fill=—","Direction=H","UseDPDF=Y")</f>
        <v>#NAME?</v>
      </c>
      <c r="AA548" s="2" t="e">
        <f ca="1">_xll.BDH($C$528,"INVENTORY_GROWTH","FY 2018","FY 2018","Currency=INR","Period=FY","BEST_FPERIOD_OVERRIDE=FY","FILING_STATUS=OR","EQY_CONSOLIDATED=Y","Sort=A","Dates=H","DateFormat=P","Fill=—","Direction=H","UseDPDF=Y")</f>
        <v>#NAME?</v>
      </c>
      <c r="AB548" s="2" t="e">
        <f ca="1">_xll.BDH($C$528,"NET_FIXED_ASSETS_1_YEAR_GROWTH","FY 2018","FY 2018","Currency=INR","Period=FY","BEST_FPERIOD_OVERRIDE=FY","FILING_STATUS=OR","EQY_CONSOLIDATED=Y","Sort=A","Dates=H","DateFormat=P","Fill=—","Direction=H","UseDPDF=Y")</f>
        <v>#NAME?</v>
      </c>
      <c r="AC548" s="2" t="e">
        <f ca="1">_xll.BDH($C$528,"ASSET_GROWTH","FY 2018","FY 2018","Currency=INR","Period=FY","BEST_FPERIOD_OVERRIDE=FY","FILING_STATUS=OR","EQY_CONSOLIDATED=Y","Sort=A","Dates=H","DateFormat=P","Fill=—","Direction=H","UseDPDF=Y")</f>
        <v>#NAME?</v>
      </c>
      <c r="AD548" s="2" t="e">
        <f ca="1">_xll.BDH($C$528,"MODIFIED_WORK_CAP_GROWTH","FY 2018","FY 2018","Currency=INR","Period=FY","BEST_FPERIOD_OVERRIDE=FY","FILING_STATUS=OR","EQY_CONSOLIDATED=Y","Sort=A","Dates=H","DateFormat=P","Fill=—","Direction=H","UseDPDF=Y")</f>
        <v>#NAME?</v>
      </c>
      <c r="AE548" s="2" t="e">
        <f ca="1">_xll.BDH($C$528,"WORK_CAP_GROWTH","FY 2018","FY 2018","Currency=INR","Period=FY","BEST_FPERIOD_OVERRIDE=FY","FILING_STATUS=OR","EQY_CONSOLIDATED=Y","Sort=A","Dates=H","DateFormat=P","Fill=—","Direction=H","UseDPDF=Y")</f>
        <v>#NAME?</v>
      </c>
      <c r="AF548" s="2" t="e">
        <f ca="1">_xll.BDH($C$528,"ACCOUNTS_PAYABLE_GROWTH_1YR","FY 2018","FY 2018","Currency=INR","Period=FY","BEST_FPERIOD_OVERRIDE=FY","FILING_STATUS=OR","EQY_CONSOLIDATED=Y","Sort=A","Dates=H","DateFormat=P","Fill=—","Direction=H","UseDPDF=Y")</f>
        <v>#NAME?</v>
      </c>
      <c r="AG548" s="2" t="e">
        <f ca="1">_xll.BDH($C$528,"SHORT_TERM_DEBT_1_YEAR_GROWTH","FY 2018","FY 2018","Currency=INR","Period=FY","BEST_FPERIOD_OVERRIDE=FY","FILING_STATUS=OR","EQY_CONSOLIDATED=Y","Sort=A","Dates=H","DateFormat=P","Fill=—","Direction=H","UseDPDF=Y")</f>
        <v>#NAME?</v>
      </c>
      <c r="AH548" s="2" t="e">
        <f ca="1">_xll.BDH($C$528,"TOTAL_DEBT_1_YEAR_GROWTH","FY 2018","FY 2018","Currency=INR","Period=FY","BEST_FPERIOD_OVERRIDE=FY","FILING_STATUS=OR","EQY_CONSOLIDATED=Y","Sort=A","Dates=H","DateFormat=P","Fill=—","Direction=H","UseDPDF=Y")</f>
        <v>#NAME?</v>
      </c>
      <c r="AI548" s="2" t="e">
        <f ca="1">_xll.BDH($C$528,"TOTAL_EQUITY_1_YEAR_GROWTH","FY 2018","FY 2018","Currency=INR","Period=FY","BEST_FPERIOD_OVERRIDE=FY","FILING_STATUS=OR","EQY_CONSOLIDATED=Y","Sort=A","Dates=H","DateFormat=P","Fill=—","Direction=H","UseDPDF=Y")</f>
        <v>#NAME?</v>
      </c>
      <c r="AJ548" s="2" t="e">
        <f ca="1">_xll.BDH($C$528,"GROWTH_IN_CAP","FY 2018","FY 2018","Currency=INR","Period=FY","BEST_FPERIOD_OVERRIDE=FY","FILING_STATUS=OR","EQY_CONSOLIDATED=Y","Sort=A","Dates=H","DateFormat=P","Fill=—","Direction=H","UseDPDF=Y")</f>
        <v>#NAME?</v>
      </c>
      <c r="AK548" s="2" t="e">
        <f ca="1">_xll.BDH($C$528,"BVPS_GROWTH","FY 2018","FY 2018","Currency=INR","Period=FY","BEST_FPERIOD_OVERRIDE=FY","FILING_STATUS=OR","EQY_CONSOLIDATED=Y","Sort=A","Dates=H","DateFormat=P","Fill=—","Direction=H","UseDPDF=Y")</f>
        <v>#NAME?</v>
      </c>
      <c r="AL548" s="2" t="e">
        <f ca="1">_xll.BDH($C$528,"CASH_FLOW_GROWTH","FY 2018","FY 2018","Currency=INR","Period=FY","BEST_FPERIOD_OVERRIDE=FY","FILING_STATUS=OR","EQY_CONSOLIDATED=Y","Sort=A","Dates=H","DateFormat=P","Fill=—","Direction=H","UseDPDF=Y")</f>
        <v>#NAME?</v>
      </c>
      <c r="AM548" s="2" t="e">
        <f ca="1">_xll.BDH($C$528,"GEO_GROW_NET_SALES","FY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548" s="2" t="e">
        <f ca="1">_xll.BDH($C$528,"GEO_GROW_EBITDA","FY 2018","FY 2018","Currency=INR","Period=FY","BEST_FPERIOD_OVERRIDE=FY","FILING_STATUS=OR","EQY_CONSOLIDATED=Y","FA_ADJUSTED=GAAP","Sort=A","Dates=H","DateFormat=P","Fill=—","Direction=H","UseDPDF=Y")</f>
        <v>#NAME?</v>
      </c>
      <c r="AO548" s="2" t="e">
        <f ca="1">_xll.BDH($C$528,"GEO_GROW_OPER_INC","FY 2018","FY 2018","Currency=INR","Period=FY","BEST_FPERIOD_OVERRIDE=FY","FILING_STATUS=OR","EQY_CONSOLIDATED=Y","FA_ADJUSTED=GAAP","Sort=A","Dates=H","DateFormat=P","Fill=—","Direction=H","UseDPDF=Y")</f>
        <v>#NAME?</v>
      </c>
      <c r="AP548" s="2" t="e">
        <f ca="1">_xll.BDH($C$528,"NET_INCOME_TO_COMMON_5_YR_GROWTH","FY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548" s="2" t="e">
        <f ca="1">_xll.BDH($C$528,"5Y_GEO_GROWTH_DILUTED_EPS","FY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548" s="2" t="e">
        <f ca="1">_xll.BDH($C$528,"GEO_GROW_DVD_PER_SH","FY 2018","FY 2018","Currency=INR","Period=FY","BEST_FPERIOD_OVERRIDE=FY","FILING_STATUS=OR","EQY_CONSOLIDATED=Y","Sort=A","Dates=H","DateFormat=P","Fill=—","Direction=H","UseDPDF=Y")</f>
        <v>#NAME?</v>
      </c>
      <c r="AS548" s="2" t="e">
        <f ca="1">_xll.BDH($C$528,"ACCOUNTS_RECEIVABLE_5_YR_GROWTH","FY 2018","FY 2018","Currency=INR","Period=FY","BEST_FPERIOD_OVERRIDE=FY","FILING_STATUS=OR","EQY_CONSOLIDATED=Y","Sort=A","Dates=H","DateFormat=P","Fill=—","Direction=H","UseDPDF=Y")</f>
        <v>#NAME?</v>
      </c>
      <c r="AT548" s="2" t="e">
        <f ca="1">_xll.BDH($C$528,"INVENTORY_5_YEAR_GROWTH","FY 2018","FY 2018","Currency=INR","Period=FY","BEST_FPERIOD_OVERRIDE=FY","FILING_STATUS=OR","EQY_CONSOLIDATED=Y","Sort=A","Dates=H","DateFormat=P","Fill=—","Direction=H","UseDPDF=Y")</f>
        <v>#NAME?</v>
      </c>
      <c r="AU548" s="2" t="e">
        <f ca="1">_xll.BDH($C$528,"NET_FIXED_ASSETS_5_YEAR_GROWTH","FY 2018","FY 2018","Currency=INR","Period=FY","BEST_FPERIOD_OVERRIDE=FY","FILING_STATUS=OR","EQY_CONSOLIDATED=Y","Sort=A","Dates=H","DateFormat=P","Fill=—","Direction=H","UseDPDF=Y")</f>
        <v>#NAME?</v>
      </c>
      <c r="AV548" s="2" t="e">
        <f ca="1">_xll.BDH($C$528,"GEO_GROW_TOT_ASSET","FY 2018","FY 2018","Currency=INR","Period=FY","BEST_FPERIOD_OVERRIDE=FY","FILING_STATUS=OR","EQY_CONSOLIDATED=Y","Sort=A","Dates=H","DateFormat=P","Fill=—","Direction=H","UseDPDF=Y")</f>
        <v>#NAME?</v>
      </c>
      <c r="AW548" s="2" t="e">
        <f ca="1">_xll.BDH($C$528,"MODIFIED_WORKING_CPTL_5YR_GRWTH","FY 2018","FY 2018","Currency=INR","Period=FY","BEST_FPERIOD_OVERRIDE=FY","FILING_STATUS=OR","EQY_CONSOLIDATED=Y","Sort=A","Dates=H","DateFormat=P","Fill=—","Direction=H","UseDPDF=Y")</f>
        <v>#NAME?</v>
      </c>
      <c r="AX548" s="2" t="e">
        <f ca="1">_xll.BDH($C$528,"WORKING_CAPITAL_5_YEAR_GROWTH","FY 2018","FY 2018","Currency=INR","Period=FY","BEST_FPERIOD_OVERRIDE=FY","FILING_STATUS=OR","EQY_CONSOLIDATED=Y","Sort=A","Dates=H","DateFormat=P","Fill=—","Direction=H","UseDPDF=Y")</f>
        <v>#NAME?</v>
      </c>
      <c r="AY548" s="2" t="e">
        <f ca="1">_xll.BDH($C$528,"ACCOUNTS_PAYABLE_5_YEAR_GROWTH","FY 2018","FY 2018","Currency=INR","Period=FY","BEST_FPERIOD_OVERRIDE=FY","FILING_STATUS=OR","EQY_CONSOLIDATED=Y","Sort=A","Dates=H","DateFormat=P","Fill=—","Direction=H","UseDPDF=Y")</f>
        <v>#NAME?</v>
      </c>
      <c r="AZ548" s="2" t="e">
        <f ca="1">_xll.BDH($C$528,"SHORT_TERM_DEBT_5_YEAR_GROWTH","FY 2018","FY 2018","Currency=INR","Period=FY","BEST_FPERIOD_OVERRIDE=FY","FILING_STATUS=OR","EQY_CONSOLIDATED=Y","Sort=A","Dates=H","DateFormat=P","Fill=—","Direction=H","UseDPDF=Y")</f>
        <v>#NAME?</v>
      </c>
      <c r="BA548" s="2" t="e">
        <f ca="1">_xll.BDH($C$528,"TOTAL_DEBT_5_YEAR_GROWTH","FY 2018","FY 2018","Currency=INR","Period=FY","BEST_FPERIOD_OVERRIDE=FY","FILING_STATUS=OR","EQY_CONSOLIDATED=Y","Sort=A","Dates=H","DateFormat=P","Fill=—","Direction=H","UseDPDF=Y")</f>
        <v>#NAME?</v>
      </c>
      <c r="BB548" s="2" t="e">
        <f ca="1">_xll.BDH($C$528,"GEO_GROW_TOT_SHRHLDR_EQY","FY 2018","FY 2018","Currency=INR","Period=FY","BEST_FPERIOD_OVERRIDE=FY","FILING_STATUS=OR","EQY_CONSOLIDATED=Y","Sort=A","Dates=H","DateFormat=P","Fill=—","Direction=H","UseDPDF=Y")</f>
        <v>#NAME?</v>
      </c>
      <c r="BC548" s="2" t="e">
        <f ca="1">_xll.BDH($C$528,"TOTAL_CAPITAL_5_YEAR_GROWTH","FY 2018","FY 2018","Currency=INR","Period=FY","BEST_FPERIOD_OVERRIDE=FY","FILING_STATUS=OR","EQY_CONSOLIDATED=Y","Sort=A","Dates=H","DateFormat=P","Fill=—","Direction=H","UseDPDF=Y")</f>
        <v>#NAME?</v>
      </c>
      <c r="BD548" s="2" t="e">
        <f ca="1">_xll.BDH($C$528,"GEO_GROW_BOOK_VAL","FY 2018","FY 2018","Currency=INR","Period=FY","BEST_FPERIOD_OVERRIDE=FY","FILING_STATUS=OR","EQY_CONSOLIDATED=Y","Sort=A","Dates=H","DateFormat=P","Fill=—","Direction=H","UseDPDF=Y")</f>
        <v>#NAME?</v>
      </c>
      <c r="BE548" s="2" t="e">
        <f ca="1">_xll.BDH($C$528,"GEO_GROW_CASH_OPER_ACT","FY 2018","FY 2018","Currency=INR","Period=FY","BEST_FPERIOD_OVERRIDE=FY","FILING_STATUS=OR","EQY_CONSOLIDATED=Y","Sort=A","Dates=H","DateFormat=P","Fill=—","Direction=H","UseDPDF=Y")</f>
        <v>#NAME?</v>
      </c>
      <c r="BF548" s="2" t="e">
        <f ca="1">_xll.BDH($C$528,"REVENUE_SEQUENTIAL_GROWTH","FY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548" s="2" t="e">
        <f ca="1">_xll.BDH($C$528,"EBITDA_SEQUENTIAL_GROWTH","FY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548" s="2" t="e">
        <f ca="1">_xll.BDH($C$528,"OPERATING_INCOME_SEQ_GROWTH","FY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548" s="2" t="e">
        <f ca="1">_xll.BDH($C$528,"NET_INCOME_TO_COMMON_SEQ_GROWTH","FY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548" s="2" t="e">
        <f ca="1">_xll.BDH($C$528,"EPS_DILUTED_SEQUENTIAL_GROWTH","FY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548" s="2" t="e">
        <f ca="1">_xll.BDH($C$528,"DPS_SEQUENTIAL_GROWTH","FY 2018","FY 2018","Currency=INR","Period=FY","BEST_FPERIOD_OVERRIDE=FY","FILING_STATUS=OR","EQY_CONSOLIDATED=Y","Sort=A","Dates=H","DateFormat=P","Fill=—","Direction=H","UseDPDF=Y")</f>
        <v>#NAME?</v>
      </c>
      <c r="BL548" s="2" t="e">
        <f ca="1">_xll.BDH($C$528,"ACCOUNTS_RECEIVABLE_SEQ_GROWTH","FY 2018","FY 2018","Currency=INR","Period=FY","BEST_FPERIOD_OVERRIDE=FY","FILING_STATUS=OR","EQY_CONSOLIDATED=Y","Sort=A","Dates=H","DateFormat=P","Fill=—","Direction=H","UseDPDF=Y")</f>
        <v>#NAME?</v>
      </c>
      <c r="BM548" s="2" t="e">
        <f ca="1">_xll.BDH($C$528,"INVENTORY_SEQUENTIAL_GROWTH","FY 2018","FY 2018","Currency=INR","Period=FY","BEST_FPERIOD_OVERRIDE=FY","FILING_STATUS=OR","EQY_CONSOLIDATED=Y","Sort=A","Dates=H","DateFormat=P","Fill=—","Direction=H","UseDPDF=Y")</f>
        <v>#NAME?</v>
      </c>
      <c r="BN548" s="2" t="e">
        <f ca="1">_xll.BDH($C$528,"FIXED_ASSETS_SEQUENTIAL_GROWTH","FY 2018","FY 2018","Currency=INR","Period=FY","BEST_FPERIOD_OVERRIDE=FY","FILING_STATUS=OR","EQY_CONSOLIDATED=Y","Sort=A","Dates=H","DateFormat=P","Fill=—","Direction=H","UseDPDF=Y")</f>
        <v>#NAME?</v>
      </c>
      <c r="BO548" s="2" t="e">
        <f ca="1">_xll.BDH($C$528,"TOTAL_ASSETS_SEQUENTIAL_GROWTH","FY 2018","FY 2018","Currency=INR","Period=FY","BEST_FPERIOD_OVERRIDE=FY","FILING_STATUS=OR","EQY_CONSOLIDATED=Y","Sort=A","Dates=H","DateFormat=P","Fill=—","Direction=H","UseDPDF=Y")</f>
        <v>#NAME?</v>
      </c>
      <c r="BP548" s="2" t="e">
        <f ca="1">_xll.BDH($C$528,"MODIFIED_WORKING_CPTL_SEQ_GRWTH","FY 2018","FY 2018","Currency=INR","Period=FY","BEST_FPERIOD_OVERRIDE=FY","FILING_STATUS=OR","EQY_CONSOLIDATED=Y","Sort=A","Dates=H","DateFormat=P","Fill=—","Direction=H","UseDPDF=Y")</f>
        <v>#NAME?</v>
      </c>
      <c r="BQ548" s="2" t="e">
        <f ca="1">_xll.BDH($C$528,"WORKING_CAPITAL_SEQ_GROWTH","FY 2018","FY 2018","Currency=INR","Period=FY","BEST_FPERIOD_OVERRIDE=FY","FILING_STATUS=OR","EQY_CONSOLIDATED=Y","Sort=A","Dates=H","DateFormat=P","Fill=—","Direction=H","UseDPDF=Y")</f>
        <v>#NAME?</v>
      </c>
      <c r="BR548" s="2" t="e">
        <f ca="1">_xll.BDH($C$528,"ACCOUNTS_PAYABLE_SEQ_GROWTH","FY 2018","FY 2018","Currency=INR","Period=FY","BEST_FPERIOD_OVERRIDE=FY","FILING_STATUS=OR","EQY_CONSOLIDATED=Y","Sort=A","Dates=H","DateFormat=P","Fill=—","Direction=H","UseDPDF=Y")</f>
        <v>#NAME?</v>
      </c>
      <c r="BS548" s="2" t="e">
        <f ca="1">_xll.BDH($C$528,"ST_DEBT_SEQUENTIAL_GROWTH","FY 2018","FY 2018","Currency=INR","Period=FY","BEST_FPERIOD_OVERRIDE=FY","FILING_STATUS=OR","EQY_CONSOLIDATED=Y","Sort=A","Dates=H","DateFormat=P","Fill=—","Direction=H","UseDPDF=Y")</f>
        <v>#NAME?</v>
      </c>
      <c r="BT548" s="2" t="e">
        <f ca="1">_xll.BDH($C$528,"TOTAL_DEBT_SEQUENTIAL_GROWTH","FY 2018","FY 2018","Currency=INR","Period=FY","BEST_FPERIOD_OVERRIDE=FY","FILING_STATUS=OR","EQY_CONSOLIDATED=Y","Sort=A","Dates=H","DateFormat=P","Fill=—","Direction=H","UseDPDF=Y")</f>
        <v>#NAME?</v>
      </c>
      <c r="BU548" s="2" t="e">
        <f ca="1">_xll.BDH($C$528,"TOTAL_EQUITY_SEQUENTIAL_GROWTH","FY 2018","FY 2018","Currency=INR","Period=FY","BEST_FPERIOD_OVERRIDE=FY","FILING_STATUS=OR","EQY_CONSOLIDATED=Y","Sort=A","Dates=H","DateFormat=P","Fill=—","Direction=H","UseDPDF=Y")</f>
        <v>#NAME?</v>
      </c>
      <c r="BV548" s="2" t="e">
        <f ca="1">_xll.BDH($C$528,"TOTAL_CAPITAL_SEQUENTIAL_GROWTH","FY 2018","FY 2018","Currency=INR","Period=FY","BEST_FPERIOD_OVERRIDE=FY","FILING_STATUS=OR","EQY_CONSOLIDATED=Y","Sort=A","Dates=H","DateFormat=P","Fill=—","Direction=H","UseDPDF=Y")</f>
        <v>#NAME?</v>
      </c>
      <c r="BW548" s="2" t="e">
        <f ca="1">_xll.BDH($C$528,"BPS_SEQUENTIAL_GROWTH","FY 2018","FY 2018","Currency=INR","Period=FY","BEST_FPERIOD_OVERRIDE=FY","FILING_STATUS=OR","EQY_CONSOLIDATED=Y","Sort=A","Dates=H","DateFormat=P","Fill=—","Direction=H","UseDPDF=Y")</f>
        <v>#NAME?</v>
      </c>
      <c r="BX548" s="2" t="e">
        <f ca="1">_xll.BDH($C$528,"CFO_SEQUENTIAL_GROWTH","FY 2018","FY 2018","Currency=INR","Period=FY","BEST_FPERIOD_OVERRIDE=FY","FILING_STATUS=OR","EQY_CONSOLIDATED=Y","Sort=A","Dates=H","DateFormat=P","Fill=—","Direction=H","UseDPDF=Y")</f>
        <v>#NAME?</v>
      </c>
      <c r="BY548" s="3" t="e">
        <f ca="1">_xll.BDH($C$528,"SHORT_AND_LONG_TERM_DEBT","FY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548" s="3" t="e">
        <f ca="1">_xll.BDH($C$528,"BS_ST_BORROW","FY 2018","FY 2018","Currency=INR","Period=FY","BEST_FPERIOD_OVERRIDE=FY","FILING_STATUS=OR","EQY_CONSOLIDATED=Y","SCALING_FORMAT=MLN","Sort=A","Dates=H","DateFormat=P","Fill=—","Direction=H","UseDPDF=Y")</f>
        <v>#NAME?</v>
      </c>
      <c r="CA548" s="3" t="e">
        <f ca="1">_xll.BDH($C$528,"BS_LT_BORROW","FY 2018","FY 2018","Currency=INR","Period=FY","BEST_FPERIOD_OVERRIDE=FY","FILING_STATUS=OR","EQY_CONSOLIDATED=Y","SCALING_FORMAT=MLN","Sort=A","Dates=H","DateFormat=P","Fill=—","Direction=H","UseDPDF=Y")</f>
        <v>#NAME?</v>
      </c>
      <c r="CB548" s="2" t="e">
        <f ca="1">_xll.BDH($C$528,"TOT_DEBT_TO_EBITDA","FY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548" s="2" t="e">
        <f ca="1">_xll.BDH($C$528,"NET_DEBT_TO_EBITDA","FY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548" s="2" t="e">
        <f ca="1">_xll.BDH($C$528,"TOTAL_DEBT_TO_EBIT","FY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548" s="2" t="e">
        <f ca="1">_xll.BDH($C$528,"NET_DEBT_TO_EBIT","FY 2018","FY 2018","Currency=INR","Period=FY","BEST_FPERIOD_OVERRIDE=FY","FILING_STATUS=OR","EQY_CONSOLIDATED=Y","FA_ADJUSTED=GAAP","Sort=A","Dates=H","DateFormat=P","Fill=—","Direction=H","UseDPDF=Y")</f>
        <v>#NAME?</v>
      </c>
      <c r="CF548" s="2" t="e">
        <f ca="1">_xll.BDH($C$528,"EBITDA_TO_INTEREST_EXPN","FY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548" s="2" t="e">
        <f ca="1">_xll.BDH($C$528,"COM_EQY_TO_TOT_ASSET","FY 2018","FY 2018","Currency=INR","Period=FY","BEST_FPERIOD_OVERRIDE=FY","FILING_STATUS=OR","EQY_CONSOLIDATED=Y","Sort=A","Dates=H","DateFormat=P","Fill=—","Direction=H","UseDPDF=Y")</f>
        <v>#NAME?</v>
      </c>
      <c r="CH548" s="2" t="e">
        <f ca="1">_xll.BDH($C$528,"LT_DEBT_TO_TOT_EQY","FY 2018","FY 2018","Currency=INR","Period=FY","BEST_FPERIOD_OVERRIDE=FY","FILING_STATUS=OR","EQY_CONSOLIDATED=Y","Sort=A","Dates=H","DateFormat=P","Fill=—","Direction=H","UseDPDF=Y")</f>
        <v>#NAME?</v>
      </c>
      <c r="CI548" s="2" t="e">
        <f ca="1">_xll.BDH($C$528,"LT_DEBT_TO_TOT_CAP","FY 2018","FY 2018","Currency=INR","Period=FY","BEST_FPERIOD_OVERRIDE=FY","FILING_STATUS=OR","EQY_CONSOLIDATED=Y","Sort=A","Dates=H","DateFormat=P","Fill=—","Direction=H","UseDPDF=Y")</f>
        <v>#NAME?</v>
      </c>
      <c r="CJ548" s="2" t="e">
        <f ca="1">_xll.BDH($C$528,"LT_DEBT_TO_TOT_ASSET","FY 2018","FY 2018","Currency=INR","Period=FY","BEST_FPERIOD_OVERRIDE=FY","FILING_STATUS=OR","EQY_CONSOLIDATED=Y","Sort=A","Dates=H","DateFormat=P","Fill=—","Direction=H","UseDPDF=Y")</f>
        <v>#NAME?</v>
      </c>
      <c r="CK548" s="2" t="e">
        <f ca="1">_xll.BDH($C$528,"TOT_DEBT_TO_TOT_EQY","FY 2018","FY 2018","Currency=INR","Period=FY","BEST_FPERIOD_OVERRIDE=FY","FILING_STATUS=OR","EQY_CONSOLIDATED=Y","Sort=A","Dates=H","DateFormat=P","Fill=—","Direction=H","UseDPDF=Y")</f>
        <v>#NAME?</v>
      </c>
      <c r="CL548" s="2" t="e">
        <f ca="1">_xll.BDH($C$528,"TOT_DEBT_TO_TOT_CAP","FY 2018","FY 2018","Currency=INR","Period=FY","BEST_FPERIOD_OVERRIDE=FY","FILING_STATUS=OR","EQY_CONSOLIDATED=Y","Sort=A","Dates=H","DateFormat=P","Fill=—","Direction=H","UseDPDF=Y")</f>
        <v>#NAME?</v>
      </c>
      <c r="CM548" s="2" t="e">
        <f ca="1">_xll.BDH($C$528,"TOT_DEBT_TO_TOT_ASSET","FY 2018","FY 2018","Currency=INR","Period=FY","BEST_FPERIOD_OVERRIDE=FY","FILING_STATUS=OR","EQY_CONSOLIDATED=Y","Sort=A","Dates=H","DateFormat=P","Fill=—","Direction=H","UseDPDF=Y")</f>
        <v>#NAME?</v>
      </c>
      <c r="CN548" s="2" t="e">
        <f ca="1">_xll.BDH($C$528,"NET_DEBT_TO_SHRHLDR_EQTY","FY 2018","FY 2018","Currency=INR","Period=FY","BEST_FPERIOD_OVERRIDE=FY","FILING_STATUS=OR","EQY_CONSOLIDATED=Y","Sort=A","Dates=H","DateFormat=P","Fill=—","Direction=H","UseDPDF=Y")</f>
        <v>#NAME?</v>
      </c>
      <c r="CO548" s="2" t="e">
        <f ca="1">_xll.BDH($C$528,"NET_DEBT_%_CAPITAL","FY 2018","FY 2018","Currency=INR","Period=FY","BEST_FPERIOD_OVERRIDE=FY","FILING_STATUS=OR","EQY_CONSOLIDATED=Y","Sort=A","Dates=H","DateFormat=P","Fill=—","Direction=H","UseDPDF=Y")</f>
        <v>#NAME?</v>
      </c>
      <c r="CP548" s="3" t="e">
        <f ca="1">_xll.BDH($C$528,"EBITDA","FY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548" s="3" t="e">
        <f ca="1">_xll.BDH($C$528,"EBITDA_AFTER_CAPEX","FY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548" s="3" t="e">
        <f ca="1">_xll.BDH($C$528,"IS_OPER_INC","FY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548" s="2" t="e">
        <f ca="1">_xll.BDH($C$528,"CASH_RATIO","FY 2018","FY 2018","Currency=INR","Period=FY","BEST_FPERIOD_OVERRIDE=FY","FILING_STATUS=OR","EQY_CONSOLIDATED=Y","Sort=A","Dates=H","DateFormat=P","Fill=—","Direction=H","UseDPDF=Y")</f>
        <v>#NAME?</v>
      </c>
      <c r="CT548" s="2" t="e">
        <f ca="1">_xll.BDH($C$528,"CUR_RATIO","FY 2018","FY 2018","Currency=INR","Period=FY","BEST_FPERIOD_OVERRIDE=FY","FILING_STATUS=OR","EQY_CONSOLIDATED=Y","Sort=A","Dates=H","DateFormat=P","Fill=—","Direction=H","UseDPDF=Y")</f>
        <v>#NAME?</v>
      </c>
      <c r="CU548" s="2" t="e">
        <f ca="1">_xll.BDH($C$528,"QUICK_RATIO","FY 2018","FY 2018","Currency=INR","Period=FY","BEST_FPERIOD_OVERRIDE=FY","FILING_STATUS=OR","EQY_CONSOLIDATED=Y","Sort=A","Dates=H","DateFormat=P","Fill=—","Direction=H","UseDPDF=Y")</f>
        <v>#NAME?</v>
      </c>
      <c r="CV548" s="2" t="e">
        <f ca="1">_xll.BDH($C$528,"ALTMAN_Z_SCORE","FY 2018","FY 2018","Currency=INR","Period=FY","BEST_FPERIOD_OVERRIDE=FY","FILING_STATUS=OR","EQY_CONSOLIDATED=Y","Sort=A","Dates=H","DateFormat=P","Fill=—","Direction=H","UseDPDF=Y")</f>
        <v>#NAME?</v>
      </c>
      <c r="CW548" s="4" t="e">
        <f ca="1">_xll.BDH($C$528,"ACCT_RCV_TURN","FY 2018","FY 2018","Currency=INR","Period=FY","BEST_FPERIOD_OVERRIDE=FY","FILING_STATUS=OR","EQY_CONSOLIDATED=Y","FA_ADJUSTED=GAAP","Sort=A","Dates=H","DateFormat=P","Fill=—","Direction=H","UseDPDF=Y")</f>
        <v>#NAME?</v>
      </c>
      <c r="CX548" s="2" t="e">
        <f ca="1">_xll.BDH($C$528,"ACCT_RCV_DAYS","FY 2018","FY 2018","Currency=INR","Period=FY","BEST_FPERIOD_OVERRIDE=FY","FILING_STATUS=OR","EQY_CONSOLIDATED=Y","FA_ADJUSTED=GAAP","Sort=A","Dates=H","DateFormat=P","Fill=—","Direction=H","UseDPDF=Y")</f>
        <v>#NAME?</v>
      </c>
      <c r="CY548" s="4" t="e">
        <f ca="1">_xll.BDH($C$528,"INVENT_TURN","FY 2018","FY 2018","Currency=INR","Period=FY","BEST_FPERIOD_OVERRIDE=FY","FILING_STATUS=OR","EQY_CONSOLIDATED=Y","FA_ADJUSTED=GAAP","Sort=A","Dates=H","DateFormat=P","Fill=—","Direction=H","UseDPDF=Y")</f>
        <v>#NAME?</v>
      </c>
      <c r="CZ548" s="2" t="e">
        <f ca="1">_xll.BDH($C$528,"INVENT_DAYS","FY 2018","FY 2018","Currency=INR","Period=FY","BEST_FPERIOD_OVERRIDE=FY","FILING_STATUS=OR","EQY_CONSOLIDATED=Y","FA_ADJUSTED=GAAP","Sort=A","Dates=H","DateFormat=P","Fill=—","Direction=H","UseDPDF=Y")</f>
        <v>#NAME?</v>
      </c>
      <c r="DA548" s="4" t="e">
        <f ca="1">_xll.BDH($C$528,"ACCOUNTS_PAYABLE_TURNOVER","FY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548" s="2" t="e">
        <f ca="1">_xll.BDH($C$528,"ACCOUNTS_PAYABLE_TURNOVER_DAYS","FY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548" s="4" t="e">
        <f ca="1">_xll.BDH($C$528,"CASH_CONVERSION_CYCLE","FY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548" s="4" t="e">
        <f ca="1">_xll.BDH($C$528,"INV_TO_CASH_DAYS","FY 2018","FY 2018","Currency=INR","Period=FY","BEST_FPERIOD_OVERRIDE=FY","FILING_STATUS=OR","EQY_CONSOLIDATED=Y","FA_ADJUSTED=GAAP","Sort=A","Dates=H","DateFormat=P","Fill=—","Direction=H","UseDPDF=Y")</f>
        <v>#NAME?</v>
      </c>
      <c r="DE548" s="5" t="e">
        <f ca="1">_xll.BDH($C$528,"BS_INVENTORIES","FY 2018","FY 2018","Currency=INR","Period=FY","BEST_FPERIOD_OVERRIDE=FY","FILING_STATUS=OR","EQY_CONSOLIDATED=Y","SCALING_FORMAT=MLN","Sort=A","Dates=H","DateFormat=P","Fill=—","Direction=H","UseDPDF=Y")</f>
        <v>#NAME?</v>
      </c>
      <c r="DF548" s="3" t="e">
        <f ca="1">_xll.BDH($C$528,"INVTRY_RAW_MATERIALS","FY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548" s="3" t="e">
        <f ca="1">_xll.BDH($C$528,"INVTRY_IN_PROGRESS","FY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548" s="3" t="e">
        <f ca="1">_xll.BDH($C$528,"INVTRY_FINISHED_GOODS","FY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548" s="3" t="e">
        <f ca="1">_xll.BDH($C$528,"BS_OTHER_INV","FY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549" spans="1:113" x14ac:dyDescent="0.3">
      <c r="A549" s="6"/>
      <c r="B549" s="6"/>
      <c r="C549" s="6"/>
      <c r="D549" s="6"/>
      <c r="E549" t="s">
        <v>78</v>
      </c>
      <c r="F549" t="e">
        <f ca="1">_xll.BDH($C$528,"RETURN_COM_EQY","FQ1 2018","FQ1 2018","Currency=INR","Period=FQ","BEST_FPERIOD_OVERRIDE=FQ","FILING_STATUS=OR","EQY_CONSOLIDATED=Y","FA_ADJUSTED=GAAP","Sort=A","Dates=H","DateFormat=P","Fill=—","Direction=H","UseDPDF=Y")</f>
        <v>#NAME?</v>
      </c>
      <c r="G549" t="e">
        <f ca="1">_xll.BDH($C$528,"RETURN_ON_ASSET","FQ1 2018","FQ1 2018","Currency=INR","Period=FQ","BEST_FPERIOD_OVERRIDE=FQ","FILING_STATUS=OR","EQY_CONSOLIDATED=Y","FA_ADJUSTED=GAAP","Sort=A","Dates=H","DateFormat=P","Fill=—","Direction=H","UseDPDF=Y")</f>
        <v>#NAME?</v>
      </c>
      <c r="H549" t="e">
        <f ca="1">_xll.BDH($C$528,"RETURN_ON_CAP","FQ1 2018","FQ1 2018","Currency=INR","Period=FQ","BEST_FPERIOD_OVERRIDE=FQ","FILING_STATUS=OR","EQY_CONSOLIDATED=Y","FA_ADJUSTED=GAAP","Sort=A","Dates=H","DateFormat=P","Fill=—","Direction=H","UseDPDF=Y")</f>
        <v>#NAME?</v>
      </c>
      <c r="I549" t="e">
        <f ca="1">_xll.BDH($C$528,"RETURN_ON_INV_CAPITAL","FQ1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549" t="e">
        <f ca="1">_xll.BDH($C$528,"EBITDA_TO_REVENUE","FQ1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549" t="e">
        <f ca="1">_xll.BDH($C$528,"OPER_MARGIN","FQ1 2018","FQ1 2018","Currency=INR","Period=FQ","BEST_FPERIOD_OVERRIDE=FQ","FILING_STATUS=OR","EQY_CONSOLIDATED=Y","FA_ADJUSTED=GAAP","Sort=A","Dates=H","DateFormat=P","Fill=—","Direction=H","UseDPDF=Y")</f>
        <v>#NAME?</v>
      </c>
      <c r="L549" t="e">
        <f ca="1">_xll.BDH($C$528,"INCREMENTAL_OPERATING_MARGIN","FQ1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549" t="e">
        <f ca="1">_xll.BDH($C$528,"PRETAX_INC_TO_NET_SALES","FQ1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549" t="e">
        <f ca="1">_xll.BDH($C$528,"INC_BEF_XO_ITEMS_TO_NET_SALES","FQ1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549" t="e">
        <f ca="1">_xll.BDH($C$528,"PROF_MARGIN","FQ1 2018","FQ1 2018","Currency=INR","Period=FQ","BEST_FPERIOD_OVERRIDE=FQ","FILING_STATUS=OR","EQY_CONSOLIDATED=Y","FA_ADJUSTED=GAAP","Sort=A","Dates=H","DateFormat=P","Fill=—","Direction=H","UseDPDF=Y")</f>
        <v>#NAME?</v>
      </c>
      <c r="P549" t="e">
        <f ca="1">_xll.BDH($C$528,"NET_INCOME_TO_COMMON_MARGIN","FQ1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549" t="e">
        <f ca="1">_xll.BDH($C$528,"EFF_TAX_RATE","FQ1 2018","FQ1 2018","Currency=INR","Period=FQ","BEST_FPERIOD_OVERRIDE=FQ","FILING_STATUS=OR","EQY_CONSOLIDATED=Y","FA_ADJUSTED=GAAP","Sort=A","Dates=H","DateFormat=P","Fill=—","Direction=H","UseDPDF=Y")</f>
        <v>#NAME?</v>
      </c>
      <c r="R549" t="e">
        <f ca="1">_xll.BDH($C$528,"DVD_PAYOUT_RATIO","FQ1 2018","FQ1 2018","Currency=INR","Period=FQ","BEST_FPERIOD_OVERRIDE=FQ","FILING_STATUS=OR","EQY_CONSOLIDATED=Y","FA_ADJUSTED=GAAP","Sort=A","Dates=H","DateFormat=P","Fill=—","Direction=H","UseDPDF=Y")</f>
        <v>#NAME?</v>
      </c>
      <c r="S549" t="e">
        <f ca="1">_xll.BDH($C$528,"SUSTAIN_GROWTH_RT","FQ1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549" s="2" t="e">
        <f ca="1">_xll.BDH($C$528,"SALES_GROWTH","FQ1 2018","FQ1 2018","Currency=INR","Period=FQ","BEST_FPERIOD_OVERRIDE=FQ","FILING_STATUS=OR","EQY_CONSOLIDATED=Y","FA_ADJUSTED=GAAP","Sort=A","Dates=H","DateFormat=P","Fill=—","Direction=H","UseDPDF=Y")</f>
        <v>#NAME?</v>
      </c>
      <c r="U549" s="2" t="e">
        <f ca="1">_xll.BDH($C$528,"EBITDA_GROWTH","FQ1 2018","FQ1 2018","Currency=INR","Period=FQ","BEST_FPERIOD_OVERRIDE=FQ","FILING_STATUS=OR","EQY_CONSOLIDATED=Y","FA_ADJUSTED=GAAP","Sort=A","Dates=H","DateFormat=P","Fill=—","Direction=H","UseDPDF=Y")</f>
        <v>#NAME?</v>
      </c>
      <c r="V549" s="2" t="e">
        <f ca="1">_xll.BDH($C$528,"OPER_INC_GROWTH","FQ1 2018","FQ1 2018","Currency=INR","Period=FQ","BEST_FPERIOD_OVERRIDE=FQ","FILING_STATUS=OR","EQY_CONSOLIDATED=Y","FA_ADJUSTED=GAAP","Sort=A","Dates=H","DateFormat=P","Fill=—","Direction=H","UseDPDF=Y")</f>
        <v>#NAME?</v>
      </c>
      <c r="W549" s="2" t="e">
        <f ca="1">_xll.BDH($C$528,"EARN_FOR_COM_GROWTH","FQ1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549" s="2" t="e">
        <f ca="1">_xll.BDH($C$528,"DILUTED_EPS_AFT_XO_ITEMS_GROWTH","FQ1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549" s="2" t="e">
        <f ca="1">_xll.BDH($C$528,"DIVIDEND_PER_SHARE_1_YEAR_GROWTH","FQ1 2018","FQ1 2018","Currency=INR","Period=FQ","BEST_FPERIOD_OVERRIDE=FQ","FILING_STATUS=OR","EQY_CONSOLIDATED=Y","Sort=A","Dates=H","DateFormat=P","Fill=—","Direction=H","UseDPDF=Y")</f>
        <v>#NAME?</v>
      </c>
      <c r="Z549" s="2" t="e">
        <f ca="1">_xll.BDH($C$528,"ACCOUNTS_RECEIVABLE_GROWTH","FQ1 2018","FQ1 2018","Currency=INR","Period=FQ","BEST_FPERIOD_OVERRIDE=FQ","FILING_STATUS=OR","EQY_CONSOLIDATED=Y","Sort=A","Dates=H","DateFormat=P","Fill=—","Direction=H","UseDPDF=Y")</f>
        <v>#NAME?</v>
      </c>
      <c r="AA549" s="2" t="e">
        <f ca="1">_xll.BDH($C$528,"INVENTORY_GROWTH","FQ1 2018","FQ1 2018","Currency=INR","Period=FQ","BEST_FPERIOD_OVERRIDE=FQ","FILING_STATUS=OR","EQY_CONSOLIDATED=Y","Sort=A","Dates=H","DateFormat=P","Fill=—","Direction=H","UseDPDF=Y")</f>
        <v>#NAME?</v>
      </c>
      <c r="AB549" s="2" t="e">
        <f ca="1">_xll.BDH($C$528,"NET_FIXED_ASSETS_1_YEAR_GROWTH","FQ1 2018","FQ1 2018","Currency=INR","Period=FQ","BEST_FPERIOD_OVERRIDE=FQ","FILING_STATUS=OR","EQY_CONSOLIDATED=Y","Sort=A","Dates=H","DateFormat=P","Fill=—","Direction=H","UseDPDF=Y")</f>
        <v>#NAME?</v>
      </c>
      <c r="AC549" s="2" t="e">
        <f ca="1">_xll.BDH($C$528,"ASSET_GROWTH","FQ1 2018","FQ1 2018","Currency=INR","Period=FQ","BEST_FPERIOD_OVERRIDE=FQ","FILING_STATUS=OR","EQY_CONSOLIDATED=Y","Sort=A","Dates=H","DateFormat=P","Fill=—","Direction=H","UseDPDF=Y")</f>
        <v>#NAME?</v>
      </c>
      <c r="AD549" s="2" t="e">
        <f ca="1">_xll.BDH($C$528,"MODIFIED_WORK_CAP_GROWTH","FQ1 2018","FQ1 2018","Currency=INR","Period=FQ","BEST_FPERIOD_OVERRIDE=FQ","FILING_STATUS=OR","EQY_CONSOLIDATED=Y","Sort=A","Dates=H","DateFormat=P","Fill=—","Direction=H","UseDPDF=Y")</f>
        <v>#NAME?</v>
      </c>
      <c r="AE549" s="2" t="e">
        <f ca="1">_xll.BDH($C$528,"WORK_CAP_GROWTH","FQ1 2018","FQ1 2018","Currency=INR","Period=FQ","BEST_FPERIOD_OVERRIDE=FQ","FILING_STATUS=OR","EQY_CONSOLIDATED=Y","Sort=A","Dates=H","DateFormat=P","Fill=—","Direction=H","UseDPDF=Y")</f>
        <v>#NAME?</v>
      </c>
      <c r="AF549" s="2" t="e">
        <f ca="1">_xll.BDH($C$528,"ACCOUNTS_PAYABLE_GROWTH_1YR","FQ1 2018","FQ1 2018","Currency=INR","Period=FQ","BEST_FPERIOD_OVERRIDE=FQ","FILING_STATUS=OR","EQY_CONSOLIDATED=Y","Sort=A","Dates=H","DateFormat=P","Fill=—","Direction=H","UseDPDF=Y")</f>
        <v>#NAME?</v>
      </c>
      <c r="AG549" s="2" t="e">
        <f ca="1">_xll.BDH($C$528,"SHORT_TERM_DEBT_1_YEAR_GROWTH","FQ1 2018","FQ1 2018","Currency=INR","Period=FQ","BEST_FPERIOD_OVERRIDE=FQ","FILING_STATUS=OR","EQY_CONSOLIDATED=Y","Sort=A","Dates=H","DateFormat=P","Fill=—","Direction=H","UseDPDF=Y")</f>
        <v>#NAME?</v>
      </c>
      <c r="AH549" s="2" t="e">
        <f ca="1">_xll.BDH($C$528,"TOTAL_DEBT_1_YEAR_GROWTH","FQ1 2018","FQ1 2018","Currency=INR","Period=FQ","BEST_FPERIOD_OVERRIDE=FQ","FILING_STATUS=OR","EQY_CONSOLIDATED=Y","Sort=A","Dates=H","DateFormat=P","Fill=—","Direction=H","UseDPDF=Y")</f>
        <v>#NAME?</v>
      </c>
      <c r="AI549" s="2" t="e">
        <f ca="1">_xll.BDH($C$528,"TOTAL_EQUITY_1_YEAR_GROWTH","FQ1 2018","FQ1 2018","Currency=INR","Period=FQ","BEST_FPERIOD_OVERRIDE=FQ","FILING_STATUS=OR","EQY_CONSOLIDATED=Y","Sort=A","Dates=H","DateFormat=P","Fill=—","Direction=H","UseDPDF=Y")</f>
        <v>#NAME?</v>
      </c>
      <c r="AJ549" s="2" t="e">
        <f ca="1">_xll.BDH($C$528,"GROWTH_IN_CAP","FQ1 2018","FQ1 2018","Currency=INR","Period=FQ","BEST_FPERIOD_OVERRIDE=FQ","FILING_STATUS=OR","EQY_CONSOLIDATED=Y","Sort=A","Dates=H","DateFormat=P","Fill=—","Direction=H","UseDPDF=Y")</f>
        <v>#NAME?</v>
      </c>
      <c r="AK549" s="2" t="e">
        <f ca="1">_xll.BDH($C$528,"BVPS_GROWTH","FQ1 2018","FQ1 2018","Currency=INR","Period=FQ","BEST_FPERIOD_OVERRIDE=FQ","FILING_STATUS=OR","EQY_CONSOLIDATED=Y","Sort=A","Dates=H","DateFormat=P","Fill=—","Direction=H","UseDPDF=Y")</f>
        <v>#NAME?</v>
      </c>
      <c r="AL549" s="2" t="e">
        <f ca="1">_xll.BDH($C$528,"CASH_FLOW_GROWTH","FQ1 2018","FQ1 2018","Currency=INR","Period=FQ","BEST_FPERIOD_OVERRIDE=FQ","FILING_STATUS=OR","EQY_CONSOLIDATED=Y","Sort=A","Dates=H","DateFormat=P","Fill=—","Direction=H","UseDPDF=Y")</f>
        <v>#NAME?</v>
      </c>
      <c r="AM549" s="2" t="e">
        <f ca="1">_xll.BDH($C$528,"GEO_GROW_NET_SALES","FQ1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549" s="2" t="e">
        <f ca="1">_xll.BDH($C$528,"GEO_GROW_EBITDA","FQ1 2018","FQ1 2018","Currency=INR","Period=FQ","BEST_FPERIOD_OVERRIDE=FQ","FILING_STATUS=OR","EQY_CONSOLIDATED=Y","FA_ADJUSTED=GAAP","Sort=A","Dates=H","DateFormat=P","Fill=—","Direction=H","UseDPDF=Y")</f>
        <v>#NAME?</v>
      </c>
      <c r="AO549" s="2" t="e">
        <f ca="1">_xll.BDH($C$528,"GEO_GROW_OPER_INC","FQ1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549" s="2" t="e">
        <f ca="1">_xll.BDH($C$528,"NET_INCOME_TO_COMMON_5_YR_GROWTH","FQ1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549" s="2" t="e">
        <f ca="1">_xll.BDH($C$528,"5Y_GEO_GROWTH_DILUTED_EPS","FQ1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549" s="2" t="e">
        <f ca="1">_xll.BDH($C$528,"GEO_GROW_DVD_PER_SH","FQ1 2018","FQ1 2018","Currency=INR","Period=FQ","BEST_FPERIOD_OVERRIDE=FQ","FILING_STATUS=OR","EQY_CONSOLIDATED=Y","Sort=A","Dates=H","DateFormat=P","Fill=—","Direction=H","UseDPDF=Y")</f>
        <v>#NAME?</v>
      </c>
      <c r="AS549" s="2" t="e">
        <f ca="1">_xll.BDH($C$528,"ACCOUNTS_RECEIVABLE_5_YR_GROWTH","FQ1 2018","FQ1 2018","Currency=INR","Period=FQ","BEST_FPERIOD_OVERRIDE=FQ","FILING_STATUS=OR","EQY_CONSOLIDATED=Y","Sort=A","Dates=H","DateFormat=P","Fill=—","Direction=H","UseDPDF=Y")</f>
        <v>#NAME?</v>
      </c>
      <c r="AT549" s="2" t="e">
        <f ca="1">_xll.BDH($C$528,"INVENTORY_5_YEAR_GROWTH","FQ1 2018","FQ1 2018","Currency=INR","Period=FQ","BEST_FPERIOD_OVERRIDE=FQ","FILING_STATUS=OR","EQY_CONSOLIDATED=Y","Sort=A","Dates=H","DateFormat=P","Fill=—","Direction=H","UseDPDF=Y")</f>
        <v>#NAME?</v>
      </c>
      <c r="AU549" s="2" t="e">
        <f ca="1">_xll.BDH($C$528,"NET_FIXED_ASSETS_5_YEAR_GROWTH","FQ1 2018","FQ1 2018","Currency=INR","Period=FQ","BEST_FPERIOD_OVERRIDE=FQ","FILING_STATUS=OR","EQY_CONSOLIDATED=Y","Sort=A","Dates=H","DateFormat=P","Fill=—","Direction=H","UseDPDF=Y")</f>
        <v>#NAME?</v>
      </c>
      <c r="AV549" s="2" t="e">
        <f ca="1">_xll.BDH($C$528,"GEO_GROW_TOT_ASSET","FQ1 2018","FQ1 2018","Currency=INR","Period=FQ","BEST_FPERIOD_OVERRIDE=FQ","FILING_STATUS=OR","EQY_CONSOLIDATED=Y","Sort=A","Dates=H","DateFormat=P","Fill=—","Direction=H","UseDPDF=Y")</f>
        <v>#NAME?</v>
      </c>
      <c r="AW549" s="2" t="e">
        <f ca="1">_xll.BDH($C$528,"MODIFIED_WORKING_CPTL_5YR_GRWTH","FQ1 2018","FQ1 2018","Currency=INR","Period=FQ","BEST_FPERIOD_OVERRIDE=FQ","FILING_STATUS=OR","EQY_CONSOLIDATED=Y","Sort=A","Dates=H","DateFormat=P","Fill=—","Direction=H","UseDPDF=Y")</f>
        <v>#NAME?</v>
      </c>
      <c r="AX549" s="2" t="e">
        <f ca="1">_xll.BDH($C$528,"WORKING_CAPITAL_5_YEAR_GROWTH","FQ1 2018","FQ1 2018","Currency=INR","Period=FQ","BEST_FPERIOD_OVERRIDE=FQ","FILING_STATUS=OR","EQY_CONSOLIDATED=Y","Sort=A","Dates=H","DateFormat=P","Fill=—","Direction=H","UseDPDF=Y")</f>
        <v>#NAME?</v>
      </c>
      <c r="AY549" s="2" t="e">
        <f ca="1">_xll.BDH($C$528,"ACCOUNTS_PAYABLE_5_YEAR_GROWTH","FQ1 2018","FQ1 2018","Currency=INR","Period=FQ","BEST_FPERIOD_OVERRIDE=FQ","FILING_STATUS=OR","EQY_CONSOLIDATED=Y","Sort=A","Dates=H","DateFormat=P","Fill=—","Direction=H","UseDPDF=Y")</f>
        <v>#NAME?</v>
      </c>
      <c r="AZ549" s="2" t="e">
        <f ca="1">_xll.BDH($C$528,"SHORT_TERM_DEBT_5_YEAR_GROWTH","FQ1 2018","FQ1 2018","Currency=INR","Period=FQ","BEST_FPERIOD_OVERRIDE=FQ","FILING_STATUS=OR","EQY_CONSOLIDATED=Y","Sort=A","Dates=H","DateFormat=P","Fill=—","Direction=H","UseDPDF=Y")</f>
        <v>#NAME?</v>
      </c>
      <c r="BA549" s="2" t="e">
        <f ca="1">_xll.BDH($C$528,"TOTAL_DEBT_5_YEAR_GROWTH","FQ1 2018","FQ1 2018","Currency=INR","Period=FQ","BEST_FPERIOD_OVERRIDE=FQ","FILING_STATUS=OR","EQY_CONSOLIDATED=Y","Sort=A","Dates=H","DateFormat=P","Fill=—","Direction=H","UseDPDF=Y")</f>
        <v>#NAME?</v>
      </c>
      <c r="BB549" s="2" t="e">
        <f ca="1">_xll.BDH($C$528,"GEO_GROW_TOT_SHRHLDR_EQY","FQ1 2018","FQ1 2018","Currency=INR","Period=FQ","BEST_FPERIOD_OVERRIDE=FQ","FILING_STATUS=OR","EQY_CONSOLIDATED=Y","Sort=A","Dates=H","DateFormat=P","Fill=—","Direction=H","UseDPDF=Y")</f>
        <v>#NAME?</v>
      </c>
      <c r="BC549" s="2" t="e">
        <f ca="1">_xll.BDH($C$528,"TOTAL_CAPITAL_5_YEAR_GROWTH","FQ1 2018","FQ1 2018","Currency=INR","Period=FQ","BEST_FPERIOD_OVERRIDE=FQ","FILING_STATUS=OR","EQY_CONSOLIDATED=Y","Sort=A","Dates=H","DateFormat=P","Fill=—","Direction=H","UseDPDF=Y")</f>
        <v>#NAME?</v>
      </c>
      <c r="BD549" s="2" t="e">
        <f ca="1">_xll.BDH($C$528,"GEO_GROW_BOOK_VAL","FQ1 2018","FQ1 2018","Currency=INR","Period=FQ","BEST_FPERIOD_OVERRIDE=FQ","FILING_STATUS=OR","EQY_CONSOLIDATED=Y","Sort=A","Dates=H","DateFormat=P","Fill=—","Direction=H","UseDPDF=Y")</f>
        <v>#NAME?</v>
      </c>
      <c r="BE549" s="2" t="e">
        <f ca="1">_xll.BDH($C$528,"GEO_GROW_CASH_OPER_ACT","FQ1 2018","FQ1 2018","Currency=INR","Period=FQ","BEST_FPERIOD_OVERRIDE=FQ","FILING_STATUS=OR","EQY_CONSOLIDATED=Y","Sort=A","Dates=H","DateFormat=P","Fill=—","Direction=H","UseDPDF=Y")</f>
        <v>#NAME?</v>
      </c>
      <c r="BF549" s="2" t="e">
        <f ca="1">_xll.BDH($C$528,"REVENUE_SEQUENTIAL_GROWTH","FQ1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549" s="2" t="e">
        <f ca="1">_xll.BDH($C$528,"EBITDA_SEQUENTIAL_GROWTH","FQ1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549" s="2" t="e">
        <f ca="1">_xll.BDH($C$528,"OPERATING_INCOME_SEQ_GROWTH","FQ1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549" s="2" t="e">
        <f ca="1">_xll.BDH($C$528,"NET_INCOME_TO_COMMON_SEQ_GROWTH","FQ1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549" s="2" t="e">
        <f ca="1">_xll.BDH($C$528,"EPS_DILUTED_SEQUENTIAL_GROWTH","FQ1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549" s="2" t="e">
        <f ca="1">_xll.BDH($C$528,"DPS_SEQUENTIAL_GROWTH","FQ1 2018","FQ1 2018","Currency=INR","Period=FQ","BEST_FPERIOD_OVERRIDE=FQ","FILING_STATUS=OR","EQY_CONSOLIDATED=Y","Sort=A","Dates=H","DateFormat=P","Fill=—","Direction=H","UseDPDF=Y")</f>
        <v>#NAME?</v>
      </c>
      <c r="BL549" s="2" t="e">
        <f ca="1">_xll.BDH($C$528,"ACCOUNTS_RECEIVABLE_SEQ_GROWTH","FQ1 2018","FQ1 2018","Currency=INR","Period=FQ","BEST_FPERIOD_OVERRIDE=FQ","FILING_STATUS=OR","EQY_CONSOLIDATED=Y","Sort=A","Dates=H","DateFormat=P","Fill=—","Direction=H","UseDPDF=Y")</f>
        <v>#NAME?</v>
      </c>
      <c r="BM549" s="2" t="e">
        <f ca="1">_xll.BDH($C$528,"INVENTORY_SEQUENTIAL_GROWTH","FQ1 2018","FQ1 2018","Currency=INR","Period=FQ","BEST_FPERIOD_OVERRIDE=FQ","FILING_STATUS=OR","EQY_CONSOLIDATED=Y","Sort=A","Dates=H","DateFormat=P","Fill=—","Direction=H","UseDPDF=Y")</f>
        <v>#NAME?</v>
      </c>
      <c r="BN549" s="2" t="e">
        <f ca="1">_xll.BDH($C$528,"FIXED_ASSETS_SEQUENTIAL_GROWTH","FQ1 2018","FQ1 2018","Currency=INR","Period=FQ","BEST_FPERIOD_OVERRIDE=FQ","FILING_STATUS=OR","EQY_CONSOLIDATED=Y","Sort=A","Dates=H","DateFormat=P","Fill=—","Direction=H","UseDPDF=Y")</f>
        <v>#NAME?</v>
      </c>
      <c r="BO549" s="2" t="e">
        <f ca="1">_xll.BDH($C$528,"TOTAL_ASSETS_SEQUENTIAL_GROWTH","FQ1 2018","FQ1 2018","Currency=INR","Period=FQ","BEST_FPERIOD_OVERRIDE=FQ","FILING_STATUS=OR","EQY_CONSOLIDATED=Y","Sort=A","Dates=H","DateFormat=P","Fill=—","Direction=H","UseDPDF=Y")</f>
        <v>#NAME?</v>
      </c>
      <c r="BP549" s="2" t="e">
        <f ca="1">_xll.BDH($C$528,"MODIFIED_WORKING_CPTL_SEQ_GRWTH","FQ1 2018","FQ1 2018","Currency=INR","Period=FQ","BEST_FPERIOD_OVERRIDE=FQ","FILING_STATUS=OR","EQY_CONSOLIDATED=Y","Sort=A","Dates=H","DateFormat=P","Fill=—","Direction=H","UseDPDF=Y")</f>
        <v>#NAME?</v>
      </c>
      <c r="BQ549" s="2" t="e">
        <f ca="1">_xll.BDH($C$528,"WORKING_CAPITAL_SEQ_GROWTH","FQ1 2018","FQ1 2018","Currency=INR","Period=FQ","BEST_FPERIOD_OVERRIDE=FQ","FILING_STATUS=OR","EQY_CONSOLIDATED=Y","Sort=A","Dates=H","DateFormat=P","Fill=—","Direction=H","UseDPDF=Y")</f>
        <v>#NAME?</v>
      </c>
      <c r="BR549" s="2" t="e">
        <f ca="1">_xll.BDH($C$528,"ACCOUNTS_PAYABLE_SEQ_GROWTH","FQ1 2018","FQ1 2018","Currency=INR","Period=FQ","BEST_FPERIOD_OVERRIDE=FQ","FILING_STATUS=OR","EQY_CONSOLIDATED=Y","Sort=A","Dates=H","DateFormat=P","Fill=—","Direction=H","UseDPDF=Y")</f>
        <v>#NAME?</v>
      </c>
      <c r="BS549" s="2" t="e">
        <f ca="1">_xll.BDH($C$528,"ST_DEBT_SEQUENTIAL_GROWTH","FQ1 2018","FQ1 2018","Currency=INR","Period=FQ","BEST_FPERIOD_OVERRIDE=FQ","FILING_STATUS=OR","EQY_CONSOLIDATED=Y","Sort=A","Dates=H","DateFormat=P","Fill=—","Direction=H","UseDPDF=Y")</f>
        <v>#NAME?</v>
      </c>
      <c r="BT549" s="2" t="e">
        <f ca="1">_xll.BDH($C$528,"TOTAL_DEBT_SEQUENTIAL_GROWTH","FQ1 2018","FQ1 2018","Currency=INR","Period=FQ","BEST_FPERIOD_OVERRIDE=FQ","FILING_STATUS=OR","EQY_CONSOLIDATED=Y","Sort=A","Dates=H","DateFormat=P","Fill=—","Direction=H","UseDPDF=Y")</f>
        <v>#NAME?</v>
      </c>
      <c r="BU549" s="2" t="e">
        <f ca="1">_xll.BDH($C$528,"TOTAL_EQUITY_SEQUENTIAL_GROWTH","FQ1 2018","FQ1 2018","Currency=INR","Period=FQ","BEST_FPERIOD_OVERRIDE=FQ","FILING_STATUS=OR","EQY_CONSOLIDATED=Y","Sort=A","Dates=H","DateFormat=P","Fill=—","Direction=H","UseDPDF=Y")</f>
        <v>#NAME?</v>
      </c>
      <c r="BV549" s="2" t="e">
        <f ca="1">_xll.BDH($C$528,"TOTAL_CAPITAL_SEQUENTIAL_GROWTH","FQ1 2018","FQ1 2018","Currency=INR","Period=FQ","BEST_FPERIOD_OVERRIDE=FQ","FILING_STATUS=OR","EQY_CONSOLIDATED=Y","Sort=A","Dates=H","DateFormat=P","Fill=—","Direction=H","UseDPDF=Y")</f>
        <v>#NAME?</v>
      </c>
      <c r="BW549" s="2" t="e">
        <f ca="1">_xll.BDH($C$528,"BPS_SEQUENTIAL_GROWTH","FQ1 2018","FQ1 2018","Currency=INR","Period=FQ","BEST_FPERIOD_OVERRIDE=FQ","FILING_STATUS=OR","EQY_CONSOLIDATED=Y","Sort=A","Dates=H","DateFormat=P","Fill=—","Direction=H","UseDPDF=Y")</f>
        <v>#NAME?</v>
      </c>
      <c r="BX549" s="2" t="e">
        <f ca="1">_xll.BDH($C$528,"CFO_SEQUENTIAL_GROWTH","FQ1 2018","FQ1 2018","Currency=INR","Period=FQ","BEST_FPERIOD_OVERRIDE=FQ","FILING_STATUS=OR","EQY_CONSOLIDATED=Y","Sort=A","Dates=H","DateFormat=P","Fill=—","Direction=H","UseDPDF=Y")</f>
        <v>#NAME?</v>
      </c>
      <c r="BY549" s="3" t="e">
        <f ca="1">_xll.BDH($C$528,"SHORT_AND_LONG_TERM_DEBT","FQ1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549" s="3" t="e">
        <f ca="1">_xll.BDH($C$528,"BS_ST_BORROW","FQ1 2018","FQ1 2018","Currency=INR","Period=FQ","BEST_FPERIOD_OVERRIDE=FQ","FILING_STATUS=OR","EQY_CONSOLIDATED=Y","SCALING_FORMAT=MLN","Sort=A","Dates=H","DateFormat=P","Fill=—","Direction=H","UseDPDF=Y")</f>
        <v>#NAME?</v>
      </c>
      <c r="CA549" s="3" t="e">
        <f ca="1">_xll.BDH($C$528,"BS_LT_BORROW","FQ1 2018","FQ1 2018","Currency=INR","Period=FQ","BEST_FPERIOD_OVERRIDE=FQ","FILING_STATUS=OR","EQY_CONSOLIDATED=Y","SCALING_FORMAT=MLN","Sort=A","Dates=H","DateFormat=P","Fill=—","Direction=H","UseDPDF=Y")</f>
        <v>#NAME?</v>
      </c>
      <c r="CB549" s="2" t="e">
        <f ca="1">_xll.BDH($C$528,"TOT_DEBT_TO_EBITDA","FQ1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549" s="2" t="e">
        <f ca="1">_xll.BDH($C$528,"NET_DEBT_TO_EBITDA","FQ1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549" s="2" t="e">
        <f ca="1">_xll.BDH($C$528,"TOTAL_DEBT_TO_EBIT","FQ1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549" s="2" t="e">
        <f ca="1">_xll.BDH($C$528,"NET_DEBT_TO_EBIT","FQ1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549" s="2" t="e">
        <f ca="1">_xll.BDH($C$528,"EBITDA_TO_INTEREST_EXPN","FQ1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549" s="2" t="e">
        <f ca="1">_xll.BDH($C$528,"COM_EQY_TO_TOT_ASSET","FQ1 2018","FQ1 2018","Currency=INR","Period=FQ","BEST_FPERIOD_OVERRIDE=FQ","FILING_STATUS=OR","EQY_CONSOLIDATED=Y","Sort=A","Dates=H","DateFormat=P","Fill=—","Direction=H","UseDPDF=Y")</f>
        <v>#NAME?</v>
      </c>
      <c r="CH549" s="2" t="e">
        <f ca="1">_xll.BDH($C$528,"LT_DEBT_TO_TOT_EQY","FQ1 2018","FQ1 2018","Currency=INR","Period=FQ","BEST_FPERIOD_OVERRIDE=FQ","FILING_STATUS=OR","EQY_CONSOLIDATED=Y","Sort=A","Dates=H","DateFormat=P","Fill=—","Direction=H","UseDPDF=Y")</f>
        <v>#NAME?</v>
      </c>
      <c r="CI549" s="2" t="e">
        <f ca="1">_xll.BDH($C$528,"LT_DEBT_TO_TOT_CAP","FQ1 2018","FQ1 2018","Currency=INR","Period=FQ","BEST_FPERIOD_OVERRIDE=FQ","FILING_STATUS=OR","EQY_CONSOLIDATED=Y","Sort=A","Dates=H","DateFormat=P","Fill=—","Direction=H","UseDPDF=Y")</f>
        <v>#NAME?</v>
      </c>
      <c r="CJ549" s="2" t="e">
        <f ca="1">_xll.BDH($C$528,"LT_DEBT_TO_TOT_ASSET","FQ1 2018","FQ1 2018","Currency=INR","Period=FQ","BEST_FPERIOD_OVERRIDE=FQ","FILING_STATUS=OR","EQY_CONSOLIDATED=Y","Sort=A","Dates=H","DateFormat=P","Fill=—","Direction=H","UseDPDF=Y")</f>
        <v>#NAME?</v>
      </c>
      <c r="CK549" s="2" t="e">
        <f ca="1">_xll.BDH($C$528,"TOT_DEBT_TO_TOT_EQY","FQ1 2018","FQ1 2018","Currency=INR","Period=FQ","BEST_FPERIOD_OVERRIDE=FQ","FILING_STATUS=OR","EQY_CONSOLIDATED=Y","Sort=A","Dates=H","DateFormat=P","Fill=—","Direction=H","UseDPDF=Y")</f>
        <v>#NAME?</v>
      </c>
      <c r="CL549" s="2" t="e">
        <f ca="1">_xll.BDH($C$528,"TOT_DEBT_TO_TOT_CAP","FQ1 2018","FQ1 2018","Currency=INR","Period=FQ","BEST_FPERIOD_OVERRIDE=FQ","FILING_STATUS=OR","EQY_CONSOLIDATED=Y","Sort=A","Dates=H","DateFormat=P","Fill=—","Direction=H","UseDPDF=Y")</f>
        <v>#NAME?</v>
      </c>
      <c r="CM549" s="2" t="e">
        <f ca="1">_xll.BDH($C$528,"TOT_DEBT_TO_TOT_ASSET","FQ1 2018","FQ1 2018","Currency=INR","Period=FQ","BEST_FPERIOD_OVERRIDE=FQ","FILING_STATUS=OR","EQY_CONSOLIDATED=Y","Sort=A","Dates=H","DateFormat=P","Fill=—","Direction=H","UseDPDF=Y")</f>
        <v>#NAME?</v>
      </c>
      <c r="CN549" s="2" t="e">
        <f ca="1">_xll.BDH($C$528,"NET_DEBT_TO_SHRHLDR_EQTY","FQ1 2018","FQ1 2018","Currency=INR","Period=FQ","BEST_FPERIOD_OVERRIDE=FQ","FILING_STATUS=OR","EQY_CONSOLIDATED=Y","Sort=A","Dates=H","DateFormat=P","Fill=—","Direction=H","UseDPDF=Y")</f>
        <v>#NAME?</v>
      </c>
      <c r="CO549" s="2" t="e">
        <f ca="1">_xll.BDH($C$528,"NET_DEBT_%_CAPITAL","FQ1 2018","FQ1 2018","Currency=INR","Period=FQ","BEST_FPERIOD_OVERRIDE=FQ","FILING_STATUS=OR","EQY_CONSOLIDATED=Y","Sort=A","Dates=H","DateFormat=P","Fill=—","Direction=H","UseDPDF=Y")</f>
        <v>#NAME?</v>
      </c>
      <c r="CP549" s="3" t="e">
        <f ca="1">_xll.BDH($C$528,"EBITDA","FQ1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549" s="3" t="e">
        <f ca="1">_xll.BDH($C$528,"EBITDA_AFTER_CAPEX","FQ1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549" s="3" t="e">
        <f ca="1">_xll.BDH($C$528,"IS_OPER_INC","FQ1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549" s="2" t="e">
        <f ca="1">_xll.BDH($C$528,"CASH_RATIO","FQ1 2018","FQ1 2018","Currency=INR","Period=FQ","BEST_FPERIOD_OVERRIDE=FQ","FILING_STATUS=OR","EQY_CONSOLIDATED=Y","Sort=A","Dates=H","DateFormat=P","Fill=—","Direction=H","UseDPDF=Y")</f>
        <v>#NAME?</v>
      </c>
      <c r="CT549" s="2" t="e">
        <f ca="1">_xll.BDH($C$528,"CUR_RATIO","FQ1 2018","FQ1 2018","Currency=INR","Period=FQ","BEST_FPERIOD_OVERRIDE=FQ","FILING_STATUS=OR","EQY_CONSOLIDATED=Y","Sort=A","Dates=H","DateFormat=P","Fill=—","Direction=H","UseDPDF=Y")</f>
        <v>#NAME?</v>
      </c>
      <c r="CU549" s="2" t="e">
        <f ca="1">_xll.BDH($C$528,"QUICK_RATIO","FQ1 2018","FQ1 2018","Currency=INR","Period=FQ","BEST_FPERIOD_OVERRIDE=FQ","FILING_STATUS=OR","EQY_CONSOLIDATED=Y","Sort=A","Dates=H","DateFormat=P","Fill=—","Direction=H","UseDPDF=Y")</f>
        <v>#NAME?</v>
      </c>
      <c r="CV549" s="2" t="e">
        <f ca="1">_xll.BDH($C$528,"ALTMAN_Z_SCORE","FQ1 2018","FQ1 2018","Currency=INR","Period=FQ","BEST_FPERIOD_OVERRIDE=FQ","FILING_STATUS=OR","EQY_CONSOLIDATED=Y","Sort=A","Dates=H","DateFormat=P","Fill=—","Direction=H","UseDPDF=Y")</f>
        <v>#NAME?</v>
      </c>
      <c r="CW549" s="4" t="e">
        <f ca="1">_xll.BDH($C$528,"ACCT_RCV_TURN","FQ1 2018","FQ1 2018","Currency=INR","Period=FQ","BEST_FPERIOD_OVERRIDE=FQ","FILING_STATUS=OR","EQY_CONSOLIDATED=Y","FA_ADJUSTED=GAAP","Sort=A","Dates=H","DateFormat=P","Fill=—","Direction=H","UseDPDF=Y")</f>
        <v>#NAME?</v>
      </c>
      <c r="CX549" s="2" t="e">
        <f ca="1">_xll.BDH($C$528,"ACCT_RCV_DAYS","FQ1 2018","FQ1 2018","Currency=INR","Period=FQ","BEST_FPERIOD_OVERRIDE=FQ","FILING_STATUS=OR","EQY_CONSOLIDATED=Y","FA_ADJUSTED=GAAP","Sort=A","Dates=H","DateFormat=P","Fill=—","Direction=H","UseDPDF=Y")</f>
        <v>#NAME?</v>
      </c>
      <c r="CY549" s="4" t="e">
        <f ca="1">_xll.BDH($C$528,"INVENT_TURN","FQ1 2018","FQ1 2018","Currency=INR","Period=FQ","BEST_FPERIOD_OVERRIDE=FQ","FILING_STATUS=OR","EQY_CONSOLIDATED=Y","FA_ADJUSTED=GAAP","Sort=A","Dates=H","DateFormat=P","Fill=—","Direction=H","UseDPDF=Y")</f>
        <v>#NAME?</v>
      </c>
      <c r="CZ549" s="2" t="e">
        <f ca="1">_xll.BDH($C$528,"INVENT_DAYS","FQ1 2018","FQ1 2018","Currency=INR","Period=FQ","BEST_FPERIOD_OVERRIDE=FQ","FILING_STATUS=OR","EQY_CONSOLIDATED=Y","FA_ADJUSTED=GAAP","Sort=A","Dates=H","DateFormat=P","Fill=—","Direction=H","UseDPDF=Y")</f>
        <v>#NAME?</v>
      </c>
      <c r="DA549" s="4" t="e">
        <f ca="1">_xll.BDH($C$528,"ACCOUNTS_PAYABLE_TURNOVER","FQ1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549" s="2" t="e">
        <f ca="1">_xll.BDH($C$528,"ACCOUNTS_PAYABLE_TURNOVER_DAYS","FQ1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549" s="4" t="e">
        <f ca="1">_xll.BDH($C$528,"CASH_CONVERSION_CYCLE","FQ1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549" s="4" t="e">
        <f ca="1">_xll.BDH($C$528,"INV_TO_CASH_DAYS","FQ1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549" s="5" t="e">
        <f ca="1">_xll.BDH($C$528,"BS_INVENTORIES","FQ1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549" s="3" t="e">
        <f ca="1">_xll.BDH($C$528,"INVTRY_RAW_MATERIALS","FQ1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549" s="3" t="e">
        <f ca="1">_xll.BDH($C$528,"INVTRY_IN_PROGRESS","FQ1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549" s="3" t="e">
        <f ca="1">_xll.BDH($C$528,"INVTRY_FINISHED_GOODS","FQ1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549" s="3" t="e">
        <f ca="1">_xll.BDH($C$528,"BS_OTHER_INV","FQ1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550" spans="1:113" x14ac:dyDescent="0.3">
      <c r="A550" s="6"/>
      <c r="B550" s="6"/>
      <c r="C550" s="6"/>
      <c r="D550" s="6"/>
      <c r="E550" t="s">
        <v>79</v>
      </c>
      <c r="F550" t="e">
        <f ca="1">_xll.BDH($C$528,"RETURN_COM_EQY","FQ2 2018","FQ2 2018","Currency=INR","Period=FQ","BEST_FPERIOD_OVERRIDE=FQ","FILING_STATUS=OR","EQY_CONSOLIDATED=Y","FA_ADJUSTED=GAAP","Sort=A","Dates=H","DateFormat=P","Fill=—","Direction=H","UseDPDF=Y")</f>
        <v>#NAME?</v>
      </c>
      <c r="G550" t="e">
        <f ca="1">_xll.BDH($C$528,"RETURN_ON_ASSET","FQ2 2018","FQ2 2018","Currency=INR","Period=FQ","BEST_FPERIOD_OVERRIDE=FQ","FILING_STATUS=OR","EQY_CONSOLIDATED=Y","FA_ADJUSTED=GAAP","Sort=A","Dates=H","DateFormat=P","Fill=—","Direction=H","UseDPDF=Y")</f>
        <v>#NAME?</v>
      </c>
      <c r="H550" t="e">
        <f ca="1">_xll.BDH($C$528,"RETURN_ON_CAP","FQ2 2018","FQ2 2018","Currency=INR","Period=FQ","BEST_FPERIOD_OVERRIDE=FQ","FILING_STATUS=OR","EQY_CONSOLIDATED=Y","FA_ADJUSTED=GAAP","Sort=A","Dates=H","DateFormat=P","Fill=—","Direction=H","UseDPDF=Y")</f>
        <v>#NAME?</v>
      </c>
      <c r="I550" t="e">
        <f ca="1">_xll.BDH($C$528,"RETURN_ON_INV_CAPITAL","FQ2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550" t="e">
        <f ca="1">_xll.BDH($C$528,"EBITDA_TO_REVENUE","FQ2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550" t="e">
        <f ca="1">_xll.BDH($C$528,"OPER_MARGIN","FQ2 2018","FQ2 2018","Currency=INR","Period=FQ","BEST_FPERIOD_OVERRIDE=FQ","FILING_STATUS=OR","EQY_CONSOLIDATED=Y","FA_ADJUSTED=GAAP","Sort=A","Dates=H","DateFormat=P","Fill=—","Direction=H","UseDPDF=Y")</f>
        <v>#NAME?</v>
      </c>
      <c r="L550" t="e">
        <f ca="1">_xll.BDH($C$528,"INCREMENTAL_OPERATING_MARGIN","FQ2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550" t="e">
        <f ca="1">_xll.BDH($C$528,"PRETAX_INC_TO_NET_SALES","FQ2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550" t="e">
        <f ca="1">_xll.BDH($C$528,"INC_BEF_XO_ITEMS_TO_NET_SALES","FQ2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550" t="e">
        <f ca="1">_xll.BDH($C$528,"PROF_MARGIN","FQ2 2018","FQ2 2018","Currency=INR","Period=FQ","BEST_FPERIOD_OVERRIDE=FQ","FILING_STATUS=OR","EQY_CONSOLIDATED=Y","FA_ADJUSTED=GAAP","Sort=A","Dates=H","DateFormat=P","Fill=—","Direction=H","UseDPDF=Y")</f>
        <v>#NAME?</v>
      </c>
      <c r="P550" t="e">
        <f ca="1">_xll.BDH($C$528,"NET_INCOME_TO_COMMON_MARGIN","FQ2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550" t="e">
        <f ca="1">_xll.BDH($C$528,"EFF_TAX_RATE","FQ2 2018","FQ2 2018","Currency=INR","Period=FQ","BEST_FPERIOD_OVERRIDE=FQ","FILING_STATUS=OR","EQY_CONSOLIDATED=Y","FA_ADJUSTED=GAAP","Sort=A","Dates=H","DateFormat=P","Fill=—","Direction=H","UseDPDF=Y")</f>
        <v>#NAME?</v>
      </c>
      <c r="R550" t="e">
        <f ca="1">_xll.BDH($C$528,"DVD_PAYOUT_RATIO","FQ2 2018","FQ2 2018","Currency=INR","Period=FQ","BEST_FPERIOD_OVERRIDE=FQ","FILING_STATUS=OR","EQY_CONSOLIDATED=Y","FA_ADJUSTED=GAAP","Sort=A","Dates=H","DateFormat=P","Fill=—","Direction=H","UseDPDF=Y")</f>
        <v>#NAME?</v>
      </c>
      <c r="S550" t="e">
        <f ca="1">_xll.BDH($C$528,"SUSTAIN_GROWTH_RT","FQ2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550" s="2" t="e">
        <f ca="1">_xll.BDH($C$528,"SALES_GROWTH","FQ2 2018","FQ2 2018","Currency=INR","Period=FQ","BEST_FPERIOD_OVERRIDE=FQ","FILING_STATUS=OR","EQY_CONSOLIDATED=Y","FA_ADJUSTED=GAAP","Sort=A","Dates=H","DateFormat=P","Fill=—","Direction=H","UseDPDF=Y")</f>
        <v>#NAME?</v>
      </c>
      <c r="U550" s="2" t="e">
        <f ca="1">_xll.BDH($C$528,"EBITDA_GROWTH","FQ2 2018","FQ2 2018","Currency=INR","Period=FQ","BEST_FPERIOD_OVERRIDE=FQ","FILING_STATUS=OR","EQY_CONSOLIDATED=Y","FA_ADJUSTED=GAAP","Sort=A","Dates=H","DateFormat=P","Fill=—","Direction=H","UseDPDF=Y")</f>
        <v>#NAME?</v>
      </c>
      <c r="V550" s="2" t="e">
        <f ca="1">_xll.BDH($C$528,"OPER_INC_GROWTH","FQ2 2018","FQ2 2018","Currency=INR","Period=FQ","BEST_FPERIOD_OVERRIDE=FQ","FILING_STATUS=OR","EQY_CONSOLIDATED=Y","FA_ADJUSTED=GAAP","Sort=A","Dates=H","DateFormat=P","Fill=—","Direction=H","UseDPDF=Y")</f>
        <v>#NAME?</v>
      </c>
      <c r="W550" s="2" t="e">
        <f ca="1">_xll.BDH($C$528,"EARN_FOR_COM_GROWTH","FQ2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550" s="2" t="e">
        <f ca="1">_xll.BDH($C$528,"DILUTED_EPS_AFT_XO_ITEMS_GROWTH","FQ2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550" s="2" t="e">
        <f ca="1">_xll.BDH($C$528,"DIVIDEND_PER_SHARE_1_YEAR_GROWTH","FQ2 2018","FQ2 2018","Currency=INR","Period=FQ","BEST_FPERIOD_OVERRIDE=FQ","FILING_STATUS=OR","EQY_CONSOLIDATED=Y","Sort=A","Dates=H","DateFormat=P","Fill=—","Direction=H","UseDPDF=Y")</f>
        <v>#NAME?</v>
      </c>
      <c r="Z550" s="2" t="e">
        <f ca="1">_xll.BDH($C$528,"ACCOUNTS_RECEIVABLE_GROWTH","FQ2 2018","FQ2 2018","Currency=INR","Period=FQ","BEST_FPERIOD_OVERRIDE=FQ","FILING_STATUS=OR","EQY_CONSOLIDATED=Y","Sort=A","Dates=H","DateFormat=P","Fill=—","Direction=H","UseDPDF=Y")</f>
        <v>#NAME?</v>
      </c>
      <c r="AA550" s="2" t="e">
        <f ca="1">_xll.BDH($C$528,"INVENTORY_GROWTH","FQ2 2018","FQ2 2018","Currency=INR","Period=FQ","BEST_FPERIOD_OVERRIDE=FQ","FILING_STATUS=OR","EQY_CONSOLIDATED=Y","Sort=A","Dates=H","DateFormat=P","Fill=—","Direction=H","UseDPDF=Y")</f>
        <v>#NAME?</v>
      </c>
      <c r="AB550" s="2" t="e">
        <f ca="1">_xll.BDH($C$528,"NET_FIXED_ASSETS_1_YEAR_GROWTH","FQ2 2018","FQ2 2018","Currency=INR","Period=FQ","BEST_FPERIOD_OVERRIDE=FQ","FILING_STATUS=OR","EQY_CONSOLIDATED=Y","Sort=A","Dates=H","DateFormat=P","Fill=—","Direction=H","UseDPDF=Y")</f>
        <v>#NAME?</v>
      </c>
      <c r="AC550" s="2" t="e">
        <f ca="1">_xll.BDH($C$528,"ASSET_GROWTH","FQ2 2018","FQ2 2018","Currency=INR","Period=FQ","BEST_FPERIOD_OVERRIDE=FQ","FILING_STATUS=OR","EQY_CONSOLIDATED=Y","Sort=A","Dates=H","DateFormat=P","Fill=—","Direction=H","UseDPDF=Y")</f>
        <v>#NAME?</v>
      </c>
      <c r="AD550" s="2" t="e">
        <f ca="1">_xll.BDH($C$528,"MODIFIED_WORK_CAP_GROWTH","FQ2 2018","FQ2 2018","Currency=INR","Period=FQ","BEST_FPERIOD_OVERRIDE=FQ","FILING_STATUS=OR","EQY_CONSOLIDATED=Y","Sort=A","Dates=H","DateFormat=P","Fill=—","Direction=H","UseDPDF=Y")</f>
        <v>#NAME?</v>
      </c>
      <c r="AE550" s="2" t="e">
        <f ca="1">_xll.BDH($C$528,"WORK_CAP_GROWTH","FQ2 2018","FQ2 2018","Currency=INR","Period=FQ","BEST_FPERIOD_OVERRIDE=FQ","FILING_STATUS=OR","EQY_CONSOLIDATED=Y","Sort=A","Dates=H","DateFormat=P","Fill=—","Direction=H","UseDPDF=Y")</f>
        <v>#NAME?</v>
      </c>
      <c r="AF550" s="2" t="e">
        <f ca="1">_xll.BDH($C$528,"ACCOUNTS_PAYABLE_GROWTH_1YR","FQ2 2018","FQ2 2018","Currency=INR","Period=FQ","BEST_FPERIOD_OVERRIDE=FQ","FILING_STATUS=OR","EQY_CONSOLIDATED=Y","Sort=A","Dates=H","DateFormat=P","Fill=—","Direction=H","UseDPDF=Y")</f>
        <v>#NAME?</v>
      </c>
      <c r="AG550" s="2" t="e">
        <f ca="1">_xll.BDH($C$528,"SHORT_TERM_DEBT_1_YEAR_GROWTH","FQ2 2018","FQ2 2018","Currency=INR","Period=FQ","BEST_FPERIOD_OVERRIDE=FQ","FILING_STATUS=OR","EQY_CONSOLIDATED=Y","Sort=A","Dates=H","DateFormat=P","Fill=—","Direction=H","UseDPDF=Y")</f>
        <v>#NAME?</v>
      </c>
      <c r="AH550" s="2" t="e">
        <f ca="1">_xll.BDH($C$528,"TOTAL_DEBT_1_YEAR_GROWTH","FQ2 2018","FQ2 2018","Currency=INR","Period=FQ","BEST_FPERIOD_OVERRIDE=FQ","FILING_STATUS=OR","EQY_CONSOLIDATED=Y","Sort=A","Dates=H","DateFormat=P","Fill=—","Direction=H","UseDPDF=Y")</f>
        <v>#NAME?</v>
      </c>
      <c r="AI550" s="2" t="e">
        <f ca="1">_xll.BDH($C$528,"TOTAL_EQUITY_1_YEAR_GROWTH","FQ2 2018","FQ2 2018","Currency=INR","Period=FQ","BEST_FPERIOD_OVERRIDE=FQ","FILING_STATUS=OR","EQY_CONSOLIDATED=Y","Sort=A","Dates=H","DateFormat=P","Fill=—","Direction=H","UseDPDF=Y")</f>
        <v>#NAME?</v>
      </c>
      <c r="AJ550" s="2" t="e">
        <f ca="1">_xll.BDH($C$528,"GROWTH_IN_CAP","FQ2 2018","FQ2 2018","Currency=INR","Period=FQ","BEST_FPERIOD_OVERRIDE=FQ","FILING_STATUS=OR","EQY_CONSOLIDATED=Y","Sort=A","Dates=H","DateFormat=P","Fill=—","Direction=H","UseDPDF=Y")</f>
        <v>#NAME?</v>
      </c>
      <c r="AK550" s="2" t="e">
        <f ca="1">_xll.BDH($C$528,"BVPS_GROWTH","FQ2 2018","FQ2 2018","Currency=INR","Period=FQ","BEST_FPERIOD_OVERRIDE=FQ","FILING_STATUS=OR","EQY_CONSOLIDATED=Y","Sort=A","Dates=H","DateFormat=P","Fill=—","Direction=H","UseDPDF=Y")</f>
        <v>#NAME?</v>
      </c>
      <c r="AL550" s="2" t="e">
        <f ca="1">_xll.BDH($C$528,"CASH_FLOW_GROWTH","FQ2 2018","FQ2 2018","Currency=INR","Period=FQ","BEST_FPERIOD_OVERRIDE=FQ","FILING_STATUS=OR","EQY_CONSOLIDATED=Y","Sort=A","Dates=H","DateFormat=P","Fill=—","Direction=H","UseDPDF=Y")</f>
        <v>#NAME?</v>
      </c>
      <c r="AM550" s="2" t="e">
        <f ca="1">_xll.BDH($C$528,"GEO_GROW_NET_SALES","FQ2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550" s="2" t="e">
        <f ca="1">_xll.BDH($C$528,"GEO_GROW_EBITDA","FQ2 2018","FQ2 2018","Currency=INR","Period=FQ","BEST_FPERIOD_OVERRIDE=FQ","FILING_STATUS=OR","EQY_CONSOLIDATED=Y","FA_ADJUSTED=GAAP","Sort=A","Dates=H","DateFormat=P","Fill=—","Direction=H","UseDPDF=Y")</f>
        <v>#NAME?</v>
      </c>
      <c r="AO550" s="2" t="e">
        <f ca="1">_xll.BDH($C$528,"GEO_GROW_OPER_INC","FQ2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550" s="2" t="e">
        <f ca="1">_xll.BDH($C$528,"NET_INCOME_TO_COMMON_5_YR_GROWTH","FQ2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550" s="2" t="e">
        <f ca="1">_xll.BDH($C$528,"5Y_GEO_GROWTH_DILUTED_EPS","FQ2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550" s="2" t="e">
        <f ca="1">_xll.BDH($C$528,"GEO_GROW_DVD_PER_SH","FQ2 2018","FQ2 2018","Currency=INR","Period=FQ","BEST_FPERIOD_OVERRIDE=FQ","FILING_STATUS=OR","EQY_CONSOLIDATED=Y","Sort=A","Dates=H","DateFormat=P","Fill=—","Direction=H","UseDPDF=Y")</f>
        <v>#NAME?</v>
      </c>
      <c r="AS550" s="2" t="e">
        <f ca="1">_xll.BDH($C$528,"ACCOUNTS_RECEIVABLE_5_YR_GROWTH","FQ2 2018","FQ2 2018","Currency=INR","Period=FQ","BEST_FPERIOD_OVERRIDE=FQ","FILING_STATUS=OR","EQY_CONSOLIDATED=Y","Sort=A","Dates=H","DateFormat=P","Fill=—","Direction=H","UseDPDF=Y")</f>
        <v>#NAME?</v>
      </c>
      <c r="AT550" s="2" t="e">
        <f ca="1">_xll.BDH($C$528,"INVENTORY_5_YEAR_GROWTH","FQ2 2018","FQ2 2018","Currency=INR","Period=FQ","BEST_FPERIOD_OVERRIDE=FQ","FILING_STATUS=OR","EQY_CONSOLIDATED=Y","Sort=A","Dates=H","DateFormat=P","Fill=—","Direction=H","UseDPDF=Y")</f>
        <v>#NAME?</v>
      </c>
      <c r="AU550" s="2" t="e">
        <f ca="1">_xll.BDH($C$528,"NET_FIXED_ASSETS_5_YEAR_GROWTH","FQ2 2018","FQ2 2018","Currency=INR","Period=FQ","BEST_FPERIOD_OVERRIDE=FQ","FILING_STATUS=OR","EQY_CONSOLIDATED=Y","Sort=A","Dates=H","DateFormat=P","Fill=—","Direction=H","UseDPDF=Y")</f>
        <v>#NAME?</v>
      </c>
      <c r="AV550" s="2" t="e">
        <f ca="1">_xll.BDH($C$528,"GEO_GROW_TOT_ASSET","FQ2 2018","FQ2 2018","Currency=INR","Period=FQ","BEST_FPERIOD_OVERRIDE=FQ","FILING_STATUS=OR","EQY_CONSOLIDATED=Y","Sort=A","Dates=H","DateFormat=P","Fill=—","Direction=H","UseDPDF=Y")</f>
        <v>#NAME?</v>
      </c>
      <c r="AW550" s="2" t="e">
        <f ca="1">_xll.BDH($C$528,"MODIFIED_WORKING_CPTL_5YR_GRWTH","FQ2 2018","FQ2 2018","Currency=INR","Period=FQ","BEST_FPERIOD_OVERRIDE=FQ","FILING_STATUS=OR","EQY_CONSOLIDATED=Y","Sort=A","Dates=H","DateFormat=P","Fill=—","Direction=H","UseDPDF=Y")</f>
        <v>#NAME?</v>
      </c>
      <c r="AX550" s="2" t="e">
        <f ca="1">_xll.BDH($C$528,"WORKING_CAPITAL_5_YEAR_GROWTH","FQ2 2018","FQ2 2018","Currency=INR","Period=FQ","BEST_FPERIOD_OVERRIDE=FQ","FILING_STATUS=OR","EQY_CONSOLIDATED=Y","Sort=A","Dates=H","DateFormat=P","Fill=—","Direction=H","UseDPDF=Y")</f>
        <v>#NAME?</v>
      </c>
      <c r="AY550" s="2" t="e">
        <f ca="1">_xll.BDH($C$528,"ACCOUNTS_PAYABLE_5_YEAR_GROWTH","FQ2 2018","FQ2 2018","Currency=INR","Period=FQ","BEST_FPERIOD_OVERRIDE=FQ","FILING_STATUS=OR","EQY_CONSOLIDATED=Y","Sort=A","Dates=H","DateFormat=P","Fill=—","Direction=H","UseDPDF=Y")</f>
        <v>#NAME?</v>
      </c>
      <c r="AZ550" s="2" t="e">
        <f ca="1">_xll.BDH($C$528,"SHORT_TERM_DEBT_5_YEAR_GROWTH","FQ2 2018","FQ2 2018","Currency=INR","Period=FQ","BEST_FPERIOD_OVERRIDE=FQ","FILING_STATUS=OR","EQY_CONSOLIDATED=Y","Sort=A","Dates=H","DateFormat=P","Fill=—","Direction=H","UseDPDF=Y")</f>
        <v>#NAME?</v>
      </c>
      <c r="BA550" s="2" t="e">
        <f ca="1">_xll.BDH($C$528,"TOTAL_DEBT_5_YEAR_GROWTH","FQ2 2018","FQ2 2018","Currency=INR","Period=FQ","BEST_FPERIOD_OVERRIDE=FQ","FILING_STATUS=OR","EQY_CONSOLIDATED=Y","Sort=A","Dates=H","DateFormat=P","Fill=—","Direction=H","UseDPDF=Y")</f>
        <v>#NAME?</v>
      </c>
      <c r="BB550" s="2" t="e">
        <f ca="1">_xll.BDH($C$528,"GEO_GROW_TOT_SHRHLDR_EQY","FQ2 2018","FQ2 2018","Currency=INR","Period=FQ","BEST_FPERIOD_OVERRIDE=FQ","FILING_STATUS=OR","EQY_CONSOLIDATED=Y","Sort=A","Dates=H","DateFormat=P","Fill=—","Direction=H","UseDPDF=Y")</f>
        <v>#NAME?</v>
      </c>
      <c r="BC550" s="2" t="e">
        <f ca="1">_xll.BDH($C$528,"TOTAL_CAPITAL_5_YEAR_GROWTH","FQ2 2018","FQ2 2018","Currency=INR","Period=FQ","BEST_FPERIOD_OVERRIDE=FQ","FILING_STATUS=OR","EQY_CONSOLIDATED=Y","Sort=A","Dates=H","DateFormat=P","Fill=—","Direction=H","UseDPDF=Y")</f>
        <v>#NAME?</v>
      </c>
      <c r="BD550" s="2" t="e">
        <f ca="1">_xll.BDH($C$528,"GEO_GROW_BOOK_VAL","FQ2 2018","FQ2 2018","Currency=INR","Period=FQ","BEST_FPERIOD_OVERRIDE=FQ","FILING_STATUS=OR","EQY_CONSOLIDATED=Y","Sort=A","Dates=H","DateFormat=P","Fill=—","Direction=H","UseDPDF=Y")</f>
        <v>#NAME?</v>
      </c>
      <c r="BE550" s="2" t="e">
        <f ca="1">_xll.BDH($C$528,"GEO_GROW_CASH_OPER_ACT","FQ2 2018","FQ2 2018","Currency=INR","Period=FQ","BEST_FPERIOD_OVERRIDE=FQ","FILING_STATUS=OR","EQY_CONSOLIDATED=Y","Sort=A","Dates=H","DateFormat=P","Fill=—","Direction=H","UseDPDF=Y")</f>
        <v>#NAME?</v>
      </c>
      <c r="BF550" s="2" t="e">
        <f ca="1">_xll.BDH($C$528,"REVENUE_SEQUENTIAL_GROWTH","FQ2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550" s="2" t="e">
        <f ca="1">_xll.BDH($C$528,"EBITDA_SEQUENTIAL_GROWTH","FQ2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550" s="2" t="e">
        <f ca="1">_xll.BDH($C$528,"OPERATING_INCOME_SEQ_GROWTH","FQ2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550" s="2" t="e">
        <f ca="1">_xll.BDH($C$528,"NET_INCOME_TO_COMMON_SEQ_GROWTH","FQ2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550" s="2" t="e">
        <f ca="1">_xll.BDH($C$528,"EPS_DILUTED_SEQUENTIAL_GROWTH","FQ2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550" s="2" t="e">
        <f ca="1">_xll.BDH($C$528,"DPS_SEQUENTIAL_GROWTH","FQ2 2018","FQ2 2018","Currency=INR","Period=FQ","BEST_FPERIOD_OVERRIDE=FQ","FILING_STATUS=OR","EQY_CONSOLIDATED=Y","Sort=A","Dates=H","DateFormat=P","Fill=—","Direction=H","UseDPDF=Y")</f>
        <v>#NAME?</v>
      </c>
      <c r="BL550" s="2" t="e">
        <f ca="1">_xll.BDH($C$528,"ACCOUNTS_RECEIVABLE_SEQ_GROWTH","FQ2 2018","FQ2 2018","Currency=INR","Period=FQ","BEST_FPERIOD_OVERRIDE=FQ","FILING_STATUS=OR","EQY_CONSOLIDATED=Y","Sort=A","Dates=H","DateFormat=P","Fill=—","Direction=H","UseDPDF=Y")</f>
        <v>#NAME?</v>
      </c>
      <c r="BM550" s="2" t="e">
        <f ca="1">_xll.BDH($C$528,"INVENTORY_SEQUENTIAL_GROWTH","FQ2 2018","FQ2 2018","Currency=INR","Period=FQ","BEST_FPERIOD_OVERRIDE=FQ","FILING_STATUS=OR","EQY_CONSOLIDATED=Y","Sort=A","Dates=H","DateFormat=P","Fill=—","Direction=H","UseDPDF=Y")</f>
        <v>#NAME?</v>
      </c>
      <c r="BN550" s="2" t="e">
        <f ca="1">_xll.BDH($C$528,"FIXED_ASSETS_SEQUENTIAL_GROWTH","FQ2 2018","FQ2 2018","Currency=INR","Period=FQ","BEST_FPERIOD_OVERRIDE=FQ","FILING_STATUS=OR","EQY_CONSOLIDATED=Y","Sort=A","Dates=H","DateFormat=P","Fill=—","Direction=H","UseDPDF=Y")</f>
        <v>#NAME?</v>
      </c>
      <c r="BO550" s="2" t="e">
        <f ca="1">_xll.BDH($C$528,"TOTAL_ASSETS_SEQUENTIAL_GROWTH","FQ2 2018","FQ2 2018","Currency=INR","Period=FQ","BEST_FPERIOD_OVERRIDE=FQ","FILING_STATUS=OR","EQY_CONSOLIDATED=Y","Sort=A","Dates=H","DateFormat=P","Fill=—","Direction=H","UseDPDF=Y")</f>
        <v>#NAME?</v>
      </c>
      <c r="BP550" s="2" t="e">
        <f ca="1">_xll.BDH($C$528,"MODIFIED_WORKING_CPTL_SEQ_GRWTH","FQ2 2018","FQ2 2018","Currency=INR","Period=FQ","BEST_FPERIOD_OVERRIDE=FQ","FILING_STATUS=OR","EQY_CONSOLIDATED=Y","Sort=A","Dates=H","DateFormat=P","Fill=—","Direction=H","UseDPDF=Y")</f>
        <v>#NAME?</v>
      </c>
      <c r="BQ550" s="2" t="e">
        <f ca="1">_xll.BDH($C$528,"WORKING_CAPITAL_SEQ_GROWTH","FQ2 2018","FQ2 2018","Currency=INR","Period=FQ","BEST_FPERIOD_OVERRIDE=FQ","FILING_STATUS=OR","EQY_CONSOLIDATED=Y","Sort=A","Dates=H","DateFormat=P","Fill=—","Direction=H","UseDPDF=Y")</f>
        <v>#NAME?</v>
      </c>
      <c r="BR550" s="2" t="e">
        <f ca="1">_xll.BDH($C$528,"ACCOUNTS_PAYABLE_SEQ_GROWTH","FQ2 2018","FQ2 2018","Currency=INR","Period=FQ","BEST_FPERIOD_OVERRIDE=FQ","FILING_STATUS=OR","EQY_CONSOLIDATED=Y","Sort=A","Dates=H","DateFormat=P","Fill=—","Direction=H","UseDPDF=Y")</f>
        <v>#NAME?</v>
      </c>
      <c r="BS550" s="2" t="e">
        <f ca="1">_xll.BDH($C$528,"ST_DEBT_SEQUENTIAL_GROWTH","FQ2 2018","FQ2 2018","Currency=INR","Period=FQ","BEST_FPERIOD_OVERRIDE=FQ","FILING_STATUS=OR","EQY_CONSOLIDATED=Y","Sort=A","Dates=H","DateFormat=P","Fill=—","Direction=H","UseDPDF=Y")</f>
        <v>#NAME?</v>
      </c>
      <c r="BT550" s="2" t="e">
        <f ca="1">_xll.BDH($C$528,"TOTAL_DEBT_SEQUENTIAL_GROWTH","FQ2 2018","FQ2 2018","Currency=INR","Period=FQ","BEST_FPERIOD_OVERRIDE=FQ","FILING_STATUS=OR","EQY_CONSOLIDATED=Y","Sort=A","Dates=H","DateFormat=P","Fill=—","Direction=H","UseDPDF=Y")</f>
        <v>#NAME?</v>
      </c>
      <c r="BU550" s="2" t="e">
        <f ca="1">_xll.BDH($C$528,"TOTAL_EQUITY_SEQUENTIAL_GROWTH","FQ2 2018","FQ2 2018","Currency=INR","Period=FQ","BEST_FPERIOD_OVERRIDE=FQ","FILING_STATUS=OR","EQY_CONSOLIDATED=Y","Sort=A","Dates=H","DateFormat=P","Fill=—","Direction=H","UseDPDF=Y")</f>
        <v>#NAME?</v>
      </c>
      <c r="BV550" s="2" t="e">
        <f ca="1">_xll.BDH($C$528,"TOTAL_CAPITAL_SEQUENTIAL_GROWTH","FQ2 2018","FQ2 2018","Currency=INR","Period=FQ","BEST_FPERIOD_OVERRIDE=FQ","FILING_STATUS=OR","EQY_CONSOLIDATED=Y","Sort=A","Dates=H","DateFormat=P","Fill=—","Direction=H","UseDPDF=Y")</f>
        <v>#NAME?</v>
      </c>
      <c r="BW550" s="2" t="e">
        <f ca="1">_xll.BDH($C$528,"BPS_SEQUENTIAL_GROWTH","FQ2 2018","FQ2 2018","Currency=INR","Period=FQ","BEST_FPERIOD_OVERRIDE=FQ","FILING_STATUS=OR","EQY_CONSOLIDATED=Y","Sort=A","Dates=H","DateFormat=P","Fill=—","Direction=H","UseDPDF=Y")</f>
        <v>#NAME?</v>
      </c>
      <c r="BX550" s="2" t="e">
        <f ca="1">_xll.BDH($C$528,"CFO_SEQUENTIAL_GROWTH","FQ2 2018","FQ2 2018","Currency=INR","Period=FQ","BEST_FPERIOD_OVERRIDE=FQ","FILING_STATUS=OR","EQY_CONSOLIDATED=Y","Sort=A","Dates=H","DateFormat=P","Fill=—","Direction=H","UseDPDF=Y")</f>
        <v>#NAME?</v>
      </c>
      <c r="BY550" s="3" t="e">
        <f ca="1">_xll.BDH($C$528,"SHORT_AND_LONG_TERM_DEBT","FQ2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550" s="3" t="e">
        <f ca="1">_xll.BDH($C$528,"BS_ST_BORROW","FQ2 2018","FQ2 2018","Currency=INR","Period=FQ","BEST_FPERIOD_OVERRIDE=FQ","FILING_STATUS=OR","EQY_CONSOLIDATED=Y","SCALING_FORMAT=MLN","Sort=A","Dates=H","DateFormat=P","Fill=—","Direction=H","UseDPDF=Y")</f>
        <v>#NAME?</v>
      </c>
      <c r="CA550" s="3" t="e">
        <f ca="1">_xll.BDH($C$528,"BS_LT_BORROW","FQ2 2018","FQ2 2018","Currency=INR","Period=FQ","BEST_FPERIOD_OVERRIDE=FQ","FILING_STATUS=OR","EQY_CONSOLIDATED=Y","SCALING_FORMAT=MLN","Sort=A","Dates=H","DateFormat=P","Fill=—","Direction=H","UseDPDF=Y")</f>
        <v>#NAME?</v>
      </c>
      <c r="CB550" s="2" t="e">
        <f ca="1">_xll.BDH($C$528,"TOT_DEBT_TO_EBITDA","FQ2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550" s="2" t="e">
        <f ca="1">_xll.BDH($C$528,"NET_DEBT_TO_EBITDA","FQ2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550" s="2" t="e">
        <f ca="1">_xll.BDH($C$528,"TOTAL_DEBT_TO_EBIT","FQ2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550" s="2" t="e">
        <f ca="1">_xll.BDH($C$528,"NET_DEBT_TO_EBIT","FQ2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550" s="2" t="e">
        <f ca="1">_xll.BDH($C$528,"EBITDA_TO_INTEREST_EXPN","FQ2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550" s="2" t="e">
        <f ca="1">_xll.BDH($C$528,"COM_EQY_TO_TOT_ASSET","FQ2 2018","FQ2 2018","Currency=INR","Period=FQ","BEST_FPERIOD_OVERRIDE=FQ","FILING_STATUS=OR","EQY_CONSOLIDATED=Y","Sort=A","Dates=H","DateFormat=P","Fill=—","Direction=H","UseDPDF=Y")</f>
        <v>#NAME?</v>
      </c>
      <c r="CH550" s="2" t="e">
        <f ca="1">_xll.BDH($C$528,"LT_DEBT_TO_TOT_EQY","FQ2 2018","FQ2 2018","Currency=INR","Period=FQ","BEST_FPERIOD_OVERRIDE=FQ","FILING_STATUS=OR","EQY_CONSOLIDATED=Y","Sort=A","Dates=H","DateFormat=P","Fill=—","Direction=H","UseDPDF=Y")</f>
        <v>#NAME?</v>
      </c>
      <c r="CI550" s="2" t="e">
        <f ca="1">_xll.BDH($C$528,"LT_DEBT_TO_TOT_CAP","FQ2 2018","FQ2 2018","Currency=INR","Period=FQ","BEST_FPERIOD_OVERRIDE=FQ","FILING_STATUS=OR","EQY_CONSOLIDATED=Y","Sort=A","Dates=H","DateFormat=P","Fill=—","Direction=H","UseDPDF=Y")</f>
        <v>#NAME?</v>
      </c>
      <c r="CJ550" s="2" t="e">
        <f ca="1">_xll.BDH($C$528,"LT_DEBT_TO_TOT_ASSET","FQ2 2018","FQ2 2018","Currency=INR","Period=FQ","BEST_FPERIOD_OVERRIDE=FQ","FILING_STATUS=OR","EQY_CONSOLIDATED=Y","Sort=A","Dates=H","DateFormat=P","Fill=—","Direction=H","UseDPDF=Y")</f>
        <v>#NAME?</v>
      </c>
      <c r="CK550" s="2" t="e">
        <f ca="1">_xll.BDH($C$528,"TOT_DEBT_TO_TOT_EQY","FQ2 2018","FQ2 2018","Currency=INR","Period=FQ","BEST_FPERIOD_OVERRIDE=FQ","FILING_STATUS=OR","EQY_CONSOLIDATED=Y","Sort=A","Dates=H","DateFormat=P","Fill=—","Direction=H","UseDPDF=Y")</f>
        <v>#NAME?</v>
      </c>
      <c r="CL550" s="2" t="e">
        <f ca="1">_xll.BDH($C$528,"TOT_DEBT_TO_TOT_CAP","FQ2 2018","FQ2 2018","Currency=INR","Period=FQ","BEST_FPERIOD_OVERRIDE=FQ","FILING_STATUS=OR","EQY_CONSOLIDATED=Y","Sort=A","Dates=H","DateFormat=P","Fill=—","Direction=H","UseDPDF=Y")</f>
        <v>#NAME?</v>
      </c>
      <c r="CM550" s="2" t="e">
        <f ca="1">_xll.BDH($C$528,"TOT_DEBT_TO_TOT_ASSET","FQ2 2018","FQ2 2018","Currency=INR","Period=FQ","BEST_FPERIOD_OVERRIDE=FQ","FILING_STATUS=OR","EQY_CONSOLIDATED=Y","Sort=A","Dates=H","DateFormat=P","Fill=—","Direction=H","UseDPDF=Y")</f>
        <v>#NAME?</v>
      </c>
      <c r="CN550" s="2" t="e">
        <f ca="1">_xll.BDH($C$528,"NET_DEBT_TO_SHRHLDR_EQTY","FQ2 2018","FQ2 2018","Currency=INR","Period=FQ","BEST_FPERIOD_OVERRIDE=FQ","FILING_STATUS=OR","EQY_CONSOLIDATED=Y","Sort=A","Dates=H","DateFormat=P","Fill=—","Direction=H","UseDPDF=Y")</f>
        <v>#NAME?</v>
      </c>
      <c r="CO550" s="2" t="e">
        <f ca="1">_xll.BDH($C$528,"NET_DEBT_%_CAPITAL","FQ2 2018","FQ2 2018","Currency=INR","Period=FQ","BEST_FPERIOD_OVERRIDE=FQ","FILING_STATUS=OR","EQY_CONSOLIDATED=Y","Sort=A","Dates=H","DateFormat=P","Fill=—","Direction=H","UseDPDF=Y")</f>
        <v>#NAME?</v>
      </c>
      <c r="CP550" s="3" t="e">
        <f ca="1">_xll.BDH($C$528,"EBITDA","FQ2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550" s="3" t="e">
        <f ca="1">_xll.BDH($C$528,"EBITDA_AFTER_CAPEX","FQ2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550" s="3" t="e">
        <f ca="1">_xll.BDH($C$528,"IS_OPER_INC","FQ2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550" s="2" t="e">
        <f ca="1">_xll.BDH($C$528,"CASH_RATIO","FQ2 2018","FQ2 2018","Currency=INR","Period=FQ","BEST_FPERIOD_OVERRIDE=FQ","FILING_STATUS=OR","EQY_CONSOLIDATED=Y","Sort=A","Dates=H","DateFormat=P","Fill=—","Direction=H","UseDPDF=Y")</f>
        <v>#NAME?</v>
      </c>
      <c r="CT550" s="2" t="e">
        <f ca="1">_xll.BDH($C$528,"CUR_RATIO","FQ2 2018","FQ2 2018","Currency=INR","Period=FQ","BEST_FPERIOD_OVERRIDE=FQ","FILING_STATUS=OR","EQY_CONSOLIDATED=Y","Sort=A","Dates=H","DateFormat=P","Fill=—","Direction=H","UseDPDF=Y")</f>
        <v>#NAME?</v>
      </c>
      <c r="CU550" s="2" t="e">
        <f ca="1">_xll.BDH($C$528,"QUICK_RATIO","FQ2 2018","FQ2 2018","Currency=INR","Period=FQ","BEST_FPERIOD_OVERRIDE=FQ","FILING_STATUS=OR","EQY_CONSOLIDATED=Y","Sort=A","Dates=H","DateFormat=P","Fill=—","Direction=H","UseDPDF=Y")</f>
        <v>#NAME?</v>
      </c>
      <c r="CV550" s="2" t="e">
        <f ca="1">_xll.BDH($C$528,"ALTMAN_Z_SCORE","FQ2 2018","FQ2 2018","Currency=INR","Period=FQ","BEST_FPERIOD_OVERRIDE=FQ","FILING_STATUS=OR","EQY_CONSOLIDATED=Y","Sort=A","Dates=H","DateFormat=P","Fill=—","Direction=H","UseDPDF=Y")</f>
        <v>#NAME?</v>
      </c>
      <c r="CW550" s="4" t="e">
        <f ca="1">_xll.BDH($C$528,"ACCT_RCV_TURN","FQ2 2018","FQ2 2018","Currency=INR","Period=FQ","BEST_FPERIOD_OVERRIDE=FQ","FILING_STATUS=OR","EQY_CONSOLIDATED=Y","FA_ADJUSTED=GAAP","Sort=A","Dates=H","DateFormat=P","Fill=—","Direction=H","UseDPDF=Y")</f>
        <v>#NAME?</v>
      </c>
      <c r="CX550" s="2" t="e">
        <f ca="1">_xll.BDH($C$528,"ACCT_RCV_DAYS","FQ2 2018","FQ2 2018","Currency=INR","Period=FQ","BEST_FPERIOD_OVERRIDE=FQ","FILING_STATUS=OR","EQY_CONSOLIDATED=Y","FA_ADJUSTED=GAAP","Sort=A","Dates=H","DateFormat=P","Fill=—","Direction=H","UseDPDF=Y")</f>
        <v>#NAME?</v>
      </c>
      <c r="CY550" s="4" t="e">
        <f ca="1">_xll.BDH($C$528,"INVENT_TURN","FQ2 2018","FQ2 2018","Currency=INR","Period=FQ","BEST_FPERIOD_OVERRIDE=FQ","FILING_STATUS=OR","EQY_CONSOLIDATED=Y","FA_ADJUSTED=GAAP","Sort=A","Dates=H","DateFormat=P","Fill=—","Direction=H","UseDPDF=Y")</f>
        <v>#NAME?</v>
      </c>
      <c r="CZ550" s="2" t="e">
        <f ca="1">_xll.BDH($C$528,"INVENT_DAYS","FQ2 2018","FQ2 2018","Currency=INR","Period=FQ","BEST_FPERIOD_OVERRIDE=FQ","FILING_STATUS=OR","EQY_CONSOLIDATED=Y","FA_ADJUSTED=GAAP","Sort=A","Dates=H","DateFormat=P","Fill=—","Direction=H","UseDPDF=Y")</f>
        <v>#NAME?</v>
      </c>
      <c r="DA550" s="4" t="e">
        <f ca="1">_xll.BDH($C$528,"ACCOUNTS_PAYABLE_TURNOVER","FQ2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550" s="2" t="e">
        <f ca="1">_xll.BDH($C$528,"ACCOUNTS_PAYABLE_TURNOVER_DAYS","FQ2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550" s="4" t="e">
        <f ca="1">_xll.BDH($C$528,"CASH_CONVERSION_CYCLE","FQ2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550" s="4" t="e">
        <f ca="1">_xll.BDH($C$528,"INV_TO_CASH_DAYS","FQ2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550" s="5" t="e">
        <f ca="1">_xll.BDH($C$528,"BS_INVENTORIES","FQ2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550" s="3" t="e">
        <f ca="1">_xll.BDH($C$528,"INVTRY_RAW_MATERIALS","FQ2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550" s="3" t="e">
        <f ca="1">_xll.BDH($C$528,"INVTRY_IN_PROGRESS","FQ2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550" s="3" t="e">
        <f ca="1">_xll.BDH($C$528,"INVTRY_FINISHED_GOODS","FQ2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550" s="3" t="e">
        <f ca="1">_xll.BDH($C$528,"BS_OTHER_INV","FQ2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551" spans="1:113" x14ac:dyDescent="0.3">
      <c r="A551" s="6"/>
      <c r="B551" s="6"/>
      <c r="C551" s="6"/>
      <c r="D551" s="6"/>
      <c r="E551" t="s">
        <v>80</v>
      </c>
      <c r="F551" t="e">
        <f ca="1">_xll.BDH($C$528,"RETURN_COM_EQY","FQ3 2018","FQ3 2018","Currency=INR","Period=FQ","BEST_FPERIOD_OVERRIDE=FQ","FILING_STATUS=OR","EQY_CONSOLIDATED=Y","FA_ADJUSTED=GAAP","Sort=A","Dates=H","DateFormat=P","Fill=—","Direction=H","UseDPDF=Y")</f>
        <v>#NAME?</v>
      </c>
      <c r="G551" t="e">
        <f ca="1">_xll.BDH($C$528,"RETURN_ON_ASSET","FQ3 2018","FQ3 2018","Currency=INR","Period=FQ","BEST_FPERIOD_OVERRIDE=FQ","FILING_STATUS=OR","EQY_CONSOLIDATED=Y","FA_ADJUSTED=GAAP","Sort=A","Dates=H","DateFormat=P","Fill=—","Direction=H","UseDPDF=Y")</f>
        <v>#NAME?</v>
      </c>
      <c r="H551" t="e">
        <f ca="1">_xll.BDH($C$528,"RETURN_ON_CAP","FQ3 2018","FQ3 2018","Currency=INR","Period=FQ","BEST_FPERIOD_OVERRIDE=FQ","FILING_STATUS=OR","EQY_CONSOLIDATED=Y","FA_ADJUSTED=GAAP","Sort=A","Dates=H","DateFormat=P","Fill=—","Direction=H","UseDPDF=Y")</f>
        <v>#NAME?</v>
      </c>
      <c r="I551" t="e">
        <f ca="1">_xll.BDH($C$528,"RETURN_ON_INV_CAPITAL","FQ3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551" t="e">
        <f ca="1">_xll.BDH($C$528,"EBITDA_TO_REVENUE","FQ3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551" t="e">
        <f ca="1">_xll.BDH($C$528,"OPER_MARGIN","FQ3 2018","FQ3 2018","Currency=INR","Period=FQ","BEST_FPERIOD_OVERRIDE=FQ","FILING_STATUS=OR","EQY_CONSOLIDATED=Y","FA_ADJUSTED=GAAP","Sort=A","Dates=H","DateFormat=P","Fill=—","Direction=H","UseDPDF=Y")</f>
        <v>#NAME?</v>
      </c>
      <c r="L551" t="e">
        <f ca="1">_xll.BDH($C$528,"INCREMENTAL_OPERATING_MARGIN","FQ3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551" t="e">
        <f ca="1">_xll.BDH($C$528,"PRETAX_INC_TO_NET_SALES","FQ3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551" t="e">
        <f ca="1">_xll.BDH($C$528,"INC_BEF_XO_ITEMS_TO_NET_SALES","FQ3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551" t="e">
        <f ca="1">_xll.BDH($C$528,"PROF_MARGIN","FQ3 2018","FQ3 2018","Currency=INR","Period=FQ","BEST_FPERIOD_OVERRIDE=FQ","FILING_STATUS=OR","EQY_CONSOLIDATED=Y","FA_ADJUSTED=GAAP","Sort=A","Dates=H","DateFormat=P","Fill=—","Direction=H","UseDPDF=Y")</f>
        <v>#NAME?</v>
      </c>
      <c r="P551" t="e">
        <f ca="1">_xll.BDH($C$528,"NET_INCOME_TO_COMMON_MARGIN","FQ3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551" t="e">
        <f ca="1">_xll.BDH($C$528,"EFF_TAX_RATE","FQ3 2018","FQ3 2018","Currency=INR","Period=FQ","BEST_FPERIOD_OVERRIDE=FQ","FILING_STATUS=OR","EQY_CONSOLIDATED=Y","FA_ADJUSTED=GAAP","Sort=A","Dates=H","DateFormat=P","Fill=—","Direction=H","UseDPDF=Y")</f>
        <v>#NAME?</v>
      </c>
      <c r="R551" t="e">
        <f ca="1">_xll.BDH($C$528,"DVD_PAYOUT_RATIO","FQ3 2018","FQ3 2018","Currency=INR","Period=FQ","BEST_FPERIOD_OVERRIDE=FQ","FILING_STATUS=OR","EQY_CONSOLIDATED=Y","FA_ADJUSTED=GAAP","Sort=A","Dates=H","DateFormat=P","Fill=—","Direction=H","UseDPDF=Y")</f>
        <v>#NAME?</v>
      </c>
      <c r="S551" t="e">
        <f ca="1">_xll.BDH($C$528,"SUSTAIN_GROWTH_RT","FQ3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551" s="2" t="e">
        <f ca="1">_xll.BDH($C$528,"SALES_GROWTH","FQ3 2018","FQ3 2018","Currency=INR","Period=FQ","BEST_FPERIOD_OVERRIDE=FQ","FILING_STATUS=OR","EQY_CONSOLIDATED=Y","FA_ADJUSTED=GAAP","Sort=A","Dates=H","DateFormat=P","Fill=—","Direction=H","UseDPDF=Y")</f>
        <v>#NAME?</v>
      </c>
      <c r="U551" s="2" t="e">
        <f ca="1">_xll.BDH($C$528,"EBITDA_GROWTH","FQ3 2018","FQ3 2018","Currency=INR","Period=FQ","BEST_FPERIOD_OVERRIDE=FQ","FILING_STATUS=OR","EQY_CONSOLIDATED=Y","FA_ADJUSTED=GAAP","Sort=A","Dates=H","DateFormat=P","Fill=—","Direction=H","UseDPDF=Y")</f>
        <v>#NAME?</v>
      </c>
      <c r="V551" s="2" t="e">
        <f ca="1">_xll.BDH($C$528,"OPER_INC_GROWTH","FQ3 2018","FQ3 2018","Currency=INR","Period=FQ","BEST_FPERIOD_OVERRIDE=FQ","FILING_STATUS=OR","EQY_CONSOLIDATED=Y","FA_ADJUSTED=GAAP","Sort=A","Dates=H","DateFormat=P","Fill=—","Direction=H","UseDPDF=Y")</f>
        <v>#NAME?</v>
      </c>
      <c r="W551" s="2" t="e">
        <f ca="1">_xll.BDH($C$528,"EARN_FOR_COM_GROWTH","FQ3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551" s="2" t="e">
        <f ca="1">_xll.BDH($C$528,"DILUTED_EPS_AFT_XO_ITEMS_GROWTH","FQ3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551" s="2" t="e">
        <f ca="1">_xll.BDH($C$528,"DIVIDEND_PER_SHARE_1_YEAR_GROWTH","FQ3 2018","FQ3 2018","Currency=INR","Period=FQ","BEST_FPERIOD_OVERRIDE=FQ","FILING_STATUS=OR","EQY_CONSOLIDATED=Y","Sort=A","Dates=H","DateFormat=P","Fill=—","Direction=H","UseDPDF=Y")</f>
        <v>#NAME?</v>
      </c>
      <c r="Z551" s="2" t="e">
        <f ca="1">_xll.BDH($C$528,"ACCOUNTS_RECEIVABLE_GROWTH","FQ3 2018","FQ3 2018","Currency=INR","Period=FQ","BEST_FPERIOD_OVERRIDE=FQ","FILING_STATUS=OR","EQY_CONSOLIDATED=Y","Sort=A","Dates=H","DateFormat=P","Fill=—","Direction=H","UseDPDF=Y")</f>
        <v>#NAME?</v>
      </c>
      <c r="AA551" s="2" t="e">
        <f ca="1">_xll.BDH($C$528,"INVENTORY_GROWTH","FQ3 2018","FQ3 2018","Currency=INR","Period=FQ","BEST_FPERIOD_OVERRIDE=FQ","FILING_STATUS=OR","EQY_CONSOLIDATED=Y","Sort=A","Dates=H","DateFormat=P","Fill=—","Direction=H","UseDPDF=Y")</f>
        <v>#NAME?</v>
      </c>
      <c r="AB551" s="2" t="e">
        <f ca="1">_xll.BDH($C$528,"NET_FIXED_ASSETS_1_YEAR_GROWTH","FQ3 2018","FQ3 2018","Currency=INR","Period=FQ","BEST_FPERIOD_OVERRIDE=FQ","FILING_STATUS=OR","EQY_CONSOLIDATED=Y","Sort=A","Dates=H","DateFormat=P","Fill=—","Direction=H","UseDPDF=Y")</f>
        <v>#NAME?</v>
      </c>
      <c r="AC551" s="2" t="e">
        <f ca="1">_xll.BDH($C$528,"ASSET_GROWTH","FQ3 2018","FQ3 2018","Currency=INR","Period=FQ","BEST_FPERIOD_OVERRIDE=FQ","FILING_STATUS=OR","EQY_CONSOLIDATED=Y","Sort=A","Dates=H","DateFormat=P","Fill=—","Direction=H","UseDPDF=Y")</f>
        <v>#NAME?</v>
      </c>
      <c r="AD551" s="2" t="e">
        <f ca="1">_xll.BDH($C$528,"MODIFIED_WORK_CAP_GROWTH","FQ3 2018","FQ3 2018","Currency=INR","Period=FQ","BEST_FPERIOD_OVERRIDE=FQ","FILING_STATUS=OR","EQY_CONSOLIDATED=Y","Sort=A","Dates=H","DateFormat=P","Fill=—","Direction=H","UseDPDF=Y")</f>
        <v>#NAME?</v>
      </c>
      <c r="AE551" s="2" t="e">
        <f ca="1">_xll.BDH($C$528,"WORK_CAP_GROWTH","FQ3 2018","FQ3 2018","Currency=INR","Period=FQ","BEST_FPERIOD_OVERRIDE=FQ","FILING_STATUS=OR","EQY_CONSOLIDATED=Y","Sort=A","Dates=H","DateFormat=P","Fill=—","Direction=H","UseDPDF=Y")</f>
        <v>#NAME?</v>
      </c>
      <c r="AF551" s="2" t="e">
        <f ca="1">_xll.BDH($C$528,"ACCOUNTS_PAYABLE_GROWTH_1YR","FQ3 2018","FQ3 2018","Currency=INR","Period=FQ","BEST_FPERIOD_OVERRIDE=FQ","FILING_STATUS=OR","EQY_CONSOLIDATED=Y","Sort=A","Dates=H","DateFormat=P","Fill=—","Direction=H","UseDPDF=Y")</f>
        <v>#NAME?</v>
      </c>
      <c r="AG551" s="2" t="e">
        <f ca="1">_xll.BDH($C$528,"SHORT_TERM_DEBT_1_YEAR_GROWTH","FQ3 2018","FQ3 2018","Currency=INR","Period=FQ","BEST_FPERIOD_OVERRIDE=FQ","FILING_STATUS=OR","EQY_CONSOLIDATED=Y","Sort=A","Dates=H","DateFormat=P","Fill=—","Direction=H","UseDPDF=Y")</f>
        <v>#NAME?</v>
      </c>
      <c r="AH551" s="2" t="e">
        <f ca="1">_xll.BDH($C$528,"TOTAL_DEBT_1_YEAR_GROWTH","FQ3 2018","FQ3 2018","Currency=INR","Period=FQ","BEST_FPERIOD_OVERRIDE=FQ","FILING_STATUS=OR","EQY_CONSOLIDATED=Y","Sort=A","Dates=H","DateFormat=P","Fill=—","Direction=H","UseDPDF=Y")</f>
        <v>#NAME?</v>
      </c>
      <c r="AI551" s="2" t="e">
        <f ca="1">_xll.BDH($C$528,"TOTAL_EQUITY_1_YEAR_GROWTH","FQ3 2018","FQ3 2018","Currency=INR","Period=FQ","BEST_FPERIOD_OVERRIDE=FQ","FILING_STATUS=OR","EQY_CONSOLIDATED=Y","Sort=A","Dates=H","DateFormat=P","Fill=—","Direction=H","UseDPDF=Y")</f>
        <v>#NAME?</v>
      </c>
      <c r="AJ551" s="2" t="e">
        <f ca="1">_xll.BDH($C$528,"GROWTH_IN_CAP","FQ3 2018","FQ3 2018","Currency=INR","Period=FQ","BEST_FPERIOD_OVERRIDE=FQ","FILING_STATUS=OR","EQY_CONSOLIDATED=Y","Sort=A","Dates=H","DateFormat=P","Fill=—","Direction=H","UseDPDF=Y")</f>
        <v>#NAME?</v>
      </c>
      <c r="AK551" s="2" t="e">
        <f ca="1">_xll.BDH($C$528,"BVPS_GROWTH","FQ3 2018","FQ3 2018","Currency=INR","Period=FQ","BEST_FPERIOD_OVERRIDE=FQ","FILING_STATUS=OR","EQY_CONSOLIDATED=Y","Sort=A","Dates=H","DateFormat=P","Fill=—","Direction=H","UseDPDF=Y")</f>
        <v>#NAME?</v>
      </c>
      <c r="AL551" s="2" t="e">
        <f ca="1">_xll.BDH($C$528,"CASH_FLOW_GROWTH","FQ3 2018","FQ3 2018","Currency=INR","Period=FQ","BEST_FPERIOD_OVERRIDE=FQ","FILING_STATUS=OR","EQY_CONSOLIDATED=Y","Sort=A","Dates=H","DateFormat=P","Fill=—","Direction=H","UseDPDF=Y")</f>
        <v>#NAME?</v>
      </c>
      <c r="AM551" s="2" t="e">
        <f ca="1">_xll.BDH($C$528,"GEO_GROW_NET_SALES","FQ3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551" s="2" t="e">
        <f ca="1">_xll.BDH($C$528,"GEO_GROW_EBITDA","FQ3 2018","FQ3 2018","Currency=INR","Period=FQ","BEST_FPERIOD_OVERRIDE=FQ","FILING_STATUS=OR","EQY_CONSOLIDATED=Y","FA_ADJUSTED=GAAP","Sort=A","Dates=H","DateFormat=P","Fill=—","Direction=H","UseDPDF=Y")</f>
        <v>#NAME?</v>
      </c>
      <c r="AO551" s="2" t="e">
        <f ca="1">_xll.BDH($C$528,"GEO_GROW_OPER_INC","FQ3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551" s="2" t="e">
        <f ca="1">_xll.BDH($C$528,"NET_INCOME_TO_COMMON_5_YR_GROWTH","FQ3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551" s="2" t="e">
        <f ca="1">_xll.BDH($C$528,"5Y_GEO_GROWTH_DILUTED_EPS","FQ3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551" s="2" t="e">
        <f ca="1">_xll.BDH($C$528,"GEO_GROW_DVD_PER_SH","FQ3 2018","FQ3 2018","Currency=INR","Period=FQ","BEST_FPERIOD_OVERRIDE=FQ","FILING_STATUS=OR","EQY_CONSOLIDATED=Y","Sort=A","Dates=H","DateFormat=P","Fill=—","Direction=H","UseDPDF=Y")</f>
        <v>#NAME?</v>
      </c>
      <c r="AS551" s="2" t="e">
        <f ca="1">_xll.BDH($C$528,"ACCOUNTS_RECEIVABLE_5_YR_GROWTH","FQ3 2018","FQ3 2018","Currency=INR","Period=FQ","BEST_FPERIOD_OVERRIDE=FQ","FILING_STATUS=OR","EQY_CONSOLIDATED=Y","Sort=A","Dates=H","DateFormat=P","Fill=—","Direction=H","UseDPDF=Y")</f>
        <v>#NAME?</v>
      </c>
      <c r="AT551" s="2" t="e">
        <f ca="1">_xll.BDH($C$528,"INVENTORY_5_YEAR_GROWTH","FQ3 2018","FQ3 2018","Currency=INR","Period=FQ","BEST_FPERIOD_OVERRIDE=FQ","FILING_STATUS=OR","EQY_CONSOLIDATED=Y","Sort=A","Dates=H","DateFormat=P","Fill=—","Direction=H","UseDPDF=Y")</f>
        <v>#NAME?</v>
      </c>
      <c r="AU551" s="2" t="e">
        <f ca="1">_xll.BDH($C$528,"NET_FIXED_ASSETS_5_YEAR_GROWTH","FQ3 2018","FQ3 2018","Currency=INR","Period=FQ","BEST_FPERIOD_OVERRIDE=FQ","FILING_STATUS=OR","EQY_CONSOLIDATED=Y","Sort=A","Dates=H","DateFormat=P","Fill=—","Direction=H","UseDPDF=Y")</f>
        <v>#NAME?</v>
      </c>
      <c r="AV551" s="2" t="e">
        <f ca="1">_xll.BDH($C$528,"GEO_GROW_TOT_ASSET","FQ3 2018","FQ3 2018","Currency=INR","Period=FQ","BEST_FPERIOD_OVERRIDE=FQ","FILING_STATUS=OR","EQY_CONSOLIDATED=Y","Sort=A","Dates=H","DateFormat=P","Fill=—","Direction=H","UseDPDF=Y")</f>
        <v>#NAME?</v>
      </c>
      <c r="AW551" s="2" t="e">
        <f ca="1">_xll.BDH($C$528,"MODIFIED_WORKING_CPTL_5YR_GRWTH","FQ3 2018","FQ3 2018","Currency=INR","Period=FQ","BEST_FPERIOD_OVERRIDE=FQ","FILING_STATUS=OR","EQY_CONSOLIDATED=Y","Sort=A","Dates=H","DateFormat=P","Fill=—","Direction=H","UseDPDF=Y")</f>
        <v>#NAME?</v>
      </c>
      <c r="AX551" s="2" t="e">
        <f ca="1">_xll.BDH($C$528,"WORKING_CAPITAL_5_YEAR_GROWTH","FQ3 2018","FQ3 2018","Currency=INR","Period=FQ","BEST_FPERIOD_OVERRIDE=FQ","FILING_STATUS=OR","EQY_CONSOLIDATED=Y","Sort=A","Dates=H","DateFormat=P","Fill=—","Direction=H","UseDPDF=Y")</f>
        <v>#NAME?</v>
      </c>
      <c r="AY551" s="2" t="e">
        <f ca="1">_xll.BDH($C$528,"ACCOUNTS_PAYABLE_5_YEAR_GROWTH","FQ3 2018","FQ3 2018","Currency=INR","Period=FQ","BEST_FPERIOD_OVERRIDE=FQ","FILING_STATUS=OR","EQY_CONSOLIDATED=Y","Sort=A","Dates=H","DateFormat=P","Fill=—","Direction=H","UseDPDF=Y")</f>
        <v>#NAME?</v>
      </c>
      <c r="AZ551" s="2" t="e">
        <f ca="1">_xll.BDH($C$528,"SHORT_TERM_DEBT_5_YEAR_GROWTH","FQ3 2018","FQ3 2018","Currency=INR","Period=FQ","BEST_FPERIOD_OVERRIDE=FQ","FILING_STATUS=OR","EQY_CONSOLIDATED=Y","Sort=A","Dates=H","DateFormat=P","Fill=—","Direction=H","UseDPDF=Y")</f>
        <v>#NAME?</v>
      </c>
      <c r="BA551" s="2" t="e">
        <f ca="1">_xll.BDH($C$528,"TOTAL_DEBT_5_YEAR_GROWTH","FQ3 2018","FQ3 2018","Currency=INR","Period=FQ","BEST_FPERIOD_OVERRIDE=FQ","FILING_STATUS=OR","EQY_CONSOLIDATED=Y","Sort=A","Dates=H","DateFormat=P","Fill=—","Direction=H","UseDPDF=Y")</f>
        <v>#NAME?</v>
      </c>
      <c r="BB551" s="2" t="e">
        <f ca="1">_xll.BDH($C$528,"GEO_GROW_TOT_SHRHLDR_EQY","FQ3 2018","FQ3 2018","Currency=INR","Period=FQ","BEST_FPERIOD_OVERRIDE=FQ","FILING_STATUS=OR","EQY_CONSOLIDATED=Y","Sort=A","Dates=H","DateFormat=P","Fill=—","Direction=H","UseDPDF=Y")</f>
        <v>#NAME?</v>
      </c>
      <c r="BC551" s="2" t="e">
        <f ca="1">_xll.BDH($C$528,"TOTAL_CAPITAL_5_YEAR_GROWTH","FQ3 2018","FQ3 2018","Currency=INR","Period=FQ","BEST_FPERIOD_OVERRIDE=FQ","FILING_STATUS=OR","EQY_CONSOLIDATED=Y","Sort=A","Dates=H","DateFormat=P","Fill=—","Direction=H","UseDPDF=Y")</f>
        <v>#NAME?</v>
      </c>
      <c r="BD551" s="2" t="e">
        <f ca="1">_xll.BDH($C$528,"GEO_GROW_BOOK_VAL","FQ3 2018","FQ3 2018","Currency=INR","Period=FQ","BEST_FPERIOD_OVERRIDE=FQ","FILING_STATUS=OR","EQY_CONSOLIDATED=Y","Sort=A","Dates=H","DateFormat=P","Fill=—","Direction=H","UseDPDF=Y")</f>
        <v>#NAME?</v>
      </c>
      <c r="BE551" s="2" t="e">
        <f ca="1">_xll.BDH($C$528,"GEO_GROW_CASH_OPER_ACT","FQ3 2018","FQ3 2018","Currency=INR","Period=FQ","BEST_FPERIOD_OVERRIDE=FQ","FILING_STATUS=OR","EQY_CONSOLIDATED=Y","Sort=A","Dates=H","DateFormat=P","Fill=—","Direction=H","UseDPDF=Y")</f>
        <v>#NAME?</v>
      </c>
      <c r="BF551" s="2" t="e">
        <f ca="1">_xll.BDH($C$528,"REVENUE_SEQUENTIAL_GROWTH","FQ3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551" s="2" t="e">
        <f ca="1">_xll.BDH($C$528,"EBITDA_SEQUENTIAL_GROWTH","FQ3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551" s="2" t="e">
        <f ca="1">_xll.BDH($C$528,"OPERATING_INCOME_SEQ_GROWTH","FQ3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551" s="2" t="e">
        <f ca="1">_xll.BDH($C$528,"NET_INCOME_TO_COMMON_SEQ_GROWTH","FQ3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551" s="2" t="e">
        <f ca="1">_xll.BDH($C$528,"EPS_DILUTED_SEQUENTIAL_GROWTH","FQ3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551" s="2" t="e">
        <f ca="1">_xll.BDH($C$528,"DPS_SEQUENTIAL_GROWTH","FQ3 2018","FQ3 2018","Currency=INR","Period=FQ","BEST_FPERIOD_OVERRIDE=FQ","FILING_STATUS=OR","EQY_CONSOLIDATED=Y","Sort=A","Dates=H","DateFormat=P","Fill=—","Direction=H","UseDPDF=Y")</f>
        <v>#NAME?</v>
      </c>
      <c r="BL551" s="2" t="e">
        <f ca="1">_xll.BDH($C$528,"ACCOUNTS_RECEIVABLE_SEQ_GROWTH","FQ3 2018","FQ3 2018","Currency=INR","Period=FQ","BEST_FPERIOD_OVERRIDE=FQ","FILING_STATUS=OR","EQY_CONSOLIDATED=Y","Sort=A","Dates=H","DateFormat=P","Fill=—","Direction=H","UseDPDF=Y")</f>
        <v>#NAME?</v>
      </c>
      <c r="BM551" s="2" t="e">
        <f ca="1">_xll.BDH($C$528,"INVENTORY_SEQUENTIAL_GROWTH","FQ3 2018","FQ3 2018","Currency=INR","Period=FQ","BEST_FPERIOD_OVERRIDE=FQ","FILING_STATUS=OR","EQY_CONSOLIDATED=Y","Sort=A","Dates=H","DateFormat=P","Fill=—","Direction=H","UseDPDF=Y")</f>
        <v>#NAME?</v>
      </c>
      <c r="BN551" s="2" t="e">
        <f ca="1">_xll.BDH($C$528,"FIXED_ASSETS_SEQUENTIAL_GROWTH","FQ3 2018","FQ3 2018","Currency=INR","Period=FQ","BEST_FPERIOD_OVERRIDE=FQ","FILING_STATUS=OR","EQY_CONSOLIDATED=Y","Sort=A","Dates=H","DateFormat=P","Fill=—","Direction=H","UseDPDF=Y")</f>
        <v>#NAME?</v>
      </c>
      <c r="BO551" s="2" t="e">
        <f ca="1">_xll.BDH($C$528,"TOTAL_ASSETS_SEQUENTIAL_GROWTH","FQ3 2018","FQ3 2018","Currency=INR","Period=FQ","BEST_FPERIOD_OVERRIDE=FQ","FILING_STATUS=OR","EQY_CONSOLIDATED=Y","Sort=A","Dates=H","DateFormat=P","Fill=—","Direction=H","UseDPDF=Y")</f>
        <v>#NAME?</v>
      </c>
      <c r="BP551" s="2" t="e">
        <f ca="1">_xll.BDH($C$528,"MODIFIED_WORKING_CPTL_SEQ_GRWTH","FQ3 2018","FQ3 2018","Currency=INR","Period=FQ","BEST_FPERIOD_OVERRIDE=FQ","FILING_STATUS=OR","EQY_CONSOLIDATED=Y","Sort=A","Dates=H","DateFormat=P","Fill=—","Direction=H","UseDPDF=Y")</f>
        <v>#NAME?</v>
      </c>
      <c r="BQ551" s="2" t="e">
        <f ca="1">_xll.BDH($C$528,"WORKING_CAPITAL_SEQ_GROWTH","FQ3 2018","FQ3 2018","Currency=INR","Period=FQ","BEST_FPERIOD_OVERRIDE=FQ","FILING_STATUS=OR","EQY_CONSOLIDATED=Y","Sort=A","Dates=H","DateFormat=P","Fill=—","Direction=H","UseDPDF=Y")</f>
        <v>#NAME?</v>
      </c>
      <c r="BR551" s="2" t="e">
        <f ca="1">_xll.BDH($C$528,"ACCOUNTS_PAYABLE_SEQ_GROWTH","FQ3 2018","FQ3 2018","Currency=INR","Period=FQ","BEST_FPERIOD_OVERRIDE=FQ","FILING_STATUS=OR","EQY_CONSOLIDATED=Y","Sort=A","Dates=H","DateFormat=P","Fill=—","Direction=H","UseDPDF=Y")</f>
        <v>#NAME?</v>
      </c>
      <c r="BS551" s="2" t="e">
        <f ca="1">_xll.BDH($C$528,"ST_DEBT_SEQUENTIAL_GROWTH","FQ3 2018","FQ3 2018","Currency=INR","Period=FQ","BEST_FPERIOD_OVERRIDE=FQ","FILING_STATUS=OR","EQY_CONSOLIDATED=Y","Sort=A","Dates=H","DateFormat=P","Fill=—","Direction=H","UseDPDF=Y")</f>
        <v>#NAME?</v>
      </c>
      <c r="BT551" s="2" t="e">
        <f ca="1">_xll.BDH($C$528,"TOTAL_DEBT_SEQUENTIAL_GROWTH","FQ3 2018","FQ3 2018","Currency=INR","Period=FQ","BEST_FPERIOD_OVERRIDE=FQ","FILING_STATUS=OR","EQY_CONSOLIDATED=Y","Sort=A","Dates=H","DateFormat=P","Fill=—","Direction=H","UseDPDF=Y")</f>
        <v>#NAME?</v>
      </c>
      <c r="BU551" s="2" t="e">
        <f ca="1">_xll.BDH($C$528,"TOTAL_EQUITY_SEQUENTIAL_GROWTH","FQ3 2018","FQ3 2018","Currency=INR","Period=FQ","BEST_FPERIOD_OVERRIDE=FQ","FILING_STATUS=OR","EQY_CONSOLIDATED=Y","Sort=A","Dates=H","DateFormat=P","Fill=—","Direction=H","UseDPDF=Y")</f>
        <v>#NAME?</v>
      </c>
      <c r="BV551" s="2" t="e">
        <f ca="1">_xll.BDH($C$528,"TOTAL_CAPITAL_SEQUENTIAL_GROWTH","FQ3 2018","FQ3 2018","Currency=INR","Period=FQ","BEST_FPERIOD_OVERRIDE=FQ","FILING_STATUS=OR","EQY_CONSOLIDATED=Y","Sort=A","Dates=H","DateFormat=P","Fill=—","Direction=H","UseDPDF=Y")</f>
        <v>#NAME?</v>
      </c>
      <c r="BW551" s="2" t="e">
        <f ca="1">_xll.BDH($C$528,"BPS_SEQUENTIAL_GROWTH","FQ3 2018","FQ3 2018","Currency=INR","Period=FQ","BEST_FPERIOD_OVERRIDE=FQ","FILING_STATUS=OR","EQY_CONSOLIDATED=Y","Sort=A","Dates=H","DateFormat=P","Fill=—","Direction=H","UseDPDF=Y")</f>
        <v>#NAME?</v>
      </c>
      <c r="BX551" s="2" t="e">
        <f ca="1">_xll.BDH($C$528,"CFO_SEQUENTIAL_GROWTH","FQ3 2018","FQ3 2018","Currency=INR","Period=FQ","BEST_FPERIOD_OVERRIDE=FQ","FILING_STATUS=OR","EQY_CONSOLIDATED=Y","Sort=A","Dates=H","DateFormat=P","Fill=—","Direction=H","UseDPDF=Y")</f>
        <v>#NAME?</v>
      </c>
      <c r="BY551" s="3" t="e">
        <f ca="1">_xll.BDH($C$528,"SHORT_AND_LONG_TERM_DEBT","FQ3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551" s="3" t="e">
        <f ca="1">_xll.BDH($C$528,"BS_ST_BORROW","FQ3 2018","FQ3 2018","Currency=INR","Period=FQ","BEST_FPERIOD_OVERRIDE=FQ","FILING_STATUS=OR","EQY_CONSOLIDATED=Y","SCALING_FORMAT=MLN","Sort=A","Dates=H","DateFormat=P","Fill=—","Direction=H","UseDPDF=Y")</f>
        <v>#NAME?</v>
      </c>
      <c r="CA551" s="3" t="e">
        <f ca="1">_xll.BDH($C$528,"BS_LT_BORROW","FQ3 2018","FQ3 2018","Currency=INR","Period=FQ","BEST_FPERIOD_OVERRIDE=FQ","FILING_STATUS=OR","EQY_CONSOLIDATED=Y","SCALING_FORMAT=MLN","Sort=A","Dates=H","DateFormat=P","Fill=—","Direction=H","UseDPDF=Y")</f>
        <v>#NAME?</v>
      </c>
      <c r="CB551" s="2" t="e">
        <f ca="1">_xll.BDH($C$528,"TOT_DEBT_TO_EBITDA","FQ3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551" s="2" t="e">
        <f ca="1">_xll.BDH($C$528,"NET_DEBT_TO_EBITDA","FQ3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551" s="2" t="e">
        <f ca="1">_xll.BDH($C$528,"TOTAL_DEBT_TO_EBIT","FQ3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551" s="2" t="e">
        <f ca="1">_xll.BDH($C$528,"NET_DEBT_TO_EBIT","FQ3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551" s="2" t="e">
        <f ca="1">_xll.BDH($C$528,"EBITDA_TO_INTEREST_EXPN","FQ3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551" s="2" t="e">
        <f ca="1">_xll.BDH($C$528,"COM_EQY_TO_TOT_ASSET","FQ3 2018","FQ3 2018","Currency=INR","Period=FQ","BEST_FPERIOD_OVERRIDE=FQ","FILING_STATUS=OR","EQY_CONSOLIDATED=Y","Sort=A","Dates=H","DateFormat=P","Fill=—","Direction=H","UseDPDF=Y")</f>
        <v>#NAME?</v>
      </c>
      <c r="CH551" s="2" t="e">
        <f ca="1">_xll.BDH($C$528,"LT_DEBT_TO_TOT_EQY","FQ3 2018","FQ3 2018","Currency=INR","Period=FQ","BEST_FPERIOD_OVERRIDE=FQ","FILING_STATUS=OR","EQY_CONSOLIDATED=Y","Sort=A","Dates=H","DateFormat=P","Fill=—","Direction=H","UseDPDF=Y")</f>
        <v>#NAME?</v>
      </c>
      <c r="CI551" s="2" t="e">
        <f ca="1">_xll.BDH($C$528,"LT_DEBT_TO_TOT_CAP","FQ3 2018","FQ3 2018","Currency=INR","Period=FQ","BEST_FPERIOD_OVERRIDE=FQ","FILING_STATUS=OR","EQY_CONSOLIDATED=Y","Sort=A","Dates=H","DateFormat=P","Fill=—","Direction=H","UseDPDF=Y")</f>
        <v>#NAME?</v>
      </c>
      <c r="CJ551" s="2" t="e">
        <f ca="1">_xll.BDH($C$528,"LT_DEBT_TO_TOT_ASSET","FQ3 2018","FQ3 2018","Currency=INR","Period=FQ","BEST_FPERIOD_OVERRIDE=FQ","FILING_STATUS=OR","EQY_CONSOLIDATED=Y","Sort=A","Dates=H","DateFormat=P","Fill=—","Direction=H","UseDPDF=Y")</f>
        <v>#NAME?</v>
      </c>
      <c r="CK551" s="2" t="e">
        <f ca="1">_xll.BDH($C$528,"TOT_DEBT_TO_TOT_EQY","FQ3 2018","FQ3 2018","Currency=INR","Period=FQ","BEST_FPERIOD_OVERRIDE=FQ","FILING_STATUS=OR","EQY_CONSOLIDATED=Y","Sort=A","Dates=H","DateFormat=P","Fill=—","Direction=H","UseDPDF=Y")</f>
        <v>#NAME?</v>
      </c>
      <c r="CL551" s="2" t="e">
        <f ca="1">_xll.BDH($C$528,"TOT_DEBT_TO_TOT_CAP","FQ3 2018","FQ3 2018","Currency=INR","Period=FQ","BEST_FPERIOD_OVERRIDE=FQ","FILING_STATUS=OR","EQY_CONSOLIDATED=Y","Sort=A","Dates=H","DateFormat=P","Fill=—","Direction=H","UseDPDF=Y")</f>
        <v>#NAME?</v>
      </c>
      <c r="CM551" s="2" t="e">
        <f ca="1">_xll.BDH($C$528,"TOT_DEBT_TO_TOT_ASSET","FQ3 2018","FQ3 2018","Currency=INR","Period=FQ","BEST_FPERIOD_OVERRIDE=FQ","FILING_STATUS=OR","EQY_CONSOLIDATED=Y","Sort=A","Dates=H","DateFormat=P","Fill=—","Direction=H","UseDPDF=Y")</f>
        <v>#NAME?</v>
      </c>
      <c r="CN551" s="2" t="e">
        <f ca="1">_xll.BDH($C$528,"NET_DEBT_TO_SHRHLDR_EQTY","FQ3 2018","FQ3 2018","Currency=INR","Period=FQ","BEST_FPERIOD_OVERRIDE=FQ","FILING_STATUS=OR","EQY_CONSOLIDATED=Y","Sort=A","Dates=H","DateFormat=P","Fill=—","Direction=H","UseDPDF=Y")</f>
        <v>#NAME?</v>
      </c>
      <c r="CO551" s="2" t="e">
        <f ca="1">_xll.BDH($C$528,"NET_DEBT_%_CAPITAL","FQ3 2018","FQ3 2018","Currency=INR","Period=FQ","BEST_FPERIOD_OVERRIDE=FQ","FILING_STATUS=OR","EQY_CONSOLIDATED=Y","Sort=A","Dates=H","DateFormat=P","Fill=—","Direction=H","UseDPDF=Y")</f>
        <v>#NAME?</v>
      </c>
      <c r="CP551" s="3" t="e">
        <f ca="1">_xll.BDH($C$528,"EBITDA","FQ3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551" s="3" t="e">
        <f ca="1">_xll.BDH($C$528,"EBITDA_AFTER_CAPEX","FQ3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551" s="3" t="e">
        <f ca="1">_xll.BDH($C$528,"IS_OPER_INC","FQ3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551" s="2" t="e">
        <f ca="1">_xll.BDH($C$528,"CASH_RATIO","FQ3 2018","FQ3 2018","Currency=INR","Period=FQ","BEST_FPERIOD_OVERRIDE=FQ","FILING_STATUS=OR","EQY_CONSOLIDATED=Y","Sort=A","Dates=H","DateFormat=P","Fill=—","Direction=H","UseDPDF=Y")</f>
        <v>#NAME?</v>
      </c>
      <c r="CT551" s="2" t="e">
        <f ca="1">_xll.BDH($C$528,"CUR_RATIO","FQ3 2018","FQ3 2018","Currency=INR","Period=FQ","BEST_FPERIOD_OVERRIDE=FQ","FILING_STATUS=OR","EQY_CONSOLIDATED=Y","Sort=A","Dates=H","DateFormat=P","Fill=—","Direction=H","UseDPDF=Y")</f>
        <v>#NAME?</v>
      </c>
      <c r="CU551" s="2" t="e">
        <f ca="1">_xll.BDH($C$528,"QUICK_RATIO","FQ3 2018","FQ3 2018","Currency=INR","Period=FQ","BEST_FPERIOD_OVERRIDE=FQ","FILING_STATUS=OR","EQY_CONSOLIDATED=Y","Sort=A","Dates=H","DateFormat=P","Fill=—","Direction=H","UseDPDF=Y")</f>
        <v>#NAME?</v>
      </c>
      <c r="CV551" s="2" t="e">
        <f ca="1">_xll.BDH($C$528,"ALTMAN_Z_SCORE","FQ3 2018","FQ3 2018","Currency=INR","Period=FQ","BEST_FPERIOD_OVERRIDE=FQ","FILING_STATUS=OR","EQY_CONSOLIDATED=Y","Sort=A","Dates=H","DateFormat=P","Fill=—","Direction=H","UseDPDF=Y")</f>
        <v>#NAME?</v>
      </c>
      <c r="CW551" s="4" t="e">
        <f ca="1">_xll.BDH($C$528,"ACCT_RCV_TURN","FQ3 2018","FQ3 2018","Currency=INR","Period=FQ","BEST_FPERIOD_OVERRIDE=FQ","FILING_STATUS=OR","EQY_CONSOLIDATED=Y","FA_ADJUSTED=GAAP","Sort=A","Dates=H","DateFormat=P","Fill=—","Direction=H","UseDPDF=Y")</f>
        <v>#NAME?</v>
      </c>
      <c r="CX551" s="2" t="e">
        <f ca="1">_xll.BDH($C$528,"ACCT_RCV_DAYS","FQ3 2018","FQ3 2018","Currency=INR","Period=FQ","BEST_FPERIOD_OVERRIDE=FQ","FILING_STATUS=OR","EQY_CONSOLIDATED=Y","FA_ADJUSTED=GAAP","Sort=A","Dates=H","DateFormat=P","Fill=—","Direction=H","UseDPDF=Y")</f>
        <v>#NAME?</v>
      </c>
      <c r="CY551" s="4" t="e">
        <f ca="1">_xll.BDH($C$528,"INVENT_TURN","FQ3 2018","FQ3 2018","Currency=INR","Period=FQ","BEST_FPERIOD_OVERRIDE=FQ","FILING_STATUS=OR","EQY_CONSOLIDATED=Y","FA_ADJUSTED=GAAP","Sort=A","Dates=H","DateFormat=P","Fill=—","Direction=H","UseDPDF=Y")</f>
        <v>#NAME?</v>
      </c>
      <c r="CZ551" s="2" t="e">
        <f ca="1">_xll.BDH($C$528,"INVENT_DAYS","FQ3 2018","FQ3 2018","Currency=INR","Period=FQ","BEST_FPERIOD_OVERRIDE=FQ","FILING_STATUS=OR","EQY_CONSOLIDATED=Y","FA_ADJUSTED=GAAP","Sort=A","Dates=H","DateFormat=P","Fill=—","Direction=H","UseDPDF=Y")</f>
        <v>#NAME?</v>
      </c>
      <c r="DA551" s="4" t="e">
        <f ca="1">_xll.BDH($C$528,"ACCOUNTS_PAYABLE_TURNOVER","FQ3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551" s="2" t="e">
        <f ca="1">_xll.BDH($C$528,"ACCOUNTS_PAYABLE_TURNOVER_DAYS","FQ3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551" s="4" t="e">
        <f ca="1">_xll.BDH($C$528,"CASH_CONVERSION_CYCLE","FQ3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551" s="4" t="e">
        <f ca="1">_xll.BDH($C$528,"INV_TO_CASH_DAYS","FQ3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551" s="5" t="e">
        <f ca="1">_xll.BDH($C$528,"BS_INVENTORIES","FQ3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551" s="3" t="e">
        <f ca="1">_xll.BDH($C$528,"INVTRY_RAW_MATERIALS","FQ3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551" s="3" t="e">
        <f ca="1">_xll.BDH($C$528,"INVTRY_IN_PROGRESS","FQ3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551" s="3" t="e">
        <f ca="1">_xll.BDH($C$528,"INVTRY_FINISHED_GOODS","FQ3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551" s="3" t="e">
        <f ca="1">_xll.BDH($C$528,"BS_OTHER_INV","FQ3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552" spans="1:113" x14ac:dyDescent="0.3">
      <c r="A552" s="6"/>
      <c r="B552" s="6"/>
      <c r="C552" s="6"/>
      <c r="D552" s="6"/>
      <c r="E552" t="s">
        <v>81</v>
      </c>
      <c r="F552" t="e">
        <f ca="1">_xll.BDH($C$528,"RETURN_COM_EQY","FQ4 2018","FQ4 2018","Currency=INR","Period=FQ","BEST_FPERIOD_OVERRIDE=FQ","FILING_STATUS=OR","EQY_CONSOLIDATED=Y","FA_ADJUSTED=GAAP","Sort=A","Dates=H","DateFormat=P","Fill=—","Direction=H","UseDPDF=Y")</f>
        <v>#NAME?</v>
      </c>
      <c r="G552" t="e">
        <f ca="1">_xll.BDH($C$528,"RETURN_ON_ASSET","FQ4 2018","FQ4 2018","Currency=INR","Period=FQ","BEST_FPERIOD_OVERRIDE=FQ","FILING_STATUS=OR","EQY_CONSOLIDATED=Y","FA_ADJUSTED=GAAP","Sort=A","Dates=H","DateFormat=P","Fill=—","Direction=H","UseDPDF=Y")</f>
        <v>#NAME?</v>
      </c>
      <c r="H552" t="e">
        <f ca="1">_xll.BDH($C$528,"RETURN_ON_CAP","FQ4 2018","FQ4 2018","Currency=INR","Period=FQ","BEST_FPERIOD_OVERRIDE=FQ","FILING_STATUS=OR","EQY_CONSOLIDATED=Y","FA_ADJUSTED=GAAP","Sort=A","Dates=H","DateFormat=P","Fill=—","Direction=H","UseDPDF=Y")</f>
        <v>#NAME?</v>
      </c>
      <c r="I552" t="e">
        <f ca="1">_xll.BDH($C$528,"RETURN_ON_INV_CAPITAL","FQ4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552" t="e">
        <f ca="1">_xll.BDH($C$528,"EBITDA_TO_REVENUE","FQ4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552" t="e">
        <f ca="1">_xll.BDH($C$528,"OPER_MARGIN","FQ4 2018","FQ4 2018","Currency=INR","Period=FQ","BEST_FPERIOD_OVERRIDE=FQ","FILING_STATUS=OR","EQY_CONSOLIDATED=Y","FA_ADJUSTED=GAAP","Sort=A","Dates=H","DateFormat=P","Fill=—","Direction=H","UseDPDF=Y")</f>
        <v>#NAME?</v>
      </c>
      <c r="L552" t="e">
        <f ca="1">_xll.BDH($C$528,"INCREMENTAL_OPERATING_MARGIN","FQ4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552" t="e">
        <f ca="1">_xll.BDH($C$528,"PRETAX_INC_TO_NET_SALES","FQ4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552" t="e">
        <f ca="1">_xll.BDH($C$528,"INC_BEF_XO_ITEMS_TO_NET_SALES","FQ4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552" t="e">
        <f ca="1">_xll.BDH($C$528,"PROF_MARGIN","FQ4 2018","FQ4 2018","Currency=INR","Period=FQ","BEST_FPERIOD_OVERRIDE=FQ","FILING_STATUS=OR","EQY_CONSOLIDATED=Y","FA_ADJUSTED=GAAP","Sort=A","Dates=H","DateFormat=P","Fill=—","Direction=H","UseDPDF=Y")</f>
        <v>#NAME?</v>
      </c>
      <c r="P552" t="e">
        <f ca="1">_xll.BDH($C$528,"NET_INCOME_TO_COMMON_MARGIN","FQ4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552" t="e">
        <f ca="1">_xll.BDH($C$528,"EFF_TAX_RATE","FQ4 2018","FQ4 2018","Currency=INR","Period=FQ","BEST_FPERIOD_OVERRIDE=FQ","FILING_STATUS=OR","EQY_CONSOLIDATED=Y","FA_ADJUSTED=GAAP","Sort=A","Dates=H","DateFormat=P","Fill=—","Direction=H","UseDPDF=Y")</f>
        <v>#NAME?</v>
      </c>
      <c r="R552" t="e">
        <f ca="1">_xll.BDH($C$528,"DVD_PAYOUT_RATIO","FQ4 2018","FQ4 2018","Currency=INR","Period=FQ","BEST_FPERIOD_OVERRIDE=FQ","FILING_STATUS=OR","EQY_CONSOLIDATED=Y","FA_ADJUSTED=GAAP","Sort=A","Dates=H","DateFormat=P","Fill=—","Direction=H","UseDPDF=Y")</f>
        <v>#NAME?</v>
      </c>
      <c r="S552" t="e">
        <f ca="1">_xll.BDH($C$528,"SUSTAIN_GROWTH_RT","FQ4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552" s="2" t="e">
        <f ca="1">_xll.BDH($C$528,"SALES_GROWTH","FQ4 2018","FQ4 2018","Currency=INR","Period=FQ","BEST_FPERIOD_OVERRIDE=FQ","FILING_STATUS=OR","EQY_CONSOLIDATED=Y","FA_ADJUSTED=GAAP","Sort=A","Dates=H","DateFormat=P","Fill=—","Direction=H","UseDPDF=Y")</f>
        <v>#NAME?</v>
      </c>
      <c r="U552" s="2" t="e">
        <f ca="1">_xll.BDH($C$528,"EBITDA_GROWTH","FQ4 2018","FQ4 2018","Currency=INR","Period=FQ","BEST_FPERIOD_OVERRIDE=FQ","FILING_STATUS=OR","EQY_CONSOLIDATED=Y","FA_ADJUSTED=GAAP","Sort=A","Dates=H","DateFormat=P","Fill=—","Direction=H","UseDPDF=Y")</f>
        <v>#NAME?</v>
      </c>
      <c r="V552" s="2" t="e">
        <f ca="1">_xll.BDH($C$528,"OPER_INC_GROWTH","FQ4 2018","FQ4 2018","Currency=INR","Period=FQ","BEST_FPERIOD_OVERRIDE=FQ","FILING_STATUS=OR","EQY_CONSOLIDATED=Y","FA_ADJUSTED=GAAP","Sort=A","Dates=H","DateFormat=P","Fill=—","Direction=H","UseDPDF=Y")</f>
        <v>#NAME?</v>
      </c>
      <c r="W552" s="2" t="e">
        <f ca="1">_xll.BDH($C$528,"EARN_FOR_COM_GROWTH","FQ4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552" s="2" t="e">
        <f ca="1">_xll.BDH($C$528,"DILUTED_EPS_AFT_XO_ITEMS_GROWTH","FQ4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552" s="2" t="e">
        <f ca="1">_xll.BDH($C$528,"DIVIDEND_PER_SHARE_1_YEAR_GROWTH","FQ4 2018","FQ4 2018","Currency=INR","Period=FQ","BEST_FPERIOD_OVERRIDE=FQ","FILING_STATUS=OR","EQY_CONSOLIDATED=Y","Sort=A","Dates=H","DateFormat=P","Fill=—","Direction=H","UseDPDF=Y")</f>
        <v>#NAME?</v>
      </c>
      <c r="Z552" s="2" t="e">
        <f ca="1">_xll.BDH($C$528,"ACCOUNTS_RECEIVABLE_GROWTH","FQ4 2018","FQ4 2018","Currency=INR","Period=FQ","BEST_FPERIOD_OVERRIDE=FQ","FILING_STATUS=OR","EQY_CONSOLIDATED=Y","Sort=A","Dates=H","DateFormat=P","Fill=—","Direction=H","UseDPDF=Y")</f>
        <v>#NAME?</v>
      </c>
      <c r="AA552" s="2" t="e">
        <f ca="1">_xll.BDH($C$528,"INVENTORY_GROWTH","FQ4 2018","FQ4 2018","Currency=INR","Period=FQ","BEST_FPERIOD_OVERRIDE=FQ","FILING_STATUS=OR","EQY_CONSOLIDATED=Y","Sort=A","Dates=H","DateFormat=P","Fill=—","Direction=H","UseDPDF=Y")</f>
        <v>#NAME?</v>
      </c>
      <c r="AB552" s="2" t="e">
        <f ca="1">_xll.BDH($C$528,"NET_FIXED_ASSETS_1_YEAR_GROWTH","FQ4 2018","FQ4 2018","Currency=INR","Period=FQ","BEST_FPERIOD_OVERRIDE=FQ","FILING_STATUS=OR","EQY_CONSOLIDATED=Y","Sort=A","Dates=H","DateFormat=P","Fill=—","Direction=H","UseDPDF=Y")</f>
        <v>#NAME?</v>
      </c>
      <c r="AC552" s="2" t="e">
        <f ca="1">_xll.BDH($C$528,"ASSET_GROWTH","FQ4 2018","FQ4 2018","Currency=INR","Period=FQ","BEST_FPERIOD_OVERRIDE=FQ","FILING_STATUS=OR","EQY_CONSOLIDATED=Y","Sort=A","Dates=H","DateFormat=P","Fill=—","Direction=H","UseDPDF=Y")</f>
        <v>#NAME?</v>
      </c>
      <c r="AD552" s="2" t="e">
        <f ca="1">_xll.BDH($C$528,"MODIFIED_WORK_CAP_GROWTH","FQ4 2018","FQ4 2018","Currency=INR","Period=FQ","BEST_FPERIOD_OVERRIDE=FQ","FILING_STATUS=OR","EQY_CONSOLIDATED=Y","Sort=A","Dates=H","DateFormat=P","Fill=—","Direction=H","UseDPDF=Y")</f>
        <v>#NAME?</v>
      </c>
      <c r="AE552" s="2" t="e">
        <f ca="1">_xll.BDH($C$528,"WORK_CAP_GROWTH","FQ4 2018","FQ4 2018","Currency=INR","Period=FQ","BEST_FPERIOD_OVERRIDE=FQ","FILING_STATUS=OR","EQY_CONSOLIDATED=Y","Sort=A","Dates=H","DateFormat=P","Fill=—","Direction=H","UseDPDF=Y")</f>
        <v>#NAME?</v>
      </c>
      <c r="AF552" s="2" t="e">
        <f ca="1">_xll.BDH($C$528,"ACCOUNTS_PAYABLE_GROWTH_1YR","FQ4 2018","FQ4 2018","Currency=INR","Period=FQ","BEST_FPERIOD_OVERRIDE=FQ","FILING_STATUS=OR","EQY_CONSOLIDATED=Y","Sort=A","Dates=H","DateFormat=P","Fill=—","Direction=H","UseDPDF=Y")</f>
        <v>#NAME?</v>
      </c>
      <c r="AG552" s="2" t="e">
        <f ca="1">_xll.BDH($C$528,"SHORT_TERM_DEBT_1_YEAR_GROWTH","FQ4 2018","FQ4 2018","Currency=INR","Period=FQ","BEST_FPERIOD_OVERRIDE=FQ","FILING_STATUS=OR","EQY_CONSOLIDATED=Y","Sort=A","Dates=H","DateFormat=P","Fill=—","Direction=H","UseDPDF=Y")</f>
        <v>#NAME?</v>
      </c>
      <c r="AH552" s="2" t="e">
        <f ca="1">_xll.BDH($C$528,"TOTAL_DEBT_1_YEAR_GROWTH","FQ4 2018","FQ4 2018","Currency=INR","Period=FQ","BEST_FPERIOD_OVERRIDE=FQ","FILING_STATUS=OR","EQY_CONSOLIDATED=Y","Sort=A","Dates=H","DateFormat=P","Fill=—","Direction=H","UseDPDF=Y")</f>
        <v>#NAME?</v>
      </c>
      <c r="AI552" s="2" t="e">
        <f ca="1">_xll.BDH($C$528,"TOTAL_EQUITY_1_YEAR_GROWTH","FQ4 2018","FQ4 2018","Currency=INR","Period=FQ","BEST_FPERIOD_OVERRIDE=FQ","FILING_STATUS=OR","EQY_CONSOLIDATED=Y","Sort=A","Dates=H","DateFormat=P","Fill=—","Direction=H","UseDPDF=Y")</f>
        <v>#NAME?</v>
      </c>
      <c r="AJ552" s="2" t="e">
        <f ca="1">_xll.BDH($C$528,"GROWTH_IN_CAP","FQ4 2018","FQ4 2018","Currency=INR","Period=FQ","BEST_FPERIOD_OVERRIDE=FQ","FILING_STATUS=OR","EQY_CONSOLIDATED=Y","Sort=A","Dates=H","DateFormat=P","Fill=—","Direction=H","UseDPDF=Y")</f>
        <v>#NAME?</v>
      </c>
      <c r="AK552" s="2" t="e">
        <f ca="1">_xll.BDH($C$528,"BVPS_GROWTH","FQ4 2018","FQ4 2018","Currency=INR","Period=FQ","BEST_FPERIOD_OVERRIDE=FQ","FILING_STATUS=OR","EQY_CONSOLIDATED=Y","Sort=A","Dates=H","DateFormat=P","Fill=—","Direction=H","UseDPDF=Y")</f>
        <v>#NAME?</v>
      </c>
      <c r="AL552" s="2" t="e">
        <f ca="1">_xll.BDH($C$528,"CASH_FLOW_GROWTH","FQ4 2018","FQ4 2018","Currency=INR","Period=FQ","BEST_FPERIOD_OVERRIDE=FQ","FILING_STATUS=OR","EQY_CONSOLIDATED=Y","Sort=A","Dates=H","DateFormat=P","Fill=—","Direction=H","UseDPDF=Y")</f>
        <v>#NAME?</v>
      </c>
      <c r="AM552" s="2" t="e">
        <f ca="1">_xll.BDH($C$528,"GEO_GROW_NET_SALES","FQ4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552" s="2" t="e">
        <f ca="1">_xll.BDH($C$528,"GEO_GROW_EBITDA","FQ4 2018","FQ4 2018","Currency=INR","Period=FQ","BEST_FPERIOD_OVERRIDE=FQ","FILING_STATUS=OR","EQY_CONSOLIDATED=Y","FA_ADJUSTED=GAAP","Sort=A","Dates=H","DateFormat=P","Fill=—","Direction=H","UseDPDF=Y")</f>
        <v>#NAME?</v>
      </c>
      <c r="AO552" s="2" t="e">
        <f ca="1">_xll.BDH($C$528,"GEO_GROW_OPER_INC","FQ4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552" s="2" t="e">
        <f ca="1">_xll.BDH($C$528,"NET_INCOME_TO_COMMON_5_YR_GROWTH","FQ4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552" s="2" t="e">
        <f ca="1">_xll.BDH($C$528,"5Y_GEO_GROWTH_DILUTED_EPS","FQ4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552" s="2" t="e">
        <f ca="1">_xll.BDH($C$528,"GEO_GROW_DVD_PER_SH","FQ4 2018","FQ4 2018","Currency=INR","Period=FQ","BEST_FPERIOD_OVERRIDE=FQ","FILING_STATUS=OR","EQY_CONSOLIDATED=Y","Sort=A","Dates=H","DateFormat=P","Fill=—","Direction=H","UseDPDF=Y")</f>
        <v>#NAME?</v>
      </c>
      <c r="AS552" s="2" t="e">
        <f ca="1">_xll.BDH($C$528,"ACCOUNTS_RECEIVABLE_5_YR_GROWTH","FQ4 2018","FQ4 2018","Currency=INR","Period=FQ","BEST_FPERIOD_OVERRIDE=FQ","FILING_STATUS=OR","EQY_CONSOLIDATED=Y","Sort=A","Dates=H","DateFormat=P","Fill=—","Direction=H","UseDPDF=Y")</f>
        <v>#NAME?</v>
      </c>
      <c r="AT552" s="2" t="e">
        <f ca="1">_xll.BDH($C$528,"INVENTORY_5_YEAR_GROWTH","FQ4 2018","FQ4 2018","Currency=INR","Period=FQ","BEST_FPERIOD_OVERRIDE=FQ","FILING_STATUS=OR","EQY_CONSOLIDATED=Y","Sort=A","Dates=H","DateFormat=P","Fill=—","Direction=H","UseDPDF=Y")</f>
        <v>#NAME?</v>
      </c>
      <c r="AU552" s="2" t="e">
        <f ca="1">_xll.BDH($C$528,"NET_FIXED_ASSETS_5_YEAR_GROWTH","FQ4 2018","FQ4 2018","Currency=INR","Period=FQ","BEST_FPERIOD_OVERRIDE=FQ","FILING_STATUS=OR","EQY_CONSOLIDATED=Y","Sort=A","Dates=H","DateFormat=P","Fill=—","Direction=H","UseDPDF=Y")</f>
        <v>#NAME?</v>
      </c>
      <c r="AV552" s="2" t="e">
        <f ca="1">_xll.BDH($C$528,"GEO_GROW_TOT_ASSET","FQ4 2018","FQ4 2018","Currency=INR","Period=FQ","BEST_FPERIOD_OVERRIDE=FQ","FILING_STATUS=OR","EQY_CONSOLIDATED=Y","Sort=A","Dates=H","DateFormat=P","Fill=—","Direction=H","UseDPDF=Y")</f>
        <v>#NAME?</v>
      </c>
      <c r="AW552" s="2" t="e">
        <f ca="1">_xll.BDH($C$528,"MODIFIED_WORKING_CPTL_5YR_GRWTH","FQ4 2018","FQ4 2018","Currency=INR","Period=FQ","BEST_FPERIOD_OVERRIDE=FQ","FILING_STATUS=OR","EQY_CONSOLIDATED=Y","Sort=A","Dates=H","DateFormat=P","Fill=—","Direction=H","UseDPDF=Y")</f>
        <v>#NAME?</v>
      </c>
      <c r="AX552" s="2" t="e">
        <f ca="1">_xll.BDH($C$528,"WORKING_CAPITAL_5_YEAR_GROWTH","FQ4 2018","FQ4 2018","Currency=INR","Period=FQ","BEST_FPERIOD_OVERRIDE=FQ","FILING_STATUS=OR","EQY_CONSOLIDATED=Y","Sort=A","Dates=H","DateFormat=P","Fill=—","Direction=H","UseDPDF=Y")</f>
        <v>#NAME?</v>
      </c>
      <c r="AY552" s="2" t="e">
        <f ca="1">_xll.BDH($C$528,"ACCOUNTS_PAYABLE_5_YEAR_GROWTH","FQ4 2018","FQ4 2018","Currency=INR","Period=FQ","BEST_FPERIOD_OVERRIDE=FQ","FILING_STATUS=OR","EQY_CONSOLIDATED=Y","Sort=A","Dates=H","DateFormat=P","Fill=—","Direction=H","UseDPDF=Y")</f>
        <v>#NAME?</v>
      </c>
      <c r="AZ552" s="2" t="e">
        <f ca="1">_xll.BDH($C$528,"SHORT_TERM_DEBT_5_YEAR_GROWTH","FQ4 2018","FQ4 2018","Currency=INR","Period=FQ","BEST_FPERIOD_OVERRIDE=FQ","FILING_STATUS=OR","EQY_CONSOLIDATED=Y","Sort=A","Dates=H","DateFormat=P","Fill=—","Direction=H","UseDPDF=Y")</f>
        <v>#NAME?</v>
      </c>
      <c r="BA552" s="2" t="e">
        <f ca="1">_xll.BDH($C$528,"TOTAL_DEBT_5_YEAR_GROWTH","FQ4 2018","FQ4 2018","Currency=INR","Period=FQ","BEST_FPERIOD_OVERRIDE=FQ","FILING_STATUS=OR","EQY_CONSOLIDATED=Y","Sort=A","Dates=H","DateFormat=P","Fill=—","Direction=H","UseDPDF=Y")</f>
        <v>#NAME?</v>
      </c>
      <c r="BB552" s="2" t="e">
        <f ca="1">_xll.BDH($C$528,"GEO_GROW_TOT_SHRHLDR_EQY","FQ4 2018","FQ4 2018","Currency=INR","Period=FQ","BEST_FPERIOD_OVERRIDE=FQ","FILING_STATUS=OR","EQY_CONSOLIDATED=Y","Sort=A","Dates=H","DateFormat=P","Fill=—","Direction=H","UseDPDF=Y")</f>
        <v>#NAME?</v>
      </c>
      <c r="BC552" s="2" t="e">
        <f ca="1">_xll.BDH($C$528,"TOTAL_CAPITAL_5_YEAR_GROWTH","FQ4 2018","FQ4 2018","Currency=INR","Period=FQ","BEST_FPERIOD_OVERRIDE=FQ","FILING_STATUS=OR","EQY_CONSOLIDATED=Y","Sort=A","Dates=H","DateFormat=P","Fill=—","Direction=H","UseDPDF=Y")</f>
        <v>#NAME?</v>
      </c>
      <c r="BD552" s="2" t="e">
        <f ca="1">_xll.BDH($C$528,"GEO_GROW_BOOK_VAL","FQ4 2018","FQ4 2018","Currency=INR","Period=FQ","BEST_FPERIOD_OVERRIDE=FQ","FILING_STATUS=OR","EQY_CONSOLIDATED=Y","Sort=A","Dates=H","DateFormat=P","Fill=—","Direction=H","UseDPDF=Y")</f>
        <v>#NAME?</v>
      </c>
      <c r="BE552" s="2" t="e">
        <f ca="1">_xll.BDH($C$528,"GEO_GROW_CASH_OPER_ACT","FQ4 2018","FQ4 2018","Currency=INR","Period=FQ","BEST_FPERIOD_OVERRIDE=FQ","FILING_STATUS=OR","EQY_CONSOLIDATED=Y","Sort=A","Dates=H","DateFormat=P","Fill=—","Direction=H","UseDPDF=Y")</f>
        <v>#NAME?</v>
      </c>
      <c r="BF552" s="2" t="e">
        <f ca="1">_xll.BDH($C$528,"REVENUE_SEQUENTIAL_GROWTH","FQ4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552" s="2" t="e">
        <f ca="1">_xll.BDH($C$528,"EBITDA_SEQUENTIAL_GROWTH","FQ4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552" s="2" t="e">
        <f ca="1">_xll.BDH($C$528,"OPERATING_INCOME_SEQ_GROWTH","FQ4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552" s="2" t="e">
        <f ca="1">_xll.BDH($C$528,"NET_INCOME_TO_COMMON_SEQ_GROWTH","FQ4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552" s="2" t="e">
        <f ca="1">_xll.BDH($C$528,"EPS_DILUTED_SEQUENTIAL_GROWTH","FQ4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552" s="2" t="e">
        <f ca="1">_xll.BDH($C$528,"DPS_SEQUENTIAL_GROWTH","FQ4 2018","FQ4 2018","Currency=INR","Period=FQ","BEST_FPERIOD_OVERRIDE=FQ","FILING_STATUS=OR","EQY_CONSOLIDATED=Y","Sort=A","Dates=H","DateFormat=P","Fill=—","Direction=H","UseDPDF=Y")</f>
        <v>#NAME?</v>
      </c>
      <c r="BL552" s="2" t="e">
        <f ca="1">_xll.BDH($C$528,"ACCOUNTS_RECEIVABLE_SEQ_GROWTH","FQ4 2018","FQ4 2018","Currency=INR","Period=FQ","BEST_FPERIOD_OVERRIDE=FQ","FILING_STATUS=OR","EQY_CONSOLIDATED=Y","Sort=A","Dates=H","DateFormat=P","Fill=—","Direction=H","UseDPDF=Y")</f>
        <v>#NAME?</v>
      </c>
      <c r="BM552" s="2" t="e">
        <f ca="1">_xll.BDH($C$528,"INVENTORY_SEQUENTIAL_GROWTH","FQ4 2018","FQ4 2018","Currency=INR","Period=FQ","BEST_FPERIOD_OVERRIDE=FQ","FILING_STATUS=OR","EQY_CONSOLIDATED=Y","Sort=A","Dates=H","DateFormat=P","Fill=—","Direction=H","UseDPDF=Y")</f>
        <v>#NAME?</v>
      </c>
      <c r="BN552" s="2" t="e">
        <f ca="1">_xll.BDH($C$528,"FIXED_ASSETS_SEQUENTIAL_GROWTH","FQ4 2018","FQ4 2018","Currency=INR","Period=FQ","BEST_FPERIOD_OVERRIDE=FQ","FILING_STATUS=OR","EQY_CONSOLIDATED=Y","Sort=A","Dates=H","DateFormat=P","Fill=—","Direction=H","UseDPDF=Y")</f>
        <v>#NAME?</v>
      </c>
      <c r="BO552" s="2" t="e">
        <f ca="1">_xll.BDH($C$528,"TOTAL_ASSETS_SEQUENTIAL_GROWTH","FQ4 2018","FQ4 2018","Currency=INR","Period=FQ","BEST_FPERIOD_OVERRIDE=FQ","FILING_STATUS=OR","EQY_CONSOLIDATED=Y","Sort=A","Dates=H","DateFormat=P","Fill=—","Direction=H","UseDPDF=Y")</f>
        <v>#NAME?</v>
      </c>
      <c r="BP552" s="2" t="e">
        <f ca="1">_xll.BDH($C$528,"MODIFIED_WORKING_CPTL_SEQ_GRWTH","FQ4 2018","FQ4 2018","Currency=INR","Period=FQ","BEST_FPERIOD_OVERRIDE=FQ","FILING_STATUS=OR","EQY_CONSOLIDATED=Y","Sort=A","Dates=H","DateFormat=P","Fill=—","Direction=H","UseDPDF=Y")</f>
        <v>#NAME?</v>
      </c>
      <c r="BQ552" s="2" t="e">
        <f ca="1">_xll.BDH($C$528,"WORKING_CAPITAL_SEQ_GROWTH","FQ4 2018","FQ4 2018","Currency=INR","Period=FQ","BEST_FPERIOD_OVERRIDE=FQ","FILING_STATUS=OR","EQY_CONSOLIDATED=Y","Sort=A","Dates=H","DateFormat=P","Fill=—","Direction=H","UseDPDF=Y")</f>
        <v>#NAME?</v>
      </c>
      <c r="BR552" s="2" t="e">
        <f ca="1">_xll.BDH($C$528,"ACCOUNTS_PAYABLE_SEQ_GROWTH","FQ4 2018","FQ4 2018","Currency=INR","Period=FQ","BEST_FPERIOD_OVERRIDE=FQ","FILING_STATUS=OR","EQY_CONSOLIDATED=Y","Sort=A","Dates=H","DateFormat=P","Fill=—","Direction=H","UseDPDF=Y")</f>
        <v>#NAME?</v>
      </c>
      <c r="BS552" s="2" t="e">
        <f ca="1">_xll.BDH($C$528,"ST_DEBT_SEQUENTIAL_GROWTH","FQ4 2018","FQ4 2018","Currency=INR","Period=FQ","BEST_FPERIOD_OVERRIDE=FQ","FILING_STATUS=OR","EQY_CONSOLIDATED=Y","Sort=A","Dates=H","DateFormat=P","Fill=—","Direction=H","UseDPDF=Y")</f>
        <v>#NAME?</v>
      </c>
      <c r="BT552" s="2" t="e">
        <f ca="1">_xll.BDH($C$528,"TOTAL_DEBT_SEQUENTIAL_GROWTH","FQ4 2018","FQ4 2018","Currency=INR","Period=FQ","BEST_FPERIOD_OVERRIDE=FQ","FILING_STATUS=OR","EQY_CONSOLIDATED=Y","Sort=A","Dates=H","DateFormat=P","Fill=—","Direction=H","UseDPDF=Y")</f>
        <v>#NAME?</v>
      </c>
      <c r="BU552" s="2" t="e">
        <f ca="1">_xll.BDH($C$528,"TOTAL_EQUITY_SEQUENTIAL_GROWTH","FQ4 2018","FQ4 2018","Currency=INR","Period=FQ","BEST_FPERIOD_OVERRIDE=FQ","FILING_STATUS=OR","EQY_CONSOLIDATED=Y","Sort=A","Dates=H","DateFormat=P","Fill=—","Direction=H","UseDPDF=Y")</f>
        <v>#NAME?</v>
      </c>
      <c r="BV552" s="2" t="e">
        <f ca="1">_xll.BDH($C$528,"TOTAL_CAPITAL_SEQUENTIAL_GROWTH","FQ4 2018","FQ4 2018","Currency=INR","Period=FQ","BEST_FPERIOD_OVERRIDE=FQ","FILING_STATUS=OR","EQY_CONSOLIDATED=Y","Sort=A","Dates=H","DateFormat=P","Fill=—","Direction=H","UseDPDF=Y")</f>
        <v>#NAME?</v>
      </c>
      <c r="BW552" s="2" t="e">
        <f ca="1">_xll.BDH($C$528,"BPS_SEQUENTIAL_GROWTH","FQ4 2018","FQ4 2018","Currency=INR","Period=FQ","BEST_FPERIOD_OVERRIDE=FQ","FILING_STATUS=OR","EQY_CONSOLIDATED=Y","Sort=A","Dates=H","DateFormat=P","Fill=—","Direction=H","UseDPDF=Y")</f>
        <v>#NAME?</v>
      </c>
      <c r="BX552" s="2" t="e">
        <f ca="1">_xll.BDH($C$528,"CFO_SEQUENTIAL_GROWTH","FQ4 2018","FQ4 2018","Currency=INR","Period=FQ","BEST_FPERIOD_OVERRIDE=FQ","FILING_STATUS=OR","EQY_CONSOLIDATED=Y","Sort=A","Dates=H","DateFormat=P","Fill=—","Direction=H","UseDPDF=Y")</f>
        <v>#NAME?</v>
      </c>
      <c r="BY552" s="3" t="e">
        <f ca="1">_xll.BDH($C$528,"SHORT_AND_LONG_TERM_DEBT","FQ4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552" s="3" t="e">
        <f ca="1">_xll.BDH($C$528,"BS_ST_BORROW","FQ4 2018","FQ4 2018","Currency=INR","Period=FQ","BEST_FPERIOD_OVERRIDE=FQ","FILING_STATUS=OR","EQY_CONSOLIDATED=Y","SCALING_FORMAT=MLN","Sort=A","Dates=H","DateFormat=P","Fill=—","Direction=H","UseDPDF=Y")</f>
        <v>#NAME?</v>
      </c>
      <c r="CA552" s="3" t="e">
        <f ca="1">_xll.BDH($C$528,"BS_LT_BORROW","FQ4 2018","FQ4 2018","Currency=INR","Period=FQ","BEST_FPERIOD_OVERRIDE=FQ","FILING_STATUS=OR","EQY_CONSOLIDATED=Y","SCALING_FORMAT=MLN","Sort=A","Dates=H","DateFormat=P","Fill=—","Direction=H","UseDPDF=Y")</f>
        <v>#NAME?</v>
      </c>
      <c r="CB552" s="2" t="e">
        <f ca="1">_xll.BDH($C$528,"TOT_DEBT_TO_EBITDA","FQ4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552" s="2" t="e">
        <f ca="1">_xll.BDH($C$528,"NET_DEBT_TO_EBITDA","FQ4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552" s="2" t="e">
        <f ca="1">_xll.BDH($C$528,"TOTAL_DEBT_TO_EBIT","FQ4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552" s="2" t="e">
        <f ca="1">_xll.BDH($C$528,"NET_DEBT_TO_EBIT","FQ4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552" s="2" t="e">
        <f ca="1">_xll.BDH($C$528,"EBITDA_TO_INTEREST_EXPN","FQ4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552" s="2" t="e">
        <f ca="1">_xll.BDH($C$528,"COM_EQY_TO_TOT_ASSET","FQ4 2018","FQ4 2018","Currency=INR","Period=FQ","BEST_FPERIOD_OVERRIDE=FQ","FILING_STATUS=OR","EQY_CONSOLIDATED=Y","Sort=A","Dates=H","DateFormat=P","Fill=—","Direction=H","UseDPDF=Y")</f>
        <v>#NAME?</v>
      </c>
      <c r="CH552" s="2" t="e">
        <f ca="1">_xll.BDH($C$528,"LT_DEBT_TO_TOT_EQY","FQ4 2018","FQ4 2018","Currency=INR","Period=FQ","BEST_FPERIOD_OVERRIDE=FQ","FILING_STATUS=OR","EQY_CONSOLIDATED=Y","Sort=A","Dates=H","DateFormat=P","Fill=—","Direction=H","UseDPDF=Y")</f>
        <v>#NAME?</v>
      </c>
      <c r="CI552" s="2" t="e">
        <f ca="1">_xll.BDH($C$528,"LT_DEBT_TO_TOT_CAP","FQ4 2018","FQ4 2018","Currency=INR","Period=FQ","BEST_FPERIOD_OVERRIDE=FQ","FILING_STATUS=OR","EQY_CONSOLIDATED=Y","Sort=A","Dates=H","DateFormat=P","Fill=—","Direction=H","UseDPDF=Y")</f>
        <v>#NAME?</v>
      </c>
      <c r="CJ552" s="2" t="e">
        <f ca="1">_xll.BDH($C$528,"LT_DEBT_TO_TOT_ASSET","FQ4 2018","FQ4 2018","Currency=INR","Period=FQ","BEST_FPERIOD_OVERRIDE=FQ","FILING_STATUS=OR","EQY_CONSOLIDATED=Y","Sort=A","Dates=H","DateFormat=P","Fill=—","Direction=H","UseDPDF=Y")</f>
        <v>#NAME?</v>
      </c>
      <c r="CK552" s="2" t="e">
        <f ca="1">_xll.BDH($C$528,"TOT_DEBT_TO_TOT_EQY","FQ4 2018","FQ4 2018","Currency=INR","Period=FQ","BEST_FPERIOD_OVERRIDE=FQ","FILING_STATUS=OR","EQY_CONSOLIDATED=Y","Sort=A","Dates=H","DateFormat=P","Fill=—","Direction=H","UseDPDF=Y")</f>
        <v>#NAME?</v>
      </c>
      <c r="CL552" s="2" t="e">
        <f ca="1">_xll.BDH($C$528,"TOT_DEBT_TO_TOT_CAP","FQ4 2018","FQ4 2018","Currency=INR","Period=FQ","BEST_FPERIOD_OVERRIDE=FQ","FILING_STATUS=OR","EQY_CONSOLIDATED=Y","Sort=A","Dates=H","DateFormat=P","Fill=—","Direction=H","UseDPDF=Y")</f>
        <v>#NAME?</v>
      </c>
      <c r="CM552" s="2" t="e">
        <f ca="1">_xll.BDH($C$528,"TOT_DEBT_TO_TOT_ASSET","FQ4 2018","FQ4 2018","Currency=INR","Period=FQ","BEST_FPERIOD_OVERRIDE=FQ","FILING_STATUS=OR","EQY_CONSOLIDATED=Y","Sort=A","Dates=H","DateFormat=P","Fill=—","Direction=H","UseDPDF=Y")</f>
        <v>#NAME?</v>
      </c>
      <c r="CN552" s="2" t="e">
        <f ca="1">_xll.BDH($C$528,"NET_DEBT_TO_SHRHLDR_EQTY","FQ4 2018","FQ4 2018","Currency=INR","Period=FQ","BEST_FPERIOD_OVERRIDE=FQ","FILING_STATUS=OR","EQY_CONSOLIDATED=Y","Sort=A","Dates=H","DateFormat=P","Fill=—","Direction=H","UseDPDF=Y")</f>
        <v>#NAME?</v>
      </c>
      <c r="CO552" s="2" t="e">
        <f ca="1">_xll.BDH($C$528,"NET_DEBT_%_CAPITAL","FQ4 2018","FQ4 2018","Currency=INR","Period=FQ","BEST_FPERIOD_OVERRIDE=FQ","FILING_STATUS=OR","EQY_CONSOLIDATED=Y","Sort=A","Dates=H","DateFormat=P","Fill=—","Direction=H","UseDPDF=Y")</f>
        <v>#NAME?</v>
      </c>
      <c r="CP552" s="3" t="e">
        <f ca="1">_xll.BDH($C$528,"EBITDA","FQ4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552" s="3" t="e">
        <f ca="1">_xll.BDH($C$528,"EBITDA_AFTER_CAPEX","FQ4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552" s="3" t="e">
        <f ca="1">_xll.BDH($C$528,"IS_OPER_INC","FQ4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552" s="2" t="e">
        <f ca="1">_xll.BDH($C$528,"CASH_RATIO","FQ4 2018","FQ4 2018","Currency=INR","Period=FQ","BEST_FPERIOD_OVERRIDE=FQ","FILING_STATUS=OR","EQY_CONSOLIDATED=Y","Sort=A","Dates=H","DateFormat=P","Fill=—","Direction=H","UseDPDF=Y")</f>
        <v>#NAME?</v>
      </c>
      <c r="CT552" s="2" t="e">
        <f ca="1">_xll.BDH($C$528,"CUR_RATIO","FQ4 2018","FQ4 2018","Currency=INR","Period=FQ","BEST_FPERIOD_OVERRIDE=FQ","FILING_STATUS=OR","EQY_CONSOLIDATED=Y","Sort=A","Dates=H","DateFormat=P","Fill=—","Direction=H","UseDPDF=Y")</f>
        <v>#NAME?</v>
      </c>
      <c r="CU552" s="2" t="e">
        <f ca="1">_xll.BDH($C$528,"QUICK_RATIO","FQ4 2018","FQ4 2018","Currency=INR","Period=FQ","BEST_FPERIOD_OVERRIDE=FQ","FILING_STATUS=OR","EQY_CONSOLIDATED=Y","Sort=A","Dates=H","DateFormat=P","Fill=—","Direction=H","UseDPDF=Y")</f>
        <v>#NAME?</v>
      </c>
      <c r="CV552" s="2" t="e">
        <f ca="1">_xll.BDH($C$528,"ALTMAN_Z_SCORE","FQ4 2018","FQ4 2018","Currency=INR","Period=FQ","BEST_FPERIOD_OVERRIDE=FQ","FILING_STATUS=OR","EQY_CONSOLIDATED=Y","Sort=A","Dates=H","DateFormat=P","Fill=—","Direction=H","UseDPDF=Y")</f>
        <v>#NAME?</v>
      </c>
      <c r="CW552" s="4" t="e">
        <f ca="1">_xll.BDH($C$528,"ACCT_RCV_TURN","FQ4 2018","FQ4 2018","Currency=INR","Period=FQ","BEST_FPERIOD_OVERRIDE=FQ","FILING_STATUS=OR","EQY_CONSOLIDATED=Y","FA_ADJUSTED=GAAP","Sort=A","Dates=H","DateFormat=P","Fill=—","Direction=H","UseDPDF=Y")</f>
        <v>#NAME?</v>
      </c>
      <c r="CX552" s="2" t="e">
        <f ca="1">_xll.BDH($C$528,"ACCT_RCV_DAYS","FQ4 2018","FQ4 2018","Currency=INR","Period=FQ","BEST_FPERIOD_OVERRIDE=FQ","FILING_STATUS=OR","EQY_CONSOLIDATED=Y","FA_ADJUSTED=GAAP","Sort=A","Dates=H","DateFormat=P","Fill=—","Direction=H","UseDPDF=Y")</f>
        <v>#NAME?</v>
      </c>
      <c r="CY552" s="4" t="e">
        <f ca="1">_xll.BDH($C$528,"INVENT_TURN","FQ4 2018","FQ4 2018","Currency=INR","Period=FQ","BEST_FPERIOD_OVERRIDE=FQ","FILING_STATUS=OR","EQY_CONSOLIDATED=Y","FA_ADJUSTED=GAAP","Sort=A","Dates=H","DateFormat=P","Fill=—","Direction=H","UseDPDF=Y")</f>
        <v>#NAME?</v>
      </c>
      <c r="CZ552" s="2" t="e">
        <f ca="1">_xll.BDH($C$528,"INVENT_DAYS","FQ4 2018","FQ4 2018","Currency=INR","Period=FQ","BEST_FPERIOD_OVERRIDE=FQ","FILING_STATUS=OR","EQY_CONSOLIDATED=Y","FA_ADJUSTED=GAAP","Sort=A","Dates=H","DateFormat=P","Fill=—","Direction=H","UseDPDF=Y")</f>
        <v>#NAME?</v>
      </c>
      <c r="DA552" s="4" t="e">
        <f ca="1">_xll.BDH($C$528,"ACCOUNTS_PAYABLE_TURNOVER","FQ4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552" s="2" t="e">
        <f ca="1">_xll.BDH($C$528,"ACCOUNTS_PAYABLE_TURNOVER_DAYS","FQ4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552" s="4" t="e">
        <f ca="1">_xll.BDH($C$528,"CASH_CONVERSION_CYCLE","FQ4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552" s="4" t="e">
        <f ca="1">_xll.BDH($C$528,"INV_TO_CASH_DAYS","FQ4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552" s="5" t="e">
        <f ca="1">_xll.BDH($C$528,"BS_INVENTORIES","FQ4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552" s="3" t="e">
        <f ca="1">_xll.BDH($C$528,"INVTRY_RAW_MATERIALS","FQ4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552" s="3" t="e">
        <f ca="1">_xll.BDH($C$528,"INVTRY_IN_PROGRESS","FQ4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552" s="3" t="e">
        <f ca="1">_xll.BDH($C$528,"INVTRY_FINISHED_GOODS","FQ4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552" s="3" t="e">
        <f ca="1">_xll.BDH($C$528,"BS_OTHER_INV","FQ4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553" spans="1:113" x14ac:dyDescent="0.3">
      <c r="A553" s="6">
        <v>23</v>
      </c>
      <c r="B553" s="6" t="s">
        <v>128</v>
      </c>
      <c r="C553" s="6" t="s">
        <v>129</v>
      </c>
      <c r="D553" s="6" t="s">
        <v>76</v>
      </c>
      <c r="E553" t="s">
        <v>77</v>
      </c>
      <c r="F553" t="e">
        <f ca="1">_xll.BDH($C$553,"RETURN_COM_EQY","FY 2014","FY 2014","Currency=INR","Period=FY","BEST_FPERIOD_OVERRIDE=FY","FILING_STATUS=OR","EQY_CONSOLIDATED=Y","FA_ADJUSTED=GAAP","Sort=A","Dates=H","DateFormat=P","Fill=—","Direction=H","UseDPDF=Y")</f>
        <v>#NAME?</v>
      </c>
      <c r="G553" t="e">
        <f ca="1">_xll.BDH($C$553,"RETURN_ON_ASSET","FY 2014","FY 2014","Currency=INR","Period=FY","BEST_FPERIOD_OVERRIDE=FY","FILING_STATUS=OR","EQY_CONSOLIDATED=Y","FA_ADJUSTED=GAAP","Sort=A","Dates=H","DateFormat=P","Fill=—","Direction=H","UseDPDF=Y")</f>
        <v>#NAME?</v>
      </c>
      <c r="H553" t="e">
        <f ca="1">_xll.BDH($C$553,"RETURN_ON_CAP","FY 2014","FY 2014","Currency=INR","Period=FY","BEST_FPERIOD_OVERRIDE=FY","FILING_STATUS=OR","EQY_CONSOLIDATED=Y","FA_ADJUSTED=GAAP","Sort=A","Dates=H","DateFormat=P","Fill=—","Direction=H","UseDPDF=Y")</f>
        <v>#NAME?</v>
      </c>
      <c r="I553" t="e">
        <f ca="1">_xll.BDH($C$553,"RETURN_ON_INV_CAPITAL","FY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553" t="e">
        <f ca="1">_xll.BDH($C$553,"EBITDA_TO_REVENUE","FY 2014","FY 2014","Currency=INR","Period=FY","BEST_FPERIOD_OVERRIDE=FY","FILING_STATUS=OR","EQY_CONSOLIDATED=Y","FA_ADJUSTED=GAAP","Sort=A","Dates=H","DateFormat=P","Fill=—","Direction=H","UseDPDF=Y")</f>
        <v>#NAME?</v>
      </c>
      <c r="K553" t="e">
        <f ca="1">_xll.BDH($C$553,"OPER_MARGIN","FY 2014","FY 2014","Currency=INR","Period=FY","BEST_FPERIOD_OVERRIDE=FY","FILING_STATUS=OR","EQY_CONSOLIDATED=Y","FA_ADJUSTED=GAAP","Sort=A","Dates=H","DateFormat=P","Fill=—","Direction=H","UseDPDF=Y")</f>
        <v>#NAME?</v>
      </c>
      <c r="L553" t="e">
        <f ca="1">_xll.BDH($C$553,"INCREMENTAL_OPERATING_MARGIN","FY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553" t="e">
        <f ca="1">_xll.BDH($C$553,"PRETAX_INC_TO_NET_SALES","FY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553" t="e">
        <f ca="1">_xll.BDH($C$553,"INC_BEF_XO_ITEMS_TO_NET_SALES","FY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553" t="e">
        <f ca="1">_xll.BDH($C$553,"PROF_MARGIN","FY 2014","FY 2014","Currency=INR","Period=FY","BEST_FPERIOD_OVERRIDE=FY","FILING_STATUS=OR","EQY_CONSOLIDATED=Y","FA_ADJUSTED=GAAP","Sort=A","Dates=H","DateFormat=P","Fill=—","Direction=H","UseDPDF=Y")</f>
        <v>#NAME?</v>
      </c>
      <c r="P553" t="e">
        <f ca="1">_xll.BDH($C$553,"NET_INCOME_TO_COMMON_MARGIN","FY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553" t="e">
        <f ca="1">_xll.BDH($C$553,"EFF_TAX_RATE","FY 2014","FY 2014","Currency=INR","Period=FY","BEST_FPERIOD_OVERRIDE=FY","FILING_STATUS=OR","EQY_CONSOLIDATED=Y","FA_ADJUSTED=GAAP","Sort=A","Dates=H","DateFormat=P","Fill=—","Direction=H","UseDPDF=Y")</f>
        <v>#NAME?</v>
      </c>
      <c r="R553" t="e">
        <f ca="1">_xll.BDH($C$553,"DVD_PAYOUT_RATIO","FY 2014","FY 2014","Currency=INR","Period=FY","BEST_FPERIOD_OVERRIDE=FY","FILING_STATUS=OR","EQY_CONSOLIDATED=Y","FA_ADJUSTED=GAAP","Sort=A","Dates=H","DateFormat=P","Fill=—","Direction=H","UseDPDF=Y")</f>
        <v>#NAME?</v>
      </c>
      <c r="S553" t="e">
        <f ca="1">_xll.BDH($C$553,"SUSTAIN_GROWTH_RT","FY 2014","FY 2014","Currency=INR","Period=FY","BEST_FPERIOD_OVERRIDE=FY","FILING_STATUS=OR","EQY_CONSOLIDATED=Y","FA_ADJUSTED=GAAP","Sort=A","Dates=H","DateFormat=P","Fill=—","Direction=H","UseDPDF=Y")</f>
        <v>#NAME?</v>
      </c>
      <c r="T553" s="2" t="e">
        <f ca="1">_xll.BDH($C$553,"SALES_GROWTH","FY 2014","FY 2014","Currency=INR","Period=FY","BEST_FPERIOD_OVERRIDE=FY","FILING_STATUS=OR","EQY_CONSOLIDATED=Y","FA_ADJUSTED=GAAP","Sort=A","Dates=H","DateFormat=P","Fill=—","Direction=H","UseDPDF=Y")</f>
        <v>#NAME?</v>
      </c>
      <c r="U553" s="2" t="e">
        <f ca="1">_xll.BDH($C$553,"EBITDA_GROWTH","FY 2014","FY 2014","Currency=INR","Period=FY","BEST_FPERIOD_OVERRIDE=FY","FILING_STATUS=OR","EQY_CONSOLIDATED=Y","FA_ADJUSTED=GAAP","Sort=A","Dates=H","DateFormat=P","Fill=—","Direction=H","UseDPDF=Y")</f>
        <v>#NAME?</v>
      </c>
      <c r="V553" s="2" t="e">
        <f ca="1">_xll.BDH($C$553,"OPER_INC_GROWTH","FY 2014","FY 2014","Currency=INR","Period=FY","BEST_FPERIOD_OVERRIDE=FY","FILING_STATUS=OR","EQY_CONSOLIDATED=Y","FA_ADJUSTED=GAAP","Sort=A","Dates=H","DateFormat=P","Fill=—","Direction=H","UseDPDF=Y")</f>
        <v>#NAME?</v>
      </c>
      <c r="W553" s="2" t="e">
        <f ca="1">_xll.BDH($C$553,"EARN_FOR_COM_GROWTH","FY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553" s="2" t="e">
        <f ca="1">_xll.BDH($C$553,"DILUTED_EPS_AFT_XO_ITEMS_GROWTH","FY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553" s="2" t="e">
        <f ca="1">_xll.BDH($C$553,"DIVIDEND_PER_SHARE_1_YEAR_GROWTH","FY 2014","FY 2014","Currency=INR","Period=FY","BEST_FPERIOD_OVERRIDE=FY","FILING_STATUS=OR","EQY_CONSOLIDATED=Y","Sort=A","Dates=H","DateFormat=P","Fill=—","Direction=H","UseDPDF=Y")</f>
        <v>#NAME?</v>
      </c>
      <c r="Z553" s="2" t="e">
        <f ca="1">_xll.BDH($C$553,"ACCOUNTS_RECEIVABLE_GROWTH","FY 2014","FY 2014","Currency=INR","Period=FY","BEST_FPERIOD_OVERRIDE=FY","FILING_STATUS=OR","EQY_CONSOLIDATED=Y","Sort=A","Dates=H","DateFormat=P","Fill=—","Direction=H","UseDPDF=Y")</f>
        <v>#NAME?</v>
      </c>
      <c r="AA553" s="2" t="e">
        <f ca="1">_xll.BDH($C$553,"INVENTORY_GROWTH","FY 2014","FY 2014","Currency=INR","Period=FY","BEST_FPERIOD_OVERRIDE=FY","FILING_STATUS=OR","EQY_CONSOLIDATED=Y","Sort=A","Dates=H","DateFormat=P","Fill=—","Direction=H","UseDPDF=Y")</f>
        <v>#NAME?</v>
      </c>
      <c r="AB553" s="2" t="e">
        <f ca="1">_xll.BDH($C$553,"NET_FIXED_ASSETS_1_YEAR_GROWTH","FY 2014","FY 2014","Currency=INR","Period=FY","BEST_FPERIOD_OVERRIDE=FY","FILING_STATUS=OR","EQY_CONSOLIDATED=Y","Sort=A","Dates=H","DateFormat=P","Fill=—","Direction=H","UseDPDF=Y")</f>
        <v>#NAME?</v>
      </c>
      <c r="AC553" s="2" t="e">
        <f ca="1">_xll.BDH($C$553,"ASSET_GROWTH","FY 2014","FY 2014","Currency=INR","Period=FY","BEST_FPERIOD_OVERRIDE=FY","FILING_STATUS=OR","EQY_CONSOLIDATED=Y","Sort=A","Dates=H","DateFormat=P","Fill=—","Direction=H","UseDPDF=Y")</f>
        <v>#NAME?</v>
      </c>
      <c r="AD553" s="2" t="e">
        <f ca="1">_xll.BDH($C$553,"MODIFIED_WORK_CAP_GROWTH","FY 2014","FY 2014","Currency=INR","Period=FY","BEST_FPERIOD_OVERRIDE=FY","FILING_STATUS=OR","EQY_CONSOLIDATED=Y","Sort=A","Dates=H","DateFormat=P","Fill=—","Direction=H","UseDPDF=Y")</f>
        <v>#NAME?</v>
      </c>
      <c r="AE553" s="2" t="e">
        <f ca="1">_xll.BDH($C$553,"WORK_CAP_GROWTH","FY 2014","FY 2014","Currency=INR","Period=FY","BEST_FPERIOD_OVERRIDE=FY","FILING_STATUS=OR","EQY_CONSOLIDATED=Y","Sort=A","Dates=H","DateFormat=P","Fill=—","Direction=H","UseDPDF=Y")</f>
        <v>#NAME?</v>
      </c>
      <c r="AF553" s="2" t="e">
        <f ca="1">_xll.BDH($C$553,"ACCOUNTS_PAYABLE_GROWTH_1YR","FY 2014","FY 2014","Currency=INR","Period=FY","BEST_FPERIOD_OVERRIDE=FY","FILING_STATUS=OR","EQY_CONSOLIDATED=Y","Sort=A","Dates=H","DateFormat=P","Fill=—","Direction=H","UseDPDF=Y")</f>
        <v>#NAME?</v>
      </c>
      <c r="AG553" s="2" t="e">
        <f ca="1">_xll.BDH($C$553,"SHORT_TERM_DEBT_1_YEAR_GROWTH","FY 2014","FY 2014","Currency=INR","Period=FY","BEST_FPERIOD_OVERRIDE=FY","FILING_STATUS=OR","EQY_CONSOLIDATED=Y","Sort=A","Dates=H","DateFormat=P","Fill=—","Direction=H","UseDPDF=Y")</f>
        <v>#NAME?</v>
      </c>
      <c r="AH553" s="2" t="e">
        <f ca="1">_xll.BDH($C$553,"TOTAL_DEBT_1_YEAR_GROWTH","FY 2014","FY 2014","Currency=INR","Period=FY","BEST_FPERIOD_OVERRIDE=FY","FILING_STATUS=OR","EQY_CONSOLIDATED=Y","Sort=A","Dates=H","DateFormat=P","Fill=—","Direction=H","UseDPDF=Y")</f>
        <v>#NAME?</v>
      </c>
      <c r="AI553" s="2" t="e">
        <f ca="1">_xll.BDH($C$553,"TOTAL_EQUITY_1_YEAR_GROWTH","FY 2014","FY 2014","Currency=INR","Period=FY","BEST_FPERIOD_OVERRIDE=FY","FILING_STATUS=OR","EQY_CONSOLIDATED=Y","Sort=A","Dates=H","DateFormat=P","Fill=—","Direction=H","UseDPDF=Y")</f>
        <v>#NAME?</v>
      </c>
      <c r="AJ553" s="2" t="e">
        <f ca="1">_xll.BDH($C$553,"GROWTH_IN_CAP","FY 2014","FY 2014","Currency=INR","Period=FY","BEST_FPERIOD_OVERRIDE=FY","FILING_STATUS=OR","EQY_CONSOLIDATED=Y","Sort=A","Dates=H","DateFormat=P","Fill=—","Direction=H","UseDPDF=Y")</f>
        <v>#NAME?</v>
      </c>
      <c r="AK553" s="2" t="e">
        <f ca="1">_xll.BDH($C$553,"BVPS_GROWTH","FY 2014","FY 2014","Currency=INR","Period=FY","BEST_FPERIOD_OVERRIDE=FY","FILING_STATUS=OR","EQY_CONSOLIDATED=Y","Sort=A","Dates=H","DateFormat=P","Fill=—","Direction=H","UseDPDF=Y")</f>
        <v>#NAME?</v>
      </c>
      <c r="AL553" s="2" t="e">
        <f ca="1">_xll.BDH($C$553,"CASH_FLOW_GROWTH","FY 2014","FY 2014","Currency=INR","Period=FY","BEST_FPERIOD_OVERRIDE=FY","FILING_STATUS=OR","EQY_CONSOLIDATED=Y","Sort=A","Dates=H","DateFormat=P","Fill=—","Direction=H","UseDPDF=Y")</f>
        <v>#NAME?</v>
      </c>
      <c r="AM553" s="2" t="e">
        <f ca="1">_xll.BDH($C$553,"GEO_GROW_NET_SALES","FY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553" s="2" t="e">
        <f ca="1">_xll.BDH($C$553,"GEO_GROW_EBITDA","FY 2014","FY 2014","Currency=INR","Period=FY","BEST_FPERIOD_OVERRIDE=FY","FILING_STATUS=OR","EQY_CONSOLIDATED=Y","FA_ADJUSTED=GAAP","Sort=A","Dates=H","DateFormat=P","Fill=—","Direction=H","UseDPDF=Y")</f>
        <v>#NAME?</v>
      </c>
      <c r="AO553" s="2" t="e">
        <f ca="1">_xll.BDH($C$553,"GEO_GROW_OPER_INC","FY 2014","FY 2014","Currency=INR","Period=FY","BEST_FPERIOD_OVERRIDE=FY","FILING_STATUS=OR","EQY_CONSOLIDATED=Y","FA_ADJUSTED=GAAP","Sort=A","Dates=H","DateFormat=P","Fill=—","Direction=H","UseDPDF=Y")</f>
        <v>#NAME?</v>
      </c>
      <c r="AP553" s="2" t="e">
        <f ca="1">_xll.BDH($C$553,"NET_INCOME_TO_COMMON_5_YR_GROWTH","FY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553" s="2" t="e">
        <f ca="1">_xll.BDH($C$553,"5Y_GEO_GROWTH_DILUTED_EPS","FY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553" s="2" t="e">
        <f ca="1">_xll.BDH($C$553,"GEO_GROW_DVD_PER_SH","FY 2014","FY 2014","Currency=INR","Period=FY","BEST_FPERIOD_OVERRIDE=FY","FILING_STATUS=OR","EQY_CONSOLIDATED=Y","Sort=A","Dates=H","DateFormat=P","Fill=—","Direction=H","UseDPDF=Y")</f>
        <v>#NAME?</v>
      </c>
      <c r="AS553" s="2" t="e">
        <f ca="1">_xll.BDH($C$553,"ACCOUNTS_RECEIVABLE_5_YR_GROWTH","FY 2014","FY 2014","Currency=INR","Period=FY","BEST_FPERIOD_OVERRIDE=FY","FILING_STATUS=OR","EQY_CONSOLIDATED=Y","Sort=A","Dates=H","DateFormat=P","Fill=—","Direction=H","UseDPDF=Y")</f>
        <v>#NAME?</v>
      </c>
      <c r="AT553" s="2" t="e">
        <f ca="1">_xll.BDH($C$553,"INVENTORY_5_YEAR_GROWTH","FY 2014","FY 2014","Currency=INR","Period=FY","BEST_FPERIOD_OVERRIDE=FY","FILING_STATUS=OR","EQY_CONSOLIDATED=Y","Sort=A","Dates=H","DateFormat=P","Fill=—","Direction=H","UseDPDF=Y")</f>
        <v>#NAME?</v>
      </c>
      <c r="AU553" s="2" t="e">
        <f ca="1">_xll.BDH($C$553,"NET_FIXED_ASSETS_5_YEAR_GROWTH","FY 2014","FY 2014","Currency=INR","Period=FY","BEST_FPERIOD_OVERRIDE=FY","FILING_STATUS=OR","EQY_CONSOLIDATED=Y","Sort=A","Dates=H","DateFormat=P","Fill=—","Direction=H","UseDPDF=Y")</f>
        <v>#NAME?</v>
      </c>
      <c r="AV553" s="2" t="e">
        <f ca="1">_xll.BDH($C$553,"GEO_GROW_TOT_ASSET","FY 2014","FY 2014","Currency=INR","Period=FY","BEST_FPERIOD_OVERRIDE=FY","FILING_STATUS=OR","EQY_CONSOLIDATED=Y","Sort=A","Dates=H","DateFormat=P","Fill=—","Direction=H","UseDPDF=Y")</f>
        <v>#NAME?</v>
      </c>
      <c r="AW553" s="2" t="e">
        <f ca="1">_xll.BDH($C$553,"MODIFIED_WORKING_CPTL_5YR_GRWTH","FY 2014","FY 2014","Currency=INR","Period=FY","BEST_FPERIOD_OVERRIDE=FY","FILING_STATUS=OR","EQY_CONSOLIDATED=Y","Sort=A","Dates=H","DateFormat=P","Fill=—","Direction=H","UseDPDF=Y")</f>
        <v>#NAME?</v>
      </c>
      <c r="AX553" s="2" t="e">
        <f ca="1">_xll.BDH($C$553,"WORKING_CAPITAL_5_YEAR_GROWTH","FY 2014","FY 2014","Currency=INR","Period=FY","BEST_FPERIOD_OVERRIDE=FY","FILING_STATUS=OR","EQY_CONSOLIDATED=Y","Sort=A","Dates=H","DateFormat=P","Fill=—","Direction=H","UseDPDF=Y")</f>
        <v>#NAME?</v>
      </c>
      <c r="AY553" s="2" t="e">
        <f ca="1">_xll.BDH($C$553,"ACCOUNTS_PAYABLE_5_YEAR_GROWTH","FY 2014","FY 2014","Currency=INR","Period=FY","BEST_FPERIOD_OVERRIDE=FY","FILING_STATUS=OR","EQY_CONSOLIDATED=Y","Sort=A","Dates=H","DateFormat=P","Fill=—","Direction=H","UseDPDF=Y")</f>
        <v>#NAME?</v>
      </c>
      <c r="AZ553" s="2" t="e">
        <f ca="1">_xll.BDH($C$553,"SHORT_TERM_DEBT_5_YEAR_GROWTH","FY 2014","FY 2014","Currency=INR","Period=FY","BEST_FPERIOD_OVERRIDE=FY","FILING_STATUS=OR","EQY_CONSOLIDATED=Y","Sort=A","Dates=H","DateFormat=P","Fill=—","Direction=H","UseDPDF=Y")</f>
        <v>#NAME?</v>
      </c>
      <c r="BA553" s="2" t="e">
        <f ca="1">_xll.BDH($C$553,"TOTAL_DEBT_5_YEAR_GROWTH","FY 2014","FY 2014","Currency=INR","Period=FY","BEST_FPERIOD_OVERRIDE=FY","FILING_STATUS=OR","EQY_CONSOLIDATED=Y","Sort=A","Dates=H","DateFormat=P","Fill=—","Direction=H","UseDPDF=Y")</f>
        <v>#NAME?</v>
      </c>
      <c r="BB553" s="2" t="e">
        <f ca="1">_xll.BDH($C$553,"GEO_GROW_TOT_SHRHLDR_EQY","FY 2014","FY 2014","Currency=INR","Period=FY","BEST_FPERIOD_OVERRIDE=FY","FILING_STATUS=OR","EQY_CONSOLIDATED=Y","Sort=A","Dates=H","DateFormat=P","Fill=—","Direction=H","UseDPDF=Y")</f>
        <v>#NAME?</v>
      </c>
      <c r="BC553" s="2" t="e">
        <f ca="1">_xll.BDH($C$553,"TOTAL_CAPITAL_5_YEAR_GROWTH","FY 2014","FY 2014","Currency=INR","Period=FY","BEST_FPERIOD_OVERRIDE=FY","FILING_STATUS=OR","EQY_CONSOLIDATED=Y","Sort=A","Dates=H","DateFormat=P","Fill=—","Direction=H","UseDPDF=Y")</f>
        <v>#NAME?</v>
      </c>
      <c r="BD553" s="2" t="e">
        <f ca="1">_xll.BDH($C$553,"GEO_GROW_BOOK_VAL","FY 2014","FY 2014","Currency=INR","Period=FY","BEST_FPERIOD_OVERRIDE=FY","FILING_STATUS=OR","EQY_CONSOLIDATED=Y","Sort=A","Dates=H","DateFormat=P","Fill=—","Direction=H","UseDPDF=Y")</f>
        <v>#NAME?</v>
      </c>
      <c r="BE553" s="2" t="e">
        <f ca="1">_xll.BDH($C$553,"GEO_GROW_CASH_OPER_ACT","FY 2014","FY 2014","Currency=INR","Period=FY","BEST_FPERIOD_OVERRIDE=FY","FILING_STATUS=OR","EQY_CONSOLIDATED=Y","Sort=A","Dates=H","DateFormat=P","Fill=—","Direction=H","UseDPDF=Y")</f>
        <v>#NAME?</v>
      </c>
      <c r="BF553" s="2" t="e">
        <f ca="1">_xll.BDH($C$553,"REVENUE_SEQUENTIAL_GROWTH","FY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553" s="2" t="e">
        <f ca="1">_xll.BDH($C$553,"EBITDA_SEQUENTIAL_GROWTH","FY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553" s="2" t="e">
        <f ca="1">_xll.BDH($C$553,"OPERATING_INCOME_SEQ_GROWTH","FY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553" s="2" t="e">
        <f ca="1">_xll.BDH($C$553,"NET_INCOME_TO_COMMON_SEQ_GROWTH","FY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553" s="2" t="e">
        <f ca="1">_xll.BDH($C$553,"EPS_DILUTED_SEQUENTIAL_GROWTH","FY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553" s="2" t="e">
        <f ca="1">_xll.BDH($C$553,"DPS_SEQUENTIAL_GROWTH","FY 2014","FY 2014","Currency=INR","Period=FY","BEST_FPERIOD_OVERRIDE=FY","FILING_STATUS=OR","EQY_CONSOLIDATED=Y","Sort=A","Dates=H","DateFormat=P","Fill=—","Direction=H","UseDPDF=Y")</f>
        <v>#NAME?</v>
      </c>
      <c r="BL553" s="2" t="e">
        <f ca="1">_xll.BDH($C$553,"ACCOUNTS_RECEIVABLE_SEQ_GROWTH","FY 2014","FY 2014","Currency=INR","Period=FY","BEST_FPERIOD_OVERRIDE=FY","FILING_STATUS=OR","EQY_CONSOLIDATED=Y","Sort=A","Dates=H","DateFormat=P","Fill=—","Direction=H","UseDPDF=Y")</f>
        <v>#NAME?</v>
      </c>
      <c r="BM553" s="2" t="e">
        <f ca="1">_xll.BDH($C$553,"INVENTORY_SEQUENTIAL_GROWTH","FY 2014","FY 2014","Currency=INR","Period=FY","BEST_FPERIOD_OVERRIDE=FY","FILING_STATUS=OR","EQY_CONSOLIDATED=Y","Sort=A","Dates=H","DateFormat=P","Fill=—","Direction=H","UseDPDF=Y")</f>
        <v>#NAME?</v>
      </c>
      <c r="BN553" s="2" t="e">
        <f ca="1">_xll.BDH($C$553,"FIXED_ASSETS_SEQUENTIAL_GROWTH","FY 2014","FY 2014","Currency=INR","Period=FY","BEST_FPERIOD_OVERRIDE=FY","FILING_STATUS=OR","EQY_CONSOLIDATED=Y","Sort=A","Dates=H","DateFormat=P","Fill=—","Direction=H","UseDPDF=Y")</f>
        <v>#NAME?</v>
      </c>
      <c r="BO553" s="2" t="e">
        <f ca="1">_xll.BDH($C$553,"TOTAL_ASSETS_SEQUENTIAL_GROWTH","FY 2014","FY 2014","Currency=INR","Period=FY","BEST_FPERIOD_OVERRIDE=FY","FILING_STATUS=OR","EQY_CONSOLIDATED=Y","Sort=A","Dates=H","DateFormat=P","Fill=—","Direction=H","UseDPDF=Y")</f>
        <v>#NAME?</v>
      </c>
      <c r="BP553" s="2" t="e">
        <f ca="1">_xll.BDH($C$553,"MODIFIED_WORKING_CPTL_SEQ_GRWTH","FY 2014","FY 2014","Currency=INR","Period=FY","BEST_FPERIOD_OVERRIDE=FY","FILING_STATUS=OR","EQY_CONSOLIDATED=Y","Sort=A","Dates=H","DateFormat=P","Fill=—","Direction=H","UseDPDF=Y")</f>
        <v>#NAME?</v>
      </c>
      <c r="BQ553" s="2" t="e">
        <f ca="1">_xll.BDH($C$553,"WORKING_CAPITAL_SEQ_GROWTH","FY 2014","FY 2014","Currency=INR","Period=FY","BEST_FPERIOD_OVERRIDE=FY","FILING_STATUS=OR","EQY_CONSOLIDATED=Y","Sort=A","Dates=H","DateFormat=P","Fill=—","Direction=H","UseDPDF=Y")</f>
        <v>#NAME?</v>
      </c>
      <c r="BR553" s="2" t="e">
        <f ca="1">_xll.BDH($C$553,"ACCOUNTS_PAYABLE_SEQ_GROWTH","FY 2014","FY 2014","Currency=INR","Period=FY","BEST_FPERIOD_OVERRIDE=FY","FILING_STATUS=OR","EQY_CONSOLIDATED=Y","Sort=A","Dates=H","DateFormat=P","Fill=—","Direction=H","UseDPDF=Y")</f>
        <v>#NAME?</v>
      </c>
      <c r="BS553" s="2" t="e">
        <f ca="1">_xll.BDH($C$553,"ST_DEBT_SEQUENTIAL_GROWTH","FY 2014","FY 2014","Currency=INR","Period=FY","BEST_FPERIOD_OVERRIDE=FY","FILING_STATUS=OR","EQY_CONSOLIDATED=Y","Sort=A","Dates=H","DateFormat=P","Fill=—","Direction=H","UseDPDF=Y")</f>
        <v>#NAME?</v>
      </c>
      <c r="BT553" s="2" t="e">
        <f ca="1">_xll.BDH($C$553,"TOTAL_DEBT_SEQUENTIAL_GROWTH","FY 2014","FY 2014","Currency=INR","Period=FY","BEST_FPERIOD_OVERRIDE=FY","FILING_STATUS=OR","EQY_CONSOLIDATED=Y","Sort=A","Dates=H","DateFormat=P","Fill=—","Direction=H","UseDPDF=Y")</f>
        <v>#NAME?</v>
      </c>
      <c r="BU553" s="2" t="e">
        <f ca="1">_xll.BDH($C$553,"TOTAL_EQUITY_SEQUENTIAL_GROWTH","FY 2014","FY 2014","Currency=INR","Period=FY","BEST_FPERIOD_OVERRIDE=FY","FILING_STATUS=OR","EQY_CONSOLIDATED=Y","Sort=A","Dates=H","DateFormat=P","Fill=—","Direction=H","UseDPDF=Y")</f>
        <v>#NAME?</v>
      </c>
      <c r="BV553" s="2" t="e">
        <f ca="1">_xll.BDH($C$553,"TOTAL_CAPITAL_SEQUENTIAL_GROWTH","FY 2014","FY 2014","Currency=INR","Period=FY","BEST_FPERIOD_OVERRIDE=FY","FILING_STATUS=OR","EQY_CONSOLIDATED=Y","Sort=A","Dates=H","DateFormat=P","Fill=—","Direction=H","UseDPDF=Y")</f>
        <v>#NAME?</v>
      </c>
      <c r="BW553" s="2" t="e">
        <f ca="1">_xll.BDH($C$553,"BPS_SEQUENTIAL_GROWTH","FY 2014","FY 2014","Currency=INR","Period=FY","BEST_FPERIOD_OVERRIDE=FY","FILING_STATUS=OR","EQY_CONSOLIDATED=Y","Sort=A","Dates=H","DateFormat=P","Fill=—","Direction=H","UseDPDF=Y")</f>
        <v>#NAME?</v>
      </c>
      <c r="BX553" s="2" t="e">
        <f ca="1">_xll.BDH($C$553,"CFO_SEQUENTIAL_GROWTH","FY 2014","FY 2014","Currency=INR","Period=FY","BEST_FPERIOD_OVERRIDE=FY","FILING_STATUS=OR","EQY_CONSOLIDATED=Y","Sort=A","Dates=H","DateFormat=P","Fill=—","Direction=H","UseDPDF=Y")</f>
        <v>#NAME?</v>
      </c>
      <c r="BY553" s="3" t="e">
        <f ca="1">_xll.BDH($C$553,"SHORT_AND_LONG_TERM_DEBT","FY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553" s="3" t="e">
        <f ca="1">_xll.BDH($C$553,"BS_ST_BORROW","FY 2014","FY 2014","Currency=INR","Period=FY","BEST_FPERIOD_OVERRIDE=FY","FILING_STATUS=OR","EQY_CONSOLIDATED=Y","SCALING_FORMAT=MLN","Sort=A","Dates=H","DateFormat=P","Fill=—","Direction=H","UseDPDF=Y")</f>
        <v>#NAME?</v>
      </c>
      <c r="CA553" s="3" t="e">
        <f ca="1">_xll.BDH($C$553,"BS_LT_BORROW","FY 2014","FY 2014","Currency=INR","Period=FY","BEST_FPERIOD_OVERRIDE=FY","FILING_STATUS=OR","EQY_CONSOLIDATED=Y","SCALING_FORMAT=MLN","Sort=A","Dates=H","DateFormat=P","Fill=—","Direction=H","UseDPDF=Y")</f>
        <v>#NAME?</v>
      </c>
      <c r="CB553" s="2" t="e">
        <f ca="1">_xll.BDH($C$553,"TOT_DEBT_TO_EBITDA","FY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553" s="2" t="e">
        <f ca="1">_xll.BDH($C$553,"NET_DEBT_TO_EBITDA","FY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553" s="2" t="e">
        <f ca="1">_xll.BDH($C$553,"TOTAL_DEBT_TO_EBIT","FY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553" s="2" t="e">
        <f ca="1">_xll.BDH($C$553,"NET_DEBT_TO_EBIT","FY 2014","FY 2014","Currency=INR","Period=FY","BEST_FPERIOD_OVERRIDE=FY","FILING_STATUS=OR","EQY_CONSOLIDATED=Y","FA_ADJUSTED=GAAP","Sort=A","Dates=H","DateFormat=P","Fill=—","Direction=H","UseDPDF=Y")</f>
        <v>#NAME?</v>
      </c>
      <c r="CF553" s="2" t="e">
        <f ca="1">_xll.BDH($C$553,"EBITDA_TO_INTEREST_EXPN","FY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553" s="2" t="e">
        <f ca="1">_xll.BDH($C$553,"COM_EQY_TO_TOT_ASSET","FY 2014","FY 2014","Currency=INR","Period=FY","BEST_FPERIOD_OVERRIDE=FY","FILING_STATUS=OR","EQY_CONSOLIDATED=Y","Sort=A","Dates=H","DateFormat=P","Fill=—","Direction=H","UseDPDF=Y")</f>
        <v>#NAME?</v>
      </c>
      <c r="CH553" s="2" t="e">
        <f ca="1">_xll.BDH($C$553,"LT_DEBT_TO_TOT_EQY","FY 2014","FY 2014","Currency=INR","Period=FY","BEST_FPERIOD_OVERRIDE=FY","FILING_STATUS=OR","EQY_CONSOLIDATED=Y","Sort=A","Dates=H","DateFormat=P","Fill=—","Direction=H","UseDPDF=Y")</f>
        <v>#NAME?</v>
      </c>
      <c r="CI553" s="2" t="e">
        <f ca="1">_xll.BDH($C$553,"LT_DEBT_TO_TOT_CAP","FY 2014","FY 2014","Currency=INR","Period=FY","BEST_FPERIOD_OVERRIDE=FY","FILING_STATUS=OR","EQY_CONSOLIDATED=Y","Sort=A","Dates=H","DateFormat=P","Fill=—","Direction=H","UseDPDF=Y")</f>
        <v>#NAME?</v>
      </c>
      <c r="CJ553" s="2" t="e">
        <f ca="1">_xll.BDH($C$553,"LT_DEBT_TO_TOT_ASSET","FY 2014","FY 2014","Currency=INR","Period=FY","BEST_FPERIOD_OVERRIDE=FY","FILING_STATUS=OR","EQY_CONSOLIDATED=Y","Sort=A","Dates=H","DateFormat=P","Fill=—","Direction=H","UseDPDF=Y")</f>
        <v>#NAME?</v>
      </c>
      <c r="CK553" s="2" t="e">
        <f ca="1">_xll.BDH($C$553,"TOT_DEBT_TO_TOT_EQY","FY 2014","FY 2014","Currency=INR","Period=FY","BEST_FPERIOD_OVERRIDE=FY","FILING_STATUS=OR","EQY_CONSOLIDATED=Y","Sort=A","Dates=H","DateFormat=P","Fill=—","Direction=H","UseDPDF=Y")</f>
        <v>#NAME?</v>
      </c>
      <c r="CL553" s="2" t="e">
        <f ca="1">_xll.BDH($C$553,"TOT_DEBT_TO_TOT_CAP","FY 2014","FY 2014","Currency=INR","Period=FY","BEST_FPERIOD_OVERRIDE=FY","FILING_STATUS=OR","EQY_CONSOLIDATED=Y","Sort=A","Dates=H","DateFormat=P","Fill=—","Direction=H","UseDPDF=Y")</f>
        <v>#NAME?</v>
      </c>
      <c r="CM553" s="2" t="e">
        <f ca="1">_xll.BDH($C$553,"TOT_DEBT_TO_TOT_ASSET","FY 2014","FY 2014","Currency=INR","Period=FY","BEST_FPERIOD_OVERRIDE=FY","FILING_STATUS=OR","EQY_CONSOLIDATED=Y","Sort=A","Dates=H","DateFormat=P","Fill=—","Direction=H","UseDPDF=Y")</f>
        <v>#NAME?</v>
      </c>
      <c r="CN553" s="2" t="e">
        <f ca="1">_xll.BDH($C$553,"NET_DEBT_TO_SHRHLDR_EQTY","FY 2014","FY 2014","Currency=INR","Period=FY","BEST_FPERIOD_OVERRIDE=FY","FILING_STATUS=OR","EQY_CONSOLIDATED=Y","Sort=A","Dates=H","DateFormat=P","Fill=—","Direction=H","UseDPDF=Y")</f>
        <v>#NAME?</v>
      </c>
      <c r="CO553" s="2" t="e">
        <f ca="1">_xll.BDH($C$553,"NET_DEBT_%_CAPITAL","FY 2014","FY 2014","Currency=INR","Period=FY","BEST_FPERIOD_OVERRIDE=FY","FILING_STATUS=OR","EQY_CONSOLIDATED=Y","Sort=A","Dates=H","DateFormat=P","Fill=—","Direction=H","UseDPDF=Y")</f>
        <v>#NAME?</v>
      </c>
      <c r="CP553" s="3" t="e">
        <f ca="1">_xll.BDH($C$553,"EBITDA","FY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553" s="3" t="e">
        <f ca="1">_xll.BDH($C$553,"EBITDA_AFTER_CAPEX","FY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553" s="3" t="e">
        <f ca="1">_xll.BDH($C$553,"IS_OPER_INC","FY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553" s="2" t="e">
        <f ca="1">_xll.BDH($C$553,"CASH_RATIO","FY 2014","FY 2014","Currency=INR","Period=FY","BEST_FPERIOD_OVERRIDE=FY","FILING_STATUS=OR","EQY_CONSOLIDATED=Y","Sort=A","Dates=H","DateFormat=P","Fill=—","Direction=H","UseDPDF=Y")</f>
        <v>#NAME?</v>
      </c>
      <c r="CT553" s="2" t="e">
        <f ca="1">_xll.BDH($C$553,"CUR_RATIO","FY 2014","FY 2014","Currency=INR","Period=FY","BEST_FPERIOD_OVERRIDE=FY","FILING_STATUS=OR","EQY_CONSOLIDATED=Y","Sort=A","Dates=H","DateFormat=P","Fill=—","Direction=H","UseDPDF=Y")</f>
        <v>#NAME?</v>
      </c>
      <c r="CU553" s="2" t="e">
        <f ca="1">_xll.BDH($C$553,"QUICK_RATIO","FY 2014","FY 2014","Currency=INR","Period=FY","BEST_FPERIOD_OVERRIDE=FY","FILING_STATUS=OR","EQY_CONSOLIDATED=Y","Sort=A","Dates=H","DateFormat=P","Fill=—","Direction=H","UseDPDF=Y")</f>
        <v>#NAME?</v>
      </c>
      <c r="CV553" s="2" t="e">
        <f ca="1">_xll.BDH($C$553,"ALTMAN_Z_SCORE","FY 2014","FY 2014","Currency=INR","Period=FY","BEST_FPERIOD_OVERRIDE=FY","FILING_STATUS=OR","EQY_CONSOLIDATED=Y","Sort=A","Dates=H","DateFormat=P","Fill=—","Direction=H","UseDPDF=Y")</f>
        <v>#NAME?</v>
      </c>
      <c r="CW553" s="4" t="e">
        <f ca="1">_xll.BDH($C$553,"ACCT_RCV_TURN","FY 2014","FY 2014","Currency=INR","Period=FY","BEST_FPERIOD_OVERRIDE=FY","FILING_STATUS=OR","EQY_CONSOLIDATED=Y","FA_ADJUSTED=GAAP","Sort=A","Dates=H","DateFormat=P","Fill=—","Direction=H","UseDPDF=Y")</f>
        <v>#NAME?</v>
      </c>
      <c r="CX553" s="2" t="e">
        <f ca="1">_xll.BDH($C$553,"ACCT_RCV_DAYS","FY 2014","FY 2014","Currency=INR","Period=FY","BEST_FPERIOD_OVERRIDE=FY","FILING_STATUS=OR","EQY_CONSOLIDATED=Y","FA_ADJUSTED=GAAP","Sort=A","Dates=H","DateFormat=P","Fill=—","Direction=H","UseDPDF=Y")</f>
        <v>#NAME?</v>
      </c>
      <c r="CY553" s="4" t="e">
        <f ca="1">_xll.BDH($C$553,"INVENT_TURN","FY 2014","FY 2014","Currency=INR","Period=FY","BEST_FPERIOD_OVERRIDE=FY","FILING_STATUS=OR","EQY_CONSOLIDATED=Y","FA_ADJUSTED=GAAP","Sort=A","Dates=H","DateFormat=P","Fill=—","Direction=H","UseDPDF=Y")</f>
        <v>#NAME?</v>
      </c>
      <c r="CZ553" s="2" t="e">
        <f ca="1">_xll.BDH($C$553,"INVENT_DAYS","FY 2014","FY 2014","Currency=INR","Period=FY","BEST_FPERIOD_OVERRIDE=FY","FILING_STATUS=OR","EQY_CONSOLIDATED=Y","FA_ADJUSTED=GAAP","Sort=A","Dates=H","DateFormat=P","Fill=—","Direction=H","UseDPDF=Y")</f>
        <v>#NAME?</v>
      </c>
      <c r="DA553" s="4" t="e">
        <f ca="1">_xll.BDH($C$553,"ACCOUNTS_PAYABLE_TURNOVER","FY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553" s="2" t="e">
        <f ca="1">_xll.BDH($C$553,"ACCOUNTS_PAYABLE_TURNOVER_DAYS","FY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553" s="4" t="e">
        <f ca="1">_xll.BDH($C$553,"CASH_CONVERSION_CYCLE","FY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553" s="4" t="e">
        <f ca="1">_xll.BDH($C$553,"INV_TO_CASH_DAYS","FY 2014","FY 2014","Currency=INR","Period=FY","BEST_FPERIOD_OVERRIDE=FY","FILING_STATUS=OR","EQY_CONSOLIDATED=Y","FA_ADJUSTED=GAAP","Sort=A","Dates=H","DateFormat=P","Fill=—","Direction=H","UseDPDF=Y")</f>
        <v>#NAME?</v>
      </c>
      <c r="DE553" s="5" t="e">
        <f ca="1">_xll.BDH($C$553,"BS_INVENTORIES","FY 2014","FY 2014","Currency=INR","Period=FY","BEST_FPERIOD_OVERRIDE=FY","FILING_STATUS=OR","EQY_CONSOLIDATED=Y","SCALING_FORMAT=MLN","Sort=A","Dates=H","DateFormat=P","Fill=—","Direction=H","UseDPDF=Y")</f>
        <v>#NAME?</v>
      </c>
      <c r="DF553" s="3" t="e">
        <f ca="1">_xll.BDH($C$553,"INVTRY_RAW_MATERIALS","FY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553" s="3" t="e">
        <f ca="1">_xll.BDH($C$553,"INVTRY_IN_PROGRESS","FY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553" s="3" t="e">
        <f ca="1">_xll.BDH($C$553,"INVTRY_FINISHED_GOODS","FY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553" s="3" t="e">
        <f ca="1">_xll.BDH($C$553,"BS_OTHER_INV","FY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554" spans="1:113" x14ac:dyDescent="0.3">
      <c r="A554" s="6"/>
      <c r="B554" s="6"/>
      <c r="C554" s="6"/>
      <c r="D554" s="6"/>
      <c r="E554" t="s">
        <v>78</v>
      </c>
      <c r="F554" t="e">
        <f ca="1">_xll.BDH($C$553,"RETURN_COM_EQY","FQ1 2014","FQ1 2014","Currency=INR","Period=FQ","BEST_FPERIOD_OVERRIDE=FQ","FILING_STATUS=OR","EQY_CONSOLIDATED=Y","FA_ADJUSTED=GAAP","Sort=A","Dates=H","DateFormat=P","Fill=—","Direction=H","UseDPDF=Y")</f>
        <v>#NAME?</v>
      </c>
      <c r="G554" t="e">
        <f ca="1">_xll.BDH($C$553,"RETURN_ON_ASSET","FQ1 2014","FQ1 2014","Currency=INR","Period=FQ","BEST_FPERIOD_OVERRIDE=FQ","FILING_STATUS=OR","EQY_CONSOLIDATED=Y","FA_ADJUSTED=GAAP","Sort=A","Dates=H","DateFormat=P","Fill=—","Direction=H","UseDPDF=Y")</f>
        <v>#NAME?</v>
      </c>
      <c r="H554" t="e">
        <f ca="1">_xll.BDH($C$553,"RETURN_ON_CAP","FQ1 2014","FQ1 2014","Currency=INR","Period=FQ","BEST_FPERIOD_OVERRIDE=FQ","FILING_STATUS=OR","EQY_CONSOLIDATED=Y","FA_ADJUSTED=GAAP","Sort=A","Dates=H","DateFormat=P","Fill=—","Direction=H","UseDPDF=Y")</f>
        <v>#NAME?</v>
      </c>
      <c r="I554" t="e">
        <f ca="1">_xll.BDH($C$553,"RETURN_ON_INV_CAPITAL","FQ1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554" t="e">
        <f ca="1">_xll.BDH($C$553,"EBITDA_TO_REVENUE","FQ1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554" t="e">
        <f ca="1">_xll.BDH($C$553,"OPER_MARGIN","FQ1 2014","FQ1 2014","Currency=INR","Period=FQ","BEST_FPERIOD_OVERRIDE=FQ","FILING_STATUS=OR","EQY_CONSOLIDATED=Y","FA_ADJUSTED=GAAP","Sort=A","Dates=H","DateFormat=P","Fill=—","Direction=H","UseDPDF=Y")</f>
        <v>#NAME?</v>
      </c>
      <c r="L554" t="e">
        <f ca="1">_xll.BDH($C$553,"INCREMENTAL_OPERATING_MARGIN","FQ1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554" t="e">
        <f ca="1">_xll.BDH($C$553,"PRETAX_INC_TO_NET_SALES","FQ1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554" t="e">
        <f ca="1">_xll.BDH($C$553,"INC_BEF_XO_ITEMS_TO_NET_SALES","FQ1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554" t="e">
        <f ca="1">_xll.BDH($C$553,"PROF_MARGIN","FQ1 2014","FQ1 2014","Currency=INR","Period=FQ","BEST_FPERIOD_OVERRIDE=FQ","FILING_STATUS=OR","EQY_CONSOLIDATED=Y","FA_ADJUSTED=GAAP","Sort=A","Dates=H","DateFormat=P","Fill=—","Direction=H","UseDPDF=Y")</f>
        <v>#NAME?</v>
      </c>
      <c r="P554" t="e">
        <f ca="1">_xll.BDH($C$553,"NET_INCOME_TO_COMMON_MARGIN","FQ1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554" t="e">
        <f ca="1">_xll.BDH($C$553,"EFF_TAX_RATE","FQ1 2014","FQ1 2014","Currency=INR","Period=FQ","BEST_FPERIOD_OVERRIDE=FQ","FILING_STATUS=OR","EQY_CONSOLIDATED=Y","FA_ADJUSTED=GAAP","Sort=A","Dates=H","DateFormat=P","Fill=—","Direction=H","UseDPDF=Y")</f>
        <v>#NAME?</v>
      </c>
      <c r="R554" t="e">
        <f ca="1">_xll.BDH($C$553,"DVD_PAYOUT_RATIO","FQ1 2014","FQ1 2014","Currency=INR","Period=FQ","BEST_FPERIOD_OVERRIDE=FQ","FILING_STATUS=OR","EQY_CONSOLIDATED=Y","FA_ADJUSTED=GAAP","Sort=A","Dates=H","DateFormat=P","Fill=—","Direction=H","UseDPDF=Y")</f>
        <v>#NAME?</v>
      </c>
      <c r="S554" t="e">
        <f ca="1">_xll.BDH($C$553,"SUSTAIN_GROWTH_RT","FQ1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554" s="2" t="e">
        <f ca="1">_xll.BDH($C$553,"SALES_GROWTH","FQ1 2014","FQ1 2014","Currency=INR","Period=FQ","BEST_FPERIOD_OVERRIDE=FQ","FILING_STATUS=OR","EQY_CONSOLIDATED=Y","FA_ADJUSTED=GAAP","Sort=A","Dates=H","DateFormat=P","Fill=—","Direction=H","UseDPDF=Y")</f>
        <v>#NAME?</v>
      </c>
      <c r="U554" s="2" t="e">
        <f ca="1">_xll.BDH($C$553,"EBITDA_GROWTH","FQ1 2014","FQ1 2014","Currency=INR","Period=FQ","BEST_FPERIOD_OVERRIDE=FQ","FILING_STATUS=OR","EQY_CONSOLIDATED=Y","FA_ADJUSTED=GAAP","Sort=A","Dates=H","DateFormat=P","Fill=—","Direction=H","UseDPDF=Y")</f>
        <v>#NAME?</v>
      </c>
      <c r="V554" s="2" t="e">
        <f ca="1">_xll.BDH($C$553,"OPER_INC_GROWTH","FQ1 2014","FQ1 2014","Currency=INR","Period=FQ","BEST_FPERIOD_OVERRIDE=FQ","FILING_STATUS=OR","EQY_CONSOLIDATED=Y","FA_ADJUSTED=GAAP","Sort=A","Dates=H","DateFormat=P","Fill=—","Direction=H","UseDPDF=Y")</f>
        <v>#NAME?</v>
      </c>
      <c r="W554" s="2" t="e">
        <f ca="1">_xll.BDH($C$553,"EARN_FOR_COM_GROWTH","FQ1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554" s="2" t="e">
        <f ca="1">_xll.BDH($C$553,"DILUTED_EPS_AFT_XO_ITEMS_GROWTH","FQ1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554" s="2" t="e">
        <f ca="1">_xll.BDH($C$553,"DIVIDEND_PER_SHARE_1_YEAR_GROWTH","FQ1 2014","FQ1 2014","Currency=INR","Period=FQ","BEST_FPERIOD_OVERRIDE=FQ","FILING_STATUS=OR","EQY_CONSOLIDATED=Y","Sort=A","Dates=H","DateFormat=P","Fill=—","Direction=H","UseDPDF=Y")</f>
        <v>#NAME?</v>
      </c>
      <c r="Z554" s="2" t="e">
        <f ca="1">_xll.BDH($C$553,"ACCOUNTS_RECEIVABLE_GROWTH","FQ1 2014","FQ1 2014","Currency=INR","Period=FQ","BEST_FPERIOD_OVERRIDE=FQ","FILING_STATUS=OR","EQY_CONSOLIDATED=Y","Sort=A","Dates=H","DateFormat=P","Fill=—","Direction=H","UseDPDF=Y")</f>
        <v>#NAME?</v>
      </c>
      <c r="AA554" s="2" t="e">
        <f ca="1">_xll.BDH($C$553,"INVENTORY_GROWTH","FQ1 2014","FQ1 2014","Currency=INR","Period=FQ","BEST_FPERIOD_OVERRIDE=FQ","FILING_STATUS=OR","EQY_CONSOLIDATED=Y","Sort=A","Dates=H","DateFormat=P","Fill=—","Direction=H","UseDPDF=Y")</f>
        <v>#NAME?</v>
      </c>
      <c r="AB554" s="2" t="e">
        <f ca="1">_xll.BDH($C$553,"NET_FIXED_ASSETS_1_YEAR_GROWTH","FQ1 2014","FQ1 2014","Currency=INR","Period=FQ","BEST_FPERIOD_OVERRIDE=FQ","FILING_STATUS=OR","EQY_CONSOLIDATED=Y","Sort=A","Dates=H","DateFormat=P","Fill=—","Direction=H","UseDPDF=Y")</f>
        <v>#NAME?</v>
      </c>
      <c r="AC554" s="2" t="e">
        <f ca="1">_xll.BDH($C$553,"ASSET_GROWTH","FQ1 2014","FQ1 2014","Currency=INR","Period=FQ","BEST_FPERIOD_OVERRIDE=FQ","FILING_STATUS=OR","EQY_CONSOLIDATED=Y","Sort=A","Dates=H","DateFormat=P","Fill=—","Direction=H","UseDPDF=Y")</f>
        <v>#NAME?</v>
      </c>
      <c r="AD554" s="2" t="e">
        <f ca="1">_xll.BDH($C$553,"MODIFIED_WORK_CAP_GROWTH","FQ1 2014","FQ1 2014","Currency=INR","Period=FQ","BEST_FPERIOD_OVERRIDE=FQ","FILING_STATUS=OR","EQY_CONSOLIDATED=Y","Sort=A","Dates=H","DateFormat=P","Fill=—","Direction=H","UseDPDF=Y")</f>
        <v>#NAME?</v>
      </c>
      <c r="AE554" s="2" t="e">
        <f ca="1">_xll.BDH($C$553,"WORK_CAP_GROWTH","FQ1 2014","FQ1 2014","Currency=INR","Period=FQ","BEST_FPERIOD_OVERRIDE=FQ","FILING_STATUS=OR","EQY_CONSOLIDATED=Y","Sort=A","Dates=H","DateFormat=P","Fill=—","Direction=H","UseDPDF=Y")</f>
        <v>#NAME?</v>
      </c>
      <c r="AF554" s="2" t="e">
        <f ca="1">_xll.BDH($C$553,"ACCOUNTS_PAYABLE_GROWTH_1YR","FQ1 2014","FQ1 2014","Currency=INR","Period=FQ","BEST_FPERIOD_OVERRIDE=FQ","FILING_STATUS=OR","EQY_CONSOLIDATED=Y","Sort=A","Dates=H","DateFormat=P","Fill=—","Direction=H","UseDPDF=Y")</f>
        <v>#NAME?</v>
      </c>
      <c r="AG554" s="2" t="e">
        <f ca="1">_xll.BDH($C$553,"SHORT_TERM_DEBT_1_YEAR_GROWTH","FQ1 2014","FQ1 2014","Currency=INR","Period=FQ","BEST_FPERIOD_OVERRIDE=FQ","FILING_STATUS=OR","EQY_CONSOLIDATED=Y","Sort=A","Dates=H","DateFormat=P","Fill=—","Direction=H","UseDPDF=Y")</f>
        <v>#NAME?</v>
      </c>
      <c r="AH554" s="2" t="e">
        <f ca="1">_xll.BDH($C$553,"TOTAL_DEBT_1_YEAR_GROWTH","FQ1 2014","FQ1 2014","Currency=INR","Period=FQ","BEST_FPERIOD_OVERRIDE=FQ","FILING_STATUS=OR","EQY_CONSOLIDATED=Y","Sort=A","Dates=H","DateFormat=P","Fill=—","Direction=H","UseDPDF=Y")</f>
        <v>#NAME?</v>
      </c>
      <c r="AI554" s="2" t="e">
        <f ca="1">_xll.BDH($C$553,"TOTAL_EQUITY_1_YEAR_GROWTH","FQ1 2014","FQ1 2014","Currency=INR","Period=FQ","BEST_FPERIOD_OVERRIDE=FQ","FILING_STATUS=OR","EQY_CONSOLIDATED=Y","Sort=A","Dates=H","DateFormat=P","Fill=—","Direction=H","UseDPDF=Y")</f>
        <v>#NAME?</v>
      </c>
      <c r="AJ554" s="2" t="e">
        <f ca="1">_xll.BDH($C$553,"GROWTH_IN_CAP","FQ1 2014","FQ1 2014","Currency=INR","Period=FQ","BEST_FPERIOD_OVERRIDE=FQ","FILING_STATUS=OR","EQY_CONSOLIDATED=Y","Sort=A","Dates=H","DateFormat=P","Fill=—","Direction=H","UseDPDF=Y")</f>
        <v>#NAME?</v>
      </c>
      <c r="AK554" s="2" t="e">
        <f ca="1">_xll.BDH($C$553,"BVPS_GROWTH","FQ1 2014","FQ1 2014","Currency=INR","Period=FQ","BEST_FPERIOD_OVERRIDE=FQ","FILING_STATUS=OR","EQY_CONSOLIDATED=Y","Sort=A","Dates=H","DateFormat=P","Fill=—","Direction=H","UseDPDF=Y")</f>
        <v>#NAME?</v>
      </c>
      <c r="AL554" s="2" t="e">
        <f ca="1">_xll.BDH($C$553,"CASH_FLOW_GROWTH","FQ1 2014","FQ1 2014","Currency=INR","Period=FQ","BEST_FPERIOD_OVERRIDE=FQ","FILING_STATUS=OR","EQY_CONSOLIDATED=Y","Sort=A","Dates=H","DateFormat=P","Fill=—","Direction=H","UseDPDF=Y")</f>
        <v>#NAME?</v>
      </c>
      <c r="AM554" s="2" t="e">
        <f ca="1">_xll.BDH($C$553,"GEO_GROW_NET_SALES","FQ1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554" s="2" t="e">
        <f ca="1">_xll.BDH($C$553,"GEO_GROW_EBITDA","FQ1 2014","FQ1 2014","Currency=INR","Period=FQ","BEST_FPERIOD_OVERRIDE=FQ","FILING_STATUS=OR","EQY_CONSOLIDATED=Y","FA_ADJUSTED=GAAP","Sort=A","Dates=H","DateFormat=P","Fill=—","Direction=H","UseDPDF=Y")</f>
        <v>#NAME?</v>
      </c>
      <c r="AO554" s="2" t="e">
        <f ca="1">_xll.BDH($C$553,"GEO_GROW_OPER_INC","FQ1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554" s="2" t="e">
        <f ca="1">_xll.BDH($C$553,"NET_INCOME_TO_COMMON_5_YR_GROWTH","FQ1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554" s="2" t="e">
        <f ca="1">_xll.BDH($C$553,"5Y_GEO_GROWTH_DILUTED_EPS","FQ1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554" s="2" t="e">
        <f ca="1">_xll.BDH($C$553,"GEO_GROW_DVD_PER_SH","FQ1 2014","FQ1 2014","Currency=INR","Period=FQ","BEST_FPERIOD_OVERRIDE=FQ","FILING_STATUS=OR","EQY_CONSOLIDATED=Y","Sort=A","Dates=H","DateFormat=P","Fill=—","Direction=H","UseDPDF=Y")</f>
        <v>#NAME?</v>
      </c>
      <c r="AS554" s="2" t="e">
        <f ca="1">_xll.BDH($C$553,"ACCOUNTS_RECEIVABLE_5_YR_GROWTH","FQ1 2014","FQ1 2014","Currency=INR","Period=FQ","BEST_FPERIOD_OVERRIDE=FQ","FILING_STATUS=OR","EQY_CONSOLIDATED=Y","Sort=A","Dates=H","DateFormat=P","Fill=—","Direction=H","UseDPDF=Y")</f>
        <v>#NAME?</v>
      </c>
      <c r="AT554" s="2" t="e">
        <f ca="1">_xll.BDH($C$553,"INVENTORY_5_YEAR_GROWTH","FQ1 2014","FQ1 2014","Currency=INR","Period=FQ","BEST_FPERIOD_OVERRIDE=FQ","FILING_STATUS=OR","EQY_CONSOLIDATED=Y","Sort=A","Dates=H","DateFormat=P","Fill=—","Direction=H","UseDPDF=Y")</f>
        <v>#NAME?</v>
      </c>
      <c r="AU554" s="2" t="e">
        <f ca="1">_xll.BDH($C$553,"NET_FIXED_ASSETS_5_YEAR_GROWTH","FQ1 2014","FQ1 2014","Currency=INR","Period=FQ","BEST_FPERIOD_OVERRIDE=FQ","FILING_STATUS=OR","EQY_CONSOLIDATED=Y","Sort=A","Dates=H","DateFormat=P","Fill=—","Direction=H","UseDPDF=Y")</f>
        <v>#NAME?</v>
      </c>
      <c r="AV554" s="2" t="e">
        <f ca="1">_xll.BDH($C$553,"GEO_GROW_TOT_ASSET","FQ1 2014","FQ1 2014","Currency=INR","Period=FQ","BEST_FPERIOD_OVERRIDE=FQ","FILING_STATUS=OR","EQY_CONSOLIDATED=Y","Sort=A","Dates=H","DateFormat=P","Fill=—","Direction=H","UseDPDF=Y")</f>
        <v>#NAME?</v>
      </c>
      <c r="AW554" s="2" t="e">
        <f ca="1">_xll.BDH($C$553,"MODIFIED_WORKING_CPTL_5YR_GRWTH","FQ1 2014","FQ1 2014","Currency=INR","Period=FQ","BEST_FPERIOD_OVERRIDE=FQ","FILING_STATUS=OR","EQY_CONSOLIDATED=Y","Sort=A","Dates=H","DateFormat=P","Fill=—","Direction=H","UseDPDF=Y")</f>
        <v>#NAME?</v>
      </c>
      <c r="AX554" s="2" t="e">
        <f ca="1">_xll.BDH($C$553,"WORKING_CAPITAL_5_YEAR_GROWTH","FQ1 2014","FQ1 2014","Currency=INR","Period=FQ","BEST_FPERIOD_OVERRIDE=FQ","FILING_STATUS=OR","EQY_CONSOLIDATED=Y","Sort=A","Dates=H","DateFormat=P","Fill=—","Direction=H","UseDPDF=Y")</f>
        <v>#NAME?</v>
      </c>
      <c r="AY554" s="2" t="e">
        <f ca="1">_xll.BDH($C$553,"ACCOUNTS_PAYABLE_5_YEAR_GROWTH","FQ1 2014","FQ1 2014","Currency=INR","Period=FQ","BEST_FPERIOD_OVERRIDE=FQ","FILING_STATUS=OR","EQY_CONSOLIDATED=Y","Sort=A","Dates=H","DateFormat=P","Fill=—","Direction=H","UseDPDF=Y")</f>
        <v>#NAME?</v>
      </c>
      <c r="AZ554" s="2" t="e">
        <f ca="1">_xll.BDH($C$553,"SHORT_TERM_DEBT_5_YEAR_GROWTH","FQ1 2014","FQ1 2014","Currency=INR","Period=FQ","BEST_FPERIOD_OVERRIDE=FQ","FILING_STATUS=OR","EQY_CONSOLIDATED=Y","Sort=A","Dates=H","DateFormat=P","Fill=—","Direction=H","UseDPDF=Y")</f>
        <v>#NAME?</v>
      </c>
      <c r="BA554" s="2" t="e">
        <f ca="1">_xll.BDH($C$553,"TOTAL_DEBT_5_YEAR_GROWTH","FQ1 2014","FQ1 2014","Currency=INR","Period=FQ","BEST_FPERIOD_OVERRIDE=FQ","FILING_STATUS=OR","EQY_CONSOLIDATED=Y","Sort=A","Dates=H","DateFormat=P","Fill=—","Direction=H","UseDPDF=Y")</f>
        <v>#NAME?</v>
      </c>
      <c r="BB554" s="2" t="e">
        <f ca="1">_xll.BDH($C$553,"GEO_GROW_TOT_SHRHLDR_EQY","FQ1 2014","FQ1 2014","Currency=INR","Period=FQ","BEST_FPERIOD_OVERRIDE=FQ","FILING_STATUS=OR","EQY_CONSOLIDATED=Y","Sort=A","Dates=H","DateFormat=P","Fill=—","Direction=H","UseDPDF=Y")</f>
        <v>#NAME?</v>
      </c>
      <c r="BC554" s="2" t="e">
        <f ca="1">_xll.BDH($C$553,"TOTAL_CAPITAL_5_YEAR_GROWTH","FQ1 2014","FQ1 2014","Currency=INR","Period=FQ","BEST_FPERIOD_OVERRIDE=FQ","FILING_STATUS=OR","EQY_CONSOLIDATED=Y","Sort=A","Dates=H","DateFormat=P","Fill=—","Direction=H","UseDPDF=Y")</f>
        <v>#NAME?</v>
      </c>
      <c r="BD554" s="2" t="e">
        <f ca="1">_xll.BDH($C$553,"GEO_GROW_BOOK_VAL","FQ1 2014","FQ1 2014","Currency=INR","Period=FQ","BEST_FPERIOD_OVERRIDE=FQ","FILING_STATUS=OR","EQY_CONSOLIDATED=Y","Sort=A","Dates=H","DateFormat=P","Fill=—","Direction=H","UseDPDF=Y")</f>
        <v>#NAME?</v>
      </c>
      <c r="BE554" s="2" t="e">
        <f ca="1">_xll.BDH($C$553,"GEO_GROW_CASH_OPER_ACT","FQ1 2014","FQ1 2014","Currency=INR","Period=FQ","BEST_FPERIOD_OVERRIDE=FQ","FILING_STATUS=OR","EQY_CONSOLIDATED=Y","Sort=A","Dates=H","DateFormat=P","Fill=—","Direction=H","UseDPDF=Y")</f>
        <v>#NAME?</v>
      </c>
      <c r="BF554" s="2" t="e">
        <f ca="1">_xll.BDH($C$553,"REVENUE_SEQUENTIAL_GROWTH","FQ1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554" s="2" t="e">
        <f ca="1">_xll.BDH($C$553,"EBITDA_SEQUENTIAL_GROWTH","FQ1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554" s="2" t="e">
        <f ca="1">_xll.BDH($C$553,"OPERATING_INCOME_SEQ_GROWTH","FQ1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554" s="2" t="e">
        <f ca="1">_xll.BDH($C$553,"NET_INCOME_TO_COMMON_SEQ_GROWTH","FQ1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554" s="2" t="e">
        <f ca="1">_xll.BDH($C$553,"EPS_DILUTED_SEQUENTIAL_GROWTH","FQ1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554" s="2" t="e">
        <f ca="1">_xll.BDH($C$553,"DPS_SEQUENTIAL_GROWTH","FQ1 2014","FQ1 2014","Currency=INR","Period=FQ","BEST_FPERIOD_OVERRIDE=FQ","FILING_STATUS=OR","EQY_CONSOLIDATED=Y","Sort=A","Dates=H","DateFormat=P","Fill=—","Direction=H","UseDPDF=Y")</f>
        <v>#NAME?</v>
      </c>
      <c r="BL554" s="2" t="e">
        <f ca="1">_xll.BDH($C$553,"ACCOUNTS_RECEIVABLE_SEQ_GROWTH","FQ1 2014","FQ1 2014","Currency=INR","Period=FQ","BEST_FPERIOD_OVERRIDE=FQ","FILING_STATUS=OR","EQY_CONSOLIDATED=Y","Sort=A","Dates=H","DateFormat=P","Fill=—","Direction=H","UseDPDF=Y")</f>
        <v>#NAME?</v>
      </c>
      <c r="BM554" s="2" t="e">
        <f ca="1">_xll.BDH($C$553,"INVENTORY_SEQUENTIAL_GROWTH","FQ1 2014","FQ1 2014","Currency=INR","Period=FQ","BEST_FPERIOD_OVERRIDE=FQ","FILING_STATUS=OR","EQY_CONSOLIDATED=Y","Sort=A","Dates=H","DateFormat=P","Fill=—","Direction=H","UseDPDF=Y")</f>
        <v>#NAME?</v>
      </c>
      <c r="BN554" s="2" t="e">
        <f ca="1">_xll.BDH($C$553,"FIXED_ASSETS_SEQUENTIAL_GROWTH","FQ1 2014","FQ1 2014","Currency=INR","Period=FQ","BEST_FPERIOD_OVERRIDE=FQ","FILING_STATUS=OR","EQY_CONSOLIDATED=Y","Sort=A","Dates=H","DateFormat=P","Fill=—","Direction=H","UseDPDF=Y")</f>
        <v>#NAME?</v>
      </c>
      <c r="BO554" s="2" t="e">
        <f ca="1">_xll.BDH($C$553,"TOTAL_ASSETS_SEQUENTIAL_GROWTH","FQ1 2014","FQ1 2014","Currency=INR","Period=FQ","BEST_FPERIOD_OVERRIDE=FQ","FILING_STATUS=OR","EQY_CONSOLIDATED=Y","Sort=A","Dates=H","DateFormat=P","Fill=—","Direction=H","UseDPDF=Y")</f>
        <v>#NAME?</v>
      </c>
      <c r="BP554" s="2" t="e">
        <f ca="1">_xll.BDH($C$553,"MODIFIED_WORKING_CPTL_SEQ_GRWTH","FQ1 2014","FQ1 2014","Currency=INR","Period=FQ","BEST_FPERIOD_OVERRIDE=FQ","FILING_STATUS=OR","EQY_CONSOLIDATED=Y","Sort=A","Dates=H","DateFormat=P","Fill=—","Direction=H","UseDPDF=Y")</f>
        <v>#NAME?</v>
      </c>
      <c r="BQ554" s="2" t="e">
        <f ca="1">_xll.BDH($C$553,"WORKING_CAPITAL_SEQ_GROWTH","FQ1 2014","FQ1 2014","Currency=INR","Period=FQ","BEST_FPERIOD_OVERRIDE=FQ","FILING_STATUS=OR","EQY_CONSOLIDATED=Y","Sort=A","Dates=H","DateFormat=P","Fill=—","Direction=H","UseDPDF=Y")</f>
        <v>#NAME?</v>
      </c>
      <c r="BR554" s="2" t="e">
        <f ca="1">_xll.BDH($C$553,"ACCOUNTS_PAYABLE_SEQ_GROWTH","FQ1 2014","FQ1 2014","Currency=INR","Period=FQ","BEST_FPERIOD_OVERRIDE=FQ","FILING_STATUS=OR","EQY_CONSOLIDATED=Y","Sort=A","Dates=H","DateFormat=P","Fill=—","Direction=H","UseDPDF=Y")</f>
        <v>#NAME?</v>
      </c>
      <c r="BS554" s="2" t="e">
        <f ca="1">_xll.BDH($C$553,"ST_DEBT_SEQUENTIAL_GROWTH","FQ1 2014","FQ1 2014","Currency=INR","Period=FQ","BEST_FPERIOD_OVERRIDE=FQ","FILING_STATUS=OR","EQY_CONSOLIDATED=Y","Sort=A","Dates=H","DateFormat=P","Fill=—","Direction=H","UseDPDF=Y")</f>
        <v>#NAME?</v>
      </c>
      <c r="BT554" s="2" t="e">
        <f ca="1">_xll.BDH($C$553,"TOTAL_DEBT_SEQUENTIAL_GROWTH","FQ1 2014","FQ1 2014","Currency=INR","Period=FQ","BEST_FPERIOD_OVERRIDE=FQ","FILING_STATUS=OR","EQY_CONSOLIDATED=Y","Sort=A","Dates=H","DateFormat=P","Fill=—","Direction=H","UseDPDF=Y")</f>
        <v>#NAME?</v>
      </c>
      <c r="BU554" s="2" t="e">
        <f ca="1">_xll.BDH($C$553,"TOTAL_EQUITY_SEQUENTIAL_GROWTH","FQ1 2014","FQ1 2014","Currency=INR","Period=FQ","BEST_FPERIOD_OVERRIDE=FQ","FILING_STATUS=OR","EQY_CONSOLIDATED=Y","Sort=A","Dates=H","DateFormat=P","Fill=—","Direction=H","UseDPDF=Y")</f>
        <v>#NAME?</v>
      </c>
      <c r="BV554" s="2" t="e">
        <f ca="1">_xll.BDH($C$553,"TOTAL_CAPITAL_SEQUENTIAL_GROWTH","FQ1 2014","FQ1 2014","Currency=INR","Period=FQ","BEST_FPERIOD_OVERRIDE=FQ","FILING_STATUS=OR","EQY_CONSOLIDATED=Y","Sort=A","Dates=H","DateFormat=P","Fill=—","Direction=H","UseDPDF=Y")</f>
        <v>#NAME?</v>
      </c>
      <c r="BW554" s="2" t="e">
        <f ca="1">_xll.BDH($C$553,"BPS_SEQUENTIAL_GROWTH","FQ1 2014","FQ1 2014","Currency=INR","Period=FQ","BEST_FPERIOD_OVERRIDE=FQ","FILING_STATUS=OR","EQY_CONSOLIDATED=Y","Sort=A","Dates=H","DateFormat=P","Fill=—","Direction=H","UseDPDF=Y")</f>
        <v>#NAME?</v>
      </c>
      <c r="BX554" s="2" t="e">
        <f ca="1">_xll.BDH($C$553,"CFO_SEQUENTIAL_GROWTH","FQ1 2014","FQ1 2014","Currency=INR","Period=FQ","BEST_FPERIOD_OVERRIDE=FQ","FILING_STATUS=OR","EQY_CONSOLIDATED=Y","Sort=A","Dates=H","DateFormat=P","Fill=—","Direction=H","UseDPDF=Y")</f>
        <v>#NAME?</v>
      </c>
      <c r="BY554" s="3" t="e">
        <f ca="1">_xll.BDH($C$553,"SHORT_AND_LONG_TERM_DEBT","FQ1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554" s="3" t="e">
        <f ca="1">_xll.BDH($C$553,"BS_ST_BORROW","FQ1 2014","FQ1 2014","Currency=INR","Period=FQ","BEST_FPERIOD_OVERRIDE=FQ","FILING_STATUS=OR","EQY_CONSOLIDATED=Y","SCALING_FORMAT=MLN","Sort=A","Dates=H","DateFormat=P","Fill=—","Direction=H","UseDPDF=Y")</f>
        <v>#NAME?</v>
      </c>
      <c r="CA554" s="3" t="e">
        <f ca="1">_xll.BDH($C$553,"BS_LT_BORROW","FQ1 2014","FQ1 2014","Currency=INR","Period=FQ","BEST_FPERIOD_OVERRIDE=FQ","FILING_STATUS=OR","EQY_CONSOLIDATED=Y","SCALING_FORMAT=MLN","Sort=A","Dates=H","DateFormat=P","Fill=—","Direction=H","UseDPDF=Y")</f>
        <v>#NAME?</v>
      </c>
      <c r="CB554" s="2" t="e">
        <f ca="1">_xll.BDH($C$553,"TOT_DEBT_TO_EBITDA","FQ1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554" s="2" t="e">
        <f ca="1">_xll.BDH($C$553,"NET_DEBT_TO_EBITDA","FQ1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554" s="2" t="e">
        <f ca="1">_xll.BDH($C$553,"TOTAL_DEBT_TO_EBIT","FQ1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554" s="2" t="e">
        <f ca="1">_xll.BDH($C$553,"NET_DEBT_TO_EBIT","FQ1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554" s="2" t="e">
        <f ca="1">_xll.BDH($C$553,"EBITDA_TO_INTEREST_EXPN","FQ1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554" s="2" t="e">
        <f ca="1">_xll.BDH($C$553,"COM_EQY_TO_TOT_ASSET","FQ1 2014","FQ1 2014","Currency=INR","Period=FQ","BEST_FPERIOD_OVERRIDE=FQ","FILING_STATUS=OR","EQY_CONSOLIDATED=Y","Sort=A","Dates=H","DateFormat=P","Fill=—","Direction=H","UseDPDF=Y")</f>
        <v>#NAME?</v>
      </c>
      <c r="CH554" s="2" t="e">
        <f ca="1">_xll.BDH($C$553,"LT_DEBT_TO_TOT_EQY","FQ1 2014","FQ1 2014","Currency=INR","Period=FQ","BEST_FPERIOD_OVERRIDE=FQ","FILING_STATUS=OR","EQY_CONSOLIDATED=Y","Sort=A","Dates=H","DateFormat=P","Fill=—","Direction=H","UseDPDF=Y")</f>
        <v>#NAME?</v>
      </c>
      <c r="CI554" s="2" t="e">
        <f ca="1">_xll.BDH($C$553,"LT_DEBT_TO_TOT_CAP","FQ1 2014","FQ1 2014","Currency=INR","Period=FQ","BEST_FPERIOD_OVERRIDE=FQ","FILING_STATUS=OR","EQY_CONSOLIDATED=Y","Sort=A","Dates=H","DateFormat=P","Fill=—","Direction=H","UseDPDF=Y")</f>
        <v>#NAME?</v>
      </c>
      <c r="CJ554" s="2" t="e">
        <f ca="1">_xll.BDH($C$553,"LT_DEBT_TO_TOT_ASSET","FQ1 2014","FQ1 2014","Currency=INR","Period=FQ","BEST_FPERIOD_OVERRIDE=FQ","FILING_STATUS=OR","EQY_CONSOLIDATED=Y","Sort=A","Dates=H","DateFormat=P","Fill=—","Direction=H","UseDPDF=Y")</f>
        <v>#NAME?</v>
      </c>
      <c r="CK554" s="2" t="e">
        <f ca="1">_xll.BDH($C$553,"TOT_DEBT_TO_TOT_EQY","FQ1 2014","FQ1 2014","Currency=INR","Period=FQ","BEST_FPERIOD_OVERRIDE=FQ","FILING_STATUS=OR","EQY_CONSOLIDATED=Y","Sort=A","Dates=H","DateFormat=P","Fill=—","Direction=H","UseDPDF=Y")</f>
        <v>#NAME?</v>
      </c>
      <c r="CL554" s="2" t="e">
        <f ca="1">_xll.BDH($C$553,"TOT_DEBT_TO_TOT_CAP","FQ1 2014","FQ1 2014","Currency=INR","Period=FQ","BEST_FPERIOD_OVERRIDE=FQ","FILING_STATUS=OR","EQY_CONSOLIDATED=Y","Sort=A","Dates=H","DateFormat=P","Fill=—","Direction=H","UseDPDF=Y")</f>
        <v>#NAME?</v>
      </c>
      <c r="CM554" s="2" t="e">
        <f ca="1">_xll.BDH($C$553,"TOT_DEBT_TO_TOT_ASSET","FQ1 2014","FQ1 2014","Currency=INR","Period=FQ","BEST_FPERIOD_OVERRIDE=FQ","FILING_STATUS=OR","EQY_CONSOLIDATED=Y","Sort=A","Dates=H","DateFormat=P","Fill=—","Direction=H","UseDPDF=Y")</f>
        <v>#NAME?</v>
      </c>
      <c r="CN554" s="2" t="e">
        <f ca="1">_xll.BDH($C$553,"NET_DEBT_TO_SHRHLDR_EQTY","FQ1 2014","FQ1 2014","Currency=INR","Period=FQ","BEST_FPERIOD_OVERRIDE=FQ","FILING_STATUS=OR","EQY_CONSOLIDATED=Y","Sort=A","Dates=H","DateFormat=P","Fill=—","Direction=H","UseDPDF=Y")</f>
        <v>#NAME?</v>
      </c>
      <c r="CO554" s="2" t="e">
        <f ca="1">_xll.BDH($C$553,"NET_DEBT_%_CAPITAL","FQ1 2014","FQ1 2014","Currency=INR","Period=FQ","BEST_FPERIOD_OVERRIDE=FQ","FILING_STATUS=OR","EQY_CONSOLIDATED=Y","Sort=A","Dates=H","DateFormat=P","Fill=—","Direction=H","UseDPDF=Y")</f>
        <v>#NAME?</v>
      </c>
      <c r="CP554" s="3" t="e">
        <f ca="1">_xll.BDH($C$553,"EBITDA","FQ1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554" s="3" t="e">
        <f ca="1">_xll.BDH($C$553,"EBITDA_AFTER_CAPEX","FQ1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554" s="3" t="e">
        <f ca="1">_xll.BDH($C$553,"IS_OPER_INC","FQ1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554" s="2" t="e">
        <f ca="1">_xll.BDH($C$553,"CASH_RATIO","FQ1 2014","FQ1 2014","Currency=INR","Period=FQ","BEST_FPERIOD_OVERRIDE=FQ","FILING_STATUS=OR","EQY_CONSOLIDATED=Y","Sort=A","Dates=H","DateFormat=P","Fill=—","Direction=H","UseDPDF=Y")</f>
        <v>#NAME?</v>
      </c>
      <c r="CT554" s="2" t="e">
        <f ca="1">_xll.BDH($C$553,"CUR_RATIO","FQ1 2014","FQ1 2014","Currency=INR","Period=FQ","BEST_FPERIOD_OVERRIDE=FQ","FILING_STATUS=OR","EQY_CONSOLIDATED=Y","Sort=A","Dates=H","DateFormat=P","Fill=—","Direction=H","UseDPDF=Y")</f>
        <v>#NAME?</v>
      </c>
      <c r="CU554" s="2" t="e">
        <f ca="1">_xll.BDH($C$553,"QUICK_RATIO","FQ1 2014","FQ1 2014","Currency=INR","Period=FQ","BEST_FPERIOD_OVERRIDE=FQ","FILING_STATUS=OR","EQY_CONSOLIDATED=Y","Sort=A","Dates=H","DateFormat=P","Fill=—","Direction=H","UseDPDF=Y")</f>
        <v>#NAME?</v>
      </c>
      <c r="CV554" s="2" t="e">
        <f ca="1">_xll.BDH($C$553,"ALTMAN_Z_SCORE","FQ1 2014","FQ1 2014","Currency=INR","Period=FQ","BEST_FPERIOD_OVERRIDE=FQ","FILING_STATUS=OR","EQY_CONSOLIDATED=Y","Sort=A","Dates=H","DateFormat=P","Fill=—","Direction=H","UseDPDF=Y")</f>
        <v>#NAME?</v>
      </c>
      <c r="CW554" s="4" t="e">
        <f ca="1">_xll.BDH($C$553,"ACCT_RCV_TURN","FQ1 2014","FQ1 2014","Currency=INR","Period=FQ","BEST_FPERIOD_OVERRIDE=FQ","FILING_STATUS=OR","EQY_CONSOLIDATED=Y","FA_ADJUSTED=GAAP","Sort=A","Dates=H","DateFormat=P","Fill=—","Direction=H","UseDPDF=Y")</f>
        <v>#NAME?</v>
      </c>
      <c r="CX554" s="2" t="e">
        <f ca="1">_xll.BDH($C$553,"ACCT_RCV_DAYS","FQ1 2014","FQ1 2014","Currency=INR","Period=FQ","BEST_FPERIOD_OVERRIDE=FQ","FILING_STATUS=OR","EQY_CONSOLIDATED=Y","FA_ADJUSTED=GAAP","Sort=A","Dates=H","DateFormat=P","Fill=—","Direction=H","UseDPDF=Y")</f>
        <v>#NAME?</v>
      </c>
      <c r="CY554" s="4" t="e">
        <f ca="1">_xll.BDH($C$553,"INVENT_TURN","FQ1 2014","FQ1 2014","Currency=INR","Period=FQ","BEST_FPERIOD_OVERRIDE=FQ","FILING_STATUS=OR","EQY_CONSOLIDATED=Y","FA_ADJUSTED=GAAP","Sort=A","Dates=H","DateFormat=P","Fill=—","Direction=H","UseDPDF=Y")</f>
        <v>#NAME?</v>
      </c>
      <c r="CZ554" s="2" t="e">
        <f ca="1">_xll.BDH($C$553,"INVENT_DAYS","FQ1 2014","FQ1 2014","Currency=INR","Period=FQ","BEST_FPERIOD_OVERRIDE=FQ","FILING_STATUS=OR","EQY_CONSOLIDATED=Y","FA_ADJUSTED=GAAP","Sort=A","Dates=H","DateFormat=P","Fill=—","Direction=H","UseDPDF=Y")</f>
        <v>#NAME?</v>
      </c>
      <c r="DA554" s="4" t="e">
        <f ca="1">_xll.BDH($C$553,"ACCOUNTS_PAYABLE_TURNOVER","FQ1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554" s="2" t="e">
        <f ca="1">_xll.BDH($C$553,"ACCOUNTS_PAYABLE_TURNOVER_DAYS","FQ1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554" s="4" t="e">
        <f ca="1">_xll.BDH($C$553,"CASH_CONVERSION_CYCLE","FQ1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554" s="4" t="e">
        <f ca="1">_xll.BDH($C$553,"INV_TO_CASH_DAYS","FQ1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554" s="5" t="e">
        <f ca="1">_xll.BDH($C$553,"BS_INVENTORIES","FQ1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554" s="3" t="e">
        <f ca="1">_xll.BDH($C$553,"INVTRY_RAW_MATERIALS","FQ1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554" s="3" t="e">
        <f ca="1">_xll.BDH($C$553,"INVTRY_IN_PROGRESS","FQ1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554" s="3" t="e">
        <f ca="1">_xll.BDH($C$553,"INVTRY_FINISHED_GOODS","FQ1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554" s="3" t="e">
        <f ca="1">_xll.BDH($C$553,"BS_OTHER_INV","FQ1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55" spans="1:113" x14ac:dyDescent="0.3">
      <c r="A555" s="6"/>
      <c r="B555" s="6"/>
      <c r="C555" s="6"/>
      <c r="D555" s="6"/>
      <c r="E555" t="s">
        <v>79</v>
      </c>
      <c r="F555" t="e">
        <f ca="1">_xll.BDH($C$553,"RETURN_COM_EQY","FQ2 2014","FQ2 2014","Currency=INR","Period=FQ","BEST_FPERIOD_OVERRIDE=FQ","FILING_STATUS=OR","EQY_CONSOLIDATED=Y","FA_ADJUSTED=GAAP","Sort=A","Dates=H","DateFormat=P","Fill=—","Direction=H","UseDPDF=Y")</f>
        <v>#NAME?</v>
      </c>
      <c r="G555" t="e">
        <f ca="1">_xll.BDH($C$553,"RETURN_ON_ASSET","FQ2 2014","FQ2 2014","Currency=INR","Period=FQ","BEST_FPERIOD_OVERRIDE=FQ","FILING_STATUS=OR","EQY_CONSOLIDATED=Y","FA_ADJUSTED=GAAP","Sort=A","Dates=H","DateFormat=P","Fill=—","Direction=H","UseDPDF=Y")</f>
        <v>#NAME?</v>
      </c>
      <c r="H555" t="e">
        <f ca="1">_xll.BDH($C$553,"RETURN_ON_CAP","FQ2 2014","FQ2 2014","Currency=INR","Period=FQ","BEST_FPERIOD_OVERRIDE=FQ","FILING_STATUS=OR","EQY_CONSOLIDATED=Y","FA_ADJUSTED=GAAP","Sort=A","Dates=H","DateFormat=P","Fill=—","Direction=H","UseDPDF=Y")</f>
        <v>#NAME?</v>
      </c>
      <c r="I555" t="e">
        <f ca="1">_xll.BDH($C$553,"RETURN_ON_INV_CAPITAL","FQ2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55" t="e">
        <f ca="1">_xll.BDH($C$553,"EBITDA_TO_REVENUE","FQ2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555" t="e">
        <f ca="1">_xll.BDH($C$553,"OPER_MARGIN","FQ2 2014","FQ2 2014","Currency=INR","Period=FQ","BEST_FPERIOD_OVERRIDE=FQ","FILING_STATUS=OR","EQY_CONSOLIDATED=Y","FA_ADJUSTED=GAAP","Sort=A","Dates=H","DateFormat=P","Fill=—","Direction=H","UseDPDF=Y")</f>
        <v>#NAME?</v>
      </c>
      <c r="L555" t="e">
        <f ca="1">_xll.BDH($C$553,"INCREMENTAL_OPERATING_MARGIN","FQ2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55" t="e">
        <f ca="1">_xll.BDH($C$553,"PRETAX_INC_TO_NET_SALES","FQ2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55" t="e">
        <f ca="1">_xll.BDH($C$553,"INC_BEF_XO_ITEMS_TO_NET_SALES","FQ2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55" t="e">
        <f ca="1">_xll.BDH($C$553,"PROF_MARGIN","FQ2 2014","FQ2 2014","Currency=INR","Period=FQ","BEST_FPERIOD_OVERRIDE=FQ","FILING_STATUS=OR","EQY_CONSOLIDATED=Y","FA_ADJUSTED=GAAP","Sort=A","Dates=H","DateFormat=P","Fill=—","Direction=H","UseDPDF=Y")</f>
        <v>#NAME?</v>
      </c>
      <c r="P555" t="e">
        <f ca="1">_xll.BDH($C$553,"NET_INCOME_TO_COMMON_MARGIN","FQ2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55" t="e">
        <f ca="1">_xll.BDH($C$553,"EFF_TAX_RATE","FQ2 2014","FQ2 2014","Currency=INR","Period=FQ","BEST_FPERIOD_OVERRIDE=FQ","FILING_STATUS=OR","EQY_CONSOLIDATED=Y","FA_ADJUSTED=GAAP","Sort=A","Dates=H","DateFormat=P","Fill=—","Direction=H","UseDPDF=Y")</f>
        <v>#NAME?</v>
      </c>
      <c r="R555" t="e">
        <f ca="1">_xll.BDH($C$553,"DVD_PAYOUT_RATIO","FQ2 2014","FQ2 2014","Currency=INR","Period=FQ","BEST_FPERIOD_OVERRIDE=FQ","FILING_STATUS=OR","EQY_CONSOLIDATED=Y","FA_ADJUSTED=GAAP","Sort=A","Dates=H","DateFormat=P","Fill=—","Direction=H","UseDPDF=Y")</f>
        <v>#NAME?</v>
      </c>
      <c r="S555" t="e">
        <f ca="1">_xll.BDH($C$553,"SUSTAIN_GROWTH_RT","FQ2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555" s="2" t="e">
        <f ca="1">_xll.BDH($C$553,"SALES_GROWTH","FQ2 2014","FQ2 2014","Currency=INR","Period=FQ","BEST_FPERIOD_OVERRIDE=FQ","FILING_STATUS=OR","EQY_CONSOLIDATED=Y","FA_ADJUSTED=GAAP","Sort=A","Dates=H","DateFormat=P","Fill=—","Direction=H","UseDPDF=Y")</f>
        <v>#NAME?</v>
      </c>
      <c r="U555" s="2" t="e">
        <f ca="1">_xll.BDH($C$553,"EBITDA_GROWTH","FQ2 2014","FQ2 2014","Currency=INR","Period=FQ","BEST_FPERIOD_OVERRIDE=FQ","FILING_STATUS=OR","EQY_CONSOLIDATED=Y","FA_ADJUSTED=GAAP","Sort=A","Dates=H","DateFormat=P","Fill=—","Direction=H","UseDPDF=Y")</f>
        <v>#NAME?</v>
      </c>
      <c r="V555" s="2" t="e">
        <f ca="1">_xll.BDH($C$553,"OPER_INC_GROWTH","FQ2 2014","FQ2 2014","Currency=INR","Period=FQ","BEST_FPERIOD_OVERRIDE=FQ","FILING_STATUS=OR","EQY_CONSOLIDATED=Y","FA_ADJUSTED=GAAP","Sort=A","Dates=H","DateFormat=P","Fill=—","Direction=H","UseDPDF=Y")</f>
        <v>#NAME?</v>
      </c>
      <c r="W555" s="2" t="e">
        <f ca="1">_xll.BDH($C$553,"EARN_FOR_COM_GROWTH","FQ2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55" s="2" t="e">
        <f ca="1">_xll.BDH($C$553,"DILUTED_EPS_AFT_XO_ITEMS_GROWTH","FQ2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55" s="2" t="e">
        <f ca="1">_xll.BDH($C$553,"DIVIDEND_PER_SHARE_1_YEAR_GROWTH","FQ2 2014","FQ2 2014","Currency=INR","Period=FQ","BEST_FPERIOD_OVERRIDE=FQ","FILING_STATUS=OR","EQY_CONSOLIDATED=Y","Sort=A","Dates=H","DateFormat=P","Fill=—","Direction=H","UseDPDF=Y")</f>
        <v>#NAME?</v>
      </c>
      <c r="Z555" s="2" t="e">
        <f ca="1">_xll.BDH($C$553,"ACCOUNTS_RECEIVABLE_GROWTH","FQ2 2014","FQ2 2014","Currency=INR","Period=FQ","BEST_FPERIOD_OVERRIDE=FQ","FILING_STATUS=OR","EQY_CONSOLIDATED=Y","Sort=A","Dates=H","DateFormat=P","Fill=—","Direction=H","UseDPDF=Y")</f>
        <v>#NAME?</v>
      </c>
      <c r="AA555" s="2" t="e">
        <f ca="1">_xll.BDH($C$553,"INVENTORY_GROWTH","FQ2 2014","FQ2 2014","Currency=INR","Period=FQ","BEST_FPERIOD_OVERRIDE=FQ","FILING_STATUS=OR","EQY_CONSOLIDATED=Y","Sort=A","Dates=H","DateFormat=P","Fill=—","Direction=H","UseDPDF=Y")</f>
        <v>#NAME?</v>
      </c>
      <c r="AB555" s="2" t="e">
        <f ca="1">_xll.BDH($C$553,"NET_FIXED_ASSETS_1_YEAR_GROWTH","FQ2 2014","FQ2 2014","Currency=INR","Period=FQ","BEST_FPERIOD_OVERRIDE=FQ","FILING_STATUS=OR","EQY_CONSOLIDATED=Y","Sort=A","Dates=H","DateFormat=P","Fill=—","Direction=H","UseDPDF=Y")</f>
        <v>#NAME?</v>
      </c>
      <c r="AC555" s="2" t="e">
        <f ca="1">_xll.BDH($C$553,"ASSET_GROWTH","FQ2 2014","FQ2 2014","Currency=INR","Period=FQ","BEST_FPERIOD_OVERRIDE=FQ","FILING_STATUS=OR","EQY_CONSOLIDATED=Y","Sort=A","Dates=H","DateFormat=P","Fill=—","Direction=H","UseDPDF=Y")</f>
        <v>#NAME?</v>
      </c>
      <c r="AD555" s="2" t="e">
        <f ca="1">_xll.BDH($C$553,"MODIFIED_WORK_CAP_GROWTH","FQ2 2014","FQ2 2014","Currency=INR","Period=FQ","BEST_FPERIOD_OVERRIDE=FQ","FILING_STATUS=OR","EQY_CONSOLIDATED=Y","Sort=A","Dates=H","DateFormat=P","Fill=—","Direction=H","UseDPDF=Y")</f>
        <v>#NAME?</v>
      </c>
      <c r="AE555" s="2" t="e">
        <f ca="1">_xll.BDH($C$553,"WORK_CAP_GROWTH","FQ2 2014","FQ2 2014","Currency=INR","Period=FQ","BEST_FPERIOD_OVERRIDE=FQ","FILING_STATUS=OR","EQY_CONSOLIDATED=Y","Sort=A","Dates=H","DateFormat=P","Fill=—","Direction=H","UseDPDF=Y")</f>
        <v>#NAME?</v>
      </c>
      <c r="AF555" s="2" t="e">
        <f ca="1">_xll.BDH($C$553,"ACCOUNTS_PAYABLE_GROWTH_1YR","FQ2 2014","FQ2 2014","Currency=INR","Period=FQ","BEST_FPERIOD_OVERRIDE=FQ","FILING_STATUS=OR","EQY_CONSOLIDATED=Y","Sort=A","Dates=H","DateFormat=P","Fill=—","Direction=H","UseDPDF=Y")</f>
        <v>#NAME?</v>
      </c>
      <c r="AG555" s="2" t="e">
        <f ca="1">_xll.BDH($C$553,"SHORT_TERM_DEBT_1_YEAR_GROWTH","FQ2 2014","FQ2 2014","Currency=INR","Period=FQ","BEST_FPERIOD_OVERRIDE=FQ","FILING_STATUS=OR","EQY_CONSOLIDATED=Y","Sort=A","Dates=H","DateFormat=P","Fill=—","Direction=H","UseDPDF=Y")</f>
        <v>#NAME?</v>
      </c>
      <c r="AH555" s="2" t="e">
        <f ca="1">_xll.BDH($C$553,"TOTAL_DEBT_1_YEAR_GROWTH","FQ2 2014","FQ2 2014","Currency=INR","Period=FQ","BEST_FPERIOD_OVERRIDE=FQ","FILING_STATUS=OR","EQY_CONSOLIDATED=Y","Sort=A","Dates=H","DateFormat=P","Fill=—","Direction=H","UseDPDF=Y")</f>
        <v>#NAME?</v>
      </c>
      <c r="AI555" s="2" t="e">
        <f ca="1">_xll.BDH($C$553,"TOTAL_EQUITY_1_YEAR_GROWTH","FQ2 2014","FQ2 2014","Currency=INR","Period=FQ","BEST_FPERIOD_OVERRIDE=FQ","FILING_STATUS=OR","EQY_CONSOLIDATED=Y","Sort=A","Dates=H","DateFormat=P","Fill=—","Direction=H","UseDPDF=Y")</f>
        <v>#NAME?</v>
      </c>
      <c r="AJ555" s="2" t="e">
        <f ca="1">_xll.BDH($C$553,"GROWTH_IN_CAP","FQ2 2014","FQ2 2014","Currency=INR","Period=FQ","BEST_FPERIOD_OVERRIDE=FQ","FILING_STATUS=OR","EQY_CONSOLIDATED=Y","Sort=A","Dates=H","DateFormat=P","Fill=—","Direction=H","UseDPDF=Y")</f>
        <v>#NAME?</v>
      </c>
      <c r="AK555" s="2" t="e">
        <f ca="1">_xll.BDH($C$553,"BVPS_GROWTH","FQ2 2014","FQ2 2014","Currency=INR","Period=FQ","BEST_FPERIOD_OVERRIDE=FQ","FILING_STATUS=OR","EQY_CONSOLIDATED=Y","Sort=A","Dates=H","DateFormat=P","Fill=—","Direction=H","UseDPDF=Y")</f>
        <v>#NAME?</v>
      </c>
      <c r="AL555" s="2" t="e">
        <f ca="1">_xll.BDH($C$553,"CASH_FLOW_GROWTH","FQ2 2014","FQ2 2014","Currency=INR","Period=FQ","BEST_FPERIOD_OVERRIDE=FQ","FILING_STATUS=OR","EQY_CONSOLIDATED=Y","Sort=A","Dates=H","DateFormat=P","Fill=—","Direction=H","UseDPDF=Y")</f>
        <v>#NAME?</v>
      </c>
      <c r="AM555" s="2" t="e">
        <f ca="1">_xll.BDH($C$553,"GEO_GROW_NET_SALES","FQ2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55" s="2" t="e">
        <f ca="1">_xll.BDH($C$553,"GEO_GROW_EBITDA","FQ2 2014","FQ2 2014","Currency=INR","Period=FQ","BEST_FPERIOD_OVERRIDE=FQ","FILING_STATUS=OR","EQY_CONSOLIDATED=Y","FA_ADJUSTED=GAAP","Sort=A","Dates=H","DateFormat=P","Fill=—","Direction=H","UseDPDF=Y")</f>
        <v>#NAME?</v>
      </c>
      <c r="AO555" s="2" t="e">
        <f ca="1">_xll.BDH($C$553,"GEO_GROW_OPER_INC","FQ2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55" s="2" t="e">
        <f ca="1">_xll.BDH($C$553,"NET_INCOME_TO_COMMON_5_YR_GROWTH","FQ2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55" s="2" t="e">
        <f ca="1">_xll.BDH($C$553,"5Y_GEO_GROWTH_DILUTED_EPS","FQ2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55" s="2" t="e">
        <f ca="1">_xll.BDH($C$553,"GEO_GROW_DVD_PER_SH","FQ2 2014","FQ2 2014","Currency=INR","Period=FQ","BEST_FPERIOD_OVERRIDE=FQ","FILING_STATUS=OR","EQY_CONSOLIDATED=Y","Sort=A","Dates=H","DateFormat=P","Fill=—","Direction=H","UseDPDF=Y")</f>
        <v>#NAME?</v>
      </c>
      <c r="AS555" s="2" t="e">
        <f ca="1">_xll.BDH($C$553,"ACCOUNTS_RECEIVABLE_5_YR_GROWTH","FQ2 2014","FQ2 2014","Currency=INR","Period=FQ","BEST_FPERIOD_OVERRIDE=FQ","FILING_STATUS=OR","EQY_CONSOLIDATED=Y","Sort=A","Dates=H","DateFormat=P","Fill=—","Direction=H","UseDPDF=Y")</f>
        <v>#NAME?</v>
      </c>
      <c r="AT555" s="2" t="e">
        <f ca="1">_xll.BDH($C$553,"INVENTORY_5_YEAR_GROWTH","FQ2 2014","FQ2 2014","Currency=INR","Period=FQ","BEST_FPERIOD_OVERRIDE=FQ","FILING_STATUS=OR","EQY_CONSOLIDATED=Y","Sort=A","Dates=H","DateFormat=P","Fill=—","Direction=H","UseDPDF=Y")</f>
        <v>#NAME?</v>
      </c>
      <c r="AU555" s="2" t="e">
        <f ca="1">_xll.BDH($C$553,"NET_FIXED_ASSETS_5_YEAR_GROWTH","FQ2 2014","FQ2 2014","Currency=INR","Period=FQ","BEST_FPERIOD_OVERRIDE=FQ","FILING_STATUS=OR","EQY_CONSOLIDATED=Y","Sort=A","Dates=H","DateFormat=P","Fill=—","Direction=H","UseDPDF=Y")</f>
        <v>#NAME?</v>
      </c>
      <c r="AV555" s="2" t="e">
        <f ca="1">_xll.BDH($C$553,"GEO_GROW_TOT_ASSET","FQ2 2014","FQ2 2014","Currency=INR","Period=FQ","BEST_FPERIOD_OVERRIDE=FQ","FILING_STATUS=OR","EQY_CONSOLIDATED=Y","Sort=A","Dates=H","DateFormat=P","Fill=—","Direction=H","UseDPDF=Y")</f>
        <v>#NAME?</v>
      </c>
      <c r="AW555" s="2" t="e">
        <f ca="1">_xll.BDH($C$553,"MODIFIED_WORKING_CPTL_5YR_GRWTH","FQ2 2014","FQ2 2014","Currency=INR","Period=FQ","BEST_FPERIOD_OVERRIDE=FQ","FILING_STATUS=OR","EQY_CONSOLIDATED=Y","Sort=A","Dates=H","DateFormat=P","Fill=—","Direction=H","UseDPDF=Y")</f>
        <v>#NAME?</v>
      </c>
      <c r="AX555" s="2" t="e">
        <f ca="1">_xll.BDH($C$553,"WORKING_CAPITAL_5_YEAR_GROWTH","FQ2 2014","FQ2 2014","Currency=INR","Period=FQ","BEST_FPERIOD_OVERRIDE=FQ","FILING_STATUS=OR","EQY_CONSOLIDATED=Y","Sort=A","Dates=H","DateFormat=P","Fill=—","Direction=H","UseDPDF=Y")</f>
        <v>#NAME?</v>
      </c>
      <c r="AY555" s="2" t="e">
        <f ca="1">_xll.BDH($C$553,"ACCOUNTS_PAYABLE_5_YEAR_GROWTH","FQ2 2014","FQ2 2014","Currency=INR","Period=FQ","BEST_FPERIOD_OVERRIDE=FQ","FILING_STATUS=OR","EQY_CONSOLIDATED=Y","Sort=A","Dates=H","DateFormat=P","Fill=—","Direction=H","UseDPDF=Y")</f>
        <v>#NAME?</v>
      </c>
      <c r="AZ555" s="2" t="e">
        <f ca="1">_xll.BDH($C$553,"SHORT_TERM_DEBT_5_YEAR_GROWTH","FQ2 2014","FQ2 2014","Currency=INR","Period=FQ","BEST_FPERIOD_OVERRIDE=FQ","FILING_STATUS=OR","EQY_CONSOLIDATED=Y","Sort=A","Dates=H","DateFormat=P","Fill=—","Direction=H","UseDPDF=Y")</f>
        <v>#NAME?</v>
      </c>
      <c r="BA555" s="2" t="e">
        <f ca="1">_xll.BDH($C$553,"TOTAL_DEBT_5_YEAR_GROWTH","FQ2 2014","FQ2 2014","Currency=INR","Period=FQ","BEST_FPERIOD_OVERRIDE=FQ","FILING_STATUS=OR","EQY_CONSOLIDATED=Y","Sort=A","Dates=H","DateFormat=P","Fill=—","Direction=H","UseDPDF=Y")</f>
        <v>#NAME?</v>
      </c>
      <c r="BB555" s="2" t="e">
        <f ca="1">_xll.BDH($C$553,"GEO_GROW_TOT_SHRHLDR_EQY","FQ2 2014","FQ2 2014","Currency=INR","Period=FQ","BEST_FPERIOD_OVERRIDE=FQ","FILING_STATUS=OR","EQY_CONSOLIDATED=Y","Sort=A","Dates=H","DateFormat=P","Fill=—","Direction=H","UseDPDF=Y")</f>
        <v>#NAME?</v>
      </c>
      <c r="BC555" s="2" t="e">
        <f ca="1">_xll.BDH($C$553,"TOTAL_CAPITAL_5_YEAR_GROWTH","FQ2 2014","FQ2 2014","Currency=INR","Period=FQ","BEST_FPERIOD_OVERRIDE=FQ","FILING_STATUS=OR","EQY_CONSOLIDATED=Y","Sort=A","Dates=H","DateFormat=P","Fill=—","Direction=H","UseDPDF=Y")</f>
        <v>#NAME?</v>
      </c>
      <c r="BD555" s="2" t="e">
        <f ca="1">_xll.BDH($C$553,"GEO_GROW_BOOK_VAL","FQ2 2014","FQ2 2014","Currency=INR","Period=FQ","BEST_FPERIOD_OVERRIDE=FQ","FILING_STATUS=OR","EQY_CONSOLIDATED=Y","Sort=A","Dates=H","DateFormat=P","Fill=—","Direction=H","UseDPDF=Y")</f>
        <v>#NAME?</v>
      </c>
      <c r="BE555" s="2" t="e">
        <f ca="1">_xll.BDH($C$553,"GEO_GROW_CASH_OPER_ACT","FQ2 2014","FQ2 2014","Currency=INR","Period=FQ","BEST_FPERIOD_OVERRIDE=FQ","FILING_STATUS=OR","EQY_CONSOLIDATED=Y","Sort=A","Dates=H","DateFormat=P","Fill=—","Direction=H","UseDPDF=Y")</f>
        <v>#NAME?</v>
      </c>
      <c r="BF555" s="2" t="e">
        <f ca="1">_xll.BDH($C$553,"REVENUE_SEQUENTIAL_GROWTH","FQ2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55" s="2" t="e">
        <f ca="1">_xll.BDH($C$553,"EBITDA_SEQUENTIAL_GROWTH","FQ2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55" s="2" t="e">
        <f ca="1">_xll.BDH($C$553,"OPERATING_INCOME_SEQ_GROWTH","FQ2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55" s="2" t="e">
        <f ca="1">_xll.BDH($C$553,"NET_INCOME_TO_COMMON_SEQ_GROWTH","FQ2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55" s="2" t="e">
        <f ca="1">_xll.BDH($C$553,"EPS_DILUTED_SEQUENTIAL_GROWTH","FQ2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55" s="2" t="e">
        <f ca="1">_xll.BDH($C$553,"DPS_SEQUENTIAL_GROWTH","FQ2 2014","FQ2 2014","Currency=INR","Period=FQ","BEST_FPERIOD_OVERRIDE=FQ","FILING_STATUS=OR","EQY_CONSOLIDATED=Y","Sort=A","Dates=H","DateFormat=P","Fill=—","Direction=H","UseDPDF=Y")</f>
        <v>#NAME?</v>
      </c>
      <c r="BL555" s="2" t="e">
        <f ca="1">_xll.BDH($C$553,"ACCOUNTS_RECEIVABLE_SEQ_GROWTH","FQ2 2014","FQ2 2014","Currency=INR","Period=FQ","BEST_FPERIOD_OVERRIDE=FQ","FILING_STATUS=OR","EQY_CONSOLIDATED=Y","Sort=A","Dates=H","DateFormat=P","Fill=—","Direction=H","UseDPDF=Y")</f>
        <v>#NAME?</v>
      </c>
      <c r="BM555" s="2" t="e">
        <f ca="1">_xll.BDH($C$553,"INVENTORY_SEQUENTIAL_GROWTH","FQ2 2014","FQ2 2014","Currency=INR","Period=FQ","BEST_FPERIOD_OVERRIDE=FQ","FILING_STATUS=OR","EQY_CONSOLIDATED=Y","Sort=A","Dates=H","DateFormat=P","Fill=—","Direction=H","UseDPDF=Y")</f>
        <v>#NAME?</v>
      </c>
      <c r="BN555" s="2" t="e">
        <f ca="1">_xll.BDH($C$553,"FIXED_ASSETS_SEQUENTIAL_GROWTH","FQ2 2014","FQ2 2014","Currency=INR","Period=FQ","BEST_FPERIOD_OVERRIDE=FQ","FILING_STATUS=OR","EQY_CONSOLIDATED=Y","Sort=A","Dates=H","DateFormat=P","Fill=—","Direction=H","UseDPDF=Y")</f>
        <v>#NAME?</v>
      </c>
      <c r="BO555" s="2" t="e">
        <f ca="1">_xll.BDH($C$553,"TOTAL_ASSETS_SEQUENTIAL_GROWTH","FQ2 2014","FQ2 2014","Currency=INR","Period=FQ","BEST_FPERIOD_OVERRIDE=FQ","FILING_STATUS=OR","EQY_CONSOLIDATED=Y","Sort=A","Dates=H","DateFormat=P","Fill=—","Direction=H","UseDPDF=Y")</f>
        <v>#NAME?</v>
      </c>
      <c r="BP555" s="2" t="e">
        <f ca="1">_xll.BDH($C$553,"MODIFIED_WORKING_CPTL_SEQ_GRWTH","FQ2 2014","FQ2 2014","Currency=INR","Period=FQ","BEST_FPERIOD_OVERRIDE=FQ","FILING_STATUS=OR","EQY_CONSOLIDATED=Y","Sort=A","Dates=H","DateFormat=P","Fill=—","Direction=H","UseDPDF=Y")</f>
        <v>#NAME?</v>
      </c>
      <c r="BQ555" s="2" t="e">
        <f ca="1">_xll.BDH($C$553,"WORKING_CAPITAL_SEQ_GROWTH","FQ2 2014","FQ2 2014","Currency=INR","Period=FQ","BEST_FPERIOD_OVERRIDE=FQ","FILING_STATUS=OR","EQY_CONSOLIDATED=Y","Sort=A","Dates=H","DateFormat=P","Fill=—","Direction=H","UseDPDF=Y")</f>
        <v>#NAME?</v>
      </c>
      <c r="BR555" s="2" t="e">
        <f ca="1">_xll.BDH($C$553,"ACCOUNTS_PAYABLE_SEQ_GROWTH","FQ2 2014","FQ2 2014","Currency=INR","Period=FQ","BEST_FPERIOD_OVERRIDE=FQ","FILING_STATUS=OR","EQY_CONSOLIDATED=Y","Sort=A","Dates=H","DateFormat=P","Fill=—","Direction=H","UseDPDF=Y")</f>
        <v>#NAME?</v>
      </c>
      <c r="BS555" s="2" t="e">
        <f ca="1">_xll.BDH($C$553,"ST_DEBT_SEQUENTIAL_GROWTH","FQ2 2014","FQ2 2014","Currency=INR","Period=FQ","BEST_FPERIOD_OVERRIDE=FQ","FILING_STATUS=OR","EQY_CONSOLIDATED=Y","Sort=A","Dates=H","DateFormat=P","Fill=—","Direction=H","UseDPDF=Y")</f>
        <v>#NAME?</v>
      </c>
      <c r="BT555" s="2" t="e">
        <f ca="1">_xll.BDH($C$553,"TOTAL_DEBT_SEQUENTIAL_GROWTH","FQ2 2014","FQ2 2014","Currency=INR","Period=FQ","BEST_FPERIOD_OVERRIDE=FQ","FILING_STATUS=OR","EQY_CONSOLIDATED=Y","Sort=A","Dates=H","DateFormat=P","Fill=—","Direction=H","UseDPDF=Y")</f>
        <v>#NAME?</v>
      </c>
      <c r="BU555" s="2" t="e">
        <f ca="1">_xll.BDH($C$553,"TOTAL_EQUITY_SEQUENTIAL_GROWTH","FQ2 2014","FQ2 2014","Currency=INR","Period=FQ","BEST_FPERIOD_OVERRIDE=FQ","FILING_STATUS=OR","EQY_CONSOLIDATED=Y","Sort=A","Dates=H","DateFormat=P","Fill=—","Direction=H","UseDPDF=Y")</f>
        <v>#NAME?</v>
      </c>
      <c r="BV555" s="2" t="e">
        <f ca="1">_xll.BDH($C$553,"TOTAL_CAPITAL_SEQUENTIAL_GROWTH","FQ2 2014","FQ2 2014","Currency=INR","Period=FQ","BEST_FPERIOD_OVERRIDE=FQ","FILING_STATUS=OR","EQY_CONSOLIDATED=Y","Sort=A","Dates=H","DateFormat=P","Fill=—","Direction=H","UseDPDF=Y")</f>
        <v>#NAME?</v>
      </c>
      <c r="BW555" s="2" t="e">
        <f ca="1">_xll.BDH($C$553,"BPS_SEQUENTIAL_GROWTH","FQ2 2014","FQ2 2014","Currency=INR","Period=FQ","BEST_FPERIOD_OVERRIDE=FQ","FILING_STATUS=OR","EQY_CONSOLIDATED=Y","Sort=A","Dates=H","DateFormat=P","Fill=—","Direction=H","UseDPDF=Y")</f>
        <v>#NAME?</v>
      </c>
      <c r="BX555" s="2" t="e">
        <f ca="1">_xll.BDH($C$553,"CFO_SEQUENTIAL_GROWTH","FQ2 2014","FQ2 2014","Currency=INR","Period=FQ","BEST_FPERIOD_OVERRIDE=FQ","FILING_STATUS=OR","EQY_CONSOLIDATED=Y","Sort=A","Dates=H","DateFormat=P","Fill=—","Direction=H","UseDPDF=Y")</f>
        <v>#NAME?</v>
      </c>
      <c r="BY555" s="3" t="e">
        <f ca="1">_xll.BDH($C$553,"SHORT_AND_LONG_TERM_DEBT","FQ2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55" s="3" t="e">
        <f ca="1">_xll.BDH($C$553,"BS_ST_BORROW","FQ2 2014","FQ2 2014","Currency=INR","Period=FQ","BEST_FPERIOD_OVERRIDE=FQ","FILING_STATUS=OR","EQY_CONSOLIDATED=Y","SCALING_FORMAT=MLN","Sort=A","Dates=H","DateFormat=P","Fill=—","Direction=H","UseDPDF=Y")</f>
        <v>#NAME?</v>
      </c>
      <c r="CA555" s="3" t="e">
        <f ca="1">_xll.BDH($C$553,"BS_LT_BORROW","FQ2 2014","FQ2 2014","Currency=INR","Period=FQ","BEST_FPERIOD_OVERRIDE=FQ","FILING_STATUS=OR","EQY_CONSOLIDATED=Y","SCALING_FORMAT=MLN","Sort=A","Dates=H","DateFormat=P","Fill=—","Direction=H","UseDPDF=Y")</f>
        <v>#NAME?</v>
      </c>
      <c r="CB555" s="2" t="e">
        <f ca="1">_xll.BDH($C$553,"TOT_DEBT_TO_EBITDA","FQ2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55" s="2" t="e">
        <f ca="1">_xll.BDH($C$553,"NET_DEBT_TO_EBITDA","FQ2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55" s="2" t="e">
        <f ca="1">_xll.BDH($C$553,"TOTAL_DEBT_TO_EBIT","FQ2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55" s="2" t="e">
        <f ca="1">_xll.BDH($C$553,"NET_DEBT_TO_EBIT","FQ2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555" s="2" t="e">
        <f ca="1">_xll.BDH($C$553,"EBITDA_TO_INTEREST_EXPN","FQ2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55" s="2" t="e">
        <f ca="1">_xll.BDH($C$553,"COM_EQY_TO_TOT_ASSET","FQ2 2014","FQ2 2014","Currency=INR","Period=FQ","BEST_FPERIOD_OVERRIDE=FQ","FILING_STATUS=OR","EQY_CONSOLIDATED=Y","Sort=A","Dates=H","DateFormat=P","Fill=—","Direction=H","UseDPDF=Y")</f>
        <v>#NAME?</v>
      </c>
      <c r="CH555" s="2" t="e">
        <f ca="1">_xll.BDH($C$553,"LT_DEBT_TO_TOT_EQY","FQ2 2014","FQ2 2014","Currency=INR","Period=FQ","BEST_FPERIOD_OVERRIDE=FQ","FILING_STATUS=OR","EQY_CONSOLIDATED=Y","Sort=A","Dates=H","DateFormat=P","Fill=—","Direction=H","UseDPDF=Y")</f>
        <v>#NAME?</v>
      </c>
      <c r="CI555" s="2" t="e">
        <f ca="1">_xll.BDH($C$553,"LT_DEBT_TO_TOT_CAP","FQ2 2014","FQ2 2014","Currency=INR","Period=FQ","BEST_FPERIOD_OVERRIDE=FQ","FILING_STATUS=OR","EQY_CONSOLIDATED=Y","Sort=A","Dates=H","DateFormat=P","Fill=—","Direction=H","UseDPDF=Y")</f>
        <v>#NAME?</v>
      </c>
      <c r="CJ555" s="2" t="e">
        <f ca="1">_xll.BDH($C$553,"LT_DEBT_TO_TOT_ASSET","FQ2 2014","FQ2 2014","Currency=INR","Period=FQ","BEST_FPERIOD_OVERRIDE=FQ","FILING_STATUS=OR","EQY_CONSOLIDATED=Y","Sort=A","Dates=H","DateFormat=P","Fill=—","Direction=H","UseDPDF=Y")</f>
        <v>#NAME?</v>
      </c>
      <c r="CK555" s="2" t="e">
        <f ca="1">_xll.BDH($C$553,"TOT_DEBT_TO_TOT_EQY","FQ2 2014","FQ2 2014","Currency=INR","Period=FQ","BEST_FPERIOD_OVERRIDE=FQ","FILING_STATUS=OR","EQY_CONSOLIDATED=Y","Sort=A","Dates=H","DateFormat=P","Fill=—","Direction=H","UseDPDF=Y")</f>
        <v>#NAME?</v>
      </c>
      <c r="CL555" s="2" t="e">
        <f ca="1">_xll.BDH($C$553,"TOT_DEBT_TO_TOT_CAP","FQ2 2014","FQ2 2014","Currency=INR","Period=FQ","BEST_FPERIOD_OVERRIDE=FQ","FILING_STATUS=OR","EQY_CONSOLIDATED=Y","Sort=A","Dates=H","DateFormat=P","Fill=—","Direction=H","UseDPDF=Y")</f>
        <v>#NAME?</v>
      </c>
      <c r="CM555" s="2" t="e">
        <f ca="1">_xll.BDH($C$553,"TOT_DEBT_TO_TOT_ASSET","FQ2 2014","FQ2 2014","Currency=INR","Period=FQ","BEST_FPERIOD_OVERRIDE=FQ","FILING_STATUS=OR","EQY_CONSOLIDATED=Y","Sort=A","Dates=H","DateFormat=P","Fill=—","Direction=H","UseDPDF=Y")</f>
        <v>#NAME?</v>
      </c>
      <c r="CN555" s="2" t="e">
        <f ca="1">_xll.BDH($C$553,"NET_DEBT_TO_SHRHLDR_EQTY","FQ2 2014","FQ2 2014","Currency=INR","Period=FQ","BEST_FPERIOD_OVERRIDE=FQ","FILING_STATUS=OR","EQY_CONSOLIDATED=Y","Sort=A","Dates=H","DateFormat=P","Fill=—","Direction=H","UseDPDF=Y")</f>
        <v>#NAME?</v>
      </c>
      <c r="CO555" s="2" t="e">
        <f ca="1">_xll.BDH($C$553,"NET_DEBT_%_CAPITAL","FQ2 2014","FQ2 2014","Currency=INR","Period=FQ","BEST_FPERIOD_OVERRIDE=FQ","FILING_STATUS=OR","EQY_CONSOLIDATED=Y","Sort=A","Dates=H","DateFormat=P","Fill=—","Direction=H","UseDPDF=Y")</f>
        <v>#NAME?</v>
      </c>
      <c r="CP555" s="3" t="e">
        <f ca="1">_xll.BDH($C$553,"EBITDA","FQ2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55" s="3" t="e">
        <f ca="1">_xll.BDH($C$553,"EBITDA_AFTER_CAPEX","FQ2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55" s="3" t="e">
        <f ca="1">_xll.BDH($C$553,"IS_OPER_INC","FQ2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55" s="2" t="e">
        <f ca="1">_xll.BDH($C$553,"CASH_RATIO","FQ2 2014","FQ2 2014","Currency=INR","Period=FQ","BEST_FPERIOD_OVERRIDE=FQ","FILING_STATUS=OR","EQY_CONSOLIDATED=Y","Sort=A","Dates=H","DateFormat=P","Fill=—","Direction=H","UseDPDF=Y")</f>
        <v>#NAME?</v>
      </c>
      <c r="CT555" s="2" t="e">
        <f ca="1">_xll.BDH($C$553,"CUR_RATIO","FQ2 2014","FQ2 2014","Currency=INR","Period=FQ","BEST_FPERIOD_OVERRIDE=FQ","FILING_STATUS=OR","EQY_CONSOLIDATED=Y","Sort=A","Dates=H","DateFormat=P","Fill=—","Direction=H","UseDPDF=Y")</f>
        <v>#NAME?</v>
      </c>
      <c r="CU555" s="2" t="e">
        <f ca="1">_xll.BDH($C$553,"QUICK_RATIO","FQ2 2014","FQ2 2014","Currency=INR","Period=FQ","BEST_FPERIOD_OVERRIDE=FQ","FILING_STATUS=OR","EQY_CONSOLIDATED=Y","Sort=A","Dates=H","DateFormat=P","Fill=—","Direction=H","UseDPDF=Y")</f>
        <v>#NAME?</v>
      </c>
      <c r="CV555" s="2" t="e">
        <f ca="1">_xll.BDH($C$553,"ALTMAN_Z_SCORE","FQ2 2014","FQ2 2014","Currency=INR","Period=FQ","BEST_FPERIOD_OVERRIDE=FQ","FILING_STATUS=OR","EQY_CONSOLIDATED=Y","Sort=A","Dates=H","DateFormat=P","Fill=—","Direction=H","UseDPDF=Y")</f>
        <v>#NAME?</v>
      </c>
      <c r="CW555" s="4" t="e">
        <f ca="1">_xll.BDH($C$553,"ACCT_RCV_TURN","FQ2 2014","FQ2 2014","Currency=INR","Period=FQ","BEST_FPERIOD_OVERRIDE=FQ","FILING_STATUS=OR","EQY_CONSOLIDATED=Y","FA_ADJUSTED=GAAP","Sort=A","Dates=H","DateFormat=P","Fill=—","Direction=H","UseDPDF=Y")</f>
        <v>#NAME?</v>
      </c>
      <c r="CX555" s="2" t="e">
        <f ca="1">_xll.BDH($C$553,"ACCT_RCV_DAYS","FQ2 2014","FQ2 2014","Currency=INR","Period=FQ","BEST_FPERIOD_OVERRIDE=FQ","FILING_STATUS=OR","EQY_CONSOLIDATED=Y","FA_ADJUSTED=GAAP","Sort=A","Dates=H","DateFormat=P","Fill=—","Direction=H","UseDPDF=Y")</f>
        <v>#NAME?</v>
      </c>
      <c r="CY555" s="4" t="e">
        <f ca="1">_xll.BDH($C$553,"INVENT_TURN","FQ2 2014","FQ2 2014","Currency=INR","Period=FQ","BEST_FPERIOD_OVERRIDE=FQ","FILING_STATUS=OR","EQY_CONSOLIDATED=Y","FA_ADJUSTED=GAAP","Sort=A","Dates=H","DateFormat=P","Fill=—","Direction=H","UseDPDF=Y")</f>
        <v>#NAME?</v>
      </c>
      <c r="CZ555" s="2" t="e">
        <f ca="1">_xll.BDH($C$553,"INVENT_DAYS","FQ2 2014","FQ2 2014","Currency=INR","Period=FQ","BEST_FPERIOD_OVERRIDE=FQ","FILING_STATUS=OR","EQY_CONSOLIDATED=Y","FA_ADJUSTED=GAAP","Sort=A","Dates=H","DateFormat=P","Fill=—","Direction=H","UseDPDF=Y")</f>
        <v>#NAME?</v>
      </c>
      <c r="DA555" s="4" t="e">
        <f ca="1">_xll.BDH($C$553,"ACCOUNTS_PAYABLE_TURNOVER","FQ2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55" s="2" t="e">
        <f ca="1">_xll.BDH($C$553,"ACCOUNTS_PAYABLE_TURNOVER_DAYS","FQ2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55" s="4" t="e">
        <f ca="1">_xll.BDH($C$553,"CASH_CONVERSION_CYCLE","FQ2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55" s="4" t="e">
        <f ca="1">_xll.BDH($C$553,"INV_TO_CASH_DAYS","FQ2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555" s="5" t="e">
        <f ca="1">_xll.BDH($C$553,"BS_INVENTORIES","FQ2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555" s="3" t="e">
        <f ca="1">_xll.BDH($C$553,"INVTRY_RAW_MATERIALS","FQ2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55" s="3" t="e">
        <f ca="1">_xll.BDH($C$553,"INVTRY_IN_PROGRESS","FQ2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55" s="3" t="e">
        <f ca="1">_xll.BDH($C$553,"INVTRY_FINISHED_GOODS","FQ2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55" s="3" t="e">
        <f ca="1">_xll.BDH($C$553,"BS_OTHER_INV","FQ2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556" spans="1:113" x14ac:dyDescent="0.3">
      <c r="A556" s="6"/>
      <c r="B556" s="6"/>
      <c r="C556" s="6"/>
      <c r="D556" s="6"/>
      <c r="E556" t="s">
        <v>80</v>
      </c>
      <c r="F556" t="e">
        <f ca="1">_xll.BDH($C$553,"RETURN_COM_EQY","FQ3 2014","FQ3 2014","Currency=INR","Period=FQ","BEST_FPERIOD_OVERRIDE=FQ","FILING_STATUS=OR","EQY_CONSOLIDATED=Y","FA_ADJUSTED=GAAP","Sort=A","Dates=H","DateFormat=P","Fill=—","Direction=H","UseDPDF=Y")</f>
        <v>#NAME?</v>
      </c>
      <c r="G556" t="e">
        <f ca="1">_xll.BDH($C$553,"RETURN_ON_ASSET","FQ3 2014","FQ3 2014","Currency=INR","Period=FQ","BEST_FPERIOD_OVERRIDE=FQ","FILING_STATUS=OR","EQY_CONSOLIDATED=Y","FA_ADJUSTED=GAAP","Sort=A","Dates=H","DateFormat=P","Fill=—","Direction=H","UseDPDF=Y")</f>
        <v>#NAME?</v>
      </c>
      <c r="H556" t="e">
        <f ca="1">_xll.BDH($C$553,"RETURN_ON_CAP","FQ3 2014","FQ3 2014","Currency=INR","Period=FQ","BEST_FPERIOD_OVERRIDE=FQ","FILING_STATUS=OR","EQY_CONSOLIDATED=Y","FA_ADJUSTED=GAAP","Sort=A","Dates=H","DateFormat=P","Fill=—","Direction=H","UseDPDF=Y")</f>
        <v>#NAME?</v>
      </c>
      <c r="I556" t="e">
        <f ca="1">_xll.BDH($C$553,"RETURN_ON_INV_CAPITAL","FQ3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556" t="e">
        <f ca="1">_xll.BDH($C$553,"EBITDA_TO_REVENUE","FQ3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556" t="e">
        <f ca="1">_xll.BDH($C$553,"OPER_MARGIN","FQ3 2014","FQ3 2014","Currency=INR","Period=FQ","BEST_FPERIOD_OVERRIDE=FQ","FILING_STATUS=OR","EQY_CONSOLIDATED=Y","FA_ADJUSTED=GAAP","Sort=A","Dates=H","DateFormat=P","Fill=—","Direction=H","UseDPDF=Y")</f>
        <v>#NAME?</v>
      </c>
      <c r="L556" t="e">
        <f ca="1">_xll.BDH($C$553,"INCREMENTAL_OPERATING_MARGIN","FQ3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556" t="e">
        <f ca="1">_xll.BDH($C$553,"PRETAX_INC_TO_NET_SALES","FQ3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556" t="e">
        <f ca="1">_xll.BDH($C$553,"INC_BEF_XO_ITEMS_TO_NET_SALES","FQ3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556" t="e">
        <f ca="1">_xll.BDH($C$553,"PROF_MARGIN","FQ3 2014","FQ3 2014","Currency=INR","Period=FQ","BEST_FPERIOD_OVERRIDE=FQ","FILING_STATUS=OR","EQY_CONSOLIDATED=Y","FA_ADJUSTED=GAAP","Sort=A","Dates=H","DateFormat=P","Fill=—","Direction=H","UseDPDF=Y")</f>
        <v>#NAME?</v>
      </c>
      <c r="P556" t="e">
        <f ca="1">_xll.BDH($C$553,"NET_INCOME_TO_COMMON_MARGIN","FQ3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556" t="e">
        <f ca="1">_xll.BDH($C$553,"EFF_TAX_RATE","FQ3 2014","FQ3 2014","Currency=INR","Period=FQ","BEST_FPERIOD_OVERRIDE=FQ","FILING_STATUS=OR","EQY_CONSOLIDATED=Y","FA_ADJUSTED=GAAP","Sort=A","Dates=H","DateFormat=P","Fill=—","Direction=H","UseDPDF=Y")</f>
        <v>#NAME?</v>
      </c>
      <c r="R556" t="e">
        <f ca="1">_xll.BDH($C$553,"DVD_PAYOUT_RATIO","FQ3 2014","FQ3 2014","Currency=INR","Period=FQ","BEST_FPERIOD_OVERRIDE=FQ","FILING_STATUS=OR","EQY_CONSOLIDATED=Y","FA_ADJUSTED=GAAP","Sort=A","Dates=H","DateFormat=P","Fill=—","Direction=H","UseDPDF=Y")</f>
        <v>#NAME?</v>
      </c>
      <c r="S556" t="e">
        <f ca="1">_xll.BDH($C$553,"SUSTAIN_GROWTH_RT","FQ3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556" s="2" t="e">
        <f ca="1">_xll.BDH($C$553,"SALES_GROWTH","FQ3 2014","FQ3 2014","Currency=INR","Period=FQ","BEST_FPERIOD_OVERRIDE=FQ","FILING_STATUS=OR","EQY_CONSOLIDATED=Y","FA_ADJUSTED=GAAP","Sort=A","Dates=H","DateFormat=P","Fill=—","Direction=H","UseDPDF=Y")</f>
        <v>#NAME?</v>
      </c>
      <c r="U556" s="2" t="e">
        <f ca="1">_xll.BDH($C$553,"EBITDA_GROWTH","FQ3 2014","FQ3 2014","Currency=INR","Period=FQ","BEST_FPERIOD_OVERRIDE=FQ","FILING_STATUS=OR","EQY_CONSOLIDATED=Y","FA_ADJUSTED=GAAP","Sort=A","Dates=H","DateFormat=P","Fill=—","Direction=H","UseDPDF=Y")</f>
        <v>#NAME?</v>
      </c>
      <c r="V556" s="2" t="e">
        <f ca="1">_xll.BDH($C$553,"OPER_INC_GROWTH","FQ3 2014","FQ3 2014","Currency=INR","Period=FQ","BEST_FPERIOD_OVERRIDE=FQ","FILING_STATUS=OR","EQY_CONSOLIDATED=Y","FA_ADJUSTED=GAAP","Sort=A","Dates=H","DateFormat=P","Fill=—","Direction=H","UseDPDF=Y")</f>
        <v>#NAME?</v>
      </c>
      <c r="W556" s="2" t="e">
        <f ca="1">_xll.BDH($C$553,"EARN_FOR_COM_GROWTH","FQ3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556" s="2" t="e">
        <f ca="1">_xll.BDH($C$553,"DILUTED_EPS_AFT_XO_ITEMS_GROWTH","FQ3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556" s="2" t="e">
        <f ca="1">_xll.BDH($C$553,"DIVIDEND_PER_SHARE_1_YEAR_GROWTH","FQ3 2014","FQ3 2014","Currency=INR","Period=FQ","BEST_FPERIOD_OVERRIDE=FQ","FILING_STATUS=OR","EQY_CONSOLIDATED=Y","Sort=A","Dates=H","DateFormat=P","Fill=—","Direction=H","UseDPDF=Y")</f>
        <v>#NAME?</v>
      </c>
      <c r="Z556" s="2" t="e">
        <f ca="1">_xll.BDH($C$553,"ACCOUNTS_RECEIVABLE_GROWTH","FQ3 2014","FQ3 2014","Currency=INR","Period=FQ","BEST_FPERIOD_OVERRIDE=FQ","FILING_STATUS=OR","EQY_CONSOLIDATED=Y","Sort=A","Dates=H","DateFormat=P","Fill=—","Direction=H","UseDPDF=Y")</f>
        <v>#NAME?</v>
      </c>
      <c r="AA556" s="2" t="e">
        <f ca="1">_xll.BDH($C$553,"INVENTORY_GROWTH","FQ3 2014","FQ3 2014","Currency=INR","Period=FQ","BEST_FPERIOD_OVERRIDE=FQ","FILING_STATUS=OR","EQY_CONSOLIDATED=Y","Sort=A","Dates=H","DateFormat=P","Fill=—","Direction=H","UseDPDF=Y")</f>
        <v>#NAME?</v>
      </c>
      <c r="AB556" s="2" t="e">
        <f ca="1">_xll.BDH($C$553,"NET_FIXED_ASSETS_1_YEAR_GROWTH","FQ3 2014","FQ3 2014","Currency=INR","Period=FQ","BEST_FPERIOD_OVERRIDE=FQ","FILING_STATUS=OR","EQY_CONSOLIDATED=Y","Sort=A","Dates=H","DateFormat=P","Fill=—","Direction=H","UseDPDF=Y")</f>
        <v>#NAME?</v>
      </c>
      <c r="AC556" s="2" t="e">
        <f ca="1">_xll.BDH($C$553,"ASSET_GROWTH","FQ3 2014","FQ3 2014","Currency=INR","Period=FQ","BEST_FPERIOD_OVERRIDE=FQ","FILING_STATUS=OR","EQY_CONSOLIDATED=Y","Sort=A","Dates=H","DateFormat=P","Fill=—","Direction=H","UseDPDF=Y")</f>
        <v>#NAME?</v>
      </c>
      <c r="AD556" s="2" t="e">
        <f ca="1">_xll.BDH($C$553,"MODIFIED_WORK_CAP_GROWTH","FQ3 2014","FQ3 2014","Currency=INR","Period=FQ","BEST_FPERIOD_OVERRIDE=FQ","FILING_STATUS=OR","EQY_CONSOLIDATED=Y","Sort=A","Dates=H","DateFormat=P","Fill=—","Direction=H","UseDPDF=Y")</f>
        <v>#NAME?</v>
      </c>
      <c r="AE556" s="2" t="e">
        <f ca="1">_xll.BDH($C$553,"WORK_CAP_GROWTH","FQ3 2014","FQ3 2014","Currency=INR","Period=FQ","BEST_FPERIOD_OVERRIDE=FQ","FILING_STATUS=OR","EQY_CONSOLIDATED=Y","Sort=A","Dates=H","DateFormat=P","Fill=—","Direction=H","UseDPDF=Y")</f>
        <v>#NAME?</v>
      </c>
      <c r="AF556" s="2" t="e">
        <f ca="1">_xll.BDH($C$553,"ACCOUNTS_PAYABLE_GROWTH_1YR","FQ3 2014","FQ3 2014","Currency=INR","Period=FQ","BEST_FPERIOD_OVERRIDE=FQ","FILING_STATUS=OR","EQY_CONSOLIDATED=Y","Sort=A","Dates=H","DateFormat=P","Fill=—","Direction=H","UseDPDF=Y")</f>
        <v>#NAME?</v>
      </c>
      <c r="AG556" s="2" t="e">
        <f ca="1">_xll.BDH($C$553,"SHORT_TERM_DEBT_1_YEAR_GROWTH","FQ3 2014","FQ3 2014","Currency=INR","Period=FQ","BEST_FPERIOD_OVERRIDE=FQ","FILING_STATUS=OR","EQY_CONSOLIDATED=Y","Sort=A","Dates=H","DateFormat=P","Fill=—","Direction=H","UseDPDF=Y")</f>
        <v>#NAME?</v>
      </c>
      <c r="AH556" s="2" t="e">
        <f ca="1">_xll.BDH($C$553,"TOTAL_DEBT_1_YEAR_GROWTH","FQ3 2014","FQ3 2014","Currency=INR","Period=FQ","BEST_FPERIOD_OVERRIDE=FQ","FILING_STATUS=OR","EQY_CONSOLIDATED=Y","Sort=A","Dates=H","DateFormat=P","Fill=—","Direction=H","UseDPDF=Y")</f>
        <v>#NAME?</v>
      </c>
      <c r="AI556" s="2" t="e">
        <f ca="1">_xll.BDH($C$553,"TOTAL_EQUITY_1_YEAR_GROWTH","FQ3 2014","FQ3 2014","Currency=INR","Period=FQ","BEST_FPERIOD_OVERRIDE=FQ","FILING_STATUS=OR","EQY_CONSOLIDATED=Y","Sort=A","Dates=H","DateFormat=P","Fill=—","Direction=H","UseDPDF=Y")</f>
        <v>#NAME?</v>
      </c>
      <c r="AJ556" s="2" t="e">
        <f ca="1">_xll.BDH($C$553,"GROWTH_IN_CAP","FQ3 2014","FQ3 2014","Currency=INR","Period=FQ","BEST_FPERIOD_OVERRIDE=FQ","FILING_STATUS=OR","EQY_CONSOLIDATED=Y","Sort=A","Dates=H","DateFormat=P","Fill=—","Direction=H","UseDPDF=Y")</f>
        <v>#NAME?</v>
      </c>
      <c r="AK556" s="2" t="e">
        <f ca="1">_xll.BDH($C$553,"BVPS_GROWTH","FQ3 2014","FQ3 2014","Currency=INR","Period=FQ","BEST_FPERIOD_OVERRIDE=FQ","FILING_STATUS=OR","EQY_CONSOLIDATED=Y","Sort=A","Dates=H","DateFormat=P","Fill=—","Direction=H","UseDPDF=Y")</f>
        <v>#NAME?</v>
      </c>
      <c r="AL556" s="2" t="e">
        <f ca="1">_xll.BDH($C$553,"CASH_FLOW_GROWTH","FQ3 2014","FQ3 2014","Currency=INR","Period=FQ","BEST_FPERIOD_OVERRIDE=FQ","FILING_STATUS=OR","EQY_CONSOLIDATED=Y","Sort=A","Dates=H","DateFormat=P","Fill=—","Direction=H","UseDPDF=Y")</f>
        <v>#NAME?</v>
      </c>
      <c r="AM556" s="2" t="e">
        <f ca="1">_xll.BDH($C$553,"GEO_GROW_NET_SALES","FQ3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556" s="2" t="e">
        <f ca="1">_xll.BDH($C$553,"GEO_GROW_EBITDA","FQ3 2014","FQ3 2014","Currency=INR","Period=FQ","BEST_FPERIOD_OVERRIDE=FQ","FILING_STATUS=OR","EQY_CONSOLIDATED=Y","FA_ADJUSTED=GAAP","Sort=A","Dates=H","DateFormat=P","Fill=—","Direction=H","UseDPDF=Y")</f>
        <v>#NAME?</v>
      </c>
      <c r="AO556" s="2" t="e">
        <f ca="1">_xll.BDH($C$553,"GEO_GROW_OPER_INC","FQ3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556" s="2" t="e">
        <f ca="1">_xll.BDH($C$553,"NET_INCOME_TO_COMMON_5_YR_GROWTH","FQ3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556" s="2" t="e">
        <f ca="1">_xll.BDH($C$553,"5Y_GEO_GROWTH_DILUTED_EPS","FQ3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556" s="2" t="e">
        <f ca="1">_xll.BDH($C$553,"GEO_GROW_DVD_PER_SH","FQ3 2014","FQ3 2014","Currency=INR","Period=FQ","BEST_FPERIOD_OVERRIDE=FQ","FILING_STATUS=OR","EQY_CONSOLIDATED=Y","Sort=A","Dates=H","DateFormat=P","Fill=—","Direction=H","UseDPDF=Y")</f>
        <v>#NAME?</v>
      </c>
      <c r="AS556" s="2" t="e">
        <f ca="1">_xll.BDH($C$553,"ACCOUNTS_RECEIVABLE_5_YR_GROWTH","FQ3 2014","FQ3 2014","Currency=INR","Period=FQ","BEST_FPERIOD_OVERRIDE=FQ","FILING_STATUS=OR","EQY_CONSOLIDATED=Y","Sort=A","Dates=H","DateFormat=P","Fill=—","Direction=H","UseDPDF=Y")</f>
        <v>#NAME?</v>
      </c>
      <c r="AT556" s="2" t="e">
        <f ca="1">_xll.BDH($C$553,"INVENTORY_5_YEAR_GROWTH","FQ3 2014","FQ3 2014","Currency=INR","Period=FQ","BEST_FPERIOD_OVERRIDE=FQ","FILING_STATUS=OR","EQY_CONSOLIDATED=Y","Sort=A","Dates=H","DateFormat=P","Fill=—","Direction=H","UseDPDF=Y")</f>
        <v>#NAME?</v>
      </c>
      <c r="AU556" s="2" t="e">
        <f ca="1">_xll.BDH($C$553,"NET_FIXED_ASSETS_5_YEAR_GROWTH","FQ3 2014","FQ3 2014","Currency=INR","Period=FQ","BEST_FPERIOD_OVERRIDE=FQ","FILING_STATUS=OR","EQY_CONSOLIDATED=Y","Sort=A","Dates=H","DateFormat=P","Fill=—","Direction=H","UseDPDF=Y")</f>
        <v>#NAME?</v>
      </c>
      <c r="AV556" s="2" t="e">
        <f ca="1">_xll.BDH($C$553,"GEO_GROW_TOT_ASSET","FQ3 2014","FQ3 2014","Currency=INR","Period=FQ","BEST_FPERIOD_OVERRIDE=FQ","FILING_STATUS=OR","EQY_CONSOLIDATED=Y","Sort=A","Dates=H","DateFormat=P","Fill=—","Direction=H","UseDPDF=Y")</f>
        <v>#NAME?</v>
      </c>
      <c r="AW556" s="2" t="e">
        <f ca="1">_xll.BDH($C$553,"MODIFIED_WORKING_CPTL_5YR_GRWTH","FQ3 2014","FQ3 2014","Currency=INR","Period=FQ","BEST_FPERIOD_OVERRIDE=FQ","FILING_STATUS=OR","EQY_CONSOLIDATED=Y","Sort=A","Dates=H","DateFormat=P","Fill=—","Direction=H","UseDPDF=Y")</f>
        <v>#NAME?</v>
      </c>
      <c r="AX556" s="2" t="e">
        <f ca="1">_xll.BDH($C$553,"WORKING_CAPITAL_5_YEAR_GROWTH","FQ3 2014","FQ3 2014","Currency=INR","Period=FQ","BEST_FPERIOD_OVERRIDE=FQ","FILING_STATUS=OR","EQY_CONSOLIDATED=Y","Sort=A","Dates=H","DateFormat=P","Fill=—","Direction=H","UseDPDF=Y")</f>
        <v>#NAME?</v>
      </c>
      <c r="AY556" s="2" t="e">
        <f ca="1">_xll.BDH($C$553,"ACCOUNTS_PAYABLE_5_YEAR_GROWTH","FQ3 2014","FQ3 2014","Currency=INR","Period=FQ","BEST_FPERIOD_OVERRIDE=FQ","FILING_STATUS=OR","EQY_CONSOLIDATED=Y","Sort=A","Dates=H","DateFormat=P","Fill=—","Direction=H","UseDPDF=Y")</f>
        <v>#NAME?</v>
      </c>
      <c r="AZ556" s="2" t="e">
        <f ca="1">_xll.BDH($C$553,"SHORT_TERM_DEBT_5_YEAR_GROWTH","FQ3 2014","FQ3 2014","Currency=INR","Period=FQ","BEST_FPERIOD_OVERRIDE=FQ","FILING_STATUS=OR","EQY_CONSOLIDATED=Y","Sort=A","Dates=H","DateFormat=P","Fill=—","Direction=H","UseDPDF=Y")</f>
        <v>#NAME?</v>
      </c>
      <c r="BA556" s="2" t="e">
        <f ca="1">_xll.BDH($C$553,"TOTAL_DEBT_5_YEAR_GROWTH","FQ3 2014","FQ3 2014","Currency=INR","Period=FQ","BEST_FPERIOD_OVERRIDE=FQ","FILING_STATUS=OR","EQY_CONSOLIDATED=Y","Sort=A","Dates=H","DateFormat=P","Fill=—","Direction=H","UseDPDF=Y")</f>
        <v>#NAME?</v>
      </c>
      <c r="BB556" s="2" t="e">
        <f ca="1">_xll.BDH($C$553,"GEO_GROW_TOT_SHRHLDR_EQY","FQ3 2014","FQ3 2014","Currency=INR","Period=FQ","BEST_FPERIOD_OVERRIDE=FQ","FILING_STATUS=OR","EQY_CONSOLIDATED=Y","Sort=A","Dates=H","DateFormat=P","Fill=—","Direction=H","UseDPDF=Y")</f>
        <v>#NAME?</v>
      </c>
      <c r="BC556" s="2" t="e">
        <f ca="1">_xll.BDH($C$553,"TOTAL_CAPITAL_5_YEAR_GROWTH","FQ3 2014","FQ3 2014","Currency=INR","Period=FQ","BEST_FPERIOD_OVERRIDE=FQ","FILING_STATUS=OR","EQY_CONSOLIDATED=Y","Sort=A","Dates=H","DateFormat=P","Fill=—","Direction=H","UseDPDF=Y")</f>
        <v>#NAME?</v>
      </c>
      <c r="BD556" s="2" t="e">
        <f ca="1">_xll.BDH($C$553,"GEO_GROW_BOOK_VAL","FQ3 2014","FQ3 2014","Currency=INR","Period=FQ","BEST_FPERIOD_OVERRIDE=FQ","FILING_STATUS=OR","EQY_CONSOLIDATED=Y","Sort=A","Dates=H","DateFormat=P","Fill=—","Direction=H","UseDPDF=Y")</f>
        <v>#NAME?</v>
      </c>
      <c r="BE556" s="2" t="e">
        <f ca="1">_xll.BDH($C$553,"GEO_GROW_CASH_OPER_ACT","FQ3 2014","FQ3 2014","Currency=INR","Period=FQ","BEST_FPERIOD_OVERRIDE=FQ","FILING_STATUS=OR","EQY_CONSOLIDATED=Y","Sort=A","Dates=H","DateFormat=P","Fill=—","Direction=H","UseDPDF=Y")</f>
        <v>#NAME?</v>
      </c>
      <c r="BF556" s="2" t="e">
        <f ca="1">_xll.BDH($C$553,"REVENUE_SEQUENTIAL_GROWTH","FQ3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556" s="2" t="e">
        <f ca="1">_xll.BDH($C$553,"EBITDA_SEQUENTIAL_GROWTH","FQ3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556" s="2" t="e">
        <f ca="1">_xll.BDH($C$553,"OPERATING_INCOME_SEQ_GROWTH","FQ3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556" s="2" t="e">
        <f ca="1">_xll.BDH($C$553,"NET_INCOME_TO_COMMON_SEQ_GROWTH","FQ3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556" s="2" t="e">
        <f ca="1">_xll.BDH($C$553,"EPS_DILUTED_SEQUENTIAL_GROWTH","FQ3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556" s="2" t="e">
        <f ca="1">_xll.BDH($C$553,"DPS_SEQUENTIAL_GROWTH","FQ3 2014","FQ3 2014","Currency=INR","Period=FQ","BEST_FPERIOD_OVERRIDE=FQ","FILING_STATUS=OR","EQY_CONSOLIDATED=Y","Sort=A","Dates=H","DateFormat=P","Fill=—","Direction=H","UseDPDF=Y")</f>
        <v>#NAME?</v>
      </c>
      <c r="BL556" s="2" t="e">
        <f ca="1">_xll.BDH($C$553,"ACCOUNTS_RECEIVABLE_SEQ_GROWTH","FQ3 2014","FQ3 2014","Currency=INR","Period=FQ","BEST_FPERIOD_OVERRIDE=FQ","FILING_STATUS=OR","EQY_CONSOLIDATED=Y","Sort=A","Dates=H","DateFormat=P","Fill=—","Direction=H","UseDPDF=Y")</f>
        <v>#NAME?</v>
      </c>
      <c r="BM556" s="2" t="e">
        <f ca="1">_xll.BDH($C$553,"INVENTORY_SEQUENTIAL_GROWTH","FQ3 2014","FQ3 2014","Currency=INR","Period=FQ","BEST_FPERIOD_OVERRIDE=FQ","FILING_STATUS=OR","EQY_CONSOLIDATED=Y","Sort=A","Dates=H","DateFormat=P","Fill=—","Direction=H","UseDPDF=Y")</f>
        <v>#NAME?</v>
      </c>
      <c r="BN556" s="2" t="e">
        <f ca="1">_xll.BDH($C$553,"FIXED_ASSETS_SEQUENTIAL_GROWTH","FQ3 2014","FQ3 2014","Currency=INR","Period=FQ","BEST_FPERIOD_OVERRIDE=FQ","FILING_STATUS=OR","EQY_CONSOLIDATED=Y","Sort=A","Dates=H","DateFormat=P","Fill=—","Direction=H","UseDPDF=Y")</f>
        <v>#NAME?</v>
      </c>
      <c r="BO556" s="2" t="e">
        <f ca="1">_xll.BDH($C$553,"TOTAL_ASSETS_SEQUENTIAL_GROWTH","FQ3 2014","FQ3 2014","Currency=INR","Period=FQ","BEST_FPERIOD_OVERRIDE=FQ","FILING_STATUS=OR","EQY_CONSOLIDATED=Y","Sort=A","Dates=H","DateFormat=P","Fill=—","Direction=H","UseDPDF=Y")</f>
        <v>#NAME?</v>
      </c>
      <c r="BP556" s="2" t="e">
        <f ca="1">_xll.BDH($C$553,"MODIFIED_WORKING_CPTL_SEQ_GRWTH","FQ3 2014","FQ3 2014","Currency=INR","Period=FQ","BEST_FPERIOD_OVERRIDE=FQ","FILING_STATUS=OR","EQY_CONSOLIDATED=Y","Sort=A","Dates=H","DateFormat=P","Fill=—","Direction=H","UseDPDF=Y")</f>
        <v>#NAME?</v>
      </c>
      <c r="BQ556" s="2" t="e">
        <f ca="1">_xll.BDH($C$553,"WORKING_CAPITAL_SEQ_GROWTH","FQ3 2014","FQ3 2014","Currency=INR","Period=FQ","BEST_FPERIOD_OVERRIDE=FQ","FILING_STATUS=OR","EQY_CONSOLIDATED=Y","Sort=A","Dates=H","DateFormat=P","Fill=—","Direction=H","UseDPDF=Y")</f>
        <v>#NAME?</v>
      </c>
      <c r="BR556" s="2" t="e">
        <f ca="1">_xll.BDH($C$553,"ACCOUNTS_PAYABLE_SEQ_GROWTH","FQ3 2014","FQ3 2014","Currency=INR","Period=FQ","BEST_FPERIOD_OVERRIDE=FQ","FILING_STATUS=OR","EQY_CONSOLIDATED=Y","Sort=A","Dates=H","DateFormat=P","Fill=—","Direction=H","UseDPDF=Y")</f>
        <v>#NAME?</v>
      </c>
      <c r="BS556" s="2" t="e">
        <f ca="1">_xll.BDH($C$553,"ST_DEBT_SEQUENTIAL_GROWTH","FQ3 2014","FQ3 2014","Currency=INR","Period=FQ","BEST_FPERIOD_OVERRIDE=FQ","FILING_STATUS=OR","EQY_CONSOLIDATED=Y","Sort=A","Dates=H","DateFormat=P","Fill=—","Direction=H","UseDPDF=Y")</f>
        <v>#NAME?</v>
      </c>
      <c r="BT556" s="2" t="e">
        <f ca="1">_xll.BDH($C$553,"TOTAL_DEBT_SEQUENTIAL_GROWTH","FQ3 2014","FQ3 2014","Currency=INR","Period=FQ","BEST_FPERIOD_OVERRIDE=FQ","FILING_STATUS=OR","EQY_CONSOLIDATED=Y","Sort=A","Dates=H","DateFormat=P","Fill=—","Direction=H","UseDPDF=Y")</f>
        <v>#NAME?</v>
      </c>
      <c r="BU556" s="2" t="e">
        <f ca="1">_xll.BDH($C$553,"TOTAL_EQUITY_SEQUENTIAL_GROWTH","FQ3 2014","FQ3 2014","Currency=INR","Period=FQ","BEST_FPERIOD_OVERRIDE=FQ","FILING_STATUS=OR","EQY_CONSOLIDATED=Y","Sort=A","Dates=H","DateFormat=P","Fill=—","Direction=H","UseDPDF=Y")</f>
        <v>#NAME?</v>
      </c>
      <c r="BV556" s="2" t="e">
        <f ca="1">_xll.BDH($C$553,"TOTAL_CAPITAL_SEQUENTIAL_GROWTH","FQ3 2014","FQ3 2014","Currency=INR","Period=FQ","BEST_FPERIOD_OVERRIDE=FQ","FILING_STATUS=OR","EQY_CONSOLIDATED=Y","Sort=A","Dates=H","DateFormat=P","Fill=—","Direction=H","UseDPDF=Y")</f>
        <v>#NAME?</v>
      </c>
      <c r="BW556" s="2" t="e">
        <f ca="1">_xll.BDH($C$553,"BPS_SEQUENTIAL_GROWTH","FQ3 2014","FQ3 2014","Currency=INR","Period=FQ","BEST_FPERIOD_OVERRIDE=FQ","FILING_STATUS=OR","EQY_CONSOLIDATED=Y","Sort=A","Dates=H","DateFormat=P","Fill=—","Direction=H","UseDPDF=Y")</f>
        <v>#NAME?</v>
      </c>
      <c r="BX556" s="2" t="e">
        <f ca="1">_xll.BDH($C$553,"CFO_SEQUENTIAL_GROWTH","FQ3 2014","FQ3 2014","Currency=INR","Period=FQ","BEST_FPERIOD_OVERRIDE=FQ","FILING_STATUS=OR","EQY_CONSOLIDATED=Y","Sort=A","Dates=H","DateFormat=P","Fill=—","Direction=H","UseDPDF=Y")</f>
        <v>#NAME?</v>
      </c>
      <c r="BY556" s="3" t="e">
        <f ca="1">_xll.BDH($C$553,"SHORT_AND_LONG_TERM_DEBT","FQ3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556" s="3" t="e">
        <f ca="1">_xll.BDH($C$553,"BS_ST_BORROW","FQ3 2014","FQ3 2014","Currency=INR","Period=FQ","BEST_FPERIOD_OVERRIDE=FQ","FILING_STATUS=OR","EQY_CONSOLIDATED=Y","SCALING_FORMAT=MLN","Sort=A","Dates=H","DateFormat=P","Fill=—","Direction=H","UseDPDF=Y")</f>
        <v>#NAME?</v>
      </c>
      <c r="CA556" s="3" t="e">
        <f ca="1">_xll.BDH($C$553,"BS_LT_BORROW","FQ3 2014","FQ3 2014","Currency=INR","Period=FQ","BEST_FPERIOD_OVERRIDE=FQ","FILING_STATUS=OR","EQY_CONSOLIDATED=Y","SCALING_FORMAT=MLN","Sort=A","Dates=H","DateFormat=P","Fill=—","Direction=H","UseDPDF=Y")</f>
        <v>#NAME?</v>
      </c>
      <c r="CB556" s="2" t="e">
        <f ca="1">_xll.BDH($C$553,"TOT_DEBT_TO_EBITDA","FQ3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556" s="2" t="e">
        <f ca="1">_xll.BDH($C$553,"NET_DEBT_TO_EBITDA","FQ3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556" s="2" t="e">
        <f ca="1">_xll.BDH($C$553,"TOTAL_DEBT_TO_EBIT","FQ3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556" s="2" t="e">
        <f ca="1">_xll.BDH($C$553,"NET_DEBT_TO_EBIT","FQ3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556" s="2" t="e">
        <f ca="1">_xll.BDH($C$553,"EBITDA_TO_INTEREST_EXPN","FQ3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556" s="2" t="e">
        <f ca="1">_xll.BDH($C$553,"COM_EQY_TO_TOT_ASSET","FQ3 2014","FQ3 2014","Currency=INR","Period=FQ","BEST_FPERIOD_OVERRIDE=FQ","FILING_STATUS=OR","EQY_CONSOLIDATED=Y","Sort=A","Dates=H","DateFormat=P","Fill=—","Direction=H","UseDPDF=Y")</f>
        <v>#NAME?</v>
      </c>
      <c r="CH556" s="2" t="e">
        <f ca="1">_xll.BDH($C$553,"LT_DEBT_TO_TOT_EQY","FQ3 2014","FQ3 2014","Currency=INR","Period=FQ","BEST_FPERIOD_OVERRIDE=FQ","FILING_STATUS=OR","EQY_CONSOLIDATED=Y","Sort=A","Dates=H","DateFormat=P","Fill=—","Direction=H","UseDPDF=Y")</f>
        <v>#NAME?</v>
      </c>
      <c r="CI556" s="2" t="e">
        <f ca="1">_xll.BDH($C$553,"LT_DEBT_TO_TOT_CAP","FQ3 2014","FQ3 2014","Currency=INR","Period=FQ","BEST_FPERIOD_OVERRIDE=FQ","FILING_STATUS=OR","EQY_CONSOLIDATED=Y","Sort=A","Dates=H","DateFormat=P","Fill=—","Direction=H","UseDPDF=Y")</f>
        <v>#NAME?</v>
      </c>
      <c r="CJ556" s="2" t="e">
        <f ca="1">_xll.BDH($C$553,"LT_DEBT_TO_TOT_ASSET","FQ3 2014","FQ3 2014","Currency=INR","Period=FQ","BEST_FPERIOD_OVERRIDE=FQ","FILING_STATUS=OR","EQY_CONSOLIDATED=Y","Sort=A","Dates=H","DateFormat=P","Fill=—","Direction=H","UseDPDF=Y")</f>
        <v>#NAME?</v>
      </c>
      <c r="CK556" s="2" t="e">
        <f ca="1">_xll.BDH($C$553,"TOT_DEBT_TO_TOT_EQY","FQ3 2014","FQ3 2014","Currency=INR","Period=FQ","BEST_FPERIOD_OVERRIDE=FQ","FILING_STATUS=OR","EQY_CONSOLIDATED=Y","Sort=A","Dates=H","DateFormat=P","Fill=—","Direction=H","UseDPDF=Y")</f>
        <v>#NAME?</v>
      </c>
      <c r="CL556" s="2" t="e">
        <f ca="1">_xll.BDH($C$553,"TOT_DEBT_TO_TOT_CAP","FQ3 2014","FQ3 2014","Currency=INR","Period=FQ","BEST_FPERIOD_OVERRIDE=FQ","FILING_STATUS=OR","EQY_CONSOLIDATED=Y","Sort=A","Dates=H","DateFormat=P","Fill=—","Direction=H","UseDPDF=Y")</f>
        <v>#NAME?</v>
      </c>
      <c r="CM556" s="2" t="e">
        <f ca="1">_xll.BDH($C$553,"TOT_DEBT_TO_TOT_ASSET","FQ3 2014","FQ3 2014","Currency=INR","Period=FQ","BEST_FPERIOD_OVERRIDE=FQ","FILING_STATUS=OR","EQY_CONSOLIDATED=Y","Sort=A","Dates=H","DateFormat=P","Fill=—","Direction=H","UseDPDF=Y")</f>
        <v>#NAME?</v>
      </c>
      <c r="CN556" s="2" t="e">
        <f ca="1">_xll.BDH($C$553,"NET_DEBT_TO_SHRHLDR_EQTY","FQ3 2014","FQ3 2014","Currency=INR","Period=FQ","BEST_FPERIOD_OVERRIDE=FQ","FILING_STATUS=OR","EQY_CONSOLIDATED=Y","Sort=A","Dates=H","DateFormat=P","Fill=—","Direction=H","UseDPDF=Y")</f>
        <v>#NAME?</v>
      </c>
      <c r="CO556" s="2" t="e">
        <f ca="1">_xll.BDH($C$553,"NET_DEBT_%_CAPITAL","FQ3 2014","FQ3 2014","Currency=INR","Period=FQ","BEST_FPERIOD_OVERRIDE=FQ","FILING_STATUS=OR","EQY_CONSOLIDATED=Y","Sort=A","Dates=H","DateFormat=P","Fill=—","Direction=H","UseDPDF=Y")</f>
        <v>#NAME?</v>
      </c>
      <c r="CP556" s="3" t="e">
        <f ca="1">_xll.BDH($C$553,"EBITDA","FQ3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556" s="3" t="e">
        <f ca="1">_xll.BDH($C$553,"EBITDA_AFTER_CAPEX","FQ3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556" s="3" t="e">
        <f ca="1">_xll.BDH($C$553,"IS_OPER_INC","FQ3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556" s="2" t="e">
        <f ca="1">_xll.BDH($C$553,"CASH_RATIO","FQ3 2014","FQ3 2014","Currency=INR","Period=FQ","BEST_FPERIOD_OVERRIDE=FQ","FILING_STATUS=OR","EQY_CONSOLIDATED=Y","Sort=A","Dates=H","DateFormat=P","Fill=—","Direction=H","UseDPDF=Y")</f>
        <v>#NAME?</v>
      </c>
      <c r="CT556" s="2" t="e">
        <f ca="1">_xll.BDH($C$553,"CUR_RATIO","FQ3 2014","FQ3 2014","Currency=INR","Period=FQ","BEST_FPERIOD_OVERRIDE=FQ","FILING_STATUS=OR","EQY_CONSOLIDATED=Y","Sort=A","Dates=H","DateFormat=P","Fill=—","Direction=H","UseDPDF=Y")</f>
        <v>#NAME?</v>
      </c>
      <c r="CU556" s="2" t="e">
        <f ca="1">_xll.BDH($C$553,"QUICK_RATIO","FQ3 2014","FQ3 2014","Currency=INR","Period=FQ","BEST_FPERIOD_OVERRIDE=FQ","FILING_STATUS=OR","EQY_CONSOLIDATED=Y","Sort=A","Dates=H","DateFormat=P","Fill=—","Direction=H","UseDPDF=Y")</f>
        <v>#NAME?</v>
      </c>
      <c r="CV556" s="2" t="e">
        <f ca="1">_xll.BDH($C$553,"ALTMAN_Z_SCORE","FQ3 2014","FQ3 2014","Currency=INR","Period=FQ","BEST_FPERIOD_OVERRIDE=FQ","FILING_STATUS=OR","EQY_CONSOLIDATED=Y","Sort=A","Dates=H","DateFormat=P","Fill=—","Direction=H","UseDPDF=Y")</f>
        <v>#NAME?</v>
      </c>
      <c r="CW556" s="4" t="e">
        <f ca="1">_xll.BDH($C$553,"ACCT_RCV_TURN","FQ3 2014","FQ3 2014","Currency=INR","Period=FQ","BEST_FPERIOD_OVERRIDE=FQ","FILING_STATUS=OR","EQY_CONSOLIDATED=Y","FA_ADJUSTED=GAAP","Sort=A","Dates=H","DateFormat=P","Fill=—","Direction=H","UseDPDF=Y")</f>
        <v>#NAME?</v>
      </c>
      <c r="CX556" s="2" t="e">
        <f ca="1">_xll.BDH($C$553,"ACCT_RCV_DAYS","FQ3 2014","FQ3 2014","Currency=INR","Period=FQ","BEST_FPERIOD_OVERRIDE=FQ","FILING_STATUS=OR","EQY_CONSOLIDATED=Y","FA_ADJUSTED=GAAP","Sort=A","Dates=H","DateFormat=P","Fill=—","Direction=H","UseDPDF=Y")</f>
        <v>#NAME?</v>
      </c>
      <c r="CY556" s="4" t="e">
        <f ca="1">_xll.BDH($C$553,"INVENT_TURN","FQ3 2014","FQ3 2014","Currency=INR","Period=FQ","BEST_FPERIOD_OVERRIDE=FQ","FILING_STATUS=OR","EQY_CONSOLIDATED=Y","FA_ADJUSTED=GAAP","Sort=A","Dates=H","DateFormat=P","Fill=—","Direction=H","UseDPDF=Y")</f>
        <v>#NAME?</v>
      </c>
      <c r="CZ556" s="2" t="e">
        <f ca="1">_xll.BDH($C$553,"INVENT_DAYS","FQ3 2014","FQ3 2014","Currency=INR","Period=FQ","BEST_FPERIOD_OVERRIDE=FQ","FILING_STATUS=OR","EQY_CONSOLIDATED=Y","FA_ADJUSTED=GAAP","Sort=A","Dates=H","DateFormat=P","Fill=—","Direction=H","UseDPDF=Y")</f>
        <v>#NAME?</v>
      </c>
      <c r="DA556" s="4" t="e">
        <f ca="1">_xll.BDH($C$553,"ACCOUNTS_PAYABLE_TURNOVER","FQ3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556" s="2" t="e">
        <f ca="1">_xll.BDH($C$553,"ACCOUNTS_PAYABLE_TURNOVER_DAYS","FQ3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556" s="4" t="e">
        <f ca="1">_xll.BDH($C$553,"CASH_CONVERSION_CYCLE","FQ3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556" s="4" t="e">
        <f ca="1">_xll.BDH($C$553,"INV_TO_CASH_DAYS","FQ3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556" s="5" t="e">
        <f ca="1">_xll.BDH($C$553,"BS_INVENTORIES","FQ3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556" s="3" t="e">
        <f ca="1">_xll.BDH($C$553,"INVTRY_RAW_MATERIALS","FQ3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556" s="3" t="e">
        <f ca="1">_xll.BDH($C$553,"INVTRY_IN_PROGRESS","FQ3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556" s="3" t="e">
        <f ca="1">_xll.BDH($C$553,"INVTRY_FINISHED_GOODS","FQ3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556" s="3" t="e">
        <f ca="1">_xll.BDH($C$553,"BS_OTHER_INV","FQ3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557" spans="1:113" x14ac:dyDescent="0.3">
      <c r="A557" s="6"/>
      <c r="B557" s="6"/>
      <c r="C557" s="6"/>
      <c r="D557" s="6"/>
      <c r="E557" t="s">
        <v>81</v>
      </c>
      <c r="F557" t="e">
        <f ca="1">_xll.BDH($C$553,"RETURN_COM_EQY","FQ4 2014","FQ4 2014","Currency=INR","Period=FQ","BEST_FPERIOD_OVERRIDE=FQ","FILING_STATUS=OR","EQY_CONSOLIDATED=Y","FA_ADJUSTED=GAAP","Sort=A","Dates=H","DateFormat=P","Fill=—","Direction=H","UseDPDF=Y")</f>
        <v>#NAME?</v>
      </c>
      <c r="G557" t="e">
        <f ca="1">_xll.BDH($C$553,"RETURN_ON_ASSET","FQ4 2014","FQ4 2014","Currency=INR","Period=FQ","BEST_FPERIOD_OVERRIDE=FQ","FILING_STATUS=OR","EQY_CONSOLIDATED=Y","FA_ADJUSTED=GAAP","Sort=A","Dates=H","DateFormat=P","Fill=—","Direction=H","UseDPDF=Y")</f>
        <v>#NAME?</v>
      </c>
      <c r="H557" t="e">
        <f ca="1">_xll.BDH($C$553,"RETURN_ON_CAP","FQ4 2014","FQ4 2014","Currency=INR","Period=FQ","BEST_FPERIOD_OVERRIDE=FQ","FILING_STATUS=OR","EQY_CONSOLIDATED=Y","FA_ADJUSTED=GAAP","Sort=A","Dates=H","DateFormat=P","Fill=—","Direction=H","UseDPDF=Y")</f>
        <v>#NAME?</v>
      </c>
      <c r="I557" t="e">
        <f ca="1">_xll.BDH($C$553,"RETURN_ON_INV_CAPITAL","FQ4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557" t="e">
        <f ca="1">_xll.BDH($C$553,"EBITDA_TO_REVENUE","FQ4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557" t="e">
        <f ca="1">_xll.BDH($C$553,"OPER_MARGIN","FQ4 2014","FQ4 2014","Currency=INR","Period=FQ","BEST_FPERIOD_OVERRIDE=FQ","FILING_STATUS=OR","EQY_CONSOLIDATED=Y","FA_ADJUSTED=GAAP","Sort=A","Dates=H","DateFormat=P","Fill=—","Direction=H","UseDPDF=Y")</f>
        <v>#NAME?</v>
      </c>
      <c r="L557" t="e">
        <f ca="1">_xll.BDH($C$553,"INCREMENTAL_OPERATING_MARGIN","FQ4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557" t="e">
        <f ca="1">_xll.BDH($C$553,"PRETAX_INC_TO_NET_SALES","FQ4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557" t="e">
        <f ca="1">_xll.BDH($C$553,"INC_BEF_XO_ITEMS_TO_NET_SALES","FQ4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557" t="e">
        <f ca="1">_xll.BDH($C$553,"PROF_MARGIN","FQ4 2014","FQ4 2014","Currency=INR","Period=FQ","BEST_FPERIOD_OVERRIDE=FQ","FILING_STATUS=OR","EQY_CONSOLIDATED=Y","FA_ADJUSTED=GAAP","Sort=A","Dates=H","DateFormat=P","Fill=—","Direction=H","UseDPDF=Y")</f>
        <v>#NAME?</v>
      </c>
      <c r="P557" t="e">
        <f ca="1">_xll.BDH($C$553,"NET_INCOME_TO_COMMON_MARGIN","FQ4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557" t="e">
        <f ca="1">_xll.BDH($C$553,"EFF_TAX_RATE","FQ4 2014","FQ4 2014","Currency=INR","Period=FQ","BEST_FPERIOD_OVERRIDE=FQ","FILING_STATUS=OR","EQY_CONSOLIDATED=Y","FA_ADJUSTED=GAAP","Sort=A","Dates=H","DateFormat=P","Fill=—","Direction=H","UseDPDF=Y")</f>
        <v>#NAME?</v>
      </c>
      <c r="R557" t="e">
        <f ca="1">_xll.BDH($C$553,"DVD_PAYOUT_RATIO","FQ4 2014","FQ4 2014","Currency=INR","Period=FQ","BEST_FPERIOD_OVERRIDE=FQ","FILING_STATUS=OR","EQY_CONSOLIDATED=Y","FA_ADJUSTED=GAAP","Sort=A","Dates=H","DateFormat=P","Fill=—","Direction=H","UseDPDF=Y")</f>
        <v>#NAME?</v>
      </c>
      <c r="S557" t="e">
        <f ca="1">_xll.BDH($C$553,"SUSTAIN_GROWTH_RT","FQ4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557" s="2" t="e">
        <f ca="1">_xll.BDH($C$553,"SALES_GROWTH","FQ4 2014","FQ4 2014","Currency=INR","Period=FQ","BEST_FPERIOD_OVERRIDE=FQ","FILING_STATUS=OR","EQY_CONSOLIDATED=Y","FA_ADJUSTED=GAAP","Sort=A","Dates=H","DateFormat=P","Fill=—","Direction=H","UseDPDF=Y")</f>
        <v>#NAME?</v>
      </c>
      <c r="U557" s="2" t="e">
        <f ca="1">_xll.BDH($C$553,"EBITDA_GROWTH","FQ4 2014","FQ4 2014","Currency=INR","Period=FQ","BEST_FPERIOD_OVERRIDE=FQ","FILING_STATUS=OR","EQY_CONSOLIDATED=Y","FA_ADJUSTED=GAAP","Sort=A","Dates=H","DateFormat=P","Fill=—","Direction=H","UseDPDF=Y")</f>
        <v>#NAME?</v>
      </c>
      <c r="V557" s="2" t="e">
        <f ca="1">_xll.BDH($C$553,"OPER_INC_GROWTH","FQ4 2014","FQ4 2014","Currency=INR","Period=FQ","BEST_FPERIOD_OVERRIDE=FQ","FILING_STATUS=OR","EQY_CONSOLIDATED=Y","FA_ADJUSTED=GAAP","Sort=A","Dates=H","DateFormat=P","Fill=—","Direction=H","UseDPDF=Y")</f>
        <v>#NAME?</v>
      </c>
      <c r="W557" s="2" t="e">
        <f ca="1">_xll.BDH($C$553,"EARN_FOR_COM_GROWTH","FQ4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557" s="2" t="e">
        <f ca="1">_xll.BDH($C$553,"DILUTED_EPS_AFT_XO_ITEMS_GROWTH","FQ4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557" s="2" t="e">
        <f ca="1">_xll.BDH($C$553,"DIVIDEND_PER_SHARE_1_YEAR_GROWTH","FQ4 2014","FQ4 2014","Currency=INR","Period=FQ","BEST_FPERIOD_OVERRIDE=FQ","FILING_STATUS=OR","EQY_CONSOLIDATED=Y","Sort=A","Dates=H","DateFormat=P","Fill=—","Direction=H","UseDPDF=Y")</f>
        <v>#NAME?</v>
      </c>
      <c r="Z557" s="2" t="e">
        <f ca="1">_xll.BDH($C$553,"ACCOUNTS_RECEIVABLE_GROWTH","FQ4 2014","FQ4 2014","Currency=INR","Period=FQ","BEST_FPERIOD_OVERRIDE=FQ","FILING_STATUS=OR","EQY_CONSOLIDATED=Y","Sort=A","Dates=H","DateFormat=P","Fill=—","Direction=H","UseDPDF=Y")</f>
        <v>#NAME?</v>
      </c>
      <c r="AA557" s="2" t="e">
        <f ca="1">_xll.BDH($C$553,"INVENTORY_GROWTH","FQ4 2014","FQ4 2014","Currency=INR","Period=FQ","BEST_FPERIOD_OVERRIDE=FQ","FILING_STATUS=OR","EQY_CONSOLIDATED=Y","Sort=A","Dates=H","DateFormat=P","Fill=—","Direction=H","UseDPDF=Y")</f>
        <v>#NAME?</v>
      </c>
      <c r="AB557" s="2" t="e">
        <f ca="1">_xll.BDH($C$553,"NET_FIXED_ASSETS_1_YEAR_GROWTH","FQ4 2014","FQ4 2014","Currency=INR","Period=FQ","BEST_FPERIOD_OVERRIDE=FQ","FILING_STATUS=OR","EQY_CONSOLIDATED=Y","Sort=A","Dates=H","DateFormat=P","Fill=—","Direction=H","UseDPDF=Y")</f>
        <v>#NAME?</v>
      </c>
      <c r="AC557" s="2" t="e">
        <f ca="1">_xll.BDH($C$553,"ASSET_GROWTH","FQ4 2014","FQ4 2014","Currency=INR","Period=FQ","BEST_FPERIOD_OVERRIDE=FQ","FILING_STATUS=OR","EQY_CONSOLIDATED=Y","Sort=A","Dates=H","DateFormat=P","Fill=—","Direction=H","UseDPDF=Y")</f>
        <v>#NAME?</v>
      </c>
      <c r="AD557" s="2" t="e">
        <f ca="1">_xll.BDH($C$553,"MODIFIED_WORK_CAP_GROWTH","FQ4 2014","FQ4 2014","Currency=INR","Period=FQ","BEST_FPERIOD_OVERRIDE=FQ","FILING_STATUS=OR","EQY_CONSOLIDATED=Y","Sort=A","Dates=H","DateFormat=P","Fill=—","Direction=H","UseDPDF=Y")</f>
        <v>#NAME?</v>
      </c>
      <c r="AE557" s="2" t="e">
        <f ca="1">_xll.BDH($C$553,"WORK_CAP_GROWTH","FQ4 2014","FQ4 2014","Currency=INR","Period=FQ","BEST_FPERIOD_OVERRIDE=FQ","FILING_STATUS=OR","EQY_CONSOLIDATED=Y","Sort=A","Dates=H","DateFormat=P","Fill=—","Direction=H","UseDPDF=Y")</f>
        <v>#NAME?</v>
      </c>
      <c r="AF557" s="2" t="e">
        <f ca="1">_xll.BDH($C$553,"ACCOUNTS_PAYABLE_GROWTH_1YR","FQ4 2014","FQ4 2014","Currency=INR","Period=FQ","BEST_FPERIOD_OVERRIDE=FQ","FILING_STATUS=OR","EQY_CONSOLIDATED=Y","Sort=A","Dates=H","DateFormat=P","Fill=—","Direction=H","UseDPDF=Y")</f>
        <v>#NAME?</v>
      </c>
      <c r="AG557" s="2" t="e">
        <f ca="1">_xll.BDH($C$553,"SHORT_TERM_DEBT_1_YEAR_GROWTH","FQ4 2014","FQ4 2014","Currency=INR","Period=FQ","BEST_FPERIOD_OVERRIDE=FQ","FILING_STATUS=OR","EQY_CONSOLIDATED=Y","Sort=A","Dates=H","DateFormat=P","Fill=—","Direction=H","UseDPDF=Y")</f>
        <v>#NAME?</v>
      </c>
      <c r="AH557" s="2" t="e">
        <f ca="1">_xll.BDH($C$553,"TOTAL_DEBT_1_YEAR_GROWTH","FQ4 2014","FQ4 2014","Currency=INR","Period=FQ","BEST_FPERIOD_OVERRIDE=FQ","FILING_STATUS=OR","EQY_CONSOLIDATED=Y","Sort=A","Dates=H","DateFormat=P","Fill=—","Direction=H","UseDPDF=Y")</f>
        <v>#NAME?</v>
      </c>
      <c r="AI557" s="2" t="e">
        <f ca="1">_xll.BDH($C$553,"TOTAL_EQUITY_1_YEAR_GROWTH","FQ4 2014","FQ4 2014","Currency=INR","Period=FQ","BEST_FPERIOD_OVERRIDE=FQ","FILING_STATUS=OR","EQY_CONSOLIDATED=Y","Sort=A","Dates=H","DateFormat=P","Fill=—","Direction=H","UseDPDF=Y")</f>
        <v>#NAME?</v>
      </c>
      <c r="AJ557" s="2" t="e">
        <f ca="1">_xll.BDH($C$553,"GROWTH_IN_CAP","FQ4 2014","FQ4 2014","Currency=INR","Period=FQ","BEST_FPERIOD_OVERRIDE=FQ","FILING_STATUS=OR","EQY_CONSOLIDATED=Y","Sort=A","Dates=H","DateFormat=P","Fill=—","Direction=H","UseDPDF=Y")</f>
        <v>#NAME?</v>
      </c>
      <c r="AK557" s="2" t="e">
        <f ca="1">_xll.BDH($C$553,"BVPS_GROWTH","FQ4 2014","FQ4 2014","Currency=INR","Period=FQ","BEST_FPERIOD_OVERRIDE=FQ","FILING_STATUS=OR","EQY_CONSOLIDATED=Y","Sort=A","Dates=H","DateFormat=P","Fill=—","Direction=H","UseDPDF=Y")</f>
        <v>#NAME?</v>
      </c>
      <c r="AL557" s="2" t="e">
        <f ca="1">_xll.BDH($C$553,"CASH_FLOW_GROWTH","FQ4 2014","FQ4 2014","Currency=INR","Period=FQ","BEST_FPERIOD_OVERRIDE=FQ","FILING_STATUS=OR","EQY_CONSOLIDATED=Y","Sort=A","Dates=H","DateFormat=P","Fill=—","Direction=H","UseDPDF=Y")</f>
        <v>#NAME?</v>
      </c>
      <c r="AM557" s="2" t="e">
        <f ca="1">_xll.BDH($C$553,"GEO_GROW_NET_SALES","FQ4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557" s="2" t="e">
        <f ca="1">_xll.BDH($C$553,"GEO_GROW_EBITDA","FQ4 2014","FQ4 2014","Currency=INR","Period=FQ","BEST_FPERIOD_OVERRIDE=FQ","FILING_STATUS=OR","EQY_CONSOLIDATED=Y","FA_ADJUSTED=GAAP","Sort=A","Dates=H","DateFormat=P","Fill=—","Direction=H","UseDPDF=Y")</f>
        <v>#NAME?</v>
      </c>
      <c r="AO557" s="2" t="e">
        <f ca="1">_xll.BDH($C$553,"GEO_GROW_OPER_INC","FQ4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557" s="2" t="e">
        <f ca="1">_xll.BDH($C$553,"NET_INCOME_TO_COMMON_5_YR_GROWTH","FQ4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557" s="2" t="e">
        <f ca="1">_xll.BDH($C$553,"5Y_GEO_GROWTH_DILUTED_EPS","FQ4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557" s="2" t="e">
        <f ca="1">_xll.BDH($C$553,"GEO_GROW_DVD_PER_SH","FQ4 2014","FQ4 2014","Currency=INR","Period=FQ","BEST_FPERIOD_OVERRIDE=FQ","FILING_STATUS=OR","EQY_CONSOLIDATED=Y","Sort=A","Dates=H","DateFormat=P","Fill=—","Direction=H","UseDPDF=Y")</f>
        <v>#NAME?</v>
      </c>
      <c r="AS557" s="2" t="e">
        <f ca="1">_xll.BDH($C$553,"ACCOUNTS_RECEIVABLE_5_YR_GROWTH","FQ4 2014","FQ4 2014","Currency=INR","Period=FQ","BEST_FPERIOD_OVERRIDE=FQ","FILING_STATUS=OR","EQY_CONSOLIDATED=Y","Sort=A","Dates=H","DateFormat=P","Fill=—","Direction=H","UseDPDF=Y")</f>
        <v>#NAME?</v>
      </c>
      <c r="AT557" s="2" t="e">
        <f ca="1">_xll.BDH($C$553,"INVENTORY_5_YEAR_GROWTH","FQ4 2014","FQ4 2014","Currency=INR","Period=FQ","BEST_FPERIOD_OVERRIDE=FQ","FILING_STATUS=OR","EQY_CONSOLIDATED=Y","Sort=A","Dates=H","DateFormat=P","Fill=—","Direction=H","UseDPDF=Y")</f>
        <v>#NAME?</v>
      </c>
      <c r="AU557" s="2" t="e">
        <f ca="1">_xll.BDH($C$553,"NET_FIXED_ASSETS_5_YEAR_GROWTH","FQ4 2014","FQ4 2014","Currency=INR","Period=FQ","BEST_FPERIOD_OVERRIDE=FQ","FILING_STATUS=OR","EQY_CONSOLIDATED=Y","Sort=A","Dates=H","DateFormat=P","Fill=—","Direction=H","UseDPDF=Y")</f>
        <v>#NAME?</v>
      </c>
      <c r="AV557" s="2" t="e">
        <f ca="1">_xll.BDH($C$553,"GEO_GROW_TOT_ASSET","FQ4 2014","FQ4 2014","Currency=INR","Period=FQ","BEST_FPERIOD_OVERRIDE=FQ","FILING_STATUS=OR","EQY_CONSOLIDATED=Y","Sort=A","Dates=H","DateFormat=P","Fill=—","Direction=H","UseDPDF=Y")</f>
        <v>#NAME?</v>
      </c>
      <c r="AW557" s="2" t="e">
        <f ca="1">_xll.BDH($C$553,"MODIFIED_WORKING_CPTL_5YR_GRWTH","FQ4 2014","FQ4 2014","Currency=INR","Period=FQ","BEST_FPERIOD_OVERRIDE=FQ","FILING_STATUS=OR","EQY_CONSOLIDATED=Y","Sort=A","Dates=H","DateFormat=P","Fill=—","Direction=H","UseDPDF=Y")</f>
        <v>#NAME?</v>
      </c>
      <c r="AX557" s="2" t="e">
        <f ca="1">_xll.BDH($C$553,"WORKING_CAPITAL_5_YEAR_GROWTH","FQ4 2014","FQ4 2014","Currency=INR","Period=FQ","BEST_FPERIOD_OVERRIDE=FQ","FILING_STATUS=OR","EQY_CONSOLIDATED=Y","Sort=A","Dates=H","DateFormat=P","Fill=—","Direction=H","UseDPDF=Y")</f>
        <v>#NAME?</v>
      </c>
      <c r="AY557" s="2" t="e">
        <f ca="1">_xll.BDH($C$553,"ACCOUNTS_PAYABLE_5_YEAR_GROWTH","FQ4 2014","FQ4 2014","Currency=INR","Period=FQ","BEST_FPERIOD_OVERRIDE=FQ","FILING_STATUS=OR","EQY_CONSOLIDATED=Y","Sort=A","Dates=H","DateFormat=P","Fill=—","Direction=H","UseDPDF=Y")</f>
        <v>#NAME?</v>
      </c>
      <c r="AZ557" s="2" t="e">
        <f ca="1">_xll.BDH($C$553,"SHORT_TERM_DEBT_5_YEAR_GROWTH","FQ4 2014","FQ4 2014","Currency=INR","Period=FQ","BEST_FPERIOD_OVERRIDE=FQ","FILING_STATUS=OR","EQY_CONSOLIDATED=Y","Sort=A","Dates=H","DateFormat=P","Fill=—","Direction=H","UseDPDF=Y")</f>
        <v>#NAME?</v>
      </c>
      <c r="BA557" s="2" t="e">
        <f ca="1">_xll.BDH($C$553,"TOTAL_DEBT_5_YEAR_GROWTH","FQ4 2014","FQ4 2014","Currency=INR","Period=FQ","BEST_FPERIOD_OVERRIDE=FQ","FILING_STATUS=OR","EQY_CONSOLIDATED=Y","Sort=A","Dates=H","DateFormat=P","Fill=—","Direction=H","UseDPDF=Y")</f>
        <v>#NAME?</v>
      </c>
      <c r="BB557" s="2" t="e">
        <f ca="1">_xll.BDH($C$553,"GEO_GROW_TOT_SHRHLDR_EQY","FQ4 2014","FQ4 2014","Currency=INR","Period=FQ","BEST_FPERIOD_OVERRIDE=FQ","FILING_STATUS=OR","EQY_CONSOLIDATED=Y","Sort=A","Dates=H","DateFormat=P","Fill=—","Direction=H","UseDPDF=Y")</f>
        <v>#NAME?</v>
      </c>
      <c r="BC557" s="2" t="e">
        <f ca="1">_xll.BDH($C$553,"TOTAL_CAPITAL_5_YEAR_GROWTH","FQ4 2014","FQ4 2014","Currency=INR","Period=FQ","BEST_FPERIOD_OVERRIDE=FQ","FILING_STATUS=OR","EQY_CONSOLIDATED=Y","Sort=A","Dates=H","DateFormat=P","Fill=—","Direction=H","UseDPDF=Y")</f>
        <v>#NAME?</v>
      </c>
      <c r="BD557" s="2" t="e">
        <f ca="1">_xll.BDH($C$553,"GEO_GROW_BOOK_VAL","FQ4 2014","FQ4 2014","Currency=INR","Period=FQ","BEST_FPERIOD_OVERRIDE=FQ","FILING_STATUS=OR","EQY_CONSOLIDATED=Y","Sort=A","Dates=H","DateFormat=P","Fill=—","Direction=H","UseDPDF=Y")</f>
        <v>#NAME?</v>
      </c>
      <c r="BE557" s="2" t="e">
        <f ca="1">_xll.BDH($C$553,"GEO_GROW_CASH_OPER_ACT","FQ4 2014","FQ4 2014","Currency=INR","Period=FQ","BEST_FPERIOD_OVERRIDE=FQ","FILING_STATUS=OR","EQY_CONSOLIDATED=Y","Sort=A","Dates=H","DateFormat=P","Fill=—","Direction=H","UseDPDF=Y")</f>
        <v>#NAME?</v>
      </c>
      <c r="BF557" s="2" t="e">
        <f ca="1">_xll.BDH($C$553,"REVENUE_SEQUENTIAL_GROWTH","FQ4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557" s="2" t="e">
        <f ca="1">_xll.BDH($C$553,"EBITDA_SEQUENTIAL_GROWTH","FQ4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557" s="2" t="e">
        <f ca="1">_xll.BDH($C$553,"OPERATING_INCOME_SEQ_GROWTH","FQ4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557" s="2" t="e">
        <f ca="1">_xll.BDH($C$553,"NET_INCOME_TO_COMMON_SEQ_GROWTH","FQ4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557" s="2" t="e">
        <f ca="1">_xll.BDH($C$553,"EPS_DILUTED_SEQUENTIAL_GROWTH","FQ4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557" s="2" t="e">
        <f ca="1">_xll.BDH($C$553,"DPS_SEQUENTIAL_GROWTH","FQ4 2014","FQ4 2014","Currency=INR","Period=FQ","BEST_FPERIOD_OVERRIDE=FQ","FILING_STATUS=OR","EQY_CONSOLIDATED=Y","Sort=A","Dates=H","DateFormat=P","Fill=—","Direction=H","UseDPDF=Y")</f>
        <v>#NAME?</v>
      </c>
      <c r="BL557" s="2" t="e">
        <f ca="1">_xll.BDH($C$553,"ACCOUNTS_RECEIVABLE_SEQ_GROWTH","FQ4 2014","FQ4 2014","Currency=INR","Period=FQ","BEST_FPERIOD_OVERRIDE=FQ","FILING_STATUS=OR","EQY_CONSOLIDATED=Y","Sort=A","Dates=H","DateFormat=P","Fill=—","Direction=H","UseDPDF=Y")</f>
        <v>#NAME?</v>
      </c>
      <c r="BM557" s="2" t="e">
        <f ca="1">_xll.BDH($C$553,"INVENTORY_SEQUENTIAL_GROWTH","FQ4 2014","FQ4 2014","Currency=INR","Period=FQ","BEST_FPERIOD_OVERRIDE=FQ","FILING_STATUS=OR","EQY_CONSOLIDATED=Y","Sort=A","Dates=H","DateFormat=P","Fill=—","Direction=H","UseDPDF=Y")</f>
        <v>#NAME?</v>
      </c>
      <c r="BN557" s="2" t="e">
        <f ca="1">_xll.BDH($C$553,"FIXED_ASSETS_SEQUENTIAL_GROWTH","FQ4 2014","FQ4 2014","Currency=INR","Period=FQ","BEST_FPERIOD_OVERRIDE=FQ","FILING_STATUS=OR","EQY_CONSOLIDATED=Y","Sort=A","Dates=H","DateFormat=P","Fill=—","Direction=H","UseDPDF=Y")</f>
        <v>#NAME?</v>
      </c>
      <c r="BO557" s="2" t="e">
        <f ca="1">_xll.BDH($C$553,"TOTAL_ASSETS_SEQUENTIAL_GROWTH","FQ4 2014","FQ4 2014","Currency=INR","Period=FQ","BEST_FPERIOD_OVERRIDE=FQ","FILING_STATUS=OR","EQY_CONSOLIDATED=Y","Sort=A","Dates=H","DateFormat=P","Fill=—","Direction=H","UseDPDF=Y")</f>
        <v>#NAME?</v>
      </c>
      <c r="BP557" s="2" t="e">
        <f ca="1">_xll.BDH($C$553,"MODIFIED_WORKING_CPTL_SEQ_GRWTH","FQ4 2014","FQ4 2014","Currency=INR","Period=FQ","BEST_FPERIOD_OVERRIDE=FQ","FILING_STATUS=OR","EQY_CONSOLIDATED=Y","Sort=A","Dates=H","DateFormat=P","Fill=—","Direction=H","UseDPDF=Y")</f>
        <v>#NAME?</v>
      </c>
      <c r="BQ557" s="2" t="e">
        <f ca="1">_xll.BDH($C$553,"WORKING_CAPITAL_SEQ_GROWTH","FQ4 2014","FQ4 2014","Currency=INR","Period=FQ","BEST_FPERIOD_OVERRIDE=FQ","FILING_STATUS=OR","EQY_CONSOLIDATED=Y","Sort=A","Dates=H","DateFormat=P","Fill=—","Direction=H","UseDPDF=Y")</f>
        <v>#NAME?</v>
      </c>
      <c r="BR557" s="2" t="e">
        <f ca="1">_xll.BDH($C$553,"ACCOUNTS_PAYABLE_SEQ_GROWTH","FQ4 2014","FQ4 2014","Currency=INR","Period=FQ","BEST_FPERIOD_OVERRIDE=FQ","FILING_STATUS=OR","EQY_CONSOLIDATED=Y","Sort=A","Dates=H","DateFormat=P","Fill=—","Direction=H","UseDPDF=Y")</f>
        <v>#NAME?</v>
      </c>
      <c r="BS557" s="2" t="e">
        <f ca="1">_xll.BDH($C$553,"ST_DEBT_SEQUENTIAL_GROWTH","FQ4 2014","FQ4 2014","Currency=INR","Period=FQ","BEST_FPERIOD_OVERRIDE=FQ","FILING_STATUS=OR","EQY_CONSOLIDATED=Y","Sort=A","Dates=H","DateFormat=P","Fill=—","Direction=H","UseDPDF=Y")</f>
        <v>#NAME?</v>
      </c>
      <c r="BT557" s="2" t="e">
        <f ca="1">_xll.BDH($C$553,"TOTAL_DEBT_SEQUENTIAL_GROWTH","FQ4 2014","FQ4 2014","Currency=INR","Period=FQ","BEST_FPERIOD_OVERRIDE=FQ","FILING_STATUS=OR","EQY_CONSOLIDATED=Y","Sort=A","Dates=H","DateFormat=P","Fill=—","Direction=H","UseDPDF=Y")</f>
        <v>#NAME?</v>
      </c>
      <c r="BU557" s="2" t="e">
        <f ca="1">_xll.BDH($C$553,"TOTAL_EQUITY_SEQUENTIAL_GROWTH","FQ4 2014","FQ4 2014","Currency=INR","Period=FQ","BEST_FPERIOD_OVERRIDE=FQ","FILING_STATUS=OR","EQY_CONSOLIDATED=Y","Sort=A","Dates=H","DateFormat=P","Fill=—","Direction=H","UseDPDF=Y")</f>
        <v>#NAME?</v>
      </c>
      <c r="BV557" s="2" t="e">
        <f ca="1">_xll.BDH($C$553,"TOTAL_CAPITAL_SEQUENTIAL_GROWTH","FQ4 2014","FQ4 2014","Currency=INR","Period=FQ","BEST_FPERIOD_OVERRIDE=FQ","FILING_STATUS=OR","EQY_CONSOLIDATED=Y","Sort=A","Dates=H","DateFormat=P","Fill=—","Direction=H","UseDPDF=Y")</f>
        <v>#NAME?</v>
      </c>
      <c r="BW557" s="2" t="e">
        <f ca="1">_xll.BDH($C$553,"BPS_SEQUENTIAL_GROWTH","FQ4 2014","FQ4 2014","Currency=INR","Period=FQ","BEST_FPERIOD_OVERRIDE=FQ","FILING_STATUS=OR","EQY_CONSOLIDATED=Y","Sort=A","Dates=H","DateFormat=P","Fill=—","Direction=H","UseDPDF=Y")</f>
        <v>#NAME?</v>
      </c>
      <c r="BX557" s="2" t="e">
        <f ca="1">_xll.BDH($C$553,"CFO_SEQUENTIAL_GROWTH","FQ4 2014","FQ4 2014","Currency=INR","Period=FQ","BEST_FPERIOD_OVERRIDE=FQ","FILING_STATUS=OR","EQY_CONSOLIDATED=Y","Sort=A","Dates=H","DateFormat=P","Fill=—","Direction=H","UseDPDF=Y")</f>
        <v>#NAME?</v>
      </c>
      <c r="BY557" s="3" t="e">
        <f ca="1">_xll.BDH($C$553,"SHORT_AND_LONG_TERM_DEBT","FQ4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557" s="3" t="e">
        <f ca="1">_xll.BDH($C$553,"BS_ST_BORROW","FQ4 2014","FQ4 2014","Currency=INR","Period=FQ","BEST_FPERIOD_OVERRIDE=FQ","FILING_STATUS=OR","EQY_CONSOLIDATED=Y","SCALING_FORMAT=MLN","Sort=A","Dates=H","DateFormat=P","Fill=—","Direction=H","UseDPDF=Y")</f>
        <v>#NAME?</v>
      </c>
      <c r="CA557" s="3" t="e">
        <f ca="1">_xll.BDH($C$553,"BS_LT_BORROW","FQ4 2014","FQ4 2014","Currency=INR","Period=FQ","BEST_FPERIOD_OVERRIDE=FQ","FILING_STATUS=OR","EQY_CONSOLIDATED=Y","SCALING_FORMAT=MLN","Sort=A","Dates=H","DateFormat=P","Fill=—","Direction=H","UseDPDF=Y")</f>
        <v>#NAME?</v>
      </c>
      <c r="CB557" s="2" t="e">
        <f ca="1">_xll.BDH($C$553,"TOT_DEBT_TO_EBITDA","FQ4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557" s="2" t="e">
        <f ca="1">_xll.BDH($C$553,"NET_DEBT_TO_EBITDA","FQ4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557" s="2" t="e">
        <f ca="1">_xll.BDH($C$553,"TOTAL_DEBT_TO_EBIT","FQ4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557" s="2" t="e">
        <f ca="1">_xll.BDH($C$553,"NET_DEBT_TO_EBIT","FQ4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557" s="2" t="e">
        <f ca="1">_xll.BDH($C$553,"EBITDA_TO_INTEREST_EXPN","FQ4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557" s="2" t="e">
        <f ca="1">_xll.BDH($C$553,"COM_EQY_TO_TOT_ASSET","FQ4 2014","FQ4 2014","Currency=INR","Period=FQ","BEST_FPERIOD_OVERRIDE=FQ","FILING_STATUS=OR","EQY_CONSOLIDATED=Y","Sort=A","Dates=H","DateFormat=P","Fill=—","Direction=H","UseDPDF=Y")</f>
        <v>#NAME?</v>
      </c>
      <c r="CH557" s="2" t="e">
        <f ca="1">_xll.BDH($C$553,"LT_DEBT_TO_TOT_EQY","FQ4 2014","FQ4 2014","Currency=INR","Period=FQ","BEST_FPERIOD_OVERRIDE=FQ","FILING_STATUS=OR","EQY_CONSOLIDATED=Y","Sort=A","Dates=H","DateFormat=P","Fill=—","Direction=H","UseDPDF=Y")</f>
        <v>#NAME?</v>
      </c>
      <c r="CI557" s="2" t="e">
        <f ca="1">_xll.BDH($C$553,"LT_DEBT_TO_TOT_CAP","FQ4 2014","FQ4 2014","Currency=INR","Period=FQ","BEST_FPERIOD_OVERRIDE=FQ","FILING_STATUS=OR","EQY_CONSOLIDATED=Y","Sort=A","Dates=H","DateFormat=P","Fill=—","Direction=H","UseDPDF=Y")</f>
        <v>#NAME?</v>
      </c>
      <c r="CJ557" s="2" t="e">
        <f ca="1">_xll.BDH($C$553,"LT_DEBT_TO_TOT_ASSET","FQ4 2014","FQ4 2014","Currency=INR","Period=FQ","BEST_FPERIOD_OVERRIDE=FQ","FILING_STATUS=OR","EQY_CONSOLIDATED=Y","Sort=A","Dates=H","DateFormat=P","Fill=—","Direction=H","UseDPDF=Y")</f>
        <v>#NAME?</v>
      </c>
      <c r="CK557" s="2" t="e">
        <f ca="1">_xll.BDH($C$553,"TOT_DEBT_TO_TOT_EQY","FQ4 2014","FQ4 2014","Currency=INR","Period=FQ","BEST_FPERIOD_OVERRIDE=FQ","FILING_STATUS=OR","EQY_CONSOLIDATED=Y","Sort=A","Dates=H","DateFormat=P","Fill=—","Direction=H","UseDPDF=Y")</f>
        <v>#NAME?</v>
      </c>
      <c r="CL557" s="2" t="e">
        <f ca="1">_xll.BDH($C$553,"TOT_DEBT_TO_TOT_CAP","FQ4 2014","FQ4 2014","Currency=INR","Period=FQ","BEST_FPERIOD_OVERRIDE=FQ","FILING_STATUS=OR","EQY_CONSOLIDATED=Y","Sort=A","Dates=H","DateFormat=P","Fill=—","Direction=H","UseDPDF=Y")</f>
        <v>#NAME?</v>
      </c>
      <c r="CM557" s="2" t="e">
        <f ca="1">_xll.BDH($C$553,"TOT_DEBT_TO_TOT_ASSET","FQ4 2014","FQ4 2014","Currency=INR","Period=FQ","BEST_FPERIOD_OVERRIDE=FQ","FILING_STATUS=OR","EQY_CONSOLIDATED=Y","Sort=A","Dates=H","DateFormat=P","Fill=—","Direction=H","UseDPDF=Y")</f>
        <v>#NAME?</v>
      </c>
      <c r="CN557" s="2" t="e">
        <f ca="1">_xll.BDH($C$553,"NET_DEBT_TO_SHRHLDR_EQTY","FQ4 2014","FQ4 2014","Currency=INR","Period=FQ","BEST_FPERIOD_OVERRIDE=FQ","FILING_STATUS=OR","EQY_CONSOLIDATED=Y","Sort=A","Dates=H","DateFormat=P","Fill=—","Direction=H","UseDPDF=Y")</f>
        <v>#NAME?</v>
      </c>
      <c r="CO557" s="2" t="e">
        <f ca="1">_xll.BDH($C$553,"NET_DEBT_%_CAPITAL","FQ4 2014","FQ4 2014","Currency=INR","Period=FQ","BEST_FPERIOD_OVERRIDE=FQ","FILING_STATUS=OR","EQY_CONSOLIDATED=Y","Sort=A","Dates=H","DateFormat=P","Fill=—","Direction=H","UseDPDF=Y")</f>
        <v>#NAME?</v>
      </c>
      <c r="CP557" s="3" t="e">
        <f ca="1">_xll.BDH($C$553,"EBITDA","FQ4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557" s="3" t="e">
        <f ca="1">_xll.BDH($C$553,"EBITDA_AFTER_CAPEX","FQ4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557" s="3" t="e">
        <f ca="1">_xll.BDH($C$553,"IS_OPER_INC","FQ4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557" s="2" t="e">
        <f ca="1">_xll.BDH($C$553,"CASH_RATIO","FQ4 2014","FQ4 2014","Currency=INR","Period=FQ","BEST_FPERIOD_OVERRIDE=FQ","FILING_STATUS=OR","EQY_CONSOLIDATED=Y","Sort=A","Dates=H","DateFormat=P","Fill=—","Direction=H","UseDPDF=Y")</f>
        <v>#NAME?</v>
      </c>
      <c r="CT557" s="2" t="e">
        <f ca="1">_xll.BDH($C$553,"CUR_RATIO","FQ4 2014","FQ4 2014","Currency=INR","Period=FQ","BEST_FPERIOD_OVERRIDE=FQ","FILING_STATUS=OR","EQY_CONSOLIDATED=Y","Sort=A","Dates=H","DateFormat=P","Fill=—","Direction=H","UseDPDF=Y")</f>
        <v>#NAME?</v>
      </c>
      <c r="CU557" s="2" t="e">
        <f ca="1">_xll.BDH($C$553,"QUICK_RATIO","FQ4 2014","FQ4 2014","Currency=INR","Period=FQ","BEST_FPERIOD_OVERRIDE=FQ","FILING_STATUS=OR","EQY_CONSOLIDATED=Y","Sort=A","Dates=H","DateFormat=P","Fill=—","Direction=H","UseDPDF=Y")</f>
        <v>#NAME?</v>
      </c>
      <c r="CV557" s="2" t="e">
        <f ca="1">_xll.BDH($C$553,"ALTMAN_Z_SCORE","FQ4 2014","FQ4 2014","Currency=INR","Period=FQ","BEST_FPERIOD_OVERRIDE=FQ","FILING_STATUS=OR","EQY_CONSOLIDATED=Y","Sort=A","Dates=H","DateFormat=P","Fill=—","Direction=H","UseDPDF=Y")</f>
        <v>#NAME?</v>
      </c>
      <c r="CW557" s="4" t="e">
        <f ca="1">_xll.BDH($C$553,"ACCT_RCV_TURN","FQ4 2014","FQ4 2014","Currency=INR","Period=FQ","BEST_FPERIOD_OVERRIDE=FQ","FILING_STATUS=OR","EQY_CONSOLIDATED=Y","FA_ADJUSTED=GAAP","Sort=A","Dates=H","DateFormat=P","Fill=—","Direction=H","UseDPDF=Y")</f>
        <v>#NAME?</v>
      </c>
      <c r="CX557" s="2" t="e">
        <f ca="1">_xll.BDH($C$553,"ACCT_RCV_DAYS","FQ4 2014","FQ4 2014","Currency=INR","Period=FQ","BEST_FPERIOD_OVERRIDE=FQ","FILING_STATUS=OR","EQY_CONSOLIDATED=Y","FA_ADJUSTED=GAAP","Sort=A","Dates=H","DateFormat=P","Fill=—","Direction=H","UseDPDF=Y")</f>
        <v>#NAME?</v>
      </c>
      <c r="CY557" s="4" t="e">
        <f ca="1">_xll.BDH($C$553,"INVENT_TURN","FQ4 2014","FQ4 2014","Currency=INR","Period=FQ","BEST_FPERIOD_OVERRIDE=FQ","FILING_STATUS=OR","EQY_CONSOLIDATED=Y","FA_ADJUSTED=GAAP","Sort=A","Dates=H","DateFormat=P","Fill=—","Direction=H","UseDPDF=Y")</f>
        <v>#NAME?</v>
      </c>
      <c r="CZ557" s="2" t="e">
        <f ca="1">_xll.BDH($C$553,"INVENT_DAYS","FQ4 2014","FQ4 2014","Currency=INR","Period=FQ","BEST_FPERIOD_OVERRIDE=FQ","FILING_STATUS=OR","EQY_CONSOLIDATED=Y","FA_ADJUSTED=GAAP","Sort=A","Dates=H","DateFormat=P","Fill=—","Direction=H","UseDPDF=Y")</f>
        <v>#NAME?</v>
      </c>
      <c r="DA557" s="4" t="e">
        <f ca="1">_xll.BDH($C$553,"ACCOUNTS_PAYABLE_TURNOVER","FQ4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557" s="2" t="e">
        <f ca="1">_xll.BDH($C$553,"ACCOUNTS_PAYABLE_TURNOVER_DAYS","FQ4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557" s="4" t="e">
        <f ca="1">_xll.BDH($C$553,"CASH_CONVERSION_CYCLE","FQ4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557" s="4" t="e">
        <f ca="1">_xll.BDH($C$553,"INV_TO_CASH_DAYS","FQ4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557" s="5" t="e">
        <f ca="1">_xll.BDH($C$553,"BS_INVENTORIES","FQ4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557" s="3" t="e">
        <f ca="1">_xll.BDH($C$553,"INVTRY_RAW_MATERIALS","FQ4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557" s="3" t="e">
        <f ca="1">_xll.BDH($C$553,"INVTRY_IN_PROGRESS","FQ4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557" s="3" t="e">
        <f ca="1">_xll.BDH($C$553,"INVTRY_FINISHED_GOODS","FQ4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557" s="3" t="e">
        <f ca="1">_xll.BDH($C$553,"BS_OTHER_INV","FQ4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558" spans="1:113" x14ac:dyDescent="0.3">
      <c r="A558" s="6"/>
      <c r="B558" s="6"/>
      <c r="C558" s="6"/>
      <c r="D558" s="6" t="s">
        <v>82</v>
      </c>
      <c r="E558" t="s">
        <v>77</v>
      </c>
      <c r="F558" t="e">
        <f ca="1">_xll.BDH($C$553,"RETURN_COM_EQY","FY 2015","FY 2015","Currency=INR","Period=FY","BEST_FPERIOD_OVERRIDE=FY","FILING_STATUS=OR","EQY_CONSOLIDATED=Y","FA_ADJUSTED=GAAP","Sort=A","Dates=H","DateFormat=P","Fill=—","Direction=H","UseDPDF=Y")</f>
        <v>#NAME?</v>
      </c>
      <c r="G558" t="e">
        <f ca="1">_xll.BDH($C$553,"RETURN_ON_ASSET","FY 2015","FY 2015","Currency=INR","Period=FY","BEST_FPERIOD_OVERRIDE=FY","FILING_STATUS=OR","EQY_CONSOLIDATED=Y","FA_ADJUSTED=GAAP","Sort=A","Dates=H","DateFormat=P","Fill=—","Direction=H","UseDPDF=Y")</f>
        <v>#NAME?</v>
      </c>
      <c r="H558" t="e">
        <f ca="1">_xll.BDH($C$553,"RETURN_ON_CAP","FY 2015","FY 2015","Currency=INR","Period=FY","BEST_FPERIOD_OVERRIDE=FY","FILING_STATUS=OR","EQY_CONSOLIDATED=Y","FA_ADJUSTED=GAAP","Sort=A","Dates=H","DateFormat=P","Fill=—","Direction=H","UseDPDF=Y")</f>
        <v>#NAME?</v>
      </c>
      <c r="I558" t="e">
        <f ca="1">_xll.BDH($C$553,"RETURN_ON_INV_CAPITAL","FY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558" t="e">
        <f ca="1">_xll.BDH($C$553,"EBITDA_TO_REVENUE","FY 2015","FY 2015","Currency=INR","Period=FY","BEST_FPERIOD_OVERRIDE=FY","FILING_STATUS=OR","EQY_CONSOLIDATED=Y","FA_ADJUSTED=GAAP","Sort=A","Dates=H","DateFormat=P","Fill=—","Direction=H","UseDPDF=Y")</f>
        <v>#NAME?</v>
      </c>
      <c r="K558" t="e">
        <f ca="1">_xll.BDH($C$553,"OPER_MARGIN","FY 2015","FY 2015","Currency=INR","Period=FY","BEST_FPERIOD_OVERRIDE=FY","FILING_STATUS=OR","EQY_CONSOLIDATED=Y","FA_ADJUSTED=GAAP","Sort=A","Dates=H","DateFormat=P","Fill=—","Direction=H","UseDPDF=Y")</f>
        <v>#NAME?</v>
      </c>
      <c r="L558" t="e">
        <f ca="1">_xll.BDH($C$553,"INCREMENTAL_OPERATING_MARGIN","FY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558" t="e">
        <f ca="1">_xll.BDH($C$553,"PRETAX_INC_TO_NET_SALES","FY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558" t="e">
        <f ca="1">_xll.BDH($C$553,"INC_BEF_XO_ITEMS_TO_NET_SALES","FY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558" t="e">
        <f ca="1">_xll.BDH($C$553,"PROF_MARGIN","FY 2015","FY 2015","Currency=INR","Period=FY","BEST_FPERIOD_OVERRIDE=FY","FILING_STATUS=OR","EQY_CONSOLIDATED=Y","FA_ADJUSTED=GAAP","Sort=A","Dates=H","DateFormat=P","Fill=—","Direction=H","UseDPDF=Y")</f>
        <v>#NAME?</v>
      </c>
      <c r="P558" t="e">
        <f ca="1">_xll.BDH($C$553,"NET_INCOME_TO_COMMON_MARGIN","FY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558" t="e">
        <f ca="1">_xll.BDH($C$553,"EFF_TAX_RATE","FY 2015","FY 2015","Currency=INR","Period=FY","BEST_FPERIOD_OVERRIDE=FY","FILING_STATUS=OR","EQY_CONSOLIDATED=Y","FA_ADJUSTED=GAAP","Sort=A","Dates=H","DateFormat=P","Fill=—","Direction=H","UseDPDF=Y")</f>
        <v>#NAME?</v>
      </c>
      <c r="R558" t="e">
        <f ca="1">_xll.BDH($C$553,"DVD_PAYOUT_RATIO","FY 2015","FY 2015","Currency=INR","Period=FY","BEST_FPERIOD_OVERRIDE=FY","FILING_STATUS=OR","EQY_CONSOLIDATED=Y","FA_ADJUSTED=GAAP","Sort=A","Dates=H","DateFormat=P","Fill=—","Direction=H","UseDPDF=Y")</f>
        <v>#NAME?</v>
      </c>
      <c r="S558" t="e">
        <f ca="1">_xll.BDH($C$553,"SUSTAIN_GROWTH_RT","FY 2015","FY 2015","Currency=INR","Period=FY","BEST_FPERIOD_OVERRIDE=FY","FILING_STATUS=OR","EQY_CONSOLIDATED=Y","FA_ADJUSTED=GAAP","Sort=A","Dates=H","DateFormat=P","Fill=—","Direction=H","UseDPDF=Y")</f>
        <v>#NAME?</v>
      </c>
      <c r="T558" s="2" t="e">
        <f ca="1">_xll.BDH($C$553,"SALES_GROWTH","FY 2015","FY 2015","Currency=INR","Period=FY","BEST_FPERIOD_OVERRIDE=FY","FILING_STATUS=OR","EQY_CONSOLIDATED=Y","FA_ADJUSTED=GAAP","Sort=A","Dates=H","DateFormat=P","Fill=—","Direction=H","UseDPDF=Y")</f>
        <v>#NAME?</v>
      </c>
      <c r="U558" s="2" t="e">
        <f ca="1">_xll.BDH($C$553,"EBITDA_GROWTH","FY 2015","FY 2015","Currency=INR","Period=FY","BEST_FPERIOD_OVERRIDE=FY","FILING_STATUS=OR","EQY_CONSOLIDATED=Y","FA_ADJUSTED=GAAP","Sort=A","Dates=H","DateFormat=P","Fill=—","Direction=H","UseDPDF=Y")</f>
        <v>#NAME?</v>
      </c>
      <c r="V558" s="2" t="e">
        <f ca="1">_xll.BDH($C$553,"OPER_INC_GROWTH","FY 2015","FY 2015","Currency=INR","Period=FY","BEST_FPERIOD_OVERRIDE=FY","FILING_STATUS=OR","EQY_CONSOLIDATED=Y","FA_ADJUSTED=GAAP","Sort=A","Dates=H","DateFormat=P","Fill=—","Direction=H","UseDPDF=Y")</f>
        <v>#NAME?</v>
      </c>
      <c r="W558" s="2" t="e">
        <f ca="1">_xll.BDH($C$553,"EARN_FOR_COM_GROWTH","FY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558" s="2" t="e">
        <f ca="1">_xll.BDH($C$553,"DILUTED_EPS_AFT_XO_ITEMS_GROWTH","FY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558" s="2" t="e">
        <f ca="1">_xll.BDH($C$553,"DIVIDEND_PER_SHARE_1_YEAR_GROWTH","FY 2015","FY 2015","Currency=INR","Period=FY","BEST_FPERIOD_OVERRIDE=FY","FILING_STATUS=OR","EQY_CONSOLIDATED=Y","Sort=A","Dates=H","DateFormat=P","Fill=—","Direction=H","UseDPDF=Y")</f>
        <v>#NAME?</v>
      </c>
      <c r="Z558" s="2" t="e">
        <f ca="1">_xll.BDH($C$553,"ACCOUNTS_RECEIVABLE_GROWTH","FY 2015","FY 2015","Currency=INR","Period=FY","BEST_FPERIOD_OVERRIDE=FY","FILING_STATUS=OR","EQY_CONSOLIDATED=Y","Sort=A","Dates=H","DateFormat=P","Fill=—","Direction=H","UseDPDF=Y")</f>
        <v>#NAME?</v>
      </c>
      <c r="AA558" s="2" t="e">
        <f ca="1">_xll.BDH($C$553,"INVENTORY_GROWTH","FY 2015","FY 2015","Currency=INR","Period=FY","BEST_FPERIOD_OVERRIDE=FY","FILING_STATUS=OR","EQY_CONSOLIDATED=Y","Sort=A","Dates=H","DateFormat=P","Fill=—","Direction=H","UseDPDF=Y")</f>
        <v>#NAME?</v>
      </c>
      <c r="AB558" s="2" t="e">
        <f ca="1">_xll.BDH($C$553,"NET_FIXED_ASSETS_1_YEAR_GROWTH","FY 2015","FY 2015","Currency=INR","Period=FY","BEST_FPERIOD_OVERRIDE=FY","FILING_STATUS=OR","EQY_CONSOLIDATED=Y","Sort=A","Dates=H","DateFormat=P","Fill=—","Direction=H","UseDPDF=Y")</f>
        <v>#NAME?</v>
      </c>
      <c r="AC558" s="2" t="e">
        <f ca="1">_xll.BDH($C$553,"ASSET_GROWTH","FY 2015","FY 2015","Currency=INR","Period=FY","BEST_FPERIOD_OVERRIDE=FY","FILING_STATUS=OR","EQY_CONSOLIDATED=Y","Sort=A","Dates=H","DateFormat=P","Fill=—","Direction=H","UseDPDF=Y")</f>
        <v>#NAME?</v>
      </c>
      <c r="AD558" s="2" t="e">
        <f ca="1">_xll.BDH($C$553,"MODIFIED_WORK_CAP_GROWTH","FY 2015","FY 2015","Currency=INR","Period=FY","BEST_FPERIOD_OVERRIDE=FY","FILING_STATUS=OR","EQY_CONSOLIDATED=Y","Sort=A","Dates=H","DateFormat=P","Fill=—","Direction=H","UseDPDF=Y")</f>
        <v>#NAME?</v>
      </c>
      <c r="AE558" s="2" t="e">
        <f ca="1">_xll.BDH($C$553,"WORK_CAP_GROWTH","FY 2015","FY 2015","Currency=INR","Period=FY","BEST_FPERIOD_OVERRIDE=FY","FILING_STATUS=OR","EQY_CONSOLIDATED=Y","Sort=A","Dates=H","DateFormat=P","Fill=—","Direction=H","UseDPDF=Y")</f>
        <v>#NAME?</v>
      </c>
      <c r="AF558" s="2" t="e">
        <f ca="1">_xll.BDH($C$553,"ACCOUNTS_PAYABLE_GROWTH_1YR","FY 2015","FY 2015","Currency=INR","Period=FY","BEST_FPERIOD_OVERRIDE=FY","FILING_STATUS=OR","EQY_CONSOLIDATED=Y","Sort=A","Dates=H","DateFormat=P","Fill=—","Direction=H","UseDPDF=Y")</f>
        <v>#NAME?</v>
      </c>
      <c r="AG558" s="2" t="e">
        <f ca="1">_xll.BDH($C$553,"SHORT_TERM_DEBT_1_YEAR_GROWTH","FY 2015","FY 2015","Currency=INR","Period=FY","BEST_FPERIOD_OVERRIDE=FY","FILING_STATUS=OR","EQY_CONSOLIDATED=Y","Sort=A","Dates=H","DateFormat=P","Fill=—","Direction=H","UseDPDF=Y")</f>
        <v>#NAME?</v>
      </c>
      <c r="AH558" s="2" t="e">
        <f ca="1">_xll.BDH($C$553,"TOTAL_DEBT_1_YEAR_GROWTH","FY 2015","FY 2015","Currency=INR","Period=FY","BEST_FPERIOD_OVERRIDE=FY","FILING_STATUS=OR","EQY_CONSOLIDATED=Y","Sort=A","Dates=H","DateFormat=P","Fill=—","Direction=H","UseDPDF=Y")</f>
        <v>#NAME?</v>
      </c>
      <c r="AI558" s="2" t="e">
        <f ca="1">_xll.BDH($C$553,"TOTAL_EQUITY_1_YEAR_GROWTH","FY 2015","FY 2015","Currency=INR","Period=FY","BEST_FPERIOD_OVERRIDE=FY","FILING_STATUS=OR","EQY_CONSOLIDATED=Y","Sort=A","Dates=H","DateFormat=P","Fill=—","Direction=H","UseDPDF=Y")</f>
        <v>#NAME?</v>
      </c>
      <c r="AJ558" s="2" t="e">
        <f ca="1">_xll.BDH($C$553,"GROWTH_IN_CAP","FY 2015","FY 2015","Currency=INR","Period=FY","BEST_FPERIOD_OVERRIDE=FY","FILING_STATUS=OR","EQY_CONSOLIDATED=Y","Sort=A","Dates=H","DateFormat=P","Fill=—","Direction=H","UseDPDF=Y")</f>
        <v>#NAME?</v>
      </c>
      <c r="AK558" s="2" t="e">
        <f ca="1">_xll.BDH($C$553,"BVPS_GROWTH","FY 2015","FY 2015","Currency=INR","Period=FY","BEST_FPERIOD_OVERRIDE=FY","FILING_STATUS=OR","EQY_CONSOLIDATED=Y","Sort=A","Dates=H","DateFormat=P","Fill=—","Direction=H","UseDPDF=Y")</f>
        <v>#NAME?</v>
      </c>
      <c r="AL558" s="2" t="e">
        <f ca="1">_xll.BDH($C$553,"CASH_FLOW_GROWTH","FY 2015","FY 2015","Currency=INR","Period=FY","BEST_FPERIOD_OVERRIDE=FY","FILING_STATUS=OR","EQY_CONSOLIDATED=Y","Sort=A","Dates=H","DateFormat=P","Fill=—","Direction=H","UseDPDF=Y")</f>
        <v>#NAME?</v>
      </c>
      <c r="AM558" s="2" t="e">
        <f ca="1">_xll.BDH($C$553,"GEO_GROW_NET_SALES","FY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558" s="2" t="e">
        <f ca="1">_xll.BDH($C$553,"GEO_GROW_EBITDA","FY 2015","FY 2015","Currency=INR","Period=FY","BEST_FPERIOD_OVERRIDE=FY","FILING_STATUS=OR","EQY_CONSOLIDATED=Y","FA_ADJUSTED=GAAP","Sort=A","Dates=H","DateFormat=P","Fill=—","Direction=H","UseDPDF=Y")</f>
        <v>#NAME?</v>
      </c>
      <c r="AO558" s="2" t="e">
        <f ca="1">_xll.BDH($C$553,"GEO_GROW_OPER_INC","FY 2015","FY 2015","Currency=INR","Period=FY","BEST_FPERIOD_OVERRIDE=FY","FILING_STATUS=OR","EQY_CONSOLIDATED=Y","FA_ADJUSTED=GAAP","Sort=A","Dates=H","DateFormat=P","Fill=—","Direction=H","UseDPDF=Y")</f>
        <v>#NAME?</v>
      </c>
      <c r="AP558" s="2" t="e">
        <f ca="1">_xll.BDH($C$553,"NET_INCOME_TO_COMMON_5_YR_GROWTH","FY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558" s="2" t="e">
        <f ca="1">_xll.BDH($C$553,"5Y_GEO_GROWTH_DILUTED_EPS","FY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558" s="2" t="e">
        <f ca="1">_xll.BDH($C$553,"GEO_GROW_DVD_PER_SH","FY 2015","FY 2015","Currency=INR","Period=FY","BEST_FPERIOD_OVERRIDE=FY","FILING_STATUS=OR","EQY_CONSOLIDATED=Y","Sort=A","Dates=H","DateFormat=P","Fill=—","Direction=H","UseDPDF=Y")</f>
        <v>#NAME?</v>
      </c>
      <c r="AS558" s="2" t="e">
        <f ca="1">_xll.BDH($C$553,"ACCOUNTS_RECEIVABLE_5_YR_GROWTH","FY 2015","FY 2015","Currency=INR","Period=FY","BEST_FPERIOD_OVERRIDE=FY","FILING_STATUS=OR","EQY_CONSOLIDATED=Y","Sort=A","Dates=H","DateFormat=P","Fill=—","Direction=H","UseDPDF=Y")</f>
        <v>#NAME?</v>
      </c>
      <c r="AT558" s="2" t="e">
        <f ca="1">_xll.BDH($C$553,"INVENTORY_5_YEAR_GROWTH","FY 2015","FY 2015","Currency=INR","Period=FY","BEST_FPERIOD_OVERRIDE=FY","FILING_STATUS=OR","EQY_CONSOLIDATED=Y","Sort=A","Dates=H","DateFormat=P","Fill=—","Direction=H","UseDPDF=Y")</f>
        <v>#NAME?</v>
      </c>
      <c r="AU558" s="2" t="e">
        <f ca="1">_xll.BDH($C$553,"NET_FIXED_ASSETS_5_YEAR_GROWTH","FY 2015","FY 2015","Currency=INR","Period=FY","BEST_FPERIOD_OVERRIDE=FY","FILING_STATUS=OR","EQY_CONSOLIDATED=Y","Sort=A","Dates=H","DateFormat=P","Fill=—","Direction=H","UseDPDF=Y")</f>
        <v>#NAME?</v>
      </c>
      <c r="AV558" s="2" t="e">
        <f ca="1">_xll.BDH($C$553,"GEO_GROW_TOT_ASSET","FY 2015","FY 2015","Currency=INR","Period=FY","BEST_FPERIOD_OVERRIDE=FY","FILING_STATUS=OR","EQY_CONSOLIDATED=Y","Sort=A","Dates=H","DateFormat=P","Fill=—","Direction=H","UseDPDF=Y")</f>
        <v>#NAME?</v>
      </c>
      <c r="AW558" s="2" t="e">
        <f ca="1">_xll.BDH($C$553,"MODIFIED_WORKING_CPTL_5YR_GRWTH","FY 2015","FY 2015","Currency=INR","Period=FY","BEST_FPERIOD_OVERRIDE=FY","FILING_STATUS=OR","EQY_CONSOLIDATED=Y","Sort=A","Dates=H","DateFormat=P","Fill=—","Direction=H","UseDPDF=Y")</f>
        <v>#NAME?</v>
      </c>
      <c r="AX558" s="2" t="e">
        <f ca="1">_xll.BDH($C$553,"WORKING_CAPITAL_5_YEAR_GROWTH","FY 2015","FY 2015","Currency=INR","Period=FY","BEST_FPERIOD_OVERRIDE=FY","FILING_STATUS=OR","EQY_CONSOLIDATED=Y","Sort=A","Dates=H","DateFormat=P","Fill=—","Direction=H","UseDPDF=Y")</f>
        <v>#NAME?</v>
      </c>
      <c r="AY558" s="2" t="e">
        <f ca="1">_xll.BDH($C$553,"ACCOUNTS_PAYABLE_5_YEAR_GROWTH","FY 2015","FY 2015","Currency=INR","Period=FY","BEST_FPERIOD_OVERRIDE=FY","FILING_STATUS=OR","EQY_CONSOLIDATED=Y","Sort=A","Dates=H","DateFormat=P","Fill=—","Direction=H","UseDPDF=Y")</f>
        <v>#NAME?</v>
      </c>
      <c r="AZ558" s="2" t="e">
        <f ca="1">_xll.BDH($C$553,"SHORT_TERM_DEBT_5_YEAR_GROWTH","FY 2015","FY 2015","Currency=INR","Period=FY","BEST_FPERIOD_OVERRIDE=FY","FILING_STATUS=OR","EQY_CONSOLIDATED=Y","Sort=A","Dates=H","DateFormat=P","Fill=—","Direction=H","UseDPDF=Y")</f>
        <v>#NAME?</v>
      </c>
      <c r="BA558" s="2" t="e">
        <f ca="1">_xll.BDH($C$553,"TOTAL_DEBT_5_YEAR_GROWTH","FY 2015","FY 2015","Currency=INR","Period=FY","BEST_FPERIOD_OVERRIDE=FY","FILING_STATUS=OR","EQY_CONSOLIDATED=Y","Sort=A","Dates=H","DateFormat=P","Fill=—","Direction=H","UseDPDF=Y")</f>
        <v>#NAME?</v>
      </c>
      <c r="BB558" s="2" t="e">
        <f ca="1">_xll.BDH($C$553,"GEO_GROW_TOT_SHRHLDR_EQY","FY 2015","FY 2015","Currency=INR","Period=FY","BEST_FPERIOD_OVERRIDE=FY","FILING_STATUS=OR","EQY_CONSOLIDATED=Y","Sort=A","Dates=H","DateFormat=P","Fill=—","Direction=H","UseDPDF=Y")</f>
        <v>#NAME?</v>
      </c>
      <c r="BC558" s="2" t="e">
        <f ca="1">_xll.BDH($C$553,"TOTAL_CAPITAL_5_YEAR_GROWTH","FY 2015","FY 2015","Currency=INR","Period=FY","BEST_FPERIOD_OVERRIDE=FY","FILING_STATUS=OR","EQY_CONSOLIDATED=Y","Sort=A","Dates=H","DateFormat=P","Fill=—","Direction=H","UseDPDF=Y")</f>
        <v>#NAME?</v>
      </c>
      <c r="BD558" s="2" t="e">
        <f ca="1">_xll.BDH($C$553,"GEO_GROW_BOOK_VAL","FY 2015","FY 2015","Currency=INR","Period=FY","BEST_FPERIOD_OVERRIDE=FY","FILING_STATUS=OR","EQY_CONSOLIDATED=Y","Sort=A","Dates=H","DateFormat=P","Fill=—","Direction=H","UseDPDF=Y")</f>
        <v>#NAME?</v>
      </c>
      <c r="BE558" s="2" t="e">
        <f ca="1">_xll.BDH($C$553,"GEO_GROW_CASH_OPER_ACT","FY 2015","FY 2015","Currency=INR","Period=FY","BEST_FPERIOD_OVERRIDE=FY","FILING_STATUS=OR","EQY_CONSOLIDATED=Y","Sort=A","Dates=H","DateFormat=P","Fill=—","Direction=H","UseDPDF=Y")</f>
        <v>#NAME?</v>
      </c>
      <c r="BF558" s="2" t="e">
        <f ca="1">_xll.BDH($C$553,"REVENUE_SEQUENTIAL_GROWTH","FY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558" s="2" t="e">
        <f ca="1">_xll.BDH($C$553,"EBITDA_SEQUENTIAL_GROWTH","FY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558" s="2" t="e">
        <f ca="1">_xll.BDH($C$553,"OPERATING_INCOME_SEQ_GROWTH","FY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558" s="2" t="e">
        <f ca="1">_xll.BDH($C$553,"NET_INCOME_TO_COMMON_SEQ_GROWTH","FY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558" s="2" t="e">
        <f ca="1">_xll.BDH($C$553,"EPS_DILUTED_SEQUENTIAL_GROWTH","FY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558" s="2" t="e">
        <f ca="1">_xll.BDH($C$553,"DPS_SEQUENTIAL_GROWTH","FY 2015","FY 2015","Currency=INR","Period=FY","BEST_FPERIOD_OVERRIDE=FY","FILING_STATUS=OR","EQY_CONSOLIDATED=Y","Sort=A","Dates=H","DateFormat=P","Fill=—","Direction=H","UseDPDF=Y")</f>
        <v>#NAME?</v>
      </c>
      <c r="BL558" s="2" t="e">
        <f ca="1">_xll.BDH($C$553,"ACCOUNTS_RECEIVABLE_SEQ_GROWTH","FY 2015","FY 2015","Currency=INR","Period=FY","BEST_FPERIOD_OVERRIDE=FY","FILING_STATUS=OR","EQY_CONSOLIDATED=Y","Sort=A","Dates=H","DateFormat=P","Fill=—","Direction=H","UseDPDF=Y")</f>
        <v>#NAME?</v>
      </c>
      <c r="BM558" s="2" t="e">
        <f ca="1">_xll.BDH($C$553,"INVENTORY_SEQUENTIAL_GROWTH","FY 2015","FY 2015","Currency=INR","Period=FY","BEST_FPERIOD_OVERRIDE=FY","FILING_STATUS=OR","EQY_CONSOLIDATED=Y","Sort=A","Dates=H","DateFormat=P","Fill=—","Direction=H","UseDPDF=Y")</f>
        <v>#NAME?</v>
      </c>
      <c r="BN558" s="2" t="e">
        <f ca="1">_xll.BDH($C$553,"FIXED_ASSETS_SEQUENTIAL_GROWTH","FY 2015","FY 2015","Currency=INR","Period=FY","BEST_FPERIOD_OVERRIDE=FY","FILING_STATUS=OR","EQY_CONSOLIDATED=Y","Sort=A","Dates=H","DateFormat=P","Fill=—","Direction=H","UseDPDF=Y")</f>
        <v>#NAME?</v>
      </c>
      <c r="BO558" s="2" t="e">
        <f ca="1">_xll.BDH($C$553,"TOTAL_ASSETS_SEQUENTIAL_GROWTH","FY 2015","FY 2015","Currency=INR","Period=FY","BEST_FPERIOD_OVERRIDE=FY","FILING_STATUS=OR","EQY_CONSOLIDATED=Y","Sort=A","Dates=H","DateFormat=P","Fill=—","Direction=H","UseDPDF=Y")</f>
        <v>#NAME?</v>
      </c>
      <c r="BP558" s="2" t="e">
        <f ca="1">_xll.BDH($C$553,"MODIFIED_WORKING_CPTL_SEQ_GRWTH","FY 2015","FY 2015","Currency=INR","Period=FY","BEST_FPERIOD_OVERRIDE=FY","FILING_STATUS=OR","EQY_CONSOLIDATED=Y","Sort=A","Dates=H","DateFormat=P","Fill=—","Direction=H","UseDPDF=Y")</f>
        <v>#NAME?</v>
      </c>
      <c r="BQ558" s="2" t="e">
        <f ca="1">_xll.BDH($C$553,"WORKING_CAPITAL_SEQ_GROWTH","FY 2015","FY 2015","Currency=INR","Period=FY","BEST_FPERIOD_OVERRIDE=FY","FILING_STATUS=OR","EQY_CONSOLIDATED=Y","Sort=A","Dates=H","DateFormat=P","Fill=—","Direction=H","UseDPDF=Y")</f>
        <v>#NAME?</v>
      </c>
      <c r="BR558" s="2" t="e">
        <f ca="1">_xll.BDH($C$553,"ACCOUNTS_PAYABLE_SEQ_GROWTH","FY 2015","FY 2015","Currency=INR","Period=FY","BEST_FPERIOD_OVERRIDE=FY","FILING_STATUS=OR","EQY_CONSOLIDATED=Y","Sort=A","Dates=H","DateFormat=P","Fill=—","Direction=H","UseDPDF=Y")</f>
        <v>#NAME?</v>
      </c>
      <c r="BS558" s="2" t="e">
        <f ca="1">_xll.BDH($C$553,"ST_DEBT_SEQUENTIAL_GROWTH","FY 2015","FY 2015","Currency=INR","Period=FY","BEST_FPERIOD_OVERRIDE=FY","FILING_STATUS=OR","EQY_CONSOLIDATED=Y","Sort=A","Dates=H","DateFormat=P","Fill=—","Direction=H","UseDPDF=Y")</f>
        <v>#NAME?</v>
      </c>
      <c r="BT558" s="2" t="e">
        <f ca="1">_xll.BDH($C$553,"TOTAL_DEBT_SEQUENTIAL_GROWTH","FY 2015","FY 2015","Currency=INR","Period=FY","BEST_FPERIOD_OVERRIDE=FY","FILING_STATUS=OR","EQY_CONSOLIDATED=Y","Sort=A","Dates=H","DateFormat=P","Fill=—","Direction=H","UseDPDF=Y")</f>
        <v>#NAME?</v>
      </c>
      <c r="BU558" s="2" t="e">
        <f ca="1">_xll.BDH($C$553,"TOTAL_EQUITY_SEQUENTIAL_GROWTH","FY 2015","FY 2015","Currency=INR","Period=FY","BEST_FPERIOD_OVERRIDE=FY","FILING_STATUS=OR","EQY_CONSOLIDATED=Y","Sort=A","Dates=H","DateFormat=P","Fill=—","Direction=H","UseDPDF=Y")</f>
        <v>#NAME?</v>
      </c>
      <c r="BV558" s="2" t="e">
        <f ca="1">_xll.BDH($C$553,"TOTAL_CAPITAL_SEQUENTIAL_GROWTH","FY 2015","FY 2015","Currency=INR","Period=FY","BEST_FPERIOD_OVERRIDE=FY","FILING_STATUS=OR","EQY_CONSOLIDATED=Y","Sort=A","Dates=H","DateFormat=P","Fill=—","Direction=H","UseDPDF=Y")</f>
        <v>#NAME?</v>
      </c>
      <c r="BW558" s="2" t="e">
        <f ca="1">_xll.BDH($C$553,"BPS_SEQUENTIAL_GROWTH","FY 2015","FY 2015","Currency=INR","Period=FY","BEST_FPERIOD_OVERRIDE=FY","FILING_STATUS=OR","EQY_CONSOLIDATED=Y","Sort=A","Dates=H","DateFormat=P","Fill=—","Direction=H","UseDPDF=Y")</f>
        <v>#NAME?</v>
      </c>
      <c r="BX558" s="2" t="e">
        <f ca="1">_xll.BDH($C$553,"CFO_SEQUENTIAL_GROWTH","FY 2015","FY 2015","Currency=INR","Period=FY","BEST_FPERIOD_OVERRIDE=FY","FILING_STATUS=OR","EQY_CONSOLIDATED=Y","Sort=A","Dates=H","DateFormat=P","Fill=—","Direction=H","UseDPDF=Y")</f>
        <v>#NAME?</v>
      </c>
      <c r="BY558" s="3" t="e">
        <f ca="1">_xll.BDH($C$553,"SHORT_AND_LONG_TERM_DEBT","FY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558" s="3" t="e">
        <f ca="1">_xll.BDH($C$553,"BS_ST_BORROW","FY 2015","FY 2015","Currency=INR","Period=FY","BEST_FPERIOD_OVERRIDE=FY","FILING_STATUS=OR","EQY_CONSOLIDATED=Y","SCALING_FORMAT=MLN","Sort=A","Dates=H","DateFormat=P","Fill=—","Direction=H","UseDPDF=Y")</f>
        <v>#NAME?</v>
      </c>
      <c r="CA558" s="3" t="e">
        <f ca="1">_xll.BDH($C$553,"BS_LT_BORROW","FY 2015","FY 2015","Currency=INR","Period=FY","BEST_FPERIOD_OVERRIDE=FY","FILING_STATUS=OR","EQY_CONSOLIDATED=Y","SCALING_FORMAT=MLN","Sort=A","Dates=H","DateFormat=P","Fill=—","Direction=H","UseDPDF=Y")</f>
        <v>#NAME?</v>
      </c>
      <c r="CB558" s="2" t="e">
        <f ca="1">_xll.BDH($C$553,"TOT_DEBT_TO_EBITDA","FY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558" s="2" t="e">
        <f ca="1">_xll.BDH($C$553,"NET_DEBT_TO_EBITDA","FY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558" s="2" t="e">
        <f ca="1">_xll.BDH($C$553,"TOTAL_DEBT_TO_EBIT","FY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558" s="2" t="e">
        <f ca="1">_xll.BDH($C$553,"NET_DEBT_TO_EBIT","FY 2015","FY 2015","Currency=INR","Period=FY","BEST_FPERIOD_OVERRIDE=FY","FILING_STATUS=OR","EQY_CONSOLIDATED=Y","FA_ADJUSTED=GAAP","Sort=A","Dates=H","DateFormat=P","Fill=—","Direction=H","UseDPDF=Y")</f>
        <v>#NAME?</v>
      </c>
      <c r="CF558" s="2" t="e">
        <f ca="1">_xll.BDH($C$553,"EBITDA_TO_INTEREST_EXPN","FY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558" s="2" t="e">
        <f ca="1">_xll.BDH($C$553,"COM_EQY_TO_TOT_ASSET","FY 2015","FY 2015","Currency=INR","Period=FY","BEST_FPERIOD_OVERRIDE=FY","FILING_STATUS=OR","EQY_CONSOLIDATED=Y","Sort=A","Dates=H","DateFormat=P","Fill=—","Direction=H","UseDPDF=Y")</f>
        <v>#NAME?</v>
      </c>
      <c r="CH558" s="2" t="e">
        <f ca="1">_xll.BDH($C$553,"LT_DEBT_TO_TOT_EQY","FY 2015","FY 2015","Currency=INR","Period=FY","BEST_FPERIOD_OVERRIDE=FY","FILING_STATUS=OR","EQY_CONSOLIDATED=Y","Sort=A","Dates=H","DateFormat=P","Fill=—","Direction=H","UseDPDF=Y")</f>
        <v>#NAME?</v>
      </c>
      <c r="CI558" s="2" t="e">
        <f ca="1">_xll.BDH($C$553,"LT_DEBT_TO_TOT_CAP","FY 2015","FY 2015","Currency=INR","Period=FY","BEST_FPERIOD_OVERRIDE=FY","FILING_STATUS=OR","EQY_CONSOLIDATED=Y","Sort=A","Dates=H","DateFormat=P","Fill=—","Direction=H","UseDPDF=Y")</f>
        <v>#NAME?</v>
      </c>
      <c r="CJ558" s="2" t="e">
        <f ca="1">_xll.BDH($C$553,"LT_DEBT_TO_TOT_ASSET","FY 2015","FY 2015","Currency=INR","Period=FY","BEST_FPERIOD_OVERRIDE=FY","FILING_STATUS=OR","EQY_CONSOLIDATED=Y","Sort=A","Dates=H","DateFormat=P","Fill=—","Direction=H","UseDPDF=Y")</f>
        <v>#NAME?</v>
      </c>
      <c r="CK558" s="2" t="e">
        <f ca="1">_xll.BDH($C$553,"TOT_DEBT_TO_TOT_EQY","FY 2015","FY 2015","Currency=INR","Period=FY","BEST_FPERIOD_OVERRIDE=FY","FILING_STATUS=OR","EQY_CONSOLIDATED=Y","Sort=A","Dates=H","DateFormat=P","Fill=—","Direction=H","UseDPDF=Y")</f>
        <v>#NAME?</v>
      </c>
      <c r="CL558" s="2" t="e">
        <f ca="1">_xll.BDH($C$553,"TOT_DEBT_TO_TOT_CAP","FY 2015","FY 2015","Currency=INR","Period=FY","BEST_FPERIOD_OVERRIDE=FY","FILING_STATUS=OR","EQY_CONSOLIDATED=Y","Sort=A","Dates=H","DateFormat=P","Fill=—","Direction=H","UseDPDF=Y")</f>
        <v>#NAME?</v>
      </c>
      <c r="CM558" s="2" t="e">
        <f ca="1">_xll.BDH($C$553,"TOT_DEBT_TO_TOT_ASSET","FY 2015","FY 2015","Currency=INR","Period=FY","BEST_FPERIOD_OVERRIDE=FY","FILING_STATUS=OR","EQY_CONSOLIDATED=Y","Sort=A","Dates=H","DateFormat=P","Fill=—","Direction=H","UseDPDF=Y")</f>
        <v>#NAME?</v>
      </c>
      <c r="CN558" s="2" t="e">
        <f ca="1">_xll.BDH($C$553,"NET_DEBT_TO_SHRHLDR_EQTY","FY 2015","FY 2015","Currency=INR","Period=FY","BEST_FPERIOD_OVERRIDE=FY","FILING_STATUS=OR","EQY_CONSOLIDATED=Y","Sort=A","Dates=H","DateFormat=P","Fill=—","Direction=H","UseDPDF=Y")</f>
        <v>#NAME?</v>
      </c>
      <c r="CO558" s="2" t="e">
        <f ca="1">_xll.BDH($C$553,"NET_DEBT_%_CAPITAL","FY 2015","FY 2015","Currency=INR","Period=FY","BEST_FPERIOD_OVERRIDE=FY","FILING_STATUS=OR","EQY_CONSOLIDATED=Y","Sort=A","Dates=H","DateFormat=P","Fill=—","Direction=H","UseDPDF=Y")</f>
        <v>#NAME?</v>
      </c>
      <c r="CP558" s="3" t="e">
        <f ca="1">_xll.BDH($C$553,"EBITDA","FY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558" s="3" t="e">
        <f ca="1">_xll.BDH($C$553,"EBITDA_AFTER_CAPEX","FY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558" s="3" t="e">
        <f ca="1">_xll.BDH($C$553,"IS_OPER_INC","FY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558" s="2" t="e">
        <f ca="1">_xll.BDH($C$553,"CASH_RATIO","FY 2015","FY 2015","Currency=INR","Period=FY","BEST_FPERIOD_OVERRIDE=FY","FILING_STATUS=OR","EQY_CONSOLIDATED=Y","Sort=A","Dates=H","DateFormat=P","Fill=—","Direction=H","UseDPDF=Y")</f>
        <v>#NAME?</v>
      </c>
      <c r="CT558" s="2" t="e">
        <f ca="1">_xll.BDH($C$553,"CUR_RATIO","FY 2015","FY 2015","Currency=INR","Period=FY","BEST_FPERIOD_OVERRIDE=FY","FILING_STATUS=OR","EQY_CONSOLIDATED=Y","Sort=A","Dates=H","DateFormat=P","Fill=—","Direction=H","UseDPDF=Y")</f>
        <v>#NAME?</v>
      </c>
      <c r="CU558" s="2" t="e">
        <f ca="1">_xll.BDH($C$553,"QUICK_RATIO","FY 2015","FY 2015","Currency=INR","Period=FY","BEST_FPERIOD_OVERRIDE=FY","FILING_STATUS=OR","EQY_CONSOLIDATED=Y","Sort=A","Dates=H","DateFormat=P","Fill=—","Direction=H","UseDPDF=Y")</f>
        <v>#NAME?</v>
      </c>
      <c r="CV558" s="2" t="e">
        <f ca="1">_xll.BDH($C$553,"ALTMAN_Z_SCORE","FY 2015","FY 2015","Currency=INR","Period=FY","BEST_FPERIOD_OVERRIDE=FY","FILING_STATUS=OR","EQY_CONSOLIDATED=Y","Sort=A","Dates=H","DateFormat=P","Fill=—","Direction=H","UseDPDF=Y")</f>
        <v>#NAME?</v>
      </c>
      <c r="CW558" s="4" t="e">
        <f ca="1">_xll.BDH($C$553,"ACCT_RCV_TURN","FY 2015","FY 2015","Currency=INR","Period=FY","BEST_FPERIOD_OVERRIDE=FY","FILING_STATUS=OR","EQY_CONSOLIDATED=Y","FA_ADJUSTED=GAAP","Sort=A","Dates=H","DateFormat=P","Fill=—","Direction=H","UseDPDF=Y")</f>
        <v>#NAME?</v>
      </c>
      <c r="CX558" s="2" t="e">
        <f ca="1">_xll.BDH($C$553,"ACCT_RCV_DAYS","FY 2015","FY 2015","Currency=INR","Period=FY","BEST_FPERIOD_OVERRIDE=FY","FILING_STATUS=OR","EQY_CONSOLIDATED=Y","FA_ADJUSTED=GAAP","Sort=A","Dates=H","DateFormat=P","Fill=—","Direction=H","UseDPDF=Y")</f>
        <v>#NAME?</v>
      </c>
      <c r="CY558" s="4" t="e">
        <f ca="1">_xll.BDH($C$553,"INVENT_TURN","FY 2015","FY 2015","Currency=INR","Period=FY","BEST_FPERIOD_OVERRIDE=FY","FILING_STATUS=OR","EQY_CONSOLIDATED=Y","FA_ADJUSTED=GAAP","Sort=A","Dates=H","DateFormat=P","Fill=—","Direction=H","UseDPDF=Y")</f>
        <v>#NAME?</v>
      </c>
      <c r="CZ558" s="2" t="e">
        <f ca="1">_xll.BDH($C$553,"INVENT_DAYS","FY 2015","FY 2015","Currency=INR","Period=FY","BEST_FPERIOD_OVERRIDE=FY","FILING_STATUS=OR","EQY_CONSOLIDATED=Y","FA_ADJUSTED=GAAP","Sort=A","Dates=H","DateFormat=P","Fill=—","Direction=H","UseDPDF=Y")</f>
        <v>#NAME?</v>
      </c>
      <c r="DA558" s="4" t="e">
        <f ca="1">_xll.BDH($C$553,"ACCOUNTS_PAYABLE_TURNOVER","FY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558" s="2" t="e">
        <f ca="1">_xll.BDH($C$553,"ACCOUNTS_PAYABLE_TURNOVER_DAYS","FY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558" s="4" t="e">
        <f ca="1">_xll.BDH($C$553,"CASH_CONVERSION_CYCLE","FY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558" s="4" t="e">
        <f ca="1">_xll.BDH($C$553,"INV_TO_CASH_DAYS","FY 2015","FY 2015","Currency=INR","Period=FY","BEST_FPERIOD_OVERRIDE=FY","FILING_STATUS=OR","EQY_CONSOLIDATED=Y","FA_ADJUSTED=GAAP","Sort=A","Dates=H","DateFormat=P","Fill=—","Direction=H","UseDPDF=Y")</f>
        <v>#NAME?</v>
      </c>
      <c r="DE558" s="5" t="e">
        <f ca="1">_xll.BDH($C$553,"BS_INVENTORIES","FY 2015","FY 2015","Currency=INR","Period=FY","BEST_FPERIOD_OVERRIDE=FY","FILING_STATUS=OR","EQY_CONSOLIDATED=Y","SCALING_FORMAT=MLN","Sort=A","Dates=H","DateFormat=P","Fill=—","Direction=H","UseDPDF=Y")</f>
        <v>#NAME?</v>
      </c>
      <c r="DF558" s="3" t="e">
        <f ca="1">_xll.BDH($C$553,"INVTRY_RAW_MATERIALS","FY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558" s="3" t="e">
        <f ca="1">_xll.BDH($C$553,"INVTRY_IN_PROGRESS","FY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558" s="3" t="e">
        <f ca="1">_xll.BDH($C$553,"INVTRY_FINISHED_GOODS","FY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558" s="3" t="e">
        <f ca="1">_xll.BDH($C$553,"BS_OTHER_INV","FY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559" spans="1:113" x14ac:dyDescent="0.3">
      <c r="A559" s="6"/>
      <c r="B559" s="6"/>
      <c r="C559" s="6"/>
      <c r="D559" s="6"/>
      <c r="E559" t="s">
        <v>78</v>
      </c>
      <c r="F559" t="e">
        <f ca="1">_xll.BDH($C$553,"RETURN_COM_EQY","FQ1 2015","FQ1 2015","Currency=INR","Period=FQ","BEST_FPERIOD_OVERRIDE=FQ","FILING_STATUS=OR","EQY_CONSOLIDATED=Y","FA_ADJUSTED=GAAP","Sort=A","Dates=H","DateFormat=P","Fill=—","Direction=H","UseDPDF=Y")</f>
        <v>#NAME?</v>
      </c>
      <c r="G559" t="e">
        <f ca="1">_xll.BDH($C$553,"RETURN_ON_ASSET","FQ1 2015","FQ1 2015","Currency=INR","Period=FQ","BEST_FPERIOD_OVERRIDE=FQ","FILING_STATUS=OR","EQY_CONSOLIDATED=Y","FA_ADJUSTED=GAAP","Sort=A","Dates=H","DateFormat=P","Fill=—","Direction=H","UseDPDF=Y")</f>
        <v>#NAME?</v>
      </c>
      <c r="H559" t="e">
        <f ca="1">_xll.BDH($C$553,"RETURN_ON_CAP","FQ1 2015","FQ1 2015","Currency=INR","Period=FQ","BEST_FPERIOD_OVERRIDE=FQ","FILING_STATUS=OR","EQY_CONSOLIDATED=Y","FA_ADJUSTED=GAAP","Sort=A","Dates=H","DateFormat=P","Fill=—","Direction=H","UseDPDF=Y")</f>
        <v>#NAME?</v>
      </c>
      <c r="I559" t="e">
        <f ca="1">_xll.BDH($C$553,"RETURN_ON_INV_CAPITAL","FQ1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559" t="e">
        <f ca="1">_xll.BDH($C$553,"EBITDA_TO_REVENUE","FQ1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559" t="e">
        <f ca="1">_xll.BDH($C$553,"OPER_MARGIN","FQ1 2015","FQ1 2015","Currency=INR","Period=FQ","BEST_FPERIOD_OVERRIDE=FQ","FILING_STATUS=OR","EQY_CONSOLIDATED=Y","FA_ADJUSTED=GAAP","Sort=A","Dates=H","DateFormat=P","Fill=—","Direction=H","UseDPDF=Y")</f>
        <v>#NAME?</v>
      </c>
      <c r="L559" t="e">
        <f ca="1">_xll.BDH($C$553,"INCREMENTAL_OPERATING_MARGIN","FQ1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559" t="e">
        <f ca="1">_xll.BDH($C$553,"PRETAX_INC_TO_NET_SALES","FQ1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559" t="e">
        <f ca="1">_xll.BDH($C$553,"INC_BEF_XO_ITEMS_TO_NET_SALES","FQ1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559" t="e">
        <f ca="1">_xll.BDH($C$553,"PROF_MARGIN","FQ1 2015","FQ1 2015","Currency=INR","Period=FQ","BEST_FPERIOD_OVERRIDE=FQ","FILING_STATUS=OR","EQY_CONSOLIDATED=Y","FA_ADJUSTED=GAAP","Sort=A","Dates=H","DateFormat=P","Fill=—","Direction=H","UseDPDF=Y")</f>
        <v>#NAME?</v>
      </c>
      <c r="P559" t="e">
        <f ca="1">_xll.BDH($C$553,"NET_INCOME_TO_COMMON_MARGIN","FQ1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559" t="e">
        <f ca="1">_xll.BDH($C$553,"EFF_TAX_RATE","FQ1 2015","FQ1 2015","Currency=INR","Period=FQ","BEST_FPERIOD_OVERRIDE=FQ","FILING_STATUS=OR","EQY_CONSOLIDATED=Y","FA_ADJUSTED=GAAP","Sort=A","Dates=H","DateFormat=P","Fill=—","Direction=H","UseDPDF=Y")</f>
        <v>#NAME?</v>
      </c>
      <c r="R559" t="e">
        <f ca="1">_xll.BDH($C$553,"DVD_PAYOUT_RATIO","FQ1 2015","FQ1 2015","Currency=INR","Period=FQ","BEST_FPERIOD_OVERRIDE=FQ","FILING_STATUS=OR","EQY_CONSOLIDATED=Y","FA_ADJUSTED=GAAP","Sort=A","Dates=H","DateFormat=P","Fill=—","Direction=H","UseDPDF=Y")</f>
        <v>#NAME?</v>
      </c>
      <c r="S559" t="e">
        <f ca="1">_xll.BDH($C$553,"SUSTAIN_GROWTH_RT","FQ1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559" s="2" t="e">
        <f ca="1">_xll.BDH($C$553,"SALES_GROWTH","FQ1 2015","FQ1 2015","Currency=INR","Period=FQ","BEST_FPERIOD_OVERRIDE=FQ","FILING_STATUS=OR","EQY_CONSOLIDATED=Y","FA_ADJUSTED=GAAP","Sort=A","Dates=H","DateFormat=P","Fill=—","Direction=H","UseDPDF=Y")</f>
        <v>#NAME?</v>
      </c>
      <c r="U559" s="2" t="e">
        <f ca="1">_xll.BDH($C$553,"EBITDA_GROWTH","FQ1 2015","FQ1 2015","Currency=INR","Period=FQ","BEST_FPERIOD_OVERRIDE=FQ","FILING_STATUS=OR","EQY_CONSOLIDATED=Y","FA_ADJUSTED=GAAP","Sort=A","Dates=H","DateFormat=P","Fill=—","Direction=H","UseDPDF=Y")</f>
        <v>#NAME?</v>
      </c>
      <c r="V559" s="2" t="e">
        <f ca="1">_xll.BDH($C$553,"OPER_INC_GROWTH","FQ1 2015","FQ1 2015","Currency=INR","Period=FQ","BEST_FPERIOD_OVERRIDE=FQ","FILING_STATUS=OR","EQY_CONSOLIDATED=Y","FA_ADJUSTED=GAAP","Sort=A","Dates=H","DateFormat=P","Fill=—","Direction=H","UseDPDF=Y")</f>
        <v>#NAME?</v>
      </c>
      <c r="W559" s="2" t="e">
        <f ca="1">_xll.BDH($C$553,"EARN_FOR_COM_GROWTH","FQ1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559" s="2" t="e">
        <f ca="1">_xll.BDH($C$553,"DILUTED_EPS_AFT_XO_ITEMS_GROWTH","FQ1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559" s="2" t="e">
        <f ca="1">_xll.BDH($C$553,"DIVIDEND_PER_SHARE_1_YEAR_GROWTH","FQ1 2015","FQ1 2015","Currency=INR","Period=FQ","BEST_FPERIOD_OVERRIDE=FQ","FILING_STATUS=OR","EQY_CONSOLIDATED=Y","Sort=A","Dates=H","DateFormat=P","Fill=—","Direction=H","UseDPDF=Y")</f>
        <v>#NAME?</v>
      </c>
      <c r="Z559" s="2" t="e">
        <f ca="1">_xll.BDH($C$553,"ACCOUNTS_RECEIVABLE_GROWTH","FQ1 2015","FQ1 2015","Currency=INR","Period=FQ","BEST_FPERIOD_OVERRIDE=FQ","FILING_STATUS=OR","EQY_CONSOLIDATED=Y","Sort=A","Dates=H","DateFormat=P","Fill=—","Direction=H","UseDPDF=Y")</f>
        <v>#NAME?</v>
      </c>
      <c r="AA559" s="2" t="e">
        <f ca="1">_xll.BDH($C$553,"INVENTORY_GROWTH","FQ1 2015","FQ1 2015","Currency=INR","Period=FQ","BEST_FPERIOD_OVERRIDE=FQ","FILING_STATUS=OR","EQY_CONSOLIDATED=Y","Sort=A","Dates=H","DateFormat=P","Fill=—","Direction=H","UseDPDF=Y")</f>
        <v>#NAME?</v>
      </c>
      <c r="AB559" s="2" t="e">
        <f ca="1">_xll.BDH($C$553,"NET_FIXED_ASSETS_1_YEAR_GROWTH","FQ1 2015","FQ1 2015","Currency=INR","Period=FQ","BEST_FPERIOD_OVERRIDE=FQ","FILING_STATUS=OR","EQY_CONSOLIDATED=Y","Sort=A","Dates=H","DateFormat=P","Fill=—","Direction=H","UseDPDF=Y")</f>
        <v>#NAME?</v>
      </c>
      <c r="AC559" s="2" t="e">
        <f ca="1">_xll.BDH($C$553,"ASSET_GROWTH","FQ1 2015","FQ1 2015","Currency=INR","Period=FQ","BEST_FPERIOD_OVERRIDE=FQ","FILING_STATUS=OR","EQY_CONSOLIDATED=Y","Sort=A","Dates=H","DateFormat=P","Fill=—","Direction=H","UseDPDF=Y")</f>
        <v>#NAME?</v>
      </c>
      <c r="AD559" s="2" t="e">
        <f ca="1">_xll.BDH($C$553,"MODIFIED_WORK_CAP_GROWTH","FQ1 2015","FQ1 2015","Currency=INR","Period=FQ","BEST_FPERIOD_OVERRIDE=FQ","FILING_STATUS=OR","EQY_CONSOLIDATED=Y","Sort=A","Dates=H","DateFormat=P","Fill=—","Direction=H","UseDPDF=Y")</f>
        <v>#NAME?</v>
      </c>
      <c r="AE559" s="2" t="e">
        <f ca="1">_xll.BDH($C$553,"WORK_CAP_GROWTH","FQ1 2015","FQ1 2015","Currency=INR","Period=FQ","BEST_FPERIOD_OVERRIDE=FQ","FILING_STATUS=OR","EQY_CONSOLIDATED=Y","Sort=A","Dates=H","DateFormat=P","Fill=—","Direction=H","UseDPDF=Y")</f>
        <v>#NAME?</v>
      </c>
      <c r="AF559" s="2" t="e">
        <f ca="1">_xll.BDH($C$553,"ACCOUNTS_PAYABLE_GROWTH_1YR","FQ1 2015","FQ1 2015","Currency=INR","Period=FQ","BEST_FPERIOD_OVERRIDE=FQ","FILING_STATUS=OR","EQY_CONSOLIDATED=Y","Sort=A","Dates=H","DateFormat=P","Fill=—","Direction=H","UseDPDF=Y")</f>
        <v>#NAME?</v>
      </c>
      <c r="AG559" s="2" t="e">
        <f ca="1">_xll.BDH($C$553,"SHORT_TERM_DEBT_1_YEAR_GROWTH","FQ1 2015","FQ1 2015","Currency=INR","Period=FQ","BEST_FPERIOD_OVERRIDE=FQ","FILING_STATUS=OR","EQY_CONSOLIDATED=Y","Sort=A","Dates=H","DateFormat=P","Fill=—","Direction=H","UseDPDF=Y")</f>
        <v>#NAME?</v>
      </c>
      <c r="AH559" s="2" t="e">
        <f ca="1">_xll.BDH($C$553,"TOTAL_DEBT_1_YEAR_GROWTH","FQ1 2015","FQ1 2015","Currency=INR","Period=FQ","BEST_FPERIOD_OVERRIDE=FQ","FILING_STATUS=OR","EQY_CONSOLIDATED=Y","Sort=A","Dates=H","DateFormat=P","Fill=—","Direction=H","UseDPDF=Y")</f>
        <v>#NAME?</v>
      </c>
      <c r="AI559" s="2" t="e">
        <f ca="1">_xll.BDH($C$553,"TOTAL_EQUITY_1_YEAR_GROWTH","FQ1 2015","FQ1 2015","Currency=INR","Period=FQ","BEST_FPERIOD_OVERRIDE=FQ","FILING_STATUS=OR","EQY_CONSOLIDATED=Y","Sort=A","Dates=H","DateFormat=P","Fill=—","Direction=H","UseDPDF=Y")</f>
        <v>#NAME?</v>
      </c>
      <c r="AJ559" s="2" t="e">
        <f ca="1">_xll.BDH($C$553,"GROWTH_IN_CAP","FQ1 2015","FQ1 2015","Currency=INR","Period=FQ","BEST_FPERIOD_OVERRIDE=FQ","FILING_STATUS=OR","EQY_CONSOLIDATED=Y","Sort=A","Dates=H","DateFormat=P","Fill=—","Direction=H","UseDPDF=Y")</f>
        <v>#NAME?</v>
      </c>
      <c r="AK559" s="2" t="e">
        <f ca="1">_xll.BDH($C$553,"BVPS_GROWTH","FQ1 2015","FQ1 2015","Currency=INR","Period=FQ","BEST_FPERIOD_OVERRIDE=FQ","FILING_STATUS=OR","EQY_CONSOLIDATED=Y","Sort=A","Dates=H","DateFormat=P","Fill=—","Direction=H","UseDPDF=Y")</f>
        <v>#NAME?</v>
      </c>
      <c r="AL559" s="2" t="e">
        <f ca="1">_xll.BDH($C$553,"CASH_FLOW_GROWTH","FQ1 2015","FQ1 2015","Currency=INR","Period=FQ","BEST_FPERIOD_OVERRIDE=FQ","FILING_STATUS=OR","EQY_CONSOLIDATED=Y","Sort=A","Dates=H","DateFormat=P","Fill=—","Direction=H","UseDPDF=Y")</f>
        <v>#NAME?</v>
      </c>
      <c r="AM559" s="2" t="e">
        <f ca="1">_xll.BDH($C$553,"GEO_GROW_NET_SALES","FQ1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559" s="2" t="e">
        <f ca="1">_xll.BDH($C$553,"GEO_GROW_EBITDA","FQ1 2015","FQ1 2015","Currency=INR","Period=FQ","BEST_FPERIOD_OVERRIDE=FQ","FILING_STATUS=OR","EQY_CONSOLIDATED=Y","FA_ADJUSTED=GAAP","Sort=A","Dates=H","DateFormat=P","Fill=—","Direction=H","UseDPDF=Y")</f>
        <v>#NAME?</v>
      </c>
      <c r="AO559" s="2" t="e">
        <f ca="1">_xll.BDH($C$553,"GEO_GROW_OPER_INC","FQ1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559" s="2" t="e">
        <f ca="1">_xll.BDH($C$553,"NET_INCOME_TO_COMMON_5_YR_GROWTH","FQ1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559" s="2" t="e">
        <f ca="1">_xll.BDH($C$553,"5Y_GEO_GROWTH_DILUTED_EPS","FQ1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559" s="2" t="e">
        <f ca="1">_xll.BDH($C$553,"GEO_GROW_DVD_PER_SH","FQ1 2015","FQ1 2015","Currency=INR","Period=FQ","BEST_FPERIOD_OVERRIDE=FQ","FILING_STATUS=OR","EQY_CONSOLIDATED=Y","Sort=A","Dates=H","DateFormat=P","Fill=—","Direction=H","UseDPDF=Y")</f>
        <v>#NAME?</v>
      </c>
      <c r="AS559" s="2" t="e">
        <f ca="1">_xll.BDH($C$553,"ACCOUNTS_RECEIVABLE_5_YR_GROWTH","FQ1 2015","FQ1 2015","Currency=INR","Period=FQ","BEST_FPERIOD_OVERRIDE=FQ","FILING_STATUS=OR","EQY_CONSOLIDATED=Y","Sort=A","Dates=H","DateFormat=P","Fill=—","Direction=H","UseDPDF=Y")</f>
        <v>#NAME?</v>
      </c>
      <c r="AT559" s="2" t="e">
        <f ca="1">_xll.BDH($C$553,"INVENTORY_5_YEAR_GROWTH","FQ1 2015","FQ1 2015","Currency=INR","Period=FQ","BEST_FPERIOD_OVERRIDE=FQ","FILING_STATUS=OR","EQY_CONSOLIDATED=Y","Sort=A","Dates=H","DateFormat=P","Fill=—","Direction=H","UseDPDF=Y")</f>
        <v>#NAME?</v>
      </c>
      <c r="AU559" s="2" t="e">
        <f ca="1">_xll.BDH($C$553,"NET_FIXED_ASSETS_5_YEAR_GROWTH","FQ1 2015","FQ1 2015","Currency=INR","Period=FQ","BEST_FPERIOD_OVERRIDE=FQ","FILING_STATUS=OR","EQY_CONSOLIDATED=Y","Sort=A","Dates=H","DateFormat=P","Fill=—","Direction=H","UseDPDF=Y")</f>
        <v>#NAME?</v>
      </c>
      <c r="AV559" s="2" t="e">
        <f ca="1">_xll.BDH($C$553,"GEO_GROW_TOT_ASSET","FQ1 2015","FQ1 2015","Currency=INR","Period=FQ","BEST_FPERIOD_OVERRIDE=FQ","FILING_STATUS=OR","EQY_CONSOLIDATED=Y","Sort=A","Dates=H","DateFormat=P","Fill=—","Direction=H","UseDPDF=Y")</f>
        <v>#NAME?</v>
      </c>
      <c r="AW559" s="2" t="e">
        <f ca="1">_xll.BDH($C$553,"MODIFIED_WORKING_CPTL_5YR_GRWTH","FQ1 2015","FQ1 2015","Currency=INR","Period=FQ","BEST_FPERIOD_OVERRIDE=FQ","FILING_STATUS=OR","EQY_CONSOLIDATED=Y","Sort=A","Dates=H","DateFormat=P","Fill=—","Direction=H","UseDPDF=Y")</f>
        <v>#NAME?</v>
      </c>
      <c r="AX559" s="2" t="e">
        <f ca="1">_xll.BDH($C$553,"WORKING_CAPITAL_5_YEAR_GROWTH","FQ1 2015","FQ1 2015","Currency=INR","Period=FQ","BEST_FPERIOD_OVERRIDE=FQ","FILING_STATUS=OR","EQY_CONSOLIDATED=Y","Sort=A","Dates=H","DateFormat=P","Fill=—","Direction=H","UseDPDF=Y")</f>
        <v>#NAME?</v>
      </c>
      <c r="AY559" s="2" t="e">
        <f ca="1">_xll.BDH($C$553,"ACCOUNTS_PAYABLE_5_YEAR_GROWTH","FQ1 2015","FQ1 2015","Currency=INR","Period=FQ","BEST_FPERIOD_OVERRIDE=FQ","FILING_STATUS=OR","EQY_CONSOLIDATED=Y","Sort=A","Dates=H","DateFormat=P","Fill=—","Direction=H","UseDPDF=Y")</f>
        <v>#NAME?</v>
      </c>
      <c r="AZ559" s="2" t="e">
        <f ca="1">_xll.BDH($C$553,"SHORT_TERM_DEBT_5_YEAR_GROWTH","FQ1 2015","FQ1 2015","Currency=INR","Period=FQ","BEST_FPERIOD_OVERRIDE=FQ","FILING_STATUS=OR","EQY_CONSOLIDATED=Y","Sort=A","Dates=H","DateFormat=P","Fill=—","Direction=H","UseDPDF=Y")</f>
        <v>#NAME?</v>
      </c>
      <c r="BA559" s="2" t="e">
        <f ca="1">_xll.BDH($C$553,"TOTAL_DEBT_5_YEAR_GROWTH","FQ1 2015","FQ1 2015","Currency=INR","Period=FQ","BEST_FPERIOD_OVERRIDE=FQ","FILING_STATUS=OR","EQY_CONSOLIDATED=Y","Sort=A","Dates=H","DateFormat=P","Fill=—","Direction=H","UseDPDF=Y")</f>
        <v>#NAME?</v>
      </c>
      <c r="BB559" s="2" t="e">
        <f ca="1">_xll.BDH($C$553,"GEO_GROW_TOT_SHRHLDR_EQY","FQ1 2015","FQ1 2015","Currency=INR","Period=FQ","BEST_FPERIOD_OVERRIDE=FQ","FILING_STATUS=OR","EQY_CONSOLIDATED=Y","Sort=A","Dates=H","DateFormat=P","Fill=—","Direction=H","UseDPDF=Y")</f>
        <v>#NAME?</v>
      </c>
      <c r="BC559" s="2" t="e">
        <f ca="1">_xll.BDH($C$553,"TOTAL_CAPITAL_5_YEAR_GROWTH","FQ1 2015","FQ1 2015","Currency=INR","Period=FQ","BEST_FPERIOD_OVERRIDE=FQ","FILING_STATUS=OR","EQY_CONSOLIDATED=Y","Sort=A","Dates=H","DateFormat=P","Fill=—","Direction=H","UseDPDF=Y")</f>
        <v>#NAME?</v>
      </c>
      <c r="BD559" s="2" t="e">
        <f ca="1">_xll.BDH($C$553,"GEO_GROW_BOOK_VAL","FQ1 2015","FQ1 2015","Currency=INR","Period=FQ","BEST_FPERIOD_OVERRIDE=FQ","FILING_STATUS=OR","EQY_CONSOLIDATED=Y","Sort=A","Dates=H","DateFormat=P","Fill=—","Direction=H","UseDPDF=Y")</f>
        <v>#NAME?</v>
      </c>
      <c r="BE559" s="2" t="e">
        <f ca="1">_xll.BDH($C$553,"GEO_GROW_CASH_OPER_ACT","FQ1 2015","FQ1 2015","Currency=INR","Period=FQ","BEST_FPERIOD_OVERRIDE=FQ","FILING_STATUS=OR","EQY_CONSOLIDATED=Y","Sort=A","Dates=H","DateFormat=P","Fill=—","Direction=H","UseDPDF=Y")</f>
        <v>#NAME?</v>
      </c>
      <c r="BF559" s="2" t="e">
        <f ca="1">_xll.BDH($C$553,"REVENUE_SEQUENTIAL_GROWTH","FQ1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559" s="2" t="e">
        <f ca="1">_xll.BDH($C$553,"EBITDA_SEQUENTIAL_GROWTH","FQ1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559" s="2" t="e">
        <f ca="1">_xll.BDH($C$553,"OPERATING_INCOME_SEQ_GROWTH","FQ1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559" s="2" t="e">
        <f ca="1">_xll.BDH($C$553,"NET_INCOME_TO_COMMON_SEQ_GROWTH","FQ1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559" s="2" t="e">
        <f ca="1">_xll.BDH($C$553,"EPS_DILUTED_SEQUENTIAL_GROWTH","FQ1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559" s="2" t="e">
        <f ca="1">_xll.BDH($C$553,"DPS_SEQUENTIAL_GROWTH","FQ1 2015","FQ1 2015","Currency=INR","Period=FQ","BEST_FPERIOD_OVERRIDE=FQ","FILING_STATUS=OR","EQY_CONSOLIDATED=Y","Sort=A","Dates=H","DateFormat=P","Fill=—","Direction=H","UseDPDF=Y")</f>
        <v>#NAME?</v>
      </c>
      <c r="BL559" s="2" t="e">
        <f ca="1">_xll.BDH($C$553,"ACCOUNTS_RECEIVABLE_SEQ_GROWTH","FQ1 2015","FQ1 2015","Currency=INR","Period=FQ","BEST_FPERIOD_OVERRIDE=FQ","FILING_STATUS=OR","EQY_CONSOLIDATED=Y","Sort=A","Dates=H","DateFormat=P","Fill=—","Direction=H","UseDPDF=Y")</f>
        <v>#NAME?</v>
      </c>
      <c r="BM559" s="2" t="e">
        <f ca="1">_xll.BDH($C$553,"INVENTORY_SEQUENTIAL_GROWTH","FQ1 2015","FQ1 2015","Currency=INR","Period=FQ","BEST_FPERIOD_OVERRIDE=FQ","FILING_STATUS=OR","EQY_CONSOLIDATED=Y","Sort=A","Dates=H","DateFormat=P","Fill=—","Direction=H","UseDPDF=Y")</f>
        <v>#NAME?</v>
      </c>
      <c r="BN559" s="2" t="e">
        <f ca="1">_xll.BDH($C$553,"FIXED_ASSETS_SEQUENTIAL_GROWTH","FQ1 2015","FQ1 2015","Currency=INR","Period=FQ","BEST_FPERIOD_OVERRIDE=FQ","FILING_STATUS=OR","EQY_CONSOLIDATED=Y","Sort=A","Dates=H","DateFormat=P","Fill=—","Direction=H","UseDPDF=Y")</f>
        <v>#NAME?</v>
      </c>
      <c r="BO559" s="2" t="e">
        <f ca="1">_xll.BDH($C$553,"TOTAL_ASSETS_SEQUENTIAL_GROWTH","FQ1 2015","FQ1 2015","Currency=INR","Period=FQ","BEST_FPERIOD_OVERRIDE=FQ","FILING_STATUS=OR","EQY_CONSOLIDATED=Y","Sort=A","Dates=H","DateFormat=P","Fill=—","Direction=H","UseDPDF=Y")</f>
        <v>#NAME?</v>
      </c>
      <c r="BP559" s="2" t="e">
        <f ca="1">_xll.BDH($C$553,"MODIFIED_WORKING_CPTL_SEQ_GRWTH","FQ1 2015","FQ1 2015","Currency=INR","Period=FQ","BEST_FPERIOD_OVERRIDE=FQ","FILING_STATUS=OR","EQY_CONSOLIDATED=Y","Sort=A","Dates=H","DateFormat=P","Fill=—","Direction=H","UseDPDF=Y")</f>
        <v>#NAME?</v>
      </c>
      <c r="BQ559" s="2" t="e">
        <f ca="1">_xll.BDH($C$553,"WORKING_CAPITAL_SEQ_GROWTH","FQ1 2015","FQ1 2015","Currency=INR","Period=FQ","BEST_FPERIOD_OVERRIDE=FQ","FILING_STATUS=OR","EQY_CONSOLIDATED=Y","Sort=A","Dates=H","DateFormat=P","Fill=—","Direction=H","UseDPDF=Y")</f>
        <v>#NAME?</v>
      </c>
      <c r="BR559" s="2" t="e">
        <f ca="1">_xll.BDH($C$553,"ACCOUNTS_PAYABLE_SEQ_GROWTH","FQ1 2015","FQ1 2015","Currency=INR","Period=FQ","BEST_FPERIOD_OVERRIDE=FQ","FILING_STATUS=OR","EQY_CONSOLIDATED=Y","Sort=A","Dates=H","DateFormat=P","Fill=—","Direction=H","UseDPDF=Y")</f>
        <v>#NAME?</v>
      </c>
      <c r="BS559" s="2" t="e">
        <f ca="1">_xll.BDH($C$553,"ST_DEBT_SEQUENTIAL_GROWTH","FQ1 2015","FQ1 2015","Currency=INR","Period=FQ","BEST_FPERIOD_OVERRIDE=FQ","FILING_STATUS=OR","EQY_CONSOLIDATED=Y","Sort=A","Dates=H","DateFormat=P","Fill=—","Direction=H","UseDPDF=Y")</f>
        <v>#NAME?</v>
      </c>
      <c r="BT559" s="2" t="e">
        <f ca="1">_xll.BDH($C$553,"TOTAL_DEBT_SEQUENTIAL_GROWTH","FQ1 2015","FQ1 2015","Currency=INR","Period=FQ","BEST_FPERIOD_OVERRIDE=FQ","FILING_STATUS=OR","EQY_CONSOLIDATED=Y","Sort=A","Dates=H","DateFormat=P","Fill=—","Direction=H","UseDPDF=Y")</f>
        <v>#NAME?</v>
      </c>
      <c r="BU559" s="2" t="e">
        <f ca="1">_xll.BDH($C$553,"TOTAL_EQUITY_SEQUENTIAL_GROWTH","FQ1 2015","FQ1 2015","Currency=INR","Period=FQ","BEST_FPERIOD_OVERRIDE=FQ","FILING_STATUS=OR","EQY_CONSOLIDATED=Y","Sort=A","Dates=H","DateFormat=P","Fill=—","Direction=H","UseDPDF=Y")</f>
        <v>#NAME?</v>
      </c>
      <c r="BV559" s="2" t="e">
        <f ca="1">_xll.BDH($C$553,"TOTAL_CAPITAL_SEQUENTIAL_GROWTH","FQ1 2015","FQ1 2015","Currency=INR","Period=FQ","BEST_FPERIOD_OVERRIDE=FQ","FILING_STATUS=OR","EQY_CONSOLIDATED=Y","Sort=A","Dates=H","DateFormat=P","Fill=—","Direction=H","UseDPDF=Y")</f>
        <v>#NAME?</v>
      </c>
      <c r="BW559" s="2" t="e">
        <f ca="1">_xll.BDH($C$553,"BPS_SEQUENTIAL_GROWTH","FQ1 2015","FQ1 2015","Currency=INR","Period=FQ","BEST_FPERIOD_OVERRIDE=FQ","FILING_STATUS=OR","EQY_CONSOLIDATED=Y","Sort=A","Dates=H","DateFormat=P","Fill=—","Direction=H","UseDPDF=Y")</f>
        <v>#NAME?</v>
      </c>
      <c r="BX559" s="2" t="e">
        <f ca="1">_xll.BDH($C$553,"CFO_SEQUENTIAL_GROWTH","FQ1 2015","FQ1 2015","Currency=INR","Period=FQ","BEST_FPERIOD_OVERRIDE=FQ","FILING_STATUS=OR","EQY_CONSOLIDATED=Y","Sort=A","Dates=H","DateFormat=P","Fill=—","Direction=H","UseDPDF=Y")</f>
        <v>#NAME?</v>
      </c>
      <c r="BY559" s="3" t="e">
        <f ca="1">_xll.BDH($C$553,"SHORT_AND_LONG_TERM_DEBT","FQ1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559" s="3" t="e">
        <f ca="1">_xll.BDH($C$553,"BS_ST_BORROW","FQ1 2015","FQ1 2015","Currency=INR","Period=FQ","BEST_FPERIOD_OVERRIDE=FQ","FILING_STATUS=OR","EQY_CONSOLIDATED=Y","SCALING_FORMAT=MLN","Sort=A","Dates=H","DateFormat=P","Fill=—","Direction=H","UseDPDF=Y")</f>
        <v>#NAME?</v>
      </c>
      <c r="CA559" s="3" t="e">
        <f ca="1">_xll.BDH($C$553,"BS_LT_BORROW","FQ1 2015","FQ1 2015","Currency=INR","Period=FQ","BEST_FPERIOD_OVERRIDE=FQ","FILING_STATUS=OR","EQY_CONSOLIDATED=Y","SCALING_FORMAT=MLN","Sort=A","Dates=H","DateFormat=P","Fill=—","Direction=H","UseDPDF=Y")</f>
        <v>#NAME?</v>
      </c>
      <c r="CB559" s="2" t="e">
        <f ca="1">_xll.BDH($C$553,"TOT_DEBT_TO_EBITDA","FQ1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559" s="2" t="e">
        <f ca="1">_xll.BDH($C$553,"NET_DEBT_TO_EBITDA","FQ1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559" s="2" t="e">
        <f ca="1">_xll.BDH($C$553,"TOTAL_DEBT_TO_EBIT","FQ1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559" s="2" t="e">
        <f ca="1">_xll.BDH($C$553,"NET_DEBT_TO_EBIT","FQ1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559" s="2" t="e">
        <f ca="1">_xll.BDH($C$553,"EBITDA_TO_INTEREST_EXPN","FQ1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559" s="2" t="e">
        <f ca="1">_xll.BDH($C$553,"COM_EQY_TO_TOT_ASSET","FQ1 2015","FQ1 2015","Currency=INR","Period=FQ","BEST_FPERIOD_OVERRIDE=FQ","FILING_STATUS=OR","EQY_CONSOLIDATED=Y","Sort=A","Dates=H","DateFormat=P","Fill=—","Direction=H","UseDPDF=Y")</f>
        <v>#NAME?</v>
      </c>
      <c r="CH559" s="2" t="e">
        <f ca="1">_xll.BDH($C$553,"LT_DEBT_TO_TOT_EQY","FQ1 2015","FQ1 2015","Currency=INR","Period=FQ","BEST_FPERIOD_OVERRIDE=FQ","FILING_STATUS=OR","EQY_CONSOLIDATED=Y","Sort=A","Dates=H","DateFormat=P","Fill=—","Direction=H","UseDPDF=Y")</f>
        <v>#NAME?</v>
      </c>
      <c r="CI559" s="2" t="e">
        <f ca="1">_xll.BDH($C$553,"LT_DEBT_TO_TOT_CAP","FQ1 2015","FQ1 2015","Currency=INR","Period=FQ","BEST_FPERIOD_OVERRIDE=FQ","FILING_STATUS=OR","EQY_CONSOLIDATED=Y","Sort=A","Dates=H","DateFormat=P","Fill=—","Direction=H","UseDPDF=Y")</f>
        <v>#NAME?</v>
      </c>
      <c r="CJ559" s="2" t="e">
        <f ca="1">_xll.BDH($C$553,"LT_DEBT_TO_TOT_ASSET","FQ1 2015","FQ1 2015","Currency=INR","Period=FQ","BEST_FPERIOD_OVERRIDE=FQ","FILING_STATUS=OR","EQY_CONSOLIDATED=Y","Sort=A","Dates=H","DateFormat=P","Fill=—","Direction=H","UseDPDF=Y")</f>
        <v>#NAME?</v>
      </c>
      <c r="CK559" s="2" t="e">
        <f ca="1">_xll.BDH($C$553,"TOT_DEBT_TO_TOT_EQY","FQ1 2015","FQ1 2015","Currency=INR","Period=FQ","BEST_FPERIOD_OVERRIDE=FQ","FILING_STATUS=OR","EQY_CONSOLIDATED=Y","Sort=A","Dates=H","DateFormat=P","Fill=—","Direction=H","UseDPDF=Y")</f>
        <v>#NAME?</v>
      </c>
      <c r="CL559" s="2" t="e">
        <f ca="1">_xll.BDH($C$553,"TOT_DEBT_TO_TOT_CAP","FQ1 2015","FQ1 2015","Currency=INR","Period=FQ","BEST_FPERIOD_OVERRIDE=FQ","FILING_STATUS=OR","EQY_CONSOLIDATED=Y","Sort=A","Dates=H","DateFormat=P","Fill=—","Direction=H","UseDPDF=Y")</f>
        <v>#NAME?</v>
      </c>
      <c r="CM559" s="2" t="e">
        <f ca="1">_xll.BDH($C$553,"TOT_DEBT_TO_TOT_ASSET","FQ1 2015","FQ1 2015","Currency=INR","Period=FQ","BEST_FPERIOD_OVERRIDE=FQ","FILING_STATUS=OR","EQY_CONSOLIDATED=Y","Sort=A","Dates=H","DateFormat=P","Fill=—","Direction=H","UseDPDF=Y")</f>
        <v>#NAME?</v>
      </c>
      <c r="CN559" s="2" t="e">
        <f ca="1">_xll.BDH($C$553,"NET_DEBT_TO_SHRHLDR_EQTY","FQ1 2015","FQ1 2015","Currency=INR","Period=FQ","BEST_FPERIOD_OVERRIDE=FQ","FILING_STATUS=OR","EQY_CONSOLIDATED=Y","Sort=A","Dates=H","DateFormat=P","Fill=—","Direction=H","UseDPDF=Y")</f>
        <v>#NAME?</v>
      </c>
      <c r="CO559" s="2" t="e">
        <f ca="1">_xll.BDH($C$553,"NET_DEBT_%_CAPITAL","FQ1 2015","FQ1 2015","Currency=INR","Period=FQ","BEST_FPERIOD_OVERRIDE=FQ","FILING_STATUS=OR","EQY_CONSOLIDATED=Y","Sort=A","Dates=H","DateFormat=P","Fill=—","Direction=H","UseDPDF=Y")</f>
        <v>#NAME?</v>
      </c>
      <c r="CP559" s="3" t="e">
        <f ca="1">_xll.BDH($C$553,"EBITDA","FQ1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559" s="3" t="e">
        <f ca="1">_xll.BDH($C$553,"EBITDA_AFTER_CAPEX","FQ1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559" s="3" t="e">
        <f ca="1">_xll.BDH($C$553,"IS_OPER_INC","FQ1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559" s="2" t="e">
        <f ca="1">_xll.BDH($C$553,"CASH_RATIO","FQ1 2015","FQ1 2015","Currency=INR","Period=FQ","BEST_FPERIOD_OVERRIDE=FQ","FILING_STATUS=OR","EQY_CONSOLIDATED=Y","Sort=A","Dates=H","DateFormat=P","Fill=—","Direction=H","UseDPDF=Y")</f>
        <v>#NAME?</v>
      </c>
      <c r="CT559" s="2" t="e">
        <f ca="1">_xll.BDH($C$553,"CUR_RATIO","FQ1 2015","FQ1 2015","Currency=INR","Period=FQ","BEST_FPERIOD_OVERRIDE=FQ","FILING_STATUS=OR","EQY_CONSOLIDATED=Y","Sort=A","Dates=H","DateFormat=P","Fill=—","Direction=H","UseDPDF=Y")</f>
        <v>#NAME?</v>
      </c>
      <c r="CU559" s="2" t="e">
        <f ca="1">_xll.BDH($C$553,"QUICK_RATIO","FQ1 2015","FQ1 2015","Currency=INR","Period=FQ","BEST_FPERIOD_OVERRIDE=FQ","FILING_STATUS=OR","EQY_CONSOLIDATED=Y","Sort=A","Dates=H","DateFormat=P","Fill=—","Direction=H","UseDPDF=Y")</f>
        <v>#NAME?</v>
      </c>
      <c r="CV559" s="2" t="e">
        <f ca="1">_xll.BDH($C$553,"ALTMAN_Z_SCORE","FQ1 2015","FQ1 2015","Currency=INR","Period=FQ","BEST_FPERIOD_OVERRIDE=FQ","FILING_STATUS=OR","EQY_CONSOLIDATED=Y","Sort=A","Dates=H","DateFormat=P","Fill=—","Direction=H","UseDPDF=Y")</f>
        <v>#NAME?</v>
      </c>
      <c r="CW559" s="4" t="e">
        <f ca="1">_xll.BDH($C$553,"ACCT_RCV_TURN","FQ1 2015","FQ1 2015","Currency=INR","Period=FQ","BEST_FPERIOD_OVERRIDE=FQ","FILING_STATUS=OR","EQY_CONSOLIDATED=Y","FA_ADJUSTED=GAAP","Sort=A","Dates=H","DateFormat=P","Fill=—","Direction=H","UseDPDF=Y")</f>
        <v>#NAME?</v>
      </c>
      <c r="CX559" s="2" t="e">
        <f ca="1">_xll.BDH($C$553,"ACCT_RCV_DAYS","FQ1 2015","FQ1 2015","Currency=INR","Period=FQ","BEST_FPERIOD_OVERRIDE=FQ","FILING_STATUS=OR","EQY_CONSOLIDATED=Y","FA_ADJUSTED=GAAP","Sort=A","Dates=H","DateFormat=P","Fill=—","Direction=H","UseDPDF=Y")</f>
        <v>#NAME?</v>
      </c>
      <c r="CY559" s="4" t="e">
        <f ca="1">_xll.BDH($C$553,"INVENT_TURN","FQ1 2015","FQ1 2015","Currency=INR","Period=FQ","BEST_FPERIOD_OVERRIDE=FQ","FILING_STATUS=OR","EQY_CONSOLIDATED=Y","FA_ADJUSTED=GAAP","Sort=A","Dates=H","DateFormat=P","Fill=—","Direction=H","UseDPDF=Y")</f>
        <v>#NAME?</v>
      </c>
      <c r="CZ559" s="2" t="e">
        <f ca="1">_xll.BDH($C$553,"INVENT_DAYS","FQ1 2015","FQ1 2015","Currency=INR","Period=FQ","BEST_FPERIOD_OVERRIDE=FQ","FILING_STATUS=OR","EQY_CONSOLIDATED=Y","FA_ADJUSTED=GAAP","Sort=A","Dates=H","DateFormat=P","Fill=—","Direction=H","UseDPDF=Y")</f>
        <v>#NAME?</v>
      </c>
      <c r="DA559" s="4" t="e">
        <f ca="1">_xll.BDH($C$553,"ACCOUNTS_PAYABLE_TURNOVER","FQ1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559" s="2" t="e">
        <f ca="1">_xll.BDH($C$553,"ACCOUNTS_PAYABLE_TURNOVER_DAYS","FQ1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559" s="4" t="e">
        <f ca="1">_xll.BDH($C$553,"CASH_CONVERSION_CYCLE","FQ1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559" s="4" t="e">
        <f ca="1">_xll.BDH($C$553,"INV_TO_CASH_DAYS","FQ1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559" s="5" t="e">
        <f ca="1">_xll.BDH($C$553,"BS_INVENTORIES","FQ1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559" s="3" t="e">
        <f ca="1">_xll.BDH($C$553,"INVTRY_RAW_MATERIALS","FQ1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559" s="3" t="e">
        <f ca="1">_xll.BDH($C$553,"INVTRY_IN_PROGRESS","FQ1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559" s="3" t="e">
        <f ca="1">_xll.BDH($C$553,"INVTRY_FINISHED_GOODS","FQ1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559" s="3" t="e">
        <f ca="1">_xll.BDH($C$553,"BS_OTHER_INV","FQ1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560" spans="1:113" x14ac:dyDescent="0.3">
      <c r="A560" s="6"/>
      <c r="B560" s="6"/>
      <c r="C560" s="6"/>
      <c r="D560" s="6"/>
      <c r="E560" t="s">
        <v>79</v>
      </c>
      <c r="F560" t="e">
        <f ca="1">_xll.BDH($C$553,"RETURN_COM_EQY","FQ2 2015","FQ2 2015","Currency=INR","Period=FQ","BEST_FPERIOD_OVERRIDE=FQ","FILING_STATUS=OR","EQY_CONSOLIDATED=Y","FA_ADJUSTED=GAAP","Sort=A","Dates=H","DateFormat=P","Fill=—","Direction=H","UseDPDF=Y")</f>
        <v>#NAME?</v>
      </c>
      <c r="G560" t="e">
        <f ca="1">_xll.BDH($C$553,"RETURN_ON_ASSET","FQ2 2015","FQ2 2015","Currency=INR","Period=FQ","BEST_FPERIOD_OVERRIDE=FQ","FILING_STATUS=OR","EQY_CONSOLIDATED=Y","FA_ADJUSTED=GAAP","Sort=A","Dates=H","DateFormat=P","Fill=—","Direction=H","UseDPDF=Y")</f>
        <v>#NAME?</v>
      </c>
      <c r="H560" t="e">
        <f ca="1">_xll.BDH($C$553,"RETURN_ON_CAP","FQ2 2015","FQ2 2015","Currency=INR","Period=FQ","BEST_FPERIOD_OVERRIDE=FQ","FILING_STATUS=OR","EQY_CONSOLIDATED=Y","FA_ADJUSTED=GAAP","Sort=A","Dates=H","DateFormat=P","Fill=—","Direction=H","UseDPDF=Y")</f>
        <v>#NAME?</v>
      </c>
      <c r="I560" t="e">
        <f ca="1">_xll.BDH($C$553,"RETURN_ON_INV_CAPITAL","FQ2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560" t="e">
        <f ca="1">_xll.BDH($C$553,"EBITDA_TO_REVENUE","FQ2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560" t="e">
        <f ca="1">_xll.BDH($C$553,"OPER_MARGIN","FQ2 2015","FQ2 2015","Currency=INR","Period=FQ","BEST_FPERIOD_OVERRIDE=FQ","FILING_STATUS=OR","EQY_CONSOLIDATED=Y","FA_ADJUSTED=GAAP","Sort=A","Dates=H","DateFormat=P","Fill=—","Direction=H","UseDPDF=Y")</f>
        <v>#NAME?</v>
      </c>
      <c r="L560" t="e">
        <f ca="1">_xll.BDH($C$553,"INCREMENTAL_OPERATING_MARGIN","FQ2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560" t="e">
        <f ca="1">_xll.BDH($C$553,"PRETAX_INC_TO_NET_SALES","FQ2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560" t="e">
        <f ca="1">_xll.BDH($C$553,"INC_BEF_XO_ITEMS_TO_NET_SALES","FQ2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560" t="e">
        <f ca="1">_xll.BDH($C$553,"PROF_MARGIN","FQ2 2015","FQ2 2015","Currency=INR","Period=FQ","BEST_FPERIOD_OVERRIDE=FQ","FILING_STATUS=OR","EQY_CONSOLIDATED=Y","FA_ADJUSTED=GAAP","Sort=A","Dates=H","DateFormat=P","Fill=—","Direction=H","UseDPDF=Y")</f>
        <v>#NAME?</v>
      </c>
      <c r="P560" t="e">
        <f ca="1">_xll.BDH($C$553,"NET_INCOME_TO_COMMON_MARGIN","FQ2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560" t="e">
        <f ca="1">_xll.BDH($C$553,"EFF_TAX_RATE","FQ2 2015","FQ2 2015","Currency=INR","Period=FQ","BEST_FPERIOD_OVERRIDE=FQ","FILING_STATUS=OR","EQY_CONSOLIDATED=Y","FA_ADJUSTED=GAAP","Sort=A","Dates=H","DateFormat=P","Fill=—","Direction=H","UseDPDF=Y")</f>
        <v>#NAME?</v>
      </c>
      <c r="R560" t="e">
        <f ca="1">_xll.BDH($C$553,"DVD_PAYOUT_RATIO","FQ2 2015","FQ2 2015","Currency=INR","Period=FQ","BEST_FPERIOD_OVERRIDE=FQ","FILING_STATUS=OR","EQY_CONSOLIDATED=Y","FA_ADJUSTED=GAAP","Sort=A","Dates=H","DateFormat=P","Fill=—","Direction=H","UseDPDF=Y")</f>
        <v>#NAME?</v>
      </c>
      <c r="S560" t="e">
        <f ca="1">_xll.BDH($C$553,"SUSTAIN_GROWTH_RT","FQ2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560" s="2" t="e">
        <f ca="1">_xll.BDH($C$553,"SALES_GROWTH","FQ2 2015","FQ2 2015","Currency=INR","Period=FQ","BEST_FPERIOD_OVERRIDE=FQ","FILING_STATUS=OR","EQY_CONSOLIDATED=Y","FA_ADJUSTED=GAAP","Sort=A","Dates=H","DateFormat=P","Fill=—","Direction=H","UseDPDF=Y")</f>
        <v>#NAME?</v>
      </c>
      <c r="U560" s="2" t="e">
        <f ca="1">_xll.BDH($C$553,"EBITDA_GROWTH","FQ2 2015","FQ2 2015","Currency=INR","Period=FQ","BEST_FPERIOD_OVERRIDE=FQ","FILING_STATUS=OR","EQY_CONSOLIDATED=Y","FA_ADJUSTED=GAAP","Sort=A","Dates=H","DateFormat=P","Fill=—","Direction=H","UseDPDF=Y")</f>
        <v>#NAME?</v>
      </c>
      <c r="V560" s="2" t="e">
        <f ca="1">_xll.BDH($C$553,"OPER_INC_GROWTH","FQ2 2015","FQ2 2015","Currency=INR","Period=FQ","BEST_FPERIOD_OVERRIDE=FQ","FILING_STATUS=OR","EQY_CONSOLIDATED=Y","FA_ADJUSTED=GAAP","Sort=A","Dates=H","DateFormat=P","Fill=—","Direction=H","UseDPDF=Y")</f>
        <v>#NAME?</v>
      </c>
      <c r="W560" s="2" t="e">
        <f ca="1">_xll.BDH($C$553,"EARN_FOR_COM_GROWTH","FQ2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560" s="2" t="e">
        <f ca="1">_xll.BDH($C$553,"DILUTED_EPS_AFT_XO_ITEMS_GROWTH","FQ2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560" s="2" t="e">
        <f ca="1">_xll.BDH($C$553,"DIVIDEND_PER_SHARE_1_YEAR_GROWTH","FQ2 2015","FQ2 2015","Currency=INR","Period=FQ","BEST_FPERIOD_OVERRIDE=FQ","FILING_STATUS=OR","EQY_CONSOLIDATED=Y","Sort=A","Dates=H","DateFormat=P","Fill=—","Direction=H","UseDPDF=Y")</f>
        <v>#NAME?</v>
      </c>
      <c r="Z560" s="2" t="e">
        <f ca="1">_xll.BDH($C$553,"ACCOUNTS_RECEIVABLE_GROWTH","FQ2 2015","FQ2 2015","Currency=INR","Period=FQ","BEST_FPERIOD_OVERRIDE=FQ","FILING_STATUS=OR","EQY_CONSOLIDATED=Y","Sort=A","Dates=H","DateFormat=P","Fill=—","Direction=H","UseDPDF=Y")</f>
        <v>#NAME?</v>
      </c>
      <c r="AA560" s="2" t="e">
        <f ca="1">_xll.BDH($C$553,"INVENTORY_GROWTH","FQ2 2015","FQ2 2015","Currency=INR","Period=FQ","BEST_FPERIOD_OVERRIDE=FQ","FILING_STATUS=OR","EQY_CONSOLIDATED=Y","Sort=A","Dates=H","DateFormat=P","Fill=—","Direction=H","UseDPDF=Y")</f>
        <v>#NAME?</v>
      </c>
      <c r="AB560" s="2" t="e">
        <f ca="1">_xll.BDH($C$553,"NET_FIXED_ASSETS_1_YEAR_GROWTH","FQ2 2015","FQ2 2015","Currency=INR","Period=FQ","BEST_FPERIOD_OVERRIDE=FQ","FILING_STATUS=OR","EQY_CONSOLIDATED=Y","Sort=A","Dates=H","DateFormat=P","Fill=—","Direction=H","UseDPDF=Y")</f>
        <v>#NAME?</v>
      </c>
      <c r="AC560" s="2" t="e">
        <f ca="1">_xll.BDH($C$553,"ASSET_GROWTH","FQ2 2015","FQ2 2015","Currency=INR","Period=FQ","BEST_FPERIOD_OVERRIDE=FQ","FILING_STATUS=OR","EQY_CONSOLIDATED=Y","Sort=A","Dates=H","DateFormat=P","Fill=—","Direction=H","UseDPDF=Y")</f>
        <v>#NAME?</v>
      </c>
      <c r="AD560" s="2" t="e">
        <f ca="1">_xll.BDH($C$553,"MODIFIED_WORK_CAP_GROWTH","FQ2 2015","FQ2 2015","Currency=INR","Period=FQ","BEST_FPERIOD_OVERRIDE=FQ","FILING_STATUS=OR","EQY_CONSOLIDATED=Y","Sort=A","Dates=H","DateFormat=P","Fill=—","Direction=H","UseDPDF=Y")</f>
        <v>#NAME?</v>
      </c>
      <c r="AE560" s="2" t="e">
        <f ca="1">_xll.BDH($C$553,"WORK_CAP_GROWTH","FQ2 2015","FQ2 2015","Currency=INR","Period=FQ","BEST_FPERIOD_OVERRIDE=FQ","FILING_STATUS=OR","EQY_CONSOLIDATED=Y","Sort=A","Dates=H","DateFormat=P","Fill=—","Direction=H","UseDPDF=Y")</f>
        <v>#NAME?</v>
      </c>
      <c r="AF560" s="2" t="e">
        <f ca="1">_xll.BDH($C$553,"ACCOUNTS_PAYABLE_GROWTH_1YR","FQ2 2015","FQ2 2015","Currency=INR","Period=FQ","BEST_FPERIOD_OVERRIDE=FQ","FILING_STATUS=OR","EQY_CONSOLIDATED=Y","Sort=A","Dates=H","DateFormat=P","Fill=—","Direction=H","UseDPDF=Y")</f>
        <v>#NAME?</v>
      </c>
      <c r="AG560" s="2" t="e">
        <f ca="1">_xll.BDH($C$553,"SHORT_TERM_DEBT_1_YEAR_GROWTH","FQ2 2015","FQ2 2015","Currency=INR","Period=FQ","BEST_FPERIOD_OVERRIDE=FQ","FILING_STATUS=OR","EQY_CONSOLIDATED=Y","Sort=A","Dates=H","DateFormat=P","Fill=—","Direction=H","UseDPDF=Y")</f>
        <v>#NAME?</v>
      </c>
      <c r="AH560" s="2" t="e">
        <f ca="1">_xll.BDH($C$553,"TOTAL_DEBT_1_YEAR_GROWTH","FQ2 2015","FQ2 2015","Currency=INR","Period=FQ","BEST_FPERIOD_OVERRIDE=FQ","FILING_STATUS=OR","EQY_CONSOLIDATED=Y","Sort=A","Dates=H","DateFormat=P","Fill=—","Direction=H","UseDPDF=Y")</f>
        <v>#NAME?</v>
      </c>
      <c r="AI560" s="2" t="e">
        <f ca="1">_xll.BDH($C$553,"TOTAL_EQUITY_1_YEAR_GROWTH","FQ2 2015","FQ2 2015","Currency=INR","Period=FQ","BEST_FPERIOD_OVERRIDE=FQ","FILING_STATUS=OR","EQY_CONSOLIDATED=Y","Sort=A","Dates=H","DateFormat=P","Fill=—","Direction=H","UseDPDF=Y")</f>
        <v>#NAME?</v>
      </c>
      <c r="AJ560" s="2" t="e">
        <f ca="1">_xll.BDH($C$553,"GROWTH_IN_CAP","FQ2 2015","FQ2 2015","Currency=INR","Period=FQ","BEST_FPERIOD_OVERRIDE=FQ","FILING_STATUS=OR","EQY_CONSOLIDATED=Y","Sort=A","Dates=H","DateFormat=P","Fill=—","Direction=H","UseDPDF=Y")</f>
        <v>#NAME?</v>
      </c>
      <c r="AK560" s="2" t="e">
        <f ca="1">_xll.BDH($C$553,"BVPS_GROWTH","FQ2 2015","FQ2 2015","Currency=INR","Period=FQ","BEST_FPERIOD_OVERRIDE=FQ","FILING_STATUS=OR","EQY_CONSOLIDATED=Y","Sort=A","Dates=H","DateFormat=P","Fill=—","Direction=H","UseDPDF=Y")</f>
        <v>#NAME?</v>
      </c>
      <c r="AL560" s="2" t="e">
        <f ca="1">_xll.BDH($C$553,"CASH_FLOW_GROWTH","FQ2 2015","FQ2 2015","Currency=INR","Period=FQ","BEST_FPERIOD_OVERRIDE=FQ","FILING_STATUS=OR","EQY_CONSOLIDATED=Y","Sort=A","Dates=H","DateFormat=P","Fill=—","Direction=H","UseDPDF=Y")</f>
        <v>#NAME?</v>
      </c>
      <c r="AM560" s="2" t="e">
        <f ca="1">_xll.BDH($C$553,"GEO_GROW_NET_SALES","FQ2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560" s="2" t="e">
        <f ca="1">_xll.BDH($C$553,"GEO_GROW_EBITDA","FQ2 2015","FQ2 2015","Currency=INR","Period=FQ","BEST_FPERIOD_OVERRIDE=FQ","FILING_STATUS=OR","EQY_CONSOLIDATED=Y","FA_ADJUSTED=GAAP","Sort=A","Dates=H","DateFormat=P","Fill=—","Direction=H","UseDPDF=Y")</f>
        <v>#NAME?</v>
      </c>
      <c r="AO560" s="2" t="e">
        <f ca="1">_xll.BDH($C$553,"GEO_GROW_OPER_INC","FQ2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560" s="2" t="e">
        <f ca="1">_xll.BDH($C$553,"NET_INCOME_TO_COMMON_5_YR_GROWTH","FQ2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560" s="2" t="e">
        <f ca="1">_xll.BDH($C$553,"5Y_GEO_GROWTH_DILUTED_EPS","FQ2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560" s="2" t="e">
        <f ca="1">_xll.BDH($C$553,"GEO_GROW_DVD_PER_SH","FQ2 2015","FQ2 2015","Currency=INR","Period=FQ","BEST_FPERIOD_OVERRIDE=FQ","FILING_STATUS=OR","EQY_CONSOLIDATED=Y","Sort=A","Dates=H","DateFormat=P","Fill=—","Direction=H","UseDPDF=Y")</f>
        <v>#NAME?</v>
      </c>
      <c r="AS560" s="2" t="e">
        <f ca="1">_xll.BDH($C$553,"ACCOUNTS_RECEIVABLE_5_YR_GROWTH","FQ2 2015","FQ2 2015","Currency=INR","Period=FQ","BEST_FPERIOD_OVERRIDE=FQ","FILING_STATUS=OR","EQY_CONSOLIDATED=Y","Sort=A","Dates=H","DateFormat=P","Fill=—","Direction=H","UseDPDF=Y")</f>
        <v>#NAME?</v>
      </c>
      <c r="AT560" s="2" t="e">
        <f ca="1">_xll.BDH($C$553,"INVENTORY_5_YEAR_GROWTH","FQ2 2015","FQ2 2015","Currency=INR","Period=FQ","BEST_FPERIOD_OVERRIDE=FQ","FILING_STATUS=OR","EQY_CONSOLIDATED=Y","Sort=A","Dates=H","DateFormat=P","Fill=—","Direction=H","UseDPDF=Y")</f>
        <v>#NAME?</v>
      </c>
      <c r="AU560" s="2" t="e">
        <f ca="1">_xll.BDH($C$553,"NET_FIXED_ASSETS_5_YEAR_GROWTH","FQ2 2015","FQ2 2015","Currency=INR","Period=FQ","BEST_FPERIOD_OVERRIDE=FQ","FILING_STATUS=OR","EQY_CONSOLIDATED=Y","Sort=A","Dates=H","DateFormat=P","Fill=—","Direction=H","UseDPDF=Y")</f>
        <v>#NAME?</v>
      </c>
      <c r="AV560" s="2" t="e">
        <f ca="1">_xll.BDH($C$553,"GEO_GROW_TOT_ASSET","FQ2 2015","FQ2 2015","Currency=INR","Period=FQ","BEST_FPERIOD_OVERRIDE=FQ","FILING_STATUS=OR","EQY_CONSOLIDATED=Y","Sort=A","Dates=H","DateFormat=P","Fill=—","Direction=H","UseDPDF=Y")</f>
        <v>#NAME?</v>
      </c>
      <c r="AW560" s="2" t="e">
        <f ca="1">_xll.BDH($C$553,"MODIFIED_WORKING_CPTL_5YR_GRWTH","FQ2 2015","FQ2 2015","Currency=INR","Period=FQ","BEST_FPERIOD_OVERRIDE=FQ","FILING_STATUS=OR","EQY_CONSOLIDATED=Y","Sort=A","Dates=H","DateFormat=P","Fill=—","Direction=H","UseDPDF=Y")</f>
        <v>#NAME?</v>
      </c>
      <c r="AX560" s="2" t="e">
        <f ca="1">_xll.BDH($C$553,"WORKING_CAPITAL_5_YEAR_GROWTH","FQ2 2015","FQ2 2015","Currency=INR","Period=FQ","BEST_FPERIOD_OVERRIDE=FQ","FILING_STATUS=OR","EQY_CONSOLIDATED=Y","Sort=A","Dates=H","DateFormat=P","Fill=—","Direction=H","UseDPDF=Y")</f>
        <v>#NAME?</v>
      </c>
      <c r="AY560" s="2" t="e">
        <f ca="1">_xll.BDH($C$553,"ACCOUNTS_PAYABLE_5_YEAR_GROWTH","FQ2 2015","FQ2 2015","Currency=INR","Period=FQ","BEST_FPERIOD_OVERRIDE=FQ","FILING_STATUS=OR","EQY_CONSOLIDATED=Y","Sort=A","Dates=H","DateFormat=P","Fill=—","Direction=H","UseDPDF=Y")</f>
        <v>#NAME?</v>
      </c>
      <c r="AZ560" s="2" t="e">
        <f ca="1">_xll.BDH($C$553,"SHORT_TERM_DEBT_5_YEAR_GROWTH","FQ2 2015","FQ2 2015","Currency=INR","Period=FQ","BEST_FPERIOD_OVERRIDE=FQ","FILING_STATUS=OR","EQY_CONSOLIDATED=Y","Sort=A","Dates=H","DateFormat=P","Fill=—","Direction=H","UseDPDF=Y")</f>
        <v>#NAME?</v>
      </c>
      <c r="BA560" s="2" t="e">
        <f ca="1">_xll.BDH($C$553,"TOTAL_DEBT_5_YEAR_GROWTH","FQ2 2015","FQ2 2015","Currency=INR","Period=FQ","BEST_FPERIOD_OVERRIDE=FQ","FILING_STATUS=OR","EQY_CONSOLIDATED=Y","Sort=A","Dates=H","DateFormat=P","Fill=—","Direction=H","UseDPDF=Y")</f>
        <v>#NAME?</v>
      </c>
      <c r="BB560" s="2" t="e">
        <f ca="1">_xll.BDH($C$553,"GEO_GROW_TOT_SHRHLDR_EQY","FQ2 2015","FQ2 2015","Currency=INR","Period=FQ","BEST_FPERIOD_OVERRIDE=FQ","FILING_STATUS=OR","EQY_CONSOLIDATED=Y","Sort=A","Dates=H","DateFormat=P","Fill=—","Direction=H","UseDPDF=Y")</f>
        <v>#NAME?</v>
      </c>
      <c r="BC560" s="2" t="e">
        <f ca="1">_xll.BDH($C$553,"TOTAL_CAPITAL_5_YEAR_GROWTH","FQ2 2015","FQ2 2015","Currency=INR","Period=FQ","BEST_FPERIOD_OVERRIDE=FQ","FILING_STATUS=OR","EQY_CONSOLIDATED=Y","Sort=A","Dates=H","DateFormat=P","Fill=—","Direction=H","UseDPDF=Y")</f>
        <v>#NAME?</v>
      </c>
      <c r="BD560" s="2" t="e">
        <f ca="1">_xll.BDH($C$553,"GEO_GROW_BOOK_VAL","FQ2 2015","FQ2 2015","Currency=INR","Period=FQ","BEST_FPERIOD_OVERRIDE=FQ","FILING_STATUS=OR","EQY_CONSOLIDATED=Y","Sort=A","Dates=H","DateFormat=P","Fill=—","Direction=H","UseDPDF=Y")</f>
        <v>#NAME?</v>
      </c>
      <c r="BE560" s="2" t="e">
        <f ca="1">_xll.BDH($C$553,"GEO_GROW_CASH_OPER_ACT","FQ2 2015","FQ2 2015","Currency=INR","Period=FQ","BEST_FPERIOD_OVERRIDE=FQ","FILING_STATUS=OR","EQY_CONSOLIDATED=Y","Sort=A","Dates=H","DateFormat=P","Fill=—","Direction=H","UseDPDF=Y")</f>
        <v>#NAME?</v>
      </c>
      <c r="BF560" s="2" t="e">
        <f ca="1">_xll.BDH($C$553,"REVENUE_SEQUENTIAL_GROWTH","FQ2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560" s="2" t="e">
        <f ca="1">_xll.BDH($C$553,"EBITDA_SEQUENTIAL_GROWTH","FQ2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560" s="2" t="e">
        <f ca="1">_xll.BDH($C$553,"OPERATING_INCOME_SEQ_GROWTH","FQ2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560" s="2" t="e">
        <f ca="1">_xll.BDH($C$553,"NET_INCOME_TO_COMMON_SEQ_GROWTH","FQ2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560" s="2" t="e">
        <f ca="1">_xll.BDH($C$553,"EPS_DILUTED_SEQUENTIAL_GROWTH","FQ2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560" s="2" t="e">
        <f ca="1">_xll.BDH($C$553,"DPS_SEQUENTIAL_GROWTH","FQ2 2015","FQ2 2015","Currency=INR","Period=FQ","BEST_FPERIOD_OVERRIDE=FQ","FILING_STATUS=OR","EQY_CONSOLIDATED=Y","Sort=A","Dates=H","DateFormat=P","Fill=—","Direction=H","UseDPDF=Y")</f>
        <v>#NAME?</v>
      </c>
      <c r="BL560" s="2" t="e">
        <f ca="1">_xll.BDH($C$553,"ACCOUNTS_RECEIVABLE_SEQ_GROWTH","FQ2 2015","FQ2 2015","Currency=INR","Period=FQ","BEST_FPERIOD_OVERRIDE=FQ","FILING_STATUS=OR","EQY_CONSOLIDATED=Y","Sort=A","Dates=H","DateFormat=P","Fill=—","Direction=H","UseDPDF=Y")</f>
        <v>#NAME?</v>
      </c>
      <c r="BM560" s="2" t="e">
        <f ca="1">_xll.BDH($C$553,"INVENTORY_SEQUENTIAL_GROWTH","FQ2 2015","FQ2 2015","Currency=INR","Period=FQ","BEST_FPERIOD_OVERRIDE=FQ","FILING_STATUS=OR","EQY_CONSOLIDATED=Y","Sort=A","Dates=H","DateFormat=P","Fill=—","Direction=H","UseDPDF=Y")</f>
        <v>#NAME?</v>
      </c>
      <c r="BN560" s="2" t="e">
        <f ca="1">_xll.BDH($C$553,"FIXED_ASSETS_SEQUENTIAL_GROWTH","FQ2 2015","FQ2 2015","Currency=INR","Period=FQ","BEST_FPERIOD_OVERRIDE=FQ","FILING_STATUS=OR","EQY_CONSOLIDATED=Y","Sort=A","Dates=H","DateFormat=P","Fill=—","Direction=H","UseDPDF=Y")</f>
        <v>#NAME?</v>
      </c>
      <c r="BO560" s="2" t="e">
        <f ca="1">_xll.BDH($C$553,"TOTAL_ASSETS_SEQUENTIAL_GROWTH","FQ2 2015","FQ2 2015","Currency=INR","Period=FQ","BEST_FPERIOD_OVERRIDE=FQ","FILING_STATUS=OR","EQY_CONSOLIDATED=Y","Sort=A","Dates=H","DateFormat=P","Fill=—","Direction=H","UseDPDF=Y")</f>
        <v>#NAME?</v>
      </c>
      <c r="BP560" s="2" t="e">
        <f ca="1">_xll.BDH($C$553,"MODIFIED_WORKING_CPTL_SEQ_GRWTH","FQ2 2015","FQ2 2015","Currency=INR","Period=FQ","BEST_FPERIOD_OVERRIDE=FQ","FILING_STATUS=OR","EQY_CONSOLIDATED=Y","Sort=A","Dates=H","DateFormat=P","Fill=—","Direction=H","UseDPDF=Y")</f>
        <v>#NAME?</v>
      </c>
      <c r="BQ560" s="2" t="e">
        <f ca="1">_xll.BDH($C$553,"WORKING_CAPITAL_SEQ_GROWTH","FQ2 2015","FQ2 2015","Currency=INR","Period=FQ","BEST_FPERIOD_OVERRIDE=FQ","FILING_STATUS=OR","EQY_CONSOLIDATED=Y","Sort=A","Dates=H","DateFormat=P","Fill=—","Direction=H","UseDPDF=Y")</f>
        <v>#NAME?</v>
      </c>
      <c r="BR560" s="2" t="e">
        <f ca="1">_xll.BDH($C$553,"ACCOUNTS_PAYABLE_SEQ_GROWTH","FQ2 2015","FQ2 2015","Currency=INR","Period=FQ","BEST_FPERIOD_OVERRIDE=FQ","FILING_STATUS=OR","EQY_CONSOLIDATED=Y","Sort=A","Dates=H","DateFormat=P","Fill=—","Direction=H","UseDPDF=Y")</f>
        <v>#NAME?</v>
      </c>
      <c r="BS560" s="2" t="e">
        <f ca="1">_xll.BDH($C$553,"ST_DEBT_SEQUENTIAL_GROWTH","FQ2 2015","FQ2 2015","Currency=INR","Period=FQ","BEST_FPERIOD_OVERRIDE=FQ","FILING_STATUS=OR","EQY_CONSOLIDATED=Y","Sort=A","Dates=H","DateFormat=P","Fill=—","Direction=H","UseDPDF=Y")</f>
        <v>#NAME?</v>
      </c>
      <c r="BT560" s="2" t="e">
        <f ca="1">_xll.BDH($C$553,"TOTAL_DEBT_SEQUENTIAL_GROWTH","FQ2 2015","FQ2 2015","Currency=INR","Period=FQ","BEST_FPERIOD_OVERRIDE=FQ","FILING_STATUS=OR","EQY_CONSOLIDATED=Y","Sort=A","Dates=H","DateFormat=P","Fill=—","Direction=H","UseDPDF=Y")</f>
        <v>#NAME?</v>
      </c>
      <c r="BU560" s="2" t="e">
        <f ca="1">_xll.BDH($C$553,"TOTAL_EQUITY_SEQUENTIAL_GROWTH","FQ2 2015","FQ2 2015","Currency=INR","Period=FQ","BEST_FPERIOD_OVERRIDE=FQ","FILING_STATUS=OR","EQY_CONSOLIDATED=Y","Sort=A","Dates=H","DateFormat=P","Fill=—","Direction=H","UseDPDF=Y")</f>
        <v>#NAME?</v>
      </c>
      <c r="BV560" s="2" t="e">
        <f ca="1">_xll.BDH($C$553,"TOTAL_CAPITAL_SEQUENTIAL_GROWTH","FQ2 2015","FQ2 2015","Currency=INR","Period=FQ","BEST_FPERIOD_OVERRIDE=FQ","FILING_STATUS=OR","EQY_CONSOLIDATED=Y","Sort=A","Dates=H","DateFormat=P","Fill=—","Direction=H","UseDPDF=Y")</f>
        <v>#NAME?</v>
      </c>
      <c r="BW560" s="2" t="e">
        <f ca="1">_xll.BDH($C$553,"BPS_SEQUENTIAL_GROWTH","FQ2 2015","FQ2 2015","Currency=INR","Period=FQ","BEST_FPERIOD_OVERRIDE=FQ","FILING_STATUS=OR","EQY_CONSOLIDATED=Y","Sort=A","Dates=H","DateFormat=P","Fill=—","Direction=H","UseDPDF=Y")</f>
        <v>#NAME?</v>
      </c>
      <c r="BX560" s="2" t="e">
        <f ca="1">_xll.BDH($C$553,"CFO_SEQUENTIAL_GROWTH","FQ2 2015","FQ2 2015","Currency=INR","Period=FQ","BEST_FPERIOD_OVERRIDE=FQ","FILING_STATUS=OR","EQY_CONSOLIDATED=Y","Sort=A","Dates=H","DateFormat=P","Fill=—","Direction=H","UseDPDF=Y")</f>
        <v>#NAME?</v>
      </c>
      <c r="BY560" s="3" t="e">
        <f ca="1">_xll.BDH($C$553,"SHORT_AND_LONG_TERM_DEBT","FQ2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560" s="3" t="e">
        <f ca="1">_xll.BDH($C$553,"BS_ST_BORROW","FQ2 2015","FQ2 2015","Currency=INR","Period=FQ","BEST_FPERIOD_OVERRIDE=FQ","FILING_STATUS=OR","EQY_CONSOLIDATED=Y","SCALING_FORMAT=MLN","Sort=A","Dates=H","DateFormat=P","Fill=—","Direction=H","UseDPDF=Y")</f>
        <v>#NAME?</v>
      </c>
      <c r="CA560" s="3" t="e">
        <f ca="1">_xll.BDH($C$553,"BS_LT_BORROW","FQ2 2015","FQ2 2015","Currency=INR","Period=FQ","BEST_FPERIOD_OVERRIDE=FQ","FILING_STATUS=OR","EQY_CONSOLIDATED=Y","SCALING_FORMAT=MLN","Sort=A","Dates=H","DateFormat=P","Fill=—","Direction=H","UseDPDF=Y")</f>
        <v>#NAME?</v>
      </c>
      <c r="CB560" s="2" t="e">
        <f ca="1">_xll.BDH($C$553,"TOT_DEBT_TO_EBITDA","FQ2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560" s="2" t="e">
        <f ca="1">_xll.BDH($C$553,"NET_DEBT_TO_EBITDA","FQ2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560" s="2" t="e">
        <f ca="1">_xll.BDH($C$553,"TOTAL_DEBT_TO_EBIT","FQ2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560" s="2" t="e">
        <f ca="1">_xll.BDH($C$553,"NET_DEBT_TO_EBIT","FQ2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560" s="2" t="e">
        <f ca="1">_xll.BDH($C$553,"EBITDA_TO_INTEREST_EXPN","FQ2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560" s="2" t="e">
        <f ca="1">_xll.BDH($C$553,"COM_EQY_TO_TOT_ASSET","FQ2 2015","FQ2 2015","Currency=INR","Period=FQ","BEST_FPERIOD_OVERRIDE=FQ","FILING_STATUS=OR","EQY_CONSOLIDATED=Y","Sort=A","Dates=H","DateFormat=P","Fill=—","Direction=H","UseDPDF=Y")</f>
        <v>#NAME?</v>
      </c>
      <c r="CH560" s="2" t="e">
        <f ca="1">_xll.BDH($C$553,"LT_DEBT_TO_TOT_EQY","FQ2 2015","FQ2 2015","Currency=INR","Period=FQ","BEST_FPERIOD_OVERRIDE=FQ","FILING_STATUS=OR","EQY_CONSOLIDATED=Y","Sort=A","Dates=H","DateFormat=P","Fill=—","Direction=H","UseDPDF=Y")</f>
        <v>#NAME?</v>
      </c>
      <c r="CI560" s="2" t="e">
        <f ca="1">_xll.BDH($C$553,"LT_DEBT_TO_TOT_CAP","FQ2 2015","FQ2 2015","Currency=INR","Period=FQ","BEST_FPERIOD_OVERRIDE=FQ","FILING_STATUS=OR","EQY_CONSOLIDATED=Y","Sort=A","Dates=H","DateFormat=P","Fill=—","Direction=H","UseDPDF=Y")</f>
        <v>#NAME?</v>
      </c>
      <c r="CJ560" s="2" t="e">
        <f ca="1">_xll.BDH($C$553,"LT_DEBT_TO_TOT_ASSET","FQ2 2015","FQ2 2015","Currency=INR","Period=FQ","BEST_FPERIOD_OVERRIDE=FQ","FILING_STATUS=OR","EQY_CONSOLIDATED=Y","Sort=A","Dates=H","DateFormat=P","Fill=—","Direction=H","UseDPDF=Y")</f>
        <v>#NAME?</v>
      </c>
      <c r="CK560" s="2" t="e">
        <f ca="1">_xll.BDH($C$553,"TOT_DEBT_TO_TOT_EQY","FQ2 2015","FQ2 2015","Currency=INR","Period=FQ","BEST_FPERIOD_OVERRIDE=FQ","FILING_STATUS=OR","EQY_CONSOLIDATED=Y","Sort=A","Dates=H","DateFormat=P","Fill=—","Direction=H","UseDPDF=Y")</f>
        <v>#NAME?</v>
      </c>
      <c r="CL560" s="2" t="e">
        <f ca="1">_xll.BDH($C$553,"TOT_DEBT_TO_TOT_CAP","FQ2 2015","FQ2 2015","Currency=INR","Period=FQ","BEST_FPERIOD_OVERRIDE=FQ","FILING_STATUS=OR","EQY_CONSOLIDATED=Y","Sort=A","Dates=H","DateFormat=P","Fill=—","Direction=H","UseDPDF=Y")</f>
        <v>#NAME?</v>
      </c>
      <c r="CM560" s="2" t="e">
        <f ca="1">_xll.BDH($C$553,"TOT_DEBT_TO_TOT_ASSET","FQ2 2015","FQ2 2015","Currency=INR","Period=FQ","BEST_FPERIOD_OVERRIDE=FQ","FILING_STATUS=OR","EQY_CONSOLIDATED=Y","Sort=A","Dates=H","DateFormat=P","Fill=—","Direction=H","UseDPDF=Y")</f>
        <v>#NAME?</v>
      </c>
      <c r="CN560" s="2" t="e">
        <f ca="1">_xll.BDH($C$553,"NET_DEBT_TO_SHRHLDR_EQTY","FQ2 2015","FQ2 2015","Currency=INR","Period=FQ","BEST_FPERIOD_OVERRIDE=FQ","FILING_STATUS=OR","EQY_CONSOLIDATED=Y","Sort=A","Dates=H","DateFormat=P","Fill=—","Direction=H","UseDPDF=Y")</f>
        <v>#NAME?</v>
      </c>
      <c r="CO560" s="2" t="e">
        <f ca="1">_xll.BDH($C$553,"NET_DEBT_%_CAPITAL","FQ2 2015","FQ2 2015","Currency=INR","Period=FQ","BEST_FPERIOD_OVERRIDE=FQ","FILING_STATUS=OR","EQY_CONSOLIDATED=Y","Sort=A","Dates=H","DateFormat=P","Fill=—","Direction=H","UseDPDF=Y")</f>
        <v>#NAME?</v>
      </c>
      <c r="CP560" s="3" t="e">
        <f ca="1">_xll.BDH($C$553,"EBITDA","FQ2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560" s="3" t="e">
        <f ca="1">_xll.BDH($C$553,"EBITDA_AFTER_CAPEX","FQ2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560" s="3" t="e">
        <f ca="1">_xll.BDH($C$553,"IS_OPER_INC","FQ2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560" s="2" t="e">
        <f ca="1">_xll.BDH($C$553,"CASH_RATIO","FQ2 2015","FQ2 2015","Currency=INR","Period=FQ","BEST_FPERIOD_OVERRIDE=FQ","FILING_STATUS=OR","EQY_CONSOLIDATED=Y","Sort=A","Dates=H","DateFormat=P","Fill=—","Direction=H","UseDPDF=Y")</f>
        <v>#NAME?</v>
      </c>
      <c r="CT560" s="2" t="e">
        <f ca="1">_xll.BDH($C$553,"CUR_RATIO","FQ2 2015","FQ2 2015","Currency=INR","Period=FQ","BEST_FPERIOD_OVERRIDE=FQ","FILING_STATUS=OR","EQY_CONSOLIDATED=Y","Sort=A","Dates=H","DateFormat=P","Fill=—","Direction=H","UseDPDF=Y")</f>
        <v>#NAME?</v>
      </c>
      <c r="CU560" s="2" t="e">
        <f ca="1">_xll.BDH($C$553,"QUICK_RATIO","FQ2 2015","FQ2 2015","Currency=INR","Period=FQ","BEST_FPERIOD_OVERRIDE=FQ","FILING_STATUS=OR","EQY_CONSOLIDATED=Y","Sort=A","Dates=H","DateFormat=P","Fill=—","Direction=H","UseDPDF=Y")</f>
        <v>#NAME?</v>
      </c>
      <c r="CV560" s="2" t="e">
        <f ca="1">_xll.BDH($C$553,"ALTMAN_Z_SCORE","FQ2 2015","FQ2 2015","Currency=INR","Period=FQ","BEST_FPERIOD_OVERRIDE=FQ","FILING_STATUS=OR","EQY_CONSOLIDATED=Y","Sort=A","Dates=H","DateFormat=P","Fill=—","Direction=H","UseDPDF=Y")</f>
        <v>#NAME?</v>
      </c>
      <c r="CW560" s="4" t="e">
        <f ca="1">_xll.BDH($C$553,"ACCT_RCV_TURN","FQ2 2015","FQ2 2015","Currency=INR","Period=FQ","BEST_FPERIOD_OVERRIDE=FQ","FILING_STATUS=OR","EQY_CONSOLIDATED=Y","FA_ADJUSTED=GAAP","Sort=A","Dates=H","DateFormat=P","Fill=—","Direction=H","UseDPDF=Y")</f>
        <v>#NAME?</v>
      </c>
      <c r="CX560" s="2" t="e">
        <f ca="1">_xll.BDH($C$553,"ACCT_RCV_DAYS","FQ2 2015","FQ2 2015","Currency=INR","Period=FQ","BEST_FPERIOD_OVERRIDE=FQ","FILING_STATUS=OR","EQY_CONSOLIDATED=Y","FA_ADJUSTED=GAAP","Sort=A","Dates=H","DateFormat=P","Fill=—","Direction=H","UseDPDF=Y")</f>
        <v>#NAME?</v>
      </c>
      <c r="CY560" s="4" t="e">
        <f ca="1">_xll.BDH($C$553,"INVENT_TURN","FQ2 2015","FQ2 2015","Currency=INR","Period=FQ","BEST_FPERIOD_OVERRIDE=FQ","FILING_STATUS=OR","EQY_CONSOLIDATED=Y","FA_ADJUSTED=GAAP","Sort=A","Dates=H","DateFormat=P","Fill=—","Direction=H","UseDPDF=Y")</f>
        <v>#NAME?</v>
      </c>
      <c r="CZ560" s="2" t="e">
        <f ca="1">_xll.BDH($C$553,"INVENT_DAYS","FQ2 2015","FQ2 2015","Currency=INR","Period=FQ","BEST_FPERIOD_OVERRIDE=FQ","FILING_STATUS=OR","EQY_CONSOLIDATED=Y","FA_ADJUSTED=GAAP","Sort=A","Dates=H","DateFormat=P","Fill=—","Direction=H","UseDPDF=Y")</f>
        <v>#NAME?</v>
      </c>
      <c r="DA560" s="4" t="e">
        <f ca="1">_xll.BDH($C$553,"ACCOUNTS_PAYABLE_TURNOVER","FQ2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560" s="2" t="e">
        <f ca="1">_xll.BDH($C$553,"ACCOUNTS_PAYABLE_TURNOVER_DAYS","FQ2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560" s="4" t="e">
        <f ca="1">_xll.BDH($C$553,"CASH_CONVERSION_CYCLE","FQ2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560" s="4" t="e">
        <f ca="1">_xll.BDH($C$553,"INV_TO_CASH_DAYS","FQ2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560" s="5" t="e">
        <f ca="1">_xll.BDH($C$553,"BS_INVENTORIES","FQ2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560" s="3" t="e">
        <f ca="1">_xll.BDH($C$553,"INVTRY_RAW_MATERIALS","FQ2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560" s="3" t="e">
        <f ca="1">_xll.BDH($C$553,"INVTRY_IN_PROGRESS","FQ2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560" s="3" t="e">
        <f ca="1">_xll.BDH($C$553,"INVTRY_FINISHED_GOODS","FQ2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560" s="3" t="e">
        <f ca="1">_xll.BDH($C$553,"BS_OTHER_INV","FQ2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561" spans="1:113" x14ac:dyDescent="0.3">
      <c r="A561" s="6"/>
      <c r="B561" s="6"/>
      <c r="C561" s="6"/>
      <c r="D561" s="6"/>
      <c r="E561" t="s">
        <v>80</v>
      </c>
      <c r="F561" t="e">
        <f ca="1">_xll.BDH($C$553,"RETURN_COM_EQY","FQ3 2015","FQ3 2015","Currency=INR","Period=FQ","BEST_FPERIOD_OVERRIDE=FQ","FILING_STATUS=OR","EQY_CONSOLIDATED=Y","FA_ADJUSTED=GAAP","Sort=A","Dates=H","DateFormat=P","Fill=—","Direction=H","UseDPDF=Y")</f>
        <v>#NAME?</v>
      </c>
      <c r="G561" t="e">
        <f ca="1">_xll.BDH($C$553,"RETURN_ON_ASSET","FQ3 2015","FQ3 2015","Currency=INR","Period=FQ","BEST_FPERIOD_OVERRIDE=FQ","FILING_STATUS=OR","EQY_CONSOLIDATED=Y","FA_ADJUSTED=GAAP","Sort=A","Dates=H","DateFormat=P","Fill=—","Direction=H","UseDPDF=Y")</f>
        <v>#NAME?</v>
      </c>
      <c r="H561" t="e">
        <f ca="1">_xll.BDH($C$553,"RETURN_ON_CAP","FQ3 2015","FQ3 2015","Currency=INR","Period=FQ","BEST_FPERIOD_OVERRIDE=FQ","FILING_STATUS=OR","EQY_CONSOLIDATED=Y","FA_ADJUSTED=GAAP","Sort=A","Dates=H","DateFormat=P","Fill=—","Direction=H","UseDPDF=Y")</f>
        <v>#NAME?</v>
      </c>
      <c r="I561" t="e">
        <f ca="1">_xll.BDH($C$553,"RETURN_ON_INV_CAPITAL","FQ3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561" t="e">
        <f ca="1">_xll.BDH($C$553,"EBITDA_TO_REVENUE","FQ3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561" t="e">
        <f ca="1">_xll.BDH($C$553,"OPER_MARGIN","FQ3 2015","FQ3 2015","Currency=INR","Period=FQ","BEST_FPERIOD_OVERRIDE=FQ","FILING_STATUS=OR","EQY_CONSOLIDATED=Y","FA_ADJUSTED=GAAP","Sort=A","Dates=H","DateFormat=P","Fill=—","Direction=H","UseDPDF=Y")</f>
        <v>#NAME?</v>
      </c>
      <c r="L561" t="e">
        <f ca="1">_xll.BDH($C$553,"INCREMENTAL_OPERATING_MARGIN","FQ3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561" t="e">
        <f ca="1">_xll.BDH($C$553,"PRETAX_INC_TO_NET_SALES","FQ3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561" t="e">
        <f ca="1">_xll.BDH($C$553,"INC_BEF_XO_ITEMS_TO_NET_SALES","FQ3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561" t="e">
        <f ca="1">_xll.BDH($C$553,"PROF_MARGIN","FQ3 2015","FQ3 2015","Currency=INR","Period=FQ","BEST_FPERIOD_OVERRIDE=FQ","FILING_STATUS=OR","EQY_CONSOLIDATED=Y","FA_ADJUSTED=GAAP","Sort=A","Dates=H","DateFormat=P","Fill=—","Direction=H","UseDPDF=Y")</f>
        <v>#NAME?</v>
      </c>
      <c r="P561" t="e">
        <f ca="1">_xll.BDH($C$553,"NET_INCOME_TO_COMMON_MARGIN","FQ3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561" t="e">
        <f ca="1">_xll.BDH($C$553,"EFF_TAX_RATE","FQ3 2015","FQ3 2015","Currency=INR","Period=FQ","BEST_FPERIOD_OVERRIDE=FQ","FILING_STATUS=OR","EQY_CONSOLIDATED=Y","FA_ADJUSTED=GAAP","Sort=A","Dates=H","DateFormat=P","Fill=—","Direction=H","UseDPDF=Y")</f>
        <v>#NAME?</v>
      </c>
      <c r="R561" t="e">
        <f ca="1">_xll.BDH($C$553,"DVD_PAYOUT_RATIO","FQ3 2015","FQ3 2015","Currency=INR","Period=FQ","BEST_FPERIOD_OVERRIDE=FQ","FILING_STATUS=OR","EQY_CONSOLIDATED=Y","FA_ADJUSTED=GAAP","Sort=A","Dates=H","DateFormat=P","Fill=—","Direction=H","UseDPDF=Y")</f>
        <v>#NAME?</v>
      </c>
      <c r="S561" t="e">
        <f ca="1">_xll.BDH($C$553,"SUSTAIN_GROWTH_RT","FQ3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561" s="2" t="e">
        <f ca="1">_xll.BDH($C$553,"SALES_GROWTH","FQ3 2015","FQ3 2015","Currency=INR","Period=FQ","BEST_FPERIOD_OVERRIDE=FQ","FILING_STATUS=OR","EQY_CONSOLIDATED=Y","FA_ADJUSTED=GAAP","Sort=A","Dates=H","DateFormat=P","Fill=—","Direction=H","UseDPDF=Y")</f>
        <v>#NAME?</v>
      </c>
      <c r="U561" s="2" t="e">
        <f ca="1">_xll.BDH($C$553,"EBITDA_GROWTH","FQ3 2015","FQ3 2015","Currency=INR","Period=FQ","BEST_FPERIOD_OVERRIDE=FQ","FILING_STATUS=OR","EQY_CONSOLIDATED=Y","FA_ADJUSTED=GAAP","Sort=A","Dates=H","DateFormat=P","Fill=—","Direction=H","UseDPDF=Y")</f>
        <v>#NAME?</v>
      </c>
      <c r="V561" s="2" t="e">
        <f ca="1">_xll.BDH($C$553,"OPER_INC_GROWTH","FQ3 2015","FQ3 2015","Currency=INR","Period=FQ","BEST_FPERIOD_OVERRIDE=FQ","FILING_STATUS=OR","EQY_CONSOLIDATED=Y","FA_ADJUSTED=GAAP","Sort=A","Dates=H","DateFormat=P","Fill=—","Direction=H","UseDPDF=Y")</f>
        <v>#NAME?</v>
      </c>
      <c r="W561" s="2" t="e">
        <f ca="1">_xll.BDH($C$553,"EARN_FOR_COM_GROWTH","FQ3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561" s="2" t="e">
        <f ca="1">_xll.BDH($C$553,"DILUTED_EPS_AFT_XO_ITEMS_GROWTH","FQ3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561" s="2" t="e">
        <f ca="1">_xll.BDH($C$553,"DIVIDEND_PER_SHARE_1_YEAR_GROWTH","FQ3 2015","FQ3 2015","Currency=INR","Period=FQ","BEST_FPERIOD_OVERRIDE=FQ","FILING_STATUS=OR","EQY_CONSOLIDATED=Y","Sort=A","Dates=H","DateFormat=P","Fill=—","Direction=H","UseDPDF=Y")</f>
        <v>#NAME?</v>
      </c>
      <c r="Z561" s="2" t="e">
        <f ca="1">_xll.BDH($C$553,"ACCOUNTS_RECEIVABLE_GROWTH","FQ3 2015","FQ3 2015","Currency=INR","Period=FQ","BEST_FPERIOD_OVERRIDE=FQ","FILING_STATUS=OR","EQY_CONSOLIDATED=Y","Sort=A","Dates=H","DateFormat=P","Fill=—","Direction=H","UseDPDF=Y")</f>
        <v>#NAME?</v>
      </c>
      <c r="AA561" s="2" t="e">
        <f ca="1">_xll.BDH($C$553,"INVENTORY_GROWTH","FQ3 2015","FQ3 2015","Currency=INR","Period=FQ","BEST_FPERIOD_OVERRIDE=FQ","FILING_STATUS=OR","EQY_CONSOLIDATED=Y","Sort=A","Dates=H","DateFormat=P","Fill=—","Direction=H","UseDPDF=Y")</f>
        <v>#NAME?</v>
      </c>
      <c r="AB561" s="2" t="e">
        <f ca="1">_xll.BDH($C$553,"NET_FIXED_ASSETS_1_YEAR_GROWTH","FQ3 2015","FQ3 2015","Currency=INR","Period=FQ","BEST_FPERIOD_OVERRIDE=FQ","FILING_STATUS=OR","EQY_CONSOLIDATED=Y","Sort=A","Dates=H","DateFormat=P","Fill=—","Direction=H","UseDPDF=Y")</f>
        <v>#NAME?</v>
      </c>
      <c r="AC561" s="2" t="e">
        <f ca="1">_xll.BDH($C$553,"ASSET_GROWTH","FQ3 2015","FQ3 2015","Currency=INR","Period=FQ","BEST_FPERIOD_OVERRIDE=FQ","FILING_STATUS=OR","EQY_CONSOLIDATED=Y","Sort=A","Dates=H","DateFormat=P","Fill=—","Direction=H","UseDPDF=Y")</f>
        <v>#NAME?</v>
      </c>
      <c r="AD561" s="2" t="e">
        <f ca="1">_xll.BDH($C$553,"MODIFIED_WORK_CAP_GROWTH","FQ3 2015","FQ3 2015","Currency=INR","Period=FQ","BEST_FPERIOD_OVERRIDE=FQ","FILING_STATUS=OR","EQY_CONSOLIDATED=Y","Sort=A","Dates=H","DateFormat=P","Fill=—","Direction=H","UseDPDF=Y")</f>
        <v>#NAME?</v>
      </c>
      <c r="AE561" s="2" t="e">
        <f ca="1">_xll.BDH($C$553,"WORK_CAP_GROWTH","FQ3 2015","FQ3 2015","Currency=INR","Period=FQ","BEST_FPERIOD_OVERRIDE=FQ","FILING_STATUS=OR","EQY_CONSOLIDATED=Y","Sort=A","Dates=H","DateFormat=P","Fill=—","Direction=H","UseDPDF=Y")</f>
        <v>#NAME?</v>
      </c>
      <c r="AF561" s="2" t="e">
        <f ca="1">_xll.BDH($C$553,"ACCOUNTS_PAYABLE_GROWTH_1YR","FQ3 2015","FQ3 2015","Currency=INR","Period=FQ","BEST_FPERIOD_OVERRIDE=FQ","FILING_STATUS=OR","EQY_CONSOLIDATED=Y","Sort=A","Dates=H","DateFormat=P","Fill=—","Direction=H","UseDPDF=Y")</f>
        <v>#NAME?</v>
      </c>
      <c r="AG561" s="2" t="e">
        <f ca="1">_xll.BDH($C$553,"SHORT_TERM_DEBT_1_YEAR_GROWTH","FQ3 2015","FQ3 2015","Currency=INR","Period=FQ","BEST_FPERIOD_OVERRIDE=FQ","FILING_STATUS=OR","EQY_CONSOLIDATED=Y","Sort=A","Dates=H","DateFormat=P","Fill=—","Direction=H","UseDPDF=Y")</f>
        <v>#NAME?</v>
      </c>
      <c r="AH561" s="2" t="e">
        <f ca="1">_xll.BDH($C$553,"TOTAL_DEBT_1_YEAR_GROWTH","FQ3 2015","FQ3 2015","Currency=INR","Period=FQ","BEST_FPERIOD_OVERRIDE=FQ","FILING_STATUS=OR","EQY_CONSOLIDATED=Y","Sort=A","Dates=H","DateFormat=P","Fill=—","Direction=H","UseDPDF=Y")</f>
        <v>#NAME?</v>
      </c>
      <c r="AI561" s="2" t="e">
        <f ca="1">_xll.BDH($C$553,"TOTAL_EQUITY_1_YEAR_GROWTH","FQ3 2015","FQ3 2015","Currency=INR","Period=FQ","BEST_FPERIOD_OVERRIDE=FQ","FILING_STATUS=OR","EQY_CONSOLIDATED=Y","Sort=A","Dates=H","DateFormat=P","Fill=—","Direction=H","UseDPDF=Y")</f>
        <v>#NAME?</v>
      </c>
      <c r="AJ561" s="2" t="e">
        <f ca="1">_xll.BDH($C$553,"GROWTH_IN_CAP","FQ3 2015","FQ3 2015","Currency=INR","Period=FQ","BEST_FPERIOD_OVERRIDE=FQ","FILING_STATUS=OR","EQY_CONSOLIDATED=Y","Sort=A","Dates=H","DateFormat=P","Fill=—","Direction=H","UseDPDF=Y")</f>
        <v>#NAME?</v>
      </c>
      <c r="AK561" s="2" t="e">
        <f ca="1">_xll.BDH($C$553,"BVPS_GROWTH","FQ3 2015","FQ3 2015","Currency=INR","Period=FQ","BEST_FPERIOD_OVERRIDE=FQ","FILING_STATUS=OR","EQY_CONSOLIDATED=Y","Sort=A","Dates=H","DateFormat=P","Fill=—","Direction=H","UseDPDF=Y")</f>
        <v>#NAME?</v>
      </c>
      <c r="AL561" s="2" t="e">
        <f ca="1">_xll.BDH($C$553,"CASH_FLOW_GROWTH","FQ3 2015","FQ3 2015","Currency=INR","Period=FQ","BEST_FPERIOD_OVERRIDE=FQ","FILING_STATUS=OR","EQY_CONSOLIDATED=Y","Sort=A","Dates=H","DateFormat=P","Fill=—","Direction=H","UseDPDF=Y")</f>
        <v>#NAME?</v>
      </c>
      <c r="AM561" s="2" t="e">
        <f ca="1">_xll.BDH($C$553,"GEO_GROW_NET_SALES","FQ3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561" s="2" t="e">
        <f ca="1">_xll.BDH($C$553,"GEO_GROW_EBITDA","FQ3 2015","FQ3 2015","Currency=INR","Period=FQ","BEST_FPERIOD_OVERRIDE=FQ","FILING_STATUS=OR","EQY_CONSOLIDATED=Y","FA_ADJUSTED=GAAP","Sort=A","Dates=H","DateFormat=P","Fill=—","Direction=H","UseDPDF=Y")</f>
        <v>#NAME?</v>
      </c>
      <c r="AO561" s="2" t="e">
        <f ca="1">_xll.BDH($C$553,"GEO_GROW_OPER_INC","FQ3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561" s="2" t="e">
        <f ca="1">_xll.BDH($C$553,"NET_INCOME_TO_COMMON_5_YR_GROWTH","FQ3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561" s="2" t="e">
        <f ca="1">_xll.BDH($C$553,"5Y_GEO_GROWTH_DILUTED_EPS","FQ3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561" s="2" t="e">
        <f ca="1">_xll.BDH($C$553,"GEO_GROW_DVD_PER_SH","FQ3 2015","FQ3 2015","Currency=INR","Period=FQ","BEST_FPERIOD_OVERRIDE=FQ","FILING_STATUS=OR","EQY_CONSOLIDATED=Y","Sort=A","Dates=H","DateFormat=P","Fill=—","Direction=H","UseDPDF=Y")</f>
        <v>#NAME?</v>
      </c>
      <c r="AS561" s="2" t="e">
        <f ca="1">_xll.BDH($C$553,"ACCOUNTS_RECEIVABLE_5_YR_GROWTH","FQ3 2015","FQ3 2015","Currency=INR","Period=FQ","BEST_FPERIOD_OVERRIDE=FQ","FILING_STATUS=OR","EQY_CONSOLIDATED=Y","Sort=A","Dates=H","DateFormat=P","Fill=—","Direction=H","UseDPDF=Y")</f>
        <v>#NAME?</v>
      </c>
      <c r="AT561" s="2" t="e">
        <f ca="1">_xll.BDH($C$553,"INVENTORY_5_YEAR_GROWTH","FQ3 2015","FQ3 2015","Currency=INR","Period=FQ","BEST_FPERIOD_OVERRIDE=FQ","FILING_STATUS=OR","EQY_CONSOLIDATED=Y","Sort=A","Dates=H","DateFormat=P","Fill=—","Direction=H","UseDPDF=Y")</f>
        <v>#NAME?</v>
      </c>
      <c r="AU561" s="2" t="e">
        <f ca="1">_xll.BDH($C$553,"NET_FIXED_ASSETS_5_YEAR_GROWTH","FQ3 2015","FQ3 2015","Currency=INR","Period=FQ","BEST_FPERIOD_OVERRIDE=FQ","FILING_STATUS=OR","EQY_CONSOLIDATED=Y","Sort=A","Dates=H","DateFormat=P","Fill=—","Direction=H","UseDPDF=Y")</f>
        <v>#NAME?</v>
      </c>
      <c r="AV561" s="2" t="e">
        <f ca="1">_xll.BDH($C$553,"GEO_GROW_TOT_ASSET","FQ3 2015","FQ3 2015","Currency=INR","Period=FQ","BEST_FPERIOD_OVERRIDE=FQ","FILING_STATUS=OR","EQY_CONSOLIDATED=Y","Sort=A","Dates=H","DateFormat=P","Fill=—","Direction=H","UseDPDF=Y")</f>
        <v>#NAME?</v>
      </c>
      <c r="AW561" s="2" t="e">
        <f ca="1">_xll.BDH($C$553,"MODIFIED_WORKING_CPTL_5YR_GRWTH","FQ3 2015","FQ3 2015","Currency=INR","Period=FQ","BEST_FPERIOD_OVERRIDE=FQ","FILING_STATUS=OR","EQY_CONSOLIDATED=Y","Sort=A","Dates=H","DateFormat=P","Fill=—","Direction=H","UseDPDF=Y")</f>
        <v>#NAME?</v>
      </c>
      <c r="AX561" s="2" t="e">
        <f ca="1">_xll.BDH($C$553,"WORKING_CAPITAL_5_YEAR_GROWTH","FQ3 2015","FQ3 2015","Currency=INR","Period=FQ","BEST_FPERIOD_OVERRIDE=FQ","FILING_STATUS=OR","EQY_CONSOLIDATED=Y","Sort=A","Dates=H","DateFormat=P","Fill=—","Direction=H","UseDPDF=Y")</f>
        <v>#NAME?</v>
      </c>
      <c r="AY561" s="2" t="e">
        <f ca="1">_xll.BDH($C$553,"ACCOUNTS_PAYABLE_5_YEAR_GROWTH","FQ3 2015","FQ3 2015","Currency=INR","Period=FQ","BEST_FPERIOD_OVERRIDE=FQ","FILING_STATUS=OR","EQY_CONSOLIDATED=Y","Sort=A","Dates=H","DateFormat=P","Fill=—","Direction=H","UseDPDF=Y")</f>
        <v>#NAME?</v>
      </c>
      <c r="AZ561" s="2" t="e">
        <f ca="1">_xll.BDH($C$553,"SHORT_TERM_DEBT_5_YEAR_GROWTH","FQ3 2015","FQ3 2015","Currency=INR","Period=FQ","BEST_FPERIOD_OVERRIDE=FQ","FILING_STATUS=OR","EQY_CONSOLIDATED=Y","Sort=A","Dates=H","DateFormat=P","Fill=—","Direction=H","UseDPDF=Y")</f>
        <v>#NAME?</v>
      </c>
      <c r="BA561" s="2" t="e">
        <f ca="1">_xll.BDH($C$553,"TOTAL_DEBT_5_YEAR_GROWTH","FQ3 2015","FQ3 2015","Currency=INR","Period=FQ","BEST_FPERIOD_OVERRIDE=FQ","FILING_STATUS=OR","EQY_CONSOLIDATED=Y","Sort=A","Dates=H","DateFormat=P","Fill=—","Direction=H","UseDPDF=Y")</f>
        <v>#NAME?</v>
      </c>
      <c r="BB561" s="2" t="e">
        <f ca="1">_xll.BDH($C$553,"GEO_GROW_TOT_SHRHLDR_EQY","FQ3 2015","FQ3 2015","Currency=INR","Period=FQ","BEST_FPERIOD_OVERRIDE=FQ","FILING_STATUS=OR","EQY_CONSOLIDATED=Y","Sort=A","Dates=H","DateFormat=P","Fill=—","Direction=H","UseDPDF=Y")</f>
        <v>#NAME?</v>
      </c>
      <c r="BC561" s="2" t="e">
        <f ca="1">_xll.BDH($C$553,"TOTAL_CAPITAL_5_YEAR_GROWTH","FQ3 2015","FQ3 2015","Currency=INR","Period=FQ","BEST_FPERIOD_OVERRIDE=FQ","FILING_STATUS=OR","EQY_CONSOLIDATED=Y","Sort=A","Dates=H","DateFormat=P","Fill=—","Direction=H","UseDPDF=Y")</f>
        <v>#NAME?</v>
      </c>
      <c r="BD561" s="2" t="e">
        <f ca="1">_xll.BDH($C$553,"GEO_GROW_BOOK_VAL","FQ3 2015","FQ3 2015","Currency=INR","Period=FQ","BEST_FPERIOD_OVERRIDE=FQ","FILING_STATUS=OR","EQY_CONSOLIDATED=Y","Sort=A","Dates=H","DateFormat=P","Fill=—","Direction=H","UseDPDF=Y")</f>
        <v>#NAME?</v>
      </c>
      <c r="BE561" s="2" t="e">
        <f ca="1">_xll.BDH($C$553,"GEO_GROW_CASH_OPER_ACT","FQ3 2015","FQ3 2015","Currency=INR","Period=FQ","BEST_FPERIOD_OVERRIDE=FQ","FILING_STATUS=OR","EQY_CONSOLIDATED=Y","Sort=A","Dates=H","DateFormat=P","Fill=—","Direction=H","UseDPDF=Y")</f>
        <v>#NAME?</v>
      </c>
      <c r="BF561" s="2" t="e">
        <f ca="1">_xll.BDH($C$553,"REVENUE_SEQUENTIAL_GROWTH","FQ3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561" s="2" t="e">
        <f ca="1">_xll.BDH($C$553,"EBITDA_SEQUENTIAL_GROWTH","FQ3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561" s="2" t="e">
        <f ca="1">_xll.BDH($C$553,"OPERATING_INCOME_SEQ_GROWTH","FQ3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561" s="2" t="e">
        <f ca="1">_xll.BDH($C$553,"NET_INCOME_TO_COMMON_SEQ_GROWTH","FQ3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561" s="2" t="e">
        <f ca="1">_xll.BDH($C$553,"EPS_DILUTED_SEQUENTIAL_GROWTH","FQ3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561" s="2" t="e">
        <f ca="1">_xll.BDH($C$553,"DPS_SEQUENTIAL_GROWTH","FQ3 2015","FQ3 2015","Currency=INR","Period=FQ","BEST_FPERIOD_OVERRIDE=FQ","FILING_STATUS=OR","EQY_CONSOLIDATED=Y","Sort=A","Dates=H","DateFormat=P","Fill=—","Direction=H","UseDPDF=Y")</f>
        <v>#NAME?</v>
      </c>
      <c r="BL561" s="2" t="e">
        <f ca="1">_xll.BDH($C$553,"ACCOUNTS_RECEIVABLE_SEQ_GROWTH","FQ3 2015","FQ3 2015","Currency=INR","Period=FQ","BEST_FPERIOD_OVERRIDE=FQ","FILING_STATUS=OR","EQY_CONSOLIDATED=Y","Sort=A","Dates=H","DateFormat=P","Fill=—","Direction=H","UseDPDF=Y")</f>
        <v>#NAME?</v>
      </c>
      <c r="BM561" s="2" t="e">
        <f ca="1">_xll.BDH($C$553,"INVENTORY_SEQUENTIAL_GROWTH","FQ3 2015","FQ3 2015","Currency=INR","Period=FQ","BEST_FPERIOD_OVERRIDE=FQ","FILING_STATUS=OR","EQY_CONSOLIDATED=Y","Sort=A","Dates=H","DateFormat=P","Fill=—","Direction=H","UseDPDF=Y")</f>
        <v>#NAME?</v>
      </c>
      <c r="BN561" s="2" t="e">
        <f ca="1">_xll.BDH($C$553,"FIXED_ASSETS_SEQUENTIAL_GROWTH","FQ3 2015","FQ3 2015","Currency=INR","Period=FQ","BEST_FPERIOD_OVERRIDE=FQ","FILING_STATUS=OR","EQY_CONSOLIDATED=Y","Sort=A","Dates=H","DateFormat=P","Fill=—","Direction=H","UseDPDF=Y")</f>
        <v>#NAME?</v>
      </c>
      <c r="BO561" s="2" t="e">
        <f ca="1">_xll.BDH($C$553,"TOTAL_ASSETS_SEQUENTIAL_GROWTH","FQ3 2015","FQ3 2015","Currency=INR","Period=FQ","BEST_FPERIOD_OVERRIDE=FQ","FILING_STATUS=OR","EQY_CONSOLIDATED=Y","Sort=A","Dates=H","DateFormat=P","Fill=—","Direction=H","UseDPDF=Y")</f>
        <v>#NAME?</v>
      </c>
      <c r="BP561" s="2" t="e">
        <f ca="1">_xll.BDH($C$553,"MODIFIED_WORKING_CPTL_SEQ_GRWTH","FQ3 2015","FQ3 2015","Currency=INR","Period=FQ","BEST_FPERIOD_OVERRIDE=FQ","FILING_STATUS=OR","EQY_CONSOLIDATED=Y","Sort=A","Dates=H","DateFormat=P","Fill=—","Direction=H","UseDPDF=Y")</f>
        <v>#NAME?</v>
      </c>
      <c r="BQ561" s="2" t="e">
        <f ca="1">_xll.BDH($C$553,"WORKING_CAPITAL_SEQ_GROWTH","FQ3 2015","FQ3 2015","Currency=INR","Period=FQ","BEST_FPERIOD_OVERRIDE=FQ","FILING_STATUS=OR","EQY_CONSOLIDATED=Y","Sort=A","Dates=H","DateFormat=P","Fill=—","Direction=H","UseDPDF=Y")</f>
        <v>#NAME?</v>
      </c>
      <c r="BR561" s="2" t="e">
        <f ca="1">_xll.BDH($C$553,"ACCOUNTS_PAYABLE_SEQ_GROWTH","FQ3 2015","FQ3 2015","Currency=INR","Period=FQ","BEST_FPERIOD_OVERRIDE=FQ","FILING_STATUS=OR","EQY_CONSOLIDATED=Y","Sort=A","Dates=H","DateFormat=P","Fill=—","Direction=H","UseDPDF=Y")</f>
        <v>#NAME?</v>
      </c>
      <c r="BS561" s="2" t="e">
        <f ca="1">_xll.BDH($C$553,"ST_DEBT_SEQUENTIAL_GROWTH","FQ3 2015","FQ3 2015","Currency=INR","Period=FQ","BEST_FPERIOD_OVERRIDE=FQ","FILING_STATUS=OR","EQY_CONSOLIDATED=Y","Sort=A","Dates=H","DateFormat=P","Fill=—","Direction=H","UseDPDF=Y")</f>
        <v>#NAME?</v>
      </c>
      <c r="BT561" s="2" t="e">
        <f ca="1">_xll.BDH($C$553,"TOTAL_DEBT_SEQUENTIAL_GROWTH","FQ3 2015","FQ3 2015","Currency=INR","Period=FQ","BEST_FPERIOD_OVERRIDE=FQ","FILING_STATUS=OR","EQY_CONSOLIDATED=Y","Sort=A","Dates=H","DateFormat=P","Fill=—","Direction=H","UseDPDF=Y")</f>
        <v>#NAME?</v>
      </c>
      <c r="BU561" s="2" t="e">
        <f ca="1">_xll.BDH($C$553,"TOTAL_EQUITY_SEQUENTIAL_GROWTH","FQ3 2015","FQ3 2015","Currency=INR","Period=FQ","BEST_FPERIOD_OVERRIDE=FQ","FILING_STATUS=OR","EQY_CONSOLIDATED=Y","Sort=A","Dates=H","DateFormat=P","Fill=—","Direction=H","UseDPDF=Y")</f>
        <v>#NAME?</v>
      </c>
      <c r="BV561" s="2" t="e">
        <f ca="1">_xll.BDH($C$553,"TOTAL_CAPITAL_SEQUENTIAL_GROWTH","FQ3 2015","FQ3 2015","Currency=INR","Period=FQ","BEST_FPERIOD_OVERRIDE=FQ","FILING_STATUS=OR","EQY_CONSOLIDATED=Y","Sort=A","Dates=H","DateFormat=P","Fill=—","Direction=H","UseDPDF=Y")</f>
        <v>#NAME?</v>
      </c>
      <c r="BW561" s="2" t="e">
        <f ca="1">_xll.BDH($C$553,"BPS_SEQUENTIAL_GROWTH","FQ3 2015","FQ3 2015","Currency=INR","Period=FQ","BEST_FPERIOD_OVERRIDE=FQ","FILING_STATUS=OR","EQY_CONSOLIDATED=Y","Sort=A","Dates=H","DateFormat=P","Fill=—","Direction=H","UseDPDF=Y")</f>
        <v>#NAME?</v>
      </c>
      <c r="BX561" s="2" t="e">
        <f ca="1">_xll.BDH($C$553,"CFO_SEQUENTIAL_GROWTH","FQ3 2015","FQ3 2015","Currency=INR","Period=FQ","BEST_FPERIOD_OVERRIDE=FQ","FILING_STATUS=OR","EQY_CONSOLIDATED=Y","Sort=A","Dates=H","DateFormat=P","Fill=—","Direction=H","UseDPDF=Y")</f>
        <v>#NAME?</v>
      </c>
      <c r="BY561" s="3" t="e">
        <f ca="1">_xll.BDH($C$553,"SHORT_AND_LONG_TERM_DEBT","FQ3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561" s="3" t="e">
        <f ca="1">_xll.BDH($C$553,"BS_ST_BORROW","FQ3 2015","FQ3 2015","Currency=INR","Period=FQ","BEST_FPERIOD_OVERRIDE=FQ","FILING_STATUS=OR","EQY_CONSOLIDATED=Y","SCALING_FORMAT=MLN","Sort=A","Dates=H","DateFormat=P","Fill=—","Direction=H","UseDPDF=Y")</f>
        <v>#NAME?</v>
      </c>
      <c r="CA561" s="3" t="e">
        <f ca="1">_xll.BDH($C$553,"BS_LT_BORROW","FQ3 2015","FQ3 2015","Currency=INR","Period=FQ","BEST_FPERIOD_OVERRIDE=FQ","FILING_STATUS=OR","EQY_CONSOLIDATED=Y","SCALING_FORMAT=MLN","Sort=A","Dates=H","DateFormat=P","Fill=—","Direction=H","UseDPDF=Y")</f>
        <v>#NAME?</v>
      </c>
      <c r="CB561" s="2" t="e">
        <f ca="1">_xll.BDH($C$553,"TOT_DEBT_TO_EBITDA","FQ3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561" s="2" t="e">
        <f ca="1">_xll.BDH($C$553,"NET_DEBT_TO_EBITDA","FQ3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561" s="2" t="e">
        <f ca="1">_xll.BDH($C$553,"TOTAL_DEBT_TO_EBIT","FQ3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561" s="2" t="e">
        <f ca="1">_xll.BDH($C$553,"NET_DEBT_TO_EBIT","FQ3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561" s="2" t="e">
        <f ca="1">_xll.BDH($C$553,"EBITDA_TO_INTEREST_EXPN","FQ3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561" s="2" t="e">
        <f ca="1">_xll.BDH($C$553,"COM_EQY_TO_TOT_ASSET","FQ3 2015","FQ3 2015","Currency=INR","Period=FQ","BEST_FPERIOD_OVERRIDE=FQ","FILING_STATUS=OR","EQY_CONSOLIDATED=Y","Sort=A","Dates=H","DateFormat=P","Fill=—","Direction=H","UseDPDF=Y")</f>
        <v>#NAME?</v>
      </c>
      <c r="CH561" s="2" t="e">
        <f ca="1">_xll.BDH($C$553,"LT_DEBT_TO_TOT_EQY","FQ3 2015","FQ3 2015","Currency=INR","Period=FQ","BEST_FPERIOD_OVERRIDE=FQ","FILING_STATUS=OR","EQY_CONSOLIDATED=Y","Sort=A","Dates=H","DateFormat=P","Fill=—","Direction=H","UseDPDF=Y")</f>
        <v>#NAME?</v>
      </c>
      <c r="CI561" s="2" t="e">
        <f ca="1">_xll.BDH($C$553,"LT_DEBT_TO_TOT_CAP","FQ3 2015","FQ3 2015","Currency=INR","Period=FQ","BEST_FPERIOD_OVERRIDE=FQ","FILING_STATUS=OR","EQY_CONSOLIDATED=Y","Sort=A","Dates=H","DateFormat=P","Fill=—","Direction=H","UseDPDF=Y")</f>
        <v>#NAME?</v>
      </c>
      <c r="CJ561" s="2" t="e">
        <f ca="1">_xll.BDH($C$553,"LT_DEBT_TO_TOT_ASSET","FQ3 2015","FQ3 2015","Currency=INR","Period=FQ","BEST_FPERIOD_OVERRIDE=FQ","FILING_STATUS=OR","EQY_CONSOLIDATED=Y","Sort=A","Dates=H","DateFormat=P","Fill=—","Direction=H","UseDPDF=Y")</f>
        <v>#NAME?</v>
      </c>
      <c r="CK561" s="2" t="e">
        <f ca="1">_xll.BDH($C$553,"TOT_DEBT_TO_TOT_EQY","FQ3 2015","FQ3 2015","Currency=INR","Period=FQ","BEST_FPERIOD_OVERRIDE=FQ","FILING_STATUS=OR","EQY_CONSOLIDATED=Y","Sort=A","Dates=H","DateFormat=P","Fill=—","Direction=H","UseDPDF=Y")</f>
        <v>#NAME?</v>
      </c>
      <c r="CL561" s="2" t="e">
        <f ca="1">_xll.BDH($C$553,"TOT_DEBT_TO_TOT_CAP","FQ3 2015","FQ3 2015","Currency=INR","Period=FQ","BEST_FPERIOD_OVERRIDE=FQ","FILING_STATUS=OR","EQY_CONSOLIDATED=Y","Sort=A","Dates=H","DateFormat=P","Fill=—","Direction=H","UseDPDF=Y")</f>
        <v>#NAME?</v>
      </c>
      <c r="CM561" s="2" t="e">
        <f ca="1">_xll.BDH($C$553,"TOT_DEBT_TO_TOT_ASSET","FQ3 2015","FQ3 2015","Currency=INR","Period=FQ","BEST_FPERIOD_OVERRIDE=FQ","FILING_STATUS=OR","EQY_CONSOLIDATED=Y","Sort=A","Dates=H","DateFormat=P","Fill=—","Direction=H","UseDPDF=Y")</f>
        <v>#NAME?</v>
      </c>
      <c r="CN561" s="2" t="e">
        <f ca="1">_xll.BDH($C$553,"NET_DEBT_TO_SHRHLDR_EQTY","FQ3 2015","FQ3 2015","Currency=INR","Period=FQ","BEST_FPERIOD_OVERRIDE=FQ","FILING_STATUS=OR","EQY_CONSOLIDATED=Y","Sort=A","Dates=H","DateFormat=P","Fill=—","Direction=H","UseDPDF=Y")</f>
        <v>#NAME?</v>
      </c>
      <c r="CO561" s="2" t="e">
        <f ca="1">_xll.BDH($C$553,"NET_DEBT_%_CAPITAL","FQ3 2015","FQ3 2015","Currency=INR","Period=FQ","BEST_FPERIOD_OVERRIDE=FQ","FILING_STATUS=OR","EQY_CONSOLIDATED=Y","Sort=A","Dates=H","DateFormat=P","Fill=—","Direction=H","UseDPDF=Y")</f>
        <v>#NAME?</v>
      </c>
      <c r="CP561" s="3" t="e">
        <f ca="1">_xll.BDH($C$553,"EBITDA","FQ3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561" s="3" t="e">
        <f ca="1">_xll.BDH($C$553,"EBITDA_AFTER_CAPEX","FQ3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561" s="3" t="e">
        <f ca="1">_xll.BDH($C$553,"IS_OPER_INC","FQ3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561" s="2" t="e">
        <f ca="1">_xll.BDH($C$553,"CASH_RATIO","FQ3 2015","FQ3 2015","Currency=INR","Period=FQ","BEST_FPERIOD_OVERRIDE=FQ","FILING_STATUS=OR","EQY_CONSOLIDATED=Y","Sort=A","Dates=H","DateFormat=P","Fill=—","Direction=H","UseDPDF=Y")</f>
        <v>#NAME?</v>
      </c>
      <c r="CT561" s="2" t="e">
        <f ca="1">_xll.BDH($C$553,"CUR_RATIO","FQ3 2015","FQ3 2015","Currency=INR","Period=FQ","BEST_FPERIOD_OVERRIDE=FQ","FILING_STATUS=OR","EQY_CONSOLIDATED=Y","Sort=A","Dates=H","DateFormat=P","Fill=—","Direction=H","UseDPDF=Y")</f>
        <v>#NAME?</v>
      </c>
      <c r="CU561" s="2" t="e">
        <f ca="1">_xll.BDH($C$553,"QUICK_RATIO","FQ3 2015","FQ3 2015","Currency=INR","Period=FQ","BEST_FPERIOD_OVERRIDE=FQ","FILING_STATUS=OR","EQY_CONSOLIDATED=Y","Sort=A","Dates=H","DateFormat=P","Fill=—","Direction=H","UseDPDF=Y")</f>
        <v>#NAME?</v>
      </c>
      <c r="CV561" s="2" t="e">
        <f ca="1">_xll.BDH($C$553,"ALTMAN_Z_SCORE","FQ3 2015","FQ3 2015","Currency=INR","Period=FQ","BEST_FPERIOD_OVERRIDE=FQ","FILING_STATUS=OR","EQY_CONSOLIDATED=Y","Sort=A","Dates=H","DateFormat=P","Fill=—","Direction=H","UseDPDF=Y")</f>
        <v>#NAME?</v>
      </c>
      <c r="CW561" s="4" t="e">
        <f ca="1">_xll.BDH($C$553,"ACCT_RCV_TURN","FQ3 2015","FQ3 2015","Currency=INR","Period=FQ","BEST_FPERIOD_OVERRIDE=FQ","FILING_STATUS=OR","EQY_CONSOLIDATED=Y","FA_ADJUSTED=GAAP","Sort=A","Dates=H","DateFormat=P","Fill=—","Direction=H","UseDPDF=Y")</f>
        <v>#NAME?</v>
      </c>
      <c r="CX561" s="2" t="e">
        <f ca="1">_xll.BDH($C$553,"ACCT_RCV_DAYS","FQ3 2015","FQ3 2015","Currency=INR","Period=FQ","BEST_FPERIOD_OVERRIDE=FQ","FILING_STATUS=OR","EQY_CONSOLIDATED=Y","FA_ADJUSTED=GAAP","Sort=A","Dates=H","DateFormat=P","Fill=—","Direction=H","UseDPDF=Y")</f>
        <v>#NAME?</v>
      </c>
      <c r="CY561" s="4" t="e">
        <f ca="1">_xll.BDH($C$553,"INVENT_TURN","FQ3 2015","FQ3 2015","Currency=INR","Period=FQ","BEST_FPERIOD_OVERRIDE=FQ","FILING_STATUS=OR","EQY_CONSOLIDATED=Y","FA_ADJUSTED=GAAP","Sort=A","Dates=H","DateFormat=P","Fill=—","Direction=H","UseDPDF=Y")</f>
        <v>#NAME?</v>
      </c>
      <c r="CZ561" s="2" t="e">
        <f ca="1">_xll.BDH($C$553,"INVENT_DAYS","FQ3 2015","FQ3 2015","Currency=INR","Period=FQ","BEST_FPERIOD_OVERRIDE=FQ","FILING_STATUS=OR","EQY_CONSOLIDATED=Y","FA_ADJUSTED=GAAP","Sort=A","Dates=H","DateFormat=P","Fill=—","Direction=H","UseDPDF=Y")</f>
        <v>#NAME?</v>
      </c>
      <c r="DA561" s="4" t="e">
        <f ca="1">_xll.BDH($C$553,"ACCOUNTS_PAYABLE_TURNOVER","FQ3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561" s="2" t="e">
        <f ca="1">_xll.BDH($C$553,"ACCOUNTS_PAYABLE_TURNOVER_DAYS","FQ3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561" s="4" t="e">
        <f ca="1">_xll.BDH($C$553,"CASH_CONVERSION_CYCLE","FQ3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561" s="4" t="e">
        <f ca="1">_xll.BDH($C$553,"INV_TO_CASH_DAYS","FQ3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561" s="5" t="e">
        <f ca="1">_xll.BDH($C$553,"BS_INVENTORIES","FQ3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561" s="3" t="e">
        <f ca="1">_xll.BDH($C$553,"INVTRY_RAW_MATERIALS","FQ3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561" s="3" t="e">
        <f ca="1">_xll.BDH($C$553,"INVTRY_IN_PROGRESS","FQ3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561" s="3" t="e">
        <f ca="1">_xll.BDH($C$553,"INVTRY_FINISHED_GOODS","FQ3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561" s="3" t="e">
        <f ca="1">_xll.BDH($C$553,"BS_OTHER_INV","FQ3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562" spans="1:113" x14ac:dyDescent="0.3">
      <c r="A562" s="6"/>
      <c r="B562" s="6"/>
      <c r="C562" s="6"/>
      <c r="D562" s="6"/>
      <c r="E562" t="s">
        <v>81</v>
      </c>
      <c r="F562" t="e">
        <f ca="1">_xll.BDH($C$553,"RETURN_COM_EQY","FQ4 2015","FQ4 2015","Currency=INR","Period=FQ","BEST_FPERIOD_OVERRIDE=FQ","FILING_STATUS=OR","EQY_CONSOLIDATED=Y","FA_ADJUSTED=GAAP","Sort=A","Dates=H","DateFormat=P","Fill=—","Direction=H","UseDPDF=Y")</f>
        <v>#NAME?</v>
      </c>
      <c r="G562" t="e">
        <f ca="1">_xll.BDH($C$553,"RETURN_ON_ASSET","FQ4 2015","FQ4 2015","Currency=INR","Period=FQ","BEST_FPERIOD_OVERRIDE=FQ","FILING_STATUS=OR","EQY_CONSOLIDATED=Y","FA_ADJUSTED=GAAP","Sort=A","Dates=H","DateFormat=P","Fill=—","Direction=H","UseDPDF=Y")</f>
        <v>#NAME?</v>
      </c>
      <c r="H562" t="e">
        <f ca="1">_xll.BDH($C$553,"RETURN_ON_CAP","FQ4 2015","FQ4 2015","Currency=INR","Period=FQ","BEST_FPERIOD_OVERRIDE=FQ","FILING_STATUS=OR","EQY_CONSOLIDATED=Y","FA_ADJUSTED=GAAP","Sort=A","Dates=H","DateFormat=P","Fill=—","Direction=H","UseDPDF=Y")</f>
        <v>#NAME?</v>
      </c>
      <c r="I562" t="e">
        <f ca="1">_xll.BDH($C$553,"RETURN_ON_INV_CAPITAL","FQ4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562" t="e">
        <f ca="1">_xll.BDH($C$553,"EBITDA_TO_REVENUE","FQ4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562" t="e">
        <f ca="1">_xll.BDH($C$553,"OPER_MARGIN","FQ4 2015","FQ4 2015","Currency=INR","Period=FQ","BEST_FPERIOD_OVERRIDE=FQ","FILING_STATUS=OR","EQY_CONSOLIDATED=Y","FA_ADJUSTED=GAAP","Sort=A","Dates=H","DateFormat=P","Fill=—","Direction=H","UseDPDF=Y")</f>
        <v>#NAME?</v>
      </c>
      <c r="L562" t="e">
        <f ca="1">_xll.BDH($C$553,"INCREMENTAL_OPERATING_MARGIN","FQ4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562" t="e">
        <f ca="1">_xll.BDH($C$553,"PRETAX_INC_TO_NET_SALES","FQ4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562" t="e">
        <f ca="1">_xll.BDH($C$553,"INC_BEF_XO_ITEMS_TO_NET_SALES","FQ4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562" t="e">
        <f ca="1">_xll.BDH($C$553,"PROF_MARGIN","FQ4 2015","FQ4 2015","Currency=INR","Period=FQ","BEST_FPERIOD_OVERRIDE=FQ","FILING_STATUS=OR","EQY_CONSOLIDATED=Y","FA_ADJUSTED=GAAP","Sort=A","Dates=H","DateFormat=P","Fill=—","Direction=H","UseDPDF=Y")</f>
        <v>#NAME?</v>
      </c>
      <c r="P562" t="e">
        <f ca="1">_xll.BDH($C$553,"NET_INCOME_TO_COMMON_MARGIN","FQ4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562" t="e">
        <f ca="1">_xll.BDH($C$553,"EFF_TAX_RATE","FQ4 2015","FQ4 2015","Currency=INR","Period=FQ","BEST_FPERIOD_OVERRIDE=FQ","FILING_STATUS=OR","EQY_CONSOLIDATED=Y","FA_ADJUSTED=GAAP","Sort=A","Dates=H","DateFormat=P","Fill=—","Direction=H","UseDPDF=Y")</f>
        <v>#NAME?</v>
      </c>
      <c r="R562" t="e">
        <f ca="1">_xll.BDH($C$553,"DVD_PAYOUT_RATIO","FQ4 2015","FQ4 2015","Currency=INR","Period=FQ","BEST_FPERIOD_OVERRIDE=FQ","FILING_STATUS=OR","EQY_CONSOLIDATED=Y","FA_ADJUSTED=GAAP","Sort=A","Dates=H","DateFormat=P","Fill=—","Direction=H","UseDPDF=Y")</f>
        <v>#NAME?</v>
      </c>
      <c r="S562" t="e">
        <f ca="1">_xll.BDH($C$553,"SUSTAIN_GROWTH_RT","FQ4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562" s="2" t="e">
        <f ca="1">_xll.BDH($C$553,"SALES_GROWTH","FQ4 2015","FQ4 2015","Currency=INR","Period=FQ","BEST_FPERIOD_OVERRIDE=FQ","FILING_STATUS=OR","EQY_CONSOLIDATED=Y","FA_ADJUSTED=GAAP","Sort=A","Dates=H","DateFormat=P","Fill=—","Direction=H","UseDPDF=Y")</f>
        <v>#NAME?</v>
      </c>
      <c r="U562" s="2" t="e">
        <f ca="1">_xll.BDH($C$553,"EBITDA_GROWTH","FQ4 2015","FQ4 2015","Currency=INR","Period=FQ","BEST_FPERIOD_OVERRIDE=FQ","FILING_STATUS=OR","EQY_CONSOLIDATED=Y","FA_ADJUSTED=GAAP","Sort=A","Dates=H","DateFormat=P","Fill=—","Direction=H","UseDPDF=Y")</f>
        <v>#NAME?</v>
      </c>
      <c r="V562" s="2" t="e">
        <f ca="1">_xll.BDH($C$553,"OPER_INC_GROWTH","FQ4 2015","FQ4 2015","Currency=INR","Period=FQ","BEST_FPERIOD_OVERRIDE=FQ","FILING_STATUS=OR","EQY_CONSOLIDATED=Y","FA_ADJUSTED=GAAP","Sort=A","Dates=H","DateFormat=P","Fill=—","Direction=H","UseDPDF=Y")</f>
        <v>#NAME?</v>
      </c>
      <c r="W562" s="2" t="e">
        <f ca="1">_xll.BDH($C$553,"EARN_FOR_COM_GROWTH","FQ4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562" s="2" t="e">
        <f ca="1">_xll.BDH($C$553,"DILUTED_EPS_AFT_XO_ITEMS_GROWTH","FQ4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562" s="2" t="e">
        <f ca="1">_xll.BDH($C$553,"DIVIDEND_PER_SHARE_1_YEAR_GROWTH","FQ4 2015","FQ4 2015","Currency=INR","Period=FQ","BEST_FPERIOD_OVERRIDE=FQ","FILING_STATUS=OR","EQY_CONSOLIDATED=Y","Sort=A","Dates=H","DateFormat=P","Fill=—","Direction=H","UseDPDF=Y")</f>
        <v>#NAME?</v>
      </c>
      <c r="Z562" s="2" t="e">
        <f ca="1">_xll.BDH($C$553,"ACCOUNTS_RECEIVABLE_GROWTH","FQ4 2015","FQ4 2015","Currency=INR","Period=FQ","BEST_FPERIOD_OVERRIDE=FQ","FILING_STATUS=OR","EQY_CONSOLIDATED=Y","Sort=A","Dates=H","DateFormat=P","Fill=—","Direction=H","UseDPDF=Y")</f>
        <v>#NAME?</v>
      </c>
      <c r="AA562" s="2" t="e">
        <f ca="1">_xll.BDH($C$553,"INVENTORY_GROWTH","FQ4 2015","FQ4 2015","Currency=INR","Period=FQ","BEST_FPERIOD_OVERRIDE=FQ","FILING_STATUS=OR","EQY_CONSOLIDATED=Y","Sort=A","Dates=H","DateFormat=P","Fill=—","Direction=H","UseDPDF=Y")</f>
        <v>#NAME?</v>
      </c>
      <c r="AB562" s="2" t="e">
        <f ca="1">_xll.BDH($C$553,"NET_FIXED_ASSETS_1_YEAR_GROWTH","FQ4 2015","FQ4 2015","Currency=INR","Period=FQ","BEST_FPERIOD_OVERRIDE=FQ","FILING_STATUS=OR","EQY_CONSOLIDATED=Y","Sort=A","Dates=H","DateFormat=P","Fill=—","Direction=H","UseDPDF=Y")</f>
        <v>#NAME?</v>
      </c>
      <c r="AC562" s="2" t="e">
        <f ca="1">_xll.BDH($C$553,"ASSET_GROWTH","FQ4 2015","FQ4 2015","Currency=INR","Period=FQ","BEST_FPERIOD_OVERRIDE=FQ","FILING_STATUS=OR","EQY_CONSOLIDATED=Y","Sort=A","Dates=H","DateFormat=P","Fill=—","Direction=H","UseDPDF=Y")</f>
        <v>#NAME?</v>
      </c>
      <c r="AD562" s="2" t="e">
        <f ca="1">_xll.BDH($C$553,"MODIFIED_WORK_CAP_GROWTH","FQ4 2015","FQ4 2015","Currency=INR","Period=FQ","BEST_FPERIOD_OVERRIDE=FQ","FILING_STATUS=OR","EQY_CONSOLIDATED=Y","Sort=A","Dates=H","DateFormat=P","Fill=—","Direction=H","UseDPDF=Y")</f>
        <v>#NAME?</v>
      </c>
      <c r="AE562" s="2" t="e">
        <f ca="1">_xll.BDH($C$553,"WORK_CAP_GROWTH","FQ4 2015","FQ4 2015","Currency=INR","Period=FQ","BEST_FPERIOD_OVERRIDE=FQ","FILING_STATUS=OR","EQY_CONSOLIDATED=Y","Sort=A","Dates=H","DateFormat=P","Fill=—","Direction=H","UseDPDF=Y")</f>
        <v>#NAME?</v>
      </c>
      <c r="AF562" s="2" t="e">
        <f ca="1">_xll.BDH($C$553,"ACCOUNTS_PAYABLE_GROWTH_1YR","FQ4 2015","FQ4 2015","Currency=INR","Period=FQ","BEST_FPERIOD_OVERRIDE=FQ","FILING_STATUS=OR","EQY_CONSOLIDATED=Y","Sort=A","Dates=H","DateFormat=P","Fill=—","Direction=H","UseDPDF=Y")</f>
        <v>#NAME?</v>
      </c>
      <c r="AG562" s="2" t="e">
        <f ca="1">_xll.BDH($C$553,"SHORT_TERM_DEBT_1_YEAR_GROWTH","FQ4 2015","FQ4 2015","Currency=INR","Period=FQ","BEST_FPERIOD_OVERRIDE=FQ","FILING_STATUS=OR","EQY_CONSOLIDATED=Y","Sort=A","Dates=H","DateFormat=P","Fill=—","Direction=H","UseDPDF=Y")</f>
        <v>#NAME?</v>
      </c>
      <c r="AH562" s="2" t="e">
        <f ca="1">_xll.BDH($C$553,"TOTAL_DEBT_1_YEAR_GROWTH","FQ4 2015","FQ4 2015","Currency=INR","Period=FQ","BEST_FPERIOD_OVERRIDE=FQ","FILING_STATUS=OR","EQY_CONSOLIDATED=Y","Sort=A","Dates=H","DateFormat=P","Fill=—","Direction=H","UseDPDF=Y")</f>
        <v>#NAME?</v>
      </c>
      <c r="AI562" s="2" t="e">
        <f ca="1">_xll.BDH($C$553,"TOTAL_EQUITY_1_YEAR_GROWTH","FQ4 2015","FQ4 2015","Currency=INR","Period=FQ","BEST_FPERIOD_OVERRIDE=FQ","FILING_STATUS=OR","EQY_CONSOLIDATED=Y","Sort=A","Dates=H","DateFormat=P","Fill=—","Direction=H","UseDPDF=Y")</f>
        <v>#NAME?</v>
      </c>
      <c r="AJ562" s="2" t="e">
        <f ca="1">_xll.BDH($C$553,"GROWTH_IN_CAP","FQ4 2015","FQ4 2015","Currency=INR","Period=FQ","BEST_FPERIOD_OVERRIDE=FQ","FILING_STATUS=OR","EQY_CONSOLIDATED=Y","Sort=A","Dates=H","DateFormat=P","Fill=—","Direction=H","UseDPDF=Y")</f>
        <v>#NAME?</v>
      </c>
      <c r="AK562" s="2" t="e">
        <f ca="1">_xll.BDH($C$553,"BVPS_GROWTH","FQ4 2015","FQ4 2015","Currency=INR","Period=FQ","BEST_FPERIOD_OVERRIDE=FQ","FILING_STATUS=OR","EQY_CONSOLIDATED=Y","Sort=A","Dates=H","DateFormat=P","Fill=—","Direction=H","UseDPDF=Y")</f>
        <v>#NAME?</v>
      </c>
      <c r="AL562" s="2" t="e">
        <f ca="1">_xll.BDH($C$553,"CASH_FLOW_GROWTH","FQ4 2015","FQ4 2015","Currency=INR","Period=FQ","BEST_FPERIOD_OVERRIDE=FQ","FILING_STATUS=OR","EQY_CONSOLIDATED=Y","Sort=A","Dates=H","DateFormat=P","Fill=—","Direction=H","UseDPDF=Y")</f>
        <v>#NAME?</v>
      </c>
      <c r="AM562" s="2" t="e">
        <f ca="1">_xll.BDH($C$553,"GEO_GROW_NET_SALES","FQ4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562" s="2" t="e">
        <f ca="1">_xll.BDH($C$553,"GEO_GROW_EBITDA","FQ4 2015","FQ4 2015","Currency=INR","Period=FQ","BEST_FPERIOD_OVERRIDE=FQ","FILING_STATUS=OR","EQY_CONSOLIDATED=Y","FA_ADJUSTED=GAAP","Sort=A","Dates=H","DateFormat=P","Fill=—","Direction=H","UseDPDF=Y")</f>
        <v>#NAME?</v>
      </c>
      <c r="AO562" s="2" t="e">
        <f ca="1">_xll.BDH($C$553,"GEO_GROW_OPER_INC","FQ4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562" s="2" t="e">
        <f ca="1">_xll.BDH($C$553,"NET_INCOME_TO_COMMON_5_YR_GROWTH","FQ4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562" s="2" t="e">
        <f ca="1">_xll.BDH($C$553,"5Y_GEO_GROWTH_DILUTED_EPS","FQ4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562" s="2" t="e">
        <f ca="1">_xll.BDH($C$553,"GEO_GROW_DVD_PER_SH","FQ4 2015","FQ4 2015","Currency=INR","Period=FQ","BEST_FPERIOD_OVERRIDE=FQ","FILING_STATUS=OR","EQY_CONSOLIDATED=Y","Sort=A","Dates=H","DateFormat=P","Fill=—","Direction=H","UseDPDF=Y")</f>
        <v>#NAME?</v>
      </c>
      <c r="AS562" s="2" t="e">
        <f ca="1">_xll.BDH($C$553,"ACCOUNTS_RECEIVABLE_5_YR_GROWTH","FQ4 2015","FQ4 2015","Currency=INR","Period=FQ","BEST_FPERIOD_OVERRIDE=FQ","FILING_STATUS=OR","EQY_CONSOLIDATED=Y","Sort=A","Dates=H","DateFormat=P","Fill=—","Direction=H","UseDPDF=Y")</f>
        <v>#NAME?</v>
      </c>
      <c r="AT562" s="2" t="e">
        <f ca="1">_xll.BDH($C$553,"INVENTORY_5_YEAR_GROWTH","FQ4 2015","FQ4 2015","Currency=INR","Period=FQ","BEST_FPERIOD_OVERRIDE=FQ","FILING_STATUS=OR","EQY_CONSOLIDATED=Y","Sort=A","Dates=H","DateFormat=P","Fill=—","Direction=H","UseDPDF=Y")</f>
        <v>#NAME?</v>
      </c>
      <c r="AU562" s="2" t="e">
        <f ca="1">_xll.BDH($C$553,"NET_FIXED_ASSETS_5_YEAR_GROWTH","FQ4 2015","FQ4 2015","Currency=INR","Period=FQ","BEST_FPERIOD_OVERRIDE=FQ","FILING_STATUS=OR","EQY_CONSOLIDATED=Y","Sort=A","Dates=H","DateFormat=P","Fill=—","Direction=H","UseDPDF=Y")</f>
        <v>#NAME?</v>
      </c>
      <c r="AV562" s="2" t="e">
        <f ca="1">_xll.BDH($C$553,"GEO_GROW_TOT_ASSET","FQ4 2015","FQ4 2015","Currency=INR","Period=FQ","BEST_FPERIOD_OVERRIDE=FQ","FILING_STATUS=OR","EQY_CONSOLIDATED=Y","Sort=A","Dates=H","DateFormat=P","Fill=—","Direction=H","UseDPDF=Y")</f>
        <v>#NAME?</v>
      </c>
      <c r="AW562" s="2" t="e">
        <f ca="1">_xll.BDH($C$553,"MODIFIED_WORKING_CPTL_5YR_GRWTH","FQ4 2015","FQ4 2015","Currency=INR","Period=FQ","BEST_FPERIOD_OVERRIDE=FQ","FILING_STATUS=OR","EQY_CONSOLIDATED=Y","Sort=A","Dates=H","DateFormat=P","Fill=—","Direction=H","UseDPDF=Y")</f>
        <v>#NAME?</v>
      </c>
      <c r="AX562" s="2" t="e">
        <f ca="1">_xll.BDH($C$553,"WORKING_CAPITAL_5_YEAR_GROWTH","FQ4 2015","FQ4 2015","Currency=INR","Period=FQ","BEST_FPERIOD_OVERRIDE=FQ","FILING_STATUS=OR","EQY_CONSOLIDATED=Y","Sort=A","Dates=H","DateFormat=P","Fill=—","Direction=H","UseDPDF=Y")</f>
        <v>#NAME?</v>
      </c>
      <c r="AY562" s="2" t="e">
        <f ca="1">_xll.BDH($C$553,"ACCOUNTS_PAYABLE_5_YEAR_GROWTH","FQ4 2015","FQ4 2015","Currency=INR","Period=FQ","BEST_FPERIOD_OVERRIDE=FQ","FILING_STATUS=OR","EQY_CONSOLIDATED=Y","Sort=A","Dates=H","DateFormat=P","Fill=—","Direction=H","UseDPDF=Y")</f>
        <v>#NAME?</v>
      </c>
      <c r="AZ562" s="2" t="e">
        <f ca="1">_xll.BDH($C$553,"SHORT_TERM_DEBT_5_YEAR_GROWTH","FQ4 2015","FQ4 2015","Currency=INR","Period=FQ","BEST_FPERIOD_OVERRIDE=FQ","FILING_STATUS=OR","EQY_CONSOLIDATED=Y","Sort=A","Dates=H","DateFormat=P","Fill=—","Direction=H","UseDPDF=Y")</f>
        <v>#NAME?</v>
      </c>
      <c r="BA562" s="2" t="e">
        <f ca="1">_xll.BDH($C$553,"TOTAL_DEBT_5_YEAR_GROWTH","FQ4 2015","FQ4 2015","Currency=INR","Period=FQ","BEST_FPERIOD_OVERRIDE=FQ","FILING_STATUS=OR","EQY_CONSOLIDATED=Y","Sort=A","Dates=H","DateFormat=P","Fill=—","Direction=H","UseDPDF=Y")</f>
        <v>#NAME?</v>
      </c>
      <c r="BB562" s="2" t="e">
        <f ca="1">_xll.BDH($C$553,"GEO_GROW_TOT_SHRHLDR_EQY","FQ4 2015","FQ4 2015","Currency=INR","Period=FQ","BEST_FPERIOD_OVERRIDE=FQ","FILING_STATUS=OR","EQY_CONSOLIDATED=Y","Sort=A","Dates=H","DateFormat=P","Fill=—","Direction=H","UseDPDF=Y")</f>
        <v>#NAME?</v>
      </c>
      <c r="BC562" s="2" t="e">
        <f ca="1">_xll.BDH($C$553,"TOTAL_CAPITAL_5_YEAR_GROWTH","FQ4 2015","FQ4 2015","Currency=INR","Period=FQ","BEST_FPERIOD_OVERRIDE=FQ","FILING_STATUS=OR","EQY_CONSOLIDATED=Y","Sort=A","Dates=H","DateFormat=P","Fill=—","Direction=H","UseDPDF=Y")</f>
        <v>#NAME?</v>
      </c>
      <c r="BD562" s="2" t="e">
        <f ca="1">_xll.BDH($C$553,"GEO_GROW_BOOK_VAL","FQ4 2015","FQ4 2015","Currency=INR","Period=FQ","BEST_FPERIOD_OVERRIDE=FQ","FILING_STATUS=OR","EQY_CONSOLIDATED=Y","Sort=A","Dates=H","DateFormat=P","Fill=—","Direction=H","UseDPDF=Y")</f>
        <v>#NAME?</v>
      </c>
      <c r="BE562" s="2" t="e">
        <f ca="1">_xll.BDH($C$553,"GEO_GROW_CASH_OPER_ACT","FQ4 2015","FQ4 2015","Currency=INR","Period=FQ","BEST_FPERIOD_OVERRIDE=FQ","FILING_STATUS=OR","EQY_CONSOLIDATED=Y","Sort=A","Dates=H","DateFormat=P","Fill=—","Direction=H","UseDPDF=Y")</f>
        <v>#NAME?</v>
      </c>
      <c r="BF562" s="2" t="e">
        <f ca="1">_xll.BDH($C$553,"REVENUE_SEQUENTIAL_GROWTH","FQ4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562" s="2" t="e">
        <f ca="1">_xll.BDH($C$553,"EBITDA_SEQUENTIAL_GROWTH","FQ4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562" s="2" t="e">
        <f ca="1">_xll.BDH($C$553,"OPERATING_INCOME_SEQ_GROWTH","FQ4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562" s="2" t="e">
        <f ca="1">_xll.BDH($C$553,"NET_INCOME_TO_COMMON_SEQ_GROWTH","FQ4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562" s="2" t="e">
        <f ca="1">_xll.BDH($C$553,"EPS_DILUTED_SEQUENTIAL_GROWTH","FQ4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562" s="2" t="e">
        <f ca="1">_xll.BDH($C$553,"DPS_SEQUENTIAL_GROWTH","FQ4 2015","FQ4 2015","Currency=INR","Period=FQ","BEST_FPERIOD_OVERRIDE=FQ","FILING_STATUS=OR","EQY_CONSOLIDATED=Y","Sort=A","Dates=H","DateFormat=P","Fill=—","Direction=H","UseDPDF=Y")</f>
        <v>#NAME?</v>
      </c>
      <c r="BL562" s="2" t="e">
        <f ca="1">_xll.BDH($C$553,"ACCOUNTS_RECEIVABLE_SEQ_GROWTH","FQ4 2015","FQ4 2015","Currency=INR","Period=FQ","BEST_FPERIOD_OVERRIDE=FQ","FILING_STATUS=OR","EQY_CONSOLIDATED=Y","Sort=A","Dates=H","DateFormat=P","Fill=—","Direction=H","UseDPDF=Y")</f>
        <v>#NAME?</v>
      </c>
      <c r="BM562" s="2" t="e">
        <f ca="1">_xll.BDH($C$553,"INVENTORY_SEQUENTIAL_GROWTH","FQ4 2015","FQ4 2015","Currency=INR","Period=FQ","BEST_FPERIOD_OVERRIDE=FQ","FILING_STATUS=OR","EQY_CONSOLIDATED=Y","Sort=A","Dates=H","DateFormat=P","Fill=—","Direction=H","UseDPDF=Y")</f>
        <v>#NAME?</v>
      </c>
      <c r="BN562" s="2" t="e">
        <f ca="1">_xll.BDH($C$553,"FIXED_ASSETS_SEQUENTIAL_GROWTH","FQ4 2015","FQ4 2015","Currency=INR","Period=FQ","BEST_FPERIOD_OVERRIDE=FQ","FILING_STATUS=OR","EQY_CONSOLIDATED=Y","Sort=A","Dates=H","DateFormat=P","Fill=—","Direction=H","UseDPDF=Y")</f>
        <v>#NAME?</v>
      </c>
      <c r="BO562" s="2" t="e">
        <f ca="1">_xll.BDH($C$553,"TOTAL_ASSETS_SEQUENTIAL_GROWTH","FQ4 2015","FQ4 2015","Currency=INR","Period=FQ","BEST_FPERIOD_OVERRIDE=FQ","FILING_STATUS=OR","EQY_CONSOLIDATED=Y","Sort=A","Dates=H","DateFormat=P","Fill=—","Direction=H","UseDPDF=Y")</f>
        <v>#NAME?</v>
      </c>
      <c r="BP562" s="2" t="e">
        <f ca="1">_xll.BDH($C$553,"MODIFIED_WORKING_CPTL_SEQ_GRWTH","FQ4 2015","FQ4 2015","Currency=INR","Period=FQ","BEST_FPERIOD_OVERRIDE=FQ","FILING_STATUS=OR","EQY_CONSOLIDATED=Y","Sort=A","Dates=H","DateFormat=P","Fill=—","Direction=H","UseDPDF=Y")</f>
        <v>#NAME?</v>
      </c>
      <c r="BQ562" s="2" t="e">
        <f ca="1">_xll.BDH($C$553,"WORKING_CAPITAL_SEQ_GROWTH","FQ4 2015","FQ4 2015","Currency=INR","Period=FQ","BEST_FPERIOD_OVERRIDE=FQ","FILING_STATUS=OR","EQY_CONSOLIDATED=Y","Sort=A","Dates=H","DateFormat=P","Fill=—","Direction=H","UseDPDF=Y")</f>
        <v>#NAME?</v>
      </c>
      <c r="BR562" s="2" t="e">
        <f ca="1">_xll.BDH($C$553,"ACCOUNTS_PAYABLE_SEQ_GROWTH","FQ4 2015","FQ4 2015","Currency=INR","Period=FQ","BEST_FPERIOD_OVERRIDE=FQ","FILING_STATUS=OR","EQY_CONSOLIDATED=Y","Sort=A","Dates=H","DateFormat=P","Fill=—","Direction=H","UseDPDF=Y")</f>
        <v>#NAME?</v>
      </c>
      <c r="BS562" s="2" t="e">
        <f ca="1">_xll.BDH($C$553,"ST_DEBT_SEQUENTIAL_GROWTH","FQ4 2015","FQ4 2015","Currency=INR","Period=FQ","BEST_FPERIOD_OVERRIDE=FQ","FILING_STATUS=OR","EQY_CONSOLIDATED=Y","Sort=A","Dates=H","DateFormat=P","Fill=—","Direction=H","UseDPDF=Y")</f>
        <v>#NAME?</v>
      </c>
      <c r="BT562" s="2" t="e">
        <f ca="1">_xll.BDH($C$553,"TOTAL_DEBT_SEQUENTIAL_GROWTH","FQ4 2015","FQ4 2015","Currency=INR","Period=FQ","BEST_FPERIOD_OVERRIDE=FQ","FILING_STATUS=OR","EQY_CONSOLIDATED=Y","Sort=A","Dates=H","DateFormat=P","Fill=—","Direction=H","UseDPDF=Y")</f>
        <v>#NAME?</v>
      </c>
      <c r="BU562" s="2" t="e">
        <f ca="1">_xll.BDH($C$553,"TOTAL_EQUITY_SEQUENTIAL_GROWTH","FQ4 2015","FQ4 2015","Currency=INR","Period=FQ","BEST_FPERIOD_OVERRIDE=FQ","FILING_STATUS=OR","EQY_CONSOLIDATED=Y","Sort=A","Dates=H","DateFormat=P","Fill=—","Direction=H","UseDPDF=Y")</f>
        <v>#NAME?</v>
      </c>
      <c r="BV562" s="2" t="e">
        <f ca="1">_xll.BDH($C$553,"TOTAL_CAPITAL_SEQUENTIAL_GROWTH","FQ4 2015","FQ4 2015","Currency=INR","Period=FQ","BEST_FPERIOD_OVERRIDE=FQ","FILING_STATUS=OR","EQY_CONSOLIDATED=Y","Sort=A","Dates=H","DateFormat=P","Fill=—","Direction=H","UseDPDF=Y")</f>
        <v>#NAME?</v>
      </c>
      <c r="BW562" s="2" t="e">
        <f ca="1">_xll.BDH($C$553,"BPS_SEQUENTIAL_GROWTH","FQ4 2015","FQ4 2015","Currency=INR","Period=FQ","BEST_FPERIOD_OVERRIDE=FQ","FILING_STATUS=OR","EQY_CONSOLIDATED=Y","Sort=A","Dates=H","DateFormat=P","Fill=—","Direction=H","UseDPDF=Y")</f>
        <v>#NAME?</v>
      </c>
      <c r="BX562" s="2" t="e">
        <f ca="1">_xll.BDH($C$553,"CFO_SEQUENTIAL_GROWTH","FQ4 2015","FQ4 2015","Currency=INR","Period=FQ","BEST_FPERIOD_OVERRIDE=FQ","FILING_STATUS=OR","EQY_CONSOLIDATED=Y","Sort=A","Dates=H","DateFormat=P","Fill=—","Direction=H","UseDPDF=Y")</f>
        <v>#NAME?</v>
      </c>
      <c r="BY562" s="3" t="e">
        <f ca="1">_xll.BDH($C$553,"SHORT_AND_LONG_TERM_DEBT","FQ4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562" s="3" t="e">
        <f ca="1">_xll.BDH($C$553,"BS_ST_BORROW","FQ4 2015","FQ4 2015","Currency=INR","Period=FQ","BEST_FPERIOD_OVERRIDE=FQ","FILING_STATUS=OR","EQY_CONSOLIDATED=Y","SCALING_FORMAT=MLN","Sort=A","Dates=H","DateFormat=P","Fill=—","Direction=H","UseDPDF=Y")</f>
        <v>#NAME?</v>
      </c>
      <c r="CA562" s="3" t="e">
        <f ca="1">_xll.BDH($C$553,"BS_LT_BORROW","FQ4 2015","FQ4 2015","Currency=INR","Period=FQ","BEST_FPERIOD_OVERRIDE=FQ","FILING_STATUS=OR","EQY_CONSOLIDATED=Y","SCALING_FORMAT=MLN","Sort=A","Dates=H","DateFormat=P","Fill=—","Direction=H","UseDPDF=Y")</f>
        <v>#NAME?</v>
      </c>
      <c r="CB562" s="2" t="e">
        <f ca="1">_xll.BDH($C$553,"TOT_DEBT_TO_EBITDA","FQ4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562" s="2" t="e">
        <f ca="1">_xll.BDH($C$553,"NET_DEBT_TO_EBITDA","FQ4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562" s="2" t="e">
        <f ca="1">_xll.BDH($C$553,"TOTAL_DEBT_TO_EBIT","FQ4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562" s="2" t="e">
        <f ca="1">_xll.BDH($C$553,"NET_DEBT_TO_EBIT","FQ4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562" s="2" t="e">
        <f ca="1">_xll.BDH($C$553,"EBITDA_TO_INTEREST_EXPN","FQ4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562" s="2" t="e">
        <f ca="1">_xll.BDH($C$553,"COM_EQY_TO_TOT_ASSET","FQ4 2015","FQ4 2015","Currency=INR","Period=FQ","BEST_FPERIOD_OVERRIDE=FQ","FILING_STATUS=OR","EQY_CONSOLIDATED=Y","Sort=A","Dates=H","DateFormat=P","Fill=—","Direction=H","UseDPDF=Y")</f>
        <v>#NAME?</v>
      </c>
      <c r="CH562" s="2" t="e">
        <f ca="1">_xll.BDH($C$553,"LT_DEBT_TO_TOT_EQY","FQ4 2015","FQ4 2015","Currency=INR","Period=FQ","BEST_FPERIOD_OVERRIDE=FQ","FILING_STATUS=OR","EQY_CONSOLIDATED=Y","Sort=A","Dates=H","DateFormat=P","Fill=—","Direction=H","UseDPDF=Y")</f>
        <v>#NAME?</v>
      </c>
      <c r="CI562" s="2" t="e">
        <f ca="1">_xll.BDH($C$553,"LT_DEBT_TO_TOT_CAP","FQ4 2015","FQ4 2015","Currency=INR","Period=FQ","BEST_FPERIOD_OVERRIDE=FQ","FILING_STATUS=OR","EQY_CONSOLIDATED=Y","Sort=A","Dates=H","DateFormat=P","Fill=—","Direction=H","UseDPDF=Y")</f>
        <v>#NAME?</v>
      </c>
      <c r="CJ562" s="2" t="e">
        <f ca="1">_xll.BDH($C$553,"LT_DEBT_TO_TOT_ASSET","FQ4 2015","FQ4 2015","Currency=INR","Period=FQ","BEST_FPERIOD_OVERRIDE=FQ","FILING_STATUS=OR","EQY_CONSOLIDATED=Y","Sort=A","Dates=H","DateFormat=P","Fill=—","Direction=H","UseDPDF=Y")</f>
        <v>#NAME?</v>
      </c>
      <c r="CK562" s="2" t="e">
        <f ca="1">_xll.BDH($C$553,"TOT_DEBT_TO_TOT_EQY","FQ4 2015","FQ4 2015","Currency=INR","Period=FQ","BEST_FPERIOD_OVERRIDE=FQ","FILING_STATUS=OR","EQY_CONSOLIDATED=Y","Sort=A","Dates=H","DateFormat=P","Fill=—","Direction=H","UseDPDF=Y")</f>
        <v>#NAME?</v>
      </c>
      <c r="CL562" s="2" t="e">
        <f ca="1">_xll.BDH($C$553,"TOT_DEBT_TO_TOT_CAP","FQ4 2015","FQ4 2015","Currency=INR","Period=FQ","BEST_FPERIOD_OVERRIDE=FQ","FILING_STATUS=OR","EQY_CONSOLIDATED=Y","Sort=A","Dates=H","DateFormat=P","Fill=—","Direction=H","UseDPDF=Y")</f>
        <v>#NAME?</v>
      </c>
      <c r="CM562" s="2" t="e">
        <f ca="1">_xll.BDH($C$553,"TOT_DEBT_TO_TOT_ASSET","FQ4 2015","FQ4 2015","Currency=INR","Period=FQ","BEST_FPERIOD_OVERRIDE=FQ","FILING_STATUS=OR","EQY_CONSOLIDATED=Y","Sort=A","Dates=H","DateFormat=P","Fill=—","Direction=H","UseDPDF=Y")</f>
        <v>#NAME?</v>
      </c>
      <c r="CN562" s="2" t="e">
        <f ca="1">_xll.BDH($C$553,"NET_DEBT_TO_SHRHLDR_EQTY","FQ4 2015","FQ4 2015","Currency=INR","Period=FQ","BEST_FPERIOD_OVERRIDE=FQ","FILING_STATUS=OR","EQY_CONSOLIDATED=Y","Sort=A","Dates=H","DateFormat=P","Fill=—","Direction=H","UseDPDF=Y")</f>
        <v>#NAME?</v>
      </c>
      <c r="CO562" s="2" t="e">
        <f ca="1">_xll.BDH($C$553,"NET_DEBT_%_CAPITAL","FQ4 2015","FQ4 2015","Currency=INR","Period=FQ","BEST_FPERIOD_OVERRIDE=FQ","FILING_STATUS=OR","EQY_CONSOLIDATED=Y","Sort=A","Dates=H","DateFormat=P","Fill=—","Direction=H","UseDPDF=Y")</f>
        <v>#NAME?</v>
      </c>
      <c r="CP562" s="3" t="e">
        <f ca="1">_xll.BDH($C$553,"EBITDA","FQ4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562" s="3" t="e">
        <f ca="1">_xll.BDH($C$553,"EBITDA_AFTER_CAPEX","FQ4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562" s="3" t="e">
        <f ca="1">_xll.BDH($C$553,"IS_OPER_INC","FQ4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562" s="2" t="e">
        <f ca="1">_xll.BDH($C$553,"CASH_RATIO","FQ4 2015","FQ4 2015","Currency=INR","Period=FQ","BEST_FPERIOD_OVERRIDE=FQ","FILING_STATUS=OR","EQY_CONSOLIDATED=Y","Sort=A","Dates=H","DateFormat=P","Fill=—","Direction=H","UseDPDF=Y")</f>
        <v>#NAME?</v>
      </c>
      <c r="CT562" s="2" t="e">
        <f ca="1">_xll.BDH($C$553,"CUR_RATIO","FQ4 2015","FQ4 2015","Currency=INR","Period=FQ","BEST_FPERIOD_OVERRIDE=FQ","FILING_STATUS=OR","EQY_CONSOLIDATED=Y","Sort=A","Dates=H","DateFormat=P","Fill=—","Direction=H","UseDPDF=Y")</f>
        <v>#NAME?</v>
      </c>
      <c r="CU562" s="2" t="e">
        <f ca="1">_xll.BDH($C$553,"QUICK_RATIO","FQ4 2015","FQ4 2015","Currency=INR","Period=FQ","BEST_FPERIOD_OVERRIDE=FQ","FILING_STATUS=OR","EQY_CONSOLIDATED=Y","Sort=A","Dates=H","DateFormat=P","Fill=—","Direction=H","UseDPDF=Y")</f>
        <v>#NAME?</v>
      </c>
      <c r="CV562" s="2" t="e">
        <f ca="1">_xll.BDH($C$553,"ALTMAN_Z_SCORE","FQ4 2015","FQ4 2015","Currency=INR","Period=FQ","BEST_FPERIOD_OVERRIDE=FQ","FILING_STATUS=OR","EQY_CONSOLIDATED=Y","Sort=A","Dates=H","DateFormat=P","Fill=—","Direction=H","UseDPDF=Y")</f>
        <v>#NAME?</v>
      </c>
      <c r="CW562" s="4" t="e">
        <f ca="1">_xll.BDH($C$553,"ACCT_RCV_TURN","FQ4 2015","FQ4 2015","Currency=INR","Period=FQ","BEST_FPERIOD_OVERRIDE=FQ","FILING_STATUS=OR","EQY_CONSOLIDATED=Y","FA_ADJUSTED=GAAP","Sort=A","Dates=H","DateFormat=P","Fill=—","Direction=H","UseDPDF=Y")</f>
        <v>#NAME?</v>
      </c>
      <c r="CX562" s="2" t="e">
        <f ca="1">_xll.BDH($C$553,"ACCT_RCV_DAYS","FQ4 2015","FQ4 2015","Currency=INR","Period=FQ","BEST_FPERIOD_OVERRIDE=FQ","FILING_STATUS=OR","EQY_CONSOLIDATED=Y","FA_ADJUSTED=GAAP","Sort=A","Dates=H","DateFormat=P","Fill=—","Direction=H","UseDPDF=Y")</f>
        <v>#NAME?</v>
      </c>
      <c r="CY562" s="4" t="e">
        <f ca="1">_xll.BDH($C$553,"INVENT_TURN","FQ4 2015","FQ4 2015","Currency=INR","Period=FQ","BEST_FPERIOD_OVERRIDE=FQ","FILING_STATUS=OR","EQY_CONSOLIDATED=Y","FA_ADJUSTED=GAAP","Sort=A","Dates=H","DateFormat=P","Fill=—","Direction=H","UseDPDF=Y")</f>
        <v>#NAME?</v>
      </c>
      <c r="CZ562" s="2" t="e">
        <f ca="1">_xll.BDH($C$553,"INVENT_DAYS","FQ4 2015","FQ4 2015","Currency=INR","Period=FQ","BEST_FPERIOD_OVERRIDE=FQ","FILING_STATUS=OR","EQY_CONSOLIDATED=Y","FA_ADJUSTED=GAAP","Sort=A","Dates=H","DateFormat=P","Fill=—","Direction=H","UseDPDF=Y")</f>
        <v>#NAME?</v>
      </c>
      <c r="DA562" s="4" t="e">
        <f ca="1">_xll.BDH($C$553,"ACCOUNTS_PAYABLE_TURNOVER","FQ4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562" s="2" t="e">
        <f ca="1">_xll.BDH($C$553,"ACCOUNTS_PAYABLE_TURNOVER_DAYS","FQ4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562" s="4" t="e">
        <f ca="1">_xll.BDH($C$553,"CASH_CONVERSION_CYCLE","FQ4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562" s="4" t="e">
        <f ca="1">_xll.BDH($C$553,"INV_TO_CASH_DAYS","FQ4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562" s="5" t="e">
        <f ca="1">_xll.BDH($C$553,"BS_INVENTORIES","FQ4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562" s="3" t="e">
        <f ca="1">_xll.BDH($C$553,"INVTRY_RAW_MATERIALS","FQ4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562" s="3" t="e">
        <f ca="1">_xll.BDH($C$553,"INVTRY_IN_PROGRESS","FQ4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562" s="3" t="e">
        <f ca="1">_xll.BDH($C$553,"INVTRY_FINISHED_GOODS","FQ4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562" s="3" t="e">
        <f ca="1">_xll.BDH($C$553,"BS_OTHER_INV","FQ4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563" spans="1:113" x14ac:dyDescent="0.3">
      <c r="A563" s="6"/>
      <c r="B563" s="6"/>
      <c r="C563" s="6"/>
      <c r="D563" s="6" t="s">
        <v>83</v>
      </c>
      <c r="E563" t="s">
        <v>77</v>
      </c>
      <c r="F563" t="e">
        <f ca="1">_xll.BDH($C$553,"RETURN_COM_EQY","FY 2016","FY 2016","Currency=INR","Period=FY","BEST_FPERIOD_OVERRIDE=FY","FILING_STATUS=OR","EQY_CONSOLIDATED=Y","FA_ADJUSTED=GAAP","Sort=A","Dates=H","DateFormat=P","Fill=—","Direction=H","UseDPDF=Y")</f>
        <v>#NAME?</v>
      </c>
      <c r="G563" t="e">
        <f ca="1">_xll.BDH($C$553,"RETURN_ON_ASSET","FY 2016","FY 2016","Currency=INR","Period=FY","BEST_FPERIOD_OVERRIDE=FY","FILING_STATUS=OR","EQY_CONSOLIDATED=Y","FA_ADJUSTED=GAAP","Sort=A","Dates=H","DateFormat=P","Fill=—","Direction=H","UseDPDF=Y")</f>
        <v>#NAME?</v>
      </c>
      <c r="H563" t="e">
        <f ca="1">_xll.BDH($C$553,"RETURN_ON_CAP","FY 2016","FY 2016","Currency=INR","Period=FY","BEST_FPERIOD_OVERRIDE=FY","FILING_STATUS=OR","EQY_CONSOLIDATED=Y","FA_ADJUSTED=GAAP","Sort=A","Dates=H","DateFormat=P","Fill=—","Direction=H","UseDPDF=Y")</f>
        <v>#NAME?</v>
      </c>
      <c r="I563" t="e">
        <f ca="1">_xll.BDH($C$553,"RETURN_ON_INV_CAPITAL","FY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563" t="e">
        <f ca="1">_xll.BDH($C$553,"EBITDA_TO_REVENUE","FY 2016","FY 2016","Currency=INR","Period=FY","BEST_FPERIOD_OVERRIDE=FY","FILING_STATUS=OR","EQY_CONSOLIDATED=Y","FA_ADJUSTED=GAAP","Sort=A","Dates=H","DateFormat=P","Fill=—","Direction=H","UseDPDF=Y")</f>
        <v>#NAME?</v>
      </c>
      <c r="K563" t="e">
        <f ca="1">_xll.BDH($C$553,"OPER_MARGIN","FY 2016","FY 2016","Currency=INR","Period=FY","BEST_FPERIOD_OVERRIDE=FY","FILING_STATUS=OR","EQY_CONSOLIDATED=Y","FA_ADJUSTED=GAAP","Sort=A","Dates=H","DateFormat=P","Fill=—","Direction=H","UseDPDF=Y")</f>
        <v>#NAME?</v>
      </c>
      <c r="L563" t="e">
        <f ca="1">_xll.BDH($C$553,"INCREMENTAL_OPERATING_MARGIN","FY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563" t="e">
        <f ca="1">_xll.BDH($C$553,"PRETAX_INC_TO_NET_SALES","FY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563" t="e">
        <f ca="1">_xll.BDH($C$553,"INC_BEF_XO_ITEMS_TO_NET_SALES","FY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563" t="e">
        <f ca="1">_xll.BDH($C$553,"PROF_MARGIN","FY 2016","FY 2016","Currency=INR","Period=FY","BEST_FPERIOD_OVERRIDE=FY","FILING_STATUS=OR","EQY_CONSOLIDATED=Y","FA_ADJUSTED=GAAP","Sort=A","Dates=H","DateFormat=P","Fill=—","Direction=H","UseDPDF=Y")</f>
        <v>#NAME?</v>
      </c>
      <c r="P563" t="e">
        <f ca="1">_xll.BDH($C$553,"NET_INCOME_TO_COMMON_MARGIN","FY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563" t="e">
        <f ca="1">_xll.BDH($C$553,"EFF_TAX_RATE","FY 2016","FY 2016","Currency=INR","Period=FY","BEST_FPERIOD_OVERRIDE=FY","FILING_STATUS=OR","EQY_CONSOLIDATED=Y","FA_ADJUSTED=GAAP","Sort=A","Dates=H","DateFormat=P","Fill=—","Direction=H","UseDPDF=Y")</f>
        <v>#NAME?</v>
      </c>
      <c r="R563" t="e">
        <f ca="1">_xll.BDH($C$553,"DVD_PAYOUT_RATIO","FY 2016","FY 2016","Currency=INR","Period=FY","BEST_FPERIOD_OVERRIDE=FY","FILING_STATUS=OR","EQY_CONSOLIDATED=Y","FA_ADJUSTED=GAAP","Sort=A","Dates=H","DateFormat=P","Fill=—","Direction=H","UseDPDF=Y")</f>
        <v>#NAME?</v>
      </c>
      <c r="S563" t="e">
        <f ca="1">_xll.BDH($C$553,"SUSTAIN_GROWTH_RT","FY 2016","FY 2016","Currency=INR","Period=FY","BEST_FPERIOD_OVERRIDE=FY","FILING_STATUS=OR","EQY_CONSOLIDATED=Y","FA_ADJUSTED=GAAP","Sort=A","Dates=H","DateFormat=P","Fill=—","Direction=H","UseDPDF=Y")</f>
        <v>#NAME?</v>
      </c>
      <c r="T563" s="2" t="e">
        <f ca="1">_xll.BDH($C$553,"SALES_GROWTH","FY 2016","FY 2016","Currency=INR","Period=FY","BEST_FPERIOD_OVERRIDE=FY","FILING_STATUS=OR","EQY_CONSOLIDATED=Y","FA_ADJUSTED=GAAP","Sort=A","Dates=H","DateFormat=P","Fill=—","Direction=H","UseDPDF=Y")</f>
        <v>#NAME?</v>
      </c>
      <c r="U563" s="2" t="e">
        <f ca="1">_xll.BDH($C$553,"EBITDA_GROWTH","FY 2016","FY 2016","Currency=INR","Period=FY","BEST_FPERIOD_OVERRIDE=FY","FILING_STATUS=OR","EQY_CONSOLIDATED=Y","FA_ADJUSTED=GAAP","Sort=A","Dates=H","DateFormat=P","Fill=—","Direction=H","UseDPDF=Y")</f>
        <v>#NAME?</v>
      </c>
      <c r="V563" s="2" t="e">
        <f ca="1">_xll.BDH($C$553,"OPER_INC_GROWTH","FY 2016","FY 2016","Currency=INR","Period=FY","BEST_FPERIOD_OVERRIDE=FY","FILING_STATUS=OR","EQY_CONSOLIDATED=Y","FA_ADJUSTED=GAAP","Sort=A","Dates=H","DateFormat=P","Fill=—","Direction=H","UseDPDF=Y")</f>
        <v>#NAME?</v>
      </c>
      <c r="W563" s="2" t="e">
        <f ca="1">_xll.BDH($C$553,"EARN_FOR_COM_GROWTH","FY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563" s="2" t="e">
        <f ca="1">_xll.BDH($C$553,"DILUTED_EPS_AFT_XO_ITEMS_GROWTH","FY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563" s="2" t="e">
        <f ca="1">_xll.BDH($C$553,"DIVIDEND_PER_SHARE_1_YEAR_GROWTH","FY 2016","FY 2016","Currency=INR","Period=FY","BEST_FPERIOD_OVERRIDE=FY","FILING_STATUS=OR","EQY_CONSOLIDATED=Y","Sort=A","Dates=H","DateFormat=P","Fill=—","Direction=H","UseDPDF=Y")</f>
        <v>#NAME?</v>
      </c>
      <c r="Z563" s="2" t="e">
        <f ca="1">_xll.BDH($C$553,"ACCOUNTS_RECEIVABLE_GROWTH","FY 2016","FY 2016","Currency=INR","Period=FY","BEST_FPERIOD_OVERRIDE=FY","FILING_STATUS=OR","EQY_CONSOLIDATED=Y","Sort=A","Dates=H","DateFormat=P","Fill=—","Direction=H","UseDPDF=Y")</f>
        <v>#NAME?</v>
      </c>
      <c r="AA563" s="2" t="e">
        <f ca="1">_xll.BDH($C$553,"INVENTORY_GROWTH","FY 2016","FY 2016","Currency=INR","Period=FY","BEST_FPERIOD_OVERRIDE=FY","FILING_STATUS=OR","EQY_CONSOLIDATED=Y","Sort=A","Dates=H","DateFormat=P","Fill=—","Direction=H","UseDPDF=Y")</f>
        <v>#NAME?</v>
      </c>
      <c r="AB563" s="2" t="e">
        <f ca="1">_xll.BDH($C$553,"NET_FIXED_ASSETS_1_YEAR_GROWTH","FY 2016","FY 2016","Currency=INR","Period=FY","BEST_FPERIOD_OVERRIDE=FY","FILING_STATUS=OR","EQY_CONSOLIDATED=Y","Sort=A","Dates=H","DateFormat=P","Fill=—","Direction=H","UseDPDF=Y")</f>
        <v>#NAME?</v>
      </c>
      <c r="AC563" s="2" t="e">
        <f ca="1">_xll.BDH($C$553,"ASSET_GROWTH","FY 2016","FY 2016","Currency=INR","Period=FY","BEST_FPERIOD_OVERRIDE=FY","FILING_STATUS=OR","EQY_CONSOLIDATED=Y","Sort=A","Dates=H","DateFormat=P","Fill=—","Direction=H","UseDPDF=Y")</f>
        <v>#NAME?</v>
      </c>
      <c r="AD563" s="2" t="e">
        <f ca="1">_xll.BDH($C$553,"MODIFIED_WORK_CAP_GROWTH","FY 2016","FY 2016","Currency=INR","Period=FY","BEST_FPERIOD_OVERRIDE=FY","FILING_STATUS=OR","EQY_CONSOLIDATED=Y","Sort=A","Dates=H","DateFormat=P","Fill=—","Direction=H","UseDPDF=Y")</f>
        <v>#NAME?</v>
      </c>
      <c r="AE563" s="2" t="e">
        <f ca="1">_xll.BDH($C$553,"WORK_CAP_GROWTH","FY 2016","FY 2016","Currency=INR","Period=FY","BEST_FPERIOD_OVERRIDE=FY","FILING_STATUS=OR","EQY_CONSOLIDATED=Y","Sort=A","Dates=H","DateFormat=P","Fill=—","Direction=H","UseDPDF=Y")</f>
        <v>#NAME?</v>
      </c>
      <c r="AF563" s="2" t="e">
        <f ca="1">_xll.BDH($C$553,"ACCOUNTS_PAYABLE_GROWTH_1YR","FY 2016","FY 2016","Currency=INR","Period=FY","BEST_FPERIOD_OVERRIDE=FY","FILING_STATUS=OR","EQY_CONSOLIDATED=Y","Sort=A","Dates=H","DateFormat=P","Fill=—","Direction=H","UseDPDF=Y")</f>
        <v>#NAME?</v>
      </c>
      <c r="AG563" s="2" t="e">
        <f ca="1">_xll.BDH($C$553,"SHORT_TERM_DEBT_1_YEAR_GROWTH","FY 2016","FY 2016","Currency=INR","Period=FY","BEST_FPERIOD_OVERRIDE=FY","FILING_STATUS=OR","EQY_CONSOLIDATED=Y","Sort=A","Dates=H","DateFormat=P","Fill=—","Direction=H","UseDPDF=Y")</f>
        <v>#NAME?</v>
      </c>
      <c r="AH563" s="2" t="e">
        <f ca="1">_xll.BDH($C$553,"TOTAL_DEBT_1_YEAR_GROWTH","FY 2016","FY 2016","Currency=INR","Period=FY","BEST_FPERIOD_OVERRIDE=FY","FILING_STATUS=OR","EQY_CONSOLIDATED=Y","Sort=A","Dates=H","DateFormat=P","Fill=—","Direction=H","UseDPDF=Y")</f>
        <v>#NAME?</v>
      </c>
      <c r="AI563" s="2" t="e">
        <f ca="1">_xll.BDH($C$553,"TOTAL_EQUITY_1_YEAR_GROWTH","FY 2016","FY 2016","Currency=INR","Period=FY","BEST_FPERIOD_OVERRIDE=FY","FILING_STATUS=OR","EQY_CONSOLIDATED=Y","Sort=A","Dates=H","DateFormat=P","Fill=—","Direction=H","UseDPDF=Y")</f>
        <v>#NAME?</v>
      </c>
      <c r="AJ563" s="2" t="e">
        <f ca="1">_xll.BDH($C$553,"GROWTH_IN_CAP","FY 2016","FY 2016","Currency=INR","Period=FY","BEST_FPERIOD_OVERRIDE=FY","FILING_STATUS=OR","EQY_CONSOLIDATED=Y","Sort=A","Dates=H","DateFormat=P","Fill=—","Direction=H","UseDPDF=Y")</f>
        <v>#NAME?</v>
      </c>
      <c r="AK563" s="2" t="e">
        <f ca="1">_xll.BDH($C$553,"BVPS_GROWTH","FY 2016","FY 2016","Currency=INR","Period=FY","BEST_FPERIOD_OVERRIDE=FY","FILING_STATUS=OR","EQY_CONSOLIDATED=Y","Sort=A","Dates=H","DateFormat=P","Fill=—","Direction=H","UseDPDF=Y")</f>
        <v>#NAME?</v>
      </c>
      <c r="AL563" s="2" t="e">
        <f ca="1">_xll.BDH($C$553,"CASH_FLOW_GROWTH","FY 2016","FY 2016","Currency=INR","Period=FY","BEST_FPERIOD_OVERRIDE=FY","FILING_STATUS=OR","EQY_CONSOLIDATED=Y","Sort=A","Dates=H","DateFormat=P","Fill=—","Direction=H","UseDPDF=Y")</f>
        <v>#NAME?</v>
      </c>
      <c r="AM563" s="2" t="e">
        <f ca="1">_xll.BDH($C$553,"GEO_GROW_NET_SALES","FY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563" s="2" t="e">
        <f ca="1">_xll.BDH($C$553,"GEO_GROW_EBITDA","FY 2016","FY 2016","Currency=INR","Period=FY","BEST_FPERIOD_OVERRIDE=FY","FILING_STATUS=OR","EQY_CONSOLIDATED=Y","FA_ADJUSTED=GAAP","Sort=A","Dates=H","DateFormat=P","Fill=—","Direction=H","UseDPDF=Y")</f>
        <v>#NAME?</v>
      </c>
      <c r="AO563" s="2" t="e">
        <f ca="1">_xll.BDH($C$553,"GEO_GROW_OPER_INC","FY 2016","FY 2016","Currency=INR","Period=FY","BEST_FPERIOD_OVERRIDE=FY","FILING_STATUS=OR","EQY_CONSOLIDATED=Y","FA_ADJUSTED=GAAP","Sort=A","Dates=H","DateFormat=P","Fill=—","Direction=H","UseDPDF=Y")</f>
        <v>#NAME?</v>
      </c>
      <c r="AP563" s="2" t="e">
        <f ca="1">_xll.BDH($C$553,"NET_INCOME_TO_COMMON_5_YR_GROWTH","FY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563" s="2" t="e">
        <f ca="1">_xll.BDH($C$553,"5Y_GEO_GROWTH_DILUTED_EPS","FY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563" s="2" t="e">
        <f ca="1">_xll.BDH($C$553,"GEO_GROW_DVD_PER_SH","FY 2016","FY 2016","Currency=INR","Period=FY","BEST_FPERIOD_OVERRIDE=FY","FILING_STATUS=OR","EQY_CONSOLIDATED=Y","Sort=A","Dates=H","DateFormat=P","Fill=—","Direction=H","UseDPDF=Y")</f>
        <v>#NAME?</v>
      </c>
      <c r="AS563" s="2" t="e">
        <f ca="1">_xll.BDH($C$553,"ACCOUNTS_RECEIVABLE_5_YR_GROWTH","FY 2016","FY 2016","Currency=INR","Period=FY","BEST_FPERIOD_OVERRIDE=FY","FILING_STATUS=OR","EQY_CONSOLIDATED=Y","Sort=A","Dates=H","DateFormat=P","Fill=—","Direction=H","UseDPDF=Y")</f>
        <v>#NAME?</v>
      </c>
      <c r="AT563" s="2" t="e">
        <f ca="1">_xll.BDH($C$553,"INVENTORY_5_YEAR_GROWTH","FY 2016","FY 2016","Currency=INR","Period=FY","BEST_FPERIOD_OVERRIDE=FY","FILING_STATUS=OR","EQY_CONSOLIDATED=Y","Sort=A","Dates=H","DateFormat=P","Fill=—","Direction=H","UseDPDF=Y")</f>
        <v>#NAME?</v>
      </c>
      <c r="AU563" s="2" t="e">
        <f ca="1">_xll.BDH($C$553,"NET_FIXED_ASSETS_5_YEAR_GROWTH","FY 2016","FY 2016","Currency=INR","Period=FY","BEST_FPERIOD_OVERRIDE=FY","FILING_STATUS=OR","EQY_CONSOLIDATED=Y","Sort=A","Dates=H","DateFormat=P","Fill=—","Direction=H","UseDPDF=Y")</f>
        <v>#NAME?</v>
      </c>
      <c r="AV563" s="2" t="e">
        <f ca="1">_xll.BDH($C$553,"GEO_GROW_TOT_ASSET","FY 2016","FY 2016","Currency=INR","Period=FY","BEST_FPERIOD_OVERRIDE=FY","FILING_STATUS=OR","EQY_CONSOLIDATED=Y","Sort=A","Dates=H","DateFormat=P","Fill=—","Direction=H","UseDPDF=Y")</f>
        <v>#NAME?</v>
      </c>
      <c r="AW563" s="2" t="e">
        <f ca="1">_xll.BDH($C$553,"MODIFIED_WORKING_CPTL_5YR_GRWTH","FY 2016","FY 2016","Currency=INR","Period=FY","BEST_FPERIOD_OVERRIDE=FY","FILING_STATUS=OR","EQY_CONSOLIDATED=Y","Sort=A","Dates=H","DateFormat=P","Fill=—","Direction=H","UseDPDF=Y")</f>
        <v>#NAME?</v>
      </c>
      <c r="AX563" s="2" t="e">
        <f ca="1">_xll.BDH($C$553,"WORKING_CAPITAL_5_YEAR_GROWTH","FY 2016","FY 2016","Currency=INR","Period=FY","BEST_FPERIOD_OVERRIDE=FY","FILING_STATUS=OR","EQY_CONSOLIDATED=Y","Sort=A","Dates=H","DateFormat=P","Fill=—","Direction=H","UseDPDF=Y")</f>
        <v>#NAME?</v>
      </c>
      <c r="AY563" s="2" t="e">
        <f ca="1">_xll.BDH($C$553,"ACCOUNTS_PAYABLE_5_YEAR_GROWTH","FY 2016","FY 2016","Currency=INR","Period=FY","BEST_FPERIOD_OVERRIDE=FY","FILING_STATUS=OR","EQY_CONSOLIDATED=Y","Sort=A","Dates=H","DateFormat=P","Fill=—","Direction=H","UseDPDF=Y")</f>
        <v>#NAME?</v>
      </c>
      <c r="AZ563" s="2" t="e">
        <f ca="1">_xll.BDH($C$553,"SHORT_TERM_DEBT_5_YEAR_GROWTH","FY 2016","FY 2016","Currency=INR","Period=FY","BEST_FPERIOD_OVERRIDE=FY","FILING_STATUS=OR","EQY_CONSOLIDATED=Y","Sort=A","Dates=H","DateFormat=P","Fill=—","Direction=H","UseDPDF=Y")</f>
        <v>#NAME?</v>
      </c>
      <c r="BA563" s="2" t="e">
        <f ca="1">_xll.BDH($C$553,"TOTAL_DEBT_5_YEAR_GROWTH","FY 2016","FY 2016","Currency=INR","Period=FY","BEST_FPERIOD_OVERRIDE=FY","FILING_STATUS=OR","EQY_CONSOLIDATED=Y","Sort=A","Dates=H","DateFormat=P","Fill=—","Direction=H","UseDPDF=Y")</f>
        <v>#NAME?</v>
      </c>
      <c r="BB563" s="2" t="e">
        <f ca="1">_xll.BDH($C$553,"GEO_GROW_TOT_SHRHLDR_EQY","FY 2016","FY 2016","Currency=INR","Period=FY","BEST_FPERIOD_OVERRIDE=FY","FILING_STATUS=OR","EQY_CONSOLIDATED=Y","Sort=A","Dates=H","DateFormat=P","Fill=—","Direction=H","UseDPDF=Y")</f>
        <v>#NAME?</v>
      </c>
      <c r="BC563" s="2" t="e">
        <f ca="1">_xll.BDH($C$553,"TOTAL_CAPITAL_5_YEAR_GROWTH","FY 2016","FY 2016","Currency=INR","Period=FY","BEST_FPERIOD_OVERRIDE=FY","FILING_STATUS=OR","EQY_CONSOLIDATED=Y","Sort=A","Dates=H","DateFormat=P","Fill=—","Direction=H","UseDPDF=Y")</f>
        <v>#NAME?</v>
      </c>
      <c r="BD563" s="2" t="e">
        <f ca="1">_xll.BDH($C$553,"GEO_GROW_BOOK_VAL","FY 2016","FY 2016","Currency=INR","Period=FY","BEST_FPERIOD_OVERRIDE=FY","FILING_STATUS=OR","EQY_CONSOLIDATED=Y","Sort=A","Dates=H","DateFormat=P","Fill=—","Direction=H","UseDPDF=Y")</f>
        <v>#NAME?</v>
      </c>
      <c r="BE563" s="2" t="e">
        <f ca="1">_xll.BDH($C$553,"GEO_GROW_CASH_OPER_ACT","FY 2016","FY 2016","Currency=INR","Period=FY","BEST_FPERIOD_OVERRIDE=FY","FILING_STATUS=OR","EQY_CONSOLIDATED=Y","Sort=A","Dates=H","DateFormat=P","Fill=—","Direction=H","UseDPDF=Y")</f>
        <v>#NAME?</v>
      </c>
      <c r="BF563" s="2" t="e">
        <f ca="1">_xll.BDH($C$553,"REVENUE_SEQUENTIAL_GROWTH","FY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563" s="2" t="e">
        <f ca="1">_xll.BDH($C$553,"EBITDA_SEQUENTIAL_GROWTH","FY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563" s="2" t="e">
        <f ca="1">_xll.BDH($C$553,"OPERATING_INCOME_SEQ_GROWTH","FY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563" s="2" t="e">
        <f ca="1">_xll.BDH($C$553,"NET_INCOME_TO_COMMON_SEQ_GROWTH","FY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563" s="2" t="e">
        <f ca="1">_xll.BDH($C$553,"EPS_DILUTED_SEQUENTIAL_GROWTH","FY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563" s="2" t="e">
        <f ca="1">_xll.BDH($C$553,"DPS_SEQUENTIAL_GROWTH","FY 2016","FY 2016","Currency=INR","Period=FY","BEST_FPERIOD_OVERRIDE=FY","FILING_STATUS=OR","EQY_CONSOLIDATED=Y","Sort=A","Dates=H","DateFormat=P","Fill=—","Direction=H","UseDPDF=Y")</f>
        <v>#NAME?</v>
      </c>
      <c r="BL563" s="2" t="e">
        <f ca="1">_xll.BDH($C$553,"ACCOUNTS_RECEIVABLE_SEQ_GROWTH","FY 2016","FY 2016","Currency=INR","Period=FY","BEST_FPERIOD_OVERRIDE=FY","FILING_STATUS=OR","EQY_CONSOLIDATED=Y","Sort=A","Dates=H","DateFormat=P","Fill=—","Direction=H","UseDPDF=Y")</f>
        <v>#NAME?</v>
      </c>
      <c r="BM563" s="2" t="e">
        <f ca="1">_xll.BDH($C$553,"INVENTORY_SEQUENTIAL_GROWTH","FY 2016","FY 2016","Currency=INR","Period=FY","BEST_FPERIOD_OVERRIDE=FY","FILING_STATUS=OR","EQY_CONSOLIDATED=Y","Sort=A","Dates=H","DateFormat=P","Fill=—","Direction=H","UseDPDF=Y")</f>
        <v>#NAME?</v>
      </c>
      <c r="BN563" s="2" t="e">
        <f ca="1">_xll.BDH($C$553,"FIXED_ASSETS_SEQUENTIAL_GROWTH","FY 2016","FY 2016","Currency=INR","Period=FY","BEST_FPERIOD_OVERRIDE=FY","FILING_STATUS=OR","EQY_CONSOLIDATED=Y","Sort=A","Dates=H","DateFormat=P","Fill=—","Direction=H","UseDPDF=Y")</f>
        <v>#NAME?</v>
      </c>
      <c r="BO563" s="2" t="e">
        <f ca="1">_xll.BDH($C$553,"TOTAL_ASSETS_SEQUENTIAL_GROWTH","FY 2016","FY 2016","Currency=INR","Period=FY","BEST_FPERIOD_OVERRIDE=FY","FILING_STATUS=OR","EQY_CONSOLIDATED=Y","Sort=A","Dates=H","DateFormat=P","Fill=—","Direction=H","UseDPDF=Y")</f>
        <v>#NAME?</v>
      </c>
      <c r="BP563" s="2" t="e">
        <f ca="1">_xll.BDH($C$553,"MODIFIED_WORKING_CPTL_SEQ_GRWTH","FY 2016","FY 2016","Currency=INR","Period=FY","BEST_FPERIOD_OVERRIDE=FY","FILING_STATUS=OR","EQY_CONSOLIDATED=Y","Sort=A","Dates=H","DateFormat=P","Fill=—","Direction=H","UseDPDF=Y")</f>
        <v>#NAME?</v>
      </c>
      <c r="BQ563" s="2" t="e">
        <f ca="1">_xll.BDH($C$553,"WORKING_CAPITAL_SEQ_GROWTH","FY 2016","FY 2016","Currency=INR","Period=FY","BEST_FPERIOD_OVERRIDE=FY","FILING_STATUS=OR","EQY_CONSOLIDATED=Y","Sort=A","Dates=H","DateFormat=P","Fill=—","Direction=H","UseDPDF=Y")</f>
        <v>#NAME?</v>
      </c>
      <c r="BR563" s="2" t="e">
        <f ca="1">_xll.BDH($C$553,"ACCOUNTS_PAYABLE_SEQ_GROWTH","FY 2016","FY 2016","Currency=INR","Period=FY","BEST_FPERIOD_OVERRIDE=FY","FILING_STATUS=OR","EQY_CONSOLIDATED=Y","Sort=A","Dates=H","DateFormat=P","Fill=—","Direction=H","UseDPDF=Y")</f>
        <v>#NAME?</v>
      </c>
      <c r="BS563" s="2" t="e">
        <f ca="1">_xll.BDH($C$553,"ST_DEBT_SEQUENTIAL_GROWTH","FY 2016","FY 2016","Currency=INR","Period=FY","BEST_FPERIOD_OVERRIDE=FY","FILING_STATUS=OR","EQY_CONSOLIDATED=Y","Sort=A","Dates=H","DateFormat=P","Fill=—","Direction=H","UseDPDF=Y")</f>
        <v>#NAME?</v>
      </c>
      <c r="BT563" s="2" t="e">
        <f ca="1">_xll.BDH($C$553,"TOTAL_DEBT_SEQUENTIAL_GROWTH","FY 2016","FY 2016","Currency=INR","Period=FY","BEST_FPERIOD_OVERRIDE=FY","FILING_STATUS=OR","EQY_CONSOLIDATED=Y","Sort=A","Dates=H","DateFormat=P","Fill=—","Direction=H","UseDPDF=Y")</f>
        <v>#NAME?</v>
      </c>
      <c r="BU563" s="2" t="e">
        <f ca="1">_xll.BDH($C$553,"TOTAL_EQUITY_SEQUENTIAL_GROWTH","FY 2016","FY 2016","Currency=INR","Period=FY","BEST_FPERIOD_OVERRIDE=FY","FILING_STATUS=OR","EQY_CONSOLIDATED=Y","Sort=A","Dates=H","DateFormat=P","Fill=—","Direction=H","UseDPDF=Y")</f>
        <v>#NAME?</v>
      </c>
      <c r="BV563" s="2" t="e">
        <f ca="1">_xll.BDH($C$553,"TOTAL_CAPITAL_SEQUENTIAL_GROWTH","FY 2016","FY 2016","Currency=INR","Period=FY","BEST_FPERIOD_OVERRIDE=FY","FILING_STATUS=OR","EQY_CONSOLIDATED=Y","Sort=A","Dates=H","DateFormat=P","Fill=—","Direction=H","UseDPDF=Y")</f>
        <v>#NAME?</v>
      </c>
      <c r="BW563" s="2" t="e">
        <f ca="1">_xll.BDH($C$553,"BPS_SEQUENTIAL_GROWTH","FY 2016","FY 2016","Currency=INR","Period=FY","BEST_FPERIOD_OVERRIDE=FY","FILING_STATUS=OR","EQY_CONSOLIDATED=Y","Sort=A","Dates=H","DateFormat=P","Fill=—","Direction=H","UseDPDF=Y")</f>
        <v>#NAME?</v>
      </c>
      <c r="BX563" s="2" t="e">
        <f ca="1">_xll.BDH($C$553,"CFO_SEQUENTIAL_GROWTH","FY 2016","FY 2016","Currency=INR","Period=FY","BEST_FPERIOD_OVERRIDE=FY","FILING_STATUS=OR","EQY_CONSOLIDATED=Y","Sort=A","Dates=H","DateFormat=P","Fill=—","Direction=H","UseDPDF=Y")</f>
        <v>#NAME?</v>
      </c>
      <c r="BY563" s="3" t="e">
        <f ca="1">_xll.BDH($C$553,"SHORT_AND_LONG_TERM_DEBT","FY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563" s="3" t="e">
        <f ca="1">_xll.BDH($C$553,"BS_ST_BORROW","FY 2016","FY 2016","Currency=INR","Period=FY","BEST_FPERIOD_OVERRIDE=FY","FILING_STATUS=OR","EQY_CONSOLIDATED=Y","SCALING_FORMAT=MLN","Sort=A","Dates=H","DateFormat=P","Fill=—","Direction=H","UseDPDF=Y")</f>
        <v>#NAME?</v>
      </c>
      <c r="CA563" s="3" t="e">
        <f ca="1">_xll.BDH($C$553,"BS_LT_BORROW","FY 2016","FY 2016","Currency=INR","Period=FY","BEST_FPERIOD_OVERRIDE=FY","FILING_STATUS=OR","EQY_CONSOLIDATED=Y","SCALING_FORMAT=MLN","Sort=A","Dates=H","DateFormat=P","Fill=—","Direction=H","UseDPDF=Y")</f>
        <v>#NAME?</v>
      </c>
      <c r="CB563" s="2" t="e">
        <f ca="1">_xll.BDH($C$553,"TOT_DEBT_TO_EBITDA","FY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563" s="2" t="e">
        <f ca="1">_xll.BDH($C$553,"NET_DEBT_TO_EBITDA","FY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563" s="2" t="e">
        <f ca="1">_xll.BDH($C$553,"TOTAL_DEBT_TO_EBIT","FY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563" s="2" t="e">
        <f ca="1">_xll.BDH($C$553,"NET_DEBT_TO_EBIT","FY 2016","FY 2016","Currency=INR","Period=FY","BEST_FPERIOD_OVERRIDE=FY","FILING_STATUS=OR","EQY_CONSOLIDATED=Y","FA_ADJUSTED=GAAP","Sort=A","Dates=H","DateFormat=P","Fill=—","Direction=H","UseDPDF=Y")</f>
        <v>#NAME?</v>
      </c>
      <c r="CF563" s="2" t="e">
        <f ca="1">_xll.BDH($C$553,"EBITDA_TO_INTEREST_EXPN","FY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563" s="2" t="e">
        <f ca="1">_xll.BDH($C$553,"COM_EQY_TO_TOT_ASSET","FY 2016","FY 2016","Currency=INR","Period=FY","BEST_FPERIOD_OVERRIDE=FY","FILING_STATUS=OR","EQY_CONSOLIDATED=Y","Sort=A","Dates=H","DateFormat=P","Fill=—","Direction=H","UseDPDF=Y")</f>
        <v>#NAME?</v>
      </c>
      <c r="CH563" s="2" t="e">
        <f ca="1">_xll.BDH($C$553,"LT_DEBT_TO_TOT_EQY","FY 2016","FY 2016","Currency=INR","Period=FY","BEST_FPERIOD_OVERRIDE=FY","FILING_STATUS=OR","EQY_CONSOLIDATED=Y","Sort=A","Dates=H","DateFormat=P","Fill=—","Direction=H","UseDPDF=Y")</f>
        <v>#NAME?</v>
      </c>
      <c r="CI563" s="2" t="e">
        <f ca="1">_xll.BDH($C$553,"LT_DEBT_TO_TOT_CAP","FY 2016","FY 2016","Currency=INR","Period=FY","BEST_FPERIOD_OVERRIDE=FY","FILING_STATUS=OR","EQY_CONSOLIDATED=Y","Sort=A","Dates=H","DateFormat=P","Fill=—","Direction=H","UseDPDF=Y")</f>
        <v>#NAME?</v>
      </c>
      <c r="CJ563" s="2" t="e">
        <f ca="1">_xll.BDH($C$553,"LT_DEBT_TO_TOT_ASSET","FY 2016","FY 2016","Currency=INR","Period=FY","BEST_FPERIOD_OVERRIDE=FY","FILING_STATUS=OR","EQY_CONSOLIDATED=Y","Sort=A","Dates=H","DateFormat=P","Fill=—","Direction=H","UseDPDF=Y")</f>
        <v>#NAME?</v>
      </c>
      <c r="CK563" s="2" t="e">
        <f ca="1">_xll.BDH($C$553,"TOT_DEBT_TO_TOT_EQY","FY 2016","FY 2016","Currency=INR","Period=FY","BEST_FPERIOD_OVERRIDE=FY","FILING_STATUS=OR","EQY_CONSOLIDATED=Y","Sort=A","Dates=H","DateFormat=P","Fill=—","Direction=H","UseDPDF=Y")</f>
        <v>#NAME?</v>
      </c>
      <c r="CL563" s="2" t="e">
        <f ca="1">_xll.BDH($C$553,"TOT_DEBT_TO_TOT_CAP","FY 2016","FY 2016","Currency=INR","Period=FY","BEST_FPERIOD_OVERRIDE=FY","FILING_STATUS=OR","EQY_CONSOLIDATED=Y","Sort=A","Dates=H","DateFormat=P","Fill=—","Direction=H","UseDPDF=Y")</f>
        <v>#NAME?</v>
      </c>
      <c r="CM563" s="2" t="e">
        <f ca="1">_xll.BDH($C$553,"TOT_DEBT_TO_TOT_ASSET","FY 2016","FY 2016","Currency=INR","Period=FY","BEST_FPERIOD_OVERRIDE=FY","FILING_STATUS=OR","EQY_CONSOLIDATED=Y","Sort=A","Dates=H","DateFormat=P","Fill=—","Direction=H","UseDPDF=Y")</f>
        <v>#NAME?</v>
      </c>
      <c r="CN563" s="2" t="e">
        <f ca="1">_xll.BDH($C$553,"NET_DEBT_TO_SHRHLDR_EQTY","FY 2016","FY 2016","Currency=INR","Period=FY","BEST_FPERIOD_OVERRIDE=FY","FILING_STATUS=OR","EQY_CONSOLIDATED=Y","Sort=A","Dates=H","DateFormat=P","Fill=—","Direction=H","UseDPDF=Y")</f>
        <v>#NAME?</v>
      </c>
      <c r="CO563" s="2" t="e">
        <f ca="1">_xll.BDH($C$553,"NET_DEBT_%_CAPITAL","FY 2016","FY 2016","Currency=INR","Period=FY","BEST_FPERIOD_OVERRIDE=FY","FILING_STATUS=OR","EQY_CONSOLIDATED=Y","Sort=A","Dates=H","DateFormat=P","Fill=—","Direction=H","UseDPDF=Y")</f>
        <v>#NAME?</v>
      </c>
      <c r="CP563" s="3" t="e">
        <f ca="1">_xll.BDH($C$553,"EBITDA","FY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563" s="3" t="e">
        <f ca="1">_xll.BDH($C$553,"EBITDA_AFTER_CAPEX","FY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563" s="3" t="e">
        <f ca="1">_xll.BDH($C$553,"IS_OPER_INC","FY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563" s="2" t="e">
        <f ca="1">_xll.BDH($C$553,"CASH_RATIO","FY 2016","FY 2016","Currency=INR","Period=FY","BEST_FPERIOD_OVERRIDE=FY","FILING_STATUS=OR","EQY_CONSOLIDATED=Y","Sort=A","Dates=H","DateFormat=P","Fill=—","Direction=H","UseDPDF=Y")</f>
        <v>#NAME?</v>
      </c>
      <c r="CT563" s="2" t="e">
        <f ca="1">_xll.BDH($C$553,"CUR_RATIO","FY 2016","FY 2016","Currency=INR","Period=FY","BEST_FPERIOD_OVERRIDE=FY","FILING_STATUS=OR","EQY_CONSOLIDATED=Y","Sort=A","Dates=H","DateFormat=P","Fill=—","Direction=H","UseDPDF=Y")</f>
        <v>#NAME?</v>
      </c>
      <c r="CU563" s="2" t="e">
        <f ca="1">_xll.BDH($C$553,"QUICK_RATIO","FY 2016","FY 2016","Currency=INR","Period=FY","BEST_FPERIOD_OVERRIDE=FY","FILING_STATUS=OR","EQY_CONSOLIDATED=Y","Sort=A","Dates=H","DateFormat=P","Fill=—","Direction=H","UseDPDF=Y")</f>
        <v>#NAME?</v>
      </c>
      <c r="CV563" s="2" t="e">
        <f ca="1">_xll.BDH($C$553,"ALTMAN_Z_SCORE","FY 2016","FY 2016","Currency=INR","Period=FY","BEST_FPERIOD_OVERRIDE=FY","FILING_STATUS=OR","EQY_CONSOLIDATED=Y","Sort=A","Dates=H","DateFormat=P","Fill=—","Direction=H","UseDPDF=Y")</f>
        <v>#NAME?</v>
      </c>
      <c r="CW563" s="4" t="e">
        <f ca="1">_xll.BDH($C$553,"ACCT_RCV_TURN","FY 2016","FY 2016","Currency=INR","Period=FY","BEST_FPERIOD_OVERRIDE=FY","FILING_STATUS=OR","EQY_CONSOLIDATED=Y","FA_ADJUSTED=GAAP","Sort=A","Dates=H","DateFormat=P","Fill=—","Direction=H","UseDPDF=Y")</f>
        <v>#NAME?</v>
      </c>
      <c r="CX563" s="2" t="e">
        <f ca="1">_xll.BDH($C$553,"ACCT_RCV_DAYS","FY 2016","FY 2016","Currency=INR","Period=FY","BEST_FPERIOD_OVERRIDE=FY","FILING_STATUS=OR","EQY_CONSOLIDATED=Y","FA_ADJUSTED=GAAP","Sort=A","Dates=H","DateFormat=P","Fill=—","Direction=H","UseDPDF=Y")</f>
        <v>#NAME?</v>
      </c>
      <c r="CY563" s="4" t="e">
        <f ca="1">_xll.BDH($C$553,"INVENT_TURN","FY 2016","FY 2016","Currency=INR","Period=FY","BEST_FPERIOD_OVERRIDE=FY","FILING_STATUS=OR","EQY_CONSOLIDATED=Y","FA_ADJUSTED=GAAP","Sort=A","Dates=H","DateFormat=P","Fill=—","Direction=H","UseDPDF=Y")</f>
        <v>#NAME?</v>
      </c>
      <c r="CZ563" s="2" t="e">
        <f ca="1">_xll.BDH($C$553,"INVENT_DAYS","FY 2016","FY 2016","Currency=INR","Period=FY","BEST_FPERIOD_OVERRIDE=FY","FILING_STATUS=OR","EQY_CONSOLIDATED=Y","FA_ADJUSTED=GAAP","Sort=A","Dates=H","DateFormat=P","Fill=—","Direction=H","UseDPDF=Y")</f>
        <v>#NAME?</v>
      </c>
      <c r="DA563" s="4" t="e">
        <f ca="1">_xll.BDH($C$553,"ACCOUNTS_PAYABLE_TURNOVER","FY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563" s="2" t="e">
        <f ca="1">_xll.BDH($C$553,"ACCOUNTS_PAYABLE_TURNOVER_DAYS","FY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563" s="4" t="e">
        <f ca="1">_xll.BDH($C$553,"CASH_CONVERSION_CYCLE","FY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563" s="4" t="e">
        <f ca="1">_xll.BDH($C$553,"INV_TO_CASH_DAYS","FY 2016","FY 2016","Currency=INR","Period=FY","BEST_FPERIOD_OVERRIDE=FY","FILING_STATUS=OR","EQY_CONSOLIDATED=Y","FA_ADJUSTED=GAAP","Sort=A","Dates=H","DateFormat=P","Fill=—","Direction=H","UseDPDF=Y")</f>
        <v>#NAME?</v>
      </c>
      <c r="DE563" s="5" t="e">
        <f ca="1">_xll.BDH($C$553,"BS_INVENTORIES","FY 2016","FY 2016","Currency=INR","Period=FY","BEST_FPERIOD_OVERRIDE=FY","FILING_STATUS=OR","EQY_CONSOLIDATED=Y","SCALING_FORMAT=MLN","Sort=A","Dates=H","DateFormat=P","Fill=—","Direction=H","UseDPDF=Y")</f>
        <v>#NAME?</v>
      </c>
      <c r="DF563" s="3" t="e">
        <f ca="1">_xll.BDH($C$553,"INVTRY_RAW_MATERIALS","FY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563" s="3" t="e">
        <f ca="1">_xll.BDH($C$553,"INVTRY_IN_PROGRESS","FY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563" s="3" t="e">
        <f ca="1">_xll.BDH($C$553,"INVTRY_FINISHED_GOODS","FY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563" s="3" t="e">
        <f ca="1">_xll.BDH($C$553,"BS_OTHER_INV","FY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564" spans="1:113" x14ac:dyDescent="0.3">
      <c r="A564" s="6"/>
      <c r="B564" s="6"/>
      <c r="C564" s="6"/>
      <c r="D564" s="6"/>
      <c r="E564" t="s">
        <v>78</v>
      </c>
      <c r="F564" t="e">
        <f ca="1">_xll.BDH($C$553,"RETURN_COM_EQY","FQ1 2016","FQ1 2016","Currency=INR","Period=FQ","BEST_FPERIOD_OVERRIDE=FQ","FILING_STATUS=OR","EQY_CONSOLIDATED=Y","FA_ADJUSTED=GAAP","Sort=A","Dates=H","DateFormat=P","Fill=—","Direction=H","UseDPDF=Y")</f>
        <v>#NAME?</v>
      </c>
      <c r="G564" t="e">
        <f ca="1">_xll.BDH($C$553,"RETURN_ON_ASSET","FQ1 2016","FQ1 2016","Currency=INR","Period=FQ","BEST_FPERIOD_OVERRIDE=FQ","FILING_STATUS=OR","EQY_CONSOLIDATED=Y","FA_ADJUSTED=GAAP","Sort=A","Dates=H","DateFormat=P","Fill=—","Direction=H","UseDPDF=Y")</f>
        <v>#NAME?</v>
      </c>
      <c r="H564" t="e">
        <f ca="1">_xll.BDH($C$553,"RETURN_ON_CAP","FQ1 2016","FQ1 2016","Currency=INR","Period=FQ","BEST_FPERIOD_OVERRIDE=FQ","FILING_STATUS=OR","EQY_CONSOLIDATED=Y","FA_ADJUSTED=GAAP","Sort=A","Dates=H","DateFormat=P","Fill=—","Direction=H","UseDPDF=Y")</f>
        <v>#NAME?</v>
      </c>
      <c r="I564" t="e">
        <f ca="1">_xll.BDH($C$553,"RETURN_ON_INV_CAPITAL","FQ1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564" t="e">
        <f ca="1">_xll.BDH($C$553,"EBITDA_TO_REVENUE","FQ1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564" t="e">
        <f ca="1">_xll.BDH($C$553,"OPER_MARGIN","FQ1 2016","FQ1 2016","Currency=INR","Period=FQ","BEST_FPERIOD_OVERRIDE=FQ","FILING_STATUS=OR","EQY_CONSOLIDATED=Y","FA_ADJUSTED=GAAP","Sort=A","Dates=H","DateFormat=P","Fill=—","Direction=H","UseDPDF=Y")</f>
        <v>#NAME?</v>
      </c>
      <c r="L564" t="e">
        <f ca="1">_xll.BDH($C$553,"INCREMENTAL_OPERATING_MARGIN","FQ1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564" t="e">
        <f ca="1">_xll.BDH($C$553,"PRETAX_INC_TO_NET_SALES","FQ1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564" t="e">
        <f ca="1">_xll.BDH($C$553,"INC_BEF_XO_ITEMS_TO_NET_SALES","FQ1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564" t="e">
        <f ca="1">_xll.BDH($C$553,"PROF_MARGIN","FQ1 2016","FQ1 2016","Currency=INR","Period=FQ","BEST_FPERIOD_OVERRIDE=FQ","FILING_STATUS=OR","EQY_CONSOLIDATED=Y","FA_ADJUSTED=GAAP","Sort=A","Dates=H","DateFormat=P","Fill=—","Direction=H","UseDPDF=Y")</f>
        <v>#NAME?</v>
      </c>
      <c r="P564" t="e">
        <f ca="1">_xll.BDH($C$553,"NET_INCOME_TO_COMMON_MARGIN","FQ1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564" t="e">
        <f ca="1">_xll.BDH($C$553,"EFF_TAX_RATE","FQ1 2016","FQ1 2016","Currency=INR","Period=FQ","BEST_FPERIOD_OVERRIDE=FQ","FILING_STATUS=OR","EQY_CONSOLIDATED=Y","FA_ADJUSTED=GAAP","Sort=A","Dates=H","DateFormat=P","Fill=—","Direction=H","UseDPDF=Y")</f>
        <v>#NAME?</v>
      </c>
      <c r="R564" t="e">
        <f ca="1">_xll.BDH($C$553,"DVD_PAYOUT_RATIO","FQ1 2016","FQ1 2016","Currency=INR","Period=FQ","BEST_FPERIOD_OVERRIDE=FQ","FILING_STATUS=OR","EQY_CONSOLIDATED=Y","FA_ADJUSTED=GAAP","Sort=A","Dates=H","DateFormat=P","Fill=—","Direction=H","UseDPDF=Y")</f>
        <v>#NAME?</v>
      </c>
      <c r="S564" t="e">
        <f ca="1">_xll.BDH($C$553,"SUSTAIN_GROWTH_RT","FQ1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564" s="2" t="e">
        <f ca="1">_xll.BDH($C$553,"SALES_GROWTH","FQ1 2016","FQ1 2016","Currency=INR","Period=FQ","BEST_FPERIOD_OVERRIDE=FQ","FILING_STATUS=OR","EQY_CONSOLIDATED=Y","FA_ADJUSTED=GAAP","Sort=A","Dates=H","DateFormat=P","Fill=—","Direction=H","UseDPDF=Y")</f>
        <v>#NAME?</v>
      </c>
      <c r="U564" s="2" t="e">
        <f ca="1">_xll.BDH($C$553,"EBITDA_GROWTH","FQ1 2016","FQ1 2016","Currency=INR","Period=FQ","BEST_FPERIOD_OVERRIDE=FQ","FILING_STATUS=OR","EQY_CONSOLIDATED=Y","FA_ADJUSTED=GAAP","Sort=A","Dates=H","DateFormat=P","Fill=—","Direction=H","UseDPDF=Y")</f>
        <v>#NAME?</v>
      </c>
      <c r="V564" s="2" t="e">
        <f ca="1">_xll.BDH($C$553,"OPER_INC_GROWTH","FQ1 2016","FQ1 2016","Currency=INR","Period=FQ","BEST_FPERIOD_OVERRIDE=FQ","FILING_STATUS=OR","EQY_CONSOLIDATED=Y","FA_ADJUSTED=GAAP","Sort=A","Dates=H","DateFormat=P","Fill=—","Direction=H","UseDPDF=Y")</f>
        <v>#NAME?</v>
      </c>
      <c r="W564" s="2" t="e">
        <f ca="1">_xll.BDH($C$553,"EARN_FOR_COM_GROWTH","FQ1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564" s="2" t="e">
        <f ca="1">_xll.BDH($C$553,"DILUTED_EPS_AFT_XO_ITEMS_GROWTH","FQ1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564" s="2" t="e">
        <f ca="1">_xll.BDH($C$553,"DIVIDEND_PER_SHARE_1_YEAR_GROWTH","FQ1 2016","FQ1 2016","Currency=INR","Period=FQ","BEST_FPERIOD_OVERRIDE=FQ","FILING_STATUS=OR","EQY_CONSOLIDATED=Y","Sort=A","Dates=H","DateFormat=P","Fill=—","Direction=H","UseDPDF=Y")</f>
        <v>#NAME?</v>
      </c>
      <c r="Z564" s="2" t="e">
        <f ca="1">_xll.BDH($C$553,"ACCOUNTS_RECEIVABLE_GROWTH","FQ1 2016","FQ1 2016","Currency=INR","Period=FQ","BEST_FPERIOD_OVERRIDE=FQ","FILING_STATUS=OR","EQY_CONSOLIDATED=Y","Sort=A","Dates=H","DateFormat=P","Fill=—","Direction=H","UseDPDF=Y")</f>
        <v>#NAME?</v>
      </c>
      <c r="AA564" s="2" t="e">
        <f ca="1">_xll.BDH($C$553,"INVENTORY_GROWTH","FQ1 2016","FQ1 2016","Currency=INR","Period=FQ","BEST_FPERIOD_OVERRIDE=FQ","FILING_STATUS=OR","EQY_CONSOLIDATED=Y","Sort=A","Dates=H","DateFormat=P","Fill=—","Direction=H","UseDPDF=Y")</f>
        <v>#NAME?</v>
      </c>
      <c r="AB564" s="2" t="e">
        <f ca="1">_xll.BDH($C$553,"NET_FIXED_ASSETS_1_YEAR_GROWTH","FQ1 2016","FQ1 2016","Currency=INR","Period=FQ","BEST_FPERIOD_OVERRIDE=FQ","FILING_STATUS=OR","EQY_CONSOLIDATED=Y","Sort=A","Dates=H","DateFormat=P","Fill=—","Direction=H","UseDPDF=Y")</f>
        <v>#NAME?</v>
      </c>
      <c r="AC564" s="2" t="e">
        <f ca="1">_xll.BDH($C$553,"ASSET_GROWTH","FQ1 2016","FQ1 2016","Currency=INR","Period=FQ","BEST_FPERIOD_OVERRIDE=FQ","FILING_STATUS=OR","EQY_CONSOLIDATED=Y","Sort=A","Dates=H","DateFormat=P","Fill=—","Direction=H","UseDPDF=Y")</f>
        <v>#NAME?</v>
      </c>
      <c r="AD564" s="2" t="e">
        <f ca="1">_xll.BDH($C$553,"MODIFIED_WORK_CAP_GROWTH","FQ1 2016","FQ1 2016","Currency=INR","Period=FQ","BEST_FPERIOD_OVERRIDE=FQ","FILING_STATUS=OR","EQY_CONSOLIDATED=Y","Sort=A","Dates=H","DateFormat=P","Fill=—","Direction=H","UseDPDF=Y")</f>
        <v>#NAME?</v>
      </c>
      <c r="AE564" s="2" t="e">
        <f ca="1">_xll.BDH($C$553,"WORK_CAP_GROWTH","FQ1 2016","FQ1 2016","Currency=INR","Period=FQ","BEST_FPERIOD_OVERRIDE=FQ","FILING_STATUS=OR","EQY_CONSOLIDATED=Y","Sort=A","Dates=H","DateFormat=P","Fill=—","Direction=H","UseDPDF=Y")</f>
        <v>#NAME?</v>
      </c>
      <c r="AF564" s="2" t="e">
        <f ca="1">_xll.BDH($C$553,"ACCOUNTS_PAYABLE_GROWTH_1YR","FQ1 2016","FQ1 2016","Currency=INR","Period=FQ","BEST_FPERIOD_OVERRIDE=FQ","FILING_STATUS=OR","EQY_CONSOLIDATED=Y","Sort=A","Dates=H","DateFormat=P","Fill=—","Direction=H","UseDPDF=Y")</f>
        <v>#NAME?</v>
      </c>
      <c r="AG564" s="2" t="e">
        <f ca="1">_xll.BDH($C$553,"SHORT_TERM_DEBT_1_YEAR_GROWTH","FQ1 2016","FQ1 2016","Currency=INR","Period=FQ","BEST_FPERIOD_OVERRIDE=FQ","FILING_STATUS=OR","EQY_CONSOLIDATED=Y","Sort=A","Dates=H","DateFormat=P","Fill=—","Direction=H","UseDPDF=Y")</f>
        <v>#NAME?</v>
      </c>
      <c r="AH564" s="2" t="e">
        <f ca="1">_xll.BDH($C$553,"TOTAL_DEBT_1_YEAR_GROWTH","FQ1 2016","FQ1 2016","Currency=INR","Period=FQ","BEST_FPERIOD_OVERRIDE=FQ","FILING_STATUS=OR","EQY_CONSOLIDATED=Y","Sort=A","Dates=H","DateFormat=P","Fill=—","Direction=H","UseDPDF=Y")</f>
        <v>#NAME?</v>
      </c>
      <c r="AI564" s="2" t="e">
        <f ca="1">_xll.BDH($C$553,"TOTAL_EQUITY_1_YEAR_GROWTH","FQ1 2016","FQ1 2016","Currency=INR","Period=FQ","BEST_FPERIOD_OVERRIDE=FQ","FILING_STATUS=OR","EQY_CONSOLIDATED=Y","Sort=A","Dates=H","DateFormat=P","Fill=—","Direction=H","UseDPDF=Y")</f>
        <v>#NAME?</v>
      </c>
      <c r="AJ564" s="2" t="e">
        <f ca="1">_xll.BDH($C$553,"GROWTH_IN_CAP","FQ1 2016","FQ1 2016","Currency=INR","Period=FQ","BEST_FPERIOD_OVERRIDE=FQ","FILING_STATUS=OR","EQY_CONSOLIDATED=Y","Sort=A","Dates=H","DateFormat=P","Fill=—","Direction=H","UseDPDF=Y")</f>
        <v>#NAME?</v>
      </c>
      <c r="AK564" s="2" t="e">
        <f ca="1">_xll.BDH($C$553,"BVPS_GROWTH","FQ1 2016","FQ1 2016","Currency=INR","Period=FQ","BEST_FPERIOD_OVERRIDE=FQ","FILING_STATUS=OR","EQY_CONSOLIDATED=Y","Sort=A","Dates=H","DateFormat=P","Fill=—","Direction=H","UseDPDF=Y")</f>
        <v>#NAME?</v>
      </c>
      <c r="AL564" s="2" t="e">
        <f ca="1">_xll.BDH($C$553,"CASH_FLOW_GROWTH","FQ1 2016","FQ1 2016","Currency=INR","Period=FQ","BEST_FPERIOD_OVERRIDE=FQ","FILING_STATUS=OR","EQY_CONSOLIDATED=Y","Sort=A","Dates=H","DateFormat=P","Fill=—","Direction=H","UseDPDF=Y")</f>
        <v>#NAME?</v>
      </c>
      <c r="AM564" s="2" t="e">
        <f ca="1">_xll.BDH($C$553,"GEO_GROW_NET_SALES","FQ1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564" s="2" t="e">
        <f ca="1">_xll.BDH($C$553,"GEO_GROW_EBITDA","FQ1 2016","FQ1 2016","Currency=INR","Period=FQ","BEST_FPERIOD_OVERRIDE=FQ","FILING_STATUS=OR","EQY_CONSOLIDATED=Y","FA_ADJUSTED=GAAP","Sort=A","Dates=H","DateFormat=P","Fill=—","Direction=H","UseDPDF=Y")</f>
        <v>#NAME?</v>
      </c>
      <c r="AO564" s="2" t="e">
        <f ca="1">_xll.BDH($C$553,"GEO_GROW_OPER_INC","FQ1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564" s="2" t="e">
        <f ca="1">_xll.BDH($C$553,"NET_INCOME_TO_COMMON_5_YR_GROWTH","FQ1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564" s="2" t="e">
        <f ca="1">_xll.BDH($C$553,"5Y_GEO_GROWTH_DILUTED_EPS","FQ1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564" s="2" t="e">
        <f ca="1">_xll.BDH($C$553,"GEO_GROW_DVD_PER_SH","FQ1 2016","FQ1 2016","Currency=INR","Period=FQ","BEST_FPERIOD_OVERRIDE=FQ","FILING_STATUS=OR","EQY_CONSOLIDATED=Y","Sort=A","Dates=H","DateFormat=P","Fill=—","Direction=H","UseDPDF=Y")</f>
        <v>#NAME?</v>
      </c>
      <c r="AS564" s="2" t="e">
        <f ca="1">_xll.BDH($C$553,"ACCOUNTS_RECEIVABLE_5_YR_GROWTH","FQ1 2016","FQ1 2016","Currency=INR","Period=FQ","BEST_FPERIOD_OVERRIDE=FQ","FILING_STATUS=OR","EQY_CONSOLIDATED=Y","Sort=A","Dates=H","DateFormat=P","Fill=—","Direction=H","UseDPDF=Y")</f>
        <v>#NAME?</v>
      </c>
      <c r="AT564" s="2" t="e">
        <f ca="1">_xll.BDH($C$553,"INVENTORY_5_YEAR_GROWTH","FQ1 2016","FQ1 2016","Currency=INR","Period=FQ","BEST_FPERIOD_OVERRIDE=FQ","FILING_STATUS=OR","EQY_CONSOLIDATED=Y","Sort=A","Dates=H","DateFormat=P","Fill=—","Direction=H","UseDPDF=Y")</f>
        <v>#NAME?</v>
      </c>
      <c r="AU564" s="2" t="e">
        <f ca="1">_xll.BDH($C$553,"NET_FIXED_ASSETS_5_YEAR_GROWTH","FQ1 2016","FQ1 2016","Currency=INR","Period=FQ","BEST_FPERIOD_OVERRIDE=FQ","FILING_STATUS=OR","EQY_CONSOLIDATED=Y","Sort=A","Dates=H","DateFormat=P","Fill=—","Direction=H","UseDPDF=Y")</f>
        <v>#NAME?</v>
      </c>
      <c r="AV564" s="2" t="e">
        <f ca="1">_xll.BDH($C$553,"GEO_GROW_TOT_ASSET","FQ1 2016","FQ1 2016","Currency=INR","Period=FQ","BEST_FPERIOD_OVERRIDE=FQ","FILING_STATUS=OR","EQY_CONSOLIDATED=Y","Sort=A","Dates=H","DateFormat=P","Fill=—","Direction=H","UseDPDF=Y")</f>
        <v>#NAME?</v>
      </c>
      <c r="AW564" s="2" t="e">
        <f ca="1">_xll.BDH($C$553,"MODIFIED_WORKING_CPTL_5YR_GRWTH","FQ1 2016","FQ1 2016","Currency=INR","Period=FQ","BEST_FPERIOD_OVERRIDE=FQ","FILING_STATUS=OR","EQY_CONSOLIDATED=Y","Sort=A","Dates=H","DateFormat=P","Fill=—","Direction=H","UseDPDF=Y")</f>
        <v>#NAME?</v>
      </c>
      <c r="AX564" s="2" t="e">
        <f ca="1">_xll.BDH($C$553,"WORKING_CAPITAL_5_YEAR_GROWTH","FQ1 2016","FQ1 2016","Currency=INR","Period=FQ","BEST_FPERIOD_OVERRIDE=FQ","FILING_STATUS=OR","EQY_CONSOLIDATED=Y","Sort=A","Dates=H","DateFormat=P","Fill=—","Direction=H","UseDPDF=Y")</f>
        <v>#NAME?</v>
      </c>
      <c r="AY564" s="2" t="e">
        <f ca="1">_xll.BDH($C$553,"ACCOUNTS_PAYABLE_5_YEAR_GROWTH","FQ1 2016","FQ1 2016","Currency=INR","Period=FQ","BEST_FPERIOD_OVERRIDE=FQ","FILING_STATUS=OR","EQY_CONSOLIDATED=Y","Sort=A","Dates=H","DateFormat=P","Fill=—","Direction=H","UseDPDF=Y")</f>
        <v>#NAME?</v>
      </c>
      <c r="AZ564" s="2" t="e">
        <f ca="1">_xll.BDH($C$553,"SHORT_TERM_DEBT_5_YEAR_GROWTH","FQ1 2016","FQ1 2016","Currency=INR","Period=FQ","BEST_FPERIOD_OVERRIDE=FQ","FILING_STATUS=OR","EQY_CONSOLIDATED=Y","Sort=A","Dates=H","DateFormat=P","Fill=—","Direction=H","UseDPDF=Y")</f>
        <v>#NAME?</v>
      </c>
      <c r="BA564" s="2" t="e">
        <f ca="1">_xll.BDH($C$553,"TOTAL_DEBT_5_YEAR_GROWTH","FQ1 2016","FQ1 2016","Currency=INR","Period=FQ","BEST_FPERIOD_OVERRIDE=FQ","FILING_STATUS=OR","EQY_CONSOLIDATED=Y","Sort=A","Dates=H","DateFormat=P","Fill=—","Direction=H","UseDPDF=Y")</f>
        <v>#NAME?</v>
      </c>
      <c r="BB564" s="2" t="e">
        <f ca="1">_xll.BDH($C$553,"GEO_GROW_TOT_SHRHLDR_EQY","FQ1 2016","FQ1 2016","Currency=INR","Period=FQ","BEST_FPERIOD_OVERRIDE=FQ","FILING_STATUS=OR","EQY_CONSOLIDATED=Y","Sort=A","Dates=H","DateFormat=P","Fill=—","Direction=H","UseDPDF=Y")</f>
        <v>#NAME?</v>
      </c>
      <c r="BC564" s="2" t="e">
        <f ca="1">_xll.BDH($C$553,"TOTAL_CAPITAL_5_YEAR_GROWTH","FQ1 2016","FQ1 2016","Currency=INR","Period=FQ","BEST_FPERIOD_OVERRIDE=FQ","FILING_STATUS=OR","EQY_CONSOLIDATED=Y","Sort=A","Dates=H","DateFormat=P","Fill=—","Direction=H","UseDPDF=Y")</f>
        <v>#NAME?</v>
      </c>
      <c r="BD564" s="2" t="e">
        <f ca="1">_xll.BDH($C$553,"GEO_GROW_BOOK_VAL","FQ1 2016","FQ1 2016","Currency=INR","Period=FQ","BEST_FPERIOD_OVERRIDE=FQ","FILING_STATUS=OR","EQY_CONSOLIDATED=Y","Sort=A","Dates=H","DateFormat=P","Fill=—","Direction=H","UseDPDF=Y")</f>
        <v>#NAME?</v>
      </c>
      <c r="BE564" s="2" t="e">
        <f ca="1">_xll.BDH($C$553,"GEO_GROW_CASH_OPER_ACT","FQ1 2016","FQ1 2016","Currency=INR","Period=FQ","BEST_FPERIOD_OVERRIDE=FQ","FILING_STATUS=OR","EQY_CONSOLIDATED=Y","Sort=A","Dates=H","DateFormat=P","Fill=—","Direction=H","UseDPDF=Y")</f>
        <v>#NAME?</v>
      </c>
      <c r="BF564" s="2" t="e">
        <f ca="1">_xll.BDH($C$553,"REVENUE_SEQUENTIAL_GROWTH","FQ1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564" s="2" t="e">
        <f ca="1">_xll.BDH($C$553,"EBITDA_SEQUENTIAL_GROWTH","FQ1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564" s="2" t="e">
        <f ca="1">_xll.BDH($C$553,"OPERATING_INCOME_SEQ_GROWTH","FQ1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564" s="2" t="e">
        <f ca="1">_xll.BDH($C$553,"NET_INCOME_TO_COMMON_SEQ_GROWTH","FQ1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564" s="2" t="e">
        <f ca="1">_xll.BDH($C$553,"EPS_DILUTED_SEQUENTIAL_GROWTH","FQ1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564" s="2" t="e">
        <f ca="1">_xll.BDH($C$553,"DPS_SEQUENTIAL_GROWTH","FQ1 2016","FQ1 2016","Currency=INR","Period=FQ","BEST_FPERIOD_OVERRIDE=FQ","FILING_STATUS=OR","EQY_CONSOLIDATED=Y","Sort=A","Dates=H","DateFormat=P","Fill=—","Direction=H","UseDPDF=Y")</f>
        <v>#NAME?</v>
      </c>
      <c r="BL564" s="2" t="e">
        <f ca="1">_xll.BDH($C$553,"ACCOUNTS_RECEIVABLE_SEQ_GROWTH","FQ1 2016","FQ1 2016","Currency=INR","Period=FQ","BEST_FPERIOD_OVERRIDE=FQ","FILING_STATUS=OR","EQY_CONSOLIDATED=Y","Sort=A","Dates=H","DateFormat=P","Fill=—","Direction=H","UseDPDF=Y")</f>
        <v>#NAME?</v>
      </c>
      <c r="BM564" s="2" t="e">
        <f ca="1">_xll.BDH($C$553,"INVENTORY_SEQUENTIAL_GROWTH","FQ1 2016","FQ1 2016","Currency=INR","Period=FQ","BEST_FPERIOD_OVERRIDE=FQ","FILING_STATUS=OR","EQY_CONSOLIDATED=Y","Sort=A","Dates=H","DateFormat=P","Fill=—","Direction=H","UseDPDF=Y")</f>
        <v>#NAME?</v>
      </c>
      <c r="BN564" s="2" t="e">
        <f ca="1">_xll.BDH($C$553,"FIXED_ASSETS_SEQUENTIAL_GROWTH","FQ1 2016","FQ1 2016","Currency=INR","Period=FQ","BEST_FPERIOD_OVERRIDE=FQ","FILING_STATUS=OR","EQY_CONSOLIDATED=Y","Sort=A","Dates=H","DateFormat=P","Fill=—","Direction=H","UseDPDF=Y")</f>
        <v>#NAME?</v>
      </c>
      <c r="BO564" s="2" t="e">
        <f ca="1">_xll.BDH($C$553,"TOTAL_ASSETS_SEQUENTIAL_GROWTH","FQ1 2016","FQ1 2016","Currency=INR","Period=FQ","BEST_FPERIOD_OVERRIDE=FQ","FILING_STATUS=OR","EQY_CONSOLIDATED=Y","Sort=A","Dates=H","DateFormat=P","Fill=—","Direction=H","UseDPDF=Y")</f>
        <v>#NAME?</v>
      </c>
      <c r="BP564" s="2" t="e">
        <f ca="1">_xll.BDH($C$553,"MODIFIED_WORKING_CPTL_SEQ_GRWTH","FQ1 2016","FQ1 2016","Currency=INR","Period=FQ","BEST_FPERIOD_OVERRIDE=FQ","FILING_STATUS=OR","EQY_CONSOLIDATED=Y","Sort=A","Dates=H","DateFormat=P","Fill=—","Direction=H","UseDPDF=Y")</f>
        <v>#NAME?</v>
      </c>
      <c r="BQ564" s="2" t="e">
        <f ca="1">_xll.BDH($C$553,"WORKING_CAPITAL_SEQ_GROWTH","FQ1 2016","FQ1 2016","Currency=INR","Period=FQ","BEST_FPERIOD_OVERRIDE=FQ","FILING_STATUS=OR","EQY_CONSOLIDATED=Y","Sort=A","Dates=H","DateFormat=P","Fill=—","Direction=H","UseDPDF=Y")</f>
        <v>#NAME?</v>
      </c>
      <c r="BR564" s="2" t="e">
        <f ca="1">_xll.BDH($C$553,"ACCOUNTS_PAYABLE_SEQ_GROWTH","FQ1 2016","FQ1 2016","Currency=INR","Period=FQ","BEST_FPERIOD_OVERRIDE=FQ","FILING_STATUS=OR","EQY_CONSOLIDATED=Y","Sort=A","Dates=H","DateFormat=P","Fill=—","Direction=H","UseDPDF=Y")</f>
        <v>#NAME?</v>
      </c>
      <c r="BS564" s="2" t="e">
        <f ca="1">_xll.BDH($C$553,"ST_DEBT_SEQUENTIAL_GROWTH","FQ1 2016","FQ1 2016","Currency=INR","Period=FQ","BEST_FPERIOD_OVERRIDE=FQ","FILING_STATUS=OR","EQY_CONSOLIDATED=Y","Sort=A","Dates=H","DateFormat=P","Fill=—","Direction=H","UseDPDF=Y")</f>
        <v>#NAME?</v>
      </c>
      <c r="BT564" s="2" t="e">
        <f ca="1">_xll.BDH($C$553,"TOTAL_DEBT_SEQUENTIAL_GROWTH","FQ1 2016","FQ1 2016","Currency=INR","Period=FQ","BEST_FPERIOD_OVERRIDE=FQ","FILING_STATUS=OR","EQY_CONSOLIDATED=Y","Sort=A","Dates=H","DateFormat=P","Fill=—","Direction=H","UseDPDF=Y")</f>
        <v>#NAME?</v>
      </c>
      <c r="BU564" s="2" t="e">
        <f ca="1">_xll.BDH($C$553,"TOTAL_EQUITY_SEQUENTIAL_GROWTH","FQ1 2016","FQ1 2016","Currency=INR","Period=FQ","BEST_FPERIOD_OVERRIDE=FQ","FILING_STATUS=OR","EQY_CONSOLIDATED=Y","Sort=A","Dates=H","DateFormat=P","Fill=—","Direction=H","UseDPDF=Y")</f>
        <v>#NAME?</v>
      </c>
      <c r="BV564" s="2" t="e">
        <f ca="1">_xll.BDH($C$553,"TOTAL_CAPITAL_SEQUENTIAL_GROWTH","FQ1 2016","FQ1 2016","Currency=INR","Period=FQ","BEST_FPERIOD_OVERRIDE=FQ","FILING_STATUS=OR","EQY_CONSOLIDATED=Y","Sort=A","Dates=H","DateFormat=P","Fill=—","Direction=H","UseDPDF=Y")</f>
        <v>#NAME?</v>
      </c>
      <c r="BW564" s="2" t="e">
        <f ca="1">_xll.BDH($C$553,"BPS_SEQUENTIAL_GROWTH","FQ1 2016","FQ1 2016","Currency=INR","Period=FQ","BEST_FPERIOD_OVERRIDE=FQ","FILING_STATUS=OR","EQY_CONSOLIDATED=Y","Sort=A","Dates=H","DateFormat=P","Fill=—","Direction=H","UseDPDF=Y")</f>
        <v>#NAME?</v>
      </c>
      <c r="BX564" s="2" t="e">
        <f ca="1">_xll.BDH($C$553,"CFO_SEQUENTIAL_GROWTH","FQ1 2016","FQ1 2016","Currency=INR","Period=FQ","BEST_FPERIOD_OVERRIDE=FQ","FILING_STATUS=OR","EQY_CONSOLIDATED=Y","Sort=A","Dates=H","DateFormat=P","Fill=—","Direction=H","UseDPDF=Y")</f>
        <v>#NAME?</v>
      </c>
      <c r="BY564" s="3" t="e">
        <f ca="1">_xll.BDH($C$553,"SHORT_AND_LONG_TERM_DEBT","FQ1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564" s="3" t="e">
        <f ca="1">_xll.BDH($C$553,"BS_ST_BORROW","FQ1 2016","FQ1 2016","Currency=INR","Period=FQ","BEST_FPERIOD_OVERRIDE=FQ","FILING_STATUS=OR","EQY_CONSOLIDATED=Y","SCALING_FORMAT=MLN","Sort=A","Dates=H","DateFormat=P","Fill=—","Direction=H","UseDPDF=Y")</f>
        <v>#NAME?</v>
      </c>
      <c r="CA564" s="3" t="e">
        <f ca="1">_xll.BDH($C$553,"BS_LT_BORROW","FQ1 2016","FQ1 2016","Currency=INR","Period=FQ","BEST_FPERIOD_OVERRIDE=FQ","FILING_STATUS=OR","EQY_CONSOLIDATED=Y","SCALING_FORMAT=MLN","Sort=A","Dates=H","DateFormat=P","Fill=—","Direction=H","UseDPDF=Y")</f>
        <v>#NAME?</v>
      </c>
      <c r="CB564" s="2" t="e">
        <f ca="1">_xll.BDH($C$553,"TOT_DEBT_TO_EBITDA","FQ1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564" s="2" t="e">
        <f ca="1">_xll.BDH($C$553,"NET_DEBT_TO_EBITDA","FQ1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564" s="2" t="e">
        <f ca="1">_xll.BDH($C$553,"TOTAL_DEBT_TO_EBIT","FQ1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564" s="2" t="e">
        <f ca="1">_xll.BDH($C$553,"NET_DEBT_TO_EBIT","FQ1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564" s="2" t="e">
        <f ca="1">_xll.BDH($C$553,"EBITDA_TO_INTEREST_EXPN","FQ1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564" s="2" t="e">
        <f ca="1">_xll.BDH($C$553,"COM_EQY_TO_TOT_ASSET","FQ1 2016","FQ1 2016","Currency=INR","Period=FQ","BEST_FPERIOD_OVERRIDE=FQ","FILING_STATUS=OR","EQY_CONSOLIDATED=Y","Sort=A","Dates=H","DateFormat=P","Fill=—","Direction=H","UseDPDF=Y")</f>
        <v>#NAME?</v>
      </c>
      <c r="CH564" s="2" t="e">
        <f ca="1">_xll.BDH($C$553,"LT_DEBT_TO_TOT_EQY","FQ1 2016","FQ1 2016","Currency=INR","Period=FQ","BEST_FPERIOD_OVERRIDE=FQ","FILING_STATUS=OR","EQY_CONSOLIDATED=Y","Sort=A","Dates=H","DateFormat=P","Fill=—","Direction=H","UseDPDF=Y")</f>
        <v>#NAME?</v>
      </c>
      <c r="CI564" s="2" t="e">
        <f ca="1">_xll.BDH($C$553,"LT_DEBT_TO_TOT_CAP","FQ1 2016","FQ1 2016","Currency=INR","Period=FQ","BEST_FPERIOD_OVERRIDE=FQ","FILING_STATUS=OR","EQY_CONSOLIDATED=Y","Sort=A","Dates=H","DateFormat=P","Fill=—","Direction=H","UseDPDF=Y")</f>
        <v>#NAME?</v>
      </c>
      <c r="CJ564" s="2" t="e">
        <f ca="1">_xll.BDH($C$553,"LT_DEBT_TO_TOT_ASSET","FQ1 2016","FQ1 2016","Currency=INR","Period=FQ","BEST_FPERIOD_OVERRIDE=FQ","FILING_STATUS=OR","EQY_CONSOLIDATED=Y","Sort=A","Dates=H","DateFormat=P","Fill=—","Direction=H","UseDPDF=Y")</f>
        <v>#NAME?</v>
      </c>
      <c r="CK564" s="2" t="e">
        <f ca="1">_xll.BDH($C$553,"TOT_DEBT_TO_TOT_EQY","FQ1 2016","FQ1 2016","Currency=INR","Period=FQ","BEST_FPERIOD_OVERRIDE=FQ","FILING_STATUS=OR","EQY_CONSOLIDATED=Y","Sort=A","Dates=H","DateFormat=P","Fill=—","Direction=H","UseDPDF=Y")</f>
        <v>#NAME?</v>
      </c>
      <c r="CL564" s="2" t="e">
        <f ca="1">_xll.BDH($C$553,"TOT_DEBT_TO_TOT_CAP","FQ1 2016","FQ1 2016","Currency=INR","Period=FQ","BEST_FPERIOD_OVERRIDE=FQ","FILING_STATUS=OR","EQY_CONSOLIDATED=Y","Sort=A","Dates=H","DateFormat=P","Fill=—","Direction=H","UseDPDF=Y")</f>
        <v>#NAME?</v>
      </c>
      <c r="CM564" s="2" t="e">
        <f ca="1">_xll.BDH($C$553,"TOT_DEBT_TO_TOT_ASSET","FQ1 2016","FQ1 2016","Currency=INR","Period=FQ","BEST_FPERIOD_OVERRIDE=FQ","FILING_STATUS=OR","EQY_CONSOLIDATED=Y","Sort=A","Dates=H","DateFormat=P","Fill=—","Direction=H","UseDPDF=Y")</f>
        <v>#NAME?</v>
      </c>
      <c r="CN564" s="2" t="e">
        <f ca="1">_xll.BDH($C$553,"NET_DEBT_TO_SHRHLDR_EQTY","FQ1 2016","FQ1 2016","Currency=INR","Period=FQ","BEST_FPERIOD_OVERRIDE=FQ","FILING_STATUS=OR","EQY_CONSOLIDATED=Y","Sort=A","Dates=H","DateFormat=P","Fill=—","Direction=H","UseDPDF=Y")</f>
        <v>#NAME?</v>
      </c>
      <c r="CO564" s="2" t="e">
        <f ca="1">_xll.BDH($C$553,"NET_DEBT_%_CAPITAL","FQ1 2016","FQ1 2016","Currency=INR","Period=FQ","BEST_FPERIOD_OVERRIDE=FQ","FILING_STATUS=OR","EQY_CONSOLIDATED=Y","Sort=A","Dates=H","DateFormat=P","Fill=—","Direction=H","UseDPDF=Y")</f>
        <v>#NAME?</v>
      </c>
      <c r="CP564" s="3" t="e">
        <f ca="1">_xll.BDH($C$553,"EBITDA","FQ1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564" s="3" t="e">
        <f ca="1">_xll.BDH($C$553,"EBITDA_AFTER_CAPEX","FQ1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564" s="3" t="e">
        <f ca="1">_xll.BDH($C$553,"IS_OPER_INC","FQ1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564" s="2" t="e">
        <f ca="1">_xll.BDH($C$553,"CASH_RATIO","FQ1 2016","FQ1 2016","Currency=INR","Period=FQ","BEST_FPERIOD_OVERRIDE=FQ","FILING_STATUS=OR","EQY_CONSOLIDATED=Y","Sort=A","Dates=H","DateFormat=P","Fill=—","Direction=H","UseDPDF=Y")</f>
        <v>#NAME?</v>
      </c>
      <c r="CT564" s="2" t="e">
        <f ca="1">_xll.BDH($C$553,"CUR_RATIO","FQ1 2016","FQ1 2016","Currency=INR","Period=FQ","BEST_FPERIOD_OVERRIDE=FQ","FILING_STATUS=OR","EQY_CONSOLIDATED=Y","Sort=A","Dates=H","DateFormat=P","Fill=—","Direction=H","UseDPDF=Y")</f>
        <v>#NAME?</v>
      </c>
      <c r="CU564" s="2" t="e">
        <f ca="1">_xll.BDH($C$553,"QUICK_RATIO","FQ1 2016","FQ1 2016","Currency=INR","Period=FQ","BEST_FPERIOD_OVERRIDE=FQ","FILING_STATUS=OR","EQY_CONSOLIDATED=Y","Sort=A","Dates=H","DateFormat=P","Fill=—","Direction=H","UseDPDF=Y")</f>
        <v>#NAME?</v>
      </c>
      <c r="CV564" s="2" t="e">
        <f ca="1">_xll.BDH($C$553,"ALTMAN_Z_SCORE","FQ1 2016","FQ1 2016","Currency=INR","Period=FQ","BEST_FPERIOD_OVERRIDE=FQ","FILING_STATUS=OR","EQY_CONSOLIDATED=Y","Sort=A","Dates=H","DateFormat=P","Fill=—","Direction=H","UseDPDF=Y")</f>
        <v>#NAME?</v>
      </c>
      <c r="CW564" s="4" t="e">
        <f ca="1">_xll.BDH($C$553,"ACCT_RCV_TURN","FQ1 2016","FQ1 2016","Currency=INR","Period=FQ","BEST_FPERIOD_OVERRIDE=FQ","FILING_STATUS=OR","EQY_CONSOLIDATED=Y","FA_ADJUSTED=GAAP","Sort=A","Dates=H","DateFormat=P","Fill=—","Direction=H","UseDPDF=Y")</f>
        <v>#NAME?</v>
      </c>
      <c r="CX564" s="2" t="e">
        <f ca="1">_xll.BDH($C$553,"ACCT_RCV_DAYS","FQ1 2016","FQ1 2016","Currency=INR","Period=FQ","BEST_FPERIOD_OVERRIDE=FQ","FILING_STATUS=OR","EQY_CONSOLIDATED=Y","FA_ADJUSTED=GAAP","Sort=A","Dates=H","DateFormat=P","Fill=—","Direction=H","UseDPDF=Y")</f>
        <v>#NAME?</v>
      </c>
      <c r="CY564" s="4" t="e">
        <f ca="1">_xll.BDH($C$553,"INVENT_TURN","FQ1 2016","FQ1 2016","Currency=INR","Period=FQ","BEST_FPERIOD_OVERRIDE=FQ","FILING_STATUS=OR","EQY_CONSOLIDATED=Y","FA_ADJUSTED=GAAP","Sort=A","Dates=H","DateFormat=P","Fill=—","Direction=H","UseDPDF=Y")</f>
        <v>#NAME?</v>
      </c>
      <c r="CZ564" s="2" t="e">
        <f ca="1">_xll.BDH($C$553,"INVENT_DAYS","FQ1 2016","FQ1 2016","Currency=INR","Period=FQ","BEST_FPERIOD_OVERRIDE=FQ","FILING_STATUS=OR","EQY_CONSOLIDATED=Y","FA_ADJUSTED=GAAP","Sort=A","Dates=H","DateFormat=P","Fill=—","Direction=H","UseDPDF=Y")</f>
        <v>#NAME?</v>
      </c>
      <c r="DA564" s="4" t="e">
        <f ca="1">_xll.BDH($C$553,"ACCOUNTS_PAYABLE_TURNOVER","FQ1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564" s="2" t="e">
        <f ca="1">_xll.BDH($C$553,"ACCOUNTS_PAYABLE_TURNOVER_DAYS","FQ1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564" s="4" t="e">
        <f ca="1">_xll.BDH($C$553,"CASH_CONVERSION_CYCLE","FQ1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564" s="4" t="e">
        <f ca="1">_xll.BDH($C$553,"INV_TO_CASH_DAYS","FQ1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564" s="5" t="e">
        <f ca="1">_xll.BDH($C$553,"BS_INVENTORIES","FQ1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564" s="3" t="e">
        <f ca="1">_xll.BDH($C$553,"INVTRY_RAW_MATERIALS","FQ1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564" s="3" t="e">
        <f ca="1">_xll.BDH($C$553,"INVTRY_IN_PROGRESS","FQ1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564" s="3" t="e">
        <f ca="1">_xll.BDH($C$553,"INVTRY_FINISHED_GOODS","FQ1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564" s="3" t="e">
        <f ca="1">_xll.BDH($C$553,"BS_OTHER_INV","FQ1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565" spans="1:113" x14ac:dyDescent="0.3">
      <c r="A565" s="6"/>
      <c r="B565" s="6"/>
      <c r="C565" s="6"/>
      <c r="D565" s="6"/>
      <c r="E565" t="s">
        <v>79</v>
      </c>
      <c r="F565" t="e">
        <f ca="1">_xll.BDH($C$553,"RETURN_COM_EQY","FQ2 2016","FQ2 2016","Currency=INR","Period=FQ","BEST_FPERIOD_OVERRIDE=FQ","FILING_STATUS=OR","EQY_CONSOLIDATED=Y","FA_ADJUSTED=GAAP","Sort=A","Dates=H","DateFormat=P","Fill=—","Direction=H","UseDPDF=Y")</f>
        <v>#NAME?</v>
      </c>
      <c r="G565" t="e">
        <f ca="1">_xll.BDH($C$553,"RETURN_ON_ASSET","FQ2 2016","FQ2 2016","Currency=INR","Period=FQ","BEST_FPERIOD_OVERRIDE=FQ","FILING_STATUS=OR","EQY_CONSOLIDATED=Y","FA_ADJUSTED=GAAP","Sort=A","Dates=H","DateFormat=P","Fill=—","Direction=H","UseDPDF=Y")</f>
        <v>#NAME?</v>
      </c>
      <c r="H565" t="e">
        <f ca="1">_xll.BDH($C$553,"RETURN_ON_CAP","FQ2 2016","FQ2 2016","Currency=INR","Period=FQ","BEST_FPERIOD_OVERRIDE=FQ","FILING_STATUS=OR","EQY_CONSOLIDATED=Y","FA_ADJUSTED=GAAP","Sort=A","Dates=H","DateFormat=P","Fill=—","Direction=H","UseDPDF=Y")</f>
        <v>#NAME?</v>
      </c>
      <c r="I565" t="e">
        <f ca="1">_xll.BDH($C$553,"RETURN_ON_INV_CAPITAL","FQ2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565" t="e">
        <f ca="1">_xll.BDH($C$553,"EBITDA_TO_REVENUE","FQ2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565" t="e">
        <f ca="1">_xll.BDH($C$553,"OPER_MARGIN","FQ2 2016","FQ2 2016","Currency=INR","Period=FQ","BEST_FPERIOD_OVERRIDE=FQ","FILING_STATUS=OR","EQY_CONSOLIDATED=Y","FA_ADJUSTED=GAAP","Sort=A","Dates=H","DateFormat=P","Fill=—","Direction=H","UseDPDF=Y")</f>
        <v>#NAME?</v>
      </c>
      <c r="L565" t="e">
        <f ca="1">_xll.BDH($C$553,"INCREMENTAL_OPERATING_MARGIN","FQ2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565" t="e">
        <f ca="1">_xll.BDH($C$553,"PRETAX_INC_TO_NET_SALES","FQ2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565" t="e">
        <f ca="1">_xll.BDH($C$553,"INC_BEF_XO_ITEMS_TO_NET_SALES","FQ2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565" t="e">
        <f ca="1">_xll.BDH($C$553,"PROF_MARGIN","FQ2 2016","FQ2 2016","Currency=INR","Period=FQ","BEST_FPERIOD_OVERRIDE=FQ","FILING_STATUS=OR","EQY_CONSOLIDATED=Y","FA_ADJUSTED=GAAP","Sort=A","Dates=H","DateFormat=P","Fill=—","Direction=H","UseDPDF=Y")</f>
        <v>#NAME?</v>
      </c>
      <c r="P565" t="e">
        <f ca="1">_xll.BDH($C$553,"NET_INCOME_TO_COMMON_MARGIN","FQ2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565" t="e">
        <f ca="1">_xll.BDH($C$553,"EFF_TAX_RATE","FQ2 2016","FQ2 2016","Currency=INR","Period=FQ","BEST_FPERIOD_OVERRIDE=FQ","FILING_STATUS=OR","EQY_CONSOLIDATED=Y","FA_ADJUSTED=GAAP","Sort=A","Dates=H","DateFormat=P","Fill=—","Direction=H","UseDPDF=Y")</f>
        <v>#NAME?</v>
      </c>
      <c r="R565" t="e">
        <f ca="1">_xll.BDH($C$553,"DVD_PAYOUT_RATIO","FQ2 2016","FQ2 2016","Currency=INR","Period=FQ","BEST_FPERIOD_OVERRIDE=FQ","FILING_STATUS=OR","EQY_CONSOLIDATED=Y","FA_ADJUSTED=GAAP","Sort=A","Dates=H","DateFormat=P","Fill=—","Direction=H","UseDPDF=Y")</f>
        <v>#NAME?</v>
      </c>
      <c r="S565" t="e">
        <f ca="1">_xll.BDH($C$553,"SUSTAIN_GROWTH_RT","FQ2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565" s="2" t="e">
        <f ca="1">_xll.BDH($C$553,"SALES_GROWTH","FQ2 2016","FQ2 2016","Currency=INR","Period=FQ","BEST_FPERIOD_OVERRIDE=FQ","FILING_STATUS=OR","EQY_CONSOLIDATED=Y","FA_ADJUSTED=GAAP","Sort=A","Dates=H","DateFormat=P","Fill=—","Direction=H","UseDPDF=Y")</f>
        <v>#NAME?</v>
      </c>
      <c r="U565" s="2" t="e">
        <f ca="1">_xll.BDH($C$553,"EBITDA_GROWTH","FQ2 2016","FQ2 2016","Currency=INR","Period=FQ","BEST_FPERIOD_OVERRIDE=FQ","FILING_STATUS=OR","EQY_CONSOLIDATED=Y","FA_ADJUSTED=GAAP","Sort=A","Dates=H","DateFormat=P","Fill=—","Direction=H","UseDPDF=Y")</f>
        <v>#NAME?</v>
      </c>
      <c r="V565" s="2" t="e">
        <f ca="1">_xll.BDH($C$553,"OPER_INC_GROWTH","FQ2 2016","FQ2 2016","Currency=INR","Period=FQ","BEST_FPERIOD_OVERRIDE=FQ","FILING_STATUS=OR","EQY_CONSOLIDATED=Y","FA_ADJUSTED=GAAP","Sort=A","Dates=H","DateFormat=P","Fill=—","Direction=H","UseDPDF=Y")</f>
        <v>#NAME?</v>
      </c>
      <c r="W565" s="2" t="e">
        <f ca="1">_xll.BDH($C$553,"EARN_FOR_COM_GROWTH","FQ2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565" s="2" t="e">
        <f ca="1">_xll.BDH($C$553,"DILUTED_EPS_AFT_XO_ITEMS_GROWTH","FQ2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565" s="2" t="e">
        <f ca="1">_xll.BDH($C$553,"DIVIDEND_PER_SHARE_1_YEAR_GROWTH","FQ2 2016","FQ2 2016","Currency=INR","Period=FQ","BEST_FPERIOD_OVERRIDE=FQ","FILING_STATUS=OR","EQY_CONSOLIDATED=Y","Sort=A","Dates=H","DateFormat=P","Fill=—","Direction=H","UseDPDF=Y")</f>
        <v>#NAME?</v>
      </c>
      <c r="Z565" s="2" t="e">
        <f ca="1">_xll.BDH($C$553,"ACCOUNTS_RECEIVABLE_GROWTH","FQ2 2016","FQ2 2016","Currency=INR","Period=FQ","BEST_FPERIOD_OVERRIDE=FQ","FILING_STATUS=OR","EQY_CONSOLIDATED=Y","Sort=A","Dates=H","DateFormat=P","Fill=—","Direction=H","UseDPDF=Y")</f>
        <v>#NAME?</v>
      </c>
      <c r="AA565" s="2" t="e">
        <f ca="1">_xll.BDH($C$553,"INVENTORY_GROWTH","FQ2 2016","FQ2 2016","Currency=INR","Period=FQ","BEST_FPERIOD_OVERRIDE=FQ","FILING_STATUS=OR","EQY_CONSOLIDATED=Y","Sort=A","Dates=H","DateFormat=P","Fill=—","Direction=H","UseDPDF=Y")</f>
        <v>#NAME?</v>
      </c>
      <c r="AB565" s="2" t="e">
        <f ca="1">_xll.BDH($C$553,"NET_FIXED_ASSETS_1_YEAR_GROWTH","FQ2 2016","FQ2 2016","Currency=INR","Period=FQ","BEST_FPERIOD_OVERRIDE=FQ","FILING_STATUS=OR","EQY_CONSOLIDATED=Y","Sort=A","Dates=H","DateFormat=P","Fill=—","Direction=H","UseDPDF=Y")</f>
        <v>#NAME?</v>
      </c>
      <c r="AC565" s="2" t="e">
        <f ca="1">_xll.BDH($C$553,"ASSET_GROWTH","FQ2 2016","FQ2 2016","Currency=INR","Period=FQ","BEST_FPERIOD_OVERRIDE=FQ","FILING_STATUS=OR","EQY_CONSOLIDATED=Y","Sort=A","Dates=H","DateFormat=P","Fill=—","Direction=H","UseDPDF=Y")</f>
        <v>#NAME?</v>
      </c>
      <c r="AD565" s="2" t="e">
        <f ca="1">_xll.BDH($C$553,"MODIFIED_WORK_CAP_GROWTH","FQ2 2016","FQ2 2016","Currency=INR","Period=FQ","BEST_FPERIOD_OVERRIDE=FQ","FILING_STATUS=OR","EQY_CONSOLIDATED=Y","Sort=A","Dates=H","DateFormat=P","Fill=—","Direction=H","UseDPDF=Y")</f>
        <v>#NAME?</v>
      </c>
      <c r="AE565" s="2" t="e">
        <f ca="1">_xll.BDH($C$553,"WORK_CAP_GROWTH","FQ2 2016","FQ2 2016","Currency=INR","Period=FQ","BEST_FPERIOD_OVERRIDE=FQ","FILING_STATUS=OR","EQY_CONSOLIDATED=Y","Sort=A","Dates=H","DateFormat=P","Fill=—","Direction=H","UseDPDF=Y")</f>
        <v>#NAME?</v>
      </c>
      <c r="AF565" s="2" t="e">
        <f ca="1">_xll.BDH($C$553,"ACCOUNTS_PAYABLE_GROWTH_1YR","FQ2 2016","FQ2 2016","Currency=INR","Period=FQ","BEST_FPERIOD_OVERRIDE=FQ","FILING_STATUS=OR","EQY_CONSOLIDATED=Y","Sort=A","Dates=H","DateFormat=P","Fill=—","Direction=H","UseDPDF=Y")</f>
        <v>#NAME?</v>
      </c>
      <c r="AG565" s="2" t="e">
        <f ca="1">_xll.BDH($C$553,"SHORT_TERM_DEBT_1_YEAR_GROWTH","FQ2 2016","FQ2 2016","Currency=INR","Period=FQ","BEST_FPERIOD_OVERRIDE=FQ","FILING_STATUS=OR","EQY_CONSOLIDATED=Y","Sort=A","Dates=H","DateFormat=P","Fill=—","Direction=H","UseDPDF=Y")</f>
        <v>#NAME?</v>
      </c>
      <c r="AH565" s="2" t="e">
        <f ca="1">_xll.BDH($C$553,"TOTAL_DEBT_1_YEAR_GROWTH","FQ2 2016","FQ2 2016","Currency=INR","Period=FQ","BEST_FPERIOD_OVERRIDE=FQ","FILING_STATUS=OR","EQY_CONSOLIDATED=Y","Sort=A","Dates=H","DateFormat=P","Fill=—","Direction=H","UseDPDF=Y")</f>
        <v>#NAME?</v>
      </c>
      <c r="AI565" s="2" t="e">
        <f ca="1">_xll.BDH($C$553,"TOTAL_EQUITY_1_YEAR_GROWTH","FQ2 2016","FQ2 2016","Currency=INR","Period=FQ","BEST_FPERIOD_OVERRIDE=FQ","FILING_STATUS=OR","EQY_CONSOLIDATED=Y","Sort=A","Dates=H","DateFormat=P","Fill=—","Direction=H","UseDPDF=Y")</f>
        <v>#NAME?</v>
      </c>
      <c r="AJ565" s="2" t="e">
        <f ca="1">_xll.BDH($C$553,"GROWTH_IN_CAP","FQ2 2016","FQ2 2016","Currency=INR","Period=FQ","BEST_FPERIOD_OVERRIDE=FQ","FILING_STATUS=OR","EQY_CONSOLIDATED=Y","Sort=A","Dates=H","DateFormat=P","Fill=—","Direction=H","UseDPDF=Y")</f>
        <v>#NAME?</v>
      </c>
      <c r="AK565" s="2" t="e">
        <f ca="1">_xll.BDH($C$553,"BVPS_GROWTH","FQ2 2016","FQ2 2016","Currency=INR","Period=FQ","BEST_FPERIOD_OVERRIDE=FQ","FILING_STATUS=OR","EQY_CONSOLIDATED=Y","Sort=A","Dates=H","DateFormat=P","Fill=—","Direction=H","UseDPDF=Y")</f>
        <v>#NAME?</v>
      </c>
      <c r="AL565" s="2" t="e">
        <f ca="1">_xll.BDH($C$553,"CASH_FLOW_GROWTH","FQ2 2016","FQ2 2016","Currency=INR","Period=FQ","BEST_FPERIOD_OVERRIDE=FQ","FILING_STATUS=OR","EQY_CONSOLIDATED=Y","Sort=A","Dates=H","DateFormat=P","Fill=—","Direction=H","UseDPDF=Y")</f>
        <v>#NAME?</v>
      </c>
      <c r="AM565" s="2" t="e">
        <f ca="1">_xll.BDH($C$553,"GEO_GROW_NET_SALES","FQ2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565" s="2" t="e">
        <f ca="1">_xll.BDH($C$553,"GEO_GROW_EBITDA","FQ2 2016","FQ2 2016","Currency=INR","Period=FQ","BEST_FPERIOD_OVERRIDE=FQ","FILING_STATUS=OR","EQY_CONSOLIDATED=Y","FA_ADJUSTED=GAAP","Sort=A","Dates=H","DateFormat=P","Fill=—","Direction=H","UseDPDF=Y")</f>
        <v>#NAME?</v>
      </c>
      <c r="AO565" s="2" t="e">
        <f ca="1">_xll.BDH($C$553,"GEO_GROW_OPER_INC","FQ2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565" s="2" t="e">
        <f ca="1">_xll.BDH($C$553,"NET_INCOME_TO_COMMON_5_YR_GROWTH","FQ2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565" s="2" t="e">
        <f ca="1">_xll.BDH($C$553,"5Y_GEO_GROWTH_DILUTED_EPS","FQ2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565" s="2" t="e">
        <f ca="1">_xll.BDH($C$553,"GEO_GROW_DVD_PER_SH","FQ2 2016","FQ2 2016","Currency=INR","Period=FQ","BEST_FPERIOD_OVERRIDE=FQ","FILING_STATUS=OR","EQY_CONSOLIDATED=Y","Sort=A","Dates=H","DateFormat=P","Fill=—","Direction=H","UseDPDF=Y")</f>
        <v>#NAME?</v>
      </c>
      <c r="AS565" s="2" t="e">
        <f ca="1">_xll.BDH($C$553,"ACCOUNTS_RECEIVABLE_5_YR_GROWTH","FQ2 2016","FQ2 2016","Currency=INR","Period=FQ","BEST_FPERIOD_OVERRIDE=FQ","FILING_STATUS=OR","EQY_CONSOLIDATED=Y","Sort=A","Dates=H","DateFormat=P","Fill=—","Direction=H","UseDPDF=Y")</f>
        <v>#NAME?</v>
      </c>
      <c r="AT565" s="2" t="e">
        <f ca="1">_xll.BDH($C$553,"INVENTORY_5_YEAR_GROWTH","FQ2 2016","FQ2 2016","Currency=INR","Period=FQ","BEST_FPERIOD_OVERRIDE=FQ","FILING_STATUS=OR","EQY_CONSOLIDATED=Y","Sort=A","Dates=H","DateFormat=P","Fill=—","Direction=H","UseDPDF=Y")</f>
        <v>#NAME?</v>
      </c>
      <c r="AU565" s="2" t="e">
        <f ca="1">_xll.BDH($C$553,"NET_FIXED_ASSETS_5_YEAR_GROWTH","FQ2 2016","FQ2 2016","Currency=INR","Period=FQ","BEST_FPERIOD_OVERRIDE=FQ","FILING_STATUS=OR","EQY_CONSOLIDATED=Y","Sort=A","Dates=H","DateFormat=P","Fill=—","Direction=H","UseDPDF=Y")</f>
        <v>#NAME?</v>
      </c>
      <c r="AV565" s="2" t="e">
        <f ca="1">_xll.BDH($C$553,"GEO_GROW_TOT_ASSET","FQ2 2016","FQ2 2016","Currency=INR","Period=FQ","BEST_FPERIOD_OVERRIDE=FQ","FILING_STATUS=OR","EQY_CONSOLIDATED=Y","Sort=A","Dates=H","DateFormat=P","Fill=—","Direction=H","UseDPDF=Y")</f>
        <v>#NAME?</v>
      </c>
      <c r="AW565" s="2" t="e">
        <f ca="1">_xll.BDH($C$553,"MODIFIED_WORKING_CPTL_5YR_GRWTH","FQ2 2016","FQ2 2016","Currency=INR","Period=FQ","BEST_FPERIOD_OVERRIDE=FQ","FILING_STATUS=OR","EQY_CONSOLIDATED=Y","Sort=A","Dates=H","DateFormat=P","Fill=—","Direction=H","UseDPDF=Y")</f>
        <v>#NAME?</v>
      </c>
      <c r="AX565" s="2" t="e">
        <f ca="1">_xll.BDH($C$553,"WORKING_CAPITAL_5_YEAR_GROWTH","FQ2 2016","FQ2 2016","Currency=INR","Period=FQ","BEST_FPERIOD_OVERRIDE=FQ","FILING_STATUS=OR","EQY_CONSOLIDATED=Y","Sort=A","Dates=H","DateFormat=P","Fill=—","Direction=H","UseDPDF=Y")</f>
        <v>#NAME?</v>
      </c>
      <c r="AY565" s="2" t="e">
        <f ca="1">_xll.BDH($C$553,"ACCOUNTS_PAYABLE_5_YEAR_GROWTH","FQ2 2016","FQ2 2016","Currency=INR","Period=FQ","BEST_FPERIOD_OVERRIDE=FQ","FILING_STATUS=OR","EQY_CONSOLIDATED=Y","Sort=A","Dates=H","DateFormat=P","Fill=—","Direction=H","UseDPDF=Y")</f>
        <v>#NAME?</v>
      </c>
      <c r="AZ565" s="2" t="e">
        <f ca="1">_xll.BDH($C$553,"SHORT_TERM_DEBT_5_YEAR_GROWTH","FQ2 2016","FQ2 2016","Currency=INR","Period=FQ","BEST_FPERIOD_OVERRIDE=FQ","FILING_STATUS=OR","EQY_CONSOLIDATED=Y","Sort=A","Dates=H","DateFormat=P","Fill=—","Direction=H","UseDPDF=Y")</f>
        <v>#NAME?</v>
      </c>
      <c r="BA565" s="2" t="e">
        <f ca="1">_xll.BDH($C$553,"TOTAL_DEBT_5_YEAR_GROWTH","FQ2 2016","FQ2 2016","Currency=INR","Period=FQ","BEST_FPERIOD_OVERRIDE=FQ","FILING_STATUS=OR","EQY_CONSOLIDATED=Y","Sort=A","Dates=H","DateFormat=P","Fill=—","Direction=H","UseDPDF=Y")</f>
        <v>#NAME?</v>
      </c>
      <c r="BB565" s="2" t="e">
        <f ca="1">_xll.BDH($C$553,"GEO_GROW_TOT_SHRHLDR_EQY","FQ2 2016","FQ2 2016","Currency=INR","Period=FQ","BEST_FPERIOD_OVERRIDE=FQ","FILING_STATUS=OR","EQY_CONSOLIDATED=Y","Sort=A","Dates=H","DateFormat=P","Fill=—","Direction=H","UseDPDF=Y")</f>
        <v>#NAME?</v>
      </c>
      <c r="BC565" s="2" t="e">
        <f ca="1">_xll.BDH($C$553,"TOTAL_CAPITAL_5_YEAR_GROWTH","FQ2 2016","FQ2 2016","Currency=INR","Period=FQ","BEST_FPERIOD_OVERRIDE=FQ","FILING_STATUS=OR","EQY_CONSOLIDATED=Y","Sort=A","Dates=H","DateFormat=P","Fill=—","Direction=H","UseDPDF=Y")</f>
        <v>#NAME?</v>
      </c>
      <c r="BD565" s="2" t="e">
        <f ca="1">_xll.BDH($C$553,"GEO_GROW_BOOK_VAL","FQ2 2016","FQ2 2016","Currency=INR","Period=FQ","BEST_FPERIOD_OVERRIDE=FQ","FILING_STATUS=OR","EQY_CONSOLIDATED=Y","Sort=A","Dates=H","DateFormat=P","Fill=—","Direction=H","UseDPDF=Y")</f>
        <v>#NAME?</v>
      </c>
      <c r="BE565" s="2" t="e">
        <f ca="1">_xll.BDH($C$553,"GEO_GROW_CASH_OPER_ACT","FQ2 2016","FQ2 2016","Currency=INR","Period=FQ","BEST_FPERIOD_OVERRIDE=FQ","FILING_STATUS=OR","EQY_CONSOLIDATED=Y","Sort=A","Dates=H","DateFormat=P","Fill=—","Direction=H","UseDPDF=Y")</f>
        <v>#NAME?</v>
      </c>
      <c r="BF565" s="2" t="e">
        <f ca="1">_xll.BDH($C$553,"REVENUE_SEQUENTIAL_GROWTH","FQ2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565" s="2" t="e">
        <f ca="1">_xll.BDH($C$553,"EBITDA_SEQUENTIAL_GROWTH","FQ2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565" s="2" t="e">
        <f ca="1">_xll.BDH($C$553,"OPERATING_INCOME_SEQ_GROWTH","FQ2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565" s="2" t="e">
        <f ca="1">_xll.BDH($C$553,"NET_INCOME_TO_COMMON_SEQ_GROWTH","FQ2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565" s="2" t="e">
        <f ca="1">_xll.BDH($C$553,"EPS_DILUTED_SEQUENTIAL_GROWTH","FQ2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565" s="2" t="e">
        <f ca="1">_xll.BDH($C$553,"DPS_SEQUENTIAL_GROWTH","FQ2 2016","FQ2 2016","Currency=INR","Period=FQ","BEST_FPERIOD_OVERRIDE=FQ","FILING_STATUS=OR","EQY_CONSOLIDATED=Y","Sort=A","Dates=H","DateFormat=P","Fill=—","Direction=H","UseDPDF=Y")</f>
        <v>#NAME?</v>
      </c>
      <c r="BL565" s="2" t="e">
        <f ca="1">_xll.BDH($C$553,"ACCOUNTS_RECEIVABLE_SEQ_GROWTH","FQ2 2016","FQ2 2016","Currency=INR","Period=FQ","BEST_FPERIOD_OVERRIDE=FQ","FILING_STATUS=OR","EQY_CONSOLIDATED=Y","Sort=A","Dates=H","DateFormat=P","Fill=—","Direction=H","UseDPDF=Y")</f>
        <v>#NAME?</v>
      </c>
      <c r="BM565" s="2" t="e">
        <f ca="1">_xll.BDH($C$553,"INVENTORY_SEQUENTIAL_GROWTH","FQ2 2016","FQ2 2016","Currency=INR","Period=FQ","BEST_FPERIOD_OVERRIDE=FQ","FILING_STATUS=OR","EQY_CONSOLIDATED=Y","Sort=A","Dates=H","DateFormat=P","Fill=—","Direction=H","UseDPDF=Y")</f>
        <v>#NAME?</v>
      </c>
      <c r="BN565" s="2" t="e">
        <f ca="1">_xll.BDH($C$553,"FIXED_ASSETS_SEQUENTIAL_GROWTH","FQ2 2016","FQ2 2016","Currency=INR","Period=FQ","BEST_FPERIOD_OVERRIDE=FQ","FILING_STATUS=OR","EQY_CONSOLIDATED=Y","Sort=A","Dates=H","DateFormat=P","Fill=—","Direction=H","UseDPDF=Y")</f>
        <v>#NAME?</v>
      </c>
      <c r="BO565" s="2" t="e">
        <f ca="1">_xll.BDH($C$553,"TOTAL_ASSETS_SEQUENTIAL_GROWTH","FQ2 2016","FQ2 2016","Currency=INR","Period=FQ","BEST_FPERIOD_OVERRIDE=FQ","FILING_STATUS=OR","EQY_CONSOLIDATED=Y","Sort=A","Dates=H","DateFormat=P","Fill=—","Direction=H","UseDPDF=Y")</f>
        <v>#NAME?</v>
      </c>
      <c r="BP565" s="2" t="e">
        <f ca="1">_xll.BDH($C$553,"MODIFIED_WORKING_CPTL_SEQ_GRWTH","FQ2 2016","FQ2 2016","Currency=INR","Period=FQ","BEST_FPERIOD_OVERRIDE=FQ","FILING_STATUS=OR","EQY_CONSOLIDATED=Y","Sort=A","Dates=H","DateFormat=P","Fill=—","Direction=H","UseDPDF=Y")</f>
        <v>#NAME?</v>
      </c>
      <c r="BQ565" s="2" t="e">
        <f ca="1">_xll.BDH($C$553,"WORKING_CAPITAL_SEQ_GROWTH","FQ2 2016","FQ2 2016","Currency=INR","Period=FQ","BEST_FPERIOD_OVERRIDE=FQ","FILING_STATUS=OR","EQY_CONSOLIDATED=Y","Sort=A","Dates=H","DateFormat=P","Fill=—","Direction=H","UseDPDF=Y")</f>
        <v>#NAME?</v>
      </c>
      <c r="BR565" s="2" t="e">
        <f ca="1">_xll.BDH($C$553,"ACCOUNTS_PAYABLE_SEQ_GROWTH","FQ2 2016","FQ2 2016","Currency=INR","Period=FQ","BEST_FPERIOD_OVERRIDE=FQ","FILING_STATUS=OR","EQY_CONSOLIDATED=Y","Sort=A","Dates=H","DateFormat=P","Fill=—","Direction=H","UseDPDF=Y")</f>
        <v>#NAME?</v>
      </c>
      <c r="BS565" s="2" t="e">
        <f ca="1">_xll.BDH($C$553,"ST_DEBT_SEQUENTIAL_GROWTH","FQ2 2016","FQ2 2016","Currency=INR","Period=FQ","BEST_FPERIOD_OVERRIDE=FQ","FILING_STATUS=OR","EQY_CONSOLIDATED=Y","Sort=A","Dates=H","DateFormat=P","Fill=—","Direction=H","UseDPDF=Y")</f>
        <v>#NAME?</v>
      </c>
      <c r="BT565" s="2" t="e">
        <f ca="1">_xll.BDH($C$553,"TOTAL_DEBT_SEQUENTIAL_GROWTH","FQ2 2016","FQ2 2016","Currency=INR","Period=FQ","BEST_FPERIOD_OVERRIDE=FQ","FILING_STATUS=OR","EQY_CONSOLIDATED=Y","Sort=A","Dates=H","DateFormat=P","Fill=—","Direction=H","UseDPDF=Y")</f>
        <v>#NAME?</v>
      </c>
      <c r="BU565" s="2" t="e">
        <f ca="1">_xll.BDH($C$553,"TOTAL_EQUITY_SEQUENTIAL_GROWTH","FQ2 2016","FQ2 2016","Currency=INR","Period=FQ","BEST_FPERIOD_OVERRIDE=FQ","FILING_STATUS=OR","EQY_CONSOLIDATED=Y","Sort=A","Dates=H","DateFormat=P","Fill=—","Direction=H","UseDPDF=Y")</f>
        <v>#NAME?</v>
      </c>
      <c r="BV565" s="2" t="e">
        <f ca="1">_xll.BDH($C$553,"TOTAL_CAPITAL_SEQUENTIAL_GROWTH","FQ2 2016","FQ2 2016","Currency=INR","Period=FQ","BEST_FPERIOD_OVERRIDE=FQ","FILING_STATUS=OR","EQY_CONSOLIDATED=Y","Sort=A","Dates=H","DateFormat=P","Fill=—","Direction=H","UseDPDF=Y")</f>
        <v>#NAME?</v>
      </c>
      <c r="BW565" s="2" t="e">
        <f ca="1">_xll.BDH($C$553,"BPS_SEQUENTIAL_GROWTH","FQ2 2016","FQ2 2016","Currency=INR","Period=FQ","BEST_FPERIOD_OVERRIDE=FQ","FILING_STATUS=OR","EQY_CONSOLIDATED=Y","Sort=A","Dates=H","DateFormat=P","Fill=—","Direction=H","UseDPDF=Y")</f>
        <v>#NAME?</v>
      </c>
      <c r="BX565" s="2" t="e">
        <f ca="1">_xll.BDH($C$553,"CFO_SEQUENTIAL_GROWTH","FQ2 2016","FQ2 2016","Currency=INR","Period=FQ","BEST_FPERIOD_OVERRIDE=FQ","FILING_STATUS=OR","EQY_CONSOLIDATED=Y","Sort=A","Dates=H","DateFormat=P","Fill=—","Direction=H","UseDPDF=Y")</f>
        <v>#NAME?</v>
      </c>
      <c r="BY565" s="3" t="e">
        <f ca="1">_xll.BDH($C$553,"SHORT_AND_LONG_TERM_DEBT","FQ2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565" s="3" t="e">
        <f ca="1">_xll.BDH($C$553,"BS_ST_BORROW","FQ2 2016","FQ2 2016","Currency=INR","Period=FQ","BEST_FPERIOD_OVERRIDE=FQ","FILING_STATUS=OR","EQY_CONSOLIDATED=Y","SCALING_FORMAT=MLN","Sort=A","Dates=H","DateFormat=P","Fill=—","Direction=H","UseDPDF=Y")</f>
        <v>#NAME?</v>
      </c>
      <c r="CA565" s="3" t="e">
        <f ca="1">_xll.BDH($C$553,"BS_LT_BORROW","FQ2 2016","FQ2 2016","Currency=INR","Period=FQ","BEST_FPERIOD_OVERRIDE=FQ","FILING_STATUS=OR","EQY_CONSOLIDATED=Y","SCALING_FORMAT=MLN","Sort=A","Dates=H","DateFormat=P","Fill=—","Direction=H","UseDPDF=Y")</f>
        <v>#NAME?</v>
      </c>
      <c r="CB565" s="2" t="e">
        <f ca="1">_xll.BDH($C$553,"TOT_DEBT_TO_EBITDA","FQ2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565" s="2" t="e">
        <f ca="1">_xll.BDH($C$553,"NET_DEBT_TO_EBITDA","FQ2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565" s="2" t="e">
        <f ca="1">_xll.BDH($C$553,"TOTAL_DEBT_TO_EBIT","FQ2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565" s="2" t="e">
        <f ca="1">_xll.BDH($C$553,"NET_DEBT_TO_EBIT","FQ2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565" s="2" t="e">
        <f ca="1">_xll.BDH($C$553,"EBITDA_TO_INTEREST_EXPN","FQ2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565" s="2" t="e">
        <f ca="1">_xll.BDH($C$553,"COM_EQY_TO_TOT_ASSET","FQ2 2016","FQ2 2016","Currency=INR","Period=FQ","BEST_FPERIOD_OVERRIDE=FQ","FILING_STATUS=OR","EQY_CONSOLIDATED=Y","Sort=A","Dates=H","DateFormat=P","Fill=—","Direction=H","UseDPDF=Y")</f>
        <v>#NAME?</v>
      </c>
      <c r="CH565" s="2" t="e">
        <f ca="1">_xll.BDH($C$553,"LT_DEBT_TO_TOT_EQY","FQ2 2016","FQ2 2016","Currency=INR","Period=FQ","BEST_FPERIOD_OVERRIDE=FQ","FILING_STATUS=OR","EQY_CONSOLIDATED=Y","Sort=A","Dates=H","DateFormat=P","Fill=—","Direction=H","UseDPDF=Y")</f>
        <v>#NAME?</v>
      </c>
      <c r="CI565" s="2" t="e">
        <f ca="1">_xll.BDH($C$553,"LT_DEBT_TO_TOT_CAP","FQ2 2016","FQ2 2016","Currency=INR","Period=FQ","BEST_FPERIOD_OVERRIDE=FQ","FILING_STATUS=OR","EQY_CONSOLIDATED=Y","Sort=A","Dates=H","DateFormat=P","Fill=—","Direction=H","UseDPDF=Y")</f>
        <v>#NAME?</v>
      </c>
      <c r="CJ565" s="2" t="e">
        <f ca="1">_xll.BDH($C$553,"LT_DEBT_TO_TOT_ASSET","FQ2 2016","FQ2 2016","Currency=INR","Period=FQ","BEST_FPERIOD_OVERRIDE=FQ","FILING_STATUS=OR","EQY_CONSOLIDATED=Y","Sort=A","Dates=H","DateFormat=P","Fill=—","Direction=H","UseDPDF=Y")</f>
        <v>#NAME?</v>
      </c>
      <c r="CK565" s="2" t="e">
        <f ca="1">_xll.BDH($C$553,"TOT_DEBT_TO_TOT_EQY","FQ2 2016","FQ2 2016","Currency=INR","Period=FQ","BEST_FPERIOD_OVERRIDE=FQ","FILING_STATUS=OR","EQY_CONSOLIDATED=Y","Sort=A","Dates=H","DateFormat=P","Fill=—","Direction=H","UseDPDF=Y")</f>
        <v>#NAME?</v>
      </c>
      <c r="CL565" s="2" t="e">
        <f ca="1">_xll.BDH($C$553,"TOT_DEBT_TO_TOT_CAP","FQ2 2016","FQ2 2016","Currency=INR","Period=FQ","BEST_FPERIOD_OVERRIDE=FQ","FILING_STATUS=OR","EQY_CONSOLIDATED=Y","Sort=A","Dates=H","DateFormat=P","Fill=—","Direction=H","UseDPDF=Y")</f>
        <v>#NAME?</v>
      </c>
      <c r="CM565" s="2" t="e">
        <f ca="1">_xll.BDH($C$553,"TOT_DEBT_TO_TOT_ASSET","FQ2 2016","FQ2 2016","Currency=INR","Period=FQ","BEST_FPERIOD_OVERRIDE=FQ","FILING_STATUS=OR","EQY_CONSOLIDATED=Y","Sort=A","Dates=H","DateFormat=P","Fill=—","Direction=H","UseDPDF=Y")</f>
        <v>#NAME?</v>
      </c>
      <c r="CN565" s="2" t="e">
        <f ca="1">_xll.BDH($C$553,"NET_DEBT_TO_SHRHLDR_EQTY","FQ2 2016","FQ2 2016","Currency=INR","Period=FQ","BEST_FPERIOD_OVERRIDE=FQ","FILING_STATUS=OR","EQY_CONSOLIDATED=Y","Sort=A","Dates=H","DateFormat=P","Fill=—","Direction=H","UseDPDF=Y")</f>
        <v>#NAME?</v>
      </c>
      <c r="CO565" s="2" t="e">
        <f ca="1">_xll.BDH($C$553,"NET_DEBT_%_CAPITAL","FQ2 2016","FQ2 2016","Currency=INR","Period=FQ","BEST_FPERIOD_OVERRIDE=FQ","FILING_STATUS=OR","EQY_CONSOLIDATED=Y","Sort=A","Dates=H","DateFormat=P","Fill=—","Direction=H","UseDPDF=Y")</f>
        <v>#NAME?</v>
      </c>
      <c r="CP565" s="3" t="e">
        <f ca="1">_xll.BDH($C$553,"EBITDA","FQ2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565" s="3" t="e">
        <f ca="1">_xll.BDH($C$553,"EBITDA_AFTER_CAPEX","FQ2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565" s="3" t="e">
        <f ca="1">_xll.BDH($C$553,"IS_OPER_INC","FQ2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565" s="2" t="e">
        <f ca="1">_xll.BDH($C$553,"CASH_RATIO","FQ2 2016","FQ2 2016","Currency=INR","Period=FQ","BEST_FPERIOD_OVERRIDE=FQ","FILING_STATUS=OR","EQY_CONSOLIDATED=Y","Sort=A","Dates=H","DateFormat=P","Fill=—","Direction=H","UseDPDF=Y")</f>
        <v>#NAME?</v>
      </c>
      <c r="CT565" s="2" t="e">
        <f ca="1">_xll.BDH($C$553,"CUR_RATIO","FQ2 2016","FQ2 2016","Currency=INR","Period=FQ","BEST_FPERIOD_OVERRIDE=FQ","FILING_STATUS=OR","EQY_CONSOLIDATED=Y","Sort=A","Dates=H","DateFormat=P","Fill=—","Direction=H","UseDPDF=Y")</f>
        <v>#NAME?</v>
      </c>
      <c r="CU565" s="2" t="e">
        <f ca="1">_xll.BDH($C$553,"QUICK_RATIO","FQ2 2016","FQ2 2016","Currency=INR","Period=FQ","BEST_FPERIOD_OVERRIDE=FQ","FILING_STATUS=OR","EQY_CONSOLIDATED=Y","Sort=A","Dates=H","DateFormat=P","Fill=—","Direction=H","UseDPDF=Y")</f>
        <v>#NAME?</v>
      </c>
      <c r="CV565" s="2" t="e">
        <f ca="1">_xll.BDH($C$553,"ALTMAN_Z_SCORE","FQ2 2016","FQ2 2016","Currency=INR","Period=FQ","BEST_FPERIOD_OVERRIDE=FQ","FILING_STATUS=OR","EQY_CONSOLIDATED=Y","Sort=A","Dates=H","DateFormat=P","Fill=—","Direction=H","UseDPDF=Y")</f>
        <v>#NAME?</v>
      </c>
      <c r="CW565" s="4" t="e">
        <f ca="1">_xll.BDH($C$553,"ACCT_RCV_TURN","FQ2 2016","FQ2 2016","Currency=INR","Period=FQ","BEST_FPERIOD_OVERRIDE=FQ","FILING_STATUS=OR","EQY_CONSOLIDATED=Y","FA_ADJUSTED=GAAP","Sort=A","Dates=H","DateFormat=P","Fill=—","Direction=H","UseDPDF=Y")</f>
        <v>#NAME?</v>
      </c>
      <c r="CX565" s="2" t="e">
        <f ca="1">_xll.BDH($C$553,"ACCT_RCV_DAYS","FQ2 2016","FQ2 2016","Currency=INR","Period=FQ","BEST_FPERIOD_OVERRIDE=FQ","FILING_STATUS=OR","EQY_CONSOLIDATED=Y","FA_ADJUSTED=GAAP","Sort=A","Dates=H","DateFormat=P","Fill=—","Direction=H","UseDPDF=Y")</f>
        <v>#NAME?</v>
      </c>
      <c r="CY565" s="4" t="e">
        <f ca="1">_xll.BDH($C$553,"INVENT_TURN","FQ2 2016","FQ2 2016","Currency=INR","Period=FQ","BEST_FPERIOD_OVERRIDE=FQ","FILING_STATUS=OR","EQY_CONSOLIDATED=Y","FA_ADJUSTED=GAAP","Sort=A","Dates=H","DateFormat=P","Fill=—","Direction=H","UseDPDF=Y")</f>
        <v>#NAME?</v>
      </c>
      <c r="CZ565" s="2" t="e">
        <f ca="1">_xll.BDH($C$553,"INVENT_DAYS","FQ2 2016","FQ2 2016","Currency=INR","Period=FQ","BEST_FPERIOD_OVERRIDE=FQ","FILING_STATUS=OR","EQY_CONSOLIDATED=Y","FA_ADJUSTED=GAAP","Sort=A","Dates=H","DateFormat=P","Fill=—","Direction=H","UseDPDF=Y")</f>
        <v>#NAME?</v>
      </c>
      <c r="DA565" s="4" t="e">
        <f ca="1">_xll.BDH($C$553,"ACCOUNTS_PAYABLE_TURNOVER","FQ2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565" s="2" t="e">
        <f ca="1">_xll.BDH($C$553,"ACCOUNTS_PAYABLE_TURNOVER_DAYS","FQ2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565" s="4" t="e">
        <f ca="1">_xll.BDH($C$553,"CASH_CONVERSION_CYCLE","FQ2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565" s="4" t="e">
        <f ca="1">_xll.BDH($C$553,"INV_TO_CASH_DAYS","FQ2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565" s="5" t="e">
        <f ca="1">_xll.BDH($C$553,"BS_INVENTORIES","FQ2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565" s="3" t="e">
        <f ca="1">_xll.BDH($C$553,"INVTRY_RAW_MATERIALS","FQ2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565" s="3" t="e">
        <f ca="1">_xll.BDH($C$553,"INVTRY_IN_PROGRESS","FQ2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565" s="3" t="e">
        <f ca="1">_xll.BDH($C$553,"INVTRY_FINISHED_GOODS","FQ2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565" s="3" t="e">
        <f ca="1">_xll.BDH($C$553,"BS_OTHER_INV","FQ2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566" spans="1:113" x14ac:dyDescent="0.3">
      <c r="A566" s="6"/>
      <c r="B566" s="6"/>
      <c r="C566" s="6"/>
      <c r="D566" s="6"/>
      <c r="E566" t="s">
        <v>80</v>
      </c>
      <c r="F566" t="e">
        <f ca="1">_xll.BDH($C$553,"RETURN_COM_EQY","FQ3 2016","FQ3 2016","Currency=INR","Period=FQ","BEST_FPERIOD_OVERRIDE=FQ","FILING_STATUS=OR","EQY_CONSOLIDATED=Y","FA_ADJUSTED=GAAP","Sort=A","Dates=H","DateFormat=P","Fill=—","Direction=H","UseDPDF=Y")</f>
        <v>#NAME?</v>
      </c>
      <c r="G566" t="e">
        <f ca="1">_xll.BDH($C$553,"RETURN_ON_ASSET","FQ3 2016","FQ3 2016","Currency=INR","Period=FQ","BEST_FPERIOD_OVERRIDE=FQ","FILING_STATUS=OR","EQY_CONSOLIDATED=Y","FA_ADJUSTED=GAAP","Sort=A","Dates=H","DateFormat=P","Fill=—","Direction=H","UseDPDF=Y")</f>
        <v>#NAME?</v>
      </c>
      <c r="H566" t="e">
        <f ca="1">_xll.BDH($C$553,"RETURN_ON_CAP","FQ3 2016","FQ3 2016","Currency=INR","Period=FQ","BEST_FPERIOD_OVERRIDE=FQ","FILING_STATUS=OR","EQY_CONSOLIDATED=Y","FA_ADJUSTED=GAAP","Sort=A","Dates=H","DateFormat=P","Fill=—","Direction=H","UseDPDF=Y")</f>
        <v>#NAME?</v>
      </c>
      <c r="I566" t="e">
        <f ca="1">_xll.BDH($C$553,"RETURN_ON_INV_CAPITAL","FQ3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566" t="e">
        <f ca="1">_xll.BDH($C$553,"EBITDA_TO_REVENUE","FQ3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566" t="e">
        <f ca="1">_xll.BDH($C$553,"OPER_MARGIN","FQ3 2016","FQ3 2016","Currency=INR","Period=FQ","BEST_FPERIOD_OVERRIDE=FQ","FILING_STATUS=OR","EQY_CONSOLIDATED=Y","FA_ADJUSTED=GAAP","Sort=A","Dates=H","DateFormat=P","Fill=—","Direction=H","UseDPDF=Y")</f>
        <v>#NAME?</v>
      </c>
      <c r="L566" t="e">
        <f ca="1">_xll.BDH($C$553,"INCREMENTAL_OPERATING_MARGIN","FQ3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566" t="e">
        <f ca="1">_xll.BDH($C$553,"PRETAX_INC_TO_NET_SALES","FQ3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566" t="e">
        <f ca="1">_xll.BDH($C$553,"INC_BEF_XO_ITEMS_TO_NET_SALES","FQ3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566" t="e">
        <f ca="1">_xll.BDH($C$553,"PROF_MARGIN","FQ3 2016","FQ3 2016","Currency=INR","Period=FQ","BEST_FPERIOD_OVERRIDE=FQ","FILING_STATUS=OR","EQY_CONSOLIDATED=Y","FA_ADJUSTED=GAAP","Sort=A","Dates=H","DateFormat=P","Fill=—","Direction=H","UseDPDF=Y")</f>
        <v>#NAME?</v>
      </c>
      <c r="P566" t="e">
        <f ca="1">_xll.BDH($C$553,"NET_INCOME_TO_COMMON_MARGIN","FQ3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566" t="e">
        <f ca="1">_xll.BDH($C$553,"EFF_TAX_RATE","FQ3 2016","FQ3 2016","Currency=INR","Period=FQ","BEST_FPERIOD_OVERRIDE=FQ","FILING_STATUS=OR","EQY_CONSOLIDATED=Y","FA_ADJUSTED=GAAP","Sort=A","Dates=H","DateFormat=P","Fill=—","Direction=H","UseDPDF=Y")</f>
        <v>#NAME?</v>
      </c>
      <c r="R566" t="e">
        <f ca="1">_xll.BDH($C$553,"DVD_PAYOUT_RATIO","FQ3 2016","FQ3 2016","Currency=INR","Period=FQ","BEST_FPERIOD_OVERRIDE=FQ","FILING_STATUS=OR","EQY_CONSOLIDATED=Y","FA_ADJUSTED=GAAP","Sort=A","Dates=H","DateFormat=P","Fill=—","Direction=H","UseDPDF=Y")</f>
        <v>#NAME?</v>
      </c>
      <c r="S566" t="e">
        <f ca="1">_xll.BDH($C$553,"SUSTAIN_GROWTH_RT","FQ3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566" s="2" t="e">
        <f ca="1">_xll.BDH($C$553,"SALES_GROWTH","FQ3 2016","FQ3 2016","Currency=INR","Period=FQ","BEST_FPERIOD_OVERRIDE=FQ","FILING_STATUS=OR","EQY_CONSOLIDATED=Y","FA_ADJUSTED=GAAP","Sort=A","Dates=H","DateFormat=P","Fill=—","Direction=H","UseDPDF=Y")</f>
        <v>#NAME?</v>
      </c>
      <c r="U566" s="2" t="e">
        <f ca="1">_xll.BDH($C$553,"EBITDA_GROWTH","FQ3 2016","FQ3 2016","Currency=INR","Period=FQ","BEST_FPERIOD_OVERRIDE=FQ","FILING_STATUS=OR","EQY_CONSOLIDATED=Y","FA_ADJUSTED=GAAP","Sort=A","Dates=H","DateFormat=P","Fill=—","Direction=H","UseDPDF=Y")</f>
        <v>#NAME?</v>
      </c>
      <c r="V566" s="2" t="e">
        <f ca="1">_xll.BDH($C$553,"OPER_INC_GROWTH","FQ3 2016","FQ3 2016","Currency=INR","Period=FQ","BEST_FPERIOD_OVERRIDE=FQ","FILING_STATUS=OR","EQY_CONSOLIDATED=Y","FA_ADJUSTED=GAAP","Sort=A","Dates=H","DateFormat=P","Fill=—","Direction=H","UseDPDF=Y")</f>
        <v>#NAME?</v>
      </c>
      <c r="W566" s="2" t="e">
        <f ca="1">_xll.BDH($C$553,"EARN_FOR_COM_GROWTH","FQ3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566" s="2" t="e">
        <f ca="1">_xll.BDH($C$553,"DILUTED_EPS_AFT_XO_ITEMS_GROWTH","FQ3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566" s="2" t="e">
        <f ca="1">_xll.BDH($C$553,"DIVIDEND_PER_SHARE_1_YEAR_GROWTH","FQ3 2016","FQ3 2016","Currency=INR","Period=FQ","BEST_FPERIOD_OVERRIDE=FQ","FILING_STATUS=OR","EQY_CONSOLIDATED=Y","Sort=A","Dates=H","DateFormat=P","Fill=—","Direction=H","UseDPDF=Y")</f>
        <v>#NAME?</v>
      </c>
      <c r="Z566" s="2" t="e">
        <f ca="1">_xll.BDH($C$553,"ACCOUNTS_RECEIVABLE_GROWTH","FQ3 2016","FQ3 2016","Currency=INR","Period=FQ","BEST_FPERIOD_OVERRIDE=FQ","FILING_STATUS=OR","EQY_CONSOLIDATED=Y","Sort=A","Dates=H","DateFormat=P","Fill=—","Direction=H","UseDPDF=Y")</f>
        <v>#NAME?</v>
      </c>
      <c r="AA566" s="2" t="e">
        <f ca="1">_xll.BDH($C$553,"INVENTORY_GROWTH","FQ3 2016","FQ3 2016","Currency=INR","Period=FQ","BEST_FPERIOD_OVERRIDE=FQ","FILING_STATUS=OR","EQY_CONSOLIDATED=Y","Sort=A","Dates=H","DateFormat=P","Fill=—","Direction=H","UseDPDF=Y")</f>
        <v>#NAME?</v>
      </c>
      <c r="AB566" s="2" t="e">
        <f ca="1">_xll.BDH($C$553,"NET_FIXED_ASSETS_1_YEAR_GROWTH","FQ3 2016","FQ3 2016","Currency=INR","Period=FQ","BEST_FPERIOD_OVERRIDE=FQ","FILING_STATUS=OR","EQY_CONSOLIDATED=Y","Sort=A","Dates=H","DateFormat=P","Fill=—","Direction=H","UseDPDF=Y")</f>
        <v>#NAME?</v>
      </c>
      <c r="AC566" s="2" t="e">
        <f ca="1">_xll.BDH($C$553,"ASSET_GROWTH","FQ3 2016","FQ3 2016","Currency=INR","Period=FQ","BEST_FPERIOD_OVERRIDE=FQ","FILING_STATUS=OR","EQY_CONSOLIDATED=Y","Sort=A","Dates=H","DateFormat=P","Fill=—","Direction=H","UseDPDF=Y")</f>
        <v>#NAME?</v>
      </c>
      <c r="AD566" s="2" t="e">
        <f ca="1">_xll.BDH($C$553,"MODIFIED_WORK_CAP_GROWTH","FQ3 2016","FQ3 2016","Currency=INR","Period=FQ","BEST_FPERIOD_OVERRIDE=FQ","FILING_STATUS=OR","EQY_CONSOLIDATED=Y","Sort=A","Dates=H","DateFormat=P","Fill=—","Direction=H","UseDPDF=Y")</f>
        <v>#NAME?</v>
      </c>
      <c r="AE566" s="2" t="e">
        <f ca="1">_xll.BDH($C$553,"WORK_CAP_GROWTH","FQ3 2016","FQ3 2016","Currency=INR","Period=FQ","BEST_FPERIOD_OVERRIDE=FQ","FILING_STATUS=OR","EQY_CONSOLIDATED=Y","Sort=A","Dates=H","DateFormat=P","Fill=—","Direction=H","UseDPDF=Y")</f>
        <v>#NAME?</v>
      </c>
      <c r="AF566" s="2" t="e">
        <f ca="1">_xll.BDH($C$553,"ACCOUNTS_PAYABLE_GROWTH_1YR","FQ3 2016","FQ3 2016","Currency=INR","Period=FQ","BEST_FPERIOD_OVERRIDE=FQ","FILING_STATUS=OR","EQY_CONSOLIDATED=Y","Sort=A","Dates=H","DateFormat=P","Fill=—","Direction=H","UseDPDF=Y")</f>
        <v>#NAME?</v>
      </c>
      <c r="AG566" s="2" t="e">
        <f ca="1">_xll.BDH($C$553,"SHORT_TERM_DEBT_1_YEAR_GROWTH","FQ3 2016","FQ3 2016","Currency=INR","Period=FQ","BEST_FPERIOD_OVERRIDE=FQ","FILING_STATUS=OR","EQY_CONSOLIDATED=Y","Sort=A","Dates=H","DateFormat=P","Fill=—","Direction=H","UseDPDF=Y")</f>
        <v>#NAME?</v>
      </c>
      <c r="AH566" s="2" t="e">
        <f ca="1">_xll.BDH($C$553,"TOTAL_DEBT_1_YEAR_GROWTH","FQ3 2016","FQ3 2016","Currency=INR","Period=FQ","BEST_FPERIOD_OVERRIDE=FQ","FILING_STATUS=OR","EQY_CONSOLIDATED=Y","Sort=A","Dates=H","DateFormat=P","Fill=—","Direction=H","UseDPDF=Y")</f>
        <v>#NAME?</v>
      </c>
      <c r="AI566" s="2" t="e">
        <f ca="1">_xll.BDH($C$553,"TOTAL_EQUITY_1_YEAR_GROWTH","FQ3 2016","FQ3 2016","Currency=INR","Period=FQ","BEST_FPERIOD_OVERRIDE=FQ","FILING_STATUS=OR","EQY_CONSOLIDATED=Y","Sort=A","Dates=H","DateFormat=P","Fill=—","Direction=H","UseDPDF=Y")</f>
        <v>#NAME?</v>
      </c>
      <c r="AJ566" s="2" t="e">
        <f ca="1">_xll.BDH($C$553,"GROWTH_IN_CAP","FQ3 2016","FQ3 2016","Currency=INR","Period=FQ","BEST_FPERIOD_OVERRIDE=FQ","FILING_STATUS=OR","EQY_CONSOLIDATED=Y","Sort=A","Dates=H","DateFormat=P","Fill=—","Direction=H","UseDPDF=Y")</f>
        <v>#NAME?</v>
      </c>
      <c r="AK566" s="2" t="e">
        <f ca="1">_xll.BDH($C$553,"BVPS_GROWTH","FQ3 2016","FQ3 2016","Currency=INR","Period=FQ","BEST_FPERIOD_OVERRIDE=FQ","FILING_STATUS=OR","EQY_CONSOLIDATED=Y","Sort=A","Dates=H","DateFormat=P","Fill=—","Direction=H","UseDPDF=Y")</f>
        <v>#NAME?</v>
      </c>
      <c r="AL566" s="2" t="e">
        <f ca="1">_xll.BDH($C$553,"CASH_FLOW_GROWTH","FQ3 2016","FQ3 2016","Currency=INR","Period=FQ","BEST_FPERIOD_OVERRIDE=FQ","FILING_STATUS=OR","EQY_CONSOLIDATED=Y","Sort=A","Dates=H","DateFormat=P","Fill=—","Direction=H","UseDPDF=Y")</f>
        <v>#NAME?</v>
      </c>
      <c r="AM566" s="2" t="e">
        <f ca="1">_xll.BDH($C$553,"GEO_GROW_NET_SALES","FQ3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566" s="2" t="e">
        <f ca="1">_xll.BDH($C$553,"GEO_GROW_EBITDA","FQ3 2016","FQ3 2016","Currency=INR","Period=FQ","BEST_FPERIOD_OVERRIDE=FQ","FILING_STATUS=OR","EQY_CONSOLIDATED=Y","FA_ADJUSTED=GAAP","Sort=A","Dates=H","DateFormat=P","Fill=—","Direction=H","UseDPDF=Y")</f>
        <v>#NAME?</v>
      </c>
      <c r="AO566" s="2" t="e">
        <f ca="1">_xll.BDH($C$553,"GEO_GROW_OPER_INC","FQ3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566" s="2" t="e">
        <f ca="1">_xll.BDH($C$553,"NET_INCOME_TO_COMMON_5_YR_GROWTH","FQ3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566" s="2" t="e">
        <f ca="1">_xll.BDH($C$553,"5Y_GEO_GROWTH_DILUTED_EPS","FQ3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566" s="2" t="e">
        <f ca="1">_xll.BDH($C$553,"GEO_GROW_DVD_PER_SH","FQ3 2016","FQ3 2016","Currency=INR","Period=FQ","BEST_FPERIOD_OVERRIDE=FQ","FILING_STATUS=OR","EQY_CONSOLIDATED=Y","Sort=A","Dates=H","DateFormat=P","Fill=—","Direction=H","UseDPDF=Y")</f>
        <v>#NAME?</v>
      </c>
      <c r="AS566" s="2" t="e">
        <f ca="1">_xll.BDH($C$553,"ACCOUNTS_RECEIVABLE_5_YR_GROWTH","FQ3 2016","FQ3 2016","Currency=INR","Period=FQ","BEST_FPERIOD_OVERRIDE=FQ","FILING_STATUS=OR","EQY_CONSOLIDATED=Y","Sort=A","Dates=H","DateFormat=P","Fill=—","Direction=H","UseDPDF=Y")</f>
        <v>#NAME?</v>
      </c>
      <c r="AT566" s="2" t="e">
        <f ca="1">_xll.BDH($C$553,"INVENTORY_5_YEAR_GROWTH","FQ3 2016","FQ3 2016","Currency=INR","Period=FQ","BEST_FPERIOD_OVERRIDE=FQ","FILING_STATUS=OR","EQY_CONSOLIDATED=Y","Sort=A","Dates=H","DateFormat=P","Fill=—","Direction=H","UseDPDF=Y")</f>
        <v>#NAME?</v>
      </c>
      <c r="AU566" s="2" t="e">
        <f ca="1">_xll.BDH($C$553,"NET_FIXED_ASSETS_5_YEAR_GROWTH","FQ3 2016","FQ3 2016","Currency=INR","Period=FQ","BEST_FPERIOD_OVERRIDE=FQ","FILING_STATUS=OR","EQY_CONSOLIDATED=Y","Sort=A","Dates=H","DateFormat=P","Fill=—","Direction=H","UseDPDF=Y")</f>
        <v>#NAME?</v>
      </c>
      <c r="AV566" s="2" t="e">
        <f ca="1">_xll.BDH($C$553,"GEO_GROW_TOT_ASSET","FQ3 2016","FQ3 2016","Currency=INR","Period=FQ","BEST_FPERIOD_OVERRIDE=FQ","FILING_STATUS=OR","EQY_CONSOLIDATED=Y","Sort=A","Dates=H","DateFormat=P","Fill=—","Direction=H","UseDPDF=Y")</f>
        <v>#NAME?</v>
      </c>
      <c r="AW566" s="2" t="e">
        <f ca="1">_xll.BDH($C$553,"MODIFIED_WORKING_CPTL_5YR_GRWTH","FQ3 2016","FQ3 2016","Currency=INR","Period=FQ","BEST_FPERIOD_OVERRIDE=FQ","FILING_STATUS=OR","EQY_CONSOLIDATED=Y","Sort=A","Dates=H","DateFormat=P","Fill=—","Direction=H","UseDPDF=Y")</f>
        <v>#NAME?</v>
      </c>
      <c r="AX566" s="2" t="e">
        <f ca="1">_xll.BDH($C$553,"WORKING_CAPITAL_5_YEAR_GROWTH","FQ3 2016","FQ3 2016","Currency=INR","Period=FQ","BEST_FPERIOD_OVERRIDE=FQ","FILING_STATUS=OR","EQY_CONSOLIDATED=Y","Sort=A","Dates=H","DateFormat=P","Fill=—","Direction=H","UseDPDF=Y")</f>
        <v>#NAME?</v>
      </c>
      <c r="AY566" s="2" t="e">
        <f ca="1">_xll.BDH($C$553,"ACCOUNTS_PAYABLE_5_YEAR_GROWTH","FQ3 2016","FQ3 2016","Currency=INR","Period=FQ","BEST_FPERIOD_OVERRIDE=FQ","FILING_STATUS=OR","EQY_CONSOLIDATED=Y","Sort=A","Dates=H","DateFormat=P","Fill=—","Direction=H","UseDPDF=Y")</f>
        <v>#NAME?</v>
      </c>
      <c r="AZ566" s="2" t="e">
        <f ca="1">_xll.BDH($C$553,"SHORT_TERM_DEBT_5_YEAR_GROWTH","FQ3 2016","FQ3 2016","Currency=INR","Period=FQ","BEST_FPERIOD_OVERRIDE=FQ","FILING_STATUS=OR","EQY_CONSOLIDATED=Y","Sort=A","Dates=H","DateFormat=P","Fill=—","Direction=H","UseDPDF=Y")</f>
        <v>#NAME?</v>
      </c>
      <c r="BA566" s="2" t="e">
        <f ca="1">_xll.BDH($C$553,"TOTAL_DEBT_5_YEAR_GROWTH","FQ3 2016","FQ3 2016","Currency=INR","Period=FQ","BEST_FPERIOD_OVERRIDE=FQ","FILING_STATUS=OR","EQY_CONSOLIDATED=Y","Sort=A","Dates=H","DateFormat=P","Fill=—","Direction=H","UseDPDF=Y")</f>
        <v>#NAME?</v>
      </c>
      <c r="BB566" s="2" t="e">
        <f ca="1">_xll.BDH($C$553,"GEO_GROW_TOT_SHRHLDR_EQY","FQ3 2016","FQ3 2016","Currency=INR","Period=FQ","BEST_FPERIOD_OVERRIDE=FQ","FILING_STATUS=OR","EQY_CONSOLIDATED=Y","Sort=A","Dates=H","DateFormat=P","Fill=—","Direction=H","UseDPDF=Y")</f>
        <v>#NAME?</v>
      </c>
      <c r="BC566" s="2" t="e">
        <f ca="1">_xll.BDH($C$553,"TOTAL_CAPITAL_5_YEAR_GROWTH","FQ3 2016","FQ3 2016","Currency=INR","Period=FQ","BEST_FPERIOD_OVERRIDE=FQ","FILING_STATUS=OR","EQY_CONSOLIDATED=Y","Sort=A","Dates=H","DateFormat=P","Fill=—","Direction=H","UseDPDF=Y")</f>
        <v>#NAME?</v>
      </c>
      <c r="BD566" s="2" t="e">
        <f ca="1">_xll.BDH($C$553,"GEO_GROW_BOOK_VAL","FQ3 2016","FQ3 2016","Currency=INR","Period=FQ","BEST_FPERIOD_OVERRIDE=FQ","FILING_STATUS=OR","EQY_CONSOLIDATED=Y","Sort=A","Dates=H","DateFormat=P","Fill=—","Direction=H","UseDPDF=Y")</f>
        <v>#NAME?</v>
      </c>
      <c r="BE566" s="2" t="e">
        <f ca="1">_xll.BDH($C$553,"GEO_GROW_CASH_OPER_ACT","FQ3 2016","FQ3 2016","Currency=INR","Period=FQ","BEST_FPERIOD_OVERRIDE=FQ","FILING_STATUS=OR","EQY_CONSOLIDATED=Y","Sort=A","Dates=H","DateFormat=P","Fill=—","Direction=H","UseDPDF=Y")</f>
        <v>#NAME?</v>
      </c>
      <c r="BF566" s="2" t="e">
        <f ca="1">_xll.BDH($C$553,"REVENUE_SEQUENTIAL_GROWTH","FQ3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566" s="2" t="e">
        <f ca="1">_xll.BDH($C$553,"EBITDA_SEQUENTIAL_GROWTH","FQ3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566" s="2" t="e">
        <f ca="1">_xll.BDH($C$553,"OPERATING_INCOME_SEQ_GROWTH","FQ3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566" s="2" t="e">
        <f ca="1">_xll.BDH($C$553,"NET_INCOME_TO_COMMON_SEQ_GROWTH","FQ3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566" s="2" t="e">
        <f ca="1">_xll.BDH($C$553,"EPS_DILUTED_SEQUENTIAL_GROWTH","FQ3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566" s="2" t="e">
        <f ca="1">_xll.BDH($C$553,"DPS_SEQUENTIAL_GROWTH","FQ3 2016","FQ3 2016","Currency=INR","Period=FQ","BEST_FPERIOD_OVERRIDE=FQ","FILING_STATUS=OR","EQY_CONSOLIDATED=Y","Sort=A","Dates=H","DateFormat=P","Fill=—","Direction=H","UseDPDF=Y")</f>
        <v>#NAME?</v>
      </c>
      <c r="BL566" s="2" t="e">
        <f ca="1">_xll.BDH($C$553,"ACCOUNTS_RECEIVABLE_SEQ_GROWTH","FQ3 2016","FQ3 2016","Currency=INR","Period=FQ","BEST_FPERIOD_OVERRIDE=FQ","FILING_STATUS=OR","EQY_CONSOLIDATED=Y","Sort=A","Dates=H","DateFormat=P","Fill=—","Direction=H","UseDPDF=Y")</f>
        <v>#NAME?</v>
      </c>
      <c r="BM566" s="2" t="e">
        <f ca="1">_xll.BDH($C$553,"INVENTORY_SEQUENTIAL_GROWTH","FQ3 2016","FQ3 2016","Currency=INR","Period=FQ","BEST_FPERIOD_OVERRIDE=FQ","FILING_STATUS=OR","EQY_CONSOLIDATED=Y","Sort=A","Dates=H","DateFormat=P","Fill=—","Direction=H","UseDPDF=Y")</f>
        <v>#NAME?</v>
      </c>
      <c r="BN566" s="2" t="e">
        <f ca="1">_xll.BDH($C$553,"FIXED_ASSETS_SEQUENTIAL_GROWTH","FQ3 2016","FQ3 2016","Currency=INR","Period=FQ","BEST_FPERIOD_OVERRIDE=FQ","FILING_STATUS=OR","EQY_CONSOLIDATED=Y","Sort=A","Dates=H","DateFormat=P","Fill=—","Direction=H","UseDPDF=Y")</f>
        <v>#NAME?</v>
      </c>
      <c r="BO566" s="2" t="e">
        <f ca="1">_xll.BDH($C$553,"TOTAL_ASSETS_SEQUENTIAL_GROWTH","FQ3 2016","FQ3 2016","Currency=INR","Period=FQ","BEST_FPERIOD_OVERRIDE=FQ","FILING_STATUS=OR","EQY_CONSOLIDATED=Y","Sort=A","Dates=H","DateFormat=P","Fill=—","Direction=H","UseDPDF=Y")</f>
        <v>#NAME?</v>
      </c>
      <c r="BP566" s="2" t="e">
        <f ca="1">_xll.BDH($C$553,"MODIFIED_WORKING_CPTL_SEQ_GRWTH","FQ3 2016","FQ3 2016","Currency=INR","Period=FQ","BEST_FPERIOD_OVERRIDE=FQ","FILING_STATUS=OR","EQY_CONSOLIDATED=Y","Sort=A","Dates=H","DateFormat=P","Fill=—","Direction=H","UseDPDF=Y")</f>
        <v>#NAME?</v>
      </c>
      <c r="BQ566" s="2" t="e">
        <f ca="1">_xll.BDH($C$553,"WORKING_CAPITAL_SEQ_GROWTH","FQ3 2016","FQ3 2016","Currency=INR","Period=FQ","BEST_FPERIOD_OVERRIDE=FQ","FILING_STATUS=OR","EQY_CONSOLIDATED=Y","Sort=A","Dates=H","DateFormat=P","Fill=—","Direction=H","UseDPDF=Y")</f>
        <v>#NAME?</v>
      </c>
      <c r="BR566" s="2" t="e">
        <f ca="1">_xll.BDH($C$553,"ACCOUNTS_PAYABLE_SEQ_GROWTH","FQ3 2016","FQ3 2016","Currency=INR","Period=FQ","BEST_FPERIOD_OVERRIDE=FQ","FILING_STATUS=OR","EQY_CONSOLIDATED=Y","Sort=A","Dates=H","DateFormat=P","Fill=—","Direction=H","UseDPDF=Y")</f>
        <v>#NAME?</v>
      </c>
      <c r="BS566" s="2" t="e">
        <f ca="1">_xll.BDH($C$553,"ST_DEBT_SEQUENTIAL_GROWTH","FQ3 2016","FQ3 2016","Currency=INR","Period=FQ","BEST_FPERIOD_OVERRIDE=FQ","FILING_STATUS=OR","EQY_CONSOLIDATED=Y","Sort=A","Dates=H","DateFormat=P","Fill=—","Direction=H","UseDPDF=Y")</f>
        <v>#NAME?</v>
      </c>
      <c r="BT566" s="2" t="e">
        <f ca="1">_xll.BDH($C$553,"TOTAL_DEBT_SEQUENTIAL_GROWTH","FQ3 2016","FQ3 2016","Currency=INR","Period=FQ","BEST_FPERIOD_OVERRIDE=FQ","FILING_STATUS=OR","EQY_CONSOLIDATED=Y","Sort=A","Dates=H","DateFormat=P","Fill=—","Direction=H","UseDPDF=Y")</f>
        <v>#NAME?</v>
      </c>
      <c r="BU566" s="2" t="e">
        <f ca="1">_xll.BDH($C$553,"TOTAL_EQUITY_SEQUENTIAL_GROWTH","FQ3 2016","FQ3 2016","Currency=INR","Period=FQ","BEST_FPERIOD_OVERRIDE=FQ","FILING_STATUS=OR","EQY_CONSOLIDATED=Y","Sort=A","Dates=H","DateFormat=P","Fill=—","Direction=H","UseDPDF=Y")</f>
        <v>#NAME?</v>
      </c>
      <c r="BV566" s="2" t="e">
        <f ca="1">_xll.BDH($C$553,"TOTAL_CAPITAL_SEQUENTIAL_GROWTH","FQ3 2016","FQ3 2016","Currency=INR","Period=FQ","BEST_FPERIOD_OVERRIDE=FQ","FILING_STATUS=OR","EQY_CONSOLIDATED=Y","Sort=A","Dates=H","DateFormat=P","Fill=—","Direction=H","UseDPDF=Y")</f>
        <v>#NAME?</v>
      </c>
      <c r="BW566" s="2" t="e">
        <f ca="1">_xll.BDH($C$553,"BPS_SEQUENTIAL_GROWTH","FQ3 2016","FQ3 2016","Currency=INR","Period=FQ","BEST_FPERIOD_OVERRIDE=FQ","FILING_STATUS=OR","EQY_CONSOLIDATED=Y","Sort=A","Dates=H","DateFormat=P","Fill=—","Direction=H","UseDPDF=Y")</f>
        <v>#NAME?</v>
      </c>
      <c r="BX566" s="2" t="e">
        <f ca="1">_xll.BDH($C$553,"CFO_SEQUENTIAL_GROWTH","FQ3 2016","FQ3 2016","Currency=INR","Period=FQ","BEST_FPERIOD_OVERRIDE=FQ","FILING_STATUS=OR","EQY_CONSOLIDATED=Y","Sort=A","Dates=H","DateFormat=P","Fill=—","Direction=H","UseDPDF=Y")</f>
        <v>#NAME?</v>
      </c>
      <c r="BY566" s="3" t="e">
        <f ca="1">_xll.BDH($C$553,"SHORT_AND_LONG_TERM_DEBT","FQ3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566" s="3" t="e">
        <f ca="1">_xll.BDH($C$553,"BS_ST_BORROW","FQ3 2016","FQ3 2016","Currency=INR","Period=FQ","BEST_FPERIOD_OVERRIDE=FQ","FILING_STATUS=OR","EQY_CONSOLIDATED=Y","SCALING_FORMAT=MLN","Sort=A","Dates=H","DateFormat=P","Fill=—","Direction=H","UseDPDF=Y")</f>
        <v>#NAME?</v>
      </c>
      <c r="CA566" s="3" t="e">
        <f ca="1">_xll.BDH($C$553,"BS_LT_BORROW","FQ3 2016","FQ3 2016","Currency=INR","Period=FQ","BEST_FPERIOD_OVERRIDE=FQ","FILING_STATUS=OR","EQY_CONSOLIDATED=Y","SCALING_FORMAT=MLN","Sort=A","Dates=H","DateFormat=P","Fill=—","Direction=H","UseDPDF=Y")</f>
        <v>#NAME?</v>
      </c>
      <c r="CB566" s="2" t="e">
        <f ca="1">_xll.BDH($C$553,"TOT_DEBT_TO_EBITDA","FQ3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566" s="2" t="e">
        <f ca="1">_xll.BDH($C$553,"NET_DEBT_TO_EBITDA","FQ3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566" s="2" t="e">
        <f ca="1">_xll.BDH($C$553,"TOTAL_DEBT_TO_EBIT","FQ3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566" s="2" t="e">
        <f ca="1">_xll.BDH($C$553,"NET_DEBT_TO_EBIT","FQ3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566" s="2" t="e">
        <f ca="1">_xll.BDH($C$553,"EBITDA_TO_INTEREST_EXPN","FQ3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566" s="2" t="e">
        <f ca="1">_xll.BDH($C$553,"COM_EQY_TO_TOT_ASSET","FQ3 2016","FQ3 2016","Currency=INR","Period=FQ","BEST_FPERIOD_OVERRIDE=FQ","FILING_STATUS=OR","EQY_CONSOLIDATED=Y","Sort=A","Dates=H","DateFormat=P","Fill=—","Direction=H","UseDPDF=Y")</f>
        <v>#NAME?</v>
      </c>
      <c r="CH566" s="2" t="e">
        <f ca="1">_xll.BDH($C$553,"LT_DEBT_TO_TOT_EQY","FQ3 2016","FQ3 2016","Currency=INR","Period=FQ","BEST_FPERIOD_OVERRIDE=FQ","FILING_STATUS=OR","EQY_CONSOLIDATED=Y","Sort=A","Dates=H","DateFormat=P","Fill=—","Direction=H","UseDPDF=Y")</f>
        <v>#NAME?</v>
      </c>
      <c r="CI566" s="2" t="e">
        <f ca="1">_xll.BDH($C$553,"LT_DEBT_TO_TOT_CAP","FQ3 2016","FQ3 2016","Currency=INR","Period=FQ","BEST_FPERIOD_OVERRIDE=FQ","FILING_STATUS=OR","EQY_CONSOLIDATED=Y","Sort=A","Dates=H","DateFormat=P","Fill=—","Direction=H","UseDPDF=Y")</f>
        <v>#NAME?</v>
      </c>
      <c r="CJ566" s="2" t="e">
        <f ca="1">_xll.BDH($C$553,"LT_DEBT_TO_TOT_ASSET","FQ3 2016","FQ3 2016","Currency=INR","Period=FQ","BEST_FPERIOD_OVERRIDE=FQ","FILING_STATUS=OR","EQY_CONSOLIDATED=Y","Sort=A","Dates=H","DateFormat=P","Fill=—","Direction=H","UseDPDF=Y")</f>
        <v>#NAME?</v>
      </c>
      <c r="CK566" s="2" t="e">
        <f ca="1">_xll.BDH($C$553,"TOT_DEBT_TO_TOT_EQY","FQ3 2016","FQ3 2016","Currency=INR","Period=FQ","BEST_FPERIOD_OVERRIDE=FQ","FILING_STATUS=OR","EQY_CONSOLIDATED=Y","Sort=A","Dates=H","DateFormat=P","Fill=—","Direction=H","UseDPDF=Y")</f>
        <v>#NAME?</v>
      </c>
      <c r="CL566" s="2" t="e">
        <f ca="1">_xll.BDH($C$553,"TOT_DEBT_TO_TOT_CAP","FQ3 2016","FQ3 2016","Currency=INR","Period=FQ","BEST_FPERIOD_OVERRIDE=FQ","FILING_STATUS=OR","EQY_CONSOLIDATED=Y","Sort=A","Dates=H","DateFormat=P","Fill=—","Direction=H","UseDPDF=Y")</f>
        <v>#NAME?</v>
      </c>
      <c r="CM566" s="2" t="e">
        <f ca="1">_xll.BDH($C$553,"TOT_DEBT_TO_TOT_ASSET","FQ3 2016","FQ3 2016","Currency=INR","Period=FQ","BEST_FPERIOD_OVERRIDE=FQ","FILING_STATUS=OR","EQY_CONSOLIDATED=Y","Sort=A","Dates=H","DateFormat=P","Fill=—","Direction=H","UseDPDF=Y")</f>
        <v>#NAME?</v>
      </c>
      <c r="CN566" s="2" t="e">
        <f ca="1">_xll.BDH($C$553,"NET_DEBT_TO_SHRHLDR_EQTY","FQ3 2016","FQ3 2016","Currency=INR","Period=FQ","BEST_FPERIOD_OVERRIDE=FQ","FILING_STATUS=OR","EQY_CONSOLIDATED=Y","Sort=A","Dates=H","DateFormat=P","Fill=—","Direction=H","UseDPDF=Y")</f>
        <v>#NAME?</v>
      </c>
      <c r="CO566" s="2" t="e">
        <f ca="1">_xll.BDH($C$553,"NET_DEBT_%_CAPITAL","FQ3 2016","FQ3 2016","Currency=INR","Period=FQ","BEST_FPERIOD_OVERRIDE=FQ","FILING_STATUS=OR","EQY_CONSOLIDATED=Y","Sort=A","Dates=H","DateFormat=P","Fill=—","Direction=H","UseDPDF=Y")</f>
        <v>#NAME?</v>
      </c>
      <c r="CP566" s="3" t="e">
        <f ca="1">_xll.BDH($C$553,"EBITDA","FQ3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566" s="3" t="e">
        <f ca="1">_xll.BDH($C$553,"EBITDA_AFTER_CAPEX","FQ3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566" s="3" t="e">
        <f ca="1">_xll.BDH($C$553,"IS_OPER_INC","FQ3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566" s="2" t="e">
        <f ca="1">_xll.BDH($C$553,"CASH_RATIO","FQ3 2016","FQ3 2016","Currency=INR","Period=FQ","BEST_FPERIOD_OVERRIDE=FQ","FILING_STATUS=OR","EQY_CONSOLIDATED=Y","Sort=A","Dates=H","DateFormat=P","Fill=—","Direction=H","UseDPDF=Y")</f>
        <v>#NAME?</v>
      </c>
      <c r="CT566" s="2" t="e">
        <f ca="1">_xll.BDH($C$553,"CUR_RATIO","FQ3 2016","FQ3 2016","Currency=INR","Period=FQ","BEST_FPERIOD_OVERRIDE=FQ","FILING_STATUS=OR","EQY_CONSOLIDATED=Y","Sort=A","Dates=H","DateFormat=P","Fill=—","Direction=H","UseDPDF=Y")</f>
        <v>#NAME?</v>
      </c>
      <c r="CU566" s="2" t="e">
        <f ca="1">_xll.BDH($C$553,"QUICK_RATIO","FQ3 2016","FQ3 2016","Currency=INR","Period=FQ","BEST_FPERIOD_OVERRIDE=FQ","FILING_STATUS=OR","EQY_CONSOLIDATED=Y","Sort=A","Dates=H","DateFormat=P","Fill=—","Direction=H","UseDPDF=Y")</f>
        <v>#NAME?</v>
      </c>
      <c r="CV566" s="2" t="e">
        <f ca="1">_xll.BDH($C$553,"ALTMAN_Z_SCORE","FQ3 2016","FQ3 2016","Currency=INR","Period=FQ","BEST_FPERIOD_OVERRIDE=FQ","FILING_STATUS=OR","EQY_CONSOLIDATED=Y","Sort=A","Dates=H","DateFormat=P","Fill=—","Direction=H","UseDPDF=Y")</f>
        <v>#NAME?</v>
      </c>
      <c r="CW566" s="4" t="e">
        <f ca="1">_xll.BDH($C$553,"ACCT_RCV_TURN","FQ3 2016","FQ3 2016","Currency=INR","Period=FQ","BEST_FPERIOD_OVERRIDE=FQ","FILING_STATUS=OR","EQY_CONSOLIDATED=Y","FA_ADJUSTED=GAAP","Sort=A","Dates=H","DateFormat=P","Fill=—","Direction=H","UseDPDF=Y")</f>
        <v>#NAME?</v>
      </c>
      <c r="CX566" s="2" t="e">
        <f ca="1">_xll.BDH($C$553,"ACCT_RCV_DAYS","FQ3 2016","FQ3 2016","Currency=INR","Period=FQ","BEST_FPERIOD_OVERRIDE=FQ","FILING_STATUS=OR","EQY_CONSOLIDATED=Y","FA_ADJUSTED=GAAP","Sort=A","Dates=H","DateFormat=P","Fill=—","Direction=H","UseDPDF=Y")</f>
        <v>#NAME?</v>
      </c>
      <c r="CY566" s="4" t="e">
        <f ca="1">_xll.BDH($C$553,"INVENT_TURN","FQ3 2016","FQ3 2016","Currency=INR","Period=FQ","BEST_FPERIOD_OVERRIDE=FQ","FILING_STATUS=OR","EQY_CONSOLIDATED=Y","FA_ADJUSTED=GAAP","Sort=A","Dates=H","DateFormat=P","Fill=—","Direction=H","UseDPDF=Y")</f>
        <v>#NAME?</v>
      </c>
      <c r="CZ566" s="2" t="e">
        <f ca="1">_xll.BDH($C$553,"INVENT_DAYS","FQ3 2016","FQ3 2016","Currency=INR","Period=FQ","BEST_FPERIOD_OVERRIDE=FQ","FILING_STATUS=OR","EQY_CONSOLIDATED=Y","FA_ADJUSTED=GAAP","Sort=A","Dates=H","DateFormat=P","Fill=—","Direction=H","UseDPDF=Y")</f>
        <v>#NAME?</v>
      </c>
      <c r="DA566" s="4" t="e">
        <f ca="1">_xll.BDH($C$553,"ACCOUNTS_PAYABLE_TURNOVER","FQ3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566" s="2" t="e">
        <f ca="1">_xll.BDH($C$553,"ACCOUNTS_PAYABLE_TURNOVER_DAYS","FQ3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566" s="4" t="e">
        <f ca="1">_xll.BDH($C$553,"CASH_CONVERSION_CYCLE","FQ3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566" s="4" t="e">
        <f ca="1">_xll.BDH($C$553,"INV_TO_CASH_DAYS","FQ3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566" s="5" t="e">
        <f ca="1">_xll.BDH($C$553,"BS_INVENTORIES","FQ3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566" s="3" t="e">
        <f ca="1">_xll.BDH($C$553,"INVTRY_RAW_MATERIALS","FQ3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566" s="3" t="e">
        <f ca="1">_xll.BDH($C$553,"INVTRY_IN_PROGRESS","FQ3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566" s="3" t="e">
        <f ca="1">_xll.BDH($C$553,"INVTRY_FINISHED_GOODS","FQ3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566" s="3" t="e">
        <f ca="1">_xll.BDH($C$553,"BS_OTHER_INV","FQ3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567" spans="1:113" x14ac:dyDescent="0.3">
      <c r="A567" s="6"/>
      <c r="B567" s="6"/>
      <c r="C567" s="6"/>
      <c r="D567" s="6"/>
      <c r="E567" t="s">
        <v>81</v>
      </c>
      <c r="F567" t="e">
        <f ca="1">_xll.BDH($C$553,"RETURN_COM_EQY","FQ4 2016","FQ4 2016","Currency=INR","Period=FQ","BEST_FPERIOD_OVERRIDE=FQ","FILING_STATUS=OR","EQY_CONSOLIDATED=Y","FA_ADJUSTED=GAAP","Sort=A","Dates=H","DateFormat=P","Fill=—","Direction=H","UseDPDF=Y")</f>
        <v>#NAME?</v>
      </c>
      <c r="G567" t="e">
        <f ca="1">_xll.BDH($C$553,"RETURN_ON_ASSET","FQ4 2016","FQ4 2016","Currency=INR","Period=FQ","BEST_FPERIOD_OVERRIDE=FQ","FILING_STATUS=OR","EQY_CONSOLIDATED=Y","FA_ADJUSTED=GAAP","Sort=A","Dates=H","DateFormat=P","Fill=—","Direction=H","UseDPDF=Y")</f>
        <v>#NAME?</v>
      </c>
      <c r="H567" t="e">
        <f ca="1">_xll.BDH($C$553,"RETURN_ON_CAP","FQ4 2016","FQ4 2016","Currency=INR","Period=FQ","BEST_FPERIOD_OVERRIDE=FQ","FILING_STATUS=OR","EQY_CONSOLIDATED=Y","FA_ADJUSTED=GAAP","Sort=A","Dates=H","DateFormat=P","Fill=—","Direction=H","UseDPDF=Y")</f>
        <v>#NAME?</v>
      </c>
      <c r="I567" t="e">
        <f ca="1">_xll.BDH($C$553,"RETURN_ON_INV_CAPITAL","FQ4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567" t="e">
        <f ca="1">_xll.BDH($C$553,"EBITDA_TO_REVENUE","FQ4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567" t="e">
        <f ca="1">_xll.BDH($C$553,"OPER_MARGIN","FQ4 2016","FQ4 2016","Currency=INR","Period=FQ","BEST_FPERIOD_OVERRIDE=FQ","FILING_STATUS=OR","EQY_CONSOLIDATED=Y","FA_ADJUSTED=GAAP","Sort=A","Dates=H","DateFormat=P","Fill=—","Direction=H","UseDPDF=Y")</f>
        <v>#NAME?</v>
      </c>
      <c r="L567" t="e">
        <f ca="1">_xll.BDH($C$553,"INCREMENTAL_OPERATING_MARGIN","FQ4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567" t="e">
        <f ca="1">_xll.BDH($C$553,"PRETAX_INC_TO_NET_SALES","FQ4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567" t="e">
        <f ca="1">_xll.BDH($C$553,"INC_BEF_XO_ITEMS_TO_NET_SALES","FQ4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567" t="e">
        <f ca="1">_xll.BDH($C$553,"PROF_MARGIN","FQ4 2016","FQ4 2016","Currency=INR","Period=FQ","BEST_FPERIOD_OVERRIDE=FQ","FILING_STATUS=OR","EQY_CONSOLIDATED=Y","FA_ADJUSTED=GAAP","Sort=A","Dates=H","DateFormat=P","Fill=—","Direction=H","UseDPDF=Y")</f>
        <v>#NAME?</v>
      </c>
      <c r="P567" t="e">
        <f ca="1">_xll.BDH($C$553,"NET_INCOME_TO_COMMON_MARGIN","FQ4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567" t="e">
        <f ca="1">_xll.BDH($C$553,"EFF_TAX_RATE","FQ4 2016","FQ4 2016","Currency=INR","Period=FQ","BEST_FPERIOD_OVERRIDE=FQ","FILING_STATUS=OR","EQY_CONSOLIDATED=Y","FA_ADJUSTED=GAAP","Sort=A","Dates=H","DateFormat=P","Fill=—","Direction=H","UseDPDF=Y")</f>
        <v>#NAME?</v>
      </c>
      <c r="R567" t="e">
        <f ca="1">_xll.BDH($C$553,"DVD_PAYOUT_RATIO","FQ4 2016","FQ4 2016","Currency=INR","Period=FQ","BEST_FPERIOD_OVERRIDE=FQ","FILING_STATUS=OR","EQY_CONSOLIDATED=Y","FA_ADJUSTED=GAAP","Sort=A","Dates=H","DateFormat=P","Fill=—","Direction=H","UseDPDF=Y")</f>
        <v>#NAME?</v>
      </c>
      <c r="S567" t="e">
        <f ca="1">_xll.BDH($C$553,"SUSTAIN_GROWTH_RT","FQ4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567" s="2" t="e">
        <f ca="1">_xll.BDH($C$553,"SALES_GROWTH","FQ4 2016","FQ4 2016","Currency=INR","Period=FQ","BEST_FPERIOD_OVERRIDE=FQ","FILING_STATUS=OR","EQY_CONSOLIDATED=Y","FA_ADJUSTED=GAAP","Sort=A","Dates=H","DateFormat=P","Fill=—","Direction=H","UseDPDF=Y")</f>
        <v>#NAME?</v>
      </c>
      <c r="U567" s="2" t="e">
        <f ca="1">_xll.BDH($C$553,"EBITDA_GROWTH","FQ4 2016","FQ4 2016","Currency=INR","Period=FQ","BEST_FPERIOD_OVERRIDE=FQ","FILING_STATUS=OR","EQY_CONSOLIDATED=Y","FA_ADJUSTED=GAAP","Sort=A","Dates=H","DateFormat=P","Fill=—","Direction=H","UseDPDF=Y")</f>
        <v>#NAME?</v>
      </c>
      <c r="V567" s="2" t="e">
        <f ca="1">_xll.BDH($C$553,"OPER_INC_GROWTH","FQ4 2016","FQ4 2016","Currency=INR","Period=FQ","BEST_FPERIOD_OVERRIDE=FQ","FILING_STATUS=OR","EQY_CONSOLIDATED=Y","FA_ADJUSTED=GAAP","Sort=A","Dates=H","DateFormat=P","Fill=—","Direction=H","UseDPDF=Y")</f>
        <v>#NAME?</v>
      </c>
      <c r="W567" s="2" t="e">
        <f ca="1">_xll.BDH($C$553,"EARN_FOR_COM_GROWTH","FQ4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567" s="2" t="e">
        <f ca="1">_xll.BDH($C$553,"DILUTED_EPS_AFT_XO_ITEMS_GROWTH","FQ4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567" s="2" t="e">
        <f ca="1">_xll.BDH($C$553,"DIVIDEND_PER_SHARE_1_YEAR_GROWTH","FQ4 2016","FQ4 2016","Currency=INR","Period=FQ","BEST_FPERIOD_OVERRIDE=FQ","FILING_STATUS=OR","EQY_CONSOLIDATED=Y","Sort=A","Dates=H","DateFormat=P","Fill=—","Direction=H","UseDPDF=Y")</f>
        <v>#NAME?</v>
      </c>
      <c r="Z567" s="2" t="e">
        <f ca="1">_xll.BDH($C$553,"ACCOUNTS_RECEIVABLE_GROWTH","FQ4 2016","FQ4 2016","Currency=INR","Period=FQ","BEST_FPERIOD_OVERRIDE=FQ","FILING_STATUS=OR","EQY_CONSOLIDATED=Y","Sort=A","Dates=H","DateFormat=P","Fill=—","Direction=H","UseDPDF=Y")</f>
        <v>#NAME?</v>
      </c>
      <c r="AA567" s="2" t="e">
        <f ca="1">_xll.BDH($C$553,"INVENTORY_GROWTH","FQ4 2016","FQ4 2016","Currency=INR","Period=FQ","BEST_FPERIOD_OVERRIDE=FQ","FILING_STATUS=OR","EQY_CONSOLIDATED=Y","Sort=A","Dates=H","DateFormat=P","Fill=—","Direction=H","UseDPDF=Y")</f>
        <v>#NAME?</v>
      </c>
      <c r="AB567" s="2" t="e">
        <f ca="1">_xll.BDH($C$553,"NET_FIXED_ASSETS_1_YEAR_GROWTH","FQ4 2016","FQ4 2016","Currency=INR","Period=FQ","BEST_FPERIOD_OVERRIDE=FQ","FILING_STATUS=OR","EQY_CONSOLIDATED=Y","Sort=A","Dates=H","DateFormat=P","Fill=—","Direction=H","UseDPDF=Y")</f>
        <v>#NAME?</v>
      </c>
      <c r="AC567" s="2" t="e">
        <f ca="1">_xll.BDH($C$553,"ASSET_GROWTH","FQ4 2016","FQ4 2016","Currency=INR","Period=FQ","BEST_FPERIOD_OVERRIDE=FQ","FILING_STATUS=OR","EQY_CONSOLIDATED=Y","Sort=A","Dates=H","DateFormat=P","Fill=—","Direction=H","UseDPDF=Y")</f>
        <v>#NAME?</v>
      </c>
      <c r="AD567" s="2" t="e">
        <f ca="1">_xll.BDH($C$553,"MODIFIED_WORK_CAP_GROWTH","FQ4 2016","FQ4 2016","Currency=INR","Period=FQ","BEST_FPERIOD_OVERRIDE=FQ","FILING_STATUS=OR","EQY_CONSOLIDATED=Y","Sort=A","Dates=H","DateFormat=P","Fill=—","Direction=H","UseDPDF=Y")</f>
        <v>#NAME?</v>
      </c>
      <c r="AE567" s="2" t="e">
        <f ca="1">_xll.BDH($C$553,"WORK_CAP_GROWTH","FQ4 2016","FQ4 2016","Currency=INR","Period=FQ","BEST_FPERIOD_OVERRIDE=FQ","FILING_STATUS=OR","EQY_CONSOLIDATED=Y","Sort=A","Dates=H","DateFormat=P","Fill=—","Direction=H","UseDPDF=Y")</f>
        <v>#NAME?</v>
      </c>
      <c r="AF567" s="2" t="e">
        <f ca="1">_xll.BDH($C$553,"ACCOUNTS_PAYABLE_GROWTH_1YR","FQ4 2016","FQ4 2016","Currency=INR","Period=FQ","BEST_FPERIOD_OVERRIDE=FQ","FILING_STATUS=OR","EQY_CONSOLIDATED=Y","Sort=A","Dates=H","DateFormat=P","Fill=—","Direction=H","UseDPDF=Y")</f>
        <v>#NAME?</v>
      </c>
      <c r="AG567" s="2" t="e">
        <f ca="1">_xll.BDH($C$553,"SHORT_TERM_DEBT_1_YEAR_GROWTH","FQ4 2016","FQ4 2016","Currency=INR","Period=FQ","BEST_FPERIOD_OVERRIDE=FQ","FILING_STATUS=OR","EQY_CONSOLIDATED=Y","Sort=A","Dates=H","DateFormat=P","Fill=—","Direction=H","UseDPDF=Y")</f>
        <v>#NAME?</v>
      </c>
      <c r="AH567" s="2" t="e">
        <f ca="1">_xll.BDH($C$553,"TOTAL_DEBT_1_YEAR_GROWTH","FQ4 2016","FQ4 2016","Currency=INR","Period=FQ","BEST_FPERIOD_OVERRIDE=FQ","FILING_STATUS=OR","EQY_CONSOLIDATED=Y","Sort=A","Dates=H","DateFormat=P","Fill=—","Direction=H","UseDPDF=Y")</f>
        <v>#NAME?</v>
      </c>
      <c r="AI567" s="2" t="e">
        <f ca="1">_xll.BDH($C$553,"TOTAL_EQUITY_1_YEAR_GROWTH","FQ4 2016","FQ4 2016","Currency=INR","Period=FQ","BEST_FPERIOD_OVERRIDE=FQ","FILING_STATUS=OR","EQY_CONSOLIDATED=Y","Sort=A","Dates=H","DateFormat=P","Fill=—","Direction=H","UseDPDF=Y")</f>
        <v>#NAME?</v>
      </c>
      <c r="AJ567" s="2" t="e">
        <f ca="1">_xll.BDH($C$553,"GROWTH_IN_CAP","FQ4 2016","FQ4 2016","Currency=INR","Period=FQ","BEST_FPERIOD_OVERRIDE=FQ","FILING_STATUS=OR","EQY_CONSOLIDATED=Y","Sort=A","Dates=H","DateFormat=P","Fill=—","Direction=H","UseDPDF=Y")</f>
        <v>#NAME?</v>
      </c>
      <c r="AK567" s="2" t="e">
        <f ca="1">_xll.BDH($C$553,"BVPS_GROWTH","FQ4 2016","FQ4 2016","Currency=INR","Period=FQ","BEST_FPERIOD_OVERRIDE=FQ","FILING_STATUS=OR","EQY_CONSOLIDATED=Y","Sort=A","Dates=H","DateFormat=P","Fill=—","Direction=H","UseDPDF=Y")</f>
        <v>#NAME?</v>
      </c>
      <c r="AL567" s="2" t="e">
        <f ca="1">_xll.BDH($C$553,"CASH_FLOW_GROWTH","FQ4 2016","FQ4 2016","Currency=INR","Period=FQ","BEST_FPERIOD_OVERRIDE=FQ","FILING_STATUS=OR","EQY_CONSOLIDATED=Y","Sort=A","Dates=H","DateFormat=P","Fill=—","Direction=H","UseDPDF=Y")</f>
        <v>#NAME?</v>
      </c>
      <c r="AM567" s="2" t="e">
        <f ca="1">_xll.BDH($C$553,"GEO_GROW_NET_SALES","FQ4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567" s="2" t="e">
        <f ca="1">_xll.BDH($C$553,"GEO_GROW_EBITDA","FQ4 2016","FQ4 2016","Currency=INR","Period=FQ","BEST_FPERIOD_OVERRIDE=FQ","FILING_STATUS=OR","EQY_CONSOLIDATED=Y","FA_ADJUSTED=GAAP","Sort=A","Dates=H","DateFormat=P","Fill=—","Direction=H","UseDPDF=Y")</f>
        <v>#NAME?</v>
      </c>
      <c r="AO567" s="2" t="e">
        <f ca="1">_xll.BDH($C$553,"GEO_GROW_OPER_INC","FQ4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567" s="2" t="e">
        <f ca="1">_xll.BDH($C$553,"NET_INCOME_TO_COMMON_5_YR_GROWTH","FQ4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567" s="2" t="e">
        <f ca="1">_xll.BDH($C$553,"5Y_GEO_GROWTH_DILUTED_EPS","FQ4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567" s="2" t="e">
        <f ca="1">_xll.BDH($C$553,"GEO_GROW_DVD_PER_SH","FQ4 2016","FQ4 2016","Currency=INR","Period=FQ","BEST_FPERIOD_OVERRIDE=FQ","FILING_STATUS=OR","EQY_CONSOLIDATED=Y","Sort=A","Dates=H","DateFormat=P","Fill=—","Direction=H","UseDPDF=Y")</f>
        <v>#NAME?</v>
      </c>
      <c r="AS567" s="2" t="e">
        <f ca="1">_xll.BDH($C$553,"ACCOUNTS_RECEIVABLE_5_YR_GROWTH","FQ4 2016","FQ4 2016","Currency=INR","Period=FQ","BEST_FPERIOD_OVERRIDE=FQ","FILING_STATUS=OR","EQY_CONSOLIDATED=Y","Sort=A","Dates=H","DateFormat=P","Fill=—","Direction=H","UseDPDF=Y")</f>
        <v>#NAME?</v>
      </c>
      <c r="AT567" s="2" t="e">
        <f ca="1">_xll.BDH($C$553,"INVENTORY_5_YEAR_GROWTH","FQ4 2016","FQ4 2016","Currency=INR","Period=FQ","BEST_FPERIOD_OVERRIDE=FQ","FILING_STATUS=OR","EQY_CONSOLIDATED=Y","Sort=A","Dates=H","DateFormat=P","Fill=—","Direction=H","UseDPDF=Y")</f>
        <v>#NAME?</v>
      </c>
      <c r="AU567" s="2" t="e">
        <f ca="1">_xll.BDH($C$553,"NET_FIXED_ASSETS_5_YEAR_GROWTH","FQ4 2016","FQ4 2016","Currency=INR","Period=FQ","BEST_FPERIOD_OVERRIDE=FQ","FILING_STATUS=OR","EQY_CONSOLIDATED=Y","Sort=A","Dates=H","DateFormat=P","Fill=—","Direction=H","UseDPDF=Y")</f>
        <v>#NAME?</v>
      </c>
      <c r="AV567" s="2" t="e">
        <f ca="1">_xll.BDH($C$553,"GEO_GROW_TOT_ASSET","FQ4 2016","FQ4 2016","Currency=INR","Period=FQ","BEST_FPERIOD_OVERRIDE=FQ","FILING_STATUS=OR","EQY_CONSOLIDATED=Y","Sort=A","Dates=H","DateFormat=P","Fill=—","Direction=H","UseDPDF=Y")</f>
        <v>#NAME?</v>
      </c>
      <c r="AW567" s="2" t="e">
        <f ca="1">_xll.BDH($C$553,"MODIFIED_WORKING_CPTL_5YR_GRWTH","FQ4 2016","FQ4 2016","Currency=INR","Period=FQ","BEST_FPERIOD_OVERRIDE=FQ","FILING_STATUS=OR","EQY_CONSOLIDATED=Y","Sort=A","Dates=H","DateFormat=P","Fill=—","Direction=H","UseDPDF=Y")</f>
        <v>#NAME?</v>
      </c>
      <c r="AX567" s="2" t="e">
        <f ca="1">_xll.BDH($C$553,"WORKING_CAPITAL_5_YEAR_GROWTH","FQ4 2016","FQ4 2016","Currency=INR","Period=FQ","BEST_FPERIOD_OVERRIDE=FQ","FILING_STATUS=OR","EQY_CONSOLIDATED=Y","Sort=A","Dates=H","DateFormat=P","Fill=—","Direction=H","UseDPDF=Y")</f>
        <v>#NAME?</v>
      </c>
      <c r="AY567" s="2" t="e">
        <f ca="1">_xll.BDH($C$553,"ACCOUNTS_PAYABLE_5_YEAR_GROWTH","FQ4 2016","FQ4 2016","Currency=INR","Period=FQ","BEST_FPERIOD_OVERRIDE=FQ","FILING_STATUS=OR","EQY_CONSOLIDATED=Y","Sort=A","Dates=H","DateFormat=P","Fill=—","Direction=H","UseDPDF=Y")</f>
        <v>#NAME?</v>
      </c>
      <c r="AZ567" s="2" t="e">
        <f ca="1">_xll.BDH($C$553,"SHORT_TERM_DEBT_5_YEAR_GROWTH","FQ4 2016","FQ4 2016","Currency=INR","Period=FQ","BEST_FPERIOD_OVERRIDE=FQ","FILING_STATUS=OR","EQY_CONSOLIDATED=Y","Sort=A","Dates=H","DateFormat=P","Fill=—","Direction=H","UseDPDF=Y")</f>
        <v>#NAME?</v>
      </c>
      <c r="BA567" s="2" t="e">
        <f ca="1">_xll.BDH($C$553,"TOTAL_DEBT_5_YEAR_GROWTH","FQ4 2016","FQ4 2016","Currency=INR","Period=FQ","BEST_FPERIOD_OVERRIDE=FQ","FILING_STATUS=OR","EQY_CONSOLIDATED=Y","Sort=A","Dates=H","DateFormat=P","Fill=—","Direction=H","UseDPDF=Y")</f>
        <v>#NAME?</v>
      </c>
      <c r="BB567" s="2" t="e">
        <f ca="1">_xll.BDH($C$553,"GEO_GROW_TOT_SHRHLDR_EQY","FQ4 2016","FQ4 2016","Currency=INR","Period=FQ","BEST_FPERIOD_OVERRIDE=FQ","FILING_STATUS=OR","EQY_CONSOLIDATED=Y","Sort=A","Dates=H","DateFormat=P","Fill=—","Direction=H","UseDPDF=Y")</f>
        <v>#NAME?</v>
      </c>
      <c r="BC567" s="2" t="e">
        <f ca="1">_xll.BDH($C$553,"TOTAL_CAPITAL_5_YEAR_GROWTH","FQ4 2016","FQ4 2016","Currency=INR","Period=FQ","BEST_FPERIOD_OVERRIDE=FQ","FILING_STATUS=OR","EQY_CONSOLIDATED=Y","Sort=A","Dates=H","DateFormat=P","Fill=—","Direction=H","UseDPDF=Y")</f>
        <v>#NAME?</v>
      </c>
      <c r="BD567" s="2" t="e">
        <f ca="1">_xll.BDH($C$553,"GEO_GROW_BOOK_VAL","FQ4 2016","FQ4 2016","Currency=INR","Period=FQ","BEST_FPERIOD_OVERRIDE=FQ","FILING_STATUS=OR","EQY_CONSOLIDATED=Y","Sort=A","Dates=H","DateFormat=P","Fill=—","Direction=H","UseDPDF=Y")</f>
        <v>#NAME?</v>
      </c>
      <c r="BE567" s="2" t="e">
        <f ca="1">_xll.BDH($C$553,"GEO_GROW_CASH_OPER_ACT","FQ4 2016","FQ4 2016","Currency=INR","Period=FQ","BEST_FPERIOD_OVERRIDE=FQ","FILING_STATUS=OR","EQY_CONSOLIDATED=Y","Sort=A","Dates=H","DateFormat=P","Fill=—","Direction=H","UseDPDF=Y")</f>
        <v>#NAME?</v>
      </c>
      <c r="BF567" s="2" t="e">
        <f ca="1">_xll.BDH($C$553,"REVENUE_SEQUENTIAL_GROWTH","FQ4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567" s="2" t="e">
        <f ca="1">_xll.BDH($C$553,"EBITDA_SEQUENTIAL_GROWTH","FQ4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567" s="2" t="e">
        <f ca="1">_xll.BDH($C$553,"OPERATING_INCOME_SEQ_GROWTH","FQ4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567" s="2" t="e">
        <f ca="1">_xll.BDH($C$553,"NET_INCOME_TO_COMMON_SEQ_GROWTH","FQ4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567" s="2" t="e">
        <f ca="1">_xll.BDH($C$553,"EPS_DILUTED_SEQUENTIAL_GROWTH","FQ4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567" s="2" t="e">
        <f ca="1">_xll.BDH($C$553,"DPS_SEQUENTIAL_GROWTH","FQ4 2016","FQ4 2016","Currency=INR","Period=FQ","BEST_FPERIOD_OVERRIDE=FQ","FILING_STATUS=OR","EQY_CONSOLIDATED=Y","Sort=A","Dates=H","DateFormat=P","Fill=—","Direction=H","UseDPDF=Y")</f>
        <v>#NAME?</v>
      </c>
      <c r="BL567" s="2" t="e">
        <f ca="1">_xll.BDH($C$553,"ACCOUNTS_RECEIVABLE_SEQ_GROWTH","FQ4 2016","FQ4 2016","Currency=INR","Period=FQ","BEST_FPERIOD_OVERRIDE=FQ","FILING_STATUS=OR","EQY_CONSOLIDATED=Y","Sort=A","Dates=H","DateFormat=P","Fill=—","Direction=H","UseDPDF=Y")</f>
        <v>#NAME?</v>
      </c>
      <c r="BM567" s="2" t="e">
        <f ca="1">_xll.BDH($C$553,"INVENTORY_SEQUENTIAL_GROWTH","FQ4 2016","FQ4 2016","Currency=INR","Period=FQ","BEST_FPERIOD_OVERRIDE=FQ","FILING_STATUS=OR","EQY_CONSOLIDATED=Y","Sort=A","Dates=H","DateFormat=P","Fill=—","Direction=H","UseDPDF=Y")</f>
        <v>#NAME?</v>
      </c>
      <c r="BN567" s="2" t="e">
        <f ca="1">_xll.BDH($C$553,"FIXED_ASSETS_SEQUENTIAL_GROWTH","FQ4 2016","FQ4 2016","Currency=INR","Period=FQ","BEST_FPERIOD_OVERRIDE=FQ","FILING_STATUS=OR","EQY_CONSOLIDATED=Y","Sort=A","Dates=H","DateFormat=P","Fill=—","Direction=H","UseDPDF=Y")</f>
        <v>#NAME?</v>
      </c>
      <c r="BO567" s="2" t="e">
        <f ca="1">_xll.BDH($C$553,"TOTAL_ASSETS_SEQUENTIAL_GROWTH","FQ4 2016","FQ4 2016","Currency=INR","Period=FQ","BEST_FPERIOD_OVERRIDE=FQ","FILING_STATUS=OR","EQY_CONSOLIDATED=Y","Sort=A","Dates=H","DateFormat=P","Fill=—","Direction=H","UseDPDF=Y")</f>
        <v>#NAME?</v>
      </c>
      <c r="BP567" s="2" t="e">
        <f ca="1">_xll.BDH($C$553,"MODIFIED_WORKING_CPTL_SEQ_GRWTH","FQ4 2016","FQ4 2016","Currency=INR","Period=FQ","BEST_FPERIOD_OVERRIDE=FQ","FILING_STATUS=OR","EQY_CONSOLIDATED=Y","Sort=A","Dates=H","DateFormat=P","Fill=—","Direction=H","UseDPDF=Y")</f>
        <v>#NAME?</v>
      </c>
      <c r="BQ567" s="2" t="e">
        <f ca="1">_xll.BDH($C$553,"WORKING_CAPITAL_SEQ_GROWTH","FQ4 2016","FQ4 2016","Currency=INR","Period=FQ","BEST_FPERIOD_OVERRIDE=FQ","FILING_STATUS=OR","EQY_CONSOLIDATED=Y","Sort=A","Dates=H","DateFormat=P","Fill=—","Direction=H","UseDPDF=Y")</f>
        <v>#NAME?</v>
      </c>
      <c r="BR567" s="2" t="e">
        <f ca="1">_xll.BDH($C$553,"ACCOUNTS_PAYABLE_SEQ_GROWTH","FQ4 2016","FQ4 2016","Currency=INR","Period=FQ","BEST_FPERIOD_OVERRIDE=FQ","FILING_STATUS=OR","EQY_CONSOLIDATED=Y","Sort=A","Dates=H","DateFormat=P","Fill=—","Direction=H","UseDPDF=Y")</f>
        <v>#NAME?</v>
      </c>
      <c r="BS567" s="2" t="e">
        <f ca="1">_xll.BDH($C$553,"ST_DEBT_SEQUENTIAL_GROWTH","FQ4 2016","FQ4 2016","Currency=INR","Period=FQ","BEST_FPERIOD_OVERRIDE=FQ","FILING_STATUS=OR","EQY_CONSOLIDATED=Y","Sort=A","Dates=H","DateFormat=P","Fill=—","Direction=H","UseDPDF=Y")</f>
        <v>#NAME?</v>
      </c>
      <c r="BT567" s="2" t="e">
        <f ca="1">_xll.BDH($C$553,"TOTAL_DEBT_SEQUENTIAL_GROWTH","FQ4 2016","FQ4 2016","Currency=INR","Period=FQ","BEST_FPERIOD_OVERRIDE=FQ","FILING_STATUS=OR","EQY_CONSOLIDATED=Y","Sort=A","Dates=H","DateFormat=P","Fill=—","Direction=H","UseDPDF=Y")</f>
        <v>#NAME?</v>
      </c>
      <c r="BU567" s="2" t="e">
        <f ca="1">_xll.BDH($C$553,"TOTAL_EQUITY_SEQUENTIAL_GROWTH","FQ4 2016","FQ4 2016","Currency=INR","Period=FQ","BEST_FPERIOD_OVERRIDE=FQ","FILING_STATUS=OR","EQY_CONSOLIDATED=Y","Sort=A","Dates=H","DateFormat=P","Fill=—","Direction=H","UseDPDF=Y")</f>
        <v>#NAME?</v>
      </c>
      <c r="BV567" s="2" t="e">
        <f ca="1">_xll.BDH($C$553,"TOTAL_CAPITAL_SEQUENTIAL_GROWTH","FQ4 2016","FQ4 2016","Currency=INR","Period=FQ","BEST_FPERIOD_OVERRIDE=FQ","FILING_STATUS=OR","EQY_CONSOLIDATED=Y","Sort=A","Dates=H","DateFormat=P","Fill=—","Direction=H","UseDPDF=Y")</f>
        <v>#NAME?</v>
      </c>
      <c r="BW567" s="2" t="e">
        <f ca="1">_xll.BDH($C$553,"BPS_SEQUENTIAL_GROWTH","FQ4 2016","FQ4 2016","Currency=INR","Period=FQ","BEST_FPERIOD_OVERRIDE=FQ","FILING_STATUS=OR","EQY_CONSOLIDATED=Y","Sort=A","Dates=H","DateFormat=P","Fill=—","Direction=H","UseDPDF=Y")</f>
        <v>#NAME?</v>
      </c>
      <c r="BX567" s="2" t="e">
        <f ca="1">_xll.BDH($C$553,"CFO_SEQUENTIAL_GROWTH","FQ4 2016","FQ4 2016","Currency=INR","Period=FQ","BEST_FPERIOD_OVERRIDE=FQ","FILING_STATUS=OR","EQY_CONSOLIDATED=Y","Sort=A","Dates=H","DateFormat=P","Fill=—","Direction=H","UseDPDF=Y")</f>
        <v>#NAME?</v>
      </c>
      <c r="BY567" s="3" t="e">
        <f ca="1">_xll.BDH($C$553,"SHORT_AND_LONG_TERM_DEBT","FQ4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567" s="3" t="e">
        <f ca="1">_xll.BDH($C$553,"BS_ST_BORROW","FQ4 2016","FQ4 2016","Currency=INR","Period=FQ","BEST_FPERIOD_OVERRIDE=FQ","FILING_STATUS=OR","EQY_CONSOLIDATED=Y","SCALING_FORMAT=MLN","Sort=A","Dates=H","DateFormat=P","Fill=—","Direction=H","UseDPDF=Y")</f>
        <v>#NAME?</v>
      </c>
      <c r="CA567" s="3" t="e">
        <f ca="1">_xll.BDH($C$553,"BS_LT_BORROW","FQ4 2016","FQ4 2016","Currency=INR","Period=FQ","BEST_FPERIOD_OVERRIDE=FQ","FILING_STATUS=OR","EQY_CONSOLIDATED=Y","SCALING_FORMAT=MLN","Sort=A","Dates=H","DateFormat=P","Fill=—","Direction=H","UseDPDF=Y")</f>
        <v>#NAME?</v>
      </c>
      <c r="CB567" s="2" t="e">
        <f ca="1">_xll.BDH($C$553,"TOT_DEBT_TO_EBITDA","FQ4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567" s="2" t="e">
        <f ca="1">_xll.BDH($C$553,"NET_DEBT_TO_EBITDA","FQ4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567" s="2" t="e">
        <f ca="1">_xll.BDH($C$553,"TOTAL_DEBT_TO_EBIT","FQ4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567" s="2" t="e">
        <f ca="1">_xll.BDH($C$553,"NET_DEBT_TO_EBIT","FQ4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567" s="2" t="e">
        <f ca="1">_xll.BDH($C$553,"EBITDA_TO_INTEREST_EXPN","FQ4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567" s="2" t="e">
        <f ca="1">_xll.BDH($C$553,"COM_EQY_TO_TOT_ASSET","FQ4 2016","FQ4 2016","Currency=INR","Period=FQ","BEST_FPERIOD_OVERRIDE=FQ","FILING_STATUS=OR","EQY_CONSOLIDATED=Y","Sort=A","Dates=H","DateFormat=P","Fill=—","Direction=H","UseDPDF=Y")</f>
        <v>#NAME?</v>
      </c>
      <c r="CH567" s="2" t="e">
        <f ca="1">_xll.BDH($C$553,"LT_DEBT_TO_TOT_EQY","FQ4 2016","FQ4 2016","Currency=INR","Period=FQ","BEST_FPERIOD_OVERRIDE=FQ","FILING_STATUS=OR","EQY_CONSOLIDATED=Y","Sort=A","Dates=H","DateFormat=P","Fill=—","Direction=H","UseDPDF=Y")</f>
        <v>#NAME?</v>
      </c>
      <c r="CI567" s="2" t="e">
        <f ca="1">_xll.BDH($C$553,"LT_DEBT_TO_TOT_CAP","FQ4 2016","FQ4 2016","Currency=INR","Period=FQ","BEST_FPERIOD_OVERRIDE=FQ","FILING_STATUS=OR","EQY_CONSOLIDATED=Y","Sort=A","Dates=H","DateFormat=P","Fill=—","Direction=H","UseDPDF=Y")</f>
        <v>#NAME?</v>
      </c>
      <c r="CJ567" s="2" t="e">
        <f ca="1">_xll.BDH($C$553,"LT_DEBT_TO_TOT_ASSET","FQ4 2016","FQ4 2016","Currency=INR","Period=FQ","BEST_FPERIOD_OVERRIDE=FQ","FILING_STATUS=OR","EQY_CONSOLIDATED=Y","Sort=A","Dates=H","DateFormat=P","Fill=—","Direction=H","UseDPDF=Y")</f>
        <v>#NAME?</v>
      </c>
      <c r="CK567" s="2" t="e">
        <f ca="1">_xll.BDH($C$553,"TOT_DEBT_TO_TOT_EQY","FQ4 2016","FQ4 2016","Currency=INR","Period=FQ","BEST_FPERIOD_OVERRIDE=FQ","FILING_STATUS=OR","EQY_CONSOLIDATED=Y","Sort=A","Dates=H","DateFormat=P","Fill=—","Direction=H","UseDPDF=Y")</f>
        <v>#NAME?</v>
      </c>
      <c r="CL567" s="2" t="e">
        <f ca="1">_xll.BDH($C$553,"TOT_DEBT_TO_TOT_CAP","FQ4 2016","FQ4 2016","Currency=INR","Period=FQ","BEST_FPERIOD_OVERRIDE=FQ","FILING_STATUS=OR","EQY_CONSOLIDATED=Y","Sort=A","Dates=H","DateFormat=P","Fill=—","Direction=H","UseDPDF=Y")</f>
        <v>#NAME?</v>
      </c>
      <c r="CM567" s="2" t="e">
        <f ca="1">_xll.BDH($C$553,"TOT_DEBT_TO_TOT_ASSET","FQ4 2016","FQ4 2016","Currency=INR","Period=FQ","BEST_FPERIOD_OVERRIDE=FQ","FILING_STATUS=OR","EQY_CONSOLIDATED=Y","Sort=A","Dates=H","DateFormat=P","Fill=—","Direction=H","UseDPDF=Y")</f>
        <v>#NAME?</v>
      </c>
      <c r="CN567" s="2" t="e">
        <f ca="1">_xll.BDH($C$553,"NET_DEBT_TO_SHRHLDR_EQTY","FQ4 2016","FQ4 2016","Currency=INR","Period=FQ","BEST_FPERIOD_OVERRIDE=FQ","FILING_STATUS=OR","EQY_CONSOLIDATED=Y","Sort=A","Dates=H","DateFormat=P","Fill=—","Direction=H","UseDPDF=Y")</f>
        <v>#NAME?</v>
      </c>
      <c r="CO567" s="2" t="e">
        <f ca="1">_xll.BDH($C$553,"NET_DEBT_%_CAPITAL","FQ4 2016","FQ4 2016","Currency=INR","Period=FQ","BEST_FPERIOD_OVERRIDE=FQ","FILING_STATUS=OR","EQY_CONSOLIDATED=Y","Sort=A","Dates=H","DateFormat=P","Fill=—","Direction=H","UseDPDF=Y")</f>
        <v>#NAME?</v>
      </c>
      <c r="CP567" s="3" t="e">
        <f ca="1">_xll.BDH($C$553,"EBITDA","FQ4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567" s="3" t="e">
        <f ca="1">_xll.BDH($C$553,"EBITDA_AFTER_CAPEX","FQ4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567" s="3" t="e">
        <f ca="1">_xll.BDH($C$553,"IS_OPER_INC","FQ4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567" s="2" t="e">
        <f ca="1">_xll.BDH($C$553,"CASH_RATIO","FQ4 2016","FQ4 2016","Currency=INR","Period=FQ","BEST_FPERIOD_OVERRIDE=FQ","FILING_STATUS=OR","EQY_CONSOLIDATED=Y","Sort=A","Dates=H","DateFormat=P","Fill=—","Direction=H","UseDPDF=Y")</f>
        <v>#NAME?</v>
      </c>
      <c r="CT567" s="2" t="e">
        <f ca="1">_xll.BDH($C$553,"CUR_RATIO","FQ4 2016","FQ4 2016","Currency=INR","Period=FQ","BEST_FPERIOD_OVERRIDE=FQ","FILING_STATUS=OR","EQY_CONSOLIDATED=Y","Sort=A","Dates=H","DateFormat=P","Fill=—","Direction=H","UseDPDF=Y")</f>
        <v>#NAME?</v>
      </c>
      <c r="CU567" s="2" t="e">
        <f ca="1">_xll.BDH($C$553,"QUICK_RATIO","FQ4 2016","FQ4 2016","Currency=INR","Period=FQ","BEST_FPERIOD_OVERRIDE=FQ","FILING_STATUS=OR","EQY_CONSOLIDATED=Y","Sort=A","Dates=H","DateFormat=P","Fill=—","Direction=H","UseDPDF=Y")</f>
        <v>#NAME?</v>
      </c>
      <c r="CV567" s="2" t="e">
        <f ca="1">_xll.BDH($C$553,"ALTMAN_Z_SCORE","FQ4 2016","FQ4 2016","Currency=INR","Period=FQ","BEST_FPERIOD_OVERRIDE=FQ","FILING_STATUS=OR","EQY_CONSOLIDATED=Y","Sort=A","Dates=H","DateFormat=P","Fill=—","Direction=H","UseDPDF=Y")</f>
        <v>#NAME?</v>
      </c>
      <c r="CW567" s="4" t="e">
        <f ca="1">_xll.BDH($C$553,"ACCT_RCV_TURN","FQ4 2016","FQ4 2016","Currency=INR","Period=FQ","BEST_FPERIOD_OVERRIDE=FQ","FILING_STATUS=OR","EQY_CONSOLIDATED=Y","FA_ADJUSTED=GAAP","Sort=A","Dates=H","DateFormat=P","Fill=—","Direction=H","UseDPDF=Y")</f>
        <v>#NAME?</v>
      </c>
      <c r="CX567" s="2" t="e">
        <f ca="1">_xll.BDH($C$553,"ACCT_RCV_DAYS","FQ4 2016","FQ4 2016","Currency=INR","Period=FQ","BEST_FPERIOD_OVERRIDE=FQ","FILING_STATUS=OR","EQY_CONSOLIDATED=Y","FA_ADJUSTED=GAAP","Sort=A","Dates=H","DateFormat=P","Fill=—","Direction=H","UseDPDF=Y")</f>
        <v>#NAME?</v>
      </c>
      <c r="CY567" s="4" t="e">
        <f ca="1">_xll.BDH($C$553,"INVENT_TURN","FQ4 2016","FQ4 2016","Currency=INR","Period=FQ","BEST_FPERIOD_OVERRIDE=FQ","FILING_STATUS=OR","EQY_CONSOLIDATED=Y","FA_ADJUSTED=GAAP","Sort=A","Dates=H","DateFormat=P","Fill=—","Direction=H","UseDPDF=Y")</f>
        <v>#NAME?</v>
      </c>
      <c r="CZ567" s="2" t="e">
        <f ca="1">_xll.BDH($C$553,"INVENT_DAYS","FQ4 2016","FQ4 2016","Currency=INR","Period=FQ","BEST_FPERIOD_OVERRIDE=FQ","FILING_STATUS=OR","EQY_CONSOLIDATED=Y","FA_ADJUSTED=GAAP","Sort=A","Dates=H","DateFormat=P","Fill=—","Direction=H","UseDPDF=Y")</f>
        <v>#NAME?</v>
      </c>
      <c r="DA567" s="4" t="e">
        <f ca="1">_xll.BDH($C$553,"ACCOUNTS_PAYABLE_TURNOVER","FQ4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567" s="2" t="e">
        <f ca="1">_xll.BDH($C$553,"ACCOUNTS_PAYABLE_TURNOVER_DAYS","FQ4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567" s="4" t="e">
        <f ca="1">_xll.BDH($C$553,"CASH_CONVERSION_CYCLE","FQ4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567" s="4" t="e">
        <f ca="1">_xll.BDH($C$553,"INV_TO_CASH_DAYS","FQ4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567" s="5" t="e">
        <f ca="1">_xll.BDH($C$553,"BS_INVENTORIES","FQ4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567" s="3" t="e">
        <f ca="1">_xll.BDH($C$553,"INVTRY_RAW_MATERIALS","FQ4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567" s="3" t="e">
        <f ca="1">_xll.BDH($C$553,"INVTRY_IN_PROGRESS","FQ4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567" s="3" t="e">
        <f ca="1">_xll.BDH($C$553,"INVTRY_FINISHED_GOODS","FQ4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567" s="3" t="e">
        <f ca="1">_xll.BDH($C$553,"BS_OTHER_INV","FQ4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568" spans="1:113" x14ac:dyDescent="0.3">
      <c r="A568" s="6"/>
      <c r="B568" s="6"/>
      <c r="C568" s="6"/>
      <c r="D568" s="6" t="s">
        <v>84</v>
      </c>
      <c r="E568" t="s">
        <v>77</v>
      </c>
      <c r="F568" t="e">
        <f ca="1">_xll.BDH($C$553,"RETURN_COM_EQY","FY 2017","FY 2017","Currency=INR","Period=FY","BEST_FPERIOD_OVERRIDE=FY","FILING_STATUS=OR","EQY_CONSOLIDATED=Y","FA_ADJUSTED=GAAP","Sort=A","Dates=H","DateFormat=P","Fill=—","Direction=H","UseDPDF=Y")</f>
        <v>#NAME?</v>
      </c>
      <c r="G568" t="e">
        <f ca="1">_xll.BDH($C$553,"RETURN_ON_ASSET","FY 2017","FY 2017","Currency=INR","Period=FY","BEST_FPERIOD_OVERRIDE=FY","FILING_STATUS=OR","EQY_CONSOLIDATED=Y","FA_ADJUSTED=GAAP","Sort=A","Dates=H","DateFormat=P","Fill=—","Direction=H","UseDPDF=Y")</f>
        <v>#NAME?</v>
      </c>
      <c r="H568" t="e">
        <f ca="1">_xll.BDH($C$553,"RETURN_ON_CAP","FY 2017","FY 2017","Currency=INR","Period=FY","BEST_FPERIOD_OVERRIDE=FY","FILING_STATUS=OR","EQY_CONSOLIDATED=Y","FA_ADJUSTED=GAAP","Sort=A","Dates=H","DateFormat=P","Fill=—","Direction=H","UseDPDF=Y")</f>
        <v>#NAME?</v>
      </c>
      <c r="I568" t="e">
        <f ca="1">_xll.BDH($C$553,"RETURN_ON_INV_CAPITAL","FY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568" t="e">
        <f ca="1">_xll.BDH($C$553,"EBITDA_TO_REVENUE","FY 2017","FY 2017","Currency=INR","Period=FY","BEST_FPERIOD_OVERRIDE=FY","FILING_STATUS=OR","EQY_CONSOLIDATED=Y","FA_ADJUSTED=GAAP","Sort=A","Dates=H","DateFormat=P","Fill=—","Direction=H","UseDPDF=Y")</f>
        <v>#NAME?</v>
      </c>
      <c r="K568" t="e">
        <f ca="1">_xll.BDH($C$553,"OPER_MARGIN","FY 2017","FY 2017","Currency=INR","Period=FY","BEST_FPERIOD_OVERRIDE=FY","FILING_STATUS=OR","EQY_CONSOLIDATED=Y","FA_ADJUSTED=GAAP","Sort=A","Dates=H","DateFormat=P","Fill=—","Direction=H","UseDPDF=Y")</f>
        <v>#NAME?</v>
      </c>
      <c r="L568" t="e">
        <f ca="1">_xll.BDH($C$553,"INCREMENTAL_OPERATING_MARGIN","FY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568" t="e">
        <f ca="1">_xll.BDH($C$553,"PRETAX_INC_TO_NET_SALES","FY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568" t="e">
        <f ca="1">_xll.BDH($C$553,"INC_BEF_XO_ITEMS_TO_NET_SALES","FY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568" t="e">
        <f ca="1">_xll.BDH($C$553,"PROF_MARGIN","FY 2017","FY 2017","Currency=INR","Period=FY","BEST_FPERIOD_OVERRIDE=FY","FILING_STATUS=OR","EQY_CONSOLIDATED=Y","FA_ADJUSTED=GAAP","Sort=A","Dates=H","DateFormat=P","Fill=—","Direction=H","UseDPDF=Y")</f>
        <v>#NAME?</v>
      </c>
      <c r="P568" t="e">
        <f ca="1">_xll.BDH($C$553,"NET_INCOME_TO_COMMON_MARGIN","FY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568" t="e">
        <f ca="1">_xll.BDH($C$553,"EFF_TAX_RATE","FY 2017","FY 2017","Currency=INR","Period=FY","BEST_FPERIOD_OVERRIDE=FY","FILING_STATUS=OR","EQY_CONSOLIDATED=Y","FA_ADJUSTED=GAAP","Sort=A","Dates=H","DateFormat=P","Fill=—","Direction=H","UseDPDF=Y")</f>
        <v>#NAME?</v>
      </c>
      <c r="R568" t="e">
        <f ca="1">_xll.BDH($C$553,"DVD_PAYOUT_RATIO","FY 2017","FY 2017","Currency=INR","Period=FY","BEST_FPERIOD_OVERRIDE=FY","FILING_STATUS=OR","EQY_CONSOLIDATED=Y","FA_ADJUSTED=GAAP","Sort=A","Dates=H","DateFormat=P","Fill=—","Direction=H","UseDPDF=Y")</f>
        <v>#NAME?</v>
      </c>
      <c r="S568" t="e">
        <f ca="1">_xll.BDH($C$553,"SUSTAIN_GROWTH_RT","FY 2017","FY 2017","Currency=INR","Period=FY","BEST_FPERIOD_OVERRIDE=FY","FILING_STATUS=OR","EQY_CONSOLIDATED=Y","FA_ADJUSTED=GAAP","Sort=A","Dates=H","DateFormat=P","Fill=—","Direction=H","UseDPDF=Y")</f>
        <v>#NAME?</v>
      </c>
      <c r="T568" s="2" t="e">
        <f ca="1">_xll.BDH($C$553,"SALES_GROWTH","FY 2017","FY 2017","Currency=INR","Period=FY","BEST_FPERIOD_OVERRIDE=FY","FILING_STATUS=OR","EQY_CONSOLIDATED=Y","FA_ADJUSTED=GAAP","Sort=A","Dates=H","DateFormat=P","Fill=—","Direction=H","UseDPDF=Y")</f>
        <v>#NAME?</v>
      </c>
      <c r="U568" s="2" t="e">
        <f ca="1">_xll.BDH($C$553,"EBITDA_GROWTH","FY 2017","FY 2017","Currency=INR","Period=FY","BEST_FPERIOD_OVERRIDE=FY","FILING_STATUS=OR","EQY_CONSOLIDATED=Y","FA_ADJUSTED=GAAP","Sort=A","Dates=H","DateFormat=P","Fill=—","Direction=H","UseDPDF=Y")</f>
        <v>#NAME?</v>
      </c>
      <c r="V568" s="2" t="e">
        <f ca="1">_xll.BDH($C$553,"OPER_INC_GROWTH","FY 2017","FY 2017","Currency=INR","Period=FY","BEST_FPERIOD_OVERRIDE=FY","FILING_STATUS=OR","EQY_CONSOLIDATED=Y","FA_ADJUSTED=GAAP","Sort=A","Dates=H","DateFormat=P","Fill=—","Direction=H","UseDPDF=Y")</f>
        <v>#NAME?</v>
      </c>
      <c r="W568" s="2" t="e">
        <f ca="1">_xll.BDH($C$553,"EARN_FOR_COM_GROWTH","FY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568" s="2" t="e">
        <f ca="1">_xll.BDH($C$553,"DILUTED_EPS_AFT_XO_ITEMS_GROWTH","FY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568" s="2" t="e">
        <f ca="1">_xll.BDH($C$553,"DIVIDEND_PER_SHARE_1_YEAR_GROWTH","FY 2017","FY 2017","Currency=INR","Period=FY","BEST_FPERIOD_OVERRIDE=FY","FILING_STATUS=OR","EQY_CONSOLIDATED=Y","Sort=A","Dates=H","DateFormat=P","Fill=—","Direction=H","UseDPDF=Y")</f>
        <v>#NAME?</v>
      </c>
      <c r="Z568" s="2" t="e">
        <f ca="1">_xll.BDH($C$553,"ACCOUNTS_RECEIVABLE_GROWTH","FY 2017","FY 2017","Currency=INR","Period=FY","BEST_FPERIOD_OVERRIDE=FY","FILING_STATUS=OR","EQY_CONSOLIDATED=Y","Sort=A","Dates=H","DateFormat=P","Fill=—","Direction=H","UseDPDF=Y")</f>
        <v>#NAME?</v>
      </c>
      <c r="AA568" s="2" t="e">
        <f ca="1">_xll.BDH($C$553,"INVENTORY_GROWTH","FY 2017","FY 2017","Currency=INR","Period=FY","BEST_FPERIOD_OVERRIDE=FY","FILING_STATUS=OR","EQY_CONSOLIDATED=Y","Sort=A","Dates=H","DateFormat=P","Fill=—","Direction=H","UseDPDF=Y")</f>
        <v>#NAME?</v>
      </c>
      <c r="AB568" s="2" t="e">
        <f ca="1">_xll.BDH($C$553,"NET_FIXED_ASSETS_1_YEAR_GROWTH","FY 2017","FY 2017","Currency=INR","Period=FY","BEST_FPERIOD_OVERRIDE=FY","FILING_STATUS=OR","EQY_CONSOLIDATED=Y","Sort=A","Dates=H","DateFormat=P","Fill=—","Direction=H","UseDPDF=Y")</f>
        <v>#NAME?</v>
      </c>
      <c r="AC568" s="2" t="e">
        <f ca="1">_xll.BDH($C$553,"ASSET_GROWTH","FY 2017","FY 2017","Currency=INR","Period=FY","BEST_FPERIOD_OVERRIDE=FY","FILING_STATUS=OR","EQY_CONSOLIDATED=Y","Sort=A","Dates=H","DateFormat=P","Fill=—","Direction=H","UseDPDF=Y")</f>
        <v>#NAME?</v>
      </c>
      <c r="AD568" s="2" t="e">
        <f ca="1">_xll.BDH($C$553,"MODIFIED_WORK_CAP_GROWTH","FY 2017","FY 2017","Currency=INR","Period=FY","BEST_FPERIOD_OVERRIDE=FY","FILING_STATUS=OR","EQY_CONSOLIDATED=Y","Sort=A","Dates=H","DateFormat=P","Fill=—","Direction=H","UseDPDF=Y")</f>
        <v>#NAME?</v>
      </c>
      <c r="AE568" s="2" t="e">
        <f ca="1">_xll.BDH($C$553,"WORK_CAP_GROWTH","FY 2017","FY 2017","Currency=INR","Period=FY","BEST_FPERIOD_OVERRIDE=FY","FILING_STATUS=OR","EQY_CONSOLIDATED=Y","Sort=A","Dates=H","DateFormat=P","Fill=—","Direction=H","UseDPDF=Y")</f>
        <v>#NAME?</v>
      </c>
      <c r="AF568" s="2" t="e">
        <f ca="1">_xll.BDH($C$553,"ACCOUNTS_PAYABLE_GROWTH_1YR","FY 2017","FY 2017","Currency=INR","Period=FY","BEST_FPERIOD_OVERRIDE=FY","FILING_STATUS=OR","EQY_CONSOLIDATED=Y","Sort=A","Dates=H","DateFormat=P","Fill=—","Direction=H","UseDPDF=Y")</f>
        <v>#NAME?</v>
      </c>
      <c r="AG568" s="2" t="e">
        <f ca="1">_xll.BDH($C$553,"SHORT_TERM_DEBT_1_YEAR_GROWTH","FY 2017","FY 2017","Currency=INR","Period=FY","BEST_FPERIOD_OVERRIDE=FY","FILING_STATUS=OR","EQY_CONSOLIDATED=Y","Sort=A","Dates=H","DateFormat=P","Fill=—","Direction=H","UseDPDF=Y")</f>
        <v>#NAME?</v>
      </c>
      <c r="AH568" s="2" t="e">
        <f ca="1">_xll.BDH($C$553,"TOTAL_DEBT_1_YEAR_GROWTH","FY 2017","FY 2017","Currency=INR","Period=FY","BEST_FPERIOD_OVERRIDE=FY","FILING_STATUS=OR","EQY_CONSOLIDATED=Y","Sort=A","Dates=H","DateFormat=P","Fill=—","Direction=H","UseDPDF=Y")</f>
        <v>#NAME?</v>
      </c>
      <c r="AI568" s="2" t="e">
        <f ca="1">_xll.BDH($C$553,"TOTAL_EQUITY_1_YEAR_GROWTH","FY 2017","FY 2017","Currency=INR","Period=FY","BEST_FPERIOD_OVERRIDE=FY","FILING_STATUS=OR","EQY_CONSOLIDATED=Y","Sort=A","Dates=H","DateFormat=P","Fill=—","Direction=H","UseDPDF=Y")</f>
        <v>#NAME?</v>
      </c>
      <c r="AJ568" s="2" t="e">
        <f ca="1">_xll.BDH($C$553,"GROWTH_IN_CAP","FY 2017","FY 2017","Currency=INR","Period=FY","BEST_FPERIOD_OVERRIDE=FY","FILING_STATUS=OR","EQY_CONSOLIDATED=Y","Sort=A","Dates=H","DateFormat=P","Fill=—","Direction=H","UseDPDF=Y")</f>
        <v>#NAME?</v>
      </c>
      <c r="AK568" s="2" t="e">
        <f ca="1">_xll.BDH($C$553,"BVPS_GROWTH","FY 2017","FY 2017","Currency=INR","Period=FY","BEST_FPERIOD_OVERRIDE=FY","FILING_STATUS=OR","EQY_CONSOLIDATED=Y","Sort=A","Dates=H","DateFormat=P","Fill=—","Direction=H","UseDPDF=Y")</f>
        <v>#NAME?</v>
      </c>
      <c r="AL568" s="2" t="e">
        <f ca="1">_xll.BDH($C$553,"CASH_FLOW_GROWTH","FY 2017","FY 2017","Currency=INR","Period=FY","BEST_FPERIOD_OVERRIDE=FY","FILING_STATUS=OR","EQY_CONSOLIDATED=Y","Sort=A","Dates=H","DateFormat=P","Fill=—","Direction=H","UseDPDF=Y")</f>
        <v>#NAME?</v>
      </c>
      <c r="AM568" s="2" t="e">
        <f ca="1">_xll.BDH($C$553,"GEO_GROW_NET_SALES","FY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568" s="2" t="e">
        <f ca="1">_xll.BDH($C$553,"GEO_GROW_EBITDA","FY 2017","FY 2017","Currency=INR","Period=FY","BEST_FPERIOD_OVERRIDE=FY","FILING_STATUS=OR","EQY_CONSOLIDATED=Y","FA_ADJUSTED=GAAP","Sort=A","Dates=H","DateFormat=P","Fill=—","Direction=H","UseDPDF=Y")</f>
        <v>#NAME?</v>
      </c>
      <c r="AO568" s="2" t="e">
        <f ca="1">_xll.BDH($C$553,"GEO_GROW_OPER_INC","FY 2017","FY 2017","Currency=INR","Period=FY","BEST_FPERIOD_OVERRIDE=FY","FILING_STATUS=OR","EQY_CONSOLIDATED=Y","FA_ADJUSTED=GAAP","Sort=A","Dates=H","DateFormat=P","Fill=—","Direction=H","UseDPDF=Y")</f>
        <v>#NAME?</v>
      </c>
      <c r="AP568" s="2" t="e">
        <f ca="1">_xll.BDH($C$553,"NET_INCOME_TO_COMMON_5_YR_GROWTH","FY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568" s="2" t="e">
        <f ca="1">_xll.BDH($C$553,"5Y_GEO_GROWTH_DILUTED_EPS","FY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568" s="2" t="e">
        <f ca="1">_xll.BDH($C$553,"GEO_GROW_DVD_PER_SH","FY 2017","FY 2017","Currency=INR","Period=FY","BEST_FPERIOD_OVERRIDE=FY","FILING_STATUS=OR","EQY_CONSOLIDATED=Y","Sort=A","Dates=H","DateFormat=P","Fill=—","Direction=H","UseDPDF=Y")</f>
        <v>#NAME?</v>
      </c>
      <c r="AS568" s="2" t="e">
        <f ca="1">_xll.BDH($C$553,"ACCOUNTS_RECEIVABLE_5_YR_GROWTH","FY 2017","FY 2017","Currency=INR","Period=FY","BEST_FPERIOD_OVERRIDE=FY","FILING_STATUS=OR","EQY_CONSOLIDATED=Y","Sort=A","Dates=H","DateFormat=P","Fill=—","Direction=H","UseDPDF=Y")</f>
        <v>#NAME?</v>
      </c>
      <c r="AT568" s="2" t="e">
        <f ca="1">_xll.BDH($C$553,"INVENTORY_5_YEAR_GROWTH","FY 2017","FY 2017","Currency=INR","Period=FY","BEST_FPERIOD_OVERRIDE=FY","FILING_STATUS=OR","EQY_CONSOLIDATED=Y","Sort=A","Dates=H","DateFormat=P","Fill=—","Direction=H","UseDPDF=Y")</f>
        <v>#NAME?</v>
      </c>
      <c r="AU568" s="2" t="e">
        <f ca="1">_xll.BDH($C$553,"NET_FIXED_ASSETS_5_YEAR_GROWTH","FY 2017","FY 2017","Currency=INR","Period=FY","BEST_FPERIOD_OVERRIDE=FY","FILING_STATUS=OR","EQY_CONSOLIDATED=Y","Sort=A","Dates=H","DateFormat=P","Fill=—","Direction=H","UseDPDF=Y")</f>
        <v>#NAME?</v>
      </c>
      <c r="AV568" s="2" t="e">
        <f ca="1">_xll.BDH($C$553,"GEO_GROW_TOT_ASSET","FY 2017","FY 2017","Currency=INR","Period=FY","BEST_FPERIOD_OVERRIDE=FY","FILING_STATUS=OR","EQY_CONSOLIDATED=Y","Sort=A","Dates=H","DateFormat=P","Fill=—","Direction=H","UseDPDF=Y")</f>
        <v>#NAME?</v>
      </c>
      <c r="AW568" s="2" t="e">
        <f ca="1">_xll.BDH($C$553,"MODIFIED_WORKING_CPTL_5YR_GRWTH","FY 2017","FY 2017","Currency=INR","Period=FY","BEST_FPERIOD_OVERRIDE=FY","FILING_STATUS=OR","EQY_CONSOLIDATED=Y","Sort=A","Dates=H","DateFormat=P","Fill=—","Direction=H","UseDPDF=Y")</f>
        <v>#NAME?</v>
      </c>
      <c r="AX568" s="2" t="e">
        <f ca="1">_xll.BDH($C$553,"WORKING_CAPITAL_5_YEAR_GROWTH","FY 2017","FY 2017","Currency=INR","Period=FY","BEST_FPERIOD_OVERRIDE=FY","FILING_STATUS=OR","EQY_CONSOLIDATED=Y","Sort=A","Dates=H","DateFormat=P","Fill=—","Direction=H","UseDPDF=Y")</f>
        <v>#NAME?</v>
      </c>
      <c r="AY568" s="2" t="e">
        <f ca="1">_xll.BDH($C$553,"ACCOUNTS_PAYABLE_5_YEAR_GROWTH","FY 2017","FY 2017","Currency=INR","Period=FY","BEST_FPERIOD_OVERRIDE=FY","FILING_STATUS=OR","EQY_CONSOLIDATED=Y","Sort=A","Dates=H","DateFormat=P","Fill=—","Direction=H","UseDPDF=Y")</f>
        <v>#NAME?</v>
      </c>
      <c r="AZ568" s="2" t="e">
        <f ca="1">_xll.BDH($C$553,"SHORT_TERM_DEBT_5_YEAR_GROWTH","FY 2017","FY 2017","Currency=INR","Period=FY","BEST_FPERIOD_OVERRIDE=FY","FILING_STATUS=OR","EQY_CONSOLIDATED=Y","Sort=A","Dates=H","DateFormat=P","Fill=—","Direction=H","UseDPDF=Y")</f>
        <v>#NAME?</v>
      </c>
      <c r="BA568" s="2" t="e">
        <f ca="1">_xll.BDH($C$553,"TOTAL_DEBT_5_YEAR_GROWTH","FY 2017","FY 2017","Currency=INR","Period=FY","BEST_FPERIOD_OVERRIDE=FY","FILING_STATUS=OR","EQY_CONSOLIDATED=Y","Sort=A","Dates=H","DateFormat=P","Fill=—","Direction=H","UseDPDF=Y")</f>
        <v>#NAME?</v>
      </c>
      <c r="BB568" s="2" t="e">
        <f ca="1">_xll.BDH($C$553,"GEO_GROW_TOT_SHRHLDR_EQY","FY 2017","FY 2017","Currency=INR","Period=FY","BEST_FPERIOD_OVERRIDE=FY","FILING_STATUS=OR","EQY_CONSOLIDATED=Y","Sort=A","Dates=H","DateFormat=P","Fill=—","Direction=H","UseDPDF=Y")</f>
        <v>#NAME?</v>
      </c>
      <c r="BC568" s="2" t="e">
        <f ca="1">_xll.BDH($C$553,"TOTAL_CAPITAL_5_YEAR_GROWTH","FY 2017","FY 2017","Currency=INR","Period=FY","BEST_FPERIOD_OVERRIDE=FY","FILING_STATUS=OR","EQY_CONSOLIDATED=Y","Sort=A","Dates=H","DateFormat=P","Fill=—","Direction=H","UseDPDF=Y")</f>
        <v>#NAME?</v>
      </c>
      <c r="BD568" s="2" t="e">
        <f ca="1">_xll.BDH($C$553,"GEO_GROW_BOOK_VAL","FY 2017","FY 2017","Currency=INR","Period=FY","BEST_FPERIOD_OVERRIDE=FY","FILING_STATUS=OR","EQY_CONSOLIDATED=Y","Sort=A","Dates=H","DateFormat=P","Fill=—","Direction=H","UseDPDF=Y")</f>
        <v>#NAME?</v>
      </c>
      <c r="BE568" s="2" t="e">
        <f ca="1">_xll.BDH($C$553,"GEO_GROW_CASH_OPER_ACT","FY 2017","FY 2017","Currency=INR","Period=FY","BEST_FPERIOD_OVERRIDE=FY","FILING_STATUS=OR","EQY_CONSOLIDATED=Y","Sort=A","Dates=H","DateFormat=P","Fill=—","Direction=H","UseDPDF=Y")</f>
        <v>#NAME?</v>
      </c>
      <c r="BF568" s="2" t="e">
        <f ca="1">_xll.BDH($C$553,"REVENUE_SEQUENTIAL_GROWTH","FY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568" s="2" t="e">
        <f ca="1">_xll.BDH($C$553,"EBITDA_SEQUENTIAL_GROWTH","FY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568" s="2" t="e">
        <f ca="1">_xll.BDH($C$553,"OPERATING_INCOME_SEQ_GROWTH","FY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568" s="2" t="e">
        <f ca="1">_xll.BDH($C$553,"NET_INCOME_TO_COMMON_SEQ_GROWTH","FY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568" s="2" t="e">
        <f ca="1">_xll.BDH($C$553,"EPS_DILUTED_SEQUENTIAL_GROWTH","FY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568" s="2" t="e">
        <f ca="1">_xll.BDH($C$553,"DPS_SEQUENTIAL_GROWTH","FY 2017","FY 2017","Currency=INR","Period=FY","BEST_FPERIOD_OVERRIDE=FY","FILING_STATUS=OR","EQY_CONSOLIDATED=Y","Sort=A","Dates=H","DateFormat=P","Fill=—","Direction=H","UseDPDF=Y")</f>
        <v>#NAME?</v>
      </c>
      <c r="BL568" s="2" t="e">
        <f ca="1">_xll.BDH($C$553,"ACCOUNTS_RECEIVABLE_SEQ_GROWTH","FY 2017","FY 2017","Currency=INR","Period=FY","BEST_FPERIOD_OVERRIDE=FY","FILING_STATUS=OR","EQY_CONSOLIDATED=Y","Sort=A","Dates=H","DateFormat=P","Fill=—","Direction=H","UseDPDF=Y")</f>
        <v>#NAME?</v>
      </c>
      <c r="BM568" s="2" t="e">
        <f ca="1">_xll.BDH($C$553,"INVENTORY_SEQUENTIAL_GROWTH","FY 2017","FY 2017","Currency=INR","Period=FY","BEST_FPERIOD_OVERRIDE=FY","FILING_STATUS=OR","EQY_CONSOLIDATED=Y","Sort=A","Dates=H","DateFormat=P","Fill=—","Direction=H","UseDPDF=Y")</f>
        <v>#NAME?</v>
      </c>
      <c r="BN568" s="2" t="e">
        <f ca="1">_xll.BDH($C$553,"FIXED_ASSETS_SEQUENTIAL_GROWTH","FY 2017","FY 2017","Currency=INR","Period=FY","BEST_FPERIOD_OVERRIDE=FY","FILING_STATUS=OR","EQY_CONSOLIDATED=Y","Sort=A","Dates=H","DateFormat=P","Fill=—","Direction=H","UseDPDF=Y")</f>
        <v>#NAME?</v>
      </c>
      <c r="BO568" s="2" t="e">
        <f ca="1">_xll.BDH($C$553,"TOTAL_ASSETS_SEQUENTIAL_GROWTH","FY 2017","FY 2017","Currency=INR","Period=FY","BEST_FPERIOD_OVERRIDE=FY","FILING_STATUS=OR","EQY_CONSOLIDATED=Y","Sort=A","Dates=H","DateFormat=P","Fill=—","Direction=H","UseDPDF=Y")</f>
        <v>#NAME?</v>
      </c>
      <c r="BP568" s="2" t="e">
        <f ca="1">_xll.BDH($C$553,"MODIFIED_WORKING_CPTL_SEQ_GRWTH","FY 2017","FY 2017","Currency=INR","Period=FY","BEST_FPERIOD_OVERRIDE=FY","FILING_STATUS=OR","EQY_CONSOLIDATED=Y","Sort=A","Dates=H","DateFormat=P","Fill=—","Direction=H","UseDPDF=Y")</f>
        <v>#NAME?</v>
      </c>
      <c r="BQ568" s="2" t="e">
        <f ca="1">_xll.BDH($C$553,"WORKING_CAPITAL_SEQ_GROWTH","FY 2017","FY 2017","Currency=INR","Period=FY","BEST_FPERIOD_OVERRIDE=FY","FILING_STATUS=OR","EQY_CONSOLIDATED=Y","Sort=A","Dates=H","DateFormat=P","Fill=—","Direction=H","UseDPDF=Y")</f>
        <v>#NAME?</v>
      </c>
      <c r="BR568" s="2" t="e">
        <f ca="1">_xll.BDH($C$553,"ACCOUNTS_PAYABLE_SEQ_GROWTH","FY 2017","FY 2017","Currency=INR","Period=FY","BEST_FPERIOD_OVERRIDE=FY","FILING_STATUS=OR","EQY_CONSOLIDATED=Y","Sort=A","Dates=H","DateFormat=P","Fill=—","Direction=H","UseDPDF=Y")</f>
        <v>#NAME?</v>
      </c>
      <c r="BS568" s="2" t="e">
        <f ca="1">_xll.BDH($C$553,"ST_DEBT_SEQUENTIAL_GROWTH","FY 2017","FY 2017","Currency=INR","Period=FY","BEST_FPERIOD_OVERRIDE=FY","FILING_STATUS=OR","EQY_CONSOLIDATED=Y","Sort=A","Dates=H","DateFormat=P","Fill=—","Direction=H","UseDPDF=Y")</f>
        <v>#NAME?</v>
      </c>
      <c r="BT568" s="2" t="e">
        <f ca="1">_xll.BDH($C$553,"TOTAL_DEBT_SEQUENTIAL_GROWTH","FY 2017","FY 2017","Currency=INR","Period=FY","BEST_FPERIOD_OVERRIDE=FY","FILING_STATUS=OR","EQY_CONSOLIDATED=Y","Sort=A","Dates=H","DateFormat=P","Fill=—","Direction=H","UseDPDF=Y")</f>
        <v>#NAME?</v>
      </c>
      <c r="BU568" s="2" t="e">
        <f ca="1">_xll.BDH($C$553,"TOTAL_EQUITY_SEQUENTIAL_GROWTH","FY 2017","FY 2017","Currency=INR","Period=FY","BEST_FPERIOD_OVERRIDE=FY","FILING_STATUS=OR","EQY_CONSOLIDATED=Y","Sort=A","Dates=H","DateFormat=P","Fill=—","Direction=H","UseDPDF=Y")</f>
        <v>#NAME?</v>
      </c>
      <c r="BV568" s="2" t="e">
        <f ca="1">_xll.BDH($C$553,"TOTAL_CAPITAL_SEQUENTIAL_GROWTH","FY 2017","FY 2017","Currency=INR","Period=FY","BEST_FPERIOD_OVERRIDE=FY","FILING_STATUS=OR","EQY_CONSOLIDATED=Y","Sort=A","Dates=H","DateFormat=P","Fill=—","Direction=H","UseDPDF=Y")</f>
        <v>#NAME?</v>
      </c>
      <c r="BW568" s="2" t="e">
        <f ca="1">_xll.BDH($C$553,"BPS_SEQUENTIAL_GROWTH","FY 2017","FY 2017","Currency=INR","Period=FY","BEST_FPERIOD_OVERRIDE=FY","FILING_STATUS=OR","EQY_CONSOLIDATED=Y","Sort=A","Dates=H","DateFormat=P","Fill=—","Direction=H","UseDPDF=Y")</f>
        <v>#NAME?</v>
      </c>
      <c r="BX568" s="2" t="e">
        <f ca="1">_xll.BDH($C$553,"CFO_SEQUENTIAL_GROWTH","FY 2017","FY 2017","Currency=INR","Period=FY","BEST_FPERIOD_OVERRIDE=FY","FILING_STATUS=OR","EQY_CONSOLIDATED=Y","Sort=A","Dates=H","DateFormat=P","Fill=—","Direction=H","UseDPDF=Y")</f>
        <v>#NAME?</v>
      </c>
      <c r="BY568" s="3" t="e">
        <f ca="1">_xll.BDH($C$553,"SHORT_AND_LONG_TERM_DEBT","FY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568" s="3" t="e">
        <f ca="1">_xll.BDH($C$553,"BS_ST_BORROW","FY 2017","FY 2017","Currency=INR","Period=FY","BEST_FPERIOD_OVERRIDE=FY","FILING_STATUS=OR","EQY_CONSOLIDATED=Y","SCALING_FORMAT=MLN","Sort=A","Dates=H","DateFormat=P","Fill=—","Direction=H","UseDPDF=Y")</f>
        <v>#NAME?</v>
      </c>
      <c r="CA568" s="3" t="e">
        <f ca="1">_xll.BDH($C$553,"BS_LT_BORROW","FY 2017","FY 2017","Currency=INR","Period=FY","BEST_FPERIOD_OVERRIDE=FY","FILING_STATUS=OR","EQY_CONSOLIDATED=Y","SCALING_FORMAT=MLN","Sort=A","Dates=H","DateFormat=P","Fill=—","Direction=H","UseDPDF=Y")</f>
        <v>#NAME?</v>
      </c>
      <c r="CB568" s="2" t="e">
        <f ca="1">_xll.BDH($C$553,"TOT_DEBT_TO_EBITDA","FY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568" s="2" t="e">
        <f ca="1">_xll.BDH($C$553,"NET_DEBT_TO_EBITDA","FY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568" s="2" t="e">
        <f ca="1">_xll.BDH($C$553,"TOTAL_DEBT_TO_EBIT","FY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568" s="2" t="e">
        <f ca="1">_xll.BDH($C$553,"NET_DEBT_TO_EBIT","FY 2017","FY 2017","Currency=INR","Period=FY","BEST_FPERIOD_OVERRIDE=FY","FILING_STATUS=OR","EQY_CONSOLIDATED=Y","FA_ADJUSTED=GAAP","Sort=A","Dates=H","DateFormat=P","Fill=—","Direction=H","UseDPDF=Y")</f>
        <v>#NAME?</v>
      </c>
      <c r="CF568" s="2" t="e">
        <f ca="1">_xll.BDH($C$553,"EBITDA_TO_INTEREST_EXPN","FY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568" s="2" t="e">
        <f ca="1">_xll.BDH($C$553,"COM_EQY_TO_TOT_ASSET","FY 2017","FY 2017","Currency=INR","Period=FY","BEST_FPERIOD_OVERRIDE=FY","FILING_STATUS=OR","EQY_CONSOLIDATED=Y","Sort=A","Dates=H","DateFormat=P","Fill=—","Direction=H","UseDPDF=Y")</f>
        <v>#NAME?</v>
      </c>
      <c r="CH568" s="2" t="e">
        <f ca="1">_xll.BDH($C$553,"LT_DEBT_TO_TOT_EQY","FY 2017","FY 2017","Currency=INR","Period=FY","BEST_FPERIOD_OVERRIDE=FY","FILING_STATUS=OR","EQY_CONSOLIDATED=Y","Sort=A","Dates=H","DateFormat=P","Fill=—","Direction=H","UseDPDF=Y")</f>
        <v>#NAME?</v>
      </c>
      <c r="CI568" s="2" t="e">
        <f ca="1">_xll.BDH($C$553,"LT_DEBT_TO_TOT_CAP","FY 2017","FY 2017","Currency=INR","Period=FY","BEST_FPERIOD_OVERRIDE=FY","FILING_STATUS=OR","EQY_CONSOLIDATED=Y","Sort=A","Dates=H","DateFormat=P","Fill=—","Direction=H","UseDPDF=Y")</f>
        <v>#NAME?</v>
      </c>
      <c r="CJ568" s="2" t="e">
        <f ca="1">_xll.BDH($C$553,"LT_DEBT_TO_TOT_ASSET","FY 2017","FY 2017","Currency=INR","Period=FY","BEST_FPERIOD_OVERRIDE=FY","FILING_STATUS=OR","EQY_CONSOLIDATED=Y","Sort=A","Dates=H","DateFormat=P","Fill=—","Direction=H","UseDPDF=Y")</f>
        <v>#NAME?</v>
      </c>
      <c r="CK568" s="2" t="e">
        <f ca="1">_xll.BDH($C$553,"TOT_DEBT_TO_TOT_EQY","FY 2017","FY 2017","Currency=INR","Period=FY","BEST_FPERIOD_OVERRIDE=FY","FILING_STATUS=OR","EQY_CONSOLIDATED=Y","Sort=A","Dates=H","DateFormat=P","Fill=—","Direction=H","UseDPDF=Y")</f>
        <v>#NAME?</v>
      </c>
      <c r="CL568" s="2" t="e">
        <f ca="1">_xll.BDH($C$553,"TOT_DEBT_TO_TOT_CAP","FY 2017","FY 2017","Currency=INR","Period=FY","BEST_FPERIOD_OVERRIDE=FY","FILING_STATUS=OR","EQY_CONSOLIDATED=Y","Sort=A","Dates=H","DateFormat=P","Fill=—","Direction=H","UseDPDF=Y")</f>
        <v>#NAME?</v>
      </c>
      <c r="CM568" s="2" t="e">
        <f ca="1">_xll.BDH($C$553,"TOT_DEBT_TO_TOT_ASSET","FY 2017","FY 2017","Currency=INR","Period=FY","BEST_FPERIOD_OVERRIDE=FY","FILING_STATUS=OR","EQY_CONSOLIDATED=Y","Sort=A","Dates=H","DateFormat=P","Fill=—","Direction=H","UseDPDF=Y")</f>
        <v>#NAME?</v>
      </c>
      <c r="CN568" s="2" t="e">
        <f ca="1">_xll.BDH($C$553,"NET_DEBT_TO_SHRHLDR_EQTY","FY 2017","FY 2017","Currency=INR","Period=FY","BEST_FPERIOD_OVERRIDE=FY","FILING_STATUS=OR","EQY_CONSOLIDATED=Y","Sort=A","Dates=H","DateFormat=P","Fill=—","Direction=H","UseDPDF=Y")</f>
        <v>#NAME?</v>
      </c>
      <c r="CO568" s="2" t="e">
        <f ca="1">_xll.BDH($C$553,"NET_DEBT_%_CAPITAL","FY 2017","FY 2017","Currency=INR","Period=FY","BEST_FPERIOD_OVERRIDE=FY","FILING_STATUS=OR","EQY_CONSOLIDATED=Y","Sort=A","Dates=H","DateFormat=P","Fill=—","Direction=H","UseDPDF=Y")</f>
        <v>#NAME?</v>
      </c>
      <c r="CP568" s="3" t="e">
        <f ca="1">_xll.BDH($C$553,"EBITDA","FY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568" s="3" t="e">
        <f ca="1">_xll.BDH($C$553,"EBITDA_AFTER_CAPEX","FY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568" s="3" t="e">
        <f ca="1">_xll.BDH($C$553,"IS_OPER_INC","FY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568" s="2" t="e">
        <f ca="1">_xll.BDH($C$553,"CASH_RATIO","FY 2017","FY 2017","Currency=INR","Period=FY","BEST_FPERIOD_OVERRIDE=FY","FILING_STATUS=OR","EQY_CONSOLIDATED=Y","Sort=A","Dates=H","DateFormat=P","Fill=—","Direction=H","UseDPDF=Y")</f>
        <v>#NAME?</v>
      </c>
      <c r="CT568" s="2" t="e">
        <f ca="1">_xll.BDH($C$553,"CUR_RATIO","FY 2017","FY 2017","Currency=INR","Period=FY","BEST_FPERIOD_OVERRIDE=FY","FILING_STATUS=OR","EQY_CONSOLIDATED=Y","Sort=A","Dates=H","DateFormat=P","Fill=—","Direction=H","UseDPDF=Y")</f>
        <v>#NAME?</v>
      </c>
      <c r="CU568" s="2" t="e">
        <f ca="1">_xll.BDH($C$553,"QUICK_RATIO","FY 2017","FY 2017","Currency=INR","Period=FY","BEST_FPERIOD_OVERRIDE=FY","FILING_STATUS=OR","EQY_CONSOLIDATED=Y","Sort=A","Dates=H","DateFormat=P","Fill=—","Direction=H","UseDPDF=Y")</f>
        <v>#NAME?</v>
      </c>
      <c r="CV568" s="2" t="e">
        <f ca="1">_xll.BDH($C$553,"ALTMAN_Z_SCORE","FY 2017","FY 2017","Currency=INR","Period=FY","BEST_FPERIOD_OVERRIDE=FY","FILING_STATUS=OR","EQY_CONSOLIDATED=Y","Sort=A","Dates=H","DateFormat=P","Fill=—","Direction=H","UseDPDF=Y")</f>
        <v>#NAME?</v>
      </c>
      <c r="CW568" s="4" t="e">
        <f ca="1">_xll.BDH($C$553,"ACCT_RCV_TURN","FY 2017","FY 2017","Currency=INR","Period=FY","BEST_FPERIOD_OVERRIDE=FY","FILING_STATUS=OR","EQY_CONSOLIDATED=Y","FA_ADJUSTED=GAAP","Sort=A","Dates=H","DateFormat=P","Fill=—","Direction=H","UseDPDF=Y")</f>
        <v>#NAME?</v>
      </c>
      <c r="CX568" s="2" t="e">
        <f ca="1">_xll.BDH($C$553,"ACCT_RCV_DAYS","FY 2017","FY 2017","Currency=INR","Period=FY","BEST_FPERIOD_OVERRIDE=FY","FILING_STATUS=OR","EQY_CONSOLIDATED=Y","FA_ADJUSTED=GAAP","Sort=A","Dates=H","DateFormat=P","Fill=—","Direction=H","UseDPDF=Y")</f>
        <v>#NAME?</v>
      </c>
      <c r="CY568" s="4" t="e">
        <f ca="1">_xll.BDH($C$553,"INVENT_TURN","FY 2017","FY 2017","Currency=INR","Period=FY","BEST_FPERIOD_OVERRIDE=FY","FILING_STATUS=OR","EQY_CONSOLIDATED=Y","FA_ADJUSTED=GAAP","Sort=A","Dates=H","DateFormat=P","Fill=—","Direction=H","UseDPDF=Y")</f>
        <v>#NAME?</v>
      </c>
      <c r="CZ568" s="2" t="e">
        <f ca="1">_xll.BDH($C$553,"INVENT_DAYS","FY 2017","FY 2017","Currency=INR","Period=FY","BEST_FPERIOD_OVERRIDE=FY","FILING_STATUS=OR","EQY_CONSOLIDATED=Y","FA_ADJUSTED=GAAP","Sort=A","Dates=H","DateFormat=P","Fill=—","Direction=H","UseDPDF=Y")</f>
        <v>#NAME?</v>
      </c>
      <c r="DA568" s="4" t="e">
        <f ca="1">_xll.BDH($C$553,"ACCOUNTS_PAYABLE_TURNOVER","FY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568" s="2" t="e">
        <f ca="1">_xll.BDH($C$553,"ACCOUNTS_PAYABLE_TURNOVER_DAYS","FY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568" s="4" t="e">
        <f ca="1">_xll.BDH($C$553,"CASH_CONVERSION_CYCLE","FY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568" s="4" t="e">
        <f ca="1">_xll.BDH($C$553,"INV_TO_CASH_DAYS","FY 2017","FY 2017","Currency=INR","Period=FY","BEST_FPERIOD_OVERRIDE=FY","FILING_STATUS=OR","EQY_CONSOLIDATED=Y","FA_ADJUSTED=GAAP","Sort=A","Dates=H","DateFormat=P","Fill=—","Direction=H","UseDPDF=Y")</f>
        <v>#NAME?</v>
      </c>
      <c r="DE568" s="5" t="e">
        <f ca="1">_xll.BDH($C$553,"BS_INVENTORIES","FY 2017","FY 2017","Currency=INR","Period=FY","BEST_FPERIOD_OVERRIDE=FY","FILING_STATUS=OR","EQY_CONSOLIDATED=Y","SCALING_FORMAT=MLN","Sort=A","Dates=H","DateFormat=P","Fill=—","Direction=H","UseDPDF=Y")</f>
        <v>#NAME?</v>
      </c>
      <c r="DF568" s="3" t="e">
        <f ca="1">_xll.BDH($C$553,"INVTRY_RAW_MATERIALS","FY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568" s="3" t="e">
        <f ca="1">_xll.BDH($C$553,"INVTRY_IN_PROGRESS","FY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568" s="3" t="e">
        <f ca="1">_xll.BDH($C$553,"INVTRY_FINISHED_GOODS","FY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568" s="3" t="e">
        <f ca="1">_xll.BDH($C$553,"BS_OTHER_INV","FY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569" spans="1:113" x14ac:dyDescent="0.3">
      <c r="A569" s="6"/>
      <c r="B569" s="6"/>
      <c r="C569" s="6"/>
      <c r="D569" s="6"/>
      <c r="E569" t="s">
        <v>78</v>
      </c>
      <c r="F569" t="e">
        <f ca="1">_xll.BDH($C$553,"RETURN_COM_EQY","FQ1 2017","FQ1 2017","Currency=INR","Period=FQ","BEST_FPERIOD_OVERRIDE=FQ","FILING_STATUS=OR","EQY_CONSOLIDATED=Y","FA_ADJUSTED=GAAP","Sort=A","Dates=H","DateFormat=P","Fill=—","Direction=H","UseDPDF=Y")</f>
        <v>#NAME?</v>
      </c>
      <c r="G569" t="e">
        <f ca="1">_xll.BDH($C$553,"RETURN_ON_ASSET","FQ1 2017","FQ1 2017","Currency=INR","Period=FQ","BEST_FPERIOD_OVERRIDE=FQ","FILING_STATUS=OR","EQY_CONSOLIDATED=Y","FA_ADJUSTED=GAAP","Sort=A","Dates=H","DateFormat=P","Fill=—","Direction=H","UseDPDF=Y")</f>
        <v>#NAME?</v>
      </c>
      <c r="H569" t="e">
        <f ca="1">_xll.BDH($C$553,"RETURN_ON_CAP","FQ1 2017","FQ1 2017","Currency=INR","Period=FQ","BEST_FPERIOD_OVERRIDE=FQ","FILING_STATUS=OR","EQY_CONSOLIDATED=Y","FA_ADJUSTED=GAAP","Sort=A","Dates=H","DateFormat=P","Fill=—","Direction=H","UseDPDF=Y")</f>
        <v>#NAME?</v>
      </c>
      <c r="I569" t="e">
        <f ca="1">_xll.BDH($C$553,"RETURN_ON_INV_CAPITAL","FQ1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569" t="e">
        <f ca="1">_xll.BDH($C$553,"EBITDA_TO_REVENUE","FQ1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569" t="e">
        <f ca="1">_xll.BDH($C$553,"OPER_MARGIN","FQ1 2017","FQ1 2017","Currency=INR","Period=FQ","BEST_FPERIOD_OVERRIDE=FQ","FILING_STATUS=OR","EQY_CONSOLIDATED=Y","FA_ADJUSTED=GAAP","Sort=A","Dates=H","DateFormat=P","Fill=—","Direction=H","UseDPDF=Y")</f>
        <v>#NAME?</v>
      </c>
      <c r="L569" t="e">
        <f ca="1">_xll.BDH($C$553,"INCREMENTAL_OPERATING_MARGIN","FQ1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569" t="e">
        <f ca="1">_xll.BDH($C$553,"PRETAX_INC_TO_NET_SALES","FQ1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569" t="e">
        <f ca="1">_xll.BDH($C$553,"INC_BEF_XO_ITEMS_TO_NET_SALES","FQ1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569" t="e">
        <f ca="1">_xll.BDH($C$553,"PROF_MARGIN","FQ1 2017","FQ1 2017","Currency=INR","Period=FQ","BEST_FPERIOD_OVERRIDE=FQ","FILING_STATUS=OR","EQY_CONSOLIDATED=Y","FA_ADJUSTED=GAAP","Sort=A","Dates=H","DateFormat=P","Fill=—","Direction=H","UseDPDF=Y")</f>
        <v>#NAME?</v>
      </c>
      <c r="P569" t="e">
        <f ca="1">_xll.BDH($C$553,"NET_INCOME_TO_COMMON_MARGIN","FQ1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569" t="e">
        <f ca="1">_xll.BDH($C$553,"EFF_TAX_RATE","FQ1 2017","FQ1 2017","Currency=INR","Period=FQ","BEST_FPERIOD_OVERRIDE=FQ","FILING_STATUS=OR","EQY_CONSOLIDATED=Y","FA_ADJUSTED=GAAP","Sort=A","Dates=H","DateFormat=P","Fill=—","Direction=H","UseDPDF=Y")</f>
        <v>#NAME?</v>
      </c>
      <c r="R569" t="e">
        <f ca="1">_xll.BDH($C$553,"DVD_PAYOUT_RATIO","FQ1 2017","FQ1 2017","Currency=INR","Period=FQ","BEST_FPERIOD_OVERRIDE=FQ","FILING_STATUS=OR","EQY_CONSOLIDATED=Y","FA_ADJUSTED=GAAP","Sort=A","Dates=H","DateFormat=P","Fill=—","Direction=H","UseDPDF=Y")</f>
        <v>#NAME?</v>
      </c>
      <c r="S569" t="e">
        <f ca="1">_xll.BDH($C$553,"SUSTAIN_GROWTH_RT","FQ1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569" s="2" t="e">
        <f ca="1">_xll.BDH($C$553,"SALES_GROWTH","FQ1 2017","FQ1 2017","Currency=INR","Period=FQ","BEST_FPERIOD_OVERRIDE=FQ","FILING_STATUS=OR","EQY_CONSOLIDATED=Y","FA_ADJUSTED=GAAP","Sort=A","Dates=H","DateFormat=P","Fill=—","Direction=H","UseDPDF=Y")</f>
        <v>#NAME?</v>
      </c>
      <c r="U569" s="2" t="e">
        <f ca="1">_xll.BDH($C$553,"EBITDA_GROWTH","FQ1 2017","FQ1 2017","Currency=INR","Period=FQ","BEST_FPERIOD_OVERRIDE=FQ","FILING_STATUS=OR","EQY_CONSOLIDATED=Y","FA_ADJUSTED=GAAP","Sort=A","Dates=H","DateFormat=P","Fill=—","Direction=H","UseDPDF=Y")</f>
        <v>#NAME?</v>
      </c>
      <c r="V569" s="2" t="e">
        <f ca="1">_xll.BDH($C$553,"OPER_INC_GROWTH","FQ1 2017","FQ1 2017","Currency=INR","Period=FQ","BEST_FPERIOD_OVERRIDE=FQ","FILING_STATUS=OR","EQY_CONSOLIDATED=Y","FA_ADJUSTED=GAAP","Sort=A","Dates=H","DateFormat=P","Fill=—","Direction=H","UseDPDF=Y")</f>
        <v>#NAME?</v>
      </c>
      <c r="W569" s="2" t="e">
        <f ca="1">_xll.BDH($C$553,"EARN_FOR_COM_GROWTH","FQ1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569" s="2" t="e">
        <f ca="1">_xll.BDH($C$553,"DILUTED_EPS_AFT_XO_ITEMS_GROWTH","FQ1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569" s="2" t="e">
        <f ca="1">_xll.BDH($C$553,"DIVIDEND_PER_SHARE_1_YEAR_GROWTH","FQ1 2017","FQ1 2017","Currency=INR","Period=FQ","BEST_FPERIOD_OVERRIDE=FQ","FILING_STATUS=OR","EQY_CONSOLIDATED=Y","Sort=A","Dates=H","DateFormat=P","Fill=—","Direction=H","UseDPDF=Y")</f>
        <v>#NAME?</v>
      </c>
      <c r="Z569" s="2" t="e">
        <f ca="1">_xll.BDH($C$553,"ACCOUNTS_RECEIVABLE_GROWTH","FQ1 2017","FQ1 2017","Currency=INR","Period=FQ","BEST_FPERIOD_OVERRIDE=FQ","FILING_STATUS=OR","EQY_CONSOLIDATED=Y","Sort=A","Dates=H","DateFormat=P","Fill=—","Direction=H","UseDPDF=Y")</f>
        <v>#NAME?</v>
      </c>
      <c r="AA569" s="2" t="e">
        <f ca="1">_xll.BDH($C$553,"INVENTORY_GROWTH","FQ1 2017","FQ1 2017","Currency=INR","Period=FQ","BEST_FPERIOD_OVERRIDE=FQ","FILING_STATUS=OR","EQY_CONSOLIDATED=Y","Sort=A","Dates=H","DateFormat=P","Fill=—","Direction=H","UseDPDF=Y")</f>
        <v>#NAME?</v>
      </c>
      <c r="AB569" s="2" t="e">
        <f ca="1">_xll.BDH($C$553,"NET_FIXED_ASSETS_1_YEAR_GROWTH","FQ1 2017","FQ1 2017","Currency=INR","Period=FQ","BEST_FPERIOD_OVERRIDE=FQ","FILING_STATUS=OR","EQY_CONSOLIDATED=Y","Sort=A","Dates=H","DateFormat=P","Fill=—","Direction=H","UseDPDF=Y")</f>
        <v>#NAME?</v>
      </c>
      <c r="AC569" s="2" t="e">
        <f ca="1">_xll.BDH($C$553,"ASSET_GROWTH","FQ1 2017","FQ1 2017","Currency=INR","Period=FQ","BEST_FPERIOD_OVERRIDE=FQ","FILING_STATUS=OR","EQY_CONSOLIDATED=Y","Sort=A","Dates=H","DateFormat=P","Fill=—","Direction=H","UseDPDF=Y")</f>
        <v>#NAME?</v>
      </c>
      <c r="AD569" s="2" t="e">
        <f ca="1">_xll.BDH($C$553,"MODIFIED_WORK_CAP_GROWTH","FQ1 2017","FQ1 2017","Currency=INR","Period=FQ","BEST_FPERIOD_OVERRIDE=FQ","FILING_STATUS=OR","EQY_CONSOLIDATED=Y","Sort=A","Dates=H","DateFormat=P","Fill=—","Direction=H","UseDPDF=Y")</f>
        <v>#NAME?</v>
      </c>
      <c r="AE569" s="2" t="e">
        <f ca="1">_xll.BDH($C$553,"WORK_CAP_GROWTH","FQ1 2017","FQ1 2017","Currency=INR","Period=FQ","BEST_FPERIOD_OVERRIDE=FQ","FILING_STATUS=OR","EQY_CONSOLIDATED=Y","Sort=A","Dates=H","DateFormat=P","Fill=—","Direction=H","UseDPDF=Y")</f>
        <v>#NAME?</v>
      </c>
      <c r="AF569" s="2" t="e">
        <f ca="1">_xll.BDH($C$553,"ACCOUNTS_PAYABLE_GROWTH_1YR","FQ1 2017","FQ1 2017","Currency=INR","Period=FQ","BEST_FPERIOD_OVERRIDE=FQ","FILING_STATUS=OR","EQY_CONSOLIDATED=Y","Sort=A","Dates=H","DateFormat=P","Fill=—","Direction=H","UseDPDF=Y")</f>
        <v>#NAME?</v>
      </c>
      <c r="AG569" s="2" t="e">
        <f ca="1">_xll.BDH($C$553,"SHORT_TERM_DEBT_1_YEAR_GROWTH","FQ1 2017","FQ1 2017","Currency=INR","Period=FQ","BEST_FPERIOD_OVERRIDE=FQ","FILING_STATUS=OR","EQY_CONSOLIDATED=Y","Sort=A","Dates=H","DateFormat=P","Fill=—","Direction=H","UseDPDF=Y")</f>
        <v>#NAME?</v>
      </c>
      <c r="AH569" s="2" t="e">
        <f ca="1">_xll.BDH($C$553,"TOTAL_DEBT_1_YEAR_GROWTH","FQ1 2017","FQ1 2017","Currency=INR","Period=FQ","BEST_FPERIOD_OVERRIDE=FQ","FILING_STATUS=OR","EQY_CONSOLIDATED=Y","Sort=A","Dates=H","DateFormat=P","Fill=—","Direction=H","UseDPDF=Y")</f>
        <v>#NAME?</v>
      </c>
      <c r="AI569" s="2" t="e">
        <f ca="1">_xll.BDH($C$553,"TOTAL_EQUITY_1_YEAR_GROWTH","FQ1 2017","FQ1 2017","Currency=INR","Period=FQ","BEST_FPERIOD_OVERRIDE=FQ","FILING_STATUS=OR","EQY_CONSOLIDATED=Y","Sort=A","Dates=H","DateFormat=P","Fill=—","Direction=H","UseDPDF=Y")</f>
        <v>#NAME?</v>
      </c>
      <c r="AJ569" s="2" t="e">
        <f ca="1">_xll.BDH($C$553,"GROWTH_IN_CAP","FQ1 2017","FQ1 2017","Currency=INR","Period=FQ","BEST_FPERIOD_OVERRIDE=FQ","FILING_STATUS=OR","EQY_CONSOLIDATED=Y","Sort=A","Dates=H","DateFormat=P","Fill=—","Direction=H","UseDPDF=Y")</f>
        <v>#NAME?</v>
      </c>
      <c r="AK569" s="2" t="e">
        <f ca="1">_xll.BDH($C$553,"BVPS_GROWTH","FQ1 2017","FQ1 2017","Currency=INR","Period=FQ","BEST_FPERIOD_OVERRIDE=FQ","FILING_STATUS=OR","EQY_CONSOLIDATED=Y","Sort=A","Dates=H","DateFormat=P","Fill=—","Direction=H","UseDPDF=Y")</f>
        <v>#NAME?</v>
      </c>
      <c r="AL569" s="2" t="e">
        <f ca="1">_xll.BDH($C$553,"CASH_FLOW_GROWTH","FQ1 2017","FQ1 2017","Currency=INR","Period=FQ","BEST_FPERIOD_OVERRIDE=FQ","FILING_STATUS=OR","EQY_CONSOLIDATED=Y","Sort=A","Dates=H","DateFormat=P","Fill=—","Direction=H","UseDPDF=Y")</f>
        <v>#NAME?</v>
      </c>
      <c r="AM569" s="2" t="e">
        <f ca="1">_xll.BDH($C$553,"GEO_GROW_NET_SALES","FQ1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569" s="2" t="e">
        <f ca="1">_xll.BDH($C$553,"GEO_GROW_EBITDA","FQ1 2017","FQ1 2017","Currency=INR","Period=FQ","BEST_FPERIOD_OVERRIDE=FQ","FILING_STATUS=OR","EQY_CONSOLIDATED=Y","FA_ADJUSTED=GAAP","Sort=A","Dates=H","DateFormat=P","Fill=—","Direction=H","UseDPDF=Y")</f>
        <v>#NAME?</v>
      </c>
      <c r="AO569" s="2" t="e">
        <f ca="1">_xll.BDH($C$553,"GEO_GROW_OPER_INC","FQ1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569" s="2" t="e">
        <f ca="1">_xll.BDH($C$553,"NET_INCOME_TO_COMMON_5_YR_GROWTH","FQ1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569" s="2" t="e">
        <f ca="1">_xll.BDH($C$553,"5Y_GEO_GROWTH_DILUTED_EPS","FQ1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569" s="2" t="e">
        <f ca="1">_xll.BDH($C$553,"GEO_GROW_DVD_PER_SH","FQ1 2017","FQ1 2017","Currency=INR","Period=FQ","BEST_FPERIOD_OVERRIDE=FQ","FILING_STATUS=OR","EQY_CONSOLIDATED=Y","Sort=A","Dates=H","DateFormat=P","Fill=—","Direction=H","UseDPDF=Y")</f>
        <v>#NAME?</v>
      </c>
      <c r="AS569" s="2" t="e">
        <f ca="1">_xll.BDH($C$553,"ACCOUNTS_RECEIVABLE_5_YR_GROWTH","FQ1 2017","FQ1 2017","Currency=INR","Period=FQ","BEST_FPERIOD_OVERRIDE=FQ","FILING_STATUS=OR","EQY_CONSOLIDATED=Y","Sort=A","Dates=H","DateFormat=P","Fill=—","Direction=H","UseDPDF=Y")</f>
        <v>#NAME?</v>
      </c>
      <c r="AT569" s="2" t="e">
        <f ca="1">_xll.BDH($C$553,"INVENTORY_5_YEAR_GROWTH","FQ1 2017","FQ1 2017","Currency=INR","Period=FQ","BEST_FPERIOD_OVERRIDE=FQ","FILING_STATUS=OR","EQY_CONSOLIDATED=Y","Sort=A","Dates=H","DateFormat=P","Fill=—","Direction=H","UseDPDF=Y")</f>
        <v>#NAME?</v>
      </c>
      <c r="AU569" s="2" t="e">
        <f ca="1">_xll.BDH($C$553,"NET_FIXED_ASSETS_5_YEAR_GROWTH","FQ1 2017","FQ1 2017","Currency=INR","Period=FQ","BEST_FPERIOD_OVERRIDE=FQ","FILING_STATUS=OR","EQY_CONSOLIDATED=Y","Sort=A","Dates=H","DateFormat=P","Fill=—","Direction=H","UseDPDF=Y")</f>
        <v>#NAME?</v>
      </c>
      <c r="AV569" s="2" t="e">
        <f ca="1">_xll.BDH($C$553,"GEO_GROW_TOT_ASSET","FQ1 2017","FQ1 2017","Currency=INR","Period=FQ","BEST_FPERIOD_OVERRIDE=FQ","FILING_STATUS=OR","EQY_CONSOLIDATED=Y","Sort=A","Dates=H","DateFormat=P","Fill=—","Direction=H","UseDPDF=Y")</f>
        <v>#NAME?</v>
      </c>
      <c r="AW569" s="2" t="e">
        <f ca="1">_xll.BDH($C$553,"MODIFIED_WORKING_CPTL_5YR_GRWTH","FQ1 2017","FQ1 2017","Currency=INR","Period=FQ","BEST_FPERIOD_OVERRIDE=FQ","FILING_STATUS=OR","EQY_CONSOLIDATED=Y","Sort=A","Dates=H","DateFormat=P","Fill=—","Direction=H","UseDPDF=Y")</f>
        <v>#NAME?</v>
      </c>
      <c r="AX569" s="2" t="e">
        <f ca="1">_xll.BDH($C$553,"WORKING_CAPITAL_5_YEAR_GROWTH","FQ1 2017","FQ1 2017","Currency=INR","Period=FQ","BEST_FPERIOD_OVERRIDE=FQ","FILING_STATUS=OR","EQY_CONSOLIDATED=Y","Sort=A","Dates=H","DateFormat=P","Fill=—","Direction=H","UseDPDF=Y")</f>
        <v>#NAME?</v>
      </c>
      <c r="AY569" s="2" t="e">
        <f ca="1">_xll.BDH($C$553,"ACCOUNTS_PAYABLE_5_YEAR_GROWTH","FQ1 2017","FQ1 2017","Currency=INR","Period=FQ","BEST_FPERIOD_OVERRIDE=FQ","FILING_STATUS=OR","EQY_CONSOLIDATED=Y","Sort=A","Dates=H","DateFormat=P","Fill=—","Direction=H","UseDPDF=Y")</f>
        <v>#NAME?</v>
      </c>
      <c r="AZ569" s="2" t="e">
        <f ca="1">_xll.BDH($C$553,"SHORT_TERM_DEBT_5_YEAR_GROWTH","FQ1 2017","FQ1 2017","Currency=INR","Period=FQ","BEST_FPERIOD_OVERRIDE=FQ","FILING_STATUS=OR","EQY_CONSOLIDATED=Y","Sort=A","Dates=H","DateFormat=P","Fill=—","Direction=H","UseDPDF=Y")</f>
        <v>#NAME?</v>
      </c>
      <c r="BA569" s="2" t="e">
        <f ca="1">_xll.BDH($C$553,"TOTAL_DEBT_5_YEAR_GROWTH","FQ1 2017","FQ1 2017","Currency=INR","Period=FQ","BEST_FPERIOD_OVERRIDE=FQ","FILING_STATUS=OR","EQY_CONSOLIDATED=Y","Sort=A","Dates=H","DateFormat=P","Fill=—","Direction=H","UseDPDF=Y")</f>
        <v>#NAME?</v>
      </c>
      <c r="BB569" s="2" t="e">
        <f ca="1">_xll.BDH($C$553,"GEO_GROW_TOT_SHRHLDR_EQY","FQ1 2017","FQ1 2017","Currency=INR","Period=FQ","BEST_FPERIOD_OVERRIDE=FQ","FILING_STATUS=OR","EQY_CONSOLIDATED=Y","Sort=A","Dates=H","DateFormat=P","Fill=—","Direction=H","UseDPDF=Y")</f>
        <v>#NAME?</v>
      </c>
      <c r="BC569" s="2" t="e">
        <f ca="1">_xll.BDH($C$553,"TOTAL_CAPITAL_5_YEAR_GROWTH","FQ1 2017","FQ1 2017","Currency=INR","Period=FQ","BEST_FPERIOD_OVERRIDE=FQ","FILING_STATUS=OR","EQY_CONSOLIDATED=Y","Sort=A","Dates=H","DateFormat=P","Fill=—","Direction=H","UseDPDF=Y")</f>
        <v>#NAME?</v>
      </c>
      <c r="BD569" s="2" t="e">
        <f ca="1">_xll.BDH($C$553,"GEO_GROW_BOOK_VAL","FQ1 2017","FQ1 2017","Currency=INR","Period=FQ","BEST_FPERIOD_OVERRIDE=FQ","FILING_STATUS=OR","EQY_CONSOLIDATED=Y","Sort=A","Dates=H","DateFormat=P","Fill=—","Direction=H","UseDPDF=Y")</f>
        <v>#NAME?</v>
      </c>
      <c r="BE569" s="2" t="e">
        <f ca="1">_xll.BDH($C$553,"GEO_GROW_CASH_OPER_ACT","FQ1 2017","FQ1 2017","Currency=INR","Period=FQ","BEST_FPERIOD_OVERRIDE=FQ","FILING_STATUS=OR","EQY_CONSOLIDATED=Y","Sort=A","Dates=H","DateFormat=P","Fill=—","Direction=H","UseDPDF=Y")</f>
        <v>#NAME?</v>
      </c>
      <c r="BF569" s="2" t="e">
        <f ca="1">_xll.BDH($C$553,"REVENUE_SEQUENTIAL_GROWTH","FQ1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569" s="2" t="e">
        <f ca="1">_xll.BDH($C$553,"EBITDA_SEQUENTIAL_GROWTH","FQ1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569" s="2" t="e">
        <f ca="1">_xll.BDH($C$553,"OPERATING_INCOME_SEQ_GROWTH","FQ1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569" s="2" t="e">
        <f ca="1">_xll.BDH($C$553,"NET_INCOME_TO_COMMON_SEQ_GROWTH","FQ1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569" s="2" t="e">
        <f ca="1">_xll.BDH($C$553,"EPS_DILUTED_SEQUENTIAL_GROWTH","FQ1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569" s="2" t="e">
        <f ca="1">_xll.BDH($C$553,"DPS_SEQUENTIAL_GROWTH","FQ1 2017","FQ1 2017","Currency=INR","Period=FQ","BEST_FPERIOD_OVERRIDE=FQ","FILING_STATUS=OR","EQY_CONSOLIDATED=Y","Sort=A","Dates=H","DateFormat=P","Fill=—","Direction=H","UseDPDF=Y")</f>
        <v>#NAME?</v>
      </c>
      <c r="BL569" s="2" t="e">
        <f ca="1">_xll.BDH($C$553,"ACCOUNTS_RECEIVABLE_SEQ_GROWTH","FQ1 2017","FQ1 2017","Currency=INR","Period=FQ","BEST_FPERIOD_OVERRIDE=FQ","FILING_STATUS=OR","EQY_CONSOLIDATED=Y","Sort=A","Dates=H","DateFormat=P","Fill=—","Direction=H","UseDPDF=Y")</f>
        <v>#NAME?</v>
      </c>
      <c r="BM569" s="2" t="e">
        <f ca="1">_xll.BDH($C$553,"INVENTORY_SEQUENTIAL_GROWTH","FQ1 2017","FQ1 2017","Currency=INR","Period=FQ","BEST_FPERIOD_OVERRIDE=FQ","FILING_STATUS=OR","EQY_CONSOLIDATED=Y","Sort=A","Dates=H","DateFormat=P","Fill=—","Direction=H","UseDPDF=Y")</f>
        <v>#NAME?</v>
      </c>
      <c r="BN569" s="2" t="e">
        <f ca="1">_xll.BDH($C$553,"FIXED_ASSETS_SEQUENTIAL_GROWTH","FQ1 2017","FQ1 2017","Currency=INR","Period=FQ","BEST_FPERIOD_OVERRIDE=FQ","FILING_STATUS=OR","EQY_CONSOLIDATED=Y","Sort=A","Dates=H","DateFormat=P","Fill=—","Direction=H","UseDPDF=Y")</f>
        <v>#NAME?</v>
      </c>
      <c r="BO569" s="2" t="e">
        <f ca="1">_xll.BDH($C$553,"TOTAL_ASSETS_SEQUENTIAL_GROWTH","FQ1 2017","FQ1 2017","Currency=INR","Period=FQ","BEST_FPERIOD_OVERRIDE=FQ","FILING_STATUS=OR","EQY_CONSOLIDATED=Y","Sort=A","Dates=H","DateFormat=P","Fill=—","Direction=H","UseDPDF=Y")</f>
        <v>#NAME?</v>
      </c>
      <c r="BP569" s="2" t="e">
        <f ca="1">_xll.BDH($C$553,"MODIFIED_WORKING_CPTL_SEQ_GRWTH","FQ1 2017","FQ1 2017","Currency=INR","Period=FQ","BEST_FPERIOD_OVERRIDE=FQ","FILING_STATUS=OR","EQY_CONSOLIDATED=Y","Sort=A","Dates=H","DateFormat=P","Fill=—","Direction=H","UseDPDF=Y")</f>
        <v>#NAME?</v>
      </c>
      <c r="BQ569" s="2" t="e">
        <f ca="1">_xll.BDH($C$553,"WORKING_CAPITAL_SEQ_GROWTH","FQ1 2017","FQ1 2017","Currency=INR","Period=FQ","BEST_FPERIOD_OVERRIDE=FQ","FILING_STATUS=OR","EQY_CONSOLIDATED=Y","Sort=A","Dates=H","DateFormat=P","Fill=—","Direction=H","UseDPDF=Y")</f>
        <v>#NAME?</v>
      </c>
      <c r="BR569" s="2" t="e">
        <f ca="1">_xll.BDH($C$553,"ACCOUNTS_PAYABLE_SEQ_GROWTH","FQ1 2017","FQ1 2017","Currency=INR","Period=FQ","BEST_FPERIOD_OVERRIDE=FQ","FILING_STATUS=OR","EQY_CONSOLIDATED=Y","Sort=A","Dates=H","DateFormat=P","Fill=—","Direction=H","UseDPDF=Y")</f>
        <v>#NAME?</v>
      </c>
      <c r="BS569" s="2" t="e">
        <f ca="1">_xll.BDH($C$553,"ST_DEBT_SEQUENTIAL_GROWTH","FQ1 2017","FQ1 2017","Currency=INR","Period=FQ","BEST_FPERIOD_OVERRIDE=FQ","FILING_STATUS=OR","EQY_CONSOLIDATED=Y","Sort=A","Dates=H","DateFormat=P","Fill=—","Direction=H","UseDPDF=Y")</f>
        <v>#NAME?</v>
      </c>
      <c r="BT569" s="2" t="e">
        <f ca="1">_xll.BDH($C$553,"TOTAL_DEBT_SEQUENTIAL_GROWTH","FQ1 2017","FQ1 2017","Currency=INR","Period=FQ","BEST_FPERIOD_OVERRIDE=FQ","FILING_STATUS=OR","EQY_CONSOLIDATED=Y","Sort=A","Dates=H","DateFormat=P","Fill=—","Direction=H","UseDPDF=Y")</f>
        <v>#NAME?</v>
      </c>
      <c r="BU569" s="2" t="e">
        <f ca="1">_xll.BDH($C$553,"TOTAL_EQUITY_SEQUENTIAL_GROWTH","FQ1 2017","FQ1 2017","Currency=INR","Period=FQ","BEST_FPERIOD_OVERRIDE=FQ","FILING_STATUS=OR","EQY_CONSOLIDATED=Y","Sort=A","Dates=H","DateFormat=P","Fill=—","Direction=H","UseDPDF=Y")</f>
        <v>#NAME?</v>
      </c>
      <c r="BV569" s="2" t="e">
        <f ca="1">_xll.BDH($C$553,"TOTAL_CAPITAL_SEQUENTIAL_GROWTH","FQ1 2017","FQ1 2017","Currency=INR","Period=FQ","BEST_FPERIOD_OVERRIDE=FQ","FILING_STATUS=OR","EQY_CONSOLIDATED=Y","Sort=A","Dates=H","DateFormat=P","Fill=—","Direction=H","UseDPDF=Y")</f>
        <v>#NAME?</v>
      </c>
      <c r="BW569" s="2" t="e">
        <f ca="1">_xll.BDH($C$553,"BPS_SEQUENTIAL_GROWTH","FQ1 2017","FQ1 2017","Currency=INR","Period=FQ","BEST_FPERIOD_OVERRIDE=FQ","FILING_STATUS=OR","EQY_CONSOLIDATED=Y","Sort=A","Dates=H","DateFormat=P","Fill=—","Direction=H","UseDPDF=Y")</f>
        <v>#NAME?</v>
      </c>
      <c r="BX569" s="2" t="e">
        <f ca="1">_xll.BDH($C$553,"CFO_SEQUENTIAL_GROWTH","FQ1 2017","FQ1 2017","Currency=INR","Period=FQ","BEST_FPERIOD_OVERRIDE=FQ","FILING_STATUS=OR","EQY_CONSOLIDATED=Y","Sort=A","Dates=H","DateFormat=P","Fill=—","Direction=H","UseDPDF=Y")</f>
        <v>#NAME?</v>
      </c>
      <c r="BY569" s="3" t="e">
        <f ca="1">_xll.BDH($C$553,"SHORT_AND_LONG_TERM_DEBT","FQ1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569" s="3" t="e">
        <f ca="1">_xll.BDH($C$553,"BS_ST_BORROW","FQ1 2017","FQ1 2017","Currency=INR","Period=FQ","BEST_FPERIOD_OVERRIDE=FQ","FILING_STATUS=OR","EQY_CONSOLIDATED=Y","SCALING_FORMAT=MLN","Sort=A","Dates=H","DateFormat=P","Fill=—","Direction=H","UseDPDF=Y")</f>
        <v>#NAME?</v>
      </c>
      <c r="CA569" s="3" t="e">
        <f ca="1">_xll.BDH($C$553,"BS_LT_BORROW","FQ1 2017","FQ1 2017","Currency=INR","Period=FQ","BEST_FPERIOD_OVERRIDE=FQ","FILING_STATUS=OR","EQY_CONSOLIDATED=Y","SCALING_FORMAT=MLN","Sort=A","Dates=H","DateFormat=P","Fill=—","Direction=H","UseDPDF=Y")</f>
        <v>#NAME?</v>
      </c>
      <c r="CB569" s="2" t="e">
        <f ca="1">_xll.BDH($C$553,"TOT_DEBT_TO_EBITDA","FQ1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569" s="2" t="e">
        <f ca="1">_xll.BDH($C$553,"NET_DEBT_TO_EBITDA","FQ1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569" s="2" t="e">
        <f ca="1">_xll.BDH($C$553,"TOTAL_DEBT_TO_EBIT","FQ1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569" s="2" t="e">
        <f ca="1">_xll.BDH($C$553,"NET_DEBT_TO_EBIT","FQ1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569" s="2" t="e">
        <f ca="1">_xll.BDH($C$553,"EBITDA_TO_INTEREST_EXPN","FQ1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569" s="2" t="e">
        <f ca="1">_xll.BDH($C$553,"COM_EQY_TO_TOT_ASSET","FQ1 2017","FQ1 2017","Currency=INR","Period=FQ","BEST_FPERIOD_OVERRIDE=FQ","FILING_STATUS=OR","EQY_CONSOLIDATED=Y","Sort=A","Dates=H","DateFormat=P","Fill=—","Direction=H","UseDPDF=Y")</f>
        <v>#NAME?</v>
      </c>
      <c r="CH569" s="2" t="e">
        <f ca="1">_xll.BDH($C$553,"LT_DEBT_TO_TOT_EQY","FQ1 2017","FQ1 2017","Currency=INR","Period=FQ","BEST_FPERIOD_OVERRIDE=FQ","FILING_STATUS=OR","EQY_CONSOLIDATED=Y","Sort=A","Dates=H","DateFormat=P","Fill=—","Direction=H","UseDPDF=Y")</f>
        <v>#NAME?</v>
      </c>
      <c r="CI569" s="2" t="e">
        <f ca="1">_xll.BDH($C$553,"LT_DEBT_TO_TOT_CAP","FQ1 2017","FQ1 2017","Currency=INR","Period=FQ","BEST_FPERIOD_OVERRIDE=FQ","FILING_STATUS=OR","EQY_CONSOLIDATED=Y","Sort=A","Dates=H","DateFormat=P","Fill=—","Direction=H","UseDPDF=Y")</f>
        <v>#NAME?</v>
      </c>
      <c r="CJ569" s="2" t="e">
        <f ca="1">_xll.BDH($C$553,"LT_DEBT_TO_TOT_ASSET","FQ1 2017","FQ1 2017","Currency=INR","Period=FQ","BEST_FPERIOD_OVERRIDE=FQ","FILING_STATUS=OR","EQY_CONSOLIDATED=Y","Sort=A","Dates=H","DateFormat=P","Fill=—","Direction=H","UseDPDF=Y")</f>
        <v>#NAME?</v>
      </c>
      <c r="CK569" s="2" t="e">
        <f ca="1">_xll.BDH($C$553,"TOT_DEBT_TO_TOT_EQY","FQ1 2017","FQ1 2017","Currency=INR","Period=FQ","BEST_FPERIOD_OVERRIDE=FQ","FILING_STATUS=OR","EQY_CONSOLIDATED=Y","Sort=A","Dates=H","DateFormat=P","Fill=—","Direction=H","UseDPDF=Y")</f>
        <v>#NAME?</v>
      </c>
      <c r="CL569" s="2" t="e">
        <f ca="1">_xll.BDH($C$553,"TOT_DEBT_TO_TOT_CAP","FQ1 2017","FQ1 2017","Currency=INR","Period=FQ","BEST_FPERIOD_OVERRIDE=FQ","FILING_STATUS=OR","EQY_CONSOLIDATED=Y","Sort=A","Dates=H","DateFormat=P","Fill=—","Direction=H","UseDPDF=Y")</f>
        <v>#NAME?</v>
      </c>
      <c r="CM569" s="2" t="e">
        <f ca="1">_xll.BDH($C$553,"TOT_DEBT_TO_TOT_ASSET","FQ1 2017","FQ1 2017","Currency=INR","Period=FQ","BEST_FPERIOD_OVERRIDE=FQ","FILING_STATUS=OR","EQY_CONSOLIDATED=Y","Sort=A","Dates=H","DateFormat=P","Fill=—","Direction=H","UseDPDF=Y")</f>
        <v>#NAME?</v>
      </c>
      <c r="CN569" s="2" t="e">
        <f ca="1">_xll.BDH($C$553,"NET_DEBT_TO_SHRHLDR_EQTY","FQ1 2017","FQ1 2017","Currency=INR","Period=FQ","BEST_FPERIOD_OVERRIDE=FQ","FILING_STATUS=OR","EQY_CONSOLIDATED=Y","Sort=A","Dates=H","DateFormat=P","Fill=—","Direction=H","UseDPDF=Y")</f>
        <v>#NAME?</v>
      </c>
      <c r="CO569" s="2" t="e">
        <f ca="1">_xll.BDH($C$553,"NET_DEBT_%_CAPITAL","FQ1 2017","FQ1 2017","Currency=INR","Period=FQ","BEST_FPERIOD_OVERRIDE=FQ","FILING_STATUS=OR","EQY_CONSOLIDATED=Y","Sort=A","Dates=H","DateFormat=P","Fill=—","Direction=H","UseDPDF=Y")</f>
        <v>#NAME?</v>
      </c>
      <c r="CP569" s="3" t="e">
        <f ca="1">_xll.BDH($C$553,"EBITDA","FQ1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569" s="3" t="e">
        <f ca="1">_xll.BDH($C$553,"EBITDA_AFTER_CAPEX","FQ1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569" s="3" t="e">
        <f ca="1">_xll.BDH($C$553,"IS_OPER_INC","FQ1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569" s="2" t="e">
        <f ca="1">_xll.BDH($C$553,"CASH_RATIO","FQ1 2017","FQ1 2017","Currency=INR","Period=FQ","BEST_FPERIOD_OVERRIDE=FQ","FILING_STATUS=OR","EQY_CONSOLIDATED=Y","Sort=A","Dates=H","DateFormat=P","Fill=—","Direction=H","UseDPDF=Y")</f>
        <v>#NAME?</v>
      </c>
      <c r="CT569" s="2" t="e">
        <f ca="1">_xll.BDH($C$553,"CUR_RATIO","FQ1 2017","FQ1 2017","Currency=INR","Period=FQ","BEST_FPERIOD_OVERRIDE=FQ","FILING_STATUS=OR","EQY_CONSOLIDATED=Y","Sort=A","Dates=H","DateFormat=P","Fill=—","Direction=H","UseDPDF=Y")</f>
        <v>#NAME?</v>
      </c>
      <c r="CU569" s="2" t="e">
        <f ca="1">_xll.BDH($C$553,"QUICK_RATIO","FQ1 2017","FQ1 2017","Currency=INR","Period=FQ","BEST_FPERIOD_OVERRIDE=FQ","FILING_STATUS=OR","EQY_CONSOLIDATED=Y","Sort=A","Dates=H","DateFormat=P","Fill=—","Direction=H","UseDPDF=Y")</f>
        <v>#NAME?</v>
      </c>
      <c r="CV569" s="2" t="e">
        <f ca="1">_xll.BDH($C$553,"ALTMAN_Z_SCORE","FQ1 2017","FQ1 2017","Currency=INR","Period=FQ","BEST_FPERIOD_OVERRIDE=FQ","FILING_STATUS=OR","EQY_CONSOLIDATED=Y","Sort=A","Dates=H","DateFormat=P","Fill=—","Direction=H","UseDPDF=Y")</f>
        <v>#NAME?</v>
      </c>
      <c r="CW569" s="4" t="e">
        <f ca="1">_xll.BDH($C$553,"ACCT_RCV_TURN","FQ1 2017","FQ1 2017","Currency=INR","Period=FQ","BEST_FPERIOD_OVERRIDE=FQ","FILING_STATUS=OR","EQY_CONSOLIDATED=Y","FA_ADJUSTED=GAAP","Sort=A","Dates=H","DateFormat=P","Fill=—","Direction=H","UseDPDF=Y")</f>
        <v>#NAME?</v>
      </c>
      <c r="CX569" s="2" t="e">
        <f ca="1">_xll.BDH($C$553,"ACCT_RCV_DAYS","FQ1 2017","FQ1 2017","Currency=INR","Period=FQ","BEST_FPERIOD_OVERRIDE=FQ","FILING_STATUS=OR","EQY_CONSOLIDATED=Y","FA_ADJUSTED=GAAP","Sort=A","Dates=H","DateFormat=P","Fill=—","Direction=H","UseDPDF=Y")</f>
        <v>#NAME?</v>
      </c>
      <c r="CY569" s="4" t="e">
        <f ca="1">_xll.BDH($C$553,"INVENT_TURN","FQ1 2017","FQ1 2017","Currency=INR","Period=FQ","BEST_FPERIOD_OVERRIDE=FQ","FILING_STATUS=OR","EQY_CONSOLIDATED=Y","FA_ADJUSTED=GAAP","Sort=A","Dates=H","DateFormat=P","Fill=—","Direction=H","UseDPDF=Y")</f>
        <v>#NAME?</v>
      </c>
      <c r="CZ569" s="2" t="e">
        <f ca="1">_xll.BDH($C$553,"INVENT_DAYS","FQ1 2017","FQ1 2017","Currency=INR","Period=FQ","BEST_FPERIOD_OVERRIDE=FQ","FILING_STATUS=OR","EQY_CONSOLIDATED=Y","FA_ADJUSTED=GAAP","Sort=A","Dates=H","DateFormat=P","Fill=—","Direction=H","UseDPDF=Y")</f>
        <v>#NAME?</v>
      </c>
      <c r="DA569" s="4" t="e">
        <f ca="1">_xll.BDH($C$553,"ACCOUNTS_PAYABLE_TURNOVER","FQ1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569" s="2" t="e">
        <f ca="1">_xll.BDH($C$553,"ACCOUNTS_PAYABLE_TURNOVER_DAYS","FQ1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569" s="4" t="e">
        <f ca="1">_xll.BDH($C$553,"CASH_CONVERSION_CYCLE","FQ1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569" s="4" t="e">
        <f ca="1">_xll.BDH($C$553,"INV_TO_CASH_DAYS","FQ1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569" s="5" t="e">
        <f ca="1">_xll.BDH($C$553,"BS_INVENTORIES","FQ1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569" s="3" t="e">
        <f ca="1">_xll.BDH($C$553,"INVTRY_RAW_MATERIALS","FQ1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569" s="3" t="e">
        <f ca="1">_xll.BDH($C$553,"INVTRY_IN_PROGRESS","FQ1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569" s="3" t="e">
        <f ca="1">_xll.BDH($C$553,"INVTRY_FINISHED_GOODS","FQ1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569" s="3" t="e">
        <f ca="1">_xll.BDH($C$553,"BS_OTHER_INV","FQ1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570" spans="1:113" x14ac:dyDescent="0.3">
      <c r="A570" s="6"/>
      <c r="B570" s="6"/>
      <c r="C570" s="6"/>
      <c r="D570" s="6"/>
      <c r="E570" t="s">
        <v>79</v>
      </c>
      <c r="F570" t="e">
        <f ca="1">_xll.BDH($C$553,"RETURN_COM_EQY","FQ2 2017","FQ2 2017","Currency=INR","Period=FQ","BEST_FPERIOD_OVERRIDE=FQ","FILING_STATUS=OR","EQY_CONSOLIDATED=Y","FA_ADJUSTED=GAAP","Sort=A","Dates=H","DateFormat=P","Fill=—","Direction=H","UseDPDF=Y")</f>
        <v>#NAME?</v>
      </c>
      <c r="G570" t="e">
        <f ca="1">_xll.BDH($C$553,"RETURN_ON_ASSET","FQ2 2017","FQ2 2017","Currency=INR","Period=FQ","BEST_FPERIOD_OVERRIDE=FQ","FILING_STATUS=OR","EQY_CONSOLIDATED=Y","FA_ADJUSTED=GAAP","Sort=A","Dates=H","DateFormat=P","Fill=—","Direction=H","UseDPDF=Y")</f>
        <v>#NAME?</v>
      </c>
      <c r="H570" t="e">
        <f ca="1">_xll.BDH($C$553,"RETURN_ON_CAP","FQ2 2017","FQ2 2017","Currency=INR","Period=FQ","BEST_FPERIOD_OVERRIDE=FQ","FILING_STATUS=OR","EQY_CONSOLIDATED=Y","FA_ADJUSTED=GAAP","Sort=A","Dates=H","DateFormat=P","Fill=—","Direction=H","UseDPDF=Y")</f>
        <v>#NAME?</v>
      </c>
      <c r="I570" t="e">
        <f ca="1">_xll.BDH($C$553,"RETURN_ON_INV_CAPITAL","FQ2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570" t="e">
        <f ca="1">_xll.BDH($C$553,"EBITDA_TO_REVENUE","FQ2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570" t="e">
        <f ca="1">_xll.BDH($C$553,"OPER_MARGIN","FQ2 2017","FQ2 2017","Currency=INR","Period=FQ","BEST_FPERIOD_OVERRIDE=FQ","FILING_STATUS=OR","EQY_CONSOLIDATED=Y","FA_ADJUSTED=GAAP","Sort=A","Dates=H","DateFormat=P","Fill=—","Direction=H","UseDPDF=Y")</f>
        <v>#NAME?</v>
      </c>
      <c r="L570" t="e">
        <f ca="1">_xll.BDH($C$553,"INCREMENTAL_OPERATING_MARGIN","FQ2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570" t="e">
        <f ca="1">_xll.BDH($C$553,"PRETAX_INC_TO_NET_SALES","FQ2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570" t="e">
        <f ca="1">_xll.BDH($C$553,"INC_BEF_XO_ITEMS_TO_NET_SALES","FQ2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570" t="e">
        <f ca="1">_xll.BDH($C$553,"PROF_MARGIN","FQ2 2017","FQ2 2017","Currency=INR","Period=FQ","BEST_FPERIOD_OVERRIDE=FQ","FILING_STATUS=OR","EQY_CONSOLIDATED=Y","FA_ADJUSTED=GAAP","Sort=A","Dates=H","DateFormat=P","Fill=—","Direction=H","UseDPDF=Y")</f>
        <v>#NAME?</v>
      </c>
      <c r="P570" t="e">
        <f ca="1">_xll.BDH($C$553,"NET_INCOME_TO_COMMON_MARGIN","FQ2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570" t="e">
        <f ca="1">_xll.BDH($C$553,"EFF_TAX_RATE","FQ2 2017","FQ2 2017","Currency=INR","Period=FQ","BEST_FPERIOD_OVERRIDE=FQ","FILING_STATUS=OR","EQY_CONSOLIDATED=Y","FA_ADJUSTED=GAAP","Sort=A","Dates=H","DateFormat=P","Fill=—","Direction=H","UseDPDF=Y")</f>
        <v>#NAME?</v>
      </c>
      <c r="R570" t="e">
        <f ca="1">_xll.BDH($C$553,"DVD_PAYOUT_RATIO","FQ2 2017","FQ2 2017","Currency=INR","Period=FQ","BEST_FPERIOD_OVERRIDE=FQ","FILING_STATUS=OR","EQY_CONSOLIDATED=Y","FA_ADJUSTED=GAAP","Sort=A","Dates=H","DateFormat=P","Fill=—","Direction=H","UseDPDF=Y")</f>
        <v>#NAME?</v>
      </c>
      <c r="S570" t="e">
        <f ca="1">_xll.BDH($C$553,"SUSTAIN_GROWTH_RT","FQ2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570" s="2" t="e">
        <f ca="1">_xll.BDH($C$553,"SALES_GROWTH","FQ2 2017","FQ2 2017","Currency=INR","Period=FQ","BEST_FPERIOD_OVERRIDE=FQ","FILING_STATUS=OR","EQY_CONSOLIDATED=Y","FA_ADJUSTED=GAAP","Sort=A","Dates=H","DateFormat=P","Fill=—","Direction=H","UseDPDF=Y")</f>
        <v>#NAME?</v>
      </c>
      <c r="U570" s="2" t="e">
        <f ca="1">_xll.BDH($C$553,"EBITDA_GROWTH","FQ2 2017","FQ2 2017","Currency=INR","Period=FQ","BEST_FPERIOD_OVERRIDE=FQ","FILING_STATUS=OR","EQY_CONSOLIDATED=Y","FA_ADJUSTED=GAAP","Sort=A","Dates=H","DateFormat=P","Fill=—","Direction=H","UseDPDF=Y")</f>
        <v>#NAME?</v>
      </c>
      <c r="V570" s="2" t="e">
        <f ca="1">_xll.BDH($C$553,"OPER_INC_GROWTH","FQ2 2017","FQ2 2017","Currency=INR","Period=FQ","BEST_FPERIOD_OVERRIDE=FQ","FILING_STATUS=OR","EQY_CONSOLIDATED=Y","FA_ADJUSTED=GAAP","Sort=A","Dates=H","DateFormat=P","Fill=—","Direction=H","UseDPDF=Y")</f>
        <v>#NAME?</v>
      </c>
      <c r="W570" s="2" t="e">
        <f ca="1">_xll.BDH($C$553,"EARN_FOR_COM_GROWTH","FQ2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570" s="2" t="e">
        <f ca="1">_xll.BDH($C$553,"DILUTED_EPS_AFT_XO_ITEMS_GROWTH","FQ2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570" s="2" t="e">
        <f ca="1">_xll.BDH($C$553,"DIVIDEND_PER_SHARE_1_YEAR_GROWTH","FQ2 2017","FQ2 2017","Currency=INR","Period=FQ","BEST_FPERIOD_OVERRIDE=FQ","FILING_STATUS=OR","EQY_CONSOLIDATED=Y","Sort=A","Dates=H","DateFormat=P","Fill=—","Direction=H","UseDPDF=Y")</f>
        <v>#NAME?</v>
      </c>
      <c r="Z570" s="2" t="e">
        <f ca="1">_xll.BDH($C$553,"ACCOUNTS_RECEIVABLE_GROWTH","FQ2 2017","FQ2 2017","Currency=INR","Period=FQ","BEST_FPERIOD_OVERRIDE=FQ","FILING_STATUS=OR","EQY_CONSOLIDATED=Y","Sort=A","Dates=H","DateFormat=P","Fill=—","Direction=H","UseDPDF=Y")</f>
        <v>#NAME?</v>
      </c>
      <c r="AA570" s="2" t="e">
        <f ca="1">_xll.BDH($C$553,"INVENTORY_GROWTH","FQ2 2017","FQ2 2017","Currency=INR","Period=FQ","BEST_FPERIOD_OVERRIDE=FQ","FILING_STATUS=OR","EQY_CONSOLIDATED=Y","Sort=A","Dates=H","DateFormat=P","Fill=—","Direction=H","UseDPDF=Y")</f>
        <v>#NAME?</v>
      </c>
      <c r="AB570" s="2" t="e">
        <f ca="1">_xll.BDH($C$553,"NET_FIXED_ASSETS_1_YEAR_GROWTH","FQ2 2017","FQ2 2017","Currency=INR","Period=FQ","BEST_FPERIOD_OVERRIDE=FQ","FILING_STATUS=OR","EQY_CONSOLIDATED=Y","Sort=A","Dates=H","DateFormat=P","Fill=—","Direction=H","UseDPDF=Y")</f>
        <v>#NAME?</v>
      </c>
      <c r="AC570" s="2" t="e">
        <f ca="1">_xll.BDH($C$553,"ASSET_GROWTH","FQ2 2017","FQ2 2017","Currency=INR","Period=FQ","BEST_FPERIOD_OVERRIDE=FQ","FILING_STATUS=OR","EQY_CONSOLIDATED=Y","Sort=A","Dates=H","DateFormat=P","Fill=—","Direction=H","UseDPDF=Y")</f>
        <v>#NAME?</v>
      </c>
      <c r="AD570" s="2" t="e">
        <f ca="1">_xll.BDH($C$553,"MODIFIED_WORK_CAP_GROWTH","FQ2 2017","FQ2 2017","Currency=INR","Period=FQ","BEST_FPERIOD_OVERRIDE=FQ","FILING_STATUS=OR","EQY_CONSOLIDATED=Y","Sort=A","Dates=H","DateFormat=P","Fill=—","Direction=H","UseDPDF=Y")</f>
        <v>#NAME?</v>
      </c>
      <c r="AE570" s="2" t="e">
        <f ca="1">_xll.BDH($C$553,"WORK_CAP_GROWTH","FQ2 2017","FQ2 2017","Currency=INR","Period=FQ","BEST_FPERIOD_OVERRIDE=FQ","FILING_STATUS=OR","EQY_CONSOLIDATED=Y","Sort=A","Dates=H","DateFormat=P","Fill=—","Direction=H","UseDPDF=Y")</f>
        <v>#NAME?</v>
      </c>
      <c r="AF570" s="2" t="e">
        <f ca="1">_xll.BDH($C$553,"ACCOUNTS_PAYABLE_GROWTH_1YR","FQ2 2017","FQ2 2017","Currency=INR","Period=FQ","BEST_FPERIOD_OVERRIDE=FQ","FILING_STATUS=OR","EQY_CONSOLIDATED=Y","Sort=A","Dates=H","DateFormat=P","Fill=—","Direction=H","UseDPDF=Y")</f>
        <v>#NAME?</v>
      </c>
      <c r="AG570" s="2" t="e">
        <f ca="1">_xll.BDH($C$553,"SHORT_TERM_DEBT_1_YEAR_GROWTH","FQ2 2017","FQ2 2017","Currency=INR","Period=FQ","BEST_FPERIOD_OVERRIDE=FQ","FILING_STATUS=OR","EQY_CONSOLIDATED=Y","Sort=A","Dates=H","DateFormat=P","Fill=—","Direction=H","UseDPDF=Y")</f>
        <v>#NAME?</v>
      </c>
      <c r="AH570" s="2" t="e">
        <f ca="1">_xll.BDH($C$553,"TOTAL_DEBT_1_YEAR_GROWTH","FQ2 2017","FQ2 2017","Currency=INR","Period=FQ","BEST_FPERIOD_OVERRIDE=FQ","FILING_STATUS=OR","EQY_CONSOLIDATED=Y","Sort=A","Dates=H","DateFormat=P","Fill=—","Direction=H","UseDPDF=Y")</f>
        <v>#NAME?</v>
      </c>
      <c r="AI570" s="2" t="e">
        <f ca="1">_xll.BDH($C$553,"TOTAL_EQUITY_1_YEAR_GROWTH","FQ2 2017","FQ2 2017","Currency=INR","Period=FQ","BEST_FPERIOD_OVERRIDE=FQ","FILING_STATUS=OR","EQY_CONSOLIDATED=Y","Sort=A","Dates=H","DateFormat=P","Fill=—","Direction=H","UseDPDF=Y")</f>
        <v>#NAME?</v>
      </c>
      <c r="AJ570" s="2" t="e">
        <f ca="1">_xll.BDH($C$553,"GROWTH_IN_CAP","FQ2 2017","FQ2 2017","Currency=INR","Period=FQ","BEST_FPERIOD_OVERRIDE=FQ","FILING_STATUS=OR","EQY_CONSOLIDATED=Y","Sort=A","Dates=H","DateFormat=P","Fill=—","Direction=H","UseDPDF=Y")</f>
        <v>#NAME?</v>
      </c>
      <c r="AK570" s="2" t="e">
        <f ca="1">_xll.BDH($C$553,"BVPS_GROWTH","FQ2 2017","FQ2 2017","Currency=INR","Period=FQ","BEST_FPERIOD_OVERRIDE=FQ","FILING_STATUS=OR","EQY_CONSOLIDATED=Y","Sort=A","Dates=H","DateFormat=P","Fill=—","Direction=H","UseDPDF=Y")</f>
        <v>#NAME?</v>
      </c>
      <c r="AL570" s="2" t="e">
        <f ca="1">_xll.BDH($C$553,"CASH_FLOW_GROWTH","FQ2 2017","FQ2 2017","Currency=INR","Period=FQ","BEST_FPERIOD_OVERRIDE=FQ","FILING_STATUS=OR","EQY_CONSOLIDATED=Y","Sort=A","Dates=H","DateFormat=P","Fill=—","Direction=H","UseDPDF=Y")</f>
        <v>#NAME?</v>
      </c>
      <c r="AM570" s="2" t="e">
        <f ca="1">_xll.BDH($C$553,"GEO_GROW_NET_SALES","FQ2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570" s="2" t="e">
        <f ca="1">_xll.BDH($C$553,"GEO_GROW_EBITDA","FQ2 2017","FQ2 2017","Currency=INR","Period=FQ","BEST_FPERIOD_OVERRIDE=FQ","FILING_STATUS=OR","EQY_CONSOLIDATED=Y","FA_ADJUSTED=GAAP","Sort=A","Dates=H","DateFormat=P","Fill=—","Direction=H","UseDPDF=Y")</f>
        <v>#NAME?</v>
      </c>
      <c r="AO570" s="2" t="e">
        <f ca="1">_xll.BDH($C$553,"GEO_GROW_OPER_INC","FQ2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570" s="2" t="e">
        <f ca="1">_xll.BDH($C$553,"NET_INCOME_TO_COMMON_5_YR_GROWTH","FQ2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570" s="2" t="e">
        <f ca="1">_xll.BDH($C$553,"5Y_GEO_GROWTH_DILUTED_EPS","FQ2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570" s="2" t="e">
        <f ca="1">_xll.BDH($C$553,"GEO_GROW_DVD_PER_SH","FQ2 2017","FQ2 2017","Currency=INR","Period=FQ","BEST_FPERIOD_OVERRIDE=FQ","FILING_STATUS=OR","EQY_CONSOLIDATED=Y","Sort=A","Dates=H","DateFormat=P","Fill=—","Direction=H","UseDPDF=Y")</f>
        <v>#NAME?</v>
      </c>
      <c r="AS570" s="2" t="e">
        <f ca="1">_xll.BDH($C$553,"ACCOUNTS_RECEIVABLE_5_YR_GROWTH","FQ2 2017","FQ2 2017","Currency=INR","Period=FQ","BEST_FPERIOD_OVERRIDE=FQ","FILING_STATUS=OR","EQY_CONSOLIDATED=Y","Sort=A","Dates=H","DateFormat=P","Fill=—","Direction=H","UseDPDF=Y")</f>
        <v>#NAME?</v>
      </c>
      <c r="AT570" s="2" t="e">
        <f ca="1">_xll.BDH($C$553,"INVENTORY_5_YEAR_GROWTH","FQ2 2017","FQ2 2017","Currency=INR","Period=FQ","BEST_FPERIOD_OVERRIDE=FQ","FILING_STATUS=OR","EQY_CONSOLIDATED=Y","Sort=A","Dates=H","DateFormat=P","Fill=—","Direction=H","UseDPDF=Y")</f>
        <v>#NAME?</v>
      </c>
      <c r="AU570" s="2" t="e">
        <f ca="1">_xll.BDH($C$553,"NET_FIXED_ASSETS_5_YEAR_GROWTH","FQ2 2017","FQ2 2017","Currency=INR","Period=FQ","BEST_FPERIOD_OVERRIDE=FQ","FILING_STATUS=OR","EQY_CONSOLIDATED=Y","Sort=A","Dates=H","DateFormat=P","Fill=—","Direction=H","UseDPDF=Y")</f>
        <v>#NAME?</v>
      </c>
      <c r="AV570" s="2" t="e">
        <f ca="1">_xll.BDH($C$553,"GEO_GROW_TOT_ASSET","FQ2 2017","FQ2 2017","Currency=INR","Period=FQ","BEST_FPERIOD_OVERRIDE=FQ","FILING_STATUS=OR","EQY_CONSOLIDATED=Y","Sort=A","Dates=H","DateFormat=P","Fill=—","Direction=H","UseDPDF=Y")</f>
        <v>#NAME?</v>
      </c>
      <c r="AW570" s="2" t="e">
        <f ca="1">_xll.BDH($C$553,"MODIFIED_WORKING_CPTL_5YR_GRWTH","FQ2 2017","FQ2 2017","Currency=INR","Period=FQ","BEST_FPERIOD_OVERRIDE=FQ","FILING_STATUS=OR","EQY_CONSOLIDATED=Y","Sort=A","Dates=H","DateFormat=P","Fill=—","Direction=H","UseDPDF=Y")</f>
        <v>#NAME?</v>
      </c>
      <c r="AX570" s="2" t="e">
        <f ca="1">_xll.BDH($C$553,"WORKING_CAPITAL_5_YEAR_GROWTH","FQ2 2017","FQ2 2017","Currency=INR","Period=FQ","BEST_FPERIOD_OVERRIDE=FQ","FILING_STATUS=OR","EQY_CONSOLIDATED=Y","Sort=A","Dates=H","DateFormat=P","Fill=—","Direction=H","UseDPDF=Y")</f>
        <v>#NAME?</v>
      </c>
      <c r="AY570" s="2" t="e">
        <f ca="1">_xll.BDH($C$553,"ACCOUNTS_PAYABLE_5_YEAR_GROWTH","FQ2 2017","FQ2 2017","Currency=INR","Period=FQ","BEST_FPERIOD_OVERRIDE=FQ","FILING_STATUS=OR","EQY_CONSOLIDATED=Y","Sort=A","Dates=H","DateFormat=P","Fill=—","Direction=H","UseDPDF=Y")</f>
        <v>#NAME?</v>
      </c>
      <c r="AZ570" s="2" t="e">
        <f ca="1">_xll.BDH($C$553,"SHORT_TERM_DEBT_5_YEAR_GROWTH","FQ2 2017","FQ2 2017","Currency=INR","Period=FQ","BEST_FPERIOD_OVERRIDE=FQ","FILING_STATUS=OR","EQY_CONSOLIDATED=Y","Sort=A","Dates=H","DateFormat=P","Fill=—","Direction=H","UseDPDF=Y")</f>
        <v>#NAME?</v>
      </c>
      <c r="BA570" s="2" t="e">
        <f ca="1">_xll.BDH($C$553,"TOTAL_DEBT_5_YEAR_GROWTH","FQ2 2017","FQ2 2017","Currency=INR","Period=FQ","BEST_FPERIOD_OVERRIDE=FQ","FILING_STATUS=OR","EQY_CONSOLIDATED=Y","Sort=A","Dates=H","DateFormat=P","Fill=—","Direction=H","UseDPDF=Y")</f>
        <v>#NAME?</v>
      </c>
      <c r="BB570" s="2" t="e">
        <f ca="1">_xll.BDH($C$553,"GEO_GROW_TOT_SHRHLDR_EQY","FQ2 2017","FQ2 2017","Currency=INR","Period=FQ","BEST_FPERIOD_OVERRIDE=FQ","FILING_STATUS=OR","EQY_CONSOLIDATED=Y","Sort=A","Dates=H","DateFormat=P","Fill=—","Direction=H","UseDPDF=Y")</f>
        <v>#NAME?</v>
      </c>
      <c r="BC570" s="2" t="e">
        <f ca="1">_xll.BDH($C$553,"TOTAL_CAPITAL_5_YEAR_GROWTH","FQ2 2017","FQ2 2017","Currency=INR","Period=FQ","BEST_FPERIOD_OVERRIDE=FQ","FILING_STATUS=OR","EQY_CONSOLIDATED=Y","Sort=A","Dates=H","DateFormat=P","Fill=—","Direction=H","UseDPDF=Y")</f>
        <v>#NAME?</v>
      </c>
      <c r="BD570" s="2" t="e">
        <f ca="1">_xll.BDH($C$553,"GEO_GROW_BOOK_VAL","FQ2 2017","FQ2 2017","Currency=INR","Period=FQ","BEST_FPERIOD_OVERRIDE=FQ","FILING_STATUS=OR","EQY_CONSOLIDATED=Y","Sort=A","Dates=H","DateFormat=P","Fill=—","Direction=H","UseDPDF=Y")</f>
        <v>#NAME?</v>
      </c>
      <c r="BE570" s="2" t="e">
        <f ca="1">_xll.BDH($C$553,"GEO_GROW_CASH_OPER_ACT","FQ2 2017","FQ2 2017","Currency=INR","Period=FQ","BEST_FPERIOD_OVERRIDE=FQ","FILING_STATUS=OR","EQY_CONSOLIDATED=Y","Sort=A","Dates=H","DateFormat=P","Fill=—","Direction=H","UseDPDF=Y")</f>
        <v>#NAME?</v>
      </c>
      <c r="BF570" s="2" t="e">
        <f ca="1">_xll.BDH($C$553,"REVENUE_SEQUENTIAL_GROWTH","FQ2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570" s="2" t="e">
        <f ca="1">_xll.BDH($C$553,"EBITDA_SEQUENTIAL_GROWTH","FQ2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570" s="2" t="e">
        <f ca="1">_xll.BDH($C$553,"OPERATING_INCOME_SEQ_GROWTH","FQ2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570" s="2" t="e">
        <f ca="1">_xll.BDH($C$553,"NET_INCOME_TO_COMMON_SEQ_GROWTH","FQ2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570" s="2" t="e">
        <f ca="1">_xll.BDH($C$553,"EPS_DILUTED_SEQUENTIAL_GROWTH","FQ2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570" s="2" t="e">
        <f ca="1">_xll.BDH($C$553,"DPS_SEQUENTIAL_GROWTH","FQ2 2017","FQ2 2017","Currency=INR","Period=FQ","BEST_FPERIOD_OVERRIDE=FQ","FILING_STATUS=OR","EQY_CONSOLIDATED=Y","Sort=A","Dates=H","DateFormat=P","Fill=—","Direction=H","UseDPDF=Y")</f>
        <v>#NAME?</v>
      </c>
      <c r="BL570" s="2" t="e">
        <f ca="1">_xll.BDH($C$553,"ACCOUNTS_RECEIVABLE_SEQ_GROWTH","FQ2 2017","FQ2 2017","Currency=INR","Period=FQ","BEST_FPERIOD_OVERRIDE=FQ","FILING_STATUS=OR","EQY_CONSOLIDATED=Y","Sort=A","Dates=H","DateFormat=P","Fill=—","Direction=H","UseDPDF=Y")</f>
        <v>#NAME?</v>
      </c>
      <c r="BM570" s="2" t="e">
        <f ca="1">_xll.BDH($C$553,"INVENTORY_SEQUENTIAL_GROWTH","FQ2 2017","FQ2 2017","Currency=INR","Period=FQ","BEST_FPERIOD_OVERRIDE=FQ","FILING_STATUS=OR","EQY_CONSOLIDATED=Y","Sort=A","Dates=H","DateFormat=P","Fill=—","Direction=H","UseDPDF=Y")</f>
        <v>#NAME?</v>
      </c>
      <c r="BN570" s="2" t="e">
        <f ca="1">_xll.BDH($C$553,"FIXED_ASSETS_SEQUENTIAL_GROWTH","FQ2 2017","FQ2 2017","Currency=INR","Period=FQ","BEST_FPERIOD_OVERRIDE=FQ","FILING_STATUS=OR","EQY_CONSOLIDATED=Y","Sort=A","Dates=H","DateFormat=P","Fill=—","Direction=H","UseDPDF=Y")</f>
        <v>#NAME?</v>
      </c>
      <c r="BO570" s="2" t="e">
        <f ca="1">_xll.BDH($C$553,"TOTAL_ASSETS_SEQUENTIAL_GROWTH","FQ2 2017","FQ2 2017","Currency=INR","Period=FQ","BEST_FPERIOD_OVERRIDE=FQ","FILING_STATUS=OR","EQY_CONSOLIDATED=Y","Sort=A","Dates=H","DateFormat=P","Fill=—","Direction=H","UseDPDF=Y")</f>
        <v>#NAME?</v>
      </c>
      <c r="BP570" s="2" t="e">
        <f ca="1">_xll.BDH($C$553,"MODIFIED_WORKING_CPTL_SEQ_GRWTH","FQ2 2017","FQ2 2017","Currency=INR","Period=FQ","BEST_FPERIOD_OVERRIDE=FQ","FILING_STATUS=OR","EQY_CONSOLIDATED=Y","Sort=A","Dates=H","DateFormat=P","Fill=—","Direction=H","UseDPDF=Y")</f>
        <v>#NAME?</v>
      </c>
      <c r="BQ570" s="2" t="e">
        <f ca="1">_xll.BDH($C$553,"WORKING_CAPITAL_SEQ_GROWTH","FQ2 2017","FQ2 2017","Currency=INR","Period=FQ","BEST_FPERIOD_OVERRIDE=FQ","FILING_STATUS=OR","EQY_CONSOLIDATED=Y","Sort=A","Dates=H","DateFormat=P","Fill=—","Direction=H","UseDPDF=Y")</f>
        <v>#NAME?</v>
      </c>
      <c r="BR570" s="2" t="e">
        <f ca="1">_xll.BDH($C$553,"ACCOUNTS_PAYABLE_SEQ_GROWTH","FQ2 2017","FQ2 2017","Currency=INR","Period=FQ","BEST_FPERIOD_OVERRIDE=FQ","FILING_STATUS=OR","EQY_CONSOLIDATED=Y","Sort=A","Dates=H","DateFormat=P","Fill=—","Direction=H","UseDPDF=Y")</f>
        <v>#NAME?</v>
      </c>
      <c r="BS570" s="2" t="e">
        <f ca="1">_xll.BDH($C$553,"ST_DEBT_SEQUENTIAL_GROWTH","FQ2 2017","FQ2 2017","Currency=INR","Period=FQ","BEST_FPERIOD_OVERRIDE=FQ","FILING_STATUS=OR","EQY_CONSOLIDATED=Y","Sort=A","Dates=H","DateFormat=P","Fill=—","Direction=H","UseDPDF=Y")</f>
        <v>#NAME?</v>
      </c>
      <c r="BT570" s="2" t="e">
        <f ca="1">_xll.BDH($C$553,"TOTAL_DEBT_SEQUENTIAL_GROWTH","FQ2 2017","FQ2 2017","Currency=INR","Period=FQ","BEST_FPERIOD_OVERRIDE=FQ","FILING_STATUS=OR","EQY_CONSOLIDATED=Y","Sort=A","Dates=H","DateFormat=P","Fill=—","Direction=H","UseDPDF=Y")</f>
        <v>#NAME?</v>
      </c>
      <c r="BU570" s="2" t="e">
        <f ca="1">_xll.BDH($C$553,"TOTAL_EQUITY_SEQUENTIAL_GROWTH","FQ2 2017","FQ2 2017","Currency=INR","Period=FQ","BEST_FPERIOD_OVERRIDE=FQ","FILING_STATUS=OR","EQY_CONSOLIDATED=Y","Sort=A","Dates=H","DateFormat=P","Fill=—","Direction=H","UseDPDF=Y")</f>
        <v>#NAME?</v>
      </c>
      <c r="BV570" s="2" t="e">
        <f ca="1">_xll.BDH($C$553,"TOTAL_CAPITAL_SEQUENTIAL_GROWTH","FQ2 2017","FQ2 2017","Currency=INR","Period=FQ","BEST_FPERIOD_OVERRIDE=FQ","FILING_STATUS=OR","EQY_CONSOLIDATED=Y","Sort=A","Dates=H","DateFormat=P","Fill=—","Direction=H","UseDPDF=Y")</f>
        <v>#NAME?</v>
      </c>
      <c r="BW570" s="2" t="e">
        <f ca="1">_xll.BDH($C$553,"BPS_SEQUENTIAL_GROWTH","FQ2 2017","FQ2 2017","Currency=INR","Period=FQ","BEST_FPERIOD_OVERRIDE=FQ","FILING_STATUS=OR","EQY_CONSOLIDATED=Y","Sort=A","Dates=H","DateFormat=P","Fill=—","Direction=H","UseDPDF=Y")</f>
        <v>#NAME?</v>
      </c>
      <c r="BX570" s="2" t="e">
        <f ca="1">_xll.BDH($C$553,"CFO_SEQUENTIAL_GROWTH","FQ2 2017","FQ2 2017","Currency=INR","Period=FQ","BEST_FPERIOD_OVERRIDE=FQ","FILING_STATUS=OR","EQY_CONSOLIDATED=Y","Sort=A","Dates=H","DateFormat=P","Fill=—","Direction=H","UseDPDF=Y")</f>
        <v>#NAME?</v>
      </c>
      <c r="BY570" s="3" t="e">
        <f ca="1">_xll.BDH($C$553,"SHORT_AND_LONG_TERM_DEBT","FQ2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570" s="3" t="e">
        <f ca="1">_xll.BDH($C$553,"BS_ST_BORROW","FQ2 2017","FQ2 2017","Currency=INR","Period=FQ","BEST_FPERIOD_OVERRIDE=FQ","FILING_STATUS=OR","EQY_CONSOLIDATED=Y","SCALING_FORMAT=MLN","Sort=A","Dates=H","DateFormat=P","Fill=—","Direction=H","UseDPDF=Y")</f>
        <v>#NAME?</v>
      </c>
      <c r="CA570" s="3" t="e">
        <f ca="1">_xll.BDH($C$553,"BS_LT_BORROW","FQ2 2017","FQ2 2017","Currency=INR","Period=FQ","BEST_FPERIOD_OVERRIDE=FQ","FILING_STATUS=OR","EQY_CONSOLIDATED=Y","SCALING_FORMAT=MLN","Sort=A","Dates=H","DateFormat=P","Fill=—","Direction=H","UseDPDF=Y")</f>
        <v>#NAME?</v>
      </c>
      <c r="CB570" s="2" t="e">
        <f ca="1">_xll.BDH($C$553,"TOT_DEBT_TO_EBITDA","FQ2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570" s="2" t="e">
        <f ca="1">_xll.BDH($C$553,"NET_DEBT_TO_EBITDA","FQ2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570" s="2" t="e">
        <f ca="1">_xll.BDH($C$553,"TOTAL_DEBT_TO_EBIT","FQ2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570" s="2" t="e">
        <f ca="1">_xll.BDH($C$553,"NET_DEBT_TO_EBIT","FQ2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570" s="2" t="e">
        <f ca="1">_xll.BDH($C$553,"EBITDA_TO_INTEREST_EXPN","FQ2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570" s="2" t="e">
        <f ca="1">_xll.BDH($C$553,"COM_EQY_TO_TOT_ASSET","FQ2 2017","FQ2 2017","Currency=INR","Period=FQ","BEST_FPERIOD_OVERRIDE=FQ","FILING_STATUS=OR","EQY_CONSOLIDATED=Y","Sort=A","Dates=H","DateFormat=P","Fill=—","Direction=H","UseDPDF=Y")</f>
        <v>#NAME?</v>
      </c>
      <c r="CH570" s="2" t="e">
        <f ca="1">_xll.BDH($C$553,"LT_DEBT_TO_TOT_EQY","FQ2 2017","FQ2 2017","Currency=INR","Period=FQ","BEST_FPERIOD_OVERRIDE=FQ","FILING_STATUS=OR","EQY_CONSOLIDATED=Y","Sort=A","Dates=H","DateFormat=P","Fill=—","Direction=H","UseDPDF=Y")</f>
        <v>#NAME?</v>
      </c>
      <c r="CI570" s="2" t="e">
        <f ca="1">_xll.BDH($C$553,"LT_DEBT_TO_TOT_CAP","FQ2 2017","FQ2 2017","Currency=INR","Period=FQ","BEST_FPERIOD_OVERRIDE=FQ","FILING_STATUS=OR","EQY_CONSOLIDATED=Y","Sort=A","Dates=H","DateFormat=P","Fill=—","Direction=H","UseDPDF=Y")</f>
        <v>#NAME?</v>
      </c>
      <c r="CJ570" s="2" t="e">
        <f ca="1">_xll.BDH($C$553,"LT_DEBT_TO_TOT_ASSET","FQ2 2017","FQ2 2017","Currency=INR","Period=FQ","BEST_FPERIOD_OVERRIDE=FQ","FILING_STATUS=OR","EQY_CONSOLIDATED=Y","Sort=A","Dates=H","DateFormat=P","Fill=—","Direction=H","UseDPDF=Y")</f>
        <v>#NAME?</v>
      </c>
      <c r="CK570" s="2" t="e">
        <f ca="1">_xll.BDH($C$553,"TOT_DEBT_TO_TOT_EQY","FQ2 2017","FQ2 2017","Currency=INR","Period=FQ","BEST_FPERIOD_OVERRIDE=FQ","FILING_STATUS=OR","EQY_CONSOLIDATED=Y","Sort=A","Dates=H","DateFormat=P","Fill=—","Direction=H","UseDPDF=Y")</f>
        <v>#NAME?</v>
      </c>
      <c r="CL570" s="2" t="e">
        <f ca="1">_xll.BDH($C$553,"TOT_DEBT_TO_TOT_CAP","FQ2 2017","FQ2 2017","Currency=INR","Period=FQ","BEST_FPERIOD_OVERRIDE=FQ","FILING_STATUS=OR","EQY_CONSOLIDATED=Y","Sort=A","Dates=H","DateFormat=P","Fill=—","Direction=H","UseDPDF=Y")</f>
        <v>#NAME?</v>
      </c>
      <c r="CM570" s="2" t="e">
        <f ca="1">_xll.BDH($C$553,"TOT_DEBT_TO_TOT_ASSET","FQ2 2017","FQ2 2017","Currency=INR","Period=FQ","BEST_FPERIOD_OVERRIDE=FQ","FILING_STATUS=OR","EQY_CONSOLIDATED=Y","Sort=A","Dates=H","DateFormat=P","Fill=—","Direction=H","UseDPDF=Y")</f>
        <v>#NAME?</v>
      </c>
      <c r="CN570" s="2" t="e">
        <f ca="1">_xll.BDH($C$553,"NET_DEBT_TO_SHRHLDR_EQTY","FQ2 2017","FQ2 2017","Currency=INR","Period=FQ","BEST_FPERIOD_OVERRIDE=FQ","FILING_STATUS=OR","EQY_CONSOLIDATED=Y","Sort=A","Dates=H","DateFormat=P","Fill=—","Direction=H","UseDPDF=Y")</f>
        <v>#NAME?</v>
      </c>
      <c r="CO570" s="2" t="e">
        <f ca="1">_xll.BDH($C$553,"NET_DEBT_%_CAPITAL","FQ2 2017","FQ2 2017","Currency=INR","Period=FQ","BEST_FPERIOD_OVERRIDE=FQ","FILING_STATUS=OR","EQY_CONSOLIDATED=Y","Sort=A","Dates=H","DateFormat=P","Fill=—","Direction=H","UseDPDF=Y")</f>
        <v>#NAME?</v>
      </c>
      <c r="CP570" s="3" t="e">
        <f ca="1">_xll.BDH($C$553,"EBITDA","FQ2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570" s="3" t="e">
        <f ca="1">_xll.BDH($C$553,"EBITDA_AFTER_CAPEX","FQ2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570" s="3" t="e">
        <f ca="1">_xll.BDH($C$553,"IS_OPER_INC","FQ2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570" s="2" t="e">
        <f ca="1">_xll.BDH($C$553,"CASH_RATIO","FQ2 2017","FQ2 2017","Currency=INR","Period=FQ","BEST_FPERIOD_OVERRIDE=FQ","FILING_STATUS=OR","EQY_CONSOLIDATED=Y","Sort=A","Dates=H","DateFormat=P","Fill=—","Direction=H","UseDPDF=Y")</f>
        <v>#NAME?</v>
      </c>
      <c r="CT570" s="2" t="e">
        <f ca="1">_xll.BDH($C$553,"CUR_RATIO","FQ2 2017","FQ2 2017","Currency=INR","Period=FQ","BEST_FPERIOD_OVERRIDE=FQ","FILING_STATUS=OR","EQY_CONSOLIDATED=Y","Sort=A","Dates=H","DateFormat=P","Fill=—","Direction=H","UseDPDF=Y")</f>
        <v>#NAME?</v>
      </c>
      <c r="CU570" s="2" t="e">
        <f ca="1">_xll.BDH($C$553,"QUICK_RATIO","FQ2 2017","FQ2 2017","Currency=INR","Period=FQ","BEST_FPERIOD_OVERRIDE=FQ","FILING_STATUS=OR","EQY_CONSOLIDATED=Y","Sort=A","Dates=H","DateFormat=P","Fill=—","Direction=H","UseDPDF=Y")</f>
        <v>#NAME?</v>
      </c>
      <c r="CV570" s="2" t="e">
        <f ca="1">_xll.BDH($C$553,"ALTMAN_Z_SCORE","FQ2 2017","FQ2 2017","Currency=INR","Period=FQ","BEST_FPERIOD_OVERRIDE=FQ","FILING_STATUS=OR","EQY_CONSOLIDATED=Y","Sort=A","Dates=H","DateFormat=P","Fill=—","Direction=H","UseDPDF=Y")</f>
        <v>#NAME?</v>
      </c>
      <c r="CW570" s="4" t="e">
        <f ca="1">_xll.BDH($C$553,"ACCT_RCV_TURN","FQ2 2017","FQ2 2017","Currency=INR","Period=FQ","BEST_FPERIOD_OVERRIDE=FQ","FILING_STATUS=OR","EQY_CONSOLIDATED=Y","FA_ADJUSTED=GAAP","Sort=A","Dates=H","DateFormat=P","Fill=—","Direction=H","UseDPDF=Y")</f>
        <v>#NAME?</v>
      </c>
      <c r="CX570" s="2" t="e">
        <f ca="1">_xll.BDH($C$553,"ACCT_RCV_DAYS","FQ2 2017","FQ2 2017","Currency=INR","Period=FQ","BEST_FPERIOD_OVERRIDE=FQ","FILING_STATUS=OR","EQY_CONSOLIDATED=Y","FA_ADJUSTED=GAAP","Sort=A","Dates=H","DateFormat=P","Fill=—","Direction=H","UseDPDF=Y")</f>
        <v>#NAME?</v>
      </c>
      <c r="CY570" s="4" t="e">
        <f ca="1">_xll.BDH($C$553,"INVENT_TURN","FQ2 2017","FQ2 2017","Currency=INR","Period=FQ","BEST_FPERIOD_OVERRIDE=FQ","FILING_STATUS=OR","EQY_CONSOLIDATED=Y","FA_ADJUSTED=GAAP","Sort=A","Dates=H","DateFormat=P","Fill=—","Direction=H","UseDPDF=Y")</f>
        <v>#NAME?</v>
      </c>
      <c r="CZ570" s="2" t="e">
        <f ca="1">_xll.BDH($C$553,"INVENT_DAYS","FQ2 2017","FQ2 2017","Currency=INR","Period=FQ","BEST_FPERIOD_OVERRIDE=FQ","FILING_STATUS=OR","EQY_CONSOLIDATED=Y","FA_ADJUSTED=GAAP","Sort=A","Dates=H","DateFormat=P","Fill=—","Direction=H","UseDPDF=Y")</f>
        <v>#NAME?</v>
      </c>
      <c r="DA570" s="4" t="e">
        <f ca="1">_xll.BDH($C$553,"ACCOUNTS_PAYABLE_TURNOVER","FQ2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570" s="2" t="e">
        <f ca="1">_xll.BDH($C$553,"ACCOUNTS_PAYABLE_TURNOVER_DAYS","FQ2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570" s="4" t="e">
        <f ca="1">_xll.BDH($C$553,"CASH_CONVERSION_CYCLE","FQ2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570" s="4" t="e">
        <f ca="1">_xll.BDH($C$553,"INV_TO_CASH_DAYS","FQ2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570" s="5" t="e">
        <f ca="1">_xll.BDH($C$553,"BS_INVENTORIES","FQ2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570" s="3" t="e">
        <f ca="1">_xll.BDH($C$553,"INVTRY_RAW_MATERIALS","FQ2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570" s="3" t="e">
        <f ca="1">_xll.BDH($C$553,"INVTRY_IN_PROGRESS","FQ2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570" s="3" t="e">
        <f ca="1">_xll.BDH($C$553,"INVTRY_FINISHED_GOODS","FQ2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570" s="3" t="e">
        <f ca="1">_xll.BDH($C$553,"BS_OTHER_INV","FQ2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571" spans="1:113" x14ac:dyDescent="0.3">
      <c r="A571" s="6"/>
      <c r="B571" s="6"/>
      <c r="C571" s="6"/>
      <c r="D571" s="6"/>
      <c r="E571" t="s">
        <v>80</v>
      </c>
      <c r="F571" t="e">
        <f ca="1">_xll.BDH($C$553,"RETURN_COM_EQY","FQ3 2017","FQ3 2017","Currency=INR","Period=FQ","BEST_FPERIOD_OVERRIDE=FQ","FILING_STATUS=OR","EQY_CONSOLIDATED=Y","FA_ADJUSTED=GAAP","Sort=A","Dates=H","DateFormat=P","Fill=—","Direction=H","UseDPDF=Y")</f>
        <v>#NAME?</v>
      </c>
      <c r="G571" t="e">
        <f ca="1">_xll.BDH($C$553,"RETURN_ON_ASSET","FQ3 2017","FQ3 2017","Currency=INR","Period=FQ","BEST_FPERIOD_OVERRIDE=FQ","FILING_STATUS=OR","EQY_CONSOLIDATED=Y","FA_ADJUSTED=GAAP","Sort=A","Dates=H","DateFormat=P","Fill=—","Direction=H","UseDPDF=Y")</f>
        <v>#NAME?</v>
      </c>
      <c r="H571" t="e">
        <f ca="1">_xll.BDH($C$553,"RETURN_ON_CAP","FQ3 2017","FQ3 2017","Currency=INR","Period=FQ","BEST_FPERIOD_OVERRIDE=FQ","FILING_STATUS=OR","EQY_CONSOLIDATED=Y","FA_ADJUSTED=GAAP","Sort=A","Dates=H","DateFormat=P","Fill=—","Direction=H","UseDPDF=Y")</f>
        <v>#NAME?</v>
      </c>
      <c r="I571" t="e">
        <f ca="1">_xll.BDH($C$553,"RETURN_ON_INV_CAPITAL","FQ3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571" t="e">
        <f ca="1">_xll.BDH($C$553,"EBITDA_TO_REVENUE","FQ3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571" t="e">
        <f ca="1">_xll.BDH($C$553,"OPER_MARGIN","FQ3 2017","FQ3 2017","Currency=INR","Period=FQ","BEST_FPERIOD_OVERRIDE=FQ","FILING_STATUS=OR","EQY_CONSOLIDATED=Y","FA_ADJUSTED=GAAP","Sort=A","Dates=H","DateFormat=P","Fill=—","Direction=H","UseDPDF=Y")</f>
        <v>#NAME?</v>
      </c>
      <c r="L571" t="e">
        <f ca="1">_xll.BDH($C$553,"INCREMENTAL_OPERATING_MARGIN","FQ3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571" t="e">
        <f ca="1">_xll.BDH($C$553,"PRETAX_INC_TO_NET_SALES","FQ3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571" t="e">
        <f ca="1">_xll.BDH($C$553,"INC_BEF_XO_ITEMS_TO_NET_SALES","FQ3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571" t="e">
        <f ca="1">_xll.BDH($C$553,"PROF_MARGIN","FQ3 2017","FQ3 2017","Currency=INR","Period=FQ","BEST_FPERIOD_OVERRIDE=FQ","FILING_STATUS=OR","EQY_CONSOLIDATED=Y","FA_ADJUSTED=GAAP","Sort=A","Dates=H","DateFormat=P","Fill=—","Direction=H","UseDPDF=Y")</f>
        <v>#NAME?</v>
      </c>
      <c r="P571" t="e">
        <f ca="1">_xll.BDH($C$553,"NET_INCOME_TO_COMMON_MARGIN","FQ3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571" t="e">
        <f ca="1">_xll.BDH($C$553,"EFF_TAX_RATE","FQ3 2017","FQ3 2017","Currency=INR","Period=FQ","BEST_FPERIOD_OVERRIDE=FQ","FILING_STATUS=OR","EQY_CONSOLIDATED=Y","FA_ADJUSTED=GAAP","Sort=A","Dates=H","DateFormat=P","Fill=—","Direction=H","UseDPDF=Y")</f>
        <v>#NAME?</v>
      </c>
      <c r="R571" t="e">
        <f ca="1">_xll.BDH($C$553,"DVD_PAYOUT_RATIO","FQ3 2017","FQ3 2017","Currency=INR","Period=FQ","BEST_FPERIOD_OVERRIDE=FQ","FILING_STATUS=OR","EQY_CONSOLIDATED=Y","FA_ADJUSTED=GAAP","Sort=A","Dates=H","DateFormat=P","Fill=—","Direction=H","UseDPDF=Y")</f>
        <v>#NAME?</v>
      </c>
      <c r="S571" t="e">
        <f ca="1">_xll.BDH($C$553,"SUSTAIN_GROWTH_RT","FQ3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571" s="2" t="e">
        <f ca="1">_xll.BDH($C$553,"SALES_GROWTH","FQ3 2017","FQ3 2017","Currency=INR","Period=FQ","BEST_FPERIOD_OVERRIDE=FQ","FILING_STATUS=OR","EQY_CONSOLIDATED=Y","FA_ADJUSTED=GAAP","Sort=A","Dates=H","DateFormat=P","Fill=—","Direction=H","UseDPDF=Y")</f>
        <v>#NAME?</v>
      </c>
      <c r="U571" s="2" t="e">
        <f ca="1">_xll.BDH($C$553,"EBITDA_GROWTH","FQ3 2017","FQ3 2017","Currency=INR","Period=FQ","BEST_FPERIOD_OVERRIDE=FQ","FILING_STATUS=OR","EQY_CONSOLIDATED=Y","FA_ADJUSTED=GAAP","Sort=A","Dates=H","DateFormat=P","Fill=—","Direction=H","UseDPDF=Y")</f>
        <v>#NAME?</v>
      </c>
      <c r="V571" s="2" t="e">
        <f ca="1">_xll.BDH($C$553,"OPER_INC_GROWTH","FQ3 2017","FQ3 2017","Currency=INR","Period=FQ","BEST_FPERIOD_OVERRIDE=FQ","FILING_STATUS=OR","EQY_CONSOLIDATED=Y","FA_ADJUSTED=GAAP","Sort=A","Dates=H","DateFormat=P","Fill=—","Direction=H","UseDPDF=Y")</f>
        <v>#NAME?</v>
      </c>
      <c r="W571" s="2" t="e">
        <f ca="1">_xll.BDH($C$553,"EARN_FOR_COM_GROWTH","FQ3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571" s="2" t="e">
        <f ca="1">_xll.BDH($C$553,"DILUTED_EPS_AFT_XO_ITEMS_GROWTH","FQ3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571" s="2" t="e">
        <f ca="1">_xll.BDH($C$553,"DIVIDEND_PER_SHARE_1_YEAR_GROWTH","FQ3 2017","FQ3 2017","Currency=INR","Period=FQ","BEST_FPERIOD_OVERRIDE=FQ","FILING_STATUS=OR","EQY_CONSOLIDATED=Y","Sort=A","Dates=H","DateFormat=P","Fill=—","Direction=H","UseDPDF=Y")</f>
        <v>#NAME?</v>
      </c>
      <c r="Z571" s="2" t="e">
        <f ca="1">_xll.BDH($C$553,"ACCOUNTS_RECEIVABLE_GROWTH","FQ3 2017","FQ3 2017","Currency=INR","Period=FQ","BEST_FPERIOD_OVERRIDE=FQ","FILING_STATUS=OR","EQY_CONSOLIDATED=Y","Sort=A","Dates=H","DateFormat=P","Fill=—","Direction=H","UseDPDF=Y")</f>
        <v>#NAME?</v>
      </c>
      <c r="AA571" s="2" t="e">
        <f ca="1">_xll.BDH($C$553,"INVENTORY_GROWTH","FQ3 2017","FQ3 2017","Currency=INR","Period=FQ","BEST_FPERIOD_OVERRIDE=FQ","FILING_STATUS=OR","EQY_CONSOLIDATED=Y","Sort=A","Dates=H","DateFormat=P","Fill=—","Direction=H","UseDPDF=Y")</f>
        <v>#NAME?</v>
      </c>
      <c r="AB571" s="2" t="e">
        <f ca="1">_xll.BDH($C$553,"NET_FIXED_ASSETS_1_YEAR_GROWTH","FQ3 2017","FQ3 2017","Currency=INR","Period=FQ","BEST_FPERIOD_OVERRIDE=FQ","FILING_STATUS=OR","EQY_CONSOLIDATED=Y","Sort=A","Dates=H","DateFormat=P","Fill=—","Direction=H","UseDPDF=Y")</f>
        <v>#NAME?</v>
      </c>
      <c r="AC571" s="2" t="e">
        <f ca="1">_xll.BDH($C$553,"ASSET_GROWTH","FQ3 2017","FQ3 2017","Currency=INR","Period=FQ","BEST_FPERIOD_OVERRIDE=FQ","FILING_STATUS=OR","EQY_CONSOLIDATED=Y","Sort=A","Dates=H","DateFormat=P","Fill=—","Direction=H","UseDPDF=Y")</f>
        <v>#NAME?</v>
      </c>
      <c r="AD571" s="2" t="e">
        <f ca="1">_xll.BDH($C$553,"MODIFIED_WORK_CAP_GROWTH","FQ3 2017","FQ3 2017","Currency=INR","Period=FQ","BEST_FPERIOD_OVERRIDE=FQ","FILING_STATUS=OR","EQY_CONSOLIDATED=Y","Sort=A","Dates=H","DateFormat=P","Fill=—","Direction=H","UseDPDF=Y")</f>
        <v>#NAME?</v>
      </c>
      <c r="AE571" s="2" t="e">
        <f ca="1">_xll.BDH($C$553,"WORK_CAP_GROWTH","FQ3 2017","FQ3 2017","Currency=INR","Period=FQ","BEST_FPERIOD_OVERRIDE=FQ","FILING_STATUS=OR","EQY_CONSOLIDATED=Y","Sort=A","Dates=H","DateFormat=P","Fill=—","Direction=H","UseDPDF=Y")</f>
        <v>#NAME?</v>
      </c>
      <c r="AF571" s="2" t="e">
        <f ca="1">_xll.BDH($C$553,"ACCOUNTS_PAYABLE_GROWTH_1YR","FQ3 2017","FQ3 2017","Currency=INR","Period=FQ","BEST_FPERIOD_OVERRIDE=FQ","FILING_STATUS=OR","EQY_CONSOLIDATED=Y","Sort=A","Dates=H","DateFormat=P","Fill=—","Direction=H","UseDPDF=Y")</f>
        <v>#NAME?</v>
      </c>
      <c r="AG571" s="2" t="e">
        <f ca="1">_xll.BDH($C$553,"SHORT_TERM_DEBT_1_YEAR_GROWTH","FQ3 2017","FQ3 2017","Currency=INR","Period=FQ","BEST_FPERIOD_OVERRIDE=FQ","FILING_STATUS=OR","EQY_CONSOLIDATED=Y","Sort=A","Dates=H","DateFormat=P","Fill=—","Direction=H","UseDPDF=Y")</f>
        <v>#NAME?</v>
      </c>
      <c r="AH571" s="2" t="e">
        <f ca="1">_xll.BDH($C$553,"TOTAL_DEBT_1_YEAR_GROWTH","FQ3 2017","FQ3 2017","Currency=INR","Period=FQ","BEST_FPERIOD_OVERRIDE=FQ","FILING_STATUS=OR","EQY_CONSOLIDATED=Y","Sort=A","Dates=H","DateFormat=P","Fill=—","Direction=H","UseDPDF=Y")</f>
        <v>#NAME?</v>
      </c>
      <c r="AI571" s="2" t="e">
        <f ca="1">_xll.BDH($C$553,"TOTAL_EQUITY_1_YEAR_GROWTH","FQ3 2017","FQ3 2017","Currency=INR","Period=FQ","BEST_FPERIOD_OVERRIDE=FQ","FILING_STATUS=OR","EQY_CONSOLIDATED=Y","Sort=A","Dates=H","DateFormat=P","Fill=—","Direction=H","UseDPDF=Y")</f>
        <v>#NAME?</v>
      </c>
      <c r="AJ571" s="2" t="e">
        <f ca="1">_xll.BDH($C$553,"GROWTH_IN_CAP","FQ3 2017","FQ3 2017","Currency=INR","Period=FQ","BEST_FPERIOD_OVERRIDE=FQ","FILING_STATUS=OR","EQY_CONSOLIDATED=Y","Sort=A","Dates=H","DateFormat=P","Fill=—","Direction=H","UseDPDF=Y")</f>
        <v>#NAME?</v>
      </c>
      <c r="AK571" s="2" t="e">
        <f ca="1">_xll.BDH($C$553,"BVPS_GROWTH","FQ3 2017","FQ3 2017","Currency=INR","Period=FQ","BEST_FPERIOD_OVERRIDE=FQ","FILING_STATUS=OR","EQY_CONSOLIDATED=Y","Sort=A","Dates=H","DateFormat=P","Fill=—","Direction=H","UseDPDF=Y")</f>
        <v>#NAME?</v>
      </c>
      <c r="AL571" s="2" t="e">
        <f ca="1">_xll.BDH($C$553,"CASH_FLOW_GROWTH","FQ3 2017","FQ3 2017","Currency=INR","Period=FQ","BEST_FPERIOD_OVERRIDE=FQ","FILING_STATUS=OR","EQY_CONSOLIDATED=Y","Sort=A","Dates=H","DateFormat=P","Fill=—","Direction=H","UseDPDF=Y")</f>
        <v>#NAME?</v>
      </c>
      <c r="AM571" s="2" t="e">
        <f ca="1">_xll.BDH($C$553,"GEO_GROW_NET_SALES","FQ3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571" s="2" t="e">
        <f ca="1">_xll.BDH($C$553,"GEO_GROW_EBITDA","FQ3 2017","FQ3 2017","Currency=INR","Period=FQ","BEST_FPERIOD_OVERRIDE=FQ","FILING_STATUS=OR","EQY_CONSOLIDATED=Y","FA_ADJUSTED=GAAP","Sort=A","Dates=H","DateFormat=P","Fill=—","Direction=H","UseDPDF=Y")</f>
        <v>#NAME?</v>
      </c>
      <c r="AO571" s="2" t="e">
        <f ca="1">_xll.BDH($C$553,"GEO_GROW_OPER_INC","FQ3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571" s="2" t="e">
        <f ca="1">_xll.BDH($C$553,"NET_INCOME_TO_COMMON_5_YR_GROWTH","FQ3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571" s="2" t="e">
        <f ca="1">_xll.BDH($C$553,"5Y_GEO_GROWTH_DILUTED_EPS","FQ3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571" s="2" t="e">
        <f ca="1">_xll.BDH($C$553,"GEO_GROW_DVD_PER_SH","FQ3 2017","FQ3 2017","Currency=INR","Period=FQ","BEST_FPERIOD_OVERRIDE=FQ","FILING_STATUS=OR","EQY_CONSOLIDATED=Y","Sort=A","Dates=H","DateFormat=P","Fill=—","Direction=H","UseDPDF=Y")</f>
        <v>#NAME?</v>
      </c>
      <c r="AS571" s="2" t="e">
        <f ca="1">_xll.BDH($C$553,"ACCOUNTS_RECEIVABLE_5_YR_GROWTH","FQ3 2017","FQ3 2017","Currency=INR","Period=FQ","BEST_FPERIOD_OVERRIDE=FQ","FILING_STATUS=OR","EQY_CONSOLIDATED=Y","Sort=A","Dates=H","DateFormat=P","Fill=—","Direction=H","UseDPDF=Y")</f>
        <v>#NAME?</v>
      </c>
      <c r="AT571" s="2" t="e">
        <f ca="1">_xll.BDH($C$553,"INVENTORY_5_YEAR_GROWTH","FQ3 2017","FQ3 2017","Currency=INR","Period=FQ","BEST_FPERIOD_OVERRIDE=FQ","FILING_STATUS=OR","EQY_CONSOLIDATED=Y","Sort=A","Dates=H","DateFormat=P","Fill=—","Direction=H","UseDPDF=Y")</f>
        <v>#NAME?</v>
      </c>
      <c r="AU571" s="2" t="e">
        <f ca="1">_xll.BDH($C$553,"NET_FIXED_ASSETS_5_YEAR_GROWTH","FQ3 2017","FQ3 2017","Currency=INR","Period=FQ","BEST_FPERIOD_OVERRIDE=FQ","FILING_STATUS=OR","EQY_CONSOLIDATED=Y","Sort=A","Dates=H","DateFormat=P","Fill=—","Direction=H","UseDPDF=Y")</f>
        <v>#NAME?</v>
      </c>
      <c r="AV571" s="2" t="e">
        <f ca="1">_xll.BDH($C$553,"GEO_GROW_TOT_ASSET","FQ3 2017","FQ3 2017","Currency=INR","Period=FQ","BEST_FPERIOD_OVERRIDE=FQ","FILING_STATUS=OR","EQY_CONSOLIDATED=Y","Sort=A","Dates=H","DateFormat=P","Fill=—","Direction=H","UseDPDF=Y")</f>
        <v>#NAME?</v>
      </c>
      <c r="AW571" s="2" t="e">
        <f ca="1">_xll.BDH($C$553,"MODIFIED_WORKING_CPTL_5YR_GRWTH","FQ3 2017","FQ3 2017","Currency=INR","Period=FQ","BEST_FPERIOD_OVERRIDE=FQ","FILING_STATUS=OR","EQY_CONSOLIDATED=Y","Sort=A","Dates=H","DateFormat=P","Fill=—","Direction=H","UseDPDF=Y")</f>
        <v>#NAME?</v>
      </c>
      <c r="AX571" s="2" t="e">
        <f ca="1">_xll.BDH($C$553,"WORKING_CAPITAL_5_YEAR_GROWTH","FQ3 2017","FQ3 2017","Currency=INR","Period=FQ","BEST_FPERIOD_OVERRIDE=FQ","FILING_STATUS=OR","EQY_CONSOLIDATED=Y","Sort=A","Dates=H","DateFormat=P","Fill=—","Direction=H","UseDPDF=Y")</f>
        <v>#NAME?</v>
      </c>
      <c r="AY571" s="2" t="e">
        <f ca="1">_xll.BDH($C$553,"ACCOUNTS_PAYABLE_5_YEAR_GROWTH","FQ3 2017","FQ3 2017","Currency=INR","Period=FQ","BEST_FPERIOD_OVERRIDE=FQ","FILING_STATUS=OR","EQY_CONSOLIDATED=Y","Sort=A","Dates=H","DateFormat=P","Fill=—","Direction=H","UseDPDF=Y")</f>
        <v>#NAME?</v>
      </c>
      <c r="AZ571" s="2" t="e">
        <f ca="1">_xll.BDH($C$553,"SHORT_TERM_DEBT_5_YEAR_GROWTH","FQ3 2017","FQ3 2017","Currency=INR","Period=FQ","BEST_FPERIOD_OVERRIDE=FQ","FILING_STATUS=OR","EQY_CONSOLIDATED=Y","Sort=A","Dates=H","DateFormat=P","Fill=—","Direction=H","UseDPDF=Y")</f>
        <v>#NAME?</v>
      </c>
      <c r="BA571" s="2" t="e">
        <f ca="1">_xll.BDH($C$553,"TOTAL_DEBT_5_YEAR_GROWTH","FQ3 2017","FQ3 2017","Currency=INR","Period=FQ","BEST_FPERIOD_OVERRIDE=FQ","FILING_STATUS=OR","EQY_CONSOLIDATED=Y","Sort=A","Dates=H","DateFormat=P","Fill=—","Direction=H","UseDPDF=Y")</f>
        <v>#NAME?</v>
      </c>
      <c r="BB571" s="2" t="e">
        <f ca="1">_xll.BDH($C$553,"GEO_GROW_TOT_SHRHLDR_EQY","FQ3 2017","FQ3 2017","Currency=INR","Period=FQ","BEST_FPERIOD_OVERRIDE=FQ","FILING_STATUS=OR","EQY_CONSOLIDATED=Y","Sort=A","Dates=H","DateFormat=P","Fill=—","Direction=H","UseDPDF=Y")</f>
        <v>#NAME?</v>
      </c>
      <c r="BC571" s="2" t="e">
        <f ca="1">_xll.BDH($C$553,"TOTAL_CAPITAL_5_YEAR_GROWTH","FQ3 2017","FQ3 2017","Currency=INR","Period=FQ","BEST_FPERIOD_OVERRIDE=FQ","FILING_STATUS=OR","EQY_CONSOLIDATED=Y","Sort=A","Dates=H","DateFormat=P","Fill=—","Direction=H","UseDPDF=Y")</f>
        <v>#NAME?</v>
      </c>
      <c r="BD571" s="2" t="e">
        <f ca="1">_xll.BDH($C$553,"GEO_GROW_BOOK_VAL","FQ3 2017","FQ3 2017","Currency=INR","Period=FQ","BEST_FPERIOD_OVERRIDE=FQ","FILING_STATUS=OR","EQY_CONSOLIDATED=Y","Sort=A","Dates=H","DateFormat=P","Fill=—","Direction=H","UseDPDF=Y")</f>
        <v>#NAME?</v>
      </c>
      <c r="BE571" s="2" t="e">
        <f ca="1">_xll.BDH($C$553,"GEO_GROW_CASH_OPER_ACT","FQ3 2017","FQ3 2017","Currency=INR","Period=FQ","BEST_FPERIOD_OVERRIDE=FQ","FILING_STATUS=OR","EQY_CONSOLIDATED=Y","Sort=A","Dates=H","DateFormat=P","Fill=—","Direction=H","UseDPDF=Y")</f>
        <v>#NAME?</v>
      </c>
      <c r="BF571" s="2" t="e">
        <f ca="1">_xll.BDH($C$553,"REVENUE_SEQUENTIAL_GROWTH","FQ3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571" s="2" t="e">
        <f ca="1">_xll.BDH($C$553,"EBITDA_SEQUENTIAL_GROWTH","FQ3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571" s="2" t="e">
        <f ca="1">_xll.BDH($C$553,"OPERATING_INCOME_SEQ_GROWTH","FQ3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571" s="2" t="e">
        <f ca="1">_xll.BDH($C$553,"NET_INCOME_TO_COMMON_SEQ_GROWTH","FQ3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571" s="2" t="e">
        <f ca="1">_xll.BDH($C$553,"EPS_DILUTED_SEQUENTIAL_GROWTH","FQ3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571" s="2" t="e">
        <f ca="1">_xll.BDH($C$553,"DPS_SEQUENTIAL_GROWTH","FQ3 2017","FQ3 2017","Currency=INR","Period=FQ","BEST_FPERIOD_OVERRIDE=FQ","FILING_STATUS=OR","EQY_CONSOLIDATED=Y","Sort=A","Dates=H","DateFormat=P","Fill=—","Direction=H","UseDPDF=Y")</f>
        <v>#NAME?</v>
      </c>
      <c r="BL571" s="2" t="e">
        <f ca="1">_xll.BDH($C$553,"ACCOUNTS_RECEIVABLE_SEQ_GROWTH","FQ3 2017","FQ3 2017","Currency=INR","Period=FQ","BEST_FPERIOD_OVERRIDE=FQ","FILING_STATUS=OR","EQY_CONSOLIDATED=Y","Sort=A","Dates=H","DateFormat=P","Fill=—","Direction=H","UseDPDF=Y")</f>
        <v>#NAME?</v>
      </c>
      <c r="BM571" s="2" t="e">
        <f ca="1">_xll.BDH($C$553,"INVENTORY_SEQUENTIAL_GROWTH","FQ3 2017","FQ3 2017","Currency=INR","Period=FQ","BEST_FPERIOD_OVERRIDE=FQ","FILING_STATUS=OR","EQY_CONSOLIDATED=Y","Sort=A","Dates=H","DateFormat=P","Fill=—","Direction=H","UseDPDF=Y")</f>
        <v>#NAME?</v>
      </c>
      <c r="BN571" s="2" t="e">
        <f ca="1">_xll.BDH($C$553,"FIXED_ASSETS_SEQUENTIAL_GROWTH","FQ3 2017","FQ3 2017","Currency=INR","Period=FQ","BEST_FPERIOD_OVERRIDE=FQ","FILING_STATUS=OR","EQY_CONSOLIDATED=Y","Sort=A","Dates=H","DateFormat=P","Fill=—","Direction=H","UseDPDF=Y")</f>
        <v>#NAME?</v>
      </c>
      <c r="BO571" s="2" t="e">
        <f ca="1">_xll.BDH($C$553,"TOTAL_ASSETS_SEQUENTIAL_GROWTH","FQ3 2017","FQ3 2017","Currency=INR","Period=FQ","BEST_FPERIOD_OVERRIDE=FQ","FILING_STATUS=OR","EQY_CONSOLIDATED=Y","Sort=A","Dates=H","DateFormat=P","Fill=—","Direction=H","UseDPDF=Y")</f>
        <v>#NAME?</v>
      </c>
      <c r="BP571" s="2" t="e">
        <f ca="1">_xll.BDH($C$553,"MODIFIED_WORKING_CPTL_SEQ_GRWTH","FQ3 2017","FQ3 2017","Currency=INR","Period=FQ","BEST_FPERIOD_OVERRIDE=FQ","FILING_STATUS=OR","EQY_CONSOLIDATED=Y","Sort=A","Dates=H","DateFormat=P","Fill=—","Direction=H","UseDPDF=Y")</f>
        <v>#NAME?</v>
      </c>
      <c r="BQ571" s="2" t="e">
        <f ca="1">_xll.BDH($C$553,"WORKING_CAPITAL_SEQ_GROWTH","FQ3 2017","FQ3 2017","Currency=INR","Period=FQ","BEST_FPERIOD_OVERRIDE=FQ","FILING_STATUS=OR","EQY_CONSOLIDATED=Y","Sort=A","Dates=H","DateFormat=P","Fill=—","Direction=H","UseDPDF=Y")</f>
        <v>#NAME?</v>
      </c>
      <c r="BR571" s="2" t="e">
        <f ca="1">_xll.BDH($C$553,"ACCOUNTS_PAYABLE_SEQ_GROWTH","FQ3 2017","FQ3 2017","Currency=INR","Period=FQ","BEST_FPERIOD_OVERRIDE=FQ","FILING_STATUS=OR","EQY_CONSOLIDATED=Y","Sort=A","Dates=H","DateFormat=P","Fill=—","Direction=H","UseDPDF=Y")</f>
        <v>#NAME?</v>
      </c>
      <c r="BS571" s="2" t="e">
        <f ca="1">_xll.BDH($C$553,"ST_DEBT_SEQUENTIAL_GROWTH","FQ3 2017","FQ3 2017","Currency=INR","Period=FQ","BEST_FPERIOD_OVERRIDE=FQ","FILING_STATUS=OR","EQY_CONSOLIDATED=Y","Sort=A","Dates=H","DateFormat=P","Fill=—","Direction=H","UseDPDF=Y")</f>
        <v>#NAME?</v>
      </c>
      <c r="BT571" s="2" t="e">
        <f ca="1">_xll.BDH($C$553,"TOTAL_DEBT_SEQUENTIAL_GROWTH","FQ3 2017","FQ3 2017","Currency=INR","Period=FQ","BEST_FPERIOD_OVERRIDE=FQ","FILING_STATUS=OR","EQY_CONSOLIDATED=Y","Sort=A","Dates=H","DateFormat=P","Fill=—","Direction=H","UseDPDF=Y")</f>
        <v>#NAME?</v>
      </c>
      <c r="BU571" s="2" t="e">
        <f ca="1">_xll.BDH($C$553,"TOTAL_EQUITY_SEQUENTIAL_GROWTH","FQ3 2017","FQ3 2017","Currency=INR","Period=FQ","BEST_FPERIOD_OVERRIDE=FQ","FILING_STATUS=OR","EQY_CONSOLIDATED=Y","Sort=A","Dates=H","DateFormat=P","Fill=—","Direction=H","UseDPDF=Y")</f>
        <v>#NAME?</v>
      </c>
      <c r="BV571" s="2" t="e">
        <f ca="1">_xll.BDH($C$553,"TOTAL_CAPITAL_SEQUENTIAL_GROWTH","FQ3 2017","FQ3 2017","Currency=INR","Period=FQ","BEST_FPERIOD_OVERRIDE=FQ","FILING_STATUS=OR","EQY_CONSOLIDATED=Y","Sort=A","Dates=H","DateFormat=P","Fill=—","Direction=H","UseDPDF=Y")</f>
        <v>#NAME?</v>
      </c>
      <c r="BW571" s="2" t="e">
        <f ca="1">_xll.BDH($C$553,"BPS_SEQUENTIAL_GROWTH","FQ3 2017","FQ3 2017","Currency=INR","Period=FQ","BEST_FPERIOD_OVERRIDE=FQ","FILING_STATUS=OR","EQY_CONSOLIDATED=Y","Sort=A","Dates=H","DateFormat=P","Fill=—","Direction=H","UseDPDF=Y")</f>
        <v>#NAME?</v>
      </c>
      <c r="BX571" s="2" t="e">
        <f ca="1">_xll.BDH($C$553,"CFO_SEQUENTIAL_GROWTH","FQ3 2017","FQ3 2017","Currency=INR","Period=FQ","BEST_FPERIOD_OVERRIDE=FQ","FILING_STATUS=OR","EQY_CONSOLIDATED=Y","Sort=A","Dates=H","DateFormat=P","Fill=—","Direction=H","UseDPDF=Y")</f>
        <v>#NAME?</v>
      </c>
      <c r="BY571" s="3" t="e">
        <f ca="1">_xll.BDH($C$553,"SHORT_AND_LONG_TERM_DEBT","FQ3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571" s="3" t="e">
        <f ca="1">_xll.BDH($C$553,"BS_ST_BORROW","FQ3 2017","FQ3 2017","Currency=INR","Period=FQ","BEST_FPERIOD_OVERRIDE=FQ","FILING_STATUS=OR","EQY_CONSOLIDATED=Y","SCALING_FORMAT=MLN","Sort=A","Dates=H","DateFormat=P","Fill=—","Direction=H","UseDPDF=Y")</f>
        <v>#NAME?</v>
      </c>
      <c r="CA571" s="3" t="e">
        <f ca="1">_xll.BDH($C$553,"BS_LT_BORROW","FQ3 2017","FQ3 2017","Currency=INR","Period=FQ","BEST_FPERIOD_OVERRIDE=FQ","FILING_STATUS=OR","EQY_CONSOLIDATED=Y","SCALING_FORMAT=MLN","Sort=A","Dates=H","DateFormat=P","Fill=—","Direction=H","UseDPDF=Y")</f>
        <v>#NAME?</v>
      </c>
      <c r="CB571" s="2" t="e">
        <f ca="1">_xll.BDH($C$553,"TOT_DEBT_TO_EBITDA","FQ3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571" s="2" t="e">
        <f ca="1">_xll.BDH($C$553,"NET_DEBT_TO_EBITDA","FQ3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571" s="2" t="e">
        <f ca="1">_xll.BDH($C$553,"TOTAL_DEBT_TO_EBIT","FQ3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571" s="2" t="e">
        <f ca="1">_xll.BDH($C$553,"NET_DEBT_TO_EBIT","FQ3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571" s="2" t="e">
        <f ca="1">_xll.BDH($C$553,"EBITDA_TO_INTEREST_EXPN","FQ3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571" s="2" t="e">
        <f ca="1">_xll.BDH($C$553,"COM_EQY_TO_TOT_ASSET","FQ3 2017","FQ3 2017","Currency=INR","Period=FQ","BEST_FPERIOD_OVERRIDE=FQ","FILING_STATUS=OR","EQY_CONSOLIDATED=Y","Sort=A","Dates=H","DateFormat=P","Fill=—","Direction=H","UseDPDF=Y")</f>
        <v>#NAME?</v>
      </c>
      <c r="CH571" s="2" t="e">
        <f ca="1">_xll.BDH($C$553,"LT_DEBT_TO_TOT_EQY","FQ3 2017","FQ3 2017","Currency=INR","Period=FQ","BEST_FPERIOD_OVERRIDE=FQ","FILING_STATUS=OR","EQY_CONSOLIDATED=Y","Sort=A","Dates=H","DateFormat=P","Fill=—","Direction=H","UseDPDF=Y")</f>
        <v>#NAME?</v>
      </c>
      <c r="CI571" s="2" t="e">
        <f ca="1">_xll.BDH($C$553,"LT_DEBT_TO_TOT_CAP","FQ3 2017","FQ3 2017","Currency=INR","Period=FQ","BEST_FPERIOD_OVERRIDE=FQ","FILING_STATUS=OR","EQY_CONSOLIDATED=Y","Sort=A","Dates=H","DateFormat=P","Fill=—","Direction=H","UseDPDF=Y")</f>
        <v>#NAME?</v>
      </c>
      <c r="CJ571" s="2" t="e">
        <f ca="1">_xll.BDH($C$553,"LT_DEBT_TO_TOT_ASSET","FQ3 2017","FQ3 2017","Currency=INR","Period=FQ","BEST_FPERIOD_OVERRIDE=FQ","FILING_STATUS=OR","EQY_CONSOLIDATED=Y","Sort=A","Dates=H","DateFormat=P","Fill=—","Direction=H","UseDPDF=Y")</f>
        <v>#NAME?</v>
      </c>
      <c r="CK571" s="2" t="e">
        <f ca="1">_xll.BDH($C$553,"TOT_DEBT_TO_TOT_EQY","FQ3 2017","FQ3 2017","Currency=INR","Period=FQ","BEST_FPERIOD_OVERRIDE=FQ","FILING_STATUS=OR","EQY_CONSOLIDATED=Y","Sort=A","Dates=H","DateFormat=P","Fill=—","Direction=H","UseDPDF=Y")</f>
        <v>#NAME?</v>
      </c>
      <c r="CL571" s="2" t="e">
        <f ca="1">_xll.BDH($C$553,"TOT_DEBT_TO_TOT_CAP","FQ3 2017","FQ3 2017","Currency=INR","Period=FQ","BEST_FPERIOD_OVERRIDE=FQ","FILING_STATUS=OR","EQY_CONSOLIDATED=Y","Sort=A","Dates=H","DateFormat=P","Fill=—","Direction=H","UseDPDF=Y")</f>
        <v>#NAME?</v>
      </c>
      <c r="CM571" s="2" t="e">
        <f ca="1">_xll.BDH($C$553,"TOT_DEBT_TO_TOT_ASSET","FQ3 2017","FQ3 2017","Currency=INR","Period=FQ","BEST_FPERIOD_OVERRIDE=FQ","FILING_STATUS=OR","EQY_CONSOLIDATED=Y","Sort=A","Dates=H","DateFormat=P","Fill=—","Direction=H","UseDPDF=Y")</f>
        <v>#NAME?</v>
      </c>
      <c r="CN571" s="2" t="e">
        <f ca="1">_xll.BDH($C$553,"NET_DEBT_TO_SHRHLDR_EQTY","FQ3 2017","FQ3 2017","Currency=INR","Period=FQ","BEST_FPERIOD_OVERRIDE=FQ","FILING_STATUS=OR","EQY_CONSOLIDATED=Y","Sort=A","Dates=H","DateFormat=P","Fill=—","Direction=H","UseDPDF=Y")</f>
        <v>#NAME?</v>
      </c>
      <c r="CO571" s="2" t="e">
        <f ca="1">_xll.BDH($C$553,"NET_DEBT_%_CAPITAL","FQ3 2017","FQ3 2017","Currency=INR","Period=FQ","BEST_FPERIOD_OVERRIDE=FQ","FILING_STATUS=OR","EQY_CONSOLIDATED=Y","Sort=A","Dates=H","DateFormat=P","Fill=—","Direction=H","UseDPDF=Y")</f>
        <v>#NAME?</v>
      </c>
      <c r="CP571" s="3" t="e">
        <f ca="1">_xll.BDH($C$553,"EBITDA","FQ3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571" s="3" t="e">
        <f ca="1">_xll.BDH($C$553,"EBITDA_AFTER_CAPEX","FQ3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571" s="3" t="e">
        <f ca="1">_xll.BDH($C$553,"IS_OPER_INC","FQ3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571" s="2" t="e">
        <f ca="1">_xll.BDH($C$553,"CASH_RATIO","FQ3 2017","FQ3 2017","Currency=INR","Period=FQ","BEST_FPERIOD_OVERRIDE=FQ","FILING_STATUS=OR","EQY_CONSOLIDATED=Y","Sort=A","Dates=H","DateFormat=P","Fill=—","Direction=H","UseDPDF=Y")</f>
        <v>#NAME?</v>
      </c>
      <c r="CT571" s="2" t="e">
        <f ca="1">_xll.BDH($C$553,"CUR_RATIO","FQ3 2017","FQ3 2017","Currency=INR","Period=FQ","BEST_FPERIOD_OVERRIDE=FQ","FILING_STATUS=OR","EQY_CONSOLIDATED=Y","Sort=A","Dates=H","DateFormat=P","Fill=—","Direction=H","UseDPDF=Y")</f>
        <v>#NAME?</v>
      </c>
      <c r="CU571" s="2" t="e">
        <f ca="1">_xll.BDH($C$553,"QUICK_RATIO","FQ3 2017","FQ3 2017","Currency=INR","Period=FQ","BEST_FPERIOD_OVERRIDE=FQ","FILING_STATUS=OR","EQY_CONSOLIDATED=Y","Sort=A","Dates=H","DateFormat=P","Fill=—","Direction=H","UseDPDF=Y")</f>
        <v>#NAME?</v>
      </c>
      <c r="CV571" s="2" t="e">
        <f ca="1">_xll.BDH($C$553,"ALTMAN_Z_SCORE","FQ3 2017","FQ3 2017","Currency=INR","Period=FQ","BEST_FPERIOD_OVERRIDE=FQ","FILING_STATUS=OR","EQY_CONSOLIDATED=Y","Sort=A","Dates=H","DateFormat=P","Fill=—","Direction=H","UseDPDF=Y")</f>
        <v>#NAME?</v>
      </c>
      <c r="CW571" s="4" t="e">
        <f ca="1">_xll.BDH($C$553,"ACCT_RCV_TURN","FQ3 2017","FQ3 2017","Currency=INR","Period=FQ","BEST_FPERIOD_OVERRIDE=FQ","FILING_STATUS=OR","EQY_CONSOLIDATED=Y","FA_ADJUSTED=GAAP","Sort=A","Dates=H","DateFormat=P","Fill=—","Direction=H","UseDPDF=Y")</f>
        <v>#NAME?</v>
      </c>
      <c r="CX571" s="2" t="e">
        <f ca="1">_xll.BDH($C$553,"ACCT_RCV_DAYS","FQ3 2017","FQ3 2017","Currency=INR","Period=FQ","BEST_FPERIOD_OVERRIDE=FQ","FILING_STATUS=OR","EQY_CONSOLIDATED=Y","FA_ADJUSTED=GAAP","Sort=A","Dates=H","DateFormat=P","Fill=—","Direction=H","UseDPDF=Y")</f>
        <v>#NAME?</v>
      </c>
      <c r="CY571" s="4" t="e">
        <f ca="1">_xll.BDH($C$553,"INVENT_TURN","FQ3 2017","FQ3 2017","Currency=INR","Period=FQ","BEST_FPERIOD_OVERRIDE=FQ","FILING_STATUS=OR","EQY_CONSOLIDATED=Y","FA_ADJUSTED=GAAP","Sort=A","Dates=H","DateFormat=P","Fill=—","Direction=H","UseDPDF=Y")</f>
        <v>#NAME?</v>
      </c>
      <c r="CZ571" s="2" t="e">
        <f ca="1">_xll.BDH($C$553,"INVENT_DAYS","FQ3 2017","FQ3 2017","Currency=INR","Period=FQ","BEST_FPERIOD_OVERRIDE=FQ","FILING_STATUS=OR","EQY_CONSOLIDATED=Y","FA_ADJUSTED=GAAP","Sort=A","Dates=H","DateFormat=P","Fill=—","Direction=H","UseDPDF=Y")</f>
        <v>#NAME?</v>
      </c>
      <c r="DA571" s="4" t="e">
        <f ca="1">_xll.BDH($C$553,"ACCOUNTS_PAYABLE_TURNOVER","FQ3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571" s="2" t="e">
        <f ca="1">_xll.BDH($C$553,"ACCOUNTS_PAYABLE_TURNOVER_DAYS","FQ3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571" s="4" t="e">
        <f ca="1">_xll.BDH($C$553,"CASH_CONVERSION_CYCLE","FQ3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571" s="4" t="e">
        <f ca="1">_xll.BDH($C$553,"INV_TO_CASH_DAYS","FQ3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571" s="5" t="e">
        <f ca="1">_xll.BDH($C$553,"BS_INVENTORIES","FQ3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571" s="3" t="e">
        <f ca="1">_xll.BDH($C$553,"INVTRY_RAW_MATERIALS","FQ3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571" s="3" t="e">
        <f ca="1">_xll.BDH($C$553,"INVTRY_IN_PROGRESS","FQ3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571" s="3" t="e">
        <f ca="1">_xll.BDH($C$553,"INVTRY_FINISHED_GOODS","FQ3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571" s="3" t="e">
        <f ca="1">_xll.BDH($C$553,"BS_OTHER_INV","FQ3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572" spans="1:113" x14ac:dyDescent="0.3">
      <c r="A572" s="6"/>
      <c r="B572" s="6"/>
      <c r="C572" s="6"/>
      <c r="D572" s="6"/>
      <c r="E572" t="s">
        <v>81</v>
      </c>
      <c r="F572" t="e">
        <f ca="1">_xll.BDH($C$553,"RETURN_COM_EQY","FQ4 2017","FQ4 2017","Currency=INR","Period=FQ","BEST_FPERIOD_OVERRIDE=FQ","FILING_STATUS=OR","EQY_CONSOLIDATED=Y","FA_ADJUSTED=GAAP","Sort=A","Dates=H","DateFormat=P","Fill=—","Direction=H","UseDPDF=Y")</f>
        <v>#NAME?</v>
      </c>
      <c r="G572" t="e">
        <f ca="1">_xll.BDH($C$553,"RETURN_ON_ASSET","FQ4 2017","FQ4 2017","Currency=INR","Period=FQ","BEST_FPERIOD_OVERRIDE=FQ","FILING_STATUS=OR","EQY_CONSOLIDATED=Y","FA_ADJUSTED=GAAP","Sort=A","Dates=H","DateFormat=P","Fill=—","Direction=H","UseDPDF=Y")</f>
        <v>#NAME?</v>
      </c>
      <c r="H572" t="e">
        <f ca="1">_xll.BDH($C$553,"RETURN_ON_CAP","FQ4 2017","FQ4 2017","Currency=INR","Period=FQ","BEST_FPERIOD_OVERRIDE=FQ","FILING_STATUS=OR","EQY_CONSOLIDATED=Y","FA_ADJUSTED=GAAP","Sort=A","Dates=H","DateFormat=P","Fill=—","Direction=H","UseDPDF=Y")</f>
        <v>#NAME?</v>
      </c>
      <c r="I572" t="e">
        <f ca="1">_xll.BDH($C$553,"RETURN_ON_INV_CAPITAL","FQ4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572" t="e">
        <f ca="1">_xll.BDH($C$553,"EBITDA_TO_REVENUE","FQ4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572" t="e">
        <f ca="1">_xll.BDH($C$553,"OPER_MARGIN","FQ4 2017","FQ4 2017","Currency=INR","Period=FQ","BEST_FPERIOD_OVERRIDE=FQ","FILING_STATUS=OR","EQY_CONSOLIDATED=Y","FA_ADJUSTED=GAAP","Sort=A","Dates=H","DateFormat=P","Fill=—","Direction=H","UseDPDF=Y")</f>
        <v>#NAME?</v>
      </c>
      <c r="L572" t="e">
        <f ca="1">_xll.BDH($C$553,"INCREMENTAL_OPERATING_MARGIN","FQ4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572" t="e">
        <f ca="1">_xll.BDH($C$553,"PRETAX_INC_TO_NET_SALES","FQ4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572" t="e">
        <f ca="1">_xll.BDH($C$553,"INC_BEF_XO_ITEMS_TO_NET_SALES","FQ4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572" t="e">
        <f ca="1">_xll.BDH($C$553,"PROF_MARGIN","FQ4 2017","FQ4 2017","Currency=INR","Period=FQ","BEST_FPERIOD_OVERRIDE=FQ","FILING_STATUS=OR","EQY_CONSOLIDATED=Y","FA_ADJUSTED=GAAP","Sort=A","Dates=H","DateFormat=P","Fill=—","Direction=H","UseDPDF=Y")</f>
        <v>#NAME?</v>
      </c>
      <c r="P572" t="e">
        <f ca="1">_xll.BDH($C$553,"NET_INCOME_TO_COMMON_MARGIN","FQ4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572" t="e">
        <f ca="1">_xll.BDH($C$553,"EFF_TAX_RATE","FQ4 2017","FQ4 2017","Currency=INR","Period=FQ","BEST_FPERIOD_OVERRIDE=FQ","FILING_STATUS=OR","EQY_CONSOLIDATED=Y","FA_ADJUSTED=GAAP","Sort=A","Dates=H","DateFormat=P","Fill=—","Direction=H","UseDPDF=Y")</f>
        <v>#NAME?</v>
      </c>
      <c r="R572" t="e">
        <f ca="1">_xll.BDH($C$553,"DVD_PAYOUT_RATIO","FQ4 2017","FQ4 2017","Currency=INR","Period=FQ","BEST_FPERIOD_OVERRIDE=FQ","FILING_STATUS=OR","EQY_CONSOLIDATED=Y","FA_ADJUSTED=GAAP","Sort=A","Dates=H","DateFormat=P","Fill=—","Direction=H","UseDPDF=Y")</f>
        <v>#NAME?</v>
      </c>
      <c r="S572" t="e">
        <f ca="1">_xll.BDH($C$553,"SUSTAIN_GROWTH_RT","FQ4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572" s="2" t="e">
        <f ca="1">_xll.BDH($C$553,"SALES_GROWTH","FQ4 2017","FQ4 2017","Currency=INR","Period=FQ","BEST_FPERIOD_OVERRIDE=FQ","FILING_STATUS=OR","EQY_CONSOLIDATED=Y","FA_ADJUSTED=GAAP","Sort=A","Dates=H","DateFormat=P","Fill=—","Direction=H","UseDPDF=Y")</f>
        <v>#NAME?</v>
      </c>
      <c r="U572" s="2" t="e">
        <f ca="1">_xll.BDH($C$553,"EBITDA_GROWTH","FQ4 2017","FQ4 2017","Currency=INR","Period=FQ","BEST_FPERIOD_OVERRIDE=FQ","FILING_STATUS=OR","EQY_CONSOLIDATED=Y","FA_ADJUSTED=GAAP","Sort=A","Dates=H","DateFormat=P","Fill=—","Direction=H","UseDPDF=Y")</f>
        <v>#NAME?</v>
      </c>
      <c r="V572" s="2" t="e">
        <f ca="1">_xll.BDH($C$553,"OPER_INC_GROWTH","FQ4 2017","FQ4 2017","Currency=INR","Period=FQ","BEST_FPERIOD_OVERRIDE=FQ","FILING_STATUS=OR","EQY_CONSOLIDATED=Y","FA_ADJUSTED=GAAP","Sort=A","Dates=H","DateFormat=P","Fill=—","Direction=H","UseDPDF=Y")</f>
        <v>#NAME?</v>
      </c>
      <c r="W572" s="2" t="e">
        <f ca="1">_xll.BDH($C$553,"EARN_FOR_COM_GROWTH","FQ4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572" s="2" t="e">
        <f ca="1">_xll.BDH($C$553,"DILUTED_EPS_AFT_XO_ITEMS_GROWTH","FQ4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572" s="2" t="e">
        <f ca="1">_xll.BDH($C$553,"DIVIDEND_PER_SHARE_1_YEAR_GROWTH","FQ4 2017","FQ4 2017","Currency=INR","Period=FQ","BEST_FPERIOD_OVERRIDE=FQ","FILING_STATUS=OR","EQY_CONSOLIDATED=Y","Sort=A","Dates=H","DateFormat=P","Fill=—","Direction=H","UseDPDF=Y")</f>
        <v>#NAME?</v>
      </c>
      <c r="Z572" s="2" t="e">
        <f ca="1">_xll.BDH($C$553,"ACCOUNTS_RECEIVABLE_GROWTH","FQ4 2017","FQ4 2017","Currency=INR","Period=FQ","BEST_FPERIOD_OVERRIDE=FQ","FILING_STATUS=OR","EQY_CONSOLIDATED=Y","Sort=A","Dates=H","DateFormat=P","Fill=—","Direction=H","UseDPDF=Y")</f>
        <v>#NAME?</v>
      </c>
      <c r="AA572" s="2" t="e">
        <f ca="1">_xll.BDH($C$553,"INVENTORY_GROWTH","FQ4 2017","FQ4 2017","Currency=INR","Period=FQ","BEST_FPERIOD_OVERRIDE=FQ","FILING_STATUS=OR","EQY_CONSOLIDATED=Y","Sort=A","Dates=H","DateFormat=P","Fill=—","Direction=H","UseDPDF=Y")</f>
        <v>#NAME?</v>
      </c>
      <c r="AB572" s="2" t="e">
        <f ca="1">_xll.BDH($C$553,"NET_FIXED_ASSETS_1_YEAR_GROWTH","FQ4 2017","FQ4 2017","Currency=INR","Period=FQ","BEST_FPERIOD_OVERRIDE=FQ","FILING_STATUS=OR","EQY_CONSOLIDATED=Y","Sort=A","Dates=H","DateFormat=P","Fill=—","Direction=H","UseDPDF=Y")</f>
        <v>#NAME?</v>
      </c>
      <c r="AC572" s="2" t="e">
        <f ca="1">_xll.BDH($C$553,"ASSET_GROWTH","FQ4 2017","FQ4 2017","Currency=INR","Period=FQ","BEST_FPERIOD_OVERRIDE=FQ","FILING_STATUS=OR","EQY_CONSOLIDATED=Y","Sort=A","Dates=H","DateFormat=P","Fill=—","Direction=H","UseDPDF=Y")</f>
        <v>#NAME?</v>
      </c>
      <c r="AD572" s="2" t="e">
        <f ca="1">_xll.BDH($C$553,"MODIFIED_WORK_CAP_GROWTH","FQ4 2017","FQ4 2017","Currency=INR","Period=FQ","BEST_FPERIOD_OVERRIDE=FQ","FILING_STATUS=OR","EQY_CONSOLIDATED=Y","Sort=A","Dates=H","DateFormat=P","Fill=—","Direction=H","UseDPDF=Y")</f>
        <v>#NAME?</v>
      </c>
      <c r="AE572" s="2" t="e">
        <f ca="1">_xll.BDH($C$553,"WORK_CAP_GROWTH","FQ4 2017","FQ4 2017","Currency=INR","Period=FQ","BEST_FPERIOD_OVERRIDE=FQ","FILING_STATUS=OR","EQY_CONSOLIDATED=Y","Sort=A","Dates=H","DateFormat=P","Fill=—","Direction=H","UseDPDF=Y")</f>
        <v>#NAME?</v>
      </c>
      <c r="AF572" s="2" t="e">
        <f ca="1">_xll.BDH($C$553,"ACCOUNTS_PAYABLE_GROWTH_1YR","FQ4 2017","FQ4 2017","Currency=INR","Period=FQ","BEST_FPERIOD_OVERRIDE=FQ","FILING_STATUS=OR","EQY_CONSOLIDATED=Y","Sort=A","Dates=H","DateFormat=P","Fill=—","Direction=H","UseDPDF=Y")</f>
        <v>#NAME?</v>
      </c>
      <c r="AG572" s="2" t="e">
        <f ca="1">_xll.BDH($C$553,"SHORT_TERM_DEBT_1_YEAR_GROWTH","FQ4 2017","FQ4 2017","Currency=INR","Period=FQ","BEST_FPERIOD_OVERRIDE=FQ","FILING_STATUS=OR","EQY_CONSOLIDATED=Y","Sort=A","Dates=H","DateFormat=P","Fill=—","Direction=H","UseDPDF=Y")</f>
        <v>#NAME?</v>
      </c>
      <c r="AH572" s="2" t="e">
        <f ca="1">_xll.BDH($C$553,"TOTAL_DEBT_1_YEAR_GROWTH","FQ4 2017","FQ4 2017","Currency=INR","Period=FQ","BEST_FPERIOD_OVERRIDE=FQ","FILING_STATUS=OR","EQY_CONSOLIDATED=Y","Sort=A","Dates=H","DateFormat=P","Fill=—","Direction=H","UseDPDF=Y")</f>
        <v>#NAME?</v>
      </c>
      <c r="AI572" s="2" t="e">
        <f ca="1">_xll.BDH($C$553,"TOTAL_EQUITY_1_YEAR_GROWTH","FQ4 2017","FQ4 2017","Currency=INR","Period=FQ","BEST_FPERIOD_OVERRIDE=FQ","FILING_STATUS=OR","EQY_CONSOLIDATED=Y","Sort=A","Dates=H","DateFormat=P","Fill=—","Direction=H","UseDPDF=Y")</f>
        <v>#NAME?</v>
      </c>
      <c r="AJ572" s="2" t="e">
        <f ca="1">_xll.BDH($C$553,"GROWTH_IN_CAP","FQ4 2017","FQ4 2017","Currency=INR","Period=FQ","BEST_FPERIOD_OVERRIDE=FQ","FILING_STATUS=OR","EQY_CONSOLIDATED=Y","Sort=A","Dates=H","DateFormat=P","Fill=—","Direction=H","UseDPDF=Y")</f>
        <v>#NAME?</v>
      </c>
      <c r="AK572" s="2" t="e">
        <f ca="1">_xll.BDH($C$553,"BVPS_GROWTH","FQ4 2017","FQ4 2017","Currency=INR","Period=FQ","BEST_FPERIOD_OVERRIDE=FQ","FILING_STATUS=OR","EQY_CONSOLIDATED=Y","Sort=A","Dates=H","DateFormat=P","Fill=—","Direction=H","UseDPDF=Y")</f>
        <v>#NAME?</v>
      </c>
      <c r="AL572" s="2" t="e">
        <f ca="1">_xll.BDH($C$553,"CASH_FLOW_GROWTH","FQ4 2017","FQ4 2017","Currency=INR","Period=FQ","BEST_FPERIOD_OVERRIDE=FQ","FILING_STATUS=OR","EQY_CONSOLIDATED=Y","Sort=A","Dates=H","DateFormat=P","Fill=—","Direction=H","UseDPDF=Y")</f>
        <v>#NAME?</v>
      </c>
      <c r="AM572" s="2" t="e">
        <f ca="1">_xll.BDH($C$553,"GEO_GROW_NET_SALES","FQ4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572" s="2" t="e">
        <f ca="1">_xll.BDH($C$553,"GEO_GROW_EBITDA","FQ4 2017","FQ4 2017","Currency=INR","Period=FQ","BEST_FPERIOD_OVERRIDE=FQ","FILING_STATUS=OR","EQY_CONSOLIDATED=Y","FA_ADJUSTED=GAAP","Sort=A","Dates=H","DateFormat=P","Fill=—","Direction=H","UseDPDF=Y")</f>
        <v>#NAME?</v>
      </c>
      <c r="AO572" s="2" t="e">
        <f ca="1">_xll.BDH($C$553,"GEO_GROW_OPER_INC","FQ4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572" s="2" t="e">
        <f ca="1">_xll.BDH($C$553,"NET_INCOME_TO_COMMON_5_YR_GROWTH","FQ4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572" s="2" t="e">
        <f ca="1">_xll.BDH($C$553,"5Y_GEO_GROWTH_DILUTED_EPS","FQ4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572" s="2" t="e">
        <f ca="1">_xll.BDH($C$553,"GEO_GROW_DVD_PER_SH","FQ4 2017","FQ4 2017","Currency=INR","Period=FQ","BEST_FPERIOD_OVERRIDE=FQ","FILING_STATUS=OR","EQY_CONSOLIDATED=Y","Sort=A","Dates=H","DateFormat=P","Fill=—","Direction=H","UseDPDF=Y")</f>
        <v>#NAME?</v>
      </c>
      <c r="AS572" s="2" t="e">
        <f ca="1">_xll.BDH($C$553,"ACCOUNTS_RECEIVABLE_5_YR_GROWTH","FQ4 2017","FQ4 2017","Currency=INR","Period=FQ","BEST_FPERIOD_OVERRIDE=FQ","FILING_STATUS=OR","EQY_CONSOLIDATED=Y","Sort=A","Dates=H","DateFormat=P","Fill=—","Direction=H","UseDPDF=Y")</f>
        <v>#NAME?</v>
      </c>
      <c r="AT572" s="2" t="e">
        <f ca="1">_xll.BDH($C$553,"INVENTORY_5_YEAR_GROWTH","FQ4 2017","FQ4 2017","Currency=INR","Period=FQ","BEST_FPERIOD_OVERRIDE=FQ","FILING_STATUS=OR","EQY_CONSOLIDATED=Y","Sort=A","Dates=H","DateFormat=P","Fill=—","Direction=H","UseDPDF=Y")</f>
        <v>#NAME?</v>
      </c>
      <c r="AU572" s="2" t="e">
        <f ca="1">_xll.BDH($C$553,"NET_FIXED_ASSETS_5_YEAR_GROWTH","FQ4 2017","FQ4 2017","Currency=INR","Period=FQ","BEST_FPERIOD_OVERRIDE=FQ","FILING_STATUS=OR","EQY_CONSOLIDATED=Y","Sort=A","Dates=H","DateFormat=P","Fill=—","Direction=H","UseDPDF=Y")</f>
        <v>#NAME?</v>
      </c>
      <c r="AV572" s="2" t="e">
        <f ca="1">_xll.BDH($C$553,"GEO_GROW_TOT_ASSET","FQ4 2017","FQ4 2017","Currency=INR","Period=FQ","BEST_FPERIOD_OVERRIDE=FQ","FILING_STATUS=OR","EQY_CONSOLIDATED=Y","Sort=A","Dates=H","DateFormat=P","Fill=—","Direction=H","UseDPDF=Y")</f>
        <v>#NAME?</v>
      </c>
      <c r="AW572" s="2" t="e">
        <f ca="1">_xll.BDH($C$553,"MODIFIED_WORKING_CPTL_5YR_GRWTH","FQ4 2017","FQ4 2017","Currency=INR","Period=FQ","BEST_FPERIOD_OVERRIDE=FQ","FILING_STATUS=OR","EQY_CONSOLIDATED=Y","Sort=A","Dates=H","DateFormat=P","Fill=—","Direction=H","UseDPDF=Y")</f>
        <v>#NAME?</v>
      </c>
      <c r="AX572" s="2" t="e">
        <f ca="1">_xll.BDH($C$553,"WORKING_CAPITAL_5_YEAR_GROWTH","FQ4 2017","FQ4 2017","Currency=INR","Period=FQ","BEST_FPERIOD_OVERRIDE=FQ","FILING_STATUS=OR","EQY_CONSOLIDATED=Y","Sort=A","Dates=H","DateFormat=P","Fill=—","Direction=H","UseDPDF=Y")</f>
        <v>#NAME?</v>
      </c>
      <c r="AY572" s="2" t="e">
        <f ca="1">_xll.BDH($C$553,"ACCOUNTS_PAYABLE_5_YEAR_GROWTH","FQ4 2017","FQ4 2017","Currency=INR","Period=FQ","BEST_FPERIOD_OVERRIDE=FQ","FILING_STATUS=OR","EQY_CONSOLIDATED=Y","Sort=A","Dates=H","DateFormat=P","Fill=—","Direction=H","UseDPDF=Y")</f>
        <v>#NAME?</v>
      </c>
      <c r="AZ572" s="2" t="e">
        <f ca="1">_xll.BDH($C$553,"SHORT_TERM_DEBT_5_YEAR_GROWTH","FQ4 2017","FQ4 2017","Currency=INR","Period=FQ","BEST_FPERIOD_OVERRIDE=FQ","FILING_STATUS=OR","EQY_CONSOLIDATED=Y","Sort=A","Dates=H","DateFormat=P","Fill=—","Direction=H","UseDPDF=Y")</f>
        <v>#NAME?</v>
      </c>
      <c r="BA572" s="2" t="e">
        <f ca="1">_xll.BDH($C$553,"TOTAL_DEBT_5_YEAR_GROWTH","FQ4 2017","FQ4 2017","Currency=INR","Period=FQ","BEST_FPERIOD_OVERRIDE=FQ","FILING_STATUS=OR","EQY_CONSOLIDATED=Y","Sort=A","Dates=H","DateFormat=P","Fill=—","Direction=H","UseDPDF=Y")</f>
        <v>#NAME?</v>
      </c>
      <c r="BB572" s="2" t="e">
        <f ca="1">_xll.BDH($C$553,"GEO_GROW_TOT_SHRHLDR_EQY","FQ4 2017","FQ4 2017","Currency=INR","Period=FQ","BEST_FPERIOD_OVERRIDE=FQ","FILING_STATUS=OR","EQY_CONSOLIDATED=Y","Sort=A","Dates=H","DateFormat=P","Fill=—","Direction=H","UseDPDF=Y")</f>
        <v>#NAME?</v>
      </c>
      <c r="BC572" s="2" t="e">
        <f ca="1">_xll.BDH($C$553,"TOTAL_CAPITAL_5_YEAR_GROWTH","FQ4 2017","FQ4 2017","Currency=INR","Period=FQ","BEST_FPERIOD_OVERRIDE=FQ","FILING_STATUS=OR","EQY_CONSOLIDATED=Y","Sort=A","Dates=H","DateFormat=P","Fill=—","Direction=H","UseDPDF=Y")</f>
        <v>#NAME?</v>
      </c>
      <c r="BD572" s="2" t="e">
        <f ca="1">_xll.BDH($C$553,"GEO_GROW_BOOK_VAL","FQ4 2017","FQ4 2017","Currency=INR","Period=FQ","BEST_FPERIOD_OVERRIDE=FQ","FILING_STATUS=OR","EQY_CONSOLIDATED=Y","Sort=A","Dates=H","DateFormat=P","Fill=—","Direction=H","UseDPDF=Y")</f>
        <v>#NAME?</v>
      </c>
      <c r="BE572" s="2" t="e">
        <f ca="1">_xll.BDH($C$553,"GEO_GROW_CASH_OPER_ACT","FQ4 2017","FQ4 2017","Currency=INR","Period=FQ","BEST_FPERIOD_OVERRIDE=FQ","FILING_STATUS=OR","EQY_CONSOLIDATED=Y","Sort=A","Dates=H","DateFormat=P","Fill=—","Direction=H","UseDPDF=Y")</f>
        <v>#NAME?</v>
      </c>
      <c r="BF572" s="2" t="e">
        <f ca="1">_xll.BDH($C$553,"REVENUE_SEQUENTIAL_GROWTH","FQ4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572" s="2" t="e">
        <f ca="1">_xll.BDH($C$553,"EBITDA_SEQUENTIAL_GROWTH","FQ4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572" s="2" t="e">
        <f ca="1">_xll.BDH($C$553,"OPERATING_INCOME_SEQ_GROWTH","FQ4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572" s="2" t="e">
        <f ca="1">_xll.BDH($C$553,"NET_INCOME_TO_COMMON_SEQ_GROWTH","FQ4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572" s="2" t="e">
        <f ca="1">_xll.BDH($C$553,"EPS_DILUTED_SEQUENTIAL_GROWTH","FQ4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572" s="2" t="e">
        <f ca="1">_xll.BDH($C$553,"DPS_SEQUENTIAL_GROWTH","FQ4 2017","FQ4 2017","Currency=INR","Period=FQ","BEST_FPERIOD_OVERRIDE=FQ","FILING_STATUS=OR","EQY_CONSOLIDATED=Y","Sort=A","Dates=H","DateFormat=P","Fill=—","Direction=H","UseDPDF=Y")</f>
        <v>#NAME?</v>
      </c>
      <c r="BL572" s="2" t="e">
        <f ca="1">_xll.BDH($C$553,"ACCOUNTS_RECEIVABLE_SEQ_GROWTH","FQ4 2017","FQ4 2017","Currency=INR","Period=FQ","BEST_FPERIOD_OVERRIDE=FQ","FILING_STATUS=OR","EQY_CONSOLIDATED=Y","Sort=A","Dates=H","DateFormat=P","Fill=—","Direction=H","UseDPDF=Y")</f>
        <v>#NAME?</v>
      </c>
      <c r="BM572" s="2" t="e">
        <f ca="1">_xll.BDH($C$553,"INVENTORY_SEQUENTIAL_GROWTH","FQ4 2017","FQ4 2017","Currency=INR","Period=FQ","BEST_FPERIOD_OVERRIDE=FQ","FILING_STATUS=OR","EQY_CONSOLIDATED=Y","Sort=A","Dates=H","DateFormat=P","Fill=—","Direction=H","UseDPDF=Y")</f>
        <v>#NAME?</v>
      </c>
      <c r="BN572" s="2" t="e">
        <f ca="1">_xll.BDH($C$553,"FIXED_ASSETS_SEQUENTIAL_GROWTH","FQ4 2017","FQ4 2017","Currency=INR","Period=FQ","BEST_FPERIOD_OVERRIDE=FQ","FILING_STATUS=OR","EQY_CONSOLIDATED=Y","Sort=A","Dates=H","DateFormat=P","Fill=—","Direction=H","UseDPDF=Y")</f>
        <v>#NAME?</v>
      </c>
      <c r="BO572" s="2" t="e">
        <f ca="1">_xll.BDH($C$553,"TOTAL_ASSETS_SEQUENTIAL_GROWTH","FQ4 2017","FQ4 2017","Currency=INR","Period=FQ","BEST_FPERIOD_OVERRIDE=FQ","FILING_STATUS=OR","EQY_CONSOLIDATED=Y","Sort=A","Dates=H","DateFormat=P","Fill=—","Direction=H","UseDPDF=Y")</f>
        <v>#NAME?</v>
      </c>
      <c r="BP572" s="2" t="e">
        <f ca="1">_xll.BDH($C$553,"MODIFIED_WORKING_CPTL_SEQ_GRWTH","FQ4 2017","FQ4 2017","Currency=INR","Period=FQ","BEST_FPERIOD_OVERRIDE=FQ","FILING_STATUS=OR","EQY_CONSOLIDATED=Y","Sort=A","Dates=H","DateFormat=P","Fill=—","Direction=H","UseDPDF=Y")</f>
        <v>#NAME?</v>
      </c>
      <c r="BQ572" s="2" t="e">
        <f ca="1">_xll.BDH($C$553,"WORKING_CAPITAL_SEQ_GROWTH","FQ4 2017","FQ4 2017","Currency=INR","Period=FQ","BEST_FPERIOD_OVERRIDE=FQ","FILING_STATUS=OR","EQY_CONSOLIDATED=Y","Sort=A","Dates=H","DateFormat=P","Fill=—","Direction=H","UseDPDF=Y")</f>
        <v>#NAME?</v>
      </c>
      <c r="BR572" s="2" t="e">
        <f ca="1">_xll.BDH($C$553,"ACCOUNTS_PAYABLE_SEQ_GROWTH","FQ4 2017","FQ4 2017","Currency=INR","Period=FQ","BEST_FPERIOD_OVERRIDE=FQ","FILING_STATUS=OR","EQY_CONSOLIDATED=Y","Sort=A","Dates=H","DateFormat=P","Fill=—","Direction=H","UseDPDF=Y")</f>
        <v>#NAME?</v>
      </c>
      <c r="BS572" s="2" t="e">
        <f ca="1">_xll.BDH($C$553,"ST_DEBT_SEQUENTIAL_GROWTH","FQ4 2017","FQ4 2017","Currency=INR","Period=FQ","BEST_FPERIOD_OVERRIDE=FQ","FILING_STATUS=OR","EQY_CONSOLIDATED=Y","Sort=A","Dates=H","DateFormat=P","Fill=—","Direction=H","UseDPDF=Y")</f>
        <v>#NAME?</v>
      </c>
      <c r="BT572" s="2" t="e">
        <f ca="1">_xll.BDH($C$553,"TOTAL_DEBT_SEQUENTIAL_GROWTH","FQ4 2017","FQ4 2017","Currency=INR","Period=FQ","BEST_FPERIOD_OVERRIDE=FQ","FILING_STATUS=OR","EQY_CONSOLIDATED=Y","Sort=A","Dates=H","DateFormat=P","Fill=—","Direction=H","UseDPDF=Y")</f>
        <v>#NAME?</v>
      </c>
      <c r="BU572" s="2" t="e">
        <f ca="1">_xll.BDH($C$553,"TOTAL_EQUITY_SEQUENTIAL_GROWTH","FQ4 2017","FQ4 2017","Currency=INR","Period=FQ","BEST_FPERIOD_OVERRIDE=FQ","FILING_STATUS=OR","EQY_CONSOLIDATED=Y","Sort=A","Dates=H","DateFormat=P","Fill=—","Direction=H","UseDPDF=Y")</f>
        <v>#NAME?</v>
      </c>
      <c r="BV572" s="2" t="e">
        <f ca="1">_xll.BDH($C$553,"TOTAL_CAPITAL_SEQUENTIAL_GROWTH","FQ4 2017","FQ4 2017","Currency=INR","Period=FQ","BEST_FPERIOD_OVERRIDE=FQ","FILING_STATUS=OR","EQY_CONSOLIDATED=Y","Sort=A","Dates=H","DateFormat=P","Fill=—","Direction=H","UseDPDF=Y")</f>
        <v>#NAME?</v>
      </c>
      <c r="BW572" s="2" t="e">
        <f ca="1">_xll.BDH($C$553,"BPS_SEQUENTIAL_GROWTH","FQ4 2017","FQ4 2017","Currency=INR","Period=FQ","BEST_FPERIOD_OVERRIDE=FQ","FILING_STATUS=OR","EQY_CONSOLIDATED=Y","Sort=A","Dates=H","DateFormat=P","Fill=—","Direction=H","UseDPDF=Y")</f>
        <v>#NAME?</v>
      </c>
      <c r="BX572" s="2" t="e">
        <f ca="1">_xll.BDH($C$553,"CFO_SEQUENTIAL_GROWTH","FQ4 2017","FQ4 2017","Currency=INR","Period=FQ","BEST_FPERIOD_OVERRIDE=FQ","FILING_STATUS=OR","EQY_CONSOLIDATED=Y","Sort=A","Dates=H","DateFormat=P","Fill=—","Direction=H","UseDPDF=Y")</f>
        <v>#NAME?</v>
      </c>
      <c r="BY572" s="3" t="e">
        <f ca="1">_xll.BDH($C$553,"SHORT_AND_LONG_TERM_DEBT","FQ4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572" s="3" t="e">
        <f ca="1">_xll.BDH($C$553,"BS_ST_BORROW","FQ4 2017","FQ4 2017","Currency=INR","Period=FQ","BEST_FPERIOD_OVERRIDE=FQ","FILING_STATUS=OR","EQY_CONSOLIDATED=Y","SCALING_FORMAT=MLN","Sort=A","Dates=H","DateFormat=P","Fill=—","Direction=H","UseDPDF=Y")</f>
        <v>#NAME?</v>
      </c>
      <c r="CA572" s="3" t="e">
        <f ca="1">_xll.BDH($C$553,"BS_LT_BORROW","FQ4 2017","FQ4 2017","Currency=INR","Period=FQ","BEST_FPERIOD_OVERRIDE=FQ","FILING_STATUS=OR","EQY_CONSOLIDATED=Y","SCALING_FORMAT=MLN","Sort=A","Dates=H","DateFormat=P","Fill=—","Direction=H","UseDPDF=Y")</f>
        <v>#NAME?</v>
      </c>
      <c r="CB572" s="2" t="e">
        <f ca="1">_xll.BDH($C$553,"TOT_DEBT_TO_EBITDA","FQ4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572" s="2" t="e">
        <f ca="1">_xll.BDH($C$553,"NET_DEBT_TO_EBITDA","FQ4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572" s="2" t="e">
        <f ca="1">_xll.BDH($C$553,"TOTAL_DEBT_TO_EBIT","FQ4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572" s="2" t="e">
        <f ca="1">_xll.BDH($C$553,"NET_DEBT_TO_EBIT","FQ4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572" s="2" t="e">
        <f ca="1">_xll.BDH($C$553,"EBITDA_TO_INTEREST_EXPN","FQ4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572" s="2" t="e">
        <f ca="1">_xll.BDH($C$553,"COM_EQY_TO_TOT_ASSET","FQ4 2017","FQ4 2017","Currency=INR","Period=FQ","BEST_FPERIOD_OVERRIDE=FQ","FILING_STATUS=OR","EQY_CONSOLIDATED=Y","Sort=A","Dates=H","DateFormat=P","Fill=—","Direction=H","UseDPDF=Y")</f>
        <v>#NAME?</v>
      </c>
      <c r="CH572" s="2" t="e">
        <f ca="1">_xll.BDH($C$553,"LT_DEBT_TO_TOT_EQY","FQ4 2017","FQ4 2017","Currency=INR","Period=FQ","BEST_FPERIOD_OVERRIDE=FQ","FILING_STATUS=OR","EQY_CONSOLIDATED=Y","Sort=A","Dates=H","DateFormat=P","Fill=—","Direction=H","UseDPDF=Y")</f>
        <v>#NAME?</v>
      </c>
      <c r="CI572" s="2" t="e">
        <f ca="1">_xll.BDH($C$553,"LT_DEBT_TO_TOT_CAP","FQ4 2017","FQ4 2017","Currency=INR","Period=FQ","BEST_FPERIOD_OVERRIDE=FQ","FILING_STATUS=OR","EQY_CONSOLIDATED=Y","Sort=A","Dates=H","DateFormat=P","Fill=—","Direction=H","UseDPDF=Y")</f>
        <v>#NAME?</v>
      </c>
      <c r="CJ572" s="2" t="e">
        <f ca="1">_xll.BDH($C$553,"LT_DEBT_TO_TOT_ASSET","FQ4 2017","FQ4 2017","Currency=INR","Period=FQ","BEST_FPERIOD_OVERRIDE=FQ","FILING_STATUS=OR","EQY_CONSOLIDATED=Y","Sort=A","Dates=H","DateFormat=P","Fill=—","Direction=H","UseDPDF=Y")</f>
        <v>#NAME?</v>
      </c>
      <c r="CK572" s="2" t="e">
        <f ca="1">_xll.BDH($C$553,"TOT_DEBT_TO_TOT_EQY","FQ4 2017","FQ4 2017","Currency=INR","Period=FQ","BEST_FPERIOD_OVERRIDE=FQ","FILING_STATUS=OR","EQY_CONSOLIDATED=Y","Sort=A","Dates=H","DateFormat=P","Fill=—","Direction=H","UseDPDF=Y")</f>
        <v>#NAME?</v>
      </c>
      <c r="CL572" s="2" t="e">
        <f ca="1">_xll.BDH($C$553,"TOT_DEBT_TO_TOT_CAP","FQ4 2017","FQ4 2017","Currency=INR","Period=FQ","BEST_FPERIOD_OVERRIDE=FQ","FILING_STATUS=OR","EQY_CONSOLIDATED=Y","Sort=A","Dates=H","DateFormat=P","Fill=—","Direction=H","UseDPDF=Y")</f>
        <v>#NAME?</v>
      </c>
      <c r="CM572" s="2" t="e">
        <f ca="1">_xll.BDH($C$553,"TOT_DEBT_TO_TOT_ASSET","FQ4 2017","FQ4 2017","Currency=INR","Period=FQ","BEST_FPERIOD_OVERRIDE=FQ","FILING_STATUS=OR","EQY_CONSOLIDATED=Y","Sort=A","Dates=H","DateFormat=P","Fill=—","Direction=H","UseDPDF=Y")</f>
        <v>#NAME?</v>
      </c>
      <c r="CN572" s="2" t="e">
        <f ca="1">_xll.BDH($C$553,"NET_DEBT_TO_SHRHLDR_EQTY","FQ4 2017","FQ4 2017","Currency=INR","Period=FQ","BEST_FPERIOD_OVERRIDE=FQ","FILING_STATUS=OR","EQY_CONSOLIDATED=Y","Sort=A","Dates=H","DateFormat=P","Fill=—","Direction=H","UseDPDF=Y")</f>
        <v>#NAME?</v>
      </c>
      <c r="CO572" s="2" t="e">
        <f ca="1">_xll.BDH($C$553,"NET_DEBT_%_CAPITAL","FQ4 2017","FQ4 2017","Currency=INR","Period=FQ","BEST_FPERIOD_OVERRIDE=FQ","FILING_STATUS=OR","EQY_CONSOLIDATED=Y","Sort=A","Dates=H","DateFormat=P","Fill=—","Direction=H","UseDPDF=Y")</f>
        <v>#NAME?</v>
      </c>
      <c r="CP572" s="3" t="e">
        <f ca="1">_xll.BDH($C$553,"EBITDA","FQ4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572" s="3" t="e">
        <f ca="1">_xll.BDH($C$553,"EBITDA_AFTER_CAPEX","FQ4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572" s="3" t="e">
        <f ca="1">_xll.BDH($C$553,"IS_OPER_INC","FQ4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572" s="2" t="e">
        <f ca="1">_xll.BDH($C$553,"CASH_RATIO","FQ4 2017","FQ4 2017","Currency=INR","Period=FQ","BEST_FPERIOD_OVERRIDE=FQ","FILING_STATUS=OR","EQY_CONSOLIDATED=Y","Sort=A","Dates=H","DateFormat=P","Fill=—","Direction=H","UseDPDF=Y")</f>
        <v>#NAME?</v>
      </c>
      <c r="CT572" s="2" t="e">
        <f ca="1">_xll.BDH($C$553,"CUR_RATIO","FQ4 2017","FQ4 2017","Currency=INR","Period=FQ","BEST_FPERIOD_OVERRIDE=FQ","FILING_STATUS=OR","EQY_CONSOLIDATED=Y","Sort=A","Dates=H","DateFormat=P","Fill=—","Direction=H","UseDPDF=Y")</f>
        <v>#NAME?</v>
      </c>
      <c r="CU572" s="2" t="e">
        <f ca="1">_xll.BDH($C$553,"QUICK_RATIO","FQ4 2017","FQ4 2017","Currency=INR","Period=FQ","BEST_FPERIOD_OVERRIDE=FQ","FILING_STATUS=OR","EQY_CONSOLIDATED=Y","Sort=A","Dates=H","DateFormat=P","Fill=—","Direction=H","UseDPDF=Y")</f>
        <v>#NAME?</v>
      </c>
      <c r="CV572" s="2" t="e">
        <f ca="1">_xll.BDH($C$553,"ALTMAN_Z_SCORE","FQ4 2017","FQ4 2017","Currency=INR","Period=FQ","BEST_FPERIOD_OVERRIDE=FQ","FILING_STATUS=OR","EQY_CONSOLIDATED=Y","Sort=A","Dates=H","DateFormat=P","Fill=—","Direction=H","UseDPDF=Y")</f>
        <v>#NAME?</v>
      </c>
      <c r="CW572" s="4" t="e">
        <f ca="1">_xll.BDH($C$553,"ACCT_RCV_TURN","FQ4 2017","FQ4 2017","Currency=INR","Period=FQ","BEST_FPERIOD_OVERRIDE=FQ","FILING_STATUS=OR","EQY_CONSOLIDATED=Y","FA_ADJUSTED=GAAP","Sort=A","Dates=H","DateFormat=P","Fill=—","Direction=H","UseDPDF=Y")</f>
        <v>#NAME?</v>
      </c>
      <c r="CX572" s="2" t="e">
        <f ca="1">_xll.BDH($C$553,"ACCT_RCV_DAYS","FQ4 2017","FQ4 2017","Currency=INR","Period=FQ","BEST_FPERIOD_OVERRIDE=FQ","FILING_STATUS=OR","EQY_CONSOLIDATED=Y","FA_ADJUSTED=GAAP","Sort=A","Dates=H","DateFormat=P","Fill=—","Direction=H","UseDPDF=Y")</f>
        <v>#NAME?</v>
      </c>
      <c r="CY572" s="4" t="e">
        <f ca="1">_xll.BDH($C$553,"INVENT_TURN","FQ4 2017","FQ4 2017","Currency=INR","Period=FQ","BEST_FPERIOD_OVERRIDE=FQ","FILING_STATUS=OR","EQY_CONSOLIDATED=Y","FA_ADJUSTED=GAAP","Sort=A","Dates=H","DateFormat=P","Fill=—","Direction=H","UseDPDF=Y")</f>
        <v>#NAME?</v>
      </c>
      <c r="CZ572" s="2" t="e">
        <f ca="1">_xll.BDH($C$553,"INVENT_DAYS","FQ4 2017","FQ4 2017","Currency=INR","Period=FQ","BEST_FPERIOD_OVERRIDE=FQ","FILING_STATUS=OR","EQY_CONSOLIDATED=Y","FA_ADJUSTED=GAAP","Sort=A","Dates=H","DateFormat=P","Fill=—","Direction=H","UseDPDF=Y")</f>
        <v>#NAME?</v>
      </c>
      <c r="DA572" s="4" t="e">
        <f ca="1">_xll.BDH($C$553,"ACCOUNTS_PAYABLE_TURNOVER","FQ4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572" s="2" t="e">
        <f ca="1">_xll.BDH($C$553,"ACCOUNTS_PAYABLE_TURNOVER_DAYS","FQ4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572" s="4" t="e">
        <f ca="1">_xll.BDH($C$553,"CASH_CONVERSION_CYCLE","FQ4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572" s="4" t="e">
        <f ca="1">_xll.BDH($C$553,"INV_TO_CASH_DAYS","FQ4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572" s="5" t="e">
        <f ca="1">_xll.BDH($C$553,"BS_INVENTORIES","FQ4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572" s="3" t="e">
        <f ca="1">_xll.BDH($C$553,"INVTRY_RAW_MATERIALS","FQ4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572" s="3" t="e">
        <f ca="1">_xll.BDH($C$553,"INVTRY_IN_PROGRESS","FQ4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572" s="3" t="e">
        <f ca="1">_xll.BDH($C$553,"INVTRY_FINISHED_GOODS","FQ4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572" s="3" t="e">
        <f ca="1">_xll.BDH($C$553,"BS_OTHER_INV","FQ4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573" spans="1:113" x14ac:dyDescent="0.3">
      <c r="A573" s="6"/>
      <c r="B573" s="6"/>
      <c r="C573" s="6"/>
      <c r="D573" s="6" t="s">
        <v>85</v>
      </c>
      <c r="E573" t="s">
        <v>77</v>
      </c>
      <c r="F573" t="e">
        <f ca="1">_xll.BDH($C$553,"RETURN_COM_EQY","FY 2018","FY 2018","Currency=INR","Period=FY","BEST_FPERIOD_OVERRIDE=FY","FILING_STATUS=OR","EQY_CONSOLIDATED=Y","FA_ADJUSTED=GAAP","Sort=A","Dates=H","DateFormat=P","Fill=—","Direction=H","UseDPDF=Y")</f>
        <v>#NAME?</v>
      </c>
      <c r="G573" t="e">
        <f ca="1">_xll.BDH($C$553,"RETURN_ON_ASSET","FY 2018","FY 2018","Currency=INR","Period=FY","BEST_FPERIOD_OVERRIDE=FY","FILING_STATUS=OR","EQY_CONSOLIDATED=Y","FA_ADJUSTED=GAAP","Sort=A","Dates=H","DateFormat=P","Fill=—","Direction=H","UseDPDF=Y")</f>
        <v>#NAME?</v>
      </c>
      <c r="H573" t="e">
        <f ca="1">_xll.BDH($C$553,"RETURN_ON_CAP","FY 2018","FY 2018","Currency=INR","Period=FY","BEST_FPERIOD_OVERRIDE=FY","FILING_STATUS=OR","EQY_CONSOLIDATED=Y","FA_ADJUSTED=GAAP","Sort=A","Dates=H","DateFormat=P","Fill=—","Direction=H","UseDPDF=Y")</f>
        <v>#NAME?</v>
      </c>
      <c r="I573" t="e">
        <f ca="1">_xll.BDH($C$553,"RETURN_ON_INV_CAPITAL","FY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573" t="e">
        <f ca="1">_xll.BDH($C$553,"EBITDA_TO_REVENUE","FY 2018","FY 2018","Currency=INR","Period=FY","BEST_FPERIOD_OVERRIDE=FY","FILING_STATUS=OR","EQY_CONSOLIDATED=Y","FA_ADJUSTED=GAAP","Sort=A","Dates=H","DateFormat=P","Fill=—","Direction=H","UseDPDF=Y")</f>
        <v>#NAME?</v>
      </c>
      <c r="K573" t="e">
        <f ca="1">_xll.BDH($C$553,"OPER_MARGIN","FY 2018","FY 2018","Currency=INR","Period=FY","BEST_FPERIOD_OVERRIDE=FY","FILING_STATUS=OR","EQY_CONSOLIDATED=Y","FA_ADJUSTED=GAAP","Sort=A","Dates=H","DateFormat=P","Fill=—","Direction=H","UseDPDF=Y")</f>
        <v>#NAME?</v>
      </c>
      <c r="L573" t="e">
        <f ca="1">_xll.BDH($C$553,"INCREMENTAL_OPERATING_MARGIN","FY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573" t="e">
        <f ca="1">_xll.BDH($C$553,"PRETAX_INC_TO_NET_SALES","FY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573" t="e">
        <f ca="1">_xll.BDH($C$553,"INC_BEF_XO_ITEMS_TO_NET_SALES","FY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573" t="e">
        <f ca="1">_xll.BDH($C$553,"PROF_MARGIN","FY 2018","FY 2018","Currency=INR","Period=FY","BEST_FPERIOD_OVERRIDE=FY","FILING_STATUS=OR","EQY_CONSOLIDATED=Y","FA_ADJUSTED=GAAP","Sort=A","Dates=H","DateFormat=P","Fill=—","Direction=H","UseDPDF=Y")</f>
        <v>#NAME?</v>
      </c>
      <c r="P573" t="e">
        <f ca="1">_xll.BDH($C$553,"NET_INCOME_TO_COMMON_MARGIN","FY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573" t="e">
        <f ca="1">_xll.BDH($C$553,"EFF_TAX_RATE","FY 2018","FY 2018","Currency=INR","Period=FY","BEST_FPERIOD_OVERRIDE=FY","FILING_STATUS=OR","EQY_CONSOLIDATED=Y","FA_ADJUSTED=GAAP","Sort=A","Dates=H","DateFormat=P","Fill=—","Direction=H","UseDPDF=Y")</f>
        <v>#NAME?</v>
      </c>
      <c r="R573" t="e">
        <f ca="1">_xll.BDH($C$553,"DVD_PAYOUT_RATIO","FY 2018","FY 2018","Currency=INR","Period=FY","BEST_FPERIOD_OVERRIDE=FY","FILING_STATUS=OR","EQY_CONSOLIDATED=Y","FA_ADJUSTED=GAAP","Sort=A","Dates=H","DateFormat=P","Fill=—","Direction=H","UseDPDF=Y")</f>
        <v>#NAME?</v>
      </c>
      <c r="S573" t="e">
        <f ca="1">_xll.BDH($C$553,"SUSTAIN_GROWTH_RT","FY 2018","FY 2018","Currency=INR","Period=FY","BEST_FPERIOD_OVERRIDE=FY","FILING_STATUS=OR","EQY_CONSOLIDATED=Y","FA_ADJUSTED=GAAP","Sort=A","Dates=H","DateFormat=P","Fill=—","Direction=H","UseDPDF=Y")</f>
        <v>#NAME?</v>
      </c>
      <c r="T573" s="2" t="e">
        <f ca="1">_xll.BDH($C$553,"SALES_GROWTH","FY 2018","FY 2018","Currency=INR","Period=FY","BEST_FPERIOD_OVERRIDE=FY","FILING_STATUS=OR","EQY_CONSOLIDATED=Y","FA_ADJUSTED=GAAP","Sort=A","Dates=H","DateFormat=P","Fill=—","Direction=H","UseDPDF=Y")</f>
        <v>#NAME?</v>
      </c>
      <c r="U573" s="2" t="e">
        <f ca="1">_xll.BDH($C$553,"EBITDA_GROWTH","FY 2018","FY 2018","Currency=INR","Period=FY","BEST_FPERIOD_OVERRIDE=FY","FILING_STATUS=OR","EQY_CONSOLIDATED=Y","FA_ADJUSTED=GAAP","Sort=A","Dates=H","DateFormat=P","Fill=—","Direction=H","UseDPDF=Y")</f>
        <v>#NAME?</v>
      </c>
      <c r="V573" s="2" t="e">
        <f ca="1">_xll.BDH($C$553,"OPER_INC_GROWTH","FY 2018","FY 2018","Currency=INR","Period=FY","BEST_FPERIOD_OVERRIDE=FY","FILING_STATUS=OR","EQY_CONSOLIDATED=Y","FA_ADJUSTED=GAAP","Sort=A","Dates=H","DateFormat=P","Fill=—","Direction=H","UseDPDF=Y")</f>
        <v>#NAME?</v>
      </c>
      <c r="W573" s="2" t="e">
        <f ca="1">_xll.BDH($C$553,"EARN_FOR_COM_GROWTH","FY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573" s="2" t="e">
        <f ca="1">_xll.BDH($C$553,"DILUTED_EPS_AFT_XO_ITEMS_GROWTH","FY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573" s="2" t="e">
        <f ca="1">_xll.BDH($C$553,"DIVIDEND_PER_SHARE_1_YEAR_GROWTH","FY 2018","FY 2018","Currency=INR","Period=FY","BEST_FPERIOD_OVERRIDE=FY","FILING_STATUS=OR","EQY_CONSOLIDATED=Y","Sort=A","Dates=H","DateFormat=P","Fill=—","Direction=H","UseDPDF=Y")</f>
        <v>#NAME?</v>
      </c>
      <c r="Z573" s="2" t="e">
        <f ca="1">_xll.BDH($C$553,"ACCOUNTS_RECEIVABLE_GROWTH","FY 2018","FY 2018","Currency=INR","Period=FY","BEST_FPERIOD_OVERRIDE=FY","FILING_STATUS=OR","EQY_CONSOLIDATED=Y","Sort=A","Dates=H","DateFormat=P","Fill=—","Direction=H","UseDPDF=Y")</f>
        <v>#NAME?</v>
      </c>
      <c r="AA573" s="2" t="e">
        <f ca="1">_xll.BDH($C$553,"INVENTORY_GROWTH","FY 2018","FY 2018","Currency=INR","Period=FY","BEST_FPERIOD_OVERRIDE=FY","FILING_STATUS=OR","EQY_CONSOLIDATED=Y","Sort=A","Dates=H","DateFormat=P","Fill=—","Direction=H","UseDPDF=Y")</f>
        <v>#NAME?</v>
      </c>
      <c r="AB573" s="2" t="e">
        <f ca="1">_xll.BDH($C$553,"NET_FIXED_ASSETS_1_YEAR_GROWTH","FY 2018","FY 2018","Currency=INR","Period=FY","BEST_FPERIOD_OVERRIDE=FY","FILING_STATUS=OR","EQY_CONSOLIDATED=Y","Sort=A","Dates=H","DateFormat=P","Fill=—","Direction=H","UseDPDF=Y")</f>
        <v>#NAME?</v>
      </c>
      <c r="AC573" s="2" t="e">
        <f ca="1">_xll.BDH($C$553,"ASSET_GROWTH","FY 2018","FY 2018","Currency=INR","Period=FY","BEST_FPERIOD_OVERRIDE=FY","FILING_STATUS=OR","EQY_CONSOLIDATED=Y","Sort=A","Dates=H","DateFormat=P","Fill=—","Direction=H","UseDPDF=Y")</f>
        <v>#NAME?</v>
      </c>
      <c r="AD573" s="2" t="e">
        <f ca="1">_xll.BDH($C$553,"MODIFIED_WORK_CAP_GROWTH","FY 2018","FY 2018","Currency=INR","Period=FY","BEST_FPERIOD_OVERRIDE=FY","FILING_STATUS=OR","EQY_CONSOLIDATED=Y","Sort=A","Dates=H","DateFormat=P","Fill=—","Direction=H","UseDPDF=Y")</f>
        <v>#NAME?</v>
      </c>
      <c r="AE573" s="2" t="e">
        <f ca="1">_xll.BDH($C$553,"WORK_CAP_GROWTH","FY 2018","FY 2018","Currency=INR","Period=FY","BEST_FPERIOD_OVERRIDE=FY","FILING_STATUS=OR","EQY_CONSOLIDATED=Y","Sort=A","Dates=H","DateFormat=P","Fill=—","Direction=H","UseDPDF=Y")</f>
        <v>#NAME?</v>
      </c>
      <c r="AF573" s="2" t="e">
        <f ca="1">_xll.BDH($C$553,"ACCOUNTS_PAYABLE_GROWTH_1YR","FY 2018","FY 2018","Currency=INR","Period=FY","BEST_FPERIOD_OVERRIDE=FY","FILING_STATUS=OR","EQY_CONSOLIDATED=Y","Sort=A","Dates=H","DateFormat=P","Fill=—","Direction=H","UseDPDF=Y")</f>
        <v>#NAME?</v>
      </c>
      <c r="AG573" s="2" t="e">
        <f ca="1">_xll.BDH($C$553,"SHORT_TERM_DEBT_1_YEAR_GROWTH","FY 2018","FY 2018","Currency=INR","Period=FY","BEST_FPERIOD_OVERRIDE=FY","FILING_STATUS=OR","EQY_CONSOLIDATED=Y","Sort=A","Dates=H","DateFormat=P","Fill=—","Direction=H","UseDPDF=Y")</f>
        <v>#NAME?</v>
      </c>
      <c r="AH573" s="2" t="e">
        <f ca="1">_xll.BDH($C$553,"TOTAL_DEBT_1_YEAR_GROWTH","FY 2018","FY 2018","Currency=INR","Period=FY","BEST_FPERIOD_OVERRIDE=FY","FILING_STATUS=OR","EQY_CONSOLIDATED=Y","Sort=A","Dates=H","DateFormat=P","Fill=—","Direction=H","UseDPDF=Y")</f>
        <v>#NAME?</v>
      </c>
      <c r="AI573" s="2" t="e">
        <f ca="1">_xll.BDH($C$553,"TOTAL_EQUITY_1_YEAR_GROWTH","FY 2018","FY 2018","Currency=INR","Period=FY","BEST_FPERIOD_OVERRIDE=FY","FILING_STATUS=OR","EQY_CONSOLIDATED=Y","Sort=A","Dates=H","DateFormat=P","Fill=—","Direction=H","UseDPDF=Y")</f>
        <v>#NAME?</v>
      </c>
      <c r="AJ573" s="2" t="e">
        <f ca="1">_xll.BDH($C$553,"GROWTH_IN_CAP","FY 2018","FY 2018","Currency=INR","Period=FY","BEST_FPERIOD_OVERRIDE=FY","FILING_STATUS=OR","EQY_CONSOLIDATED=Y","Sort=A","Dates=H","DateFormat=P","Fill=—","Direction=H","UseDPDF=Y")</f>
        <v>#NAME?</v>
      </c>
      <c r="AK573" s="2" t="e">
        <f ca="1">_xll.BDH($C$553,"BVPS_GROWTH","FY 2018","FY 2018","Currency=INR","Period=FY","BEST_FPERIOD_OVERRIDE=FY","FILING_STATUS=OR","EQY_CONSOLIDATED=Y","Sort=A","Dates=H","DateFormat=P","Fill=—","Direction=H","UseDPDF=Y")</f>
        <v>#NAME?</v>
      </c>
      <c r="AL573" s="2" t="e">
        <f ca="1">_xll.BDH($C$553,"CASH_FLOW_GROWTH","FY 2018","FY 2018","Currency=INR","Period=FY","BEST_FPERIOD_OVERRIDE=FY","FILING_STATUS=OR","EQY_CONSOLIDATED=Y","Sort=A","Dates=H","DateFormat=P","Fill=—","Direction=H","UseDPDF=Y")</f>
        <v>#NAME?</v>
      </c>
      <c r="AM573" s="2" t="e">
        <f ca="1">_xll.BDH($C$553,"GEO_GROW_NET_SALES","FY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573" s="2" t="e">
        <f ca="1">_xll.BDH($C$553,"GEO_GROW_EBITDA","FY 2018","FY 2018","Currency=INR","Period=FY","BEST_FPERIOD_OVERRIDE=FY","FILING_STATUS=OR","EQY_CONSOLIDATED=Y","FA_ADJUSTED=GAAP","Sort=A","Dates=H","DateFormat=P","Fill=—","Direction=H","UseDPDF=Y")</f>
        <v>#NAME?</v>
      </c>
      <c r="AO573" s="2" t="e">
        <f ca="1">_xll.BDH($C$553,"GEO_GROW_OPER_INC","FY 2018","FY 2018","Currency=INR","Period=FY","BEST_FPERIOD_OVERRIDE=FY","FILING_STATUS=OR","EQY_CONSOLIDATED=Y","FA_ADJUSTED=GAAP","Sort=A","Dates=H","DateFormat=P","Fill=—","Direction=H","UseDPDF=Y")</f>
        <v>#NAME?</v>
      </c>
      <c r="AP573" s="2" t="e">
        <f ca="1">_xll.BDH($C$553,"NET_INCOME_TO_COMMON_5_YR_GROWTH","FY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573" s="2" t="e">
        <f ca="1">_xll.BDH($C$553,"5Y_GEO_GROWTH_DILUTED_EPS","FY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573" s="2" t="e">
        <f ca="1">_xll.BDH($C$553,"GEO_GROW_DVD_PER_SH","FY 2018","FY 2018","Currency=INR","Period=FY","BEST_FPERIOD_OVERRIDE=FY","FILING_STATUS=OR","EQY_CONSOLIDATED=Y","Sort=A","Dates=H","DateFormat=P","Fill=—","Direction=H","UseDPDF=Y")</f>
        <v>#NAME?</v>
      </c>
      <c r="AS573" s="2" t="e">
        <f ca="1">_xll.BDH($C$553,"ACCOUNTS_RECEIVABLE_5_YR_GROWTH","FY 2018","FY 2018","Currency=INR","Period=FY","BEST_FPERIOD_OVERRIDE=FY","FILING_STATUS=OR","EQY_CONSOLIDATED=Y","Sort=A","Dates=H","DateFormat=P","Fill=—","Direction=H","UseDPDF=Y")</f>
        <v>#NAME?</v>
      </c>
      <c r="AT573" s="2" t="e">
        <f ca="1">_xll.BDH($C$553,"INVENTORY_5_YEAR_GROWTH","FY 2018","FY 2018","Currency=INR","Period=FY","BEST_FPERIOD_OVERRIDE=FY","FILING_STATUS=OR","EQY_CONSOLIDATED=Y","Sort=A","Dates=H","DateFormat=P","Fill=—","Direction=H","UseDPDF=Y")</f>
        <v>#NAME?</v>
      </c>
      <c r="AU573" s="2" t="e">
        <f ca="1">_xll.BDH($C$553,"NET_FIXED_ASSETS_5_YEAR_GROWTH","FY 2018","FY 2018","Currency=INR","Period=FY","BEST_FPERIOD_OVERRIDE=FY","FILING_STATUS=OR","EQY_CONSOLIDATED=Y","Sort=A","Dates=H","DateFormat=P","Fill=—","Direction=H","UseDPDF=Y")</f>
        <v>#NAME?</v>
      </c>
      <c r="AV573" s="2" t="e">
        <f ca="1">_xll.BDH($C$553,"GEO_GROW_TOT_ASSET","FY 2018","FY 2018","Currency=INR","Period=FY","BEST_FPERIOD_OVERRIDE=FY","FILING_STATUS=OR","EQY_CONSOLIDATED=Y","Sort=A","Dates=H","DateFormat=P","Fill=—","Direction=H","UseDPDF=Y")</f>
        <v>#NAME?</v>
      </c>
      <c r="AW573" s="2" t="e">
        <f ca="1">_xll.BDH($C$553,"MODIFIED_WORKING_CPTL_5YR_GRWTH","FY 2018","FY 2018","Currency=INR","Period=FY","BEST_FPERIOD_OVERRIDE=FY","FILING_STATUS=OR","EQY_CONSOLIDATED=Y","Sort=A","Dates=H","DateFormat=P","Fill=—","Direction=H","UseDPDF=Y")</f>
        <v>#NAME?</v>
      </c>
      <c r="AX573" s="2" t="e">
        <f ca="1">_xll.BDH($C$553,"WORKING_CAPITAL_5_YEAR_GROWTH","FY 2018","FY 2018","Currency=INR","Period=FY","BEST_FPERIOD_OVERRIDE=FY","FILING_STATUS=OR","EQY_CONSOLIDATED=Y","Sort=A","Dates=H","DateFormat=P","Fill=—","Direction=H","UseDPDF=Y")</f>
        <v>#NAME?</v>
      </c>
      <c r="AY573" s="2" t="e">
        <f ca="1">_xll.BDH($C$553,"ACCOUNTS_PAYABLE_5_YEAR_GROWTH","FY 2018","FY 2018","Currency=INR","Period=FY","BEST_FPERIOD_OVERRIDE=FY","FILING_STATUS=OR","EQY_CONSOLIDATED=Y","Sort=A","Dates=H","DateFormat=P","Fill=—","Direction=H","UseDPDF=Y")</f>
        <v>#NAME?</v>
      </c>
      <c r="AZ573" s="2" t="e">
        <f ca="1">_xll.BDH($C$553,"SHORT_TERM_DEBT_5_YEAR_GROWTH","FY 2018","FY 2018","Currency=INR","Period=FY","BEST_FPERIOD_OVERRIDE=FY","FILING_STATUS=OR","EQY_CONSOLIDATED=Y","Sort=A","Dates=H","DateFormat=P","Fill=—","Direction=H","UseDPDF=Y")</f>
        <v>#NAME?</v>
      </c>
      <c r="BA573" s="2" t="e">
        <f ca="1">_xll.BDH($C$553,"TOTAL_DEBT_5_YEAR_GROWTH","FY 2018","FY 2018","Currency=INR","Period=FY","BEST_FPERIOD_OVERRIDE=FY","FILING_STATUS=OR","EQY_CONSOLIDATED=Y","Sort=A","Dates=H","DateFormat=P","Fill=—","Direction=H","UseDPDF=Y")</f>
        <v>#NAME?</v>
      </c>
      <c r="BB573" s="2" t="e">
        <f ca="1">_xll.BDH($C$553,"GEO_GROW_TOT_SHRHLDR_EQY","FY 2018","FY 2018","Currency=INR","Period=FY","BEST_FPERIOD_OVERRIDE=FY","FILING_STATUS=OR","EQY_CONSOLIDATED=Y","Sort=A","Dates=H","DateFormat=P","Fill=—","Direction=H","UseDPDF=Y")</f>
        <v>#NAME?</v>
      </c>
      <c r="BC573" s="2" t="e">
        <f ca="1">_xll.BDH($C$553,"TOTAL_CAPITAL_5_YEAR_GROWTH","FY 2018","FY 2018","Currency=INR","Period=FY","BEST_FPERIOD_OVERRIDE=FY","FILING_STATUS=OR","EQY_CONSOLIDATED=Y","Sort=A","Dates=H","DateFormat=P","Fill=—","Direction=H","UseDPDF=Y")</f>
        <v>#NAME?</v>
      </c>
      <c r="BD573" s="2" t="e">
        <f ca="1">_xll.BDH($C$553,"GEO_GROW_BOOK_VAL","FY 2018","FY 2018","Currency=INR","Period=FY","BEST_FPERIOD_OVERRIDE=FY","FILING_STATUS=OR","EQY_CONSOLIDATED=Y","Sort=A","Dates=H","DateFormat=P","Fill=—","Direction=H","UseDPDF=Y")</f>
        <v>#NAME?</v>
      </c>
      <c r="BE573" s="2" t="e">
        <f ca="1">_xll.BDH($C$553,"GEO_GROW_CASH_OPER_ACT","FY 2018","FY 2018","Currency=INR","Period=FY","BEST_FPERIOD_OVERRIDE=FY","FILING_STATUS=OR","EQY_CONSOLIDATED=Y","Sort=A","Dates=H","DateFormat=P","Fill=—","Direction=H","UseDPDF=Y")</f>
        <v>#NAME?</v>
      </c>
      <c r="BF573" s="2" t="e">
        <f ca="1">_xll.BDH($C$553,"REVENUE_SEQUENTIAL_GROWTH","FY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573" s="2" t="e">
        <f ca="1">_xll.BDH($C$553,"EBITDA_SEQUENTIAL_GROWTH","FY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573" s="2" t="e">
        <f ca="1">_xll.BDH($C$553,"OPERATING_INCOME_SEQ_GROWTH","FY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573" s="2" t="e">
        <f ca="1">_xll.BDH($C$553,"NET_INCOME_TO_COMMON_SEQ_GROWTH","FY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573" s="2" t="e">
        <f ca="1">_xll.BDH($C$553,"EPS_DILUTED_SEQUENTIAL_GROWTH","FY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573" s="2" t="e">
        <f ca="1">_xll.BDH($C$553,"DPS_SEQUENTIAL_GROWTH","FY 2018","FY 2018","Currency=INR","Period=FY","BEST_FPERIOD_OVERRIDE=FY","FILING_STATUS=OR","EQY_CONSOLIDATED=Y","Sort=A","Dates=H","DateFormat=P","Fill=—","Direction=H","UseDPDF=Y")</f>
        <v>#NAME?</v>
      </c>
      <c r="BL573" s="2" t="e">
        <f ca="1">_xll.BDH($C$553,"ACCOUNTS_RECEIVABLE_SEQ_GROWTH","FY 2018","FY 2018","Currency=INR","Period=FY","BEST_FPERIOD_OVERRIDE=FY","FILING_STATUS=OR","EQY_CONSOLIDATED=Y","Sort=A","Dates=H","DateFormat=P","Fill=—","Direction=H","UseDPDF=Y")</f>
        <v>#NAME?</v>
      </c>
      <c r="BM573" s="2" t="e">
        <f ca="1">_xll.BDH($C$553,"INVENTORY_SEQUENTIAL_GROWTH","FY 2018","FY 2018","Currency=INR","Period=FY","BEST_FPERIOD_OVERRIDE=FY","FILING_STATUS=OR","EQY_CONSOLIDATED=Y","Sort=A","Dates=H","DateFormat=P","Fill=—","Direction=H","UseDPDF=Y")</f>
        <v>#NAME?</v>
      </c>
      <c r="BN573" s="2" t="e">
        <f ca="1">_xll.BDH($C$553,"FIXED_ASSETS_SEQUENTIAL_GROWTH","FY 2018","FY 2018","Currency=INR","Period=FY","BEST_FPERIOD_OVERRIDE=FY","FILING_STATUS=OR","EQY_CONSOLIDATED=Y","Sort=A","Dates=H","DateFormat=P","Fill=—","Direction=H","UseDPDF=Y")</f>
        <v>#NAME?</v>
      </c>
      <c r="BO573" s="2" t="e">
        <f ca="1">_xll.BDH($C$553,"TOTAL_ASSETS_SEQUENTIAL_GROWTH","FY 2018","FY 2018","Currency=INR","Period=FY","BEST_FPERIOD_OVERRIDE=FY","FILING_STATUS=OR","EQY_CONSOLIDATED=Y","Sort=A","Dates=H","DateFormat=P","Fill=—","Direction=H","UseDPDF=Y")</f>
        <v>#NAME?</v>
      </c>
      <c r="BP573" s="2" t="e">
        <f ca="1">_xll.BDH($C$553,"MODIFIED_WORKING_CPTL_SEQ_GRWTH","FY 2018","FY 2018","Currency=INR","Period=FY","BEST_FPERIOD_OVERRIDE=FY","FILING_STATUS=OR","EQY_CONSOLIDATED=Y","Sort=A","Dates=H","DateFormat=P","Fill=—","Direction=H","UseDPDF=Y")</f>
        <v>#NAME?</v>
      </c>
      <c r="BQ573" s="2" t="e">
        <f ca="1">_xll.BDH($C$553,"WORKING_CAPITAL_SEQ_GROWTH","FY 2018","FY 2018","Currency=INR","Period=FY","BEST_FPERIOD_OVERRIDE=FY","FILING_STATUS=OR","EQY_CONSOLIDATED=Y","Sort=A","Dates=H","DateFormat=P","Fill=—","Direction=H","UseDPDF=Y")</f>
        <v>#NAME?</v>
      </c>
      <c r="BR573" s="2" t="e">
        <f ca="1">_xll.BDH($C$553,"ACCOUNTS_PAYABLE_SEQ_GROWTH","FY 2018","FY 2018","Currency=INR","Period=FY","BEST_FPERIOD_OVERRIDE=FY","FILING_STATUS=OR","EQY_CONSOLIDATED=Y","Sort=A","Dates=H","DateFormat=P","Fill=—","Direction=H","UseDPDF=Y")</f>
        <v>#NAME?</v>
      </c>
      <c r="BS573" s="2" t="e">
        <f ca="1">_xll.BDH($C$553,"ST_DEBT_SEQUENTIAL_GROWTH","FY 2018","FY 2018","Currency=INR","Period=FY","BEST_FPERIOD_OVERRIDE=FY","FILING_STATUS=OR","EQY_CONSOLIDATED=Y","Sort=A","Dates=H","DateFormat=P","Fill=—","Direction=H","UseDPDF=Y")</f>
        <v>#NAME?</v>
      </c>
      <c r="BT573" s="2" t="e">
        <f ca="1">_xll.BDH($C$553,"TOTAL_DEBT_SEQUENTIAL_GROWTH","FY 2018","FY 2018","Currency=INR","Period=FY","BEST_FPERIOD_OVERRIDE=FY","FILING_STATUS=OR","EQY_CONSOLIDATED=Y","Sort=A","Dates=H","DateFormat=P","Fill=—","Direction=H","UseDPDF=Y")</f>
        <v>#NAME?</v>
      </c>
      <c r="BU573" s="2" t="e">
        <f ca="1">_xll.BDH($C$553,"TOTAL_EQUITY_SEQUENTIAL_GROWTH","FY 2018","FY 2018","Currency=INR","Period=FY","BEST_FPERIOD_OVERRIDE=FY","FILING_STATUS=OR","EQY_CONSOLIDATED=Y","Sort=A","Dates=H","DateFormat=P","Fill=—","Direction=H","UseDPDF=Y")</f>
        <v>#NAME?</v>
      </c>
      <c r="BV573" s="2" t="e">
        <f ca="1">_xll.BDH($C$553,"TOTAL_CAPITAL_SEQUENTIAL_GROWTH","FY 2018","FY 2018","Currency=INR","Period=FY","BEST_FPERIOD_OVERRIDE=FY","FILING_STATUS=OR","EQY_CONSOLIDATED=Y","Sort=A","Dates=H","DateFormat=P","Fill=—","Direction=H","UseDPDF=Y")</f>
        <v>#NAME?</v>
      </c>
      <c r="BW573" s="2" t="e">
        <f ca="1">_xll.BDH($C$553,"BPS_SEQUENTIAL_GROWTH","FY 2018","FY 2018","Currency=INR","Period=FY","BEST_FPERIOD_OVERRIDE=FY","FILING_STATUS=OR","EQY_CONSOLIDATED=Y","Sort=A","Dates=H","DateFormat=P","Fill=—","Direction=H","UseDPDF=Y")</f>
        <v>#NAME?</v>
      </c>
      <c r="BX573" s="2" t="e">
        <f ca="1">_xll.BDH($C$553,"CFO_SEQUENTIAL_GROWTH","FY 2018","FY 2018","Currency=INR","Period=FY","BEST_FPERIOD_OVERRIDE=FY","FILING_STATUS=OR","EQY_CONSOLIDATED=Y","Sort=A","Dates=H","DateFormat=P","Fill=—","Direction=H","UseDPDF=Y")</f>
        <v>#NAME?</v>
      </c>
      <c r="BY573" s="3" t="e">
        <f ca="1">_xll.BDH($C$553,"SHORT_AND_LONG_TERM_DEBT","FY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573" s="3" t="e">
        <f ca="1">_xll.BDH($C$553,"BS_ST_BORROW","FY 2018","FY 2018","Currency=INR","Period=FY","BEST_FPERIOD_OVERRIDE=FY","FILING_STATUS=OR","EQY_CONSOLIDATED=Y","SCALING_FORMAT=MLN","Sort=A","Dates=H","DateFormat=P","Fill=—","Direction=H","UseDPDF=Y")</f>
        <v>#NAME?</v>
      </c>
      <c r="CA573" s="3" t="e">
        <f ca="1">_xll.BDH($C$553,"BS_LT_BORROW","FY 2018","FY 2018","Currency=INR","Period=FY","BEST_FPERIOD_OVERRIDE=FY","FILING_STATUS=OR","EQY_CONSOLIDATED=Y","SCALING_FORMAT=MLN","Sort=A","Dates=H","DateFormat=P","Fill=—","Direction=H","UseDPDF=Y")</f>
        <v>#NAME?</v>
      </c>
      <c r="CB573" s="2" t="e">
        <f ca="1">_xll.BDH($C$553,"TOT_DEBT_TO_EBITDA","FY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573" s="2" t="e">
        <f ca="1">_xll.BDH($C$553,"NET_DEBT_TO_EBITDA","FY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573" s="2" t="e">
        <f ca="1">_xll.BDH($C$553,"TOTAL_DEBT_TO_EBIT","FY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573" s="2" t="e">
        <f ca="1">_xll.BDH($C$553,"NET_DEBT_TO_EBIT","FY 2018","FY 2018","Currency=INR","Period=FY","BEST_FPERIOD_OVERRIDE=FY","FILING_STATUS=OR","EQY_CONSOLIDATED=Y","FA_ADJUSTED=GAAP","Sort=A","Dates=H","DateFormat=P","Fill=—","Direction=H","UseDPDF=Y")</f>
        <v>#NAME?</v>
      </c>
      <c r="CF573" s="2" t="e">
        <f ca="1">_xll.BDH($C$553,"EBITDA_TO_INTEREST_EXPN","FY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573" s="2" t="e">
        <f ca="1">_xll.BDH($C$553,"COM_EQY_TO_TOT_ASSET","FY 2018","FY 2018","Currency=INR","Period=FY","BEST_FPERIOD_OVERRIDE=FY","FILING_STATUS=OR","EQY_CONSOLIDATED=Y","Sort=A","Dates=H","DateFormat=P","Fill=—","Direction=H","UseDPDF=Y")</f>
        <v>#NAME?</v>
      </c>
      <c r="CH573" s="2" t="e">
        <f ca="1">_xll.BDH($C$553,"LT_DEBT_TO_TOT_EQY","FY 2018","FY 2018","Currency=INR","Period=FY","BEST_FPERIOD_OVERRIDE=FY","FILING_STATUS=OR","EQY_CONSOLIDATED=Y","Sort=A","Dates=H","DateFormat=P","Fill=—","Direction=H","UseDPDF=Y")</f>
        <v>#NAME?</v>
      </c>
      <c r="CI573" s="2" t="e">
        <f ca="1">_xll.BDH($C$553,"LT_DEBT_TO_TOT_CAP","FY 2018","FY 2018","Currency=INR","Period=FY","BEST_FPERIOD_OVERRIDE=FY","FILING_STATUS=OR","EQY_CONSOLIDATED=Y","Sort=A","Dates=H","DateFormat=P","Fill=—","Direction=H","UseDPDF=Y")</f>
        <v>#NAME?</v>
      </c>
      <c r="CJ573" s="2" t="e">
        <f ca="1">_xll.BDH($C$553,"LT_DEBT_TO_TOT_ASSET","FY 2018","FY 2018","Currency=INR","Period=FY","BEST_FPERIOD_OVERRIDE=FY","FILING_STATUS=OR","EQY_CONSOLIDATED=Y","Sort=A","Dates=H","DateFormat=P","Fill=—","Direction=H","UseDPDF=Y")</f>
        <v>#NAME?</v>
      </c>
      <c r="CK573" s="2" t="e">
        <f ca="1">_xll.BDH($C$553,"TOT_DEBT_TO_TOT_EQY","FY 2018","FY 2018","Currency=INR","Period=FY","BEST_FPERIOD_OVERRIDE=FY","FILING_STATUS=OR","EQY_CONSOLIDATED=Y","Sort=A","Dates=H","DateFormat=P","Fill=—","Direction=H","UseDPDF=Y")</f>
        <v>#NAME?</v>
      </c>
      <c r="CL573" s="2" t="e">
        <f ca="1">_xll.BDH($C$553,"TOT_DEBT_TO_TOT_CAP","FY 2018","FY 2018","Currency=INR","Period=FY","BEST_FPERIOD_OVERRIDE=FY","FILING_STATUS=OR","EQY_CONSOLIDATED=Y","Sort=A","Dates=H","DateFormat=P","Fill=—","Direction=H","UseDPDF=Y")</f>
        <v>#NAME?</v>
      </c>
      <c r="CM573" s="2" t="e">
        <f ca="1">_xll.BDH($C$553,"TOT_DEBT_TO_TOT_ASSET","FY 2018","FY 2018","Currency=INR","Period=FY","BEST_FPERIOD_OVERRIDE=FY","FILING_STATUS=OR","EQY_CONSOLIDATED=Y","Sort=A","Dates=H","DateFormat=P","Fill=—","Direction=H","UseDPDF=Y")</f>
        <v>#NAME?</v>
      </c>
      <c r="CN573" s="2" t="e">
        <f ca="1">_xll.BDH($C$553,"NET_DEBT_TO_SHRHLDR_EQTY","FY 2018","FY 2018","Currency=INR","Period=FY","BEST_FPERIOD_OVERRIDE=FY","FILING_STATUS=OR","EQY_CONSOLIDATED=Y","Sort=A","Dates=H","DateFormat=P","Fill=—","Direction=H","UseDPDF=Y")</f>
        <v>#NAME?</v>
      </c>
      <c r="CO573" s="2" t="e">
        <f ca="1">_xll.BDH($C$553,"NET_DEBT_%_CAPITAL","FY 2018","FY 2018","Currency=INR","Period=FY","BEST_FPERIOD_OVERRIDE=FY","FILING_STATUS=OR","EQY_CONSOLIDATED=Y","Sort=A","Dates=H","DateFormat=P","Fill=—","Direction=H","UseDPDF=Y")</f>
        <v>#NAME?</v>
      </c>
      <c r="CP573" s="3" t="e">
        <f ca="1">_xll.BDH($C$553,"EBITDA","FY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573" s="3" t="e">
        <f ca="1">_xll.BDH($C$553,"EBITDA_AFTER_CAPEX","FY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573" s="3" t="e">
        <f ca="1">_xll.BDH($C$553,"IS_OPER_INC","FY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573" s="2" t="e">
        <f ca="1">_xll.BDH($C$553,"CASH_RATIO","FY 2018","FY 2018","Currency=INR","Period=FY","BEST_FPERIOD_OVERRIDE=FY","FILING_STATUS=OR","EQY_CONSOLIDATED=Y","Sort=A","Dates=H","DateFormat=P","Fill=—","Direction=H","UseDPDF=Y")</f>
        <v>#NAME?</v>
      </c>
      <c r="CT573" s="2" t="e">
        <f ca="1">_xll.BDH($C$553,"CUR_RATIO","FY 2018","FY 2018","Currency=INR","Period=FY","BEST_FPERIOD_OVERRIDE=FY","FILING_STATUS=OR","EQY_CONSOLIDATED=Y","Sort=A","Dates=H","DateFormat=P","Fill=—","Direction=H","UseDPDF=Y")</f>
        <v>#NAME?</v>
      </c>
      <c r="CU573" s="2" t="e">
        <f ca="1">_xll.BDH($C$553,"QUICK_RATIO","FY 2018","FY 2018","Currency=INR","Period=FY","BEST_FPERIOD_OVERRIDE=FY","FILING_STATUS=OR","EQY_CONSOLIDATED=Y","Sort=A","Dates=H","DateFormat=P","Fill=—","Direction=H","UseDPDF=Y")</f>
        <v>#NAME?</v>
      </c>
      <c r="CV573" s="2" t="e">
        <f ca="1">_xll.BDH($C$553,"ALTMAN_Z_SCORE","FY 2018","FY 2018","Currency=INR","Period=FY","BEST_FPERIOD_OVERRIDE=FY","FILING_STATUS=OR","EQY_CONSOLIDATED=Y","Sort=A","Dates=H","DateFormat=P","Fill=—","Direction=H","UseDPDF=Y")</f>
        <v>#NAME?</v>
      </c>
      <c r="CW573" s="4" t="e">
        <f ca="1">_xll.BDH($C$553,"ACCT_RCV_TURN","FY 2018","FY 2018","Currency=INR","Period=FY","BEST_FPERIOD_OVERRIDE=FY","FILING_STATUS=OR","EQY_CONSOLIDATED=Y","FA_ADJUSTED=GAAP","Sort=A","Dates=H","DateFormat=P","Fill=—","Direction=H","UseDPDF=Y")</f>
        <v>#NAME?</v>
      </c>
      <c r="CX573" s="2" t="e">
        <f ca="1">_xll.BDH($C$553,"ACCT_RCV_DAYS","FY 2018","FY 2018","Currency=INR","Period=FY","BEST_FPERIOD_OVERRIDE=FY","FILING_STATUS=OR","EQY_CONSOLIDATED=Y","FA_ADJUSTED=GAAP","Sort=A","Dates=H","DateFormat=P","Fill=—","Direction=H","UseDPDF=Y")</f>
        <v>#NAME?</v>
      </c>
      <c r="CY573" s="4" t="e">
        <f ca="1">_xll.BDH($C$553,"INVENT_TURN","FY 2018","FY 2018","Currency=INR","Period=FY","BEST_FPERIOD_OVERRIDE=FY","FILING_STATUS=OR","EQY_CONSOLIDATED=Y","FA_ADJUSTED=GAAP","Sort=A","Dates=H","DateFormat=P","Fill=—","Direction=H","UseDPDF=Y")</f>
        <v>#NAME?</v>
      </c>
      <c r="CZ573" s="2" t="e">
        <f ca="1">_xll.BDH($C$553,"INVENT_DAYS","FY 2018","FY 2018","Currency=INR","Period=FY","BEST_FPERIOD_OVERRIDE=FY","FILING_STATUS=OR","EQY_CONSOLIDATED=Y","FA_ADJUSTED=GAAP","Sort=A","Dates=H","DateFormat=P","Fill=—","Direction=H","UseDPDF=Y")</f>
        <v>#NAME?</v>
      </c>
      <c r="DA573" s="4" t="e">
        <f ca="1">_xll.BDH($C$553,"ACCOUNTS_PAYABLE_TURNOVER","FY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573" s="2" t="e">
        <f ca="1">_xll.BDH($C$553,"ACCOUNTS_PAYABLE_TURNOVER_DAYS","FY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573" s="4" t="e">
        <f ca="1">_xll.BDH($C$553,"CASH_CONVERSION_CYCLE","FY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573" s="4" t="e">
        <f ca="1">_xll.BDH($C$553,"INV_TO_CASH_DAYS","FY 2018","FY 2018","Currency=INR","Period=FY","BEST_FPERIOD_OVERRIDE=FY","FILING_STATUS=OR","EQY_CONSOLIDATED=Y","FA_ADJUSTED=GAAP","Sort=A","Dates=H","DateFormat=P","Fill=—","Direction=H","UseDPDF=Y")</f>
        <v>#NAME?</v>
      </c>
      <c r="DE573" s="5" t="e">
        <f ca="1">_xll.BDH($C$553,"BS_INVENTORIES","FY 2018","FY 2018","Currency=INR","Period=FY","BEST_FPERIOD_OVERRIDE=FY","FILING_STATUS=OR","EQY_CONSOLIDATED=Y","SCALING_FORMAT=MLN","Sort=A","Dates=H","DateFormat=P","Fill=—","Direction=H","UseDPDF=Y")</f>
        <v>#NAME?</v>
      </c>
      <c r="DF573" s="3" t="e">
        <f ca="1">_xll.BDH($C$553,"INVTRY_RAW_MATERIALS","FY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573" s="3" t="e">
        <f ca="1">_xll.BDH($C$553,"INVTRY_IN_PROGRESS","FY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573" s="3" t="e">
        <f ca="1">_xll.BDH($C$553,"INVTRY_FINISHED_GOODS","FY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573" s="3" t="e">
        <f ca="1">_xll.BDH($C$553,"BS_OTHER_INV","FY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574" spans="1:113" x14ac:dyDescent="0.3">
      <c r="A574" s="6"/>
      <c r="B574" s="6"/>
      <c r="C574" s="6"/>
      <c r="D574" s="6"/>
      <c r="E574" t="s">
        <v>78</v>
      </c>
      <c r="F574" t="e">
        <f ca="1">_xll.BDH($C$553,"RETURN_COM_EQY","FQ1 2018","FQ1 2018","Currency=INR","Period=FQ","BEST_FPERIOD_OVERRIDE=FQ","FILING_STATUS=OR","EQY_CONSOLIDATED=Y","FA_ADJUSTED=GAAP","Sort=A","Dates=H","DateFormat=P","Fill=—","Direction=H","UseDPDF=Y")</f>
        <v>#NAME?</v>
      </c>
      <c r="G574" t="e">
        <f ca="1">_xll.BDH($C$553,"RETURN_ON_ASSET","FQ1 2018","FQ1 2018","Currency=INR","Period=FQ","BEST_FPERIOD_OVERRIDE=FQ","FILING_STATUS=OR","EQY_CONSOLIDATED=Y","FA_ADJUSTED=GAAP","Sort=A","Dates=H","DateFormat=P","Fill=—","Direction=H","UseDPDF=Y")</f>
        <v>#NAME?</v>
      </c>
      <c r="H574" t="e">
        <f ca="1">_xll.BDH($C$553,"RETURN_ON_CAP","FQ1 2018","FQ1 2018","Currency=INR","Period=FQ","BEST_FPERIOD_OVERRIDE=FQ","FILING_STATUS=OR","EQY_CONSOLIDATED=Y","FA_ADJUSTED=GAAP","Sort=A","Dates=H","DateFormat=P","Fill=—","Direction=H","UseDPDF=Y")</f>
        <v>#NAME?</v>
      </c>
      <c r="I574" t="e">
        <f ca="1">_xll.BDH($C$553,"RETURN_ON_INV_CAPITAL","FQ1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574" t="e">
        <f ca="1">_xll.BDH($C$553,"EBITDA_TO_REVENUE","FQ1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574" t="e">
        <f ca="1">_xll.BDH($C$553,"OPER_MARGIN","FQ1 2018","FQ1 2018","Currency=INR","Period=FQ","BEST_FPERIOD_OVERRIDE=FQ","FILING_STATUS=OR","EQY_CONSOLIDATED=Y","FA_ADJUSTED=GAAP","Sort=A","Dates=H","DateFormat=P","Fill=—","Direction=H","UseDPDF=Y")</f>
        <v>#NAME?</v>
      </c>
      <c r="L574" t="e">
        <f ca="1">_xll.BDH($C$553,"INCREMENTAL_OPERATING_MARGIN","FQ1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574" t="e">
        <f ca="1">_xll.BDH($C$553,"PRETAX_INC_TO_NET_SALES","FQ1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574" t="e">
        <f ca="1">_xll.BDH($C$553,"INC_BEF_XO_ITEMS_TO_NET_SALES","FQ1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574" t="e">
        <f ca="1">_xll.BDH($C$553,"PROF_MARGIN","FQ1 2018","FQ1 2018","Currency=INR","Period=FQ","BEST_FPERIOD_OVERRIDE=FQ","FILING_STATUS=OR","EQY_CONSOLIDATED=Y","FA_ADJUSTED=GAAP","Sort=A","Dates=H","DateFormat=P","Fill=—","Direction=H","UseDPDF=Y")</f>
        <v>#NAME?</v>
      </c>
      <c r="P574" t="e">
        <f ca="1">_xll.BDH($C$553,"NET_INCOME_TO_COMMON_MARGIN","FQ1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574" t="e">
        <f ca="1">_xll.BDH($C$553,"EFF_TAX_RATE","FQ1 2018","FQ1 2018","Currency=INR","Period=FQ","BEST_FPERIOD_OVERRIDE=FQ","FILING_STATUS=OR","EQY_CONSOLIDATED=Y","FA_ADJUSTED=GAAP","Sort=A","Dates=H","DateFormat=P","Fill=—","Direction=H","UseDPDF=Y")</f>
        <v>#NAME?</v>
      </c>
      <c r="R574" t="e">
        <f ca="1">_xll.BDH($C$553,"DVD_PAYOUT_RATIO","FQ1 2018","FQ1 2018","Currency=INR","Period=FQ","BEST_FPERIOD_OVERRIDE=FQ","FILING_STATUS=OR","EQY_CONSOLIDATED=Y","FA_ADJUSTED=GAAP","Sort=A","Dates=H","DateFormat=P","Fill=—","Direction=H","UseDPDF=Y")</f>
        <v>#NAME?</v>
      </c>
      <c r="S574" t="e">
        <f ca="1">_xll.BDH($C$553,"SUSTAIN_GROWTH_RT","FQ1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574" s="2" t="e">
        <f ca="1">_xll.BDH($C$553,"SALES_GROWTH","FQ1 2018","FQ1 2018","Currency=INR","Period=FQ","BEST_FPERIOD_OVERRIDE=FQ","FILING_STATUS=OR","EQY_CONSOLIDATED=Y","FA_ADJUSTED=GAAP","Sort=A","Dates=H","DateFormat=P","Fill=—","Direction=H","UseDPDF=Y")</f>
        <v>#NAME?</v>
      </c>
      <c r="U574" s="2" t="e">
        <f ca="1">_xll.BDH($C$553,"EBITDA_GROWTH","FQ1 2018","FQ1 2018","Currency=INR","Period=FQ","BEST_FPERIOD_OVERRIDE=FQ","FILING_STATUS=OR","EQY_CONSOLIDATED=Y","FA_ADJUSTED=GAAP","Sort=A","Dates=H","DateFormat=P","Fill=—","Direction=H","UseDPDF=Y")</f>
        <v>#NAME?</v>
      </c>
      <c r="V574" s="2" t="e">
        <f ca="1">_xll.BDH($C$553,"OPER_INC_GROWTH","FQ1 2018","FQ1 2018","Currency=INR","Period=FQ","BEST_FPERIOD_OVERRIDE=FQ","FILING_STATUS=OR","EQY_CONSOLIDATED=Y","FA_ADJUSTED=GAAP","Sort=A","Dates=H","DateFormat=P","Fill=—","Direction=H","UseDPDF=Y")</f>
        <v>#NAME?</v>
      </c>
      <c r="W574" s="2" t="e">
        <f ca="1">_xll.BDH($C$553,"EARN_FOR_COM_GROWTH","FQ1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574" s="2" t="e">
        <f ca="1">_xll.BDH($C$553,"DILUTED_EPS_AFT_XO_ITEMS_GROWTH","FQ1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574" s="2" t="e">
        <f ca="1">_xll.BDH($C$553,"DIVIDEND_PER_SHARE_1_YEAR_GROWTH","FQ1 2018","FQ1 2018","Currency=INR","Period=FQ","BEST_FPERIOD_OVERRIDE=FQ","FILING_STATUS=OR","EQY_CONSOLIDATED=Y","Sort=A","Dates=H","DateFormat=P","Fill=—","Direction=H","UseDPDF=Y")</f>
        <v>#NAME?</v>
      </c>
      <c r="Z574" s="2" t="e">
        <f ca="1">_xll.BDH($C$553,"ACCOUNTS_RECEIVABLE_GROWTH","FQ1 2018","FQ1 2018","Currency=INR","Period=FQ","BEST_FPERIOD_OVERRIDE=FQ","FILING_STATUS=OR","EQY_CONSOLIDATED=Y","Sort=A","Dates=H","DateFormat=P","Fill=—","Direction=H","UseDPDF=Y")</f>
        <v>#NAME?</v>
      </c>
      <c r="AA574" s="2" t="e">
        <f ca="1">_xll.BDH($C$553,"INVENTORY_GROWTH","FQ1 2018","FQ1 2018","Currency=INR","Period=FQ","BEST_FPERIOD_OVERRIDE=FQ","FILING_STATUS=OR","EQY_CONSOLIDATED=Y","Sort=A","Dates=H","DateFormat=P","Fill=—","Direction=H","UseDPDF=Y")</f>
        <v>#NAME?</v>
      </c>
      <c r="AB574" s="2" t="e">
        <f ca="1">_xll.BDH($C$553,"NET_FIXED_ASSETS_1_YEAR_GROWTH","FQ1 2018","FQ1 2018","Currency=INR","Period=FQ","BEST_FPERIOD_OVERRIDE=FQ","FILING_STATUS=OR","EQY_CONSOLIDATED=Y","Sort=A","Dates=H","DateFormat=P","Fill=—","Direction=H","UseDPDF=Y")</f>
        <v>#NAME?</v>
      </c>
      <c r="AC574" s="2" t="e">
        <f ca="1">_xll.BDH($C$553,"ASSET_GROWTH","FQ1 2018","FQ1 2018","Currency=INR","Period=FQ","BEST_FPERIOD_OVERRIDE=FQ","FILING_STATUS=OR","EQY_CONSOLIDATED=Y","Sort=A","Dates=H","DateFormat=P","Fill=—","Direction=H","UseDPDF=Y")</f>
        <v>#NAME?</v>
      </c>
      <c r="AD574" s="2" t="e">
        <f ca="1">_xll.BDH($C$553,"MODIFIED_WORK_CAP_GROWTH","FQ1 2018","FQ1 2018","Currency=INR","Period=FQ","BEST_FPERIOD_OVERRIDE=FQ","FILING_STATUS=OR","EQY_CONSOLIDATED=Y","Sort=A","Dates=H","DateFormat=P","Fill=—","Direction=H","UseDPDF=Y")</f>
        <v>#NAME?</v>
      </c>
      <c r="AE574" s="2" t="e">
        <f ca="1">_xll.BDH($C$553,"WORK_CAP_GROWTH","FQ1 2018","FQ1 2018","Currency=INR","Period=FQ","BEST_FPERIOD_OVERRIDE=FQ","FILING_STATUS=OR","EQY_CONSOLIDATED=Y","Sort=A","Dates=H","DateFormat=P","Fill=—","Direction=H","UseDPDF=Y")</f>
        <v>#NAME?</v>
      </c>
      <c r="AF574" s="2" t="e">
        <f ca="1">_xll.BDH($C$553,"ACCOUNTS_PAYABLE_GROWTH_1YR","FQ1 2018","FQ1 2018","Currency=INR","Period=FQ","BEST_FPERIOD_OVERRIDE=FQ","FILING_STATUS=OR","EQY_CONSOLIDATED=Y","Sort=A","Dates=H","DateFormat=P","Fill=—","Direction=H","UseDPDF=Y")</f>
        <v>#NAME?</v>
      </c>
      <c r="AG574" s="2" t="e">
        <f ca="1">_xll.BDH($C$553,"SHORT_TERM_DEBT_1_YEAR_GROWTH","FQ1 2018","FQ1 2018","Currency=INR","Period=FQ","BEST_FPERIOD_OVERRIDE=FQ","FILING_STATUS=OR","EQY_CONSOLIDATED=Y","Sort=A","Dates=H","DateFormat=P","Fill=—","Direction=H","UseDPDF=Y")</f>
        <v>#NAME?</v>
      </c>
      <c r="AH574" s="2" t="e">
        <f ca="1">_xll.BDH($C$553,"TOTAL_DEBT_1_YEAR_GROWTH","FQ1 2018","FQ1 2018","Currency=INR","Period=FQ","BEST_FPERIOD_OVERRIDE=FQ","FILING_STATUS=OR","EQY_CONSOLIDATED=Y","Sort=A","Dates=H","DateFormat=P","Fill=—","Direction=H","UseDPDF=Y")</f>
        <v>#NAME?</v>
      </c>
      <c r="AI574" s="2" t="e">
        <f ca="1">_xll.BDH($C$553,"TOTAL_EQUITY_1_YEAR_GROWTH","FQ1 2018","FQ1 2018","Currency=INR","Period=FQ","BEST_FPERIOD_OVERRIDE=FQ","FILING_STATUS=OR","EQY_CONSOLIDATED=Y","Sort=A","Dates=H","DateFormat=P","Fill=—","Direction=H","UseDPDF=Y")</f>
        <v>#NAME?</v>
      </c>
      <c r="AJ574" s="2" t="e">
        <f ca="1">_xll.BDH($C$553,"GROWTH_IN_CAP","FQ1 2018","FQ1 2018","Currency=INR","Period=FQ","BEST_FPERIOD_OVERRIDE=FQ","FILING_STATUS=OR","EQY_CONSOLIDATED=Y","Sort=A","Dates=H","DateFormat=P","Fill=—","Direction=H","UseDPDF=Y")</f>
        <v>#NAME?</v>
      </c>
      <c r="AK574" s="2" t="e">
        <f ca="1">_xll.BDH($C$553,"BVPS_GROWTH","FQ1 2018","FQ1 2018","Currency=INR","Period=FQ","BEST_FPERIOD_OVERRIDE=FQ","FILING_STATUS=OR","EQY_CONSOLIDATED=Y","Sort=A","Dates=H","DateFormat=P","Fill=—","Direction=H","UseDPDF=Y")</f>
        <v>#NAME?</v>
      </c>
      <c r="AL574" s="2" t="e">
        <f ca="1">_xll.BDH($C$553,"CASH_FLOW_GROWTH","FQ1 2018","FQ1 2018","Currency=INR","Period=FQ","BEST_FPERIOD_OVERRIDE=FQ","FILING_STATUS=OR","EQY_CONSOLIDATED=Y","Sort=A","Dates=H","DateFormat=P","Fill=—","Direction=H","UseDPDF=Y")</f>
        <v>#NAME?</v>
      </c>
      <c r="AM574" s="2" t="e">
        <f ca="1">_xll.BDH($C$553,"GEO_GROW_NET_SALES","FQ1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574" s="2" t="e">
        <f ca="1">_xll.BDH($C$553,"GEO_GROW_EBITDA","FQ1 2018","FQ1 2018","Currency=INR","Period=FQ","BEST_FPERIOD_OVERRIDE=FQ","FILING_STATUS=OR","EQY_CONSOLIDATED=Y","FA_ADJUSTED=GAAP","Sort=A","Dates=H","DateFormat=P","Fill=—","Direction=H","UseDPDF=Y")</f>
        <v>#NAME?</v>
      </c>
      <c r="AO574" s="2" t="e">
        <f ca="1">_xll.BDH($C$553,"GEO_GROW_OPER_INC","FQ1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574" s="2" t="e">
        <f ca="1">_xll.BDH($C$553,"NET_INCOME_TO_COMMON_5_YR_GROWTH","FQ1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574" s="2" t="e">
        <f ca="1">_xll.BDH($C$553,"5Y_GEO_GROWTH_DILUTED_EPS","FQ1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574" s="2" t="e">
        <f ca="1">_xll.BDH($C$553,"GEO_GROW_DVD_PER_SH","FQ1 2018","FQ1 2018","Currency=INR","Period=FQ","BEST_FPERIOD_OVERRIDE=FQ","FILING_STATUS=OR","EQY_CONSOLIDATED=Y","Sort=A","Dates=H","DateFormat=P","Fill=—","Direction=H","UseDPDF=Y")</f>
        <v>#NAME?</v>
      </c>
      <c r="AS574" s="2" t="e">
        <f ca="1">_xll.BDH($C$553,"ACCOUNTS_RECEIVABLE_5_YR_GROWTH","FQ1 2018","FQ1 2018","Currency=INR","Period=FQ","BEST_FPERIOD_OVERRIDE=FQ","FILING_STATUS=OR","EQY_CONSOLIDATED=Y","Sort=A","Dates=H","DateFormat=P","Fill=—","Direction=H","UseDPDF=Y")</f>
        <v>#NAME?</v>
      </c>
      <c r="AT574" s="2" t="e">
        <f ca="1">_xll.BDH($C$553,"INVENTORY_5_YEAR_GROWTH","FQ1 2018","FQ1 2018","Currency=INR","Period=FQ","BEST_FPERIOD_OVERRIDE=FQ","FILING_STATUS=OR","EQY_CONSOLIDATED=Y","Sort=A","Dates=H","DateFormat=P","Fill=—","Direction=H","UseDPDF=Y")</f>
        <v>#NAME?</v>
      </c>
      <c r="AU574" s="2" t="e">
        <f ca="1">_xll.BDH($C$553,"NET_FIXED_ASSETS_5_YEAR_GROWTH","FQ1 2018","FQ1 2018","Currency=INR","Period=FQ","BEST_FPERIOD_OVERRIDE=FQ","FILING_STATUS=OR","EQY_CONSOLIDATED=Y","Sort=A","Dates=H","DateFormat=P","Fill=—","Direction=H","UseDPDF=Y")</f>
        <v>#NAME?</v>
      </c>
      <c r="AV574" s="2" t="e">
        <f ca="1">_xll.BDH($C$553,"GEO_GROW_TOT_ASSET","FQ1 2018","FQ1 2018","Currency=INR","Period=FQ","BEST_FPERIOD_OVERRIDE=FQ","FILING_STATUS=OR","EQY_CONSOLIDATED=Y","Sort=A","Dates=H","DateFormat=P","Fill=—","Direction=H","UseDPDF=Y")</f>
        <v>#NAME?</v>
      </c>
      <c r="AW574" s="2" t="e">
        <f ca="1">_xll.BDH($C$553,"MODIFIED_WORKING_CPTL_5YR_GRWTH","FQ1 2018","FQ1 2018","Currency=INR","Period=FQ","BEST_FPERIOD_OVERRIDE=FQ","FILING_STATUS=OR","EQY_CONSOLIDATED=Y","Sort=A","Dates=H","DateFormat=P","Fill=—","Direction=H","UseDPDF=Y")</f>
        <v>#NAME?</v>
      </c>
      <c r="AX574" s="2" t="e">
        <f ca="1">_xll.BDH($C$553,"WORKING_CAPITAL_5_YEAR_GROWTH","FQ1 2018","FQ1 2018","Currency=INR","Period=FQ","BEST_FPERIOD_OVERRIDE=FQ","FILING_STATUS=OR","EQY_CONSOLIDATED=Y","Sort=A","Dates=H","DateFormat=P","Fill=—","Direction=H","UseDPDF=Y")</f>
        <v>#NAME?</v>
      </c>
      <c r="AY574" s="2" t="e">
        <f ca="1">_xll.BDH($C$553,"ACCOUNTS_PAYABLE_5_YEAR_GROWTH","FQ1 2018","FQ1 2018","Currency=INR","Period=FQ","BEST_FPERIOD_OVERRIDE=FQ","FILING_STATUS=OR","EQY_CONSOLIDATED=Y","Sort=A","Dates=H","DateFormat=P","Fill=—","Direction=H","UseDPDF=Y")</f>
        <v>#NAME?</v>
      </c>
      <c r="AZ574" s="2" t="e">
        <f ca="1">_xll.BDH($C$553,"SHORT_TERM_DEBT_5_YEAR_GROWTH","FQ1 2018","FQ1 2018","Currency=INR","Period=FQ","BEST_FPERIOD_OVERRIDE=FQ","FILING_STATUS=OR","EQY_CONSOLIDATED=Y","Sort=A","Dates=H","DateFormat=P","Fill=—","Direction=H","UseDPDF=Y")</f>
        <v>#NAME?</v>
      </c>
      <c r="BA574" s="2" t="e">
        <f ca="1">_xll.BDH($C$553,"TOTAL_DEBT_5_YEAR_GROWTH","FQ1 2018","FQ1 2018","Currency=INR","Period=FQ","BEST_FPERIOD_OVERRIDE=FQ","FILING_STATUS=OR","EQY_CONSOLIDATED=Y","Sort=A","Dates=H","DateFormat=P","Fill=—","Direction=H","UseDPDF=Y")</f>
        <v>#NAME?</v>
      </c>
      <c r="BB574" s="2" t="e">
        <f ca="1">_xll.BDH($C$553,"GEO_GROW_TOT_SHRHLDR_EQY","FQ1 2018","FQ1 2018","Currency=INR","Period=FQ","BEST_FPERIOD_OVERRIDE=FQ","FILING_STATUS=OR","EQY_CONSOLIDATED=Y","Sort=A","Dates=H","DateFormat=P","Fill=—","Direction=H","UseDPDF=Y")</f>
        <v>#NAME?</v>
      </c>
      <c r="BC574" s="2" t="e">
        <f ca="1">_xll.BDH($C$553,"TOTAL_CAPITAL_5_YEAR_GROWTH","FQ1 2018","FQ1 2018","Currency=INR","Period=FQ","BEST_FPERIOD_OVERRIDE=FQ","FILING_STATUS=OR","EQY_CONSOLIDATED=Y","Sort=A","Dates=H","DateFormat=P","Fill=—","Direction=H","UseDPDF=Y")</f>
        <v>#NAME?</v>
      </c>
      <c r="BD574" s="2" t="e">
        <f ca="1">_xll.BDH($C$553,"GEO_GROW_BOOK_VAL","FQ1 2018","FQ1 2018","Currency=INR","Period=FQ","BEST_FPERIOD_OVERRIDE=FQ","FILING_STATUS=OR","EQY_CONSOLIDATED=Y","Sort=A","Dates=H","DateFormat=P","Fill=—","Direction=H","UseDPDF=Y")</f>
        <v>#NAME?</v>
      </c>
      <c r="BE574" s="2" t="e">
        <f ca="1">_xll.BDH($C$553,"GEO_GROW_CASH_OPER_ACT","FQ1 2018","FQ1 2018","Currency=INR","Period=FQ","BEST_FPERIOD_OVERRIDE=FQ","FILING_STATUS=OR","EQY_CONSOLIDATED=Y","Sort=A","Dates=H","DateFormat=P","Fill=—","Direction=H","UseDPDF=Y")</f>
        <v>#NAME?</v>
      </c>
      <c r="BF574" s="2" t="e">
        <f ca="1">_xll.BDH($C$553,"REVENUE_SEQUENTIAL_GROWTH","FQ1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574" s="2" t="e">
        <f ca="1">_xll.BDH($C$553,"EBITDA_SEQUENTIAL_GROWTH","FQ1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574" s="2" t="e">
        <f ca="1">_xll.BDH($C$553,"OPERATING_INCOME_SEQ_GROWTH","FQ1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574" s="2" t="e">
        <f ca="1">_xll.BDH($C$553,"NET_INCOME_TO_COMMON_SEQ_GROWTH","FQ1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574" s="2" t="e">
        <f ca="1">_xll.BDH($C$553,"EPS_DILUTED_SEQUENTIAL_GROWTH","FQ1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574" s="2" t="e">
        <f ca="1">_xll.BDH($C$553,"DPS_SEQUENTIAL_GROWTH","FQ1 2018","FQ1 2018","Currency=INR","Period=FQ","BEST_FPERIOD_OVERRIDE=FQ","FILING_STATUS=OR","EQY_CONSOLIDATED=Y","Sort=A","Dates=H","DateFormat=P","Fill=—","Direction=H","UseDPDF=Y")</f>
        <v>#NAME?</v>
      </c>
      <c r="BL574" s="2" t="e">
        <f ca="1">_xll.BDH($C$553,"ACCOUNTS_RECEIVABLE_SEQ_GROWTH","FQ1 2018","FQ1 2018","Currency=INR","Period=FQ","BEST_FPERIOD_OVERRIDE=FQ","FILING_STATUS=OR","EQY_CONSOLIDATED=Y","Sort=A","Dates=H","DateFormat=P","Fill=—","Direction=H","UseDPDF=Y")</f>
        <v>#NAME?</v>
      </c>
      <c r="BM574" s="2" t="e">
        <f ca="1">_xll.BDH($C$553,"INVENTORY_SEQUENTIAL_GROWTH","FQ1 2018","FQ1 2018","Currency=INR","Period=FQ","BEST_FPERIOD_OVERRIDE=FQ","FILING_STATUS=OR","EQY_CONSOLIDATED=Y","Sort=A","Dates=H","DateFormat=P","Fill=—","Direction=H","UseDPDF=Y")</f>
        <v>#NAME?</v>
      </c>
      <c r="BN574" s="2" t="e">
        <f ca="1">_xll.BDH($C$553,"FIXED_ASSETS_SEQUENTIAL_GROWTH","FQ1 2018","FQ1 2018","Currency=INR","Period=FQ","BEST_FPERIOD_OVERRIDE=FQ","FILING_STATUS=OR","EQY_CONSOLIDATED=Y","Sort=A","Dates=H","DateFormat=P","Fill=—","Direction=H","UseDPDF=Y")</f>
        <v>#NAME?</v>
      </c>
      <c r="BO574" s="2" t="e">
        <f ca="1">_xll.BDH($C$553,"TOTAL_ASSETS_SEQUENTIAL_GROWTH","FQ1 2018","FQ1 2018","Currency=INR","Period=FQ","BEST_FPERIOD_OVERRIDE=FQ","FILING_STATUS=OR","EQY_CONSOLIDATED=Y","Sort=A","Dates=H","DateFormat=P","Fill=—","Direction=H","UseDPDF=Y")</f>
        <v>#NAME?</v>
      </c>
      <c r="BP574" s="2" t="e">
        <f ca="1">_xll.BDH($C$553,"MODIFIED_WORKING_CPTL_SEQ_GRWTH","FQ1 2018","FQ1 2018","Currency=INR","Period=FQ","BEST_FPERIOD_OVERRIDE=FQ","FILING_STATUS=OR","EQY_CONSOLIDATED=Y","Sort=A","Dates=H","DateFormat=P","Fill=—","Direction=H","UseDPDF=Y")</f>
        <v>#NAME?</v>
      </c>
      <c r="BQ574" s="2" t="e">
        <f ca="1">_xll.BDH($C$553,"WORKING_CAPITAL_SEQ_GROWTH","FQ1 2018","FQ1 2018","Currency=INR","Period=FQ","BEST_FPERIOD_OVERRIDE=FQ","FILING_STATUS=OR","EQY_CONSOLIDATED=Y","Sort=A","Dates=H","DateFormat=P","Fill=—","Direction=H","UseDPDF=Y")</f>
        <v>#NAME?</v>
      </c>
      <c r="BR574" s="2" t="e">
        <f ca="1">_xll.BDH($C$553,"ACCOUNTS_PAYABLE_SEQ_GROWTH","FQ1 2018","FQ1 2018","Currency=INR","Period=FQ","BEST_FPERIOD_OVERRIDE=FQ","FILING_STATUS=OR","EQY_CONSOLIDATED=Y","Sort=A","Dates=H","DateFormat=P","Fill=—","Direction=H","UseDPDF=Y")</f>
        <v>#NAME?</v>
      </c>
      <c r="BS574" s="2" t="e">
        <f ca="1">_xll.BDH($C$553,"ST_DEBT_SEQUENTIAL_GROWTH","FQ1 2018","FQ1 2018","Currency=INR","Period=FQ","BEST_FPERIOD_OVERRIDE=FQ","FILING_STATUS=OR","EQY_CONSOLIDATED=Y","Sort=A","Dates=H","DateFormat=P","Fill=—","Direction=H","UseDPDF=Y")</f>
        <v>#NAME?</v>
      </c>
      <c r="BT574" s="2" t="e">
        <f ca="1">_xll.BDH($C$553,"TOTAL_DEBT_SEQUENTIAL_GROWTH","FQ1 2018","FQ1 2018","Currency=INR","Period=FQ","BEST_FPERIOD_OVERRIDE=FQ","FILING_STATUS=OR","EQY_CONSOLIDATED=Y","Sort=A","Dates=H","DateFormat=P","Fill=—","Direction=H","UseDPDF=Y")</f>
        <v>#NAME?</v>
      </c>
      <c r="BU574" s="2" t="e">
        <f ca="1">_xll.BDH($C$553,"TOTAL_EQUITY_SEQUENTIAL_GROWTH","FQ1 2018","FQ1 2018","Currency=INR","Period=FQ","BEST_FPERIOD_OVERRIDE=FQ","FILING_STATUS=OR","EQY_CONSOLIDATED=Y","Sort=A","Dates=H","DateFormat=P","Fill=—","Direction=H","UseDPDF=Y")</f>
        <v>#NAME?</v>
      </c>
      <c r="BV574" s="2" t="e">
        <f ca="1">_xll.BDH($C$553,"TOTAL_CAPITAL_SEQUENTIAL_GROWTH","FQ1 2018","FQ1 2018","Currency=INR","Period=FQ","BEST_FPERIOD_OVERRIDE=FQ","FILING_STATUS=OR","EQY_CONSOLIDATED=Y","Sort=A","Dates=H","DateFormat=P","Fill=—","Direction=H","UseDPDF=Y")</f>
        <v>#NAME?</v>
      </c>
      <c r="BW574" s="2" t="e">
        <f ca="1">_xll.BDH($C$553,"BPS_SEQUENTIAL_GROWTH","FQ1 2018","FQ1 2018","Currency=INR","Period=FQ","BEST_FPERIOD_OVERRIDE=FQ","FILING_STATUS=OR","EQY_CONSOLIDATED=Y","Sort=A","Dates=H","DateFormat=P","Fill=—","Direction=H","UseDPDF=Y")</f>
        <v>#NAME?</v>
      </c>
      <c r="BX574" s="2" t="e">
        <f ca="1">_xll.BDH($C$553,"CFO_SEQUENTIAL_GROWTH","FQ1 2018","FQ1 2018","Currency=INR","Period=FQ","BEST_FPERIOD_OVERRIDE=FQ","FILING_STATUS=OR","EQY_CONSOLIDATED=Y","Sort=A","Dates=H","DateFormat=P","Fill=—","Direction=H","UseDPDF=Y")</f>
        <v>#NAME?</v>
      </c>
      <c r="BY574" s="3" t="e">
        <f ca="1">_xll.BDH($C$553,"SHORT_AND_LONG_TERM_DEBT","FQ1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574" s="3" t="e">
        <f ca="1">_xll.BDH($C$553,"BS_ST_BORROW","FQ1 2018","FQ1 2018","Currency=INR","Period=FQ","BEST_FPERIOD_OVERRIDE=FQ","FILING_STATUS=OR","EQY_CONSOLIDATED=Y","SCALING_FORMAT=MLN","Sort=A","Dates=H","DateFormat=P","Fill=—","Direction=H","UseDPDF=Y")</f>
        <v>#NAME?</v>
      </c>
      <c r="CA574" s="3" t="e">
        <f ca="1">_xll.BDH($C$553,"BS_LT_BORROW","FQ1 2018","FQ1 2018","Currency=INR","Period=FQ","BEST_FPERIOD_OVERRIDE=FQ","FILING_STATUS=OR","EQY_CONSOLIDATED=Y","SCALING_FORMAT=MLN","Sort=A","Dates=H","DateFormat=P","Fill=—","Direction=H","UseDPDF=Y")</f>
        <v>#NAME?</v>
      </c>
      <c r="CB574" s="2" t="e">
        <f ca="1">_xll.BDH($C$553,"TOT_DEBT_TO_EBITDA","FQ1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574" s="2" t="e">
        <f ca="1">_xll.BDH($C$553,"NET_DEBT_TO_EBITDA","FQ1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574" s="2" t="e">
        <f ca="1">_xll.BDH($C$553,"TOTAL_DEBT_TO_EBIT","FQ1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574" s="2" t="e">
        <f ca="1">_xll.BDH($C$553,"NET_DEBT_TO_EBIT","FQ1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574" s="2" t="e">
        <f ca="1">_xll.BDH($C$553,"EBITDA_TO_INTEREST_EXPN","FQ1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574" s="2" t="e">
        <f ca="1">_xll.BDH($C$553,"COM_EQY_TO_TOT_ASSET","FQ1 2018","FQ1 2018","Currency=INR","Period=FQ","BEST_FPERIOD_OVERRIDE=FQ","FILING_STATUS=OR","EQY_CONSOLIDATED=Y","Sort=A","Dates=H","DateFormat=P","Fill=—","Direction=H","UseDPDF=Y")</f>
        <v>#NAME?</v>
      </c>
      <c r="CH574" s="2" t="e">
        <f ca="1">_xll.BDH($C$553,"LT_DEBT_TO_TOT_EQY","FQ1 2018","FQ1 2018","Currency=INR","Period=FQ","BEST_FPERIOD_OVERRIDE=FQ","FILING_STATUS=OR","EQY_CONSOLIDATED=Y","Sort=A","Dates=H","DateFormat=P","Fill=—","Direction=H","UseDPDF=Y")</f>
        <v>#NAME?</v>
      </c>
      <c r="CI574" s="2" t="e">
        <f ca="1">_xll.BDH($C$553,"LT_DEBT_TO_TOT_CAP","FQ1 2018","FQ1 2018","Currency=INR","Period=FQ","BEST_FPERIOD_OVERRIDE=FQ","FILING_STATUS=OR","EQY_CONSOLIDATED=Y","Sort=A","Dates=H","DateFormat=P","Fill=—","Direction=H","UseDPDF=Y")</f>
        <v>#NAME?</v>
      </c>
      <c r="CJ574" s="2" t="e">
        <f ca="1">_xll.BDH($C$553,"LT_DEBT_TO_TOT_ASSET","FQ1 2018","FQ1 2018","Currency=INR","Period=FQ","BEST_FPERIOD_OVERRIDE=FQ","FILING_STATUS=OR","EQY_CONSOLIDATED=Y","Sort=A","Dates=H","DateFormat=P","Fill=—","Direction=H","UseDPDF=Y")</f>
        <v>#NAME?</v>
      </c>
      <c r="CK574" s="2" t="e">
        <f ca="1">_xll.BDH($C$553,"TOT_DEBT_TO_TOT_EQY","FQ1 2018","FQ1 2018","Currency=INR","Period=FQ","BEST_FPERIOD_OVERRIDE=FQ","FILING_STATUS=OR","EQY_CONSOLIDATED=Y","Sort=A","Dates=H","DateFormat=P","Fill=—","Direction=H","UseDPDF=Y")</f>
        <v>#NAME?</v>
      </c>
      <c r="CL574" s="2" t="e">
        <f ca="1">_xll.BDH($C$553,"TOT_DEBT_TO_TOT_CAP","FQ1 2018","FQ1 2018","Currency=INR","Period=FQ","BEST_FPERIOD_OVERRIDE=FQ","FILING_STATUS=OR","EQY_CONSOLIDATED=Y","Sort=A","Dates=H","DateFormat=P","Fill=—","Direction=H","UseDPDF=Y")</f>
        <v>#NAME?</v>
      </c>
      <c r="CM574" s="2" t="e">
        <f ca="1">_xll.BDH($C$553,"TOT_DEBT_TO_TOT_ASSET","FQ1 2018","FQ1 2018","Currency=INR","Period=FQ","BEST_FPERIOD_OVERRIDE=FQ","FILING_STATUS=OR","EQY_CONSOLIDATED=Y","Sort=A","Dates=H","DateFormat=P","Fill=—","Direction=H","UseDPDF=Y")</f>
        <v>#NAME?</v>
      </c>
      <c r="CN574" s="2" t="e">
        <f ca="1">_xll.BDH($C$553,"NET_DEBT_TO_SHRHLDR_EQTY","FQ1 2018","FQ1 2018","Currency=INR","Period=FQ","BEST_FPERIOD_OVERRIDE=FQ","FILING_STATUS=OR","EQY_CONSOLIDATED=Y","Sort=A","Dates=H","DateFormat=P","Fill=—","Direction=H","UseDPDF=Y")</f>
        <v>#NAME?</v>
      </c>
      <c r="CO574" s="2" t="e">
        <f ca="1">_xll.BDH($C$553,"NET_DEBT_%_CAPITAL","FQ1 2018","FQ1 2018","Currency=INR","Period=FQ","BEST_FPERIOD_OVERRIDE=FQ","FILING_STATUS=OR","EQY_CONSOLIDATED=Y","Sort=A","Dates=H","DateFormat=P","Fill=—","Direction=H","UseDPDF=Y")</f>
        <v>#NAME?</v>
      </c>
      <c r="CP574" s="3" t="e">
        <f ca="1">_xll.BDH($C$553,"EBITDA","FQ1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574" s="3" t="e">
        <f ca="1">_xll.BDH($C$553,"EBITDA_AFTER_CAPEX","FQ1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574" s="3" t="e">
        <f ca="1">_xll.BDH($C$553,"IS_OPER_INC","FQ1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574" s="2" t="e">
        <f ca="1">_xll.BDH($C$553,"CASH_RATIO","FQ1 2018","FQ1 2018","Currency=INR","Period=FQ","BEST_FPERIOD_OVERRIDE=FQ","FILING_STATUS=OR","EQY_CONSOLIDATED=Y","Sort=A","Dates=H","DateFormat=P","Fill=—","Direction=H","UseDPDF=Y")</f>
        <v>#NAME?</v>
      </c>
      <c r="CT574" s="2" t="e">
        <f ca="1">_xll.BDH($C$553,"CUR_RATIO","FQ1 2018","FQ1 2018","Currency=INR","Period=FQ","BEST_FPERIOD_OVERRIDE=FQ","FILING_STATUS=OR","EQY_CONSOLIDATED=Y","Sort=A","Dates=H","DateFormat=P","Fill=—","Direction=H","UseDPDF=Y")</f>
        <v>#NAME?</v>
      </c>
      <c r="CU574" s="2" t="e">
        <f ca="1">_xll.BDH($C$553,"QUICK_RATIO","FQ1 2018","FQ1 2018","Currency=INR","Period=FQ","BEST_FPERIOD_OVERRIDE=FQ","FILING_STATUS=OR","EQY_CONSOLIDATED=Y","Sort=A","Dates=H","DateFormat=P","Fill=—","Direction=H","UseDPDF=Y")</f>
        <v>#NAME?</v>
      </c>
      <c r="CV574" s="2" t="e">
        <f ca="1">_xll.BDH($C$553,"ALTMAN_Z_SCORE","FQ1 2018","FQ1 2018","Currency=INR","Period=FQ","BEST_FPERIOD_OVERRIDE=FQ","FILING_STATUS=OR","EQY_CONSOLIDATED=Y","Sort=A","Dates=H","DateFormat=P","Fill=—","Direction=H","UseDPDF=Y")</f>
        <v>#NAME?</v>
      </c>
      <c r="CW574" s="4" t="e">
        <f ca="1">_xll.BDH($C$553,"ACCT_RCV_TURN","FQ1 2018","FQ1 2018","Currency=INR","Period=FQ","BEST_FPERIOD_OVERRIDE=FQ","FILING_STATUS=OR","EQY_CONSOLIDATED=Y","FA_ADJUSTED=GAAP","Sort=A","Dates=H","DateFormat=P","Fill=—","Direction=H","UseDPDF=Y")</f>
        <v>#NAME?</v>
      </c>
      <c r="CX574" s="2" t="e">
        <f ca="1">_xll.BDH($C$553,"ACCT_RCV_DAYS","FQ1 2018","FQ1 2018","Currency=INR","Period=FQ","BEST_FPERIOD_OVERRIDE=FQ","FILING_STATUS=OR","EQY_CONSOLIDATED=Y","FA_ADJUSTED=GAAP","Sort=A","Dates=H","DateFormat=P","Fill=—","Direction=H","UseDPDF=Y")</f>
        <v>#NAME?</v>
      </c>
      <c r="CY574" s="4" t="e">
        <f ca="1">_xll.BDH($C$553,"INVENT_TURN","FQ1 2018","FQ1 2018","Currency=INR","Period=FQ","BEST_FPERIOD_OVERRIDE=FQ","FILING_STATUS=OR","EQY_CONSOLIDATED=Y","FA_ADJUSTED=GAAP","Sort=A","Dates=H","DateFormat=P","Fill=—","Direction=H","UseDPDF=Y")</f>
        <v>#NAME?</v>
      </c>
      <c r="CZ574" s="2" t="e">
        <f ca="1">_xll.BDH($C$553,"INVENT_DAYS","FQ1 2018","FQ1 2018","Currency=INR","Period=FQ","BEST_FPERIOD_OVERRIDE=FQ","FILING_STATUS=OR","EQY_CONSOLIDATED=Y","FA_ADJUSTED=GAAP","Sort=A","Dates=H","DateFormat=P","Fill=—","Direction=H","UseDPDF=Y")</f>
        <v>#NAME?</v>
      </c>
      <c r="DA574" s="4" t="e">
        <f ca="1">_xll.BDH($C$553,"ACCOUNTS_PAYABLE_TURNOVER","FQ1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574" s="2" t="e">
        <f ca="1">_xll.BDH($C$553,"ACCOUNTS_PAYABLE_TURNOVER_DAYS","FQ1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574" s="4" t="e">
        <f ca="1">_xll.BDH($C$553,"CASH_CONVERSION_CYCLE","FQ1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574" s="4" t="e">
        <f ca="1">_xll.BDH($C$553,"INV_TO_CASH_DAYS","FQ1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574" s="5" t="e">
        <f ca="1">_xll.BDH($C$553,"BS_INVENTORIES","FQ1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574" s="3" t="e">
        <f ca="1">_xll.BDH($C$553,"INVTRY_RAW_MATERIALS","FQ1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574" s="3" t="e">
        <f ca="1">_xll.BDH($C$553,"INVTRY_IN_PROGRESS","FQ1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574" s="3" t="e">
        <f ca="1">_xll.BDH($C$553,"INVTRY_FINISHED_GOODS","FQ1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574" s="3" t="e">
        <f ca="1">_xll.BDH($C$553,"BS_OTHER_INV","FQ1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575" spans="1:113" x14ac:dyDescent="0.3">
      <c r="A575" s="6"/>
      <c r="B575" s="6"/>
      <c r="C575" s="6"/>
      <c r="D575" s="6"/>
      <c r="E575" t="s">
        <v>79</v>
      </c>
      <c r="F575" t="e">
        <f ca="1">_xll.BDH($C$553,"RETURN_COM_EQY","FQ2 2018","FQ2 2018","Currency=INR","Period=FQ","BEST_FPERIOD_OVERRIDE=FQ","FILING_STATUS=OR","EQY_CONSOLIDATED=Y","FA_ADJUSTED=GAAP","Sort=A","Dates=H","DateFormat=P","Fill=—","Direction=H","UseDPDF=Y")</f>
        <v>#NAME?</v>
      </c>
      <c r="G575" t="e">
        <f ca="1">_xll.BDH($C$553,"RETURN_ON_ASSET","FQ2 2018","FQ2 2018","Currency=INR","Period=FQ","BEST_FPERIOD_OVERRIDE=FQ","FILING_STATUS=OR","EQY_CONSOLIDATED=Y","FA_ADJUSTED=GAAP","Sort=A","Dates=H","DateFormat=P","Fill=—","Direction=H","UseDPDF=Y")</f>
        <v>#NAME?</v>
      </c>
      <c r="H575" t="e">
        <f ca="1">_xll.BDH($C$553,"RETURN_ON_CAP","FQ2 2018","FQ2 2018","Currency=INR","Period=FQ","BEST_FPERIOD_OVERRIDE=FQ","FILING_STATUS=OR","EQY_CONSOLIDATED=Y","FA_ADJUSTED=GAAP","Sort=A","Dates=H","DateFormat=P","Fill=—","Direction=H","UseDPDF=Y")</f>
        <v>#NAME?</v>
      </c>
      <c r="I575" t="e">
        <f ca="1">_xll.BDH($C$553,"RETURN_ON_INV_CAPITAL","FQ2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575" t="e">
        <f ca="1">_xll.BDH($C$553,"EBITDA_TO_REVENUE","FQ2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575" t="e">
        <f ca="1">_xll.BDH($C$553,"OPER_MARGIN","FQ2 2018","FQ2 2018","Currency=INR","Period=FQ","BEST_FPERIOD_OVERRIDE=FQ","FILING_STATUS=OR","EQY_CONSOLIDATED=Y","FA_ADJUSTED=GAAP","Sort=A","Dates=H","DateFormat=P","Fill=—","Direction=H","UseDPDF=Y")</f>
        <v>#NAME?</v>
      </c>
      <c r="L575" t="e">
        <f ca="1">_xll.BDH($C$553,"INCREMENTAL_OPERATING_MARGIN","FQ2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575" t="e">
        <f ca="1">_xll.BDH($C$553,"PRETAX_INC_TO_NET_SALES","FQ2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575" t="e">
        <f ca="1">_xll.BDH($C$553,"INC_BEF_XO_ITEMS_TO_NET_SALES","FQ2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575" t="e">
        <f ca="1">_xll.BDH($C$553,"PROF_MARGIN","FQ2 2018","FQ2 2018","Currency=INR","Period=FQ","BEST_FPERIOD_OVERRIDE=FQ","FILING_STATUS=OR","EQY_CONSOLIDATED=Y","FA_ADJUSTED=GAAP","Sort=A","Dates=H","DateFormat=P","Fill=—","Direction=H","UseDPDF=Y")</f>
        <v>#NAME?</v>
      </c>
      <c r="P575" t="e">
        <f ca="1">_xll.BDH($C$553,"NET_INCOME_TO_COMMON_MARGIN","FQ2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575" t="e">
        <f ca="1">_xll.BDH($C$553,"EFF_TAX_RATE","FQ2 2018","FQ2 2018","Currency=INR","Period=FQ","BEST_FPERIOD_OVERRIDE=FQ","FILING_STATUS=OR","EQY_CONSOLIDATED=Y","FA_ADJUSTED=GAAP","Sort=A","Dates=H","DateFormat=P","Fill=—","Direction=H","UseDPDF=Y")</f>
        <v>#NAME?</v>
      </c>
      <c r="R575" t="e">
        <f ca="1">_xll.BDH($C$553,"DVD_PAYOUT_RATIO","FQ2 2018","FQ2 2018","Currency=INR","Period=FQ","BEST_FPERIOD_OVERRIDE=FQ","FILING_STATUS=OR","EQY_CONSOLIDATED=Y","FA_ADJUSTED=GAAP","Sort=A","Dates=H","DateFormat=P","Fill=—","Direction=H","UseDPDF=Y")</f>
        <v>#NAME?</v>
      </c>
      <c r="S575" t="e">
        <f ca="1">_xll.BDH($C$553,"SUSTAIN_GROWTH_RT","FQ2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575" s="2" t="e">
        <f ca="1">_xll.BDH($C$553,"SALES_GROWTH","FQ2 2018","FQ2 2018","Currency=INR","Period=FQ","BEST_FPERIOD_OVERRIDE=FQ","FILING_STATUS=OR","EQY_CONSOLIDATED=Y","FA_ADJUSTED=GAAP","Sort=A","Dates=H","DateFormat=P","Fill=—","Direction=H","UseDPDF=Y")</f>
        <v>#NAME?</v>
      </c>
      <c r="U575" s="2" t="e">
        <f ca="1">_xll.BDH($C$553,"EBITDA_GROWTH","FQ2 2018","FQ2 2018","Currency=INR","Period=FQ","BEST_FPERIOD_OVERRIDE=FQ","FILING_STATUS=OR","EQY_CONSOLIDATED=Y","FA_ADJUSTED=GAAP","Sort=A","Dates=H","DateFormat=P","Fill=—","Direction=H","UseDPDF=Y")</f>
        <v>#NAME?</v>
      </c>
      <c r="V575" s="2" t="e">
        <f ca="1">_xll.BDH($C$553,"OPER_INC_GROWTH","FQ2 2018","FQ2 2018","Currency=INR","Period=FQ","BEST_FPERIOD_OVERRIDE=FQ","FILING_STATUS=OR","EQY_CONSOLIDATED=Y","FA_ADJUSTED=GAAP","Sort=A","Dates=H","DateFormat=P","Fill=—","Direction=H","UseDPDF=Y")</f>
        <v>#NAME?</v>
      </c>
      <c r="W575" s="2" t="e">
        <f ca="1">_xll.BDH($C$553,"EARN_FOR_COM_GROWTH","FQ2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575" s="2" t="e">
        <f ca="1">_xll.BDH($C$553,"DILUTED_EPS_AFT_XO_ITEMS_GROWTH","FQ2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575" s="2" t="e">
        <f ca="1">_xll.BDH($C$553,"DIVIDEND_PER_SHARE_1_YEAR_GROWTH","FQ2 2018","FQ2 2018","Currency=INR","Period=FQ","BEST_FPERIOD_OVERRIDE=FQ","FILING_STATUS=OR","EQY_CONSOLIDATED=Y","Sort=A","Dates=H","DateFormat=P","Fill=—","Direction=H","UseDPDF=Y")</f>
        <v>#NAME?</v>
      </c>
      <c r="Z575" s="2" t="e">
        <f ca="1">_xll.BDH($C$553,"ACCOUNTS_RECEIVABLE_GROWTH","FQ2 2018","FQ2 2018","Currency=INR","Period=FQ","BEST_FPERIOD_OVERRIDE=FQ","FILING_STATUS=OR","EQY_CONSOLIDATED=Y","Sort=A","Dates=H","DateFormat=P","Fill=—","Direction=H","UseDPDF=Y")</f>
        <v>#NAME?</v>
      </c>
      <c r="AA575" s="2" t="e">
        <f ca="1">_xll.BDH($C$553,"INVENTORY_GROWTH","FQ2 2018","FQ2 2018","Currency=INR","Period=FQ","BEST_FPERIOD_OVERRIDE=FQ","FILING_STATUS=OR","EQY_CONSOLIDATED=Y","Sort=A","Dates=H","DateFormat=P","Fill=—","Direction=H","UseDPDF=Y")</f>
        <v>#NAME?</v>
      </c>
      <c r="AB575" s="2" t="e">
        <f ca="1">_xll.BDH($C$553,"NET_FIXED_ASSETS_1_YEAR_GROWTH","FQ2 2018","FQ2 2018","Currency=INR","Period=FQ","BEST_FPERIOD_OVERRIDE=FQ","FILING_STATUS=OR","EQY_CONSOLIDATED=Y","Sort=A","Dates=H","DateFormat=P","Fill=—","Direction=H","UseDPDF=Y")</f>
        <v>#NAME?</v>
      </c>
      <c r="AC575" s="2" t="e">
        <f ca="1">_xll.BDH($C$553,"ASSET_GROWTH","FQ2 2018","FQ2 2018","Currency=INR","Period=FQ","BEST_FPERIOD_OVERRIDE=FQ","FILING_STATUS=OR","EQY_CONSOLIDATED=Y","Sort=A","Dates=H","DateFormat=P","Fill=—","Direction=H","UseDPDF=Y")</f>
        <v>#NAME?</v>
      </c>
      <c r="AD575" s="2" t="e">
        <f ca="1">_xll.BDH($C$553,"MODIFIED_WORK_CAP_GROWTH","FQ2 2018","FQ2 2018","Currency=INR","Period=FQ","BEST_FPERIOD_OVERRIDE=FQ","FILING_STATUS=OR","EQY_CONSOLIDATED=Y","Sort=A","Dates=H","DateFormat=P","Fill=—","Direction=H","UseDPDF=Y")</f>
        <v>#NAME?</v>
      </c>
      <c r="AE575" s="2" t="e">
        <f ca="1">_xll.BDH($C$553,"WORK_CAP_GROWTH","FQ2 2018","FQ2 2018","Currency=INR","Period=FQ","BEST_FPERIOD_OVERRIDE=FQ","FILING_STATUS=OR","EQY_CONSOLIDATED=Y","Sort=A","Dates=H","DateFormat=P","Fill=—","Direction=H","UseDPDF=Y")</f>
        <v>#NAME?</v>
      </c>
      <c r="AF575" s="2" t="e">
        <f ca="1">_xll.BDH($C$553,"ACCOUNTS_PAYABLE_GROWTH_1YR","FQ2 2018","FQ2 2018","Currency=INR","Period=FQ","BEST_FPERIOD_OVERRIDE=FQ","FILING_STATUS=OR","EQY_CONSOLIDATED=Y","Sort=A","Dates=H","DateFormat=P","Fill=—","Direction=H","UseDPDF=Y")</f>
        <v>#NAME?</v>
      </c>
      <c r="AG575" s="2" t="e">
        <f ca="1">_xll.BDH($C$553,"SHORT_TERM_DEBT_1_YEAR_GROWTH","FQ2 2018","FQ2 2018","Currency=INR","Period=FQ","BEST_FPERIOD_OVERRIDE=FQ","FILING_STATUS=OR","EQY_CONSOLIDATED=Y","Sort=A","Dates=H","DateFormat=P","Fill=—","Direction=H","UseDPDF=Y")</f>
        <v>#NAME?</v>
      </c>
      <c r="AH575" s="2" t="e">
        <f ca="1">_xll.BDH($C$553,"TOTAL_DEBT_1_YEAR_GROWTH","FQ2 2018","FQ2 2018","Currency=INR","Period=FQ","BEST_FPERIOD_OVERRIDE=FQ","FILING_STATUS=OR","EQY_CONSOLIDATED=Y","Sort=A","Dates=H","DateFormat=P","Fill=—","Direction=H","UseDPDF=Y")</f>
        <v>#NAME?</v>
      </c>
      <c r="AI575" s="2" t="e">
        <f ca="1">_xll.BDH($C$553,"TOTAL_EQUITY_1_YEAR_GROWTH","FQ2 2018","FQ2 2018","Currency=INR","Period=FQ","BEST_FPERIOD_OVERRIDE=FQ","FILING_STATUS=OR","EQY_CONSOLIDATED=Y","Sort=A","Dates=H","DateFormat=P","Fill=—","Direction=H","UseDPDF=Y")</f>
        <v>#NAME?</v>
      </c>
      <c r="AJ575" s="2" t="e">
        <f ca="1">_xll.BDH($C$553,"GROWTH_IN_CAP","FQ2 2018","FQ2 2018","Currency=INR","Period=FQ","BEST_FPERIOD_OVERRIDE=FQ","FILING_STATUS=OR","EQY_CONSOLIDATED=Y","Sort=A","Dates=H","DateFormat=P","Fill=—","Direction=H","UseDPDF=Y")</f>
        <v>#NAME?</v>
      </c>
      <c r="AK575" s="2" t="e">
        <f ca="1">_xll.BDH($C$553,"BVPS_GROWTH","FQ2 2018","FQ2 2018","Currency=INR","Period=FQ","BEST_FPERIOD_OVERRIDE=FQ","FILING_STATUS=OR","EQY_CONSOLIDATED=Y","Sort=A","Dates=H","DateFormat=P","Fill=—","Direction=H","UseDPDF=Y")</f>
        <v>#NAME?</v>
      </c>
      <c r="AL575" s="2" t="e">
        <f ca="1">_xll.BDH($C$553,"CASH_FLOW_GROWTH","FQ2 2018","FQ2 2018","Currency=INR","Period=FQ","BEST_FPERIOD_OVERRIDE=FQ","FILING_STATUS=OR","EQY_CONSOLIDATED=Y","Sort=A","Dates=H","DateFormat=P","Fill=—","Direction=H","UseDPDF=Y")</f>
        <v>#NAME?</v>
      </c>
      <c r="AM575" s="2" t="e">
        <f ca="1">_xll.BDH($C$553,"GEO_GROW_NET_SALES","FQ2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575" s="2" t="e">
        <f ca="1">_xll.BDH($C$553,"GEO_GROW_EBITDA","FQ2 2018","FQ2 2018","Currency=INR","Period=FQ","BEST_FPERIOD_OVERRIDE=FQ","FILING_STATUS=OR","EQY_CONSOLIDATED=Y","FA_ADJUSTED=GAAP","Sort=A","Dates=H","DateFormat=P","Fill=—","Direction=H","UseDPDF=Y")</f>
        <v>#NAME?</v>
      </c>
      <c r="AO575" s="2" t="e">
        <f ca="1">_xll.BDH($C$553,"GEO_GROW_OPER_INC","FQ2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575" s="2" t="e">
        <f ca="1">_xll.BDH($C$553,"NET_INCOME_TO_COMMON_5_YR_GROWTH","FQ2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575" s="2" t="e">
        <f ca="1">_xll.BDH($C$553,"5Y_GEO_GROWTH_DILUTED_EPS","FQ2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575" s="2" t="e">
        <f ca="1">_xll.BDH($C$553,"GEO_GROW_DVD_PER_SH","FQ2 2018","FQ2 2018","Currency=INR","Period=FQ","BEST_FPERIOD_OVERRIDE=FQ","FILING_STATUS=OR","EQY_CONSOLIDATED=Y","Sort=A","Dates=H","DateFormat=P","Fill=—","Direction=H","UseDPDF=Y")</f>
        <v>#NAME?</v>
      </c>
      <c r="AS575" s="2" t="e">
        <f ca="1">_xll.BDH($C$553,"ACCOUNTS_RECEIVABLE_5_YR_GROWTH","FQ2 2018","FQ2 2018","Currency=INR","Period=FQ","BEST_FPERIOD_OVERRIDE=FQ","FILING_STATUS=OR","EQY_CONSOLIDATED=Y","Sort=A","Dates=H","DateFormat=P","Fill=—","Direction=H","UseDPDF=Y")</f>
        <v>#NAME?</v>
      </c>
      <c r="AT575" s="2" t="e">
        <f ca="1">_xll.BDH($C$553,"INVENTORY_5_YEAR_GROWTH","FQ2 2018","FQ2 2018","Currency=INR","Period=FQ","BEST_FPERIOD_OVERRIDE=FQ","FILING_STATUS=OR","EQY_CONSOLIDATED=Y","Sort=A","Dates=H","DateFormat=P","Fill=—","Direction=H","UseDPDF=Y")</f>
        <v>#NAME?</v>
      </c>
      <c r="AU575" s="2" t="e">
        <f ca="1">_xll.BDH($C$553,"NET_FIXED_ASSETS_5_YEAR_GROWTH","FQ2 2018","FQ2 2018","Currency=INR","Period=FQ","BEST_FPERIOD_OVERRIDE=FQ","FILING_STATUS=OR","EQY_CONSOLIDATED=Y","Sort=A","Dates=H","DateFormat=P","Fill=—","Direction=H","UseDPDF=Y")</f>
        <v>#NAME?</v>
      </c>
      <c r="AV575" s="2" t="e">
        <f ca="1">_xll.BDH($C$553,"GEO_GROW_TOT_ASSET","FQ2 2018","FQ2 2018","Currency=INR","Period=FQ","BEST_FPERIOD_OVERRIDE=FQ","FILING_STATUS=OR","EQY_CONSOLIDATED=Y","Sort=A","Dates=H","DateFormat=P","Fill=—","Direction=H","UseDPDF=Y")</f>
        <v>#NAME?</v>
      </c>
      <c r="AW575" s="2" t="e">
        <f ca="1">_xll.BDH($C$553,"MODIFIED_WORKING_CPTL_5YR_GRWTH","FQ2 2018","FQ2 2018","Currency=INR","Period=FQ","BEST_FPERIOD_OVERRIDE=FQ","FILING_STATUS=OR","EQY_CONSOLIDATED=Y","Sort=A","Dates=H","DateFormat=P","Fill=—","Direction=H","UseDPDF=Y")</f>
        <v>#NAME?</v>
      </c>
      <c r="AX575" s="2" t="e">
        <f ca="1">_xll.BDH($C$553,"WORKING_CAPITAL_5_YEAR_GROWTH","FQ2 2018","FQ2 2018","Currency=INR","Period=FQ","BEST_FPERIOD_OVERRIDE=FQ","FILING_STATUS=OR","EQY_CONSOLIDATED=Y","Sort=A","Dates=H","DateFormat=P","Fill=—","Direction=H","UseDPDF=Y")</f>
        <v>#NAME?</v>
      </c>
      <c r="AY575" s="2" t="e">
        <f ca="1">_xll.BDH($C$553,"ACCOUNTS_PAYABLE_5_YEAR_GROWTH","FQ2 2018","FQ2 2018","Currency=INR","Period=FQ","BEST_FPERIOD_OVERRIDE=FQ","FILING_STATUS=OR","EQY_CONSOLIDATED=Y","Sort=A","Dates=H","DateFormat=P","Fill=—","Direction=H","UseDPDF=Y")</f>
        <v>#NAME?</v>
      </c>
      <c r="AZ575" s="2" t="e">
        <f ca="1">_xll.BDH($C$553,"SHORT_TERM_DEBT_5_YEAR_GROWTH","FQ2 2018","FQ2 2018","Currency=INR","Period=FQ","BEST_FPERIOD_OVERRIDE=FQ","FILING_STATUS=OR","EQY_CONSOLIDATED=Y","Sort=A","Dates=H","DateFormat=P","Fill=—","Direction=H","UseDPDF=Y")</f>
        <v>#NAME?</v>
      </c>
      <c r="BA575" s="2" t="e">
        <f ca="1">_xll.BDH($C$553,"TOTAL_DEBT_5_YEAR_GROWTH","FQ2 2018","FQ2 2018","Currency=INR","Period=FQ","BEST_FPERIOD_OVERRIDE=FQ","FILING_STATUS=OR","EQY_CONSOLIDATED=Y","Sort=A","Dates=H","DateFormat=P","Fill=—","Direction=H","UseDPDF=Y")</f>
        <v>#NAME?</v>
      </c>
      <c r="BB575" s="2" t="e">
        <f ca="1">_xll.BDH($C$553,"GEO_GROW_TOT_SHRHLDR_EQY","FQ2 2018","FQ2 2018","Currency=INR","Period=FQ","BEST_FPERIOD_OVERRIDE=FQ","FILING_STATUS=OR","EQY_CONSOLIDATED=Y","Sort=A","Dates=H","DateFormat=P","Fill=—","Direction=H","UseDPDF=Y")</f>
        <v>#NAME?</v>
      </c>
      <c r="BC575" s="2" t="e">
        <f ca="1">_xll.BDH($C$553,"TOTAL_CAPITAL_5_YEAR_GROWTH","FQ2 2018","FQ2 2018","Currency=INR","Period=FQ","BEST_FPERIOD_OVERRIDE=FQ","FILING_STATUS=OR","EQY_CONSOLIDATED=Y","Sort=A","Dates=H","DateFormat=P","Fill=—","Direction=H","UseDPDF=Y")</f>
        <v>#NAME?</v>
      </c>
      <c r="BD575" s="2" t="e">
        <f ca="1">_xll.BDH($C$553,"GEO_GROW_BOOK_VAL","FQ2 2018","FQ2 2018","Currency=INR","Period=FQ","BEST_FPERIOD_OVERRIDE=FQ","FILING_STATUS=OR","EQY_CONSOLIDATED=Y","Sort=A","Dates=H","DateFormat=P","Fill=—","Direction=H","UseDPDF=Y")</f>
        <v>#NAME?</v>
      </c>
      <c r="BE575" s="2" t="e">
        <f ca="1">_xll.BDH($C$553,"GEO_GROW_CASH_OPER_ACT","FQ2 2018","FQ2 2018","Currency=INR","Period=FQ","BEST_FPERIOD_OVERRIDE=FQ","FILING_STATUS=OR","EQY_CONSOLIDATED=Y","Sort=A","Dates=H","DateFormat=P","Fill=—","Direction=H","UseDPDF=Y")</f>
        <v>#NAME?</v>
      </c>
      <c r="BF575" s="2" t="e">
        <f ca="1">_xll.BDH($C$553,"REVENUE_SEQUENTIAL_GROWTH","FQ2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575" s="2" t="e">
        <f ca="1">_xll.BDH($C$553,"EBITDA_SEQUENTIAL_GROWTH","FQ2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575" s="2" t="e">
        <f ca="1">_xll.BDH($C$553,"OPERATING_INCOME_SEQ_GROWTH","FQ2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575" s="2" t="e">
        <f ca="1">_xll.BDH($C$553,"NET_INCOME_TO_COMMON_SEQ_GROWTH","FQ2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575" s="2" t="e">
        <f ca="1">_xll.BDH($C$553,"EPS_DILUTED_SEQUENTIAL_GROWTH","FQ2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575" s="2" t="e">
        <f ca="1">_xll.BDH($C$553,"DPS_SEQUENTIAL_GROWTH","FQ2 2018","FQ2 2018","Currency=INR","Period=FQ","BEST_FPERIOD_OVERRIDE=FQ","FILING_STATUS=OR","EQY_CONSOLIDATED=Y","Sort=A","Dates=H","DateFormat=P","Fill=—","Direction=H","UseDPDF=Y")</f>
        <v>#NAME?</v>
      </c>
      <c r="BL575" s="2" t="e">
        <f ca="1">_xll.BDH($C$553,"ACCOUNTS_RECEIVABLE_SEQ_GROWTH","FQ2 2018","FQ2 2018","Currency=INR","Period=FQ","BEST_FPERIOD_OVERRIDE=FQ","FILING_STATUS=OR","EQY_CONSOLIDATED=Y","Sort=A","Dates=H","DateFormat=P","Fill=—","Direction=H","UseDPDF=Y")</f>
        <v>#NAME?</v>
      </c>
      <c r="BM575" s="2" t="e">
        <f ca="1">_xll.BDH($C$553,"INVENTORY_SEQUENTIAL_GROWTH","FQ2 2018","FQ2 2018","Currency=INR","Period=FQ","BEST_FPERIOD_OVERRIDE=FQ","FILING_STATUS=OR","EQY_CONSOLIDATED=Y","Sort=A","Dates=H","DateFormat=P","Fill=—","Direction=H","UseDPDF=Y")</f>
        <v>#NAME?</v>
      </c>
      <c r="BN575" s="2" t="e">
        <f ca="1">_xll.BDH($C$553,"FIXED_ASSETS_SEQUENTIAL_GROWTH","FQ2 2018","FQ2 2018","Currency=INR","Period=FQ","BEST_FPERIOD_OVERRIDE=FQ","FILING_STATUS=OR","EQY_CONSOLIDATED=Y","Sort=A","Dates=H","DateFormat=P","Fill=—","Direction=H","UseDPDF=Y")</f>
        <v>#NAME?</v>
      </c>
      <c r="BO575" s="2" t="e">
        <f ca="1">_xll.BDH($C$553,"TOTAL_ASSETS_SEQUENTIAL_GROWTH","FQ2 2018","FQ2 2018","Currency=INR","Period=FQ","BEST_FPERIOD_OVERRIDE=FQ","FILING_STATUS=OR","EQY_CONSOLIDATED=Y","Sort=A","Dates=H","DateFormat=P","Fill=—","Direction=H","UseDPDF=Y")</f>
        <v>#NAME?</v>
      </c>
      <c r="BP575" s="2" t="e">
        <f ca="1">_xll.BDH($C$553,"MODIFIED_WORKING_CPTL_SEQ_GRWTH","FQ2 2018","FQ2 2018","Currency=INR","Period=FQ","BEST_FPERIOD_OVERRIDE=FQ","FILING_STATUS=OR","EQY_CONSOLIDATED=Y","Sort=A","Dates=H","DateFormat=P","Fill=—","Direction=H","UseDPDF=Y")</f>
        <v>#NAME?</v>
      </c>
      <c r="BQ575" s="2" t="e">
        <f ca="1">_xll.BDH($C$553,"WORKING_CAPITAL_SEQ_GROWTH","FQ2 2018","FQ2 2018","Currency=INR","Period=FQ","BEST_FPERIOD_OVERRIDE=FQ","FILING_STATUS=OR","EQY_CONSOLIDATED=Y","Sort=A","Dates=H","DateFormat=P","Fill=—","Direction=H","UseDPDF=Y")</f>
        <v>#NAME?</v>
      </c>
      <c r="BR575" s="2" t="e">
        <f ca="1">_xll.BDH($C$553,"ACCOUNTS_PAYABLE_SEQ_GROWTH","FQ2 2018","FQ2 2018","Currency=INR","Period=FQ","BEST_FPERIOD_OVERRIDE=FQ","FILING_STATUS=OR","EQY_CONSOLIDATED=Y","Sort=A","Dates=H","DateFormat=P","Fill=—","Direction=H","UseDPDF=Y")</f>
        <v>#NAME?</v>
      </c>
      <c r="BS575" s="2" t="e">
        <f ca="1">_xll.BDH($C$553,"ST_DEBT_SEQUENTIAL_GROWTH","FQ2 2018","FQ2 2018","Currency=INR","Period=FQ","BEST_FPERIOD_OVERRIDE=FQ","FILING_STATUS=OR","EQY_CONSOLIDATED=Y","Sort=A","Dates=H","DateFormat=P","Fill=—","Direction=H","UseDPDF=Y")</f>
        <v>#NAME?</v>
      </c>
      <c r="BT575" s="2" t="e">
        <f ca="1">_xll.BDH($C$553,"TOTAL_DEBT_SEQUENTIAL_GROWTH","FQ2 2018","FQ2 2018","Currency=INR","Period=FQ","BEST_FPERIOD_OVERRIDE=FQ","FILING_STATUS=OR","EQY_CONSOLIDATED=Y","Sort=A","Dates=H","DateFormat=P","Fill=—","Direction=H","UseDPDF=Y")</f>
        <v>#NAME?</v>
      </c>
      <c r="BU575" s="2" t="e">
        <f ca="1">_xll.BDH($C$553,"TOTAL_EQUITY_SEQUENTIAL_GROWTH","FQ2 2018","FQ2 2018","Currency=INR","Period=FQ","BEST_FPERIOD_OVERRIDE=FQ","FILING_STATUS=OR","EQY_CONSOLIDATED=Y","Sort=A","Dates=H","DateFormat=P","Fill=—","Direction=H","UseDPDF=Y")</f>
        <v>#NAME?</v>
      </c>
      <c r="BV575" s="2" t="e">
        <f ca="1">_xll.BDH($C$553,"TOTAL_CAPITAL_SEQUENTIAL_GROWTH","FQ2 2018","FQ2 2018","Currency=INR","Period=FQ","BEST_FPERIOD_OVERRIDE=FQ","FILING_STATUS=OR","EQY_CONSOLIDATED=Y","Sort=A","Dates=H","DateFormat=P","Fill=—","Direction=H","UseDPDF=Y")</f>
        <v>#NAME?</v>
      </c>
      <c r="BW575" s="2" t="e">
        <f ca="1">_xll.BDH($C$553,"BPS_SEQUENTIAL_GROWTH","FQ2 2018","FQ2 2018","Currency=INR","Period=FQ","BEST_FPERIOD_OVERRIDE=FQ","FILING_STATUS=OR","EQY_CONSOLIDATED=Y","Sort=A","Dates=H","DateFormat=P","Fill=—","Direction=H","UseDPDF=Y")</f>
        <v>#NAME?</v>
      </c>
      <c r="BX575" s="2" t="e">
        <f ca="1">_xll.BDH($C$553,"CFO_SEQUENTIAL_GROWTH","FQ2 2018","FQ2 2018","Currency=INR","Period=FQ","BEST_FPERIOD_OVERRIDE=FQ","FILING_STATUS=OR","EQY_CONSOLIDATED=Y","Sort=A","Dates=H","DateFormat=P","Fill=—","Direction=H","UseDPDF=Y")</f>
        <v>#NAME?</v>
      </c>
      <c r="BY575" s="3" t="e">
        <f ca="1">_xll.BDH($C$553,"SHORT_AND_LONG_TERM_DEBT","FQ2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575" s="3" t="e">
        <f ca="1">_xll.BDH($C$553,"BS_ST_BORROW","FQ2 2018","FQ2 2018","Currency=INR","Period=FQ","BEST_FPERIOD_OVERRIDE=FQ","FILING_STATUS=OR","EQY_CONSOLIDATED=Y","SCALING_FORMAT=MLN","Sort=A","Dates=H","DateFormat=P","Fill=—","Direction=H","UseDPDF=Y")</f>
        <v>#NAME?</v>
      </c>
      <c r="CA575" s="3" t="e">
        <f ca="1">_xll.BDH($C$553,"BS_LT_BORROW","FQ2 2018","FQ2 2018","Currency=INR","Period=FQ","BEST_FPERIOD_OVERRIDE=FQ","FILING_STATUS=OR","EQY_CONSOLIDATED=Y","SCALING_FORMAT=MLN","Sort=A","Dates=H","DateFormat=P","Fill=—","Direction=H","UseDPDF=Y")</f>
        <v>#NAME?</v>
      </c>
      <c r="CB575" s="2" t="e">
        <f ca="1">_xll.BDH($C$553,"TOT_DEBT_TO_EBITDA","FQ2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575" s="2" t="e">
        <f ca="1">_xll.BDH($C$553,"NET_DEBT_TO_EBITDA","FQ2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575" s="2" t="e">
        <f ca="1">_xll.BDH($C$553,"TOTAL_DEBT_TO_EBIT","FQ2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575" s="2" t="e">
        <f ca="1">_xll.BDH($C$553,"NET_DEBT_TO_EBIT","FQ2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575" s="2" t="e">
        <f ca="1">_xll.BDH($C$553,"EBITDA_TO_INTEREST_EXPN","FQ2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575" s="2" t="e">
        <f ca="1">_xll.BDH($C$553,"COM_EQY_TO_TOT_ASSET","FQ2 2018","FQ2 2018","Currency=INR","Period=FQ","BEST_FPERIOD_OVERRIDE=FQ","FILING_STATUS=OR","EQY_CONSOLIDATED=Y","Sort=A","Dates=H","DateFormat=P","Fill=—","Direction=H","UseDPDF=Y")</f>
        <v>#NAME?</v>
      </c>
      <c r="CH575" s="2" t="e">
        <f ca="1">_xll.BDH($C$553,"LT_DEBT_TO_TOT_EQY","FQ2 2018","FQ2 2018","Currency=INR","Period=FQ","BEST_FPERIOD_OVERRIDE=FQ","FILING_STATUS=OR","EQY_CONSOLIDATED=Y","Sort=A","Dates=H","DateFormat=P","Fill=—","Direction=H","UseDPDF=Y")</f>
        <v>#NAME?</v>
      </c>
      <c r="CI575" s="2" t="e">
        <f ca="1">_xll.BDH($C$553,"LT_DEBT_TO_TOT_CAP","FQ2 2018","FQ2 2018","Currency=INR","Period=FQ","BEST_FPERIOD_OVERRIDE=FQ","FILING_STATUS=OR","EQY_CONSOLIDATED=Y","Sort=A","Dates=H","DateFormat=P","Fill=—","Direction=H","UseDPDF=Y")</f>
        <v>#NAME?</v>
      </c>
      <c r="CJ575" s="2" t="e">
        <f ca="1">_xll.BDH($C$553,"LT_DEBT_TO_TOT_ASSET","FQ2 2018","FQ2 2018","Currency=INR","Period=FQ","BEST_FPERIOD_OVERRIDE=FQ","FILING_STATUS=OR","EQY_CONSOLIDATED=Y","Sort=A","Dates=H","DateFormat=P","Fill=—","Direction=H","UseDPDF=Y")</f>
        <v>#NAME?</v>
      </c>
      <c r="CK575" s="2" t="e">
        <f ca="1">_xll.BDH($C$553,"TOT_DEBT_TO_TOT_EQY","FQ2 2018","FQ2 2018","Currency=INR","Period=FQ","BEST_FPERIOD_OVERRIDE=FQ","FILING_STATUS=OR","EQY_CONSOLIDATED=Y","Sort=A","Dates=H","DateFormat=P","Fill=—","Direction=H","UseDPDF=Y")</f>
        <v>#NAME?</v>
      </c>
      <c r="CL575" s="2" t="e">
        <f ca="1">_xll.BDH($C$553,"TOT_DEBT_TO_TOT_CAP","FQ2 2018","FQ2 2018","Currency=INR","Period=FQ","BEST_FPERIOD_OVERRIDE=FQ","FILING_STATUS=OR","EQY_CONSOLIDATED=Y","Sort=A","Dates=H","DateFormat=P","Fill=—","Direction=H","UseDPDF=Y")</f>
        <v>#NAME?</v>
      </c>
      <c r="CM575" s="2" t="e">
        <f ca="1">_xll.BDH($C$553,"TOT_DEBT_TO_TOT_ASSET","FQ2 2018","FQ2 2018","Currency=INR","Period=FQ","BEST_FPERIOD_OVERRIDE=FQ","FILING_STATUS=OR","EQY_CONSOLIDATED=Y","Sort=A","Dates=H","DateFormat=P","Fill=—","Direction=H","UseDPDF=Y")</f>
        <v>#NAME?</v>
      </c>
      <c r="CN575" s="2" t="e">
        <f ca="1">_xll.BDH($C$553,"NET_DEBT_TO_SHRHLDR_EQTY","FQ2 2018","FQ2 2018","Currency=INR","Period=FQ","BEST_FPERIOD_OVERRIDE=FQ","FILING_STATUS=OR","EQY_CONSOLIDATED=Y","Sort=A","Dates=H","DateFormat=P","Fill=—","Direction=H","UseDPDF=Y")</f>
        <v>#NAME?</v>
      </c>
      <c r="CO575" s="2" t="e">
        <f ca="1">_xll.BDH($C$553,"NET_DEBT_%_CAPITAL","FQ2 2018","FQ2 2018","Currency=INR","Period=FQ","BEST_FPERIOD_OVERRIDE=FQ","FILING_STATUS=OR","EQY_CONSOLIDATED=Y","Sort=A","Dates=H","DateFormat=P","Fill=—","Direction=H","UseDPDF=Y")</f>
        <v>#NAME?</v>
      </c>
      <c r="CP575" s="3" t="e">
        <f ca="1">_xll.BDH($C$553,"EBITDA","FQ2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575" s="3" t="e">
        <f ca="1">_xll.BDH($C$553,"EBITDA_AFTER_CAPEX","FQ2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575" s="3" t="e">
        <f ca="1">_xll.BDH($C$553,"IS_OPER_INC","FQ2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575" s="2" t="e">
        <f ca="1">_xll.BDH($C$553,"CASH_RATIO","FQ2 2018","FQ2 2018","Currency=INR","Period=FQ","BEST_FPERIOD_OVERRIDE=FQ","FILING_STATUS=OR","EQY_CONSOLIDATED=Y","Sort=A","Dates=H","DateFormat=P","Fill=—","Direction=H","UseDPDF=Y")</f>
        <v>#NAME?</v>
      </c>
      <c r="CT575" s="2" t="e">
        <f ca="1">_xll.BDH($C$553,"CUR_RATIO","FQ2 2018","FQ2 2018","Currency=INR","Period=FQ","BEST_FPERIOD_OVERRIDE=FQ","FILING_STATUS=OR","EQY_CONSOLIDATED=Y","Sort=A","Dates=H","DateFormat=P","Fill=—","Direction=H","UseDPDF=Y")</f>
        <v>#NAME?</v>
      </c>
      <c r="CU575" s="2" t="e">
        <f ca="1">_xll.BDH($C$553,"QUICK_RATIO","FQ2 2018","FQ2 2018","Currency=INR","Period=FQ","BEST_FPERIOD_OVERRIDE=FQ","FILING_STATUS=OR","EQY_CONSOLIDATED=Y","Sort=A","Dates=H","DateFormat=P","Fill=—","Direction=H","UseDPDF=Y")</f>
        <v>#NAME?</v>
      </c>
      <c r="CV575" s="2" t="e">
        <f ca="1">_xll.BDH($C$553,"ALTMAN_Z_SCORE","FQ2 2018","FQ2 2018","Currency=INR","Period=FQ","BEST_FPERIOD_OVERRIDE=FQ","FILING_STATUS=OR","EQY_CONSOLIDATED=Y","Sort=A","Dates=H","DateFormat=P","Fill=—","Direction=H","UseDPDF=Y")</f>
        <v>#NAME?</v>
      </c>
      <c r="CW575" s="4" t="e">
        <f ca="1">_xll.BDH($C$553,"ACCT_RCV_TURN","FQ2 2018","FQ2 2018","Currency=INR","Period=FQ","BEST_FPERIOD_OVERRIDE=FQ","FILING_STATUS=OR","EQY_CONSOLIDATED=Y","FA_ADJUSTED=GAAP","Sort=A","Dates=H","DateFormat=P","Fill=—","Direction=H","UseDPDF=Y")</f>
        <v>#NAME?</v>
      </c>
      <c r="CX575" s="2" t="e">
        <f ca="1">_xll.BDH($C$553,"ACCT_RCV_DAYS","FQ2 2018","FQ2 2018","Currency=INR","Period=FQ","BEST_FPERIOD_OVERRIDE=FQ","FILING_STATUS=OR","EQY_CONSOLIDATED=Y","FA_ADJUSTED=GAAP","Sort=A","Dates=H","DateFormat=P","Fill=—","Direction=H","UseDPDF=Y")</f>
        <v>#NAME?</v>
      </c>
      <c r="CY575" s="4" t="e">
        <f ca="1">_xll.BDH($C$553,"INVENT_TURN","FQ2 2018","FQ2 2018","Currency=INR","Period=FQ","BEST_FPERIOD_OVERRIDE=FQ","FILING_STATUS=OR","EQY_CONSOLIDATED=Y","FA_ADJUSTED=GAAP","Sort=A","Dates=H","DateFormat=P","Fill=—","Direction=H","UseDPDF=Y")</f>
        <v>#NAME?</v>
      </c>
      <c r="CZ575" s="2" t="e">
        <f ca="1">_xll.BDH($C$553,"INVENT_DAYS","FQ2 2018","FQ2 2018","Currency=INR","Period=FQ","BEST_FPERIOD_OVERRIDE=FQ","FILING_STATUS=OR","EQY_CONSOLIDATED=Y","FA_ADJUSTED=GAAP","Sort=A","Dates=H","DateFormat=P","Fill=—","Direction=H","UseDPDF=Y")</f>
        <v>#NAME?</v>
      </c>
      <c r="DA575" s="4" t="e">
        <f ca="1">_xll.BDH($C$553,"ACCOUNTS_PAYABLE_TURNOVER","FQ2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575" s="2" t="e">
        <f ca="1">_xll.BDH($C$553,"ACCOUNTS_PAYABLE_TURNOVER_DAYS","FQ2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575" s="4" t="e">
        <f ca="1">_xll.BDH($C$553,"CASH_CONVERSION_CYCLE","FQ2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575" s="4" t="e">
        <f ca="1">_xll.BDH($C$553,"INV_TO_CASH_DAYS","FQ2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575" s="5" t="e">
        <f ca="1">_xll.BDH($C$553,"BS_INVENTORIES","FQ2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575" s="3" t="e">
        <f ca="1">_xll.BDH($C$553,"INVTRY_RAW_MATERIALS","FQ2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575" s="3" t="e">
        <f ca="1">_xll.BDH($C$553,"INVTRY_IN_PROGRESS","FQ2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575" s="3" t="e">
        <f ca="1">_xll.BDH($C$553,"INVTRY_FINISHED_GOODS","FQ2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575" s="3" t="e">
        <f ca="1">_xll.BDH($C$553,"BS_OTHER_INV","FQ2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576" spans="1:113" x14ac:dyDescent="0.3">
      <c r="A576" s="6"/>
      <c r="B576" s="6"/>
      <c r="C576" s="6"/>
      <c r="D576" s="6"/>
      <c r="E576" t="s">
        <v>80</v>
      </c>
      <c r="F576" t="e">
        <f ca="1">_xll.BDH($C$553,"RETURN_COM_EQY","FQ3 2018","FQ3 2018","Currency=INR","Period=FQ","BEST_FPERIOD_OVERRIDE=FQ","FILING_STATUS=OR","EQY_CONSOLIDATED=Y","FA_ADJUSTED=GAAP","Sort=A","Dates=H","DateFormat=P","Fill=—","Direction=H","UseDPDF=Y")</f>
        <v>#NAME?</v>
      </c>
      <c r="G576" t="e">
        <f ca="1">_xll.BDH($C$553,"RETURN_ON_ASSET","FQ3 2018","FQ3 2018","Currency=INR","Period=FQ","BEST_FPERIOD_OVERRIDE=FQ","FILING_STATUS=OR","EQY_CONSOLIDATED=Y","FA_ADJUSTED=GAAP","Sort=A","Dates=H","DateFormat=P","Fill=—","Direction=H","UseDPDF=Y")</f>
        <v>#NAME?</v>
      </c>
      <c r="H576" t="e">
        <f ca="1">_xll.BDH($C$553,"RETURN_ON_CAP","FQ3 2018","FQ3 2018","Currency=INR","Period=FQ","BEST_FPERIOD_OVERRIDE=FQ","FILING_STATUS=OR","EQY_CONSOLIDATED=Y","FA_ADJUSTED=GAAP","Sort=A","Dates=H","DateFormat=P","Fill=—","Direction=H","UseDPDF=Y")</f>
        <v>#NAME?</v>
      </c>
      <c r="I576" t="e">
        <f ca="1">_xll.BDH($C$553,"RETURN_ON_INV_CAPITAL","FQ3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576" t="e">
        <f ca="1">_xll.BDH($C$553,"EBITDA_TO_REVENUE","FQ3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576" t="e">
        <f ca="1">_xll.BDH($C$553,"OPER_MARGIN","FQ3 2018","FQ3 2018","Currency=INR","Period=FQ","BEST_FPERIOD_OVERRIDE=FQ","FILING_STATUS=OR","EQY_CONSOLIDATED=Y","FA_ADJUSTED=GAAP","Sort=A","Dates=H","DateFormat=P","Fill=—","Direction=H","UseDPDF=Y")</f>
        <v>#NAME?</v>
      </c>
      <c r="L576" t="e">
        <f ca="1">_xll.BDH($C$553,"INCREMENTAL_OPERATING_MARGIN","FQ3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576" t="e">
        <f ca="1">_xll.BDH($C$553,"PRETAX_INC_TO_NET_SALES","FQ3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576" t="e">
        <f ca="1">_xll.BDH($C$553,"INC_BEF_XO_ITEMS_TO_NET_SALES","FQ3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576" t="e">
        <f ca="1">_xll.BDH($C$553,"PROF_MARGIN","FQ3 2018","FQ3 2018","Currency=INR","Period=FQ","BEST_FPERIOD_OVERRIDE=FQ","FILING_STATUS=OR","EQY_CONSOLIDATED=Y","FA_ADJUSTED=GAAP","Sort=A","Dates=H","DateFormat=P","Fill=—","Direction=H","UseDPDF=Y")</f>
        <v>#NAME?</v>
      </c>
      <c r="P576" t="e">
        <f ca="1">_xll.BDH($C$553,"NET_INCOME_TO_COMMON_MARGIN","FQ3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576" t="e">
        <f ca="1">_xll.BDH($C$553,"EFF_TAX_RATE","FQ3 2018","FQ3 2018","Currency=INR","Period=FQ","BEST_FPERIOD_OVERRIDE=FQ","FILING_STATUS=OR","EQY_CONSOLIDATED=Y","FA_ADJUSTED=GAAP","Sort=A","Dates=H","DateFormat=P","Fill=—","Direction=H","UseDPDF=Y")</f>
        <v>#NAME?</v>
      </c>
      <c r="R576" t="e">
        <f ca="1">_xll.BDH($C$553,"DVD_PAYOUT_RATIO","FQ3 2018","FQ3 2018","Currency=INR","Period=FQ","BEST_FPERIOD_OVERRIDE=FQ","FILING_STATUS=OR","EQY_CONSOLIDATED=Y","FA_ADJUSTED=GAAP","Sort=A","Dates=H","DateFormat=P","Fill=—","Direction=H","UseDPDF=Y")</f>
        <v>#NAME?</v>
      </c>
      <c r="S576" t="e">
        <f ca="1">_xll.BDH($C$553,"SUSTAIN_GROWTH_RT","FQ3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576" s="2" t="e">
        <f ca="1">_xll.BDH($C$553,"SALES_GROWTH","FQ3 2018","FQ3 2018","Currency=INR","Period=FQ","BEST_FPERIOD_OVERRIDE=FQ","FILING_STATUS=OR","EQY_CONSOLIDATED=Y","FA_ADJUSTED=GAAP","Sort=A","Dates=H","DateFormat=P","Fill=—","Direction=H","UseDPDF=Y")</f>
        <v>#NAME?</v>
      </c>
      <c r="U576" s="2" t="e">
        <f ca="1">_xll.BDH($C$553,"EBITDA_GROWTH","FQ3 2018","FQ3 2018","Currency=INR","Period=FQ","BEST_FPERIOD_OVERRIDE=FQ","FILING_STATUS=OR","EQY_CONSOLIDATED=Y","FA_ADJUSTED=GAAP","Sort=A","Dates=H","DateFormat=P","Fill=—","Direction=H","UseDPDF=Y")</f>
        <v>#NAME?</v>
      </c>
      <c r="V576" s="2" t="e">
        <f ca="1">_xll.BDH($C$553,"OPER_INC_GROWTH","FQ3 2018","FQ3 2018","Currency=INR","Period=FQ","BEST_FPERIOD_OVERRIDE=FQ","FILING_STATUS=OR","EQY_CONSOLIDATED=Y","FA_ADJUSTED=GAAP","Sort=A","Dates=H","DateFormat=P","Fill=—","Direction=H","UseDPDF=Y")</f>
        <v>#NAME?</v>
      </c>
      <c r="W576" s="2" t="e">
        <f ca="1">_xll.BDH($C$553,"EARN_FOR_COM_GROWTH","FQ3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576" s="2" t="e">
        <f ca="1">_xll.BDH($C$553,"DILUTED_EPS_AFT_XO_ITEMS_GROWTH","FQ3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576" s="2" t="e">
        <f ca="1">_xll.BDH($C$553,"DIVIDEND_PER_SHARE_1_YEAR_GROWTH","FQ3 2018","FQ3 2018","Currency=INR","Period=FQ","BEST_FPERIOD_OVERRIDE=FQ","FILING_STATUS=OR","EQY_CONSOLIDATED=Y","Sort=A","Dates=H","DateFormat=P","Fill=—","Direction=H","UseDPDF=Y")</f>
        <v>#NAME?</v>
      </c>
      <c r="Z576" s="2" t="e">
        <f ca="1">_xll.BDH($C$553,"ACCOUNTS_RECEIVABLE_GROWTH","FQ3 2018","FQ3 2018","Currency=INR","Period=FQ","BEST_FPERIOD_OVERRIDE=FQ","FILING_STATUS=OR","EQY_CONSOLIDATED=Y","Sort=A","Dates=H","DateFormat=P","Fill=—","Direction=H","UseDPDF=Y")</f>
        <v>#NAME?</v>
      </c>
      <c r="AA576" s="2" t="e">
        <f ca="1">_xll.BDH($C$553,"INVENTORY_GROWTH","FQ3 2018","FQ3 2018","Currency=INR","Period=FQ","BEST_FPERIOD_OVERRIDE=FQ","FILING_STATUS=OR","EQY_CONSOLIDATED=Y","Sort=A","Dates=H","DateFormat=P","Fill=—","Direction=H","UseDPDF=Y")</f>
        <v>#NAME?</v>
      </c>
      <c r="AB576" s="2" t="e">
        <f ca="1">_xll.BDH($C$553,"NET_FIXED_ASSETS_1_YEAR_GROWTH","FQ3 2018","FQ3 2018","Currency=INR","Period=FQ","BEST_FPERIOD_OVERRIDE=FQ","FILING_STATUS=OR","EQY_CONSOLIDATED=Y","Sort=A","Dates=H","DateFormat=P","Fill=—","Direction=H","UseDPDF=Y")</f>
        <v>#NAME?</v>
      </c>
      <c r="AC576" s="2" t="e">
        <f ca="1">_xll.BDH($C$553,"ASSET_GROWTH","FQ3 2018","FQ3 2018","Currency=INR","Period=FQ","BEST_FPERIOD_OVERRIDE=FQ","FILING_STATUS=OR","EQY_CONSOLIDATED=Y","Sort=A","Dates=H","DateFormat=P","Fill=—","Direction=H","UseDPDF=Y")</f>
        <v>#NAME?</v>
      </c>
      <c r="AD576" s="2" t="e">
        <f ca="1">_xll.BDH($C$553,"MODIFIED_WORK_CAP_GROWTH","FQ3 2018","FQ3 2018","Currency=INR","Period=FQ","BEST_FPERIOD_OVERRIDE=FQ","FILING_STATUS=OR","EQY_CONSOLIDATED=Y","Sort=A","Dates=H","DateFormat=P","Fill=—","Direction=H","UseDPDF=Y")</f>
        <v>#NAME?</v>
      </c>
      <c r="AE576" s="2" t="e">
        <f ca="1">_xll.BDH($C$553,"WORK_CAP_GROWTH","FQ3 2018","FQ3 2018","Currency=INR","Period=FQ","BEST_FPERIOD_OVERRIDE=FQ","FILING_STATUS=OR","EQY_CONSOLIDATED=Y","Sort=A","Dates=H","DateFormat=P","Fill=—","Direction=H","UseDPDF=Y")</f>
        <v>#NAME?</v>
      </c>
      <c r="AF576" s="2" t="e">
        <f ca="1">_xll.BDH($C$553,"ACCOUNTS_PAYABLE_GROWTH_1YR","FQ3 2018","FQ3 2018","Currency=INR","Period=FQ","BEST_FPERIOD_OVERRIDE=FQ","FILING_STATUS=OR","EQY_CONSOLIDATED=Y","Sort=A","Dates=H","DateFormat=P","Fill=—","Direction=H","UseDPDF=Y")</f>
        <v>#NAME?</v>
      </c>
      <c r="AG576" s="2" t="e">
        <f ca="1">_xll.BDH($C$553,"SHORT_TERM_DEBT_1_YEAR_GROWTH","FQ3 2018","FQ3 2018","Currency=INR","Period=FQ","BEST_FPERIOD_OVERRIDE=FQ","FILING_STATUS=OR","EQY_CONSOLIDATED=Y","Sort=A","Dates=H","DateFormat=P","Fill=—","Direction=H","UseDPDF=Y")</f>
        <v>#NAME?</v>
      </c>
      <c r="AH576" s="2" t="e">
        <f ca="1">_xll.BDH($C$553,"TOTAL_DEBT_1_YEAR_GROWTH","FQ3 2018","FQ3 2018","Currency=INR","Period=FQ","BEST_FPERIOD_OVERRIDE=FQ","FILING_STATUS=OR","EQY_CONSOLIDATED=Y","Sort=A","Dates=H","DateFormat=P","Fill=—","Direction=H","UseDPDF=Y")</f>
        <v>#NAME?</v>
      </c>
      <c r="AI576" s="2" t="e">
        <f ca="1">_xll.BDH($C$553,"TOTAL_EQUITY_1_YEAR_GROWTH","FQ3 2018","FQ3 2018","Currency=INR","Period=FQ","BEST_FPERIOD_OVERRIDE=FQ","FILING_STATUS=OR","EQY_CONSOLIDATED=Y","Sort=A","Dates=H","DateFormat=P","Fill=—","Direction=H","UseDPDF=Y")</f>
        <v>#NAME?</v>
      </c>
      <c r="AJ576" s="2" t="e">
        <f ca="1">_xll.BDH($C$553,"GROWTH_IN_CAP","FQ3 2018","FQ3 2018","Currency=INR","Period=FQ","BEST_FPERIOD_OVERRIDE=FQ","FILING_STATUS=OR","EQY_CONSOLIDATED=Y","Sort=A","Dates=H","DateFormat=P","Fill=—","Direction=H","UseDPDF=Y")</f>
        <v>#NAME?</v>
      </c>
      <c r="AK576" s="2" t="e">
        <f ca="1">_xll.BDH($C$553,"BVPS_GROWTH","FQ3 2018","FQ3 2018","Currency=INR","Period=FQ","BEST_FPERIOD_OVERRIDE=FQ","FILING_STATUS=OR","EQY_CONSOLIDATED=Y","Sort=A","Dates=H","DateFormat=P","Fill=—","Direction=H","UseDPDF=Y")</f>
        <v>#NAME?</v>
      </c>
      <c r="AL576" s="2" t="e">
        <f ca="1">_xll.BDH($C$553,"CASH_FLOW_GROWTH","FQ3 2018","FQ3 2018","Currency=INR","Period=FQ","BEST_FPERIOD_OVERRIDE=FQ","FILING_STATUS=OR","EQY_CONSOLIDATED=Y","Sort=A","Dates=H","DateFormat=P","Fill=—","Direction=H","UseDPDF=Y")</f>
        <v>#NAME?</v>
      </c>
      <c r="AM576" s="2" t="e">
        <f ca="1">_xll.BDH($C$553,"GEO_GROW_NET_SALES","FQ3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576" s="2" t="e">
        <f ca="1">_xll.BDH($C$553,"GEO_GROW_EBITDA","FQ3 2018","FQ3 2018","Currency=INR","Period=FQ","BEST_FPERIOD_OVERRIDE=FQ","FILING_STATUS=OR","EQY_CONSOLIDATED=Y","FA_ADJUSTED=GAAP","Sort=A","Dates=H","DateFormat=P","Fill=—","Direction=H","UseDPDF=Y")</f>
        <v>#NAME?</v>
      </c>
      <c r="AO576" s="2" t="e">
        <f ca="1">_xll.BDH($C$553,"GEO_GROW_OPER_INC","FQ3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576" s="2" t="e">
        <f ca="1">_xll.BDH($C$553,"NET_INCOME_TO_COMMON_5_YR_GROWTH","FQ3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576" s="2" t="e">
        <f ca="1">_xll.BDH($C$553,"5Y_GEO_GROWTH_DILUTED_EPS","FQ3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576" s="2" t="e">
        <f ca="1">_xll.BDH($C$553,"GEO_GROW_DVD_PER_SH","FQ3 2018","FQ3 2018","Currency=INR","Period=FQ","BEST_FPERIOD_OVERRIDE=FQ","FILING_STATUS=OR","EQY_CONSOLIDATED=Y","Sort=A","Dates=H","DateFormat=P","Fill=—","Direction=H","UseDPDF=Y")</f>
        <v>#NAME?</v>
      </c>
      <c r="AS576" s="2" t="e">
        <f ca="1">_xll.BDH($C$553,"ACCOUNTS_RECEIVABLE_5_YR_GROWTH","FQ3 2018","FQ3 2018","Currency=INR","Period=FQ","BEST_FPERIOD_OVERRIDE=FQ","FILING_STATUS=OR","EQY_CONSOLIDATED=Y","Sort=A","Dates=H","DateFormat=P","Fill=—","Direction=H","UseDPDF=Y")</f>
        <v>#NAME?</v>
      </c>
      <c r="AT576" s="2" t="e">
        <f ca="1">_xll.BDH($C$553,"INVENTORY_5_YEAR_GROWTH","FQ3 2018","FQ3 2018","Currency=INR","Period=FQ","BEST_FPERIOD_OVERRIDE=FQ","FILING_STATUS=OR","EQY_CONSOLIDATED=Y","Sort=A","Dates=H","DateFormat=P","Fill=—","Direction=H","UseDPDF=Y")</f>
        <v>#NAME?</v>
      </c>
      <c r="AU576" s="2" t="e">
        <f ca="1">_xll.BDH($C$553,"NET_FIXED_ASSETS_5_YEAR_GROWTH","FQ3 2018","FQ3 2018","Currency=INR","Period=FQ","BEST_FPERIOD_OVERRIDE=FQ","FILING_STATUS=OR","EQY_CONSOLIDATED=Y","Sort=A","Dates=H","DateFormat=P","Fill=—","Direction=H","UseDPDF=Y")</f>
        <v>#NAME?</v>
      </c>
      <c r="AV576" s="2" t="e">
        <f ca="1">_xll.BDH($C$553,"GEO_GROW_TOT_ASSET","FQ3 2018","FQ3 2018","Currency=INR","Period=FQ","BEST_FPERIOD_OVERRIDE=FQ","FILING_STATUS=OR","EQY_CONSOLIDATED=Y","Sort=A","Dates=H","DateFormat=P","Fill=—","Direction=H","UseDPDF=Y")</f>
        <v>#NAME?</v>
      </c>
      <c r="AW576" s="2" t="e">
        <f ca="1">_xll.BDH($C$553,"MODIFIED_WORKING_CPTL_5YR_GRWTH","FQ3 2018","FQ3 2018","Currency=INR","Period=FQ","BEST_FPERIOD_OVERRIDE=FQ","FILING_STATUS=OR","EQY_CONSOLIDATED=Y","Sort=A","Dates=H","DateFormat=P","Fill=—","Direction=H","UseDPDF=Y")</f>
        <v>#NAME?</v>
      </c>
      <c r="AX576" s="2" t="e">
        <f ca="1">_xll.BDH($C$553,"WORKING_CAPITAL_5_YEAR_GROWTH","FQ3 2018","FQ3 2018","Currency=INR","Period=FQ","BEST_FPERIOD_OVERRIDE=FQ","FILING_STATUS=OR","EQY_CONSOLIDATED=Y","Sort=A","Dates=H","DateFormat=P","Fill=—","Direction=H","UseDPDF=Y")</f>
        <v>#NAME?</v>
      </c>
      <c r="AY576" s="2" t="e">
        <f ca="1">_xll.BDH($C$553,"ACCOUNTS_PAYABLE_5_YEAR_GROWTH","FQ3 2018","FQ3 2018","Currency=INR","Period=FQ","BEST_FPERIOD_OVERRIDE=FQ","FILING_STATUS=OR","EQY_CONSOLIDATED=Y","Sort=A","Dates=H","DateFormat=P","Fill=—","Direction=H","UseDPDF=Y")</f>
        <v>#NAME?</v>
      </c>
      <c r="AZ576" s="2" t="e">
        <f ca="1">_xll.BDH($C$553,"SHORT_TERM_DEBT_5_YEAR_GROWTH","FQ3 2018","FQ3 2018","Currency=INR","Period=FQ","BEST_FPERIOD_OVERRIDE=FQ","FILING_STATUS=OR","EQY_CONSOLIDATED=Y","Sort=A","Dates=H","DateFormat=P","Fill=—","Direction=H","UseDPDF=Y")</f>
        <v>#NAME?</v>
      </c>
      <c r="BA576" s="2" t="e">
        <f ca="1">_xll.BDH($C$553,"TOTAL_DEBT_5_YEAR_GROWTH","FQ3 2018","FQ3 2018","Currency=INR","Period=FQ","BEST_FPERIOD_OVERRIDE=FQ","FILING_STATUS=OR","EQY_CONSOLIDATED=Y","Sort=A","Dates=H","DateFormat=P","Fill=—","Direction=H","UseDPDF=Y")</f>
        <v>#NAME?</v>
      </c>
      <c r="BB576" s="2" t="e">
        <f ca="1">_xll.BDH($C$553,"GEO_GROW_TOT_SHRHLDR_EQY","FQ3 2018","FQ3 2018","Currency=INR","Period=FQ","BEST_FPERIOD_OVERRIDE=FQ","FILING_STATUS=OR","EQY_CONSOLIDATED=Y","Sort=A","Dates=H","DateFormat=P","Fill=—","Direction=H","UseDPDF=Y")</f>
        <v>#NAME?</v>
      </c>
      <c r="BC576" s="2" t="e">
        <f ca="1">_xll.BDH($C$553,"TOTAL_CAPITAL_5_YEAR_GROWTH","FQ3 2018","FQ3 2018","Currency=INR","Period=FQ","BEST_FPERIOD_OVERRIDE=FQ","FILING_STATUS=OR","EQY_CONSOLIDATED=Y","Sort=A","Dates=H","DateFormat=P","Fill=—","Direction=H","UseDPDF=Y")</f>
        <v>#NAME?</v>
      </c>
      <c r="BD576" s="2" t="e">
        <f ca="1">_xll.BDH($C$553,"GEO_GROW_BOOK_VAL","FQ3 2018","FQ3 2018","Currency=INR","Period=FQ","BEST_FPERIOD_OVERRIDE=FQ","FILING_STATUS=OR","EQY_CONSOLIDATED=Y","Sort=A","Dates=H","DateFormat=P","Fill=—","Direction=H","UseDPDF=Y")</f>
        <v>#NAME?</v>
      </c>
      <c r="BE576" s="2" t="e">
        <f ca="1">_xll.BDH($C$553,"GEO_GROW_CASH_OPER_ACT","FQ3 2018","FQ3 2018","Currency=INR","Period=FQ","BEST_FPERIOD_OVERRIDE=FQ","FILING_STATUS=OR","EQY_CONSOLIDATED=Y","Sort=A","Dates=H","DateFormat=P","Fill=—","Direction=H","UseDPDF=Y")</f>
        <v>#NAME?</v>
      </c>
      <c r="BF576" s="2" t="e">
        <f ca="1">_xll.BDH($C$553,"REVENUE_SEQUENTIAL_GROWTH","FQ3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576" s="2" t="e">
        <f ca="1">_xll.BDH($C$553,"EBITDA_SEQUENTIAL_GROWTH","FQ3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576" s="2" t="e">
        <f ca="1">_xll.BDH($C$553,"OPERATING_INCOME_SEQ_GROWTH","FQ3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576" s="2" t="e">
        <f ca="1">_xll.BDH($C$553,"NET_INCOME_TO_COMMON_SEQ_GROWTH","FQ3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576" s="2" t="e">
        <f ca="1">_xll.BDH($C$553,"EPS_DILUTED_SEQUENTIAL_GROWTH","FQ3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576" s="2" t="e">
        <f ca="1">_xll.BDH($C$553,"DPS_SEQUENTIAL_GROWTH","FQ3 2018","FQ3 2018","Currency=INR","Period=FQ","BEST_FPERIOD_OVERRIDE=FQ","FILING_STATUS=OR","EQY_CONSOLIDATED=Y","Sort=A","Dates=H","DateFormat=P","Fill=—","Direction=H","UseDPDF=Y")</f>
        <v>#NAME?</v>
      </c>
      <c r="BL576" s="2" t="e">
        <f ca="1">_xll.BDH($C$553,"ACCOUNTS_RECEIVABLE_SEQ_GROWTH","FQ3 2018","FQ3 2018","Currency=INR","Period=FQ","BEST_FPERIOD_OVERRIDE=FQ","FILING_STATUS=OR","EQY_CONSOLIDATED=Y","Sort=A","Dates=H","DateFormat=P","Fill=—","Direction=H","UseDPDF=Y")</f>
        <v>#NAME?</v>
      </c>
      <c r="BM576" s="2" t="e">
        <f ca="1">_xll.BDH($C$553,"INVENTORY_SEQUENTIAL_GROWTH","FQ3 2018","FQ3 2018","Currency=INR","Period=FQ","BEST_FPERIOD_OVERRIDE=FQ","FILING_STATUS=OR","EQY_CONSOLIDATED=Y","Sort=A","Dates=H","DateFormat=P","Fill=—","Direction=H","UseDPDF=Y")</f>
        <v>#NAME?</v>
      </c>
      <c r="BN576" s="2" t="e">
        <f ca="1">_xll.BDH($C$553,"FIXED_ASSETS_SEQUENTIAL_GROWTH","FQ3 2018","FQ3 2018","Currency=INR","Period=FQ","BEST_FPERIOD_OVERRIDE=FQ","FILING_STATUS=OR","EQY_CONSOLIDATED=Y","Sort=A","Dates=H","DateFormat=P","Fill=—","Direction=H","UseDPDF=Y")</f>
        <v>#NAME?</v>
      </c>
      <c r="BO576" s="2" t="e">
        <f ca="1">_xll.BDH($C$553,"TOTAL_ASSETS_SEQUENTIAL_GROWTH","FQ3 2018","FQ3 2018","Currency=INR","Period=FQ","BEST_FPERIOD_OVERRIDE=FQ","FILING_STATUS=OR","EQY_CONSOLIDATED=Y","Sort=A","Dates=H","DateFormat=P","Fill=—","Direction=H","UseDPDF=Y")</f>
        <v>#NAME?</v>
      </c>
      <c r="BP576" s="2" t="e">
        <f ca="1">_xll.BDH($C$553,"MODIFIED_WORKING_CPTL_SEQ_GRWTH","FQ3 2018","FQ3 2018","Currency=INR","Period=FQ","BEST_FPERIOD_OVERRIDE=FQ","FILING_STATUS=OR","EQY_CONSOLIDATED=Y","Sort=A","Dates=H","DateFormat=P","Fill=—","Direction=H","UseDPDF=Y")</f>
        <v>#NAME?</v>
      </c>
      <c r="BQ576" s="2" t="e">
        <f ca="1">_xll.BDH($C$553,"WORKING_CAPITAL_SEQ_GROWTH","FQ3 2018","FQ3 2018","Currency=INR","Period=FQ","BEST_FPERIOD_OVERRIDE=FQ","FILING_STATUS=OR","EQY_CONSOLIDATED=Y","Sort=A","Dates=H","DateFormat=P","Fill=—","Direction=H","UseDPDF=Y")</f>
        <v>#NAME?</v>
      </c>
      <c r="BR576" s="2" t="e">
        <f ca="1">_xll.BDH($C$553,"ACCOUNTS_PAYABLE_SEQ_GROWTH","FQ3 2018","FQ3 2018","Currency=INR","Period=FQ","BEST_FPERIOD_OVERRIDE=FQ","FILING_STATUS=OR","EQY_CONSOLIDATED=Y","Sort=A","Dates=H","DateFormat=P","Fill=—","Direction=H","UseDPDF=Y")</f>
        <v>#NAME?</v>
      </c>
      <c r="BS576" s="2" t="e">
        <f ca="1">_xll.BDH($C$553,"ST_DEBT_SEQUENTIAL_GROWTH","FQ3 2018","FQ3 2018","Currency=INR","Period=FQ","BEST_FPERIOD_OVERRIDE=FQ","FILING_STATUS=OR","EQY_CONSOLIDATED=Y","Sort=A","Dates=H","DateFormat=P","Fill=—","Direction=H","UseDPDF=Y")</f>
        <v>#NAME?</v>
      </c>
      <c r="BT576" s="2" t="e">
        <f ca="1">_xll.BDH($C$553,"TOTAL_DEBT_SEQUENTIAL_GROWTH","FQ3 2018","FQ3 2018","Currency=INR","Period=FQ","BEST_FPERIOD_OVERRIDE=FQ","FILING_STATUS=OR","EQY_CONSOLIDATED=Y","Sort=A","Dates=H","DateFormat=P","Fill=—","Direction=H","UseDPDF=Y")</f>
        <v>#NAME?</v>
      </c>
      <c r="BU576" s="2" t="e">
        <f ca="1">_xll.BDH($C$553,"TOTAL_EQUITY_SEQUENTIAL_GROWTH","FQ3 2018","FQ3 2018","Currency=INR","Period=FQ","BEST_FPERIOD_OVERRIDE=FQ","FILING_STATUS=OR","EQY_CONSOLIDATED=Y","Sort=A","Dates=H","DateFormat=P","Fill=—","Direction=H","UseDPDF=Y")</f>
        <v>#NAME?</v>
      </c>
      <c r="BV576" s="2" t="e">
        <f ca="1">_xll.BDH($C$553,"TOTAL_CAPITAL_SEQUENTIAL_GROWTH","FQ3 2018","FQ3 2018","Currency=INR","Period=FQ","BEST_FPERIOD_OVERRIDE=FQ","FILING_STATUS=OR","EQY_CONSOLIDATED=Y","Sort=A","Dates=H","DateFormat=P","Fill=—","Direction=H","UseDPDF=Y")</f>
        <v>#NAME?</v>
      </c>
      <c r="BW576" s="2" t="e">
        <f ca="1">_xll.BDH($C$553,"BPS_SEQUENTIAL_GROWTH","FQ3 2018","FQ3 2018","Currency=INR","Period=FQ","BEST_FPERIOD_OVERRIDE=FQ","FILING_STATUS=OR","EQY_CONSOLIDATED=Y","Sort=A","Dates=H","DateFormat=P","Fill=—","Direction=H","UseDPDF=Y")</f>
        <v>#NAME?</v>
      </c>
      <c r="BX576" s="2" t="e">
        <f ca="1">_xll.BDH($C$553,"CFO_SEQUENTIAL_GROWTH","FQ3 2018","FQ3 2018","Currency=INR","Period=FQ","BEST_FPERIOD_OVERRIDE=FQ","FILING_STATUS=OR","EQY_CONSOLIDATED=Y","Sort=A","Dates=H","DateFormat=P","Fill=—","Direction=H","UseDPDF=Y")</f>
        <v>#NAME?</v>
      </c>
      <c r="BY576" s="3" t="e">
        <f ca="1">_xll.BDH($C$553,"SHORT_AND_LONG_TERM_DEBT","FQ3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576" s="3" t="e">
        <f ca="1">_xll.BDH($C$553,"BS_ST_BORROW","FQ3 2018","FQ3 2018","Currency=INR","Period=FQ","BEST_FPERIOD_OVERRIDE=FQ","FILING_STATUS=OR","EQY_CONSOLIDATED=Y","SCALING_FORMAT=MLN","Sort=A","Dates=H","DateFormat=P","Fill=—","Direction=H","UseDPDF=Y")</f>
        <v>#NAME?</v>
      </c>
      <c r="CA576" s="3" t="e">
        <f ca="1">_xll.BDH($C$553,"BS_LT_BORROW","FQ3 2018","FQ3 2018","Currency=INR","Period=FQ","BEST_FPERIOD_OVERRIDE=FQ","FILING_STATUS=OR","EQY_CONSOLIDATED=Y","SCALING_FORMAT=MLN","Sort=A","Dates=H","DateFormat=P","Fill=—","Direction=H","UseDPDF=Y")</f>
        <v>#NAME?</v>
      </c>
      <c r="CB576" s="2" t="e">
        <f ca="1">_xll.BDH($C$553,"TOT_DEBT_TO_EBITDA","FQ3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576" s="2" t="e">
        <f ca="1">_xll.BDH($C$553,"NET_DEBT_TO_EBITDA","FQ3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576" s="2" t="e">
        <f ca="1">_xll.BDH($C$553,"TOTAL_DEBT_TO_EBIT","FQ3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576" s="2" t="e">
        <f ca="1">_xll.BDH($C$553,"NET_DEBT_TO_EBIT","FQ3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576" s="2" t="e">
        <f ca="1">_xll.BDH($C$553,"EBITDA_TO_INTEREST_EXPN","FQ3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576" s="2" t="e">
        <f ca="1">_xll.BDH($C$553,"COM_EQY_TO_TOT_ASSET","FQ3 2018","FQ3 2018","Currency=INR","Period=FQ","BEST_FPERIOD_OVERRIDE=FQ","FILING_STATUS=OR","EQY_CONSOLIDATED=Y","Sort=A","Dates=H","DateFormat=P","Fill=—","Direction=H","UseDPDF=Y")</f>
        <v>#NAME?</v>
      </c>
      <c r="CH576" s="2" t="e">
        <f ca="1">_xll.BDH($C$553,"LT_DEBT_TO_TOT_EQY","FQ3 2018","FQ3 2018","Currency=INR","Period=FQ","BEST_FPERIOD_OVERRIDE=FQ","FILING_STATUS=OR","EQY_CONSOLIDATED=Y","Sort=A","Dates=H","DateFormat=P","Fill=—","Direction=H","UseDPDF=Y")</f>
        <v>#NAME?</v>
      </c>
      <c r="CI576" s="2" t="e">
        <f ca="1">_xll.BDH($C$553,"LT_DEBT_TO_TOT_CAP","FQ3 2018","FQ3 2018","Currency=INR","Period=FQ","BEST_FPERIOD_OVERRIDE=FQ","FILING_STATUS=OR","EQY_CONSOLIDATED=Y","Sort=A","Dates=H","DateFormat=P","Fill=—","Direction=H","UseDPDF=Y")</f>
        <v>#NAME?</v>
      </c>
      <c r="CJ576" s="2" t="e">
        <f ca="1">_xll.BDH($C$553,"LT_DEBT_TO_TOT_ASSET","FQ3 2018","FQ3 2018","Currency=INR","Period=FQ","BEST_FPERIOD_OVERRIDE=FQ","FILING_STATUS=OR","EQY_CONSOLIDATED=Y","Sort=A","Dates=H","DateFormat=P","Fill=—","Direction=H","UseDPDF=Y")</f>
        <v>#NAME?</v>
      </c>
      <c r="CK576" s="2" t="e">
        <f ca="1">_xll.BDH($C$553,"TOT_DEBT_TO_TOT_EQY","FQ3 2018","FQ3 2018","Currency=INR","Period=FQ","BEST_FPERIOD_OVERRIDE=FQ","FILING_STATUS=OR","EQY_CONSOLIDATED=Y","Sort=A","Dates=H","DateFormat=P","Fill=—","Direction=H","UseDPDF=Y")</f>
        <v>#NAME?</v>
      </c>
      <c r="CL576" s="2" t="e">
        <f ca="1">_xll.BDH($C$553,"TOT_DEBT_TO_TOT_CAP","FQ3 2018","FQ3 2018","Currency=INR","Period=FQ","BEST_FPERIOD_OVERRIDE=FQ","FILING_STATUS=OR","EQY_CONSOLIDATED=Y","Sort=A","Dates=H","DateFormat=P","Fill=—","Direction=H","UseDPDF=Y")</f>
        <v>#NAME?</v>
      </c>
      <c r="CM576" s="2" t="e">
        <f ca="1">_xll.BDH($C$553,"TOT_DEBT_TO_TOT_ASSET","FQ3 2018","FQ3 2018","Currency=INR","Period=FQ","BEST_FPERIOD_OVERRIDE=FQ","FILING_STATUS=OR","EQY_CONSOLIDATED=Y","Sort=A","Dates=H","DateFormat=P","Fill=—","Direction=H","UseDPDF=Y")</f>
        <v>#NAME?</v>
      </c>
      <c r="CN576" s="2" t="e">
        <f ca="1">_xll.BDH($C$553,"NET_DEBT_TO_SHRHLDR_EQTY","FQ3 2018","FQ3 2018","Currency=INR","Period=FQ","BEST_FPERIOD_OVERRIDE=FQ","FILING_STATUS=OR","EQY_CONSOLIDATED=Y","Sort=A","Dates=H","DateFormat=P","Fill=—","Direction=H","UseDPDF=Y")</f>
        <v>#NAME?</v>
      </c>
      <c r="CO576" s="2" t="e">
        <f ca="1">_xll.BDH($C$553,"NET_DEBT_%_CAPITAL","FQ3 2018","FQ3 2018","Currency=INR","Period=FQ","BEST_FPERIOD_OVERRIDE=FQ","FILING_STATUS=OR","EQY_CONSOLIDATED=Y","Sort=A","Dates=H","DateFormat=P","Fill=—","Direction=H","UseDPDF=Y")</f>
        <v>#NAME?</v>
      </c>
      <c r="CP576" s="3" t="e">
        <f ca="1">_xll.BDH($C$553,"EBITDA","FQ3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576" s="3" t="e">
        <f ca="1">_xll.BDH($C$553,"EBITDA_AFTER_CAPEX","FQ3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576" s="3" t="e">
        <f ca="1">_xll.BDH($C$553,"IS_OPER_INC","FQ3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576" s="2" t="e">
        <f ca="1">_xll.BDH($C$553,"CASH_RATIO","FQ3 2018","FQ3 2018","Currency=INR","Period=FQ","BEST_FPERIOD_OVERRIDE=FQ","FILING_STATUS=OR","EQY_CONSOLIDATED=Y","Sort=A","Dates=H","DateFormat=P","Fill=—","Direction=H","UseDPDF=Y")</f>
        <v>#NAME?</v>
      </c>
      <c r="CT576" s="2" t="e">
        <f ca="1">_xll.BDH($C$553,"CUR_RATIO","FQ3 2018","FQ3 2018","Currency=INR","Period=FQ","BEST_FPERIOD_OVERRIDE=FQ","FILING_STATUS=OR","EQY_CONSOLIDATED=Y","Sort=A","Dates=H","DateFormat=P","Fill=—","Direction=H","UseDPDF=Y")</f>
        <v>#NAME?</v>
      </c>
      <c r="CU576" s="2" t="e">
        <f ca="1">_xll.BDH($C$553,"QUICK_RATIO","FQ3 2018","FQ3 2018","Currency=INR","Period=FQ","BEST_FPERIOD_OVERRIDE=FQ","FILING_STATUS=OR","EQY_CONSOLIDATED=Y","Sort=A","Dates=H","DateFormat=P","Fill=—","Direction=H","UseDPDF=Y")</f>
        <v>#NAME?</v>
      </c>
      <c r="CV576" s="2" t="e">
        <f ca="1">_xll.BDH($C$553,"ALTMAN_Z_SCORE","FQ3 2018","FQ3 2018","Currency=INR","Period=FQ","BEST_FPERIOD_OVERRIDE=FQ","FILING_STATUS=OR","EQY_CONSOLIDATED=Y","Sort=A","Dates=H","DateFormat=P","Fill=—","Direction=H","UseDPDF=Y")</f>
        <v>#NAME?</v>
      </c>
      <c r="CW576" s="4" t="e">
        <f ca="1">_xll.BDH($C$553,"ACCT_RCV_TURN","FQ3 2018","FQ3 2018","Currency=INR","Period=FQ","BEST_FPERIOD_OVERRIDE=FQ","FILING_STATUS=OR","EQY_CONSOLIDATED=Y","FA_ADJUSTED=GAAP","Sort=A","Dates=H","DateFormat=P","Fill=—","Direction=H","UseDPDF=Y")</f>
        <v>#NAME?</v>
      </c>
      <c r="CX576" s="2" t="e">
        <f ca="1">_xll.BDH($C$553,"ACCT_RCV_DAYS","FQ3 2018","FQ3 2018","Currency=INR","Period=FQ","BEST_FPERIOD_OVERRIDE=FQ","FILING_STATUS=OR","EQY_CONSOLIDATED=Y","FA_ADJUSTED=GAAP","Sort=A","Dates=H","DateFormat=P","Fill=—","Direction=H","UseDPDF=Y")</f>
        <v>#NAME?</v>
      </c>
      <c r="CY576" s="4" t="e">
        <f ca="1">_xll.BDH($C$553,"INVENT_TURN","FQ3 2018","FQ3 2018","Currency=INR","Period=FQ","BEST_FPERIOD_OVERRIDE=FQ","FILING_STATUS=OR","EQY_CONSOLIDATED=Y","FA_ADJUSTED=GAAP","Sort=A","Dates=H","DateFormat=P","Fill=—","Direction=H","UseDPDF=Y")</f>
        <v>#NAME?</v>
      </c>
      <c r="CZ576" s="2" t="e">
        <f ca="1">_xll.BDH($C$553,"INVENT_DAYS","FQ3 2018","FQ3 2018","Currency=INR","Period=FQ","BEST_FPERIOD_OVERRIDE=FQ","FILING_STATUS=OR","EQY_CONSOLIDATED=Y","FA_ADJUSTED=GAAP","Sort=A","Dates=H","DateFormat=P","Fill=—","Direction=H","UseDPDF=Y")</f>
        <v>#NAME?</v>
      </c>
      <c r="DA576" s="4" t="e">
        <f ca="1">_xll.BDH($C$553,"ACCOUNTS_PAYABLE_TURNOVER","FQ3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576" s="2" t="e">
        <f ca="1">_xll.BDH($C$553,"ACCOUNTS_PAYABLE_TURNOVER_DAYS","FQ3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576" s="4" t="e">
        <f ca="1">_xll.BDH($C$553,"CASH_CONVERSION_CYCLE","FQ3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576" s="4" t="e">
        <f ca="1">_xll.BDH($C$553,"INV_TO_CASH_DAYS","FQ3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576" s="5" t="e">
        <f ca="1">_xll.BDH($C$553,"BS_INVENTORIES","FQ3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576" s="3" t="e">
        <f ca="1">_xll.BDH($C$553,"INVTRY_RAW_MATERIALS","FQ3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576" s="3" t="e">
        <f ca="1">_xll.BDH($C$553,"INVTRY_IN_PROGRESS","FQ3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576" s="3" t="e">
        <f ca="1">_xll.BDH($C$553,"INVTRY_FINISHED_GOODS","FQ3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576" s="3" t="e">
        <f ca="1">_xll.BDH($C$553,"BS_OTHER_INV","FQ3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577" spans="1:113" x14ac:dyDescent="0.3">
      <c r="A577" s="6"/>
      <c r="B577" s="6"/>
      <c r="C577" s="6"/>
      <c r="D577" s="6"/>
      <c r="E577" t="s">
        <v>81</v>
      </c>
      <c r="F577" t="e">
        <f ca="1">_xll.BDH($C$553,"RETURN_COM_EQY","FQ4 2018","FQ4 2018","Currency=INR","Period=FQ","BEST_FPERIOD_OVERRIDE=FQ","FILING_STATUS=OR","EQY_CONSOLIDATED=Y","FA_ADJUSTED=GAAP","Sort=A","Dates=H","DateFormat=P","Fill=—","Direction=H","UseDPDF=Y")</f>
        <v>#NAME?</v>
      </c>
      <c r="G577" t="e">
        <f ca="1">_xll.BDH($C$553,"RETURN_ON_ASSET","FQ4 2018","FQ4 2018","Currency=INR","Period=FQ","BEST_FPERIOD_OVERRIDE=FQ","FILING_STATUS=OR","EQY_CONSOLIDATED=Y","FA_ADJUSTED=GAAP","Sort=A","Dates=H","DateFormat=P","Fill=—","Direction=H","UseDPDF=Y")</f>
        <v>#NAME?</v>
      </c>
      <c r="H577" t="e">
        <f ca="1">_xll.BDH($C$553,"RETURN_ON_CAP","FQ4 2018","FQ4 2018","Currency=INR","Period=FQ","BEST_FPERIOD_OVERRIDE=FQ","FILING_STATUS=OR","EQY_CONSOLIDATED=Y","FA_ADJUSTED=GAAP","Sort=A","Dates=H","DateFormat=P","Fill=—","Direction=H","UseDPDF=Y")</f>
        <v>#NAME?</v>
      </c>
      <c r="I577" t="e">
        <f ca="1">_xll.BDH($C$553,"RETURN_ON_INV_CAPITAL","FQ4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577" t="e">
        <f ca="1">_xll.BDH($C$553,"EBITDA_TO_REVENUE","FQ4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577" t="e">
        <f ca="1">_xll.BDH($C$553,"OPER_MARGIN","FQ4 2018","FQ4 2018","Currency=INR","Period=FQ","BEST_FPERIOD_OVERRIDE=FQ","FILING_STATUS=OR","EQY_CONSOLIDATED=Y","FA_ADJUSTED=GAAP","Sort=A","Dates=H","DateFormat=P","Fill=—","Direction=H","UseDPDF=Y")</f>
        <v>#NAME?</v>
      </c>
      <c r="L577" t="e">
        <f ca="1">_xll.BDH($C$553,"INCREMENTAL_OPERATING_MARGIN","FQ4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577" t="e">
        <f ca="1">_xll.BDH($C$553,"PRETAX_INC_TO_NET_SALES","FQ4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577" t="e">
        <f ca="1">_xll.BDH($C$553,"INC_BEF_XO_ITEMS_TO_NET_SALES","FQ4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577" t="e">
        <f ca="1">_xll.BDH($C$553,"PROF_MARGIN","FQ4 2018","FQ4 2018","Currency=INR","Period=FQ","BEST_FPERIOD_OVERRIDE=FQ","FILING_STATUS=OR","EQY_CONSOLIDATED=Y","FA_ADJUSTED=GAAP","Sort=A","Dates=H","DateFormat=P","Fill=—","Direction=H","UseDPDF=Y")</f>
        <v>#NAME?</v>
      </c>
      <c r="P577" t="e">
        <f ca="1">_xll.BDH($C$553,"NET_INCOME_TO_COMMON_MARGIN","FQ4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577" t="e">
        <f ca="1">_xll.BDH($C$553,"EFF_TAX_RATE","FQ4 2018","FQ4 2018","Currency=INR","Period=FQ","BEST_FPERIOD_OVERRIDE=FQ","FILING_STATUS=OR","EQY_CONSOLIDATED=Y","FA_ADJUSTED=GAAP","Sort=A","Dates=H","DateFormat=P","Fill=—","Direction=H","UseDPDF=Y")</f>
        <v>#NAME?</v>
      </c>
      <c r="R577" t="e">
        <f ca="1">_xll.BDH($C$553,"DVD_PAYOUT_RATIO","FQ4 2018","FQ4 2018","Currency=INR","Period=FQ","BEST_FPERIOD_OVERRIDE=FQ","FILING_STATUS=OR","EQY_CONSOLIDATED=Y","FA_ADJUSTED=GAAP","Sort=A","Dates=H","DateFormat=P","Fill=—","Direction=H","UseDPDF=Y")</f>
        <v>#NAME?</v>
      </c>
      <c r="S577" t="e">
        <f ca="1">_xll.BDH($C$553,"SUSTAIN_GROWTH_RT","FQ4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577" s="2" t="e">
        <f ca="1">_xll.BDH($C$553,"SALES_GROWTH","FQ4 2018","FQ4 2018","Currency=INR","Period=FQ","BEST_FPERIOD_OVERRIDE=FQ","FILING_STATUS=OR","EQY_CONSOLIDATED=Y","FA_ADJUSTED=GAAP","Sort=A","Dates=H","DateFormat=P","Fill=—","Direction=H","UseDPDF=Y")</f>
        <v>#NAME?</v>
      </c>
      <c r="U577" s="2" t="e">
        <f ca="1">_xll.BDH($C$553,"EBITDA_GROWTH","FQ4 2018","FQ4 2018","Currency=INR","Period=FQ","BEST_FPERIOD_OVERRIDE=FQ","FILING_STATUS=OR","EQY_CONSOLIDATED=Y","FA_ADJUSTED=GAAP","Sort=A","Dates=H","DateFormat=P","Fill=—","Direction=H","UseDPDF=Y")</f>
        <v>#NAME?</v>
      </c>
      <c r="V577" s="2" t="e">
        <f ca="1">_xll.BDH($C$553,"OPER_INC_GROWTH","FQ4 2018","FQ4 2018","Currency=INR","Period=FQ","BEST_FPERIOD_OVERRIDE=FQ","FILING_STATUS=OR","EQY_CONSOLIDATED=Y","FA_ADJUSTED=GAAP","Sort=A","Dates=H","DateFormat=P","Fill=—","Direction=H","UseDPDF=Y")</f>
        <v>#NAME?</v>
      </c>
      <c r="W577" s="2" t="e">
        <f ca="1">_xll.BDH($C$553,"EARN_FOR_COM_GROWTH","FQ4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577" s="2" t="e">
        <f ca="1">_xll.BDH($C$553,"DILUTED_EPS_AFT_XO_ITEMS_GROWTH","FQ4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577" s="2" t="e">
        <f ca="1">_xll.BDH($C$553,"DIVIDEND_PER_SHARE_1_YEAR_GROWTH","FQ4 2018","FQ4 2018","Currency=INR","Period=FQ","BEST_FPERIOD_OVERRIDE=FQ","FILING_STATUS=OR","EQY_CONSOLIDATED=Y","Sort=A","Dates=H","DateFormat=P","Fill=—","Direction=H","UseDPDF=Y")</f>
        <v>#NAME?</v>
      </c>
      <c r="Z577" s="2" t="e">
        <f ca="1">_xll.BDH($C$553,"ACCOUNTS_RECEIVABLE_GROWTH","FQ4 2018","FQ4 2018","Currency=INR","Period=FQ","BEST_FPERIOD_OVERRIDE=FQ","FILING_STATUS=OR","EQY_CONSOLIDATED=Y","Sort=A","Dates=H","DateFormat=P","Fill=—","Direction=H","UseDPDF=Y")</f>
        <v>#NAME?</v>
      </c>
      <c r="AA577" s="2" t="e">
        <f ca="1">_xll.BDH($C$553,"INVENTORY_GROWTH","FQ4 2018","FQ4 2018","Currency=INR","Period=FQ","BEST_FPERIOD_OVERRIDE=FQ","FILING_STATUS=OR","EQY_CONSOLIDATED=Y","Sort=A","Dates=H","DateFormat=P","Fill=—","Direction=H","UseDPDF=Y")</f>
        <v>#NAME?</v>
      </c>
      <c r="AB577" s="2" t="e">
        <f ca="1">_xll.BDH($C$553,"NET_FIXED_ASSETS_1_YEAR_GROWTH","FQ4 2018","FQ4 2018","Currency=INR","Period=FQ","BEST_FPERIOD_OVERRIDE=FQ","FILING_STATUS=OR","EQY_CONSOLIDATED=Y","Sort=A","Dates=H","DateFormat=P","Fill=—","Direction=H","UseDPDF=Y")</f>
        <v>#NAME?</v>
      </c>
      <c r="AC577" s="2" t="e">
        <f ca="1">_xll.BDH($C$553,"ASSET_GROWTH","FQ4 2018","FQ4 2018","Currency=INR","Period=FQ","BEST_FPERIOD_OVERRIDE=FQ","FILING_STATUS=OR","EQY_CONSOLIDATED=Y","Sort=A","Dates=H","DateFormat=P","Fill=—","Direction=H","UseDPDF=Y")</f>
        <v>#NAME?</v>
      </c>
      <c r="AD577" s="2" t="e">
        <f ca="1">_xll.BDH($C$553,"MODIFIED_WORK_CAP_GROWTH","FQ4 2018","FQ4 2018","Currency=INR","Period=FQ","BEST_FPERIOD_OVERRIDE=FQ","FILING_STATUS=OR","EQY_CONSOLIDATED=Y","Sort=A","Dates=H","DateFormat=P","Fill=—","Direction=H","UseDPDF=Y")</f>
        <v>#NAME?</v>
      </c>
      <c r="AE577" s="2" t="e">
        <f ca="1">_xll.BDH($C$553,"WORK_CAP_GROWTH","FQ4 2018","FQ4 2018","Currency=INR","Period=FQ","BEST_FPERIOD_OVERRIDE=FQ","FILING_STATUS=OR","EQY_CONSOLIDATED=Y","Sort=A","Dates=H","DateFormat=P","Fill=—","Direction=H","UseDPDF=Y")</f>
        <v>#NAME?</v>
      </c>
      <c r="AF577" s="2" t="e">
        <f ca="1">_xll.BDH($C$553,"ACCOUNTS_PAYABLE_GROWTH_1YR","FQ4 2018","FQ4 2018","Currency=INR","Period=FQ","BEST_FPERIOD_OVERRIDE=FQ","FILING_STATUS=OR","EQY_CONSOLIDATED=Y","Sort=A","Dates=H","DateFormat=P","Fill=—","Direction=H","UseDPDF=Y")</f>
        <v>#NAME?</v>
      </c>
      <c r="AG577" s="2" t="e">
        <f ca="1">_xll.BDH($C$553,"SHORT_TERM_DEBT_1_YEAR_GROWTH","FQ4 2018","FQ4 2018","Currency=INR","Period=FQ","BEST_FPERIOD_OVERRIDE=FQ","FILING_STATUS=OR","EQY_CONSOLIDATED=Y","Sort=A","Dates=H","DateFormat=P","Fill=—","Direction=H","UseDPDF=Y")</f>
        <v>#NAME?</v>
      </c>
      <c r="AH577" s="2" t="e">
        <f ca="1">_xll.BDH($C$553,"TOTAL_DEBT_1_YEAR_GROWTH","FQ4 2018","FQ4 2018","Currency=INR","Period=FQ","BEST_FPERIOD_OVERRIDE=FQ","FILING_STATUS=OR","EQY_CONSOLIDATED=Y","Sort=A","Dates=H","DateFormat=P","Fill=—","Direction=H","UseDPDF=Y")</f>
        <v>#NAME?</v>
      </c>
      <c r="AI577" s="2" t="e">
        <f ca="1">_xll.BDH($C$553,"TOTAL_EQUITY_1_YEAR_GROWTH","FQ4 2018","FQ4 2018","Currency=INR","Period=FQ","BEST_FPERIOD_OVERRIDE=FQ","FILING_STATUS=OR","EQY_CONSOLIDATED=Y","Sort=A","Dates=H","DateFormat=P","Fill=—","Direction=H","UseDPDF=Y")</f>
        <v>#NAME?</v>
      </c>
      <c r="AJ577" s="2" t="e">
        <f ca="1">_xll.BDH($C$553,"GROWTH_IN_CAP","FQ4 2018","FQ4 2018","Currency=INR","Period=FQ","BEST_FPERIOD_OVERRIDE=FQ","FILING_STATUS=OR","EQY_CONSOLIDATED=Y","Sort=A","Dates=H","DateFormat=P","Fill=—","Direction=H","UseDPDF=Y")</f>
        <v>#NAME?</v>
      </c>
      <c r="AK577" s="2" t="e">
        <f ca="1">_xll.BDH($C$553,"BVPS_GROWTH","FQ4 2018","FQ4 2018","Currency=INR","Period=FQ","BEST_FPERIOD_OVERRIDE=FQ","FILING_STATUS=OR","EQY_CONSOLIDATED=Y","Sort=A","Dates=H","DateFormat=P","Fill=—","Direction=H","UseDPDF=Y")</f>
        <v>#NAME?</v>
      </c>
      <c r="AL577" s="2" t="e">
        <f ca="1">_xll.BDH($C$553,"CASH_FLOW_GROWTH","FQ4 2018","FQ4 2018","Currency=INR","Period=FQ","BEST_FPERIOD_OVERRIDE=FQ","FILING_STATUS=OR","EQY_CONSOLIDATED=Y","Sort=A","Dates=H","DateFormat=P","Fill=—","Direction=H","UseDPDF=Y")</f>
        <v>#NAME?</v>
      </c>
      <c r="AM577" s="2" t="e">
        <f ca="1">_xll.BDH($C$553,"GEO_GROW_NET_SALES","FQ4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577" s="2" t="e">
        <f ca="1">_xll.BDH($C$553,"GEO_GROW_EBITDA","FQ4 2018","FQ4 2018","Currency=INR","Period=FQ","BEST_FPERIOD_OVERRIDE=FQ","FILING_STATUS=OR","EQY_CONSOLIDATED=Y","FA_ADJUSTED=GAAP","Sort=A","Dates=H","DateFormat=P","Fill=—","Direction=H","UseDPDF=Y")</f>
        <v>#NAME?</v>
      </c>
      <c r="AO577" s="2" t="e">
        <f ca="1">_xll.BDH($C$553,"GEO_GROW_OPER_INC","FQ4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577" s="2" t="e">
        <f ca="1">_xll.BDH($C$553,"NET_INCOME_TO_COMMON_5_YR_GROWTH","FQ4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577" s="2" t="e">
        <f ca="1">_xll.BDH($C$553,"5Y_GEO_GROWTH_DILUTED_EPS","FQ4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577" s="2" t="e">
        <f ca="1">_xll.BDH($C$553,"GEO_GROW_DVD_PER_SH","FQ4 2018","FQ4 2018","Currency=INR","Period=FQ","BEST_FPERIOD_OVERRIDE=FQ","FILING_STATUS=OR","EQY_CONSOLIDATED=Y","Sort=A","Dates=H","DateFormat=P","Fill=—","Direction=H","UseDPDF=Y")</f>
        <v>#NAME?</v>
      </c>
      <c r="AS577" s="2" t="e">
        <f ca="1">_xll.BDH($C$553,"ACCOUNTS_RECEIVABLE_5_YR_GROWTH","FQ4 2018","FQ4 2018","Currency=INR","Period=FQ","BEST_FPERIOD_OVERRIDE=FQ","FILING_STATUS=OR","EQY_CONSOLIDATED=Y","Sort=A","Dates=H","DateFormat=P","Fill=—","Direction=H","UseDPDF=Y")</f>
        <v>#NAME?</v>
      </c>
      <c r="AT577" s="2" t="e">
        <f ca="1">_xll.BDH($C$553,"INVENTORY_5_YEAR_GROWTH","FQ4 2018","FQ4 2018","Currency=INR","Period=FQ","BEST_FPERIOD_OVERRIDE=FQ","FILING_STATUS=OR","EQY_CONSOLIDATED=Y","Sort=A","Dates=H","DateFormat=P","Fill=—","Direction=H","UseDPDF=Y")</f>
        <v>#NAME?</v>
      </c>
      <c r="AU577" s="2" t="e">
        <f ca="1">_xll.BDH($C$553,"NET_FIXED_ASSETS_5_YEAR_GROWTH","FQ4 2018","FQ4 2018","Currency=INR","Period=FQ","BEST_FPERIOD_OVERRIDE=FQ","FILING_STATUS=OR","EQY_CONSOLIDATED=Y","Sort=A","Dates=H","DateFormat=P","Fill=—","Direction=H","UseDPDF=Y")</f>
        <v>#NAME?</v>
      </c>
      <c r="AV577" s="2" t="e">
        <f ca="1">_xll.BDH($C$553,"GEO_GROW_TOT_ASSET","FQ4 2018","FQ4 2018","Currency=INR","Period=FQ","BEST_FPERIOD_OVERRIDE=FQ","FILING_STATUS=OR","EQY_CONSOLIDATED=Y","Sort=A","Dates=H","DateFormat=P","Fill=—","Direction=H","UseDPDF=Y")</f>
        <v>#NAME?</v>
      </c>
      <c r="AW577" s="2" t="e">
        <f ca="1">_xll.BDH($C$553,"MODIFIED_WORKING_CPTL_5YR_GRWTH","FQ4 2018","FQ4 2018","Currency=INR","Period=FQ","BEST_FPERIOD_OVERRIDE=FQ","FILING_STATUS=OR","EQY_CONSOLIDATED=Y","Sort=A","Dates=H","DateFormat=P","Fill=—","Direction=H","UseDPDF=Y")</f>
        <v>#NAME?</v>
      </c>
      <c r="AX577" s="2" t="e">
        <f ca="1">_xll.BDH($C$553,"WORKING_CAPITAL_5_YEAR_GROWTH","FQ4 2018","FQ4 2018","Currency=INR","Period=FQ","BEST_FPERIOD_OVERRIDE=FQ","FILING_STATUS=OR","EQY_CONSOLIDATED=Y","Sort=A","Dates=H","DateFormat=P","Fill=—","Direction=H","UseDPDF=Y")</f>
        <v>#NAME?</v>
      </c>
      <c r="AY577" s="2" t="e">
        <f ca="1">_xll.BDH($C$553,"ACCOUNTS_PAYABLE_5_YEAR_GROWTH","FQ4 2018","FQ4 2018","Currency=INR","Period=FQ","BEST_FPERIOD_OVERRIDE=FQ","FILING_STATUS=OR","EQY_CONSOLIDATED=Y","Sort=A","Dates=H","DateFormat=P","Fill=—","Direction=H","UseDPDF=Y")</f>
        <v>#NAME?</v>
      </c>
      <c r="AZ577" s="2" t="e">
        <f ca="1">_xll.BDH($C$553,"SHORT_TERM_DEBT_5_YEAR_GROWTH","FQ4 2018","FQ4 2018","Currency=INR","Period=FQ","BEST_FPERIOD_OVERRIDE=FQ","FILING_STATUS=OR","EQY_CONSOLIDATED=Y","Sort=A","Dates=H","DateFormat=P","Fill=—","Direction=H","UseDPDF=Y")</f>
        <v>#NAME?</v>
      </c>
      <c r="BA577" s="2" t="e">
        <f ca="1">_xll.BDH($C$553,"TOTAL_DEBT_5_YEAR_GROWTH","FQ4 2018","FQ4 2018","Currency=INR","Period=FQ","BEST_FPERIOD_OVERRIDE=FQ","FILING_STATUS=OR","EQY_CONSOLIDATED=Y","Sort=A","Dates=H","DateFormat=P","Fill=—","Direction=H","UseDPDF=Y")</f>
        <v>#NAME?</v>
      </c>
      <c r="BB577" s="2" t="e">
        <f ca="1">_xll.BDH($C$553,"GEO_GROW_TOT_SHRHLDR_EQY","FQ4 2018","FQ4 2018","Currency=INR","Period=FQ","BEST_FPERIOD_OVERRIDE=FQ","FILING_STATUS=OR","EQY_CONSOLIDATED=Y","Sort=A","Dates=H","DateFormat=P","Fill=—","Direction=H","UseDPDF=Y")</f>
        <v>#NAME?</v>
      </c>
      <c r="BC577" s="2" t="e">
        <f ca="1">_xll.BDH($C$553,"TOTAL_CAPITAL_5_YEAR_GROWTH","FQ4 2018","FQ4 2018","Currency=INR","Period=FQ","BEST_FPERIOD_OVERRIDE=FQ","FILING_STATUS=OR","EQY_CONSOLIDATED=Y","Sort=A","Dates=H","DateFormat=P","Fill=—","Direction=H","UseDPDF=Y")</f>
        <v>#NAME?</v>
      </c>
      <c r="BD577" s="2" t="e">
        <f ca="1">_xll.BDH($C$553,"GEO_GROW_BOOK_VAL","FQ4 2018","FQ4 2018","Currency=INR","Period=FQ","BEST_FPERIOD_OVERRIDE=FQ","FILING_STATUS=OR","EQY_CONSOLIDATED=Y","Sort=A","Dates=H","DateFormat=P","Fill=—","Direction=H","UseDPDF=Y")</f>
        <v>#NAME?</v>
      </c>
      <c r="BE577" s="2" t="e">
        <f ca="1">_xll.BDH($C$553,"GEO_GROW_CASH_OPER_ACT","FQ4 2018","FQ4 2018","Currency=INR","Period=FQ","BEST_FPERIOD_OVERRIDE=FQ","FILING_STATUS=OR","EQY_CONSOLIDATED=Y","Sort=A","Dates=H","DateFormat=P","Fill=—","Direction=H","UseDPDF=Y")</f>
        <v>#NAME?</v>
      </c>
      <c r="BF577" s="2" t="e">
        <f ca="1">_xll.BDH($C$553,"REVENUE_SEQUENTIAL_GROWTH","FQ4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577" s="2" t="e">
        <f ca="1">_xll.BDH($C$553,"EBITDA_SEQUENTIAL_GROWTH","FQ4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577" s="2" t="e">
        <f ca="1">_xll.BDH($C$553,"OPERATING_INCOME_SEQ_GROWTH","FQ4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577" s="2" t="e">
        <f ca="1">_xll.BDH($C$553,"NET_INCOME_TO_COMMON_SEQ_GROWTH","FQ4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577" s="2" t="e">
        <f ca="1">_xll.BDH($C$553,"EPS_DILUTED_SEQUENTIAL_GROWTH","FQ4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577" s="2" t="e">
        <f ca="1">_xll.BDH($C$553,"DPS_SEQUENTIAL_GROWTH","FQ4 2018","FQ4 2018","Currency=INR","Period=FQ","BEST_FPERIOD_OVERRIDE=FQ","FILING_STATUS=OR","EQY_CONSOLIDATED=Y","Sort=A","Dates=H","DateFormat=P","Fill=—","Direction=H","UseDPDF=Y")</f>
        <v>#NAME?</v>
      </c>
      <c r="BL577" s="2" t="e">
        <f ca="1">_xll.BDH($C$553,"ACCOUNTS_RECEIVABLE_SEQ_GROWTH","FQ4 2018","FQ4 2018","Currency=INR","Period=FQ","BEST_FPERIOD_OVERRIDE=FQ","FILING_STATUS=OR","EQY_CONSOLIDATED=Y","Sort=A","Dates=H","DateFormat=P","Fill=—","Direction=H","UseDPDF=Y")</f>
        <v>#NAME?</v>
      </c>
      <c r="BM577" s="2" t="e">
        <f ca="1">_xll.BDH($C$553,"INVENTORY_SEQUENTIAL_GROWTH","FQ4 2018","FQ4 2018","Currency=INR","Period=FQ","BEST_FPERIOD_OVERRIDE=FQ","FILING_STATUS=OR","EQY_CONSOLIDATED=Y","Sort=A","Dates=H","DateFormat=P","Fill=—","Direction=H","UseDPDF=Y")</f>
        <v>#NAME?</v>
      </c>
      <c r="BN577" s="2" t="e">
        <f ca="1">_xll.BDH($C$553,"FIXED_ASSETS_SEQUENTIAL_GROWTH","FQ4 2018","FQ4 2018","Currency=INR","Period=FQ","BEST_FPERIOD_OVERRIDE=FQ","FILING_STATUS=OR","EQY_CONSOLIDATED=Y","Sort=A","Dates=H","DateFormat=P","Fill=—","Direction=H","UseDPDF=Y")</f>
        <v>#NAME?</v>
      </c>
      <c r="BO577" s="2" t="e">
        <f ca="1">_xll.BDH($C$553,"TOTAL_ASSETS_SEQUENTIAL_GROWTH","FQ4 2018","FQ4 2018","Currency=INR","Period=FQ","BEST_FPERIOD_OVERRIDE=FQ","FILING_STATUS=OR","EQY_CONSOLIDATED=Y","Sort=A","Dates=H","DateFormat=P","Fill=—","Direction=H","UseDPDF=Y")</f>
        <v>#NAME?</v>
      </c>
      <c r="BP577" s="2" t="e">
        <f ca="1">_xll.BDH($C$553,"MODIFIED_WORKING_CPTL_SEQ_GRWTH","FQ4 2018","FQ4 2018","Currency=INR","Period=FQ","BEST_FPERIOD_OVERRIDE=FQ","FILING_STATUS=OR","EQY_CONSOLIDATED=Y","Sort=A","Dates=H","DateFormat=P","Fill=—","Direction=H","UseDPDF=Y")</f>
        <v>#NAME?</v>
      </c>
      <c r="BQ577" s="2" t="e">
        <f ca="1">_xll.BDH($C$553,"WORKING_CAPITAL_SEQ_GROWTH","FQ4 2018","FQ4 2018","Currency=INR","Period=FQ","BEST_FPERIOD_OVERRIDE=FQ","FILING_STATUS=OR","EQY_CONSOLIDATED=Y","Sort=A","Dates=H","DateFormat=P","Fill=—","Direction=H","UseDPDF=Y")</f>
        <v>#NAME?</v>
      </c>
      <c r="BR577" s="2" t="e">
        <f ca="1">_xll.BDH($C$553,"ACCOUNTS_PAYABLE_SEQ_GROWTH","FQ4 2018","FQ4 2018","Currency=INR","Period=FQ","BEST_FPERIOD_OVERRIDE=FQ","FILING_STATUS=OR","EQY_CONSOLIDATED=Y","Sort=A","Dates=H","DateFormat=P","Fill=—","Direction=H","UseDPDF=Y")</f>
        <v>#NAME?</v>
      </c>
      <c r="BS577" s="2" t="e">
        <f ca="1">_xll.BDH($C$553,"ST_DEBT_SEQUENTIAL_GROWTH","FQ4 2018","FQ4 2018","Currency=INR","Period=FQ","BEST_FPERIOD_OVERRIDE=FQ","FILING_STATUS=OR","EQY_CONSOLIDATED=Y","Sort=A","Dates=H","DateFormat=P","Fill=—","Direction=H","UseDPDF=Y")</f>
        <v>#NAME?</v>
      </c>
      <c r="BT577" s="2" t="e">
        <f ca="1">_xll.BDH($C$553,"TOTAL_DEBT_SEQUENTIAL_GROWTH","FQ4 2018","FQ4 2018","Currency=INR","Period=FQ","BEST_FPERIOD_OVERRIDE=FQ","FILING_STATUS=OR","EQY_CONSOLIDATED=Y","Sort=A","Dates=H","DateFormat=P","Fill=—","Direction=H","UseDPDF=Y")</f>
        <v>#NAME?</v>
      </c>
      <c r="BU577" s="2" t="e">
        <f ca="1">_xll.BDH($C$553,"TOTAL_EQUITY_SEQUENTIAL_GROWTH","FQ4 2018","FQ4 2018","Currency=INR","Period=FQ","BEST_FPERIOD_OVERRIDE=FQ","FILING_STATUS=OR","EQY_CONSOLIDATED=Y","Sort=A","Dates=H","DateFormat=P","Fill=—","Direction=H","UseDPDF=Y")</f>
        <v>#NAME?</v>
      </c>
      <c r="BV577" s="2" t="e">
        <f ca="1">_xll.BDH($C$553,"TOTAL_CAPITAL_SEQUENTIAL_GROWTH","FQ4 2018","FQ4 2018","Currency=INR","Period=FQ","BEST_FPERIOD_OVERRIDE=FQ","FILING_STATUS=OR","EQY_CONSOLIDATED=Y","Sort=A","Dates=H","DateFormat=P","Fill=—","Direction=H","UseDPDF=Y")</f>
        <v>#NAME?</v>
      </c>
      <c r="BW577" s="2" t="e">
        <f ca="1">_xll.BDH($C$553,"BPS_SEQUENTIAL_GROWTH","FQ4 2018","FQ4 2018","Currency=INR","Period=FQ","BEST_FPERIOD_OVERRIDE=FQ","FILING_STATUS=OR","EQY_CONSOLIDATED=Y","Sort=A","Dates=H","DateFormat=P","Fill=—","Direction=H","UseDPDF=Y")</f>
        <v>#NAME?</v>
      </c>
      <c r="BX577" s="2" t="e">
        <f ca="1">_xll.BDH($C$553,"CFO_SEQUENTIAL_GROWTH","FQ4 2018","FQ4 2018","Currency=INR","Period=FQ","BEST_FPERIOD_OVERRIDE=FQ","FILING_STATUS=OR","EQY_CONSOLIDATED=Y","Sort=A","Dates=H","DateFormat=P","Fill=—","Direction=H","UseDPDF=Y")</f>
        <v>#NAME?</v>
      </c>
      <c r="BY577" s="3" t="e">
        <f ca="1">_xll.BDH($C$553,"SHORT_AND_LONG_TERM_DEBT","FQ4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577" s="3" t="e">
        <f ca="1">_xll.BDH($C$553,"BS_ST_BORROW","FQ4 2018","FQ4 2018","Currency=INR","Period=FQ","BEST_FPERIOD_OVERRIDE=FQ","FILING_STATUS=OR","EQY_CONSOLIDATED=Y","SCALING_FORMAT=MLN","Sort=A","Dates=H","DateFormat=P","Fill=—","Direction=H","UseDPDF=Y")</f>
        <v>#NAME?</v>
      </c>
      <c r="CA577" s="3" t="e">
        <f ca="1">_xll.BDH($C$553,"BS_LT_BORROW","FQ4 2018","FQ4 2018","Currency=INR","Period=FQ","BEST_FPERIOD_OVERRIDE=FQ","FILING_STATUS=OR","EQY_CONSOLIDATED=Y","SCALING_FORMAT=MLN","Sort=A","Dates=H","DateFormat=P","Fill=—","Direction=H","UseDPDF=Y")</f>
        <v>#NAME?</v>
      </c>
      <c r="CB577" s="2" t="e">
        <f ca="1">_xll.BDH($C$553,"TOT_DEBT_TO_EBITDA","FQ4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577" s="2" t="e">
        <f ca="1">_xll.BDH($C$553,"NET_DEBT_TO_EBITDA","FQ4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577" s="2" t="e">
        <f ca="1">_xll.BDH($C$553,"TOTAL_DEBT_TO_EBIT","FQ4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577" s="2" t="e">
        <f ca="1">_xll.BDH($C$553,"NET_DEBT_TO_EBIT","FQ4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577" s="2" t="e">
        <f ca="1">_xll.BDH($C$553,"EBITDA_TO_INTEREST_EXPN","FQ4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577" s="2" t="e">
        <f ca="1">_xll.BDH($C$553,"COM_EQY_TO_TOT_ASSET","FQ4 2018","FQ4 2018","Currency=INR","Period=FQ","BEST_FPERIOD_OVERRIDE=FQ","FILING_STATUS=OR","EQY_CONSOLIDATED=Y","Sort=A","Dates=H","DateFormat=P","Fill=—","Direction=H","UseDPDF=Y")</f>
        <v>#NAME?</v>
      </c>
      <c r="CH577" s="2" t="e">
        <f ca="1">_xll.BDH($C$553,"LT_DEBT_TO_TOT_EQY","FQ4 2018","FQ4 2018","Currency=INR","Period=FQ","BEST_FPERIOD_OVERRIDE=FQ","FILING_STATUS=OR","EQY_CONSOLIDATED=Y","Sort=A","Dates=H","DateFormat=P","Fill=—","Direction=H","UseDPDF=Y")</f>
        <v>#NAME?</v>
      </c>
      <c r="CI577" s="2" t="e">
        <f ca="1">_xll.BDH($C$553,"LT_DEBT_TO_TOT_CAP","FQ4 2018","FQ4 2018","Currency=INR","Period=FQ","BEST_FPERIOD_OVERRIDE=FQ","FILING_STATUS=OR","EQY_CONSOLIDATED=Y","Sort=A","Dates=H","DateFormat=P","Fill=—","Direction=H","UseDPDF=Y")</f>
        <v>#NAME?</v>
      </c>
      <c r="CJ577" s="2" t="e">
        <f ca="1">_xll.BDH($C$553,"LT_DEBT_TO_TOT_ASSET","FQ4 2018","FQ4 2018","Currency=INR","Period=FQ","BEST_FPERIOD_OVERRIDE=FQ","FILING_STATUS=OR","EQY_CONSOLIDATED=Y","Sort=A","Dates=H","DateFormat=P","Fill=—","Direction=H","UseDPDF=Y")</f>
        <v>#NAME?</v>
      </c>
      <c r="CK577" s="2" t="e">
        <f ca="1">_xll.BDH($C$553,"TOT_DEBT_TO_TOT_EQY","FQ4 2018","FQ4 2018","Currency=INR","Period=FQ","BEST_FPERIOD_OVERRIDE=FQ","FILING_STATUS=OR","EQY_CONSOLIDATED=Y","Sort=A","Dates=H","DateFormat=P","Fill=—","Direction=H","UseDPDF=Y")</f>
        <v>#NAME?</v>
      </c>
      <c r="CL577" s="2" t="e">
        <f ca="1">_xll.BDH($C$553,"TOT_DEBT_TO_TOT_CAP","FQ4 2018","FQ4 2018","Currency=INR","Period=FQ","BEST_FPERIOD_OVERRIDE=FQ","FILING_STATUS=OR","EQY_CONSOLIDATED=Y","Sort=A","Dates=H","DateFormat=P","Fill=—","Direction=H","UseDPDF=Y")</f>
        <v>#NAME?</v>
      </c>
      <c r="CM577" s="2" t="e">
        <f ca="1">_xll.BDH($C$553,"TOT_DEBT_TO_TOT_ASSET","FQ4 2018","FQ4 2018","Currency=INR","Period=FQ","BEST_FPERIOD_OVERRIDE=FQ","FILING_STATUS=OR","EQY_CONSOLIDATED=Y","Sort=A","Dates=H","DateFormat=P","Fill=—","Direction=H","UseDPDF=Y")</f>
        <v>#NAME?</v>
      </c>
      <c r="CN577" s="2" t="e">
        <f ca="1">_xll.BDH($C$553,"NET_DEBT_TO_SHRHLDR_EQTY","FQ4 2018","FQ4 2018","Currency=INR","Period=FQ","BEST_FPERIOD_OVERRIDE=FQ","FILING_STATUS=OR","EQY_CONSOLIDATED=Y","Sort=A","Dates=H","DateFormat=P","Fill=—","Direction=H","UseDPDF=Y")</f>
        <v>#NAME?</v>
      </c>
      <c r="CO577" s="2" t="e">
        <f ca="1">_xll.BDH($C$553,"NET_DEBT_%_CAPITAL","FQ4 2018","FQ4 2018","Currency=INR","Period=FQ","BEST_FPERIOD_OVERRIDE=FQ","FILING_STATUS=OR","EQY_CONSOLIDATED=Y","Sort=A","Dates=H","DateFormat=P","Fill=—","Direction=H","UseDPDF=Y")</f>
        <v>#NAME?</v>
      </c>
      <c r="CP577" s="3" t="e">
        <f ca="1">_xll.BDH($C$553,"EBITDA","FQ4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577" s="3" t="e">
        <f ca="1">_xll.BDH($C$553,"EBITDA_AFTER_CAPEX","FQ4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577" s="3" t="e">
        <f ca="1">_xll.BDH($C$553,"IS_OPER_INC","FQ4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577" s="2" t="e">
        <f ca="1">_xll.BDH($C$553,"CASH_RATIO","FQ4 2018","FQ4 2018","Currency=INR","Period=FQ","BEST_FPERIOD_OVERRIDE=FQ","FILING_STATUS=OR","EQY_CONSOLIDATED=Y","Sort=A","Dates=H","DateFormat=P","Fill=—","Direction=H","UseDPDF=Y")</f>
        <v>#NAME?</v>
      </c>
      <c r="CT577" s="2" t="e">
        <f ca="1">_xll.BDH($C$553,"CUR_RATIO","FQ4 2018","FQ4 2018","Currency=INR","Period=FQ","BEST_FPERIOD_OVERRIDE=FQ","FILING_STATUS=OR","EQY_CONSOLIDATED=Y","Sort=A","Dates=H","DateFormat=P","Fill=—","Direction=H","UseDPDF=Y")</f>
        <v>#NAME?</v>
      </c>
      <c r="CU577" s="2" t="e">
        <f ca="1">_xll.BDH($C$553,"QUICK_RATIO","FQ4 2018","FQ4 2018","Currency=INR","Period=FQ","BEST_FPERIOD_OVERRIDE=FQ","FILING_STATUS=OR","EQY_CONSOLIDATED=Y","Sort=A","Dates=H","DateFormat=P","Fill=—","Direction=H","UseDPDF=Y")</f>
        <v>#NAME?</v>
      </c>
      <c r="CV577" s="2" t="e">
        <f ca="1">_xll.BDH($C$553,"ALTMAN_Z_SCORE","FQ4 2018","FQ4 2018","Currency=INR","Period=FQ","BEST_FPERIOD_OVERRIDE=FQ","FILING_STATUS=OR","EQY_CONSOLIDATED=Y","Sort=A","Dates=H","DateFormat=P","Fill=—","Direction=H","UseDPDF=Y")</f>
        <v>#NAME?</v>
      </c>
      <c r="CW577" s="4" t="e">
        <f ca="1">_xll.BDH($C$553,"ACCT_RCV_TURN","FQ4 2018","FQ4 2018","Currency=INR","Period=FQ","BEST_FPERIOD_OVERRIDE=FQ","FILING_STATUS=OR","EQY_CONSOLIDATED=Y","FA_ADJUSTED=GAAP","Sort=A","Dates=H","DateFormat=P","Fill=—","Direction=H","UseDPDF=Y")</f>
        <v>#NAME?</v>
      </c>
      <c r="CX577" s="2" t="e">
        <f ca="1">_xll.BDH($C$553,"ACCT_RCV_DAYS","FQ4 2018","FQ4 2018","Currency=INR","Period=FQ","BEST_FPERIOD_OVERRIDE=FQ","FILING_STATUS=OR","EQY_CONSOLIDATED=Y","FA_ADJUSTED=GAAP","Sort=A","Dates=H","DateFormat=P","Fill=—","Direction=H","UseDPDF=Y")</f>
        <v>#NAME?</v>
      </c>
      <c r="CY577" s="4" t="e">
        <f ca="1">_xll.BDH($C$553,"INVENT_TURN","FQ4 2018","FQ4 2018","Currency=INR","Period=FQ","BEST_FPERIOD_OVERRIDE=FQ","FILING_STATUS=OR","EQY_CONSOLIDATED=Y","FA_ADJUSTED=GAAP","Sort=A","Dates=H","DateFormat=P","Fill=—","Direction=H","UseDPDF=Y")</f>
        <v>#NAME?</v>
      </c>
      <c r="CZ577" s="2" t="e">
        <f ca="1">_xll.BDH($C$553,"INVENT_DAYS","FQ4 2018","FQ4 2018","Currency=INR","Period=FQ","BEST_FPERIOD_OVERRIDE=FQ","FILING_STATUS=OR","EQY_CONSOLIDATED=Y","FA_ADJUSTED=GAAP","Sort=A","Dates=H","DateFormat=P","Fill=—","Direction=H","UseDPDF=Y")</f>
        <v>#NAME?</v>
      </c>
      <c r="DA577" s="4" t="e">
        <f ca="1">_xll.BDH($C$553,"ACCOUNTS_PAYABLE_TURNOVER","FQ4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577" s="2" t="e">
        <f ca="1">_xll.BDH($C$553,"ACCOUNTS_PAYABLE_TURNOVER_DAYS","FQ4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577" s="4" t="e">
        <f ca="1">_xll.BDH($C$553,"CASH_CONVERSION_CYCLE","FQ4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577" s="4" t="e">
        <f ca="1">_xll.BDH($C$553,"INV_TO_CASH_DAYS","FQ4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577" s="5" t="e">
        <f ca="1">_xll.BDH($C$553,"BS_INVENTORIES","FQ4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577" s="3" t="e">
        <f ca="1">_xll.BDH($C$553,"INVTRY_RAW_MATERIALS","FQ4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577" s="3" t="e">
        <f ca="1">_xll.BDH($C$553,"INVTRY_IN_PROGRESS","FQ4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577" s="3" t="e">
        <f ca="1">_xll.BDH($C$553,"INVTRY_FINISHED_GOODS","FQ4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577" s="3" t="e">
        <f ca="1">_xll.BDH($C$553,"BS_OTHER_INV","FQ4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578" spans="1:113" x14ac:dyDescent="0.3">
      <c r="A578" s="6">
        <v>24</v>
      </c>
      <c r="B578" s="6" t="s">
        <v>130</v>
      </c>
      <c r="C578" s="6" t="s">
        <v>131</v>
      </c>
      <c r="D578" s="6" t="s">
        <v>76</v>
      </c>
      <c r="E578" t="s">
        <v>77</v>
      </c>
      <c r="F578" t="e">
        <f ca="1">_xll.BDH($C$578,"RETURN_COM_EQY","FY 2014","FY 2014","Currency=INR","Period=FY","BEST_FPERIOD_OVERRIDE=FY","FILING_STATUS=OR","EQY_CONSOLIDATED=Y","FA_ADJUSTED=GAAP","Sort=A","Dates=H","DateFormat=P","Fill=—","Direction=H","UseDPDF=Y")</f>
        <v>#NAME?</v>
      </c>
      <c r="G578" t="e">
        <f ca="1">_xll.BDH($C$578,"RETURN_ON_ASSET","FY 2014","FY 2014","Currency=INR","Period=FY","BEST_FPERIOD_OVERRIDE=FY","FILING_STATUS=OR","EQY_CONSOLIDATED=Y","FA_ADJUSTED=GAAP","Sort=A","Dates=H","DateFormat=P","Fill=—","Direction=H","UseDPDF=Y")</f>
        <v>#NAME?</v>
      </c>
      <c r="H578" t="e">
        <f ca="1">_xll.BDH($C$578,"RETURN_ON_CAP","FY 2014","FY 2014","Currency=INR","Period=FY","BEST_FPERIOD_OVERRIDE=FY","FILING_STATUS=OR","EQY_CONSOLIDATED=Y","FA_ADJUSTED=GAAP","Sort=A","Dates=H","DateFormat=P","Fill=—","Direction=H","UseDPDF=Y")</f>
        <v>#NAME?</v>
      </c>
      <c r="I578" t="e">
        <f ca="1">_xll.BDH($C$578,"RETURN_ON_INV_CAPITAL","FY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578" t="e">
        <f ca="1">_xll.BDH($C$578,"EBITDA_TO_REVENUE","FY 2014","FY 2014","Currency=INR","Period=FY","BEST_FPERIOD_OVERRIDE=FY","FILING_STATUS=OR","EQY_CONSOLIDATED=Y","FA_ADJUSTED=GAAP","Sort=A","Dates=H","DateFormat=P","Fill=—","Direction=H","UseDPDF=Y")</f>
        <v>#NAME?</v>
      </c>
      <c r="K578" t="e">
        <f ca="1">_xll.BDH($C$578,"OPER_MARGIN","FY 2014","FY 2014","Currency=INR","Period=FY","BEST_FPERIOD_OVERRIDE=FY","FILING_STATUS=OR","EQY_CONSOLIDATED=Y","FA_ADJUSTED=GAAP","Sort=A","Dates=H","DateFormat=P","Fill=—","Direction=H","UseDPDF=Y")</f>
        <v>#NAME?</v>
      </c>
      <c r="L578" t="e">
        <f ca="1">_xll.BDH($C$578,"INCREMENTAL_OPERATING_MARGIN","FY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578" t="e">
        <f ca="1">_xll.BDH($C$578,"PRETAX_INC_TO_NET_SALES","FY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578" t="e">
        <f ca="1">_xll.BDH($C$578,"INC_BEF_XO_ITEMS_TO_NET_SALES","FY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578" t="e">
        <f ca="1">_xll.BDH($C$578,"PROF_MARGIN","FY 2014","FY 2014","Currency=INR","Period=FY","BEST_FPERIOD_OVERRIDE=FY","FILING_STATUS=OR","EQY_CONSOLIDATED=Y","FA_ADJUSTED=GAAP","Sort=A","Dates=H","DateFormat=P","Fill=—","Direction=H","UseDPDF=Y")</f>
        <v>#NAME?</v>
      </c>
      <c r="P578" t="e">
        <f ca="1">_xll.BDH($C$578,"NET_INCOME_TO_COMMON_MARGIN","FY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578" t="e">
        <f ca="1">_xll.BDH($C$578,"EFF_TAX_RATE","FY 2014","FY 2014","Currency=INR","Period=FY","BEST_FPERIOD_OVERRIDE=FY","FILING_STATUS=OR","EQY_CONSOLIDATED=Y","FA_ADJUSTED=GAAP","Sort=A","Dates=H","DateFormat=P","Fill=—","Direction=H","UseDPDF=Y")</f>
        <v>#NAME?</v>
      </c>
      <c r="R578" t="e">
        <f ca="1">_xll.BDH($C$578,"DVD_PAYOUT_RATIO","FY 2014","FY 2014","Currency=INR","Period=FY","BEST_FPERIOD_OVERRIDE=FY","FILING_STATUS=OR","EQY_CONSOLIDATED=Y","FA_ADJUSTED=GAAP","Sort=A","Dates=H","DateFormat=P","Fill=—","Direction=H","UseDPDF=Y")</f>
        <v>#NAME?</v>
      </c>
      <c r="S578" t="e">
        <f ca="1">_xll.BDH($C$578,"SUSTAIN_GROWTH_RT","FY 2014","FY 2014","Currency=INR","Period=FY","BEST_FPERIOD_OVERRIDE=FY","FILING_STATUS=OR","EQY_CONSOLIDATED=Y","FA_ADJUSTED=GAAP","Sort=A","Dates=H","DateFormat=P","Fill=—","Direction=H","UseDPDF=Y")</f>
        <v>#NAME?</v>
      </c>
      <c r="T578" s="2" t="e">
        <f ca="1">_xll.BDH($C$578,"SALES_GROWTH","FY 2014","FY 2014","Currency=INR","Period=FY","BEST_FPERIOD_OVERRIDE=FY","FILING_STATUS=OR","EQY_CONSOLIDATED=Y","FA_ADJUSTED=GAAP","Sort=A","Dates=H","DateFormat=P","Fill=—","Direction=H","UseDPDF=Y")</f>
        <v>#NAME?</v>
      </c>
      <c r="U578" s="2" t="e">
        <f ca="1">_xll.BDH($C$578,"EBITDA_GROWTH","FY 2014","FY 2014","Currency=INR","Period=FY","BEST_FPERIOD_OVERRIDE=FY","FILING_STATUS=OR","EQY_CONSOLIDATED=Y","FA_ADJUSTED=GAAP","Sort=A","Dates=H","DateFormat=P","Fill=—","Direction=H","UseDPDF=Y")</f>
        <v>#NAME?</v>
      </c>
      <c r="V578" s="2" t="e">
        <f ca="1">_xll.BDH($C$578,"OPER_INC_GROWTH","FY 2014","FY 2014","Currency=INR","Period=FY","BEST_FPERIOD_OVERRIDE=FY","FILING_STATUS=OR","EQY_CONSOLIDATED=Y","FA_ADJUSTED=GAAP","Sort=A","Dates=H","DateFormat=P","Fill=—","Direction=H","UseDPDF=Y")</f>
        <v>#NAME?</v>
      </c>
      <c r="W578" s="2" t="e">
        <f ca="1">_xll.BDH($C$578,"EARN_FOR_COM_GROWTH","FY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578" s="2" t="e">
        <f ca="1">_xll.BDH($C$578,"DILUTED_EPS_AFT_XO_ITEMS_GROWTH","FY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578" s="2" t="e">
        <f ca="1">_xll.BDH($C$578,"DIVIDEND_PER_SHARE_1_YEAR_GROWTH","FY 2014","FY 2014","Currency=INR","Period=FY","BEST_FPERIOD_OVERRIDE=FY","FILING_STATUS=OR","EQY_CONSOLIDATED=Y","Sort=A","Dates=H","DateFormat=P","Fill=—","Direction=H","UseDPDF=Y")</f>
        <v>#NAME?</v>
      </c>
      <c r="Z578" s="2" t="e">
        <f ca="1">_xll.BDH($C$578,"ACCOUNTS_RECEIVABLE_GROWTH","FY 2014","FY 2014","Currency=INR","Period=FY","BEST_FPERIOD_OVERRIDE=FY","FILING_STATUS=OR","EQY_CONSOLIDATED=Y","Sort=A","Dates=H","DateFormat=P","Fill=—","Direction=H","UseDPDF=Y")</f>
        <v>#NAME?</v>
      </c>
      <c r="AA578" s="2" t="e">
        <f ca="1">_xll.BDH($C$578,"INVENTORY_GROWTH","FY 2014","FY 2014","Currency=INR","Period=FY","BEST_FPERIOD_OVERRIDE=FY","FILING_STATUS=OR","EQY_CONSOLIDATED=Y","Sort=A","Dates=H","DateFormat=P","Fill=—","Direction=H","UseDPDF=Y")</f>
        <v>#NAME?</v>
      </c>
      <c r="AB578" s="2" t="e">
        <f ca="1">_xll.BDH($C$578,"NET_FIXED_ASSETS_1_YEAR_GROWTH","FY 2014","FY 2014","Currency=INR","Period=FY","BEST_FPERIOD_OVERRIDE=FY","FILING_STATUS=OR","EQY_CONSOLIDATED=Y","Sort=A","Dates=H","DateFormat=P","Fill=—","Direction=H","UseDPDF=Y")</f>
        <v>#NAME?</v>
      </c>
      <c r="AC578" s="2" t="e">
        <f ca="1">_xll.BDH($C$578,"ASSET_GROWTH","FY 2014","FY 2014","Currency=INR","Period=FY","BEST_FPERIOD_OVERRIDE=FY","FILING_STATUS=OR","EQY_CONSOLIDATED=Y","Sort=A","Dates=H","DateFormat=P","Fill=—","Direction=H","UseDPDF=Y")</f>
        <v>#NAME?</v>
      </c>
      <c r="AD578" s="2" t="e">
        <f ca="1">_xll.BDH($C$578,"MODIFIED_WORK_CAP_GROWTH","FY 2014","FY 2014","Currency=INR","Period=FY","BEST_FPERIOD_OVERRIDE=FY","FILING_STATUS=OR","EQY_CONSOLIDATED=Y","Sort=A","Dates=H","DateFormat=P","Fill=—","Direction=H","UseDPDF=Y")</f>
        <v>#NAME?</v>
      </c>
      <c r="AE578" s="2" t="e">
        <f ca="1">_xll.BDH($C$578,"WORK_CAP_GROWTH","FY 2014","FY 2014","Currency=INR","Period=FY","BEST_FPERIOD_OVERRIDE=FY","FILING_STATUS=OR","EQY_CONSOLIDATED=Y","Sort=A","Dates=H","DateFormat=P","Fill=—","Direction=H","UseDPDF=Y")</f>
        <v>#NAME?</v>
      </c>
      <c r="AF578" s="2" t="e">
        <f ca="1">_xll.BDH($C$578,"ACCOUNTS_PAYABLE_GROWTH_1YR","FY 2014","FY 2014","Currency=INR","Period=FY","BEST_FPERIOD_OVERRIDE=FY","FILING_STATUS=OR","EQY_CONSOLIDATED=Y","Sort=A","Dates=H","DateFormat=P","Fill=—","Direction=H","UseDPDF=Y")</f>
        <v>#NAME?</v>
      </c>
      <c r="AG578" s="2" t="e">
        <f ca="1">_xll.BDH($C$578,"SHORT_TERM_DEBT_1_YEAR_GROWTH","FY 2014","FY 2014","Currency=INR","Period=FY","BEST_FPERIOD_OVERRIDE=FY","FILING_STATUS=OR","EQY_CONSOLIDATED=Y","Sort=A","Dates=H","DateFormat=P","Fill=—","Direction=H","UseDPDF=Y")</f>
        <v>#NAME?</v>
      </c>
      <c r="AH578" s="2" t="e">
        <f ca="1">_xll.BDH($C$578,"TOTAL_DEBT_1_YEAR_GROWTH","FY 2014","FY 2014","Currency=INR","Period=FY","BEST_FPERIOD_OVERRIDE=FY","FILING_STATUS=OR","EQY_CONSOLIDATED=Y","Sort=A","Dates=H","DateFormat=P","Fill=—","Direction=H","UseDPDF=Y")</f>
        <v>#NAME?</v>
      </c>
      <c r="AI578" s="2" t="e">
        <f ca="1">_xll.BDH($C$578,"TOTAL_EQUITY_1_YEAR_GROWTH","FY 2014","FY 2014","Currency=INR","Period=FY","BEST_FPERIOD_OVERRIDE=FY","FILING_STATUS=OR","EQY_CONSOLIDATED=Y","Sort=A","Dates=H","DateFormat=P","Fill=—","Direction=H","UseDPDF=Y")</f>
        <v>#NAME?</v>
      </c>
      <c r="AJ578" s="2" t="e">
        <f ca="1">_xll.BDH($C$578,"GROWTH_IN_CAP","FY 2014","FY 2014","Currency=INR","Period=FY","BEST_FPERIOD_OVERRIDE=FY","FILING_STATUS=OR","EQY_CONSOLIDATED=Y","Sort=A","Dates=H","DateFormat=P","Fill=—","Direction=H","UseDPDF=Y")</f>
        <v>#NAME?</v>
      </c>
      <c r="AK578" s="2" t="e">
        <f ca="1">_xll.BDH($C$578,"BVPS_GROWTH","FY 2014","FY 2014","Currency=INR","Period=FY","BEST_FPERIOD_OVERRIDE=FY","FILING_STATUS=OR","EQY_CONSOLIDATED=Y","Sort=A","Dates=H","DateFormat=P","Fill=—","Direction=H","UseDPDF=Y")</f>
        <v>#NAME?</v>
      </c>
      <c r="AL578" s="2" t="e">
        <f ca="1">_xll.BDH($C$578,"CASH_FLOW_GROWTH","FY 2014","FY 2014","Currency=INR","Period=FY","BEST_FPERIOD_OVERRIDE=FY","FILING_STATUS=OR","EQY_CONSOLIDATED=Y","Sort=A","Dates=H","DateFormat=P","Fill=—","Direction=H","UseDPDF=Y")</f>
        <v>#NAME?</v>
      </c>
      <c r="AM578" s="2" t="e">
        <f ca="1">_xll.BDH($C$578,"GEO_GROW_NET_SALES","FY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578" s="2" t="e">
        <f ca="1">_xll.BDH($C$578,"GEO_GROW_EBITDA","FY 2014","FY 2014","Currency=INR","Period=FY","BEST_FPERIOD_OVERRIDE=FY","FILING_STATUS=OR","EQY_CONSOLIDATED=Y","FA_ADJUSTED=GAAP","Sort=A","Dates=H","DateFormat=P","Fill=—","Direction=H","UseDPDF=Y")</f>
        <v>#NAME?</v>
      </c>
      <c r="AO578" s="2" t="e">
        <f ca="1">_xll.BDH($C$578,"GEO_GROW_OPER_INC","FY 2014","FY 2014","Currency=INR","Period=FY","BEST_FPERIOD_OVERRIDE=FY","FILING_STATUS=OR","EQY_CONSOLIDATED=Y","FA_ADJUSTED=GAAP","Sort=A","Dates=H","DateFormat=P","Fill=—","Direction=H","UseDPDF=Y")</f>
        <v>#NAME?</v>
      </c>
      <c r="AP578" s="2" t="e">
        <f ca="1">_xll.BDH($C$578,"NET_INCOME_TO_COMMON_5_YR_GROWTH","FY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578" s="2" t="e">
        <f ca="1">_xll.BDH($C$578,"5Y_GEO_GROWTH_DILUTED_EPS","FY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578" s="2" t="e">
        <f ca="1">_xll.BDH($C$578,"GEO_GROW_DVD_PER_SH","FY 2014","FY 2014","Currency=INR","Period=FY","BEST_FPERIOD_OVERRIDE=FY","FILING_STATUS=OR","EQY_CONSOLIDATED=Y","Sort=A","Dates=H","DateFormat=P","Fill=—","Direction=H","UseDPDF=Y")</f>
        <v>#NAME?</v>
      </c>
      <c r="AS578" s="2" t="e">
        <f ca="1">_xll.BDH($C$578,"ACCOUNTS_RECEIVABLE_5_YR_GROWTH","FY 2014","FY 2014","Currency=INR","Period=FY","BEST_FPERIOD_OVERRIDE=FY","FILING_STATUS=OR","EQY_CONSOLIDATED=Y","Sort=A","Dates=H","DateFormat=P","Fill=—","Direction=H","UseDPDF=Y")</f>
        <v>#NAME?</v>
      </c>
      <c r="AT578" s="2" t="e">
        <f ca="1">_xll.BDH($C$578,"INVENTORY_5_YEAR_GROWTH","FY 2014","FY 2014","Currency=INR","Period=FY","BEST_FPERIOD_OVERRIDE=FY","FILING_STATUS=OR","EQY_CONSOLIDATED=Y","Sort=A","Dates=H","DateFormat=P","Fill=—","Direction=H","UseDPDF=Y")</f>
        <v>#NAME?</v>
      </c>
      <c r="AU578" s="2" t="e">
        <f ca="1">_xll.BDH($C$578,"NET_FIXED_ASSETS_5_YEAR_GROWTH","FY 2014","FY 2014","Currency=INR","Period=FY","BEST_FPERIOD_OVERRIDE=FY","FILING_STATUS=OR","EQY_CONSOLIDATED=Y","Sort=A","Dates=H","DateFormat=P","Fill=—","Direction=H","UseDPDF=Y")</f>
        <v>#NAME?</v>
      </c>
      <c r="AV578" s="2" t="e">
        <f ca="1">_xll.BDH($C$578,"GEO_GROW_TOT_ASSET","FY 2014","FY 2014","Currency=INR","Period=FY","BEST_FPERIOD_OVERRIDE=FY","FILING_STATUS=OR","EQY_CONSOLIDATED=Y","Sort=A","Dates=H","DateFormat=P","Fill=—","Direction=H","UseDPDF=Y")</f>
        <v>#NAME?</v>
      </c>
      <c r="AW578" s="2" t="e">
        <f ca="1">_xll.BDH($C$578,"MODIFIED_WORKING_CPTL_5YR_GRWTH","FY 2014","FY 2014","Currency=INR","Period=FY","BEST_FPERIOD_OVERRIDE=FY","FILING_STATUS=OR","EQY_CONSOLIDATED=Y","Sort=A","Dates=H","DateFormat=P","Fill=—","Direction=H","UseDPDF=Y")</f>
        <v>#NAME?</v>
      </c>
      <c r="AX578" s="2" t="e">
        <f ca="1">_xll.BDH($C$578,"WORKING_CAPITAL_5_YEAR_GROWTH","FY 2014","FY 2014","Currency=INR","Period=FY","BEST_FPERIOD_OVERRIDE=FY","FILING_STATUS=OR","EQY_CONSOLIDATED=Y","Sort=A","Dates=H","DateFormat=P","Fill=—","Direction=H","UseDPDF=Y")</f>
        <v>#NAME?</v>
      </c>
      <c r="AY578" s="2" t="e">
        <f ca="1">_xll.BDH($C$578,"ACCOUNTS_PAYABLE_5_YEAR_GROWTH","FY 2014","FY 2014","Currency=INR","Period=FY","BEST_FPERIOD_OVERRIDE=FY","FILING_STATUS=OR","EQY_CONSOLIDATED=Y","Sort=A","Dates=H","DateFormat=P","Fill=—","Direction=H","UseDPDF=Y")</f>
        <v>#NAME?</v>
      </c>
      <c r="AZ578" s="2" t="e">
        <f ca="1">_xll.BDH($C$578,"SHORT_TERM_DEBT_5_YEAR_GROWTH","FY 2014","FY 2014","Currency=INR","Period=FY","BEST_FPERIOD_OVERRIDE=FY","FILING_STATUS=OR","EQY_CONSOLIDATED=Y","Sort=A","Dates=H","DateFormat=P","Fill=—","Direction=H","UseDPDF=Y")</f>
        <v>#NAME?</v>
      </c>
      <c r="BA578" s="2" t="e">
        <f ca="1">_xll.BDH($C$578,"TOTAL_DEBT_5_YEAR_GROWTH","FY 2014","FY 2014","Currency=INR","Period=FY","BEST_FPERIOD_OVERRIDE=FY","FILING_STATUS=OR","EQY_CONSOLIDATED=Y","Sort=A","Dates=H","DateFormat=P","Fill=—","Direction=H","UseDPDF=Y")</f>
        <v>#NAME?</v>
      </c>
      <c r="BB578" s="2" t="e">
        <f ca="1">_xll.BDH($C$578,"GEO_GROW_TOT_SHRHLDR_EQY","FY 2014","FY 2014","Currency=INR","Period=FY","BEST_FPERIOD_OVERRIDE=FY","FILING_STATUS=OR","EQY_CONSOLIDATED=Y","Sort=A","Dates=H","DateFormat=P","Fill=—","Direction=H","UseDPDF=Y")</f>
        <v>#NAME?</v>
      </c>
      <c r="BC578" s="2" t="e">
        <f ca="1">_xll.BDH($C$578,"TOTAL_CAPITAL_5_YEAR_GROWTH","FY 2014","FY 2014","Currency=INR","Period=FY","BEST_FPERIOD_OVERRIDE=FY","FILING_STATUS=OR","EQY_CONSOLIDATED=Y","Sort=A","Dates=H","DateFormat=P","Fill=—","Direction=H","UseDPDF=Y")</f>
        <v>#NAME?</v>
      </c>
      <c r="BD578" s="2" t="e">
        <f ca="1">_xll.BDH($C$578,"GEO_GROW_BOOK_VAL","FY 2014","FY 2014","Currency=INR","Period=FY","BEST_FPERIOD_OVERRIDE=FY","FILING_STATUS=OR","EQY_CONSOLIDATED=Y","Sort=A","Dates=H","DateFormat=P","Fill=—","Direction=H","UseDPDF=Y")</f>
        <v>#NAME?</v>
      </c>
      <c r="BE578" s="2" t="e">
        <f ca="1">_xll.BDH($C$578,"GEO_GROW_CASH_OPER_ACT","FY 2014","FY 2014","Currency=INR","Period=FY","BEST_FPERIOD_OVERRIDE=FY","FILING_STATUS=OR","EQY_CONSOLIDATED=Y","Sort=A","Dates=H","DateFormat=P","Fill=—","Direction=H","UseDPDF=Y")</f>
        <v>#NAME?</v>
      </c>
      <c r="BF578" s="2" t="e">
        <f ca="1">_xll.BDH($C$578,"REVENUE_SEQUENTIAL_GROWTH","FY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578" s="2" t="e">
        <f ca="1">_xll.BDH($C$578,"EBITDA_SEQUENTIAL_GROWTH","FY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578" s="2" t="e">
        <f ca="1">_xll.BDH($C$578,"OPERATING_INCOME_SEQ_GROWTH","FY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578" s="2" t="e">
        <f ca="1">_xll.BDH($C$578,"NET_INCOME_TO_COMMON_SEQ_GROWTH","FY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578" s="2" t="e">
        <f ca="1">_xll.BDH($C$578,"EPS_DILUTED_SEQUENTIAL_GROWTH","FY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578" s="2" t="e">
        <f ca="1">_xll.BDH($C$578,"DPS_SEQUENTIAL_GROWTH","FY 2014","FY 2014","Currency=INR","Period=FY","BEST_FPERIOD_OVERRIDE=FY","FILING_STATUS=OR","EQY_CONSOLIDATED=Y","Sort=A","Dates=H","DateFormat=P","Fill=—","Direction=H","UseDPDF=Y")</f>
        <v>#NAME?</v>
      </c>
      <c r="BL578" s="2" t="e">
        <f ca="1">_xll.BDH($C$578,"ACCOUNTS_RECEIVABLE_SEQ_GROWTH","FY 2014","FY 2014","Currency=INR","Period=FY","BEST_FPERIOD_OVERRIDE=FY","FILING_STATUS=OR","EQY_CONSOLIDATED=Y","Sort=A","Dates=H","DateFormat=P","Fill=—","Direction=H","UseDPDF=Y")</f>
        <v>#NAME?</v>
      </c>
      <c r="BM578" s="2" t="e">
        <f ca="1">_xll.BDH($C$578,"INVENTORY_SEQUENTIAL_GROWTH","FY 2014","FY 2014","Currency=INR","Period=FY","BEST_FPERIOD_OVERRIDE=FY","FILING_STATUS=OR","EQY_CONSOLIDATED=Y","Sort=A","Dates=H","DateFormat=P","Fill=—","Direction=H","UseDPDF=Y")</f>
        <v>#NAME?</v>
      </c>
      <c r="BN578" s="2" t="e">
        <f ca="1">_xll.BDH($C$578,"FIXED_ASSETS_SEQUENTIAL_GROWTH","FY 2014","FY 2014","Currency=INR","Period=FY","BEST_FPERIOD_OVERRIDE=FY","FILING_STATUS=OR","EQY_CONSOLIDATED=Y","Sort=A","Dates=H","DateFormat=P","Fill=—","Direction=H","UseDPDF=Y")</f>
        <v>#NAME?</v>
      </c>
      <c r="BO578" s="2" t="e">
        <f ca="1">_xll.BDH($C$578,"TOTAL_ASSETS_SEQUENTIAL_GROWTH","FY 2014","FY 2014","Currency=INR","Period=FY","BEST_FPERIOD_OVERRIDE=FY","FILING_STATUS=OR","EQY_CONSOLIDATED=Y","Sort=A","Dates=H","DateFormat=P","Fill=—","Direction=H","UseDPDF=Y")</f>
        <v>#NAME?</v>
      </c>
      <c r="BP578" s="2" t="e">
        <f ca="1">_xll.BDH($C$578,"MODIFIED_WORKING_CPTL_SEQ_GRWTH","FY 2014","FY 2014","Currency=INR","Period=FY","BEST_FPERIOD_OVERRIDE=FY","FILING_STATUS=OR","EQY_CONSOLIDATED=Y","Sort=A","Dates=H","DateFormat=P","Fill=—","Direction=H","UseDPDF=Y")</f>
        <v>#NAME?</v>
      </c>
      <c r="BQ578" s="2" t="e">
        <f ca="1">_xll.BDH($C$578,"WORKING_CAPITAL_SEQ_GROWTH","FY 2014","FY 2014","Currency=INR","Period=FY","BEST_FPERIOD_OVERRIDE=FY","FILING_STATUS=OR","EQY_CONSOLIDATED=Y","Sort=A","Dates=H","DateFormat=P","Fill=—","Direction=H","UseDPDF=Y")</f>
        <v>#NAME?</v>
      </c>
      <c r="BR578" s="2" t="e">
        <f ca="1">_xll.BDH($C$578,"ACCOUNTS_PAYABLE_SEQ_GROWTH","FY 2014","FY 2014","Currency=INR","Period=FY","BEST_FPERIOD_OVERRIDE=FY","FILING_STATUS=OR","EQY_CONSOLIDATED=Y","Sort=A","Dates=H","DateFormat=P","Fill=—","Direction=H","UseDPDF=Y")</f>
        <v>#NAME?</v>
      </c>
      <c r="BS578" s="2" t="e">
        <f ca="1">_xll.BDH($C$578,"ST_DEBT_SEQUENTIAL_GROWTH","FY 2014","FY 2014","Currency=INR","Period=FY","BEST_FPERIOD_OVERRIDE=FY","FILING_STATUS=OR","EQY_CONSOLIDATED=Y","Sort=A","Dates=H","DateFormat=P","Fill=—","Direction=H","UseDPDF=Y")</f>
        <v>#NAME?</v>
      </c>
      <c r="BT578" s="2" t="e">
        <f ca="1">_xll.BDH($C$578,"TOTAL_DEBT_SEQUENTIAL_GROWTH","FY 2014","FY 2014","Currency=INR","Period=FY","BEST_FPERIOD_OVERRIDE=FY","FILING_STATUS=OR","EQY_CONSOLIDATED=Y","Sort=A","Dates=H","DateFormat=P","Fill=—","Direction=H","UseDPDF=Y")</f>
        <v>#NAME?</v>
      </c>
      <c r="BU578" s="2" t="e">
        <f ca="1">_xll.BDH($C$578,"TOTAL_EQUITY_SEQUENTIAL_GROWTH","FY 2014","FY 2014","Currency=INR","Period=FY","BEST_FPERIOD_OVERRIDE=FY","FILING_STATUS=OR","EQY_CONSOLIDATED=Y","Sort=A","Dates=H","DateFormat=P","Fill=—","Direction=H","UseDPDF=Y")</f>
        <v>#NAME?</v>
      </c>
      <c r="BV578" s="2" t="e">
        <f ca="1">_xll.BDH($C$578,"TOTAL_CAPITAL_SEQUENTIAL_GROWTH","FY 2014","FY 2014","Currency=INR","Period=FY","BEST_FPERIOD_OVERRIDE=FY","FILING_STATUS=OR","EQY_CONSOLIDATED=Y","Sort=A","Dates=H","DateFormat=P","Fill=—","Direction=H","UseDPDF=Y")</f>
        <v>#NAME?</v>
      </c>
      <c r="BW578" s="2" t="e">
        <f ca="1">_xll.BDH($C$578,"BPS_SEQUENTIAL_GROWTH","FY 2014","FY 2014","Currency=INR","Period=FY","BEST_FPERIOD_OVERRIDE=FY","FILING_STATUS=OR","EQY_CONSOLIDATED=Y","Sort=A","Dates=H","DateFormat=P","Fill=—","Direction=H","UseDPDF=Y")</f>
        <v>#NAME?</v>
      </c>
      <c r="BX578" s="2" t="e">
        <f ca="1">_xll.BDH($C$578,"CFO_SEQUENTIAL_GROWTH","FY 2014","FY 2014","Currency=INR","Period=FY","BEST_FPERIOD_OVERRIDE=FY","FILING_STATUS=OR","EQY_CONSOLIDATED=Y","Sort=A","Dates=H","DateFormat=P","Fill=—","Direction=H","UseDPDF=Y")</f>
        <v>#NAME?</v>
      </c>
      <c r="BY578" s="3" t="e">
        <f ca="1">_xll.BDH($C$578,"SHORT_AND_LONG_TERM_DEBT","FY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578" s="3" t="e">
        <f ca="1">_xll.BDH($C$578,"BS_ST_BORROW","FY 2014","FY 2014","Currency=INR","Period=FY","BEST_FPERIOD_OVERRIDE=FY","FILING_STATUS=OR","EQY_CONSOLIDATED=Y","SCALING_FORMAT=MLN","Sort=A","Dates=H","DateFormat=P","Fill=—","Direction=H","UseDPDF=Y")</f>
        <v>#NAME?</v>
      </c>
      <c r="CA578" s="3" t="e">
        <f ca="1">_xll.BDH($C$578,"BS_LT_BORROW","FY 2014","FY 2014","Currency=INR","Period=FY","BEST_FPERIOD_OVERRIDE=FY","FILING_STATUS=OR","EQY_CONSOLIDATED=Y","SCALING_FORMAT=MLN","Sort=A","Dates=H","DateFormat=P","Fill=—","Direction=H","UseDPDF=Y")</f>
        <v>#NAME?</v>
      </c>
      <c r="CB578" s="2" t="e">
        <f ca="1">_xll.BDH($C$578,"TOT_DEBT_TO_EBITDA","FY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578" s="2" t="e">
        <f ca="1">_xll.BDH($C$578,"NET_DEBT_TO_EBITDA","FY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578" s="2" t="e">
        <f ca="1">_xll.BDH($C$578,"TOTAL_DEBT_TO_EBIT","FY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578" s="2" t="e">
        <f ca="1">_xll.BDH($C$578,"NET_DEBT_TO_EBIT","FY 2014","FY 2014","Currency=INR","Period=FY","BEST_FPERIOD_OVERRIDE=FY","FILING_STATUS=OR","EQY_CONSOLIDATED=Y","FA_ADJUSTED=GAAP","Sort=A","Dates=H","DateFormat=P","Fill=—","Direction=H","UseDPDF=Y")</f>
        <v>#NAME?</v>
      </c>
      <c r="CF578" s="2" t="e">
        <f ca="1">_xll.BDH($C$578,"EBITDA_TO_INTEREST_EXPN","FY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578" s="2" t="e">
        <f ca="1">_xll.BDH($C$578,"COM_EQY_TO_TOT_ASSET","FY 2014","FY 2014","Currency=INR","Period=FY","BEST_FPERIOD_OVERRIDE=FY","FILING_STATUS=OR","EQY_CONSOLIDATED=Y","Sort=A","Dates=H","DateFormat=P","Fill=—","Direction=H","UseDPDF=Y")</f>
        <v>#NAME?</v>
      </c>
      <c r="CH578" s="2" t="e">
        <f ca="1">_xll.BDH($C$578,"LT_DEBT_TO_TOT_EQY","FY 2014","FY 2014","Currency=INR","Period=FY","BEST_FPERIOD_OVERRIDE=FY","FILING_STATUS=OR","EQY_CONSOLIDATED=Y","Sort=A","Dates=H","DateFormat=P","Fill=—","Direction=H","UseDPDF=Y")</f>
        <v>#NAME?</v>
      </c>
      <c r="CI578" s="2" t="e">
        <f ca="1">_xll.BDH($C$578,"LT_DEBT_TO_TOT_CAP","FY 2014","FY 2014","Currency=INR","Period=FY","BEST_FPERIOD_OVERRIDE=FY","FILING_STATUS=OR","EQY_CONSOLIDATED=Y","Sort=A","Dates=H","DateFormat=P","Fill=—","Direction=H","UseDPDF=Y")</f>
        <v>#NAME?</v>
      </c>
      <c r="CJ578" s="2" t="e">
        <f ca="1">_xll.BDH($C$578,"LT_DEBT_TO_TOT_ASSET","FY 2014","FY 2014","Currency=INR","Period=FY","BEST_FPERIOD_OVERRIDE=FY","FILING_STATUS=OR","EQY_CONSOLIDATED=Y","Sort=A","Dates=H","DateFormat=P","Fill=—","Direction=H","UseDPDF=Y")</f>
        <v>#NAME?</v>
      </c>
      <c r="CK578" s="2" t="e">
        <f ca="1">_xll.BDH($C$578,"TOT_DEBT_TO_TOT_EQY","FY 2014","FY 2014","Currency=INR","Period=FY","BEST_FPERIOD_OVERRIDE=FY","FILING_STATUS=OR","EQY_CONSOLIDATED=Y","Sort=A","Dates=H","DateFormat=P","Fill=—","Direction=H","UseDPDF=Y")</f>
        <v>#NAME?</v>
      </c>
      <c r="CL578" s="2" t="e">
        <f ca="1">_xll.BDH($C$578,"TOT_DEBT_TO_TOT_CAP","FY 2014","FY 2014","Currency=INR","Period=FY","BEST_FPERIOD_OVERRIDE=FY","FILING_STATUS=OR","EQY_CONSOLIDATED=Y","Sort=A","Dates=H","DateFormat=P","Fill=—","Direction=H","UseDPDF=Y")</f>
        <v>#NAME?</v>
      </c>
      <c r="CM578" s="2" t="e">
        <f ca="1">_xll.BDH($C$578,"TOT_DEBT_TO_TOT_ASSET","FY 2014","FY 2014","Currency=INR","Period=FY","BEST_FPERIOD_OVERRIDE=FY","FILING_STATUS=OR","EQY_CONSOLIDATED=Y","Sort=A","Dates=H","DateFormat=P","Fill=—","Direction=H","UseDPDF=Y")</f>
        <v>#NAME?</v>
      </c>
      <c r="CN578" s="2" t="e">
        <f ca="1">_xll.BDH($C$578,"NET_DEBT_TO_SHRHLDR_EQTY","FY 2014","FY 2014","Currency=INR","Period=FY","BEST_FPERIOD_OVERRIDE=FY","FILING_STATUS=OR","EQY_CONSOLIDATED=Y","Sort=A","Dates=H","DateFormat=P","Fill=—","Direction=H","UseDPDF=Y")</f>
        <v>#NAME?</v>
      </c>
      <c r="CO578" s="2" t="e">
        <f ca="1">_xll.BDH($C$578,"NET_DEBT_%_CAPITAL","FY 2014","FY 2014","Currency=INR","Period=FY","BEST_FPERIOD_OVERRIDE=FY","FILING_STATUS=OR","EQY_CONSOLIDATED=Y","Sort=A","Dates=H","DateFormat=P","Fill=—","Direction=H","UseDPDF=Y")</f>
        <v>#NAME?</v>
      </c>
      <c r="CP578" s="3" t="e">
        <f ca="1">_xll.BDH($C$578,"EBITDA","FY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578" s="3" t="e">
        <f ca="1">_xll.BDH($C$578,"EBITDA_AFTER_CAPEX","FY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578" s="3" t="e">
        <f ca="1">_xll.BDH($C$578,"IS_OPER_INC","FY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578" s="2" t="e">
        <f ca="1">_xll.BDH($C$578,"CASH_RATIO","FY 2014","FY 2014","Currency=INR","Period=FY","BEST_FPERIOD_OVERRIDE=FY","FILING_STATUS=OR","EQY_CONSOLIDATED=Y","Sort=A","Dates=H","DateFormat=P","Fill=—","Direction=H","UseDPDF=Y")</f>
        <v>#NAME?</v>
      </c>
      <c r="CT578" s="2" t="e">
        <f ca="1">_xll.BDH($C$578,"CUR_RATIO","FY 2014","FY 2014","Currency=INR","Period=FY","BEST_FPERIOD_OVERRIDE=FY","FILING_STATUS=OR","EQY_CONSOLIDATED=Y","Sort=A","Dates=H","DateFormat=P","Fill=—","Direction=H","UseDPDF=Y")</f>
        <v>#NAME?</v>
      </c>
      <c r="CU578" s="2" t="e">
        <f ca="1">_xll.BDH($C$578,"QUICK_RATIO","FY 2014","FY 2014","Currency=INR","Period=FY","BEST_FPERIOD_OVERRIDE=FY","FILING_STATUS=OR","EQY_CONSOLIDATED=Y","Sort=A","Dates=H","DateFormat=P","Fill=—","Direction=H","UseDPDF=Y")</f>
        <v>#NAME?</v>
      </c>
      <c r="CV578" s="2" t="e">
        <f ca="1">_xll.BDH($C$578,"ALTMAN_Z_SCORE","FY 2014","FY 2014","Currency=INR","Period=FY","BEST_FPERIOD_OVERRIDE=FY","FILING_STATUS=OR","EQY_CONSOLIDATED=Y","Sort=A","Dates=H","DateFormat=P","Fill=—","Direction=H","UseDPDF=Y")</f>
        <v>#NAME?</v>
      </c>
      <c r="CW578" s="4" t="e">
        <f ca="1">_xll.BDH($C$578,"ACCT_RCV_TURN","FY 2014","FY 2014","Currency=INR","Period=FY","BEST_FPERIOD_OVERRIDE=FY","FILING_STATUS=OR","EQY_CONSOLIDATED=Y","FA_ADJUSTED=GAAP","Sort=A","Dates=H","DateFormat=P","Fill=—","Direction=H","UseDPDF=Y")</f>
        <v>#NAME?</v>
      </c>
      <c r="CX578" s="2" t="e">
        <f ca="1">_xll.BDH($C$578,"ACCT_RCV_DAYS","FY 2014","FY 2014","Currency=INR","Period=FY","BEST_FPERIOD_OVERRIDE=FY","FILING_STATUS=OR","EQY_CONSOLIDATED=Y","FA_ADJUSTED=GAAP","Sort=A","Dates=H","DateFormat=P","Fill=—","Direction=H","UseDPDF=Y")</f>
        <v>#NAME?</v>
      </c>
      <c r="CY578" s="4" t="e">
        <f ca="1">_xll.BDH($C$578,"INVENT_TURN","FY 2014","FY 2014","Currency=INR","Period=FY","BEST_FPERIOD_OVERRIDE=FY","FILING_STATUS=OR","EQY_CONSOLIDATED=Y","FA_ADJUSTED=GAAP","Sort=A","Dates=H","DateFormat=P","Fill=—","Direction=H","UseDPDF=Y")</f>
        <v>#NAME?</v>
      </c>
      <c r="CZ578" s="2" t="e">
        <f ca="1">_xll.BDH($C$578,"INVENT_DAYS","FY 2014","FY 2014","Currency=INR","Period=FY","BEST_FPERIOD_OVERRIDE=FY","FILING_STATUS=OR","EQY_CONSOLIDATED=Y","FA_ADJUSTED=GAAP","Sort=A","Dates=H","DateFormat=P","Fill=—","Direction=H","UseDPDF=Y")</f>
        <v>#NAME?</v>
      </c>
      <c r="DA578" s="4" t="e">
        <f ca="1">_xll.BDH($C$578,"ACCOUNTS_PAYABLE_TURNOVER","FY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578" s="2" t="e">
        <f ca="1">_xll.BDH($C$578,"ACCOUNTS_PAYABLE_TURNOVER_DAYS","FY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578" s="4" t="e">
        <f ca="1">_xll.BDH($C$578,"CASH_CONVERSION_CYCLE","FY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578" s="4" t="e">
        <f ca="1">_xll.BDH($C$578,"INV_TO_CASH_DAYS","FY 2014","FY 2014","Currency=INR","Period=FY","BEST_FPERIOD_OVERRIDE=FY","FILING_STATUS=OR","EQY_CONSOLIDATED=Y","FA_ADJUSTED=GAAP","Sort=A","Dates=H","DateFormat=P","Fill=—","Direction=H","UseDPDF=Y")</f>
        <v>#NAME?</v>
      </c>
      <c r="DE578" s="5" t="e">
        <f ca="1">_xll.BDH($C$578,"BS_INVENTORIES","FY 2014","FY 2014","Currency=INR","Period=FY","BEST_FPERIOD_OVERRIDE=FY","FILING_STATUS=OR","EQY_CONSOLIDATED=Y","SCALING_FORMAT=MLN","Sort=A","Dates=H","DateFormat=P","Fill=—","Direction=H","UseDPDF=Y")</f>
        <v>#NAME?</v>
      </c>
      <c r="DF578" s="3" t="e">
        <f ca="1">_xll.BDH($C$578,"INVTRY_RAW_MATERIALS","FY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578" s="3" t="e">
        <f ca="1">_xll.BDH($C$578,"INVTRY_IN_PROGRESS","FY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578" s="3" t="e">
        <f ca="1">_xll.BDH($C$578,"INVTRY_FINISHED_GOODS","FY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578" s="3" t="e">
        <f ca="1">_xll.BDH($C$578,"BS_OTHER_INV","FY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579" spans="1:113" x14ac:dyDescent="0.3">
      <c r="A579" s="6"/>
      <c r="B579" s="6"/>
      <c r="C579" s="6"/>
      <c r="D579" s="6"/>
      <c r="E579" t="s">
        <v>78</v>
      </c>
      <c r="F579" t="e">
        <f ca="1">_xll.BDH($C$578,"RETURN_COM_EQY","FQ1 2014","FQ1 2014","Currency=INR","Period=FQ","BEST_FPERIOD_OVERRIDE=FQ","FILING_STATUS=OR","EQY_CONSOLIDATED=Y","FA_ADJUSTED=GAAP","Sort=A","Dates=H","DateFormat=P","Fill=—","Direction=H","UseDPDF=Y")</f>
        <v>#NAME?</v>
      </c>
      <c r="G579" t="e">
        <f ca="1">_xll.BDH($C$578,"RETURN_ON_ASSET","FQ1 2014","FQ1 2014","Currency=INR","Period=FQ","BEST_FPERIOD_OVERRIDE=FQ","FILING_STATUS=OR","EQY_CONSOLIDATED=Y","FA_ADJUSTED=GAAP","Sort=A","Dates=H","DateFormat=P","Fill=—","Direction=H","UseDPDF=Y")</f>
        <v>#NAME?</v>
      </c>
      <c r="H579" t="e">
        <f ca="1">_xll.BDH($C$578,"RETURN_ON_CAP","FQ1 2014","FQ1 2014","Currency=INR","Period=FQ","BEST_FPERIOD_OVERRIDE=FQ","FILING_STATUS=OR","EQY_CONSOLIDATED=Y","FA_ADJUSTED=GAAP","Sort=A","Dates=H","DateFormat=P","Fill=—","Direction=H","UseDPDF=Y")</f>
        <v>#NAME?</v>
      </c>
      <c r="I579" t="e">
        <f ca="1">_xll.BDH($C$578,"RETURN_ON_INV_CAPITAL","FQ1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579" t="e">
        <f ca="1">_xll.BDH($C$578,"EBITDA_TO_REVENUE","FQ1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579" t="e">
        <f ca="1">_xll.BDH($C$578,"OPER_MARGIN","FQ1 2014","FQ1 2014","Currency=INR","Period=FQ","BEST_FPERIOD_OVERRIDE=FQ","FILING_STATUS=OR","EQY_CONSOLIDATED=Y","FA_ADJUSTED=GAAP","Sort=A","Dates=H","DateFormat=P","Fill=—","Direction=H","UseDPDF=Y")</f>
        <v>#NAME?</v>
      </c>
      <c r="L579" t="e">
        <f ca="1">_xll.BDH($C$578,"INCREMENTAL_OPERATING_MARGIN","FQ1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579" t="e">
        <f ca="1">_xll.BDH($C$578,"PRETAX_INC_TO_NET_SALES","FQ1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579" t="e">
        <f ca="1">_xll.BDH($C$578,"INC_BEF_XO_ITEMS_TO_NET_SALES","FQ1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579" t="e">
        <f ca="1">_xll.BDH($C$578,"PROF_MARGIN","FQ1 2014","FQ1 2014","Currency=INR","Period=FQ","BEST_FPERIOD_OVERRIDE=FQ","FILING_STATUS=OR","EQY_CONSOLIDATED=Y","FA_ADJUSTED=GAAP","Sort=A","Dates=H","DateFormat=P","Fill=—","Direction=H","UseDPDF=Y")</f>
        <v>#NAME?</v>
      </c>
      <c r="P579" t="e">
        <f ca="1">_xll.BDH($C$578,"NET_INCOME_TO_COMMON_MARGIN","FQ1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579" t="e">
        <f ca="1">_xll.BDH($C$578,"EFF_TAX_RATE","FQ1 2014","FQ1 2014","Currency=INR","Period=FQ","BEST_FPERIOD_OVERRIDE=FQ","FILING_STATUS=OR","EQY_CONSOLIDATED=Y","FA_ADJUSTED=GAAP","Sort=A","Dates=H","DateFormat=P","Fill=—","Direction=H","UseDPDF=Y")</f>
        <v>#NAME?</v>
      </c>
      <c r="R579" t="e">
        <f ca="1">_xll.BDH($C$578,"DVD_PAYOUT_RATIO","FQ1 2014","FQ1 2014","Currency=INR","Period=FQ","BEST_FPERIOD_OVERRIDE=FQ","FILING_STATUS=OR","EQY_CONSOLIDATED=Y","FA_ADJUSTED=GAAP","Sort=A","Dates=H","DateFormat=P","Fill=—","Direction=H","UseDPDF=Y")</f>
        <v>#NAME?</v>
      </c>
      <c r="S579" t="e">
        <f ca="1">_xll.BDH($C$578,"SUSTAIN_GROWTH_RT","FQ1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579" s="2" t="e">
        <f ca="1">_xll.BDH($C$578,"SALES_GROWTH","FQ1 2014","FQ1 2014","Currency=INR","Period=FQ","BEST_FPERIOD_OVERRIDE=FQ","FILING_STATUS=OR","EQY_CONSOLIDATED=Y","FA_ADJUSTED=GAAP","Sort=A","Dates=H","DateFormat=P","Fill=—","Direction=H","UseDPDF=Y")</f>
        <v>#NAME?</v>
      </c>
      <c r="U579" s="2" t="e">
        <f ca="1">_xll.BDH($C$578,"EBITDA_GROWTH","FQ1 2014","FQ1 2014","Currency=INR","Period=FQ","BEST_FPERIOD_OVERRIDE=FQ","FILING_STATUS=OR","EQY_CONSOLIDATED=Y","FA_ADJUSTED=GAAP","Sort=A","Dates=H","DateFormat=P","Fill=—","Direction=H","UseDPDF=Y")</f>
        <v>#NAME?</v>
      </c>
      <c r="V579" s="2" t="e">
        <f ca="1">_xll.BDH($C$578,"OPER_INC_GROWTH","FQ1 2014","FQ1 2014","Currency=INR","Period=FQ","BEST_FPERIOD_OVERRIDE=FQ","FILING_STATUS=OR","EQY_CONSOLIDATED=Y","FA_ADJUSTED=GAAP","Sort=A","Dates=H","DateFormat=P","Fill=—","Direction=H","UseDPDF=Y")</f>
        <v>#NAME?</v>
      </c>
      <c r="W579" s="2" t="e">
        <f ca="1">_xll.BDH($C$578,"EARN_FOR_COM_GROWTH","FQ1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579" s="2" t="e">
        <f ca="1">_xll.BDH($C$578,"DILUTED_EPS_AFT_XO_ITEMS_GROWTH","FQ1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579" s="2" t="e">
        <f ca="1">_xll.BDH($C$578,"DIVIDEND_PER_SHARE_1_YEAR_GROWTH","FQ1 2014","FQ1 2014","Currency=INR","Period=FQ","BEST_FPERIOD_OVERRIDE=FQ","FILING_STATUS=OR","EQY_CONSOLIDATED=Y","Sort=A","Dates=H","DateFormat=P","Fill=—","Direction=H","UseDPDF=Y")</f>
        <v>#NAME?</v>
      </c>
      <c r="Z579" s="2" t="e">
        <f ca="1">_xll.BDH($C$578,"ACCOUNTS_RECEIVABLE_GROWTH","FQ1 2014","FQ1 2014","Currency=INR","Period=FQ","BEST_FPERIOD_OVERRIDE=FQ","FILING_STATUS=OR","EQY_CONSOLIDATED=Y","Sort=A","Dates=H","DateFormat=P","Fill=—","Direction=H","UseDPDF=Y")</f>
        <v>#NAME?</v>
      </c>
      <c r="AA579" s="2" t="e">
        <f ca="1">_xll.BDH($C$578,"INVENTORY_GROWTH","FQ1 2014","FQ1 2014","Currency=INR","Period=FQ","BEST_FPERIOD_OVERRIDE=FQ","FILING_STATUS=OR","EQY_CONSOLIDATED=Y","Sort=A","Dates=H","DateFormat=P","Fill=—","Direction=H","UseDPDF=Y")</f>
        <v>#NAME?</v>
      </c>
      <c r="AB579" s="2" t="e">
        <f ca="1">_xll.BDH($C$578,"NET_FIXED_ASSETS_1_YEAR_GROWTH","FQ1 2014","FQ1 2014","Currency=INR","Period=FQ","BEST_FPERIOD_OVERRIDE=FQ","FILING_STATUS=OR","EQY_CONSOLIDATED=Y","Sort=A","Dates=H","DateFormat=P","Fill=—","Direction=H","UseDPDF=Y")</f>
        <v>#NAME?</v>
      </c>
      <c r="AC579" s="2" t="e">
        <f ca="1">_xll.BDH($C$578,"ASSET_GROWTH","FQ1 2014","FQ1 2014","Currency=INR","Period=FQ","BEST_FPERIOD_OVERRIDE=FQ","FILING_STATUS=OR","EQY_CONSOLIDATED=Y","Sort=A","Dates=H","DateFormat=P","Fill=—","Direction=H","UseDPDF=Y")</f>
        <v>#NAME?</v>
      </c>
      <c r="AD579" s="2" t="e">
        <f ca="1">_xll.BDH($C$578,"MODIFIED_WORK_CAP_GROWTH","FQ1 2014","FQ1 2014","Currency=INR","Period=FQ","BEST_FPERIOD_OVERRIDE=FQ","FILING_STATUS=OR","EQY_CONSOLIDATED=Y","Sort=A","Dates=H","DateFormat=P","Fill=—","Direction=H","UseDPDF=Y")</f>
        <v>#NAME?</v>
      </c>
      <c r="AE579" s="2" t="e">
        <f ca="1">_xll.BDH($C$578,"WORK_CAP_GROWTH","FQ1 2014","FQ1 2014","Currency=INR","Period=FQ","BEST_FPERIOD_OVERRIDE=FQ","FILING_STATUS=OR","EQY_CONSOLIDATED=Y","Sort=A","Dates=H","DateFormat=P","Fill=—","Direction=H","UseDPDF=Y")</f>
        <v>#NAME?</v>
      </c>
      <c r="AF579" s="2" t="e">
        <f ca="1">_xll.BDH($C$578,"ACCOUNTS_PAYABLE_GROWTH_1YR","FQ1 2014","FQ1 2014","Currency=INR","Period=FQ","BEST_FPERIOD_OVERRIDE=FQ","FILING_STATUS=OR","EQY_CONSOLIDATED=Y","Sort=A","Dates=H","DateFormat=P","Fill=—","Direction=H","UseDPDF=Y")</f>
        <v>#NAME?</v>
      </c>
      <c r="AG579" s="2" t="e">
        <f ca="1">_xll.BDH($C$578,"SHORT_TERM_DEBT_1_YEAR_GROWTH","FQ1 2014","FQ1 2014","Currency=INR","Period=FQ","BEST_FPERIOD_OVERRIDE=FQ","FILING_STATUS=OR","EQY_CONSOLIDATED=Y","Sort=A","Dates=H","DateFormat=P","Fill=—","Direction=H","UseDPDF=Y")</f>
        <v>#NAME?</v>
      </c>
      <c r="AH579" s="2" t="e">
        <f ca="1">_xll.BDH($C$578,"TOTAL_DEBT_1_YEAR_GROWTH","FQ1 2014","FQ1 2014","Currency=INR","Period=FQ","BEST_FPERIOD_OVERRIDE=FQ","FILING_STATUS=OR","EQY_CONSOLIDATED=Y","Sort=A","Dates=H","DateFormat=P","Fill=—","Direction=H","UseDPDF=Y")</f>
        <v>#NAME?</v>
      </c>
      <c r="AI579" s="2" t="e">
        <f ca="1">_xll.BDH($C$578,"TOTAL_EQUITY_1_YEAR_GROWTH","FQ1 2014","FQ1 2014","Currency=INR","Period=FQ","BEST_FPERIOD_OVERRIDE=FQ","FILING_STATUS=OR","EQY_CONSOLIDATED=Y","Sort=A","Dates=H","DateFormat=P","Fill=—","Direction=H","UseDPDF=Y")</f>
        <v>#NAME?</v>
      </c>
      <c r="AJ579" s="2" t="e">
        <f ca="1">_xll.BDH($C$578,"GROWTH_IN_CAP","FQ1 2014","FQ1 2014","Currency=INR","Period=FQ","BEST_FPERIOD_OVERRIDE=FQ","FILING_STATUS=OR","EQY_CONSOLIDATED=Y","Sort=A","Dates=H","DateFormat=P","Fill=—","Direction=H","UseDPDF=Y")</f>
        <v>#NAME?</v>
      </c>
      <c r="AK579" s="2" t="e">
        <f ca="1">_xll.BDH($C$578,"BVPS_GROWTH","FQ1 2014","FQ1 2014","Currency=INR","Period=FQ","BEST_FPERIOD_OVERRIDE=FQ","FILING_STATUS=OR","EQY_CONSOLIDATED=Y","Sort=A","Dates=H","DateFormat=P","Fill=—","Direction=H","UseDPDF=Y")</f>
        <v>#NAME?</v>
      </c>
      <c r="AL579" s="2" t="e">
        <f ca="1">_xll.BDH($C$578,"CASH_FLOW_GROWTH","FQ1 2014","FQ1 2014","Currency=INR","Period=FQ","BEST_FPERIOD_OVERRIDE=FQ","FILING_STATUS=OR","EQY_CONSOLIDATED=Y","Sort=A","Dates=H","DateFormat=P","Fill=—","Direction=H","UseDPDF=Y")</f>
        <v>#NAME?</v>
      </c>
      <c r="AM579" s="2" t="e">
        <f ca="1">_xll.BDH($C$578,"GEO_GROW_NET_SALES","FQ1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579" s="2" t="e">
        <f ca="1">_xll.BDH($C$578,"GEO_GROW_EBITDA","FQ1 2014","FQ1 2014","Currency=INR","Period=FQ","BEST_FPERIOD_OVERRIDE=FQ","FILING_STATUS=OR","EQY_CONSOLIDATED=Y","FA_ADJUSTED=GAAP","Sort=A","Dates=H","DateFormat=P","Fill=—","Direction=H","UseDPDF=Y")</f>
        <v>#NAME?</v>
      </c>
      <c r="AO579" s="2" t="e">
        <f ca="1">_xll.BDH($C$578,"GEO_GROW_OPER_INC","FQ1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579" s="2" t="e">
        <f ca="1">_xll.BDH($C$578,"NET_INCOME_TO_COMMON_5_YR_GROWTH","FQ1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579" s="2" t="e">
        <f ca="1">_xll.BDH($C$578,"5Y_GEO_GROWTH_DILUTED_EPS","FQ1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579" s="2" t="e">
        <f ca="1">_xll.BDH($C$578,"GEO_GROW_DVD_PER_SH","FQ1 2014","FQ1 2014","Currency=INR","Period=FQ","BEST_FPERIOD_OVERRIDE=FQ","FILING_STATUS=OR","EQY_CONSOLIDATED=Y","Sort=A","Dates=H","DateFormat=P","Fill=—","Direction=H","UseDPDF=Y")</f>
        <v>#NAME?</v>
      </c>
      <c r="AS579" s="2" t="e">
        <f ca="1">_xll.BDH($C$578,"ACCOUNTS_RECEIVABLE_5_YR_GROWTH","FQ1 2014","FQ1 2014","Currency=INR","Period=FQ","BEST_FPERIOD_OVERRIDE=FQ","FILING_STATUS=OR","EQY_CONSOLIDATED=Y","Sort=A","Dates=H","DateFormat=P","Fill=—","Direction=H","UseDPDF=Y")</f>
        <v>#NAME?</v>
      </c>
      <c r="AT579" s="2" t="e">
        <f ca="1">_xll.BDH($C$578,"INVENTORY_5_YEAR_GROWTH","FQ1 2014","FQ1 2014","Currency=INR","Period=FQ","BEST_FPERIOD_OVERRIDE=FQ","FILING_STATUS=OR","EQY_CONSOLIDATED=Y","Sort=A","Dates=H","DateFormat=P","Fill=—","Direction=H","UseDPDF=Y")</f>
        <v>#NAME?</v>
      </c>
      <c r="AU579" s="2" t="e">
        <f ca="1">_xll.BDH($C$578,"NET_FIXED_ASSETS_5_YEAR_GROWTH","FQ1 2014","FQ1 2014","Currency=INR","Period=FQ","BEST_FPERIOD_OVERRIDE=FQ","FILING_STATUS=OR","EQY_CONSOLIDATED=Y","Sort=A","Dates=H","DateFormat=P","Fill=—","Direction=H","UseDPDF=Y")</f>
        <v>#NAME?</v>
      </c>
      <c r="AV579" s="2" t="e">
        <f ca="1">_xll.BDH($C$578,"GEO_GROW_TOT_ASSET","FQ1 2014","FQ1 2014","Currency=INR","Period=FQ","BEST_FPERIOD_OVERRIDE=FQ","FILING_STATUS=OR","EQY_CONSOLIDATED=Y","Sort=A","Dates=H","DateFormat=P","Fill=—","Direction=H","UseDPDF=Y")</f>
        <v>#NAME?</v>
      </c>
      <c r="AW579" s="2" t="e">
        <f ca="1">_xll.BDH($C$578,"MODIFIED_WORKING_CPTL_5YR_GRWTH","FQ1 2014","FQ1 2014","Currency=INR","Period=FQ","BEST_FPERIOD_OVERRIDE=FQ","FILING_STATUS=OR","EQY_CONSOLIDATED=Y","Sort=A","Dates=H","DateFormat=P","Fill=—","Direction=H","UseDPDF=Y")</f>
        <v>#NAME?</v>
      </c>
      <c r="AX579" s="2" t="e">
        <f ca="1">_xll.BDH($C$578,"WORKING_CAPITAL_5_YEAR_GROWTH","FQ1 2014","FQ1 2014","Currency=INR","Period=FQ","BEST_FPERIOD_OVERRIDE=FQ","FILING_STATUS=OR","EQY_CONSOLIDATED=Y","Sort=A","Dates=H","DateFormat=P","Fill=—","Direction=H","UseDPDF=Y")</f>
        <v>#NAME?</v>
      </c>
      <c r="AY579" s="2" t="e">
        <f ca="1">_xll.BDH($C$578,"ACCOUNTS_PAYABLE_5_YEAR_GROWTH","FQ1 2014","FQ1 2014","Currency=INR","Period=FQ","BEST_FPERIOD_OVERRIDE=FQ","FILING_STATUS=OR","EQY_CONSOLIDATED=Y","Sort=A","Dates=H","DateFormat=P","Fill=—","Direction=H","UseDPDF=Y")</f>
        <v>#NAME?</v>
      </c>
      <c r="AZ579" s="2" t="e">
        <f ca="1">_xll.BDH($C$578,"SHORT_TERM_DEBT_5_YEAR_GROWTH","FQ1 2014","FQ1 2014","Currency=INR","Period=FQ","BEST_FPERIOD_OVERRIDE=FQ","FILING_STATUS=OR","EQY_CONSOLIDATED=Y","Sort=A","Dates=H","DateFormat=P","Fill=—","Direction=H","UseDPDF=Y")</f>
        <v>#NAME?</v>
      </c>
      <c r="BA579" s="2" t="e">
        <f ca="1">_xll.BDH($C$578,"TOTAL_DEBT_5_YEAR_GROWTH","FQ1 2014","FQ1 2014","Currency=INR","Period=FQ","BEST_FPERIOD_OVERRIDE=FQ","FILING_STATUS=OR","EQY_CONSOLIDATED=Y","Sort=A","Dates=H","DateFormat=P","Fill=—","Direction=H","UseDPDF=Y")</f>
        <v>#NAME?</v>
      </c>
      <c r="BB579" s="2" t="e">
        <f ca="1">_xll.BDH($C$578,"GEO_GROW_TOT_SHRHLDR_EQY","FQ1 2014","FQ1 2014","Currency=INR","Period=FQ","BEST_FPERIOD_OVERRIDE=FQ","FILING_STATUS=OR","EQY_CONSOLIDATED=Y","Sort=A","Dates=H","DateFormat=P","Fill=—","Direction=H","UseDPDF=Y")</f>
        <v>#NAME?</v>
      </c>
      <c r="BC579" s="2" t="e">
        <f ca="1">_xll.BDH($C$578,"TOTAL_CAPITAL_5_YEAR_GROWTH","FQ1 2014","FQ1 2014","Currency=INR","Period=FQ","BEST_FPERIOD_OVERRIDE=FQ","FILING_STATUS=OR","EQY_CONSOLIDATED=Y","Sort=A","Dates=H","DateFormat=P","Fill=—","Direction=H","UseDPDF=Y")</f>
        <v>#NAME?</v>
      </c>
      <c r="BD579" s="2" t="e">
        <f ca="1">_xll.BDH($C$578,"GEO_GROW_BOOK_VAL","FQ1 2014","FQ1 2014","Currency=INR","Period=FQ","BEST_FPERIOD_OVERRIDE=FQ","FILING_STATUS=OR","EQY_CONSOLIDATED=Y","Sort=A","Dates=H","DateFormat=P","Fill=—","Direction=H","UseDPDF=Y")</f>
        <v>#NAME?</v>
      </c>
      <c r="BE579" s="2" t="e">
        <f ca="1">_xll.BDH($C$578,"GEO_GROW_CASH_OPER_ACT","FQ1 2014","FQ1 2014","Currency=INR","Period=FQ","BEST_FPERIOD_OVERRIDE=FQ","FILING_STATUS=OR","EQY_CONSOLIDATED=Y","Sort=A","Dates=H","DateFormat=P","Fill=—","Direction=H","UseDPDF=Y")</f>
        <v>#NAME?</v>
      </c>
      <c r="BF579" s="2" t="e">
        <f ca="1">_xll.BDH($C$578,"REVENUE_SEQUENTIAL_GROWTH","FQ1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579" s="2" t="e">
        <f ca="1">_xll.BDH($C$578,"EBITDA_SEQUENTIAL_GROWTH","FQ1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579" s="2" t="e">
        <f ca="1">_xll.BDH($C$578,"OPERATING_INCOME_SEQ_GROWTH","FQ1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579" s="2" t="e">
        <f ca="1">_xll.BDH($C$578,"NET_INCOME_TO_COMMON_SEQ_GROWTH","FQ1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579" s="2" t="e">
        <f ca="1">_xll.BDH($C$578,"EPS_DILUTED_SEQUENTIAL_GROWTH","FQ1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579" s="2" t="e">
        <f ca="1">_xll.BDH($C$578,"DPS_SEQUENTIAL_GROWTH","FQ1 2014","FQ1 2014","Currency=INR","Period=FQ","BEST_FPERIOD_OVERRIDE=FQ","FILING_STATUS=OR","EQY_CONSOLIDATED=Y","Sort=A","Dates=H","DateFormat=P","Fill=—","Direction=H","UseDPDF=Y")</f>
        <v>#NAME?</v>
      </c>
      <c r="BL579" s="2" t="e">
        <f ca="1">_xll.BDH($C$578,"ACCOUNTS_RECEIVABLE_SEQ_GROWTH","FQ1 2014","FQ1 2014","Currency=INR","Period=FQ","BEST_FPERIOD_OVERRIDE=FQ","FILING_STATUS=OR","EQY_CONSOLIDATED=Y","Sort=A","Dates=H","DateFormat=P","Fill=—","Direction=H","UseDPDF=Y")</f>
        <v>#NAME?</v>
      </c>
      <c r="BM579" s="2" t="e">
        <f ca="1">_xll.BDH($C$578,"INVENTORY_SEQUENTIAL_GROWTH","FQ1 2014","FQ1 2014","Currency=INR","Period=FQ","BEST_FPERIOD_OVERRIDE=FQ","FILING_STATUS=OR","EQY_CONSOLIDATED=Y","Sort=A","Dates=H","DateFormat=P","Fill=—","Direction=H","UseDPDF=Y")</f>
        <v>#NAME?</v>
      </c>
      <c r="BN579" s="2" t="e">
        <f ca="1">_xll.BDH($C$578,"FIXED_ASSETS_SEQUENTIAL_GROWTH","FQ1 2014","FQ1 2014","Currency=INR","Period=FQ","BEST_FPERIOD_OVERRIDE=FQ","FILING_STATUS=OR","EQY_CONSOLIDATED=Y","Sort=A","Dates=H","DateFormat=P","Fill=—","Direction=H","UseDPDF=Y")</f>
        <v>#NAME?</v>
      </c>
      <c r="BO579" s="2" t="e">
        <f ca="1">_xll.BDH($C$578,"TOTAL_ASSETS_SEQUENTIAL_GROWTH","FQ1 2014","FQ1 2014","Currency=INR","Period=FQ","BEST_FPERIOD_OVERRIDE=FQ","FILING_STATUS=OR","EQY_CONSOLIDATED=Y","Sort=A","Dates=H","DateFormat=P","Fill=—","Direction=H","UseDPDF=Y")</f>
        <v>#NAME?</v>
      </c>
      <c r="BP579" s="2" t="e">
        <f ca="1">_xll.BDH($C$578,"MODIFIED_WORKING_CPTL_SEQ_GRWTH","FQ1 2014","FQ1 2014","Currency=INR","Period=FQ","BEST_FPERIOD_OVERRIDE=FQ","FILING_STATUS=OR","EQY_CONSOLIDATED=Y","Sort=A","Dates=H","DateFormat=P","Fill=—","Direction=H","UseDPDF=Y")</f>
        <v>#NAME?</v>
      </c>
      <c r="BQ579" s="2" t="e">
        <f ca="1">_xll.BDH($C$578,"WORKING_CAPITAL_SEQ_GROWTH","FQ1 2014","FQ1 2014","Currency=INR","Period=FQ","BEST_FPERIOD_OVERRIDE=FQ","FILING_STATUS=OR","EQY_CONSOLIDATED=Y","Sort=A","Dates=H","DateFormat=P","Fill=—","Direction=H","UseDPDF=Y")</f>
        <v>#NAME?</v>
      </c>
      <c r="BR579" s="2" t="e">
        <f ca="1">_xll.BDH($C$578,"ACCOUNTS_PAYABLE_SEQ_GROWTH","FQ1 2014","FQ1 2014","Currency=INR","Period=FQ","BEST_FPERIOD_OVERRIDE=FQ","FILING_STATUS=OR","EQY_CONSOLIDATED=Y","Sort=A","Dates=H","DateFormat=P","Fill=—","Direction=H","UseDPDF=Y")</f>
        <v>#NAME?</v>
      </c>
      <c r="BS579" s="2" t="e">
        <f ca="1">_xll.BDH($C$578,"ST_DEBT_SEQUENTIAL_GROWTH","FQ1 2014","FQ1 2014","Currency=INR","Period=FQ","BEST_FPERIOD_OVERRIDE=FQ","FILING_STATUS=OR","EQY_CONSOLIDATED=Y","Sort=A","Dates=H","DateFormat=P","Fill=—","Direction=H","UseDPDF=Y")</f>
        <v>#NAME?</v>
      </c>
      <c r="BT579" s="2" t="e">
        <f ca="1">_xll.BDH($C$578,"TOTAL_DEBT_SEQUENTIAL_GROWTH","FQ1 2014","FQ1 2014","Currency=INR","Period=FQ","BEST_FPERIOD_OVERRIDE=FQ","FILING_STATUS=OR","EQY_CONSOLIDATED=Y","Sort=A","Dates=H","DateFormat=P","Fill=—","Direction=H","UseDPDF=Y")</f>
        <v>#NAME?</v>
      </c>
      <c r="BU579" s="2" t="e">
        <f ca="1">_xll.BDH($C$578,"TOTAL_EQUITY_SEQUENTIAL_GROWTH","FQ1 2014","FQ1 2014","Currency=INR","Period=FQ","BEST_FPERIOD_OVERRIDE=FQ","FILING_STATUS=OR","EQY_CONSOLIDATED=Y","Sort=A","Dates=H","DateFormat=P","Fill=—","Direction=H","UseDPDF=Y")</f>
        <v>#NAME?</v>
      </c>
      <c r="BV579" s="2" t="e">
        <f ca="1">_xll.BDH($C$578,"TOTAL_CAPITAL_SEQUENTIAL_GROWTH","FQ1 2014","FQ1 2014","Currency=INR","Period=FQ","BEST_FPERIOD_OVERRIDE=FQ","FILING_STATUS=OR","EQY_CONSOLIDATED=Y","Sort=A","Dates=H","DateFormat=P","Fill=—","Direction=H","UseDPDF=Y")</f>
        <v>#NAME?</v>
      </c>
      <c r="BW579" s="2" t="e">
        <f ca="1">_xll.BDH($C$578,"BPS_SEQUENTIAL_GROWTH","FQ1 2014","FQ1 2014","Currency=INR","Period=FQ","BEST_FPERIOD_OVERRIDE=FQ","FILING_STATUS=OR","EQY_CONSOLIDATED=Y","Sort=A","Dates=H","DateFormat=P","Fill=—","Direction=H","UseDPDF=Y")</f>
        <v>#NAME?</v>
      </c>
      <c r="BX579" s="2" t="e">
        <f ca="1">_xll.BDH($C$578,"CFO_SEQUENTIAL_GROWTH","FQ1 2014","FQ1 2014","Currency=INR","Period=FQ","BEST_FPERIOD_OVERRIDE=FQ","FILING_STATUS=OR","EQY_CONSOLIDATED=Y","Sort=A","Dates=H","DateFormat=P","Fill=—","Direction=H","UseDPDF=Y")</f>
        <v>#NAME?</v>
      </c>
      <c r="BY579" s="3" t="e">
        <f ca="1">_xll.BDH($C$578,"SHORT_AND_LONG_TERM_DEBT","FQ1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579" s="3" t="e">
        <f ca="1">_xll.BDH($C$578,"BS_ST_BORROW","FQ1 2014","FQ1 2014","Currency=INR","Period=FQ","BEST_FPERIOD_OVERRIDE=FQ","FILING_STATUS=OR","EQY_CONSOLIDATED=Y","SCALING_FORMAT=MLN","Sort=A","Dates=H","DateFormat=P","Fill=—","Direction=H","UseDPDF=Y")</f>
        <v>#NAME?</v>
      </c>
      <c r="CA579" s="3" t="e">
        <f ca="1">_xll.BDH($C$578,"BS_LT_BORROW","FQ1 2014","FQ1 2014","Currency=INR","Period=FQ","BEST_FPERIOD_OVERRIDE=FQ","FILING_STATUS=OR","EQY_CONSOLIDATED=Y","SCALING_FORMAT=MLN","Sort=A","Dates=H","DateFormat=P","Fill=—","Direction=H","UseDPDF=Y")</f>
        <v>#NAME?</v>
      </c>
      <c r="CB579" s="2" t="e">
        <f ca="1">_xll.BDH($C$578,"TOT_DEBT_TO_EBITDA","FQ1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579" s="2" t="e">
        <f ca="1">_xll.BDH($C$578,"NET_DEBT_TO_EBITDA","FQ1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579" s="2" t="e">
        <f ca="1">_xll.BDH($C$578,"TOTAL_DEBT_TO_EBIT","FQ1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579" s="2" t="e">
        <f ca="1">_xll.BDH($C$578,"NET_DEBT_TO_EBIT","FQ1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579" s="2" t="e">
        <f ca="1">_xll.BDH($C$578,"EBITDA_TO_INTEREST_EXPN","FQ1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579" s="2" t="e">
        <f ca="1">_xll.BDH($C$578,"COM_EQY_TO_TOT_ASSET","FQ1 2014","FQ1 2014","Currency=INR","Period=FQ","BEST_FPERIOD_OVERRIDE=FQ","FILING_STATUS=OR","EQY_CONSOLIDATED=Y","Sort=A","Dates=H","DateFormat=P","Fill=—","Direction=H","UseDPDF=Y")</f>
        <v>#NAME?</v>
      </c>
      <c r="CH579" s="2" t="e">
        <f ca="1">_xll.BDH($C$578,"LT_DEBT_TO_TOT_EQY","FQ1 2014","FQ1 2014","Currency=INR","Period=FQ","BEST_FPERIOD_OVERRIDE=FQ","FILING_STATUS=OR","EQY_CONSOLIDATED=Y","Sort=A","Dates=H","DateFormat=P","Fill=—","Direction=H","UseDPDF=Y")</f>
        <v>#NAME?</v>
      </c>
      <c r="CI579" s="2" t="e">
        <f ca="1">_xll.BDH($C$578,"LT_DEBT_TO_TOT_CAP","FQ1 2014","FQ1 2014","Currency=INR","Period=FQ","BEST_FPERIOD_OVERRIDE=FQ","FILING_STATUS=OR","EQY_CONSOLIDATED=Y","Sort=A","Dates=H","DateFormat=P","Fill=—","Direction=H","UseDPDF=Y")</f>
        <v>#NAME?</v>
      </c>
      <c r="CJ579" s="2" t="e">
        <f ca="1">_xll.BDH($C$578,"LT_DEBT_TO_TOT_ASSET","FQ1 2014","FQ1 2014","Currency=INR","Period=FQ","BEST_FPERIOD_OVERRIDE=FQ","FILING_STATUS=OR","EQY_CONSOLIDATED=Y","Sort=A","Dates=H","DateFormat=P","Fill=—","Direction=H","UseDPDF=Y")</f>
        <v>#NAME?</v>
      </c>
      <c r="CK579" s="2" t="e">
        <f ca="1">_xll.BDH($C$578,"TOT_DEBT_TO_TOT_EQY","FQ1 2014","FQ1 2014","Currency=INR","Period=FQ","BEST_FPERIOD_OVERRIDE=FQ","FILING_STATUS=OR","EQY_CONSOLIDATED=Y","Sort=A","Dates=H","DateFormat=P","Fill=—","Direction=H","UseDPDF=Y")</f>
        <v>#NAME?</v>
      </c>
      <c r="CL579" s="2" t="e">
        <f ca="1">_xll.BDH($C$578,"TOT_DEBT_TO_TOT_CAP","FQ1 2014","FQ1 2014","Currency=INR","Period=FQ","BEST_FPERIOD_OVERRIDE=FQ","FILING_STATUS=OR","EQY_CONSOLIDATED=Y","Sort=A","Dates=H","DateFormat=P","Fill=—","Direction=H","UseDPDF=Y")</f>
        <v>#NAME?</v>
      </c>
      <c r="CM579" s="2" t="e">
        <f ca="1">_xll.BDH($C$578,"TOT_DEBT_TO_TOT_ASSET","FQ1 2014","FQ1 2014","Currency=INR","Period=FQ","BEST_FPERIOD_OVERRIDE=FQ","FILING_STATUS=OR","EQY_CONSOLIDATED=Y","Sort=A","Dates=H","DateFormat=P","Fill=—","Direction=H","UseDPDF=Y")</f>
        <v>#NAME?</v>
      </c>
      <c r="CN579" s="2" t="e">
        <f ca="1">_xll.BDH($C$578,"NET_DEBT_TO_SHRHLDR_EQTY","FQ1 2014","FQ1 2014","Currency=INR","Period=FQ","BEST_FPERIOD_OVERRIDE=FQ","FILING_STATUS=OR","EQY_CONSOLIDATED=Y","Sort=A","Dates=H","DateFormat=P","Fill=—","Direction=H","UseDPDF=Y")</f>
        <v>#NAME?</v>
      </c>
      <c r="CO579" s="2" t="e">
        <f ca="1">_xll.BDH($C$578,"NET_DEBT_%_CAPITAL","FQ1 2014","FQ1 2014","Currency=INR","Period=FQ","BEST_FPERIOD_OVERRIDE=FQ","FILING_STATUS=OR","EQY_CONSOLIDATED=Y","Sort=A","Dates=H","DateFormat=P","Fill=—","Direction=H","UseDPDF=Y")</f>
        <v>#NAME?</v>
      </c>
      <c r="CP579" s="3" t="e">
        <f ca="1">_xll.BDH($C$578,"EBITDA","FQ1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579" s="3" t="e">
        <f ca="1">_xll.BDH($C$578,"EBITDA_AFTER_CAPEX","FQ1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579" s="3" t="e">
        <f ca="1">_xll.BDH($C$578,"IS_OPER_INC","FQ1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579" s="2" t="e">
        <f ca="1">_xll.BDH($C$578,"CASH_RATIO","FQ1 2014","FQ1 2014","Currency=INR","Period=FQ","BEST_FPERIOD_OVERRIDE=FQ","FILING_STATUS=OR","EQY_CONSOLIDATED=Y","Sort=A","Dates=H","DateFormat=P","Fill=—","Direction=H","UseDPDF=Y")</f>
        <v>#NAME?</v>
      </c>
      <c r="CT579" s="2" t="e">
        <f ca="1">_xll.BDH($C$578,"CUR_RATIO","FQ1 2014","FQ1 2014","Currency=INR","Period=FQ","BEST_FPERIOD_OVERRIDE=FQ","FILING_STATUS=OR","EQY_CONSOLIDATED=Y","Sort=A","Dates=H","DateFormat=P","Fill=—","Direction=H","UseDPDF=Y")</f>
        <v>#NAME?</v>
      </c>
      <c r="CU579" s="2" t="e">
        <f ca="1">_xll.BDH($C$578,"QUICK_RATIO","FQ1 2014","FQ1 2014","Currency=INR","Period=FQ","BEST_FPERIOD_OVERRIDE=FQ","FILING_STATUS=OR","EQY_CONSOLIDATED=Y","Sort=A","Dates=H","DateFormat=P","Fill=—","Direction=H","UseDPDF=Y")</f>
        <v>#NAME?</v>
      </c>
      <c r="CV579" s="2" t="e">
        <f ca="1">_xll.BDH($C$578,"ALTMAN_Z_SCORE","FQ1 2014","FQ1 2014","Currency=INR","Period=FQ","BEST_FPERIOD_OVERRIDE=FQ","FILING_STATUS=OR","EQY_CONSOLIDATED=Y","Sort=A","Dates=H","DateFormat=P","Fill=—","Direction=H","UseDPDF=Y")</f>
        <v>#NAME?</v>
      </c>
      <c r="CW579" s="4" t="e">
        <f ca="1">_xll.BDH($C$578,"ACCT_RCV_TURN","FQ1 2014","FQ1 2014","Currency=INR","Period=FQ","BEST_FPERIOD_OVERRIDE=FQ","FILING_STATUS=OR","EQY_CONSOLIDATED=Y","FA_ADJUSTED=GAAP","Sort=A","Dates=H","DateFormat=P","Fill=—","Direction=H","UseDPDF=Y")</f>
        <v>#NAME?</v>
      </c>
      <c r="CX579" s="2" t="e">
        <f ca="1">_xll.BDH($C$578,"ACCT_RCV_DAYS","FQ1 2014","FQ1 2014","Currency=INR","Period=FQ","BEST_FPERIOD_OVERRIDE=FQ","FILING_STATUS=OR","EQY_CONSOLIDATED=Y","FA_ADJUSTED=GAAP","Sort=A","Dates=H","DateFormat=P","Fill=—","Direction=H","UseDPDF=Y")</f>
        <v>#NAME?</v>
      </c>
      <c r="CY579" s="4" t="e">
        <f ca="1">_xll.BDH($C$578,"INVENT_TURN","FQ1 2014","FQ1 2014","Currency=INR","Period=FQ","BEST_FPERIOD_OVERRIDE=FQ","FILING_STATUS=OR","EQY_CONSOLIDATED=Y","FA_ADJUSTED=GAAP","Sort=A","Dates=H","DateFormat=P","Fill=—","Direction=H","UseDPDF=Y")</f>
        <v>#NAME?</v>
      </c>
      <c r="CZ579" s="2" t="e">
        <f ca="1">_xll.BDH($C$578,"INVENT_DAYS","FQ1 2014","FQ1 2014","Currency=INR","Period=FQ","BEST_FPERIOD_OVERRIDE=FQ","FILING_STATUS=OR","EQY_CONSOLIDATED=Y","FA_ADJUSTED=GAAP","Sort=A","Dates=H","DateFormat=P","Fill=—","Direction=H","UseDPDF=Y")</f>
        <v>#NAME?</v>
      </c>
      <c r="DA579" s="4" t="e">
        <f ca="1">_xll.BDH($C$578,"ACCOUNTS_PAYABLE_TURNOVER","FQ1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579" s="2" t="e">
        <f ca="1">_xll.BDH($C$578,"ACCOUNTS_PAYABLE_TURNOVER_DAYS","FQ1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579" s="4" t="e">
        <f ca="1">_xll.BDH($C$578,"CASH_CONVERSION_CYCLE","FQ1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579" s="4" t="e">
        <f ca="1">_xll.BDH($C$578,"INV_TO_CASH_DAYS","FQ1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579" s="5" t="e">
        <f ca="1">_xll.BDH($C$578,"BS_INVENTORIES","FQ1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579" s="3" t="e">
        <f ca="1">_xll.BDH($C$578,"INVTRY_RAW_MATERIALS","FQ1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579" s="3" t="e">
        <f ca="1">_xll.BDH($C$578,"INVTRY_IN_PROGRESS","FQ1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579" s="3" t="e">
        <f ca="1">_xll.BDH($C$578,"INVTRY_FINISHED_GOODS","FQ1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579" s="3" t="e">
        <f ca="1">_xll.BDH($C$578,"BS_OTHER_INV","FQ1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80" spans="1:113" x14ac:dyDescent="0.3">
      <c r="A580" s="6"/>
      <c r="B580" s="6"/>
      <c r="C580" s="6"/>
      <c r="D580" s="6"/>
      <c r="E580" t="s">
        <v>79</v>
      </c>
      <c r="F580" t="e">
        <f ca="1">_xll.BDH($C$578,"RETURN_COM_EQY","FQ2 2014","FQ2 2014","Currency=INR","Period=FQ","BEST_FPERIOD_OVERRIDE=FQ","FILING_STATUS=OR","EQY_CONSOLIDATED=Y","FA_ADJUSTED=GAAP","Sort=A","Dates=H","DateFormat=P","Fill=—","Direction=H","UseDPDF=Y")</f>
        <v>#NAME?</v>
      </c>
      <c r="G580" t="e">
        <f ca="1">_xll.BDH($C$578,"RETURN_ON_ASSET","FQ2 2014","FQ2 2014","Currency=INR","Period=FQ","BEST_FPERIOD_OVERRIDE=FQ","FILING_STATUS=OR","EQY_CONSOLIDATED=Y","FA_ADJUSTED=GAAP","Sort=A","Dates=H","DateFormat=P","Fill=—","Direction=H","UseDPDF=Y")</f>
        <v>#NAME?</v>
      </c>
      <c r="H580" t="e">
        <f ca="1">_xll.BDH($C$578,"RETURN_ON_CAP","FQ2 2014","FQ2 2014","Currency=INR","Period=FQ","BEST_FPERIOD_OVERRIDE=FQ","FILING_STATUS=OR","EQY_CONSOLIDATED=Y","FA_ADJUSTED=GAAP","Sort=A","Dates=H","DateFormat=P","Fill=—","Direction=H","UseDPDF=Y")</f>
        <v>#NAME?</v>
      </c>
      <c r="I580" t="e">
        <f ca="1">_xll.BDH($C$578,"RETURN_ON_INV_CAPITAL","FQ2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80" t="e">
        <f ca="1">_xll.BDH($C$578,"EBITDA_TO_REVENUE","FQ2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580" t="e">
        <f ca="1">_xll.BDH($C$578,"OPER_MARGIN","FQ2 2014","FQ2 2014","Currency=INR","Period=FQ","BEST_FPERIOD_OVERRIDE=FQ","FILING_STATUS=OR","EQY_CONSOLIDATED=Y","FA_ADJUSTED=GAAP","Sort=A","Dates=H","DateFormat=P","Fill=—","Direction=H","UseDPDF=Y")</f>
        <v>#NAME?</v>
      </c>
      <c r="L580" t="e">
        <f ca="1">_xll.BDH($C$578,"INCREMENTAL_OPERATING_MARGIN","FQ2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80" t="e">
        <f ca="1">_xll.BDH($C$578,"PRETAX_INC_TO_NET_SALES","FQ2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80" t="e">
        <f ca="1">_xll.BDH($C$578,"INC_BEF_XO_ITEMS_TO_NET_SALES","FQ2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80" t="e">
        <f ca="1">_xll.BDH($C$578,"PROF_MARGIN","FQ2 2014","FQ2 2014","Currency=INR","Period=FQ","BEST_FPERIOD_OVERRIDE=FQ","FILING_STATUS=OR","EQY_CONSOLIDATED=Y","FA_ADJUSTED=GAAP","Sort=A","Dates=H","DateFormat=P","Fill=—","Direction=H","UseDPDF=Y")</f>
        <v>#NAME?</v>
      </c>
      <c r="P580" t="e">
        <f ca="1">_xll.BDH($C$578,"NET_INCOME_TO_COMMON_MARGIN","FQ2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80" t="e">
        <f ca="1">_xll.BDH($C$578,"EFF_TAX_RATE","FQ2 2014","FQ2 2014","Currency=INR","Period=FQ","BEST_FPERIOD_OVERRIDE=FQ","FILING_STATUS=OR","EQY_CONSOLIDATED=Y","FA_ADJUSTED=GAAP","Sort=A","Dates=H","DateFormat=P","Fill=—","Direction=H","UseDPDF=Y")</f>
        <v>#NAME?</v>
      </c>
      <c r="R580" t="e">
        <f ca="1">_xll.BDH($C$578,"DVD_PAYOUT_RATIO","FQ2 2014","FQ2 2014","Currency=INR","Period=FQ","BEST_FPERIOD_OVERRIDE=FQ","FILING_STATUS=OR","EQY_CONSOLIDATED=Y","FA_ADJUSTED=GAAP","Sort=A","Dates=H","DateFormat=P","Fill=—","Direction=H","UseDPDF=Y")</f>
        <v>#NAME?</v>
      </c>
      <c r="S580" t="e">
        <f ca="1">_xll.BDH($C$578,"SUSTAIN_GROWTH_RT","FQ2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580" s="2" t="e">
        <f ca="1">_xll.BDH($C$578,"SALES_GROWTH","FQ2 2014","FQ2 2014","Currency=INR","Period=FQ","BEST_FPERIOD_OVERRIDE=FQ","FILING_STATUS=OR","EQY_CONSOLIDATED=Y","FA_ADJUSTED=GAAP","Sort=A","Dates=H","DateFormat=P","Fill=—","Direction=H","UseDPDF=Y")</f>
        <v>#NAME?</v>
      </c>
      <c r="U580" s="2" t="e">
        <f ca="1">_xll.BDH($C$578,"EBITDA_GROWTH","FQ2 2014","FQ2 2014","Currency=INR","Period=FQ","BEST_FPERIOD_OVERRIDE=FQ","FILING_STATUS=OR","EQY_CONSOLIDATED=Y","FA_ADJUSTED=GAAP","Sort=A","Dates=H","DateFormat=P","Fill=—","Direction=H","UseDPDF=Y")</f>
        <v>#NAME?</v>
      </c>
      <c r="V580" s="2" t="e">
        <f ca="1">_xll.BDH($C$578,"OPER_INC_GROWTH","FQ2 2014","FQ2 2014","Currency=INR","Period=FQ","BEST_FPERIOD_OVERRIDE=FQ","FILING_STATUS=OR","EQY_CONSOLIDATED=Y","FA_ADJUSTED=GAAP","Sort=A","Dates=H","DateFormat=P","Fill=—","Direction=H","UseDPDF=Y")</f>
        <v>#NAME?</v>
      </c>
      <c r="W580" s="2" t="e">
        <f ca="1">_xll.BDH($C$578,"EARN_FOR_COM_GROWTH","FQ2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80" s="2" t="e">
        <f ca="1">_xll.BDH($C$578,"DILUTED_EPS_AFT_XO_ITEMS_GROWTH","FQ2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80" s="2" t="e">
        <f ca="1">_xll.BDH($C$578,"DIVIDEND_PER_SHARE_1_YEAR_GROWTH","FQ2 2014","FQ2 2014","Currency=INR","Period=FQ","BEST_FPERIOD_OVERRIDE=FQ","FILING_STATUS=OR","EQY_CONSOLIDATED=Y","Sort=A","Dates=H","DateFormat=P","Fill=—","Direction=H","UseDPDF=Y")</f>
        <v>#NAME?</v>
      </c>
      <c r="Z580" s="2" t="e">
        <f ca="1">_xll.BDH($C$578,"ACCOUNTS_RECEIVABLE_GROWTH","FQ2 2014","FQ2 2014","Currency=INR","Period=FQ","BEST_FPERIOD_OVERRIDE=FQ","FILING_STATUS=OR","EQY_CONSOLIDATED=Y","Sort=A","Dates=H","DateFormat=P","Fill=—","Direction=H","UseDPDF=Y")</f>
        <v>#NAME?</v>
      </c>
      <c r="AA580" s="2" t="e">
        <f ca="1">_xll.BDH($C$578,"INVENTORY_GROWTH","FQ2 2014","FQ2 2014","Currency=INR","Period=FQ","BEST_FPERIOD_OVERRIDE=FQ","FILING_STATUS=OR","EQY_CONSOLIDATED=Y","Sort=A","Dates=H","DateFormat=P","Fill=—","Direction=H","UseDPDF=Y")</f>
        <v>#NAME?</v>
      </c>
      <c r="AB580" s="2" t="e">
        <f ca="1">_xll.BDH($C$578,"NET_FIXED_ASSETS_1_YEAR_GROWTH","FQ2 2014","FQ2 2014","Currency=INR","Period=FQ","BEST_FPERIOD_OVERRIDE=FQ","FILING_STATUS=OR","EQY_CONSOLIDATED=Y","Sort=A","Dates=H","DateFormat=P","Fill=—","Direction=H","UseDPDF=Y")</f>
        <v>#NAME?</v>
      </c>
      <c r="AC580" s="2" t="e">
        <f ca="1">_xll.BDH($C$578,"ASSET_GROWTH","FQ2 2014","FQ2 2014","Currency=INR","Period=FQ","BEST_FPERIOD_OVERRIDE=FQ","FILING_STATUS=OR","EQY_CONSOLIDATED=Y","Sort=A","Dates=H","DateFormat=P","Fill=—","Direction=H","UseDPDF=Y")</f>
        <v>#NAME?</v>
      </c>
      <c r="AD580" s="2" t="e">
        <f ca="1">_xll.BDH($C$578,"MODIFIED_WORK_CAP_GROWTH","FQ2 2014","FQ2 2014","Currency=INR","Period=FQ","BEST_FPERIOD_OVERRIDE=FQ","FILING_STATUS=OR","EQY_CONSOLIDATED=Y","Sort=A","Dates=H","DateFormat=P","Fill=—","Direction=H","UseDPDF=Y")</f>
        <v>#NAME?</v>
      </c>
      <c r="AE580" s="2" t="e">
        <f ca="1">_xll.BDH($C$578,"WORK_CAP_GROWTH","FQ2 2014","FQ2 2014","Currency=INR","Period=FQ","BEST_FPERIOD_OVERRIDE=FQ","FILING_STATUS=OR","EQY_CONSOLIDATED=Y","Sort=A","Dates=H","DateFormat=P","Fill=—","Direction=H","UseDPDF=Y")</f>
        <v>#NAME?</v>
      </c>
      <c r="AF580" s="2" t="e">
        <f ca="1">_xll.BDH($C$578,"ACCOUNTS_PAYABLE_GROWTH_1YR","FQ2 2014","FQ2 2014","Currency=INR","Period=FQ","BEST_FPERIOD_OVERRIDE=FQ","FILING_STATUS=OR","EQY_CONSOLIDATED=Y","Sort=A","Dates=H","DateFormat=P","Fill=—","Direction=H","UseDPDF=Y")</f>
        <v>#NAME?</v>
      </c>
      <c r="AG580" s="2" t="e">
        <f ca="1">_xll.BDH($C$578,"SHORT_TERM_DEBT_1_YEAR_GROWTH","FQ2 2014","FQ2 2014","Currency=INR","Period=FQ","BEST_FPERIOD_OVERRIDE=FQ","FILING_STATUS=OR","EQY_CONSOLIDATED=Y","Sort=A","Dates=H","DateFormat=P","Fill=—","Direction=H","UseDPDF=Y")</f>
        <v>#NAME?</v>
      </c>
      <c r="AH580" s="2" t="e">
        <f ca="1">_xll.BDH($C$578,"TOTAL_DEBT_1_YEAR_GROWTH","FQ2 2014","FQ2 2014","Currency=INR","Period=FQ","BEST_FPERIOD_OVERRIDE=FQ","FILING_STATUS=OR","EQY_CONSOLIDATED=Y","Sort=A","Dates=H","DateFormat=P","Fill=—","Direction=H","UseDPDF=Y")</f>
        <v>#NAME?</v>
      </c>
      <c r="AI580" s="2" t="e">
        <f ca="1">_xll.BDH($C$578,"TOTAL_EQUITY_1_YEAR_GROWTH","FQ2 2014","FQ2 2014","Currency=INR","Period=FQ","BEST_FPERIOD_OVERRIDE=FQ","FILING_STATUS=OR","EQY_CONSOLIDATED=Y","Sort=A","Dates=H","DateFormat=P","Fill=—","Direction=H","UseDPDF=Y")</f>
        <v>#NAME?</v>
      </c>
      <c r="AJ580" s="2" t="e">
        <f ca="1">_xll.BDH($C$578,"GROWTH_IN_CAP","FQ2 2014","FQ2 2014","Currency=INR","Period=FQ","BEST_FPERIOD_OVERRIDE=FQ","FILING_STATUS=OR","EQY_CONSOLIDATED=Y","Sort=A","Dates=H","DateFormat=P","Fill=—","Direction=H","UseDPDF=Y")</f>
        <v>#NAME?</v>
      </c>
      <c r="AK580" s="2" t="e">
        <f ca="1">_xll.BDH($C$578,"BVPS_GROWTH","FQ2 2014","FQ2 2014","Currency=INR","Period=FQ","BEST_FPERIOD_OVERRIDE=FQ","FILING_STATUS=OR","EQY_CONSOLIDATED=Y","Sort=A","Dates=H","DateFormat=P","Fill=—","Direction=H","UseDPDF=Y")</f>
        <v>#NAME?</v>
      </c>
      <c r="AL580" s="2" t="e">
        <f ca="1">_xll.BDH($C$578,"CASH_FLOW_GROWTH","FQ2 2014","FQ2 2014","Currency=INR","Period=FQ","BEST_FPERIOD_OVERRIDE=FQ","FILING_STATUS=OR","EQY_CONSOLIDATED=Y","Sort=A","Dates=H","DateFormat=P","Fill=—","Direction=H","UseDPDF=Y")</f>
        <v>#NAME?</v>
      </c>
      <c r="AM580" s="2" t="e">
        <f ca="1">_xll.BDH($C$578,"GEO_GROW_NET_SALES","FQ2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80" s="2" t="e">
        <f ca="1">_xll.BDH($C$578,"GEO_GROW_EBITDA","FQ2 2014","FQ2 2014","Currency=INR","Period=FQ","BEST_FPERIOD_OVERRIDE=FQ","FILING_STATUS=OR","EQY_CONSOLIDATED=Y","FA_ADJUSTED=GAAP","Sort=A","Dates=H","DateFormat=P","Fill=—","Direction=H","UseDPDF=Y")</f>
        <v>#NAME?</v>
      </c>
      <c r="AO580" s="2" t="e">
        <f ca="1">_xll.BDH($C$578,"GEO_GROW_OPER_INC","FQ2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80" s="2" t="e">
        <f ca="1">_xll.BDH($C$578,"NET_INCOME_TO_COMMON_5_YR_GROWTH","FQ2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80" s="2" t="e">
        <f ca="1">_xll.BDH($C$578,"5Y_GEO_GROWTH_DILUTED_EPS","FQ2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80" s="2" t="e">
        <f ca="1">_xll.BDH($C$578,"GEO_GROW_DVD_PER_SH","FQ2 2014","FQ2 2014","Currency=INR","Period=FQ","BEST_FPERIOD_OVERRIDE=FQ","FILING_STATUS=OR","EQY_CONSOLIDATED=Y","Sort=A","Dates=H","DateFormat=P","Fill=—","Direction=H","UseDPDF=Y")</f>
        <v>#NAME?</v>
      </c>
      <c r="AS580" s="2" t="e">
        <f ca="1">_xll.BDH($C$578,"ACCOUNTS_RECEIVABLE_5_YR_GROWTH","FQ2 2014","FQ2 2014","Currency=INR","Period=FQ","BEST_FPERIOD_OVERRIDE=FQ","FILING_STATUS=OR","EQY_CONSOLIDATED=Y","Sort=A","Dates=H","DateFormat=P","Fill=—","Direction=H","UseDPDF=Y")</f>
        <v>#NAME?</v>
      </c>
      <c r="AT580" s="2" t="e">
        <f ca="1">_xll.BDH($C$578,"INVENTORY_5_YEAR_GROWTH","FQ2 2014","FQ2 2014","Currency=INR","Period=FQ","BEST_FPERIOD_OVERRIDE=FQ","FILING_STATUS=OR","EQY_CONSOLIDATED=Y","Sort=A","Dates=H","DateFormat=P","Fill=—","Direction=H","UseDPDF=Y")</f>
        <v>#NAME?</v>
      </c>
      <c r="AU580" s="2" t="e">
        <f ca="1">_xll.BDH($C$578,"NET_FIXED_ASSETS_5_YEAR_GROWTH","FQ2 2014","FQ2 2014","Currency=INR","Period=FQ","BEST_FPERIOD_OVERRIDE=FQ","FILING_STATUS=OR","EQY_CONSOLIDATED=Y","Sort=A","Dates=H","DateFormat=P","Fill=—","Direction=H","UseDPDF=Y")</f>
        <v>#NAME?</v>
      </c>
      <c r="AV580" s="2" t="e">
        <f ca="1">_xll.BDH($C$578,"GEO_GROW_TOT_ASSET","FQ2 2014","FQ2 2014","Currency=INR","Period=FQ","BEST_FPERIOD_OVERRIDE=FQ","FILING_STATUS=OR","EQY_CONSOLIDATED=Y","Sort=A","Dates=H","DateFormat=P","Fill=—","Direction=H","UseDPDF=Y")</f>
        <v>#NAME?</v>
      </c>
      <c r="AW580" s="2" t="e">
        <f ca="1">_xll.BDH($C$578,"MODIFIED_WORKING_CPTL_5YR_GRWTH","FQ2 2014","FQ2 2014","Currency=INR","Period=FQ","BEST_FPERIOD_OVERRIDE=FQ","FILING_STATUS=OR","EQY_CONSOLIDATED=Y","Sort=A","Dates=H","DateFormat=P","Fill=—","Direction=H","UseDPDF=Y")</f>
        <v>#NAME?</v>
      </c>
      <c r="AX580" s="2" t="e">
        <f ca="1">_xll.BDH($C$578,"WORKING_CAPITAL_5_YEAR_GROWTH","FQ2 2014","FQ2 2014","Currency=INR","Period=FQ","BEST_FPERIOD_OVERRIDE=FQ","FILING_STATUS=OR","EQY_CONSOLIDATED=Y","Sort=A","Dates=H","DateFormat=P","Fill=—","Direction=H","UseDPDF=Y")</f>
        <v>#NAME?</v>
      </c>
      <c r="AY580" s="2" t="e">
        <f ca="1">_xll.BDH($C$578,"ACCOUNTS_PAYABLE_5_YEAR_GROWTH","FQ2 2014","FQ2 2014","Currency=INR","Period=FQ","BEST_FPERIOD_OVERRIDE=FQ","FILING_STATUS=OR","EQY_CONSOLIDATED=Y","Sort=A","Dates=H","DateFormat=P","Fill=—","Direction=H","UseDPDF=Y")</f>
        <v>#NAME?</v>
      </c>
      <c r="AZ580" s="2" t="e">
        <f ca="1">_xll.BDH($C$578,"SHORT_TERM_DEBT_5_YEAR_GROWTH","FQ2 2014","FQ2 2014","Currency=INR","Period=FQ","BEST_FPERIOD_OVERRIDE=FQ","FILING_STATUS=OR","EQY_CONSOLIDATED=Y","Sort=A","Dates=H","DateFormat=P","Fill=—","Direction=H","UseDPDF=Y")</f>
        <v>#NAME?</v>
      </c>
      <c r="BA580" s="2" t="e">
        <f ca="1">_xll.BDH($C$578,"TOTAL_DEBT_5_YEAR_GROWTH","FQ2 2014","FQ2 2014","Currency=INR","Period=FQ","BEST_FPERIOD_OVERRIDE=FQ","FILING_STATUS=OR","EQY_CONSOLIDATED=Y","Sort=A","Dates=H","DateFormat=P","Fill=—","Direction=H","UseDPDF=Y")</f>
        <v>#NAME?</v>
      </c>
      <c r="BB580" s="2" t="e">
        <f ca="1">_xll.BDH($C$578,"GEO_GROW_TOT_SHRHLDR_EQY","FQ2 2014","FQ2 2014","Currency=INR","Period=FQ","BEST_FPERIOD_OVERRIDE=FQ","FILING_STATUS=OR","EQY_CONSOLIDATED=Y","Sort=A","Dates=H","DateFormat=P","Fill=—","Direction=H","UseDPDF=Y")</f>
        <v>#NAME?</v>
      </c>
      <c r="BC580" s="2" t="e">
        <f ca="1">_xll.BDH($C$578,"TOTAL_CAPITAL_5_YEAR_GROWTH","FQ2 2014","FQ2 2014","Currency=INR","Period=FQ","BEST_FPERIOD_OVERRIDE=FQ","FILING_STATUS=OR","EQY_CONSOLIDATED=Y","Sort=A","Dates=H","DateFormat=P","Fill=—","Direction=H","UseDPDF=Y")</f>
        <v>#NAME?</v>
      </c>
      <c r="BD580" s="2" t="e">
        <f ca="1">_xll.BDH($C$578,"GEO_GROW_BOOK_VAL","FQ2 2014","FQ2 2014","Currency=INR","Period=FQ","BEST_FPERIOD_OVERRIDE=FQ","FILING_STATUS=OR","EQY_CONSOLIDATED=Y","Sort=A","Dates=H","DateFormat=P","Fill=—","Direction=H","UseDPDF=Y")</f>
        <v>#NAME?</v>
      </c>
      <c r="BE580" s="2" t="e">
        <f ca="1">_xll.BDH($C$578,"GEO_GROW_CASH_OPER_ACT","FQ2 2014","FQ2 2014","Currency=INR","Period=FQ","BEST_FPERIOD_OVERRIDE=FQ","FILING_STATUS=OR","EQY_CONSOLIDATED=Y","Sort=A","Dates=H","DateFormat=P","Fill=—","Direction=H","UseDPDF=Y")</f>
        <v>#NAME?</v>
      </c>
      <c r="BF580" s="2" t="e">
        <f ca="1">_xll.BDH($C$578,"REVENUE_SEQUENTIAL_GROWTH","FQ2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80" s="2" t="e">
        <f ca="1">_xll.BDH($C$578,"EBITDA_SEQUENTIAL_GROWTH","FQ2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80" s="2" t="e">
        <f ca="1">_xll.BDH($C$578,"OPERATING_INCOME_SEQ_GROWTH","FQ2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80" s="2" t="e">
        <f ca="1">_xll.BDH($C$578,"NET_INCOME_TO_COMMON_SEQ_GROWTH","FQ2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80" s="2" t="e">
        <f ca="1">_xll.BDH($C$578,"EPS_DILUTED_SEQUENTIAL_GROWTH","FQ2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80" s="2" t="e">
        <f ca="1">_xll.BDH($C$578,"DPS_SEQUENTIAL_GROWTH","FQ2 2014","FQ2 2014","Currency=INR","Period=FQ","BEST_FPERIOD_OVERRIDE=FQ","FILING_STATUS=OR","EQY_CONSOLIDATED=Y","Sort=A","Dates=H","DateFormat=P","Fill=—","Direction=H","UseDPDF=Y")</f>
        <v>#NAME?</v>
      </c>
      <c r="BL580" s="2" t="e">
        <f ca="1">_xll.BDH($C$578,"ACCOUNTS_RECEIVABLE_SEQ_GROWTH","FQ2 2014","FQ2 2014","Currency=INR","Period=FQ","BEST_FPERIOD_OVERRIDE=FQ","FILING_STATUS=OR","EQY_CONSOLIDATED=Y","Sort=A","Dates=H","DateFormat=P","Fill=—","Direction=H","UseDPDF=Y")</f>
        <v>#NAME?</v>
      </c>
      <c r="BM580" s="2" t="e">
        <f ca="1">_xll.BDH($C$578,"INVENTORY_SEQUENTIAL_GROWTH","FQ2 2014","FQ2 2014","Currency=INR","Period=FQ","BEST_FPERIOD_OVERRIDE=FQ","FILING_STATUS=OR","EQY_CONSOLIDATED=Y","Sort=A","Dates=H","DateFormat=P","Fill=—","Direction=H","UseDPDF=Y")</f>
        <v>#NAME?</v>
      </c>
      <c r="BN580" s="2" t="e">
        <f ca="1">_xll.BDH($C$578,"FIXED_ASSETS_SEQUENTIAL_GROWTH","FQ2 2014","FQ2 2014","Currency=INR","Period=FQ","BEST_FPERIOD_OVERRIDE=FQ","FILING_STATUS=OR","EQY_CONSOLIDATED=Y","Sort=A","Dates=H","DateFormat=P","Fill=—","Direction=H","UseDPDF=Y")</f>
        <v>#NAME?</v>
      </c>
      <c r="BO580" s="2" t="e">
        <f ca="1">_xll.BDH($C$578,"TOTAL_ASSETS_SEQUENTIAL_GROWTH","FQ2 2014","FQ2 2014","Currency=INR","Period=FQ","BEST_FPERIOD_OVERRIDE=FQ","FILING_STATUS=OR","EQY_CONSOLIDATED=Y","Sort=A","Dates=H","DateFormat=P","Fill=—","Direction=H","UseDPDF=Y")</f>
        <v>#NAME?</v>
      </c>
      <c r="BP580" s="2" t="e">
        <f ca="1">_xll.BDH($C$578,"MODIFIED_WORKING_CPTL_SEQ_GRWTH","FQ2 2014","FQ2 2014","Currency=INR","Period=FQ","BEST_FPERIOD_OVERRIDE=FQ","FILING_STATUS=OR","EQY_CONSOLIDATED=Y","Sort=A","Dates=H","DateFormat=P","Fill=—","Direction=H","UseDPDF=Y")</f>
        <v>#NAME?</v>
      </c>
      <c r="BQ580" s="2" t="e">
        <f ca="1">_xll.BDH($C$578,"WORKING_CAPITAL_SEQ_GROWTH","FQ2 2014","FQ2 2014","Currency=INR","Period=FQ","BEST_FPERIOD_OVERRIDE=FQ","FILING_STATUS=OR","EQY_CONSOLIDATED=Y","Sort=A","Dates=H","DateFormat=P","Fill=—","Direction=H","UseDPDF=Y")</f>
        <v>#NAME?</v>
      </c>
      <c r="BR580" s="2" t="e">
        <f ca="1">_xll.BDH($C$578,"ACCOUNTS_PAYABLE_SEQ_GROWTH","FQ2 2014","FQ2 2014","Currency=INR","Period=FQ","BEST_FPERIOD_OVERRIDE=FQ","FILING_STATUS=OR","EQY_CONSOLIDATED=Y","Sort=A","Dates=H","DateFormat=P","Fill=—","Direction=H","UseDPDF=Y")</f>
        <v>#NAME?</v>
      </c>
      <c r="BS580" s="2" t="e">
        <f ca="1">_xll.BDH($C$578,"ST_DEBT_SEQUENTIAL_GROWTH","FQ2 2014","FQ2 2014","Currency=INR","Period=FQ","BEST_FPERIOD_OVERRIDE=FQ","FILING_STATUS=OR","EQY_CONSOLIDATED=Y","Sort=A","Dates=H","DateFormat=P","Fill=—","Direction=H","UseDPDF=Y")</f>
        <v>#NAME?</v>
      </c>
      <c r="BT580" s="2" t="e">
        <f ca="1">_xll.BDH($C$578,"TOTAL_DEBT_SEQUENTIAL_GROWTH","FQ2 2014","FQ2 2014","Currency=INR","Period=FQ","BEST_FPERIOD_OVERRIDE=FQ","FILING_STATUS=OR","EQY_CONSOLIDATED=Y","Sort=A","Dates=H","DateFormat=P","Fill=—","Direction=H","UseDPDF=Y")</f>
        <v>#NAME?</v>
      </c>
      <c r="BU580" s="2" t="e">
        <f ca="1">_xll.BDH($C$578,"TOTAL_EQUITY_SEQUENTIAL_GROWTH","FQ2 2014","FQ2 2014","Currency=INR","Period=FQ","BEST_FPERIOD_OVERRIDE=FQ","FILING_STATUS=OR","EQY_CONSOLIDATED=Y","Sort=A","Dates=H","DateFormat=P","Fill=—","Direction=H","UseDPDF=Y")</f>
        <v>#NAME?</v>
      </c>
      <c r="BV580" s="2" t="e">
        <f ca="1">_xll.BDH($C$578,"TOTAL_CAPITAL_SEQUENTIAL_GROWTH","FQ2 2014","FQ2 2014","Currency=INR","Period=FQ","BEST_FPERIOD_OVERRIDE=FQ","FILING_STATUS=OR","EQY_CONSOLIDATED=Y","Sort=A","Dates=H","DateFormat=P","Fill=—","Direction=H","UseDPDF=Y")</f>
        <v>#NAME?</v>
      </c>
      <c r="BW580" s="2" t="e">
        <f ca="1">_xll.BDH($C$578,"BPS_SEQUENTIAL_GROWTH","FQ2 2014","FQ2 2014","Currency=INR","Period=FQ","BEST_FPERIOD_OVERRIDE=FQ","FILING_STATUS=OR","EQY_CONSOLIDATED=Y","Sort=A","Dates=H","DateFormat=P","Fill=—","Direction=H","UseDPDF=Y")</f>
        <v>#NAME?</v>
      </c>
      <c r="BX580" s="2" t="e">
        <f ca="1">_xll.BDH($C$578,"CFO_SEQUENTIAL_GROWTH","FQ2 2014","FQ2 2014","Currency=INR","Period=FQ","BEST_FPERIOD_OVERRIDE=FQ","FILING_STATUS=OR","EQY_CONSOLIDATED=Y","Sort=A","Dates=H","DateFormat=P","Fill=—","Direction=H","UseDPDF=Y")</f>
        <v>#NAME?</v>
      </c>
      <c r="BY580" s="3" t="e">
        <f ca="1">_xll.BDH($C$578,"SHORT_AND_LONG_TERM_DEBT","FQ2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80" s="3" t="e">
        <f ca="1">_xll.BDH($C$578,"BS_ST_BORROW","FQ2 2014","FQ2 2014","Currency=INR","Period=FQ","BEST_FPERIOD_OVERRIDE=FQ","FILING_STATUS=OR","EQY_CONSOLIDATED=Y","SCALING_FORMAT=MLN","Sort=A","Dates=H","DateFormat=P","Fill=—","Direction=H","UseDPDF=Y")</f>
        <v>#NAME?</v>
      </c>
      <c r="CA580" s="3" t="e">
        <f ca="1">_xll.BDH($C$578,"BS_LT_BORROW","FQ2 2014","FQ2 2014","Currency=INR","Period=FQ","BEST_FPERIOD_OVERRIDE=FQ","FILING_STATUS=OR","EQY_CONSOLIDATED=Y","SCALING_FORMAT=MLN","Sort=A","Dates=H","DateFormat=P","Fill=—","Direction=H","UseDPDF=Y")</f>
        <v>#NAME?</v>
      </c>
      <c r="CB580" s="2" t="e">
        <f ca="1">_xll.BDH($C$578,"TOT_DEBT_TO_EBITDA","FQ2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80" s="2" t="e">
        <f ca="1">_xll.BDH($C$578,"NET_DEBT_TO_EBITDA","FQ2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80" s="2" t="e">
        <f ca="1">_xll.BDH($C$578,"TOTAL_DEBT_TO_EBIT","FQ2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80" s="2" t="e">
        <f ca="1">_xll.BDH($C$578,"NET_DEBT_TO_EBIT","FQ2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580" s="2" t="e">
        <f ca="1">_xll.BDH($C$578,"EBITDA_TO_INTEREST_EXPN","FQ2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80" s="2" t="e">
        <f ca="1">_xll.BDH($C$578,"COM_EQY_TO_TOT_ASSET","FQ2 2014","FQ2 2014","Currency=INR","Period=FQ","BEST_FPERIOD_OVERRIDE=FQ","FILING_STATUS=OR","EQY_CONSOLIDATED=Y","Sort=A","Dates=H","DateFormat=P","Fill=—","Direction=H","UseDPDF=Y")</f>
        <v>#NAME?</v>
      </c>
      <c r="CH580" s="2" t="e">
        <f ca="1">_xll.BDH($C$578,"LT_DEBT_TO_TOT_EQY","FQ2 2014","FQ2 2014","Currency=INR","Period=FQ","BEST_FPERIOD_OVERRIDE=FQ","FILING_STATUS=OR","EQY_CONSOLIDATED=Y","Sort=A","Dates=H","DateFormat=P","Fill=—","Direction=H","UseDPDF=Y")</f>
        <v>#NAME?</v>
      </c>
      <c r="CI580" s="2" t="e">
        <f ca="1">_xll.BDH($C$578,"LT_DEBT_TO_TOT_CAP","FQ2 2014","FQ2 2014","Currency=INR","Period=FQ","BEST_FPERIOD_OVERRIDE=FQ","FILING_STATUS=OR","EQY_CONSOLIDATED=Y","Sort=A","Dates=H","DateFormat=P","Fill=—","Direction=H","UseDPDF=Y")</f>
        <v>#NAME?</v>
      </c>
      <c r="CJ580" s="2" t="e">
        <f ca="1">_xll.BDH($C$578,"LT_DEBT_TO_TOT_ASSET","FQ2 2014","FQ2 2014","Currency=INR","Period=FQ","BEST_FPERIOD_OVERRIDE=FQ","FILING_STATUS=OR","EQY_CONSOLIDATED=Y","Sort=A","Dates=H","DateFormat=P","Fill=—","Direction=H","UseDPDF=Y")</f>
        <v>#NAME?</v>
      </c>
      <c r="CK580" s="2" t="e">
        <f ca="1">_xll.BDH($C$578,"TOT_DEBT_TO_TOT_EQY","FQ2 2014","FQ2 2014","Currency=INR","Period=FQ","BEST_FPERIOD_OVERRIDE=FQ","FILING_STATUS=OR","EQY_CONSOLIDATED=Y","Sort=A","Dates=H","DateFormat=P","Fill=—","Direction=H","UseDPDF=Y")</f>
        <v>#NAME?</v>
      </c>
      <c r="CL580" s="2" t="e">
        <f ca="1">_xll.BDH($C$578,"TOT_DEBT_TO_TOT_CAP","FQ2 2014","FQ2 2014","Currency=INR","Period=FQ","BEST_FPERIOD_OVERRIDE=FQ","FILING_STATUS=OR","EQY_CONSOLIDATED=Y","Sort=A","Dates=H","DateFormat=P","Fill=—","Direction=H","UseDPDF=Y")</f>
        <v>#NAME?</v>
      </c>
      <c r="CM580" s="2" t="e">
        <f ca="1">_xll.BDH($C$578,"TOT_DEBT_TO_TOT_ASSET","FQ2 2014","FQ2 2014","Currency=INR","Period=FQ","BEST_FPERIOD_OVERRIDE=FQ","FILING_STATUS=OR","EQY_CONSOLIDATED=Y","Sort=A","Dates=H","DateFormat=P","Fill=—","Direction=H","UseDPDF=Y")</f>
        <v>#NAME?</v>
      </c>
      <c r="CN580" s="2" t="e">
        <f ca="1">_xll.BDH($C$578,"NET_DEBT_TO_SHRHLDR_EQTY","FQ2 2014","FQ2 2014","Currency=INR","Period=FQ","BEST_FPERIOD_OVERRIDE=FQ","FILING_STATUS=OR","EQY_CONSOLIDATED=Y","Sort=A","Dates=H","DateFormat=P","Fill=—","Direction=H","UseDPDF=Y")</f>
        <v>#NAME?</v>
      </c>
      <c r="CO580" s="2" t="e">
        <f ca="1">_xll.BDH($C$578,"NET_DEBT_%_CAPITAL","FQ2 2014","FQ2 2014","Currency=INR","Period=FQ","BEST_FPERIOD_OVERRIDE=FQ","FILING_STATUS=OR","EQY_CONSOLIDATED=Y","Sort=A","Dates=H","DateFormat=P","Fill=—","Direction=H","UseDPDF=Y")</f>
        <v>#NAME?</v>
      </c>
      <c r="CP580" s="3" t="e">
        <f ca="1">_xll.BDH($C$578,"EBITDA","FQ2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80" s="3" t="e">
        <f ca="1">_xll.BDH($C$578,"EBITDA_AFTER_CAPEX","FQ2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80" s="3" t="e">
        <f ca="1">_xll.BDH($C$578,"IS_OPER_INC","FQ2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80" s="2" t="e">
        <f ca="1">_xll.BDH($C$578,"CASH_RATIO","FQ2 2014","FQ2 2014","Currency=INR","Period=FQ","BEST_FPERIOD_OVERRIDE=FQ","FILING_STATUS=OR","EQY_CONSOLIDATED=Y","Sort=A","Dates=H","DateFormat=P","Fill=—","Direction=H","UseDPDF=Y")</f>
        <v>#NAME?</v>
      </c>
      <c r="CT580" s="2" t="e">
        <f ca="1">_xll.BDH($C$578,"CUR_RATIO","FQ2 2014","FQ2 2014","Currency=INR","Period=FQ","BEST_FPERIOD_OVERRIDE=FQ","FILING_STATUS=OR","EQY_CONSOLIDATED=Y","Sort=A","Dates=H","DateFormat=P","Fill=—","Direction=H","UseDPDF=Y")</f>
        <v>#NAME?</v>
      </c>
      <c r="CU580" s="2" t="e">
        <f ca="1">_xll.BDH($C$578,"QUICK_RATIO","FQ2 2014","FQ2 2014","Currency=INR","Period=FQ","BEST_FPERIOD_OVERRIDE=FQ","FILING_STATUS=OR","EQY_CONSOLIDATED=Y","Sort=A","Dates=H","DateFormat=P","Fill=—","Direction=H","UseDPDF=Y")</f>
        <v>#NAME?</v>
      </c>
      <c r="CV580" s="2" t="e">
        <f ca="1">_xll.BDH($C$578,"ALTMAN_Z_SCORE","FQ2 2014","FQ2 2014","Currency=INR","Period=FQ","BEST_FPERIOD_OVERRIDE=FQ","FILING_STATUS=OR","EQY_CONSOLIDATED=Y","Sort=A","Dates=H","DateFormat=P","Fill=—","Direction=H","UseDPDF=Y")</f>
        <v>#NAME?</v>
      </c>
      <c r="CW580" s="4" t="e">
        <f ca="1">_xll.BDH($C$578,"ACCT_RCV_TURN","FQ2 2014","FQ2 2014","Currency=INR","Period=FQ","BEST_FPERIOD_OVERRIDE=FQ","FILING_STATUS=OR","EQY_CONSOLIDATED=Y","FA_ADJUSTED=GAAP","Sort=A","Dates=H","DateFormat=P","Fill=—","Direction=H","UseDPDF=Y")</f>
        <v>#NAME?</v>
      </c>
      <c r="CX580" s="2" t="e">
        <f ca="1">_xll.BDH($C$578,"ACCT_RCV_DAYS","FQ2 2014","FQ2 2014","Currency=INR","Period=FQ","BEST_FPERIOD_OVERRIDE=FQ","FILING_STATUS=OR","EQY_CONSOLIDATED=Y","FA_ADJUSTED=GAAP","Sort=A","Dates=H","DateFormat=P","Fill=—","Direction=H","UseDPDF=Y")</f>
        <v>#NAME?</v>
      </c>
      <c r="CY580" s="4" t="e">
        <f ca="1">_xll.BDH($C$578,"INVENT_TURN","FQ2 2014","FQ2 2014","Currency=INR","Period=FQ","BEST_FPERIOD_OVERRIDE=FQ","FILING_STATUS=OR","EQY_CONSOLIDATED=Y","FA_ADJUSTED=GAAP","Sort=A","Dates=H","DateFormat=P","Fill=—","Direction=H","UseDPDF=Y")</f>
        <v>#NAME?</v>
      </c>
      <c r="CZ580" s="2" t="e">
        <f ca="1">_xll.BDH($C$578,"INVENT_DAYS","FQ2 2014","FQ2 2014","Currency=INR","Period=FQ","BEST_FPERIOD_OVERRIDE=FQ","FILING_STATUS=OR","EQY_CONSOLIDATED=Y","FA_ADJUSTED=GAAP","Sort=A","Dates=H","DateFormat=P","Fill=—","Direction=H","UseDPDF=Y")</f>
        <v>#NAME?</v>
      </c>
      <c r="DA580" s="4" t="e">
        <f ca="1">_xll.BDH($C$578,"ACCOUNTS_PAYABLE_TURNOVER","FQ2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80" s="2" t="e">
        <f ca="1">_xll.BDH($C$578,"ACCOUNTS_PAYABLE_TURNOVER_DAYS","FQ2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80" s="4" t="e">
        <f ca="1">_xll.BDH($C$578,"CASH_CONVERSION_CYCLE","FQ2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80" s="4" t="e">
        <f ca="1">_xll.BDH($C$578,"INV_TO_CASH_DAYS","FQ2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580" s="5" t="e">
        <f ca="1">_xll.BDH($C$578,"BS_INVENTORIES","FQ2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580" s="3" t="e">
        <f ca="1">_xll.BDH($C$578,"INVTRY_RAW_MATERIALS","FQ2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80" s="3" t="e">
        <f ca="1">_xll.BDH($C$578,"INVTRY_IN_PROGRESS","FQ2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80" s="3" t="e">
        <f ca="1">_xll.BDH($C$578,"INVTRY_FINISHED_GOODS","FQ2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80" s="3" t="e">
        <f ca="1">_xll.BDH($C$578,"BS_OTHER_INV","FQ2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581" spans="1:113" x14ac:dyDescent="0.3">
      <c r="A581" s="6"/>
      <c r="B581" s="6"/>
      <c r="C581" s="6"/>
      <c r="D581" s="6"/>
      <c r="E581" t="s">
        <v>80</v>
      </c>
      <c r="F581" t="e">
        <f ca="1">_xll.BDH($C$578,"RETURN_COM_EQY","FQ3 2014","FQ3 2014","Currency=INR","Period=FQ","BEST_FPERIOD_OVERRIDE=FQ","FILING_STATUS=OR","EQY_CONSOLIDATED=Y","FA_ADJUSTED=GAAP","Sort=A","Dates=H","DateFormat=P","Fill=—","Direction=H","UseDPDF=Y")</f>
        <v>#NAME?</v>
      </c>
      <c r="G581" t="e">
        <f ca="1">_xll.BDH($C$578,"RETURN_ON_ASSET","FQ3 2014","FQ3 2014","Currency=INR","Period=FQ","BEST_FPERIOD_OVERRIDE=FQ","FILING_STATUS=OR","EQY_CONSOLIDATED=Y","FA_ADJUSTED=GAAP","Sort=A","Dates=H","DateFormat=P","Fill=—","Direction=H","UseDPDF=Y")</f>
        <v>#NAME?</v>
      </c>
      <c r="H581" t="e">
        <f ca="1">_xll.BDH($C$578,"RETURN_ON_CAP","FQ3 2014","FQ3 2014","Currency=INR","Period=FQ","BEST_FPERIOD_OVERRIDE=FQ","FILING_STATUS=OR","EQY_CONSOLIDATED=Y","FA_ADJUSTED=GAAP","Sort=A","Dates=H","DateFormat=P","Fill=—","Direction=H","UseDPDF=Y")</f>
        <v>#NAME?</v>
      </c>
      <c r="I581" t="e">
        <f ca="1">_xll.BDH($C$578,"RETURN_ON_INV_CAPITAL","FQ3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581" t="e">
        <f ca="1">_xll.BDH($C$578,"EBITDA_TO_REVENUE","FQ3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581" t="e">
        <f ca="1">_xll.BDH($C$578,"OPER_MARGIN","FQ3 2014","FQ3 2014","Currency=INR","Period=FQ","BEST_FPERIOD_OVERRIDE=FQ","FILING_STATUS=OR","EQY_CONSOLIDATED=Y","FA_ADJUSTED=GAAP","Sort=A","Dates=H","DateFormat=P","Fill=—","Direction=H","UseDPDF=Y")</f>
        <v>#NAME?</v>
      </c>
      <c r="L581" t="e">
        <f ca="1">_xll.BDH($C$578,"INCREMENTAL_OPERATING_MARGIN","FQ3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581" t="e">
        <f ca="1">_xll.BDH($C$578,"PRETAX_INC_TO_NET_SALES","FQ3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581" t="e">
        <f ca="1">_xll.BDH($C$578,"INC_BEF_XO_ITEMS_TO_NET_SALES","FQ3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581" t="e">
        <f ca="1">_xll.BDH($C$578,"PROF_MARGIN","FQ3 2014","FQ3 2014","Currency=INR","Period=FQ","BEST_FPERIOD_OVERRIDE=FQ","FILING_STATUS=OR","EQY_CONSOLIDATED=Y","FA_ADJUSTED=GAAP","Sort=A","Dates=H","DateFormat=P","Fill=—","Direction=H","UseDPDF=Y")</f>
        <v>#NAME?</v>
      </c>
      <c r="P581" t="e">
        <f ca="1">_xll.BDH($C$578,"NET_INCOME_TO_COMMON_MARGIN","FQ3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581" t="e">
        <f ca="1">_xll.BDH($C$578,"EFF_TAX_RATE","FQ3 2014","FQ3 2014","Currency=INR","Period=FQ","BEST_FPERIOD_OVERRIDE=FQ","FILING_STATUS=OR","EQY_CONSOLIDATED=Y","FA_ADJUSTED=GAAP","Sort=A","Dates=H","DateFormat=P","Fill=—","Direction=H","UseDPDF=Y")</f>
        <v>#NAME?</v>
      </c>
      <c r="R581" t="e">
        <f ca="1">_xll.BDH($C$578,"DVD_PAYOUT_RATIO","FQ3 2014","FQ3 2014","Currency=INR","Period=FQ","BEST_FPERIOD_OVERRIDE=FQ","FILING_STATUS=OR","EQY_CONSOLIDATED=Y","FA_ADJUSTED=GAAP","Sort=A","Dates=H","DateFormat=P","Fill=—","Direction=H","UseDPDF=Y")</f>
        <v>#NAME?</v>
      </c>
      <c r="S581" t="e">
        <f ca="1">_xll.BDH($C$578,"SUSTAIN_GROWTH_RT","FQ3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581" s="2" t="e">
        <f ca="1">_xll.BDH($C$578,"SALES_GROWTH","FQ3 2014","FQ3 2014","Currency=INR","Period=FQ","BEST_FPERIOD_OVERRIDE=FQ","FILING_STATUS=OR","EQY_CONSOLIDATED=Y","FA_ADJUSTED=GAAP","Sort=A","Dates=H","DateFormat=P","Fill=—","Direction=H","UseDPDF=Y")</f>
        <v>#NAME?</v>
      </c>
      <c r="U581" s="2" t="e">
        <f ca="1">_xll.BDH($C$578,"EBITDA_GROWTH","FQ3 2014","FQ3 2014","Currency=INR","Period=FQ","BEST_FPERIOD_OVERRIDE=FQ","FILING_STATUS=OR","EQY_CONSOLIDATED=Y","FA_ADJUSTED=GAAP","Sort=A","Dates=H","DateFormat=P","Fill=—","Direction=H","UseDPDF=Y")</f>
        <v>#NAME?</v>
      </c>
      <c r="V581" s="2" t="e">
        <f ca="1">_xll.BDH($C$578,"OPER_INC_GROWTH","FQ3 2014","FQ3 2014","Currency=INR","Period=FQ","BEST_FPERIOD_OVERRIDE=FQ","FILING_STATUS=OR","EQY_CONSOLIDATED=Y","FA_ADJUSTED=GAAP","Sort=A","Dates=H","DateFormat=P","Fill=—","Direction=H","UseDPDF=Y")</f>
        <v>#NAME?</v>
      </c>
      <c r="W581" s="2" t="e">
        <f ca="1">_xll.BDH($C$578,"EARN_FOR_COM_GROWTH","FQ3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581" s="2" t="e">
        <f ca="1">_xll.BDH($C$578,"DILUTED_EPS_AFT_XO_ITEMS_GROWTH","FQ3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581" s="2" t="e">
        <f ca="1">_xll.BDH($C$578,"DIVIDEND_PER_SHARE_1_YEAR_GROWTH","FQ3 2014","FQ3 2014","Currency=INR","Period=FQ","BEST_FPERIOD_OVERRIDE=FQ","FILING_STATUS=OR","EQY_CONSOLIDATED=Y","Sort=A","Dates=H","DateFormat=P","Fill=—","Direction=H","UseDPDF=Y")</f>
        <v>#NAME?</v>
      </c>
      <c r="Z581" s="2" t="e">
        <f ca="1">_xll.BDH($C$578,"ACCOUNTS_RECEIVABLE_GROWTH","FQ3 2014","FQ3 2014","Currency=INR","Period=FQ","BEST_FPERIOD_OVERRIDE=FQ","FILING_STATUS=OR","EQY_CONSOLIDATED=Y","Sort=A","Dates=H","DateFormat=P","Fill=—","Direction=H","UseDPDF=Y")</f>
        <v>#NAME?</v>
      </c>
      <c r="AA581" s="2" t="e">
        <f ca="1">_xll.BDH($C$578,"INVENTORY_GROWTH","FQ3 2014","FQ3 2014","Currency=INR","Period=FQ","BEST_FPERIOD_OVERRIDE=FQ","FILING_STATUS=OR","EQY_CONSOLIDATED=Y","Sort=A","Dates=H","DateFormat=P","Fill=—","Direction=H","UseDPDF=Y")</f>
        <v>#NAME?</v>
      </c>
      <c r="AB581" s="2" t="e">
        <f ca="1">_xll.BDH($C$578,"NET_FIXED_ASSETS_1_YEAR_GROWTH","FQ3 2014","FQ3 2014","Currency=INR","Period=FQ","BEST_FPERIOD_OVERRIDE=FQ","FILING_STATUS=OR","EQY_CONSOLIDATED=Y","Sort=A","Dates=H","DateFormat=P","Fill=—","Direction=H","UseDPDF=Y")</f>
        <v>#NAME?</v>
      </c>
      <c r="AC581" s="2" t="e">
        <f ca="1">_xll.BDH($C$578,"ASSET_GROWTH","FQ3 2014","FQ3 2014","Currency=INR","Period=FQ","BEST_FPERIOD_OVERRIDE=FQ","FILING_STATUS=OR","EQY_CONSOLIDATED=Y","Sort=A","Dates=H","DateFormat=P","Fill=—","Direction=H","UseDPDF=Y")</f>
        <v>#NAME?</v>
      </c>
      <c r="AD581" s="2" t="e">
        <f ca="1">_xll.BDH($C$578,"MODIFIED_WORK_CAP_GROWTH","FQ3 2014","FQ3 2014","Currency=INR","Period=FQ","BEST_FPERIOD_OVERRIDE=FQ","FILING_STATUS=OR","EQY_CONSOLIDATED=Y","Sort=A","Dates=H","DateFormat=P","Fill=—","Direction=H","UseDPDF=Y")</f>
        <v>#NAME?</v>
      </c>
      <c r="AE581" s="2" t="e">
        <f ca="1">_xll.BDH($C$578,"WORK_CAP_GROWTH","FQ3 2014","FQ3 2014","Currency=INR","Period=FQ","BEST_FPERIOD_OVERRIDE=FQ","FILING_STATUS=OR","EQY_CONSOLIDATED=Y","Sort=A","Dates=H","DateFormat=P","Fill=—","Direction=H","UseDPDF=Y")</f>
        <v>#NAME?</v>
      </c>
      <c r="AF581" s="2" t="e">
        <f ca="1">_xll.BDH($C$578,"ACCOUNTS_PAYABLE_GROWTH_1YR","FQ3 2014","FQ3 2014","Currency=INR","Period=FQ","BEST_FPERIOD_OVERRIDE=FQ","FILING_STATUS=OR","EQY_CONSOLIDATED=Y","Sort=A","Dates=H","DateFormat=P","Fill=—","Direction=H","UseDPDF=Y")</f>
        <v>#NAME?</v>
      </c>
      <c r="AG581" s="2" t="e">
        <f ca="1">_xll.BDH($C$578,"SHORT_TERM_DEBT_1_YEAR_GROWTH","FQ3 2014","FQ3 2014","Currency=INR","Period=FQ","BEST_FPERIOD_OVERRIDE=FQ","FILING_STATUS=OR","EQY_CONSOLIDATED=Y","Sort=A","Dates=H","DateFormat=P","Fill=—","Direction=H","UseDPDF=Y")</f>
        <v>#NAME?</v>
      </c>
      <c r="AH581" s="2" t="e">
        <f ca="1">_xll.BDH($C$578,"TOTAL_DEBT_1_YEAR_GROWTH","FQ3 2014","FQ3 2014","Currency=INR","Period=FQ","BEST_FPERIOD_OVERRIDE=FQ","FILING_STATUS=OR","EQY_CONSOLIDATED=Y","Sort=A","Dates=H","DateFormat=P","Fill=—","Direction=H","UseDPDF=Y")</f>
        <v>#NAME?</v>
      </c>
      <c r="AI581" s="2" t="e">
        <f ca="1">_xll.BDH($C$578,"TOTAL_EQUITY_1_YEAR_GROWTH","FQ3 2014","FQ3 2014","Currency=INR","Period=FQ","BEST_FPERIOD_OVERRIDE=FQ","FILING_STATUS=OR","EQY_CONSOLIDATED=Y","Sort=A","Dates=H","DateFormat=P","Fill=—","Direction=H","UseDPDF=Y")</f>
        <v>#NAME?</v>
      </c>
      <c r="AJ581" s="2" t="e">
        <f ca="1">_xll.BDH($C$578,"GROWTH_IN_CAP","FQ3 2014","FQ3 2014","Currency=INR","Period=FQ","BEST_FPERIOD_OVERRIDE=FQ","FILING_STATUS=OR","EQY_CONSOLIDATED=Y","Sort=A","Dates=H","DateFormat=P","Fill=—","Direction=H","UseDPDF=Y")</f>
        <v>#NAME?</v>
      </c>
      <c r="AK581" s="2" t="e">
        <f ca="1">_xll.BDH($C$578,"BVPS_GROWTH","FQ3 2014","FQ3 2014","Currency=INR","Period=FQ","BEST_FPERIOD_OVERRIDE=FQ","FILING_STATUS=OR","EQY_CONSOLIDATED=Y","Sort=A","Dates=H","DateFormat=P","Fill=—","Direction=H","UseDPDF=Y")</f>
        <v>#NAME?</v>
      </c>
      <c r="AL581" s="2" t="e">
        <f ca="1">_xll.BDH($C$578,"CASH_FLOW_GROWTH","FQ3 2014","FQ3 2014","Currency=INR","Period=FQ","BEST_FPERIOD_OVERRIDE=FQ","FILING_STATUS=OR","EQY_CONSOLIDATED=Y","Sort=A","Dates=H","DateFormat=P","Fill=—","Direction=H","UseDPDF=Y")</f>
        <v>#NAME?</v>
      </c>
      <c r="AM581" s="2" t="e">
        <f ca="1">_xll.BDH($C$578,"GEO_GROW_NET_SALES","FQ3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581" s="2" t="e">
        <f ca="1">_xll.BDH($C$578,"GEO_GROW_EBITDA","FQ3 2014","FQ3 2014","Currency=INR","Period=FQ","BEST_FPERIOD_OVERRIDE=FQ","FILING_STATUS=OR","EQY_CONSOLIDATED=Y","FA_ADJUSTED=GAAP","Sort=A","Dates=H","DateFormat=P","Fill=—","Direction=H","UseDPDF=Y")</f>
        <v>#NAME?</v>
      </c>
      <c r="AO581" s="2" t="e">
        <f ca="1">_xll.BDH($C$578,"GEO_GROW_OPER_INC","FQ3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581" s="2" t="e">
        <f ca="1">_xll.BDH($C$578,"NET_INCOME_TO_COMMON_5_YR_GROWTH","FQ3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581" s="2" t="e">
        <f ca="1">_xll.BDH($C$578,"5Y_GEO_GROWTH_DILUTED_EPS","FQ3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581" s="2" t="e">
        <f ca="1">_xll.BDH($C$578,"GEO_GROW_DVD_PER_SH","FQ3 2014","FQ3 2014","Currency=INR","Period=FQ","BEST_FPERIOD_OVERRIDE=FQ","FILING_STATUS=OR","EQY_CONSOLIDATED=Y","Sort=A","Dates=H","DateFormat=P","Fill=—","Direction=H","UseDPDF=Y")</f>
        <v>#NAME?</v>
      </c>
      <c r="AS581" s="2" t="e">
        <f ca="1">_xll.BDH($C$578,"ACCOUNTS_RECEIVABLE_5_YR_GROWTH","FQ3 2014","FQ3 2014","Currency=INR","Period=FQ","BEST_FPERIOD_OVERRIDE=FQ","FILING_STATUS=OR","EQY_CONSOLIDATED=Y","Sort=A","Dates=H","DateFormat=P","Fill=—","Direction=H","UseDPDF=Y")</f>
        <v>#NAME?</v>
      </c>
      <c r="AT581" s="2" t="e">
        <f ca="1">_xll.BDH($C$578,"INVENTORY_5_YEAR_GROWTH","FQ3 2014","FQ3 2014","Currency=INR","Period=FQ","BEST_FPERIOD_OVERRIDE=FQ","FILING_STATUS=OR","EQY_CONSOLIDATED=Y","Sort=A","Dates=H","DateFormat=P","Fill=—","Direction=H","UseDPDF=Y")</f>
        <v>#NAME?</v>
      </c>
      <c r="AU581" s="2" t="e">
        <f ca="1">_xll.BDH($C$578,"NET_FIXED_ASSETS_5_YEAR_GROWTH","FQ3 2014","FQ3 2014","Currency=INR","Period=FQ","BEST_FPERIOD_OVERRIDE=FQ","FILING_STATUS=OR","EQY_CONSOLIDATED=Y","Sort=A","Dates=H","DateFormat=P","Fill=—","Direction=H","UseDPDF=Y")</f>
        <v>#NAME?</v>
      </c>
      <c r="AV581" s="2" t="e">
        <f ca="1">_xll.BDH($C$578,"GEO_GROW_TOT_ASSET","FQ3 2014","FQ3 2014","Currency=INR","Period=FQ","BEST_FPERIOD_OVERRIDE=FQ","FILING_STATUS=OR","EQY_CONSOLIDATED=Y","Sort=A","Dates=H","DateFormat=P","Fill=—","Direction=H","UseDPDF=Y")</f>
        <v>#NAME?</v>
      </c>
      <c r="AW581" s="2" t="e">
        <f ca="1">_xll.BDH($C$578,"MODIFIED_WORKING_CPTL_5YR_GRWTH","FQ3 2014","FQ3 2014","Currency=INR","Period=FQ","BEST_FPERIOD_OVERRIDE=FQ","FILING_STATUS=OR","EQY_CONSOLIDATED=Y","Sort=A","Dates=H","DateFormat=P","Fill=—","Direction=H","UseDPDF=Y")</f>
        <v>#NAME?</v>
      </c>
      <c r="AX581" s="2" t="e">
        <f ca="1">_xll.BDH($C$578,"WORKING_CAPITAL_5_YEAR_GROWTH","FQ3 2014","FQ3 2014","Currency=INR","Period=FQ","BEST_FPERIOD_OVERRIDE=FQ","FILING_STATUS=OR","EQY_CONSOLIDATED=Y","Sort=A","Dates=H","DateFormat=P","Fill=—","Direction=H","UseDPDF=Y")</f>
        <v>#NAME?</v>
      </c>
      <c r="AY581" s="2" t="e">
        <f ca="1">_xll.BDH($C$578,"ACCOUNTS_PAYABLE_5_YEAR_GROWTH","FQ3 2014","FQ3 2014","Currency=INR","Period=FQ","BEST_FPERIOD_OVERRIDE=FQ","FILING_STATUS=OR","EQY_CONSOLIDATED=Y","Sort=A","Dates=H","DateFormat=P","Fill=—","Direction=H","UseDPDF=Y")</f>
        <v>#NAME?</v>
      </c>
      <c r="AZ581" s="2" t="e">
        <f ca="1">_xll.BDH($C$578,"SHORT_TERM_DEBT_5_YEAR_GROWTH","FQ3 2014","FQ3 2014","Currency=INR","Period=FQ","BEST_FPERIOD_OVERRIDE=FQ","FILING_STATUS=OR","EQY_CONSOLIDATED=Y","Sort=A","Dates=H","DateFormat=P","Fill=—","Direction=H","UseDPDF=Y")</f>
        <v>#NAME?</v>
      </c>
      <c r="BA581" s="2" t="e">
        <f ca="1">_xll.BDH($C$578,"TOTAL_DEBT_5_YEAR_GROWTH","FQ3 2014","FQ3 2014","Currency=INR","Period=FQ","BEST_FPERIOD_OVERRIDE=FQ","FILING_STATUS=OR","EQY_CONSOLIDATED=Y","Sort=A","Dates=H","DateFormat=P","Fill=—","Direction=H","UseDPDF=Y")</f>
        <v>#NAME?</v>
      </c>
      <c r="BB581" s="2" t="e">
        <f ca="1">_xll.BDH($C$578,"GEO_GROW_TOT_SHRHLDR_EQY","FQ3 2014","FQ3 2014","Currency=INR","Period=FQ","BEST_FPERIOD_OVERRIDE=FQ","FILING_STATUS=OR","EQY_CONSOLIDATED=Y","Sort=A","Dates=H","DateFormat=P","Fill=—","Direction=H","UseDPDF=Y")</f>
        <v>#NAME?</v>
      </c>
      <c r="BC581" s="2" t="e">
        <f ca="1">_xll.BDH($C$578,"TOTAL_CAPITAL_5_YEAR_GROWTH","FQ3 2014","FQ3 2014","Currency=INR","Period=FQ","BEST_FPERIOD_OVERRIDE=FQ","FILING_STATUS=OR","EQY_CONSOLIDATED=Y","Sort=A","Dates=H","DateFormat=P","Fill=—","Direction=H","UseDPDF=Y")</f>
        <v>#NAME?</v>
      </c>
      <c r="BD581" s="2" t="e">
        <f ca="1">_xll.BDH($C$578,"GEO_GROW_BOOK_VAL","FQ3 2014","FQ3 2014","Currency=INR","Period=FQ","BEST_FPERIOD_OVERRIDE=FQ","FILING_STATUS=OR","EQY_CONSOLIDATED=Y","Sort=A","Dates=H","DateFormat=P","Fill=—","Direction=H","UseDPDF=Y")</f>
        <v>#NAME?</v>
      </c>
      <c r="BE581" s="2" t="e">
        <f ca="1">_xll.BDH($C$578,"GEO_GROW_CASH_OPER_ACT","FQ3 2014","FQ3 2014","Currency=INR","Period=FQ","BEST_FPERIOD_OVERRIDE=FQ","FILING_STATUS=OR","EQY_CONSOLIDATED=Y","Sort=A","Dates=H","DateFormat=P","Fill=—","Direction=H","UseDPDF=Y")</f>
        <v>#NAME?</v>
      </c>
      <c r="BF581" s="2" t="e">
        <f ca="1">_xll.BDH($C$578,"REVENUE_SEQUENTIAL_GROWTH","FQ3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581" s="2" t="e">
        <f ca="1">_xll.BDH($C$578,"EBITDA_SEQUENTIAL_GROWTH","FQ3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581" s="2" t="e">
        <f ca="1">_xll.BDH($C$578,"OPERATING_INCOME_SEQ_GROWTH","FQ3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581" s="2" t="e">
        <f ca="1">_xll.BDH($C$578,"NET_INCOME_TO_COMMON_SEQ_GROWTH","FQ3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581" s="2" t="e">
        <f ca="1">_xll.BDH($C$578,"EPS_DILUTED_SEQUENTIAL_GROWTH","FQ3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581" s="2" t="e">
        <f ca="1">_xll.BDH($C$578,"DPS_SEQUENTIAL_GROWTH","FQ3 2014","FQ3 2014","Currency=INR","Period=FQ","BEST_FPERIOD_OVERRIDE=FQ","FILING_STATUS=OR","EQY_CONSOLIDATED=Y","Sort=A","Dates=H","DateFormat=P","Fill=—","Direction=H","UseDPDF=Y")</f>
        <v>#NAME?</v>
      </c>
      <c r="BL581" s="2" t="e">
        <f ca="1">_xll.BDH($C$578,"ACCOUNTS_RECEIVABLE_SEQ_GROWTH","FQ3 2014","FQ3 2014","Currency=INR","Period=FQ","BEST_FPERIOD_OVERRIDE=FQ","FILING_STATUS=OR","EQY_CONSOLIDATED=Y","Sort=A","Dates=H","DateFormat=P","Fill=—","Direction=H","UseDPDF=Y")</f>
        <v>#NAME?</v>
      </c>
      <c r="BM581" s="2" t="e">
        <f ca="1">_xll.BDH($C$578,"INVENTORY_SEQUENTIAL_GROWTH","FQ3 2014","FQ3 2014","Currency=INR","Period=FQ","BEST_FPERIOD_OVERRIDE=FQ","FILING_STATUS=OR","EQY_CONSOLIDATED=Y","Sort=A","Dates=H","DateFormat=P","Fill=—","Direction=H","UseDPDF=Y")</f>
        <v>#NAME?</v>
      </c>
      <c r="BN581" s="2" t="e">
        <f ca="1">_xll.BDH($C$578,"FIXED_ASSETS_SEQUENTIAL_GROWTH","FQ3 2014","FQ3 2014","Currency=INR","Period=FQ","BEST_FPERIOD_OVERRIDE=FQ","FILING_STATUS=OR","EQY_CONSOLIDATED=Y","Sort=A","Dates=H","DateFormat=P","Fill=—","Direction=H","UseDPDF=Y")</f>
        <v>#NAME?</v>
      </c>
      <c r="BO581" s="2" t="e">
        <f ca="1">_xll.BDH($C$578,"TOTAL_ASSETS_SEQUENTIAL_GROWTH","FQ3 2014","FQ3 2014","Currency=INR","Period=FQ","BEST_FPERIOD_OVERRIDE=FQ","FILING_STATUS=OR","EQY_CONSOLIDATED=Y","Sort=A","Dates=H","DateFormat=P","Fill=—","Direction=H","UseDPDF=Y")</f>
        <v>#NAME?</v>
      </c>
      <c r="BP581" s="2" t="e">
        <f ca="1">_xll.BDH($C$578,"MODIFIED_WORKING_CPTL_SEQ_GRWTH","FQ3 2014","FQ3 2014","Currency=INR","Period=FQ","BEST_FPERIOD_OVERRIDE=FQ","FILING_STATUS=OR","EQY_CONSOLIDATED=Y","Sort=A","Dates=H","DateFormat=P","Fill=—","Direction=H","UseDPDF=Y")</f>
        <v>#NAME?</v>
      </c>
      <c r="BQ581" s="2" t="e">
        <f ca="1">_xll.BDH($C$578,"WORKING_CAPITAL_SEQ_GROWTH","FQ3 2014","FQ3 2014","Currency=INR","Period=FQ","BEST_FPERIOD_OVERRIDE=FQ","FILING_STATUS=OR","EQY_CONSOLIDATED=Y","Sort=A","Dates=H","DateFormat=P","Fill=—","Direction=H","UseDPDF=Y")</f>
        <v>#NAME?</v>
      </c>
      <c r="BR581" s="2" t="e">
        <f ca="1">_xll.BDH($C$578,"ACCOUNTS_PAYABLE_SEQ_GROWTH","FQ3 2014","FQ3 2014","Currency=INR","Period=FQ","BEST_FPERIOD_OVERRIDE=FQ","FILING_STATUS=OR","EQY_CONSOLIDATED=Y","Sort=A","Dates=H","DateFormat=P","Fill=—","Direction=H","UseDPDF=Y")</f>
        <v>#NAME?</v>
      </c>
      <c r="BS581" s="2" t="e">
        <f ca="1">_xll.BDH($C$578,"ST_DEBT_SEQUENTIAL_GROWTH","FQ3 2014","FQ3 2014","Currency=INR","Period=FQ","BEST_FPERIOD_OVERRIDE=FQ","FILING_STATUS=OR","EQY_CONSOLIDATED=Y","Sort=A","Dates=H","DateFormat=P","Fill=—","Direction=H","UseDPDF=Y")</f>
        <v>#NAME?</v>
      </c>
      <c r="BT581" s="2" t="e">
        <f ca="1">_xll.BDH($C$578,"TOTAL_DEBT_SEQUENTIAL_GROWTH","FQ3 2014","FQ3 2014","Currency=INR","Period=FQ","BEST_FPERIOD_OVERRIDE=FQ","FILING_STATUS=OR","EQY_CONSOLIDATED=Y","Sort=A","Dates=H","DateFormat=P","Fill=—","Direction=H","UseDPDF=Y")</f>
        <v>#NAME?</v>
      </c>
      <c r="BU581" s="2" t="e">
        <f ca="1">_xll.BDH($C$578,"TOTAL_EQUITY_SEQUENTIAL_GROWTH","FQ3 2014","FQ3 2014","Currency=INR","Period=FQ","BEST_FPERIOD_OVERRIDE=FQ","FILING_STATUS=OR","EQY_CONSOLIDATED=Y","Sort=A","Dates=H","DateFormat=P","Fill=—","Direction=H","UseDPDF=Y")</f>
        <v>#NAME?</v>
      </c>
      <c r="BV581" s="2" t="e">
        <f ca="1">_xll.BDH($C$578,"TOTAL_CAPITAL_SEQUENTIAL_GROWTH","FQ3 2014","FQ3 2014","Currency=INR","Period=FQ","BEST_FPERIOD_OVERRIDE=FQ","FILING_STATUS=OR","EQY_CONSOLIDATED=Y","Sort=A","Dates=H","DateFormat=P","Fill=—","Direction=H","UseDPDF=Y")</f>
        <v>#NAME?</v>
      </c>
      <c r="BW581" s="2" t="e">
        <f ca="1">_xll.BDH($C$578,"BPS_SEQUENTIAL_GROWTH","FQ3 2014","FQ3 2014","Currency=INR","Period=FQ","BEST_FPERIOD_OVERRIDE=FQ","FILING_STATUS=OR","EQY_CONSOLIDATED=Y","Sort=A","Dates=H","DateFormat=P","Fill=—","Direction=H","UseDPDF=Y")</f>
        <v>#NAME?</v>
      </c>
      <c r="BX581" s="2" t="e">
        <f ca="1">_xll.BDH($C$578,"CFO_SEQUENTIAL_GROWTH","FQ3 2014","FQ3 2014","Currency=INR","Period=FQ","BEST_FPERIOD_OVERRIDE=FQ","FILING_STATUS=OR","EQY_CONSOLIDATED=Y","Sort=A","Dates=H","DateFormat=P","Fill=—","Direction=H","UseDPDF=Y")</f>
        <v>#NAME?</v>
      </c>
      <c r="BY581" s="3" t="e">
        <f ca="1">_xll.BDH($C$578,"SHORT_AND_LONG_TERM_DEBT","FQ3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581" s="3" t="e">
        <f ca="1">_xll.BDH($C$578,"BS_ST_BORROW","FQ3 2014","FQ3 2014","Currency=INR","Period=FQ","BEST_FPERIOD_OVERRIDE=FQ","FILING_STATUS=OR","EQY_CONSOLIDATED=Y","SCALING_FORMAT=MLN","Sort=A","Dates=H","DateFormat=P","Fill=—","Direction=H","UseDPDF=Y")</f>
        <v>#NAME?</v>
      </c>
      <c r="CA581" s="3" t="e">
        <f ca="1">_xll.BDH($C$578,"BS_LT_BORROW","FQ3 2014","FQ3 2014","Currency=INR","Period=FQ","BEST_FPERIOD_OVERRIDE=FQ","FILING_STATUS=OR","EQY_CONSOLIDATED=Y","SCALING_FORMAT=MLN","Sort=A","Dates=H","DateFormat=P","Fill=—","Direction=H","UseDPDF=Y")</f>
        <v>#NAME?</v>
      </c>
      <c r="CB581" s="2" t="e">
        <f ca="1">_xll.BDH($C$578,"TOT_DEBT_TO_EBITDA","FQ3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581" s="2" t="e">
        <f ca="1">_xll.BDH($C$578,"NET_DEBT_TO_EBITDA","FQ3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581" s="2" t="e">
        <f ca="1">_xll.BDH($C$578,"TOTAL_DEBT_TO_EBIT","FQ3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581" s="2" t="e">
        <f ca="1">_xll.BDH($C$578,"NET_DEBT_TO_EBIT","FQ3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581" s="2" t="e">
        <f ca="1">_xll.BDH($C$578,"EBITDA_TO_INTEREST_EXPN","FQ3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581" s="2" t="e">
        <f ca="1">_xll.BDH($C$578,"COM_EQY_TO_TOT_ASSET","FQ3 2014","FQ3 2014","Currency=INR","Period=FQ","BEST_FPERIOD_OVERRIDE=FQ","FILING_STATUS=OR","EQY_CONSOLIDATED=Y","Sort=A","Dates=H","DateFormat=P","Fill=—","Direction=H","UseDPDF=Y")</f>
        <v>#NAME?</v>
      </c>
      <c r="CH581" s="2" t="e">
        <f ca="1">_xll.BDH($C$578,"LT_DEBT_TO_TOT_EQY","FQ3 2014","FQ3 2014","Currency=INR","Period=FQ","BEST_FPERIOD_OVERRIDE=FQ","FILING_STATUS=OR","EQY_CONSOLIDATED=Y","Sort=A","Dates=H","DateFormat=P","Fill=—","Direction=H","UseDPDF=Y")</f>
        <v>#NAME?</v>
      </c>
      <c r="CI581" s="2" t="e">
        <f ca="1">_xll.BDH($C$578,"LT_DEBT_TO_TOT_CAP","FQ3 2014","FQ3 2014","Currency=INR","Period=FQ","BEST_FPERIOD_OVERRIDE=FQ","FILING_STATUS=OR","EQY_CONSOLIDATED=Y","Sort=A","Dates=H","DateFormat=P","Fill=—","Direction=H","UseDPDF=Y")</f>
        <v>#NAME?</v>
      </c>
      <c r="CJ581" s="2" t="e">
        <f ca="1">_xll.BDH($C$578,"LT_DEBT_TO_TOT_ASSET","FQ3 2014","FQ3 2014","Currency=INR","Period=FQ","BEST_FPERIOD_OVERRIDE=FQ","FILING_STATUS=OR","EQY_CONSOLIDATED=Y","Sort=A","Dates=H","DateFormat=P","Fill=—","Direction=H","UseDPDF=Y")</f>
        <v>#NAME?</v>
      </c>
      <c r="CK581" s="2" t="e">
        <f ca="1">_xll.BDH($C$578,"TOT_DEBT_TO_TOT_EQY","FQ3 2014","FQ3 2014","Currency=INR","Period=FQ","BEST_FPERIOD_OVERRIDE=FQ","FILING_STATUS=OR","EQY_CONSOLIDATED=Y","Sort=A","Dates=H","DateFormat=P","Fill=—","Direction=H","UseDPDF=Y")</f>
        <v>#NAME?</v>
      </c>
      <c r="CL581" s="2" t="e">
        <f ca="1">_xll.BDH($C$578,"TOT_DEBT_TO_TOT_CAP","FQ3 2014","FQ3 2014","Currency=INR","Period=FQ","BEST_FPERIOD_OVERRIDE=FQ","FILING_STATUS=OR","EQY_CONSOLIDATED=Y","Sort=A","Dates=H","DateFormat=P","Fill=—","Direction=H","UseDPDF=Y")</f>
        <v>#NAME?</v>
      </c>
      <c r="CM581" s="2" t="e">
        <f ca="1">_xll.BDH($C$578,"TOT_DEBT_TO_TOT_ASSET","FQ3 2014","FQ3 2014","Currency=INR","Period=FQ","BEST_FPERIOD_OVERRIDE=FQ","FILING_STATUS=OR","EQY_CONSOLIDATED=Y","Sort=A","Dates=H","DateFormat=P","Fill=—","Direction=H","UseDPDF=Y")</f>
        <v>#NAME?</v>
      </c>
      <c r="CN581" s="2" t="e">
        <f ca="1">_xll.BDH($C$578,"NET_DEBT_TO_SHRHLDR_EQTY","FQ3 2014","FQ3 2014","Currency=INR","Period=FQ","BEST_FPERIOD_OVERRIDE=FQ","FILING_STATUS=OR","EQY_CONSOLIDATED=Y","Sort=A","Dates=H","DateFormat=P","Fill=—","Direction=H","UseDPDF=Y")</f>
        <v>#NAME?</v>
      </c>
      <c r="CO581" s="2" t="e">
        <f ca="1">_xll.BDH($C$578,"NET_DEBT_%_CAPITAL","FQ3 2014","FQ3 2014","Currency=INR","Period=FQ","BEST_FPERIOD_OVERRIDE=FQ","FILING_STATUS=OR","EQY_CONSOLIDATED=Y","Sort=A","Dates=H","DateFormat=P","Fill=—","Direction=H","UseDPDF=Y")</f>
        <v>#NAME?</v>
      </c>
      <c r="CP581" s="3" t="e">
        <f ca="1">_xll.BDH($C$578,"EBITDA","FQ3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581" s="3" t="e">
        <f ca="1">_xll.BDH($C$578,"EBITDA_AFTER_CAPEX","FQ3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581" s="3" t="e">
        <f ca="1">_xll.BDH($C$578,"IS_OPER_INC","FQ3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581" s="2" t="e">
        <f ca="1">_xll.BDH($C$578,"CASH_RATIO","FQ3 2014","FQ3 2014","Currency=INR","Period=FQ","BEST_FPERIOD_OVERRIDE=FQ","FILING_STATUS=OR","EQY_CONSOLIDATED=Y","Sort=A","Dates=H","DateFormat=P","Fill=—","Direction=H","UseDPDF=Y")</f>
        <v>#NAME?</v>
      </c>
      <c r="CT581" s="2" t="e">
        <f ca="1">_xll.BDH($C$578,"CUR_RATIO","FQ3 2014","FQ3 2014","Currency=INR","Period=FQ","BEST_FPERIOD_OVERRIDE=FQ","FILING_STATUS=OR","EQY_CONSOLIDATED=Y","Sort=A","Dates=H","DateFormat=P","Fill=—","Direction=H","UseDPDF=Y")</f>
        <v>#NAME?</v>
      </c>
      <c r="CU581" s="2" t="e">
        <f ca="1">_xll.BDH($C$578,"QUICK_RATIO","FQ3 2014","FQ3 2014","Currency=INR","Period=FQ","BEST_FPERIOD_OVERRIDE=FQ","FILING_STATUS=OR","EQY_CONSOLIDATED=Y","Sort=A","Dates=H","DateFormat=P","Fill=—","Direction=H","UseDPDF=Y")</f>
        <v>#NAME?</v>
      </c>
      <c r="CV581" s="2" t="e">
        <f ca="1">_xll.BDH($C$578,"ALTMAN_Z_SCORE","FQ3 2014","FQ3 2014","Currency=INR","Period=FQ","BEST_FPERIOD_OVERRIDE=FQ","FILING_STATUS=OR","EQY_CONSOLIDATED=Y","Sort=A","Dates=H","DateFormat=P","Fill=—","Direction=H","UseDPDF=Y")</f>
        <v>#NAME?</v>
      </c>
      <c r="CW581" s="4" t="e">
        <f ca="1">_xll.BDH($C$578,"ACCT_RCV_TURN","FQ3 2014","FQ3 2014","Currency=INR","Period=FQ","BEST_FPERIOD_OVERRIDE=FQ","FILING_STATUS=OR","EQY_CONSOLIDATED=Y","FA_ADJUSTED=GAAP","Sort=A","Dates=H","DateFormat=P","Fill=—","Direction=H","UseDPDF=Y")</f>
        <v>#NAME?</v>
      </c>
      <c r="CX581" s="2" t="e">
        <f ca="1">_xll.BDH($C$578,"ACCT_RCV_DAYS","FQ3 2014","FQ3 2014","Currency=INR","Period=FQ","BEST_FPERIOD_OVERRIDE=FQ","FILING_STATUS=OR","EQY_CONSOLIDATED=Y","FA_ADJUSTED=GAAP","Sort=A","Dates=H","DateFormat=P","Fill=—","Direction=H","UseDPDF=Y")</f>
        <v>#NAME?</v>
      </c>
      <c r="CY581" s="4" t="e">
        <f ca="1">_xll.BDH($C$578,"INVENT_TURN","FQ3 2014","FQ3 2014","Currency=INR","Period=FQ","BEST_FPERIOD_OVERRIDE=FQ","FILING_STATUS=OR","EQY_CONSOLIDATED=Y","FA_ADJUSTED=GAAP","Sort=A","Dates=H","DateFormat=P","Fill=—","Direction=H","UseDPDF=Y")</f>
        <v>#NAME?</v>
      </c>
      <c r="CZ581" s="2" t="e">
        <f ca="1">_xll.BDH($C$578,"INVENT_DAYS","FQ3 2014","FQ3 2014","Currency=INR","Period=FQ","BEST_FPERIOD_OVERRIDE=FQ","FILING_STATUS=OR","EQY_CONSOLIDATED=Y","FA_ADJUSTED=GAAP","Sort=A","Dates=H","DateFormat=P","Fill=—","Direction=H","UseDPDF=Y")</f>
        <v>#NAME?</v>
      </c>
      <c r="DA581" s="4" t="e">
        <f ca="1">_xll.BDH($C$578,"ACCOUNTS_PAYABLE_TURNOVER","FQ3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581" s="2" t="e">
        <f ca="1">_xll.BDH($C$578,"ACCOUNTS_PAYABLE_TURNOVER_DAYS","FQ3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581" s="4" t="e">
        <f ca="1">_xll.BDH($C$578,"CASH_CONVERSION_CYCLE","FQ3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581" s="4" t="e">
        <f ca="1">_xll.BDH($C$578,"INV_TO_CASH_DAYS","FQ3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581" s="5" t="e">
        <f ca="1">_xll.BDH($C$578,"BS_INVENTORIES","FQ3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581" s="3" t="e">
        <f ca="1">_xll.BDH($C$578,"INVTRY_RAW_MATERIALS","FQ3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581" s="3" t="e">
        <f ca="1">_xll.BDH($C$578,"INVTRY_IN_PROGRESS","FQ3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581" s="3" t="e">
        <f ca="1">_xll.BDH($C$578,"INVTRY_FINISHED_GOODS","FQ3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581" s="3" t="e">
        <f ca="1">_xll.BDH($C$578,"BS_OTHER_INV","FQ3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582" spans="1:113" x14ac:dyDescent="0.3">
      <c r="A582" s="6"/>
      <c r="B582" s="6"/>
      <c r="C582" s="6"/>
      <c r="D582" s="6"/>
      <c r="E582" t="s">
        <v>81</v>
      </c>
      <c r="F582" t="e">
        <f ca="1">_xll.BDH($C$578,"RETURN_COM_EQY","FQ4 2014","FQ4 2014","Currency=INR","Period=FQ","BEST_FPERIOD_OVERRIDE=FQ","FILING_STATUS=OR","EQY_CONSOLIDATED=Y","FA_ADJUSTED=GAAP","Sort=A","Dates=H","DateFormat=P","Fill=—","Direction=H","UseDPDF=Y")</f>
        <v>#NAME?</v>
      </c>
      <c r="G582" t="e">
        <f ca="1">_xll.BDH($C$578,"RETURN_ON_ASSET","FQ4 2014","FQ4 2014","Currency=INR","Period=FQ","BEST_FPERIOD_OVERRIDE=FQ","FILING_STATUS=OR","EQY_CONSOLIDATED=Y","FA_ADJUSTED=GAAP","Sort=A","Dates=H","DateFormat=P","Fill=—","Direction=H","UseDPDF=Y")</f>
        <v>#NAME?</v>
      </c>
      <c r="H582" t="e">
        <f ca="1">_xll.BDH($C$578,"RETURN_ON_CAP","FQ4 2014","FQ4 2014","Currency=INR","Period=FQ","BEST_FPERIOD_OVERRIDE=FQ","FILING_STATUS=OR","EQY_CONSOLIDATED=Y","FA_ADJUSTED=GAAP","Sort=A","Dates=H","DateFormat=P","Fill=—","Direction=H","UseDPDF=Y")</f>
        <v>#NAME?</v>
      </c>
      <c r="I582" t="e">
        <f ca="1">_xll.BDH($C$578,"RETURN_ON_INV_CAPITAL","FQ4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582" t="e">
        <f ca="1">_xll.BDH($C$578,"EBITDA_TO_REVENUE","FQ4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582" t="e">
        <f ca="1">_xll.BDH($C$578,"OPER_MARGIN","FQ4 2014","FQ4 2014","Currency=INR","Period=FQ","BEST_FPERIOD_OVERRIDE=FQ","FILING_STATUS=OR","EQY_CONSOLIDATED=Y","FA_ADJUSTED=GAAP","Sort=A","Dates=H","DateFormat=P","Fill=—","Direction=H","UseDPDF=Y")</f>
        <v>#NAME?</v>
      </c>
      <c r="L582" t="e">
        <f ca="1">_xll.BDH($C$578,"INCREMENTAL_OPERATING_MARGIN","FQ4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582" t="e">
        <f ca="1">_xll.BDH($C$578,"PRETAX_INC_TO_NET_SALES","FQ4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582" t="e">
        <f ca="1">_xll.BDH($C$578,"INC_BEF_XO_ITEMS_TO_NET_SALES","FQ4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582" t="e">
        <f ca="1">_xll.BDH($C$578,"PROF_MARGIN","FQ4 2014","FQ4 2014","Currency=INR","Period=FQ","BEST_FPERIOD_OVERRIDE=FQ","FILING_STATUS=OR","EQY_CONSOLIDATED=Y","FA_ADJUSTED=GAAP","Sort=A","Dates=H","DateFormat=P","Fill=—","Direction=H","UseDPDF=Y")</f>
        <v>#NAME?</v>
      </c>
      <c r="P582" t="e">
        <f ca="1">_xll.BDH($C$578,"NET_INCOME_TO_COMMON_MARGIN","FQ4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582" t="e">
        <f ca="1">_xll.BDH($C$578,"EFF_TAX_RATE","FQ4 2014","FQ4 2014","Currency=INR","Period=FQ","BEST_FPERIOD_OVERRIDE=FQ","FILING_STATUS=OR","EQY_CONSOLIDATED=Y","FA_ADJUSTED=GAAP","Sort=A","Dates=H","DateFormat=P","Fill=—","Direction=H","UseDPDF=Y")</f>
        <v>#NAME?</v>
      </c>
      <c r="R582" t="e">
        <f ca="1">_xll.BDH($C$578,"DVD_PAYOUT_RATIO","FQ4 2014","FQ4 2014","Currency=INR","Period=FQ","BEST_FPERIOD_OVERRIDE=FQ","FILING_STATUS=OR","EQY_CONSOLIDATED=Y","FA_ADJUSTED=GAAP","Sort=A","Dates=H","DateFormat=P","Fill=—","Direction=H","UseDPDF=Y")</f>
        <v>#NAME?</v>
      </c>
      <c r="S582" t="e">
        <f ca="1">_xll.BDH($C$578,"SUSTAIN_GROWTH_RT","FQ4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582" s="2" t="e">
        <f ca="1">_xll.BDH($C$578,"SALES_GROWTH","FQ4 2014","FQ4 2014","Currency=INR","Period=FQ","BEST_FPERIOD_OVERRIDE=FQ","FILING_STATUS=OR","EQY_CONSOLIDATED=Y","FA_ADJUSTED=GAAP","Sort=A","Dates=H","DateFormat=P","Fill=—","Direction=H","UseDPDF=Y")</f>
        <v>#NAME?</v>
      </c>
      <c r="U582" s="2" t="e">
        <f ca="1">_xll.BDH($C$578,"EBITDA_GROWTH","FQ4 2014","FQ4 2014","Currency=INR","Period=FQ","BEST_FPERIOD_OVERRIDE=FQ","FILING_STATUS=OR","EQY_CONSOLIDATED=Y","FA_ADJUSTED=GAAP","Sort=A","Dates=H","DateFormat=P","Fill=—","Direction=H","UseDPDF=Y")</f>
        <v>#NAME?</v>
      </c>
      <c r="V582" s="2" t="e">
        <f ca="1">_xll.BDH($C$578,"OPER_INC_GROWTH","FQ4 2014","FQ4 2014","Currency=INR","Period=FQ","BEST_FPERIOD_OVERRIDE=FQ","FILING_STATUS=OR","EQY_CONSOLIDATED=Y","FA_ADJUSTED=GAAP","Sort=A","Dates=H","DateFormat=P","Fill=—","Direction=H","UseDPDF=Y")</f>
        <v>#NAME?</v>
      </c>
      <c r="W582" s="2" t="e">
        <f ca="1">_xll.BDH($C$578,"EARN_FOR_COM_GROWTH","FQ4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582" s="2" t="e">
        <f ca="1">_xll.BDH($C$578,"DILUTED_EPS_AFT_XO_ITEMS_GROWTH","FQ4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582" s="2" t="e">
        <f ca="1">_xll.BDH($C$578,"DIVIDEND_PER_SHARE_1_YEAR_GROWTH","FQ4 2014","FQ4 2014","Currency=INR","Period=FQ","BEST_FPERIOD_OVERRIDE=FQ","FILING_STATUS=OR","EQY_CONSOLIDATED=Y","Sort=A","Dates=H","DateFormat=P","Fill=—","Direction=H","UseDPDF=Y")</f>
        <v>#NAME?</v>
      </c>
      <c r="Z582" s="2" t="e">
        <f ca="1">_xll.BDH($C$578,"ACCOUNTS_RECEIVABLE_GROWTH","FQ4 2014","FQ4 2014","Currency=INR","Period=FQ","BEST_FPERIOD_OVERRIDE=FQ","FILING_STATUS=OR","EQY_CONSOLIDATED=Y","Sort=A","Dates=H","DateFormat=P","Fill=—","Direction=H","UseDPDF=Y")</f>
        <v>#NAME?</v>
      </c>
      <c r="AA582" s="2" t="e">
        <f ca="1">_xll.BDH($C$578,"INVENTORY_GROWTH","FQ4 2014","FQ4 2014","Currency=INR","Period=FQ","BEST_FPERIOD_OVERRIDE=FQ","FILING_STATUS=OR","EQY_CONSOLIDATED=Y","Sort=A","Dates=H","DateFormat=P","Fill=—","Direction=H","UseDPDF=Y")</f>
        <v>#NAME?</v>
      </c>
      <c r="AB582" s="2" t="e">
        <f ca="1">_xll.BDH($C$578,"NET_FIXED_ASSETS_1_YEAR_GROWTH","FQ4 2014","FQ4 2014","Currency=INR","Period=FQ","BEST_FPERIOD_OVERRIDE=FQ","FILING_STATUS=OR","EQY_CONSOLIDATED=Y","Sort=A","Dates=H","DateFormat=P","Fill=—","Direction=H","UseDPDF=Y")</f>
        <v>#NAME?</v>
      </c>
      <c r="AC582" s="2" t="e">
        <f ca="1">_xll.BDH($C$578,"ASSET_GROWTH","FQ4 2014","FQ4 2014","Currency=INR","Period=FQ","BEST_FPERIOD_OVERRIDE=FQ","FILING_STATUS=OR","EQY_CONSOLIDATED=Y","Sort=A","Dates=H","DateFormat=P","Fill=—","Direction=H","UseDPDF=Y")</f>
        <v>#NAME?</v>
      </c>
      <c r="AD582" s="2" t="e">
        <f ca="1">_xll.BDH($C$578,"MODIFIED_WORK_CAP_GROWTH","FQ4 2014","FQ4 2014","Currency=INR","Period=FQ","BEST_FPERIOD_OVERRIDE=FQ","FILING_STATUS=OR","EQY_CONSOLIDATED=Y","Sort=A","Dates=H","DateFormat=P","Fill=—","Direction=H","UseDPDF=Y")</f>
        <v>#NAME?</v>
      </c>
      <c r="AE582" s="2" t="e">
        <f ca="1">_xll.BDH($C$578,"WORK_CAP_GROWTH","FQ4 2014","FQ4 2014","Currency=INR","Period=FQ","BEST_FPERIOD_OVERRIDE=FQ","FILING_STATUS=OR","EQY_CONSOLIDATED=Y","Sort=A","Dates=H","DateFormat=P","Fill=—","Direction=H","UseDPDF=Y")</f>
        <v>#NAME?</v>
      </c>
      <c r="AF582" s="2" t="e">
        <f ca="1">_xll.BDH($C$578,"ACCOUNTS_PAYABLE_GROWTH_1YR","FQ4 2014","FQ4 2014","Currency=INR","Period=FQ","BEST_FPERIOD_OVERRIDE=FQ","FILING_STATUS=OR","EQY_CONSOLIDATED=Y","Sort=A","Dates=H","DateFormat=P","Fill=—","Direction=H","UseDPDF=Y")</f>
        <v>#NAME?</v>
      </c>
      <c r="AG582" s="2" t="e">
        <f ca="1">_xll.BDH($C$578,"SHORT_TERM_DEBT_1_YEAR_GROWTH","FQ4 2014","FQ4 2014","Currency=INR","Period=FQ","BEST_FPERIOD_OVERRIDE=FQ","FILING_STATUS=OR","EQY_CONSOLIDATED=Y","Sort=A","Dates=H","DateFormat=P","Fill=—","Direction=H","UseDPDF=Y")</f>
        <v>#NAME?</v>
      </c>
      <c r="AH582" s="2" t="e">
        <f ca="1">_xll.BDH($C$578,"TOTAL_DEBT_1_YEAR_GROWTH","FQ4 2014","FQ4 2014","Currency=INR","Period=FQ","BEST_FPERIOD_OVERRIDE=FQ","FILING_STATUS=OR","EQY_CONSOLIDATED=Y","Sort=A","Dates=H","DateFormat=P","Fill=—","Direction=H","UseDPDF=Y")</f>
        <v>#NAME?</v>
      </c>
      <c r="AI582" s="2" t="e">
        <f ca="1">_xll.BDH($C$578,"TOTAL_EQUITY_1_YEAR_GROWTH","FQ4 2014","FQ4 2014","Currency=INR","Period=FQ","BEST_FPERIOD_OVERRIDE=FQ","FILING_STATUS=OR","EQY_CONSOLIDATED=Y","Sort=A","Dates=H","DateFormat=P","Fill=—","Direction=H","UseDPDF=Y")</f>
        <v>#NAME?</v>
      </c>
      <c r="AJ582" s="2" t="e">
        <f ca="1">_xll.BDH($C$578,"GROWTH_IN_CAP","FQ4 2014","FQ4 2014","Currency=INR","Period=FQ","BEST_FPERIOD_OVERRIDE=FQ","FILING_STATUS=OR","EQY_CONSOLIDATED=Y","Sort=A","Dates=H","DateFormat=P","Fill=—","Direction=H","UseDPDF=Y")</f>
        <v>#NAME?</v>
      </c>
      <c r="AK582" s="2" t="e">
        <f ca="1">_xll.BDH($C$578,"BVPS_GROWTH","FQ4 2014","FQ4 2014","Currency=INR","Period=FQ","BEST_FPERIOD_OVERRIDE=FQ","FILING_STATUS=OR","EQY_CONSOLIDATED=Y","Sort=A","Dates=H","DateFormat=P","Fill=—","Direction=H","UseDPDF=Y")</f>
        <v>#NAME?</v>
      </c>
      <c r="AL582" s="2" t="e">
        <f ca="1">_xll.BDH($C$578,"CASH_FLOW_GROWTH","FQ4 2014","FQ4 2014","Currency=INR","Period=FQ","BEST_FPERIOD_OVERRIDE=FQ","FILING_STATUS=OR","EQY_CONSOLIDATED=Y","Sort=A","Dates=H","DateFormat=P","Fill=—","Direction=H","UseDPDF=Y")</f>
        <v>#NAME?</v>
      </c>
      <c r="AM582" s="2" t="e">
        <f ca="1">_xll.BDH($C$578,"GEO_GROW_NET_SALES","FQ4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582" s="2" t="e">
        <f ca="1">_xll.BDH($C$578,"GEO_GROW_EBITDA","FQ4 2014","FQ4 2014","Currency=INR","Period=FQ","BEST_FPERIOD_OVERRIDE=FQ","FILING_STATUS=OR","EQY_CONSOLIDATED=Y","FA_ADJUSTED=GAAP","Sort=A","Dates=H","DateFormat=P","Fill=—","Direction=H","UseDPDF=Y")</f>
        <v>#NAME?</v>
      </c>
      <c r="AO582" s="2" t="e">
        <f ca="1">_xll.BDH($C$578,"GEO_GROW_OPER_INC","FQ4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582" s="2" t="e">
        <f ca="1">_xll.BDH($C$578,"NET_INCOME_TO_COMMON_5_YR_GROWTH","FQ4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582" s="2" t="e">
        <f ca="1">_xll.BDH($C$578,"5Y_GEO_GROWTH_DILUTED_EPS","FQ4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582" s="2" t="e">
        <f ca="1">_xll.BDH($C$578,"GEO_GROW_DVD_PER_SH","FQ4 2014","FQ4 2014","Currency=INR","Period=FQ","BEST_FPERIOD_OVERRIDE=FQ","FILING_STATUS=OR","EQY_CONSOLIDATED=Y","Sort=A","Dates=H","DateFormat=P","Fill=—","Direction=H","UseDPDF=Y")</f>
        <v>#NAME?</v>
      </c>
      <c r="AS582" s="2" t="e">
        <f ca="1">_xll.BDH($C$578,"ACCOUNTS_RECEIVABLE_5_YR_GROWTH","FQ4 2014","FQ4 2014","Currency=INR","Period=FQ","BEST_FPERIOD_OVERRIDE=FQ","FILING_STATUS=OR","EQY_CONSOLIDATED=Y","Sort=A","Dates=H","DateFormat=P","Fill=—","Direction=H","UseDPDF=Y")</f>
        <v>#NAME?</v>
      </c>
      <c r="AT582" s="2" t="e">
        <f ca="1">_xll.BDH($C$578,"INVENTORY_5_YEAR_GROWTH","FQ4 2014","FQ4 2014","Currency=INR","Period=FQ","BEST_FPERIOD_OVERRIDE=FQ","FILING_STATUS=OR","EQY_CONSOLIDATED=Y","Sort=A","Dates=H","DateFormat=P","Fill=—","Direction=H","UseDPDF=Y")</f>
        <v>#NAME?</v>
      </c>
      <c r="AU582" s="2" t="e">
        <f ca="1">_xll.BDH($C$578,"NET_FIXED_ASSETS_5_YEAR_GROWTH","FQ4 2014","FQ4 2014","Currency=INR","Period=FQ","BEST_FPERIOD_OVERRIDE=FQ","FILING_STATUS=OR","EQY_CONSOLIDATED=Y","Sort=A","Dates=H","DateFormat=P","Fill=—","Direction=H","UseDPDF=Y")</f>
        <v>#NAME?</v>
      </c>
      <c r="AV582" s="2" t="e">
        <f ca="1">_xll.BDH($C$578,"GEO_GROW_TOT_ASSET","FQ4 2014","FQ4 2014","Currency=INR","Period=FQ","BEST_FPERIOD_OVERRIDE=FQ","FILING_STATUS=OR","EQY_CONSOLIDATED=Y","Sort=A","Dates=H","DateFormat=P","Fill=—","Direction=H","UseDPDF=Y")</f>
        <v>#NAME?</v>
      </c>
      <c r="AW582" s="2" t="e">
        <f ca="1">_xll.BDH($C$578,"MODIFIED_WORKING_CPTL_5YR_GRWTH","FQ4 2014","FQ4 2014","Currency=INR","Period=FQ","BEST_FPERIOD_OVERRIDE=FQ","FILING_STATUS=OR","EQY_CONSOLIDATED=Y","Sort=A","Dates=H","DateFormat=P","Fill=—","Direction=H","UseDPDF=Y")</f>
        <v>#NAME?</v>
      </c>
      <c r="AX582" s="2" t="e">
        <f ca="1">_xll.BDH($C$578,"WORKING_CAPITAL_5_YEAR_GROWTH","FQ4 2014","FQ4 2014","Currency=INR","Period=FQ","BEST_FPERIOD_OVERRIDE=FQ","FILING_STATUS=OR","EQY_CONSOLIDATED=Y","Sort=A","Dates=H","DateFormat=P","Fill=—","Direction=H","UseDPDF=Y")</f>
        <v>#NAME?</v>
      </c>
      <c r="AY582" s="2" t="e">
        <f ca="1">_xll.BDH($C$578,"ACCOUNTS_PAYABLE_5_YEAR_GROWTH","FQ4 2014","FQ4 2014","Currency=INR","Period=FQ","BEST_FPERIOD_OVERRIDE=FQ","FILING_STATUS=OR","EQY_CONSOLIDATED=Y","Sort=A","Dates=H","DateFormat=P","Fill=—","Direction=H","UseDPDF=Y")</f>
        <v>#NAME?</v>
      </c>
      <c r="AZ582" s="2" t="e">
        <f ca="1">_xll.BDH($C$578,"SHORT_TERM_DEBT_5_YEAR_GROWTH","FQ4 2014","FQ4 2014","Currency=INR","Period=FQ","BEST_FPERIOD_OVERRIDE=FQ","FILING_STATUS=OR","EQY_CONSOLIDATED=Y","Sort=A","Dates=H","DateFormat=P","Fill=—","Direction=H","UseDPDF=Y")</f>
        <v>#NAME?</v>
      </c>
      <c r="BA582" s="2" t="e">
        <f ca="1">_xll.BDH($C$578,"TOTAL_DEBT_5_YEAR_GROWTH","FQ4 2014","FQ4 2014","Currency=INR","Period=FQ","BEST_FPERIOD_OVERRIDE=FQ","FILING_STATUS=OR","EQY_CONSOLIDATED=Y","Sort=A","Dates=H","DateFormat=P","Fill=—","Direction=H","UseDPDF=Y")</f>
        <v>#NAME?</v>
      </c>
      <c r="BB582" s="2" t="e">
        <f ca="1">_xll.BDH($C$578,"GEO_GROW_TOT_SHRHLDR_EQY","FQ4 2014","FQ4 2014","Currency=INR","Period=FQ","BEST_FPERIOD_OVERRIDE=FQ","FILING_STATUS=OR","EQY_CONSOLIDATED=Y","Sort=A","Dates=H","DateFormat=P","Fill=—","Direction=H","UseDPDF=Y")</f>
        <v>#NAME?</v>
      </c>
      <c r="BC582" s="2" t="e">
        <f ca="1">_xll.BDH($C$578,"TOTAL_CAPITAL_5_YEAR_GROWTH","FQ4 2014","FQ4 2014","Currency=INR","Period=FQ","BEST_FPERIOD_OVERRIDE=FQ","FILING_STATUS=OR","EQY_CONSOLIDATED=Y","Sort=A","Dates=H","DateFormat=P","Fill=—","Direction=H","UseDPDF=Y")</f>
        <v>#NAME?</v>
      </c>
      <c r="BD582" s="2" t="e">
        <f ca="1">_xll.BDH($C$578,"GEO_GROW_BOOK_VAL","FQ4 2014","FQ4 2014","Currency=INR","Period=FQ","BEST_FPERIOD_OVERRIDE=FQ","FILING_STATUS=OR","EQY_CONSOLIDATED=Y","Sort=A","Dates=H","DateFormat=P","Fill=—","Direction=H","UseDPDF=Y")</f>
        <v>#NAME?</v>
      </c>
      <c r="BE582" s="2" t="e">
        <f ca="1">_xll.BDH($C$578,"GEO_GROW_CASH_OPER_ACT","FQ4 2014","FQ4 2014","Currency=INR","Period=FQ","BEST_FPERIOD_OVERRIDE=FQ","FILING_STATUS=OR","EQY_CONSOLIDATED=Y","Sort=A","Dates=H","DateFormat=P","Fill=—","Direction=H","UseDPDF=Y")</f>
        <v>#NAME?</v>
      </c>
      <c r="BF582" s="2" t="e">
        <f ca="1">_xll.BDH($C$578,"REVENUE_SEQUENTIAL_GROWTH","FQ4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582" s="2" t="e">
        <f ca="1">_xll.BDH($C$578,"EBITDA_SEQUENTIAL_GROWTH","FQ4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582" s="2" t="e">
        <f ca="1">_xll.BDH($C$578,"OPERATING_INCOME_SEQ_GROWTH","FQ4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582" s="2" t="e">
        <f ca="1">_xll.BDH($C$578,"NET_INCOME_TO_COMMON_SEQ_GROWTH","FQ4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582" s="2" t="e">
        <f ca="1">_xll.BDH($C$578,"EPS_DILUTED_SEQUENTIAL_GROWTH","FQ4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582" s="2" t="e">
        <f ca="1">_xll.BDH($C$578,"DPS_SEQUENTIAL_GROWTH","FQ4 2014","FQ4 2014","Currency=INR","Period=FQ","BEST_FPERIOD_OVERRIDE=FQ","FILING_STATUS=OR","EQY_CONSOLIDATED=Y","Sort=A","Dates=H","DateFormat=P","Fill=—","Direction=H","UseDPDF=Y")</f>
        <v>#NAME?</v>
      </c>
      <c r="BL582" s="2" t="e">
        <f ca="1">_xll.BDH($C$578,"ACCOUNTS_RECEIVABLE_SEQ_GROWTH","FQ4 2014","FQ4 2014","Currency=INR","Period=FQ","BEST_FPERIOD_OVERRIDE=FQ","FILING_STATUS=OR","EQY_CONSOLIDATED=Y","Sort=A","Dates=H","DateFormat=P","Fill=—","Direction=H","UseDPDF=Y")</f>
        <v>#NAME?</v>
      </c>
      <c r="BM582" s="2" t="e">
        <f ca="1">_xll.BDH($C$578,"INVENTORY_SEQUENTIAL_GROWTH","FQ4 2014","FQ4 2014","Currency=INR","Period=FQ","BEST_FPERIOD_OVERRIDE=FQ","FILING_STATUS=OR","EQY_CONSOLIDATED=Y","Sort=A","Dates=H","DateFormat=P","Fill=—","Direction=H","UseDPDF=Y")</f>
        <v>#NAME?</v>
      </c>
      <c r="BN582" s="2" t="e">
        <f ca="1">_xll.BDH($C$578,"FIXED_ASSETS_SEQUENTIAL_GROWTH","FQ4 2014","FQ4 2014","Currency=INR","Period=FQ","BEST_FPERIOD_OVERRIDE=FQ","FILING_STATUS=OR","EQY_CONSOLIDATED=Y","Sort=A","Dates=H","DateFormat=P","Fill=—","Direction=H","UseDPDF=Y")</f>
        <v>#NAME?</v>
      </c>
      <c r="BO582" s="2" t="e">
        <f ca="1">_xll.BDH($C$578,"TOTAL_ASSETS_SEQUENTIAL_GROWTH","FQ4 2014","FQ4 2014","Currency=INR","Period=FQ","BEST_FPERIOD_OVERRIDE=FQ","FILING_STATUS=OR","EQY_CONSOLIDATED=Y","Sort=A","Dates=H","DateFormat=P","Fill=—","Direction=H","UseDPDF=Y")</f>
        <v>#NAME?</v>
      </c>
      <c r="BP582" s="2" t="e">
        <f ca="1">_xll.BDH($C$578,"MODIFIED_WORKING_CPTL_SEQ_GRWTH","FQ4 2014","FQ4 2014","Currency=INR","Period=FQ","BEST_FPERIOD_OVERRIDE=FQ","FILING_STATUS=OR","EQY_CONSOLIDATED=Y","Sort=A","Dates=H","DateFormat=P","Fill=—","Direction=H","UseDPDF=Y")</f>
        <v>#NAME?</v>
      </c>
      <c r="BQ582" s="2" t="e">
        <f ca="1">_xll.BDH($C$578,"WORKING_CAPITAL_SEQ_GROWTH","FQ4 2014","FQ4 2014","Currency=INR","Period=FQ","BEST_FPERIOD_OVERRIDE=FQ","FILING_STATUS=OR","EQY_CONSOLIDATED=Y","Sort=A","Dates=H","DateFormat=P","Fill=—","Direction=H","UseDPDF=Y")</f>
        <v>#NAME?</v>
      </c>
      <c r="BR582" s="2" t="e">
        <f ca="1">_xll.BDH($C$578,"ACCOUNTS_PAYABLE_SEQ_GROWTH","FQ4 2014","FQ4 2014","Currency=INR","Period=FQ","BEST_FPERIOD_OVERRIDE=FQ","FILING_STATUS=OR","EQY_CONSOLIDATED=Y","Sort=A","Dates=H","DateFormat=P","Fill=—","Direction=H","UseDPDF=Y")</f>
        <v>#NAME?</v>
      </c>
      <c r="BS582" s="2" t="e">
        <f ca="1">_xll.BDH($C$578,"ST_DEBT_SEQUENTIAL_GROWTH","FQ4 2014","FQ4 2014","Currency=INR","Period=FQ","BEST_FPERIOD_OVERRIDE=FQ","FILING_STATUS=OR","EQY_CONSOLIDATED=Y","Sort=A","Dates=H","DateFormat=P","Fill=—","Direction=H","UseDPDF=Y")</f>
        <v>#NAME?</v>
      </c>
      <c r="BT582" s="2" t="e">
        <f ca="1">_xll.BDH($C$578,"TOTAL_DEBT_SEQUENTIAL_GROWTH","FQ4 2014","FQ4 2014","Currency=INR","Period=FQ","BEST_FPERIOD_OVERRIDE=FQ","FILING_STATUS=OR","EQY_CONSOLIDATED=Y","Sort=A","Dates=H","DateFormat=P","Fill=—","Direction=H","UseDPDF=Y")</f>
        <v>#NAME?</v>
      </c>
      <c r="BU582" s="2" t="e">
        <f ca="1">_xll.BDH($C$578,"TOTAL_EQUITY_SEQUENTIAL_GROWTH","FQ4 2014","FQ4 2014","Currency=INR","Period=FQ","BEST_FPERIOD_OVERRIDE=FQ","FILING_STATUS=OR","EQY_CONSOLIDATED=Y","Sort=A","Dates=H","DateFormat=P","Fill=—","Direction=H","UseDPDF=Y")</f>
        <v>#NAME?</v>
      </c>
      <c r="BV582" s="2" t="e">
        <f ca="1">_xll.BDH($C$578,"TOTAL_CAPITAL_SEQUENTIAL_GROWTH","FQ4 2014","FQ4 2014","Currency=INR","Period=FQ","BEST_FPERIOD_OVERRIDE=FQ","FILING_STATUS=OR","EQY_CONSOLIDATED=Y","Sort=A","Dates=H","DateFormat=P","Fill=—","Direction=H","UseDPDF=Y")</f>
        <v>#NAME?</v>
      </c>
      <c r="BW582" s="2" t="e">
        <f ca="1">_xll.BDH($C$578,"BPS_SEQUENTIAL_GROWTH","FQ4 2014","FQ4 2014","Currency=INR","Period=FQ","BEST_FPERIOD_OVERRIDE=FQ","FILING_STATUS=OR","EQY_CONSOLIDATED=Y","Sort=A","Dates=H","DateFormat=P","Fill=—","Direction=H","UseDPDF=Y")</f>
        <v>#NAME?</v>
      </c>
      <c r="BX582" s="2" t="e">
        <f ca="1">_xll.BDH($C$578,"CFO_SEQUENTIAL_GROWTH","FQ4 2014","FQ4 2014","Currency=INR","Period=FQ","BEST_FPERIOD_OVERRIDE=FQ","FILING_STATUS=OR","EQY_CONSOLIDATED=Y","Sort=A","Dates=H","DateFormat=P","Fill=—","Direction=H","UseDPDF=Y")</f>
        <v>#NAME?</v>
      </c>
      <c r="BY582" s="3" t="e">
        <f ca="1">_xll.BDH($C$578,"SHORT_AND_LONG_TERM_DEBT","FQ4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582" s="3" t="e">
        <f ca="1">_xll.BDH($C$578,"BS_ST_BORROW","FQ4 2014","FQ4 2014","Currency=INR","Period=FQ","BEST_FPERIOD_OVERRIDE=FQ","FILING_STATUS=OR","EQY_CONSOLIDATED=Y","SCALING_FORMAT=MLN","Sort=A","Dates=H","DateFormat=P","Fill=—","Direction=H","UseDPDF=Y")</f>
        <v>#NAME?</v>
      </c>
      <c r="CA582" s="3" t="e">
        <f ca="1">_xll.BDH($C$578,"BS_LT_BORROW","FQ4 2014","FQ4 2014","Currency=INR","Period=FQ","BEST_FPERIOD_OVERRIDE=FQ","FILING_STATUS=OR","EQY_CONSOLIDATED=Y","SCALING_FORMAT=MLN","Sort=A","Dates=H","DateFormat=P","Fill=—","Direction=H","UseDPDF=Y")</f>
        <v>#NAME?</v>
      </c>
      <c r="CB582" s="2" t="e">
        <f ca="1">_xll.BDH($C$578,"TOT_DEBT_TO_EBITDA","FQ4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582" s="2" t="e">
        <f ca="1">_xll.BDH($C$578,"NET_DEBT_TO_EBITDA","FQ4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582" s="2" t="e">
        <f ca="1">_xll.BDH($C$578,"TOTAL_DEBT_TO_EBIT","FQ4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582" s="2" t="e">
        <f ca="1">_xll.BDH($C$578,"NET_DEBT_TO_EBIT","FQ4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582" s="2" t="e">
        <f ca="1">_xll.BDH($C$578,"EBITDA_TO_INTEREST_EXPN","FQ4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582" s="2" t="e">
        <f ca="1">_xll.BDH($C$578,"COM_EQY_TO_TOT_ASSET","FQ4 2014","FQ4 2014","Currency=INR","Period=FQ","BEST_FPERIOD_OVERRIDE=FQ","FILING_STATUS=OR","EQY_CONSOLIDATED=Y","Sort=A","Dates=H","DateFormat=P","Fill=—","Direction=H","UseDPDF=Y")</f>
        <v>#NAME?</v>
      </c>
      <c r="CH582" s="2" t="e">
        <f ca="1">_xll.BDH($C$578,"LT_DEBT_TO_TOT_EQY","FQ4 2014","FQ4 2014","Currency=INR","Period=FQ","BEST_FPERIOD_OVERRIDE=FQ","FILING_STATUS=OR","EQY_CONSOLIDATED=Y","Sort=A","Dates=H","DateFormat=P","Fill=—","Direction=H","UseDPDF=Y")</f>
        <v>#NAME?</v>
      </c>
      <c r="CI582" s="2" t="e">
        <f ca="1">_xll.BDH($C$578,"LT_DEBT_TO_TOT_CAP","FQ4 2014","FQ4 2014","Currency=INR","Period=FQ","BEST_FPERIOD_OVERRIDE=FQ","FILING_STATUS=OR","EQY_CONSOLIDATED=Y","Sort=A","Dates=H","DateFormat=P","Fill=—","Direction=H","UseDPDF=Y")</f>
        <v>#NAME?</v>
      </c>
      <c r="CJ582" s="2" t="e">
        <f ca="1">_xll.BDH($C$578,"LT_DEBT_TO_TOT_ASSET","FQ4 2014","FQ4 2014","Currency=INR","Period=FQ","BEST_FPERIOD_OVERRIDE=FQ","FILING_STATUS=OR","EQY_CONSOLIDATED=Y","Sort=A","Dates=H","DateFormat=P","Fill=—","Direction=H","UseDPDF=Y")</f>
        <v>#NAME?</v>
      </c>
      <c r="CK582" s="2" t="e">
        <f ca="1">_xll.BDH($C$578,"TOT_DEBT_TO_TOT_EQY","FQ4 2014","FQ4 2014","Currency=INR","Period=FQ","BEST_FPERIOD_OVERRIDE=FQ","FILING_STATUS=OR","EQY_CONSOLIDATED=Y","Sort=A","Dates=H","DateFormat=P","Fill=—","Direction=H","UseDPDF=Y")</f>
        <v>#NAME?</v>
      </c>
      <c r="CL582" s="2" t="e">
        <f ca="1">_xll.BDH($C$578,"TOT_DEBT_TO_TOT_CAP","FQ4 2014","FQ4 2014","Currency=INR","Period=FQ","BEST_FPERIOD_OVERRIDE=FQ","FILING_STATUS=OR","EQY_CONSOLIDATED=Y","Sort=A","Dates=H","DateFormat=P","Fill=—","Direction=H","UseDPDF=Y")</f>
        <v>#NAME?</v>
      </c>
      <c r="CM582" s="2" t="e">
        <f ca="1">_xll.BDH($C$578,"TOT_DEBT_TO_TOT_ASSET","FQ4 2014","FQ4 2014","Currency=INR","Period=FQ","BEST_FPERIOD_OVERRIDE=FQ","FILING_STATUS=OR","EQY_CONSOLIDATED=Y","Sort=A","Dates=H","DateFormat=P","Fill=—","Direction=H","UseDPDF=Y")</f>
        <v>#NAME?</v>
      </c>
      <c r="CN582" s="2" t="e">
        <f ca="1">_xll.BDH($C$578,"NET_DEBT_TO_SHRHLDR_EQTY","FQ4 2014","FQ4 2014","Currency=INR","Period=FQ","BEST_FPERIOD_OVERRIDE=FQ","FILING_STATUS=OR","EQY_CONSOLIDATED=Y","Sort=A","Dates=H","DateFormat=P","Fill=—","Direction=H","UseDPDF=Y")</f>
        <v>#NAME?</v>
      </c>
      <c r="CO582" s="2" t="e">
        <f ca="1">_xll.BDH($C$578,"NET_DEBT_%_CAPITAL","FQ4 2014","FQ4 2014","Currency=INR","Period=FQ","BEST_FPERIOD_OVERRIDE=FQ","FILING_STATUS=OR","EQY_CONSOLIDATED=Y","Sort=A","Dates=H","DateFormat=P","Fill=—","Direction=H","UseDPDF=Y")</f>
        <v>#NAME?</v>
      </c>
      <c r="CP582" s="3" t="e">
        <f ca="1">_xll.BDH($C$578,"EBITDA","FQ4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582" s="3" t="e">
        <f ca="1">_xll.BDH($C$578,"EBITDA_AFTER_CAPEX","FQ4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582" s="3" t="e">
        <f ca="1">_xll.BDH($C$578,"IS_OPER_INC","FQ4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582" s="2" t="e">
        <f ca="1">_xll.BDH($C$578,"CASH_RATIO","FQ4 2014","FQ4 2014","Currency=INR","Period=FQ","BEST_FPERIOD_OVERRIDE=FQ","FILING_STATUS=OR","EQY_CONSOLIDATED=Y","Sort=A","Dates=H","DateFormat=P","Fill=—","Direction=H","UseDPDF=Y")</f>
        <v>#NAME?</v>
      </c>
      <c r="CT582" s="2" t="e">
        <f ca="1">_xll.BDH($C$578,"CUR_RATIO","FQ4 2014","FQ4 2014","Currency=INR","Period=FQ","BEST_FPERIOD_OVERRIDE=FQ","FILING_STATUS=OR","EQY_CONSOLIDATED=Y","Sort=A","Dates=H","DateFormat=P","Fill=—","Direction=H","UseDPDF=Y")</f>
        <v>#NAME?</v>
      </c>
      <c r="CU582" s="2" t="e">
        <f ca="1">_xll.BDH($C$578,"QUICK_RATIO","FQ4 2014","FQ4 2014","Currency=INR","Period=FQ","BEST_FPERIOD_OVERRIDE=FQ","FILING_STATUS=OR","EQY_CONSOLIDATED=Y","Sort=A","Dates=H","DateFormat=P","Fill=—","Direction=H","UseDPDF=Y")</f>
        <v>#NAME?</v>
      </c>
      <c r="CV582" s="2" t="e">
        <f ca="1">_xll.BDH($C$578,"ALTMAN_Z_SCORE","FQ4 2014","FQ4 2014","Currency=INR","Period=FQ","BEST_FPERIOD_OVERRIDE=FQ","FILING_STATUS=OR","EQY_CONSOLIDATED=Y","Sort=A","Dates=H","DateFormat=P","Fill=—","Direction=H","UseDPDF=Y")</f>
        <v>#NAME?</v>
      </c>
      <c r="CW582" s="4" t="e">
        <f ca="1">_xll.BDH($C$578,"ACCT_RCV_TURN","FQ4 2014","FQ4 2014","Currency=INR","Period=FQ","BEST_FPERIOD_OVERRIDE=FQ","FILING_STATUS=OR","EQY_CONSOLIDATED=Y","FA_ADJUSTED=GAAP","Sort=A","Dates=H","DateFormat=P","Fill=—","Direction=H","UseDPDF=Y")</f>
        <v>#NAME?</v>
      </c>
      <c r="CX582" s="2" t="e">
        <f ca="1">_xll.BDH($C$578,"ACCT_RCV_DAYS","FQ4 2014","FQ4 2014","Currency=INR","Period=FQ","BEST_FPERIOD_OVERRIDE=FQ","FILING_STATUS=OR","EQY_CONSOLIDATED=Y","FA_ADJUSTED=GAAP","Sort=A","Dates=H","DateFormat=P","Fill=—","Direction=H","UseDPDF=Y")</f>
        <v>#NAME?</v>
      </c>
      <c r="CY582" s="4" t="e">
        <f ca="1">_xll.BDH($C$578,"INVENT_TURN","FQ4 2014","FQ4 2014","Currency=INR","Period=FQ","BEST_FPERIOD_OVERRIDE=FQ","FILING_STATUS=OR","EQY_CONSOLIDATED=Y","FA_ADJUSTED=GAAP","Sort=A","Dates=H","DateFormat=P","Fill=—","Direction=H","UseDPDF=Y")</f>
        <v>#NAME?</v>
      </c>
      <c r="CZ582" s="2" t="e">
        <f ca="1">_xll.BDH($C$578,"INVENT_DAYS","FQ4 2014","FQ4 2014","Currency=INR","Period=FQ","BEST_FPERIOD_OVERRIDE=FQ","FILING_STATUS=OR","EQY_CONSOLIDATED=Y","FA_ADJUSTED=GAAP","Sort=A","Dates=H","DateFormat=P","Fill=—","Direction=H","UseDPDF=Y")</f>
        <v>#NAME?</v>
      </c>
      <c r="DA582" s="4" t="e">
        <f ca="1">_xll.BDH($C$578,"ACCOUNTS_PAYABLE_TURNOVER","FQ4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582" s="2" t="e">
        <f ca="1">_xll.BDH($C$578,"ACCOUNTS_PAYABLE_TURNOVER_DAYS","FQ4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582" s="4" t="e">
        <f ca="1">_xll.BDH($C$578,"CASH_CONVERSION_CYCLE","FQ4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582" s="4" t="e">
        <f ca="1">_xll.BDH($C$578,"INV_TO_CASH_DAYS","FQ4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582" s="5" t="e">
        <f ca="1">_xll.BDH($C$578,"BS_INVENTORIES","FQ4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582" s="3" t="e">
        <f ca="1">_xll.BDH($C$578,"INVTRY_RAW_MATERIALS","FQ4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582" s="3" t="e">
        <f ca="1">_xll.BDH($C$578,"INVTRY_IN_PROGRESS","FQ4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582" s="3" t="e">
        <f ca="1">_xll.BDH($C$578,"INVTRY_FINISHED_GOODS","FQ4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582" s="3" t="e">
        <f ca="1">_xll.BDH($C$578,"BS_OTHER_INV","FQ4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583" spans="1:113" x14ac:dyDescent="0.3">
      <c r="A583" s="6"/>
      <c r="B583" s="6"/>
      <c r="C583" s="6"/>
      <c r="D583" s="6" t="s">
        <v>82</v>
      </c>
      <c r="E583" t="s">
        <v>77</v>
      </c>
      <c r="F583" t="e">
        <f ca="1">_xll.BDH($C$578,"RETURN_COM_EQY","FY 2015","FY 2015","Currency=INR","Period=FY","BEST_FPERIOD_OVERRIDE=FY","FILING_STATUS=OR","EQY_CONSOLIDATED=Y","FA_ADJUSTED=GAAP","Sort=A","Dates=H","DateFormat=P","Fill=—","Direction=H","UseDPDF=Y")</f>
        <v>#NAME?</v>
      </c>
      <c r="G583" t="e">
        <f ca="1">_xll.BDH($C$578,"RETURN_ON_ASSET","FY 2015","FY 2015","Currency=INR","Period=FY","BEST_FPERIOD_OVERRIDE=FY","FILING_STATUS=OR","EQY_CONSOLIDATED=Y","FA_ADJUSTED=GAAP","Sort=A","Dates=H","DateFormat=P","Fill=—","Direction=H","UseDPDF=Y")</f>
        <v>#NAME?</v>
      </c>
      <c r="H583" t="e">
        <f ca="1">_xll.BDH($C$578,"RETURN_ON_CAP","FY 2015","FY 2015","Currency=INR","Period=FY","BEST_FPERIOD_OVERRIDE=FY","FILING_STATUS=OR","EQY_CONSOLIDATED=Y","FA_ADJUSTED=GAAP","Sort=A","Dates=H","DateFormat=P","Fill=—","Direction=H","UseDPDF=Y")</f>
        <v>#NAME?</v>
      </c>
      <c r="I583" t="e">
        <f ca="1">_xll.BDH($C$578,"RETURN_ON_INV_CAPITAL","FY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583" t="e">
        <f ca="1">_xll.BDH($C$578,"EBITDA_TO_REVENUE","FY 2015","FY 2015","Currency=INR","Period=FY","BEST_FPERIOD_OVERRIDE=FY","FILING_STATUS=OR","EQY_CONSOLIDATED=Y","FA_ADJUSTED=GAAP","Sort=A","Dates=H","DateFormat=P","Fill=—","Direction=H","UseDPDF=Y")</f>
        <v>#NAME?</v>
      </c>
      <c r="K583" t="e">
        <f ca="1">_xll.BDH($C$578,"OPER_MARGIN","FY 2015","FY 2015","Currency=INR","Period=FY","BEST_FPERIOD_OVERRIDE=FY","FILING_STATUS=OR","EQY_CONSOLIDATED=Y","FA_ADJUSTED=GAAP","Sort=A","Dates=H","DateFormat=P","Fill=—","Direction=H","UseDPDF=Y")</f>
        <v>#NAME?</v>
      </c>
      <c r="L583" t="e">
        <f ca="1">_xll.BDH($C$578,"INCREMENTAL_OPERATING_MARGIN","FY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583" t="e">
        <f ca="1">_xll.BDH($C$578,"PRETAX_INC_TO_NET_SALES","FY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583" t="e">
        <f ca="1">_xll.BDH($C$578,"INC_BEF_XO_ITEMS_TO_NET_SALES","FY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583" t="e">
        <f ca="1">_xll.BDH($C$578,"PROF_MARGIN","FY 2015","FY 2015","Currency=INR","Period=FY","BEST_FPERIOD_OVERRIDE=FY","FILING_STATUS=OR","EQY_CONSOLIDATED=Y","FA_ADJUSTED=GAAP","Sort=A","Dates=H","DateFormat=P","Fill=—","Direction=H","UseDPDF=Y")</f>
        <v>#NAME?</v>
      </c>
      <c r="P583" t="e">
        <f ca="1">_xll.BDH($C$578,"NET_INCOME_TO_COMMON_MARGIN","FY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583" t="e">
        <f ca="1">_xll.BDH($C$578,"EFF_TAX_RATE","FY 2015","FY 2015","Currency=INR","Period=FY","BEST_FPERIOD_OVERRIDE=FY","FILING_STATUS=OR","EQY_CONSOLIDATED=Y","FA_ADJUSTED=GAAP","Sort=A","Dates=H","DateFormat=P","Fill=—","Direction=H","UseDPDF=Y")</f>
        <v>#NAME?</v>
      </c>
      <c r="R583" t="e">
        <f ca="1">_xll.BDH($C$578,"DVD_PAYOUT_RATIO","FY 2015","FY 2015","Currency=INR","Period=FY","BEST_FPERIOD_OVERRIDE=FY","FILING_STATUS=OR","EQY_CONSOLIDATED=Y","FA_ADJUSTED=GAAP","Sort=A","Dates=H","DateFormat=P","Fill=—","Direction=H","UseDPDF=Y")</f>
        <v>#NAME?</v>
      </c>
      <c r="S583" t="e">
        <f ca="1">_xll.BDH($C$578,"SUSTAIN_GROWTH_RT","FY 2015","FY 2015","Currency=INR","Period=FY","BEST_FPERIOD_OVERRIDE=FY","FILING_STATUS=OR","EQY_CONSOLIDATED=Y","FA_ADJUSTED=GAAP","Sort=A","Dates=H","DateFormat=P","Fill=—","Direction=H","UseDPDF=Y")</f>
        <v>#NAME?</v>
      </c>
      <c r="T583" s="2" t="e">
        <f ca="1">_xll.BDH($C$578,"SALES_GROWTH","FY 2015","FY 2015","Currency=INR","Period=FY","BEST_FPERIOD_OVERRIDE=FY","FILING_STATUS=OR","EQY_CONSOLIDATED=Y","FA_ADJUSTED=GAAP","Sort=A","Dates=H","DateFormat=P","Fill=—","Direction=H","UseDPDF=Y")</f>
        <v>#NAME?</v>
      </c>
      <c r="U583" s="2" t="e">
        <f ca="1">_xll.BDH($C$578,"EBITDA_GROWTH","FY 2015","FY 2015","Currency=INR","Period=FY","BEST_FPERIOD_OVERRIDE=FY","FILING_STATUS=OR","EQY_CONSOLIDATED=Y","FA_ADJUSTED=GAAP","Sort=A","Dates=H","DateFormat=P","Fill=—","Direction=H","UseDPDF=Y")</f>
        <v>#NAME?</v>
      </c>
      <c r="V583" s="2" t="e">
        <f ca="1">_xll.BDH($C$578,"OPER_INC_GROWTH","FY 2015","FY 2015","Currency=INR","Period=FY","BEST_FPERIOD_OVERRIDE=FY","FILING_STATUS=OR","EQY_CONSOLIDATED=Y","FA_ADJUSTED=GAAP","Sort=A","Dates=H","DateFormat=P","Fill=—","Direction=H","UseDPDF=Y")</f>
        <v>#NAME?</v>
      </c>
      <c r="W583" s="2" t="e">
        <f ca="1">_xll.BDH($C$578,"EARN_FOR_COM_GROWTH","FY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583" s="2" t="e">
        <f ca="1">_xll.BDH($C$578,"DILUTED_EPS_AFT_XO_ITEMS_GROWTH","FY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583" s="2" t="e">
        <f ca="1">_xll.BDH($C$578,"DIVIDEND_PER_SHARE_1_YEAR_GROWTH","FY 2015","FY 2015","Currency=INR","Period=FY","BEST_FPERIOD_OVERRIDE=FY","FILING_STATUS=OR","EQY_CONSOLIDATED=Y","Sort=A","Dates=H","DateFormat=P","Fill=—","Direction=H","UseDPDF=Y")</f>
        <v>#NAME?</v>
      </c>
      <c r="Z583" s="2" t="e">
        <f ca="1">_xll.BDH($C$578,"ACCOUNTS_RECEIVABLE_GROWTH","FY 2015","FY 2015","Currency=INR","Period=FY","BEST_FPERIOD_OVERRIDE=FY","FILING_STATUS=OR","EQY_CONSOLIDATED=Y","Sort=A","Dates=H","DateFormat=P","Fill=—","Direction=H","UseDPDF=Y")</f>
        <v>#NAME?</v>
      </c>
      <c r="AA583" s="2" t="e">
        <f ca="1">_xll.BDH($C$578,"INVENTORY_GROWTH","FY 2015","FY 2015","Currency=INR","Period=FY","BEST_FPERIOD_OVERRIDE=FY","FILING_STATUS=OR","EQY_CONSOLIDATED=Y","Sort=A","Dates=H","DateFormat=P","Fill=—","Direction=H","UseDPDF=Y")</f>
        <v>#NAME?</v>
      </c>
      <c r="AB583" s="2" t="e">
        <f ca="1">_xll.BDH($C$578,"NET_FIXED_ASSETS_1_YEAR_GROWTH","FY 2015","FY 2015","Currency=INR","Period=FY","BEST_FPERIOD_OVERRIDE=FY","FILING_STATUS=OR","EQY_CONSOLIDATED=Y","Sort=A","Dates=H","DateFormat=P","Fill=—","Direction=H","UseDPDF=Y")</f>
        <v>#NAME?</v>
      </c>
      <c r="AC583" s="2" t="e">
        <f ca="1">_xll.BDH($C$578,"ASSET_GROWTH","FY 2015","FY 2015","Currency=INR","Period=FY","BEST_FPERIOD_OVERRIDE=FY","FILING_STATUS=OR","EQY_CONSOLIDATED=Y","Sort=A","Dates=H","DateFormat=P","Fill=—","Direction=H","UseDPDF=Y")</f>
        <v>#NAME?</v>
      </c>
      <c r="AD583" s="2" t="e">
        <f ca="1">_xll.BDH($C$578,"MODIFIED_WORK_CAP_GROWTH","FY 2015","FY 2015","Currency=INR","Period=FY","BEST_FPERIOD_OVERRIDE=FY","FILING_STATUS=OR","EQY_CONSOLIDATED=Y","Sort=A","Dates=H","DateFormat=P","Fill=—","Direction=H","UseDPDF=Y")</f>
        <v>#NAME?</v>
      </c>
      <c r="AE583" s="2" t="e">
        <f ca="1">_xll.BDH($C$578,"WORK_CAP_GROWTH","FY 2015","FY 2015","Currency=INR","Period=FY","BEST_FPERIOD_OVERRIDE=FY","FILING_STATUS=OR","EQY_CONSOLIDATED=Y","Sort=A","Dates=H","DateFormat=P","Fill=—","Direction=H","UseDPDF=Y")</f>
        <v>#NAME?</v>
      </c>
      <c r="AF583" s="2" t="e">
        <f ca="1">_xll.BDH($C$578,"ACCOUNTS_PAYABLE_GROWTH_1YR","FY 2015","FY 2015","Currency=INR","Period=FY","BEST_FPERIOD_OVERRIDE=FY","FILING_STATUS=OR","EQY_CONSOLIDATED=Y","Sort=A","Dates=H","DateFormat=P","Fill=—","Direction=H","UseDPDF=Y")</f>
        <v>#NAME?</v>
      </c>
      <c r="AG583" s="2" t="e">
        <f ca="1">_xll.BDH($C$578,"SHORT_TERM_DEBT_1_YEAR_GROWTH","FY 2015","FY 2015","Currency=INR","Period=FY","BEST_FPERIOD_OVERRIDE=FY","FILING_STATUS=OR","EQY_CONSOLIDATED=Y","Sort=A","Dates=H","DateFormat=P","Fill=—","Direction=H","UseDPDF=Y")</f>
        <v>#NAME?</v>
      </c>
      <c r="AH583" s="2" t="e">
        <f ca="1">_xll.BDH($C$578,"TOTAL_DEBT_1_YEAR_GROWTH","FY 2015","FY 2015","Currency=INR","Period=FY","BEST_FPERIOD_OVERRIDE=FY","FILING_STATUS=OR","EQY_CONSOLIDATED=Y","Sort=A","Dates=H","DateFormat=P","Fill=—","Direction=H","UseDPDF=Y")</f>
        <v>#NAME?</v>
      </c>
      <c r="AI583" s="2" t="e">
        <f ca="1">_xll.BDH($C$578,"TOTAL_EQUITY_1_YEAR_GROWTH","FY 2015","FY 2015","Currency=INR","Period=FY","BEST_FPERIOD_OVERRIDE=FY","FILING_STATUS=OR","EQY_CONSOLIDATED=Y","Sort=A","Dates=H","DateFormat=P","Fill=—","Direction=H","UseDPDF=Y")</f>
        <v>#NAME?</v>
      </c>
      <c r="AJ583" s="2" t="e">
        <f ca="1">_xll.BDH($C$578,"GROWTH_IN_CAP","FY 2015","FY 2015","Currency=INR","Period=FY","BEST_FPERIOD_OVERRIDE=FY","FILING_STATUS=OR","EQY_CONSOLIDATED=Y","Sort=A","Dates=H","DateFormat=P","Fill=—","Direction=H","UseDPDF=Y")</f>
        <v>#NAME?</v>
      </c>
      <c r="AK583" s="2" t="e">
        <f ca="1">_xll.BDH($C$578,"BVPS_GROWTH","FY 2015","FY 2015","Currency=INR","Period=FY","BEST_FPERIOD_OVERRIDE=FY","FILING_STATUS=OR","EQY_CONSOLIDATED=Y","Sort=A","Dates=H","DateFormat=P","Fill=—","Direction=H","UseDPDF=Y")</f>
        <v>#NAME?</v>
      </c>
      <c r="AL583" s="2" t="e">
        <f ca="1">_xll.BDH($C$578,"CASH_FLOW_GROWTH","FY 2015","FY 2015","Currency=INR","Period=FY","BEST_FPERIOD_OVERRIDE=FY","FILING_STATUS=OR","EQY_CONSOLIDATED=Y","Sort=A","Dates=H","DateFormat=P","Fill=—","Direction=H","UseDPDF=Y")</f>
        <v>#NAME?</v>
      </c>
      <c r="AM583" s="2" t="e">
        <f ca="1">_xll.BDH($C$578,"GEO_GROW_NET_SALES","FY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583" s="2" t="e">
        <f ca="1">_xll.BDH($C$578,"GEO_GROW_EBITDA","FY 2015","FY 2015","Currency=INR","Period=FY","BEST_FPERIOD_OVERRIDE=FY","FILING_STATUS=OR","EQY_CONSOLIDATED=Y","FA_ADJUSTED=GAAP","Sort=A","Dates=H","DateFormat=P","Fill=—","Direction=H","UseDPDF=Y")</f>
        <v>#NAME?</v>
      </c>
      <c r="AO583" s="2" t="e">
        <f ca="1">_xll.BDH($C$578,"GEO_GROW_OPER_INC","FY 2015","FY 2015","Currency=INR","Period=FY","BEST_FPERIOD_OVERRIDE=FY","FILING_STATUS=OR","EQY_CONSOLIDATED=Y","FA_ADJUSTED=GAAP","Sort=A","Dates=H","DateFormat=P","Fill=—","Direction=H","UseDPDF=Y")</f>
        <v>#NAME?</v>
      </c>
      <c r="AP583" s="2" t="e">
        <f ca="1">_xll.BDH($C$578,"NET_INCOME_TO_COMMON_5_YR_GROWTH","FY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583" s="2" t="e">
        <f ca="1">_xll.BDH($C$578,"5Y_GEO_GROWTH_DILUTED_EPS","FY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583" s="2" t="e">
        <f ca="1">_xll.BDH($C$578,"GEO_GROW_DVD_PER_SH","FY 2015","FY 2015","Currency=INR","Period=FY","BEST_FPERIOD_OVERRIDE=FY","FILING_STATUS=OR","EQY_CONSOLIDATED=Y","Sort=A","Dates=H","DateFormat=P","Fill=—","Direction=H","UseDPDF=Y")</f>
        <v>#NAME?</v>
      </c>
      <c r="AS583" s="2" t="e">
        <f ca="1">_xll.BDH($C$578,"ACCOUNTS_RECEIVABLE_5_YR_GROWTH","FY 2015","FY 2015","Currency=INR","Period=FY","BEST_FPERIOD_OVERRIDE=FY","FILING_STATUS=OR","EQY_CONSOLIDATED=Y","Sort=A","Dates=H","DateFormat=P","Fill=—","Direction=H","UseDPDF=Y")</f>
        <v>#NAME?</v>
      </c>
      <c r="AT583" s="2" t="e">
        <f ca="1">_xll.BDH($C$578,"INVENTORY_5_YEAR_GROWTH","FY 2015","FY 2015","Currency=INR","Period=FY","BEST_FPERIOD_OVERRIDE=FY","FILING_STATUS=OR","EQY_CONSOLIDATED=Y","Sort=A","Dates=H","DateFormat=P","Fill=—","Direction=H","UseDPDF=Y")</f>
        <v>#NAME?</v>
      </c>
      <c r="AU583" s="2" t="e">
        <f ca="1">_xll.BDH($C$578,"NET_FIXED_ASSETS_5_YEAR_GROWTH","FY 2015","FY 2015","Currency=INR","Period=FY","BEST_FPERIOD_OVERRIDE=FY","FILING_STATUS=OR","EQY_CONSOLIDATED=Y","Sort=A","Dates=H","DateFormat=P","Fill=—","Direction=H","UseDPDF=Y")</f>
        <v>#NAME?</v>
      </c>
      <c r="AV583" s="2" t="e">
        <f ca="1">_xll.BDH($C$578,"GEO_GROW_TOT_ASSET","FY 2015","FY 2015","Currency=INR","Period=FY","BEST_FPERIOD_OVERRIDE=FY","FILING_STATUS=OR","EQY_CONSOLIDATED=Y","Sort=A","Dates=H","DateFormat=P","Fill=—","Direction=H","UseDPDF=Y")</f>
        <v>#NAME?</v>
      </c>
      <c r="AW583" s="2" t="e">
        <f ca="1">_xll.BDH($C$578,"MODIFIED_WORKING_CPTL_5YR_GRWTH","FY 2015","FY 2015","Currency=INR","Period=FY","BEST_FPERIOD_OVERRIDE=FY","FILING_STATUS=OR","EQY_CONSOLIDATED=Y","Sort=A","Dates=H","DateFormat=P","Fill=—","Direction=H","UseDPDF=Y")</f>
        <v>#NAME?</v>
      </c>
      <c r="AX583" s="2" t="e">
        <f ca="1">_xll.BDH($C$578,"WORKING_CAPITAL_5_YEAR_GROWTH","FY 2015","FY 2015","Currency=INR","Period=FY","BEST_FPERIOD_OVERRIDE=FY","FILING_STATUS=OR","EQY_CONSOLIDATED=Y","Sort=A","Dates=H","DateFormat=P","Fill=—","Direction=H","UseDPDF=Y")</f>
        <v>#NAME?</v>
      </c>
      <c r="AY583" s="2" t="e">
        <f ca="1">_xll.BDH($C$578,"ACCOUNTS_PAYABLE_5_YEAR_GROWTH","FY 2015","FY 2015","Currency=INR","Period=FY","BEST_FPERIOD_OVERRIDE=FY","FILING_STATUS=OR","EQY_CONSOLIDATED=Y","Sort=A","Dates=H","DateFormat=P","Fill=—","Direction=H","UseDPDF=Y")</f>
        <v>#NAME?</v>
      </c>
      <c r="AZ583" s="2" t="e">
        <f ca="1">_xll.BDH($C$578,"SHORT_TERM_DEBT_5_YEAR_GROWTH","FY 2015","FY 2015","Currency=INR","Period=FY","BEST_FPERIOD_OVERRIDE=FY","FILING_STATUS=OR","EQY_CONSOLIDATED=Y","Sort=A","Dates=H","DateFormat=P","Fill=—","Direction=H","UseDPDF=Y")</f>
        <v>#NAME?</v>
      </c>
      <c r="BA583" s="2" t="e">
        <f ca="1">_xll.BDH($C$578,"TOTAL_DEBT_5_YEAR_GROWTH","FY 2015","FY 2015","Currency=INR","Period=FY","BEST_FPERIOD_OVERRIDE=FY","FILING_STATUS=OR","EQY_CONSOLIDATED=Y","Sort=A","Dates=H","DateFormat=P","Fill=—","Direction=H","UseDPDF=Y")</f>
        <v>#NAME?</v>
      </c>
      <c r="BB583" s="2" t="e">
        <f ca="1">_xll.BDH($C$578,"GEO_GROW_TOT_SHRHLDR_EQY","FY 2015","FY 2015","Currency=INR","Period=FY","BEST_FPERIOD_OVERRIDE=FY","FILING_STATUS=OR","EQY_CONSOLIDATED=Y","Sort=A","Dates=H","DateFormat=P","Fill=—","Direction=H","UseDPDF=Y")</f>
        <v>#NAME?</v>
      </c>
      <c r="BC583" s="2" t="e">
        <f ca="1">_xll.BDH($C$578,"TOTAL_CAPITAL_5_YEAR_GROWTH","FY 2015","FY 2015","Currency=INR","Period=FY","BEST_FPERIOD_OVERRIDE=FY","FILING_STATUS=OR","EQY_CONSOLIDATED=Y","Sort=A","Dates=H","DateFormat=P","Fill=—","Direction=H","UseDPDF=Y")</f>
        <v>#NAME?</v>
      </c>
      <c r="BD583" s="2" t="e">
        <f ca="1">_xll.BDH($C$578,"GEO_GROW_BOOK_VAL","FY 2015","FY 2015","Currency=INR","Period=FY","BEST_FPERIOD_OVERRIDE=FY","FILING_STATUS=OR","EQY_CONSOLIDATED=Y","Sort=A","Dates=H","DateFormat=P","Fill=—","Direction=H","UseDPDF=Y")</f>
        <v>#NAME?</v>
      </c>
      <c r="BE583" s="2" t="e">
        <f ca="1">_xll.BDH($C$578,"GEO_GROW_CASH_OPER_ACT","FY 2015","FY 2015","Currency=INR","Period=FY","BEST_FPERIOD_OVERRIDE=FY","FILING_STATUS=OR","EQY_CONSOLIDATED=Y","Sort=A","Dates=H","DateFormat=P","Fill=—","Direction=H","UseDPDF=Y")</f>
        <v>#NAME?</v>
      </c>
      <c r="BF583" s="2" t="e">
        <f ca="1">_xll.BDH($C$578,"REVENUE_SEQUENTIAL_GROWTH","FY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583" s="2" t="e">
        <f ca="1">_xll.BDH($C$578,"EBITDA_SEQUENTIAL_GROWTH","FY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583" s="2" t="e">
        <f ca="1">_xll.BDH($C$578,"OPERATING_INCOME_SEQ_GROWTH","FY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583" s="2" t="e">
        <f ca="1">_xll.BDH($C$578,"NET_INCOME_TO_COMMON_SEQ_GROWTH","FY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583" s="2" t="e">
        <f ca="1">_xll.BDH($C$578,"EPS_DILUTED_SEQUENTIAL_GROWTH","FY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583" s="2" t="e">
        <f ca="1">_xll.BDH($C$578,"DPS_SEQUENTIAL_GROWTH","FY 2015","FY 2015","Currency=INR","Period=FY","BEST_FPERIOD_OVERRIDE=FY","FILING_STATUS=OR","EQY_CONSOLIDATED=Y","Sort=A","Dates=H","DateFormat=P","Fill=—","Direction=H","UseDPDF=Y")</f>
        <v>#NAME?</v>
      </c>
      <c r="BL583" s="2" t="e">
        <f ca="1">_xll.BDH($C$578,"ACCOUNTS_RECEIVABLE_SEQ_GROWTH","FY 2015","FY 2015","Currency=INR","Period=FY","BEST_FPERIOD_OVERRIDE=FY","FILING_STATUS=OR","EQY_CONSOLIDATED=Y","Sort=A","Dates=H","DateFormat=P","Fill=—","Direction=H","UseDPDF=Y")</f>
        <v>#NAME?</v>
      </c>
      <c r="BM583" s="2" t="e">
        <f ca="1">_xll.BDH($C$578,"INVENTORY_SEQUENTIAL_GROWTH","FY 2015","FY 2015","Currency=INR","Period=FY","BEST_FPERIOD_OVERRIDE=FY","FILING_STATUS=OR","EQY_CONSOLIDATED=Y","Sort=A","Dates=H","DateFormat=P","Fill=—","Direction=H","UseDPDF=Y")</f>
        <v>#NAME?</v>
      </c>
      <c r="BN583" s="2" t="e">
        <f ca="1">_xll.BDH($C$578,"FIXED_ASSETS_SEQUENTIAL_GROWTH","FY 2015","FY 2015","Currency=INR","Period=FY","BEST_FPERIOD_OVERRIDE=FY","FILING_STATUS=OR","EQY_CONSOLIDATED=Y","Sort=A","Dates=H","DateFormat=P","Fill=—","Direction=H","UseDPDF=Y")</f>
        <v>#NAME?</v>
      </c>
      <c r="BO583" s="2" t="e">
        <f ca="1">_xll.BDH($C$578,"TOTAL_ASSETS_SEQUENTIAL_GROWTH","FY 2015","FY 2015","Currency=INR","Period=FY","BEST_FPERIOD_OVERRIDE=FY","FILING_STATUS=OR","EQY_CONSOLIDATED=Y","Sort=A","Dates=H","DateFormat=P","Fill=—","Direction=H","UseDPDF=Y")</f>
        <v>#NAME?</v>
      </c>
      <c r="BP583" s="2" t="e">
        <f ca="1">_xll.BDH($C$578,"MODIFIED_WORKING_CPTL_SEQ_GRWTH","FY 2015","FY 2015","Currency=INR","Period=FY","BEST_FPERIOD_OVERRIDE=FY","FILING_STATUS=OR","EQY_CONSOLIDATED=Y","Sort=A","Dates=H","DateFormat=P","Fill=—","Direction=H","UseDPDF=Y")</f>
        <v>#NAME?</v>
      </c>
      <c r="BQ583" s="2" t="e">
        <f ca="1">_xll.BDH($C$578,"WORKING_CAPITAL_SEQ_GROWTH","FY 2015","FY 2015","Currency=INR","Period=FY","BEST_FPERIOD_OVERRIDE=FY","FILING_STATUS=OR","EQY_CONSOLIDATED=Y","Sort=A","Dates=H","DateFormat=P","Fill=—","Direction=H","UseDPDF=Y")</f>
        <v>#NAME?</v>
      </c>
      <c r="BR583" s="2" t="e">
        <f ca="1">_xll.BDH($C$578,"ACCOUNTS_PAYABLE_SEQ_GROWTH","FY 2015","FY 2015","Currency=INR","Period=FY","BEST_FPERIOD_OVERRIDE=FY","FILING_STATUS=OR","EQY_CONSOLIDATED=Y","Sort=A","Dates=H","DateFormat=P","Fill=—","Direction=H","UseDPDF=Y")</f>
        <v>#NAME?</v>
      </c>
      <c r="BS583" s="2" t="e">
        <f ca="1">_xll.BDH($C$578,"ST_DEBT_SEQUENTIAL_GROWTH","FY 2015","FY 2015","Currency=INR","Period=FY","BEST_FPERIOD_OVERRIDE=FY","FILING_STATUS=OR","EQY_CONSOLIDATED=Y","Sort=A","Dates=H","DateFormat=P","Fill=—","Direction=H","UseDPDF=Y")</f>
        <v>#NAME?</v>
      </c>
      <c r="BT583" s="2" t="e">
        <f ca="1">_xll.BDH($C$578,"TOTAL_DEBT_SEQUENTIAL_GROWTH","FY 2015","FY 2015","Currency=INR","Period=FY","BEST_FPERIOD_OVERRIDE=FY","FILING_STATUS=OR","EQY_CONSOLIDATED=Y","Sort=A","Dates=H","DateFormat=P","Fill=—","Direction=H","UseDPDF=Y")</f>
        <v>#NAME?</v>
      </c>
      <c r="BU583" s="2" t="e">
        <f ca="1">_xll.BDH($C$578,"TOTAL_EQUITY_SEQUENTIAL_GROWTH","FY 2015","FY 2015","Currency=INR","Period=FY","BEST_FPERIOD_OVERRIDE=FY","FILING_STATUS=OR","EQY_CONSOLIDATED=Y","Sort=A","Dates=H","DateFormat=P","Fill=—","Direction=H","UseDPDF=Y")</f>
        <v>#NAME?</v>
      </c>
      <c r="BV583" s="2" t="e">
        <f ca="1">_xll.BDH($C$578,"TOTAL_CAPITAL_SEQUENTIAL_GROWTH","FY 2015","FY 2015","Currency=INR","Period=FY","BEST_FPERIOD_OVERRIDE=FY","FILING_STATUS=OR","EQY_CONSOLIDATED=Y","Sort=A","Dates=H","DateFormat=P","Fill=—","Direction=H","UseDPDF=Y")</f>
        <v>#NAME?</v>
      </c>
      <c r="BW583" s="2" t="e">
        <f ca="1">_xll.BDH($C$578,"BPS_SEQUENTIAL_GROWTH","FY 2015","FY 2015","Currency=INR","Period=FY","BEST_FPERIOD_OVERRIDE=FY","FILING_STATUS=OR","EQY_CONSOLIDATED=Y","Sort=A","Dates=H","DateFormat=P","Fill=—","Direction=H","UseDPDF=Y")</f>
        <v>#NAME?</v>
      </c>
      <c r="BX583" s="2" t="e">
        <f ca="1">_xll.BDH($C$578,"CFO_SEQUENTIAL_GROWTH","FY 2015","FY 2015","Currency=INR","Period=FY","BEST_FPERIOD_OVERRIDE=FY","FILING_STATUS=OR","EQY_CONSOLIDATED=Y","Sort=A","Dates=H","DateFormat=P","Fill=—","Direction=H","UseDPDF=Y")</f>
        <v>#NAME?</v>
      </c>
      <c r="BY583" s="3" t="e">
        <f ca="1">_xll.BDH($C$578,"SHORT_AND_LONG_TERM_DEBT","FY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583" s="3" t="e">
        <f ca="1">_xll.BDH($C$578,"BS_ST_BORROW","FY 2015","FY 2015","Currency=INR","Period=FY","BEST_FPERIOD_OVERRIDE=FY","FILING_STATUS=OR","EQY_CONSOLIDATED=Y","SCALING_FORMAT=MLN","Sort=A","Dates=H","DateFormat=P","Fill=—","Direction=H","UseDPDF=Y")</f>
        <v>#NAME?</v>
      </c>
      <c r="CA583" s="3" t="e">
        <f ca="1">_xll.BDH($C$578,"BS_LT_BORROW","FY 2015","FY 2015","Currency=INR","Period=FY","BEST_FPERIOD_OVERRIDE=FY","FILING_STATUS=OR","EQY_CONSOLIDATED=Y","SCALING_FORMAT=MLN","Sort=A","Dates=H","DateFormat=P","Fill=—","Direction=H","UseDPDF=Y")</f>
        <v>#NAME?</v>
      </c>
      <c r="CB583" s="2" t="e">
        <f ca="1">_xll.BDH($C$578,"TOT_DEBT_TO_EBITDA","FY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583" s="2" t="e">
        <f ca="1">_xll.BDH($C$578,"NET_DEBT_TO_EBITDA","FY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583" s="2" t="e">
        <f ca="1">_xll.BDH($C$578,"TOTAL_DEBT_TO_EBIT","FY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583" s="2" t="e">
        <f ca="1">_xll.BDH($C$578,"NET_DEBT_TO_EBIT","FY 2015","FY 2015","Currency=INR","Period=FY","BEST_FPERIOD_OVERRIDE=FY","FILING_STATUS=OR","EQY_CONSOLIDATED=Y","FA_ADJUSTED=GAAP","Sort=A","Dates=H","DateFormat=P","Fill=—","Direction=H","UseDPDF=Y")</f>
        <v>#NAME?</v>
      </c>
      <c r="CF583" s="2" t="e">
        <f ca="1">_xll.BDH($C$578,"EBITDA_TO_INTEREST_EXPN","FY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583" s="2" t="e">
        <f ca="1">_xll.BDH($C$578,"COM_EQY_TO_TOT_ASSET","FY 2015","FY 2015","Currency=INR","Period=FY","BEST_FPERIOD_OVERRIDE=FY","FILING_STATUS=OR","EQY_CONSOLIDATED=Y","Sort=A","Dates=H","DateFormat=P","Fill=—","Direction=H","UseDPDF=Y")</f>
        <v>#NAME?</v>
      </c>
      <c r="CH583" s="2" t="e">
        <f ca="1">_xll.BDH($C$578,"LT_DEBT_TO_TOT_EQY","FY 2015","FY 2015","Currency=INR","Period=FY","BEST_FPERIOD_OVERRIDE=FY","FILING_STATUS=OR","EQY_CONSOLIDATED=Y","Sort=A","Dates=H","DateFormat=P","Fill=—","Direction=H","UseDPDF=Y")</f>
        <v>#NAME?</v>
      </c>
      <c r="CI583" s="2" t="e">
        <f ca="1">_xll.BDH($C$578,"LT_DEBT_TO_TOT_CAP","FY 2015","FY 2015","Currency=INR","Period=FY","BEST_FPERIOD_OVERRIDE=FY","FILING_STATUS=OR","EQY_CONSOLIDATED=Y","Sort=A","Dates=H","DateFormat=P","Fill=—","Direction=H","UseDPDF=Y")</f>
        <v>#NAME?</v>
      </c>
      <c r="CJ583" s="2" t="e">
        <f ca="1">_xll.BDH($C$578,"LT_DEBT_TO_TOT_ASSET","FY 2015","FY 2015","Currency=INR","Period=FY","BEST_FPERIOD_OVERRIDE=FY","FILING_STATUS=OR","EQY_CONSOLIDATED=Y","Sort=A","Dates=H","DateFormat=P","Fill=—","Direction=H","UseDPDF=Y")</f>
        <v>#NAME?</v>
      </c>
      <c r="CK583" s="2" t="e">
        <f ca="1">_xll.BDH($C$578,"TOT_DEBT_TO_TOT_EQY","FY 2015","FY 2015","Currency=INR","Period=FY","BEST_FPERIOD_OVERRIDE=FY","FILING_STATUS=OR","EQY_CONSOLIDATED=Y","Sort=A","Dates=H","DateFormat=P","Fill=—","Direction=H","UseDPDF=Y")</f>
        <v>#NAME?</v>
      </c>
      <c r="CL583" s="2" t="e">
        <f ca="1">_xll.BDH($C$578,"TOT_DEBT_TO_TOT_CAP","FY 2015","FY 2015","Currency=INR","Period=FY","BEST_FPERIOD_OVERRIDE=FY","FILING_STATUS=OR","EQY_CONSOLIDATED=Y","Sort=A","Dates=H","DateFormat=P","Fill=—","Direction=H","UseDPDF=Y")</f>
        <v>#NAME?</v>
      </c>
      <c r="CM583" s="2" t="e">
        <f ca="1">_xll.BDH($C$578,"TOT_DEBT_TO_TOT_ASSET","FY 2015","FY 2015","Currency=INR","Period=FY","BEST_FPERIOD_OVERRIDE=FY","FILING_STATUS=OR","EQY_CONSOLIDATED=Y","Sort=A","Dates=H","DateFormat=P","Fill=—","Direction=H","UseDPDF=Y")</f>
        <v>#NAME?</v>
      </c>
      <c r="CN583" s="2" t="e">
        <f ca="1">_xll.BDH($C$578,"NET_DEBT_TO_SHRHLDR_EQTY","FY 2015","FY 2015","Currency=INR","Period=FY","BEST_FPERIOD_OVERRIDE=FY","FILING_STATUS=OR","EQY_CONSOLIDATED=Y","Sort=A","Dates=H","DateFormat=P","Fill=—","Direction=H","UseDPDF=Y")</f>
        <v>#NAME?</v>
      </c>
      <c r="CO583" s="2" t="e">
        <f ca="1">_xll.BDH($C$578,"NET_DEBT_%_CAPITAL","FY 2015","FY 2015","Currency=INR","Period=FY","BEST_FPERIOD_OVERRIDE=FY","FILING_STATUS=OR","EQY_CONSOLIDATED=Y","Sort=A","Dates=H","DateFormat=P","Fill=—","Direction=H","UseDPDF=Y")</f>
        <v>#NAME?</v>
      </c>
      <c r="CP583" s="3" t="e">
        <f ca="1">_xll.BDH($C$578,"EBITDA","FY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583" s="3" t="e">
        <f ca="1">_xll.BDH($C$578,"EBITDA_AFTER_CAPEX","FY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583" s="3" t="e">
        <f ca="1">_xll.BDH($C$578,"IS_OPER_INC","FY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583" s="2" t="e">
        <f ca="1">_xll.BDH($C$578,"CASH_RATIO","FY 2015","FY 2015","Currency=INR","Period=FY","BEST_FPERIOD_OVERRIDE=FY","FILING_STATUS=OR","EQY_CONSOLIDATED=Y","Sort=A","Dates=H","DateFormat=P","Fill=—","Direction=H","UseDPDF=Y")</f>
        <v>#NAME?</v>
      </c>
      <c r="CT583" s="2" t="e">
        <f ca="1">_xll.BDH($C$578,"CUR_RATIO","FY 2015","FY 2015","Currency=INR","Period=FY","BEST_FPERIOD_OVERRIDE=FY","FILING_STATUS=OR","EQY_CONSOLIDATED=Y","Sort=A","Dates=H","DateFormat=P","Fill=—","Direction=H","UseDPDF=Y")</f>
        <v>#NAME?</v>
      </c>
      <c r="CU583" s="2" t="e">
        <f ca="1">_xll.BDH($C$578,"QUICK_RATIO","FY 2015","FY 2015","Currency=INR","Period=FY","BEST_FPERIOD_OVERRIDE=FY","FILING_STATUS=OR","EQY_CONSOLIDATED=Y","Sort=A","Dates=H","DateFormat=P","Fill=—","Direction=H","UseDPDF=Y")</f>
        <v>#NAME?</v>
      </c>
      <c r="CV583" s="2" t="e">
        <f ca="1">_xll.BDH($C$578,"ALTMAN_Z_SCORE","FY 2015","FY 2015","Currency=INR","Period=FY","BEST_FPERIOD_OVERRIDE=FY","FILING_STATUS=OR","EQY_CONSOLIDATED=Y","Sort=A","Dates=H","DateFormat=P","Fill=—","Direction=H","UseDPDF=Y")</f>
        <v>#NAME?</v>
      </c>
      <c r="CW583" s="4" t="e">
        <f ca="1">_xll.BDH($C$578,"ACCT_RCV_TURN","FY 2015","FY 2015","Currency=INR","Period=FY","BEST_FPERIOD_OVERRIDE=FY","FILING_STATUS=OR","EQY_CONSOLIDATED=Y","FA_ADJUSTED=GAAP","Sort=A","Dates=H","DateFormat=P","Fill=—","Direction=H","UseDPDF=Y")</f>
        <v>#NAME?</v>
      </c>
      <c r="CX583" s="2" t="e">
        <f ca="1">_xll.BDH($C$578,"ACCT_RCV_DAYS","FY 2015","FY 2015","Currency=INR","Period=FY","BEST_FPERIOD_OVERRIDE=FY","FILING_STATUS=OR","EQY_CONSOLIDATED=Y","FA_ADJUSTED=GAAP","Sort=A","Dates=H","DateFormat=P","Fill=—","Direction=H","UseDPDF=Y")</f>
        <v>#NAME?</v>
      </c>
      <c r="CY583" s="4" t="e">
        <f ca="1">_xll.BDH($C$578,"INVENT_TURN","FY 2015","FY 2015","Currency=INR","Period=FY","BEST_FPERIOD_OVERRIDE=FY","FILING_STATUS=OR","EQY_CONSOLIDATED=Y","FA_ADJUSTED=GAAP","Sort=A","Dates=H","DateFormat=P","Fill=—","Direction=H","UseDPDF=Y")</f>
        <v>#NAME?</v>
      </c>
      <c r="CZ583" s="2" t="e">
        <f ca="1">_xll.BDH($C$578,"INVENT_DAYS","FY 2015","FY 2015","Currency=INR","Period=FY","BEST_FPERIOD_OVERRIDE=FY","FILING_STATUS=OR","EQY_CONSOLIDATED=Y","FA_ADJUSTED=GAAP","Sort=A","Dates=H","DateFormat=P","Fill=—","Direction=H","UseDPDF=Y")</f>
        <v>#NAME?</v>
      </c>
      <c r="DA583" s="4" t="e">
        <f ca="1">_xll.BDH($C$578,"ACCOUNTS_PAYABLE_TURNOVER","FY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583" s="2" t="e">
        <f ca="1">_xll.BDH($C$578,"ACCOUNTS_PAYABLE_TURNOVER_DAYS","FY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583" s="4" t="e">
        <f ca="1">_xll.BDH($C$578,"CASH_CONVERSION_CYCLE","FY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583" s="4" t="e">
        <f ca="1">_xll.BDH($C$578,"INV_TO_CASH_DAYS","FY 2015","FY 2015","Currency=INR","Period=FY","BEST_FPERIOD_OVERRIDE=FY","FILING_STATUS=OR","EQY_CONSOLIDATED=Y","FA_ADJUSTED=GAAP","Sort=A","Dates=H","DateFormat=P","Fill=—","Direction=H","UseDPDF=Y")</f>
        <v>#NAME?</v>
      </c>
      <c r="DE583" s="5" t="e">
        <f ca="1">_xll.BDH($C$578,"BS_INVENTORIES","FY 2015","FY 2015","Currency=INR","Period=FY","BEST_FPERIOD_OVERRIDE=FY","FILING_STATUS=OR","EQY_CONSOLIDATED=Y","SCALING_FORMAT=MLN","Sort=A","Dates=H","DateFormat=P","Fill=—","Direction=H","UseDPDF=Y")</f>
        <v>#NAME?</v>
      </c>
      <c r="DF583" s="3" t="e">
        <f ca="1">_xll.BDH($C$578,"INVTRY_RAW_MATERIALS","FY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583" s="3" t="e">
        <f ca="1">_xll.BDH($C$578,"INVTRY_IN_PROGRESS","FY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583" s="3" t="e">
        <f ca="1">_xll.BDH($C$578,"INVTRY_FINISHED_GOODS","FY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583" s="3" t="e">
        <f ca="1">_xll.BDH($C$578,"BS_OTHER_INV","FY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584" spans="1:113" x14ac:dyDescent="0.3">
      <c r="A584" s="6"/>
      <c r="B584" s="6"/>
      <c r="C584" s="6"/>
      <c r="D584" s="6"/>
      <c r="E584" t="s">
        <v>78</v>
      </c>
      <c r="F584" t="e">
        <f ca="1">_xll.BDH($C$578,"RETURN_COM_EQY","FQ1 2015","FQ1 2015","Currency=INR","Period=FQ","BEST_FPERIOD_OVERRIDE=FQ","FILING_STATUS=OR","EQY_CONSOLIDATED=Y","FA_ADJUSTED=GAAP","Sort=A","Dates=H","DateFormat=P","Fill=—","Direction=H","UseDPDF=Y")</f>
        <v>#NAME?</v>
      </c>
      <c r="G584" t="e">
        <f ca="1">_xll.BDH($C$578,"RETURN_ON_ASSET","FQ1 2015","FQ1 2015","Currency=INR","Period=FQ","BEST_FPERIOD_OVERRIDE=FQ","FILING_STATUS=OR","EQY_CONSOLIDATED=Y","FA_ADJUSTED=GAAP","Sort=A","Dates=H","DateFormat=P","Fill=—","Direction=H","UseDPDF=Y")</f>
        <v>#NAME?</v>
      </c>
      <c r="H584" t="e">
        <f ca="1">_xll.BDH($C$578,"RETURN_ON_CAP","FQ1 2015","FQ1 2015","Currency=INR","Period=FQ","BEST_FPERIOD_OVERRIDE=FQ","FILING_STATUS=OR","EQY_CONSOLIDATED=Y","FA_ADJUSTED=GAAP","Sort=A","Dates=H","DateFormat=P","Fill=—","Direction=H","UseDPDF=Y")</f>
        <v>#NAME?</v>
      </c>
      <c r="I584" t="e">
        <f ca="1">_xll.BDH($C$578,"RETURN_ON_INV_CAPITAL","FQ1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584" t="e">
        <f ca="1">_xll.BDH($C$578,"EBITDA_TO_REVENUE","FQ1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584" t="e">
        <f ca="1">_xll.BDH($C$578,"OPER_MARGIN","FQ1 2015","FQ1 2015","Currency=INR","Period=FQ","BEST_FPERIOD_OVERRIDE=FQ","FILING_STATUS=OR","EQY_CONSOLIDATED=Y","FA_ADJUSTED=GAAP","Sort=A","Dates=H","DateFormat=P","Fill=—","Direction=H","UseDPDF=Y")</f>
        <v>#NAME?</v>
      </c>
      <c r="L584" t="e">
        <f ca="1">_xll.BDH($C$578,"INCREMENTAL_OPERATING_MARGIN","FQ1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584" t="e">
        <f ca="1">_xll.BDH($C$578,"PRETAX_INC_TO_NET_SALES","FQ1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584" t="e">
        <f ca="1">_xll.BDH($C$578,"INC_BEF_XO_ITEMS_TO_NET_SALES","FQ1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584" t="e">
        <f ca="1">_xll.BDH($C$578,"PROF_MARGIN","FQ1 2015","FQ1 2015","Currency=INR","Period=FQ","BEST_FPERIOD_OVERRIDE=FQ","FILING_STATUS=OR","EQY_CONSOLIDATED=Y","FA_ADJUSTED=GAAP","Sort=A","Dates=H","DateFormat=P","Fill=—","Direction=H","UseDPDF=Y")</f>
        <v>#NAME?</v>
      </c>
      <c r="P584" t="e">
        <f ca="1">_xll.BDH($C$578,"NET_INCOME_TO_COMMON_MARGIN","FQ1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584" t="e">
        <f ca="1">_xll.BDH($C$578,"EFF_TAX_RATE","FQ1 2015","FQ1 2015","Currency=INR","Period=FQ","BEST_FPERIOD_OVERRIDE=FQ","FILING_STATUS=OR","EQY_CONSOLIDATED=Y","FA_ADJUSTED=GAAP","Sort=A","Dates=H","DateFormat=P","Fill=—","Direction=H","UseDPDF=Y")</f>
        <v>#NAME?</v>
      </c>
      <c r="R584" t="e">
        <f ca="1">_xll.BDH($C$578,"DVD_PAYOUT_RATIO","FQ1 2015","FQ1 2015","Currency=INR","Period=FQ","BEST_FPERIOD_OVERRIDE=FQ","FILING_STATUS=OR","EQY_CONSOLIDATED=Y","FA_ADJUSTED=GAAP","Sort=A","Dates=H","DateFormat=P","Fill=—","Direction=H","UseDPDF=Y")</f>
        <v>#NAME?</v>
      </c>
      <c r="S584" t="e">
        <f ca="1">_xll.BDH($C$578,"SUSTAIN_GROWTH_RT","FQ1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584" s="2" t="e">
        <f ca="1">_xll.BDH($C$578,"SALES_GROWTH","FQ1 2015","FQ1 2015","Currency=INR","Period=FQ","BEST_FPERIOD_OVERRIDE=FQ","FILING_STATUS=OR","EQY_CONSOLIDATED=Y","FA_ADJUSTED=GAAP","Sort=A","Dates=H","DateFormat=P","Fill=—","Direction=H","UseDPDF=Y")</f>
        <v>#NAME?</v>
      </c>
      <c r="U584" s="2" t="e">
        <f ca="1">_xll.BDH($C$578,"EBITDA_GROWTH","FQ1 2015","FQ1 2015","Currency=INR","Period=FQ","BEST_FPERIOD_OVERRIDE=FQ","FILING_STATUS=OR","EQY_CONSOLIDATED=Y","FA_ADJUSTED=GAAP","Sort=A","Dates=H","DateFormat=P","Fill=—","Direction=H","UseDPDF=Y")</f>
        <v>#NAME?</v>
      </c>
      <c r="V584" s="2" t="e">
        <f ca="1">_xll.BDH($C$578,"OPER_INC_GROWTH","FQ1 2015","FQ1 2015","Currency=INR","Period=FQ","BEST_FPERIOD_OVERRIDE=FQ","FILING_STATUS=OR","EQY_CONSOLIDATED=Y","FA_ADJUSTED=GAAP","Sort=A","Dates=H","DateFormat=P","Fill=—","Direction=H","UseDPDF=Y")</f>
        <v>#NAME?</v>
      </c>
      <c r="W584" s="2" t="e">
        <f ca="1">_xll.BDH($C$578,"EARN_FOR_COM_GROWTH","FQ1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584" s="2" t="e">
        <f ca="1">_xll.BDH($C$578,"DILUTED_EPS_AFT_XO_ITEMS_GROWTH","FQ1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584" s="2" t="e">
        <f ca="1">_xll.BDH($C$578,"DIVIDEND_PER_SHARE_1_YEAR_GROWTH","FQ1 2015","FQ1 2015","Currency=INR","Period=FQ","BEST_FPERIOD_OVERRIDE=FQ","FILING_STATUS=OR","EQY_CONSOLIDATED=Y","Sort=A","Dates=H","DateFormat=P","Fill=—","Direction=H","UseDPDF=Y")</f>
        <v>#NAME?</v>
      </c>
      <c r="Z584" s="2" t="e">
        <f ca="1">_xll.BDH($C$578,"ACCOUNTS_RECEIVABLE_GROWTH","FQ1 2015","FQ1 2015","Currency=INR","Period=FQ","BEST_FPERIOD_OVERRIDE=FQ","FILING_STATUS=OR","EQY_CONSOLIDATED=Y","Sort=A","Dates=H","DateFormat=P","Fill=—","Direction=H","UseDPDF=Y")</f>
        <v>#NAME?</v>
      </c>
      <c r="AA584" s="2" t="e">
        <f ca="1">_xll.BDH($C$578,"INVENTORY_GROWTH","FQ1 2015","FQ1 2015","Currency=INR","Period=FQ","BEST_FPERIOD_OVERRIDE=FQ","FILING_STATUS=OR","EQY_CONSOLIDATED=Y","Sort=A","Dates=H","DateFormat=P","Fill=—","Direction=H","UseDPDF=Y")</f>
        <v>#NAME?</v>
      </c>
      <c r="AB584" s="2" t="e">
        <f ca="1">_xll.BDH($C$578,"NET_FIXED_ASSETS_1_YEAR_GROWTH","FQ1 2015","FQ1 2015","Currency=INR","Period=FQ","BEST_FPERIOD_OVERRIDE=FQ","FILING_STATUS=OR","EQY_CONSOLIDATED=Y","Sort=A","Dates=H","DateFormat=P","Fill=—","Direction=H","UseDPDF=Y")</f>
        <v>#NAME?</v>
      </c>
      <c r="AC584" s="2" t="e">
        <f ca="1">_xll.BDH($C$578,"ASSET_GROWTH","FQ1 2015","FQ1 2015","Currency=INR","Period=FQ","BEST_FPERIOD_OVERRIDE=FQ","FILING_STATUS=OR","EQY_CONSOLIDATED=Y","Sort=A","Dates=H","DateFormat=P","Fill=—","Direction=H","UseDPDF=Y")</f>
        <v>#NAME?</v>
      </c>
      <c r="AD584" s="2" t="e">
        <f ca="1">_xll.BDH($C$578,"MODIFIED_WORK_CAP_GROWTH","FQ1 2015","FQ1 2015","Currency=INR","Period=FQ","BEST_FPERIOD_OVERRIDE=FQ","FILING_STATUS=OR","EQY_CONSOLIDATED=Y","Sort=A","Dates=H","DateFormat=P","Fill=—","Direction=H","UseDPDF=Y")</f>
        <v>#NAME?</v>
      </c>
      <c r="AE584" s="2" t="e">
        <f ca="1">_xll.BDH($C$578,"WORK_CAP_GROWTH","FQ1 2015","FQ1 2015","Currency=INR","Period=FQ","BEST_FPERIOD_OVERRIDE=FQ","FILING_STATUS=OR","EQY_CONSOLIDATED=Y","Sort=A","Dates=H","DateFormat=P","Fill=—","Direction=H","UseDPDF=Y")</f>
        <v>#NAME?</v>
      </c>
      <c r="AF584" s="2" t="e">
        <f ca="1">_xll.BDH($C$578,"ACCOUNTS_PAYABLE_GROWTH_1YR","FQ1 2015","FQ1 2015","Currency=INR","Period=FQ","BEST_FPERIOD_OVERRIDE=FQ","FILING_STATUS=OR","EQY_CONSOLIDATED=Y","Sort=A","Dates=H","DateFormat=P","Fill=—","Direction=H","UseDPDF=Y")</f>
        <v>#NAME?</v>
      </c>
      <c r="AG584" s="2" t="e">
        <f ca="1">_xll.BDH($C$578,"SHORT_TERM_DEBT_1_YEAR_GROWTH","FQ1 2015","FQ1 2015","Currency=INR","Period=FQ","BEST_FPERIOD_OVERRIDE=FQ","FILING_STATUS=OR","EQY_CONSOLIDATED=Y","Sort=A","Dates=H","DateFormat=P","Fill=—","Direction=H","UseDPDF=Y")</f>
        <v>#NAME?</v>
      </c>
      <c r="AH584" s="2" t="e">
        <f ca="1">_xll.BDH($C$578,"TOTAL_DEBT_1_YEAR_GROWTH","FQ1 2015","FQ1 2015","Currency=INR","Period=FQ","BEST_FPERIOD_OVERRIDE=FQ","FILING_STATUS=OR","EQY_CONSOLIDATED=Y","Sort=A","Dates=H","DateFormat=P","Fill=—","Direction=H","UseDPDF=Y")</f>
        <v>#NAME?</v>
      </c>
      <c r="AI584" s="2" t="e">
        <f ca="1">_xll.BDH($C$578,"TOTAL_EQUITY_1_YEAR_GROWTH","FQ1 2015","FQ1 2015","Currency=INR","Period=FQ","BEST_FPERIOD_OVERRIDE=FQ","FILING_STATUS=OR","EQY_CONSOLIDATED=Y","Sort=A","Dates=H","DateFormat=P","Fill=—","Direction=H","UseDPDF=Y")</f>
        <v>#NAME?</v>
      </c>
      <c r="AJ584" s="2" t="e">
        <f ca="1">_xll.BDH($C$578,"GROWTH_IN_CAP","FQ1 2015","FQ1 2015","Currency=INR","Period=FQ","BEST_FPERIOD_OVERRIDE=FQ","FILING_STATUS=OR","EQY_CONSOLIDATED=Y","Sort=A","Dates=H","DateFormat=P","Fill=—","Direction=H","UseDPDF=Y")</f>
        <v>#NAME?</v>
      </c>
      <c r="AK584" s="2" t="e">
        <f ca="1">_xll.BDH($C$578,"BVPS_GROWTH","FQ1 2015","FQ1 2015","Currency=INR","Period=FQ","BEST_FPERIOD_OVERRIDE=FQ","FILING_STATUS=OR","EQY_CONSOLIDATED=Y","Sort=A","Dates=H","DateFormat=P","Fill=—","Direction=H","UseDPDF=Y")</f>
        <v>#NAME?</v>
      </c>
      <c r="AL584" s="2" t="e">
        <f ca="1">_xll.BDH($C$578,"CASH_FLOW_GROWTH","FQ1 2015","FQ1 2015","Currency=INR","Period=FQ","BEST_FPERIOD_OVERRIDE=FQ","FILING_STATUS=OR","EQY_CONSOLIDATED=Y","Sort=A","Dates=H","DateFormat=P","Fill=—","Direction=H","UseDPDF=Y")</f>
        <v>#NAME?</v>
      </c>
      <c r="AM584" s="2" t="e">
        <f ca="1">_xll.BDH($C$578,"GEO_GROW_NET_SALES","FQ1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584" s="2" t="e">
        <f ca="1">_xll.BDH($C$578,"GEO_GROW_EBITDA","FQ1 2015","FQ1 2015","Currency=INR","Period=FQ","BEST_FPERIOD_OVERRIDE=FQ","FILING_STATUS=OR","EQY_CONSOLIDATED=Y","FA_ADJUSTED=GAAP","Sort=A","Dates=H","DateFormat=P","Fill=—","Direction=H","UseDPDF=Y")</f>
        <v>#NAME?</v>
      </c>
      <c r="AO584" s="2" t="e">
        <f ca="1">_xll.BDH($C$578,"GEO_GROW_OPER_INC","FQ1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584" s="2" t="e">
        <f ca="1">_xll.BDH($C$578,"NET_INCOME_TO_COMMON_5_YR_GROWTH","FQ1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584" s="2" t="e">
        <f ca="1">_xll.BDH($C$578,"5Y_GEO_GROWTH_DILUTED_EPS","FQ1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584" s="2" t="e">
        <f ca="1">_xll.BDH($C$578,"GEO_GROW_DVD_PER_SH","FQ1 2015","FQ1 2015","Currency=INR","Period=FQ","BEST_FPERIOD_OVERRIDE=FQ","FILING_STATUS=OR","EQY_CONSOLIDATED=Y","Sort=A","Dates=H","DateFormat=P","Fill=—","Direction=H","UseDPDF=Y")</f>
        <v>#NAME?</v>
      </c>
      <c r="AS584" s="2" t="e">
        <f ca="1">_xll.BDH($C$578,"ACCOUNTS_RECEIVABLE_5_YR_GROWTH","FQ1 2015","FQ1 2015","Currency=INR","Period=FQ","BEST_FPERIOD_OVERRIDE=FQ","FILING_STATUS=OR","EQY_CONSOLIDATED=Y","Sort=A","Dates=H","DateFormat=P","Fill=—","Direction=H","UseDPDF=Y")</f>
        <v>#NAME?</v>
      </c>
      <c r="AT584" s="2" t="e">
        <f ca="1">_xll.BDH($C$578,"INVENTORY_5_YEAR_GROWTH","FQ1 2015","FQ1 2015","Currency=INR","Period=FQ","BEST_FPERIOD_OVERRIDE=FQ","FILING_STATUS=OR","EQY_CONSOLIDATED=Y","Sort=A","Dates=H","DateFormat=P","Fill=—","Direction=H","UseDPDF=Y")</f>
        <v>#NAME?</v>
      </c>
      <c r="AU584" s="2" t="e">
        <f ca="1">_xll.BDH($C$578,"NET_FIXED_ASSETS_5_YEAR_GROWTH","FQ1 2015","FQ1 2015","Currency=INR","Period=FQ","BEST_FPERIOD_OVERRIDE=FQ","FILING_STATUS=OR","EQY_CONSOLIDATED=Y","Sort=A","Dates=H","DateFormat=P","Fill=—","Direction=H","UseDPDF=Y")</f>
        <v>#NAME?</v>
      </c>
      <c r="AV584" s="2" t="e">
        <f ca="1">_xll.BDH($C$578,"GEO_GROW_TOT_ASSET","FQ1 2015","FQ1 2015","Currency=INR","Period=FQ","BEST_FPERIOD_OVERRIDE=FQ","FILING_STATUS=OR","EQY_CONSOLIDATED=Y","Sort=A","Dates=H","DateFormat=P","Fill=—","Direction=H","UseDPDF=Y")</f>
        <v>#NAME?</v>
      </c>
      <c r="AW584" s="2" t="e">
        <f ca="1">_xll.BDH($C$578,"MODIFIED_WORKING_CPTL_5YR_GRWTH","FQ1 2015","FQ1 2015","Currency=INR","Period=FQ","BEST_FPERIOD_OVERRIDE=FQ","FILING_STATUS=OR","EQY_CONSOLIDATED=Y","Sort=A","Dates=H","DateFormat=P","Fill=—","Direction=H","UseDPDF=Y")</f>
        <v>#NAME?</v>
      </c>
      <c r="AX584" s="2" t="e">
        <f ca="1">_xll.BDH($C$578,"WORKING_CAPITAL_5_YEAR_GROWTH","FQ1 2015","FQ1 2015","Currency=INR","Period=FQ","BEST_FPERIOD_OVERRIDE=FQ","FILING_STATUS=OR","EQY_CONSOLIDATED=Y","Sort=A","Dates=H","DateFormat=P","Fill=—","Direction=H","UseDPDF=Y")</f>
        <v>#NAME?</v>
      </c>
      <c r="AY584" s="2" t="e">
        <f ca="1">_xll.BDH($C$578,"ACCOUNTS_PAYABLE_5_YEAR_GROWTH","FQ1 2015","FQ1 2015","Currency=INR","Period=FQ","BEST_FPERIOD_OVERRIDE=FQ","FILING_STATUS=OR","EQY_CONSOLIDATED=Y","Sort=A","Dates=H","DateFormat=P","Fill=—","Direction=H","UseDPDF=Y")</f>
        <v>#NAME?</v>
      </c>
      <c r="AZ584" s="2" t="e">
        <f ca="1">_xll.BDH($C$578,"SHORT_TERM_DEBT_5_YEAR_GROWTH","FQ1 2015","FQ1 2015","Currency=INR","Period=FQ","BEST_FPERIOD_OVERRIDE=FQ","FILING_STATUS=OR","EQY_CONSOLIDATED=Y","Sort=A","Dates=H","DateFormat=P","Fill=—","Direction=H","UseDPDF=Y")</f>
        <v>#NAME?</v>
      </c>
      <c r="BA584" s="2" t="e">
        <f ca="1">_xll.BDH($C$578,"TOTAL_DEBT_5_YEAR_GROWTH","FQ1 2015","FQ1 2015","Currency=INR","Period=FQ","BEST_FPERIOD_OVERRIDE=FQ","FILING_STATUS=OR","EQY_CONSOLIDATED=Y","Sort=A","Dates=H","DateFormat=P","Fill=—","Direction=H","UseDPDF=Y")</f>
        <v>#NAME?</v>
      </c>
      <c r="BB584" s="2" t="e">
        <f ca="1">_xll.BDH($C$578,"GEO_GROW_TOT_SHRHLDR_EQY","FQ1 2015","FQ1 2015","Currency=INR","Period=FQ","BEST_FPERIOD_OVERRIDE=FQ","FILING_STATUS=OR","EQY_CONSOLIDATED=Y","Sort=A","Dates=H","DateFormat=P","Fill=—","Direction=H","UseDPDF=Y")</f>
        <v>#NAME?</v>
      </c>
      <c r="BC584" s="2" t="e">
        <f ca="1">_xll.BDH($C$578,"TOTAL_CAPITAL_5_YEAR_GROWTH","FQ1 2015","FQ1 2015","Currency=INR","Period=FQ","BEST_FPERIOD_OVERRIDE=FQ","FILING_STATUS=OR","EQY_CONSOLIDATED=Y","Sort=A","Dates=H","DateFormat=P","Fill=—","Direction=H","UseDPDF=Y")</f>
        <v>#NAME?</v>
      </c>
      <c r="BD584" s="2" t="e">
        <f ca="1">_xll.BDH($C$578,"GEO_GROW_BOOK_VAL","FQ1 2015","FQ1 2015","Currency=INR","Period=FQ","BEST_FPERIOD_OVERRIDE=FQ","FILING_STATUS=OR","EQY_CONSOLIDATED=Y","Sort=A","Dates=H","DateFormat=P","Fill=—","Direction=H","UseDPDF=Y")</f>
        <v>#NAME?</v>
      </c>
      <c r="BE584" s="2" t="e">
        <f ca="1">_xll.BDH($C$578,"GEO_GROW_CASH_OPER_ACT","FQ1 2015","FQ1 2015","Currency=INR","Period=FQ","BEST_FPERIOD_OVERRIDE=FQ","FILING_STATUS=OR","EQY_CONSOLIDATED=Y","Sort=A","Dates=H","DateFormat=P","Fill=—","Direction=H","UseDPDF=Y")</f>
        <v>#NAME?</v>
      </c>
      <c r="BF584" s="2" t="e">
        <f ca="1">_xll.BDH($C$578,"REVENUE_SEQUENTIAL_GROWTH","FQ1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584" s="2" t="e">
        <f ca="1">_xll.BDH($C$578,"EBITDA_SEQUENTIAL_GROWTH","FQ1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584" s="2" t="e">
        <f ca="1">_xll.BDH($C$578,"OPERATING_INCOME_SEQ_GROWTH","FQ1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584" s="2" t="e">
        <f ca="1">_xll.BDH($C$578,"NET_INCOME_TO_COMMON_SEQ_GROWTH","FQ1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584" s="2" t="e">
        <f ca="1">_xll.BDH($C$578,"EPS_DILUTED_SEQUENTIAL_GROWTH","FQ1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584" s="2" t="e">
        <f ca="1">_xll.BDH($C$578,"DPS_SEQUENTIAL_GROWTH","FQ1 2015","FQ1 2015","Currency=INR","Period=FQ","BEST_FPERIOD_OVERRIDE=FQ","FILING_STATUS=OR","EQY_CONSOLIDATED=Y","Sort=A","Dates=H","DateFormat=P","Fill=—","Direction=H","UseDPDF=Y")</f>
        <v>#NAME?</v>
      </c>
      <c r="BL584" s="2" t="e">
        <f ca="1">_xll.BDH($C$578,"ACCOUNTS_RECEIVABLE_SEQ_GROWTH","FQ1 2015","FQ1 2015","Currency=INR","Period=FQ","BEST_FPERIOD_OVERRIDE=FQ","FILING_STATUS=OR","EQY_CONSOLIDATED=Y","Sort=A","Dates=H","DateFormat=P","Fill=—","Direction=H","UseDPDF=Y")</f>
        <v>#NAME?</v>
      </c>
      <c r="BM584" s="2" t="e">
        <f ca="1">_xll.BDH($C$578,"INVENTORY_SEQUENTIAL_GROWTH","FQ1 2015","FQ1 2015","Currency=INR","Period=FQ","BEST_FPERIOD_OVERRIDE=FQ","FILING_STATUS=OR","EQY_CONSOLIDATED=Y","Sort=A","Dates=H","DateFormat=P","Fill=—","Direction=H","UseDPDF=Y")</f>
        <v>#NAME?</v>
      </c>
      <c r="BN584" s="2" t="e">
        <f ca="1">_xll.BDH($C$578,"FIXED_ASSETS_SEQUENTIAL_GROWTH","FQ1 2015","FQ1 2015","Currency=INR","Period=FQ","BEST_FPERIOD_OVERRIDE=FQ","FILING_STATUS=OR","EQY_CONSOLIDATED=Y","Sort=A","Dates=H","DateFormat=P","Fill=—","Direction=H","UseDPDF=Y")</f>
        <v>#NAME?</v>
      </c>
      <c r="BO584" s="2" t="e">
        <f ca="1">_xll.BDH($C$578,"TOTAL_ASSETS_SEQUENTIAL_GROWTH","FQ1 2015","FQ1 2015","Currency=INR","Period=FQ","BEST_FPERIOD_OVERRIDE=FQ","FILING_STATUS=OR","EQY_CONSOLIDATED=Y","Sort=A","Dates=H","DateFormat=P","Fill=—","Direction=H","UseDPDF=Y")</f>
        <v>#NAME?</v>
      </c>
      <c r="BP584" s="2" t="e">
        <f ca="1">_xll.BDH($C$578,"MODIFIED_WORKING_CPTL_SEQ_GRWTH","FQ1 2015","FQ1 2015","Currency=INR","Period=FQ","BEST_FPERIOD_OVERRIDE=FQ","FILING_STATUS=OR","EQY_CONSOLIDATED=Y","Sort=A","Dates=H","DateFormat=P","Fill=—","Direction=H","UseDPDF=Y")</f>
        <v>#NAME?</v>
      </c>
      <c r="BQ584" s="2" t="e">
        <f ca="1">_xll.BDH($C$578,"WORKING_CAPITAL_SEQ_GROWTH","FQ1 2015","FQ1 2015","Currency=INR","Period=FQ","BEST_FPERIOD_OVERRIDE=FQ","FILING_STATUS=OR","EQY_CONSOLIDATED=Y","Sort=A","Dates=H","DateFormat=P","Fill=—","Direction=H","UseDPDF=Y")</f>
        <v>#NAME?</v>
      </c>
      <c r="BR584" s="2" t="e">
        <f ca="1">_xll.BDH($C$578,"ACCOUNTS_PAYABLE_SEQ_GROWTH","FQ1 2015","FQ1 2015","Currency=INR","Period=FQ","BEST_FPERIOD_OVERRIDE=FQ","FILING_STATUS=OR","EQY_CONSOLIDATED=Y","Sort=A","Dates=H","DateFormat=P","Fill=—","Direction=H","UseDPDF=Y")</f>
        <v>#NAME?</v>
      </c>
      <c r="BS584" s="2" t="e">
        <f ca="1">_xll.BDH($C$578,"ST_DEBT_SEQUENTIAL_GROWTH","FQ1 2015","FQ1 2015","Currency=INR","Period=FQ","BEST_FPERIOD_OVERRIDE=FQ","FILING_STATUS=OR","EQY_CONSOLIDATED=Y","Sort=A","Dates=H","DateFormat=P","Fill=—","Direction=H","UseDPDF=Y")</f>
        <v>#NAME?</v>
      </c>
      <c r="BT584" s="2" t="e">
        <f ca="1">_xll.BDH($C$578,"TOTAL_DEBT_SEQUENTIAL_GROWTH","FQ1 2015","FQ1 2015","Currency=INR","Period=FQ","BEST_FPERIOD_OVERRIDE=FQ","FILING_STATUS=OR","EQY_CONSOLIDATED=Y","Sort=A","Dates=H","DateFormat=P","Fill=—","Direction=H","UseDPDF=Y")</f>
        <v>#NAME?</v>
      </c>
      <c r="BU584" s="2" t="e">
        <f ca="1">_xll.BDH($C$578,"TOTAL_EQUITY_SEQUENTIAL_GROWTH","FQ1 2015","FQ1 2015","Currency=INR","Period=FQ","BEST_FPERIOD_OVERRIDE=FQ","FILING_STATUS=OR","EQY_CONSOLIDATED=Y","Sort=A","Dates=H","DateFormat=P","Fill=—","Direction=H","UseDPDF=Y")</f>
        <v>#NAME?</v>
      </c>
      <c r="BV584" s="2" t="e">
        <f ca="1">_xll.BDH($C$578,"TOTAL_CAPITAL_SEQUENTIAL_GROWTH","FQ1 2015","FQ1 2015","Currency=INR","Period=FQ","BEST_FPERIOD_OVERRIDE=FQ","FILING_STATUS=OR","EQY_CONSOLIDATED=Y","Sort=A","Dates=H","DateFormat=P","Fill=—","Direction=H","UseDPDF=Y")</f>
        <v>#NAME?</v>
      </c>
      <c r="BW584" s="2" t="e">
        <f ca="1">_xll.BDH($C$578,"BPS_SEQUENTIAL_GROWTH","FQ1 2015","FQ1 2015","Currency=INR","Period=FQ","BEST_FPERIOD_OVERRIDE=FQ","FILING_STATUS=OR","EQY_CONSOLIDATED=Y","Sort=A","Dates=H","DateFormat=P","Fill=—","Direction=H","UseDPDF=Y")</f>
        <v>#NAME?</v>
      </c>
      <c r="BX584" s="2" t="e">
        <f ca="1">_xll.BDH($C$578,"CFO_SEQUENTIAL_GROWTH","FQ1 2015","FQ1 2015","Currency=INR","Period=FQ","BEST_FPERIOD_OVERRIDE=FQ","FILING_STATUS=OR","EQY_CONSOLIDATED=Y","Sort=A","Dates=H","DateFormat=P","Fill=—","Direction=H","UseDPDF=Y")</f>
        <v>#NAME?</v>
      </c>
      <c r="BY584" s="3" t="e">
        <f ca="1">_xll.BDH($C$578,"SHORT_AND_LONG_TERM_DEBT","FQ1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584" s="3" t="e">
        <f ca="1">_xll.BDH($C$578,"BS_ST_BORROW","FQ1 2015","FQ1 2015","Currency=INR","Period=FQ","BEST_FPERIOD_OVERRIDE=FQ","FILING_STATUS=OR","EQY_CONSOLIDATED=Y","SCALING_FORMAT=MLN","Sort=A","Dates=H","DateFormat=P","Fill=—","Direction=H","UseDPDF=Y")</f>
        <v>#NAME?</v>
      </c>
      <c r="CA584" s="3" t="e">
        <f ca="1">_xll.BDH($C$578,"BS_LT_BORROW","FQ1 2015","FQ1 2015","Currency=INR","Period=FQ","BEST_FPERIOD_OVERRIDE=FQ","FILING_STATUS=OR","EQY_CONSOLIDATED=Y","SCALING_FORMAT=MLN","Sort=A","Dates=H","DateFormat=P","Fill=—","Direction=H","UseDPDF=Y")</f>
        <v>#NAME?</v>
      </c>
      <c r="CB584" s="2" t="e">
        <f ca="1">_xll.BDH($C$578,"TOT_DEBT_TO_EBITDA","FQ1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584" s="2" t="e">
        <f ca="1">_xll.BDH($C$578,"NET_DEBT_TO_EBITDA","FQ1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584" s="2" t="e">
        <f ca="1">_xll.BDH($C$578,"TOTAL_DEBT_TO_EBIT","FQ1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584" s="2" t="e">
        <f ca="1">_xll.BDH($C$578,"NET_DEBT_TO_EBIT","FQ1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584" s="2" t="e">
        <f ca="1">_xll.BDH($C$578,"EBITDA_TO_INTEREST_EXPN","FQ1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584" s="2" t="e">
        <f ca="1">_xll.BDH($C$578,"COM_EQY_TO_TOT_ASSET","FQ1 2015","FQ1 2015","Currency=INR","Period=FQ","BEST_FPERIOD_OVERRIDE=FQ","FILING_STATUS=OR","EQY_CONSOLIDATED=Y","Sort=A","Dates=H","DateFormat=P","Fill=—","Direction=H","UseDPDF=Y")</f>
        <v>#NAME?</v>
      </c>
      <c r="CH584" s="2" t="e">
        <f ca="1">_xll.BDH($C$578,"LT_DEBT_TO_TOT_EQY","FQ1 2015","FQ1 2015","Currency=INR","Period=FQ","BEST_FPERIOD_OVERRIDE=FQ","FILING_STATUS=OR","EQY_CONSOLIDATED=Y","Sort=A","Dates=H","DateFormat=P","Fill=—","Direction=H","UseDPDF=Y")</f>
        <v>#NAME?</v>
      </c>
      <c r="CI584" s="2" t="e">
        <f ca="1">_xll.BDH($C$578,"LT_DEBT_TO_TOT_CAP","FQ1 2015","FQ1 2015","Currency=INR","Period=FQ","BEST_FPERIOD_OVERRIDE=FQ","FILING_STATUS=OR","EQY_CONSOLIDATED=Y","Sort=A","Dates=H","DateFormat=P","Fill=—","Direction=H","UseDPDF=Y")</f>
        <v>#NAME?</v>
      </c>
      <c r="CJ584" s="2" t="e">
        <f ca="1">_xll.BDH($C$578,"LT_DEBT_TO_TOT_ASSET","FQ1 2015","FQ1 2015","Currency=INR","Period=FQ","BEST_FPERIOD_OVERRIDE=FQ","FILING_STATUS=OR","EQY_CONSOLIDATED=Y","Sort=A","Dates=H","DateFormat=P","Fill=—","Direction=H","UseDPDF=Y")</f>
        <v>#NAME?</v>
      </c>
      <c r="CK584" s="2" t="e">
        <f ca="1">_xll.BDH($C$578,"TOT_DEBT_TO_TOT_EQY","FQ1 2015","FQ1 2015","Currency=INR","Period=FQ","BEST_FPERIOD_OVERRIDE=FQ","FILING_STATUS=OR","EQY_CONSOLIDATED=Y","Sort=A","Dates=H","DateFormat=P","Fill=—","Direction=H","UseDPDF=Y")</f>
        <v>#NAME?</v>
      </c>
      <c r="CL584" s="2" t="e">
        <f ca="1">_xll.BDH($C$578,"TOT_DEBT_TO_TOT_CAP","FQ1 2015","FQ1 2015","Currency=INR","Period=FQ","BEST_FPERIOD_OVERRIDE=FQ","FILING_STATUS=OR","EQY_CONSOLIDATED=Y","Sort=A","Dates=H","DateFormat=P","Fill=—","Direction=H","UseDPDF=Y")</f>
        <v>#NAME?</v>
      </c>
      <c r="CM584" s="2" t="e">
        <f ca="1">_xll.BDH($C$578,"TOT_DEBT_TO_TOT_ASSET","FQ1 2015","FQ1 2015","Currency=INR","Period=FQ","BEST_FPERIOD_OVERRIDE=FQ","FILING_STATUS=OR","EQY_CONSOLIDATED=Y","Sort=A","Dates=H","DateFormat=P","Fill=—","Direction=H","UseDPDF=Y")</f>
        <v>#NAME?</v>
      </c>
      <c r="CN584" s="2" t="e">
        <f ca="1">_xll.BDH($C$578,"NET_DEBT_TO_SHRHLDR_EQTY","FQ1 2015","FQ1 2015","Currency=INR","Period=FQ","BEST_FPERIOD_OVERRIDE=FQ","FILING_STATUS=OR","EQY_CONSOLIDATED=Y","Sort=A","Dates=H","DateFormat=P","Fill=—","Direction=H","UseDPDF=Y")</f>
        <v>#NAME?</v>
      </c>
      <c r="CO584" s="2" t="e">
        <f ca="1">_xll.BDH($C$578,"NET_DEBT_%_CAPITAL","FQ1 2015","FQ1 2015","Currency=INR","Period=FQ","BEST_FPERIOD_OVERRIDE=FQ","FILING_STATUS=OR","EQY_CONSOLIDATED=Y","Sort=A","Dates=H","DateFormat=P","Fill=—","Direction=H","UseDPDF=Y")</f>
        <v>#NAME?</v>
      </c>
      <c r="CP584" s="3" t="e">
        <f ca="1">_xll.BDH($C$578,"EBITDA","FQ1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584" s="3" t="e">
        <f ca="1">_xll.BDH($C$578,"EBITDA_AFTER_CAPEX","FQ1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584" s="3" t="e">
        <f ca="1">_xll.BDH($C$578,"IS_OPER_INC","FQ1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584" s="2" t="e">
        <f ca="1">_xll.BDH($C$578,"CASH_RATIO","FQ1 2015","FQ1 2015","Currency=INR","Period=FQ","BEST_FPERIOD_OVERRIDE=FQ","FILING_STATUS=OR","EQY_CONSOLIDATED=Y","Sort=A","Dates=H","DateFormat=P","Fill=—","Direction=H","UseDPDF=Y")</f>
        <v>#NAME?</v>
      </c>
      <c r="CT584" s="2" t="e">
        <f ca="1">_xll.BDH($C$578,"CUR_RATIO","FQ1 2015","FQ1 2015","Currency=INR","Period=FQ","BEST_FPERIOD_OVERRIDE=FQ","FILING_STATUS=OR","EQY_CONSOLIDATED=Y","Sort=A","Dates=H","DateFormat=P","Fill=—","Direction=H","UseDPDF=Y")</f>
        <v>#NAME?</v>
      </c>
      <c r="CU584" s="2" t="e">
        <f ca="1">_xll.BDH($C$578,"QUICK_RATIO","FQ1 2015","FQ1 2015","Currency=INR","Period=FQ","BEST_FPERIOD_OVERRIDE=FQ","FILING_STATUS=OR","EQY_CONSOLIDATED=Y","Sort=A","Dates=H","DateFormat=P","Fill=—","Direction=H","UseDPDF=Y")</f>
        <v>#NAME?</v>
      </c>
      <c r="CV584" s="2" t="e">
        <f ca="1">_xll.BDH($C$578,"ALTMAN_Z_SCORE","FQ1 2015","FQ1 2015","Currency=INR","Period=FQ","BEST_FPERIOD_OVERRIDE=FQ","FILING_STATUS=OR","EQY_CONSOLIDATED=Y","Sort=A","Dates=H","DateFormat=P","Fill=—","Direction=H","UseDPDF=Y")</f>
        <v>#NAME?</v>
      </c>
      <c r="CW584" s="4" t="e">
        <f ca="1">_xll.BDH($C$578,"ACCT_RCV_TURN","FQ1 2015","FQ1 2015","Currency=INR","Period=FQ","BEST_FPERIOD_OVERRIDE=FQ","FILING_STATUS=OR","EQY_CONSOLIDATED=Y","FA_ADJUSTED=GAAP","Sort=A","Dates=H","DateFormat=P","Fill=—","Direction=H","UseDPDF=Y")</f>
        <v>#NAME?</v>
      </c>
      <c r="CX584" s="2" t="e">
        <f ca="1">_xll.BDH($C$578,"ACCT_RCV_DAYS","FQ1 2015","FQ1 2015","Currency=INR","Period=FQ","BEST_FPERIOD_OVERRIDE=FQ","FILING_STATUS=OR","EQY_CONSOLIDATED=Y","FA_ADJUSTED=GAAP","Sort=A","Dates=H","DateFormat=P","Fill=—","Direction=H","UseDPDF=Y")</f>
        <v>#NAME?</v>
      </c>
      <c r="CY584" s="4" t="e">
        <f ca="1">_xll.BDH($C$578,"INVENT_TURN","FQ1 2015","FQ1 2015","Currency=INR","Period=FQ","BEST_FPERIOD_OVERRIDE=FQ","FILING_STATUS=OR","EQY_CONSOLIDATED=Y","FA_ADJUSTED=GAAP","Sort=A","Dates=H","DateFormat=P","Fill=—","Direction=H","UseDPDF=Y")</f>
        <v>#NAME?</v>
      </c>
      <c r="CZ584" s="2" t="e">
        <f ca="1">_xll.BDH($C$578,"INVENT_DAYS","FQ1 2015","FQ1 2015","Currency=INR","Period=FQ","BEST_FPERIOD_OVERRIDE=FQ","FILING_STATUS=OR","EQY_CONSOLIDATED=Y","FA_ADJUSTED=GAAP","Sort=A","Dates=H","DateFormat=P","Fill=—","Direction=H","UseDPDF=Y")</f>
        <v>#NAME?</v>
      </c>
      <c r="DA584" s="4" t="e">
        <f ca="1">_xll.BDH($C$578,"ACCOUNTS_PAYABLE_TURNOVER","FQ1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584" s="2" t="e">
        <f ca="1">_xll.BDH($C$578,"ACCOUNTS_PAYABLE_TURNOVER_DAYS","FQ1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584" s="4" t="e">
        <f ca="1">_xll.BDH($C$578,"CASH_CONVERSION_CYCLE","FQ1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584" s="4" t="e">
        <f ca="1">_xll.BDH($C$578,"INV_TO_CASH_DAYS","FQ1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584" s="5" t="e">
        <f ca="1">_xll.BDH($C$578,"BS_INVENTORIES","FQ1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584" s="3" t="e">
        <f ca="1">_xll.BDH($C$578,"INVTRY_RAW_MATERIALS","FQ1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584" s="3" t="e">
        <f ca="1">_xll.BDH($C$578,"INVTRY_IN_PROGRESS","FQ1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584" s="3" t="e">
        <f ca="1">_xll.BDH($C$578,"INVTRY_FINISHED_GOODS","FQ1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584" s="3" t="e">
        <f ca="1">_xll.BDH($C$578,"BS_OTHER_INV","FQ1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585" spans="1:113" x14ac:dyDescent="0.3">
      <c r="A585" s="6"/>
      <c r="B585" s="6"/>
      <c r="C585" s="6"/>
      <c r="D585" s="6"/>
      <c r="E585" t="s">
        <v>79</v>
      </c>
      <c r="F585" t="e">
        <f ca="1">_xll.BDH($C$578,"RETURN_COM_EQY","FQ2 2015","FQ2 2015","Currency=INR","Period=FQ","BEST_FPERIOD_OVERRIDE=FQ","FILING_STATUS=OR","EQY_CONSOLIDATED=Y","FA_ADJUSTED=GAAP","Sort=A","Dates=H","DateFormat=P","Fill=—","Direction=H","UseDPDF=Y")</f>
        <v>#NAME?</v>
      </c>
      <c r="G585" t="e">
        <f ca="1">_xll.BDH($C$578,"RETURN_ON_ASSET","FQ2 2015","FQ2 2015","Currency=INR","Period=FQ","BEST_FPERIOD_OVERRIDE=FQ","FILING_STATUS=OR","EQY_CONSOLIDATED=Y","FA_ADJUSTED=GAAP","Sort=A","Dates=H","DateFormat=P","Fill=—","Direction=H","UseDPDF=Y")</f>
        <v>#NAME?</v>
      </c>
      <c r="H585" t="e">
        <f ca="1">_xll.BDH($C$578,"RETURN_ON_CAP","FQ2 2015","FQ2 2015","Currency=INR","Period=FQ","BEST_FPERIOD_OVERRIDE=FQ","FILING_STATUS=OR","EQY_CONSOLIDATED=Y","FA_ADJUSTED=GAAP","Sort=A","Dates=H","DateFormat=P","Fill=—","Direction=H","UseDPDF=Y")</f>
        <v>#NAME?</v>
      </c>
      <c r="I585" t="e">
        <f ca="1">_xll.BDH($C$578,"RETURN_ON_INV_CAPITAL","FQ2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585" t="e">
        <f ca="1">_xll.BDH($C$578,"EBITDA_TO_REVENUE","FQ2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585" t="e">
        <f ca="1">_xll.BDH($C$578,"OPER_MARGIN","FQ2 2015","FQ2 2015","Currency=INR","Period=FQ","BEST_FPERIOD_OVERRIDE=FQ","FILING_STATUS=OR","EQY_CONSOLIDATED=Y","FA_ADJUSTED=GAAP","Sort=A","Dates=H","DateFormat=P","Fill=—","Direction=H","UseDPDF=Y")</f>
        <v>#NAME?</v>
      </c>
      <c r="L585" t="e">
        <f ca="1">_xll.BDH($C$578,"INCREMENTAL_OPERATING_MARGIN","FQ2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585" t="e">
        <f ca="1">_xll.BDH($C$578,"PRETAX_INC_TO_NET_SALES","FQ2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585" t="e">
        <f ca="1">_xll.BDH($C$578,"INC_BEF_XO_ITEMS_TO_NET_SALES","FQ2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585" t="e">
        <f ca="1">_xll.BDH($C$578,"PROF_MARGIN","FQ2 2015","FQ2 2015","Currency=INR","Period=FQ","BEST_FPERIOD_OVERRIDE=FQ","FILING_STATUS=OR","EQY_CONSOLIDATED=Y","FA_ADJUSTED=GAAP","Sort=A","Dates=H","DateFormat=P","Fill=—","Direction=H","UseDPDF=Y")</f>
        <v>#NAME?</v>
      </c>
      <c r="P585" t="e">
        <f ca="1">_xll.BDH($C$578,"NET_INCOME_TO_COMMON_MARGIN","FQ2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585" t="e">
        <f ca="1">_xll.BDH($C$578,"EFF_TAX_RATE","FQ2 2015","FQ2 2015","Currency=INR","Period=FQ","BEST_FPERIOD_OVERRIDE=FQ","FILING_STATUS=OR","EQY_CONSOLIDATED=Y","FA_ADJUSTED=GAAP","Sort=A","Dates=H","DateFormat=P","Fill=—","Direction=H","UseDPDF=Y")</f>
        <v>#NAME?</v>
      </c>
      <c r="R585" t="e">
        <f ca="1">_xll.BDH($C$578,"DVD_PAYOUT_RATIO","FQ2 2015","FQ2 2015","Currency=INR","Period=FQ","BEST_FPERIOD_OVERRIDE=FQ","FILING_STATUS=OR","EQY_CONSOLIDATED=Y","FA_ADJUSTED=GAAP","Sort=A","Dates=H","DateFormat=P","Fill=—","Direction=H","UseDPDF=Y")</f>
        <v>#NAME?</v>
      </c>
      <c r="S585" t="e">
        <f ca="1">_xll.BDH($C$578,"SUSTAIN_GROWTH_RT","FQ2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585" s="2" t="e">
        <f ca="1">_xll.BDH($C$578,"SALES_GROWTH","FQ2 2015","FQ2 2015","Currency=INR","Period=FQ","BEST_FPERIOD_OVERRIDE=FQ","FILING_STATUS=OR","EQY_CONSOLIDATED=Y","FA_ADJUSTED=GAAP","Sort=A","Dates=H","DateFormat=P","Fill=—","Direction=H","UseDPDF=Y")</f>
        <v>#NAME?</v>
      </c>
      <c r="U585" s="2" t="e">
        <f ca="1">_xll.BDH($C$578,"EBITDA_GROWTH","FQ2 2015","FQ2 2015","Currency=INR","Period=FQ","BEST_FPERIOD_OVERRIDE=FQ","FILING_STATUS=OR","EQY_CONSOLIDATED=Y","FA_ADJUSTED=GAAP","Sort=A","Dates=H","DateFormat=P","Fill=—","Direction=H","UseDPDF=Y")</f>
        <v>#NAME?</v>
      </c>
      <c r="V585" s="2" t="e">
        <f ca="1">_xll.BDH($C$578,"OPER_INC_GROWTH","FQ2 2015","FQ2 2015","Currency=INR","Period=FQ","BEST_FPERIOD_OVERRIDE=FQ","FILING_STATUS=OR","EQY_CONSOLIDATED=Y","FA_ADJUSTED=GAAP","Sort=A","Dates=H","DateFormat=P","Fill=—","Direction=H","UseDPDF=Y")</f>
        <v>#NAME?</v>
      </c>
      <c r="W585" s="2" t="e">
        <f ca="1">_xll.BDH($C$578,"EARN_FOR_COM_GROWTH","FQ2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585" s="2" t="e">
        <f ca="1">_xll.BDH($C$578,"DILUTED_EPS_AFT_XO_ITEMS_GROWTH","FQ2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585" s="2" t="e">
        <f ca="1">_xll.BDH($C$578,"DIVIDEND_PER_SHARE_1_YEAR_GROWTH","FQ2 2015","FQ2 2015","Currency=INR","Period=FQ","BEST_FPERIOD_OVERRIDE=FQ","FILING_STATUS=OR","EQY_CONSOLIDATED=Y","Sort=A","Dates=H","DateFormat=P","Fill=—","Direction=H","UseDPDF=Y")</f>
        <v>#NAME?</v>
      </c>
      <c r="Z585" s="2" t="e">
        <f ca="1">_xll.BDH($C$578,"ACCOUNTS_RECEIVABLE_GROWTH","FQ2 2015","FQ2 2015","Currency=INR","Period=FQ","BEST_FPERIOD_OVERRIDE=FQ","FILING_STATUS=OR","EQY_CONSOLIDATED=Y","Sort=A","Dates=H","DateFormat=P","Fill=—","Direction=H","UseDPDF=Y")</f>
        <v>#NAME?</v>
      </c>
      <c r="AA585" s="2" t="e">
        <f ca="1">_xll.BDH($C$578,"INVENTORY_GROWTH","FQ2 2015","FQ2 2015","Currency=INR","Period=FQ","BEST_FPERIOD_OVERRIDE=FQ","FILING_STATUS=OR","EQY_CONSOLIDATED=Y","Sort=A","Dates=H","DateFormat=P","Fill=—","Direction=H","UseDPDF=Y")</f>
        <v>#NAME?</v>
      </c>
      <c r="AB585" s="2" t="e">
        <f ca="1">_xll.BDH($C$578,"NET_FIXED_ASSETS_1_YEAR_GROWTH","FQ2 2015","FQ2 2015","Currency=INR","Period=FQ","BEST_FPERIOD_OVERRIDE=FQ","FILING_STATUS=OR","EQY_CONSOLIDATED=Y","Sort=A","Dates=H","DateFormat=P","Fill=—","Direction=H","UseDPDF=Y")</f>
        <v>#NAME?</v>
      </c>
      <c r="AC585" s="2" t="e">
        <f ca="1">_xll.BDH($C$578,"ASSET_GROWTH","FQ2 2015","FQ2 2015","Currency=INR","Period=FQ","BEST_FPERIOD_OVERRIDE=FQ","FILING_STATUS=OR","EQY_CONSOLIDATED=Y","Sort=A","Dates=H","DateFormat=P","Fill=—","Direction=H","UseDPDF=Y")</f>
        <v>#NAME?</v>
      </c>
      <c r="AD585" s="2" t="e">
        <f ca="1">_xll.BDH($C$578,"MODIFIED_WORK_CAP_GROWTH","FQ2 2015","FQ2 2015","Currency=INR","Period=FQ","BEST_FPERIOD_OVERRIDE=FQ","FILING_STATUS=OR","EQY_CONSOLIDATED=Y","Sort=A","Dates=H","DateFormat=P","Fill=—","Direction=H","UseDPDF=Y")</f>
        <v>#NAME?</v>
      </c>
      <c r="AE585" s="2" t="e">
        <f ca="1">_xll.BDH($C$578,"WORK_CAP_GROWTH","FQ2 2015","FQ2 2015","Currency=INR","Period=FQ","BEST_FPERIOD_OVERRIDE=FQ","FILING_STATUS=OR","EQY_CONSOLIDATED=Y","Sort=A","Dates=H","DateFormat=P","Fill=—","Direction=H","UseDPDF=Y")</f>
        <v>#NAME?</v>
      </c>
      <c r="AF585" s="2" t="e">
        <f ca="1">_xll.BDH($C$578,"ACCOUNTS_PAYABLE_GROWTH_1YR","FQ2 2015","FQ2 2015","Currency=INR","Period=FQ","BEST_FPERIOD_OVERRIDE=FQ","FILING_STATUS=OR","EQY_CONSOLIDATED=Y","Sort=A","Dates=H","DateFormat=P","Fill=—","Direction=H","UseDPDF=Y")</f>
        <v>#NAME?</v>
      </c>
      <c r="AG585" s="2" t="e">
        <f ca="1">_xll.BDH($C$578,"SHORT_TERM_DEBT_1_YEAR_GROWTH","FQ2 2015","FQ2 2015","Currency=INR","Period=FQ","BEST_FPERIOD_OVERRIDE=FQ","FILING_STATUS=OR","EQY_CONSOLIDATED=Y","Sort=A","Dates=H","DateFormat=P","Fill=—","Direction=H","UseDPDF=Y")</f>
        <v>#NAME?</v>
      </c>
      <c r="AH585" s="2" t="e">
        <f ca="1">_xll.BDH($C$578,"TOTAL_DEBT_1_YEAR_GROWTH","FQ2 2015","FQ2 2015","Currency=INR","Period=FQ","BEST_FPERIOD_OVERRIDE=FQ","FILING_STATUS=OR","EQY_CONSOLIDATED=Y","Sort=A","Dates=H","DateFormat=P","Fill=—","Direction=H","UseDPDF=Y")</f>
        <v>#NAME?</v>
      </c>
      <c r="AI585" s="2" t="e">
        <f ca="1">_xll.BDH($C$578,"TOTAL_EQUITY_1_YEAR_GROWTH","FQ2 2015","FQ2 2015","Currency=INR","Period=FQ","BEST_FPERIOD_OVERRIDE=FQ","FILING_STATUS=OR","EQY_CONSOLIDATED=Y","Sort=A","Dates=H","DateFormat=P","Fill=—","Direction=H","UseDPDF=Y")</f>
        <v>#NAME?</v>
      </c>
      <c r="AJ585" s="2" t="e">
        <f ca="1">_xll.BDH($C$578,"GROWTH_IN_CAP","FQ2 2015","FQ2 2015","Currency=INR","Period=FQ","BEST_FPERIOD_OVERRIDE=FQ","FILING_STATUS=OR","EQY_CONSOLIDATED=Y","Sort=A","Dates=H","DateFormat=P","Fill=—","Direction=H","UseDPDF=Y")</f>
        <v>#NAME?</v>
      </c>
      <c r="AK585" s="2" t="e">
        <f ca="1">_xll.BDH($C$578,"BVPS_GROWTH","FQ2 2015","FQ2 2015","Currency=INR","Period=FQ","BEST_FPERIOD_OVERRIDE=FQ","FILING_STATUS=OR","EQY_CONSOLIDATED=Y","Sort=A","Dates=H","DateFormat=P","Fill=—","Direction=H","UseDPDF=Y")</f>
        <v>#NAME?</v>
      </c>
      <c r="AL585" s="2" t="e">
        <f ca="1">_xll.BDH($C$578,"CASH_FLOW_GROWTH","FQ2 2015","FQ2 2015","Currency=INR","Period=FQ","BEST_FPERIOD_OVERRIDE=FQ","FILING_STATUS=OR","EQY_CONSOLIDATED=Y","Sort=A","Dates=H","DateFormat=P","Fill=—","Direction=H","UseDPDF=Y")</f>
        <v>#NAME?</v>
      </c>
      <c r="AM585" s="2" t="e">
        <f ca="1">_xll.BDH($C$578,"GEO_GROW_NET_SALES","FQ2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585" s="2" t="e">
        <f ca="1">_xll.BDH($C$578,"GEO_GROW_EBITDA","FQ2 2015","FQ2 2015","Currency=INR","Period=FQ","BEST_FPERIOD_OVERRIDE=FQ","FILING_STATUS=OR","EQY_CONSOLIDATED=Y","FA_ADJUSTED=GAAP","Sort=A","Dates=H","DateFormat=P","Fill=—","Direction=H","UseDPDF=Y")</f>
        <v>#NAME?</v>
      </c>
      <c r="AO585" s="2" t="e">
        <f ca="1">_xll.BDH($C$578,"GEO_GROW_OPER_INC","FQ2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585" s="2" t="e">
        <f ca="1">_xll.BDH($C$578,"NET_INCOME_TO_COMMON_5_YR_GROWTH","FQ2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585" s="2" t="e">
        <f ca="1">_xll.BDH($C$578,"5Y_GEO_GROWTH_DILUTED_EPS","FQ2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585" s="2" t="e">
        <f ca="1">_xll.BDH($C$578,"GEO_GROW_DVD_PER_SH","FQ2 2015","FQ2 2015","Currency=INR","Period=FQ","BEST_FPERIOD_OVERRIDE=FQ","FILING_STATUS=OR","EQY_CONSOLIDATED=Y","Sort=A","Dates=H","DateFormat=P","Fill=—","Direction=H","UseDPDF=Y")</f>
        <v>#NAME?</v>
      </c>
      <c r="AS585" s="2" t="e">
        <f ca="1">_xll.BDH($C$578,"ACCOUNTS_RECEIVABLE_5_YR_GROWTH","FQ2 2015","FQ2 2015","Currency=INR","Period=FQ","BEST_FPERIOD_OVERRIDE=FQ","FILING_STATUS=OR","EQY_CONSOLIDATED=Y","Sort=A","Dates=H","DateFormat=P","Fill=—","Direction=H","UseDPDF=Y")</f>
        <v>#NAME?</v>
      </c>
      <c r="AT585" s="2" t="e">
        <f ca="1">_xll.BDH($C$578,"INVENTORY_5_YEAR_GROWTH","FQ2 2015","FQ2 2015","Currency=INR","Period=FQ","BEST_FPERIOD_OVERRIDE=FQ","FILING_STATUS=OR","EQY_CONSOLIDATED=Y","Sort=A","Dates=H","DateFormat=P","Fill=—","Direction=H","UseDPDF=Y")</f>
        <v>#NAME?</v>
      </c>
      <c r="AU585" s="2" t="e">
        <f ca="1">_xll.BDH($C$578,"NET_FIXED_ASSETS_5_YEAR_GROWTH","FQ2 2015","FQ2 2015","Currency=INR","Period=FQ","BEST_FPERIOD_OVERRIDE=FQ","FILING_STATUS=OR","EQY_CONSOLIDATED=Y","Sort=A","Dates=H","DateFormat=P","Fill=—","Direction=H","UseDPDF=Y")</f>
        <v>#NAME?</v>
      </c>
      <c r="AV585" s="2" t="e">
        <f ca="1">_xll.BDH($C$578,"GEO_GROW_TOT_ASSET","FQ2 2015","FQ2 2015","Currency=INR","Period=FQ","BEST_FPERIOD_OVERRIDE=FQ","FILING_STATUS=OR","EQY_CONSOLIDATED=Y","Sort=A","Dates=H","DateFormat=P","Fill=—","Direction=H","UseDPDF=Y")</f>
        <v>#NAME?</v>
      </c>
      <c r="AW585" s="2" t="e">
        <f ca="1">_xll.BDH($C$578,"MODIFIED_WORKING_CPTL_5YR_GRWTH","FQ2 2015","FQ2 2015","Currency=INR","Period=FQ","BEST_FPERIOD_OVERRIDE=FQ","FILING_STATUS=OR","EQY_CONSOLIDATED=Y","Sort=A","Dates=H","DateFormat=P","Fill=—","Direction=H","UseDPDF=Y")</f>
        <v>#NAME?</v>
      </c>
      <c r="AX585" s="2" t="e">
        <f ca="1">_xll.BDH($C$578,"WORKING_CAPITAL_5_YEAR_GROWTH","FQ2 2015","FQ2 2015","Currency=INR","Period=FQ","BEST_FPERIOD_OVERRIDE=FQ","FILING_STATUS=OR","EQY_CONSOLIDATED=Y","Sort=A","Dates=H","DateFormat=P","Fill=—","Direction=H","UseDPDF=Y")</f>
        <v>#NAME?</v>
      </c>
      <c r="AY585" s="2" t="e">
        <f ca="1">_xll.BDH($C$578,"ACCOUNTS_PAYABLE_5_YEAR_GROWTH","FQ2 2015","FQ2 2015","Currency=INR","Period=FQ","BEST_FPERIOD_OVERRIDE=FQ","FILING_STATUS=OR","EQY_CONSOLIDATED=Y","Sort=A","Dates=H","DateFormat=P","Fill=—","Direction=H","UseDPDF=Y")</f>
        <v>#NAME?</v>
      </c>
      <c r="AZ585" s="2" t="e">
        <f ca="1">_xll.BDH($C$578,"SHORT_TERM_DEBT_5_YEAR_GROWTH","FQ2 2015","FQ2 2015","Currency=INR","Period=FQ","BEST_FPERIOD_OVERRIDE=FQ","FILING_STATUS=OR","EQY_CONSOLIDATED=Y","Sort=A","Dates=H","DateFormat=P","Fill=—","Direction=H","UseDPDF=Y")</f>
        <v>#NAME?</v>
      </c>
      <c r="BA585" s="2" t="e">
        <f ca="1">_xll.BDH($C$578,"TOTAL_DEBT_5_YEAR_GROWTH","FQ2 2015","FQ2 2015","Currency=INR","Period=FQ","BEST_FPERIOD_OVERRIDE=FQ","FILING_STATUS=OR","EQY_CONSOLIDATED=Y","Sort=A","Dates=H","DateFormat=P","Fill=—","Direction=H","UseDPDF=Y")</f>
        <v>#NAME?</v>
      </c>
      <c r="BB585" s="2" t="e">
        <f ca="1">_xll.BDH($C$578,"GEO_GROW_TOT_SHRHLDR_EQY","FQ2 2015","FQ2 2015","Currency=INR","Period=FQ","BEST_FPERIOD_OVERRIDE=FQ","FILING_STATUS=OR","EQY_CONSOLIDATED=Y","Sort=A","Dates=H","DateFormat=P","Fill=—","Direction=H","UseDPDF=Y")</f>
        <v>#NAME?</v>
      </c>
      <c r="BC585" s="2" t="e">
        <f ca="1">_xll.BDH($C$578,"TOTAL_CAPITAL_5_YEAR_GROWTH","FQ2 2015","FQ2 2015","Currency=INR","Period=FQ","BEST_FPERIOD_OVERRIDE=FQ","FILING_STATUS=OR","EQY_CONSOLIDATED=Y","Sort=A","Dates=H","DateFormat=P","Fill=—","Direction=H","UseDPDF=Y")</f>
        <v>#NAME?</v>
      </c>
      <c r="BD585" s="2" t="e">
        <f ca="1">_xll.BDH($C$578,"GEO_GROW_BOOK_VAL","FQ2 2015","FQ2 2015","Currency=INR","Period=FQ","BEST_FPERIOD_OVERRIDE=FQ","FILING_STATUS=OR","EQY_CONSOLIDATED=Y","Sort=A","Dates=H","DateFormat=P","Fill=—","Direction=H","UseDPDF=Y")</f>
        <v>#NAME?</v>
      </c>
      <c r="BE585" s="2" t="e">
        <f ca="1">_xll.BDH($C$578,"GEO_GROW_CASH_OPER_ACT","FQ2 2015","FQ2 2015","Currency=INR","Period=FQ","BEST_FPERIOD_OVERRIDE=FQ","FILING_STATUS=OR","EQY_CONSOLIDATED=Y","Sort=A","Dates=H","DateFormat=P","Fill=—","Direction=H","UseDPDF=Y")</f>
        <v>#NAME?</v>
      </c>
      <c r="BF585" s="2" t="e">
        <f ca="1">_xll.BDH($C$578,"REVENUE_SEQUENTIAL_GROWTH","FQ2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585" s="2" t="e">
        <f ca="1">_xll.BDH($C$578,"EBITDA_SEQUENTIAL_GROWTH","FQ2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585" s="2" t="e">
        <f ca="1">_xll.BDH($C$578,"OPERATING_INCOME_SEQ_GROWTH","FQ2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585" s="2" t="e">
        <f ca="1">_xll.BDH($C$578,"NET_INCOME_TO_COMMON_SEQ_GROWTH","FQ2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585" s="2" t="e">
        <f ca="1">_xll.BDH($C$578,"EPS_DILUTED_SEQUENTIAL_GROWTH","FQ2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585" s="2" t="e">
        <f ca="1">_xll.BDH($C$578,"DPS_SEQUENTIAL_GROWTH","FQ2 2015","FQ2 2015","Currency=INR","Period=FQ","BEST_FPERIOD_OVERRIDE=FQ","FILING_STATUS=OR","EQY_CONSOLIDATED=Y","Sort=A","Dates=H","DateFormat=P","Fill=—","Direction=H","UseDPDF=Y")</f>
        <v>#NAME?</v>
      </c>
      <c r="BL585" s="2" t="e">
        <f ca="1">_xll.BDH($C$578,"ACCOUNTS_RECEIVABLE_SEQ_GROWTH","FQ2 2015","FQ2 2015","Currency=INR","Period=FQ","BEST_FPERIOD_OVERRIDE=FQ","FILING_STATUS=OR","EQY_CONSOLIDATED=Y","Sort=A","Dates=H","DateFormat=P","Fill=—","Direction=H","UseDPDF=Y")</f>
        <v>#NAME?</v>
      </c>
      <c r="BM585" s="2" t="e">
        <f ca="1">_xll.BDH($C$578,"INVENTORY_SEQUENTIAL_GROWTH","FQ2 2015","FQ2 2015","Currency=INR","Period=FQ","BEST_FPERIOD_OVERRIDE=FQ","FILING_STATUS=OR","EQY_CONSOLIDATED=Y","Sort=A","Dates=H","DateFormat=P","Fill=—","Direction=H","UseDPDF=Y")</f>
        <v>#NAME?</v>
      </c>
      <c r="BN585" s="2" t="e">
        <f ca="1">_xll.BDH($C$578,"FIXED_ASSETS_SEQUENTIAL_GROWTH","FQ2 2015","FQ2 2015","Currency=INR","Period=FQ","BEST_FPERIOD_OVERRIDE=FQ","FILING_STATUS=OR","EQY_CONSOLIDATED=Y","Sort=A","Dates=H","DateFormat=P","Fill=—","Direction=H","UseDPDF=Y")</f>
        <v>#NAME?</v>
      </c>
      <c r="BO585" s="2" t="e">
        <f ca="1">_xll.BDH($C$578,"TOTAL_ASSETS_SEQUENTIAL_GROWTH","FQ2 2015","FQ2 2015","Currency=INR","Period=FQ","BEST_FPERIOD_OVERRIDE=FQ","FILING_STATUS=OR","EQY_CONSOLIDATED=Y","Sort=A","Dates=H","DateFormat=P","Fill=—","Direction=H","UseDPDF=Y")</f>
        <v>#NAME?</v>
      </c>
      <c r="BP585" s="2" t="e">
        <f ca="1">_xll.BDH($C$578,"MODIFIED_WORKING_CPTL_SEQ_GRWTH","FQ2 2015","FQ2 2015","Currency=INR","Period=FQ","BEST_FPERIOD_OVERRIDE=FQ","FILING_STATUS=OR","EQY_CONSOLIDATED=Y","Sort=A","Dates=H","DateFormat=P","Fill=—","Direction=H","UseDPDF=Y")</f>
        <v>#NAME?</v>
      </c>
      <c r="BQ585" s="2" t="e">
        <f ca="1">_xll.BDH($C$578,"WORKING_CAPITAL_SEQ_GROWTH","FQ2 2015","FQ2 2015","Currency=INR","Period=FQ","BEST_FPERIOD_OVERRIDE=FQ","FILING_STATUS=OR","EQY_CONSOLIDATED=Y","Sort=A","Dates=H","DateFormat=P","Fill=—","Direction=H","UseDPDF=Y")</f>
        <v>#NAME?</v>
      </c>
      <c r="BR585" s="2" t="e">
        <f ca="1">_xll.BDH($C$578,"ACCOUNTS_PAYABLE_SEQ_GROWTH","FQ2 2015","FQ2 2015","Currency=INR","Period=FQ","BEST_FPERIOD_OVERRIDE=FQ","FILING_STATUS=OR","EQY_CONSOLIDATED=Y","Sort=A","Dates=H","DateFormat=P","Fill=—","Direction=H","UseDPDF=Y")</f>
        <v>#NAME?</v>
      </c>
      <c r="BS585" s="2" t="e">
        <f ca="1">_xll.BDH($C$578,"ST_DEBT_SEQUENTIAL_GROWTH","FQ2 2015","FQ2 2015","Currency=INR","Period=FQ","BEST_FPERIOD_OVERRIDE=FQ","FILING_STATUS=OR","EQY_CONSOLIDATED=Y","Sort=A","Dates=H","DateFormat=P","Fill=—","Direction=H","UseDPDF=Y")</f>
        <v>#NAME?</v>
      </c>
      <c r="BT585" s="2" t="e">
        <f ca="1">_xll.BDH($C$578,"TOTAL_DEBT_SEQUENTIAL_GROWTH","FQ2 2015","FQ2 2015","Currency=INR","Period=FQ","BEST_FPERIOD_OVERRIDE=FQ","FILING_STATUS=OR","EQY_CONSOLIDATED=Y","Sort=A","Dates=H","DateFormat=P","Fill=—","Direction=H","UseDPDF=Y")</f>
        <v>#NAME?</v>
      </c>
      <c r="BU585" s="2" t="e">
        <f ca="1">_xll.BDH($C$578,"TOTAL_EQUITY_SEQUENTIAL_GROWTH","FQ2 2015","FQ2 2015","Currency=INR","Period=FQ","BEST_FPERIOD_OVERRIDE=FQ","FILING_STATUS=OR","EQY_CONSOLIDATED=Y","Sort=A","Dates=H","DateFormat=P","Fill=—","Direction=H","UseDPDF=Y")</f>
        <v>#NAME?</v>
      </c>
      <c r="BV585" s="2" t="e">
        <f ca="1">_xll.BDH($C$578,"TOTAL_CAPITAL_SEQUENTIAL_GROWTH","FQ2 2015","FQ2 2015","Currency=INR","Period=FQ","BEST_FPERIOD_OVERRIDE=FQ","FILING_STATUS=OR","EQY_CONSOLIDATED=Y","Sort=A","Dates=H","DateFormat=P","Fill=—","Direction=H","UseDPDF=Y")</f>
        <v>#NAME?</v>
      </c>
      <c r="BW585" s="2" t="e">
        <f ca="1">_xll.BDH($C$578,"BPS_SEQUENTIAL_GROWTH","FQ2 2015","FQ2 2015","Currency=INR","Period=FQ","BEST_FPERIOD_OVERRIDE=FQ","FILING_STATUS=OR","EQY_CONSOLIDATED=Y","Sort=A","Dates=H","DateFormat=P","Fill=—","Direction=H","UseDPDF=Y")</f>
        <v>#NAME?</v>
      </c>
      <c r="BX585" s="2" t="e">
        <f ca="1">_xll.BDH($C$578,"CFO_SEQUENTIAL_GROWTH","FQ2 2015","FQ2 2015","Currency=INR","Period=FQ","BEST_FPERIOD_OVERRIDE=FQ","FILING_STATUS=OR","EQY_CONSOLIDATED=Y","Sort=A","Dates=H","DateFormat=P","Fill=—","Direction=H","UseDPDF=Y")</f>
        <v>#NAME?</v>
      </c>
      <c r="BY585" s="3" t="e">
        <f ca="1">_xll.BDH($C$578,"SHORT_AND_LONG_TERM_DEBT","FQ2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585" s="3" t="e">
        <f ca="1">_xll.BDH($C$578,"BS_ST_BORROW","FQ2 2015","FQ2 2015","Currency=INR","Period=FQ","BEST_FPERIOD_OVERRIDE=FQ","FILING_STATUS=OR","EQY_CONSOLIDATED=Y","SCALING_FORMAT=MLN","Sort=A","Dates=H","DateFormat=P","Fill=—","Direction=H","UseDPDF=Y")</f>
        <v>#NAME?</v>
      </c>
      <c r="CA585" s="3" t="e">
        <f ca="1">_xll.BDH($C$578,"BS_LT_BORROW","FQ2 2015","FQ2 2015","Currency=INR","Period=FQ","BEST_FPERIOD_OVERRIDE=FQ","FILING_STATUS=OR","EQY_CONSOLIDATED=Y","SCALING_FORMAT=MLN","Sort=A","Dates=H","DateFormat=P","Fill=—","Direction=H","UseDPDF=Y")</f>
        <v>#NAME?</v>
      </c>
      <c r="CB585" s="2" t="e">
        <f ca="1">_xll.BDH($C$578,"TOT_DEBT_TO_EBITDA","FQ2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585" s="2" t="e">
        <f ca="1">_xll.BDH($C$578,"NET_DEBT_TO_EBITDA","FQ2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585" s="2" t="e">
        <f ca="1">_xll.BDH($C$578,"TOTAL_DEBT_TO_EBIT","FQ2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585" s="2" t="e">
        <f ca="1">_xll.BDH($C$578,"NET_DEBT_TO_EBIT","FQ2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585" s="2" t="e">
        <f ca="1">_xll.BDH($C$578,"EBITDA_TO_INTEREST_EXPN","FQ2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585" s="2" t="e">
        <f ca="1">_xll.BDH($C$578,"COM_EQY_TO_TOT_ASSET","FQ2 2015","FQ2 2015","Currency=INR","Period=FQ","BEST_FPERIOD_OVERRIDE=FQ","FILING_STATUS=OR","EQY_CONSOLIDATED=Y","Sort=A","Dates=H","DateFormat=P","Fill=—","Direction=H","UseDPDF=Y")</f>
        <v>#NAME?</v>
      </c>
      <c r="CH585" s="2" t="e">
        <f ca="1">_xll.BDH($C$578,"LT_DEBT_TO_TOT_EQY","FQ2 2015","FQ2 2015","Currency=INR","Period=FQ","BEST_FPERIOD_OVERRIDE=FQ","FILING_STATUS=OR","EQY_CONSOLIDATED=Y","Sort=A","Dates=H","DateFormat=P","Fill=—","Direction=H","UseDPDF=Y")</f>
        <v>#NAME?</v>
      </c>
      <c r="CI585" s="2" t="e">
        <f ca="1">_xll.BDH($C$578,"LT_DEBT_TO_TOT_CAP","FQ2 2015","FQ2 2015","Currency=INR","Period=FQ","BEST_FPERIOD_OVERRIDE=FQ","FILING_STATUS=OR","EQY_CONSOLIDATED=Y","Sort=A","Dates=H","DateFormat=P","Fill=—","Direction=H","UseDPDF=Y")</f>
        <v>#NAME?</v>
      </c>
      <c r="CJ585" s="2" t="e">
        <f ca="1">_xll.BDH($C$578,"LT_DEBT_TO_TOT_ASSET","FQ2 2015","FQ2 2015","Currency=INR","Period=FQ","BEST_FPERIOD_OVERRIDE=FQ","FILING_STATUS=OR","EQY_CONSOLIDATED=Y","Sort=A","Dates=H","DateFormat=P","Fill=—","Direction=H","UseDPDF=Y")</f>
        <v>#NAME?</v>
      </c>
      <c r="CK585" s="2" t="e">
        <f ca="1">_xll.BDH($C$578,"TOT_DEBT_TO_TOT_EQY","FQ2 2015","FQ2 2015","Currency=INR","Period=FQ","BEST_FPERIOD_OVERRIDE=FQ","FILING_STATUS=OR","EQY_CONSOLIDATED=Y","Sort=A","Dates=H","DateFormat=P","Fill=—","Direction=H","UseDPDF=Y")</f>
        <v>#NAME?</v>
      </c>
      <c r="CL585" s="2" t="e">
        <f ca="1">_xll.BDH($C$578,"TOT_DEBT_TO_TOT_CAP","FQ2 2015","FQ2 2015","Currency=INR","Period=FQ","BEST_FPERIOD_OVERRIDE=FQ","FILING_STATUS=OR","EQY_CONSOLIDATED=Y","Sort=A","Dates=H","DateFormat=P","Fill=—","Direction=H","UseDPDF=Y")</f>
        <v>#NAME?</v>
      </c>
      <c r="CM585" s="2" t="e">
        <f ca="1">_xll.BDH($C$578,"TOT_DEBT_TO_TOT_ASSET","FQ2 2015","FQ2 2015","Currency=INR","Period=FQ","BEST_FPERIOD_OVERRIDE=FQ","FILING_STATUS=OR","EQY_CONSOLIDATED=Y","Sort=A","Dates=H","DateFormat=P","Fill=—","Direction=H","UseDPDF=Y")</f>
        <v>#NAME?</v>
      </c>
      <c r="CN585" s="2" t="e">
        <f ca="1">_xll.BDH($C$578,"NET_DEBT_TO_SHRHLDR_EQTY","FQ2 2015","FQ2 2015","Currency=INR","Period=FQ","BEST_FPERIOD_OVERRIDE=FQ","FILING_STATUS=OR","EQY_CONSOLIDATED=Y","Sort=A","Dates=H","DateFormat=P","Fill=—","Direction=H","UseDPDF=Y")</f>
        <v>#NAME?</v>
      </c>
      <c r="CO585" s="2" t="e">
        <f ca="1">_xll.BDH($C$578,"NET_DEBT_%_CAPITAL","FQ2 2015","FQ2 2015","Currency=INR","Period=FQ","BEST_FPERIOD_OVERRIDE=FQ","FILING_STATUS=OR","EQY_CONSOLIDATED=Y","Sort=A","Dates=H","DateFormat=P","Fill=—","Direction=H","UseDPDF=Y")</f>
        <v>#NAME?</v>
      </c>
      <c r="CP585" s="3" t="e">
        <f ca="1">_xll.BDH($C$578,"EBITDA","FQ2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585" s="3" t="e">
        <f ca="1">_xll.BDH($C$578,"EBITDA_AFTER_CAPEX","FQ2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585" s="3" t="e">
        <f ca="1">_xll.BDH($C$578,"IS_OPER_INC","FQ2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585" s="2" t="e">
        <f ca="1">_xll.BDH($C$578,"CASH_RATIO","FQ2 2015","FQ2 2015","Currency=INR","Period=FQ","BEST_FPERIOD_OVERRIDE=FQ","FILING_STATUS=OR","EQY_CONSOLIDATED=Y","Sort=A","Dates=H","DateFormat=P","Fill=—","Direction=H","UseDPDF=Y")</f>
        <v>#NAME?</v>
      </c>
      <c r="CT585" s="2" t="e">
        <f ca="1">_xll.BDH($C$578,"CUR_RATIO","FQ2 2015","FQ2 2015","Currency=INR","Period=FQ","BEST_FPERIOD_OVERRIDE=FQ","FILING_STATUS=OR","EQY_CONSOLIDATED=Y","Sort=A","Dates=H","DateFormat=P","Fill=—","Direction=H","UseDPDF=Y")</f>
        <v>#NAME?</v>
      </c>
      <c r="CU585" s="2" t="e">
        <f ca="1">_xll.BDH($C$578,"QUICK_RATIO","FQ2 2015","FQ2 2015","Currency=INR","Period=FQ","BEST_FPERIOD_OVERRIDE=FQ","FILING_STATUS=OR","EQY_CONSOLIDATED=Y","Sort=A","Dates=H","DateFormat=P","Fill=—","Direction=H","UseDPDF=Y")</f>
        <v>#NAME?</v>
      </c>
      <c r="CV585" s="2" t="e">
        <f ca="1">_xll.BDH($C$578,"ALTMAN_Z_SCORE","FQ2 2015","FQ2 2015","Currency=INR","Period=FQ","BEST_FPERIOD_OVERRIDE=FQ","FILING_STATUS=OR","EQY_CONSOLIDATED=Y","Sort=A","Dates=H","DateFormat=P","Fill=—","Direction=H","UseDPDF=Y")</f>
        <v>#NAME?</v>
      </c>
      <c r="CW585" s="4" t="e">
        <f ca="1">_xll.BDH($C$578,"ACCT_RCV_TURN","FQ2 2015","FQ2 2015","Currency=INR","Period=FQ","BEST_FPERIOD_OVERRIDE=FQ","FILING_STATUS=OR","EQY_CONSOLIDATED=Y","FA_ADJUSTED=GAAP","Sort=A","Dates=H","DateFormat=P","Fill=—","Direction=H","UseDPDF=Y")</f>
        <v>#NAME?</v>
      </c>
      <c r="CX585" s="2" t="e">
        <f ca="1">_xll.BDH($C$578,"ACCT_RCV_DAYS","FQ2 2015","FQ2 2015","Currency=INR","Period=FQ","BEST_FPERIOD_OVERRIDE=FQ","FILING_STATUS=OR","EQY_CONSOLIDATED=Y","FA_ADJUSTED=GAAP","Sort=A","Dates=H","DateFormat=P","Fill=—","Direction=H","UseDPDF=Y")</f>
        <v>#NAME?</v>
      </c>
      <c r="CY585" s="4" t="e">
        <f ca="1">_xll.BDH($C$578,"INVENT_TURN","FQ2 2015","FQ2 2015","Currency=INR","Period=FQ","BEST_FPERIOD_OVERRIDE=FQ","FILING_STATUS=OR","EQY_CONSOLIDATED=Y","FA_ADJUSTED=GAAP","Sort=A","Dates=H","DateFormat=P","Fill=—","Direction=H","UseDPDF=Y")</f>
        <v>#NAME?</v>
      </c>
      <c r="CZ585" s="2" t="e">
        <f ca="1">_xll.BDH($C$578,"INVENT_DAYS","FQ2 2015","FQ2 2015","Currency=INR","Period=FQ","BEST_FPERIOD_OVERRIDE=FQ","FILING_STATUS=OR","EQY_CONSOLIDATED=Y","FA_ADJUSTED=GAAP","Sort=A","Dates=H","DateFormat=P","Fill=—","Direction=H","UseDPDF=Y")</f>
        <v>#NAME?</v>
      </c>
      <c r="DA585" s="4" t="e">
        <f ca="1">_xll.BDH($C$578,"ACCOUNTS_PAYABLE_TURNOVER","FQ2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585" s="2" t="e">
        <f ca="1">_xll.BDH($C$578,"ACCOUNTS_PAYABLE_TURNOVER_DAYS","FQ2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585" s="4" t="e">
        <f ca="1">_xll.BDH($C$578,"CASH_CONVERSION_CYCLE","FQ2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585" s="4" t="e">
        <f ca="1">_xll.BDH($C$578,"INV_TO_CASH_DAYS","FQ2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585" s="5" t="e">
        <f ca="1">_xll.BDH($C$578,"BS_INVENTORIES","FQ2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585" s="3" t="e">
        <f ca="1">_xll.BDH($C$578,"INVTRY_RAW_MATERIALS","FQ2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585" s="3" t="e">
        <f ca="1">_xll.BDH($C$578,"INVTRY_IN_PROGRESS","FQ2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585" s="3" t="e">
        <f ca="1">_xll.BDH($C$578,"INVTRY_FINISHED_GOODS","FQ2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585" s="3" t="e">
        <f ca="1">_xll.BDH($C$578,"BS_OTHER_INV","FQ2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586" spans="1:113" x14ac:dyDescent="0.3">
      <c r="A586" s="6"/>
      <c r="B586" s="6"/>
      <c r="C586" s="6"/>
      <c r="D586" s="6"/>
      <c r="E586" t="s">
        <v>80</v>
      </c>
      <c r="F586" t="e">
        <f ca="1">_xll.BDH($C$578,"RETURN_COM_EQY","FQ3 2015","FQ3 2015","Currency=INR","Period=FQ","BEST_FPERIOD_OVERRIDE=FQ","FILING_STATUS=OR","EQY_CONSOLIDATED=Y","FA_ADJUSTED=GAAP","Sort=A","Dates=H","DateFormat=P","Fill=—","Direction=H","UseDPDF=Y")</f>
        <v>#NAME?</v>
      </c>
      <c r="G586" t="e">
        <f ca="1">_xll.BDH($C$578,"RETURN_ON_ASSET","FQ3 2015","FQ3 2015","Currency=INR","Period=FQ","BEST_FPERIOD_OVERRIDE=FQ","FILING_STATUS=OR","EQY_CONSOLIDATED=Y","FA_ADJUSTED=GAAP","Sort=A","Dates=H","DateFormat=P","Fill=—","Direction=H","UseDPDF=Y")</f>
        <v>#NAME?</v>
      </c>
      <c r="H586" t="e">
        <f ca="1">_xll.BDH($C$578,"RETURN_ON_CAP","FQ3 2015","FQ3 2015","Currency=INR","Period=FQ","BEST_FPERIOD_OVERRIDE=FQ","FILING_STATUS=OR","EQY_CONSOLIDATED=Y","FA_ADJUSTED=GAAP","Sort=A","Dates=H","DateFormat=P","Fill=—","Direction=H","UseDPDF=Y")</f>
        <v>#NAME?</v>
      </c>
      <c r="I586" t="e">
        <f ca="1">_xll.BDH($C$578,"RETURN_ON_INV_CAPITAL","FQ3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586" t="e">
        <f ca="1">_xll.BDH($C$578,"EBITDA_TO_REVENUE","FQ3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586" t="e">
        <f ca="1">_xll.BDH($C$578,"OPER_MARGIN","FQ3 2015","FQ3 2015","Currency=INR","Period=FQ","BEST_FPERIOD_OVERRIDE=FQ","FILING_STATUS=OR","EQY_CONSOLIDATED=Y","FA_ADJUSTED=GAAP","Sort=A","Dates=H","DateFormat=P","Fill=—","Direction=H","UseDPDF=Y")</f>
        <v>#NAME?</v>
      </c>
      <c r="L586" t="e">
        <f ca="1">_xll.BDH($C$578,"INCREMENTAL_OPERATING_MARGIN","FQ3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586" t="e">
        <f ca="1">_xll.BDH($C$578,"PRETAX_INC_TO_NET_SALES","FQ3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586" t="e">
        <f ca="1">_xll.BDH($C$578,"INC_BEF_XO_ITEMS_TO_NET_SALES","FQ3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586" t="e">
        <f ca="1">_xll.BDH($C$578,"PROF_MARGIN","FQ3 2015","FQ3 2015","Currency=INR","Period=FQ","BEST_FPERIOD_OVERRIDE=FQ","FILING_STATUS=OR","EQY_CONSOLIDATED=Y","FA_ADJUSTED=GAAP","Sort=A","Dates=H","DateFormat=P","Fill=—","Direction=H","UseDPDF=Y")</f>
        <v>#NAME?</v>
      </c>
      <c r="P586" t="e">
        <f ca="1">_xll.BDH($C$578,"NET_INCOME_TO_COMMON_MARGIN","FQ3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586" t="e">
        <f ca="1">_xll.BDH($C$578,"EFF_TAX_RATE","FQ3 2015","FQ3 2015","Currency=INR","Period=FQ","BEST_FPERIOD_OVERRIDE=FQ","FILING_STATUS=OR","EQY_CONSOLIDATED=Y","FA_ADJUSTED=GAAP","Sort=A","Dates=H","DateFormat=P","Fill=—","Direction=H","UseDPDF=Y")</f>
        <v>#NAME?</v>
      </c>
      <c r="R586" t="e">
        <f ca="1">_xll.BDH($C$578,"DVD_PAYOUT_RATIO","FQ3 2015","FQ3 2015","Currency=INR","Period=FQ","BEST_FPERIOD_OVERRIDE=FQ","FILING_STATUS=OR","EQY_CONSOLIDATED=Y","FA_ADJUSTED=GAAP","Sort=A","Dates=H","DateFormat=P","Fill=—","Direction=H","UseDPDF=Y")</f>
        <v>#NAME?</v>
      </c>
      <c r="S586" t="e">
        <f ca="1">_xll.BDH($C$578,"SUSTAIN_GROWTH_RT","FQ3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586" s="2" t="e">
        <f ca="1">_xll.BDH($C$578,"SALES_GROWTH","FQ3 2015","FQ3 2015","Currency=INR","Period=FQ","BEST_FPERIOD_OVERRIDE=FQ","FILING_STATUS=OR","EQY_CONSOLIDATED=Y","FA_ADJUSTED=GAAP","Sort=A","Dates=H","DateFormat=P","Fill=—","Direction=H","UseDPDF=Y")</f>
        <v>#NAME?</v>
      </c>
      <c r="U586" s="2" t="e">
        <f ca="1">_xll.BDH($C$578,"EBITDA_GROWTH","FQ3 2015","FQ3 2015","Currency=INR","Period=FQ","BEST_FPERIOD_OVERRIDE=FQ","FILING_STATUS=OR","EQY_CONSOLIDATED=Y","FA_ADJUSTED=GAAP","Sort=A","Dates=H","DateFormat=P","Fill=—","Direction=H","UseDPDF=Y")</f>
        <v>#NAME?</v>
      </c>
      <c r="V586" s="2" t="e">
        <f ca="1">_xll.BDH($C$578,"OPER_INC_GROWTH","FQ3 2015","FQ3 2015","Currency=INR","Period=FQ","BEST_FPERIOD_OVERRIDE=FQ","FILING_STATUS=OR","EQY_CONSOLIDATED=Y","FA_ADJUSTED=GAAP","Sort=A","Dates=H","DateFormat=P","Fill=—","Direction=H","UseDPDF=Y")</f>
        <v>#NAME?</v>
      </c>
      <c r="W586" s="2" t="e">
        <f ca="1">_xll.BDH($C$578,"EARN_FOR_COM_GROWTH","FQ3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586" s="2" t="e">
        <f ca="1">_xll.BDH($C$578,"DILUTED_EPS_AFT_XO_ITEMS_GROWTH","FQ3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586" s="2" t="e">
        <f ca="1">_xll.BDH($C$578,"DIVIDEND_PER_SHARE_1_YEAR_GROWTH","FQ3 2015","FQ3 2015","Currency=INR","Period=FQ","BEST_FPERIOD_OVERRIDE=FQ","FILING_STATUS=OR","EQY_CONSOLIDATED=Y","Sort=A","Dates=H","DateFormat=P","Fill=—","Direction=H","UseDPDF=Y")</f>
        <v>#NAME?</v>
      </c>
      <c r="Z586" s="2" t="e">
        <f ca="1">_xll.BDH($C$578,"ACCOUNTS_RECEIVABLE_GROWTH","FQ3 2015","FQ3 2015","Currency=INR","Period=FQ","BEST_FPERIOD_OVERRIDE=FQ","FILING_STATUS=OR","EQY_CONSOLIDATED=Y","Sort=A","Dates=H","DateFormat=P","Fill=—","Direction=H","UseDPDF=Y")</f>
        <v>#NAME?</v>
      </c>
      <c r="AA586" s="2" t="e">
        <f ca="1">_xll.BDH($C$578,"INVENTORY_GROWTH","FQ3 2015","FQ3 2015","Currency=INR","Period=FQ","BEST_FPERIOD_OVERRIDE=FQ","FILING_STATUS=OR","EQY_CONSOLIDATED=Y","Sort=A","Dates=H","DateFormat=P","Fill=—","Direction=H","UseDPDF=Y")</f>
        <v>#NAME?</v>
      </c>
      <c r="AB586" s="2" t="e">
        <f ca="1">_xll.BDH($C$578,"NET_FIXED_ASSETS_1_YEAR_GROWTH","FQ3 2015","FQ3 2015","Currency=INR","Period=FQ","BEST_FPERIOD_OVERRIDE=FQ","FILING_STATUS=OR","EQY_CONSOLIDATED=Y","Sort=A","Dates=H","DateFormat=P","Fill=—","Direction=H","UseDPDF=Y")</f>
        <v>#NAME?</v>
      </c>
      <c r="AC586" s="2" t="e">
        <f ca="1">_xll.BDH($C$578,"ASSET_GROWTH","FQ3 2015","FQ3 2015","Currency=INR","Period=FQ","BEST_FPERIOD_OVERRIDE=FQ","FILING_STATUS=OR","EQY_CONSOLIDATED=Y","Sort=A","Dates=H","DateFormat=P","Fill=—","Direction=H","UseDPDF=Y")</f>
        <v>#NAME?</v>
      </c>
      <c r="AD586" s="2" t="e">
        <f ca="1">_xll.BDH($C$578,"MODIFIED_WORK_CAP_GROWTH","FQ3 2015","FQ3 2015","Currency=INR","Period=FQ","BEST_FPERIOD_OVERRIDE=FQ","FILING_STATUS=OR","EQY_CONSOLIDATED=Y","Sort=A","Dates=H","DateFormat=P","Fill=—","Direction=H","UseDPDF=Y")</f>
        <v>#NAME?</v>
      </c>
      <c r="AE586" s="2" t="e">
        <f ca="1">_xll.BDH($C$578,"WORK_CAP_GROWTH","FQ3 2015","FQ3 2015","Currency=INR","Period=FQ","BEST_FPERIOD_OVERRIDE=FQ","FILING_STATUS=OR","EQY_CONSOLIDATED=Y","Sort=A","Dates=H","DateFormat=P","Fill=—","Direction=H","UseDPDF=Y")</f>
        <v>#NAME?</v>
      </c>
      <c r="AF586" s="2" t="e">
        <f ca="1">_xll.BDH($C$578,"ACCOUNTS_PAYABLE_GROWTH_1YR","FQ3 2015","FQ3 2015","Currency=INR","Period=FQ","BEST_FPERIOD_OVERRIDE=FQ","FILING_STATUS=OR","EQY_CONSOLIDATED=Y","Sort=A","Dates=H","DateFormat=P","Fill=—","Direction=H","UseDPDF=Y")</f>
        <v>#NAME?</v>
      </c>
      <c r="AG586" s="2" t="e">
        <f ca="1">_xll.BDH($C$578,"SHORT_TERM_DEBT_1_YEAR_GROWTH","FQ3 2015","FQ3 2015","Currency=INR","Period=FQ","BEST_FPERIOD_OVERRIDE=FQ","FILING_STATUS=OR","EQY_CONSOLIDATED=Y","Sort=A","Dates=H","DateFormat=P","Fill=—","Direction=H","UseDPDF=Y")</f>
        <v>#NAME?</v>
      </c>
      <c r="AH586" s="2" t="e">
        <f ca="1">_xll.BDH($C$578,"TOTAL_DEBT_1_YEAR_GROWTH","FQ3 2015","FQ3 2015","Currency=INR","Period=FQ","BEST_FPERIOD_OVERRIDE=FQ","FILING_STATUS=OR","EQY_CONSOLIDATED=Y","Sort=A","Dates=H","DateFormat=P","Fill=—","Direction=H","UseDPDF=Y")</f>
        <v>#NAME?</v>
      </c>
      <c r="AI586" s="2" t="e">
        <f ca="1">_xll.BDH($C$578,"TOTAL_EQUITY_1_YEAR_GROWTH","FQ3 2015","FQ3 2015","Currency=INR","Period=FQ","BEST_FPERIOD_OVERRIDE=FQ","FILING_STATUS=OR","EQY_CONSOLIDATED=Y","Sort=A","Dates=H","DateFormat=P","Fill=—","Direction=H","UseDPDF=Y")</f>
        <v>#NAME?</v>
      </c>
      <c r="AJ586" s="2" t="e">
        <f ca="1">_xll.BDH($C$578,"GROWTH_IN_CAP","FQ3 2015","FQ3 2015","Currency=INR","Period=FQ","BEST_FPERIOD_OVERRIDE=FQ","FILING_STATUS=OR","EQY_CONSOLIDATED=Y","Sort=A","Dates=H","DateFormat=P","Fill=—","Direction=H","UseDPDF=Y")</f>
        <v>#NAME?</v>
      </c>
      <c r="AK586" s="2" t="e">
        <f ca="1">_xll.BDH($C$578,"BVPS_GROWTH","FQ3 2015","FQ3 2015","Currency=INR","Period=FQ","BEST_FPERIOD_OVERRIDE=FQ","FILING_STATUS=OR","EQY_CONSOLIDATED=Y","Sort=A","Dates=H","DateFormat=P","Fill=—","Direction=H","UseDPDF=Y")</f>
        <v>#NAME?</v>
      </c>
      <c r="AL586" s="2" t="e">
        <f ca="1">_xll.BDH($C$578,"CASH_FLOW_GROWTH","FQ3 2015","FQ3 2015","Currency=INR","Period=FQ","BEST_FPERIOD_OVERRIDE=FQ","FILING_STATUS=OR","EQY_CONSOLIDATED=Y","Sort=A","Dates=H","DateFormat=P","Fill=—","Direction=H","UseDPDF=Y")</f>
        <v>#NAME?</v>
      </c>
      <c r="AM586" s="2" t="e">
        <f ca="1">_xll.BDH($C$578,"GEO_GROW_NET_SALES","FQ3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586" s="2" t="e">
        <f ca="1">_xll.BDH($C$578,"GEO_GROW_EBITDA","FQ3 2015","FQ3 2015","Currency=INR","Period=FQ","BEST_FPERIOD_OVERRIDE=FQ","FILING_STATUS=OR","EQY_CONSOLIDATED=Y","FA_ADJUSTED=GAAP","Sort=A","Dates=H","DateFormat=P","Fill=—","Direction=H","UseDPDF=Y")</f>
        <v>#NAME?</v>
      </c>
      <c r="AO586" s="2" t="e">
        <f ca="1">_xll.BDH($C$578,"GEO_GROW_OPER_INC","FQ3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586" s="2" t="e">
        <f ca="1">_xll.BDH($C$578,"NET_INCOME_TO_COMMON_5_YR_GROWTH","FQ3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586" s="2" t="e">
        <f ca="1">_xll.BDH($C$578,"5Y_GEO_GROWTH_DILUTED_EPS","FQ3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586" s="2" t="e">
        <f ca="1">_xll.BDH($C$578,"GEO_GROW_DVD_PER_SH","FQ3 2015","FQ3 2015","Currency=INR","Period=FQ","BEST_FPERIOD_OVERRIDE=FQ","FILING_STATUS=OR","EQY_CONSOLIDATED=Y","Sort=A","Dates=H","DateFormat=P","Fill=—","Direction=H","UseDPDF=Y")</f>
        <v>#NAME?</v>
      </c>
      <c r="AS586" s="2" t="e">
        <f ca="1">_xll.BDH($C$578,"ACCOUNTS_RECEIVABLE_5_YR_GROWTH","FQ3 2015","FQ3 2015","Currency=INR","Period=FQ","BEST_FPERIOD_OVERRIDE=FQ","FILING_STATUS=OR","EQY_CONSOLIDATED=Y","Sort=A","Dates=H","DateFormat=P","Fill=—","Direction=H","UseDPDF=Y")</f>
        <v>#NAME?</v>
      </c>
      <c r="AT586" s="2" t="e">
        <f ca="1">_xll.BDH($C$578,"INVENTORY_5_YEAR_GROWTH","FQ3 2015","FQ3 2015","Currency=INR","Period=FQ","BEST_FPERIOD_OVERRIDE=FQ","FILING_STATUS=OR","EQY_CONSOLIDATED=Y","Sort=A","Dates=H","DateFormat=P","Fill=—","Direction=H","UseDPDF=Y")</f>
        <v>#NAME?</v>
      </c>
      <c r="AU586" s="2" t="e">
        <f ca="1">_xll.BDH($C$578,"NET_FIXED_ASSETS_5_YEAR_GROWTH","FQ3 2015","FQ3 2015","Currency=INR","Period=FQ","BEST_FPERIOD_OVERRIDE=FQ","FILING_STATUS=OR","EQY_CONSOLIDATED=Y","Sort=A","Dates=H","DateFormat=P","Fill=—","Direction=H","UseDPDF=Y")</f>
        <v>#NAME?</v>
      </c>
      <c r="AV586" s="2" t="e">
        <f ca="1">_xll.BDH($C$578,"GEO_GROW_TOT_ASSET","FQ3 2015","FQ3 2015","Currency=INR","Period=FQ","BEST_FPERIOD_OVERRIDE=FQ","FILING_STATUS=OR","EQY_CONSOLIDATED=Y","Sort=A","Dates=H","DateFormat=P","Fill=—","Direction=H","UseDPDF=Y")</f>
        <v>#NAME?</v>
      </c>
      <c r="AW586" s="2" t="e">
        <f ca="1">_xll.BDH($C$578,"MODIFIED_WORKING_CPTL_5YR_GRWTH","FQ3 2015","FQ3 2015","Currency=INR","Period=FQ","BEST_FPERIOD_OVERRIDE=FQ","FILING_STATUS=OR","EQY_CONSOLIDATED=Y","Sort=A","Dates=H","DateFormat=P","Fill=—","Direction=H","UseDPDF=Y")</f>
        <v>#NAME?</v>
      </c>
      <c r="AX586" s="2" t="e">
        <f ca="1">_xll.BDH($C$578,"WORKING_CAPITAL_5_YEAR_GROWTH","FQ3 2015","FQ3 2015","Currency=INR","Period=FQ","BEST_FPERIOD_OVERRIDE=FQ","FILING_STATUS=OR","EQY_CONSOLIDATED=Y","Sort=A","Dates=H","DateFormat=P","Fill=—","Direction=H","UseDPDF=Y")</f>
        <v>#NAME?</v>
      </c>
      <c r="AY586" s="2" t="e">
        <f ca="1">_xll.BDH($C$578,"ACCOUNTS_PAYABLE_5_YEAR_GROWTH","FQ3 2015","FQ3 2015","Currency=INR","Period=FQ","BEST_FPERIOD_OVERRIDE=FQ","FILING_STATUS=OR","EQY_CONSOLIDATED=Y","Sort=A","Dates=H","DateFormat=P","Fill=—","Direction=H","UseDPDF=Y")</f>
        <v>#NAME?</v>
      </c>
      <c r="AZ586" s="2" t="e">
        <f ca="1">_xll.BDH($C$578,"SHORT_TERM_DEBT_5_YEAR_GROWTH","FQ3 2015","FQ3 2015","Currency=INR","Period=FQ","BEST_FPERIOD_OVERRIDE=FQ","FILING_STATUS=OR","EQY_CONSOLIDATED=Y","Sort=A","Dates=H","DateFormat=P","Fill=—","Direction=H","UseDPDF=Y")</f>
        <v>#NAME?</v>
      </c>
      <c r="BA586" s="2" t="e">
        <f ca="1">_xll.BDH($C$578,"TOTAL_DEBT_5_YEAR_GROWTH","FQ3 2015","FQ3 2015","Currency=INR","Period=FQ","BEST_FPERIOD_OVERRIDE=FQ","FILING_STATUS=OR","EQY_CONSOLIDATED=Y","Sort=A","Dates=H","DateFormat=P","Fill=—","Direction=H","UseDPDF=Y")</f>
        <v>#NAME?</v>
      </c>
      <c r="BB586" s="2" t="e">
        <f ca="1">_xll.BDH($C$578,"GEO_GROW_TOT_SHRHLDR_EQY","FQ3 2015","FQ3 2015","Currency=INR","Period=FQ","BEST_FPERIOD_OVERRIDE=FQ","FILING_STATUS=OR","EQY_CONSOLIDATED=Y","Sort=A","Dates=H","DateFormat=P","Fill=—","Direction=H","UseDPDF=Y")</f>
        <v>#NAME?</v>
      </c>
      <c r="BC586" s="2" t="e">
        <f ca="1">_xll.BDH($C$578,"TOTAL_CAPITAL_5_YEAR_GROWTH","FQ3 2015","FQ3 2015","Currency=INR","Period=FQ","BEST_FPERIOD_OVERRIDE=FQ","FILING_STATUS=OR","EQY_CONSOLIDATED=Y","Sort=A","Dates=H","DateFormat=P","Fill=—","Direction=H","UseDPDF=Y")</f>
        <v>#NAME?</v>
      </c>
      <c r="BD586" s="2" t="e">
        <f ca="1">_xll.BDH($C$578,"GEO_GROW_BOOK_VAL","FQ3 2015","FQ3 2015","Currency=INR","Period=FQ","BEST_FPERIOD_OVERRIDE=FQ","FILING_STATUS=OR","EQY_CONSOLIDATED=Y","Sort=A","Dates=H","DateFormat=P","Fill=—","Direction=H","UseDPDF=Y")</f>
        <v>#NAME?</v>
      </c>
      <c r="BE586" s="2" t="e">
        <f ca="1">_xll.BDH($C$578,"GEO_GROW_CASH_OPER_ACT","FQ3 2015","FQ3 2015","Currency=INR","Period=FQ","BEST_FPERIOD_OVERRIDE=FQ","FILING_STATUS=OR","EQY_CONSOLIDATED=Y","Sort=A","Dates=H","DateFormat=P","Fill=—","Direction=H","UseDPDF=Y")</f>
        <v>#NAME?</v>
      </c>
      <c r="BF586" s="2" t="e">
        <f ca="1">_xll.BDH($C$578,"REVENUE_SEQUENTIAL_GROWTH","FQ3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586" s="2" t="e">
        <f ca="1">_xll.BDH($C$578,"EBITDA_SEQUENTIAL_GROWTH","FQ3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586" s="2" t="e">
        <f ca="1">_xll.BDH($C$578,"OPERATING_INCOME_SEQ_GROWTH","FQ3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586" s="2" t="e">
        <f ca="1">_xll.BDH($C$578,"NET_INCOME_TO_COMMON_SEQ_GROWTH","FQ3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586" s="2" t="e">
        <f ca="1">_xll.BDH($C$578,"EPS_DILUTED_SEQUENTIAL_GROWTH","FQ3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586" s="2" t="e">
        <f ca="1">_xll.BDH($C$578,"DPS_SEQUENTIAL_GROWTH","FQ3 2015","FQ3 2015","Currency=INR","Period=FQ","BEST_FPERIOD_OVERRIDE=FQ","FILING_STATUS=OR","EQY_CONSOLIDATED=Y","Sort=A","Dates=H","DateFormat=P","Fill=—","Direction=H","UseDPDF=Y")</f>
        <v>#NAME?</v>
      </c>
      <c r="BL586" s="2" t="e">
        <f ca="1">_xll.BDH($C$578,"ACCOUNTS_RECEIVABLE_SEQ_GROWTH","FQ3 2015","FQ3 2015","Currency=INR","Period=FQ","BEST_FPERIOD_OVERRIDE=FQ","FILING_STATUS=OR","EQY_CONSOLIDATED=Y","Sort=A","Dates=H","DateFormat=P","Fill=—","Direction=H","UseDPDF=Y")</f>
        <v>#NAME?</v>
      </c>
      <c r="BM586" s="2" t="e">
        <f ca="1">_xll.BDH($C$578,"INVENTORY_SEQUENTIAL_GROWTH","FQ3 2015","FQ3 2015","Currency=INR","Period=FQ","BEST_FPERIOD_OVERRIDE=FQ","FILING_STATUS=OR","EQY_CONSOLIDATED=Y","Sort=A","Dates=H","DateFormat=P","Fill=—","Direction=H","UseDPDF=Y")</f>
        <v>#NAME?</v>
      </c>
      <c r="BN586" s="2" t="e">
        <f ca="1">_xll.BDH($C$578,"FIXED_ASSETS_SEQUENTIAL_GROWTH","FQ3 2015","FQ3 2015","Currency=INR","Period=FQ","BEST_FPERIOD_OVERRIDE=FQ","FILING_STATUS=OR","EQY_CONSOLIDATED=Y","Sort=A","Dates=H","DateFormat=P","Fill=—","Direction=H","UseDPDF=Y")</f>
        <v>#NAME?</v>
      </c>
      <c r="BO586" s="2" t="e">
        <f ca="1">_xll.BDH($C$578,"TOTAL_ASSETS_SEQUENTIAL_GROWTH","FQ3 2015","FQ3 2015","Currency=INR","Period=FQ","BEST_FPERIOD_OVERRIDE=FQ","FILING_STATUS=OR","EQY_CONSOLIDATED=Y","Sort=A","Dates=H","DateFormat=P","Fill=—","Direction=H","UseDPDF=Y")</f>
        <v>#NAME?</v>
      </c>
      <c r="BP586" s="2" t="e">
        <f ca="1">_xll.BDH($C$578,"MODIFIED_WORKING_CPTL_SEQ_GRWTH","FQ3 2015","FQ3 2015","Currency=INR","Period=FQ","BEST_FPERIOD_OVERRIDE=FQ","FILING_STATUS=OR","EQY_CONSOLIDATED=Y","Sort=A","Dates=H","DateFormat=P","Fill=—","Direction=H","UseDPDF=Y")</f>
        <v>#NAME?</v>
      </c>
      <c r="BQ586" s="2" t="e">
        <f ca="1">_xll.BDH($C$578,"WORKING_CAPITAL_SEQ_GROWTH","FQ3 2015","FQ3 2015","Currency=INR","Period=FQ","BEST_FPERIOD_OVERRIDE=FQ","FILING_STATUS=OR","EQY_CONSOLIDATED=Y","Sort=A","Dates=H","DateFormat=P","Fill=—","Direction=H","UseDPDF=Y")</f>
        <v>#NAME?</v>
      </c>
      <c r="BR586" s="2" t="e">
        <f ca="1">_xll.BDH($C$578,"ACCOUNTS_PAYABLE_SEQ_GROWTH","FQ3 2015","FQ3 2015","Currency=INR","Period=FQ","BEST_FPERIOD_OVERRIDE=FQ","FILING_STATUS=OR","EQY_CONSOLIDATED=Y","Sort=A","Dates=H","DateFormat=P","Fill=—","Direction=H","UseDPDF=Y")</f>
        <v>#NAME?</v>
      </c>
      <c r="BS586" s="2" t="e">
        <f ca="1">_xll.BDH($C$578,"ST_DEBT_SEQUENTIAL_GROWTH","FQ3 2015","FQ3 2015","Currency=INR","Period=FQ","BEST_FPERIOD_OVERRIDE=FQ","FILING_STATUS=OR","EQY_CONSOLIDATED=Y","Sort=A","Dates=H","DateFormat=P","Fill=—","Direction=H","UseDPDF=Y")</f>
        <v>#NAME?</v>
      </c>
      <c r="BT586" s="2" t="e">
        <f ca="1">_xll.BDH($C$578,"TOTAL_DEBT_SEQUENTIAL_GROWTH","FQ3 2015","FQ3 2015","Currency=INR","Period=FQ","BEST_FPERIOD_OVERRIDE=FQ","FILING_STATUS=OR","EQY_CONSOLIDATED=Y","Sort=A","Dates=H","DateFormat=P","Fill=—","Direction=H","UseDPDF=Y")</f>
        <v>#NAME?</v>
      </c>
      <c r="BU586" s="2" t="e">
        <f ca="1">_xll.BDH($C$578,"TOTAL_EQUITY_SEQUENTIAL_GROWTH","FQ3 2015","FQ3 2015","Currency=INR","Period=FQ","BEST_FPERIOD_OVERRIDE=FQ","FILING_STATUS=OR","EQY_CONSOLIDATED=Y","Sort=A","Dates=H","DateFormat=P","Fill=—","Direction=H","UseDPDF=Y")</f>
        <v>#NAME?</v>
      </c>
      <c r="BV586" s="2" t="e">
        <f ca="1">_xll.BDH($C$578,"TOTAL_CAPITAL_SEQUENTIAL_GROWTH","FQ3 2015","FQ3 2015","Currency=INR","Period=FQ","BEST_FPERIOD_OVERRIDE=FQ","FILING_STATUS=OR","EQY_CONSOLIDATED=Y","Sort=A","Dates=H","DateFormat=P","Fill=—","Direction=H","UseDPDF=Y")</f>
        <v>#NAME?</v>
      </c>
      <c r="BW586" s="2" t="e">
        <f ca="1">_xll.BDH($C$578,"BPS_SEQUENTIAL_GROWTH","FQ3 2015","FQ3 2015","Currency=INR","Period=FQ","BEST_FPERIOD_OVERRIDE=FQ","FILING_STATUS=OR","EQY_CONSOLIDATED=Y","Sort=A","Dates=H","DateFormat=P","Fill=—","Direction=H","UseDPDF=Y")</f>
        <v>#NAME?</v>
      </c>
      <c r="BX586" s="2" t="e">
        <f ca="1">_xll.BDH($C$578,"CFO_SEQUENTIAL_GROWTH","FQ3 2015","FQ3 2015","Currency=INR","Period=FQ","BEST_FPERIOD_OVERRIDE=FQ","FILING_STATUS=OR","EQY_CONSOLIDATED=Y","Sort=A","Dates=H","DateFormat=P","Fill=—","Direction=H","UseDPDF=Y")</f>
        <v>#NAME?</v>
      </c>
      <c r="BY586" s="3" t="e">
        <f ca="1">_xll.BDH($C$578,"SHORT_AND_LONG_TERM_DEBT","FQ3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586" s="3" t="e">
        <f ca="1">_xll.BDH($C$578,"BS_ST_BORROW","FQ3 2015","FQ3 2015","Currency=INR","Period=FQ","BEST_FPERIOD_OVERRIDE=FQ","FILING_STATUS=OR","EQY_CONSOLIDATED=Y","SCALING_FORMAT=MLN","Sort=A","Dates=H","DateFormat=P","Fill=—","Direction=H","UseDPDF=Y")</f>
        <v>#NAME?</v>
      </c>
      <c r="CA586" s="3" t="e">
        <f ca="1">_xll.BDH($C$578,"BS_LT_BORROW","FQ3 2015","FQ3 2015","Currency=INR","Period=FQ","BEST_FPERIOD_OVERRIDE=FQ","FILING_STATUS=OR","EQY_CONSOLIDATED=Y","SCALING_FORMAT=MLN","Sort=A","Dates=H","DateFormat=P","Fill=—","Direction=H","UseDPDF=Y")</f>
        <v>#NAME?</v>
      </c>
      <c r="CB586" s="2" t="e">
        <f ca="1">_xll.BDH($C$578,"TOT_DEBT_TO_EBITDA","FQ3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586" s="2" t="e">
        <f ca="1">_xll.BDH($C$578,"NET_DEBT_TO_EBITDA","FQ3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586" s="2" t="e">
        <f ca="1">_xll.BDH($C$578,"TOTAL_DEBT_TO_EBIT","FQ3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586" s="2" t="e">
        <f ca="1">_xll.BDH($C$578,"NET_DEBT_TO_EBIT","FQ3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586" s="2" t="e">
        <f ca="1">_xll.BDH($C$578,"EBITDA_TO_INTEREST_EXPN","FQ3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586" s="2" t="e">
        <f ca="1">_xll.BDH($C$578,"COM_EQY_TO_TOT_ASSET","FQ3 2015","FQ3 2015","Currency=INR","Period=FQ","BEST_FPERIOD_OVERRIDE=FQ","FILING_STATUS=OR","EQY_CONSOLIDATED=Y","Sort=A","Dates=H","DateFormat=P","Fill=—","Direction=H","UseDPDF=Y")</f>
        <v>#NAME?</v>
      </c>
      <c r="CH586" s="2" t="e">
        <f ca="1">_xll.BDH($C$578,"LT_DEBT_TO_TOT_EQY","FQ3 2015","FQ3 2015","Currency=INR","Period=FQ","BEST_FPERIOD_OVERRIDE=FQ","FILING_STATUS=OR","EQY_CONSOLIDATED=Y","Sort=A","Dates=H","DateFormat=P","Fill=—","Direction=H","UseDPDF=Y")</f>
        <v>#NAME?</v>
      </c>
      <c r="CI586" s="2" t="e">
        <f ca="1">_xll.BDH($C$578,"LT_DEBT_TO_TOT_CAP","FQ3 2015","FQ3 2015","Currency=INR","Period=FQ","BEST_FPERIOD_OVERRIDE=FQ","FILING_STATUS=OR","EQY_CONSOLIDATED=Y","Sort=A","Dates=H","DateFormat=P","Fill=—","Direction=H","UseDPDF=Y")</f>
        <v>#NAME?</v>
      </c>
      <c r="CJ586" s="2" t="e">
        <f ca="1">_xll.BDH($C$578,"LT_DEBT_TO_TOT_ASSET","FQ3 2015","FQ3 2015","Currency=INR","Period=FQ","BEST_FPERIOD_OVERRIDE=FQ","FILING_STATUS=OR","EQY_CONSOLIDATED=Y","Sort=A","Dates=H","DateFormat=P","Fill=—","Direction=H","UseDPDF=Y")</f>
        <v>#NAME?</v>
      </c>
      <c r="CK586" s="2" t="e">
        <f ca="1">_xll.BDH($C$578,"TOT_DEBT_TO_TOT_EQY","FQ3 2015","FQ3 2015","Currency=INR","Period=FQ","BEST_FPERIOD_OVERRIDE=FQ","FILING_STATUS=OR","EQY_CONSOLIDATED=Y","Sort=A","Dates=H","DateFormat=P","Fill=—","Direction=H","UseDPDF=Y")</f>
        <v>#NAME?</v>
      </c>
      <c r="CL586" s="2" t="e">
        <f ca="1">_xll.BDH($C$578,"TOT_DEBT_TO_TOT_CAP","FQ3 2015","FQ3 2015","Currency=INR","Period=FQ","BEST_FPERIOD_OVERRIDE=FQ","FILING_STATUS=OR","EQY_CONSOLIDATED=Y","Sort=A","Dates=H","DateFormat=P","Fill=—","Direction=H","UseDPDF=Y")</f>
        <v>#NAME?</v>
      </c>
      <c r="CM586" s="2" t="e">
        <f ca="1">_xll.BDH($C$578,"TOT_DEBT_TO_TOT_ASSET","FQ3 2015","FQ3 2015","Currency=INR","Period=FQ","BEST_FPERIOD_OVERRIDE=FQ","FILING_STATUS=OR","EQY_CONSOLIDATED=Y","Sort=A","Dates=H","DateFormat=P","Fill=—","Direction=H","UseDPDF=Y")</f>
        <v>#NAME?</v>
      </c>
      <c r="CN586" s="2" t="e">
        <f ca="1">_xll.BDH($C$578,"NET_DEBT_TO_SHRHLDR_EQTY","FQ3 2015","FQ3 2015","Currency=INR","Period=FQ","BEST_FPERIOD_OVERRIDE=FQ","FILING_STATUS=OR","EQY_CONSOLIDATED=Y","Sort=A","Dates=H","DateFormat=P","Fill=—","Direction=H","UseDPDF=Y")</f>
        <v>#NAME?</v>
      </c>
      <c r="CO586" s="2" t="e">
        <f ca="1">_xll.BDH($C$578,"NET_DEBT_%_CAPITAL","FQ3 2015","FQ3 2015","Currency=INR","Period=FQ","BEST_FPERIOD_OVERRIDE=FQ","FILING_STATUS=OR","EQY_CONSOLIDATED=Y","Sort=A","Dates=H","DateFormat=P","Fill=—","Direction=H","UseDPDF=Y")</f>
        <v>#NAME?</v>
      </c>
      <c r="CP586" s="3" t="e">
        <f ca="1">_xll.BDH($C$578,"EBITDA","FQ3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586" s="3" t="e">
        <f ca="1">_xll.BDH($C$578,"EBITDA_AFTER_CAPEX","FQ3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586" s="3" t="e">
        <f ca="1">_xll.BDH($C$578,"IS_OPER_INC","FQ3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586" s="2" t="e">
        <f ca="1">_xll.BDH($C$578,"CASH_RATIO","FQ3 2015","FQ3 2015","Currency=INR","Period=FQ","BEST_FPERIOD_OVERRIDE=FQ","FILING_STATUS=OR","EQY_CONSOLIDATED=Y","Sort=A","Dates=H","DateFormat=P","Fill=—","Direction=H","UseDPDF=Y")</f>
        <v>#NAME?</v>
      </c>
      <c r="CT586" s="2" t="e">
        <f ca="1">_xll.BDH($C$578,"CUR_RATIO","FQ3 2015","FQ3 2015","Currency=INR","Period=FQ","BEST_FPERIOD_OVERRIDE=FQ","FILING_STATUS=OR","EQY_CONSOLIDATED=Y","Sort=A","Dates=H","DateFormat=P","Fill=—","Direction=H","UseDPDF=Y")</f>
        <v>#NAME?</v>
      </c>
      <c r="CU586" s="2" t="e">
        <f ca="1">_xll.BDH($C$578,"QUICK_RATIO","FQ3 2015","FQ3 2015","Currency=INR","Period=FQ","BEST_FPERIOD_OVERRIDE=FQ","FILING_STATUS=OR","EQY_CONSOLIDATED=Y","Sort=A","Dates=H","DateFormat=P","Fill=—","Direction=H","UseDPDF=Y")</f>
        <v>#NAME?</v>
      </c>
      <c r="CV586" s="2" t="e">
        <f ca="1">_xll.BDH($C$578,"ALTMAN_Z_SCORE","FQ3 2015","FQ3 2015","Currency=INR","Period=FQ","BEST_FPERIOD_OVERRIDE=FQ","FILING_STATUS=OR","EQY_CONSOLIDATED=Y","Sort=A","Dates=H","DateFormat=P","Fill=—","Direction=H","UseDPDF=Y")</f>
        <v>#NAME?</v>
      </c>
      <c r="CW586" s="4" t="e">
        <f ca="1">_xll.BDH($C$578,"ACCT_RCV_TURN","FQ3 2015","FQ3 2015","Currency=INR","Period=FQ","BEST_FPERIOD_OVERRIDE=FQ","FILING_STATUS=OR","EQY_CONSOLIDATED=Y","FA_ADJUSTED=GAAP","Sort=A","Dates=H","DateFormat=P","Fill=—","Direction=H","UseDPDF=Y")</f>
        <v>#NAME?</v>
      </c>
      <c r="CX586" s="2" t="e">
        <f ca="1">_xll.BDH($C$578,"ACCT_RCV_DAYS","FQ3 2015","FQ3 2015","Currency=INR","Period=FQ","BEST_FPERIOD_OVERRIDE=FQ","FILING_STATUS=OR","EQY_CONSOLIDATED=Y","FA_ADJUSTED=GAAP","Sort=A","Dates=H","DateFormat=P","Fill=—","Direction=H","UseDPDF=Y")</f>
        <v>#NAME?</v>
      </c>
      <c r="CY586" s="4" t="e">
        <f ca="1">_xll.BDH($C$578,"INVENT_TURN","FQ3 2015","FQ3 2015","Currency=INR","Period=FQ","BEST_FPERIOD_OVERRIDE=FQ","FILING_STATUS=OR","EQY_CONSOLIDATED=Y","FA_ADJUSTED=GAAP","Sort=A","Dates=H","DateFormat=P","Fill=—","Direction=H","UseDPDF=Y")</f>
        <v>#NAME?</v>
      </c>
      <c r="CZ586" s="2" t="e">
        <f ca="1">_xll.BDH($C$578,"INVENT_DAYS","FQ3 2015","FQ3 2015","Currency=INR","Period=FQ","BEST_FPERIOD_OVERRIDE=FQ","FILING_STATUS=OR","EQY_CONSOLIDATED=Y","FA_ADJUSTED=GAAP","Sort=A","Dates=H","DateFormat=P","Fill=—","Direction=H","UseDPDF=Y")</f>
        <v>#NAME?</v>
      </c>
      <c r="DA586" s="4" t="e">
        <f ca="1">_xll.BDH($C$578,"ACCOUNTS_PAYABLE_TURNOVER","FQ3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586" s="2" t="e">
        <f ca="1">_xll.BDH($C$578,"ACCOUNTS_PAYABLE_TURNOVER_DAYS","FQ3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586" s="4" t="e">
        <f ca="1">_xll.BDH($C$578,"CASH_CONVERSION_CYCLE","FQ3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586" s="4" t="e">
        <f ca="1">_xll.BDH($C$578,"INV_TO_CASH_DAYS","FQ3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586" s="5" t="e">
        <f ca="1">_xll.BDH($C$578,"BS_INVENTORIES","FQ3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586" s="3" t="e">
        <f ca="1">_xll.BDH($C$578,"INVTRY_RAW_MATERIALS","FQ3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586" s="3" t="e">
        <f ca="1">_xll.BDH($C$578,"INVTRY_IN_PROGRESS","FQ3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586" s="3" t="e">
        <f ca="1">_xll.BDH($C$578,"INVTRY_FINISHED_GOODS","FQ3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586" s="3" t="e">
        <f ca="1">_xll.BDH($C$578,"BS_OTHER_INV","FQ3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587" spans="1:113" x14ac:dyDescent="0.3">
      <c r="A587" s="6"/>
      <c r="B587" s="6"/>
      <c r="C587" s="6"/>
      <c r="D587" s="6"/>
      <c r="E587" t="s">
        <v>81</v>
      </c>
      <c r="F587" t="e">
        <f ca="1">_xll.BDH($C$578,"RETURN_COM_EQY","FQ4 2015","FQ4 2015","Currency=INR","Period=FQ","BEST_FPERIOD_OVERRIDE=FQ","FILING_STATUS=OR","EQY_CONSOLIDATED=Y","FA_ADJUSTED=GAAP","Sort=A","Dates=H","DateFormat=P","Fill=—","Direction=H","UseDPDF=Y")</f>
        <v>#NAME?</v>
      </c>
      <c r="G587" t="e">
        <f ca="1">_xll.BDH($C$578,"RETURN_ON_ASSET","FQ4 2015","FQ4 2015","Currency=INR","Period=FQ","BEST_FPERIOD_OVERRIDE=FQ","FILING_STATUS=OR","EQY_CONSOLIDATED=Y","FA_ADJUSTED=GAAP","Sort=A","Dates=H","DateFormat=P","Fill=—","Direction=H","UseDPDF=Y")</f>
        <v>#NAME?</v>
      </c>
      <c r="H587" t="e">
        <f ca="1">_xll.BDH($C$578,"RETURN_ON_CAP","FQ4 2015","FQ4 2015","Currency=INR","Period=FQ","BEST_FPERIOD_OVERRIDE=FQ","FILING_STATUS=OR","EQY_CONSOLIDATED=Y","FA_ADJUSTED=GAAP","Sort=A","Dates=H","DateFormat=P","Fill=—","Direction=H","UseDPDF=Y")</f>
        <v>#NAME?</v>
      </c>
      <c r="I587" t="e">
        <f ca="1">_xll.BDH($C$578,"RETURN_ON_INV_CAPITAL","FQ4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587" t="e">
        <f ca="1">_xll.BDH($C$578,"EBITDA_TO_REVENUE","FQ4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587" t="e">
        <f ca="1">_xll.BDH($C$578,"OPER_MARGIN","FQ4 2015","FQ4 2015","Currency=INR","Period=FQ","BEST_FPERIOD_OVERRIDE=FQ","FILING_STATUS=OR","EQY_CONSOLIDATED=Y","FA_ADJUSTED=GAAP","Sort=A","Dates=H","DateFormat=P","Fill=—","Direction=H","UseDPDF=Y")</f>
        <v>#NAME?</v>
      </c>
      <c r="L587" t="e">
        <f ca="1">_xll.BDH($C$578,"INCREMENTAL_OPERATING_MARGIN","FQ4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587" t="e">
        <f ca="1">_xll.BDH($C$578,"PRETAX_INC_TO_NET_SALES","FQ4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587" t="e">
        <f ca="1">_xll.BDH($C$578,"INC_BEF_XO_ITEMS_TO_NET_SALES","FQ4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587" t="e">
        <f ca="1">_xll.BDH($C$578,"PROF_MARGIN","FQ4 2015","FQ4 2015","Currency=INR","Period=FQ","BEST_FPERIOD_OVERRIDE=FQ","FILING_STATUS=OR","EQY_CONSOLIDATED=Y","FA_ADJUSTED=GAAP","Sort=A","Dates=H","DateFormat=P","Fill=—","Direction=H","UseDPDF=Y")</f>
        <v>#NAME?</v>
      </c>
      <c r="P587" t="e">
        <f ca="1">_xll.BDH($C$578,"NET_INCOME_TO_COMMON_MARGIN","FQ4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587" t="e">
        <f ca="1">_xll.BDH($C$578,"EFF_TAX_RATE","FQ4 2015","FQ4 2015","Currency=INR","Period=FQ","BEST_FPERIOD_OVERRIDE=FQ","FILING_STATUS=OR","EQY_CONSOLIDATED=Y","FA_ADJUSTED=GAAP","Sort=A","Dates=H","DateFormat=P","Fill=—","Direction=H","UseDPDF=Y")</f>
        <v>#NAME?</v>
      </c>
      <c r="R587" t="e">
        <f ca="1">_xll.BDH($C$578,"DVD_PAYOUT_RATIO","FQ4 2015","FQ4 2015","Currency=INR","Period=FQ","BEST_FPERIOD_OVERRIDE=FQ","FILING_STATUS=OR","EQY_CONSOLIDATED=Y","FA_ADJUSTED=GAAP","Sort=A","Dates=H","DateFormat=P","Fill=—","Direction=H","UseDPDF=Y")</f>
        <v>#NAME?</v>
      </c>
      <c r="S587" t="e">
        <f ca="1">_xll.BDH($C$578,"SUSTAIN_GROWTH_RT","FQ4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587" s="2" t="e">
        <f ca="1">_xll.BDH($C$578,"SALES_GROWTH","FQ4 2015","FQ4 2015","Currency=INR","Period=FQ","BEST_FPERIOD_OVERRIDE=FQ","FILING_STATUS=OR","EQY_CONSOLIDATED=Y","FA_ADJUSTED=GAAP","Sort=A","Dates=H","DateFormat=P","Fill=—","Direction=H","UseDPDF=Y")</f>
        <v>#NAME?</v>
      </c>
      <c r="U587" s="2" t="e">
        <f ca="1">_xll.BDH($C$578,"EBITDA_GROWTH","FQ4 2015","FQ4 2015","Currency=INR","Period=FQ","BEST_FPERIOD_OVERRIDE=FQ","FILING_STATUS=OR","EQY_CONSOLIDATED=Y","FA_ADJUSTED=GAAP","Sort=A","Dates=H","DateFormat=P","Fill=—","Direction=H","UseDPDF=Y")</f>
        <v>#NAME?</v>
      </c>
      <c r="V587" s="2" t="e">
        <f ca="1">_xll.BDH($C$578,"OPER_INC_GROWTH","FQ4 2015","FQ4 2015","Currency=INR","Period=FQ","BEST_FPERIOD_OVERRIDE=FQ","FILING_STATUS=OR","EQY_CONSOLIDATED=Y","FA_ADJUSTED=GAAP","Sort=A","Dates=H","DateFormat=P","Fill=—","Direction=H","UseDPDF=Y")</f>
        <v>#NAME?</v>
      </c>
      <c r="W587" s="2" t="e">
        <f ca="1">_xll.BDH($C$578,"EARN_FOR_COM_GROWTH","FQ4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587" s="2" t="e">
        <f ca="1">_xll.BDH($C$578,"DILUTED_EPS_AFT_XO_ITEMS_GROWTH","FQ4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587" s="2" t="e">
        <f ca="1">_xll.BDH($C$578,"DIVIDEND_PER_SHARE_1_YEAR_GROWTH","FQ4 2015","FQ4 2015","Currency=INR","Period=FQ","BEST_FPERIOD_OVERRIDE=FQ","FILING_STATUS=OR","EQY_CONSOLIDATED=Y","Sort=A","Dates=H","DateFormat=P","Fill=—","Direction=H","UseDPDF=Y")</f>
        <v>#NAME?</v>
      </c>
      <c r="Z587" s="2" t="e">
        <f ca="1">_xll.BDH($C$578,"ACCOUNTS_RECEIVABLE_GROWTH","FQ4 2015","FQ4 2015","Currency=INR","Period=FQ","BEST_FPERIOD_OVERRIDE=FQ","FILING_STATUS=OR","EQY_CONSOLIDATED=Y","Sort=A","Dates=H","DateFormat=P","Fill=—","Direction=H","UseDPDF=Y")</f>
        <v>#NAME?</v>
      </c>
      <c r="AA587" s="2" t="e">
        <f ca="1">_xll.BDH($C$578,"INVENTORY_GROWTH","FQ4 2015","FQ4 2015","Currency=INR","Period=FQ","BEST_FPERIOD_OVERRIDE=FQ","FILING_STATUS=OR","EQY_CONSOLIDATED=Y","Sort=A","Dates=H","DateFormat=P","Fill=—","Direction=H","UseDPDF=Y")</f>
        <v>#NAME?</v>
      </c>
      <c r="AB587" s="2" t="e">
        <f ca="1">_xll.BDH($C$578,"NET_FIXED_ASSETS_1_YEAR_GROWTH","FQ4 2015","FQ4 2015","Currency=INR","Period=FQ","BEST_FPERIOD_OVERRIDE=FQ","FILING_STATUS=OR","EQY_CONSOLIDATED=Y","Sort=A","Dates=H","DateFormat=P","Fill=—","Direction=H","UseDPDF=Y")</f>
        <v>#NAME?</v>
      </c>
      <c r="AC587" s="2" t="e">
        <f ca="1">_xll.BDH($C$578,"ASSET_GROWTH","FQ4 2015","FQ4 2015","Currency=INR","Period=FQ","BEST_FPERIOD_OVERRIDE=FQ","FILING_STATUS=OR","EQY_CONSOLIDATED=Y","Sort=A","Dates=H","DateFormat=P","Fill=—","Direction=H","UseDPDF=Y")</f>
        <v>#NAME?</v>
      </c>
      <c r="AD587" s="2" t="e">
        <f ca="1">_xll.BDH($C$578,"MODIFIED_WORK_CAP_GROWTH","FQ4 2015","FQ4 2015","Currency=INR","Period=FQ","BEST_FPERIOD_OVERRIDE=FQ","FILING_STATUS=OR","EQY_CONSOLIDATED=Y","Sort=A","Dates=H","DateFormat=P","Fill=—","Direction=H","UseDPDF=Y")</f>
        <v>#NAME?</v>
      </c>
      <c r="AE587" s="2" t="e">
        <f ca="1">_xll.BDH($C$578,"WORK_CAP_GROWTH","FQ4 2015","FQ4 2015","Currency=INR","Period=FQ","BEST_FPERIOD_OVERRIDE=FQ","FILING_STATUS=OR","EQY_CONSOLIDATED=Y","Sort=A","Dates=H","DateFormat=P","Fill=—","Direction=H","UseDPDF=Y")</f>
        <v>#NAME?</v>
      </c>
      <c r="AF587" s="2" t="e">
        <f ca="1">_xll.BDH($C$578,"ACCOUNTS_PAYABLE_GROWTH_1YR","FQ4 2015","FQ4 2015","Currency=INR","Period=FQ","BEST_FPERIOD_OVERRIDE=FQ","FILING_STATUS=OR","EQY_CONSOLIDATED=Y","Sort=A","Dates=H","DateFormat=P","Fill=—","Direction=H","UseDPDF=Y")</f>
        <v>#NAME?</v>
      </c>
      <c r="AG587" s="2" t="e">
        <f ca="1">_xll.BDH($C$578,"SHORT_TERM_DEBT_1_YEAR_GROWTH","FQ4 2015","FQ4 2015","Currency=INR","Period=FQ","BEST_FPERIOD_OVERRIDE=FQ","FILING_STATUS=OR","EQY_CONSOLIDATED=Y","Sort=A","Dates=H","DateFormat=P","Fill=—","Direction=H","UseDPDF=Y")</f>
        <v>#NAME?</v>
      </c>
      <c r="AH587" s="2" t="e">
        <f ca="1">_xll.BDH($C$578,"TOTAL_DEBT_1_YEAR_GROWTH","FQ4 2015","FQ4 2015","Currency=INR","Period=FQ","BEST_FPERIOD_OVERRIDE=FQ","FILING_STATUS=OR","EQY_CONSOLIDATED=Y","Sort=A","Dates=H","DateFormat=P","Fill=—","Direction=H","UseDPDF=Y")</f>
        <v>#NAME?</v>
      </c>
      <c r="AI587" s="2" t="e">
        <f ca="1">_xll.BDH($C$578,"TOTAL_EQUITY_1_YEAR_GROWTH","FQ4 2015","FQ4 2015","Currency=INR","Period=FQ","BEST_FPERIOD_OVERRIDE=FQ","FILING_STATUS=OR","EQY_CONSOLIDATED=Y","Sort=A","Dates=H","DateFormat=P","Fill=—","Direction=H","UseDPDF=Y")</f>
        <v>#NAME?</v>
      </c>
      <c r="AJ587" s="2" t="e">
        <f ca="1">_xll.BDH($C$578,"GROWTH_IN_CAP","FQ4 2015","FQ4 2015","Currency=INR","Period=FQ","BEST_FPERIOD_OVERRIDE=FQ","FILING_STATUS=OR","EQY_CONSOLIDATED=Y","Sort=A","Dates=H","DateFormat=P","Fill=—","Direction=H","UseDPDF=Y")</f>
        <v>#NAME?</v>
      </c>
      <c r="AK587" s="2" t="e">
        <f ca="1">_xll.BDH($C$578,"BVPS_GROWTH","FQ4 2015","FQ4 2015","Currency=INR","Period=FQ","BEST_FPERIOD_OVERRIDE=FQ","FILING_STATUS=OR","EQY_CONSOLIDATED=Y","Sort=A","Dates=H","DateFormat=P","Fill=—","Direction=H","UseDPDF=Y")</f>
        <v>#NAME?</v>
      </c>
      <c r="AL587" s="2" t="e">
        <f ca="1">_xll.BDH($C$578,"CASH_FLOW_GROWTH","FQ4 2015","FQ4 2015","Currency=INR","Period=FQ","BEST_FPERIOD_OVERRIDE=FQ","FILING_STATUS=OR","EQY_CONSOLIDATED=Y","Sort=A","Dates=H","DateFormat=P","Fill=—","Direction=H","UseDPDF=Y")</f>
        <v>#NAME?</v>
      </c>
      <c r="AM587" s="2" t="e">
        <f ca="1">_xll.BDH($C$578,"GEO_GROW_NET_SALES","FQ4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587" s="2" t="e">
        <f ca="1">_xll.BDH($C$578,"GEO_GROW_EBITDA","FQ4 2015","FQ4 2015","Currency=INR","Period=FQ","BEST_FPERIOD_OVERRIDE=FQ","FILING_STATUS=OR","EQY_CONSOLIDATED=Y","FA_ADJUSTED=GAAP","Sort=A","Dates=H","DateFormat=P","Fill=—","Direction=H","UseDPDF=Y")</f>
        <v>#NAME?</v>
      </c>
      <c r="AO587" s="2" t="e">
        <f ca="1">_xll.BDH($C$578,"GEO_GROW_OPER_INC","FQ4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587" s="2" t="e">
        <f ca="1">_xll.BDH($C$578,"NET_INCOME_TO_COMMON_5_YR_GROWTH","FQ4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587" s="2" t="e">
        <f ca="1">_xll.BDH($C$578,"5Y_GEO_GROWTH_DILUTED_EPS","FQ4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587" s="2" t="e">
        <f ca="1">_xll.BDH($C$578,"GEO_GROW_DVD_PER_SH","FQ4 2015","FQ4 2015","Currency=INR","Period=FQ","BEST_FPERIOD_OVERRIDE=FQ","FILING_STATUS=OR","EQY_CONSOLIDATED=Y","Sort=A","Dates=H","DateFormat=P","Fill=—","Direction=H","UseDPDF=Y")</f>
        <v>#NAME?</v>
      </c>
      <c r="AS587" s="2" t="e">
        <f ca="1">_xll.BDH($C$578,"ACCOUNTS_RECEIVABLE_5_YR_GROWTH","FQ4 2015","FQ4 2015","Currency=INR","Period=FQ","BEST_FPERIOD_OVERRIDE=FQ","FILING_STATUS=OR","EQY_CONSOLIDATED=Y","Sort=A","Dates=H","DateFormat=P","Fill=—","Direction=H","UseDPDF=Y")</f>
        <v>#NAME?</v>
      </c>
      <c r="AT587" s="2" t="e">
        <f ca="1">_xll.BDH($C$578,"INVENTORY_5_YEAR_GROWTH","FQ4 2015","FQ4 2015","Currency=INR","Period=FQ","BEST_FPERIOD_OVERRIDE=FQ","FILING_STATUS=OR","EQY_CONSOLIDATED=Y","Sort=A","Dates=H","DateFormat=P","Fill=—","Direction=H","UseDPDF=Y")</f>
        <v>#NAME?</v>
      </c>
      <c r="AU587" s="2" t="e">
        <f ca="1">_xll.BDH($C$578,"NET_FIXED_ASSETS_5_YEAR_GROWTH","FQ4 2015","FQ4 2015","Currency=INR","Period=FQ","BEST_FPERIOD_OVERRIDE=FQ","FILING_STATUS=OR","EQY_CONSOLIDATED=Y","Sort=A","Dates=H","DateFormat=P","Fill=—","Direction=H","UseDPDF=Y")</f>
        <v>#NAME?</v>
      </c>
      <c r="AV587" s="2" t="e">
        <f ca="1">_xll.BDH($C$578,"GEO_GROW_TOT_ASSET","FQ4 2015","FQ4 2015","Currency=INR","Period=FQ","BEST_FPERIOD_OVERRIDE=FQ","FILING_STATUS=OR","EQY_CONSOLIDATED=Y","Sort=A","Dates=H","DateFormat=P","Fill=—","Direction=H","UseDPDF=Y")</f>
        <v>#NAME?</v>
      </c>
      <c r="AW587" s="2" t="e">
        <f ca="1">_xll.BDH($C$578,"MODIFIED_WORKING_CPTL_5YR_GRWTH","FQ4 2015","FQ4 2015","Currency=INR","Period=FQ","BEST_FPERIOD_OVERRIDE=FQ","FILING_STATUS=OR","EQY_CONSOLIDATED=Y","Sort=A","Dates=H","DateFormat=P","Fill=—","Direction=H","UseDPDF=Y")</f>
        <v>#NAME?</v>
      </c>
      <c r="AX587" s="2" t="e">
        <f ca="1">_xll.BDH($C$578,"WORKING_CAPITAL_5_YEAR_GROWTH","FQ4 2015","FQ4 2015","Currency=INR","Period=FQ","BEST_FPERIOD_OVERRIDE=FQ","FILING_STATUS=OR","EQY_CONSOLIDATED=Y","Sort=A","Dates=H","DateFormat=P","Fill=—","Direction=H","UseDPDF=Y")</f>
        <v>#NAME?</v>
      </c>
      <c r="AY587" s="2" t="e">
        <f ca="1">_xll.BDH($C$578,"ACCOUNTS_PAYABLE_5_YEAR_GROWTH","FQ4 2015","FQ4 2015","Currency=INR","Period=FQ","BEST_FPERIOD_OVERRIDE=FQ","FILING_STATUS=OR","EQY_CONSOLIDATED=Y","Sort=A","Dates=H","DateFormat=P","Fill=—","Direction=H","UseDPDF=Y")</f>
        <v>#NAME?</v>
      </c>
      <c r="AZ587" s="2" t="e">
        <f ca="1">_xll.BDH($C$578,"SHORT_TERM_DEBT_5_YEAR_GROWTH","FQ4 2015","FQ4 2015","Currency=INR","Period=FQ","BEST_FPERIOD_OVERRIDE=FQ","FILING_STATUS=OR","EQY_CONSOLIDATED=Y","Sort=A","Dates=H","DateFormat=P","Fill=—","Direction=H","UseDPDF=Y")</f>
        <v>#NAME?</v>
      </c>
      <c r="BA587" s="2" t="e">
        <f ca="1">_xll.BDH($C$578,"TOTAL_DEBT_5_YEAR_GROWTH","FQ4 2015","FQ4 2015","Currency=INR","Period=FQ","BEST_FPERIOD_OVERRIDE=FQ","FILING_STATUS=OR","EQY_CONSOLIDATED=Y","Sort=A","Dates=H","DateFormat=P","Fill=—","Direction=H","UseDPDF=Y")</f>
        <v>#NAME?</v>
      </c>
      <c r="BB587" s="2" t="e">
        <f ca="1">_xll.BDH($C$578,"GEO_GROW_TOT_SHRHLDR_EQY","FQ4 2015","FQ4 2015","Currency=INR","Period=FQ","BEST_FPERIOD_OVERRIDE=FQ","FILING_STATUS=OR","EQY_CONSOLIDATED=Y","Sort=A","Dates=H","DateFormat=P","Fill=—","Direction=H","UseDPDF=Y")</f>
        <v>#NAME?</v>
      </c>
      <c r="BC587" s="2" t="e">
        <f ca="1">_xll.BDH($C$578,"TOTAL_CAPITAL_5_YEAR_GROWTH","FQ4 2015","FQ4 2015","Currency=INR","Period=FQ","BEST_FPERIOD_OVERRIDE=FQ","FILING_STATUS=OR","EQY_CONSOLIDATED=Y","Sort=A","Dates=H","DateFormat=P","Fill=—","Direction=H","UseDPDF=Y")</f>
        <v>#NAME?</v>
      </c>
      <c r="BD587" s="2" t="e">
        <f ca="1">_xll.BDH($C$578,"GEO_GROW_BOOK_VAL","FQ4 2015","FQ4 2015","Currency=INR","Period=FQ","BEST_FPERIOD_OVERRIDE=FQ","FILING_STATUS=OR","EQY_CONSOLIDATED=Y","Sort=A","Dates=H","DateFormat=P","Fill=—","Direction=H","UseDPDF=Y")</f>
        <v>#NAME?</v>
      </c>
      <c r="BE587" s="2" t="e">
        <f ca="1">_xll.BDH($C$578,"GEO_GROW_CASH_OPER_ACT","FQ4 2015","FQ4 2015","Currency=INR","Period=FQ","BEST_FPERIOD_OVERRIDE=FQ","FILING_STATUS=OR","EQY_CONSOLIDATED=Y","Sort=A","Dates=H","DateFormat=P","Fill=—","Direction=H","UseDPDF=Y")</f>
        <v>#NAME?</v>
      </c>
      <c r="BF587" s="2" t="e">
        <f ca="1">_xll.BDH($C$578,"REVENUE_SEQUENTIAL_GROWTH","FQ4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587" s="2" t="e">
        <f ca="1">_xll.BDH($C$578,"EBITDA_SEQUENTIAL_GROWTH","FQ4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587" s="2" t="e">
        <f ca="1">_xll.BDH($C$578,"OPERATING_INCOME_SEQ_GROWTH","FQ4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587" s="2" t="e">
        <f ca="1">_xll.BDH($C$578,"NET_INCOME_TO_COMMON_SEQ_GROWTH","FQ4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587" s="2" t="e">
        <f ca="1">_xll.BDH($C$578,"EPS_DILUTED_SEQUENTIAL_GROWTH","FQ4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587" s="2" t="e">
        <f ca="1">_xll.BDH($C$578,"DPS_SEQUENTIAL_GROWTH","FQ4 2015","FQ4 2015","Currency=INR","Period=FQ","BEST_FPERIOD_OVERRIDE=FQ","FILING_STATUS=OR","EQY_CONSOLIDATED=Y","Sort=A","Dates=H","DateFormat=P","Fill=—","Direction=H","UseDPDF=Y")</f>
        <v>#NAME?</v>
      </c>
      <c r="BL587" s="2" t="e">
        <f ca="1">_xll.BDH($C$578,"ACCOUNTS_RECEIVABLE_SEQ_GROWTH","FQ4 2015","FQ4 2015","Currency=INR","Period=FQ","BEST_FPERIOD_OVERRIDE=FQ","FILING_STATUS=OR","EQY_CONSOLIDATED=Y","Sort=A","Dates=H","DateFormat=P","Fill=—","Direction=H","UseDPDF=Y")</f>
        <v>#NAME?</v>
      </c>
      <c r="BM587" s="2" t="e">
        <f ca="1">_xll.BDH($C$578,"INVENTORY_SEQUENTIAL_GROWTH","FQ4 2015","FQ4 2015","Currency=INR","Period=FQ","BEST_FPERIOD_OVERRIDE=FQ","FILING_STATUS=OR","EQY_CONSOLIDATED=Y","Sort=A","Dates=H","DateFormat=P","Fill=—","Direction=H","UseDPDF=Y")</f>
        <v>#NAME?</v>
      </c>
      <c r="BN587" s="2" t="e">
        <f ca="1">_xll.BDH($C$578,"FIXED_ASSETS_SEQUENTIAL_GROWTH","FQ4 2015","FQ4 2015","Currency=INR","Period=FQ","BEST_FPERIOD_OVERRIDE=FQ","FILING_STATUS=OR","EQY_CONSOLIDATED=Y","Sort=A","Dates=H","DateFormat=P","Fill=—","Direction=H","UseDPDF=Y")</f>
        <v>#NAME?</v>
      </c>
      <c r="BO587" s="2" t="e">
        <f ca="1">_xll.BDH($C$578,"TOTAL_ASSETS_SEQUENTIAL_GROWTH","FQ4 2015","FQ4 2015","Currency=INR","Period=FQ","BEST_FPERIOD_OVERRIDE=FQ","FILING_STATUS=OR","EQY_CONSOLIDATED=Y","Sort=A","Dates=H","DateFormat=P","Fill=—","Direction=H","UseDPDF=Y")</f>
        <v>#NAME?</v>
      </c>
      <c r="BP587" s="2" t="e">
        <f ca="1">_xll.BDH($C$578,"MODIFIED_WORKING_CPTL_SEQ_GRWTH","FQ4 2015","FQ4 2015","Currency=INR","Period=FQ","BEST_FPERIOD_OVERRIDE=FQ","FILING_STATUS=OR","EQY_CONSOLIDATED=Y","Sort=A","Dates=H","DateFormat=P","Fill=—","Direction=H","UseDPDF=Y")</f>
        <v>#NAME?</v>
      </c>
      <c r="BQ587" s="2" t="e">
        <f ca="1">_xll.BDH($C$578,"WORKING_CAPITAL_SEQ_GROWTH","FQ4 2015","FQ4 2015","Currency=INR","Period=FQ","BEST_FPERIOD_OVERRIDE=FQ","FILING_STATUS=OR","EQY_CONSOLIDATED=Y","Sort=A","Dates=H","DateFormat=P","Fill=—","Direction=H","UseDPDF=Y")</f>
        <v>#NAME?</v>
      </c>
      <c r="BR587" s="2" t="e">
        <f ca="1">_xll.BDH($C$578,"ACCOUNTS_PAYABLE_SEQ_GROWTH","FQ4 2015","FQ4 2015","Currency=INR","Period=FQ","BEST_FPERIOD_OVERRIDE=FQ","FILING_STATUS=OR","EQY_CONSOLIDATED=Y","Sort=A","Dates=H","DateFormat=P","Fill=—","Direction=H","UseDPDF=Y")</f>
        <v>#NAME?</v>
      </c>
      <c r="BS587" s="2" t="e">
        <f ca="1">_xll.BDH($C$578,"ST_DEBT_SEQUENTIAL_GROWTH","FQ4 2015","FQ4 2015","Currency=INR","Period=FQ","BEST_FPERIOD_OVERRIDE=FQ","FILING_STATUS=OR","EQY_CONSOLIDATED=Y","Sort=A","Dates=H","DateFormat=P","Fill=—","Direction=H","UseDPDF=Y")</f>
        <v>#NAME?</v>
      </c>
      <c r="BT587" s="2" t="e">
        <f ca="1">_xll.BDH($C$578,"TOTAL_DEBT_SEQUENTIAL_GROWTH","FQ4 2015","FQ4 2015","Currency=INR","Period=FQ","BEST_FPERIOD_OVERRIDE=FQ","FILING_STATUS=OR","EQY_CONSOLIDATED=Y","Sort=A","Dates=H","DateFormat=P","Fill=—","Direction=H","UseDPDF=Y")</f>
        <v>#NAME?</v>
      </c>
      <c r="BU587" s="2" t="e">
        <f ca="1">_xll.BDH($C$578,"TOTAL_EQUITY_SEQUENTIAL_GROWTH","FQ4 2015","FQ4 2015","Currency=INR","Period=FQ","BEST_FPERIOD_OVERRIDE=FQ","FILING_STATUS=OR","EQY_CONSOLIDATED=Y","Sort=A","Dates=H","DateFormat=P","Fill=—","Direction=H","UseDPDF=Y")</f>
        <v>#NAME?</v>
      </c>
      <c r="BV587" s="2" t="e">
        <f ca="1">_xll.BDH($C$578,"TOTAL_CAPITAL_SEQUENTIAL_GROWTH","FQ4 2015","FQ4 2015","Currency=INR","Period=FQ","BEST_FPERIOD_OVERRIDE=FQ","FILING_STATUS=OR","EQY_CONSOLIDATED=Y","Sort=A","Dates=H","DateFormat=P","Fill=—","Direction=H","UseDPDF=Y")</f>
        <v>#NAME?</v>
      </c>
      <c r="BW587" s="2" t="e">
        <f ca="1">_xll.BDH($C$578,"BPS_SEQUENTIAL_GROWTH","FQ4 2015","FQ4 2015","Currency=INR","Period=FQ","BEST_FPERIOD_OVERRIDE=FQ","FILING_STATUS=OR","EQY_CONSOLIDATED=Y","Sort=A","Dates=H","DateFormat=P","Fill=—","Direction=H","UseDPDF=Y")</f>
        <v>#NAME?</v>
      </c>
      <c r="BX587" s="2" t="e">
        <f ca="1">_xll.BDH($C$578,"CFO_SEQUENTIAL_GROWTH","FQ4 2015","FQ4 2015","Currency=INR","Period=FQ","BEST_FPERIOD_OVERRIDE=FQ","FILING_STATUS=OR","EQY_CONSOLIDATED=Y","Sort=A","Dates=H","DateFormat=P","Fill=—","Direction=H","UseDPDF=Y")</f>
        <v>#NAME?</v>
      </c>
      <c r="BY587" s="3" t="e">
        <f ca="1">_xll.BDH($C$578,"SHORT_AND_LONG_TERM_DEBT","FQ4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587" s="3" t="e">
        <f ca="1">_xll.BDH($C$578,"BS_ST_BORROW","FQ4 2015","FQ4 2015","Currency=INR","Period=FQ","BEST_FPERIOD_OVERRIDE=FQ","FILING_STATUS=OR","EQY_CONSOLIDATED=Y","SCALING_FORMAT=MLN","Sort=A","Dates=H","DateFormat=P","Fill=—","Direction=H","UseDPDF=Y")</f>
        <v>#NAME?</v>
      </c>
      <c r="CA587" s="3" t="e">
        <f ca="1">_xll.BDH($C$578,"BS_LT_BORROW","FQ4 2015","FQ4 2015","Currency=INR","Period=FQ","BEST_FPERIOD_OVERRIDE=FQ","FILING_STATUS=OR","EQY_CONSOLIDATED=Y","SCALING_FORMAT=MLN","Sort=A","Dates=H","DateFormat=P","Fill=—","Direction=H","UseDPDF=Y")</f>
        <v>#NAME?</v>
      </c>
      <c r="CB587" s="2" t="e">
        <f ca="1">_xll.BDH($C$578,"TOT_DEBT_TO_EBITDA","FQ4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587" s="2" t="e">
        <f ca="1">_xll.BDH($C$578,"NET_DEBT_TO_EBITDA","FQ4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587" s="2" t="e">
        <f ca="1">_xll.BDH($C$578,"TOTAL_DEBT_TO_EBIT","FQ4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587" s="2" t="e">
        <f ca="1">_xll.BDH($C$578,"NET_DEBT_TO_EBIT","FQ4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587" s="2" t="e">
        <f ca="1">_xll.BDH($C$578,"EBITDA_TO_INTEREST_EXPN","FQ4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587" s="2" t="e">
        <f ca="1">_xll.BDH($C$578,"COM_EQY_TO_TOT_ASSET","FQ4 2015","FQ4 2015","Currency=INR","Period=FQ","BEST_FPERIOD_OVERRIDE=FQ","FILING_STATUS=OR","EQY_CONSOLIDATED=Y","Sort=A","Dates=H","DateFormat=P","Fill=—","Direction=H","UseDPDF=Y")</f>
        <v>#NAME?</v>
      </c>
      <c r="CH587" s="2" t="e">
        <f ca="1">_xll.BDH($C$578,"LT_DEBT_TO_TOT_EQY","FQ4 2015","FQ4 2015","Currency=INR","Period=FQ","BEST_FPERIOD_OVERRIDE=FQ","FILING_STATUS=OR","EQY_CONSOLIDATED=Y","Sort=A","Dates=H","DateFormat=P","Fill=—","Direction=H","UseDPDF=Y")</f>
        <v>#NAME?</v>
      </c>
      <c r="CI587" s="2" t="e">
        <f ca="1">_xll.BDH($C$578,"LT_DEBT_TO_TOT_CAP","FQ4 2015","FQ4 2015","Currency=INR","Period=FQ","BEST_FPERIOD_OVERRIDE=FQ","FILING_STATUS=OR","EQY_CONSOLIDATED=Y","Sort=A","Dates=H","DateFormat=P","Fill=—","Direction=H","UseDPDF=Y")</f>
        <v>#NAME?</v>
      </c>
      <c r="CJ587" s="2" t="e">
        <f ca="1">_xll.BDH($C$578,"LT_DEBT_TO_TOT_ASSET","FQ4 2015","FQ4 2015","Currency=INR","Period=FQ","BEST_FPERIOD_OVERRIDE=FQ","FILING_STATUS=OR","EQY_CONSOLIDATED=Y","Sort=A","Dates=H","DateFormat=P","Fill=—","Direction=H","UseDPDF=Y")</f>
        <v>#NAME?</v>
      </c>
      <c r="CK587" s="2" t="e">
        <f ca="1">_xll.BDH($C$578,"TOT_DEBT_TO_TOT_EQY","FQ4 2015","FQ4 2015","Currency=INR","Period=FQ","BEST_FPERIOD_OVERRIDE=FQ","FILING_STATUS=OR","EQY_CONSOLIDATED=Y","Sort=A","Dates=H","DateFormat=P","Fill=—","Direction=H","UseDPDF=Y")</f>
        <v>#NAME?</v>
      </c>
      <c r="CL587" s="2" t="e">
        <f ca="1">_xll.BDH($C$578,"TOT_DEBT_TO_TOT_CAP","FQ4 2015","FQ4 2015","Currency=INR","Period=FQ","BEST_FPERIOD_OVERRIDE=FQ","FILING_STATUS=OR","EQY_CONSOLIDATED=Y","Sort=A","Dates=H","DateFormat=P","Fill=—","Direction=H","UseDPDF=Y")</f>
        <v>#NAME?</v>
      </c>
      <c r="CM587" s="2" t="e">
        <f ca="1">_xll.BDH($C$578,"TOT_DEBT_TO_TOT_ASSET","FQ4 2015","FQ4 2015","Currency=INR","Period=FQ","BEST_FPERIOD_OVERRIDE=FQ","FILING_STATUS=OR","EQY_CONSOLIDATED=Y","Sort=A","Dates=H","DateFormat=P","Fill=—","Direction=H","UseDPDF=Y")</f>
        <v>#NAME?</v>
      </c>
      <c r="CN587" s="2" t="e">
        <f ca="1">_xll.BDH($C$578,"NET_DEBT_TO_SHRHLDR_EQTY","FQ4 2015","FQ4 2015","Currency=INR","Period=FQ","BEST_FPERIOD_OVERRIDE=FQ","FILING_STATUS=OR","EQY_CONSOLIDATED=Y","Sort=A","Dates=H","DateFormat=P","Fill=—","Direction=H","UseDPDF=Y")</f>
        <v>#NAME?</v>
      </c>
      <c r="CO587" s="2" t="e">
        <f ca="1">_xll.BDH($C$578,"NET_DEBT_%_CAPITAL","FQ4 2015","FQ4 2015","Currency=INR","Period=FQ","BEST_FPERIOD_OVERRIDE=FQ","FILING_STATUS=OR","EQY_CONSOLIDATED=Y","Sort=A","Dates=H","DateFormat=P","Fill=—","Direction=H","UseDPDF=Y")</f>
        <v>#NAME?</v>
      </c>
      <c r="CP587" s="3" t="e">
        <f ca="1">_xll.BDH($C$578,"EBITDA","FQ4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587" s="3" t="e">
        <f ca="1">_xll.BDH($C$578,"EBITDA_AFTER_CAPEX","FQ4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587" s="3" t="e">
        <f ca="1">_xll.BDH($C$578,"IS_OPER_INC","FQ4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587" s="2" t="e">
        <f ca="1">_xll.BDH($C$578,"CASH_RATIO","FQ4 2015","FQ4 2015","Currency=INR","Period=FQ","BEST_FPERIOD_OVERRIDE=FQ","FILING_STATUS=OR","EQY_CONSOLIDATED=Y","Sort=A","Dates=H","DateFormat=P","Fill=—","Direction=H","UseDPDF=Y")</f>
        <v>#NAME?</v>
      </c>
      <c r="CT587" s="2" t="e">
        <f ca="1">_xll.BDH($C$578,"CUR_RATIO","FQ4 2015","FQ4 2015","Currency=INR","Period=FQ","BEST_FPERIOD_OVERRIDE=FQ","FILING_STATUS=OR","EQY_CONSOLIDATED=Y","Sort=A","Dates=H","DateFormat=P","Fill=—","Direction=H","UseDPDF=Y")</f>
        <v>#NAME?</v>
      </c>
      <c r="CU587" s="2" t="e">
        <f ca="1">_xll.BDH($C$578,"QUICK_RATIO","FQ4 2015","FQ4 2015","Currency=INR","Period=FQ","BEST_FPERIOD_OVERRIDE=FQ","FILING_STATUS=OR","EQY_CONSOLIDATED=Y","Sort=A","Dates=H","DateFormat=P","Fill=—","Direction=H","UseDPDF=Y")</f>
        <v>#NAME?</v>
      </c>
      <c r="CV587" s="2" t="e">
        <f ca="1">_xll.BDH($C$578,"ALTMAN_Z_SCORE","FQ4 2015","FQ4 2015","Currency=INR","Period=FQ","BEST_FPERIOD_OVERRIDE=FQ","FILING_STATUS=OR","EQY_CONSOLIDATED=Y","Sort=A","Dates=H","DateFormat=P","Fill=—","Direction=H","UseDPDF=Y")</f>
        <v>#NAME?</v>
      </c>
      <c r="CW587" s="4" t="e">
        <f ca="1">_xll.BDH($C$578,"ACCT_RCV_TURN","FQ4 2015","FQ4 2015","Currency=INR","Period=FQ","BEST_FPERIOD_OVERRIDE=FQ","FILING_STATUS=OR","EQY_CONSOLIDATED=Y","FA_ADJUSTED=GAAP","Sort=A","Dates=H","DateFormat=P","Fill=—","Direction=H","UseDPDF=Y")</f>
        <v>#NAME?</v>
      </c>
      <c r="CX587" s="2" t="e">
        <f ca="1">_xll.BDH($C$578,"ACCT_RCV_DAYS","FQ4 2015","FQ4 2015","Currency=INR","Period=FQ","BEST_FPERIOD_OVERRIDE=FQ","FILING_STATUS=OR","EQY_CONSOLIDATED=Y","FA_ADJUSTED=GAAP","Sort=A","Dates=H","DateFormat=P","Fill=—","Direction=H","UseDPDF=Y")</f>
        <v>#NAME?</v>
      </c>
      <c r="CY587" s="4" t="e">
        <f ca="1">_xll.BDH($C$578,"INVENT_TURN","FQ4 2015","FQ4 2015","Currency=INR","Period=FQ","BEST_FPERIOD_OVERRIDE=FQ","FILING_STATUS=OR","EQY_CONSOLIDATED=Y","FA_ADJUSTED=GAAP","Sort=A","Dates=H","DateFormat=P","Fill=—","Direction=H","UseDPDF=Y")</f>
        <v>#NAME?</v>
      </c>
      <c r="CZ587" s="2" t="e">
        <f ca="1">_xll.BDH($C$578,"INVENT_DAYS","FQ4 2015","FQ4 2015","Currency=INR","Period=FQ","BEST_FPERIOD_OVERRIDE=FQ","FILING_STATUS=OR","EQY_CONSOLIDATED=Y","FA_ADJUSTED=GAAP","Sort=A","Dates=H","DateFormat=P","Fill=—","Direction=H","UseDPDF=Y")</f>
        <v>#NAME?</v>
      </c>
      <c r="DA587" s="4" t="e">
        <f ca="1">_xll.BDH($C$578,"ACCOUNTS_PAYABLE_TURNOVER","FQ4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587" s="2" t="e">
        <f ca="1">_xll.BDH($C$578,"ACCOUNTS_PAYABLE_TURNOVER_DAYS","FQ4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587" s="4" t="e">
        <f ca="1">_xll.BDH($C$578,"CASH_CONVERSION_CYCLE","FQ4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587" s="4" t="e">
        <f ca="1">_xll.BDH($C$578,"INV_TO_CASH_DAYS","FQ4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587" s="5" t="e">
        <f ca="1">_xll.BDH($C$578,"BS_INVENTORIES","FQ4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587" s="3" t="e">
        <f ca="1">_xll.BDH($C$578,"INVTRY_RAW_MATERIALS","FQ4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587" s="3" t="e">
        <f ca="1">_xll.BDH($C$578,"INVTRY_IN_PROGRESS","FQ4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587" s="3" t="e">
        <f ca="1">_xll.BDH($C$578,"INVTRY_FINISHED_GOODS","FQ4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587" s="3" t="e">
        <f ca="1">_xll.BDH($C$578,"BS_OTHER_INV","FQ4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588" spans="1:113" x14ac:dyDescent="0.3">
      <c r="A588" s="6"/>
      <c r="B588" s="6"/>
      <c r="C588" s="6"/>
      <c r="D588" s="6" t="s">
        <v>83</v>
      </c>
      <c r="E588" t="s">
        <v>77</v>
      </c>
      <c r="F588" t="e">
        <f ca="1">_xll.BDH($C$578,"RETURN_COM_EQY","FY 2016","FY 2016","Currency=INR","Period=FY","BEST_FPERIOD_OVERRIDE=FY","FILING_STATUS=OR","EQY_CONSOLIDATED=Y","FA_ADJUSTED=GAAP","Sort=A","Dates=H","DateFormat=P","Fill=—","Direction=H","UseDPDF=Y")</f>
        <v>#NAME?</v>
      </c>
      <c r="G588" t="e">
        <f ca="1">_xll.BDH($C$578,"RETURN_ON_ASSET","FY 2016","FY 2016","Currency=INR","Period=FY","BEST_FPERIOD_OVERRIDE=FY","FILING_STATUS=OR","EQY_CONSOLIDATED=Y","FA_ADJUSTED=GAAP","Sort=A","Dates=H","DateFormat=P","Fill=—","Direction=H","UseDPDF=Y")</f>
        <v>#NAME?</v>
      </c>
      <c r="H588" t="e">
        <f ca="1">_xll.BDH($C$578,"RETURN_ON_CAP","FY 2016","FY 2016","Currency=INR","Period=FY","BEST_FPERIOD_OVERRIDE=FY","FILING_STATUS=OR","EQY_CONSOLIDATED=Y","FA_ADJUSTED=GAAP","Sort=A","Dates=H","DateFormat=P","Fill=—","Direction=H","UseDPDF=Y")</f>
        <v>#NAME?</v>
      </c>
      <c r="I588" t="e">
        <f ca="1">_xll.BDH($C$578,"RETURN_ON_INV_CAPITAL","FY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588" t="e">
        <f ca="1">_xll.BDH($C$578,"EBITDA_TO_REVENUE","FY 2016","FY 2016","Currency=INR","Period=FY","BEST_FPERIOD_OVERRIDE=FY","FILING_STATUS=OR","EQY_CONSOLIDATED=Y","FA_ADJUSTED=GAAP","Sort=A","Dates=H","DateFormat=P","Fill=—","Direction=H","UseDPDF=Y")</f>
        <v>#NAME?</v>
      </c>
      <c r="K588" t="e">
        <f ca="1">_xll.BDH($C$578,"OPER_MARGIN","FY 2016","FY 2016","Currency=INR","Period=FY","BEST_FPERIOD_OVERRIDE=FY","FILING_STATUS=OR","EQY_CONSOLIDATED=Y","FA_ADJUSTED=GAAP","Sort=A","Dates=H","DateFormat=P","Fill=—","Direction=H","UseDPDF=Y")</f>
        <v>#NAME?</v>
      </c>
      <c r="L588" t="e">
        <f ca="1">_xll.BDH($C$578,"INCREMENTAL_OPERATING_MARGIN","FY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588" t="e">
        <f ca="1">_xll.BDH($C$578,"PRETAX_INC_TO_NET_SALES","FY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588" t="e">
        <f ca="1">_xll.BDH($C$578,"INC_BEF_XO_ITEMS_TO_NET_SALES","FY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588" t="e">
        <f ca="1">_xll.BDH($C$578,"PROF_MARGIN","FY 2016","FY 2016","Currency=INR","Period=FY","BEST_FPERIOD_OVERRIDE=FY","FILING_STATUS=OR","EQY_CONSOLIDATED=Y","FA_ADJUSTED=GAAP","Sort=A","Dates=H","DateFormat=P","Fill=—","Direction=H","UseDPDF=Y")</f>
        <v>#NAME?</v>
      </c>
      <c r="P588" t="e">
        <f ca="1">_xll.BDH($C$578,"NET_INCOME_TO_COMMON_MARGIN","FY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588" t="e">
        <f ca="1">_xll.BDH($C$578,"EFF_TAX_RATE","FY 2016","FY 2016","Currency=INR","Period=FY","BEST_FPERIOD_OVERRIDE=FY","FILING_STATUS=OR","EQY_CONSOLIDATED=Y","FA_ADJUSTED=GAAP","Sort=A","Dates=H","DateFormat=P","Fill=—","Direction=H","UseDPDF=Y")</f>
        <v>#NAME?</v>
      </c>
      <c r="R588" t="e">
        <f ca="1">_xll.BDH($C$578,"DVD_PAYOUT_RATIO","FY 2016","FY 2016","Currency=INR","Period=FY","BEST_FPERIOD_OVERRIDE=FY","FILING_STATUS=OR","EQY_CONSOLIDATED=Y","FA_ADJUSTED=GAAP","Sort=A","Dates=H","DateFormat=P","Fill=—","Direction=H","UseDPDF=Y")</f>
        <v>#NAME?</v>
      </c>
      <c r="S588" t="e">
        <f ca="1">_xll.BDH($C$578,"SUSTAIN_GROWTH_RT","FY 2016","FY 2016","Currency=INR","Period=FY","BEST_FPERIOD_OVERRIDE=FY","FILING_STATUS=OR","EQY_CONSOLIDATED=Y","FA_ADJUSTED=GAAP","Sort=A","Dates=H","DateFormat=P","Fill=—","Direction=H","UseDPDF=Y")</f>
        <v>#NAME?</v>
      </c>
      <c r="T588" s="2" t="e">
        <f ca="1">_xll.BDH($C$578,"SALES_GROWTH","FY 2016","FY 2016","Currency=INR","Period=FY","BEST_FPERIOD_OVERRIDE=FY","FILING_STATUS=OR","EQY_CONSOLIDATED=Y","FA_ADJUSTED=GAAP","Sort=A","Dates=H","DateFormat=P","Fill=—","Direction=H","UseDPDF=Y")</f>
        <v>#NAME?</v>
      </c>
      <c r="U588" s="2" t="e">
        <f ca="1">_xll.BDH($C$578,"EBITDA_GROWTH","FY 2016","FY 2016","Currency=INR","Period=FY","BEST_FPERIOD_OVERRIDE=FY","FILING_STATUS=OR","EQY_CONSOLIDATED=Y","FA_ADJUSTED=GAAP","Sort=A","Dates=H","DateFormat=P","Fill=—","Direction=H","UseDPDF=Y")</f>
        <v>#NAME?</v>
      </c>
      <c r="V588" s="2" t="e">
        <f ca="1">_xll.BDH($C$578,"OPER_INC_GROWTH","FY 2016","FY 2016","Currency=INR","Period=FY","BEST_FPERIOD_OVERRIDE=FY","FILING_STATUS=OR","EQY_CONSOLIDATED=Y","FA_ADJUSTED=GAAP","Sort=A","Dates=H","DateFormat=P","Fill=—","Direction=H","UseDPDF=Y")</f>
        <v>#NAME?</v>
      </c>
      <c r="W588" s="2" t="e">
        <f ca="1">_xll.BDH($C$578,"EARN_FOR_COM_GROWTH","FY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588" s="2" t="e">
        <f ca="1">_xll.BDH($C$578,"DILUTED_EPS_AFT_XO_ITEMS_GROWTH","FY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588" s="2" t="e">
        <f ca="1">_xll.BDH($C$578,"DIVIDEND_PER_SHARE_1_YEAR_GROWTH","FY 2016","FY 2016","Currency=INR","Period=FY","BEST_FPERIOD_OVERRIDE=FY","FILING_STATUS=OR","EQY_CONSOLIDATED=Y","Sort=A","Dates=H","DateFormat=P","Fill=—","Direction=H","UseDPDF=Y")</f>
        <v>#NAME?</v>
      </c>
      <c r="Z588" s="2" t="e">
        <f ca="1">_xll.BDH($C$578,"ACCOUNTS_RECEIVABLE_GROWTH","FY 2016","FY 2016","Currency=INR","Period=FY","BEST_FPERIOD_OVERRIDE=FY","FILING_STATUS=OR","EQY_CONSOLIDATED=Y","Sort=A","Dates=H","DateFormat=P","Fill=—","Direction=H","UseDPDF=Y")</f>
        <v>#NAME?</v>
      </c>
      <c r="AA588" s="2" t="e">
        <f ca="1">_xll.BDH($C$578,"INVENTORY_GROWTH","FY 2016","FY 2016","Currency=INR","Period=FY","BEST_FPERIOD_OVERRIDE=FY","FILING_STATUS=OR","EQY_CONSOLIDATED=Y","Sort=A","Dates=H","DateFormat=P","Fill=—","Direction=H","UseDPDF=Y")</f>
        <v>#NAME?</v>
      </c>
      <c r="AB588" s="2" t="e">
        <f ca="1">_xll.BDH($C$578,"NET_FIXED_ASSETS_1_YEAR_GROWTH","FY 2016","FY 2016","Currency=INR","Period=FY","BEST_FPERIOD_OVERRIDE=FY","FILING_STATUS=OR","EQY_CONSOLIDATED=Y","Sort=A","Dates=H","DateFormat=P","Fill=—","Direction=H","UseDPDF=Y")</f>
        <v>#NAME?</v>
      </c>
      <c r="AC588" s="2" t="e">
        <f ca="1">_xll.BDH($C$578,"ASSET_GROWTH","FY 2016","FY 2016","Currency=INR","Period=FY","BEST_FPERIOD_OVERRIDE=FY","FILING_STATUS=OR","EQY_CONSOLIDATED=Y","Sort=A","Dates=H","DateFormat=P","Fill=—","Direction=H","UseDPDF=Y")</f>
        <v>#NAME?</v>
      </c>
      <c r="AD588" s="2" t="e">
        <f ca="1">_xll.BDH($C$578,"MODIFIED_WORK_CAP_GROWTH","FY 2016","FY 2016","Currency=INR","Period=FY","BEST_FPERIOD_OVERRIDE=FY","FILING_STATUS=OR","EQY_CONSOLIDATED=Y","Sort=A","Dates=H","DateFormat=P","Fill=—","Direction=H","UseDPDF=Y")</f>
        <v>#NAME?</v>
      </c>
      <c r="AE588" s="2" t="e">
        <f ca="1">_xll.BDH($C$578,"WORK_CAP_GROWTH","FY 2016","FY 2016","Currency=INR","Period=FY","BEST_FPERIOD_OVERRIDE=FY","FILING_STATUS=OR","EQY_CONSOLIDATED=Y","Sort=A","Dates=H","DateFormat=P","Fill=—","Direction=H","UseDPDF=Y")</f>
        <v>#NAME?</v>
      </c>
      <c r="AF588" s="2" t="e">
        <f ca="1">_xll.BDH($C$578,"ACCOUNTS_PAYABLE_GROWTH_1YR","FY 2016","FY 2016","Currency=INR","Period=FY","BEST_FPERIOD_OVERRIDE=FY","FILING_STATUS=OR","EQY_CONSOLIDATED=Y","Sort=A","Dates=H","DateFormat=P","Fill=—","Direction=H","UseDPDF=Y")</f>
        <v>#NAME?</v>
      </c>
      <c r="AG588" s="2" t="e">
        <f ca="1">_xll.BDH($C$578,"SHORT_TERM_DEBT_1_YEAR_GROWTH","FY 2016","FY 2016","Currency=INR","Period=FY","BEST_FPERIOD_OVERRIDE=FY","FILING_STATUS=OR","EQY_CONSOLIDATED=Y","Sort=A","Dates=H","DateFormat=P","Fill=—","Direction=H","UseDPDF=Y")</f>
        <v>#NAME?</v>
      </c>
      <c r="AH588" s="2" t="e">
        <f ca="1">_xll.BDH($C$578,"TOTAL_DEBT_1_YEAR_GROWTH","FY 2016","FY 2016","Currency=INR","Period=FY","BEST_FPERIOD_OVERRIDE=FY","FILING_STATUS=OR","EQY_CONSOLIDATED=Y","Sort=A","Dates=H","DateFormat=P","Fill=—","Direction=H","UseDPDF=Y")</f>
        <v>#NAME?</v>
      </c>
      <c r="AI588" s="2" t="e">
        <f ca="1">_xll.BDH($C$578,"TOTAL_EQUITY_1_YEAR_GROWTH","FY 2016","FY 2016","Currency=INR","Period=FY","BEST_FPERIOD_OVERRIDE=FY","FILING_STATUS=OR","EQY_CONSOLIDATED=Y","Sort=A","Dates=H","DateFormat=P","Fill=—","Direction=H","UseDPDF=Y")</f>
        <v>#NAME?</v>
      </c>
      <c r="AJ588" s="2" t="e">
        <f ca="1">_xll.BDH($C$578,"GROWTH_IN_CAP","FY 2016","FY 2016","Currency=INR","Period=FY","BEST_FPERIOD_OVERRIDE=FY","FILING_STATUS=OR","EQY_CONSOLIDATED=Y","Sort=A","Dates=H","DateFormat=P","Fill=—","Direction=H","UseDPDF=Y")</f>
        <v>#NAME?</v>
      </c>
      <c r="AK588" s="2" t="e">
        <f ca="1">_xll.BDH($C$578,"BVPS_GROWTH","FY 2016","FY 2016","Currency=INR","Period=FY","BEST_FPERIOD_OVERRIDE=FY","FILING_STATUS=OR","EQY_CONSOLIDATED=Y","Sort=A","Dates=H","DateFormat=P","Fill=—","Direction=H","UseDPDF=Y")</f>
        <v>#NAME?</v>
      </c>
      <c r="AL588" s="2" t="e">
        <f ca="1">_xll.BDH($C$578,"CASH_FLOW_GROWTH","FY 2016","FY 2016","Currency=INR","Period=FY","BEST_FPERIOD_OVERRIDE=FY","FILING_STATUS=OR","EQY_CONSOLIDATED=Y","Sort=A","Dates=H","DateFormat=P","Fill=—","Direction=H","UseDPDF=Y")</f>
        <v>#NAME?</v>
      </c>
      <c r="AM588" s="2" t="e">
        <f ca="1">_xll.BDH($C$578,"GEO_GROW_NET_SALES","FY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588" s="2" t="e">
        <f ca="1">_xll.BDH($C$578,"GEO_GROW_EBITDA","FY 2016","FY 2016","Currency=INR","Period=FY","BEST_FPERIOD_OVERRIDE=FY","FILING_STATUS=OR","EQY_CONSOLIDATED=Y","FA_ADJUSTED=GAAP","Sort=A","Dates=H","DateFormat=P","Fill=—","Direction=H","UseDPDF=Y")</f>
        <v>#NAME?</v>
      </c>
      <c r="AO588" s="2" t="e">
        <f ca="1">_xll.BDH($C$578,"GEO_GROW_OPER_INC","FY 2016","FY 2016","Currency=INR","Period=FY","BEST_FPERIOD_OVERRIDE=FY","FILING_STATUS=OR","EQY_CONSOLIDATED=Y","FA_ADJUSTED=GAAP","Sort=A","Dates=H","DateFormat=P","Fill=—","Direction=H","UseDPDF=Y")</f>
        <v>#NAME?</v>
      </c>
      <c r="AP588" s="2" t="e">
        <f ca="1">_xll.BDH($C$578,"NET_INCOME_TO_COMMON_5_YR_GROWTH","FY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588" s="2" t="e">
        <f ca="1">_xll.BDH($C$578,"5Y_GEO_GROWTH_DILUTED_EPS","FY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588" s="2" t="e">
        <f ca="1">_xll.BDH($C$578,"GEO_GROW_DVD_PER_SH","FY 2016","FY 2016","Currency=INR","Period=FY","BEST_FPERIOD_OVERRIDE=FY","FILING_STATUS=OR","EQY_CONSOLIDATED=Y","Sort=A","Dates=H","DateFormat=P","Fill=—","Direction=H","UseDPDF=Y")</f>
        <v>#NAME?</v>
      </c>
      <c r="AS588" s="2" t="e">
        <f ca="1">_xll.BDH($C$578,"ACCOUNTS_RECEIVABLE_5_YR_GROWTH","FY 2016","FY 2016","Currency=INR","Period=FY","BEST_FPERIOD_OVERRIDE=FY","FILING_STATUS=OR","EQY_CONSOLIDATED=Y","Sort=A","Dates=H","DateFormat=P","Fill=—","Direction=H","UseDPDF=Y")</f>
        <v>#NAME?</v>
      </c>
      <c r="AT588" s="2" t="e">
        <f ca="1">_xll.BDH($C$578,"INVENTORY_5_YEAR_GROWTH","FY 2016","FY 2016","Currency=INR","Period=FY","BEST_FPERIOD_OVERRIDE=FY","FILING_STATUS=OR","EQY_CONSOLIDATED=Y","Sort=A","Dates=H","DateFormat=P","Fill=—","Direction=H","UseDPDF=Y")</f>
        <v>#NAME?</v>
      </c>
      <c r="AU588" s="2" t="e">
        <f ca="1">_xll.BDH($C$578,"NET_FIXED_ASSETS_5_YEAR_GROWTH","FY 2016","FY 2016","Currency=INR","Period=FY","BEST_FPERIOD_OVERRIDE=FY","FILING_STATUS=OR","EQY_CONSOLIDATED=Y","Sort=A","Dates=H","DateFormat=P","Fill=—","Direction=H","UseDPDF=Y")</f>
        <v>#NAME?</v>
      </c>
      <c r="AV588" s="2" t="e">
        <f ca="1">_xll.BDH($C$578,"GEO_GROW_TOT_ASSET","FY 2016","FY 2016","Currency=INR","Period=FY","BEST_FPERIOD_OVERRIDE=FY","FILING_STATUS=OR","EQY_CONSOLIDATED=Y","Sort=A","Dates=H","DateFormat=P","Fill=—","Direction=H","UseDPDF=Y")</f>
        <v>#NAME?</v>
      </c>
      <c r="AW588" s="2" t="e">
        <f ca="1">_xll.BDH($C$578,"MODIFIED_WORKING_CPTL_5YR_GRWTH","FY 2016","FY 2016","Currency=INR","Period=FY","BEST_FPERIOD_OVERRIDE=FY","FILING_STATUS=OR","EQY_CONSOLIDATED=Y","Sort=A","Dates=H","DateFormat=P","Fill=—","Direction=H","UseDPDF=Y")</f>
        <v>#NAME?</v>
      </c>
      <c r="AX588" s="2" t="e">
        <f ca="1">_xll.BDH($C$578,"WORKING_CAPITAL_5_YEAR_GROWTH","FY 2016","FY 2016","Currency=INR","Period=FY","BEST_FPERIOD_OVERRIDE=FY","FILING_STATUS=OR","EQY_CONSOLIDATED=Y","Sort=A","Dates=H","DateFormat=P","Fill=—","Direction=H","UseDPDF=Y")</f>
        <v>#NAME?</v>
      </c>
      <c r="AY588" s="2" t="e">
        <f ca="1">_xll.BDH($C$578,"ACCOUNTS_PAYABLE_5_YEAR_GROWTH","FY 2016","FY 2016","Currency=INR","Period=FY","BEST_FPERIOD_OVERRIDE=FY","FILING_STATUS=OR","EQY_CONSOLIDATED=Y","Sort=A","Dates=H","DateFormat=P","Fill=—","Direction=H","UseDPDF=Y")</f>
        <v>#NAME?</v>
      </c>
      <c r="AZ588" s="2" t="e">
        <f ca="1">_xll.BDH($C$578,"SHORT_TERM_DEBT_5_YEAR_GROWTH","FY 2016","FY 2016","Currency=INR","Period=FY","BEST_FPERIOD_OVERRIDE=FY","FILING_STATUS=OR","EQY_CONSOLIDATED=Y","Sort=A","Dates=H","DateFormat=P","Fill=—","Direction=H","UseDPDF=Y")</f>
        <v>#NAME?</v>
      </c>
      <c r="BA588" s="2" t="e">
        <f ca="1">_xll.BDH($C$578,"TOTAL_DEBT_5_YEAR_GROWTH","FY 2016","FY 2016","Currency=INR","Period=FY","BEST_FPERIOD_OVERRIDE=FY","FILING_STATUS=OR","EQY_CONSOLIDATED=Y","Sort=A","Dates=H","DateFormat=P","Fill=—","Direction=H","UseDPDF=Y")</f>
        <v>#NAME?</v>
      </c>
      <c r="BB588" s="2" t="e">
        <f ca="1">_xll.BDH($C$578,"GEO_GROW_TOT_SHRHLDR_EQY","FY 2016","FY 2016","Currency=INR","Period=FY","BEST_FPERIOD_OVERRIDE=FY","FILING_STATUS=OR","EQY_CONSOLIDATED=Y","Sort=A","Dates=H","DateFormat=P","Fill=—","Direction=H","UseDPDF=Y")</f>
        <v>#NAME?</v>
      </c>
      <c r="BC588" s="2" t="e">
        <f ca="1">_xll.BDH($C$578,"TOTAL_CAPITAL_5_YEAR_GROWTH","FY 2016","FY 2016","Currency=INR","Period=FY","BEST_FPERIOD_OVERRIDE=FY","FILING_STATUS=OR","EQY_CONSOLIDATED=Y","Sort=A","Dates=H","DateFormat=P","Fill=—","Direction=H","UseDPDF=Y")</f>
        <v>#NAME?</v>
      </c>
      <c r="BD588" s="2" t="e">
        <f ca="1">_xll.BDH($C$578,"GEO_GROW_BOOK_VAL","FY 2016","FY 2016","Currency=INR","Period=FY","BEST_FPERIOD_OVERRIDE=FY","FILING_STATUS=OR","EQY_CONSOLIDATED=Y","Sort=A","Dates=H","DateFormat=P","Fill=—","Direction=H","UseDPDF=Y")</f>
        <v>#NAME?</v>
      </c>
      <c r="BE588" s="2" t="e">
        <f ca="1">_xll.BDH($C$578,"GEO_GROW_CASH_OPER_ACT","FY 2016","FY 2016","Currency=INR","Period=FY","BEST_FPERIOD_OVERRIDE=FY","FILING_STATUS=OR","EQY_CONSOLIDATED=Y","Sort=A","Dates=H","DateFormat=P","Fill=—","Direction=H","UseDPDF=Y")</f>
        <v>#NAME?</v>
      </c>
      <c r="BF588" s="2" t="e">
        <f ca="1">_xll.BDH($C$578,"REVENUE_SEQUENTIAL_GROWTH","FY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588" s="2" t="e">
        <f ca="1">_xll.BDH($C$578,"EBITDA_SEQUENTIAL_GROWTH","FY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588" s="2" t="e">
        <f ca="1">_xll.BDH($C$578,"OPERATING_INCOME_SEQ_GROWTH","FY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588" s="2" t="e">
        <f ca="1">_xll.BDH($C$578,"NET_INCOME_TO_COMMON_SEQ_GROWTH","FY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588" s="2" t="e">
        <f ca="1">_xll.BDH($C$578,"EPS_DILUTED_SEQUENTIAL_GROWTH","FY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588" s="2" t="e">
        <f ca="1">_xll.BDH($C$578,"DPS_SEQUENTIAL_GROWTH","FY 2016","FY 2016","Currency=INR","Period=FY","BEST_FPERIOD_OVERRIDE=FY","FILING_STATUS=OR","EQY_CONSOLIDATED=Y","Sort=A","Dates=H","DateFormat=P","Fill=—","Direction=H","UseDPDF=Y")</f>
        <v>#NAME?</v>
      </c>
      <c r="BL588" s="2" t="e">
        <f ca="1">_xll.BDH($C$578,"ACCOUNTS_RECEIVABLE_SEQ_GROWTH","FY 2016","FY 2016","Currency=INR","Period=FY","BEST_FPERIOD_OVERRIDE=FY","FILING_STATUS=OR","EQY_CONSOLIDATED=Y","Sort=A","Dates=H","DateFormat=P","Fill=—","Direction=H","UseDPDF=Y")</f>
        <v>#NAME?</v>
      </c>
      <c r="BM588" s="2" t="e">
        <f ca="1">_xll.BDH($C$578,"INVENTORY_SEQUENTIAL_GROWTH","FY 2016","FY 2016","Currency=INR","Period=FY","BEST_FPERIOD_OVERRIDE=FY","FILING_STATUS=OR","EQY_CONSOLIDATED=Y","Sort=A","Dates=H","DateFormat=P","Fill=—","Direction=H","UseDPDF=Y")</f>
        <v>#NAME?</v>
      </c>
      <c r="BN588" s="2" t="e">
        <f ca="1">_xll.BDH($C$578,"FIXED_ASSETS_SEQUENTIAL_GROWTH","FY 2016","FY 2016","Currency=INR","Period=FY","BEST_FPERIOD_OVERRIDE=FY","FILING_STATUS=OR","EQY_CONSOLIDATED=Y","Sort=A","Dates=H","DateFormat=P","Fill=—","Direction=H","UseDPDF=Y")</f>
        <v>#NAME?</v>
      </c>
      <c r="BO588" s="2" t="e">
        <f ca="1">_xll.BDH($C$578,"TOTAL_ASSETS_SEQUENTIAL_GROWTH","FY 2016","FY 2016","Currency=INR","Period=FY","BEST_FPERIOD_OVERRIDE=FY","FILING_STATUS=OR","EQY_CONSOLIDATED=Y","Sort=A","Dates=H","DateFormat=P","Fill=—","Direction=H","UseDPDF=Y")</f>
        <v>#NAME?</v>
      </c>
      <c r="BP588" s="2" t="e">
        <f ca="1">_xll.BDH($C$578,"MODIFIED_WORKING_CPTL_SEQ_GRWTH","FY 2016","FY 2016","Currency=INR","Period=FY","BEST_FPERIOD_OVERRIDE=FY","FILING_STATUS=OR","EQY_CONSOLIDATED=Y","Sort=A","Dates=H","DateFormat=P","Fill=—","Direction=H","UseDPDF=Y")</f>
        <v>#NAME?</v>
      </c>
      <c r="BQ588" s="2" t="e">
        <f ca="1">_xll.BDH($C$578,"WORKING_CAPITAL_SEQ_GROWTH","FY 2016","FY 2016","Currency=INR","Period=FY","BEST_FPERIOD_OVERRIDE=FY","FILING_STATUS=OR","EQY_CONSOLIDATED=Y","Sort=A","Dates=H","DateFormat=P","Fill=—","Direction=H","UseDPDF=Y")</f>
        <v>#NAME?</v>
      </c>
      <c r="BR588" s="2" t="e">
        <f ca="1">_xll.BDH($C$578,"ACCOUNTS_PAYABLE_SEQ_GROWTH","FY 2016","FY 2016","Currency=INR","Period=FY","BEST_FPERIOD_OVERRIDE=FY","FILING_STATUS=OR","EQY_CONSOLIDATED=Y","Sort=A","Dates=H","DateFormat=P","Fill=—","Direction=H","UseDPDF=Y")</f>
        <v>#NAME?</v>
      </c>
      <c r="BS588" s="2" t="e">
        <f ca="1">_xll.BDH($C$578,"ST_DEBT_SEQUENTIAL_GROWTH","FY 2016","FY 2016","Currency=INR","Period=FY","BEST_FPERIOD_OVERRIDE=FY","FILING_STATUS=OR","EQY_CONSOLIDATED=Y","Sort=A","Dates=H","DateFormat=P","Fill=—","Direction=H","UseDPDF=Y")</f>
        <v>#NAME?</v>
      </c>
      <c r="BT588" s="2" t="e">
        <f ca="1">_xll.BDH($C$578,"TOTAL_DEBT_SEQUENTIAL_GROWTH","FY 2016","FY 2016","Currency=INR","Period=FY","BEST_FPERIOD_OVERRIDE=FY","FILING_STATUS=OR","EQY_CONSOLIDATED=Y","Sort=A","Dates=H","DateFormat=P","Fill=—","Direction=H","UseDPDF=Y")</f>
        <v>#NAME?</v>
      </c>
      <c r="BU588" s="2" t="e">
        <f ca="1">_xll.BDH($C$578,"TOTAL_EQUITY_SEQUENTIAL_GROWTH","FY 2016","FY 2016","Currency=INR","Period=FY","BEST_FPERIOD_OVERRIDE=FY","FILING_STATUS=OR","EQY_CONSOLIDATED=Y","Sort=A","Dates=H","DateFormat=P","Fill=—","Direction=H","UseDPDF=Y")</f>
        <v>#NAME?</v>
      </c>
      <c r="BV588" s="2" t="e">
        <f ca="1">_xll.BDH($C$578,"TOTAL_CAPITAL_SEQUENTIAL_GROWTH","FY 2016","FY 2016","Currency=INR","Period=FY","BEST_FPERIOD_OVERRIDE=FY","FILING_STATUS=OR","EQY_CONSOLIDATED=Y","Sort=A","Dates=H","DateFormat=P","Fill=—","Direction=H","UseDPDF=Y")</f>
        <v>#NAME?</v>
      </c>
      <c r="BW588" s="2" t="e">
        <f ca="1">_xll.BDH($C$578,"BPS_SEQUENTIAL_GROWTH","FY 2016","FY 2016","Currency=INR","Period=FY","BEST_FPERIOD_OVERRIDE=FY","FILING_STATUS=OR","EQY_CONSOLIDATED=Y","Sort=A","Dates=H","DateFormat=P","Fill=—","Direction=H","UseDPDF=Y")</f>
        <v>#NAME?</v>
      </c>
      <c r="BX588" s="2" t="e">
        <f ca="1">_xll.BDH($C$578,"CFO_SEQUENTIAL_GROWTH","FY 2016","FY 2016","Currency=INR","Period=FY","BEST_FPERIOD_OVERRIDE=FY","FILING_STATUS=OR","EQY_CONSOLIDATED=Y","Sort=A","Dates=H","DateFormat=P","Fill=—","Direction=H","UseDPDF=Y")</f>
        <v>#NAME?</v>
      </c>
      <c r="BY588" s="3" t="e">
        <f ca="1">_xll.BDH($C$578,"SHORT_AND_LONG_TERM_DEBT","FY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588" s="3" t="e">
        <f ca="1">_xll.BDH($C$578,"BS_ST_BORROW","FY 2016","FY 2016","Currency=INR","Period=FY","BEST_FPERIOD_OVERRIDE=FY","FILING_STATUS=OR","EQY_CONSOLIDATED=Y","SCALING_FORMAT=MLN","Sort=A","Dates=H","DateFormat=P","Fill=—","Direction=H","UseDPDF=Y")</f>
        <v>#NAME?</v>
      </c>
      <c r="CA588" s="3" t="e">
        <f ca="1">_xll.BDH($C$578,"BS_LT_BORROW","FY 2016","FY 2016","Currency=INR","Period=FY","BEST_FPERIOD_OVERRIDE=FY","FILING_STATUS=OR","EQY_CONSOLIDATED=Y","SCALING_FORMAT=MLN","Sort=A","Dates=H","DateFormat=P","Fill=—","Direction=H","UseDPDF=Y")</f>
        <v>#NAME?</v>
      </c>
      <c r="CB588" s="2" t="e">
        <f ca="1">_xll.BDH($C$578,"TOT_DEBT_TO_EBITDA","FY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588" s="2" t="e">
        <f ca="1">_xll.BDH($C$578,"NET_DEBT_TO_EBITDA","FY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588" s="2" t="e">
        <f ca="1">_xll.BDH($C$578,"TOTAL_DEBT_TO_EBIT","FY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588" s="2" t="e">
        <f ca="1">_xll.BDH($C$578,"NET_DEBT_TO_EBIT","FY 2016","FY 2016","Currency=INR","Period=FY","BEST_FPERIOD_OVERRIDE=FY","FILING_STATUS=OR","EQY_CONSOLIDATED=Y","FA_ADJUSTED=GAAP","Sort=A","Dates=H","DateFormat=P","Fill=—","Direction=H","UseDPDF=Y")</f>
        <v>#NAME?</v>
      </c>
      <c r="CF588" s="2" t="e">
        <f ca="1">_xll.BDH($C$578,"EBITDA_TO_INTEREST_EXPN","FY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588" s="2" t="e">
        <f ca="1">_xll.BDH($C$578,"COM_EQY_TO_TOT_ASSET","FY 2016","FY 2016","Currency=INR","Period=FY","BEST_FPERIOD_OVERRIDE=FY","FILING_STATUS=OR","EQY_CONSOLIDATED=Y","Sort=A","Dates=H","DateFormat=P","Fill=—","Direction=H","UseDPDF=Y")</f>
        <v>#NAME?</v>
      </c>
      <c r="CH588" s="2" t="e">
        <f ca="1">_xll.BDH($C$578,"LT_DEBT_TO_TOT_EQY","FY 2016","FY 2016","Currency=INR","Period=FY","BEST_FPERIOD_OVERRIDE=FY","FILING_STATUS=OR","EQY_CONSOLIDATED=Y","Sort=A","Dates=H","DateFormat=P","Fill=—","Direction=H","UseDPDF=Y")</f>
        <v>#NAME?</v>
      </c>
      <c r="CI588" s="2" t="e">
        <f ca="1">_xll.BDH($C$578,"LT_DEBT_TO_TOT_CAP","FY 2016","FY 2016","Currency=INR","Period=FY","BEST_FPERIOD_OVERRIDE=FY","FILING_STATUS=OR","EQY_CONSOLIDATED=Y","Sort=A","Dates=H","DateFormat=P","Fill=—","Direction=H","UseDPDF=Y")</f>
        <v>#NAME?</v>
      </c>
      <c r="CJ588" s="2" t="e">
        <f ca="1">_xll.BDH($C$578,"LT_DEBT_TO_TOT_ASSET","FY 2016","FY 2016","Currency=INR","Period=FY","BEST_FPERIOD_OVERRIDE=FY","FILING_STATUS=OR","EQY_CONSOLIDATED=Y","Sort=A","Dates=H","DateFormat=P","Fill=—","Direction=H","UseDPDF=Y")</f>
        <v>#NAME?</v>
      </c>
      <c r="CK588" s="2" t="e">
        <f ca="1">_xll.BDH($C$578,"TOT_DEBT_TO_TOT_EQY","FY 2016","FY 2016","Currency=INR","Period=FY","BEST_FPERIOD_OVERRIDE=FY","FILING_STATUS=OR","EQY_CONSOLIDATED=Y","Sort=A","Dates=H","DateFormat=P","Fill=—","Direction=H","UseDPDF=Y")</f>
        <v>#NAME?</v>
      </c>
      <c r="CL588" s="2" t="e">
        <f ca="1">_xll.BDH($C$578,"TOT_DEBT_TO_TOT_CAP","FY 2016","FY 2016","Currency=INR","Period=FY","BEST_FPERIOD_OVERRIDE=FY","FILING_STATUS=OR","EQY_CONSOLIDATED=Y","Sort=A","Dates=H","DateFormat=P","Fill=—","Direction=H","UseDPDF=Y")</f>
        <v>#NAME?</v>
      </c>
      <c r="CM588" s="2" t="e">
        <f ca="1">_xll.BDH($C$578,"TOT_DEBT_TO_TOT_ASSET","FY 2016","FY 2016","Currency=INR","Period=FY","BEST_FPERIOD_OVERRIDE=FY","FILING_STATUS=OR","EQY_CONSOLIDATED=Y","Sort=A","Dates=H","DateFormat=P","Fill=—","Direction=H","UseDPDF=Y")</f>
        <v>#NAME?</v>
      </c>
      <c r="CN588" s="2" t="e">
        <f ca="1">_xll.BDH($C$578,"NET_DEBT_TO_SHRHLDR_EQTY","FY 2016","FY 2016","Currency=INR","Period=FY","BEST_FPERIOD_OVERRIDE=FY","FILING_STATUS=OR","EQY_CONSOLIDATED=Y","Sort=A","Dates=H","DateFormat=P","Fill=—","Direction=H","UseDPDF=Y")</f>
        <v>#NAME?</v>
      </c>
      <c r="CO588" s="2" t="e">
        <f ca="1">_xll.BDH($C$578,"NET_DEBT_%_CAPITAL","FY 2016","FY 2016","Currency=INR","Period=FY","BEST_FPERIOD_OVERRIDE=FY","FILING_STATUS=OR","EQY_CONSOLIDATED=Y","Sort=A","Dates=H","DateFormat=P","Fill=—","Direction=H","UseDPDF=Y")</f>
        <v>#NAME?</v>
      </c>
      <c r="CP588" s="3" t="e">
        <f ca="1">_xll.BDH($C$578,"EBITDA","FY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588" s="3" t="e">
        <f ca="1">_xll.BDH($C$578,"EBITDA_AFTER_CAPEX","FY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588" s="3" t="e">
        <f ca="1">_xll.BDH($C$578,"IS_OPER_INC","FY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588" s="2" t="e">
        <f ca="1">_xll.BDH($C$578,"CASH_RATIO","FY 2016","FY 2016","Currency=INR","Period=FY","BEST_FPERIOD_OVERRIDE=FY","FILING_STATUS=OR","EQY_CONSOLIDATED=Y","Sort=A","Dates=H","DateFormat=P","Fill=—","Direction=H","UseDPDF=Y")</f>
        <v>#NAME?</v>
      </c>
      <c r="CT588" s="2" t="e">
        <f ca="1">_xll.BDH($C$578,"CUR_RATIO","FY 2016","FY 2016","Currency=INR","Period=FY","BEST_FPERIOD_OVERRIDE=FY","FILING_STATUS=OR","EQY_CONSOLIDATED=Y","Sort=A","Dates=H","DateFormat=P","Fill=—","Direction=H","UseDPDF=Y")</f>
        <v>#NAME?</v>
      </c>
      <c r="CU588" s="2" t="e">
        <f ca="1">_xll.BDH($C$578,"QUICK_RATIO","FY 2016","FY 2016","Currency=INR","Period=FY","BEST_FPERIOD_OVERRIDE=FY","FILING_STATUS=OR","EQY_CONSOLIDATED=Y","Sort=A","Dates=H","DateFormat=P","Fill=—","Direction=H","UseDPDF=Y")</f>
        <v>#NAME?</v>
      </c>
      <c r="CV588" s="2" t="e">
        <f ca="1">_xll.BDH($C$578,"ALTMAN_Z_SCORE","FY 2016","FY 2016","Currency=INR","Period=FY","BEST_FPERIOD_OVERRIDE=FY","FILING_STATUS=OR","EQY_CONSOLIDATED=Y","Sort=A","Dates=H","DateFormat=P","Fill=—","Direction=H","UseDPDF=Y")</f>
        <v>#NAME?</v>
      </c>
      <c r="CW588" s="4" t="e">
        <f ca="1">_xll.BDH($C$578,"ACCT_RCV_TURN","FY 2016","FY 2016","Currency=INR","Period=FY","BEST_FPERIOD_OVERRIDE=FY","FILING_STATUS=OR","EQY_CONSOLIDATED=Y","FA_ADJUSTED=GAAP","Sort=A","Dates=H","DateFormat=P","Fill=—","Direction=H","UseDPDF=Y")</f>
        <v>#NAME?</v>
      </c>
      <c r="CX588" s="2" t="e">
        <f ca="1">_xll.BDH($C$578,"ACCT_RCV_DAYS","FY 2016","FY 2016","Currency=INR","Period=FY","BEST_FPERIOD_OVERRIDE=FY","FILING_STATUS=OR","EQY_CONSOLIDATED=Y","FA_ADJUSTED=GAAP","Sort=A","Dates=H","DateFormat=P","Fill=—","Direction=H","UseDPDF=Y")</f>
        <v>#NAME?</v>
      </c>
      <c r="CY588" s="4" t="e">
        <f ca="1">_xll.BDH($C$578,"INVENT_TURN","FY 2016","FY 2016","Currency=INR","Period=FY","BEST_FPERIOD_OVERRIDE=FY","FILING_STATUS=OR","EQY_CONSOLIDATED=Y","FA_ADJUSTED=GAAP","Sort=A","Dates=H","DateFormat=P","Fill=—","Direction=H","UseDPDF=Y")</f>
        <v>#NAME?</v>
      </c>
      <c r="CZ588" s="2" t="e">
        <f ca="1">_xll.BDH($C$578,"INVENT_DAYS","FY 2016","FY 2016","Currency=INR","Period=FY","BEST_FPERIOD_OVERRIDE=FY","FILING_STATUS=OR","EQY_CONSOLIDATED=Y","FA_ADJUSTED=GAAP","Sort=A","Dates=H","DateFormat=P","Fill=—","Direction=H","UseDPDF=Y")</f>
        <v>#NAME?</v>
      </c>
      <c r="DA588" s="4" t="e">
        <f ca="1">_xll.BDH($C$578,"ACCOUNTS_PAYABLE_TURNOVER","FY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588" s="2" t="e">
        <f ca="1">_xll.BDH($C$578,"ACCOUNTS_PAYABLE_TURNOVER_DAYS","FY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588" s="4" t="e">
        <f ca="1">_xll.BDH($C$578,"CASH_CONVERSION_CYCLE","FY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588" s="4" t="e">
        <f ca="1">_xll.BDH($C$578,"INV_TO_CASH_DAYS","FY 2016","FY 2016","Currency=INR","Period=FY","BEST_FPERIOD_OVERRIDE=FY","FILING_STATUS=OR","EQY_CONSOLIDATED=Y","FA_ADJUSTED=GAAP","Sort=A","Dates=H","DateFormat=P","Fill=—","Direction=H","UseDPDF=Y")</f>
        <v>#NAME?</v>
      </c>
      <c r="DE588" s="5" t="e">
        <f ca="1">_xll.BDH($C$578,"BS_INVENTORIES","FY 2016","FY 2016","Currency=INR","Period=FY","BEST_FPERIOD_OVERRIDE=FY","FILING_STATUS=OR","EQY_CONSOLIDATED=Y","SCALING_FORMAT=MLN","Sort=A","Dates=H","DateFormat=P","Fill=—","Direction=H","UseDPDF=Y")</f>
        <v>#NAME?</v>
      </c>
      <c r="DF588" s="3" t="e">
        <f ca="1">_xll.BDH($C$578,"INVTRY_RAW_MATERIALS","FY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588" s="3" t="e">
        <f ca="1">_xll.BDH($C$578,"INVTRY_IN_PROGRESS","FY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588" s="3" t="e">
        <f ca="1">_xll.BDH($C$578,"INVTRY_FINISHED_GOODS","FY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588" s="3" t="e">
        <f ca="1">_xll.BDH($C$578,"BS_OTHER_INV","FY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589" spans="1:113" x14ac:dyDescent="0.3">
      <c r="A589" s="6"/>
      <c r="B589" s="6"/>
      <c r="C589" s="6"/>
      <c r="D589" s="6"/>
      <c r="E589" t="s">
        <v>78</v>
      </c>
      <c r="F589" t="e">
        <f ca="1">_xll.BDH($C$578,"RETURN_COM_EQY","FQ1 2016","FQ1 2016","Currency=INR","Period=FQ","BEST_FPERIOD_OVERRIDE=FQ","FILING_STATUS=OR","EQY_CONSOLIDATED=Y","FA_ADJUSTED=GAAP","Sort=A","Dates=H","DateFormat=P","Fill=—","Direction=H","UseDPDF=Y")</f>
        <v>#NAME?</v>
      </c>
      <c r="G589" t="e">
        <f ca="1">_xll.BDH($C$578,"RETURN_ON_ASSET","FQ1 2016","FQ1 2016","Currency=INR","Period=FQ","BEST_FPERIOD_OVERRIDE=FQ","FILING_STATUS=OR","EQY_CONSOLIDATED=Y","FA_ADJUSTED=GAAP","Sort=A","Dates=H","DateFormat=P","Fill=—","Direction=H","UseDPDF=Y")</f>
        <v>#NAME?</v>
      </c>
      <c r="H589" t="e">
        <f ca="1">_xll.BDH($C$578,"RETURN_ON_CAP","FQ1 2016","FQ1 2016","Currency=INR","Period=FQ","BEST_FPERIOD_OVERRIDE=FQ","FILING_STATUS=OR","EQY_CONSOLIDATED=Y","FA_ADJUSTED=GAAP","Sort=A","Dates=H","DateFormat=P","Fill=—","Direction=H","UseDPDF=Y")</f>
        <v>#NAME?</v>
      </c>
      <c r="I589" t="e">
        <f ca="1">_xll.BDH($C$578,"RETURN_ON_INV_CAPITAL","FQ1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589" t="e">
        <f ca="1">_xll.BDH($C$578,"EBITDA_TO_REVENUE","FQ1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589" t="e">
        <f ca="1">_xll.BDH($C$578,"OPER_MARGIN","FQ1 2016","FQ1 2016","Currency=INR","Period=FQ","BEST_FPERIOD_OVERRIDE=FQ","FILING_STATUS=OR","EQY_CONSOLIDATED=Y","FA_ADJUSTED=GAAP","Sort=A","Dates=H","DateFormat=P","Fill=—","Direction=H","UseDPDF=Y")</f>
        <v>#NAME?</v>
      </c>
      <c r="L589" t="e">
        <f ca="1">_xll.BDH($C$578,"INCREMENTAL_OPERATING_MARGIN","FQ1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589" t="e">
        <f ca="1">_xll.BDH($C$578,"PRETAX_INC_TO_NET_SALES","FQ1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589" t="e">
        <f ca="1">_xll.BDH($C$578,"INC_BEF_XO_ITEMS_TO_NET_SALES","FQ1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589" t="e">
        <f ca="1">_xll.BDH($C$578,"PROF_MARGIN","FQ1 2016","FQ1 2016","Currency=INR","Period=FQ","BEST_FPERIOD_OVERRIDE=FQ","FILING_STATUS=OR","EQY_CONSOLIDATED=Y","FA_ADJUSTED=GAAP","Sort=A","Dates=H","DateFormat=P","Fill=—","Direction=H","UseDPDF=Y")</f>
        <v>#NAME?</v>
      </c>
      <c r="P589" t="e">
        <f ca="1">_xll.BDH($C$578,"NET_INCOME_TO_COMMON_MARGIN","FQ1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589" t="e">
        <f ca="1">_xll.BDH($C$578,"EFF_TAX_RATE","FQ1 2016","FQ1 2016","Currency=INR","Period=FQ","BEST_FPERIOD_OVERRIDE=FQ","FILING_STATUS=OR","EQY_CONSOLIDATED=Y","FA_ADJUSTED=GAAP","Sort=A","Dates=H","DateFormat=P","Fill=—","Direction=H","UseDPDF=Y")</f>
        <v>#NAME?</v>
      </c>
      <c r="R589" t="e">
        <f ca="1">_xll.BDH($C$578,"DVD_PAYOUT_RATIO","FQ1 2016","FQ1 2016","Currency=INR","Period=FQ","BEST_FPERIOD_OVERRIDE=FQ","FILING_STATUS=OR","EQY_CONSOLIDATED=Y","FA_ADJUSTED=GAAP","Sort=A","Dates=H","DateFormat=P","Fill=—","Direction=H","UseDPDF=Y")</f>
        <v>#NAME?</v>
      </c>
      <c r="S589" t="e">
        <f ca="1">_xll.BDH($C$578,"SUSTAIN_GROWTH_RT","FQ1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589" s="2" t="e">
        <f ca="1">_xll.BDH($C$578,"SALES_GROWTH","FQ1 2016","FQ1 2016","Currency=INR","Period=FQ","BEST_FPERIOD_OVERRIDE=FQ","FILING_STATUS=OR","EQY_CONSOLIDATED=Y","FA_ADJUSTED=GAAP","Sort=A","Dates=H","DateFormat=P","Fill=—","Direction=H","UseDPDF=Y")</f>
        <v>#NAME?</v>
      </c>
      <c r="U589" s="2" t="e">
        <f ca="1">_xll.BDH($C$578,"EBITDA_GROWTH","FQ1 2016","FQ1 2016","Currency=INR","Period=FQ","BEST_FPERIOD_OVERRIDE=FQ","FILING_STATUS=OR","EQY_CONSOLIDATED=Y","FA_ADJUSTED=GAAP","Sort=A","Dates=H","DateFormat=P","Fill=—","Direction=H","UseDPDF=Y")</f>
        <v>#NAME?</v>
      </c>
      <c r="V589" s="2" t="e">
        <f ca="1">_xll.BDH($C$578,"OPER_INC_GROWTH","FQ1 2016","FQ1 2016","Currency=INR","Period=FQ","BEST_FPERIOD_OVERRIDE=FQ","FILING_STATUS=OR","EQY_CONSOLIDATED=Y","FA_ADJUSTED=GAAP","Sort=A","Dates=H","DateFormat=P","Fill=—","Direction=H","UseDPDF=Y")</f>
        <v>#NAME?</v>
      </c>
      <c r="W589" s="2" t="e">
        <f ca="1">_xll.BDH($C$578,"EARN_FOR_COM_GROWTH","FQ1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589" s="2" t="e">
        <f ca="1">_xll.BDH($C$578,"DILUTED_EPS_AFT_XO_ITEMS_GROWTH","FQ1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589" s="2" t="e">
        <f ca="1">_xll.BDH($C$578,"DIVIDEND_PER_SHARE_1_YEAR_GROWTH","FQ1 2016","FQ1 2016","Currency=INR","Period=FQ","BEST_FPERIOD_OVERRIDE=FQ","FILING_STATUS=OR","EQY_CONSOLIDATED=Y","Sort=A","Dates=H","DateFormat=P","Fill=—","Direction=H","UseDPDF=Y")</f>
        <v>#NAME?</v>
      </c>
      <c r="Z589" s="2" t="e">
        <f ca="1">_xll.BDH($C$578,"ACCOUNTS_RECEIVABLE_GROWTH","FQ1 2016","FQ1 2016","Currency=INR","Period=FQ","BEST_FPERIOD_OVERRIDE=FQ","FILING_STATUS=OR","EQY_CONSOLIDATED=Y","Sort=A","Dates=H","DateFormat=P","Fill=—","Direction=H","UseDPDF=Y")</f>
        <v>#NAME?</v>
      </c>
      <c r="AA589" s="2" t="e">
        <f ca="1">_xll.BDH($C$578,"INVENTORY_GROWTH","FQ1 2016","FQ1 2016","Currency=INR","Period=FQ","BEST_FPERIOD_OVERRIDE=FQ","FILING_STATUS=OR","EQY_CONSOLIDATED=Y","Sort=A","Dates=H","DateFormat=P","Fill=—","Direction=H","UseDPDF=Y")</f>
        <v>#NAME?</v>
      </c>
      <c r="AB589" s="2" t="e">
        <f ca="1">_xll.BDH($C$578,"NET_FIXED_ASSETS_1_YEAR_GROWTH","FQ1 2016","FQ1 2016","Currency=INR","Period=FQ","BEST_FPERIOD_OVERRIDE=FQ","FILING_STATUS=OR","EQY_CONSOLIDATED=Y","Sort=A","Dates=H","DateFormat=P","Fill=—","Direction=H","UseDPDF=Y")</f>
        <v>#NAME?</v>
      </c>
      <c r="AC589" s="2" t="e">
        <f ca="1">_xll.BDH($C$578,"ASSET_GROWTH","FQ1 2016","FQ1 2016","Currency=INR","Period=FQ","BEST_FPERIOD_OVERRIDE=FQ","FILING_STATUS=OR","EQY_CONSOLIDATED=Y","Sort=A","Dates=H","DateFormat=P","Fill=—","Direction=H","UseDPDF=Y")</f>
        <v>#NAME?</v>
      </c>
      <c r="AD589" s="2" t="e">
        <f ca="1">_xll.BDH($C$578,"MODIFIED_WORK_CAP_GROWTH","FQ1 2016","FQ1 2016","Currency=INR","Period=FQ","BEST_FPERIOD_OVERRIDE=FQ","FILING_STATUS=OR","EQY_CONSOLIDATED=Y","Sort=A","Dates=H","DateFormat=P","Fill=—","Direction=H","UseDPDF=Y")</f>
        <v>#NAME?</v>
      </c>
      <c r="AE589" s="2" t="e">
        <f ca="1">_xll.BDH($C$578,"WORK_CAP_GROWTH","FQ1 2016","FQ1 2016","Currency=INR","Period=FQ","BEST_FPERIOD_OVERRIDE=FQ","FILING_STATUS=OR","EQY_CONSOLIDATED=Y","Sort=A","Dates=H","DateFormat=P","Fill=—","Direction=H","UseDPDF=Y")</f>
        <v>#NAME?</v>
      </c>
      <c r="AF589" s="2" t="e">
        <f ca="1">_xll.BDH($C$578,"ACCOUNTS_PAYABLE_GROWTH_1YR","FQ1 2016","FQ1 2016","Currency=INR","Period=FQ","BEST_FPERIOD_OVERRIDE=FQ","FILING_STATUS=OR","EQY_CONSOLIDATED=Y","Sort=A","Dates=H","DateFormat=P","Fill=—","Direction=H","UseDPDF=Y")</f>
        <v>#NAME?</v>
      </c>
      <c r="AG589" s="2" t="e">
        <f ca="1">_xll.BDH($C$578,"SHORT_TERM_DEBT_1_YEAR_GROWTH","FQ1 2016","FQ1 2016","Currency=INR","Period=FQ","BEST_FPERIOD_OVERRIDE=FQ","FILING_STATUS=OR","EQY_CONSOLIDATED=Y","Sort=A","Dates=H","DateFormat=P","Fill=—","Direction=H","UseDPDF=Y")</f>
        <v>#NAME?</v>
      </c>
      <c r="AH589" s="2" t="e">
        <f ca="1">_xll.BDH($C$578,"TOTAL_DEBT_1_YEAR_GROWTH","FQ1 2016","FQ1 2016","Currency=INR","Period=FQ","BEST_FPERIOD_OVERRIDE=FQ","FILING_STATUS=OR","EQY_CONSOLIDATED=Y","Sort=A","Dates=H","DateFormat=P","Fill=—","Direction=H","UseDPDF=Y")</f>
        <v>#NAME?</v>
      </c>
      <c r="AI589" s="2" t="e">
        <f ca="1">_xll.BDH($C$578,"TOTAL_EQUITY_1_YEAR_GROWTH","FQ1 2016","FQ1 2016","Currency=INR","Period=FQ","BEST_FPERIOD_OVERRIDE=FQ","FILING_STATUS=OR","EQY_CONSOLIDATED=Y","Sort=A","Dates=H","DateFormat=P","Fill=—","Direction=H","UseDPDF=Y")</f>
        <v>#NAME?</v>
      </c>
      <c r="AJ589" s="2" t="e">
        <f ca="1">_xll.BDH($C$578,"GROWTH_IN_CAP","FQ1 2016","FQ1 2016","Currency=INR","Period=FQ","BEST_FPERIOD_OVERRIDE=FQ","FILING_STATUS=OR","EQY_CONSOLIDATED=Y","Sort=A","Dates=H","DateFormat=P","Fill=—","Direction=H","UseDPDF=Y")</f>
        <v>#NAME?</v>
      </c>
      <c r="AK589" s="2" t="e">
        <f ca="1">_xll.BDH($C$578,"BVPS_GROWTH","FQ1 2016","FQ1 2016","Currency=INR","Period=FQ","BEST_FPERIOD_OVERRIDE=FQ","FILING_STATUS=OR","EQY_CONSOLIDATED=Y","Sort=A","Dates=H","DateFormat=P","Fill=—","Direction=H","UseDPDF=Y")</f>
        <v>#NAME?</v>
      </c>
      <c r="AL589" s="2" t="e">
        <f ca="1">_xll.BDH($C$578,"CASH_FLOW_GROWTH","FQ1 2016","FQ1 2016","Currency=INR","Period=FQ","BEST_FPERIOD_OVERRIDE=FQ","FILING_STATUS=OR","EQY_CONSOLIDATED=Y","Sort=A","Dates=H","DateFormat=P","Fill=—","Direction=H","UseDPDF=Y")</f>
        <v>#NAME?</v>
      </c>
      <c r="AM589" s="2" t="e">
        <f ca="1">_xll.BDH($C$578,"GEO_GROW_NET_SALES","FQ1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589" s="2" t="e">
        <f ca="1">_xll.BDH($C$578,"GEO_GROW_EBITDA","FQ1 2016","FQ1 2016","Currency=INR","Period=FQ","BEST_FPERIOD_OVERRIDE=FQ","FILING_STATUS=OR","EQY_CONSOLIDATED=Y","FA_ADJUSTED=GAAP","Sort=A","Dates=H","DateFormat=P","Fill=—","Direction=H","UseDPDF=Y")</f>
        <v>#NAME?</v>
      </c>
      <c r="AO589" s="2" t="e">
        <f ca="1">_xll.BDH($C$578,"GEO_GROW_OPER_INC","FQ1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589" s="2" t="e">
        <f ca="1">_xll.BDH($C$578,"NET_INCOME_TO_COMMON_5_YR_GROWTH","FQ1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589" s="2" t="e">
        <f ca="1">_xll.BDH($C$578,"5Y_GEO_GROWTH_DILUTED_EPS","FQ1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589" s="2" t="e">
        <f ca="1">_xll.BDH($C$578,"GEO_GROW_DVD_PER_SH","FQ1 2016","FQ1 2016","Currency=INR","Period=FQ","BEST_FPERIOD_OVERRIDE=FQ","FILING_STATUS=OR","EQY_CONSOLIDATED=Y","Sort=A","Dates=H","DateFormat=P","Fill=—","Direction=H","UseDPDF=Y")</f>
        <v>#NAME?</v>
      </c>
      <c r="AS589" s="2" t="e">
        <f ca="1">_xll.BDH($C$578,"ACCOUNTS_RECEIVABLE_5_YR_GROWTH","FQ1 2016","FQ1 2016","Currency=INR","Period=FQ","BEST_FPERIOD_OVERRIDE=FQ","FILING_STATUS=OR","EQY_CONSOLIDATED=Y","Sort=A","Dates=H","DateFormat=P","Fill=—","Direction=H","UseDPDF=Y")</f>
        <v>#NAME?</v>
      </c>
      <c r="AT589" s="2" t="e">
        <f ca="1">_xll.BDH($C$578,"INVENTORY_5_YEAR_GROWTH","FQ1 2016","FQ1 2016","Currency=INR","Period=FQ","BEST_FPERIOD_OVERRIDE=FQ","FILING_STATUS=OR","EQY_CONSOLIDATED=Y","Sort=A","Dates=H","DateFormat=P","Fill=—","Direction=H","UseDPDF=Y")</f>
        <v>#NAME?</v>
      </c>
      <c r="AU589" s="2" t="e">
        <f ca="1">_xll.BDH($C$578,"NET_FIXED_ASSETS_5_YEAR_GROWTH","FQ1 2016","FQ1 2016","Currency=INR","Period=FQ","BEST_FPERIOD_OVERRIDE=FQ","FILING_STATUS=OR","EQY_CONSOLIDATED=Y","Sort=A","Dates=H","DateFormat=P","Fill=—","Direction=H","UseDPDF=Y")</f>
        <v>#NAME?</v>
      </c>
      <c r="AV589" s="2" t="e">
        <f ca="1">_xll.BDH($C$578,"GEO_GROW_TOT_ASSET","FQ1 2016","FQ1 2016","Currency=INR","Period=FQ","BEST_FPERIOD_OVERRIDE=FQ","FILING_STATUS=OR","EQY_CONSOLIDATED=Y","Sort=A","Dates=H","DateFormat=P","Fill=—","Direction=H","UseDPDF=Y")</f>
        <v>#NAME?</v>
      </c>
      <c r="AW589" s="2" t="e">
        <f ca="1">_xll.BDH($C$578,"MODIFIED_WORKING_CPTL_5YR_GRWTH","FQ1 2016","FQ1 2016","Currency=INR","Period=FQ","BEST_FPERIOD_OVERRIDE=FQ","FILING_STATUS=OR","EQY_CONSOLIDATED=Y","Sort=A","Dates=H","DateFormat=P","Fill=—","Direction=H","UseDPDF=Y")</f>
        <v>#NAME?</v>
      </c>
      <c r="AX589" s="2" t="e">
        <f ca="1">_xll.BDH($C$578,"WORKING_CAPITAL_5_YEAR_GROWTH","FQ1 2016","FQ1 2016","Currency=INR","Period=FQ","BEST_FPERIOD_OVERRIDE=FQ","FILING_STATUS=OR","EQY_CONSOLIDATED=Y","Sort=A","Dates=H","DateFormat=P","Fill=—","Direction=H","UseDPDF=Y")</f>
        <v>#NAME?</v>
      </c>
      <c r="AY589" s="2" t="e">
        <f ca="1">_xll.BDH($C$578,"ACCOUNTS_PAYABLE_5_YEAR_GROWTH","FQ1 2016","FQ1 2016","Currency=INR","Period=FQ","BEST_FPERIOD_OVERRIDE=FQ","FILING_STATUS=OR","EQY_CONSOLIDATED=Y","Sort=A","Dates=H","DateFormat=P","Fill=—","Direction=H","UseDPDF=Y")</f>
        <v>#NAME?</v>
      </c>
      <c r="AZ589" s="2" t="e">
        <f ca="1">_xll.BDH($C$578,"SHORT_TERM_DEBT_5_YEAR_GROWTH","FQ1 2016","FQ1 2016","Currency=INR","Period=FQ","BEST_FPERIOD_OVERRIDE=FQ","FILING_STATUS=OR","EQY_CONSOLIDATED=Y","Sort=A","Dates=H","DateFormat=P","Fill=—","Direction=H","UseDPDF=Y")</f>
        <v>#NAME?</v>
      </c>
      <c r="BA589" s="2" t="e">
        <f ca="1">_xll.BDH($C$578,"TOTAL_DEBT_5_YEAR_GROWTH","FQ1 2016","FQ1 2016","Currency=INR","Period=FQ","BEST_FPERIOD_OVERRIDE=FQ","FILING_STATUS=OR","EQY_CONSOLIDATED=Y","Sort=A","Dates=H","DateFormat=P","Fill=—","Direction=H","UseDPDF=Y")</f>
        <v>#NAME?</v>
      </c>
      <c r="BB589" s="2" t="e">
        <f ca="1">_xll.BDH($C$578,"GEO_GROW_TOT_SHRHLDR_EQY","FQ1 2016","FQ1 2016","Currency=INR","Period=FQ","BEST_FPERIOD_OVERRIDE=FQ","FILING_STATUS=OR","EQY_CONSOLIDATED=Y","Sort=A","Dates=H","DateFormat=P","Fill=—","Direction=H","UseDPDF=Y")</f>
        <v>#NAME?</v>
      </c>
      <c r="BC589" s="2" t="e">
        <f ca="1">_xll.BDH($C$578,"TOTAL_CAPITAL_5_YEAR_GROWTH","FQ1 2016","FQ1 2016","Currency=INR","Period=FQ","BEST_FPERIOD_OVERRIDE=FQ","FILING_STATUS=OR","EQY_CONSOLIDATED=Y","Sort=A","Dates=H","DateFormat=P","Fill=—","Direction=H","UseDPDF=Y")</f>
        <v>#NAME?</v>
      </c>
      <c r="BD589" s="2" t="e">
        <f ca="1">_xll.BDH($C$578,"GEO_GROW_BOOK_VAL","FQ1 2016","FQ1 2016","Currency=INR","Period=FQ","BEST_FPERIOD_OVERRIDE=FQ","FILING_STATUS=OR","EQY_CONSOLIDATED=Y","Sort=A","Dates=H","DateFormat=P","Fill=—","Direction=H","UseDPDF=Y")</f>
        <v>#NAME?</v>
      </c>
      <c r="BE589" s="2" t="e">
        <f ca="1">_xll.BDH($C$578,"GEO_GROW_CASH_OPER_ACT","FQ1 2016","FQ1 2016","Currency=INR","Period=FQ","BEST_FPERIOD_OVERRIDE=FQ","FILING_STATUS=OR","EQY_CONSOLIDATED=Y","Sort=A","Dates=H","DateFormat=P","Fill=—","Direction=H","UseDPDF=Y")</f>
        <v>#NAME?</v>
      </c>
      <c r="BF589" s="2" t="e">
        <f ca="1">_xll.BDH($C$578,"REVENUE_SEQUENTIAL_GROWTH","FQ1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589" s="2" t="e">
        <f ca="1">_xll.BDH($C$578,"EBITDA_SEQUENTIAL_GROWTH","FQ1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589" s="2" t="e">
        <f ca="1">_xll.BDH($C$578,"OPERATING_INCOME_SEQ_GROWTH","FQ1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589" s="2" t="e">
        <f ca="1">_xll.BDH($C$578,"NET_INCOME_TO_COMMON_SEQ_GROWTH","FQ1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589" s="2" t="e">
        <f ca="1">_xll.BDH($C$578,"EPS_DILUTED_SEQUENTIAL_GROWTH","FQ1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589" s="2" t="e">
        <f ca="1">_xll.BDH($C$578,"DPS_SEQUENTIAL_GROWTH","FQ1 2016","FQ1 2016","Currency=INR","Period=FQ","BEST_FPERIOD_OVERRIDE=FQ","FILING_STATUS=OR","EQY_CONSOLIDATED=Y","Sort=A","Dates=H","DateFormat=P","Fill=—","Direction=H","UseDPDF=Y")</f>
        <v>#NAME?</v>
      </c>
      <c r="BL589" s="2" t="e">
        <f ca="1">_xll.BDH($C$578,"ACCOUNTS_RECEIVABLE_SEQ_GROWTH","FQ1 2016","FQ1 2016","Currency=INR","Period=FQ","BEST_FPERIOD_OVERRIDE=FQ","FILING_STATUS=OR","EQY_CONSOLIDATED=Y","Sort=A","Dates=H","DateFormat=P","Fill=—","Direction=H","UseDPDF=Y")</f>
        <v>#NAME?</v>
      </c>
      <c r="BM589" s="2" t="e">
        <f ca="1">_xll.BDH($C$578,"INVENTORY_SEQUENTIAL_GROWTH","FQ1 2016","FQ1 2016","Currency=INR","Period=FQ","BEST_FPERIOD_OVERRIDE=FQ","FILING_STATUS=OR","EQY_CONSOLIDATED=Y","Sort=A","Dates=H","DateFormat=P","Fill=—","Direction=H","UseDPDF=Y")</f>
        <v>#NAME?</v>
      </c>
      <c r="BN589" s="2" t="e">
        <f ca="1">_xll.BDH($C$578,"FIXED_ASSETS_SEQUENTIAL_GROWTH","FQ1 2016","FQ1 2016","Currency=INR","Period=FQ","BEST_FPERIOD_OVERRIDE=FQ","FILING_STATUS=OR","EQY_CONSOLIDATED=Y","Sort=A","Dates=H","DateFormat=P","Fill=—","Direction=H","UseDPDF=Y")</f>
        <v>#NAME?</v>
      </c>
      <c r="BO589" s="2" t="e">
        <f ca="1">_xll.BDH($C$578,"TOTAL_ASSETS_SEQUENTIAL_GROWTH","FQ1 2016","FQ1 2016","Currency=INR","Period=FQ","BEST_FPERIOD_OVERRIDE=FQ","FILING_STATUS=OR","EQY_CONSOLIDATED=Y","Sort=A","Dates=H","DateFormat=P","Fill=—","Direction=H","UseDPDF=Y")</f>
        <v>#NAME?</v>
      </c>
      <c r="BP589" s="2" t="e">
        <f ca="1">_xll.BDH($C$578,"MODIFIED_WORKING_CPTL_SEQ_GRWTH","FQ1 2016","FQ1 2016","Currency=INR","Period=FQ","BEST_FPERIOD_OVERRIDE=FQ","FILING_STATUS=OR","EQY_CONSOLIDATED=Y","Sort=A","Dates=H","DateFormat=P","Fill=—","Direction=H","UseDPDF=Y")</f>
        <v>#NAME?</v>
      </c>
      <c r="BQ589" s="2" t="e">
        <f ca="1">_xll.BDH($C$578,"WORKING_CAPITAL_SEQ_GROWTH","FQ1 2016","FQ1 2016","Currency=INR","Period=FQ","BEST_FPERIOD_OVERRIDE=FQ","FILING_STATUS=OR","EQY_CONSOLIDATED=Y","Sort=A","Dates=H","DateFormat=P","Fill=—","Direction=H","UseDPDF=Y")</f>
        <v>#NAME?</v>
      </c>
      <c r="BR589" s="2" t="e">
        <f ca="1">_xll.BDH($C$578,"ACCOUNTS_PAYABLE_SEQ_GROWTH","FQ1 2016","FQ1 2016","Currency=INR","Period=FQ","BEST_FPERIOD_OVERRIDE=FQ","FILING_STATUS=OR","EQY_CONSOLIDATED=Y","Sort=A","Dates=H","DateFormat=P","Fill=—","Direction=H","UseDPDF=Y")</f>
        <v>#NAME?</v>
      </c>
      <c r="BS589" s="2" t="e">
        <f ca="1">_xll.BDH($C$578,"ST_DEBT_SEQUENTIAL_GROWTH","FQ1 2016","FQ1 2016","Currency=INR","Period=FQ","BEST_FPERIOD_OVERRIDE=FQ","FILING_STATUS=OR","EQY_CONSOLIDATED=Y","Sort=A","Dates=H","DateFormat=P","Fill=—","Direction=H","UseDPDF=Y")</f>
        <v>#NAME?</v>
      </c>
      <c r="BT589" s="2" t="e">
        <f ca="1">_xll.BDH($C$578,"TOTAL_DEBT_SEQUENTIAL_GROWTH","FQ1 2016","FQ1 2016","Currency=INR","Period=FQ","BEST_FPERIOD_OVERRIDE=FQ","FILING_STATUS=OR","EQY_CONSOLIDATED=Y","Sort=A","Dates=H","DateFormat=P","Fill=—","Direction=H","UseDPDF=Y")</f>
        <v>#NAME?</v>
      </c>
      <c r="BU589" s="2" t="e">
        <f ca="1">_xll.BDH($C$578,"TOTAL_EQUITY_SEQUENTIAL_GROWTH","FQ1 2016","FQ1 2016","Currency=INR","Period=FQ","BEST_FPERIOD_OVERRIDE=FQ","FILING_STATUS=OR","EQY_CONSOLIDATED=Y","Sort=A","Dates=H","DateFormat=P","Fill=—","Direction=H","UseDPDF=Y")</f>
        <v>#NAME?</v>
      </c>
      <c r="BV589" s="2" t="e">
        <f ca="1">_xll.BDH($C$578,"TOTAL_CAPITAL_SEQUENTIAL_GROWTH","FQ1 2016","FQ1 2016","Currency=INR","Period=FQ","BEST_FPERIOD_OVERRIDE=FQ","FILING_STATUS=OR","EQY_CONSOLIDATED=Y","Sort=A","Dates=H","DateFormat=P","Fill=—","Direction=H","UseDPDF=Y")</f>
        <v>#NAME?</v>
      </c>
      <c r="BW589" s="2" t="e">
        <f ca="1">_xll.BDH($C$578,"BPS_SEQUENTIAL_GROWTH","FQ1 2016","FQ1 2016","Currency=INR","Period=FQ","BEST_FPERIOD_OVERRIDE=FQ","FILING_STATUS=OR","EQY_CONSOLIDATED=Y","Sort=A","Dates=H","DateFormat=P","Fill=—","Direction=H","UseDPDF=Y")</f>
        <v>#NAME?</v>
      </c>
      <c r="BX589" s="2" t="e">
        <f ca="1">_xll.BDH($C$578,"CFO_SEQUENTIAL_GROWTH","FQ1 2016","FQ1 2016","Currency=INR","Period=FQ","BEST_FPERIOD_OVERRIDE=FQ","FILING_STATUS=OR","EQY_CONSOLIDATED=Y","Sort=A","Dates=H","DateFormat=P","Fill=—","Direction=H","UseDPDF=Y")</f>
        <v>#NAME?</v>
      </c>
      <c r="BY589" s="3" t="e">
        <f ca="1">_xll.BDH($C$578,"SHORT_AND_LONG_TERM_DEBT","FQ1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589" s="3" t="e">
        <f ca="1">_xll.BDH($C$578,"BS_ST_BORROW","FQ1 2016","FQ1 2016","Currency=INR","Period=FQ","BEST_FPERIOD_OVERRIDE=FQ","FILING_STATUS=OR","EQY_CONSOLIDATED=Y","SCALING_FORMAT=MLN","Sort=A","Dates=H","DateFormat=P","Fill=—","Direction=H","UseDPDF=Y")</f>
        <v>#NAME?</v>
      </c>
      <c r="CA589" s="3" t="e">
        <f ca="1">_xll.BDH($C$578,"BS_LT_BORROW","FQ1 2016","FQ1 2016","Currency=INR","Period=FQ","BEST_FPERIOD_OVERRIDE=FQ","FILING_STATUS=OR","EQY_CONSOLIDATED=Y","SCALING_FORMAT=MLN","Sort=A","Dates=H","DateFormat=P","Fill=—","Direction=H","UseDPDF=Y")</f>
        <v>#NAME?</v>
      </c>
      <c r="CB589" s="2" t="e">
        <f ca="1">_xll.BDH($C$578,"TOT_DEBT_TO_EBITDA","FQ1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589" s="2" t="e">
        <f ca="1">_xll.BDH($C$578,"NET_DEBT_TO_EBITDA","FQ1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589" s="2" t="e">
        <f ca="1">_xll.BDH($C$578,"TOTAL_DEBT_TO_EBIT","FQ1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589" s="2" t="e">
        <f ca="1">_xll.BDH($C$578,"NET_DEBT_TO_EBIT","FQ1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589" s="2" t="e">
        <f ca="1">_xll.BDH($C$578,"EBITDA_TO_INTEREST_EXPN","FQ1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589" s="2" t="e">
        <f ca="1">_xll.BDH($C$578,"COM_EQY_TO_TOT_ASSET","FQ1 2016","FQ1 2016","Currency=INR","Period=FQ","BEST_FPERIOD_OVERRIDE=FQ","FILING_STATUS=OR","EQY_CONSOLIDATED=Y","Sort=A","Dates=H","DateFormat=P","Fill=—","Direction=H","UseDPDF=Y")</f>
        <v>#NAME?</v>
      </c>
      <c r="CH589" s="2" t="e">
        <f ca="1">_xll.BDH($C$578,"LT_DEBT_TO_TOT_EQY","FQ1 2016","FQ1 2016","Currency=INR","Period=FQ","BEST_FPERIOD_OVERRIDE=FQ","FILING_STATUS=OR","EQY_CONSOLIDATED=Y","Sort=A","Dates=H","DateFormat=P","Fill=—","Direction=H","UseDPDF=Y")</f>
        <v>#NAME?</v>
      </c>
      <c r="CI589" s="2" t="e">
        <f ca="1">_xll.BDH($C$578,"LT_DEBT_TO_TOT_CAP","FQ1 2016","FQ1 2016","Currency=INR","Period=FQ","BEST_FPERIOD_OVERRIDE=FQ","FILING_STATUS=OR","EQY_CONSOLIDATED=Y","Sort=A","Dates=H","DateFormat=P","Fill=—","Direction=H","UseDPDF=Y")</f>
        <v>#NAME?</v>
      </c>
      <c r="CJ589" s="2" t="e">
        <f ca="1">_xll.BDH($C$578,"LT_DEBT_TO_TOT_ASSET","FQ1 2016","FQ1 2016","Currency=INR","Period=FQ","BEST_FPERIOD_OVERRIDE=FQ","FILING_STATUS=OR","EQY_CONSOLIDATED=Y","Sort=A","Dates=H","DateFormat=P","Fill=—","Direction=H","UseDPDF=Y")</f>
        <v>#NAME?</v>
      </c>
      <c r="CK589" s="2" t="e">
        <f ca="1">_xll.BDH($C$578,"TOT_DEBT_TO_TOT_EQY","FQ1 2016","FQ1 2016","Currency=INR","Period=FQ","BEST_FPERIOD_OVERRIDE=FQ","FILING_STATUS=OR","EQY_CONSOLIDATED=Y","Sort=A","Dates=H","DateFormat=P","Fill=—","Direction=H","UseDPDF=Y")</f>
        <v>#NAME?</v>
      </c>
      <c r="CL589" s="2" t="e">
        <f ca="1">_xll.BDH($C$578,"TOT_DEBT_TO_TOT_CAP","FQ1 2016","FQ1 2016","Currency=INR","Period=FQ","BEST_FPERIOD_OVERRIDE=FQ","FILING_STATUS=OR","EQY_CONSOLIDATED=Y","Sort=A","Dates=H","DateFormat=P","Fill=—","Direction=H","UseDPDF=Y")</f>
        <v>#NAME?</v>
      </c>
      <c r="CM589" s="2" t="e">
        <f ca="1">_xll.BDH($C$578,"TOT_DEBT_TO_TOT_ASSET","FQ1 2016","FQ1 2016","Currency=INR","Period=FQ","BEST_FPERIOD_OVERRIDE=FQ","FILING_STATUS=OR","EQY_CONSOLIDATED=Y","Sort=A","Dates=H","DateFormat=P","Fill=—","Direction=H","UseDPDF=Y")</f>
        <v>#NAME?</v>
      </c>
      <c r="CN589" s="2" t="e">
        <f ca="1">_xll.BDH($C$578,"NET_DEBT_TO_SHRHLDR_EQTY","FQ1 2016","FQ1 2016","Currency=INR","Period=FQ","BEST_FPERIOD_OVERRIDE=FQ","FILING_STATUS=OR","EQY_CONSOLIDATED=Y","Sort=A","Dates=H","DateFormat=P","Fill=—","Direction=H","UseDPDF=Y")</f>
        <v>#NAME?</v>
      </c>
      <c r="CO589" s="2" t="e">
        <f ca="1">_xll.BDH($C$578,"NET_DEBT_%_CAPITAL","FQ1 2016","FQ1 2016","Currency=INR","Period=FQ","BEST_FPERIOD_OVERRIDE=FQ","FILING_STATUS=OR","EQY_CONSOLIDATED=Y","Sort=A","Dates=H","DateFormat=P","Fill=—","Direction=H","UseDPDF=Y")</f>
        <v>#NAME?</v>
      </c>
      <c r="CP589" s="3" t="e">
        <f ca="1">_xll.BDH($C$578,"EBITDA","FQ1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589" s="3" t="e">
        <f ca="1">_xll.BDH($C$578,"EBITDA_AFTER_CAPEX","FQ1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589" s="3" t="e">
        <f ca="1">_xll.BDH($C$578,"IS_OPER_INC","FQ1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589" s="2" t="e">
        <f ca="1">_xll.BDH($C$578,"CASH_RATIO","FQ1 2016","FQ1 2016","Currency=INR","Period=FQ","BEST_FPERIOD_OVERRIDE=FQ","FILING_STATUS=OR","EQY_CONSOLIDATED=Y","Sort=A","Dates=H","DateFormat=P","Fill=—","Direction=H","UseDPDF=Y")</f>
        <v>#NAME?</v>
      </c>
      <c r="CT589" s="2" t="e">
        <f ca="1">_xll.BDH($C$578,"CUR_RATIO","FQ1 2016","FQ1 2016","Currency=INR","Period=FQ","BEST_FPERIOD_OVERRIDE=FQ","FILING_STATUS=OR","EQY_CONSOLIDATED=Y","Sort=A","Dates=H","DateFormat=P","Fill=—","Direction=H","UseDPDF=Y")</f>
        <v>#NAME?</v>
      </c>
      <c r="CU589" s="2" t="e">
        <f ca="1">_xll.BDH($C$578,"QUICK_RATIO","FQ1 2016","FQ1 2016","Currency=INR","Period=FQ","BEST_FPERIOD_OVERRIDE=FQ","FILING_STATUS=OR","EQY_CONSOLIDATED=Y","Sort=A","Dates=H","DateFormat=P","Fill=—","Direction=H","UseDPDF=Y")</f>
        <v>#NAME?</v>
      </c>
      <c r="CV589" s="2" t="e">
        <f ca="1">_xll.BDH($C$578,"ALTMAN_Z_SCORE","FQ1 2016","FQ1 2016","Currency=INR","Period=FQ","BEST_FPERIOD_OVERRIDE=FQ","FILING_STATUS=OR","EQY_CONSOLIDATED=Y","Sort=A","Dates=H","DateFormat=P","Fill=—","Direction=H","UseDPDF=Y")</f>
        <v>#NAME?</v>
      </c>
      <c r="CW589" s="4" t="e">
        <f ca="1">_xll.BDH($C$578,"ACCT_RCV_TURN","FQ1 2016","FQ1 2016","Currency=INR","Period=FQ","BEST_FPERIOD_OVERRIDE=FQ","FILING_STATUS=OR","EQY_CONSOLIDATED=Y","FA_ADJUSTED=GAAP","Sort=A","Dates=H","DateFormat=P","Fill=—","Direction=H","UseDPDF=Y")</f>
        <v>#NAME?</v>
      </c>
      <c r="CX589" s="2" t="e">
        <f ca="1">_xll.BDH($C$578,"ACCT_RCV_DAYS","FQ1 2016","FQ1 2016","Currency=INR","Period=FQ","BEST_FPERIOD_OVERRIDE=FQ","FILING_STATUS=OR","EQY_CONSOLIDATED=Y","FA_ADJUSTED=GAAP","Sort=A","Dates=H","DateFormat=P","Fill=—","Direction=H","UseDPDF=Y")</f>
        <v>#NAME?</v>
      </c>
      <c r="CY589" s="4" t="e">
        <f ca="1">_xll.BDH($C$578,"INVENT_TURN","FQ1 2016","FQ1 2016","Currency=INR","Period=FQ","BEST_FPERIOD_OVERRIDE=FQ","FILING_STATUS=OR","EQY_CONSOLIDATED=Y","FA_ADJUSTED=GAAP","Sort=A","Dates=H","DateFormat=P","Fill=—","Direction=H","UseDPDF=Y")</f>
        <v>#NAME?</v>
      </c>
      <c r="CZ589" s="2" t="e">
        <f ca="1">_xll.BDH($C$578,"INVENT_DAYS","FQ1 2016","FQ1 2016","Currency=INR","Period=FQ","BEST_FPERIOD_OVERRIDE=FQ","FILING_STATUS=OR","EQY_CONSOLIDATED=Y","FA_ADJUSTED=GAAP","Sort=A","Dates=H","DateFormat=P","Fill=—","Direction=H","UseDPDF=Y")</f>
        <v>#NAME?</v>
      </c>
      <c r="DA589" s="4" t="e">
        <f ca="1">_xll.BDH($C$578,"ACCOUNTS_PAYABLE_TURNOVER","FQ1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589" s="2" t="e">
        <f ca="1">_xll.BDH($C$578,"ACCOUNTS_PAYABLE_TURNOVER_DAYS","FQ1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589" s="4" t="e">
        <f ca="1">_xll.BDH($C$578,"CASH_CONVERSION_CYCLE","FQ1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589" s="4" t="e">
        <f ca="1">_xll.BDH($C$578,"INV_TO_CASH_DAYS","FQ1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589" s="5" t="e">
        <f ca="1">_xll.BDH($C$578,"BS_INVENTORIES","FQ1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589" s="3" t="e">
        <f ca="1">_xll.BDH($C$578,"INVTRY_RAW_MATERIALS","FQ1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589" s="3" t="e">
        <f ca="1">_xll.BDH($C$578,"INVTRY_IN_PROGRESS","FQ1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589" s="3" t="e">
        <f ca="1">_xll.BDH($C$578,"INVTRY_FINISHED_GOODS","FQ1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589" s="3" t="e">
        <f ca="1">_xll.BDH($C$578,"BS_OTHER_INV","FQ1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590" spans="1:113" x14ac:dyDescent="0.3">
      <c r="A590" s="6"/>
      <c r="B590" s="6"/>
      <c r="C590" s="6"/>
      <c r="D590" s="6"/>
      <c r="E590" t="s">
        <v>79</v>
      </c>
      <c r="F590" t="e">
        <f ca="1">_xll.BDH($C$578,"RETURN_COM_EQY","FQ2 2016","FQ2 2016","Currency=INR","Period=FQ","BEST_FPERIOD_OVERRIDE=FQ","FILING_STATUS=OR","EQY_CONSOLIDATED=Y","FA_ADJUSTED=GAAP","Sort=A","Dates=H","DateFormat=P","Fill=—","Direction=H","UseDPDF=Y")</f>
        <v>#NAME?</v>
      </c>
      <c r="G590" t="e">
        <f ca="1">_xll.BDH($C$578,"RETURN_ON_ASSET","FQ2 2016","FQ2 2016","Currency=INR","Period=FQ","BEST_FPERIOD_OVERRIDE=FQ","FILING_STATUS=OR","EQY_CONSOLIDATED=Y","FA_ADJUSTED=GAAP","Sort=A","Dates=H","DateFormat=P","Fill=—","Direction=H","UseDPDF=Y")</f>
        <v>#NAME?</v>
      </c>
      <c r="H590" t="e">
        <f ca="1">_xll.BDH($C$578,"RETURN_ON_CAP","FQ2 2016","FQ2 2016","Currency=INR","Period=FQ","BEST_FPERIOD_OVERRIDE=FQ","FILING_STATUS=OR","EQY_CONSOLIDATED=Y","FA_ADJUSTED=GAAP","Sort=A","Dates=H","DateFormat=P","Fill=—","Direction=H","UseDPDF=Y")</f>
        <v>#NAME?</v>
      </c>
      <c r="I590" t="e">
        <f ca="1">_xll.BDH($C$578,"RETURN_ON_INV_CAPITAL","FQ2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590" t="e">
        <f ca="1">_xll.BDH($C$578,"EBITDA_TO_REVENUE","FQ2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590" t="e">
        <f ca="1">_xll.BDH($C$578,"OPER_MARGIN","FQ2 2016","FQ2 2016","Currency=INR","Period=FQ","BEST_FPERIOD_OVERRIDE=FQ","FILING_STATUS=OR","EQY_CONSOLIDATED=Y","FA_ADJUSTED=GAAP","Sort=A","Dates=H","DateFormat=P","Fill=—","Direction=H","UseDPDF=Y")</f>
        <v>#NAME?</v>
      </c>
      <c r="L590" t="e">
        <f ca="1">_xll.BDH($C$578,"INCREMENTAL_OPERATING_MARGIN","FQ2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590" t="e">
        <f ca="1">_xll.BDH($C$578,"PRETAX_INC_TO_NET_SALES","FQ2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590" t="e">
        <f ca="1">_xll.BDH($C$578,"INC_BEF_XO_ITEMS_TO_NET_SALES","FQ2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590" t="e">
        <f ca="1">_xll.BDH($C$578,"PROF_MARGIN","FQ2 2016","FQ2 2016","Currency=INR","Period=FQ","BEST_FPERIOD_OVERRIDE=FQ","FILING_STATUS=OR","EQY_CONSOLIDATED=Y","FA_ADJUSTED=GAAP","Sort=A","Dates=H","DateFormat=P","Fill=—","Direction=H","UseDPDF=Y")</f>
        <v>#NAME?</v>
      </c>
      <c r="P590" t="e">
        <f ca="1">_xll.BDH($C$578,"NET_INCOME_TO_COMMON_MARGIN","FQ2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590" t="e">
        <f ca="1">_xll.BDH($C$578,"EFF_TAX_RATE","FQ2 2016","FQ2 2016","Currency=INR","Period=FQ","BEST_FPERIOD_OVERRIDE=FQ","FILING_STATUS=OR","EQY_CONSOLIDATED=Y","FA_ADJUSTED=GAAP","Sort=A","Dates=H","DateFormat=P","Fill=—","Direction=H","UseDPDF=Y")</f>
        <v>#NAME?</v>
      </c>
      <c r="R590" t="e">
        <f ca="1">_xll.BDH($C$578,"DVD_PAYOUT_RATIO","FQ2 2016","FQ2 2016","Currency=INR","Period=FQ","BEST_FPERIOD_OVERRIDE=FQ","FILING_STATUS=OR","EQY_CONSOLIDATED=Y","FA_ADJUSTED=GAAP","Sort=A","Dates=H","DateFormat=P","Fill=—","Direction=H","UseDPDF=Y")</f>
        <v>#NAME?</v>
      </c>
      <c r="S590" t="e">
        <f ca="1">_xll.BDH($C$578,"SUSTAIN_GROWTH_RT","FQ2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590" s="2" t="e">
        <f ca="1">_xll.BDH($C$578,"SALES_GROWTH","FQ2 2016","FQ2 2016","Currency=INR","Period=FQ","BEST_FPERIOD_OVERRIDE=FQ","FILING_STATUS=OR","EQY_CONSOLIDATED=Y","FA_ADJUSTED=GAAP","Sort=A","Dates=H","DateFormat=P","Fill=—","Direction=H","UseDPDF=Y")</f>
        <v>#NAME?</v>
      </c>
      <c r="U590" s="2" t="e">
        <f ca="1">_xll.BDH($C$578,"EBITDA_GROWTH","FQ2 2016","FQ2 2016","Currency=INR","Period=FQ","BEST_FPERIOD_OVERRIDE=FQ","FILING_STATUS=OR","EQY_CONSOLIDATED=Y","FA_ADJUSTED=GAAP","Sort=A","Dates=H","DateFormat=P","Fill=—","Direction=H","UseDPDF=Y")</f>
        <v>#NAME?</v>
      </c>
      <c r="V590" s="2" t="e">
        <f ca="1">_xll.BDH($C$578,"OPER_INC_GROWTH","FQ2 2016","FQ2 2016","Currency=INR","Period=FQ","BEST_FPERIOD_OVERRIDE=FQ","FILING_STATUS=OR","EQY_CONSOLIDATED=Y","FA_ADJUSTED=GAAP","Sort=A","Dates=H","DateFormat=P","Fill=—","Direction=H","UseDPDF=Y")</f>
        <v>#NAME?</v>
      </c>
      <c r="W590" s="2" t="e">
        <f ca="1">_xll.BDH($C$578,"EARN_FOR_COM_GROWTH","FQ2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590" s="2" t="e">
        <f ca="1">_xll.BDH($C$578,"DILUTED_EPS_AFT_XO_ITEMS_GROWTH","FQ2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590" s="2" t="e">
        <f ca="1">_xll.BDH($C$578,"DIVIDEND_PER_SHARE_1_YEAR_GROWTH","FQ2 2016","FQ2 2016","Currency=INR","Period=FQ","BEST_FPERIOD_OVERRIDE=FQ","FILING_STATUS=OR","EQY_CONSOLIDATED=Y","Sort=A","Dates=H","DateFormat=P","Fill=—","Direction=H","UseDPDF=Y")</f>
        <v>#NAME?</v>
      </c>
      <c r="Z590" s="2" t="e">
        <f ca="1">_xll.BDH($C$578,"ACCOUNTS_RECEIVABLE_GROWTH","FQ2 2016","FQ2 2016","Currency=INR","Period=FQ","BEST_FPERIOD_OVERRIDE=FQ","FILING_STATUS=OR","EQY_CONSOLIDATED=Y","Sort=A","Dates=H","DateFormat=P","Fill=—","Direction=H","UseDPDF=Y")</f>
        <v>#NAME?</v>
      </c>
      <c r="AA590" s="2" t="e">
        <f ca="1">_xll.BDH($C$578,"INVENTORY_GROWTH","FQ2 2016","FQ2 2016","Currency=INR","Period=FQ","BEST_FPERIOD_OVERRIDE=FQ","FILING_STATUS=OR","EQY_CONSOLIDATED=Y","Sort=A","Dates=H","DateFormat=P","Fill=—","Direction=H","UseDPDF=Y")</f>
        <v>#NAME?</v>
      </c>
      <c r="AB590" s="2" t="e">
        <f ca="1">_xll.BDH($C$578,"NET_FIXED_ASSETS_1_YEAR_GROWTH","FQ2 2016","FQ2 2016","Currency=INR","Period=FQ","BEST_FPERIOD_OVERRIDE=FQ","FILING_STATUS=OR","EQY_CONSOLIDATED=Y","Sort=A","Dates=H","DateFormat=P","Fill=—","Direction=H","UseDPDF=Y")</f>
        <v>#NAME?</v>
      </c>
      <c r="AC590" s="2" t="e">
        <f ca="1">_xll.BDH($C$578,"ASSET_GROWTH","FQ2 2016","FQ2 2016","Currency=INR","Period=FQ","BEST_FPERIOD_OVERRIDE=FQ","FILING_STATUS=OR","EQY_CONSOLIDATED=Y","Sort=A","Dates=H","DateFormat=P","Fill=—","Direction=H","UseDPDF=Y")</f>
        <v>#NAME?</v>
      </c>
      <c r="AD590" s="2" t="e">
        <f ca="1">_xll.BDH($C$578,"MODIFIED_WORK_CAP_GROWTH","FQ2 2016","FQ2 2016","Currency=INR","Period=FQ","BEST_FPERIOD_OVERRIDE=FQ","FILING_STATUS=OR","EQY_CONSOLIDATED=Y","Sort=A","Dates=H","DateFormat=P","Fill=—","Direction=H","UseDPDF=Y")</f>
        <v>#NAME?</v>
      </c>
      <c r="AE590" s="2" t="e">
        <f ca="1">_xll.BDH($C$578,"WORK_CAP_GROWTH","FQ2 2016","FQ2 2016","Currency=INR","Period=FQ","BEST_FPERIOD_OVERRIDE=FQ","FILING_STATUS=OR","EQY_CONSOLIDATED=Y","Sort=A","Dates=H","DateFormat=P","Fill=—","Direction=H","UseDPDF=Y")</f>
        <v>#NAME?</v>
      </c>
      <c r="AF590" s="2" t="e">
        <f ca="1">_xll.BDH($C$578,"ACCOUNTS_PAYABLE_GROWTH_1YR","FQ2 2016","FQ2 2016","Currency=INR","Period=FQ","BEST_FPERIOD_OVERRIDE=FQ","FILING_STATUS=OR","EQY_CONSOLIDATED=Y","Sort=A","Dates=H","DateFormat=P","Fill=—","Direction=H","UseDPDF=Y")</f>
        <v>#NAME?</v>
      </c>
      <c r="AG590" s="2" t="e">
        <f ca="1">_xll.BDH($C$578,"SHORT_TERM_DEBT_1_YEAR_GROWTH","FQ2 2016","FQ2 2016","Currency=INR","Period=FQ","BEST_FPERIOD_OVERRIDE=FQ","FILING_STATUS=OR","EQY_CONSOLIDATED=Y","Sort=A","Dates=H","DateFormat=P","Fill=—","Direction=H","UseDPDF=Y")</f>
        <v>#NAME?</v>
      </c>
      <c r="AH590" s="2" t="e">
        <f ca="1">_xll.BDH($C$578,"TOTAL_DEBT_1_YEAR_GROWTH","FQ2 2016","FQ2 2016","Currency=INR","Period=FQ","BEST_FPERIOD_OVERRIDE=FQ","FILING_STATUS=OR","EQY_CONSOLIDATED=Y","Sort=A","Dates=H","DateFormat=P","Fill=—","Direction=H","UseDPDF=Y")</f>
        <v>#NAME?</v>
      </c>
      <c r="AI590" s="2" t="e">
        <f ca="1">_xll.BDH($C$578,"TOTAL_EQUITY_1_YEAR_GROWTH","FQ2 2016","FQ2 2016","Currency=INR","Period=FQ","BEST_FPERIOD_OVERRIDE=FQ","FILING_STATUS=OR","EQY_CONSOLIDATED=Y","Sort=A","Dates=H","DateFormat=P","Fill=—","Direction=H","UseDPDF=Y")</f>
        <v>#NAME?</v>
      </c>
      <c r="AJ590" s="2" t="e">
        <f ca="1">_xll.BDH($C$578,"GROWTH_IN_CAP","FQ2 2016","FQ2 2016","Currency=INR","Period=FQ","BEST_FPERIOD_OVERRIDE=FQ","FILING_STATUS=OR","EQY_CONSOLIDATED=Y","Sort=A","Dates=H","DateFormat=P","Fill=—","Direction=H","UseDPDF=Y")</f>
        <v>#NAME?</v>
      </c>
      <c r="AK590" s="2" t="e">
        <f ca="1">_xll.BDH($C$578,"BVPS_GROWTH","FQ2 2016","FQ2 2016","Currency=INR","Period=FQ","BEST_FPERIOD_OVERRIDE=FQ","FILING_STATUS=OR","EQY_CONSOLIDATED=Y","Sort=A","Dates=H","DateFormat=P","Fill=—","Direction=H","UseDPDF=Y")</f>
        <v>#NAME?</v>
      </c>
      <c r="AL590" s="2" t="e">
        <f ca="1">_xll.BDH($C$578,"CASH_FLOW_GROWTH","FQ2 2016","FQ2 2016","Currency=INR","Period=FQ","BEST_FPERIOD_OVERRIDE=FQ","FILING_STATUS=OR","EQY_CONSOLIDATED=Y","Sort=A","Dates=H","DateFormat=P","Fill=—","Direction=H","UseDPDF=Y")</f>
        <v>#NAME?</v>
      </c>
      <c r="AM590" s="2" t="e">
        <f ca="1">_xll.BDH($C$578,"GEO_GROW_NET_SALES","FQ2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590" s="2" t="e">
        <f ca="1">_xll.BDH($C$578,"GEO_GROW_EBITDA","FQ2 2016","FQ2 2016","Currency=INR","Period=FQ","BEST_FPERIOD_OVERRIDE=FQ","FILING_STATUS=OR","EQY_CONSOLIDATED=Y","FA_ADJUSTED=GAAP","Sort=A","Dates=H","DateFormat=P","Fill=—","Direction=H","UseDPDF=Y")</f>
        <v>#NAME?</v>
      </c>
      <c r="AO590" s="2" t="e">
        <f ca="1">_xll.BDH($C$578,"GEO_GROW_OPER_INC","FQ2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590" s="2" t="e">
        <f ca="1">_xll.BDH($C$578,"NET_INCOME_TO_COMMON_5_YR_GROWTH","FQ2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590" s="2" t="e">
        <f ca="1">_xll.BDH($C$578,"5Y_GEO_GROWTH_DILUTED_EPS","FQ2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590" s="2" t="e">
        <f ca="1">_xll.BDH($C$578,"GEO_GROW_DVD_PER_SH","FQ2 2016","FQ2 2016","Currency=INR","Period=FQ","BEST_FPERIOD_OVERRIDE=FQ","FILING_STATUS=OR","EQY_CONSOLIDATED=Y","Sort=A","Dates=H","DateFormat=P","Fill=—","Direction=H","UseDPDF=Y")</f>
        <v>#NAME?</v>
      </c>
      <c r="AS590" s="2" t="e">
        <f ca="1">_xll.BDH($C$578,"ACCOUNTS_RECEIVABLE_5_YR_GROWTH","FQ2 2016","FQ2 2016","Currency=INR","Period=FQ","BEST_FPERIOD_OVERRIDE=FQ","FILING_STATUS=OR","EQY_CONSOLIDATED=Y","Sort=A","Dates=H","DateFormat=P","Fill=—","Direction=H","UseDPDF=Y")</f>
        <v>#NAME?</v>
      </c>
      <c r="AT590" s="2" t="e">
        <f ca="1">_xll.BDH($C$578,"INVENTORY_5_YEAR_GROWTH","FQ2 2016","FQ2 2016","Currency=INR","Period=FQ","BEST_FPERIOD_OVERRIDE=FQ","FILING_STATUS=OR","EQY_CONSOLIDATED=Y","Sort=A","Dates=H","DateFormat=P","Fill=—","Direction=H","UseDPDF=Y")</f>
        <v>#NAME?</v>
      </c>
      <c r="AU590" s="2" t="e">
        <f ca="1">_xll.BDH($C$578,"NET_FIXED_ASSETS_5_YEAR_GROWTH","FQ2 2016","FQ2 2016","Currency=INR","Period=FQ","BEST_FPERIOD_OVERRIDE=FQ","FILING_STATUS=OR","EQY_CONSOLIDATED=Y","Sort=A","Dates=H","DateFormat=P","Fill=—","Direction=H","UseDPDF=Y")</f>
        <v>#NAME?</v>
      </c>
      <c r="AV590" s="2" t="e">
        <f ca="1">_xll.BDH($C$578,"GEO_GROW_TOT_ASSET","FQ2 2016","FQ2 2016","Currency=INR","Period=FQ","BEST_FPERIOD_OVERRIDE=FQ","FILING_STATUS=OR","EQY_CONSOLIDATED=Y","Sort=A","Dates=H","DateFormat=P","Fill=—","Direction=H","UseDPDF=Y")</f>
        <v>#NAME?</v>
      </c>
      <c r="AW590" s="2" t="e">
        <f ca="1">_xll.BDH($C$578,"MODIFIED_WORKING_CPTL_5YR_GRWTH","FQ2 2016","FQ2 2016","Currency=INR","Period=FQ","BEST_FPERIOD_OVERRIDE=FQ","FILING_STATUS=OR","EQY_CONSOLIDATED=Y","Sort=A","Dates=H","DateFormat=P","Fill=—","Direction=H","UseDPDF=Y")</f>
        <v>#NAME?</v>
      </c>
      <c r="AX590" s="2" t="e">
        <f ca="1">_xll.BDH($C$578,"WORKING_CAPITAL_5_YEAR_GROWTH","FQ2 2016","FQ2 2016","Currency=INR","Period=FQ","BEST_FPERIOD_OVERRIDE=FQ","FILING_STATUS=OR","EQY_CONSOLIDATED=Y","Sort=A","Dates=H","DateFormat=P","Fill=—","Direction=H","UseDPDF=Y")</f>
        <v>#NAME?</v>
      </c>
      <c r="AY590" s="2" t="e">
        <f ca="1">_xll.BDH($C$578,"ACCOUNTS_PAYABLE_5_YEAR_GROWTH","FQ2 2016","FQ2 2016","Currency=INR","Period=FQ","BEST_FPERIOD_OVERRIDE=FQ","FILING_STATUS=OR","EQY_CONSOLIDATED=Y","Sort=A","Dates=H","DateFormat=P","Fill=—","Direction=H","UseDPDF=Y")</f>
        <v>#NAME?</v>
      </c>
      <c r="AZ590" s="2" t="e">
        <f ca="1">_xll.BDH($C$578,"SHORT_TERM_DEBT_5_YEAR_GROWTH","FQ2 2016","FQ2 2016","Currency=INR","Period=FQ","BEST_FPERIOD_OVERRIDE=FQ","FILING_STATUS=OR","EQY_CONSOLIDATED=Y","Sort=A","Dates=H","DateFormat=P","Fill=—","Direction=H","UseDPDF=Y")</f>
        <v>#NAME?</v>
      </c>
      <c r="BA590" s="2" t="e">
        <f ca="1">_xll.BDH($C$578,"TOTAL_DEBT_5_YEAR_GROWTH","FQ2 2016","FQ2 2016","Currency=INR","Period=FQ","BEST_FPERIOD_OVERRIDE=FQ","FILING_STATUS=OR","EQY_CONSOLIDATED=Y","Sort=A","Dates=H","DateFormat=P","Fill=—","Direction=H","UseDPDF=Y")</f>
        <v>#NAME?</v>
      </c>
      <c r="BB590" s="2" t="e">
        <f ca="1">_xll.BDH($C$578,"GEO_GROW_TOT_SHRHLDR_EQY","FQ2 2016","FQ2 2016","Currency=INR","Period=FQ","BEST_FPERIOD_OVERRIDE=FQ","FILING_STATUS=OR","EQY_CONSOLIDATED=Y","Sort=A","Dates=H","DateFormat=P","Fill=—","Direction=H","UseDPDF=Y")</f>
        <v>#NAME?</v>
      </c>
      <c r="BC590" s="2" t="e">
        <f ca="1">_xll.BDH($C$578,"TOTAL_CAPITAL_5_YEAR_GROWTH","FQ2 2016","FQ2 2016","Currency=INR","Period=FQ","BEST_FPERIOD_OVERRIDE=FQ","FILING_STATUS=OR","EQY_CONSOLIDATED=Y","Sort=A","Dates=H","DateFormat=P","Fill=—","Direction=H","UseDPDF=Y")</f>
        <v>#NAME?</v>
      </c>
      <c r="BD590" s="2" t="e">
        <f ca="1">_xll.BDH($C$578,"GEO_GROW_BOOK_VAL","FQ2 2016","FQ2 2016","Currency=INR","Period=FQ","BEST_FPERIOD_OVERRIDE=FQ","FILING_STATUS=OR","EQY_CONSOLIDATED=Y","Sort=A","Dates=H","DateFormat=P","Fill=—","Direction=H","UseDPDF=Y")</f>
        <v>#NAME?</v>
      </c>
      <c r="BE590" s="2" t="e">
        <f ca="1">_xll.BDH($C$578,"GEO_GROW_CASH_OPER_ACT","FQ2 2016","FQ2 2016","Currency=INR","Period=FQ","BEST_FPERIOD_OVERRIDE=FQ","FILING_STATUS=OR","EQY_CONSOLIDATED=Y","Sort=A","Dates=H","DateFormat=P","Fill=—","Direction=H","UseDPDF=Y")</f>
        <v>#NAME?</v>
      </c>
      <c r="BF590" s="2" t="e">
        <f ca="1">_xll.BDH($C$578,"REVENUE_SEQUENTIAL_GROWTH","FQ2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590" s="2" t="e">
        <f ca="1">_xll.BDH($C$578,"EBITDA_SEQUENTIAL_GROWTH","FQ2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590" s="2" t="e">
        <f ca="1">_xll.BDH($C$578,"OPERATING_INCOME_SEQ_GROWTH","FQ2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590" s="2" t="e">
        <f ca="1">_xll.BDH($C$578,"NET_INCOME_TO_COMMON_SEQ_GROWTH","FQ2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590" s="2" t="e">
        <f ca="1">_xll.BDH($C$578,"EPS_DILUTED_SEQUENTIAL_GROWTH","FQ2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590" s="2" t="e">
        <f ca="1">_xll.BDH($C$578,"DPS_SEQUENTIAL_GROWTH","FQ2 2016","FQ2 2016","Currency=INR","Period=FQ","BEST_FPERIOD_OVERRIDE=FQ","FILING_STATUS=OR","EQY_CONSOLIDATED=Y","Sort=A","Dates=H","DateFormat=P","Fill=—","Direction=H","UseDPDF=Y")</f>
        <v>#NAME?</v>
      </c>
      <c r="BL590" s="2" t="e">
        <f ca="1">_xll.BDH($C$578,"ACCOUNTS_RECEIVABLE_SEQ_GROWTH","FQ2 2016","FQ2 2016","Currency=INR","Period=FQ","BEST_FPERIOD_OVERRIDE=FQ","FILING_STATUS=OR","EQY_CONSOLIDATED=Y","Sort=A","Dates=H","DateFormat=P","Fill=—","Direction=H","UseDPDF=Y")</f>
        <v>#NAME?</v>
      </c>
      <c r="BM590" s="2" t="e">
        <f ca="1">_xll.BDH($C$578,"INVENTORY_SEQUENTIAL_GROWTH","FQ2 2016","FQ2 2016","Currency=INR","Period=FQ","BEST_FPERIOD_OVERRIDE=FQ","FILING_STATUS=OR","EQY_CONSOLIDATED=Y","Sort=A","Dates=H","DateFormat=P","Fill=—","Direction=H","UseDPDF=Y")</f>
        <v>#NAME?</v>
      </c>
      <c r="BN590" s="2" t="e">
        <f ca="1">_xll.BDH($C$578,"FIXED_ASSETS_SEQUENTIAL_GROWTH","FQ2 2016","FQ2 2016","Currency=INR","Period=FQ","BEST_FPERIOD_OVERRIDE=FQ","FILING_STATUS=OR","EQY_CONSOLIDATED=Y","Sort=A","Dates=H","DateFormat=P","Fill=—","Direction=H","UseDPDF=Y")</f>
        <v>#NAME?</v>
      </c>
      <c r="BO590" s="2" t="e">
        <f ca="1">_xll.BDH($C$578,"TOTAL_ASSETS_SEQUENTIAL_GROWTH","FQ2 2016","FQ2 2016","Currency=INR","Period=FQ","BEST_FPERIOD_OVERRIDE=FQ","FILING_STATUS=OR","EQY_CONSOLIDATED=Y","Sort=A","Dates=H","DateFormat=P","Fill=—","Direction=H","UseDPDF=Y")</f>
        <v>#NAME?</v>
      </c>
      <c r="BP590" s="2" t="e">
        <f ca="1">_xll.BDH($C$578,"MODIFIED_WORKING_CPTL_SEQ_GRWTH","FQ2 2016","FQ2 2016","Currency=INR","Period=FQ","BEST_FPERIOD_OVERRIDE=FQ","FILING_STATUS=OR","EQY_CONSOLIDATED=Y","Sort=A","Dates=H","DateFormat=P","Fill=—","Direction=H","UseDPDF=Y")</f>
        <v>#NAME?</v>
      </c>
      <c r="BQ590" s="2" t="e">
        <f ca="1">_xll.BDH($C$578,"WORKING_CAPITAL_SEQ_GROWTH","FQ2 2016","FQ2 2016","Currency=INR","Period=FQ","BEST_FPERIOD_OVERRIDE=FQ","FILING_STATUS=OR","EQY_CONSOLIDATED=Y","Sort=A","Dates=H","DateFormat=P","Fill=—","Direction=H","UseDPDF=Y")</f>
        <v>#NAME?</v>
      </c>
      <c r="BR590" s="2" t="e">
        <f ca="1">_xll.BDH($C$578,"ACCOUNTS_PAYABLE_SEQ_GROWTH","FQ2 2016","FQ2 2016","Currency=INR","Period=FQ","BEST_FPERIOD_OVERRIDE=FQ","FILING_STATUS=OR","EQY_CONSOLIDATED=Y","Sort=A","Dates=H","DateFormat=P","Fill=—","Direction=H","UseDPDF=Y")</f>
        <v>#NAME?</v>
      </c>
      <c r="BS590" s="2" t="e">
        <f ca="1">_xll.BDH($C$578,"ST_DEBT_SEQUENTIAL_GROWTH","FQ2 2016","FQ2 2016","Currency=INR","Period=FQ","BEST_FPERIOD_OVERRIDE=FQ","FILING_STATUS=OR","EQY_CONSOLIDATED=Y","Sort=A","Dates=H","DateFormat=P","Fill=—","Direction=H","UseDPDF=Y")</f>
        <v>#NAME?</v>
      </c>
      <c r="BT590" s="2" t="e">
        <f ca="1">_xll.BDH($C$578,"TOTAL_DEBT_SEQUENTIAL_GROWTH","FQ2 2016","FQ2 2016","Currency=INR","Period=FQ","BEST_FPERIOD_OVERRIDE=FQ","FILING_STATUS=OR","EQY_CONSOLIDATED=Y","Sort=A","Dates=H","DateFormat=P","Fill=—","Direction=H","UseDPDF=Y")</f>
        <v>#NAME?</v>
      </c>
      <c r="BU590" s="2" t="e">
        <f ca="1">_xll.BDH($C$578,"TOTAL_EQUITY_SEQUENTIAL_GROWTH","FQ2 2016","FQ2 2016","Currency=INR","Period=FQ","BEST_FPERIOD_OVERRIDE=FQ","FILING_STATUS=OR","EQY_CONSOLIDATED=Y","Sort=A","Dates=H","DateFormat=P","Fill=—","Direction=H","UseDPDF=Y")</f>
        <v>#NAME?</v>
      </c>
      <c r="BV590" s="2" t="e">
        <f ca="1">_xll.BDH($C$578,"TOTAL_CAPITAL_SEQUENTIAL_GROWTH","FQ2 2016","FQ2 2016","Currency=INR","Period=FQ","BEST_FPERIOD_OVERRIDE=FQ","FILING_STATUS=OR","EQY_CONSOLIDATED=Y","Sort=A","Dates=H","DateFormat=P","Fill=—","Direction=H","UseDPDF=Y")</f>
        <v>#NAME?</v>
      </c>
      <c r="BW590" s="2" t="e">
        <f ca="1">_xll.BDH($C$578,"BPS_SEQUENTIAL_GROWTH","FQ2 2016","FQ2 2016","Currency=INR","Period=FQ","BEST_FPERIOD_OVERRIDE=FQ","FILING_STATUS=OR","EQY_CONSOLIDATED=Y","Sort=A","Dates=H","DateFormat=P","Fill=—","Direction=H","UseDPDF=Y")</f>
        <v>#NAME?</v>
      </c>
      <c r="BX590" s="2" t="e">
        <f ca="1">_xll.BDH($C$578,"CFO_SEQUENTIAL_GROWTH","FQ2 2016","FQ2 2016","Currency=INR","Period=FQ","BEST_FPERIOD_OVERRIDE=FQ","FILING_STATUS=OR","EQY_CONSOLIDATED=Y","Sort=A","Dates=H","DateFormat=P","Fill=—","Direction=H","UseDPDF=Y")</f>
        <v>#NAME?</v>
      </c>
      <c r="BY590" s="3" t="e">
        <f ca="1">_xll.BDH($C$578,"SHORT_AND_LONG_TERM_DEBT","FQ2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590" s="3" t="e">
        <f ca="1">_xll.BDH($C$578,"BS_ST_BORROW","FQ2 2016","FQ2 2016","Currency=INR","Period=FQ","BEST_FPERIOD_OVERRIDE=FQ","FILING_STATUS=OR","EQY_CONSOLIDATED=Y","SCALING_FORMAT=MLN","Sort=A","Dates=H","DateFormat=P","Fill=—","Direction=H","UseDPDF=Y")</f>
        <v>#NAME?</v>
      </c>
      <c r="CA590" s="3" t="e">
        <f ca="1">_xll.BDH($C$578,"BS_LT_BORROW","FQ2 2016","FQ2 2016","Currency=INR","Period=FQ","BEST_FPERIOD_OVERRIDE=FQ","FILING_STATUS=OR","EQY_CONSOLIDATED=Y","SCALING_FORMAT=MLN","Sort=A","Dates=H","DateFormat=P","Fill=—","Direction=H","UseDPDF=Y")</f>
        <v>#NAME?</v>
      </c>
      <c r="CB590" s="2" t="e">
        <f ca="1">_xll.BDH($C$578,"TOT_DEBT_TO_EBITDA","FQ2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590" s="2" t="e">
        <f ca="1">_xll.BDH($C$578,"NET_DEBT_TO_EBITDA","FQ2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590" s="2" t="e">
        <f ca="1">_xll.BDH($C$578,"TOTAL_DEBT_TO_EBIT","FQ2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590" s="2" t="e">
        <f ca="1">_xll.BDH($C$578,"NET_DEBT_TO_EBIT","FQ2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590" s="2" t="e">
        <f ca="1">_xll.BDH($C$578,"EBITDA_TO_INTEREST_EXPN","FQ2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590" s="2" t="e">
        <f ca="1">_xll.BDH($C$578,"COM_EQY_TO_TOT_ASSET","FQ2 2016","FQ2 2016","Currency=INR","Period=FQ","BEST_FPERIOD_OVERRIDE=FQ","FILING_STATUS=OR","EQY_CONSOLIDATED=Y","Sort=A","Dates=H","DateFormat=P","Fill=—","Direction=H","UseDPDF=Y")</f>
        <v>#NAME?</v>
      </c>
      <c r="CH590" s="2" t="e">
        <f ca="1">_xll.BDH($C$578,"LT_DEBT_TO_TOT_EQY","FQ2 2016","FQ2 2016","Currency=INR","Period=FQ","BEST_FPERIOD_OVERRIDE=FQ","FILING_STATUS=OR","EQY_CONSOLIDATED=Y","Sort=A","Dates=H","DateFormat=P","Fill=—","Direction=H","UseDPDF=Y")</f>
        <v>#NAME?</v>
      </c>
      <c r="CI590" s="2" t="e">
        <f ca="1">_xll.BDH($C$578,"LT_DEBT_TO_TOT_CAP","FQ2 2016","FQ2 2016","Currency=INR","Period=FQ","BEST_FPERIOD_OVERRIDE=FQ","FILING_STATUS=OR","EQY_CONSOLIDATED=Y","Sort=A","Dates=H","DateFormat=P","Fill=—","Direction=H","UseDPDF=Y")</f>
        <v>#NAME?</v>
      </c>
      <c r="CJ590" s="2" t="e">
        <f ca="1">_xll.BDH($C$578,"LT_DEBT_TO_TOT_ASSET","FQ2 2016","FQ2 2016","Currency=INR","Period=FQ","BEST_FPERIOD_OVERRIDE=FQ","FILING_STATUS=OR","EQY_CONSOLIDATED=Y","Sort=A","Dates=H","DateFormat=P","Fill=—","Direction=H","UseDPDF=Y")</f>
        <v>#NAME?</v>
      </c>
      <c r="CK590" s="2" t="e">
        <f ca="1">_xll.BDH($C$578,"TOT_DEBT_TO_TOT_EQY","FQ2 2016","FQ2 2016","Currency=INR","Period=FQ","BEST_FPERIOD_OVERRIDE=FQ","FILING_STATUS=OR","EQY_CONSOLIDATED=Y","Sort=A","Dates=H","DateFormat=P","Fill=—","Direction=H","UseDPDF=Y")</f>
        <v>#NAME?</v>
      </c>
      <c r="CL590" s="2" t="e">
        <f ca="1">_xll.BDH($C$578,"TOT_DEBT_TO_TOT_CAP","FQ2 2016","FQ2 2016","Currency=INR","Period=FQ","BEST_FPERIOD_OVERRIDE=FQ","FILING_STATUS=OR","EQY_CONSOLIDATED=Y","Sort=A","Dates=H","DateFormat=P","Fill=—","Direction=H","UseDPDF=Y")</f>
        <v>#NAME?</v>
      </c>
      <c r="CM590" s="2" t="e">
        <f ca="1">_xll.BDH($C$578,"TOT_DEBT_TO_TOT_ASSET","FQ2 2016","FQ2 2016","Currency=INR","Period=FQ","BEST_FPERIOD_OVERRIDE=FQ","FILING_STATUS=OR","EQY_CONSOLIDATED=Y","Sort=A","Dates=H","DateFormat=P","Fill=—","Direction=H","UseDPDF=Y")</f>
        <v>#NAME?</v>
      </c>
      <c r="CN590" s="2" t="e">
        <f ca="1">_xll.BDH($C$578,"NET_DEBT_TO_SHRHLDR_EQTY","FQ2 2016","FQ2 2016","Currency=INR","Period=FQ","BEST_FPERIOD_OVERRIDE=FQ","FILING_STATUS=OR","EQY_CONSOLIDATED=Y","Sort=A","Dates=H","DateFormat=P","Fill=—","Direction=H","UseDPDF=Y")</f>
        <v>#NAME?</v>
      </c>
      <c r="CO590" s="2" t="e">
        <f ca="1">_xll.BDH($C$578,"NET_DEBT_%_CAPITAL","FQ2 2016","FQ2 2016","Currency=INR","Period=FQ","BEST_FPERIOD_OVERRIDE=FQ","FILING_STATUS=OR","EQY_CONSOLIDATED=Y","Sort=A","Dates=H","DateFormat=P","Fill=—","Direction=H","UseDPDF=Y")</f>
        <v>#NAME?</v>
      </c>
      <c r="CP590" s="3" t="e">
        <f ca="1">_xll.BDH($C$578,"EBITDA","FQ2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590" s="3" t="e">
        <f ca="1">_xll.BDH($C$578,"EBITDA_AFTER_CAPEX","FQ2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590" s="3" t="e">
        <f ca="1">_xll.BDH($C$578,"IS_OPER_INC","FQ2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590" s="2" t="e">
        <f ca="1">_xll.BDH($C$578,"CASH_RATIO","FQ2 2016","FQ2 2016","Currency=INR","Period=FQ","BEST_FPERIOD_OVERRIDE=FQ","FILING_STATUS=OR","EQY_CONSOLIDATED=Y","Sort=A","Dates=H","DateFormat=P","Fill=—","Direction=H","UseDPDF=Y")</f>
        <v>#NAME?</v>
      </c>
      <c r="CT590" s="2" t="e">
        <f ca="1">_xll.BDH($C$578,"CUR_RATIO","FQ2 2016","FQ2 2016","Currency=INR","Period=FQ","BEST_FPERIOD_OVERRIDE=FQ","FILING_STATUS=OR","EQY_CONSOLIDATED=Y","Sort=A","Dates=H","DateFormat=P","Fill=—","Direction=H","UseDPDF=Y")</f>
        <v>#NAME?</v>
      </c>
      <c r="CU590" s="2" t="e">
        <f ca="1">_xll.BDH($C$578,"QUICK_RATIO","FQ2 2016","FQ2 2016","Currency=INR","Period=FQ","BEST_FPERIOD_OVERRIDE=FQ","FILING_STATUS=OR","EQY_CONSOLIDATED=Y","Sort=A","Dates=H","DateFormat=P","Fill=—","Direction=H","UseDPDF=Y")</f>
        <v>#NAME?</v>
      </c>
      <c r="CV590" s="2" t="e">
        <f ca="1">_xll.BDH($C$578,"ALTMAN_Z_SCORE","FQ2 2016","FQ2 2016","Currency=INR","Period=FQ","BEST_FPERIOD_OVERRIDE=FQ","FILING_STATUS=OR","EQY_CONSOLIDATED=Y","Sort=A","Dates=H","DateFormat=P","Fill=—","Direction=H","UseDPDF=Y")</f>
        <v>#NAME?</v>
      </c>
      <c r="CW590" s="4" t="e">
        <f ca="1">_xll.BDH($C$578,"ACCT_RCV_TURN","FQ2 2016","FQ2 2016","Currency=INR","Period=FQ","BEST_FPERIOD_OVERRIDE=FQ","FILING_STATUS=OR","EQY_CONSOLIDATED=Y","FA_ADJUSTED=GAAP","Sort=A","Dates=H","DateFormat=P","Fill=—","Direction=H","UseDPDF=Y")</f>
        <v>#NAME?</v>
      </c>
      <c r="CX590" s="2" t="e">
        <f ca="1">_xll.BDH($C$578,"ACCT_RCV_DAYS","FQ2 2016","FQ2 2016","Currency=INR","Period=FQ","BEST_FPERIOD_OVERRIDE=FQ","FILING_STATUS=OR","EQY_CONSOLIDATED=Y","FA_ADJUSTED=GAAP","Sort=A","Dates=H","DateFormat=P","Fill=—","Direction=H","UseDPDF=Y")</f>
        <v>#NAME?</v>
      </c>
      <c r="CY590" s="4" t="e">
        <f ca="1">_xll.BDH($C$578,"INVENT_TURN","FQ2 2016","FQ2 2016","Currency=INR","Period=FQ","BEST_FPERIOD_OVERRIDE=FQ","FILING_STATUS=OR","EQY_CONSOLIDATED=Y","FA_ADJUSTED=GAAP","Sort=A","Dates=H","DateFormat=P","Fill=—","Direction=H","UseDPDF=Y")</f>
        <v>#NAME?</v>
      </c>
      <c r="CZ590" s="2" t="e">
        <f ca="1">_xll.BDH($C$578,"INVENT_DAYS","FQ2 2016","FQ2 2016","Currency=INR","Period=FQ","BEST_FPERIOD_OVERRIDE=FQ","FILING_STATUS=OR","EQY_CONSOLIDATED=Y","FA_ADJUSTED=GAAP","Sort=A","Dates=H","DateFormat=P","Fill=—","Direction=H","UseDPDF=Y")</f>
        <v>#NAME?</v>
      </c>
      <c r="DA590" s="4" t="e">
        <f ca="1">_xll.BDH($C$578,"ACCOUNTS_PAYABLE_TURNOVER","FQ2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590" s="2" t="e">
        <f ca="1">_xll.BDH($C$578,"ACCOUNTS_PAYABLE_TURNOVER_DAYS","FQ2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590" s="4" t="e">
        <f ca="1">_xll.BDH($C$578,"CASH_CONVERSION_CYCLE","FQ2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590" s="4" t="e">
        <f ca="1">_xll.BDH($C$578,"INV_TO_CASH_DAYS","FQ2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590" s="5" t="e">
        <f ca="1">_xll.BDH($C$578,"BS_INVENTORIES","FQ2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590" s="3" t="e">
        <f ca="1">_xll.BDH($C$578,"INVTRY_RAW_MATERIALS","FQ2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590" s="3" t="e">
        <f ca="1">_xll.BDH($C$578,"INVTRY_IN_PROGRESS","FQ2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590" s="3" t="e">
        <f ca="1">_xll.BDH($C$578,"INVTRY_FINISHED_GOODS","FQ2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590" s="3" t="e">
        <f ca="1">_xll.BDH($C$578,"BS_OTHER_INV","FQ2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591" spans="1:113" x14ac:dyDescent="0.3">
      <c r="A591" s="6"/>
      <c r="B591" s="6"/>
      <c r="C591" s="6"/>
      <c r="D591" s="6"/>
      <c r="E591" t="s">
        <v>80</v>
      </c>
      <c r="F591" t="e">
        <f ca="1">_xll.BDH($C$578,"RETURN_COM_EQY","FQ3 2016","FQ3 2016","Currency=INR","Period=FQ","BEST_FPERIOD_OVERRIDE=FQ","FILING_STATUS=OR","EQY_CONSOLIDATED=Y","FA_ADJUSTED=GAAP","Sort=A","Dates=H","DateFormat=P","Fill=—","Direction=H","UseDPDF=Y")</f>
        <v>#NAME?</v>
      </c>
      <c r="G591" t="e">
        <f ca="1">_xll.BDH($C$578,"RETURN_ON_ASSET","FQ3 2016","FQ3 2016","Currency=INR","Period=FQ","BEST_FPERIOD_OVERRIDE=FQ","FILING_STATUS=OR","EQY_CONSOLIDATED=Y","FA_ADJUSTED=GAAP","Sort=A","Dates=H","DateFormat=P","Fill=—","Direction=H","UseDPDF=Y")</f>
        <v>#NAME?</v>
      </c>
      <c r="H591" t="e">
        <f ca="1">_xll.BDH($C$578,"RETURN_ON_CAP","FQ3 2016","FQ3 2016","Currency=INR","Period=FQ","BEST_FPERIOD_OVERRIDE=FQ","FILING_STATUS=OR","EQY_CONSOLIDATED=Y","FA_ADJUSTED=GAAP","Sort=A","Dates=H","DateFormat=P","Fill=—","Direction=H","UseDPDF=Y")</f>
        <v>#NAME?</v>
      </c>
      <c r="I591" t="e">
        <f ca="1">_xll.BDH($C$578,"RETURN_ON_INV_CAPITAL","FQ3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591" t="e">
        <f ca="1">_xll.BDH($C$578,"EBITDA_TO_REVENUE","FQ3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591" t="e">
        <f ca="1">_xll.BDH($C$578,"OPER_MARGIN","FQ3 2016","FQ3 2016","Currency=INR","Period=FQ","BEST_FPERIOD_OVERRIDE=FQ","FILING_STATUS=OR","EQY_CONSOLIDATED=Y","FA_ADJUSTED=GAAP","Sort=A","Dates=H","DateFormat=P","Fill=—","Direction=H","UseDPDF=Y")</f>
        <v>#NAME?</v>
      </c>
      <c r="L591" t="e">
        <f ca="1">_xll.BDH($C$578,"INCREMENTAL_OPERATING_MARGIN","FQ3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591" t="e">
        <f ca="1">_xll.BDH($C$578,"PRETAX_INC_TO_NET_SALES","FQ3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591" t="e">
        <f ca="1">_xll.BDH($C$578,"INC_BEF_XO_ITEMS_TO_NET_SALES","FQ3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591" t="e">
        <f ca="1">_xll.BDH($C$578,"PROF_MARGIN","FQ3 2016","FQ3 2016","Currency=INR","Period=FQ","BEST_FPERIOD_OVERRIDE=FQ","FILING_STATUS=OR","EQY_CONSOLIDATED=Y","FA_ADJUSTED=GAAP","Sort=A","Dates=H","DateFormat=P","Fill=—","Direction=H","UseDPDF=Y")</f>
        <v>#NAME?</v>
      </c>
      <c r="P591" t="e">
        <f ca="1">_xll.BDH($C$578,"NET_INCOME_TO_COMMON_MARGIN","FQ3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591" t="e">
        <f ca="1">_xll.BDH($C$578,"EFF_TAX_RATE","FQ3 2016","FQ3 2016","Currency=INR","Period=FQ","BEST_FPERIOD_OVERRIDE=FQ","FILING_STATUS=OR","EQY_CONSOLIDATED=Y","FA_ADJUSTED=GAAP","Sort=A","Dates=H","DateFormat=P","Fill=—","Direction=H","UseDPDF=Y")</f>
        <v>#NAME?</v>
      </c>
      <c r="R591" t="e">
        <f ca="1">_xll.BDH($C$578,"DVD_PAYOUT_RATIO","FQ3 2016","FQ3 2016","Currency=INR","Period=FQ","BEST_FPERIOD_OVERRIDE=FQ","FILING_STATUS=OR","EQY_CONSOLIDATED=Y","FA_ADJUSTED=GAAP","Sort=A","Dates=H","DateFormat=P","Fill=—","Direction=H","UseDPDF=Y")</f>
        <v>#NAME?</v>
      </c>
      <c r="S591" t="e">
        <f ca="1">_xll.BDH($C$578,"SUSTAIN_GROWTH_RT","FQ3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591" s="2" t="e">
        <f ca="1">_xll.BDH($C$578,"SALES_GROWTH","FQ3 2016","FQ3 2016","Currency=INR","Period=FQ","BEST_FPERIOD_OVERRIDE=FQ","FILING_STATUS=OR","EQY_CONSOLIDATED=Y","FA_ADJUSTED=GAAP","Sort=A","Dates=H","DateFormat=P","Fill=—","Direction=H","UseDPDF=Y")</f>
        <v>#NAME?</v>
      </c>
      <c r="U591" s="2" t="e">
        <f ca="1">_xll.BDH($C$578,"EBITDA_GROWTH","FQ3 2016","FQ3 2016","Currency=INR","Period=FQ","BEST_FPERIOD_OVERRIDE=FQ","FILING_STATUS=OR","EQY_CONSOLIDATED=Y","FA_ADJUSTED=GAAP","Sort=A","Dates=H","DateFormat=P","Fill=—","Direction=H","UseDPDF=Y")</f>
        <v>#NAME?</v>
      </c>
      <c r="V591" s="2" t="e">
        <f ca="1">_xll.BDH($C$578,"OPER_INC_GROWTH","FQ3 2016","FQ3 2016","Currency=INR","Period=FQ","BEST_FPERIOD_OVERRIDE=FQ","FILING_STATUS=OR","EQY_CONSOLIDATED=Y","FA_ADJUSTED=GAAP","Sort=A","Dates=H","DateFormat=P","Fill=—","Direction=H","UseDPDF=Y")</f>
        <v>#NAME?</v>
      </c>
      <c r="W591" s="2" t="e">
        <f ca="1">_xll.BDH($C$578,"EARN_FOR_COM_GROWTH","FQ3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591" s="2" t="e">
        <f ca="1">_xll.BDH($C$578,"DILUTED_EPS_AFT_XO_ITEMS_GROWTH","FQ3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591" s="2" t="e">
        <f ca="1">_xll.BDH($C$578,"DIVIDEND_PER_SHARE_1_YEAR_GROWTH","FQ3 2016","FQ3 2016","Currency=INR","Period=FQ","BEST_FPERIOD_OVERRIDE=FQ","FILING_STATUS=OR","EQY_CONSOLIDATED=Y","Sort=A","Dates=H","DateFormat=P","Fill=—","Direction=H","UseDPDF=Y")</f>
        <v>#NAME?</v>
      </c>
      <c r="Z591" s="2" t="e">
        <f ca="1">_xll.BDH($C$578,"ACCOUNTS_RECEIVABLE_GROWTH","FQ3 2016","FQ3 2016","Currency=INR","Period=FQ","BEST_FPERIOD_OVERRIDE=FQ","FILING_STATUS=OR","EQY_CONSOLIDATED=Y","Sort=A","Dates=H","DateFormat=P","Fill=—","Direction=H","UseDPDF=Y")</f>
        <v>#NAME?</v>
      </c>
      <c r="AA591" s="2" t="e">
        <f ca="1">_xll.BDH($C$578,"INVENTORY_GROWTH","FQ3 2016","FQ3 2016","Currency=INR","Period=FQ","BEST_FPERIOD_OVERRIDE=FQ","FILING_STATUS=OR","EQY_CONSOLIDATED=Y","Sort=A","Dates=H","DateFormat=P","Fill=—","Direction=H","UseDPDF=Y")</f>
        <v>#NAME?</v>
      </c>
      <c r="AB591" s="2" t="e">
        <f ca="1">_xll.BDH($C$578,"NET_FIXED_ASSETS_1_YEAR_GROWTH","FQ3 2016","FQ3 2016","Currency=INR","Period=FQ","BEST_FPERIOD_OVERRIDE=FQ","FILING_STATUS=OR","EQY_CONSOLIDATED=Y","Sort=A","Dates=H","DateFormat=P","Fill=—","Direction=H","UseDPDF=Y")</f>
        <v>#NAME?</v>
      </c>
      <c r="AC591" s="2" t="e">
        <f ca="1">_xll.BDH($C$578,"ASSET_GROWTH","FQ3 2016","FQ3 2016","Currency=INR","Period=FQ","BEST_FPERIOD_OVERRIDE=FQ","FILING_STATUS=OR","EQY_CONSOLIDATED=Y","Sort=A","Dates=H","DateFormat=P","Fill=—","Direction=H","UseDPDF=Y")</f>
        <v>#NAME?</v>
      </c>
      <c r="AD591" s="2" t="e">
        <f ca="1">_xll.BDH($C$578,"MODIFIED_WORK_CAP_GROWTH","FQ3 2016","FQ3 2016","Currency=INR","Period=FQ","BEST_FPERIOD_OVERRIDE=FQ","FILING_STATUS=OR","EQY_CONSOLIDATED=Y","Sort=A","Dates=H","DateFormat=P","Fill=—","Direction=H","UseDPDF=Y")</f>
        <v>#NAME?</v>
      </c>
      <c r="AE591" s="2" t="e">
        <f ca="1">_xll.BDH($C$578,"WORK_CAP_GROWTH","FQ3 2016","FQ3 2016","Currency=INR","Period=FQ","BEST_FPERIOD_OVERRIDE=FQ","FILING_STATUS=OR","EQY_CONSOLIDATED=Y","Sort=A","Dates=H","DateFormat=P","Fill=—","Direction=H","UseDPDF=Y")</f>
        <v>#NAME?</v>
      </c>
      <c r="AF591" s="2" t="e">
        <f ca="1">_xll.BDH($C$578,"ACCOUNTS_PAYABLE_GROWTH_1YR","FQ3 2016","FQ3 2016","Currency=INR","Period=FQ","BEST_FPERIOD_OVERRIDE=FQ","FILING_STATUS=OR","EQY_CONSOLIDATED=Y","Sort=A","Dates=H","DateFormat=P","Fill=—","Direction=H","UseDPDF=Y")</f>
        <v>#NAME?</v>
      </c>
      <c r="AG591" s="2" t="e">
        <f ca="1">_xll.BDH($C$578,"SHORT_TERM_DEBT_1_YEAR_GROWTH","FQ3 2016","FQ3 2016","Currency=INR","Period=FQ","BEST_FPERIOD_OVERRIDE=FQ","FILING_STATUS=OR","EQY_CONSOLIDATED=Y","Sort=A","Dates=H","DateFormat=P","Fill=—","Direction=H","UseDPDF=Y")</f>
        <v>#NAME?</v>
      </c>
      <c r="AH591" s="2" t="e">
        <f ca="1">_xll.BDH($C$578,"TOTAL_DEBT_1_YEAR_GROWTH","FQ3 2016","FQ3 2016","Currency=INR","Period=FQ","BEST_FPERIOD_OVERRIDE=FQ","FILING_STATUS=OR","EQY_CONSOLIDATED=Y","Sort=A","Dates=H","DateFormat=P","Fill=—","Direction=H","UseDPDF=Y")</f>
        <v>#NAME?</v>
      </c>
      <c r="AI591" s="2" t="e">
        <f ca="1">_xll.BDH($C$578,"TOTAL_EQUITY_1_YEAR_GROWTH","FQ3 2016","FQ3 2016","Currency=INR","Period=FQ","BEST_FPERIOD_OVERRIDE=FQ","FILING_STATUS=OR","EQY_CONSOLIDATED=Y","Sort=A","Dates=H","DateFormat=P","Fill=—","Direction=H","UseDPDF=Y")</f>
        <v>#NAME?</v>
      </c>
      <c r="AJ591" s="2" t="e">
        <f ca="1">_xll.BDH($C$578,"GROWTH_IN_CAP","FQ3 2016","FQ3 2016","Currency=INR","Period=FQ","BEST_FPERIOD_OVERRIDE=FQ","FILING_STATUS=OR","EQY_CONSOLIDATED=Y","Sort=A","Dates=H","DateFormat=P","Fill=—","Direction=H","UseDPDF=Y")</f>
        <v>#NAME?</v>
      </c>
      <c r="AK591" s="2" t="e">
        <f ca="1">_xll.BDH($C$578,"BVPS_GROWTH","FQ3 2016","FQ3 2016","Currency=INR","Period=FQ","BEST_FPERIOD_OVERRIDE=FQ","FILING_STATUS=OR","EQY_CONSOLIDATED=Y","Sort=A","Dates=H","DateFormat=P","Fill=—","Direction=H","UseDPDF=Y")</f>
        <v>#NAME?</v>
      </c>
      <c r="AL591" s="2" t="e">
        <f ca="1">_xll.BDH($C$578,"CASH_FLOW_GROWTH","FQ3 2016","FQ3 2016","Currency=INR","Period=FQ","BEST_FPERIOD_OVERRIDE=FQ","FILING_STATUS=OR","EQY_CONSOLIDATED=Y","Sort=A","Dates=H","DateFormat=P","Fill=—","Direction=H","UseDPDF=Y")</f>
        <v>#NAME?</v>
      </c>
      <c r="AM591" s="2" t="e">
        <f ca="1">_xll.BDH($C$578,"GEO_GROW_NET_SALES","FQ3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591" s="2" t="e">
        <f ca="1">_xll.BDH($C$578,"GEO_GROW_EBITDA","FQ3 2016","FQ3 2016","Currency=INR","Period=FQ","BEST_FPERIOD_OVERRIDE=FQ","FILING_STATUS=OR","EQY_CONSOLIDATED=Y","FA_ADJUSTED=GAAP","Sort=A","Dates=H","DateFormat=P","Fill=—","Direction=H","UseDPDF=Y")</f>
        <v>#NAME?</v>
      </c>
      <c r="AO591" s="2" t="e">
        <f ca="1">_xll.BDH($C$578,"GEO_GROW_OPER_INC","FQ3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591" s="2" t="e">
        <f ca="1">_xll.BDH($C$578,"NET_INCOME_TO_COMMON_5_YR_GROWTH","FQ3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591" s="2" t="e">
        <f ca="1">_xll.BDH($C$578,"5Y_GEO_GROWTH_DILUTED_EPS","FQ3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591" s="2" t="e">
        <f ca="1">_xll.BDH($C$578,"GEO_GROW_DVD_PER_SH","FQ3 2016","FQ3 2016","Currency=INR","Period=FQ","BEST_FPERIOD_OVERRIDE=FQ","FILING_STATUS=OR","EQY_CONSOLIDATED=Y","Sort=A","Dates=H","DateFormat=P","Fill=—","Direction=H","UseDPDF=Y")</f>
        <v>#NAME?</v>
      </c>
      <c r="AS591" s="2" t="e">
        <f ca="1">_xll.BDH($C$578,"ACCOUNTS_RECEIVABLE_5_YR_GROWTH","FQ3 2016","FQ3 2016","Currency=INR","Period=FQ","BEST_FPERIOD_OVERRIDE=FQ","FILING_STATUS=OR","EQY_CONSOLIDATED=Y","Sort=A","Dates=H","DateFormat=P","Fill=—","Direction=H","UseDPDF=Y")</f>
        <v>#NAME?</v>
      </c>
      <c r="AT591" s="2" t="e">
        <f ca="1">_xll.BDH($C$578,"INVENTORY_5_YEAR_GROWTH","FQ3 2016","FQ3 2016","Currency=INR","Period=FQ","BEST_FPERIOD_OVERRIDE=FQ","FILING_STATUS=OR","EQY_CONSOLIDATED=Y","Sort=A","Dates=H","DateFormat=P","Fill=—","Direction=H","UseDPDF=Y")</f>
        <v>#NAME?</v>
      </c>
      <c r="AU591" s="2" t="e">
        <f ca="1">_xll.BDH($C$578,"NET_FIXED_ASSETS_5_YEAR_GROWTH","FQ3 2016","FQ3 2016","Currency=INR","Period=FQ","BEST_FPERIOD_OVERRIDE=FQ","FILING_STATUS=OR","EQY_CONSOLIDATED=Y","Sort=A","Dates=H","DateFormat=P","Fill=—","Direction=H","UseDPDF=Y")</f>
        <v>#NAME?</v>
      </c>
      <c r="AV591" s="2" t="e">
        <f ca="1">_xll.BDH($C$578,"GEO_GROW_TOT_ASSET","FQ3 2016","FQ3 2016","Currency=INR","Period=FQ","BEST_FPERIOD_OVERRIDE=FQ","FILING_STATUS=OR","EQY_CONSOLIDATED=Y","Sort=A","Dates=H","DateFormat=P","Fill=—","Direction=H","UseDPDF=Y")</f>
        <v>#NAME?</v>
      </c>
      <c r="AW591" s="2" t="e">
        <f ca="1">_xll.BDH($C$578,"MODIFIED_WORKING_CPTL_5YR_GRWTH","FQ3 2016","FQ3 2016","Currency=INR","Period=FQ","BEST_FPERIOD_OVERRIDE=FQ","FILING_STATUS=OR","EQY_CONSOLIDATED=Y","Sort=A","Dates=H","DateFormat=P","Fill=—","Direction=H","UseDPDF=Y")</f>
        <v>#NAME?</v>
      </c>
      <c r="AX591" s="2" t="e">
        <f ca="1">_xll.BDH($C$578,"WORKING_CAPITAL_5_YEAR_GROWTH","FQ3 2016","FQ3 2016","Currency=INR","Period=FQ","BEST_FPERIOD_OVERRIDE=FQ","FILING_STATUS=OR","EQY_CONSOLIDATED=Y","Sort=A","Dates=H","DateFormat=P","Fill=—","Direction=H","UseDPDF=Y")</f>
        <v>#NAME?</v>
      </c>
      <c r="AY591" s="2" t="e">
        <f ca="1">_xll.BDH($C$578,"ACCOUNTS_PAYABLE_5_YEAR_GROWTH","FQ3 2016","FQ3 2016","Currency=INR","Period=FQ","BEST_FPERIOD_OVERRIDE=FQ","FILING_STATUS=OR","EQY_CONSOLIDATED=Y","Sort=A","Dates=H","DateFormat=P","Fill=—","Direction=H","UseDPDF=Y")</f>
        <v>#NAME?</v>
      </c>
      <c r="AZ591" s="2" t="e">
        <f ca="1">_xll.BDH($C$578,"SHORT_TERM_DEBT_5_YEAR_GROWTH","FQ3 2016","FQ3 2016","Currency=INR","Period=FQ","BEST_FPERIOD_OVERRIDE=FQ","FILING_STATUS=OR","EQY_CONSOLIDATED=Y","Sort=A","Dates=H","DateFormat=P","Fill=—","Direction=H","UseDPDF=Y")</f>
        <v>#NAME?</v>
      </c>
      <c r="BA591" s="2" t="e">
        <f ca="1">_xll.BDH($C$578,"TOTAL_DEBT_5_YEAR_GROWTH","FQ3 2016","FQ3 2016","Currency=INR","Period=FQ","BEST_FPERIOD_OVERRIDE=FQ","FILING_STATUS=OR","EQY_CONSOLIDATED=Y","Sort=A","Dates=H","DateFormat=P","Fill=—","Direction=H","UseDPDF=Y")</f>
        <v>#NAME?</v>
      </c>
      <c r="BB591" s="2" t="e">
        <f ca="1">_xll.BDH($C$578,"GEO_GROW_TOT_SHRHLDR_EQY","FQ3 2016","FQ3 2016","Currency=INR","Period=FQ","BEST_FPERIOD_OVERRIDE=FQ","FILING_STATUS=OR","EQY_CONSOLIDATED=Y","Sort=A","Dates=H","DateFormat=P","Fill=—","Direction=H","UseDPDF=Y")</f>
        <v>#NAME?</v>
      </c>
      <c r="BC591" s="2" t="e">
        <f ca="1">_xll.BDH($C$578,"TOTAL_CAPITAL_5_YEAR_GROWTH","FQ3 2016","FQ3 2016","Currency=INR","Period=FQ","BEST_FPERIOD_OVERRIDE=FQ","FILING_STATUS=OR","EQY_CONSOLIDATED=Y","Sort=A","Dates=H","DateFormat=P","Fill=—","Direction=H","UseDPDF=Y")</f>
        <v>#NAME?</v>
      </c>
      <c r="BD591" s="2" t="e">
        <f ca="1">_xll.BDH($C$578,"GEO_GROW_BOOK_VAL","FQ3 2016","FQ3 2016","Currency=INR","Period=FQ","BEST_FPERIOD_OVERRIDE=FQ","FILING_STATUS=OR","EQY_CONSOLIDATED=Y","Sort=A","Dates=H","DateFormat=P","Fill=—","Direction=H","UseDPDF=Y")</f>
        <v>#NAME?</v>
      </c>
      <c r="BE591" s="2" t="e">
        <f ca="1">_xll.BDH($C$578,"GEO_GROW_CASH_OPER_ACT","FQ3 2016","FQ3 2016","Currency=INR","Period=FQ","BEST_FPERIOD_OVERRIDE=FQ","FILING_STATUS=OR","EQY_CONSOLIDATED=Y","Sort=A","Dates=H","DateFormat=P","Fill=—","Direction=H","UseDPDF=Y")</f>
        <v>#NAME?</v>
      </c>
      <c r="BF591" s="2" t="e">
        <f ca="1">_xll.BDH($C$578,"REVENUE_SEQUENTIAL_GROWTH","FQ3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591" s="2" t="e">
        <f ca="1">_xll.BDH($C$578,"EBITDA_SEQUENTIAL_GROWTH","FQ3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591" s="2" t="e">
        <f ca="1">_xll.BDH($C$578,"OPERATING_INCOME_SEQ_GROWTH","FQ3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591" s="2" t="e">
        <f ca="1">_xll.BDH($C$578,"NET_INCOME_TO_COMMON_SEQ_GROWTH","FQ3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591" s="2" t="e">
        <f ca="1">_xll.BDH($C$578,"EPS_DILUTED_SEQUENTIAL_GROWTH","FQ3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591" s="2" t="e">
        <f ca="1">_xll.BDH($C$578,"DPS_SEQUENTIAL_GROWTH","FQ3 2016","FQ3 2016","Currency=INR","Period=FQ","BEST_FPERIOD_OVERRIDE=FQ","FILING_STATUS=OR","EQY_CONSOLIDATED=Y","Sort=A","Dates=H","DateFormat=P","Fill=—","Direction=H","UseDPDF=Y")</f>
        <v>#NAME?</v>
      </c>
      <c r="BL591" s="2" t="e">
        <f ca="1">_xll.BDH($C$578,"ACCOUNTS_RECEIVABLE_SEQ_GROWTH","FQ3 2016","FQ3 2016","Currency=INR","Period=FQ","BEST_FPERIOD_OVERRIDE=FQ","FILING_STATUS=OR","EQY_CONSOLIDATED=Y","Sort=A","Dates=H","DateFormat=P","Fill=—","Direction=H","UseDPDF=Y")</f>
        <v>#NAME?</v>
      </c>
      <c r="BM591" s="2" t="e">
        <f ca="1">_xll.BDH($C$578,"INVENTORY_SEQUENTIAL_GROWTH","FQ3 2016","FQ3 2016","Currency=INR","Period=FQ","BEST_FPERIOD_OVERRIDE=FQ","FILING_STATUS=OR","EQY_CONSOLIDATED=Y","Sort=A","Dates=H","DateFormat=P","Fill=—","Direction=H","UseDPDF=Y")</f>
        <v>#NAME?</v>
      </c>
      <c r="BN591" s="2" t="e">
        <f ca="1">_xll.BDH($C$578,"FIXED_ASSETS_SEQUENTIAL_GROWTH","FQ3 2016","FQ3 2016","Currency=INR","Period=FQ","BEST_FPERIOD_OVERRIDE=FQ","FILING_STATUS=OR","EQY_CONSOLIDATED=Y","Sort=A","Dates=H","DateFormat=P","Fill=—","Direction=H","UseDPDF=Y")</f>
        <v>#NAME?</v>
      </c>
      <c r="BO591" s="2" t="e">
        <f ca="1">_xll.BDH($C$578,"TOTAL_ASSETS_SEQUENTIAL_GROWTH","FQ3 2016","FQ3 2016","Currency=INR","Period=FQ","BEST_FPERIOD_OVERRIDE=FQ","FILING_STATUS=OR","EQY_CONSOLIDATED=Y","Sort=A","Dates=H","DateFormat=P","Fill=—","Direction=H","UseDPDF=Y")</f>
        <v>#NAME?</v>
      </c>
      <c r="BP591" s="2" t="e">
        <f ca="1">_xll.BDH($C$578,"MODIFIED_WORKING_CPTL_SEQ_GRWTH","FQ3 2016","FQ3 2016","Currency=INR","Period=FQ","BEST_FPERIOD_OVERRIDE=FQ","FILING_STATUS=OR","EQY_CONSOLIDATED=Y","Sort=A","Dates=H","DateFormat=P","Fill=—","Direction=H","UseDPDF=Y")</f>
        <v>#NAME?</v>
      </c>
      <c r="BQ591" s="2" t="e">
        <f ca="1">_xll.BDH($C$578,"WORKING_CAPITAL_SEQ_GROWTH","FQ3 2016","FQ3 2016","Currency=INR","Period=FQ","BEST_FPERIOD_OVERRIDE=FQ","FILING_STATUS=OR","EQY_CONSOLIDATED=Y","Sort=A","Dates=H","DateFormat=P","Fill=—","Direction=H","UseDPDF=Y")</f>
        <v>#NAME?</v>
      </c>
      <c r="BR591" s="2" t="e">
        <f ca="1">_xll.BDH($C$578,"ACCOUNTS_PAYABLE_SEQ_GROWTH","FQ3 2016","FQ3 2016","Currency=INR","Period=FQ","BEST_FPERIOD_OVERRIDE=FQ","FILING_STATUS=OR","EQY_CONSOLIDATED=Y","Sort=A","Dates=H","DateFormat=P","Fill=—","Direction=H","UseDPDF=Y")</f>
        <v>#NAME?</v>
      </c>
      <c r="BS591" s="2" t="e">
        <f ca="1">_xll.BDH($C$578,"ST_DEBT_SEQUENTIAL_GROWTH","FQ3 2016","FQ3 2016","Currency=INR","Period=FQ","BEST_FPERIOD_OVERRIDE=FQ","FILING_STATUS=OR","EQY_CONSOLIDATED=Y","Sort=A","Dates=H","DateFormat=P","Fill=—","Direction=H","UseDPDF=Y")</f>
        <v>#NAME?</v>
      </c>
      <c r="BT591" s="2" t="e">
        <f ca="1">_xll.BDH($C$578,"TOTAL_DEBT_SEQUENTIAL_GROWTH","FQ3 2016","FQ3 2016","Currency=INR","Period=FQ","BEST_FPERIOD_OVERRIDE=FQ","FILING_STATUS=OR","EQY_CONSOLIDATED=Y","Sort=A","Dates=H","DateFormat=P","Fill=—","Direction=H","UseDPDF=Y")</f>
        <v>#NAME?</v>
      </c>
      <c r="BU591" s="2" t="e">
        <f ca="1">_xll.BDH($C$578,"TOTAL_EQUITY_SEQUENTIAL_GROWTH","FQ3 2016","FQ3 2016","Currency=INR","Period=FQ","BEST_FPERIOD_OVERRIDE=FQ","FILING_STATUS=OR","EQY_CONSOLIDATED=Y","Sort=A","Dates=H","DateFormat=P","Fill=—","Direction=H","UseDPDF=Y")</f>
        <v>#NAME?</v>
      </c>
      <c r="BV591" s="2" t="e">
        <f ca="1">_xll.BDH($C$578,"TOTAL_CAPITAL_SEQUENTIAL_GROWTH","FQ3 2016","FQ3 2016","Currency=INR","Period=FQ","BEST_FPERIOD_OVERRIDE=FQ","FILING_STATUS=OR","EQY_CONSOLIDATED=Y","Sort=A","Dates=H","DateFormat=P","Fill=—","Direction=H","UseDPDF=Y")</f>
        <v>#NAME?</v>
      </c>
      <c r="BW591" s="2" t="e">
        <f ca="1">_xll.BDH($C$578,"BPS_SEQUENTIAL_GROWTH","FQ3 2016","FQ3 2016","Currency=INR","Period=FQ","BEST_FPERIOD_OVERRIDE=FQ","FILING_STATUS=OR","EQY_CONSOLIDATED=Y","Sort=A","Dates=H","DateFormat=P","Fill=—","Direction=H","UseDPDF=Y")</f>
        <v>#NAME?</v>
      </c>
      <c r="BX591" s="2" t="e">
        <f ca="1">_xll.BDH($C$578,"CFO_SEQUENTIAL_GROWTH","FQ3 2016","FQ3 2016","Currency=INR","Period=FQ","BEST_FPERIOD_OVERRIDE=FQ","FILING_STATUS=OR","EQY_CONSOLIDATED=Y","Sort=A","Dates=H","DateFormat=P","Fill=—","Direction=H","UseDPDF=Y")</f>
        <v>#NAME?</v>
      </c>
      <c r="BY591" s="3" t="e">
        <f ca="1">_xll.BDH($C$578,"SHORT_AND_LONG_TERM_DEBT","FQ3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591" s="3" t="e">
        <f ca="1">_xll.BDH($C$578,"BS_ST_BORROW","FQ3 2016","FQ3 2016","Currency=INR","Period=FQ","BEST_FPERIOD_OVERRIDE=FQ","FILING_STATUS=OR","EQY_CONSOLIDATED=Y","SCALING_FORMAT=MLN","Sort=A","Dates=H","DateFormat=P","Fill=—","Direction=H","UseDPDF=Y")</f>
        <v>#NAME?</v>
      </c>
      <c r="CA591" s="3" t="e">
        <f ca="1">_xll.BDH($C$578,"BS_LT_BORROW","FQ3 2016","FQ3 2016","Currency=INR","Period=FQ","BEST_FPERIOD_OVERRIDE=FQ","FILING_STATUS=OR","EQY_CONSOLIDATED=Y","SCALING_FORMAT=MLN","Sort=A","Dates=H","DateFormat=P","Fill=—","Direction=H","UseDPDF=Y")</f>
        <v>#NAME?</v>
      </c>
      <c r="CB591" s="2" t="e">
        <f ca="1">_xll.BDH($C$578,"TOT_DEBT_TO_EBITDA","FQ3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591" s="2" t="e">
        <f ca="1">_xll.BDH($C$578,"NET_DEBT_TO_EBITDA","FQ3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591" s="2" t="e">
        <f ca="1">_xll.BDH($C$578,"TOTAL_DEBT_TO_EBIT","FQ3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591" s="2" t="e">
        <f ca="1">_xll.BDH($C$578,"NET_DEBT_TO_EBIT","FQ3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591" s="2" t="e">
        <f ca="1">_xll.BDH($C$578,"EBITDA_TO_INTEREST_EXPN","FQ3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591" s="2" t="e">
        <f ca="1">_xll.BDH($C$578,"COM_EQY_TO_TOT_ASSET","FQ3 2016","FQ3 2016","Currency=INR","Period=FQ","BEST_FPERIOD_OVERRIDE=FQ","FILING_STATUS=OR","EQY_CONSOLIDATED=Y","Sort=A","Dates=H","DateFormat=P","Fill=—","Direction=H","UseDPDF=Y")</f>
        <v>#NAME?</v>
      </c>
      <c r="CH591" s="2" t="e">
        <f ca="1">_xll.BDH($C$578,"LT_DEBT_TO_TOT_EQY","FQ3 2016","FQ3 2016","Currency=INR","Period=FQ","BEST_FPERIOD_OVERRIDE=FQ","FILING_STATUS=OR","EQY_CONSOLIDATED=Y","Sort=A","Dates=H","DateFormat=P","Fill=—","Direction=H","UseDPDF=Y")</f>
        <v>#NAME?</v>
      </c>
      <c r="CI591" s="2" t="e">
        <f ca="1">_xll.BDH($C$578,"LT_DEBT_TO_TOT_CAP","FQ3 2016","FQ3 2016","Currency=INR","Period=FQ","BEST_FPERIOD_OVERRIDE=FQ","FILING_STATUS=OR","EQY_CONSOLIDATED=Y","Sort=A","Dates=H","DateFormat=P","Fill=—","Direction=H","UseDPDF=Y")</f>
        <v>#NAME?</v>
      </c>
      <c r="CJ591" s="2" t="e">
        <f ca="1">_xll.BDH($C$578,"LT_DEBT_TO_TOT_ASSET","FQ3 2016","FQ3 2016","Currency=INR","Period=FQ","BEST_FPERIOD_OVERRIDE=FQ","FILING_STATUS=OR","EQY_CONSOLIDATED=Y","Sort=A","Dates=H","DateFormat=P","Fill=—","Direction=H","UseDPDF=Y")</f>
        <v>#NAME?</v>
      </c>
      <c r="CK591" s="2" t="e">
        <f ca="1">_xll.BDH($C$578,"TOT_DEBT_TO_TOT_EQY","FQ3 2016","FQ3 2016","Currency=INR","Period=FQ","BEST_FPERIOD_OVERRIDE=FQ","FILING_STATUS=OR","EQY_CONSOLIDATED=Y","Sort=A","Dates=H","DateFormat=P","Fill=—","Direction=H","UseDPDF=Y")</f>
        <v>#NAME?</v>
      </c>
      <c r="CL591" s="2" t="e">
        <f ca="1">_xll.BDH($C$578,"TOT_DEBT_TO_TOT_CAP","FQ3 2016","FQ3 2016","Currency=INR","Period=FQ","BEST_FPERIOD_OVERRIDE=FQ","FILING_STATUS=OR","EQY_CONSOLIDATED=Y","Sort=A","Dates=H","DateFormat=P","Fill=—","Direction=H","UseDPDF=Y")</f>
        <v>#NAME?</v>
      </c>
      <c r="CM591" s="2" t="e">
        <f ca="1">_xll.BDH($C$578,"TOT_DEBT_TO_TOT_ASSET","FQ3 2016","FQ3 2016","Currency=INR","Period=FQ","BEST_FPERIOD_OVERRIDE=FQ","FILING_STATUS=OR","EQY_CONSOLIDATED=Y","Sort=A","Dates=H","DateFormat=P","Fill=—","Direction=H","UseDPDF=Y")</f>
        <v>#NAME?</v>
      </c>
      <c r="CN591" s="2" t="e">
        <f ca="1">_xll.BDH($C$578,"NET_DEBT_TO_SHRHLDR_EQTY","FQ3 2016","FQ3 2016","Currency=INR","Period=FQ","BEST_FPERIOD_OVERRIDE=FQ","FILING_STATUS=OR","EQY_CONSOLIDATED=Y","Sort=A","Dates=H","DateFormat=P","Fill=—","Direction=H","UseDPDF=Y")</f>
        <v>#NAME?</v>
      </c>
      <c r="CO591" s="2" t="e">
        <f ca="1">_xll.BDH($C$578,"NET_DEBT_%_CAPITAL","FQ3 2016","FQ3 2016","Currency=INR","Period=FQ","BEST_FPERIOD_OVERRIDE=FQ","FILING_STATUS=OR","EQY_CONSOLIDATED=Y","Sort=A","Dates=H","DateFormat=P","Fill=—","Direction=H","UseDPDF=Y")</f>
        <v>#NAME?</v>
      </c>
      <c r="CP591" s="3" t="e">
        <f ca="1">_xll.BDH($C$578,"EBITDA","FQ3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591" s="3" t="e">
        <f ca="1">_xll.BDH($C$578,"EBITDA_AFTER_CAPEX","FQ3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591" s="3" t="e">
        <f ca="1">_xll.BDH($C$578,"IS_OPER_INC","FQ3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591" s="2" t="e">
        <f ca="1">_xll.BDH($C$578,"CASH_RATIO","FQ3 2016","FQ3 2016","Currency=INR","Period=FQ","BEST_FPERIOD_OVERRIDE=FQ","FILING_STATUS=OR","EQY_CONSOLIDATED=Y","Sort=A","Dates=H","DateFormat=P","Fill=—","Direction=H","UseDPDF=Y")</f>
        <v>#NAME?</v>
      </c>
      <c r="CT591" s="2" t="e">
        <f ca="1">_xll.BDH($C$578,"CUR_RATIO","FQ3 2016","FQ3 2016","Currency=INR","Period=FQ","BEST_FPERIOD_OVERRIDE=FQ","FILING_STATUS=OR","EQY_CONSOLIDATED=Y","Sort=A","Dates=H","DateFormat=P","Fill=—","Direction=H","UseDPDF=Y")</f>
        <v>#NAME?</v>
      </c>
      <c r="CU591" s="2" t="e">
        <f ca="1">_xll.BDH($C$578,"QUICK_RATIO","FQ3 2016","FQ3 2016","Currency=INR","Period=FQ","BEST_FPERIOD_OVERRIDE=FQ","FILING_STATUS=OR","EQY_CONSOLIDATED=Y","Sort=A","Dates=H","DateFormat=P","Fill=—","Direction=H","UseDPDF=Y")</f>
        <v>#NAME?</v>
      </c>
      <c r="CV591" s="2" t="e">
        <f ca="1">_xll.BDH($C$578,"ALTMAN_Z_SCORE","FQ3 2016","FQ3 2016","Currency=INR","Period=FQ","BEST_FPERIOD_OVERRIDE=FQ","FILING_STATUS=OR","EQY_CONSOLIDATED=Y","Sort=A","Dates=H","DateFormat=P","Fill=—","Direction=H","UseDPDF=Y")</f>
        <v>#NAME?</v>
      </c>
      <c r="CW591" s="4" t="e">
        <f ca="1">_xll.BDH($C$578,"ACCT_RCV_TURN","FQ3 2016","FQ3 2016","Currency=INR","Period=FQ","BEST_FPERIOD_OVERRIDE=FQ","FILING_STATUS=OR","EQY_CONSOLIDATED=Y","FA_ADJUSTED=GAAP","Sort=A","Dates=H","DateFormat=P","Fill=—","Direction=H","UseDPDF=Y")</f>
        <v>#NAME?</v>
      </c>
      <c r="CX591" s="2" t="e">
        <f ca="1">_xll.BDH($C$578,"ACCT_RCV_DAYS","FQ3 2016","FQ3 2016","Currency=INR","Period=FQ","BEST_FPERIOD_OVERRIDE=FQ","FILING_STATUS=OR","EQY_CONSOLIDATED=Y","FA_ADJUSTED=GAAP","Sort=A","Dates=H","DateFormat=P","Fill=—","Direction=H","UseDPDF=Y")</f>
        <v>#NAME?</v>
      </c>
      <c r="CY591" s="4" t="e">
        <f ca="1">_xll.BDH($C$578,"INVENT_TURN","FQ3 2016","FQ3 2016","Currency=INR","Period=FQ","BEST_FPERIOD_OVERRIDE=FQ","FILING_STATUS=OR","EQY_CONSOLIDATED=Y","FA_ADJUSTED=GAAP","Sort=A","Dates=H","DateFormat=P","Fill=—","Direction=H","UseDPDF=Y")</f>
        <v>#NAME?</v>
      </c>
      <c r="CZ591" s="2" t="e">
        <f ca="1">_xll.BDH($C$578,"INVENT_DAYS","FQ3 2016","FQ3 2016","Currency=INR","Period=FQ","BEST_FPERIOD_OVERRIDE=FQ","FILING_STATUS=OR","EQY_CONSOLIDATED=Y","FA_ADJUSTED=GAAP","Sort=A","Dates=H","DateFormat=P","Fill=—","Direction=H","UseDPDF=Y")</f>
        <v>#NAME?</v>
      </c>
      <c r="DA591" s="4" t="e">
        <f ca="1">_xll.BDH($C$578,"ACCOUNTS_PAYABLE_TURNOVER","FQ3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591" s="2" t="e">
        <f ca="1">_xll.BDH($C$578,"ACCOUNTS_PAYABLE_TURNOVER_DAYS","FQ3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591" s="4" t="e">
        <f ca="1">_xll.BDH($C$578,"CASH_CONVERSION_CYCLE","FQ3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591" s="4" t="e">
        <f ca="1">_xll.BDH($C$578,"INV_TO_CASH_DAYS","FQ3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591" s="5" t="e">
        <f ca="1">_xll.BDH($C$578,"BS_INVENTORIES","FQ3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591" s="3" t="e">
        <f ca="1">_xll.BDH($C$578,"INVTRY_RAW_MATERIALS","FQ3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591" s="3" t="e">
        <f ca="1">_xll.BDH($C$578,"INVTRY_IN_PROGRESS","FQ3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591" s="3" t="e">
        <f ca="1">_xll.BDH($C$578,"INVTRY_FINISHED_GOODS","FQ3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591" s="3" t="e">
        <f ca="1">_xll.BDH($C$578,"BS_OTHER_INV","FQ3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592" spans="1:113" x14ac:dyDescent="0.3">
      <c r="A592" s="6"/>
      <c r="B592" s="6"/>
      <c r="C592" s="6"/>
      <c r="D592" s="6"/>
      <c r="E592" t="s">
        <v>81</v>
      </c>
      <c r="F592" t="e">
        <f ca="1">_xll.BDH($C$578,"RETURN_COM_EQY","FQ4 2016","FQ4 2016","Currency=INR","Period=FQ","BEST_FPERIOD_OVERRIDE=FQ","FILING_STATUS=OR","EQY_CONSOLIDATED=Y","FA_ADJUSTED=GAAP","Sort=A","Dates=H","DateFormat=P","Fill=—","Direction=H","UseDPDF=Y")</f>
        <v>#NAME?</v>
      </c>
      <c r="G592" t="e">
        <f ca="1">_xll.BDH($C$578,"RETURN_ON_ASSET","FQ4 2016","FQ4 2016","Currency=INR","Period=FQ","BEST_FPERIOD_OVERRIDE=FQ","FILING_STATUS=OR","EQY_CONSOLIDATED=Y","FA_ADJUSTED=GAAP","Sort=A","Dates=H","DateFormat=P","Fill=—","Direction=H","UseDPDF=Y")</f>
        <v>#NAME?</v>
      </c>
      <c r="H592" t="e">
        <f ca="1">_xll.BDH($C$578,"RETURN_ON_CAP","FQ4 2016","FQ4 2016","Currency=INR","Period=FQ","BEST_FPERIOD_OVERRIDE=FQ","FILING_STATUS=OR","EQY_CONSOLIDATED=Y","FA_ADJUSTED=GAAP","Sort=A","Dates=H","DateFormat=P","Fill=—","Direction=H","UseDPDF=Y")</f>
        <v>#NAME?</v>
      </c>
      <c r="I592" t="e">
        <f ca="1">_xll.BDH($C$578,"RETURN_ON_INV_CAPITAL","FQ4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592" t="e">
        <f ca="1">_xll.BDH($C$578,"EBITDA_TO_REVENUE","FQ4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592" t="e">
        <f ca="1">_xll.BDH($C$578,"OPER_MARGIN","FQ4 2016","FQ4 2016","Currency=INR","Period=FQ","BEST_FPERIOD_OVERRIDE=FQ","FILING_STATUS=OR","EQY_CONSOLIDATED=Y","FA_ADJUSTED=GAAP","Sort=A","Dates=H","DateFormat=P","Fill=—","Direction=H","UseDPDF=Y")</f>
        <v>#NAME?</v>
      </c>
      <c r="L592" t="e">
        <f ca="1">_xll.BDH($C$578,"INCREMENTAL_OPERATING_MARGIN","FQ4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592" t="e">
        <f ca="1">_xll.BDH($C$578,"PRETAX_INC_TO_NET_SALES","FQ4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592" t="e">
        <f ca="1">_xll.BDH($C$578,"INC_BEF_XO_ITEMS_TO_NET_SALES","FQ4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592" t="e">
        <f ca="1">_xll.BDH($C$578,"PROF_MARGIN","FQ4 2016","FQ4 2016","Currency=INR","Period=FQ","BEST_FPERIOD_OVERRIDE=FQ","FILING_STATUS=OR","EQY_CONSOLIDATED=Y","FA_ADJUSTED=GAAP","Sort=A","Dates=H","DateFormat=P","Fill=—","Direction=H","UseDPDF=Y")</f>
        <v>#NAME?</v>
      </c>
      <c r="P592" t="e">
        <f ca="1">_xll.BDH($C$578,"NET_INCOME_TO_COMMON_MARGIN","FQ4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592" t="e">
        <f ca="1">_xll.BDH($C$578,"EFF_TAX_RATE","FQ4 2016","FQ4 2016","Currency=INR","Period=FQ","BEST_FPERIOD_OVERRIDE=FQ","FILING_STATUS=OR","EQY_CONSOLIDATED=Y","FA_ADJUSTED=GAAP","Sort=A","Dates=H","DateFormat=P","Fill=—","Direction=H","UseDPDF=Y")</f>
        <v>#NAME?</v>
      </c>
      <c r="R592" t="e">
        <f ca="1">_xll.BDH($C$578,"DVD_PAYOUT_RATIO","FQ4 2016","FQ4 2016","Currency=INR","Period=FQ","BEST_FPERIOD_OVERRIDE=FQ","FILING_STATUS=OR","EQY_CONSOLIDATED=Y","FA_ADJUSTED=GAAP","Sort=A","Dates=H","DateFormat=P","Fill=—","Direction=H","UseDPDF=Y")</f>
        <v>#NAME?</v>
      </c>
      <c r="S592" t="e">
        <f ca="1">_xll.BDH($C$578,"SUSTAIN_GROWTH_RT","FQ4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592" s="2" t="e">
        <f ca="1">_xll.BDH($C$578,"SALES_GROWTH","FQ4 2016","FQ4 2016","Currency=INR","Period=FQ","BEST_FPERIOD_OVERRIDE=FQ","FILING_STATUS=OR","EQY_CONSOLIDATED=Y","FA_ADJUSTED=GAAP","Sort=A","Dates=H","DateFormat=P","Fill=—","Direction=H","UseDPDF=Y")</f>
        <v>#NAME?</v>
      </c>
      <c r="U592" s="2" t="e">
        <f ca="1">_xll.BDH($C$578,"EBITDA_GROWTH","FQ4 2016","FQ4 2016","Currency=INR","Period=FQ","BEST_FPERIOD_OVERRIDE=FQ","FILING_STATUS=OR","EQY_CONSOLIDATED=Y","FA_ADJUSTED=GAAP","Sort=A","Dates=H","DateFormat=P","Fill=—","Direction=H","UseDPDF=Y")</f>
        <v>#NAME?</v>
      </c>
      <c r="V592" s="2" t="e">
        <f ca="1">_xll.BDH($C$578,"OPER_INC_GROWTH","FQ4 2016","FQ4 2016","Currency=INR","Period=FQ","BEST_FPERIOD_OVERRIDE=FQ","FILING_STATUS=OR","EQY_CONSOLIDATED=Y","FA_ADJUSTED=GAAP","Sort=A","Dates=H","DateFormat=P","Fill=—","Direction=H","UseDPDF=Y")</f>
        <v>#NAME?</v>
      </c>
      <c r="W592" s="2" t="e">
        <f ca="1">_xll.BDH($C$578,"EARN_FOR_COM_GROWTH","FQ4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592" s="2" t="e">
        <f ca="1">_xll.BDH($C$578,"DILUTED_EPS_AFT_XO_ITEMS_GROWTH","FQ4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592" s="2" t="e">
        <f ca="1">_xll.BDH($C$578,"DIVIDEND_PER_SHARE_1_YEAR_GROWTH","FQ4 2016","FQ4 2016","Currency=INR","Period=FQ","BEST_FPERIOD_OVERRIDE=FQ","FILING_STATUS=OR","EQY_CONSOLIDATED=Y","Sort=A","Dates=H","DateFormat=P","Fill=—","Direction=H","UseDPDF=Y")</f>
        <v>#NAME?</v>
      </c>
      <c r="Z592" s="2" t="e">
        <f ca="1">_xll.BDH($C$578,"ACCOUNTS_RECEIVABLE_GROWTH","FQ4 2016","FQ4 2016","Currency=INR","Period=FQ","BEST_FPERIOD_OVERRIDE=FQ","FILING_STATUS=OR","EQY_CONSOLIDATED=Y","Sort=A","Dates=H","DateFormat=P","Fill=—","Direction=H","UseDPDF=Y")</f>
        <v>#NAME?</v>
      </c>
      <c r="AA592" s="2" t="e">
        <f ca="1">_xll.BDH($C$578,"INVENTORY_GROWTH","FQ4 2016","FQ4 2016","Currency=INR","Period=FQ","BEST_FPERIOD_OVERRIDE=FQ","FILING_STATUS=OR","EQY_CONSOLIDATED=Y","Sort=A","Dates=H","DateFormat=P","Fill=—","Direction=H","UseDPDF=Y")</f>
        <v>#NAME?</v>
      </c>
      <c r="AB592" s="2" t="e">
        <f ca="1">_xll.BDH($C$578,"NET_FIXED_ASSETS_1_YEAR_GROWTH","FQ4 2016","FQ4 2016","Currency=INR","Period=FQ","BEST_FPERIOD_OVERRIDE=FQ","FILING_STATUS=OR","EQY_CONSOLIDATED=Y","Sort=A","Dates=H","DateFormat=P","Fill=—","Direction=H","UseDPDF=Y")</f>
        <v>#NAME?</v>
      </c>
      <c r="AC592" s="2" t="e">
        <f ca="1">_xll.BDH($C$578,"ASSET_GROWTH","FQ4 2016","FQ4 2016","Currency=INR","Period=FQ","BEST_FPERIOD_OVERRIDE=FQ","FILING_STATUS=OR","EQY_CONSOLIDATED=Y","Sort=A","Dates=H","DateFormat=P","Fill=—","Direction=H","UseDPDF=Y")</f>
        <v>#NAME?</v>
      </c>
      <c r="AD592" s="2" t="e">
        <f ca="1">_xll.BDH($C$578,"MODIFIED_WORK_CAP_GROWTH","FQ4 2016","FQ4 2016","Currency=INR","Period=FQ","BEST_FPERIOD_OVERRIDE=FQ","FILING_STATUS=OR","EQY_CONSOLIDATED=Y","Sort=A","Dates=H","DateFormat=P","Fill=—","Direction=H","UseDPDF=Y")</f>
        <v>#NAME?</v>
      </c>
      <c r="AE592" s="2" t="e">
        <f ca="1">_xll.BDH($C$578,"WORK_CAP_GROWTH","FQ4 2016","FQ4 2016","Currency=INR","Period=FQ","BEST_FPERIOD_OVERRIDE=FQ","FILING_STATUS=OR","EQY_CONSOLIDATED=Y","Sort=A","Dates=H","DateFormat=P","Fill=—","Direction=H","UseDPDF=Y")</f>
        <v>#NAME?</v>
      </c>
      <c r="AF592" s="2" t="e">
        <f ca="1">_xll.BDH($C$578,"ACCOUNTS_PAYABLE_GROWTH_1YR","FQ4 2016","FQ4 2016","Currency=INR","Period=FQ","BEST_FPERIOD_OVERRIDE=FQ","FILING_STATUS=OR","EQY_CONSOLIDATED=Y","Sort=A","Dates=H","DateFormat=P","Fill=—","Direction=H","UseDPDF=Y")</f>
        <v>#NAME?</v>
      </c>
      <c r="AG592" s="2" t="e">
        <f ca="1">_xll.BDH($C$578,"SHORT_TERM_DEBT_1_YEAR_GROWTH","FQ4 2016","FQ4 2016","Currency=INR","Period=FQ","BEST_FPERIOD_OVERRIDE=FQ","FILING_STATUS=OR","EQY_CONSOLIDATED=Y","Sort=A","Dates=H","DateFormat=P","Fill=—","Direction=H","UseDPDF=Y")</f>
        <v>#NAME?</v>
      </c>
      <c r="AH592" s="2" t="e">
        <f ca="1">_xll.BDH($C$578,"TOTAL_DEBT_1_YEAR_GROWTH","FQ4 2016","FQ4 2016","Currency=INR","Period=FQ","BEST_FPERIOD_OVERRIDE=FQ","FILING_STATUS=OR","EQY_CONSOLIDATED=Y","Sort=A","Dates=H","DateFormat=P","Fill=—","Direction=H","UseDPDF=Y")</f>
        <v>#NAME?</v>
      </c>
      <c r="AI592" s="2" t="e">
        <f ca="1">_xll.BDH($C$578,"TOTAL_EQUITY_1_YEAR_GROWTH","FQ4 2016","FQ4 2016","Currency=INR","Period=FQ","BEST_FPERIOD_OVERRIDE=FQ","FILING_STATUS=OR","EQY_CONSOLIDATED=Y","Sort=A","Dates=H","DateFormat=P","Fill=—","Direction=H","UseDPDF=Y")</f>
        <v>#NAME?</v>
      </c>
      <c r="AJ592" s="2" t="e">
        <f ca="1">_xll.BDH($C$578,"GROWTH_IN_CAP","FQ4 2016","FQ4 2016","Currency=INR","Period=FQ","BEST_FPERIOD_OVERRIDE=FQ","FILING_STATUS=OR","EQY_CONSOLIDATED=Y","Sort=A","Dates=H","DateFormat=P","Fill=—","Direction=H","UseDPDF=Y")</f>
        <v>#NAME?</v>
      </c>
      <c r="AK592" s="2" t="e">
        <f ca="1">_xll.BDH($C$578,"BVPS_GROWTH","FQ4 2016","FQ4 2016","Currency=INR","Period=FQ","BEST_FPERIOD_OVERRIDE=FQ","FILING_STATUS=OR","EQY_CONSOLIDATED=Y","Sort=A","Dates=H","DateFormat=P","Fill=—","Direction=H","UseDPDF=Y")</f>
        <v>#NAME?</v>
      </c>
      <c r="AL592" s="2" t="e">
        <f ca="1">_xll.BDH($C$578,"CASH_FLOW_GROWTH","FQ4 2016","FQ4 2016","Currency=INR","Period=FQ","BEST_FPERIOD_OVERRIDE=FQ","FILING_STATUS=OR","EQY_CONSOLIDATED=Y","Sort=A","Dates=H","DateFormat=P","Fill=—","Direction=H","UseDPDF=Y")</f>
        <v>#NAME?</v>
      </c>
      <c r="AM592" s="2" t="e">
        <f ca="1">_xll.BDH($C$578,"GEO_GROW_NET_SALES","FQ4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592" s="2" t="e">
        <f ca="1">_xll.BDH($C$578,"GEO_GROW_EBITDA","FQ4 2016","FQ4 2016","Currency=INR","Period=FQ","BEST_FPERIOD_OVERRIDE=FQ","FILING_STATUS=OR","EQY_CONSOLIDATED=Y","FA_ADJUSTED=GAAP","Sort=A","Dates=H","DateFormat=P","Fill=—","Direction=H","UseDPDF=Y")</f>
        <v>#NAME?</v>
      </c>
      <c r="AO592" s="2" t="e">
        <f ca="1">_xll.BDH($C$578,"GEO_GROW_OPER_INC","FQ4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592" s="2" t="e">
        <f ca="1">_xll.BDH($C$578,"NET_INCOME_TO_COMMON_5_YR_GROWTH","FQ4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592" s="2" t="e">
        <f ca="1">_xll.BDH($C$578,"5Y_GEO_GROWTH_DILUTED_EPS","FQ4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592" s="2" t="e">
        <f ca="1">_xll.BDH($C$578,"GEO_GROW_DVD_PER_SH","FQ4 2016","FQ4 2016","Currency=INR","Period=FQ","BEST_FPERIOD_OVERRIDE=FQ","FILING_STATUS=OR","EQY_CONSOLIDATED=Y","Sort=A","Dates=H","DateFormat=P","Fill=—","Direction=H","UseDPDF=Y")</f>
        <v>#NAME?</v>
      </c>
      <c r="AS592" s="2" t="e">
        <f ca="1">_xll.BDH($C$578,"ACCOUNTS_RECEIVABLE_5_YR_GROWTH","FQ4 2016","FQ4 2016","Currency=INR","Period=FQ","BEST_FPERIOD_OVERRIDE=FQ","FILING_STATUS=OR","EQY_CONSOLIDATED=Y","Sort=A","Dates=H","DateFormat=P","Fill=—","Direction=H","UseDPDF=Y")</f>
        <v>#NAME?</v>
      </c>
      <c r="AT592" s="2" t="e">
        <f ca="1">_xll.BDH($C$578,"INVENTORY_5_YEAR_GROWTH","FQ4 2016","FQ4 2016","Currency=INR","Period=FQ","BEST_FPERIOD_OVERRIDE=FQ","FILING_STATUS=OR","EQY_CONSOLIDATED=Y","Sort=A","Dates=H","DateFormat=P","Fill=—","Direction=H","UseDPDF=Y")</f>
        <v>#NAME?</v>
      </c>
      <c r="AU592" s="2" t="e">
        <f ca="1">_xll.BDH($C$578,"NET_FIXED_ASSETS_5_YEAR_GROWTH","FQ4 2016","FQ4 2016","Currency=INR","Period=FQ","BEST_FPERIOD_OVERRIDE=FQ","FILING_STATUS=OR","EQY_CONSOLIDATED=Y","Sort=A","Dates=H","DateFormat=P","Fill=—","Direction=H","UseDPDF=Y")</f>
        <v>#NAME?</v>
      </c>
      <c r="AV592" s="2" t="e">
        <f ca="1">_xll.BDH($C$578,"GEO_GROW_TOT_ASSET","FQ4 2016","FQ4 2016","Currency=INR","Period=FQ","BEST_FPERIOD_OVERRIDE=FQ","FILING_STATUS=OR","EQY_CONSOLIDATED=Y","Sort=A","Dates=H","DateFormat=P","Fill=—","Direction=H","UseDPDF=Y")</f>
        <v>#NAME?</v>
      </c>
      <c r="AW592" s="2" t="e">
        <f ca="1">_xll.BDH($C$578,"MODIFIED_WORKING_CPTL_5YR_GRWTH","FQ4 2016","FQ4 2016","Currency=INR","Period=FQ","BEST_FPERIOD_OVERRIDE=FQ","FILING_STATUS=OR","EQY_CONSOLIDATED=Y","Sort=A","Dates=H","DateFormat=P","Fill=—","Direction=H","UseDPDF=Y")</f>
        <v>#NAME?</v>
      </c>
      <c r="AX592" s="2" t="e">
        <f ca="1">_xll.BDH($C$578,"WORKING_CAPITAL_5_YEAR_GROWTH","FQ4 2016","FQ4 2016","Currency=INR","Period=FQ","BEST_FPERIOD_OVERRIDE=FQ","FILING_STATUS=OR","EQY_CONSOLIDATED=Y","Sort=A","Dates=H","DateFormat=P","Fill=—","Direction=H","UseDPDF=Y")</f>
        <v>#NAME?</v>
      </c>
      <c r="AY592" s="2" t="e">
        <f ca="1">_xll.BDH($C$578,"ACCOUNTS_PAYABLE_5_YEAR_GROWTH","FQ4 2016","FQ4 2016","Currency=INR","Period=FQ","BEST_FPERIOD_OVERRIDE=FQ","FILING_STATUS=OR","EQY_CONSOLIDATED=Y","Sort=A","Dates=H","DateFormat=P","Fill=—","Direction=H","UseDPDF=Y")</f>
        <v>#NAME?</v>
      </c>
      <c r="AZ592" s="2" t="e">
        <f ca="1">_xll.BDH($C$578,"SHORT_TERM_DEBT_5_YEAR_GROWTH","FQ4 2016","FQ4 2016","Currency=INR","Period=FQ","BEST_FPERIOD_OVERRIDE=FQ","FILING_STATUS=OR","EQY_CONSOLIDATED=Y","Sort=A","Dates=H","DateFormat=P","Fill=—","Direction=H","UseDPDF=Y")</f>
        <v>#NAME?</v>
      </c>
      <c r="BA592" s="2" t="e">
        <f ca="1">_xll.BDH($C$578,"TOTAL_DEBT_5_YEAR_GROWTH","FQ4 2016","FQ4 2016","Currency=INR","Period=FQ","BEST_FPERIOD_OVERRIDE=FQ","FILING_STATUS=OR","EQY_CONSOLIDATED=Y","Sort=A","Dates=H","DateFormat=P","Fill=—","Direction=H","UseDPDF=Y")</f>
        <v>#NAME?</v>
      </c>
      <c r="BB592" s="2" t="e">
        <f ca="1">_xll.BDH($C$578,"GEO_GROW_TOT_SHRHLDR_EQY","FQ4 2016","FQ4 2016","Currency=INR","Period=FQ","BEST_FPERIOD_OVERRIDE=FQ","FILING_STATUS=OR","EQY_CONSOLIDATED=Y","Sort=A","Dates=H","DateFormat=P","Fill=—","Direction=H","UseDPDF=Y")</f>
        <v>#NAME?</v>
      </c>
      <c r="BC592" s="2" t="e">
        <f ca="1">_xll.BDH($C$578,"TOTAL_CAPITAL_5_YEAR_GROWTH","FQ4 2016","FQ4 2016","Currency=INR","Period=FQ","BEST_FPERIOD_OVERRIDE=FQ","FILING_STATUS=OR","EQY_CONSOLIDATED=Y","Sort=A","Dates=H","DateFormat=P","Fill=—","Direction=H","UseDPDF=Y")</f>
        <v>#NAME?</v>
      </c>
      <c r="BD592" s="2" t="e">
        <f ca="1">_xll.BDH($C$578,"GEO_GROW_BOOK_VAL","FQ4 2016","FQ4 2016","Currency=INR","Period=FQ","BEST_FPERIOD_OVERRIDE=FQ","FILING_STATUS=OR","EQY_CONSOLIDATED=Y","Sort=A","Dates=H","DateFormat=P","Fill=—","Direction=H","UseDPDF=Y")</f>
        <v>#NAME?</v>
      </c>
      <c r="BE592" s="2" t="e">
        <f ca="1">_xll.BDH($C$578,"GEO_GROW_CASH_OPER_ACT","FQ4 2016","FQ4 2016","Currency=INR","Period=FQ","BEST_FPERIOD_OVERRIDE=FQ","FILING_STATUS=OR","EQY_CONSOLIDATED=Y","Sort=A","Dates=H","DateFormat=P","Fill=—","Direction=H","UseDPDF=Y")</f>
        <v>#NAME?</v>
      </c>
      <c r="BF592" s="2" t="e">
        <f ca="1">_xll.BDH($C$578,"REVENUE_SEQUENTIAL_GROWTH","FQ4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592" s="2" t="e">
        <f ca="1">_xll.BDH($C$578,"EBITDA_SEQUENTIAL_GROWTH","FQ4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592" s="2" t="e">
        <f ca="1">_xll.BDH($C$578,"OPERATING_INCOME_SEQ_GROWTH","FQ4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592" s="2" t="e">
        <f ca="1">_xll.BDH($C$578,"NET_INCOME_TO_COMMON_SEQ_GROWTH","FQ4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592" s="2" t="e">
        <f ca="1">_xll.BDH($C$578,"EPS_DILUTED_SEQUENTIAL_GROWTH","FQ4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592" s="2" t="e">
        <f ca="1">_xll.BDH($C$578,"DPS_SEQUENTIAL_GROWTH","FQ4 2016","FQ4 2016","Currency=INR","Period=FQ","BEST_FPERIOD_OVERRIDE=FQ","FILING_STATUS=OR","EQY_CONSOLIDATED=Y","Sort=A","Dates=H","DateFormat=P","Fill=—","Direction=H","UseDPDF=Y")</f>
        <v>#NAME?</v>
      </c>
      <c r="BL592" s="2" t="e">
        <f ca="1">_xll.BDH($C$578,"ACCOUNTS_RECEIVABLE_SEQ_GROWTH","FQ4 2016","FQ4 2016","Currency=INR","Period=FQ","BEST_FPERIOD_OVERRIDE=FQ","FILING_STATUS=OR","EQY_CONSOLIDATED=Y","Sort=A","Dates=H","DateFormat=P","Fill=—","Direction=H","UseDPDF=Y")</f>
        <v>#NAME?</v>
      </c>
      <c r="BM592" s="2" t="e">
        <f ca="1">_xll.BDH($C$578,"INVENTORY_SEQUENTIAL_GROWTH","FQ4 2016","FQ4 2016","Currency=INR","Period=FQ","BEST_FPERIOD_OVERRIDE=FQ","FILING_STATUS=OR","EQY_CONSOLIDATED=Y","Sort=A","Dates=H","DateFormat=P","Fill=—","Direction=H","UseDPDF=Y")</f>
        <v>#NAME?</v>
      </c>
      <c r="BN592" s="2" t="e">
        <f ca="1">_xll.BDH($C$578,"FIXED_ASSETS_SEQUENTIAL_GROWTH","FQ4 2016","FQ4 2016","Currency=INR","Period=FQ","BEST_FPERIOD_OVERRIDE=FQ","FILING_STATUS=OR","EQY_CONSOLIDATED=Y","Sort=A","Dates=H","DateFormat=P","Fill=—","Direction=H","UseDPDF=Y")</f>
        <v>#NAME?</v>
      </c>
      <c r="BO592" s="2" t="e">
        <f ca="1">_xll.BDH($C$578,"TOTAL_ASSETS_SEQUENTIAL_GROWTH","FQ4 2016","FQ4 2016","Currency=INR","Period=FQ","BEST_FPERIOD_OVERRIDE=FQ","FILING_STATUS=OR","EQY_CONSOLIDATED=Y","Sort=A","Dates=H","DateFormat=P","Fill=—","Direction=H","UseDPDF=Y")</f>
        <v>#NAME?</v>
      </c>
      <c r="BP592" s="2" t="e">
        <f ca="1">_xll.BDH($C$578,"MODIFIED_WORKING_CPTL_SEQ_GRWTH","FQ4 2016","FQ4 2016","Currency=INR","Period=FQ","BEST_FPERIOD_OVERRIDE=FQ","FILING_STATUS=OR","EQY_CONSOLIDATED=Y","Sort=A","Dates=H","DateFormat=P","Fill=—","Direction=H","UseDPDF=Y")</f>
        <v>#NAME?</v>
      </c>
      <c r="BQ592" s="2" t="e">
        <f ca="1">_xll.BDH($C$578,"WORKING_CAPITAL_SEQ_GROWTH","FQ4 2016","FQ4 2016","Currency=INR","Period=FQ","BEST_FPERIOD_OVERRIDE=FQ","FILING_STATUS=OR","EQY_CONSOLIDATED=Y","Sort=A","Dates=H","DateFormat=P","Fill=—","Direction=H","UseDPDF=Y")</f>
        <v>#NAME?</v>
      </c>
      <c r="BR592" s="2" t="e">
        <f ca="1">_xll.BDH($C$578,"ACCOUNTS_PAYABLE_SEQ_GROWTH","FQ4 2016","FQ4 2016","Currency=INR","Period=FQ","BEST_FPERIOD_OVERRIDE=FQ","FILING_STATUS=OR","EQY_CONSOLIDATED=Y","Sort=A","Dates=H","DateFormat=P","Fill=—","Direction=H","UseDPDF=Y")</f>
        <v>#NAME?</v>
      </c>
      <c r="BS592" s="2" t="e">
        <f ca="1">_xll.BDH($C$578,"ST_DEBT_SEQUENTIAL_GROWTH","FQ4 2016","FQ4 2016","Currency=INR","Period=FQ","BEST_FPERIOD_OVERRIDE=FQ","FILING_STATUS=OR","EQY_CONSOLIDATED=Y","Sort=A","Dates=H","DateFormat=P","Fill=—","Direction=H","UseDPDF=Y")</f>
        <v>#NAME?</v>
      </c>
      <c r="BT592" s="2" t="e">
        <f ca="1">_xll.BDH($C$578,"TOTAL_DEBT_SEQUENTIAL_GROWTH","FQ4 2016","FQ4 2016","Currency=INR","Period=FQ","BEST_FPERIOD_OVERRIDE=FQ","FILING_STATUS=OR","EQY_CONSOLIDATED=Y","Sort=A","Dates=H","DateFormat=P","Fill=—","Direction=H","UseDPDF=Y")</f>
        <v>#NAME?</v>
      </c>
      <c r="BU592" s="2" t="e">
        <f ca="1">_xll.BDH($C$578,"TOTAL_EQUITY_SEQUENTIAL_GROWTH","FQ4 2016","FQ4 2016","Currency=INR","Period=FQ","BEST_FPERIOD_OVERRIDE=FQ","FILING_STATUS=OR","EQY_CONSOLIDATED=Y","Sort=A","Dates=H","DateFormat=P","Fill=—","Direction=H","UseDPDF=Y")</f>
        <v>#NAME?</v>
      </c>
      <c r="BV592" s="2" t="e">
        <f ca="1">_xll.BDH($C$578,"TOTAL_CAPITAL_SEQUENTIAL_GROWTH","FQ4 2016","FQ4 2016","Currency=INR","Period=FQ","BEST_FPERIOD_OVERRIDE=FQ","FILING_STATUS=OR","EQY_CONSOLIDATED=Y","Sort=A","Dates=H","DateFormat=P","Fill=—","Direction=H","UseDPDF=Y")</f>
        <v>#NAME?</v>
      </c>
      <c r="BW592" s="2" t="e">
        <f ca="1">_xll.BDH($C$578,"BPS_SEQUENTIAL_GROWTH","FQ4 2016","FQ4 2016","Currency=INR","Period=FQ","BEST_FPERIOD_OVERRIDE=FQ","FILING_STATUS=OR","EQY_CONSOLIDATED=Y","Sort=A","Dates=H","DateFormat=P","Fill=—","Direction=H","UseDPDF=Y")</f>
        <v>#NAME?</v>
      </c>
      <c r="BX592" s="2" t="e">
        <f ca="1">_xll.BDH($C$578,"CFO_SEQUENTIAL_GROWTH","FQ4 2016","FQ4 2016","Currency=INR","Period=FQ","BEST_FPERIOD_OVERRIDE=FQ","FILING_STATUS=OR","EQY_CONSOLIDATED=Y","Sort=A","Dates=H","DateFormat=P","Fill=—","Direction=H","UseDPDF=Y")</f>
        <v>#NAME?</v>
      </c>
      <c r="BY592" s="3" t="e">
        <f ca="1">_xll.BDH($C$578,"SHORT_AND_LONG_TERM_DEBT","FQ4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592" s="3" t="e">
        <f ca="1">_xll.BDH($C$578,"BS_ST_BORROW","FQ4 2016","FQ4 2016","Currency=INR","Period=FQ","BEST_FPERIOD_OVERRIDE=FQ","FILING_STATUS=OR","EQY_CONSOLIDATED=Y","SCALING_FORMAT=MLN","Sort=A","Dates=H","DateFormat=P","Fill=—","Direction=H","UseDPDF=Y")</f>
        <v>#NAME?</v>
      </c>
      <c r="CA592" s="3" t="e">
        <f ca="1">_xll.BDH($C$578,"BS_LT_BORROW","FQ4 2016","FQ4 2016","Currency=INR","Period=FQ","BEST_FPERIOD_OVERRIDE=FQ","FILING_STATUS=OR","EQY_CONSOLIDATED=Y","SCALING_FORMAT=MLN","Sort=A","Dates=H","DateFormat=P","Fill=—","Direction=H","UseDPDF=Y")</f>
        <v>#NAME?</v>
      </c>
      <c r="CB592" s="2" t="e">
        <f ca="1">_xll.BDH($C$578,"TOT_DEBT_TO_EBITDA","FQ4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592" s="2" t="e">
        <f ca="1">_xll.BDH($C$578,"NET_DEBT_TO_EBITDA","FQ4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592" s="2" t="e">
        <f ca="1">_xll.BDH($C$578,"TOTAL_DEBT_TO_EBIT","FQ4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592" s="2" t="e">
        <f ca="1">_xll.BDH($C$578,"NET_DEBT_TO_EBIT","FQ4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592" s="2" t="e">
        <f ca="1">_xll.BDH($C$578,"EBITDA_TO_INTEREST_EXPN","FQ4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592" s="2" t="e">
        <f ca="1">_xll.BDH($C$578,"COM_EQY_TO_TOT_ASSET","FQ4 2016","FQ4 2016","Currency=INR","Period=FQ","BEST_FPERIOD_OVERRIDE=FQ","FILING_STATUS=OR","EQY_CONSOLIDATED=Y","Sort=A","Dates=H","DateFormat=P","Fill=—","Direction=H","UseDPDF=Y")</f>
        <v>#NAME?</v>
      </c>
      <c r="CH592" s="2" t="e">
        <f ca="1">_xll.BDH($C$578,"LT_DEBT_TO_TOT_EQY","FQ4 2016","FQ4 2016","Currency=INR","Period=FQ","BEST_FPERIOD_OVERRIDE=FQ","FILING_STATUS=OR","EQY_CONSOLIDATED=Y","Sort=A","Dates=H","DateFormat=P","Fill=—","Direction=H","UseDPDF=Y")</f>
        <v>#NAME?</v>
      </c>
      <c r="CI592" s="2" t="e">
        <f ca="1">_xll.BDH($C$578,"LT_DEBT_TO_TOT_CAP","FQ4 2016","FQ4 2016","Currency=INR","Period=FQ","BEST_FPERIOD_OVERRIDE=FQ","FILING_STATUS=OR","EQY_CONSOLIDATED=Y","Sort=A","Dates=H","DateFormat=P","Fill=—","Direction=H","UseDPDF=Y")</f>
        <v>#NAME?</v>
      </c>
      <c r="CJ592" s="2" t="e">
        <f ca="1">_xll.BDH($C$578,"LT_DEBT_TO_TOT_ASSET","FQ4 2016","FQ4 2016","Currency=INR","Period=FQ","BEST_FPERIOD_OVERRIDE=FQ","FILING_STATUS=OR","EQY_CONSOLIDATED=Y","Sort=A","Dates=H","DateFormat=P","Fill=—","Direction=H","UseDPDF=Y")</f>
        <v>#NAME?</v>
      </c>
      <c r="CK592" s="2" t="e">
        <f ca="1">_xll.BDH($C$578,"TOT_DEBT_TO_TOT_EQY","FQ4 2016","FQ4 2016","Currency=INR","Period=FQ","BEST_FPERIOD_OVERRIDE=FQ","FILING_STATUS=OR","EQY_CONSOLIDATED=Y","Sort=A","Dates=H","DateFormat=P","Fill=—","Direction=H","UseDPDF=Y")</f>
        <v>#NAME?</v>
      </c>
      <c r="CL592" s="2" t="e">
        <f ca="1">_xll.BDH($C$578,"TOT_DEBT_TO_TOT_CAP","FQ4 2016","FQ4 2016","Currency=INR","Period=FQ","BEST_FPERIOD_OVERRIDE=FQ","FILING_STATUS=OR","EQY_CONSOLIDATED=Y","Sort=A","Dates=H","DateFormat=P","Fill=—","Direction=H","UseDPDF=Y")</f>
        <v>#NAME?</v>
      </c>
      <c r="CM592" s="2" t="e">
        <f ca="1">_xll.BDH($C$578,"TOT_DEBT_TO_TOT_ASSET","FQ4 2016","FQ4 2016","Currency=INR","Period=FQ","BEST_FPERIOD_OVERRIDE=FQ","FILING_STATUS=OR","EQY_CONSOLIDATED=Y","Sort=A","Dates=H","DateFormat=P","Fill=—","Direction=H","UseDPDF=Y")</f>
        <v>#NAME?</v>
      </c>
      <c r="CN592" s="2" t="e">
        <f ca="1">_xll.BDH($C$578,"NET_DEBT_TO_SHRHLDR_EQTY","FQ4 2016","FQ4 2016","Currency=INR","Period=FQ","BEST_FPERIOD_OVERRIDE=FQ","FILING_STATUS=OR","EQY_CONSOLIDATED=Y","Sort=A","Dates=H","DateFormat=P","Fill=—","Direction=H","UseDPDF=Y")</f>
        <v>#NAME?</v>
      </c>
      <c r="CO592" s="2" t="e">
        <f ca="1">_xll.BDH($C$578,"NET_DEBT_%_CAPITAL","FQ4 2016","FQ4 2016","Currency=INR","Period=FQ","BEST_FPERIOD_OVERRIDE=FQ","FILING_STATUS=OR","EQY_CONSOLIDATED=Y","Sort=A","Dates=H","DateFormat=P","Fill=—","Direction=H","UseDPDF=Y")</f>
        <v>#NAME?</v>
      </c>
      <c r="CP592" s="3" t="e">
        <f ca="1">_xll.BDH($C$578,"EBITDA","FQ4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592" s="3" t="e">
        <f ca="1">_xll.BDH($C$578,"EBITDA_AFTER_CAPEX","FQ4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592" s="3" t="e">
        <f ca="1">_xll.BDH($C$578,"IS_OPER_INC","FQ4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592" s="2" t="e">
        <f ca="1">_xll.BDH($C$578,"CASH_RATIO","FQ4 2016","FQ4 2016","Currency=INR","Period=FQ","BEST_FPERIOD_OVERRIDE=FQ","FILING_STATUS=OR","EQY_CONSOLIDATED=Y","Sort=A","Dates=H","DateFormat=P","Fill=—","Direction=H","UseDPDF=Y")</f>
        <v>#NAME?</v>
      </c>
      <c r="CT592" s="2" t="e">
        <f ca="1">_xll.BDH($C$578,"CUR_RATIO","FQ4 2016","FQ4 2016","Currency=INR","Period=FQ","BEST_FPERIOD_OVERRIDE=FQ","FILING_STATUS=OR","EQY_CONSOLIDATED=Y","Sort=A","Dates=H","DateFormat=P","Fill=—","Direction=H","UseDPDF=Y")</f>
        <v>#NAME?</v>
      </c>
      <c r="CU592" s="2" t="e">
        <f ca="1">_xll.BDH($C$578,"QUICK_RATIO","FQ4 2016","FQ4 2016","Currency=INR","Period=FQ","BEST_FPERIOD_OVERRIDE=FQ","FILING_STATUS=OR","EQY_CONSOLIDATED=Y","Sort=A","Dates=H","DateFormat=P","Fill=—","Direction=H","UseDPDF=Y")</f>
        <v>#NAME?</v>
      </c>
      <c r="CV592" s="2" t="e">
        <f ca="1">_xll.BDH($C$578,"ALTMAN_Z_SCORE","FQ4 2016","FQ4 2016","Currency=INR","Period=FQ","BEST_FPERIOD_OVERRIDE=FQ","FILING_STATUS=OR","EQY_CONSOLIDATED=Y","Sort=A","Dates=H","DateFormat=P","Fill=—","Direction=H","UseDPDF=Y")</f>
        <v>#NAME?</v>
      </c>
      <c r="CW592" s="4" t="e">
        <f ca="1">_xll.BDH($C$578,"ACCT_RCV_TURN","FQ4 2016","FQ4 2016","Currency=INR","Period=FQ","BEST_FPERIOD_OVERRIDE=FQ","FILING_STATUS=OR","EQY_CONSOLIDATED=Y","FA_ADJUSTED=GAAP","Sort=A","Dates=H","DateFormat=P","Fill=—","Direction=H","UseDPDF=Y")</f>
        <v>#NAME?</v>
      </c>
      <c r="CX592" s="2" t="e">
        <f ca="1">_xll.BDH($C$578,"ACCT_RCV_DAYS","FQ4 2016","FQ4 2016","Currency=INR","Period=FQ","BEST_FPERIOD_OVERRIDE=FQ","FILING_STATUS=OR","EQY_CONSOLIDATED=Y","FA_ADJUSTED=GAAP","Sort=A","Dates=H","DateFormat=P","Fill=—","Direction=H","UseDPDF=Y")</f>
        <v>#NAME?</v>
      </c>
      <c r="CY592" s="4" t="e">
        <f ca="1">_xll.BDH($C$578,"INVENT_TURN","FQ4 2016","FQ4 2016","Currency=INR","Period=FQ","BEST_FPERIOD_OVERRIDE=FQ","FILING_STATUS=OR","EQY_CONSOLIDATED=Y","FA_ADJUSTED=GAAP","Sort=A","Dates=H","DateFormat=P","Fill=—","Direction=H","UseDPDF=Y")</f>
        <v>#NAME?</v>
      </c>
      <c r="CZ592" s="2" t="e">
        <f ca="1">_xll.BDH($C$578,"INVENT_DAYS","FQ4 2016","FQ4 2016","Currency=INR","Period=FQ","BEST_FPERIOD_OVERRIDE=FQ","FILING_STATUS=OR","EQY_CONSOLIDATED=Y","FA_ADJUSTED=GAAP","Sort=A","Dates=H","DateFormat=P","Fill=—","Direction=H","UseDPDF=Y")</f>
        <v>#NAME?</v>
      </c>
      <c r="DA592" s="4" t="e">
        <f ca="1">_xll.BDH($C$578,"ACCOUNTS_PAYABLE_TURNOVER","FQ4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592" s="2" t="e">
        <f ca="1">_xll.BDH($C$578,"ACCOUNTS_PAYABLE_TURNOVER_DAYS","FQ4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592" s="4" t="e">
        <f ca="1">_xll.BDH($C$578,"CASH_CONVERSION_CYCLE","FQ4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592" s="4" t="e">
        <f ca="1">_xll.BDH($C$578,"INV_TO_CASH_DAYS","FQ4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592" s="5" t="e">
        <f ca="1">_xll.BDH($C$578,"BS_INVENTORIES","FQ4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592" s="3" t="e">
        <f ca="1">_xll.BDH($C$578,"INVTRY_RAW_MATERIALS","FQ4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592" s="3" t="e">
        <f ca="1">_xll.BDH($C$578,"INVTRY_IN_PROGRESS","FQ4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592" s="3" t="e">
        <f ca="1">_xll.BDH($C$578,"INVTRY_FINISHED_GOODS","FQ4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592" s="3" t="e">
        <f ca="1">_xll.BDH($C$578,"BS_OTHER_INV","FQ4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593" spans="1:113" x14ac:dyDescent="0.3">
      <c r="A593" s="6"/>
      <c r="B593" s="6"/>
      <c r="C593" s="6"/>
      <c r="D593" s="6" t="s">
        <v>84</v>
      </c>
      <c r="E593" t="s">
        <v>77</v>
      </c>
      <c r="F593" t="e">
        <f ca="1">_xll.BDH($C$578,"RETURN_COM_EQY","FY 2017","FY 2017","Currency=INR","Period=FY","BEST_FPERIOD_OVERRIDE=FY","FILING_STATUS=OR","EQY_CONSOLIDATED=Y","FA_ADJUSTED=GAAP","Sort=A","Dates=H","DateFormat=P","Fill=—","Direction=H","UseDPDF=Y")</f>
        <v>#NAME?</v>
      </c>
      <c r="G593" t="e">
        <f ca="1">_xll.BDH($C$578,"RETURN_ON_ASSET","FY 2017","FY 2017","Currency=INR","Period=FY","BEST_FPERIOD_OVERRIDE=FY","FILING_STATUS=OR","EQY_CONSOLIDATED=Y","FA_ADJUSTED=GAAP","Sort=A","Dates=H","DateFormat=P","Fill=—","Direction=H","UseDPDF=Y")</f>
        <v>#NAME?</v>
      </c>
      <c r="H593" t="e">
        <f ca="1">_xll.BDH($C$578,"RETURN_ON_CAP","FY 2017","FY 2017","Currency=INR","Period=FY","BEST_FPERIOD_OVERRIDE=FY","FILING_STATUS=OR","EQY_CONSOLIDATED=Y","FA_ADJUSTED=GAAP","Sort=A","Dates=H","DateFormat=P","Fill=—","Direction=H","UseDPDF=Y")</f>
        <v>#NAME?</v>
      </c>
      <c r="I593" t="e">
        <f ca="1">_xll.BDH($C$578,"RETURN_ON_INV_CAPITAL","FY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593" t="e">
        <f ca="1">_xll.BDH($C$578,"EBITDA_TO_REVENUE","FY 2017","FY 2017","Currency=INR","Period=FY","BEST_FPERIOD_OVERRIDE=FY","FILING_STATUS=OR","EQY_CONSOLIDATED=Y","FA_ADJUSTED=GAAP","Sort=A","Dates=H","DateFormat=P","Fill=—","Direction=H","UseDPDF=Y")</f>
        <v>#NAME?</v>
      </c>
      <c r="K593" t="e">
        <f ca="1">_xll.BDH($C$578,"OPER_MARGIN","FY 2017","FY 2017","Currency=INR","Period=FY","BEST_FPERIOD_OVERRIDE=FY","FILING_STATUS=OR","EQY_CONSOLIDATED=Y","FA_ADJUSTED=GAAP","Sort=A","Dates=H","DateFormat=P","Fill=—","Direction=H","UseDPDF=Y")</f>
        <v>#NAME?</v>
      </c>
      <c r="L593" t="e">
        <f ca="1">_xll.BDH($C$578,"INCREMENTAL_OPERATING_MARGIN","FY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593" t="e">
        <f ca="1">_xll.BDH($C$578,"PRETAX_INC_TO_NET_SALES","FY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593" t="e">
        <f ca="1">_xll.BDH($C$578,"INC_BEF_XO_ITEMS_TO_NET_SALES","FY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593" t="e">
        <f ca="1">_xll.BDH($C$578,"PROF_MARGIN","FY 2017","FY 2017","Currency=INR","Period=FY","BEST_FPERIOD_OVERRIDE=FY","FILING_STATUS=OR","EQY_CONSOLIDATED=Y","FA_ADJUSTED=GAAP","Sort=A","Dates=H","DateFormat=P","Fill=—","Direction=H","UseDPDF=Y")</f>
        <v>#NAME?</v>
      </c>
      <c r="P593" t="e">
        <f ca="1">_xll.BDH($C$578,"NET_INCOME_TO_COMMON_MARGIN","FY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593" t="e">
        <f ca="1">_xll.BDH($C$578,"EFF_TAX_RATE","FY 2017","FY 2017","Currency=INR","Period=FY","BEST_FPERIOD_OVERRIDE=FY","FILING_STATUS=OR","EQY_CONSOLIDATED=Y","FA_ADJUSTED=GAAP","Sort=A","Dates=H","DateFormat=P","Fill=—","Direction=H","UseDPDF=Y")</f>
        <v>#NAME?</v>
      </c>
      <c r="R593" t="e">
        <f ca="1">_xll.BDH($C$578,"DVD_PAYOUT_RATIO","FY 2017","FY 2017","Currency=INR","Period=FY","BEST_FPERIOD_OVERRIDE=FY","FILING_STATUS=OR","EQY_CONSOLIDATED=Y","FA_ADJUSTED=GAAP","Sort=A","Dates=H","DateFormat=P","Fill=—","Direction=H","UseDPDF=Y")</f>
        <v>#NAME?</v>
      </c>
      <c r="S593" t="e">
        <f ca="1">_xll.BDH($C$578,"SUSTAIN_GROWTH_RT","FY 2017","FY 2017","Currency=INR","Period=FY","BEST_FPERIOD_OVERRIDE=FY","FILING_STATUS=OR","EQY_CONSOLIDATED=Y","FA_ADJUSTED=GAAP","Sort=A","Dates=H","DateFormat=P","Fill=—","Direction=H","UseDPDF=Y")</f>
        <v>#NAME?</v>
      </c>
      <c r="T593" s="2" t="e">
        <f ca="1">_xll.BDH($C$578,"SALES_GROWTH","FY 2017","FY 2017","Currency=INR","Period=FY","BEST_FPERIOD_OVERRIDE=FY","FILING_STATUS=OR","EQY_CONSOLIDATED=Y","FA_ADJUSTED=GAAP","Sort=A","Dates=H","DateFormat=P","Fill=—","Direction=H","UseDPDF=Y")</f>
        <v>#NAME?</v>
      </c>
      <c r="U593" s="2" t="e">
        <f ca="1">_xll.BDH($C$578,"EBITDA_GROWTH","FY 2017","FY 2017","Currency=INR","Period=FY","BEST_FPERIOD_OVERRIDE=FY","FILING_STATUS=OR","EQY_CONSOLIDATED=Y","FA_ADJUSTED=GAAP","Sort=A","Dates=H","DateFormat=P","Fill=—","Direction=H","UseDPDF=Y")</f>
        <v>#NAME?</v>
      </c>
      <c r="V593" s="2" t="e">
        <f ca="1">_xll.BDH($C$578,"OPER_INC_GROWTH","FY 2017","FY 2017","Currency=INR","Period=FY","BEST_FPERIOD_OVERRIDE=FY","FILING_STATUS=OR","EQY_CONSOLIDATED=Y","FA_ADJUSTED=GAAP","Sort=A","Dates=H","DateFormat=P","Fill=—","Direction=H","UseDPDF=Y")</f>
        <v>#NAME?</v>
      </c>
      <c r="W593" s="2" t="e">
        <f ca="1">_xll.BDH($C$578,"EARN_FOR_COM_GROWTH","FY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593" s="2" t="e">
        <f ca="1">_xll.BDH($C$578,"DILUTED_EPS_AFT_XO_ITEMS_GROWTH","FY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593" s="2" t="e">
        <f ca="1">_xll.BDH($C$578,"DIVIDEND_PER_SHARE_1_YEAR_GROWTH","FY 2017","FY 2017","Currency=INR","Period=FY","BEST_FPERIOD_OVERRIDE=FY","FILING_STATUS=OR","EQY_CONSOLIDATED=Y","Sort=A","Dates=H","DateFormat=P","Fill=—","Direction=H","UseDPDF=Y")</f>
        <v>#NAME?</v>
      </c>
      <c r="Z593" s="2" t="e">
        <f ca="1">_xll.BDH($C$578,"ACCOUNTS_RECEIVABLE_GROWTH","FY 2017","FY 2017","Currency=INR","Period=FY","BEST_FPERIOD_OVERRIDE=FY","FILING_STATUS=OR","EQY_CONSOLIDATED=Y","Sort=A","Dates=H","DateFormat=P","Fill=—","Direction=H","UseDPDF=Y")</f>
        <v>#NAME?</v>
      </c>
      <c r="AA593" s="2" t="e">
        <f ca="1">_xll.BDH($C$578,"INVENTORY_GROWTH","FY 2017","FY 2017","Currency=INR","Period=FY","BEST_FPERIOD_OVERRIDE=FY","FILING_STATUS=OR","EQY_CONSOLIDATED=Y","Sort=A","Dates=H","DateFormat=P","Fill=—","Direction=H","UseDPDF=Y")</f>
        <v>#NAME?</v>
      </c>
      <c r="AB593" s="2" t="e">
        <f ca="1">_xll.BDH($C$578,"NET_FIXED_ASSETS_1_YEAR_GROWTH","FY 2017","FY 2017","Currency=INR","Period=FY","BEST_FPERIOD_OVERRIDE=FY","FILING_STATUS=OR","EQY_CONSOLIDATED=Y","Sort=A","Dates=H","DateFormat=P","Fill=—","Direction=H","UseDPDF=Y")</f>
        <v>#NAME?</v>
      </c>
      <c r="AC593" s="2" t="e">
        <f ca="1">_xll.BDH($C$578,"ASSET_GROWTH","FY 2017","FY 2017","Currency=INR","Period=FY","BEST_FPERIOD_OVERRIDE=FY","FILING_STATUS=OR","EQY_CONSOLIDATED=Y","Sort=A","Dates=H","DateFormat=P","Fill=—","Direction=H","UseDPDF=Y")</f>
        <v>#NAME?</v>
      </c>
      <c r="AD593" s="2" t="e">
        <f ca="1">_xll.BDH($C$578,"MODIFIED_WORK_CAP_GROWTH","FY 2017","FY 2017","Currency=INR","Period=FY","BEST_FPERIOD_OVERRIDE=FY","FILING_STATUS=OR","EQY_CONSOLIDATED=Y","Sort=A","Dates=H","DateFormat=P","Fill=—","Direction=H","UseDPDF=Y")</f>
        <v>#NAME?</v>
      </c>
      <c r="AE593" s="2" t="e">
        <f ca="1">_xll.BDH($C$578,"WORK_CAP_GROWTH","FY 2017","FY 2017","Currency=INR","Period=FY","BEST_FPERIOD_OVERRIDE=FY","FILING_STATUS=OR","EQY_CONSOLIDATED=Y","Sort=A","Dates=H","DateFormat=P","Fill=—","Direction=H","UseDPDF=Y")</f>
        <v>#NAME?</v>
      </c>
      <c r="AF593" s="2" t="e">
        <f ca="1">_xll.BDH($C$578,"ACCOUNTS_PAYABLE_GROWTH_1YR","FY 2017","FY 2017","Currency=INR","Period=FY","BEST_FPERIOD_OVERRIDE=FY","FILING_STATUS=OR","EQY_CONSOLIDATED=Y","Sort=A","Dates=H","DateFormat=P","Fill=—","Direction=H","UseDPDF=Y")</f>
        <v>#NAME?</v>
      </c>
      <c r="AG593" s="2" t="e">
        <f ca="1">_xll.BDH($C$578,"SHORT_TERM_DEBT_1_YEAR_GROWTH","FY 2017","FY 2017","Currency=INR","Period=FY","BEST_FPERIOD_OVERRIDE=FY","FILING_STATUS=OR","EQY_CONSOLIDATED=Y","Sort=A","Dates=H","DateFormat=P","Fill=—","Direction=H","UseDPDF=Y")</f>
        <v>#NAME?</v>
      </c>
      <c r="AH593" s="2" t="e">
        <f ca="1">_xll.BDH($C$578,"TOTAL_DEBT_1_YEAR_GROWTH","FY 2017","FY 2017","Currency=INR","Period=FY","BEST_FPERIOD_OVERRIDE=FY","FILING_STATUS=OR","EQY_CONSOLIDATED=Y","Sort=A","Dates=H","DateFormat=P","Fill=—","Direction=H","UseDPDF=Y")</f>
        <v>#NAME?</v>
      </c>
      <c r="AI593" s="2" t="e">
        <f ca="1">_xll.BDH($C$578,"TOTAL_EQUITY_1_YEAR_GROWTH","FY 2017","FY 2017","Currency=INR","Period=FY","BEST_FPERIOD_OVERRIDE=FY","FILING_STATUS=OR","EQY_CONSOLIDATED=Y","Sort=A","Dates=H","DateFormat=P","Fill=—","Direction=H","UseDPDF=Y")</f>
        <v>#NAME?</v>
      </c>
      <c r="AJ593" s="2" t="e">
        <f ca="1">_xll.BDH($C$578,"GROWTH_IN_CAP","FY 2017","FY 2017","Currency=INR","Period=FY","BEST_FPERIOD_OVERRIDE=FY","FILING_STATUS=OR","EQY_CONSOLIDATED=Y","Sort=A","Dates=H","DateFormat=P","Fill=—","Direction=H","UseDPDF=Y")</f>
        <v>#NAME?</v>
      </c>
      <c r="AK593" s="2" t="e">
        <f ca="1">_xll.BDH($C$578,"BVPS_GROWTH","FY 2017","FY 2017","Currency=INR","Period=FY","BEST_FPERIOD_OVERRIDE=FY","FILING_STATUS=OR","EQY_CONSOLIDATED=Y","Sort=A","Dates=H","DateFormat=P","Fill=—","Direction=H","UseDPDF=Y")</f>
        <v>#NAME?</v>
      </c>
      <c r="AL593" s="2" t="e">
        <f ca="1">_xll.BDH($C$578,"CASH_FLOW_GROWTH","FY 2017","FY 2017","Currency=INR","Period=FY","BEST_FPERIOD_OVERRIDE=FY","FILING_STATUS=OR","EQY_CONSOLIDATED=Y","Sort=A","Dates=H","DateFormat=P","Fill=—","Direction=H","UseDPDF=Y")</f>
        <v>#NAME?</v>
      </c>
      <c r="AM593" s="2" t="e">
        <f ca="1">_xll.BDH($C$578,"GEO_GROW_NET_SALES","FY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593" s="2" t="e">
        <f ca="1">_xll.BDH($C$578,"GEO_GROW_EBITDA","FY 2017","FY 2017","Currency=INR","Period=FY","BEST_FPERIOD_OVERRIDE=FY","FILING_STATUS=OR","EQY_CONSOLIDATED=Y","FA_ADJUSTED=GAAP","Sort=A","Dates=H","DateFormat=P","Fill=—","Direction=H","UseDPDF=Y")</f>
        <v>#NAME?</v>
      </c>
      <c r="AO593" s="2" t="e">
        <f ca="1">_xll.BDH($C$578,"GEO_GROW_OPER_INC","FY 2017","FY 2017","Currency=INR","Period=FY","BEST_FPERIOD_OVERRIDE=FY","FILING_STATUS=OR","EQY_CONSOLIDATED=Y","FA_ADJUSTED=GAAP","Sort=A","Dates=H","DateFormat=P","Fill=—","Direction=H","UseDPDF=Y")</f>
        <v>#NAME?</v>
      </c>
      <c r="AP593" s="2" t="e">
        <f ca="1">_xll.BDH($C$578,"NET_INCOME_TO_COMMON_5_YR_GROWTH","FY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593" s="2" t="e">
        <f ca="1">_xll.BDH($C$578,"5Y_GEO_GROWTH_DILUTED_EPS","FY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593" s="2" t="e">
        <f ca="1">_xll.BDH($C$578,"GEO_GROW_DVD_PER_SH","FY 2017","FY 2017","Currency=INR","Period=FY","BEST_FPERIOD_OVERRIDE=FY","FILING_STATUS=OR","EQY_CONSOLIDATED=Y","Sort=A","Dates=H","DateFormat=P","Fill=—","Direction=H","UseDPDF=Y")</f>
        <v>#NAME?</v>
      </c>
      <c r="AS593" s="2" t="e">
        <f ca="1">_xll.BDH($C$578,"ACCOUNTS_RECEIVABLE_5_YR_GROWTH","FY 2017","FY 2017","Currency=INR","Period=FY","BEST_FPERIOD_OVERRIDE=FY","FILING_STATUS=OR","EQY_CONSOLIDATED=Y","Sort=A","Dates=H","DateFormat=P","Fill=—","Direction=H","UseDPDF=Y")</f>
        <v>#NAME?</v>
      </c>
      <c r="AT593" s="2" t="e">
        <f ca="1">_xll.BDH($C$578,"INVENTORY_5_YEAR_GROWTH","FY 2017","FY 2017","Currency=INR","Period=FY","BEST_FPERIOD_OVERRIDE=FY","FILING_STATUS=OR","EQY_CONSOLIDATED=Y","Sort=A","Dates=H","DateFormat=P","Fill=—","Direction=H","UseDPDF=Y")</f>
        <v>#NAME?</v>
      </c>
      <c r="AU593" s="2" t="e">
        <f ca="1">_xll.BDH($C$578,"NET_FIXED_ASSETS_5_YEAR_GROWTH","FY 2017","FY 2017","Currency=INR","Period=FY","BEST_FPERIOD_OVERRIDE=FY","FILING_STATUS=OR","EQY_CONSOLIDATED=Y","Sort=A","Dates=H","DateFormat=P","Fill=—","Direction=H","UseDPDF=Y")</f>
        <v>#NAME?</v>
      </c>
      <c r="AV593" s="2" t="e">
        <f ca="1">_xll.BDH($C$578,"GEO_GROW_TOT_ASSET","FY 2017","FY 2017","Currency=INR","Period=FY","BEST_FPERIOD_OVERRIDE=FY","FILING_STATUS=OR","EQY_CONSOLIDATED=Y","Sort=A","Dates=H","DateFormat=P","Fill=—","Direction=H","UseDPDF=Y")</f>
        <v>#NAME?</v>
      </c>
      <c r="AW593" s="2" t="e">
        <f ca="1">_xll.BDH($C$578,"MODIFIED_WORKING_CPTL_5YR_GRWTH","FY 2017","FY 2017","Currency=INR","Period=FY","BEST_FPERIOD_OVERRIDE=FY","FILING_STATUS=OR","EQY_CONSOLIDATED=Y","Sort=A","Dates=H","DateFormat=P","Fill=—","Direction=H","UseDPDF=Y")</f>
        <v>#NAME?</v>
      </c>
      <c r="AX593" s="2" t="e">
        <f ca="1">_xll.BDH($C$578,"WORKING_CAPITAL_5_YEAR_GROWTH","FY 2017","FY 2017","Currency=INR","Period=FY","BEST_FPERIOD_OVERRIDE=FY","FILING_STATUS=OR","EQY_CONSOLIDATED=Y","Sort=A","Dates=H","DateFormat=P","Fill=—","Direction=H","UseDPDF=Y")</f>
        <v>#NAME?</v>
      </c>
      <c r="AY593" s="2" t="e">
        <f ca="1">_xll.BDH($C$578,"ACCOUNTS_PAYABLE_5_YEAR_GROWTH","FY 2017","FY 2017","Currency=INR","Period=FY","BEST_FPERIOD_OVERRIDE=FY","FILING_STATUS=OR","EQY_CONSOLIDATED=Y","Sort=A","Dates=H","DateFormat=P","Fill=—","Direction=H","UseDPDF=Y")</f>
        <v>#NAME?</v>
      </c>
      <c r="AZ593" s="2" t="e">
        <f ca="1">_xll.BDH($C$578,"SHORT_TERM_DEBT_5_YEAR_GROWTH","FY 2017","FY 2017","Currency=INR","Period=FY","BEST_FPERIOD_OVERRIDE=FY","FILING_STATUS=OR","EQY_CONSOLIDATED=Y","Sort=A","Dates=H","DateFormat=P","Fill=—","Direction=H","UseDPDF=Y")</f>
        <v>#NAME?</v>
      </c>
      <c r="BA593" s="2" t="e">
        <f ca="1">_xll.BDH($C$578,"TOTAL_DEBT_5_YEAR_GROWTH","FY 2017","FY 2017","Currency=INR","Period=FY","BEST_FPERIOD_OVERRIDE=FY","FILING_STATUS=OR","EQY_CONSOLIDATED=Y","Sort=A","Dates=H","DateFormat=P","Fill=—","Direction=H","UseDPDF=Y")</f>
        <v>#NAME?</v>
      </c>
      <c r="BB593" s="2" t="e">
        <f ca="1">_xll.BDH($C$578,"GEO_GROW_TOT_SHRHLDR_EQY","FY 2017","FY 2017","Currency=INR","Period=FY","BEST_FPERIOD_OVERRIDE=FY","FILING_STATUS=OR","EQY_CONSOLIDATED=Y","Sort=A","Dates=H","DateFormat=P","Fill=—","Direction=H","UseDPDF=Y")</f>
        <v>#NAME?</v>
      </c>
      <c r="BC593" s="2" t="e">
        <f ca="1">_xll.BDH($C$578,"TOTAL_CAPITAL_5_YEAR_GROWTH","FY 2017","FY 2017","Currency=INR","Period=FY","BEST_FPERIOD_OVERRIDE=FY","FILING_STATUS=OR","EQY_CONSOLIDATED=Y","Sort=A","Dates=H","DateFormat=P","Fill=—","Direction=H","UseDPDF=Y")</f>
        <v>#NAME?</v>
      </c>
      <c r="BD593" s="2" t="e">
        <f ca="1">_xll.BDH($C$578,"GEO_GROW_BOOK_VAL","FY 2017","FY 2017","Currency=INR","Period=FY","BEST_FPERIOD_OVERRIDE=FY","FILING_STATUS=OR","EQY_CONSOLIDATED=Y","Sort=A","Dates=H","DateFormat=P","Fill=—","Direction=H","UseDPDF=Y")</f>
        <v>#NAME?</v>
      </c>
      <c r="BE593" s="2" t="e">
        <f ca="1">_xll.BDH($C$578,"GEO_GROW_CASH_OPER_ACT","FY 2017","FY 2017","Currency=INR","Period=FY","BEST_FPERIOD_OVERRIDE=FY","FILING_STATUS=OR","EQY_CONSOLIDATED=Y","Sort=A","Dates=H","DateFormat=P","Fill=—","Direction=H","UseDPDF=Y")</f>
        <v>#NAME?</v>
      </c>
      <c r="BF593" s="2" t="e">
        <f ca="1">_xll.BDH($C$578,"REVENUE_SEQUENTIAL_GROWTH","FY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593" s="2" t="e">
        <f ca="1">_xll.BDH($C$578,"EBITDA_SEQUENTIAL_GROWTH","FY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593" s="2" t="e">
        <f ca="1">_xll.BDH($C$578,"OPERATING_INCOME_SEQ_GROWTH","FY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593" s="2" t="e">
        <f ca="1">_xll.BDH($C$578,"NET_INCOME_TO_COMMON_SEQ_GROWTH","FY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593" s="2" t="e">
        <f ca="1">_xll.BDH($C$578,"EPS_DILUTED_SEQUENTIAL_GROWTH","FY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593" s="2" t="e">
        <f ca="1">_xll.BDH($C$578,"DPS_SEQUENTIAL_GROWTH","FY 2017","FY 2017","Currency=INR","Period=FY","BEST_FPERIOD_OVERRIDE=FY","FILING_STATUS=OR","EQY_CONSOLIDATED=Y","Sort=A","Dates=H","DateFormat=P","Fill=—","Direction=H","UseDPDF=Y")</f>
        <v>#NAME?</v>
      </c>
      <c r="BL593" s="2" t="e">
        <f ca="1">_xll.BDH($C$578,"ACCOUNTS_RECEIVABLE_SEQ_GROWTH","FY 2017","FY 2017","Currency=INR","Period=FY","BEST_FPERIOD_OVERRIDE=FY","FILING_STATUS=OR","EQY_CONSOLIDATED=Y","Sort=A","Dates=H","DateFormat=P","Fill=—","Direction=H","UseDPDF=Y")</f>
        <v>#NAME?</v>
      </c>
      <c r="BM593" s="2" t="e">
        <f ca="1">_xll.BDH($C$578,"INVENTORY_SEQUENTIAL_GROWTH","FY 2017","FY 2017","Currency=INR","Period=FY","BEST_FPERIOD_OVERRIDE=FY","FILING_STATUS=OR","EQY_CONSOLIDATED=Y","Sort=A","Dates=H","DateFormat=P","Fill=—","Direction=H","UseDPDF=Y")</f>
        <v>#NAME?</v>
      </c>
      <c r="BN593" s="2" t="e">
        <f ca="1">_xll.BDH($C$578,"FIXED_ASSETS_SEQUENTIAL_GROWTH","FY 2017","FY 2017","Currency=INR","Period=FY","BEST_FPERIOD_OVERRIDE=FY","FILING_STATUS=OR","EQY_CONSOLIDATED=Y","Sort=A","Dates=H","DateFormat=P","Fill=—","Direction=H","UseDPDF=Y")</f>
        <v>#NAME?</v>
      </c>
      <c r="BO593" s="2" t="e">
        <f ca="1">_xll.BDH($C$578,"TOTAL_ASSETS_SEQUENTIAL_GROWTH","FY 2017","FY 2017","Currency=INR","Period=FY","BEST_FPERIOD_OVERRIDE=FY","FILING_STATUS=OR","EQY_CONSOLIDATED=Y","Sort=A","Dates=H","DateFormat=P","Fill=—","Direction=H","UseDPDF=Y")</f>
        <v>#NAME?</v>
      </c>
      <c r="BP593" s="2" t="e">
        <f ca="1">_xll.BDH($C$578,"MODIFIED_WORKING_CPTL_SEQ_GRWTH","FY 2017","FY 2017","Currency=INR","Period=FY","BEST_FPERIOD_OVERRIDE=FY","FILING_STATUS=OR","EQY_CONSOLIDATED=Y","Sort=A","Dates=H","DateFormat=P","Fill=—","Direction=H","UseDPDF=Y")</f>
        <v>#NAME?</v>
      </c>
      <c r="BQ593" s="2" t="e">
        <f ca="1">_xll.BDH($C$578,"WORKING_CAPITAL_SEQ_GROWTH","FY 2017","FY 2017","Currency=INR","Period=FY","BEST_FPERIOD_OVERRIDE=FY","FILING_STATUS=OR","EQY_CONSOLIDATED=Y","Sort=A","Dates=H","DateFormat=P","Fill=—","Direction=H","UseDPDF=Y")</f>
        <v>#NAME?</v>
      </c>
      <c r="BR593" s="2" t="e">
        <f ca="1">_xll.BDH($C$578,"ACCOUNTS_PAYABLE_SEQ_GROWTH","FY 2017","FY 2017","Currency=INR","Period=FY","BEST_FPERIOD_OVERRIDE=FY","FILING_STATUS=OR","EQY_CONSOLIDATED=Y","Sort=A","Dates=H","DateFormat=P","Fill=—","Direction=H","UseDPDF=Y")</f>
        <v>#NAME?</v>
      </c>
      <c r="BS593" s="2" t="e">
        <f ca="1">_xll.BDH($C$578,"ST_DEBT_SEQUENTIAL_GROWTH","FY 2017","FY 2017","Currency=INR","Period=FY","BEST_FPERIOD_OVERRIDE=FY","FILING_STATUS=OR","EQY_CONSOLIDATED=Y","Sort=A","Dates=H","DateFormat=P","Fill=—","Direction=H","UseDPDF=Y")</f>
        <v>#NAME?</v>
      </c>
      <c r="BT593" s="2" t="e">
        <f ca="1">_xll.BDH($C$578,"TOTAL_DEBT_SEQUENTIAL_GROWTH","FY 2017","FY 2017","Currency=INR","Period=FY","BEST_FPERIOD_OVERRIDE=FY","FILING_STATUS=OR","EQY_CONSOLIDATED=Y","Sort=A","Dates=H","DateFormat=P","Fill=—","Direction=H","UseDPDF=Y")</f>
        <v>#NAME?</v>
      </c>
      <c r="BU593" s="2" t="e">
        <f ca="1">_xll.BDH($C$578,"TOTAL_EQUITY_SEQUENTIAL_GROWTH","FY 2017","FY 2017","Currency=INR","Period=FY","BEST_FPERIOD_OVERRIDE=FY","FILING_STATUS=OR","EQY_CONSOLIDATED=Y","Sort=A","Dates=H","DateFormat=P","Fill=—","Direction=H","UseDPDF=Y")</f>
        <v>#NAME?</v>
      </c>
      <c r="BV593" s="2" t="e">
        <f ca="1">_xll.BDH($C$578,"TOTAL_CAPITAL_SEQUENTIAL_GROWTH","FY 2017","FY 2017","Currency=INR","Period=FY","BEST_FPERIOD_OVERRIDE=FY","FILING_STATUS=OR","EQY_CONSOLIDATED=Y","Sort=A","Dates=H","DateFormat=P","Fill=—","Direction=H","UseDPDF=Y")</f>
        <v>#NAME?</v>
      </c>
      <c r="BW593" s="2" t="e">
        <f ca="1">_xll.BDH($C$578,"BPS_SEQUENTIAL_GROWTH","FY 2017","FY 2017","Currency=INR","Period=FY","BEST_FPERIOD_OVERRIDE=FY","FILING_STATUS=OR","EQY_CONSOLIDATED=Y","Sort=A","Dates=H","DateFormat=P","Fill=—","Direction=H","UseDPDF=Y")</f>
        <v>#NAME?</v>
      </c>
      <c r="BX593" s="2" t="e">
        <f ca="1">_xll.BDH($C$578,"CFO_SEQUENTIAL_GROWTH","FY 2017","FY 2017","Currency=INR","Period=FY","BEST_FPERIOD_OVERRIDE=FY","FILING_STATUS=OR","EQY_CONSOLIDATED=Y","Sort=A","Dates=H","DateFormat=P","Fill=—","Direction=H","UseDPDF=Y")</f>
        <v>#NAME?</v>
      </c>
      <c r="BY593" s="3" t="e">
        <f ca="1">_xll.BDH($C$578,"SHORT_AND_LONG_TERM_DEBT","FY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593" s="3" t="e">
        <f ca="1">_xll.BDH($C$578,"BS_ST_BORROW","FY 2017","FY 2017","Currency=INR","Period=FY","BEST_FPERIOD_OVERRIDE=FY","FILING_STATUS=OR","EQY_CONSOLIDATED=Y","SCALING_FORMAT=MLN","Sort=A","Dates=H","DateFormat=P","Fill=—","Direction=H","UseDPDF=Y")</f>
        <v>#NAME?</v>
      </c>
      <c r="CA593" s="3" t="e">
        <f ca="1">_xll.BDH($C$578,"BS_LT_BORROW","FY 2017","FY 2017","Currency=INR","Period=FY","BEST_FPERIOD_OVERRIDE=FY","FILING_STATUS=OR","EQY_CONSOLIDATED=Y","SCALING_FORMAT=MLN","Sort=A","Dates=H","DateFormat=P","Fill=—","Direction=H","UseDPDF=Y")</f>
        <v>#NAME?</v>
      </c>
      <c r="CB593" s="2" t="e">
        <f ca="1">_xll.BDH($C$578,"TOT_DEBT_TO_EBITDA","FY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593" s="2" t="e">
        <f ca="1">_xll.BDH($C$578,"NET_DEBT_TO_EBITDA","FY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593" s="2" t="e">
        <f ca="1">_xll.BDH($C$578,"TOTAL_DEBT_TO_EBIT","FY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593" s="2" t="e">
        <f ca="1">_xll.BDH($C$578,"NET_DEBT_TO_EBIT","FY 2017","FY 2017","Currency=INR","Period=FY","BEST_FPERIOD_OVERRIDE=FY","FILING_STATUS=OR","EQY_CONSOLIDATED=Y","FA_ADJUSTED=GAAP","Sort=A","Dates=H","DateFormat=P","Fill=—","Direction=H","UseDPDF=Y")</f>
        <v>#NAME?</v>
      </c>
      <c r="CF593" s="2" t="e">
        <f ca="1">_xll.BDH($C$578,"EBITDA_TO_INTEREST_EXPN","FY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593" s="2" t="e">
        <f ca="1">_xll.BDH($C$578,"COM_EQY_TO_TOT_ASSET","FY 2017","FY 2017","Currency=INR","Period=FY","BEST_FPERIOD_OVERRIDE=FY","FILING_STATUS=OR","EQY_CONSOLIDATED=Y","Sort=A","Dates=H","DateFormat=P","Fill=—","Direction=H","UseDPDF=Y")</f>
        <v>#NAME?</v>
      </c>
      <c r="CH593" s="2" t="e">
        <f ca="1">_xll.BDH($C$578,"LT_DEBT_TO_TOT_EQY","FY 2017","FY 2017","Currency=INR","Period=FY","BEST_FPERIOD_OVERRIDE=FY","FILING_STATUS=OR","EQY_CONSOLIDATED=Y","Sort=A","Dates=H","DateFormat=P","Fill=—","Direction=H","UseDPDF=Y")</f>
        <v>#NAME?</v>
      </c>
      <c r="CI593" s="2" t="e">
        <f ca="1">_xll.BDH($C$578,"LT_DEBT_TO_TOT_CAP","FY 2017","FY 2017","Currency=INR","Period=FY","BEST_FPERIOD_OVERRIDE=FY","FILING_STATUS=OR","EQY_CONSOLIDATED=Y","Sort=A","Dates=H","DateFormat=P","Fill=—","Direction=H","UseDPDF=Y")</f>
        <v>#NAME?</v>
      </c>
      <c r="CJ593" s="2" t="e">
        <f ca="1">_xll.BDH($C$578,"LT_DEBT_TO_TOT_ASSET","FY 2017","FY 2017","Currency=INR","Period=FY","BEST_FPERIOD_OVERRIDE=FY","FILING_STATUS=OR","EQY_CONSOLIDATED=Y","Sort=A","Dates=H","DateFormat=P","Fill=—","Direction=H","UseDPDF=Y")</f>
        <v>#NAME?</v>
      </c>
      <c r="CK593" s="2" t="e">
        <f ca="1">_xll.BDH($C$578,"TOT_DEBT_TO_TOT_EQY","FY 2017","FY 2017","Currency=INR","Period=FY","BEST_FPERIOD_OVERRIDE=FY","FILING_STATUS=OR","EQY_CONSOLIDATED=Y","Sort=A","Dates=H","DateFormat=P","Fill=—","Direction=H","UseDPDF=Y")</f>
        <v>#NAME?</v>
      </c>
      <c r="CL593" s="2" t="e">
        <f ca="1">_xll.BDH($C$578,"TOT_DEBT_TO_TOT_CAP","FY 2017","FY 2017","Currency=INR","Period=FY","BEST_FPERIOD_OVERRIDE=FY","FILING_STATUS=OR","EQY_CONSOLIDATED=Y","Sort=A","Dates=H","DateFormat=P","Fill=—","Direction=H","UseDPDF=Y")</f>
        <v>#NAME?</v>
      </c>
      <c r="CM593" s="2" t="e">
        <f ca="1">_xll.BDH($C$578,"TOT_DEBT_TO_TOT_ASSET","FY 2017","FY 2017","Currency=INR","Period=FY","BEST_FPERIOD_OVERRIDE=FY","FILING_STATUS=OR","EQY_CONSOLIDATED=Y","Sort=A","Dates=H","DateFormat=P","Fill=—","Direction=H","UseDPDF=Y")</f>
        <v>#NAME?</v>
      </c>
      <c r="CN593" s="2" t="e">
        <f ca="1">_xll.BDH($C$578,"NET_DEBT_TO_SHRHLDR_EQTY","FY 2017","FY 2017","Currency=INR","Period=FY","BEST_FPERIOD_OVERRIDE=FY","FILING_STATUS=OR","EQY_CONSOLIDATED=Y","Sort=A","Dates=H","DateFormat=P","Fill=—","Direction=H","UseDPDF=Y")</f>
        <v>#NAME?</v>
      </c>
      <c r="CO593" s="2" t="e">
        <f ca="1">_xll.BDH($C$578,"NET_DEBT_%_CAPITAL","FY 2017","FY 2017","Currency=INR","Period=FY","BEST_FPERIOD_OVERRIDE=FY","FILING_STATUS=OR","EQY_CONSOLIDATED=Y","Sort=A","Dates=H","DateFormat=P","Fill=—","Direction=H","UseDPDF=Y")</f>
        <v>#NAME?</v>
      </c>
      <c r="CP593" s="3" t="e">
        <f ca="1">_xll.BDH($C$578,"EBITDA","FY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593" s="3" t="e">
        <f ca="1">_xll.BDH($C$578,"EBITDA_AFTER_CAPEX","FY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593" s="3" t="e">
        <f ca="1">_xll.BDH($C$578,"IS_OPER_INC","FY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593" s="2" t="e">
        <f ca="1">_xll.BDH($C$578,"CASH_RATIO","FY 2017","FY 2017","Currency=INR","Period=FY","BEST_FPERIOD_OVERRIDE=FY","FILING_STATUS=OR","EQY_CONSOLIDATED=Y","Sort=A","Dates=H","DateFormat=P","Fill=—","Direction=H","UseDPDF=Y")</f>
        <v>#NAME?</v>
      </c>
      <c r="CT593" s="2" t="e">
        <f ca="1">_xll.BDH($C$578,"CUR_RATIO","FY 2017","FY 2017","Currency=INR","Period=FY","BEST_FPERIOD_OVERRIDE=FY","FILING_STATUS=OR","EQY_CONSOLIDATED=Y","Sort=A","Dates=H","DateFormat=P","Fill=—","Direction=H","UseDPDF=Y")</f>
        <v>#NAME?</v>
      </c>
      <c r="CU593" s="2" t="e">
        <f ca="1">_xll.BDH($C$578,"QUICK_RATIO","FY 2017","FY 2017","Currency=INR","Period=FY","BEST_FPERIOD_OVERRIDE=FY","FILING_STATUS=OR","EQY_CONSOLIDATED=Y","Sort=A","Dates=H","DateFormat=P","Fill=—","Direction=H","UseDPDF=Y")</f>
        <v>#NAME?</v>
      </c>
      <c r="CV593" s="2" t="e">
        <f ca="1">_xll.BDH($C$578,"ALTMAN_Z_SCORE","FY 2017","FY 2017","Currency=INR","Period=FY","BEST_FPERIOD_OVERRIDE=FY","FILING_STATUS=OR","EQY_CONSOLIDATED=Y","Sort=A","Dates=H","DateFormat=P","Fill=—","Direction=H","UseDPDF=Y")</f>
        <v>#NAME?</v>
      </c>
      <c r="CW593" s="4" t="e">
        <f ca="1">_xll.BDH($C$578,"ACCT_RCV_TURN","FY 2017","FY 2017","Currency=INR","Period=FY","BEST_FPERIOD_OVERRIDE=FY","FILING_STATUS=OR","EQY_CONSOLIDATED=Y","FA_ADJUSTED=GAAP","Sort=A","Dates=H","DateFormat=P","Fill=—","Direction=H","UseDPDF=Y")</f>
        <v>#NAME?</v>
      </c>
      <c r="CX593" s="2" t="e">
        <f ca="1">_xll.BDH($C$578,"ACCT_RCV_DAYS","FY 2017","FY 2017","Currency=INR","Period=FY","BEST_FPERIOD_OVERRIDE=FY","FILING_STATUS=OR","EQY_CONSOLIDATED=Y","FA_ADJUSTED=GAAP","Sort=A","Dates=H","DateFormat=P","Fill=—","Direction=H","UseDPDF=Y")</f>
        <v>#NAME?</v>
      </c>
      <c r="CY593" s="4" t="e">
        <f ca="1">_xll.BDH($C$578,"INVENT_TURN","FY 2017","FY 2017","Currency=INR","Period=FY","BEST_FPERIOD_OVERRIDE=FY","FILING_STATUS=OR","EQY_CONSOLIDATED=Y","FA_ADJUSTED=GAAP","Sort=A","Dates=H","DateFormat=P","Fill=—","Direction=H","UseDPDF=Y")</f>
        <v>#NAME?</v>
      </c>
      <c r="CZ593" s="2" t="e">
        <f ca="1">_xll.BDH($C$578,"INVENT_DAYS","FY 2017","FY 2017","Currency=INR","Period=FY","BEST_FPERIOD_OVERRIDE=FY","FILING_STATUS=OR","EQY_CONSOLIDATED=Y","FA_ADJUSTED=GAAP","Sort=A","Dates=H","DateFormat=P","Fill=—","Direction=H","UseDPDF=Y")</f>
        <v>#NAME?</v>
      </c>
      <c r="DA593" s="4" t="e">
        <f ca="1">_xll.BDH($C$578,"ACCOUNTS_PAYABLE_TURNOVER","FY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593" s="2" t="e">
        <f ca="1">_xll.BDH($C$578,"ACCOUNTS_PAYABLE_TURNOVER_DAYS","FY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593" s="4" t="e">
        <f ca="1">_xll.BDH($C$578,"CASH_CONVERSION_CYCLE","FY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593" s="4" t="e">
        <f ca="1">_xll.BDH($C$578,"INV_TO_CASH_DAYS","FY 2017","FY 2017","Currency=INR","Period=FY","BEST_FPERIOD_OVERRIDE=FY","FILING_STATUS=OR","EQY_CONSOLIDATED=Y","FA_ADJUSTED=GAAP","Sort=A","Dates=H","DateFormat=P","Fill=—","Direction=H","UseDPDF=Y")</f>
        <v>#NAME?</v>
      </c>
      <c r="DE593" s="5" t="e">
        <f ca="1">_xll.BDH($C$578,"BS_INVENTORIES","FY 2017","FY 2017","Currency=INR","Period=FY","BEST_FPERIOD_OVERRIDE=FY","FILING_STATUS=OR","EQY_CONSOLIDATED=Y","SCALING_FORMAT=MLN","Sort=A","Dates=H","DateFormat=P","Fill=—","Direction=H","UseDPDF=Y")</f>
        <v>#NAME?</v>
      </c>
      <c r="DF593" s="3" t="e">
        <f ca="1">_xll.BDH($C$578,"INVTRY_RAW_MATERIALS","FY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593" s="3" t="e">
        <f ca="1">_xll.BDH($C$578,"INVTRY_IN_PROGRESS","FY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593" s="3" t="e">
        <f ca="1">_xll.BDH($C$578,"INVTRY_FINISHED_GOODS","FY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593" s="3" t="e">
        <f ca="1">_xll.BDH($C$578,"BS_OTHER_INV","FY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594" spans="1:113" x14ac:dyDescent="0.3">
      <c r="A594" s="6"/>
      <c r="B594" s="6"/>
      <c r="C594" s="6"/>
      <c r="D594" s="6"/>
      <c r="E594" t="s">
        <v>78</v>
      </c>
      <c r="F594" t="e">
        <f ca="1">_xll.BDH($C$578,"RETURN_COM_EQY","FQ1 2017","FQ1 2017","Currency=INR","Period=FQ","BEST_FPERIOD_OVERRIDE=FQ","FILING_STATUS=OR","EQY_CONSOLIDATED=Y","FA_ADJUSTED=GAAP","Sort=A","Dates=H","DateFormat=P","Fill=—","Direction=H","UseDPDF=Y")</f>
        <v>#NAME?</v>
      </c>
      <c r="G594" t="e">
        <f ca="1">_xll.BDH($C$578,"RETURN_ON_ASSET","FQ1 2017","FQ1 2017","Currency=INR","Period=FQ","BEST_FPERIOD_OVERRIDE=FQ","FILING_STATUS=OR","EQY_CONSOLIDATED=Y","FA_ADJUSTED=GAAP","Sort=A","Dates=H","DateFormat=P","Fill=—","Direction=H","UseDPDF=Y")</f>
        <v>#NAME?</v>
      </c>
      <c r="H594" t="e">
        <f ca="1">_xll.BDH($C$578,"RETURN_ON_CAP","FQ1 2017","FQ1 2017","Currency=INR","Period=FQ","BEST_FPERIOD_OVERRIDE=FQ","FILING_STATUS=OR","EQY_CONSOLIDATED=Y","FA_ADJUSTED=GAAP","Sort=A","Dates=H","DateFormat=P","Fill=—","Direction=H","UseDPDF=Y")</f>
        <v>#NAME?</v>
      </c>
      <c r="I594" t="e">
        <f ca="1">_xll.BDH($C$578,"RETURN_ON_INV_CAPITAL","FQ1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594" t="e">
        <f ca="1">_xll.BDH($C$578,"EBITDA_TO_REVENUE","FQ1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594" t="e">
        <f ca="1">_xll.BDH($C$578,"OPER_MARGIN","FQ1 2017","FQ1 2017","Currency=INR","Period=FQ","BEST_FPERIOD_OVERRIDE=FQ","FILING_STATUS=OR","EQY_CONSOLIDATED=Y","FA_ADJUSTED=GAAP","Sort=A","Dates=H","DateFormat=P","Fill=—","Direction=H","UseDPDF=Y")</f>
        <v>#NAME?</v>
      </c>
      <c r="L594" t="e">
        <f ca="1">_xll.BDH($C$578,"INCREMENTAL_OPERATING_MARGIN","FQ1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594" t="e">
        <f ca="1">_xll.BDH($C$578,"PRETAX_INC_TO_NET_SALES","FQ1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594" t="e">
        <f ca="1">_xll.BDH($C$578,"INC_BEF_XO_ITEMS_TO_NET_SALES","FQ1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594" t="e">
        <f ca="1">_xll.BDH($C$578,"PROF_MARGIN","FQ1 2017","FQ1 2017","Currency=INR","Period=FQ","BEST_FPERIOD_OVERRIDE=FQ","FILING_STATUS=OR","EQY_CONSOLIDATED=Y","FA_ADJUSTED=GAAP","Sort=A","Dates=H","DateFormat=P","Fill=—","Direction=H","UseDPDF=Y")</f>
        <v>#NAME?</v>
      </c>
      <c r="P594" t="e">
        <f ca="1">_xll.BDH($C$578,"NET_INCOME_TO_COMMON_MARGIN","FQ1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594" t="e">
        <f ca="1">_xll.BDH($C$578,"EFF_TAX_RATE","FQ1 2017","FQ1 2017","Currency=INR","Period=FQ","BEST_FPERIOD_OVERRIDE=FQ","FILING_STATUS=OR","EQY_CONSOLIDATED=Y","FA_ADJUSTED=GAAP","Sort=A","Dates=H","DateFormat=P","Fill=—","Direction=H","UseDPDF=Y")</f>
        <v>#NAME?</v>
      </c>
      <c r="R594" t="e">
        <f ca="1">_xll.BDH($C$578,"DVD_PAYOUT_RATIO","FQ1 2017","FQ1 2017","Currency=INR","Period=FQ","BEST_FPERIOD_OVERRIDE=FQ","FILING_STATUS=OR","EQY_CONSOLIDATED=Y","FA_ADJUSTED=GAAP","Sort=A","Dates=H","DateFormat=P","Fill=—","Direction=H","UseDPDF=Y")</f>
        <v>#NAME?</v>
      </c>
      <c r="S594" t="e">
        <f ca="1">_xll.BDH($C$578,"SUSTAIN_GROWTH_RT","FQ1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594" s="2" t="e">
        <f ca="1">_xll.BDH($C$578,"SALES_GROWTH","FQ1 2017","FQ1 2017","Currency=INR","Period=FQ","BEST_FPERIOD_OVERRIDE=FQ","FILING_STATUS=OR","EQY_CONSOLIDATED=Y","FA_ADJUSTED=GAAP","Sort=A","Dates=H","DateFormat=P","Fill=—","Direction=H","UseDPDF=Y")</f>
        <v>#NAME?</v>
      </c>
      <c r="U594" s="2" t="e">
        <f ca="1">_xll.BDH($C$578,"EBITDA_GROWTH","FQ1 2017","FQ1 2017","Currency=INR","Period=FQ","BEST_FPERIOD_OVERRIDE=FQ","FILING_STATUS=OR","EQY_CONSOLIDATED=Y","FA_ADJUSTED=GAAP","Sort=A","Dates=H","DateFormat=P","Fill=—","Direction=H","UseDPDF=Y")</f>
        <v>#NAME?</v>
      </c>
      <c r="V594" s="2" t="e">
        <f ca="1">_xll.BDH($C$578,"OPER_INC_GROWTH","FQ1 2017","FQ1 2017","Currency=INR","Period=FQ","BEST_FPERIOD_OVERRIDE=FQ","FILING_STATUS=OR","EQY_CONSOLIDATED=Y","FA_ADJUSTED=GAAP","Sort=A","Dates=H","DateFormat=P","Fill=—","Direction=H","UseDPDF=Y")</f>
        <v>#NAME?</v>
      </c>
      <c r="W594" s="2" t="e">
        <f ca="1">_xll.BDH($C$578,"EARN_FOR_COM_GROWTH","FQ1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594" s="2" t="e">
        <f ca="1">_xll.BDH($C$578,"DILUTED_EPS_AFT_XO_ITEMS_GROWTH","FQ1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594" s="2" t="e">
        <f ca="1">_xll.BDH($C$578,"DIVIDEND_PER_SHARE_1_YEAR_GROWTH","FQ1 2017","FQ1 2017","Currency=INR","Period=FQ","BEST_FPERIOD_OVERRIDE=FQ","FILING_STATUS=OR","EQY_CONSOLIDATED=Y","Sort=A","Dates=H","DateFormat=P","Fill=—","Direction=H","UseDPDF=Y")</f>
        <v>#NAME?</v>
      </c>
      <c r="Z594" s="2" t="e">
        <f ca="1">_xll.BDH($C$578,"ACCOUNTS_RECEIVABLE_GROWTH","FQ1 2017","FQ1 2017","Currency=INR","Period=FQ","BEST_FPERIOD_OVERRIDE=FQ","FILING_STATUS=OR","EQY_CONSOLIDATED=Y","Sort=A","Dates=H","DateFormat=P","Fill=—","Direction=H","UseDPDF=Y")</f>
        <v>#NAME?</v>
      </c>
      <c r="AA594" s="2" t="e">
        <f ca="1">_xll.BDH($C$578,"INVENTORY_GROWTH","FQ1 2017","FQ1 2017","Currency=INR","Period=FQ","BEST_FPERIOD_OVERRIDE=FQ","FILING_STATUS=OR","EQY_CONSOLIDATED=Y","Sort=A","Dates=H","DateFormat=P","Fill=—","Direction=H","UseDPDF=Y")</f>
        <v>#NAME?</v>
      </c>
      <c r="AB594" s="2" t="e">
        <f ca="1">_xll.BDH($C$578,"NET_FIXED_ASSETS_1_YEAR_GROWTH","FQ1 2017","FQ1 2017","Currency=INR","Period=FQ","BEST_FPERIOD_OVERRIDE=FQ","FILING_STATUS=OR","EQY_CONSOLIDATED=Y","Sort=A","Dates=H","DateFormat=P","Fill=—","Direction=H","UseDPDF=Y")</f>
        <v>#NAME?</v>
      </c>
      <c r="AC594" s="2" t="e">
        <f ca="1">_xll.BDH($C$578,"ASSET_GROWTH","FQ1 2017","FQ1 2017","Currency=INR","Period=FQ","BEST_FPERIOD_OVERRIDE=FQ","FILING_STATUS=OR","EQY_CONSOLIDATED=Y","Sort=A","Dates=H","DateFormat=P","Fill=—","Direction=H","UseDPDF=Y")</f>
        <v>#NAME?</v>
      </c>
      <c r="AD594" s="2" t="e">
        <f ca="1">_xll.BDH($C$578,"MODIFIED_WORK_CAP_GROWTH","FQ1 2017","FQ1 2017","Currency=INR","Period=FQ","BEST_FPERIOD_OVERRIDE=FQ","FILING_STATUS=OR","EQY_CONSOLIDATED=Y","Sort=A","Dates=H","DateFormat=P","Fill=—","Direction=H","UseDPDF=Y")</f>
        <v>#NAME?</v>
      </c>
      <c r="AE594" s="2" t="e">
        <f ca="1">_xll.BDH($C$578,"WORK_CAP_GROWTH","FQ1 2017","FQ1 2017","Currency=INR","Period=FQ","BEST_FPERIOD_OVERRIDE=FQ","FILING_STATUS=OR","EQY_CONSOLIDATED=Y","Sort=A","Dates=H","DateFormat=P","Fill=—","Direction=H","UseDPDF=Y")</f>
        <v>#NAME?</v>
      </c>
      <c r="AF594" s="2" t="e">
        <f ca="1">_xll.BDH($C$578,"ACCOUNTS_PAYABLE_GROWTH_1YR","FQ1 2017","FQ1 2017","Currency=INR","Period=FQ","BEST_FPERIOD_OVERRIDE=FQ","FILING_STATUS=OR","EQY_CONSOLIDATED=Y","Sort=A","Dates=H","DateFormat=P","Fill=—","Direction=H","UseDPDF=Y")</f>
        <v>#NAME?</v>
      </c>
      <c r="AG594" s="2" t="e">
        <f ca="1">_xll.BDH($C$578,"SHORT_TERM_DEBT_1_YEAR_GROWTH","FQ1 2017","FQ1 2017","Currency=INR","Period=FQ","BEST_FPERIOD_OVERRIDE=FQ","FILING_STATUS=OR","EQY_CONSOLIDATED=Y","Sort=A","Dates=H","DateFormat=P","Fill=—","Direction=H","UseDPDF=Y")</f>
        <v>#NAME?</v>
      </c>
      <c r="AH594" s="2" t="e">
        <f ca="1">_xll.BDH($C$578,"TOTAL_DEBT_1_YEAR_GROWTH","FQ1 2017","FQ1 2017","Currency=INR","Period=FQ","BEST_FPERIOD_OVERRIDE=FQ","FILING_STATUS=OR","EQY_CONSOLIDATED=Y","Sort=A","Dates=H","DateFormat=P","Fill=—","Direction=H","UseDPDF=Y")</f>
        <v>#NAME?</v>
      </c>
      <c r="AI594" s="2" t="e">
        <f ca="1">_xll.BDH($C$578,"TOTAL_EQUITY_1_YEAR_GROWTH","FQ1 2017","FQ1 2017","Currency=INR","Period=FQ","BEST_FPERIOD_OVERRIDE=FQ","FILING_STATUS=OR","EQY_CONSOLIDATED=Y","Sort=A","Dates=H","DateFormat=P","Fill=—","Direction=H","UseDPDF=Y")</f>
        <v>#NAME?</v>
      </c>
      <c r="AJ594" s="2" t="e">
        <f ca="1">_xll.BDH($C$578,"GROWTH_IN_CAP","FQ1 2017","FQ1 2017","Currency=INR","Period=FQ","BEST_FPERIOD_OVERRIDE=FQ","FILING_STATUS=OR","EQY_CONSOLIDATED=Y","Sort=A","Dates=H","DateFormat=P","Fill=—","Direction=H","UseDPDF=Y")</f>
        <v>#NAME?</v>
      </c>
      <c r="AK594" s="2" t="e">
        <f ca="1">_xll.BDH($C$578,"BVPS_GROWTH","FQ1 2017","FQ1 2017","Currency=INR","Period=FQ","BEST_FPERIOD_OVERRIDE=FQ","FILING_STATUS=OR","EQY_CONSOLIDATED=Y","Sort=A","Dates=H","DateFormat=P","Fill=—","Direction=H","UseDPDF=Y")</f>
        <v>#NAME?</v>
      </c>
      <c r="AL594" s="2" t="e">
        <f ca="1">_xll.BDH($C$578,"CASH_FLOW_GROWTH","FQ1 2017","FQ1 2017","Currency=INR","Period=FQ","BEST_FPERIOD_OVERRIDE=FQ","FILING_STATUS=OR","EQY_CONSOLIDATED=Y","Sort=A","Dates=H","DateFormat=P","Fill=—","Direction=H","UseDPDF=Y")</f>
        <v>#NAME?</v>
      </c>
      <c r="AM594" s="2" t="e">
        <f ca="1">_xll.BDH($C$578,"GEO_GROW_NET_SALES","FQ1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594" s="2" t="e">
        <f ca="1">_xll.BDH($C$578,"GEO_GROW_EBITDA","FQ1 2017","FQ1 2017","Currency=INR","Period=FQ","BEST_FPERIOD_OVERRIDE=FQ","FILING_STATUS=OR","EQY_CONSOLIDATED=Y","FA_ADJUSTED=GAAP","Sort=A","Dates=H","DateFormat=P","Fill=—","Direction=H","UseDPDF=Y")</f>
        <v>#NAME?</v>
      </c>
      <c r="AO594" s="2" t="e">
        <f ca="1">_xll.BDH($C$578,"GEO_GROW_OPER_INC","FQ1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594" s="2" t="e">
        <f ca="1">_xll.BDH($C$578,"NET_INCOME_TO_COMMON_5_YR_GROWTH","FQ1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594" s="2" t="e">
        <f ca="1">_xll.BDH($C$578,"5Y_GEO_GROWTH_DILUTED_EPS","FQ1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594" s="2" t="e">
        <f ca="1">_xll.BDH($C$578,"GEO_GROW_DVD_PER_SH","FQ1 2017","FQ1 2017","Currency=INR","Period=FQ","BEST_FPERIOD_OVERRIDE=FQ","FILING_STATUS=OR","EQY_CONSOLIDATED=Y","Sort=A","Dates=H","DateFormat=P","Fill=—","Direction=H","UseDPDF=Y")</f>
        <v>#NAME?</v>
      </c>
      <c r="AS594" s="2" t="e">
        <f ca="1">_xll.BDH($C$578,"ACCOUNTS_RECEIVABLE_5_YR_GROWTH","FQ1 2017","FQ1 2017","Currency=INR","Period=FQ","BEST_FPERIOD_OVERRIDE=FQ","FILING_STATUS=OR","EQY_CONSOLIDATED=Y","Sort=A","Dates=H","DateFormat=P","Fill=—","Direction=H","UseDPDF=Y")</f>
        <v>#NAME?</v>
      </c>
      <c r="AT594" s="2" t="e">
        <f ca="1">_xll.BDH($C$578,"INVENTORY_5_YEAR_GROWTH","FQ1 2017","FQ1 2017","Currency=INR","Period=FQ","BEST_FPERIOD_OVERRIDE=FQ","FILING_STATUS=OR","EQY_CONSOLIDATED=Y","Sort=A","Dates=H","DateFormat=P","Fill=—","Direction=H","UseDPDF=Y")</f>
        <v>#NAME?</v>
      </c>
      <c r="AU594" s="2" t="e">
        <f ca="1">_xll.BDH($C$578,"NET_FIXED_ASSETS_5_YEAR_GROWTH","FQ1 2017","FQ1 2017","Currency=INR","Period=FQ","BEST_FPERIOD_OVERRIDE=FQ","FILING_STATUS=OR","EQY_CONSOLIDATED=Y","Sort=A","Dates=H","DateFormat=P","Fill=—","Direction=H","UseDPDF=Y")</f>
        <v>#NAME?</v>
      </c>
      <c r="AV594" s="2" t="e">
        <f ca="1">_xll.BDH($C$578,"GEO_GROW_TOT_ASSET","FQ1 2017","FQ1 2017","Currency=INR","Period=FQ","BEST_FPERIOD_OVERRIDE=FQ","FILING_STATUS=OR","EQY_CONSOLIDATED=Y","Sort=A","Dates=H","DateFormat=P","Fill=—","Direction=H","UseDPDF=Y")</f>
        <v>#NAME?</v>
      </c>
      <c r="AW594" s="2" t="e">
        <f ca="1">_xll.BDH($C$578,"MODIFIED_WORKING_CPTL_5YR_GRWTH","FQ1 2017","FQ1 2017","Currency=INR","Period=FQ","BEST_FPERIOD_OVERRIDE=FQ","FILING_STATUS=OR","EQY_CONSOLIDATED=Y","Sort=A","Dates=H","DateFormat=P","Fill=—","Direction=H","UseDPDF=Y")</f>
        <v>#NAME?</v>
      </c>
      <c r="AX594" s="2" t="e">
        <f ca="1">_xll.BDH($C$578,"WORKING_CAPITAL_5_YEAR_GROWTH","FQ1 2017","FQ1 2017","Currency=INR","Period=FQ","BEST_FPERIOD_OVERRIDE=FQ","FILING_STATUS=OR","EQY_CONSOLIDATED=Y","Sort=A","Dates=H","DateFormat=P","Fill=—","Direction=H","UseDPDF=Y")</f>
        <v>#NAME?</v>
      </c>
      <c r="AY594" s="2" t="e">
        <f ca="1">_xll.BDH($C$578,"ACCOUNTS_PAYABLE_5_YEAR_GROWTH","FQ1 2017","FQ1 2017","Currency=INR","Period=FQ","BEST_FPERIOD_OVERRIDE=FQ","FILING_STATUS=OR","EQY_CONSOLIDATED=Y","Sort=A","Dates=H","DateFormat=P","Fill=—","Direction=H","UseDPDF=Y")</f>
        <v>#NAME?</v>
      </c>
      <c r="AZ594" s="2" t="e">
        <f ca="1">_xll.BDH($C$578,"SHORT_TERM_DEBT_5_YEAR_GROWTH","FQ1 2017","FQ1 2017","Currency=INR","Period=FQ","BEST_FPERIOD_OVERRIDE=FQ","FILING_STATUS=OR","EQY_CONSOLIDATED=Y","Sort=A","Dates=H","DateFormat=P","Fill=—","Direction=H","UseDPDF=Y")</f>
        <v>#NAME?</v>
      </c>
      <c r="BA594" s="2" t="e">
        <f ca="1">_xll.BDH($C$578,"TOTAL_DEBT_5_YEAR_GROWTH","FQ1 2017","FQ1 2017","Currency=INR","Period=FQ","BEST_FPERIOD_OVERRIDE=FQ","FILING_STATUS=OR","EQY_CONSOLIDATED=Y","Sort=A","Dates=H","DateFormat=P","Fill=—","Direction=H","UseDPDF=Y")</f>
        <v>#NAME?</v>
      </c>
      <c r="BB594" s="2" t="e">
        <f ca="1">_xll.BDH($C$578,"GEO_GROW_TOT_SHRHLDR_EQY","FQ1 2017","FQ1 2017","Currency=INR","Period=FQ","BEST_FPERIOD_OVERRIDE=FQ","FILING_STATUS=OR","EQY_CONSOLIDATED=Y","Sort=A","Dates=H","DateFormat=P","Fill=—","Direction=H","UseDPDF=Y")</f>
        <v>#NAME?</v>
      </c>
      <c r="BC594" s="2" t="e">
        <f ca="1">_xll.BDH($C$578,"TOTAL_CAPITAL_5_YEAR_GROWTH","FQ1 2017","FQ1 2017","Currency=INR","Period=FQ","BEST_FPERIOD_OVERRIDE=FQ","FILING_STATUS=OR","EQY_CONSOLIDATED=Y","Sort=A","Dates=H","DateFormat=P","Fill=—","Direction=H","UseDPDF=Y")</f>
        <v>#NAME?</v>
      </c>
      <c r="BD594" s="2" t="e">
        <f ca="1">_xll.BDH($C$578,"GEO_GROW_BOOK_VAL","FQ1 2017","FQ1 2017","Currency=INR","Period=FQ","BEST_FPERIOD_OVERRIDE=FQ","FILING_STATUS=OR","EQY_CONSOLIDATED=Y","Sort=A","Dates=H","DateFormat=P","Fill=—","Direction=H","UseDPDF=Y")</f>
        <v>#NAME?</v>
      </c>
      <c r="BE594" s="2" t="e">
        <f ca="1">_xll.BDH($C$578,"GEO_GROW_CASH_OPER_ACT","FQ1 2017","FQ1 2017","Currency=INR","Period=FQ","BEST_FPERIOD_OVERRIDE=FQ","FILING_STATUS=OR","EQY_CONSOLIDATED=Y","Sort=A","Dates=H","DateFormat=P","Fill=—","Direction=H","UseDPDF=Y")</f>
        <v>#NAME?</v>
      </c>
      <c r="BF594" s="2" t="e">
        <f ca="1">_xll.BDH($C$578,"REVENUE_SEQUENTIAL_GROWTH","FQ1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594" s="2" t="e">
        <f ca="1">_xll.BDH($C$578,"EBITDA_SEQUENTIAL_GROWTH","FQ1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594" s="2" t="e">
        <f ca="1">_xll.BDH($C$578,"OPERATING_INCOME_SEQ_GROWTH","FQ1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594" s="2" t="e">
        <f ca="1">_xll.BDH($C$578,"NET_INCOME_TO_COMMON_SEQ_GROWTH","FQ1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594" s="2" t="e">
        <f ca="1">_xll.BDH($C$578,"EPS_DILUTED_SEQUENTIAL_GROWTH","FQ1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594" s="2" t="e">
        <f ca="1">_xll.BDH($C$578,"DPS_SEQUENTIAL_GROWTH","FQ1 2017","FQ1 2017","Currency=INR","Period=FQ","BEST_FPERIOD_OVERRIDE=FQ","FILING_STATUS=OR","EQY_CONSOLIDATED=Y","Sort=A","Dates=H","DateFormat=P","Fill=—","Direction=H","UseDPDF=Y")</f>
        <v>#NAME?</v>
      </c>
      <c r="BL594" s="2" t="e">
        <f ca="1">_xll.BDH($C$578,"ACCOUNTS_RECEIVABLE_SEQ_GROWTH","FQ1 2017","FQ1 2017","Currency=INR","Period=FQ","BEST_FPERIOD_OVERRIDE=FQ","FILING_STATUS=OR","EQY_CONSOLIDATED=Y","Sort=A","Dates=H","DateFormat=P","Fill=—","Direction=H","UseDPDF=Y")</f>
        <v>#NAME?</v>
      </c>
      <c r="BM594" s="2" t="e">
        <f ca="1">_xll.BDH($C$578,"INVENTORY_SEQUENTIAL_GROWTH","FQ1 2017","FQ1 2017","Currency=INR","Period=FQ","BEST_FPERIOD_OVERRIDE=FQ","FILING_STATUS=OR","EQY_CONSOLIDATED=Y","Sort=A","Dates=H","DateFormat=P","Fill=—","Direction=H","UseDPDF=Y")</f>
        <v>#NAME?</v>
      </c>
      <c r="BN594" s="2" t="e">
        <f ca="1">_xll.BDH($C$578,"FIXED_ASSETS_SEQUENTIAL_GROWTH","FQ1 2017","FQ1 2017","Currency=INR","Period=FQ","BEST_FPERIOD_OVERRIDE=FQ","FILING_STATUS=OR","EQY_CONSOLIDATED=Y","Sort=A","Dates=H","DateFormat=P","Fill=—","Direction=H","UseDPDF=Y")</f>
        <v>#NAME?</v>
      </c>
      <c r="BO594" s="2" t="e">
        <f ca="1">_xll.BDH($C$578,"TOTAL_ASSETS_SEQUENTIAL_GROWTH","FQ1 2017","FQ1 2017","Currency=INR","Period=FQ","BEST_FPERIOD_OVERRIDE=FQ","FILING_STATUS=OR","EQY_CONSOLIDATED=Y","Sort=A","Dates=H","DateFormat=P","Fill=—","Direction=H","UseDPDF=Y")</f>
        <v>#NAME?</v>
      </c>
      <c r="BP594" s="2" t="e">
        <f ca="1">_xll.BDH($C$578,"MODIFIED_WORKING_CPTL_SEQ_GRWTH","FQ1 2017","FQ1 2017","Currency=INR","Period=FQ","BEST_FPERIOD_OVERRIDE=FQ","FILING_STATUS=OR","EQY_CONSOLIDATED=Y","Sort=A","Dates=H","DateFormat=P","Fill=—","Direction=H","UseDPDF=Y")</f>
        <v>#NAME?</v>
      </c>
      <c r="BQ594" s="2" t="e">
        <f ca="1">_xll.BDH($C$578,"WORKING_CAPITAL_SEQ_GROWTH","FQ1 2017","FQ1 2017","Currency=INR","Period=FQ","BEST_FPERIOD_OVERRIDE=FQ","FILING_STATUS=OR","EQY_CONSOLIDATED=Y","Sort=A","Dates=H","DateFormat=P","Fill=—","Direction=H","UseDPDF=Y")</f>
        <v>#NAME?</v>
      </c>
      <c r="BR594" s="2" t="e">
        <f ca="1">_xll.BDH($C$578,"ACCOUNTS_PAYABLE_SEQ_GROWTH","FQ1 2017","FQ1 2017","Currency=INR","Period=FQ","BEST_FPERIOD_OVERRIDE=FQ","FILING_STATUS=OR","EQY_CONSOLIDATED=Y","Sort=A","Dates=H","DateFormat=P","Fill=—","Direction=H","UseDPDF=Y")</f>
        <v>#NAME?</v>
      </c>
      <c r="BS594" s="2" t="e">
        <f ca="1">_xll.BDH($C$578,"ST_DEBT_SEQUENTIAL_GROWTH","FQ1 2017","FQ1 2017","Currency=INR","Period=FQ","BEST_FPERIOD_OVERRIDE=FQ","FILING_STATUS=OR","EQY_CONSOLIDATED=Y","Sort=A","Dates=H","DateFormat=P","Fill=—","Direction=H","UseDPDF=Y")</f>
        <v>#NAME?</v>
      </c>
      <c r="BT594" s="2" t="e">
        <f ca="1">_xll.BDH($C$578,"TOTAL_DEBT_SEQUENTIAL_GROWTH","FQ1 2017","FQ1 2017","Currency=INR","Period=FQ","BEST_FPERIOD_OVERRIDE=FQ","FILING_STATUS=OR","EQY_CONSOLIDATED=Y","Sort=A","Dates=H","DateFormat=P","Fill=—","Direction=H","UseDPDF=Y")</f>
        <v>#NAME?</v>
      </c>
      <c r="BU594" s="2" t="e">
        <f ca="1">_xll.BDH($C$578,"TOTAL_EQUITY_SEQUENTIAL_GROWTH","FQ1 2017","FQ1 2017","Currency=INR","Period=FQ","BEST_FPERIOD_OVERRIDE=FQ","FILING_STATUS=OR","EQY_CONSOLIDATED=Y","Sort=A","Dates=H","DateFormat=P","Fill=—","Direction=H","UseDPDF=Y")</f>
        <v>#NAME?</v>
      </c>
      <c r="BV594" s="2" t="e">
        <f ca="1">_xll.BDH($C$578,"TOTAL_CAPITAL_SEQUENTIAL_GROWTH","FQ1 2017","FQ1 2017","Currency=INR","Period=FQ","BEST_FPERIOD_OVERRIDE=FQ","FILING_STATUS=OR","EQY_CONSOLIDATED=Y","Sort=A","Dates=H","DateFormat=P","Fill=—","Direction=H","UseDPDF=Y")</f>
        <v>#NAME?</v>
      </c>
      <c r="BW594" s="2" t="e">
        <f ca="1">_xll.BDH($C$578,"BPS_SEQUENTIAL_GROWTH","FQ1 2017","FQ1 2017","Currency=INR","Period=FQ","BEST_FPERIOD_OVERRIDE=FQ","FILING_STATUS=OR","EQY_CONSOLIDATED=Y","Sort=A","Dates=H","DateFormat=P","Fill=—","Direction=H","UseDPDF=Y")</f>
        <v>#NAME?</v>
      </c>
      <c r="BX594" s="2" t="e">
        <f ca="1">_xll.BDH($C$578,"CFO_SEQUENTIAL_GROWTH","FQ1 2017","FQ1 2017","Currency=INR","Period=FQ","BEST_FPERIOD_OVERRIDE=FQ","FILING_STATUS=OR","EQY_CONSOLIDATED=Y","Sort=A","Dates=H","DateFormat=P","Fill=—","Direction=H","UseDPDF=Y")</f>
        <v>#NAME?</v>
      </c>
      <c r="BY594" s="3" t="e">
        <f ca="1">_xll.BDH($C$578,"SHORT_AND_LONG_TERM_DEBT","FQ1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594" s="3" t="e">
        <f ca="1">_xll.BDH($C$578,"BS_ST_BORROW","FQ1 2017","FQ1 2017","Currency=INR","Period=FQ","BEST_FPERIOD_OVERRIDE=FQ","FILING_STATUS=OR","EQY_CONSOLIDATED=Y","SCALING_FORMAT=MLN","Sort=A","Dates=H","DateFormat=P","Fill=—","Direction=H","UseDPDF=Y")</f>
        <v>#NAME?</v>
      </c>
      <c r="CA594" s="3" t="e">
        <f ca="1">_xll.BDH($C$578,"BS_LT_BORROW","FQ1 2017","FQ1 2017","Currency=INR","Period=FQ","BEST_FPERIOD_OVERRIDE=FQ","FILING_STATUS=OR","EQY_CONSOLIDATED=Y","SCALING_FORMAT=MLN","Sort=A","Dates=H","DateFormat=P","Fill=—","Direction=H","UseDPDF=Y")</f>
        <v>#NAME?</v>
      </c>
      <c r="CB594" s="2" t="e">
        <f ca="1">_xll.BDH($C$578,"TOT_DEBT_TO_EBITDA","FQ1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594" s="2" t="e">
        <f ca="1">_xll.BDH($C$578,"NET_DEBT_TO_EBITDA","FQ1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594" s="2" t="e">
        <f ca="1">_xll.BDH($C$578,"TOTAL_DEBT_TO_EBIT","FQ1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594" s="2" t="e">
        <f ca="1">_xll.BDH($C$578,"NET_DEBT_TO_EBIT","FQ1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594" s="2" t="e">
        <f ca="1">_xll.BDH($C$578,"EBITDA_TO_INTEREST_EXPN","FQ1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594" s="2" t="e">
        <f ca="1">_xll.BDH($C$578,"COM_EQY_TO_TOT_ASSET","FQ1 2017","FQ1 2017","Currency=INR","Period=FQ","BEST_FPERIOD_OVERRIDE=FQ","FILING_STATUS=OR","EQY_CONSOLIDATED=Y","Sort=A","Dates=H","DateFormat=P","Fill=—","Direction=H","UseDPDF=Y")</f>
        <v>#NAME?</v>
      </c>
      <c r="CH594" s="2" t="e">
        <f ca="1">_xll.BDH($C$578,"LT_DEBT_TO_TOT_EQY","FQ1 2017","FQ1 2017","Currency=INR","Period=FQ","BEST_FPERIOD_OVERRIDE=FQ","FILING_STATUS=OR","EQY_CONSOLIDATED=Y","Sort=A","Dates=H","DateFormat=P","Fill=—","Direction=H","UseDPDF=Y")</f>
        <v>#NAME?</v>
      </c>
      <c r="CI594" s="2" t="e">
        <f ca="1">_xll.BDH($C$578,"LT_DEBT_TO_TOT_CAP","FQ1 2017","FQ1 2017","Currency=INR","Period=FQ","BEST_FPERIOD_OVERRIDE=FQ","FILING_STATUS=OR","EQY_CONSOLIDATED=Y","Sort=A","Dates=H","DateFormat=P","Fill=—","Direction=H","UseDPDF=Y")</f>
        <v>#NAME?</v>
      </c>
      <c r="CJ594" s="2" t="e">
        <f ca="1">_xll.BDH($C$578,"LT_DEBT_TO_TOT_ASSET","FQ1 2017","FQ1 2017","Currency=INR","Period=FQ","BEST_FPERIOD_OVERRIDE=FQ","FILING_STATUS=OR","EQY_CONSOLIDATED=Y","Sort=A","Dates=H","DateFormat=P","Fill=—","Direction=H","UseDPDF=Y")</f>
        <v>#NAME?</v>
      </c>
      <c r="CK594" s="2" t="e">
        <f ca="1">_xll.BDH($C$578,"TOT_DEBT_TO_TOT_EQY","FQ1 2017","FQ1 2017","Currency=INR","Period=FQ","BEST_FPERIOD_OVERRIDE=FQ","FILING_STATUS=OR","EQY_CONSOLIDATED=Y","Sort=A","Dates=H","DateFormat=P","Fill=—","Direction=H","UseDPDF=Y")</f>
        <v>#NAME?</v>
      </c>
      <c r="CL594" s="2" t="e">
        <f ca="1">_xll.BDH($C$578,"TOT_DEBT_TO_TOT_CAP","FQ1 2017","FQ1 2017","Currency=INR","Period=FQ","BEST_FPERIOD_OVERRIDE=FQ","FILING_STATUS=OR","EQY_CONSOLIDATED=Y","Sort=A","Dates=H","DateFormat=P","Fill=—","Direction=H","UseDPDF=Y")</f>
        <v>#NAME?</v>
      </c>
      <c r="CM594" s="2" t="e">
        <f ca="1">_xll.BDH($C$578,"TOT_DEBT_TO_TOT_ASSET","FQ1 2017","FQ1 2017","Currency=INR","Period=FQ","BEST_FPERIOD_OVERRIDE=FQ","FILING_STATUS=OR","EQY_CONSOLIDATED=Y","Sort=A","Dates=H","DateFormat=P","Fill=—","Direction=H","UseDPDF=Y")</f>
        <v>#NAME?</v>
      </c>
      <c r="CN594" s="2" t="e">
        <f ca="1">_xll.BDH($C$578,"NET_DEBT_TO_SHRHLDR_EQTY","FQ1 2017","FQ1 2017","Currency=INR","Period=FQ","BEST_FPERIOD_OVERRIDE=FQ","FILING_STATUS=OR","EQY_CONSOLIDATED=Y","Sort=A","Dates=H","DateFormat=P","Fill=—","Direction=H","UseDPDF=Y")</f>
        <v>#NAME?</v>
      </c>
      <c r="CO594" s="2" t="e">
        <f ca="1">_xll.BDH($C$578,"NET_DEBT_%_CAPITAL","FQ1 2017","FQ1 2017","Currency=INR","Period=FQ","BEST_FPERIOD_OVERRIDE=FQ","FILING_STATUS=OR","EQY_CONSOLIDATED=Y","Sort=A","Dates=H","DateFormat=P","Fill=—","Direction=H","UseDPDF=Y")</f>
        <v>#NAME?</v>
      </c>
      <c r="CP594" s="3" t="e">
        <f ca="1">_xll.BDH($C$578,"EBITDA","FQ1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594" s="3" t="e">
        <f ca="1">_xll.BDH($C$578,"EBITDA_AFTER_CAPEX","FQ1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594" s="3" t="e">
        <f ca="1">_xll.BDH($C$578,"IS_OPER_INC","FQ1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594" s="2" t="e">
        <f ca="1">_xll.BDH($C$578,"CASH_RATIO","FQ1 2017","FQ1 2017","Currency=INR","Period=FQ","BEST_FPERIOD_OVERRIDE=FQ","FILING_STATUS=OR","EQY_CONSOLIDATED=Y","Sort=A","Dates=H","DateFormat=P","Fill=—","Direction=H","UseDPDF=Y")</f>
        <v>#NAME?</v>
      </c>
      <c r="CT594" s="2" t="e">
        <f ca="1">_xll.BDH($C$578,"CUR_RATIO","FQ1 2017","FQ1 2017","Currency=INR","Period=FQ","BEST_FPERIOD_OVERRIDE=FQ","FILING_STATUS=OR","EQY_CONSOLIDATED=Y","Sort=A","Dates=H","DateFormat=P","Fill=—","Direction=H","UseDPDF=Y")</f>
        <v>#NAME?</v>
      </c>
      <c r="CU594" s="2" t="e">
        <f ca="1">_xll.BDH($C$578,"QUICK_RATIO","FQ1 2017","FQ1 2017","Currency=INR","Period=FQ","BEST_FPERIOD_OVERRIDE=FQ","FILING_STATUS=OR","EQY_CONSOLIDATED=Y","Sort=A","Dates=H","DateFormat=P","Fill=—","Direction=H","UseDPDF=Y")</f>
        <v>#NAME?</v>
      </c>
      <c r="CV594" s="2" t="e">
        <f ca="1">_xll.BDH($C$578,"ALTMAN_Z_SCORE","FQ1 2017","FQ1 2017","Currency=INR","Period=FQ","BEST_FPERIOD_OVERRIDE=FQ","FILING_STATUS=OR","EQY_CONSOLIDATED=Y","Sort=A","Dates=H","DateFormat=P","Fill=—","Direction=H","UseDPDF=Y")</f>
        <v>#NAME?</v>
      </c>
      <c r="CW594" s="4" t="e">
        <f ca="1">_xll.BDH($C$578,"ACCT_RCV_TURN","FQ1 2017","FQ1 2017","Currency=INR","Period=FQ","BEST_FPERIOD_OVERRIDE=FQ","FILING_STATUS=OR","EQY_CONSOLIDATED=Y","FA_ADJUSTED=GAAP","Sort=A","Dates=H","DateFormat=P","Fill=—","Direction=H","UseDPDF=Y")</f>
        <v>#NAME?</v>
      </c>
      <c r="CX594" s="2" t="e">
        <f ca="1">_xll.BDH($C$578,"ACCT_RCV_DAYS","FQ1 2017","FQ1 2017","Currency=INR","Period=FQ","BEST_FPERIOD_OVERRIDE=FQ","FILING_STATUS=OR","EQY_CONSOLIDATED=Y","FA_ADJUSTED=GAAP","Sort=A","Dates=H","DateFormat=P","Fill=—","Direction=H","UseDPDF=Y")</f>
        <v>#NAME?</v>
      </c>
      <c r="CY594" s="4" t="e">
        <f ca="1">_xll.BDH($C$578,"INVENT_TURN","FQ1 2017","FQ1 2017","Currency=INR","Period=FQ","BEST_FPERIOD_OVERRIDE=FQ","FILING_STATUS=OR","EQY_CONSOLIDATED=Y","FA_ADJUSTED=GAAP","Sort=A","Dates=H","DateFormat=P","Fill=—","Direction=H","UseDPDF=Y")</f>
        <v>#NAME?</v>
      </c>
      <c r="CZ594" s="2" t="e">
        <f ca="1">_xll.BDH($C$578,"INVENT_DAYS","FQ1 2017","FQ1 2017","Currency=INR","Period=FQ","BEST_FPERIOD_OVERRIDE=FQ","FILING_STATUS=OR","EQY_CONSOLIDATED=Y","FA_ADJUSTED=GAAP","Sort=A","Dates=H","DateFormat=P","Fill=—","Direction=H","UseDPDF=Y")</f>
        <v>#NAME?</v>
      </c>
      <c r="DA594" s="4" t="e">
        <f ca="1">_xll.BDH($C$578,"ACCOUNTS_PAYABLE_TURNOVER","FQ1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594" s="2" t="e">
        <f ca="1">_xll.BDH($C$578,"ACCOUNTS_PAYABLE_TURNOVER_DAYS","FQ1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594" s="4" t="e">
        <f ca="1">_xll.BDH($C$578,"CASH_CONVERSION_CYCLE","FQ1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594" s="4" t="e">
        <f ca="1">_xll.BDH($C$578,"INV_TO_CASH_DAYS","FQ1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594" s="5" t="e">
        <f ca="1">_xll.BDH($C$578,"BS_INVENTORIES","FQ1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594" s="3" t="e">
        <f ca="1">_xll.BDH($C$578,"INVTRY_RAW_MATERIALS","FQ1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594" s="3" t="e">
        <f ca="1">_xll.BDH($C$578,"INVTRY_IN_PROGRESS","FQ1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594" s="3" t="e">
        <f ca="1">_xll.BDH($C$578,"INVTRY_FINISHED_GOODS","FQ1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594" s="3" t="e">
        <f ca="1">_xll.BDH($C$578,"BS_OTHER_INV","FQ1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595" spans="1:113" x14ac:dyDescent="0.3">
      <c r="A595" s="6"/>
      <c r="B595" s="6"/>
      <c r="C595" s="6"/>
      <c r="D595" s="6"/>
      <c r="E595" t="s">
        <v>79</v>
      </c>
      <c r="F595" t="e">
        <f ca="1">_xll.BDH($C$578,"RETURN_COM_EQY","FQ2 2017","FQ2 2017","Currency=INR","Period=FQ","BEST_FPERIOD_OVERRIDE=FQ","FILING_STATUS=OR","EQY_CONSOLIDATED=Y","FA_ADJUSTED=GAAP","Sort=A","Dates=H","DateFormat=P","Fill=—","Direction=H","UseDPDF=Y")</f>
        <v>#NAME?</v>
      </c>
      <c r="G595" t="e">
        <f ca="1">_xll.BDH($C$578,"RETURN_ON_ASSET","FQ2 2017","FQ2 2017","Currency=INR","Period=FQ","BEST_FPERIOD_OVERRIDE=FQ","FILING_STATUS=OR","EQY_CONSOLIDATED=Y","FA_ADJUSTED=GAAP","Sort=A","Dates=H","DateFormat=P","Fill=—","Direction=H","UseDPDF=Y")</f>
        <v>#NAME?</v>
      </c>
      <c r="H595" t="e">
        <f ca="1">_xll.BDH($C$578,"RETURN_ON_CAP","FQ2 2017","FQ2 2017","Currency=INR","Period=FQ","BEST_FPERIOD_OVERRIDE=FQ","FILING_STATUS=OR","EQY_CONSOLIDATED=Y","FA_ADJUSTED=GAAP","Sort=A","Dates=H","DateFormat=P","Fill=—","Direction=H","UseDPDF=Y")</f>
        <v>#NAME?</v>
      </c>
      <c r="I595" t="e">
        <f ca="1">_xll.BDH($C$578,"RETURN_ON_INV_CAPITAL","FQ2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595" t="e">
        <f ca="1">_xll.BDH($C$578,"EBITDA_TO_REVENUE","FQ2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595" t="e">
        <f ca="1">_xll.BDH($C$578,"OPER_MARGIN","FQ2 2017","FQ2 2017","Currency=INR","Period=FQ","BEST_FPERIOD_OVERRIDE=FQ","FILING_STATUS=OR","EQY_CONSOLIDATED=Y","FA_ADJUSTED=GAAP","Sort=A","Dates=H","DateFormat=P","Fill=—","Direction=H","UseDPDF=Y")</f>
        <v>#NAME?</v>
      </c>
      <c r="L595" t="e">
        <f ca="1">_xll.BDH($C$578,"INCREMENTAL_OPERATING_MARGIN","FQ2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595" t="e">
        <f ca="1">_xll.BDH($C$578,"PRETAX_INC_TO_NET_SALES","FQ2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595" t="e">
        <f ca="1">_xll.BDH($C$578,"INC_BEF_XO_ITEMS_TO_NET_SALES","FQ2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595" t="e">
        <f ca="1">_xll.BDH($C$578,"PROF_MARGIN","FQ2 2017","FQ2 2017","Currency=INR","Period=FQ","BEST_FPERIOD_OVERRIDE=FQ","FILING_STATUS=OR","EQY_CONSOLIDATED=Y","FA_ADJUSTED=GAAP","Sort=A","Dates=H","DateFormat=P","Fill=—","Direction=H","UseDPDF=Y")</f>
        <v>#NAME?</v>
      </c>
      <c r="P595" t="e">
        <f ca="1">_xll.BDH($C$578,"NET_INCOME_TO_COMMON_MARGIN","FQ2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595" t="e">
        <f ca="1">_xll.BDH($C$578,"EFF_TAX_RATE","FQ2 2017","FQ2 2017","Currency=INR","Period=FQ","BEST_FPERIOD_OVERRIDE=FQ","FILING_STATUS=OR","EQY_CONSOLIDATED=Y","FA_ADJUSTED=GAAP","Sort=A","Dates=H","DateFormat=P","Fill=—","Direction=H","UseDPDF=Y")</f>
        <v>#NAME?</v>
      </c>
      <c r="R595" t="e">
        <f ca="1">_xll.BDH($C$578,"DVD_PAYOUT_RATIO","FQ2 2017","FQ2 2017","Currency=INR","Period=FQ","BEST_FPERIOD_OVERRIDE=FQ","FILING_STATUS=OR","EQY_CONSOLIDATED=Y","FA_ADJUSTED=GAAP","Sort=A","Dates=H","DateFormat=P","Fill=—","Direction=H","UseDPDF=Y")</f>
        <v>#NAME?</v>
      </c>
      <c r="S595" t="e">
        <f ca="1">_xll.BDH($C$578,"SUSTAIN_GROWTH_RT","FQ2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595" s="2" t="e">
        <f ca="1">_xll.BDH($C$578,"SALES_GROWTH","FQ2 2017","FQ2 2017","Currency=INR","Period=FQ","BEST_FPERIOD_OVERRIDE=FQ","FILING_STATUS=OR","EQY_CONSOLIDATED=Y","FA_ADJUSTED=GAAP","Sort=A","Dates=H","DateFormat=P","Fill=—","Direction=H","UseDPDF=Y")</f>
        <v>#NAME?</v>
      </c>
      <c r="U595" s="2" t="e">
        <f ca="1">_xll.BDH($C$578,"EBITDA_GROWTH","FQ2 2017","FQ2 2017","Currency=INR","Period=FQ","BEST_FPERIOD_OVERRIDE=FQ","FILING_STATUS=OR","EQY_CONSOLIDATED=Y","FA_ADJUSTED=GAAP","Sort=A","Dates=H","DateFormat=P","Fill=—","Direction=H","UseDPDF=Y")</f>
        <v>#NAME?</v>
      </c>
      <c r="V595" s="2" t="e">
        <f ca="1">_xll.BDH($C$578,"OPER_INC_GROWTH","FQ2 2017","FQ2 2017","Currency=INR","Period=FQ","BEST_FPERIOD_OVERRIDE=FQ","FILING_STATUS=OR","EQY_CONSOLIDATED=Y","FA_ADJUSTED=GAAP","Sort=A","Dates=H","DateFormat=P","Fill=—","Direction=H","UseDPDF=Y")</f>
        <v>#NAME?</v>
      </c>
      <c r="W595" s="2" t="e">
        <f ca="1">_xll.BDH($C$578,"EARN_FOR_COM_GROWTH","FQ2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595" s="2" t="e">
        <f ca="1">_xll.BDH($C$578,"DILUTED_EPS_AFT_XO_ITEMS_GROWTH","FQ2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595" s="2" t="e">
        <f ca="1">_xll.BDH($C$578,"DIVIDEND_PER_SHARE_1_YEAR_GROWTH","FQ2 2017","FQ2 2017","Currency=INR","Period=FQ","BEST_FPERIOD_OVERRIDE=FQ","FILING_STATUS=OR","EQY_CONSOLIDATED=Y","Sort=A","Dates=H","DateFormat=P","Fill=—","Direction=H","UseDPDF=Y")</f>
        <v>#NAME?</v>
      </c>
      <c r="Z595" s="2" t="e">
        <f ca="1">_xll.BDH($C$578,"ACCOUNTS_RECEIVABLE_GROWTH","FQ2 2017","FQ2 2017","Currency=INR","Period=FQ","BEST_FPERIOD_OVERRIDE=FQ","FILING_STATUS=OR","EQY_CONSOLIDATED=Y","Sort=A","Dates=H","DateFormat=P","Fill=—","Direction=H","UseDPDF=Y")</f>
        <v>#NAME?</v>
      </c>
      <c r="AA595" s="2" t="e">
        <f ca="1">_xll.BDH($C$578,"INVENTORY_GROWTH","FQ2 2017","FQ2 2017","Currency=INR","Period=FQ","BEST_FPERIOD_OVERRIDE=FQ","FILING_STATUS=OR","EQY_CONSOLIDATED=Y","Sort=A","Dates=H","DateFormat=P","Fill=—","Direction=H","UseDPDF=Y")</f>
        <v>#NAME?</v>
      </c>
      <c r="AB595" s="2" t="e">
        <f ca="1">_xll.BDH($C$578,"NET_FIXED_ASSETS_1_YEAR_GROWTH","FQ2 2017","FQ2 2017","Currency=INR","Period=FQ","BEST_FPERIOD_OVERRIDE=FQ","FILING_STATUS=OR","EQY_CONSOLIDATED=Y","Sort=A","Dates=H","DateFormat=P","Fill=—","Direction=H","UseDPDF=Y")</f>
        <v>#NAME?</v>
      </c>
      <c r="AC595" s="2" t="e">
        <f ca="1">_xll.BDH($C$578,"ASSET_GROWTH","FQ2 2017","FQ2 2017","Currency=INR","Period=FQ","BEST_FPERIOD_OVERRIDE=FQ","FILING_STATUS=OR","EQY_CONSOLIDATED=Y","Sort=A","Dates=H","DateFormat=P","Fill=—","Direction=H","UseDPDF=Y")</f>
        <v>#NAME?</v>
      </c>
      <c r="AD595" s="2" t="e">
        <f ca="1">_xll.BDH($C$578,"MODIFIED_WORK_CAP_GROWTH","FQ2 2017","FQ2 2017","Currency=INR","Period=FQ","BEST_FPERIOD_OVERRIDE=FQ","FILING_STATUS=OR","EQY_CONSOLIDATED=Y","Sort=A","Dates=H","DateFormat=P","Fill=—","Direction=H","UseDPDF=Y")</f>
        <v>#NAME?</v>
      </c>
      <c r="AE595" s="2" t="e">
        <f ca="1">_xll.BDH($C$578,"WORK_CAP_GROWTH","FQ2 2017","FQ2 2017","Currency=INR","Period=FQ","BEST_FPERIOD_OVERRIDE=FQ","FILING_STATUS=OR","EQY_CONSOLIDATED=Y","Sort=A","Dates=H","DateFormat=P","Fill=—","Direction=H","UseDPDF=Y")</f>
        <v>#NAME?</v>
      </c>
      <c r="AF595" s="2" t="e">
        <f ca="1">_xll.BDH($C$578,"ACCOUNTS_PAYABLE_GROWTH_1YR","FQ2 2017","FQ2 2017","Currency=INR","Period=FQ","BEST_FPERIOD_OVERRIDE=FQ","FILING_STATUS=OR","EQY_CONSOLIDATED=Y","Sort=A","Dates=H","DateFormat=P","Fill=—","Direction=H","UseDPDF=Y")</f>
        <v>#NAME?</v>
      </c>
      <c r="AG595" s="2" t="e">
        <f ca="1">_xll.BDH($C$578,"SHORT_TERM_DEBT_1_YEAR_GROWTH","FQ2 2017","FQ2 2017","Currency=INR","Period=FQ","BEST_FPERIOD_OVERRIDE=FQ","FILING_STATUS=OR","EQY_CONSOLIDATED=Y","Sort=A","Dates=H","DateFormat=P","Fill=—","Direction=H","UseDPDF=Y")</f>
        <v>#NAME?</v>
      </c>
      <c r="AH595" s="2" t="e">
        <f ca="1">_xll.BDH($C$578,"TOTAL_DEBT_1_YEAR_GROWTH","FQ2 2017","FQ2 2017","Currency=INR","Period=FQ","BEST_FPERIOD_OVERRIDE=FQ","FILING_STATUS=OR","EQY_CONSOLIDATED=Y","Sort=A","Dates=H","DateFormat=P","Fill=—","Direction=H","UseDPDF=Y")</f>
        <v>#NAME?</v>
      </c>
      <c r="AI595" s="2" t="e">
        <f ca="1">_xll.BDH($C$578,"TOTAL_EQUITY_1_YEAR_GROWTH","FQ2 2017","FQ2 2017","Currency=INR","Period=FQ","BEST_FPERIOD_OVERRIDE=FQ","FILING_STATUS=OR","EQY_CONSOLIDATED=Y","Sort=A","Dates=H","DateFormat=P","Fill=—","Direction=H","UseDPDF=Y")</f>
        <v>#NAME?</v>
      </c>
      <c r="AJ595" s="2" t="e">
        <f ca="1">_xll.BDH($C$578,"GROWTH_IN_CAP","FQ2 2017","FQ2 2017","Currency=INR","Period=FQ","BEST_FPERIOD_OVERRIDE=FQ","FILING_STATUS=OR","EQY_CONSOLIDATED=Y","Sort=A","Dates=H","DateFormat=P","Fill=—","Direction=H","UseDPDF=Y")</f>
        <v>#NAME?</v>
      </c>
      <c r="AK595" s="2" t="e">
        <f ca="1">_xll.BDH($C$578,"BVPS_GROWTH","FQ2 2017","FQ2 2017","Currency=INR","Period=FQ","BEST_FPERIOD_OVERRIDE=FQ","FILING_STATUS=OR","EQY_CONSOLIDATED=Y","Sort=A","Dates=H","DateFormat=P","Fill=—","Direction=H","UseDPDF=Y")</f>
        <v>#NAME?</v>
      </c>
      <c r="AL595" s="2" t="e">
        <f ca="1">_xll.BDH($C$578,"CASH_FLOW_GROWTH","FQ2 2017","FQ2 2017","Currency=INR","Period=FQ","BEST_FPERIOD_OVERRIDE=FQ","FILING_STATUS=OR","EQY_CONSOLIDATED=Y","Sort=A","Dates=H","DateFormat=P","Fill=—","Direction=H","UseDPDF=Y")</f>
        <v>#NAME?</v>
      </c>
      <c r="AM595" s="2" t="e">
        <f ca="1">_xll.BDH($C$578,"GEO_GROW_NET_SALES","FQ2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595" s="2" t="e">
        <f ca="1">_xll.BDH($C$578,"GEO_GROW_EBITDA","FQ2 2017","FQ2 2017","Currency=INR","Period=FQ","BEST_FPERIOD_OVERRIDE=FQ","FILING_STATUS=OR","EQY_CONSOLIDATED=Y","FA_ADJUSTED=GAAP","Sort=A","Dates=H","DateFormat=P","Fill=—","Direction=H","UseDPDF=Y")</f>
        <v>#NAME?</v>
      </c>
      <c r="AO595" s="2" t="e">
        <f ca="1">_xll.BDH($C$578,"GEO_GROW_OPER_INC","FQ2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595" s="2" t="e">
        <f ca="1">_xll.BDH($C$578,"NET_INCOME_TO_COMMON_5_YR_GROWTH","FQ2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595" s="2" t="e">
        <f ca="1">_xll.BDH($C$578,"5Y_GEO_GROWTH_DILUTED_EPS","FQ2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595" s="2" t="e">
        <f ca="1">_xll.BDH($C$578,"GEO_GROW_DVD_PER_SH","FQ2 2017","FQ2 2017","Currency=INR","Period=FQ","BEST_FPERIOD_OVERRIDE=FQ","FILING_STATUS=OR","EQY_CONSOLIDATED=Y","Sort=A","Dates=H","DateFormat=P","Fill=—","Direction=H","UseDPDF=Y")</f>
        <v>#NAME?</v>
      </c>
      <c r="AS595" s="2" t="e">
        <f ca="1">_xll.BDH($C$578,"ACCOUNTS_RECEIVABLE_5_YR_GROWTH","FQ2 2017","FQ2 2017","Currency=INR","Period=FQ","BEST_FPERIOD_OVERRIDE=FQ","FILING_STATUS=OR","EQY_CONSOLIDATED=Y","Sort=A","Dates=H","DateFormat=P","Fill=—","Direction=H","UseDPDF=Y")</f>
        <v>#NAME?</v>
      </c>
      <c r="AT595" s="2" t="e">
        <f ca="1">_xll.BDH($C$578,"INVENTORY_5_YEAR_GROWTH","FQ2 2017","FQ2 2017","Currency=INR","Period=FQ","BEST_FPERIOD_OVERRIDE=FQ","FILING_STATUS=OR","EQY_CONSOLIDATED=Y","Sort=A","Dates=H","DateFormat=P","Fill=—","Direction=H","UseDPDF=Y")</f>
        <v>#NAME?</v>
      </c>
      <c r="AU595" s="2" t="e">
        <f ca="1">_xll.BDH($C$578,"NET_FIXED_ASSETS_5_YEAR_GROWTH","FQ2 2017","FQ2 2017","Currency=INR","Period=FQ","BEST_FPERIOD_OVERRIDE=FQ","FILING_STATUS=OR","EQY_CONSOLIDATED=Y","Sort=A","Dates=H","DateFormat=P","Fill=—","Direction=H","UseDPDF=Y")</f>
        <v>#NAME?</v>
      </c>
      <c r="AV595" s="2" t="e">
        <f ca="1">_xll.BDH($C$578,"GEO_GROW_TOT_ASSET","FQ2 2017","FQ2 2017","Currency=INR","Period=FQ","BEST_FPERIOD_OVERRIDE=FQ","FILING_STATUS=OR","EQY_CONSOLIDATED=Y","Sort=A","Dates=H","DateFormat=P","Fill=—","Direction=H","UseDPDF=Y")</f>
        <v>#NAME?</v>
      </c>
      <c r="AW595" s="2" t="e">
        <f ca="1">_xll.BDH($C$578,"MODIFIED_WORKING_CPTL_5YR_GRWTH","FQ2 2017","FQ2 2017","Currency=INR","Period=FQ","BEST_FPERIOD_OVERRIDE=FQ","FILING_STATUS=OR","EQY_CONSOLIDATED=Y","Sort=A","Dates=H","DateFormat=P","Fill=—","Direction=H","UseDPDF=Y")</f>
        <v>#NAME?</v>
      </c>
      <c r="AX595" s="2" t="e">
        <f ca="1">_xll.BDH($C$578,"WORKING_CAPITAL_5_YEAR_GROWTH","FQ2 2017","FQ2 2017","Currency=INR","Period=FQ","BEST_FPERIOD_OVERRIDE=FQ","FILING_STATUS=OR","EQY_CONSOLIDATED=Y","Sort=A","Dates=H","DateFormat=P","Fill=—","Direction=H","UseDPDF=Y")</f>
        <v>#NAME?</v>
      </c>
      <c r="AY595" s="2" t="e">
        <f ca="1">_xll.BDH($C$578,"ACCOUNTS_PAYABLE_5_YEAR_GROWTH","FQ2 2017","FQ2 2017","Currency=INR","Period=FQ","BEST_FPERIOD_OVERRIDE=FQ","FILING_STATUS=OR","EQY_CONSOLIDATED=Y","Sort=A","Dates=H","DateFormat=P","Fill=—","Direction=H","UseDPDF=Y")</f>
        <v>#NAME?</v>
      </c>
      <c r="AZ595" s="2" t="e">
        <f ca="1">_xll.BDH($C$578,"SHORT_TERM_DEBT_5_YEAR_GROWTH","FQ2 2017","FQ2 2017","Currency=INR","Period=FQ","BEST_FPERIOD_OVERRIDE=FQ","FILING_STATUS=OR","EQY_CONSOLIDATED=Y","Sort=A","Dates=H","DateFormat=P","Fill=—","Direction=H","UseDPDF=Y")</f>
        <v>#NAME?</v>
      </c>
      <c r="BA595" s="2" t="e">
        <f ca="1">_xll.BDH($C$578,"TOTAL_DEBT_5_YEAR_GROWTH","FQ2 2017","FQ2 2017","Currency=INR","Period=FQ","BEST_FPERIOD_OVERRIDE=FQ","FILING_STATUS=OR","EQY_CONSOLIDATED=Y","Sort=A","Dates=H","DateFormat=P","Fill=—","Direction=H","UseDPDF=Y")</f>
        <v>#NAME?</v>
      </c>
      <c r="BB595" s="2" t="e">
        <f ca="1">_xll.BDH($C$578,"GEO_GROW_TOT_SHRHLDR_EQY","FQ2 2017","FQ2 2017","Currency=INR","Period=FQ","BEST_FPERIOD_OVERRIDE=FQ","FILING_STATUS=OR","EQY_CONSOLIDATED=Y","Sort=A","Dates=H","DateFormat=P","Fill=—","Direction=H","UseDPDF=Y")</f>
        <v>#NAME?</v>
      </c>
      <c r="BC595" s="2" t="e">
        <f ca="1">_xll.BDH($C$578,"TOTAL_CAPITAL_5_YEAR_GROWTH","FQ2 2017","FQ2 2017","Currency=INR","Period=FQ","BEST_FPERIOD_OVERRIDE=FQ","FILING_STATUS=OR","EQY_CONSOLIDATED=Y","Sort=A","Dates=H","DateFormat=P","Fill=—","Direction=H","UseDPDF=Y")</f>
        <v>#NAME?</v>
      </c>
      <c r="BD595" s="2" t="e">
        <f ca="1">_xll.BDH($C$578,"GEO_GROW_BOOK_VAL","FQ2 2017","FQ2 2017","Currency=INR","Period=FQ","BEST_FPERIOD_OVERRIDE=FQ","FILING_STATUS=OR","EQY_CONSOLIDATED=Y","Sort=A","Dates=H","DateFormat=P","Fill=—","Direction=H","UseDPDF=Y")</f>
        <v>#NAME?</v>
      </c>
      <c r="BE595" s="2" t="e">
        <f ca="1">_xll.BDH($C$578,"GEO_GROW_CASH_OPER_ACT","FQ2 2017","FQ2 2017","Currency=INR","Period=FQ","BEST_FPERIOD_OVERRIDE=FQ","FILING_STATUS=OR","EQY_CONSOLIDATED=Y","Sort=A","Dates=H","DateFormat=P","Fill=—","Direction=H","UseDPDF=Y")</f>
        <v>#NAME?</v>
      </c>
      <c r="BF595" s="2" t="e">
        <f ca="1">_xll.BDH($C$578,"REVENUE_SEQUENTIAL_GROWTH","FQ2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595" s="2" t="e">
        <f ca="1">_xll.BDH($C$578,"EBITDA_SEQUENTIAL_GROWTH","FQ2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595" s="2" t="e">
        <f ca="1">_xll.BDH($C$578,"OPERATING_INCOME_SEQ_GROWTH","FQ2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595" s="2" t="e">
        <f ca="1">_xll.BDH($C$578,"NET_INCOME_TO_COMMON_SEQ_GROWTH","FQ2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595" s="2" t="e">
        <f ca="1">_xll.BDH($C$578,"EPS_DILUTED_SEQUENTIAL_GROWTH","FQ2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595" s="2" t="e">
        <f ca="1">_xll.BDH($C$578,"DPS_SEQUENTIAL_GROWTH","FQ2 2017","FQ2 2017","Currency=INR","Period=FQ","BEST_FPERIOD_OVERRIDE=FQ","FILING_STATUS=OR","EQY_CONSOLIDATED=Y","Sort=A","Dates=H","DateFormat=P","Fill=—","Direction=H","UseDPDF=Y")</f>
        <v>#NAME?</v>
      </c>
      <c r="BL595" s="2" t="e">
        <f ca="1">_xll.BDH($C$578,"ACCOUNTS_RECEIVABLE_SEQ_GROWTH","FQ2 2017","FQ2 2017","Currency=INR","Period=FQ","BEST_FPERIOD_OVERRIDE=FQ","FILING_STATUS=OR","EQY_CONSOLIDATED=Y","Sort=A","Dates=H","DateFormat=P","Fill=—","Direction=H","UseDPDF=Y")</f>
        <v>#NAME?</v>
      </c>
      <c r="BM595" s="2" t="e">
        <f ca="1">_xll.BDH($C$578,"INVENTORY_SEQUENTIAL_GROWTH","FQ2 2017","FQ2 2017","Currency=INR","Period=FQ","BEST_FPERIOD_OVERRIDE=FQ","FILING_STATUS=OR","EQY_CONSOLIDATED=Y","Sort=A","Dates=H","DateFormat=P","Fill=—","Direction=H","UseDPDF=Y")</f>
        <v>#NAME?</v>
      </c>
      <c r="BN595" s="2" t="e">
        <f ca="1">_xll.BDH($C$578,"FIXED_ASSETS_SEQUENTIAL_GROWTH","FQ2 2017","FQ2 2017","Currency=INR","Period=FQ","BEST_FPERIOD_OVERRIDE=FQ","FILING_STATUS=OR","EQY_CONSOLIDATED=Y","Sort=A","Dates=H","DateFormat=P","Fill=—","Direction=H","UseDPDF=Y")</f>
        <v>#NAME?</v>
      </c>
      <c r="BO595" s="2" t="e">
        <f ca="1">_xll.BDH($C$578,"TOTAL_ASSETS_SEQUENTIAL_GROWTH","FQ2 2017","FQ2 2017","Currency=INR","Period=FQ","BEST_FPERIOD_OVERRIDE=FQ","FILING_STATUS=OR","EQY_CONSOLIDATED=Y","Sort=A","Dates=H","DateFormat=P","Fill=—","Direction=H","UseDPDF=Y")</f>
        <v>#NAME?</v>
      </c>
      <c r="BP595" s="2" t="e">
        <f ca="1">_xll.BDH($C$578,"MODIFIED_WORKING_CPTL_SEQ_GRWTH","FQ2 2017","FQ2 2017","Currency=INR","Period=FQ","BEST_FPERIOD_OVERRIDE=FQ","FILING_STATUS=OR","EQY_CONSOLIDATED=Y","Sort=A","Dates=H","DateFormat=P","Fill=—","Direction=H","UseDPDF=Y")</f>
        <v>#NAME?</v>
      </c>
      <c r="BQ595" s="2" t="e">
        <f ca="1">_xll.BDH($C$578,"WORKING_CAPITAL_SEQ_GROWTH","FQ2 2017","FQ2 2017","Currency=INR","Period=FQ","BEST_FPERIOD_OVERRIDE=FQ","FILING_STATUS=OR","EQY_CONSOLIDATED=Y","Sort=A","Dates=H","DateFormat=P","Fill=—","Direction=H","UseDPDF=Y")</f>
        <v>#NAME?</v>
      </c>
      <c r="BR595" s="2" t="e">
        <f ca="1">_xll.BDH($C$578,"ACCOUNTS_PAYABLE_SEQ_GROWTH","FQ2 2017","FQ2 2017","Currency=INR","Period=FQ","BEST_FPERIOD_OVERRIDE=FQ","FILING_STATUS=OR","EQY_CONSOLIDATED=Y","Sort=A","Dates=H","DateFormat=P","Fill=—","Direction=H","UseDPDF=Y")</f>
        <v>#NAME?</v>
      </c>
      <c r="BS595" s="2" t="e">
        <f ca="1">_xll.BDH($C$578,"ST_DEBT_SEQUENTIAL_GROWTH","FQ2 2017","FQ2 2017","Currency=INR","Period=FQ","BEST_FPERIOD_OVERRIDE=FQ","FILING_STATUS=OR","EQY_CONSOLIDATED=Y","Sort=A","Dates=H","DateFormat=P","Fill=—","Direction=H","UseDPDF=Y")</f>
        <v>#NAME?</v>
      </c>
      <c r="BT595" s="2" t="e">
        <f ca="1">_xll.BDH($C$578,"TOTAL_DEBT_SEQUENTIAL_GROWTH","FQ2 2017","FQ2 2017","Currency=INR","Period=FQ","BEST_FPERIOD_OVERRIDE=FQ","FILING_STATUS=OR","EQY_CONSOLIDATED=Y","Sort=A","Dates=H","DateFormat=P","Fill=—","Direction=H","UseDPDF=Y")</f>
        <v>#NAME?</v>
      </c>
      <c r="BU595" s="2" t="e">
        <f ca="1">_xll.BDH($C$578,"TOTAL_EQUITY_SEQUENTIAL_GROWTH","FQ2 2017","FQ2 2017","Currency=INR","Period=FQ","BEST_FPERIOD_OVERRIDE=FQ","FILING_STATUS=OR","EQY_CONSOLIDATED=Y","Sort=A","Dates=H","DateFormat=P","Fill=—","Direction=H","UseDPDF=Y")</f>
        <v>#NAME?</v>
      </c>
      <c r="BV595" s="2" t="e">
        <f ca="1">_xll.BDH($C$578,"TOTAL_CAPITAL_SEQUENTIAL_GROWTH","FQ2 2017","FQ2 2017","Currency=INR","Period=FQ","BEST_FPERIOD_OVERRIDE=FQ","FILING_STATUS=OR","EQY_CONSOLIDATED=Y","Sort=A","Dates=H","DateFormat=P","Fill=—","Direction=H","UseDPDF=Y")</f>
        <v>#NAME?</v>
      </c>
      <c r="BW595" s="2" t="e">
        <f ca="1">_xll.BDH($C$578,"BPS_SEQUENTIAL_GROWTH","FQ2 2017","FQ2 2017","Currency=INR","Period=FQ","BEST_FPERIOD_OVERRIDE=FQ","FILING_STATUS=OR","EQY_CONSOLIDATED=Y","Sort=A","Dates=H","DateFormat=P","Fill=—","Direction=H","UseDPDF=Y")</f>
        <v>#NAME?</v>
      </c>
      <c r="BX595" s="2" t="e">
        <f ca="1">_xll.BDH($C$578,"CFO_SEQUENTIAL_GROWTH","FQ2 2017","FQ2 2017","Currency=INR","Period=FQ","BEST_FPERIOD_OVERRIDE=FQ","FILING_STATUS=OR","EQY_CONSOLIDATED=Y","Sort=A","Dates=H","DateFormat=P","Fill=—","Direction=H","UseDPDF=Y")</f>
        <v>#NAME?</v>
      </c>
      <c r="BY595" s="3" t="e">
        <f ca="1">_xll.BDH($C$578,"SHORT_AND_LONG_TERM_DEBT","FQ2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595" s="3" t="e">
        <f ca="1">_xll.BDH($C$578,"BS_ST_BORROW","FQ2 2017","FQ2 2017","Currency=INR","Period=FQ","BEST_FPERIOD_OVERRIDE=FQ","FILING_STATUS=OR","EQY_CONSOLIDATED=Y","SCALING_FORMAT=MLN","Sort=A","Dates=H","DateFormat=P","Fill=—","Direction=H","UseDPDF=Y")</f>
        <v>#NAME?</v>
      </c>
      <c r="CA595" s="3" t="e">
        <f ca="1">_xll.BDH($C$578,"BS_LT_BORROW","FQ2 2017","FQ2 2017","Currency=INR","Period=FQ","BEST_FPERIOD_OVERRIDE=FQ","FILING_STATUS=OR","EQY_CONSOLIDATED=Y","SCALING_FORMAT=MLN","Sort=A","Dates=H","DateFormat=P","Fill=—","Direction=H","UseDPDF=Y")</f>
        <v>#NAME?</v>
      </c>
      <c r="CB595" s="2" t="e">
        <f ca="1">_xll.BDH($C$578,"TOT_DEBT_TO_EBITDA","FQ2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595" s="2" t="e">
        <f ca="1">_xll.BDH($C$578,"NET_DEBT_TO_EBITDA","FQ2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595" s="2" t="e">
        <f ca="1">_xll.BDH($C$578,"TOTAL_DEBT_TO_EBIT","FQ2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595" s="2" t="e">
        <f ca="1">_xll.BDH($C$578,"NET_DEBT_TO_EBIT","FQ2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595" s="2" t="e">
        <f ca="1">_xll.BDH($C$578,"EBITDA_TO_INTEREST_EXPN","FQ2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595" s="2" t="e">
        <f ca="1">_xll.BDH($C$578,"COM_EQY_TO_TOT_ASSET","FQ2 2017","FQ2 2017","Currency=INR","Period=FQ","BEST_FPERIOD_OVERRIDE=FQ","FILING_STATUS=OR","EQY_CONSOLIDATED=Y","Sort=A","Dates=H","DateFormat=P","Fill=—","Direction=H","UseDPDF=Y")</f>
        <v>#NAME?</v>
      </c>
      <c r="CH595" s="2" t="e">
        <f ca="1">_xll.BDH($C$578,"LT_DEBT_TO_TOT_EQY","FQ2 2017","FQ2 2017","Currency=INR","Period=FQ","BEST_FPERIOD_OVERRIDE=FQ","FILING_STATUS=OR","EQY_CONSOLIDATED=Y","Sort=A","Dates=H","DateFormat=P","Fill=—","Direction=H","UseDPDF=Y")</f>
        <v>#NAME?</v>
      </c>
      <c r="CI595" s="2" t="e">
        <f ca="1">_xll.BDH($C$578,"LT_DEBT_TO_TOT_CAP","FQ2 2017","FQ2 2017","Currency=INR","Period=FQ","BEST_FPERIOD_OVERRIDE=FQ","FILING_STATUS=OR","EQY_CONSOLIDATED=Y","Sort=A","Dates=H","DateFormat=P","Fill=—","Direction=H","UseDPDF=Y")</f>
        <v>#NAME?</v>
      </c>
      <c r="CJ595" s="2" t="e">
        <f ca="1">_xll.BDH($C$578,"LT_DEBT_TO_TOT_ASSET","FQ2 2017","FQ2 2017","Currency=INR","Period=FQ","BEST_FPERIOD_OVERRIDE=FQ","FILING_STATUS=OR","EQY_CONSOLIDATED=Y","Sort=A","Dates=H","DateFormat=P","Fill=—","Direction=H","UseDPDF=Y")</f>
        <v>#NAME?</v>
      </c>
      <c r="CK595" s="2" t="e">
        <f ca="1">_xll.BDH($C$578,"TOT_DEBT_TO_TOT_EQY","FQ2 2017","FQ2 2017","Currency=INR","Period=FQ","BEST_FPERIOD_OVERRIDE=FQ","FILING_STATUS=OR","EQY_CONSOLIDATED=Y","Sort=A","Dates=H","DateFormat=P","Fill=—","Direction=H","UseDPDF=Y")</f>
        <v>#NAME?</v>
      </c>
      <c r="CL595" s="2" t="e">
        <f ca="1">_xll.BDH($C$578,"TOT_DEBT_TO_TOT_CAP","FQ2 2017","FQ2 2017","Currency=INR","Period=FQ","BEST_FPERIOD_OVERRIDE=FQ","FILING_STATUS=OR","EQY_CONSOLIDATED=Y","Sort=A","Dates=H","DateFormat=P","Fill=—","Direction=H","UseDPDF=Y")</f>
        <v>#NAME?</v>
      </c>
      <c r="CM595" s="2" t="e">
        <f ca="1">_xll.BDH($C$578,"TOT_DEBT_TO_TOT_ASSET","FQ2 2017","FQ2 2017","Currency=INR","Period=FQ","BEST_FPERIOD_OVERRIDE=FQ","FILING_STATUS=OR","EQY_CONSOLIDATED=Y","Sort=A","Dates=H","DateFormat=P","Fill=—","Direction=H","UseDPDF=Y")</f>
        <v>#NAME?</v>
      </c>
      <c r="CN595" s="2" t="e">
        <f ca="1">_xll.BDH($C$578,"NET_DEBT_TO_SHRHLDR_EQTY","FQ2 2017","FQ2 2017","Currency=INR","Period=FQ","BEST_FPERIOD_OVERRIDE=FQ","FILING_STATUS=OR","EQY_CONSOLIDATED=Y","Sort=A","Dates=H","DateFormat=P","Fill=—","Direction=H","UseDPDF=Y")</f>
        <v>#NAME?</v>
      </c>
      <c r="CO595" s="2" t="e">
        <f ca="1">_xll.BDH($C$578,"NET_DEBT_%_CAPITAL","FQ2 2017","FQ2 2017","Currency=INR","Period=FQ","BEST_FPERIOD_OVERRIDE=FQ","FILING_STATUS=OR","EQY_CONSOLIDATED=Y","Sort=A","Dates=H","DateFormat=P","Fill=—","Direction=H","UseDPDF=Y")</f>
        <v>#NAME?</v>
      </c>
      <c r="CP595" s="3" t="e">
        <f ca="1">_xll.BDH($C$578,"EBITDA","FQ2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595" s="3" t="e">
        <f ca="1">_xll.BDH($C$578,"EBITDA_AFTER_CAPEX","FQ2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595" s="3" t="e">
        <f ca="1">_xll.BDH($C$578,"IS_OPER_INC","FQ2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595" s="2" t="e">
        <f ca="1">_xll.BDH($C$578,"CASH_RATIO","FQ2 2017","FQ2 2017","Currency=INR","Period=FQ","BEST_FPERIOD_OVERRIDE=FQ","FILING_STATUS=OR","EQY_CONSOLIDATED=Y","Sort=A","Dates=H","DateFormat=P","Fill=—","Direction=H","UseDPDF=Y")</f>
        <v>#NAME?</v>
      </c>
      <c r="CT595" s="2" t="e">
        <f ca="1">_xll.BDH($C$578,"CUR_RATIO","FQ2 2017","FQ2 2017","Currency=INR","Period=FQ","BEST_FPERIOD_OVERRIDE=FQ","FILING_STATUS=OR","EQY_CONSOLIDATED=Y","Sort=A","Dates=H","DateFormat=P","Fill=—","Direction=H","UseDPDF=Y")</f>
        <v>#NAME?</v>
      </c>
      <c r="CU595" s="2" t="e">
        <f ca="1">_xll.BDH($C$578,"QUICK_RATIO","FQ2 2017","FQ2 2017","Currency=INR","Period=FQ","BEST_FPERIOD_OVERRIDE=FQ","FILING_STATUS=OR","EQY_CONSOLIDATED=Y","Sort=A","Dates=H","DateFormat=P","Fill=—","Direction=H","UseDPDF=Y")</f>
        <v>#NAME?</v>
      </c>
      <c r="CV595" s="2" t="e">
        <f ca="1">_xll.BDH($C$578,"ALTMAN_Z_SCORE","FQ2 2017","FQ2 2017","Currency=INR","Period=FQ","BEST_FPERIOD_OVERRIDE=FQ","FILING_STATUS=OR","EQY_CONSOLIDATED=Y","Sort=A","Dates=H","DateFormat=P","Fill=—","Direction=H","UseDPDF=Y")</f>
        <v>#NAME?</v>
      </c>
      <c r="CW595" s="4" t="e">
        <f ca="1">_xll.BDH($C$578,"ACCT_RCV_TURN","FQ2 2017","FQ2 2017","Currency=INR","Period=FQ","BEST_FPERIOD_OVERRIDE=FQ","FILING_STATUS=OR","EQY_CONSOLIDATED=Y","FA_ADJUSTED=GAAP","Sort=A","Dates=H","DateFormat=P","Fill=—","Direction=H","UseDPDF=Y")</f>
        <v>#NAME?</v>
      </c>
      <c r="CX595" s="2" t="e">
        <f ca="1">_xll.BDH($C$578,"ACCT_RCV_DAYS","FQ2 2017","FQ2 2017","Currency=INR","Period=FQ","BEST_FPERIOD_OVERRIDE=FQ","FILING_STATUS=OR","EQY_CONSOLIDATED=Y","FA_ADJUSTED=GAAP","Sort=A","Dates=H","DateFormat=P","Fill=—","Direction=H","UseDPDF=Y")</f>
        <v>#NAME?</v>
      </c>
      <c r="CY595" s="4" t="e">
        <f ca="1">_xll.BDH($C$578,"INVENT_TURN","FQ2 2017","FQ2 2017","Currency=INR","Period=FQ","BEST_FPERIOD_OVERRIDE=FQ","FILING_STATUS=OR","EQY_CONSOLIDATED=Y","FA_ADJUSTED=GAAP","Sort=A","Dates=H","DateFormat=P","Fill=—","Direction=H","UseDPDF=Y")</f>
        <v>#NAME?</v>
      </c>
      <c r="CZ595" s="2" t="e">
        <f ca="1">_xll.BDH($C$578,"INVENT_DAYS","FQ2 2017","FQ2 2017","Currency=INR","Period=FQ","BEST_FPERIOD_OVERRIDE=FQ","FILING_STATUS=OR","EQY_CONSOLIDATED=Y","FA_ADJUSTED=GAAP","Sort=A","Dates=H","DateFormat=P","Fill=—","Direction=H","UseDPDF=Y")</f>
        <v>#NAME?</v>
      </c>
      <c r="DA595" s="4" t="e">
        <f ca="1">_xll.BDH($C$578,"ACCOUNTS_PAYABLE_TURNOVER","FQ2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595" s="2" t="e">
        <f ca="1">_xll.BDH($C$578,"ACCOUNTS_PAYABLE_TURNOVER_DAYS","FQ2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595" s="4" t="e">
        <f ca="1">_xll.BDH($C$578,"CASH_CONVERSION_CYCLE","FQ2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595" s="4" t="e">
        <f ca="1">_xll.BDH($C$578,"INV_TO_CASH_DAYS","FQ2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595" s="5" t="e">
        <f ca="1">_xll.BDH($C$578,"BS_INVENTORIES","FQ2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595" s="3" t="e">
        <f ca="1">_xll.BDH($C$578,"INVTRY_RAW_MATERIALS","FQ2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595" s="3" t="e">
        <f ca="1">_xll.BDH($C$578,"INVTRY_IN_PROGRESS","FQ2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595" s="3" t="e">
        <f ca="1">_xll.BDH($C$578,"INVTRY_FINISHED_GOODS","FQ2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595" s="3" t="e">
        <f ca="1">_xll.BDH($C$578,"BS_OTHER_INV","FQ2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596" spans="1:113" x14ac:dyDescent="0.3">
      <c r="A596" s="6"/>
      <c r="B596" s="6"/>
      <c r="C596" s="6"/>
      <c r="D596" s="6"/>
      <c r="E596" t="s">
        <v>80</v>
      </c>
      <c r="F596" t="e">
        <f ca="1">_xll.BDH($C$578,"RETURN_COM_EQY","FQ3 2017","FQ3 2017","Currency=INR","Period=FQ","BEST_FPERIOD_OVERRIDE=FQ","FILING_STATUS=OR","EQY_CONSOLIDATED=Y","FA_ADJUSTED=GAAP","Sort=A","Dates=H","DateFormat=P","Fill=—","Direction=H","UseDPDF=Y")</f>
        <v>#NAME?</v>
      </c>
      <c r="G596" t="e">
        <f ca="1">_xll.BDH($C$578,"RETURN_ON_ASSET","FQ3 2017","FQ3 2017","Currency=INR","Period=FQ","BEST_FPERIOD_OVERRIDE=FQ","FILING_STATUS=OR","EQY_CONSOLIDATED=Y","FA_ADJUSTED=GAAP","Sort=A","Dates=H","DateFormat=P","Fill=—","Direction=H","UseDPDF=Y")</f>
        <v>#NAME?</v>
      </c>
      <c r="H596" t="e">
        <f ca="1">_xll.BDH($C$578,"RETURN_ON_CAP","FQ3 2017","FQ3 2017","Currency=INR","Period=FQ","BEST_FPERIOD_OVERRIDE=FQ","FILING_STATUS=OR","EQY_CONSOLIDATED=Y","FA_ADJUSTED=GAAP","Sort=A","Dates=H","DateFormat=P","Fill=—","Direction=H","UseDPDF=Y")</f>
        <v>#NAME?</v>
      </c>
      <c r="I596" t="e">
        <f ca="1">_xll.BDH($C$578,"RETURN_ON_INV_CAPITAL","FQ3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596" t="e">
        <f ca="1">_xll.BDH($C$578,"EBITDA_TO_REVENUE","FQ3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596" t="e">
        <f ca="1">_xll.BDH($C$578,"OPER_MARGIN","FQ3 2017","FQ3 2017","Currency=INR","Period=FQ","BEST_FPERIOD_OVERRIDE=FQ","FILING_STATUS=OR","EQY_CONSOLIDATED=Y","FA_ADJUSTED=GAAP","Sort=A","Dates=H","DateFormat=P","Fill=—","Direction=H","UseDPDF=Y")</f>
        <v>#NAME?</v>
      </c>
      <c r="L596" t="e">
        <f ca="1">_xll.BDH($C$578,"INCREMENTAL_OPERATING_MARGIN","FQ3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596" t="e">
        <f ca="1">_xll.BDH($C$578,"PRETAX_INC_TO_NET_SALES","FQ3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596" t="e">
        <f ca="1">_xll.BDH($C$578,"INC_BEF_XO_ITEMS_TO_NET_SALES","FQ3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596" t="e">
        <f ca="1">_xll.BDH($C$578,"PROF_MARGIN","FQ3 2017","FQ3 2017","Currency=INR","Period=FQ","BEST_FPERIOD_OVERRIDE=FQ","FILING_STATUS=OR","EQY_CONSOLIDATED=Y","FA_ADJUSTED=GAAP","Sort=A","Dates=H","DateFormat=P","Fill=—","Direction=H","UseDPDF=Y")</f>
        <v>#NAME?</v>
      </c>
      <c r="P596" t="e">
        <f ca="1">_xll.BDH($C$578,"NET_INCOME_TO_COMMON_MARGIN","FQ3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596" t="e">
        <f ca="1">_xll.BDH($C$578,"EFF_TAX_RATE","FQ3 2017","FQ3 2017","Currency=INR","Period=FQ","BEST_FPERIOD_OVERRIDE=FQ","FILING_STATUS=OR","EQY_CONSOLIDATED=Y","FA_ADJUSTED=GAAP","Sort=A","Dates=H","DateFormat=P","Fill=—","Direction=H","UseDPDF=Y")</f>
        <v>#NAME?</v>
      </c>
      <c r="R596" t="e">
        <f ca="1">_xll.BDH($C$578,"DVD_PAYOUT_RATIO","FQ3 2017","FQ3 2017","Currency=INR","Period=FQ","BEST_FPERIOD_OVERRIDE=FQ","FILING_STATUS=OR","EQY_CONSOLIDATED=Y","FA_ADJUSTED=GAAP","Sort=A","Dates=H","DateFormat=P","Fill=—","Direction=H","UseDPDF=Y")</f>
        <v>#NAME?</v>
      </c>
      <c r="S596" t="e">
        <f ca="1">_xll.BDH($C$578,"SUSTAIN_GROWTH_RT","FQ3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596" s="2" t="e">
        <f ca="1">_xll.BDH($C$578,"SALES_GROWTH","FQ3 2017","FQ3 2017","Currency=INR","Period=FQ","BEST_FPERIOD_OVERRIDE=FQ","FILING_STATUS=OR","EQY_CONSOLIDATED=Y","FA_ADJUSTED=GAAP","Sort=A","Dates=H","DateFormat=P","Fill=—","Direction=H","UseDPDF=Y")</f>
        <v>#NAME?</v>
      </c>
      <c r="U596" s="2" t="e">
        <f ca="1">_xll.BDH($C$578,"EBITDA_GROWTH","FQ3 2017","FQ3 2017","Currency=INR","Period=FQ","BEST_FPERIOD_OVERRIDE=FQ","FILING_STATUS=OR","EQY_CONSOLIDATED=Y","FA_ADJUSTED=GAAP","Sort=A","Dates=H","DateFormat=P","Fill=—","Direction=H","UseDPDF=Y")</f>
        <v>#NAME?</v>
      </c>
      <c r="V596" s="2" t="e">
        <f ca="1">_xll.BDH($C$578,"OPER_INC_GROWTH","FQ3 2017","FQ3 2017","Currency=INR","Period=FQ","BEST_FPERIOD_OVERRIDE=FQ","FILING_STATUS=OR","EQY_CONSOLIDATED=Y","FA_ADJUSTED=GAAP","Sort=A","Dates=H","DateFormat=P","Fill=—","Direction=H","UseDPDF=Y")</f>
        <v>#NAME?</v>
      </c>
      <c r="W596" s="2" t="e">
        <f ca="1">_xll.BDH($C$578,"EARN_FOR_COM_GROWTH","FQ3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596" s="2" t="e">
        <f ca="1">_xll.BDH($C$578,"DILUTED_EPS_AFT_XO_ITEMS_GROWTH","FQ3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596" s="2" t="e">
        <f ca="1">_xll.BDH($C$578,"DIVIDEND_PER_SHARE_1_YEAR_GROWTH","FQ3 2017","FQ3 2017","Currency=INR","Period=FQ","BEST_FPERIOD_OVERRIDE=FQ","FILING_STATUS=OR","EQY_CONSOLIDATED=Y","Sort=A","Dates=H","DateFormat=P","Fill=—","Direction=H","UseDPDF=Y")</f>
        <v>#NAME?</v>
      </c>
      <c r="Z596" s="2" t="e">
        <f ca="1">_xll.BDH($C$578,"ACCOUNTS_RECEIVABLE_GROWTH","FQ3 2017","FQ3 2017","Currency=INR","Period=FQ","BEST_FPERIOD_OVERRIDE=FQ","FILING_STATUS=OR","EQY_CONSOLIDATED=Y","Sort=A","Dates=H","DateFormat=P","Fill=—","Direction=H","UseDPDF=Y")</f>
        <v>#NAME?</v>
      </c>
      <c r="AA596" s="2" t="e">
        <f ca="1">_xll.BDH($C$578,"INVENTORY_GROWTH","FQ3 2017","FQ3 2017","Currency=INR","Period=FQ","BEST_FPERIOD_OVERRIDE=FQ","FILING_STATUS=OR","EQY_CONSOLIDATED=Y","Sort=A","Dates=H","DateFormat=P","Fill=—","Direction=H","UseDPDF=Y")</f>
        <v>#NAME?</v>
      </c>
      <c r="AB596" s="2" t="e">
        <f ca="1">_xll.BDH($C$578,"NET_FIXED_ASSETS_1_YEAR_GROWTH","FQ3 2017","FQ3 2017","Currency=INR","Period=FQ","BEST_FPERIOD_OVERRIDE=FQ","FILING_STATUS=OR","EQY_CONSOLIDATED=Y","Sort=A","Dates=H","DateFormat=P","Fill=—","Direction=H","UseDPDF=Y")</f>
        <v>#NAME?</v>
      </c>
      <c r="AC596" s="2" t="e">
        <f ca="1">_xll.BDH($C$578,"ASSET_GROWTH","FQ3 2017","FQ3 2017","Currency=INR","Period=FQ","BEST_FPERIOD_OVERRIDE=FQ","FILING_STATUS=OR","EQY_CONSOLIDATED=Y","Sort=A","Dates=H","DateFormat=P","Fill=—","Direction=H","UseDPDF=Y")</f>
        <v>#NAME?</v>
      </c>
      <c r="AD596" s="2" t="e">
        <f ca="1">_xll.BDH($C$578,"MODIFIED_WORK_CAP_GROWTH","FQ3 2017","FQ3 2017","Currency=INR","Period=FQ","BEST_FPERIOD_OVERRIDE=FQ","FILING_STATUS=OR","EQY_CONSOLIDATED=Y","Sort=A","Dates=H","DateFormat=P","Fill=—","Direction=H","UseDPDF=Y")</f>
        <v>#NAME?</v>
      </c>
      <c r="AE596" s="2" t="e">
        <f ca="1">_xll.BDH($C$578,"WORK_CAP_GROWTH","FQ3 2017","FQ3 2017","Currency=INR","Period=FQ","BEST_FPERIOD_OVERRIDE=FQ","FILING_STATUS=OR","EQY_CONSOLIDATED=Y","Sort=A","Dates=H","DateFormat=P","Fill=—","Direction=H","UseDPDF=Y")</f>
        <v>#NAME?</v>
      </c>
      <c r="AF596" s="2" t="e">
        <f ca="1">_xll.BDH($C$578,"ACCOUNTS_PAYABLE_GROWTH_1YR","FQ3 2017","FQ3 2017","Currency=INR","Period=FQ","BEST_FPERIOD_OVERRIDE=FQ","FILING_STATUS=OR","EQY_CONSOLIDATED=Y","Sort=A","Dates=H","DateFormat=P","Fill=—","Direction=H","UseDPDF=Y")</f>
        <v>#NAME?</v>
      </c>
      <c r="AG596" s="2" t="e">
        <f ca="1">_xll.BDH($C$578,"SHORT_TERM_DEBT_1_YEAR_GROWTH","FQ3 2017","FQ3 2017","Currency=INR","Period=FQ","BEST_FPERIOD_OVERRIDE=FQ","FILING_STATUS=OR","EQY_CONSOLIDATED=Y","Sort=A","Dates=H","DateFormat=P","Fill=—","Direction=H","UseDPDF=Y")</f>
        <v>#NAME?</v>
      </c>
      <c r="AH596" s="2" t="e">
        <f ca="1">_xll.BDH($C$578,"TOTAL_DEBT_1_YEAR_GROWTH","FQ3 2017","FQ3 2017","Currency=INR","Period=FQ","BEST_FPERIOD_OVERRIDE=FQ","FILING_STATUS=OR","EQY_CONSOLIDATED=Y","Sort=A","Dates=H","DateFormat=P","Fill=—","Direction=H","UseDPDF=Y")</f>
        <v>#NAME?</v>
      </c>
      <c r="AI596" s="2" t="e">
        <f ca="1">_xll.BDH($C$578,"TOTAL_EQUITY_1_YEAR_GROWTH","FQ3 2017","FQ3 2017","Currency=INR","Period=FQ","BEST_FPERIOD_OVERRIDE=FQ","FILING_STATUS=OR","EQY_CONSOLIDATED=Y","Sort=A","Dates=H","DateFormat=P","Fill=—","Direction=H","UseDPDF=Y")</f>
        <v>#NAME?</v>
      </c>
      <c r="AJ596" s="2" t="e">
        <f ca="1">_xll.BDH($C$578,"GROWTH_IN_CAP","FQ3 2017","FQ3 2017","Currency=INR","Period=FQ","BEST_FPERIOD_OVERRIDE=FQ","FILING_STATUS=OR","EQY_CONSOLIDATED=Y","Sort=A","Dates=H","DateFormat=P","Fill=—","Direction=H","UseDPDF=Y")</f>
        <v>#NAME?</v>
      </c>
      <c r="AK596" s="2" t="e">
        <f ca="1">_xll.BDH($C$578,"BVPS_GROWTH","FQ3 2017","FQ3 2017","Currency=INR","Period=FQ","BEST_FPERIOD_OVERRIDE=FQ","FILING_STATUS=OR","EQY_CONSOLIDATED=Y","Sort=A","Dates=H","DateFormat=P","Fill=—","Direction=H","UseDPDF=Y")</f>
        <v>#NAME?</v>
      </c>
      <c r="AL596" s="2" t="e">
        <f ca="1">_xll.BDH($C$578,"CASH_FLOW_GROWTH","FQ3 2017","FQ3 2017","Currency=INR","Period=FQ","BEST_FPERIOD_OVERRIDE=FQ","FILING_STATUS=OR","EQY_CONSOLIDATED=Y","Sort=A","Dates=H","DateFormat=P","Fill=—","Direction=H","UseDPDF=Y")</f>
        <v>#NAME?</v>
      </c>
      <c r="AM596" s="2" t="e">
        <f ca="1">_xll.BDH($C$578,"GEO_GROW_NET_SALES","FQ3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596" s="2" t="e">
        <f ca="1">_xll.BDH($C$578,"GEO_GROW_EBITDA","FQ3 2017","FQ3 2017","Currency=INR","Period=FQ","BEST_FPERIOD_OVERRIDE=FQ","FILING_STATUS=OR","EQY_CONSOLIDATED=Y","FA_ADJUSTED=GAAP","Sort=A","Dates=H","DateFormat=P","Fill=—","Direction=H","UseDPDF=Y")</f>
        <v>#NAME?</v>
      </c>
      <c r="AO596" s="2" t="e">
        <f ca="1">_xll.BDH($C$578,"GEO_GROW_OPER_INC","FQ3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596" s="2" t="e">
        <f ca="1">_xll.BDH($C$578,"NET_INCOME_TO_COMMON_5_YR_GROWTH","FQ3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596" s="2" t="e">
        <f ca="1">_xll.BDH($C$578,"5Y_GEO_GROWTH_DILUTED_EPS","FQ3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596" s="2" t="e">
        <f ca="1">_xll.BDH($C$578,"GEO_GROW_DVD_PER_SH","FQ3 2017","FQ3 2017","Currency=INR","Period=FQ","BEST_FPERIOD_OVERRIDE=FQ","FILING_STATUS=OR","EQY_CONSOLIDATED=Y","Sort=A","Dates=H","DateFormat=P","Fill=—","Direction=H","UseDPDF=Y")</f>
        <v>#NAME?</v>
      </c>
      <c r="AS596" s="2" t="e">
        <f ca="1">_xll.BDH($C$578,"ACCOUNTS_RECEIVABLE_5_YR_GROWTH","FQ3 2017","FQ3 2017","Currency=INR","Period=FQ","BEST_FPERIOD_OVERRIDE=FQ","FILING_STATUS=OR","EQY_CONSOLIDATED=Y","Sort=A","Dates=H","DateFormat=P","Fill=—","Direction=H","UseDPDF=Y")</f>
        <v>#NAME?</v>
      </c>
      <c r="AT596" s="2" t="e">
        <f ca="1">_xll.BDH($C$578,"INVENTORY_5_YEAR_GROWTH","FQ3 2017","FQ3 2017","Currency=INR","Period=FQ","BEST_FPERIOD_OVERRIDE=FQ","FILING_STATUS=OR","EQY_CONSOLIDATED=Y","Sort=A","Dates=H","DateFormat=P","Fill=—","Direction=H","UseDPDF=Y")</f>
        <v>#NAME?</v>
      </c>
      <c r="AU596" s="2" t="e">
        <f ca="1">_xll.BDH($C$578,"NET_FIXED_ASSETS_5_YEAR_GROWTH","FQ3 2017","FQ3 2017","Currency=INR","Period=FQ","BEST_FPERIOD_OVERRIDE=FQ","FILING_STATUS=OR","EQY_CONSOLIDATED=Y","Sort=A","Dates=H","DateFormat=P","Fill=—","Direction=H","UseDPDF=Y")</f>
        <v>#NAME?</v>
      </c>
      <c r="AV596" s="2" t="e">
        <f ca="1">_xll.BDH($C$578,"GEO_GROW_TOT_ASSET","FQ3 2017","FQ3 2017","Currency=INR","Period=FQ","BEST_FPERIOD_OVERRIDE=FQ","FILING_STATUS=OR","EQY_CONSOLIDATED=Y","Sort=A","Dates=H","DateFormat=P","Fill=—","Direction=H","UseDPDF=Y")</f>
        <v>#NAME?</v>
      </c>
      <c r="AW596" s="2" t="e">
        <f ca="1">_xll.BDH($C$578,"MODIFIED_WORKING_CPTL_5YR_GRWTH","FQ3 2017","FQ3 2017","Currency=INR","Period=FQ","BEST_FPERIOD_OVERRIDE=FQ","FILING_STATUS=OR","EQY_CONSOLIDATED=Y","Sort=A","Dates=H","DateFormat=P","Fill=—","Direction=H","UseDPDF=Y")</f>
        <v>#NAME?</v>
      </c>
      <c r="AX596" s="2" t="e">
        <f ca="1">_xll.BDH($C$578,"WORKING_CAPITAL_5_YEAR_GROWTH","FQ3 2017","FQ3 2017","Currency=INR","Period=FQ","BEST_FPERIOD_OVERRIDE=FQ","FILING_STATUS=OR","EQY_CONSOLIDATED=Y","Sort=A","Dates=H","DateFormat=P","Fill=—","Direction=H","UseDPDF=Y")</f>
        <v>#NAME?</v>
      </c>
      <c r="AY596" s="2" t="e">
        <f ca="1">_xll.BDH($C$578,"ACCOUNTS_PAYABLE_5_YEAR_GROWTH","FQ3 2017","FQ3 2017","Currency=INR","Period=FQ","BEST_FPERIOD_OVERRIDE=FQ","FILING_STATUS=OR","EQY_CONSOLIDATED=Y","Sort=A","Dates=H","DateFormat=P","Fill=—","Direction=H","UseDPDF=Y")</f>
        <v>#NAME?</v>
      </c>
      <c r="AZ596" s="2" t="e">
        <f ca="1">_xll.BDH($C$578,"SHORT_TERM_DEBT_5_YEAR_GROWTH","FQ3 2017","FQ3 2017","Currency=INR","Period=FQ","BEST_FPERIOD_OVERRIDE=FQ","FILING_STATUS=OR","EQY_CONSOLIDATED=Y","Sort=A","Dates=H","DateFormat=P","Fill=—","Direction=H","UseDPDF=Y")</f>
        <v>#NAME?</v>
      </c>
      <c r="BA596" s="2" t="e">
        <f ca="1">_xll.BDH($C$578,"TOTAL_DEBT_5_YEAR_GROWTH","FQ3 2017","FQ3 2017","Currency=INR","Period=FQ","BEST_FPERIOD_OVERRIDE=FQ","FILING_STATUS=OR","EQY_CONSOLIDATED=Y","Sort=A","Dates=H","DateFormat=P","Fill=—","Direction=H","UseDPDF=Y")</f>
        <v>#NAME?</v>
      </c>
      <c r="BB596" s="2" t="e">
        <f ca="1">_xll.BDH($C$578,"GEO_GROW_TOT_SHRHLDR_EQY","FQ3 2017","FQ3 2017","Currency=INR","Period=FQ","BEST_FPERIOD_OVERRIDE=FQ","FILING_STATUS=OR","EQY_CONSOLIDATED=Y","Sort=A","Dates=H","DateFormat=P","Fill=—","Direction=H","UseDPDF=Y")</f>
        <v>#NAME?</v>
      </c>
      <c r="BC596" s="2" t="e">
        <f ca="1">_xll.BDH($C$578,"TOTAL_CAPITAL_5_YEAR_GROWTH","FQ3 2017","FQ3 2017","Currency=INR","Period=FQ","BEST_FPERIOD_OVERRIDE=FQ","FILING_STATUS=OR","EQY_CONSOLIDATED=Y","Sort=A","Dates=H","DateFormat=P","Fill=—","Direction=H","UseDPDF=Y")</f>
        <v>#NAME?</v>
      </c>
      <c r="BD596" s="2" t="e">
        <f ca="1">_xll.BDH($C$578,"GEO_GROW_BOOK_VAL","FQ3 2017","FQ3 2017","Currency=INR","Period=FQ","BEST_FPERIOD_OVERRIDE=FQ","FILING_STATUS=OR","EQY_CONSOLIDATED=Y","Sort=A","Dates=H","DateFormat=P","Fill=—","Direction=H","UseDPDF=Y")</f>
        <v>#NAME?</v>
      </c>
      <c r="BE596" s="2" t="e">
        <f ca="1">_xll.BDH($C$578,"GEO_GROW_CASH_OPER_ACT","FQ3 2017","FQ3 2017","Currency=INR","Period=FQ","BEST_FPERIOD_OVERRIDE=FQ","FILING_STATUS=OR","EQY_CONSOLIDATED=Y","Sort=A","Dates=H","DateFormat=P","Fill=—","Direction=H","UseDPDF=Y")</f>
        <v>#NAME?</v>
      </c>
      <c r="BF596" s="2" t="e">
        <f ca="1">_xll.BDH($C$578,"REVENUE_SEQUENTIAL_GROWTH","FQ3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596" s="2" t="e">
        <f ca="1">_xll.BDH($C$578,"EBITDA_SEQUENTIAL_GROWTH","FQ3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596" s="2" t="e">
        <f ca="1">_xll.BDH($C$578,"OPERATING_INCOME_SEQ_GROWTH","FQ3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596" s="2" t="e">
        <f ca="1">_xll.BDH($C$578,"NET_INCOME_TO_COMMON_SEQ_GROWTH","FQ3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596" s="2" t="e">
        <f ca="1">_xll.BDH($C$578,"EPS_DILUTED_SEQUENTIAL_GROWTH","FQ3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596" s="2" t="e">
        <f ca="1">_xll.BDH($C$578,"DPS_SEQUENTIAL_GROWTH","FQ3 2017","FQ3 2017","Currency=INR","Period=FQ","BEST_FPERIOD_OVERRIDE=FQ","FILING_STATUS=OR","EQY_CONSOLIDATED=Y","Sort=A","Dates=H","DateFormat=P","Fill=—","Direction=H","UseDPDF=Y")</f>
        <v>#NAME?</v>
      </c>
      <c r="BL596" s="2" t="e">
        <f ca="1">_xll.BDH($C$578,"ACCOUNTS_RECEIVABLE_SEQ_GROWTH","FQ3 2017","FQ3 2017","Currency=INR","Period=FQ","BEST_FPERIOD_OVERRIDE=FQ","FILING_STATUS=OR","EQY_CONSOLIDATED=Y","Sort=A","Dates=H","DateFormat=P","Fill=—","Direction=H","UseDPDF=Y")</f>
        <v>#NAME?</v>
      </c>
      <c r="BM596" s="2" t="e">
        <f ca="1">_xll.BDH($C$578,"INVENTORY_SEQUENTIAL_GROWTH","FQ3 2017","FQ3 2017","Currency=INR","Period=FQ","BEST_FPERIOD_OVERRIDE=FQ","FILING_STATUS=OR","EQY_CONSOLIDATED=Y","Sort=A","Dates=H","DateFormat=P","Fill=—","Direction=H","UseDPDF=Y")</f>
        <v>#NAME?</v>
      </c>
      <c r="BN596" s="2" t="e">
        <f ca="1">_xll.BDH($C$578,"FIXED_ASSETS_SEQUENTIAL_GROWTH","FQ3 2017","FQ3 2017","Currency=INR","Period=FQ","BEST_FPERIOD_OVERRIDE=FQ","FILING_STATUS=OR","EQY_CONSOLIDATED=Y","Sort=A","Dates=H","DateFormat=P","Fill=—","Direction=H","UseDPDF=Y")</f>
        <v>#NAME?</v>
      </c>
      <c r="BO596" s="2" t="e">
        <f ca="1">_xll.BDH($C$578,"TOTAL_ASSETS_SEQUENTIAL_GROWTH","FQ3 2017","FQ3 2017","Currency=INR","Period=FQ","BEST_FPERIOD_OVERRIDE=FQ","FILING_STATUS=OR","EQY_CONSOLIDATED=Y","Sort=A","Dates=H","DateFormat=P","Fill=—","Direction=H","UseDPDF=Y")</f>
        <v>#NAME?</v>
      </c>
      <c r="BP596" s="2" t="e">
        <f ca="1">_xll.BDH($C$578,"MODIFIED_WORKING_CPTL_SEQ_GRWTH","FQ3 2017","FQ3 2017","Currency=INR","Period=FQ","BEST_FPERIOD_OVERRIDE=FQ","FILING_STATUS=OR","EQY_CONSOLIDATED=Y","Sort=A","Dates=H","DateFormat=P","Fill=—","Direction=H","UseDPDF=Y")</f>
        <v>#NAME?</v>
      </c>
      <c r="BQ596" s="2" t="e">
        <f ca="1">_xll.BDH($C$578,"WORKING_CAPITAL_SEQ_GROWTH","FQ3 2017","FQ3 2017","Currency=INR","Period=FQ","BEST_FPERIOD_OVERRIDE=FQ","FILING_STATUS=OR","EQY_CONSOLIDATED=Y","Sort=A","Dates=H","DateFormat=P","Fill=—","Direction=H","UseDPDF=Y")</f>
        <v>#NAME?</v>
      </c>
      <c r="BR596" s="2" t="e">
        <f ca="1">_xll.BDH($C$578,"ACCOUNTS_PAYABLE_SEQ_GROWTH","FQ3 2017","FQ3 2017","Currency=INR","Period=FQ","BEST_FPERIOD_OVERRIDE=FQ","FILING_STATUS=OR","EQY_CONSOLIDATED=Y","Sort=A","Dates=H","DateFormat=P","Fill=—","Direction=H","UseDPDF=Y")</f>
        <v>#NAME?</v>
      </c>
      <c r="BS596" s="2" t="e">
        <f ca="1">_xll.BDH($C$578,"ST_DEBT_SEQUENTIAL_GROWTH","FQ3 2017","FQ3 2017","Currency=INR","Period=FQ","BEST_FPERIOD_OVERRIDE=FQ","FILING_STATUS=OR","EQY_CONSOLIDATED=Y","Sort=A","Dates=H","DateFormat=P","Fill=—","Direction=H","UseDPDF=Y")</f>
        <v>#NAME?</v>
      </c>
      <c r="BT596" s="2" t="e">
        <f ca="1">_xll.BDH($C$578,"TOTAL_DEBT_SEQUENTIAL_GROWTH","FQ3 2017","FQ3 2017","Currency=INR","Period=FQ","BEST_FPERIOD_OVERRIDE=FQ","FILING_STATUS=OR","EQY_CONSOLIDATED=Y","Sort=A","Dates=H","DateFormat=P","Fill=—","Direction=H","UseDPDF=Y")</f>
        <v>#NAME?</v>
      </c>
      <c r="BU596" s="2" t="e">
        <f ca="1">_xll.BDH($C$578,"TOTAL_EQUITY_SEQUENTIAL_GROWTH","FQ3 2017","FQ3 2017","Currency=INR","Period=FQ","BEST_FPERIOD_OVERRIDE=FQ","FILING_STATUS=OR","EQY_CONSOLIDATED=Y","Sort=A","Dates=H","DateFormat=P","Fill=—","Direction=H","UseDPDF=Y")</f>
        <v>#NAME?</v>
      </c>
      <c r="BV596" s="2" t="e">
        <f ca="1">_xll.BDH($C$578,"TOTAL_CAPITAL_SEQUENTIAL_GROWTH","FQ3 2017","FQ3 2017","Currency=INR","Period=FQ","BEST_FPERIOD_OVERRIDE=FQ","FILING_STATUS=OR","EQY_CONSOLIDATED=Y","Sort=A","Dates=H","DateFormat=P","Fill=—","Direction=H","UseDPDF=Y")</f>
        <v>#NAME?</v>
      </c>
      <c r="BW596" s="2" t="e">
        <f ca="1">_xll.BDH($C$578,"BPS_SEQUENTIAL_GROWTH","FQ3 2017","FQ3 2017","Currency=INR","Period=FQ","BEST_FPERIOD_OVERRIDE=FQ","FILING_STATUS=OR","EQY_CONSOLIDATED=Y","Sort=A","Dates=H","DateFormat=P","Fill=—","Direction=H","UseDPDF=Y")</f>
        <v>#NAME?</v>
      </c>
      <c r="BX596" s="2" t="e">
        <f ca="1">_xll.BDH($C$578,"CFO_SEQUENTIAL_GROWTH","FQ3 2017","FQ3 2017","Currency=INR","Period=FQ","BEST_FPERIOD_OVERRIDE=FQ","FILING_STATUS=OR","EQY_CONSOLIDATED=Y","Sort=A","Dates=H","DateFormat=P","Fill=—","Direction=H","UseDPDF=Y")</f>
        <v>#NAME?</v>
      </c>
      <c r="BY596" s="3" t="e">
        <f ca="1">_xll.BDH($C$578,"SHORT_AND_LONG_TERM_DEBT","FQ3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596" s="3" t="e">
        <f ca="1">_xll.BDH($C$578,"BS_ST_BORROW","FQ3 2017","FQ3 2017","Currency=INR","Period=FQ","BEST_FPERIOD_OVERRIDE=FQ","FILING_STATUS=OR","EQY_CONSOLIDATED=Y","SCALING_FORMAT=MLN","Sort=A","Dates=H","DateFormat=P","Fill=—","Direction=H","UseDPDF=Y")</f>
        <v>#NAME?</v>
      </c>
      <c r="CA596" s="3" t="e">
        <f ca="1">_xll.BDH($C$578,"BS_LT_BORROW","FQ3 2017","FQ3 2017","Currency=INR","Period=FQ","BEST_FPERIOD_OVERRIDE=FQ","FILING_STATUS=OR","EQY_CONSOLIDATED=Y","SCALING_FORMAT=MLN","Sort=A","Dates=H","DateFormat=P","Fill=—","Direction=H","UseDPDF=Y")</f>
        <v>#NAME?</v>
      </c>
      <c r="CB596" s="2" t="e">
        <f ca="1">_xll.BDH($C$578,"TOT_DEBT_TO_EBITDA","FQ3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596" s="2" t="e">
        <f ca="1">_xll.BDH($C$578,"NET_DEBT_TO_EBITDA","FQ3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596" s="2" t="e">
        <f ca="1">_xll.BDH($C$578,"TOTAL_DEBT_TO_EBIT","FQ3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596" s="2" t="e">
        <f ca="1">_xll.BDH($C$578,"NET_DEBT_TO_EBIT","FQ3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596" s="2" t="e">
        <f ca="1">_xll.BDH($C$578,"EBITDA_TO_INTEREST_EXPN","FQ3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596" s="2" t="e">
        <f ca="1">_xll.BDH($C$578,"COM_EQY_TO_TOT_ASSET","FQ3 2017","FQ3 2017","Currency=INR","Period=FQ","BEST_FPERIOD_OVERRIDE=FQ","FILING_STATUS=OR","EQY_CONSOLIDATED=Y","Sort=A","Dates=H","DateFormat=P","Fill=—","Direction=H","UseDPDF=Y")</f>
        <v>#NAME?</v>
      </c>
      <c r="CH596" s="2" t="e">
        <f ca="1">_xll.BDH($C$578,"LT_DEBT_TO_TOT_EQY","FQ3 2017","FQ3 2017","Currency=INR","Period=FQ","BEST_FPERIOD_OVERRIDE=FQ","FILING_STATUS=OR","EQY_CONSOLIDATED=Y","Sort=A","Dates=H","DateFormat=P","Fill=—","Direction=H","UseDPDF=Y")</f>
        <v>#NAME?</v>
      </c>
      <c r="CI596" s="2" t="e">
        <f ca="1">_xll.BDH($C$578,"LT_DEBT_TO_TOT_CAP","FQ3 2017","FQ3 2017","Currency=INR","Period=FQ","BEST_FPERIOD_OVERRIDE=FQ","FILING_STATUS=OR","EQY_CONSOLIDATED=Y","Sort=A","Dates=H","DateFormat=P","Fill=—","Direction=H","UseDPDF=Y")</f>
        <v>#NAME?</v>
      </c>
      <c r="CJ596" s="2" t="e">
        <f ca="1">_xll.BDH($C$578,"LT_DEBT_TO_TOT_ASSET","FQ3 2017","FQ3 2017","Currency=INR","Period=FQ","BEST_FPERIOD_OVERRIDE=FQ","FILING_STATUS=OR","EQY_CONSOLIDATED=Y","Sort=A","Dates=H","DateFormat=P","Fill=—","Direction=H","UseDPDF=Y")</f>
        <v>#NAME?</v>
      </c>
      <c r="CK596" s="2" t="e">
        <f ca="1">_xll.BDH($C$578,"TOT_DEBT_TO_TOT_EQY","FQ3 2017","FQ3 2017","Currency=INR","Period=FQ","BEST_FPERIOD_OVERRIDE=FQ","FILING_STATUS=OR","EQY_CONSOLIDATED=Y","Sort=A","Dates=H","DateFormat=P","Fill=—","Direction=H","UseDPDF=Y")</f>
        <v>#NAME?</v>
      </c>
      <c r="CL596" s="2" t="e">
        <f ca="1">_xll.BDH($C$578,"TOT_DEBT_TO_TOT_CAP","FQ3 2017","FQ3 2017","Currency=INR","Period=FQ","BEST_FPERIOD_OVERRIDE=FQ","FILING_STATUS=OR","EQY_CONSOLIDATED=Y","Sort=A","Dates=H","DateFormat=P","Fill=—","Direction=H","UseDPDF=Y")</f>
        <v>#NAME?</v>
      </c>
      <c r="CM596" s="2" t="e">
        <f ca="1">_xll.BDH($C$578,"TOT_DEBT_TO_TOT_ASSET","FQ3 2017","FQ3 2017","Currency=INR","Period=FQ","BEST_FPERIOD_OVERRIDE=FQ","FILING_STATUS=OR","EQY_CONSOLIDATED=Y","Sort=A","Dates=H","DateFormat=P","Fill=—","Direction=H","UseDPDF=Y")</f>
        <v>#NAME?</v>
      </c>
      <c r="CN596" s="2" t="e">
        <f ca="1">_xll.BDH($C$578,"NET_DEBT_TO_SHRHLDR_EQTY","FQ3 2017","FQ3 2017","Currency=INR","Period=FQ","BEST_FPERIOD_OVERRIDE=FQ","FILING_STATUS=OR","EQY_CONSOLIDATED=Y","Sort=A","Dates=H","DateFormat=P","Fill=—","Direction=H","UseDPDF=Y")</f>
        <v>#NAME?</v>
      </c>
      <c r="CO596" s="2" t="e">
        <f ca="1">_xll.BDH($C$578,"NET_DEBT_%_CAPITAL","FQ3 2017","FQ3 2017","Currency=INR","Period=FQ","BEST_FPERIOD_OVERRIDE=FQ","FILING_STATUS=OR","EQY_CONSOLIDATED=Y","Sort=A","Dates=H","DateFormat=P","Fill=—","Direction=H","UseDPDF=Y")</f>
        <v>#NAME?</v>
      </c>
      <c r="CP596" s="3" t="e">
        <f ca="1">_xll.BDH($C$578,"EBITDA","FQ3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596" s="3" t="e">
        <f ca="1">_xll.BDH($C$578,"EBITDA_AFTER_CAPEX","FQ3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596" s="3" t="e">
        <f ca="1">_xll.BDH($C$578,"IS_OPER_INC","FQ3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596" s="2" t="e">
        <f ca="1">_xll.BDH($C$578,"CASH_RATIO","FQ3 2017","FQ3 2017","Currency=INR","Period=FQ","BEST_FPERIOD_OVERRIDE=FQ","FILING_STATUS=OR","EQY_CONSOLIDATED=Y","Sort=A","Dates=H","DateFormat=P","Fill=—","Direction=H","UseDPDF=Y")</f>
        <v>#NAME?</v>
      </c>
      <c r="CT596" s="2" t="e">
        <f ca="1">_xll.BDH($C$578,"CUR_RATIO","FQ3 2017","FQ3 2017","Currency=INR","Period=FQ","BEST_FPERIOD_OVERRIDE=FQ","FILING_STATUS=OR","EQY_CONSOLIDATED=Y","Sort=A","Dates=H","DateFormat=P","Fill=—","Direction=H","UseDPDF=Y")</f>
        <v>#NAME?</v>
      </c>
      <c r="CU596" s="2" t="e">
        <f ca="1">_xll.BDH($C$578,"QUICK_RATIO","FQ3 2017","FQ3 2017","Currency=INR","Period=FQ","BEST_FPERIOD_OVERRIDE=FQ","FILING_STATUS=OR","EQY_CONSOLIDATED=Y","Sort=A","Dates=H","DateFormat=P","Fill=—","Direction=H","UseDPDF=Y")</f>
        <v>#NAME?</v>
      </c>
      <c r="CV596" s="2" t="e">
        <f ca="1">_xll.BDH($C$578,"ALTMAN_Z_SCORE","FQ3 2017","FQ3 2017","Currency=INR","Period=FQ","BEST_FPERIOD_OVERRIDE=FQ","FILING_STATUS=OR","EQY_CONSOLIDATED=Y","Sort=A","Dates=H","DateFormat=P","Fill=—","Direction=H","UseDPDF=Y")</f>
        <v>#NAME?</v>
      </c>
      <c r="CW596" s="4" t="e">
        <f ca="1">_xll.BDH($C$578,"ACCT_RCV_TURN","FQ3 2017","FQ3 2017","Currency=INR","Period=FQ","BEST_FPERIOD_OVERRIDE=FQ","FILING_STATUS=OR","EQY_CONSOLIDATED=Y","FA_ADJUSTED=GAAP","Sort=A","Dates=H","DateFormat=P","Fill=—","Direction=H","UseDPDF=Y")</f>
        <v>#NAME?</v>
      </c>
      <c r="CX596" s="2" t="e">
        <f ca="1">_xll.BDH($C$578,"ACCT_RCV_DAYS","FQ3 2017","FQ3 2017","Currency=INR","Period=FQ","BEST_FPERIOD_OVERRIDE=FQ","FILING_STATUS=OR","EQY_CONSOLIDATED=Y","FA_ADJUSTED=GAAP","Sort=A","Dates=H","DateFormat=P","Fill=—","Direction=H","UseDPDF=Y")</f>
        <v>#NAME?</v>
      </c>
      <c r="CY596" s="4" t="e">
        <f ca="1">_xll.BDH($C$578,"INVENT_TURN","FQ3 2017","FQ3 2017","Currency=INR","Period=FQ","BEST_FPERIOD_OVERRIDE=FQ","FILING_STATUS=OR","EQY_CONSOLIDATED=Y","FA_ADJUSTED=GAAP","Sort=A","Dates=H","DateFormat=P","Fill=—","Direction=H","UseDPDF=Y")</f>
        <v>#NAME?</v>
      </c>
      <c r="CZ596" s="2" t="e">
        <f ca="1">_xll.BDH($C$578,"INVENT_DAYS","FQ3 2017","FQ3 2017","Currency=INR","Period=FQ","BEST_FPERIOD_OVERRIDE=FQ","FILING_STATUS=OR","EQY_CONSOLIDATED=Y","FA_ADJUSTED=GAAP","Sort=A","Dates=H","DateFormat=P","Fill=—","Direction=H","UseDPDF=Y")</f>
        <v>#NAME?</v>
      </c>
      <c r="DA596" s="4" t="e">
        <f ca="1">_xll.BDH($C$578,"ACCOUNTS_PAYABLE_TURNOVER","FQ3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596" s="2" t="e">
        <f ca="1">_xll.BDH($C$578,"ACCOUNTS_PAYABLE_TURNOVER_DAYS","FQ3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596" s="4" t="e">
        <f ca="1">_xll.BDH($C$578,"CASH_CONVERSION_CYCLE","FQ3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596" s="4" t="e">
        <f ca="1">_xll.BDH($C$578,"INV_TO_CASH_DAYS","FQ3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596" s="5" t="e">
        <f ca="1">_xll.BDH($C$578,"BS_INVENTORIES","FQ3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596" s="3" t="e">
        <f ca="1">_xll.BDH($C$578,"INVTRY_RAW_MATERIALS","FQ3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596" s="3" t="e">
        <f ca="1">_xll.BDH($C$578,"INVTRY_IN_PROGRESS","FQ3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596" s="3" t="e">
        <f ca="1">_xll.BDH($C$578,"INVTRY_FINISHED_GOODS","FQ3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596" s="3" t="e">
        <f ca="1">_xll.BDH($C$578,"BS_OTHER_INV","FQ3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597" spans="1:113" x14ac:dyDescent="0.3">
      <c r="A597" s="6"/>
      <c r="B597" s="6"/>
      <c r="C597" s="6"/>
      <c r="D597" s="6"/>
      <c r="E597" t="s">
        <v>81</v>
      </c>
      <c r="F597" t="e">
        <f ca="1">_xll.BDH($C$578,"RETURN_COM_EQY","FQ4 2017","FQ4 2017","Currency=INR","Period=FQ","BEST_FPERIOD_OVERRIDE=FQ","FILING_STATUS=OR","EQY_CONSOLIDATED=Y","FA_ADJUSTED=GAAP","Sort=A","Dates=H","DateFormat=P","Fill=—","Direction=H","UseDPDF=Y")</f>
        <v>#NAME?</v>
      </c>
      <c r="G597" t="e">
        <f ca="1">_xll.BDH($C$578,"RETURN_ON_ASSET","FQ4 2017","FQ4 2017","Currency=INR","Period=FQ","BEST_FPERIOD_OVERRIDE=FQ","FILING_STATUS=OR","EQY_CONSOLIDATED=Y","FA_ADJUSTED=GAAP","Sort=A","Dates=H","DateFormat=P","Fill=—","Direction=H","UseDPDF=Y")</f>
        <v>#NAME?</v>
      </c>
      <c r="H597" t="e">
        <f ca="1">_xll.BDH($C$578,"RETURN_ON_CAP","FQ4 2017","FQ4 2017","Currency=INR","Period=FQ","BEST_FPERIOD_OVERRIDE=FQ","FILING_STATUS=OR","EQY_CONSOLIDATED=Y","FA_ADJUSTED=GAAP","Sort=A","Dates=H","DateFormat=P","Fill=—","Direction=H","UseDPDF=Y")</f>
        <v>#NAME?</v>
      </c>
      <c r="I597" t="e">
        <f ca="1">_xll.BDH($C$578,"RETURN_ON_INV_CAPITAL","FQ4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597" t="e">
        <f ca="1">_xll.BDH($C$578,"EBITDA_TO_REVENUE","FQ4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597" t="e">
        <f ca="1">_xll.BDH($C$578,"OPER_MARGIN","FQ4 2017","FQ4 2017","Currency=INR","Period=FQ","BEST_FPERIOD_OVERRIDE=FQ","FILING_STATUS=OR","EQY_CONSOLIDATED=Y","FA_ADJUSTED=GAAP","Sort=A","Dates=H","DateFormat=P","Fill=—","Direction=H","UseDPDF=Y")</f>
        <v>#NAME?</v>
      </c>
      <c r="L597" t="e">
        <f ca="1">_xll.BDH($C$578,"INCREMENTAL_OPERATING_MARGIN","FQ4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597" t="e">
        <f ca="1">_xll.BDH($C$578,"PRETAX_INC_TO_NET_SALES","FQ4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597" t="e">
        <f ca="1">_xll.BDH($C$578,"INC_BEF_XO_ITEMS_TO_NET_SALES","FQ4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597" t="e">
        <f ca="1">_xll.BDH($C$578,"PROF_MARGIN","FQ4 2017","FQ4 2017","Currency=INR","Period=FQ","BEST_FPERIOD_OVERRIDE=FQ","FILING_STATUS=OR","EQY_CONSOLIDATED=Y","FA_ADJUSTED=GAAP","Sort=A","Dates=H","DateFormat=P","Fill=—","Direction=H","UseDPDF=Y")</f>
        <v>#NAME?</v>
      </c>
      <c r="P597" t="e">
        <f ca="1">_xll.BDH($C$578,"NET_INCOME_TO_COMMON_MARGIN","FQ4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597" t="e">
        <f ca="1">_xll.BDH($C$578,"EFF_TAX_RATE","FQ4 2017","FQ4 2017","Currency=INR","Period=FQ","BEST_FPERIOD_OVERRIDE=FQ","FILING_STATUS=OR","EQY_CONSOLIDATED=Y","FA_ADJUSTED=GAAP","Sort=A","Dates=H","DateFormat=P","Fill=—","Direction=H","UseDPDF=Y")</f>
        <v>#NAME?</v>
      </c>
      <c r="R597" t="e">
        <f ca="1">_xll.BDH($C$578,"DVD_PAYOUT_RATIO","FQ4 2017","FQ4 2017","Currency=INR","Period=FQ","BEST_FPERIOD_OVERRIDE=FQ","FILING_STATUS=OR","EQY_CONSOLIDATED=Y","FA_ADJUSTED=GAAP","Sort=A","Dates=H","DateFormat=P","Fill=—","Direction=H","UseDPDF=Y")</f>
        <v>#NAME?</v>
      </c>
      <c r="S597" t="e">
        <f ca="1">_xll.BDH($C$578,"SUSTAIN_GROWTH_RT","FQ4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597" s="2" t="e">
        <f ca="1">_xll.BDH($C$578,"SALES_GROWTH","FQ4 2017","FQ4 2017","Currency=INR","Period=FQ","BEST_FPERIOD_OVERRIDE=FQ","FILING_STATUS=OR","EQY_CONSOLIDATED=Y","FA_ADJUSTED=GAAP","Sort=A","Dates=H","DateFormat=P","Fill=—","Direction=H","UseDPDF=Y")</f>
        <v>#NAME?</v>
      </c>
      <c r="U597" s="2" t="e">
        <f ca="1">_xll.BDH($C$578,"EBITDA_GROWTH","FQ4 2017","FQ4 2017","Currency=INR","Period=FQ","BEST_FPERIOD_OVERRIDE=FQ","FILING_STATUS=OR","EQY_CONSOLIDATED=Y","FA_ADJUSTED=GAAP","Sort=A","Dates=H","DateFormat=P","Fill=—","Direction=H","UseDPDF=Y")</f>
        <v>#NAME?</v>
      </c>
      <c r="V597" s="2" t="e">
        <f ca="1">_xll.BDH($C$578,"OPER_INC_GROWTH","FQ4 2017","FQ4 2017","Currency=INR","Period=FQ","BEST_FPERIOD_OVERRIDE=FQ","FILING_STATUS=OR","EQY_CONSOLIDATED=Y","FA_ADJUSTED=GAAP","Sort=A","Dates=H","DateFormat=P","Fill=—","Direction=H","UseDPDF=Y")</f>
        <v>#NAME?</v>
      </c>
      <c r="W597" s="2" t="e">
        <f ca="1">_xll.BDH($C$578,"EARN_FOR_COM_GROWTH","FQ4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597" s="2" t="e">
        <f ca="1">_xll.BDH($C$578,"DILUTED_EPS_AFT_XO_ITEMS_GROWTH","FQ4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597" s="2" t="e">
        <f ca="1">_xll.BDH($C$578,"DIVIDEND_PER_SHARE_1_YEAR_GROWTH","FQ4 2017","FQ4 2017","Currency=INR","Period=FQ","BEST_FPERIOD_OVERRIDE=FQ","FILING_STATUS=OR","EQY_CONSOLIDATED=Y","Sort=A","Dates=H","DateFormat=P","Fill=—","Direction=H","UseDPDF=Y")</f>
        <v>#NAME?</v>
      </c>
      <c r="Z597" s="2" t="e">
        <f ca="1">_xll.BDH($C$578,"ACCOUNTS_RECEIVABLE_GROWTH","FQ4 2017","FQ4 2017","Currency=INR","Period=FQ","BEST_FPERIOD_OVERRIDE=FQ","FILING_STATUS=OR","EQY_CONSOLIDATED=Y","Sort=A","Dates=H","DateFormat=P","Fill=—","Direction=H","UseDPDF=Y")</f>
        <v>#NAME?</v>
      </c>
      <c r="AA597" s="2" t="e">
        <f ca="1">_xll.BDH($C$578,"INVENTORY_GROWTH","FQ4 2017","FQ4 2017","Currency=INR","Period=FQ","BEST_FPERIOD_OVERRIDE=FQ","FILING_STATUS=OR","EQY_CONSOLIDATED=Y","Sort=A","Dates=H","DateFormat=P","Fill=—","Direction=H","UseDPDF=Y")</f>
        <v>#NAME?</v>
      </c>
      <c r="AB597" s="2" t="e">
        <f ca="1">_xll.BDH($C$578,"NET_FIXED_ASSETS_1_YEAR_GROWTH","FQ4 2017","FQ4 2017","Currency=INR","Period=FQ","BEST_FPERIOD_OVERRIDE=FQ","FILING_STATUS=OR","EQY_CONSOLIDATED=Y","Sort=A","Dates=H","DateFormat=P","Fill=—","Direction=H","UseDPDF=Y")</f>
        <v>#NAME?</v>
      </c>
      <c r="AC597" s="2" t="e">
        <f ca="1">_xll.BDH($C$578,"ASSET_GROWTH","FQ4 2017","FQ4 2017","Currency=INR","Period=FQ","BEST_FPERIOD_OVERRIDE=FQ","FILING_STATUS=OR","EQY_CONSOLIDATED=Y","Sort=A","Dates=H","DateFormat=P","Fill=—","Direction=H","UseDPDF=Y")</f>
        <v>#NAME?</v>
      </c>
      <c r="AD597" s="2" t="e">
        <f ca="1">_xll.BDH($C$578,"MODIFIED_WORK_CAP_GROWTH","FQ4 2017","FQ4 2017","Currency=INR","Period=FQ","BEST_FPERIOD_OVERRIDE=FQ","FILING_STATUS=OR","EQY_CONSOLIDATED=Y","Sort=A","Dates=H","DateFormat=P","Fill=—","Direction=H","UseDPDF=Y")</f>
        <v>#NAME?</v>
      </c>
      <c r="AE597" s="2" t="e">
        <f ca="1">_xll.BDH($C$578,"WORK_CAP_GROWTH","FQ4 2017","FQ4 2017","Currency=INR","Period=FQ","BEST_FPERIOD_OVERRIDE=FQ","FILING_STATUS=OR","EQY_CONSOLIDATED=Y","Sort=A","Dates=H","DateFormat=P","Fill=—","Direction=H","UseDPDF=Y")</f>
        <v>#NAME?</v>
      </c>
      <c r="AF597" s="2" t="e">
        <f ca="1">_xll.BDH($C$578,"ACCOUNTS_PAYABLE_GROWTH_1YR","FQ4 2017","FQ4 2017","Currency=INR","Period=FQ","BEST_FPERIOD_OVERRIDE=FQ","FILING_STATUS=OR","EQY_CONSOLIDATED=Y","Sort=A","Dates=H","DateFormat=P","Fill=—","Direction=H","UseDPDF=Y")</f>
        <v>#NAME?</v>
      </c>
      <c r="AG597" s="2" t="e">
        <f ca="1">_xll.BDH($C$578,"SHORT_TERM_DEBT_1_YEAR_GROWTH","FQ4 2017","FQ4 2017","Currency=INR","Period=FQ","BEST_FPERIOD_OVERRIDE=FQ","FILING_STATUS=OR","EQY_CONSOLIDATED=Y","Sort=A","Dates=H","DateFormat=P","Fill=—","Direction=H","UseDPDF=Y")</f>
        <v>#NAME?</v>
      </c>
      <c r="AH597" s="2" t="e">
        <f ca="1">_xll.BDH($C$578,"TOTAL_DEBT_1_YEAR_GROWTH","FQ4 2017","FQ4 2017","Currency=INR","Period=FQ","BEST_FPERIOD_OVERRIDE=FQ","FILING_STATUS=OR","EQY_CONSOLIDATED=Y","Sort=A","Dates=H","DateFormat=P","Fill=—","Direction=H","UseDPDF=Y")</f>
        <v>#NAME?</v>
      </c>
      <c r="AI597" s="2" t="e">
        <f ca="1">_xll.BDH($C$578,"TOTAL_EQUITY_1_YEAR_GROWTH","FQ4 2017","FQ4 2017","Currency=INR","Period=FQ","BEST_FPERIOD_OVERRIDE=FQ","FILING_STATUS=OR","EQY_CONSOLIDATED=Y","Sort=A","Dates=H","DateFormat=P","Fill=—","Direction=H","UseDPDF=Y")</f>
        <v>#NAME?</v>
      </c>
      <c r="AJ597" s="2" t="e">
        <f ca="1">_xll.BDH($C$578,"GROWTH_IN_CAP","FQ4 2017","FQ4 2017","Currency=INR","Period=FQ","BEST_FPERIOD_OVERRIDE=FQ","FILING_STATUS=OR","EQY_CONSOLIDATED=Y","Sort=A","Dates=H","DateFormat=P","Fill=—","Direction=H","UseDPDF=Y")</f>
        <v>#NAME?</v>
      </c>
      <c r="AK597" s="2" t="e">
        <f ca="1">_xll.BDH($C$578,"BVPS_GROWTH","FQ4 2017","FQ4 2017","Currency=INR","Period=FQ","BEST_FPERIOD_OVERRIDE=FQ","FILING_STATUS=OR","EQY_CONSOLIDATED=Y","Sort=A","Dates=H","DateFormat=P","Fill=—","Direction=H","UseDPDF=Y")</f>
        <v>#NAME?</v>
      </c>
      <c r="AL597" s="2" t="e">
        <f ca="1">_xll.BDH($C$578,"CASH_FLOW_GROWTH","FQ4 2017","FQ4 2017","Currency=INR","Period=FQ","BEST_FPERIOD_OVERRIDE=FQ","FILING_STATUS=OR","EQY_CONSOLIDATED=Y","Sort=A","Dates=H","DateFormat=P","Fill=—","Direction=H","UseDPDF=Y")</f>
        <v>#NAME?</v>
      </c>
      <c r="AM597" s="2" t="e">
        <f ca="1">_xll.BDH($C$578,"GEO_GROW_NET_SALES","FQ4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597" s="2" t="e">
        <f ca="1">_xll.BDH($C$578,"GEO_GROW_EBITDA","FQ4 2017","FQ4 2017","Currency=INR","Period=FQ","BEST_FPERIOD_OVERRIDE=FQ","FILING_STATUS=OR","EQY_CONSOLIDATED=Y","FA_ADJUSTED=GAAP","Sort=A","Dates=H","DateFormat=P","Fill=—","Direction=H","UseDPDF=Y")</f>
        <v>#NAME?</v>
      </c>
      <c r="AO597" s="2" t="e">
        <f ca="1">_xll.BDH($C$578,"GEO_GROW_OPER_INC","FQ4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597" s="2" t="e">
        <f ca="1">_xll.BDH($C$578,"NET_INCOME_TO_COMMON_5_YR_GROWTH","FQ4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597" s="2" t="e">
        <f ca="1">_xll.BDH($C$578,"5Y_GEO_GROWTH_DILUTED_EPS","FQ4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597" s="2" t="e">
        <f ca="1">_xll.BDH($C$578,"GEO_GROW_DVD_PER_SH","FQ4 2017","FQ4 2017","Currency=INR","Period=FQ","BEST_FPERIOD_OVERRIDE=FQ","FILING_STATUS=OR","EQY_CONSOLIDATED=Y","Sort=A","Dates=H","DateFormat=P","Fill=—","Direction=H","UseDPDF=Y")</f>
        <v>#NAME?</v>
      </c>
      <c r="AS597" s="2" t="e">
        <f ca="1">_xll.BDH($C$578,"ACCOUNTS_RECEIVABLE_5_YR_GROWTH","FQ4 2017","FQ4 2017","Currency=INR","Period=FQ","BEST_FPERIOD_OVERRIDE=FQ","FILING_STATUS=OR","EQY_CONSOLIDATED=Y","Sort=A","Dates=H","DateFormat=P","Fill=—","Direction=H","UseDPDF=Y")</f>
        <v>#NAME?</v>
      </c>
      <c r="AT597" s="2" t="e">
        <f ca="1">_xll.BDH($C$578,"INVENTORY_5_YEAR_GROWTH","FQ4 2017","FQ4 2017","Currency=INR","Period=FQ","BEST_FPERIOD_OVERRIDE=FQ","FILING_STATUS=OR","EQY_CONSOLIDATED=Y","Sort=A","Dates=H","DateFormat=P","Fill=—","Direction=H","UseDPDF=Y")</f>
        <v>#NAME?</v>
      </c>
      <c r="AU597" s="2" t="e">
        <f ca="1">_xll.BDH($C$578,"NET_FIXED_ASSETS_5_YEAR_GROWTH","FQ4 2017","FQ4 2017","Currency=INR","Period=FQ","BEST_FPERIOD_OVERRIDE=FQ","FILING_STATUS=OR","EQY_CONSOLIDATED=Y","Sort=A","Dates=H","DateFormat=P","Fill=—","Direction=H","UseDPDF=Y")</f>
        <v>#NAME?</v>
      </c>
      <c r="AV597" s="2" t="e">
        <f ca="1">_xll.BDH($C$578,"GEO_GROW_TOT_ASSET","FQ4 2017","FQ4 2017","Currency=INR","Period=FQ","BEST_FPERIOD_OVERRIDE=FQ","FILING_STATUS=OR","EQY_CONSOLIDATED=Y","Sort=A","Dates=H","DateFormat=P","Fill=—","Direction=H","UseDPDF=Y")</f>
        <v>#NAME?</v>
      </c>
      <c r="AW597" s="2" t="e">
        <f ca="1">_xll.BDH($C$578,"MODIFIED_WORKING_CPTL_5YR_GRWTH","FQ4 2017","FQ4 2017","Currency=INR","Period=FQ","BEST_FPERIOD_OVERRIDE=FQ","FILING_STATUS=OR","EQY_CONSOLIDATED=Y","Sort=A","Dates=H","DateFormat=P","Fill=—","Direction=H","UseDPDF=Y")</f>
        <v>#NAME?</v>
      </c>
      <c r="AX597" s="2" t="e">
        <f ca="1">_xll.BDH($C$578,"WORKING_CAPITAL_5_YEAR_GROWTH","FQ4 2017","FQ4 2017","Currency=INR","Period=FQ","BEST_FPERIOD_OVERRIDE=FQ","FILING_STATUS=OR","EQY_CONSOLIDATED=Y","Sort=A","Dates=H","DateFormat=P","Fill=—","Direction=H","UseDPDF=Y")</f>
        <v>#NAME?</v>
      </c>
      <c r="AY597" s="2" t="e">
        <f ca="1">_xll.BDH($C$578,"ACCOUNTS_PAYABLE_5_YEAR_GROWTH","FQ4 2017","FQ4 2017","Currency=INR","Period=FQ","BEST_FPERIOD_OVERRIDE=FQ","FILING_STATUS=OR","EQY_CONSOLIDATED=Y","Sort=A","Dates=H","DateFormat=P","Fill=—","Direction=H","UseDPDF=Y")</f>
        <v>#NAME?</v>
      </c>
      <c r="AZ597" s="2" t="e">
        <f ca="1">_xll.BDH($C$578,"SHORT_TERM_DEBT_5_YEAR_GROWTH","FQ4 2017","FQ4 2017","Currency=INR","Period=FQ","BEST_FPERIOD_OVERRIDE=FQ","FILING_STATUS=OR","EQY_CONSOLIDATED=Y","Sort=A","Dates=H","DateFormat=P","Fill=—","Direction=H","UseDPDF=Y")</f>
        <v>#NAME?</v>
      </c>
      <c r="BA597" s="2" t="e">
        <f ca="1">_xll.BDH($C$578,"TOTAL_DEBT_5_YEAR_GROWTH","FQ4 2017","FQ4 2017","Currency=INR","Period=FQ","BEST_FPERIOD_OVERRIDE=FQ","FILING_STATUS=OR","EQY_CONSOLIDATED=Y","Sort=A","Dates=H","DateFormat=P","Fill=—","Direction=H","UseDPDF=Y")</f>
        <v>#NAME?</v>
      </c>
      <c r="BB597" s="2" t="e">
        <f ca="1">_xll.BDH($C$578,"GEO_GROW_TOT_SHRHLDR_EQY","FQ4 2017","FQ4 2017","Currency=INR","Period=FQ","BEST_FPERIOD_OVERRIDE=FQ","FILING_STATUS=OR","EQY_CONSOLIDATED=Y","Sort=A","Dates=H","DateFormat=P","Fill=—","Direction=H","UseDPDF=Y")</f>
        <v>#NAME?</v>
      </c>
      <c r="BC597" s="2" t="e">
        <f ca="1">_xll.BDH($C$578,"TOTAL_CAPITAL_5_YEAR_GROWTH","FQ4 2017","FQ4 2017","Currency=INR","Period=FQ","BEST_FPERIOD_OVERRIDE=FQ","FILING_STATUS=OR","EQY_CONSOLIDATED=Y","Sort=A","Dates=H","DateFormat=P","Fill=—","Direction=H","UseDPDF=Y")</f>
        <v>#NAME?</v>
      </c>
      <c r="BD597" s="2" t="e">
        <f ca="1">_xll.BDH($C$578,"GEO_GROW_BOOK_VAL","FQ4 2017","FQ4 2017","Currency=INR","Period=FQ","BEST_FPERIOD_OVERRIDE=FQ","FILING_STATUS=OR","EQY_CONSOLIDATED=Y","Sort=A","Dates=H","DateFormat=P","Fill=—","Direction=H","UseDPDF=Y")</f>
        <v>#NAME?</v>
      </c>
      <c r="BE597" s="2" t="e">
        <f ca="1">_xll.BDH($C$578,"GEO_GROW_CASH_OPER_ACT","FQ4 2017","FQ4 2017","Currency=INR","Period=FQ","BEST_FPERIOD_OVERRIDE=FQ","FILING_STATUS=OR","EQY_CONSOLIDATED=Y","Sort=A","Dates=H","DateFormat=P","Fill=—","Direction=H","UseDPDF=Y")</f>
        <v>#NAME?</v>
      </c>
      <c r="BF597" s="2" t="e">
        <f ca="1">_xll.BDH($C$578,"REVENUE_SEQUENTIAL_GROWTH","FQ4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597" s="2" t="e">
        <f ca="1">_xll.BDH($C$578,"EBITDA_SEQUENTIAL_GROWTH","FQ4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597" s="2" t="e">
        <f ca="1">_xll.BDH($C$578,"OPERATING_INCOME_SEQ_GROWTH","FQ4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597" s="2" t="e">
        <f ca="1">_xll.BDH($C$578,"NET_INCOME_TO_COMMON_SEQ_GROWTH","FQ4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597" s="2" t="e">
        <f ca="1">_xll.BDH($C$578,"EPS_DILUTED_SEQUENTIAL_GROWTH","FQ4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597" s="2" t="e">
        <f ca="1">_xll.BDH($C$578,"DPS_SEQUENTIAL_GROWTH","FQ4 2017","FQ4 2017","Currency=INR","Period=FQ","BEST_FPERIOD_OVERRIDE=FQ","FILING_STATUS=OR","EQY_CONSOLIDATED=Y","Sort=A","Dates=H","DateFormat=P","Fill=—","Direction=H","UseDPDF=Y")</f>
        <v>#NAME?</v>
      </c>
      <c r="BL597" s="2" t="e">
        <f ca="1">_xll.BDH($C$578,"ACCOUNTS_RECEIVABLE_SEQ_GROWTH","FQ4 2017","FQ4 2017","Currency=INR","Period=FQ","BEST_FPERIOD_OVERRIDE=FQ","FILING_STATUS=OR","EQY_CONSOLIDATED=Y","Sort=A","Dates=H","DateFormat=P","Fill=—","Direction=H","UseDPDF=Y")</f>
        <v>#NAME?</v>
      </c>
      <c r="BM597" s="2" t="e">
        <f ca="1">_xll.BDH($C$578,"INVENTORY_SEQUENTIAL_GROWTH","FQ4 2017","FQ4 2017","Currency=INR","Period=FQ","BEST_FPERIOD_OVERRIDE=FQ","FILING_STATUS=OR","EQY_CONSOLIDATED=Y","Sort=A","Dates=H","DateFormat=P","Fill=—","Direction=H","UseDPDF=Y")</f>
        <v>#NAME?</v>
      </c>
      <c r="BN597" s="2" t="e">
        <f ca="1">_xll.BDH($C$578,"FIXED_ASSETS_SEQUENTIAL_GROWTH","FQ4 2017","FQ4 2017","Currency=INR","Period=FQ","BEST_FPERIOD_OVERRIDE=FQ","FILING_STATUS=OR","EQY_CONSOLIDATED=Y","Sort=A","Dates=H","DateFormat=P","Fill=—","Direction=H","UseDPDF=Y")</f>
        <v>#NAME?</v>
      </c>
      <c r="BO597" s="2" t="e">
        <f ca="1">_xll.BDH($C$578,"TOTAL_ASSETS_SEQUENTIAL_GROWTH","FQ4 2017","FQ4 2017","Currency=INR","Period=FQ","BEST_FPERIOD_OVERRIDE=FQ","FILING_STATUS=OR","EQY_CONSOLIDATED=Y","Sort=A","Dates=H","DateFormat=P","Fill=—","Direction=H","UseDPDF=Y")</f>
        <v>#NAME?</v>
      </c>
      <c r="BP597" s="2" t="e">
        <f ca="1">_xll.BDH($C$578,"MODIFIED_WORKING_CPTL_SEQ_GRWTH","FQ4 2017","FQ4 2017","Currency=INR","Period=FQ","BEST_FPERIOD_OVERRIDE=FQ","FILING_STATUS=OR","EQY_CONSOLIDATED=Y","Sort=A","Dates=H","DateFormat=P","Fill=—","Direction=H","UseDPDF=Y")</f>
        <v>#NAME?</v>
      </c>
      <c r="BQ597" s="2" t="e">
        <f ca="1">_xll.BDH($C$578,"WORKING_CAPITAL_SEQ_GROWTH","FQ4 2017","FQ4 2017","Currency=INR","Period=FQ","BEST_FPERIOD_OVERRIDE=FQ","FILING_STATUS=OR","EQY_CONSOLIDATED=Y","Sort=A","Dates=H","DateFormat=P","Fill=—","Direction=H","UseDPDF=Y")</f>
        <v>#NAME?</v>
      </c>
      <c r="BR597" s="2" t="e">
        <f ca="1">_xll.BDH($C$578,"ACCOUNTS_PAYABLE_SEQ_GROWTH","FQ4 2017","FQ4 2017","Currency=INR","Period=FQ","BEST_FPERIOD_OVERRIDE=FQ","FILING_STATUS=OR","EQY_CONSOLIDATED=Y","Sort=A","Dates=H","DateFormat=P","Fill=—","Direction=H","UseDPDF=Y")</f>
        <v>#NAME?</v>
      </c>
      <c r="BS597" s="2" t="e">
        <f ca="1">_xll.BDH($C$578,"ST_DEBT_SEQUENTIAL_GROWTH","FQ4 2017","FQ4 2017","Currency=INR","Period=FQ","BEST_FPERIOD_OVERRIDE=FQ","FILING_STATUS=OR","EQY_CONSOLIDATED=Y","Sort=A","Dates=H","DateFormat=P","Fill=—","Direction=H","UseDPDF=Y")</f>
        <v>#NAME?</v>
      </c>
      <c r="BT597" s="2" t="e">
        <f ca="1">_xll.BDH($C$578,"TOTAL_DEBT_SEQUENTIAL_GROWTH","FQ4 2017","FQ4 2017","Currency=INR","Period=FQ","BEST_FPERIOD_OVERRIDE=FQ","FILING_STATUS=OR","EQY_CONSOLIDATED=Y","Sort=A","Dates=H","DateFormat=P","Fill=—","Direction=H","UseDPDF=Y")</f>
        <v>#NAME?</v>
      </c>
      <c r="BU597" s="2" t="e">
        <f ca="1">_xll.BDH($C$578,"TOTAL_EQUITY_SEQUENTIAL_GROWTH","FQ4 2017","FQ4 2017","Currency=INR","Period=FQ","BEST_FPERIOD_OVERRIDE=FQ","FILING_STATUS=OR","EQY_CONSOLIDATED=Y","Sort=A","Dates=H","DateFormat=P","Fill=—","Direction=H","UseDPDF=Y")</f>
        <v>#NAME?</v>
      </c>
      <c r="BV597" s="2" t="e">
        <f ca="1">_xll.BDH($C$578,"TOTAL_CAPITAL_SEQUENTIAL_GROWTH","FQ4 2017","FQ4 2017","Currency=INR","Period=FQ","BEST_FPERIOD_OVERRIDE=FQ","FILING_STATUS=OR","EQY_CONSOLIDATED=Y","Sort=A","Dates=H","DateFormat=P","Fill=—","Direction=H","UseDPDF=Y")</f>
        <v>#NAME?</v>
      </c>
      <c r="BW597" s="2" t="e">
        <f ca="1">_xll.BDH($C$578,"BPS_SEQUENTIAL_GROWTH","FQ4 2017","FQ4 2017","Currency=INR","Period=FQ","BEST_FPERIOD_OVERRIDE=FQ","FILING_STATUS=OR","EQY_CONSOLIDATED=Y","Sort=A","Dates=H","DateFormat=P","Fill=—","Direction=H","UseDPDF=Y")</f>
        <v>#NAME?</v>
      </c>
      <c r="BX597" s="2" t="e">
        <f ca="1">_xll.BDH($C$578,"CFO_SEQUENTIAL_GROWTH","FQ4 2017","FQ4 2017","Currency=INR","Period=FQ","BEST_FPERIOD_OVERRIDE=FQ","FILING_STATUS=OR","EQY_CONSOLIDATED=Y","Sort=A","Dates=H","DateFormat=P","Fill=—","Direction=H","UseDPDF=Y")</f>
        <v>#NAME?</v>
      </c>
      <c r="BY597" s="3" t="e">
        <f ca="1">_xll.BDH($C$578,"SHORT_AND_LONG_TERM_DEBT","FQ4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597" s="3" t="e">
        <f ca="1">_xll.BDH($C$578,"BS_ST_BORROW","FQ4 2017","FQ4 2017","Currency=INR","Period=FQ","BEST_FPERIOD_OVERRIDE=FQ","FILING_STATUS=OR","EQY_CONSOLIDATED=Y","SCALING_FORMAT=MLN","Sort=A","Dates=H","DateFormat=P","Fill=—","Direction=H","UseDPDF=Y")</f>
        <v>#NAME?</v>
      </c>
      <c r="CA597" s="3" t="e">
        <f ca="1">_xll.BDH($C$578,"BS_LT_BORROW","FQ4 2017","FQ4 2017","Currency=INR","Period=FQ","BEST_FPERIOD_OVERRIDE=FQ","FILING_STATUS=OR","EQY_CONSOLIDATED=Y","SCALING_FORMAT=MLN","Sort=A","Dates=H","DateFormat=P","Fill=—","Direction=H","UseDPDF=Y")</f>
        <v>#NAME?</v>
      </c>
      <c r="CB597" s="2" t="e">
        <f ca="1">_xll.BDH($C$578,"TOT_DEBT_TO_EBITDA","FQ4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597" s="2" t="e">
        <f ca="1">_xll.BDH($C$578,"NET_DEBT_TO_EBITDA","FQ4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597" s="2" t="e">
        <f ca="1">_xll.BDH($C$578,"TOTAL_DEBT_TO_EBIT","FQ4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597" s="2" t="e">
        <f ca="1">_xll.BDH($C$578,"NET_DEBT_TO_EBIT","FQ4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597" s="2" t="e">
        <f ca="1">_xll.BDH($C$578,"EBITDA_TO_INTEREST_EXPN","FQ4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597" s="2" t="e">
        <f ca="1">_xll.BDH($C$578,"COM_EQY_TO_TOT_ASSET","FQ4 2017","FQ4 2017","Currency=INR","Period=FQ","BEST_FPERIOD_OVERRIDE=FQ","FILING_STATUS=OR","EQY_CONSOLIDATED=Y","Sort=A","Dates=H","DateFormat=P","Fill=—","Direction=H","UseDPDF=Y")</f>
        <v>#NAME?</v>
      </c>
      <c r="CH597" s="2" t="e">
        <f ca="1">_xll.BDH($C$578,"LT_DEBT_TO_TOT_EQY","FQ4 2017","FQ4 2017","Currency=INR","Period=FQ","BEST_FPERIOD_OVERRIDE=FQ","FILING_STATUS=OR","EQY_CONSOLIDATED=Y","Sort=A","Dates=H","DateFormat=P","Fill=—","Direction=H","UseDPDF=Y")</f>
        <v>#NAME?</v>
      </c>
      <c r="CI597" s="2" t="e">
        <f ca="1">_xll.BDH($C$578,"LT_DEBT_TO_TOT_CAP","FQ4 2017","FQ4 2017","Currency=INR","Period=FQ","BEST_FPERIOD_OVERRIDE=FQ","FILING_STATUS=OR","EQY_CONSOLIDATED=Y","Sort=A","Dates=H","DateFormat=P","Fill=—","Direction=H","UseDPDF=Y")</f>
        <v>#NAME?</v>
      </c>
      <c r="CJ597" s="2" t="e">
        <f ca="1">_xll.BDH($C$578,"LT_DEBT_TO_TOT_ASSET","FQ4 2017","FQ4 2017","Currency=INR","Period=FQ","BEST_FPERIOD_OVERRIDE=FQ","FILING_STATUS=OR","EQY_CONSOLIDATED=Y","Sort=A","Dates=H","DateFormat=P","Fill=—","Direction=H","UseDPDF=Y")</f>
        <v>#NAME?</v>
      </c>
      <c r="CK597" s="2" t="e">
        <f ca="1">_xll.BDH($C$578,"TOT_DEBT_TO_TOT_EQY","FQ4 2017","FQ4 2017","Currency=INR","Period=FQ","BEST_FPERIOD_OVERRIDE=FQ","FILING_STATUS=OR","EQY_CONSOLIDATED=Y","Sort=A","Dates=H","DateFormat=P","Fill=—","Direction=H","UseDPDF=Y")</f>
        <v>#NAME?</v>
      </c>
      <c r="CL597" s="2" t="e">
        <f ca="1">_xll.BDH($C$578,"TOT_DEBT_TO_TOT_CAP","FQ4 2017","FQ4 2017","Currency=INR","Period=FQ","BEST_FPERIOD_OVERRIDE=FQ","FILING_STATUS=OR","EQY_CONSOLIDATED=Y","Sort=A","Dates=H","DateFormat=P","Fill=—","Direction=H","UseDPDF=Y")</f>
        <v>#NAME?</v>
      </c>
      <c r="CM597" s="2" t="e">
        <f ca="1">_xll.BDH($C$578,"TOT_DEBT_TO_TOT_ASSET","FQ4 2017","FQ4 2017","Currency=INR","Period=FQ","BEST_FPERIOD_OVERRIDE=FQ","FILING_STATUS=OR","EQY_CONSOLIDATED=Y","Sort=A","Dates=H","DateFormat=P","Fill=—","Direction=H","UseDPDF=Y")</f>
        <v>#NAME?</v>
      </c>
      <c r="CN597" s="2" t="e">
        <f ca="1">_xll.BDH($C$578,"NET_DEBT_TO_SHRHLDR_EQTY","FQ4 2017","FQ4 2017","Currency=INR","Period=FQ","BEST_FPERIOD_OVERRIDE=FQ","FILING_STATUS=OR","EQY_CONSOLIDATED=Y","Sort=A","Dates=H","DateFormat=P","Fill=—","Direction=H","UseDPDF=Y")</f>
        <v>#NAME?</v>
      </c>
      <c r="CO597" s="2" t="e">
        <f ca="1">_xll.BDH($C$578,"NET_DEBT_%_CAPITAL","FQ4 2017","FQ4 2017","Currency=INR","Period=FQ","BEST_FPERIOD_OVERRIDE=FQ","FILING_STATUS=OR","EQY_CONSOLIDATED=Y","Sort=A","Dates=H","DateFormat=P","Fill=—","Direction=H","UseDPDF=Y")</f>
        <v>#NAME?</v>
      </c>
      <c r="CP597" s="3" t="e">
        <f ca="1">_xll.BDH($C$578,"EBITDA","FQ4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597" s="3" t="e">
        <f ca="1">_xll.BDH($C$578,"EBITDA_AFTER_CAPEX","FQ4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597" s="3" t="e">
        <f ca="1">_xll.BDH($C$578,"IS_OPER_INC","FQ4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597" s="2" t="e">
        <f ca="1">_xll.BDH($C$578,"CASH_RATIO","FQ4 2017","FQ4 2017","Currency=INR","Period=FQ","BEST_FPERIOD_OVERRIDE=FQ","FILING_STATUS=OR","EQY_CONSOLIDATED=Y","Sort=A","Dates=H","DateFormat=P","Fill=—","Direction=H","UseDPDF=Y")</f>
        <v>#NAME?</v>
      </c>
      <c r="CT597" s="2" t="e">
        <f ca="1">_xll.BDH($C$578,"CUR_RATIO","FQ4 2017","FQ4 2017","Currency=INR","Period=FQ","BEST_FPERIOD_OVERRIDE=FQ","FILING_STATUS=OR","EQY_CONSOLIDATED=Y","Sort=A","Dates=H","DateFormat=P","Fill=—","Direction=H","UseDPDF=Y")</f>
        <v>#NAME?</v>
      </c>
      <c r="CU597" s="2" t="e">
        <f ca="1">_xll.BDH($C$578,"QUICK_RATIO","FQ4 2017","FQ4 2017","Currency=INR","Period=FQ","BEST_FPERIOD_OVERRIDE=FQ","FILING_STATUS=OR","EQY_CONSOLIDATED=Y","Sort=A","Dates=H","DateFormat=P","Fill=—","Direction=H","UseDPDF=Y")</f>
        <v>#NAME?</v>
      </c>
      <c r="CV597" s="2" t="e">
        <f ca="1">_xll.BDH($C$578,"ALTMAN_Z_SCORE","FQ4 2017","FQ4 2017","Currency=INR","Period=FQ","BEST_FPERIOD_OVERRIDE=FQ","FILING_STATUS=OR","EQY_CONSOLIDATED=Y","Sort=A","Dates=H","DateFormat=P","Fill=—","Direction=H","UseDPDF=Y")</f>
        <v>#NAME?</v>
      </c>
      <c r="CW597" s="4" t="e">
        <f ca="1">_xll.BDH($C$578,"ACCT_RCV_TURN","FQ4 2017","FQ4 2017","Currency=INR","Period=FQ","BEST_FPERIOD_OVERRIDE=FQ","FILING_STATUS=OR","EQY_CONSOLIDATED=Y","FA_ADJUSTED=GAAP","Sort=A","Dates=H","DateFormat=P","Fill=—","Direction=H","UseDPDF=Y")</f>
        <v>#NAME?</v>
      </c>
      <c r="CX597" s="2" t="e">
        <f ca="1">_xll.BDH($C$578,"ACCT_RCV_DAYS","FQ4 2017","FQ4 2017","Currency=INR","Period=FQ","BEST_FPERIOD_OVERRIDE=FQ","FILING_STATUS=OR","EQY_CONSOLIDATED=Y","FA_ADJUSTED=GAAP","Sort=A","Dates=H","DateFormat=P","Fill=—","Direction=H","UseDPDF=Y")</f>
        <v>#NAME?</v>
      </c>
      <c r="CY597" s="4" t="e">
        <f ca="1">_xll.BDH($C$578,"INVENT_TURN","FQ4 2017","FQ4 2017","Currency=INR","Period=FQ","BEST_FPERIOD_OVERRIDE=FQ","FILING_STATUS=OR","EQY_CONSOLIDATED=Y","FA_ADJUSTED=GAAP","Sort=A","Dates=H","DateFormat=P","Fill=—","Direction=H","UseDPDF=Y")</f>
        <v>#NAME?</v>
      </c>
      <c r="CZ597" s="2" t="e">
        <f ca="1">_xll.BDH($C$578,"INVENT_DAYS","FQ4 2017","FQ4 2017","Currency=INR","Period=FQ","BEST_FPERIOD_OVERRIDE=FQ","FILING_STATUS=OR","EQY_CONSOLIDATED=Y","FA_ADJUSTED=GAAP","Sort=A","Dates=H","DateFormat=P","Fill=—","Direction=H","UseDPDF=Y")</f>
        <v>#NAME?</v>
      </c>
      <c r="DA597" s="4" t="e">
        <f ca="1">_xll.BDH($C$578,"ACCOUNTS_PAYABLE_TURNOVER","FQ4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597" s="2" t="e">
        <f ca="1">_xll.BDH($C$578,"ACCOUNTS_PAYABLE_TURNOVER_DAYS","FQ4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597" s="4" t="e">
        <f ca="1">_xll.BDH($C$578,"CASH_CONVERSION_CYCLE","FQ4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597" s="4" t="e">
        <f ca="1">_xll.BDH($C$578,"INV_TO_CASH_DAYS","FQ4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597" s="5" t="e">
        <f ca="1">_xll.BDH($C$578,"BS_INVENTORIES","FQ4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597" s="3" t="e">
        <f ca="1">_xll.BDH($C$578,"INVTRY_RAW_MATERIALS","FQ4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597" s="3" t="e">
        <f ca="1">_xll.BDH($C$578,"INVTRY_IN_PROGRESS","FQ4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597" s="3" t="e">
        <f ca="1">_xll.BDH($C$578,"INVTRY_FINISHED_GOODS","FQ4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597" s="3" t="e">
        <f ca="1">_xll.BDH($C$578,"BS_OTHER_INV","FQ4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598" spans="1:113" x14ac:dyDescent="0.3">
      <c r="A598" s="6"/>
      <c r="B598" s="6"/>
      <c r="C598" s="6"/>
      <c r="D598" s="6" t="s">
        <v>85</v>
      </c>
      <c r="E598" t="s">
        <v>77</v>
      </c>
      <c r="F598" t="e">
        <f ca="1">_xll.BDH($C$578,"RETURN_COM_EQY","FY 2018","FY 2018","Currency=INR","Period=FY","BEST_FPERIOD_OVERRIDE=FY","FILING_STATUS=OR","EQY_CONSOLIDATED=Y","FA_ADJUSTED=GAAP","Sort=A","Dates=H","DateFormat=P","Fill=—","Direction=H","UseDPDF=Y")</f>
        <v>#NAME?</v>
      </c>
      <c r="G598" t="e">
        <f ca="1">_xll.BDH($C$578,"RETURN_ON_ASSET","FY 2018","FY 2018","Currency=INR","Period=FY","BEST_FPERIOD_OVERRIDE=FY","FILING_STATUS=OR","EQY_CONSOLIDATED=Y","FA_ADJUSTED=GAAP","Sort=A","Dates=H","DateFormat=P","Fill=—","Direction=H","UseDPDF=Y")</f>
        <v>#NAME?</v>
      </c>
      <c r="H598" t="e">
        <f ca="1">_xll.BDH($C$578,"RETURN_ON_CAP","FY 2018","FY 2018","Currency=INR","Period=FY","BEST_FPERIOD_OVERRIDE=FY","FILING_STATUS=OR","EQY_CONSOLIDATED=Y","FA_ADJUSTED=GAAP","Sort=A","Dates=H","DateFormat=P","Fill=—","Direction=H","UseDPDF=Y")</f>
        <v>#NAME?</v>
      </c>
      <c r="I598" t="e">
        <f ca="1">_xll.BDH($C$578,"RETURN_ON_INV_CAPITAL","FY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598" t="e">
        <f ca="1">_xll.BDH($C$578,"EBITDA_TO_REVENUE","FY 2018","FY 2018","Currency=INR","Period=FY","BEST_FPERIOD_OVERRIDE=FY","FILING_STATUS=OR","EQY_CONSOLIDATED=Y","FA_ADJUSTED=GAAP","Sort=A","Dates=H","DateFormat=P","Fill=—","Direction=H","UseDPDF=Y")</f>
        <v>#NAME?</v>
      </c>
      <c r="K598" t="e">
        <f ca="1">_xll.BDH($C$578,"OPER_MARGIN","FY 2018","FY 2018","Currency=INR","Period=FY","BEST_FPERIOD_OVERRIDE=FY","FILING_STATUS=OR","EQY_CONSOLIDATED=Y","FA_ADJUSTED=GAAP","Sort=A","Dates=H","DateFormat=P","Fill=—","Direction=H","UseDPDF=Y")</f>
        <v>#NAME?</v>
      </c>
      <c r="L598" t="e">
        <f ca="1">_xll.BDH($C$578,"INCREMENTAL_OPERATING_MARGIN","FY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598" t="e">
        <f ca="1">_xll.BDH($C$578,"PRETAX_INC_TO_NET_SALES","FY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598" t="e">
        <f ca="1">_xll.BDH($C$578,"INC_BEF_XO_ITEMS_TO_NET_SALES","FY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598" t="e">
        <f ca="1">_xll.BDH($C$578,"PROF_MARGIN","FY 2018","FY 2018","Currency=INR","Period=FY","BEST_FPERIOD_OVERRIDE=FY","FILING_STATUS=OR","EQY_CONSOLIDATED=Y","FA_ADJUSTED=GAAP","Sort=A","Dates=H","DateFormat=P","Fill=—","Direction=H","UseDPDF=Y")</f>
        <v>#NAME?</v>
      </c>
      <c r="P598" t="e">
        <f ca="1">_xll.BDH($C$578,"NET_INCOME_TO_COMMON_MARGIN","FY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598" t="e">
        <f ca="1">_xll.BDH($C$578,"EFF_TAX_RATE","FY 2018","FY 2018","Currency=INR","Period=FY","BEST_FPERIOD_OVERRIDE=FY","FILING_STATUS=OR","EQY_CONSOLIDATED=Y","FA_ADJUSTED=GAAP","Sort=A","Dates=H","DateFormat=P","Fill=—","Direction=H","UseDPDF=Y")</f>
        <v>#NAME?</v>
      </c>
      <c r="R598" t="e">
        <f ca="1">_xll.BDH($C$578,"DVD_PAYOUT_RATIO","FY 2018","FY 2018","Currency=INR","Period=FY","BEST_FPERIOD_OVERRIDE=FY","FILING_STATUS=OR","EQY_CONSOLIDATED=Y","FA_ADJUSTED=GAAP","Sort=A","Dates=H","DateFormat=P","Fill=—","Direction=H","UseDPDF=Y")</f>
        <v>#NAME?</v>
      </c>
      <c r="S598" t="e">
        <f ca="1">_xll.BDH($C$578,"SUSTAIN_GROWTH_RT","FY 2018","FY 2018","Currency=INR","Period=FY","BEST_FPERIOD_OVERRIDE=FY","FILING_STATUS=OR","EQY_CONSOLIDATED=Y","FA_ADJUSTED=GAAP","Sort=A","Dates=H","DateFormat=P","Fill=—","Direction=H","UseDPDF=Y")</f>
        <v>#NAME?</v>
      </c>
      <c r="T598" s="2" t="e">
        <f ca="1">_xll.BDH($C$578,"SALES_GROWTH","FY 2018","FY 2018","Currency=INR","Period=FY","BEST_FPERIOD_OVERRIDE=FY","FILING_STATUS=OR","EQY_CONSOLIDATED=Y","FA_ADJUSTED=GAAP","Sort=A","Dates=H","DateFormat=P","Fill=—","Direction=H","UseDPDF=Y")</f>
        <v>#NAME?</v>
      </c>
      <c r="U598" s="2" t="e">
        <f ca="1">_xll.BDH($C$578,"EBITDA_GROWTH","FY 2018","FY 2018","Currency=INR","Period=FY","BEST_FPERIOD_OVERRIDE=FY","FILING_STATUS=OR","EQY_CONSOLIDATED=Y","FA_ADJUSTED=GAAP","Sort=A","Dates=H","DateFormat=P","Fill=—","Direction=H","UseDPDF=Y")</f>
        <v>#NAME?</v>
      </c>
      <c r="V598" s="2" t="e">
        <f ca="1">_xll.BDH($C$578,"OPER_INC_GROWTH","FY 2018","FY 2018","Currency=INR","Period=FY","BEST_FPERIOD_OVERRIDE=FY","FILING_STATUS=OR","EQY_CONSOLIDATED=Y","FA_ADJUSTED=GAAP","Sort=A","Dates=H","DateFormat=P","Fill=—","Direction=H","UseDPDF=Y")</f>
        <v>#NAME?</v>
      </c>
      <c r="W598" s="2" t="e">
        <f ca="1">_xll.BDH($C$578,"EARN_FOR_COM_GROWTH","FY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598" s="2" t="e">
        <f ca="1">_xll.BDH($C$578,"DILUTED_EPS_AFT_XO_ITEMS_GROWTH","FY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598" s="2" t="e">
        <f ca="1">_xll.BDH($C$578,"DIVIDEND_PER_SHARE_1_YEAR_GROWTH","FY 2018","FY 2018","Currency=INR","Period=FY","BEST_FPERIOD_OVERRIDE=FY","FILING_STATUS=OR","EQY_CONSOLIDATED=Y","Sort=A","Dates=H","DateFormat=P","Fill=—","Direction=H","UseDPDF=Y")</f>
        <v>#NAME?</v>
      </c>
      <c r="Z598" s="2" t="e">
        <f ca="1">_xll.BDH($C$578,"ACCOUNTS_RECEIVABLE_GROWTH","FY 2018","FY 2018","Currency=INR","Period=FY","BEST_FPERIOD_OVERRIDE=FY","FILING_STATUS=OR","EQY_CONSOLIDATED=Y","Sort=A","Dates=H","DateFormat=P","Fill=—","Direction=H","UseDPDF=Y")</f>
        <v>#NAME?</v>
      </c>
      <c r="AA598" s="2" t="e">
        <f ca="1">_xll.BDH($C$578,"INVENTORY_GROWTH","FY 2018","FY 2018","Currency=INR","Period=FY","BEST_FPERIOD_OVERRIDE=FY","FILING_STATUS=OR","EQY_CONSOLIDATED=Y","Sort=A","Dates=H","DateFormat=P","Fill=—","Direction=H","UseDPDF=Y")</f>
        <v>#NAME?</v>
      </c>
      <c r="AB598" s="2" t="e">
        <f ca="1">_xll.BDH($C$578,"NET_FIXED_ASSETS_1_YEAR_GROWTH","FY 2018","FY 2018","Currency=INR","Period=FY","BEST_FPERIOD_OVERRIDE=FY","FILING_STATUS=OR","EQY_CONSOLIDATED=Y","Sort=A","Dates=H","DateFormat=P","Fill=—","Direction=H","UseDPDF=Y")</f>
        <v>#NAME?</v>
      </c>
      <c r="AC598" s="2" t="e">
        <f ca="1">_xll.BDH($C$578,"ASSET_GROWTH","FY 2018","FY 2018","Currency=INR","Period=FY","BEST_FPERIOD_OVERRIDE=FY","FILING_STATUS=OR","EQY_CONSOLIDATED=Y","Sort=A","Dates=H","DateFormat=P","Fill=—","Direction=H","UseDPDF=Y")</f>
        <v>#NAME?</v>
      </c>
      <c r="AD598" s="2" t="e">
        <f ca="1">_xll.BDH($C$578,"MODIFIED_WORK_CAP_GROWTH","FY 2018","FY 2018","Currency=INR","Period=FY","BEST_FPERIOD_OVERRIDE=FY","FILING_STATUS=OR","EQY_CONSOLIDATED=Y","Sort=A","Dates=H","DateFormat=P","Fill=—","Direction=H","UseDPDF=Y")</f>
        <v>#NAME?</v>
      </c>
      <c r="AE598" s="2" t="e">
        <f ca="1">_xll.BDH($C$578,"WORK_CAP_GROWTH","FY 2018","FY 2018","Currency=INR","Period=FY","BEST_FPERIOD_OVERRIDE=FY","FILING_STATUS=OR","EQY_CONSOLIDATED=Y","Sort=A","Dates=H","DateFormat=P","Fill=—","Direction=H","UseDPDF=Y")</f>
        <v>#NAME?</v>
      </c>
      <c r="AF598" s="2" t="e">
        <f ca="1">_xll.BDH($C$578,"ACCOUNTS_PAYABLE_GROWTH_1YR","FY 2018","FY 2018","Currency=INR","Period=FY","BEST_FPERIOD_OVERRIDE=FY","FILING_STATUS=OR","EQY_CONSOLIDATED=Y","Sort=A","Dates=H","DateFormat=P","Fill=—","Direction=H","UseDPDF=Y")</f>
        <v>#NAME?</v>
      </c>
      <c r="AG598" s="2" t="e">
        <f ca="1">_xll.BDH($C$578,"SHORT_TERM_DEBT_1_YEAR_GROWTH","FY 2018","FY 2018","Currency=INR","Period=FY","BEST_FPERIOD_OVERRIDE=FY","FILING_STATUS=OR","EQY_CONSOLIDATED=Y","Sort=A","Dates=H","DateFormat=P","Fill=—","Direction=H","UseDPDF=Y")</f>
        <v>#NAME?</v>
      </c>
      <c r="AH598" s="2" t="e">
        <f ca="1">_xll.BDH($C$578,"TOTAL_DEBT_1_YEAR_GROWTH","FY 2018","FY 2018","Currency=INR","Period=FY","BEST_FPERIOD_OVERRIDE=FY","FILING_STATUS=OR","EQY_CONSOLIDATED=Y","Sort=A","Dates=H","DateFormat=P","Fill=—","Direction=H","UseDPDF=Y")</f>
        <v>#NAME?</v>
      </c>
      <c r="AI598" s="2" t="e">
        <f ca="1">_xll.BDH($C$578,"TOTAL_EQUITY_1_YEAR_GROWTH","FY 2018","FY 2018","Currency=INR","Period=FY","BEST_FPERIOD_OVERRIDE=FY","FILING_STATUS=OR","EQY_CONSOLIDATED=Y","Sort=A","Dates=H","DateFormat=P","Fill=—","Direction=H","UseDPDF=Y")</f>
        <v>#NAME?</v>
      </c>
      <c r="AJ598" s="2" t="e">
        <f ca="1">_xll.BDH($C$578,"GROWTH_IN_CAP","FY 2018","FY 2018","Currency=INR","Period=FY","BEST_FPERIOD_OVERRIDE=FY","FILING_STATUS=OR","EQY_CONSOLIDATED=Y","Sort=A","Dates=H","DateFormat=P","Fill=—","Direction=H","UseDPDF=Y")</f>
        <v>#NAME?</v>
      </c>
      <c r="AK598" s="2" t="e">
        <f ca="1">_xll.BDH($C$578,"BVPS_GROWTH","FY 2018","FY 2018","Currency=INR","Period=FY","BEST_FPERIOD_OVERRIDE=FY","FILING_STATUS=OR","EQY_CONSOLIDATED=Y","Sort=A","Dates=H","DateFormat=P","Fill=—","Direction=H","UseDPDF=Y")</f>
        <v>#NAME?</v>
      </c>
      <c r="AL598" s="2" t="e">
        <f ca="1">_xll.BDH($C$578,"CASH_FLOW_GROWTH","FY 2018","FY 2018","Currency=INR","Period=FY","BEST_FPERIOD_OVERRIDE=FY","FILING_STATUS=OR","EQY_CONSOLIDATED=Y","Sort=A","Dates=H","DateFormat=P","Fill=—","Direction=H","UseDPDF=Y")</f>
        <v>#NAME?</v>
      </c>
      <c r="AM598" s="2" t="e">
        <f ca="1">_xll.BDH($C$578,"GEO_GROW_NET_SALES","FY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598" s="2" t="e">
        <f ca="1">_xll.BDH($C$578,"GEO_GROW_EBITDA","FY 2018","FY 2018","Currency=INR","Period=FY","BEST_FPERIOD_OVERRIDE=FY","FILING_STATUS=OR","EQY_CONSOLIDATED=Y","FA_ADJUSTED=GAAP","Sort=A","Dates=H","DateFormat=P","Fill=—","Direction=H","UseDPDF=Y")</f>
        <v>#NAME?</v>
      </c>
      <c r="AO598" s="2" t="e">
        <f ca="1">_xll.BDH($C$578,"GEO_GROW_OPER_INC","FY 2018","FY 2018","Currency=INR","Period=FY","BEST_FPERIOD_OVERRIDE=FY","FILING_STATUS=OR","EQY_CONSOLIDATED=Y","FA_ADJUSTED=GAAP","Sort=A","Dates=H","DateFormat=P","Fill=—","Direction=H","UseDPDF=Y")</f>
        <v>#NAME?</v>
      </c>
      <c r="AP598" s="2" t="e">
        <f ca="1">_xll.BDH($C$578,"NET_INCOME_TO_COMMON_5_YR_GROWTH","FY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598" s="2" t="e">
        <f ca="1">_xll.BDH($C$578,"5Y_GEO_GROWTH_DILUTED_EPS","FY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598" s="2" t="e">
        <f ca="1">_xll.BDH($C$578,"GEO_GROW_DVD_PER_SH","FY 2018","FY 2018","Currency=INR","Period=FY","BEST_FPERIOD_OVERRIDE=FY","FILING_STATUS=OR","EQY_CONSOLIDATED=Y","Sort=A","Dates=H","DateFormat=P","Fill=—","Direction=H","UseDPDF=Y")</f>
        <v>#NAME?</v>
      </c>
      <c r="AS598" s="2" t="e">
        <f ca="1">_xll.BDH($C$578,"ACCOUNTS_RECEIVABLE_5_YR_GROWTH","FY 2018","FY 2018","Currency=INR","Period=FY","BEST_FPERIOD_OVERRIDE=FY","FILING_STATUS=OR","EQY_CONSOLIDATED=Y","Sort=A","Dates=H","DateFormat=P","Fill=—","Direction=H","UseDPDF=Y")</f>
        <v>#NAME?</v>
      </c>
      <c r="AT598" s="2" t="e">
        <f ca="1">_xll.BDH($C$578,"INVENTORY_5_YEAR_GROWTH","FY 2018","FY 2018","Currency=INR","Period=FY","BEST_FPERIOD_OVERRIDE=FY","FILING_STATUS=OR","EQY_CONSOLIDATED=Y","Sort=A","Dates=H","DateFormat=P","Fill=—","Direction=H","UseDPDF=Y")</f>
        <v>#NAME?</v>
      </c>
      <c r="AU598" s="2" t="e">
        <f ca="1">_xll.BDH($C$578,"NET_FIXED_ASSETS_5_YEAR_GROWTH","FY 2018","FY 2018","Currency=INR","Period=FY","BEST_FPERIOD_OVERRIDE=FY","FILING_STATUS=OR","EQY_CONSOLIDATED=Y","Sort=A","Dates=H","DateFormat=P","Fill=—","Direction=H","UseDPDF=Y")</f>
        <v>#NAME?</v>
      </c>
      <c r="AV598" s="2" t="e">
        <f ca="1">_xll.BDH($C$578,"GEO_GROW_TOT_ASSET","FY 2018","FY 2018","Currency=INR","Period=FY","BEST_FPERIOD_OVERRIDE=FY","FILING_STATUS=OR","EQY_CONSOLIDATED=Y","Sort=A","Dates=H","DateFormat=P","Fill=—","Direction=H","UseDPDF=Y")</f>
        <v>#NAME?</v>
      </c>
      <c r="AW598" s="2" t="e">
        <f ca="1">_xll.BDH($C$578,"MODIFIED_WORKING_CPTL_5YR_GRWTH","FY 2018","FY 2018","Currency=INR","Period=FY","BEST_FPERIOD_OVERRIDE=FY","FILING_STATUS=OR","EQY_CONSOLIDATED=Y","Sort=A","Dates=H","DateFormat=P","Fill=—","Direction=H","UseDPDF=Y")</f>
        <v>#NAME?</v>
      </c>
      <c r="AX598" s="2" t="e">
        <f ca="1">_xll.BDH($C$578,"WORKING_CAPITAL_5_YEAR_GROWTH","FY 2018","FY 2018","Currency=INR","Period=FY","BEST_FPERIOD_OVERRIDE=FY","FILING_STATUS=OR","EQY_CONSOLIDATED=Y","Sort=A","Dates=H","DateFormat=P","Fill=—","Direction=H","UseDPDF=Y")</f>
        <v>#NAME?</v>
      </c>
      <c r="AY598" s="2" t="e">
        <f ca="1">_xll.BDH($C$578,"ACCOUNTS_PAYABLE_5_YEAR_GROWTH","FY 2018","FY 2018","Currency=INR","Period=FY","BEST_FPERIOD_OVERRIDE=FY","FILING_STATUS=OR","EQY_CONSOLIDATED=Y","Sort=A","Dates=H","DateFormat=P","Fill=—","Direction=H","UseDPDF=Y")</f>
        <v>#NAME?</v>
      </c>
      <c r="AZ598" s="2" t="e">
        <f ca="1">_xll.BDH($C$578,"SHORT_TERM_DEBT_5_YEAR_GROWTH","FY 2018","FY 2018","Currency=INR","Period=FY","BEST_FPERIOD_OVERRIDE=FY","FILING_STATUS=OR","EQY_CONSOLIDATED=Y","Sort=A","Dates=H","DateFormat=P","Fill=—","Direction=H","UseDPDF=Y")</f>
        <v>#NAME?</v>
      </c>
      <c r="BA598" s="2" t="e">
        <f ca="1">_xll.BDH($C$578,"TOTAL_DEBT_5_YEAR_GROWTH","FY 2018","FY 2018","Currency=INR","Period=FY","BEST_FPERIOD_OVERRIDE=FY","FILING_STATUS=OR","EQY_CONSOLIDATED=Y","Sort=A","Dates=H","DateFormat=P","Fill=—","Direction=H","UseDPDF=Y")</f>
        <v>#NAME?</v>
      </c>
      <c r="BB598" s="2" t="e">
        <f ca="1">_xll.BDH($C$578,"GEO_GROW_TOT_SHRHLDR_EQY","FY 2018","FY 2018","Currency=INR","Period=FY","BEST_FPERIOD_OVERRIDE=FY","FILING_STATUS=OR","EQY_CONSOLIDATED=Y","Sort=A","Dates=H","DateFormat=P","Fill=—","Direction=H","UseDPDF=Y")</f>
        <v>#NAME?</v>
      </c>
      <c r="BC598" s="2" t="e">
        <f ca="1">_xll.BDH($C$578,"TOTAL_CAPITAL_5_YEAR_GROWTH","FY 2018","FY 2018","Currency=INR","Period=FY","BEST_FPERIOD_OVERRIDE=FY","FILING_STATUS=OR","EQY_CONSOLIDATED=Y","Sort=A","Dates=H","DateFormat=P","Fill=—","Direction=H","UseDPDF=Y")</f>
        <v>#NAME?</v>
      </c>
      <c r="BD598" s="2" t="e">
        <f ca="1">_xll.BDH($C$578,"GEO_GROW_BOOK_VAL","FY 2018","FY 2018","Currency=INR","Period=FY","BEST_FPERIOD_OVERRIDE=FY","FILING_STATUS=OR","EQY_CONSOLIDATED=Y","Sort=A","Dates=H","DateFormat=P","Fill=—","Direction=H","UseDPDF=Y")</f>
        <v>#NAME?</v>
      </c>
      <c r="BE598" s="2" t="e">
        <f ca="1">_xll.BDH($C$578,"GEO_GROW_CASH_OPER_ACT","FY 2018","FY 2018","Currency=INR","Period=FY","BEST_FPERIOD_OVERRIDE=FY","FILING_STATUS=OR","EQY_CONSOLIDATED=Y","Sort=A","Dates=H","DateFormat=P","Fill=—","Direction=H","UseDPDF=Y")</f>
        <v>#NAME?</v>
      </c>
      <c r="BF598" s="2" t="e">
        <f ca="1">_xll.BDH($C$578,"REVENUE_SEQUENTIAL_GROWTH","FY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598" s="2" t="e">
        <f ca="1">_xll.BDH($C$578,"EBITDA_SEQUENTIAL_GROWTH","FY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598" s="2" t="e">
        <f ca="1">_xll.BDH($C$578,"OPERATING_INCOME_SEQ_GROWTH","FY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598" s="2" t="e">
        <f ca="1">_xll.BDH($C$578,"NET_INCOME_TO_COMMON_SEQ_GROWTH","FY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598" s="2" t="e">
        <f ca="1">_xll.BDH($C$578,"EPS_DILUTED_SEQUENTIAL_GROWTH","FY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598" s="2" t="e">
        <f ca="1">_xll.BDH($C$578,"DPS_SEQUENTIAL_GROWTH","FY 2018","FY 2018","Currency=INR","Period=FY","BEST_FPERIOD_OVERRIDE=FY","FILING_STATUS=OR","EQY_CONSOLIDATED=Y","Sort=A","Dates=H","DateFormat=P","Fill=—","Direction=H","UseDPDF=Y")</f>
        <v>#NAME?</v>
      </c>
      <c r="BL598" s="2" t="e">
        <f ca="1">_xll.BDH($C$578,"ACCOUNTS_RECEIVABLE_SEQ_GROWTH","FY 2018","FY 2018","Currency=INR","Period=FY","BEST_FPERIOD_OVERRIDE=FY","FILING_STATUS=OR","EQY_CONSOLIDATED=Y","Sort=A","Dates=H","DateFormat=P","Fill=—","Direction=H","UseDPDF=Y")</f>
        <v>#NAME?</v>
      </c>
      <c r="BM598" s="2" t="e">
        <f ca="1">_xll.BDH($C$578,"INVENTORY_SEQUENTIAL_GROWTH","FY 2018","FY 2018","Currency=INR","Period=FY","BEST_FPERIOD_OVERRIDE=FY","FILING_STATUS=OR","EQY_CONSOLIDATED=Y","Sort=A","Dates=H","DateFormat=P","Fill=—","Direction=H","UseDPDF=Y")</f>
        <v>#NAME?</v>
      </c>
      <c r="BN598" s="2" t="e">
        <f ca="1">_xll.BDH($C$578,"FIXED_ASSETS_SEQUENTIAL_GROWTH","FY 2018","FY 2018","Currency=INR","Period=FY","BEST_FPERIOD_OVERRIDE=FY","FILING_STATUS=OR","EQY_CONSOLIDATED=Y","Sort=A","Dates=H","DateFormat=P","Fill=—","Direction=H","UseDPDF=Y")</f>
        <v>#NAME?</v>
      </c>
      <c r="BO598" s="2" t="e">
        <f ca="1">_xll.BDH($C$578,"TOTAL_ASSETS_SEQUENTIAL_GROWTH","FY 2018","FY 2018","Currency=INR","Period=FY","BEST_FPERIOD_OVERRIDE=FY","FILING_STATUS=OR","EQY_CONSOLIDATED=Y","Sort=A","Dates=H","DateFormat=P","Fill=—","Direction=H","UseDPDF=Y")</f>
        <v>#NAME?</v>
      </c>
      <c r="BP598" s="2" t="e">
        <f ca="1">_xll.BDH($C$578,"MODIFIED_WORKING_CPTL_SEQ_GRWTH","FY 2018","FY 2018","Currency=INR","Period=FY","BEST_FPERIOD_OVERRIDE=FY","FILING_STATUS=OR","EQY_CONSOLIDATED=Y","Sort=A","Dates=H","DateFormat=P","Fill=—","Direction=H","UseDPDF=Y")</f>
        <v>#NAME?</v>
      </c>
      <c r="BQ598" s="2" t="e">
        <f ca="1">_xll.BDH($C$578,"WORKING_CAPITAL_SEQ_GROWTH","FY 2018","FY 2018","Currency=INR","Period=FY","BEST_FPERIOD_OVERRIDE=FY","FILING_STATUS=OR","EQY_CONSOLIDATED=Y","Sort=A","Dates=H","DateFormat=P","Fill=—","Direction=H","UseDPDF=Y")</f>
        <v>#NAME?</v>
      </c>
      <c r="BR598" s="2" t="e">
        <f ca="1">_xll.BDH($C$578,"ACCOUNTS_PAYABLE_SEQ_GROWTH","FY 2018","FY 2018","Currency=INR","Period=FY","BEST_FPERIOD_OVERRIDE=FY","FILING_STATUS=OR","EQY_CONSOLIDATED=Y","Sort=A","Dates=H","DateFormat=P","Fill=—","Direction=H","UseDPDF=Y")</f>
        <v>#NAME?</v>
      </c>
      <c r="BS598" s="2" t="e">
        <f ca="1">_xll.BDH($C$578,"ST_DEBT_SEQUENTIAL_GROWTH","FY 2018","FY 2018","Currency=INR","Period=FY","BEST_FPERIOD_OVERRIDE=FY","FILING_STATUS=OR","EQY_CONSOLIDATED=Y","Sort=A","Dates=H","DateFormat=P","Fill=—","Direction=H","UseDPDF=Y")</f>
        <v>#NAME?</v>
      </c>
      <c r="BT598" s="2" t="e">
        <f ca="1">_xll.BDH($C$578,"TOTAL_DEBT_SEQUENTIAL_GROWTH","FY 2018","FY 2018","Currency=INR","Period=FY","BEST_FPERIOD_OVERRIDE=FY","FILING_STATUS=OR","EQY_CONSOLIDATED=Y","Sort=A","Dates=H","DateFormat=P","Fill=—","Direction=H","UseDPDF=Y")</f>
        <v>#NAME?</v>
      </c>
      <c r="BU598" s="2" t="e">
        <f ca="1">_xll.BDH($C$578,"TOTAL_EQUITY_SEQUENTIAL_GROWTH","FY 2018","FY 2018","Currency=INR","Period=FY","BEST_FPERIOD_OVERRIDE=FY","FILING_STATUS=OR","EQY_CONSOLIDATED=Y","Sort=A","Dates=H","DateFormat=P","Fill=—","Direction=H","UseDPDF=Y")</f>
        <v>#NAME?</v>
      </c>
      <c r="BV598" s="2" t="e">
        <f ca="1">_xll.BDH($C$578,"TOTAL_CAPITAL_SEQUENTIAL_GROWTH","FY 2018","FY 2018","Currency=INR","Period=FY","BEST_FPERIOD_OVERRIDE=FY","FILING_STATUS=OR","EQY_CONSOLIDATED=Y","Sort=A","Dates=H","DateFormat=P","Fill=—","Direction=H","UseDPDF=Y")</f>
        <v>#NAME?</v>
      </c>
      <c r="BW598" s="2" t="e">
        <f ca="1">_xll.BDH($C$578,"BPS_SEQUENTIAL_GROWTH","FY 2018","FY 2018","Currency=INR","Period=FY","BEST_FPERIOD_OVERRIDE=FY","FILING_STATUS=OR","EQY_CONSOLIDATED=Y","Sort=A","Dates=H","DateFormat=P","Fill=—","Direction=H","UseDPDF=Y")</f>
        <v>#NAME?</v>
      </c>
      <c r="BX598" s="2" t="e">
        <f ca="1">_xll.BDH($C$578,"CFO_SEQUENTIAL_GROWTH","FY 2018","FY 2018","Currency=INR","Period=FY","BEST_FPERIOD_OVERRIDE=FY","FILING_STATUS=OR","EQY_CONSOLIDATED=Y","Sort=A","Dates=H","DateFormat=P","Fill=—","Direction=H","UseDPDF=Y")</f>
        <v>#NAME?</v>
      </c>
      <c r="BY598" s="3" t="e">
        <f ca="1">_xll.BDH($C$578,"SHORT_AND_LONG_TERM_DEBT","FY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598" s="3" t="e">
        <f ca="1">_xll.BDH($C$578,"BS_ST_BORROW","FY 2018","FY 2018","Currency=INR","Period=FY","BEST_FPERIOD_OVERRIDE=FY","FILING_STATUS=OR","EQY_CONSOLIDATED=Y","SCALING_FORMAT=MLN","Sort=A","Dates=H","DateFormat=P","Fill=—","Direction=H","UseDPDF=Y")</f>
        <v>#NAME?</v>
      </c>
      <c r="CA598" s="3" t="e">
        <f ca="1">_xll.BDH($C$578,"BS_LT_BORROW","FY 2018","FY 2018","Currency=INR","Period=FY","BEST_FPERIOD_OVERRIDE=FY","FILING_STATUS=OR","EQY_CONSOLIDATED=Y","SCALING_FORMAT=MLN","Sort=A","Dates=H","DateFormat=P","Fill=—","Direction=H","UseDPDF=Y")</f>
        <v>#NAME?</v>
      </c>
      <c r="CB598" s="2" t="e">
        <f ca="1">_xll.BDH($C$578,"TOT_DEBT_TO_EBITDA","FY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598" s="2" t="e">
        <f ca="1">_xll.BDH($C$578,"NET_DEBT_TO_EBITDA","FY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598" s="2" t="e">
        <f ca="1">_xll.BDH($C$578,"TOTAL_DEBT_TO_EBIT","FY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598" s="2" t="e">
        <f ca="1">_xll.BDH($C$578,"NET_DEBT_TO_EBIT","FY 2018","FY 2018","Currency=INR","Period=FY","BEST_FPERIOD_OVERRIDE=FY","FILING_STATUS=OR","EQY_CONSOLIDATED=Y","FA_ADJUSTED=GAAP","Sort=A","Dates=H","DateFormat=P","Fill=—","Direction=H","UseDPDF=Y")</f>
        <v>#NAME?</v>
      </c>
      <c r="CF598" s="2" t="e">
        <f ca="1">_xll.BDH($C$578,"EBITDA_TO_INTEREST_EXPN","FY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598" s="2" t="e">
        <f ca="1">_xll.BDH($C$578,"COM_EQY_TO_TOT_ASSET","FY 2018","FY 2018","Currency=INR","Period=FY","BEST_FPERIOD_OVERRIDE=FY","FILING_STATUS=OR","EQY_CONSOLIDATED=Y","Sort=A","Dates=H","DateFormat=P","Fill=—","Direction=H","UseDPDF=Y")</f>
        <v>#NAME?</v>
      </c>
      <c r="CH598" s="2" t="e">
        <f ca="1">_xll.BDH($C$578,"LT_DEBT_TO_TOT_EQY","FY 2018","FY 2018","Currency=INR","Period=FY","BEST_FPERIOD_OVERRIDE=FY","FILING_STATUS=OR","EQY_CONSOLIDATED=Y","Sort=A","Dates=H","DateFormat=P","Fill=—","Direction=H","UseDPDF=Y")</f>
        <v>#NAME?</v>
      </c>
      <c r="CI598" s="2" t="e">
        <f ca="1">_xll.BDH($C$578,"LT_DEBT_TO_TOT_CAP","FY 2018","FY 2018","Currency=INR","Period=FY","BEST_FPERIOD_OVERRIDE=FY","FILING_STATUS=OR","EQY_CONSOLIDATED=Y","Sort=A","Dates=H","DateFormat=P","Fill=—","Direction=H","UseDPDF=Y")</f>
        <v>#NAME?</v>
      </c>
      <c r="CJ598" s="2" t="e">
        <f ca="1">_xll.BDH($C$578,"LT_DEBT_TO_TOT_ASSET","FY 2018","FY 2018","Currency=INR","Period=FY","BEST_FPERIOD_OVERRIDE=FY","FILING_STATUS=OR","EQY_CONSOLIDATED=Y","Sort=A","Dates=H","DateFormat=P","Fill=—","Direction=H","UseDPDF=Y")</f>
        <v>#NAME?</v>
      </c>
      <c r="CK598" s="2" t="e">
        <f ca="1">_xll.BDH($C$578,"TOT_DEBT_TO_TOT_EQY","FY 2018","FY 2018","Currency=INR","Period=FY","BEST_FPERIOD_OVERRIDE=FY","FILING_STATUS=OR","EQY_CONSOLIDATED=Y","Sort=A","Dates=H","DateFormat=P","Fill=—","Direction=H","UseDPDF=Y")</f>
        <v>#NAME?</v>
      </c>
      <c r="CL598" s="2" t="e">
        <f ca="1">_xll.BDH($C$578,"TOT_DEBT_TO_TOT_CAP","FY 2018","FY 2018","Currency=INR","Period=FY","BEST_FPERIOD_OVERRIDE=FY","FILING_STATUS=OR","EQY_CONSOLIDATED=Y","Sort=A","Dates=H","DateFormat=P","Fill=—","Direction=H","UseDPDF=Y")</f>
        <v>#NAME?</v>
      </c>
      <c r="CM598" s="2" t="e">
        <f ca="1">_xll.BDH($C$578,"TOT_DEBT_TO_TOT_ASSET","FY 2018","FY 2018","Currency=INR","Period=FY","BEST_FPERIOD_OVERRIDE=FY","FILING_STATUS=OR","EQY_CONSOLIDATED=Y","Sort=A","Dates=H","DateFormat=P","Fill=—","Direction=H","UseDPDF=Y")</f>
        <v>#NAME?</v>
      </c>
      <c r="CN598" s="2" t="e">
        <f ca="1">_xll.BDH($C$578,"NET_DEBT_TO_SHRHLDR_EQTY","FY 2018","FY 2018","Currency=INR","Period=FY","BEST_FPERIOD_OVERRIDE=FY","FILING_STATUS=OR","EQY_CONSOLIDATED=Y","Sort=A","Dates=H","DateFormat=P","Fill=—","Direction=H","UseDPDF=Y")</f>
        <v>#NAME?</v>
      </c>
      <c r="CO598" s="2" t="e">
        <f ca="1">_xll.BDH($C$578,"NET_DEBT_%_CAPITAL","FY 2018","FY 2018","Currency=INR","Period=FY","BEST_FPERIOD_OVERRIDE=FY","FILING_STATUS=OR","EQY_CONSOLIDATED=Y","Sort=A","Dates=H","DateFormat=P","Fill=—","Direction=H","UseDPDF=Y")</f>
        <v>#NAME?</v>
      </c>
      <c r="CP598" s="3" t="e">
        <f ca="1">_xll.BDH($C$578,"EBITDA","FY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598" s="3" t="e">
        <f ca="1">_xll.BDH($C$578,"EBITDA_AFTER_CAPEX","FY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598" s="3" t="e">
        <f ca="1">_xll.BDH($C$578,"IS_OPER_INC","FY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598" s="2" t="e">
        <f ca="1">_xll.BDH($C$578,"CASH_RATIO","FY 2018","FY 2018","Currency=INR","Period=FY","BEST_FPERIOD_OVERRIDE=FY","FILING_STATUS=OR","EQY_CONSOLIDATED=Y","Sort=A","Dates=H","DateFormat=P","Fill=—","Direction=H","UseDPDF=Y")</f>
        <v>#NAME?</v>
      </c>
      <c r="CT598" s="2" t="e">
        <f ca="1">_xll.BDH($C$578,"CUR_RATIO","FY 2018","FY 2018","Currency=INR","Period=FY","BEST_FPERIOD_OVERRIDE=FY","FILING_STATUS=OR","EQY_CONSOLIDATED=Y","Sort=A","Dates=H","DateFormat=P","Fill=—","Direction=H","UseDPDF=Y")</f>
        <v>#NAME?</v>
      </c>
      <c r="CU598" s="2" t="e">
        <f ca="1">_xll.BDH($C$578,"QUICK_RATIO","FY 2018","FY 2018","Currency=INR","Period=FY","BEST_FPERIOD_OVERRIDE=FY","FILING_STATUS=OR","EQY_CONSOLIDATED=Y","Sort=A","Dates=H","DateFormat=P","Fill=—","Direction=H","UseDPDF=Y")</f>
        <v>#NAME?</v>
      </c>
      <c r="CV598" s="2" t="e">
        <f ca="1">_xll.BDH($C$578,"ALTMAN_Z_SCORE","FY 2018","FY 2018","Currency=INR","Period=FY","BEST_FPERIOD_OVERRIDE=FY","FILING_STATUS=OR","EQY_CONSOLIDATED=Y","Sort=A","Dates=H","DateFormat=P","Fill=—","Direction=H","UseDPDF=Y")</f>
        <v>#NAME?</v>
      </c>
      <c r="CW598" s="4" t="e">
        <f ca="1">_xll.BDH($C$578,"ACCT_RCV_TURN","FY 2018","FY 2018","Currency=INR","Period=FY","BEST_FPERIOD_OVERRIDE=FY","FILING_STATUS=OR","EQY_CONSOLIDATED=Y","FA_ADJUSTED=GAAP","Sort=A","Dates=H","DateFormat=P","Fill=—","Direction=H","UseDPDF=Y")</f>
        <v>#NAME?</v>
      </c>
      <c r="CX598" s="2" t="e">
        <f ca="1">_xll.BDH($C$578,"ACCT_RCV_DAYS","FY 2018","FY 2018","Currency=INR","Period=FY","BEST_FPERIOD_OVERRIDE=FY","FILING_STATUS=OR","EQY_CONSOLIDATED=Y","FA_ADJUSTED=GAAP","Sort=A","Dates=H","DateFormat=P","Fill=—","Direction=H","UseDPDF=Y")</f>
        <v>#NAME?</v>
      </c>
      <c r="CY598" s="4" t="e">
        <f ca="1">_xll.BDH($C$578,"INVENT_TURN","FY 2018","FY 2018","Currency=INR","Period=FY","BEST_FPERIOD_OVERRIDE=FY","FILING_STATUS=OR","EQY_CONSOLIDATED=Y","FA_ADJUSTED=GAAP","Sort=A","Dates=H","DateFormat=P","Fill=—","Direction=H","UseDPDF=Y")</f>
        <v>#NAME?</v>
      </c>
      <c r="CZ598" s="2" t="e">
        <f ca="1">_xll.BDH($C$578,"INVENT_DAYS","FY 2018","FY 2018","Currency=INR","Period=FY","BEST_FPERIOD_OVERRIDE=FY","FILING_STATUS=OR","EQY_CONSOLIDATED=Y","FA_ADJUSTED=GAAP","Sort=A","Dates=H","DateFormat=P","Fill=—","Direction=H","UseDPDF=Y")</f>
        <v>#NAME?</v>
      </c>
      <c r="DA598" s="4" t="e">
        <f ca="1">_xll.BDH($C$578,"ACCOUNTS_PAYABLE_TURNOVER","FY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598" s="2" t="e">
        <f ca="1">_xll.BDH($C$578,"ACCOUNTS_PAYABLE_TURNOVER_DAYS","FY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598" s="4" t="e">
        <f ca="1">_xll.BDH($C$578,"CASH_CONVERSION_CYCLE","FY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598" s="4" t="e">
        <f ca="1">_xll.BDH($C$578,"INV_TO_CASH_DAYS","FY 2018","FY 2018","Currency=INR","Period=FY","BEST_FPERIOD_OVERRIDE=FY","FILING_STATUS=OR","EQY_CONSOLIDATED=Y","FA_ADJUSTED=GAAP","Sort=A","Dates=H","DateFormat=P","Fill=—","Direction=H","UseDPDF=Y")</f>
        <v>#NAME?</v>
      </c>
      <c r="DE598" s="5" t="e">
        <f ca="1">_xll.BDH($C$578,"BS_INVENTORIES","FY 2018","FY 2018","Currency=INR","Period=FY","BEST_FPERIOD_OVERRIDE=FY","FILING_STATUS=OR","EQY_CONSOLIDATED=Y","SCALING_FORMAT=MLN","Sort=A","Dates=H","DateFormat=P","Fill=—","Direction=H","UseDPDF=Y")</f>
        <v>#NAME?</v>
      </c>
      <c r="DF598" s="3" t="e">
        <f ca="1">_xll.BDH($C$578,"INVTRY_RAW_MATERIALS","FY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598" s="3" t="e">
        <f ca="1">_xll.BDH($C$578,"INVTRY_IN_PROGRESS","FY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598" s="3" t="e">
        <f ca="1">_xll.BDH($C$578,"INVTRY_FINISHED_GOODS","FY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598" s="3" t="e">
        <f ca="1">_xll.BDH($C$578,"BS_OTHER_INV","FY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599" spans="1:113" x14ac:dyDescent="0.3">
      <c r="A599" s="6"/>
      <c r="B599" s="6"/>
      <c r="C599" s="6"/>
      <c r="D599" s="6"/>
      <c r="E599" t="s">
        <v>78</v>
      </c>
      <c r="F599" t="e">
        <f ca="1">_xll.BDH($C$578,"RETURN_COM_EQY","FQ1 2018","FQ1 2018","Currency=INR","Period=FQ","BEST_FPERIOD_OVERRIDE=FQ","FILING_STATUS=OR","EQY_CONSOLIDATED=Y","FA_ADJUSTED=GAAP","Sort=A","Dates=H","DateFormat=P","Fill=—","Direction=H","UseDPDF=Y")</f>
        <v>#NAME?</v>
      </c>
      <c r="G599" t="e">
        <f ca="1">_xll.BDH($C$578,"RETURN_ON_ASSET","FQ1 2018","FQ1 2018","Currency=INR","Period=FQ","BEST_FPERIOD_OVERRIDE=FQ","FILING_STATUS=OR","EQY_CONSOLIDATED=Y","FA_ADJUSTED=GAAP","Sort=A","Dates=H","DateFormat=P","Fill=—","Direction=H","UseDPDF=Y")</f>
        <v>#NAME?</v>
      </c>
      <c r="H599" t="e">
        <f ca="1">_xll.BDH($C$578,"RETURN_ON_CAP","FQ1 2018","FQ1 2018","Currency=INR","Period=FQ","BEST_FPERIOD_OVERRIDE=FQ","FILING_STATUS=OR","EQY_CONSOLIDATED=Y","FA_ADJUSTED=GAAP","Sort=A","Dates=H","DateFormat=P","Fill=—","Direction=H","UseDPDF=Y")</f>
        <v>#NAME?</v>
      </c>
      <c r="I599" t="e">
        <f ca="1">_xll.BDH($C$578,"RETURN_ON_INV_CAPITAL","FQ1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599" t="e">
        <f ca="1">_xll.BDH($C$578,"EBITDA_TO_REVENUE","FQ1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599" t="e">
        <f ca="1">_xll.BDH($C$578,"OPER_MARGIN","FQ1 2018","FQ1 2018","Currency=INR","Period=FQ","BEST_FPERIOD_OVERRIDE=FQ","FILING_STATUS=OR","EQY_CONSOLIDATED=Y","FA_ADJUSTED=GAAP","Sort=A","Dates=H","DateFormat=P","Fill=—","Direction=H","UseDPDF=Y")</f>
        <v>#NAME?</v>
      </c>
      <c r="L599" t="e">
        <f ca="1">_xll.BDH($C$578,"INCREMENTAL_OPERATING_MARGIN","FQ1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599" t="e">
        <f ca="1">_xll.BDH($C$578,"PRETAX_INC_TO_NET_SALES","FQ1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599" t="e">
        <f ca="1">_xll.BDH($C$578,"INC_BEF_XO_ITEMS_TO_NET_SALES","FQ1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599" t="e">
        <f ca="1">_xll.BDH($C$578,"PROF_MARGIN","FQ1 2018","FQ1 2018","Currency=INR","Period=FQ","BEST_FPERIOD_OVERRIDE=FQ","FILING_STATUS=OR","EQY_CONSOLIDATED=Y","FA_ADJUSTED=GAAP","Sort=A","Dates=H","DateFormat=P","Fill=—","Direction=H","UseDPDF=Y")</f>
        <v>#NAME?</v>
      </c>
      <c r="P599" t="e">
        <f ca="1">_xll.BDH($C$578,"NET_INCOME_TO_COMMON_MARGIN","FQ1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599" t="e">
        <f ca="1">_xll.BDH($C$578,"EFF_TAX_RATE","FQ1 2018","FQ1 2018","Currency=INR","Period=FQ","BEST_FPERIOD_OVERRIDE=FQ","FILING_STATUS=OR","EQY_CONSOLIDATED=Y","FA_ADJUSTED=GAAP","Sort=A","Dates=H","DateFormat=P","Fill=—","Direction=H","UseDPDF=Y")</f>
        <v>#NAME?</v>
      </c>
      <c r="R599" t="e">
        <f ca="1">_xll.BDH($C$578,"DVD_PAYOUT_RATIO","FQ1 2018","FQ1 2018","Currency=INR","Period=FQ","BEST_FPERIOD_OVERRIDE=FQ","FILING_STATUS=OR","EQY_CONSOLIDATED=Y","FA_ADJUSTED=GAAP","Sort=A","Dates=H","DateFormat=P","Fill=—","Direction=H","UseDPDF=Y")</f>
        <v>#NAME?</v>
      </c>
      <c r="S599" t="e">
        <f ca="1">_xll.BDH($C$578,"SUSTAIN_GROWTH_RT","FQ1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599" s="2" t="e">
        <f ca="1">_xll.BDH($C$578,"SALES_GROWTH","FQ1 2018","FQ1 2018","Currency=INR","Period=FQ","BEST_FPERIOD_OVERRIDE=FQ","FILING_STATUS=OR","EQY_CONSOLIDATED=Y","FA_ADJUSTED=GAAP","Sort=A","Dates=H","DateFormat=P","Fill=—","Direction=H","UseDPDF=Y")</f>
        <v>#NAME?</v>
      </c>
      <c r="U599" s="2" t="e">
        <f ca="1">_xll.BDH($C$578,"EBITDA_GROWTH","FQ1 2018","FQ1 2018","Currency=INR","Period=FQ","BEST_FPERIOD_OVERRIDE=FQ","FILING_STATUS=OR","EQY_CONSOLIDATED=Y","FA_ADJUSTED=GAAP","Sort=A","Dates=H","DateFormat=P","Fill=—","Direction=H","UseDPDF=Y")</f>
        <v>#NAME?</v>
      </c>
      <c r="V599" s="2" t="e">
        <f ca="1">_xll.BDH($C$578,"OPER_INC_GROWTH","FQ1 2018","FQ1 2018","Currency=INR","Period=FQ","BEST_FPERIOD_OVERRIDE=FQ","FILING_STATUS=OR","EQY_CONSOLIDATED=Y","FA_ADJUSTED=GAAP","Sort=A","Dates=H","DateFormat=P","Fill=—","Direction=H","UseDPDF=Y")</f>
        <v>#NAME?</v>
      </c>
      <c r="W599" s="2" t="e">
        <f ca="1">_xll.BDH($C$578,"EARN_FOR_COM_GROWTH","FQ1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599" s="2" t="e">
        <f ca="1">_xll.BDH($C$578,"DILUTED_EPS_AFT_XO_ITEMS_GROWTH","FQ1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599" s="2" t="e">
        <f ca="1">_xll.BDH($C$578,"DIVIDEND_PER_SHARE_1_YEAR_GROWTH","FQ1 2018","FQ1 2018","Currency=INR","Period=FQ","BEST_FPERIOD_OVERRIDE=FQ","FILING_STATUS=OR","EQY_CONSOLIDATED=Y","Sort=A","Dates=H","DateFormat=P","Fill=—","Direction=H","UseDPDF=Y")</f>
        <v>#NAME?</v>
      </c>
      <c r="Z599" s="2" t="e">
        <f ca="1">_xll.BDH($C$578,"ACCOUNTS_RECEIVABLE_GROWTH","FQ1 2018","FQ1 2018","Currency=INR","Period=FQ","BEST_FPERIOD_OVERRIDE=FQ","FILING_STATUS=OR","EQY_CONSOLIDATED=Y","Sort=A","Dates=H","DateFormat=P","Fill=—","Direction=H","UseDPDF=Y")</f>
        <v>#NAME?</v>
      </c>
      <c r="AA599" s="2" t="e">
        <f ca="1">_xll.BDH($C$578,"INVENTORY_GROWTH","FQ1 2018","FQ1 2018","Currency=INR","Period=FQ","BEST_FPERIOD_OVERRIDE=FQ","FILING_STATUS=OR","EQY_CONSOLIDATED=Y","Sort=A","Dates=H","DateFormat=P","Fill=—","Direction=H","UseDPDF=Y")</f>
        <v>#NAME?</v>
      </c>
      <c r="AB599" s="2" t="e">
        <f ca="1">_xll.BDH($C$578,"NET_FIXED_ASSETS_1_YEAR_GROWTH","FQ1 2018","FQ1 2018","Currency=INR","Period=FQ","BEST_FPERIOD_OVERRIDE=FQ","FILING_STATUS=OR","EQY_CONSOLIDATED=Y","Sort=A","Dates=H","DateFormat=P","Fill=—","Direction=H","UseDPDF=Y")</f>
        <v>#NAME?</v>
      </c>
      <c r="AC599" s="2" t="e">
        <f ca="1">_xll.BDH($C$578,"ASSET_GROWTH","FQ1 2018","FQ1 2018","Currency=INR","Period=FQ","BEST_FPERIOD_OVERRIDE=FQ","FILING_STATUS=OR","EQY_CONSOLIDATED=Y","Sort=A","Dates=H","DateFormat=P","Fill=—","Direction=H","UseDPDF=Y")</f>
        <v>#NAME?</v>
      </c>
      <c r="AD599" s="2" t="e">
        <f ca="1">_xll.BDH($C$578,"MODIFIED_WORK_CAP_GROWTH","FQ1 2018","FQ1 2018","Currency=INR","Period=FQ","BEST_FPERIOD_OVERRIDE=FQ","FILING_STATUS=OR","EQY_CONSOLIDATED=Y","Sort=A","Dates=H","DateFormat=P","Fill=—","Direction=H","UseDPDF=Y")</f>
        <v>#NAME?</v>
      </c>
      <c r="AE599" s="2" t="e">
        <f ca="1">_xll.BDH($C$578,"WORK_CAP_GROWTH","FQ1 2018","FQ1 2018","Currency=INR","Period=FQ","BEST_FPERIOD_OVERRIDE=FQ","FILING_STATUS=OR","EQY_CONSOLIDATED=Y","Sort=A","Dates=H","DateFormat=P","Fill=—","Direction=H","UseDPDF=Y")</f>
        <v>#NAME?</v>
      </c>
      <c r="AF599" s="2" t="e">
        <f ca="1">_xll.BDH($C$578,"ACCOUNTS_PAYABLE_GROWTH_1YR","FQ1 2018","FQ1 2018","Currency=INR","Period=FQ","BEST_FPERIOD_OVERRIDE=FQ","FILING_STATUS=OR","EQY_CONSOLIDATED=Y","Sort=A","Dates=H","DateFormat=P","Fill=—","Direction=H","UseDPDF=Y")</f>
        <v>#NAME?</v>
      </c>
      <c r="AG599" s="2" t="e">
        <f ca="1">_xll.BDH($C$578,"SHORT_TERM_DEBT_1_YEAR_GROWTH","FQ1 2018","FQ1 2018","Currency=INR","Period=FQ","BEST_FPERIOD_OVERRIDE=FQ","FILING_STATUS=OR","EQY_CONSOLIDATED=Y","Sort=A","Dates=H","DateFormat=P","Fill=—","Direction=H","UseDPDF=Y")</f>
        <v>#NAME?</v>
      </c>
      <c r="AH599" s="2" t="e">
        <f ca="1">_xll.BDH($C$578,"TOTAL_DEBT_1_YEAR_GROWTH","FQ1 2018","FQ1 2018","Currency=INR","Period=FQ","BEST_FPERIOD_OVERRIDE=FQ","FILING_STATUS=OR","EQY_CONSOLIDATED=Y","Sort=A","Dates=H","DateFormat=P","Fill=—","Direction=H","UseDPDF=Y")</f>
        <v>#NAME?</v>
      </c>
      <c r="AI599" s="2" t="e">
        <f ca="1">_xll.BDH($C$578,"TOTAL_EQUITY_1_YEAR_GROWTH","FQ1 2018","FQ1 2018","Currency=INR","Period=FQ","BEST_FPERIOD_OVERRIDE=FQ","FILING_STATUS=OR","EQY_CONSOLIDATED=Y","Sort=A","Dates=H","DateFormat=P","Fill=—","Direction=H","UseDPDF=Y")</f>
        <v>#NAME?</v>
      </c>
      <c r="AJ599" s="2" t="e">
        <f ca="1">_xll.BDH($C$578,"GROWTH_IN_CAP","FQ1 2018","FQ1 2018","Currency=INR","Period=FQ","BEST_FPERIOD_OVERRIDE=FQ","FILING_STATUS=OR","EQY_CONSOLIDATED=Y","Sort=A","Dates=H","DateFormat=P","Fill=—","Direction=H","UseDPDF=Y")</f>
        <v>#NAME?</v>
      </c>
      <c r="AK599" s="2" t="e">
        <f ca="1">_xll.BDH($C$578,"BVPS_GROWTH","FQ1 2018","FQ1 2018","Currency=INR","Period=FQ","BEST_FPERIOD_OVERRIDE=FQ","FILING_STATUS=OR","EQY_CONSOLIDATED=Y","Sort=A","Dates=H","DateFormat=P","Fill=—","Direction=H","UseDPDF=Y")</f>
        <v>#NAME?</v>
      </c>
      <c r="AL599" s="2" t="e">
        <f ca="1">_xll.BDH($C$578,"CASH_FLOW_GROWTH","FQ1 2018","FQ1 2018","Currency=INR","Period=FQ","BEST_FPERIOD_OVERRIDE=FQ","FILING_STATUS=OR","EQY_CONSOLIDATED=Y","Sort=A","Dates=H","DateFormat=P","Fill=—","Direction=H","UseDPDF=Y")</f>
        <v>#NAME?</v>
      </c>
      <c r="AM599" s="2" t="e">
        <f ca="1">_xll.BDH($C$578,"GEO_GROW_NET_SALES","FQ1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599" s="2" t="e">
        <f ca="1">_xll.BDH($C$578,"GEO_GROW_EBITDA","FQ1 2018","FQ1 2018","Currency=INR","Period=FQ","BEST_FPERIOD_OVERRIDE=FQ","FILING_STATUS=OR","EQY_CONSOLIDATED=Y","FA_ADJUSTED=GAAP","Sort=A","Dates=H","DateFormat=P","Fill=—","Direction=H","UseDPDF=Y")</f>
        <v>#NAME?</v>
      </c>
      <c r="AO599" s="2" t="e">
        <f ca="1">_xll.BDH($C$578,"GEO_GROW_OPER_INC","FQ1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599" s="2" t="e">
        <f ca="1">_xll.BDH($C$578,"NET_INCOME_TO_COMMON_5_YR_GROWTH","FQ1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599" s="2" t="e">
        <f ca="1">_xll.BDH($C$578,"5Y_GEO_GROWTH_DILUTED_EPS","FQ1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599" s="2" t="e">
        <f ca="1">_xll.BDH($C$578,"GEO_GROW_DVD_PER_SH","FQ1 2018","FQ1 2018","Currency=INR","Period=FQ","BEST_FPERIOD_OVERRIDE=FQ","FILING_STATUS=OR","EQY_CONSOLIDATED=Y","Sort=A","Dates=H","DateFormat=P","Fill=—","Direction=H","UseDPDF=Y")</f>
        <v>#NAME?</v>
      </c>
      <c r="AS599" s="2" t="e">
        <f ca="1">_xll.BDH($C$578,"ACCOUNTS_RECEIVABLE_5_YR_GROWTH","FQ1 2018","FQ1 2018","Currency=INR","Period=FQ","BEST_FPERIOD_OVERRIDE=FQ","FILING_STATUS=OR","EQY_CONSOLIDATED=Y","Sort=A","Dates=H","DateFormat=P","Fill=—","Direction=H","UseDPDF=Y")</f>
        <v>#NAME?</v>
      </c>
      <c r="AT599" s="2" t="e">
        <f ca="1">_xll.BDH($C$578,"INVENTORY_5_YEAR_GROWTH","FQ1 2018","FQ1 2018","Currency=INR","Period=FQ","BEST_FPERIOD_OVERRIDE=FQ","FILING_STATUS=OR","EQY_CONSOLIDATED=Y","Sort=A","Dates=H","DateFormat=P","Fill=—","Direction=H","UseDPDF=Y")</f>
        <v>#NAME?</v>
      </c>
      <c r="AU599" s="2" t="e">
        <f ca="1">_xll.BDH($C$578,"NET_FIXED_ASSETS_5_YEAR_GROWTH","FQ1 2018","FQ1 2018","Currency=INR","Period=FQ","BEST_FPERIOD_OVERRIDE=FQ","FILING_STATUS=OR","EQY_CONSOLIDATED=Y","Sort=A","Dates=H","DateFormat=P","Fill=—","Direction=H","UseDPDF=Y")</f>
        <v>#NAME?</v>
      </c>
      <c r="AV599" s="2" t="e">
        <f ca="1">_xll.BDH($C$578,"GEO_GROW_TOT_ASSET","FQ1 2018","FQ1 2018","Currency=INR","Period=FQ","BEST_FPERIOD_OVERRIDE=FQ","FILING_STATUS=OR","EQY_CONSOLIDATED=Y","Sort=A","Dates=H","DateFormat=P","Fill=—","Direction=H","UseDPDF=Y")</f>
        <v>#NAME?</v>
      </c>
      <c r="AW599" s="2" t="e">
        <f ca="1">_xll.BDH($C$578,"MODIFIED_WORKING_CPTL_5YR_GRWTH","FQ1 2018","FQ1 2018","Currency=INR","Period=FQ","BEST_FPERIOD_OVERRIDE=FQ","FILING_STATUS=OR","EQY_CONSOLIDATED=Y","Sort=A","Dates=H","DateFormat=P","Fill=—","Direction=H","UseDPDF=Y")</f>
        <v>#NAME?</v>
      </c>
      <c r="AX599" s="2" t="e">
        <f ca="1">_xll.BDH($C$578,"WORKING_CAPITAL_5_YEAR_GROWTH","FQ1 2018","FQ1 2018","Currency=INR","Period=FQ","BEST_FPERIOD_OVERRIDE=FQ","FILING_STATUS=OR","EQY_CONSOLIDATED=Y","Sort=A","Dates=H","DateFormat=P","Fill=—","Direction=H","UseDPDF=Y")</f>
        <v>#NAME?</v>
      </c>
      <c r="AY599" s="2" t="e">
        <f ca="1">_xll.BDH($C$578,"ACCOUNTS_PAYABLE_5_YEAR_GROWTH","FQ1 2018","FQ1 2018","Currency=INR","Period=FQ","BEST_FPERIOD_OVERRIDE=FQ","FILING_STATUS=OR","EQY_CONSOLIDATED=Y","Sort=A","Dates=H","DateFormat=P","Fill=—","Direction=H","UseDPDF=Y")</f>
        <v>#NAME?</v>
      </c>
      <c r="AZ599" s="2" t="e">
        <f ca="1">_xll.BDH($C$578,"SHORT_TERM_DEBT_5_YEAR_GROWTH","FQ1 2018","FQ1 2018","Currency=INR","Period=FQ","BEST_FPERIOD_OVERRIDE=FQ","FILING_STATUS=OR","EQY_CONSOLIDATED=Y","Sort=A","Dates=H","DateFormat=P","Fill=—","Direction=H","UseDPDF=Y")</f>
        <v>#NAME?</v>
      </c>
      <c r="BA599" s="2" t="e">
        <f ca="1">_xll.BDH($C$578,"TOTAL_DEBT_5_YEAR_GROWTH","FQ1 2018","FQ1 2018","Currency=INR","Period=FQ","BEST_FPERIOD_OVERRIDE=FQ","FILING_STATUS=OR","EQY_CONSOLIDATED=Y","Sort=A","Dates=H","DateFormat=P","Fill=—","Direction=H","UseDPDF=Y")</f>
        <v>#NAME?</v>
      </c>
      <c r="BB599" s="2" t="e">
        <f ca="1">_xll.BDH($C$578,"GEO_GROW_TOT_SHRHLDR_EQY","FQ1 2018","FQ1 2018","Currency=INR","Period=FQ","BEST_FPERIOD_OVERRIDE=FQ","FILING_STATUS=OR","EQY_CONSOLIDATED=Y","Sort=A","Dates=H","DateFormat=P","Fill=—","Direction=H","UseDPDF=Y")</f>
        <v>#NAME?</v>
      </c>
      <c r="BC599" s="2" t="e">
        <f ca="1">_xll.BDH($C$578,"TOTAL_CAPITAL_5_YEAR_GROWTH","FQ1 2018","FQ1 2018","Currency=INR","Period=FQ","BEST_FPERIOD_OVERRIDE=FQ","FILING_STATUS=OR","EQY_CONSOLIDATED=Y","Sort=A","Dates=H","DateFormat=P","Fill=—","Direction=H","UseDPDF=Y")</f>
        <v>#NAME?</v>
      </c>
      <c r="BD599" s="2" t="e">
        <f ca="1">_xll.BDH($C$578,"GEO_GROW_BOOK_VAL","FQ1 2018","FQ1 2018","Currency=INR","Period=FQ","BEST_FPERIOD_OVERRIDE=FQ","FILING_STATUS=OR","EQY_CONSOLIDATED=Y","Sort=A","Dates=H","DateFormat=P","Fill=—","Direction=H","UseDPDF=Y")</f>
        <v>#NAME?</v>
      </c>
      <c r="BE599" s="2" t="e">
        <f ca="1">_xll.BDH($C$578,"GEO_GROW_CASH_OPER_ACT","FQ1 2018","FQ1 2018","Currency=INR","Period=FQ","BEST_FPERIOD_OVERRIDE=FQ","FILING_STATUS=OR","EQY_CONSOLIDATED=Y","Sort=A","Dates=H","DateFormat=P","Fill=—","Direction=H","UseDPDF=Y")</f>
        <v>#NAME?</v>
      </c>
      <c r="BF599" s="2" t="e">
        <f ca="1">_xll.BDH($C$578,"REVENUE_SEQUENTIAL_GROWTH","FQ1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599" s="2" t="e">
        <f ca="1">_xll.BDH($C$578,"EBITDA_SEQUENTIAL_GROWTH","FQ1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599" s="2" t="e">
        <f ca="1">_xll.BDH($C$578,"OPERATING_INCOME_SEQ_GROWTH","FQ1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599" s="2" t="e">
        <f ca="1">_xll.BDH($C$578,"NET_INCOME_TO_COMMON_SEQ_GROWTH","FQ1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599" s="2" t="e">
        <f ca="1">_xll.BDH($C$578,"EPS_DILUTED_SEQUENTIAL_GROWTH","FQ1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599" s="2" t="e">
        <f ca="1">_xll.BDH($C$578,"DPS_SEQUENTIAL_GROWTH","FQ1 2018","FQ1 2018","Currency=INR","Period=FQ","BEST_FPERIOD_OVERRIDE=FQ","FILING_STATUS=OR","EQY_CONSOLIDATED=Y","Sort=A","Dates=H","DateFormat=P","Fill=—","Direction=H","UseDPDF=Y")</f>
        <v>#NAME?</v>
      </c>
      <c r="BL599" s="2" t="e">
        <f ca="1">_xll.BDH($C$578,"ACCOUNTS_RECEIVABLE_SEQ_GROWTH","FQ1 2018","FQ1 2018","Currency=INR","Period=FQ","BEST_FPERIOD_OVERRIDE=FQ","FILING_STATUS=OR","EQY_CONSOLIDATED=Y","Sort=A","Dates=H","DateFormat=P","Fill=—","Direction=H","UseDPDF=Y")</f>
        <v>#NAME?</v>
      </c>
      <c r="BM599" s="2" t="e">
        <f ca="1">_xll.BDH($C$578,"INVENTORY_SEQUENTIAL_GROWTH","FQ1 2018","FQ1 2018","Currency=INR","Period=FQ","BEST_FPERIOD_OVERRIDE=FQ","FILING_STATUS=OR","EQY_CONSOLIDATED=Y","Sort=A","Dates=H","DateFormat=P","Fill=—","Direction=H","UseDPDF=Y")</f>
        <v>#NAME?</v>
      </c>
      <c r="BN599" s="2" t="e">
        <f ca="1">_xll.BDH($C$578,"FIXED_ASSETS_SEQUENTIAL_GROWTH","FQ1 2018","FQ1 2018","Currency=INR","Period=FQ","BEST_FPERIOD_OVERRIDE=FQ","FILING_STATUS=OR","EQY_CONSOLIDATED=Y","Sort=A","Dates=H","DateFormat=P","Fill=—","Direction=H","UseDPDF=Y")</f>
        <v>#NAME?</v>
      </c>
      <c r="BO599" s="2" t="e">
        <f ca="1">_xll.BDH($C$578,"TOTAL_ASSETS_SEQUENTIAL_GROWTH","FQ1 2018","FQ1 2018","Currency=INR","Period=FQ","BEST_FPERIOD_OVERRIDE=FQ","FILING_STATUS=OR","EQY_CONSOLIDATED=Y","Sort=A","Dates=H","DateFormat=P","Fill=—","Direction=H","UseDPDF=Y")</f>
        <v>#NAME?</v>
      </c>
      <c r="BP599" s="2" t="e">
        <f ca="1">_xll.BDH($C$578,"MODIFIED_WORKING_CPTL_SEQ_GRWTH","FQ1 2018","FQ1 2018","Currency=INR","Period=FQ","BEST_FPERIOD_OVERRIDE=FQ","FILING_STATUS=OR","EQY_CONSOLIDATED=Y","Sort=A","Dates=H","DateFormat=P","Fill=—","Direction=H","UseDPDF=Y")</f>
        <v>#NAME?</v>
      </c>
      <c r="BQ599" s="2" t="e">
        <f ca="1">_xll.BDH($C$578,"WORKING_CAPITAL_SEQ_GROWTH","FQ1 2018","FQ1 2018","Currency=INR","Period=FQ","BEST_FPERIOD_OVERRIDE=FQ","FILING_STATUS=OR","EQY_CONSOLIDATED=Y","Sort=A","Dates=H","DateFormat=P","Fill=—","Direction=H","UseDPDF=Y")</f>
        <v>#NAME?</v>
      </c>
      <c r="BR599" s="2" t="e">
        <f ca="1">_xll.BDH($C$578,"ACCOUNTS_PAYABLE_SEQ_GROWTH","FQ1 2018","FQ1 2018","Currency=INR","Period=FQ","BEST_FPERIOD_OVERRIDE=FQ","FILING_STATUS=OR","EQY_CONSOLIDATED=Y","Sort=A","Dates=H","DateFormat=P","Fill=—","Direction=H","UseDPDF=Y")</f>
        <v>#NAME?</v>
      </c>
      <c r="BS599" s="2" t="e">
        <f ca="1">_xll.BDH($C$578,"ST_DEBT_SEQUENTIAL_GROWTH","FQ1 2018","FQ1 2018","Currency=INR","Period=FQ","BEST_FPERIOD_OVERRIDE=FQ","FILING_STATUS=OR","EQY_CONSOLIDATED=Y","Sort=A","Dates=H","DateFormat=P","Fill=—","Direction=H","UseDPDF=Y")</f>
        <v>#NAME?</v>
      </c>
      <c r="BT599" s="2" t="e">
        <f ca="1">_xll.BDH($C$578,"TOTAL_DEBT_SEQUENTIAL_GROWTH","FQ1 2018","FQ1 2018","Currency=INR","Period=FQ","BEST_FPERIOD_OVERRIDE=FQ","FILING_STATUS=OR","EQY_CONSOLIDATED=Y","Sort=A","Dates=H","DateFormat=P","Fill=—","Direction=H","UseDPDF=Y")</f>
        <v>#NAME?</v>
      </c>
      <c r="BU599" s="2" t="e">
        <f ca="1">_xll.BDH($C$578,"TOTAL_EQUITY_SEQUENTIAL_GROWTH","FQ1 2018","FQ1 2018","Currency=INR","Period=FQ","BEST_FPERIOD_OVERRIDE=FQ","FILING_STATUS=OR","EQY_CONSOLIDATED=Y","Sort=A","Dates=H","DateFormat=P","Fill=—","Direction=H","UseDPDF=Y")</f>
        <v>#NAME?</v>
      </c>
      <c r="BV599" s="2" t="e">
        <f ca="1">_xll.BDH($C$578,"TOTAL_CAPITAL_SEQUENTIAL_GROWTH","FQ1 2018","FQ1 2018","Currency=INR","Period=FQ","BEST_FPERIOD_OVERRIDE=FQ","FILING_STATUS=OR","EQY_CONSOLIDATED=Y","Sort=A","Dates=H","DateFormat=P","Fill=—","Direction=H","UseDPDF=Y")</f>
        <v>#NAME?</v>
      </c>
      <c r="BW599" s="2" t="e">
        <f ca="1">_xll.BDH($C$578,"BPS_SEQUENTIAL_GROWTH","FQ1 2018","FQ1 2018","Currency=INR","Period=FQ","BEST_FPERIOD_OVERRIDE=FQ","FILING_STATUS=OR","EQY_CONSOLIDATED=Y","Sort=A","Dates=H","DateFormat=P","Fill=—","Direction=H","UseDPDF=Y")</f>
        <v>#NAME?</v>
      </c>
      <c r="BX599" s="2" t="e">
        <f ca="1">_xll.BDH($C$578,"CFO_SEQUENTIAL_GROWTH","FQ1 2018","FQ1 2018","Currency=INR","Period=FQ","BEST_FPERIOD_OVERRIDE=FQ","FILING_STATUS=OR","EQY_CONSOLIDATED=Y","Sort=A","Dates=H","DateFormat=P","Fill=—","Direction=H","UseDPDF=Y")</f>
        <v>#NAME?</v>
      </c>
      <c r="BY599" s="3" t="e">
        <f ca="1">_xll.BDH($C$578,"SHORT_AND_LONG_TERM_DEBT","FQ1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599" s="3" t="e">
        <f ca="1">_xll.BDH($C$578,"BS_ST_BORROW","FQ1 2018","FQ1 2018","Currency=INR","Period=FQ","BEST_FPERIOD_OVERRIDE=FQ","FILING_STATUS=OR","EQY_CONSOLIDATED=Y","SCALING_FORMAT=MLN","Sort=A","Dates=H","DateFormat=P","Fill=—","Direction=H","UseDPDF=Y")</f>
        <v>#NAME?</v>
      </c>
      <c r="CA599" s="3" t="e">
        <f ca="1">_xll.BDH($C$578,"BS_LT_BORROW","FQ1 2018","FQ1 2018","Currency=INR","Period=FQ","BEST_FPERIOD_OVERRIDE=FQ","FILING_STATUS=OR","EQY_CONSOLIDATED=Y","SCALING_FORMAT=MLN","Sort=A","Dates=H","DateFormat=P","Fill=—","Direction=H","UseDPDF=Y")</f>
        <v>#NAME?</v>
      </c>
      <c r="CB599" s="2" t="e">
        <f ca="1">_xll.BDH($C$578,"TOT_DEBT_TO_EBITDA","FQ1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599" s="2" t="e">
        <f ca="1">_xll.BDH($C$578,"NET_DEBT_TO_EBITDA","FQ1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599" s="2" t="e">
        <f ca="1">_xll.BDH($C$578,"TOTAL_DEBT_TO_EBIT","FQ1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599" s="2" t="e">
        <f ca="1">_xll.BDH($C$578,"NET_DEBT_TO_EBIT","FQ1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599" s="2" t="e">
        <f ca="1">_xll.BDH($C$578,"EBITDA_TO_INTEREST_EXPN","FQ1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599" s="2" t="e">
        <f ca="1">_xll.BDH($C$578,"COM_EQY_TO_TOT_ASSET","FQ1 2018","FQ1 2018","Currency=INR","Period=FQ","BEST_FPERIOD_OVERRIDE=FQ","FILING_STATUS=OR","EQY_CONSOLIDATED=Y","Sort=A","Dates=H","DateFormat=P","Fill=—","Direction=H","UseDPDF=Y")</f>
        <v>#NAME?</v>
      </c>
      <c r="CH599" s="2" t="e">
        <f ca="1">_xll.BDH($C$578,"LT_DEBT_TO_TOT_EQY","FQ1 2018","FQ1 2018","Currency=INR","Period=FQ","BEST_FPERIOD_OVERRIDE=FQ","FILING_STATUS=OR","EQY_CONSOLIDATED=Y","Sort=A","Dates=H","DateFormat=P","Fill=—","Direction=H","UseDPDF=Y")</f>
        <v>#NAME?</v>
      </c>
      <c r="CI599" s="2" t="e">
        <f ca="1">_xll.BDH($C$578,"LT_DEBT_TO_TOT_CAP","FQ1 2018","FQ1 2018","Currency=INR","Period=FQ","BEST_FPERIOD_OVERRIDE=FQ","FILING_STATUS=OR","EQY_CONSOLIDATED=Y","Sort=A","Dates=H","DateFormat=P","Fill=—","Direction=H","UseDPDF=Y")</f>
        <v>#NAME?</v>
      </c>
      <c r="CJ599" s="2" t="e">
        <f ca="1">_xll.BDH($C$578,"LT_DEBT_TO_TOT_ASSET","FQ1 2018","FQ1 2018","Currency=INR","Period=FQ","BEST_FPERIOD_OVERRIDE=FQ","FILING_STATUS=OR","EQY_CONSOLIDATED=Y","Sort=A","Dates=H","DateFormat=P","Fill=—","Direction=H","UseDPDF=Y")</f>
        <v>#NAME?</v>
      </c>
      <c r="CK599" s="2" t="e">
        <f ca="1">_xll.BDH($C$578,"TOT_DEBT_TO_TOT_EQY","FQ1 2018","FQ1 2018","Currency=INR","Period=FQ","BEST_FPERIOD_OVERRIDE=FQ","FILING_STATUS=OR","EQY_CONSOLIDATED=Y","Sort=A","Dates=H","DateFormat=P","Fill=—","Direction=H","UseDPDF=Y")</f>
        <v>#NAME?</v>
      </c>
      <c r="CL599" s="2" t="e">
        <f ca="1">_xll.BDH($C$578,"TOT_DEBT_TO_TOT_CAP","FQ1 2018","FQ1 2018","Currency=INR","Period=FQ","BEST_FPERIOD_OVERRIDE=FQ","FILING_STATUS=OR","EQY_CONSOLIDATED=Y","Sort=A","Dates=H","DateFormat=P","Fill=—","Direction=H","UseDPDF=Y")</f>
        <v>#NAME?</v>
      </c>
      <c r="CM599" s="2" t="e">
        <f ca="1">_xll.BDH($C$578,"TOT_DEBT_TO_TOT_ASSET","FQ1 2018","FQ1 2018","Currency=INR","Period=FQ","BEST_FPERIOD_OVERRIDE=FQ","FILING_STATUS=OR","EQY_CONSOLIDATED=Y","Sort=A","Dates=H","DateFormat=P","Fill=—","Direction=H","UseDPDF=Y")</f>
        <v>#NAME?</v>
      </c>
      <c r="CN599" s="2" t="e">
        <f ca="1">_xll.BDH($C$578,"NET_DEBT_TO_SHRHLDR_EQTY","FQ1 2018","FQ1 2018","Currency=INR","Period=FQ","BEST_FPERIOD_OVERRIDE=FQ","FILING_STATUS=OR","EQY_CONSOLIDATED=Y","Sort=A","Dates=H","DateFormat=P","Fill=—","Direction=H","UseDPDF=Y")</f>
        <v>#NAME?</v>
      </c>
      <c r="CO599" s="2" t="e">
        <f ca="1">_xll.BDH($C$578,"NET_DEBT_%_CAPITAL","FQ1 2018","FQ1 2018","Currency=INR","Period=FQ","BEST_FPERIOD_OVERRIDE=FQ","FILING_STATUS=OR","EQY_CONSOLIDATED=Y","Sort=A","Dates=H","DateFormat=P","Fill=—","Direction=H","UseDPDF=Y")</f>
        <v>#NAME?</v>
      </c>
      <c r="CP599" s="3" t="e">
        <f ca="1">_xll.BDH($C$578,"EBITDA","FQ1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599" s="3" t="e">
        <f ca="1">_xll.BDH($C$578,"EBITDA_AFTER_CAPEX","FQ1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599" s="3" t="e">
        <f ca="1">_xll.BDH($C$578,"IS_OPER_INC","FQ1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599" s="2" t="e">
        <f ca="1">_xll.BDH($C$578,"CASH_RATIO","FQ1 2018","FQ1 2018","Currency=INR","Period=FQ","BEST_FPERIOD_OVERRIDE=FQ","FILING_STATUS=OR","EQY_CONSOLIDATED=Y","Sort=A","Dates=H","DateFormat=P","Fill=—","Direction=H","UseDPDF=Y")</f>
        <v>#NAME?</v>
      </c>
      <c r="CT599" s="2" t="e">
        <f ca="1">_xll.BDH($C$578,"CUR_RATIO","FQ1 2018","FQ1 2018","Currency=INR","Period=FQ","BEST_FPERIOD_OVERRIDE=FQ","FILING_STATUS=OR","EQY_CONSOLIDATED=Y","Sort=A","Dates=H","DateFormat=P","Fill=—","Direction=H","UseDPDF=Y")</f>
        <v>#NAME?</v>
      </c>
      <c r="CU599" s="2" t="e">
        <f ca="1">_xll.BDH($C$578,"QUICK_RATIO","FQ1 2018","FQ1 2018","Currency=INR","Period=FQ","BEST_FPERIOD_OVERRIDE=FQ","FILING_STATUS=OR","EQY_CONSOLIDATED=Y","Sort=A","Dates=H","DateFormat=P","Fill=—","Direction=H","UseDPDF=Y")</f>
        <v>#NAME?</v>
      </c>
      <c r="CV599" s="2" t="e">
        <f ca="1">_xll.BDH($C$578,"ALTMAN_Z_SCORE","FQ1 2018","FQ1 2018","Currency=INR","Period=FQ","BEST_FPERIOD_OVERRIDE=FQ","FILING_STATUS=OR","EQY_CONSOLIDATED=Y","Sort=A","Dates=H","DateFormat=P","Fill=—","Direction=H","UseDPDF=Y")</f>
        <v>#NAME?</v>
      </c>
      <c r="CW599" s="4" t="e">
        <f ca="1">_xll.BDH($C$578,"ACCT_RCV_TURN","FQ1 2018","FQ1 2018","Currency=INR","Period=FQ","BEST_FPERIOD_OVERRIDE=FQ","FILING_STATUS=OR","EQY_CONSOLIDATED=Y","FA_ADJUSTED=GAAP","Sort=A","Dates=H","DateFormat=P","Fill=—","Direction=H","UseDPDF=Y")</f>
        <v>#NAME?</v>
      </c>
      <c r="CX599" s="2" t="e">
        <f ca="1">_xll.BDH($C$578,"ACCT_RCV_DAYS","FQ1 2018","FQ1 2018","Currency=INR","Period=FQ","BEST_FPERIOD_OVERRIDE=FQ","FILING_STATUS=OR","EQY_CONSOLIDATED=Y","FA_ADJUSTED=GAAP","Sort=A","Dates=H","DateFormat=P","Fill=—","Direction=H","UseDPDF=Y")</f>
        <v>#NAME?</v>
      </c>
      <c r="CY599" s="4" t="e">
        <f ca="1">_xll.BDH($C$578,"INVENT_TURN","FQ1 2018","FQ1 2018","Currency=INR","Period=FQ","BEST_FPERIOD_OVERRIDE=FQ","FILING_STATUS=OR","EQY_CONSOLIDATED=Y","FA_ADJUSTED=GAAP","Sort=A","Dates=H","DateFormat=P","Fill=—","Direction=H","UseDPDF=Y")</f>
        <v>#NAME?</v>
      </c>
      <c r="CZ599" s="2" t="e">
        <f ca="1">_xll.BDH($C$578,"INVENT_DAYS","FQ1 2018","FQ1 2018","Currency=INR","Period=FQ","BEST_FPERIOD_OVERRIDE=FQ","FILING_STATUS=OR","EQY_CONSOLIDATED=Y","FA_ADJUSTED=GAAP","Sort=A","Dates=H","DateFormat=P","Fill=—","Direction=H","UseDPDF=Y")</f>
        <v>#NAME?</v>
      </c>
      <c r="DA599" s="4" t="e">
        <f ca="1">_xll.BDH($C$578,"ACCOUNTS_PAYABLE_TURNOVER","FQ1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599" s="2" t="e">
        <f ca="1">_xll.BDH($C$578,"ACCOUNTS_PAYABLE_TURNOVER_DAYS","FQ1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599" s="4" t="e">
        <f ca="1">_xll.BDH($C$578,"CASH_CONVERSION_CYCLE","FQ1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599" s="4" t="e">
        <f ca="1">_xll.BDH($C$578,"INV_TO_CASH_DAYS","FQ1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599" s="5" t="e">
        <f ca="1">_xll.BDH($C$578,"BS_INVENTORIES","FQ1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599" s="3" t="e">
        <f ca="1">_xll.BDH($C$578,"INVTRY_RAW_MATERIALS","FQ1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599" s="3" t="e">
        <f ca="1">_xll.BDH($C$578,"INVTRY_IN_PROGRESS","FQ1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599" s="3" t="e">
        <f ca="1">_xll.BDH($C$578,"INVTRY_FINISHED_GOODS","FQ1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599" s="3" t="e">
        <f ca="1">_xll.BDH($C$578,"BS_OTHER_INV","FQ1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600" spans="1:113" x14ac:dyDescent="0.3">
      <c r="A600" s="6"/>
      <c r="B600" s="6"/>
      <c r="C600" s="6"/>
      <c r="D600" s="6"/>
      <c r="E600" t="s">
        <v>79</v>
      </c>
      <c r="F600" t="e">
        <f ca="1">_xll.BDH($C$578,"RETURN_COM_EQY","FQ2 2018","FQ2 2018","Currency=INR","Period=FQ","BEST_FPERIOD_OVERRIDE=FQ","FILING_STATUS=OR","EQY_CONSOLIDATED=Y","FA_ADJUSTED=GAAP","Sort=A","Dates=H","DateFormat=P","Fill=—","Direction=H","UseDPDF=Y")</f>
        <v>#NAME?</v>
      </c>
      <c r="G600" t="e">
        <f ca="1">_xll.BDH($C$578,"RETURN_ON_ASSET","FQ2 2018","FQ2 2018","Currency=INR","Period=FQ","BEST_FPERIOD_OVERRIDE=FQ","FILING_STATUS=OR","EQY_CONSOLIDATED=Y","FA_ADJUSTED=GAAP","Sort=A","Dates=H","DateFormat=P","Fill=—","Direction=H","UseDPDF=Y")</f>
        <v>#NAME?</v>
      </c>
      <c r="H600" t="e">
        <f ca="1">_xll.BDH($C$578,"RETURN_ON_CAP","FQ2 2018","FQ2 2018","Currency=INR","Period=FQ","BEST_FPERIOD_OVERRIDE=FQ","FILING_STATUS=OR","EQY_CONSOLIDATED=Y","FA_ADJUSTED=GAAP","Sort=A","Dates=H","DateFormat=P","Fill=—","Direction=H","UseDPDF=Y")</f>
        <v>#NAME?</v>
      </c>
      <c r="I600" t="e">
        <f ca="1">_xll.BDH($C$578,"RETURN_ON_INV_CAPITAL","FQ2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600" t="e">
        <f ca="1">_xll.BDH($C$578,"EBITDA_TO_REVENUE","FQ2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600" t="e">
        <f ca="1">_xll.BDH($C$578,"OPER_MARGIN","FQ2 2018","FQ2 2018","Currency=INR","Period=FQ","BEST_FPERIOD_OVERRIDE=FQ","FILING_STATUS=OR","EQY_CONSOLIDATED=Y","FA_ADJUSTED=GAAP","Sort=A","Dates=H","DateFormat=P","Fill=—","Direction=H","UseDPDF=Y")</f>
        <v>#NAME?</v>
      </c>
      <c r="L600" t="e">
        <f ca="1">_xll.BDH($C$578,"INCREMENTAL_OPERATING_MARGIN","FQ2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600" t="e">
        <f ca="1">_xll.BDH($C$578,"PRETAX_INC_TO_NET_SALES","FQ2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600" t="e">
        <f ca="1">_xll.BDH($C$578,"INC_BEF_XO_ITEMS_TO_NET_SALES","FQ2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600" t="e">
        <f ca="1">_xll.BDH($C$578,"PROF_MARGIN","FQ2 2018","FQ2 2018","Currency=INR","Period=FQ","BEST_FPERIOD_OVERRIDE=FQ","FILING_STATUS=OR","EQY_CONSOLIDATED=Y","FA_ADJUSTED=GAAP","Sort=A","Dates=H","DateFormat=P","Fill=—","Direction=H","UseDPDF=Y")</f>
        <v>#NAME?</v>
      </c>
      <c r="P600" t="e">
        <f ca="1">_xll.BDH($C$578,"NET_INCOME_TO_COMMON_MARGIN","FQ2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600" t="e">
        <f ca="1">_xll.BDH($C$578,"EFF_TAX_RATE","FQ2 2018","FQ2 2018","Currency=INR","Period=FQ","BEST_FPERIOD_OVERRIDE=FQ","FILING_STATUS=OR","EQY_CONSOLIDATED=Y","FA_ADJUSTED=GAAP","Sort=A","Dates=H","DateFormat=P","Fill=—","Direction=H","UseDPDF=Y")</f>
        <v>#NAME?</v>
      </c>
      <c r="R600" t="e">
        <f ca="1">_xll.BDH($C$578,"DVD_PAYOUT_RATIO","FQ2 2018","FQ2 2018","Currency=INR","Period=FQ","BEST_FPERIOD_OVERRIDE=FQ","FILING_STATUS=OR","EQY_CONSOLIDATED=Y","FA_ADJUSTED=GAAP","Sort=A","Dates=H","DateFormat=P","Fill=—","Direction=H","UseDPDF=Y")</f>
        <v>#NAME?</v>
      </c>
      <c r="S600" t="e">
        <f ca="1">_xll.BDH($C$578,"SUSTAIN_GROWTH_RT","FQ2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600" s="2" t="e">
        <f ca="1">_xll.BDH($C$578,"SALES_GROWTH","FQ2 2018","FQ2 2018","Currency=INR","Period=FQ","BEST_FPERIOD_OVERRIDE=FQ","FILING_STATUS=OR","EQY_CONSOLIDATED=Y","FA_ADJUSTED=GAAP","Sort=A","Dates=H","DateFormat=P","Fill=—","Direction=H","UseDPDF=Y")</f>
        <v>#NAME?</v>
      </c>
      <c r="U600" s="2" t="e">
        <f ca="1">_xll.BDH($C$578,"EBITDA_GROWTH","FQ2 2018","FQ2 2018","Currency=INR","Period=FQ","BEST_FPERIOD_OVERRIDE=FQ","FILING_STATUS=OR","EQY_CONSOLIDATED=Y","FA_ADJUSTED=GAAP","Sort=A","Dates=H","DateFormat=P","Fill=—","Direction=H","UseDPDF=Y")</f>
        <v>#NAME?</v>
      </c>
      <c r="V600" s="2" t="e">
        <f ca="1">_xll.BDH($C$578,"OPER_INC_GROWTH","FQ2 2018","FQ2 2018","Currency=INR","Period=FQ","BEST_FPERIOD_OVERRIDE=FQ","FILING_STATUS=OR","EQY_CONSOLIDATED=Y","FA_ADJUSTED=GAAP","Sort=A","Dates=H","DateFormat=P","Fill=—","Direction=H","UseDPDF=Y")</f>
        <v>#NAME?</v>
      </c>
      <c r="W600" s="2" t="e">
        <f ca="1">_xll.BDH($C$578,"EARN_FOR_COM_GROWTH","FQ2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600" s="2" t="e">
        <f ca="1">_xll.BDH($C$578,"DILUTED_EPS_AFT_XO_ITEMS_GROWTH","FQ2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600" s="2" t="e">
        <f ca="1">_xll.BDH($C$578,"DIVIDEND_PER_SHARE_1_YEAR_GROWTH","FQ2 2018","FQ2 2018","Currency=INR","Period=FQ","BEST_FPERIOD_OVERRIDE=FQ","FILING_STATUS=OR","EQY_CONSOLIDATED=Y","Sort=A","Dates=H","DateFormat=P","Fill=—","Direction=H","UseDPDF=Y")</f>
        <v>#NAME?</v>
      </c>
      <c r="Z600" s="2" t="e">
        <f ca="1">_xll.BDH($C$578,"ACCOUNTS_RECEIVABLE_GROWTH","FQ2 2018","FQ2 2018","Currency=INR","Period=FQ","BEST_FPERIOD_OVERRIDE=FQ","FILING_STATUS=OR","EQY_CONSOLIDATED=Y","Sort=A","Dates=H","DateFormat=P","Fill=—","Direction=H","UseDPDF=Y")</f>
        <v>#NAME?</v>
      </c>
      <c r="AA600" s="2" t="e">
        <f ca="1">_xll.BDH($C$578,"INVENTORY_GROWTH","FQ2 2018","FQ2 2018","Currency=INR","Period=FQ","BEST_FPERIOD_OVERRIDE=FQ","FILING_STATUS=OR","EQY_CONSOLIDATED=Y","Sort=A","Dates=H","DateFormat=P","Fill=—","Direction=H","UseDPDF=Y")</f>
        <v>#NAME?</v>
      </c>
      <c r="AB600" s="2" t="e">
        <f ca="1">_xll.BDH($C$578,"NET_FIXED_ASSETS_1_YEAR_GROWTH","FQ2 2018","FQ2 2018","Currency=INR","Period=FQ","BEST_FPERIOD_OVERRIDE=FQ","FILING_STATUS=OR","EQY_CONSOLIDATED=Y","Sort=A","Dates=H","DateFormat=P","Fill=—","Direction=H","UseDPDF=Y")</f>
        <v>#NAME?</v>
      </c>
      <c r="AC600" s="2" t="e">
        <f ca="1">_xll.BDH($C$578,"ASSET_GROWTH","FQ2 2018","FQ2 2018","Currency=INR","Period=FQ","BEST_FPERIOD_OVERRIDE=FQ","FILING_STATUS=OR","EQY_CONSOLIDATED=Y","Sort=A","Dates=H","DateFormat=P","Fill=—","Direction=H","UseDPDF=Y")</f>
        <v>#NAME?</v>
      </c>
      <c r="AD600" s="2" t="e">
        <f ca="1">_xll.BDH($C$578,"MODIFIED_WORK_CAP_GROWTH","FQ2 2018","FQ2 2018","Currency=INR","Period=FQ","BEST_FPERIOD_OVERRIDE=FQ","FILING_STATUS=OR","EQY_CONSOLIDATED=Y","Sort=A","Dates=H","DateFormat=P","Fill=—","Direction=H","UseDPDF=Y")</f>
        <v>#NAME?</v>
      </c>
      <c r="AE600" s="2" t="e">
        <f ca="1">_xll.BDH($C$578,"WORK_CAP_GROWTH","FQ2 2018","FQ2 2018","Currency=INR","Period=FQ","BEST_FPERIOD_OVERRIDE=FQ","FILING_STATUS=OR","EQY_CONSOLIDATED=Y","Sort=A","Dates=H","DateFormat=P","Fill=—","Direction=H","UseDPDF=Y")</f>
        <v>#NAME?</v>
      </c>
      <c r="AF600" s="2" t="e">
        <f ca="1">_xll.BDH($C$578,"ACCOUNTS_PAYABLE_GROWTH_1YR","FQ2 2018","FQ2 2018","Currency=INR","Period=FQ","BEST_FPERIOD_OVERRIDE=FQ","FILING_STATUS=OR","EQY_CONSOLIDATED=Y","Sort=A","Dates=H","DateFormat=P","Fill=—","Direction=H","UseDPDF=Y")</f>
        <v>#NAME?</v>
      </c>
      <c r="AG600" s="2" t="e">
        <f ca="1">_xll.BDH($C$578,"SHORT_TERM_DEBT_1_YEAR_GROWTH","FQ2 2018","FQ2 2018","Currency=INR","Period=FQ","BEST_FPERIOD_OVERRIDE=FQ","FILING_STATUS=OR","EQY_CONSOLIDATED=Y","Sort=A","Dates=H","DateFormat=P","Fill=—","Direction=H","UseDPDF=Y")</f>
        <v>#NAME?</v>
      </c>
      <c r="AH600" s="2" t="e">
        <f ca="1">_xll.BDH($C$578,"TOTAL_DEBT_1_YEAR_GROWTH","FQ2 2018","FQ2 2018","Currency=INR","Period=FQ","BEST_FPERIOD_OVERRIDE=FQ","FILING_STATUS=OR","EQY_CONSOLIDATED=Y","Sort=A","Dates=H","DateFormat=P","Fill=—","Direction=H","UseDPDF=Y")</f>
        <v>#NAME?</v>
      </c>
      <c r="AI600" s="2" t="e">
        <f ca="1">_xll.BDH($C$578,"TOTAL_EQUITY_1_YEAR_GROWTH","FQ2 2018","FQ2 2018","Currency=INR","Period=FQ","BEST_FPERIOD_OVERRIDE=FQ","FILING_STATUS=OR","EQY_CONSOLIDATED=Y","Sort=A","Dates=H","DateFormat=P","Fill=—","Direction=H","UseDPDF=Y")</f>
        <v>#NAME?</v>
      </c>
      <c r="AJ600" s="2" t="e">
        <f ca="1">_xll.BDH($C$578,"GROWTH_IN_CAP","FQ2 2018","FQ2 2018","Currency=INR","Period=FQ","BEST_FPERIOD_OVERRIDE=FQ","FILING_STATUS=OR","EQY_CONSOLIDATED=Y","Sort=A","Dates=H","DateFormat=P","Fill=—","Direction=H","UseDPDF=Y")</f>
        <v>#NAME?</v>
      </c>
      <c r="AK600" s="2" t="e">
        <f ca="1">_xll.BDH($C$578,"BVPS_GROWTH","FQ2 2018","FQ2 2018","Currency=INR","Period=FQ","BEST_FPERIOD_OVERRIDE=FQ","FILING_STATUS=OR","EQY_CONSOLIDATED=Y","Sort=A","Dates=H","DateFormat=P","Fill=—","Direction=H","UseDPDF=Y")</f>
        <v>#NAME?</v>
      </c>
      <c r="AL600" s="2" t="e">
        <f ca="1">_xll.BDH($C$578,"CASH_FLOW_GROWTH","FQ2 2018","FQ2 2018","Currency=INR","Period=FQ","BEST_FPERIOD_OVERRIDE=FQ","FILING_STATUS=OR","EQY_CONSOLIDATED=Y","Sort=A","Dates=H","DateFormat=P","Fill=—","Direction=H","UseDPDF=Y")</f>
        <v>#NAME?</v>
      </c>
      <c r="AM600" s="2" t="e">
        <f ca="1">_xll.BDH($C$578,"GEO_GROW_NET_SALES","FQ2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600" s="2" t="e">
        <f ca="1">_xll.BDH($C$578,"GEO_GROW_EBITDA","FQ2 2018","FQ2 2018","Currency=INR","Period=FQ","BEST_FPERIOD_OVERRIDE=FQ","FILING_STATUS=OR","EQY_CONSOLIDATED=Y","FA_ADJUSTED=GAAP","Sort=A","Dates=H","DateFormat=P","Fill=—","Direction=H","UseDPDF=Y")</f>
        <v>#NAME?</v>
      </c>
      <c r="AO600" s="2" t="e">
        <f ca="1">_xll.BDH($C$578,"GEO_GROW_OPER_INC","FQ2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600" s="2" t="e">
        <f ca="1">_xll.BDH($C$578,"NET_INCOME_TO_COMMON_5_YR_GROWTH","FQ2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600" s="2" t="e">
        <f ca="1">_xll.BDH($C$578,"5Y_GEO_GROWTH_DILUTED_EPS","FQ2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600" s="2" t="e">
        <f ca="1">_xll.BDH($C$578,"GEO_GROW_DVD_PER_SH","FQ2 2018","FQ2 2018","Currency=INR","Period=FQ","BEST_FPERIOD_OVERRIDE=FQ","FILING_STATUS=OR","EQY_CONSOLIDATED=Y","Sort=A","Dates=H","DateFormat=P","Fill=—","Direction=H","UseDPDF=Y")</f>
        <v>#NAME?</v>
      </c>
      <c r="AS600" s="2" t="e">
        <f ca="1">_xll.BDH($C$578,"ACCOUNTS_RECEIVABLE_5_YR_GROWTH","FQ2 2018","FQ2 2018","Currency=INR","Period=FQ","BEST_FPERIOD_OVERRIDE=FQ","FILING_STATUS=OR","EQY_CONSOLIDATED=Y","Sort=A","Dates=H","DateFormat=P","Fill=—","Direction=H","UseDPDF=Y")</f>
        <v>#NAME?</v>
      </c>
      <c r="AT600" s="2" t="e">
        <f ca="1">_xll.BDH($C$578,"INVENTORY_5_YEAR_GROWTH","FQ2 2018","FQ2 2018","Currency=INR","Period=FQ","BEST_FPERIOD_OVERRIDE=FQ","FILING_STATUS=OR","EQY_CONSOLIDATED=Y","Sort=A","Dates=H","DateFormat=P","Fill=—","Direction=H","UseDPDF=Y")</f>
        <v>#NAME?</v>
      </c>
      <c r="AU600" s="2" t="e">
        <f ca="1">_xll.BDH($C$578,"NET_FIXED_ASSETS_5_YEAR_GROWTH","FQ2 2018","FQ2 2018","Currency=INR","Period=FQ","BEST_FPERIOD_OVERRIDE=FQ","FILING_STATUS=OR","EQY_CONSOLIDATED=Y","Sort=A","Dates=H","DateFormat=P","Fill=—","Direction=H","UseDPDF=Y")</f>
        <v>#NAME?</v>
      </c>
      <c r="AV600" s="2" t="e">
        <f ca="1">_xll.BDH($C$578,"GEO_GROW_TOT_ASSET","FQ2 2018","FQ2 2018","Currency=INR","Period=FQ","BEST_FPERIOD_OVERRIDE=FQ","FILING_STATUS=OR","EQY_CONSOLIDATED=Y","Sort=A","Dates=H","DateFormat=P","Fill=—","Direction=H","UseDPDF=Y")</f>
        <v>#NAME?</v>
      </c>
      <c r="AW600" s="2" t="e">
        <f ca="1">_xll.BDH($C$578,"MODIFIED_WORKING_CPTL_5YR_GRWTH","FQ2 2018","FQ2 2018","Currency=INR","Period=FQ","BEST_FPERIOD_OVERRIDE=FQ","FILING_STATUS=OR","EQY_CONSOLIDATED=Y","Sort=A","Dates=H","DateFormat=P","Fill=—","Direction=H","UseDPDF=Y")</f>
        <v>#NAME?</v>
      </c>
      <c r="AX600" s="2" t="e">
        <f ca="1">_xll.BDH($C$578,"WORKING_CAPITAL_5_YEAR_GROWTH","FQ2 2018","FQ2 2018","Currency=INR","Period=FQ","BEST_FPERIOD_OVERRIDE=FQ","FILING_STATUS=OR","EQY_CONSOLIDATED=Y","Sort=A","Dates=H","DateFormat=P","Fill=—","Direction=H","UseDPDF=Y")</f>
        <v>#NAME?</v>
      </c>
      <c r="AY600" s="2" t="e">
        <f ca="1">_xll.BDH($C$578,"ACCOUNTS_PAYABLE_5_YEAR_GROWTH","FQ2 2018","FQ2 2018","Currency=INR","Period=FQ","BEST_FPERIOD_OVERRIDE=FQ","FILING_STATUS=OR","EQY_CONSOLIDATED=Y","Sort=A","Dates=H","DateFormat=P","Fill=—","Direction=H","UseDPDF=Y")</f>
        <v>#NAME?</v>
      </c>
      <c r="AZ600" s="2" t="e">
        <f ca="1">_xll.BDH($C$578,"SHORT_TERM_DEBT_5_YEAR_GROWTH","FQ2 2018","FQ2 2018","Currency=INR","Period=FQ","BEST_FPERIOD_OVERRIDE=FQ","FILING_STATUS=OR","EQY_CONSOLIDATED=Y","Sort=A","Dates=H","DateFormat=P","Fill=—","Direction=H","UseDPDF=Y")</f>
        <v>#NAME?</v>
      </c>
      <c r="BA600" s="2" t="e">
        <f ca="1">_xll.BDH($C$578,"TOTAL_DEBT_5_YEAR_GROWTH","FQ2 2018","FQ2 2018","Currency=INR","Period=FQ","BEST_FPERIOD_OVERRIDE=FQ","FILING_STATUS=OR","EQY_CONSOLIDATED=Y","Sort=A","Dates=H","DateFormat=P","Fill=—","Direction=H","UseDPDF=Y")</f>
        <v>#NAME?</v>
      </c>
      <c r="BB600" s="2" t="e">
        <f ca="1">_xll.BDH($C$578,"GEO_GROW_TOT_SHRHLDR_EQY","FQ2 2018","FQ2 2018","Currency=INR","Period=FQ","BEST_FPERIOD_OVERRIDE=FQ","FILING_STATUS=OR","EQY_CONSOLIDATED=Y","Sort=A","Dates=H","DateFormat=P","Fill=—","Direction=H","UseDPDF=Y")</f>
        <v>#NAME?</v>
      </c>
      <c r="BC600" s="2" t="e">
        <f ca="1">_xll.BDH($C$578,"TOTAL_CAPITAL_5_YEAR_GROWTH","FQ2 2018","FQ2 2018","Currency=INR","Period=FQ","BEST_FPERIOD_OVERRIDE=FQ","FILING_STATUS=OR","EQY_CONSOLIDATED=Y","Sort=A","Dates=H","DateFormat=P","Fill=—","Direction=H","UseDPDF=Y")</f>
        <v>#NAME?</v>
      </c>
      <c r="BD600" s="2" t="e">
        <f ca="1">_xll.BDH($C$578,"GEO_GROW_BOOK_VAL","FQ2 2018","FQ2 2018","Currency=INR","Period=FQ","BEST_FPERIOD_OVERRIDE=FQ","FILING_STATUS=OR","EQY_CONSOLIDATED=Y","Sort=A","Dates=H","DateFormat=P","Fill=—","Direction=H","UseDPDF=Y")</f>
        <v>#NAME?</v>
      </c>
      <c r="BE600" s="2" t="e">
        <f ca="1">_xll.BDH($C$578,"GEO_GROW_CASH_OPER_ACT","FQ2 2018","FQ2 2018","Currency=INR","Period=FQ","BEST_FPERIOD_OVERRIDE=FQ","FILING_STATUS=OR","EQY_CONSOLIDATED=Y","Sort=A","Dates=H","DateFormat=P","Fill=—","Direction=H","UseDPDF=Y")</f>
        <v>#NAME?</v>
      </c>
      <c r="BF600" s="2" t="e">
        <f ca="1">_xll.BDH($C$578,"REVENUE_SEQUENTIAL_GROWTH","FQ2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600" s="2" t="e">
        <f ca="1">_xll.BDH($C$578,"EBITDA_SEQUENTIAL_GROWTH","FQ2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600" s="2" t="e">
        <f ca="1">_xll.BDH($C$578,"OPERATING_INCOME_SEQ_GROWTH","FQ2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600" s="2" t="e">
        <f ca="1">_xll.BDH($C$578,"NET_INCOME_TO_COMMON_SEQ_GROWTH","FQ2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600" s="2" t="e">
        <f ca="1">_xll.BDH($C$578,"EPS_DILUTED_SEQUENTIAL_GROWTH","FQ2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600" s="2" t="e">
        <f ca="1">_xll.BDH($C$578,"DPS_SEQUENTIAL_GROWTH","FQ2 2018","FQ2 2018","Currency=INR","Period=FQ","BEST_FPERIOD_OVERRIDE=FQ","FILING_STATUS=OR","EQY_CONSOLIDATED=Y","Sort=A","Dates=H","DateFormat=P","Fill=—","Direction=H","UseDPDF=Y")</f>
        <v>#NAME?</v>
      </c>
      <c r="BL600" s="2" t="e">
        <f ca="1">_xll.BDH($C$578,"ACCOUNTS_RECEIVABLE_SEQ_GROWTH","FQ2 2018","FQ2 2018","Currency=INR","Period=FQ","BEST_FPERIOD_OVERRIDE=FQ","FILING_STATUS=OR","EQY_CONSOLIDATED=Y","Sort=A","Dates=H","DateFormat=P","Fill=—","Direction=H","UseDPDF=Y")</f>
        <v>#NAME?</v>
      </c>
      <c r="BM600" s="2" t="e">
        <f ca="1">_xll.BDH($C$578,"INVENTORY_SEQUENTIAL_GROWTH","FQ2 2018","FQ2 2018","Currency=INR","Period=FQ","BEST_FPERIOD_OVERRIDE=FQ","FILING_STATUS=OR","EQY_CONSOLIDATED=Y","Sort=A","Dates=H","DateFormat=P","Fill=—","Direction=H","UseDPDF=Y")</f>
        <v>#NAME?</v>
      </c>
      <c r="BN600" s="2" t="e">
        <f ca="1">_xll.BDH($C$578,"FIXED_ASSETS_SEQUENTIAL_GROWTH","FQ2 2018","FQ2 2018","Currency=INR","Period=FQ","BEST_FPERIOD_OVERRIDE=FQ","FILING_STATUS=OR","EQY_CONSOLIDATED=Y","Sort=A","Dates=H","DateFormat=P","Fill=—","Direction=H","UseDPDF=Y")</f>
        <v>#NAME?</v>
      </c>
      <c r="BO600" s="2" t="e">
        <f ca="1">_xll.BDH($C$578,"TOTAL_ASSETS_SEQUENTIAL_GROWTH","FQ2 2018","FQ2 2018","Currency=INR","Period=FQ","BEST_FPERIOD_OVERRIDE=FQ","FILING_STATUS=OR","EQY_CONSOLIDATED=Y","Sort=A","Dates=H","DateFormat=P","Fill=—","Direction=H","UseDPDF=Y")</f>
        <v>#NAME?</v>
      </c>
      <c r="BP600" s="2" t="e">
        <f ca="1">_xll.BDH($C$578,"MODIFIED_WORKING_CPTL_SEQ_GRWTH","FQ2 2018","FQ2 2018","Currency=INR","Period=FQ","BEST_FPERIOD_OVERRIDE=FQ","FILING_STATUS=OR","EQY_CONSOLIDATED=Y","Sort=A","Dates=H","DateFormat=P","Fill=—","Direction=H","UseDPDF=Y")</f>
        <v>#NAME?</v>
      </c>
      <c r="BQ600" s="2" t="e">
        <f ca="1">_xll.BDH($C$578,"WORKING_CAPITAL_SEQ_GROWTH","FQ2 2018","FQ2 2018","Currency=INR","Period=FQ","BEST_FPERIOD_OVERRIDE=FQ","FILING_STATUS=OR","EQY_CONSOLIDATED=Y","Sort=A","Dates=H","DateFormat=P","Fill=—","Direction=H","UseDPDF=Y")</f>
        <v>#NAME?</v>
      </c>
      <c r="BR600" s="2" t="e">
        <f ca="1">_xll.BDH($C$578,"ACCOUNTS_PAYABLE_SEQ_GROWTH","FQ2 2018","FQ2 2018","Currency=INR","Period=FQ","BEST_FPERIOD_OVERRIDE=FQ","FILING_STATUS=OR","EQY_CONSOLIDATED=Y","Sort=A","Dates=H","DateFormat=P","Fill=—","Direction=H","UseDPDF=Y")</f>
        <v>#NAME?</v>
      </c>
      <c r="BS600" s="2" t="e">
        <f ca="1">_xll.BDH($C$578,"ST_DEBT_SEQUENTIAL_GROWTH","FQ2 2018","FQ2 2018","Currency=INR","Period=FQ","BEST_FPERIOD_OVERRIDE=FQ","FILING_STATUS=OR","EQY_CONSOLIDATED=Y","Sort=A","Dates=H","DateFormat=P","Fill=—","Direction=H","UseDPDF=Y")</f>
        <v>#NAME?</v>
      </c>
      <c r="BT600" s="2" t="e">
        <f ca="1">_xll.BDH($C$578,"TOTAL_DEBT_SEQUENTIAL_GROWTH","FQ2 2018","FQ2 2018","Currency=INR","Period=FQ","BEST_FPERIOD_OVERRIDE=FQ","FILING_STATUS=OR","EQY_CONSOLIDATED=Y","Sort=A","Dates=H","DateFormat=P","Fill=—","Direction=H","UseDPDF=Y")</f>
        <v>#NAME?</v>
      </c>
      <c r="BU600" s="2" t="e">
        <f ca="1">_xll.BDH($C$578,"TOTAL_EQUITY_SEQUENTIAL_GROWTH","FQ2 2018","FQ2 2018","Currency=INR","Period=FQ","BEST_FPERIOD_OVERRIDE=FQ","FILING_STATUS=OR","EQY_CONSOLIDATED=Y","Sort=A","Dates=H","DateFormat=P","Fill=—","Direction=H","UseDPDF=Y")</f>
        <v>#NAME?</v>
      </c>
      <c r="BV600" s="2" t="e">
        <f ca="1">_xll.BDH($C$578,"TOTAL_CAPITAL_SEQUENTIAL_GROWTH","FQ2 2018","FQ2 2018","Currency=INR","Period=FQ","BEST_FPERIOD_OVERRIDE=FQ","FILING_STATUS=OR","EQY_CONSOLIDATED=Y","Sort=A","Dates=H","DateFormat=P","Fill=—","Direction=H","UseDPDF=Y")</f>
        <v>#NAME?</v>
      </c>
      <c r="BW600" s="2" t="e">
        <f ca="1">_xll.BDH($C$578,"BPS_SEQUENTIAL_GROWTH","FQ2 2018","FQ2 2018","Currency=INR","Period=FQ","BEST_FPERIOD_OVERRIDE=FQ","FILING_STATUS=OR","EQY_CONSOLIDATED=Y","Sort=A","Dates=H","DateFormat=P","Fill=—","Direction=H","UseDPDF=Y")</f>
        <v>#NAME?</v>
      </c>
      <c r="BX600" s="2" t="e">
        <f ca="1">_xll.BDH($C$578,"CFO_SEQUENTIAL_GROWTH","FQ2 2018","FQ2 2018","Currency=INR","Period=FQ","BEST_FPERIOD_OVERRIDE=FQ","FILING_STATUS=OR","EQY_CONSOLIDATED=Y","Sort=A","Dates=H","DateFormat=P","Fill=—","Direction=H","UseDPDF=Y")</f>
        <v>#NAME?</v>
      </c>
      <c r="BY600" s="3" t="e">
        <f ca="1">_xll.BDH($C$578,"SHORT_AND_LONG_TERM_DEBT","FQ2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600" s="3" t="e">
        <f ca="1">_xll.BDH($C$578,"BS_ST_BORROW","FQ2 2018","FQ2 2018","Currency=INR","Period=FQ","BEST_FPERIOD_OVERRIDE=FQ","FILING_STATUS=OR","EQY_CONSOLIDATED=Y","SCALING_FORMAT=MLN","Sort=A","Dates=H","DateFormat=P","Fill=—","Direction=H","UseDPDF=Y")</f>
        <v>#NAME?</v>
      </c>
      <c r="CA600" s="3" t="e">
        <f ca="1">_xll.BDH($C$578,"BS_LT_BORROW","FQ2 2018","FQ2 2018","Currency=INR","Period=FQ","BEST_FPERIOD_OVERRIDE=FQ","FILING_STATUS=OR","EQY_CONSOLIDATED=Y","SCALING_FORMAT=MLN","Sort=A","Dates=H","DateFormat=P","Fill=—","Direction=H","UseDPDF=Y")</f>
        <v>#NAME?</v>
      </c>
      <c r="CB600" s="2" t="e">
        <f ca="1">_xll.BDH($C$578,"TOT_DEBT_TO_EBITDA","FQ2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600" s="2" t="e">
        <f ca="1">_xll.BDH($C$578,"NET_DEBT_TO_EBITDA","FQ2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600" s="2" t="e">
        <f ca="1">_xll.BDH($C$578,"TOTAL_DEBT_TO_EBIT","FQ2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600" s="2" t="e">
        <f ca="1">_xll.BDH($C$578,"NET_DEBT_TO_EBIT","FQ2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600" s="2" t="e">
        <f ca="1">_xll.BDH($C$578,"EBITDA_TO_INTEREST_EXPN","FQ2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600" s="2" t="e">
        <f ca="1">_xll.BDH($C$578,"COM_EQY_TO_TOT_ASSET","FQ2 2018","FQ2 2018","Currency=INR","Period=FQ","BEST_FPERIOD_OVERRIDE=FQ","FILING_STATUS=OR","EQY_CONSOLIDATED=Y","Sort=A","Dates=H","DateFormat=P","Fill=—","Direction=H","UseDPDF=Y")</f>
        <v>#NAME?</v>
      </c>
      <c r="CH600" s="2" t="e">
        <f ca="1">_xll.BDH($C$578,"LT_DEBT_TO_TOT_EQY","FQ2 2018","FQ2 2018","Currency=INR","Period=FQ","BEST_FPERIOD_OVERRIDE=FQ","FILING_STATUS=OR","EQY_CONSOLIDATED=Y","Sort=A","Dates=H","DateFormat=P","Fill=—","Direction=H","UseDPDF=Y")</f>
        <v>#NAME?</v>
      </c>
      <c r="CI600" s="2" t="e">
        <f ca="1">_xll.BDH($C$578,"LT_DEBT_TO_TOT_CAP","FQ2 2018","FQ2 2018","Currency=INR","Period=FQ","BEST_FPERIOD_OVERRIDE=FQ","FILING_STATUS=OR","EQY_CONSOLIDATED=Y","Sort=A","Dates=H","DateFormat=P","Fill=—","Direction=H","UseDPDF=Y")</f>
        <v>#NAME?</v>
      </c>
      <c r="CJ600" s="2" t="e">
        <f ca="1">_xll.BDH($C$578,"LT_DEBT_TO_TOT_ASSET","FQ2 2018","FQ2 2018","Currency=INR","Period=FQ","BEST_FPERIOD_OVERRIDE=FQ","FILING_STATUS=OR","EQY_CONSOLIDATED=Y","Sort=A","Dates=H","DateFormat=P","Fill=—","Direction=H","UseDPDF=Y")</f>
        <v>#NAME?</v>
      </c>
      <c r="CK600" s="2" t="e">
        <f ca="1">_xll.BDH($C$578,"TOT_DEBT_TO_TOT_EQY","FQ2 2018","FQ2 2018","Currency=INR","Period=FQ","BEST_FPERIOD_OVERRIDE=FQ","FILING_STATUS=OR","EQY_CONSOLIDATED=Y","Sort=A","Dates=H","DateFormat=P","Fill=—","Direction=H","UseDPDF=Y")</f>
        <v>#NAME?</v>
      </c>
      <c r="CL600" s="2" t="e">
        <f ca="1">_xll.BDH($C$578,"TOT_DEBT_TO_TOT_CAP","FQ2 2018","FQ2 2018","Currency=INR","Period=FQ","BEST_FPERIOD_OVERRIDE=FQ","FILING_STATUS=OR","EQY_CONSOLIDATED=Y","Sort=A","Dates=H","DateFormat=P","Fill=—","Direction=H","UseDPDF=Y")</f>
        <v>#NAME?</v>
      </c>
      <c r="CM600" s="2" t="e">
        <f ca="1">_xll.BDH($C$578,"TOT_DEBT_TO_TOT_ASSET","FQ2 2018","FQ2 2018","Currency=INR","Period=FQ","BEST_FPERIOD_OVERRIDE=FQ","FILING_STATUS=OR","EQY_CONSOLIDATED=Y","Sort=A","Dates=H","DateFormat=P","Fill=—","Direction=H","UseDPDF=Y")</f>
        <v>#NAME?</v>
      </c>
      <c r="CN600" s="2" t="e">
        <f ca="1">_xll.BDH($C$578,"NET_DEBT_TO_SHRHLDR_EQTY","FQ2 2018","FQ2 2018","Currency=INR","Period=FQ","BEST_FPERIOD_OVERRIDE=FQ","FILING_STATUS=OR","EQY_CONSOLIDATED=Y","Sort=A","Dates=H","DateFormat=P","Fill=—","Direction=H","UseDPDF=Y")</f>
        <v>#NAME?</v>
      </c>
      <c r="CO600" s="2" t="e">
        <f ca="1">_xll.BDH($C$578,"NET_DEBT_%_CAPITAL","FQ2 2018","FQ2 2018","Currency=INR","Period=FQ","BEST_FPERIOD_OVERRIDE=FQ","FILING_STATUS=OR","EQY_CONSOLIDATED=Y","Sort=A","Dates=H","DateFormat=P","Fill=—","Direction=H","UseDPDF=Y")</f>
        <v>#NAME?</v>
      </c>
      <c r="CP600" s="3" t="e">
        <f ca="1">_xll.BDH($C$578,"EBITDA","FQ2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600" s="3" t="e">
        <f ca="1">_xll.BDH($C$578,"EBITDA_AFTER_CAPEX","FQ2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600" s="3" t="e">
        <f ca="1">_xll.BDH($C$578,"IS_OPER_INC","FQ2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600" s="2" t="e">
        <f ca="1">_xll.BDH($C$578,"CASH_RATIO","FQ2 2018","FQ2 2018","Currency=INR","Period=FQ","BEST_FPERIOD_OVERRIDE=FQ","FILING_STATUS=OR","EQY_CONSOLIDATED=Y","Sort=A","Dates=H","DateFormat=P","Fill=—","Direction=H","UseDPDF=Y")</f>
        <v>#NAME?</v>
      </c>
      <c r="CT600" s="2" t="e">
        <f ca="1">_xll.BDH($C$578,"CUR_RATIO","FQ2 2018","FQ2 2018","Currency=INR","Period=FQ","BEST_FPERIOD_OVERRIDE=FQ","FILING_STATUS=OR","EQY_CONSOLIDATED=Y","Sort=A","Dates=H","DateFormat=P","Fill=—","Direction=H","UseDPDF=Y")</f>
        <v>#NAME?</v>
      </c>
      <c r="CU600" s="2" t="e">
        <f ca="1">_xll.BDH($C$578,"QUICK_RATIO","FQ2 2018","FQ2 2018","Currency=INR","Period=FQ","BEST_FPERIOD_OVERRIDE=FQ","FILING_STATUS=OR","EQY_CONSOLIDATED=Y","Sort=A","Dates=H","DateFormat=P","Fill=—","Direction=H","UseDPDF=Y")</f>
        <v>#NAME?</v>
      </c>
      <c r="CV600" s="2" t="e">
        <f ca="1">_xll.BDH($C$578,"ALTMAN_Z_SCORE","FQ2 2018","FQ2 2018","Currency=INR","Period=FQ","BEST_FPERIOD_OVERRIDE=FQ","FILING_STATUS=OR","EQY_CONSOLIDATED=Y","Sort=A","Dates=H","DateFormat=P","Fill=—","Direction=H","UseDPDF=Y")</f>
        <v>#NAME?</v>
      </c>
      <c r="CW600" s="4" t="e">
        <f ca="1">_xll.BDH($C$578,"ACCT_RCV_TURN","FQ2 2018","FQ2 2018","Currency=INR","Period=FQ","BEST_FPERIOD_OVERRIDE=FQ","FILING_STATUS=OR","EQY_CONSOLIDATED=Y","FA_ADJUSTED=GAAP","Sort=A","Dates=H","DateFormat=P","Fill=—","Direction=H","UseDPDF=Y")</f>
        <v>#NAME?</v>
      </c>
      <c r="CX600" s="2" t="e">
        <f ca="1">_xll.BDH($C$578,"ACCT_RCV_DAYS","FQ2 2018","FQ2 2018","Currency=INR","Period=FQ","BEST_FPERIOD_OVERRIDE=FQ","FILING_STATUS=OR","EQY_CONSOLIDATED=Y","FA_ADJUSTED=GAAP","Sort=A","Dates=H","DateFormat=P","Fill=—","Direction=H","UseDPDF=Y")</f>
        <v>#NAME?</v>
      </c>
      <c r="CY600" s="4" t="e">
        <f ca="1">_xll.BDH($C$578,"INVENT_TURN","FQ2 2018","FQ2 2018","Currency=INR","Period=FQ","BEST_FPERIOD_OVERRIDE=FQ","FILING_STATUS=OR","EQY_CONSOLIDATED=Y","FA_ADJUSTED=GAAP","Sort=A","Dates=H","DateFormat=P","Fill=—","Direction=H","UseDPDF=Y")</f>
        <v>#NAME?</v>
      </c>
      <c r="CZ600" s="2" t="e">
        <f ca="1">_xll.BDH($C$578,"INVENT_DAYS","FQ2 2018","FQ2 2018","Currency=INR","Period=FQ","BEST_FPERIOD_OVERRIDE=FQ","FILING_STATUS=OR","EQY_CONSOLIDATED=Y","FA_ADJUSTED=GAAP","Sort=A","Dates=H","DateFormat=P","Fill=—","Direction=H","UseDPDF=Y")</f>
        <v>#NAME?</v>
      </c>
      <c r="DA600" s="4" t="e">
        <f ca="1">_xll.BDH($C$578,"ACCOUNTS_PAYABLE_TURNOVER","FQ2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600" s="2" t="e">
        <f ca="1">_xll.BDH($C$578,"ACCOUNTS_PAYABLE_TURNOVER_DAYS","FQ2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600" s="4" t="e">
        <f ca="1">_xll.BDH($C$578,"CASH_CONVERSION_CYCLE","FQ2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600" s="4" t="e">
        <f ca="1">_xll.BDH($C$578,"INV_TO_CASH_DAYS","FQ2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600" s="5" t="e">
        <f ca="1">_xll.BDH($C$578,"BS_INVENTORIES","FQ2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600" s="3" t="e">
        <f ca="1">_xll.BDH($C$578,"INVTRY_RAW_MATERIALS","FQ2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600" s="3" t="e">
        <f ca="1">_xll.BDH($C$578,"INVTRY_IN_PROGRESS","FQ2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600" s="3" t="e">
        <f ca="1">_xll.BDH($C$578,"INVTRY_FINISHED_GOODS","FQ2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600" s="3" t="e">
        <f ca="1">_xll.BDH($C$578,"BS_OTHER_INV","FQ2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601" spans="1:113" x14ac:dyDescent="0.3">
      <c r="A601" s="6"/>
      <c r="B601" s="6"/>
      <c r="C601" s="6"/>
      <c r="D601" s="6"/>
      <c r="E601" t="s">
        <v>80</v>
      </c>
      <c r="F601" t="e">
        <f ca="1">_xll.BDH($C$578,"RETURN_COM_EQY","FQ3 2018","FQ3 2018","Currency=INR","Period=FQ","BEST_FPERIOD_OVERRIDE=FQ","FILING_STATUS=OR","EQY_CONSOLIDATED=Y","FA_ADJUSTED=GAAP","Sort=A","Dates=H","DateFormat=P","Fill=—","Direction=H","UseDPDF=Y")</f>
        <v>#NAME?</v>
      </c>
      <c r="G601" t="e">
        <f ca="1">_xll.BDH($C$578,"RETURN_ON_ASSET","FQ3 2018","FQ3 2018","Currency=INR","Period=FQ","BEST_FPERIOD_OVERRIDE=FQ","FILING_STATUS=OR","EQY_CONSOLIDATED=Y","FA_ADJUSTED=GAAP","Sort=A","Dates=H","DateFormat=P","Fill=—","Direction=H","UseDPDF=Y")</f>
        <v>#NAME?</v>
      </c>
      <c r="H601" t="e">
        <f ca="1">_xll.BDH($C$578,"RETURN_ON_CAP","FQ3 2018","FQ3 2018","Currency=INR","Period=FQ","BEST_FPERIOD_OVERRIDE=FQ","FILING_STATUS=OR","EQY_CONSOLIDATED=Y","FA_ADJUSTED=GAAP","Sort=A","Dates=H","DateFormat=P","Fill=—","Direction=H","UseDPDF=Y")</f>
        <v>#NAME?</v>
      </c>
      <c r="I601" t="e">
        <f ca="1">_xll.BDH($C$578,"RETURN_ON_INV_CAPITAL","FQ3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601" t="e">
        <f ca="1">_xll.BDH($C$578,"EBITDA_TO_REVENUE","FQ3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601" t="e">
        <f ca="1">_xll.BDH($C$578,"OPER_MARGIN","FQ3 2018","FQ3 2018","Currency=INR","Period=FQ","BEST_FPERIOD_OVERRIDE=FQ","FILING_STATUS=OR","EQY_CONSOLIDATED=Y","FA_ADJUSTED=GAAP","Sort=A","Dates=H","DateFormat=P","Fill=—","Direction=H","UseDPDF=Y")</f>
        <v>#NAME?</v>
      </c>
      <c r="L601" t="e">
        <f ca="1">_xll.BDH($C$578,"INCREMENTAL_OPERATING_MARGIN","FQ3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601" t="e">
        <f ca="1">_xll.BDH($C$578,"PRETAX_INC_TO_NET_SALES","FQ3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601" t="e">
        <f ca="1">_xll.BDH($C$578,"INC_BEF_XO_ITEMS_TO_NET_SALES","FQ3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601" t="e">
        <f ca="1">_xll.BDH($C$578,"PROF_MARGIN","FQ3 2018","FQ3 2018","Currency=INR","Period=FQ","BEST_FPERIOD_OVERRIDE=FQ","FILING_STATUS=OR","EQY_CONSOLIDATED=Y","FA_ADJUSTED=GAAP","Sort=A","Dates=H","DateFormat=P","Fill=—","Direction=H","UseDPDF=Y")</f>
        <v>#NAME?</v>
      </c>
      <c r="P601" t="e">
        <f ca="1">_xll.BDH($C$578,"NET_INCOME_TO_COMMON_MARGIN","FQ3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601" t="e">
        <f ca="1">_xll.BDH($C$578,"EFF_TAX_RATE","FQ3 2018","FQ3 2018","Currency=INR","Period=FQ","BEST_FPERIOD_OVERRIDE=FQ","FILING_STATUS=OR","EQY_CONSOLIDATED=Y","FA_ADJUSTED=GAAP","Sort=A","Dates=H","DateFormat=P","Fill=—","Direction=H","UseDPDF=Y")</f>
        <v>#NAME?</v>
      </c>
      <c r="R601" t="e">
        <f ca="1">_xll.BDH($C$578,"DVD_PAYOUT_RATIO","FQ3 2018","FQ3 2018","Currency=INR","Period=FQ","BEST_FPERIOD_OVERRIDE=FQ","FILING_STATUS=OR","EQY_CONSOLIDATED=Y","FA_ADJUSTED=GAAP","Sort=A","Dates=H","DateFormat=P","Fill=—","Direction=H","UseDPDF=Y")</f>
        <v>#NAME?</v>
      </c>
      <c r="S601" t="e">
        <f ca="1">_xll.BDH($C$578,"SUSTAIN_GROWTH_RT","FQ3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601" s="2" t="e">
        <f ca="1">_xll.BDH($C$578,"SALES_GROWTH","FQ3 2018","FQ3 2018","Currency=INR","Period=FQ","BEST_FPERIOD_OVERRIDE=FQ","FILING_STATUS=OR","EQY_CONSOLIDATED=Y","FA_ADJUSTED=GAAP","Sort=A","Dates=H","DateFormat=P","Fill=—","Direction=H","UseDPDF=Y")</f>
        <v>#NAME?</v>
      </c>
      <c r="U601" s="2" t="e">
        <f ca="1">_xll.BDH($C$578,"EBITDA_GROWTH","FQ3 2018","FQ3 2018","Currency=INR","Period=FQ","BEST_FPERIOD_OVERRIDE=FQ","FILING_STATUS=OR","EQY_CONSOLIDATED=Y","FA_ADJUSTED=GAAP","Sort=A","Dates=H","DateFormat=P","Fill=—","Direction=H","UseDPDF=Y")</f>
        <v>#NAME?</v>
      </c>
      <c r="V601" s="2" t="e">
        <f ca="1">_xll.BDH($C$578,"OPER_INC_GROWTH","FQ3 2018","FQ3 2018","Currency=INR","Period=FQ","BEST_FPERIOD_OVERRIDE=FQ","FILING_STATUS=OR","EQY_CONSOLIDATED=Y","FA_ADJUSTED=GAAP","Sort=A","Dates=H","DateFormat=P","Fill=—","Direction=H","UseDPDF=Y")</f>
        <v>#NAME?</v>
      </c>
      <c r="W601" s="2" t="e">
        <f ca="1">_xll.BDH($C$578,"EARN_FOR_COM_GROWTH","FQ3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601" s="2" t="e">
        <f ca="1">_xll.BDH($C$578,"DILUTED_EPS_AFT_XO_ITEMS_GROWTH","FQ3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601" s="2" t="e">
        <f ca="1">_xll.BDH($C$578,"DIVIDEND_PER_SHARE_1_YEAR_GROWTH","FQ3 2018","FQ3 2018","Currency=INR","Period=FQ","BEST_FPERIOD_OVERRIDE=FQ","FILING_STATUS=OR","EQY_CONSOLIDATED=Y","Sort=A","Dates=H","DateFormat=P","Fill=—","Direction=H","UseDPDF=Y")</f>
        <v>#NAME?</v>
      </c>
      <c r="Z601" s="2" t="e">
        <f ca="1">_xll.BDH($C$578,"ACCOUNTS_RECEIVABLE_GROWTH","FQ3 2018","FQ3 2018","Currency=INR","Period=FQ","BEST_FPERIOD_OVERRIDE=FQ","FILING_STATUS=OR","EQY_CONSOLIDATED=Y","Sort=A","Dates=H","DateFormat=P","Fill=—","Direction=H","UseDPDF=Y")</f>
        <v>#NAME?</v>
      </c>
      <c r="AA601" s="2" t="e">
        <f ca="1">_xll.BDH($C$578,"INVENTORY_GROWTH","FQ3 2018","FQ3 2018","Currency=INR","Period=FQ","BEST_FPERIOD_OVERRIDE=FQ","FILING_STATUS=OR","EQY_CONSOLIDATED=Y","Sort=A","Dates=H","DateFormat=P","Fill=—","Direction=H","UseDPDF=Y")</f>
        <v>#NAME?</v>
      </c>
      <c r="AB601" s="2" t="e">
        <f ca="1">_xll.BDH($C$578,"NET_FIXED_ASSETS_1_YEAR_GROWTH","FQ3 2018","FQ3 2018","Currency=INR","Period=FQ","BEST_FPERIOD_OVERRIDE=FQ","FILING_STATUS=OR","EQY_CONSOLIDATED=Y","Sort=A","Dates=H","DateFormat=P","Fill=—","Direction=H","UseDPDF=Y")</f>
        <v>#NAME?</v>
      </c>
      <c r="AC601" s="2" t="e">
        <f ca="1">_xll.BDH($C$578,"ASSET_GROWTH","FQ3 2018","FQ3 2018","Currency=INR","Period=FQ","BEST_FPERIOD_OVERRIDE=FQ","FILING_STATUS=OR","EQY_CONSOLIDATED=Y","Sort=A","Dates=H","DateFormat=P","Fill=—","Direction=H","UseDPDF=Y")</f>
        <v>#NAME?</v>
      </c>
      <c r="AD601" s="2" t="e">
        <f ca="1">_xll.BDH($C$578,"MODIFIED_WORK_CAP_GROWTH","FQ3 2018","FQ3 2018","Currency=INR","Period=FQ","BEST_FPERIOD_OVERRIDE=FQ","FILING_STATUS=OR","EQY_CONSOLIDATED=Y","Sort=A","Dates=H","DateFormat=P","Fill=—","Direction=H","UseDPDF=Y")</f>
        <v>#NAME?</v>
      </c>
      <c r="AE601" s="2" t="e">
        <f ca="1">_xll.BDH($C$578,"WORK_CAP_GROWTH","FQ3 2018","FQ3 2018","Currency=INR","Period=FQ","BEST_FPERIOD_OVERRIDE=FQ","FILING_STATUS=OR","EQY_CONSOLIDATED=Y","Sort=A","Dates=H","DateFormat=P","Fill=—","Direction=H","UseDPDF=Y")</f>
        <v>#NAME?</v>
      </c>
      <c r="AF601" s="2" t="e">
        <f ca="1">_xll.BDH($C$578,"ACCOUNTS_PAYABLE_GROWTH_1YR","FQ3 2018","FQ3 2018","Currency=INR","Period=FQ","BEST_FPERIOD_OVERRIDE=FQ","FILING_STATUS=OR","EQY_CONSOLIDATED=Y","Sort=A","Dates=H","DateFormat=P","Fill=—","Direction=H","UseDPDF=Y")</f>
        <v>#NAME?</v>
      </c>
      <c r="AG601" s="2" t="e">
        <f ca="1">_xll.BDH($C$578,"SHORT_TERM_DEBT_1_YEAR_GROWTH","FQ3 2018","FQ3 2018","Currency=INR","Period=FQ","BEST_FPERIOD_OVERRIDE=FQ","FILING_STATUS=OR","EQY_CONSOLIDATED=Y","Sort=A","Dates=H","DateFormat=P","Fill=—","Direction=H","UseDPDF=Y")</f>
        <v>#NAME?</v>
      </c>
      <c r="AH601" s="2" t="e">
        <f ca="1">_xll.BDH($C$578,"TOTAL_DEBT_1_YEAR_GROWTH","FQ3 2018","FQ3 2018","Currency=INR","Period=FQ","BEST_FPERIOD_OVERRIDE=FQ","FILING_STATUS=OR","EQY_CONSOLIDATED=Y","Sort=A","Dates=H","DateFormat=P","Fill=—","Direction=H","UseDPDF=Y")</f>
        <v>#NAME?</v>
      </c>
      <c r="AI601" s="2" t="e">
        <f ca="1">_xll.BDH($C$578,"TOTAL_EQUITY_1_YEAR_GROWTH","FQ3 2018","FQ3 2018","Currency=INR","Period=FQ","BEST_FPERIOD_OVERRIDE=FQ","FILING_STATUS=OR","EQY_CONSOLIDATED=Y","Sort=A","Dates=H","DateFormat=P","Fill=—","Direction=H","UseDPDF=Y")</f>
        <v>#NAME?</v>
      </c>
      <c r="AJ601" s="2" t="e">
        <f ca="1">_xll.BDH($C$578,"GROWTH_IN_CAP","FQ3 2018","FQ3 2018","Currency=INR","Period=FQ","BEST_FPERIOD_OVERRIDE=FQ","FILING_STATUS=OR","EQY_CONSOLIDATED=Y","Sort=A","Dates=H","DateFormat=P","Fill=—","Direction=H","UseDPDF=Y")</f>
        <v>#NAME?</v>
      </c>
      <c r="AK601" s="2" t="e">
        <f ca="1">_xll.BDH($C$578,"BVPS_GROWTH","FQ3 2018","FQ3 2018","Currency=INR","Period=FQ","BEST_FPERIOD_OVERRIDE=FQ","FILING_STATUS=OR","EQY_CONSOLIDATED=Y","Sort=A","Dates=H","DateFormat=P","Fill=—","Direction=H","UseDPDF=Y")</f>
        <v>#NAME?</v>
      </c>
      <c r="AL601" s="2" t="e">
        <f ca="1">_xll.BDH($C$578,"CASH_FLOW_GROWTH","FQ3 2018","FQ3 2018","Currency=INR","Period=FQ","BEST_FPERIOD_OVERRIDE=FQ","FILING_STATUS=OR","EQY_CONSOLIDATED=Y","Sort=A","Dates=H","DateFormat=P","Fill=—","Direction=H","UseDPDF=Y")</f>
        <v>#NAME?</v>
      </c>
      <c r="AM601" s="2" t="e">
        <f ca="1">_xll.BDH($C$578,"GEO_GROW_NET_SALES","FQ3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601" s="2" t="e">
        <f ca="1">_xll.BDH($C$578,"GEO_GROW_EBITDA","FQ3 2018","FQ3 2018","Currency=INR","Period=FQ","BEST_FPERIOD_OVERRIDE=FQ","FILING_STATUS=OR","EQY_CONSOLIDATED=Y","FA_ADJUSTED=GAAP","Sort=A","Dates=H","DateFormat=P","Fill=—","Direction=H","UseDPDF=Y")</f>
        <v>#NAME?</v>
      </c>
      <c r="AO601" s="2" t="e">
        <f ca="1">_xll.BDH($C$578,"GEO_GROW_OPER_INC","FQ3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601" s="2" t="e">
        <f ca="1">_xll.BDH($C$578,"NET_INCOME_TO_COMMON_5_YR_GROWTH","FQ3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601" s="2" t="e">
        <f ca="1">_xll.BDH($C$578,"5Y_GEO_GROWTH_DILUTED_EPS","FQ3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601" s="2" t="e">
        <f ca="1">_xll.BDH($C$578,"GEO_GROW_DVD_PER_SH","FQ3 2018","FQ3 2018","Currency=INR","Period=FQ","BEST_FPERIOD_OVERRIDE=FQ","FILING_STATUS=OR","EQY_CONSOLIDATED=Y","Sort=A","Dates=H","DateFormat=P","Fill=—","Direction=H","UseDPDF=Y")</f>
        <v>#NAME?</v>
      </c>
      <c r="AS601" s="2" t="e">
        <f ca="1">_xll.BDH($C$578,"ACCOUNTS_RECEIVABLE_5_YR_GROWTH","FQ3 2018","FQ3 2018","Currency=INR","Period=FQ","BEST_FPERIOD_OVERRIDE=FQ","FILING_STATUS=OR","EQY_CONSOLIDATED=Y","Sort=A","Dates=H","DateFormat=P","Fill=—","Direction=H","UseDPDF=Y")</f>
        <v>#NAME?</v>
      </c>
      <c r="AT601" s="2" t="e">
        <f ca="1">_xll.BDH($C$578,"INVENTORY_5_YEAR_GROWTH","FQ3 2018","FQ3 2018","Currency=INR","Period=FQ","BEST_FPERIOD_OVERRIDE=FQ","FILING_STATUS=OR","EQY_CONSOLIDATED=Y","Sort=A","Dates=H","DateFormat=P","Fill=—","Direction=H","UseDPDF=Y")</f>
        <v>#NAME?</v>
      </c>
      <c r="AU601" s="2" t="e">
        <f ca="1">_xll.BDH($C$578,"NET_FIXED_ASSETS_5_YEAR_GROWTH","FQ3 2018","FQ3 2018","Currency=INR","Period=FQ","BEST_FPERIOD_OVERRIDE=FQ","FILING_STATUS=OR","EQY_CONSOLIDATED=Y","Sort=A","Dates=H","DateFormat=P","Fill=—","Direction=H","UseDPDF=Y")</f>
        <v>#NAME?</v>
      </c>
      <c r="AV601" s="2" t="e">
        <f ca="1">_xll.BDH($C$578,"GEO_GROW_TOT_ASSET","FQ3 2018","FQ3 2018","Currency=INR","Period=FQ","BEST_FPERIOD_OVERRIDE=FQ","FILING_STATUS=OR","EQY_CONSOLIDATED=Y","Sort=A","Dates=H","DateFormat=P","Fill=—","Direction=H","UseDPDF=Y")</f>
        <v>#NAME?</v>
      </c>
      <c r="AW601" s="2" t="e">
        <f ca="1">_xll.BDH($C$578,"MODIFIED_WORKING_CPTL_5YR_GRWTH","FQ3 2018","FQ3 2018","Currency=INR","Period=FQ","BEST_FPERIOD_OVERRIDE=FQ","FILING_STATUS=OR","EQY_CONSOLIDATED=Y","Sort=A","Dates=H","DateFormat=P","Fill=—","Direction=H","UseDPDF=Y")</f>
        <v>#NAME?</v>
      </c>
      <c r="AX601" s="2" t="e">
        <f ca="1">_xll.BDH($C$578,"WORKING_CAPITAL_5_YEAR_GROWTH","FQ3 2018","FQ3 2018","Currency=INR","Period=FQ","BEST_FPERIOD_OVERRIDE=FQ","FILING_STATUS=OR","EQY_CONSOLIDATED=Y","Sort=A","Dates=H","DateFormat=P","Fill=—","Direction=H","UseDPDF=Y")</f>
        <v>#NAME?</v>
      </c>
      <c r="AY601" s="2" t="e">
        <f ca="1">_xll.BDH($C$578,"ACCOUNTS_PAYABLE_5_YEAR_GROWTH","FQ3 2018","FQ3 2018","Currency=INR","Period=FQ","BEST_FPERIOD_OVERRIDE=FQ","FILING_STATUS=OR","EQY_CONSOLIDATED=Y","Sort=A","Dates=H","DateFormat=P","Fill=—","Direction=H","UseDPDF=Y")</f>
        <v>#NAME?</v>
      </c>
      <c r="AZ601" s="2" t="e">
        <f ca="1">_xll.BDH($C$578,"SHORT_TERM_DEBT_5_YEAR_GROWTH","FQ3 2018","FQ3 2018","Currency=INR","Period=FQ","BEST_FPERIOD_OVERRIDE=FQ","FILING_STATUS=OR","EQY_CONSOLIDATED=Y","Sort=A","Dates=H","DateFormat=P","Fill=—","Direction=H","UseDPDF=Y")</f>
        <v>#NAME?</v>
      </c>
      <c r="BA601" s="2" t="e">
        <f ca="1">_xll.BDH($C$578,"TOTAL_DEBT_5_YEAR_GROWTH","FQ3 2018","FQ3 2018","Currency=INR","Period=FQ","BEST_FPERIOD_OVERRIDE=FQ","FILING_STATUS=OR","EQY_CONSOLIDATED=Y","Sort=A","Dates=H","DateFormat=P","Fill=—","Direction=H","UseDPDF=Y")</f>
        <v>#NAME?</v>
      </c>
      <c r="BB601" s="2" t="e">
        <f ca="1">_xll.BDH($C$578,"GEO_GROW_TOT_SHRHLDR_EQY","FQ3 2018","FQ3 2018","Currency=INR","Period=FQ","BEST_FPERIOD_OVERRIDE=FQ","FILING_STATUS=OR","EQY_CONSOLIDATED=Y","Sort=A","Dates=H","DateFormat=P","Fill=—","Direction=H","UseDPDF=Y")</f>
        <v>#NAME?</v>
      </c>
      <c r="BC601" s="2" t="e">
        <f ca="1">_xll.BDH($C$578,"TOTAL_CAPITAL_5_YEAR_GROWTH","FQ3 2018","FQ3 2018","Currency=INR","Period=FQ","BEST_FPERIOD_OVERRIDE=FQ","FILING_STATUS=OR","EQY_CONSOLIDATED=Y","Sort=A","Dates=H","DateFormat=P","Fill=—","Direction=H","UseDPDF=Y")</f>
        <v>#NAME?</v>
      </c>
      <c r="BD601" s="2" t="e">
        <f ca="1">_xll.BDH($C$578,"GEO_GROW_BOOK_VAL","FQ3 2018","FQ3 2018","Currency=INR","Period=FQ","BEST_FPERIOD_OVERRIDE=FQ","FILING_STATUS=OR","EQY_CONSOLIDATED=Y","Sort=A","Dates=H","DateFormat=P","Fill=—","Direction=H","UseDPDF=Y")</f>
        <v>#NAME?</v>
      </c>
      <c r="BE601" s="2" t="e">
        <f ca="1">_xll.BDH($C$578,"GEO_GROW_CASH_OPER_ACT","FQ3 2018","FQ3 2018","Currency=INR","Period=FQ","BEST_FPERIOD_OVERRIDE=FQ","FILING_STATUS=OR","EQY_CONSOLIDATED=Y","Sort=A","Dates=H","DateFormat=P","Fill=—","Direction=H","UseDPDF=Y")</f>
        <v>#NAME?</v>
      </c>
      <c r="BF601" s="2" t="e">
        <f ca="1">_xll.BDH($C$578,"REVENUE_SEQUENTIAL_GROWTH","FQ3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601" s="2" t="e">
        <f ca="1">_xll.BDH($C$578,"EBITDA_SEQUENTIAL_GROWTH","FQ3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601" s="2" t="e">
        <f ca="1">_xll.BDH($C$578,"OPERATING_INCOME_SEQ_GROWTH","FQ3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601" s="2" t="e">
        <f ca="1">_xll.BDH($C$578,"NET_INCOME_TO_COMMON_SEQ_GROWTH","FQ3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601" s="2" t="e">
        <f ca="1">_xll.BDH($C$578,"EPS_DILUTED_SEQUENTIAL_GROWTH","FQ3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601" s="2" t="e">
        <f ca="1">_xll.BDH($C$578,"DPS_SEQUENTIAL_GROWTH","FQ3 2018","FQ3 2018","Currency=INR","Period=FQ","BEST_FPERIOD_OVERRIDE=FQ","FILING_STATUS=OR","EQY_CONSOLIDATED=Y","Sort=A","Dates=H","DateFormat=P","Fill=—","Direction=H","UseDPDF=Y")</f>
        <v>#NAME?</v>
      </c>
      <c r="BL601" s="2" t="e">
        <f ca="1">_xll.BDH($C$578,"ACCOUNTS_RECEIVABLE_SEQ_GROWTH","FQ3 2018","FQ3 2018","Currency=INR","Period=FQ","BEST_FPERIOD_OVERRIDE=FQ","FILING_STATUS=OR","EQY_CONSOLIDATED=Y","Sort=A","Dates=H","DateFormat=P","Fill=—","Direction=H","UseDPDF=Y")</f>
        <v>#NAME?</v>
      </c>
      <c r="BM601" s="2" t="e">
        <f ca="1">_xll.BDH($C$578,"INVENTORY_SEQUENTIAL_GROWTH","FQ3 2018","FQ3 2018","Currency=INR","Period=FQ","BEST_FPERIOD_OVERRIDE=FQ","FILING_STATUS=OR","EQY_CONSOLIDATED=Y","Sort=A","Dates=H","DateFormat=P","Fill=—","Direction=H","UseDPDF=Y")</f>
        <v>#NAME?</v>
      </c>
      <c r="BN601" s="2" t="e">
        <f ca="1">_xll.BDH($C$578,"FIXED_ASSETS_SEQUENTIAL_GROWTH","FQ3 2018","FQ3 2018","Currency=INR","Period=FQ","BEST_FPERIOD_OVERRIDE=FQ","FILING_STATUS=OR","EQY_CONSOLIDATED=Y","Sort=A","Dates=H","DateFormat=P","Fill=—","Direction=H","UseDPDF=Y")</f>
        <v>#NAME?</v>
      </c>
      <c r="BO601" s="2" t="e">
        <f ca="1">_xll.BDH($C$578,"TOTAL_ASSETS_SEQUENTIAL_GROWTH","FQ3 2018","FQ3 2018","Currency=INR","Period=FQ","BEST_FPERIOD_OVERRIDE=FQ","FILING_STATUS=OR","EQY_CONSOLIDATED=Y","Sort=A","Dates=H","DateFormat=P","Fill=—","Direction=H","UseDPDF=Y")</f>
        <v>#NAME?</v>
      </c>
      <c r="BP601" s="2" t="e">
        <f ca="1">_xll.BDH($C$578,"MODIFIED_WORKING_CPTL_SEQ_GRWTH","FQ3 2018","FQ3 2018","Currency=INR","Period=FQ","BEST_FPERIOD_OVERRIDE=FQ","FILING_STATUS=OR","EQY_CONSOLIDATED=Y","Sort=A","Dates=H","DateFormat=P","Fill=—","Direction=H","UseDPDF=Y")</f>
        <v>#NAME?</v>
      </c>
      <c r="BQ601" s="2" t="e">
        <f ca="1">_xll.BDH($C$578,"WORKING_CAPITAL_SEQ_GROWTH","FQ3 2018","FQ3 2018","Currency=INR","Period=FQ","BEST_FPERIOD_OVERRIDE=FQ","FILING_STATUS=OR","EQY_CONSOLIDATED=Y","Sort=A","Dates=H","DateFormat=P","Fill=—","Direction=H","UseDPDF=Y")</f>
        <v>#NAME?</v>
      </c>
      <c r="BR601" s="2" t="e">
        <f ca="1">_xll.BDH($C$578,"ACCOUNTS_PAYABLE_SEQ_GROWTH","FQ3 2018","FQ3 2018","Currency=INR","Period=FQ","BEST_FPERIOD_OVERRIDE=FQ","FILING_STATUS=OR","EQY_CONSOLIDATED=Y","Sort=A","Dates=H","DateFormat=P","Fill=—","Direction=H","UseDPDF=Y")</f>
        <v>#NAME?</v>
      </c>
      <c r="BS601" s="2" t="e">
        <f ca="1">_xll.BDH($C$578,"ST_DEBT_SEQUENTIAL_GROWTH","FQ3 2018","FQ3 2018","Currency=INR","Period=FQ","BEST_FPERIOD_OVERRIDE=FQ","FILING_STATUS=OR","EQY_CONSOLIDATED=Y","Sort=A","Dates=H","DateFormat=P","Fill=—","Direction=H","UseDPDF=Y")</f>
        <v>#NAME?</v>
      </c>
      <c r="BT601" s="2" t="e">
        <f ca="1">_xll.BDH($C$578,"TOTAL_DEBT_SEQUENTIAL_GROWTH","FQ3 2018","FQ3 2018","Currency=INR","Period=FQ","BEST_FPERIOD_OVERRIDE=FQ","FILING_STATUS=OR","EQY_CONSOLIDATED=Y","Sort=A","Dates=H","DateFormat=P","Fill=—","Direction=H","UseDPDF=Y")</f>
        <v>#NAME?</v>
      </c>
      <c r="BU601" s="2" t="e">
        <f ca="1">_xll.BDH($C$578,"TOTAL_EQUITY_SEQUENTIAL_GROWTH","FQ3 2018","FQ3 2018","Currency=INR","Period=FQ","BEST_FPERIOD_OVERRIDE=FQ","FILING_STATUS=OR","EQY_CONSOLIDATED=Y","Sort=A","Dates=H","DateFormat=P","Fill=—","Direction=H","UseDPDF=Y")</f>
        <v>#NAME?</v>
      </c>
      <c r="BV601" s="2" t="e">
        <f ca="1">_xll.BDH($C$578,"TOTAL_CAPITAL_SEQUENTIAL_GROWTH","FQ3 2018","FQ3 2018","Currency=INR","Period=FQ","BEST_FPERIOD_OVERRIDE=FQ","FILING_STATUS=OR","EQY_CONSOLIDATED=Y","Sort=A","Dates=H","DateFormat=P","Fill=—","Direction=H","UseDPDF=Y")</f>
        <v>#NAME?</v>
      </c>
      <c r="BW601" s="2" t="e">
        <f ca="1">_xll.BDH($C$578,"BPS_SEQUENTIAL_GROWTH","FQ3 2018","FQ3 2018","Currency=INR","Period=FQ","BEST_FPERIOD_OVERRIDE=FQ","FILING_STATUS=OR","EQY_CONSOLIDATED=Y","Sort=A","Dates=H","DateFormat=P","Fill=—","Direction=H","UseDPDF=Y")</f>
        <v>#NAME?</v>
      </c>
      <c r="BX601" s="2" t="e">
        <f ca="1">_xll.BDH($C$578,"CFO_SEQUENTIAL_GROWTH","FQ3 2018","FQ3 2018","Currency=INR","Period=FQ","BEST_FPERIOD_OVERRIDE=FQ","FILING_STATUS=OR","EQY_CONSOLIDATED=Y","Sort=A","Dates=H","DateFormat=P","Fill=—","Direction=H","UseDPDF=Y")</f>
        <v>#NAME?</v>
      </c>
      <c r="BY601" s="3" t="e">
        <f ca="1">_xll.BDH($C$578,"SHORT_AND_LONG_TERM_DEBT","FQ3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601" s="3" t="e">
        <f ca="1">_xll.BDH($C$578,"BS_ST_BORROW","FQ3 2018","FQ3 2018","Currency=INR","Period=FQ","BEST_FPERIOD_OVERRIDE=FQ","FILING_STATUS=OR","EQY_CONSOLIDATED=Y","SCALING_FORMAT=MLN","Sort=A","Dates=H","DateFormat=P","Fill=—","Direction=H","UseDPDF=Y")</f>
        <v>#NAME?</v>
      </c>
      <c r="CA601" s="3" t="e">
        <f ca="1">_xll.BDH($C$578,"BS_LT_BORROW","FQ3 2018","FQ3 2018","Currency=INR","Period=FQ","BEST_FPERIOD_OVERRIDE=FQ","FILING_STATUS=OR","EQY_CONSOLIDATED=Y","SCALING_FORMAT=MLN","Sort=A","Dates=H","DateFormat=P","Fill=—","Direction=H","UseDPDF=Y")</f>
        <v>#NAME?</v>
      </c>
      <c r="CB601" s="2" t="e">
        <f ca="1">_xll.BDH($C$578,"TOT_DEBT_TO_EBITDA","FQ3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601" s="2" t="e">
        <f ca="1">_xll.BDH($C$578,"NET_DEBT_TO_EBITDA","FQ3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601" s="2" t="e">
        <f ca="1">_xll.BDH($C$578,"TOTAL_DEBT_TO_EBIT","FQ3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601" s="2" t="e">
        <f ca="1">_xll.BDH($C$578,"NET_DEBT_TO_EBIT","FQ3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601" s="2" t="e">
        <f ca="1">_xll.BDH($C$578,"EBITDA_TO_INTEREST_EXPN","FQ3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601" s="2" t="e">
        <f ca="1">_xll.BDH($C$578,"COM_EQY_TO_TOT_ASSET","FQ3 2018","FQ3 2018","Currency=INR","Period=FQ","BEST_FPERIOD_OVERRIDE=FQ","FILING_STATUS=OR","EQY_CONSOLIDATED=Y","Sort=A","Dates=H","DateFormat=P","Fill=—","Direction=H","UseDPDF=Y")</f>
        <v>#NAME?</v>
      </c>
      <c r="CH601" s="2" t="e">
        <f ca="1">_xll.BDH($C$578,"LT_DEBT_TO_TOT_EQY","FQ3 2018","FQ3 2018","Currency=INR","Period=FQ","BEST_FPERIOD_OVERRIDE=FQ","FILING_STATUS=OR","EQY_CONSOLIDATED=Y","Sort=A","Dates=H","DateFormat=P","Fill=—","Direction=H","UseDPDF=Y")</f>
        <v>#NAME?</v>
      </c>
      <c r="CI601" s="2" t="e">
        <f ca="1">_xll.BDH($C$578,"LT_DEBT_TO_TOT_CAP","FQ3 2018","FQ3 2018","Currency=INR","Period=FQ","BEST_FPERIOD_OVERRIDE=FQ","FILING_STATUS=OR","EQY_CONSOLIDATED=Y","Sort=A","Dates=H","DateFormat=P","Fill=—","Direction=H","UseDPDF=Y")</f>
        <v>#NAME?</v>
      </c>
      <c r="CJ601" s="2" t="e">
        <f ca="1">_xll.BDH($C$578,"LT_DEBT_TO_TOT_ASSET","FQ3 2018","FQ3 2018","Currency=INR","Period=FQ","BEST_FPERIOD_OVERRIDE=FQ","FILING_STATUS=OR","EQY_CONSOLIDATED=Y","Sort=A","Dates=H","DateFormat=P","Fill=—","Direction=H","UseDPDF=Y")</f>
        <v>#NAME?</v>
      </c>
      <c r="CK601" s="2" t="e">
        <f ca="1">_xll.BDH($C$578,"TOT_DEBT_TO_TOT_EQY","FQ3 2018","FQ3 2018","Currency=INR","Period=FQ","BEST_FPERIOD_OVERRIDE=FQ","FILING_STATUS=OR","EQY_CONSOLIDATED=Y","Sort=A","Dates=H","DateFormat=P","Fill=—","Direction=H","UseDPDF=Y")</f>
        <v>#NAME?</v>
      </c>
      <c r="CL601" s="2" t="e">
        <f ca="1">_xll.BDH($C$578,"TOT_DEBT_TO_TOT_CAP","FQ3 2018","FQ3 2018","Currency=INR","Period=FQ","BEST_FPERIOD_OVERRIDE=FQ","FILING_STATUS=OR","EQY_CONSOLIDATED=Y","Sort=A","Dates=H","DateFormat=P","Fill=—","Direction=H","UseDPDF=Y")</f>
        <v>#NAME?</v>
      </c>
      <c r="CM601" s="2" t="e">
        <f ca="1">_xll.BDH($C$578,"TOT_DEBT_TO_TOT_ASSET","FQ3 2018","FQ3 2018","Currency=INR","Period=FQ","BEST_FPERIOD_OVERRIDE=FQ","FILING_STATUS=OR","EQY_CONSOLIDATED=Y","Sort=A","Dates=H","DateFormat=P","Fill=—","Direction=H","UseDPDF=Y")</f>
        <v>#NAME?</v>
      </c>
      <c r="CN601" s="2" t="e">
        <f ca="1">_xll.BDH($C$578,"NET_DEBT_TO_SHRHLDR_EQTY","FQ3 2018","FQ3 2018","Currency=INR","Period=FQ","BEST_FPERIOD_OVERRIDE=FQ","FILING_STATUS=OR","EQY_CONSOLIDATED=Y","Sort=A","Dates=H","DateFormat=P","Fill=—","Direction=H","UseDPDF=Y")</f>
        <v>#NAME?</v>
      </c>
      <c r="CO601" s="2" t="e">
        <f ca="1">_xll.BDH($C$578,"NET_DEBT_%_CAPITAL","FQ3 2018","FQ3 2018","Currency=INR","Period=FQ","BEST_FPERIOD_OVERRIDE=FQ","FILING_STATUS=OR","EQY_CONSOLIDATED=Y","Sort=A","Dates=H","DateFormat=P","Fill=—","Direction=H","UseDPDF=Y")</f>
        <v>#NAME?</v>
      </c>
      <c r="CP601" s="3" t="e">
        <f ca="1">_xll.BDH($C$578,"EBITDA","FQ3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601" s="3" t="e">
        <f ca="1">_xll.BDH($C$578,"EBITDA_AFTER_CAPEX","FQ3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601" s="3" t="e">
        <f ca="1">_xll.BDH($C$578,"IS_OPER_INC","FQ3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601" s="2" t="e">
        <f ca="1">_xll.BDH($C$578,"CASH_RATIO","FQ3 2018","FQ3 2018","Currency=INR","Period=FQ","BEST_FPERIOD_OVERRIDE=FQ","FILING_STATUS=OR","EQY_CONSOLIDATED=Y","Sort=A","Dates=H","DateFormat=P","Fill=—","Direction=H","UseDPDF=Y")</f>
        <v>#NAME?</v>
      </c>
      <c r="CT601" s="2" t="e">
        <f ca="1">_xll.BDH($C$578,"CUR_RATIO","FQ3 2018","FQ3 2018","Currency=INR","Period=FQ","BEST_FPERIOD_OVERRIDE=FQ","FILING_STATUS=OR","EQY_CONSOLIDATED=Y","Sort=A","Dates=H","DateFormat=P","Fill=—","Direction=H","UseDPDF=Y")</f>
        <v>#NAME?</v>
      </c>
      <c r="CU601" s="2" t="e">
        <f ca="1">_xll.BDH($C$578,"QUICK_RATIO","FQ3 2018","FQ3 2018","Currency=INR","Period=FQ","BEST_FPERIOD_OVERRIDE=FQ","FILING_STATUS=OR","EQY_CONSOLIDATED=Y","Sort=A","Dates=H","DateFormat=P","Fill=—","Direction=H","UseDPDF=Y")</f>
        <v>#NAME?</v>
      </c>
      <c r="CV601" s="2" t="e">
        <f ca="1">_xll.BDH($C$578,"ALTMAN_Z_SCORE","FQ3 2018","FQ3 2018","Currency=INR","Period=FQ","BEST_FPERIOD_OVERRIDE=FQ","FILING_STATUS=OR","EQY_CONSOLIDATED=Y","Sort=A","Dates=H","DateFormat=P","Fill=—","Direction=H","UseDPDF=Y")</f>
        <v>#NAME?</v>
      </c>
      <c r="CW601" s="4" t="e">
        <f ca="1">_xll.BDH($C$578,"ACCT_RCV_TURN","FQ3 2018","FQ3 2018","Currency=INR","Period=FQ","BEST_FPERIOD_OVERRIDE=FQ","FILING_STATUS=OR","EQY_CONSOLIDATED=Y","FA_ADJUSTED=GAAP","Sort=A","Dates=H","DateFormat=P","Fill=—","Direction=H","UseDPDF=Y")</f>
        <v>#NAME?</v>
      </c>
      <c r="CX601" s="2" t="e">
        <f ca="1">_xll.BDH($C$578,"ACCT_RCV_DAYS","FQ3 2018","FQ3 2018","Currency=INR","Period=FQ","BEST_FPERIOD_OVERRIDE=FQ","FILING_STATUS=OR","EQY_CONSOLIDATED=Y","FA_ADJUSTED=GAAP","Sort=A","Dates=H","DateFormat=P","Fill=—","Direction=H","UseDPDF=Y")</f>
        <v>#NAME?</v>
      </c>
      <c r="CY601" s="4" t="e">
        <f ca="1">_xll.BDH($C$578,"INVENT_TURN","FQ3 2018","FQ3 2018","Currency=INR","Period=FQ","BEST_FPERIOD_OVERRIDE=FQ","FILING_STATUS=OR","EQY_CONSOLIDATED=Y","FA_ADJUSTED=GAAP","Sort=A","Dates=H","DateFormat=P","Fill=—","Direction=H","UseDPDF=Y")</f>
        <v>#NAME?</v>
      </c>
      <c r="CZ601" s="2" t="e">
        <f ca="1">_xll.BDH($C$578,"INVENT_DAYS","FQ3 2018","FQ3 2018","Currency=INR","Period=FQ","BEST_FPERIOD_OVERRIDE=FQ","FILING_STATUS=OR","EQY_CONSOLIDATED=Y","FA_ADJUSTED=GAAP","Sort=A","Dates=H","DateFormat=P","Fill=—","Direction=H","UseDPDF=Y")</f>
        <v>#NAME?</v>
      </c>
      <c r="DA601" s="4" t="e">
        <f ca="1">_xll.BDH($C$578,"ACCOUNTS_PAYABLE_TURNOVER","FQ3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601" s="2" t="e">
        <f ca="1">_xll.BDH($C$578,"ACCOUNTS_PAYABLE_TURNOVER_DAYS","FQ3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601" s="4" t="e">
        <f ca="1">_xll.BDH($C$578,"CASH_CONVERSION_CYCLE","FQ3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601" s="4" t="e">
        <f ca="1">_xll.BDH($C$578,"INV_TO_CASH_DAYS","FQ3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601" s="5" t="e">
        <f ca="1">_xll.BDH($C$578,"BS_INVENTORIES","FQ3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601" s="3" t="e">
        <f ca="1">_xll.BDH($C$578,"INVTRY_RAW_MATERIALS","FQ3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601" s="3" t="e">
        <f ca="1">_xll.BDH($C$578,"INVTRY_IN_PROGRESS","FQ3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601" s="3" t="e">
        <f ca="1">_xll.BDH($C$578,"INVTRY_FINISHED_GOODS","FQ3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601" s="3" t="e">
        <f ca="1">_xll.BDH($C$578,"BS_OTHER_INV","FQ3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602" spans="1:113" x14ac:dyDescent="0.3">
      <c r="A602" s="6"/>
      <c r="B602" s="6"/>
      <c r="C602" s="6"/>
      <c r="D602" s="6"/>
      <c r="E602" t="s">
        <v>81</v>
      </c>
      <c r="F602" t="e">
        <f ca="1">_xll.BDH($C$578,"RETURN_COM_EQY","FQ4 2018","FQ4 2018","Currency=INR","Period=FQ","BEST_FPERIOD_OVERRIDE=FQ","FILING_STATUS=OR","EQY_CONSOLIDATED=Y","FA_ADJUSTED=GAAP","Sort=A","Dates=H","DateFormat=P","Fill=—","Direction=H","UseDPDF=Y")</f>
        <v>#NAME?</v>
      </c>
      <c r="G602" t="e">
        <f ca="1">_xll.BDH($C$578,"RETURN_ON_ASSET","FQ4 2018","FQ4 2018","Currency=INR","Period=FQ","BEST_FPERIOD_OVERRIDE=FQ","FILING_STATUS=OR","EQY_CONSOLIDATED=Y","FA_ADJUSTED=GAAP","Sort=A","Dates=H","DateFormat=P","Fill=—","Direction=H","UseDPDF=Y")</f>
        <v>#NAME?</v>
      </c>
      <c r="H602" t="e">
        <f ca="1">_xll.BDH($C$578,"RETURN_ON_CAP","FQ4 2018","FQ4 2018","Currency=INR","Period=FQ","BEST_FPERIOD_OVERRIDE=FQ","FILING_STATUS=OR","EQY_CONSOLIDATED=Y","FA_ADJUSTED=GAAP","Sort=A","Dates=H","DateFormat=P","Fill=—","Direction=H","UseDPDF=Y")</f>
        <v>#NAME?</v>
      </c>
      <c r="I602" t="e">
        <f ca="1">_xll.BDH($C$578,"RETURN_ON_INV_CAPITAL","FQ4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602" t="e">
        <f ca="1">_xll.BDH($C$578,"EBITDA_TO_REVENUE","FQ4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602" t="e">
        <f ca="1">_xll.BDH($C$578,"OPER_MARGIN","FQ4 2018","FQ4 2018","Currency=INR","Period=FQ","BEST_FPERIOD_OVERRIDE=FQ","FILING_STATUS=OR","EQY_CONSOLIDATED=Y","FA_ADJUSTED=GAAP","Sort=A","Dates=H","DateFormat=P","Fill=—","Direction=H","UseDPDF=Y")</f>
        <v>#NAME?</v>
      </c>
      <c r="L602" t="e">
        <f ca="1">_xll.BDH($C$578,"INCREMENTAL_OPERATING_MARGIN","FQ4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602" t="e">
        <f ca="1">_xll.BDH($C$578,"PRETAX_INC_TO_NET_SALES","FQ4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602" t="e">
        <f ca="1">_xll.BDH($C$578,"INC_BEF_XO_ITEMS_TO_NET_SALES","FQ4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602" t="e">
        <f ca="1">_xll.BDH($C$578,"PROF_MARGIN","FQ4 2018","FQ4 2018","Currency=INR","Period=FQ","BEST_FPERIOD_OVERRIDE=FQ","FILING_STATUS=OR","EQY_CONSOLIDATED=Y","FA_ADJUSTED=GAAP","Sort=A","Dates=H","DateFormat=P","Fill=—","Direction=H","UseDPDF=Y")</f>
        <v>#NAME?</v>
      </c>
      <c r="P602" t="e">
        <f ca="1">_xll.BDH($C$578,"NET_INCOME_TO_COMMON_MARGIN","FQ4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602" t="e">
        <f ca="1">_xll.BDH($C$578,"EFF_TAX_RATE","FQ4 2018","FQ4 2018","Currency=INR","Period=FQ","BEST_FPERIOD_OVERRIDE=FQ","FILING_STATUS=OR","EQY_CONSOLIDATED=Y","FA_ADJUSTED=GAAP","Sort=A","Dates=H","DateFormat=P","Fill=—","Direction=H","UseDPDF=Y")</f>
        <v>#NAME?</v>
      </c>
      <c r="R602" t="e">
        <f ca="1">_xll.BDH($C$578,"DVD_PAYOUT_RATIO","FQ4 2018","FQ4 2018","Currency=INR","Period=FQ","BEST_FPERIOD_OVERRIDE=FQ","FILING_STATUS=OR","EQY_CONSOLIDATED=Y","FA_ADJUSTED=GAAP","Sort=A","Dates=H","DateFormat=P","Fill=—","Direction=H","UseDPDF=Y")</f>
        <v>#NAME?</v>
      </c>
      <c r="S602" t="e">
        <f ca="1">_xll.BDH($C$578,"SUSTAIN_GROWTH_RT","FQ4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602" s="2" t="e">
        <f ca="1">_xll.BDH($C$578,"SALES_GROWTH","FQ4 2018","FQ4 2018","Currency=INR","Period=FQ","BEST_FPERIOD_OVERRIDE=FQ","FILING_STATUS=OR","EQY_CONSOLIDATED=Y","FA_ADJUSTED=GAAP","Sort=A","Dates=H","DateFormat=P","Fill=—","Direction=H","UseDPDF=Y")</f>
        <v>#NAME?</v>
      </c>
      <c r="U602" s="2" t="e">
        <f ca="1">_xll.BDH($C$578,"EBITDA_GROWTH","FQ4 2018","FQ4 2018","Currency=INR","Period=FQ","BEST_FPERIOD_OVERRIDE=FQ","FILING_STATUS=OR","EQY_CONSOLIDATED=Y","FA_ADJUSTED=GAAP","Sort=A","Dates=H","DateFormat=P","Fill=—","Direction=H","UseDPDF=Y")</f>
        <v>#NAME?</v>
      </c>
      <c r="V602" s="2" t="e">
        <f ca="1">_xll.BDH($C$578,"OPER_INC_GROWTH","FQ4 2018","FQ4 2018","Currency=INR","Period=FQ","BEST_FPERIOD_OVERRIDE=FQ","FILING_STATUS=OR","EQY_CONSOLIDATED=Y","FA_ADJUSTED=GAAP","Sort=A","Dates=H","DateFormat=P","Fill=—","Direction=H","UseDPDF=Y")</f>
        <v>#NAME?</v>
      </c>
      <c r="W602" s="2" t="e">
        <f ca="1">_xll.BDH($C$578,"EARN_FOR_COM_GROWTH","FQ4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602" s="2" t="e">
        <f ca="1">_xll.BDH($C$578,"DILUTED_EPS_AFT_XO_ITEMS_GROWTH","FQ4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602" s="2" t="e">
        <f ca="1">_xll.BDH($C$578,"DIVIDEND_PER_SHARE_1_YEAR_GROWTH","FQ4 2018","FQ4 2018","Currency=INR","Period=FQ","BEST_FPERIOD_OVERRIDE=FQ","FILING_STATUS=OR","EQY_CONSOLIDATED=Y","Sort=A","Dates=H","DateFormat=P","Fill=—","Direction=H","UseDPDF=Y")</f>
        <v>#NAME?</v>
      </c>
      <c r="Z602" s="2" t="e">
        <f ca="1">_xll.BDH($C$578,"ACCOUNTS_RECEIVABLE_GROWTH","FQ4 2018","FQ4 2018","Currency=INR","Period=FQ","BEST_FPERIOD_OVERRIDE=FQ","FILING_STATUS=OR","EQY_CONSOLIDATED=Y","Sort=A","Dates=H","DateFormat=P","Fill=—","Direction=H","UseDPDF=Y")</f>
        <v>#NAME?</v>
      </c>
      <c r="AA602" s="2" t="e">
        <f ca="1">_xll.BDH($C$578,"INVENTORY_GROWTH","FQ4 2018","FQ4 2018","Currency=INR","Period=FQ","BEST_FPERIOD_OVERRIDE=FQ","FILING_STATUS=OR","EQY_CONSOLIDATED=Y","Sort=A","Dates=H","DateFormat=P","Fill=—","Direction=H","UseDPDF=Y")</f>
        <v>#NAME?</v>
      </c>
      <c r="AB602" s="2" t="e">
        <f ca="1">_xll.BDH($C$578,"NET_FIXED_ASSETS_1_YEAR_GROWTH","FQ4 2018","FQ4 2018","Currency=INR","Period=FQ","BEST_FPERIOD_OVERRIDE=FQ","FILING_STATUS=OR","EQY_CONSOLIDATED=Y","Sort=A","Dates=H","DateFormat=P","Fill=—","Direction=H","UseDPDF=Y")</f>
        <v>#NAME?</v>
      </c>
      <c r="AC602" s="2" t="e">
        <f ca="1">_xll.BDH($C$578,"ASSET_GROWTH","FQ4 2018","FQ4 2018","Currency=INR","Period=FQ","BEST_FPERIOD_OVERRIDE=FQ","FILING_STATUS=OR","EQY_CONSOLIDATED=Y","Sort=A","Dates=H","DateFormat=P","Fill=—","Direction=H","UseDPDF=Y")</f>
        <v>#NAME?</v>
      </c>
      <c r="AD602" s="2" t="e">
        <f ca="1">_xll.BDH($C$578,"MODIFIED_WORK_CAP_GROWTH","FQ4 2018","FQ4 2018","Currency=INR","Period=FQ","BEST_FPERIOD_OVERRIDE=FQ","FILING_STATUS=OR","EQY_CONSOLIDATED=Y","Sort=A","Dates=H","DateFormat=P","Fill=—","Direction=H","UseDPDF=Y")</f>
        <v>#NAME?</v>
      </c>
      <c r="AE602" s="2" t="e">
        <f ca="1">_xll.BDH($C$578,"WORK_CAP_GROWTH","FQ4 2018","FQ4 2018","Currency=INR","Period=FQ","BEST_FPERIOD_OVERRIDE=FQ","FILING_STATUS=OR","EQY_CONSOLIDATED=Y","Sort=A","Dates=H","DateFormat=P","Fill=—","Direction=H","UseDPDF=Y")</f>
        <v>#NAME?</v>
      </c>
      <c r="AF602" s="2" t="e">
        <f ca="1">_xll.BDH($C$578,"ACCOUNTS_PAYABLE_GROWTH_1YR","FQ4 2018","FQ4 2018","Currency=INR","Period=FQ","BEST_FPERIOD_OVERRIDE=FQ","FILING_STATUS=OR","EQY_CONSOLIDATED=Y","Sort=A","Dates=H","DateFormat=P","Fill=—","Direction=H","UseDPDF=Y")</f>
        <v>#NAME?</v>
      </c>
      <c r="AG602" s="2" t="e">
        <f ca="1">_xll.BDH($C$578,"SHORT_TERM_DEBT_1_YEAR_GROWTH","FQ4 2018","FQ4 2018","Currency=INR","Period=FQ","BEST_FPERIOD_OVERRIDE=FQ","FILING_STATUS=OR","EQY_CONSOLIDATED=Y","Sort=A","Dates=H","DateFormat=P","Fill=—","Direction=H","UseDPDF=Y")</f>
        <v>#NAME?</v>
      </c>
      <c r="AH602" s="2" t="e">
        <f ca="1">_xll.BDH($C$578,"TOTAL_DEBT_1_YEAR_GROWTH","FQ4 2018","FQ4 2018","Currency=INR","Period=FQ","BEST_FPERIOD_OVERRIDE=FQ","FILING_STATUS=OR","EQY_CONSOLIDATED=Y","Sort=A","Dates=H","DateFormat=P","Fill=—","Direction=H","UseDPDF=Y")</f>
        <v>#NAME?</v>
      </c>
      <c r="AI602" s="2" t="e">
        <f ca="1">_xll.BDH($C$578,"TOTAL_EQUITY_1_YEAR_GROWTH","FQ4 2018","FQ4 2018","Currency=INR","Period=FQ","BEST_FPERIOD_OVERRIDE=FQ","FILING_STATUS=OR","EQY_CONSOLIDATED=Y","Sort=A","Dates=H","DateFormat=P","Fill=—","Direction=H","UseDPDF=Y")</f>
        <v>#NAME?</v>
      </c>
      <c r="AJ602" s="2" t="e">
        <f ca="1">_xll.BDH($C$578,"GROWTH_IN_CAP","FQ4 2018","FQ4 2018","Currency=INR","Period=FQ","BEST_FPERIOD_OVERRIDE=FQ","FILING_STATUS=OR","EQY_CONSOLIDATED=Y","Sort=A","Dates=H","DateFormat=P","Fill=—","Direction=H","UseDPDF=Y")</f>
        <v>#NAME?</v>
      </c>
      <c r="AK602" s="2" t="e">
        <f ca="1">_xll.BDH($C$578,"BVPS_GROWTH","FQ4 2018","FQ4 2018","Currency=INR","Period=FQ","BEST_FPERIOD_OVERRIDE=FQ","FILING_STATUS=OR","EQY_CONSOLIDATED=Y","Sort=A","Dates=H","DateFormat=P","Fill=—","Direction=H","UseDPDF=Y")</f>
        <v>#NAME?</v>
      </c>
      <c r="AL602" s="2" t="e">
        <f ca="1">_xll.BDH($C$578,"CASH_FLOW_GROWTH","FQ4 2018","FQ4 2018","Currency=INR","Period=FQ","BEST_FPERIOD_OVERRIDE=FQ","FILING_STATUS=OR","EQY_CONSOLIDATED=Y","Sort=A","Dates=H","DateFormat=P","Fill=—","Direction=H","UseDPDF=Y")</f>
        <v>#NAME?</v>
      </c>
      <c r="AM602" s="2" t="e">
        <f ca="1">_xll.BDH($C$578,"GEO_GROW_NET_SALES","FQ4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602" s="2" t="e">
        <f ca="1">_xll.BDH($C$578,"GEO_GROW_EBITDA","FQ4 2018","FQ4 2018","Currency=INR","Period=FQ","BEST_FPERIOD_OVERRIDE=FQ","FILING_STATUS=OR","EQY_CONSOLIDATED=Y","FA_ADJUSTED=GAAP","Sort=A","Dates=H","DateFormat=P","Fill=—","Direction=H","UseDPDF=Y")</f>
        <v>#NAME?</v>
      </c>
      <c r="AO602" s="2" t="e">
        <f ca="1">_xll.BDH($C$578,"GEO_GROW_OPER_INC","FQ4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602" s="2" t="e">
        <f ca="1">_xll.BDH($C$578,"NET_INCOME_TO_COMMON_5_YR_GROWTH","FQ4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602" s="2" t="e">
        <f ca="1">_xll.BDH($C$578,"5Y_GEO_GROWTH_DILUTED_EPS","FQ4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602" s="2" t="e">
        <f ca="1">_xll.BDH($C$578,"GEO_GROW_DVD_PER_SH","FQ4 2018","FQ4 2018","Currency=INR","Period=FQ","BEST_FPERIOD_OVERRIDE=FQ","FILING_STATUS=OR","EQY_CONSOLIDATED=Y","Sort=A","Dates=H","DateFormat=P","Fill=—","Direction=H","UseDPDF=Y")</f>
        <v>#NAME?</v>
      </c>
      <c r="AS602" s="2" t="e">
        <f ca="1">_xll.BDH($C$578,"ACCOUNTS_RECEIVABLE_5_YR_GROWTH","FQ4 2018","FQ4 2018","Currency=INR","Period=FQ","BEST_FPERIOD_OVERRIDE=FQ","FILING_STATUS=OR","EQY_CONSOLIDATED=Y","Sort=A","Dates=H","DateFormat=P","Fill=—","Direction=H","UseDPDF=Y")</f>
        <v>#NAME?</v>
      </c>
      <c r="AT602" s="2" t="e">
        <f ca="1">_xll.BDH($C$578,"INVENTORY_5_YEAR_GROWTH","FQ4 2018","FQ4 2018","Currency=INR","Period=FQ","BEST_FPERIOD_OVERRIDE=FQ","FILING_STATUS=OR","EQY_CONSOLIDATED=Y","Sort=A","Dates=H","DateFormat=P","Fill=—","Direction=H","UseDPDF=Y")</f>
        <v>#NAME?</v>
      </c>
      <c r="AU602" s="2" t="e">
        <f ca="1">_xll.BDH($C$578,"NET_FIXED_ASSETS_5_YEAR_GROWTH","FQ4 2018","FQ4 2018","Currency=INR","Period=FQ","BEST_FPERIOD_OVERRIDE=FQ","FILING_STATUS=OR","EQY_CONSOLIDATED=Y","Sort=A","Dates=H","DateFormat=P","Fill=—","Direction=H","UseDPDF=Y")</f>
        <v>#NAME?</v>
      </c>
      <c r="AV602" s="2" t="e">
        <f ca="1">_xll.BDH($C$578,"GEO_GROW_TOT_ASSET","FQ4 2018","FQ4 2018","Currency=INR","Period=FQ","BEST_FPERIOD_OVERRIDE=FQ","FILING_STATUS=OR","EQY_CONSOLIDATED=Y","Sort=A","Dates=H","DateFormat=P","Fill=—","Direction=H","UseDPDF=Y")</f>
        <v>#NAME?</v>
      </c>
      <c r="AW602" s="2" t="e">
        <f ca="1">_xll.BDH($C$578,"MODIFIED_WORKING_CPTL_5YR_GRWTH","FQ4 2018","FQ4 2018","Currency=INR","Period=FQ","BEST_FPERIOD_OVERRIDE=FQ","FILING_STATUS=OR","EQY_CONSOLIDATED=Y","Sort=A","Dates=H","DateFormat=P","Fill=—","Direction=H","UseDPDF=Y")</f>
        <v>#NAME?</v>
      </c>
      <c r="AX602" s="2" t="e">
        <f ca="1">_xll.BDH($C$578,"WORKING_CAPITAL_5_YEAR_GROWTH","FQ4 2018","FQ4 2018","Currency=INR","Period=FQ","BEST_FPERIOD_OVERRIDE=FQ","FILING_STATUS=OR","EQY_CONSOLIDATED=Y","Sort=A","Dates=H","DateFormat=P","Fill=—","Direction=H","UseDPDF=Y")</f>
        <v>#NAME?</v>
      </c>
      <c r="AY602" s="2" t="e">
        <f ca="1">_xll.BDH($C$578,"ACCOUNTS_PAYABLE_5_YEAR_GROWTH","FQ4 2018","FQ4 2018","Currency=INR","Period=FQ","BEST_FPERIOD_OVERRIDE=FQ","FILING_STATUS=OR","EQY_CONSOLIDATED=Y","Sort=A","Dates=H","DateFormat=P","Fill=—","Direction=H","UseDPDF=Y")</f>
        <v>#NAME?</v>
      </c>
      <c r="AZ602" s="2" t="e">
        <f ca="1">_xll.BDH($C$578,"SHORT_TERM_DEBT_5_YEAR_GROWTH","FQ4 2018","FQ4 2018","Currency=INR","Period=FQ","BEST_FPERIOD_OVERRIDE=FQ","FILING_STATUS=OR","EQY_CONSOLIDATED=Y","Sort=A","Dates=H","DateFormat=P","Fill=—","Direction=H","UseDPDF=Y")</f>
        <v>#NAME?</v>
      </c>
      <c r="BA602" s="2" t="e">
        <f ca="1">_xll.BDH($C$578,"TOTAL_DEBT_5_YEAR_GROWTH","FQ4 2018","FQ4 2018","Currency=INR","Period=FQ","BEST_FPERIOD_OVERRIDE=FQ","FILING_STATUS=OR","EQY_CONSOLIDATED=Y","Sort=A","Dates=H","DateFormat=P","Fill=—","Direction=H","UseDPDF=Y")</f>
        <v>#NAME?</v>
      </c>
      <c r="BB602" s="2" t="e">
        <f ca="1">_xll.BDH($C$578,"GEO_GROW_TOT_SHRHLDR_EQY","FQ4 2018","FQ4 2018","Currency=INR","Period=FQ","BEST_FPERIOD_OVERRIDE=FQ","FILING_STATUS=OR","EQY_CONSOLIDATED=Y","Sort=A","Dates=H","DateFormat=P","Fill=—","Direction=H","UseDPDF=Y")</f>
        <v>#NAME?</v>
      </c>
      <c r="BC602" s="2" t="e">
        <f ca="1">_xll.BDH($C$578,"TOTAL_CAPITAL_5_YEAR_GROWTH","FQ4 2018","FQ4 2018","Currency=INR","Period=FQ","BEST_FPERIOD_OVERRIDE=FQ","FILING_STATUS=OR","EQY_CONSOLIDATED=Y","Sort=A","Dates=H","DateFormat=P","Fill=—","Direction=H","UseDPDF=Y")</f>
        <v>#NAME?</v>
      </c>
      <c r="BD602" s="2" t="e">
        <f ca="1">_xll.BDH($C$578,"GEO_GROW_BOOK_VAL","FQ4 2018","FQ4 2018","Currency=INR","Period=FQ","BEST_FPERIOD_OVERRIDE=FQ","FILING_STATUS=OR","EQY_CONSOLIDATED=Y","Sort=A","Dates=H","DateFormat=P","Fill=—","Direction=H","UseDPDF=Y")</f>
        <v>#NAME?</v>
      </c>
      <c r="BE602" s="2" t="e">
        <f ca="1">_xll.BDH($C$578,"GEO_GROW_CASH_OPER_ACT","FQ4 2018","FQ4 2018","Currency=INR","Period=FQ","BEST_FPERIOD_OVERRIDE=FQ","FILING_STATUS=OR","EQY_CONSOLIDATED=Y","Sort=A","Dates=H","DateFormat=P","Fill=—","Direction=H","UseDPDF=Y")</f>
        <v>#NAME?</v>
      </c>
      <c r="BF602" s="2" t="e">
        <f ca="1">_xll.BDH($C$578,"REVENUE_SEQUENTIAL_GROWTH","FQ4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602" s="2" t="e">
        <f ca="1">_xll.BDH($C$578,"EBITDA_SEQUENTIAL_GROWTH","FQ4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602" s="2" t="e">
        <f ca="1">_xll.BDH($C$578,"OPERATING_INCOME_SEQ_GROWTH","FQ4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602" s="2" t="e">
        <f ca="1">_xll.BDH($C$578,"NET_INCOME_TO_COMMON_SEQ_GROWTH","FQ4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602" s="2" t="e">
        <f ca="1">_xll.BDH($C$578,"EPS_DILUTED_SEQUENTIAL_GROWTH","FQ4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602" s="2" t="e">
        <f ca="1">_xll.BDH($C$578,"DPS_SEQUENTIAL_GROWTH","FQ4 2018","FQ4 2018","Currency=INR","Period=FQ","BEST_FPERIOD_OVERRIDE=FQ","FILING_STATUS=OR","EQY_CONSOLIDATED=Y","Sort=A","Dates=H","DateFormat=P","Fill=—","Direction=H","UseDPDF=Y")</f>
        <v>#NAME?</v>
      </c>
      <c r="BL602" s="2" t="e">
        <f ca="1">_xll.BDH($C$578,"ACCOUNTS_RECEIVABLE_SEQ_GROWTH","FQ4 2018","FQ4 2018","Currency=INR","Period=FQ","BEST_FPERIOD_OVERRIDE=FQ","FILING_STATUS=OR","EQY_CONSOLIDATED=Y","Sort=A","Dates=H","DateFormat=P","Fill=—","Direction=H","UseDPDF=Y")</f>
        <v>#NAME?</v>
      </c>
      <c r="BM602" s="2" t="e">
        <f ca="1">_xll.BDH($C$578,"INVENTORY_SEQUENTIAL_GROWTH","FQ4 2018","FQ4 2018","Currency=INR","Period=FQ","BEST_FPERIOD_OVERRIDE=FQ","FILING_STATUS=OR","EQY_CONSOLIDATED=Y","Sort=A","Dates=H","DateFormat=P","Fill=—","Direction=H","UseDPDF=Y")</f>
        <v>#NAME?</v>
      </c>
      <c r="BN602" s="2" t="e">
        <f ca="1">_xll.BDH($C$578,"FIXED_ASSETS_SEQUENTIAL_GROWTH","FQ4 2018","FQ4 2018","Currency=INR","Period=FQ","BEST_FPERIOD_OVERRIDE=FQ","FILING_STATUS=OR","EQY_CONSOLIDATED=Y","Sort=A","Dates=H","DateFormat=P","Fill=—","Direction=H","UseDPDF=Y")</f>
        <v>#NAME?</v>
      </c>
      <c r="BO602" s="2" t="e">
        <f ca="1">_xll.BDH($C$578,"TOTAL_ASSETS_SEQUENTIAL_GROWTH","FQ4 2018","FQ4 2018","Currency=INR","Period=FQ","BEST_FPERIOD_OVERRIDE=FQ","FILING_STATUS=OR","EQY_CONSOLIDATED=Y","Sort=A","Dates=H","DateFormat=P","Fill=—","Direction=H","UseDPDF=Y")</f>
        <v>#NAME?</v>
      </c>
      <c r="BP602" s="2" t="e">
        <f ca="1">_xll.BDH($C$578,"MODIFIED_WORKING_CPTL_SEQ_GRWTH","FQ4 2018","FQ4 2018","Currency=INR","Period=FQ","BEST_FPERIOD_OVERRIDE=FQ","FILING_STATUS=OR","EQY_CONSOLIDATED=Y","Sort=A","Dates=H","DateFormat=P","Fill=—","Direction=H","UseDPDF=Y")</f>
        <v>#NAME?</v>
      </c>
      <c r="BQ602" s="2" t="e">
        <f ca="1">_xll.BDH($C$578,"WORKING_CAPITAL_SEQ_GROWTH","FQ4 2018","FQ4 2018","Currency=INR","Period=FQ","BEST_FPERIOD_OVERRIDE=FQ","FILING_STATUS=OR","EQY_CONSOLIDATED=Y","Sort=A","Dates=H","DateFormat=P","Fill=—","Direction=H","UseDPDF=Y")</f>
        <v>#NAME?</v>
      </c>
      <c r="BR602" s="2" t="e">
        <f ca="1">_xll.BDH($C$578,"ACCOUNTS_PAYABLE_SEQ_GROWTH","FQ4 2018","FQ4 2018","Currency=INR","Period=FQ","BEST_FPERIOD_OVERRIDE=FQ","FILING_STATUS=OR","EQY_CONSOLIDATED=Y","Sort=A","Dates=H","DateFormat=P","Fill=—","Direction=H","UseDPDF=Y")</f>
        <v>#NAME?</v>
      </c>
      <c r="BS602" s="2" t="e">
        <f ca="1">_xll.BDH($C$578,"ST_DEBT_SEQUENTIAL_GROWTH","FQ4 2018","FQ4 2018","Currency=INR","Period=FQ","BEST_FPERIOD_OVERRIDE=FQ","FILING_STATUS=OR","EQY_CONSOLIDATED=Y","Sort=A","Dates=H","DateFormat=P","Fill=—","Direction=H","UseDPDF=Y")</f>
        <v>#NAME?</v>
      </c>
      <c r="BT602" s="2" t="e">
        <f ca="1">_xll.BDH($C$578,"TOTAL_DEBT_SEQUENTIAL_GROWTH","FQ4 2018","FQ4 2018","Currency=INR","Period=FQ","BEST_FPERIOD_OVERRIDE=FQ","FILING_STATUS=OR","EQY_CONSOLIDATED=Y","Sort=A","Dates=H","DateFormat=P","Fill=—","Direction=H","UseDPDF=Y")</f>
        <v>#NAME?</v>
      </c>
      <c r="BU602" s="2" t="e">
        <f ca="1">_xll.BDH($C$578,"TOTAL_EQUITY_SEQUENTIAL_GROWTH","FQ4 2018","FQ4 2018","Currency=INR","Period=FQ","BEST_FPERIOD_OVERRIDE=FQ","FILING_STATUS=OR","EQY_CONSOLIDATED=Y","Sort=A","Dates=H","DateFormat=P","Fill=—","Direction=H","UseDPDF=Y")</f>
        <v>#NAME?</v>
      </c>
      <c r="BV602" s="2" t="e">
        <f ca="1">_xll.BDH($C$578,"TOTAL_CAPITAL_SEQUENTIAL_GROWTH","FQ4 2018","FQ4 2018","Currency=INR","Period=FQ","BEST_FPERIOD_OVERRIDE=FQ","FILING_STATUS=OR","EQY_CONSOLIDATED=Y","Sort=A","Dates=H","DateFormat=P","Fill=—","Direction=H","UseDPDF=Y")</f>
        <v>#NAME?</v>
      </c>
      <c r="BW602" s="2" t="e">
        <f ca="1">_xll.BDH($C$578,"BPS_SEQUENTIAL_GROWTH","FQ4 2018","FQ4 2018","Currency=INR","Period=FQ","BEST_FPERIOD_OVERRIDE=FQ","FILING_STATUS=OR","EQY_CONSOLIDATED=Y","Sort=A","Dates=H","DateFormat=P","Fill=—","Direction=H","UseDPDF=Y")</f>
        <v>#NAME?</v>
      </c>
      <c r="BX602" s="2" t="e">
        <f ca="1">_xll.BDH($C$578,"CFO_SEQUENTIAL_GROWTH","FQ4 2018","FQ4 2018","Currency=INR","Period=FQ","BEST_FPERIOD_OVERRIDE=FQ","FILING_STATUS=OR","EQY_CONSOLIDATED=Y","Sort=A","Dates=H","DateFormat=P","Fill=—","Direction=H","UseDPDF=Y")</f>
        <v>#NAME?</v>
      </c>
      <c r="BY602" s="3" t="e">
        <f ca="1">_xll.BDH($C$578,"SHORT_AND_LONG_TERM_DEBT","FQ4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602" s="3" t="e">
        <f ca="1">_xll.BDH($C$578,"BS_ST_BORROW","FQ4 2018","FQ4 2018","Currency=INR","Period=FQ","BEST_FPERIOD_OVERRIDE=FQ","FILING_STATUS=OR","EQY_CONSOLIDATED=Y","SCALING_FORMAT=MLN","Sort=A","Dates=H","DateFormat=P","Fill=—","Direction=H","UseDPDF=Y")</f>
        <v>#NAME?</v>
      </c>
      <c r="CA602" s="3" t="e">
        <f ca="1">_xll.BDH($C$578,"BS_LT_BORROW","FQ4 2018","FQ4 2018","Currency=INR","Period=FQ","BEST_FPERIOD_OVERRIDE=FQ","FILING_STATUS=OR","EQY_CONSOLIDATED=Y","SCALING_FORMAT=MLN","Sort=A","Dates=H","DateFormat=P","Fill=—","Direction=H","UseDPDF=Y")</f>
        <v>#NAME?</v>
      </c>
      <c r="CB602" s="2" t="e">
        <f ca="1">_xll.BDH($C$578,"TOT_DEBT_TO_EBITDA","FQ4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602" s="2" t="e">
        <f ca="1">_xll.BDH($C$578,"NET_DEBT_TO_EBITDA","FQ4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602" s="2" t="e">
        <f ca="1">_xll.BDH($C$578,"TOTAL_DEBT_TO_EBIT","FQ4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602" s="2" t="e">
        <f ca="1">_xll.BDH($C$578,"NET_DEBT_TO_EBIT","FQ4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602" s="2" t="e">
        <f ca="1">_xll.BDH($C$578,"EBITDA_TO_INTEREST_EXPN","FQ4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602" s="2" t="e">
        <f ca="1">_xll.BDH($C$578,"COM_EQY_TO_TOT_ASSET","FQ4 2018","FQ4 2018","Currency=INR","Period=FQ","BEST_FPERIOD_OVERRIDE=FQ","FILING_STATUS=OR","EQY_CONSOLIDATED=Y","Sort=A","Dates=H","DateFormat=P","Fill=—","Direction=H","UseDPDF=Y")</f>
        <v>#NAME?</v>
      </c>
      <c r="CH602" s="2" t="e">
        <f ca="1">_xll.BDH($C$578,"LT_DEBT_TO_TOT_EQY","FQ4 2018","FQ4 2018","Currency=INR","Period=FQ","BEST_FPERIOD_OVERRIDE=FQ","FILING_STATUS=OR","EQY_CONSOLIDATED=Y","Sort=A","Dates=H","DateFormat=P","Fill=—","Direction=H","UseDPDF=Y")</f>
        <v>#NAME?</v>
      </c>
      <c r="CI602" s="2" t="e">
        <f ca="1">_xll.BDH($C$578,"LT_DEBT_TO_TOT_CAP","FQ4 2018","FQ4 2018","Currency=INR","Period=FQ","BEST_FPERIOD_OVERRIDE=FQ","FILING_STATUS=OR","EQY_CONSOLIDATED=Y","Sort=A","Dates=H","DateFormat=P","Fill=—","Direction=H","UseDPDF=Y")</f>
        <v>#NAME?</v>
      </c>
      <c r="CJ602" s="2" t="e">
        <f ca="1">_xll.BDH($C$578,"LT_DEBT_TO_TOT_ASSET","FQ4 2018","FQ4 2018","Currency=INR","Period=FQ","BEST_FPERIOD_OVERRIDE=FQ","FILING_STATUS=OR","EQY_CONSOLIDATED=Y","Sort=A","Dates=H","DateFormat=P","Fill=—","Direction=H","UseDPDF=Y")</f>
        <v>#NAME?</v>
      </c>
      <c r="CK602" s="2" t="e">
        <f ca="1">_xll.BDH($C$578,"TOT_DEBT_TO_TOT_EQY","FQ4 2018","FQ4 2018","Currency=INR","Period=FQ","BEST_FPERIOD_OVERRIDE=FQ","FILING_STATUS=OR","EQY_CONSOLIDATED=Y","Sort=A","Dates=H","DateFormat=P","Fill=—","Direction=H","UseDPDF=Y")</f>
        <v>#NAME?</v>
      </c>
      <c r="CL602" s="2" t="e">
        <f ca="1">_xll.BDH($C$578,"TOT_DEBT_TO_TOT_CAP","FQ4 2018","FQ4 2018","Currency=INR","Period=FQ","BEST_FPERIOD_OVERRIDE=FQ","FILING_STATUS=OR","EQY_CONSOLIDATED=Y","Sort=A","Dates=H","DateFormat=P","Fill=—","Direction=H","UseDPDF=Y")</f>
        <v>#NAME?</v>
      </c>
      <c r="CM602" s="2" t="e">
        <f ca="1">_xll.BDH($C$578,"TOT_DEBT_TO_TOT_ASSET","FQ4 2018","FQ4 2018","Currency=INR","Period=FQ","BEST_FPERIOD_OVERRIDE=FQ","FILING_STATUS=OR","EQY_CONSOLIDATED=Y","Sort=A","Dates=H","DateFormat=P","Fill=—","Direction=H","UseDPDF=Y")</f>
        <v>#NAME?</v>
      </c>
      <c r="CN602" s="2" t="e">
        <f ca="1">_xll.BDH($C$578,"NET_DEBT_TO_SHRHLDR_EQTY","FQ4 2018","FQ4 2018","Currency=INR","Period=FQ","BEST_FPERIOD_OVERRIDE=FQ","FILING_STATUS=OR","EQY_CONSOLIDATED=Y","Sort=A","Dates=H","DateFormat=P","Fill=—","Direction=H","UseDPDF=Y")</f>
        <v>#NAME?</v>
      </c>
      <c r="CO602" s="2" t="e">
        <f ca="1">_xll.BDH($C$578,"NET_DEBT_%_CAPITAL","FQ4 2018","FQ4 2018","Currency=INR","Period=FQ","BEST_FPERIOD_OVERRIDE=FQ","FILING_STATUS=OR","EQY_CONSOLIDATED=Y","Sort=A","Dates=H","DateFormat=P","Fill=—","Direction=H","UseDPDF=Y")</f>
        <v>#NAME?</v>
      </c>
      <c r="CP602" s="3" t="e">
        <f ca="1">_xll.BDH($C$578,"EBITDA","FQ4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602" s="3" t="e">
        <f ca="1">_xll.BDH($C$578,"EBITDA_AFTER_CAPEX","FQ4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602" s="3" t="e">
        <f ca="1">_xll.BDH($C$578,"IS_OPER_INC","FQ4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602" s="2" t="e">
        <f ca="1">_xll.BDH($C$578,"CASH_RATIO","FQ4 2018","FQ4 2018","Currency=INR","Period=FQ","BEST_FPERIOD_OVERRIDE=FQ","FILING_STATUS=OR","EQY_CONSOLIDATED=Y","Sort=A","Dates=H","DateFormat=P","Fill=—","Direction=H","UseDPDF=Y")</f>
        <v>#NAME?</v>
      </c>
      <c r="CT602" s="2" t="e">
        <f ca="1">_xll.BDH($C$578,"CUR_RATIO","FQ4 2018","FQ4 2018","Currency=INR","Period=FQ","BEST_FPERIOD_OVERRIDE=FQ","FILING_STATUS=OR","EQY_CONSOLIDATED=Y","Sort=A","Dates=H","DateFormat=P","Fill=—","Direction=H","UseDPDF=Y")</f>
        <v>#NAME?</v>
      </c>
      <c r="CU602" s="2" t="e">
        <f ca="1">_xll.BDH($C$578,"QUICK_RATIO","FQ4 2018","FQ4 2018","Currency=INR","Period=FQ","BEST_FPERIOD_OVERRIDE=FQ","FILING_STATUS=OR","EQY_CONSOLIDATED=Y","Sort=A","Dates=H","DateFormat=P","Fill=—","Direction=H","UseDPDF=Y")</f>
        <v>#NAME?</v>
      </c>
      <c r="CV602" s="2" t="e">
        <f ca="1">_xll.BDH($C$578,"ALTMAN_Z_SCORE","FQ4 2018","FQ4 2018","Currency=INR","Period=FQ","BEST_FPERIOD_OVERRIDE=FQ","FILING_STATUS=OR","EQY_CONSOLIDATED=Y","Sort=A","Dates=H","DateFormat=P","Fill=—","Direction=H","UseDPDF=Y")</f>
        <v>#NAME?</v>
      </c>
      <c r="CW602" s="4" t="e">
        <f ca="1">_xll.BDH($C$578,"ACCT_RCV_TURN","FQ4 2018","FQ4 2018","Currency=INR","Period=FQ","BEST_FPERIOD_OVERRIDE=FQ","FILING_STATUS=OR","EQY_CONSOLIDATED=Y","FA_ADJUSTED=GAAP","Sort=A","Dates=H","DateFormat=P","Fill=—","Direction=H","UseDPDF=Y")</f>
        <v>#NAME?</v>
      </c>
      <c r="CX602" s="2" t="e">
        <f ca="1">_xll.BDH($C$578,"ACCT_RCV_DAYS","FQ4 2018","FQ4 2018","Currency=INR","Period=FQ","BEST_FPERIOD_OVERRIDE=FQ","FILING_STATUS=OR","EQY_CONSOLIDATED=Y","FA_ADJUSTED=GAAP","Sort=A","Dates=H","DateFormat=P","Fill=—","Direction=H","UseDPDF=Y")</f>
        <v>#NAME?</v>
      </c>
      <c r="CY602" s="4" t="e">
        <f ca="1">_xll.BDH($C$578,"INVENT_TURN","FQ4 2018","FQ4 2018","Currency=INR","Period=FQ","BEST_FPERIOD_OVERRIDE=FQ","FILING_STATUS=OR","EQY_CONSOLIDATED=Y","FA_ADJUSTED=GAAP","Sort=A","Dates=H","DateFormat=P","Fill=—","Direction=H","UseDPDF=Y")</f>
        <v>#NAME?</v>
      </c>
      <c r="CZ602" s="2" t="e">
        <f ca="1">_xll.BDH($C$578,"INVENT_DAYS","FQ4 2018","FQ4 2018","Currency=INR","Period=FQ","BEST_FPERIOD_OVERRIDE=FQ","FILING_STATUS=OR","EQY_CONSOLIDATED=Y","FA_ADJUSTED=GAAP","Sort=A","Dates=H","DateFormat=P","Fill=—","Direction=H","UseDPDF=Y")</f>
        <v>#NAME?</v>
      </c>
      <c r="DA602" s="4" t="e">
        <f ca="1">_xll.BDH($C$578,"ACCOUNTS_PAYABLE_TURNOVER","FQ4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602" s="2" t="e">
        <f ca="1">_xll.BDH($C$578,"ACCOUNTS_PAYABLE_TURNOVER_DAYS","FQ4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602" s="4" t="e">
        <f ca="1">_xll.BDH($C$578,"CASH_CONVERSION_CYCLE","FQ4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602" s="4" t="e">
        <f ca="1">_xll.BDH($C$578,"INV_TO_CASH_DAYS","FQ4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602" s="5" t="e">
        <f ca="1">_xll.BDH($C$578,"BS_INVENTORIES","FQ4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602" s="3" t="e">
        <f ca="1">_xll.BDH($C$578,"INVTRY_RAW_MATERIALS","FQ4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602" s="3" t="e">
        <f ca="1">_xll.BDH($C$578,"INVTRY_IN_PROGRESS","FQ4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602" s="3" t="e">
        <f ca="1">_xll.BDH($C$578,"INVTRY_FINISHED_GOODS","FQ4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602" s="3" t="e">
        <f ca="1">_xll.BDH($C$578,"BS_OTHER_INV","FQ4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603" spans="1:113" x14ac:dyDescent="0.3">
      <c r="A603" s="6">
        <v>25</v>
      </c>
      <c r="B603" s="6" t="s">
        <v>132</v>
      </c>
      <c r="C603" s="6" t="s">
        <v>133</v>
      </c>
      <c r="D603" s="6" t="s">
        <v>76</v>
      </c>
      <c r="E603" t="s">
        <v>77</v>
      </c>
      <c r="F603" t="e">
        <f ca="1">_xll.BDH($C$603,"RETURN_COM_EQY","FY 2014","FY 2014","Currency=INR","Period=FY","BEST_FPERIOD_OVERRIDE=FY","FILING_STATUS=OR","EQY_CONSOLIDATED=Y","FA_ADJUSTED=GAAP","Sort=A","Dates=H","DateFormat=P","Fill=—","Direction=H","UseDPDF=Y")</f>
        <v>#NAME?</v>
      </c>
      <c r="G603" t="e">
        <f ca="1">_xll.BDH($C$603,"RETURN_ON_ASSET","FY 2014","FY 2014","Currency=INR","Period=FY","BEST_FPERIOD_OVERRIDE=FY","FILING_STATUS=OR","EQY_CONSOLIDATED=Y","FA_ADJUSTED=GAAP","Sort=A","Dates=H","DateFormat=P","Fill=—","Direction=H","UseDPDF=Y")</f>
        <v>#NAME?</v>
      </c>
      <c r="H603" t="e">
        <f ca="1">_xll.BDH($C$603,"RETURN_ON_CAP","FY 2014","FY 2014","Currency=INR","Period=FY","BEST_FPERIOD_OVERRIDE=FY","FILING_STATUS=OR","EQY_CONSOLIDATED=Y","FA_ADJUSTED=GAAP","Sort=A","Dates=H","DateFormat=P","Fill=—","Direction=H","UseDPDF=Y")</f>
        <v>#NAME?</v>
      </c>
      <c r="I603" t="e">
        <f ca="1">_xll.BDH($C$603,"RETURN_ON_INV_CAPITAL","FY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603" t="e">
        <f ca="1">_xll.BDH($C$603,"EBITDA_TO_REVENUE","FY 2014","FY 2014","Currency=INR","Period=FY","BEST_FPERIOD_OVERRIDE=FY","FILING_STATUS=OR","EQY_CONSOLIDATED=Y","FA_ADJUSTED=GAAP","Sort=A","Dates=H","DateFormat=P","Fill=—","Direction=H","UseDPDF=Y")</f>
        <v>#NAME?</v>
      </c>
      <c r="K603" t="e">
        <f ca="1">_xll.BDH($C$603,"OPER_MARGIN","FY 2014","FY 2014","Currency=INR","Period=FY","BEST_FPERIOD_OVERRIDE=FY","FILING_STATUS=OR","EQY_CONSOLIDATED=Y","FA_ADJUSTED=GAAP","Sort=A","Dates=H","DateFormat=P","Fill=—","Direction=H","UseDPDF=Y")</f>
        <v>#NAME?</v>
      </c>
      <c r="L603" t="e">
        <f ca="1">_xll.BDH($C$603,"INCREMENTAL_OPERATING_MARGIN","FY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603" t="e">
        <f ca="1">_xll.BDH($C$603,"PRETAX_INC_TO_NET_SALES","FY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603" t="e">
        <f ca="1">_xll.BDH($C$603,"INC_BEF_XO_ITEMS_TO_NET_SALES","FY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603" t="e">
        <f ca="1">_xll.BDH($C$603,"PROF_MARGIN","FY 2014","FY 2014","Currency=INR","Period=FY","BEST_FPERIOD_OVERRIDE=FY","FILING_STATUS=OR","EQY_CONSOLIDATED=Y","FA_ADJUSTED=GAAP","Sort=A","Dates=H","DateFormat=P","Fill=—","Direction=H","UseDPDF=Y")</f>
        <v>#NAME?</v>
      </c>
      <c r="P603" t="e">
        <f ca="1">_xll.BDH($C$603,"NET_INCOME_TO_COMMON_MARGIN","FY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603" t="e">
        <f ca="1">_xll.BDH($C$603,"EFF_TAX_RATE","FY 2014","FY 2014","Currency=INR","Period=FY","BEST_FPERIOD_OVERRIDE=FY","FILING_STATUS=OR","EQY_CONSOLIDATED=Y","FA_ADJUSTED=GAAP","Sort=A","Dates=H","DateFormat=P","Fill=—","Direction=H","UseDPDF=Y")</f>
        <v>#NAME?</v>
      </c>
      <c r="R603" t="e">
        <f ca="1">_xll.BDH($C$603,"DVD_PAYOUT_RATIO","FY 2014","FY 2014","Currency=INR","Period=FY","BEST_FPERIOD_OVERRIDE=FY","FILING_STATUS=OR","EQY_CONSOLIDATED=Y","FA_ADJUSTED=GAAP","Sort=A","Dates=H","DateFormat=P","Fill=—","Direction=H","UseDPDF=Y")</f>
        <v>#NAME?</v>
      </c>
      <c r="S603" t="e">
        <f ca="1">_xll.BDH($C$603,"SUSTAIN_GROWTH_RT","FY 2014","FY 2014","Currency=INR","Period=FY","BEST_FPERIOD_OVERRIDE=FY","FILING_STATUS=OR","EQY_CONSOLIDATED=Y","FA_ADJUSTED=GAAP","Sort=A","Dates=H","DateFormat=P","Fill=—","Direction=H","UseDPDF=Y")</f>
        <v>#NAME?</v>
      </c>
      <c r="T603" s="2" t="e">
        <f ca="1">_xll.BDH($C$603,"SALES_GROWTH","FY 2014","FY 2014","Currency=INR","Period=FY","BEST_FPERIOD_OVERRIDE=FY","FILING_STATUS=OR","EQY_CONSOLIDATED=Y","FA_ADJUSTED=GAAP","Sort=A","Dates=H","DateFormat=P","Fill=—","Direction=H","UseDPDF=Y")</f>
        <v>#NAME?</v>
      </c>
      <c r="U603" s="2" t="e">
        <f ca="1">_xll.BDH($C$603,"EBITDA_GROWTH","FY 2014","FY 2014","Currency=INR","Period=FY","BEST_FPERIOD_OVERRIDE=FY","FILING_STATUS=OR","EQY_CONSOLIDATED=Y","FA_ADJUSTED=GAAP","Sort=A","Dates=H","DateFormat=P","Fill=—","Direction=H","UseDPDF=Y")</f>
        <v>#NAME?</v>
      </c>
      <c r="V603" s="2" t="e">
        <f ca="1">_xll.BDH($C$603,"OPER_INC_GROWTH","FY 2014","FY 2014","Currency=INR","Period=FY","BEST_FPERIOD_OVERRIDE=FY","FILING_STATUS=OR","EQY_CONSOLIDATED=Y","FA_ADJUSTED=GAAP","Sort=A","Dates=H","DateFormat=P","Fill=—","Direction=H","UseDPDF=Y")</f>
        <v>#NAME?</v>
      </c>
      <c r="W603" s="2" t="e">
        <f ca="1">_xll.BDH($C$603,"EARN_FOR_COM_GROWTH","FY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603" s="2" t="e">
        <f ca="1">_xll.BDH($C$603,"DILUTED_EPS_AFT_XO_ITEMS_GROWTH","FY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603" s="2" t="e">
        <f ca="1">_xll.BDH($C$603,"DIVIDEND_PER_SHARE_1_YEAR_GROWTH","FY 2014","FY 2014","Currency=INR","Period=FY","BEST_FPERIOD_OVERRIDE=FY","FILING_STATUS=OR","EQY_CONSOLIDATED=Y","Sort=A","Dates=H","DateFormat=P","Fill=—","Direction=H","UseDPDF=Y")</f>
        <v>#NAME?</v>
      </c>
      <c r="Z603" s="2" t="e">
        <f ca="1">_xll.BDH($C$603,"ACCOUNTS_RECEIVABLE_GROWTH","FY 2014","FY 2014","Currency=INR","Period=FY","BEST_FPERIOD_OVERRIDE=FY","FILING_STATUS=OR","EQY_CONSOLIDATED=Y","Sort=A","Dates=H","DateFormat=P","Fill=—","Direction=H","UseDPDF=Y")</f>
        <v>#NAME?</v>
      </c>
      <c r="AA603" s="2" t="e">
        <f ca="1">_xll.BDH($C$603,"INVENTORY_GROWTH","FY 2014","FY 2014","Currency=INR","Period=FY","BEST_FPERIOD_OVERRIDE=FY","FILING_STATUS=OR","EQY_CONSOLIDATED=Y","Sort=A","Dates=H","DateFormat=P","Fill=—","Direction=H","UseDPDF=Y")</f>
        <v>#NAME?</v>
      </c>
      <c r="AB603" s="2" t="e">
        <f ca="1">_xll.BDH($C$603,"NET_FIXED_ASSETS_1_YEAR_GROWTH","FY 2014","FY 2014","Currency=INR","Period=FY","BEST_FPERIOD_OVERRIDE=FY","FILING_STATUS=OR","EQY_CONSOLIDATED=Y","Sort=A","Dates=H","DateFormat=P","Fill=—","Direction=H","UseDPDF=Y")</f>
        <v>#NAME?</v>
      </c>
      <c r="AC603" s="2" t="e">
        <f ca="1">_xll.BDH($C$603,"ASSET_GROWTH","FY 2014","FY 2014","Currency=INR","Period=FY","BEST_FPERIOD_OVERRIDE=FY","FILING_STATUS=OR","EQY_CONSOLIDATED=Y","Sort=A","Dates=H","DateFormat=P","Fill=—","Direction=H","UseDPDF=Y")</f>
        <v>#NAME?</v>
      </c>
      <c r="AD603" s="2" t="e">
        <f ca="1">_xll.BDH($C$603,"MODIFIED_WORK_CAP_GROWTH","FY 2014","FY 2014","Currency=INR","Period=FY","BEST_FPERIOD_OVERRIDE=FY","FILING_STATUS=OR","EQY_CONSOLIDATED=Y","Sort=A","Dates=H","DateFormat=P","Fill=—","Direction=H","UseDPDF=Y")</f>
        <v>#NAME?</v>
      </c>
      <c r="AE603" s="2" t="e">
        <f ca="1">_xll.BDH($C$603,"WORK_CAP_GROWTH","FY 2014","FY 2014","Currency=INR","Period=FY","BEST_FPERIOD_OVERRIDE=FY","FILING_STATUS=OR","EQY_CONSOLIDATED=Y","Sort=A","Dates=H","DateFormat=P","Fill=—","Direction=H","UseDPDF=Y")</f>
        <v>#NAME?</v>
      </c>
      <c r="AF603" s="2" t="e">
        <f ca="1">_xll.BDH($C$603,"ACCOUNTS_PAYABLE_GROWTH_1YR","FY 2014","FY 2014","Currency=INR","Period=FY","BEST_FPERIOD_OVERRIDE=FY","FILING_STATUS=OR","EQY_CONSOLIDATED=Y","Sort=A","Dates=H","DateFormat=P","Fill=—","Direction=H","UseDPDF=Y")</f>
        <v>#NAME?</v>
      </c>
      <c r="AG603" s="2" t="e">
        <f ca="1">_xll.BDH($C$603,"SHORT_TERM_DEBT_1_YEAR_GROWTH","FY 2014","FY 2014","Currency=INR","Period=FY","BEST_FPERIOD_OVERRIDE=FY","FILING_STATUS=OR","EQY_CONSOLIDATED=Y","Sort=A","Dates=H","DateFormat=P","Fill=—","Direction=H","UseDPDF=Y")</f>
        <v>#NAME?</v>
      </c>
      <c r="AH603" s="2" t="e">
        <f ca="1">_xll.BDH($C$603,"TOTAL_DEBT_1_YEAR_GROWTH","FY 2014","FY 2014","Currency=INR","Period=FY","BEST_FPERIOD_OVERRIDE=FY","FILING_STATUS=OR","EQY_CONSOLIDATED=Y","Sort=A","Dates=H","DateFormat=P","Fill=—","Direction=H","UseDPDF=Y")</f>
        <v>#NAME?</v>
      </c>
      <c r="AI603" s="2" t="e">
        <f ca="1">_xll.BDH($C$603,"TOTAL_EQUITY_1_YEAR_GROWTH","FY 2014","FY 2014","Currency=INR","Period=FY","BEST_FPERIOD_OVERRIDE=FY","FILING_STATUS=OR","EQY_CONSOLIDATED=Y","Sort=A","Dates=H","DateFormat=P","Fill=—","Direction=H","UseDPDF=Y")</f>
        <v>#NAME?</v>
      </c>
      <c r="AJ603" s="2" t="e">
        <f ca="1">_xll.BDH($C$603,"GROWTH_IN_CAP","FY 2014","FY 2014","Currency=INR","Period=FY","BEST_FPERIOD_OVERRIDE=FY","FILING_STATUS=OR","EQY_CONSOLIDATED=Y","Sort=A","Dates=H","DateFormat=P","Fill=—","Direction=H","UseDPDF=Y")</f>
        <v>#NAME?</v>
      </c>
      <c r="AK603" s="2" t="e">
        <f ca="1">_xll.BDH($C$603,"BVPS_GROWTH","FY 2014","FY 2014","Currency=INR","Period=FY","BEST_FPERIOD_OVERRIDE=FY","FILING_STATUS=OR","EQY_CONSOLIDATED=Y","Sort=A","Dates=H","DateFormat=P","Fill=—","Direction=H","UseDPDF=Y")</f>
        <v>#NAME?</v>
      </c>
      <c r="AL603" s="2" t="e">
        <f ca="1">_xll.BDH($C$603,"CASH_FLOW_GROWTH","FY 2014","FY 2014","Currency=INR","Period=FY","BEST_FPERIOD_OVERRIDE=FY","FILING_STATUS=OR","EQY_CONSOLIDATED=Y","Sort=A","Dates=H","DateFormat=P","Fill=—","Direction=H","UseDPDF=Y")</f>
        <v>#NAME?</v>
      </c>
      <c r="AM603" s="2" t="e">
        <f ca="1">_xll.BDH($C$603,"GEO_GROW_NET_SALES","FY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603" s="2" t="e">
        <f ca="1">_xll.BDH($C$603,"GEO_GROW_EBITDA","FY 2014","FY 2014","Currency=INR","Period=FY","BEST_FPERIOD_OVERRIDE=FY","FILING_STATUS=OR","EQY_CONSOLIDATED=Y","FA_ADJUSTED=GAAP","Sort=A","Dates=H","DateFormat=P","Fill=—","Direction=H","UseDPDF=Y")</f>
        <v>#NAME?</v>
      </c>
      <c r="AO603" s="2" t="e">
        <f ca="1">_xll.BDH($C$603,"GEO_GROW_OPER_INC","FY 2014","FY 2014","Currency=INR","Period=FY","BEST_FPERIOD_OVERRIDE=FY","FILING_STATUS=OR","EQY_CONSOLIDATED=Y","FA_ADJUSTED=GAAP","Sort=A","Dates=H","DateFormat=P","Fill=—","Direction=H","UseDPDF=Y")</f>
        <v>#NAME?</v>
      </c>
      <c r="AP603" s="2" t="e">
        <f ca="1">_xll.BDH($C$603,"NET_INCOME_TO_COMMON_5_YR_GROWTH","FY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603" s="2" t="e">
        <f ca="1">_xll.BDH($C$603,"5Y_GEO_GROWTH_DILUTED_EPS","FY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603" s="2" t="e">
        <f ca="1">_xll.BDH($C$603,"GEO_GROW_DVD_PER_SH","FY 2014","FY 2014","Currency=INR","Period=FY","BEST_FPERIOD_OVERRIDE=FY","FILING_STATUS=OR","EQY_CONSOLIDATED=Y","Sort=A","Dates=H","DateFormat=P","Fill=—","Direction=H","UseDPDF=Y")</f>
        <v>#NAME?</v>
      </c>
      <c r="AS603" s="2" t="e">
        <f ca="1">_xll.BDH($C$603,"ACCOUNTS_RECEIVABLE_5_YR_GROWTH","FY 2014","FY 2014","Currency=INR","Period=FY","BEST_FPERIOD_OVERRIDE=FY","FILING_STATUS=OR","EQY_CONSOLIDATED=Y","Sort=A","Dates=H","DateFormat=P","Fill=—","Direction=H","UseDPDF=Y")</f>
        <v>#NAME?</v>
      </c>
      <c r="AT603" s="2" t="e">
        <f ca="1">_xll.BDH($C$603,"INVENTORY_5_YEAR_GROWTH","FY 2014","FY 2014","Currency=INR","Period=FY","BEST_FPERIOD_OVERRIDE=FY","FILING_STATUS=OR","EQY_CONSOLIDATED=Y","Sort=A","Dates=H","DateFormat=P","Fill=—","Direction=H","UseDPDF=Y")</f>
        <v>#NAME?</v>
      </c>
      <c r="AU603" s="2" t="e">
        <f ca="1">_xll.BDH($C$603,"NET_FIXED_ASSETS_5_YEAR_GROWTH","FY 2014","FY 2014","Currency=INR","Period=FY","BEST_FPERIOD_OVERRIDE=FY","FILING_STATUS=OR","EQY_CONSOLIDATED=Y","Sort=A","Dates=H","DateFormat=P","Fill=—","Direction=H","UseDPDF=Y")</f>
        <v>#NAME?</v>
      </c>
      <c r="AV603" s="2" t="e">
        <f ca="1">_xll.BDH($C$603,"GEO_GROW_TOT_ASSET","FY 2014","FY 2014","Currency=INR","Period=FY","BEST_FPERIOD_OVERRIDE=FY","FILING_STATUS=OR","EQY_CONSOLIDATED=Y","Sort=A","Dates=H","DateFormat=P","Fill=—","Direction=H","UseDPDF=Y")</f>
        <v>#NAME?</v>
      </c>
      <c r="AW603" s="2" t="e">
        <f ca="1">_xll.BDH($C$603,"MODIFIED_WORKING_CPTL_5YR_GRWTH","FY 2014","FY 2014","Currency=INR","Period=FY","BEST_FPERIOD_OVERRIDE=FY","FILING_STATUS=OR","EQY_CONSOLIDATED=Y","Sort=A","Dates=H","DateFormat=P","Fill=—","Direction=H","UseDPDF=Y")</f>
        <v>#NAME?</v>
      </c>
      <c r="AX603" s="2" t="e">
        <f ca="1">_xll.BDH($C$603,"WORKING_CAPITAL_5_YEAR_GROWTH","FY 2014","FY 2014","Currency=INR","Period=FY","BEST_FPERIOD_OVERRIDE=FY","FILING_STATUS=OR","EQY_CONSOLIDATED=Y","Sort=A","Dates=H","DateFormat=P","Fill=—","Direction=H","UseDPDF=Y")</f>
        <v>#NAME?</v>
      </c>
      <c r="AY603" s="2" t="e">
        <f ca="1">_xll.BDH($C$603,"ACCOUNTS_PAYABLE_5_YEAR_GROWTH","FY 2014","FY 2014","Currency=INR","Period=FY","BEST_FPERIOD_OVERRIDE=FY","FILING_STATUS=OR","EQY_CONSOLIDATED=Y","Sort=A","Dates=H","DateFormat=P","Fill=—","Direction=H","UseDPDF=Y")</f>
        <v>#NAME?</v>
      </c>
      <c r="AZ603" s="2" t="e">
        <f ca="1">_xll.BDH($C$603,"SHORT_TERM_DEBT_5_YEAR_GROWTH","FY 2014","FY 2014","Currency=INR","Period=FY","BEST_FPERIOD_OVERRIDE=FY","FILING_STATUS=OR","EQY_CONSOLIDATED=Y","Sort=A","Dates=H","DateFormat=P","Fill=—","Direction=H","UseDPDF=Y")</f>
        <v>#NAME?</v>
      </c>
      <c r="BA603" s="2" t="e">
        <f ca="1">_xll.BDH($C$603,"TOTAL_DEBT_5_YEAR_GROWTH","FY 2014","FY 2014","Currency=INR","Period=FY","BEST_FPERIOD_OVERRIDE=FY","FILING_STATUS=OR","EQY_CONSOLIDATED=Y","Sort=A","Dates=H","DateFormat=P","Fill=—","Direction=H","UseDPDF=Y")</f>
        <v>#NAME?</v>
      </c>
      <c r="BB603" s="2" t="e">
        <f ca="1">_xll.BDH($C$603,"GEO_GROW_TOT_SHRHLDR_EQY","FY 2014","FY 2014","Currency=INR","Period=FY","BEST_FPERIOD_OVERRIDE=FY","FILING_STATUS=OR","EQY_CONSOLIDATED=Y","Sort=A","Dates=H","DateFormat=P","Fill=—","Direction=H","UseDPDF=Y")</f>
        <v>#NAME?</v>
      </c>
      <c r="BC603" s="2" t="e">
        <f ca="1">_xll.BDH($C$603,"TOTAL_CAPITAL_5_YEAR_GROWTH","FY 2014","FY 2014","Currency=INR","Period=FY","BEST_FPERIOD_OVERRIDE=FY","FILING_STATUS=OR","EQY_CONSOLIDATED=Y","Sort=A","Dates=H","DateFormat=P","Fill=—","Direction=H","UseDPDF=Y")</f>
        <v>#NAME?</v>
      </c>
      <c r="BD603" s="2" t="e">
        <f ca="1">_xll.BDH($C$603,"GEO_GROW_BOOK_VAL","FY 2014","FY 2014","Currency=INR","Period=FY","BEST_FPERIOD_OVERRIDE=FY","FILING_STATUS=OR","EQY_CONSOLIDATED=Y","Sort=A","Dates=H","DateFormat=P","Fill=—","Direction=H","UseDPDF=Y")</f>
        <v>#NAME?</v>
      </c>
      <c r="BE603" s="2" t="e">
        <f ca="1">_xll.BDH($C$603,"GEO_GROW_CASH_OPER_ACT","FY 2014","FY 2014","Currency=INR","Period=FY","BEST_FPERIOD_OVERRIDE=FY","FILING_STATUS=OR","EQY_CONSOLIDATED=Y","Sort=A","Dates=H","DateFormat=P","Fill=—","Direction=H","UseDPDF=Y")</f>
        <v>#NAME?</v>
      </c>
      <c r="BF603" s="2" t="e">
        <f ca="1">_xll.BDH($C$603,"REVENUE_SEQUENTIAL_GROWTH","FY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603" s="2" t="e">
        <f ca="1">_xll.BDH($C$603,"EBITDA_SEQUENTIAL_GROWTH","FY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603" s="2" t="e">
        <f ca="1">_xll.BDH($C$603,"OPERATING_INCOME_SEQ_GROWTH","FY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603" s="2" t="e">
        <f ca="1">_xll.BDH($C$603,"NET_INCOME_TO_COMMON_SEQ_GROWTH","FY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603" s="2" t="e">
        <f ca="1">_xll.BDH($C$603,"EPS_DILUTED_SEQUENTIAL_GROWTH","FY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603" s="2" t="e">
        <f ca="1">_xll.BDH($C$603,"DPS_SEQUENTIAL_GROWTH","FY 2014","FY 2014","Currency=INR","Period=FY","BEST_FPERIOD_OVERRIDE=FY","FILING_STATUS=OR","EQY_CONSOLIDATED=Y","Sort=A","Dates=H","DateFormat=P","Fill=—","Direction=H","UseDPDF=Y")</f>
        <v>#NAME?</v>
      </c>
      <c r="BL603" s="2" t="e">
        <f ca="1">_xll.BDH($C$603,"ACCOUNTS_RECEIVABLE_SEQ_GROWTH","FY 2014","FY 2014","Currency=INR","Period=FY","BEST_FPERIOD_OVERRIDE=FY","FILING_STATUS=OR","EQY_CONSOLIDATED=Y","Sort=A","Dates=H","DateFormat=P","Fill=—","Direction=H","UseDPDF=Y")</f>
        <v>#NAME?</v>
      </c>
      <c r="BM603" s="2" t="e">
        <f ca="1">_xll.BDH($C$603,"INVENTORY_SEQUENTIAL_GROWTH","FY 2014","FY 2014","Currency=INR","Period=FY","BEST_FPERIOD_OVERRIDE=FY","FILING_STATUS=OR","EQY_CONSOLIDATED=Y","Sort=A","Dates=H","DateFormat=P","Fill=—","Direction=H","UseDPDF=Y")</f>
        <v>#NAME?</v>
      </c>
      <c r="BN603" s="2" t="e">
        <f ca="1">_xll.BDH($C$603,"FIXED_ASSETS_SEQUENTIAL_GROWTH","FY 2014","FY 2014","Currency=INR","Period=FY","BEST_FPERIOD_OVERRIDE=FY","FILING_STATUS=OR","EQY_CONSOLIDATED=Y","Sort=A","Dates=H","DateFormat=P","Fill=—","Direction=H","UseDPDF=Y")</f>
        <v>#NAME?</v>
      </c>
      <c r="BO603" s="2" t="e">
        <f ca="1">_xll.BDH($C$603,"TOTAL_ASSETS_SEQUENTIAL_GROWTH","FY 2014","FY 2014","Currency=INR","Period=FY","BEST_FPERIOD_OVERRIDE=FY","FILING_STATUS=OR","EQY_CONSOLIDATED=Y","Sort=A","Dates=H","DateFormat=P","Fill=—","Direction=H","UseDPDF=Y")</f>
        <v>#NAME?</v>
      </c>
      <c r="BP603" s="2" t="e">
        <f ca="1">_xll.BDH($C$603,"MODIFIED_WORKING_CPTL_SEQ_GRWTH","FY 2014","FY 2014","Currency=INR","Period=FY","BEST_FPERIOD_OVERRIDE=FY","FILING_STATUS=OR","EQY_CONSOLIDATED=Y","Sort=A","Dates=H","DateFormat=P","Fill=—","Direction=H","UseDPDF=Y")</f>
        <v>#NAME?</v>
      </c>
      <c r="BQ603" s="2" t="e">
        <f ca="1">_xll.BDH($C$603,"WORKING_CAPITAL_SEQ_GROWTH","FY 2014","FY 2014","Currency=INR","Period=FY","BEST_FPERIOD_OVERRIDE=FY","FILING_STATUS=OR","EQY_CONSOLIDATED=Y","Sort=A","Dates=H","DateFormat=P","Fill=—","Direction=H","UseDPDF=Y")</f>
        <v>#NAME?</v>
      </c>
      <c r="BR603" s="2" t="e">
        <f ca="1">_xll.BDH($C$603,"ACCOUNTS_PAYABLE_SEQ_GROWTH","FY 2014","FY 2014","Currency=INR","Period=FY","BEST_FPERIOD_OVERRIDE=FY","FILING_STATUS=OR","EQY_CONSOLIDATED=Y","Sort=A","Dates=H","DateFormat=P","Fill=—","Direction=H","UseDPDF=Y")</f>
        <v>#NAME?</v>
      </c>
      <c r="BS603" s="2" t="e">
        <f ca="1">_xll.BDH($C$603,"ST_DEBT_SEQUENTIAL_GROWTH","FY 2014","FY 2014","Currency=INR","Period=FY","BEST_FPERIOD_OVERRIDE=FY","FILING_STATUS=OR","EQY_CONSOLIDATED=Y","Sort=A","Dates=H","DateFormat=P","Fill=—","Direction=H","UseDPDF=Y")</f>
        <v>#NAME?</v>
      </c>
      <c r="BT603" s="2" t="e">
        <f ca="1">_xll.BDH($C$603,"TOTAL_DEBT_SEQUENTIAL_GROWTH","FY 2014","FY 2014","Currency=INR","Period=FY","BEST_FPERIOD_OVERRIDE=FY","FILING_STATUS=OR","EQY_CONSOLIDATED=Y","Sort=A","Dates=H","DateFormat=P","Fill=—","Direction=H","UseDPDF=Y")</f>
        <v>#NAME?</v>
      </c>
      <c r="BU603" s="2" t="e">
        <f ca="1">_xll.BDH($C$603,"TOTAL_EQUITY_SEQUENTIAL_GROWTH","FY 2014","FY 2014","Currency=INR","Period=FY","BEST_FPERIOD_OVERRIDE=FY","FILING_STATUS=OR","EQY_CONSOLIDATED=Y","Sort=A","Dates=H","DateFormat=P","Fill=—","Direction=H","UseDPDF=Y")</f>
        <v>#NAME?</v>
      </c>
      <c r="BV603" s="2" t="e">
        <f ca="1">_xll.BDH($C$603,"TOTAL_CAPITAL_SEQUENTIAL_GROWTH","FY 2014","FY 2014","Currency=INR","Period=FY","BEST_FPERIOD_OVERRIDE=FY","FILING_STATUS=OR","EQY_CONSOLIDATED=Y","Sort=A","Dates=H","DateFormat=P","Fill=—","Direction=H","UseDPDF=Y")</f>
        <v>#NAME?</v>
      </c>
      <c r="BW603" s="2" t="e">
        <f ca="1">_xll.BDH($C$603,"BPS_SEQUENTIAL_GROWTH","FY 2014","FY 2014","Currency=INR","Period=FY","BEST_FPERIOD_OVERRIDE=FY","FILING_STATUS=OR","EQY_CONSOLIDATED=Y","Sort=A","Dates=H","DateFormat=P","Fill=—","Direction=H","UseDPDF=Y")</f>
        <v>#NAME?</v>
      </c>
      <c r="BX603" s="2" t="e">
        <f ca="1">_xll.BDH($C$603,"CFO_SEQUENTIAL_GROWTH","FY 2014","FY 2014","Currency=INR","Period=FY","BEST_FPERIOD_OVERRIDE=FY","FILING_STATUS=OR","EQY_CONSOLIDATED=Y","Sort=A","Dates=H","DateFormat=P","Fill=—","Direction=H","UseDPDF=Y")</f>
        <v>#NAME?</v>
      </c>
      <c r="BY603" s="3" t="e">
        <f ca="1">_xll.BDH($C$603,"SHORT_AND_LONG_TERM_DEBT","FY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603" s="3" t="e">
        <f ca="1">_xll.BDH($C$603,"BS_ST_BORROW","FY 2014","FY 2014","Currency=INR","Period=FY","BEST_FPERIOD_OVERRIDE=FY","FILING_STATUS=OR","EQY_CONSOLIDATED=Y","SCALING_FORMAT=MLN","Sort=A","Dates=H","DateFormat=P","Fill=—","Direction=H","UseDPDF=Y")</f>
        <v>#NAME?</v>
      </c>
      <c r="CA603" s="3" t="e">
        <f ca="1">_xll.BDH($C$603,"BS_LT_BORROW","FY 2014","FY 2014","Currency=INR","Period=FY","BEST_FPERIOD_OVERRIDE=FY","FILING_STATUS=OR","EQY_CONSOLIDATED=Y","SCALING_FORMAT=MLN","Sort=A","Dates=H","DateFormat=P","Fill=—","Direction=H","UseDPDF=Y")</f>
        <v>#NAME?</v>
      </c>
      <c r="CB603" s="2" t="e">
        <f ca="1">_xll.BDH($C$603,"TOT_DEBT_TO_EBITDA","FY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603" s="2" t="e">
        <f ca="1">_xll.BDH($C$603,"NET_DEBT_TO_EBITDA","FY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603" s="2" t="e">
        <f ca="1">_xll.BDH($C$603,"TOTAL_DEBT_TO_EBIT","FY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603" s="2" t="e">
        <f ca="1">_xll.BDH($C$603,"NET_DEBT_TO_EBIT","FY 2014","FY 2014","Currency=INR","Period=FY","BEST_FPERIOD_OVERRIDE=FY","FILING_STATUS=OR","EQY_CONSOLIDATED=Y","FA_ADJUSTED=GAAP","Sort=A","Dates=H","DateFormat=P","Fill=—","Direction=H","UseDPDF=Y")</f>
        <v>#NAME?</v>
      </c>
      <c r="CF603" s="2" t="e">
        <f ca="1">_xll.BDH($C$603,"EBITDA_TO_INTEREST_EXPN","FY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603" s="2" t="e">
        <f ca="1">_xll.BDH($C$603,"COM_EQY_TO_TOT_ASSET","FY 2014","FY 2014","Currency=INR","Period=FY","BEST_FPERIOD_OVERRIDE=FY","FILING_STATUS=OR","EQY_CONSOLIDATED=Y","Sort=A","Dates=H","DateFormat=P","Fill=—","Direction=H","UseDPDF=Y")</f>
        <v>#NAME?</v>
      </c>
      <c r="CH603" s="2" t="e">
        <f ca="1">_xll.BDH($C$603,"LT_DEBT_TO_TOT_EQY","FY 2014","FY 2014","Currency=INR","Period=FY","BEST_FPERIOD_OVERRIDE=FY","FILING_STATUS=OR","EQY_CONSOLIDATED=Y","Sort=A","Dates=H","DateFormat=P","Fill=—","Direction=H","UseDPDF=Y")</f>
        <v>#NAME?</v>
      </c>
      <c r="CI603" s="2" t="e">
        <f ca="1">_xll.BDH($C$603,"LT_DEBT_TO_TOT_CAP","FY 2014","FY 2014","Currency=INR","Period=FY","BEST_FPERIOD_OVERRIDE=FY","FILING_STATUS=OR","EQY_CONSOLIDATED=Y","Sort=A","Dates=H","DateFormat=P","Fill=—","Direction=H","UseDPDF=Y")</f>
        <v>#NAME?</v>
      </c>
      <c r="CJ603" s="2" t="e">
        <f ca="1">_xll.BDH($C$603,"LT_DEBT_TO_TOT_ASSET","FY 2014","FY 2014","Currency=INR","Period=FY","BEST_FPERIOD_OVERRIDE=FY","FILING_STATUS=OR","EQY_CONSOLIDATED=Y","Sort=A","Dates=H","DateFormat=P","Fill=—","Direction=H","UseDPDF=Y")</f>
        <v>#NAME?</v>
      </c>
      <c r="CK603" s="2" t="e">
        <f ca="1">_xll.BDH($C$603,"TOT_DEBT_TO_TOT_EQY","FY 2014","FY 2014","Currency=INR","Period=FY","BEST_FPERIOD_OVERRIDE=FY","FILING_STATUS=OR","EQY_CONSOLIDATED=Y","Sort=A","Dates=H","DateFormat=P","Fill=—","Direction=H","UseDPDF=Y")</f>
        <v>#NAME?</v>
      </c>
      <c r="CL603" s="2" t="e">
        <f ca="1">_xll.BDH($C$603,"TOT_DEBT_TO_TOT_CAP","FY 2014","FY 2014","Currency=INR","Period=FY","BEST_FPERIOD_OVERRIDE=FY","FILING_STATUS=OR","EQY_CONSOLIDATED=Y","Sort=A","Dates=H","DateFormat=P","Fill=—","Direction=H","UseDPDF=Y")</f>
        <v>#NAME?</v>
      </c>
      <c r="CM603" s="2" t="e">
        <f ca="1">_xll.BDH($C$603,"TOT_DEBT_TO_TOT_ASSET","FY 2014","FY 2014","Currency=INR","Period=FY","BEST_FPERIOD_OVERRIDE=FY","FILING_STATUS=OR","EQY_CONSOLIDATED=Y","Sort=A","Dates=H","DateFormat=P","Fill=—","Direction=H","UseDPDF=Y")</f>
        <v>#NAME?</v>
      </c>
      <c r="CN603" s="2" t="e">
        <f ca="1">_xll.BDH($C$603,"NET_DEBT_TO_SHRHLDR_EQTY","FY 2014","FY 2014","Currency=INR","Period=FY","BEST_FPERIOD_OVERRIDE=FY","FILING_STATUS=OR","EQY_CONSOLIDATED=Y","Sort=A","Dates=H","DateFormat=P","Fill=—","Direction=H","UseDPDF=Y")</f>
        <v>#NAME?</v>
      </c>
      <c r="CO603" s="2" t="e">
        <f ca="1">_xll.BDH($C$603,"NET_DEBT_%_CAPITAL","FY 2014","FY 2014","Currency=INR","Period=FY","BEST_FPERIOD_OVERRIDE=FY","FILING_STATUS=OR","EQY_CONSOLIDATED=Y","Sort=A","Dates=H","DateFormat=P","Fill=—","Direction=H","UseDPDF=Y")</f>
        <v>#NAME?</v>
      </c>
      <c r="CP603" s="3" t="e">
        <f ca="1">_xll.BDH($C$603,"EBITDA","FY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603" s="3" t="e">
        <f ca="1">_xll.BDH($C$603,"EBITDA_AFTER_CAPEX","FY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603" s="3" t="e">
        <f ca="1">_xll.BDH($C$603,"IS_OPER_INC","FY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603" s="2" t="e">
        <f ca="1">_xll.BDH($C$603,"CASH_RATIO","FY 2014","FY 2014","Currency=INR","Period=FY","BEST_FPERIOD_OVERRIDE=FY","FILING_STATUS=OR","EQY_CONSOLIDATED=Y","Sort=A","Dates=H","DateFormat=P","Fill=—","Direction=H","UseDPDF=Y")</f>
        <v>#NAME?</v>
      </c>
      <c r="CT603" s="2" t="e">
        <f ca="1">_xll.BDH($C$603,"CUR_RATIO","FY 2014","FY 2014","Currency=INR","Period=FY","BEST_FPERIOD_OVERRIDE=FY","FILING_STATUS=OR","EQY_CONSOLIDATED=Y","Sort=A","Dates=H","DateFormat=P","Fill=—","Direction=H","UseDPDF=Y")</f>
        <v>#NAME?</v>
      </c>
      <c r="CU603" s="2" t="e">
        <f ca="1">_xll.BDH($C$603,"QUICK_RATIO","FY 2014","FY 2014","Currency=INR","Period=FY","BEST_FPERIOD_OVERRIDE=FY","FILING_STATUS=OR","EQY_CONSOLIDATED=Y","Sort=A","Dates=H","DateFormat=P","Fill=—","Direction=H","UseDPDF=Y")</f>
        <v>#NAME?</v>
      </c>
      <c r="CV603" s="2" t="e">
        <f ca="1">_xll.BDH($C$603,"ALTMAN_Z_SCORE","FY 2014","FY 2014","Currency=INR","Period=FY","BEST_FPERIOD_OVERRIDE=FY","FILING_STATUS=OR","EQY_CONSOLIDATED=Y","Sort=A","Dates=H","DateFormat=P","Fill=—","Direction=H","UseDPDF=Y")</f>
        <v>#NAME?</v>
      </c>
      <c r="CW603" s="4" t="e">
        <f ca="1">_xll.BDH($C$603,"ACCT_RCV_TURN","FY 2014","FY 2014","Currency=INR","Period=FY","BEST_FPERIOD_OVERRIDE=FY","FILING_STATUS=OR","EQY_CONSOLIDATED=Y","FA_ADJUSTED=GAAP","Sort=A","Dates=H","DateFormat=P","Fill=—","Direction=H","UseDPDF=Y")</f>
        <v>#NAME?</v>
      </c>
      <c r="CX603" s="2" t="e">
        <f ca="1">_xll.BDH($C$603,"ACCT_RCV_DAYS","FY 2014","FY 2014","Currency=INR","Period=FY","BEST_FPERIOD_OVERRIDE=FY","FILING_STATUS=OR","EQY_CONSOLIDATED=Y","FA_ADJUSTED=GAAP","Sort=A","Dates=H","DateFormat=P","Fill=—","Direction=H","UseDPDF=Y")</f>
        <v>#NAME?</v>
      </c>
      <c r="CY603" s="4" t="e">
        <f ca="1">_xll.BDH($C$603,"INVENT_TURN","FY 2014","FY 2014","Currency=INR","Period=FY","BEST_FPERIOD_OVERRIDE=FY","FILING_STATUS=OR","EQY_CONSOLIDATED=Y","FA_ADJUSTED=GAAP","Sort=A","Dates=H","DateFormat=P","Fill=—","Direction=H","UseDPDF=Y")</f>
        <v>#NAME?</v>
      </c>
      <c r="CZ603" s="2" t="e">
        <f ca="1">_xll.BDH($C$603,"INVENT_DAYS","FY 2014","FY 2014","Currency=INR","Period=FY","BEST_FPERIOD_OVERRIDE=FY","FILING_STATUS=OR","EQY_CONSOLIDATED=Y","FA_ADJUSTED=GAAP","Sort=A","Dates=H","DateFormat=P","Fill=—","Direction=H","UseDPDF=Y")</f>
        <v>#NAME?</v>
      </c>
      <c r="DA603" s="4" t="e">
        <f ca="1">_xll.BDH($C$603,"ACCOUNTS_PAYABLE_TURNOVER","FY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603" s="2" t="e">
        <f ca="1">_xll.BDH($C$603,"ACCOUNTS_PAYABLE_TURNOVER_DAYS","FY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603" s="4" t="e">
        <f ca="1">_xll.BDH($C$603,"CASH_CONVERSION_CYCLE","FY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603" s="4" t="e">
        <f ca="1">_xll.BDH($C$603,"INV_TO_CASH_DAYS","FY 2014","FY 2014","Currency=INR","Period=FY","BEST_FPERIOD_OVERRIDE=FY","FILING_STATUS=OR","EQY_CONSOLIDATED=Y","FA_ADJUSTED=GAAP","Sort=A","Dates=H","DateFormat=P","Fill=—","Direction=H","UseDPDF=Y")</f>
        <v>#NAME?</v>
      </c>
      <c r="DE603" s="5" t="e">
        <f ca="1">_xll.BDH($C$603,"BS_INVENTORIES","FY 2014","FY 2014","Currency=INR","Period=FY","BEST_FPERIOD_OVERRIDE=FY","FILING_STATUS=OR","EQY_CONSOLIDATED=Y","SCALING_FORMAT=MLN","Sort=A","Dates=H","DateFormat=P","Fill=—","Direction=H","UseDPDF=Y")</f>
        <v>#NAME?</v>
      </c>
      <c r="DF603" s="3" t="e">
        <f ca="1">_xll.BDH($C$603,"INVTRY_RAW_MATERIALS","FY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603" s="3" t="e">
        <f ca="1">_xll.BDH($C$603,"INVTRY_IN_PROGRESS","FY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603" s="3" t="e">
        <f ca="1">_xll.BDH($C$603,"INVTRY_FINISHED_GOODS","FY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603" s="3" t="e">
        <f ca="1">_xll.BDH($C$603,"BS_OTHER_INV","FY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604" spans="1:113" x14ac:dyDescent="0.3">
      <c r="A604" s="6"/>
      <c r="B604" s="6"/>
      <c r="C604" s="6"/>
      <c r="D604" s="6"/>
      <c r="E604" t="s">
        <v>78</v>
      </c>
      <c r="F604" t="e">
        <f ca="1">_xll.BDH($C$603,"RETURN_COM_EQY","FQ1 2014","FQ1 2014","Currency=INR","Period=FQ","BEST_FPERIOD_OVERRIDE=FQ","FILING_STATUS=OR","EQY_CONSOLIDATED=Y","FA_ADJUSTED=GAAP","Sort=A","Dates=H","DateFormat=P","Fill=—","Direction=H","UseDPDF=Y")</f>
        <v>#NAME?</v>
      </c>
      <c r="G604" t="e">
        <f ca="1">_xll.BDH($C$603,"RETURN_ON_ASSET","FQ1 2014","FQ1 2014","Currency=INR","Period=FQ","BEST_FPERIOD_OVERRIDE=FQ","FILING_STATUS=OR","EQY_CONSOLIDATED=Y","FA_ADJUSTED=GAAP","Sort=A","Dates=H","DateFormat=P","Fill=—","Direction=H","UseDPDF=Y")</f>
        <v>#NAME?</v>
      </c>
      <c r="H604" t="e">
        <f ca="1">_xll.BDH($C$603,"RETURN_ON_CAP","FQ1 2014","FQ1 2014","Currency=INR","Period=FQ","BEST_FPERIOD_OVERRIDE=FQ","FILING_STATUS=OR","EQY_CONSOLIDATED=Y","FA_ADJUSTED=GAAP","Sort=A","Dates=H","DateFormat=P","Fill=—","Direction=H","UseDPDF=Y")</f>
        <v>#NAME?</v>
      </c>
      <c r="I604" t="e">
        <f ca="1">_xll.BDH($C$603,"RETURN_ON_INV_CAPITAL","FQ1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604" t="e">
        <f ca="1">_xll.BDH($C$603,"EBITDA_TO_REVENUE","FQ1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604" t="e">
        <f ca="1">_xll.BDH($C$603,"OPER_MARGIN","FQ1 2014","FQ1 2014","Currency=INR","Period=FQ","BEST_FPERIOD_OVERRIDE=FQ","FILING_STATUS=OR","EQY_CONSOLIDATED=Y","FA_ADJUSTED=GAAP","Sort=A","Dates=H","DateFormat=P","Fill=—","Direction=H","UseDPDF=Y")</f>
        <v>#NAME?</v>
      </c>
      <c r="L604" t="e">
        <f ca="1">_xll.BDH($C$603,"INCREMENTAL_OPERATING_MARGIN","FQ1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604" t="e">
        <f ca="1">_xll.BDH($C$603,"PRETAX_INC_TO_NET_SALES","FQ1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604" t="e">
        <f ca="1">_xll.BDH($C$603,"INC_BEF_XO_ITEMS_TO_NET_SALES","FQ1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604" t="e">
        <f ca="1">_xll.BDH($C$603,"PROF_MARGIN","FQ1 2014","FQ1 2014","Currency=INR","Period=FQ","BEST_FPERIOD_OVERRIDE=FQ","FILING_STATUS=OR","EQY_CONSOLIDATED=Y","FA_ADJUSTED=GAAP","Sort=A","Dates=H","DateFormat=P","Fill=—","Direction=H","UseDPDF=Y")</f>
        <v>#NAME?</v>
      </c>
      <c r="P604" t="e">
        <f ca="1">_xll.BDH($C$603,"NET_INCOME_TO_COMMON_MARGIN","FQ1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604" t="e">
        <f ca="1">_xll.BDH($C$603,"EFF_TAX_RATE","FQ1 2014","FQ1 2014","Currency=INR","Period=FQ","BEST_FPERIOD_OVERRIDE=FQ","FILING_STATUS=OR","EQY_CONSOLIDATED=Y","FA_ADJUSTED=GAAP","Sort=A","Dates=H","DateFormat=P","Fill=—","Direction=H","UseDPDF=Y")</f>
        <v>#NAME?</v>
      </c>
      <c r="R604" t="e">
        <f ca="1">_xll.BDH($C$603,"DVD_PAYOUT_RATIO","FQ1 2014","FQ1 2014","Currency=INR","Period=FQ","BEST_FPERIOD_OVERRIDE=FQ","FILING_STATUS=OR","EQY_CONSOLIDATED=Y","FA_ADJUSTED=GAAP","Sort=A","Dates=H","DateFormat=P","Fill=—","Direction=H","UseDPDF=Y")</f>
        <v>#NAME?</v>
      </c>
      <c r="S604" t="e">
        <f ca="1">_xll.BDH($C$603,"SUSTAIN_GROWTH_RT","FQ1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604" s="2" t="e">
        <f ca="1">_xll.BDH($C$603,"SALES_GROWTH","FQ1 2014","FQ1 2014","Currency=INR","Period=FQ","BEST_FPERIOD_OVERRIDE=FQ","FILING_STATUS=OR","EQY_CONSOLIDATED=Y","FA_ADJUSTED=GAAP","Sort=A","Dates=H","DateFormat=P","Fill=—","Direction=H","UseDPDF=Y")</f>
        <v>#NAME?</v>
      </c>
      <c r="U604" s="2" t="e">
        <f ca="1">_xll.BDH($C$603,"EBITDA_GROWTH","FQ1 2014","FQ1 2014","Currency=INR","Period=FQ","BEST_FPERIOD_OVERRIDE=FQ","FILING_STATUS=OR","EQY_CONSOLIDATED=Y","FA_ADJUSTED=GAAP","Sort=A","Dates=H","DateFormat=P","Fill=—","Direction=H","UseDPDF=Y")</f>
        <v>#NAME?</v>
      </c>
      <c r="V604" s="2" t="e">
        <f ca="1">_xll.BDH($C$603,"OPER_INC_GROWTH","FQ1 2014","FQ1 2014","Currency=INR","Period=FQ","BEST_FPERIOD_OVERRIDE=FQ","FILING_STATUS=OR","EQY_CONSOLIDATED=Y","FA_ADJUSTED=GAAP","Sort=A","Dates=H","DateFormat=P","Fill=—","Direction=H","UseDPDF=Y")</f>
        <v>#NAME?</v>
      </c>
      <c r="W604" s="2" t="e">
        <f ca="1">_xll.BDH($C$603,"EARN_FOR_COM_GROWTH","FQ1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604" s="2" t="e">
        <f ca="1">_xll.BDH($C$603,"DILUTED_EPS_AFT_XO_ITEMS_GROWTH","FQ1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604" s="2" t="e">
        <f ca="1">_xll.BDH($C$603,"DIVIDEND_PER_SHARE_1_YEAR_GROWTH","FQ1 2014","FQ1 2014","Currency=INR","Period=FQ","BEST_FPERIOD_OVERRIDE=FQ","FILING_STATUS=OR","EQY_CONSOLIDATED=Y","Sort=A","Dates=H","DateFormat=P","Fill=—","Direction=H","UseDPDF=Y")</f>
        <v>#NAME?</v>
      </c>
      <c r="Z604" s="2" t="e">
        <f ca="1">_xll.BDH($C$603,"ACCOUNTS_RECEIVABLE_GROWTH","FQ1 2014","FQ1 2014","Currency=INR","Period=FQ","BEST_FPERIOD_OVERRIDE=FQ","FILING_STATUS=OR","EQY_CONSOLIDATED=Y","Sort=A","Dates=H","DateFormat=P","Fill=—","Direction=H","UseDPDF=Y")</f>
        <v>#NAME?</v>
      </c>
      <c r="AA604" s="2" t="e">
        <f ca="1">_xll.BDH($C$603,"INVENTORY_GROWTH","FQ1 2014","FQ1 2014","Currency=INR","Period=FQ","BEST_FPERIOD_OVERRIDE=FQ","FILING_STATUS=OR","EQY_CONSOLIDATED=Y","Sort=A","Dates=H","DateFormat=P","Fill=—","Direction=H","UseDPDF=Y")</f>
        <v>#NAME?</v>
      </c>
      <c r="AB604" s="2" t="e">
        <f ca="1">_xll.BDH($C$603,"NET_FIXED_ASSETS_1_YEAR_GROWTH","FQ1 2014","FQ1 2014","Currency=INR","Period=FQ","BEST_FPERIOD_OVERRIDE=FQ","FILING_STATUS=OR","EQY_CONSOLIDATED=Y","Sort=A","Dates=H","DateFormat=P","Fill=—","Direction=H","UseDPDF=Y")</f>
        <v>#NAME?</v>
      </c>
      <c r="AC604" s="2" t="e">
        <f ca="1">_xll.BDH($C$603,"ASSET_GROWTH","FQ1 2014","FQ1 2014","Currency=INR","Period=FQ","BEST_FPERIOD_OVERRIDE=FQ","FILING_STATUS=OR","EQY_CONSOLIDATED=Y","Sort=A","Dates=H","DateFormat=P","Fill=—","Direction=H","UseDPDF=Y")</f>
        <v>#NAME?</v>
      </c>
      <c r="AD604" s="2" t="e">
        <f ca="1">_xll.BDH($C$603,"MODIFIED_WORK_CAP_GROWTH","FQ1 2014","FQ1 2014","Currency=INR","Period=FQ","BEST_FPERIOD_OVERRIDE=FQ","FILING_STATUS=OR","EQY_CONSOLIDATED=Y","Sort=A","Dates=H","DateFormat=P","Fill=—","Direction=H","UseDPDF=Y")</f>
        <v>#NAME?</v>
      </c>
      <c r="AE604" s="2" t="e">
        <f ca="1">_xll.BDH($C$603,"WORK_CAP_GROWTH","FQ1 2014","FQ1 2014","Currency=INR","Period=FQ","BEST_FPERIOD_OVERRIDE=FQ","FILING_STATUS=OR","EQY_CONSOLIDATED=Y","Sort=A","Dates=H","DateFormat=P","Fill=—","Direction=H","UseDPDF=Y")</f>
        <v>#NAME?</v>
      </c>
      <c r="AF604" s="2" t="e">
        <f ca="1">_xll.BDH($C$603,"ACCOUNTS_PAYABLE_GROWTH_1YR","FQ1 2014","FQ1 2014","Currency=INR","Period=FQ","BEST_FPERIOD_OVERRIDE=FQ","FILING_STATUS=OR","EQY_CONSOLIDATED=Y","Sort=A","Dates=H","DateFormat=P","Fill=—","Direction=H","UseDPDF=Y")</f>
        <v>#NAME?</v>
      </c>
      <c r="AG604" s="2" t="e">
        <f ca="1">_xll.BDH($C$603,"SHORT_TERM_DEBT_1_YEAR_GROWTH","FQ1 2014","FQ1 2014","Currency=INR","Period=FQ","BEST_FPERIOD_OVERRIDE=FQ","FILING_STATUS=OR","EQY_CONSOLIDATED=Y","Sort=A","Dates=H","DateFormat=P","Fill=—","Direction=H","UseDPDF=Y")</f>
        <v>#NAME?</v>
      </c>
      <c r="AH604" s="2" t="e">
        <f ca="1">_xll.BDH($C$603,"TOTAL_DEBT_1_YEAR_GROWTH","FQ1 2014","FQ1 2014","Currency=INR","Period=FQ","BEST_FPERIOD_OVERRIDE=FQ","FILING_STATUS=OR","EQY_CONSOLIDATED=Y","Sort=A","Dates=H","DateFormat=P","Fill=—","Direction=H","UseDPDF=Y")</f>
        <v>#NAME?</v>
      </c>
      <c r="AI604" s="2" t="e">
        <f ca="1">_xll.BDH($C$603,"TOTAL_EQUITY_1_YEAR_GROWTH","FQ1 2014","FQ1 2014","Currency=INR","Period=FQ","BEST_FPERIOD_OVERRIDE=FQ","FILING_STATUS=OR","EQY_CONSOLIDATED=Y","Sort=A","Dates=H","DateFormat=P","Fill=—","Direction=H","UseDPDF=Y")</f>
        <v>#NAME?</v>
      </c>
      <c r="AJ604" s="2" t="e">
        <f ca="1">_xll.BDH($C$603,"GROWTH_IN_CAP","FQ1 2014","FQ1 2014","Currency=INR","Period=FQ","BEST_FPERIOD_OVERRIDE=FQ","FILING_STATUS=OR","EQY_CONSOLIDATED=Y","Sort=A","Dates=H","DateFormat=P","Fill=—","Direction=H","UseDPDF=Y")</f>
        <v>#NAME?</v>
      </c>
      <c r="AK604" s="2" t="e">
        <f ca="1">_xll.BDH($C$603,"BVPS_GROWTH","FQ1 2014","FQ1 2014","Currency=INR","Period=FQ","BEST_FPERIOD_OVERRIDE=FQ","FILING_STATUS=OR","EQY_CONSOLIDATED=Y","Sort=A","Dates=H","DateFormat=P","Fill=—","Direction=H","UseDPDF=Y")</f>
        <v>#NAME?</v>
      </c>
      <c r="AL604" s="2" t="e">
        <f ca="1">_xll.BDH($C$603,"CASH_FLOW_GROWTH","FQ1 2014","FQ1 2014","Currency=INR","Period=FQ","BEST_FPERIOD_OVERRIDE=FQ","FILING_STATUS=OR","EQY_CONSOLIDATED=Y","Sort=A","Dates=H","DateFormat=P","Fill=—","Direction=H","UseDPDF=Y")</f>
        <v>#NAME?</v>
      </c>
      <c r="AM604" s="2" t="e">
        <f ca="1">_xll.BDH($C$603,"GEO_GROW_NET_SALES","FQ1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604" s="2" t="e">
        <f ca="1">_xll.BDH($C$603,"GEO_GROW_EBITDA","FQ1 2014","FQ1 2014","Currency=INR","Period=FQ","BEST_FPERIOD_OVERRIDE=FQ","FILING_STATUS=OR","EQY_CONSOLIDATED=Y","FA_ADJUSTED=GAAP","Sort=A","Dates=H","DateFormat=P","Fill=—","Direction=H","UseDPDF=Y")</f>
        <v>#NAME?</v>
      </c>
      <c r="AO604" s="2" t="e">
        <f ca="1">_xll.BDH($C$603,"GEO_GROW_OPER_INC","FQ1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604" s="2" t="e">
        <f ca="1">_xll.BDH($C$603,"NET_INCOME_TO_COMMON_5_YR_GROWTH","FQ1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604" s="2" t="e">
        <f ca="1">_xll.BDH($C$603,"5Y_GEO_GROWTH_DILUTED_EPS","FQ1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604" s="2" t="e">
        <f ca="1">_xll.BDH($C$603,"GEO_GROW_DVD_PER_SH","FQ1 2014","FQ1 2014","Currency=INR","Period=FQ","BEST_FPERIOD_OVERRIDE=FQ","FILING_STATUS=OR","EQY_CONSOLIDATED=Y","Sort=A","Dates=H","DateFormat=P","Fill=—","Direction=H","UseDPDF=Y")</f>
        <v>#NAME?</v>
      </c>
      <c r="AS604" s="2" t="e">
        <f ca="1">_xll.BDH($C$603,"ACCOUNTS_RECEIVABLE_5_YR_GROWTH","FQ1 2014","FQ1 2014","Currency=INR","Period=FQ","BEST_FPERIOD_OVERRIDE=FQ","FILING_STATUS=OR","EQY_CONSOLIDATED=Y","Sort=A","Dates=H","DateFormat=P","Fill=—","Direction=H","UseDPDF=Y")</f>
        <v>#NAME?</v>
      </c>
      <c r="AT604" s="2" t="e">
        <f ca="1">_xll.BDH($C$603,"INVENTORY_5_YEAR_GROWTH","FQ1 2014","FQ1 2014","Currency=INR","Period=FQ","BEST_FPERIOD_OVERRIDE=FQ","FILING_STATUS=OR","EQY_CONSOLIDATED=Y","Sort=A","Dates=H","DateFormat=P","Fill=—","Direction=H","UseDPDF=Y")</f>
        <v>#NAME?</v>
      </c>
      <c r="AU604" s="2" t="e">
        <f ca="1">_xll.BDH($C$603,"NET_FIXED_ASSETS_5_YEAR_GROWTH","FQ1 2014","FQ1 2014","Currency=INR","Period=FQ","BEST_FPERIOD_OVERRIDE=FQ","FILING_STATUS=OR","EQY_CONSOLIDATED=Y","Sort=A","Dates=H","DateFormat=P","Fill=—","Direction=H","UseDPDF=Y")</f>
        <v>#NAME?</v>
      </c>
      <c r="AV604" s="2" t="e">
        <f ca="1">_xll.BDH($C$603,"GEO_GROW_TOT_ASSET","FQ1 2014","FQ1 2014","Currency=INR","Period=FQ","BEST_FPERIOD_OVERRIDE=FQ","FILING_STATUS=OR","EQY_CONSOLIDATED=Y","Sort=A","Dates=H","DateFormat=P","Fill=—","Direction=H","UseDPDF=Y")</f>
        <v>#NAME?</v>
      </c>
      <c r="AW604" s="2" t="e">
        <f ca="1">_xll.BDH($C$603,"MODIFIED_WORKING_CPTL_5YR_GRWTH","FQ1 2014","FQ1 2014","Currency=INR","Period=FQ","BEST_FPERIOD_OVERRIDE=FQ","FILING_STATUS=OR","EQY_CONSOLIDATED=Y","Sort=A","Dates=H","DateFormat=P","Fill=—","Direction=H","UseDPDF=Y")</f>
        <v>#NAME?</v>
      </c>
      <c r="AX604" s="2" t="e">
        <f ca="1">_xll.BDH($C$603,"WORKING_CAPITAL_5_YEAR_GROWTH","FQ1 2014","FQ1 2014","Currency=INR","Period=FQ","BEST_FPERIOD_OVERRIDE=FQ","FILING_STATUS=OR","EQY_CONSOLIDATED=Y","Sort=A","Dates=H","DateFormat=P","Fill=—","Direction=H","UseDPDF=Y")</f>
        <v>#NAME?</v>
      </c>
      <c r="AY604" s="2" t="e">
        <f ca="1">_xll.BDH($C$603,"ACCOUNTS_PAYABLE_5_YEAR_GROWTH","FQ1 2014","FQ1 2014","Currency=INR","Period=FQ","BEST_FPERIOD_OVERRIDE=FQ","FILING_STATUS=OR","EQY_CONSOLIDATED=Y","Sort=A","Dates=H","DateFormat=P","Fill=—","Direction=H","UseDPDF=Y")</f>
        <v>#NAME?</v>
      </c>
      <c r="AZ604" s="2" t="e">
        <f ca="1">_xll.BDH($C$603,"SHORT_TERM_DEBT_5_YEAR_GROWTH","FQ1 2014","FQ1 2014","Currency=INR","Period=FQ","BEST_FPERIOD_OVERRIDE=FQ","FILING_STATUS=OR","EQY_CONSOLIDATED=Y","Sort=A","Dates=H","DateFormat=P","Fill=—","Direction=H","UseDPDF=Y")</f>
        <v>#NAME?</v>
      </c>
      <c r="BA604" s="2" t="e">
        <f ca="1">_xll.BDH($C$603,"TOTAL_DEBT_5_YEAR_GROWTH","FQ1 2014","FQ1 2014","Currency=INR","Period=FQ","BEST_FPERIOD_OVERRIDE=FQ","FILING_STATUS=OR","EQY_CONSOLIDATED=Y","Sort=A","Dates=H","DateFormat=P","Fill=—","Direction=H","UseDPDF=Y")</f>
        <v>#NAME?</v>
      </c>
      <c r="BB604" s="2" t="e">
        <f ca="1">_xll.BDH($C$603,"GEO_GROW_TOT_SHRHLDR_EQY","FQ1 2014","FQ1 2014","Currency=INR","Period=FQ","BEST_FPERIOD_OVERRIDE=FQ","FILING_STATUS=OR","EQY_CONSOLIDATED=Y","Sort=A","Dates=H","DateFormat=P","Fill=—","Direction=H","UseDPDF=Y")</f>
        <v>#NAME?</v>
      </c>
      <c r="BC604" s="2" t="e">
        <f ca="1">_xll.BDH($C$603,"TOTAL_CAPITAL_5_YEAR_GROWTH","FQ1 2014","FQ1 2014","Currency=INR","Period=FQ","BEST_FPERIOD_OVERRIDE=FQ","FILING_STATUS=OR","EQY_CONSOLIDATED=Y","Sort=A","Dates=H","DateFormat=P","Fill=—","Direction=H","UseDPDF=Y")</f>
        <v>#NAME?</v>
      </c>
      <c r="BD604" s="2" t="e">
        <f ca="1">_xll.BDH($C$603,"GEO_GROW_BOOK_VAL","FQ1 2014","FQ1 2014","Currency=INR","Period=FQ","BEST_FPERIOD_OVERRIDE=FQ","FILING_STATUS=OR","EQY_CONSOLIDATED=Y","Sort=A","Dates=H","DateFormat=P","Fill=—","Direction=H","UseDPDF=Y")</f>
        <v>#NAME?</v>
      </c>
      <c r="BE604" s="2" t="e">
        <f ca="1">_xll.BDH($C$603,"GEO_GROW_CASH_OPER_ACT","FQ1 2014","FQ1 2014","Currency=INR","Period=FQ","BEST_FPERIOD_OVERRIDE=FQ","FILING_STATUS=OR","EQY_CONSOLIDATED=Y","Sort=A","Dates=H","DateFormat=P","Fill=—","Direction=H","UseDPDF=Y")</f>
        <v>#NAME?</v>
      </c>
      <c r="BF604" s="2" t="e">
        <f ca="1">_xll.BDH($C$603,"REVENUE_SEQUENTIAL_GROWTH","FQ1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604" s="2" t="e">
        <f ca="1">_xll.BDH($C$603,"EBITDA_SEQUENTIAL_GROWTH","FQ1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604" s="2" t="e">
        <f ca="1">_xll.BDH($C$603,"OPERATING_INCOME_SEQ_GROWTH","FQ1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604" s="2" t="e">
        <f ca="1">_xll.BDH($C$603,"NET_INCOME_TO_COMMON_SEQ_GROWTH","FQ1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604" s="2" t="e">
        <f ca="1">_xll.BDH($C$603,"EPS_DILUTED_SEQUENTIAL_GROWTH","FQ1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604" s="2" t="e">
        <f ca="1">_xll.BDH($C$603,"DPS_SEQUENTIAL_GROWTH","FQ1 2014","FQ1 2014","Currency=INR","Period=FQ","BEST_FPERIOD_OVERRIDE=FQ","FILING_STATUS=OR","EQY_CONSOLIDATED=Y","Sort=A","Dates=H","DateFormat=P","Fill=—","Direction=H","UseDPDF=Y")</f>
        <v>#NAME?</v>
      </c>
      <c r="BL604" s="2" t="e">
        <f ca="1">_xll.BDH($C$603,"ACCOUNTS_RECEIVABLE_SEQ_GROWTH","FQ1 2014","FQ1 2014","Currency=INR","Period=FQ","BEST_FPERIOD_OVERRIDE=FQ","FILING_STATUS=OR","EQY_CONSOLIDATED=Y","Sort=A","Dates=H","DateFormat=P","Fill=—","Direction=H","UseDPDF=Y")</f>
        <v>#NAME?</v>
      </c>
      <c r="BM604" s="2" t="e">
        <f ca="1">_xll.BDH($C$603,"INVENTORY_SEQUENTIAL_GROWTH","FQ1 2014","FQ1 2014","Currency=INR","Period=FQ","BEST_FPERIOD_OVERRIDE=FQ","FILING_STATUS=OR","EQY_CONSOLIDATED=Y","Sort=A","Dates=H","DateFormat=P","Fill=—","Direction=H","UseDPDF=Y")</f>
        <v>#NAME?</v>
      </c>
      <c r="BN604" s="2" t="e">
        <f ca="1">_xll.BDH($C$603,"FIXED_ASSETS_SEQUENTIAL_GROWTH","FQ1 2014","FQ1 2014","Currency=INR","Period=FQ","BEST_FPERIOD_OVERRIDE=FQ","FILING_STATUS=OR","EQY_CONSOLIDATED=Y","Sort=A","Dates=H","DateFormat=P","Fill=—","Direction=H","UseDPDF=Y")</f>
        <v>#NAME?</v>
      </c>
      <c r="BO604" s="2" t="e">
        <f ca="1">_xll.BDH($C$603,"TOTAL_ASSETS_SEQUENTIAL_GROWTH","FQ1 2014","FQ1 2014","Currency=INR","Period=FQ","BEST_FPERIOD_OVERRIDE=FQ","FILING_STATUS=OR","EQY_CONSOLIDATED=Y","Sort=A","Dates=H","DateFormat=P","Fill=—","Direction=H","UseDPDF=Y")</f>
        <v>#NAME?</v>
      </c>
      <c r="BP604" s="2" t="e">
        <f ca="1">_xll.BDH($C$603,"MODIFIED_WORKING_CPTL_SEQ_GRWTH","FQ1 2014","FQ1 2014","Currency=INR","Period=FQ","BEST_FPERIOD_OVERRIDE=FQ","FILING_STATUS=OR","EQY_CONSOLIDATED=Y","Sort=A","Dates=H","DateFormat=P","Fill=—","Direction=H","UseDPDF=Y")</f>
        <v>#NAME?</v>
      </c>
      <c r="BQ604" s="2" t="e">
        <f ca="1">_xll.BDH($C$603,"WORKING_CAPITAL_SEQ_GROWTH","FQ1 2014","FQ1 2014","Currency=INR","Period=FQ","BEST_FPERIOD_OVERRIDE=FQ","FILING_STATUS=OR","EQY_CONSOLIDATED=Y","Sort=A","Dates=H","DateFormat=P","Fill=—","Direction=H","UseDPDF=Y")</f>
        <v>#NAME?</v>
      </c>
      <c r="BR604" s="2" t="e">
        <f ca="1">_xll.BDH($C$603,"ACCOUNTS_PAYABLE_SEQ_GROWTH","FQ1 2014","FQ1 2014","Currency=INR","Period=FQ","BEST_FPERIOD_OVERRIDE=FQ","FILING_STATUS=OR","EQY_CONSOLIDATED=Y","Sort=A","Dates=H","DateFormat=P","Fill=—","Direction=H","UseDPDF=Y")</f>
        <v>#NAME?</v>
      </c>
      <c r="BS604" s="2" t="e">
        <f ca="1">_xll.BDH($C$603,"ST_DEBT_SEQUENTIAL_GROWTH","FQ1 2014","FQ1 2014","Currency=INR","Period=FQ","BEST_FPERIOD_OVERRIDE=FQ","FILING_STATUS=OR","EQY_CONSOLIDATED=Y","Sort=A","Dates=H","DateFormat=P","Fill=—","Direction=H","UseDPDF=Y")</f>
        <v>#NAME?</v>
      </c>
      <c r="BT604" s="2" t="e">
        <f ca="1">_xll.BDH($C$603,"TOTAL_DEBT_SEQUENTIAL_GROWTH","FQ1 2014","FQ1 2014","Currency=INR","Period=FQ","BEST_FPERIOD_OVERRIDE=FQ","FILING_STATUS=OR","EQY_CONSOLIDATED=Y","Sort=A","Dates=H","DateFormat=P","Fill=—","Direction=H","UseDPDF=Y")</f>
        <v>#NAME?</v>
      </c>
      <c r="BU604" s="2" t="e">
        <f ca="1">_xll.BDH($C$603,"TOTAL_EQUITY_SEQUENTIAL_GROWTH","FQ1 2014","FQ1 2014","Currency=INR","Period=FQ","BEST_FPERIOD_OVERRIDE=FQ","FILING_STATUS=OR","EQY_CONSOLIDATED=Y","Sort=A","Dates=H","DateFormat=P","Fill=—","Direction=H","UseDPDF=Y")</f>
        <v>#NAME?</v>
      </c>
      <c r="BV604" s="2" t="e">
        <f ca="1">_xll.BDH($C$603,"TOTAL_CAPITAL_SEQUENTIAL_GROWTH","FQ1 2014","FQ1 2014","Currency=INR","Period=FQ","BEST_FPERIOD_OVERRIDE=FQ","FILING_STATUS=OR","EQY_CONSOLIDATED=Y","Sort=A","Dates=H","DateFormat=P","Fill=—","Direction=H","UseDPDF=Y")</f>
        <v>#NAME?</v>
      </c>
      <c r="BW604" s="2" t="e">
        <f ca="1">_xll.BDH($C$603,"BPS_SEQUENTIAL_GROWTH","FQ1 2014","FQ1 2014","Currency=INR","Period=FQ","BEST_FPERIOD_OVERRIDE=FQ","FILING_STATUS=OR","EQY_CONSOLIDATED=Y","Sort=A","Dates=H","DateFormat=P","Fill=—","Direction=H","UseDPDF=Y")</f>
        <v>#NAME?</v>
      </c>
      <c r="BX604" s="2" t="e">
        <f ca="1">_xll.BDH($C$603,"CFO_SEQUENTIAL_GROWTH","FQ1 2014","FQ1 2014","Currency=INR","Period=FQ","BEST_FPERIOD_OVERRIDE=FQ","FILING_STATUS=OR","EQY_CONSOLIDATED=Y","Sort=A","Dates=H","DateFormat=P","Fill=—","Direction=H","UseDPDF=Y")</f>
        <v>#NAME?</v>
      </c>
      <c r="BY604" s="3" t="e">
        <f ca="1">_xll.BDH($C$603,"SHORT_AND_LONG_TERM_DEBT","FQ1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604" s="3" t="e">
        <f ca="1">_xll.BDH($C$603,"BS_ST_BORROW","FQ1 2014","FQ1 2014","Currency=INR","Period=FQ","BEST_FPERIOD_OVERRIDE=FQ","FILING_STATUS=OR","EQY_CONSOLIDATED=Y","SCALING_FORMAT=MLN","Sort=A","Dates=H","DateFormat=P","Fill=—","Direction=H","UseDPDF=Y")</f>
        <v>#NAME?</v>
      </c>
      <c r="CA604" s="3" t="e">
        <f ca="1">_xll.BDH($C$603,"BS_LT_BORROW","FQ1 2014","FQ1 2014","Currency=INR","Period=FQ","BEST_FPERIOD_OVERRIDE=FQ","FILING_STATUS=OR","EQY_CONSOLIDATED=Y","SCALING_FORMAT=MLN","Sort=A","Dates=H","DateFormat=P","Fill=—","Direction=H","UseDPDF=Y")</f>
        <v>#NAME?</v>
      </c>
      <c r="CB604" s="2" t="e">
        <f ca="1">_xll.BDH($C$603,"TOT_DEBT_TO_EBITDA","FQ1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604" s="2" t="e">
        <f ca="1">_xll.BDH($C$603,"NET_DEBT_TO_EBITDA","FQ1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604" s="2" t="e">
        <f ca="1">_xll.BDH($C$603,"TOTAL_DEBT_TO_EBIT","FQ1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604" s="2" t="e">
        <f ca="1">_xll.BDH($C$603,"NET_DEBT_TO_EBIT","FQ1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604" s="2" t="e">
        <f ca="1">_xll.BDH($C$603,"EBITDA_TO_INTEREST_EXPN","FQ1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604" s="2" t="e">
        <f ca="1">_xll.BDH($C$603,"COM_EQY_TO_TOT_ASSET","FQ1 2014","FQ1 2014","Currency=INR","Period=FQ","BEST_FPERIOD_OVERRIDE=FQ","FILING_STATUS=OR","EQY_CONSOLIDATED=Y","Sort=A","Dates=H","DateFormat=P","Fill=—","Direction=H","UseDPDF=Y")</f>
        <v>#NAME?</v>
      </c>
      <c r="CH604" s="2" t="e">
        <f ca="1">_xll.BDH($C$603,"LT_DEBT_TO_TOT_EQY","FQ1 2014","FQ1 2014","Currency=INR","Period=FQ","BEST_FPERIOD_OVERRIDE=FQ","FILING_STATUS=OR","EQY_CONSOLIDATED=Y","Sort=A","Dates=H","DateFormat=P","Fill=—","Direction=H","UseDPDF=Y")</f>
        <v>#NAME?</v>
      </c>
      <c r="CI604" s="2" t="e">
        <f ca="1">_xll.BDH($C$603,"LT_DEBT_TO_TOT_CAP","FQ1 2014","FQ1 2014","Currency=INR","Period=FQ","BEST_FPERIOD_OVERRIDE=FQ","FILING_STATUS=OR","EQY_CONSOLIDATED=Y","Sort=A","Dates=H","DateFormat=P","Fill=—","Direction=H","UseDPDF=Y")</f>
        <v>#NAME?</v>
      </c>
      <c r="CJ604" s="2" t="e">
        <f ca="1">_xll.BDH($C$603,"LT_DEBT_TO_TOT_ASSET","FQ1 2014","FQ1 2014","Currency=INR","Period=FQ","BEST_FPERIOD_OVERRIDE=FQ","FILING_STATUS=OR","EQY_CONSOLIDATED=Y","Sort=A","Dates=H","DateFormat=P","Fill=—","Direction=H","UseDPDF=Y")</f>
        <v>#NAME?</v>
      </c>
      <c r="CK604" s="2" t="e">
        <f ca="1">_xll.BDH($C$603,"TOT_DEBT_TO_TOT_EQY","FQ1 2014","FQ1 2014","Currency=INR","Period=FQ","BEST_FPERIOD_OVERRIDE=FQ","FILING_STATUS=OR","EQY_CONSOLIDATED=Y","Sort=A","Dates=H","DateFormat=P","Fill=—","Direction=H","UseDPDF=Y")</f>
        <v>#NAME?</v>
      </c>
      <c r="CL604" s="2" t="e">
        <f ca="1">_xll.BDH($C$603,"TOT_DEBT_TO_TOT_CAP","FQ1 2014","FQ1 2014","Currency=INR","Period=FQ","BEST_FPERIOD_OVERRIDE=FQ","FILING_STATUS=OR","EQY_CONSOLIDATED=Y","Sort=A","Dates=H","DateFormat=P","Fill=—","Direction=H","UseDPDF=Y")</f>
        <v>#NAME?</v>
      </c>
      <c r="CM604" s="2" t="e">
        <f ca="1">_xll.BDH($C$603,"TOT_DEBT_TO_TOT_ASSET","FQ1 2014","FQ1 2014","Currency=INR","Period=FQ","BEST_FPERIOD_OVERRIDE=FQ","FILING_STATUS=OR","EQY_CONSOLIDATED=Y","Sort=A","Dates=H","DateFormat=P","Fill=—","Direction=H","UseDPDF=Y")</f>
        <v>#NAME?</v>
      </c>
      <c r="CN604" s="2" t="e">
        <f ca="1">_xll.BDH($C$603,"NET_DEBT_TO_SHRHLDR_EQTY","FQ1 2014","FQ1 2014","Currency=INR","Period=FQ","BEST_FPERIOD_OVERRIDE=FQ","FILING_STATUS=OR","EQY_CONSOLIDATED=Y","Sort=A","Dates=H","DateFormat=P","Fill=—","Direction=H","UseDPDF=Y")</f>
        <v>#NAME?</v>
      </c>
      <c r="CO604" s="2" t="e">
        <f ca="1">_xll.BDH($C$603,"NET_DEBT_%_CAPITAL","FQ1 2014","FQ1 2014","Currency=INR","Period=FQ","BEST_FPERIOD_OVERRIDE=FQ","FILING_STATUS=OR","EQY_CONSOLIDATED=Y","Sort=A","Dates=H","DateFormat=P","Fill=—","Direction=H","UseDPDF=Y")</f>
        <v>#NAME?</v>
      </c>
      <c r="CP604" s="3" t="e">
        <f ca="1">_xll.BDH($C$603,"EBITDA","FQ1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604" s="3" t="e">
        <f ca="1">_xll.BDH($C$603,"EBITDA_AFTER_CAPEX","FQ1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604" s="3" t="e">
        <f ca="1">_xll.BDH($C$603,"IS_OPER_INC","FQ1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604" s="2" t="e">
        <f ca="1">_xll.BDH($C$603,"CASH_RATIO","FQ1 2014","FQ1 2014","Currency=INR","Period=FQ","BEST_FPERIOD_OVERRIDE=FQ","FILING_STATUS=OR","EQY_CONSOLIDATED=Y","Sort=A","Dates=H","DateFormat=P","Fill=—","Direction=H","UseDPDF=Y")</f>
        <v>#NAME?</v>
      </c>
      <c r="CT604" s="2" t="e">
        <f ca="1">_xll.BDH($C$603,"CUR_RATIO","FQ1 2014","FQ1 2014","Currency=INR","Period=FQ","BEST_FPERIOD_OVERRIDE=FQ","FILING_STATUS=OR","EQY_CONSOLIDATED=Y","Sort=A","Dates=H","DateFormat=P","Fill=—","Direction=H","UseDPDF=Y")</f>
        <v>#NAME?</v>
      </c>
      <c r="CU604" s="2" t="e">
        <f ca="1">_xll.BDH($C$603,"QUICK_RATIO","FQ1 2014","FQ1 2014","Currency=INR","Period=FQ","BEST_FPERIOD_OVERRIDE=FQ","FILING_STATUS=OR","EQY_CONSOLIDATED=Y","Sort=A","Dates=H","DateFormat=P","Fill=—","Direction=H","UseDPDF=Y")</f>
        <v>#NAME?</v>
      </c>
      <c r="CV604" s="2" t="e">
        <f ca="1">_xll.BDH($C$603,"ALTMAN_Z_SCORE","FQ1 2014","FQ1 2014","Currency=INR","Period=FQ","BEST_FPERIOD_OVERRIDE=FQ","FILING_STATUS=OR","EQY_CONSOLIDATED=Y","Sort=A","Dates=H","DateFormat=P","Fill=—","Direction=H","UseDPDF=Y")</f>
        <v>#NAME?</v>
      </c>
      <c r="CW604" s="4" t="e">
        <f ca="1">_xll.BDH($C$603,"ACCT_RCV_TURN","FQ1 2014","FQ1 2014","Currency=INR","Period=FQ","BEST_FPERIOD_OVERRIDE=FQ","FILING_STATUS=OR","EQY_CONSOLIDATED=Y","FA_ADJUSTED=GAAP","Sort=A","Dates=H","DateFormat=P","Fill=—","Direction=H","UseDPDF=Y")</f>
        <v>#NAME?</v>
      </c>
      <c r="CX604" s="2" t="e">
        <f ca="1">_xll.BDH($C$603,"ACCT_RCV_DAYS","FQ1 2014","FQ1 2014","Currency=INR","Period=FQ","BEST_FPERIOD_OVERRIDE=FQ","FILING_STATUS=OR","EQY_CONSOLIDATED=Y","FA_ADJUSTED=GAAP","Sort=A","Dates=H","DateFormat=P","Fill=—","Direction=H","UseDPDF=Y")</f>
        <v>#NAME?</v>
      </c>
      <c r="CY604" s="4" t="e">
        <f ca="1">_xll.BDH($C$603,"INVENT_TURN","FQ1 2014","FQ1 2014","Currency=INR","Period=FQ","BEST_FPERIOD_OVERRIDE=FQ","FILING_STATUS=OR","EQY_CONSOLIDATED=Y","FA_ADJUSTED=GAAP","Sort=A","Dates=H","DateFormat=P","Fill=—","Direction=H","UseDPDF=Y")</f>
        <v>#NAME?</v>
      </c>
      <c r="CZ604" s="2" t="e">
        <f ca="1">_xll.BDH($C$603,"INVENT_DAYS","FQ1 2014","FQ1 2014","Currency=INR","Period=FQ","BEST_FPERIOD_OVERRIDE=FQ","FILING_STATUS=OR","EQY_CONSOLIDATED=Y","FA_ADJUSTED=GAAP","Sort=A","Dates=H","DateFormat=P","Fill=—","Direction=H","UseDPDF=Y")</f>
        <v>#NAME?</v>
      </c>
      <c r="DA604" s="4" t="e">
        <f ca="1">_xll.BDH($C$603,"ACCOUNTS_PAYABLE_TURNOVER","FQ1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604" s="2" t="e">
        <f ca="1">_xll.BDH($C$603,"ACCOUNTS_PAYABLE_TURNOVER_DAYS","FQ1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604" s="4" t="e">
        <f ca="1">_xll.BDH($C$603,"CASH_CONVERSION_CYCLE","FQ1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604" s="4" t="e">
        <f ca="1">_xll.BDH($C$603,"INV_TO_CASH_DAYS","FQ1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604" s="5" t="e">
        <f ca="1">_xll.BDH($C$603,"BS_INVENTORIES","FQ1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604" s="3" t="e">
        <f ca="1">_xll.BDH($C$603,"INVTRY_RAW_MATERIALS","FQ1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604" s="3" t="e">
        <f ca="1">_xll.BDH($C$603,"INVTRY_IN_PROGRESS","FQ1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604" s="3" t="e">
        <f ca="1">_xll.BDH($C$603,"INVTRY_FINISHED_GOODS","FQ1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604" s="3" t="e">
        <f ca="1">_xll.BDH($C$603,"BS_OTHER_INV","FQ1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605" spans="1:113" x14ac:dyDescent="0.3">
      <c r="A605" s="6"/>
      <c r="B605" s="6"/>
      <c r="C605" s="6"/>
      <c r="D605" s="6"/>
      <c r="E605" t="s">
        <v>79</v>
      </c>
      <c r="F605" t="e">
        <f ca="1">_xll.BDH($C$603,"RETURN_COM_EQY","FQ2 2014","FQ2 2014","Currency=INR","Period=FQ","BEST_FPERIOD_OVERRIDE=FQ","FILING_STATUS=OR","EQY_CONSOLIDATED=Y","FA_ADJUSTED=GAAP","Sort=A","Dates=H","DateFormat=P","Fill=—","Direction=H","UseDPDF=Y")</f>
        <v>#NAME?</v>
      </c>
      <c r="G605" t="e">
        <f ca="1">_xll.BDH($C$603,"RETURN_ON_ASSET","FQ2 2014","FQ2 2014","Currency=INR","Period=FQ","BEST_FPERIOD_OVERRIDE=FQ","FILING_STATUS=OR","EQY_CONSOLIDATED=Y","FA_ADJUSTED=GAAP","Sort=A","Dates=H","DateFormat=P","Fill=—","Direction=H","UseDPDF=Y")</f>
        <v>#NAME?</v>
      </c>
      <c r="H605" t="e">
        <f ca="1">_xll.BDH($C$603,"RETURN_ON_CAP","FQ2 2014","FQ2 2014","Currency=INR","Period=FQ","BEST_FPERIOD_OVERRIDE=FQ","FILING_STATUS=OR","EQY_CONSOLIDATED=Y","FA_ADJUSTED=GAAP","Sort=A","Dates=H","DateFormat=P","Fill=—","Direction=H","UseDPDF=Y")</f>
        <v>#NAME?</v>
      </c>
      <c r="I605" t="e">
        <f ca="1">_xll.BDH($C$603,"RETURN_ON_INV_CAPITAL","FQ2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605" t="e">
        <f ca="1">_xll.BDH($C$603,"EBITDA_TO_REVENUE","FQ2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605" t="e">
        <f ca="1">_xll.BDH($C$603,"OPER_MARGIN","FQ2 2014","FQ2 2014","Currency=INR","Period=FQ","BEST_FPERIOD_OVERRIDE=FQ","FILING_STATUS=OR","EQY_CONSOLIDATED=Y","FA_ADJUSTED=GAAP","Sort=A","Dates=H","DateFormat=P","Fill=—","Direction=H","UseDPDF=Y")</f>
        <v>#NAME?</v>
      </c>
      <c r="L605" t="e">
        <f ca="1">_xll.BDH($C$603,"INCREMENTAL_OPERATING_MARGIN","FQ2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605" t="e">
        <f ca="1">_xll.BDH($C$603,"PRETAX_INC_TO_NET_SALES","FQ2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605" t="e">
        <f ca="1">_xll.BDH($C$603,"INC_BEF_XO_ITEMS_TO_NET_SALES","FQ2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605" t="e">
        <f ca="1">_xll.BDH($C$603,"PROF_MARGIN","FQ2 2014","FQ2 2014","Currency=INR","Period=FQ","BEST_FPERIOD_OVERRIDE=FQ","FILING_STATUS=OR","EQY_CONSOLIDATED=Y","FA_ADJUSTED=GAAP","Sort=A","Dates=H","DateFormat=P","Fill=—","Direction=H","UseDPDF=Y")</f>
        <v>#NAME?</v>
      </c>
      <c r="P605" t="e">
        <f ca="1">_xll.BDH($C$603,"NET_INCOME_TO_COMMON_MARGIN","FQ2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605" t="e">
        <f ca="1">_xll.BDH($C$603,"EFF_TAX_RATE","FQ2 2014","FQ2 2014","Currency=INR","Period=FQ","BEST_FPERIOD_OVERRIDE=FQ","FILING_STATUS=OR","EQY_CONSOLIDATED=Y","FA_ADJUSTED=GAAP","Sort=A","Dates=H","DateFormat=P","Fill=—","Direction=H","UseDPDF=Y")</f>
        <v>#NAME?</v>
      </c>
      <c r="R605" t="e">
        <f ca="1">_xll.BDH($C$603,"DVD_PAYOUT_RATIO","FQ2 2014","FQ2 2014","Currency=INR","Period=FQ","BEST_FPERIOD_OVERRIDE=FQ","FILING_STATUS=OR","EQY_CONSOLIDATED=Y","FA_ADJUSTED=GAAP","Sort=A","Dates=H","DateFormat=P","Fill=—","Direction=H","UseDPDF=Y")</f>
        <v>#NAME?</v>
      </c>
      <c r="S605" t="e">
        <f ca="1">_xll.BDH($C$603,"SUSTAIN_GROWTH_RT","FQ2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605" s="2" t="e">
        <f ca="1">_xll.BDH($C$603,"SALES_GROWTH","FQ2 2014","FQ2 2014","Currency=INR","Period=FQ","BEST_FPERIOD_OVERRIDE=FQ","FILING_STATUS=OR","EQY_CONSOLIDATED=Y","FA_ADJUSTED=GAAP","Sort=A","Dates=H","DateFormat=P","Fill=—","Direction=H","UseDPDF=Y")</f>
        <v>#NAME?</v>
      </c>
      <c r="U605" s="2" t="e">
        <f ca="1">_xll.BDH($C$603,"EBITDA_GROWTH","FQ2 2014","FQ2 2014","Currency=INR","Period=FQ","BEST_FPERIOD_OVERRIDE=FQ","FILING_STATUS=OR","EQY_CONSOLIDATED=Y","FA_ADJUSTED=GAAP","Sort=A","Dates=H","DateFormat=P","Fill=—","Direction=H","UseDPDF=Y")</f>
        <v>#NAME?</v>
      </c>
      <c r="V605" s="2" t="e">
        <f ca="1">_xll.BDH($C$603,"OPER_INC_GROWTH","FQ2 2014","FQ2 2014","Currency=INR","Period=FQ","BEST_FPERIOD_OVERRIDE=FQ","FILING_STATUS=OR","EQY_CONSOLIDATED=Y","FA_ADJUSTED=GAAP","Sort=A","Dates=H","DateFormat=P","Fill=—","Direction=H","UseDPDF=Y")</f>
        <v>#NAME?</v>
      </c>
      <c r="W605" s="2" t="e">
        <f ca="1">_xll.BDH($C$603,"EARN_FOR_COM_GROWTH","FQ2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605" s="2" t="e">
        <f ca="1">_xll.BDH($C$603,"DILUTED_EPS_AFT_XO_ITEMS_GROWTH","FQ2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605" s="2" t="e">
        <f ca="1">_xll.BDH($C$603,"DIVIDEND_PER_SHARE_1_YEAR_GROWTH","FQ2 2014","FQ2 2014","Currency=INR","Period=FQ","BEST_FPERIOD_OVERRIDE=FQ","FILING_STATUS=OR","EQY_CONSOLIDATED=Y","Sort=A","Dates=H","DateFormat=P","Fill=—","Direction=H","UseDPDF=Y")</f>
        <v>#NAME?</v>
      </c>
      <c r="Z605" s="2" t="e">
        <f ca="1">_xll.BDH($C$603,"ACCOUNTS_RECEIVABLE_GROWTH","FQ2 2014","FQ2 2014","Currency=INR","Period=FQ","BEST_FPERIOD_OVERRIDE=FQ","FILING_STATUS=OR","EQY_CONSOLIDATED=Y","Sort=A","Dates=H","DateFormat=P","Fill=—","Direction=H","UseDPDF=Y")</f>
        <v>#NAME?</v>
      </c>
      <c r="AA605" s="2" t="e">
        <f ca="1">_xll.BDH($C$603,"INVENTORY_GROWTH","FQ2 2014","FQ2 2014","Currency=INR","Period=FQ","BEST_FPERIOD_OVERRIDE=FQ","FILING_STATUS=OR","EQY_CONSOLIDATED=Y","Sort=A","Dates=H","DateFormat=P","Fill=—","Direction=H","UseDPDF=Y")</f>
        <v>#NAME?</v>
      </c>
      <c r="AB605" s="2" t="e">
        <f ca="1">_xll.BDH($C$603,"NET_FIXED_ASSETS_1_YEAR_GROWTH","FQ2 2014","FQ2 2014","Currency=INR","Period=FQ","BEST_FPERIOD_OVERRIDE=FQ","FILING_STATUS=OR","EQY_CONSOLIDATED=Y","Sort=A","Dates=H","DateFormat=P","Fill=—","Direction=H","UseDPDF=Y")</f>
        <v>#NAME?</v>
      </c>
      <c r="AC605" s="2" t="e">
        <f ca="1">_xll.BDH($C$603,"ASSET_GROWTH","FQ2 2014","FQ2 2014","Currency=INR","Period=FQ","BEST_FPERIOD_OVERRIDE=FQ","FILING_STATUS=OR","EQY_CONSOLIDATED=Y","Sort=A","Dates=H","DateFormat=P","Fill=—","Direction=H","UseDPDF=Y")</f>
        <v>#NAME?</v>
      </c>
      <c r="AD605" s="2" t="e">
        <f ca="1">_xll.BDH($C$603,"MODIFIED_WORK_CAP_GROWTH","FQ2 2014","FQ2 2014","Currency=INR","Period=FQ","BEST_FPERIOD_OVERRIDE=FQ","FILING_STATUS=OR","EQY_CONSOLIDATED=Y","Sort=A","Dates=H","DateFormat=P","Fill=—","Direction=H","UseDPDF=Y")</f>
        <v>#NAME?</v>
      </c>
      <c r="AE605" s="2" t="e">
        <f ca="1">_xll.BDH($C$603,"WORK_CAP_GROWTH","FQ2 2014","FQ2 2014","Currency=INR","Period=FQ","BEST_FPERIOD_OVERRIDE=FQ","FILING_STATUS=OR","EQY_CONSOLIDATED=Y","Sort=A","Dates=H","DateFormat=P","Fill=—","Direction=H","UseDPDF=Y")</f>
        <v>#NAME?</v>
      </c>
      <c r="AF605" s="2" t="e">
        <f ca="1">_xll.BDH($C$603,"ACCOUNTS_PAYABLE_GROWTH_1YR","FQ2 2014","FQ2 2014","Currency=INR","Period=FQ","BEST_FPERIOD_OVERRIDE=FQ","FILING_STATUS=OR","EQY_CONSOLIDATED=Y","Sort=A","Dates=H","DateFormat=P","Fill=—","Direction=H","UseDPDF=Y")</f>
        <v>#NAME?</v>
      </c>
      <c r="AG605" s="2" t="e">
        <f ca="1">_xll.BDH($C$603,"SHORT_TERM_DEBT_1_YEAR_GROWTH","FQ2 2014","FQ2 2014","Currency=INR","Period=FQ","BEST_FPERIOD_OVERRIDE=FQ","FILING_STATUS=OR","EQY_CONSOLIDATED=Y","Sort=A","Dates=H","DateFormat=P","Fill=—","Direction=H","UseDPDF=Y")</f>
        <v>#NAME?</v>
      </c>
      <c r="AH605" s="2" t="e">
        <f ca="1">_xll.BDH($C$603,"TOTAL_DEBT_1_YEAR_GROWTH","FQ2 2014","FQ2 2014","Currency=INR","Period=FQ","BEST_FPERIOD_OVERRIDE=FQ","FILING_STATUS=OR","EQY_CONSOLIDATED=Y","Sort=A","Dates=H","DateFormat=P","Fill=—","Direction=H","UseDPDF=Y")</f>
        <v>#NAME?</v>
      </c>
      <c r="AI605" s="2" t="e">
        <f ca="1">_xll.BDH($C$603,"TOTAL_EQUITY_1_YEAR_GROWTH","FQ2 2014","FQ2 2014","Currency=INR","Period=FQ","BEST_FPERIOD_OVERRIDE=FQ","FILING_STATUS=OR","EQY_CONSOLIDATED=Y","Sort=A","Dates=H","DateFormat=P","Fill=—","Direction=H","UseDPDF=Y")</f>
        <v>#NAME?</v>
      </c>
      <c r="AJ605" s="2" t="e">
        <f ca="1">_xll.BDH($C$603,"GROWTH_IN_CAP","FQ2 2014","FQ2 2014","Currency=INR","Period=FQ","BEST_FPERIOD_OVERRIDE=FQ","FILING_STATUS=OR","EQY_CONSOLIDATED=Y","Sort=A","Dates=H","DateFormat=P","Fill=—","Direction=H","UseDPDF=Y")</f>
        <v>#NAME?</v>
      </c>
      <c r="AK605" s="2" t="e">
        <f ca="1">_xll.BDH($C$603,"BVPS_GROWTH","FQ2 2014","FQ2 2014","Currency=INR","Period=FQ","BEST_FPERIOD_OVERRIDE=FQ","FILING_STATUS=OR","EQY_CONSOLIDATED=Y","Sort=A","Dates=H","DateFormat=P","Fill=—","Direction=H","UseDPDF=Y")</f>
        <v>#NAME?</v>
      </c>
      <c r="AL605" s="2" t="e">
        <f ca="1">_xll.BDH($C$603,"CASH_FLOW_GROWTH","FQ2 2014","FQ2 2014","Currency=INR","Period=FQ","BEST_FPERIOD_OVERRIDE=FQ","FILING_STATUS=OR","EQY_CONSOLIDATED=Y","Sort=A","Dates=H","DateFormat=P","Fill=—","Direction=H","UseDPDF=Y")</f>
        <v>#NAME?</v>
      </c>
      <c r="AM605" s="2" t="e">
        <f ca="1">_xll.BDH($C$603,"GEO_GROW_NET_SALES","FQ2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605" s="2" t="e">
        <f ca="1">_xll.BDH($C$603,"GEO_GROW_EBITDA","FQ2 2014","FQ2 2014","Currency=INR","Period=FQ","BEST_FPERIOD_OVERRIDE=FQ","FILING_STATUS=OR","EQY_CONSOLIDATED=Y","FA_ADJUSTED=GAAP","Sort=A","Dates=H","DateFormat=P","Fill=—","Direction=H","UseDPDF=Y")</f>
        <v>#NAME?</v>
      </c>
      <c r="AO605" s="2" t="e">
        <f ca="1">_xll.BDH($C$603,"GEO_GROW_OPER_INC","FQ2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605" s="2" t="e">
        <f ca="1">_xll.BDH($C$603,"NET_INCOME_TO_COMMON_5_YR_GROWTH","FQ2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605" s="2" t="e">
        <f ca="1">_xll.BDH($C$603,"5Y_GEO_GROWTH_DILUTED_EPS","FQ2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605" s="2" t="e">
        <f ca="1">_xll.BDH($C$603,"GEO_GROW_DVD_PER_SH","FQ2 2014","FQ2 2014","Currency=INR","Period=FQ","BEST_FPERIOD_OVERRIDE=FQ","FILING_STATUS=OR","EQY_CONSOLIDATED=Y","Sort=A","Dates=H","DateFormat=P","Fill=—","Direction=H","UseDPDF=Y")</f>
        <v>#NAME?</v>
      </c>
      <c r="AS605" s="2" t="e">
        <f ca="1">_xll.BDH($C$603,"ACCOUNTS_RECEIVABLE_5_YR_GROWTH","FQ2 2014","FQ2 2014","Currency=INR","Period=FQ","BEST_FPERIOD_OVERRIDE=FQ","FILING_STATUS=OR","EQY_CONSOLIDATED=Y","Sort=A","Dates=H","DateFormat=P","Fill=—","Direction=H","UseDPDF=Y")</f>
        <v>#NAME?</v>
      </c>
      <c r="AT605" s="2" t="e">
        <f ca="1">_xll.BDH($C$603,"INVENTORY_5_YEAR_GROWTH","FQ2 2014","FQ2 2014","Currency=INR","Period=FQ","BEST_FPERIOD_OVERRIDE=FQ","FILING_STATUS=OR","EQY_CONSOLIDATED=Y","Sort=A","Dates=H","DateFormat=P","Fill=—","Direction=H","UseDPDF=Y")</f>
        <v>#NAME?</v>
      </c>
      <c r="AU605" s="2" t="e">
        <f ca="1">_xll.BDH($C$603,"NET_FIXED_ASSETS_5_YEAR_GROWTH","FQ2 2014","FQ2 2014","Currency=INR","Period=FQ","BEST_FPERIOD_OVERRIDE=FQ","FILING_STATUS=OR","EQY_CONSOLIDATED=Y","Sort=A","Dates=H","DateFormat=P","Fill=—","Direction=H","UseDPDF=Y")</f>
        <v>#NAME?</v>
      </c>
      <c r="AV605" s="2" t="e">
        <f ca="1">_xll.BDH($C$603,"GEO_GROW_TOT_ASSET","FQ2 2014","FQ2 2014","Currency=INR","Period=FQ","BEST_FPERIOD_OVERRIDE=FQ","FILING_STATUS=OR","EQY_CONSOLIDATED=Y","Sort=A","Dates=H","DateFormat=P","Fill=—","Direction=H","UseDPDF=Y")</f>
        <v>#NAME?</v>
      </c>
      <c r="AW605" s="2" t="e">
        <f ca="1">_xll.BDH($C$603,"MODIFIED_WORKING_CPTL_5YR_GRWTH","FQ2 2014","FQ2 2014","Currency=INR","Period=FQ","BEST_FPERIOD_OVERRIDE=FQ","FILING_STATUS=OR","EQY_CONSOLIDATED=Y","Sort=A","Dates=H","DateFormat=P","Fill=—","Direction=H","UseDPDF=Y")</f>
        <v>#NAME?</v>
      </c>
      <c r="AX605" s="2" t="e">
        <f ca="1">_xll.BDH($C$603,"WORKING_CAPITAL_5_YEAR_GROWTH","FQ2 2014","FQ2 2014","Currency=INR","Period=FQ","BEST_FPERIOD_OVERRIDE=FQ","FILING_STATUS=OR","EQY_CONSOLIDATED=Y","Sort=A","Dates=H","DateFormat=P","Fill=—","Direction=H","UseDPDF=Y")</f>
        <v>#NAME?</v>
      </c>
      <c r="AY605" s="2" t="e">
        <f ca="1">_xll.BDH($C$603,"ACCOUNTS_PAYABLE_5_YEAR_GROWTH","FQ2 2014","FQ2 2014","Currency=INR","Period=FQ","BEST_FPERIOD_OVERRIDE=FQ","FILING_STATUS=OR","EQY_CONSOLIDATED=Y","Sort=A","Dates=H","DateFormat=P","Fill=—","Direction=H","UseDPDF=Y")</f>
        <v>#NAME?</v>
      </c>
      <c r="AZ605" s="2" t="e">
        <f ca="1">_xll.BDH($C$603,"SHORT_TERM_DEBT_5_YEAR_GROWTH","FQ2 2014","FQ2 2014","Currency=INR","Period=FQ","BEST_FPERIOD_OVERRIDE=FQ","FILING_STATUS=OR","EQY_CONSOLIDATED=Y","Sort=A","Dates=H","DateFormat=P","Fill=—","Direction=H","UseDPDF=Y")</f>
        <v>#NAME?</v>
      </c>
      <c r="BA605" s="2" t="e">
        <f ca="1">_xll.BDH($C$603,"TOTAL_DEBT_5_YEAR_GROWTH","FQ2 2014","FQ2 2014","Currency=INR","Period=FQ","BEST_FPERIOD_OVERRIDE=FQ","FILING_STATUS=OR","EQY_CONSOLIDATED=Y","Sort=A","Dates=H","DateFormat=P","Fill=—","Direction=H","UseDPDF=Y")</f>
        <v>#NAME?</v>
      </c>
      <c r="BB605" s="2" t="e">
        <f ca="1">_xll.BDH($C$603,"GEO_GROW_TOT_SHRHLDR_EQY","FQ2 2014","FQ2 2014","Currency=INR","Period=FQ","BEST_FPERIOD_OVERRIDE=FQ","FILING_STATUS=OR","EQY_CONSOLIDATED=Y","Sort=A","Dates=H","DateFormat=P","Fill=—","Direction=H","UseDPDF=Y")</f>
        <v>#NAME?</v>
      </c>
      <c r="BC605" s="2" t="e">
        <f ca="1">_xll.BDH($C$603,"TOTAL_CAPITAL_5_YEAR_GROWTH","FQ2 2014","FQ2 2014","Currency=INR","Period=FQ","BEST_FPERIOD_OVERRIDE=FQ","FILING_STATUS=OR","EQY_CONSOLIDATED=Y","Sort=A","Dates=H","DateFormat=P","Fill=—","Direction=H","UseDPDF=Y")</f>
        <v>#NAME?</v>
      </c>
      <c r="BD605" s="2" t="e">
        <f ca="1">_xll.BDH($C$603,"GEO_GROW_BOOK_VAL","FQ2 2014","FQ2 2014","Currency=INR","Period=FQ","BEST_FPERIOD_OVERRIDE=FQ","FILING_STATUS=OR","EQY_CONSOLIDATED=Y","Sort=A","Dates=H","DateFormat=P","Fill=—","Direction=H","UseDPDF=Y")</f>
        <v>#NAME?</v>
      </c>
      <c r="BE605" s="2" t="e">
        <f ca="1">_xll.BDH($C$603,"GEO_GROW_CASH_OPER_ACT","FQ2 2014","FQ2 2014","Currency=INR","Period=FQ","BEST_FPERIOD_OVERRIDE=FQ","FILING_STATUS=OR","EQY_CONSOLIDATED=Y","Sort=A","Dates=H","DateFormat=P","Fill=—","Direction=H","UseDPDF=Y")</f>
        <v>#NAME?</v>
      </c>
      <c r="BF605" s="2" t="e">
        <f ca="1">_xll.BDH($C$603,"REVENUE_SEQUENTIAL_GROWTH","FQ2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605" s="2" t="e">
        <f ca="1">_xll.BDH($C$603,"EBITDA_SEQUENTIAL_GROWTH","FQ2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605" s="2" t="e">
        <f ca="1">_xll.BDH($C$603,"OPERATING_INCOME_SEQ_GROWTH","FQ2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605" s="2" t="e">
        <f ca="1">_xll.BDH($C$603,"NET_INCOME_TO_COMMON_SEQ_GROWTH","FQ2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605" s="2" t="e">
        <f ca="1">_xll.BDH($C$603,"EPS_DILUTED_SEQUENTIAL_GROWTH","FQ2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605" s="2" t="e">
        <f ca="1">_xll.BDH($C$603,"DPS_SEQUENTIAL_GROWTH","FQ2 2014","FQ2 2014","Currency=INR","Period=FQ","BEST_FPERIOD_OVERRIDE=FQ","FILING_STATUS=OR","EQY_CONSOLIDATED=Y","Sort=A","Dates=H","DateFormat=P","Fill=—","Direction=H","UseDPDF=Y")</f>
        <v>#NAME?</v>
      </c>
      <c r="BL605" s="2" t="e">
        <f ca="1">_xll.BDH($C$603,"ACCOUNTS_RECEIVABLE_SEQ_GROWTH","FQ2 2014","FQ2 2014","Currency=INR","Period=FQ","BEST_FPERIOD_OVERRIDE=FQ","FILING_STATUS=OR","EQY_CONSOLIDATED=Y","Sort=A","Dates=H","DateFormat=P","Fill=—","Direction=H","UseDPDF=Y")</f>
        <v>#NAME?</v>
      </c>
      <c r="BM605" s="2" t="e">
        <f ca="1">_xll.BDH($C$603,"INVENTORY_SEQUENTIAL_GROWTH","FQ2 2014","FQ2 2014","Currency=INR","Period=FQ","BEST_FPERIOD_OVERRIDE=FQ","FILING_STATUS=OR","EQY_CONSOLIDATED=Y","Sort=A","Dates=H","DateFormat=P","Fill=—","Direction=H","UseDPDF=Y")</f>
        <v>#NAME?</v>
      </c>
      <c r="BN605" s="2" t="e">
        <f ca="1">_xll.BDH($C$603,"FIXED_ASSETS_SEQUENTIAL_GROWTH","FQ2 2014","FQ2 2014","Currency=INR","Period=FQ","BEST_FPERIOD_OVERRIDE=FQ","FILING_STATUS=OR","EQY_CONSOLIDATED=Y","Sort=A","Dates=H","DateFormat=P","Fill=—","Direction=H","UseDPDF=Y")</f>
        <v>#NAME?</v>
      </c>
      <c r="BO605" s="2" t="e">
        <f ca="1">_xll.BDH($C$603,"TOTAL_ASSETS_SEQUENTIAL_GROWTH","FQ2 2014","FQ2 2014","Currency=INR","Period=FQ","BEST_FPERIOD_OVERRIDE=FQ","FILING_STATUS=OR","EQY_CONSOLIDATED=Y","Sort=A","Dates=H","DateFormat=P","Fill=—","Direction=H","UseDPDF=Y")</f>
        <v>#NAME?</v>
      </c>
      <c r="BP605" s="2" t="e">
        <f ca="1">_xll.BDH($C$603,"MODIFIED_WORKING_CPTL_SEQ_GRWTH","FQ2 2014","FQ2 2014","Currency=INR","Period=FQ","BEST_FPERIOD_OVERRIDE=FQ","FILING_STATUS=OR","EQY_CONSOLIDATED=Y","Sort=A","Dates=H","DateFormat=P","Fill=—","Direction=H","UseDPDF=Y")</f>
        <v>#NAME?</v>
      </c>
      <c r="BQ605" s="2" t="e">
        <f ca="1">_xll.BDH($C$603,"WORKING_CAPITAL_SEQ_GROWTH","FQ2 2014","FQ2 2014","Currency=INR","Period=FQ","BEST_FPERIOD_OVERRIDE=FQ","FILING_STATUS=OR","EQY_CONSOLIDATED=Y","Sort=A","Dates=H","DateFormat=P","Fill=—","Direction=H","UseDPDF=Y")</f>
        <v>#NAME?</v>
      </c>
      <c r="BR605" s="2" t="e">
        <f ca="1">_xll.BDH($C$603,"ACCOUNTS_PAYABLE_SEQ_GROWTH","FQ2 2014","FQ2 2014","Currency=INR","Period=FQ","BEST_FPERIOD_OVERRIDE=FQ","FILING_STATUS=OR","EQY_CONSOLIDATED=Y","Sort=A","Dates=H","DateFormat=P","Fill=—","Direction=H","UseDPDF=Y")</f>
        <v>#NAME?</v>
      </c>
      <c r="BS605" s="2" t="e">
        <f ca="1">_xll.BDH($C$603,"ST_DEBT_SEQUENTIAL_GROWTH","FQ2 2014","FQ2 2014","Currency=INR","Period=FQ","BEST_FPERIOD_OVERRIDE=FQ","FILING_STATUS=OR","EQY_CONSOLIDATED=Y","Sort=A","Dates=H","DateFormat=P","Fill=—","Direction=H","UseDPDF=Y")</f>
        <v>#NAME?</v>
      </c>
      <c r="BT605" s="2" t="e">
        <f ca="1">_xll.BDH($C$603,"TOTAL_DEBT_SEQUENTIAL_GROWTH","FQ2 2014","FQ2 2014","Currency=INR","Period=FQ","BEST_FPERIOD_OVERRIDE=FQ","FILING_STATUS=OR","EQY_CONSOLIDATED=Y","Sort=A","Dates=H","DateFormat=P","Fill=—","Direction=H","UseDPDF=Y")</f>
        <v>#NAME?</v>
      </c>
      <c r="BU605" s="2" t="e">
        <f ca="1">_xll.BDH($C$603,"TOTAL_EQUITY_SEQUENTIAL_GROWTH","FQ2 2014","FQ2 2014","Currency=INR","Period=FQ","BEST_FPERIOD_OVERRIDE=FQ","FILING_STATUS=OR","EQY_CONSOLIDATED=Y","Sort=A","Dates=H","DateFormat=P","Fill=—","Direction=H","UseDPDF=Y")</f>
        <v>#NAME?</v>
      </c>
      <c r="BV605" s="2" t="e">
        <f ca="1">_xll.BDH($C$603,"TOTAL_CAPITAL_SEQUENTIAL_GROWTH","FQ2 2014","FQ2 2014","Currency=INR","Period=FQ","BEST_FPERIOD_OVERRIDE=FQ","FILING_STATUS=OR","EQY_CONSOLIDATED=Y","Sort=A","Dates=H","DateFormat=P","Fill=—","Direction=H","UseDPDF=Y")</f>
        <v>#NAME?</v>
      </c>
      <c r="BW605" s="2" t="e">
        <f ca="1">_xll.BDH($C$603,"BPS_SEQUENTIAL_GROWTH","FQ2 2014","FQ2 2014","Currency=INR","Period=FQ","BEST_FPERIOD_OVERRIDE=FQ","FILING_STATUS=OR","EQY_CONSOLIDATED=Y","Sort=A","Dates=H","DateFormat=P","Fill=—","Direction=H","UseDPDF=Y")</f>
        <v>#NAME?</v>
      </c>
      <c r="BX605" s="2" t="e">
        <f ca="1">_xll.BDH($C$603,"CFO_SEQUENTIAL_GROWTH","FQ2 2014","FQ2 2014","Currency=INR","Period=FQ","BEST_FPERIOD_OVERRIDE=FQ","FILING_STATUS=OR","EQY_CONSOLIDATED=Y","Sort=A","Dates=H","DateFormat=P","Fill=—","Direction=H","UseDPDF=Y")</f>
        <v>#NAME?</v>
      </c>
      <c r="BY605" s="3" t="e">
        <f ca="1">_xll.BDH($C$603,"SHORT_AND_LONG_TERM_DEBT","FQ2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605" s="3" t="e">
        <f ca="1">_xll.BDH($C$603,"BS_ST_BORROW","FQ2 2014","FQ2 2014","Currency=INR","Period=FQ","BEST_FPERIOD_OVERRIDE=FQ","FILING_STATUS=OR","EQY_CONSOLIDATED=Y","SCALING_FORMAT=MLN","Sort=A","Dates=H","DateFormat=P","Fill=—","Direction=H","UseDPDF=Y")</f>
        <v>#NAME?</v>
      </c>
      <c r="CA605" s="3" t="e">
        <f ca="1">_xll.BDH($C$603,"BS_LT_BORROW","FQ2 2014","FQ2 2014","Currency=INR","Period=FQ","BEST_FPERIOD_OVERRIDE=FQ","FILING_STATUS=OR","EQY_CONSOLIDATED=Y","SCALING_FORMAT=MLN","Sort=A","Dates=H","DateFormat=P","Fill=—","Direction=H","UseDPDF=Y")</f>
        <v>#NAME?</v>
      </c>
      <c r="CB605" s="2" t="e">
        <f ca="1">_xll.BDH($C$603,"TOT_DEBT_TO_EBITDA","FQ2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605" s="2" t="e">
        <f ca="1">_xll.BDH($C$603,"NET_DEBT_TO_EBITDA","FQ2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605" s="2" t="e">
        <f ca="1">_xll.BDH($C$603,"TOTAL_DEBT_TO_EBIT","FQ2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605" s="2" t="e">
        <f ca="1">_xll.BDH($C$603,"NET_DEBT_TO_EBIT","FQ2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605" s="2" t="e">
        <f ca="1">_xll.BDH($C$603,"EBITDA_TO_INTEREST_EXPN","FQ2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605" s="2" t="e">
        <f ca="1">_xll.BDH($C$603,"COM_EQY_TO_TOT_ASSET","FQ2 2014","FQ2 2014","Currency=INR","Period=FQ","BEST_FPERIOD_OVERRIDE=FQ","FILING_STATUS=OR","EQY_CONSOLIDATED=Y","Sort=A","Dates=H","DateFormat=P","Fill=—","Direction=H","UseDPDF=Y")</f>
        <v>#NAME?</v>
      </c>
      <c r="CH605" s="2" t="e">
        <f ca="1">_xll.BDH($C$603,"LT_DEBT_TO_TOT_EQY","FQ2 2014","FQ2 2014","Currency=INR","Period=FQ","BEST_FPERIOD_OVERRIDE=FQ","FILING_STATUS=OR","EQY_CONSOLIDATED=Y","Sort=A","Dates=H","DateFormat=P","Fill=—","Direction=H","UseDPDF=Y")</f>
        <v>#NAME?</v>
      </c>
      <c r="CI605" s="2" t="e">
        <f ca="1">_xll.BDH($C$603,"LT_DEBT_TO_TOT_CAP","FQ2 2014","FQ2 2014","Currency=INR","Period=FQ","BEST_FPERIOD_OVERRIDE=FQ","FILING_STATUS=OR","EQY_CONSOLIDATED=Y","Sort=A","Dates=H","DateFormat=P","Fill=—","Direction=H","UseDPDF=Y")</f>
        <v>#NAME?</v>
      </c>
      <c r="CJ605" s="2" t="e">
        <f ca="1">_xll.BDH($C$603,"LT_DEBT_TO_TOT_ASSET","FQ2 2014","FQ2 2014","Currency=INR","Period=FQ","BEST_FPERIOD_OVERRIDE=FQ","FILING_STATUS=OR","EQY_CONSOLIDATED=Y","Sort=A","Dates=H","DateFormat=P","Fill=—","Direction=H","UseDPDF=Y")</f>
        <v>#NAME?</v>
      </c>
      <c r="CK605" s="2" t="e">
        <f ca="1">_xll.BDH($C$603,"TOT_DEBT_TO_TOT_EQY","FQ2 2014","FQ2 2014","Currency=INR","Period=FQ","BEST_FPERIOD_OVERRIDE=FQ","FILING_STATUS=OR","EQY_CONSOLIDATED=Y","Sort=A","Dates=H","DateFormat=P","Fill=—","Direction=H","UseDPDF=Y")</f>
        <v>#NAME?</v>
      </c>
      <c r="CL605" s="2" t="e">
        <f ca="1">_xll.BDH($C$603,"TOT_DEBT_TO_TOT_CAP","FQ2 2014","FQ2 2014","Currency=INR","Period=FQ","BEST_FPERIOD_OVERRIDE=FQ","FILING_STATUS=OR","EQY_CONSOLIDATED=Y","Sort=A","Dates=H","DateFormat=P","Fill=—","Direction=H","UseDPDF=Y")</f>
        <v>#NAME?</v>
      </c>
      <c r="CM605" s="2" t="e">
        <f ca="1">_xll.BDH($C$603,"TOT_DEBT_TO_TOT_ASSET","FQ2 2014","FQ2 2014","Currency=INR","Period=FQ","BEST_FPERIOD_OVERRIDE=FQ","FILING_STATUS=OR","EQY_CONSOLIDATED=Y","Sort=A","Dates=H","DateFormat=P","Fill=—","Direction=H","UseDPDF=Y")</f>
        <v>#NAME?</v>
      </c>
      <c r="CN605" s="2" t="e">
        <f ca="1">_xll.BDH($C$603,"NET_DEBT_TO_SHRHLDR_EQTY","FQ2 2014","FQ2 2014","Currency=INR","Period=FQ","BEST_FPERIOD_OVERRIDE=FQ","FILING_STATUS=OR","EQY_CONSOLIDATED=Y","Sort=A","Dates=H","DateFormat=P","Fill=—","Direction=H","UseDPDF=Y")</f>
        <v>#NAME?</v>
      </c>
      <c r="CO605" s="2" t="e">
        <f ca="1">_xll.BDH($C$603,"NET_DEBT_%_CAPITAL","FQ2 2014","FQ2 2014","Currency=INR","Period=FQ","BEST_FPERIOD_OVERRIDE=FQ","FILING_STATUS=OR","EQY_CONSOLIDATED=Y","Sort=A","Dates=H","DateFormat=P","Fill=—","Direction=H","UseDPDF=Y")</f>
        <v>#NAME?</v>
      </c>
      <c r="CP605" s="3" t="e">
        <f ca="1">_xll.BDH($C$603,"EBITDA","FQ2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605" s="3" t="e">
        <f ca="1">_xll.BDH($C$603,"EBITDA_AFTER_CAPEX","FQ2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605" s="3" t="e">
        <f ca="1">_xll.BDH($C$603,"IS_OPER_INC","FQ2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605" s="2" t="e">
        <f ca="1">_xll.BDH($C$603,"CASH_RATIO","FQ2 2014","FQ2 2014","Currency=INR","Period=FQ","BEST_FPERIOD_OVERRIDE=FQ","FILING_STATUS=OR","EQY_CONSOLIDATED=Y","Sort=A","Dates=H","DateFormat=P","Fill=—","Direction=H","UseDPDF=Y")</f>
        <v>#NAME?</v>
      </c>
      <c r="CT605" s="2" t="e">
        <f ca="1">_xll.BDH($C$603,"CUR_RATIO","FQ2 2014","FQ2 2014","Currency=INR","Period=FQ","BEST_FPERIOD_OVERRIDE=FQ","FILING_STATUS=OR","EQY_CONSOLIDATED=Y","Sort=A","Dates=H","DateFormat=P","Fill=—","Direction=H","UseDPDF=Y")</f>
        <v>#NAME?</v>
      </c>
      <c r="CU605" s="2" t="e">
        <f ca="1">_xll.BDH($C$603,"QUICK_RATIO","FQ2 2014","FQ2 2014","Currency=INR","Period=FQ","BEST_FPERIOD_OVERRIDE=FQ","FILING_STATUS=OR","EQY_CONSOLIDATED=Y","Sort=A","Dates=H","DateFormat=P","Fill=—","Direction=H","UseDPDF=Y")</f>
        <v>#NAME?</v>
      </c>
      <c r="CV605" s="2" t="e">
        <f ca="1">_xll.BDH($C$603,"ALTMAN_Z_SCORE","FQ2 2014","FQ2 2014","Currency=INR","Period=FQ","BEST_FPERIOD_OVERRIDE=FQ","FILING_STATUS=OR","EQY_CONSOLIDATED=Y","Sort=A","Dates=H","DateFormat=P","Fill=—","Direction=H","UseDPDF=Y")</f>
        <v>#NAME?</v>
      </c>
      <c r="CW605" s="4" t="e">
        <f ca="1">_xll.BDH($C$603,"ACCT_RCV_TURN","FQ2 2014","FQ2 2014","Currency=INR","Period=FQ","BEST_FPERIOD_OVERRIDE=FQ","FILING_STATUS=OR","EQY_CONSOLIDATED=Y","FA_ADJUSTED=GAAP","Sort=A","Dates=H","DateFormat=P","Fill=—","Direction=H","UseDPDF=Y")</f>
        <v>#NAME?</v>
      </c>
      <c r="CX605" s="2" t="e">
        <f ca="1">_xll.BDH($C$603,"ACCT_RCV_DAYS","FQ2 2014","FQ2 2014","Currency=INR","Period=FQ","BEST_FPERIOD_OVERRIDE=FQ","FILING_STATUS=OR","EQY_CONSOLIDATED=Y","FA_ADJUSTED=GAAP","Sort=A","Dates=H","DateFormat=P","Fill=—","Direction=H","UseDPDF=Y")</f>
        <v>#NAME?</v>
      </c>
      <c r="CY605" s="4" t="e">
        <f ca="1">_xll.BDH($C$603,"INVENT_TURN","FQ2 2014","FQ2 2014","Currency=INR","Period=FQ","BEST_FPERIOD_OVERRIDE=FQ","FILING_STATUS=OR","EQY_CONSOLIDATED=Y","FA_ADJUSTED=GAAP","Sort=A","Dates=H","DateFormat=P","Fill=—","Direction=H","UseDPDF=Y")</f>
        <v>#NAME?</v>
      </c>
      <c r="CZ605" s="2" t="e">
        <f ca="1">_xll.BDH($C$603,"INVENT_DAYS","FQ2 2014","FQ2 2014","Currency=INR","Period=FQ","BEST_FPERIOD_OVERRIDE=FQ","FILING_STATUS=OR","EQY_CONSOLIDATED=Y","FA_ADJUSTED=GAAP","Sort=A","Dates=H","DateFormat=P","Fill=—","Direction=H","UseDPDF=Y")</f>
        <v>#NAME?</v>
      </c>
      <c r="DA605" s="4" t="e">
        <f ca="1">_xll.BDH($C$603,"ACCOUNTS_PAYABLE_TURNOVER","FQ2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605" s="2" t="e">
        <f ca="1">_xll.BDH($C$603,"ACCOUNTS_PAYABLE_TURNOVER_DAYS","FQ2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605" s="4" t="e">
        <f ca="1">_xll.BDH($C$603,"CASH_CONVERSION_CYCLE","FQ2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605" s="4" t="e">
        <f ca="1">_xll.BDH($C$603,"INV_TO_CASH_DAYS","FQ2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605" s="5" t="e">
        <f ca="1">_xll.BDH($C$603,"BS_INVENTORIES","FQ2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605" s="3" t="e">
        <f ca="1">_xll.BDH($C$603,"INVTRY_RAW_MATERIALS","FQ2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605" s="3" t="e">
        <f ca="1">_xll.BDH($C$603,"INVTRY_IN_PROGRESS","FQ2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605" s="3" t="e">
        <f ca="1">_xll.BDH($C$603,"INVTRY_FINISHED_GOODS","FQ2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605" s="3" t="e">
        <f ca="1">_xll.BDH($C$603,"BS_OTHER_INV","FQ2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606" spans="1:113" x14ac:dyDescent="0.3">
      <c r="A606" s="6"/>
      <c r="B606" s="6"/>
      <c r="C606" s="6"/>
      <c r="D606" s="6"/>
      <c r="E606" t="s">
        <v>80</v>
      </c>
      <c r="F606" t="e">
        <f ca="1">_xll.BDH($C$603,"RETURN_COM_EQY","FQ3 2014","FQ3 2014","Currency=INR","Period=FQ","BEST_FPERIOD_OVERRIDE=FQ","FILING_STATUS=OR","EQY_CONSOLIDATED=Y","FA_ADJUSTED=GAAP","Sort=A","Dates=H","DateFormat=P","Fill=—","Direction=H","UseDPDF=Y")</f>
        <v>#NAME?</v>
      </c>
      <c r="G606" t="e">
        <f ca="1">_xll.BDH($C$603,"RETURN_ON_ASSET","FQ3 2014","FQ3 2014","Currency=INR","Period=FQ","BEST_FPERIOD_OVERRIDE=FQ","FILING_STATUS=OR","EQY_CONSOLIDATED=Y","FA_ADJUSTED=GAAP","Sort=A","Dates=H","DateFormat=P","Fill=—","Direction=H","UseDPDF=Y")</f>
        <v>#NAME?</v>
      </c>
      <c r="H606" t="e">
        <f ca="1">_xll.BDH($C$603,"RETURN_ON_CAP","FQ3 2014","FQ3 2014","Currency=INR","Period=FQ","BEST_FPERIOD_OVERRIDE=FQ","FILING_STATUS=OR","EQY_CONSOLIDATED=Y","FA_ADJUSTED=GAAP","Sort=A","Dates=H","DateFormat=P","Fill=—","Direction=H","UseDPDF=Y")</f>
        <v>#NAME?</v>
      </c>
      <c r="I606" t="e">
        <f ca="1">_xll.BDH($C$603,"RETURN_ON_INV_CAPITAL","FQ3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606" t="e">
        <f ca="1">_xll.BDH($C$603,"EBITDA_TO_REVENUE","FQ3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606" t="e">
        <f ca="1">_xll.BDH($C$603,"OPER_MARGIN","FQ3 2014","FQ3 2014","Currency=INR","Period=FQ","BEST_FPERIOD_OVERRIDE=FQ","FILING_STATUS=OR","EQY_CONSOLIDATED=Y","FA_ADJUSTED=GAAP","Sort=A","Dates=H","DateFormat=P","Fill=—","Direction=H","UseDPDF=Y")</f>
        <v>#NAME?</v>
      </c>
      <c r="L606" t="e">
        <f ca="1">_xll.BDH($C$603,"INCREMENTAL_OPERATING_MARGIN","FQ3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606" t="e">
        <f ca="1">_xll.BDH($C$603,"PRETAX_INC_TO_NET_SALES","FQ3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606" t="e">
        <f ca="1">_xll.BDH($C$603,"INC_BEF_XO_ITEMS_TO_NET_SALES","FQ3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606" t="e">
        <f ca="1">_xll.BDH($C$603,"PROF_MARGIN","FQ3 2014","FQ3 2014","Currency=INR","Period=FQ","BEST_FPERIOD_OVERRIDE=FQ","FILING_STATUS=OR","EQY_CONSOLIDATED=Y","FA_ADJUSTED=GAAP","Sort=A","Dates=H","DateFormat=P","Fill=—","Direction=H","UseDPDF=Y")</f>
        <v>#NAME?</v>
      </c>
      <c r="P606" t="e">
        <f ca="1">_xll.BDH($C$603,"NET_INCOME_TO_COMMON_MARGIN","FQ3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606" t="e">
        <f ca="1">_xll.BDH($C$603,"EFF_TAX_RATE","FQ3 2014","FQ3 2014","Currency=INR","Period=FQ","BEST_FPERIOD_OVERRIDE=FQ","FILING_STATUS=OR","EQY_CONSOLIDATED=Y","FA_ADJUSTED=GAAP","Sort=A","Dates=H","DateFormat=P","Fill=—","Direction=H","UseDPDF=Y")</f>
        <v>#NAME?</v>
      </c>
      <c r="R606" t="e">
        <f ca="1">_xll.BDH($C$603,"DVD_PAYOUT_RATIO","FQ3 2014","FQ3 2014","Currency=INR","Period=FQ","BEST_FPERIOD_OVERRIDE=FQ","FILING_STATUS=OR","EQY_CONSOLIDATED=Y","FA_ADJUSTED=GAAP","Sort=A","Dates=H","DateFormat=P","Fill=—","Direction=H","UseDPDF=Y")</f>
        <v>#NAME?</v>
      </c>
      <c r="S606" t="e">
        <f ca="1">_xll.BDH($C$603,"SUSTAIN_GROWTH_RT","FQ3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606" s="2" t="e">
        <f ca="1">_xll.BDH($C$603,"SALES_GROWTH","FQ3 2014","FQ3 2014","Currency=INR","Period=FQ","BEST_FPERIOD_OVERRIDE=FQ","FILING_STATUS=OR","EQY_CONSOLIDATED=Y","FA_ADJUSTED=GAAP","Sort=A","Dates=H","DateFormat=P","Fill=—","Direction=H","UseDPDF=Y")</f>
        <v>#NAME?</v>
      </c>
      <c r="U606" s="2" t="e">
        <f ca="1">_xll.BDH($C$603,"EBITDA_GROWTH","FQ3 2014","FQ3 2014","Currency=INR","Period=FQ","BEST_FPERIOD_OVERRIDE=FQ","FILING_STATUS=OR","EQY_CONSOLIDATED=Y","FA_ADJUSTED=GAAP","Sort=A","Dates=H","DateFormat=P","Fill=—","Direction=H","UseDPDF=Y")</f>
        <v>#NAME?</v>
      </c>
      <c r="V606" s="2" t="e">
        <f ca="1">_xll.BDH($C$603,"OPER_INC_GROWTH","FQ3 2014","FQ3 2014","Currency=INR","Period=FQ","BEST_FPERIOD_OVERRIDE=FQ","FILING_STATUS=OR","EQY_CONSOLIDATED=Y","FA_ADJUSTED=GAAP","Sort=A","Dates=H","DateFormat=P","Fill=—","Direction=H","UseDPDF=Y")</f>
        <v>#NAME?</v>
      </c>
      <c r="W606" s="2" t="e">
        <f ca="1">_xll.BDH($C$603,"EARN_FOR_COM_GROWTH","FQ3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606" s="2" t="e">
        <f ca="1">_xll.BDH($C$603,"DILUTED_EPS_AFT_XO_ITEMS_GROWTH","FQ3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606" s="2" t="e">
        <f ca="1">_xll.BDH($C$603,"DIVIDEND_PER_SHARE_1_YEAR_GROWTH","FQ3 2014","FQ3 2014","Currency=INR","Period=FQ","BEST_FPERIOD_OVERRIDE=FQ","FILING_STATUS=OR","EQY_CONSOLIDATED=Y","Sort=A","Dates=H","DateFormat=P","Fill=—","Direction=H","UseDPDF=Y")</f>
        <v>#NAME?</v>
      </c>
      <c r="Z606" s="2" t="e">
        <f ca="1">_xll.BDH($C$603,"ACCOUNTS_RECEIVABLE_GROWTH","FQ3 2014","FQ3 2014","Currency=INR","Period=FQ","BEST_FPERIOD_OVERRIDE=FQ","FILING_STATUS=OR","EQY_CONSOLIDATED=Y","Sort=A","Dates=H","DateFormat=P","Fill=—","Direction=H","UseDPDF=Y")</f>
        <v>#NAME?</v>
      </c>
      <c r="AA606" s="2" t="e">
        <f ca="1">_xll.BDH($C$603,"INVENTORY_GROWTH","FQ3 2014","FQ3 2014","Currency=INR","Period=FQ","BEST_FPERIOD_OVERRIDE=FQ","FILING_STATUS=OR","EQY_CONSOLIDATED=Y","Sort=A","Dates=H","DateFormat=P","Fill=—","Direction=H","UseDPDF=Y")</f>
        <v>#NAME?</v>
      </c>
      <c r="AB606" s="2" t="e">
        <f ca="1">_xll.BDH($C$603,"NET_FIXED_ASSETS_1_YEAR_GROWTH","FQ3 2014","FQ3 2014","Currency=INR","Period=FQ","BEST_FPERIOD_OVERRIDE=FQ","FILING_STATUS=OR","EQY_CONSOLIDATED=Y","Sort=A","Dates=H","DateFormat=P","Fill=—","Direction=H","UseDPDF=Y")</f>
        <v>#NAME?</v>
      </c>
      <c r="AC606" s="2" t="e">
        <f ca="1">_xll.BDH($C$603,"ASSET_GROWTH","FQ3 2014","FQ3 2014","Currency=INR","Period=FQ","BEST_FPERIOD_OVERRIDE=FQ","FILING_STATUS=OR","EQY_CONSOLIDATED=Y","Sort=A","Dates=H","DateFormat=P","Fill=—","Direction=H","UseDPDF=Y")</f>
        <v>#NAME?</v>
      </c>
      <c r="AD606" s="2" t="e">
        <f ca="1">_xll.BDH($C$603,"MODIFIED_WORK_CAP_GROWTH","FQ3 2014","FQ3 2014","Currency=INR","Period=FQ","BEST_FPERIOD_OVERRIDE=FQ","FILING_STATUS=OR","EQY_CONSOLIDATED=Y","Sort=A","Dates=H","DateFormat=P","Fill=—","Direction=H","UseDPDF=Y")</f>
        <v>#NAME?</v>
      </c>
      <c r="AE606" s="2" t="e">
        <f ca="1">_xll.BDH($C$603,"WORK_CAP_GROWTH","FQ3 2014","FQ3 2014","Currency=INR","Period=FQ","BEST_FPERIOD_OVERRIDE=FQ","FILING_STATUS=OR","EQY_CONSOLIDATED=Y","Sort=A","Dates=H","DateFormat=P","Fill=—","Direction=H","UseDPDF=Y")</f>
        <v>#NAME?</v>
      </c>
      <c r="AF606" s="2" t="e">
        <f ca="1">_xll.BDH($C$603,"ACCOUNTS_PAYABLE_GROWTH_1YR","FQ3 2014","FQ3 2014","Currency=INR","Period=FQ","BEST_FPERIOD_OVERRIDE=FQ","FILING_STATUS=OR","EQY_CONSOLIDATED=Y","Sort=A","Dates=H","DateFormat=P","Fill=—","Direction=H","UseDPDF=Y")</f>
        <v>#NAME?</v>
      </c>
      <c r="AG606" s="2" t="e">
        <f ca="1">_xll.BDH($C$603,"SHORT_TERM_DEBT_1_YEAR_GROWTH","FQ3 2014","FQ3 2014","Currency=INR","Period=FQ","BEST_FPERIOD_OVERRIDE=FQ","FILING_STATUS=OR","EQY_CONSOLIDATED=Y","Sort=A","Dates=H","DateFormat=P","Fill=—","Direction=H","UseDPDF=Y")</f>
        <v>#NAME?</v>
      </c>
      <c r="AH606" s="2" t="e">
        <f ca="1">_xll.BDH($C$603,"TOTAL_DEBT_1_YEAR_GROWTH","FQ3 2014","FQ3 2014","Currency=INR","Period=FQ","BEST_FPERIOD_OVERRIDE=FQ","FILING_STATUS=OR","EQY_CONSOLIDATED=Y","Sort=A","Dates=H","DateFormat=P","Fill=—","Direction=H","UseDPDF=Y")</f>
        <v>#NAME?</v>
      </c>
      <c r="AI606" s="2" t="e">
        <f ca="1">_xll.BDH($C$603,"TOTAL_EQUITY_1_YEAR_GROWTH","FQ3 2014","FQ3 2014","Currency=INR","Period=FQ","BEST_FPERIOD_OVERRIDE=FQ","FILING_STATUS=OR","EQY_CONSOLIDATED=Y","Sort=A","Dates=H","DateFormat=P","Fill=—","Direction=H","UseDPDF=Y")</f>
        <v>#NAME?</v>
      </c>
      <c r="AJ606" s="2" t="e">
        <f ca="1">_xll.BDH($C$603,"GROWTH_IN_CAP","FQ3 2014","FQ3 2014","Currency=INR","Period=FQ","BEST_FPERIOD_OVERRIDE=FQ","FILING_STATUS=OR","EQY_CONSOLIDATED=Y","Sort=A","Dates=H","DateFormat=P","Fill=—","Direction=H","UseDPDF=Y")</f>
        <v>#NAME?</v>
      </c>
      <c r="AK606" s="2" t="e">
        <f ca="1">_xll.BDH($C$603,"BVPS_GROWTH","FQ3 2014","FQ3 2014","Currency=INR","Period=FQ","BEST_FPERIOD_OVERRIDE=FQ","FILING_STATUS=OR","EQY_CONSOLIDATED=Y","Sort=A","Dates=H","DateFormat=P","Fill=—","Direction=H","UseDPDF=Y")</f>
        <v>#NAME?</v>
      </c>
      <c r="AL606" s="2" t="e">
        <f ca="1">_xll.BDH($C$603,"CASH_FLOW_GROWTH","FQ3 2014","FQ3 2014","Currency=INR","Period=FQ","BEST_FPERIOD_OVERRIDE=FQ","FILING_STATUS=OR","EQY_CONSOLIDATED=Y","Sort=A","Dates=H","DateFormat=P","Fill=—","Direction=H","UseDPDF=Y")</f>
        <v>#NAME?</v>
      </c>
      <c r="AM606" s="2" t="e">
        <f ca="1">_xll.BDH($C$603,"GEO_GROW_NET_SALES","FQ3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606" s="2" t="e">
        <f ca="1">_xll.BDH($C$603,"GEO_GROW_EBITDA","FQ3 2014","FQ3 2014","Currency=INR","Period=FQ","BEST_FPERIOD_OVERRIDE=FQ","FILING_STATUS=OR","EQY_CONSOLIDATED=Y","FA_ADJUSTED=GAAP","Sort=A","Dates=H","DateFormat=P","Fill=—","Direction=H","UseDPDF=Y")</f>
        <v>#NAME?</v>
      </c>
      <c r="AO606" s="2" t="e">
        <f ca="1">_xll.BDH($C$603,"GEO_GROW_OPER_INC","FQ3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606" s="2" t="e">
        <f ca="1">_xll.BDH($C$603,"NET_INCOME_TO_COMMON_5_YR_GROWTH","FQ3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606" s="2" t="e">
        <f ca="1">_xll.BDH($C$603,"5Y_GEO_GROWTH_DILUTED_EPS","FQ3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606" s="2" t="e">
        <f ca="1">_xll.BDH($C$603,"GEO_GROW_DVD_PER_SH","FQ3 2014","FQ3 2014","Currency=INR","Period=FQ","BEST_FPERIOD_OVERRIDE=FQ","FILING_STATUS=OR","EQY_CONSOLIDATED=Y","Sort=A","Dates=H","DateFormat=P","Fill=—","Direction=H","UseDPDF=Y")</f>
        <v>#NAME?</v>
      </c>
      <c r="AS606" s="2" t="e">
        <f ca="1">_xll.BDH($C$603,"ACCOUNTS_RECEIVABLE_5_YR_GROWTH","FQ3 2014","FQ3 2014","Currency=INR","Period=FQ","BEST_FPERIOD_OVERRIDE=FQ","FILING_STATUS=OR","EQY_CONSOLIDATED=Y","Sort=A","Dates=H","DateFormat=P","Fill=—","Direction=H","UseDPDF=Y")</f>
        <v>#NAME?</v>
      </c>
      <c r="AT606" s="2" t="e">
        <f ca="1">_xll.BDH($C$603,"INVENTORY_5_YEAR_GROWTH","FQ3 2014","FQ3 2014","Currency=INR","Period=FQ","BEST_FPERIOD_OVERRIDE=FQ","FILING_STATUS=OR","EQY_CONSOLIDATED=Y","Sort=A","Dates=H","DateFormat=P","Fill=—","Direction=H","UseDPDF=Y")</f>
        <v>#NAME?</v>
      </c>
      <c r="AU606" s="2" t="e">
        <f ca="1">_xll.BDH($C$603,"NET_FIXED_ASSETS_5_YEAR_GROWTH","FQ3 2014","FQ3 2014","Currency=INR","Period=FQ","BEST_FPERIOD_OVERRIDE=FQ","FILING_STATUS=OR","EQY_CONSOLIDATED=Y","Sort=A","Dates=H","DateFormat=P","Fill=—","Direction=H","UseDPDF=Y")</f>
        <v>#NAME?</v>
      </c>
      <c r="AV606" s="2" t="e">
        <f ca="1">_xll.BDH($C$603,"GEO_GROW_TOT_ASSET","FQ3 2014","FQ3 2014","Currency=INR","Period=FQ","BEST_FPERIOD_OVERRIDE=FQ","FILING_STATUS=OR","EQY_CONSOLIDATED=Y","Sort=A","Dates=H","DateFormat=P","Fill=—","Direction=H","UseDPDF=Y")</f>
        <v>#NAME?</v>
      </c>
      <c r="AW606" s="2" t="e">
        <f ca="1">_xll.BDH($C$603,"MODIFIED_WORKING_CPTL_5YR_GRWTH","FQ3 2014","FQ3 2014","Currency=INR","Period=FQ","BEST_FPERIOD_OVERRIDE=FQ","FILING_STATUS=OR","EQY_CONSOLIDATED=Y","Sort=A","Dates=H","DateFormat=P","Fill=—","Direction=H","UseDPDF=Y")</f>
        <v>#NAME?</v>
      </c>
      <c r="AX606" s="2" t="e">
        <f ca="1">_xll.BDH($C$603,"WORKING_CAPITAL_5_YEAR_GROWTH","FQ3 2014","FQ3 2014","Currency=INR","Period=FQ","BEST_FPERIOD_OVERRIDE=FQ","FILING_STATUS=OR","EQY_CONSOLIDATED=Y","Sort=A","Dates=H","DateFormat=P","Fill=—","Direction=H","UseDPDF=Y")</f>
        <v>#NAME?</v>
      </c>
      <c r="AY606" s="2" t="e">
        <f ca="1">_xll.BDH($C$603,"ACCOUNTS_PAYABLE_5_YEAR_GROWTH","FQ3 2014","FQ3 2014","Currency=INR","Period=FQ","BEST_FPERIOD_OVERRIDE=FQ","FILING_STATUS=OR","EQY_CONSOLIDATED=Y","Sort=A","Dates=H","DateFormat=P","Fill=—","Direction=H","UseDPDF=Y")</f>
        <v>#NAME?</v>
      </c>
      <c r="AZ606" s="2" t="e">
        <f ca="1">_xll.BDH($C$603,"SHORT_TERM_DEBT_5_YEAR_GROWTH","FQ3 2014","FQ3 2014","Currency=INR","Period=FQ","BEST_FPERIOD_OVERRIDE=FQ","FILING_STATUS=OR","EQY_CONSOLIDATED=Y","Sort=A","Dates=H","DateFormat=P","Fill=—","Direction=H","UseDPDF=Y")</f>
        <v>#NAME?</v>
      </c>
      <c r="BA606" s="2" t="e">
        <f ca="1">_xll.BDH($C$603,"TOTAL_DEBT_5_YEAR_GROWTH","FQ3 2014","FQ3 2014","Currency=INR","Period=FQ","BEST_FPERIOD_OVERRIDE=FQ","FILING_STATUS=OR","EQY_CONSOLIDATED=Y","Sort=A","Dates=H","DateFormat=P","Fill=—","Direction=H","UseDPDF=Y")</f>
        <v>#NAME?</v>
      </c>
      <c r="BB606" s="2" t="e">
        <f ca="1">_xll.BDH($C$603,"GEO_GROW_TOT_SHRHLDR_EQY","FQ3 2014","FQ3 2014","Currency=INR","Period=FQ","BEST_FPERIOD_OVERRIDE=FQ","FILING_STATUS=OR","EQY_CONSOLIDATED=Y","Sort=A","Dates=H","DateFormat=P","Fill=—","Direction=H","UseDPDF=Y")</f>
        <v>#NAME?</v>
      </c>
      <c r="BC606" s="2" t="e">
        <f ca="1">_xll.BDH($C$603,"TOTAL_CAPITAL_5_YEAR_GROWTH","FQ3 2014","FQ3 2014","Currency=INR","Period=FQ","BEST_FPERIOD_OVERRIDE=FQ","FILING_STATUS=OR","EQY_CONSOLIDATED=Y","Sort=A","Dates=H","DateFormat=P","Fill=—","Direction=H","UseDPDF=Y")</f>
        <v>#NAME?</v>
      </c>
      <c r="BD606" s="2" t="e">
        <f ca="1">_xll.BDH($C$603,"GEO_GROW_BOOK_VAL","FQ3 2014","FQ3 2014","Currency=INR","Period=FQ","BEST_FPERIOD_OVERRIDE=FQ","FILING_STATUS=OR","EQY_CONSOLIDATED=Y","Sort=A","Dates=H","DateFormat=P","Fill=—","Direction=H","UseDPDF=Y")</f>
        <v>#NAME?</v>
      </c>
      <c r="BE606" s="2" t="e">
        <f ca="1">_xll.BDH($C$603,"GEO_GROW_CASH_OPER_ACT","FQ3 2014","FQ3 2014","Currency=INR","Period=FQ","BEST_FPERIOD_OVERRIDE=FQ","FILING_STATUS=OR","EQY_CONSOLIDATED=Y","Sort=A","Dates=H","DateFormat=P","Fill=—","Direction=H","UseDPDF=Y")</f>
        <v>#NAME?</v>
      </c>
      <c r="BF606" s="2" t="e">
        <f ca="1">_xll.BDH($C$603,"REVENUE_SEQUENTIAL_GROWTH","FQ3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606" s="2" t="e">
        <f ca="1">_xll.BDH($C$603,"EBITDA_SEQUENTIAL_GROWTH","FQ3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606" s="2" t="e">
        <f ca="1">_xll.BDH($C$603,"OPERATING_INCOME_SEQ_GROWTH","FQ3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606" s="2" t="e">
        <f ca="1">_xll.BDH($C$603,"NET_INCOME_TO_COMMON_SEQ_GROWTH","FQ3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606" s="2" t="e">
        <f ca="1">_xll.BDH($C$603,"EPS_DILUTED_SEQUENTIAL_GROWTH","FQ3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606" s="2" t="e">
        <f ca="1">_xll.BDH($C$603,"DPS_SEQUENTIAL_GROWTH","FQ3 2014","FQ3 2014","Currency=INR","Period=FQ","BEST_FPERIOD_OVERRIDE=FQ","FILING_STATUS=OR","EQY_CONSOLIDATED=Y","Sort=A","Dates=H","DateFormat=P","Fill=—","Direction=H","UseDPDF=Y")</f>
        <v>#NAME?</v>
      </c>
      <c r="BL606" s="2" t="e">
        <f ca="1">_xll.BDH($C$603,"ACCOUNTS_RECEIVABLE_SEQ_GROWTH","FQ3 2014","FQ3 2014","Currency=INR","Period=FQ","BEST_FPERIOD_OVERRIDE=FQ","FILING_STATUS=OR","EQY_CONSOLIDATED=Y","Sort=A","Dates=H","DateFormat=P","Fill=—","Direction=H","UseDPDF=Y")</f>
        <v>#NAME?</v>
      </c>
      <c r="BM606" s="2" t="e">
        <f ca="1">_xll.BDH($C$603,"INVENTORY_SEQUENTIAL_GROWTH","FQ3 2014","FQ3 2014","Currency=INR","Period=FQ","BEST_FPERIOD_OVERRIDE=FQ","FILING_STATUS=OR","EQY_CONSOLIDATED=Y","Sort=A","Dates=H","DateFormat=P","Fill=—","Direction=H","UseDPDF=Y")</f>
        <v>#NAME?</v>
      </c>
      <c r="BN606" s="2" t="e">
        <f ca="1">_xll.BDH($C$603,"FIXED_ASSETS_SEQUENTIAL_GROWTH","FQ3 2014","FQ3 2014","Currency=INR","Period=FQ","BEST_FPERIOD_OVERRIDE=FQ","FILING_STATUS=OR","EQY_CONSOLIDATED=Y","Sort=A","Dates=H","DateFormat=P","Fill=—","Direction=H","UseDPDF=Y")</f>
        <v>#NAME?</v>
      </c>
      <c r="BO606" s="2" t="e">
        <f ca="1">_xll.BDH($C$603,"TOTAL_ASSETS_SEQUENTIAL_GROWTH","FQ3 2014","FQ3 2014","Currency=INR","Period=FQ","BEST_FPERIOD_OVERRIDE=FQ","FILING_STATUS=OR","EQY_CONSOLIDATED=Y","Sort=A","Dates=H","DateFormat=P","Fill=—","Direction=H","UseDPDF=Y")</f>
        <v>#NAME?</v>
      </c>
      <c r="BP606" s="2" t="e">
        <f ca="1">_xll.BDH($C$603,"MODIFIED_WORKING_CPTL_SEQ_GRWTH","FQ3 2014","FQ3 2014","Currency=INR","Period=FQ","BEST_FPERIOD_OVERRIDE=FQ","FILING_STATUS=OR","EQY_CONSOLIDATED=Y","Sort=A","Dates=H","DateFormat=P","Fill=—","Direction=H","UseDPDF=Y")</f>
        <v>#NAME?</v>
      </c>
      <c r="BQ606" s="2" t="e">
        <f ca="1">_xll.BDH($C$603,"WORKING_CAPITAL_SEQ_GROWTH","FQ3 2014","FQ3 2014","Currency=INR","Period=FQ","BEST_FPERIOD_OVERRIDE=FQ","FILING_STATUS=OR","EQY_CONSOLIDATED=Y","Sort=A","Dates=H","DateFormat=P","Fill=—","Direction=H","UseDPDF=Y")</f>
        <v>#NAME?</v>
      </c>
      <c r="BR606" s="2" t="e">
        <f ca="1">_xll.BDH($C$603,"ACCOUNTS_PAYABLE_SEQ_GROWTH","FQ3 2014","FQ3 2014","Currency=INR","Period=FQ","BEST_FPERIOD_OVERRIDE=FQ","FILING_STATUS=OR","EQY_CONSOLIDATED=Y","Sort=A","Dates=H","DateFormat=P","Fill=—","Direction=H","UseDPDF=Y")</f>
        <v>#NAME?</v>
      </c>
      <c r="BS606" s="2" t="e">
        <f ca="1">_xll.BDH($C$603,"ST_DEBT_SEQUENTIAL_GROWTH","FQ3 2014","FQ3 2014","Currency=INR","Period=FQ","BEST_FPERIOD_OVERRIDE=FQ","FILING_STATUS=OR","EQY_CONSOLIDATED=Y","Sort=A","Dates=H","DateFormat=P","Fill=—","Direction=H","UseDPDF=Y")</f>
        <v>#NAME?</v>
      </c>
      <c r="BT606" s="2" t="e">
        <f ca="1">_xll.BDH($C$603,"TOTAL_DEBT_SEQUENTIAL_GROWTH","FQ3 2014","FQ3 2014","Currency=INR","Period=FQ","BEST_FPERIOD_OVERRIDE=FQ","FILING_STATUS=OR","EQY_CONSOLIDATED=Y","Sort=A","Dates=H","DateFormat=P","Fill=—","Direction=H","UseDPDF=Y")</f>
        <v>#NAME?</v>
      </c>
      <c r="BU606" s="2" t="e">
        <f ca="1">_xll.BDH($C$603,"TOTAL_EQUITY_SEQUENTIAL_GROWTH","FQ3 2014","FQ3 2014","Currency=INR","Period=FQ","BEST_FPERIOD_OVERRIDE=FQ","FILING_STATUS=OR","EQY_CONSOLIDATED=Y","Sort=A","Dates=H","DateFormat=P","Fill=—","Direction=H","UseDPDF=Y")</f>
        <v>#NAME?</v>
      </c>
      <c r="BV606" s="2" t="e">
        <f ca="1">_xll.BDH($C$603,"TOTAL_CAPITAL_SEQUENTIAL_GROWTH","FQ3 2014","FQ3 2014","Currency=INR","Period=FQ","BEST_FPERIOD_OVERRIDE=FQ","FILING_STATUS=OR","EQY_CONSOLIDATED=Y","Sort=A","Dates=H","DateFormat=P","Fill=—","Direction=H","UseDPDF=Y")</f>
        <v>#NAME?</v>
      </c>
      <c r="BW606" s="2" t="e">
        <f ca="1">_xll.BDH($C$603,"BPS_SEQUENTIAL_GROWTH","FQ3 2014","FQ3 2014","Currency=INR","Period=FQ","BEST_FPERIOD_OVERRIDE=FQ","FILING_STATUS=OR","EQY_CONSOLIDATED=Y","Sort=A","Dates=H","DateFormat=P","Fill=—","Direction=H","UseDPDF=Y")</f>
        <v>#NAME?</v>
      </c>
      <c r="BX606" s="2" t="e">
        <f ca="1">_xll.BDH($C$603,"CFO_SEQUENTIAL_GROWTH","FQ3 2014","FQ3 2014","Currency=INR","Period=FQ","BEST_FPERIOD_OVERRIDE=FQ","FILING_STATUS=OR","EQY_CONSOLIDATED=Y","Sort=A","Dates=H","DateFormat=P","Fill=—","Direction=H","UseDPDF=Y")</f>
        <v>#NAME?</v>
      </c>
      <c r="BY606" s="3" t="e">
        <f ca="1">_xll.BDH($C$603,"SHORT_AND_LONG_TERM_DEBT","FQ3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606" s="3" t="e">
        <f ca="1">_xll.BDH($C$603,"BS_ST_BORROW","FQ3 2014","FQ3 2014","Currency=INR","Period=FQ","BEST_FPERIOD_OVERRIDE=FQ","FILING_STATUS=OR","EQY_CONSOLIDATED=Y","SCALING_FORMAT=MLN","Sort=A","Dates=H","DateFormat=P","Fill=—","Direction=H","UseDPDF=Y")</f>
        <v>#NAME?</v>
      </c>
      <c r="CA606" s="3" t="e">
        <f ca="1">_xll.BDH($C$603,"BS_LT_BORROW","FQ3 2014","FQ3 2014","Currency=INR","Period=FQ","BEST_FPERIOD_OVERRIDE=FQ","FILING_STATUS=OR","EQY_CONSOLIDATED=Y","SCALING_FORMAT=MLN","Sort=A","Dates=H","DateFormat=P","Fill=—","Direction=H","UseDPDF=Y")</f>
        <v>#NAME?</v>
      </c>
      <c r="CB606" s="2" t="e">
        <f ca="1">_xll.BDH($C$603,"TOT_DEBT_TO_EBITDA","FQ3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606" s="2" t="e">
        <f ca="1">_xll.BDH($C$603,"NET_DEBT_TO_EBITDA","FQ3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606" s="2" t="e">
        <f ca="1">_xll.BDH($C$603,"TOTAL_DEBT_TO_EBIT","FQ3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606" s="2" t="e">
        <f ca="1">_xll.BDH($C$603,"NET_DEBT_TO_EBIT","FQ3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606" s="2" t="e">
        <f ca="1">_xll.BDH($C$603,"EBITDA_TO_INTEREST_EXPN","FQ3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606" s="2" t="e">
        <f ca="1">_xll.BDH($C$603,"COM_EQY_TO_TOT_ASSET","FQ3 2014","FQ3 2014","Currency=INR","Period=FQ","BEST_FPERIOD_OVERRIDE=FQ","FILING_STATUS=OR","EQY_CONSOLIDATED=Y","Sort=A","Dates=H","DateFormat=P","Fill=—","Direction=H","UseDPDF=Y")</f>
        <v>#NAME?</v>
      </c>
      <c r="CH606" s="2" t="e">
        <f ca="1">_xll.BDH($C$603,"LT_DEBT_TO_TOT_EQY","FQ3 2014","FQ3 2014","Currency=INR","Period=FQ","BEST_FPERIOD_OVERRIDE=FQ","FILING_STATUS=OR","EQY_CONSOLIDATED=Y","Sort=A","Dates=H","DateFormat=P","Fill=—","Direction=H","UseDPDF=Y")</f>
        <v>#NAME?</v>
      </c>
      <c r="CI606" s="2" t="e">
        <f ca="1">_xll.BDH($C$603,"LT_DEBT_TO_TOT_CAP","FQ3 2014","FQ3 2014","Currency=INR","Period=FQ","BEST_FPERIOD_OVERRIDE=FQ","FILING_STATUS=OR","EQY_CONSOLIDATED=Y","Sort=A","Dates=H","DateFormat=P","Fill=—","Direction=H","UseDPDF=Y")</f>
        <v>#NAME?</v>
      </c>
      <c r="CJ606" s="2" t="e">
        <f ca="1">_xll.BDH($C$603,"LT_DEBT_TO_TOT_ASSET","FQ3 2014","FQ3 2014","Currency=INR","Period=FQ","BEST_FPERIOD_OVERRIDE=FQ","FILING_STATUS=OR","EQY_CONSOLIDATED=Y","Sort=A","Dates=H","DateFormat=P","Fill=—","Direction=H","UseDPDF=Y")</f>
        <v>#NAME?</v>
      </c>
      <c r="CK606" s="2" t="e">
        <f ca="1">_xll.BDH($C$603,"TOT_DEBT_TO_TOT_EQY","FQ3 2014","FQ3 2014","Currency=INR","Period=FQ","BEST_FPERIOD_OVERRIDE=FQ","FILING_STATUS=OR","EQY_CONSOLIDATED=Y","Sort=A","Dates=H","DateFormat=P","Fill=—","Direction=H","UseDPDF=Y")</f>
        <v>#NAME?</v>
      </c>
      <c r="CL606" s="2" t="e">
        <f ca="1">_xll.BDH($C$603,"TOT_DEBT_TO_TOT_CAP","FQ3 2014","FQ3 2014","Currency=INR","Period=FQ","BEST_FPERIOD_OVERRIDE=FQ","FILING_STATUS=OR","EQY_CONSOLIDATED=Y","Sort=A","Dates=H","DateFormat=P","Fill=—","Direction=H","UseDPDF=Y")</f>
        <v>#NAME?</v>
      </c>
      <c r="CM606" s="2" t="e">
        <f ca="1">_xll.BDH($C$603,"TOT_DEBT_TO_TOT_ASSET","FQ3 2014","FQ3 2014","Currency=INR","Period=FQ","BEST_FPERIOD_OVERRIDE=FQ","FILING_STATUS=OR","EQY_CONSOLIDATED=Y","Sort=A","Dates=H","DateFormat=P","Fill=—","Direction=H","UseDPDF=Y")</f>
        <v>#NAME?</v>
      </c>
      <c r="CN606" s="2" t="e">
        <f ca="1">_xll.BDH($C$603,"NET_DEBT_TO_SHRHLDR_EQTY","FQ3 2014","FQ3 2014","Currency=INR","Period=FQ","BEST_FPERIOD_OVERRIDE=FQ","FILING_STATUS=OR","EQY_CONSOLIDATED=Y","Sort=A","Dates=H","DateFormat=P","Fill=—","Direction=H","UseDPDF=Y")</f>
        <v>#NAME?</v>
      </c>
      <c r="CO606" s="2" t="e">
        <f ca="1">_xll.BDH($C$603,"NET_DEBT_%_CAPITAL","FQ3 2014","FQ3 2014","Currency=INR","Period=FQ","BEST_FPERIOD_OVERRIDE=FQ","FILING_STATUS=OR","EQY_CONSOLIDATED=Y","Sort=A","Dates=H","DateFormat=P","Fill=—","Direction=H","UseDPDF=Y")</f>
        <v>#NAME?</v>
      </c>
      <c r="CP606" s="3" t="e">
        <f ca="1">_xll.BDH($C$603,"EBITDA","FQ3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606" s="3" t="e">
        <f ca="1">_xll.BDH($C$603,"EBITDA_AFTER_CAPEX","FQ3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606" s="3" t="e">
        <f ca="1">_xll.BDH($C$603,"IS_OPER_INC","FQ3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606" s="2" t="e">
        <f ca="1">_xll.BDH($C$603,"CASH_RATIO","FQ3 2014","FQ3 2014","Currency=INR","Period=FQ","BEST_FPERIOD_OVERRIDE=FQ","FILING_STATUS=OR","EQY_CONSOLIDATED=Y","Sort=A","Dates=H","DateFormat=P","Fill=—","Direction=H","UseDPDF=Y")</f>
        <v>#NAME?</v>
      </c>
      <c r="CT606" s="2" t="e">
        <f ca="1">_xll.BDH($C$603,"CUR_RATIO","FQ3 2014","FQ3 2014","Currency=INR","Period=FQ","BEST_FPERIOD_OVERRIDE=FQ","FILING_STATUS=OR","EQY_CONSOLIDATED=Y","Sort=A","Dates=H","DateFormat=P","Fill=—","Direction=H","UseDPDF=Y")</f>
        <v>#NAME?</v>
      </c>
      <c r="CU606" s="2" t="e">
        <f ca="1">_xll.BDH($C$603,"QUICK_RATIO","FQ3 2014","FQ3 2014","Currency=INR","Period=FQ","BEST_FPERIOD_OVERRIDE=FQ","FILING_STATUS=OR","EQY_CONSOLIDATED=Y","Sort=A","Dates=H","DateFormat=P","Fill=—","Direction=H","UseDPDF=Y")</f>
        <v>#NAME?</v>
      </c>
      <c r="CV606" s="2" t="e">
        <f ca="1">_xll.BDH($C$603,"ALTMAN_Z_SCORE","FQ3 2014","FQ3 2014","Currency=INR","Period=FQ","BEST_FPERIOD_OVERRIDE=FQ","FILING_STATUS=OR","EQY_CONSOLIDATED=Y","Sort=A","Dates=H","DateFormat=P","Fill=—","Direction=H","UseDPDF=Y")</f>
        <v>#NAME?</v>
      </c>
      <c r="CW606" s="4" t="e">
        <f ca="1">_xll.BDH($C$603,"ACCT_RCV_TURN","FQ3 2014","FQ3 2014","Currency=INR","Period=FQ","BEST_FPERIOD_OVERRIDE=FQ","FILING_STATUS=OR","EQY_CONSOLIDATED=Y","FA_ADJUSTED=GAAP","Sort=A","Dates=H","DateFormat=P","Fill=—","Direction=H","UseDPDF=Y")</f>
        <v>#NAME?</v>
      </c>
      <c r="CX606" s="2" t="e">
        <f ca="1">_xll.BDH($C$603,"ACCT_RCV_DAYS","FQ3 2014","FQ3 2014","Currency=INR","Period=FQ","BEST_FPERIOD_OVERRIDE=FQ","FILING_STATUS=OR","EQY_CONSOLIDATED=Y","FA_ADJUSTED=GAAP","Sort=A","Dates=H","DateFormat=P","Fill=—","Direction=H","UseDPDF=Y")</f>
        <v>#NAME?</v>
      </c>
      <c r="CY606" s="4" t="e">
        <f ca="1">_xll.BDH($C$603,"INVENT_TURN","FQ3 2014","FQ3 2014","Currency=INR","Period=FQ","BEST_FPERIOD_OVERRIDE=FQ","FILING_STATUS=OR","EQY_CONSOLIDATED=Y","FA_ADJUSTED=GAAP","Sort=A","Dates=H","DateFormat=P","Fill=—","Direction=H","UseDPDF=Y")</f>
        <v>#NAME?</v>
      </c>
      <c r="CZ606" s="2" t="e">
        <f ca="1">_xll.BDH($C$603,"INVENT_DAYS","FQ3 2014","FQ3 2014","Currency=INR","Period=FQ","BEST_FPERIOD_OVERRIDE=FQ","FILING_STATUS=OR","EQY_CONSOLIDATED=Y","FA_ADJUSTED=GAAP","Sort=A","Dates=H","DateFormat=P","Fill=—","Direction=H","UseDPDF=Y")</f>
        <v>#NAME?</v>
      </c>
      <c r="DA606" s="4" t="e">
        <f ca="1">_xll.BDH($C$603,"ACCOUNTS_PAYABLE_TURNOVER","FQ3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606" s="2" t="e">
        <f ca="1">_xll.BDH($C$603,"ACCOUNTS_PAYABLE_TURNOVER_DAYS","FQ3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606" s="4" t="e">
        <f ca="1">_xll.BDH($C$603,"CASH_CONVERSION_CYCLE","FQ3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606" s="4" t="e">
        <f ca="1">_xll.BDH($C$603,"INV_TO_CASH_DAYS","FQ3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606" s="5" t="e">
        <f ca="1">_xll.BDH($C$603,"BS_INVENTORIES","FQ3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606" s="3" t="e">
        <f ca="1">_xll.BDH($C$603,"INVTRY_RAW_MATERIALS","FQ3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606" s="3" t="e">
        <f ca="1">_xll.BDH($C$603,"INVTRY_IN_PROGRESS","FQ3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606" s="3" t="e">
        <f ca="1">_xll.BDH($C$603,"INVTRY_FINISHED_GOODS","FQ3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606" s="3" t="e">
        <f ca="1">_xll.BDH($C$603,"BS_OTHER_INV","FQ3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607" spans="1:113" x14ac:dyDescent="0.3">
      <c r="A607" s="6"/>
      <c r="B607" s="6"/>
      <c r="C607" s="6"/>
      <c r="D607" s="6"/>
      <c r="E607" t="s">
        <v>81</v>
      </c>
      <c r="F607" t="e">
        <f ca="1">_xll.BDH($C$603,"RETURN_COM_EQY","FQ4 2014","FQ4 2014","Currency=INR","Period=FQ","BEST_FPERIOD_OVERRIDE=FQ","FILING_STATUS=OR","EQY_CONSOLIDATED=Y","FA_ADJUSTED=GAAP","Sort=A","Dates=H","DateFormat=P","Fill=—","Direction=H","UseDPDF=Y")</f>
        <v>#NAME?</v>
      </c>
      <c r="G607" t="e">
        <f ca="1">_xll.BDH($C$603,"RETURN_ON_ASSET","FQ4 2014","FQ4 2014","Currency=INR","Period=FQ","BEST_FPERIOD_OVERRIDE=FQ","FILING_STATUS=OR","EQY_CONSOLIDATED=Y","FA_ADJUSTED=GAAP","Sort=A","Dates=H","DateFormat=P","Fill=—","Direction=H","UseDPDF=Y")</f>
        <v>#NAME?</v>
      </c>
      <c r="H607" t="e">
        <f ca="1">_xll.BDH($C$603,"RETURN_ON_CAP","FQ4 2014","FQ4 2014","Currency=INR","Period=FQ","BEST_FPERIOD_OVERRIDE=FQ","FILING_STATUS=OR","EQY_CONSOLIDATED=Y","FA_ADJUSTED=GAAP","Sort=A","Dates=H","DateFormat=P","Fill=—","Direction=H","UseDPDF=Y")</f>
        <v>#NAME?</v>
      </c>
      <c r="I607" t="e">
        <f ca="1">_xll.BDH($C$603,"RETURN_ON_INV_CAPITAL","FQ4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607" t="e">
        <f ca="1">_xll.BDH($C$603,"EBITDA_TO_REVENUE","FQ4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607" t="e">
        <f ca="1">_xll.BDH($C$603,"OPER_MARGIN","FQ4 2014","FQ4 2014","Currency=INR","Period=FQ","BEST_FPERIOD_OVERRIDE=FQ","FILING_STATUS=OR","EQY_CONSOLIDATED=Y","FA_ADJUSTED=GAAP","Sort=A","Dates=H","DateFormat=P","Fill=—","Direction=H","UseDPDF=Y")</f>
        <v>#NAME?</v>
      </c>
      <c r="L607" t="e">
        <f ca="1">_xll.BDH($C$603,"INCREMENTAL_OPERATING_MARGIN","FQ4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607" t="e">
        <f ca="1">_xll.BDH($C$603,"PRETAX_INC_TO_NET_SALES","FQ4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607" t="e">
        <f ca="1">_xll.BDH($C$603,"INC_BEF_XO_ITEMS_TO_NET_SALES","FQ4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607" t="e">
        <f ca="1">_xll.BDH($C$603,"PROF_MARGIN","FQ4 2014","FQ4 2014","Currency=INR","Period=FQ","BEST_FPERIOD_OVERRIDE=FQ","FILING_STATUS=OR","EQY_CONSOLIDATED=Y","FA_ADJUSTED=GAAP","Sort=A","Dates=H","DateFormat=P","Fill=—","Direction=H","UseDPDF=Y")</f>
        <v>#NAME?</v>
      </c>
      <c r="P607" t="e">
        <f ca="1">_xll.BDH($C$603,"NET_INCOME_TO_COMMON_MARGIN","FQ4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607" t="e">
        <f ca="1">_xll.BDH($C$603,"EFF_TAX_RATE","FQ4 2014","FQ4 2014","Currency=INR","Period=FQ","BEST_FPERIOD_OVERRIDE=FQ","FILING_STATUS=OR","EQY_CONSOLIDATED=Y","FA_ADJUSTED=GAAP","Sort=A","Dates=H","DateFormat=P","Fill=—","Direction=H","UseDPDF=Y")</f>
        <v>#NAME?</v>
      </c>
      <c r="R607" t="e">
        <f ca="1">_xll.BDH($C$603,"DVD_PAYOUT_RATIO","FQ4 2014","FQ4 2014","Currency=INR","Period=FQ","BEST_FPERIOD_OVERRIDE=FQ","FILING_STATUS=OR","EQY_CONSOLIDATED=Y","FA_ADJUSTED=GAAP","Sort=A","Dates=H","DateFormat=P","Fill=—","Direction=H","UseDPDF=Y")</f>
        <v>#NAME?</v>
      </c>
      <c r="S607" t="e">
        <f ca="1">_xll.BDH($C$603,"SUSTAIN_GROWTH_RT","FQ4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607" s="2" t="e">
        <f ca="1">_xll.BDH($C$603,"SALES_GROWTH","FQ4 2014","FQ4 2014","Currency=INR","Period=FQ","BEST_FPERIOD_OVERRIDE=FQ","FILING_STATUS=OR","EQY_CONSOLIDATED=Y","FA_ADJUSTED=GAAP","Sort=A","Dates=H","DateFormat=P","Fill=—","Direction=H","UseDPDF=Y")</f>
        <v>#NAME?</v>
      </c>
      <c r="U607" s="2" t="e">
        <f ca="1">_xll.BDH($C$603,"EBITDA_GROWTH","FQ4 2014","FQ4 2014","Currency=INR","Period=FQ","BEST_FPERIOD_OVERRIDE=FQ","FILING_STATUS=OR","EQY_CONSOLIDATED=Y","FA_ADJUSTED=GAAP","Sort=A","Dates=H","DateFormat=P","Fill=—","Direction=H","UseDPDF=Y")</f>
        <v>#NAME?</v>
      </c>
      <c r="V607" s="2" t="e">
        <f ca="1">_xll.BDH($C$603,"OPER_INC_GROWTH","FQ4 2014","FQ4 2014","Currency=INR","Period=FQ","BEST_FPERIOD_OVERRIDE=FQ","FILING_STATUS=OR","EQY_CONSOLIDATED=Y","FA_ADJUSTED=GAAP","Sort=A","Dates=H","DateFormat=P","Fill=—","Direction=H","UseDPDF=Y")</f>
        <v>#NAME?</v>
      </c>
      <c r="W607" s="2" t="e">
        <f ca="1">_xll.BDH($C$603,"EARN_FOR_COM_GROWTH","FQ4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607" s="2" t="e">
        <f ca="1">_xll.BDH($C$603,"DILUTED_EPS_AFT_XO_ITEMS_GROWTH","FQ4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607" s="2" t="e">
        <f ca="1">_xll.BDH($C$603,"DIVIDEND_PER_SHARE_1_YEAR_GROWTH","FQ4 2014","FQ4 2014","Currency=INR","Period=FQ","BEST_FPERIOD_OVERRIDE=FQ","FILING_STATUS=OR","EQY_CONSOLIDATED=Y","Sort=A","Dates=H","DateFormat=P","Fill=—","Direction=H","UseDPDF=Y")</f>
        <v>#NAME?</v>
      </c>
      <c r="Z607" s="2" t="e">
        <f ca="1">_xll.BDH($C$603,"ACCOUNTS_RECEIVABLE_GROWTH","FQ4 2014","FQ4 2014","Currency=INR","Period=FQ","BEST_FPERIOD_OVERRIDE=FQ","FILING_STATUS=OR","EQY_CONSOLIDATED=Y","Sort=A","Dates=H","DateFormat=P","Fill=—","Direction=H","UseDPDF=Y")</f>
        <v>#NAME?</v>
      </c>
      <c r="AA607" s="2" t="e">
        <f ca="1">_xll.BDH($C$603,"INVENTORY_GROWTH","FQ4 2014","FQ4 2014","Currency=INR","Period=FQ","BEST_FPERIOD_OVERRIDE=FQ","FILING_STATUS=OR","EQY_CONSOLIDATED=Y","Sort=A","Dates=H","DateFormat=P","Fill=—","Direction=H","UseDPDF=Y")</f>
        <v>#NAME?</v>
      </c>
      <c r="AB607" s="2" t="e">
        <f ca="1">_xll.BDH($C$603,"NET_FIXED_ASSETS_1_YEAR_GROWTH","FQ4 2014","FQ4 2014","Currency=INR","Period=FQ","BEST_FPERIOD_OVERRIDE=FQ","FILING_STATUS=OR","EQY_CONSOLIDATED=Y","Sort=A","Dates=H","DateFormat=P","Fill=—","Direction=H","UseDPDF=Y")</f>
        <v>#NAME?</v>
      </c>
      <c r="AC607" s="2" t="e">
        <f ca="1">_xll.BDH($C$603,"ASSET_GROWTH","FQ4 2014","FQ4 2014","Currency=INR","Period=FQ","BEST_FPERIOD_OVERRIDE=FQ","FILING_STATUS=OR","EQY_CONSOLIDATED=Y","Sort=A","Dates=H","DateFormat=P","Fill=—","Direction=H","UseDPDF=Y")</f>
        <v>#NAME?</v>
      </c>
      <c r="AD607" s="2" t="e">
        <f ca="1">_xll.BDH($C$603,"MODIFIED_WORK_CAP_GROWTH","FQ4 2014","FQ4 2014","Currency=INR","Period=FQ","BEST_FPERIOD_OVERRIDE=FQ","FILING_STATUS=OR","EQY_CONSOLIDATED=Y","Sort=A","Dates=H","DateFormat=P","Fill=—","Direction=H","UseDPDF=Y")</f>
        <v>#NAME?</v>
      </c>
      <c r="AE607" s="2" t="e">
        <f ca="1">_xll.BDH($C$603,"WORK_CAP_GROWTH","FQ4 2014","FQ4 2014","Currency=INR","Period=FQ","BEST_FPERIOD_OVERRIDE=FQ","FILING_STATUS=OR","EQY_CONSOLIDATED=Y","Sort=A","Dates=H","DateFormat=P","Fill=—","Direction=H","UseDPDF=Y")</f>
        <v>#NAME?</v>
      </c>
      <c r="AF607" s="2" t="e">
        <f ca="1">_xll.BDH($C$603,"ACCOUNTS_PAYABLE_GROWTH_1YR","FQ4 2014","FQ4 2014","Currency=INR","Period=FQ","BEST_FPERIOD_OVERRIDE=FQ","FILING_STATUS=OR","EQY_CONSOLIDATED=Y","Sort=A","Dates=H","DateFormat=P","Fill=—","Direction=H","UseDPDF=Y")</f>
        <v>#NAME?</v>
      </c>
      <c r="AG607" s="2" t="e">
        <f ca="1">_xll.BDH($C$603,"SHORT_TERM_DEBT_1_YEAR_GROWTH","FQ4 2014","FQ4 2014","Currency=INR","Period=FQ","BEST_FPERIOD_OVERRIDE=FQ","FILING_STATUS=OR","EQY_CONSOLIDATED=Y","Sort=A","Dates=H","DateFormat=P","Fill=—","Direction=H","UseDPDF=Y")</f>
        <v>#NAME?</v>
      </c>
      <c r="AH607" s="2" t="e">
        <f ca="1">_xll.BDH($C$603,"TOTAL_DEBT_1_YEAR_GROWTH","FQ4 2014","FQ4 2014","Currency=INR","Period=FQ","BEST_FPERIOD_OVERRIDE=FQ","FILING_STATUS=OR","EQY_CONSOLIDATED=Y","Sort=A","Dates=H","DateFormat=P","Fill=—","Direction=H","UseDPDF=Y")</f>
        <v>#NAME?</v>
      </c>
      <c r="AI607" s="2" t="e">
        <f ca="1">_xll.BDH($C$603,"TOTAL_EQUITY_1_YEAR_GROWTH","FQ4 2014","FQ4 2014","Currency=INR","Period=FQ","BEST_FPERIOD_OVERRIDE=FQ","FILING_STATUS=OR","EQY_CONSOLIDATED=Y","Sort=A","Dates=H","DateFormat=P","Fill=—","Direction=H","UseDPDF=Y")</f>
        <v>#NAME?</v>
      </c>
      <c r="AJ607" s="2" t="e">
        <f ca="1">_xll.BDH($C$603,"GROWTH_IN_CAP","FQ4 2014","FQ4 2014","Currency=INR","Period=FQ","BEST_FPERIOD_OVERRIDE=FQ","FILING_STATUS=OR","EQY_CONSOLIDATED=Y","Sort=A","Dates=H","DateFormat=P","Fill=—","Direction=H","UseDPDF=Y")</f>
        <v>#NAME?</v>
      </c>
      <c r="AK607" s="2" t="e">
        <f ca="1">_xll.BDH($C$603,"BVPS_GROWTH","FQ4 2014","FQ4 2014","Currency=INR","Period=FQ","BEST_FPERIOD_OVERRIDE=FQ","FILING_STATUS=OR","EQY_CONSOLIDATED=Y","Sort=A","Dates=H","DateFormat=P","Fill=—","Direction=H","UseDPDF=Y")</f>
        <v>#NAME?</v>
      </c>
      <c r="AL607" s="2" t="e">
        <f ca="1">_xll.BDH($C$603,"CASH_FLOW_GROWTH","FQ4 2014","FQ4 2014","Currency=INR","Period=FQ","BEST_FPERIOD_OVERRIDE=FQ","FILING_STATUS=OR","EQY_CONSOLIDATED=Y","Sort=A","Dates=H","DateFormat=P","Fill=—","Direction=H","UseDPDF=Y")</f>
        <v>#NAME?</v>
      </c>
      <c r="AM607" s="2" t="e">
        <f ca="1">_xll.BDH($C$603,"GEO_GROW_NET_SALES","FQ4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607" s="2" t="e">
        <f ca="1">_xll.BDH($C$603,"GEO_GROW_EBITDA","FQ4 2014","FQ4 2014","Currency=INR","Period=FQ","BEST_FPERIOD_OVERRIDE=FQ","FILING_STATUS=OR","EQY_CONSOLIDATED=Y","FA_ADJUSTED=GAAP","Sort=A","Dates=H","DateFormat=P","Fill=—","Direction=H","UseDPDF=Y")</f>
        <v>#NAME?</v>
      </c>
      <c r="AO607" s="2" t="e">
        <f ca="1">_xll.BDH($C$603,"GEO_GROW_OPER_INC","FQ4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607" s="2" t="e">
        <f ca="1">_xll.BDH($C$603,"NET_INCOME_TO_COMMON_5_YR_GROWTH","FQ4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607" s="2" t="e">
        <f ca="1">_xll.BDH($C$603,"5Y_GEO_GROWTH_DILUTED_EPS","FQ4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607" s="2" t="e">
        <f ca="1">_xll.BDH($C$603,"GEO_GROW_DVD_PER_SH","FQ4 2014","FQ4 2014","Currency=INR","Period=FQ","BEST_FPERIOD_OVERRIDE=FQ","FILING_STATUS=OR","EQY_CONSOLIDATED=Y","Sort=A","Dates=H","DateFormat=P","Fill=—","Direction=H","UseDPDF=Y")</f>
        <v>#NAME?</v>
      </c>
      <c r="AS607" s="2" t="e">
        <f ca="1">_xll.BDH($C$603,"ACCOUNTS_RECEIVABLE_5_YR_GROWTH","FQ4 2014","FQ4 2014","Currency=INR","Period=FQ","BEST_FPERIOD_OVERRIDE=FQ","FILING_STATUS=OR","EQY_CONSOLIDATED=Y","Sort=A","Dates=H","DateFormat=P","Fill=—","Direction=H","UseDPDF=Y")</f>
        <v>#NAME?</v>
      </c>
      <c r="AT607" s="2" t="e">
        <f ca="1">_xll.BDH($C$603,"INVENTORY_5_YEAR_GROWTH","FQ4 2014","FQ4 2014","Currency=INR","Period=FQ","BEST_FPERIOD_OVERRIDE=FQ","FILING_STATUS=OR","EQY_CONSOLIDATED=Y","Sort=A","Dates=H","DateFormat=P","Fill=—","Direction=H","UseDPDF=Y")</f>
        <v>#NAME?</v>
      </c>
      <c r="AU607" s="2" t="e">
        <f ca="1">_xll.BDH($C$603,"NET_FIXED_ASSETS_5_YEAR_GROWTH","FQ4 2014","FQ4 2014","Currency=INR","Period=FQ","BEST_FPERIOD_OVERRIDE=FQ","FILING_STATUS=OR","EQY_CONSOLIDATED=Y","Sort=A","Dates=H","DateFormat=P","Fill=—","Direction=H","UseDPDF=Y")</f>
        <v>#NAME?</v>
      </c>
      <c r="AV607" s="2" t="e">
        <f ca="1">_xll.BDH($C$603,"GEO_GROW_TOT_ASSET","FQ4 2014","FQ4 2014","Currency=INR","Period=FQ","BEST_FPERIOD_OVERRIDE=FQ","FILING_STATUS=OR","EQY_CONSOLIDATED=Y","Sort=A","Dates=H","DateFormat=P","Fill=—","Direction=H","UseDPDF=Y")</f>
        <v>#NAME?</v>
      </c>
      <c r="AW607" s="2" t="e">
        <f ca="1">_xll.BDH($C$603,"MODIFIED_WORKING_CPTL_5YR_GRWTH","FQ4 2014","FQ4 2014","Currency=INR","Period=FQ","BEST_FPERIOD_OVERRIDE=FQ","FILING_STATUS=OR","EQY_CONSOLIDATED=Y","Sort=A","Dates=H","DateFormat=P","Fill=—","Direction=H","UseDPDF=Y")</f>
        <v>#NAME?</v>
      </c>
      <c r="AX607" s="2" t="e">
        <f ca="1">_xll.BDH($C$603,"WORKING_CAPITAL_5_YEAR_GROWTH","FQ4 2014","FQ4 2014","Currency=INR","Period=FQ","BEST_FPERIOD_OVERRIDE=FQ","FILING_STATUS=OR","EQY_CONSOLIDATED=Y","Sort=A","Dates=H","DateFormat=P","Fill=—","Direction=H","UseDPDF=Y")</f>
        <v>#NAME?</v>
      </c>
      <c r="AY607" s="2" t="e">
        <f ca="1">_xll.BDH($C$603,"ACCOUNTS_PAYABLE_5_YEAR_GROWTH","FQ4 2014","FQ4 2014","Currency=INR","Period=FQ","BEST_FPERIOD_OVERRIDE=FQ","FILING_STATUS=OR","EQY_CONSOLIDATED=Y","Sort=A","Dates=H","DateFormat=P","Fill=—","Direction=H","UseDPDF=Y")</f>
        <v>#NAME?</v>
      </c>
      <c r="AZ607" s="2" t="e">
        <f ca="1">_xll.BDH($C$603,"SHORT_TERM_DEBT_5_YEAR_GROWTH","FQ4 2014","FQ4 2014","Currency=INR","Period=FQ","BEST_FPERIOD_OVERRIDE=FQ","FILING_STATUS=OR","EQY_CONSOLIDATED=Y","Sort=A","Dates=H","DateFormat=P","Fill=—","Direction=H","UseDPDF=Y")</f>
        <v>#NAME?</v>
      </c>
      <c r="BA607" s="2" t="e">
        <f ca="1">_xll.BDH($C$603,"TOTAL_DEBT_5_YEAR_GROWTH","FQ4 2014","FQ4 2014","Currency=INR","Period=FQ","BEST_FPERIOD_OVERRIDE=FQ","FILING_STATUS=OR","EQY_CONSOLIDATED=Y","Sort=A","Dates=H","DateFormat=P","Fill=—","Direction=H","UseDPDF=Y")</f>
        <v>#NAME?</v>
      </c>
      <c r="BB607" s="2" t="e">
        <f ca="1">_xll.BDH($C$603,"GEO_GROW_TOT_SHRHLDR_EQY","FQ4 2014","FQ4 2014","Currency=INR","Period=FQ","BEST_FPERIOD_OVERRIDE=FQ","FILING_STATUS=OR","EQY_CONSOLIDATED=Y","Sort=A","Dates=H","DateFormat=P","Fill=—","Direction=H","UseDPDF=Y")</f>
        <v>#NAME?</v>
      </c>
      <c r="BC607" s="2" t="e">
        <f ca="1">_xll.BDH($C$603,"TOTAL_CAPITAL_5_YEAR_GROWTH","FQ4 2014","FQ4 2014","Currency=INR","Period=FQ","BEST_FPERIOD_OVERRIDE=FQ","FILING_STATUS=OR","EQY_CONSOLIDATED=Y","Sort=A","Dates=H","DateFormat=P","Fill=—","Direction=H","UseDPDF=Y")</f>
        <v>#NAME?</v>
      </c>
      <c r="BD607" s="2" t="e">
        <f ca="1">_xll.BDH($C$603,"GEO_GROW_BOOK_VAL","FQ4 2014","FQ4 2014","Currency=INR","Period=FQ","BEST_FPERIOD_OVERRIDE=FQ","FILING_STATUS=OR","EQY_CONSOLIDATED=Y","Sort=A","Dates=H","DateFormat=P","Fill=—","Direction=H","UseDPDF=Y")</f>
        <v>#NAME?</v>
      </c>
      <c r="BE607" s="2" t="e">
        <f ca="1">_xll.BDH($C$603,"GEO_GROW_CASH_OPER_ACT","FQ4 2014","FQ4 2014","Currency=INR","Period=FQ","BEST_FPERIOD_OVERRIDE=FQ","FILING_STATUS=OR","EQY_CONSOLIDATED=Y","Sort=A","Dates=H","DateFormat=P","Fill=—","Direction=H","UseDPDF=Y")</f>
        <v>#NAME?</v>
      </c>
      <c r="BF607" s="2" t="e">
        <f ca="1">_xll.BDH($C$603,"REVENUE_SEQUENTIAL_GROWTH","FQ4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607" s="2" t="e">
        <f ca="1">_xll.BDH($C$603,"EBITDA_SEQUENTIAL_GROWTH","FQ4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607" s="2" t="e">
        <f ca="1">_xll.BDH($C$603,"OPERATING_INCOME_SEQ_GROWTH","FQ4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607" s="2" t="e">
        <f ca="1">_xll.BDH($C$603,"NET_INCOME_TO_COMMON_SEQ_GROWTH","FQ4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607" s="2" t="e">
        <f ca="1">_xll.BDH($C$603,"EPS_DILUTED_SEQUENTIAL_GROWTH","FQ4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607" s="2" t="e">
        <f ca="1">_xll.BDH($C$603,"DPS_SEQUENTIAL_GROWTH","FQ4 2014","FQ4 2014","Currency=INR","Period=FQ","BEST_FPERIOD_OVERRIDE=FQ","FILING_STATUS=OR","EQY_CONSOLIDATED=Y","Sort=A","Dates=H","DateFormat=P","Fill=—","Direction=H","UseDPDF=Y")</f>
        <v>#NAME?</v>
      </c>
      <c r="BL607" s="2" t="e">
        <f ca="1">_xll.BDH($C$603,"ACCOUNTS_RECEIVABLE_SEQ_GROWTH","FQ4 2014","FQ4 2014","Currency=INR","Period=FQ","BEST_FPERIOD_OVERRIDE=FQ","FILING_STATUS=OR","EQY_CONSOLIDATED=Y","Sort=A","Dates=H","DateFormat=P","Fill=—","Direction=H","UseDPDF=Y")</f>
        <v>#NAME?</v>
      </c>
      <c r="BM607" s="2" t="e">
        <f ca="1">_xll.BDH($C$603,"INVENTORY_SEQUENTIAL_GROWTH","FQ4 2014","FQ4 2014","Currency=INR","Period=FQ","BEST_FPERIOD_OVERRIDE=FQ","FILING_STATUS=OR","EQY_CONSOLIDATED=Y","Sort=A","Dates=H","DateFormat=P","Fill=—","Direction=H","UseDPDF=Y")</f>
        <v>#NAME?</v>
      </c>
      <c r="BN607" s="2" t="e">
        <f ca="1">_xll.BDH($C$603,"FIXED_ASSETS_SEQUENTIAL_GROWTH","FQ4 2014","FQ4 2014","Currency=INR","Period=FQ","BEST_FPERIOD_OVERRIDE=FQ","FILING_STATUS=OR","EQY_CONSOLIDATED=Y","Sort=A","Dates=H","DateFormat=P","Fill=—","Direction=H","UseDPDF=Y")</f>
        <v>#NAME?</v>
      </c>
      <c r="BO607" s="2" t="e">
        <f ca="1">_xll.BDH($C$603,"TOTAL_ASSETS_SEQUENTIAL_GROWTH","FQ4 2014","FQ4 2014","Currency=INR","Period=FQ","BEST_FPERIOD_OVERRIDE=FQ","FILING_STATUS=OR","EQY_CONSOLIDATED=Y","Sort=A","Dates=H","DateFormat=P","Fill=—","Direction=H","UseDPDF=Y")</f>
        <v>#NAME?</v>
      </c>
      <c r="BP607" s="2" t="e">
        <f ca="1">_xll.BDH($C$603,"MODIFIED_WORKING_CPTL_SEQ_GRWTH","FQ4 2014","FQ4 2014","Currency=INR","Period=FQ","BEST_FPERIOD_OVERRIDE=FQ","FILING_STATUS=OR","EQY_CONSOLIDATED=Y","Sort=A","Dates=H","DateFormat=P","Fill=—","Direction=H","UseDPDF=Y")</f>
        <v>#NAME?</v>
      </c>
      <c r="BQ607" s="2" t="e">
        <f ca="1">_xll.BDH($C$603,"WORKING_CAPITAL_SEQ_GROWTH","FQ4 2014","FQ4 2014","Currency=INR","Period=FQ","BEST_FPERIOD_OVERRIDE=FQ","FILING_STATUS=OR","EQY_CONSOLIDATED=Y","Sort=A","Dates=H","DateFormat=P","Fill=—","Direction=H","UseDPDF=Y")</f>
        <v>#NAME?</v>
      </c>
      <c r="BR607" s="2" t="e">
        <f ca="1">_xll.BDH($C$603,"ACCOUNTS_PAYABLE_SEQ_GROWTH","FQ4 2014","FQ4 2014","Currency=INR","Period=FQ","BEST_FPERIOD_OVERRIDE=FQ","FILING_STATUS=OR","EQY_CONSOLIDATED=Y","Sort=A","Dates=H","DateFormat=P","Fill=—","Direction=H","UseDPDF=Y")</f>
        <v>#NAME?</v>
      </c>
      <c r="BS607" s="2" t="e">
        <f ca="1">_xll.BDH($C$603,"ST_DEBT_SEQUENTIAL_GROWTH","FQ4 2014","FQ4 2014","Currency=INR","Period=FQ","BEST_FPERIOD_OVERRIDE=FQ","FILING_STATUS=OR","EQY_CONSOLIDATED=Y","Sort=A","Dates=H","DateFormat=P","Fill=—","Direction=H","UseDPDF=Y")</f>
        <v>#NAME?</v>
      </c>
      <c r="BT607" s="2" t="e">
        <f ca="1">_xll.BDH($C$603,"TOTAL_DEBT_SEQUENTIAL_GROWTH","FQ4 2014","FQ4 2014","Currency=INR","Period=FQ","BEST_FPERIOD_OVERRIDE=FQ","FILING_STATUS=OR","EQY_CONSOLIDATED=Y","Sort=A","Dates=H","DateFormat=P","Fill=—","Direction=H","UseDPDF=Y")</f>
        <v>#NAME?</v>
      </c>
      <c r="BU607" s="2" t="e">
        <f ca="1">_xll.BDH($C$603,"TOTAL_EQUITY_SEQUENTIAL_GROWTH","FQ4 2014","FQ4 2014","Currency=INR","Period=FQ","BEST_FPERIOD_OVERRIDE=FQ","FILING_STATUS=OR","EQY_CONSOLIDATED=Y","Sort=A","Dates=H","DateFormat=P","Fill=—","Direction=H","UseDPDF=Y")</f>
        <v>#NAME?</v>
      </c>
      <c r="BV607" s="2" t="e">
        <f ca="1">_xll.BDH($C$603,"TOTAL_CAPITAL_SEQUENTIAL_GROWTH","FQ4 2014","FQ4 2014","Currency=INR","Period=FQ","BEST_FPERIOD_OVERRIDE=FQ","FILING_STATUS=OR","EQY_CONSOLIDATED=Y","Sort=A","Dates=H","DateFormat=P","Fill=—","Direction=H","UseDPDF=Y")</f>
        <v>#NAME?</v>
      </c>
      <c r="BW607" s="2" t="e">
        <f ca="1">_xll.BDH($C$603,"BPS_SEQUENTIAL_GROWTH","FQ4 2014","FQ4 2014","Currency=INR","Period=FQ","BEST_FPERIOD_OVERRIDE=FQ","FILING_STATUS=OR","EQY_CONSOLIDATED=Y","Sort=A","Dates=H","DateFormat=P","Fill=—","Direction=H","UseDPDF=Y")</f>
        <v>#NAME?</v>
      </c>
      <c r="BX607" s="2" t="e">
        <f ca="1">_xll.BDH($C$603,"CFO_SEQUENTIAL_GROWTH","FQ4 2014","FQ4 2014","Currency=INR","Period=FQ","BEST_FPERIOD_OVERRIDE=FQ","FILING_STATUS=OR","EQY_CONSOLIDATED=Y","Sort=A","Dates=H","DateFormat=P","Fill=—","Direction=H","UseDPDF=Y")</f>
        <v>#NAME?</v>
      </c>
      <c r="BY607" s="3" t="e">
        <f ca="1">_xll.BDH($C$603,"SHORT_AND_LONG_TERM_DEBT","FQ4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607" s="3" t="e">
        <f ca="1">_xll.BDH($C$603,"BS_ST_BORROW","FQ4 2014","FQ4 2014","Currency=INR","Period=FQ","BEST_FPERIOD_OVERRIDE=FQ","FILING_STATUS=OR","EQY_CONSOLIDATED=Y","SCALING_FORMAT=MLN","Sort=A","Dates=H","DateFormat=P","Fill=—","Direction=H","UseDPDF=Y")</f>
        <v>#NAME?</v>
      </c>
      <c r="CA607" s="3" t="e">
        <f ca="1">_xll.BDH($C$603,"BS_LT_BORROW","FQ4 2014","FQ4 2014","Currency=INR","Period=FQ","BEST_FPERIOD_OVERRIDE=FQ","FILING_STATUS=OR","EQY_CONSOLIDATED=Y","SCALING_FORMAT=MLN","Sort=A","Dates=H","DateFormat=P","Fill=—","Direction=H","UseDPDF=Y")</f>
        <v>#NAME?</v>
      </c>
      <c r="CB607" s="2" t="e">
        <f ca="1">_xll.BDH($C$603,"TOT_DEBT_TO_EBITDA","FQ4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607" s="2" t="e">
        <f ca="1">_xll.BDH($C$603,"NET_DEBT_TO_EBITDA","FQ4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607" s="2" t="e">
        <f ca="1">_xll.BDH($C$603,"TOTAL_DEBT_TO_EBIT","FQ4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607" s="2" t="e">
        <f ca="1">_xll.BDH($C$603,"NET_DEBT_TO_EBIT","FQ4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607" s="2" t="e">
        <f ca="1">_xll.BDH($C$603,"EBITDA_TO_INTEREST_EXPN","FQ4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607" s="2" t="e">
        <f ca="1">_xll.BDH($C$603,"COM_EQY_TO_TOT_ASSET","FQ4 2014","FQ4 2014","Currency=INR","Period=FQ","BEST_FPERIOD_OVERRIDE=FQ","FILING_STATUS=OR","EQY_CONSOLIDATED=Y","Sort=A","Dates=H","DateFormat=P","Fill=—","Direction=H","UseDPDF=Y")</f>
        <v>#NAME?</v>
      </c>
      <c r="CH607" s="2" t="e">
        <f ca="1">_xll.BDH($C$603,"LT_DEBT_TO_TOT_EQY","FQ4 2014","FQ4 2014","Currency=INR","Period=FQ","BEST_FPERIOD_OVERRIDE=FQ","FILING_STATUS=OR","EQY_CONSOLIDATED=Y","Sort=A","Dates=H","DateFormat=P","Fill=—","Direction=H","UseDPDF=Y")</f>
        <v>#NAME?</v>
      </c>
      <c r="CI607" s="2" t="e">
        <f ca="1">_xll.BDH($C$603,"LT_DEBT_TO_TOT_CAP","FQ4 2014","FQ4 2014","Currency=INR","Period=FQ","BEST_FPERIOD_OVERRIDE=FQ","FILING_STATUS=OR","EQY_CONSOLIDATED=Y","Sort=A","Dates=H","DateFormat=P","Fill=—","Direction=H","UseDPDF=Y")</f>
        <v>#NAME?</v>
      </c>
      <c r="CJ607" s="2" t="e">
        <f ca="1">_xll.BDH($C$603,"LT_DEBT_TO_TOT_ASSET","FQ4 2014","FQ4 2014","Currency=INR","Period=FQ","BEST_FPERIOD_OVERRIDE=FQ","FILING_STATUS=OR","EQY_CONSOLIDATED=Y","Sort=A","Dates=H","DateFormat=P","Fill=—","Direction=H","UseDPDF=Y")</f>
        <v>#NAME?</v>
      </c>
      <c r="CK607" s="2" t="e">
        <f ca="1">_xll.BDH($C$603,"TOT_DEBT_TO_TOT_EQY","FQ4 2014","FQ4 2014","Currency=INR","Period=FQ","BEST_FPERIOD_OVERRIDE=FQ","FILING_STATUS=OR","EQY_CONSOLIDATED=Y","Sort=A","Dates=H","DateFormat=P","Fill=—","Direction=H","UseDPDF=Y")</f>
        <v>#NAME?</v>
      </c>
      <c r="CL607" s="2" t="e">
        <f ca="1">_xll.BDH($C$603,"TOT_DEBT_TO_TOT_CAP","FQ4 2014","FQ4 2014","Currency=INR","Period=FQ","BEST_FPERIOD_OVERRIDE=FQ","FILING_STATUS=OR","EQY_CONSOLIDATED=Y","Sort=A","Dates=H","DateFormat=P","Fill=—","Direction=H","UseDPDF=Y")</f>
        <v>#NAME?</v>
      </c>
      <c r="CM607" s="2" t="e">
        <f ca="1">_xll.BDH($C$603,"TOT_DEBT_TO_TOT_ASSET","FQ4 2014","FQ4 2014","Currency=INR","Period=FQ","BEST_FPERIOD_OVERRIDE=FQ","FILING_STATUS=OR","EQY_CONSOLIDATED=Y","Sort=A","Dates=H","DateFormat=P","Fill=—","Direction=H","UseDPDF=Y")</f>
        <v>#NAME?</v>
      </c>
      <c r="CN607" s="2" t="e">
        <f ca="1">_xll.BDH($C$603,"NET_DEBT_TO_SHRHLDR_EQTY","FQ4 2014","FQ4 2014","Currency=INR","Period=FQ","BEST_FPERIOD_OVERRIDE=FQ","FILING_STATUS=OR","EQY_CONSOLIDATED=Y","Sort=A","Dates=H","DateFormat=P","Fill=—","Direction=H","UseDPDF=Y")</f>
        <v>#NAME?</v>
      </c>
      <c r="CO607" s="2" t="e">
        <f ca="1">_xll.BDH($C$603,"NET_DEBT_%_CAPITAL","FQ4 2014","FQ4 2014","Currency=INR","Period=FQ","BEST_FPERIOD_OVERRIDE=FQ","FILING_STATUS=OR","EQY_CONSOLIDATED=Y","Sort=A","Dates=H","DateFormat=P","Fill=—","Direction=H","UseDPDF=Y")</f>
        <v>#NAME?</v>
      </c>
      <c r="CP607" s="3" t="e">
        <f ca="1">_xll.BDH($C$603,"EBITDA","FQ4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607" s="3" t="e">
        <f ca="1">_xll.BDH($C$603,"EBITDA_AFTER_CAPEX","FQ4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607" s="3" t="e">
        <f ca="1">_xll.BDH($C$603,"IS_OPER_INC","FQ4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607" s="2" t="e">
        <f ca="1">_xll.BDH($C$603,"CASH_RATIO","FQ4 2014","FQ4 2014","Currency=INR","Period=FQ","BEST_FPERIOD_OVERRIDE=FQ","FILING_STATUS=OR","EQY_CONSOLIDATED=Y","Sort=A","Dates=H","DateFormat=P","Fill=—","Direction=H","UseDPDF=Y")</f>
        <v>#NAME?</v>
      </c>
      <c r="CT607" s="2" t="e">
        <f ca="1">_xll.BDH($C$603,"CUR_RATIO","FQ4 2014","FQ4 2014","Currency=INR","Period=FQ","BEST_FPERIOD_OVERRIDE=FQ","FILING_STATUS=OR","EQY_CONSOLIDATED=Y","Sort=A","Dates=H","DateFormat=P","Fill=—","Direction=H","UseDPDF=Y")</f>
        <v>#NAME?</v>
      </c>
      <c r="CU607" s="2" t="e">
        <f ca="1">_xll.BDH($C$603,"QUICK_RATIO","FQ4 2014","FQ4 2014","Currency=INR","Period=FQ","BEST_FPERIOD_OVERRIDE=FQ","FILING_STATUS=OR","EQY_CONSOLIDATED=Y","Sort=A","Dates=H","DateFormat=P","Fill=—","Direction=H","UseDPDF=Y")</f>
        <v>#NAME?</v>
      </c>
      <c r="CV607" s="2" t="e">
        <f ca="1">_xll.BDH($C$603,"ALTMAN_Z_SCORE","FQ4 2014","FQ4 2014","Currency=INR","Period=FQ","BEST_FPERIOD_OVERRIDE=FQ","FILING_STATUS=OR","EQY_CONSOLIDATED=Y","Sort=A","Dates=H","DateFormat=P","Fill=—","Direction=H","UseDPDF=Y")</f>
        <v>#NAME?</v>
      </c>
      <c r="CW607" s="4" t="e">
        <f ca="1">_xll.BDH($C$603,"ACCT_RCV_TURN","FQ4 2014","FQ4 2014","Currency=INR","Period=FQ","BEST_FPERIOD_OVERRIDE=FQ","FILING_STATUS=OR","EQY_CONSOLIDATED=Y","FA_ADJUSTED=GAAP","Sort=A","Dates=H","DateFormat=P","Fill=—","Direction=H","UseDPDF=Y")</f>
        <v>#NAME?</v>
      </c>
      <c r="CX607" s="2" t="e">
        <f ca="1">_xll.BDH($C$603,"ACCT_RCV_DAYS","FQ4 2014","FQ4 2014","Currency=INR","Period=FQ","BEST_FPERIOD_OVERRIDE=FQ","FILING_STATUS=OR","EQY_CONSOLIDATED=Y","FA_ADJUSTED=GAAP","Sort=A","Dates=H","DateFormat=P","Fill=—","Direction=H","UseDPDF=Y")</f>
        <v>#NAME?</v>
      </c>
      <c r="CY607" s="4" t="e">
        <f ca="1">_xll.BDH($C$603,"INVENT_TURN","FQ4 2014","FQ4 2014","Currency=INR","Period=FQ","BEST_FPERIOD_OVERRIDE=FQ","FILING_STATUS=OR","EQY_CONSOLIDATED=Y","FA_ADJUSTED=GAAP","Sort=A","Dates=H","DateFormat=P","Fill=—","Direction=H","UseDPDF=Y")</f>
        <v>#NAME?</v>
      </c>
      <c r="CZ607" s="2" t="e">
        <f ca="1">_xll.BDH($C$603,"INVENT_DAYS","FQ4 2014","FQ4 2014","Currency=INR","Period=FQ","BEST_FPERIOD_OVERRIDE=FQ","FILING_STATUS=OR","EQY_CONSOLIDATED=Y","FA_ADJUSTED=GAAP","Sort=A","Dates=H","DateFormat=P","Fill=—","Direction=H","UseDPDF=Y")</f>
        <v>#NAME?</v>
      </c>
      <c r="DA607" s="4" t="e">
        <f ca="1">_xll.BDH($C$603,"ACCOUNTS_PAYABLE_TURNOVER","FQ4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607" s="2" t="e">
        <f ca="1">_xll.BDH($C$603,"ACCOUNTS_PAYABLE_TURNOVER_DAYS","FQ4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607" s="4" t="e">
        <f ca="1">_xll.BDH($C$603,"CASH_CONVERSION_CYCLE","FQ4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607" s="4" t="e">
        <f ca="1">_xll.BDH($C$603,"INV_TO_CASH_DAYS","FQ4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607" s="5" t="e">
        <f ca="1">_xll.BDH($C$603,"BS_INVENTORIES","FQ4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607" s="3" t="e">
        <f ca="1">_xll.BDH($C$603,"INVTRY_RAW_MATERIALS","FQ4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607" s="3" t="e">
        <f ca="1">_xll.BDH($C$603,"INVTRY_IN_PROGRESS","FQ4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607" s="3" t="e">
        <f ca="1">_xll.BDH($C$603,"INVTRY_FINISHED_GOODS","FQ4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607" s="3" t="e">
        <f ca="1">_xll.BDH($C$603,"BS_OTHER_INV","FQ4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608" spans="1:113" x14ac:dyDescent="0.3">
      <c r="A608" s="6"/>
      <c r="B608" s="6"/>
      <c r="C608" s="6"/>
      <c r="D608" s="6" t="s">
        <v>82</v>
      </c>
      <c r="E608" t="s">
        <v>77</v>
      </c>
      <c r="F608" t="e">
        <f ca="1">_xll.BDH($C$603,"RETURN_COM_EQY","FY 2015","FY 2015","Currency=INR","Period=FY","BEST_FPERIOD_OVERRIDE=FY","FILING_STATUS=OR","EQY_CONSOLIDATED=Y","FA_ADJUSTED=GAAP","Sort=A","Dates=H","DateFormat=P","Fill=—","Direction=H","UseDPDF=Y")</f>
        <v>#NAME?</v>
      </c>
      <c r="G608" t="e">
        <f ca="1">_xll.BDH($C$603,"RETURN_ON_ASSET","FY 2015","FY 2015","Currency=INR","Period=FY","BEST_FPERIOD_OVERRIDE=FY","FILING_STATUS=OR","EQY_CONSOLIDATED=Y","FA_ADJUSTED=GAAP","Sort=A","Dates=H","DateFormat=P","Fill=—","Direction=H","UseDPDF=Y")</f>
        <v>#NAME?</v>
      </c>
      <c r="H608" t="e">
        <f ca="1">_xll.BDH($C$603,"RETURN_ON_CAP","FY 2015","FY 2015","Currency=INR","Period=FY","BEST_FPERIOD_OVERRIDE=FY","FILING_STATUS=OR","EQY_CONSOLIDATED=Y","FA_ADJUSTED=GAAP","Sort=A","Dates=H","DateFormat=P","Fill=—","Direction=H","UseDPDF=Y")</f>
        <v>#NAME?</v>
      </c>
      <c r="I608" t="e">
        <f ca="1">_xll.BDH($C$603,"RETURN_ON_INV_CAPITAL","FY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608" t="e">
        <f ca="1">_xll.BDH($C$603,"EBITDA_TO_REVENUE","FY 2015","FY 2015","Currency=INR","Period=FY","BEST_FPERIOD_OVERRIDE=FY","FILING_STATUS=OR","EQY_CONSOLIDATED=Y","FA_ADJUSTED=GAAP","Sort=A","Dates=H","DateFormat=P","Fill=—","Direction=H","UseDPDF=Y")</f>
        <v>#NAME?</v>
      </c>
      <c r="K608" t="e">
        <f ca="1">_xll.BDH($C$603,"OPER_MARGIN","FY 2015","FY 2015","Currency=INR","Period=FY","BEST_FPERIOD_OVERRIDE=FY","FILING_STATUS=OR","EQY_CONSOLIDATED=Y","FA_ADJUSTED=GAAP","Sort=A","Dates=H","DateFormat=P","Fill=—","Direction=H","UseDPDF=Y")</f>
        <v>#NAME?</v>
      </c>
      <c r="L608" t="e">
        <f ca="1">_xll.BDH($C$603,"INCREMENTAL_OPERATING_MARGIN","FY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608" t="e">
        <f ca="1">_xll.BDH($C$603,"PRETAX_INC_TO_NET_SALES","FY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608" t="e">
        <f ca="1">_xll.BDH($C$603,"INC_BEF_XO_ITEMS_TO_NET_SALES","FY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608" t="e">
        <f ca="1">_xll.BDH($C$603,"PROF_MARGIN","FY 2015","FY 2015","Currency=INR","Period=FY","BEST_FPERIOD_OVERRIDE=FY","FILING_STATUS=OR","EQY_CONSOLIDATED=Y","FA_ADJUSTED=GAAP","Sort=A","Dates=H","DateFormat=P","Fill=—","Direction=H","UseDPDF=Y")</f>
        <v>#NAME?</v>
      </c>
      <c r="P608" t="e">
        <f ca="1">_xll.BDH($C$603,"NET_INCOME_TO_COMMON_MARGIN","FY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608" t="e">
        <f ca="1">_xll.BDH($C$603,"EFF_TAX_RATE","FY 2015","FY 2015","Currency=INR","Period=FY","BEST_FPERIOD_OVERRIDE=FY","FILING_STATUS=OR","EQY_CONSOLIDATED=Y","FA_ADJUSTED=GAAP","Sort=A","Dates=H","DateFormat=P","Fill=—","Direction=H","UseDPDF=Y")</f>
        <v>#NAME?</v>
      </c>
      <c r="R608" t="e">
        <f ca="1">_xll.BDH($C$603,"DVD_PAYOUT_RATIO","FY 2015","FY 2015","Currency=INR","Period=FY","BEST_FPERIOD_OVERRIDE=FY","FILING_STATUS=OR","EQY_CONSOLIDATED=Y","FA_ADJUSTED=GAAP","Sort=A","Dates=H","DateFormat=P","Fill=—","Direction=H","UseDPDF=Y")</f>
        <v>#NAME?</v>
      </c>
      <c r="S608" t="e">
        <f ca="1">_xll.BDH($C$603,"SUSTAIN_GROWTH_RT","FY 2015","FY 2015","Currency=INR","Period=FY","BEST_FPERIOD_OVERRIDE=FY","FILING_STATUS=OR","EQY_CONSOLIDATED=Y","FA_ADJUSTED=GAAP","Sort=A","Dates=H","DateFormat=P","Fill=—","Direction=H","UseDPDF=Y")</f>
        <v>#NAME?</v>
      </c>
      <c r="T608" s="2" t="e">
        <f ca="1">_xll.BDH($C$603,"SALES_GROWTH","FY 2015","FY 2015","Currency=INR","Period=FY","BEST_FPERIOD_OVERRIDE=FY","FILING_STATUS=OR","EQY_CONSOLIDATED=Y","FA_ADJUSTED=GAAP","Sort=A","Dates=H","DateFormat=P","Fill=—","Direction=H","UseDPDF=Y")</f>
        <v>#NAME?</v>
      </c>
      <c r="U608" s="2" t="e">
        <f ca="1">_xll.BDH($C$603,"EBITDA_GROWTH","FY 2015","FY 2015","Currency=INR","Period=FY","BEST_FPERIOD_OVERRIDE=FY","FILING_STATUS=OR","EQY_CONSOLIDATED=Y","FA_ADJUSTED=GAAP","Sort=A","Dates=H","DateFormat=P","Fill=—","Direction=H","UseDPDF=Y")</f>
        <v>#NAME?</v>
      </c>
      <c r="V608" s="2" t="e">
        <f ca="1">_xll.BDH($C$603,"OPER_INC_GROWTH","FY 2015","FY 2015","Currency=INR","Period=FY","BEST_FPERIOD_OVERRIDE=FY","FILING_STATUS=OR","EQY_CONSOLIDATED=Y","FA_ADJUSTED=GAAP","Sort=A","Dates=H","DateFormat=P","Fill=—","Direction=H","UseDPDF=Y")</f>
        <v>#NAME?</v>
      </c>
      <c r="W608" s="2" t="e">
        <f ca="1">_xll.BDH($C$603,"EARN_FOR_COM_GROWTH","FY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608" s="2" t="e">
        <f ca="1">_xll.BDH($C$603,"DILUTED_EPS_AFT_XO_ITEMS_GROWTH","FY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608" s="2" t="e">
        <f ca="1">_xll.BDH($C$603,"DIVIDEND_PER_SHARE_1_YEAR_GROWTH","FY 2015","FY 2015","Currency=INR","Period=FY","BEST_FPERIOD_OVERRIDE=FY","FILING_STATUS=OR","EQY_CONSOLIDATED=Y","Sort=A","Dates=H","DateFormat=P","Fill=—","Direction=H","UseDPDF=Y")</f>
        <v>#NAME?</v>
      </c>
      <c r="Z608" s="2" t="e">
        <f ca="1">_xll.BDH($C$603,"ACCOUNTS_RECEIVABLE_GROWTH","FY 2015","FY 2015","Currency=INR","Period=FY","BEST_FPERIOD_OVERRIDE=FY","FILING_STATUS=OR","EQY_CONSOLIDATED=Y","Sort=A","Dates=H","DateFormat=P","Fill=—","Direction=H","UseDPDF=Y")</f>
        <v>#NAME?</v>
      </c>
      <c r="AA608" s="2" t="e">
        <f ca="1">_xll.BDH($C$603,"INVENTORY_GROWTH","FY 2015","FY 2015","Currency=INR","Period=FY","BEST_FPERIOD_OVERRIDE=FY","FILING_STATUS=OR","EQY_CONSOLIDATED=Y","Sort=A","Dates=H","DateFormat=P","Fill=—","Direction=H","UseDPDF=Y")</f>
        <v>#NAME?</v>
      </c>
      <c r="AB608" s="2" t="e">
        <f ca="1">_xll.BDH($C$603,"NET_FIXED_ASSETS_1_YEAR_GROWTH","FY 2015","FY 2015","Currency=INR","Period=FY","BEST_FPERIOD_OVERRIDE=FY","FILING_STATUS=OR","EQY_CONSOLIDATED=Y","Sort=A","Dates=H","DateFormat=P","Fill=—","Direction=H","UseDPDF=Y")</f>
        <v>#NAME?</v>
      </c>
      <c r="AC608" s="2" t="e">
        <f ca="1">_xll.BDH($C$603,"ASSET_GROWTH","FY 2015","FY 2015","Currency=INR","Period=FY","BEST_FPERIOD_OVERRIDE=FY","FILING_STATUS=OR","EQY_CONSOLIDATED=Y","Sort=A","Dates=H","DateFormat=P","Fill=—","Direction=H","UseDPDF=Y")</f>
        <v>#NAME?</v>
      </c>
      <c r="AD608" s="2" t="e">
        <f ca="1">_xll.BDH($C$603,"MODIFIED_WORK_CAP_GROWTH","FY 2015","FY 2015","Currency=INR","Period=FY","BEST_FPERIOD_OVERRIDE=FY","FILING_STATUS=OR","EQY_CONSOLIDATED=Y","Sort=A","Dates=H","DateFormat=P","Fill=—","Direction=H","UseDPDF=Y")</f>
        <v>#NAME?</v>
      </c>
      <c r="AE608" s="2" t="e">
        <f ca="1">_xll.BDH($C$603,"WORK_CAP_GROWTH","FY 2015","FY 2015","Currency=INR","Period=FY","BEST_FPERIOD_OVERRIDE=FY","FILING_STATUS=OR","EQY_CONSOLIDATED=Y","Sort=A","Dates=H","DateFormat=P","Fill=—","Direction=H","UseDPDF=Y")</f>
        <v>#NAME?</v>
      </c>
      <c r="AF608" s="2" t="e">
        <f ca="1">_xll.BDH($C$603,"ACCOUNTS_PAYABLE_GROWTH_1YR","FY 2015","FY 2015","Currency=INR","Period=FY","BEST_FPERIOD_OVERRIDE=FY","FILING_STATUS=OR","EQY_CONSOLIDATED=Y","Sort=A","Dates=H","DateFormat=P","Fill=—","Direction=H","UseDPDF=Y")</f>
        <v>#NAME?</v>
      </c>
      <c r="AG608" s="2" t="e">
        <f ca="1">_xll.BDH($C$603,"SHORT_TERM_DEBT_1_YEAR_GROWTH","FY 2015","FY 2015","Currency=INR","Period=FY","BEST_FPERIOD_OVERRIDE=FY","FILING_STATUS=OR","EQY_CONSOLIDATED=Y","Sort=A","Dates=H","DateFormat=P","Fill=—","Direction=H","UseDPDF=Y")</f>
        <v>#NAME?</v>
      </c>
      <c r="AH608" s="2" t="e">
        <f ca="1">_xll.BDH($C$603,"TOTAL_DEBT_1_YEAR_GROWTH","FY 2015","FY 2015","Currency=INR","Period=FY","BEST_FPERIOD_OVERRIDE=FY","FILING_STATUS=OR","EQY_CONSOLIDATED=Y","Sort=A","Dates=H","DateFormat=P","Fill=—","Direction=H","UseDPDF=Y")</f>
        <v>#NAME?</v>
      </c>
      <c r="AI608" s="2" t="e">
        <f ca="1">_xll.BDH($C$603,"TOTAL_EQUITY_1_YEAR_GROWTH","FY 2015","FY 2015","Currency=INR","Period=FY","BEST_FPERIOD_OVERRIDE=FY","FILING_STATUS=OR","EQY_CONSOLIDATED=Y","Sort=A","Dates=H","DateFormat=P","Fill=—","Direction=H","UseDPDF=Y")</f>
        <v>#NAME?</v>
      </c>
      <c r="AJ608" s="2" t="e">
        <f ca="1">_xll.BDH($C$603,"GROWTH_IN_CAP","FY 2015","FY 2015","Currency=INR","Period=FY","BEST_FPERIOD_OVERRIDE=FY","FILING_STATUS=OR","EQY_CONSOLIDATED=Y","Sort=A","Dates=H","DateFormat=P","Fill=—","Direction=H","UseDPDF=Y")</f>
        <v>#NAME?</v>
      </c>
      <c r="AK608" s="2" t="e">
        <f ca="1">_xll.BDH($C$603,"BVPS_GROWTH","FY 2015","FY 2015","Currency=INR","Period=FY","BEST_FPERIOD_OVERRIDE=FY","FILING_STATUS=OR","EQY_CONSOLIDATED=Y","Sort=A","Dates=H","DateFormat=P","Fill=—","Direction=H","UseDPDF=Y")</f>
        <v>#NAME?</v>
      </c>
      <c r="AL608" s="2" t="e">
        <f ca="1">_xll.BDH($C$603,"CASH_FLOW_GROWTH","FY 2015","FY 2015","Currency=INR","Period=FY","BEST_FPERIOD_OVERRIDE=FY","FILING_STATUS=OR","EQY_CONSOLIDATED=Y","Sort=A","Dates=H","DateFormat=P","Fill=—","Direction=H","UseDPDF=Y")</f>
        <v>#NAME?</v>
      </c>
      <c r="AM608" s="2" t="e">
        <f ca="1">_xll.BDH($C$603,"GEO_GROW_NET_SALES","FY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608" s="2" t="e">
        <f ca="1">_xll.BDH($C$603,"GEO_GROW_EBITDA","FY 2015","FY 2015","Currency=INR","Period=FY","BEST_FPERIOD_OVERRIDE=FY","FILING_STATUS=OR","EQY_CONSOLIDATED=Y","FA_ADJUSTED=GAAP","Sort=A","Dates=H","DateFormat=P","Fill=—","Direction=H","UseDPDF=Y")</f>
        <v>#NAME?</v>
      </c>
      <c r="AO608" s="2" t="e">
        <f ca="1">_xll.BDH($C$603,"GEO_GROW_OPER_INC","FY 2015","FY 2015","Currency=INR","Period=FY","BEST_FPERIOD_OVERRIDE=FY","FILING_STATUS=OR","EQY_CONSOLIDATED=Y","FA_ADJUSTED=GAAP","Sort=A","Dates=H","DateFormat=P","Fill=—","Direction=H","UseDPDF=Y")</f>
        <v>#NAME?</v>
      </c>
      <c r="AP608" s="2" t="e">
        <f ca="1">_xll.BDH($C$603,"NET_INCOME_TO_COMMON_5_YR_GROWTH","FY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608" s="2" t="e">
        <f ca="1">_xll.BDH($C$603,"5Y_GEO_GROWTH_DILUTED_EPS","FY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608" s="2" t="e">
        <f ca="1">_xll.BDH($C$603,"GEO_GROW_DVD_PER_SH","FY 2015","FY 2015","Currency=INR","Period=FY","BEST_FPERIOD_OVERRIDE=FY","FILING_STATUS=OR","EQY_CONSOLIDATED=Y","Sort=A","Dates=H","DateFormat=P","Fill=—","Direction=H","UseDPDF=Y")</f>
        <v>#NAME?</v>
      </c>
      <c r="AS608" s="2" t="e">
        <f ca="1">_xll.BDH($C$603,"ACCOUNTS_RECEIVABLE_5_YR_GROWTH","FY 2015","FY 2015","Currency=INR","Period=FY","BEST_FPERIOD_OVERRIDE=FY","FILING_STATUS=OR","EQY_CONSOLIDATED=Y","Sort=A","Dates=H","DateFormat=P","Fill=—","Direction=H","UseDPDF=Y")</f>
        <v>#NAME?</v>
      </c>
      <c r="AT608" s="2" t="e">
        <f ca="1">_xll.BDH($C$603,"INVENTORY_5_YEAR_GROWTH","FY 2015","FY 2015","Currency=INR","Period=FY","BEST_FPERIOD_OVERRIDE=FY","FILING_STATUS=OR","EQY_CONSOLIDATED=Y","Sort=A","Dates=H","DateFormat=P","Fill=—","Direction=H","UseDPDF=Y")</f>
        <v>#NAME?</v>
      </c>
      <c r="AU608" s="2" t="e">
        <f ca="1">_xll.BDH($C$603,"NET_FIXED_ASSETS_5_YEAR_GROWTH","FY 2015","FY 2015","Currency=INR","Period=FY","BEST_FPERIOD_OVERRIDE=FY","FILING_STATUS=OR","EQY_CONSOLIDATED=Y","Sort=A","Dates=H","DateFormat=P","Fill=—","Direction=H","UseDPDF=Y")</f>
        <v>#NAME?</v>
      </c>
      <c r="AV608" s="2" t="e">
        <f ca="1">_xll.BDH($C$603,"GEO_GROW_TOT_ASSET","FY 2015","FY 2015","Currency=INR","Period=FY","BEST_FPERIOD_OVERRIDE=FY","FILING_STATUS=OR","EQY_CONSOLIDATED=Y","Sort=A","Dates=H","DateFormat=P","Fill=—","Direction=H","UseDPDF=Y")</f>
        <v>#NAME?</v>
      </c>
      <c r="AW608" s="2" t="e">
        <f ca="1">_xll.BDH($C$603,"MODIFIED_WORKING_CPTL_5YR_GRWTH","FY 2015","FY 2015","Currency=INR","Period=FY","BEST_FPERIOD_OVERRIDE=FY","FILING_STATUS=OR","EQY_CONSOLIDATED=Y","Sort=A","Dates=H","DateFormat=P","Fill=—","Direction=H","UseDPDF=Y")</f>
        <v>#NAME?</v>
      </c>
      <c r="AX608" s="2" t="e">
        <f ca="1">_xll.BDH($C$603,"WORKING_CAPITAL_5_YEAR_GROWTH","FY 2015","FY 2015","Currency=INR","Period=FY","BEST_FPERIOD_OVERRIDE=FY","FILING_STATUS=OR","EQY_CONSOLIDATED=Y","Sort=A","Dates=H","DateFormat=P","Fill=—","Direction=H","UseDPDF=Y")</f>
        <v>#NAME?</v>
      </c>
      <c r="AY608" s="2" t="e">
        <f ca="1">_xll.BDH($C$603,"ACCOUNTS_PAYABLE_5_YEAR_GROWTH","FY 2015","FY 2015","Currency=INR","Period=FY","BEST_FPERIOD_OVERRIDE=FY","FILING_STATUS=OR","EQY_CONSOLIDATED=Y","Sort=A","Dates=H","DateFormat=P","Fill=—","Direction=H","UseDPDF=Y")</f>
        <v>#NAME?</v>
      </c>
      <c r="AZ608" s="2" t="e">
        <f ca="1">_xll.BDH($C$603,"SHORT_TERM_DEBT_5_YEAR_GROWTH","FY 2015","FY 2015","Currency=INR","Period=FY","BEST_FPERIOD_OVERRIDE=FY","FILING_STATUS=OR","EQY_CONSOLIDATED=Y","Sort=A","Dates=H","DateFormat=P","Fill=—","Direction=H","UseDPDF=Y")</f>
        <v>#NAME?</v>
      </c>
      <c r="BA608" s="2" t="e">
        <f ca="1">_xll.BDH($C$603,"TOTAL_DEBT_5_YEAR_GROWTH","FY 2015","FY 2015","Currency=INR","Period=FY","BEST_FPERIOD_OVERRIDE=FY","FILING_STATUS=OR","EQY_CONSOLIDATED=Y","Sort=A","Dates=H","DateFormat=P","Fill=—","Direction=H","UseDPDF=Y")</f>
        <v>#NAME?</v>
      </c>
      <c r="BB608" s="2" t="e">
        <f ca="1">_xll.BDH($C$603,"GEO_GROW_TOT_SHRHLDR_EQY","FY 2015","FY 2015","Currency=INR","Period=FY","BEST_FPERIOD_OVERRIDE=FY","FILING_STATUS=OR","EQY_CONSOLIDATED=Y","Sort=A","Dates=H","DateFormat=P","Fill=—","Direction=H","UseDPDF=Y")</f>
        <v>#NAME?</v>
      </c>
      <c r="BC608" s="2" t="e">
        <f ca="1">_xll.BDH($C$603,"TOTAL_CAPITAL_5_YEAR_GROWTH","FY 2015","FY 2015","Currency=INR","Period=FY","BEST_FPERIOD_OVERRIDE=FY","FILING_STATUS=OR","EQY_CONSOLIDATED=Y","Sort=A","Dates=H","DateFormat=P","Fill=—","Direction=H","UseDPDF=Y")</f>
        <v>#NAME?</v>
      </c>
      <c r="BD608" s="2" t="e">
        <f ca="1">_xll.BDH($C$603,"GEO_GROW_BOOK_VAL","FY 2015","FY 2015","Currency=INR","Period=FY","BEST_FPERIOD_OVERRIDE=FY","FILING_STATUS=OR","EQY_CONSOLIDATED=Y","Sort=A","Dates=H","DateFormat=P","Fill=—","Direction=H","UseDPDF=Y")</f>
        <v>#NAME?</v>
      </c>
      <c r="BE608" s="2" t="e">
        <f ca="1">_xll.BDH($C$603,"GEO_GROW_CASH_OPER_ACT","FY 2015","FY 2015","Currency=INR","Period=FY","BEST_FPERIOD_OVERRIDE=FY","FILING_STATUS=OR","EQY_CONSOLIDATED=Y","Sort=A","Dates=H","DateFormat=P","Fill=—","Direction=H","UseDPDF=Y")</f>
        <v>#NAME?</v>
      </c>
      <c r="BF608" s="2" t="e">
        <f ca="1">_xll.BDH($C$603,"REVENUE_SEQUENTIAL_GROWTH","FY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608" s="2" t="e">
        <f ca="1">_xll.BDH($C$603,"EBITDA_SEQUENTIAL_GROWTH","FY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608" s="2" t="e">
        <f ca="1">_xll.BDH($C$603,"OPERATING_INCOME_SEQ_GROWTH","FY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608" s="2" t="e">
        <f ca="1">_xll.BDH($C$603,"NET_INCOME_TO_COMMON_SEQ_GROWTH","FY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608" s="2" t="e">
        <f ca="1">_xll.BDH($C$603,"EPS_DILUTED_SEQUENTIAL_GROWTH","FY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608" s="2" t="e">
        <f ca="1">_xll.BDH($C$603,"DPS_SEQUENTIAL_GROWTH","FY 2015","FY 2015","Currency=INR","Period=FY","BEST_FPERIOD_OVERRIDE=FY","FILING_STATUS=OR","EQY_CONSOLIDATED=Y","Sort=A","Dates=H","DateFormat=P","Fill=—","Direction=H","UseDPDF=Y")</f>
        <v>#NAME?</v>
      </c>
      <c r="BL608" s="2" t="e">
        <f ca="1">_xll.BDH($C$603,"ACCOUNTS_RECEIVABLE_SEQ_GROWTH","FY 2015","FY 2015","Currency=INR","Period=FY","BEST_FPERIOD_OVERRIDE=FY","FILING_STATUS=OR","EQY_CONSOLIDATED=Y","Sort=A","Dates=H","DateFormat=P","Fill=—","Direction=H","UseDPDF=Y")</f>
        <v>#NAME?</v>
      </c>
      <c r="BM608" s="2" t="e">
        <f ca="1">_xll.BDH($C$603,"INVENTORY_SEQUENTIAL_GROWTH","FY 2015","FY 2015","Currency=INR","Period=FY","BEST_FPERIOD_OVERRIDE=FY","FILING_STATUS=OR","EQY_CONSOLIDATED=Y","Sort=A","Dates=H","DateFormat=P","Fill=—","Direction=H","UseDPDF=Y")</f>
        <v>#NAME?</v>
      </c>
      <c r="BN608" s="2" t="e">
        <f ca="1">_xll.BDH($C$603,"FIXED_ASSETS_SEQUENTIAL_GROWTH","FY 2015","FY 2015","Currency=INR","Period=FY","BEST_FPERIOD_OVERRIDE=FY","FILING_STATUS=OR","EQY_CONSOLIDATED=Y","Sort=A","Dates=H","DateFormat=P","Fill=—","Direction=H","UseDPDF=Y")</f>
        <v>#NAME?</v>
      </c>
      <c r="BO608" s="2" t="e">
        <f ca="1">_xll.BDH($C$603,"TOTAL_ASSETS_SEQUENTIAL_GROWTH","FY 2015","FY 2015","Currency=INR","Period=FY","BEST_FPERIOD_OVERRIDE=FY","FILING_STATUS=OR","EQY_CONSOLIDATED=Y","Sort=A","Dates=H","DateFormat=P","Fill=—","Direction=H","UseDPDF=Y")</f>
        <v>#NAME?</v>
      </c>
      <c r="BP608" s="2" t="e">
        <f ca="1">_xll.BDH($C$603,"MODIFIED_WORKING_CPTL_SEQ_GRWTH","FY 2015","FY 2015","Currency=INR","Period=FY","BEST_FPERIOD_OVERRIDE=FY","FILING_STATUS=OR","EQY_CONSOLIDATED=Y","Sort=A","Dates=H","DateFormat=P","Fill=—","Direction=H","UseDPDF=Y")</f>
        <v>#NAME?</v>
      </c>
      <c r="BQ608" s="2" t="e">
        <f ca="1">_xll.BDH($C$603,"WORKING_CAPITAL_SEQ_GROWTH","FY 2015","FY 2015","Currency=INR","Period=FY","BEST_FPERIOD_OVERRIDE=FY","FILING_STATUS=OR","EQY_CONSOLIDATED=Y","Sort=A","Dates=H","DateFormat=P","Fill=—","Direction=H","UseDPDF=Y")</f>
        <v>#NAME?</v>
      </c>
      <c r="BR608" s="2" t="e">
        <f ca="1">_xll.BDH($C$603,"ACCOUNTS_PAYABLE_SEQ_GROWTH","FY 2015","FY 2015","Currency=INR","Period=FY","BEST_FPERIOD_OVERRIDE=FY","FILING_STATUS=OR","EQY_CONSOLIDATED=Y","Sort=A","Dates=H","DateFormat=P","Fill=—","Direction=H","UseDPDF=Y")</f>
        <v>#NAME?</v>
      </c>
      <c r="BS608" s="2" t="e">
        <f ca="1">_xll.BDH($C$603,"ST_DEBT_SEQUENTIAL_GROWTH","FY 2015","FY 2015","Currency=INR","Period=FY","BEST_FPERIOD_OVERRIDE=FY","FILING_STATUS=OR","EQY_CONSOLIDATED=Y","Sort=A","Dates=H","DateFormat=P","Fill=—","Direction=H","UseDPDF=Y")</f>
        <v>#NAME?</v>
      </c>
      <c r="BT608" s="2" t="e">
        <f ca="1">_xll.BDH($C$603,"TOTAL_DEBT_SEQUENTIAL_GROWTH","FY 2015","FY 2015","Currency=INR","Period=FY","BEST_FPERIOD_OVERRIDE=FY","FILING_STATUS=OR","EQY_CONSOLIDATED=Y","Sort=A","Dates=H","DateFormat=P","Fill=—","Direction=H","UseDPDF=Y")</f>
        <v>#NAME?</v>
      </c>
      <c r="BU608" s="2" t="e">
        <f ca="1">_xll.BDH($C$603,"TOTAL_EQUITY_SEQUENTIAL_GROWTH","FY 2015","FY 2015","Currency=INR","Period=FY","BEST_FPERIOD_OVERRIDE=FY","FILING_STATUS=OR","EQY_CONSOLIDATED=Y","Sort=A","Dates=H","DateFormat=P","Fill=—","Direction=H","UseDPDF=Y")</f>
        <v>#NAME?</v>
      </c>
      <c r="BV608" s="2" t="e">
        <f ca="1">_xll.BDH($C$603,"TOTAL_CAPITAL_SEQUENTIAL_GROWTH","FY 2015","FY 2015","Currency=INR","Period=FY","BEST_FPERIOD_OVERRIDE=FY","FILING_STATUS=OR","EQY_CONSOLIDATED=Y","Sort=A","Dates=H","DateFormat=P","Fill=—","Direction=H","UseDPDF=Y")</f>
        <v>#NAME?</v>
      </c>
      <c r="BW608" s="2" t="e">
        <f ca="1">_xll.BDH($C$603,"BPS_SEQUENTIAL_GROWTH","FY 2015","FY 2015","Currency=INR","Period=FY","BEST_FPERIOD_OVERRIDE=FY","FILING_STATUS=OR","EQY_CONSOLIDATED=Y","Sort=A","Dates=H","DateFormat=P","Fill=—","Direction=H","UseDPDF=Y")</f>
        <v>#NAME?</v>
      </c>
      <c r="BX608" s="2" t="e">
        <f ca="1">_xll.BDH($C$603,"CFO_SEQUENTIAL_GROWTH","FY 2015","FY 2015","Currency=INR","Period=FY","BEST_FPERIOD_OVERRIDE=FY","FILING_STATUS=OR","EQY_CONSOLIDATED=Y","Sort=A","Dates=H","DateFormat=P","Fill=—","Direction=H","UseDPDF=Y")</f>
        <v>#NAME?</v>
      </c>
      <c r="BY608" s="3" t="e">
        <f ca="1">_xll.BDH($C$603,"SHORT_AND_LONG_TERM_DEBT","FY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608" s="3" t="e">
        <f ca="1">_xll.BDH($C$603,"BS_ST_BORROW","FY 2015","FY 2015","Currency=INR","Period=FY","BEST_FPERIOD_OVERRIDE=FY","FILING_STATUS=OR","EQY_CONSOLIDATED=Y","SCALING_FORMAT=MLN","Sort=A","Dates=H","DateFormat=P","Fill=—","Direction=H","UseDPDF=Y")</f>
        <v>#NAME?</v>
      </c>
      <c r="CA608" s="3" t="e">
        <f ca="1">_xll.BDH($C$603,"BS_LT_BORROW","FY 2015","FY 2015","Currency=INR","Period=FY","BEST_FPERIOD_OVERRIDE=FY","FILING_STATUS=OR","EQY_CONSOLIDATED=Y","SCALING_FORMAT=MLN","Sort=A","Dates=H","DateFormat=P","Fill=—","Direction=H","UseDPDF=Y")</f>
        <v>#NAME?</v>
      </c>
      <c r="CB608" s="2" t="e">
        <f ca="1">_xll.BDH($C$603,"TOT_DEBT_TO_EBITDA","FY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608" s="2" t="e">
        <f ca="1">_xll.BDH($C$603,"NET_DEBT_TO_EBITDA","FY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608" s="2" t="e">
        <f ca="1">_xll.BDH($C$603,"TOTAL_DEBT_TO_EBIT","FY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608" s="2" t="e">
        <f ca="1">_xll.BDH($C$603,"NET_DEBT_TO_EBIT","FY 2015","FY 2015","Currency=INR","Period=FY","BEST_FPERIOD_OVERRIDE=FY","FILING_STATUS=OR","EQY_CONSOLIDATED=Y","FA_ADJUSTED=GAAP","Sort=A","Dates=H","DateFormat=P","Fill=—","Direction=H","UseDPDF=Y")</f>
        <v>#NAME?</v>
      </c>
      <c r="CF608" s="2" t="e">
        <f ca="1">_xll.BDH($C$603,"EBITDA_TO_INTEREST_EXPN","FY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608" s="2" t="e">
        <f ca="1">_xll.BDH($C$603,"COM_EQY_TO_TOT_ASSET","FY 2015","FY 2015","Currency=INR","Period=FY","BEST_FPERIOD_OVERRIDE=FY","FILING_STATUS=OR","EQY_CONSOLIDATED=Y","Sort=A","Dates=H","DateFormat=P","Fill=—","Direction=H","UseDPDF=Y")</f>
        <v>#NAME?</v>
      </c>
      <c r="CH608" s="2" t="e">
        <f ca="1">_xll.BDH($C$603,"LT_DEBT_TO_TOT_EQY","FY 2015","FY 2015","Currency=INR","Period=FY","BEST_FPERIOD_OVERRIDE=FY","FILING_STATUS=OR","EQY_CONSOLIDATED=Y","Sort=A","Dates=H","DateFormat=P","Fill=—","Direction=H","UseDPDF=Y")</f>
        <v>#NAME?</v>
      </c>
      <c r="CI608" s="2" t="e">
        <f ca="1">_xll.BDH($C$603,"LT_DEBT_TO_TOT_CAP","FY 2015","FY 2015","Currency=INR","Period=FY","BEST_FPERIOD_OVERRIDE=FY","FILING_STATUS=OR","EQY_CONSOLIDATED=Y","Sort=A","Dates=H","DateFormat=P","Fill=—","Direction=H","UseDPDF=Y")</f>
        <v>#NAME?</v>
      </c>
      <c r="CJ608" s="2" t="e">
        <f ca="1">_xll.BDH($C$603,"LT_DEBT_TO_TOT_ASSET","FY 2015","FY 2015","Currency=INR","Period=FY","BEST_FPERIOD_OVERRIDE=FY","FILING_STATUS=OR","EQY_CONSOLIDATED=Y","Sort=A","Dates=H","DateFormat=P","Fill=—","Direction=H","UseDPDF=Y")</f>
        <v>#NAME?</v>
      </c>
      <c r="CK608" s="2" t="e">
        <f ca="1">_xll.BDH($C$603,"TOT_DEBT_TO_TOT_EQY","FY 2015","FY 2015","Currency=INR","Period=FY","BEST_FPERIOD_OVERRIDE=FY","FILING_STATUS=OR","EQY_CONSOLIDATED=Y","Sort=A","Dates=H","DateFormat=P","Fill=—","Direction=H","UseDPDF=Y")</f>
        <v>#NAME?</v>
      </c>
      <c r="CL608" s="2" t="e">
        <f ca="1">_xll.BDH($C$603,"TOT_DEBT_TO_TOT_CAP","FY 2015","FY 2015","Currency=INR","Period=FY","BEST_FPERIOD_OVERRIDE=FY","FILING_STATUS=OR","EQY_CONSOLIDATED=Y","Sort=A","Dates=H","DateFormat=P","Fill=—","Direction=H","UseDPDF=Y")</f>
        <v>#NAME?</v>
      </c>
      <c r="CM608" s="2" t="e">
        <f ca="1">_xll.BDH($C$603,"TOT_DEBT_TO_TOT_ASSET","FY 2015","FY 2015","Currency=INR","Period=FY","BEST_FPERIOD_OVERRIDE=FY","FILING_STATUS=OR","EQY_CONSOLIDATED=Y","Sort=A","Dates=H","DateFormat=P","Fill=—","Direction=H","UseDPDF=Y")</f>
        <v>#NAME?</v>
      </c>
      <c r="CN608" s="2" t="e">
        <f ca="1">_xll.BDH($C$603,"NET_DEBT_TO_SHRHLDR_EQTY","FY 2015","FY 2015","Currency=INR","Period=FY","BEST_FPERIOD_OVERRIDE=FY","FILING_STATUS=OR","EQY_CONSOLIDATED=Y","Sort=A","Dates=H","DateFormat=P","Fill=—","Direction=H","UseDPDF=Y")</f>
        <v>#NAME?</v>
      </c>
      <c r="CO608" s="2" t="e">
        <f ca="1">_xll.BDH($C$603,"NET_DEBT_%_CAPITAL","FY 2015","FY 2015","Currency=INR","Period=FY","BEST_FPERIOD_OVERRIDE=FY","FILING_STATUS=OR","EQY_CONSOLIDATED=Y","Sort=A","Dates=H","DateFormat=P","Fill=—","Direction=H","UseDPDF=Y")</f>
        <v>#NAME?</v>
      </c>
      <c r="CP608" s="3" t="e">
        <f ca="1">_xll.BDH($C$603,"EBITDA","FY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608" s="3" t="e">
        <f ca="1">_xll.BDH($C$603,"EBITDA_AFTER_CAPEX","FY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608" s="3" t="e">
        <f ca="1">_xll.BDH($C$603,"IS_OPER_INC","FY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608" s="2" t="e">
        <f ca="1">_xll.BDH($C$603,"CASH_RATIO","FY 2015","FY 2015","Currency=INR","Period=FY","BEST_FPERIOD_OVERRIDE=FY","FILING_STATUS=OR","EQY_CONSOLIDATED=Y","Sort=A","Dates=H","DateFormat=P","Fill=—","Direction=H","UseDPDF=Y")</f>
        <v>#NAME?</v>
      </c>
      <c r="CT608" s="2" t="e">
        <f ca="1">_xll.BDH($C$603,"CUR_RATIO","FY 2015","FY 2015","Currency=INR","Period=FY","BEST_FPERIOD_OVERRIDE=FY","FILING_STATUS=OR","EQY_CONSOLIDATED=Y","Sort=A","Dates=H","DateFormat=P","Fill=—","Direction=H","UseDPDF=Y")</f>
        <v>#NAME?</v>
      </c>
      <c r="CU608" s="2" t="e">
        <f ca="1">_xll.BDH($C$603,"QUICK_RATIO","FY 2015","FY 2015","Currency=INR","Period=FY","BEST_FPERIOD_OVERRIDE=FY","FILING_STATUS=OR","EQY_CONSOLIDATED=Y","Sort=A","Dates=H","DateFormat=P","Fill=—","Direction=H","UseDPDF=Y")</f>
        <v>#NAME?</v>
      </c>
      <c r="CV608" s="2" t="e">
        <f ca="1">_xll.BDH($C$603,"ALTMAN_Z_SCORE","FY 2015","FY 2015","Currency=INR","Period=FY","BEST_FPERIOD_OVERRIDE=FY","FILING_STATUS=OR","EQY_CONSOLIDATED=Y","Sort=A","Dates=H","DateFormat=P","Fill=—","Direction=H","UseDPDF=Y")</f>
        <v>#NAME?</v>
      </c>
      <c r="CW608" s="4" t="e">
        <f ca="1">_xll.BDH($C$603,"ACCT_RCV_TURN","FY 2015","FY 2015","Currency=INR","Period=FY","BEST_FPERIOD_OVERRIDE=FY","FILING_STATUS=OR","EQY_CONSOLIDATED=Y","FA_ADJUSTED=GAAP","Sort=A","Dates=H","DateFormat=P","Fill=—","Direction=H","UseDPDF=Y")</f>
        <v>#NAME?</v>
      </c>
      <c r="CX608" s="2" t="e">
        <f ca="1">_xll.BDH($C$603,"ACCT_RCV_DAYS","FY 2015","FY 2015","Currency=INR","Period=FY","BEST_FPERIOD_OVERRIDE=FY","FILING_STATUS=OR","EQY_CONSOLIDATED=Y","FA_ADJUSTED=GAAP","Sort=A","Dates=H","DateFormat=P","Fill=—","Direction=H","UseDPDF=Y")</f>
        <v>#NAME?</v>
      </c>
      <c r="CY608" s="4" t="e">
        <f ca="1">_xll.BDH($C$603,"INVENT_TURN","FY 2015","FY 2015","Currency=INR","Period=FY","BEST_FPERIOD_OVERRIDE=FY","FILING_STATUS=OR","EQY_CONSOLIDATED=Y","FA_ADJUSTED=GAAP","Sort=A","Dates=H","DateFormat=P","Fill=—","Direction=H","UseDPDF=Y")</f>
        <v>#NAME?</v>
      </c>
      <c r="CZ608" s="2" t="e">
        <f ca="1">_xll.BDH($C$603,"INVENT_DAYS","FY 2015","FY 2015","Currency=INR","Period=FY","BEST_FPERIOD_OVERRIDE=FY","FILING_STATUS=OR","EQY_CONSOLIDATED=Y","FA_ADJUSTED=GAAP","Sort=A","Dates=H","DateFormat=P","Fill=—","Direction=H","UseDPDF=Y")</f>
        <v>#NAME?</v>
      </c>
      <c r="DA608" s="4" t="e">
        <f ca="1">_xll.BDH($C$603,"ACCOUNTS_PAYABLE_TURNOVER","FY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608" s="2" t="e">
        <f ca="1">_xll.BDH($C$603,"ACCOUNTS_PAYABLE_TURNOVER_DAYS","FY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608" s="4" t="e">
        <f ca="1">_xll.BDH($C$603,"CASH_CONVERSION_CYCLE","FY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608" s="4" t="e">
        <f ca="1">_xll.BDH($C$603,"INV_TO_CASH_DAYS","FY 2015","FY 2015","Currency=INR","Period=FY","BEST_FPERIOD_OVERRIDE=FY","FILING_STATUS=OR","EQY_CONSOLIDATED=Y","FA_ADJUSTED=GAAP","Sort=A","Dates=H","DateFormat=P","Fill=—","Direction=H","UseDPDF=Y")</f>
        <v>#NAME?</v>
      </c>
      <c r="DE608" s="5" t="e">
        <f ca="1">_xll.BDH($C$603,"BS_INVENTORIES","FY 2015","FY 2015","Currency=INR","Period=FY","BEST_FPERIOD_OVERRIDE=FY","FILING_STATUS=OR","EQY_CONSOLIDATED=Y","SCALING_FORMAT=MLN","Sort=A","Dates=H","DateFormat=P","Fill=—","Direction=H","UseDPDF=Y")</f>
        <v>#NAME?</v>
      </c>
      <c r="DF608" s="3" t="e">
        <f ca="1">_xll.BDH($C$603,"INVTRY_RAW_MATERIALS","FY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608" s="3" t="e">
        <f ca="1">_xll.BDH($C$603,"INVTRY_IN_PROGRESS","FY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608" s="3" t="e">
        <f ca="1">_xll.BDH($C$603,"INVTRY_FINISHED_GOODS","FY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608" s="3" t="e">
        <f ca="1">_xll.BDH($C$603,"BS_OTHER_INV","FY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609" spans="1:113" x14ac:dyDescent="0.3">
      <c r="A609" s="6"/>
      <c r="B609" s="6"/>
      <c r="C609" s="6"/>
      <c r="D609" s="6"/>
      <c r="E609" t="s">
        <v>78</v>
      </c>
      <c r="F609" t="e">
        <f ca="1">_xll.BDH($C$603,"RETURN_COM_EQY","FQ1 2015","FQ1 2015","Currency=INR","Period=FQ","BEST_FPERIOD_OVERRIDE=FQ","FILING_STATUS=OR","EQY_CONSOLIDATED=Y","FA_ADJUSTED=GAAP","Sort=A","Dates=H","DateFormat=P","Fill=—","Direction=H","UseDPDF=Y")</f>
        <v>#NAME?</v>
      </c>
      <c r="G609" t="e">
        <f ca="1">_xll.BDH($C$603,"RETURN_ON_ASSET","FQ1 2015","FQ1 2015","Currency=INR","Period=FQ","BEST_FPERIOD_OVERRIDE=FQ","FILING_STATUS=OR","EQY_CONSOLIDATED=Y","FA_ADJUSTED=GAAP","Sort=A","Dates=H","DateFormat=P","Fill=—","Direction=H","UseDPDF=Y")</f>
        <v>#NAME?</v>
      </c>
      <c r="H609" t="e">
        <f ca="1">_xll.BDH($C$603,"RETURN_ON_CAP","FQ1 2015","FQ1 2015","Currency=INR","Period=FQ","BEST_FPERIOD_OVERRIDE=FQ","FILING_STATUS=OR","EQY_CONSOLIDATED=Y","FA_ADJUSTED=GAAP","Sort=A","Dates=H","DateFormat=P","Fill=—","Direction=H","UseDPDF=Y")</f>
        <v>#NAME?</v>
      </c>
      <c r="I609" t="e">
        <f ca="1">_xll.BDH($C$603,"RETURN_ON_INV_CAPITAL","FQ1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609" t="e">
        <f ca="1">_xll.BDH($C$603,"EBITDA_TO_REVENUE","FQ1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609" t="e">
        <f ca="1">_xll.BDH($C$603,"OPER_MARGIN","FQ1 2015","FQ1 2015","Currency=INR","Period=FQ","BEST_FPERIOD_OVERRIDE=FQ","FILING_STATUS=OR","EQY_CONSOLIDATED=Y","FA_ADJUSTED=GAAP","Sort=A","Dates=H","DateFormat=P","Fill=—","Direction=H","UseDPDF=Y")</f>
        <v>#NAME?</v>
      </c>
      <c r="L609" t="e">
        <f ca="1">_xll.BDH($C$603,"INCREMENTAL_OPERATING_MARGIN","FQ1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609" t="e">
        <f ca="1">_xll.BDH($C$603,"PRETAX_INC_TO_NET_SALES","FQ1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609" t="e">
        <f ca="1">_xll.BDH($C$603,"INC_BEF_XO_ITEMS_TO_NET_SALES","FQ1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609" t="e">
        <f ca="1">_xll.BDH($C$603,"PROF_MARGIN","FQ1 2015","FQ1 2015","Currency=INR","Period=FQ","BEST_FPERIOD_OVERRIDE=FQ","FILING_STATUS=OR","EQY_CONSOLIDATED=Y","FA_ADJUSTED=GAAP","Sort=A","Dates=H","DateFormat=P","Fill=—","Direction=H","UseDPDF=Y")</f>
        <v>#NAME?</v>
      </c>
      <c r="P609" t="e">
        <f ca="1">_xll.BDH($C$603,"NET_INCOME_TO_COMMON_MARGIN","FQ1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609" t="e">
        <f ca="1">_xll.BDH($C$603,"EFF_TAX_RATE","FQ1 2015","FQ1 2015","Currency=INR","Period=FQ","BEST_FPERIOD_OVERRIDE=FQ","FILING_STATUS=OR","EQY_CONSOLIDATED=Y","FA_ADJUSTED=GAAP","Sort=A","Dates=H","DateFormat=P","Fill=—","Direction=H","UseDPDF=Y")</f>
        <v>#NAME?</v>
      </c>
      <c r="R609" t="e">
        <f ca="1">_xll.BDH($C$603,"DVD_PAYOUT_RATIO","FQ1 2015","FQ1 2015","Currency=INR","Period=FQ","BEST_FPERIOD_OVERRIDE=FQ","FILING_STATUS=OR","EQY_CONSOLIDATED=Y","FA_ADJUSTED=GAAP","Sort=A","Dates=H","DateFormat=P","Fill=—","Direction=H","UseDPDF=Y")</f>
        <v>#NAME?</v>
      </c>
      <c r="S609" t="e">
        <f ca="1">_xll.BDH($C$603,"SUSTAIN_GROWTH_RT","FQ1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609" s="2" t="e">
        <f ca="1">_xll.BDH($C$603,"SALES_GROWTH","FQ1 2015","FQ1 2015","Currency=INR","Period=FQ","BEST_FPERIOD_OVERRIDE=FQ","FILING_STATUS=OR","EQY_CONSOLIDATED=Y","FA_ADJUSTED=GAAP","Sort=A","Dates=H","DateFormat=P","Fill=—","Direction=H","UseDPDF=Y")</f>
        <v>#NAME?</v>
      </c>
      <c r="U609" s="2" t="e">
        <f ca="1">_xll.BDH($C$603,"EBITDA_GROWTH","FQ1 2015","FQ1 2015","Currency=INR","Period=FQ","BEST_FPERIOD_OVERRIDE=FQ","FILING_STATUS=OR","EQY_CONSOLIDATED=Y","FA_ADJUSTED=GAAP","Sort=A","Dates=H","DateFormat=P","Fill=—","Direction=H","UseDPDF=Y")</f>
        <v>#NAME?</v>
      </c>
      <c r="V609" s="2" t="e">
        <f ca="1">_xll.BDH($C$603,"OPER_INC_GROWTH","FQ1 2015","FQ1 2015","Currency=INR","Period=FQ","BEST_FPERIOD_OVERRIDE=FQ","FILING_STATUS=OR","EQY_CONSOLIDATED=Y","FA_ADJUSTED=GAAP","Sort=A","Dates=H","DateFormat=P","Fill=—","Direction=H","UseDPDF=Y")</f>
        <v>#NAME?</v>
      </c>
      <c r="W609" s="2" t="e">
        <f ca="1">_xll.BDH($C$603,"EARN_FOR_COM_GROWTH","FQ1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609" s="2" t="e">
        <f ca="1">_xll.BDH($C$603,"DILUTED_EPS_AFT_XO_ITEMS_GROWTH","FQ1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609" s="2" t="e">
        <f ca="1">_xll.BDH($C$603,"DIVIDEND_PER_SHARE_1_YEAR_GROWTH","FQ1 2015","FQ1 2015","Currency=INR","Period=FQ","BEST_FPERIOD_OVERRIDE=FQ","FILING_STATUS=OR","EQY_CONSOLIDATED=Y","Sort=A","Dates=H","DateFormat=P","Fill=—","Direction=H","UseDPDF=Y")</f>
        <v>#NAME?</v>
      </c>
      <c r="Z609" s="2" t="e">
        <f ca="1">_xll.BDH($C$603,"ACCOUNTS_RECEIVABLE_GROWTH","FQ1 2015","FQ1 2015","Currency=INR","Period=FQ","BEST_FPERIOD_OVERRIDE=FQ","FILING_STATUS=OR","EQY_CONSOLIDATED=Y","Sort=A","Dates=H","DateFormat=P","Fill=—","Direction=H","UseDPDF=Y")</f>
        <v>#NAME?</v>
      </c>
      <c r="AA609" s="2" t="e">
        <f ca="1">_xll.BDH($C$603,"INVENTORY_GROWTH","FQ1 2015","FQ1 2015","Currency=INR","Period=FQ","BEST_FPERIOD_OVERRIDE=FQ","FILING_STATUS=OR","EQY_CONSOLIDATED=Y","Sort=A","Dates=H","DateFormat=P","Fill=—","Direction=H","UseDPDF=Y")</f>
        <v>#NAME?</v>
      </c>
      <c r="AB609" s="2" t="e">
        <f ca="1">_xll.BDH($C$603,"NET_FIXED_ASSETS_1_YEAR_GROWTH","FQ1 2015","FQ1 2015","Currency=INR","Period=FQ","BEST_FPERIOD_OVERRIDE=FQ","FILING_STATUS=OR","EQY_CONSOLIDATED=Y","Sort=A","Dates=H","DateFormat=P","Fill=—","Direction=H","UseDPDF=Y")</f>
        <v>#NAME?</v>
      </c>
      <c r="AC609" s="2" t="e">
        <f ca="1">_xll.BDH($C$603,"ASSET_GROWTH","FQ1 2015","FQ1 2015","Currency=INR","Period=FQ","BEST_FPERIOD_OVERRIDE=FQ","FILING_STATUS=OR","EQY_CONSOLIDATED=Y","Sort=A","Dates=H","DateFormat=P","Fill=—","Direction=H","UseDPDF=Y")</f>
        <v>#NAME?</v>
      </c>
      <c r="AD609" s="2" t="e">
        <f ca="1">_xll.BDH($C$603,"MODIFIED_WORK_CAP_GROWTH","FQ1 2015","FQ1 2015","Currency=INR","Period=FQ","BEST_FPERIOD_OVERRIDE=FQ","FILING_STATUS=OR","EQY_CONSOLIDATED=Y","Sort=A","Dates=H","DateFormat=P","Fill=—","Direction=H","UseDPDF=Y")</f>
        <v>#NAME?</v>
      </c>
      <c r="AE609" s="2" t="e">
        <f ca="1">_xll.BDH($C$603,"WORK_CAP_GROWTH","FQ1 2015","FQ1 2015","Currency=INR","Period=FQ","BEST_FPERIOD_OVERRIDE=FQ","FILING_STATUS=OR","EQY_CONSOLIDATED=Y","Sort=A","Dates=H","DateFormat=P","Fill=—","Direction=H","UseDPDF=Y")</f>
        <v>#NAME?</v>
      </c>
      <c r="AF609" s="2" t="e">
        <f ca="1">_xll.BDH($C$603,"ACCOUNTS_PAYABLE_GROWTH_1YR","FQ1 2015","FQ1 2015","Currency=INR","Period=FQ","BEST_FPERIOD_OVERRIDE=FQ","FILING_STATUS=OR","EQY_CONSOLIDATED=Y","Sort=A","Dates=H","DateFormat=P","Fill=—","Direction=H","UseDPDF=Y")</f>
        <v>#NAME?</v>
      </c>
      <c r="AG609" s="2" t="e">
        <f ca="1">_xll.BDH($C$603,"SHORT_TERM_DEBT_1_YEAR_GROWTH","FQ1 2015","FQ1 2015","Currency=INR","Period=FQ","BEST_FPERIOD_OVERRIDE=FQ","FILING_STATUS=OR","EQY_CONSOLIDATED=Y","Sort=A","Dates=H","DateFormat=P","Fill=—","Direction=H","UseDPDF=Y")</f>
        <v>#NAME?</v>
      </c>
      <c r="AH609" s="2" t="e">
        <f ca="1">_xll.BDH($C$603,"TOTAL_DEBT_1_YEAR_GROWTH","FQ1 2015","FQ1 2015","Currency=INR","Period=FQ","BEST_FPERIOD_OVERRIDE=FQ","FILING_STATUS=OR","EQY_CONSOLIDATED=Y","Sort=A","Dates=H","DateFormat=P","Fill=—","Direction=H","UseDPDF=Y")</f>
        <v>#NAME?</v>
      </c>
      <c r="AI609" s="2" t="e">
        <f ca="1">_xll.BDH($C$603,"TOTAL_EQUITY_1_YEAR_GROWTH","FQ1 2015","FQ1 2015","Currency=INR","Period=FQ","BEST_FPERIOD_OVERRIDE=FQ","FILING_STATUS=OR","EQY_CONSOLIDATED=Y","Sort=A","Dates=H","DateFormat=P","Fill=—","Direction=H","UseDPDF=Y")</f>
        <v>#NAME?</v>
      </c>
      <c r="AJ609" s="2" t="e">
        <f ca="1">_xll.BDH($C$603,"GROWTH_IN_CAP","FQ1 2015","FQ1 2015","Currency=INR","Period=FQ","BEST_FPERIOD_OVERRIDE=FQ","FILING_STATUS=OR","EQY_CONSOLIDATED=Y","Sort=A","Dates=H","DateFormat=P","Fill=—","Direction=H","UseDPDF=Y")</f>
        <v>#NAME?</v>
      </c>
      <c r="AK609" s="2" t="e">
        <f ca="1">_xll.BDH($C$603,"BVPS_GROWTH","FQ1 2015","FQ1 2015","Currency=INR","Period=FQ","BEST_FPERIOD_OVERRIDE=FQ","FILING_STATUS=OR","EQY_CONSOLIDATED=Y","Sort=A","Dates=H","DateFormat=P","Fill=—","Direction=H","UseDPDF=Y")</f>
        <v>#NAME?</v>
      </c>
      <c r="AL609" s="2" t="e">
        <f ca="1">_xll.BDH($C$603,"CASH_FLOW_GROWTH","FQ1 2015","FQ1 2015","Currency=INR","Period=FQ","BEST_FPERIOD_OVERRIDE=FQ","FILING_STATUS=OR","EQY_CONSOLIDATED=Y","Sort=A","Dates=H","DateFormat=P","Fill=—","Direction=H","UseDPDF=Y")</f>
        <v>#NAME?</v>
      </c>
      <c r="AM609" s="2" t="e">
        <f ca="1">_xll.BDH($C$603,"GEO_GROW_NET_SALES","FQ1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609" s="2" t="e">
        <f ca="1">_xll.BDH($C$603,"GEO_GROW_EBITDA","FQ1 2015","FQ1 2015","Currency=INR","Period=FQ","BEST_FPERIOD_OVERRIDE=FQ","FILING_STATUS=OR","EQY_CONSOLIDATED=Y","FA_ADJUSTED=GAAP","Sort=A","Dates=H","DateFormat=P","Fill=—","Direction=H","UseDPDF=Y")</f>
        <v>#NAME?</v>
      </c>
      <c r="AO609" s="2" t="e">
        <f ca="1">_xll.BDH($C$603,"GEO_GROW_OPER_INC","FQ1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609" s="2" t="e">
        <f ca="1">_xll.BDH($C$603,"NET_INCOME_TO_COMMON_5_YR_GROWTH","FQ1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609" s="2" t="e">
        <f ca="1">_xll.BDH($C$603,"5Y_GEO_GROWTH_DILUTED_EPS","FQ1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609" s="2" t="e">
        <f ca="1">_xll.BDH($C$603,"GEO_GROW_DVD_PER_SH","FQ1 2015","FQ1 2015","Currency=INR","Period=FQ","BEST_FPERIOD_OVERRIDE=FQ","FILING_STATUS=OR","EQY_CONSOLIDATED=Y","Sort=A","Dates=H","DateFormat=P","Fill=—","Direction=H","UseDPDF=Y")</f>
        <v>#NAME?</v>
      </c>
      <c r="AS609" s="2" t="e">
        <f ca="1">_xll.BDH($C$603,"ACCOUNTS_RECEIVABLE_5_YR_GROWTH","FQ1 2015","FQ1 2015","Currency=INR","Period=FQ","BEST_FPERIOD_OVERRIDE=FQ","FILING_STATUS=OR","EQY_CONSOLIDATED=Y","Sort=A","Dates=H","DateFormat=P","Fill=—","Direction=H","UseDPDF=Y")</f>
        <v>#NAME?</v>
      </c>
      <c r="AT609" s="2" t="e">
        <f ca="1">_xll.BDH($C$603,"INVENTORY_5_YEAR_GROWTH","FQ1 2015","FQ1 2015","Currency=INR","Period=FQ","BEST_FPERIOD_OVERRIDE=FQ","FILING_STATUS=OR","EQY_CONSOLIDATED=Y","Sort=A","Dates=H","DateFormat=P","Fill=—","Direction=H","UseDPDF=Y")</f>
        <v>#NAME?</v>
      </c>
      <c r="AU609" s="2" t="e">
        <f ca="1">_xll.BDH($C$603,"NET_FIXED_ASSETS_5_YEAR_GROWTH","FQ1 2015","FQ1 2015","Currency=INR","Period=FQ","BEST_FPERIOD_OVERRIDE=FQ","FILING_STATUS=OR","EQY_CONSOLIDATED=Y","Sort=A","Dates=H","DateFormat=P","Fill=—","Direction=H","UseDPDF=Y")</f>
        <v>#NAME?</v>
      </c>
      <c r="AV609" s="2" t="e">
        <f ca="1">_xll.BDH($C$603,"GEO_GROW_TOT_ASSET","FQ1 2015","FQ1 2015","Currency=INR","Period=FQ","BEST_FPERIOD_OVERRIDE=FQ","FILING_STATUS=OR","EQY_CONSOLIDATED=Y","Sort=A","Dates=H","DateFormat=P","Fill=—","Direction=H","UseDPDF=Y")</f>
        <v>#NAME?</v>
      </c>
      <c r="AW609" s="2" t="e">
        <f ca="1">_xll.BDH($C$603,"MODIFIED_WORKING_CPTL_5YR_GRWTH","FQ1 2015","FQ1 2015","Currency=INR","Period=FQ","BEST_FPERIOD_OVERRIDE=FQ","FILING_STATUS=OR","EQY_CONSOLIDATED=Y","Sort=A","Dates=H","DateFormat=P","Fill=—","Direction=H","UseDPDF=Y")</f>
        <v>#NAME?</v>
      </c>
      <c r="AX609" s="2" t="e">
        <f ca="1">_xll.BDH($C$603,"WORKING_CAPITAL_5_YEAR_GROWTH","FQ1 2015","FQ1 2015","Currency=INR","Period=FQ","BEST_FPERIOD_OVERRIDE=FQ","FILING_STATUS=OR","EQY_CONSOLIDATED=Y","Sort=A","Dates=H","DateFormat=P","Fill=—","Direction=H","UseDPDF=Y")</f>
        <v>#NAME?</v>
      </c>
      <c r="AY609" s="2" t="e">
        <f ca="1">_xll.BDH($C$603,"ACCOUNTS_PAYABLE_5_YEAR_GROWTH","FQ1 2015","FQ1 2015","Currency=INR","Period=FQ","BEST_FPERIOD_OVERRIDE=FQ","FILING_STATUS=OR","EQY_CONSOLIDATED=Y","Sort=A","Dates=H","DateFormat=P","Fill=—","Direction=H","UseDPDF=Y")</f>
        <v>#NAME?</v>
      </c>
      <c r="AZ609" s="2" t="e">
        <f ca="1">_xll.BDH($C$603,"SHORT_TERM_DEBT_5_YEAR_GROWTH","FQ1 2015","FQ1 2015","Currency=INR","Period=FQ","BEST_FPERIOD_OVERRIDE=FQ","FILING_STATUS=OR","EQY_CONSOLIDATED=Y","Sort=A","Dates=H","DateFormat=P","Fill=—","Direction=H","UseDPDF=Y")</f>
        <v>#NAME?</v>
      </c>
      <c r="BA609" s="2" t="e">
        <f ca="1">_xll.BDH($C$603,"TOTAL_DEBT_5_YEAR_GROWTH","FQ1 2015","FQ1 2015","Currency=INR","Period=FQ","BEST_FPERIOD_OVERRIDE=FQ","FILING_STATUS=OR","EQY_CONSOLIDATED=Y","Sort=A","Dates=H","DateFormat=P","Fill=—","Direction=H","UseDPDF=Y")</f>
        <v>#NAME?</v>
      </c>
      <c r="BB609" s="2" t="e">
        <f ca="1">_xll.BDH($C$603,"GEO_GROW_TOT_SHRHLDR_EQY","FQ1 2015","FQ1 2015","Currency=INR","Period=FQ","BEST_FPERIOD_OVERRIDE=FQ","FILING_STATUS=OR","EQY_CONSOLIDATED=Y","Sort=A","Dates=H","DateFormat=P","Fill=—","Direction=H","UseDPDF=Y")</f>
        <v>#NAME?</v>
      </c>
      <c r="BC609" s="2" t="e">
        <f ca="1">_xll.BDH($C$603,"TOTAL_CAPITAL_5_YEAR_GROWTH","FQ1 2015","FQ1 2015","Currency=INR","Period=FQ","BEST_FPERIOD_OVERRIDE=FQ","FILING_STATUS=OR","EQY_CONSOLIDATED=Y","Sort=A","Dates=H","DateFormat=P","Fill=—","Direction=H","UseDPDF=Y")</f>
        <v>#NAME?</v>
      </c>
      <c r="BD609" s="2" t="e">
        <f ca="1">_xll.BDH($C$603,"GEO_GROW_BOOK_VAL","FQ1 2015","FQ1 2015","Currency=INR","Period=FQ","BEST_FPERIOD_OVERRIDE=FQ","FILING_STATUS=OR","EQY_CONSOLIDATED=Y","Sort=A","Dates=H","DateFormat=P","Fill=—","Direction=H","UseDPDF=Y")</f>
        <v>#NAME?</v>
      </c>
      <c r="BE609" s="2" t="e">
        <f ca="1">_xll.BDH($C$603,"GEO_GROW_CASH_OPER_ACT","FQ1 2015","FQ1 2015","Currency=INR","Period=FQ","BEST_FPERIOD_OVERRIDE=FQ","FILING_STATUS=OR","EQY_CONSOLIDATED=Y","Sort=A","Dates=H","DateFormat=P","Fill=—","Direction=H","UseDPDF=Y")</f>
        <v>#NAME?</v>
      </c>
      <c r="BF609" s="2" t="e">
        <f ca="1">_xll.BDH($C$603,"REVENUE_SEQUENTIAL_GROWTH","FQ1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609" s="2" t="e">
        <f ca="1">_xll.BDH($C$603,"EBITDA_SEQUENTIAL_GROWTH","FQ1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609" s="2" t="e">
        <f ca="1">_xll.BDH($C$603,"OPERATING_INCOME_SEQ_GROWTH","FQ1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609" s="2" t="e">
        <f ca="1">_xll.BDH($C$603,"NET_INCOME_TO_COMMON_SEQ_GROWTH","FQ1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609" s="2" t="e">
        <f ca="1">_xll.BDH($C$603,"EPS_DILUTED_SEQUENTIAL_GROWTH","FQ1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609" s="2" t="e">
        <f ca="1">_xll.BDH($C$603,"DPS_SEQUENTIAL_GROWTH","FQ1 2015","FQ1 2015","Currency=INR","Period=FQ","BEST_FPERIOD_OVERRIDE=FQ","FILING_STATUS=OR","EQY_CONSOLIDATED=Y","Sort=A","Dates=H","DateFormat=P","Fill=—","Direction=H","UseDPDF=Y")</f>
        <v>#NAME?</v>
      </c>
      <c r="BL609" s="2" t="e">
        <f ca="1">_xll.BDH($C$603,"ACCOUNTS_RECEIVABLE_SEQ_GROWTH","FQ1 2015","FQ1 2015","Currency=INR","Period=FQ","BEST_FPERIOD_OVERRIDE=FQ","FILING_STATUS=OR","EQY_CONSOLIDATED=Y","Sort=A","Dates=H","DateFormat=P","Fill=—","Direction=H","UseDPDF=Y")</f>
        <v>#NAME?</v>
      </c>
      <c r="BM609" s="2" t="e">
        <f ca="1">_xll.BDH($C$603,"INVENTORY_SEQUENTIAL_GROWTH","FQ1 2015","FQ1 2015","Currency=INR","Period=FQ","BEST_FPERIOD_OVERRIDE=FQ","FILING_STATUS=OR","EQY_CONSOLIDATED=Y","Sort=A","Dates=H","DateFormat=P","Fill=—","Direction=H","UseDPDF=Y")</f>
        <v>#NAME?</v>
      </c>
      <c r="BN609" s="2" t="e">
        <f ca="1">_xll.BDH($C$603,"FIXED_ASSETS_SEQUENTIAL_GROWTH","FQ1 2015","FQ1 2015","Currency=INR","Period=FQ","BEST_FPERIOD_OVERRIDE=FQ","FILING_STATUS=OR","EQY_CONSOLIDATED=Y","Sort=A","Dates=H","DateFormat=P","Fill=—","Direction=H","UseDPDF=Y")</f>
        <v>#NAME?</v>
      </c>
      <c r="BO609" s="2" t="e">
        <f ca="1">_xll.BDH($C$603,"TOTAL_ASSETS_SEQUENTIAL_GROWTH","FQ1 2015","FQ1 2015","Currency=INR","Period=FQ","BEST_FPERIOD_OVERRIDE=FQ","FILING_STATUS=OR","EQY_CONSOLIDATED=Y","Sort=A","Dates=H","DateFormat=P","Fill=—","Direction=H","UseDPDF=Y")</f>
        <v>#NAME?</v>
      </c>
      <c r="BP609" s="2" t="e">
        <f ca="1">_xll.BDH($C$603,"MODIFIED_WORKING_CPTL_SEQ_GRWTH","FQ1 2015","FQ1 2015","Currency=INR","Period=FQ","BEST_FPERIOD_OVERRIDE=FQ","FILING_STATUS=OR","EQY_CONSOLIDATED=Y","Sort=A","Dates=H","DateFormat=P","Fill=—","Direction=H","UseDPDF=Y")</f>
        <v>#NAME?</v>
      </c>
      <c r="BQ609" s="2" t="e">
        <f ca="1">_xll.BDH($C$603,"WORKING_CAPITAL_SEQ_GROWTH","FQ1 2015","FQ1 2015","Currency=INR","Period=FQ","BEST_FPERIOD_OVERRIDE=FQ","FILING_STATUS=OR","EQY_CONSOLIDATED=Y","Sort=A","Dates=H","DateFormat=P","Fill=—","Direction=H","UseDPDF=Y")</f>
        <v>#NAME?</v>
      </c>
      <c r="BR609" s="2" t="e">
        <f ca="1">_xll.BDH($C$603,"ACCOUNTS_PAYABLE_SEQ_GROWTH","FQ1 2015","FQ1 2015","Currency=INR","Period=FQ","BEST_FPERIOD_OVERRIDE=FQ","FILING_STATUS=OR","EQY_CONSOLIDATED=Y","Sort=A","Dates=H","DateFormat=P","Fill=—","Direction=H","UseDPDF=Y")</f>
        <v>#NAME?</v>
      </c>
      <c r="BS609" s="2" t="e">
        <f ca="1">_xll.BDH($C$603,"ST_DEBT_SEQUENTIAL_GROWTH","FQ1 2015","FQ1 2015","Currency=INR","Period=FQ","BEST_FPERIOD_OVERRIDE=FQ","FILING_STATUS=OR","EQY_CONSOLIDATED=Y","Sort=A","Dates=H","DateFormat=P","Fill=—","Direction=H","UseDPDF=Y")</f>
        <v>#NAME?</v>
      </c>
      <c r="BT609" s="2" t="e">
        <f ca="1">_xll.BDH($C$603,"TOTAL_DEBT_SEQUENTIAL_GROWTH","FQ1 2015","FQ1 2015","Currency=INR","Period=FQ","BEST_FPERIOD_OVERRIDE=FQ","FILING_STATUS=OR","EQY_CONSOLIDATED=Y","Sort=A","Dates=H","DateFormat=P","Fill=—","Direction=H","UseDPDF=Y")</f>
        <v>#NAME?</v>
      </c>
      <c r="BU609" s="2" t="e">
        <f ca="1">_xll.BDH($C$603,"TOTAL_EQUITY_SEQUENTIAL_GROWTH","FQ1 2015","FQ1 2015","Currency=INR","Period=FQ","BEST_FPERIOD_OVERRIDE=FQ","FILING_STATUS=OR","EQY_CONSOLIDATED=Y","Sort=A","Dates=H","DateFormat=P","Fill=—","Direction=H","UseDPDF=Y")</f>
        <v>#NAME?</v>
      </c>
      <c r="BV609" s="2" t="e">
        <f ca="1">_xll.BDH($C$603,"TOTAL_CAPITAL_SEQUENTIAL_GROWTH","FQ1 2015","FQ1 2015","Currency=INR","Period=FQ","BEST_FPERIOD_OVERRIDE=FQ","FILING_STATUS=OR","EQY_CONSOLIDATED=Y","Sort=A","Dates=H","DateFormat=P","Fill=—","Direction=H","UseDPDF=Y")</f>
        <v>#NAME?</v>
      </c>
      <c r="BW609" s="2" t="e">
        <f ca="1">_xll.BDH($C$603,"BPS_SEQUENTIAL_GROWTH","FQ1 2015","FQ1 2015","Currency=INR","Period=FQ","BEST_FPERIOD_OVERRIDE=FQ","FILING_STATUS=OR","EQY_CONSOLIDATED=Y","Sort=A","Dates=H","DateFormat=P","Fill=—","Direction=H","UseDPDF=Y")</f>
        <v>#NAME?</v>
      </c>
      <c r="BX609" s="2" t="e">
        <f ca="1">_xll.BDH($C$603,"CFO_SEQUENTIAL_GROWTH","FQ1 2015","FQ1 2015","Currency=INR","Period=FQ","BEST_FPERIOD_OVERRIDE=FQ","FILING_STATUS=OR","EQY_CONSOLIDATED=Y","Sort=A","Dates=H","DateFormat=P","Fill=—","Direction=H","UseDPDF=Y")</f>
        <v>#NAME?</v>
      </c>
      <c r="BY609" s="3" t="e">
        <f ca="1">_xll.BDH($C$603,"SHORT_AND_LONG_TERM_DEBT","FQ1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609" s="3" t="e">
        <f ca="1">_xll.BDH($C$603,"BS_ST_BORROW","FQ1 2015","FQ1 2015","Currency=INR","Period=FQ","BEST_FPERIOD_OVERRIDE=FQ","FILING_STATUS=OR","EQY_CONSOLIDATED=Y","SCALING_FORMAT=MLN","Sort=A","Dates=H","DateFormat=P","Fill=—","Direction=H","UseDPDF=Y")</f>
        <v>#NAME?</v>
      </c>
      <c r="CA609" s="3" t="e">
        <f ca="1">_xll.BDH($C$603,"BS_LT_BORROW","FQ1 2015","FQ1 2015","Currency=INR","Period=FQ","BEST_FPERIOD_OVERRIDE=FQ","FILING_STATUS=OR","EQY_CONSOLIDATED=Y","SCALING_FORMAT=MLN","Sort=A","Dates=H","DateFormat=P","Fill=—","Direction=H","UseDPDF=Y")</f>
        <v>#NAME?</v>
      </c>
      <c r="CB609" s="2" t="e">
        <f ca="1">_xll.BDH($C$603,"TOT_DEBT_TO_EBITDA","FQ1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609" s="2" t="e">
        <f ca="1">_xll.BDH($C$603,"NET_DEBT_TO_EBITDA","FQ1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609" s="2" t="e">
        <f ca="1">_xll.BDH($C$603,"TOTAL_DEBT_TO_EBIT","FQ1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609" s="2" t="e">
        <f ca="1">_xll.BDH($C$603,"NET_DEBT_TO_EBIT","FQ1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609" s="2" t="e">
        <f ca="1">_xll.BDH($C$603,"EBITDA_TO_INTEREST_EXPN","FQ1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609" s="2" t="e">
        <f ca="1">_xll.BDH($C$603,"COM_EQY_TO_TOT_ASSET","FQ1 2015","FQ1 2015","Currency=INR","Period=FQ","BEST_FPERIOD_OVERRIDE=FQ","FILING_STATUS=OR","EQY_CONSOLIDATED=Y","Sort=A","Dates=H","DateFormat=P","Fill=—","Direction=H","UseDPDF=Y")</f>
        <v>#NAME?</v>
      </c>
      <c r="CH609" s="2" t="e">
        <f ca="1">_xll.BDH($C$603,"LT_DEBT_TO_TOT_EQY","FQ1 2015","FQ1 2015","Currency=INR","Period=FQ","BEST_FPERIOD_OVERRIDE=FQ","FILING_STATUS=OR","EQY_CONSOLIDATED=Y","Sort=A","Dates=H","DateFormat=P","Fill=—","Direction=H","UseDPDF=Y")</f>
        <v>#NAME?</v>
      </c>
      <c r="CI609" s="2" t="e">
        <f ca="1">_xll.BDH($C$603,"LT_DEBT_TO_TOT_CAP","FQ1 2015","FQ1 2015","Currency=INR","Period=FQ","BEST_FPERIOD_OVERRIDE=FQ","FILING_STATUS=OR","EQY_CONSOLIDATED=Y","Sort=A","Dates=H","DateFormat=P","Fill=—","Direction=H","UseDPDF=Y")</f>
        <v>#NAME?</v>
      </c>
      <c r="CJ609" s="2" t="e">
        <f ca="1">_xll.BDH($C$603,"LT_DEBT_TO_TOT_ASSET","FQ1 2015","FQ1 2015","Currency=INR","Period=FQ","BEST_FPERIOD_OVERRIDE=FQ","FILING_STATUS=OR","EQY_CONSOLIDATED=Y","Sort=A","Dates=H","DateFormat=P","Fill=—","Direction=H","UseDPDF=Y")</f>
        <v>#NAME?</v>
      </c>
      <c r="CK609" s="2" t="e">
        <f ca="1">_xll.BDH($C$603,"TOT_DEBT_TO_TOT_EQY","FQ1 2015","FQ1 2015","Currency=INR","Period=FQ","BEST_FPERIOD_OVERRIDE=FQ","FILING_STATUS=OR","EQY_CONSOLIDATED=Y","Sort=A","Dates=H","DateFormat=P","Fill=—","Direction=H","UseDPDF=Y")</f>
        <v>#NAME?</v>
      </c>
      <c r="CL609" s="2" t="e">
        <f ca="1">_xll.BDH($C$603,"TOT_DEBT_TO_TOT_CAP","FQ1 2015","FQ1 2015","Currency=INR","Period=FQ","BEST_FPERIOD_OVERRIDE=FQ","FILING_STATUS=OR","EQY_CONSOLIDATED=Y","Sort=A","Dates=H","DateFormat=P","Fill=—","Direction=H","UseDPDF=Y")</f>
        <v>#NAME?</v>
      </c>
      <c r="CM609" s="2" t="e">
        <f ca="1">_xll.BDH($C$603,"TOT_DEBT_TO_TOT_ASSET","FQ1 2015","FQ1 2015","Currency=INR","Period=FQ","BEST_FPERIOD_OVERRIDE=FQ","FILING_STATUS=OR","EQY_CONSOLIDATED=Y","Sort=A","Dates=H","DateFormat=P","Fill=—","Direction=H","UseDPDF=Y")</f>
        <v>#NAME?</v>
      </c>
      <c r="CN609" s="2" t="e">
        <f ca="1">_xll.BDH($C$603,"NET_DEBT_TO_SHRHLDR_EQTY","FQ1 2015","FQ1 2015","Currency=INR","Period=FQ","BEST_FPERIOD_OVERRIDE=FQ","FILING_STATUS=OR","EQY_CONSOLIDATED=Y","Sort=A","Dates=H","DateFormat=P","Fill=—","Direction=H","UseDPDF=Y")</f>
        <v>#NAME?</v>
      </c>
      <c r="CO609" s="2" t="e">
        <f ca="1">_xll.BDH($C$603,"NET_DEBT_%_CAPITAL","FQ1 2015","FQ1 2015","Currency=INR","Period=FQ","BEST_FPERIOD_OVERRIDE=FQ","FILING_STATUS=OR","EQY_CONSOLIDATED=Y","Sort=A","Dates=H","DateFormat=P","Fill=—","Direction=H","UseDPDF=Y")</f>
        <v>#NAME?</v>
      </c>
      <c r="CP609" s="3" t="e">
        <f ca="1">_xll.BDH($C$603,"EBITDA","FQ1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609" s="3" t="e">
        <f ca="1">_xll.BDH($C$603,"EBITDA_AFTER_CAPEX","FQ1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609" s="3" t="e">
        <f ca="1">_xll.BDH($C$603,"IS_OPER_INC","FQ1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609" s="2" t="e">
        <f ca="1">_xll.BDH($C$603,"CASH_RATIO","FQ1 2015","FQ1 2015","Currency=INR","Period=FQ","BEST_FPERIOD_OVERRIDE=FQ","FILING_STATUS=OR","EQY_CONSOLIDATED=Y","Sort=A","Dates=H","DateFormat=P","Fill=—","Direction=H","UseDPDF=Y")</f>
        <v>#NAME?</v>
      </c>
      <c r="CT609" s="2" t="e">
        <f ca="1">_xll.BDH($C$603,"CUR_RATIO","FQ1 2015","FQ1 2015","Currency=INR","Period=FQ","BEST_FPERIOD_OVERRIDE=FQ","FILING_STATUS=OR","EQY_CONSOLIDATED=Y","Sort=A","Dates=H","DateFormat=P","Fill=—","Direction=H","UseDPDF=Y")</f>
        <v>#NAME?</v>
      </c>
      <c r="CU609" s="2" t="e">
        <f ca="1">_xll.BDH($C$603,"QUICK_RATIO","FQ1 2015","FQ1 2015","Currency=INR","Period=FQ","BEST_FPERIOD_OVERRIDE=FQ","FILING_STATUS=OR","EQY_CONSOLIDATED=Y","Sort=A","Dates=H","DateFormat=P","Fill=—","Direction=H","UseDPDF=Y")</f>
        <v>#NAME?</v>
      </c>
      <c r="CV609" s="2" t="e">
        <f ca="1">_xll.BDH($C$603,"ALTMAN_Z_SCORE","FQ1 2015","FQ1 2015","Currency=INR","Period=FQ","BEST_FPERIOD_OVERRIDE=FQ","FILING_STATUS=OR","EQY_CONSOLIDATED=Y","Sort=A","Dates=H","DateFormat=P","Fill=—","Direction=H","UseDPDF=Y")</f>
        <v>#NAME?</v>
      </c>
      <c r="CW609" s="4" t="e">
        <f ca="1">_xll.BDH($C$603,"ACCT_RCV_TURN","FQ1 2015","FQ1 2015","Currency=INR","Period=FQ","BEST_FPERIOD_OVERRIDE=FQ","FILING_STATUS=OR","EQY_CONSOLIDATED=Y","FA_ADJUSTED=GAAP","Sort=A","Dates=H","DateFormat=P","Fill=—","Direction=H","UseDPDF=Y")</f>
        <v>#NAME?</v>
      </c>
      <c r="CX609" s="2" t="e">
        <f ca="1">_xll.BDH($C$603,"ACCT_RCV_DAYS","FQ1 2015","FQ1 2015","Currency=INR","Period=FQ","BEST_FPERIOD_OVERRIDE=FQ","FILING_STATUS=OR","EQY_CONSOLIDATED=Y","FA_ADJUSTED=GAAP","Sort=A","Dates=H","DateFormat=P","Fill=—","Direction=H","UseDPDF=Y")</f>
        <v>#NAME?</v>
      </c>
      <c r="CY609" s="4" t="e">
        <f ca="1">_xll.BDH($C$603,"INVENT_TURN","FQ1 2015","FQ1 2015","Currency=INR","Period=FQ","BEST_FPERIOD_OVERRIDE=FQ","FILING_STATUS=OR","EQY_CONSOLIDATED=Y","FA_ADJUSTED=GAAP","Sort=A","Dates=H","DateFormat=P","Fill=—","Direction=H","UseDPDF=Y")</f>
        <v>#NAME?</v>
      </c>
      <c r="CZ609" s="2" t="e">
        <f ca="1">_xll.BDH($C$603,"INVENT_DAYS","FQ1 2015","FQ1 2015","Currency=INR","Period=FQ","BEST_FPERIOD_OVERRIDE=FQ","FILING_STATUS=OR","EQY_CONSOLIDATED=Y","FA_ADJUSTED=GAAP","Sort=A","Dates=H","DateFormat=P","Fill=—","Direction=H","UseDPDF=Y")</f>
        <v>#NAME?</v>
      </c>
      <c r="DA609" s="4" t="e">
        <f ca="1">_xll.BDH($C$603,"ACCOUNTS_PAYABLE_TURNOVER","FQ1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609" s="2" t="e">
        <f ca="1">_xll.BDH($C$603,"ACCOUNTS_PAYABLE_TURNOVER_DAYS","FQ1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609" s="4" t="e">
        <f ca="1">_xll.BDH($C$603,"CASH_CONVERSION_CYCLE","FQ1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609" s="4" t="e">
        <f ca="1">_xll.BDH($C$603,"INV_TO_CASH_DAYS","FQ1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609" s="5" t="e">
        <f ca="1">_xll.BDH($C$603,"BS_INVENTORIES","FQ1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609" s="3" t="e">
        <f ca="1">_xll.BDH($C$603,"INVTRY_RAW_MATERIALS","FQ1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609" s="3" t="e">
        <f ca="1">_xll.BDH($C$603,"INVTRY_IN_PROGRESS","FQ1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609" s="3" t="e">
        <f ca="1">_xll.BDH($C$603,"INVTRY_FINISHED_GOODS","FQ1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609" s="3" t="e">
        <f ca="1">_xll.BDH($C$603,"BS_OTHER_INV","FQ1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610" spans="1:113" x14ac:dyDescent="0.3">
      <c r="A610" s="6"/>
      <c r="B610" s="6"/>
      <c r="C610" s="6"/>
      <c r="D610" s="6"/>
      <c r="E610" t="s">
        <v>79</v>
      </c>
      <c r="F610" t="e">
        <f ca="1">_xll.BDH($C$603,"RETURN_COM_EQY","FQ2 2015","FQ2 2015","Currency=INR","Period=FQ","BEST_FPERIOD_OVERRIDE=FQ","FILING_STATUS=OR","EQY_CONSOLIDATED=Y","FA_ADJUSTED=GAAP","Sort=A","Dates=H","DateFormat=P","Fill=—","Direction=H","UseDPDF=Y")</f>
        <v>#NAME?</v>
      </c>
      <c r="G610" t="e">
        <f ca="1">_xll.BDH($C$603,"RETURN_ON_ASSET","FQ2 2015","FQ2 2015","Currency=INR","Period=FQ","BEST_FPERIOD_OVERRIDE=FQ","FILING_STATUS=OR","EQY_CONSOLIDATED=Y","FA_ADJUSTED=GAAP","Sort=A","Dates=H","DateFormat=P","Fill=—","Direction=H","UseDPDF=Y")</f>
        <v>#NAME?</v>
      </c>
      <c r="H610" t="e">
        <f ca="1">_xll.BDH($C$603,"RETURN_ON_CAP","FQ2 2015","FQ2 2015","Currency=INR","Period=FQ","BEST_FPERIOD_OVERRIDE=FQ","FILING_STATUS=OR","EQY_CONSOLIDATED=Y","FA_ADJUSTED=GAAP","Sort=A","Dates=H","DateFormat=P","Fill=—","Direction=H","UseDPDF=Y")</f>
        <v>#NAME?</v>
      </c>
      <c r="I610" t="e">
        <f ca="1">_xll.BDH($C$603,"RETURN_ON_INV_CAPITAL","FQ2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610" t="e">
        <f ca="1">_xll.BDH($C$603,"EBITDA_TO_REVENUE","FQ2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610" t="e">
        <f ca="1">_xll.BDH($C$603,"OPER_MARGIN","FQ2 2015","FQ2 2015","Currency=INR","Period=FQ","BEST_FPERIOD_OVERRIDE=FQ","FILING_STATUS=OR","EQY_CONSOLIDATED=Y","FA_ADJUSTED=GAAP","Sort=A","Dates=H","DateFormat=P","Fill=—","Direction=H","UseDPDF=Y")</f>
        <v>#NAME?</v>
      </c>
      <c r="L610" t="e">
        <f ca="1">_xll.BDH($C$603,"INCREMENTAL_OPERATING_MARGIN","FQ2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610" t="e">
        <f ca="1">_xll.BDH($C$603,"PRETAX_INC_TO_NET_SALES","FQ2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610" t="e">
        <f ca="1">_xll.BDH($C$603,"INC_BEF_XO_ITEMS_TO_NET_SALES","FQ2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610" t="e">
        <f ca="1">_xll.BDH($C$603,"PROF_MARGIN","FQ2 2015","FQ2 2015","Currency=INR","Period=FQ","BEST_FPERIOD_OVERRIDE=FQ","FILING_STATUS=OR","EQY_CONSOLIDATED=Y","FA_ADJUSTED=GAAP","Sort=A","Dates=H","DateFormat=P","Fill=—","Direction=H","UseDPDF=Y")</f>
        <v>#NAME?</v>
      </c>
      <c r="P610" t="e">
        <f ca="1">_xll.BDH($C$603,"NET_INCOME_TO_COMMON_MARGIN","FQ2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610" t="e">
        <f ca="1">_xll.BDH($C$603,"EFF_TAX_RATE","FQ2 2015","FQ2 2015","Currency=INR","Period=FQ","BEST_FPERIOD_OVERRIDE=FQ","FILING_STATUS=OR","EQY_CONSOLIDATED=Y","FA_ADJUSTED=GAAP","Sort=A","Dates=H","DateFormat=P","Fill=—","Direction=H","UseDPDF=Y")</f>
        <v>#NAME?</v>
      </c>
      <c r="R610" t="e">
        <f ca="1">_xll.BDH($C$603,"DVD_PAYOUT_RATIO","FQ2 2015","FQ2 2015","Currency=INR","Period=FQ","BEST_FPERIOD_OVERRIDE=FQ","FILING_STATUS=OR","EQY_CONSOLIDATED=Y","FA_ADJUSTED=GAAP","Sort=A","Dates=H","DateFormat=P","Fill=—","Direction=H","UseDPDF=Y")</f>
        <v>#NAME?</v>
      </c>
      <c r="S610" t="e">
        <f ca="1">_xll.BDH($C$603,"SUSTAIN_GROWTH_RT","FQ2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610" s="2" t="e">
        <f ca="1">_xll.BDH($C$603,"SALES_GROWTH","FQ2 2015","FQ2 2015","Currency=INR","Period=FQ","BEST_FPERIOD_OVERRIDE=FQ","FILING_STATUS=OR","EQY_CONSOLIDATED=Y","FA_ADJUSTED=GAAP","Sort=A","Dates=H","DateFormat=P","Fill=—","Direction=H","UseDPDF=Y")</f>
        <v>#NAME?</v>
      </c>
      <c r="U610" s="2" t="e">
        <f ca="1">_xll.BDH($C$603,"EBITDA_GROWTH","FQ2 2015","FQ2 2015","Currency=INR","Period=FQ","BEST_FPERIOD_OVERRIDE=FQ","FILING_STATUS=OR","EQY_CONSOLIDATED=Y","FA_ADJUSTED=GAAP","Sort=A","Dates=H","DateFormat=P","Fill=—","Direction=H","UseDPDF=Y")</f>
        <v>#NAME?</v>
      </c>
      <c r="V610" s="2" t="e">
        <f ca="1">_xll.BDH($C$603,"OPER_INC_GROWTH","FQ2 2015","FQ2 2015","Currency=INR","Period=FQ","BEST_FPERIOD_OVERRIDE=FQ","FILING_STATUS=OR","EQY_CONSOLIDATED=Y","FA_ADJUSTED=GAAP","Sort=A","Dates=H","DateFormat=P","Fill=—","Direction=H","UseDPDF=Y")</f>
        <v>#NAME?</v>
      </c>
      <c r="W610" s="2" t="e">
        <f ca="1">_xll.BDH($C$603,"EARN_FOR_COM_GROWTH","FQ2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610" s="2" t="e">
        <f ca="1">_xll.BDH($C$603,"DILUTED_EPS_AFT_XO_ITEMS_GROWTH","FQ2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610" s="2" t="e">
        <f ca="1">_xll.BDH($C$603,"DIVIDEND_PER_SHARE_1_YEAR_GROWTH","FQ2 2015","FQ2 2015","Currency=INR","Period=FQ","BEST_FPERIOD_OVERRIDE=FQ","FILING_STATUS=OR","EQY_CONSOLIDATED=Y","Sort=A","Dates=H","DateFormat=P","Fill=—","Direction=H","UseDPDF=Y")</f>
        <v>#NAME?</v>
      </c>
      <c r="Z610" s="2" t="e">
        <f ca="1">_xll.BDH($C$603,"ACCOUNTS_RECEIVABLE_GROWTH","FQ2 2015","FQ2 2015","Currency=INR","Period=FQ","BEST_FPERIOD_OVERRIDE=FQ","FILING_STATUS=OR","EQY_CONSOLIDATED=Y","Sort=A","Dates=H","DateFormat=P","Fill=—","Direction=H","UseDPDF=Y")</f>
        <v>#NAME?</v>
      </c>
      <c r="AA610" s="2" t="e">
        <f ca="1">_xll.BDH($C$603,"INVENTORY_GROWTH","FQ2 2015","FQ2 2015","Currency=INR","Period=FQ","BEST_FPERIOD_OVERRIDE=FQ","FILING_STATUS=OR","EQY_CONSOLIDATED=Y","Sort=A","Dates=H","DateFormat=P","Fill=—","Direction=H","UseDPDF=Y")</f>
        <v>#NAME?</v>
      </c>
      <c r="AB610" s="2" t="e">
        <f ca="1">_xll.BDH($C$603,"NET_FIXED_ASSETS_1_YEAR_GROWTH","FQ2 2015","FQ2 2015","Currency=INR","Period=FQ","BEST_FPERIOD_OVERRIDE=FQ","FILING_STATUS=OR","EQY_CONSOLIDATED=Y","Sort=A","Dates=H","DateFormat=P","Fill=—","Direction=H","UseDPDF=Y")</f>
        <v>#NAME?</v>
      </c>
      <c r="AC610" s="2" t="e">
        <f ca="1">_xll.BDH($C$603,"ASSET_GROWTH","FQ2 2015","FQ2 2015","Currency=INR","Period=FQ","BEST_FPERIOD_OVERRIDE=FQ","FILING_STATUS=OR","EQY_CONSOLIDATED=Y","Sort=A","Dates=H","DateFormat=P","Fill=—","Direction=H","UseDPDF=Y")</f>
        <v>#NAME?</v>
      </c>
      <c r="AD610" s="2" t="e">
        <f ca="1">_xll.BDH($C$603,"MODIFIED_WORK_CAP_GROWTH","FQ2 2015","FQ2 2015","Currency=INR","Period=FQ","BEST_FPERIOD_OVERRIDE=FQ","FILING_STATUS=OR","EQY_CONSOLIDATED=Y","Sort=A","Dates=H","DateFormat=P","Fill=—","Direction=H","UseDPDF=Y")</f>
        <v>#NAME?</v>
      </c>
      <c r="AE610" s="2" t="e">
        <f ca="1">_xll.BDH($C$603,"WORK_CAP_GROWTH","FQ2 2015","FQ2 2015","Currency=INR","Period=FQ","BEST_FPERIOD_OVERRIDE=FQ","FILING_STATUS=OR","EQY_CONSOLIDATED=Y","Sort=A","Dates=H","DateFormat=P","Fill=—","Direction=H","UseDPDF=Y")</f>
        <v>#NAME?</v>
      </c>
      <c r="AF610" s="2" t="e">
        <f ca="1">_xll.BDH($C$603,"ACCOUNTS_PAYABLE_GROWTH_1YR","FQ2 2015","FQ2 2015","Currency=INR","Period=FQ","BEST_FPERIOD_OVERRIDE=FQ","FILING_STATUS=OR","EQY_CONSOLIDATED=Y","Sort=A","Dates=H","DateFormat=P","Fill=—","Direction=H","UseDPDF=Y")</f>
        <v>#NAME?</v>
      </c>
      <c r="AG610" s="2" t="e">
        <f ca="1">_xll.BDH($C$603,"SHORT_TERM_DEBT_1_YEAR_GROWTH","FQ2 2015","FQ2 2015","Currency=INR","Period=FQ","BEST_FPERIOD_OVERRIDE=FQ","FILING_STATUS=OR","EQY_CONSOLIDATED=Y","Sort=A","Dates=H","DateFormat=P","Fill=—","Direction=H","UseDPDF=Y")</f>
        <v>#NAME?</v>
      </c>
      <c r="AH610" s="2" t="e">
        <f ca="1">_xll.BDH($C$603,"TOTAL_DEBT_1_YEAR_GROWTH","FQ2 2015","FQ2 2015","Currency=INR","Period=FQ","BEST_FPERIOD_OVERRIDE=FQ","FILING_STATUS=OR","EQY_CONSOLIDATED=Y","Sort=A","Dates=H","DateFormat=P","Fill=—","Direction=H","UseDPDF=Y")</f>
        <v>#NAME?</v>
      </c>
      <c r="AI610" s="2" t="e">
        <f ca="1">_xll.BDH($C$603,"TOTAL_EQUITY_1_YEAR_GROWTH","FQ2 2015","FQ2 2015","Currency=INR","Period=FQ","BEST_FPERIOD_OVERRIDE=FQ","FILING_STATUS=OR","EQY_CONSOLIDATED=Y","Sort=A","Dates=H","DateFormat=P","Fill=—","Direction=H","UseDPDF=Y")</f>
        <v>#NAME?</v>
      </c>
      <c r="AJ610" s="2" t="e">
        <f ca="1">_xll.BDH($C$603,"GROWTH_IN_CAP","FQ2 2015","FQ2 2015","Currency=INR","Period=FQ","BEST_FPERIOD_OVERRIDE=FQ","FILING_STATUS=OR","EQY_CONSOLIDATED=Y","Sort=A","Dates=H","DateFormat=P","Fill=—","Direction=H","UseDPDF=Y")</f>
        <v>#NAME?</v>
      </c>
      <c r="AK610" s="2" t="e">
        <f ca="1">_xll.BDH($C$603,"BVPS_GROWTH","FQ2 2015","FQ2 2015","Currency=INR","Period=FQ","BEST_FPERIOD_OVERRIDE=FQ","FILING_STATUS=OR","EQY_CONSOLIDATED=Y","Sort=A","Dates=H","DateFormat=P","Fill=—","Direction=H","UseDPDF=Y")</f>
        <v>#NAME?</v>
      </c>
      <c r="AL610" s="2" t="e">
        <f ca="1">_xll.BDH($C$603,"CASH_FLOW_GROWTH","FQ2 2015","FQ2 2015","Currency=INR","Period=FQ","BEST_FPERIOD_OVERRIDE=FQ","FILING_STATUS=OR","EQY_CONSOLIDATED=Y","Sort=A","Dates=H","DateFormat=P","Fill=—","Direction=H","UseDPDF=Y")</f>
        <v>#NAME?</v>
      </c>
      <c r="AM610" s="2" t="e">
        <f ca="1">_xll.BDH($C$603,"GEO_GROW_NET_SALES","FQ2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610" s="2" t="e">
        <f ca="1">_xll.BDH($C$603,"GEO_GROW_EBITDA","FQ2 2015","FQ2 2015","Currency=INR","Period=FQ","BEST_FPERIOD_OVERRIDE=FQ","FILING_STATUS=OR","EQY_CONSOLIDATED=Y","FA_ADJUSTED=GAAP","Sort=A","Dates=H","DateFormat=P","Fill=—","Direction=H","UseDPDF=Y")</f>
        <v>#NAME?</v>
      </c>
      <c r="AO610" s="2" t="e">
        <f ca="1">_xll.BDH($C$603,"GEO_GROW_OPER_INC","FQ2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610" s="2" t="e">
        <f ca="1">_xll.BDH($C$603,"NET_INCOME_TO_COMMON_5_YR_GROWTH","FQ2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610" s="2" t="e">
        <f ca="1">_xll.BDH($C$603,"5Y_GEO_GROWTH_DILUTED_EPS","FQ2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610" s="2" t="e">
        <f ca="1">_xll.BDH($C$603,"GEO_GROW_DVD_PER_SH","FQ2 2015","FQ2 2015","Currency=INR","Period=FQ","BEST_FPERIOD_OVERRIDE=FQ","FILING_STATUS=OR","EQY_CONSOLIDATED=Y","Sort=A","Dates=H","DateFormat=P","Fill=—","Direction=H","UseDPDF=Y")</f>
        <v>#NAME?</v>
      </c>
      <c r="AS610" s="2" t="e">
        <f ca="1">_xll.BDH($C$603,"ACCOUNTS_RECEIVABLE_5_YR_GROWTH","FQ2 2015","FQ2 2015","Currency=INR","Period=FQ","BEST_FPERIOD_OVERRIDE=FQ","FILING_STATUS=OR","EQY_CONSOLIDATED=Y","Sort=A","Dates=H","DateFormat=P","Fill=—","Direction=H","UseDPDF=Y")</f>
        <v>#NAME?</v>
      </c>
      <c r="AT610" s="2" t="e">
        <f ca="1">_xll.BDH($C$603,"INVENTORY_5_YEAR_GROWTH","FQ2 2015","FQ2 2015","Currency=INR","Period=FQ","BEST_FPERIOD_OVERRIDE=FQ","FILING_STATUS=OR","EQY_CONSOLIDATED=Y","Sort=A","Dates=H","DateFormat=P","Fill=—","Direction=H","UseDPDF=Y")</f>
        <v>#NAME?</v>
      </c>
      <c r="AU610" s="2" t="e">
        <f ca="1">_xll.BDH($C$603,"NET_FIXED_ASSETS_5_YEAR_GROWTH","FQ2 2015","FQ2 2015","Currency=INR","Period=FQ","BEST_FPERIOD_OVERRIDE=FQ","FILING_STATUS=OR","EQY_CONSOLIDATED=Y","Sort=A","Dates=H","DateFormat=P","Fill=—","Direction=H","UseDPDF=Y")</f>
        <v>#NAME?</v>
      </c>
      <c r="AV610" s="2" t="e">
        <f ca="1">_xll.BDH($C$603,"GEO_GROW_TOT_ASSET","FQ2 2015","FQ2 2015","Currency=INR","Period=FQ","BEST_FPERIOD_OVERRIDE=FQ","FILING_STATUS=OR","EQY_CONSOLIDATED=Y","Sort=A","Dates=H","DateFormat=P","Fill=—","Direction=H","UseDPDF=Y")</f>
        <v>#NAME?</v>
      </c>
      <c r="AW610" s="2" t="e">
        <f ca="1">_xll.BDH($C$603,"MODIFIED_WORKING_CPTL_5YR_GRWTH","FQ2 2015","FQ2 2015","Currency=INR","Period=FQ","BEST_FPERIOD_OVERRIDE=FQ","FILING_STATUS=OR","EQY_CONSOLIDATED=Y","Sort=A","Dates=H","DateFormat=P","Fill=—","Direction=H","UseDPDF=Y")</f>
        <v>#NAME?</v>
      </c>
      <c r="AX610" s="2" t="e">
        <f ca="1">_xll.BDH($C$603,"WORKING_CAPITAL_5_YEAR_GROWTH","FQ2 2015","FQ2 2015","Currency=INR","Period=FQ","BEST_FPERIOD_OVERRIDE=FQ","FILING_STATUS=OR","EQY_CONSOLIDATED=Y","Sort=A","Dates=H","DateFormat=P","Fill=—","Direction=H","UseDPDF=Y")</f>
        <v>#NAME?</v>
      </c>
      <c r="AY610" s="2" t="e">
        <f ca="1">_xll.BDH($C$603,"ACCOUNTS_PAYABLE_5_YEAR_GROWTH","FQ2 2015","FQ2 2015","Currency=INR","Period=FQ","BEST_FPERIOD_OVERRIDE=FQ","FILING_STATUS=OR","EQY_CONSOLIDATED=Y","Sort=A","Dates=H","DateFormat=P","Fill=—","Direction=H","UseDPDF=Y")</f>
        <v>#NAME?</v>
      </c>
      <c r="AZ610" s="2" t="e">
        <f ca="1">_xll.BDH($C$603,"SHORT_TERM_DEBT_5_YEAR_GROWTH","FQ2 2015","FQ2 2015","Currency=INR","Period=FQ","BEST_FPERIOD_OVERRIDE=FQ","FILING_STATUS=OR","EQY_CONSOLIDATED=Y","Sort=A","Dates=H","DateFormat=P","Fill=—","Direction=H","UseDPDF=Y")</f>
        <v>#NAME?</v>
      </c>
      <c r="BA610" s="2" t="e">
        <f ca="1">_xll.BDH($C$603,"TOTAL_DEBT_5_YEAR_GROWTH","FQ2 2015","FQ2 2015","Currency=INR","Period=FQ","BEST_FPERIOD_OVERRIDE=FQ","FILING_STATUS=OR","EQY_CONSOLIDATED=Y","Sort=A","Dates=H","DateFormat=P","Fill=—","Direction=H","UseDPDF=Y")</f>
        <v>#NAME?</v>
      </c>
      <c r="BB610" s="2" t="e">
        <f ca="1">_xll.BDH($C$603,"GEO_GROW_TOT_SHRHLDR_EQY","FQ2 2015","FQ2 2015","Currency=INR","Period=FQ","BEST_FPERIOD_OVERRIDE=FQ","FILING_STATUS=OR","EQY_CONSOLIDATED=Y","Sort=A","Dates=H","DateFormat=P","Fill=—","Direction=H","UseDPDF=Y")</f>
        <v>#NAME?</v>
      </c>
      <c r="BC610" s="2" t="e">
        <f ca="1">_xll.BDH($C$603,"TOTAL_CAPITAL_5_YEAR_GROWTH","FQ2 2015","FQ2 2015","Currency=INR","Period=FQ","BEST_FPERIOD_OVERRIDE=FQ","FILING_STATUS=OR","EQY_CONSOLIDATED=Y","Sort=A","Dates=H","DateFormat=P","Fill=—","Direction=H","UseDPDF=Y")</f>
        <v>#NAME?</v>
      </c>
      <c r="BD610" s="2" t="e">
        <f ca="1">_xll.BDH($C$603,"GEO_GROW_BOOK_VAL","FQ2 2015","FQ2 2015","Currency=INR","Period=FQ","BEST_FPERIOD_OVERRIDE=FQ","FILING_STATUS=OR","EQY_CONSOLIDATED=Y","Sort=A","Dates=H","DateFormat=P","Fill=—","Direction=H","UseDPDF=Y")</f>
        <v>#NAME?</v>
      </c>
      <c r="BE610" s="2" t="e">
        <f ca="1">_xll.BDH($C$603,"GEO_GROW_CASH_OPER_ACT","FQ2 2015","FQ2 2015","Currency=INR","Period=FQ","BEST_FPERIOD_OVERRIDE=FQ","FILING_STATUS=OR","EQY_CONSOLIDATED=Y","Sort=A","Dates=H","DateFormat=P","Fill=—","Direction=H","UseDPDF=Y")</f>
        <v>#NAME?</v>
      </c>
      <c r="BF610" s="2" t="e">
        <f ca="1">_xll.BDH($C$603,"REVENUE_SEQUENTIAL_GROWTH","FQ2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610" s="2" t="e">
        <f ca="1">_xll.BDH($C$603,"EBITDA_SEQUENTIAL_GROWTH","FQ2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610" s="2" t="e">
        <f ca="1">_xll.BDH($C$603,"OPERATING_INCOME_SEQ_GROWTH","FQ2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610" s="2" t="e">
        <f ca="1">_xll.BDH($C$603,"NET_INCOME_TO_COMMON_SEQ_GROWTH","FQ2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610" s="2" t="e">
        <f ca="1">_xll.BDH($C$603,"EPS_DILUTED_SEQUENTIAL_GROWTH","FQ2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610" s="2" t="e">
        <f ca="1">_xll.BDH($C$603,"DPS_SEQUENTIAL_GROWTH","FQ2 2015","FQ2 2015","Currency=INR","Period=FQ","BEST_FPERIOD_OVERRIDE=FQ","FILING_STATUS=OR","EQY_CONSOLIDATED=Y","Sort=A","Dates=H","DateFormat=P","Fill=—","Direction=H","UseDPDF=Y")</f>
        <v>#NAME?</v>
      </c>
      <c r="BL610" s="2" t="e">
        <f ca="1">_xll.BDH($C$603,"ACCOUNTS_RECEIVABLE_SEQ_GROWTH","FQ2 2015","FQ2 2015","Currency=INR","Period=FQ","BEST_FPERIOD_OVERRIDE=FQ","FILING_STATUS=OR","EQY_CONSOLIDATED=Y","Sort=A","Dates=H","DateFormat=P","Fill=—","Direction=H","UseDPDF=Y")</f>
        <v>#NAME?</v>
      </c>
      <c r="BM610" s="2" t="e">
        <f ca="1">_xll.BDH($C$603,"INVENTORY_SEQUENTIAL_GROWTH","FQ2 2015","FQ2 2015","Currency=INR","Period=FQ","BEST_FPERIOD_OVERRIDE=FQ","FILING_STATUS=OR","EQY_CONSOLIDATED=Y","Sort=A","Dates=H","DateFormat=P","Fill=—","Direction=H","UseDPDF=Y")</f>
        <v>#NAME?</v>
      </c>
      <c r="BN610" s="2" t="e">
        <f ca="1">_xll.BDH($C$603,"FIXED_ASSETS_SEQUENTIAL_GROWTH","FQ2 2015","FQ2 2015","Currency=INR","Period=FQ","BEST_FPERIOD_OVERRIDE=FQ","FILING_STATUS=OR","EQY_CONSOLIDATED=Y","Sort=A","Dates=H","DateFormat=P","Fill=—","Direction=H","UseDPDF=Y")</f>
        <v>#NAME?</v>
      </c>
      <c r="BO610" s="2" t="e">
        <f ca="1">_xll.BDH($C$603,"TOTAL_ASSETS_SEQUENTIAL_GROWTH","FQ2 2015","FQ2 2015","Currency=INR","Period=FQ","BEST_FPERIOD_OVERRIDE=FQ","FILING_STATUS=OR","EQY_CONSOLIDATED=Y","Sort=A","Dates=H","DateFormat=P","Fill=—","Direction=H","UseDPDF=Y")</f>
        <v>#NAME?</v>
      </c>
      <c r="BP610" s="2" t="e">
        <f ca="1">_xll.BDH($C$603,"MODIFIED_WORKING_CPTL_SEQ_GRWTH","FQ2 2015","FQ2 2015","Currency=INR","Period=FQ","BEST_FPERIOD_OVERRIDE=FQ","FILING_STATUS=OR","EQY_CONSOLIDATED=Y","Sort=A","Dates=H","DateFormat=P","Fill=—","Direction=H","UseDPDF=Y")</f>
        <v>#NAME?</v>
      </c>
      <c r="BQ610" s="2" t="e">
        <f ca="1">_xll.BDH($C$603,"WORKING_CAPITAL_SEQ_GROWTH","FQ2 2015","FQ2 2015","Currency=INR","Period=FQ","BEST_FPERIOD_OVERRIDE=FQ","FILING_STATUS=OR","EQY_CONSOLIDATED=Y","Sort=A","Dates=H","DateFormat=P","Fill=—","Direction=H","UseDPDF=Y")</f>
        <v>#NAME?</v>
      </c>
      <c r="BR610" s="2" t="e">
        <f ca="1">_xll.BDH($C$603,"ACCOUNTS_PAYABLE_SEQ_GROWTH","FQ2 2015","FQ2 2015","Currency=INR","Period=FQ","BEST_FPERIOD_OVERRIDE=FQ","FILING_STATUS=OR","EQY_CONSOLIDATED=Y","Sort=A","Dates=H","DateFormat=P","Fill=—","Direction=H","UseDPDF=Y")</f>
        <v>#NAME?</v>
      </c>
      <c r="BS610" s="2" t="e">
        <f ca="1">_xll.BDH($C$603,"ST_DEBT_SEQUENTIAL_GROWTH","FQ2 2015","FQ2 2015","Currency=INR","Period=FQ","BEST_FPERIOD_OVERRIDE=FQ","FILING_STATUS=OR","EQY_CONSOLIDATED=Y","Sort=A","Dates=H","DateFormat=P","Fill=—","Direction=H","UseDPDF=Y")</f>
        <v>#NAME?</v>
      </c>
      <c r="BT610" s="2" t="e">
        <f ca="1">_xll.BDH($C$603,"TOTAL_DEBT_SEQUENTIAL_GROWTH","FQ2 2015","FQ2 2015","Currency=INR","Period=FQ","BEST_FPERIOD_OVERRIDE=FQ","FILING_STATUS=OR","EQY_CONSOLIDATED=Y","Sort=A","Dates=H","DateFormat=P","Fill=—","Direction=H","UseDPDF=Y")</f>
        <v>#NAME?</v>
      </c>
      <c r="BU610" s="2" t="e">
        <f ca="1">_xll.BDH($C$603,"TOTAL_EQUITY_SEQUENTIAL_GROWTH","FQ2 2015","FQ2 2015","Currency=INR","Period=FQ","BEST_FPERIOD_OVERRIDE=FQ","FILING_STATUS=OR","EQY_CONSOLIDATED=Y","Sort=A","Dates=H","DateFormat=P","Fill=—","Direction=H","UseDPDF=Y")</f>
        <v>#NAME?</v>
      </c>
      <c r="BV610" s="2" t="e">
        <f ca="1">_xll.BDH($C$603,"TOTAL_CAPITAL_SEQUENTIAL_GROWTH","FQ2 2015","FQ2 2015","Currency=INR","Period=FQ","BEST_FPERIOD_OVERRIDE=FQ","FILING_STATUS=OR","EQY_CONSOLIDATED=Y","Sort=A","Dates=H","DateFormat=P","Fill=—","Direction=H","UseDPDF=Y")</f>
        <v>#NAME?</v>
      </c>
      <c r="BW610" s="2" t="e">
        <f ca="1">_xll.BDH($C$603,"BPS_SEQUENTIAL_GROWTH","FQ2 2015","FQ2 2015","Currency=INR","Period=FQ","BEST_FPERIOD_OVERRIDE=FQ","FILING_STATUS=OR","EQY_CONSOLIDATED=Y","Sort=A","Dates=H","DateFormat=P","Fill=—","Direction=H","UseDPDF=Y")</f>
        <v>#NAME?</v>
      </c>
      <c r="BX610" s="2" t="e">
        <f ca="1">_xll.BDH($C$603,"CFO_SEQUENTIAL_GROWTH","FQ2 2015","FQ2 2015","Currency=INR","Period=FQ","BEST_FPERIOD_OVERRIDE=FQ","FILING_STATUS=OR","EQY_CONSOLIDATED=Y","Sort=A","Dates=H","DateFormat=P","Fill=—","Direction=H","UseDPDF=Y")</f>
        <v>#NAME?</v>
      </c>
      <c r="BY610" s="3" t="e">
        <f ca="1">_xll.BDH($C$603,"SHORT_AND_LONG_TERM_DEBT","FQ2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610" s="3" t="e">
        <f ca="1">_xll.BDH($C$603,"BS_ST_BORROW","FQ2 2015","FQ2 2015","Currency=INR","Period=FQ","BEST_FPERIOD_OVERRIDE=FQ","FILING_STATUS=OR","EQY_CONSOLIDATED=Y","SCALING_FORMAT=MLN","Sort=A","Dates=H","DateFormat=P","Fill=—","Direction=H","UseDPDF=Y")</f>
        <v>#NAME?</v>
      </c>
      <c r="CA610" s="3" t="e">
        <f ca="1">_xll.BDH($C$603,"BS_LT_BORROW","FQ2 2015","FQ2 2015","Currency=INR","Period=FQ","BEST_FPERIOD_OVERRIDE=FQ","FILING_STATUS=OR","EQY_CONSOLIDATED=Y","SCALING_FORMAT=MLN","Sort=A","Dates=H","DateFormat=P","Fill=—","Direction=H","UseDPDF=Y")</f>
        <v>#NAME?</v>
      </c>
      <c r="CB610" s="2" t="e">
        <f ca="1">_xll.BDH($C$603,"TOT_DEBT_TO_EBITDA","FQ2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610" s="2" t="e">
        <f ca="1">_xll.BDH($C$603,"NET_DEBT_TO_EBITDA","FQ2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610" s="2" t="e">
        <f ca="1">_xll.BDH($C$603,"TOTAL_DEBT_TO_EBIT","FQ2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610" s="2" t="e">
        <f ca="1">_xll.BDH($C$603,"NET_DEBT_TO_EBIT","FQ2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610" s="2" t="e">
        <f ca="1">_xll.BDH($C$603,"EBITDA_TO_INTEREST_EXPN","FQ2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610" s="2" t="e">
        <f ca="1">_xll.BDH($C$603,"COM_EQY_TO_TOT_ASSET","FQ2 2015","FQ2 2015","Currency=INR","Period=FQ","BEST_FPERIOD_OVERRIDE=FQ","FILING_STATUS=OR","EQY_CONSOLIDATED=Y","Sort=A","Dates=H","DateFormat=P","Fill=—","Direction=H","UseDPDF=Y")</f>
        <v>#NAME?</v>
      </c>
      <c r="CH610" s="2" t="e">
        <f ca="1">_xll.BDH($C$603,"LT_DEBT_TO_TOT_EQY","FQ2 2015","FQ2 2015","Currency=INR","Period=FQ","BEST_FPERIOD_OVERRIDE=FQ","FILING_STATUS=OR","EQY_CONSOLIDATED=Y","Sort=A","Dates=H","DateFormat=P","Fill=—","Direction=H","UseDPDF=Y")</f>
        <v>#NAME?</v>
      </c>
      <c r="CI610" s="2" t="e">
        <f ca="1">_xll.BDH($C$603,"LT_DEBT_TO_TOT_CAP","FQ2 2015","FQ2 2015","Currency=INR","Period=FQ","BEST_FPERIOD_OVERRIDE=FQ","FILING_STATUS=OR","EQY_CONSOLIDATED=Y","Sort=A","Dates=H","DateFormat=P","Fill=—","Direction=H","UseDPDF=Y")</f>
        <v>#NAME?</v>
      </c>
      <c r="CJ610" s="2" t="e">
        <f ca="1">_xll.BDH($C$603,"LT_DEBT_TO_TOT_ASSET","FQ2 2015","FQ2 2015","Currency=INR","Period=FQ","BEST_FPERIOD_OVERRIDE=FQ","FILING_STATUS=OR","EQY_CONSOLIDATED=Y","Sort=A","Dates=H","DateFormat=P","Fill=—","Direction=H","UseDPDF=Y")</f>
        <v>#NAME?</v>
      </c>
      <c r="CK610" s="2" t="e">
        <f ca="1">_xll.BDH($C$603,"TOT_DEBT_TO_TOT_EQY","FQ2 2015","FQ2 2015","Currency=INR","Period=FQ","BEST_FPERIOD_OVERRIDE=FQ","FILING_STATUS=OR","EQY_CONSOLIDATED=Y","Sort=A","Dates=H","DateFormat=P","Fill=—","Direction=H","UseDPDF=Y")</f>
        <v>#NAME?</v>
      </c>
      <c r="CL610" s="2" t="e">
        <f ca="1">_xll.BDH($C$603,"TOT_DEBT_TO_TOT_CAP","FQ2 2015","FQ2 2015","Currency=INR","Period=FQ","BEST_FPERIOD_OVERRIDE=FQ","FILING_STATUS=OR","EQY_CONSOLIDATED=Y","Sort=A","Dates=H","DateFormat=P","Fill=—","Direction=H","UseDPDF=Y")</f>
        <v>#NAME?</v>
      </c>
      <c r="CM610" s="2" t="e">
        <f ca="1">_xll.BDH($C$603,"TOT_DEBT_TO_TOT_ASSET","FQ2 2015","FQ2 2015","Currency=INR","Period=FQ","BEST_FPERIOD_OVERRIDE=FQ","FILING_STATUS=OR","EQY_CONSOLIDATED=Y","Sort=A","Dates=H","DateFormat=P","Fill=—","Direction=H","UseDPDF=Y")</f>
        <v>#NAME?</v>
      </c>
      <c r="CN610" s="2" t="e">
        <f ca="1">_xll.BDH($C$603,"NET_DEBT_TO_SHRHLDR_EQTY","FQ2 2015","FQ2 2015","Currency=INR","Period=FQ","BEST_FPERIOD_OVERRIDE=FQ","FILING_STATUS=OR","EQY_CONSOLIDATED=Y","Sort=A","Dates=H","DateFormat=P","Fill=—","Direction=H","UseDPDF=Y")</f>
        <v>#NAME?</v>
      </c>
      <c r="CO610" s="2" t="e">
        <f ca="1">_xll.BDH($C$603,"NET_DEBT_%_CAPITAL","FQ2 2015","FQ2 2015","Currency=INR","Period=FQ","BEST_FPERIOD_OVERRIDE=FQ","FILING_STATUS=OR","EQY_CONSOLIDATED=Y","Sort=A","Dates=H","DateFormat=P","Fill=—","Direction=H","UseDPDF=Y")</f>
        <v>#NAME?</v>
      </c>
      <c r="CP610" s="3" t="e">
        <f ca="1">_xll.BDH($C$603,"EBITDA","FQ2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610" s="3" t="e">
        <f ca="1">_xll.BDH($C$603,"EBITDA_AFTER_CAPEX","FQ2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610" s="3" t="e">
        <f ca="1">_xll.BDH($C$603,"IS_OPER_INC","FQ2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610" s="2" t="e">
        <f ca="1">_xll.BDH($C$603,"CASH_RATIO","FQ2 2015","FQ2 2015","Currency=INR","Period=FQ","BEST_FPERIOD_OVERRIDE=FQ","FILING_STATUS=OR","EQY_CONSOLIDATED=Y","Sort=A","Dates=H","DateFormat=P","Fill=—","Direction=H","UseDPDF=Y")</f>
        <v>#NAME?</v>
      </c>
      <c r="CT610" s="2" t="e">
        <f ca="1">_xll.BDH($C$603,"CUR_RATIO","FQ2 2015","FQ2 2015","Currency=INR","Period=FQ","BEST_FPERIOD_OVERRIDE=FQ","FILING_STATUS=OR","EQY_CONSOLIDATED=Y","Sort=A","Dates=H","DateFormat=P","Fill=—","Direction=H","UseDPDF=Y")</f>
        <v>#NAME?</v>
      </c>
      <c r="CU610" s="2" t="e">
        <f ca="1">_xll.BDH($C$603,"QUICK_RATIO","FQ2 2015","FQ2 2015","Currency=INR","Period=FQ","BEST_FPERIOD_OVERRIDE=FQ","FILING_STATUS=OR","EQY_CONSOLIDATED=Y","Sort=A","Dates=H","DateFormat=P","Fill=—","Direction=H","UseDPDF=Y")</f>
        <v>#NAME?</v>
      </c>
      <c r="CV610" s="2" t="e">
        <f ca="1">_xll.BDH($C$603,"ALTMAN_Z_SCORE","FQ2 2015","FQ2 2015","Currency=INR","Period=FQ","BEST_FPERIOD_OVERRIDE=FQ","FILING_STATUS=OR","EQY_CONSOLIDATED=Y","Sort=A","Dates=H","DateFormat=P","Fill=—","Direction=H","UseDPDF=Y")</f>
        <v>#NAME?</v>
      </c>
      <c r="CW610" s="4" t="e">
        <f ca="1">_xll.BDH($C$603,"ACCT_RCV_TURN","FQ2 2015","FQ2 2015","Currency=INR","Period=FQ","BEST_FPERIOD_OVERRIDE=FQ","FILING_STATUS=OR","EQY_CONSOLIDATED=Y","FA_ADJUSTED=GAAP","Sort=A","Dates=H","DateFormat=P","Fill=—","Direction=H","UseDPDF=Y")</f>
        <v>#NAME?</v>
      </c>
      <c r="CX610" s="2" t="e">
        <f ca="1">_xll.BDH($C$603,"ACCT_RCV_DAYS","FQ2 2015","FQ2 2015","Currency=INR","Period=FQ","BEST_FPERIOD_OVERRIDE=FQ","FILING_STATUS=OR","EQY_CONSOLIDATED=Y","FA_ADJUSTED=GAAP","Sort=A","Dates=H","DateFormat=P","Fill=—","Direction=H","UseDPDF=Y")</f>
        <v>#NAME?</v>
      </c>
      <c r="CY610" s="4" t="e">
        <f ca="1">_xll.BDH($C$603,"INVENT_TURN","FQ2 2015","FQ2 2015","Currency=INR","Period=FQ","BEST_FPERIOD_OVERRIDE=FQ","FILING_STATUS=OR","EQY_CONSOLIDATED=Y","FA_ADJUSTED=GAAP","Sort=A","Dates=H","DateFormat=P","Fill=—","Direction=H","UseDPDF=Y")</f>
        <v>#NAME?</v>
      </c>
      <c r="CZ610" s="2" t="e">
        <f ca="1">_xll.BDH($C$603,"INVENT_DAYS","FQ2 2015","FQ2 2015","Currency=INR","Period=FQ","BEST_FPERIOD_OVERRIDE=FQ","FILING_STATUS=OR","EQY_CONSOLIDATED=Y","FA_ADJUSTED=GAAP","Sort=A","Dates=H","DateFormat=P","Fill=—","Direction=H","UseDPDF=Y")</f>
        <v>#NAME?</v>
      </c>
      <c r="DA610" s="4" t="e">
        <f ca="1">_xll.BDH($C$603,"ACCOUNTS_PAYABLE_TURNOVER","FQ2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610" s="2" t="e">
        <f ca="1">_xll.BDH($C$603,"ACCOUNTS_PAYABLE_TURNOVER_DAYS","FQ2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610" s="4" t="e">
        <f ca="1">_xll.BDH($C$603,"CASH_CONVERSION_CYCLE","FQ2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610" s="4" t="e">
        <f ca="1">_xll.BDH($C$603,"INV_TO_CASH_DAYS","FQ2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610" s="5" t="e">
        <f ca="1">_xll.BDH($C$603,"BS_INVENTORIES","FQ2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610" s="3" t="e">
        <f ca="1">_xll.BDH($C$603,"INVTRY_RAW_MATERIALS","FQ2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610" s="3" t="e">
        <f ca="1">_xll.BDH($C$603,"INVTRY_IN_PROGRESS","FQ2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610" s="3" t="e">
        <f ca="1">_xll.BDH($C$603,"INVTRY_FINISHED_GOODS","FQ2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610" s="3" t="e">
        <f ca="1">_xll.BDH($C$603,"BS_OTHER_INV","FQ2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611" spans="1:113" x14ac:dyDescent="0.3">
      <c r="A611" s="6"/>
      <c r="B611" s="6"/>
      <c r="C611" s="6"/>
      <c r="D611" s="6"/>
      <c r="E611" t="s">
        <v>80</v>
      </c>
      <c r="F611" t="e">
        <f ca="1">_xll.BDH($C$603,"RETURN_COM_EQY","FQ3 2015","FQ3 2015","Currency=INR","Period=FQ","BEST_FPERIOD_OVERRIDE=FQ","FILING_STATUS=OR","EQY_CONSOLIDATED=Y","FA_ADJUSTED=GAAP","Sort=A","Dates=H","DateFormat=P","Fill=—","Direction=H","UseDPDF=Y")</f>
        <v>#NAME?</v>
      </c>
      <c r="G611" t="e">
        <f ca="1">_xll.BDH($C$603,"RETURN_ON_ASSET","FQ3 2015","FQ3 2015","Currency=INR","Period=FQ","BEST_FPERIOD_OVERRIDE=FQ","FILING_STATUS=OR","EQY_CONSOLIDATED=Y","FA_ADJUSTED=GAAP","Sort=A","Dates=H","DateFormat=P","Fill=—","Direction=H","UseDPDF=Y")</f>
        <v>#NAME?</v>
      </c>
      <c r="H611" t="e">
        <f ca="1">_xll.BDH($C$603,"RETURN_ON_CAP","FQ3 2015","FQ3 2015","Currency=INR","Period=FQ","BEST_FPERIOD_OVERRIDE=FQ","FILING_STATUS=OR","EQY_CONSOLIDATED=Y","FA_ADJUSTED=GAAP","Sort=A","Dates=H","DateFormat=P","Fill=—","Direction=H","UseDPDF=Y")</f>
        <v>#NAME?</v>
      </c>
      <c r="I611" t="e">
        <f ca="1">_xll.BDH($C$603,"RETURN_ON_INV_CAPITAL","FQ3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611" t="e">
        <f ca="1">_xll.BDH($C$603,"EBITDA_TO_REVENUE","FQ3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611" t="e">
        <f ca="1">_xll.BDH($C$603,"OPER_MARGIN","FQ3 2015","FQ3 2015","Currency=INR","Period=FQ","BEST_FPERIOD_OVERRIDE=FQ","FILING_STATUS=OR","EQY_CONSOLIDATED=Y","FA_ADJUSTED=GAAP","Sort=A","Dates=H","DateFormat=P","Fill=—","Direction=H","UseDPDF=Y")</f>
        <v>#NAME?</v>
      </c>
      <c r="L611" t="e">
        <f ca="1">_xll.BDH($C$603,"INCREMENTAL_OPERATING_MARGIN","FQ3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611" t="e">
        <f ca="1">_xll.BDH($C$603,"PRETAX_INC_TO_NET_SALES","FQ3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611" t="e">
        <f ca="1">_xll.BDH($C$603,"INC_BEF_XO_ITEMS_TO_NET_SALES","FQ3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611" t="e">
        <f ca="1">_xll.BDH($C$603,"PROF_MARGIN","FQ3 2015","FQ3 2015","Currency=INR","Period=FQ","BEST_FPERIOD_OVERRIDE=FQ","FILING_STATUS=OR","EQY_CONSOLIDATED=Y","FA_ADJUSTED=GAAP","Sort=A","Dates=H","DateFormat=P","Fill=—","Direction=H","UseDPDF=Y")</f>
        <v>#NAME?</v>
      </c>
      <c r="P611" t="e">
        <f ca="1">_xll.BDH($C$603,"NET_INCOME_TO_COMMON_MARGIN","FQ3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611" t="e">
        <f ca="1">_xll.BDH($C$603,"EFF_TAX_RATE","FQ3 2015","FQ3 2015","Currency=INR","Period=FQ","BEST_FPERIOD_OVERRIDE=FQ","FILING_STATUS=OR","EQY_CONSOLIDATED=Y","FA_ADJUSTED=GAAP","Sort=A","Dates=H","DateFormat=P","Fill=—","Direction=H","UseDPDF=Y")</f>
        <v>#NAME?</v>
      </c>
      <c r="R611" t="e">
        <f ca="1">_xll.BDH($C$603,"DVD_PAYOUT_RATIO","FQ3 2015","FQ3 2015","Currency=INR","Period=FQ","BEST_FPERIOD_OVERRIDE=FQ","FILING_STATUS=OR","EQY_CONSOLIDATED=Y","FA_ADJUSTED=GAAP","Sort=A","Dates=H","DateFormat=P","Fill=—","Direction=H","UseDPDF=Y")</f>
        <v>#NAME?</v>
      </c>
      <c r="S611" t="e">
        <f ca="1">_xll.BDH($C$603,"SUSTAIN_GROWTH_RT","FQ3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611" s="2" t="e">
        <f ca="1">_xll.BDH($C$603,"SALES_GROWTH","FQ3 2015","FQ3 2015","Currency=INR","Period=FQ","BEST_FPERIOD_OVERRIDE=FQ","FILING_STATUS=OR","EQY_CONSOLIDATED=Y","FA_ADJUSTED=GAAP","Sort=A","Dates=H","DateFormat=P","Fill=—","Direction=H","UseDPDF=Y")</f>
        <v>#NAME?</v>
      </c>
      <c r="U611" s="2" t="e">
        <f ca="1">_xll.BDH($C$603,"EBITDA_GROWTH","FQ3 2015","FQ3 2015","Currency=INR","Period=FQ","BEST_FPERIOD_OVERRIDE=FQ","FILING_STATUS=OR","EQY_CONSOLIDATED=Y","FA_ADJUSTED=GAAP","Sort=A","Dates=H","DateFormat=P","Fill=—","Direction=H","UseDPDF=Y")</f>
        <v>#NAME?</v>
      </c>
      <c r="V611" s="2" t="e">
        <f ca="1">_xll.BDH($C$603,"OPER_INC_GROWTH","FQ3 2015","FQ3 2015","Currency=INR","Period=FQ","BEST_FPERIOD_OVERRIDE=FQ","FILING_STATUS=OR","EQY_CONSOLIDATED=Y","FA_ADJUSTED=GAAP","Sort=A","Dates=H","DateFormat=P","Fill=—","Direction=H","UseDPDF=Y")</f>
        <v>#NAME?</v>
      </c>
      <c r="W611" s="2" t="e">
        <f ca="1">_xll.BDH($C$603,"EARN_FOR_COM_GROWTH","FQ3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611" s="2" t="e">
        <f ca="1">_xll.BDH($C$603,"DILUTED_EPS_AFT_XO_ITEMS_GROWTH","FQ3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611" s="2" t="e">
        <f ca="1">_xll.BDH($C$603,"DIVIDEND_PER_SHARE_1_YEAR_GROWTH","FQ3 2015","FQ3 2015","Currency=INR","Period=FQ","BEST_FPERIOD_OVERRIDE=FQ","FILING_STATUS=OR","EQY_CONSOLIDATED=Y","Sort=A","Dates=H","DateFormat=P","Fill=—","Direction=H","UseDPDF=Y")</f>
        <v>#NAME?</v>
      </c>
      <c r="Z611" s="2" t="e">
        <f ca="1">_xll.BDH($C$603,"ACCOUNTS_RECEIVABLE_GROWTH","FQ3 2015","FQ3 2015","Currency=INR","Period=FQ","BEST_FPERIOD_OVERRIDE=FQ","FILING_STATUS=OR","EQY_CONSOLIDATED=Y","Sort=A","Dates=H","DateFormat=P","Fill=—","Direction=H","UseDPDF=Y")</f>
        <v>#NAME?</v>
      </c>
      <c r="AA611" s="2" t="e">
        <f ca="1">_xll.BDH($C$603,"INVENTORY_GROWTH","FQ3 2015","FQ3 2015","Currency=INR","Period=FQ","BEST_FPERIOD_OVERRIDE=FQ","FILING_STATUS=OR","EQY_CONSOLIDATED=Y","Sort=A","Dates=H","DateFormat=P","Fill=—","Direction=H","UseDPDF=Y")</f>
        <v>#NAME?</v>
      </c>
      <c r="AB611" s="2" t="e">
        <f ca="1">_xll.BDH($C$603,"NET_FIXED_ASSETS_1_YEAR_GROWTH","FQ3 2015","FQ3 2015","Currency=INR","Period=FQ","BEST_FPERIOD_OVERRIDE=FQ","FILING_STATUS=OR","EQY_CONSOLIDATED=Y","Sort=A","Dates=H","DateFormat=P","Fill=—","Direction=H","UseDPDF=Y")</f>
        <v>#NAME?</v>
      </c>
      <c r="AC611" s="2" t="e">
        <f ca="1">_xll.BDH($C$603,"ASSET_GROWTH","FQ3 2015","FQ3 2015","Currency=INR","Period=FQ","BEST_FPERIOD_OVERRIDE=FQ","FILING_STATUS=OR","EQY_CONSOLIDATED=Y","Sort=A","Dates=H","DateFormat=P","Fill=—","Direction=H","UseDPDF=Y")</f>
        <v>#NAME?</v>
      </c>
      <c r="AD611" s="2" t="e">
        <f ca="1">_xll.BDH($C$603,"MODIFIED_WORK_CAP_GROWTH","FQ3 2015","FQ3 2015","Currency=INR","Period=FQ","BEST_FPERIOD_OVERRIDE=FQ","FILING_STATUS=OR","EQY_CONSOLIDATED=Y","Sort=A","Dates=H","DateFormat=P","Fill=—","Direction=H","UseDPDF=Y")</f>
        <v>#NAME?</v>
      </c>
      <c r="AE611" s="2" t="e">
        <f ca="1">_xll.BDH($C$603,"WORK_CAP_GROWTH","FQ3 2015","FQ3 2015","Currency=INR","Period=FQ","BEST_FPERIOD_OVERRIDE=FQ","FILING_STATUS=OR","EQY_CONSOLIDATED=Y","Sort=A","Dates=H","DateFormat=P","Fill=—","Direction=H","UseDPDF=Y")</f>
        <v>#NAME?</v>
      </c>
      <c r="AF611" s="2" t="e">
        <f ca="1">_xll.BDH($C$603,"ACCOUNTS_PAYABLE_GROWTH_1YR","FQ3 2015","FQ3 2015","Currency=INR","Period=FQ","BEST_FPERIOD_OVERRIDE=FQ","FILING_STATUS=OR","EQY_CONSOLIDATED=Y","Sort=A","Dates=H","DateFormat=P","Fill=—","Direction=H","UseDPDF=Y")</f>
        <v>#NAME?</v>
      </c>
      <c r="AG611" s="2" t="e">
        <f ca="1">_xll.BDH($C$603,"SHORT_TERM_DEBT_1_YEAR_GROWTH","FQ3 2015","FQ3 2015","Currency=INR","Period=FQ","BEST_FPERIOD_OVERRIDE=FQ","FILING_STATUS=OR","EQY_CONSOLIDATED=Y","Sort=A","Dates=H","DateFormat=P","Fill=—","Direction=H","UseDPDF=Y")</f>
        <v>#NAME?</v>
      </c>
      <c r="AH611" s="2" t="e">
        <f ca="1">_xll.BDH($C$603,"TOTAL_DEBT_1_YEAR_GROWTH","FQ3 2015","FQ3 2015","Currency=INR","Period=FQ","BEST_FPERIOD_OVERRIDE=FQ","FILING_STATUS=OR","EQY_CONSOLIDATED=Y","Sort=A","Dates=H","DateFormat=P","Fill=—","Direction=H","UseDPDF=Y")</f>
        <v>#NAME?</v>
      </c>
      <c r="AI611" s="2" t="e">
        <f ca="1">_xll.BDH($C$603,"TOTAL_EQUITY_1_YEAR_GROWTH","FQ3 2015","FQ3 2015","Currency=INR","Period=FQ","BEST_FPERIOD_OVERRIDE=FQ","FILING_STATUS=OR","EQY_CONSOLIDATED=Y","Sort=A","Dates=H","DateFormat=P","Fill=—","Direction=H","UseDPDF=Y")</f>
        <v>#NAME?</v>
      </c>
      <c r="AJ611" s="2" t="e">
        <f ca="1">_xll.BDH($C$603,"GROWTH_IN_CAP","FQ3 2015","FQ3 2015","Currency=INR","Period=FQ","BEST_FPERIOD_OVERRIDE=FQ","FILING_STATUS=OR","EQY_CONSOLIDATED=Y","Sort=A","Dates=H","DateFormat=P","Fill=—","Direction=H","UseDPDF=Y")</f>
        <v>#NAME?</v>
      </c>
      <c r="AK611" s="2" t="e">
        <f ca="1">_xll.BDH($C$603,"BVPS_GROWTH","FQ3 2015","FQ3 2015","Currency=INR","Period=FQ","BEST_FPERIOD_OVERRIDE=FQ","FILING_STATUS=OR","EQY_CONSOLIDATED=Y","Sort=A","Dates=H","DateFormat=P","Fill=—","Direction=H","UseDPDF=Y")</f>
        <v>#NAME?</v>
      </c>
      <c r="AL611" s="2" t="e">
        <f ca="1">_xll.BDH($C$603,"CASH_FLOW_GROWTH","FQ3 2015","FQ3 2015","Currency=INR","Period=FQ","BEST_FPERIOD_OVERRIDE=FQ","FILING_STATUS=OR","EQY_CONSOLIDATED=Y","Sort=A","Dates=H","DateFormat=P","Fill=—","Direction=H","UseDPDF=Y")</f>
        <v>#NAME?</v>
      </c>
      <c r="AM611" s="2" t="e">
        <f ca="1">_xll.BDH($C$603,"GEO_GROW_NET_SALES","FQ3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611" s="2" t="e">
        <f ca="1">_xll.BDH($C$603,"GEO_GROW_EBITDA","FQ3 2015","FQ3 2015","Currency=INR","Period=FQ","BEST_FPERIOD_OVERRIDE=FQ","FILING_STATUS=OR","EQY_CONSOLIDATED=Y","FA_ADJUSTED=GAAP","Sort=A","Dates=H","DateFormat=P","Fill=—","Direction=H","UseDPDF=Y")</f>
        <v>#NAME?</v>
      </c>
      <c r="AO611" s="2" t="e">
        <f ca="1">_xll.BDH($C$603,"GEO_GROW_OPER_INC","FQ3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611" s="2" t="e">
        <f ca="1">_xll.BDH($C$603,"NET_INCOME_TO_COMMON_5_YR_GROWTH","FQ3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611" s="2" t="e">
        <f ca="1">_xll.BDH($C$603,"5Y_GEO_GROWTH_DILUTED_EPS","FQ3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611" s="2" t="e">
        <f ca="1">_xll.BDH($C$603,"GEO_GROW_DVD_PER_SH","FQ3 2015","FQ3 2015","Currency=INR","Period=FQ","BEST_FPERIOD_OVERRIDE=FQ","FILING_STATUS=OR","EQY_CONSOLIDATED=Y","Sort=A","Dates=H","DateFormat=P","Fill=—","Direction=H","UseDPDF=Y")</f>
        <v>#NAME?</v>
      </c>
      <c r="AS611" s="2" t="e">
        <f ca="1">_xll.BDH($C$603,"ACCOUNTS_RECEIVABLE_5_YR_GROWTH","FQ3 2015","FQ3 2015","Currency=INR","Period=FQ","BEST_FPERIOD_OVERRIDE=FQ","FILING_STATUS=OR","EQY_CONSOLIDATED=Y","Sort=A","Dates=H","DateFormat=P","Fill=—","Direction=H","UseDPDF=Y")</f>
        <v>#NAME?</v>
      </c>
      <c r="AT611" s="2" t="e">
        <f ca="1">_xll.BDH($C$603,"INVENTORY_5_YEAR_GROWTH","FQ3 2015","FQ3 2015","Currency=INR","Period=FQ","BEST_FPERIOD_OVERRIDE=FQ","FILING_STATUS=OR","EQY_CONSOLIDATED=Y","Sort=A","Dates=H","DateFormat=P","Fill=—","Direction=H","UseDPDF=Y")</f>
        <v>#NAME?</v>
      </c>
      <c r="AU611" s="2" t="e">
        <f ca="1">_xll.BDH($C$603,"NET_FIXED_ASSETS_5_YEAR_GROWTH","FQ3 2015","FQ3 2015","Currency=INR","Period=FQ","BEST_FPERIOD_OVERRIDE=FQ","FILING_STATUS=OR","EQY_CONSOLIDATED=Y","Sort=A","Dates=H","DateFormat=P","Fill=—","Direction=H","UseDPDF=Y")</f>
        <v>#NAME?</v>
      </c>
      <c r="AV611" s="2" t="e">
        <f ca="1">_xll.BDH($C$603,"GEO_GROW_TOT_ASSET","FQ3 2015","FQ3 2015","Currency=INR","Period=FQ","BEST_FPERIOD_OVERRIDE=FQ","FILING_STATUS=OR","EQY_CONSOLIDATED=Y","Sort=A","Dates=H","DateFormat=P","Fill=—","Direction=H","UseDPDF=Y")</f>
        <v>#NAME?</v>
      </c>
      <c r="AW611" s="2" t="e">
        <f ca="1">_xll.BDH($C$603,"MODIFIED_WORKING_CPTL_5YR_GRWTH","FQ3 2015","FQ3 2015","Currency=INR","Period=FQ","BEST_FPERIOD_OVERRIDE=FQ","FILING_STATUS=OR","EQY_CONSOLIDATED=Y","Sort=A","Dates=H","DateFormat=P","Fill=—","Direction=H","UseDPDF=Y")</f>
        <v>#NAME?</v>
      </c>
      <c r="AX611" s="2" t="e">
        <f ca="1">_xll.BDH($C$603,"WORKING_CAPITAL_5_YEAR_GROWTH","FQ3 2015","FQ3 2015","Currency=INR","Period=FQ","BEST_FPERIOD_OVERRIDE=FQ","FILING_STATUS=OR","EQY_CONSOLIDATED=Y","Sort=A","Dates=H","DateFormat=P","Fill=—","Direction=H","UseDPDF=Y")</f>
        <v>#NAME?</v>
      </c>
      <c r="AY611" s="2" t="e">
        <f ca="1">_xll.BDH($C$603,"ACCOUNTS_PAYABLE_5_YEAR_GROWTH","FQ3 2015","FQ3 2015","Currency=INR","Period=FQ","BEST_FPERIOD_OVERRIDE=FQ","FILING_STATUS=OR","EQY_CONSOLIDATED=Y","Sort=A","Dates=H","DateFormat=P","Fill=—","Direction=H","UseDPDF=Y")</f>
        <v>#NAME?</v>
      </c>
      <c r="AZ611" s="2" t="e">
        <f ca="1">_xll.BDH($C$603,"SHORT_TERM_DEBT_5_YEAR_GROWTH","FQ3 2015","FQ3 2015","Currency=INR","Period=FQ","BEST_FPERIOD_OVERRIDE=FQ","FILING_STATUS=OR","EQY_CONSOLIDATED=Y","Sort=A","Dates=H","DateFormat=P","Fill=—","Direction=H","UseDPDF=Y")</f>
        <v>#NAME?</v>
      </c>
      <c r="BA611" s="2" t="e">
        <f ca="1">_xll.BDH($C$603,"TOTAL_DEBT_5_YEAR_GROWTH","FQ3 2015","FQ3 2015","Currency=INR","Period=FQ","BEST_FPERIOD_OVERRIDE=FQ","FILING_STATUS=OR","EQY_CONSOLIDATED=Y","Sort=A","Dates=H","DateFormat=P","Fill=—","Direction=H","UseDPDF=Y")</f>
        <v>#NAME?</v>
      </c>
      <c r="BB611" s="2" t="e">
        <f ca="1">_xll.BDH($C$603,"GEO_GROW_TOT_SHRHLDR_EQY","FQ3 2015","FQ3 2015","Currency=INR","Period=FQ","BEST_FPERIOD_OVERRIDE=FQ","FILING_STATUS=OR","EQY_CONSOLIDATED=Y","Sort=A","Dates=H","DateFormat=P","Fill=—","Direction=H","UseDPDF=Y")</f>
        <v>#NAME?</v>
      </c>
      <c r="BC611" s="2" t="e">
        <f ca="1">_xll.BDH($C$603,"TOTAL_CAPITAL_5_YEAR_GROWTH","FQ3 2015","FQ3 2015","Currency=INR","Period=FQ","BEST_FPERIOD_OVERRIDE=FQ","FILING_STATUS=OR","EQY_CONSOLIDATED=Y","Sort=A","Dates=H","DateFormat=P","Fill=—","Direction=H","UseDPDF=Y")</f>
        <v>#NAME?</v>
      </c>
      <c r="BD611" s="2" t="e">
        <f ca="1">_xll.BDH($C$603,"GEO_GROW_BOOK_VAL","FQ3 2015","FQ3 2015","Currency=INR","Period=FQ","BEST_FPERIOD_OVERRIDE=FQ","FILING_STATUS=OR","EQY_CONSOLIDATED=Y","Sort=A","Dates=H","DateFormat=P","Fill=—","Direction=H","UseDPDF=Y")</f>
        <v>#NAME?</v>
      </c>
      <c r="BE611" s="2" t="e">
        <f ca="1">_xll.BDH($C$603,"GEO_GROW_CASH_OPER_ACT","FQ3 2015","FQ3 2015","Currency=INR","Period=FQ","BEST_FPERIOD_OVERRIDE=FQ","FILING_STATUS=OR","EQY_CONSOLIDATED=Y","Sort=A","Dates=H","DateFormat=P","Fill=—","Direction=H","UseDPDF=Y")</f>
        <v>#NAME?</v>
      </c>
      <c r="BF611" s="2" t="e">
        <f ca="1">_xll.BDH($C$603,"REVENUE_SEQUENTIAL_GROWTH","FQ3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611" s="2" t="e">
        <f ca="1">_xll.BDH($C$603,"EBITDA_SEQUENTIAL_GROWTH","FQ3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611" s="2" t="e">
        <f ca="1">_xll.BDH($C$603,"OPERATING_INCOME_SEQ_GROWTH","FQ3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611" s="2" t="e">
        <f ca="1">_xll.BDH($C$603,"NET_INCOME_TO_COMMON_SEQ_GROWTH","FQ3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611" s="2" t="e">
        <f ca="1">_xll.BDH($C$603,"EPS_DILUTED_SEQUENTIAL_GROWTH","FQ3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611" s="2" t="e">
        <f ca="1">_xll.BDH($C$603,"DPS_SEQUENTIAL_GROWTH","FQ3 2015","FQ3 2015","Currency=INR","Period=FQ","BEST_FPERIOD_OVERRIDE=FQ","FILING_STATUS=OR","EQY_CONSOLIDATED=Y","Sort=A","Dates=H","DateFormat=P","Fill=—","Direction=H","UseDPDF=Y")</f>
        <v>#NAME?</v>
      </c>
      <c r="BL611" s="2" t="e">
        <f ca="1">_xll.BDH($C$603,"ACCOUNTS_RECEIVABLE_SEQ_GROWTH","FQ3 2015","FQ3 2015","Currency=INR","Period=FQ","BEST_FPERIOD_OVERRIDE=FQ","FILING_STATUS=OR","EQY_CONSOLIDATED=Y","Sort=A","Dates=H","DateFormat=P","Fill=—","Direction=H","UseDPDF=Y")</f>
        <v>#NAME?</v>
      </c>
      <c r="BM611" s="2" t="e">
        <f ca="1">_xll.BDH($C$603,"INVENTORY_SEQUENTIAL_GROWTH","FQ3 2015","FQ3 2015","Currency=INR","Period=FQ","BEST_FPERIOD_OVERRIDE=FQ","FILING_STATUS=OR","EQY_CONSOLIDATED=Y","Sort=A","Dates=H","DateFormat=P","Fill=—","Direction=H","UseDPDF=Y")</f>
        <v>#NAME?</v>
      </c>
      <c r="BN611" s="2" t="e">
        <f ca="1">_xll.BDH($C$603,"FIXED_ASSETS_SEQUENTIAL_GROWTH","FQ3 2015","FQ3 2015","Currency=INR","Period=FQ","BEST_FPERIOD_OVERRIDE=FQ","FILING_STATUS=OR","EQY_CONSOLIDATED=Y","Sort=A","Dates=H","DateFormat=P","Fill=—","Direction=H","UseDPDF=Y")</f>
        <v>#NAME?</v>
      </c>
      <c r="BO611" s="2" t="e">
        <f ca="1">_xll.BDH($C$603,"TOTAL_ASSETS_SEQUENTIAL_GROWTH","FQ3 2015","FQ3 2015","Currency=INR","Period=FQ","BEST_FPERIOD_OVERRIDE=FQ","FILING_STATUS=OR","EQY_CONSOLIDATED=Y","Sort=A","Dates=H","DateFormat=P","Fill=—","Direction=H","UseDPDF=Y")</f>
        <v>#NAME?</v>
      </c>
      <c r="BP611" s="2" t="e">
        <f ca="1">_xll.BDH($C$603,"MODIFIED_WORKING_CPTL_SEQ_GRWTH","FQ3 2015","FQ3 2015","Currency=INR","Period=FQ","BEST_FPERIOD_OVERRIDE=FQ","FILING_STATUS=OR","EQY_CONSOLIDATED=Y","Sort=A","Dates=H","DateFormat=P","Fill=—","Direction=H","UseDPDF=Y")</f>
        <v>#NAME?</v>
      </c>
      <c r="BQ611" s="2" t="e">
        <f ca="1">_xll.BDH($C$603,"WORKING_CAPITAL_SEQ_GROWTH","FQ3 2015","FQ3 2015","Currency=INR","Period=FQ","BEST_FPERIOD_OVERRIDE=FQ","FILING_STATUS=OR","EQY_CONSOLIDATED=Y","Sort=A","Dates=H","DateFormat=P","Fill=—","Direction=H","UseDPDF=Y")</f>
        <v>#NAME?</v>
      </c>
      <c r="BR611" s="2" t="e">
        <f ca="1">_xll.BDH($C$603,"ACCOUNTS_PAYABLE_SEQ_GROWTH","FQ3 2015","FQ3 2015","Currency=INR","Period=FQ","BEST_FPERIOD_OVERRIDE=FQ","FILING_STATUS=OR","EQY_CONSOLIDATED=Y","Sort=A","Dates=H","DateFormat=P","Fill=—","Direction=H","UseDPDF=Y")</f>
        <v>#NAME?</v>
      </c>
      <c r="BS611" s="2" t="e">
        <f ca="1">_xll.BDH($C$603,"ST_DEBT_SEQUENTIAL_GROWTH","FQ3 2015","FQ3 2015","Currency=INR","Period=FQ","BEST_FPERIOD_OVERRIDE=FQ","FILING_STATUS=OR","EQY_CONSOLIDATED=Y","Sort=A","Dates=H","DateFormat=P","Fill=—","Direction=H","UseDPDF=Y")</f>
        <v>#NAME?</v>
      </c>
      <c r="BT611" s="2" t="e">
        <f ca="1">_xll.BDH($C$603,"TOTAL_DEBT_SEQUENTIAL_GROWTH","FQ3 2015","FQ3 2015","Currency=INR","Period=FQ","BEST_FPERIOD_OVERRIDE=FQ","FILING_STATUS=OR","EQY_CONSOLIDATED=Y","Sort=A","Dates=H","DateFormat=P","Fill=—","Direction=H","UseDPDF=Y")</f>
        <v>#NAME?</v>
      </c>
      <c r="BU611" s="2" t="e">
        <f ca="1">_xll.BDH($C$603,"TOTAL_EQUITY_SEQUENTIAL_GROWTH","FQ3 2015","FQ3 2015","Currency=INR","Period=FQ","BEST_FPERIOD_OVERRIDE=FQ","FILING_STATUS=OR","EQY_CONSOLIDATED=Y","Sort=A","Dates=H","DateFormat=P","Fill=—","Direction=H","UseDPDF=Y")</f>
        <v>#NAME?</v>
      </c>
      <c r="BV611" s="2" t="e">
        <f ca="1">_xll.BDH($C$603,"TOTAL_CAPITAL_SEQUENTIAL_GROWTH","FQ3 2015","FQ3 2015","Currency=INR","Period=FQ","BEST_FPERIOD_OVERRIDE=FQ","FILING_STATUS=OR","EQY_CONSOLIDATED=Y","Sort=A","Dates=H","DateFormat=P","Fill=—","Direction=H","UseDPDF=Y")</f>
        <v>#NAME?</v>
      </c>
      <c r="BW611" s="2" t="e">
        <f ca="1">_xll.BDH($C$603,"BPS_SEQUENTIAL_GROWTH","FQ3 2015","FQ3 2015","Currency=INR","Period=FQ","BEST_FPERIOD_OVERRIDE=FQ","FILING_STATUS=OR","EQY_CONSOLIDATED=Y","Sort=A","Dates=H","DateFormat=P","Fill=—","Direction=H","UseDPDF=Y")</f>
        <v>#NAME?</v>
      </c>
      <c r="BX611" s="2" t="e">
        <f ca="1">_xll.BDH($C$603,"CFO_SEQUENTIAL_GROWTH","FQ3 2015","FQ3 2015","Currency=INR","Period=FQ","BEST_FPERIOD_OVERRIDE=FQ","FILING_STATUS=OR","EQY_CONSOLIDATED=Y","Sort=A","Dates=H","DateFormat=P","Fill=—","Direction=H","UseDPDF=Y")</f>
        <v>#NAME?</v>
      </c>
      <c r="BY611" s="3" t="e">
        <f ca="1">_xll.BDH($C$603,"SHORT_AND_LONG_TERM_DEBT","FQ3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611" s="3" t="e">
        <f ca="1">_xll.BDH($C$603,"BS_ST_BORROW","FQ3 2015","FQ3 2015","Currency=INR","Period=FQ","BEST_FPERIOD_OVERRIDE=FQ","FILING_STATUS=OR","EQY_CONSOLIDATED=Y","SCALING_FORMAT=MLN","Sort=A","Dates=H","DateFormat=P","Fill=—","Direction=H","UseDPDF=Y")</f>
        <v>#NAME?</v>
      </c>
      <c r="CA611" s="3" t="e">
        <f ca="1">_xll.BDH($C$603,"BS_LT_BORROW","FQ3 2015","FQ3 2015","Currency=INR","Period=FQ","BEST_FPERIOD_OVERRIDE=FQ","FILING_STATUS=OR","EQY_CONSOLIDATED=Y","SCALING_FORMAT=MLN","Sort=A","Dates=H","DateFormat=P","Fill=—","Direction=H","UseDPDF=Y")</f>
        <v>#NAME?</v>
      </c>
      <c r="CB611" s="2" t="e">
        <f ca="1">_xll.BDH($C$603,"TOT_DEBT_TO_EBITDA","FQ3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611" s="2" t="e">
        <f ca="1">_xll.BDH($C$603,"NET_DEBT_TO_EBITDA","FQ3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611" s="2" t="e">
        <f ca="1">_xll.BDH($C$603,"TOTAL_DEBT_TO_EBIT","FQ3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611" s="2" t="e">
        <f ca="1">_xll.BDH($C$603,"NET_DEBT_TO_EBIT","FQ3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611" s="2" t="e">
        <f ca="1">_xll.BDH($C$603,"EBITDA_TO_INTEREST_EXPN","FQ3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611" s="2" t="e">
        <f ca="1">_xll.BDH($C$603,"COM_EQY_TO_TOT_ASSET","FQ3 2015","FQ3 2015","Currency=INR","Period=FQ","BEST_FPERIOD_OVERRIDE=FQ","FILING_STATUS=OR","EQY_CONSOLIDATED=Y","Sort=A","Dates=H","DateFormat=P","Fill=—","Direction=H","UseDPDF=Y")</f>
        <v>#NAME?</v>
      </c>
      <c r="CH611" s="2" t="e">
        <f ca="1">_xll.BDH($C$603,"LT_DEBT_TO_TOT_EQY","FQ3 2015","FQ3 2015","Currency=INR","Period=FQ","BEST_FPERIOD_OVERRIDE=FQ","FILING_STATUS=OR","EQY_CONSOLIDATED=Y","Sort=A","Dates=H","DateFormat=P","Fill=—","Direction=H","UseDPDF=Y")</f>
        <v>#NAME?</v>
      </c>
      <c r="CI611" s="2" t="e">
        <f ca="1">_xll.BDH($C$603,"LT_DEBT_TO_TOT_CAP","FQ3 2015","FQ3 2015","Currency=INR","Period=FQ","BEST_FPERIOD_OVERRIDE=FQ","FILING_STATUS=OR","EQY_CONSOLIDATED=Y","Sort=A","Dates=H","DateFormat=P","Fill=—","Direction=H","UseDPDF=Y")</f>
        <v>#NAME?</v>
      </c>
      <c r="CJ611" s="2" t="e">
        <f ca="1">_xll.BDH($C$603,"LT_DEBT_TO_TOT_ASSET","FQ3 2015","FQ3 2015","Currency=INR","Period=FQ","BEST_FPERIOD_OVERRIDE=FQ","FILING_STATUS=OR","EQY_CONSOLIDATED=Y","Sort=A","Dates=H","DateFormat=P","Fill=—","Direction=H","UseDPDF=Y")</f>
        <v>#NAME?</v>
      </c>
      <c r="CK611" s="2" t="e">
        <f ca="1">_xll.BDH($C$603,"TOT_DEBT_TO_TOT_EQY","FQ3 2015","FQ3 2015","Currency=INR","Period=FQ","BEST_FPERIOD_OVERRIDE=FQ","FILING_STATUS=OR","EQY_CONSOLIDATED=Y","Sort=A","Dates=H","DateFormat=P","Fill=—","Direction=H","UseDPDF=Y")</f>
        <v>#NAME?</v>
      </c>
      <c r="CL611" s="2" t="e">
        <f ca="1">_xll.BDH($C$603,"TOT_DEBT_TO_TOT_CAP","FQ3 2015","FQ3 2015","Currency=INR","Period=FQ","BEST_FPERIOD_OVERRIDE=FQ","FILING_STATUS=OR","EQY_CONSOLIDATED=Y","Sort=A","Dates=H","DateFormat=P","Fill=—","Direction=H","UseDPDF=Y")</f>
        <v>#NAME?</v>
      </c>
      <c r="CM611" s="2" t="e">
        <f ca="1">_xll.BDH($C$603,"TOT_DEBT_TO_TOT_ASSET","FQ3 2015","FQ3 2015","Currency=INR","Period=FQ","BEST_FPERIOD_OVERRIDE=FQ","FILING_STATUS=OR","EQY_CONSOLIDATED=Y","Sort=A","Dates=H","DateFormat=P","Fill=—","Direction=H","UseDPDF=Y")</f>
        <v>#NAME?</v>
      </c>
      <c r="CN611" s="2" t="e">
        <f ca="1">_xll.BDH($C$603,"NET_DEBT_TO_SHRHLDR_EQTY","FQ3 2015","FQ3 2015","Currency=INR","Period=FQ","BEST_FPERIOD_OVERRIDE=FQ","FILING_STATUS=OR","EQY_CONSOLIDATED=Y","Sort=A","Dates=H","DateFormat=P","Fill=—","Direction=H","UseDPDF=Y")</f>
        <v>#NAME?</v>
      </c>
      <c r="CO611" s="2" t="e">
        <f ca="1">_xll.BDH($C$603,"NET_DEBT_%_CAPITAL","FQ3 2015","FQ3 2015","Currency=INR","Period=FQ","BEST_FPERIOD_OVERRIDE=FQ","FILING_STATUS=OR","EQY_CONSOLIDATED=Y","Sort=A","Dates=H","DateFormat=P","Fill=—","Direction=H","UseDPDF=Y")</f>
        <v>#NAME?</v>
      </c>
      <c r="CP611" s="3" t="e">
        <f ca="1">_xll.BDH($C$603,"EBITDA","FQ3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611" s="3" t="e">
        <f ca="1">_xll.BDH($C$603,"EBITDA_AFTER_CAPEX","FQ3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611" s="3" t="e">
        <f ca="1">_xll.BDH($C$603,"IS_OPER_INC","FQ3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611" s="2" t="e">
        <f ca="1">_xll.BDH($C$603,"CASH_RATIO","FQ3 2015","FQ3 2015","Currency=INR","Period=FQ","BEST_FPERIOD_OVERRIDE=FQ","FILING_STATUS=OR","EQY_CONSOLIDATED=Y","Sort=A","Dates=H","DateFormat=P","Fill=—","Direction=H","UseDPDF=Y")</f>
        <v>#NAME?</v>
      </c>
      <c r="CT611" s="2" t="e">
        <f ca="1">_xll.BDH($C$603,"CUR_RATIO","FQ3 2015","FQ3 2015","Currency=INR","Period=FQ","BEST_FPERIOD_OVERRIDE=FQ","FILING_STATUS=OR","EQY_CONSOLIDATED=Y","Sort=A","Dates=H","DateFormat=P","Fill=—","Direction=H","UseDPDF=Y")</f>
        <v>#NAME?</v>
      </c>
      <c r="CU611" s="2" t="e">
        <f ca="1">_xll.BDH($C$603,"QUICK_RATIO","FQ3 2015","FQ3 2015","Currency=INR","Period=FQ","BEST_FPERIOD_OVERRIDE=FQ","FILING_STATUS=OR","EQY_CONSOLIDATED=Y","Sort=A","Dates=H","DateFormat=P","Fill=—","Direction=H","UseDPDF=Y")</f>
        <v>#NAME?</v>
      </c>
      <c r="CV611" s="2" t="e">
        <f ca="1">_xll.BDH($C$603,"ALTMAN_Z_SCORE","FQ3 2015","FQ3 2015","Currency=INR","Period=FQ","BEST_FPERIOD_OVERRIDE=FQ","FILING_STATUS=OR","EQY_CONSOLIDATED=Y","Sort=A","Dates=H","DateFormat=P","Fill=—","Direction=H","UseDPDF=Y")</f>
        <v>#NAME?</v>
      </c>
      <c r="CW611" s="4" t="e">
        <f ca="1">_xll.BDH($C$603,"ACCT_RCV_TURN","FQ3 2015","FQ3 2015","Currency=INR","Period=FQ","BEST_FPERIOD_OVERRIDE=FQ","FILING_STATUS=OR","EQY_CONSOLIDATED=Y","FA_ADJUSTED=GAAP","Sort=A","Dates=H","DateFormat=P","Fill=—","Direction=H","UseDPDF=Y")</f>
        <v>#NAME?</v>
      </c>
      <c r="CX611" s="2" t="e">
        <f ca="1">_xll.BDH($C$603,"ACCT_RCV_DAYS","FQ3 2015","FQ3 2015","Currency=INR","Period=FQ","BEST_FPERIOD_OVERRIDE=FQ","FILING_STATUS=OR","EQY_CONSOLIDATED=Y","FA_ADJUSTED=GAAP","Sort=A","Dates=H","DateFormat=P","Fill=—","Direction=H","UseDPDF=Y")</f>
        <v>#NAME?</v>
      </c>
      <c r="CY611" s="4" t="e">
        <f ca="1">_xll.BDH($C$603,"INVENT_TURN","FQ3 2015","FQ3 2015","Currency=INR","Period=FQ","BEST_FPERIOD_OVERRIDE=FQ","FILING_STATUS=OR","EQY_CONSOLIDATED=Y","FA_ADJUSTED=GAAP","Sort=A","Dates=H","DateFormat=P","Fill=—","Direction=H","UseDPDF=Y")</f>
        <v>#NAME?</v>
      </c>
      <c r="CZ611" s="2" t="e">
        <f ca="1">_xll.BDH($C$603,"INVENT_DAYS","FQ3 2015","FQ3 2015","Currency=INR","Period=FQ","BEST_FPERIOD_OVERRIDE=FQ","FILING_STATUS=OR","EQY_CONSOLIDATED=Y","FA_ADJUSTED=GAAP","Sort=A","Dates=H","DateFormat=P","Fill=—","Direction=H","UseDPDF=Y")</f>
        <v>#NAME?</v>
      </c>
      <c r="DA611" s="4" t="e">
        <f ca="1">_xll.BDH($C$603,"ACCOUNTS_PAYABLE_TURNOVER","FQ3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611" s="2" t="e">
        <f ca="1">_xll.BDH($C$603,"ACCOUNTS_PAYABLE_TURNOVER_DAYS","FQ3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611" s="4" t="e">
        <f ca="1">_xll.BDH($C$603,"CASH_CONVERSION_CYCLE","FQ3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611" s="4" t="e">
        <f ca="1">_xll.BDH($C$603,"INV_TO_CASH_DAYS","FQ3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611" s="5" t="e">
        <f ca="1">_xll.BDH($C$603,"BS_INVENTORIES","FQ3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611" s="3" t="e">
        <f ca="1">_xll.BDH($C$603,"INVTRY_RAW_MATERIALS","FQ3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611" s="3" t="e">
        <f ca="1">_xll.BDH($C$603,"INVTRY_IN_PROGRESS","FQ3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611" s="3" t="e">
        <f ca="1">_xll.BDH($C$603,"INVTRY_FINISHED_GOODS","FQ3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611" s="3" t="e">
        <f ca="1">_xll.BDH($C$603,"BS_OTHER_INV","FQ3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612" spans="1:113" x14ac:dyDescent="0.3">
      <c r="A612" s="6"/>
      <c r="B612" s="6"/>
      <c r="C612" s="6"/>
      <c r="D612" s="6"/>
      <c r="E612" t="s">
        <v>81</v>
      </c>
      <c r="F612" t="e">
        <f ca="1">_xll.BDH($C$603,"RETURN_COM_EQY","FQ4 2015","FQ4 2015","Currency=INR","Period=FQ","BEST_FPERIOD_OVERRIDE=FQ","FILING_STATUS=OR","EQY_CONSOLIDATED=Y","FA_ADJUSTED=GAAP","Sort=A","Dates=H","DateFormat=P","Fill=—","Direction=H","UseDPDF=Y")</f>
        <v>#NAME?</v>
      </c>
      <c r="G612" t="e">
        <f ca="1">_xll.BDH($C$603,"RETURN_ON_ASSET","FQ4 2015","FQ4 2015","Currency=INR","Period=FQ","BEST_FPERIOD_OVERRIDE=FQ","FILING_STATUS=OR","EQY_CONSOLIDATED=Y","FA_ADJUSTED=GAAP","Sort=A","Dates=H","DateFormat=P","Fill=—","Direction=H","UseDPDF=Y")</f>
        <v>#NAME?</v>
      </c>
      <c r="H612" t="e">
        <f ca="1">_xll.BDH($C$603,"RETURN_ON_CAP","FQ4 2015","FQ4 2015","Currency=INR","Period=FQ","BEST_FPERIOD_OVERRIDE=FQ","FILING_STATUS=OR","EQY_CONSOLIDATED=Y","FA_ADJUSTED=GAAP","Sort=A","Dates=H","DateFormat=P","Fill=—","Direction=H","UseDPDF=Y")</f>
        <v>#NAME?</v>
      </c>
      <c r="I612" t="e">
        <f ca="1">_xll.BDH($C$603,"RETURN_ON_INV_CAPITAL","FQ4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612" t="e">
        <f ca="1">_xll.BDH($C$603,"EBITDA_TO_REVENUE","FQ4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612" t="e">
        <f ca="1">_xll.BDH($C$603,"OPER_MARGIN","FQ4 2015","FQ4 2015","Currency=INR","Period=FQ","BEST_FPERIOD_OVERRIDE=FQ","FILING_STATUS=OR","EQY_CONSOLIDATED=Y","FA_ADJUSTED=GAAP","Sort=A","Dates=H","DateFormat=P","Fill=—","Direction=H","UseDPDF=Y")</f>
        <v>#NAME?</v>
      </c>
      <c r="L612" t="e">
        <f ca="1">_xll.BDH($C$603,"INCREMENTAL_OPERATING_MARGIN","FQ4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612" t="e">
        <f ca="1">_xll.BDH($C$603,"PRETAX_INC_TO_NET_SALES","FQ4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612" t="e">
        <f ca="1">_xll.BDH($C$603,"INC_BEF_XO_ITEMS_TO_NET_SALES","FQ4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612" t="e">
        <f ca="1">_xll.BDH($C$603,"PROF_MARGIN","FQ4 2015","FQ4 2015","Currency=INR","Period=FQ","BEST_FPERIOD_OVERRIDE=FQ","FILING_STATUS=OR","EQY_CONSOLIDATED=Y","FA_ADJUSTED=GAAP","Sort=A","Dates=H","DateFormat=P","Fill=—","Direction=H","UseDPDF=Y")</f>
        <v>#NAME?</v>
      </c>
      <c r="P612" t="e">
        <f ca="1">_xll.BDH($C$603,"NET_INCOME_TO_COMMON_MARGIN","FQ4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612" t="e">
        <f ca="1">_xll.BDH($C$603,"EFF_TAX_RATE","FQ4 2015","FQ4 2015","Currency=INR","Period=FQ","BEST_FPERIOD_OVERRIDE=FQ","FILING_STATUS=OR","EQY_CONSOLIDATED=Y","FA_ADJUSTED=GAAP","Sort=A","Dates=H","DateFormat=P","Fill=—","Direction=H","UseDPDF=Y")</f>
        <v>#NAME?</v>
      </c>
      <c r="R612" t="e">
        <f ca="1">_xll.BDH($C$603,"DVD_PAYOUT_RATIO","FQ4 2015","FQ4 2015","Currency=INR","Period=FQ","BEST_FPERIOD_OVERRIDE=FQ","FILING_STATUS=OR","EQY_CONSOLIDATED=Y","FA_ADJUSTED=GAAP","Sort=A","Dates=H","DateFormat=P","Fill=—","Direction=H","UseDPDF=Y")</f>
        <v>#NAME?</v>
      </c>
      <c r="S612" t="e">
        <f ca="1">_xll.BDH($C$603,"SUSTAIN_GROWTH_RT","FQ4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612" s="2" t="e">
        <f ca="1">_xll.BDH($C$603,"SALES_GROWTH","FQ4 2015","FQ4 2015","Currency=INR","Period=FQ","BEST_FPERIOD_OVERRIDE=FQ","FILING_STATUS=OR","EQY_CONSOLIDATED=Y","FA_ADJUSTED=GAAP","Sort=A","Dates=H","DateFormat=P","Fill=—","Direction=H","UseDPDF=Y")</f>
        <v>#NAME?</v>
      </c>
      <c r="U612" s="2" t="e">
        <f ca="1">_xll.BDH($C$603,"EBITDA_GROWTH","FQ4 2015","FQ4 2015","Currency=INR","Period=FQ","BEST_FPERIOD_OVERRIDE=FQ","FILING_STATUS=OR","EQY_CONSOLIDATED=Y","FA_ADJUSTED=GAAP","Sort=A","Dates=H","DateFormat=P","Fill=—","Direction=H","UseDPDF=Y")</f>
        <v>#NAME?</v>
      </c>
      <c r="V612" s="2" t="e">
        <f ca="1">_xll.BDH($C$603,"OPER_INC_GROWTH","FQ4 2015","FQ4 2015","Currency=INR","Period=FQ","BEST_FPERIOD_OVERRIDE=FQ","FILING_STATUS=OR","EQY_CONSOLIDATED=Y","FA_ADJUSTED=GAAP","Sort=A","Dates=H","DateFormat=P","Fill=—","Direction=H","UseDPDF=Y")</f>
        <v>#NAME?</v>
      </c>
      <c r="W612" s="2" t="e">
        <f ca="1">_xll.BDH($C$603,"EARN_FOR_COM_GROWTH","FQ4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612" s="2" t="e">
        <f ca="1">_xll.BDH($C$603,"DILUTED_EPS_AFT_XO_ITEMS_GROWTH","FQ4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612" s="2" t="e">
        <f ca="1">_xll.BDH($C$603,"DIVIDEND_PER_SHARE_1_YEAR_GROWTH","FQ4 2015","FQ4 2015","Currency=INR","Period=FQ","BEST_FPERIOD_OVERRIDE=FQ","FILING_STATUS=OR","EQY_CONSOLIDATED=Y","Sort=A","Dates=H","DateFormat=P","Fill=—","Direction=H","UseDPDF=Y")</f>
        <v>#NAME?</v>
      </c>
      <c r="Z612" s="2" t="e">
        <f ca="1">_xll.BDH($C$603,"ACCOUNTS_RECEIVABLE_GROWTH","FQ4 2015","FQ4 2015","Currency=INR","Period=FQ","BEST_FPERIOD_OVERRIDE=FQ","FILING_STATUS=OR","EQY_CONSOLIDATED=Y","Sort=A","Dates=H","DateFormat=P","Fill=—","Direction=H","UseDPDF=Y")</f>
        <v>#NAME?</v>
      </c>
      <c r="AA612" s="2" t="e">
        <f ca="1">_xll.BDH($C$603,"INVENTORY_GROWTH","FQ4 2015","FQ4 2015","Currency=INR","Period=FQ","BEST_FPERIOD_OVERRIDE=FQ","FILING_STATUS=OR","EQY_CONSOLIDATED=Y","Sort=A","Dates=H","DateFormat=P","Fill=—","Direction=H","UseDPDF=Y")</f>
        <v>#NAME?</v>
      </c>
      <c r="AB612" s="2" t="e">
        <f ca="1">_xll.BDH($C$603,"NET_FIXED_ASSETS_1_YEAR_GROWTH","FQ4 2015","FQ4 2015","Currency=INR","Period=FQ","BEST_FPERIOD_OVERRIDE=FQ","FILING_STATUS=OR","EQY_CONSOLIDATED=Y","Sort=A","Dates=H","DateFormat=P","Fill=—","Direction=H","UseDPDF=Y")</f>
        <v>#NAME?</v>
      </c>
      <c r="AC612" s="2" t="e">
        <f ca="1">_xll.BDH($C$603,"ASSET_GROWTH","FQ4 2015","FQ4 2015","Currency=INR","Period=FQ","BEST_FPERIOD_OVERRIDE=FQ","FILING_STATUS=OR","EQY_CONSOLIDATED=Y","Sort=A","Dates=H","DateFormat=P","Fill=—","Direction=H","UseDPDF=Y")</f>
        <v>#NAME?</v>
      </c>
      <c r="AD612" s="2" t="e">
        <f ca="1">_xll.BDH($C$603,"MODIFIED_WORK_CAP_GROWTH","FQ4 2015","FQ4 2015","Currency=INR","Period=FQ","BEST_FPERIOD_OVERRIDE=FQ","FILING_STATUS=OR","EQY_CONSOLIDATED=Y","Sort=A","Dates=H","DateFormat=P","Fill=—","Direction=H","UseDPDF=Y")</f>
        <v>#NAME?</v>
      </c>
      <c r="AE612" s="2" t="e">
        <f ca="1">_xll.BDH($C$603,"WORK_CAP_GROWTH","FQ4 2015","FQ4 2015","Currency=INR","Period=FQ","BEST_FPERIOD_OVERRIDE=FQ","FILING_STATUS=OR","EQY_CONSOLIDATED=Y","Sort=A","Dates=H","DateFormat=P","Fill=—","Direction=H","UseDPDF=Y")</f>
        <v>#NAME?</v>
      </c>
      <c r="AF612" s="2" t="e">
        <f ca="1">_xll.BDH($C$603,"ACCOUNTS_PAYABLE_GROWTH_1YR","FQ4 2015","FQ4 2015","Currency=INR","Period=FQ","BEST_FPERIOD_OVERRIDE=FQ","FILING_STATUS=OR","EQY_CONSOLIDATED=Y","Sort=A","Dates=H","DateFormat=P","Fill=—","Direction=H","UseDPDF=Y")</f>
        <v>#NAME?</v>
      </c>
      <c r="AG612" s="2" t="e">
        <f ca="1">_xll.BDH($C$603,"SHORT_TERM_DEBT_1_YEAR_GROWTH","FQ4 2015","FQ4 2015","Currency=INR","Period=FQ","BEST_FPERIOD_OVERRIDE=FQ","FILING_STATUS=OR","EQY_CONSOLIDATED=Y","Sort=A","Dates=H","DateFormat=P","Fill=—","Direction=H","UseDPDF=Y")</f>
        <v>#NAME?</v>
      </c>
      <c r="AH612" s="2" t="e">
        <f ca="1">_xll.BDH($C$603,"TOTAL_DEBT_1_YEAR_GROWTH","FQ4 2015","FQ4 2015","Currency=INR","Period=FQ","BEST_FPERIOD_OVERRIDE=FQ","FILING_STATUS=OR","EQY_CONSOLIDATED=Y","Sort=A","Dates=H","DateFormat=P","Fill=—","Direction=H","UseDPDF=Y")</f>
        <v>#NAME?</v>
      </c>
      <c r="AI612" s="2" t="e">
        <f ca="1">_xll.BDH($C$603,"TOTAL_EQUITY_1_YEAR_GROWTH","FQ4 2015","FQ4 2015","Currency=INR","Period=FQ","BEST_FPERIOD_OVERRIDE=FQ","FILING_STATUS=OR","EQY_CONSOLIDATED=Y","Sort=A","Dates=H","DateFormat=P","Fill=—","Direction=H","UseDPDF=Y")</f>
        <v>#NAME?</v>
      </c>
      <c r="AJ612" s="2" t="e">
        <f ca="1">_xll.BDH($C$603,"GROWTH_IN_CAP","FQ4 2015","FQ4 2015","Currency=INR","Period=FQ","BEST_FPERIOD_OVERRIDE=FQ","FILING_STATUS=OR","EQY_CONSOLIDATED=Y","Sort=A","Dates=H","DateFormat=P","Fill=—","Direction=H","UseDPDF=Y")</f>
        <v>#NAME?</v>
      </c>
      <c r="AK612" s="2" t="e">
        <f ca="1">_xll.BDH($C$603,"BVPS_GROWTH","FQ4 2015","FQ4 2015","Currency=INR","Period=FQ","BEST_FPERIOD_OVERRIDE=FQ","FILING_STATUS=OR","EQY_CONSOLIDATED=Y","Sort=A","Dates=H","DateFormat=P","Fill=—","Direction=H","UseDPDF=Y")</f>
        <v>#NAME?</v>
      </c>
      <c r="AL612" s="2" t="e">
        <f ca="1">_xll.BDH($C$603,"CASH_FLOW_GROWTH","FQ4 2015","FQ4 2015","Currency=INR","Period=FQ","BEST_FPERIOD_OVERRIDE=FQ","FILING_STATUS=OR","EQY_CONSOLIDATED=Y","Sort=A","Dates=H","DateFormat=P","Fill=—","Direction=H","UseDPDF=Y")</f>
        <v>#NAME?</v>
      </c>
      <c r="AM612" s="2" t="e">
        <f ca="1">_xll.BDH($C$603,"GEO_GROW_NET_SALES","FQ4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612" s="2" t="e">
        <f ca="1">_xll.BDH($C$603,"GEO_GROW_EBITDA","FQ4 2015","FQ4 2015","Currency=INR","Period=FQ","BEST_FPERIOD_OVERRIDE=FQ","FILING_STATUS=OR","EQY_CONSOLIDATED=Y","FA_ADJUSTED=GAAP","Sort=A","Dates=H","DateFormat=P","Fill=—","Direction=H","UseDPDF=Y")</f>
        <v>#NAME?</v>
      </c>
      <c r="AO612" s="2" t="e">
        <f ca="1">_xll.BDH($C$603,"GEO_GROW_OPER_INC","FQ4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612" s="2" t="e">
        <f ca="1">_xll.BDH($C$603,"NET_INCOME_TO_COMMON_5_YR_GROWTH","FQ4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612" s="2" t="e">
        <f ca="1">_xll.BDH($C$603,"5Y_GEO_GROWTH_DILUTED_EPS","FQ4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612" s="2" t="e">
        <f ca="1">_xll.BDH($C$603,"GEO_GROW_DVD_PER_SH","FQ4 2015","FQ4 2015","Currency=INR","Period=FQ","BEST_FPERIOD_OVERRIDE=FQ","FILING_STATUS=OR","EQY_CONSOLIDATED=Y","Sort=A","Dates=H","DateFormat=P","Fill=—","Direction=H","UseDPDF=Y")</f>
        <v>#NAME?</v>
      </c>
      <c r="AS612" s="2" t="e">
        <f ca="1">_xll.BDH($C$603,"ACCOUNTS_RECEIVABLE_5_YR_GROWTH","FQ4 2015","FQ4 2015","Currency=INR","Period=FQ","BEST_FPERIOD_OVERRIDE=FQ","FILING_STATUS=OR","EQY_CONSOLIDATED=Y","Sort=A","Dates=H","DateFormat=P","Fill=—","Direction=H","UseDPDF=Y")</f>
        <v>#NAME?</v>
      </c>
      <c r="AT612" s="2" t="e">
        <f ca="1">_xll.BDH($C$603,"INVENTORY_5_YEAR_GROWTH","FQ4 2015","FQ4 2015","Currency=INR","Period=FQ","BEST_FPERIOD_OVERRIDE=FQ","FILING_STATUS=OR","EQY_CONSOLIDATED=Y","Sort=A","Dates=H","DateFormat=P","Fill=—","Direction=H","UseDPDF=Y")</f>
        <v>#NAME?</v>
      </c>
      <c r="AU612" s="2" t="e">
        <f ca="1">_xll.BDH($C$603,"NET_FIXED_ASSETS_5_YEAR_GROWTH","FQ4 2015","FQ4 2015","Currency=INR","Period=FQ","BEST_FPERIOD_OVERRIDE=FQ","FILING_STATUS=OR","EQY_CONSOLIDATED=Y","Sort=A","Dates=H","DateFormat=P","Fill=—","Direction=H","UseDPDF=Y")</f>
        <v>#NAME?</v>
      </c>
      <c r="AV612" s="2" t="e">
        <f ca="1">_xll.BDH($C$603,"GEO_GROW_TOT_ASSET","FQ4 2015","FQ4 2015","Currency=INR","Period=FQ","BEST_FPERIOD_OVERRIDE=FQ","FILING_STATUS=OR","EQY_CONSOLIDATED=Y","Sort=A","Dates=H","DateFormat=P","Fill=—","Direction=H","UseDPDF=Y")</f>
        <v>#NAME?</v>
      </c>
      <c r="AW612" s="2" t="e">
        <f ca="1">_xll.BDH($C$603,"MODIFIED_WORKING_CPTL_5YR_GRWTH","FQ4 2015","FQ4 2015","Currency=INR","Period=FQ","BEST_FPERIOD_OVERRIDE=FQ","FILING_STATUS=OR","EQY_CONSOLIDATED=Y","Sort=A","Dates=H","DateFormat=P","Fill=—","Direction=H","UseDPDF=Y")</f>
        <v>#NAME?</v>
      </c>
      <c r="AX612" s="2" t="e">
        <f ca="1">_xll.BDH($C$603,"WORKING_CAPITAL_5_YEAR_GROWTH","FQ4 2015","FQ4 2015","Currency=INR","Period=FQ","BEST_FPERIOD_OVERRIDE=FQ","FILING_STATUS=OR","EQY_CONSOLIDATED=Y","Sort=A","Dates=H","DateFormat=P","Fill=—","Direction=H","UseDPDF=Y")</f>
        <v>#NAME?</v>
      </c>
      <c r="AY612" s="2" t="e">
        <f ca="1">_xll.BDH($C$603,"ACCOUNTS_PAYABLE_5_YEAR_GROWTH","FQ4 2015","FQ4 2015","Currency=INR","Period=FQ","BEST_FPERIOD_OVERRIDE=FQ","FILING_STATUS=OR","EQY_CONSOLIDATED=Y","Sort=A","Dates=H","DateFormat=P","Fill=—","Direction=H","UseDPDF=Y")</f>
        <v>#NAME?</v>
      </c>
      <c r="AZ612" s="2" t="e">
        <f ca="1">_xll.BDH($C$603,"SHORT_TERM_DEBT_5_YEAR_GROWTH","FQ4 2015","FQ4 2015","Currency=INR","Period=FQ","BEST_FPERIOD_OVERRIDE=FQ","FILING_STATUS=OR","EQY_CONSOLIDATED=Y","Sort=A","Dates=H","DateFormat=P","Fill=—","Direction=H","UseDPDF=Y")</f>
        <v>#NAME?</v>
      </c>
      <c r="BA612" s="2" t="e">
        <f ca="1">_xll.BDH($C$603,"TOTAL_DEBT_5_YEAR_GROWTH","FQ4 2015","FQ4 2015","Currency=INR","Period=FQ","BEST_FPERIOD_OVERRIDE=FQ","FILING_STATUS=OR","EQY_CONSOLIDATED=Y","Sort=A","Dates=H","DateFormat=P","Fill=—","Direction=H","UseDPDF=Y")</f>
        <v>#NAME?</v>
      </c>
      <c r="BB612" s="2" t="e">
        <f ca="1">_xll.BDH($C$603,"GEO_GROW_TOT_SHRHLDR_EQY","FQ4 2015","FQ4 2015","Currency=INR","Period=FQ","BEST_FPERIOD_OVERRIDE=FQ","FILING_STATUS=OR","EQY_CONSOLIDATED=Y","Sort=A","Dates=H","DateFormat=P","Fill=—","Direction=H","UseDPDF=Y")</f>
        <v>#NAME?</v>
      </c>
      <c r="BC612" s="2" t="e">
        <f ca="1">_xll.BDH($C$603,"TOTAL_CAPITAL_5_YEAR_GROWTH","FQ4 2015","FQ4 2015","Currency=INR","Period=FQ","BEST_FPERIOD_OVERRIDE=FQ","FILING_STATUS=OR","EQY_CONSOLIDATED=Y","Sort=A","Dates=H","DateFormat=P","Fill=—","Direction=H","UseDPDF=Y")</f>
        <v>#NAME?</v>
      </c>
      <c r="BD612" s="2" t="e">
        <f ca="1">_xll.BDH($C$603,"GEO_GROW_BOOK_VAL","FQ4 2015","FQ4 2015","Currency=INR","Period=FQ","BEST_FPERIOD_OVERRIDE=FQ","FILING_STATUS=OR","EQY_CONSOLIDATED=Y","Sort=A","Dates=H","DateFormat=P","Fill=—","Direction=H","UseDPDF=Y")</f>
        <v>#NAME?</v>
      </c>
      <c r="BE612" s="2" t="e">
        <f ca="1">_xll.BDH($C$603,"GEO_GROW_CASH_OPER_ACT","FQ4 2015","FQ4 2015","Currency=INR","Period=FQ","BEST_FPERIOD_OVERRIDE=FQ","FILING_STATUS=OR","EQY_CONSOLIDATED=Y","Sort=A","Dates=H","DateFormat=P","Fill=—","Direction=H","UseDPDF=Y")</f>
        <v>#NAME?</v>
      </c>
      <c r="BF612" s="2" t="e">
        <f ca="1">_xll.BDH($C$603,"REVENUE_SEQUENTIAL_GROWTH","FQ4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612" s="2" t="e">
        <f ca="1">_xll.BDH($C$603,"EBITDA_SEQUENTIAL_GROWTH","FQ4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612" s="2" t="e">
        <f ca="1">_xll.BDH($C$603,"OPERATING_INCOME_SEQ_GROWTH","FQ4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612" s="2" t="e">
        <f ca="1">_xll.BDH($C$603,"NET_INCOME_TO_COMMON_SEQ_GROWTH","FQ4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612" s="2" t="e">
        <f ca="1">_xll.BDH($C$603,"EPS_DILUTED_SEQUENTIAL_GROWTH","FQ4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612" s="2" t="e">
        <f ca="1">_xll.BDH($C$603,"DPS_SEQUENTIAL_GROWTH","FQ4 2015","FQ4 2015","Currency=INR","Period=FQ","BEST_FPERIOD_OVERRIDE=FQ","FILING_STATUS=OR","EQY_CONSOLIDATED=Y","Sort=A","Dates=H","DateFormat=P","Fill=—","Direction=H","UseDPDF=Y")</f>
        <v>#NAME?</v>
      </c>
      <c r="BL612" s="2" t="e">
        <f ca="1">_xll.BDH($C$603,"ACCOUNTS_RECEIVABLE_SEQ_GROWTH","FQ4 2015","FQ4 2015","Currency=INR","Period=FQ","BEST_FPERIOD_OVERRIDE=FQ","FILING_STATUS=OR","EQY_CONSOLIDATED=Y","Sort=A","Dates=H","DateFormat=P","Fill=—","Direction=H","UseDPDF=Y")</f>
        <v>#NAME?</v>
      </c>
      <c r="BM612" s="2" t="e">
        <f ca="1">_xll.BDH($C$603,"INVENTORY_SEQUENTIAL_GROWTH","FQ4 2015","FQ4 2015","Currency=INR","Period=FQ","BEST_FPERIOD_OVERRIDE=FQ","FILING_STATUS=OR","EQY_CONSOLIDATED=Y","Sort=A","Dates=H","DateFormat=P","Fill=—","Direction=H","UseDPDF=Y")</f>
        <v>#NAME?</v>
      </c>
      <c r="BN612" s="2" t="e">
        <f ca="1">_xll.BDH($C$603,"FIXED_ASSETS_SEQUENTIAL_GROWTH","FQ4 2015","FQ4 2015","Currency=INR","Period=FQ","BEST_FPERIOD_OVERRIDE=FQ","FILING_STATUS=OR","EQY_CONSOLIDATED=Y","Sort=A","Dates=H","DateFormat=P","Fill=—","Direction=H","UseDPDF=Y")</f>
        <v>#NAME?</v>
      </c>
      <c r="BO612" s="2" t="e">
        <f ca="1">_xll.BDH($C$603,"TOTAL_ASSETS_SEQUENTIAL_GROWTH","FQ4 2015","FQ4 2015","Currency=INR","Period=FQ","BEST_FPERIOD_OVERRIDE=FQ","FILING_STATUS=OR","EQY_CONSOLIDATED=Y","Sort=A","Dates=H","DateFormat=P","Fill=—","Direction=H","UseDPDF=Y")</f>
        <v>#NAME?</v>
      </c>
      <c r="BP612" s="2" t="e">
        <f ca="1">_xll.BDH($C$603,"MODIFIED_WORKING_CPTL_SEQ_GRWTH","FQ4 2015","FQ4 2015","Currency=INR","Period=FQ","BEST_FPERIOD_OVERRIDE=FQ","FILING_STATUS=OR","EQY_CONSOLIDATED=Y","Sort=A","Dates=H","DateFormat=P","Fill=—","Direction=H","UseDPDF=Y")</f>
        <v>#NAME?</v>
      </c>
      <c r="BQ612" s="2" t="e">
        <f ca="1">_xll.BDH($C$603,"WORKING_CAPITAL_SEQ_GROWTH","FQ4 2015","FQ4 2015","Currency=INR","Period=FQ","BEST_FPERIOD_OVERRIDE=FQ","FILING_STATUS=OR","EQY_CONSOLIDATED=Y","Sort=A","Dates=H","DateFormat=P","Fill=—","Direction=H","UseDPDF=Y")</f>
        <v>#NAME?</v>
      </c>
      <c r="BR612" s="2" t="e">
        <f ca="1">_xll.BDH($C$603,"ACCOUNTS_PAYABLE_SEQ_GROWTH","FQ4 2015","FQ4 2015","Currency=INR","Period=FQ","BEST_FPERIOD_OVERRIDE=FQ","FILING_STATUS=OR","EQY_CONSOLIDATED=Y","Sort=A","Dates=H","DateFormat=P","Fill=—","Direction=H","UseDPDF=Y")</f>
        <v>#NAME?</v>
      </c>
      <c r="BS612" s="2" t="e">
        <f ca="1">_xll.BDH($C$603,"ST_DEBT_SEQUENTIAL_GROWTH","FQ4 2015","FQ4 2015","Currency=INR","Period=FQ","BEST_FPERIOD_OVERRIDE=FQ","FILING_STATUS=OR","EQY_CONSOLIDATED=Y","Sort=A","Dates=H","DateFormat=P","Fill=—","Direction=H","UseDPDF=Y")</f>
        <v>#NAME?</v>
      </c>
      <c r="BT612" s="2" t="e">
        <f ca="1">_xll.BDH($C$603,"TOTAL_DEBT_SEQUENTIAL_GROWTH","FQ4 2015","FQ4 2015","Currency=INR","Period=FQ","BEST_FPERIOD_OVERRIDE=FQ","FILING_STATUS=OR","EQY_CONSOLIDATED=Y","Sort=A","Dates=H","DateFormat=P","Fill=—","Direction=H","UseDPDF=Y")</f>
        <v>#NAME?</v>
      </c>
      <c r="BU612" s="2" t="e">
        <f ca="1">_xll.BDH($C$603,"TOTAL_EQUITY_SEQUENTIAL_GROWTH","FQ4 2015","FQ4 2015","Currency=INR","Period=FQ","BEST_FPERIOD_OVERRIDE=FQ","FILING_STATUS=OR","EQY_CONSOLIDATED=Y","Sort=A","Dates=H","DateFormat=P","Fill=—","Direction=H","UseDPDF=Y")</f>
        <v>#NAME?</v>
      </c>
      <c r="BV612" s="2" t="e">
        <f ca="1">_xll.BDH($C$603,"TOTAL_CAPITAL_SEQUENTIAL_GROWTH","FQ4 2015","FQ4 2015","Currency=INR","Period=FQ","BEST_FPERIOD_OVERRIDE=FQ","FILING_STATUS=OR","EQY_CONSOLIDATED=Y","Sort=A","Dates=H","DateFormat=P","Fill=—","Direction=H","UseDPDF=Y")</f>
        <v>#NAME?</v>
      </c>
      <c r="BW612" s="2" t="e">
        <f ca="1">_xll.BDH($C$603,"BPS_SEQUENTIAL_GROWTH","FQ4 2015","FQ4 2015","Currency=INR","Period=FQ","BEST_FPERIOD_OVERRIDE=FQ","FILING_STATUS=OR","EQY_CONSOLIDATED=Y","Sort=A","Dates=H","DateFormat=P","Fill=—","Direction=H","UseDPDF=Y")</f>
        <v>#NAME?</v>
      </c>
      <c r="BX612" s="2" t="e">
        <f ca="1">_xll.BDH($C$603,"CFO_SEQUENTIAL_GROWTH","FQ4 2015","FQ4 2015","Currency=INR","Period=FQ","BEST_FPERIOD_OVERRIDE=FQ","FILING_STATUS=OR","EQY_CONSOLIDATED=Y","Sort=A","Dates=H","DateFormat=P","Fill=—","Direction=H","UseDPDF=Y")</f>
        <v>#NAME?</v>
      </c>
      <c r="BY612" s="3" t="e">
        <f ca="1">_xll.BDH($C$603,"SHORT_AND_LONG_TERM_DEBT","FQ4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612" s="3" t="e">
        <f ca="1">_xll.BDH($C$603,"BS_ST_BORROW","FQ4 2015","FQ4 2015","Currency=INR","Period=FQ","BEST_FPERIOD_OVERRIDE=FQ","FILING_STATUS=OR","EQY_CONSOLIDATED=Y","SCALING_FORMAT=MLN","Sort=A","Dates=H","DateFormat=P","Fill=—","Direction=H","UseDPDF=Y")</f>
        <v>#NAME?</v>
      </c>
      <c r="CA612" s="3" t="e">
        <f ca="1">_xll.BDH($C$603,"BS_LT_BORROW","FQ4 2015","FQ4 2015","Currency=INR","Period=FQ","BEST_FPERIOD_OVERRIDE=FQ","FILING_STATUS=OR","EQY_CONSOLIDATED=Y","SCALING_FORMAT=MLN","Sort=A","Dates=H","DateFormat=P","Fill=—","Direction=H","UseDPDF=Y")</f>
        <v>#NAME?</v>
      </c>
      <c r="CB612" s="2" t="e">
        <f ca="1">_xll.BDH($C$603,"TOT_DEBT_TO_EBITDA","FQ4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612" s="2" t="e">
        <f ca="1">_xll.BDH($C$603,"NET_DEBT_TO_EBITDA","FQ4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612" s="2" t="e">
        <f ca="1">_xll.BDH($C$603,"TOTAL_DEBT_TO_EBIT","FQ4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612" s="2" t="e">
        <f ca="1">_xll.BDH($C$603,"NET_DEBT_TO_EBIT","FQ4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612" s="2" t="e">
        <f ca="1">_xll.BDH($C$603,"EBITDA_TO_INTEREST_EXPN","FQ4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612" s="2" t="e">
        <f ca="1">_xll.BDH($C$603,"COM_EQY_TO_TOT_ASSET","FQ4 2015","FQ4 2015","Currency=INR","Period=FQ","BEST_FPERIOD_OVERRIDE=FQ","FILING_STATUS=OR","EQY_CONSOLIDATED=Y","Sort=A","Dates=H","DateFormat=P","Fill=—","Direction=H","UseDPDF=Y")</f>
        <v>#NAME?</v>
      </c>
      <c r="CH612" s="2" t="e">
        <f ca="1">_xll.BDH($C$603,"LT_DEBT_TO_TOT_EQY","FQ4 2015","FQ4 2015","Currency=INR","Period=FQ","BEST_FPERIOD_OVERRIDE=FQ","FILING_STATUS=OR","EQY_CONSOLIDATED=Y","Sort=A","Dates=H","DateFormat=P","Fill=—","Direction=H","UseDPDF=Y")</f>
        <v>#NAME?</v>
      </c>
      <c r="CI612" s="2" t="e">
        <f ca="1">_xll.BDH($C$603,"LT_DEBT_TO_TOT_CAP","FQ4 2015","FQ4 2015","Currency=INR","Period=FQ","BEST_FPERIOD_OVERRIDE=FQ","FILING_STATUS=OR","EQY_CONSOLIDATED=Y","Sort=A","Dates=H","DateFormat=P","Fill=—","Direction=H","UseDPDF=Y")</f>
        <v>#NAME?</v>
      </c>
      <c r="CJ612" s="2" t="e">
        <f ca="1">_xll.BDH($C$603,"LT_DEBT_TO_TOT_ASSET","FQ4 2015","FQ4 2015","Currency=INR","Period=FQ","BEST_FPERIOD_OVERRIDE=FQ","FILING_STATUS=OR","EQY_CONSOLIDATED=Y","Sort=A","Dates=H","DateFormat=P","Fill=—","Direction=H","UseDPDF=Y")</f>
        <v>#NAME?</v>
      </c>
      <c r="CK612" s="2" t="e">
        <f ca="1">_xll.BDH($C$603,"TOT_DEBT_TO_TOT_EQY","FQ4 2015","FQ4 2015","Currency=INR","Period=FQ","BEST_FPERIOD_OVERRIDE=FQ","FILING_STATUS=OR","EQY_CONSOLIDATED=Y","Sort=A","Dates=H","DateFormat=P","Fill=—","Direction=H","UseDPDF=Y")</f>
        <v>#NAME?</v>
      </c>
      <c r="CL612" s="2" t="e">
        <f ca="1">_xll.BDH($C$603,"TOT_DEBT_TO_TOT_CAP","FQ4 2015","FQ4 2015","Currency=INR","Period=FQ","BEST_FPERIOD_OVERRIDE=FQ","FILING_STATUS=OR","EQY_CONSOLIDATED=Y","Sort=A","Dates=H","DateFormat=P","Fill=—","Direction=H","UseDPDF=Y")</f>
        <v>#NAME?</v>
      </c>
      <c r="CM612" s="2" t="e">
        <f ca="1">_xll.BDH($C$603,"TOT_DEBT_TO_TOT_ASSET","FQ4 2015","FQ4 2015","Currency=INR","Period=FQ","BEST_FPERIOD_OVERRIDE=FQ","FILING_STATUS=OR","EQY_CONSOLIDATED=Y","Sort=A","Dates=H","DateFormat=P","Fill=—","Direction=H","UseDPDF=Y")</f>
        <v>#NAME?</v>
      </c>
      <c r="CN612" s="2" t="e">
        <f ca="1">_xll.BDH($C$603,"NET_DEBT_TO_SHRHLDR_EQTY","FQ4 2015","FQ4 2015","Currency=INR","Period=FQ","BEST_FPERIOD_OVERRIDE=FQ","FILING_STATUS=OR","EQY_CONSOLIDATED=Y","Sort=A","Dates=H","DateFormat=P","Fill=—","Direction=H","UseDPDF=Y")</f>
        <v>#NAME?</v>
      </c>
      <c r="CO612" s="2" t="e">
        <f ca="1">_xll.BDH($C$603,"NET_DEBT_%_CAPITAL","FQ4 2015","FQ4 2015","Currency=INR","Period=FQ","BEST_FPERIOD_OVERRIDE=FQ","FILING_STATUS=OR","EQY_CONSOLIDATED=Y","Sort=A","Dates=H","DateFormat=P","Fill=—","Direction=H","UseDPDF=Y")</f>
        <v>#NAME?</v>
      </c>
      <c r="CP612" s="3" t="e">
        <f ca="1">_xll.BDH($C$603,"EBITDA","FQ4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612" s="3" t="e">
        <f ca="1">_xll.BDH($C$603,"EBITDA_AFTER_CAPEX","FQ4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612" s="3" t="e">
        <f ca="1">_xll.BDH($C$603,"IS_OPER_INC","FQ4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612" s="2" t="e">
        <f ca="1">_xll.BDH($C$603,"CASH_RATIO","FQ4 2015","FQ4 2015","Currency=INR","Period=FQ","BEST_FPERIOD_OVERRIDE=FQ","FILING_STATUS=OR","EQY_CONSOLIDATED=Y","Sort=A","Dates=H","DateFormat=P","Fill=—","Direction=H","UseDPDF=Y")</f>
        <v>#NAME?</v>
      </c>
      <c r="CT612" s="2" t="e">
        <f ca="1">_xll.BDH($C$603,"CUR_RATIO","FQ4 2015","FQ4 2015","Currency=INR","Period=FQ","BEST_FPERIOD_OVERRIDE=FQ","FILING_STATUS=OR","EQY_CONSOLIDATED=Y","Sort=A","Dates=H","DateFormat=P","Fill=—","Direction=H","UseDPDF=Y")</f>
        <v>#NAME?</v>
      </c>
      <c r="CU612" s="2" t="e">
        <f ca="1">_xll.BDH($C$603,"QUICK_RATIO","FQ4 2015","FQ4 2015","Currency=INR","Period=FQ","BEST_FPERIOD_OVERRIDE=FQ","FILING_STATUS=OR","EQY_CONSOLIDATED=Y","Sort=A","Dates=H","DateFormat=P","Fill=—","Direction=H","UseDPDF=Y")</f>
        <v>#NAME?</v>
      </c>
      <c r="CV612" s="2" t="e">
        <f ca="1">_xll.BDH($C$603,"ALTMAN_Z_SCORE","FQ4 2015","FQ4 2015","Currency=INR","Period=FQ","BEST_FPERIOD_OVERRIDE=FQ","FILING_STATUS=OR","EQY_CONSOLIDATED=Y","Sort=A","Dates=H","DateFormat=P","Fill=—","Direction=H","UseDPDF=Y")</f>
        <v>#NAME?</v>
      </c>
      <c r="CW612" s="4" t="e">
        <f ca="1">_xll.BDH($C$603,"ACCT_RCV_TURN","FQ4 2015","FQ4 2015","Currency=INR","Period=FQ","BEST_FPERIOD_OVERRIDE=FQ","FILING_STATUS=OR","EQY_CONSOLIDATED=Y","FA_ADJUSTED=GAAP","Sort=A","Dates=H","DateFormat=P","Fill=—","Direction=H","UseDPDF=Y")</f>
        <v>#NAME?</v>
      </c>
      <c r="CX612" s="2" t="e">
        <f ca="1">_xll.BDH($C$603,"ACCT_RCV_DAYS","FQ4 2015","FQ4 2015","Currency=INR","Period=FQ","BEST_FPERIOD_OVERRIDE=FQ","FILING_STATUS=OR","EQY_CONSOLIDATED=Y","FA_ADJUSTED=GAAP","Sort=A","Dates=H","DateFormat=P","Fill=—","Direction=H","UseDPDF=Y")</f>
        <v>#NAME?</v>
      </c>
      <c r="CY612" s="4" t="e">
        <f ca="1">_xll.BDH($C$603,"INVENT_TURN","FQ4 2015","FQ4 2015","Currency=INR","Period=FQ","BEST_FPERIOD_OVERRIDE=FQ","FILING_STATUS=OR","EQY_CONSOLIDATED=Y","FA_ADJUSTED=GAAP","Sort=A","Dates=H","DateFormat=P","Fill=—","Direction=H","UseDPDF=Y")</f>
        <v>#NAME?</v>
      </c>
      <c r="CZ612" s="2" t="e">
        <f ca="1">_xll.BDH($C$603,"INVENT_DAYS","FQ4 2015","FQ4 2015","Currency=INR","Period=FQ","BEST_FPERIOD_OVERRIDE=FQ","FILING_STATUS=OR","EQY_CONSOLIDATED=Y","FA_ADJUSTED=GAAP","Sort=A","Dates=H","DateFormat=P","Fill=—","Direction=H","UseDPDF=Y")</f>
        <v>#NAME?</v>
      </c>
      <c r="DA612" s="4" t="e">
        <f ca="1">_xll.BDH($C$603,"ACCOUNTS_PAYABLE_TURNOVER","FQ4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612" s="2" t="e">
        <f ca="1">_xll.BDH($C$603,"ACCOUNTS_PAYABLE_TURNOVER_DAYS","FQ4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612" s="4" t="e">
        <f ca="1">_xll.BDH($C$603,"CASH_CONVERSION_CYCLE","FQ4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612" s="4" t="e">
        <f ca="1">_xll.BDH($C$603,"INV_TO_CASH_DAYS","FQ4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612" s="5" t="e">
        <f ca="1">_xll.BDH($C$603,"BS_INVENTORIES","FQ4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612" s="3" t="e">
        <f ca="1">_xll.BDH($C$603,"INVTRY_RAW_MATERIALS","FQ4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612" s="3" t="e">
        <f ca="1">_xll.BDH($C$603,"INVTRY_IN_PROGRESS","FQ4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612" s="3" t="e">
        <f ca="1">_xll.BDH($C$603,"INVTRY_FINISHED_GOODS","FQ4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612" s="3" t="e">
        <f ca="1">_xll.BDH($C$603,"BS_OTHER_INV","FQ4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613" spans="1:113" x14ac:dyDescent="0.3">
      <c r="A613" s="6"/>
      <c r="B613" s="6"/>
      <c r="C613" s="6"/>
      <c r="D613" s="6" t="s">
        <v>83</v>
      </c>
      <c r="E613" t="s">
        <v>77</v>
      </c>
      <c r="F613" t="e">
        <f ca="1">_xll.BDH($C$603,"RETURN_COM_EQY","FY 2016","FY 2016","Currency=INR","Period=FY","BEST_FPERIOD_OVERRIDE=FY","FILING_STATUS=OR","EQY_CONSOLIDATED=Y","FA_ADJUSTED=GAAP","Sort=A","Dates=H","DateFormat=P","Fill=—","Direction=H","UseDPDF=Y")</f>
        <v>#NAME?</v>
      </c>
      <c r="G613" t="e">
        <f ca="1">_xll.BDH($C$603,"RETURN_ON_ASSET","FY 2016","FY 2016","Currency=INR","Period=FY","BEST_FPERIOD_OVERRIDE=FY","FILING_STATUS=OR","EQY_CONSOLIDATED=Y","FA_ADJUSTED=GAAP","Sort=A","Dates=H","DateFormat=P","Fill=—","Direction=H","UseDPDF=Y")</f>
        <v>#NAME?</v>
      </c>
      <c r="H613" t="e">
        <f ca="1">_xll.BDH($C$603,"RETURN_ON_CAP","FY 2016","FY 2016","Currency=INR","Period=FY","BEST_FPERIOD_OVERRIDE=FY","FILING_STATUS=OR","EQY_CONSOLIDATED=Y","FA_ADJUSTED=GAAP","Sort=A","Dates=H","DateFormat=P","Fill=—","Direction=H","UseDPDF=Y")</f>
        <v>#NAME?</v>
      </c>
      <c r="I613" t="e">
        <f ca="1">_xll.BDH($C$603,"RETURN_ON_INV_CAPITAL","FY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613" t="e">
        <f ca="1">_xll.BDH($C$603,"EBITDA_TO_REVENUE","FY 2016","FY 2016","Currency=INR","Period=FY","BEST_FPERIOD_OVERRIDE=FY","FILING_STATUS=OR","EQY_CONSOLIDATED=Y","FA_ADJUSTED=GAAP","Sort=A","Dates=H","DateFormat=P","Fill=—","Direction=H","UseDPDF=Y")</f>
        <v>#NAME?</v>
      </c>
      <c r="K613" t="e">
        <f ca="1">_xll.BDH($C$603,"OPER_MARGIN","FY 2016","FY 2016","Currency=INR","Period=FY","BEST_FPERIOD_OVERRIDE=FY","FILING_STATUS=OR","EQY_CONSOLIDATED=Y","FA_ADJUSTED=GAAP","Sort=A","Dates=H","DateFormat=P","Fill=—","Direction=H","UseDPDF=Y")</f>
        <v>#NAME?</v>
      </c>
      <c r="L613" t="e">
        <f ca="1">_xll.BDH($C$603,"INCREMENTAL_OPERATING_MARGIN","FY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613" t="e">
        <f ca="1">_xll.BDH($C$603,"PRETAX_INC_TO_NET_SALES","FY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613" t="e">
        <f ca="1">_xll.BDH($C$603,"INC_BEF_XO_ITEMS_TO_NET_SALES","FY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613" t="e">
        <f ca="1">_xll.BDH($C$603,"PROF_MARGIN","FY 2016","FY 2016","Currency=INR","Period=FY","BEST_FPERIOD_OVERRIDE=FY","FILING_STATUS=OR","EQY_CONSOLIDATED=Y","FA_ADJUSTED=GAAP","Sort=A","Dates=H","DateFormat=P","Fill=—","Direction=H","UseDPDF=Y")</f>
        <v>#NAME?</v>
      </c>
      <c r="P613" t="e">
        <f ca="1">_xll.BDH($C$603,"NET_INCOME_TO_COMMON_MARGIN","FY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613" t="e">
        <f ca="1">_xll.BDH($C$603,"EFF_TAX_RATE","FY 2016","FY 2016","Currency=INR","Period=FY","BEST_FPERIOD_OVERRIDE=FY","FILING_STATUS=OR","EQY_CONSOLIDATED=Y","FA_ADJUSTED=GAAP","Sort=A","Dates=H","DateFormat=P","Fill=—","Direction=H","UseDPDF=Y")</f>
        <v>#NAME?</v>
      </c>
      <c r="R613" t="e">
        <f ca="1">_xll.BDH($C$603,"DVD_PAYOUT_RATIO","FY 2016","FY 2016","Currency=INR","Period=FY","BEST_FPERIOD_OVERRIDE=FY","FILING_STATUS=OR","EQY_CONSOLIDATED=Y","FA_ADJUSTED=GAAP","Sort=A","Dates=H","DateFormat=P","Fill=—","Direction=H","UseDPDF=Y")</f>
        <v>#NAME?</v>
      </c>
      <c r="S613" t="e">
        <f ca="1">_xll.BDH($C$603,"SUSTAIN_GROWTH_RT","FY 2016","FY 2016","Currency=INR","Period=FY","BEST_FPERIOD_OVERRIDE=FY","FILING_STATUS=OR","EQY_CONSOLIDATED=Y","FA_ADJUSTED=GAAP","Sort=A","Dates=H","DateFormat=P","Fill=—","Direction=H","UseDPDF=Y")</f>
        <v>#NAME?</v>
      </c>
      <c r="T613" s="2" t="e">
        <f ca="1">_xll.BDH($C$603,"SALES_GROWTH","FY 2016","FY 2016","Currency=INR","Period=FY","BEST_FPERIOD_OVERRIDE=FY","FILING_STATUS=OR","EQY_CONSOLIDATED=Y","FA_ADJUSTED=GAAP","Sort=A","Dates=H","DateFormat=P","Fill=—","Direction=H","UseDPDF=Y")</f>
        <v>#NAME?</v>
      </c>
      <c r="U613" s="2" t="e">
        <f ca="1">_xll.BDH($C$603,"EBITDA_GROWTH","FY 2016","FY 2016","Currency=INR","Period=FY","BEST_FPERIOD_OVERRIDE=FY","FILING_STATUS=OR","EQY_CONSOLIDATED=Y","FA_ADJUSTED=GAAP","Sort=A","Dates=H","DateFormat=P","Fill=—","Direction=H","UseDPDF=Y")</f>
        <v>#NAME?</v>
      </c>
      <c r="V613" s="2" t="e">
        <f ca="1">_xll.BDH($C$603,"OPER_INC_GROWTH","FY 2016","FY 2016","Currency=INR","Period=FY","BEST_FPERIOD_OVERRIDE=FY","FILING_STATUS=OR","EQY_CONSOLIDATED=Y","FA_ADJUSTED=GAAP","Sort=A","Dates=H","DateFormat=P","Fill=—","Direction=H","UseDPDF=Y")</f>
        <v>#NAME?</v>
      </c>
      <c r="W613" s="2" t="e">
        <f ca="1">_xll.BDH($C$603,"EARN_FOR_COM_GROWTH","FY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613" s="2" t="e">
        <f ca="1">_xll.BDH($C$603,"DILUTED_EPS_AFT_XO_ITEMS_GROWTH","FY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613" s="2" t="e">
        <f ca="1">_xll.BDH($C$603,"DIVIDEND_PER_SHARE_1_YEAR_GROWTH","FY 2016","FY 2016","Currency=INR","Period=FY","BEST_FPERIOD_OVERRIDE=FY","FILING_STATUS=OR","EQY_CONSOLIDATED=Y","Sort=A","Dates=H","DateFormat=P","Fill=—","Direction=H","UseDPDF=Y")</f>
        <v>#NAME?</v>
      </c>
      <c r="Z613" s="2" t="e">
        <f ca="1">_xll.BDH($C$603,"ACCOUNTS_RECEIVABLE_GROWTH","FY 2016","FY 2016","Currency=INR","Period=FY","BEST_FPERIOD_OVERRIDE=FY","FILING_STATUS=OR","EQY_CONSOLIDATED=Y","Sort=A","Dates=H","DateFormat=P","Fill=—","Direction=H","UseDPDF=Y")</f>
        <v>#NAME?</v>
      </c>
      <c r="AA613" s="2" t="e">
        <f ca="1">_xll.BDH($C$603,"INVENTORY_GROWTH","FY 2016","FY 2016","Currency=INR","Period=FY","BEST_FPERIOD_OVERRIDE=FY","FILING_STATUS=OR","EQY_CONSOLIDATED=Y","Sort=A","Dates=H","DateFormat=P","Fill=—","Direction=H","UseDPDF=Y")</f>
        <v>#NAME?</v>
      </c>
      <c r="AB613" s="2" t="e">
        <f ca="1">_xll.BDH($C$603,"NET_FIXED_ASSETS_1_YEAR_GROWTH","FY 2016","FY 2016","Currency=INR","Period=FY","BEST_FPERIOD_OVERRIDE=FY","FILING_STATUS=OR","EQY_CONSOLIDATED=Y","Sort=A","Dates=H","DateFormat=P","Fill=—","Direction=H","UseDPDF=Y")</f>
        <v>#NAME?</v>
      </c>
      <c r="AC613" s="2" t="e">
        <f ca="1">_xll.BDH($C$603,"ASSET_GROWTH","FY 2016","FY 2016","Currency=INR","Period=FY","BEST_FPERIOD_OVERRIDE=FY","FILING_STATUS=OR","EQY_CONSOLIDATED=Y","Sort=A","Dates=H","DateFormat=P","Fill=—","Direction=H","UseDPDF=Y")</f>
        <v>#NAME?</v>
      </c>
      <c r="AD613" s="2" t="e">
        <f ca="1">_xll.BDH($C$603,"MODIFIED_WORK_CAP_GROWTH","FY 2016","FY 2016","Currency=INR","Period=FY","BEST_FPERIOD_OVERRIDE=FY","FILING_STATUS=OR","EQY_CONSOLIDATED=Y","Sort=A","Dates=H","DateFormat=P","Fill=—","Direction=H","UseDPDF=Y")</f>
        <v>#NAME?</v>
      </c>
      <c r="AE613" s="2" t="e">
        <f ca="1">_xll.BDH($C$603,"WORK_CAP_GROWTH","FY 2016","FY 2016","Currency=INR","Period=FY","BEST_FPERIOD_OVERRIDE=FY","FILING_STATUS=OR","EQY_CONSOLIDATED=Y","Sort=A","Dates=H","DateFormat=P","Fill=—","Direction=H","UseDPDF=Y")</f>
        <v>#NAME?</v>
      </c>
      <c r="AF613" s="2" t="e">
        <f ca="1">_xll.BDH($C$603,"ACCOUNTS_PAYABLE_GROWTH_1YR","FY 2016","FY 2016","Currency=INR","Period=FY","BEST_FPERIOD_OVERRIDE=FY","FILING_STATUS=OR","EQY_CONSOLIDATED=Y","Sort=A","Dates=H","DateFormat=P","Fill=—","Direction=H","UseDPDF=Y")</f>
        <v>#NAME?</v>
      </c>
      <c r="AG613" s="2" t="e">
        <f ca="1">_xll.BDH($C$603,"SHORT_TERM_DEBT_1_YEAR_GROWTH","FY 2016","FY 2016","Currency=INR","Period=FY","BEST_FPERIOD_OVERRIDE=FY","FILING_STATUS=OR","EQY_CONSOLIDATED=Y","Sort=A","Dates=H","DateFormat=P","Fill=—","Direction=H","UseDPDF=Y")</f>
        <v>#NAME?</v>
      </c>
      <c r="AH613" s="2" t="e">
        <f ca="1">_xll.BDH($C$603,"TOTAL_DEBT_1_YEAR_GROWTH","FY 2016","FY 2016","Currency=INR","Period=FY","BEST_FPERIOD_OVERRIDE=FY","FILING_STATUS=OR","EQY_CONSOLIDATED=Y","Sort=A","Dates=H","DateFormat=P","Fill=—","Direction=H","UseDPDF=Y")</f>
        <v>#NAME?</v>
      </c>
      <c r="AI613" s="2" t="e">
        <f ca="1">_xll.BDH($C$603,"TOTAL_EQUITY_1_YEAR_GROWTH","FY 2016","FY 2016","Currency=INR","Period=FY","BEST_FPERIOD_OVERRIDE=FY","FILING_STATUS=OR","EQY_CONSOLIDATED=Y","Sort=A","Dates=H","DateFormat=P","Fill=—","Direction=H","UseDPDF=Y")</f>
        <v>#NAME?</v>
      </c>
      <c r="AJ613" s="2" t="e">
        <f ca="1">_xll.BDH($C$603,"GROWTH_IN_CAP","FY 2016","FY 2016","Currency=INR","Period=FY","BEST_FPERIOD_OVERRIDE=FY","FILING_STATUS=OR","EQY_CONSOLIDATED=Y","Sort=A","Dates=H","DateFormat=P","Fill=—","Direction=H","UseDPDF=Y")</f>
        <v>#NAME?</v>
      </c>
      <c r="AK613" s="2" t="e">
        <f ca="1">_xll.BDH($C$603,"BVPS_GROWTH","FY 2016","FY 2016","Currency=INR","Period=FY","BEST_FPERIOD_OVERRIDE=FY","FILING_STATUS=OR","EQY_CONSOLIDATED=Y","Sort=A","Dates=H","DateFormat=P","Fill=—","Direction=H","UseDPDF=Y")</f>
        <v>#NAME?</v>
      </c>
      <c r="AL613" s="2" t="e">
        <f ca="1">_xll.BDH($C$603,"CASH_FLOW_GROWTH","FY 2016","FY 2016","Currency=INR","Period=FY","BEST_FPERIOD_OVERRIDE=FY","FILING_STATUS=OR","EQY_CONSOLIDATED=Y","Sort=A","Dates=H","DateFormat=P","Fill=—","Direction=H","UseDPDF=Y")</f>
        <v>#NAME?</v>
      </c>
      <c r="AM613" s="2" t="e">
        <f ca="1">_xll.BDH($C$603,"GEO_GROW_NET_SALES","FY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613" s="2" t="e">
        <f ca="1">_xll.BDH($C$603,"GEO_GROW_EBITDA","FY 2016","FY 2016","Currency=INR","Period=FY","BEST_FPERIOD_OVERRIDE=FY","FILING_STATUS=OR","EQY_CONSOLIDATED=Y","FA_ADJUSTED=GAAP","Sort=A","Dates=H","DateFormat=P","Fill=—","Direction=H","UseDPDF=Y")</f>
        <v>#NAME?</v>
      </c>
      <c r="AO613" s="2" t="e">
        <f ca="1">_xll.BDH($C$603,"GEO_GROW_OPER_INC","FY 2016","FY 2016","Currency=INR","Period=FY","BEST_FPERIOD_OVERRIDE=FY","FILING_STATUS=OR","EQY_CONSOLIDATED=Y","FA_ADJUSTED=GAAP","Sort=A","Dates=H","DateFormat=P","Fill=—","Direction=H","UseDPDF=Y")</f>
        <v>#NAME?</v>
      </c>
      <c r="AP613" s="2" t="e">
        <f ca="1">_xll.BDH($C$603,"NET_INCOME_TO_COMMON_5_YR_GROWTH","FY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613" s="2" t="e">
        <f ca="1">_xll.BDH($C$603,"5Y_GEO_GROWTH_DILUTED_EPS","FY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613" s="2" t="e">
        <f ca="1">_xll.BDH($C$603,"GEO_GROW_DVD_PER_SH","FY 2016","FY 2016","Currency=INR","Period=FY","BEST_FPERIOD_OVERRIDE=FY","FILING_STATUS=OR","EQY_CONSOLIDATED=Y","Sort=A","Dates=H","DateFormat=P","Fill=—","Direction=H","UseDPDF=Y")</f>
        <v>#NAME?</v>
      </c>
      <c r="AS613" s="2" t="e">
        <f ca="1">_xll.BDH($C$603,"ACCOUNTS_RECEIVABLE_5_YR_GROWTH","FY 2016","FY 2016","Currency=INR","Period=FY","BEST_FPERIOD_OVERRIDE=FY","FILING_STATUS=OR","EQY_CONSOLIDATED=Y","Sort=A","Dates=H","DateFormat=P","Fill=—","Direction=H","UseDPDF=Y")</f>
        <v>#NAME?</v>
      </c>
      <c r="AT613" s="2" t="e">
        <f ca="1">_xll.BDH($C$603,"INVENTORY_5_YEAR_GROWTH","FY 2016","FY 2016","Currency=INR","Period=FY","BEST_FPERIOD_OVERRIDE=FY","FILING_STATUS=OR","EQY_CONSOLIDATED=Y","Sort=A","Dates=H","DateFormat=P","Fill=—","Direction=H","UseDPDF=Y")</f>
        <v>#NAME?</v>
      </c>
      <c r="AU613" s="2" t="e">
        <f ca="1">_xll.BDH($C$603,"NET_FIXED_ASSETS_5_YEAR_GROWTH","FY 2016","FY 2016","Currency=INR","Period=FY","BEST_FPERIOD_OVERRIDE=FY","FILING_STATUS=OR","EQY_CONSOLIDATED=Y","Sort=A","Dates=H","DateFormat=P","Fill=—","Direction=H","UseDPDF=Y")</f>
        <v>#NAME?</v>
      </c>
      <c r="AV613" s="2" t="e">
        <f ca="1">_xll.BDH($C$603,"GEO_GROW_TOT_ASSET","FY 2016","FY 2016","Currency=INR","Period=FY","BEST_FPERIOD_OVERRIDE=FY","FILING_STATUS=OR","EQY_CONSOLIDATED=Y","Sort=A","Dates=H","DateFormat=P","Fill=—","Direction=H","UseDPDF=Y")</f>
        <v>#NAME?</v>
      </c>
      <c r="AW613" s="2" t="e">
        <f ca="1">_xll.BDH($C$603,"MODIFIED_WORKING_CPTL_5YR_GRWTH","FY 2016","FY 2016","Currency=INR","Period=FY","BEST_FPERIOD_OVERRIDE=FY","FILING_STATUS=OR","EQY_CONSOLIDATED=Y","Sort=A","Dates=H","DateFormat=P","Fill=—","Direction=H","UseDPDF=Y")</f>
        <v>#NAME?</v>
      </c>
      <c r="AX613" s="2" t="e">
        <f ca="1">_xll.BDH($C$603,"WORKING_CAPITAL_5_YEAR_GROWTH","FY 2016","FY 2016","Currency=INR","Period=FY","BEST_FPERIOD_OVERRIDE=FY","FILING_STATUS=OR","EQY_CONSOLIDATED=Y","Sort=A","Dates=H","DateFormat=P","Fill=—","Direction=H","UseDPDF=Y")</f>
        <v>#NAME?</v>
      </c>
      <c r="AY613" s="2" t="e">
        <f ca="1">_xll.BDH($C$603,"ACCOUNTS_PAYABLE_5_YEAR_GROWTH","FY 2016","FY 2016","Currency=INR","Period=FY","BEST_FPERIOD_OVERRIDE=FY","FILING_STATUS=OR","EQY_CONSOLIDATED=Y","Sort=A","Dates=H","DateFormat=P","Fill=—","Direction=H","UseDPDF=Y")</f>
        <v>#NAME?</v>
      </c>
      <c r="AZ613" s="2" t="e">
        <f ca="1">_xll.BDH($C$603,"SHORT_TERM_DEBT_5_YEAR_GROWTH","FY 2016","FY 2016","Currency=INR","Period=FY","BEST_FPERIOD_OVERRIDE=FY","FILING_STATUS=OR","EQY_CONSOLIDATED=Y","Sort=A","Dates=H","DateFormat=P","Fill=—","Direction=H","UseDPDF=Y")</f>
        <v>#NAME?</v>
      </c>
      <c r="BA613" s="2" t="e">
        <f ca="1">_xll.BDH($C$603,"TOTAL_DEBT_5_YEAR_GROWTH","FY 2016","FY 2016","Currency=INR","Period=FY","BEST_FPERIOD_OVERRIDE=FY","FILING_STATUS=OR","EQY_CONSOLIDATED=Y","Sort=A","Dates=H","DateFormat=P","Fill=—","Direction=H","UseDPDF=Y")</f>
        <v>#NAME?</v>
      </c>
      <c r="BB613" s="2" t="e">
        <f ca="1">_xll.BDH($C$603,"GEO_GROW_TOT_SHRHLDR_EQY","FY 2016","FY 2016","Currency=INR","Period=FY","BEST_FPERIOD_OVERRIDE=FY","FILING_STATUS=OR","EQY_CONSOLIDATED=Y","Sort=A","Dates=H","DateFormat=P","Fill=—","Direction=H","UseDPDF=Y")</f>
        <v>#NAME?</v>
      </c>
      <c r="BC613" s="2" t="e">
        <f ca="1">_xll.BDH($C$603,"TOTAL_CAPITAL_5_YEAR_GROWTH","FY 2016","FY 2016","Currency=INR","Period=FY","BEST_FPERIOD_OVERRIDE=FY","FILING_STATUS=OR","EQY_CONSOLIDATED=Y","Sort=A","Dates=H","DateFormat=P","Fill=—","Direction=H","UseDPDF=Y")</f>
        <v>#NAME?</v>
      </c>
      <c r="BD613" s="2" t="e">
        <f ca="1">_xll.BDH($C$603,"GEO_GROW_BOOK_VAL","FY 2016","FY 2016","Currency=INR","Period=FY","BEST_FPERIOD_OVERRIDE=FY","FILING_STATUS=OR","EQY_CONSOLIDATED=Y","Sort=A","Dates=H","DateFormat=P","Fill=—","Direction=H","UseDPDF=Y")</f>
        <v>#NAME?</v>
      </c>
      <c r="BE613" s="2" t="e">
        <f ca="1">_xll.BDH($C$603,"GEO_GROW_CASH_OPER_ACT","FY 2016","FY 2016","Currency=INR","Period=FY","BEST_FPERIOD_OVERRIDE=FY","FILING_STATUS=OR","EQY_CONSOLIDATED=Y","Sort=A","Dates=H","DateFormat=P","Fill=—","Direction=H","UseDPDF=Y")</f>
        <v>#NAME?</v>
      </c>
      <c r="BF613" s="2" t="e">
        <f ca="1">_xll.BDH($C$603,"REVENUE_SEQUENTIAL_GROWTH","FY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613" s="2" t="e">
        <f ca="1">_xll.BDH($C$603,"EBITDA_SEQUENTIAL_GROWTH","FY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613" s="2" t="e">
        <f ca="1">_xll.BDH($C$603,"OPERATING_INCOME_SEQ_GROWTH","FY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613" s="2" t="e">
        <f ca="1">_xll.BDH($C$603,"NET_INCOME_TO_COMMON_SEQ_GROWTH","FY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613" s="2" t="e">
        <f ca="1">_xll.BDH($C$603,"EPS_DILUTED_SEQUENTIAL_GROWTH","FY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613" s="2" t="e">
        <f ca="1">_xll.BDH($C$603,"DPS_SEQUENTIAL_GROWTH","FY 2016","FY 2016","Currency=INR","Period=FY","BEST_FPERIOD_OVERRIDE=FY","FILING_STATUS=OR","EQY_CONSOLIDATED=Y","Sort=A","Dates=H","DateFormat=P","Fill=—","Direction=H","UseDPDF=Y")</f>
        <v>#NAME?</v>
      </c>
      <c r="BL613" s="2" t="e">
        <f ca="1">_xll.BDH($C$603,"ACCOUNTS_RECEIVABLE_SEQ_GROWTH","FY 2016","FY 2016","Currency=INR","Period=FY","BEST_FPERIOD_OVERRIDE=FY","FILING_STATUS=OR","EQY_CONSOLIDATED=Y","Sort=A","Dates=H","DateFormat=P","Fill=—","Direction=H","UseDPDF=Y")</f>
        <v>#NAME?</v>
      </c>
      <c r="BM613" s="2" t="e">
        <f ca="1">_xll.BDH($C$603,"INVENTORY_SEQUENTIAL_GROWTH","FY 2016","FY 2016","Currency=INR","Period=FY","BEST_FPERIOD_OVERRIDE=FY","FILING_STATUS=OR","EQY_CONSOLIDATED=Y","Sort=A","Dates=H","DateFormat=P","Fill=—","Direction=H","UseDPDF=Y")</f>
        <v>#NAME?</v>
      </c>
      <c r="BN613" s="2" t="e">
        <f ca="1">_xll.BDH($C$603,"FIXED_ASSETS_SEQUENTIAL_GROWTH","FY 2016","FY 2016","Currency=INR","Period=FY","BEST_FPERIOD_OVERRIDE=FY","FILING_STATUS=OR","EQY_CONSOLIDATED=Y","Sort=A","Dates=H","DateFormat=P","Fill=—","Direction=H","UseDPDF=Y")</f>
        <v>#NAME?</v>
      </c>
      <c r="BO613" s="2" t="e">
        <f ca="1">_xll.BDH($C$603,"TOTAL_ASSETS_SEQUENTIAL_GROWTH","FY 2016","FY 2016","Currency=INR","Period=FY","BEST_FPERIOD_OVERRIDE=FY","FILING_STATUS=OR","EQY_CONSOLIDATED=Y","Sort=A","Dates=H","DateFormat=P","Fill=—","Direction=H","UseDPDF=Y")</f>
        <v>#NAME?</v>
      </c>
      <c r="BP613" s="2" t="e">
        <f ca="1">_xll.BDH($C$603,"MODIFIED_WORKING_CPTL_SEQ_GRWTH","FY 2016","FY 2016","Currency=INR","Period=FY","BEST_FPERIOD_OVERRIDE=FY","FILING_STATUS=OR","EQY_CONSOLIDATED=Y","Sort=A","Dates=H","DateFormat=P","Fill=—","Direction=H","UseDPDF=Y")</f>
        <v>#NAME?</v>
      </c>
      <c r="BQ613" s="2" t="e">
        <f ca="1">_xll.BDH($C$603,"WORKING_CAPITAL_SEQ_GROWTH","FY 2016","FY 2016","Currency=INR","Period=FY","BEST_FPERIOD_OVERRIDE=FY","FILING_STATUS=OR","EQY_CONSOLIDATED=Y","Sort=A","Dates=H","DateFormat=P","Fill=—","Direction=H","UseDPDF=Y")</f>
        <v>#NAME?</v>
      </c>
      <c r="BR613" s="2" t="e">
        <f ca="1">_xll.BDH($C$603,"ACCOUNTS_PAYABLE_SEQ_GROWTH","FY 2016","FY 2016","Currency=INR","Period=FY","BEST_FPERIOD_OVERRIDE=FY","FILING_STATUS=OR","EQY_CONSOLIDATED=Y","Sort=A","Dates=H","DateFormat=P","Fill=—","Direction=H","UseDPDF=Y")</f>
        <v>#NAME?</v>
      </c>
      <c r="BS613" s="2" t="e">
        <f ca="1">_xll.BDH($C$603,"ST_DEBT_SEQUENTIAL_GROWTH","FY 2016","FY 2016","Currency=INR","Period=FY","BEST_FPERIOD_OVERRIDE=FY","FILING_STATUS=OR","EQY_CONSOLIDATED=Y","Sort=A","Dates=H","DateFormat=P","Fill=—","Direction=H","UseDPDF=Y")</f>
        <v>#NAME?</v>
      </c>
      <c r="BT613" s="2" t="e">
        <f ca="1">_xll.BDH($C$603,"TOTAL_DEBT_SEQUENTIAL_GROWTH","FY 2016","FY 2016","Currency=INR","Period=FY","BEST_FPERIOD_OVERRIDE=FY","FILING_STATUS=OR","EQY_CONSOLIDATED=Y","Sort=A","Dates=H","DateFormat=P","Fill=—","Direction=H","UseDPDF=Y")</f>
        <v>#NAME?</v>
      </c>
      <c r="BU613" s="2" t="e">
        <f ca="1">_xll.BDH($C$603,"TOTAL_EQUITY_SEQUENTIAL_GROWTH","FY 2016","FY 2016","Currency=INR","Period=FY","BEST_FPERIOD_OVERRIDE=FY","FILING_STATUS=OR","EQY_CONSOLIDATED=Y","Sort=A","Dates=H","DateFormat=P","Fill=—","Direction=H","UseDPDF=Y")</f>
        <v>#NAME?</v>
      </c>
      <c r="BV613" s="2" t="e">
        <f ca="1">_xll.BDH($C$603,"TOTAL_CAPITAL_SEQUENTIAL_GROWTH","FY 2016","FY 2016","Currency=INR","Period=FY","BEST_FPERIOD_OVERRIDE=FY","FILING_STATUS=OR","EQY_CONSOLIDATED=Y","Sort=A","Dates=H","DateFormat=P","Fill=—","Direction=H","UseDPDF=Y")</f>
        <v>#NAME?</v>
      </c>
      <c r="BW613" s="2" t="e">
        <f ca="1">_xll.BDH($C$603,"BPS_SEQUENTIAL_GROWTH","FY 2016","FY 2016","Currency=INR","Period=FY","BEST_FPERIOD_OVERRIDE=FY","FILING_STATUS=OR","EQY_CONSOLIDATED=Y","Sort=A","Dates=H","DateFormat=P","Fill=—","Direction=H","UseDPDF=Y")</f>
        <v>#NAME?</v>
      </c>
      <c r="BX613" s="2" t="e">
        <f ca="1">_xll.BDH($C$603,"CFO_SEQUENTIAL_GROWTH","FY 2016","FY 2016","Currency=INR","Period=FY","BEST_FPERIOD_OVERRIDE=FY","FILING_STATUS=OR","EQY_CONSOLIDATED=Y","Sort=A","Dates=H","DateFormat=P","Fill=—","Direction=H","UseDPDF=Y")</f>
        <v>#NAME?</v>
      </c>
      <c r="BY613" s="3" t="e">
        <f ca="1">_xll.BDH($C$603,"SHORT_AND_LONG_TERM_DEBT","FY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613" s="3" t="e">
        <f ca="1">_xll.BDH($C$603,"BS_ST_BORROW","FY 2016","FY 2016","Currency=INR","Period=FY","BEST_FPERIOD_OVERRIDE=FY","FILING_STATUS=OR","EQY_CONSOLIDATED=Y","SCALING_FORMAT=MLN","Sort=A","Dates=H","DateFormat=P","Fill=—","Direction=H","UseDPDF=Y")</f>
        <v>#NAME?</v>
      </c>
      <c r="CA613" s="3" t="e">
        <f ca="1">_xll.BDH($C$603,"BS_LT_BORROW","FY 2016","FY 2016","Currency=INR","Period=FY","BEST_FPERIOD_OVERRIDE=FY","FILING_STATUS=OR","EQY_CONSOLIDATED=Y","SCALING_FORMAT=MLN","Sort=A","Dates=H","DateFormat=P","Fill=—","Direction=H","UseDPDF=Y")</f>
        <v>#NAME?</v>
      </c>
      <c r="CB613" s="2" t="e">
        <f ca="1">_xll.BDH($C$603,"TOT_DEBT_TO_EBITDA","FY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613" s="2" t="e">
        <f ca="1">_xll.BDH($C$603,"NET_DEBT_TO_EBITDA","FY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613" s="2" t="e">
        <f ca="1">_xll.BDH($C$603,"TOTAL_DEBT_TO_EBIT","FY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613" s="2" t="e">
        <f ca="1">_xll.BDH($C$603,"NET_DEBT_TO_EBIT","FY 2016","FY 2016","Currency=INR","Period=FY","BEST_FPERIOD_OVERRIDE=FY","FILING_STATUS=OR","EQY_CONSOLIDATED=Y","FA_ADJUSTED=GAAP","Sort=A","Dates=H","DateFormat=P","Fill=—","Direction=H","UseDPDF=Y")</f>
        <v>#NAME?</v>
      </c>
      <c r="CF613" s="2" t="e">
        <f ca="1">_xll.BDH($C$603,"EBITDA_TO_INTEREST_EXPN","FY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613" s="2" t="e">
        <f ca="1">_xll.BDH($C$603,"COM_EQY_TO_TOT_ASSET","FY 2016","FY 2016","Currency=INR","Period=FY","BEST_FPERIOD_OVERRIDE=FY","FILING_STATUS=OR","EQY_CONSOLIDATED=Y","Sort=A","Dates=H","DateFormat=P","Fill=—","Direction=H","UseDPDF=Y")</f>
        <v>#NAME?</v>
      </c>
      <c r="CH613" s="2" t="e">
        <f ca="1">_xll.BDH($C$603,"LT_DEBT_TO_TOT_EQY","FY 2016","FY 2016","Currency=INR","Period=FY","BEST_FPERIOD_OVERRIDE=FY","FILING_STATUS=OR","EQY_CONSOLIDATED=Y","Sort=A","Dates=H","DateFormat=P","Fill=—","Direction=H","UseDPDF=Y")</f>
        <v>#NAME?</v>
      </c>
      <c r="CI613" s="2" t="e">
        <f ca="1">_xll.BDH($C$603,"LT_DEBT_TO_TOT_CAP","FY 2016","FY 2016","Currency=INR","Period=FY","BEST_FPERIOD_OVERRIDE=FY","FILING_STATUS=OR","EQY_CONSOLIDATED=Y","Sort=A","Dates=H","DateFormat=P","Fill=—","Direction=H","UseDPDF=Y")</f>
        <v>#NAME?</v>
      </c>
      <c r="CJ613" s="2" t="e">
        <f ca="1">_xll.BDH($C$603,"LT_DEBT_TO_TOT_ASSET","FY 2016","FY 2016","Currency=INR","Period=FY","BEST_FPERIOD_OVERRIDE=FY","FILING_STATUS=OR","EQY_CONSOLIDATED=Y","Sort=A","Dates=H","DateFormat=P","Fill=—","Direction=H","UseDPDF=Y")</f>
        <v>#NAME?</v>
      </c>
      <c r="CK613" s="2" t="e">
        <f ca="1">_xll.BDH($C$603,"TOT_DEBT_TO_TOT_EQY","FY 2016","FY 2016","Currency=INR","Period=FY","BEST_FPERIOD_OVERRIDE=FY","FILING_STATUS=OR","EQY_CONSOLIDATED=Y","Sort=A","Dates=H","DateFormat=P","Fill=—","Direction=H","UseDPDF=Y")</f>
        <v>#NAME?</v>
      </c>
      <c r="CL613" s="2" t="e">
        <f ca="1">_xll.BDH($C$603,"TOT_DEBT_TO_TOT_CAP","FY 2016","FY 2016","Currency=INR","Period=FY","BEST_FPERIOD_OVERRIDE=FY","FILING_STATUS=OR","EQY_CONSOLIDATED=Y","Sort=A","Dates=H","DateFormat=P","Fill=—","Direction=H","UseDPDF=Y")</f>
        <v>#NAME?</v>
      </c>
      <c r="CM613" s="2" t="e">
        <f ca="1">_xll.BDH($C$603,"TOT_DEBT_TO_TOT_ASSET","FY 2016","FY 2016","Currency=INR","Period=FY","BEST_FPERIOD_OVERRIDE=FY","FILING_STATUS=OR","EQY_CONSOLIDATED=Y","Sort=A","Dates=H","DateFormat=P","Fill=—","Direction=H","UseDPDF=Y")</f>
        <v>#NAME?</v>
      </c>
      <c r="CN613" s="2" t="e">
        <f ca="1">_xll.BDH($C$603,"NET_DEBT_TO_SHRHLDR_EQTY","FY 2016","FY 2016","Currency=INR","Period=FY","BEST_FPERIOD_OVERRIDE=FY","FILING_STATUS=OR","EQY_CONSOLIDATED=Y","Sort=A","Dates=H","DateFormat=P","Fill=—","Direction=H","UseDPDF=Y")</f>
        <v>#NAME?</v>
      </c>
      <c r="CO613" s="2" t="e">
        <f ca="1">_xll.BDH($C$603,"NET_DEBT_%_CAPITAL","FY 2016","FY 2016","Currency=INR","Period=FY","BEST_FPERIOD_OVERRIDE=FY","FILING_STATUS=OR","EQY_CONSOLIDATED=Y","Sort=A","Dates=H","DateFormat=P","Fill=—","Direction=H","UseDPDF=Y")</f>
        <v>#NAME?</v>
      </c>
      <c r="CP613" s="3" t="e">
        <f ca="1">_xll.BDH($C$603,"EBITDA","FY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613" s="3" t="e">
        <f ca="1">_xll.BDH($C$603,"EBITDA_AFTER_CAPEX","FY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613" s="3" t="e">
        <f ca="1">_xll.BDH($C$603,"IS_OPER_INC","FY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613" s="2" t="e">
        <f ca="1">_xll.BDH($C$603,"CASH_RATIO","FY 2016","FY 2016","Currency=INR","Period=FY","BEST_FPERIOD_OVERRIDE=FY","FILING_STATUS=OR","EQY_CONSOLIDATED=Y","Sort=A","Dates=H","DateFormat=P","Fill=—","Direction=H","UseDPDF=Y")</f>
        <v>#NAME?</v>
      </c>
      <c r="CT613" s="2" t="e">
        <f ca="1">_xll.BDH($C$603,"CUR_RATIO","FY 2016","FY 2016","Currency=INR","Period=FY","BEST_FPERIOD_OVERRIDE=FY","FILING_STATUS=OR","EQY_CONSOLIDATED=Y","Sort=A","Dates=H","DateFormat=P","Fill=—","Direction=H","UseDPDF=Y")</f>
        <v>#NAME?</v>
      </c>
      <c r="CU613" s="2" t="e">
        <f ca="1">_xll.BDH($C$603,"QUICK_RATIO","FY 2016","FY 2016","Currency=INR","Period=FY","BEST_FPERIOD_OVERRIDE=FY","FILING_STATUS=OR","EQY_CONSOLIDATED=Y","Sort=A","Dates=H","DateFormat=P","Fill=—","Direction=H","UseDPDF=Y")</f>
        <v>#NAME?</v>
      </c>
      <c r="CV613" s="2" t="e">
        <f ca="1">_xll.BDH($C$603,"ALTMAN_Z_SCORE","FY 2016","FY 2016","Currency=INR","Period=FY","BEST_FPERIOD_OVERRIDE=FY","FILING_STATUS=OR","EQY_CONSOLIDATED=Y","Sort=A","Dates=H","DateFormat=P","Fill=—","Direction=H","UseDPDF=Y")</f>
        <v>#NAME?</v>
      </c>
      <c r="CW613" s="4" t="e">
        <f ca="1">_xll.BDH($C$603,"ACCT_RCV_TURN","FY 2016","FY 2016","Currency=INR","Period=FY","BEST_FPERIOD_OVERRIDE=FY","FILING_STATUS=OR","EQY_CONSOLIDATED=Y","FA_ADJUSTED=GAAP","Sort=A","Dates=H","DateFormat=P","Fill=—","Direction=H","UseDPDF=Y")</f>
        <v>#NAME?</v>
      </c>
      <c r="CX613" s="2" t="e">
        <f ca="1">_xll.BDH($C$603,"ACCT_RCV_DAYS","FY 2016","FY 2016","Currency=INR","Period=FY","BEST_FPERIOD_OVERRIDE=FY","FILING_STATUS=OR","EQY_CONSOLIDATED=Y","FA_ADJUSTED=GAAP","Sort=A","Dates=H","DateFormat=P","Fill=—","Direction=H","UseDPDF=Y")</f>
        <v>#NAME?</v>
      </c>
      <c r="CY613" s="4" t="e">
        <f ca="1">_xll.BDH($C$603,"INVENT_TURN","FY 2016","FY 2016","Currency=INR","Period=FY","BEST_FPERIOD_OVERRIDE=FY","FILING_STATUS=OR","EQY_CONSOLIDATED=Y","FA_ADJUSTED=GAAP","Sort=A","Dates=H","DateFormat=P","Fill=—","Direction=H","UseDPDF=Y")</f>
        <v>#NAME?</v>
      </c>
      <c r="CZ613" s="2" t="e">
        <f ca="1">_xll.BDH($C$603,"INVENT_DAYS","FY 2016","FY 2016","Currency=INR","Period=FY","BEST_FPERIOD_OVERRIDE=FY","FILING_STATUS=OR","EQY_CONSOLIDATED=Y","FA_ADJUSTED=GAAP","Sort=A","Dates=H","DateFormat=P","Fill=—","Direction=H","UseDPDF=Y")</f>
        <v>#NAME?</v>
      </c>
      <c r="DA613" s="4" t="e">
        <f ca="1">_xll.BDH($C$603,"ACCOUNTS_PAYABLE_TURNOVER","FY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613" s="2" t="e">
        <f ca="1">_xll.BDH($C$603,"ACCOUNTS_PAYABLE_TURNOVER_DAYS","FY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613" s="4" t="e">
        <f ca="1">_xll.BDH($C$603,"CASH_CONVERSION_CYCLE","FY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613" s="4" t="e">
        <f ca="1">_xll.BDH($C$603,"INV_TO_CASH_DAYS","FY 2016","FY 2016","Currency=INR","Period=FY","BEST_FPERIOD_OVERRIDE=FY","FILING_STATUS=OR","EQY_CONSOLIDATED=Y","FA_ADJUSTED=GAAP","Sort=A","Dates=H","DateFormat=P","Fill=—","Direction=H","UseDPDF=Y")</f>
        <v>#NAME?</v>
      </c>
      <c r="DE613" s="5" t="e">
        <f ca="1">_xll.BDH($C$603,"BS_INVENTORIES","FY 2016","FY 2016","Currency=INR","Period=FY","BEST_FPERIOD_OVERRIDE=FY","FILING_STATUS=OR","EQY_CONSOLIDATED=Y","SCALING_FORMAT=MLN","Sort=A","Dates=H","DateFormat=P","Fill=—","Direction=H","UseDPDF=Y")</f>
        <v>#NAME?</v>
      </c>
      <c r="DF613" s="3" t="e">
        <f ca="1">_xll.BDH($C$603,"INVTRY_RAW_MATERIALS","FY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613" s="3" t="e">
        <f ca="1">_xll.BDH($C$603,"INVTRY_IN_PROGRESS","FY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613" s="3" t="e">
        <f ca="1">_xll.BDH($C$603,"INVTRY_FINISHED_GOODS","FY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613" s="3" t="e">
        <f ca="1">_xll.BDH($C$603,"BS_OTHER_INV","FY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614" spans="1:113" x14ac:dyDescent="0.3">
      <c r="A614" s="6"/>
      <c r="B614" s="6"/>
      <c r="C614" s="6"/>
      <c r="D614" s="6"/>
      <c r="E614" t="s">
        <v>78</v>
      </c>
      <c r="F614" t="e">
        <f ca="1">_xll.BDH($C$603,"RETURN_COM_EQY","FQ1 2016","FQ1 2016","Currency=INR","Period=FQ","BEST_FPERIOD_OVERRIDE=FQ","FILING_STATUS=OR","EQY_CONSOLIDATED=Y","FA_ADJUSTED=GAAP","Sort=A","Dates=H","DateFormat=P","Fill=—","Direction=H","UseDPDF=Y")</f>
        <v>#NAME?</v>
      </c>
      <c r="G614" t="e">
        <f ca="1">_xll.BDH($C$603,"RETURN_ON_ASSET","FQ1 2016","FQ1 2016","Currency=INR","Period=FQ","BEST_FPERIOD_OVERRIDE=FQ","FILING_STATUS=OR","EQY_CONSOLIDATED=Y","FA_ADJUSTED=GAAP","Sort=A","Dates=H","DateFormat=P","Fill=—","Direction=H","UseDPDF=Y")</f>
        <v>#NAME?</v>
      </c>
      <c r="H614" t="e">
        <f ca="1">_xll.BDH($C$603,"RETURN_ON_CAP","FQ1 2016","FQ1 2016","Currency=INR","Period=FQ","BEST_FPERIOD_OVERRIDE=FQ","FILING_STATUS=OR","EQY_CONSOLIDATED=Y","FA_ADJUSTED=GAAP","Sort=A","Dates=H","DateFormat=P","Fill=—","Direction=H","UseDPDF=Y")</f>
        <v>#NAME?</v>
      </c>
      <c r="I614" t="e">
        <f ca="1">_xll.BDH($C$603,"RETURN_ON_INV_CAPITAL","FQ1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614" t="e">
        <f ca="1">_xll.BDH($C$603,"EBITDA_TO_REVENUE","FQ1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614" t="e">
        <f ca="1">_xll.BDH($C$603,"OPER_MARGIN","FQ1 2016","FQ1 2016","Currency=INR","Period=FQ","BEST_FPERIOD_OVERRIDE=FQ","FILING_STATUS=OR","EQY_CONSOLIDATED=Y","FA_ADJUSTED=GAAP","Sort=A","Dates=H","DateFormat=P","Fill=—","Direction=H","UseDPDF=Y")</f>
        <v>#NAME?</v>
      </c>
      <c r="L614" t="e">
        <f ca="1">_xll.BDH($C$603,"INCREMENTAL_OPERATING_MARGIN","FQ1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614" t="e">
        <f ca="1">_xll.BDH($C$603,"PRETAX_INC_TO_NET_SALES","FQ1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614" t="e">
        <f ca="1">_xll.BDH($C$603,"INC_BEF_XO_ITEMS_TO_NET_SALES","FQ1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614" t="e">
        <f ca="1">_xll.BDH($C$603,"PROF_MARGIN","FQ1 2016","FQ1 2016","Currency=INR","Period=FQ","BEST_FPERIOD_OVERRIDE=FQ","FILING_STATUS=OR","EQY_CONSOLIDATED=Y","FA_ADJUSTED=GAAP","Sort=A","Dates=H","DateFormat=P","Fill=—","Direction=H","UseDPDF=Y")</f>
        <v>#NAME?</v>
      </c>
      <c r="P614" t="e">
        <f ca="1">_xll.BDH($C$603,"NET_INCOME_TO_COMMON_MARGIN","FQ1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614" t="e">
        <f ca="1">_xll.BDH($C$603,"EFF_TAX_RATE","FQ1 2016","FQ1 2016","Currency=INR","Period=FQ","BEST_FPERIOD_OVERRIDE=FQ","FILING_STATUS=OR","EQY_CONSOLIDATED=Y","FA_ADJUSTED=GAAP","Sort=A","Dates=H","DateFormat=P","Fill=—","Direction=H","UseDPDF=Y")</f>
        <v>#NAME?</v>
      </c>
      <c r="R614" t="e">
        <f ca="1">_xll.BDH($C$603,"DVD_PAYOUT_RATIO","FQ1 2016","FQ1 2016","Currency=INR","Period=FQ","BEST_FPERIOD_OVERRIDE=FQ","FILING_STATUS=OR","EQY_CONSOLIDATED=Y","FA_ADJUSTED=GAAP","Sort=A","Dates=H","DateFormat=P","Fill=—","Direction=H","UseDPDF=Y")</f>
        <v>#NAME?</v>
      </c>
      <c r="S614" t="e">
        <f ca="1">_xll.BDH($C$603,"SUSTAIN_GROWTH_RT","FQ1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614" s="2" t="e">
        <f ca="1">_xll.BDH($C$603,"SALES_GROWTH","FQ1 2016","FQ1 2016","Currency=INR","Period=FQ","BEST_FPERIOD_OVERRIDE=FQ","FILING_STATUS=OR","EQY_CONSOLIDATED=Y","FA_ADJUSTED=GAAP","Sort=A","Dates=H","DateFormat=P","Fill=—","Direction=H","UseDPDF=Y")</f>
        <v>#NAME?</v>
      </c>
      <c r="U614" s="2" t="e">
        <f ca="1">_xll.BDH($C$603,"EBITDA_GROWTH","FQ1 2016","FQ1 2016","Currency=INR","Period=FQ","BEST_FPERIOD_OVERRIDE=FQ","FILING_STATUS=OR","EQY_CONSOLIDATED=Y","FA_ADJUSTED=GAAP","Sort=A","Dates=H","DateFormat=P","Fill=—","Direction=H","UseDPDF=Y")</f>
        <v>#NAME?</v>
      </c>
      <c r="V614" s="2" t="e">
        <f ca="1">_xll.BDH($C$603,"OPER_INC_GROWTH","FQ1 2016","FQ1 2016","Currency=INR","Period=FQ","BEST_FPERIOD_OVERRIDE=FQ","FILING_STATUS=OR","EQY_CONSOLIDATED=Y","FA_ADJUSTED=GAAP","Sort=A","Dates=H","DateFormat=P","Fill=—","Direction=H","UseDPDF=Y")</f>
        <v>#NAME?</v>
      </c>
      <c r="W614" s="2" t="e">
        <f ca="1">_xll.BDH($C$603,"EARN_FOR_COM_GROWTH","FQ1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614" s="2" t="e">
        <f ca="1">_xll.BDH($C$603,"DILUTED_EPS_AFT_XO_ITEMS_GROWTH","FQ1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614" s="2" t="e">
        <f ca="1">_xll.BDH($C$603,"DIVIDEND_PER_SHARE_1_YEAR_GROWTH","FQ1 2016","FQ1 2016","Currency=INR","Period=FQ","BEST_FPERIOD_OVERRIDE=FQ","FILING_STATUS=OR","EQY_CONSOLIDATED=Y","Sort=A","Dates=H","DateFormat=P","Fill=—","Direction=H","UseDPDF=Y")</f>
        <v>#NAME?</v>
      </c>
      <c r="Z614" s="2" t="e">
        <f ca="1">_xll.BDH($C$603,"ACCOUNTS_RECEIVABLE_GROWTH","FQ1 2016","FQ1 2016","Currency=INR","Period=FQ","BEST_FPERIOD_OVERRIDE=FQ","FILING_STATUS=OR","EQY_CONSOLIDATED=Y","Sort=A","Dates=H","DateFormat=P","Fill=—","Direction=H","UseDPDF=Y")</f>
        <v>#NAME?</v>
      </c>
      <c r="AA614" s="2" t="e">
        <f ca="1">_xll.BDH($C$603,"INVENTORY_GROWTH","FQ1 2016","FQ1 2016","Currency=INR","Period=FQ","BEST_FPERIOD_OVERRIDE=FQ","FILING_STATUS=OR","EQY_CONSOLIDATED=Y","Sort=A","Dates=H","DateFormat=P","Fill=—","Direction=H","UseDPDF=Y")</f>
        <v>#NAME?</v>
      </c>
      <c r="AB614" s="2" t="e">
        <f ca="1">_xll.BDH($C$603,"NET_FIXED_ASSETS_1_YEAR_GROWTH","FQ1 2016","FQ1 2016","Currency=INR","Period=FQ","BEST_FPERIOD_OVERRIDE=FQ","FILING_STATUS=OR","EQY_CONSOLIDATED=Y","Sort=A","Dates=H","DateFormat=P","Fill=—","Direction=H","UseDPDF=Y")</f>
        <v>#NAME?</v>
      </c>
      <c r="AC614" s="2" t="e">
        <f ca="1">_xll.BDH($C$603,"ASSET_GROWTH","FQ1 2016","FQ1 2016","Currency=INR","Period=FQ","BEST_FPERIOD_OVERRIDE=FQ","FILING_STATUS=OR","EQY_CONSOLIDATED=Y","Sort=A","Dates=H","DateFormat=P","Fill=—","Direction=H","UseDPDF=Y")</f>
        <v>#NAME?</v>
      </c>
      <c r="AD614" s="2" t="e">
        <f ca="1">_xll.BDH($C$603,"MODIFIED_WORK_CAP_GROWTH","FQ1 2016","FQ1 2016","Currency=INR","Period=FQ","BEST_FPERIOD_OVERRIDE=FQ","FILING_STATUS=OR","EQY_CONSOLIDATED=Y","Sort=A","Dates=H","DateFormat=P","Fill=—","Direction=H","UseDPDF=Y")</f>
        <v>#NAME?</v>
      </c>
      <c r="AE614" s="2" t="e">
        <f ca="1">_xll.BDH($C$603,"WORK_CAP_GROWTH","FQ1 2016","FQ1 2016","Currency=INR","Period=FQ","BEST_FPERIOD_OVERRIDE=FQ","FILING_STATUS=OR","EQY_CONSOLIDATED=Y","Sort=A","Dates=H","DateFormat=P","Fill=—","Direction=H","UseDPDF=Y")</f>
        <v>#NAME?</v>
      </c>
      <c r="AF614" s="2" t="e">
        <f ca="1">_xll.BDH($C$603,"ACCOUNTS_PAYABLE_GROWTH_1YR","FQ1 2016","FQ1 2016","Currency=INR","Period=FQ","BEST_FPERIOD_OVERRIDE=FQ","FILING_STATUS=OR","EQY_CONSOLIDATED=Y","Sort=A","Dates=H","DateFormat=P","Fill=—","Direction=H","UseDPDF=Y")</f>
        <v>#NAME?</v>
      </c>
      <c r="AG614" s="2" t="e">
        <f ca="1">_xll.BDH($C$603,"SHORT_TERM_DEBT_1_YEAR_GROWTH","FQ1 2016","FQ1 2016","Currency=INR","Period=FQ","BEST_FPERIOD_OVERRIDE=FQ","FILING_STATUS=OR","EQY_CONSOLIDATED=Y","Sort=A","Dates=H","DateFormat=P","Fill=—","Direction=H","UseDPDF=Y")</f>
        <v>#NAME?</v>
      </c>
      <c r="AH614" s="2" t="e">
        <f ca="1">_xll.BDH($C$603,"TOTAL_DEBT_1_YEAR_GROWTH","FQ1 2016","FQ1 2016","Currency=INR","Period=FQ","BEST_FPERIOD_OVERRIDE=FQ","FILING_STATUS=OR","EQY_CONSOLIDATED=Y","Sort=A","Dates=H","DateFormat=P","Fill=—","Direction=H","UseDPDF=Y")</f>
        <v>#NAME?</v>
      </c>
      <c r="AI614" s="2" t="e">
        <f ca="1">_xll.BDH($C$603,"TOTAL_EQUITY_1_YEAR_GROWTH","FQ1 2016","FQ1 2016","Currency=INR","Period=FQ","BEST_FPERIOD_OVERRIDE=FQ","FILING_STATUS=OR","EQY_CONSOLIDATED=Y","Sort=A","Dates=H","DateFormat=P","Fill=—","Direction=H","UseDPDF=Y")</f>
        <v>#NAME?</v>
      </c>
      <c r="AJ614" s="2" t="e">
        <f ca="1">_xll.BDH($C$603,"GROWTH_IN_CAP","FQ1 2016","FQ1 2016","Currency=INR","Period=FQ","BEST_FPERIOD_OVERRIDE=FQ","FILING_STATUS=OR","EQY_CONSOLIDATED=Y","Sort=A","Dates=H","DateFormat=P","Fill=—","Direction=H","UseDPDF=Y")</f>
        <v>#NAME?</v>
      </c>
      <c r="AK614" s="2" t="e">
        <f ca="1">_xll.BDH($C$603,"BVPS_GROWTH","FQ1 2016","FQ1 2016","Currency=INR","Period=FQ","BEST_FPERIOD_OVERRIDE=FQ","FILING_STATUS=OR","EQY_CONSOLIDATED=Y","Sort=A","Dates=H","DateFormat=P","Fill=—","Direction=H","UseDPDF=Y")</f>
        <v>#NAME?</v>
      </c>
      <c r="AL614" s="2" t="e">
        <f ca="1">_xll.BDH($C$603,"CASH_FLOW_GROWTH","FQ1 2016","FQ1 2016","Currency=INR","Period=FQ","BEST_FPERIOD_OVERRIDE=FQ","FILING_STATUS=OR","EQY_CONSOLIDATED=Y","Sort=A","Dates=H","DateFormat=P","Fill=—","Direction=H","UseDPDF=Y")</f>
        <v>#NAME?</v>
      </c>
      <c r="AM614" s="2" t="e">
        <f ca="1">_xll.BDH($C$603,"GEO_GROW_NET_SALES","FQ1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614" s="2" t="e">
        <f ca="1">_xll.BDH($C$603,"GEO_GROW_EBITDA","FQ1 2016","FQ1 2016","Currency=INR","Period=FQ","BEST_FPERIOD_OVERRIDE=FQ","FILING_STATUS=OR","EQY_CONSOLIDATED=Y","FA_ADJUSTED=GAAP","Sort=A","Dates=H","DateFormat=P","Fill=—","Direction=H","UseDPDF=Y")</f>
        <v>#NAME?</v>
      </c>
      <c r="AO614" s="2" t="e">
        <f ca="1">_xll.BDH($C$603,"GEO_GROW_OPER_INC","FQ1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614" s="2" t="e">
        <f ca="1">_xll.BDH($C$603,"NET_INCOME_TO_COMMON_5_YR_GROWTH","FQ1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614" s="2" t="e">
        <f ca="1">_xll.BDH($C$603,"5Y_GEO_GROWTH_DILUTED_EPS","FQ1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614" s="2" t="e">
        <f ca="1">_xll.BDH($C$603,"GEO_GROW_DVD_PER_SH","FQ1 2016","FQ1 2016","Currency=INR","Period=FQ","BEST_FPERIOD_OVERRIDE=FQ","FILING_STATUS=OR","EQY_CONSOLIDATED=Y","Sort=A","Dates=H","DateFormat=P","Fill=—","Direction=H","UseDPDF=Y")</f>
        <v>#NAME?</v>
      </c>
      <c r="AS614" s="2" t="e">
        <f ca="1">_xll.BDH($C$603,"ACCOUNTS_RECEIVABLE_5_YR_GROWTH","FQ1 2016","FQ1 2016","Currency=INR","Period=FQ","BEST_FPERIOD_OVERRIDE=FQ","FILING_STATUS=OR","EQY_CONSOLIDATED=Y","Sort=A","Dates=H","DateFormat=P","Fill=—","Direction=H","UseDPDF=Y")</f>
        <v>#NAME?</v>
      </c>
      <c r="AT614" s="2" t="e">
        <f ca="1">_xll.BDH($C$603,"INVENTORY_5_YEAR_GROWTH","FQ1 2016","FQ1 2016","Currency=INR","Period=FQ","BEST_FPERIOD_OVERRIDE=FQ","FILING_STATUS=OR","EQY_CONSOLIDATED=Y","Sort=A","Dates=H","DateFormat=P","Fill=—","Direction=H","UseDPDF=Y")</f>
        <v>#NAME?</v>
      </c>
      <c r="AU614" s="2" t="e">
        <f ca="1">_xll.BDH($C$603,"NET_FIXED_ASSETS_5_YEAR_GROWTH","FQ1 2016","FQ1 2016","Currency=INR","Period=FQ","BEST_FPERIOD_OVERRIDE=FQ","FILING_STATUS=OR","EQY_CONSOLIDATED=Y","Sort=A","Dates=H","DateFormat=P","Fill=—","Direction=H","UseDPDF=Y")</f>
        <v>#NAME?</v>
      </c>
      <c r="AV614" s="2" t="e">
        <f ca="1">_xll.BDH($C$603,"GEO_GROW_TOT_ASSET","FQ1 2016","FQ1 2016","Currency=INR","Period=FQ","BEST_FPERIOD_OVERRIDE=FQ","FILING_STATUS=OR","EQY_CONSOLIDATED=Y","Sort=A","Dates=H","DateFormat=P","Fill=—","Direction=H","UseDPDF=Y")</f>
        <v>#NAME?</v>
      </c>
      <c r="AW614" s="2" t="e">
        <f ca="1">_xll.BDH($C$603,"MODIFIED_WORKING_CPTL_5YR_GRWTH","FQ1 2016","FQ1 2016","Currency=INR","Period=FQ","BEST_FPERIOD_OVERRIDE=FQ","FILING_STATUS=OR","EQY_CONSOLIDATED=Y","Sort=A","Dates=H","DateFormat=P","Fill=—","Direction=H","UseDPDF=Y")</f>
        <v>#NAME?</v>
      </c>
      <c r="AX614" s="2" t="e">
        <f ca="1">_xll.BDH($C$603,"WORKING_CAPITAL_5_YEAR_GROWTH","FQ1 2016","FQ1 2016","Currency=INR","Period=FQ","BEST_FPERIOD_OVERRIDE=FQ","FILING_STATUS=OR","EQY_CONSOLIDATED=Y","Sort=A","Dates=H","DateFormat=P","Fill=—","Direction=H","UseDPDF=Y")</f>
        <v>#NAME?</v>
      </c>
      <c r="AY614" s="2" t="e">
        <f ca="1">_xll.BDH($C$603,"ACCOUNTS_PAYABLE_5_YEAR_GROWTH","FQ1 2016","FQ1 2016","Currency=INR","Period=FQ","BEST_FPERIOD_OVERRIDE=FQ","FILING_STATUS=OR","EQY_CONSOLIDATED=Y","Sort=A","Dates=H","DateFormat=P","Fill=—","Direction=H","UseDPDF=Y")</f>
        <v>#NAME?</v>
      </c>
      <c r="AZ614" s="2" t="e">
        <f ca="1">_xll.BDH($C$603,"SHORT_TERM_DEBT_5_YEAR_GROWTH","FQ1 2016","FQ1 2016","Currency=INR","Period=FQ","BEST_FPERIOD_OVERRIDE=FQ","FILING_STATUS=OR","EQY_CONSOLIDATED=Y","Sort=A","Dates=H","DateFormat=P","Fill=—","Direction=H","UseDPDF=Y")</f>
        <v>#NAME?</v>
      </c>
      <c r="BA614" s="2" t="e">
        <f ca="1">_xll.BDH($C$603,"TOTAL_DEBT_5_YEAR_GROWTH","FQ1 2016","FQ1 2016","Currency=INR","Period=FQ","BEST_FPERIOD_OVERRIDE=FQ","FILING_STATUS=OR","EQY_CONSOLIDATED=Y","Sort=A","Dates=H","DateFormat=P","Fill=—","Direction=H","UseDPDF=Y")</f>
        <v>#NAME?</v>
      </c>
      <c r="BB614" s="2" t="e">
        <f ca="1">_xll.BDH($C$603,"GEO_GROW_TOT_SHRHLDR_EQY","FQ1 2016","FQ1 2016","Currency=INR","Period=FQ","BEST_FPERIOD_OVERRIDE=FQ","FILING_STATUS=OR","EQY_CONSOLIDATED=Y","Sort=A","Dates=H","DateFormat=P","Fill=—","Direction=H","UseDPDF=Y")</f>
        <v>#NAME?</v>
      </c>
      <c r="BC614" s="2" t="e">
        <f ca="1">_xll.BDH($C$603,"TOTAL_CAPITAL_5_YEAR_GROWTH","FQ1 2016","FQ1 2016","Currency=INR","Period=FQ","BEST_FPERIOD_OVERRIDE=FQ","FILING_STATUS=OR","EQY_CONSOLIDATED=Y","Sort=A","Dates=H","DateFormat=P","Fill=—","Direction=H","UseDPDF=Y")</f>
        <v>#NAME?</v>
      </c>
      <c r="BD614" s="2" t="e">
        <f ca="1">_xll.BDH($C$603,"GEO_GROW_BOOK_VAL","FQ1 2016","FQ1 2016","Currency=INR","Period=FQ","BEST_FPERIOD_OVERRIDE=FQ","FILING_STATUS=OR","EQY_CONSOLIDATED=Y","Sort=A","Dates=H","DateFormat=P","Fill=—","Direction=H","UseDPDF=Y")</f>
        <v>#NAME?</v>
      </c>
      <c r="BE614" s="2" t="e">
        <f ca="1">_xll.BDH($C$603,"GEO_GROW_CASH_OPER_ACT","FQ1 2016","FQ1 2016","Currency=INR","Period=FQ","BEST_FPERIOD_OVERRIDE=FQ","FILING_STATUS=OR","EQY_CONSOLIDATED=Y","Sort=A","Dates=H","DateFormat=P","Fill=—","Direction=H","UseDPDF=Y")</f>
        <v>#NAME?</v>
      </c>
      <c r="BF614" s="2" t="e">
        <f ca="1">_xll.BDH($C$603,"REVENUE_SEQUENTIAL_GROWTH","FQ1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614" s="2" t="e">
        <f ca="1">_xll.BDH($C$603,"EBITDA_SEQUENTIAL_GROWTH","FQ1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614" s="2" t="e">
        <f ca="1">_xll.BDH($C$603,"OPERATING_INCOME_SEQ_GROWTH","FQ1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614" s="2" t="e">
        <f ca="1">_xll.BDH($C$603,"NET_INCOME_TO_COMMON_SEQ_GROWTH","FQ1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614" s="2" t="e">
        <f ca="1">_xll.BDH($C$603,"EPS_DILUTED_SEQUENTIAL_GROWTH","FQ1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614" s="2" t="e">
        <f ca="1">_xll.BDH($C$603,"DPS_SEQUENTIAL_GROWTH","FQ1 2016","FQ1 2016","Currency=INR","Period=FQ","BEST_FPERIOD_OVERRIDE=FQ","FILING_STATUS=OR","EQY_CONSOLIDATED=Y","Sort=A","Dates=H","DateFormat=P","Fill=—","Direction=H","UseDPDF=Y")</f>
        <v>#NAME?</v>
      </c>
      <c r="BL614" s="2" t="e">
        <f ca="1">_xll.BDH($C$603,"ACCOUNTS_RECEIVABLE_SEQ_GROWTH","FQ1 2016","FQ1 2016","Currency=INR","Period=FQ","BEST_FPERIOD_OVERRIDE=FQ","FILING_STATUS=OR","EQY_CONSOLIDATED=Y","Sort=A","Dates=H","DateFormat=P","Fill=—","Direction=H","UseDPDF=Y")</f>
        <v>#NAME?</v>
      </c>
      <c r="BM614" s="2" t="e">
        <f ca="1">_xll.BDH($C$603,"INVENTORY_SEQUENTIAL_GROWTH","FQ1 2016","FQ1 2016","Currency=INR","Period=FQ","BEST_FPERIOD_OVERRIDE=FQ","FILING_STATUS=OR","EQY_CONSOLIDATED=Y","Sort=A","Dates=H","DateFormat=P","Fill=—","Direction=H","UseDPDF=Y")</f>
        <v>#NAME?</v>
      </c>
      <c r="BN614" s="2" t="e">
        <f ca="1">_xll.BDH($C$603,"FIXED_ASSETS_SEQUENTIAL_GROWTH","FQ1 2016","FQ1 2016","Currency=INR","Period=FQ","BEST_FPERIOD_OVERRIDE=FQ","FILING_STATUS=OR","EQY_CONSOLIDATED=Y","Sort=A","Dates=H","DateFormat=P","Fill=—","Direction=H","UseDPDF=Y")</f>
        <v>#NAME?</v>
      </c>
      <c r="BO614" s="2" t="e">
        <f ca="1">_xll.BDH($C$603,"TOTAL_ASSETS_SEQUENTIAL_GROWTH","FQ1 2016","FQ1 2016","Currency=INR","Period=FQ","BEST_FPERIOD_OVERRIDE=FQ","FILING_STATUS=OR","EQY_CONSOLIDATED=Y","Sort=A","Dates=H","DateFormat=P","Fill=—","Direction=H","UseDPDF=Y")</f>
        <v>#NAME?</v>
      </c>
      <c r="BP614" s="2" t="e">
        <f ca="1">_xll.BDH($C$603,"MODIFIED_WORKING_CPTL_SEQ_GRWTH","FQ1 2016","FQ1 2016","Currency=INR","Period=FQ","BEST_FPERIOD_OVERRIDE=FQ","FILING_STATUS=OR","EQY_CONSOLIDATED=Y","Sort=A","Dates=H","DateFormat=P","Fill=—","Direction=H","UseDPDF=Y")</f>
        <v>#NAME?</v>
      </c>
      <c r="BQ614" s="2" t="e">
        <f ca="1">_xll.BDH($C$603,"WORKING_CAPITAL_SEQ_GROWTH","FQ1 2016","FQ1 2016","Currency=INR","Period=FQ","BEST_FPERIOD_OVERRIDE=FQ","FILING_STATUS=OR","EQY_CONSOLIDATED=Y","Sort=A","Dates=H","DateFormat=P","Fill=—","Direction=H","UseDPDF=Y")</f>
        <v>#NAME?</v>
      </c>
      <c r="BR614" s="2" t="e">
        <f ca="1">_xll.BDH($C$603,"ACCOUNTS_PAYABLE_SEQ_GROWTH","FQ1 2016","FQ1 2016","Currency=INR","Period=FQ","BEST_FPERIOD_OVERRIDE=FQ","FILING_STATUS=OR","EQY_CONSOLIDATED=Y","Sort=A","Dates=H","DateFormat=P","Fill=—","Direction=H","UseDPDF=Y")</f>
        <v>#NAME?</v>
      </c>
      <c r="BS614" s="2" t="e">
        <f ca="1">_xll.BDH($C$603,"ST_DEBT_SEQUENTIAL_GROWTH","FQ1 2016","FQ1 2016","Currency=INR","Period=FQ","BEST_FPERIOD_OVERRIDE=FQ","FILING_STATUS=OR","EQY_CONSOLIDATED=Y","Sort=A","Dates=H","DateFormat=P","Fill=—","Direction=H","UseDPDF=Y")</f>
        <v>#NAME?</v>
      </c>
      <c r="BT614" s="2" t="e">
        <f ca="1">_xll.BDH($C$603,"TOTAL_DEBT_SEQUENTIAL_GROWTH","FQ1 2016","FQ1 2016","Currency=INR","Period=FQ","BEST_FPERIOD_OVERRIDE=FQ","FILING_STATUS=OR","EQY_CONSOLIDATED=Y","Sort=A","Dates=H","DateFormat=P","Fill=—","Direction=H","UseDPDF=Y")</f>
        <v>#NAME?</v>
      </c>
      <c r="BU614" s="2" t="e">
        <f ca="1">_xll.BDH($C$603,"TOTAL_EQUITY_SEQUENTIAL_GROWTH","FQ1 2016","FQ1 2016","Currency=INR","Period=FQ","BEST_FPERIOD_OVERRIDE=FQ","FILING_STATUS=OR","EQY_CONSOLIDATED=Y","Sort=A","Dates=H","DateFormat=P","Fill=—","Direction=H","UseDPDF=Y")</f>
        <v>#NAME?</v>
      </c>
      <c r="BV614" s="2" t="e">
        <f ca="1">_xll.BDH($C$603,"TOTAL_CAPITAL_SEQUENTIAL_GROWTH","FQ1 2016","FQ1 2016","Currency=INR","Period=FQ","BEST_FPERIOD_OVERRIDE=FQ","FILING_STATUS=OR","EQY_CONSOLIDATED=Y","Sort=A","Dates=H","DateFormat=P","Fill=—","Direction=H","UseDPDF=Y")</f>
        <v>#NAME?</v>
      </c>
      <c r="BW614" s="2" t="e">
        <f ca="1">_xll.BDH($C$603,"BPS_SEQUENTIAL_GROWTH","FQ1 2016","FQ1 2016","Currency=INR","Period=FQ","BEST_FPERIOD_OVERRIDE=FQ","FILING_STATUS=OR","EQY_CONSOLIDATED=Y","Sort=A","Dates=H","DateFormat=P","Fill=—","Direction=H","UseDPDF=Y")</f>
        <v>#NAME?</v>
      </c>
      <c r="BX614" s="2" t="e">
        <f ca="1">_xll.BDH($C$603,"CFO_SEQUENTIAL_GROWTH","FQ1 2016","FQ1 2016","Currency=INR","Period=FQ","BEST_FPERIOD_OVERRIDE=FQ","FILING_STATUS=OR","EQY_CONSOLIDATED=Y","Sort=A","Dates=H","DateFormat=P","Fill=—","Direction=H","UseDPDF=Y")</f>
        <v>#NAME?</v>
      </c>
      <c r="BY614" s="3" t="e">
        <f ca="1">_xll.BDH($C$603,"SHORT_AND_LONG_TERM_DEBT","FQ1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614" s="3" t="e">
        <f ca="1">_xll.BDH($C$603,"BS_ST_BORROW","FQ1 2016","FQ1 2016","Currency=INR","Period=FQ","BEST_FPERIOD_OVERRIDE=FQ","FILING_STATUS=OR","EQY_CONSOLIDATED=Y","SCALING_FORMAT=MLN","Sort=A","Dates=H","DateFormat=P","Fill=—","Direction=H","UseDPDF=Y")</f>
        <v>#NAME?</v>
      </c>
      <c r="CA614" s="3" t="e">
        <f ca="1">_xll.BDH($C$603,"BS_LT_BORROW","FQ1 2016","FQ1 2016","Currency=INR","Period=FQ","BEST_FPERIOD_OVERRIDE=FQ","FILING_STATUS=OR","EQY_CONSOLIDATED=Y","SCALING_FORMAT=MLN","Sort=A","Dates=H","DateFormat=P","Fill=—","Direction=H","UseDPDF=Y")</f>
        <v>#NAME?</v>
      </c>
      <c r="CB614" s="2" t="e">
        <f ca="1">_xll.BDH($C$603,"TOT_DEBT_TO_EBITDA","FQ1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614" s="2" t="e">
        <f ca="1">_xll.BDH($C$603,"NET_DEBT_TO_EBITDA","FQ1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614" s="2" t="e">
        <f ca="1">_xll.BDH($C$603,"TOTAL_DEBT_TO_EBIT","FQ1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614" s="2" t="e">
        <f ca="1">_xll.BDH($C$603,"NET_DEBT_TO_EBIT","FQ1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614" s="2" t="e">
        <f ca="1">_xll.BDH($C$603,"EBITDA_TO_INTEREST_EXPN","FQ1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614" s="2" t="e">
        <f ca="1">_xll.BDH($C$603,"COM_EQY_TO_TOT_ASSET","FQ1 2016","FQ1 2016","Currency=INR","Period=FQ","BEST_FPERIOD_OVERRIDE=FQ","FILING_STATUS=OR","EQY_CONSOLIDATED=Y","Sort=A","Dates=H","DateFormat=P","Fill=—","Direction=H","UseDPDF=Y")</f>
        <v>#NAME?</v>
      </c>
      <c r="CH614" s="2" t="e">
        <f ca="1">_xll.BDH($C$603,"LT_DEBT_TO_TOT_EQY","FQ1 2016","FQ1 2016","Currency=INR","Period=FQ","BEST_FPERIOD_OVERRIDE=FQ","FILING_STATUS=OR","EQY_CONSOLIDATED=Y","Sort=A","Dates=H","DateFormat=P","Fill=—","Direction=H","UseDPDF=Y")</f>
        <v>#NAME?</v>
      </c>
      <c r="CI614" s="2" t="e">
        <f ca="1">_xll.BDH($C$603,"LT_DEBT_TO_TOT_CAP","FQ1 2016","FQ1 2016","Currency=INR","Period=FQ","BEST_FPERIOD_OVERRIDE=FQ","FILING_STATUS=OR","EQY_CONSOLIDATED=Y","Sort=A","Dates=H","DateFormat=P","Fill=—","Direction=H","UseDPDF=Y")</f>
        <v>#NAME?</v>
      </c>
      <c r="CJ614" s="2" t="e">
        <f ca="1">_xll.BDH($C$603,"LT_DEBT_TO_TOT_ASSET","FQ1 2016","FQ1 2016","Currency=INR","Period=FQ","BEST_FPERIOD_OVERRIDE=FQ","FILING_STATUS=OR","EQY_CONSOLIDATED=Y","Sort=A","Dates=H","DateFormat=P","Fill=—","Direction=H","UseDPDF=Y")</f>
        <v>#NAME?</v>
      </c>
      <c r="CK614" s="2" t="e">
        <f ca="1">_xll.BDH($C$603,"TOT_DEBT_TO_TOT_EQY","FQ1 2016","FQ1 2016","Currency=INR","Period=FQ","BEST_FPERIOD_OVERRIDE=FQ","FILING_STATUS=OR","EQY_CONSOLIDATED=Y","Sort=A","Dates=H","DateFormat=P","Fill=—","Direction=H","UseDPDF=Y")</f>
        <v>#NAME?</v>
      </c>
      <c r="CL614" s="2" t="e">
        <f ca="1">_xll.BDH($C$603,"TOT_DEBT_TO_TOT_CAP","FQ1 2016","FQ1 2016","Currency=INR","Period=FQ","BEST_FPERIOD_OVERRIDE=FQ","FILING_STATUS=OR","EQY_CONSOLIDATED=Y","Sort=A","Dates=H","DateFormat=P","Fill=—","Direction=H","UseDPDF=Y")</f>
        <v>#NAME?</v>
      </c>
      <c r="CM614" s="2" t="e">
        <f ca="1">_xll.BDH($C$603,"TOT_DEBT_TO_TOT_ASSET","FQ1 2016","FQ1 2016","Currency=INR","Period=FQ","BEST_FPERIOD_OVERRIDE=FQ","FILING_STATUS=OR","EQY_CONSOLIDATED=Y","Sort=A","Dates=H","DateFormat=P","Fill=—","Direction=H","UseDPDF=Y")</f>
        <v>#NAME?</v>
      </c>
      <c r="CN614" s="2" t="e">
        <f ca="1">_xll.BDH($C$603,"NET_DEBT_TO_SHRHLDR_EQTY","FQ1 2016","FQ1 2016","Currency=INR","Period=FQ","BEST_FPERIOD_OVERRIDE=FQ","FILING_STATUS=OR","EQY_CONSOLIDATED=Y","Sort=A","Dates=H","DateFormat=P","Fill=—","Direction=H","UseDPDF=Y")</f>
        <v>#NAME?</v>
      </c>
      <c r="CO614" s="2" t="e">
        <f ca="1">_xll.BDH($C$603,"NET_DEBT_%_CAPITAL","FQ1 2016","FQ1 2016","Currency=INR","Period=FQ","BEST_FPERIOD_OVERRIDE=FQ","FILING_STATUS=OR","EQY_CONSOLIDATED=Y","Sort=A","Dates=H","DateFormat=P","Fill=—","Direction=H","UseDPDF=Y")</f>
        <v>#NAME?</v>
      </c>
      <c r="CP614" s="3" t="e">
        <f ca="1">_xll.BDH($C$603,"EBITDA","FQ1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614" s="3" t="e">
        <f ca="1">_xll.BDH($C$603,"EBITDA_AFTER_CAPEX","FQ1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614" s="3" t="e">
        <f ca="1">_xll.BDH($C$603,"IS_OPER_INC","FQ1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614" s="2" t="e">
        <f ca="1">_xll.BDH($C$603,"CASH_RATIO","FQ1 2016","FQ1 2016","Currency=INR","Period=FQ","BEST_FPERIOD_OVERRIDE=FQ","FILING_STATUS=OR","EQY_CONSOLIDATED=Y","Sort=A","Dates=H","DateFormat=P","Fill=—","Direction=H","UseDPDF=Y")</f>
        <v>#NAME?</v>
      </c>
      <c r="CT614" s="2" t="e">
        <f ca="1">_xll.BDH($C$603,"CUR_RATIO","FQ1 2016","FQ1 2016","Currency=INR","Period=FQ","BEST_FPERIOD_OVERRIDE=FQ","FILING_STATUS=OR","EQY_CONSOLIDATED=Y","Sort=A","Dates=H","DateFormat=P","Fill=—","Direction=H","UseDPDF=Y")</f>
        <v>#NAME?</v>
      </c>
      <c r="CU614" s="2" t="e">
        <f ca="1">_xll.BDH($C$603,"QUICK_RATIO","FQ1 2016","FQ1 2016","Currency=INR","Period=FQ","BEST_FPERIOD_OVERRIDE=FQ","FILING_STATUS=OR","EQY_CONSOLIDATED=Y","Sort=A","Dates=H","DateFormat=P","Fill=—","Direction=H","UseDPDF=Y")</f>
        <v>#NAME?</v>
      </c>
      <c r="CV614" s="2" t="e">
        <f ca="1">_xll.BDH($C$603,"ALTMAN_Z_SCORE","FQ1 2016","FQ1 2016","Currency=INR","Period=FQ","BEST_FPERIOD_OVERRIDE=FQ","FILING_STATUS=OR","EQY_CONSOLIDATED=Y","Sort=A","Dates=H","DateFormat=P","Fill=—","Direction=H","UseDPDF=Y")</f>
        <v>#NAME?</v>
      </c>
      <c r="CW614" s="4" t="e">
        <f ca="1">_xll.BDH($C$603,"ACCT_RCV_TURN","FQ1 2016","FQ1 2016","Currency=INR","Period=FQ","BEST_FPERIOD_OVERRIDE=FQ","FILING_STATUS=OR","EQY_CONSOLIDATED=Y","FA_ADJUSTED=GAAP","Sort=A","Dates=H","DateFormat=P","Fill=—","Direction=H","UseDPDF=Y")</f>
        <v>#NAME?</v>
      </c>
      <c r="CX614" s="2" t="e">
        <f ca="1">_xll.BDH($C$603,"ACCT_RCV_DAYS","FQ1 2016","FQ1 2016","Currency=INR","Period=FQ","BEST_FPERIOD_OVERRIDE=FQ","FILING_STATUS=OR","EQY_CONSOLIDATED=Y","FA_ADJUSTED=GAAP","Sort=A","Dates=H","DateFormat=P","Fill=—","Direction=H","UseDPDF=Y")</f>
        <v>#NAME?</v>
      </c>
      <c r="CY614" s="4" t="e">
        <f ca="1">_xll.BDH($C$603,"INVENT_TURN","FQ1 2016","FQ1 2016","Currency=INR","Period=FQ","BEST_FPERIOD_OVERRIDE=FQ","FILING_STATUS=OR","EQY_CONSOLIDATED=Y","FA_ADJUSTED=GAAP","Sort=A","Dates=H","DateFormat=P","Fill=—","Direction=H","UseDPDF=Y")</f>
        <v>#NAME?</v>
      </c>
      <c r="CZ614" s="2" t="e">
        <f ca="1">_xll.BDH($C$603,"INVENT_DAYS","FQ1 2016","FQ1 2016","Currency=INR","Period=FQ","BEST_FPERIOD_OVERRIDE=FQ","FILING_STATUS=OR","EQY_CONSOLIDATED=Y","FA_ADJUSTED=GAAP","Sort=A","Dates=H","DateFormat=P","Fill=—","Direction=H","UseDPDF=Y")</f>
        <v>#NAME?</v>
      </c>
      <c r="DA614" s="4" t="e">
        <f ca="1">_xll.BDH($C$603,"ACCOUNTS_PAYABLE_TURNOVER","FQ1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614" s="2" t="e">
        <f ca="1">_xll.BDH($C$603,"ACCOUNTS_PAYABLE_TURNOVER_DAYS","FQ1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614" s="4" t="e">
        <f ca="1">_xll.BDH($C$603,"CASH_CONVERSION_CYCLE","FQ1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614" s="4" t="e">
        <f ca="1">_xll.BDH($C$603,"INV_TO_CASH_DAYS","FQ1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614" s="5" t="e">
        <f ca="1">_xll.BDH($C$603,"BS_INVENTORIES","FQ1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614" s="3" t="e">
        <f ca="1">_xll.BDH($C$603,"INVTRY_RAW_MATERIALS","FQ1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614" s="3" t="e">
        <f ca="1">_xll.BDH($C$603,"INVTRY_IN_PROGRESS","FQ1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614" s="3" t="e">
        <f ca="1">_xll.BDH($C$603,"INVTRY_FINISHED_GOODS","FQ1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614" s="3" t="e">
        <f ca="1">_xll.BDH($C$603,"BS_OTHER_INV","FQ1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615" spans="1:113" x14ac:dyDescent="0.3">
      <c r="A615" s="6"/>
      <c r="B615" s="6"/>
      <c r="C615" s="6"/>
      <c r="D615" s="6"/>
      <c r="E615" t="s">
        <v>79</v>
      </c>
      <c r="F615" t="e">
        <f ca="1">_xll.BDH($C$603,"RETURN_COM_EQY","FQ2 2016","FQ2 2016","Currency=INR","Period=FQ","BEST_FPERIOD_OVERRIDE=FQ","FILING_STATUS=OR","EQY_CONSOLIDATED=Y","FA_ADJUSTED=GAAP","Sort=A","Dates=H","DateFormat=P","Fill=—","Direction=H","UseDPDF=Y")</f>
        <v>#NAME?</v>
      </c>
      <c r="G615" t="e">
        <f ca="1">_xll.BDH($C$603,"RETURN_ON_ASSET","FQ2 2016","FQ2 2016","Currency=INR","Period=FQ","BEST_FPERIOD_OVERRIDE=FQ","FILING_STATUS=OR","EQY_CONSOLIDATED=Y","FA_ADJUSTED=GAAP","Sort=A","Dates=H","DateFormat=P","Fill=—","Direction=H","UseDPDF=Y")</f>
        <v>#NAME?</v>
      </c>
      <c r="H615" t="e">
        <f ca="1">_xll.BDH($C$603,"RETURN_ON_CAP","FQ2 2016","FQ2 2016","Currency=INR","Period=FQ","BEST_FPERIOD_OVERRIDE=FQ","FILING_STATUS=OR","EQY_CONSOLIDATED=Y","FA_ADJUSTED=GAAP","Sort=A","Dates=H","DateFormat=P","Fill=—","Direction=H","UseDPDF=Y")</f>
        <v>#NAME?</v>
      </c>
      <c r="I615" t="e">
        <f ca="1">_xll.BDH($C$603,"RETURN_ON_INV_CAPITAL","FQ2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615" t="e">
        <f ca="1">_xll.BDH($C$603,"EBITDA_TO_REVENUE","FQ2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615" t="e">
        <f ca="1">_xll.BDH($C$603,"OPER_MARGIN","FQ2 2016","FQ2 2016","Currency=INR","Period=FQ","BEST_FPERIOD_OVERRIDE=FQ","FILING_STATUS=OR","EQY_CONSOLIDATED=Y","FA_ADJUSTED=GAAP","Sort=A","Dates=H","DateFormat=P","Fill=—","Direction=H","UseDPDF=Y")</f>
        <v>#NAME?</v>
      </c>
      <c r="L615" t="e">
        <f ca="1">_xll.BDH($C$603,"INCREMENTAL_OPERATING_MARGIN","FQ2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615" t="e">
        <f ca="1">_xll.BDH($C$603,"PRETAX_INC_TO_NET_SALES","FQ2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615" t="e">
        <f ca="1">_xll.BDH($C$603,"INC_BEF_XO_ITEMS_TO_NET_SALES","FQ2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615" t="e">
        <f ca="1">_xll.BDH($C$603,"PROF_MARGIN","FQ2 2016","FQ2 2016","Currency=INR","Period=FQ","BEST_FPERIOD_OVERRIDE=FQ","FILING_STATUS=OR","EQY_CONSOLIDATED=Y","FA_ADJUSTED=GAAP","Sort=A","Dates=H","DateFormat=P","Fill=—","Direction=H","UseDPDF=Y")</f>
        <v>#NAME?</v>
      </c>
      <c r="P615" t="e">
        <f ca="1">_xll.BDH($C$603,"NET_INCOME_TO_COMMON_MARGIN","FQ2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615" t="e">
        <f ca="1">_xll.BDH($C$603,"EFF_TAX_RATE","FQ2 2016","FQ2 2016","Currency=INR","Period=FQ","BEST_FPERIOD_OVERRIDE=FQ","FILING_STATUS=OR","EQY_CONSOLIDATED=Y","FA_ADJUSTED=GAAP","Sort=A","Dates=H","DateFormat=P","Fill=—","Direction=H","UseDPDF=Y")</f>
        <v>#NAME?</v>
      </c>
      <c r="R615" t="e">
        <f ca="1">_xll.BDH($C$603,"DVD_PAYOUT_RATIO","FQ2 2016","FQ2 2016","Currency=INR","Period=FQ","BEST_FPERIOD_OVERRIDE=FQ","FILING_STATUS=OR","EQY_CONSOLIDATED=Y","FA_ADJUSTED=GAAP","Sort=A","Dates=H","DateFormat=P","Fill=—","Direction=H","UseDPDF=Y")</f>
        <v>#NAME?</v>
      </c>
      <c r="S615" t="e">
        <f ca="1">_xll.BDH($C$603,"SUSTAIN_GROWTH_RT","FQ2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615" s="2" t="e">
        <f ca="1">_xll.BDH($C$603,"SALES_GROWTH","FQ2 2016","FQ2 2016","Currency=INR","Period=FQ","BEST_FPERIOD_OVERRIDE=FQ","FILING_STATUS=OR","EQY_CONSOLIDATED=Y","FA_ADJUSTED=GAAP","Sort=A","Dates=H","DateFormat=P","Fill=—","Direction=H","UseDPDF=Y")</f>
        <v>#NAME?</v>
      </c>
      <c r="U615" s="2" t="e">
        <f ca="1">_xll.BDH($C$603,"EBITDA_GROWTH","FQ2 2016","FQ2 2016","Currency=INR","Period=FQ","BEST_FPERIOD_OVERRIDE=FQ","FILING_STATUS=OR","EQY_CONSOLIDATED=Y","FA_ADJUSTED=GAAP","Sort=A","Dates=H","DateFormat=P","Fill=—","Direction=H","UseDPDF=Y")</f>
        <v>#NAME?</v>
      </c>
      <c r="V615" s="2" t="e">
        <f ca="1">_xll.BDH($C$603,"OPER_INC_GROWTH","FQ2 2016","FQ2 2016","Currency=INR","Period=FQ","BEST_FPERIOD_OVERRIDE=FQ","FILING_STATUS=OR","EQY_CONSOLIDATED=Y","FA_ADJUSTED=GAAP","Sort=A","Dates=H","DateFormat=P","Fill=—","Direction=H","UseDPDF=Y")</f>
        <v>#NAME?</v>
      </c>
      <c r="W615" s="2" t="e">
        <f ca="1">_xll.BDH($C$603,"EARN_FOR_COM_GROWTH","FQ2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615" s="2" t="e">
        <f ca="1">_xll.BDH($C$603,"DILUTED_EPS_AFT_XO_ITEMS_GROWTH","FQ2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615" s="2" t="e">
        <f ca="1">_xll.BDH($C$603,"DIVIDEND_PER_SHARE_1_YEAR_GROWTH","FQ2 2016","FQ2 2016","Currency=INR","Period=FQ","BEST_FPERIOD_OVERRIDE=FQ","FILING_STATUS=OR","EQY_CONSOLIDATED=Y","Sort=A","Dates=H","DateFormat=P","Fill=—","Direction=H","UseDPDF=Y")</f>
        <v>#NAME?</v>
      </c>
      <c r="Z615" s="2" t="e">
        <f ca="1">_xll.BDH($C$603,"ACCOUNTS_RECEIVABLE_GROWTH","FQ2 2016","FQ2 2016","Currency=INR","Period=FQ","BEST_FPERIOD_OVERRIDE=FQ","FILING_STATUS=OR","EQY_CONSOLIDATED=Y","Sort=A","Dates=H","DateFormat=P","Fill=—","Direction=H","UseDPDF=Y")</f>
        <v>#NAME?</v>
      </c>
      <c r="AA615" s="2" t="e">
        <f ca="1">_xll.BDH($C$603,"INVENTORY_GROWTH","FQ2 2016","FQ2 2016","Currency=INR","Period=FQ","BEST_FPERIOD_OVERRIDE=FQ","FILING_STATUS=OR","EQY_CONSOLIDATED=Y","Sort=A","Dates=H","DateFormat=P","Fill=—","Direction=H","UseDPDF=Y")</f>
        <v>#NAME?</v>
      </c>
      <c r="AB615" s="2" t="e">
        <f ca="1">_xll.BDH($C$603,"NET_FIXED_ASSETS_1_YEAR_GROWTH","FQ2 2016","FQ2 2016","Currency=INR","Period=FQ","BEST_FPERIOD_OVERRIDE=FQ","FILING_STATUS=OR","EQY_CONSOLIDATED=Y","Sort=A","Dates=H","DateFormat=P","Fill=—","Direction=H","UseDPDF=Y")</f>
        <v>#NAME?</v>
      </c>
      <c r="AC615" s="2" t="e">
        <f ca="1">_xll.BDH($C$603,"ASSET_GROWTH","FQ2 2016","FQ2 2016","Currency=INR","Period=FQ","BEST_FPERIOD_OVERRIDE=FQ","FILING_STATUS=OR","EQY_CONSOLIDATED=Y","Sort=A","Dates=H","DateFormat=P","Fill=—","Direction=H","UseDPDF=Y")</f>
        <v>#NAME?</v>
      </c>
      <c r="AD615" s="2" t="e">
        <f ca="1">_xll.BDH($C$603,"MODIFIED_WORK_CAP_GROWTH","FQ2 2016","FQ2 2016","Currency=INR","Period=FQ","BEST_FPERIOD_OVERRIDE=FQ","FILING_STATUS=OR","EQY_CONSOLIDATED=Y","Sort=A","Dates=H","DateFormat=P","Fill=—","Direction=H","UseDPDF=Y")</f>
        <v>#NAME?</v>
      </c>
      <c r="AE615" s="2" t="e">
        <f ca="1">_xll.BDH($C$603,"WORK_CAP_GROWTH","FQ2 2016","FQ2 2016","Currency=INR","Period=FQ","BEST_FPERIOD_OVERRIDE=FQ","FILING_STATUS=OR","EQY_CONSOLIDATED=Y","Sort=A","Dates=H","DateFormat=P","Fill=—","Direction=H","UseDPDF=Y")</f>
        <v>#NAME?</v>
      </c>
      <c r="AF615" s="2" t="e">
        <f ca="1">_xll.BDH($C$603,"ACCOUNTS_PAYABLE_GROWTH_1YR","FQ2 2016","FQ2 2016","Currency=INR","Period=FQ","BEST_FPERIOD_OVERRIDE=FQ","FILING_STATUS=OR","EQY_CONSOLIDATED=Y","Sort=A","Dates=H","DateFormat=P","Fill=—","Direction=H","UseDPDF=Y")</f>
        <v>#NAME?</v>
      </c>
      <c r="AG615" s="2" t="e">
        <f ca="1">_xll.BDH($C$603,"SHORT_TERM_DEBT_1_YEAR_GROWTH","FQ2 2016","FQ2 2016","Currency=INR","Period=FQ","BEST_FPERIOD_OVERRIDE=FQ","FILING_STATUS=OR","EQY_CONSOLIDATED=Y","Sort=A","Dates=H","DateFormat=P","Fill=—","Direction=H","UseDPDF=Y")</f>
        <v>#NAME?</v>
      </c>
      <c r="AH615" s="2" t="e">
        <f ca="1">_xll.BDH($C$603,"TOTAL_DEBT_1_YEAR_GROWTH","FQ2 2016","FQ2 2016","Currency=INR","Period=FQ","BEST_FPERIOD_OVERRIDE=FQ","FILING_STATUS=OR","EQY_CONSOLIDATED=Y","Sort=A","Dates=H","DateFormat=P","Fill=—","Direction=H","UseDPDF=Y")</f>
        <v>#NAME?</v>
      </c>
      <c r="AI615" s="2" t="e">
        <f ca="1">_xll.BDH($C$603,"TOTAL_EQUITY_1_YEAR_GROWTH","FQ2 2016","FQ2 2016","Currency=INR","Period=FQ","BEST_FPERIOD_OVERRIDE=FQ","FILING_STATUS=OR","EQY_CONSOLIDATED=Y","Sort=A","Dates=H","DateFormat=P","Fill=—","Direction=H","UseDPDF=Y")</f>
        <v>#NAME?</v>
      </c>
      <c r="AJ615" s="2" t="e">
        <f ca="1">_xll.BDH($C$603,"GROWTH_IN_CAP","FQ2 2016","FQ2 2016","Currency=INR","Period=FQ","BEST_FPERIOD_OVERRIDE=FQ","FILING_STATUS=OR","EQY_CONSOLIDATED=Y","Sort=A","Dates=H","DateFormat=P","Fill=—","Direction=H","UseDPDF=Y")</f>
        <v>#NAME?</v>
      </c>
      <c r="AK615" s="2" t="e">
        <f ca="1">_xll.BDH($C$603,"BVPS_GROWTH","FQ2 2016","FQ2 2016","Currency=INR","Period=FQ","BEST_FPERIOD_OVERRIDE=FQ","FILING_STATUS=OR","EQY_CONSOLIDATED=Y","Sort=A","Dates=H","DateFormat=P","Fill=—","Direction=H","UseDPDF=Y")</f>
        <v>#NAME?</v>
      </c>
      <c r="AL615" s="2" t="e">
        <f ca="1">_xll.BDH($C$603,"CASH_FLOW_GROWTH","FQ2 2016","FQ2 2016","Currency=INR","Period=FQ","BEST_FPERIOD_OVERRIDE=FQ","FILING_STATUS=OR","EQY_CONSOLIDATED=Y","Sort=A","Dates=H","DateFormat=P","Fill=—","Direction=H","UseDPDF=Y")</f>
        <v>#NAME?</v>
      </c>
      <c r="AM615" s="2" t="e">
        <f ca="1">_xll.BDH($C$603,"GEO_GROW_NET_SALES","FQ2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615" s="2" t="e">
        <f ca="1">_xll.BDH($C$603,"GEO_GROW_EBITDA","FQ2 2016","FQ2 2016","Currency=INR","Period=FQ","BEST_FPERIOD_OVERRIDE=FQ","FILING_STATUS=OR","EQY_CONSOLIDATED=Y","FA_ADJUSTED=GAAP","Sort=A","Dates=H","DateFormat=P","Fill=—","Direction=H","UseDPDF=Y")</f>
        <v>#NAME?</v>
      </c>
      <c r="AO615" s="2" t="e">
        <f ca="1">_xll.BDH($C$603,"GEO_GROW_OPER_INC","FQ2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615" s="2" t="e">
        <f ca="1">_xll.BDH($C$603,"NET_INCOME_TO_COMMON_5_YR_GROWTH","FQ2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615" s="2" t="e">
        <f ca="1">_xll.BDH($C$603,"5Y_GEO_GROWTH_DILUTED_EPS","FQ2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615" s="2" t="e">
        <f ca="1">_xll.BDH($C$603,"GEO_GROW_DVD_PER_SH","FQ2 2016","FQ2 2016","Currency=INR","Period=FQ","BEST_FPERIOD_OVERRIDE=FQ","FILING_STATUS=OR","EQY_CONSOLIDATED=Y","Sort=A","Dates=H","DateFormat=P","Fill=—","Direction=H","UseDPDF=Y")</f>
        <v>#NAME?</v>
      </c>
      <c r="AS615" s="2" t="e">
        <f ca="1">_xll.BDH($C$603,"ACCOUNTS_RECEIVABLE_5_YR_GROWTH","FQ2 2016","FQ2 2016","Currency=INR","Period=FQ","BEST_FPERIOD_OVERRIDE=FQ","FILING_STATUS=OR","EQY_CONSOLIDATED=Y","Sort=A","Dates=H","DateFormat=P","Fill=—","Direction=H","UseDPDF=Y")</f>
        <v>#NAME?</v>
      </c>
      <c r="AT615" s="2" t="e">
        <f ca="1">_xll.BDH($C$603,"INVENTORY_5_YEAR_GROWTH","FQ2 2016","FQ2 2016","Currency=INR","Period=FQ","BEST_FPERIOD_OVERRIDE=FQ","FILING_STATUS=OR","EQY_CONSOLIDATED=Y","Sort=A","Dates=H","DateFormat=P","Fill=—","Direction=H","UseDPDF=Y")</f>
        <v>#NAME?</v>
      </c>
      <c r="AU615" s="2" t="e">
        <f ca="1">_xll.BDH($C$603,"NET_FIXED_ASSETS_5_YEAR_GROWTH","FQ2 2016","FQ2 2016","Currency=INR","Period=FQ","BEST_FPERIOD_OVERRIDE=FQ","FILING_STATUS=OR","EQY_CONSOLIDATED=Y","Sort=A","Dates=H","DateFormat=P","Fill=—","Direction=H","UseDPDF=Y")</f>
        <v>#NAME?</v>
      </c>
      <c r="AV615" s="2" t="e">
        <f ca="1">_xll.BDH($C$603,"GEO_GROW_TOT_ASSET","FQ2 2016","FQ2 2016","Currency=INR","Period=FQ","BEST_FPERIOD_OVERRIDE=FQ","FILING_STATUS=OR","EQY_CONSOLIDATED=Y","Sort=A","Dates=H","DateFormat=P","Fill=—","Direction=H","UseDPDF=Y")</f>
        <v>#NAME?</v>
      </c>
      <c r="AW615" s="2" t="e">
        <f ca="1">_xll.BDH($C$603,"MODIFIED_WORKING_CPTL_5YR_GRWTH","FQ2 2016","FQ2 2016","Currency=INR","Period=FQ","BEST_FPERIOD_OVERRIDE=FQ","FILING_STATUS=OR","EQY_CONSOLIDATED=Y","Sort=A","Dates=H","DateFormat=P","Fill=—","Direction=H","UseDPDF=Y")</f>
        <v>#NAME?</v>
      </c>
      <c r="AX615" s="2" t="e">
        <f ca="1">_xll.BDH($C$603,"WORKING_CAPITAL_5_YEAR_GROWTH","FQ2 2016","FQ2 2016","Currency=INR","Period=FQ","BEST_FPERIOD_OVERRIDE=FQ","FILING_STATUS=OR","EQY_CONSOLIDATED=Y","Sort=A","Dates=H","DateFormat=P","Fill=—","Direction=H","UseDPDF=Y")</f>
        <v>#NAME?</v>
      </c>
      <c r="AY615" s="2" t="e">
        <f ca="1">_xll.BDH($C$603,"ACCOUNTS_PAYABLE_5_YEAR_GROWTH","FQ2 2016","FQ2 2016","Currency=INR","Period=FQ","BEST_FPERIOD_OVERRIDE=FQ","FILING_STATUS=OR","EQY_CONSOLIDATED=Y","Sort=A","Dates=H","DateFormat=P","Fill=—","Direction=H","UseDPDF=Y")</f>
        <v>#NAME?</v>
      </c>
      <c r="AZ615" s="2" t="e">
        <f ca="1">_xll.BDH($C$603,"SHORT_TERM_DEBT_5_YEAR_GROWTH","FQ2 2016","FQ2 2016","Currency=INR","Period=FQ","BEST_FPERIOD_OVERRIDE=FQ","FILING_STATUS=OR","EQY_CONSOLIDATED=Y","Sort=A","Dates=H","DateFormat=P","Fill=—","Direction=H","UseDPDF=Y")</f>
        <v>#NAME?</v>
      </c>
      <c r="BA615" s="2" t="e">
        <f ca="1">_xll.BDH($C$603,"TOTAL_DEBT_5_YEAR_GROWTH","FQ2 2016","FQ2 2016","Currency=INR","Period=FQ","BEST_FPERIOD_OVERRIDE=FQ","FILING_STATUS=OR","EQY_CONSOLIDATED=Y","Sort=A","Dates=H","DateFormat=P","Fill=—","Direction=H","UseDPDF=Y")</f>
        <v>#NAME?</v>
      </c>
      <c r="BB615" s="2" t="e">
        <f ca="1">_xll.BDH($C$603,"GEO_GROW_TOT_SHRHLDR_EQY","FQ2 2016","FQ2 2016","Currency=INR","Period=FQ","BEST_FPERIOD_OVERRIDE=FQ","FILING_STATUS=OR","EQY_CONSOLIDATED=Y","Sort=A","Dates=H","DateFormat=P","Fill=—","Direction=H","UseDPDF=Y")</f>
        <v>#NAME?</v>
      </c>
      <c r="BC615" s="2" t="e">
        <f ca="1">_xll.BDH($C$603,"TOTAL_CAPITAL_5_YEAR_GROWTH","FQ2 2016","FQ2 2016","Currency=INR","Period=FQ","BEST_FPERIOD_OVERRIDE=FQ","FILING_STATUS=OR","EQY_CONSOLIDATED=Y","Sort=A","Dates=H","DateFormat=P","Fill=—","Direction=H","UseDPDF=Y")</f>
        <v>#NAME?</v>
      </c>
      <c r="BD615" s="2" t="e">
        <f ca="1">_xll.BDH($C$603,"GEO_GROW_BOOK_VAL","FQ2 2016","FQ2 2016","Currency=INR","Period=FQ","BEST_FPERIOD_OVERRIDE=FQ","FILING_STATUS=OR","EQY_CONSOLIDATED=Y","Sort=A","Dates=H","DateFormat=P","Fill=—","Direction=H","UseDPDF=Y")</f>
        <v>#NAME?</v>
      </c>
      <c r="BE615" s="2" t="e">
        <f ca="1">_xll.BDH($C$603,"GEO_GROW_CASH_OPER_ACT","FQ2 2016","FQ2 2016","Currency=INR","Period=FQ","BEST_FPERIOD_OVERRIDE=FQ","FILING_STATUS=OR","EQY_CONSOLIDATED=Y","Sort=A","Dates=H","DateFormat=P","Fill=—","Direction=H","UseDPDF=Y")</f>
        <v>#NAME?</v>
      </c>
      <c r="BF615" s="2" t="e">
        <f ca="1">_xll.BDH($C$603,"REVENUE_SEQUENTIAL_GROWTH","FQ2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615" s="2" t="e">
        <f ca="1">_xll.BDH($C$603,"EBITDA_SEQUENTIAL_GROWTH","FQ2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615" s="2" t="e">
        <f ca="1">_xll.BDH($C$603,"OPERATING_INCOME_SEQ_GROWTH","FQ2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615" s="2" t="e">
        <f ca="1">_xll.BDH($C$603,"NET_INCOME_TO_COMMON_SEQ_GROWTH","FQ2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615" s="2" t="e">
        <f ca="1">_xll.BDH($C$603,"EPS_DILUTED_SEQUENTIAL_GROWTH","FQ2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615" s="2" t="e">
        <f ca="1">_xll.BDH($C$603,"DPS_SEQUENTIAL_GROWTH","FQ2 2016","FQ2 2016","Currency=INR","Period=FQ","BEST_FPERIOD_OVERRIDE=FQ","FILING_STATUS=OR","EQY_CONSOLIDATED=Y","Sort=A","Dates=H","DateFormat=P","Fill=—","Direction=H","UseDPDF=Y")</f>
        <v>#NAME?</v>
      </c>
      <c r="BL615" s="2" t="e">
        <f ca="1">_xll.BDH($C$603,"ACCOUNTS_RECEIVABLE_SEQ_GROWTH","FQ2 2016","FQ2 2016","Currency=INR","Period=FQ","BEST_FPERIOD_OVERRIDE=FQ","FILING_STATUS=OR","EQY_CONSOLIDATED=Y","Sort=A","Dates=H","DateFormat=P","Fill=—","Direction=H","UseDPDF=Y")</f>
        <v>#NAME?</v>
      </c>
      <c r="BM615" s="2" t="e">
        <f ca="1">_xll.BDH($C$603,"INVENTORY_SEQUENTIAL_GROWTH","FQ2 2016","FQ2 2016","Currency=INR","Period=FQ","BEST_FPERIOD_OVERRIDE=FQ","FILING_STATUS=OR","EQY_CONSOLIDATED=Y","Sort=A","Dates=H","DateFormat=P","Fill=—","Direction=H","UseDPDF=Y")</f>
        <v>#NAME?</v>
      </c>
      <c r="BN615" s="2" t="e">
        <f ca="1">_xll.BDH($C$603,"FIXED_ASSETS_SEQUENTIAL_GROWTH","FQ2 2016","FQ2 2016","Currency=INR","Period=FQ","BEST_FPERIOD_OVERRIDE=FQ","FILING_STATUS=OR","EQY_CONSOLIDATED=Y","Sort=A","Dates=H","DateFormat=P","Fill=—","Direction=H","UseDPDF=Y")</f>
        <v>#NAME?</v>
      </c>
      <c r="BO615" s="2" t="e">
        <f ca="1">_xll.BDH($C$603,"TOTAL_ASSETS_SEQUENTIAL_GROWTH","FQ2 2016","FQ2 2016","Currency=INR","Period=FQ","BEST_FPERIOD_OVERRIDE=FQ","FILING_STATUS=OR","EQY_CONSOLIDATED=Y","Sort=A","Dates=H","DateFormat=P","Fill=—","Direction=H","UseDPDF=Y")</f>
        <v>#NAME?</v>
      </c>
      <c r="BP615" s="2" t="e">
        <f ca="1">_xll.BDH($C$603,"MODIFIED_WORKING_CPTL_SEQ_GRWTH","FQ2 2016","FQ2 2016","Currency=INR","Period=FQ","BEST_FPERIOD_OVERRIDE=FQ","FILING_STATUS=OR","EQY_CONSOLIDATED=Y","Sort=A","Dates=H","DateFormat=P","Fill=—","Direction=H","UseDPDF=Y")</f>
        <v>#NAME?</v>
      </c>
      <c r="BQ615" s="2" t="e">
        <f ca="1">_xll.BDH($C$603,"WORKING_CAPITAL_SEQ_GROWTH","FQ2 2016","FQ2 2016","Currency=INR","Period=FQ","BEST_FPERIOD_OVERRIDE=FQ","FILING_STATUS=OR","EQY_CONSOLIDATED=Y","Sort=A","Dates=H","DateFormat=P","Fill=—","Direction=H","UseDPDF=Y")</f>
        <v>#NAME?</v>
      </c>
      <c r="BR615" s="2" t="e">
        <f ca="1">_xll.BDH($C$603,"ACCOUNTS_PAYABLE_SEQ_GROWTH","FQ2 2016","FQ2 2016","Currency=INR","Period=FQ","BEST_FPERIOD_OVERRIDE=FQ","FILING_STATUS=OR","EQY_CONSOLIDATED=Y","Sort=A","Dates=H","DateFormat=P","Fill=—","Direction=H","UseDPDF=Y")</f>
        <v>#NAME?</v>
      </c>
      <c r="BS615" s="2" t="e">
        <f ca="1">_xll.BDH($C$603,"ST_DEBT_SEQUENTIAL_GROWTH","FQ2 2016","FQ2 2016","Currency=INR","Period=FQ","BEST_FPERIOD_OVERRIDE=FQ","FILING_STATUS=OR","EQY_CONSOLIDATED=Y","Sort=A","Dates=H","DateFormat=P","Fill=—","Direction=H","UseDPDF=Y")</f>
        <v>#NAME?</v>
      </c>
      <c r="BT615" s="2" t="e">
        <f ca="1">_xll.BDH($C$603,"TOTAL_DEBT_SEQUENTIAL_GROWTH","FQ2 2016","FQ2 2016","Currency=INR","Period=FQ","BEST_FPERIOD_OVERRIDE=FQ","FILING_STATUS=OR","EQY_CONSOLIDATED=Y","Sort=A","Dates=H","DateFormat=P","Fill=—","Direction=H","UseDPDF=Y")</f>
        <v>#NAME?</v>
      </c>
      <c r="BU615" s="2" t="e">
        <f ca="1">_xll.BDH($C$603,"TOTAL_EQUITY_SEQUENTIAL_GROWTH","FQ2 2016","FQ2 2016","Currency=INR","Period=FQ","BEST_FPERIOD_OVERRIDE=FQ","FILING_STATUS=OR","EQY_CONSOLIDATED=Y","Sort=A","Dates=H","DateFormat=P","Fill=—","Direction=H","UseDPDF=Y")</f>
        <v>#NAME?</v>
      </c>
      <c r="BV615" s="2" t="e">
        <f ca="1">_xll.BDH($C$603,"TOTAL_CAPITAL_SEQUENTIAL_GROWTH","FQ2 2016","FQ2 2016","Currency=INR","Period=FQ","BEST_FPERIOD_OVERRIDE=FQ","FILING_STATUS=OR","EQY_CONSOLIDATED=Y","Sort=A","Dates=H","DateFormat=P","Fill=—","Direction=H","UseDPDF=Y")</f>
        <v>#NAME?</v>
      </c>
      <c r="BW615" s="2" t="e">
        <f ca="1">_xll.BDH($C$603,"BPS_SEQUENTIAL_GROWTH","FQ2 2016","FQ2 2016","Currency=INR","Period=FQ","BEST_FPERIOD_OVERRIDE=FQ","FILING_STATUS=OR","EQY_CONSOLIDATED=Y","Sort=A","Dates=H","DateFormat=P","Fill=—","Direction=H","UseDPDF=Y")</f>
        <v>#NAME?</v>
      </c>
      <c r="BX615" s="2" t="e">
        <f ca="1">_xll.BDH($C$603,"CFO_SEQUENTIAL_GROWTH","FQ2 2016","FQ2 2016","Currency=INR","Period=FQ","BEST_FPERIOD_OVERRIDE=FQ","FILING_STATUS=OR","EQY_CONSOLIDATED=Y","Sort=A","Dates=H","DateFormat=P","Fill=—","Direction=H","UseDPDF=Y")</f>
        <v>#NAME?</v>
      </c>
      <c r="BY615" s="3" t="e">
        <f ca="1">_xll.BDH($C$603,"SHORT_AND_LONG_TERM_DEBT","FQ2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615" s="3" t="e">
        <f ca="1">_xll.BDH($C$603,"BS_ST_BORROW","FQ2 2016","FQ2 2016","Currency=INR","Period=FQ","BEST_FPERIOD_OVERRIDE=FQ","FILING_STATUS=OR","EQY_CONSOLIDATED=Y","SCALING_FORMAT=MLN","Sort=A","Dates=H","DateFormat=P","Fill=—","Direction=H","UseDPDF=Y")</f>
        <v>#NAME?</v>
      </c>
      <c r="CA615" s="3" t="e">
        <f ca="1">_xll.BDH($C$603,"BS_LT_BORROW","FQ2 2016","FQ2 2016","Currency=INR","Period=FQ","BEST_FPERIOD_OVERRIDE=FQ","FILING_STATUS=OR","EQY_CONSOLIDATED=Y","SCALING_FORMAT=MLN","Sort=A","Dates=H","DateFormat=P","Fill=—","Direction=H","UseDPDF=Y")</f>
        <v>#NAME?</v>
      </c>
      <c r="CB615" s="2" t="e">
        <f ca="1">_xll.BDH($C$603,"TOT_DEBT_TO_EBITDA","FQ2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615" s="2" t="e">
        <f ca="1">_xll.BDH($C$603,"NET_DEBT_TO_EBITDA","FQ2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615" s="2" t="e">
        <f ca="1">_xll.BDH($C$603,"TOTAL_DEBT_TO_EBIT","FQ2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615" s="2" t="e">
        <f ca="1">_xll.BDH($C$603,"NET_DEBT_TO_EBIT","FQ2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615" s="2" t="e">
        <f ca="1">_xll.BDH($C$603,"EBITDA_TO_INTEREST_EXPN","FQ2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615" s="2" t="e">
        <f ca="1">_xll.BDH($C$603,"COM_EQY_TO_TOT_ASSET","FQ2 2016","FQ2 2016","Currency=INR","Period=FQ","BEST_FPERIOD_OVERRIDE=FQ","FILING_STATUS=OR","EQY_CONSOLIDATED=Y","Sort=A","Dates=H","DateFormat=P","Fill=—","Direction=H","UseDPDF=Y")</f>
        <v>#NAME?</v>
      </c>
      <c r="CH615" s="2" t="e">
        <f ca="1">_xll.BDH($C$603,"LT_DEBT_TO_TOT_EQY","FQ2 2016","FQ2 2016","Currency=INR","Period=FQ","BEST_FPERIOD_OVERRIDE=FQ","FILING_STATUS=OR","EQY_CONSOLIDATED=Y","Sort=A","Dates=H","DateFormat=P","Fill=—","Direction=H","UseDPDF=Y")</f>
        <v>#NAME?</v>
      </c>
      <c r="CI615" s="2" t="e">
        <f ca="1">_xll.BDH($C$603,"LT_DEBT_TO_TOT_CAP","FQ2 2016","FQ2 2016","Currency=INR","Period=FQ","BEST_FPERIOD_OVERRIDE=FQ","FILING_STATUS=OR","EQY_CONSOLIDATED=Y","Sort=A","Dates=H","DateFormat=P","Fill=—","Direction=H","UseDPDF=Y")</f>
        <v>#NAME?</v>
      </c>
      <c r="CJ615" s="2" t="e">
        <f ca="1">_xll.BDH($C$603,"LT_DEBT_TO_TOT_ASSET","FQ2 2016","FQ2 2016","Currency=INR","Period=FQ","BEST_FPERIOD_OVERRIDE=FQ","FILING_STATUS=OR","EQY_CONSOLIDATED=Y","Sort=A","Dates=H","DateFormat=P","Fill=—","Direction=H","UseDPDF=Y")</f>
        <v>#NAME?</v>
      </c>
      <c r="CK615" s="2" t="e">
        <f ca="1">_xll.BDH($C$603,"TOT_DEBT_TO_TOT_EQY","FQ2 2016","FQ2 2016","Currency=INR","Period=FQ","BEST_FPERIOD_OVERRIDE=FQ","FILING_STATUS=OR","EQY_CONSOLIDATED=Y","Sort=A","Dates=H","DateFormat=P","Fill=—","Direction=H","UseDPDF=Y")</f>
        <v>#NAME?</v>
      </c>
      <c r="CL615" s="2" t="e">
        <f ca="1">_xll.BDH($C$603,"TOT_DEBT_TO_TOT_CAP","FQ2 2016","FQ2 2016","Currency=INR","Period=FQ","BEST_FPERIOD_OVERRIDE=FQ","FILING_STATUS=OR","EQY_CONSOLIDATED=Y","Sort=A","Dates=H","DateFormat=P","Fill=—","Direction=H","UseDPDF=Y")</f>
        <v>#NAME?</v>
      </c>
      <c r="CM615" s="2" t="e">
        <f ca="1">_xll.BDH($C$603,"TOT_DEBT_TO_TOT_ASSET","FQ2 2016","FQ2 2016","Currency=INR","Period=FQ","BEST_FPERIOD_OVERRIDE=FQ","FILING_STATUS=OR","EQY_CONSOLIDATED=Y","Sort=A","Dates=H","DateFormat=P","Fill=—","Direction=H","UseDPDF=Y")</f>
        <v>#NAME?</v>
      </c>
      <c r="CN615" s="2" t="e">
        <f ca="1">_xll.BDH($C$603,"NET_DEBT_TO_SHRHLDR_EQTY","FQ2 2016","FQ2 2016","Currency=INR","Period=FQ","BEST_FPERIOD_OVERRIDE=FQ","FILING_STATUS=OR","EQY_CONSOLIDATED=Y","Sort=A","Dates=H","DateFormat=P","Fill=—","Direction=H","UseDPDF=Y")</f>
        <v>#NAME?</v>
      </c>
      <c r="CO615" s="2" t="e">
        <f ca="1">_xll.BDH($C$603,"NET_DEBT_%_CAPITAL","FQ2 2016","FQ2 2016","Currency=INR","Period=FQ","BEST_FPERIOD_OVERRIDE=FQ","FILING_STATUS=OR","EQY_CONSOLIDATED=Y","Sort=A","Dates=H","DateFormat=P","Fill=—","Direction=H","UseDPDF=Y")</f>
        <v>#NAME?</v>
      </c>
      <c r="CP615" s="3" t="e">
        <f ca="1">_xll.BDH($C$603,"EBITDA","FQ2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615" s="3" t="e">
        <f ca="1">_xll.BDH($C$603,"EBITDA_AFTER_CAPEX","FQ2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615" s="3" t="e">
        <f ca="1">_xll.BDH($C$603,"IS_OPER_INC","FQ2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615" s="2" t="e">
        <f ca="1">_xll.BDH($C$603,"CASH_RATIO","FQ2 2016","FQ2 2016","Currency=INR","Period=FQ","BEST_FPERIOD_OVERRIDE=FQ","FILING_STATUS=OR","EQY_CONSOLIDATED=Y","Sort=A","Dates=H","DateFormat=P","Fill=—","Direction=H","UseDPDF=Y")</f>
        <v>#NAME?</v>
      </c>
      <c r="CT615" s="2" t="e">
        <f ca="1">_xll.BDH($C$603,"CUR_RATIO","FQ2 2016","FQ2 2016","Currency=INR","Period=FQ","BEST_FPERIOD_OVERRIDE=FQ","FILING_STATUS=OR","EQY_CONSOLIDATED=Y","Sort=A","Dates=H","DateFormat=P","Fill=—","Direction=H","UseDPDF=Y")</f>
        <v>#NAME?</v>
      </c>
      <c r="CU615" s="2" t="e">
        <f ca="1">_xll.BDH($C$603,"QUICK_RATIO","FQ2 2016","FQ2 2016","Currency=INR","Period=FQ","BEST_FPERIOD_OVERRIDE=FQ","FILING_STATUS=OR","EQY_CONSOLIDATED=Y","Sort=A","Dates=H","DateFormat=P","Fill=—","Direction=H","UseDPDF=Y")</f>
        <v>#NAME?</v>
      </c>
      <c r="CV615" s="2" t="e">
        <f ca="1">_xll.BDH($C$603,"ALTMAN_Z_SCORE","FQ2 2016","FQ2 2016","Currency=INR","Period=FQ","BEST_FPERIOD_OVERRIDE=FQ","FILING_STATUS=OR","EQY_CONSOLIDATED=Y","Sort=A","Dates=H","DateFormat=P","Fill=—","Direction=H","UseDPDF=Y")</f>
        <v>#NAME?</v>
      </c>
      <c r="CW615" s="4" t="e">
        <f ca="1">_xll.BDH($C$603,"ACCT_RCV_TURN","FQ2 2016","FQ2 2016","Currency=INR","Period=FQ","BEST_FPERIOD_OVERRIDE=FQ","FILING_STATUS=OR","EQY_CONSOLIDATED=Y","FA_ADJUSTED=GAAP","Sort=A","Dates=H","DateFormat=P","Fill=—","Direction=H","UseDPDF=Y")</f>
        <v>#NAME?</v>
      </c>
      <c r="CX615" s="2" t="e">
        <f ca="1">_xll.BDH($C$603,"ACCT_RCV_DAYS","FQ2 2016","FQ2 2016","Currency=INR","Period=FQ","BEST_FPERIOD_OVERRIDE=FQ","FILING_STATUS=OR","EQY_CONSOLIDATED=Y","FA_ADJUSTED=GAAP","Sort=A","Dates=H","DateFormat=P","Fill=—","Direction=H","UseDPDF=Y")</f>
        <v>#NAME?</v>
      </c>
      <c r="CY615" s="4" t="e">
        <f ca="1">_xll.BDH($C$603,"INVENT_TURN","FQ2 2016","FQ2 2016","Currency=INR","Period=FQ","BEST_FPERIOD_OVERRIDE=FQ","FILING_STATUS=OR","EQY_CONSOLIDATED=Y","FA_ADJUSTED=GAAP","Sort=A","Dates=H","DateFormat=P","Fill=—","Direction=H","UseDPDF=Y")</f>
        <v>#NAME?</v>
      </c>
      <c r="CZ615" s="2" t="e">
        <f ca="1">_xll.BDH($C$603,"INVENT_DAYS","FQ2 2016","FQ2 2016","Currency=INR","Period=FQ","BEST_FPERIOD_OVERRIDE=FQ","FILING_STATUS=OR","EQY_CONSOLIDATED=Y","FA_ADJUSTED=GAAP","Sort=A","Dates=H","DateFormat=P","Fill=—","Direction=H","UseDPDF=Y")</f>
        <v>#NAME?</v>
      </c>
      <c r="DA615" s="4" t="e">
        <f ca="1">_xll.BDH($C$603,"ACCOUNTS_PAYABLE_TURNOVER","FQ2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615" s="2" t="e">
        <f ca="1">_xll.BDH($C$603,"ACCOUNTS_PAYABLE_TURNOVER_DAYS","FQ2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615" s="4" t="e">
        <f ca="1">_xll.BDH($C$603,"CASH_CONVERSION_CYCLE","FQ2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615" s="4" t="e">
        <f ca="1">_xll.BDH($C$603,"INV_TO_CASH_DAYS","FQ2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615" s="5" t="e">
        <f ca="1">_xll.BDH($C$603,"BS_INVENTORIES","FQ2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615" s="3" t="e">
        <f ca="1">_xll.BDH($C$603,"INVTRY_RAW_MATERIALS","FQ2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615" s="3" t="e">
        <f ca="1">_xll.BDH($C$603,"INVTRY_IN_PROGRESS","FQ2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615" s="3" t="e">
        <f ca="1">_xll.BDH($C$603,"INVTRY_FINISHED_GOODS","FQ2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615" s="3" t="e">
        <f ca="1">_xll.BDH($C$603,"BS_OTHER_INV","FQ2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616" spans="1:113" x14ac:dyDescent="0.3">
      <c r="A616" s="6"/>
      <c r="B616" s="6"/>
      <c r="C616" s="6"/>
      <c r="D616" s="6"/>
      <c r="E616" t="s">
        <v>80</v>
      </c>
      <c r="F616" t="e">
        <f ca="1">_xll.BDH($C$603,"RETURN_COM_EQY","FQ3 2016","FQ3 2016","Currency=INR","Period=FQ","BEST_FPERIOD_OVERRIDE=FQ","FILING_STATUS=OR","EQY_CONSOLIDATED=Y","FA_ADJUSTED=GAAP","Sort=A","Dates=H","DateFormat=P","Fill=—","Direction=H","UseDPDF=Y")</f>
        <v>#NAME?</v>
      </c>
      <c r="G616" t="e">
        <f ca="1">_xll.BDH($C$603,"RETURN_ON_ASSET","FQ3 2016","FQ3 2016","Currency=INR","Period=FQ","BEST_FPERIOD_OVERRIDE=FQ","FILING_STATUS=OR","EQY_CONSOLIDATED=Y","FA_ADJUSTED=GAAP","Sort=A","Dates=H","DateFormat=P","Fill=—","Direction=H","UseDPDF=Y")</f>
        <v>#NAME?</v>
      </c>
      <c r="H616" t="e">
        <f ca="1">_xll.BDH($C$603,"RETURN_ON_CAP","FQ3 2016","FQ3 2016","Currency=INR","Period=FQ","BEST_FPERIOD_OVERRIDE=FQ","FILING_STATUS=OR","EQY_CONSOLIDATED=Y","FA_ADJUSTED=GAAP","Sort=A","Dates=H","DateFormat=P","Fill=—","Direction=H","UseDPDF=Y")</f>
        <v>#NAME?</v>
      </c>
      <c r="I616" t="e">
        <f ca="1">_xll.BDH($C$603,"RETURN_ON_INV_CAPITAL","FQ3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616" t="e">
        <f ca="1">_xll.BDH($C$603,"EBITDA_TO_REVENUE","FQ3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616" t="e">
        <f ca="1">_xll.BDH($C$603,"OPER_MARGIN","FQ3 2016","FQ3 2016","Currency=INR","Period=FQ","BEST_FPERIOD_OVERRIDE=FQ","FILING_STATUS=OR","EQY_CONSOLIDATED=Y","FA_ADJUSTED=GAAP","Sort=A","Dates=H","DateFormat=P","Fill=—","Direction=H","UseDPDF=Y")</f>
        <v>#NAME?</v>
      </c>
      <c r="L616" t="e">
        <f ca="1">_xll.BDH($C$603,"INCREMENTAL_OPERATING_MARGIN","FQ3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616" t="e">
        <f ca="1">_xll.BDH($C$603,"PRETAX_INC_TO_NET_SALES","FQ3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616" t="e">
        <f ca="1">_xll.BDH($C$603,"INC_BEF_XO_ITEMS_TO_NET_SALES","FQ3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616" t="e">
        <f ca="1">_xll.BDH($C$603,"PROF_MARGIN","FQ3 2016","FQ3 2016","Currency=INR","Period=FQ","BEST_FPERIOD_OVERRIDE=FQ","FILING_STATUS=OR","EQY_CONSOLIDATED=Y","FA_ADJUSTED=GAAP","Sort=A","Dates=H","DateFormat=P","Fill=—","Direction=H","UseDPDF=Y")</f>
        <v>#NAME?</v>
      </c>
      <c r="P616" t="e">
        <f ca="1">_xll.BDH($C$603,"NET_INCOME_TO_COMMON_MARGIN","FQ3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616" t="e">
        <f ca="1">_xll.BDH($C$603,"EFF_TAX_RATE","FQ3 2016","FQ3 2016","Currency=INR","Period=FQ","BEST_FPERIOD_OVERRIDE=FQ","FILING_STATUS=OR","EQY_CONSOLIDATED=Y","FA_ADJUSTED=GAAP","Sort=A","Dates=H","DateFormat=P","Fill=—","Direction=H","UseDPDF=Y")</f>
        <v>#NAME?</v>
      </c>
      <c r="R616" t="e">
        <f ca="1">_xll.BDH($C$603,"DVD_PAYOUT_RATIO","FQ3 2016","FQ3 2016","Currency=INR","Period=FQ","BEST_FPERIOD_OVERRIDE=FQ","FILING_STATUS=OR","EQY_CONSOLIDATED=Y","FA_ADJUSTED=GAAP","Sort=A","Dates=H","DateFormat=P","Fill=—","Direction=H","UseDPDF=Y")</f>
        <v>#NAME?</v>
      </c>
      <c r="S616" t="e">
        <f ca="1">_xll.BDH($C$603,"SUSTAIN_GROWTH_RT","FQ3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616" s="2" t="e">
        <f ca="1">_xll.BDH($C$603,"SALES_GROWTH","FQ3 2016","FQ3 2016","Currency=INR","Period=FQ","BEST_FPERIOD_OVERRIDE=FQ","FILING_STATUS=OR","EQY_CONSOLIDATED=Y","FA_ADJUSTED=GAAP","Sort=A","Dates=H","DateFormat=P","Fill=—","Direction=H","UseDPDF=Y")</f>
        <v>#NAME?</v>
      </c>
      <c r="U616" s="2" t="e">
        <f ca="1">_xll.BDH($C$603,"EBITDA_GROWTH","FQ3 2016","FQ3 2016","Currency=INR","Period=FQ","BEST_FPERIOD_OVERRIDE=FQ","FILING_STATUS=OR","EQY_CONSOLIDATED=Y","FA_ADJUSTED=GAAP","Sort=A","Dates=H","DateFormat=P","Fill=—","Direction=H","UseDPDF=Y")</f>
        <v>#NAME?</v>
      </c>
      <c r="V616" s="2" t="e">
        <f ca="1">_xll.BDH($C$603,"OPER_INC_GROWTH","FQ3 2016","FQ3 2016","Currency=INR","Period=FQ","BEST_FPERIOD_OVERRIDE=FQ","FILING_STATUS=OR","EQY_CONSOLIDATED=Y","FA_ADJUSTED=GAAP","Sort=A","Dates=H","DateFormat=P","Fill=—","Direction=H","UseDPDF=Y")</f>
        <v>#NAME?</v>
      </c>
      <c r="W616" s="2" t="e">
        <f ca="1">_xll.BDH($C$603,"EARN_FOR_COM_GROWTH","FQ3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616" s="2" t="e">
        <f ca="1">_xll.BDH($C$603,"DILUTED_EPS_AFT_XO_ITEMS_GROWTH","FQ3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616" s="2" t="e">
        <f ca="1">_xll.BDH($C$603,"DIVIDEND_PER_SHARE_1_YEAR_GROWTH","FQ3 2016","FQ3 2016","Currency=INR","Period=FQ","BEST_FPERIOD_OVERRIDE=FQ","FILING_STATUS=OR","EQY_CONSOLIDATED=Y","Sort=A","Dates=H","DateFormat=P","Fill=—","Direction=H","UseDPDF=Y")</f>
        <v>#NAME?</v>
      </c>
      <c r="Z616" s="2" t="e">
        <f ca="1">_xll.BDH($C$603,"ACCOUNTS_RECEIVABLE_GROWTH","FQ3 2016","FQ3 2016","Currency=INR","Period=FQ","BEST_FPERIOD_OVERRIDE=FQ","FILING_STATUS=OR","EQY_CONSOLIDATED=Y","Sort=A","Dates=H","DateFormat=P","Fill=—","Direction=H","UseDPDF=Y")</f>
        <v>#NAME?</v>
      </c>
      <c r="AA616" s="2" t="e">
        <f ca="1">_xll.BDH($C$603,"INVENTORY_GROWTH","FQ3 2016","FQ3 2016","Currency=INR","Period=FQ","BEST_FPERIOD_OVERRIDE=FQ","FILING_STATUS=OR","EQY_CONSOLIDATED=Y","Sort=A","Dates=H","DateFormat=P","Fill=—","Direction=H","UseDPDF=Y")</f>
        <v>#NAME?</v>
      </c>
      <c r="AB616" s="2" t="e">
        <f ca="1">_xll.BDH($C$603,"NET_FIXED_ASSETS_1_YEAR_GROWTH","FQ3 2016","FQ3 2016","Currency=INR","Period=FQ","BEST_FPERIOD_OVERRIDE=FQ","FILING_STATUS=OR","EQY_CONSOLIDATED=Y","Sort=A","Dates=H","DateFormat=P","Fill=—","Direction=H","UseDPDF=Y")</f>
        <v>#NAME?</v>
      </c>
      <c r="AC616" s="2" t="e">
        <f ca="1">_xll.BDH($C$603,"ASSET_GROWTH","FQ3 2016","FQ3 2016","Currency=INR","Period=FQ","BEST_FPERIOD_OVERRIDE=FQ","FILING_STATUS=OR","EQY_CONSOLIDATED=Y","Sort=A","Dates=H","DateFormat=P","Fill=—","Direction=H","UseDPDF=Y")</f>
        <v>#NAME?</v>
      </c>
      <c r="AD616" s="2" t="e">
        <f ca="1">_xll.BDH($C$603,"MODIFIED_WORK_CAP_GROWTH","FQ3 2016","FQ3 2016","Currency=INR","Period=FQ","BEST_FPERIOD_OVERRIDE=FQ","FILING_STATUS=OR","EQY_CONSOLIDATED=Y","Sort=A","Dates=H","DateFormat=P","Fill=—","Direction=H","UseDPDF=Y")</f>
        <v>#NAME?</v>
      </c>
      <c r="AE616" s="2" t="e">
        <f ca="1">_xll.BDH($C$603,"WORK_CAP_GROWTH","FQ3 2016","FQ3 2016","Currency=INR","Period=FQ","BEST_FPERIOD_OVERRIDE=FQ","FILING_STATUS=OR","EQY_CONSOLIDATED=Y","Sort=A","Dates=H","DateFormat=P","Fill=—","Direction=H","UseDPDF=Y")</f>
        <v>#NAME?</v>
      </c>
      <c r="AF616" s="2" t="e">
        <f ca="1">_xll.BDH($C$603,"ACCOUNTS_PAYABLE_GROWTH_1YR","FQ3 2016","FQ3 2016","Currency=INR","Period=FQ","BEST_FPERIOD_OVERRIDE=FQ","FILING_STATUS=OR","EQY_CONSOLIDATED=Y","Sort=A","Dates=H","DateFormat=P","Fill=—","Direction=H","UseDPDF=Y")</f>
        <v>#NAME?</v>
      </c>
      <c r="AG616" s="2" t="e">
        <f ca="1">_xll.BDH($C$603,"SHORT_TERM_DEBT_1_YEAR_GROWTH","FQ3 2016","FQ3 2016","Currency=INR","Period=FQ","BEST_FPERIOD_OVERRIDE=FQ","FILING_STATUS=OR","EQY_CONSOLIDATED=Y","Sort=A","Dates=H","DateFormat=P","Fill=—","Direction=H","UseDPDF=Y")</f>
        <v>#NAME?</v>
      </c>
      <c r="AH616" s="2" t="e">
        <f ca="1">_xll.BDH($C$603,"TOTAL_DEBT_1_YEAR_GROWTH","FQ3 2016","FQ3 2016","Currency=INR","Period=FQ","BEST_FPERIOD_OVERRIDE=FQ","FILING_STATUS=OR","EQY_CONSOLIDATED=Y","Sort=A","Dates=H","DateFormat=P","Fill=—","Direction=H","UseDPDF=Y")</f>
        <v>#NAME?</v>
      </c>
      <c r="AI616" s="2" t="e">
        <f ca="1">_xll.BDH($C$603,"TOTAL_EQUITY_1_YEAR_GROWTH","FQ3 2016","FQ3 2016","Currency=INR","Period=FQ","BEST_FPERIOD_OVERRIDE=FQ","FILING_STATUS=OR","EQY_CONSOLIDATED=Y","Sort=A","Dates=H","DateFormat=P","Fill=—","Direction=H","UseDPDF=Y")</f>
        <v>#NAME?</v>
      </c>
      <c r="AJ616" s="2" t="e">
        <f ca="1">_xll.BDH($C$603,"GROWTH_IN_CAP","FQ3 2016","FQ3 2016","Currency=INR","Period=FQ","BEST_FPERIOD_OVERRIDE=FQ","FILING_STATUS=OR","EQY_CONSOLIDATED=Y","Sort=A","Dates=H","DateFormat=P","Fill=—","Direction=H","UseDPDF=Y")</f>
        <v>#NAME?</v>
      </c>
      <c r="AK616" s="2" t="e">
        <f ca="1">_xll.BDH($C$603,"BVPS_GROWTH","FQ3 2016","FQ3 2016","Currency=INR","Period=FQ","BEST_FPERIOD_OVERRIDE=FQ","FILING_STATUS=OR","EQY_CONSOLIDATED=Y","Sort=A","Dates=H","DateFormat=P","Fill=—","Direction=H","UseDPDF=Y")</f>
        <v>#NAME?</v>
      </c>
      <c r="AL616" s="2" t="e">
        <f ca="1">_xll.BDH($C$603,"CASH_FLOW_GROWTH","FQ3 2016","FQ3 2016","Currency=INR","Period=FQ","BEST_FPERIOD_OVERRIDE=FQ","FILING_STATUS=OR","EQY_CONSOLIDATED=Y","Sort=A","Dates=H","DateFormat=P","Fill=—","Direction=H","UseDPDF=Y")</f>
        <v>#NAME?</v>
      </c>
      <c r="AM616" s="2" t="e">
        <f ca="1">_xll.BDH($C$603,"GEO_GROW_NET_SALES","FQ3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616" s="2" t="e">
        <f ca="1">_xll.BDH($C$603,"GEO_GROW_EBITDA","FQ3 2016","FQ3 2016","Currency=INR","Period=FQ","BEST_FPERIOD_OVERRIDE=FQ","FILING_STATUS=OR","EQY_CONSOLIDATED=Y","FA_ADJUSTED=GAAP","Sort=A","Dates=H","DateFormat=P","Fill=—","Direction=H","UseDPDF=Y")</f>
        <v>#NAME?</v>
      </c>
      <c r="AO616" s="2" t="e">
        <f ca="1">_xll.BDH($C$603,"GEO_GROW_OPER_INC","FQ3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616" s="2" t="e">
        <f ca="1">_xll.BDH($C$603,"NET_INCOME_TO_COMMON_5_YR_GROWTH","FQ3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616" s="2" t="e">
        <f ca="1">_xll.BDH($C$603,"5Y_GEO_GROWTH_DILUTED_EPS","FQ3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616" s="2" t="e">
        <f ca="1">_xll.BDH($C$603,"GEO_GROW_DVD_PER_SH","FQ3 2016","FQ3 2016","Currency=INR","Period=FQ","BEST_FPERIOD_OVERRIDE=FQ","FILING_STATUS=OR","EQY_CONSOLIDATED=Y","Sort=A","Dates=H","DateFormat=P","Fill=—","Direction=H","UseDPDF=Y")</f>
        <v>#NAME?</v>
      </c>
      <c r="AS616" s="2" t="e">
        <f ca="1">_xll.BDH($C$603,"ACCOUNTS_RECEIVABLE_5_YR_GROWTH","FQ3 2016","FQ3 2016","Currency=INR","Period=FQ","BEST_FPERIOD_OVERRIDE=FQ","FILING_STATUS=OR","EQY_CONSOLIDATED=Y","Sort=A","Dates=H","DateFormat=P","Fill=—","Direction=H","UseDPDF=Y")</f>
        <v>#NAME?</v>
      </c>
      <c r="AT616" s="2" t="e">
        <f ca="1">_xll.BDH($C$603,"INVENTORY_5_YEAR_GROWTH","FQ3 2016","FQ3 2016","Currency=INR","Period=FQ","BEST_FPERIOD_OVERRIDE=FQ","FILING_STATUS=OR","EQY_CONSOLIDATED=Y","Sort=A","Dates=H","DateFormat=P","Fill=—","Direction=H","UseDPDF=Y")</f>
        <v>#NAME?</v>
      </c>
      <c r="AU616" s="2" t="e">
        <f ca="1">_xll.BDH($C$603,"NET_FIXED_ASSETS_5_YEAR_GROWTH","FQ3 2016","FQ3 2016","Currency=INR","Period=FQ","BEST_FPERIOD_OVERRIDE=FQ","FILING_STATUS=OR","EQY_CONSOLIDATED=Y","Sort=A","Dates=H","DateFormat=P","Fill=—","Direction=H","UseDPDF=Y")</f>
        <v>#NAME?</v>
      </c>
      <c r="AV616" s="2" t="e">
        <f ca="1">_xll.BDH($C$603,"GEO_GROW_TOT_ASSET","FQ3 2016","FQ3 2016","Currency=INR","Period=FQ","BEST_FPERIOD_OVERRIDE=FQ","FILING_STATUS=OR","EQY_CONSOLIDATED=Y","Sort=A","Dates=H","DateFormat=P","Fill=—","Direction=H","UseDPDF=Y")</f>
        <v>#NAME?</v>
      </c>
      <c r="AW616" s="2" t="e">
        <f ca="1">_xll.BDH($C$603,"MODIFIED_WORKING_CPTL_5YR_GRWTH","FQ3 2016","FQ3 2016","Currency=INR","Period=FQ","BEST_FPERIOD_OVERRIDE=FQ","FILING_STATUS=OR","EQY_CONSOLIDATED=Y","Sort=A","Dates=H","DateFormat=P","Fill=—","Direction=H","UseDPDF=Y")</f>
        <v>#NAME?</v>
      </c>
      <c r="AX616" s="2" t="e">
        <f ca="1">_xll.BDH($C$603,"WORKING_CAPITAL_5_YEAR_GROWTH","FQ3 2016","FQ3 2016","Currency=INR","Period=FQ","BEST_FPERIOD_OVERRIDE=FQ","FILING_STATUS=OR","EQY_CONSOLIDATED=Y","Sort=A","Dates=H","DateFormat=P","Fill=—","Direction=H","UseDPDF=Y")</f>
        <v>#NAME?</v>
      </c>
      <c r="AY616" s="2" t="e">
        <f ca="1">_xll.BDH($C$603,"ACCOUNTS_PAYABLE_5_YEAR_GROWTH","FQ3 2016","FQ3 2016","Currency=INR","Period=FQ","BEST_FPERIOD_OVERRIDE=FQ","FILING_STATUS=OR","EQY_CONSOLIDATED=Y","Sort=A","Dates=H","DateFormat=P","Fill=—","Direction=H","UseDPDF=Y")</f>
        <v>#NAME?</v>
      </c>
      <c r="AZ616" s="2" t="e">
        <f ca="1">_xll.BDH($C$603,"SHORT_TERM_DEBT_5_YEAR_GROWTH","FQ3 2016","FQ3 2016","Currency=INR","Period=FQ","BEST_FPERIOD_OVERRIDE=FQ","FILING_STATUS=OR","EQY_CONSOLIDATED=Y","Sort=A","Dates=H","DateFormat=P","Fill=—","Direction=H","UseDPDF=Y")</f>
        <v>#NAME?</v>
      </c>
      <c r="BA616" s="2" t="e">
        <f ca="1">_xll.BDH($C$603,"TOTAL_DEBT_5_YEAR_GROWTH","FQ3 2016","FQ3 2016","Currency=INR","Period=FQ","BEST_FPERIOD_OVERRIDE=FQ","FILING_STATUS=OR","EQY_CONSOLIDATED=Y","Sort=A","Dates=H","DateFormat=P","Fill=—","Direction=H","UseDPDF=Y")</f>
        <v>#NAME?</v>
      </c>
      <c r="BB616" s="2" t="e">
        <f ca="1">_xll.BDH($C$603,"GEO_GROW_TOT_SHRHLDR_EQY","FQ3 2016","FQ3 2016","Currency=INR","Period=FQ","BEST_FPERIOD_OVERRIDE=FQ","FILING_STATUS=OR","EQY_CONSOLIDATED=Y","Sort=A","Dates=H","DateFormat=P","Fill=—","Direction=H","UseDPDF=Y")</f>
        <v>#NAME?</v>
      </c>
      <c r="BC616" s="2" t="e">
        <f ca="1">_xll.BDH($C$603,"TOTAL_CAPITAL_5_YEAR_GROWTH","FQ3 2016","FQ3 2016","Currency=INR","Period=FQ","BEST_FPERIOD_OVERRIDE=FQ","FILING_STATUS=OR","EQY_CONSOLIDATED=Y","Sort=A","Dates=H","DateFormat=P","Fill=—","Direction=H","UseDPDF=Y")</f>
        <v>#NAME?</v>
      </c>
      <c r="BD616" s="2" t="e">
        <f ca="1">_xll.BDH($C$603,"GEO_GROW_BOOK_VAL","FQ3 2016","FQ3 2016","Currency=INR","Period=FQ","BEST_FPERIOD_OVERRIDE=FQ","FILING_STATUS=OR","EQY_CONSOLIDATED=Y","Sort=A","Dates=H","DateFormat=P","Fill=—","Direction=H","UseDPDF=Y")</f>
        <v>#NAME?</v>
      </c>
      <c r="BE616" s="2" t="e">
        <f ca="1">_xll.BDH($C$603,"GEO_GROW_CASH_OPER_ACT","FQ3 2016","FQ3 2016","Currency=INR","Period=FQ","BEST_FPERIOD_OVERRIDE=FQ","FILING_STATUS=OR","EQY_CONSOLIDATED=Y","Sort=A","Dates=H","DateFormat=P","Fill=—","Direction=H","UseDPDF=Y")</f>
        <v>#NAME?</v>
      </c>
      <c r="BF616" s="2" t="e">
        <f ca="1">_xll.BDH($C$603,"REVENUE_SEQUENTIAL_GROWTH","FQ3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616" s="2" t="e">
        <f ca="1">_xll.BDH($C$603,"EBITDA_SEQUENTIAL_GROWTH","FQ3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616" s="2" t="e">
        <f ca="1">_xll.BDH($C$603,"OPERATING_INCOME_SEQ_GROWTH","FQ3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616" s="2" t="e">
        <f ca="1">_xll.BDH($C$603,"NET_INCOME_TO_COMMON_SEQ_GROWTH","FQ3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616" s="2" t="e">
        <f ca="1">_xll.BDH($C$603,"EPS_DILUTED_SEQUENTIAL_GROWTH","FQ3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616" s="2" t="e">
        <f ca="1">_xll.BDH($C$603,"DPS_SEQUENTIAL_GROWTH","FQ3 2016","FQ3 2016","Currency=INR","Period=FQ","BEST_FPERIOD_OVERRIDE=FQ","FILING_STATUS=OR","EQY_CONSOLIDATED=Y","Sort=A","Dates=H","DateFormat=P","Fill=—","Direction=H","UseDPDF=Y")</f>
        <v>#NAME?</v>
      </c>
      <c r="BL616" s="2" t="e">
        <f ca="1">_xll.BDH($C$603,"ACCOUNTS_RECEIVABLE_SEQ_GROWTH","FQ3 2016","FQ3 2016","Currency=INR","Period=FQ","BEST_FPERIOD_OVERRIDE=FQ","FILING_STATUS=OR","EQY_CONSOLIDATED=Y","Sort=A","Dates=H","DateFormat=P","Fill=—","Direction=H","UseDPDF=Y")</f>
        <v>#NAME?</v>
      </c>
      <c r="BM616" s="2" t="e">
        <f ca="1">_xll.BDH($C$603,"INVENTORY_SEQUENTIAL_GROWTH","FQ3 2016","FQ3 2016","Currency=INR","Period=FQ","BEST_FPERIOD_OVERRIDE=FQ","FILING_STATUS=OR","EQY_CONSOLIDATED=Y","Sort=A","Dates=H","DateFormat=P","Fill=—","Direction=H","UseDPDF=Y")</f>
        <v>#NAME?</v>
      </c>
      <c r="BN616" s="2" t="e">
        <f ca="1">_xll.BDH($C$603,"FIXED_ASSETS_SEQUENTIAL_GROWTH","FQ3 2016","FQ3 2016","Currency=INR","Period=FQ","BEST_FPERIOD_OVERRIDE=FQ","FILING_STATUS=OR","EQY_CONSOLIDATED=Y","Sort=A","Dates=H","DateFormat=P","Fill=—","Direction=H","UseDPDF=Y")</f>
        <v>#NAME?</v>
      </c>
      <c r="BO616" s="2" t="e">
        <f ca="1">_xll.BDH($C$603,"TOTAL_ASSETS_SEQUENTIAL_GROWTH","FQ3 2016","FQ3 2016","Currency=INR","Period=FQ","BEST_FPERIOD_OVERRIDE=FQ","FILING_STATUS=OR","EQY_CONSOLIDATED=Y","Sort=A","Dates=H","DateFormat=P","Fill=—","Direction=H","UseDPDF=Y")</f>
        <v>#NAME?</v>
      </c>
      <c r="BP616" s="2" t="e">
        <f ca="1">_xll.BDH($C$603,"MODIFIED_WORKING_CPTL_SEQ_GRWTH","FQ3 2016","FQ3 2016","Currency=INR","Period=FQ","BEST_FPERIOD_OVERRIDE=FQ","FILING_STATUS=OR","EQY_CONSOLIDATED=Y","Sort=A","Dates=H","DateFormat=P","Fill=—","Direction=H","UseDPDF=Y")</f>
        <v>#NAME?</v>
      </c>
      <c r="BQ616" s="2" t="e">
        <f ca="1">_xll.BDH($C$603,"WORKING_CAPITAL_SEQ_GROWTH","FQ3 2016","FQ3 2016","Currency=INR","Period=FQ","BEST_FPERIOD_OVERRIDE=FQ","FILING_STATUS=OR","EQY_CONSOLIDATED=Y","Sort=A","Dates=H","DateFormat=P","Fill=—","Direction=H","UseDPDF=Y")</f>
        <v>#NAME?</v>
      </c>
      <c r="BR616" s="2" t="e">
        <f ca="1">_xll.BDH($C$603,"ACCOUNTS_PAYABLE_SEQ_GROWTH","FQ3 2016","FQ3 2016","Currency=INR","Period=FQ","BEST_FPERIOD_OVERRIDE=FQ","FILING_STATUS=OR","EQY_CONSOLIDATED=Y","Sort=A","Dates=H","DateFormat=P","Fill=—","Direction=H","UseDPDF=Y")</f>
        <v>#NAME?</v>
      </c>
      <c r="BS616" s="2" t="e">
        <f ca="1">_xll.BDH($C$603,"ST_DEBT_SEQUENTIAL_GROWTH","FQ3 2016","FQ3 2016","Currency=INR","Period=FQ","BEST_FPERIOD_OVERRIDE=FQ","FILING_STATUS=OR","EQY_CONSOLIDATED=Y","Sort=A","Dates=H","DateFormat=P","Fill=—","Direction=H","UseDPDF=Y")</f>
        <v>#NAME?</v>
      </c>
      <c r="BT616" s="2" t="e">
        <f ca="1">_xll.BDH($C$603,"TOTAL_DEBT_SEQUENTIAL_GROWTH","FQ3 2016","FQ3 2016","Currency=INR","Period=FQ","BEST_FPERIOD_OVERRIDE=FQ","FILING_STATUS=OR","EQY_CONSOLIDATED=Y","Sort=A","Dates=H","DateFormat=P","Fill=—","Direction=H","UseDPDF=Y")</f>
        <v>#NAME?</v>
      </c>
      <c r="BU616" s="2" t="e">
        <f ca="1">_xll.BDH($C$603,"TOTAL_EQUITY_SEQUENTIAL_GROWTH","FQ3 2016","FQ3 2016","Currency=INR","Period=FQ","BEST_FPERIOD_OVERRIDE=FQ","FILING_STATUS=OR","EQY_CONSOLIDATED=Y","Sort=A","Dates=H","DateFormat=P","Fill=—","Direction=H","UseDPDF=Y")</f>
        <v>#NAME?</v>
      </c>
      <c r="BV616" s="2" t="e">
        <f ca="1">_xll.BDH($C$603,"TOTAL_CAPITAL_SEQUENTIAL_GROWTH","FQ3 2016","FQ3 2016","Currency=INR","Period=FQ","BEST_FPERIOD_OVERRIDE=FQ","FILING_STATUS=OR","EQY_CONSOLIDATED=Y","Sort=A","Dates=H","DateFormat=P","Fill=—","Direction=H","UseDPDF=Y")</f>
        <v>#NAME?</v>
      </c>
      <c r="BW616" s="2" t="e">
        <f ca="1">_xll.BDH($C$603,"BPS_SEQUENTIAL_GROWTH","FQ3 2016","FQ3 2016","Currency=INR","Period=FQ","BEST_FPERIOD_OVERRIDE=FQ","FILING_STATUS=OR","EQY_CONSOLIDATED=Y","Sort=A","Dates=H","DateFormat=P","Fill=—","Direction=H","UseDPDF=Y")</f>
        <v>#NAME?</v>
      </c>
      <c r="BX616" s="2" t="e">
        <f ca="1">_xll.BDH($C$603,"CFO_SEQUENTIAL_GROWTH","FQ3 2016","FQ3 2016","Currency=INR","Period=FQ","BEST_FPERIOD_OVERRIDE=FQ","FILING_STATUS=OR","EQY_CONSOLIDATED=Y","Sort=A","Dates=H","DateFormat=P","Fill=—","Direction=H","UseDPDF=Y")</f>
        <v>#NAME?</v>
      </c>
      <c r="BY616" s="3" t="e">
        <f ca="1">_xll.BDH($C$603,"SHORT_AND_LONG_TERM_DEBT","FQ3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616" s="3" t="e">
        <f ca="1">_xll.BDH($C$603,"BS_ST_BORROW","FQ3 2016","FQ3 2016","Currency=INR","Period=FQ","BEST_FPERIOD_OVERRIDE=FQ","FILING_STATUS=OR","EQY_CONSOLIDATED=Y","SCALING_FORMAT=MLN","Sort=A","Dates=H","DateFormat=P","Fill=—","Direction=H","UseDPDF=Y")</f>
        <v>#NAME?</v>
      </c>
      <c r="CA616" s="3" t="e">
        <f ca="1">_xll.BDH($C$603,"BS_LT_BORROW","FQ3 2016","FQ3 2016","Currency=INR","Period=FQ","BEST_FPERIOD_OVERRIDE=FQ","FILING_STATUS=OR","EQY_CONSOLIDATED=Y","SCALING_FORMAT=MLN","Sort=A","Dates=H","DateFormat=P","Fill=—","Direction=H","UseDPDF=Y")</f>
        <v>#NAME?</v>
      </c>
      <c r="CB616" s="2" t="e">
        <f ca="1">_xll.BDH($C$603,"TOT_DEBT_TO_EBITDA","FQ3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616" s="2" t="e">
        <f ca="1">_xll.BDH($C$603,"NET_DEBT_TO_EBITDA","FQ3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616" s="2" t="e">
        <f ca="1">_xll.BDH($C$603,"TOTAL_DEBT_TO_EBIT","FQ3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616" s="2" t="e">
        <f ca="1">_xll.BDH($C$603,"NET_DEBT_TO_EBIT","FQ3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616" s="2" t="e">
        <f ca="1">_xll.BDH($C$603,"EBITDA_TO_INTEREST_EXPN","FQ3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616" s="2" t="e">
        <f ca="1">_xll.BDH($C$603,"COM_EQY_TO_TOT_ASSET","FQ3 2016","FQ3 2016","Currency=INR","Period=FQ","BEST_FPERIOD_OVERRIDE=FQ","FILING_STATUS=OR","EQY_CONSOLIDATED=Y","Sort=A","Dates=H","DateFormat=P","Fill=—","Direction=H","UseDPDF=Y")</f>
        <v>#NAME?</v>
      </c>
      <c r="CH616" s="2" t="e">
        <f ca="1">_xll.BDH($C$603,"LT_DEBT_TO_TOT_EQY","FQ3 2016","FQ3 2016","Currency=INR","Period=FQ","BEST_FPERIOD_OVERRIDE=FQ","FILING_STATUS=OR","EQY_CONSOLIDATED=Y","Sort=A","Dates=H","DateFormat=P","Fill=—","Direction=H","UseDPDF=Y")</f>
        <v>#NAME?</v>
      </c>
      <c r="CI616" s="2" t="e">
        <f ca="1">_xll.BDH($C$603,"LT_DEBT_TO_TOT_CAP","FQ3 2016","FQ3 2016","Currency=INR","Period=FQ","BEST_FPERIOD_OVERRIDE=FQ","FILING_STATUS=OR","EQY_CONSOLIDATED=Y","Sort=A","Dates=H","DateFormat=P","Fill=—","Direction=H","UseDPDF=Y")</f>
        <v>#NAME?</v>
      </c>
      <c r="CJ616" s="2" t="e">
        <f ca="1">_xll.BDH($C$603,"LT_DEBT_TO_TOT_ASSET","FQ3 2016","FQ3 2016","Currency=INR","Period=FQ","BEST_FPERIOD_OVERRIDE=FQ","FILING_STATUS=OR","EQY_CONSOLIDATED=Y","Sort=A","Dates=H","DateFormat=P","Fill=—","Direction=H","UseDPDF=Y")</f>
        <v>#NAME?</v>
      </c>
      <c r="CK616" s="2" t="e">
        <f ca="1">_xll.BDH($C$603,"TOT_DEBT_TO_TOT_EQY","FQ3 2016","FQ3 2016","Currency=INR","Period=FQ","BEST_FPERIOD_OVERRIDE=FQ","FILING_STATUS=OR","EQY_CONSOLIDATED=Y","Sort=A","Dates=H","DateFormat=P","Fill=—","Direction=H","UseDPDF=Y")</f>
        <v>#NAME?</v>
      </c>
      <c r="CL616" s="2" t="e">
        <f ca="1">_xll.BDH($C$603,"TOT_DEBT_TO_TOT_CAP","FQ3 2016","FQ3 2016","Currency=INR","Period=FQ","BEST_FPERIOD_OVERRIDE=FQ","FILING_STATUS=OR","EQY_CONSOLIDATED=Y","Sort=A","Dates=H","DateFormat=P","Fill=—","Direction=H","UseDPDF=Y")</f>
        <v>#NAME?</v>
      </c>
      <c r="CM616" s="2" t="e">
        <f ca="1">_xll.BDH($C$603,"TOT_DEBT_TO_TOT_ASSET","FQ3 2016","FQ3 2016","Currency=INR","Period=FQ","BEST_FPERIOD_OVERRIDE=FQ","FILING_STATUS=OR","EQY_CONSOLIDATED=Y","Sort=A","Dates=H","DateFormat=P","Fill=—","Direction=H","UseDPDF=Y")</f>
        <v>#NAME?</v>
      </c>
      <c r="CN616" s="2" t="e">
        <f ca="1">_xll.BDH($C$603,"NET_DEBT_TO_SHRHLDR_EQTY","FQ3 2016","FQ3 2016","Currency=INR","Period=FQ","BEST_FPERIOD_OVERRIDE=FQ","FILING_STATUS=OR","EQY_CONSOLIDATED=Y","Sort=A","Dates=H","DateFormat=P","Fill=—","Direction=H","UseDPDF=Y")</f>
        <v>#NAME?</v>
      </c>
      <c r="CO616" s="2" t="e">
        <f ca="1">_xll.BDH($C$603,"NET_DEBT_%_CAPITAL","FQ3 2016","FQ3 2016","Currency=INR","Period=FQ","BEST_FPERIOD_OVERRIDE=FQ","FILING_STATUS=OR","EQY_CONSOLIDATED=Y","Sort=A","Dates=H","DateFormat=P","Fill=—","Direction=H","UseDPDF=Y")</f>
        <v>#NAME?</v>
      </c>
      <c r="CP616" s="3" t="e">
        <f ca="1">_xll.BDH($C$603,"EBITDA","FQ3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616" s="3" t="e">
        <f ca="1">_xll.BDH($C$603,"EBITDA_AFTER_CAPEX","FQ3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616" s="3" t="e">
        <f ca="1">_xll.BDH($C$603,"IS_OPER_INC","FQ3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616" s="2" t="e">
        <f ca="1">_xll.BDH($C$603,"CASH_RATIO","FQ3 2016","FQ3 2016","Currency=INR","Period=FQ","BEST_FPERIOD_OVERRIDE=FQ","FILING_STATUS=OR","EQY_CONSOLIDATED=Y","Sort=A","Dates=H","DateFormat=P","Fill=—","Direction=H","UseDPDF=Y")</f>
        <v>#NAME?</v>
      </c>
      <c r="CT616" s="2" t="e">
        <f ca="1">_xll.BDH($C$603,"CUR_RATIO","FQ3 2016","FQ3 2016","Currency=INR","Period=FQ","BEST_FPERIOD_OVERRIDE=FQ","FILING_STATUS=OR","EQY_CONSOLIDATED=Y","Sort=A","Dates=H","DateFormat=P","Fill=—","Direction=H","UseDPDF=Y")</f>
        <v>#NAME?</v>
      </c>
      <c r="CU616" s="2" t="e">
        <f ca="1">_xll.BDH($C$603,"QUICK_RATIO","FQ3 2016","FQ3 2016","Currency=INR","Period=FQ","BEST_FPERIOD_OVERRIDE=FQ","FILING_STATUS=OR","EQY_CONSOLIDATED=Y","Sort=A","Dates=H","DateFormat=P","Fill=—","Direction=H","UseDPDF=Y")</f>
        <v>#NAME?</v>
      </c>
      <c r="CV616" s="2" t="e">
        <f ca="1">_xll.BDH($C$603,"ALTMAN_Z_SCORE","FQ3 2016","FQ3 2016","Currency=INR","Period=FQ","BEST_FPERIOD_OVERRIDE=FQ","FILING_STATUS=OR","EQY_CONSOLIDATED=Y","Sort=A","Dates=H","DateFormat=P","Fill=—","Direction=H","UseDPDF=Y")</f>
        <v>#NAME?</v>
      </c>
      <c r="CW616" s="4" t="e">
        <f ca="1">_xll.BDH($C$603,"ACCT_RCV_TURN","FQ3 2016","FQ3 2016","Currency=INR","Period=FQ","BEST_FPERIOD_OVERRIDE=FQ","FILING_STATUS=OR","EQY_CONSOLIDATED=Y","FA_ADJUSTED=GAAP","Sort=A","Dates=H","DateFormat=P","Fill=—","Direction=H","UseDPDF=Y")</f>
        <v>#NAME?</v>
      </c>
      <c r="CX616" s="2" t="e">
        <f ca="1">_xll.BDH($C$603,"ACCT_RCV_DAYS","FQ3 2016","FQ3 2016","Currency=INR","Period=FQ","BEST_FPERIOD_OVERRIDE=FQ","FILING_STATUS=OR","EQY_CONSOLIDATED=Y","FA_ADJUSTED=GAAP","Sort=A","Dates=H","DateFormat=P","Fill=—","Direction=H","UseDPDF=Y")</f>
        <v>#NAME?</v>
      </c>
      <c r="CY616" s="4" t="e">
        <f ca="1">_xll.BDH($C$603,"INVENT_TURN","FQ3 2016","FQ3 2016","Currency=INR","Period=FQ","BEST_FPERIOD_OVERRIDE=FQ","FILING_STATUS=OR","EQY_CONSOLIDATED=Y","FA_ADJUSTED=GAAP","Sort=A","Dates=H","DateFormat=P","Fill=—","Direction=H","UseDPDF=Y")</f>
        <v>#NAME?</v>
      </c>
      <c r="CZ616" s="2" t="e">
        <f ca="1">_xll.BDH($C$603,"INVENT_DAYS","FQ3 2016","FQ3 2016","Currency=INR","Period=FQ","BEST_FPERIOD_OVERRIDE=FQ","FILING_STATUS=OR","EQY_CONSOLIDATED=Y","FA_ADJUSTED=GAAP","Sort=A","Dates=H","DateFormat=P","Fill=—","Direction=H","UseDPDF=Y")</f>
        <v>#NAME?</v>
      </c>
      <c r="DA616" s="4" t="e">
        <f ca="1">_xll.BDH($C$603,"ACCOUNTS_PAYABLE_TURNOVER","FQ3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616" s="2" t="e">
        <f ca="1">_xll.BDH($C$603,"ACCOUNTS_PAYABLE_TURNOVER_DAYS","FQ3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616" s="4" t="e">
        <f ca="1">_xll.BDH($C$603,"CASH_CONVERSION_CYCLE","FQ3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616" s="4" t="e">
        <f ca="1">_xll.BDH($C$603,"INV_TO_CASH_DAYS","FQ3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616" s="5" t="e">
        <f ca="1">_xll.BDH($C$603,"BS_INVENTORIES","FQ3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616" s="3" t="e">
        <f ca="1">_xll.BDH($C$603,"INVTRY_RAW_MATERIALS","FQ3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616" s="3" t="e">
        <f ca="1">_xll.BDH($C$603,"INVTRY_IN_PROGRESS","FQ3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616" s="3" t="e">
        <f ca="1">_xll.BDH($C$603,"INVTRY_FINISHED_GOODS","FQ3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616" s="3" t="e">
        <f ca="1">_xll.BDH($C$603,"BS_OTHER_INV","FQ3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617" spans="1:113" x14ac:dyDescent="0.3">
      <c r="A617" s="6"/>
      <c r="B617" s="6"/>
      <c r="C617" s="6"/>
      <c r="D617" s="6"/>
      <c r="E617" t="s">
        <v>81</v>
      </c>
      <c r="F617" t="e">
        <f ca="1">_xll.BDH($C$603,"RETURN_COM_EQY","FQ4 2016","FQ4 2016","Currency=INR","Period=FQ","BEST_FPERIOD_OVERRIDE=FQ","FILING_STATUS=OR","EQY_CONSOLIDATED=Y","FA_ADJUSTED=GAAP","Sort=A","Dates=H","DateFormat=P","Fill=—","Direction=H","UseDPDF=Y")</f>
        <v>#NAME?</v>
      </c>
      <c r="G617" t="e">
        <f ca="1">_xll.BDH($C$603,"RETURN_ON_ASSET","FQ4 2016","FQ4 2016","Currency=INR","Period=FQ","BEST_FPERIOD_OVERRIDE=FQ","FILING_STATUS=OR","EQY_CONSOLIDATED=Y","FA_ADJUSTED=GAAP","Sort=A","Dates=H","DateFormat=P","Fill=—","Direction=H","UseDPDF=Y")</f>
        <v>#NAME?</v>
      </c>
      <c r="H617" t="e">
        <f ca="1">_xll.BDH($C$603,"RETURN_ON_CAP","FQ4 2016","FQ4 2016","Currency=INR","Period=FQ","BEST_FPERIOD_OVERRIDE=FQ","FILING_STATUS=OR","EQY_CONSOLIDATED=Y","FA_ADJUSTED=GAAP","Sort=A","Dates=H","DateFormat=P","Fill=—","Direction=H","UseDPDF=Y")</f>
        <v>#NAME?</v>
      </c>
      <c r="I617" t="e">
        <f ca="1">_xll.BDH($C$603,"RETURN_ON_INV_CAPITAL","FQ4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617" t="e">
        <f ca="1">_xll.BDH($C$603,"EBITDA_TO_REVENUE","FQ4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617" t="e">
        <f ca="1">_xll.BDH($C$603,"OPER_MARGIN","FQ4 2016","FQ4 2016","Currency=INR","Period=FQ","BEST_FPERIOD_OVERRIDE=FQ","FILING_STATUS=OR","EQY_CONSOLIDATED=Y","FA_ADJUSTED=GAAP","Sort=A","Dates=H","DateFormat=P","Fill=—","Direction=H","UseDPDF=Y")</f>
        <v>#NAME?</v>
      </c>
      <c r="L617" t="e">
        <f ca="1">_xll.BDH($C$603,"INCREMENTAL_OPERATING_MARGIN","FQ4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617" t="e">
        <f ca="1">_xll.BDH($C$603,"PRETAX_INC_TO_NET_SALES","FQ4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617" t="e">
        <f ca="1">_xll.BDH($C$603,"INC_BEF_XO_ITEMS_TO_NET_SALES","FQ4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617" t="e">
        <f ca="1">_xll.BDH($C$603,"PROF_MARGIN","FQ4 2016","FQ4 2016","Currency=INR","Period=FQ","BEST_FPERIOD_OVERRIDE=FQ","FILING_STATUS=OR","EQY_CONSOLIDATED=Y","FA_ADJUSTED=GAAP","Sort=A","Dates=H","DateFormat=P","Fill=—","Direction=H","UseDPDF=Y")</f>
        <v>#NAME?</v>
      </c>
      <c r="P617" t="e">
        <f ca="1">_xll.BDH($C$603,"NET_INCOME_TO_COMMON_MARGIN","FQ4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617" t="e">
        <f ca="1">_xll.BDH($C$603,"EFF_TAX_RATE","FQ4 2016","FQ4 2016","Currency=INR","Period=FQ","BEST_FPERIOD_OVERRIDE=FQ","FILING_STATUS=OR","EQY_CONSOLIDATED=Y","FA_ADJUSTED=GAAP","Sort=A","Dates=H","DateFormat=P","Fill=—","Direction=H","UseDPDF=Y")</f>
        <v>#NAME?</v>
      </c>
      <c r="R617" t="e">
        <f ca="1">_xll.BDH($C$603,"DVD_PAYOUT_RATIO","FQ4 2016","FQ4 2016","Currency=INR","Period=FQ","BEST_FPERIOD_OVERRIDE=FQ","FILING_STATUS=OR","EQY_CONSOLIDATED=Y","FA_ADJUSTED=GAAP","Sort=A","Dates=H","DateFormat=P","Fill=—","Direction=H","UseDPDF=Y")</f>
        <v>#NAME?</v>
      </c>
      <c r="S617" t="e">
        <f ca="1">_xll.BDH($C$603,"SUSTAIN_GROWTH_RT","FQ4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617" s="2" t="e">
        <f ca="1">_xll.BDH($C$603,"SALES_GROWTH","FQ4 2016","FQ4 2016","Currency=INR","Period=FQ","BEST_FPERIOD_OVERRIDE=FQ","FILING_STATUS=OR","EQY_CONSOLIDATED=Y","FA_ADJUSTED=GAAP","Sort=A","Dates=H","DateFormat=P","Fill=—","Direction=H","UseDPDF=Y")</f>
        <v>#NAME?</v>
      </c>
      <c r="U617" s="2" t="e">
        <f ca="1">_xll.BDH($C$603,"EBITDA_GROWTH","FQ4 2016","FQ4 2016","Currency=INR","Period=FQ","BEST_FPERIOD_OVERRIDE=FQ","FILING_STATUS=OR","EQY_CONSOLIDATED=Y","FA_ADJUSTED=GAAP","Sort=A","Dates=H","DateFormat=P","Fill=—","Direction=H","UseDPDF=Y")</f>
        <v>#NAME?</v>
      </c>
      <c r="V617" s="2" t="e">
        <f ca="1">_xll.BDH($C$603,"OPER_INC_GROWTH","FQ4 2016","FQ4 2016","Currency=INR","Period=FQ","BEST_FPERIOD_OVERRIDE=FQ","FILING_STATUS=OR","EQY_CONSOLIDATED=Y","FA_ADJUSTED=GAAP","Sort=A","Dates=H","DateFormat=P","Fill=—","Direction=H","UseDPDF=Y")</f>
        <v>#NAME?</v>
      </c>
      <c r="W617" s="2" t="e">
        <f ca="1">_xll.BDH($C$603,"EARN_FOR_COM_GROWTH","FQ4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617" s="2" t="e">
        <f ca="1">_xll.BDH($C$603,"DILUTED_EPS_AFT_XO_ITEMS_GROWTH","FQ4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617" s="2" t="e">
        <f ca="1">_xll.BDH($C$603,"DIVIDEND_PER_SHARE_1_YEAR_GROWTH","FQ4 2016","FQ4 2016","Currency=INR","Period=FQ","BEST_FPERIOD_OVERRIDE=FQ","FILING_STATUS=OR","EQY_CONSOLIDATED=Y","Sort=A","Dates=H","DateFormat=P","Fill=—","Direction=H","UseDPDF=Y")</f>
        <v>#NAME?</v>
      </c>
      <c r="Z617" s="2" t="e">
        <f ca="1">_xll.BDH($C$603,"ACCOUNTS_RECEIVABLE_GROWTH","FQ4 2016","FQ4 2016","Currency=INR","Period=FQ","BEST_FPERIOD_OVERRIDE=FQ","FILING_STATUS=OR","EQY_CONSOLIDATED=Y","Sort=A","Dates=H","DateFormat=P","Fill=—","Direction=H","UseDPDF=Y")</f>
        <v>#NAME?</v>
      </c>
      <c r="AA617" s="2" t="e">
        <f ca="1">_xll.BDH($C$603,"INVENTORY_GROWTH","FQ4 2016","FQ4 2016","Currency=INR","Period=FQ","BEST_FPERIOD_OVERRIDE=FQ","FILING_STATUS=OR","EQY_CONSOLIDATED=Y","Sort=A","Dates=H","DateFormat=P","Fill=—","Direction=H","UseDPDF=Y")</f>
        <v>#NAME?</v>
      </c>
      <c r="AB617" s="2" t="e">
        <f ca="1">_xll.BDH($C$603,"NET_FIXED_ASSETS_1_YEAR_GROWTH","FQ4 2016","FQ4 2016","Currency=INR","Period=FQ","BEST_FPERIOD_OVERRIDE=FQ","FILING_STATUS=OR","EQY_CONSOLIDATED=Y","Sort=A","Dates=H","DateFormat=P","Fill=—","Direction=H","UseDPDF=Y")</f>
        <v>#NAME?</v>
      </c>
      <c r="AC617" s="2" t="e">
        <f ca="1">_xll.BDH($C$603,"ASSET_GROWTH","FQ4 2016","FQ4 2016","Currency=INR","Period=FQ","BEST_FPERIOD_OVERRIDE=FQ","FILING_STATUS=OR","EQY_CONSOLIDATED=Y","Sort=A","Dates=H","DateFormat=P","Fill=—","Direction=H","UseDPDF=Y")</f>
        <v>#NAME?</v>
      </c>
      <c r="AD617" s="2" t="e">
        <f ca="1">_xll.BDH($C$603,"MODIFIED_WORK_CAP_GROWTH","FQ4 2016","FQ4 2016","Currency=INR","Period=FQ","BEST_FPERIOD_OVERRIDE=FQ","FILING_STATUS=OR","EQY_CONSOLIDATED=Y","Sort=A","Dates=H","DateFormat=P","Fill=—","Direction=H","UseDPDF=Y")</f>
        <v>#NAME?</v>
      </c>
      <c r="AE617" s="2" t="e">
        <f ca="1">_xll.BDH($C$603,"WORK_CAP_GROWTH","FQ4 2016","FQ4 2016","Currency=INR","Period=FQ","BEST_FPERIOD_OVERRIDE=FQ","FILING_STATUS=OR","EQY_CONSOLIDATED=Y","Sort=A","Dates=H","DateFormat=P","Fill=—","Direction=H","UseDPDF=Y")</f>
        <v>#NAME?</v>
      </c>
      <c r="AF617" s="2" t="e">
        <f ca="1">_xll.BDH($C$603,"ACCOUNTS_PAYABLE_GROWTH_1YR","FQ4 2016","FQ4 2016","Currency=INR","Period=FQ","BEST_FPERIOD_OVERRIDE=FQ","FILING_STATUS=OR","EQY_CONSOLIDATED=Y","Sort=A","Dates=H","DateFormat=P","Fill=—","Direction=H","UseDPDF=Y")</f>
        <v>#NAME?</v>
      </c>
      <c r="AG617" s="2" t="e">
        <f ca="1">_xll.BDH($C$603,"SHORT_TERM_DEBT_1_YEAR_GROWTH","FQ4 2016","FQ4 2016","Currency=INR","Period=FQ","BEST_FPERIOD_OVERRIDE=FQ","FILING_STATUS=OR","EQY_CONSOLIDATED=Y","Sort=A","Dates=H","DateFormat=P","Fill=—","Direction=H","UseDPDF=Y")</f>
        <v>#NAME?</v>
      </c>
      <c r="AH617" s="2" t="e">
        <f ca="1">_xll.BDH($C$603,"TOTAL_DEBT_1_YEAR_GROWTH","FQ4 2016","FQ4 2016","Currency=INR","Period=FQ","BEST_FPERIOD_OVERRIDE=FQ","FILING_STATUS=OR","EQY_CONSOLIDATED=Y","Sort=A","Dates=H","DateFormat=P","Fill=—","Direction=H","UseDPDF=Y")</f>
        <v>#NAME?</v>
      </c>
      <c r="AI617" s="2" t="e">
        <f ca="1">_xll.BDH($C$603,"TOTAL_EQUITY_1_YEAR_GROWTH","FQ4 2016","FQ4 2016","Currency=INR","Period=FQ","BEST_FPERIOD_OVERRIDE=FQ","FILING_STATUS=OR","EQY_CONSOLIDATED=Y","Sort=A","Dates=H","DateFormat=P","Fill=—","Direction=H","UseDPDF=Y")</f>
        <v>#NAME?</v>
      </c>
      <c r="AJ617" s="2" t="e">
        <f ca="1">_xll.BDH($C$603,"GROWTH_IN_CAP","FQ4 2016","FQ4 2016","Currency=INR","Period=FQ","BEST_FPERIOD_OVERRIDE=FQ","FILING_STATUS=OR","EQY_CONSOLIDATED=Y","Sort=A","Dates=H","DateFormat=P","Fill=—","Direction=H","UseDPDF=Y")</f>
        <v>#NAME?</v>
      </c>
      <c r="AK617" s="2" t="e">
        <f ca="1">_xll.BDH($C$603,"BVPS_GROWTH","FQ4 2016","FQ4 2016","Currency=INR","Period=FQ","BEST_FPERIOD_OVERRIDE=FQ","FILING_STATUS=OR","EQY_CONSOLIDATED=Y","Sort=A","Dates=H","DateFormat=P","Fill=—","Direction=H","UseDPDF=Y")</f>
        <v>#NAME?</v>
      </c>
      <c r="AL617" s="2" t="e">
        <f ca="1">_xll.BDH($C$603,"CASH_FLOW_GROWTH","FQ4 2016","FQ4 2016","Currency=INR","Period=FQ","BEST_FPERIOD_OVERRIDE=FQ","FILING_STATUS=OR","EQY_CONSOLIDATED=Y","Sort=A","Dates=H","DateFormat=P","Fill=—","Direction=H","UseDPDF=Y")</f>
        <v>#NAME?</v>
      </c>
      <c r="AM617" s="2" t="e">
        <f ca="1">_xll.BDH($C$603,"GEO_GROW_NET_SALES","FQ4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617" s="2" t="e">
        <f ca="1">_xll.BDH($C$603,"GEO_GROW_EBITDA","FQ4 2016","FQ4 2016","Currency=INR","Period=FQ","BEST_FPERIOD_OVERRIDE=FQ","FILING_STATUS=OR","EQY_CONSOLIDATED=Y","FA_ADJUSTED=GAAP","Sort=A","Dates=H","DateFormat=P","Fill=—","Direction=H","UseDPDF=Y")</f>
        <v>#NAME?</v>
      </c>
      <c r="AO617" s="2" t="e">
        <f ca="1">_xll.BDH($C$603,"GEO_GROW_OPER_INC","FQ4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617" s="2" t="e">
        <f ca="1">_xll.BDH($C$603,"NET_INCOME_TO_COMMON_5_YR_GROWTH","FQ4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617" s="2" t="e">
        <f ca="1">_xll.BDH($C$603,"5Y_GEO_GROWTH_DILUTED_EPS","FQ4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617" s="2" t="e">
        <f ca="1">_xll.BDH($C$603,"GEO_GROW_DVD_PER_SH","FQ4 2016","FQ4 2016","Currency=INR","Period=FQ","BEST_FPERIOD_OVERRIDE=FQ","FILING_STATUS=OR","EQY_CONSOLIDATED=Y","Sort=A","Dates=H","DateFormat=P","Fill=—","Direction=H","UseDPDF=Y")</f>
        <v>#NAME?</v>
      </c>
      <c r="AS617" s="2" t="e">
        <f ca="1">_xll.BDH($C$603,"ACCOUNTS_RECEIVABLE_5_YR_GROWTH","FQ4 2016","FQ4 2016","Currency=INR","Period=FQ","BEST_FPERIOD_OVERRIDE=FQ","FILING_STATUS=OR","EQY_CONSOLIDATED=Y","Sort=A","Dates=H","DateFormat=P","Fill=—","Direction=H","UseDPDF=Y")</f>
        <v>#NAME?</v>
      </c>
      <c r="AT617" s="2" t="e">
        <f ca="1">_xll.BDH($C$603,"INVENTORY_5_YEAR_GROWTH","FQ4 2016","FQ4 2016","Currency=INR","Period=FQ","BEST_FPERIOD_OVERRIDE=FQ","FILING_STATUS=OR","EQY_CONSOLIDATED=Y","Sort=A","Dates=H","DateFormat=P","Fill=—","Direction=H","UseDPDF=Y")</f>
        <v>#NAME?</v>
      </c>
      <c r="AU617" s="2" t="e">
        <f ca="1">_xll.BDH($C$603,"NET_FIXED_ASSETS_5_YEAR_GROWTH","FQ4 2016","FQ4 2016","Currency=INR","Period=FQ","BEST_FPERIOD_OVERRIDE=FQ","FILING_STATUS=OR","EQY_CONSOLIDATED=Y","Sort=A","Dates=H","DateFormat=P","Fill=—","Direction=H","UseDPDF=Y")</f>
        <v>#NAME?</v>
      </c>
      <c r="AV617" s="2" t="e">
        <f ca="1">_xll.BDH($C$603,"GEO_GROW_TOT_ASSET","FQ4 2016","FQ4 2016","Currency=INR","Period=FQ","BEST_FPERIOD_OVERRIDE=FQ","FILING_STATUS=OR","EQY_CONSOLIDATED=Y","Sort=A","Dates=H","DateFormat=P","Fill=—","Direction=H","UseDPDF=Y")</f>
        <v>#NAME?</v>
      </c>
      <c r="AW617" s="2" t="e">
        <f ca="1">_xll.BDH($C$603,"MODIFIED_WORKING_CPTL_5YR_GRWTH","FQ4 2016","FQ4 2016","Currency=INR","Period=FQ","BEST_FPERIOD_OVERRIDE=FQ","FILING_STATUS=OR","EQY_CONSOLIDATED=Y","Sort=A","Dates=H","DateFormat=P","Fill=—","Direction=H","UseDPDF=Y")</f>
        <v>#NAME?</v>
      </c>
      <c r="AX617" s="2" t="e">
        <f ca="1">_xll.BDH($C$603,"WORKING_CAPITAL_5_YEAR_GROWTH","FQ4 2016","FQ4 2016","Currency=INR","Period=FQ","BEST_FPERIOD_OVERRIDE=FQ","FILING_STATUS=OR","EQY_CONSOLIDATED=Y","Sort=A","Dates=H","DateFormat=P","Fill=—","Direction=H","UseDPDF=Y")</f>
        <v>#NAME?</v>
      </c>
      <c r="AY617" s="2" t="e">
        <f ca="1">_xll.BDH($C$603,"ACCOUNTS_PAYABLE_5_YEAR_GROWTH","FQ4 2016","FQ4 2016","Currency=INR","Period=FQ","BEST_FPERIOD_OVERRIDE=FQ","FILING_STATUS=OR","EQY_CONSOLIDATED=Y","Sort=A","Dates=H","DateFormat=P","Fill=—","Direction=H","UseDPDF=Y")</f>
        <v>#NAME?</v>
      </c>
      <c r="AZ617" s="2" t="e">
        <f ca="1">_xll.BDH($C$603,"SHORT_TERM_DEBT_5_YEAR_GROWTH","FQ4 2016","FQ4 2016","Currency=INR","Period=FQ","BEST_FPERIOD_OVERRIDE=FQ","FILING_STATUS=OR","EQY_CONSOLIDATED=Y","Sort=A","Dates=H","DateFormat=P","Fill=—","Direction=H","UseDPDF=Y")</f>
        <v>#NAME?</v>
      </c>
      <c r="BA617" s="2" t="e">
        <f ca="1">_xll.BDH($C$603,"TOTAL_DEBT_5_YEAR_GROWTH","FQ4 2016","FQ4 2016","Currency=INR","Period=FQ","BEST_FPERIOD_OVERRIDE=FQ","FILING_STATUS=OR","EQY_CONSOLIDATED=Y","Sort=A","Dates=H","DateFormat=P","Fill=—","Direction=H","UseDPDF=Y")</f>
        <v>#NAME?</v>
      </c>
      <c r="BB617" s="2" t="e">
        <f ca="1">_xll.BDH($C$603,"GEO_GROW_TOT_SHRHLDR_EQY","FQ4 2016","FQ4 2016","Currency=INR","Period=FQ","BEST_FPERIOD_OVERRIDE=FQ","FILING_STATUS=OR","EQY_CONSOLIDATED=Y","Sort=A","Dates=H","DateFormat=P","Fill=—","Direction=H","UseDPDF=Y")</f>
        <v>#NAME?</v>
      </c>
      <c r="BC617" s="2" t="e">
        <f ca="1">_xll.BDH($C$603,"TOTAL_CAPITAL_5_YEAR_GROWTH","FQ4 2016","FQ4 2016","Currency=INR","Period=FQ","BEST_FPERIOD_OVERRIDE=FQ","FILING_STATUS=OR","EQY_CONSOLIDATED=Y","Sort=A","Dates=H","DateFormat=P","Fill=—","Direction=H","UseDPDF=Y")</f>
        <v>#NAME?</v>
      </c>
      <c r="BD617" s="2" t="e">
        <f ca="1">_xll.BDH($C$603,"GEO_GROW_BOOK_VAL","FQ4 2016","FQ4 2016","Currency=INR","Period=FQ","BEST_FPERIOD_OVERRIDE=FQ","FILING_STATUS=OR","EQY_CONSOLIDATED=Y","Sort=A","Dates=H","DateFormat=P","Fill=—","Direction=H","UseDPDF=Y")</f>
        <v>#NAME?</v>
      </c>
      <c r="BE617" s="2" t="e">
        <f ca="1">_xll.BDH($C$603,"GEO_GROW_CASH_OPER_ACT","FQ4 2016","FQ4 2016","Currency=INR","Period=FQ","BEST_FPERIOD_OVERRIDE=FQ","FILING_STATUS=OR","EQY_CONSOLIDATED=Y","Sort=A","Dates=H","DateFormat=P","Fill=—","Direction=H","UseDPDF=Y")</f>
        <v>#NAME?</v>
      </c>
      <c r="BF617" s="2" t="e">
        <f ca="1">_xll.BDH($C$603,"REVENUE_SEQUENTIAL_GROWTH","FQ4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617" s="2" t="e">
        <f ca="1">_xll.BDH($C$603,"EBITDA_SEQUENTIAL_GROWTH","FQ4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617" s="2" t="e">
        <f ca="1">_xll.BDH($C$603,"OPERATING_INCOME_SEQ_GROWTH","FQ4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617" s="2" t="e">
        <f ca="1">_xll.BDH($C$603,"NET_INCOME_TO_COMMON_SEQ_GROWTH","FQ4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617" s="2" t="e">
        <f ca="1">_xll.BDH($C$603,"EPS_DILUTED_SEQUENTIAL_GROWTH","FQ4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617" s="2" t="e">
        <f ca="1">_xll.BDH($C$603,"DPS_SEQUENTIAL_GROWTH","FQ4 2016","FQ4 2016","Currency=INR","Period=FQ","BEST_FPERIOD_OVERRIDE=FQ","FILING_STATUS=OR","EQY_CONSOLIDATED=Y","Sort=A","Dates=H","DateFormat=P","Fill=—","Direction=H","UseDPDF=Y")</f>
        <v>#NAME?</v>
      </c>
      <c r="BL617" s="2" t="e">
        <f ca="1">_xll.BDH($C$603,"ACCOUNTS_RECEIVABLE_SEQ_GROWTH","FQ4 2016","FQ4 2016","Currency=INR","Period=FQ","BEST_FPERIOD_OVERRIDE=FQ","FILING_STATUS=OR","EQY_CONSOLIDATED=Y","Sort=A","Dates=H","DateFormat=P","Fill=—","Direction=H","UseDPDF=Y")</f>
        <v>#NAME?</v>
      </c>
      <c r="BM617" s="2" t="e">
        <f ca="1">_xll.BDH($C$603,"INVENTORY_SEQUENTIAL_GROWTH","FQ4 2016","FQ4 2016","Currency=INR","Period=FQ","BEST_FPERIOD_OVERRIDE=FQ","FILING_STATUS=OR","EQY_CONSOLIDATED=Y","Sort=A","Dates=H","DateFormat=P","Fill=—","Direction=H","UseDPDF=Y")</f>
        <v>#NAME?</v>
      </c>
      <c r="BN617" s="2" t="e">
        <f ca="1">_xll.BDH($C$603,"FIXED_ASSETS_SEQUENTIAL_GROWTH","FQ4 2016","FQ4 2016","Currency=INR","Period=FQ","BEST_FPERIOD_OVERRIDE=FQ","FILING_STATUS=OR","EQY_CONSOLIDATED=Y","Sort=A","Dates=H","DateFormat=P","Fill=—","Direction=H","UseDPDF=Y")</f>
        <v>#NAME?</v>
      </c>
      <c r="BO617" s="2" t="e">
        <f ca="1">_xll.BDH($C$603,"TOTAL_ASSETS_SEQUENTIAL_GROWTH","FQ4 2016","FQ4 2016","Currency=INR","Period=FQ","BEST_FPERIOD_OVERRIDE=FQ","FILING_STATUS=OR","EQY_CONSOLIDATED=Y","Sort=A","Dates=H","DateFormat=P","Fill=—","Direction=H","UseDPDF=Y")</f>
        <v>#NAME?</v>
      </c>
      <c r="BP617" s="2" t="e">
        <f ca="1">_xll.BDH($C$603,"MODIFIED_WORKING_CPTL_SEQ_GRWTH","FQ4 2016","FQ4 2016","Currency=INR","Period=FQ","BEST_FPERIOD_OVERRIDE=FQ","FILING_STATUS=OR","EQY_CONSOLIDATED=Y","Sort=A","Dates=H","DateFormat=P","Fill=—","Direction=H","UseDPDF=Y")</f>
        <v>#NAME?</v>
      </c>
      <c r="BQ617" s="2" t="e">
        <f ca="1">_xll.BDH($C$603,"WORKING_CAPITAL_SEQ_GROWTH","FQ4 2016","FQ4 2016","Currency=INR","Period=FQ","BEST_FPERIOD_OVERRIDE=FQ","FILING_STATUS=OR","EQY_CONSOLIDATED=Y","Sort=A","Dates=H","DateFormat=P","Fill=—","Direction=H","UseDPDF=Y")</f>
        <v>#NAME?</v>
      </c>
      <c r="BR617" s="2" t="e">
        <f ca="1">_xll.BDH($C$603,"ACCOUNTS_PAYABLE_SEQ_GROWTH","FQ4 2016","FQ4 2016","Currency=INR","Period=FQ","BEST_FPERIOD_OVERRIDE=FQ","FILING_STATUS=OR","EQY_CONSOLIDATED=Y","Sort=A","Dates=H","DateFormat=P","Fill=—","Direction=H","UseDPDF=Y")</f>
        <v>#NAME?</v>
      </c>
      <c r="BS617" s="2" t="e">
        <f ca="1">_xll.BDH($C$603,"ST_DEBT_SEQUENTIAL_GROWTH","FQ4 2016","FQ4 2016","Currency=INR","Period=FQ","BEST_FPERIOD_OVERRIDE=FQ","FILING_STATUS=OR","EQY_CONSOLIDATED=Y","Sort=A","Dates=H","DateFormat=P","Fill=—","Direction=H","UseDPDF=Y")</f>
        <v>#NAME?</v>
      </c>
      <c r="BT617" s="2" t="e">
        <f ca="1">_xll.BDH($C$603,"TOTAL_DEBT_SEQUENTIAL_GROWTH","FQ4 2016","FQ4 2016","Currency=INR","Period=FQ","BEST_FPERIOD_OVERRIDE=FQ","FILING_STATUS=OR","EQY_CONSOLIDATED=Y","Sort=A","Dates=H","DateFormat=P","Fill=—","Direction=H","UseDPDF=Y")</f>
        <v>#NAME?</v>
      </c>
      <c r="BU617" s="2" t="e">
        <f ca="1">_xll.BDH($C$603,"TOTAL_EQUITY_SEQUENTIAL_GROWTH","FQ4 2016","FQ4 2016","Currency=INR","Period=FQ","BEST_FPERIOD_OVERRIDE=FQ","FILING_STATUS=OR","EQY_CONSOLIDATED=Y","Sort=A","Dates=H","DateFormat=P","Fill=—","Direction=H","UseDPDF=Y")</f>
        <v>#NAME?</v>
      </c>
      <c r="BV617" s="2" t="e">
        <f ca="1">_xll.BDH($C$603,"TOTAL_CAPITAL_SEQUENTIAL_GROWTH","FQ4 2016","FQ4 2016","Currency=INR","Period=FQ","BEST_FPERIOD_OVERRIDE=FQ","FILING_STATUS=OR","EQY_CONSOLIDATED=Y","Sort=A","Dates=H","DateFormat=P","Fill=—","Direction=H","UseDPDF=Y")</f>
        <v>#NAME?</v>
      </c>
      <c r="BW617" s="2" t="e">
        <f ca="1">_xll.BDH($C$603,"BPS_SEQUENTIAL_GROWTH","FQ4 2016","FQ4 2016","Currency=INR","Period=FQ","BEST_FPERIOD_OVERRIDE=FQ","FILING_STATUS=OR","EQY_CONSOLIDATED=Y","Sort=A","Dates=H","DateFormat=P","Fill=—","Direction=H","UseDPDF=Y")</f>
        <v>#NAME?</v>
      </c>
      <c r="BX617" s="2" t="e">
        <f ca="1">_xll.BDH($C$603,"CFO_SEQUENTIAL_GROWTH","FQ4 2016","FQ4 2016","Currency=INR","Period=FQ","BEST_FPERIOD_OVERRIDE=FQ","FILING_STATUS=OR","EQY_CONSOLIDATED=Y","Sort=A","Dates=H","DateFormat=P","Fill=—","Direction=H","UseDPDF=Y")</f>
        <v>#NAME?</v>
      </c>
      <c r="BY617" s="3" t="e">
        <f ca="1">_xll.BDH($C$603,"SHORT_AND_LONG_TERM_DEBT","FQ4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617" s="3" t="e">
        <f ca="1">_xll.BDH($C$603,"BS_ST_BORROW","FQ4 2016","FQ4 2016","Currency=INR","Period=FQ","BEST_FPERIOD_OVERRIDE=FQ","FILING_STATUS=OR","EQY_CONSOLIDATED=Y","SCALING_FORMAT=MLN","Sort=A","Dates=H","DateFormat=P","Fill=—","Direction=H","UseDPDF=Y")</f>
        <v>#NAME?</v>
      </c>
      <c r="CA617" s="3" t="e">
        <f ca="1">_xll.BDH($C$603,"BS_LT_BORROW","FQ4 2016","FQ4 2016","Currency=INR","Period=FQ","BEST_FPERIOD_OVERRIDE=FQ","FILING_STATUS=OR","EQY_CONSOLIDATED=Y","SCALING_FORMAT=MLN","Sort=A","Dates=H","DateFormat=P","Fill=—","Direction=H","UseDPDF=Y")</f>
        <v>#NAME?</v>
      </c>
      <c r="CB617" s="2" t="e">
        <f ca="1">_xll.BDH($C$603,"TOT_DEBT_TO_EBITDA","FQ4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617" s="2" t="e">
        <f ca="1">_xll.BDH($C$603,"NET_DEBT_TO_EBITDA","FQ4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617" s="2" t="e">
        <f ca="1">_xll.BDH($C$603,"TOTAL_DEBT_TO_EBIT","FQ4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617" s="2" t="e">
        <f ca="1">_xll.BDH($C$603,"NET_DEBT_TO_EBIT","FQ4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617" s="2" t="e">
        <f ca="1">_xll.BDH($C$603,"EBITDA_TO_INTEREST_EXPN","FQ4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617" s="2" t="e">
        <f ca="1">_xll.BDH($C$603,"COM_EQY_TO_TOT_ASSET","FQ4 2016","FQ4 2016","Currency=INR","Period=FQ","BEST_FPERIOD_OVERRIDE=FQ","FILING_STATUS=OR","EQY_CONSOLIDATED=Y","Sort=A","Dates=H","DateFormat=P","Fill=—","Direction=H","UseDPDF=Y")</f>
        <v>#NAME?</v>
      </c>
      <c r="CH617" s="2" t="e">
        <f ca="1">_xll.BDH($C$603,"LT_DEBT_TO_TOT_EQY","FQ4 2016","FQ4 2016","Currency=INR","Period=FQ","BEST_FPERIOD_OVERRIDE=FQ","FILING_STATUS=OR","EQY_CONSOLIDATED=Y","Sort=A","Dates=H","DateFormat=P","Fill=—","Direction=H","UseDPDF=Y")</f>
        <v>#NAME?</v>
      </c>
      <c r="CI617" s="2" t="e">
        <f ca="1">_xll.BDH($C$603,"LT_DEBT_TO_TOT_CAP","FQ4 2016","FQ4 2016","Currency=INR","Period=FQ","BEST_FPERIOD_OVERRIDE=FQ","FILING_STATUS=OR","EQY_CONSOLIDATED=Y","Sort=A","Dates=H","DateFormat=P","Fill=—","Direction=H","UseDPDF=Y")</f>
        <v>#NAME?</v>
      </c>
      <c r="CJ617" s="2" t="e">
        <f ca="1">_xll.BDH($C$603,"LT_DEBT_TO_TOT_ASSET","FQ4 2016","FQ4 2016","Currency=INR","Period=FQ","BEST_FPERIOD_OVERRIDE=FQ","FILING_STATUS=OR","EQY_CONSOLIDATED=Y","Sort=A","Dates=H","DateFormat=P","Fill=—","Direction=H","UseDPDF=Y")</f>
        <v>#NAME?</v>
      </c>
      <c r="CK617" s="2" t="e">
        <f ca="1">_xll.BDH($C$603,"TOT_DEBT_TO_TOT_EQY","FQ4 2016","FQ4 2016","Currency=INR","Period=FQ","BEST_FPERIOD_OVERRIDE=FQ","FILING_STATUS=OR","EQY_CONSOLIDATED=Y","Sort=A","Dates=H","DateFormat=P","Fill=—","Direction=H","UseDPDF=Y")</f>
        <v>#NAME?</v>
      </c>
      <c r="CL617" s="2" t="e">
        <f ca="1">_xll.BDH($C$603,"TOT_DEBT_TO_TOT_CAP","FQ4 2016","FQ4 2016","Currency=INR","Period=FQ","BEST_FPERIOD_OVERRIDE=FQ","FILING_STATUS=OR","EQY_CONSOLIDATED=Y","Sort=A","Dates=H","DateFormat=P","Fill=—","Direction=H","UseDPDF=Y")</f>
        <v>#NAME?</v>
      </c>
      <c r="CM617" s="2" t="e">
        <f ca="1">_xll.BDH($C$603,"TOT_DEBT_TO_TOT_ASSET","FQ4 2016","FQ4 2016","Currency=INR","Period=FQ","BEST_FPERIOD_OVERRIDE=FQ","FILING_STATUS=OR","EQY_CONSOLIDATED=Y","Sort=A","Dates=H","DateFormat=P","Fill=—","Direction=H","UseDPDF=Y")</f>
        <v>#NAME?</v>
      </c>
      <c r="CN617" s="2" t="e">
        <f ca="1">_xll.BDH($C$603,"NET_DEBT_TO_SHRHLDR_EQTY","FQ4 2016","FQ4 2016","Currency=INR","Period=FQ","BEST_FPERIOD_OVERRIDE=FQ","FILING_STATUS=OR","EQY_CONSOLIDATED=Y","Sort=A","Dates=H","DateFormat=P","Fill=—","Direction=H","UseDPDF=Y")</f>
        <v>#NAME?</v>
      </c>
      <c r="CO617" s="2" t="e">
        <f ca="1">_xll.BDH($C$603,"NET_DEBT_%_CAPITAL","FQ4 2016","FQ4 2016","Currency=INR","Period=FQ","BEST_FPERIOD_OVERRIDE=FQ","FILING_STATUS=OR","EQY_CONSOLIDATED=Y","Sort=A","Dates=H","DateFormat=P","Fill=—","Direction=H","UseDPDF=Y")</f>
        <v>#NAME?</v>
      </c>
      <c r="CP617" s="3" t="e">
        <f ca="1">_xll.BDH($C$603,"EBITDA","FQ4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617" s="3" t="e">
        <f ca="1">_xll.BDH($C$603,"EBITDA_AFTER_CAPEX","FQ4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617" s="3" t="e">
        <f ca="1">_xll.BDH($C$603,"IS_OPER_INC","FQ4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617" s="2" t="e">
        <f ca="1">_xll.BDH($C$603,"CASH_RATIO","FQ4 2016","FQ4 2016","Currency=INR","Period=FQ","BEST_FPERIOD_OVERRIDE=FQ","FILING_STATUS=OR","EQY_CONSOLIDATED=Y","Sort=A","Dates=H","DateFormat=P","Fill=—","Direction=H","UseDPDF=Y")</f>
        <v>#NAME?</v>
      </c>
      <c r="CT617" s="2" t="e">
        <f ca="1">_xll.BDH($C$603,"CUR_RATIO","FQ4 2016","FQ4 2016","Currency=INR","Period=FQ","BEST_FPERIOD_OVERRIDE=FQ","FILING_STATUS=OR","EQY_CONSOLIDATED=Y","Sort=A","Dates=H","DateFormat=P","Fill=—","Direction=H","UseDPDF=Y")</f>
        <v>#NAME?</v>
      </c>
      <c r="CU617" s="2" t="e">
        <f ca="1">_xll.BDH($C$603,"QUICK_RATIO","FQ4 2016","FQ4 2016","Currency=INR","Period=FQ","BEST_FPERIOD_OVERRIDE=FQ","FILING_STATUS=OR","EQY_CONSOLIDATED=Y","Sort=A","Dates=H","DateFormat=P","Fill=—","Direction=H","UseDPDF=Y")</f>
        <v>#NAME?</v>
      </c>
      <c r="CV617" s="2" t="e">
        <f ca="1">_xll.BDH($C$603,"ALTMAN_Z_SCORE","FQ4 2016","FQ4 2016","Currency=INR","Period=FQ","BEST_FPERIOD_OVERRIDE=FQ","FILING_STATUS=OR","EQY_CONSOLIDATED=Y","Sort=A","Dates=H","DateFormat=P","Fill=—","Direction=H","UseDPDF=Y")</f>
        <v>#NAME?</v>
      </c>
      <c r="CW617" s="4" t="e">
        <f ca="1">_xll.BDH($C$603,"ACCT_RCV_TURN","FQ4 2016","FQ4 2016","Currency=INR","Period=FQ","BEST_FPERIOD_OVERRIDE=FQ","FILING_STATUS=OR","EQY_CONSOLIDATED=Y","FA_ADJUSTED=GAAP","Sort=A","Dates=H","DateFormat=P","Fill=—","Direction=H","UseDPDF=Y")</f>
        <v>#NAME?</v>
      </c>
      <c r="CX617" s="2" t="e">
        <f ca="1">_xll.BDH($C$603,"ACCT_RCV_DAYS","FQ4 2016","FQ4 2016","Currency=INR","Period=FQ","BEST_FPERIOD_OVERRIDE=FQ","FILING_STATUS=OR","EQY_CONSOLIDATED=Y","FA_ADJUSTED=GAAP","Sort=A","Dates=H","DateFormat=P","Fill=—","Direction=H","UseDPDF=Y")</f>
        <v>#NAME?</v>
      </c>
      <c r="CY617" s="4" t="e">
        <f ca="1">_xll.BDH($C$603,"INVENT_TURN","FQ4 2016","FQ4 2016","Currency=INR","Period=FQ","BEST_FPERIOD_OVERRIDE=FQ","FILING_STATUS=OR","EQY_CONSOLIDATED=Y","FA_ADJUSTED=GAAP","Sort=A","Dates=H","DateFormat=P","Fill=—","Direction=H","UseDPDF=Y")</f>
        <v>#NAME?</v>
      </c>
      <c r="CZ617" s="2" t="e">
        <f ca="1">_xll.BDH($C$603,"INVENT_DAYS","FQ4 2016","FQ4 2016","Currency=INR","Period=FQ","BEST_FPERIOD_OVERRIDE=FQ","FILING_STATUS=OR","EQY_CONSOLIDATED=Y","FA_ADJUSTED=GAAP","Sort=A","Dates=H","DateFormat=P","Fill=—","Direction=H","UseDPDF=Y")</f>
        <v>#NAME?</v>
      </c>
      <c r="DA617" s="4" t="e">
        <f ca="1">_xll.BDH($C$603,"ACCOUNTS_PAYABLE_TURNOVER","FQ4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617" s="2" t="e">
        <f ca="1">_xll.BDH($C$603,"ACCOUNTS_PAYABLE_TURNOVER_DAYS","FQ4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617" s="4" t="e">
        <f ca="1">_xll.BDH($C$603,"CASH_CONVERSION_CYCLE","FQ4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617" s="4" t="e">
        <f ca="1">_xll.BDH($C$603,"INV_TO_CASH_DAYS","FQ4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617" s="5" t="e">
        <f ca="1">_xll.BDH($C$603,"BS_INVENTORIES","FQ4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617" s="3" t="e">
        <f ca="1">_xll.BDH($C$603,"INVTRY_RAW_MATERIALS","FQ4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617" s="3" t="e">
        <f ca="1">_xll.BDH($C$603,"INVTRY_IN_PROGRESS","FQ4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617" s="3" t="e">
        <f ca="1">_xll.BDH($C$603,"INVTRY_FINISHED_GOODS","FQ4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617" s="3" t="e">
        <f ca="1">_xll.BDH($C$603,"BS_OTHER_INV","FQ4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618" spans="1:113" x14ac:dyDescent="0.3">
      <c r="A618" s="6"/>
      <c r="B618" s="6"/>
      <c r="C618" s="6"/>
      <c r="D618" s="6" t="s">
        <v>84</v>
      </c>
      <c r="E618" t="s">
        <v>77</v>
      </c>
      <c r="F618" t="e">
        <f ca="1">_xll.BDH($C$603,"RETURN_COM_EQY","FY 2017","FY 2017","Currency=INR","Period=FY","BEST_FPERIOD_OVERRIDE=FY","FILING_STATUS=OR","EQY_CONSOLIDATED=Y","FA_ADJUSTED=GAAP","Sort=A","Dates=H","DateFormat=P","Fill=—","Direction=H","UseDPDF=Y")</f>
        <v>#NAME?</v>
      </c>
      <c r="G618" t="e">
        <f ca="1">_xll.BDH($C$603,"RETURN_ON_ASSET","FY 2017","FY 2017","Currency=INR","Period=FY","BEST_FPERIOD_OVERRIDE=FY","FILING_STATUS=OR","EQY_CONSOLIDATED=Y","FA_ADJUSTED=GAAP","Sort=A","Dates=H","DateFormat=P","Fill=—","Direction=H","UseDPDF=Y")</f>
        <v>#NAME?</v>
      </c>
      <c r="H618" t="e">
        <f ca="1">_xll.BDH($C$603,"RETURN_ON_CAP","FY 2017","FY 2017","Currency=INR","Period=FY","BEST_FPERIOD_OVERRIDE=FY","FILING_STATUS=OR","EQY_CONSOLIDATED=Y","FA_ADJUSTED=GAAP","Sort=A","Dates=H","DateFormat=P","Fill=—","Direction=H","UseDPDF=Y")</f>
        <v>#NAME?</v>
      </c>
      <c r="I618" t="e">
        <f ca="1">_xll.BDH($C$603,"RETURN_ON_INV_CAPITAL","FY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618" t="e">
        <f ca="1">_xll.BDH($C$603,"EBITDA_TO_REVENUE","FY 2017","FY 2017","Currency=INR","Period=FY","BEST_FPERIOD_OVERRIDE=FY","FILING_STATUS=OR","EQY_CONSOLIDATED=Y","FA_ADJUSTED=GAAP","Sort=A","Dates=H","DateFormat=P","Fill=—","Direction=H","UseDPDF=Y")</f>
        <v>#NAME?</v>
      </c>
      <c r="K618" t="e">
        <f ca="1">_xll.BDH($C$603,"OPER_MARGIN","FY 2017","FY 2017","Currency=INR","Period=FY","BEST_FPERIOD_OVERRIDE=FY","FILING_STATUS=OR","EQY_CONSOLIDATED=Y","FA_ADJUSTED=GAAP","Sort=A","Dates=H","DateFormat=P","Fill=—","Direction=H","UseDPDF=Y")</f>
        <v>#NAME?</v>
      </c>
      <c r="L618" t="e">
        <f ca="1">_xll.BDH($C$603,"INCREMENTAL_OPERATING_MARGIN","FY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618" t="e">
        <f ca="1">_xll.BDH($C$603,"PRETAX_INC_TO_NET_SALES","FY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618" t="e">
        <f ca="1">_xll.BDH($C$603,"INC_BEF_XO_ITEMS_TO_NET_SALES","FY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618" t="e">
        <f ca="1">_xll.BDH($C$603,"PROF_MARGIN","FY 2017","FY 2017","Currency=INR","Period=FY","BEST_FPERIOD_OVERRIDE=FY","FILING_STATUS=OR","EQY_CONSOLIDATED=Y","FA_ADJUSTED=GAAP","Sort=A","Dates=H","DateFormat=P","Fill=—","Direction=H","UseDPDF=Y")</f>
        <v>#NAME?</v>
      </c>
      <c r="P618" t="e">
        <f ca="1">_xll.BDH($C$603,"NET_INCOME_TO_COMMON_MARGIN","FY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618" t="e">
        <f ca="1">_xll.BDH($C$603,"EFF_TAX_RATE","FY 2017","FY 2017","Currency=INR","Period=FY","BEST_FPERIOD_OVERRIDE=FY","FILING_STATUS=OR","EQY_CONSOLIDATED=Y","FA_ADJUSTED=GAAP","Sort=A","Dates=H","DateFormat=P","Fill=—","Direction=H","UseDPDF=Y")</f>
        <v>#NAME?</v>
      </c>
      <c r="R618" t="e">
        <f ca="1">_xll.BDH($C$603,"DVD_PAYOUT_RATIO","FY 2017","FY 2017","Currency=INR","Period=FY","BEST_FPERIOD_OVERRIDE=FY","FILING_STATUS=OR","EQY_CONSOLIDATED=Y","FA_ADJUSTED=GAAP","Sort=A","Dates=H","DateFormat=P","Fill=—","Direction=H","UseDPDF=Y")</f>
        <v>#NAME?</v>
      </c>
      <c r="S618" t="e">
        <f ca="1">_xll.BDH($C$603,"SUSTAIN_GROWTH_RT","FY 2017","FY 2017","Currency=INR","Period=FY","BEST_FPERIOD_OVERRIDE=FY","FILING_STATUS=OR","EQY_CONSOLIDATED=Y","FA_ADJUSTED=GAAP","Sort=A","Dates=H","DateFormat=P","Fill=—","Direction=H","UseDPDF=Y")</f>
        <v>#NAME?</v>
      </c>
      <c r="T618" s="2" t="e">
        <f ca="1">_xll.BDH($C$603,"SALES_GROWTH","FY 2017","FY 2017","Currency=INR","Period=FY","BEST_FPERIOD_OVERRIDE=FY","FILING_STATUS=OR","EQY_CONSOLIDATED=Y","FA_ADJUSTED=GAAP","Sort=A","Dates=H","DateFormat=P","Fill=—","Direction=H","UseDPDF=Y")</f>
        <v>#NAME?</v>
      </c>
      <c r="U618" s="2" t="e">
        <f ca="1">_xll.BDH($C$603,"EBITDA_GROWTH","FY 2017","FY 2017","Currency=INR","Period=FY","BEST_FPERIOD_OVERRIDE=FY","FILING_STATUS=OR","EQY_CONSOLIDATED=Y","FA_ADJUSTED=GAAP","Sort=A","Dates=H","DateFormat=P","Fill=—","Direction=H","UseDPDF=Y")</f>
        <v>#NAME?</v>
      </c>
      <c r="V618" s="2" t="e">
        <f ca="1">_xll.BDH($C$603,"OPER_INC_GROWTH","FY 2017","FY 2017","Currency=INR","Period=FY","BEST_FPERIOD_OVERRIDE=FY","FILING_STATUS=OR","EQY_CONSOLIDATED=Y","FA_ADJUSTED=GAAP","Sort=A","Dates=H","DateFormat=P","Fill=—","Direction=H","UseDPDF=Y")</f>
        <v>#NAME?</v>
      </c>
      <c r="W618" s="2" t="e">
        <f ca="1">_xll.BDH($C$603,"EARN_FOR_COM_GROWTH","FY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618" s="2" t="e">
        <f ca="1">_xll.BDH($C$603,"DILUTED_EPS_AFT_XO_ITEMS_GROWTH","FY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618" s="2" t="e">
        <f ca="1">_xll.BDH($C$603,"DIVIDEND_PER_SHARE_1_YEAR_GROWTH","FY 2017","FY 2017","Currency=INR","Period=FY","BEST_FPERIOD_OVERRIDE=FY","FILING_STATUS=OR","EQY_CONSOLIDATED=Y","Sort=A","Dates=H","DateFormat=P","Fill=—","Direction=H","UseDPDF=Y")</f>
        <v>#NAME?</v>
      </c>
      <c r="Z618" s="2" t="e">
        <f ca="1">_xll.BDH($C$603,"ACCOUNTS_RECEIVABLE_GROWTH","FY 2017","FY 2017","Currency=INR","Period=FY","BEST_FPERIOD_OVERRIDE=FY","FILING_STATUS=OR","EQY_CONSOLIDATED=Y","Sort=A","Dates=H","DateFormat=P","Fill=—","Direction=H","UseDPDF=Y")</f>
        <v>#NAME?</v>
      </c>
      <c r="AA618" s="2" t="e">
        <f ca="1">_xll.BDH($C$603,"INVENTORY_GROWTH","FY 2017","FY 2017","Currency=INR","Period=FY","BEST_FPERIOD_OVERRIDE=FY","FILING_STATUS=OR","EQY_CONSOLIDATED=Y","Sort=A","Dates=H","DateFormat=P","Fill=—","Direction=H","UseDPDF=Y")</f>
        <v>#NAME?</v>
      </c>
      <c r="AB618" s="2" t="e">
        <f ca="1">_xll.BDH($C$603,"NET_FIXED_ASSETS_1_YEAR_GROWTH","FY 2017","FY 2017","Currency=INR","Period=FY","BEST_FPERIOD_OVERRIDE=FY","FILING_STATUS=OR","EQY_CONSOLIDATED=Y","Sort=A","Dates=H","DateFormat=P","Fill=—","Direction=H","UseDPDF=Y")</f>
        <v>#NAME?</v>
      </c>
      <c r="AC618" s="2" t="e">
        <f ca="1">_xll.BDH($C$603,"ASSET_GROWTH","FY 2017","FY 2017","Currency=INR","Period=FY","BEST_FPERIOD_OVERRIDE=FY","FILING_STATUS=OR","EQY_CONSOLIDATED=Y","Sort=A","Dates=H","DateFormat=P","Fill=—","Direction=H","UseDPDF=Y")</f>
        <v>#NAME?</v>
      </c>
      <c r="AD618" s="2" t="e">
        <f ca="1">_xll.BDH($C$603,"MODIFIED_WORK_CAP_GROWTH","FY 2017","FY 2017","Currency=INR","Period=FY","BEST_FPERIOD_OVERRIDE=FY","FILING_STATUS=OR","EQY_CONSOLIDATED=Y","Sort=A","Dates=H","DateFormat=P","Fill=—","Direction=H","UseDPDF=Y")</f>
        <v>#NAME?</v>
      </c>
      <c r="AE618" s="2" t="e">
        <f ca="1">_xll.BDH($C$603,"WORK_CAP_GROWTH","FY 2017","FY 2017","Currency=INR","Period=FY","BEST_FPERIOD_OVERRIDE=FY","FILING_STATUS=OR","EQY_CONSOLIDATED=Y","Sort=A","Dates=H","DateFormat=P","Fill=—","Direction=H","UseDPDF=Y")</f>
        <v>#NAME?</v>
      </c>
      <c r="AF618" s="2" t="e">
        <f ca="1">_xll.BDH($C$603,"ACCOUNTS_PAYABLE_GROWTH_1YR","FY 2017","FY 2017","Currency=INR","Period=FY","BEST_FPERIOD_OVERRIDE=FY","FILING_STATUS=OR","EQY_CONSOLIDATED=Y","Sort=A","Dates=H","DateFormat=P","Fill=—","Direction=H","UseDPDF=Y")</f>
        <v>#NAME?</v>
      </c>
      <c r="AG618" s="2" t="e">
        <f ca="1">_xll.BDH($C$603,"SHORT_TERM_DEBT_1_YEAR_GROWTH","FY 2017","FY 2017","Currency=INR","Period=FY","BEST_FPERIOD_OVERRIDE=FY","FILING_STATUS=OR","EQY_CONSOLIDATED=Y","Sort=A","Dates=H","DateFormat=P","Fill=—","Direction=H","UseDPDF=Y")</f>
        <v>#NAME?</v>
      </c>
      <c r="AH618" s="2" t="e">
        <f ca="1">_xll.BDH($C$603,"TOTAL_DEBT_1_YEAR_GROWTH","FY 2017","FY 2017","Currency=INR","Period=FY","BEST_FPERIOD_OVERRIDE=FY","FILING_STATUS=OR","EQY_CONSOLIDATED=Y","Sort=A","Dates=H","DateFormat=P","Fill=—","Direction=H","UseDPDF=Y")</f>
        <v>#NAME?</v>
      </c>
      <c r="AI618" s="2" t="e">
        <f ca="1">_xll.BDH($C$603,"TOTAL_EQUITY_1_YEAR_GROWTH","FY 2017","FY 2017","Currency=INR","Period=FY","BEST_FPERIOD_OVERRIDE=FY","FILING_STATUS=OR","EQY_CONSOLIDATED=Y","Sort=A","Dates=H","DateFormat=P","Fill=—","Direction=H","UseDPDF=Y")</f>
        <v>#NAME?</v>
      </c>
      <c r="AJ618" s="2" t="e">
        <f ca="1">_xll.BDH($C$603,"GROWTH_IN_CAP","FY 2017","FY 2017","Currency=INR","Period=FY","BEST_FPERIOD_OVERRIDE=FY","FILING_STATUS=OR","EQY_CONSOLIDATED=Y","Sort=A","Dates=H","DateFormat=P","Fill=—","Direction=H","UseDPDF=Y")</f>
        <v>#NAME?</v>
      </c>
      <c r="AK618" s="2" t="e">
        <f ca="1">_xll.BDH($C$603,"BVPS_GROWTH","FY 2017","FY 2017","Currency=INR","Period=FY","BEST_FPERIOD_OVERRIDE=FY","FILING_STATUS=OR","EQY_CONSOLIDATED=Y","Sort=A","Dates=H","DateFormat=P","Fill=—","Direction=H","UseDPDF=Y")</f>
        <v>#NAME?</v>
      </c>
      <c r="AL618" s="2" t="e">
        <f ca="1">_xll.BDH($C$603,"CASH_FLOW_GROWTH","FY 2017","FY 2017","Currency=INR","Period=FY","BEST_FPERIOD_OVERRIDE=FY","FILING_STATUS=OR","EQY_CONSOLIDATED=Y","Sort=A","Dates=H","DateFormat=P","Fill=—","Direction=H","UseDPDF=Y")</f>
        <v>#NAME?</v>
      </c>
      <c r="AM618" s="2" t="e">
        <f ca="1">_xll.BDH($C$603,"GEO_GROW_NET_SALES","FY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618" s="2" t="e">
        <f ca="1">_xll.BDH($C$603,"GEO_GROW_EBITDA","FY 2017","FY 2017","Currency=INR","Period=FY","BEST_FPERIOD_OVERRIDE=FY","FILING_STATUS=OR","EQY_CONSOLIDATED=Y","FA_ADJUSTED=GAAP","Sort=A","Dates=H","DateFormat=P","Fill=—","Direction=H","UseDPDF=Y")</f>
        <v>#NAME?</v>
      </c>
      <c r="AO618" s="2" t="e">
        <f ca="1">_xll.BDH($C$603,"GEO_GROW_OPER_INC","FY 2017","FY 2017","Currency=INR","Period=FY","BEST_FPERIOD_OVERRIDE=FY","FILING_STATUS=OR","EQY_CONSOLIDATED=Y","FA_ADJUSTED=GAAP","Sort=A","Dates=H","DateFormat=P","Fill=—","Direction=H","UseDPDF=Y")</f>
        <v>#NAME?</v>
      </c>
      <c r="AP618" s="2" t="e">
        <f ca="1">_xll.BDH($C$603,"NET_INCOME_TO_COMMON_5_YR_GROWTH","FY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618" s="2" t="e">
        <f ca="1">_xll.BDH($C$603,"5Y_GEO_GROWTH_DILUTED_EPS","FY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618" s="2" t="e">
        <f ca="1">_xll.BDH($C$603,"GEO_GROW_DVD_PER_SH","FY 2017","FY 2017","Currency=INR","Period=FY","BEST_FPERIOD_OVERRIDE=FY","FILING_STATUS=OR","EQY_CONSOLIDATED=Y","Sort=A","Dates=H","DateFormat=P","Fill=—","Direction=H","UseDPDF=Y")</f>
        <v>#NAME?</v>
      </c>
      <c r="AS618" s="2" t="e">
        <f ca="1">_xll.BDH($C$603,"ACCOUNTS_RECEIVABLE_5_YR_GROWTH","FY 2017","FY 2017","Currency=INR","Period=FY","BEST_FPERIOD_OVERRIDE=FY","FILING_STATUS=OR","EQY_CONSOLIDATED=Y","Sort=A","Dates=H","DateFormat=P","Fill=—","Direction=H","UseDPDF=Y")</f>
        <v>#NAME?</v>
      </c>
      <c r="AT618" s="2" t="e">
        <f ca="1">_xll.BDH($C$603,"INVENTORY_5_YEAR_GROWTH","FY 2017","FY 2017","Currency=INR","Period=FY","BEST_FPERIOD_OVERRIDE=FY","FILING_STATUS=OR","EQY_CONSOLIDATED=Y","Sort=A","Dates=H","DateFormat=P","Fill=—","Direction=H","UseDPDF=Y")</f>
        <v>#NAME?</v>
      </c>
      <c r="AU618" s="2" t="e">
        <f ca="1">_xll.BDH($C$603,"NET_FIXED_ASSETS_5_YEAR_GROWTH","FY 2017","FY 2017","Currency=INR","Period=FY","BEST_FPERIOD_OVERRIDE=FY","FILING_STATUS=OR","EQY_CONSOLIDATED=Y","Sort=A","Dates=H","DateFormat=P","Fill=—","Direction=H","UseDPDF=Y")</f>
        <v>#NAME?</v>
      </c>
      <c r="AV618" s="2" t="e">
        <f ca="1">_xll.BDH($C$603,"GEO_GROW_TOT_ASSET","FY 2017","FY 2017","Currency=INR","Period=FY","BEST_FPERIOD_OVERRIDE=FY","FILING_STATUS=OR","EQY_CONSOLIDATED=Y","Sort=A","Dates=H","DateFormat=P","Fill=—","Direction=H","UseDPDF=Y")</f>
        <v>#NAME?</v>
      </c>
      <c r="AW618" s="2" t="e">
        <f ca="1">_xll.BDH($C$603,"MODIFIED_WORKING_CPTL_5YR_GRWTH","FY 2017","FY 2017","Currency=INR","Period=FY","BEST_FPERIOD_OVERRIDE=FY","FILING_STATUS=OR","EQY_CONSOLIDATED=Y","Sort=A","Dates=H","DateFormat=P","Fill=—","Direction=H","UseDPDF=Y")</f>
        <v>#NAME?</v>
      </c>
      <c r="AX618" s="2" t="e">
        <f ca="1">_xll.BDH($C$603,"WORKING_CAPITAL_5_YEAR_GROWTH","FY 2017","FY 2017","Currency=INR","Period=FY","BEST_FPERIOD_OVERRIDE=FY","FILING_STATUS=OR","EQY_CONSOLIDATED=Y","Sort=A","Dates=H","DateFormat=P","Fill=—","Direction=H","UseDPDF=Y")</f>
        <v>#NAME?</v>
      </c>
      <c r="AY618" s="2" t="e">
        <f ca="1">_xll.BDH($C$603,"ACCOUNTS_PAYABLE_5_YEAR_GROWTH","FY 2017","FY 2017","Currency=INR","Period=FY","BEST_FPERIOD_OVERRIDE=FY","FILING_STATUS=OR","EQY_CONSOLIDATED=Y","Sort=A","Dates=H","DateFormat=P","Fill=—","Direction=H","UseDPDF=Y")</f>
        <v>#NAME?</v>
      </c>
      <c r="AZ618" s="2" t="e">
        <f ca="1">_xll.BDH($C$603,"SHORT_TERM_DEBT_5_YEAR_GROWTH","FY 2017","FY 2017","Currency=INR","Period=FY","BEST_FPERIOD_OVERRIDE=FY","FILING_STATUS=OR","EQY_CONSOLIDATED=Y","Sort=A","Dates=H","DateFormat=P","Fill=—","Direction=H","UseDPDF=Y")</f>
        <v>#NAME?</v>
      </c>
      <c r="BA618" s="2" t="e">
        <f ca="1">_xll.BDH($C$603,"TOTAL_DEBT_5_YEAR_GROWTH","FY 2017","FY 2017","Currency=INR","Period=FY","BEST_FPERIOD_OVERRIDE=FY","FILING_STATUS=OR","EQY_CONSOLIDATED=Y","Sort=A","Dates=H","DateFormat=P","Fill=—","Direction=H","UseDPDF=Y")</f>
        <v>#NAME?</v>
      </c>
      <c r="BB618" s="2" t="e">
        <f ca="1">_xll.BDH($C$603,"GEO_GROW_TOT_SHRHLDR_EQY","FY 2017","FY 2017","Currency=INR","Period=FY","BEST_FPERIOD_OVERRIDE=FY","FILING_STATUS=OR","EQY_CONSOLIDATED=Y","Sort=A","Dates=H","DateFormat=P","Fill=—","Direction=H","UseDPDF=Y")</f>
        <v>#NAME?</v>
      </c>
      <c r="BC618" s="2" t="e">
        <f ca="1">_xll.BDH($C$603,"TOTAL_CAPITAL_5_YEAR_GROWTH","FY 2017","FY 2017","Currency=INR","Period=FY","BEST_FPERIOD_OVERRIDE=FY","FILING_STATUS=OR","EQY_CONSOLIDATED=Y","Sort=A","Dates=H","DateFormat=P","Fill=—","Direction=H","UseDPDF=Y")</f>
        <v>#NAME?</v>
      </c>
      <c r="BD618" s="2" t="e">
        <f ca="1">_xll.BDH($C$603,"GEO_GROW_BOOK_VAL","FY 2017","FY 2017","Currency=INR","Period=FY","BEST_FPERIOD_OVERRIDE=FY","FILING_STATUS=OR","EQY_CONSOLIDATED=Y","Sort=A","Dates=H","DateFormat=P","Fill=—","Direction=H","UseDPDF=Y")</f>
        <v>#NAME?</v>
      </c>
      <c r="BE618" s="2" t="e">
        <f ca="1">_xll.BDH($C$603,"GEO_GROW_CASH_OPER_ACT","FY 2017","FY 2017","Currency=INR","Period=FY","BEST_FPERIOD_OVERRIDE=FY","FILING_STATUS=OR","EQY_CONSOLIDATED=Y","Sort=A","Dates=H","DateFormat=P","Fill=—","Direction=H","UseDPDF=Y")</f>
        <v>#NAME?</v>
      </c>
      <c r="BF618" s="2" t="e">
        <f ca="1">_xll.BDH($C$603,"REVENUE_SEQUENTIAL_GROWTH","FY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618" s="2" t="e">
        <f ca="1">_xll.BDH($C$603,"EBITDA_SEQUENTIAL_GROWTH","FY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618" s="2" t="e">
        <f ca="1">_xll.BDH($C$603,"OPERATING_INCOME_SEQ_GROWTH","FY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618" s="2" t="e">
        <f ca="1">_xll.BDH($C$603,"NET_INCOME_TO_COMMON_SEQ_GROWTH","FY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618" s="2" t="e">
        <f ca="1">_xll.BDH($C$603,"EPS_DILUTED_SEQUENTIAL_GROWTH","FY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618" s="2" t="e">
        <f ca="1">_xll.BDH($C$603,"DPS_SEQUENTIAL_GROWTH","FY 2017","FY 2017","Currency=INR","Period=FY","BEST_FPERIOD_OVERRIDE=FY","FILING_STATUS=OR","EQY_CONSOLIDATED=Y","Sort=A","Dates=H","DateFormat=P","Fill=—","Direction=H","UseDPDF=Y")</f>
        <v>#NAME?</v>
      </c>
      <c r="BL618" s="2" t="e">
        <f ca="1">_xll.BDH($C$603,"ACCOUNTS_RECEIVABLE_SEQ_GROWTH","FY 2017","FY 2017","Currency=INR","Period=FY","BEST_FPERIOD_OVERRIDE=FY","FILING_STATUS=OR","EQY_CONSOLIDATED=Y","Sort=A","Dates=H","DateFormat=P","Fill=—","Direction=H","UseDPDF=Y")</f>
        <v>#NAME?</v>
      </c>
      <c r="BM618" s="2" t="e">
        <f ca="1">_xll.BDH($C$603,"INVENTORY_SEQUENTIAL_GROWTH","FY 2017","FY 2017","Currency=INR","Period=FY","BEST_FPERIOD_OVERRIDE=FY","FILING_STATUS=OR","EQY_CONSOLIDATED=Y","Sort=A","Dates=H","DateFormat=P","Fill=—","Direction=H","UseDPDF=Y")</f>
        <v>#NAME?</v>
      </c>
      <c r="BN618" s="2" t="e">
        <f ca="1">_xll.BDH($C$603,"FIXED_ASSETS_SEQUENTIAL_GROWTH","FY 2017","FY 2017","Currency=INR","Period=FY","BEST_FPERIOD_OVERRIDE=FY","FILING_STATUS=OR","EQY_CONSOLIDATED=Y","Sort=A","Dates=H","DateFormat=P","Fill=—","Direction=H","UseDPDF=Y")</f>
        <v>#NAME?</v>
      </c>
      <c r="BO618" s="2" t="e">
        <f ca="1">_xll.BDH($C$603,"TOTAL_ASSETS_SEQUENTIAL_GROWTH","FY 2017","FY 2017","Currency=INR","Period=FY","BEST_FPERIOD_OVERRIDE=FY","FILING_STATUS=OR","EQY_CONSOLIDATED=Y","Sort=A","Dates=H","DateFormat=P","Fill=—","Direction=H","UseDPDF=Y")</f>
        <v>#NAME?</v>
      </c>
      <c r="BP618" s="2" t="e">
        <f ca="1">_xll.BDH($C$603,"MODIFIED_WORKING_CPTL_SEQ_GRWTH","FY 2017","FY 2017","Currency=INR","Period=FY","BEST_FPERIOD_OVERRIDE=FY","FILING_STATUS=OR","EQY_CONSOLIDATED=Y","Sort=A","Dates=H","DateFormat=P","Fill=—","Direction=H","UseDPDF=Y")</f>
        <v>#NAME?</v>
      </c>
      <c r="BQ618" s="2" t="e">
        <f ca="1">_xll.BDH($C$603,"WORKING_CAPITAL_SEQ_GROWTH","FY 2017","FY 2017","Currency=INR","Period=FY","BEST_FPERIOD_OVERRIDE=FY","FILING_STATUS=OR","EQY_CONSOLIDATED=Y","Sort=A","Dates=H","DateFormat=P","Fill=—","Direction=H","UseDPDF=Y")</f>
        <v>#NAME?</v>
      </c>
      <c r="BR618" s="2" t="e">
        <f ca="1">_xll.BDH($C$603,"ACCOUNTS_PAYABLE_SEQ_GROWTH","FY 2017","FY 2017","Currency=INR","Period=FY","BEST_FPERIOD_OVERRIDE=FY","FILING_STATUS=OR","EQY_CONSOLIDATED=Y","Sort=A","Dates=H","DateFormat=P","Fill=—","Direction=H","UseDPDF=Y")</f>
        <v>#NAME?</v>
      </c>
      <c r="BS618" s="2" t="e">
        <f ca="1">_xll.BDH($C$603,"ST_DEBT_SEQUENTIAL_GROWTH","FY 2017","FY 2017","Currency=INR","Period=FY","BEST_FPERIOD_OVERRIDE=FY","FILING_STATUS=OR","EQY_CONSOLIDATED=Y","Sort=A","Dates=H","DateFormat=P","Fill=—","Direction=H","UseDPDF=Y")</f>
        <v>#NAME?</v>
      </c>
      <c r="BT618" s="2" t="e">
        <f ca="1">_xll.BDH($C$603,"TOTAL_DEBT_SEQUENTIAL_GROWTH","FY 2017","FY 2017","Currency=INR","Period=FY","BEST_FPERIOD_OVERRIDE=FY","FILING_STATUS=OR","EQY_CONSOLIDATED=Y","Sort=A","Dates=H","DateFormat=P","Fill=—","Direction=H","UseDPDF=Y")</f>
        <v>#NAME?</v>
      </c>
      <c r="BU618" s="2" t="e">
        <f ca="1">_xll.BDH($C$603,"TOTAL_EQUITY_SEQUENTIAL_GROWTH","FY 2017","FY 2017","Currency=INR","Period=FY","BEST_FPERIOD_OVERRIDE=FY","FILING_STATUS=OR","EQY_CONSOLIDATED=Y","Sort=A","Dates=H","DateFormat=P","Fill=—","Direction=H","UseDPDF=Y")</f>
        <v>#NAME?</v>
      </c>
      <c r="BV618" s="2" t="e">
        <f ca="1">_xll.BDH($C$603,"TOTAL_CAPITAL_SEQUENTIAL_GROWTH","FY 2017","FY 2017","Currency=INR","Period=FY","BEST_FPERIOD_OVERRIDE=FY","FILING_STATUS=OR","EQY_CONSOLIDATED=Y","Sort=A","Dates=H","DateFormat=P","Fill=—","Direction=H","UseDPDF=Y")</f>
        <v>#NAME?</v>
      </c>
      <c r="BW618" s="2" t="e">
        <f ca="1">_xll.BDH($C$603,"BPS_SEQUENTIAL_GROWTH","FY 2017","FY 2017","Currency=INR","Period=FY","BEST_FPERIOD_OVERRIDE=FY","FILING_STATUS=OR","EQY_CONSOLIDATED=Y","Sort=A","Dates=H","DateFormat=P","Fill=—","Direction=H","UseDPDF=Y")</f>
        <v>#NAME?</v>
      </c>
      <c r="BX618" s="2" t="e">
        <f ca="1">_xll.BDH($C$603,"CFO_SEQUENTIAL_GROWTH","FY 2017","FY 2017","Currency=INR","Period=FY","BEST_FPERIOD_OVERRIDE=FY","FILING_STATUS=OR","EQY_CONSOLIDATED=Y","Sort=A","Dates=H","DateFormat=P","Fill=—","Direction=H","UseDPDF=Y")</f>
        <v>#NAME?</v>
      </c>
      <c r="BY618" s="3" t="e">
        <f ca="1">_xll.BDH($C$603,"SHORT_AND_LONG_TERM_DEBT","FY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618" s="3" t="e">
        <f ca="1">_xll.BDH($C$603,"BS_ST_BORROW","FY 2017","FY 2017","Currency=INR","Period=FY","BEST_FPERIOD_OVERRIDE=FY","FILING_STATUS=OR","EQY_CONSOLIDATED=Y","SCALING_FORMAT=MLN","Sort=A","Dates=H","DateFormat=P","Fill=—","Direction=H","UseDPDF=Y")</f>
        <v>#NAME?</v>
      </c>
      <c r="CA618" s="3" t="e">
        <f ca="1">_xll.BDH($C$603,"BS_LT_BORROW","FY 2017","FY 2017","Currency=INR","Period=FY","BEST_FPERIOD_OVERRIDE=FY","FILING_STATUS=OR","EQY_CONSOLIDATED=Y","SCALING_FORMAT=MLN","Sort=A","Dates=H","DateFormat=P","Fill=—","Direction=H","UseDPDF=Y")</f>
        <v>#NAME?</v>
      </c>
      <c r="CB618" s="2" t="e">
        <f ca="1">_xll.BDH($C$603,"TOT_DEBT_TO_EBITDA","FY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618" s="2" t="e">
        <f ca="1">_xll.BDH($C$603,"NET_DEBT_TO_EBITDA","FY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618" s="2" t="e">
        <f ca="1">_xll.BDH($C$603,"TOTAL_DEBT_TO_EBIT","FY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618" s="2" t="e">
        <f ca="1">_xll.BDH($C$603,"NET_DEBT_TO_EBIT","FY 2017","FY 2017","Currency=INR","Period=FY","BEST_FPERIOD_OVERRIDE=FY","FILING_STATUS=OR","EQY_CONSOLIDATED=Y","FA_ADJUSTED=GAAP","Sort=A","Dates=H","DateFormat=P","Fill=—","Direction=H","UseDPDF=Y")</f>
        <v>#NAME?</v>
      </c>
      <c r="CF618" s="2" t="e">
        <f ca="1">_xll.BDH($C$603,"EBITDA_TO_INTEREST_EXPN","FY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618" s="2" t="e">
        <f ca="1">_xll.BDH($C$603,"COM_EQY_TO_TOT_ASSET","FY 2017","FY 2017","Currency=INR","Period=FY","BEST_FPERIOD_OVERRIDE=FY","FILING_STATUS=OR","EQY_CONSOLIDATED=Y","Sort=A","Dates=H","DateFormat=P","Fill=—","Direction=H","UseDPDF=Y")</f>
        <v>#NAME?</v>
      </c>
      <c r="CH618" s="2" t="e">
        <f ca="1">_xll.BDH($C$603,"LT_DEBT_TO_TOT_EQY","FY 2017","FY 2017","Currency=INR","Period=FY","BEST_FPERIOD_OVERRIDE=FY","FILING_STATUS=OR","EQY_CONSOLIDATED=Y","Sort=A","Dates=H","DateFormat=P","Fill=—","Direction=H","UseDPDF=Y")</f>
        <v>#NAME?</v>
      </c>
      <c r="CI618" s="2" t="e">
        <f ca="1">_xll.BDH($C$603,"LT_DEBT_TO_TOT_CAP","FY 2017","FY 2017","Currency=INR","Period=FY","BEST_FPERIOD_OVERRIDE=FY","FILING_STATUS=OR","EQY_CONSOLIDATED=Y","Sort=A","Dates=H","DateFormat=P","Fill=—","Direction=H","UseDPDF=Y")</f>
        <v>#NAME?</v>
      </c>
      <c r="CJ618" s="2" t="e">
        <f ca="1">_xll.BDH($C$603,"LT_DEBT_TO_TOT_ASSET","FY 2017","FY 2017","Currency=INR","Period=FY","BEST_FPERIOD_OVERRIDE=FY","FILING_STATUS=OR","EQY_CONSOLIDATED=Y","Sort=A","Dates=H","DateFormat=P","Fill=—","Direction=H","UseDPDF=Y")</f>
        <v>#NAME?</v>
      </c>
      <c r="CK618" s="2" t="e">
        <f ca="1">_xll.BDH($C$603,"TOT_DEBT_TO_TOT_EQY","FY 2017","FY 2017","Currency=INR","Period=FY","BEST_FPERIOD_OVERRIDE=FY","FILING_STATUS=OR","EQY_CONSOLIDATED=Y","Sort=A","Dates=H","DateFormat=P","Fill=—","Direction=H","UseDPDF=Y")</f>
        <v>#NAME?</v>
      </c>
      <c r="CL618" s="2" t="e">
        <f ca="1">_xll.BDH($C$603,"TOT_DEBT_TO_TOT_CAP","FY 2017","FY 2017","Currency=INR","Period=FY","BEST_FPERIOD_OVERRIDE=FY","FILING_STATUS=OR","EQY_CONSOLIDATED=Y","Sort=A","Dates=H","DateFormat=P","Fill=—","Direction=H","UseDPDF=Y")</f>
        <v>#NAME?</v>
      </c>
      <c r="CM618" s="2" t="e">
        <f ca="1">_xll.BDH($C$603,"TOT_DEBT_TO_TOT_ASSET","FY 2017","FY 2017","Currency=INR","Period=FY","BEST_FPERIOD_OVERRIDE=FY","FILING_STATUS=OR","EQY_CONSOLIDATED=Y","Sort=A","Dates=H","DateFormat=P","Fill=—","Direction=H","UseDPDF=Y")</f>
        <v>#NAME?</v>
      </c>
      <c r="CN618" s="2" t="e">
        <f ca="1">_xll.BDH($C$603,"NET_DEBT_TO_SHRHLDR_EQTY","FY 2017","FY 2017","Currency=INR","Period=FY","BEST_FPERIOD_OVERRIDE=FY","FILING_STATUS=OR","EQY_CONSOLIDATED=Y","Sort=A","Dates=H","DateFormat=P","Fill=—","Direction=H","UseDPDF=Y")</f>
        <v>#NAME?</v>
      </c>
      <c r="CO618" s="2" t="e">
        <f ca="1">_xll.BDH($C$603,"NET_DEBT_%_CAPITAL","FY 2017","FY 2017","Currency=INR","Period=FY","BEST_FPERIOD_OVERRIDE=FY","FILING_STATUS=OR","EQY_CONSOLIDATED=Y","Sort=A","Dates=H","DateFormat=P","Fill=—","Direction=H","UseDPDF=Y")</f>
        <v>#NAME?</v>
      </c>
      <c r="CP618" s="3" t="e">
        <f ca="1">_xll.BDH($C$603,"EBITDA","FY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618" s="3" t="e">
        <f ca="1">_xll.BDH($C$603,"EBITDA_AFTER_CAPEX","FY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618" s="3" t="e">
        <f ca="1">_xll.BDH($C$603,"IS_OPER_INC","FY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618" s="2" t="e">
        <f ca="1">_xll.BDH($C$603,"CASH_RATIO","FY 2017","FY 2017","Currency=INR","Period=FY","BEST_FPERIOD_OVERRIDE=FY","FILING_STATUS=OR","EQY_CONSOLIDATED=Y","Sort=A","Dates=H","DateFormat=P","Fill=—","Direction=H","UseDPDF=Y")</f>
        <v>#NAME?</v>
      </c>
      <c r="CT618" s="2" t="e">
        <f ca="1">_xll.BDH($C$603,"CUR_RATIO","FY 2017","FY 2017","Currency=INR","Period=FY","BEST_FPERIOD_OVERRIDE=FY","FILING_STATUS=OR","EQY_CONSOLIDATED=Y","Sort=A","Dates=H","DateFormat=P","Fill=—","Direction=H","UseDPDF=Y")</f>
        <v>#NAME?</v>
      </c>
      <c r="CU618" s="2" t="e">
        <f ca="1">_xll.BDH($C$603,"QUICK_RATIO","FY 2017","FY 2017","Currency=INR","Period=FY","BEST_FPERIOD_OVERRIDE=FY","FILING_STATUS=OR","EQY_CONSOLIDATED=Y","Sort=A","Dates=H","DateFormat=P","Fill=—","Direction=H","UseDPDF=Y")</f>
        <v>#NAME?</v>
      </c>
      <c r="CV618" s="2" t="e">
        <f ca="1">_xll.BDH($C$603,"ALTMAN_Z_SCORE","FY 2017","FY 2017","Currency=INR","Period=FY","BEST_FPERIOD_OVERRIDE=FY","FILING_STATUS=OR","EQY_CONSOLIDATED=Y","Sort=A","Dates=H","DateFormat=P","Fill=—","Direction=H","UseDPDF=Y")</f>
        <v>#NAME?</v>
      </c>
      <c r="CW618" s="4" t="e">
        <f ca="1">_xll.BDH($C$603,"ACCT_RCV_TURN","FY 2017","FY 2017","Currency=INR","Period=FY","BEST_FPERIOD_OVERRIDE=FY","FILING_STATUS=OR","EQY_CONSOLIDATED=Y","FA_ADJUSTED=GAAP","Sort=A","Dates=H","DateFormat=P","Fill=—","Direction=H","UseDPDF=Y")</f>
        <v>#NAME?</v>
      </c>
      <c r="CX618" s="2" t="e">
        <f ca="1">_xll.BDH($C$603,"ACCT_RCV_DAYS","FY 2017","FY 2017","Currency=INR","Period=FY","BEST_FPERIOD_OVERRIDE=FY","FILING_STATUS=OR","EQY_CONSOLIDATED=Y","FA_ADJUSTED=GAAP","Sort=A","Dates=H","DateFormat=P","Fill=—","Direction=H","UseDPDF=Y")</f>
        <v>#NAME?</v>
      </c>
      <c r="CY618" s="4" t="e">
        <f ca="1">_xll.BDH($C$603,"INVENT_TURN","FY 2017","FY 2017","Currency=INR","Period=FY","BEST_FPERIOD_OVERRIDE=FY","FILING_STATUS=OR","EQY_CONSOLIDATED=Y","FA_ADJUSTED=GAAP","Sort=A","Dates=H","DateFormat=P","Fill=—","Direction=H","UseDPDF=Y")</f>
        <v>#NAME?</v>
      </c>
      <c r="CZ618" s="2" t="e">
        <f ca="1">_xll.BDH($C$603,"INVENT_DAYS","FY 2017","FY 2017","Currency=INR","Period=FY","BEST_FPERIOD_OVERRIDE=FY","FILING_STATUS=OR","EQY_CONSOLIDATED=Y","FA_ADJUSTED=GAAP","Sort=A","Dates=H","DateFormat=P","Fill=—","Direction=H","UseDPDF=Y")</f>
        <v>#NAME?</v>
      </c>
      <c r="DA618" s="4" t="e">
        <f ca="1">_xll.BDH($C$603,"ACCOUNTS_PAYABLE_TURNOVER","FY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618" s="2" t="e">
        <f ca="1">_xll.BDH($C$603,"ACCOUNTS_PAYABLE_TURNOVER_DAYS","FY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618" s="4" t="e">
        <f ca="1">_xll.BDH($C$603,"CASH_CONVERSION_CYCLE","FY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618" s="4" t="e">
        <f ca="1">_xll.BDH($C$603,"INV_TO_CASH_DAYS","FY 2017","FY 2017","Currency=INR","Period=FY","BEST_FPERIOD_OVERRIDE=FY","FILING_STATUS=OR","EQY_CONSOLIDATED=Y","FA_ADJUSTED=GAAP","Sort=A","Dates=H","DateFormat=P","Fill=—","Direction=H","UseDPDF=Y")</f>
        <v>#NAME?</v>
      </c>
      <c r="DE618" s="5" t="e">
        <f ca="1">_xll.BDH($C$603,"BS_INVENTORIES","FY 2017","FY 2017","Currency=INR","Period=FY","BEST_FPERIOD_OVERRIDE=FY","FILING_STATUS=OR","EQY_CONSOLIDATED=Y","SCALING_FORMAT=MLN","Sort=A","Dates=H","DateFormat=P","Fill=—","Direction=H","UseDPDF=Y")</f>
        <v>#NAME?</v>
      </c>
      <c r="DF618" s="3" t="e">
        <f ca="1">_xll.BDH($C$603,"INVTRY_RAW_MATERIALS","FY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618" s="3" t="e">
        <f ca="1">_xll.BDH($C$603,"INVTRY_IN_PROGRESS","FY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618" s="3" t="e">
        <f ca="1">_xll.BDH($C$603,"INVTRY_FINISHED_GOODS","FY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618" s="3" t="e">
        <f ca="1">_xll.BDH($C$603,"BS_OTHER_INV","FY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619" spans="1:113" x14ac:dyDescent="0.3">
      <c r="A619" s="6"/>
      <c r="B619" s="6"/>
      <c r="C619" s="6"/>
      <c r="D619" s="6"/>
      <c r="E619" t="s">
        <v>78</v>
      </c>
      <c r="F619" t="e">
        <f ca="1">_xll.BDH($C$603,"RETURN_COM_EQY","FQ1 2017","FQ1 2017","Currency=INR","Period=FQ","BEST_FPERIOD_OVERRIDE=FQ","FILING_STATUS=OR","EQY_CONSOLIDATED=Y","FA_ADJUSTED=GAAP","Sort=A","Dates=H","DateFormat=P","Fill=—","Direction=H","UseDPDF=Y")</f>
        <v>#NAME?</v>
      </c>
      <c r="G619" t="e">
        <f ca="1">_xll.BDH($C$603,"RETURN_ON_ASSET","FQ1 2017","FQ1 2017","Currency=INR","Period=FQ","BEST_FPERIOD_OVERRIDE=FQ","FILING_STATUS=OR","EQY_CONSOLIDATED=Y","FA_ADJUSTED=GAAP","Sort=A","Dates=H","DateFormat=P","Fill=—","Direction=H","UseDPDF=Y")</f>
        <v>#NAME?</v>
      </c>
      <c r="H619" t="e">
        <f ca="1">_xll.BDH($C$603,"RETURN_ON_CAP","FQ1 2017","FQ1 2017","Currency=INR","Period=FQ","BEST_FPERIOD_OVERRIDE=FQ","FILING_STATUS=OR","EQY_CONSOLIDATED=Y","FA_ADJUSTED=GAAP","Sort=A","Dates=H","DateFormat=P","Fill=—","Direction=H","UseDPDF=Y")</f>
        <v>#NAME?</v>
      </c>
      <c r="I619" t="e">
        <f ca="1">_xll.BDH($C$603,"RETURN_ON_INV_CAPITAL","FQ1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619" t="e">
        <f ca="1">_xll.BDH($C$603,"EBITDA_TO_REVENUE","FQ1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619" t="e">
        <f ca="1">_xll.BDH($C$603,"OPER_MARGIN","FQ1 2017","FQ1 2017","Currency=INR","Period=FQ","BEST_FPERIOD_OVERRIDE=FQ","FILING_STATUS=OR","EQY_CONSOLIDATED=Y","FA_ADJUSTED=GAAP","Sort=A","Dates=H","DateFormat=P","Fill=—","Direction=H","UseDPDF=Y")</f>
        <v>#NAME?</v>
      </c>
      <c r="L619" t="e">
        <f ca="1">_xll.BDH($C$603,"INCREMENTAL_OPERATING_MARGIN","FQ1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619" t="e">
        <f ca="1">_xll.BDH($C$603,"PRETAX_INC_TO_NET_SALES","FQ1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619" t="e">
        <f ca="1">_xll.BDH($C$603,"INC_BEF_XO_ITEMS_TO_NET_SALES","FQ1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619" t="e">
        <f ca="1">_xll.BDH($C$603,"PROF_MARGIN","FQ1 2017","FQ1 2017","Currency=INR","Period=FQ","BEST_FPERIOD_OVERRIDE=FQ","FILING_STATUS=OR","EQY_CONSOLIDATED=Y","FA_ADJUSTED=GAAP","Sort=A","Dates=H","DateFormat=P","Fill=—","Direction=H","UseDPDF=Y")</f>
        <v>#NAME?</v>
      </c>
      <c r="P619" t="e">
        <f ca="1">_xll.BDH($C$603,"NET_INCOME_TO_COMMON_MARGIN","FQ1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619" t="e">
        <f ca="1">_xll.BDH($C$603,"EFF_TAX_RATE","FQ1 2017","FQ1 2017","Currency=INR","Period=FQ","BEST_FPERIOD_OVERRIDE=FQ","FILING_STATUS=OR","EQY_CONSOLIDATED=Y","FA_ADJUSTED=GAAP","Sort=A","Dates=H","DateFormat=P","Fill=—","Direction=H","UseDPDF=Y")</f>
        <v>#NAME?</v>
      </c>
      <c r="R619" t="e">
        <f ca="1">_xll.BDH($C$603,"DVD_PAYOUT_RATIO","FQ1 2017","FQ1 2017","Currency=INR","Period=FQ","BEST_FPERIOD_OVERRIDE=FQ","FILING_STATUS=OR","EQY_CONSOLIDATED=Y","FA_ADJUSTED=GAAP","Sort=A","Dates=H","DateFormat=P","Fill=—","Direction=H","UseDPDF=Y")</f>
        <v>#NAME?</v>
      </c>
      <c r="S619" t="e">
        <f ca="1">_xll.BDH($C$603,"SUSTAIN_GROWTH_RT","FQ1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619" s="2" t="e">
        <f ca="1">_xll.BDH($C$603,"SALES_GROWTH","FQ1 2017","FQ1 2017","Currency=INR","Period=FQ","BEST_FPERIOD_OVERRIDE=FQ","FILING_STATUS=OR","EQY_CONSOLIDATED=Y","FA_ADJUSTED=GAAP","Sort=A","Dates=H","DateFormat=P","Fill=—","Direction=H","UseDPDF=Y")</f>
        <v>#NAME?</v>
      </c>
      <c r="U619" s="2" t="e">
        <f ca="1">_xll.BDH($C$603,"EBITDA_GROWTH","FQ1 2017","FQ1 2017","Currency=INR","Period=FQ","BEST_FPERIOD_OVERRIDE=FQ","FILING_STATUS=OR","EQY_CONSOLIDATED=Y","FA_ADJUSTED=GAAP","Sort=A","Dates=H","DateFormat=P","Fill=—","Direction=H","UseDPDF=Y")</f>
        <v>#NAME?</v>
      </c>
      <c r="V619" s="2" t="e">
        <f ca="1">_xll.BDH($C$603,"OPER_INC_GROWTH","FQ1 2017","FQ1 2017","Currency=INR","Period=FQ","BEST_FPERIOD_OVERRIDE=FQ","FILING_STATUS=OR","EQY_CONSOLIDATED=Y","FA_ADJUSTED=GAAP","Sort=A","Dates=H","DateFormat=P","Fill=—","Direction=H","UseDPDF=Y")</f>
        <v>#NAME?</v>
      </c>
      <c r="W619" s="2" t="e">
        <f ca="1">_xll.BDH($C$603,"EARN_FOR_COM_GROWTH","FQ1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619" s="2" t="e">
        <f ca="1">_xll.BDH($C$603,"DILUTED_EPS_AFT_XO_ITEMS_GROWTH","FQ1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619" s="2" t="e">
        <f ca="1">_xll.BDH($C$603,"DIVIDEND_PER_SHARE_1_YEAR_GROWTH","FQ1 2017","FQ1 2017","Currency=INR","Period=FQ","BEST_FPERIOD_OVERRIDE=FQ","FILING_STATUS=OR","EQY_CONSOLIDATED=Y","Sort=A","Dates=H","DateFormat=P","Fill=—","Direction=H","UseDPDF=Y")</f>
        <v>#NAME?</v>
      </c>
      <c r="Z619" s="2" t="e">
        <f ca="1">_xll.BDH($C$603,"ACCOUNTS_RECEIVABLE_GROWTH","FQ1 2017","FQ1 2017","Currency=INR","Period=FQ","BEST_FPERIOD_OVERRIDE=FQ","FILING_STATUS=OR","EQY_CONSOLIDATED=Y","Sort=A","Dates=H","DateFormat=P","Fill=—","Direction=H","UseDPDF=Y")</f>
        <v>#NAME?</v>
      </c>
      <c r="AA619" s="2" t="e">
        <f ca="1">_xll.BDH($C$603,"INVENTORY_GROWTH","FQ1 2017","FQ1 2017","Currency=INR","Period=FQ","BEST_FPERIOD_OVERRIDE=FQ","FILING_STATUS=OR","EQY_CONSOLIDATED=Y","Sort=A","Dates=H","DateFormat=P","Fill=—","Direction=H","UseDPDF=Y")</f>
        <v>#NAME?</v>
      </c>
      <c r="AB619" s="2" t="e">
        <f ca="1">_xll.BDH($C$603,"NET_FIXED_ASSETS_1_YEAR_GROWTH","FQ1 2017","FQ1 2017","Currency=INR","Period=FQ","BEST_FPERIOD_OVERRIDE=FQ","FILING_STATUS=OR","EQY_CONSOLIDATED=Y","Sort=A","Dates=H","DateFormat=P","Fill=—","Direction=H","UseDPDF=Y")</f>
        <v>#NAME?</v>
      </c>
      <c r="AC619" s="2" t="e">
        <f ca="1">_xll.BDH($C$603,"ASSET_GROWTH","FQ1 2017","FQ1 2017","Currency=INR","Period=FQ","BEST_FPERIOD_OVERRIDE=FQ","FILING_STATUS=OR","EQY_CONSOLIDATED=Y","Sort=A","Dates=H","DateFormat=P","Fill=—","Direction=H","UseDPDF=Y")</f>
        <v>#NAME?</v>
      </c>
      <c r="AD619" s="2" t="e">
        <f ca="1">_xll.BDH($C$603,"MODIFIED_WORK_CAP_GROWTH","FQ1 2017","FQ1 2017","Currency=INR","Period=FQ","BEST_FPERIOD_OVERRIDE=FQ","FILING_STATUS=OR","EQY_CONSOLIDATED=Y","Sort=A","Dates=H","DateFormat=P","Fill=—","Direction=H","UseDPDF=Y")</f>
        <v>#NAME?</v>
      </c>
      <c r="AE619" s="2" t="e">
        <f ca="1">_xll.BDH($C$603,"WORK_CAP_GROWTH","FQ1 2017","FQ1 2017","Currency=INR","Period=FQ","BEST_FPERIOD_OVERRIDE=FQ","FILING_STATUS=OR","EQY_CONSOLIDATED=Y","Sort=A","Dates=H","DateFormat=P","Fill=—","Direction=H","UseDPDF=Y")</f>
        <v>#NAME?</v>
      </c>
      <c r="AF619" s="2" t="e">
        <f ca="1">_xll.BDH($C$603,"ACCOUNTS_PAYABLE_GROWTH_1YR","FQ1 2017","FQ1 2017","Currency=INR","Period=FQ","BEST_FPERIOD_OVERRIDE=FQ","FILING_STATUS=OR","EQY_CONSOLIDATED=Y","Sort=A","Dates=H","DateFormat=P","Fill=—","Direction=H","UseDPDF=Y")</f>
        <v>#NAME?</v>
      </c>
      <c r="AG619" s="2" t="e">
        <f ca="1">_xll.BDH($C$603,"SHORT_TERM_DEBT_1_YEAR_GROWTH","FQ1 2017","FQ1 2017","Currency=INR","Period=FQ","BEST_FPERIOD_OVERRIDE=FQ","FILING_STATUS=OR","EQY_CONSOLIDATED=Y","Sort=A","Dates=H","DateFormat=P","Fill=—","Direction=H","UseDPDF=Y")</f>
        <v>#NAME?</v>
      </c>
      <c r="AH619" s="2" t="e">
        <f ca="1">_xll.BDH($C$603,"TOTAL_DEBT_1_YEAR_GROWTH","FQ1 2017","FQ1 2017","Currency=INR","Period=FQ","BEST_FPERIOD_OVERRIDE=FQ","FILING_STATUS=OR","EQY_CONSOLIDATED=Y","Sort=A","Dates=H","DateFormat=P","Fill=—","Direction=H","UseDPDF=Y")</f>
        <v>#NAME?</v>
      </c>
      <c r="AI619" s="2" t="e">
        <f ca="1">_xll.BDH($C$603,"TOTAL_EQUITY_1_YEAR_GROWTH","FQ1 2017","FQ1 2017","Currency=INR","Period=FQ","BEST_FPERIOD_OVERRIDE=FQ","FILING_STATUS=OR","EQY_CONSOLIDATED=Y","Sort=A","Dates=H","DateFormat=P","Fill=—","Direction=H","UseDPDF=Y")</f>
        <v>#NAME?</v>
      </c>
      <c r="AJ619" s="2" t="e">
        <f ca="1">_xll.BDH($C$603,"GROWTH_IN_CAP","FQ1 2017","FQ1 2017","Currency=INR","Period=FQ","BEST_FPERIOD_OVERRIDE=FQ","FILING_STATUS=OR","EQY_CONSOLIDATED=Y","Sort=A","Dates=H","DateFormat=P","Fill=—","Direction=H","UseDPDF=Y")</f>
        <v>#NAME?</v>
      </c>
      <c r="AK619" s="2" t="e">
        <f ca="1">_xll.BDH($C$603,"BVPS_GROWTH","FQ1 2017","FQ1 2017","Currency=INR","Period=FQ","BEST_FPERIOD_OVERRIDE=FQ","FILING_STATUS=OR","EQY_CONSOLIDATED=Y","Sort=A","Dates=H","DateFormat=P","Fill=—","Direction=H","UseDPDF=Y")</f>
        <v>#NAME?</v>
      </c>
      <c r="AL619" s="2" t="e">
        <f ca="1">_xll.BDH($C$603,"CASH_FLOW_GROWTH","FQ1 2017","FQ1 2017","Currency=INR","Period=FQ","BEST_FPERIOD_OVERRIDE=FQ","FILING_STATUS=OR","EQY_CONSOLIDATED=Y","Sort=A","Dates=H","DateFormat=P","Fill=—","Direction=H","UseDPDF=Y")</f>
        <v>#NAME?</v>
      </c>
      <c r="AM619" s="2" t="e">
        <f ca="1">_xll.BDH($C$603,"GEO_GROW_NET_SALES","FQ1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619" s="2" t="e">
        <f ca="1">_xll.BDH($C$603,"GEO_GROW_EBITDA","FQ1 2017","FQ1 2017","Currency=INR","Period=FQ","BEST_FPERIOD_OVERRIDE=FQ","FILING_STATUS=OR","EQY_CONSOLIDATED=Y","FA_ADJUSTED=GAAP","Sort=A","Dates=H","DateFormat=P","Fill=—","Direction=H","UseDPDF=Y")</f>
        <v>#NAME?</v>
      </c>
      <c r="AO619" s="2" t="e">
        <f ca="1">_xll.BDH($C$603,"GEO_GROW_OPER_INC","FQ1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619" s="2" t="e">
        <f ca="1">_xll.BDH($C$603,"NET_INCOME_TO_COMMON_5_YR_GROWTH","FQ1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619" s="2" t="e">
        <f ca="1">_xll.BDH($C$603,"5Y_GEO_GROWTH_DILUTED_EPS","FQ1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619" s="2" t="e">
        <f ca="1">_xll.BDH($C$603,"GEO_GROW_DVD_PER_SH","FQ1 2017","FQ1 2017","Currency=INR","Period=FQ","BEST_FPERIOD_OVERRIDE=FQ","FILING_STATUS=OR","EQY_CONSOLIDATED=Y","Sort=A","Dates=H","DateFormat=P","Fill=—","Direction=H","UseDPDF=Y")</f>
        <v>#NAME?</v>
      </c>
      <c r="AS619" s="2" t="e">
        <f ca="1">_xll.BDH($C$603,"ACCOUNTS_RECEIVABLE_5_YR_GROWTH","FQ1 2017","FQ1 2017","Currency=INR","Period=FQ","BEST_FPERIOD_OVERRIDE=FQ","FILING_STATUS=OR","EQY_CONSOLIDATED=Y","Sort=A","Dates=H","DateFormat=P","Fill=—","Direction=H","UseDPDF=Y")</f>
        <v>#NAME?</v>
      </c>
      <c r="AT619" s="2" t="e">
        <f ca="1">_xll.BDH($C$603,"INVENTORY_5_YEAR_GROWTH","FQ1 2017","FQ1 2017","Currency=INR","Period=FQ","BEST_FPERIOD_OVERRIDE=FQ","FILING_STATUS=OR","EQY_CONSOLIDATED=Y","Sort=A","Dates=H","DateFormat=P","Fill=—","Direction=H","UseDPDF=Y")</f>
        <v>#NAME?</v>
      </c>
      <c r="AU619" s="2" t="e">
        <f ca="1">_xll.BDH($C$603,"NET_FIXED_ASSETS_5_YEAR_GROWTH","FQ1 2017","FQ1 2017","Currency=INR","Period=FQ","BEST_FPERIOD_OVERRIDE=FQ","FILING_STATUS=OR","EQY_CONSOLIDATED=Y","Sort=A","Dates=H","DateFormat=P","Fill=—","Direction=H","UseDPDF=Y")</f>
        <v>#NAME?</v>
      </c>
      <c r="AV619" s="2" t="e">
        <f ca="1">_xll.BDH($C$603,"GEO_GROW_TOT_ASSET","FQ1 2017","FQ1 2017","Currency=INR","Period=FQ","BEST_FPERIOD_OVERRIDE=FQ","FILING_STATUS=OR","EQY_CONSOLIDATED=Y","Sort=A","Dates=H","DateFormat=P","Fill=—","Direction=H","UseDPDF=Y")</f>
        <v>#NAME?</v>
      </c>
      <c r="AW619" s="2" t="e">
        <f ca="1">_xll.BDH($C$603,"MODIFIED_WORKING_CPTL_5YR_GRWTH","FQ1 2017","FQ1 2017","Currency=INR","Period=FQ","BEST_FPERIOD_OVERRIDE=FQ","FILING_STATUS=OR","EQY_CONSOLIDATED=Y","Sort=A","Dates=H","DateFormat=P","Fill=—","Direction=H","UseDPDF=Y")</f>
        <v>#NAME?</v>
      </c>
      <c r="AX619" s="2" t="e">
        <f ca="1">_xll.BDH($C$603,"WORKING_CAPITAL_5_YEAR_GROWTH","FQ1 2017","FQ1 2017","Currency=INR","Period=FQ","BEST_FPERIOD_OVERRIDE=FQ","FILING_STATUS=OR","EQY_CONSOLIDATED=Y","Sort=A","Dates=H","DateFormat=P","Fill=—","Direction=H","UseDPDF=Y")</f>
        <v>#NAME?</v>
      </c>
      <c r="AY619" s="2" t="e">
        <f ca="1">_xll.BDH($C$603,"ACCOUNTS_PAYABLE_5_YEAR_GROWTH","FQ1 2017","FQ1 2017","Currency=INR","Period=FQ","BEST_FPERIOD_OVERRIDE=FQ","FILING_STATUS=OR","EQY_CONSOLIDATED=Y","Sort=A","Dates=H","DateFormat=P","Fill=—","Direction=H","UseDPDF=Y")</f>
        <v>#NAME?</v>
      </c>
      <c r="AZ619" s="2" t="e">
        <f ca="1">_xll.BDH($C$603,"SHORT_TERM_DEBT_5_YEAR_GROWTH","FQ1 2017","FQ1 2017","Currency=INR","Period=FQ","BEST_FPERIOD_OVERRIDE=FQ","FILING_STATUS=OR","EQY_CONSOLIDATED=Y","Sort=A","Dates=H","DateFormat=P","Fill=—","Direction=H","UseDPDF=Y")</f>
        <v>#NAME?</v>
      </c>
      <c r="BA619" s="2" t="e">
        <f ca="1">_xll.BDH($C$603,"TOTAL_DEBT_5_YEAR_GROWTH","FQ1 2017","FQ1 2017","Currency=INR","Period=FQ","BEST_FPERIOD_OVERRIDE=FQ","FILING_STATUS=OR","EQY_CONSOLIDATED=Y","Sort=A","Dates=H","DateFormat=P","Fill=—","Direction=H","UseDPDF=Y")</f>
        <v>#NAME?</v>
      </c>
      <c r="BB619" s="2" t="e">
        <f ca="1">_xll.BDH($C$603,"GEO_GROW_TOT_SHRHLDR_EQY","FQ1 2017","FQ1 2017","Currency=INR","Period=FQ","BEST_FPERIOD_OVERRIDE=FQ","FILING_STATUS=OR","EQY_CONSOLIDATED=Y","Sort=A","Dates=H","DateFormat=P","Fill=—","Direction=H","UseDPDF=Y")</f>
        <v>#NAME?</v>
      </c>
      <c r="BC619" s="2" t="e">
        <f ca="1">_xll.BDH($C$603,"TOTAL_CAPITAL_5_YEAR_GROWTH","FQ1 2017","FQ1 2017","Currency=INR","Period=FQ","BEST_FPERIOD_OVERRIDE=FQ","FILING_STATUS=OR","EQY_CONSOLIDATED=Y","Sort=A","Dates=H","DateFormat=P","Fill=—","Direction=H","UseDPDF=Y")</f>
        <v>#NAME?</v>
      </c>
      <c r="BD619" s="2" t="e">
        <f ca="1">_xll.BDH($C$603,"GEO_GROW_BOOK_VAL","FQ1 2017","FQ1 2017","Currency=INR","Period=FQ","BEST_FPERIOD_OVERRIDE=FQ","FILING_STATUS=OR","EQY_CONSOLIDATED=Y","Sort=A","Dates=H","DateFormat=P","Fill=—","Direction=H","UseDPDF=Y")</f>
        <v>#NAME?</v>
      </c>
      <c r="BE619" s="2" t="e">
        <f ca="1">_xll.BDH($C$603,"GEO_GROW_CASH_OPER_ACT","FQ1 2017","FQ1 2017","Currency=INR","Period=FQ","BEST_FPERIOD_OVERRIDE=FQ","FILING_STATUS=OR","EQY_CONSOLIDATED=Y","Sort=A","Dates=H","DateFormat=P","Fill=—","Direction=H","UseDPDF=Y")</f>
        <v>#NAME?</v>
      </c>
      <c r="BF619" s="2" t="e">
        <f ca="1">_xll.BDH($C$603,"REVENUE_SEQUENTIAL_GROWTH","FQ1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619" s="2" t="e">
        <f ca="1">_xll.BDH($C$603,"EBITDA_SEQUENTIAL_GROWTH","FQ1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619" s="2" t="e">
        <f ca="1">_xll.BDH($C$603,"OPERATING_INCOME_SEQ_GROWTH","FQ1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619" s="2" t="e">
        <f ca="1">_xll.BDH($C$603,"NET_INCOME_TO_COMMON_SEQ_GROWTH","FQ1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619" s="2" t="e">
        <f ca="1">_xll.BDH($C$603,"EPS_DILUTED_SEQUENTIAL_GROWTH","FQ1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619" s="2" t="e">
        <f ca="1">_xll.BDH($C$603,"DPS_SEQUENTIAL_GROWTH","FQ1 2017","FQ1 2017","Currency=INR","Period=FQ","BEST_FPERIOD_OVERRIDE=FQ","FILING_STATUS=OR","EQY_CONSOLIDATED=Y","Sort=A","Dates=H","DateFormat=P","Fill=—","Direction=H","UseDPDF=Y")</f>
        <v>#NAME?</v>
      </c>
      <c r="BL619" s="2" t="e">
        <f ca="1">_xll.BDH($C$603,"ACCOUNTS_RECEIVABLE_SEQ_GROWTH","FQ1 2017","FQ1 2017","Currency=INR","Period=FQ","BEST_FPERIOD_OVERRIDE=FQ","FILING_STATUS=OR","EQY_CONSOLIDATED=Y","Sort=A","Dates=H","DateFormat=P","Fill=—","Direction=H","UseDPDF=Y")</f>
        <v>#NAME?</v>
      </c>
      <c r="BM619" s="2" t="e">
        <f ca="1">_xll.BDH($C$603,"INVENTORY_SEQUENTIAL_GROWTH","FQ1 2017","FQ1 2017","Currency=INR","Period=FQ","BEST_FPERIOD_OVERRIDE=FQ","FILING_STATUS=OR","EQY_CONSOLIDATED=Y","Sort=A","Dates=H","DateFormat=P","Fill=—","Direction=H","UseDPDF=Y")</f>
        <v>#NAME?</v>
      </c>
      <c r="BN619" s="2" t="e">
        <f ca="1">_xll.BDH($C$603,"FIXED_ASSETS_SEQUENTIAL_GROWTH","FQ1 2017","FQ1 2017","Currency=INR","Period=FQ","BEST_FPERIOD_OVERRIDE=FQ","FILING_STATUS=OR","EQY_CONSOLIDATED=Y","Sort=A","Dates=H","DateFormat=P","Fill=—","Direction=H","UseDPDF=Y")</f>
        <v>#NAME?</v>
      </c>
      <c r="BO619" s="2" t="e">
        <f ca="1">_xll.BDH($C$603,"TOTAL_ASSETS_SEQUENTIAL_GROWTH","FQ1 2017","FQ1 2017","Currency=INR","Period=FQ","BEST_FPERIOD_OVERRIDE=FQ","FILING_STATUS=OR","EQY_CONSOLIDATED=Y","Sort=A","Dates=H","DateFormat=P","Fill=—","Direction=H","UseDPDF=Y")</f>
        <v>#NAME?</v>
      </c>
      <c r="BP619" s="2" t="e">
        <f ca="1">_xll.BDH($C$603,"MODIFIED_WORKING_CPTL_SEQ_GRWTH","FQ1 2017","FQ1 2017","Currency=INR","Period=FQ","BEST_FPERIOD_OVERRIDE=FQ","FILING_STATUS=OR","EQY_CONSOLIDATED=Y","Sort=A","Dates=H","DateFormat=P","Fill=—","Direction=H","UseDPDF=Y")</f>
        <v>#NAME?</v>
      </c>
      <c r="BQ619" s="2" t="e">
        <f ca="1">_xll.BDH($C$603,"WORKING_CAPITAL_SEQ_GROWTH","FQ1 2017","FQ1 2017","Currency=INR","Period=FQ","BEST_FPERIOD_OVERRIDE=FQ","FILING_STATUS=OR","EQY_CONSOLIDATED=Y","Sort=A","Dates=H","DateFormat=P","Fill=—","Direction=H","UseDPDF=Y")</f>
        <v>#NAME?</v>
      </c>
      <c r="BR619" s="2" t="e">
        <f ca="1">_xll.BDH($C$603,"ACCOUNTS_PAYABLE_SEQ_GROWTH","FQ1 2017","FQ1 2017","Currency=INR","Period=FQ","BEST_FPERIOD_OVERRIDE=FQ","FILING_STATUS=OR","EQY_CONSOLIDATED=Y","Sort=A","Dates=H","DateFormat=P","Fill=—","Direction=H","UseDPDF=Y")</f>
        <v>#NAME?</v>
      </c>
      <c r="BS619" s="2" t="e">
        <f ca="1">_xll.BDH($C$603,"ST_DEBT_SEQUENTIAL_GROWTH","FQ1 2017","FQ1 2017","Currency=INR","Period=FQ","BEST_FPERIOD_OVERRIDE=FQ","FILING_STATUS=OR","EQY_CONSOLIDATED=Y","Sort=A","Dates=H","DateFormat=P","Fill=—","Direction=H","UseDPDF=Y")</f>
        <v>#NAME?</v>
      </c>
      <c r="BT619" s="2" t="e">
        <f ca="1">_xll.BDH($C$603,"TOTAL_DEBT_SEQUENTIAL_GROWTH","FQ1 2017","FQ1 2017","Currency=INR","Period=FQ","BEST_FPERIOD_OVERRIDE=FQ","FILING_STATUS=OR","EQY_CONSOLIDATED=Y","Sort=A","Dates=H","DateFormat=P","Fill=—","Direction=H","UseDPDF=Y")</f>
        <v>#NAME?</v>
      </c>
      <c r="BU619" s="2" t="e">
        <f ca="1">_xll.BDH($C$603,"TOTAL_EQUITY_SEQUENTIAL_GROWTH","FQ1 2017","FQ1 2017","Currency=INR","Period=FQ","BEST_FPERIOD_OVERRIDE=FQ","FILING_STATUS=OR","EQY_CONSOLIDATED=Y","Sort=A","Dates=H","DateFormat=P","Fill=—","Direction=H","UseDPDF=Y")</f>
        <v>#NAME?</v>
      </c>
      <c r="BV619" s="2" t="e">
        <f ca="1">_xll.BDH($C$603,"TOTAL_CAPITAL_SEQUENTIAL_GROWTH","FQ1 2017","FQ1 2017","Currency=INR","Period=FQ","BEST_FPERIOD_OVERRIDE=FQ","FILING_STATUS=OR","EQY_CONSOLIDATED=Y","Sort=A","Dates=H","DateFormat=P","Fill=—","Direction=H","UseDPDF=Y")</f>
        <v>#NAME?</v>
      </c>
      <c r="BW619" s="2" t="e">
        <f ca="1">_xll.BDH($C$603,"BPS_SEQUENTIAL_GROWTH","FQ1 2017","FQ1 2017","Currency=INR","Period=FQ","BEST_FPERIOD_OVERRIDE=FQ","FILING_STATUS=OR","EQY_CONSOLIDATED=Y","Sort=A","Dates=H","DateFormat=P","Fill=—","Direction=H","UseDPDF=Y")</f>
        <v>#NAME?</v>
      </c>
      <c r="BX619" s="2" t="e">
        <f ca="1">_xll.BDH($C$603,"CFO_SEQUENTIAL_GROWTH","FQ1 2017","FQ1 2017","Currency=INR","Period=FQ","BEST_FPERIOD_OVERRIDE=FQ","FILING_STATUS=OR","EQY_CONSOLIDATED=Y","Sort=A","Dates=H","DateFormat=P","Fill=—","Direction=H","UseDPDF=Y")</f>
        <v>#NAME?</v>
      </c>
      <c r="BY619" s="3" t="e">
        <f ca="1">_xll.BDH($C$603,"SHORT_AND_LONG_TERM_DEBT","FQ1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619" s="3" t="e">
        <f ca="1">_xll.BDH($C$603,"BS_ST_BORROW","FQ1 2017","FQ1 2017","Currency=INR","Period=FQ","BEST_FPERIOD_OVERRIDE=FQ","FILING_STATUS=OR","EQY_CONSOLIDATED=Y","SCALING_FORMAT=MLN","Sort=A","Dates=H","DateFormat=P","Fill=—","Direction=H","UseDPDF=Y")</f>
        <v>#NAME?</v>
      </c>
      <c r="CA619" s="3" t="e">
        <f ca="1">_xll.BDH($C$603,"BS_LT_BORROW","FQ1 2017","FQ1 2017","Currency=INR","Period=FQ","BEST_FPERIOD_OVERRIDE=FQ","FILING_STATUS=OR","EQY_CONSOLIDATED=Y","SCALING_FORMAT=MLN","Sort=A","Dates=H","DateFormat=P","Fill=—","Direction=H","UseDPDF=Y")</f>
        <v>#NAME?</v>
      </c>
      <c r="CB619" s="2" t="e">
        <f ca="1">_xll.BDH($C$603,"TOT_DEBT_TO_EBITDA","FQ1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619" s="2" t="e">
        <f ca="1">_xll.BDH($C$603,"NET_DEBT_TO_EBITDA","FQ1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619" s="2" t="e">
        <f ca="1">_xll.BDH($C$603,"TOTAL_DEBT_TO_EBIT","FQ1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619" s="2" t="e">
        <f ca="1">_xll.BDH($C$603,"NET_DEBT_TO_EBIT","FQ1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619" s="2" t="e">
        <f ca="1">_xll.BDH($C$603,"EBITDA_TO_INTEREST_EXPN","FQ1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619" s="2" t="e">
        <f ca="1">_xll.BDH($C$603,"COM_EQY_TO_TOT_ASSET","FQ1 2017","FQ1 2017","Currency=INR","Period=FQ","BEST_FPERIOD_OVERRIDE=FQ","FILING_STATUS=OR","EQY_CONSOLIDATED=Y","Sort=A","Dates=H","DateFormat=P","Fill=—","Direction=H","UseDPDF=Y")</f>
        <v>#NAME?</v>
      </c>
      <c r="CH619" s="2" t="e">
        <f ca="1">_xll.BDH($C$603,"LT_DEBT_TO_TOT_EQY","FQ1 2017","FQ1 2017","Currency=INR","Period=FQ","BEST_FPERIOD_OVERRIDE=FQ","FILING_STATUS=OR","EQY_CONSOLIDATED=Y","Sort=A","Dates=H","DateFormat=P","Fill=—","Direction=H","UseDPDF=Y")</f>
        <v>#NAME?</v>
      </c>
      <c r="CI619" s="2" t="e">
        <f ca="1">_xll.BDH($C$603,"LT_DEBT_TO_TOT_CAP","FQ1 2017","FQ1 2017","Currency=INR","Period=FQ","BEST_FPERIOD_OVERRIDE=FQ","FILING_STATUS=OR","EQY_CONSOLIDATED=Y","Sort=A","Dates=H","DateFormat=P","Fill=—","Direction=H","UseDPDF=Y")</f>
        <v>#NAME?</v>
      </c>
      <c r="CJ619" s="2" t="e">
        <f ca="1">_xll.BDH($C$603,"LT_DEBT_TO_TOT_ASSET","FQ1 2017","FQ1 2017","Currency=INR","Period=FQ","BEST_FPERIOD_OVERRIDE=FQ","FILING_STATUS=OR","EQY_CONSOLIDATED=Y","Sort=A","Dates=H","DateFormat=P","Fill=—","Direction=H","UseDPDF=Y")</f>
        <v>#NAME?</v>
      </c>
      <c r="CK619" s="2" t="e">
        <f ca="1">_xll.BDH($C$603,"TOT_DEBT_TO_TOT_EQY","FQ1 2017","FQ1 2017","Currency=INR","Period=FQ","BEST_FPERIOD_OVERRIDE=FQ","FILING_STATUS=OR","EQY_CONSOLIDATED=Y","Sort=A","Dates=H","DateFormat=P","Fill=—","Direction=H","UseDPDF=Y")</f>
        <v>#NAME?</v>
      </c>
      <c r="CL619" s="2" t="e">
        <f ca="1">_xll.BDH($C$603,"TOT_DEBT_TO_TOT_CAP","FQ1 2017","FQ1 2017","Currency=INR","Period=FQ","BEST_FPERIOD_OVERRIDE=FQ","FILING_STATUS=OR","EQY_CONSOLIDATED=Y","Sort=A","Dates=H","DateFormat=P","Fill=—","Direction=H","UseDPDF=Y")</f>
        <v>#NAME?</v>
      </c>
      <c r="CM619" s="2" t="e">
        <f ca="1">_xll.BDH($C$603,"TOT_DEBT_TO_TOT_ASSET","FQ1 2017","FQ1 2017","Currency=INR","Period=FQ","BEST_FPERIOD_OVERRIDE=FQ","FILING_STATUS=OR","EQY_CONSOLIDATED=Y","Sort=A","Dates=H","DateFormat=P","Fill=—","Direction=H","UseDPDF=Y")</f>
        <v>#NAME?</v>
      </c>
      <c r="CN619" s="2" t="e">
        <f ca="1">_xll.BDH($C$603,"NET_DEBT_TO_SHRHLDR_EQTY","FQ1 2017","FQ1 2017","Currency=INR","Period=FQ","BEST_FPERIOD_OVERRIDE=FQ","FILING_STATUS=OR","EQY_CONSOLIDATED=Y","Sort=A","Dates=H","DateFormat=P","Fill=—","Direction=H","UseDPDF=Y")</f>
        <v>#NAME?</v>
      </c>
      <c r="CO619" s="2" t="e">
        <f ca="1">_xll.BDH($C$603,"NET_DEBT_%_CAPITAL","FQ1 2017","FQ1 2017","Currency=INR","Period=FQ","BEST_FPERIOD_OVERRIDE=FQ","FILING_STATUS=OR","EQY_CONSOLIDATED=Y","Sort=A","Dates=H","DateFormat=P","Fill=—","Direction=H","UseDPDF=Y")</f>
        <v>#NAME?</v>
      </c>
      <c r="CP619" s="3" t="e">
        <f ca="1">_xll.BDH($C$603,"EBITDA","FQ1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619" s="3" t="e">
        <f ca="1">_xll.BDH($C$603,"EBITDA_AFTER_CAPEX","FQ1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619" s="3" t="e">
        <f ca="1">_xll.BDH($C$603,"IS_OPER_INC","FQ1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619" s="2" t="e">
        <f ca="1">_xll.BDH($C$603,"CASH_RATIO","FQ1 2017","FQ1 2017","Currency=INR","Period=FQ","BEST_FPERIOD_OVERRIDE=FQ","FILING_STATUS=OR","EQY_CONSOLIDATED=Y","Sort=A","Dates=H","DateFormat=P","Fill=—","Direction=H","UseDPDF=Y")</f>
        <v>#NAME?</v>
      </c>
      <c r="CT619" s="2" t="e">
        <f ca="1">_xll.BDH($C$603,"CUR_RATIO","FQ1 2017","FQ1 2017","Currency=INR","Period=FQ","BEST_FPERIOD_OVERRIDE=FQ","FILING_STATUS=OR","EQY_CONSOLIDATED=Y","Sort=A","Dates=H","DateFormat=P","Fill=—","Direction=H","UseDPDF=Y")</f>
        <v>#NAME?</v>
      </c>
      <c r="CU619" s="2" t="e">
        <f ca="1">_xll.BDH($C$603,"QUICK_RATIO","FQ1 2017","FQ1 2017","Currency=INR","Period=FQ","BEST_FPERIOD_OVERRIDE=FQ","FILING_STATUS=OR","EQY_CONSOLIDATED=Y","Sort=A","Dates=H","DateFormat=P","Fill=—","Direction=H","UseDPDF=Y")</f>
        <v>#NAME?</v>
      </c>
      <c r="CV619" s="2" t="e">
        <f ca="1">_xll.BDH($C$603,"ALTMAN_Z_SCORE","FQ1 2017","FQ1 2017","Currency=INR","Period=FQ","BEST_FPERIOD_OVERRIDE=FQ","FILING_STATUS=OR","EQY_CONSOLIDATED=Y","Sort=A","Dates=H","DateFormat=P","Fill=—","Direction=H","UseDPDF=Y")</f>
        <v>#NAME?</v>
      </c>
      <c r="CW619" s="4" t="e">
        <f ca="1">_xll.BDH($C$603,"ACCT_RCV_TURN","FQ1 2017","FQ1 2017","Currency=INR","Period=FQ","BEST_FPERIOD_OVERRIDE=FQ","FILING_STATUS=OR","EQY_CONSOLIDATED=Y","FA_ADJUSTED=GAAP","Sort=A","Dates=H","DateFormat=P","Fill=—","Direction=H","UseDPDF=Y")</f>
        <v>#NAME?</v>
      </c>
      <c r="CX619" s="2" t="e">
        <f ca="1">_xll.BDH($C$603,"ACCT_RCV_DAYS","FQ1 2017","FQ1 2017","Currency=INR","Period=FQ","BEST_FPERIOD_OVERRIDE=FQ","FILING_STATUS=OR","EQY_CONSOLIDATED=Y","FA_ADJUSTED=GAAP","Sort=A","Dates=H","DateFormat=P","Fill=—","Direction=H","UseDPDF=Y")</f>
        <v>#NAME?</v>
      </c>
      <c r="CY619" s="4" t="e">
        <f ca="1">_xll.BDH($C$603,"INVENT_TURN","FQ1 2017","FQ1 2017","Currency=INR","Period=FQ","BEST_FPERIOD_OVERRIDE=FQ","FILING_STATUS=OR","EQY_CONSOLIDATED=Y","FA_ADJUSTED=GAAP","Sort=A","Dates=H","DateFormat=P","Fill=—","Direction=H","UseDPDF=Y")</f>
        <v>#NAME?</v>
      </c>
      <c r="CZ619" s="2" t="e">
        <f ca="1">_xll.BDH($C$603,"INVENT_DAYS","FQ1 2017","FQ1 2017","Currency=INR","Period=FQ","BEST_FPERIOD_OVERRIDE=FQ","FILING_STATUS=OR","EQY_CONSOLIDATED=Y","FA_ADJUSTED=GAAP","Sort=A","Dates=H","DateFormat=P","Fill=—","Direction=H","UseDPDF=Y")</f>
        <v>#NAME?</v>
      </c>
      <c r="DA619" s="4" t="e">
        <f ca="1">_xll.BDH($C$603,"ACCOUNTS_PAYABLE_TURNOVER","FQ1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619" s="2" t="e">
        <f ca="1">_xll.BDH($C$603,"ACCOUNTS_PAYABLE_TURNOVER_DAYS","FQ1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619" s="4" t="e">
        <f ca="1">_xll.BDH($C$603,"CASH_CONVERSION_CYCLE","FQ1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619" s="4" t="e">
        <f ca="1">_xll.BDH($C$603,"INV_TO_CASH_DAYS","FQ1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619" s="5" t="e">
        <f ca="1">_xll.BDH($C$603,"BS_INVENTORIES","FQ1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619" s="3" t="e">
        <f ca="1">_xll.BDH($C$603,"INVTRY_RAW_MATERIALS","FQ1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619" s="3" t="e">
        <f ca="1">_xll.BDH($C$603,"INVTRY_IN_PROGRESS","FQ1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619" s="3" t="e">
        <f ca="1">_xll.BDH($C$603,"INVTRY_FINISHED_GOODS","FQ1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619" s="3" t="e">
        <f ca="1">_xll.BDH($C$603,"BS_OTHER_INV","FQ1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620" spans="1:113" x14ac:dyDescent="0.3">
      <c r="A620" s="6"/>
      <c r="B620" s="6"/>
      <c r="C620" s="6"/>
      <c r="D620" s="6"/>
      <c r="E620" t="s">
        <v>79</v>
      </c>
      <c r="F620" t="e">
        <f ca="1">_xll.BDH($C$603,"RETURN_COM_EQY","FQ2 2017","FQ2 2017","Currency=INR","Period=FQ","BEST_FPERIOD_OVERRIDE=FQ","FILING_STATUS=OR","EQY_CONSOLIDATED=Y","FA_ADJUSTED=GAAP","Sort=A","Dates=H","DateFormat=P","Fill=—","Direction=H","UseDPDF=Y")</f>
        <v>#NAME?</v>
      </c>
      <c r="G620" t="e">
        <f ca="1">_xll.BDH($C$603,"RETURN_ON_ASSET","FQ2 2017","FQ2 2017","Currency=INR","Period=FQ","BEST_FPERIOD_OVERRIDE=FQ","FILING_STATUS=OR","EQY_CONSOLIDATED=Y","FA_ADJUSTED=GAAP","Sort=A","Dates=H","DateFormat=P","Fill=—","Direction=H","UseDPDF=Y")</f>
        <v>#NAME?</v>
      </c>
      <c r="H620" t="e">
        <f ca="1">_xll.BDH($C$603,"RETURN_ON_CAP","FQ2 2017","FQ2 2017","Currency=INR","Period=FQ","BEST_FPERIOD_OVERRIDE=FQ","FILING_STATUS=OR","EQY_CONSOLIDATED=Y","FA_ADJUSTED=GAAP","Sort=A","Dates=H","DateFormat=P","Fill=—","Direction=H","UseDPDF=Y")</f>
        <v>#NAME?</v>
      </c>
      <c r="I620" t="e">
        <f ca="1">_xll.BDH($C$603,"RETURN_ON_INV_CAPITAL","FQ2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620" t="e">
        <f ca="1">_xll.BDH($C$603,"EBITDA_TO_REVENUE","FQ2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620" t="e">
        <f ca="1">_xll.BDH($C$603,"OPER_MARGIN","FQ2 2017","FQ2 2017","Currency=INR","Period=FQ","BEST_FPERIOD_OVERRIDE=FQ","FILING_STATUS=OR","EQY_CONSOLIDATED=Y","FA_ADJUSTED=GAAP","Sort=A","Dates=H","DateFormat=P","Fill=—","Direction=H","UseDPDF=Y")</f>
        <v>#NAME?</v>
      </c>
      <c r="L620" t="e">
        <f ca="1">_xll.BDH($C$603,"INCREMENTAL_OPERATING_MARGIN","FQ2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620" t="e">
        <f ca="1">_xll.BDH($C$603,"PRETAX_INC_TO_NET_SALES","FQ2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620" t="e">
        <f ca="1">_xll.BDH($C$603,"INC_BEF_XO_ITEMS_TO_NET_SALES","FQ2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620" t="e">
        <f ca="1">_xll.BDH($C$603,"PROF_MARGIN","FQ2 2017","FQ2 2017","Currency=INR","Period=FQ","BEST_FPERIOD_OVERRIDE=FQ","FILING_STATUS=OR","EQY_CONSOLIDATED=Y","FA_ADJUSTED=GAAP","Sort=A","Dates=H","DateFormat=P","Fill=—","Direction=H","UseDPDF=Y")</f>
        <v>#NAME?</v>
      </c>
      <c r="P620" t="e">
        <f ca="1">_xll.BDH($C$603,"NET_INCOME_TO_COMMON_MARGIN","FQ2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620" t="e">
        <f ca="1">_xll.BDH($C$603,"EFF_TAX_RATE","FQ2 2017","FQ2 2017","Currency=INR","Period=FQ","BEST_FPERIOD_OVERRIDE=FQ","FILING_STATUS=OR","EQY_CONSOLIDATED=Y","FA_ADJUSTED=GAAP","Sort=A","Dates=H","DateFormat=P","Fill=—","Direction=H","UseDPDF=Y")</f>
        <v>#NAME?</v>
      </c>
      <c r="R620" t="e">
        <f ca="1">_xll.BDH($C$603,"DVD_PAYOUT_RATIO","FQ2 2017","FQ2 2017","Currency=INR","Period=FQ","BEST_FPERIOD_OVERRIDE=FQ","FILING_STATUS=OR","EQY_CONSOLIDATED=Y","FA_ADJUSTED=GAAP","Sort=A","Dates=H","DateFormat=P","Fill=—","Direction=H","UseDPDF=Y")</f>
        <v>#NAME?</v>
      </c>
      <c r="S620" t="e">
        <f ca="1">_xll.BDH($C$603,"SUSTAIN_GROWTH_RT","FQ2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620" s="2" t="e">
        <f ca="1">_xll.BDH($C$603,"SALES_GROWTH","FQ2 2017","FQ2 2017","Currency=INR","Period=FQ","BEST_FPERIOD_OVERRIDE=FQ","FILING_STATUS=OR","EQY_CONSOLIDATED=Y","FA_ADJUSTED=GAAP","Sort=A","Dates=H","DateFormat=P","Fill=—","Direction=H","UseDPDF=Y")</f>
        <v>#NAME?</v>
      </c>
      <c r="U620" s="2" t="e">
        <f ca="1">_xll.BDH($C$603,"EBITDA_GROWTH","FQ2 2017","FQ2 2017","Currency=INR","Period=FQ","BEST_FPERIOD_OVERRIDE=FQ","FILING_STATUS=OR","EQY_CONSOLIDATED=Y","FA_ADJUSTED=GAAP","Sort=A","Dates=H","DateFormat=P","Fill=—","Direction=H","UseDPDF=Y")</f>
        <v>#NAME?</v>
      </c>
      <c r="V620" s="2" t="e">
        <f ca="1">_xll.BDH($C$603,"OPER_INC_GROWTH","FQ2 2017","FQ2 2017","Currency=INR","Period=FQ","BEST_FPERIOD_OVERRIDE=FQ","FILING_STATUS=OR","EQY_CONSOLIDATED=Y","FA_ADJUSTED=GAAP","Sort=A","Dates=H","DateFormat=P","Fill=—","Direction=H","UseDPDF=Y")</f>
        <v>#NAME?</v>
      </c>
      <c r="W620" s="2" t="e">
        <f ca="1">_xll.BDH($C$603,"EARN_FOR_COM_GROWTH","FQ2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620" s="2" t="e">
        <f ca="1">_xll.BDH($C$603,"DILUTED_EPS_AFT_XO_ITEMS_GROWTH","FQ2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620" s="2" t="e">
        <f ca="1">_xll.BDH($C$603,"DIVIDEND_PER_SHARE_1_YEAR_GROWTH","FQ2 2017","FQ2 2017","Currency=INR","Period=FQ","BEST_FPERIOD_OVERRIDE=FQ","FILING_STATUS=OR","EQY_CONSOLIDATED=Y","Sort=A","Dates=H","DateFormat=P","Fill=—","Direction=H","UseDPDF=Y")</f>
        <v>#NAME?</v>
      </c>
      <c r="Z620" s="2" t="e">
        <f ca="1">_xll.BDH($C$603,"ACCOUNTS_RECEIVABLE_GROWTH","FQ2 2017","FQ2 2017","Currency=INR","Period=FQ","BEST_FPERIOD_OVERRIDE=FQ","FILING_STATUS=OR","EQY_CONSOLIDATED=Y","Sort=A","Dates=H","DateFormat=P","Fill=—","Direction=H","UseDPDF=Y")</f>
        <v>#NAME?</v>
      </c>
      <c r="AA620" s="2" t="e">
        <f ca="1">_xll.BDH($C$603,"INVENTORY_GROWTH","FQ2 2017","FQ2 2017","Currency=INR","Period=FQ","BEST_FPERIOD_OVERRIDE=FQ","FILING_STATUS=OR","EQY_CONSOLIDATED=Y","Sort=A","Dates=H","DateFormat=P","Fill=—","Direction=H","UseDPDF=Y")</f>
        <v>#NAME?</v>
      </c>
      <c r="AB620" s="2" t="e">
        <f ca="1">_xll.BDH($C$603,"NET_FIXED_ASSETS_1_YEAR_GROWTH","FQ2 2017","FQ2 2017","Currency=INR","Period=FQ","BEST_FPERIOD_OVERRIDE=FQ","FILING_STATUS=OR","EQY_CONSOLIDATED=Y","Sort=A","Dates=H","DateFormat=P","Fill=—","Direction=H","UseDPDF=Y")</f>
        <v>#NAME?</v>
      </c>
      <c r="AC620" s="2" t="e">
        <f ca="1">_xll.BDH($C$603,"ASSET_GROWTH","FQ2 2017","FQ2 2017","Currency=INR","Period=FQ","BEST_FPERIOD_OVERRIDE=FQ","FILING_STATUS=OR","EQY_CONSOLIDATED=Y","Sort=A","Dates=H","DateFormat=P","Fill=—","Direction=H","UseDPDF=Y")</f>
        <v>#NAME?</v>
      </c>
      <c r="AD620" s="2" t="e">
        <f ca="1">_xll.BDH($C$603,"MODIFIED_WORK_CAP_GROWTH","FQ2 2017","FQ2 2017","Currency=INR","Period=FQ","BEST_FPERIOD_OVERRIDE=FQ","FILING_STATUS=OR","EQY_CONSOLIDATED=Y","Sort=A","Dates=H","DateFormat=P","Fill=—","Direction=H","UseDPDF=Y")</f>
        <v>#NAME?</v>
      </c>
      <c r="AE620" s="2" t="e">
        <f ca="1">_xll.BDH($C$603,"WORK_CAP_GROWTH","FQ2 2017","FQ2 2017","Currency=INR","Period=FQ","BEST_FPERIOD_OVERRIDE=FQ","FILING_STATUS=OR","EQY_CONSOLIDATED=Y","Sort=A","Dates=H","DateFormat=P","Fill=—","Direction=H","UseDPDF=Y")</f>
        <v>#NAME?</v>
      </c>
      <c r="AF620" s="2" t="e">
        <f ca="1">_xll.BDH($C$603,"ACCOUNTS_PAYABLE_GROWTH_1YR","FQ2 2017","FQ2 2017","Currency=INR","Period=FQ","BEST_FPERIOD_OVERRIDE=FQ","FILING_STATUS=OR","EQY_CONSOLIDATED=Y","Sort=A","Dates=H","DateFormat=P","Fill=—","Direction=H","UseDPDF=Y")</f>
        <v>#NAME?</v>
      </c>
      <c r="AG620" s="2" t="e">
        <f ca="1">_xll.BDH($C$603,"SHORT_TERM_DEBT_1_YEAR_GROWTH","FQ2 2017","FQ2 2017","Currency=INR","Period=FQ","BEST_FPERIOD_OVERRIDE=FQ","FILING_STATUS=OR","EQY_CONSOLIDATED=Y","Sort=A","Dates=H","DateFormat=P","Fill=—","Direction=H","UseDPDF=Y")</f>
        <v>#NAME?</v>
      </c>
      <c r="AH620" s="2" t="e">
        <f ca="1">_xll.BDH($C$603,"TOTAL_DEBT_1_YEAR_GROWTH","FQ2 2017","FQ2 2017","Currency=INR","Period=FQ","BEST_FPERIOD_OVERRIDE=FQ","FILING_STATUS=OR","EQY_CONSOLIDATED=Y","Sort=A","Dates=H","DateFormat=P","Fill=—","Direction=H","UseDPDF=Y")</f>
        <v>#NAME?</v>
      </c>
      <c r="AI620" s="2" t="e">
        <f ca="1">_xll.BDH($C$603,"TOTAL_EQUITY_1_YEAR_GROWTH","FQ2 2017","FQ2 2017","Currency=INR","Period=FQ","BEST_FPERIOD_OVERRIDE=FQ","FILING_STATUS=OR","EQY_CONSOLIDATED=Y","Sort=A","Dates=H","DateFormat=P","Fill=—","Direction=H","UseDPDF=Y")</f>
        <v>#NAME?</v>
      </c>
      <c r="AJ620" s="2" t="e">
        <f ca="1">_xll.BDH($C$603,"GROWTH_IN_CAP","FQ2 2017","FQ2 2017","Currency=INR","Period=FQ","BEST_FPERIOD_OVERRIDE=FQ","FILING_STATUS=OR","EQY_CONSOLIDATED=Y","Sort=A","Dates=H","DateFormat=P","Fill=—","Direction=H","UseDPDF=Y")</f>
        <v>#NAME?</v>
      </c>
      <c r="AK620" s="2" t="e">
        <f ca="1">_xll.BDH($C$603,"BVPS_GROWTH","FQ2 2017","FQ2 2017","Currency=INR","Period=FQ","BEST_FPERIOD_OVERRIDE=FQ","FILING_STATUS=OR","EQY_CONSOLIDATED=Y","Sort=A","Dates=H","DateFormat=P","Fill=—","Direction=H","UseDPDF=Y")</f>
        <v>#NAME?</v>
      </c>
      <c r="AL620" s="2" t="e">
        <f ca="1">_xll.BDH($C$603,"CASH_FLOW_GROWTH","FQ2 2017","FQ2 2017","Currency=INR","Period=FQ","BEST_FPERIOD_OVERRIDE=FQ","FILING_STATUS=OR","EQY_CONSOLIDATED=Y","Sort=A","Dates=H","DateFormat=P","Fill=—","Direction=H","UseDPDF=Y")</f>
        <v>#NAME?</v>
      </c>
      <c r="AM620" s="2" t="e">
        <f ca="1">_xll.BDH($C$603,"GEO_GROW_NET_SALES","FQ2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620" s="2" t="e">
        <f ca="1">_xll.BDH($C$603,"GEO_GROW_EBITDA","FQ2 2017","FQ2 2017","Currency=INR","Period=FQ","BEST_FPERIOD_OVERRIDE=FQ","FILING_STATUS=OR","EQY_CONSOLIDATED=Y","FA_ADJUSTED=GAAP","Sort=A","Dates=H","DateFormat=P","Fill=—","Direction=H","UseDPDF=Y")</f>
        <v>#NAME?</v>
      </c>
      <c r="AO620" s="2" t="e">
        <f ca="1">_xll.BDH($C$603,"GEO_GROW_OPER_INC","FQ2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620" s="2" t="e">
        <f ca="1">_xll.BDH($C$603,"NET_INCOME_TO_COMMON_5_YR_GROWTH","FQ2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620" s="2" t="e">
        <f ca="1">_xll.BDH($C$603,"5Y_GEO_GROWTH_DILUTED_EPS","FQ2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620" s="2" t="e">
        <f ca="1">_xll.BDH($C$603,"GEO_GROW_DVD_PER_SH","FQ2 2017","FQ2 2017","Currency=INR","Period=FQ","BEST_FPERIOD_OVERRIDE=FQ","FILING_STATUS=OR","EQY_CONSOLIDATED=Y","Sort=A","Dates=H","DateFormat=P","Fill=—","Direction=H","UseDPDF=Y")</f>
        <v>#NAME?</v>
      </c>
      <c r="AS620" s="2" t="e">
        <f ca="1">_xll.BDH($C$603,"ACCOUNTS_RECEIVABLE_5_YR_GROWTH","FQ2 2017","FQ2 2017","Currency=INR","Period=FQ","BEST_FPERIOD_OVERRIDE=FQ","FILING_STATUS=OR","EQY_CONSOLIDATED=Y","Sort=A","Dates=H","DateFormat=P","Fill=—","Direction=H","UseDPDF=Y")</f>
        <v>#NAME?</v>
      </c>
      <c r="AT620" s="2" t="e">
        <f ca="1">_xll.BDH($C$603,"INVENTORY_5_YEAR_GROWTH","FQ2 2017","FQ2 2017","Currency=INR","Period=FQ","BEST_FPERIOD_OVERRIDE=FQ","FILING_STATUS=OR","EQY_CONSOLIDATED=Y","Sort=A","Dates=H","DateFormat=P","Fill=—","Direction=H","UseDPDF=Y")</f>
        <v>#NAME?</v>
      </c>
      <c r="AU620" s="2" t="e">
        <f ca="1">_xll.BDH($C$603,"NET_FIXED_ASSETS_5_YEAR_GROWTH","FQ2 2017","FQ2 2017","Currency=INR","Period=FQ","BEST_FPERIOD_OVERRIDE=FQ","FILING_STATUS=OR","EQY_CONSOLIDATED=Y","Sort=A","Dates=H","DateFormat=P","Fill=—","Direction=H","UseDPDF=Y")</f>
        <v>#NAME?</v>
      </c>
      <c r="AV620" s="2" t="e">
        <f ca="1">_xll.BDH($C$603,"GEO_GROW_TOT_ASSET","FQ2 2017","FQ2 2017","Currency=INR","Period=FQ","BEST_FPERIOD_OVERRIDE=FQ","FILING_STATUS=OR","EQY_CONSOLIDATED=Y","Sort=A","Dates=H","DateFormat=P","Fill=—","Direction=H","UseDPDF=Y")</f>
        <v>#NAME?</v>
      </c>
      <c r="AW620" s="2" t="e">
        <f ca="1">_xll.BDH($C$603,"MODIFIED_WORKING_CPTL_5YR_GRWTH","FQ2 2017","FQ2 2017","Currency=INR","Period=FQ","BEST_FPERIOD_OVERRIDE=FQ","FILING_STATUS=OR","EQY_CONSOLIDATED=Y","Sort=A","Dates=H","DateFormat=P","Fill=—","Direction=H","UseDPDF=Y")</f>
        <v>#NAME?</v>
      </c>
      <c r="AX620" s="2" t="e">
        <f ca="1">_xll.BDH($C$603,"WORKING_CAPITAL_5_YEAR_GROWTH","FQ2 2017","FQ2 2017","Currency=INR","Period=FQ","BEST_FPERIOD_OVERRIDE=FQ","FILING_STATUS=OR","EQY_CONSOLIDATED=Y","Sort=A","Dates=H","DateFormat=P","Fill=—","Direction=H","UseDPDF=Y")</f>
        <v>#NAME?</v>
      </c>
      <c r="AY620" s="2" t="e">
        <f ca="1">_xll.BDH($C$603,"ACCOUNTS_PAYABLE_5_YEAR_GROWTH","FQ2 2017","FQ2 2017","Currency=INR","Period=FQ","BEST_FPERIOD_OVERRIDE=FQ","FILING_STATUS=OR","EQY_CONSOLIDATED=Y","Sort=A","Dates=H","DateFormat=P","Fill=—","Direction=H","UseDPDF=Y")</f>
        <v>#NAME?</v>
      </c>
      <c r="AZ620" s="2" t="e">
        <f ca="1">_xll.BDH($C$603,"SHORT_TERM_DEBT_5_YEAR_GROWTH","FQ2 2017","FQ2 2017","Currency=INR","Period=FQ","BEST_FPERIOD_OVERRIDE=FQ","FILING_STATUS=OR","EQY_CONSOLIDATED=Y","Sort=A","Dates=H","DateFormat=P","Fill=—","Direction=H","UseDPDF=Y")</f>
        <v>#NAME?</v>
      </c>
      <c r="BA620" s="2" t="e">
        <f ca="1">_xll.BDH($C$603,"TOTAL_DEBT_5_YEAR_GROWTH","FQ2 2017","FQ2 2017","Currency=INR","Period=FQ","BEST_FPERIOD_OVERRIDE=FQ","FILING_STATUS=OR","EQY_CONSOLIDATED=Y","Sort=A","Dates=H","DateFormat=P","Fill=—","Direction=H","UseDPDF=Y")</f>
        <v>#NAME?</v>
      </c>
      <c r="BB620" s="2" t="e">
        <f ca="1">_xll.BDH($C$603,"GEO_GROW_TOT_SHRHLDR_EQY","FQ2 2017","FQ2 2017","Currency=INR","Period=FQ","BEST_FPERIOD_OVERRIDE=FQ","FILING_STATUS=OR","EQY_CONSOLIDATED=Y","Sort=A","Dates=H","DateFormat=P","Fill=—","Direction=H","UseDPDF=Y")</f>
        <v>#NAME?</v>
      </c>
      <c r="BC620" s="2" t="e">
        <f ca="1">_xll.BDH($C$603,"TOTAL_CAPITAL_5_YEAR_GROWTH","FQ2 2017","FQ2 2017","Currency=INR","Period=FQ","BEST_FPERIOD_OVERRIDE=FQ","FILING_STATUS=OR","EQY_CONSOLIDATED=Y","Sort=A","Dates=H","DateFormat=P","Fill=—","Direction=H","UseDPDF=Y")</f>
        <v>#NAME?</v>
      </c>
      <c r="BD620" s="2" t="e">
        <f ca="1">_xll.BDH($C$603,"GEO_GROW_BOOK_VAL","FQ2 2017","FQ2 2017","Currency=INR","Period=FQ","BEST_FPERIOD_OVERRIDE=FQ","FILING_STATUS=OR","EQY_CONSOLIDATED=Y","Sort=A","Dates=H","DateFormat=P","Fill=—","Direction=H","UseDPDF=Y")</f>
        <v>#NAME?</v>
      </c>
      <c r="BE620" s="2" t="e">
        <f ca="1">_xll.BDH($C$603,"GEO_GROW_CASH_OPER_ACT","FQ2 2017","FQ2 2017","Currency=INR","Period=FQ","BEST_FPERIOD_OVERRIDE=FQ","FILING_STATUS=OR","EQY_CONSOLIDATED=Y","Sort=A","Dates=H","DateFormat=P","Fill=—","Direction=H","UseDPDF=Y")</f>
        <v>#NAME?</v>
      </c>
      <c r="BF620" s="2" t="e">
        <f ca="1">_xll.BDH($C$603,"REVENUE_SEQUENTIAL_GROWTH","FQ2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620" s="2" t="e">
        <f ca="1">_xll.BDH($C$603,"EBITDA_SEQUENTIAL_GROWTH","FQ2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620" s="2" t="e">
        <f ca="1">_xll.BDH($C$603,"OPERATING_INCOME_SEQ_GROWTH","FQ2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620" s="2" t="e">
        <f ca="1">_xll.BDH($C$603,"NET_INCOME_TO_COMMON_SEQ_GROWTH","FQ2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620" s="2" t="e">
        <f ca="1">_xll.BDH($C$603,"EPS_DILUTED_SEQUENTIAL_GROWTH","FQ2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620" s="2" t="e">
        <f ca="1">_xll.BDH($C$603,"DPS_SEQUENTIAL_GROWTH","FQ2 2017","FQ2 2017","Currency=INR","Period=FQ","BEST_FPERIOD_OVERRIDE=FQ","FILING_STATUS=OR","EQY_CONSOLIDATED=Y","Sort=A","Dates=H","DateFormat=P","Fill=—","Direction=H","UseDPDF=Y")</f>
        <v>#NAME?</v>
      </c>
      <c r="BL620" s="2" t="e">
        <f ca="1">_xll.BDH($C$603,"ACCOUNTS_RECEIVABLE_SEQ_GROWTH","FQ2 2017","FQ2 2017","Currency=INR","Period=FQ","BEST_FPERIOD_OVERRIDE=FQ","FILING_STATUS=OR","EQY_CONSOLIDATED=Y","Sort=A","Dates=H","DateFormat=P","Fill=—","Direction=H","UseDPDF=Y")</f>
        <v>#NAME?</v>
      </c>
      <c r="BM620" s="2" t="e">
        <f ca="1">_xll.BDH($C$603,"INVENTORY_SEQUENTIAL_GROWTH","FQ2 2017","FQ2 2017","Currency=INR","Period=FQ","BEST_FPERIOD_OVERRIDE=FQ","FILING_STATUS=OR","EQY_CONSOLIDATED=Y","Sort=A","Dates=H","DateFormat=P","Fill=—","Direction=H","UseDPDF=Y")</f>
        <v>#NAME?</v>
      </c>
      <c r="BN620" s="2" t="e">
        <f ca="1">_xll.BDH($C$603,"FIXED_ASSETS_SEQUENTIAL_GROWTH","FQ2 2017","FQ2 2017","Currency=INR","Period=FQ","BEST_FPERIOD_OVERRIDE=FQ","FILING_STATUS=OR","EQY_CONSOLIDATED=Y","Sort=A","Dates=H","DateFormat=P","Fill=—","Direction=H","UseDPDF=Y")</f>
        <v>#NAME?</v>
      </c>
      <c r="BO620" s="2" t="e">
        <f ca="1">_xll.BDH($C$603,"TOTAL_ASSETS_SEQUENTIAL_GROWTH","FQ2 2017","FQ2 2017","Currency=INR","Period=FQ","BEST_FPERIOD_OVERRIDE=FQ","FILING_STATUS=OR","EQY_CONSOLIDATED=Y","Sort=A","Dates=H","DateFormat=P","Fill=—","Direction=H","UseDPDF=Y")</f>
        <v>#NAME?</v>
      </c>
      <c r="BP620" s="2" t="e">
        <f ca="1">_xll.BDH($C$603,"MODIFIED_WORKING_CPTL_SEQ_GRWTH","FQ2 2017","FQ2 2017","Currency=INR","Period=FQ","BEST_FPERIOD_OVERRIDE=FQ","FILING_STATUS=OR","EQY_CONSOLIDATED=Y","Sort=A","Dates=H","DateFormat=P","Fill=—","Direction=H","UseDPDF=Y")</f>
        <v>#NAME?</v>
      </c>
      <c r="BQ620" s="2" t="e">
        <f ca="1">_xll.BDH($C$603,"WORKING_CAPITAL_SEQ_GROWTH","FQ2 2017","FQ2 2017","Currency=INR","Period=FQ","BEST_FPERIOD_OVERRIDE=FQ","FILING_STATUS=OR","EQY_CONSOLIDATED=Y","Sort=A","Dates=H","DateFormat=P","Fill=—","Direction=H","UseDPDF=Y")</f>
        <v>#NAME?</v>
      </c>
      <c r="BR620" s="2" t="e">
        <f ca="1">_xll.BDH($C$603,"ACCOUNTS_PAYABLE_SEQ_GROWTH","FQ2 2017","FQ2 2017","Currency=INR","Period=FQ","BEST_FPERIOD_OVERRIDE=FQ","FILING_STATUS=OR","EQY_CONSOLIDATED=Y","Sort=A","Dates=H","DateFormat=P","Fill=—","Direction=H","UseDPDF=Y")</f>
        <v>#NAME?</v>
      </c>
      <c r="BS620" s="2" t="e">
        <f ca="1">_xll.BDH($C$603,"ST_DEBT_SEQUENTIAL_GROWTH","FQ2 2017","FQ2 2017","Currency=INR","Period=FQ","BEST_FPERIOD_OVERRIDE=FQ","FILING_STATUS=OR","EQY_CONSOLIDATED=Y","Sort=A","Dates=H","DateFormat=P","Fill=—","Direction=H","UseDPDF=Y")</f>
        <v>#NAME?</v>
      </c>
      <c r="BT620" s="2" t="e">
        <f ca="1">_xll.BDH($C$603,"TOTAL_DEBT_SEQUENTIAL_GROWTH","FQ2 2017","FQ2 2017","Currency=INR","Period=FQ","BEST_FPERIOD_OVERRIDE=FQ","FILING_STATUS=OR","EQY_CONSOLIDATED=Y","Sort=A","Dates=H","DateFormat=P","Fill=—","Direction=H","UseDPDF=Y")</f>
        <v>#NAME?</v>
      </c>
      <c r="BU620" s="2" t="e">
        <f ca="1">_xll.BDH($C$603,"TOTAL_EQUITY_SEQUENTIAL_GROWTH","FQ2 2017","FQ2 2017","Currency=INR","Period=FQ","BEST_FPERIOD_OVERRIDE=FQ","FILING_STATUS=OR","EQY_CONSOLIDATED=Y","Sort=A","Dates=H","DateFormat=P","Fill=—","Direction=H","UseDPDF=Y")</f>
        <v>#NAME?</v>
      </c>
      <c r="BV620" s="2" t="e">
        <f ca="1">_xll.BDH($C$603,"TOTAL_CAPITAL_SEQUENTIAL_GROWTH","FQ2 2017","FQ2 2017","Currency=INR","Period=FQ","BEST_FPERIOD_OVERRIDE=FQ","FILING_STATUS=OR","EQY_CONSOLIDATED=Y","Sort=A","Dates=H","DateFormat=P","Fill=—","Direction=H","UseDPDF=Y")</f>
        <v>#NAME?</v>
      </c>
      <c r="BW620" s="2" t="e">
        <f ca="1">_xll.BDH($C$603,"BPS_SEQUENTIAL_GROWTH","FQ2 2017","FQ2 2017","Currency=INR","Period=FQ","BEST_FPERIOD_OVERRIDE=FQ","FILING_STATUS=OR","EQY_CONSOLIDATED=Y","Sort=A","Dates=H","DateFormat=P","Fill=—","Direction=H","UseDPDF=Y")</f>
        <v>#NAME?</v>
      </c>
      <c r="BX620" s="2" t="e">
        <f ca="1">_xll.BDH($C$603,"CFO_SEQUENTIAL_GROWTH","FQ2 2017","FQ2 2017","Currency=INR","Period=FQ","BEST_FPERIOD_OVERRIDE=FQ","FILING_STATUS=OR","EQY_CONSOLIDATED=Y","Sort=A","Dates=H","DateFormat=P","Fill=—","Direction=H","UseDPDF=Y")</f>
        <v>#NAME?</v>
      </c>
      <c r="BY620" s="3" t="e">
        <f ca="1">_xll.BDH($C$603,"SHORT_AND_LONG_TERM_DEBT","FQ2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620" s="3" t="e">
        <f ca="1">_xll.BDH($C$603,"BS_ST_BORROW","FQ2 2017","FQ2 2017","Currency=INR","Period=FQ","BEST_FPERIOD_OVERRIDE=FQ","FILING_STATUS=OR","EQY_CONSOLIDATED=Y","SCALING_FORMAT=MLN","Sort=A","Dates=H","DateFormat=P","Fill=—","Direction=H","UseDPDF=Y")</f>
        <v>#NAME?</v>
      </c>
      <c r="CA620" s="3" t="e">
        <f ca="1">_xll.BDH($C$603,"BS_LT_BORROW","FQ2 2017","FQ2 2017","Currency=INR","Period=FQ","BEST_FPERIOD_OVERRIDE=FQ","FILING_STATUS=OR","EQY_CONSOLIDATED=Y","SCALING_FORMAT=MLN","Sort=A","Dates=H","DateFormat=P","Fill=—","Direction=H","UseDPDF=Y")</f>
        <v>#NAME?</v>
      </c>
      <c r="CB620" s="2" t="e">
        <f ca="1">_xll.BDH($C$603,"TOT_DEBT_TO_EBITDA","FQ2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620" s="2" t="e">
        <f ca="1">_xll.BDH($C$603,"NET_DEBT_TO_EBITDA","FQ2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620" s="2" t="e">
        <f ca="1">_xll.BDH($C$603,"TOTAL_DEBT_TO_EBIT","FQ2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620" s="2" t="e">
        <f ca="1">_xll.BDH($C$603,"NET_DEBT_TO_EBIT","FQ2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620" s="2" t="e">
        <f ca="1">_xll.BDH($C$603,"EBITDA_TO_INTEREST_EXPN","FQ2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620" s="2" t="e">
        <f ca="1">_xll.BDH($C$603,"COM_EQY_TO_TOT_ASSET","FQ2 2017","FQ2 2017","Currency=INR","Period=FQ","BEST_FPERIOD_OVERRIDE=FQ","FILING_STATUS=OR","EQY_CONSOLIDATED=Y","Sort=A","Dates=H","DateFormat=P","Fill=—","Direction=H","UseDPDF=Y")</f>
        <v>#NAME?</v>
      </c>
      <c r="CH620" s="2" t="e">
        <f ca="1">_xll.BDH($C$603,"LT_DEBT_TO_TOT_EQY","FQ2 2017","FQ2 2017","Currency=INR","Period=FQ","BEST_FPERIOD_OVERRIDE=FQ","FILING_STATUS=OR","EQY_CONSOLIDATED=Y","Sort=A","Dates=H","DateFormat=P","Fill=—","Direction=H","UseDPDF=Y")</f>
        <v>#NAME?</v>
      </c>
      <c r="CI620" s="2" t="e">
        <f ca="1">_xll.BDH($C$603,"LT_DEBT_TO_TOT_CAP","FQ2 2017","FQ2 2017","Currency=INR","Period=FQ","BEST_FPERIOD_OVERRIDE=FQ","FILING_STATUS=OR","EQY_CONSOLIDATED=Y","Sort=A","Dates=H","DateFormat=P","Fill=—","Direction=H","UseDPDF=Y")</f>
        <v>#NAME?</v>
      </c>
      <c r="CJ620" s="2" t="e">
        <f ca="1">_xll.BDH($C$603,"LT_DEBT_TO_TOT_ASSET","FQ2 2017","FQ2 2017","Currency=INR","Period=FQ","BEST_FPERIOD_OVERRIDE=FQ","FILING_STATUS=OR","EQY_CONSOLIDATED=Y","Sort=A","Dates=H","DateFormat=P","Fill=—","Direction=H","UseDPDF=Y")</f>
        <v>#NAME?</v>
      </c>
      <c r="CK620" s="2" t="e">
        <f ca="1">_xll.BDH($C$603,"TOT_DEBT_TO_TOT_EQY","FQ2 2017","FQ2 2017","Currency=INR","Period=FQ","BEST_FPERIOD_OVERRIDE=FQ","FILING_STATUS=OR","EQY_CONSOLIDATED=Y","Sort=A","Dates=H","DateFormat=P","Fill=—","Direction=H","UseDPDF=Y")</f>
        <v>#NAME?</v>
      </c>
      <c r="CL620" s="2" t="e">
        <f ca="1">_xll.BDH($C$603,"TOT_DEBT_TO_TOT_CAP","FQ2 2017","FQ2 2017","Currency=INR","Period=FQ","BEST_FPERIOD_OVERRIDE=FQ","FILING_STATUS=OR","EQY_CONSOLIDATED=Y","Sort=A","Dates=H","DateFormat=P","Fill=—","Direction=H","UseDPDF=Y")</f>
        <v>#NAME?</v>
      </c>
      <c r="CM620" s="2" t="e">
        <f ca="1">_xll.BDH($C$603,"TOT_DEBT_TO_TOT_ASSET","FQ2 2017","FQ2 2017","Currency=INR","Period=FQ","BEST_FPERIOD_OVERRIDE=FQ","FILING_STATUS=OR","EQY_CONSOLIDATED=Y","Sort=A","Dates=H","DateFormat=P","Fill=—","Direction=H","UseDPDF=Y")</f>
        <v>#NAME?</v>
      </c>
      <c r="CN620" s="2" t="e">
        <f ca="1">_xll.BDH($C$603,"NET_DEBT_TO_SHRHLDR_EQTY","FQ2 2017","FQ2 2017","Currency=INR","Period=FQ","BEST_FPERIOD_OVERRIDE=FQ","FILING_STATUS=OR","EQY_CONSOLIDATED=Y","Sort=A","Dates=H","DateFormat=P","Fill=—","Direction=H","UseDPDF=Y")</f>
        <v>#NAME?</v>
      </c>
      <c r="CO620" s="2" t="e">
        <f ca="1">_xll.BDH($C$603,"NET_DEBT_%_CAPITAL","FQ2 2017","FQ2 2017","Currency=INR","Period=FQ","BEST_FPERIOD_OVERRIDE=FQ","FILING_STATUS=OR","EQY_CONSOLIDATED=Y","Sort=A","Dates=H","DateFormat=P","Fill=—","Direction=H","UseDPDF=Y")</f>
        <v>#NAME?</v>
      </c>
      <c r="CP620" s="3" t="e">
        <f ca="1">_xll.BDH($C$603,"EBITDA","FQ2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620" s="3" t="e">
        <f ca="1">_xll.BDH($C$603,"EBITDA_AFTER_CAPEX","FQ2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620" s="3" t="e">
        <f ca="1">_xll.BDH($C$603,"IS_OPER_INC","FQ2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620" s="2" t="e">
        <f ca="1">_xll.BDH($C$603,"CASH_RATIO","FQ2 2017","FQ2 2017","Currency=INR","Period=FQ","BEST_FPERIOD_OVERRIDE=FQ","FILING_STATUS=OR","EQY_CONSOLIDATED=Y","Sort=A","Dates=H","DateFormat=P","Fill=—","Direction=H","UseDPDF=Y")</f>
        <v>#NAME?</v>
      </c>
      <c r="CT620" s="2" t="e">
        <f ca="1">_xll.BDH($C$603,"CUR_RATIO","FQ2 2017","FQ2 2017","Currency=INR","Period=FQ","BEST_FPERIOD_OVERRIDE=FQ","FILING_STATUS=OR","EQY_CONSOLIDATED=Y","Sort=A","Dates=H","DateFormat=P","Fill=—","Direction=H","UseDPDF=Y")</f>
        <v>#NAME?</v>
      </c>
      <c r="CU620" s="2" t="e">
        <f ca="1">_xll.BDH($C$603,"QUICK_RATIO","FQ2 2017","FQ2 2017","Currency=INR","Period=FQ","BEST_FPERIOD_OVERRIDE=FQ","FILING_STATUS=OR","EQY_CONSOLIDATED=Y","Sort=A","Dates=H","DateFormat=P","Fill=—","Direction=H","UseDPDF=Y")</f>
        <v>#NAME?</v>
      </c>
      <c r="CV620" s="2" t="e">
        <f ca="1">_xll.BDH($C$603,"ALTMAN_Z_SCORE","FQ2 2017","FQ2 2017","Currency=INR","Period=FQ","BEST_FPERIOD_OVERRIDE=FQ","FILING_STATUS=OR","EQY_CONSOLIDATED=Y","Sort=A","Dates=H","DateFormat=P","Fill=—","Direction=H","UseDPDF=Y")</f>
        <v>#NAME?</v>
      </c>
      <c r="CW620" s="4" t="e">
        <f ca="1">_xll.BDH($C$603,"ACCT_RCV_TURN","FQ2 2017","FQ2 2017","Currency=INR","Period=FQ","BEST_FPERIOD_OVERRIDE=FQ","FILING_STATUS=OR","EQY_CONSOLIDATED=Y","FA_ADJUSTED=GAAP","Sort=A","Dates=H","DateFormat=P","Fill=—","Direction=H","UseDPDF=Y")</f>
        <v>#NAME?</v>
      </c>
      <c r="CX620" s="2" t="e">
        <f ca="1">_xll.BDH($C$603,"ACCT_RCV_DAYS","FQ2 2017","FQ2 2017","Currency=INR","Period=FQ","BEST_FPERIOD_OVERRIDE=FQ","FILING_STATUS=OR","EQY_CONSOLIDATED=Y","FA_ADJUSTED=GAAP","Sort=A","Dates=H","DateFormat=P","Fill=—","Direction=H","UseDPDF=Y")</f>
        <v>#NAME?</v>
      </c>
      <c r="CY620" s="4" t="e">
        <f ca="1">_xll.BDH($C$603,"INVENT_TURN","FQ2 2017","FQ2 2017","Currency=INR","Period=FQ","BEST_FPERIOD_OVERRIDE=FQ","FILING_STATUS=OR","EQY_CONSOLIDATED=Y","FA_ADJUSTED=GAAP","Sort=A","Dates=H","DateFormat=P","Fill=—","Direction=H","UseDPDF=Y")</f>
        <v>#NAME?</v>
      </c>
      <c r="CZ620" s="2" t="e">
        <f ca="1">_xll.BDH($C$603,"INVENT_DAYS","FQ2 2017","FQ2 2017","Currency=INR","Period=FQ","BEST_FPERIOD_OVERRIDE=FQ","FILING_STATUS=OR","EQY_CONSOLIDATED=Y","FA_ADJUSTED=GAAP","Sort=A","Dates=H","DateFormat=P","Fill=—","Direction=H","UseDPDF=Y")</f>
        <v>#NAME?</v>
      </c>
      <c r="DA620" s="4" t="e">
        <f ca="1">_xll.BDH($C$603,"ACCOUNTS_PAYABLE_TURNOVER","FQ2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620" s="2" t="e">
        <f ca="1">_xll.BDH($C$603,"ACCOUNTS_PAYABLE_TURNOVER_DAYS","FQ2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620" s="4" t="e">
        <f ca="1">_xll.BDH($C$603,"CASH_CONVERSION_CYCLE","FQ2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620" s="4" t="e">
        <f ca="1">_xll.BDH($C$603,"INV_TO_CASH_DAYS","FQ2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620" s="5" t="e">
        <f ca="1">_xll.BDH($C$603,"BS_INVENTORIES","FQ2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620" s="3" t="e">
        <f ca="1">_xll.BDH($C$603,"INVTRY_RAW_MATERIALS","FQ2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620" s="3" t="e">
        <f ca="1">_xll.BDH($C$603,"INVTRY_IN_PROGRESS","FQ2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620" s="3" t="e">
        <f ca="1">_xll.BDH($C$603,"INVTRY_FINISHED_GOODS","FQ2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620" s="3" t="e">
        <f ca="1">_xll.BDH($C$603,"BS_OTHER_INV","FQ2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621" spans="1:113" x14ac:dyDescent="0.3">
      <c r="A621" s="6"/>
      <c r="B621" s="6"/>
      <c r="C621" s="6"/>
      <c r="D621" s="6"/>
      <c r="E621" t="s">
        <v>80</v>
      </c>
      <c r="F621" t="e">
        <f ca="1">_xll.BDH($C$603,"RETURN_COM_EQY","FQ3 2017","FQ3 2017","Currency=INR","Period=FQ","BEST_FPERIOD_OVERRIDE=FQ","FILING_STATUS=OR","EQY_CONSOLIDATED=Y","FA_ADJUSTED=GAAP","Sort=A","Dates=H","DateFormat=P","Fill=—","Direction=H","UseDPDF=Y")</f>
        <v>#NAME?</v>
      </c>
      <c r="G621" t="e">
        <f ca="1">_xll.BDH($C$603,"RETURN_ON_ASSET","FQ3 2017","FQ3 2017","Currency=INR","Period=FQ","BEST_FPERIOD_OVERRIDE=FQ","FILING_STATUS=OR","EQY_CONSOLIDATED=Y","FA_ADJUSTED=GAAP","Sort=A","Dates=H","DateFormat=P","Fill=—","Direction=H","UseDPDF=Y")</f>
        <v>#NAME?</v>
      </c>
      <c r="H621" t="e">
        <f ca="1">_xll.BDH($C$603,"RETURN_ON_CAP","FQ3 2017","FQ3 2017","Currency=INR","Period=FQ","BEST_FPERIOD_OVERRIDE=FQ","FILING_STATUS=OR","EQY_CONSOLIDATED=Y","FA_ADJUSTED=GAAP","Sort=A","Dates=H","DateFormat=P","Fill=—","Direction=H","UseDPDF=Y")</f>
        <v>#NAME?</v>
      </c>
      <c r="I621" t="e">
        <f ca="1">_xll.BDH($C$603,"RETURN_ON_INV_CAPITAL","FQ3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621" t="e">
        <f ca="1">_xll.BDH($C$603,"EBITDA_TO_REVENUE","FQ3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621" t="e">
        <f ca="1">_xll.BDH($C$603,"OPER_MARGIN","FQ3 2017","FQ3 2017","Currency=INR","Period=FQ","BEST_FPERIOD_OVERRIDE=FQ","FILING_STATUS=OR","EQY_CONSOLIDATED=Y","FA_ADJUSTED=GAAP","Sort=A","Dates=H","DateFormat=P","Fill=—","Direction=H","UseDPDF=Y")</f>
        <v>#NAME?</v>
      </c>
      <c r="L621" t="e">
        <f ca="1">_xll.BDH($C$603,"INCREMENTAL_OPERATING_MARGIN","FQ3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621" t="e">
        <f ca="1">_xll.BDH($C$603,"PRETAX_INC_TO_NET_SALES","FQ3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621" t="e">
        <f ca="1">_xll.BDH($C$603,"INC_BEF_XO_ITEMS_TO_NET_SALES","FQ3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621" t="e">
        <f ca="1">_xll.BDH($C$603,"PROF_MARGIN","FQ3 2017","FQ3 2017","Currency=INR","Period=FQ","BEST_FPERIOD_OVERRIDE=FQ","FILING_STATUS=OR","EQY_CONSOLIDATED=Y","FA_ADJUSTED=GAAP","Sort=A","Dates=H","DateFormat=P","Fill=—","Direction=H","UseDPDF=Y")</f>
        <v>#NAME?</v>
      </c>
      <c r="P621" t="e">
        <f ca="1">_xll.BDH($C$603,"NET_INCOME_TO_COMMON_MARGIN","FQ3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621" t="e">
        <f ca="1">_xll.BDH($C$603,"EFF_TAX_RATE","FQ3 2017","FQ3 2017","Currency=INR","Period=FQ","BEST_FPERIOD_OVERRIDE=FQ","FILING_STATUS=OR","EQY_CONSOLIDATED=Y","FA_ADJUSTED=GAAP","Sort=A","Dates=H","DateFormat=P","Fill=—","Direction=H","UseDPDF=Y")</f>
        <v>#NAME?</v>
      </c>
      <c r="R621" t="e">
        <f ca="1">_xll.BDH($C$603,"DVD_PAYOUT_RATIO","FQ3 2017","FQ3 2017","Currency=INR","Period=FQ","BEST_FPERIOD_OVERRIDE=FQ","FILING_STATUS=OR","EQY_CONSOLIDATED=Y","FA_ADJUSTED=GAAP","Sort=A","Dates=H","DateFormat=P","Fill=—","Direction=H","UseDPDF=Y")</f>
        <v>#NAME?</v>
      </c>
      <c r="S621" t="e">
        <f ca="1">_xll.BDH($C$603,"SUSTAIN_GROWTH_RT","FQ3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621" s="2" t="e">
        <f ca="1">_xll.BDH($C$603,"SALES_GROWTH","FQ3 2017","FQ3 2017","Currency=INR","Period=FQ","BEST_FPERIOD_OVERRIDE=FQ","FILING_STATUS=OR","EQY_CONSOLIDATED=Y","FA_ADJUSTED=GAAP","Sort=A","Dates=H","DateFormat=P","Fill=—","Direction=H","UseDPDF=Y")</f>
        <v>#NAME?</v>
      </c>
      <c r="U621" s="2" t="e">
        <f ca="1">_xll.BDH($C$603,"EBITDA_GROWTH","FQ3 2017","FQ3 2017","Currency=INR","Period=FQ","BEST_FPERIOD_OVERRIDE=FQ","FILING_STATUS=OR","EQY_CONSOLIDATED=Y","FA_ADJUSTED=GAAP","Sort=A","Dates=H","DateFormat=P","Fill=—","Direction=H","UseDPDF=Y")</f>
        <v>#NAME?</v>
      </c>
      <c r="V621" s="2" t="e">
        <f ca="1">_xll.BDH($C$603,"OPER_INC_GROWTH","FQ3 2017","FQ3 2017","Currency=INR","Period=FQ","BEST_FPERIOD_OVERRIDE=FQ","FILING_STATUS=OR","EQY_CONSOLIDATED=Y","FA_ADJUSTED=GAAP","Sort=A","Dates=H","DateFormat=P","Fill=—","Direction=H","UseDPDF=Y")</f>
        <v>#NAME?</v>
      </c>
      <c r="W621" s="2" t="e">
        <f ca="1">_xll.BDH($C$603,"EARN_FOR_COM_GROWTH","FQ3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621" s="2" t="e">
        <f ca="1">_xll.BDH($C$603,"DILUTED_EPS_AFT_XO_ITEMS_GROWTH","FQ3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621" s="2" t="e">
        <f ca="1">_xll.BDH($C$603,"DIVIDEND_PER_SHARE_1_YEAR_GROWTH","FQ3 2017","FQ3 2017","Currency=INR","Period=FQ","BEST_FPERIOD_OVERRIDE=FQ","FILING_STATUS=OR","EQY_CONSOLIDATED=Y","Sort=A","Dates=H","DateFormat=P","Fill=—","Direction=H","UseDPDF=Y")</f>
        <v>#NAME?</v>
      </c>
      <c r="Z621" s="2" t="e">
        <f ca="1">_xll.BDH($C$603,"ACCOUNTS_RECEIVABLE_GROWTH","FQ3 2017","FQ3 2017","Currency=INR","Period=FQ","BEST_FPERIOD_OVERRIDE=FQ","FILING_STATUS=OR","EQY_CONSOLIDATED=Y","Sort=A","Dates=H","DateFormat=P","Fill=—","Direction=H","UseDPDF=Y")</f>
        <v>#NAME?</v>
      </c>
      <c r="AA621" s="2" t="e">
        <f ca="1">_xll.BDH($C$603,"INVENTORY_GROWTH","FQ3 2017","FQ3 2017","Currency=INR","Period=FQ","BEST_FPERIOD_OVERRIDE=FQ","FILING_STATUS=OR","EQY_CONSOLIDATED=Y","Sort=A","Dates=H","DateFormat=P","Fill=—","Direction=H","UseDPDF=Y")</f>
        <v>#NAME?</v>
      </c>
      <c r="AB621" s="2" t="e">
        <f ca="1">_xll.BDH($C$603,"NET_FIXED_ASSETS_1_YEAR_GROWTH","FQ3 2017","FQ3 2017","Currency=INR","Period=FQ","BEST_FPERIOD_OVERRIDE=FQ","FILING_STATUS=OR","EQY_CONSOLIDATED=Y","Sort=A","Dates=H","DateFormat=P","Fill=—","Direction=H","UseDPDF=Y")</f>
        <v>#NAME?</v>
      </c>
      <c r="AC621" s="2" t="e">
        <f ca="1">_xll.BDH($C$603,"ASSET_GROWTH","FQ3 2017","FQ3 2017","Currency=INR","Period=FQ","BEST_FPERIOD_OVERRIDE=FQ","FILING_STATUS=OR","EQY_CONSOLIDATED=Y","Sort=A","Dates=H","DateFormat=P","Fill=—","Direction=H","UseDPDF=Y")</f>
        <v>#NAME?</v>
      </c>
      <c r="AD621" s="2" t="e">
        <f ca="1">_xll.BDH($C$603,"MODIFIED_WORK_CAP_GROWTH","FQ3 2017","FQ3 2017","Currency=INR","Period=FQ","BEST_FPERIOD_OVERRIDE=FQ","FILING_STATUS=OR","EQY_CONSOLIDATED=Y","Sort=A","Dates=H","DateFormat=P","Fill=—","Direction=H","UseDPDF=Y")</f>
        <v>#NAME?</v>
      </c>
      <c r="AE621" s="2" t="e">
        <f ca="1">_xll.BDH($C$603,"WORK_CAP_GROWTH","FQ3 2017","FQ3 2017","Currency=INR","Period=FQ","BEST_FPERIOD_OVERRIDE=FQ","FILING_STATUS=OR","EQY_CONSOLIDATED=Y","Sort=A","Dates=H","DateFormat=P","Fill=—","Direction=H","UseDPDF=Y")</f>
        <v>#NAME?</v>
      </c>
      <c r="AF621" s="2" t="e">
        <f ca="1">_xll.BDH($C$603,"ACCOUNTS_PAYABLE_GROWTH_1YR","FQ3 2017","FQ3 2017","Currency=INR","Period=FQ","BEST_FPERIOD_OVERRIDE=FQ","FILING_STATUS=OR","EQY_CONSOLIDATED=Y","Sort=A","Dates=H","DateFormat=P","Fill=—","Direction=H","UseDPDF=Y")</f>
        <v>#NAME?</v>
      </c>
      <c r="AG621" s="2" t="e">
        <f ca="1">_xll.BDH($C$603,"SHORT_TERM_DEBT_1_YEAR_GROWTH","FQ3 2017","FQ3 2017","Currency=INR","Period=FQ","BEST_FPERIOD_OVERRIDE=FQ","FILING_STATUS=OR","EQY_CONSOLIDATED=Y","Sort=A","Dates=H","DateFormat=P","Fill=—","Direction=H","UseDPDF=Y")</f>
        <v>#NAME?</v>
      </c>
      <c r="AH621" s="2" t="e">
        <f ca="1">_xll.BDH($C$603,"TOTAL_DEBT_1_YEAR_GROWTH","FQ3 2017","FQ3 2017","Currency=INR","Period=FQ","BEST_FPERIOD_OVERRIDE=FQ","FILING_STATUS=OR","EQY_CONSOLIDATED=Y","Sort=A","Dates=H","DateFormat=P","Fill=—","Direction=H","UseDPDF=Y")</f>
        <v>#NAME?</v>
      </c>
      <c r="AI621" s="2" t="e">
        <f ca="1">_xll.BDH($C$603,"TOTAL_EQUITY_1_YEAR_GROWTH","FQ3 2017","FQ3 2017","Currency=INR","Period=FQ","BEST_FPERIOD_OVERRIDE=FQ","FILING_STATUS=OR","EQY_CONSOLIDATED=Y","Sort=A","Dates=H","DateFormat=P","Fill=—","Direction=H","UseDPDF=Y")</f>
        <v>#NAME?</v>
      </c>
      <c r="AJ621" s="2" t="e">
        <f ca="1">_xll.BDH($C$603,"GROWTH_IN_CAP","FQ3 2017","FQ3 2017","Currency=INR","Period=FQ","BEST_FPERIOD_OVERRIDE=FQ","FILING_STATUS=OR","EQY_CONSOLIDATED=Y","Sort=A","Dates=H","DateFormat=P","Fill=—","Direction=H","UseDPDF=Y")</f>
        <v>#NAME?</v>
      </c>
      <c r="AK621" s="2" t="e">
        <f ca="1">_xll.BDH($C$603,"BVPS_GROWTH","FQ3 2017","FQ3 2017","Currency=INR","Period=FQ","BEST_FPERIOD_OVERRIDE=FQ","FILING_STATUS=OR","EQY_CONSOLIDATED=Y","Sort=A","Dates=H","DateFormat=P","Fill=—","Direction=H","UseDPDF=Y")</f>
        <v>#NAME?</v>
      </c>
      <c r="AL621" s="2" t="e">
        <f ca="1">_xll.BDH($C$603,"CASH_FLOW_GROWTH","FQ3 2017","FQ3 2017","Currency=INR","Period=FQ","BEST_FPERIOD_OVERRIDE=FQ","FILING_STATUS=OR","EQY_CONSOLIDATED=Y","Sort=A","Dates=H","DateFormat=P","Fill=—","Direction=H","UseDPDF=Y")</f>
        <v>#NAME?</v>
      </c>
      <c r="AM621" s="2" t="e">
        <f ca="1">_xll.BDH($C$603,"GEO_GROW_NET_SALES","FQ3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621" s="2" t="e">
        <f ca="1">_xll.BDH($C$603,"GEO_GROW_EBITDA","FQ3 2017","FQ3 2017","Currency=INR","Period=FQ","BEST_FPERIOD_OVERRIDE=FQ","FILING_STATUS=OR","EQY_CONSOLIDATED=Y","FA_ADJUSTED=GAAP","Sort=A","Dates=H","DateFormat=P","Fill=—","Direction=H","UseDPDF=Y")</f>
        <v>#NAME?</v>
      </c>
      <c r="AO621" s="2" t="e">
        <f ca="1">_xll.BDH($C$603,"GEO_GROW_OPER_INC","FQ3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621" s="2" t="e">
        <f ca="1">_xll.BDH($C$603,"NET_INCOME_TO_COMMON_5_YR_GROWTH","FQ3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621" s="2" t="e">
        <f ca="1">_xll.BDH($C$603,"5Y_GEO_GROWTH_DILUTED_EPS","FQ3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621" s="2" t="e">
        <f ca="1">_xll.BDH($C$603,"GEO_GROW_DVD_PER_SH","FQ3 2017","FQ3 2017","Currency=INR","Period=FQ","BEST_FPERIOD_OVERRIDE=FQ","FILING_STATUS=OR","EQY_CONSOLIDATED=Y","Sort=A","Dates=H","DateFormat=P","Fill=—","Direction=H","UseDPDF=Y")</f>
        <v>#NAME?</v>
      </c>
      <c r="AS621" s="2" t="e">
        <f ca="1">_xll.BDH($C$603,"ACCOUNTS_RECEIVABLE_5_YR_GROWTH","FQ3 2017","FQ3 2017","Currency=INR","Period=FQ","BEST_FPERIOD_OVERRIDE=FQ","FILING_STATUS=OR","EQY_CONSOLIDATED=Y","Sort=A","Dates=H","DateFormat=P","Fill=—","Direction=H","UseDPDF=Y")</f>
        <v>#NAME?</v>
      </c>
      <c r="AT621" s="2" t="e">
        <f ca="1">_xll.BDH($C$603,"INVENTORY_5_YEAR_GROWTH","FQ3 2017","FQ3 2017","Currency=INR","Period=FQ","BEST_FPERIOD_OVERRIDE=FQ","FILING_STATUS=OR","EQY_CONSOLIDATED=Y","Sort=A","Dates=H","DateFormat=P","Fill=—","Direction=H","UseDPDF=Y")</f>
        <v>#NAME?</v>
      </c>
      <c r="AU621" s="2" t="e">
        <f ca="1">_xll.BDH($C$603,"NET_FIXED_ASSETS_5_YEAR_GROWTH","FQ3 2017","FQ3 2017","Currency=INR","Period=FQ","BEST_FPERIOD_OVERRIDE=FQ","FILING_STATUS=OR","EQY_CONSOLIDATED=Y","Sort=A","Dates=H","DateFormat=P","Fill=—","Direction=H","UseDPDF=Y")</f>
        <v>#NAME?</v>
      </c>
      <c r="AV621" s="2" t="e">
        <f ca="1">_xll.BDH($C$603,"GEO_GROW_TOT_ASSET","FQ3 2017","FQ3 2017","Currency=INR","Period=FQ","BEST_FPERIOD_OVERRIDE=FQ","FILING_STATUS=OR","EQY_CONSOLIDATED=Y","Sort=A","Dates=H","DateFormat=P","Fill=—","Direction=H","UseDPDF=Y")</f>
        <v>#NAME?</v>
      </c>
      <c r="AW621" s="2" t="e">
        <f ca="1">_xll.BDH($C$603,"MODIFIED_WORKING_CPTL_5YR_GRWTH","FQ3 2017","FQ3 2017","Currency=INR","Period=FQ","BEST_FPERIOD_OVERRIDE=FQ","FILING_STATUS=OR","EQY_CONSOLIDATED=Y","Sort=A","Dates=H","DateFormat=P","Fill=—","Direction=H","UseDPDF=Y")</f>
        <v>#NAME?</v>
      </c>
      <c r="AX621" s="2" t="e">
        <f ca="1">_xll.BDH($C$603,"WORKING_CAPITAL_5_YEAR_GROWTH","FQ3 2017","FQ3 2017","Currency=INR","Period=FQ","BEST_FPERIOD_OVERRIDE=FQ","FILING_STATUS=OR","EQY_CONSOLIDATED=Y","Sort=A","Dates=H","DateFormat=P","Fill=—","Direction=H","UseDPDF=Y")</f>
        <v>#NAME?</v>
      </c>
      <c r="AY621" s="2" t="e">
        <f ca="1">_xll.BDH($C$603,"ACCOUNTS_PAYABLE_5_YEAR_GROWTH","FQ3 2017","FQ3 2017","Currency=INR","Period=FQ","BEST_FPERIOD_OVERRIDE=FQ","FILING_STATUS=OR","EQY_CONSOLIDATED=Y","Sort=A","Dates=H","DateFormat=P","Fill=—","Direction=H","UseDPDF=Y")</f>
        <v>#NAME?</v>
      </c>
      <c r="AZ621" s="2" t="e">
        <f ca="1">_xll.BDH($C$603,"SHORT_TERM_DEBT_5_YEAR_GROWTH","FQ3 2017","FQ3 2017","Currency=INR","Period=FQ","BEST_FPERIOD_OVERRIDE=FQ","FILING_STATUS=OR","EQY_CONSOLIDATED=Y","Sort=A","Dates=H","DateFormat=P","Fill=—","Direction=H","UseDPDF=Y")</f>
        <v>#NAME?</v>
      </c>
      <c r="BA621" s="2" t="e">
        <f ca="1">_xll.BDH($C$603,"TOTAL_DEBT_5_YEAR_GROWTH","FQ3 2017","FQ3 2017","Currency=INR","Period=FQ","BEST_FPERIOD_OVERRIDE=FQ","FILING_STATUS=OR","EQY_CONSOLIDATED=Y","Sort=A","Dates=H","DateFormat=P","Fill=—","Direction=H","UseDPDF=Y")</f>
        <v>#NAME?</v>
      </c>
      <c r="BB621" s="2" t="e">
        <f ca="1">_xll.BDH($C$603,"GEO_GROW_TOT_SHRHLDR_EQY","FQ3 2017","FQ3 2017","Currency=INR","Period=FQ","BEST_FPERIOD_OVERRIDE=FQ","FILING_STATUS=OR","EQY_CONSOLIDATED=Y","Sort=A","Dates=H","DateFormat=P","Fill=—","Direction=H","UseDPDF=Y")</f>
        <v>#NAME?</v>
      </c>
      <c r="BC621" s="2" t="e">
        <f ca="1">_xll.BDH($C$603,"TOTAL_CAPITAL_5_YEAR_GROWTH","FQ3 2017","FQ3 2017","Currency=INR","Period=FQ","BEST_FPERIOD_OVERRIDE=FQ","FILING_STATUS=OR","EQY_CONSOLIDATED=Y","Sort=A","Dates=H","DateFormat=P","Fill=—","Direction=H","UseDPDF=Y")</f>
        <v>#NAME?</v>
      </c>
      <c r="BD621" s="2" t="e">
        <f ca="1">_xll.BDH($C$603,"GEO_GROW_BOOK_VAL","FQ3 2017","FQ3 2017","Currency=INR","Period=FQ","BEST_FPERIOD_OVERRIDE=FQ","FILING_STATUS=OR","EQY_CONSOLIDATED=Y","Sort=A","Dates=H","DateFormat=P","Fill=—","Direction=H","UseDPDF=Y")</f>
        <v>#NAME?</v>
      </c>
      <c r="BE621" s="2" t="e">
        <f ca="1">_xll.BDH($C$603,"GEO_GROW_CASH_OPER_ACT","FQ3 2017","FQ3 2017","Currency=INR","Period=FQ","BEST_FPERIOD_OVERRIDE=FQ","FILING_STATUS=OR","EQY_CONSOLIDATED=Y","Sort=A","Dates=H","DateFormat=P","Fill=—","Direction=H","UseDPDF=Y")</f>
        <v>#NAME?</v>
      </c>
      <c r="BF621" s="2" t="e">
        <f ca="1">_xll.BDH($C$603,"REVENUE_SEQUENTIAL_GROWTH","FQ3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621" s="2" t="e">
        <f ca="1">_xll.BDH($C$603,"EBITDA_SEQUENTIAL_GROWTH","FQ3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621" s="2" t="e">
        <f ca="1">_xll.BDH($C$603,"OPERATING_INCOME_SEQ_GROWTH","FQ3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621" s="2" t="e">
        <f ca="1">_xll.BDH($C$603,"NET_INCOME_TO_COMMON_SEQ_GROWTH","FQ3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621" s="2" t="e">
        <f ca="1">_xll.BDH($C$603,"EPS_DILUTED_SEQUENTIAL_GROWTH","FQ3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621" s="2" t="e">
        <f ca="1">_xll.BDH($C$603,"DPS_SEQUENTIAL_GROWTH","FQ3 2017","FQ3 2017","Currency=INR","Period=FQ","BEST_FPERIOD_OVERRIDE=FQ","FILING_STATUS=OR","EQY_CONSOLIDATED=Y","Sort=A","Dates=H","DateFormat=P","Fill=—","Direction=H","UseDPDF=Y")</f>
        <v>#NAME?</v>
      </c>
      <c r="BL621" s="2" t="e">
        <f ca="1">_xll.BDH($C$603,"ACCOUNTS_RECEIVABLE_SEQ_GROWTH","FQ3 2017","FQ3 2017","Currency=INR","Period=FQ","BEST_FPERIOD_OVERRIDE=FQ","FILING_STATUS=OR","EQY_CONSOLIDATED=Y","Sort=A","Dates=H","DateFormat=P","Fill=—","Direction=H","UseDPDF=Y")</f>
        <v>#NAME?</v>
      </c>
      <c r="BM621" s="2" t="e">
        <f ca="1">_xll.BDH($C$603,"INVENTORY_SEQUENTIAL_GROWTH","FQ3 2017","FQ3 2017","Currency=INR","Period=FQ","BEST_FPERIOD_OVERRIDE=FQ","FILING_STATUS=OR","EQY_CONSOLIDATED=Y","Sort=A","Dates=H","DateFormat=P","Fill=—","Direction=H","UseDPDF=Y")</f>
        <v>#NAME?</v>
      </c>
      <c r="BN621" s="2" t="e">
        <f ca="1">_xll.BDH($C$603,"FIXED_ASSETS_SEQUENTIAL_GROWTH","FQ3 2017","FQ3 2017","Currency=INR","Period=FQ","BEST_FPERIOD_OVERRIDE=FQ","FILING_STATUS=OR","EQY_CONSOLIDATED=Y","Sort=A","Dates=H","DateFormat=P","Fill=—","Direction=H","UseDPDF=Y")</f>
        <v>#NAME?</v>
      </c>
      <c r="BO621" s="2" t="e">
        <f ca="1">_xll.BDH($C$603,"TOTAL_ASSETS_SEQUENTIAL_GROWTH","FQ3 2017","FQ3 2017","Currency=INR","Period=FQ","BEST_FPERIOD_OVERRIDE=FQ","FILING_STATUS=OR","EQY_CONSOLIDATED=Y","Sort=A","Dates=H","DateFormat=P","Fill=—","Direction=H","UseDPDF=Y")</f>
        <v>#NAME?</v>
      </c>
      <c r="BP621" s="2" t="e">
        <f ca="1">_xll.BDH($C$603,"MODIFIED_WORKING_CPTL_SEQ_GRWTH","FQ3 2017","FQ3 2017","Currency=INR","Period=FQ","BEST_FPERIOD_OVERRIDE=FQ","FILING_STATUS=OR","EQY_CONSOLIDATED=Y","Sort=A","Dates=H","DateFormat=P","Fill=—","Direction=H","UseDPDF=Y")</f>
        <v>#NAME?</v>
      </c>
      <c r="BQ621" s="2" t="e">
        <f ca="1">_xll.BDH($C$603,"WORKING_CAPITAL_SEQ_GROWTH","FQ3 2017","FQ3 2017","Currency=INR","Period=FQ","BEST_FPERIOD_OVERRIDE=FQ","FILING_STATUS=OR","EQY_CONSOLIDATED=Y","Sort=A","Dates=H","DateFormat=P","Fill=—","Direction=H","UseDPDF=Y")</f>
        <v>#NAME?</v>
      </c>
      <c r="BR621" s="2" t="e">
        <f ca="1">_xll.BDH($C$603,"ACCOUNTS_PAYABLE_SEQ_GROWTH","FQ3 2017","FQ3 2017","Currency=INR","Period=FQ","BEST_FPERIOD_OVERRIDE=FQ","FILING_STATUS=OR","EQY_CONSOLIDATED=Y","Sort=A","Dates=H","DateFormat=P","Fill=—","Direction=H","UseDPDF=Y")</f>
        <v>#NAME?</v>
      </c>
      <c r="BS621" s="2" t="e">
        <f ca="1">_xll.BDH($C$603,"ST_DEBT_SEQUENTIAL_GROWTH","FQ3 2017","FQ3 2017","Currency=INR","Period=FQ","BEST_FPERIOD_OVERRIDE=FQ","FILING_STATUS=OR","EQY_CONSOLIDATED=Y","Sort=A","Dates=H","DateFormat=P","Fill=—","Direction=H","UseDPDF=Y")</f>
        <v>#NAME?</v>
      </c>
      <c r="BT621" s="2" t="e">
        <f ca="1">_xll.BDH($C$603,"TOTAL_DEBT_SEQUENTIAL_GROWTH","FQ3 2017","FQ3 2017","Currency=INR","Period=FQ","BEST_FPERIOD_OVERRIDE=FQ","FILING_STATUS=OR","EQY_CONSOLIDATED=Y","Sort=A","Dates=H","DateFormat=P","Fill=—","Direction=H","UseDPDF=Y")</f>
        <v>#NAME?</v>
      </c>
      <c r="BU621" s="2" t="e">
        <f ca="1">_xll.BDH($C$603,"TOTAL_EQUITY_SEQUENTIAL_GROWTH","FQ3 2017","FQ3 2017","Currency=INR","Period=FQ","BEST_FPERIOD_OVERRIDE=FQ","FILING_STATUS=OR","EQY_CONSOLIDATED=Y","Sort=A","Dates=H","DateFormat=P","Fill=—","Direction=H","UseDPDF=Y")</f>
        <v>#NAME?</v>
      </c>
      <c r="BV621" s="2" t="e">
        <f ca="1">_xll.BDH($C$603,"TOTAL_CAPITAL_SEQUENTIAL_GROWTH","FQ3 2017","FQ3 2017","Currency=INR","Period=FQ","BEST_FPERIOD_OVERRIDE=FQ","FILING_STATUS=OR","EQY_CONSOLIDATED=Y","Sort=A","Dates=H","DateFormat=P","Fill=—","Direction=H","UseDPDF=Y")</f>
        <v>#NAME?</v>
      </c>
      <c r="BW621" s="2" t="e">
        <f ca="1">_xll.BDH($C$603,"BPS_SEQUENTIAL_GROWTH","FQ3 2017","FQ3 2017","Currency=INR","Period=FQ","BEST_FPERIOD_OVERRIDE=FQ","FILING_STATUS=OR","EQY_CONSOLIDATED=Y","Sort=A","Dates=H","DateFormat=P","Fill=—","Direction=H","UseDPDF=Y")</f>
        <v>#NAME?</v>
      </c>
      <c r="BX621" s="2" t="e">
        <f ca="1">_xll.BDH($C$603,"CFO_SEQUENTIAL_GROWTH","FQ3 2017","FQ3 2017","Currency=INR","Period=FQ","BEST_FPERIOD_OVERRIDE=FQ","FILING_STATUS=OR","EQY_CONSOLIDATED=Y","Sort=A","Dates=H","DateFormat=P","Fill=—","Direction=H","UseDPDF=Y")</f>
        <v>#NAME?</v>
      </c>
      <c r="BY621" s="3" t="e">
        <f ca="1">_xll.BDH($C$603,"SHORT_AND_LONG_TERM_DEBT","FQ3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621" s="3" t="e">
        <f ca="1">_xll.BDH($C$603,"BS_ST_BORROW","FQ3 2017","FQ3 2017","Currency=INR","Period=FQ","BEST_FPERIOD_OVERRIDE=FQ","FILING_STATUS=OR","EQY_CONSOLIDATED=Y","SCALING_FORMAT=MLN","Sort=A","Dates=H","DateFormat=P","Fill=—","Direction=H","UseDPDF=Y")</f>
        <v>#NAME?</v>
      </c>
      <c r="CA621" s="3" t="e">
        <f ca="1">_xll.BDH($C$603,"BS_LT_BORROW","FQ3 2017","FQ3 2017","Currency=INR","Period=FQ","BEST_FPERIOD_OVERRIDE=FQ","FILING_STATUS=OR","EQY_CONSOLIDATED=Y","SCALING_FORMAT=MLN","Sort=A","Dates=H","DateFormat=P","Fill=—","Direction=H","UseDPDF=Y")</f>
        <v>#NAME?</v>
      </c>
      <c r="CB621" s="2" t="e">
        <f ca="1">_xll.BDH($C$603,"TOT_DEBT_TO_EBITDA","FQ3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621" s="2" t="e">
        <f ca="1">_xll.BDH($C$603,"NET_DEBT_TO_EBITDA","FQ3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621" s="2" t="e">
        <f ca="1">_xll.BDH($C$603,"TOTAL_DEBT_TO_EBIT","FQ3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621" s="2" t="e">
        <f ca="1">_xll.BDH($C$603,"NET_DEBT_TO_EBIT","FQ3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621" s="2" t="e">
        <f ca="1">_xll.BDH($C$603,"EBITDA_TO_INTEREST_EXPN","FQ3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621" s="2" t="e">
        <f ca="1">_xll.BDH($C$603,"COM_EQY_TO_TOT_ASSET","FQ3 2017","FQ3 2017","Currency=INR","Period=FQ","BEST_FPERIOD_OVERRIDE=FQ","FILING_STATUS=OR","EQY_CONSOLIDATED=Y","Sort=A","Dates=H","DateFormat=P","Fill=—","Direction=H","UseDPDF=Y")</f>
        <v>#NAME?</v>
      </c>
      <c r="CH621" s="2" t="e">
        <f ca="1">_xll.BDH($C$603,"LT_DEBT_TO_TOT_EQY","FQ3 2017","FQ3 2017","Currency=INR","Period=FQ","BEST_FPERIOD_OVERRIDE=FQ","FILING_STATUS=OR","EQY_CONSOLIDATED=Y","Sort=A","Dates=H","DateFormat=P","Fill=—","Direction=H","UseDPDF=Y")</f>
        <v>#NAME?</v>
      </c>
      <c r="CI621" s="2" t="e">
        <f ca="1">_xll.BDH($C$603,"LT_DEBT_TO_TOT_CAP","FQ3 2017","FQ3 2017","Currency=INR","Period=FQ","BEST_FPERIOD_OVERRIDE=FQ","FILING_STATUS=OR","EQY_CONSOLIDATED=Y","Sort=A","Dates=H","DateFormat=P","Fill=—","Direction=H","UseDPDF=Y")</f>
        <v>#NAME?</v>
      </c>
      <c r="CJ621" s="2" t="e">
        <f ca="1">_xll.BDH($C$603,"LT_DEBT_TO_TOT_ASSET","FQ3 2017","FQ3 2017","Currency=INR","Period=FQ","BEST_FPERIOD_OVERRIDE=FQ","FILING_STATUS=OR","EQY_CONSOLIDATED=Y","Sort=A","Dates=H","DateFormat=P","Fill=—","Direction=H","UseDPDF=Y")</f>
        <v>#NAME?</v>
      </c>
      <c r="CK621" s="2" t="e">
        <f ca="1">_xll.BDH($C$603,"TOT_DEBT_TO_TOT_EQY","FQ3 2017","FQ3 2017","Currency=INR","Period=FQ","BEST_FPERIOD_OVERRIDE=FQ","FILING_STATUS=OR","EQY_CONSOLIDATED=Y","Sort=A","Dates=H","DateFormat=P","Fill=—","Direction=H","UseDPDF=Y")</f>
        <v>#NAME?</v>
      </c>
      <c r="CL621" s="2" t="e">
        <f ca="1">_xll.BDH($C$603,"TOT_DEBT_TO_TOT_CAP","FQ3 2017","FQ3 2017","Currency=INR","Period=FQ","BEST_FPERIOD_OVERRIDE=FQ","FILING_STATUS=OR","EQY_CONSOLIDATED=Y","Sort=A","Dates=H","DateFormat=P","Fill=—","Direction=H","UseDPDF=Y")</f>
        <v>#NAME?</v>
      </c>
      <c r="CM621" s="2" t="e">
        <f ca="1">_xll.BDH($C$603,"TOT_DEBT_TO_TOT_ASSET","FQ3 2017","FQ3 2017","Currency=INR","Period=FQ","BEST_FPERIOD_OVERRIDE=FQ","FILING_STATUS=OR","EQY_CONSOLIDATED=Y","Sort=A","Dates=H","DateFormat=P","Fill=—","Direction=H","UseDPDF=Y")</f>
        <v>#NAME?</v>
      </c>
      <c r="CN621" s="2" t="e">
        <f ca="1">_xll.BDH($C$603,"NET_DEBT_TO_SHRHLDR_EQTY","FQ3 2017","FQ3 2017","Currency=INR","Period=FQ","BEST_FPERIOD_OVERRIDE=FQ","FILING_STATUS=OR","EQY_CONSOLIDATED=Y","Sort=A","Dates=H","DateFormat=P","Fill=—","Direction=H","UseDPDF=Y")</f>
        <v>#NAME?</v>
      </c>
      <c r="CO621" s="2" t="e">
        <f ca="1">_xll.BDH($C$603,"NET_DEBT_%_CAPITAL","FQ3 2017","FQ3 2017","Currency=INR","Period=FQ","BEST_FPERIOD_OVERRIDE=FQ","FILING_STATUS=OR","EQY_CONSOLIDATED=Y","Sort=A","Dates=H","DateFormat=P","Fill=—","Direction=H","UseDPDF=Y")</f>
        <v>#NAME?</v>
      </c>
      <c r="CP621" s="3" t="e">
        <f ca="1">_xll.BDH($C$603,"EBITDA","FQ3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621" s="3" t="e">
        <f ca="1">_xll.BDH($C$603,"EBITDA_AFTER_CAPEX","FQ3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621" s="3" t="e">
        <f ca="1">_xll.BDH($C$603,"IS_OPER_INC","FQ3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621" s="2" t="e">
        <f ca="1">_xll.BDH($C$603,"CASH_RATIO","FQ3 2017","FQ3 2017","Currency=INR","Period=FQ","BEST_FPERIOD_OVERRIDE=FQ","FILING_STATUS=OR","EQY_CONSOLIDATED=Y","Sort=A","Dates=H","DateFormat=P","Fill=—","Direction=H","UseDPDF=Y")</f>
        <v>#NAME?</v>
      </c>
      <c r="CT621" s="2" t="e">
        <f ca="1">_xll.BDH($C$603,"CUR_RATIO","FQ3 2017","FQ3 2017","Currency=INR","Period=FQ","BEST_FPERIOD_OVERRIDE=FQ","FILING_STATUS=OR","EQY_CONSOLIDATED=Y","Sort=A","Dates=H","DateFormat=P","Fill=—","Direction=H","UseDPDF=Y")</f>
        <v>#NAME?</v>
      </c>
      <c r="CU621" s="2" t="e">
        <f ca="1">_xll.BDH($C$603,"QUICK_RATIO","FQ3 2017","FQ3 2017","Currency=INR","Period=FQ","BEST_FPERIOD_OVERRIDE=FQ","FILING_STATUS=OR","EQY_CONSOLIDATED=Y","Sort=A","Dates=H","DateFormat=P","Fill=—","Direction=H","UseDPDF=Y")</f>
        <v>#NAME?</v>
      </c>
      <c r="CV621" s="2" t="e">
        <f ca="1">_xll.BDH($C$603,"ALTMAN_Z_SCORE","FQ3 2017","FQ3 2017","Currency=INR","Period=FQ","BEST_FPERIOD_OVERRIDE=FQ","FILING_STATUS=OR","EQY_CONSOLIDATED=Y","Sort=A","Dates=H","DateFormat=P","Fill=—","Direction=H","UseDPDF=Y")</f>
        <v>#NAME?</v>
      </c>
      <c r="CW621" s="4" t="e">
        <f ca="1">_xll.BDH($C$603,"ACCT_RCV_TURN","FQ3 2017","FQ3 2017","Currency=INR","Period=FQ","BEST_FPERIOD_OVERRIDE=FQ","FILING_STATUS=OR","EQY_CONSOLIDATED=Y","FA_ADJUSTED=GAAP","Sort=A","Dates=H","DateFormat=P","Fill=—","Direction=H","UseDPDF=Y")</f>
        <v>#NAME?</v>
      </c>
      <c r="CX621" s="2" t="e">
        <f ca="1">_xll.BDH($C$603,"ACCT_RCV_DAYS","FQ3 2017","FQ3 2017","Currency=INR","Period=FQ","BEST_FPERIOD_OVERRIDE=FQ","FILING_STATUS=OR","EQY_CONSOLIDATED=Y","FA_ADJUSTED=GAAP","Sort=A","Dates=H","DateFormat=P","Fill=—","Direction=H","UseDPDF=Y")</f>
        <v>#NAME?</v>
      </c>
      <c r="CY621" s="4" t="e">
        <f ca="1">_xll.BDH($C$603,"INVENT_TURN","FQ3 2017","FQ3 2017","Currency=INR","Period=FQ","BEST_FPERIOD_OVERRIDE=FQ","FILING_STATUS=OR","EQY_CONSOLIDATED=Y","FA_ADJUSTED=GAAP","Sort=A","Dates=H","DateFormat=P","Fill=—","Direction=H","UseDPDF=Y")</f>
        <v>#NAME?</v>
      </c>
      <c r="CZ621" s="2" t="e">
        <f ca="1">_xll.BDH($C$603,"INVENT_DAYS","FQ3 2017","FQ3 2017","Currency=INR","Period=FQ","BEST_FPERIOD_OVERRIDE=FQ","FILING_STATUS=OR","EQY_CONSOLIDATED=Y","FA_ADJUSTED=GAAP","Sort=A","Dates=H","DateFormat=P","Fill=—","Direction=H","UseDPDF=Y")</f>
        <v>#NAME?</v>
      </c>
      <c r="DA621" s="4" t="e">
        <f ca="1">_xll.BDH($C$603,"ACCOUNTS_PAYABLE_TURNOVER","FQ3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621" s="2" t="e">
        <f ca="1">_xll.BDH($C$603,"ACCOUNTS_PAYABLE_TURNOVER_DAYS","FQ3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621" s="4" t="e">
        <f ca="1">_xll.BDH($C$603,"CASH_CONVERSION_CYCLE","FQ3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621" s="4" t="e">
        <f ca="1">_xll.BDH($C$603,"INV_TO_CASH_DAYS","FQ3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621" s="5" t="e">
        <f ca="1">_xll.BDH($C$603,"BS_INVENTORIES","FQ3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621" s="3" t="e">
        <f ca="1">_xll.BDH($C$603,"INVTRY_RAW_MATERIALS","FQ3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621" s="3" t="e">
        <f ca="1">_xll.BDH($C$603,"INVTRY_IN_PROGRESS","FQ3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621" s="3" t="e">
        <f ca="1">_xll.BDH($C$603,"INVTRY_FINISHED_GOODS","FQ3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621" s="3" t="e">
        <f ca="1">_xll.BDH($C$603,"BS_OTHER_INV","FQ3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622" spans="1:113" x14ac:dyDescent="0.3">
      <c r="A622" s="6"/>
      <c r="B622" s="6"/>
      <c r="C622" s="6"/>
      <c r="D622" s="6"/>
      <c r="E622" t="s">
        <v>81</v>
      </c>
      <c r="F622" t="e">
        <f ca="1">_xll.BDH($C$603,"RETURN_COM_EQY","FQ4 2017","FQ4 2017","Currency=INR","Period=FQ","BEST_FPERIOD_OVERRIDE=FQ","FILING_STATUS=OR","EQY_CONSOLIDATED=Y","FA_ADJUSTED=GAAP","Sort=A","Dates=H","DateFormat=P","Fill=—","Direction=H","UseDPDF=Y")</f>
        <v>#NAME?</v>
      </c>
      <c r="G622" t="e">
        <f ca="1">_xll.BDH($C$603,"RETURN_ON_ASSET","FQ4 2017","FQ4 2017","Currency=INR","Period=FQ","BEST_FPERIOD_OVERRIDE=FQ","FILING_STATUS=OR","EQY_CONSOLIDATED=Y","FA_ADJUSTED=GAAP","Sort=A","Dates=H","DateFormat=P","Fill=—","Direction=H","UseDPDF=Y")</f>
        <v>#NAME?</v>
      </c>
      <c r="H622" t="e">
        <f ca="1">_xll.BDH($C$603,"RETURN_ON_CAP","FQ4 2017","FQ4 2017","Currency=INR","Period=FQ","BEST_FPERIOD_OVERRIDE=FQ","FILING_STATUS=OR","EQY_CONSOLIDATED=Y","FA_ADJUSTED=GAAP","Sort=A","Dates=H","DateFormat=P","Fill=—","Direction=H","UseDPDF=Y")</f>
        <v>#NAME?</v>
      </c>
      <c r="I622" t="e">
        <f ca="1">_xll.BDH($C$603,"RETURN_ON_INV_CAPITAL","FQ4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622" t="e">
        <f ca="1">_xll.BDH($C$603,"EBITDA_TO_REVENUE","FQ4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622" t="e">
        <f ca="1">_xll.BDH($C$603,"OPER_MARGIN","FQ4 2017","FQ4 2017","Currency=INR","Period=FQ","BEST_FPERIOD_OVERRIDE=FQ","FILING_STATUS=OR","EQY_CONSOLIDATED=Y","FA_ADJUSTED=GAAP","Sort=A","Dates=H","DateFormat=P","Fill=—","Direction=H","UseDPDF=Y")</f>
        <v>#NAME?</v>
      </c>
      <c r="L622" t="e">
        <f ca="1">_xll.BDH($C$603,"INCREMENTAL_OPERATING_MARGIN","FQ4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622" t="e">
        <f ca="1">_xll.BDH($C$603,"PRETAX_INC_TO_NET_SALES","FQ4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622" t="e">
        <f ca="1">_xll.BDH($C$603,"INC_BEF_XO_ITEMS_TO_NET_SALES","FQ4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622" t="e">
        <f ca="1">_xll.BDH($C$603,"PROF_MARGIN","FQ4 2017","FQ4 2017","Currency=INR","Period=FQ","BEST_FPERIOD_OVERRIDE=FQ","FILING_STATUS=OR","EQY_CONSOLIDATED=Y","FA_ADJUSTED=GAAP","Sort=A","Dates=H","DateFormat=P","Fill=—","Direction=H","UseDPDF=Y")</f>
        <v>#NAME?</v>
      </c>
      <c r="P622" t="e">
        <f ca="1">_xll.BDH($C$603,"NET_INCOME_TO_COMMON_MARGIN","FQ4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622" t="e">
        <f ca="1">_xll.BDH($C$603,"EFF_TAX_RATE","FQ4 2017","FQ4 2017","Currency=INR","Period=FQ","BEST_FPERIOD_OVERRIDE=FQ","FILING_STATUS=OR","EQY_CONSOLIDATED=Y","FA_ADJUSTED=GAAP","Sort=A","Dates=H","DateFormat=P","Fill=—","Direction=H","UseDPDF=Y")</f>
        <v>#NAME?</v>
      </c>
      <c r="R622" t="e">
        <f ca="1">_xll.BDH($C$603,"DVD_PAYOUT_RATIO","FQ4 2017","FQ4 2017","Currency=INR","Period=FQ","BEST_FPERIOD_OVERRIDE=FQ","FILING_STATUS=OR","EQY_CONSOLIDATED=Y","FA_ADJUSTED=GAAP","Sort=A","Dates=H","DateFormat=P","Fill=—","Direction=H","UseDPDF=Y")</f>
        <v>#NAME?</v>
      </c>
      <c r="S622" t="e">
        <f ca="1">_xll.BDH($C$603,"SUSTAIN_GROWTH_RT","FQ4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622" s="2" t="e">
        <f ca="1">_xll.BDH($C$603,"SALES_GROWTH","FQ4 2017","FQ4 2017","Currency=INR","Period=FQ","BEST_FPERIOD_OVERRIDE=FQ","FILING_STATUS=OR","EQY_CONSOLIDATED=Y","FA_ADJUSTED=GAAP","Sort=A","Dates=H","DateFormat=P","Fill=—","Direction=H","UseDPDF=Y")</f>
        <v>#NAME?</v>
      </c>
      <c r="U622" s="2" t="e">
        <f ca="1">_xll.BDH($C$603,"EBITDA_GROWTH","FQ4 2017","FQ4 2017","Currency=INR","Period=FQ","BEST_FPERIOD_OVERRIDE=FQ","FILING_STATUS=OR","EQY_CONSOLIDATED=Y","FA_ADJUSTED=GAAP","Sort=A","Dates=H","DateFormat=P","Fill=—","Direction=H","UseDPDF=Y")</f>
        <v>#NAME?</v>
      </c>
      <c r="V622" s="2" t="e">
        <f ca="1">_xll.BDH($C$603,"OPER_INC_GROWTH","FQ4 2017","FQ4 2017","Currency=INR","Period=FQ","BEST_FPERIOD_OVERRIDE=FQ","FILING_STATUS=OR","EQY_CONSOLIDATED=Y","FA_ADJUSTED=GAAP","Sort=A","Dates=H","DateFormat=P","Fill=—","Direction=H","UseDPDF=Y")</f>
        <v>#NAME?</v>
      </c>
      <c r="W622" s="2" t="e">
        <f ca="1">_xll.BDH($C$603,"EARN_FOR_COM_GROWTH","FQ4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622" s="2" t="e">
        <f ca="1">_xll.BDH($C$603,"DILUTED_EPS_AFT_XO_ITEMS_GROWTH","FQ4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622" s="2" t="e">
        <f ca="1">_xll.BDH($C$603,"DIVIDEND_PER_SHARE_1_YEAR_GROWTH","FQ4 2017","FQ4 2017","Currency=INR","Period=FQ","BEST_FPERIOD_OVERRIDE=FQ","FILING_STATUS=OR","EQY_CONSOLIDATED=Y","Sort=A","Dates=H","DateFormat=P","Fill=—","Direction=H","UseDPDF=Y")</f>
        <v>#NAME?</v>
      </c>
      <c r="Z622" s="2" t="e">
        <f ca="1">_xll.BDH($C$603,"ACCOUNTS_RECEIVABLE_GROWTH","FQ4 2017","FQ4 2017","Currency=INR","Period=FQ","BEST_FPERIOD_OVERRIDE=FQ","FILING_STATUS=OR","EQY_CONSOLIDATED=Y","Sort=A","Dates=H","DateFormat=P","Fill=—","Direction=H","UseDPDF=Y")</f>
        <v>#NAME?</v>
      </c>
      <c r="AA622" s="2" t="e">
        <f ca="1">_xll.BDH($C$603,"INVENTORY_GROWTH","FQ4 2017","FQ4 2017","Currency=INR","Period=FQ","BEST_FPERIOD_OVERRIDE=FQ","FILING_STATUS=OR","EQY_CONSOLIDATED=Y","Sort=A","Dates=H","DateFormat=P","Fill=—","Direction=H","UseDPDF=Y")</f>
        <v>#NAME?</v>
      </c>
      <c r="AB622" s="2" t="e">
        <f ca="1">_xll.BDH($C$603,"NET_FIXED_ASSETS_1_YEAR_GROWTH","FQ4 2017","FQ4 2017","Currency=INR","Period=FQ","BEST_FPERIOD_OVERRIDE=FQ","FILING_STATUS=OR","EQY_CONSOLIDATED=Y","Sort=A","Dates=H","DateFormat=P","Fill=—","Direction=H","UseDPDF=Y")</f>
        <v>#NAME?</v>
      </c>
      <c r="AC622" s="2" t="e">
        <f ca="1">_xll.BDH($C$603,"ASSET_GROWTH","FQ4 2017","FQ4 2017","Currency=INR","Period=FQ","BEST_FPERIOD_OVERRIDE=FQ","FILING_STATUS=OR","EQY_CONSOLIDATED=Y","Sort=A","Dates=H","DateFormat=P","Fill=—","Direction=H","UseDPDF=Y")</f>
        <v>#NAME?</v>
      </c>
      <c r="AD622" s="2" t="e">
        <f ca="1">_xll.BDH($C$603,"MODIFIED_WORK_CAP_GROWTH","FQ4 2017","FQ4 2017","Currency=INR","Period=FQ","BEST_FPERIOD_OVERRIDE=FQ","FILING_STATUS=OR","EQY_CONSOLIDATED=Y","Sort=A","Dates=H","DateFormat=P","Fill=—","Direction=H","UseDPDF=Y")</f>
        <v>#NAME?</v>
      </c>
      <c r="AE622" s="2" t="e">
        <f ca="1">_xll.BDH($C$603,"WORK_CAP_GROWTH","FQ4 2017","FQ4 2017","Currency=INR","Period=FQ","BEST_FPERIOD_OVERRIDE=FQ","FILING_STATUS=OR","EQY_CONSOLIDATED=Y","Sort=A","Dates=H","DateFormat=P","Fill=—","Direction=H","UseDPDF=Y")</f>
        <v>#NAME?</v>
      </c>
      <c r="AF622" s="2" t="e">
        <f ca="1">_xll.BDH($C$603,"ACCOUNTS_PAYABLE_GROWTH_1YR","FQ4 2017","FQ4 2017","Currency=INR","Period=FQ","BEST_FPERIOD_OVERRIDE=FQ","FILING_STATUS=OR","EQY_CONSOLIDATED=Y","Sort=A","Dates=H","DateFormat=P","Fill=—","Direction=H","UseDPDF=Y")</f>
        <v>#NAME?</v>
      </c>
      <c r="AG622" s="2" t="e">
        <f ca="1">_xll.BDH($C$603,"SHORT_TERM_DEBT_1_YEAR_GROWTH","FQ4 2017","FQ4 2017","Currency=INR","Period=FQ","BEST_FPERIOD_OVERRIDE=FQ","FILING_STATUS=OR","EQY_CONSOLIDATED=Y","Sort=A","Dates=H","DateFormat=P","Fill=—","Direction=H","UseDPDF=Y")</f>
        <v>#NAME?</v>
      </c>
      <c r="AH622" s="2" t="e">
        <f ca="1">_xll.BDH($C$603,"TOTAL_DEBT_1_YEAR_GROWTH","FQ4 2017","FQ4 2017","Currency=INR","Period=FQ","BEST_FPERIOD_OVERRIDE=FQ","FILING_STATUS=OR","EQY_CONSOLIDATED=Y","Sort=A","Dates=H","DateFormat=P","Fill=—","Direction=H","UseDPDF=Y")</f>
        <v>#NAME?</v>
      </c>
      <c r="AI622" s="2" t="e">
        <f ca="1">_xll.BDH($C$603,"TOTAL_EQUITY_1_YEAR_GROWTH","FQ4 2017","FQ4 2017","Currency=INR","Period=FQ","BEST_FPERIOD_OVERRIDE=FQ","FILING_STATUS=OR","EQY_CONSOLIDATED=Y","Sort=A","Dates=H","DateFormat=P","Fill=—","Direction=H","UseDPDF=Y")</f>
        <v>#NAME?</v>
      </c>
      <c r="AJ622" s="2" t="e">
        <f ca="1">_xll.BDH($C$603,"GROWTH_IN_CAP","FQ4 2017","FQ4 2017","Currency=INR","Period=FQ","BEST_FPERIOD_OVERRIDE=FQ","FILING_STATUS=OR","EQY_CONSOLIDATED=Y","Sort=A","Dates=H","DateFormat=P","Fill=—","Direction=H","UseDPDF=Y")</f>
        <v>#NAME?</v>
      </c>
      <c r="AK622" s="2" t="e">
        <f ca="1">_xll.BDH($C$603,"BVPS_GROWTH","FQ4 2017","FQ4 2017","Currency=INR","Period=FQ","BEST_FPERIOD_OVERRIDE=FQ","FILING_STATUS=OR","EQY_CONSOLIDATED=Y","Sort=A","Dates=H","DateFormat=P","Fill=—","Direction=H","UseDPDF=Y")</f>
        <v>#NAME?</v>
      </c>
      <c r="AL622" s="2" t="e">
        <f ca="1">_xll.BDH($C$603,"CASH_FLOW_GROWTH","FQ4 2017","FQ4 2017","Currency=INR","Period=FQ","BEST_FPERIOD_OVERRIDE=FQ","FILING_STATUS=OR","EQY_CONSOLIDATED=Y","Sort=A","Dates=H","DateFormat=P","Fill=—","Direction=H","UseDPDF=Y")</f>
        <v>#NAME?</v>
      </c>
      <c r="AM622" s="2" t="e">
        <f ca="1">_xll.BDH($C$603,"GEO_GROW_NET_SALES","FQ4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622" s="2" t="e">
        <f ca="1">_xll.BDH($C$603,"GEO_GROW_EBITDA","FQ4 2017","FQ4 2017","Currency=INR","Period=FQ","BEST_FPERIOD_OVERRIDE=FQ","FILING_STATUS=OR","EQY_CONSOLIDATED=Y","FA_ADJUSTED=GAAP","Sort=A","Dates=H","DateFormat=P","Fill=—","Direction=H","UseDPDF=Y")</f>
        <v>#NAME?</v>
      </c>
      <c r="AO622" s="2" t="e">
        <f ca="1">_xll.BDH($C$603,"GEO_GROW_OPER_INC","FQ4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622" s="2" t="e">
        <f ca="1">_xll.BDH($C$603,"NET_INCOME_TO_COMMON_5_YR_GROWTH","FQ4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622" s="2" t="e">
        <f ca="1">_xll.BDH($C$603,"5Y_GEO_GROWTH_DILUTED_EPS","FQ4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622" s="2" t="e">
        <f ca="1">_xll.BDH($C$603,"GEO_GROW_DVD_PER_SH","FQ4 2017","FQ4 2017","Currency=INR","Period=FQ","BEST_FPERIOD_OVERRIDE=FQ","FILING_STATUS=OR","EQY_CONSOLIDATED=Y","Sort=A","Dates=H","DateFormat=P","Fill=—","Direction=H","UseDPDF=Y")</f>
        <v>#NAME?</v>
      </c>
      <c r="AS622" s="2" t="e">
        <f ca="1">_xll.BDH($C$603,"ACCOUNTS_RECEIVABLE_5_YR_GROWTH","FQ4 2017","FQ4 2017","Currency=INR","Period=FQ","BEST_FPERIOD_OVERRIDE=FQ","FILING_STATUS=OR","EQY_CONSOLIDATED=Y","Sort=A","Dates=H","DateFormat=P","Fill=—","Direction=H","UseDPDF=Y")</f>
        <v>#NAME?</v>
      </c>
      <c r="AT622" s="2" t="e">
        <f ca="1">_xll.BDH($C$603,"INVENTORY_5_YEAR_GROWTH","FQ4 2017","FQ4 2017","Currency=INR","Period=FQ","BEST_FPERIOD_OVERRIDE=FQ","FILING_STATUS=OR","EQY_CONSOLIDATED=Y","Sort=A","Dates=H","DateFormat=P","Fill=—","Direction=H","UseDPDF=Y")</f>
        <v>#NAME?</v>
      </c>
      <c r="AU622" s="2" t="e">
        <f ca="1">_xll.BDH($C$603,"NET_FIXED_ASSETS_5_YEAR_GROWTH","FQ4 2017","FQ4 2017","Currency=INR","Period=FQ","BEST_FPERIOD_OVERRIDE=FQ","FILING_STATUS=OR","EQY_CONSOLIDATED=Y","Sort=A","Dates=H","DateFormat=P","Fill=—","Direction=H","UseDPDF=Y")</f>
        <v>#NAME?</v>
      </c>
      <c r="AV622" s="2" t="e">
        <f ca="1">_xll.BDH($C$603,"GEO_GROW_TOT_ASSET","FQ4 2017","FQ4 2017","Currency=INR","Period=FQ","BEST_FPERIOD_OVERRIDE=FQ","FILING_STATUS=OR","EQY_CONSOLIDATED=Y","Sort=A","Dates=H","DateFormat=P","Fill=—","Direction=H","UseDPDF=Y")</f>
        <v>#NAME?</v>
      </c>
      <c r="AW622" s="2" t="e">
        <f ca="1">_xll.BDH($C$603,"MODIFIED_WORKING_CPTL_5YR_GRWTH","FQ4 2017","FQ4 2017","Currency=INR","Period=FQ","BEST_FPERIOD_OVERRIDE=FQ","FILING_STATUS=OR","EQY_CONSOLIDATED=Y","Sort=A","Dates=H","DateFormat=P","Fill=—","Direction=H","UseDPDF=Y")</f>
        <v>#NAME?</v>
      </c>
      <c r="AX622" s="2" t="e">
        <f ca="1">_xll.BDH($C$603,"WORKING_CAPITAL_5_YEAR_GROWTH","FQ4 2017","FQ4 2017","Currency=INR","Period=FQ","BEST_FPERIOD_OVERRIDE=FQ","FILING_STATUS=OR","EQY_CONSOLIDATED=Y","Sort=A","Dates=H","DateFormat=P","Fill=—","Direction=H","UseDPDF=Y")</f>
        <v>#NAME?</v>
      </c>
      <c r="AY622" s="2" t="e">
        <f ca="1">_xll.BDH($C$603,"ACCOUNTS_PAYABLE_5_YEAR_GROWTH","FQ4 2017","FQ4 2017","Currency=INR","Period=FQ","BEST_FPERIOD_OVERRIDE=FQ","FILING_STATUS=OR","EQY_CONSOLIDATED=Y","Sort=A","Dates=H","DateFormat=P","Fill=—","Direction=H","UseDPDF=Y")</f>
        <v>#NAME?</v>
      </c>
      <c r="AZ622" s="2" t="e">
        <f ca="1">_xll.BDH($C$603,"SHORT_TERM_DEBT_5_YEAR_GROWTH","FQ4 2017","FQ4 2017","Currency=INR","Period=FQ","BEST_FPERIOD_OVERRIDE=FQ","FILING_STATUS=OR","EQY_CONSOLIDATED=Y","Sort=A","Dates=H","DateFormat=P","Fill=—","Direction=H","UseDPDF=Y")</f>
        <v>#NAME?</v>
      </c>
      <c r="BA622" s="2" t="e">
        <f ca="1">_xll.BDH($C$603,"TOTAL_DEBT_5_YEAR_GROWTH","FQ4 2017","FQ4 2017","Currency=INR","Period=FQ","BEST_FPERIOD_OVERRIDE=FQ","FILING_STATUS=OR","EQY_CONSOLIDATED=Y","Sort=A","Dates=H","DateFormat=P","Fill=—","Direction=H","UseDPDF=Y")</f>
        <v>#NAME?</v>
      </c>
      <c r="BB622" s="2" t="e">
        <f ca="1">_xll.BDH($C$603,"GEO_GROW_TOT_SHRHLDR_EQY","FQ4 2017","FQ4 2017","Currency=INR","Period=FQ","BEST_FPERIOD_OVERRIDE=FQ","FILING_STATUS=OR","EQY_CONSOLIDATED=Y","Sort=A","Dates=H","DateFormat=P","Fill=—","Direction=H","UseDPDF=Y")</f>
        <v>#NAME?</v>
      </c>
      <c r="BC622" s="2" t="e">
        <f ca="1">_xll.BDH($C$603,"TOTAL_CAPITAL_5_YEAR_GROWTH","FQ4 2017","FQ4 2017","Currency=INR","Period=FQ","BEST_FPERIOD_OVERRIDE=FQ","FILING_STATUS=OR","EQY_CONSOLIDATED=Y","Sort=A","Dates=H","DateFormat=P","Fill=—","Direction=H","UseDPDF=Y")</f>
        <v>#NAME?</v>
      </c>
      <c r="BD622" s="2" t="e">
        <f ca="1">_xll.BDH($C$603,"GEO_GROW_BOOK_VAL","FQ4 2017","FQ4 2017","Currency=INR","Period=FQ","BEST_FPERIOD_OVERRIDE=FQ","FILING_STATUS=OR","EQY_CONSOLIDATED=Y","Sort=A","Dates=H","DateFormat=P","Fill=—","Direction=H","UseDPDF=Y")</f>
        <v>#NAME?</v>
      </c>
      <c r="BE622" s="2" t="e">
        <f ca="1">_xll.BDH($C$603,"GEO_GROW_CASH_OPER_ACT","FQ4 2017","FQ4 2017","Currency=INR","Period=FQ","BEST_FPERIOD_OVERRIDE=FQ","FILING_STATUS=OR","EQY_CONSOLIDATED=Y","Sort=A","Dates=H","DateFormat=P","Fill=—","Direction=H","UseDPDF=Y")</f>
        <v>#NAME?</v>
      </c>
      <c r="BF622" s="2" t="e">
        <f ca="1">_xll.BDH($C$603,"REVENUE_SEQUENTIAL_GROWTH","FQ4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622" s="2" t="e">
        <f ca="1">_xll.BDH($C$603,"EBITDA_SEQUENTIAL_GROWTH","FQ4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622" s="2" t="e">
        <f ca="1">_xll.BDH($C$603,"OPERATING_INCOME_SEQ_GROWTH","FQ4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622" s="2" t="e">
        <f ca="1">_xll.BDH($C$603,"NET_INCOME_TO_COMMON_SEQ_GROWTH","FQ4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622" s="2" t="e">
        <f ca="1">_xll.BDH($C$603,"EPS_DILUTED_SEQUENTIAL_GROWTH","FQ4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622" s="2" t="e">
        <f ca="1">_xll.BDH($C$603,"DPS_SEQUENTIAL_GROWTH","FQ4 2017","FQ4 2017","Currency=INR","Period=FQ","BEST_FPERIOD_OVERRIDE=FQ","FILING_STATUS=OR","EQY_CONSOLIDATED=Y","Sort=A","Dates=H","DateFormat=P","Fill=—","Direction=H","UseDPDF=Y")</f>
        <v>#NAME?</v>
      </c>
      <c r="BL622" s="2" t="e">
        <f ca="1">_xll.BDH($C$603,"ACCOUNTS_RECEIVABLE_SEQ_GROWTH","FQ4 2017","FQ4 2017","Currency=INR","Period=FQ","BEST_FPERIOD_OVERRIDE=FQ","FILING_STATUS=OR","EQY_CONSOLIDATED=Y","Sort=A","Dates=H","DateFormat=P","Fill=—","Direction=H","UseDPDF=Y")</f>
        <v>#NAME?</v>
      </c>
      <c r="BM622" s="2" t="e">
        <f ca="1">_xll.BDH($C$603,"INVENTORY_SEQUENTIAL_GROWTH","FQ4 2017","FQ4 2017","Currency=INR","Period=FQ","BEST_FPERIOD_OVERRIDE=FQ","FILING_STATUS=OR","EQY_CONSOLIDATED=Y","Sort=A","Dates=H","DateFormat=P","Fill=—","Direction=H","UseDPDF=Y")</f>
        <v>#NAME?</v>
      </c>
      <c r="BN622" s="2" t="e">
        <f ca="1">_xll.BDH($C$603,"FIXED_ASSETS_SEQUENTIAL_GROWTH","FQ4 2017","FQ4 2017","Currency=INR","Period=FQ","BEST_FPERIOD_OVERRIDE=FQ","FILING_STATUS=OR","EQY_CONSOLIDATED=Y","Sort=A","Dates=H","DateFormat=P","Fill=—","Direction=H","UseDPDF=Y")</f>
        <v>#NAME?</v>
      </c>
      <c r="BO622" s="2" t="e">
        <f ca="1">_xll.BDH($C$603,"TOTAL_ASSETS_SEQUENTIAL_GROWTH","FQ4 2017","FQ4 2017","Currency=INR","Period=FQ","BEST_FPERIOD_OVERRIDE=FQ","FILING_STATUS=OR","EQY_CONSOLIDATED=Y","Sort=A","Dates=H","DateFormat=P","Fill=—","Direction=H","UseDPDF=Y")</f>
        <v>#NAME?</v>
      </c>
      <c r="BP622" s="2" t="e">
        <f ca="1">_xll.BDH($C$603,"MODIFIED_WORKING_CPTL_SEQ_GRWTH","FQ4 2017","FQ4 2017","Currency=INR","Period=FQ","BEST_FPERIOD_OVERRIDE=FQ","FILING_STATUS=OR","EQY_CONSOLIDATED=Y","Sort=A","Dates=H","DateFormat=P","Fill=—","Direction=H","UseDPDF=Y")</f>
        <v>#NAME?</v>
      </c>
      <c r="BQ622" s="2" t="e">
        <f ca="1">_xll.BDH($C$603,"WORKING_CAPITAL_SEQ_GROWTH","FQ4 2017","FQ4 2017","Currency=INR","Period=FQ","BEST_FPERIOD_OVERRIDE=FQ","FILING_STATUS=OR","EQY_CONSOLIDATED=Y","Sort=A","Dates=H","DateFormat=P","Fill=—","Direction=H","UseDPDF=Y")</f>
        <v>#NAME?</v>
      </c>
      <c r="BR622" s="2" t="e">
        <f ca="1">_xll.BDH($C$603,"ACCOUNTS_PAYABLE_SEQ_GROWTH","FQ4 2017","FQ4 2017","Currency=INR","Period=FQ","BEST_FPERIOD_OVERRIDE=FQ","FILING_STATUS=OR","EQY_CONSOLIDATED=Y","Sort=A","Dates=H","DateFormat=P","Fill=—","Direction=H","UseDPDF=Y")</f>
        <v>#NAME?</v>
      </c>
      <c r="BS622" s="2" t="e">
        <f ca="1">_xll.BDH($C$603,"ST_DEBT_SEQUENTIAL_GROWTH","FQ4 2017","FQ4 2017","Currency=INR","Period=FQ","BEST_FPERIOD_OVERRIDE=FQ","FILING_STATUS=OR","EQY_CONSOLIDATED=Y","Sort=A","Dates=H","DateFormat=P","Fill=—","Direction=H","UseDPDF=Y")</f>
        <v>#NAME?</v>
      </c>
      <c r="BT622" s="2" t="e">
        <f ca="1">_xll.BDH($C$603,"TOTAL_DEBT_SEQUENTIAL_GROWTH","FQ4 2017","FQ4 2017","Currency=INR","Period=FQ","BEST_FPERIOD_OVERRIDE=FQ","FILING_STATUS=OR","EQY_CONSOLIDATED=Y","Sort=A","Dates=H","DateFormat=P","Fill=—","Direction=H","UseDPDF=Y")</f>
        <v>#NAME?</v>
      </c>
      <c r="BU622" s="2" t="e">
        <f ca="1">_xll.BDH($C$603,"TOTAL_EQUITY_SEQUENTIAL_GROWTH","FQ4 2017","FQ4 2017","Currency=INR","Period=FQ","BEST_FPERIOD_OVERRIDE=FQ","FILING_STATUS=OR","EQY_CONSOLIDATED=Y","Sort=A","Dates=H","DateFormat=P","Fill=—","Direction=H","UseDPDF=Y")</f>
        <v>#NAME?</v>
      </c>
      <c r="BV622" s="2" t="e">
        <f ca="1">_xll.BDH($C$603,"TOTAL_CAPITAL_SEQUENTIAL_GROWTH","FQ4 2017","FQ4 2017","Currency=INR","Period=FQ","BEST_FPERIOD_OVERRIDE=FQ","FILING_STATUS=OR","EQY_CONSOLIDATED=Y","Sort=A","Dates=H","DateFormat=P","Fill=—","Direction=H","UseDPDF=Y")</f>
        <v>#NAME?</v>
      </c>
      <c r="BW622" s="2" t="e">
        <f ca="1">_xll.BDH($C$603,"BPS_SEQUENTIAL_GROWTH","FQ4 2017","FQ4 2017","Currency=INR","Period=FQ","BEST_FPERIOD_OVERRIDE=FQ","FILING_STATUS=OR","EQY_CONSOLIDATED=Y","Sort=A","Dates=H","DateFormat=P","Fill=—","Direction=H","UseDPDF=Y")</f>
        <v>#NAME?</v>
      </c>
      <c r="BX622" s="2" t="e">
        <f ca="1">_xll.BDH($C$603,"CFO_SEQUENTIAL_GROWTH","FQ4 2017","FQ4 2017","Currency=INR","Period=FQ","BEST_FPERIOD_OVERRIDE=FQ","FILING_STATUS=OR","EQY_CONSOLIDATED=Y","Sort=A","Dates=H","DateFormat=P","Fill=—","Direction=H","UseDPDF=Y")</f>
        <v>#NAME?</v>
      </c>
      <c r="BY622" s="3" t="e">
        <f ca="1">_xll.BDH($C$603,"SHORT_AND_LONG_TERM_DEBT","FQ4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622" s="3" t="e">
        <f ca="1">_xll.BDH($C$603,"BS_ST_BORROW","FQ4 2017","FQ4 2017","Currency=INR","Period=FQ","BEST_FPERIOD_OVERRIDE=FQ","FILING_STATUS=OR","EQY_CONSOLIDATED=Y","SCALING_FORMAT=MLN","Sort=A","Dates=H","DateFormat=P","Fill=—","Direction=H","UseDPDF=Y")</f>
        <v>#NAME?</v>
      </c>
      <c r="CA622" s="3" t="e">
        <f ca="1">_xll.BDH($C$603,"BS_LT_BORROW","FQ4 2017","FQ4 2017","Currency=INR","Period=FQ","BEST_FPERIOD_OVERRIDE=FQ","FILING_STATUS=OR","EQY_CONSOLIDATED=Y","SCALING_FORMAT=MLN","Sort=A","Dates=H","DateFormat=P","Fill=—","Direction=H","UseDPDF=Y")</f>
        <v>#NAME?</v>
      </c>
      <c r="CB622" s="2" t="e">
        <f ca="1">_xll.BDH($C$603,"TOT_DEBT_TO_EBITDA","FQ4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622" s="2" t="e">
        <f ca="1">_xll.BDH($C$603,"NET_DEBT_TO_EBITDA","FQ4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622" s="2" t="e">
        <f ca="1">_xll.BDH($C$603,"TOTAL_DEBT_TO_EBIT","FQ4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622" s="2" t="e">
        <f ca="1">_xll.BDH($C$603,"NET_DEBT_TO_EBIT","FQ4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622" s="2" t="e">
        <f ca="1">_xll.BDH($C$603,"EBITDA_TO_INTEREST_EXPN","FQ4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622" s="2" t="e">
        <f ca="1">_xll.BDH($C$603,"COM_EQY_TO_TOT_ASSET","FQ4 2017","FQ4 2017","Currency=INR","Period=FQ","BEST_FPERIOD_OVERRIDE=FQ","FILING_STATUS=OR","EQY_CONSOLIDATED=Y","Sort=A","Dates=H","DateFormat=P","Fill=—","Direction=H","UseDPDF=Y")</f>
        <v>#NAME?</v>
      </c>
      <c r="CH622" s="2" t="e">
        <f ca="1">_xll.BDH($C$603,"LT_DEBT_TO_TOT_EQY","FQ4 2017","FQ4 2017","Currency=INR","Period=FQ","BEST_FPERIOD_OVERRIDE=FQ","FILING_STATUS=OR","EQY_CONSOLIDATED=Y","Sort=A","Dates=H","DateFormat=P","Fill=—","Direction=H","UseDPDF=Y")</f>
        <v>#NAME?</v>
      </c>
      <c r="CI622" s="2" t="e">
        <f ca="1">_xll.BDH($C$603,"LT_DEBT_TO_TOT_CAP","FQ4 2017","FQ4 2017","Currency=INR","Period=FQ","BEST_FPERIOD_OVERRIDE=FQ","FILING_STATUS=OR","EQY_CONSOLIDATED=Y","Sort=A","Dates=H","DateFormat=P","Fill=—","Direction=H","UseDPDF=Y")</f>
        <v>#NAME?</v>
      </c>
      <c r="CJ622" s="2" t="e">
        <f ca="1">_xll.BDH($C$603,"LT_DEBT_TO_TOT_ASSET","FQ4 2017","FQ4 2017","Currency=INR","Period=FQ","BEST_FPERIOD_OVERRIDE=FQ","FILING_STATUS=OR","EQY_CONSOLIDATED=Y","Sort=A","Dates=H","DateFormat=P","Fill=—","Direction=H","UseDPDF=Y")</f>
        <v>#NAME?</v>
      </c>
      <c r="CK622" s="2" t="e">
        <f ca="1">_xll.BDH($C$603,"TOT_DEBT_TO_TOT_EQY","FQ4 2017","FQ4 2017","Currency=INR","Period=FQ","BEST_FPERIOD_OVERRIDE=FQ","FILING_STATUS=OR","EQY_CONSOLIDATED=Y","Sort=A","Dates=H","DateFormat=P","Fill=—","Direction=H","UseDPDF=Y")</f>
        <v>#NAME?</v>
      </c>
      <c r="CL622" s="2" t="e">
        <f ca="1">_xll.BDH($C$603,"TOT_DEBT_TO_TOT_CAP","FQ4 2017","FQ4 2017","Currency=INR","Period=FQ","BEST_FPERIOD_OVERRIDE=FQ","FILING_STATUS=OR","EQY_CONSOLIDATED=Y","Sort=A","Dates=H","DateFormat=P","Fill=—","Direction=H","UseDPDF=Y")</f>
        <v>#NAME?</v>
      </c>
      <c r="CM622" s="2" t="e">
        <f ca="1">_xll.BDH($C$603,"TOT_DEBT_TO_TOT_ASSET","FQ4 2017","FQ4 2017","Currency=INR","Period=FQ","BEST_FPERIOD_OVERRIDE=FQ","FILING_STATUS=OR","EQY_CONSOLIDATED=Y","Sort=A","Dates=H","DateFormat=P","Fill=—","Direction=H","UseDPDF=Y")</f>
        <v>#NAME?</v>
      </c>
      <c r="CN622" s="2" t="e">
        <f ca="1">_xll.BDH($C$603,"NET_DEBT_TO_SHRHLDR_EQTY","FQ4 2017","FQ4 2017","Currency=INR","Period=FQ","BEST_FPERIOD_OVERRIDE=FQ","FILING_STATUS=OR","EQY_CONSOLIDATED=Y","Sort=A","Dates=H","DateFormat=P","Fill=—","Direction=H","UseDPDF=Y")</f>
        <v>#NAME?</v>
      </c>
      <c r="CO622" s="2" t="e">
        <f ca="1">_xll.BDH($C$603,"NET_DEBT_%_CAPITAL","FQ4 2017","FQ4 2017","Currency=INR","Period=FQ","BEST_FPERIOD_OVERRIDE=FQ","FILING_STATUS=OR","EQY_CONSOLIDATED=Y","Sort=A","Dates=H","DateFormat=P","Fill=—","Direction=H","UseDPDF=Y")</f>
        <v>#NAME?</v>
      </c>
      <c r="CP622" s="3" t="e">
        <f ca="1">_xll.BDH($C$603,"EBITDA","FQ4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622" s="3" t="e">
        <f ca="1">_xll.BDH($C$603,"EBITDA_AFTER_CAPEX","FQ4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622" s="3" t="e">
        <f ca="1">_xll.BDH($C$603,"IS_OPER_INC","FQ4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622" s="2" t="e">
        <f ca="1">_xll.BDH($C$603,"CASH_RATIO","FQ4 2017","FQ4 2017","Currency=INR","Period=FQ","BEST_FPERIOD_OVERRIDE=FQ","FILING_STATUS=OR","EQY_CONSOLIDATED=Y","Sort=A","Dates=H","DateFormat=P","Fill=—","Direction=H","UseDPDF=Y")</f>
        <v>#NAME?</v>
      </c>
      <c r="CT622" s="2" t="e">
        <f ca="1">_xll.BDH($C$603,"CUR_RATIO","FQ4 2017","FQ4 2017","Currency=INR","Period=FQ","BEST_FPERIOD_OVERRIDE=FQ","FILING_STATUS=OR","EQY_CONSOLIDATED=Y","Sort=A","Dates=H","DateFormat=P","Fill=—","Direction=H","UseDPDF=Y")</f>
        <v>#NAME?</v>
      </c>
      <c r="CU622" s="2" t="e">
        <f ca="1">_xll.BDH($C$603,"QUICK_RATIO","FQ4 2017","FQ4 2017","Currency=INR","Period=FQ","BEST_FPERIOD_OVERRIDE=FQ","FILING_STATUS=OR","EQY_CONSOLIDATED=Y","Sort=A","Dates=H","DateFormat=P","Fill=—","Direction=H","UseDPDF=Y")</f>
        <v>#NAME?</v>
      </c>
      <c r="CV622" s="2" t="e">
        <f ca="1">_xll.BDH($C$603,"ALTMAN_Z_SCORE","FQ4 2017","FQ4 2017","Currency=INR","Period=FQ","BEST_FPERIOD_OVERRIDE=FQ","FILING_STATUS=OR","EQY_CONSOLIDATED=Y","Sort=A","Dates=H","DateFormat=P","Fill=—","Direction=H","UseDPDF=Y")</f>
        <v>#NAME?</v>
      </c>
      <c r="CW622" s="4" t="e">
        <f ca="1">_xll.BDH($C$603,"ACCT_RCV_TURN","FQ4 2017","FQ4 2017","Currency=INR","Period=FQ","BEST_FPERIOD_OVERRIDE=FQ","FILING_STATUS=OR","EQY_CONSOLIDATED=Y","FA_ADJUSTED=GAAP","Sort=A","Dates=H","DateFormat=P","Fill=—","Direction=H","UseDPDF=Y")</f>
        <v>#NAME?</v>
      </c>
      <c r="CX622" s="2" t="e">
        <f ca="1">_xll.BDH($C$603,"ACCT_RCV_DAYS","FQ4 2017","FQ4 2017","Currency=INR","Period=FQ","BEST_FPERIOD_OVERRIDE=FQ","FILING_STATUS=OR","EQY_CONSOLIDATED=Y","FA_ADJUSTED=GAAP","Sort=A","Dates=H","DateFormat=P","Fill=—","Direction=H","UseDPDF=Y")</f>
        <v>#NAME?</v>
      </c>
      <c r="CY622" s="4" t="e">
        <f ca="1">_xll.BDH($C$603,"INVENT_TURN","FQ4 2017","FQ4 2017","Currency=INR","Period=FQ","BEST_FPERIOD_OVERRIDE=FQ","FILING_STATUS=OR","EQY_CONSOLIDATED=Y","FA_ADJUSTED=GAAP","Sort=A","Dates=H","DateFormat=P","Fill=—","Direction=H","UseDPDF=Y")</f>
        <v>#NAME?</v>
      </c>
      <c r="CZ622" s="2" t="e">
        <f ca="1">_xll.BDH($C$603,"INVENT_DAYS","FQ4 2017","FQ4 2017","Currency=INR","Period=FQ","BEST_FPERIOD_OVERRIDE=FQ","FILING_STATUS=OR","EQY_CONSOLIDATED=Y","FA_ADJUSTED=GAAP","Sort=A","Dates=H","DateFormat=P","Fill=—","Direction=H","UseDPDF=Y")</f>
        <v>#NAME?</v>
      </c>
      <c r="DA622" s="4" t="e">
        <f ca="1">_xll.BDH($C$603,"ACCOUNTS_PAYABLE_TURNOVER","FQ4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622" s="2" t="e">
        <f ca="1">_xll.BDH($C$603,"ACCOUNTS_PAYABLE_TURNOVER_DAYS","FQ4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622" s="4" t="e">
        <f ca="1">_xll.BDH($C$603,"CASH_CONVERSION_CYCLE","FQ4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622" s="4" t="e">
        <f ca="1">_xll.BDH($C$603,"INV_TO_CASH_DAYS","FQ4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622" s="5" t="e">
        <f ca="1">_xll.BDH($C$603,"BS_INVENTORIES","FQ4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622" s="3" t="e">
        <f ca="1">_xll.BDH($C$603,"INVTRY_RAW_MATERIALS","FQ4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622" s="3" t="e">
        <f ca="1">_xll.BDH($C$603,"INVTRY_IN_PROGRESS","FQ4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622" s="3" t="e">
        <f ca="1">_xll.BDH($C$603,"INVTRY_FINISHED_GOODS","FQ4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622" s="3" t="e">
        <f ca="1">_xll.BDH($C$603,"BS_OTHER_INV","FQ4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623" spans="1:113" x14ac:dyDescent="0.3">
      <c r="A623" s="6"/>
      <c r="B623" s="6"/>
      <c r="C623" s="6"/>
      <c r="D623" s="6" t="s">
        <v>85</v>
      </c>
      <c r="E623" t="s">
        <v>77</v>
      </c>
      <c r="F623" t="e">
        <f ca="1">_xll.BDH($C$603,"RETURN_COM_EQY","FY 2018","FY 2018","Currency=INR","Period=FY","BEST_FPERIOD_OVERRIDE=FY","FILING_STATUS=OR","EQY_CONSOLIDATED=Y","FA_ADJUSTED=GAAP","Sort=A","Dates=H","DateFormat=P","Fill=—","Direction=H","UseDPDF=Y")</f>
        <v>#NAME?</v>
      </c>
      <c r="G623" t="e">
        <f ca="1">_xll.BDH($C$603,"RETURN_ON_ASSET","FY 2018","FY 2018","Currency=INR","Period=FY","BEST_FPERIOD_OVERRIDE=FY","FILING_STATUS=OR","EQY_CONSOLIDATED=Y","FA_ADJUSTED=GAAP","Sort=A","Dates=H","DateFormat=P","Fill=—","Direction=H","UseDPDF=Y")</f>
        <v>#NAME?</v>
      </c>
      <c r="H623" t="e">
        <f ca="1">_xll.BDH($C$603,"RETURN_ON_CAP","FY 2018","FY 2018","Currency=INR","Period=FY","BEST_FPERIOD_OVERRIDE=FY","FILING_STATUS=OR","EQY_CONSOLIDATED=Y","FA_ADJUSTED=GAAP","Sort=A","Dates=H","DateFormat=P","Fill=—","Direction=H","UseDPDF=Y")</f>
        <v>#NAME?</v>
      </c>
      <c r="I623" t="e">
        <f ca="1">_xll.BDH($C$603,"RETURN_ON_INV_CAPITAL","FY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623" t="e">
        <f ca="1">_xll.BDH($C$603,"EBITDA_TO_REVENUE","FY 2018","FY 2018","Currency=INR","Period=FY","BEST_FPERIOD_OVERRIDE=FY","FILING_STATUS=OR","EQY_CONSOLIDATED=Y","FA_ADJUSTED=GAAP","Sort=A","Dates=H","DateFormat=P","Fill=—","Direction=H","UseDPDF=Y")</f>
        <v>#NAME?</v>
      </c>
      <c r="K623" t="e">
        <f ca="1">_xll.BDH($C$603,"OPER_MARGIN","FY 2018","FY 2018","Currency=INR","Period=FY","BEST_FPERIOD_OVERRIDE=FY","FILING_STATUS=OR","EQY_CONSOLIDATED=Y","FA_ADJUSTED=GAAP","Sort=A","Dates=H","DateFormat=P","Fill=—","Direction=H","UseDPDF=Y")</f>
        <v>#NAME?</v>
      </c>
      <c r="L623" t="e">
        <f ca="1">_xll.BDH($C$603,"INCREMENTAL_OPERATING_MARGIN","FY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623" t="e">
        <f ca="1">_xll.BDH($C$603,"PRETAX_INC_TO_NET_SALES","FY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623" t="e">
        <f ca="1">_xll.BDH($C$603,"INC_BEF_XO_ITEMS_TO_NET_SALES","FY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623" t="e">
        <f ca="1">_xll.BDH($C$603,"PROF_MARGIN","FY 2018","FY 2018","Currency=INR","Period=FY","BEST_FPERIOD_OVERRIDE=FY","FILING_STATUS=OR","EQY_CONSOLIDATED=Y","FA_ADJUSTED=GAAP","Sort=A","Dates=H","DateFormat=P","Fill=—","Direction=H","UseDPDF=Y")</f>
        <v>#NAME?</v>
      </c>
      <c r="P623" t="e">
        <f ca="1">_xll.BDH($C$603,"NET_INCOME_TO_COMMON_MARGIN","FY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623" t="e">
        <f ca="1">_xll.BDH($C$603,"EFF_TAX_RATE","FY 2018","FY 2018","Currency=INR","Period=FY","BEST_FPERIOD_OVERRIDE=FY","FILING_STATUS=OR","EQY_CONSOLIDATED=Y","FA_ADJUSTED=GAAP","Sort=A","Dates=H","DateFormat=P","Fill=—","Direction=H","UseDPDF=Y")</f>
        <v>#NAME?</v>
      </c>
      <c r="R623" t="e">
        <f ca="1">_xll.BDH($C$603,"DVD_PAYOUT_RATIO","FY 2018","FY 2018","Currency=INR","Period=FY","BEST_FPERIOD_OVERRIDE=FY","FILING_STATUS=OR","EQY_CONSOLIDATED=Y","FA_ADJUSTED=GAAP","Sort=A","Dates=H","DateFormat=P","Fill=—","Direction=H","UseDPDF=Y")</f>
        <v>#NAME?</v>
      </c>
      <c r="S623" t="e">
        <f ca="1">_xll.BDH($C$603,"SUSTAIN_GROWTH_RT","FY 2018","FY 2018","Currency=INR","Period=FY","BEST_FPERIOD_OVERRIDE=FY","FILING_STATUS=OR","EQY_CONSOLIDATED=Y","FA_ADJUSTED=GAAP","Sort=A","Dates=H","DateFormat=P","Fill=—","Direction=H","UseDPDF=Y")</f>
        <v>#NAME?</v>
      </c>
      <c r="T623" s="2" t="e">
        <f ca="1">_xll.BDH($C$603,"SALES_GROWTH","FY 2018","FY 2018","Currency=INR","Period=FY","BEST_FPERIOD_OVERRIDE=FY","FILING_STATUS=OR","EQY_CONSOLIDATED=Y","FA_ADJUSTED=GAAP","Sort=A","Dates=H","DateFormat=P","Fill=—","Direction=H","UseDPDF=Y")</f>
        <v>#NAME?</v>
      </c>
      <c r="U623" s="2" t="e">
        <f ca="1">_xll.BDH($C$603,"EBITDA_GROWTH","FY 2018","FY 2018","Currency=INR","Period=FY","BEST_FPERIOD_OVERRIDE=FY","FILING_STATUS=OR","EQY_CONSOLIDATED=Y","FA_ADJUSTED=GAAP","Sort=A","Dates=H","DateFormat=P","Fill=—","Direction=H","UseDPDF=Y")</f>
        <v>#NAME?</v>
      </c>
      <c r="V623" s="2" t="e">
        <f ca="1">_xll.BDH($C$603,"OPER_INC_GROWTH","FY 2018","FY 2018","Currency=INR","Period=FY","BEST_FPERIOD_OVERRIDE=FY","FILING_STATUS=OR","EQY_CONSOLIDATED=Y","FA_ADJUSTED=GAAP","Sort=A","Dates=H","DateFormat=P","Fill=—","Direction=H","UseDPDF=Y")</f>
        <v>#NAME?</v>
      </c>
      <c r="W623" s="2" t="e">
        <f ca="1">_xll.BDH($C$603,"EARN_FOR_COM_GROWTH","FY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623" s="2" t="e">
        <f ca="1">_xll.BDH($C$603,"DILUTED_EPS_AFT_XO_ITEMS_GROWTH","FY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623" s="2" t="e">
        <f ca="1">_xll.BDH($C$603,"DIVIDEND_PER_SHARE_1_YEAR_GROWTH","FY 2018","FY 2018","Currency=INR","Period=FY","BEST_FPERIOD_OVERRIDE=FY","FILING_STATUS=OR","EQY_CONSOLIDATED=Y","Sort=A","Dates=H","DateFormat=P","Fill=—","Direction=H","UseDPDF=Y")</f>
        <v>#NAME?</v>
      </c>
      <c r="Z623" s="2" t="e">
        <f ca="1">_xll.BDH($C$603,"ACCOUNTS_RECEIVABLE_GROWTH","FY 2018","FY 2018","Currency=INR","Period=FY","BEST_FPERIOD_OVERRIDE=FY","FILING_STATUS=OR","EQY_CONSOLIDATED=Y","Sort=A","Dates=H","DateFormat=P","Fill=—","Direction=H","UseDPDF=Y")</f>
        <v>#NAME?</v>
      </c>
      <c r="AA623" s="2" t="e">
        <f ca="1">_xll.BDH($C$603,"INVENTORY_GROWTH","FY 2018","FY 2018","Currency=INR","Period=FY","BEST_FPERIOD_OVERRIDE=FY","FILING_STATUS=OR","EQY_CONSOLIDATED=Y","Sort=A","Dates=H","DateFormat=P","Fill=—","Direction=H","UseDPDF=Y")</f>
        <v>#NAME?</v>
      </c>
      <c r="AB623" s="2" t="e">
        <f ca="1">_xll.BDH($C$603,"NET_FIXED_ASSETS_1_YEAR_GROWTH","FY 2018","FY 2018","Currency=INR","Period=FY","BEST_FPERIOD_OVERRIDE=FY","FILING_STATUS=OR","EQY_CONSOLIDATED=Y","Sort=A","Dates=H","DateFormat=P","Fill=—","Direction=H","UseDPDF=Y")</f>
        <v>#NAME?</v>
      </c>
      <c r="AC623" s="2" t="e">
        <f ca="1">_xll.BDH($C$603,"ASSET_GROWTH","FY 2018","FY 2018","Currency=INR","Period=FY","BEST_FPERIOD_OVERRIDE=FY","FILING_STATUS=OR","EQY_CONSOLIDATED=Y","Sort=A","Dates=H","DateFormat=P","Fill=—","Direction=H","UseDPDF=Y")</f>
        <v>#NAME?</v>
      </c>
      <c r="AD623" s="2" t="e">
        <f ca="1">_xll.BDH($C$603,"MODIFIED_WORK_CAP_GROWTH","FY 2018","FY 2018","Currency=INR","Period=FY","BEST_FPERIOD_OVERRIDE=FY","FILING_STATUS=OR","EQY_CONSOLIDATED=Y","Sort=A","Dates=H","DateFormat=P","Fill=—","Direction=H","UseDPDF=Y")</f>
        <v>#NAME?</v>
      </c>
      <c r="AE623" s="2" t="e">
        <f ca="1">_xll.BDH($C$603,"WORK_CAP_GROWTH","FY 2018","FY 2018","Currency=INR","Period=FY","BEST_FPERIOD_OVERRIDE=FY","FILING_STATUS=OR","EQY_CONSOLIDATED=Y","Sort=A","Dates=H","DateFormat=P","Fill=—","Direction=H","UseDPDF=Y")</f>
        <v>#NAME?</v>
      </c>
      <c r="AF623" s="2" t="e">
        <f ca="1">_xll.BDH($C$603,"ACCOUNTS_PAYABLE_GROWTH_1YR","FY 2018","FY 2018","Currency=INR","Period=FY","BEST_FPERIOD_OVERRIDE=FY","FILING_STATUS=OR","EQY_CONSOLIDATED=Y","Sort=A","Dates=H","DateFormat=P","Fill=—","Direction=H","UseDPDF=Y")</f>
        <v>#NAME?</v>
      </c>
      <c r="AG623" s="2" t="e">
        <f ca="1">_xll.BDH($C$603,"SHORT_TERM_DEBT_1_YEAR_GROWTH","FY 2018","FY 2018","Currency=INR","Period=FY","BEST_FPERIOD_OVERRIDE=FY","FILING_STATUS=OR","EQY_CONSOLIDATED=Y","Sort=A","Dates=H","DateFormat=P","Fill=—","Direction=H","UseDPDF=Y")</f>
        <v>#NAME?</v>
      </c>
      <c r="AH623" s="2" t="e">
        <f ca="1">_xll.BDH($C$603,"TOTAL_DEBT_1_YEAR_GROWTH","FY 2018","FY 2018","Currency=INR","Period=FY","BEST_FPERIOD_OVERRIDE=FY","FILING_STATUS=OR","EQY_CONSOLIDATED=Y","Sort=A","Dates=H","DateFormat=P","Fill=—","Direction=H","UseDPDF=Y")</f>
        <v>#NAME?</v>
      </c>
      <c r="AI623" s="2" t="e">
        <f ca="1">_xll.BDH($C$603,"TOTAL_EQUITY_1_YEAR_GROWTH","FY 2018","FY 2018","Currency=INR","Period=FY","BEST_FPERIOD_OVERRIDE=FY","FILING_STATUS=OR","EQY_CONSOLIDATED=Y","Sort=A","Dates=H","DateFormat=P","Fill=—","Direction=H","UseDPDF=Y")</f>
        <v>#NAME?</v>
      </c>
      <c r="AJ623" s="2" t="e">
        <f ca="1">_xll.BDH($C$603,"GROWTH_IN_CAP","FY 2018","FY 2018","Currency=INR","Period=FY","BEST_FPERIOD_OVERRIDE=FY","FILING_STATUS=OR","EQY_CONSOLIDATED=Y","Sort=A","Dates=H","DateFormat=P","Fill=—","Direction=H","UseDPDF=Y")</f>
        <v>#NAME?</v>
      </c>
      <c r="AK623" s="2" t="e">
        <f ca="1">_xll.BDH($C$603,"BVPS_GROWTH","FY 2018","FY 2018","Currency=INR","Period=FY","BEST_FPERIOD_OVERRIDE=FY","FILING_STATUS=OR","EQY_CONSOLIDATED=Y","Sort=A","Dates=H","DateFormat=P","Fill=—","Direction=H","UseDPDF=Y")</f>
        <v>#NAME?</v>
      </c>
      <c r="AL623" s="2" t="e">
        <f ca="1">_xll.BDH($C$603,"CASH_FLOW_GROWTH","FY 2018","FY 2018","Currency=INR","Period=FY","BEST_FPERIOD_OVERRIDE=FY","FILING_STATUS=OR","EQY_CONSOLIDATED=Y","Sort=A","Dates=H","DateFormat=P","Fill=—","Direction=H","UseDPDF=Y")</f>
        <v>#NAME?</v>
      </c>
      <c r="AM623" s="2" t="e">
        <f ca="1">_xll.BDH($C$603,"GEO_GROW_NET_SALES","FY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623" s="2" t="e">
        <f ca="1">_xll.BDH($C$603,"GEO_GROW_EBITDA","FY 2018","FY 2018","Currency=INR","Period=FY","BEST_FPERIOD_OVERRIDE=FY","FILING_STATUS=OR","EQY_CONSOLIDATED=Y","FA_ADJUSTED=GAAP","Sort=A","Dates=H","DateFormat=P","Fill=—","Direction=H","UseDPDF=Y")</f>
        <v>#NAME?</v>
      </c>
      <c r="AO623" s="2" t="e">
        <f ca="1">_xll.BDH($C$603,"GEO_GROW_OPER_INC","FY 2018","FY 2018","Currency=INR","Period=FY","BEST_FPERIOD_OVERRIDE=FY","FILING_STATUS=OR","EQY_CONSOLIDATED=Y","FA_ADJUSTED=GAAP","Sort=A","Dates=H","DateFormat=P","Fill=—","Direction=H","UseDPDF=Y")</f>
        <v>#NAME?</v>
      </c>
      <c r="AP623" s="2" t="e">
        <f ca="1">_xll.BDH($C$603,"NET_INCOME_TO_COMMON_5_YR_GROWTH","FY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623" s="2" t="e">
        <f ca="1">_xll.BDH($C$603,"5Y_GEO_GROWTH_DILUTED_EPS","FY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623" s="2" t="e">
        <f ca="1">_xll.BDH($C$603,"GEO_GROW_DVD_PER_SH","FY 2018","FY 2018","Currency=INR","Period=FY","BEST_FPERIOD_OVERRIDE=FY","FILING_STATUS=OR","EQY_CONSOLIDATED=Y","Sort=A","Dates=H","DateFormat=P","Fill=—","Direction=H","UseDPDF=Y")</f>
        <v>#NAME?</v>
      </c>
      <c r="AS623" s="2" t="e">
        <f ca="1">_xll.BDH($C$603,"ACCOUNTS_RECEIVABLE_5_YR_GROWTH","FY 2018","FY 2018","Currency=INR","Period=FY","BEST_FPERIOD_OVERRIDE=FY","FILING_STATUS=OR","EQY_CONSOLIDATED=Y","Sort=A","Dates=H","DateFormat=P","Fill=—","Direction=H","UseDPDF=Y")</f>
        <v>#NAME?</v>
      </c>
      <c r="AT623" s="2" t="e">
        <f ca="1">_xll.BDH($C$603,"INVENTORY_5_YEAR_GROWTH","FY 2018","FY 2018","Currency=INR","Period=FY","BEST_FPERIOD_OVERRIDE=FY","FILING_STATUS=OR","EQY_CONSOLIDATED=Y","Sort=A","Dates=H","DateFormat=P","Fill=—","Direction=H","UseDPDF=Y")</f>
        <v>#NAME?</v>
      </c>
      <c r="AU623" s="2" t="e">
        <f ca="1">_xll.BDH($C$603,"NET_FIXED_ASSETS_5_YEAR_GROWTH","FY 2018","FY 2018","Currency=INR","Period=FY","BEST_FPERIOD_OVERRIDE=FY","FILING_STATUS=OR","EQY_CONSOLIDATED=Y","Sort=A","Dates=H","DateFormat=P","Fill=—","Direction=H","UseDPDF=Y")</f>
        <v>#NAME?</v>
      </c>
      <c r="AV623" s="2" t="e">
        <f ca="1">_xll.BDH($C$603,"GEO_GROW_TOT_ASSET","FY 2018","FY 2018","Currency=INR","Period=FY","BEST_FPERIOD_OVERRIDE=FY","FILING_STATUS=OR","EQY_CONSOLIDATED=Y","Sort=A","Dates=H","DateFormat=P","Fill=—","Direction=H","UseDPDF=Y")</f>
        <v>#NAME?</v>
      </c>
      <c r="AW623" s="2" t="e">
        <f ca="1">_xll.BDH($C$603,"MODIFIED_WORKING_CPTL_5YR_GRWTH","FY 2018","FY 2018","Currency=INR","Period=FY","BEST_FPERIOD_OVERRIDE=FY","FILING_STATUS=OR","EQY_CONSOLIDATED=Y","Sort=A","Dates=H","DateFormat=P","Fill=—","Direction=H","UseDPDF=Y")</f>
        <v>#NAME?</v>
      </c>
      <c r="AX623" s="2" t="e">
        <f ca="1">_xll.BDH($C$603,"WORKING_CAPITAL_5_YEAR_GROWTH","FY 2018","FY 2018","Currency=INR","Period=FY","BEST_FPERIOD_OVERRIDE=FY","FILING_STATUS=OR","EQY_CONSOLIDATED=Y","Sort=A","Dates=H","DateFormat=P","Fill=—","Direction=H","UseDPDF=Y")</f>
        <v>#NAME?</v>
      </c>
      <c r="AY623" s="2" t="e">
        <f ca="1">_xll.BDH($C$603,"ACCOUNTS_PAYABLE_5_YEAR_GROWTH","FY 2018","FY 2018","Currency=INR","Period=FY","BEST_FPERIOD_OVERRIDE=FY","FILING_STATUS=OR","EQY_CONSOLIDATED=Y","Sort=A","Dates=H","DateFormat=P","Fill=—","Direction=H","UseDPDF=Y")</f>
        <v>#NAME?</v>
      </c>
      <c r="AZ623" s="2" t="e">
        <f ca="1">_xll.BDH($C$603,"SHORT_TERM_DEBT_5_YEAR_GROWTH","FY 2018","FY 2018","Currency=INR","Period=FY","BEST_FPERIOD_OVERRIDE=FY","FILING_STATUS=OR","EQY_CONSOLIDATED=Y","Sort=A","Dates=H","DateFormat=P","Fill=—","Direction=H","UseDPDF=Y")</f>
        <v>#NAME?</v>
      </c>
      <c r="BA623" s="2" t="e">
        <f ca="1">_xll.BDH($C$603,"TOTAL_DEBT_5_YEAR_GROWTH","FY 2018","FY 2018","Currency=INR","Period=FY","BEST_FPERIOD_OVERRIDE=FY","FILING_STATUS=OR","EQY_CONSOLIDATED=Y","Sort=A","Dates=H","DateFormat=P","Fill=—","Direction=H","UseDPDF=Y")</f>
        <v>#NAME?</v>
      </c>
      <c r="BB623" s="2" t="e">
        <f ca="1">_xll.BDH($C$603,"GEO_GROW_TOT_SHRHLDR_EQY","FY 2018","FY 2018","Currency=INR","Period=FY","BEST_FPERIOD_OVERRIDE=FY","FILING_STATUS=OR","EQY_CONSOLIDATED=Y","Sort=A","Dates=H","DateFormat=P","Fill=—","Direction=H","UseDPDF=Y")</f>
        <v>#NAME?</v>
      </c>
      <c r="BC623" s="2" t="e">
        <f ca="1">_xll.BDH($C$603,"TOTAL_CAPITAL_5_YEAR_GROWTH","FY 2018","FY 2018","Currency=INR","Period=FY","BEST_FPERIOD_OVERRIDE=FY","FILING_STATUS=OR","EQY_CONSOLIDATED=Y","Sort=A","Dates=H","DateFormat=P","Fill=—","Direction=H","UseDPDF=Y")</f>
        <v>#NAME?</v>
      </c>
      <c r="BD623" s="2" t="e">
        <f ca="1">_xll.BDH($C$603,"GEO_GROW_BOOK_VAL","FY 2018","FY 2018","Currency=INR","Period=FY","BEST_FPERIOD_OVERRIDE=FY","FILING_STATUS=OR","EQY_CONSOLIDATED=Y","Sort=A","Dates=H","DateFormat=P","Fill=—","Direction=H","UseDPDF=Y")</f>
        <v>#NAME?</v>
      </c>
      <c r="BE623" s="2" t="e">
        <f ca="1">_xll.BDH($C$603,"GEO_GROW_CASH_OPER_ACT","FY 2018","FY 2018","Currency=INR","Period=FY","BEST_FPERIOD_OVERRIDE=FY","FILING_STATUS=OR","EQY_CONSOLIDATED=Y","Sort=A","Dates=H","DateFormat=P","Fill=—","Direction=H","UseDPDF=Y")</f>
        <v>#NAME?</v>
      </c>
      <c r="BF623" s="2" t="e">
        <f ca="1">_xll.BDH($C$603,"REVENUE_SEQUENTIAL_GROWTH","FY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623" s="2" t="e">
        <f ca="1">_xll.BDH($C$603,"EBITDA_SEQUENTIAL_GROWTH","FY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623" s="2" t="e">
        <f ca="1">_xll.BDH($C$603,"OPERATING_INCOME_SEQ_GROWTH","FY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623" s="2" t="e">
        <f ca="1">_xll.BDH($C$603,"NET_INCOME_TO_COMMON_SEQ_GROWTH","FY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623" s="2" t="e">
        <f ca="1">_xll.BDH($C$603,"EPS_DILUTED_SEQUENTIAL_GROWTH","FY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623" s="2" t="e">
        <f ca="1">_xll.BDH($C$603,"DPS_SEQUENTIAL_GROWTH","FY 2018","FY 2018","Currency=INR","Period=FY","BEST_FPERIOD_OVERRIDE=FY","FILING_STATUS=OR","EQY_CONSOLIDATED=Y","Sort=A","Dates=H","DateFormat=P","Fill=—","Direction=H","UseDPDF=Y")</f>
        <v>#NAME?</v>
      </c>
      <c r="BL623" s="2" t="e">
        <f ca="1">_xll.BDH($C$603,"ACCOUNTS_RECEIVABLE_SEQ_GROWTH","FY 2018","FY 2018","Currency=INR","Period=FY","BEST_FPERIOD_OVERRIDE=FY","FILING_STATUS=OR","EQY_CONSOLIDATED=Y","Sort=A","Dates=H","DateFormat=P","Fill=—","Direction=H","UseDPDF=Y")</f>
        <v>#NAME?</v>
      </c>
      <c r="BM623" s="2" t="e">
        <f ca="1">_xll.BDH($C$603,"INVENTORY_SEQUENTIAL_GROWTH","FY 2018","FY 2018","Currency=INR","Period=FY","BEST_FPERIOD_OVERRIDE=FY","FILING_STATUS=OR","EQY_CONSOLIDATED=Y","Sort=A","Dates=H","DateFormat=P","Fill=—","Direction=H","UseDPDF=Y")</f>
        <v>#NAME?</v>
      </c>
      <c r="BN623" s="2" t="e">
        <f ca="1">_xll.BDH($C$603,"FIXED_ASSETS_SEQUENTIAL_GROWTH","FY 2018","FY 2018","Currency=INR","Period=FY","BEST_FPERIOD_OVERRIDE=FY","FILING_STATUS=OR","EQY_CONSOLIDATED=Y","Sort=A","Dates=H","DateFormat=P","Fill=—","Direction=H","UseDPDF=Y")</f>
        <v>#NAME?</v>
      </c>
      <c r="BO623" s="2" t="e">
        <f ca="1">_xll.BDH($C$603,"TOTAL_ASSETS_SEQUENTIAL_GROWTH","FY 2018","FY 2018","Currency=INR","Period=FY","BEST_FPERIOD_OVERRIDE=FY","FILING_STATUS=OR","EQY_CONSOLIDATED=Y","Sort=A","Dates=H","DateFormat=P","Fill=—","Direction=H","UseDPDF=Y")</f>
        <v>#NAME?</v>
      </c>
      <c r="BP623" s="2" t="e">
        <f ca="1">_xll.BDH($C$603,"MODIFIED_WORKING_CPTL_SEQ_GRWTH","FY 2018","FY 2018","Currency=INR","Period=FY","BEST_FPERIOD_OVERRIDE=FY","FILING_STATUS=OR","EQY_CONSOLIDATED=Y","Sort=A","Dates=H","DateFormat=P","Fill=—","Direction=H","UseDPDF=Y")</f>
        <v>#NAME?</v>
      </c>
      <c r="BQ623" s="2" t="e">
        <f ca="1">_xll.BDH($C$603,"WORKING_CAPITAL_SEQ_GROWTH","FY 2018","FY 2018","Currency=INR","Period=FY","BEST_FPERIOD_OVERRIDE=FY","FILING_STATUS=OR","EQY_CONSOLIDATED=Y","Sort=A","Dates=H","DateFormat=P","Fill=—","Direction=H","UseDPDF=Y")</f>
        <v>#NAME?</v>
      </c>
      <c r="BR623" s="2" t="e">
        <f ca="1">_xll.BDH($C$603,"ACCOUNTS_PAYABLE_SEQ_GROWTH","FY 2018","FY 2018","Currency=INR","Period=FY","BEST_FPERIOD_OVERRIDE=FY","FILING_STATUS=OR","EQY_CONSOLIDATED=Y","Sort=A","Dates=H","DateFormat=P","Fill=—","Direction=H","UseDPDF=Y")</f>
        <v>#NAME?</v>
      </c>
      <c r="BS623" s="2" t="e">
        <f ca="1">_xll.BDH($C$603,"ST_DEBT_SEQUENTIAL_GROWTH","FY 2018","FY 2018","Currency=INR","Period=FY","BEST_FPERIOD_OVERRIDE=FY","FILING_STATUS=OR","EQY_CONSOLIDATED=Y","Sort=A","Dates=H","DateFormat=P","Fill=—","Direction=H","UseDPDF=Y")</f>
        <v>#NAME?</v>
      </c>
      <c r="BT623" s="2" t="e">
        <f ca="1">_xll.BDH($C$603,"TOTAL_DEBT_SEQUENTIAL_GROWTH","FY 2018","FY 2018","Currency=INR","Period=FY","BEST_FPERIOD_OVERRIDE=FY","FILING_STATUS=OR","EQY_CONSOLIDATED=Y","Sort=A","Dates=H","DateFormat=P","Fill=—","Direction=H","UseDPDF=Y")</f>
        <v>#NAME?</v>
      </c>
      <c r="BU623" s="2" t="e">
        <f ca="1">_xll.BDH($C$603,"TOTAL_EQUITY_SEQUENTIAL_GROWTH","FY 2018","FY 2018","Currency=INR","Period=FY","BEST_FPERIOD_OVERRIDE=FY","FILING_STATUS=OR","EQY_CONSOLIDATED=Y","Sort=A","Dates=H","DateFormat=P","Fill=—","Direction=H","UseDPDF=Y")</f>
        <v>#NAME?</v>
      </c>
      <c r="BV623" s="2" t="e">
        <f ca="1">_xll.BDH($C$603,"TOTAL_CAPITAL_SEQUENTIAL_GROWTH","FY 2018","FY 2018","Currency=INR","Period=FY","BEST_FPERIOD_OVERRIDE=FY","FILING_STATUS=OR","EQY_CONSOLIDATED=Y","Sort=A","Dates=H","DateFormat=P","Fill=—","Direction=H","UseDPDF=Y")</f>
        <v>#NAME?</v>
      </c>
      <c r="BW623" s="2" t="e">
        <f ca="1">_xll.BDH($C$603,"BPS_SEQUENTIAL_GROWTH","FY 2018","FY 2018","Currency=INR","Period=FY","BEST_FPERIOD_OVERRIDE=FY","FILING_STATUS=OR","EQY_CONSOLIDATED=Y","Sort=A","Dates=H","DateFormat=P","Fill=—","Direction=H","UseDPDF=Y")</f>
        <v>#NAME?</v>
      </c>
      <c r="BX623" s="2" t="e">
        <f ca="1">_xll.BDH($C$603,"CFO_SEQUENTIAL_GROWTH","FY 2018","FY 2018","Currency=INR","Period=FY","BEST_FPERIOD_OVERRIDE=FY","FILING_STATUS=OR","EQY_CONSOLIDATED=Y","Sort=A","Dates=H","DateFormat=P","Fill=—","Direction=H","UseDPDF=Y")</f>
        <v>#NAME?</v>
      </c>
      <c r="BY623" s="3" t="e">
        <f ca="1">_xll.BDH($C$603,"SHORT_AND_LONG_TERM_DEBT","FY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623" s="3" t="e">
        <f ca="1">_xll.BDH($C$603,"BS_ST_BORROW","FY 2018","FY 2018","Currency=INR","Period=FY","BEST_FPERIOD_OVERRIDE=FY","FILING_STATUS=OR","EQY_CONSOLIDATED=Y","SCALING_FORMAT=MLN","Sort=A","Dates=H","DateFormat=P","Fill=—","Direction=H","UseDPDF=Y")</f>
        <v>#NAME?</v>
      </c>
      <c r="CA623" s="3" t="e">
        <f ca="1">_xll.BDH($C$603,"BS_LT_BORROW","FY 2018","FY 2018","Currency=INR","Period=FY","BEST_FPERIOD_OVERRIDE=FY","FILING_STATUS=OR","EQY_CONSOLIDATED=Y","SCALING_FORMAT=MLN","Sort=A","Dates=H","DateFormat=P","Fill=—","Direction=H","UseDPDF=Y")</f>
        <v>#NAME?</v>
      </c>
      <c r="CB623" s="2" t="e">
        <f ca="1">_xll.BDH($C$603,"TOT_DEBT_TO_EBITDA","FY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623" s="2" t="e">
        <f ca="1">_xll.BDH($C$603,"NET_DEBT_TO_EBITDA","FY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623" s="2" t="e">
        <f ca="1">_xll.BDH($C$603,"TOTAL_DEBT_TO_EBIT","FY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623" s="2" t="e">
        <f ca="1">_xll.BDH($C$603,"NET_DEBT_TO_EBIT","FY 2018","FY 2018","Currency=INR","Period=FY","BEST_FPERIOD_OVERRIDE=FY","FILING_STATUS=OR","EQY_CONSOLIDATED=Y","FA_ADJUSTED=GAAP","Sort=A","Dates=H","DateFormat=P","Fill=—","Direction=H","UseDPDF=Y")</f>
        <v>#NAME?</v>
      </c>
      <c r="CF623" s="2" t="e">
        <f ca="1">_xll.BDH($C$603,"EBITDA_TO_INTEREST_EXPN","FY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623" s="2" t="e">
        <f ca="1">_xll.BDH($C$603,"COM_EQY_TO_TOT_ASSET","FY 2018","FY 2018","Currency=INR","Period=FY","BEST_FPERIOD_OVERRIDE=FY","FILING_STATUS=OR","EQY_CONSOLIDATED=Y","Sort=A","Dates=H","DateFormat=P","Fill=—","Direction=H","UseDPDF=Y")</f>
        <v>#NAME?</v>
      </c>
      <c r="CH623" s="2" t="e">
        <f ca="1">_xll.BDH($C$603,"LT_DEBT_TO_TOT_EQY","FY 2018","FY 2018","Currency=INR","Period=FY","BEST_FPERIOD_OVERRIDE=FY","FILING_STATUS=OR","EQY_CONSOLIDATED=Y","Sort=A","Dates=H","DateFormat=P","Fill=—","Direction=H","UseDPDF=Y")</f>
        <v>#NAME?</v>
      </c>
      <c r="CI623" s="2" t="e">
        <f ca="1">_xll.BDH($C$603,"LT_DEBT_TO_TOT_CAP","FY 2018","FY 2018","Currency=INR","Period=FY","BEST_FPERIOD_OVERRIDE=FY","FILING_STATUS=OR","EQY_CONSOLIDATED=Y","Sort=A","Dates=H","DateFormat=P","Fill=—","Direction=H","UseDPDF=Y")</f>
        <v>#NAME?</v>
      </c>
      <c r="CJ623" s="2" t="e">
        <f ca="1">_xll.BDH($C$603,"LT_DEBT_TO_TOT_ASSET","FY 2018","FY 2018","Currency=INR","Period=FY","BEST_FPERIOD_OVERRIDE=FY","FILING_STATUS=OR","EQY_CONSOLIDATED=Y","Sort=A","Dates=H","DateFormat=P","Fill=—","Direction=H","UseDPDF=Y")</f>
        <v>#NAME?</v>
      </c>
      <c r="CK623" s="2" t="e">
        <f ca="1">_xll.BDH($C$603,"TOT_DEBT_TO_TOT_EQY","FY 2018","FY 2018","Currency=INR","Period=FY","BEST_FPERIOD_OVERRIDE=FY","FILING_STATUS=OR","EQY_CONSOLIDATED=Y","Sort=A","Dates=H","DateFormat=P","Fill=—","Direction=H","UseDPDF=Y")</f>
        <v>#NAME?</v>
      </c>
      <c r="CL623" s="2" t="e">
        <f ca="1">_xll.BDH($C$603,"TOT_DEBT_TO_TOT_CAP","FY 2018","FY 2018","Currency=INR","Period=FY","BEST_FPERIOD_OVERRIDE=FY","FILING_STATUS=OR","EQY_CONSOLIDATED=Y","Sort=A","Dates=H","DateFormat=P","Fill=—","Direction=H","UseDPDF=Y")</f>
        <v>#NAME?</v>
      </c>
      <c r="CM623" s="2" t="e">
        <f ca="1">_xll.BDH($C$603,"TOT_DEBT_TO_TOT_ASSET","FY 2018","FY 2018","Currency=INR","Period=FY","BEST_FPERIOD_OVERRIDE=FY","FILING_STATUS=OR","EQY_CONSOLIDATED=Y","Sort=A","Dates=H","DateFormat=P","Fill=—","Direction=H","UseDPDF=Y")</f>
        <v>#NAME?</v>
      </c>
      <c r="CN623" s="2" t="e">
        <f ca="1">_xll.BDH($C$603,"NET_DEBT_TO_SHRHLDR_EQTY","FY 2018","FY 2018","Currency=INR","Period=FY","BEST_FPERIOD_OVERRIDE=FY","FILING_STATUS=OR","EQY_CONSOLIDATED=Y","Sort=A","Dates=H","DateFormat=P","Fill=—","Direction=H","UseDPDF=Y")</f>
        <v>#NAME?</v>
      </c>
      <c r="CO623" s="2" t="e">
        <f ca="1">_xll.BDH($C$603,"NET_DEBT_%_CAPITAL","FY 2018","FY 2018","Currency=INR","Period=FY","BEST_FPERIOD_OVERRIDE=FY","FILING_STATUS=OR","EQY_CONSOLIDATED=Y","Sort=A","Dates=H","DateFormat=P","Fill=—","Direction=H","UseDPDF=Y")</f>
        <v>#NAME?</v>
      </c>
      <c r="CP623" s="3" t="e">
        <f ca="1">_xll.BDH($C$603,"EBITDA","FY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623" s="3" t="e">
        <f ca="1">_xll.BDH($C$603,"EBITDA_AFTER_CAPEX","FY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623" s="3" t="e">
        <f ca="1">_xll.BDH($C$603,"IS_OPER_INC","FY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623" s="2" t="e">
        <f ca="1">_xll.BDH($C$603,"CASH_RATIO","FY 2018","FY 2018","Currency=INR","Period=FY","BEST_FPERIOD_OVERRIDE=FY","FILING_STATUS=OR","EQY_CONSOLIDATED=Y","Sort=A","Dates=H","DateFormat=P","Fill=—","Direction=H","UseDPDF=Y")</f>
        <v>#NAME?</v>
      </c>
      <c r="CT623" s="2" t="e">
        <f ca="1">_xll.BDH($C$603,"CUR_RATIO","FY 2018","FY 2018","Currency=INR","Period=FY","BEST_FPERIOD_OVERRIDE=FY","FILING_STATUS=OR","EQY_CONSOLIDATED=Y","Sort=A","Dates=H","DateFormat=P","Fill=—","Direction=H","UseDPDF=Y")</f>
        <v>#NAME?</v>
      </c>
      <c r="CU623" s="2" t="e">
        <f ca="1">_xll.BDH($C$603,"QUICK_RATIO","FY 2018","FY 2018","Currency=INR","Period=FY","BEST_FPERIOD_OVERRIDE=FY","FILING_STATUS=OR","EQY_CONSOLIDATED=Y","Sort=A","Dates=H","DateFormat=P","Fill=—","Direction=H","UseDPDF=Y")</f>
        <v>#NAME?</v>
      </c>
      <c r="CV623" s="2" t="e">
        <f ca="1">_xll.BDH($C$603,"ALTMAN_Z_SCORE","FY 2018","FY 2018","Currency=INR","Period=FY","BEST_FPERIOD_OVERRIDE=FY","FILING_STATUS=OR","EQY_CONSOLIDATED=Y","Sort=A","Dates=H","DateFormat=P","Fill=—","Direction=H","UseDPDF=Y")</f>
        <v>#NAME?</v>
      </c>
      <c r="CW623" s="4" t="e">
        <f ca="1">_xll.BDH($C$603,"ACCT_RCV_TURN","FY 2018","FY 2018","Currency=INR","Period=FY","BEST_FPERIOD_OVERRIDE=FY","FILING_STATUS=OR","EQY_CONSOLIDATED=Y","FA_ADJUSTED=GAAP","Sort=A","Dates=H","DateFormat=P","Fill=—","Direction=H","UseDPDF=Y")</f>
        <v>#NAME?</v>
      </c>
      <c r="CX623" s="2" t="e">
        <f ca="1">_xll.BDH($C$603,"ACCT_RCV_DAYS","FY 2018","FY 2018","Currency=INR","Period=FY","BEST_FPERIOD_OVERRIDE=FY","FILING_STATUS=OR","EQY_CONSOLIDATED=Y","FA_ADJUSTED=GAAP","Sort=A","Dates=H","DateFormat=P","Fill=—","Direction=H","UseDPDF=Y")</f>
        <v>#NAME?</v>
      </c>
      <c r="CY623" s="4" t="e">
        <f ca="1">_xll.BDH($C$603,"INVENT_TURN","FY 2018","FY 2018","Currency=INR","Period=FY","BEST_FPERIOD_OVERRIDE=FY","FILING_STATUS=OR","EQY_CONSOLIDATED=Y","FA_ADJUSTED=GAAP","Sort=A","Dates=H","DateFormat=P","Fill=—","Direction=H","UseDPDF=Y")</f>
        <v>#NAME?</v>
      </c>
      <c r="CZ623" s="2" t="e">
        <f ca="1">_xll.BDH($C$603,"INVENT_DAYS","FY 2018","FY 2018","Currency=INR","Period=FY","BEST_FPERIOD_OVERRIDE=FY","FILING_STATUS=OR","EQY_CONSOLIDATED=Y","FA_ADJUSTED=GAAP","Sort=A","Dates=H","DateFormat=P","Fill=—","Direction=H","UseDPDF=Y")</f>
        <v>#NAME?</v>
      </c>
      <c r="DA623" s="4" t="e">
        <f ca="1">_xll.BDH($C$603,"ACCOUNTS_PAYABLE_TURNOVER","FY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623" s="2" t="e">
        <f ca="1">_xll.BDH($C$603,"ACCOUNTS_PAYABLE_TURNOVER_DAYS","FY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623" s="4" t="e">
        <f ca="1">_xll.BDH($C$603,"CASH_CONVERSION_CYCLE","FY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623" s="4" t="e">
        <f ca="1">_xll.BDH($C$603,"INV_TO_CASH_DAYS","FY 2018","FY 2018","Currency=INR","Period=FY","BEST_FPERIOD_OVERRIDE=FY","FILING_STATUS=OR","EQY_CONSOLIDATED=Y","FA_ADJUSTED=GAAP","Sort=A","Dates=H","DateFormat=P","Fill=—","Direction=H","UseDPDF=Y")</f>
        <v>#NAME?</v>
      </c>
      <c r="DE623" s="5" t="e">
        <f ca="1">_xll.BDH($C$603,"BS_INVENTORIES","FY 2018","FY 2018","Currency=INR","Period=FY","BEST_FPERIOD_OVERRIDE=FY","FILING_STATUS=OR","EQY_CONSOLIDATED=Y","SCALING_FORMAT=MLN","Sort=A","Dates=H","DateFormat=P","Fill=—","Direction=H","UseDPDF=Y")</f>
        <v>#NAME?</v>
      </c>
      <c r="DF623" s="3" t="e">
        <f ca="1">_xll.BDH($C$603,"INVTRY_RAW_MATERIALS","FY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623" s="3" t="e">
        <f ca="1">_xll.BDH($C$603,"INVTRY_IN_PROGRESS","FY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623" s="3" t="e">
        <f ca="1">_xll.BDH($C$603,"INVTRY_FINISHED_GOODS","FY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623" s="3" t="e">
        <f ca="1">_xll.BDH($C$603,"BS_OTHER_INV","FY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624" spans="1:113" x14ac:dyDescent="0.3">
      <c r="A624" s="6"/>
      <c r="B624" s="6"/>
      <c r="C624" s="6"/>
      <c r="D624" s="6"/>
      <c r="E624" t="s">
        <v>78</v>
      </c>
      <c r="F624" t="e">
        <f ca="1">_xll.BDH($C$603,"RETURN_COM_EQY","FQ1 2018","FQ1 2018","Currency=INR","Period=FQ","BEST_FPERIOD_OVERRIDE=FQ","FILING_STATUS=OR","EQY_CONSOLIDATED=Y","FA_ADJUSTED=GAAP","Sort=A","Dates=H","DateFormat=P","Fill=—","Direction=H","UseDPDF=Y")</f>
        <v>#NAME?</v>
      </c>
      <c r="G624" t="e">
        <f ca="1">_xll.BDH($C$603,"RETURN_ON_ASSET","FQ1 2018","FQ1 2018","Currency=INR","Period=FQ","BEST_FPERIOD_OVERRIDE=FQ","FILING_STATUS=OR","EQY_CONSOLIDATED=Y","FA_ADJUSTED=GAAP","Sort=A","Dates=H","DateFormat=P","Fill=—","Direction=H","UseDPDF=Y")</f>
        <v>#NAME?</v>
      </c>
      <c r="H624" t="e">
        <f ca="1">_xll.BDH($C$603,"RETURN_ON_CAP","FQ1 2018","FQ1 2018","Currency=INR","Period=FQ","BEST_FPERIOD_OVERRIDE=FQ","FILING_STATUS=OR","EQY_CONSOLIDATED=Y","FA_ADJUSTED=GAAP","Sort=A","Dates=H","DateFormat=P","Fill=—","Direction=H","UseDPDF=Y")</f>
        <v>#NAME?</v>
      </c>
      <c r="I624" t="e">
        <f ca="1">_xll.BDH($C$603,"RETURN_ON_INV_CAPITAL","FQ1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624" t="e">
        <f ca="1">_xll.BDH($C$603,"EBITDA_TO_REVENUE","FQ1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624" t="e">
        <f ca="1">_xll.BDH($C$603,"OPER_MARGIN","FQ1 2018","FQ1 2018","Currency=INR","Period=FQ","BEST_FPERIOD_OVERRIDE=FQ","FILING_STATUS=OR","EQY_CONSOLIDATED=Y","FA_ADJUSTED=GAAP","Sort=A","Dates=H","DateFormat=P","Fill=—","Direction=H","UseDPDF=Y")</f>
        <v>#NAME?</v>
      </c>
      <c r="L624" t="e">
        <f ca="1">_xll.BDH($C$603,"INCREMENTAL_OPERATING_MARGIN","FQ1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624" t="e">
        <f ca="1">_xll.BDH($C$603,"PRETAX_INC_TO_NET_SALES","FQ1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624" t="e">
        <f ca="1">_xll.BDH($C$603,"INC_BEF_XO_ITEMS_TO_NET_SALES","FQ1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624" t="e">
        <f ca="1">_xll.BDH($C$603,"PROF_MARGIN","FQ1 2018","FQ1 2018","Currency=INR","Period=FQ","BEST_FPERIOD_OVERRIDE=FQ","FILING_STATUS=OR","EQY_CONSOLIDATED=Y","FA_ADJUSTED=GAAP","Sort=A","Dates=H","DateFormat=P","Fill=—","Direction=H","UseDPDF=Y")</f>
        <v>#NAME?</v>
      </c>
      <c r="P624" t="e">
        <f ca="1">_xll.BDH($C$603,"NET_INCOME_TO_COMMON_MARGIN","FQ1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624" t="e">
        <f ca="1">_xll.BDH($C$603,"EFF_TAX_RATE","FQ1 2018","FQ1 2018","Currency=INR","Period=FQ","BEST_FPERIOD_OVERRIDE=FQ","FILING_STATUS=OR","EQY_CONSOLIDATED=Y","FA_ADJUSTED=GAAP","Sort=A","Dates=H","DateFormat=P","Fill=—","Direction=H","UseDPDF=Y")</f>
        <v>#NAME?</v>
      </c>
      <c r="R624" t="e">
        <f ca="1">_xll.BDH($C$603,"DVD_PAYOUT_RATIO","FQ1 2018","FQ1 2018","Currency=INR","Period=FQ","BEST_FPERIOD_OVERRIDE=FQ","FILING_STATUS=OR","EQY_CONSOLIDATED=Y","FA_ADJUSTED=GAAP","Sort=A","Dates=H","DateFormat=P","Fill=—","Direction=H","UseDPDF=Y")</f>
        <v>#NAME?</v>
      </c>
      <c r="S624" t="e">
        <f ca="1">_xll.BDH($C$603,"SUSTAIN_GROWTH_RT","FQ1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624" s="2" t="e">
        <f ca="1">_xll.BDH($C$603,"SALES_GROWTH","FQ1 2018","FQ1 2018","Currency=INR","Period=FQ","BEST_FPERIOD_OVERRIDE=FQ","FILING_STATUS=OR","EQY_CONSOLIDATED=Y","FA_ADJUSTED=GAAP","Sort=A","Dates=H","DateFormat=P","Fill=—","Direction=H","UseDPDF=Y")</f>
        <v>#NAME?</v>
      </c>
      <c r="U624" s="2" t="e">
        <f ca="1">_xll.BDH($C$603,"EBITDA_GROWTH","FQ1 2018","FQ1 2018","Currency=INR","Period=FQ","BEST_FPERIOD_OVERRIDE=FQ","FILING_STATUS=OR","EQY_CONSOLIDATED=Y","FA_ADJUSTED=GAAP","Sort=A","Dates=H","DateFormat=P","Fill=—","Direction=H","UseDPDF=Y")</f>
        <v>#NAME?</v>
      </c>
      <c r="V624" s="2" t="e">
        <f ca="1">_xll.BDH($C$603,"OPER_INC_GROWTH","FQ1 2018","FQ1 2018","Currency=INR","Period=FQ","BEST_FPERIOD_OVERRIDE=FQ","FILING_STATUS=OR","EQY_CONSOLIDATED=Y","FA_ADJUSTED=GAAP","Sort=A","Dates=H","DateFormat=P","Fill=—","Direction=H","UseDPDF=Y")</f>
        <v>#NAME?</v>
      </c>
      <c r="W624" s="2" t="e">
        <f ca="1">_xll.BDH($C$603,"EARN_FOR_COM_GROWTH","FQ1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624" s="2" t="e">
        <f ca="1">_xll.BDH($C$603,"DILUTED_EPS_AFT_XO_ITEMS_GROWTH","FQ1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624" s="2" t="e">
        <f ca="1">_xll.BDH($C$603,"DIVIDEND_PER_SHARE_1_YEAR_GROWTH","FQ1 2018","FQ1 2018","Currency=INR","Period=FQ","BEST_FPERIOD_OVERRIDE=FQ","FILING_STATUS=OR","EQY_CONSOLIDATED=Y","Sort=A","Dates=H","DateFormat=P","Fill=—","Direction=H","UseDPDF=Y")</f>
        <v>#NAME?</v>
      </c>
      <c r="Z624" s="2" t="e">
        <f ca="1">_xll.BDH($C$603,"ACCOUNTS_RECEIVABLE_GROWTH","FQ1 2018","FQ1 2018","Currency=INR","Period=FQ","BEST_FPERIOD_OVERRIDE=FQ","FILING_STATUS=OR","EQY_CONSOLIDATED=Y","Sort=A","Dates=H","DateFormat=P","Fill=—","Direction=H","UseDPDF=Y")</f>
        <v>#NAME?</v>
      </c>
      <c r="AA624" s="2" t="e">
        <f ca="1">_xll.BDH($C$603,"INVENTORY_GROWTH","FQ1 2018","FQ1 2018","Currency=INR","Period=FQ","BEST_FPERIOD_OVERRIDE=FQ","FILING_STATUS=OR","EQY_CONSOLIDATED=Y","Sort=A","Dates=H","DateFormat=P","Fill=—","Direction=H","UseDPDF=Y")</f>
        <v>#NAME?</v>
      </c>
      <c r="AB624" s="2" t="e">
        <f ca="1">_xll.BDH($C$603,"NET_FIXED_ASSETS_1_YEAR_GROWTH","FQ1 2018","FQ1 2018","Currency=INR","Period=FQ","BEST_FPERIOD_OVERRIDE=FQ","FILING_STATUS=OR","EQY_CONSOLIDATED=Y","Sort=A","Dates=H","DateFormat=P","Fill=—","Direction=H","UseDPDF=Y")</f>
        <v>#NAME?</v>
      </c>
      <c r="AC624" s="2" t="e">
        <f ca="1">_xll.BDH($C$603,"ASSET_GROWTH","FQ1 2018","FQ1 2018","Currency=INR","Period=FQ","BEST_FPERIOD_OVERRIDE=FQ","FILING_STATUS=OR","EQY_CONSOLIDATED=Y","Sort=A","Dates=H","DateFormat=P","Fill=—","Direction=H","UseDPDF=Y")</f>
        <v>#NAME?</v>
      </c>
      <c r="AD624" s="2" t="e">
        <f ca="1">_xll.BDH($C$603,"MODIFIED_WORK_CAP_GROWTH","FQ1 2018","FQ1 2018","Currency=INR","Period=FQ","BEST_FPERIOD_OVERRIDE=FQ","FILING_STATUS=OR","EQY_CONSOLIDATED=Y","Sort=A","Dates=H","DateFormat=P","Fill=—","Direction=H","UseDPDF=Y")</f>
        <v>#NAME?</v>
      </c>
      <c r="AE624" s="2" t="e">
        <f ca="1">_xll.BDH($C$603,"WORK_CAP_GROWTH","FQ1 2018","FQ1 2018","Currency=INR","Period=FQ","BEST_FPERIOD_OVERRIDE=FQ","FILING_STATUS=OR","EQY_CONSOLIDATED=Y","Sort=A","Dates=H","DateFormat=P","Fill=—","Direction=H","UseDPDF=Y")</f>
        <v>#NAME?</v>
      </c>
      <c r="AF624" s="2" t="e">
        <f ca="1">_xll.BDH($C$603,"ACCOUNTS_PAYABLE_GROWTH_1YR","FQ1 2018","FQ1 2018","Currency=INR","Period=FQ","BEST_FPERIOD_OVERRIDE=FQ","FILING_STATUS=OR","EQY_CONSOLIDATED=Y","Sort=A","Dates=H","DateFormat=P","Fill=—","Direction=H","UseDPDF=Y")</f>
        <v>#NAME?</v>
      </c>
      <c r="AG624" s="2" t="e">
        <f ca="1">_xll.BDH($C$603,"SHORT_TERM_DEBT_1_YEAR_GROWTH","FQ1 2018","FQ1 2018","Currency=INR","Period=FQ","BEST_FPERIOD_OVERRIDE=FQ","FILING_STATUS=OR","EQY_CONSOLIDATED=Y","Sort=A","Dates=H","DateFormat=P","Fill=—","Direction=H","UseDPDF=Y")</f>
        <v>#NAME?</v>
      </c>
      <c r="AH624" s="2" t="e">
        <f ca="1">_xll.BDH($C$603,"TOTAL_DEBT_1_YEAR_GROWTH","FQ1 2018","FQ1 2018","Currency=INR","Period=FQ","BEST_FPERIOD_OVERRIDE=FQ","FILING_STATUS=OR","EQY_CONSOLIDATED=Y","Sort=A","Dates=H","DateFormat=P","Fill=—","Direction=H","UseDPDF=Y")</f>
        <v>#NAME?</v>
      </c>
      <c r="AI624" s="2" t="e">
        <f ca="1">_xll.BDH($C$603,"TOTAL_EQUITY_1_YEAR_GROWTH","FQ1 2018","FQ1 2018","Currency=INR","Period=FQ","BEST_FPERIOD_OVERRIDE=FQ","FILING_STATUS=OR","EQY_CONSOLIDATED=Y","Sort=A","Dates=H","DateFormat=P","Fill=—","Direction=H","UseDPDF=Y")</f>
        <v>#NAME?</v>
      </c>
      <c r="AJ624" s="2" t="e">
        <f ca="1">_xll.BDH($C$603,"GROWTH_IN_CAP","FQ1 2018","FQ1 2018","Currency=INR","Period=FQ","BEST_FPERIOD_OVERRIDE=FQ","FILING_STATUS=OR","EQY_CONSOLIDATED=Y","Sort=A","Dates=H","DateFormat=P","Fill=—","Direction=H","UseDPDF=Y")</f>
        <v>#NAME?</v>
      </c>
      <c r="AK624" s="2" t="e">
        <f ca="1">_xll.BDH($C$603,"BVPS_GROWTH","FQ1 2018","FQ1 2018","Currency=INR","Period=FQ","BEST_FPERIOD_OVERRIDE=FQ","FILING_STATUS=OR","EQY_CONSOLIDATED=Y","Sort=A","Dates=H","DateFormat=P","Fill=—","Direction=H","UseDPDF=Y")</f>
        <v>#NAME?</v>
      </c>
      <c r="AL624" s="2" t="e">
        <f ca="1">_xll.BDH($C$603,"CASH_FLOW_GROWTH","FQ1 2018","FQ1 2018","Currency=INR","Period=FQ","BEST_FPERIOD_OVERRIDE=FQ","FILING_STATUS=OR","EQY_CONSOLIDATED=Y","Sort=A","Dates=H","DateFormat=P","Fill=—","Direction=H","UseDPDF=Y")</f>
        <v>#NAME?</v>
      </c>
      <c r="AM624" s="2" t="e">
        <f ca="1">_xll.BDH($C$603,"GEO_GROW_NET_SALES","FQ1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624" s="2" t="e">
        <f ca="1">_xll.BDH($C$603,"GEO_GROW_EBITDA","FQ1 2018","FQ1 2018","Currency=INR","Period=FQ","BEST_FPERIOD_OVERRIDE=FQ","FILING_STATUS=OR","EQY_CONSOLIDATED=Y","FA_ADJUSTED=GAAP","Sort=A","Dates=H","DateFormat=P","Fill=—","Direction=H","UseDPDF=Y")</f>
        <v>#NAME?</v>
      </c>
      <c r="AO624" s="2" t="e">
        <f ca="1">_xll.BDH($C$603,"GEO_GROW_OPER_INC","FQ1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624" s="2" t="e">
        <f ca="1">_xll.BDH($C$603,"NET_INCOME_TO_COMMON_5_YR_GROWTH","FQ1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624" s="2" t="e">
        <f ca="1">_xll.BDH($C$603,"5Y_GEO_GROWTH_DILUTED_EPS","FQ1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624" s="2" t="e">
        <f ca="1">_xll.BDH($C$603,"GEO_GROW_DVD_PER_SH","FQ1 2018","FQ1 2018","Currency=INR","Period=FQ","BEST_FPERIOD_OVERRIDE=FQ","FILING_STATUS=OR","EQY_CONSOLIDATED=Y","Sort=A","Dates=H","DateFormat=P","Fill=—","Direction=H","UseDPDF=Y")</f>
        <v>#NAME?</v>
      </c>
      <c r="AS624" s="2" t="e">
        <f ca="1">_xll.BDH($C$603,"ACCOUNTS_RECEIVABLE_5_YR_GROWTH","FQ1 2018","FQ1 2018","Currency=INR","Period=FQ","BEST_FPERIOD_OVERRIDE=FQ","FILING_STATUS=OR","EQY_CONSOLIDATED=Y","Sort=A","Dates=H","DateFormat=P","Fill=—","Direction=H","UseDPDF=Y")</f>
        <v>#NAME?</v>
      </c>
      <c r="AT624" s="2" t="e">
        <f ca="1">_xll.BDH($C$603,"INVENTORY_5_YEAR_GROWTH","FQ1 2018","FQ1 2018","Currency=INR","Period=FQ","BEST_FPERIOD_OVERRIDE=FQ","FILING_STATUS=OR","EQY_CONSOLIDATED=Y","Sort=A","Dates=H","DateFormat=P","Fill=—","Direction=H","UseDPDF=Y")</f>
        <v>#NAME?</v>
      </c>
      <c r="AU624" s="2" t="e">
        <f ca="1">_xll.BDH($C$603,"NET_FIXED_ASSETS_5_YEAR_GROWTH","FQ1 2018","FQ1 2018","Currency=INR","Period=FQ","BEST_FPERIOD_OVERRIDE=FQ","FILING_STATUS=OR","EQY_CONSOLIDATED=Y","Sort=A","Dates=H","DateFormat=P","Fill=—","Direction=H","UseDPDF=Y")</f>
        <v>#NAME?</v>
      </c>
      <c r="AV624" s="2" t="e">
        <f ca="1">_xll.BDH($C$603,"GEO_GROW_TOT_ASSET","FQ1 2018","FQ1 2018","Currency=INR","Period=FQ","BEST_FPERIOD_OVERRIDE=FQ","FILING_STATUS=OR","EQY_CONSOLIDATED=Y","Sort=A","Dates=H","DateFormat=P","Fill=—","Direction=H","UseDPDF=Y")</f>
        <v>#NAME?</v>
      </c>
      <c r="AW624" s="2" t="e">
        <f ca="1">_xll.BDH($C$603,"MODIFIED_WORKING_CPTL_5YR_GRWTH","FQ1 2018","FQ1 2018","Currency=INR","Period=FQ","BEST_FPERIOD_OVERRIDE=FQ","FILING_STATUS=OR","EQY_CONSOLIDATED=Y","Sort=A","Dates=H","DateFormat=P","Fill=—","Direction=H","UseDPDF=Y")</f>
        <v>#NAME?</v>
      </c>
      <c r="AX624" s="2" t="e">
        <f ca="1">_xll.BDH($C$603,"WORKING_CAPITAL_5_YEAR_GROWTH","FQ1 2018","FQ1 2018","Currency=INR","Period=FQ","BEST_FPERIOD_OVERRIDE=FQ","FILING_STATUS=OR","EQY_CONSOLIDATED=Y","Sort=A","Dates=H","DateFormat=P","Fill=—","Direction=H","UseDPDF=Y")</f>
        <v>#NAME?</v>
      </c>
      <c r="AY624" s="2" t="e">
        <f ca="1">_xll.BDH($C$603,"ACCOUNTS_PAYABLE_5_YEAR_GROWTH","FQ1 2018","FQ1 2018","Currency=INR","Period=FQ","BEST_FPERIOD_OVERRIDE=FQ","FILING_STATUS=OR","EQY_CONSOLIDATED=Y","Sort=A","Dates=H","DateFormat=P","Fill=—","Direction=H","UseDPDF=Y")</f>
        <v>#NAME?</v>
      </c>
      <c r="AZ624" s="2" t="e">
        <f ca="1">_xll.BDH($C$603,"SHORT_TERM_DEBT_5_YEAR_GROWTH","FQ1 2018","FQ1 2018","Currency=INR","Period=FQ","BEST_FPERIOD_OVERRIDE=FQ","FILING_STATUS=OR","EQY_CONSOLIDATED=Y","Sort=A","Dates=H","DateFormat=P","Fill=—","Direction=H","UseDPDF=Y")</f>
        <v>#NAME?</v>
      </c>
      <c r="BA624" s="2" t="e">
        <f ca="1">_xll.BDH($C$603,"TOTAL_DEBT_5_YEAR_GROWTH","FQ1 2018","FQ1 2018","Currency=INR","Period=FQ","BEST_FPERIOD_OVERRIDE=FQ","FILING_STATUS=OR","EQY_CONSOLIDATED=Y","Sort=A","Dates=H","DateFormat=P","Fill=—","Direction=H","UseDPDF=Y")</f>
        <v>#NAME?</v>
      </c>
      <c r="BB624" s="2" t="e">
        <f ca="1">_xll.BDH($C$603,"GEO_GROW_TOT_SHRHLDR_EQY","FQ1 2018","FQ1 2018","Currency=INR","Period=FQ","BEST_FPERIOD_OVERRIDE=FQ","FILING_STATUS=OR","EQY_CONSOLIDATED=Y","Sort=A","Dates=H","DateFormat=P","Fill=—","Direction=H","UseDPDF=Y")</f>
        <v>#NAME?</v>
      </c>
      <c r="BC624" s="2" t="e">
        <f ca="1">_xll.BDH($C$603,"TOTAL_CAPITAL_5_YEAR_GROWTH","FQ1 2018","FQ1 2018","Currency=INR","Period=FQ","BEST_FPERIOD_OVERRIDE=FQ","FILING_STATUS=OR","EQY_CONSOLIDATED=Y","Sort=A","Dates=H","DateFormat=P","Fill=—","Direction=H","UseDPDF=Y")</f>
        <v>#NAME?</v>
      </c>
      <c r="BD624" s="2" t="e">
        <f ca="1">_xll.BDH($C$603,"GEO_GROW_BOOK_VAL","FQ1 2018","FQ1 2018","Currency=INR","Period=FQ","BEST_FPERIOD_OVERRIDE=FQ","FILING_STATUS=OR","EQY_CONSOLIDATED=Y","Sort=A","Dates=H","DateFormat=P","Fill=—","Direction=H","UseDPDF=Y")</f>
        <v>#NAME?</v>
      </c>
      <c r="BE624" s="2" t="e">
        <f ca="1">_xll.BDH($C$603,"GEO_GROW_CASH_OPER_ACT","FQ1 2018","FQ1 2018","Currency=INR","Period=FQ","BEST_FPERIOD_OVERRIDE=FQ","FILING_STATUS=OR","EQY_CONSOLIDATED=Y","Sort=A","Dates=H","DateFormat=P","Fill=—","Direction=H","UseDPDF=Y")</f>
        <v>#NAME?</v>
      </c>
      <c r="BF624" s="2" t="e">
        <f ca="1">_xll.BDH($C$603,"REVENUE_SEQUENTIAL_GROWTH","FQ1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624" s="2" t="e">
        <f ca="1">_xll.BDH($C$603,"EBITDA_SEQUENTIAL_GROWTH","FQ1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624" s="2" t="e">
        <f ca="1">_xll.BDH($C$603,"OPERATING_INCOME_SEQ_GROWTH","FQ1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624" s="2" t="e">
        <f ca="1">_xll.BDH($C$603,"NET_INCOME_TO_COMMON_SEQ_GROWTH","FQ1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624" s="2" t="e">
        <f ca="1">_xll.BDH($C$603,"EPS_DILUTED_SEQUENTIAL_GROWTH","FQ1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624" s="2" t="e">
        <f ca="1">_xll.BDH($C$603,"DPS_SEQUENTIAL_GROWTH","FQ1 2018","FQ1 2018","Currency=INR","Period=FQ","BEST_FPERIOD_OVERRIDE=FQ","FILING_STATUS=OR","EQY_CONSOLIDATED=Y","Sort=A","Dates=H","DateFormat=P","Fill=—","Direction=H","UseDPDF=Y")</f>
        <v>#NAME?</v>
      </c>
      <c r="BL624" s="2" t="e">
        <f ca="1">_xll.BDH($C$603,"ACCOUNTS_RECEIVABLE_SEQ_GROWTH","FQ1 2018","FQ1 2018","Currency=INR","Period=FQ","BEST_FPERIOD_OVERRIDE=FQ","FILING_STATUS=OR","EQY_CONSOLIDATED=Y","Sort=A","Dates=H","DateFormat=P","Fill=—","Direction=H","UseDPDF=Y")</f>
        <v>#NAME?</v>
      </c>
      <c r="BM624" s="2" t="e">
        <f ca="1">_xll.BDH($C$603,"INVENTORY_SEQUENTIAL_GROWTH","FQ1 2018","FQ1 2018","Currency=INR","Period=FQ","BEST_FPERIOD_OVERRIDE=FQ","FILING_STATUS=OR","EQY_CONSOLIDATED=Y","Sort=A","Dates=H","DateFormat=P","Fill=—","Direction=H","UseDPDF=Y")</f>
        <v>#NAME?</v>
      </c>
      <c r="BN624" s="2" t="e">
        <f ca="1">_xll.BDH($C$603,"FIXED_ASSETS_SEQUENTIAL_GROWTH","FQ1 2018","FQ1 2018","Currency=INR","Period=FQ","BEST_FPERIOD_OVERRIDE=FQ","FILING_STATUS=OR","EQY_CONSOLIDATED=Y","Sort=A","Dates=H","DateFormat=P","Fill=—","Direction=H","UseDPDF=Y")</f>
        <v>#NAME?</v>
      </c>
      <c r="BO624" s="2" t="e">
        <f ca="1">_xll.BDH($C$603,"TOTAL_ASSETS_SEQUENTIAL_GROWTH","FQ1 2018","FQ1 2018","Currency=INR","Period=FQ","BEST_FPERIOD_OVERRIDE=FQ","FILING_STATUS=OR","EQY_CONSOLIDATED=Y","Sort=A","Dates=H","DateFormat=P","Fill=—","Direction=H","UseDPDF=Y")</f>
        <v>#NAME?</v>
      </c>
      <c r="BP624" s="2" t="e">
        <f ca="1">_xll.BDH($C$603,"MODIFIED_WORKING_CPTL_SEQ_GRWTH","FQ1 2018","FQ1 2018","Currency=INR","Period=FQ","BEST_FPERIOD_OVERRIDE=FQ","FILING_STATUS=OR","EQY_CONSOLIDATED=Y","Sort=A","Dates=H","DateFormat=P","Fill=—","Direction=H","UseDPDF=Y")</f>
        <v>#NAME?</v>
      </c>
      <c r="BQ624" s="2" t="e">
        <f ca="1">_xll.BDH($C$603,"WORKING_CAPITAL_SEQ_GROWTH","FQ1 2018","FQ1 2018","Currency=INR","Period=FQ","BEST_FPERIOD_OVERRIDE=FQ","FILING_STATUS=OR","EQY_CONSOLIDATED=Y","Sort=A","Dates=H","DateFormat=P","Fill=—","Direction=H","UseDPDF=Y")</f>
        <v>#NAME?</v>
      </c>
      <c r="BR624" s="2" t="e">
        <f ca="1">_xll.BDH($C$603,"ACCOUNTS_PAYABLE_SEQ_GROWTH","FQ1 2018","FQ1 2018","Currency=INR","Period=FQ","BEST_FPERIOD_OVERRIDE=FQ","FILING_STATUS=OR","EQY_CONSOLIDATED=Y","Sort=A","Dates=H","DateFormat=P","Fill=—","Direction=H","UseDPDF=Y")</f>
        <v>#NAME?</v>
      </c>
      <c r="BS624" s="2" t="e">
        <f ca="1">_xll.BDH($C$603,"ST_DEBT_SEQUENTIAL_GROWTH","FQ1 2018","FQ1 2018","Currency=INR","Period=FQ","BEST_FPERIOD_OVERRIDE=FQ","FILING_STATUS=OR","EQY_CONSOLIDATED=Y","Sort=A","Dates=H","DateFormat=P","Fill=—","Direction=H","UseDPDF=Y")</f>
        <v>#NAME?</v>
      </c>
      <c r="BT624" s="2" t="e">
        <f ca="1">_xll.BDH($C$603,"TOTAL_DEBT_SEQUENTIAL_GROWTH","FQ1 2018","FQ1 2018","Currency=INR","Period=FQ","BEST_FPERIOD_OVERRIDE=FQ","FILING_STATUS=OR","EQY_CONSOLIDATED=Y","Sort=A","Dates=H","DateFormat=P","Fill=—","Direction=H","UseDPDF=Y")</f>
        <v>#NAME?</v>
      </c>
      <c r="BU624" s="2" t="e">
        <f ca="1">_xll.BDH($C$603,"TOTAL_EQUITY_SEQUENTIAL_GROWTH","FQ1 2018","FQ1 2018","Currency=INR","Period=FQ","BEST_FPERIOD_OVERRIDE=FQ","FILING_STATUS=OR","EQY_CONSOLIDATED=Y","Sort=A","Dates=H","DateFormat=P","Fill=—","Direction=H","UseDPDF=Y")</f>
        <v>#NAME?</v>
      </c>
      <c r="BV624" s="2" t="e">
        <f ca="1">_xll.BDH($C$603,"TOTAL_CAPITAL_SEQUENTIAL_GROWTH","FQ1 2018","FQ1 2018","Currency=INR","Period=FQ","BEST_FPERIOD_OVERRIDE=FQ","FILING_STATUS=OR","EQY_CONSOLIDATED=Y","Sort=A","Dates=H","DateFormat=P","Fill=—","Direction=H","UseDPDF=Y")</f>
        <v>#NAME?</v>
      </c>
      <c r="BW624" s="2" t="e">
        <f ca="1">_xll.BDH($C$603,"BPS_SEQUENTIAL_GROWTH","FQ1 2018","FQ1 2018","Currency=INR","Period=FQ","BEST_FPERIOD_OVERRIDE=FQ","FILING_STATUS=OR","EQY_CONSOLIDATED=Y","Sort=A","Dates=H","DateFormat=P","Fill=—","Direction=H","UseDPDF=Y")</f>
        <v>#NAME?</v>
      </c>
      <c r="BX624" s="2" t="e">
        <f ca="1">_xll.BDH($C$603,"CFO_SEQUENTIAL_GROWTH","FQ1 2018","FQ1 2018","Currency=INR","Period=FQ","BEST_FPERIOD_OVERRIDE=FQ","FILING_STATUS=OR","EQY_CONSOLIDATED=Y","Sort=A","Dates=H","DateFormat=P","Fill=—","Direction=H","UseDPDF=Y")</f>
        <v>#NAME?</v>
      </c>
      <c r="BY624" s="3" t="e">
        <f ca="1">_xll.BDH($C$603,"SHORT_AND_LONG_TERM_DEBT","FQ1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624" s="3" t="e">
        <f ca="1">_xll.BDH($C$603,"BS_ST_BORROW","FQ1 2018","FQ1 2018","Currency=INR","Period=FQ","BEST_FPERIOD_OVERRIDE=FQ","FILING_STATUS=OR","EQY_CONSOLIDATED=Y","SCALING_FORMAT=MLN","Sort=A","Dates=H","DateFormat=P","Fill=—","Direction=H","UseDPDF=Y")</f>
        <v>#NAME?</v>
      </c>
      <c r="CA624" s="3" t="e">
        <f ca="1">_xll.BDH($C$603,"BS_LT_BORROW","FQ1 2018","FQ1 2018","Currency=INR","Period=FQ","BEST_FPERIOD_OVERRIDE=FQ","FILING_STATUS=OR","EQY_CONSOLIDATED=Y","SCALING_FORMAT=MLN","Sort=A","Dates=H","DateFormat=P","Fill=—","Direction=H","UseDPDF=Y")</f>
        <v>#NAME?</v>
      </c>
      <c r="CB624" s="2" t="e">
        <f ca="1">_xll.BDH($C$603,"TOT_DEBT_TO_EBITDA","FQ1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624" s="2" t="e">
        <f ca="1">_xll.BDH($C$603,"NET_DEBT_TO_EBITDA","FQ1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624" s="2" t="e">
        <f ca="1">_xll.BDH($C$603,"TOTAL_DEBT_TO_EBIT","FQ1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624" s="2" t="e">
        <f ca="1">_xll.BDH($C$603,"NET_DEBT_TO_EBIT","FQ1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624" s="2" t="e">
        <f ca="1">_xll.BDH($C$603,"EBITDA_TO_INTEREST_EXPN","FQ1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624" s="2" t="e">
        <f ca="1">_xll.BDH($C$603,"COM_EQY_TO_TOT_ASSET","FQ1 2018","FQ1 2018","Currency=INR","Period=FQ","BEST_FPERIOD_OVERRIDE=FQ","FILING_STATUS=OR","EQY_CONSOLIDATED=Y","Sort=A","Dates=H","DateFormat=P","Fill=—","Direction=H","UseDPDF=Y")</f>
        <v>#NAME?</v>
      </c>
      <c r="CH624" s="2" t="e">
        <f ca="1">_xll.BDH($C$603,"LT_DEBT_TO_TOT_EQY","FQ1 2018","FQ1 2018","Currency=INR","Period=FQ","BEST_FPERIOD_OVERRIDE=FQ","FILING_STATUS=OR","EQY_CONSOLIDATED=Y","Sort=A","Dates=H","DateFormat=P","Fill=—","Direction=H","UseDPDF=Y")</f>
        <v>#NAME?</v>
      </c>
      <c r="CI624" s="2" t="e">
        <f ca="1">_xll.BDH($C$603,"LT_DEBT_TO_TOT_CAP","FQ1 2018","FQ1 2018","Currency=INR","Period=FQ","BEST_FPERIOD_OVERRIDE=FQ","FILING_STATUS=OR","EQY_CONSOLIDATED=Y","Sort=A","Dates=H","DateFormat=P","Fill=—","Direction=H","UseDPDF=Y")</f>
        <v>#NAME?</v>
      </c>
      <c r="CJ624" s="2" t="e">
        <f ca="1">_xll.BDH($C$603,"LT_DEBT_TO_TOT_ASSET","FQ1 2018","FQ1 2018","Currency=INR","Period=FQ","BEST_FPERIOD_OVERRIDE=FQ","FILING_STATUS=OR","EQY_CONSOLIDATED=Y","Sort=A","Dates=H","DateFormat=P","Fill=—","Direction=H","UseDPDF=Y")</f>
        <v>#NAME?</v>
      </c>
      <c r="CK624" s="2" t="e">
        <f ca="1">_xll.BDH($C$603,"TOT_DEBT_TO_TOT_EQY","FQ1 2018","FQ1 2018","Currency=INR","Period=FQ","BEST_FPERIOD_OVERRIDE=FQ","FILING_STATUS=OR","EQY_CONSOLIDATED=Y","Sort=A","Dates=H","DateFormat=P","Fill=—","Direction=H","UseDPDF=Y")</f>
        <v>#NAME?</v>
      </c>
      <c r="CL624" s="2" t="e">
        <f ca="1">_xll.BDH($C$603,"TOT_DEBT_TO_TOT_CAP","FQ1 2018","FQ1 2018","Currency=INR","Period=FQ","BEST_FPERIOD_OVERRIDE=FQ","FILING_STATUS=OR","EQY_CONSOLIDATED=Y","Sort=A","Dates=H","DateFormat=P","Fill=—","Direction=H","UseDPDF=Y")</f>
        <v>#NAME?</v>
      </c>
      <c r="CM624" s="2" t="e">
        <f ca="1">_xll.BDH($C$603,"TOT_DEBT_TO_TOT_ASSET","FQ1 2018","FQ1 2018","Currency=INR","Period=FQ","BEST_FPERIOD_OVERRIDE=FQ","FILING_STATUS=OR","EQY_CONSOLIDATED=Y","Sort=A","Dates=H","DateFormat=P","Fill=—","Direction=H","UseDPDF=Y")</f>
        <v>#NAME?</v>
      </c>
      <c r="CN624" s="2" t="e">
        <f ca="1">_xll.BDH($C$603,"NET_DEBT_TO_SHRHLDR_EQTY","FQ1 2018","FQ1 2018","Currency=INR","Period=FQ","BEST_FPERIOD_OVERRIDE=FQ","FILING_STATUS=OR","EQY_CONSOLIDATED=Y","Sort=A","Dates=H","DateFormat=P","Fill=—","Direction=H","UseDPDF=Y")</f>
        <v>#NAME?</v>
      </c>
      <c r="CO624" s="2" t="e">
        <f ca="1">_xll.BDH($C$603,"NET_DEBT_%_CAPITAL","FQ1 2018","FQ1 2018","Currency=INR","Period=FQ","BEST_FPERIOD_OVERRIDE=FQ","FILING_STATUS=OR","EQY_CONSOLIDATED=Y","Sort=A","Dates=H","DateFormat=P","Fill=—","Direction=H","UseDPDF=Y")</f>
        <v>#NAME?</v>
      </c>
      <c r="CP624" s="3" t="e">
        <f ca="1">_xll.BDH($C$603,"EBITDA","FQ1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624" s="3" t="e">
        <f ca="1">_xll.BDH($C$603,"EBITDA_AFTER_CAPEX","FQ1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624" s="3" t="e">
        <f ca="1">_xll.BDH($C$603,"IS_OPER_INC","FQ1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624" s="2" t="e">
        <f ca="1">_xll.BDH($C$603,"CASH_RATIO","FQ1 2018","FQ1 2018","Currency=INR","Period=FQ","BEST_FPERIOD_OVERRIDE=FQ","FILING_STATUS=OR","EQY_CONSOLIDATED=Y","Sort=A","Dates=H","DateFormat=P","Fill=—","Direction=H","UseDPDF=Y")</f>
        <v>#NAME?</v>
      </c>
      <c r="CT624" s="2" t="e">
        <f ca="1">_xll.BDH($C$603,"CUR_RATIO","FQ1 2018","FQ1 2018","Currency=INR","Period=FQ","BEST_FPERIOD_OVERRIDE=FQ","FILING_STATUS=OR","EQY_CONSOLIDATED=Y","Sort=A","Dates=H","DateFormat=P","Fill=—","Direction=H","UseDPDF=Y")</f>
        <v>#NAME?</v>
      </c>
      <c r="CU624" s="2" t="e">
        <f ca="1">_xll.BDH($C$603,"QUICK_RATIO","FQ1 2018","FQ1 2018","Currency=INR","Period=FQ","BEST_FPERIOD_OVERRIDE=FQ","FILING_STATUS=OR","EQY_CONSOLIDATED=Y","Sort=A","Dates=H","DateFormat=P","Fill=—","Direction=H","UseDPDF=Y")</f>
        <v>#NAME?</v>
      </c>
      <c r="CV624" s="2" t="e">
        <f ca="1">_xll.BDH($C$603,"ALTMAN_Z_SCORE","FQ1 2018","FQ1 2018","Currency=INR","Period=FQ","BEST_FPERIOD_OVERRIDE=FQ","FILING_STATUS=OR","EQY_CONSOLIDATED=Y","Sort=A","Dates=H","DateFormat=P","Fill=—","Direction=H","UseDPDF=Y")</f>
        <v>#NAME?</v>
      </c>
      <c r="CW624" s="4" t="e">
        <f ca="1">_xll.BDH($C$603,"ACCT_RCV_TURN","FQ1 2018","FQ1 2018","Currency=INR","Period=FQ","BEST_FPERIOD_OVERRIDE=FQ","FILING_STATUS=OR","EQY_CONSOLIDATED=Y","FA_ADJUSTED=GAAP","Sort=A","Dates=H","DateFormat=P","Fill=—","Direction=H","UseDPDF=Y")</f>
        <v>#NAME?</v>
      </c>
      <c r="CX624" s="2" t="e">
        <f ca="1">_xll.BDH($C$603,"ACCT_RCV_DAYS","FQ1 2018","FQ1 2018","Currency=INR","Period=FQ","BEST_FPERIOD_OVERRIDE=FQ","FILING_STATUS=OR","EQY_CONSOLIDATED=Y","FA_ADJUSTED=GAAP","Sort=A","Dates=H","DateFormat=P","Fill=—","Direction=H","UseDPDF=Y")</f>
        <v>#NAME?</v>
      </c>
      <c r="CY624" s="4" t="e">
        <f ca="1">_xll.BDH($C$603,"INVENT_TURN","FQ1 2018","FQ1 2018","Currency=INR","Period=FQ","BEST_FPERIOD_OVERRIDE=FQ","FILING_STATUS=OR","EQY_CONSOLIDATED=Y","FA_ADJUSTED=GAAP","Sort=A","Dates=H","DateFormat=P","Fill=—","Direction=H","UseDPDF=Y")</f>
        <v>#NAME?</v>
      </c>
      <c r="CZ624" s="2" t="e">
        <f ca="1">_xll.BDH($C$603,"INVENT_DAYS","FQ1 2018","FQ1 2018","Currency=INR","Period=FQ","BEST_FPERIOD_OVERRIDE=FQ","FILING_STATUS=OR","EQY_CONSOLIDATED=Y","FA_ADJUSTED=GAAP","Sort=A","Dates=H","DateFormat=P","Fill=—","Direction=H","UseDPDF=Y")</f>
        <v>#NAME?</v>
      </c>
      <c r="DA624" s="4" t="e">
        <f ca="1">_xll.BDH($C$603,"ACCOUNTS_PAYABLE_TURNOVER","FQ1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624" s="2" t="e">
        <f ca="1">_xll.BDH($C$603,"ACCOUNTS_PAYABLE_TURNOVER_DAYS","FQ1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624" s="4" t="e">
        <f ca="1">_xll.BDH($C$603,"CASH_CONVERSION_CYCLE","FQ1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624" s="4" t="e">
        <f ca="1">_xll.BDH($C$603,"INV_TO_CASH_DAYS","FQ1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624" s="5" t="e">
        <f ca="1">_xll.BDH($C$603,"BS_INVENTORIES","FQ1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624" s="3" t="e">
        <f ca="1">_xll.BDH($C$603,"INVTRY_RAW_MATERIALS","FQ1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624" s="3" t="e">
        <f ca="1">_xll.BDH($C$603,"INVTRY_IN_PROGRESS","FQ1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624" s="3" t="e">
        <f ca="1">_xll.BDH($C$603,"INVTRY_FINISHED_GOODS","FQ1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624" s="3" t="e">
        <f ca="1">_xll.BDH($C$603,"BS_OTHER_INV","FQ1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625" spans="1:113" x14ac:dyDescent="0.3">
      <c r="A625" s="6"/>
      <c r="B625" s="6"/>
      <c r="C625" s="6"/>
      <c r="D625" s="6"/>
      <c r="E625" t="s">
        <v>79</v>
      </c>
      <c r="F625" t="e">
        <f ca="1">_xll.BDH($C$603,"RETURN_COM_EQY","FQ2 2018","FQ2 2018","Currency=INR","Period=FQ","BEST_FPERIOD_OVERRIDE=FQ","FILING_STATUS=OR","EQY_CONSOLIDATED=Y","FA_ADJUSTED=GAAP","Sort=A","Dates=H","DateFormat=P","Fill=—","Direction=H","UseDPDF=Y")</f>
        <v>#NAME?</v>
      </c>
      <c r="G625" t="e">
        <f ca="1">_xll.BDH($C$603,"RETURN_ON_ASSET","FQ2 2018","FQ2 2018","Currency=INR","Period=FQ","BEST_FPERIOD_OVERRIDE=FQ","FILING_STATUS=OR","EQY_CONSOLIDATED=Y","FA_ADJUSTED=GAAP","Sort=A","Dates=H","DateFormat=P","Fill=—","Direction=H","UseDPDF=Y")</f>
        <v>#NAME?</v>
      </c>
      <c r="H625" t="e">
        <f ca="1">_xll.BDH($C$603,"RETURN_ON_CAP","FQ2 2018","FQ2 2018","Currency=INR","Period=FQ","BEST_FPERIOD_OVERRIDE=FQ","FILING_STATUS=OR","EQY_CONSOLIDATED=Y","FA_ADJUSTED=GAAP","Sort=A","Dates=H","DateFormat=P","Fill=—","Direction=H","UseDPDF=Y")</f>
        <v>#NAME?</v>
      </c>
      <c r="I625" t="e">
        <f ca="1">_xll.BDH($C$603,"RETURN_ON_INV_CAPITAL","FQ2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625" t="e">
        <f ca="1">_xll.BDH($C$603,"EBITDA_TO_REVENUE","FQ2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625" t="e">
        <f ca="1">_xll.BDH($C$603,"OPER_MARGIN","FQ2 2018","FQ2 2018","Currency=INR","Period=FQ","BEST_FPERIOD_OVERRIDE=FQ","FILING_STATUS=OR","EQY_CONSOLIDATED=Y","FA_ADJUSTED=GAAP","Sort=A","Dates=H","DateFormat=P","Fill=—","Direction=H","UseDPDF=Y")</f>
        <v>#NAME?</v>
      </c>
      <c r="L625" t="e">
        <f ca="1">_xll.BDH($C$603,"INCREMENTAL_OPERATING_MARGIN","FQ2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625" t="e">
        <f ca="1">_xll.BDH($C$603,"PRETAX_INC_TO_NET_SALES","FQ2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625" t="e">
        <f ca="1">_xll.BDH($C$603,"INC_BEF_XO_ITEMS_TO_NET_SALES","FQ2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625" t="e">
        <f ca="1">_xll.BDH($C$603,"PROF_MARGIN","FQ2 2018","FQ2 2018","Currency=INR","Period=FQ","BEST_FPERIOD_OVERRIDE=FQ","FILING_STATUS=OR","EQY_CONSOLIDATED=Y","FA_ADJUSTED=GAAP","Sort=A","Dates=H","DateFormat=P","Fill=—","Direction=H","UseDPDF=Y")</f>
        <v>#NAME?</v>
      </c>
      <c r="P625" t="e">
        <f ca="1">_xll.BDH($C$603,"NET_INCOME_TO_COMMON_MARGIN","FQ2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625" t="e">
        <f ca="1">_xll.BDH($C$603,"EFF_TAX_RATE","FQ2 2018","FQ2 2018","Currency=INR","Period=FQ","BEST_FPERIOD_OVERRIDE=FQ","FILING_STATUS=OR","EQY_CONSOLIDATED=Y","FA_ADJUSTED=GAAP","Sort=A","Dates=H","DateFormat=P","Fill=—","Direction=H","UseDPDF=Y")</f>
        <v>#NAME?</v>
      </c>
      <c r="R625" t="e">
        <f ca="1">_xll.BDH($C$603,"DVD_PAYOUT_RATIO","FQ2 2018","FQ2 2018","Currency=INR","Period=FQ","BEST_FPERIOD_OVERRIDE=FQ","FILING_STATUS=OR","EQY_CONSOLIDATED=Y","FA_ADJUSTED=GAAP","Sort=A","Dates=H","DateFormat=P","Fill=—","Direction=H","UseDPDF=Y")</f>
        <v>#NAME?</v>
      </c>
      <c r="S625" t="e">
        <f ca="1">_xll.BDH($C$603,"SUSTAIN_GROWTH_RT","FQ2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625" s="2" t="e">
        <f ca="1">_xll.BDH($C$603,"SALES_GROWTH","FQ2 2018","FQ2 2018","Currency=INR","Period=FQ","BEST_FPERIOD_OVERRIDE=FQ","FILING_STATUS=OR","EQY_CONSOLIDATED=Y","FA_ADJUSTED=GAAP","Sort=A","Dates=H","DateFormat=P","Fill=—","Direction=H","UseDPDF=Y")</f>
        <v>#NAME?</v>
      </c>
      <c r="U625" s="2" t="e">
        <f ca="1">_xll.BDH($C$603,"EBITDA_GROWTH","FQ2 2018","FQ2 2018","Currency=INR","Period=FQ","BEST_FPERIOD_OVERRIDE=FQ","FILING_STATUS=OR","EQY_CONSOLIDATED=Y","FA_ADJUSTED=GAAP","Sort=A","Dates=H","DateFormat=P","Fill=—","Direction=H","UseDPDF=Y")</f>
        <v>#NAME?</v>
      </c>
      <c r="V625" s="2" t="e">
        <f ca="1">_xll.BDH($C$603,"OPER_INC_GROWTH","FQ2 2018","FQ2 2018","Currency=INR","Period=FQ","BEST_FPERIOD_OVERRIDE=FQ","FILING_STATUS=OR","EQY_CONSOLIDATED=Y","FA_ADJUSTED=GAAP","Sort=A","Dates=H","DateFormat=P","Fill=—","Direction=H","UseDPDF=Y")</f>
        <v>#NAME?</v>
      </c>
      <c r="W625" s="2" t="e">
        <f ca="1">_xll.BDH($C$603,"EARN_FOR_COM_GROWTH","FQ2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625" s="2" t="e">
        <f ca="1">_xll.BDH($C$603,"DILUTED_EPS_AFT_XO_ITEMS_GROWTH","FQ2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625" s="2" t="e">
        <f ca="1">_xll.BDH($C$603,"DIVIDEND_PER_SHARE_1_YEAR_GROWTH","FQ2 2018","FQ2 2018","Currency=INR","Period=FQ","BEST_FPERIOD_OVERRIDE=FQ","FILING_STATUS=OR","EQY_CONSOLIDATED=Y","Sort=A","Dates=H","DateFormat=P","Fill=—","Direction=H","UseDPDF=Y")</f>
        <v>#NAME?</v>
      </c>
      <c r="Z625" s="2" t="e">
        <f ca="1">_xll.BDH($C$603,"ACCOUNTS_RECEIVABLE_GROWTH","FQ2 2018","FQ2 2018","Currency=INR","Period=FQ","BEST_FPERIOD_OVERRIDE=FQ","FILING_STATUS=OR","EQY_CONSOLIDATED=Y","Sort=A","Dates=H","DateFormat=P","Fill=—","Direction=H","UseDPDF=Y")</f>
        <v>#NAME?</v>
      </c>
      <c r="AA625" s="2" t="e">
        <f ca="1">_xll.BDH($C$603,"INVENTORY_GROWTH","FQ2 2018","FQ2 2018","Currency=INR","Period=FQ","BEST_FPERIOD_OVERRIDE=FQ","FILING_STATUS=OR","EQY_CONSOLIDATED=Y","Sort=A","Dates=H","DateFormat=P","Fill=—","Direction=H","UseDPDF=Y")</f>
        <v>#NAME?</v>
      </c>
      <c r="AB625" s="2" t="e">
        <f ca="1">_xll.BDH($C$603,"NET_FIXED_ASSETS_1_YEAR_GROWTH","FQ2 2018","FQ2 2018","Currency=INR","Period=FQ","BEST_FPERIOD_OVERRIDE=FQ","FILING_STATUS=OR","EQY_CONSOLIDATED=Y","Sort=A","Dates=H","DateFormat=P","Fill=—","Direction=H","UseDPDF=Y")</f>
        <v>#NAME?</v>
      </c>
      <c r="AC625" s="2" t="e">
        <f ca="1">_xll.BDH($C$603,"ASSET_GROWTH","FQ2 2018","FQ2 2018","Currency=INR","Period=FQ","BEST_FPERIOD_OVERRIDE=FQ","FILING_STATUS=OR","EQY_CONSOLIDATED=Y","Sort=A","Dates=H","DateFormat=P","Fill=—","Direction=H","UseDPDF=Y")</f>
        <v>#NAME?</v>
      </c>
      <c r="AD625" s="2" t="e">
        <f ca="1">_xll.BDH($C$603,"MODIFIED_WORK_CAP_GROWTH","FQ2 2018","FQ2 2018","Currency=INR","Period=FQ","BEST_FPERIOD_OVERRIDE=FQ","FILING_STATUS=OR","EQY_CONSOLIDATED=Y","Sort=A","Dates=H","DateFormat=P","Fill=—","Direction=H","UseDPDF=Y")</f>
        <v>#NAME?</v>
      </c>
      <c r="AE625" s="2" t="e">
        <f ca="1">_xll.BDH($C$603,"WORK_CAP_GROWTH","FQ2 2018","FQ2 2018","Currency=INR","Period=FQ","BEST_FPERIOD_OVERRIDE=FQ","FILING_STATUS=OR","EQY_CONSOLIDATED=Y","Sort=A","Dates=H","DateFormat=P","Fill=—","Direction=H","UseDPDF=Y")</f>
        <v>#NAME?</v>
      </c>
      <c r="AF625" s="2" t="e">
        <f ca="1">_xll.BDH($C$603,"ACCOUNTS_PAYABLE_GROWTH_1YR","FQ2 2018","FQ2 2018","Currency=INR","Period=FQ","BEST_FPERIOD_OVERRIDE=FQ","FILING_STATUS=OR","EQY_CONSOLIDATED=Y","Sort=A","Dates=H","DateFormat=P","Fill=—","Direction=H","UseDPDF=Y")</f>
        <v>#NAME?</v>
      </c>
      <c r="AG625" s="2" t="e">
        <f ca="1">_xll.BDH($C$603,"SHORT_TERM_DEBT_1_YEAR_GROWTH","FQ2 2018","FQ2 2018","Currency=INR","Period=FQ","BEST_FPERIOD_OVERRIDE=FQ","FILING_STATUS=OR","EQY_CONSOLIDATED=Y","Sort=A","Dates=H","DateFormat=P","Fill=—","Direction=H","UseDPDF=Y")</f>
        <v>#NAME?</v>
      </c>
      <c r="AH625" s="2" t="e">
        <f ca="1">_xll.BDH($C$603,"TOTAL_DEBT_1_YEAR_GROWTH","FQ2 2018","FQ2 2018","Currency=INR","Period=FQ","BEST_FPERIOD_OVERRIDE=FQ","FILING_STATUS=OR","EQY_CONSOLIDATED=Y","Sort=A","Dates=H","DateFormat=P","Fill=—","Direction=H","UseDPDF=Y")</f>
        <v>#NAME?</v>
      </c>
      <c r="AI625" s="2" t="e">
        <f ca="1">_xll.BDH($C$603,"TOTAL_EQUITY_1_YEAR_GROWTH","FQ2 2018","FQ2 2018","Currency=INR","Period=FQ","BEST_FPERIOD_OVERRIDE=FQ","FILING_STATUS=OR","EQY_CONSOLIDATED=Y","Sort=A","Dates=H","DateFormat=P","Fill=—","Direction=H","UseDPDF=Y")</f>
        <v>#NAME?</v>
      </c>
      <c r="AJ625" s="2" t="e">
        <f ca="1">_xll.BDH($C$603,"GROWTH_IN_CAP","FQ2 2018","FQ2 2018","Currency=INR","Period=FQ","BEST_FPERIOD_OVERRIDE=FQ","FILING_STATUS=OR","EQY_CONSOLIDATED=Y","Sort=A","Dates=H","DateFormat=P","Fill=—","Direction=H","UseDPDF=Y")</f>
        <v>#NAME?</v>
      </c>
      <c r="AK625" s="2" t="e">
        <f ca="1">_xll.BDH($C$603,"BVPS_GROWTH","FQ2 2018","FQ2 2018","Currency=INR","Period=FQ","BEST_FPERIOD_OVERRIDE=FQ","FILING_STATUS=OR","EQY_CONSOLIDATED=Y","Sort=A","Dates=H","DateFormat=P","Fill=—","Direction=H","UseDPDF=Y")</f>
        <v>#NAME?</v>
      </c>
      <c r="AL625" s="2" t="e">
        <f ca="1">_xll.BDH($C$603,"CASH_FLOW_GROWTH","FQ2 2018","FQ2 2018","Currency=INR","Period=FQ","BEST_FPERIOD_OVERRIDE=FQ","FILING_STATUS=OR","EQY_CONSOLIDATED=Y","Sort=A","Dates=H","DateFormat=P","Fill=—","Direction=H","UseDPDF=Y")</f>
        <v>#NAME?</v>
      </c>
      <c r="AM625" s="2" t="e">
        <f ca="1">_xll.BDH($C$603,"GEO_GROW_NET_SALES","FQ2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625" s="2" t="e">
        <f ca="1">_xll.BDH($C$603,"GEO_GROW_EBITDA","FQ2 2018","FQ2 2018","Currency=INR","Period=FQ","BEST_FPERIOD_OVERRIDE=FQ","FILING_STATUS=OR","EQY_CONSOLIDATED=Y","FA_ADJUSTED=GAAP","Sort=A","Dates=H","DateFormat=P","Fill=—","Direction=H","UseDPDF=Y")</f>
        <v>#NAME?</v>
      </c>
      <c r="AO625" s="2" t="e">
        <f ca="1">_xll.BDH($C$603,"GEO_GROW_OPER_INC","FQ2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625" s="2" t="e">
        <f ca="1">_xll.BDH($C$603,"NET_INCOME_TO_COMMON_5_YR_GROWTH","FQ2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625" s="2" t="e">
        <f ca="1">_xll.BDH($C$603,"5Y_GEO_GROWTH_DILUTED_EPS","FQ2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625" s="2" t="e">
        <f ca="1">_xll.BDH($C$603,"GEO_GROW_DVD_PER_SH","FQ2 2018","FQ2 2018","Currency=INR","Period=FQ","BEST_FPERIOD_OVERRIDE=FQ","FILING_STATUS=OR","EQY_CONSOLIDATED=Y","Sort=A","Dates=H","DateFormat=P","Fill=—","Direction=H","UseDPDF=Y")</f>
        <v>#NAME?</v>
      </c>
      <c r="AS625" s="2" t="e">
        <f ca="1">_xll.BDH($C$603,"ACCOUNTS_RECEIVABLE_5_YR_GROWTH","FQ2 2018","FQ2 2018","Currency=INR","Period=FQ","BEST_FPERIOD_OVERRIDE=FQ","FILING_STATUS=OR","EQY_CONSOLIDATED=Y","Sort=A","Dates=H","DateFormat=P","Fill=—","Direction=H","UseDPDF=Y")</f>
        <v>#NAME?</v>
      </c>
      <c r="AT625" s="2" t="e">
        <f ca="1">_xll.BDH($C$603,"INVENTORY_5_YEAR_GROWTH","FQ2 2018","FQ2 2018","Currency=INR","Period=FQ","BEST_FPERIOD_OVERRIDE=FQ","FILING_STATUS=OR","EQY_CONSOLIDATED=Y","Sort=A","Dates=H","DateFormat=P","Fill=—","Direction=H","UseDPDF=Y")</f>
        <v>#NAME?</v>
      </c>
      <c r="AU625" s="2" t="e">
        <f ca="1">_xll.BDH($C$603,"NET_FIXED_ASSETS_5_YEAR_GROWTH","FQ2 2018","FQ2 2018","Currency=INR","Period=FQ","BEST_FPERIOD_OVERRIDE=FQ","FILING_STATUS=OR","EQY_CONSOLIDATED=Y","Sort=A","Dates=H","DateFormat=P","Fill=—","Direction=H","UseDPDF=Y")</f>
        <v>#NAME?</v>
      </c>
      <c r="AV625" s="2" t="e">
        <f ca="1">_xll.BDH($C$603,"GEO_GROW_TOT_ASSET","FQ2 2018","FQ2 2018","Currency=INR","Period=FQ","BEST_FPERIOD_OVERRIDE=FQ","FILING_STATUS=OR","EQY_CONSOLIDATED=Y","Sort=A","Dates=H","DateFormat=P","Fill=—","Direction=H","UseDPDF=Y")</f>
        <v>#NAME?</v>
      </c>
      <c r="AW625" s="2" t="e">
        <f ca="1">_xll.BDH($C$603,"MODIFIED_WORKING_CPTL_5YR_GRWTH","FQ2 2018","FQ2 2018","Currency=INR","Period=FQ","BEST_FPERIOD_OVERRIDE=FQ","FILING_STATUS=OR","EQY_CONSOLIDATED=Y","Sort=A","Dates=H","DateFormat=P","Fill=—","Direction=H","UseDPDF=Y")</f>
        <v>#NAME?</v>
      </c>
      <c r="AX625" s="2" t="e">
        <f ca="1">_xll.BDH($C$603,"WORKING_CAPITAL_5_YEAR_GROWTH","FQ2 2018","FQ2 2018","Currency=INR","Period=FQ","BEST_FPERIOD_OVERRIDE=FQ","FILING_STATUS=OR","EQY_CONSOLIDATED=Y","Sort=A","Dates=H","DateFormat=P","Fill=—","Direction=H","UseDPDF=Y")</f>
        <v>#NAME?</v>
      </c>
      <c r="AY625" s="2" t="e">
        <f ca="1">_xll.BDH($C$603,"ACCOUNTS_PAYABLE_5_YEAR_GROWTH","FQ2 2018","FQ2 2018","Currency=INR","Period=FQ","BEST_FPERIOD_OVERRIDE=FQ","FILING_STATUS=OR","EQY_CONSOLIDATED=Y","Sort=A","Dates=H","DateFormat=P","Fill=—","Direction=H","UseDPDF=Y")</f>
        <v>#NAME?</v>
      </c>
      <c r="AZ625" s="2" t="e">
        <f ca="1">_xll.BDH($C$603,"SHORT_TERM_DEBT_5_YEAR_GROWTH","FQ2 2018","FQ2 2018","Currency=INR","Period=FQ","BEST_FPERIOD_OVERRIDE=FQ","FILING_STATUS=OR","EQY_CONSOLIDATED=Y","Sort=A","Dates=H","DateFormat=P","Fill=—","Direction=H","UseDPDF=Y")</f>
        <v>#NAME?</v>
      </c>
      <c r="BA625" s="2" t="e">
        <f ca="1">_xll.BDH($C$603,"TOTAL_DEBT_5_YEAR_GROWTH","FQ2 2018","FQ2 2018","Currency=INR","Period=FQ","BEST_FPERIOD_OVERRIDE=FQ","FILING_STATUS=OR","EQY_CONSOLIDATED=Y","Sort=A","Dates=H","DateFormat=P","Fill=—","Direction=H","UseDPDF=Y")</f>
        <v>#NAME?</v>
      </c>
      <c r="BB625" s="2" t="e">
        <f ca="1">_xll.BDH($C$603,"GEO_GROW_TOT_SHRHLDR_EQY","FQ2 2018","FQ2 2018","Currency=INR","Period=FQ","BEST_FPERIOD_OVERRIDE=FQ","FILING_STATUS=OR","EQY_CONSOLIDATED=Y","Sort=A","Dates=H","DateFormat=P","Fill=—","Direction=H","UseDPDF=Y")</f>
        <v>#NAME?</v>
      </c>
      <c r="BC625" s="2" t="e">
        <f ca="1">_xll.BDH($C$603,"TOTAL_CAPITAL_5_YEAR_GROWTH","FQ2 2018","FQ2 2018","Currency=INR","Period=FQ","BEST_FPERIOD_OVERRIDE=FQ","FILING_STATUS=OR","EQY_CONSOLIDATED=Y","Sort=A","Dates=H","DateFormat=P","Fill=—","Direction=H","UseDPDF=Y")</f>
        <v>#NAME?</v>
      </c>
      <c r="BD625" s="2" t="e">
        <f ca="1">_xll.BDH($C$603,"GEO_GROW_BOOK_VAL","FQ2 2018","FQ2 2018","Currency=INR","Period=FQ","BEST_FPERIOD_OVERRIDE=FQ","FILING_STATUS=OR","EQY_CONSOLIDATED=Y","Sort=A","Dates=H","DateFormat=P","Fill=—","Direction=H","UseDPDF=Y")</f>
        <v>#NAME?</v>
      </c>
      <c r="BE625" s="2" t="e">
        <f ca="1">_xll.BDH($C$603,"GEO_GROW_CASH_OPER_ACT","FQ2 2018","FQ2 2018","Currency=INR","Period=FQ","BEST_FPERIOD_OVERRIDE=FQ","FILING_STATUS=OR","EQY_CONSOLIDATED=Y","Sort=A","Dates=H","DateFormat=P","Fill=—","Direction=H","UseDPDF=Y")</f>
        <v>#NAME?</v>
      </c>
      <c r="BF625" s="2" t="e">
        <f ca="1">_xll.BDH($C$603,"REVENUE_SEQUENTIAL_GROWTH","FQ2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625" s="2" t="e">
        <f ca="1">_xll.BDH($C$603,"EBITDA_SEQUENTIAL_GROWTH","FQ2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625" s="2" t="e">
        <f ca="1">_xll.BDH($C$603,"OPERATING_INCOME_SEQ_GROWTH","FQ2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625" s="2" t="e">
        <f ca="1">_xll.BDH($C$603,"NET_INCOME_TO_COMMON_SEQ_GROWTH","FQ2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625" s="2" t="e">
        <f ca="1">_xll.BDH($C$603,"EPS_DILUTED_SEQUENTIAL_GROWTH","FQ2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625" s="2" t="e">
        <f ca="1">_xll.BDH($C$603,"DPS_SEQUENTIAL_GROWTH","FQ2 2018","FQ2 2018","Currency=INR","Period=FQ","BEST_FPERIOD_OVERRIDE=FQ","FILING_STATUS=OR","EQY_CONSOLIDATED=Y","Sort=A","Dates=H","DateFormat=P","Fill=—","Direction=H","UseDPDF=Y")</f>
        <v>#NAME?</v>
      </c>
      <c r="BL625" s="2" t="e">
        <f ca="1">_xll.BDH($C$603,"ACCOUNTS_RECEIVABLE_SEQ_GROWTH","FQ2 2018","FQ2 2018","Currency=INR","Period=FQ","BEST_FPERIOD_OVERRIDE=FQ","FILING_STATUS=OR","EQY_CONSOLIDATED=Y","Sort=A","Dates=H","DateFormat=P","Fill=—","Direction=H","UseDPDF=Y")</f>
        <v>#NAME?</v>
      </c>
      <c r="BM625" s="2" t="e">
        <f ca="1">_xll.BDH($C$603,"INVENTORY_SEQUENTIAL_GROWTH","FQ2 2018","FQ2 2018","Currency=INR","Period=FQ","BEST_FPERIOD_OVERRIDE=FQ","FILING_STATUS=OR","EQY_CONSOLIDATED=Y","Sort=A","Dates=H","DateFormat=P","Fill=—","Direction=H","UseDPDF=Y")</f>
        <v>#NAME?</v>
      </c>
      <c r="BN625" s="2" t="e">
        <f ca="1">_xll.BDH($C$603,"FIXED_ASSETS_SEQUENTIAL_GROWTH","FQ2 2018","FQ2 2018","Currency=INR","Period=FQ","BEST_FPERIOD_OVERRIDE=FQ","FILING_STATUS=OR","EQY_CONSOLIDATED=Y","Sort=A","Dates=H","DateFormat=P","Fill=—","Direction=H","UseDPDF=Y")</f>
        <v>#NAME?</v>
      </c>
      <c r="BO625" s="2" t="e">
        <f ca="1">_xll.BDH($C$603,"TOTAL_ASSETS_SEQUENTIAL_GROWTH","FQ2 2018","FQ2 2018","Currency=INR","Period=FQ","BEST_FPERIOD_OVERRIDE=FQ","FILING_STATUS=OR","EQY_CONSOLIDATED=Y","Sort=A","Dates=H","DateFormat=P","Fill=—","Direction=H","UseDPDF=Y")</f>
        <v>#NAME?</v>
      </c>
      <c r="BP625" s="2" t="e">
        <f ca="1">_xll.BDH($C$603,"MODIFIED_WORKING_CPTL_SEQ_GRWTH","FQ2 2018","FQ2 2018","Currency=INR","Period=FQ","BEST_FPERIOD_OVERRIDE=FQ","FILING_STATUS=OR","EQY_CONSOLIDATED=Y","Sort=A","Dates=H","DateFormat=P","Fill=—","Direction=H","UseDPDF=Y")</f>
        <v>#NAME?</v>
      </c>
      <c r="BQ625" s="2" t="e">
        <f ca="1">_xll.BDH($C$603,"WORKING_CAPITAL_SEQ_GROWTH","FQ2 2018","FQ2 2018","Currency=INR","Period=FQ","BEST_FPERIOD_OVERRIDE=FQ","FILING_STATUS=OR","EQY_CONSOLIDATED=Y","Sort=A","Dates=H","DateFormat=P","Fill=—","Direction=H","UseDPDF=Y")</f>
        <v>#NAME?</v>
      </c>
      <c r="BR625" s="2" t="e">
        <f ca="1">_xll.BDH($C$603,"ACCOUNTS_PAYABLE_SEQ_GROWTH","FQ2 2018","FQ2 2018","Currency=INR","Period=FQ","BEST_FPERIOD_OVERRIDE=FQ","FILING_STATUS=OR","EQY_CONSOLIDATED=Y","Sort=A","Dates=H","DateFormat=P","Fill=—","Direction=H","UseDPDF=Y")</f>
        <v>#NAME?</v>
      </c>
      <c r="BS625" s="2" t="e">
        <f ca="1">_xll.BDH($C$603,"ST_DEBT_SEQUENTIAL_GROWTH","FQ2 2018","FQ2 2018","Currency=INR","Period=FQ","BEST_FPERIOD_OVERRIDE=FQ","FILING_STATUS=OR","EQY_CONSOLIDATED=Y","Sort=A","Dates=H","DateFormat=P","Fill=—","Direction=H","UseDPDF=Y")</f>
        <v>#NAME?</v>
      </c>
      <c r="BT625" s="2" t="e">
        <f ca="1">_xll.BDH($C$603,"TOTAL_DEBT_SEQUENTIAL_GROWTH","FQ2 2018","FQ2 2018","Currency=INR","Period=FQ","BEST_FPERIOD_OVERRIDE=FQ","FILING_STATUS=OR","EQY_CONSOLIDATED=Y","Sort=A","Dates=H","DateFormat=P","Fill=—","Direction=H","UseDPDF=Y")</f>
        <v>#NAME?</v>
      </c>
      <c r="BU625" s="2" t="e">
        <f ca="1">_xll.BDH($C$603,"TOTAL_EQUITY_SEQUENTIAL_GROWTH","FQ2 2018","FQ2 2018","Currency=INR","Period=FQ","BEST_FPERIOD_OVERRIDE=FQ","FILING_STATUS=OR","EQY_CONSOLIDATED=Y","Sort=A","Dates=H","DateFormat=P","Fill=—","Direction=H","UseDPDF=Y")</f>
        <v>#NAME?</v>
      </c>
      <c r="BV625" s="2" t="e">
        <f ca="1">_xll.BDH($C$603,"TOTAL_CAPITAL_SEQUENTIAL_GROWTH","FQ2 2018","FQ2 2018","Currency=INR","Period=FQ","BEST_FPERIOD_OVERRIDE=FQ","FILING_STATUS=OR","EQY_CONSOLIDATED=Y","Sort=A","Dates=H","DateFormat=P","Fill=—","Direction=H","UseDPDF=Y")</f>
        <v>#NAME?</v>
      </c>
      <c r="BW625" s="2" t="e">
        <f ca="1">_xll.BDH($C$603,"BPS_SEQUENTIAL_GROWTH","FQ2 2018","FQ2 2018","Currency=INR","Period=FQ","BEST_FPERIOD_OVERRIDE=FQ","FILING_STATUS=OR","EQY_CONSOLIDATED=Y","Sort=A","Dates=H","DateFormat=P","Fill=—","Direction=H","UseDPDF=Y")</f>
        <v>#NAME?</v>
      </c>
      <c r="BX625" s="2" t="e">
        <f ca="1">_xll.BDH($C$603,"CFO_SEQUENTIAL_GROWTH","FQ2 2018","FQ2 2018","Currency=INR","Period=FQ","BEST_FPERIOD_OVERRIDE=FQ","FILING_STATUS=OR","EQY_CONSOLIDATED=Y","Sort=A","Dates=H","DateFormat=P","Fill=—","Direction=H","UseDPDF=Y")</f>
        <v>#NAME?</v>
      </c>
      <c r="BY625" s="3" t="e">
        <f ca="1">_xll.BDH($C$603,"SHORT_AND_LONG_TERM_DEBT","FQ2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625" s="3" t="e">
        <f ca="1">_xll.BDH($C$603,"BS_ST_BORROW","FQ2 2018","FQ2 2018","Currency=INR","Period=FQ","BEST_FPERIOD_OVERRIDE=FQ","FILING_STATUS=OR","EQY_CONSOLIDATED=Y","SCALING_FORMAT=MLN","Sort=A","Dates=H","DateFormat=P","Fill=—","Direction=H","UseDPDF=Y")</f>
        <v>#NAME?</v>
      </c>
      <c r="CA625" s="3" t="e">
        <f ca="1">_xll.BDH($C$603,"BS_LT_BORROW","FQ2 2018","FQ2 2018","Currency=INR","Period=FQ","BEST_FPERIOD_OVERRIDE=FQ","FILING_STATUS=OR","EQY_CONSOLIDATED=Y","SCALING_FORMAT=MLN","Sort=A","Dates=H","DateFormat=P","Fill=—","Direction=H","UseDPDF=Y")</f>
        <v>#NAME?</v>
      </c>
      <c r="CB625" s="2" t="e">
        <f ca="1">_xll.BDH($C$603,"TOT_DEBT_TO_EBITDA","FQ2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625" s="2" t="e">
        <f ca="1">_xll.BDH($C$603,"NET_DEBT_TO_EBITDA","FQ2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625" s="2" t="e">
        <f ca="1">_xll.BDH($C$603,"TOTAL_DEBT_TO_EBIT","FQ2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625" s="2" t="e">
        <f ca="1">_xll.BDH($C$603,"NET_DEBT_TO_EBIT","FQ2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625" s="2" t="e">
        <f ca="1">_xll.BDH($C$603,"EBITDA_TO_INTEREST_EXPN","FQ2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625" s="2" t="e">
        <f ca="1">_xll.BDH($C$603,"COM_EQY_TO_TOT_ASSET","FQ2 2018","FQ2 2018","Currency=INR","Period=FQ","BEST_FPERIOD_OVERRIDE=FQ","FILING_STATUS=OR","EQY_CONSOLIDATED=Y","Sort=A","Dates=H","DateFormat=P","Fill=—","Direction=H","UseDPDF=Y")</f>
        <v>#NAME?</v>
      </c>
      <c r="CH625" s="2" t="e">
        <f ca="1">_xll.BDH($C$603,"LT_DEBT_TO_TOT_EQY","FQ2 2018","FQ2 2018","Currency=INR","Period=FQ","BEST_FPERIOD_OVERRIDE=FQ","FILING_STATUS=OR","EQY_CONSOLIDATED=Y","Sort=A","Dates=H","DateFormat=P","Fill=—","Direction=H","UseDPDF=Y")</f>
        <v>#NAME?</v>
      </c>
      <c r="CI625" s="2" t="e">
        <f ca="1">_xll.BDH($C$603,"LT_DEBT_TO_TOT_CAP","FQ2 2018","FQ2 2018","Currency=INR","Period=FQ","BEST_FPERIOD_OVERRIDE=FQ","FILING_STATUS=OR","EQY_CONSOLIDATED=Y","Sort=A","Dates=H","DateFormat=P","Fill=—","Direction=H","UseDPDF=Y")</f>
        <v>#NAME?</v>
      </c>
      <c r="CJ625" s="2" t="e">
        <f ca="1">_xll.BDH($C$603,"LT_DEBT_TO_TOT_ASSET","FQ2 2018","FQ2 2018","Currency=INR","Period=FQ","BEST_FPERIOD_OVERRIDE=FQ","FILING_STATUS=OR","EQY_CONSOLIDATED=Y","Sort=A","Dates=H","DateFormat=P","Fill=—","Direction=H","UseDPDF=Y")</f>
        <v>#NAME?</v>
      </c>
      <c r="CK625" s="2" t="e">
        <f ca="1">_xll.BDH($C$603,"TOT_DEBT_TO_TOT_EQY","FQ2 2018","FQ2 2018","Currency=INR","Period=FQ","BEST_FPERIOD_OVERRIDE=FQ","FILING_STATUS=OR","EQY_CONSOLIDATED=Y","Sort=A","Dates=H","DateFormat=P","Fill=—","Direction=H","UseDPDF=Y")</f>
        <v>#NAME?</v>
      </c>
      <c r="CL625" s="2" t="e">
        <f ca="1">_xll.BDH($C$603,"TOT_DEBT_TO_TOT_CAP","FQ2 2018","FQ2 2018","Currency=INR","Period=FQ","BEST_FPERIOD_OVERRIDE=FQ","FILING_STATUS=OR","EQY_CONSOLIDATED=Y","Sort=A","Dates=H","DateFormat=P","Fill=—","Direction=H","UseDPDF=Y")</f>
        <v>#NAME?</v>
      </c>
      <c r="CM625" s="2" t="e">
        <f ca="1">_xll.BDH($C$603,"TOT_DEBT_TO_TOT_ASSET","FQ2 2018","FQ2 2018","Currency=INR","Period=FQ","BEST_FPERIOD_OVERRIDE=FQ","FILING_STATUS=OR","EQY_CONSOLIDATED=Y","Sort=A","Dates=H","DateFormat=P","Fill=—","Direction=H","UseDPDF=Y")</f>
        <v>#NAME?</v>
      </c>
      <c r="CN625" s="2" t="e">
        <f ca="1">_xll.BDH($C$603,"NET_DEBT_TO_SHRHLDR_EQTY","FQ2 2018","FQ2 2018","Currency=INR","Period=FQ","BEST_FPERIOD_OVERRIDE=FQ","FILING_STATUS=OR","EQY_CONSOLIDATED=Y","Sort=A","Dates=H","DateFormat=P","Fill=—","Direction=H","UseDPDF=Y")</f>
        <v>#NAME?</v>
      </c>
      <c r="CO625" s="2" t="e">
        <f ca="1">_xll.BDH($C$603,"NET_DEBT_%_CAPITAL","FQ2 2018","FQ2 2018","Currency=INR","Period=FQ","BEST_FPERIOD_OVERRIDE=FQ","FILING_STATUS=OR","EQY_CONSOLIDATED=Y","Sort=A","Dates=H","DateFormat=P","Fill=—","Direction=H","UseDPDF=Y")</f>
        <v>#NAME?</v>
      </c>
      <c r="CP625" s="3" t="e">
        <f ca="1">_xll.BDH($C$603,"EBITDA","FQ2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625" s="3" t="e">
        <f ca="1">_xll.BDH($C$603,"EBITDA_AFTER_CAPEX","FQ2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625" s="3" t="e">
        <f ca="1">_xll.BDH($C$603,"IS_OPER_INC","FQ2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625" s="2" t="e">
        <f ca="1">_xll.BDH($C$603,"CASH_RATIO","FQ2 2018","FQ2 2018","Currency=INR","Period=FQ","BEST_FPERIOD_OVERRIDE=FQ","FILING_STATUS=OR","EQY_CONSOLIDATED=Y","Sort=A","Dates=H","DateFormat=P","Fill=—","Direction=H","UseDPDF=Y")</f>
        <v>#NAME?</v>
      </c>
      <c r="CT625" s="2" t="e">
        <f ca="1">_xll.BDH($C$603,"CUR_RATIO","FQ2 2018","FQ2 2018","Currency=INR","Period=FQ","BEST_FPERIOD_OVERRIDE=FQ","FILING_STATUS=OR","EQY_CONSOLIDATED=Y","Sort=A","Dates=H","DateFormat=P","Fill=—","Direction=H","UseDPDF=Y")</f>
        <v>#NAME?</v>
      </c>
      <c r="CU625" s="2" t="e">
        <f ca="1">_xll.BDH($C$603,"QUICK_RATIO","FQ2 2018","FQ2 2018","Currency=INR","Period=FQ","BEST_FPERIOD_OVERRIDE=FQ","FILING_STATUS=OR","EQY_CONSOLIDATED=Y","Sort=A","Dates=H","DateFormat=P","Fill=—","Direction=H","UseDPDF=Y")</f>
        <v>#NAME?</v>
      </c>
      <c r="CV625" s="2" t="e">
        <f ca="1">_xll.BDH($C$603,"ALTMAN_Z_SCORE","FQ2 2018","FQ2 2018","Currency=INR","Period=FQ","BEST_FPERIOD_OVERRIDE=FQ","FILING_STATUS=OR","EQY_CONSOLIDATED=Y","Sort=A","Dates=H","DateFormat=P","Fill=—","Direction=H","UseDPDF=Y")</f>
        <v>#NAME?</v>
      </c>
      <c r="CW625" s="4" t="e">
        <f ca="1">_xll.BDH($C$603,"ACCT_RCV_TURN","FQ2 2018","FQ2 2018","Currency=INR","Period=FQ","BEST_FPERIOD_OVERRIDE=FQ","FILING_STATUS=OR","EQY_CONSOLIDATED=Y","FA_ADJUSTED=GAAP","Sort=A","Dates=H","DateFormat=P","Fill=—","Direction=H","UseDPDF=Y")</f>
        <v>#NAME?</v>
      </c>
      <c r="CX625" s="2" t="e">
        <f ca="1">_xll.BDH($C$603,"ACCT_RCV_DAYS","FQ2 2018","FQ2 2018","Currency=INR","Period=FQ","BEST_FPERIOD_OVERRIDE=FQ","FILING_STATUS=OR","EQY_CONSOLIDATED=Y","FA_ADJUSTED=GAAP","Sort=A","Dates=H","DateFormat=P","Fill=—","Direction=H","UseDPDF=Y")</f>
        <v>#NAME?</v>
      </c>
      <c r="CY625" s="4" t="e">
        <f ca="1">_xll.BDH($C$603,"INVENT_TURN","FQ2 2018","FQ2 2018","Currency=INR","Period=FQ","BEST_FPERIOD_OVERRIDE=FQ","FILING_STATUS=OR","EQY_CONSOLIDATED=Y","FA_ADJUSTED=GAAP","Sort=A","Dates=H","DateFormat=P","Fill=—","Direction=H","UseDPDF=Y")</f>
        <v>#NAME?</v>
      </c>
      <c r="CZ625" s="2" t="e">
        <f ca="1">_xll.BDH($C$603,"INVENT_DAYS","FQ2 2018","FQ2 2018","Currency=INR","Period=FQ","BEST_FPERIOD_OVERRIDE=FQ","FILING_STATUS=OR","EQY_CONSOLIDATED=Y","FA_ADJUSTED=GAAP","Sort=A","Dates=H","DateFormat=P","Fill=—","Direction=H","UseDPDF=Y")</f>
        <v>#NAME?</v>
      </c>
      <c r="DA625" s="4" t="e">
        <f ca="1">_xll.BDH($C$603,"ACCOUNTS_PAYABLE_TURNOVER","FQ2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625" s="2" t="e">
        <f ca="1">_xll.BDH($C$603,"ACCOUNTS_PAYABLE_TURNOVER_DAYS","FQ2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625" s="4" t="e">
        <f ca="1">_xll.BDH($C$603,"CASH_CONVERSION_CYCLE","FQ2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625" s="4" t="e">
        <f ca="1">_xll.BDH($C$603,"INV_TO_CASH_DAYS","FQ2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625" s="5" t="e">
        <f ca="1">_xll.BDH($C$603,"BS_INVENTORIES","FQ2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625" s="3" t="e">
        <f ca="1">_xll.BDH($C$603,"INVTRY_RAW_MATERIALS","FQ2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625" s="3" t="e">
        <f ca="1">_xll.BDH($C$603,"INVTRY_IN_PROGRESS","FQ2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625" s="3" t="e">
        <f ca="1">_xll.BDH($C$603,"INVTRY_FINISHED_GOODS","FQ2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625" s="3" t="e">
        <f ca="1">_xll.BDH($C$603,"BS_OTHER_INV","FQ2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626" spans="1:113" x14ac:dyDescent="0.3">
      <c r="A626" s="6"/>
      <c r="B626" s="6"/>
      <c r="C626" s="6"/>
      <c r="D626" s="6"/>
      <c r="E626" t="s">
        <v>80</v>
      </c>
      <c r="F626" t="e">
        <f ca="1">_xll.BDH($C$603,"RETURN_COM_EQY","FQ3 2018","FQ3 2018","Currency=INR","Period=FQ","BEST_FPERIOD_OVERRIDE=FQ","FILING_STATUS=OR","EQY_CONSOLIDATED=Y","FA_ADJUSTED=GAAP","Sort=A","Dates=H","DateFormat=P","Fill=—","Direction=H","UseDPDF=Y")</f>
        <v>#NAME?</v>
      </c>
      <c r="G626" t="e">
        <f ca="1">_xll.BDH($C$603,"RETURN_ON_ASSET","FQ3 2018","FQ3 2018","Currency=INR","Period=FQ","BEST_FPERIOD_OVERRIDE=FQ","FILING_STATUS=OR","EQY_CONSOLIDATED=Y","FA_ADJUSTED=GAAP","Sort=A","Dates=H","DateFormat=P","Fill=—","Direction=H","UseDPDF=Y")</f>
        <v>#NAME?</v>
      </c>
      <c r="H626" t="e">
        <f ca="1">_xll.BDH($C$603,"RETURN_ON_CAP","FQ3 2018","FQ3 2018","Currency=INR","Period=FQ","BEST_FPERIOD_OVERRIDE=FQ","FILING_STATUS=OR","EQY_CONSOLIDATED=Y","FA_ADJUSTED=GAAP","Sort=A","Dates=H","DateFormat=P","Fill=—","Direction=H","UseDPDF=Y")</f>
        <v>#NAME?</v>
      </c>
      <c r="I626" t="e">
        <f ca="1">_xll.BDH($C$603,"RETURN_ON_INV_CAPITAL","FQ3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626" t="e">
        <f ca="1">_xll.BDH($C$603,"EBITDA_TO_REVENUE","FQ3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626" t="e">
        <f ca="1">_xll.BDH($C$603,"OPER_MARGIN","FQ3 2018","FQ3 2018","Currency=INR","Period=FQ","BEST_FPERIOD_OVERRIDE=FQ","FILING_STATUS=OR","EQY_CONSOLIDATED=Y","FA_ADJUSTED=GAAP","Sort=A","Dates=H","DateFormat=P","Fill=—","Direction=H","UseDPDF=Y")</f>
        <v>#NAME?</v>
      </c>
      <c r="L626" t="e">
        <f ca="1">_xll.BDH($C$603,"INCREMENTAL_OPERATING_MARGIN","FQ3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626" t="e">
        <f ca="1">_xll.BDH($C$603,"PRETAX_INC_TO_NET_SALES","FQ3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626" t="e">
        <f ca="1">_xll.BDH($C$603,"INC_BEF_XO_ITEMS_TO_NET_SALES","FQ3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626" t="e">
        <f ca="1">_xll.BDH($C$603,"PROF_MARGIN","FQ3 2018","FQ3 2018","Currency=INR","Period=FQ","BEST_FPERIOD_OVERRIDE=FQ","FILING_STATUS=OR","EQY_CONSOLIDATED=Y","FA_ADJUSTED=GAAP","Sort=A","Dates=H","DateFormat=P","Fill=—","Direction=H","UseDPDF=Y")</f>
        <v>#NAME?</v>
      </c>
      <c r="P626" t="e">
        <f ca="1">_xll.BDH($C$603,"NET_INCOME_TO_COMMON_MARGIN","FQ3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626" t="e">
        <f ca="1">_xll.BDH($C$603,"EFF_TAX_RATE","FQ3 2018","FQ3 2018","Currency=INR","Period=FQ","BEST_FPERIOD_OVERRIDE=FQ","FILING_STATUS=OR","EQY_CONSOLIDATED=Y","FA_ADJUSTED=GAAP","Sort=A","Dates=H","DateFormat=P","Fill=—","Direction=H","UseDPDF=Y")</f>
        <v>#NAME?</v>
      </c>
      <c r="R626" t="e">
        <f ca="1">_xll.BDH($C$603,"DVD_PAYOUT_RATIO","FQ3 2018","FQ3 2018","Currency=INR","Period=FQ","BEST_FPERIOD_OVERRIDE=FQ","FILING_STATUS=OR","EQY_CONSOLIDATED=Y","FA_ADJUSTED=GAAP","Sort=A","Dates=H","DateFormat=P","Fill=—","Direction=H","UseDPDF=Y")</f>
        <v>#NAME?</v>
      </c>
      <c r="S626" t="e">
        <f ca="1">_xll.BDH($C$603,"SUSTAIN_GROWTH_RT","FQ3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626" s="2" t="e">
        <f ca="1">_xll.BDH($C$603,"SALES_GROWTH","FQ3 2018","FQ3 2018","Currency=INR","Period=FQ","BEST_FPERIOD_OVERRIDE=FQ","FILING_STATUS=OR","EQY_CONSOLIDATED=Y","FA_ADJUSTED=GAAP","Sort=A","Dates=H","DateFormat=P","Fill=—","Direction=H","UseDPDF=Y")</f>
        <v>#NAME?</v>
      </c>
      <c r="U626" s="2" t="e">
        <f ca="1">_xll.BDH($C$603,"EBITDA_GROWTH","FQ3 2018","FQ3 2018","Currency=INR","Period=FQ","BEST_FPERIOD_OVERRIDE=FQ","FILING_STATUS=OR","EQY_CONSOLIDATED=Y","FA_ADJUSTED=GAAP","Sort=A","Dates=H","DateFormat=P","Fill=—","Direction=H","UseDPDF=Y")</f>
        <v>#NAME?</v>
      </c>
      <c r="V626" s="2" t="e">
        <f ca="1">_xll.BDH($C$603,"OPER_INC_GROWTH","FQ3 2018","FQ3 2018","Currency=INR","Period=FQ","BEST_FPERIOD_OVERRIDE=FQ","FILING_STATUS=OR","EQY_CONSOLIDATED=Y","FA_ADJUSTED=GAAP","Sort=A","Dates=H","DateFormat=P","Fill=—","Direction=H","UseDPDF=Y")</f>
        <v>#NAME?</v>
      </c>
      <c r="W626" s="2" t="e">
        <f ca="1">_xll.BDH($C$603,"EARN_FOR_COM_GROWTH","FQ3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626" s="2" t="e">
        <f ca="1">_xll.BDH($C$603,"DILUTED_EPS_AFT_XO_ITEMS_GROWTH","FQ3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626" s="2" t="e">
        <f ca="1">_xll.BDH($C$603,"DIVIDEND_PER_SHARE_1_YEAR_GROWTH","FQ3 2018","FQ3 2018","Currency=INR","Period=FQ","BEST_FPERIOD_OVERRIDE=FQ","FILING_STATUS=OR","EQY_CONSOLIDATED=Y","Sort=A","Dates=H","DateFormat=P","Fill=—","Direction=H","UseDPDF=Y")</f>
        <v>#NAME?</v>
      </c>
      <c r="Z626" s="2" t="e">
        <f ca="1">_xll.BDH($C$603,"ACCOUNTS_RECEIVABLE_GROWTH","FQ3 2018","FQ3 2018","Currency=INR","Period=FQ","BEST_FPERIOD_OVERRIDE=FQ","FILING_STATUS=OR","EQY_CONSOLIDATED=Y","Sort=A","Dates=H","DateFormat=P","Fill=—","Direction=H","UseDPDF=Y")</f>
        <v>#NAME?</v>
      </c>
      <c r="AA626" s="2" t="e">
        <f ca="1">_xll.BDH($C$603,"INVENTORY_GROWTH","FQ3 2018","FQ3 2018","Currency=INR","Period=FQ","BEST_FPERIOD_OVERRIDE=FQ","FILING_STATUS=OR","EQY_CONSOLIDATED=Y","Sort=A","Dates=H","DateFormat=P","Fill=—","Direction=H","UseDPDF=Y")</f>
        <v>#NAME?</v>
      </c>
      <c r="AB626" s="2" t="e">
        <f ca="1">_xll.BDH($C$603,"NET_FIXED_ASSETS_1_YEAR_GROWTH","FQ3 2018","FQ3 2018","Currency=INR","Period=FQ","BEST_FPERIOD_OVERRIDE=FQ","FILING_STATUS=OR","EQY_CONSOLIDATED=Y","Sort=A","Dates=H","DateFormat=P","Fill=—","Direction=H","UseDPDF=Y")</f>
        <v>#NAME?</v>
      </c>
      <c r="AC626" s="2" t="e">
        <f ca="1">_xll.BDH($C$603,"ASSET_GROWTH","FQ3 2018","FQ3 2018","Currency=INR","Period=FQ","BEST_FPERIOD_OVERRIDE=FQ","FILING_STATUS=OR","EQY_CONSOLIDATED=Y","Sort=A","Dates=H","DateFormat=P","Fill=—","Direction=H","UseDPDF=Y")</f>
        <v>#NAME?</v>
      </c>
      <c r="AD626" s="2" t="e">
        <f ca="1">_xll.BDH($C$603,"MODIFIED_WORK_CAP_GROWTH","FQ3 2018","FQ3 2018","Currency=INR","Period=FQ","BEST_FPERIOD_OVERRIDE=FQ","FILING_STATUS=OR","EQY_CONSOLIDATED=Y","Sort=A","Dates=H","DateFormat=P","Fill=—","Direction=H","UseDPDF=Y")</f>
        <v>#NAME?</v>
      </c>
      <c r="AE626" s="2" t="e">
        <f ca="1">_xll.BDH($C$603,"WORK_CAP_GROWTH","FQ3 2018","FQ3 2018","Currency=INR","Period=FQ","BEST_FPERIOD_OVERRIDE=FQ","FILING_STATUS=OR","EQY_CONSOLIDATED=Y","Sort=A","Dates=H","DateFormat=P","Fill=—","Direction=H","UseDPDF=Y")</f>
        <v>#NAME?</v>
      </c>
      <c r="AF626" s="2" t="e">
        <f ca="1">_xll.BDH($C$603,"ACCOUNTS_PAYABLE_GROWTH_1YR","FQ3 2018","FQ3 2018","Currency=INR","Period=FQ","BEST_FPERIOD_OVERRIDE=FQ","FILING_STATUS=OR","EQY_CONSOLIDATED=Y","Sort=A","Dates=H","DateFormat=P","Fill=—","Direction=H","UseDPDF=Y")</f>
        <v>#NAME?</v>
      </c>
      <c r="AG626" s="2" t="e">
        <f ca="1">_xll.BDH($C$603,"SHORT_TERM_DEBT_1_YEAR_GROWTH","FQ3 2018","FQ3 2018","Currency=INR","Period=FQ","BEST_FPERIOD_OVERRIDE=FQ","FILING_STATUS=OR","EQY_CONSOLIDATED=Y","Sort=A","Dates=H","DateFormat=P","Fill=—","Direction=H","UseDPDF=Y")</f>
        <v>#NAME?</v>
      </c>
      <c r="AH626" s="2" t="e">
        <f ca="1">_xll.BDH($C$603,"TOTAL_DEBT_1_YEAR_GROWTH","FQ3 2018","FQ3 2018","Currency=INR","Period=FQ","BEST_FPERIOD_OVERRIDE=FQ","FILING_STATUS=OR","EQY_CONSOLIDATED=Y","Sort=A","Dates=H","DateFormat=P","Fill=—","Direction=H","UseDPDF=Y")</f>
        <v>#NAME?</v>
      </c>
      <c r="AI626" s="2" t="e">
        <f ca="1">_xll.BDH($C$603,"TOTAL_EQUITY_1_YEAR_GROWTH","FQ3 2018","FQ3 2018","Currency=INR","Period=FQ","BEST_FPERIOD_OVERRIDE=FQ","FILING_STATUS=OR","EQY_CONSOLIDATED=Y","Sort=A","Dates=H","DateFormat=P","Fill=—","Direction=H","UseDPDF=Y")</f>
        <v>#NAME?</v>
      </c>
      <c r="AJ626" s="2" t="e">
        <f ca="1">_xll.BDH($C$603,"GROWTH_IN_CAP","FQ3 2018","FQ3 2018","Currency=INR","Period=FQ","BEST_FPERIOD_OVERRIDE=FQ","FILING_STATUS=OR","EQY_CONSOLIDATED=Y","Sort=A","Dates=H","DateFormat=P","Fill=—","Direction=H","UseDPDF=Y")</f>
        <v>#NAME?</v>
      </c>
      <c r="AK626" s="2" t="e">
        <f ca="1">_xll.BDH($C$603,"BVPS_GROWTH","FQ3 2018","FQ3 2018","Currency=INR","Period=FQ","BEST_FPERIOD_OVERRIDE=FQ","FILING_STATUS=OR","EQY_CONSOLIDATED=Y","Sort=A","Dates=H","DateFormat=P","Fill=—","Direction=H","UseDPDF=Y")</f>
        <v>#NAME?</v>
      </c>
      <c r="AL626" s="2" t="e">
        <f ca="1">_xll.BDH($C$603,"CASH_FLOW_GROWTH","FQ3 2018","FQ3 2018","Currency=INR","Period=FQ","BEST_FPERIOD_OVERRIDE=FQ","FILING_STATUS=OR","EQY_CONSOLIDATED=Y","Sort=A","Dates=H","DateFormat=P","Fill=—","Direction=H","UseDPDF=Y")</f>
        <v>#NAME?</v>
      </c>
      <c r="AM626" s="2" t="e">
        <f ca="1">_xll.BDH($C$603,"GEO_GROW_NET_SALES","FQ3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626" s="2" t="e">
        <f ca="1">_xll.BDH($C$603,"GEO_GROW_EBITDA","FQ3 2018","FQ3 2018","Currency=INR","Period=FQ","BEST_FPERIOD_OVERRIDE=FQ","FILING_STATUS=OR","EQY_CONSOLIDATED=Y","FA_ADJUSTED=GAAP","Sort=A","Dates=H","DateFormat=P","Fill=—","Direction=H","UseDPDF=Y")</f>
        <v>#NAME?</v>
      </c>
      <c r="AO626" s="2" t="e">
        <f ca="1">_xll.BDH($C$603,"GEO_GROW_OPER_INC","FQ3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626" s="2" t="e">
        <f ca="1">_xll.BDH($C$603,"NET_INCOME_TO_COMMON_5_YR_GROWTH","FQ3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626" s="2" t="e">
        <f ca="1">_xll.BDH($C$603,"5Y_GEO_GROWTH_DILUTED_EPS","FQ3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626" s="2" t="e">
        <f ca="1">_xll.BDH($C$603,"GEO_GROW_DVD_PER_SH","FQ3 2018","FQ3 2018","Currency=INR","Period=FQ","BEST_FPERIOD_OVERRIDE=FQ","FILING_STATUS=OR","EQY_CONSOLIDATED=Y","Sort=A","Dates=H","DateFormat=P","Fill=—","Direction=H","UseDPDF=Y")</f>
        <v>#NAME?</v>
      </c>
      <c r="AS626" s="2" t="e">
        <f ca="1">_xll.BDH($C$603,"ACCOUNTS_RECEIVABLE_5_YR_GROWTH","FQ3 2018","FQ3 2018","Currency=INR","Period=FQ","BEST_FPERIOD_OVERRIDE=FQ","FILING_STATUS=OR","EQY_CONSOLIDATED=Y","Sort=A","Dates=H","DateFormat=P","Fill=—","Direction=H","UseDPDF=Y")</f>
        <v>#NAME?</v>
      </c>
      <c r="AT626" s="2" t="e">
        <f ca="1">_xll.BDH($C$603,"INVENTORY_5_YEAR_GROWTH","FQ3 2018","FQ3 2018","Currency=INR","Period=FQ","BEST_FPERIOD_OVERRIDE=FQ","FILING_STATUS=OR","EQY_CONSOLIDATED=Y","Sort=A","Dates=H","DateFormat=P","Fill=—","Direction=H","UseDPDF=Y")</f>
        <v>#NAME?</v>
      </c>
      <c r="AU626" s="2" t="e">
        <f ca="1">_xll.BDH($C$603,"NET_FIXED_ASSETS_5_YEAR_GROWTH","FQ3 2018","FQ3 2018","Currency=INR","Period=FQ","BEST_FPERIOD_OVERRIDE=FQ","FILING_STATUS=OR","EQY_CONSOLIDATED=Y","Sort=A","Dates=H","DateFormat=P","Fill=—","Direction=H","UseDPDF=Y")</f>
        <v>#NAME?</v>
      </c>
      <c r="AV626" s="2" t="e">
        <f ca="1">_xll.BDH($C$603,"GEO_GROW_TOT_ASSET","FQ3 2018","FQ3 2018","Currency=INR","Period=FQ","BEST_FPERIOD_OVERRIDE=FQ","FILING_STATUS=OR","EQY_CONSOLIDATED=Y","Sort=A","Dates=H","DateFormat=P","Fill=—","Direction=H","UseDPDF=Y")</f>
        <v>#NAME?</v>
      </c>
      <c r="AW626" s="2" t="e">
        <f ca="1">_xll.BDH($C$603,"MODIFIED_WORKING_CPTL_5YR_GRWTH","FQ3 2018","FQ3 2018","Currency=INR","Period=FQ","BEST_FPERIOD_OVERRIDE=FQ","FILING_STATUS=OR","EQY_CONSOLIDATED=Y","Sort=A","Dates=H","DateFormat=P","Fill=—","Direction=H","UseDPDF=Y")</f>
        <v>#NAME?</v>
      </c>
      <c r="AX626" s="2" t="e">
        <f ca="1">_xll.BDH($C$603,"WORKING_CAPITAL_5_YEAR_GROWTH","FQ3 2018","FQ3 2018","Currency=INR","Period=FQ","BEST_FPERIOD_OVERRIDE=FQ","FILING_STATUS=OR","EQY_CONSOLIDATED=Y","Sort=A","Dates=H","DateFormat=P","Fill=—","Direction=H","UseDPDF=Y")</f>
        <v>#NAME?</v>
      </c>
      <c r="AY626" s="2" t="e">
        <f ca="1">_xll.BDH($C$603,"ACCOUNTS_PAYABLE_5_YEAR_GROWTH","FQ3 2018","FQ3 2018","Currency=INR","Period=FQ","BEST_FPERIOD_OVERRIDE=FQ","FILING_STATUS=OR","EQY_CONSOLIDATED=Y","Sort=A","Dates=H","DateFormat=P","Fill=—","Direction=H","UseDPDF=Y")</f>
        <v>#NAME?</v>
      </c>
      <c r="AZ626" s="2" t="e">
        <f ca="1">_xll.BDH($C$603,"SHORT_TERM_DEBT_5_YEAR_GROWTH","FQ3 2018","FQ3 2018","Currency=INR","Period=FQ","BEST_FPERIOD_OVERRIDE=FQ","FILING_STATUS=OR","EQY_CONSOLIDATED=Y","Sort=A","Dates=H","DateFormat=P","Fill=—","Direction=H","UseDPDF=Y")</f>
        <v>#NAME?</v>
      </c>
      <c r="BA626" s="2" t="e">
        <f ca="1">_xll.BDH($C$603,"TOTAL_DEBT_5_YEAR_GROWTH","FQ3 2018","FQ3 2018","Currency=INR","Period=FQ","BEST_FPERIOD_OVERRIDE=FQ","FILING_STATUS=OR","EQY_CONSOLIDATED=Y","Sort=A","Dates=H","DateFormat=P","Fill=—","Direction=H","UseDPDF=Y")</f>
        <v>#NAME?</v>
      </c>
      <c r="BB626" s="2" t="e">
        <f ca="1">_xll.BDH($C$603,"GEO_GROW_TOT_SHRHLDR_EQY","FQ3 2018","FQ3 2018","Currency=INR","Period=FQ","BEST_FPERIOD_OVERRIDE=FQ","FILING_STATUS=OR","EQY_CONSOLIDATED=Y","Sort=A","Dates=H","DateFormat=P","Fill=—","Direction=H","UseDPDF=Y")</f>
        <v>#NAME?</v>
      </c>
      <c r="BC626" s="2" t="e">
        <f ca="1">_xll.BDH($C$603,"TOTAL_CAPITAL_5_YEAR_GROWTH","FQ3 2018","FQ3 2018","Currency=INR","Period=FQ","BEST_FPERIOD_OVERRIDE=FQ","FILING_STATUS=OR","EQY_CONSOLIDATED=Y","Sort=A","Dates=H","DateFormat=P","Fill=—","Direction=H","UseDPDF=Y")</f>
        <v>#NAME?</v>
      </c>
      <c r="BD626" s="2" t="e">
        <f ca="1">_xll.BDH($C$603,"GEO_GROW_BOOK_VAL","FQ3 2018","FQ3 2018","Currency=INR","Period=FQ","BEST_FPERIOD_OVERRIDE=FQ","FILING_STATUS=OR","EQY_CONSOLIDATED=Y","Sort=A","Dates=H","DateFormat=P","Fill=—","Direction=H","UseDPDF=Y")</f>
        <v>#NAME?</v>
      </c>
      <c r="BE626" s="2" t="e">
        <f ca="1">_xll.BDH($C$603,"GEO_GROW_CASH_OPER_ACT","FQ3 2018","FQ3 2018","Currency=INR","Period=FQ","BEST_FPERIOD_OVERRIDE=FQ","FILING_STATUS=OR","EQY_CONSOLIDATED=Y","Sort=A","Dates=H","DateFormat=P","Fill=—","Direction=H","UseDPDF=Y")</f>
        <v>#NAME?</v>
      </c>
      <c r="BF626" s="2" t="e">
        <f ca="1">_xll.BDH($C$603,"REVENUE_SEQUENTIAL_GROWTH","FQ3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626" s="2" t="e">
        <f ca="1">_xll.BDH($C$603,"EBITDA_SEQUENTIAL_GROWTH","FQ3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626" s="2" t="e">
        <f ca="1">_xll.BDH($C$603,"OPERATING_INCOME_SEQ_GROWTH","FQ3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626" s="2" t="e">
        <f ca="1">_xll.BDH($C$603,"NET_INCOME_TO_COMMON_SEQ_GROWTH","FQ3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626" s="2" t="e">
        <f ca="1">_xll.BDH($C$603,"EPS_DILUTED_SEQUENTIAL_GROWTH","FQ3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626" s="2" t="e">
        <f ca="1">_xll.BDH($C$603,"DPS_SEQUENTIAL_GROWTH","FQ3 2018","FQ3 2018","Currency=INR","Period=FQ","BEST_FPERIOD_OVERRIDE=FQ","FILING_STATUS=OR","EQY_CONSOLIDATED=Y","Sort=A","Dates=H","DateFormat=P","Fill=—","Direction=H","UseDPDF=Y")</f>
        <v>#NAME?</v>
      </c>
      <c r="BL626" s="2" t="e">
        <f ca="1">_xll.BDH($C$603,"ACCOUNTS_RECEIVABLE_SEQ_GROWTH","FQ3 2018","FQ3 2018","Currency=INR","Period=FQ","BEST_FPERIOD_OVERRIDE=FQ","FILING_STATUS=OR","EQY_CONSOLIDATED=Y","Sort=A","Dates=H","DateFormat=P","Fill=—","Direction=H","UseDPDF=Y")</f>
        <v>#NAME?</v>
      </c>
      <c r="BM626" s="2" t="e">
        <f ca="1">_xll.BDH($C$603,"INVENTORY_SEQUENTIAL_GROWTH","FQ3 2018","FQ3 2018","Currency=INR","Period=FQ","BEST_FPERIOD_OVERRIDE=FQ","FILING_STATUS=OR","EQY_CONSOLIDATED=Y","Sort=A","Dates=H","DateFormat=P","Fill=—","Direction=H","UseDPDF=Y")</f>
        <v>#NAME?</v>
      </c>
      <c r="BN626" s="2" t="e">
        <f ca="1">_xll.BDH($C$603,"FIXED_ASSETS_SEQUENTIAL_GROWTH","FQ3 2018","FQ3 2018","Currency=INR","Period=FQ","BEST_FPERIOD_OVERRIDE=FQ","FILING_STATUS=OR","EQY_CONSOLIDATED=Y","Sort=A","Dates=H","DateFormat=P","Fill=—","Direction=H","UseDPDF=Y")</f>
        <v>#NAME?</v>
      </c>
      <c r="BO626" s="2" t="e">
        <f ca="1">_xll.BDH($C$603,"TOTAL_ASSETS_SEQUENTIAL_GROWTH","FQ3 2018","FQ3 2018","Currency=INR","Period=FQ","BEST_FPERIOD_OVERRIDE=FQ","FILING_STATUS=OR","EQY_CONSOLIDATED=Y","Sort=A","Dates=H","DateFormat=P","Fill=—","Direction=H","UseDPDF=Y")</f>
        <v>#NAME?</v>
      </c>
      <c r="BP626" s="2" t="e">
        <f ca="1">_xll.BDH($C$603,"MODIFIED_WORKING_CPTL_SEQ_GRWTH","FQ3 2018","FQ3 2018","Currency=INR","Period=FQ","BEST_FPERIOD_OVERRIDE=FQ","FILING_STATUS=OR","EQY_CONSOLIDATED=Y","Sort=A","Dates=H","DateFormat=P","Fill=—","Direction=H","UseDPDF=Y")</f>
        <v>#NAME?</v>
      </c>
      <c r="BQ626" s="2" t="e">
        <f ca="1">_xll.BDH($C$603,"WORKING_CAPITAL_SEQ_GROWTH","FQ3 2018","FQ3 2018","Currency=INR","Period=FQ","BEST_FPERIOD_OVERRIDE=FQ","FILING_STATUS=OR","EQY_CONSOLIDATED=Y","Sort=A","Dates=H","DateFormat=P","Fill=—","Direction=H","UseDPDF=Y")</f>
        <v>#NAME?</v>
      </c>
      <c r="BR626" s="2" t="e">
        <f ca="1">_xll.BDH($C$603,"ACCOUNTS_PAYABLE_SEQ_GROWTH","FQ3 2018","FQ3 2018","Currency=INR","Period=FQ","BEST_FPERIOD_OVERRIDE=FQ","FILING_STATUS=OR","EQY_CONSOLIDATED=Y","Sort=A","Dates=H","DateFormat=P","Fill=—","Direction=H","UseDPDF=Y")</f>
        <v>#NAME?</v>
      </c>
      <c r="BS626" s="2" t="e">
        <f ca="1">_xll.BDH($C$603,"ST_DEBT_SEQUENTIAL_GROWTH","FQ3 2018","FQ3 2018","Currency=INR","Period=FQ","BEST_FPERIOD_OVERRIDE=FQ","FILING_STATUS=OR","EQY_CONSOLIDATED=Y","Sort=A","Dates=H","DateFormat=P","Fill=—","Direction=H","UseDPDF=Y")</f>
        <v>#NAME?</v>
      </c>
      <c r="BT626" s="2" t="e">
        <f ca="1">_xll.BDH($C$603,"TOTAL_DEBT_SEQUENTIAL_GROWTH","FQ3 2018","FQ3 2018","Currency=INR","Period=FQ","BEST_FPERIOD_OVERRIDE=FQ","FILING_STATUS=OR","EQY_CONSOLIDATED=Y","Sort=A","Dates=H","DateFormat=P","Fill=—","Direction=H","UseDPDF=Y")</f>
        <v>#NAME?</v>
      </c>
      <c r="BU626" s="2" t="e">
        <f ca="1">_xll.BDH($C$603,"TOTAL_EQUITY_SEQUENTIAL_GROWTH","FQ3 2018","FQ3 2018","Currency=INR","Period=FQ","BEST_FPERIOD_OVERRIDE=FQ","FILING_STATUS=OR","EQY_CONSOLIDATED=Y","Sort=A","Dates=H","DateFormat=P","Fill=—","Direction=H","UseDPDF=Y")</f>
        <v>#NAME?</v>
      </c>
      <c r="BV626" s="2" t="e">
        <f ca="1">_xll.BDH($C$603,"TOTAL_CAPITAL_SEQUENTIAL_GROWTH","FQ3 2018","FQ3 2018","Currency=INR","Period=FQ","BEST_FPERIOD_OVERRIDE=FQ","FILING_STATUS=OR","EQY_CONSOLIDATED=Y","Sort=A","Dates=H","DateFormat=P","Fill=—","Direction=H","UseDPDF=Y")</f>
        <v>#NAME?</v>
      </c>
      <c r="BW626" s="2" t="e">
        <f ca="1">_xll.BDH($C$603,"BPS_SEQUENTIAL_GROWTH","FQ3 2018","FQ3 2018","Currency=INR","Period=FQ","BEST_FPERIOD_OVERRIDE=FQ","FILING_STATUS=OR","EQY_CONSOLIDATED=Y","Sort=A","Dates=H","DateFormat=P","Fill=—","Direction=H","UseDPDF=Y")</f>
        <v>#NAME?</v>
      </c>
      <c r="BX626" s="2" t="e">
        <f ca="1">_xll.BDH($C$603,"CFO_SEQUENTIAL_GROWTH","FQ3 2018","FQ3 2018","Currency=INR","Period=FQ","BEST_FPERIOD_OVERRIDE=FQ","FILING_STATUS=OR","EQY_CONSOLIDATED=Y","Sort=A","Dates=H","DateFormat=P","Fill=—","Direction=H","UseDPDF=Y")</f>
        <v>#NAME?</v>
      </c>
      <c r="BY626" s="3" t="e">
        <f ca="1">_xll.BDH($C$603,"SHORT_AND_LONG_TERM_DEBT","FQ3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626" s="3" t="e">
        <f ca="1">_xll.BDH($C$603,"BS_ST_BORROW","FQ3 2018","FQ3 2018","Currency=INR","Period=FQ","BEST_FPERIOD_OVERRIDE=FQ","FILING_STATUS=OR","EQY_CONSOLIDATED=Y","SCALING_FORMAT=MLN","Sort=A","Dates=H","DateFormat=P","Fill=—","Direction=H","UseDPDF=Y")</f>
        <v>#NAME?</v>
      </c>
      <c r="CA626" s="3" t="e">
        <f ca="1">_xll.BDH($C$603,"BS_LT_BORROW","FQ3 2018","FQ3 2018","Currency=INR","Period=FQ","BEST_FPERIOD_OVERRIDE=FQ","FILING_STATUS=OR","EQY_CONSOLIDATED=Y","SCALING_FORMAT=MLN","Sort=A","Dates=H","DateFormat=P","Fill=—","Direction=H","UseDPDF=Y")</f>
        <v>#NAME?</v>
      </c>
      <c r="CB626" s="2" t="e">
        <f ca="1">_xll.BDH($C$603,"TOT_DEBT_TO_EBITDA","FQ3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626" s="2" t="e">
        <f ca="1">_xll.BDH($C$603,"NET_DEBT_TO_EBITDA","FQ3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626" s="2" t="e">
        <f ca="1">_xll.BDH($C$603,"TOTAL_DEBT_TO_EBIT","FQ3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626" s="2" t="e">
        <f ca="1">_xll.BDH($C$603,"NET_DEBT_TO_EBIT","FQ3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626" s="2" t="e">
        <f ca="1">_xll.BDH($C$603,"EBITDA_TO_INTEREST_EXPN","FQ3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626" s="2" t="e">
        <f ca="1">_xll.BDH($C$603,"COM_EQY_TO_TOT_ASSET","FQ3 2018","FQ3 2018","Currency=INR","Period=FQ","BEST_FPERIOD_OVERRIDE=FQ","FILING_STATUS=OR","EQY_CONSOLIDATED=Y","Sort=A","Dates=H","DateFormat=P","Fill=—","Direction=H","UseDPDF=Y")</f>
        <v>#NAME?</v>
      </c>
      <c r="CH626" s="2" t="e">
        <f ca="1">_xll.BDH($C$603,"LT_DEBT_TO_TOT_EQY","FQ3 2018","FQ3 2018","Currency=INR","Period=FQ","BEST_FPERIOD_OVERRIDE=FQ","FILING_STATUS=OR","EQY_CONSOLIDATED=Y","Sort=A","Dates=H","DateFormat=P","Fill=—","Direction=H","UseDPDF=Y")</f>
        <v>#NAME?</v>
      </c>
      <c r="CI626" s="2" t="e">
        <f ca="1">_xll.BDH($C$603,"LT_DEBT_TO_TOT_CAP","FQ3 2018","FQ3 2018","Currency=INR","Period=FQ","BEST_FPERIOD_OVERRIDE=FQ","FILING_STATUS=OR","EQY_CONSOLIDATED=Y","Sort=A","Dates=H","DateFormat=P","Fill=—","Direction=H","UseDPDF=Y")</f>
        <v>#NAME?</v>
      </c>
      <c r="CJ626" s="2" t="e">
        <f ca="1">_xll.BDH($C$603,"LT_DEBT_TO_TOT_ASSET","FQ3 2018","FQ3 2018","Currency=INR","Period=FQ","BEST_FPERIOD_OVERRIDE=FQ","FILING_STATUS=OR","EQY_CONSOLIDATED=Y","Sort=A","Dates=H","DateFormat=P","Fill=—","Direction=H","UseDPDF=Y")</f>
        <v>#NAME?</v>
      </c>
      <c r="CK626" s="2" t="e">
        <f ca="1">_xll.BDH($C$603,"TOT_DEBT_TO_TOT_EQY","FQ3 2018","FQ3 2018","Currency=INR","Period=FQ","BEST_FPERIOD_OVERRIDE=FQ","FILING_STATUS=OR","EQY_CONSOLIDATED=Y","Sort=A","Dates=H","DateFormat=P","Fill=—","Direction=H","UseDPDF=Y")</f>
        <v>#NAME?</v>
      </c>
      <c r="CL626" s="2" t="e">
        <f ca="1">_xll.BDH($C$603,"TOT_DEBT_TO_TOT_CAP","FQ3 2018","FQ3 2018","Currency=INR","Period=FQ","BEST_FPERIOD_OVERRIDE=FQ","FILING_STATUS=OR","EQY_CONSOLIDATED=Y","Sort=A","Dates=H","DateFormat=P","Fill=—","Direction=H","UseDPDF=Y")</f>
        <v>#NAME?</v>
      </c>
      <c r="CM626" s="2" t="e">
        <f ca="1">_xll.BDH($C$603,"TOT_DEBT_TO_TOT_ASSET","FQ3 2018","FQ3 2018","Currency=INR","Period=FQ","BEST_FPERIOD_OVERRIDE=FQ","FILING_STATUS=OR","EQY_CONSOLIDATED=Y","Sort=A","Dates=H","DateFormat=P","Fill=—","Direction=H","UseDPDF=Y")</f>
        <v>#NAME?</v>
      </c>
      <c r="CN626" s="2" t="e">
        <f ca="1">_xll.BDH($C$603,"NET_DEBT_TO_SHRHLDR_EQTY","FQ3 2018","FQ3 2018","Currency=INR","Period=FQ","BEST_FPERIOD_OVERRIDE=FQ","FILING_STATUS=OR","EQY_CONSOLIDATED=Y","Sort=A","Dates=H","DateFormat=P","Fill=—","Direction=H","UseDPDF=Y")</f>
        <v>#NAME?</v>
      </c>
      <c r="CO626" s="2" t="e">
        <f ca="1">_xll.BDH($C$603,"NET_DEBT_%_CAPITAL","FQ3 2018","FQ3 2018","Currency=INR","Period=FQ","BEST_FPERIOD_OVERRIDE=FQ","FILING_STATUS=OR","EQY_CONSOLIDATED=Y","Sort=A","Dates=H","DateFormat=P","Fill=—","Direction=H","UseDPDF=Y")</f>
        <v>#NAME?</v>
      </c>
      <c r="CP626" s="3" t="e">
        <f ca="1">_xll.BDH($C$603,"EBITDA","FQ3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626" s="3" t="e">
        <f ca="1">_xll.BDH($C$603,"EBITDA_AFTER_CAPEX","FQ3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626" s="3" t="e">
        <f ca="1">_xll.BDH($C$603,"IS_OPER_INC","FQ3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626" s="2" t="e">
        <f ca="1">_xll.BDH($C$603,"CASH_RATIO","FQ3 2018","FQ3 2018","Currency=INR","Period=FQ","BEST_FPERIOD_OVERRIDE=FQ","FILING_STATUS=OR","EQY_CONSOLIDATED=Y","Sort=A","Dates=H","DateFormat=P","Fill=—","Direction=H","UseDPDF=Y")</f>
        <v>#NAME?</v>
      </c>
      <c r="CT626" s="2" t="e">
        <f ca="1">_xll.BDH($C$603,"CUR_RATIO","FQ3 2018","FQ3 2018","Currency=INR","Period=FQ","BEST_FPERIOD_OVERRIDE=FQ","FILING_STATUS=OR","EQY_CONSOLIDATED=Y","Sort=A","Dates=H","DateFormat=P","Fill=—","Direction=H","UseDPDF=Y")</f>
        <v>#NAME?</v>
      </c>
      <c r="CU626" s="2" t="e">
        <f ca="1">_xll.BDH($C$603,"QUICK_RATIO","FQ3 2018","FQ3 2018","Currency=INR","Period=FQ","BEST_FPERIOD_OVERRIDE=FQ","FILING_STATUS=OR","EQY_CONSOLIDATED=Y","Sort=A","Dates=H","DateFormat=P","Fill=—","Direction=H","UseDPDF=Y")</f>
        <v>#NAME?</v>
      </c>
      <c r="CV626" s="2" t="e">
        <f ca="1">_xll.BDH($C$603,"ALTMAN_Z_SCORE","FQ3 2018","FQ3 2018","Currency=INR","Period=FQ","BEST_FPERIOD_OVERRIDE=FQ","FILING_STATUS=OR","EQY_CONSOLIDATED=Y","Sort=A","Dates=H","DateFormat=P","Fill=—","Direction=H","UseDPDF=Y")</f>
        <v>#NAME?</v>
      </c>
      <c r="CW626" s="4" t="e">
        <f ca="1">_xll.BDH($C$603,"ACCT_RCV_TURN","FQ3 2018","FQ3 2018","Currency=INR","Period=FQ","BEST_FPERIOD_OVERRIDE=FQ","FILING_STATUS=OR","EQY_CONSOLIDATED=Y","FA_ADJUSTED=GAAP","Sort=A","Dates=H","DateFormat=P","Fill=—","Direction=H","UseDPDF=Y")</f>
        <v>#NAME?</v>
      </c>
      <c r="CX626" s="2" t="e">
        <f ca="1">_xll.BDH($C$603,"ACCT_RCV_DAYS","FQ3 2018","FQ3 2018","Currency=INR","Period=FQ","BEST_FPERIOD_OVERRIDE=FQ","FILING_STATUS=OR","EQY_CONSOLIDATED=Y","FA_ADJUSTED=GAAP","Sort=A","Dates=H","DateFormat=P","Fill=—","Direction=H","UseDPDF=Y")</f>
        <v>#NAME?</v>
      </c>
      <c r="CY626" s="4" t="e">
        <f ca="1">_xll.BDH($C$603,"INVENT_TURN","FQ3 2018","FQ3 2018","Currency=INR","Period=FQ","BEST_FPERIOD_OVERRIDE=FQ","FILING_STATUS=OR","EQY_CONSOLIDATED=Y","FA_ADJUSTED=GAAP","Sort=A","Dates=H","DateFormat=P","Fill=—","Direction=H","UseDPDF=Y")</f>
        <v>#NAME?</v>
      </c>
      <c r="CZ626" s="2" t="e">
        <f ca="1">_xll.BDH($C$603,"INVENT_DAYS","FQ3 2018","FQ3 2018","Currency=INR","Period=FQ","BEST_FPERIOD_OVERRIDE=FQ","FILING_STATUS=OR","EQY_CONSOLIDATED=Y","FA_ADJUSTED=GAAP","Sort=A","Dates=H","DateFormat=P","Fill=—","Direction=H","UseDPDF=Y")</f>
        <v>#NAME?</v>
      </c>
      <c r="DA626" s="4" t="e">
        <f ca="1">_xll.BDH($C$603,"ACCOUNTS_PAYABLE_TURNOVER","FQ3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626" s="2" t="e">
        <f ca="1">_xll.BDH($C$603,"ACCOUNTS_PAYABLE_TURNOVER_DAYS","FQ3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626" s="4" t="e">
        <f ca="1">_xll.BDH($C$603,"CASH_CONVERSION_CYCLE","FQ3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626" s="4" t="e">
        <f ca="1">_xll.BDH($C$603,"INV_TO_CASH_DAYS","FQ3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626" s="5" t="e">
        <f ca="1">_xll.BDH($C$603,"BS_INVENTORIES","FQ3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626" s="3" t="e">
        <f ca="1">_xll.BDH($C$603,"INVTRY_RAW_MATERIALS","FQ3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626" s="3" t="e">
        <f ca="1">_xll.BDH($C$603,"INVTRY_IN_PROGRESS","FQ3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626" s="3" t="e">
        <f ca="1">_xll.BDH($C$603,"INVTRY_FINISHED_GOODS","FQ3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626" s="3" t="e">
        <f ca="1">_xll.BDH($C$603,"BS_OTHER_INV","FQ3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627" spans="1:113" x14ac:dyDescent="0.3">
      <c r="A627" s="6"/>
      <c r="B627" s="6"/>
      <c r="C627" s="6"/>
      <c r="D627" s="6"/>
      <c r="E627" t="s">
        <v>81</v>
      </c>
      <c r="F627" t="e">
        <f ca="1">_xll.BDH($C$603,"RETURN_COM_EQY","FQ4 2018","FQ4 2018","Currency=INR","Period=FQ","BEST_FPERIOD_OVERRIDE=FQ","FILING_STATUS=OR","EQY_CONSOLIDATED=Y","FA_ADJUSTED=GAAP","Sort=A","Dates=H","DateFormat=P","Fill=—","Direction=H","UseDPDF=Y")</f>
        <v>#NAME?</v>
      </c>
      <c r="G627" t="e">
        <f ca="1">_xll.BDH($C$603,"RETURN_ON_ASSET","FQ4 2018","FQ4 2018","Currency=INR","Period=FQ","BEST_FPERIOD_OVERRIDE=FQ","FILING_STATUS=OR","EQY_CONSOLIDATED=Y","FA_ADJUSTED=GAAP","Sort=A","Dates=H","DateFormat=P","Fill=—","Direction=H","UseDPDF=Y")</f>
        <v>#NAME?</v>
      </c>
      <c r="H627" t="e">
        <f ca="1">_xll.BDH($C$603,"RETURN_ON_CAP","FQ4 2018","FQ4 2018","Currency=INR","Period=FQ","BEST_FPERIOD_OVERRIDE=FQ","FILING_STATUS=OR","EQY_CONSOLIDATED=Y","FA_ADJUSTED=GAAP","Sort=A","Dates=H","DateFormat=P","Fill=—","Direction=H","UseDPDF=Y")</f>
        <v>#NAME?</v>
      </c>
      <c r="I627" t="e">
        <f ca="1">_xll.BDH($C$603,"RETURN_ON_INV_CAPITAL","FQ4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627" t="e">
        <f ca="1">_xll.BDH($C$603,"EBITDA_TO_REVENUE","FQ4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627" t="e">
        <f ca="1">_xll.BDH($C$603,"OPER_MARGIN","FQ4 2018","FQ4 2018","Currency=INR","Period=FQ","BEST_FPERIOD_OVERRIDE=FQ","FILING_STATUS=OR","EQY_CONSOLIDATED=Y","FA_ADJUSTED=GAAP","Sort=A","Dates=H","DateFormat=P","Fill=—","Direction=H","UseDPDF=Y")</f>
        <v>#NAME?</v>
      </c>
      <c r="L627" t="e">
        <f ca="1">_xll.BDH($C$603,"INCREMENTAL_OPERATING_MARGIN","FQ4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627" t="e">
        <f ca="1">_xll.BDH($C$603,"PRETAX_INC_TO_NET_SALES","FQ4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627" t="e">
        <f ca="1">_xll.BDH($C$603,"INC_BEF_XO_ITEMS_TO_NET_SALES","FQ4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627" t="e">
        <f ca="1">_xll.BDH($C$603,"PROF_MARGIN","FQ4 2018","FQ4 2018","Currency=INR","Period=FQ","BEST_FPERIOD_OVERRIDE=FQ","FILING_STATUS=OR","EQY_CONSOLIDATED=Y","FA_ADJUSTED=GAAP","Sort=A","Dates=H","DateFormat=P","Fill=—","Direction=H","UseDPDF=Y")</f>
        <v>#NAME?</v>
      </c>
      <c r="P627" t="e">
        <f ca="1">_xll.BDH($C$603,"NET_INCOME_TO_COMMON_MARGIN","FQ4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627" t="e">
        <f ca="1">_xll.BDH($C$603,"EFF_TAX_RATE","FQ4 2018","FQ4 2018","Currency=INR","Period=FQ","BEST_FPERIOD_OVERRIDE=FQ","FILING_STATUS=OR","EQY_CONSOLIDATED=Y","FA_ADJUSTED=GAAP","Sort=A","Dates=H","DateFormat=P","Fill=—","Direction=H","UseDPDF=Y")</f>
        <v>#NAME?</v>
      </c>
      <c r="R627" t="e">
        <f ca="1">_xll.BDH($C$603,"DVD_PAYOUT_RATIO","FQ4 2018","FQ4 2018","Currency=INR","Period=FQ","BEST_FPERIOD_OVERRIDE=FQ","FILING_STATUS=OR","EQY_CONSOLIDATED=Y","FA_ADJUSTED=GAAP","Sort=A","Dates=H","DateFormat=P","Fill=—","Direction=H","UseDPDF=Y")</f>
        <v>#NAME?</v>
      </c>
      <c r="S627" t="e">
        <f ca="1">_xll.BDH($C$603,"SUSTAIN_GROWTH_RT","FQ4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627" s="2" t="e">
        <f ca="1">_xll.BDH($C$603,"SALES_GROWTH","FQ4 2018","FQ4 2018","Currency=INR","Period=FQ","BEST_FPERIOD_OVERRIDE=FQ","FILING_STATUS=OR","EQY_CONSOLIDATED=Y","FA_ADJUSTED=GAAP","Sort=A","Dates=H","DateFormat=P","Fill=—","Direction=H","UseDPDF=Y")</f>
        <v>#NAME?</v>
      </c>
      <c r="U627" s="2" t="e">
        <f ca="1">_xll.BDH($C$603,"EBITDA_GROWTH","FQ4 2018","FQ4 2018","Currency=INR","Period=FQ","BEST_FPERIOD_OVERRIDE=FQ","FILING_STATUS=OR","EQY_CONSOLIDATED=Y","FA_ADJUSTED=GAAP","Sort=A","Dates=H","DateFormat=P","Fill=—","Direction=H","UseDPDF=Y")</f>
        <v>#NAME?</v>
      </c>
      <c r="V627" s="2" t="e">
        <f ca="1">_xll.BDH($C$603,"OPER_INC_GROWTH","FQ4 2018","FQ4 2018","Currency=INR","Period=FQ","BEST_FPERIOD_OVERRIDE=FQ","FILING_STATUS=OR","EQY_CONSOLIDATED=Y","FA_ADJUSTED=GAAP","Sort=A","Dates=H","DateFormat=P","Fill=—","Direction=H","UseDPDF=Y")</f>
        <v>#NAME?</v>
      </c>
      <c r="W627" s="2" t="e">
        <f ca="1">_xll.BDH($C$603,"EARN_FOR_COM_GROWTH","FQ4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627" s="2" t="e">
        <f ca="1">_xll.BDH($C$603,"DILUTED_EPS_AFT_XO_ITEMS_GROWTH","FQ4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627" s="2" t="e">
        <f ca="1">_xll.BDH($C$603,"DIVIDEND_PER_SHARE_1_YEAR_GROWTH","FQ4 2018","FQ4 2018","Currency=INR","Period=FQ","BEST_FPERIOD_OVERRIDE=FQ","FILING_STATUS=OR","EQY_CONSOLIDATED=Y","Sort=A","Dates=H","DateFormat=P","Fill=—","Direction=H","UseDPDF=Y")</f>
        <v>#NAME?</v>
      </c>
      <c r="Z627" s="2" t="e">
        <f ca="1">_xll.BDH($C$603,"ACCOUNTS_RECEIVABLE_GROWTH","FQ4 2018","FQ4 2018","Currency=INR","Period=FQ","BEST_FPERIOD_OVERRIDE=FQ","FILING_STATUS=OR","EQY_CONSOLIDATED=Y","Sort=A","Dates=H","DateFormat=P","Fill=—","Direction=H","UseDPDF=Y")</f>
        <v>#NAME?</v>
      </c>
      <c r="AA627" s="2" t="e">
        <f ca="1">_xll.BDH($C$603,"INVENTORY_GROWTH","FQ4 2018","FQ4 2018","Currency=INR","Period=FQ","BEST_FPERIOD_OVERRIDE=FQ","FILING_STATUS=OR","EQY_CONSOLIDATED=Y","Sort=A","Dates=H","DateFormat=P","Fill=—","Direction=H","UseDPDF=Y")</f>
        <v>#NAME?</v>
      </c>
      <c r="AB627" s="2" t="e">
        <f ca="1">_xll.BDH($C$603,"NET_FIXED_ASSETS_1_YEAR_GROWTH","FQ4 2018","FQ4 2018","Currency=INR","Period=FQ","BEST_FPERIOD_OVERRIDE=FQ","FILING_STATUS=OR","EQY_CONSOLIDATED=Y","Sort=A","Dates=H","DateFormat=P","Fill=—","Direction=H","UseDPDF=Y")</f>
        <v>#NAME?</v>
      </c>
      <c r="AC627" s="2" t="e">
        <f ca="1">_xll.BDH($C$603,"ASSET_GROWTH","FQ4 2018","FQ4 2018","Currency=INR","Period=FQ","BEST_FPERIOD_OVERRIDE=FQ","FILING_STATUS=OR","EQY_CONSOLIDATED=Y","Sort=A","Dates=H","DateFormat=P","Fill=—","Direction=H","UseDPDF=Y")</f>
        <v>#NAME?</v>
      </c>
      <c r="AD627" s="2" t="e">
        <f ca="1">_xll.BDH($C$603,"MODIFIED_WORK_CAP_GROWTH","FQ4 2018","FQ4 2018","Currency=INR","Period=FQ","BEST_FPERIOD_OVERRIDE=FQ","FILING_STATUS=OR","EQY_CONSOLIDATED=Y","Sort=A","Dates=H","DateFormat=P","Fill=—","Direction=H","UseDPDF=Y")</f>
        <v>#NAME?</v>
      </c>
      <c r="AE627" s="2" t="e">
        <f ca="1">_xll.BDH($C$603,"WORK_CAP_GROWTH","FQ4 2018","FQ4 2018","Currency=INR","Period=FQ","BEST_FPERIOD_OVERRIDE=FQ","FILING_STATUS=OR","EQY_CONSOLIDATED=Y","Sort=A","Dates=H","DateFormat=P","Fill=—","Direction=H","UseDPDF=Y")</f>
        <v>#NAME?</v>
      </c>
      <c r="AF627" s="2" t="e">
        <f ca="1">_xll.BDH($C$603,"ACCOUNTS_PAYABLE_GROWTH_1YR","FQ4 2018","FQ4 2018","Currency=INR","Period=FQ","BEST_FPERIOD_OVERRIDE=FQ","FILING_STATUS=OR","EQY_CONSOLIDATED=Y","Sort=A","Dates=H","DateFormat=P","Fill=—","Direction=H","UseDPDF=Y")</f>
        <v>#NAME?</v>
      </c>
      <c r="AG627" s="2" t="e">
        <f ca="1">_xll.BDH($C$603,"SHORT_TERM_DEBT_1_YEAR_GROWTH","FQ4 2018","FQ4 2018","Currency=INR","Period=FQ","BEST_FPERIOD_OVERRIDE=FQ","FILING_STATUS=OR","EQY_CONSOLIDATED=Y","Sort=A","Dates=H","DateFormat=P","Fill=—","Direction=H","UseDPDF=Y")</f>
        <v>#NAME?</v>
      </c>
      <c r="AH627" s="2" t="e">
        <f ca="1">_xll.BDH($C$603,"TOTAL_DEBT_1_YEAR_GROWTH","FQ4 2018","FQ4 2018","Currency=INR","Period=FQ","BEST_FPERIOD_OVERRIDE=FQ","FILING_STATUS=OR","EQY_CONSOLIDATED=Y","Sort=A","Dates=H","DateFormat=P","Fill=—","Direction=H","UseDPDF=Y")</f>
        <v>#NAME?</v>
      </c>
      <c r="AI627" s="2" t="e">
        <f ca="1">_xll.BDH($C$603,"TOTAL_EQUITY_1_YEAR_GROWTH","FQ4 2018","FQ4 2018","Currency=INR","Period=FQ","BEST_FPERIOD_OVERRIDE=FQ","FILING_STATUS=OR","EQY_CONSOLIDATED=Y","Sort=A","Dates=H","DateFormat=P","Fill=—","Direction=H","UseDPDF=Y")</f>
        <v>#NAME?</v>
      </c>
      <c r="AJ627" s="2" t="e">
        <f ca="1">_xll.BDH($C$603,"GROWTH_IN_CAP","FQ4 2018","FQ4 2018","Currency=INR","Period=FQ","BEST_FPERIOD_OVERRIDE=FQ","FILING_STATUS=OR","EQY_CONSOLIDATED=Y","Sort=A","Dates=H","DateFormat=P","Fill=—","Direction=H","UseDPDF=Y")</f>
        <v>#NAME?</v>
      </c>
      <c r="AK627" s="2" t="e">
        <f ca="1">_xll.BDH($C$603,"BVPS_GROWTH","FQ4 2018","FQ4 2018","Currency=INR","Period=FQ","BEST_FPERIOD_OVERRIDE=FQ","FILING_STATUS=OR","EQY_CONSOLIDATED=Y","Sort=A","Dates=H","DateFormat=P","Fill=—","Direction=H","UseDPDF=Y")</f>
        <v>#NAME?</v>
      </c>
      <c r="AL627" s="2" t="e">
        <f ca="1">_xll.BDH($C$603,"CASH_FLOW_GROWTH","FQ4 2018","FQ4 2018","Currency=INR","Period=FQ","BEST_FPERIOD_OVERRIDE=FQ","FILING_STATUS=OR","EQY_CONSOLIDATED=Y","Sort=A","Dates=H","DateFormat=P","Fill=—","Direction=H","UseDPDF=Y")</f>
        <v>#NAME?</v>
      </c>
      <c r="AM627" s="2" t="e">
        <f ca="1">_xll.BDH($C$603,"GEO_GROW_NET_SALES","FQ4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627" s="2" t="e">
        <f ca="1">_xll.BDH($C$603,"GEO_GROW_EBITDA","FQ4 2018","FQ4 2018","Currency=INR","Period=FQ","BEST_FPERIOD_OVERRIDE=FQ","FILING_STATUS=OR","EQY_CONSOLIDATED=Y","FA_ADJUSTED=GAAP","Sort=A","Dates=H","DateFormat=P","Fill=—","Direction=H","UseDPDF=Y")</f>
        <v>#NAME?</v>
      </c>
      <c r="AO627" s="2" t="e">
        <f ca="1">_xll.BDH($C$603,"GEO_GROW_OPER_INC","FQ4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627" s="2" t="e">
        <f ca="1">_xll.BDH($C$603,"NET_INCOME_TO_COMMON_5_YR_GROWTH","FQ4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627" s="2" t="e">
        <f ca="1">_xll.BDH($C$603,"5Y_GEO_GROWTH_DILUTED_EPS","FQ4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627" s="2" t="e">
        <f ca="1">_xll.BDH($C$603,"GEO_GROW_DVD_PER_SH","FQ4 2018","FQ4 2018","Currency=INR","Period=FQ","BEST_FPERIOD_OVERRIDE=FQ","FILING_STATUS=OR","EQY_CONSOLIDATED=Y","Sort=A","Dates=H","DateFormat=P","Fill=—","Direction=H","UseDPDF=Y")</f>
        <v>#NAME?</v>
      </c>
      <c r="AS627" s="2" t="e">
        <f ca="1">_xll.BDH($C$603,"ACCOUNTS_RECEIVABLE_5_YR_GROWTH","FQ4 2018","FQ4 2018","Currency=INR","Period=FQ","BEST_FPERIOD_OVERRIDE=FQ","FILING_STATUS=OR","EQY_CONSOLIDATED=Y","Sort=A","Dates=H","DateFormat=P","Fill=—","Direction=H","UseDPDF=Y")</f>
        <v>#NAME?</v>
      </c>
      <c r="AT627" s="2" t="e">
        <f ca="1">_xll.BDH($C$603,"INVENTORY_5_YEAR_GROWTH","FQ4 2018","FQ4 2018","Currency=INR","Period=FQ","BEST_FPERIOD_OVERRIDE=FQ","FILING_STATUS=OR","EQY_CONSOLIDATED=Y","Sort=A","Dates=H","DateFormat=P","Fill=—","Direction=H","UseDPDF=Y")</f>
        <v>#NAME?</v>
      </c>
      <c r="AU627" s="2" t="e">
        <f ca="1">_xll.BDH($C$603,"NET_FIXED_ASSETS_5_YEAR_GROWTH","FQ4 2018","FQ4 2018","Currency=INR","Period=FQ","BEST_FPERIOD_OVERRIDE=FQ","FILING_STATUS=OR","EQY_CONSOLIDATED=Y","Sort=A","Dates=H","DateFormat=P","Fill=—","Direction=H","UseDPDF=Y")</f>
        <v>#NAME?</v>
      </c>
      <c r="AV627" s="2" t="e">
        <f ca="1">_xll.BDH($C$603,"GEO_GROW_TOT_ASSET","FQ4 2018","FQ4 2018","Currency=INR","Period=FQ","BEST_FPERIOD_OVERRIDE=FQ","FILING_STATUS=OR","EQY_CONSOLIDATED=Y","Sort=A","Dates=H","DateFormat=P","Fill=—","Direction=H","UseDPDF=Y")</f>
        <v>#NAME?</v>
      </c>
      <c r="AW627" s="2" t="e">
        <f ca="1">_xll.BDH($C$603,"MODIFIED_WORKING_CPTL_5YR_GRWTH","FQ4 2018","FQ4 2018","Currency=INR","Period=FQ","BEST_FPERIOD_OVERRIDE=FQ","FILING_STATUS=OR","EQY_CONSOLIDATED=Y","Sort=A","Dates=H","DateFormat=P","Fill=—","Direction=H","UseDPDF=Y")</f>
        <v>#NAME?</v>
      </c>
      <c r="AX627" s="2" t="e">
        <f ca="1">_xll.BDH($C$603,"WORKING_CAPITAL_5_YEAR_GROWTH","FQ4 2018","FQ4 2018","Currency=INR","Period=FQ","BEST_FPERIOD_OVERRIDE=FQ","FILING_STATUS=OR","EQY_CONSOLIDATED=Y","Sort=A","Dates=H","DateFormat=P","Fill=—","Direction=H","UseDPDF=Y")</f>
        <v>#NAME?</v>
      </c>
      <c r="AY627" s="2" t="e">
        <f ca="1">_xll.BDH($C$603,"ACCOUNTS_PAYABLE_5_YEAR_GROWTH","FQ4 2018","FQ4 2018","Currency=INR","Period=FQ","BEST_FPERIOD_OVERRIDE=FQ","FILING_STATUS=OR","EQY_CONSOLIDATED=Y","Sort=A","Dates=H","DateFormat=P","Fill=—","Direction=H","UseDPDF=Y")</f>
        <v>#NAME?</v>
      </c>
      <c r="AZ627" s="2" t="e">
        <f ca="1">_xll.BDH($C$603,"SHORT_TERM_DEBT_5_YEAR_GROWTH","FQ4 2018","FQ4 2018","Currency=INR","Period=FQ","BEST_FPERIOD_OVERRIDE=FQ","FILING_STATUS=OR","EQY_CONSOLIDATED=Y","Sort=A","Dates=H","DateFormat=P","Fill=—","Direction=H","UseDPDF=Y")</f>
        <v>#NAME?</v>
      </c>
      <c r="BA627" s="2" t="e">
        <f ca="1">_xll.BDH($C$603,"TOTAL_DEBT_5_YEAR_GROWTH","FQ4 2018","FQ4 2018","Currency=INR","Period=FQ","BEST_FPERIOD_OVERRIDE=FQ","FILING_STATUS=OR","EQY_CONSOLIDATED=Y","Sort=A","Dates=H","DateFormat=P","Fill=—","Direction=H","UseDPDF=Y")</f>
        <v>#NAME?</v>
      </c>
      <c r="BB627" s="2" t="e">
        <f ca="1">_xll.BDH($C$603,"GEO_GROW_TOT_SHRHLDR_EQY","FQ4 2018","FQ4 2018","Currency=INR","Period=FQ","BEST_FPERIOD_OVERRIDE=FQ","FILING_STATUS=OR","EQY_CONSOLIDATED=Y","Sort=A","Dates=H","DateFormat=P","Fill=—","Direction=H","UseDPDF=Y")</f>
        <v>#NAME?</v>
      </c>
      <c r="BC627" s="2" t="e">
        <f ca="1">_xll.BDH($C$603,"TOTAL_CAPITAL_5_YEAR_GROWTH","FQ4 2018","FQ4 2018","Currency=INR","Period=FQ","BEST_FPERIOD_OVERRIDE=FQ","FILING_STATUS=OR","EQY_CONSOLIDATED=Y","Sort=A","Dates=H","DateFormat=P","Fill=—","Direction=H","UseDPDF=Y")</f>
        <v>#NAME?</v>
      </c>
      <c r="BD627" s="2" t="e">
        <f ca="1">_xll.BDH($C$603,"GEO_GROW_BOOK_VAL","FQ4 2018","FQ4 2018","Currency=INR","Period=FQ","BEST_FPERIOD_OVERRIDE=FQ","FILING_STATUS=OR","EQY_CONSOLIDATED=Y","Sort=A","Dates=H","DateFormat=P","Fill=—","Direction=H","UseDPDF=Y")</f>
        <v>#NAME?</v>
      </c>
      <c r="BE627" s="2" t="e">
        <f ca="1">_xll.BDH($C$603,"GEO_GROW_CASH_OPER_ACT","FQ4 2018","FQ4 2018","Currency=INR","Period=FQ","BEST_FPERIOD_OVERRIDE=FQ","FILING_STATUS=OR","EQY_CONSOLIDATED=Y","Sort=A","Dates=H","DateFormat=P","Fill=—","Direction=H","UseDPDF=Y")</f>
        <v>#NAME?</v>
      </c>
      <c r="BF627" s="2" t="e">
        <f ca="1">_xll.BDH($C$603,"REVENUE_SEQUENTIAL_GROWTH","FQ4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627" s="2" t="e">
        <f ca="1">_xll.BDH($C$603,"EBITDA_SEQUENTIAL_GROWTH","FQ4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627" s="2" t="e">
        <f ca="1">_xll.BDH($C$603,"OPERATING_INCOME_SEQ_GROWTH","FQ4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627" s="2" t="e">
        <f ca="1">_xll.BDH($C$603,"NET_INCOME_TO_COMMON_SEQ_GROWTH","FQ4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627" s="2" t="e">
        <f ca="1">_xll.BDH($C$603,"EPS_DILUTED_SEQUENTIAL_GROWTH","FQ4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627" s="2" t="e">
        <f ca="1">_xll.BDH($C$603,"DPS_SEQUENTIAL_GROWTH","FQ4 2018","FQ4 2018","Currency=INR","Period=FQ","BEST_FPERIOD_OVERRIDE=FQ","FILING_STATUS=OR","EQY_CONSOLIDATED=Y","Sort=A","Dates=H","DateFormat=P","Fill=—","Direction=H","UseDPDF=Y")</f>
        <v>#NAME?</v>
      </c>
      <c r="BL627" s="2" t="e">
        <f ca="1">_xll.BDH($C$603,"ACCOUNTS_RECEIVABLE_SEQ_GROWTH","FQ4 2018","FQ4 2018","Currency=INR","Period=FQ","BEST_FPERIOD_OVERRIDE=FQ","FILING_STATUS=OR","EQY_CONSOLIDATED=Y","Sort=A","Dates=H","DateFormat=P","Fill=—","Direction=H","UseDPDF=Y")</f>
        <v>#NAME?</v>
      </c>
      <c r="BM627" s="2" t="e">
        <f ca="1">_xll.BDH($C$603,"INVENTORY_SEQUENTIAL_GROWTH","FQ4 2018","FQ4 2018","Currency=INR","Period=FQ","BEST_FPERIOD_OVERRIDE=FQ","FILING_STATUS=OR","EQY_CONSOLIDATED=Y","Sort=A","Dates=H","DateFormat=P","Fill=—","Direction=H","UseDPDF=Y")</f>
        <v>#NAME?</v>
      </c>
      <c r="BN627" s="2" t="e">
        <f ca="1">_xll.BDH($C$603,"FIXED_ASSETS_SEQUENTIAL_GROWTH","FQ4 2018","FQ4 2018","Currency=INR","Period=FQ","BEST_FPERIOD_OVERRIDE=FQ","FILING_STATUS=OR","EQY_CONSOLIDATED=Y","Sort=A","Dates=H","DateFormat=P","Fill=—","Direction=H","UseDPDF=Y")</f>
        <v>#NAME?</v>
      </c>
      <c r="BO627" s="2" t="e">
        <f ca="1">_xll.BDH($C$603,"TOTAL_ASSETS_SEQUENTIAL_GROWTH","FQ4 2018","FQ4 2018","Currency=INR","Period=FQ","BEST_FPERIOD_OVERRIDE=FQ","FILING_STATUS=OR","EQY_CONSOLIDATED=Y","Sort=A","Dates=H","DateFormat=P","Fill=—","Direction=H","UseDPDF=Y")</f>
        <v>#NAME?</v>
      </c>
      <c r="BP627" s="2" t="e">
        <f ca="1">_xll.BDH($C$603,"MODIFIED_WORKING_CPTL_SEQ_GRWTH","FQ4 2018","FQ4 2018","Currency=INR","Period=FQ","BEST_FPERIOD_OVERRIDE=FQ","FILING_STATUS=OR","EQY_CONSOLIDATED=Y","Sort=A","Dates=H","DateFormat=P","Fill=—","Direction=H","UseDPDF=Y")</f>
        <v>#NAME?</v>
      </c>
      <c r="BQ627" s="2" t="e">
        <f ca="1">_xll.BDH($C$603,"WORKING_CAPITAL_SEQ_GROWTH","FQ4 2018","FQ4 2018","Currency=INR","Period=FQ","BEST_FPERIOD_OVERRIDE=FQ","FILING_STATUS=OR","EQY_CONSOLIDATED=Y","Sort=A","Dates=H","DateFormat=P","Fill=—","Direction=H","UseDPDF=Y")</f>
        <v>#NAME?</v>
      </c>
      <c r="BR627" s="2" t="e">
        <f ca="1">_xll.BDH($C$603,"ACCOUNTS_PAYABLE_SEQ_GROWTH","FQ4 2018","FQ4 2018","Currency=INR","Period=FQ","BEST_FPERIOD_OVERRIDE=FQ","FILING_STATUS=OR","EQY_CONSOLIDATED=Y","Sort=A","Dates=H","DateFormat=P","Fill=—","Direction=H","UseDPDF=Y")</f>
        <v>#NAME?</v>
      </c>
      <c r="BS627" s="2" t="e">
        <f ca="1">_xll.BDH($C$603,"ST_DEBT_SEQUENTIAL_GROWTH","FQ4 2018","FQ4 2018","Currency=INR","Period=FQ","BEST_FPERIOD_OVERRIDE=FQ","FILING_STATUS=OR","EQY_CONSOLIDATED=Y","Sort=A","Dates=H","DateFormat=P","Fill=—","Direction=H","UseDPDF=Y")</f>
        <v>#NAME?</v>
      </c>
      <c r="BT627" s="2" t="e">
        <f ca="1">_xll.BDH($C$603,"TOTAL_DEBT_SEQUENTIAL_GROWTH","FQ4 2018","FQ4 2018","Currency=INR","Period=FQ","BEST_FPERIOD_OVERRIDE=FQ","FILING_STATUS=OR","EQY_CONSOLIDATED=Y","Sort=A","Dates=H","DateFormat=P","Fill=—","Direction=H","UseDPDF=Y")</f>
        <v>#NAME?</v>
      </c>
      <c r="BU627" s="2" t="e">
        <f ca="1">_xll.BDH($C$603,"TOTAL_EQUITY_SEQUENTIAL_GROWTH","FQ4 2018","FQ4 2018","Currency=INR","Period=FQ","BEST_FPERIOD_OVERRIDE=FQ","FILING_STATUS=OR","EQY_CONSOLIDATED=Y","Sort=A","Dates=H","DateFormat=P","Fill=—","Direction=H","UseDPDF=Y")</f>
        <v>#NAME?</v>
      </c>
      <c r="BV627" s="2" t="e">
        <f ca="1">_xll.BDH($C$603,"TOTAL_CAPITAL_SEQUENTIAL_GROWTH","FQ4 2018","FQ4 2018","Currency=INR","Period=FQ","BEST_FPERIOD_OVERRIDE=FQ","FILING_STATUS=OR","EQY_CONSOLIDATED=Y","Sort=A","Dates=H","DateFormat=P","Fill=—","Direction=H","UseDPDF=Y")</f>
        <v>#NAME?</v>
      </c>
      <c r="BW627" s="2" t="e">
        <f ca="1">_xll.BDH($C$603,"BPS_SEQUENTIAL_GROWTH","FQ4 2018","FQ4 2018","Currency=INR","Period=FQ","BEST_FPERIOD_OVERRIDE=FQ","FILING_STATUS=OR","EQY_CONSOLIDATED=Y","Sort=A","Dates=H","DateFormat=P","Fill=—","Direction=H","UseDPDF=Y")</f>
        <v>#NAME?</v>
      </c>
      <c r="BX627" s="2" t="e">
        <f ca="1">_xll.BDH($C$603,"CFO_SEQUENTIAL_GROWTH","FQ4 2018","FQ4 2018","Currency=INR","Period=FQ","BEST_FPERIOD_OVERRIDE=FQ","FILING_STATUS=OR","EQY_CONSOLIDATED=Y","Sort=A","Dates=H","DateFormat=P","Fill=—","Direction=H","UseDPDF=Y")</f>
        <v>#NAME?</v>
      </c>
      <c r="BY627" s="3" t="e">
        <f ca="1">_xll.BDH($C$603,"SHORT_AND_LONG_TERM_DEBT","FQ4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627" s="3" t="e">
        <f ca="1">_xll.BDH($C$603,"BS_ST_BORROW","FQ4 2018","FQ4 2018","Currency=INR","Period=FQ","BEST_FPERIOD_OVERRIDE=FQ","FILING_STATUS=OR","EQY_CONSOLIDATED=Y","SCALING_FORMAT=MLN","Sort=A","Dates=H","DateFormat=P","Fill=—","Direction=H","UseDPDF=Y")</f>
        <v>#NAME?</v>
      </c>
      <c r="CA627" s="3" t="e">
        <f ca="1">_xll.BDH($C$603,"BS_LT_BORROW","FQ4 2018","FQ4 2018","Currency=INR","Period=FQ","BEST_FPERIOD_OVERRIDE=FQ","FILING_STATUS=OR","EQY_CONSOLIDATED=Y","SCALING_FORMAT=MLN","Sort=A","Dates=H","DateFormat=P","Fill=—","Direction=H","UseDPDF=Y")</f>
        <v>#NAME?</v>
      </c>
      <c r="CB627" s="2" t="e">
        <f ca="1">_xll.BDH($C$603,"TOT_DEBT_TO_EBITDA","FQ4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627" s="2" t="e">
        <f ca="1">_xll.BDH($C$603,"NET_DEBT_TO_EBITDA","FQ4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627" s="2" t="e">
        <f ca="1">_xll.BDH($C$603,"TOTAL_DEBT_TO_EBIT","FQ4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627" s="2" t="e">
        <f ca="1">_xll.BDH($C$603,"NET_DEBT_TO_EBIT","FQ4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627" s="2" t="e">
        <f ca="1">_xll.BDH($C$603,"EBITDA_TO_INTEREST_EXPN","FQ4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627" s="2" t="e">
        <f ca="1">_xll.BDH($C$603,"COM_EQY_TO_TOT_ASSET","FQ4 2018","FQ4 2018","Currency=INR","Period=FQ","BEST_FPERIOD_OVERRIDE=FQ","FILING_STATUS=OR","EQY_CONSOLIDATED=Y","Sort=A","Dates=H","DateFormat=P","Fill=—","Direction=H","UseDPDF=Y")</f>
        <v>#NAME?</v>
      </c>
      <c r="CH627" s="2" t="e">
        <f ca="1">_xll.BDH($C$603,"LT_DEBT_TO_TOT_EQY","FQ4 2018","FQ4 2018","Currency=INR","Period=FQ","BEST_FPERIOD_OVERRIDE=FQ","FILING_STATUS=OR","EQY_CONSOLIDATED=Y","Sort=A","Dates=H","DateFormat=P","Fill=—","Direction=H","UseDPDF=Y")</f>
        <v>#NAME?</v>
      </c>
      <c r="CI627" s="2" t="e">
        <f ca="1">_xll.BDH($C$603,"LT_DEBT_TO_TOT_CAP","FQ4 2018","FQ4 2018","Currency=INR","Period=FQ","BEST_FPERIOD_OVERRIDE=FQ","FILING_STATUS=OR","EQY_CONSOLIDATED=Y","Sort=A","Dates=H","DateFormat=P","Fill=—","Direction=H","UseDPDF=Y")</f>
        <v>#NAME?</v>
      </c>
      <c r="CJ627" s="2" t="e">
        <f ca="1">_xll.BDH($C$603,"LT_DEBT_TO_TOT_ASSET","FQ4 2018","FQ4 2018","Currency=INR","Period=FQ","BEST_FPERIOD_OVERRIDE=FQ","FILING_STATUS=OR","EQY_CONSOLIDATED=Y","Sort=A","Dates=H","DateFormat=P","Fill=—","Direction=H","UseDPDF=Y")</f>
        <v>#NAME?</v>
      </c>
      <c r="CK627" s="2" t="e">
        <f ca="1">_xll.BDH($C$603,"TOT_DEBT_TO_TOT_EQY","FQ4 2018","FQ4 2018","Currency=INR","Period=FQ","BEST_FPERIOD_OVERRIDE=FQ","FILING_STATUS=OR","EQY_CONSOLIDATED=Y","Sort=A","Dates=H","DateFormat=P","Fill=—","Direction=H","UseDPDF=Y")</f>
        <v>#NAME?</v>
      </c>
      <c r="CL627" s="2" t="e">
        <f ca="1">_xll.BDH($C$603,"TOT_DEBT_TO_TOT_CAP","FQ4 2018","FQ4 2018","Currency=INR","Period=FQ","BEST_FPERIOD_OVERRIDE=FQ","FILING_STATUS=OR","EQY_CONSOLIDATED=Y","Sort=A","Dates=H","DateFormat=P","Fill=—","Direction=H","UseDPDF=Y")</f>
        <v>#NAME?</v>
      </c>
      <c r="CM627" s="2" t="e">
        <f ca="1">_xll.BDH($C$603,"TOT_DEBT_TO_TOT_ASSET","FQ4 2018","FQ4 2018","Currency=INR","Period=FQ","BEST_FPERIOD_OVERRIDE=FQ","FILING_STATUS=OR","EQY_CONSOLIDATED=Y","Sort=A","Dates=H","DateFormat=P","Fill=—","Direction=H","UseDPDF=Y")</f>
        <v>#NAME?</v>
      </c>
      <c r="CN627" s="2" t="e">
        <f ca="1">_xll.BDH($C$603,"NET_DEBT_TO_SHRHLDR_EQTY","FQ4 2018","FQ4 2018","Currency=INR","Period=FQ","BEST_FPERIOD_OVERRIDE=FQ","FILING_STATUS=OR","EQY_CONSOLIDATED=Y","Sort=A","Dates=H","DateFormat=P","Fill=—","Direction=H","UseDPDF=Y")</f>
        <v>#NAME?</v>
      </c>
      <c r="CO627" s="2" t="e">
        <f ca="1">_xll.BDH($C$603,"NET_DEBT_%_CAPITAL","FQ4 2018","FQ4 2018","Currency=INR","Period=FQ","BEST_FPERIOD_OVERRIDE=FQ","FILING_STATUS=OR","EQY_CONSOLIDATED=Y","Sort=A","Dates=H","DateFormat=P","Fill=—","Direction=H","UseDPDF=Y")</f>
        <v>#NAME?</v>
      </c>
      <c r="CP627" s="3" t="e">
        <f ca="1">_xll.BDH($C$603,"EBITDA","FQ4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627" s="3" t="e">
        <f ca="1">_xll.BDH($C$603,"EBITDA_AFTER_CAPEX","FQ4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627" s="3" t="e">
        <f ca="1">_xll.BDH($C$603,"IS_OPER_INC","FQ4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627" s="2" t="e">
        <f ca="1">_xll.BDH($C$603,"CASH_RATIO","FQ4 2018","FQ4 2018","Currency=INR","Period=FQ","BEST_FPERIOD_OVERRIDE=FQ","FILING_STATUS=OR","EQY_CONSOLIDATED=Y","Sort=A","Dates=H","DateFormat=P","Fill=—","Direction=H","UseDPDF=Y")</f>
        <v>#NAME?</v>
      </c>
      <c r="CT627" s="2" t="e">
        <f ca="1">_xll.BDH($C$603,"CUR_RATIO","FQ4 2018","FQ4 2018","Currency=INR","Period=FQ","BEST_FPERIOD_OVERRIDE=FQ","FILING_STATUS=OR","EQY_CONSOLIDATED=Y","Sort=A","Dates=H","DateFormat=P","Fill=—","Direction=H","UseDPDF=Y")</f>
        <v>#NAME?</v>
      </c>
      <c r="CU627" s="2" t="e">
        <f ca="1">_xll.BDH($C$603,"QUICK_RATIO","FQ4 2018","FQ4 2018","Currency=INR","Period=FQ","BEST_FPERIOD_OVERRIDE=FQ","FILING_STATUS=OR","EQY_CONSOLIDATED=Y","Sort=A","Dates=H","DateFormat=P","Fill=—","Direction=H","UseDPDF=Y")</f>
        <v>#NAME?</v>
      </c>
      <c r="CV627" s="2" t="e">
        <f ca="1">_xll.BDH($C$603,"ALTMAN_Z_SCORE","FQ4 2018","FQ4 2018","Currency=INR","Period=FQ","BEST_FPERIOD_OVERRIDE=FQ","FILING_STATUS=OR","EQY_CONSOLIDATED=Y","Sort=A","Dates=H","DateFormat=P","Fill=—","Direction=H","UseDPDF=Y")</f>
        <v>#NAME?</v>
      </c>
      <c r="CW627" s="4" t="e">
        <f ca="1">_xll.BDH($C$603,"ACCT_RCV_TURN","FQ4 2018","FQ4 2018","Currency=INR","Period=FQ","BEST_FPERIOD_OVERRIDE=FQ","FILING_STATUS=OR","EQY_CONSOLIDATED=Y","FA_ADJUSTED=GAAP","Sort=A","Dates=H","DateFormat=P","Fill=—","Direction=H","UseDPDF=Y")</f>
        <v>#NAME?</v>
      </c>
      <c r="CX627" s="2" t="e">
        <f ca="1">_xll.BDH($C$603,"ACCT_RCV_DAYS","FQ4 2018","FQ4 2018","Currency=INR","Period=FQ","BEST_FPERIOD_OVERRIDE=FQ","FILING_STATUS=OR","EQY_CONSOLIDATED=Y","FA_ADJUSTED=GAAP","Sort=A","Dates=H","DateFormat=P","Fill=—","Direction=H","UseDPDF=Y")</f>
        <v>#NAME?</v>
      </c>
      <c r="CY627" s="4" t="e">
        <f ca="1">_xll.BDH($C$603,"INVENT_TURN","FQ4 2018","FQ4 2018","Currency=INR","Period=FQ","BEST_FPERIOD_OVERRIDE=FQ","FILING_STATUS=OR","EQY_CONSOLIDATED=Y","FA_ADJUSTED=GAAP","Sort=A","Dates=H","DateFormat=P","Fill=—","Direction=H","UseDPDF=Y")</f>
        <v>#NAME?</v>
      </c>
      <c r="CZ627" s="2" t="e">
        <f ca="1">_xll.BDH($C$603,"INVENT_DAYS","FQ4 2018","FQ4 2018","Currency=INR","Period=FQ","BEST_FPERIOD_OVERRIDE=FQ","FILING_STATUS=OR","EQY_CONSOLIDATED=Y","FA_ADJUSTED=GAAP","Sort=A","Dates=H","DateFormat=P","Fill=—","Direction=H","UseDPDF=Y")</f>
        <v>#NAME?</v>
      </c>
      <c r="DA627" s="4" t="e">
        <f ca="1">_xll.BDH($C$603,"ACCOUNTS_PAYABLE_TURNOVER","FQ4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627" s="2" t="e">
        <f ca="1">_xll.BDH($C$603,"ACCOUNTS_PAYABLE_TURNOVER_DAYS","FQ4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627" s="4" t="e">
        <f ca="1">_xll.BDH($C$603,"CASH_CONVERSION_CYCLE","FQ4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627" s="4" t="e">
        <f ca="1">_xll.BDH($C$603,"INV_TO_CASH_DAYS","FQ4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627" s="5" t="e">
        <f ca="1">_xll.BDH($C$603,"BS_INVENTORIES","FQ4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627" s="3" t="e">
        <f ca="1">_xll.BDH($C$603,"INVTRY_RAW_MATERIALS","FQ4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627" s="3" t="e">
        <f ca="1">_xll.BDH($C$603,"INVTRY_IN_PROGRESS","FQ4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627" s="3" t="e">
        <f ca="1">_xll.BDH($C$603,"INVTRY_FINISHED_GOODS","FQ4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627" s="3" t="e">
        <f ca="1">_xll.BDH($C$603,"BS_OTHER_INV","FQ4 2018","FQ4 2018","Currency=INR","Period=FQ","BEST_FPERIOD_OVERRIDE=FQ","FILING_STATUS=OR","EQY_CONSOLIDATED=Y","SCALING_FORMAT=MLN","Sort=A","Dates=H","DateFormat=P","Fill=—","Direction=H","UseDPDF=Y")</f>
        <v>#NAME?</v>
      </c>
    </row>
  </sheetData>
  <mergeCells count="200">
    <mergeCell ref="A603:A627"/>
    <mergeCell ref="B603:B627"/>
    <mergeCell ref="C603:C627"/>
    <mergeCell ref="D603:D607"/>
    <mergeCell ref="D608:D612"/>
    <mergeCell ref="D613:D617"/>
    <mergeCell ref="D618:D622"/>
    <mergeCell ref="D623:D627"/>
    <mergeCell ref="A578:A602"/>
    <mergeCell ref="B578:B602"/>
    <mergeCell ref="C578:C602"/>
    <mergeCell ref="D578:D582"/>
    <mergeCell ref="D583:D587"/>
    <mergeCell ref="D588:D592"/>
    <mergeCell ref="D593:D597"/>
    <mergeCell ref="D598:D602"/>
    <mergeCell ref="A553:A577"/>
    <mergeCell ref="B553:B577"/>
    <mergeCell ref="C553:C577"/>
    <mergeCell ref="D553:D557"/>
    <mergeCell ref="D558:D562"/>
    <mergeCell ref="D563:D567"/>
    <mergeCell ref="D568:D572"/>
    <mergeCell ref="D573:D577"/>
    <mergeCell ref="A528:A552"/>
    <mergeCell ref="B528:B552"/>
    <mergeCell ref="C528:C552"/>
    <mergeCell ref="D528:D532"/>
    <mergeCell ref="D533:D537"/>
    <mergeCell ref="D538:D542"/>
    <mergeCell ref="D543:D547"/>
    <mergeCell ref="D548:D552"/>
    <mergeCell ref="A503:A527"/>
    <mergeCell ref="B503:B527"/>
    <mergeCell ref="C503:C527"/>
    <mergeCell ref="D503:D507"/>
    <mergeCell ref="D508:D512"/>
    <mergeCell ref="D513:D517"/>
    <mergeCell ref="D518:D522"/>
    <mergeCell ref="D523:D527"/>
    <mergeCell ref="A478:A502"/>
    <mergeCell ref="B478:B502"/>
    <mergeCell ref="C478:C502"/>
    <mergeCell ref="D478:D482"/>
    <mergeCell ref="D483:D487"/>
    <mergeCell ref="D488:D492"/>
    <mergeCell ref="D493:D497"/>
    <mergeCell ref="D498:D502"/>
    <mergeCell ref="A453:A477"/>
    <mergeCell ref="B453:B477"/>
    <mergeCell ref="C453:C477"/>
    <mergeCell ref="D453:D457"/>
    <mergeCell ref="D458:D462"/>
    <mergeCell ref="D463:D467"/>
    <mergeCell ref="D468:D472"/>
    <mergeCell ref="D473:D477"/>
    <mergeCell ref="A428:A452"/>
    <mergeCell ref="B428:B452"/>
    <mergeCell ref="C428:C452"/>
    <mergeCell ref="D428:D432"/>
    <mergeCell ref="D433:D437"/>
    <mergeCell ref="D438:D442"/>
    <mergeCell ref="D443:D447"/>
    <mergeCell ref="D448:D452"/>
    <mergeCell ref="A403:A427"/>
    <mergeCell ref="B403:B427"/>
    <mergeCell ref="C403:C427"/>
    <mergeCell ref="D403:D407"/>
    <mergeCell ref="D408:D412"/>
    <mergeCell ref="D413:D417"/>
    <mergeCell ref="D418:D422"/>
    <mergeCell ref="D423:D427"/>
    <mergeCell ref="A378:A402"/>
    <mergeCell ref="B378:B402"/>
    <mergeCell ref="C378:C402"/>
    <mergeCell ref="D378:D382"/>
    <mergeCell ref="D383:D387"/>
    <mergeCell ref="D388:D392"/>
    <mergeCell ref="D393:D397"/>
    <mergeCell ref="D398:D402"/>
    <mergeCell ref="A353:A377"/>
    <mergeCell ref="B353:B377"/>
    <mergeCell ref="C353:C377"/>
    <mergeCell ref="D353:D357"/>
    <mergeCell ref="D358:D362"/>
    <mergeCell ref="D363:D367"/>
    <mergeCell ref="D368:D372"/>
    <mergeCell ref="D373:D377"/>
    <mergeCell ref="A328:A352"/>
    <mergeCell ref="B328:B352"/>
    <mergeCell ref="C328:C352"/>
    <mergeCell ref="D328:D332"/>
    <mergeCell ref="D333:D337"/>
    <mergeCell ref="D338:D342"/>
    <mergeCell ref="D343:D347"/>
    <mergeCell ref="D348:D352"/>
    <mergeCell ref="A303:A327"/>
    <mergeCell ref="B303:B327"/>
    <mergeCell ref="C303:C327"/>
    <mergeCell ref="D303:D307"/>
    <mergeCell ref="D308:D312"/>
    <mergeCell ref="D313:D317"/>
    <mergeCell ref="D318:D322"/>
    <mergeCell ref="D323:D327"/>
    <mergeCell ref="A278:A302"/>
    <mergeCell ref="B278:B302"/>
    <mergeCell ref="C278:C302"/>
    <mergeCell ref="D278:D282"/>
    <mergeCell ref="D283:D287"/>
    <mergeCell ref="D288:D292"/>
    <mergeCell ref="D293:D297"/>
    <mergeCell ref="D298:D302"/>
    <mergeCell ref="A253:A277"/>
    <mergeCell ref="B253:B277"/>
    <mergeCell ref="C253:C277"/>
    <mergeCell ref="D253:D257"/>
    <mergeCell ref="D258:D262"/>
    <mergeCell ref="D263:D267"/>
    <mergeCell ref="D268:D272"/>
    <mergeCell ref="D273:D277"/>
    <mergeCell ref="A228:A252"/>
    <mergeCell ref="B228:B252"/>
    <mergeCell ref="C228:C252"/>
    <mergeCell ref="D228:D232"/>
    <mergeCell ref="D233:D237"/>
    <mergeCell ref="D238:D242"/>
    <mergeCell ref="D243:D247"/>
    <mergeCell ref="D248:D252"/>
    <mergeCell ref="A203:A227"/>
    <mergeCell ref="B203:B227"/>
    <mergeCell ref="C203:C227"/>
    <mergeCell ref="D203:D207"/>
    <mergeCell ref="D208:D212"/>
    <mergeCell ref="D213:D217"/>
    <mergeCell ref="D218:D222"/>
    <mergeCell ref="D223:D227"/>
    <mergeCell ref="A178:A202"/>
    <mergeCell ref="B178:B202"/>
    <mergeCell ref="C178:C202"/>
    <mergeCell ref="D178:D182"/>
    <mergeCell ref="D183:D187"/>
    <mergeCell ref="D188:D192"/>
    <mergeCell ref="D193:D197"/>
    <mergeCell ref="D198:D202"/>
    <mergeCell ref="A153:A177"/>
    <mergeCell ref="B153:B177"/>
    <mergeCell ref="C153:C177"/>
    <mergeCell ref="D153:D157"/>
    <mergeCell ref="D158:D162"/>
    <mergeCell ref="D163:D167"/>
    <mergeCell ref="D168:D172"/>
    <mergeCell ref="D173:D177"/>
    <mergeCell ref="A128:A152"/>
    <mergeCell ref="B128:B152"/>
    <mergeCell ref="C128:C152"/>
    <mergeCell ref="D128:D132"/>
    <mergeCell ref="D133:D137"/>
    <mergeCell ref="D138:D142"/>
    <mergeCell ref="D143:D147"/>
    <mergeCell ref="D148:D152"/>
    <mergeCell ref="A103:A127"/>
    <mergeCell ref="B103:B127"/>
    <mergeCell ref="C103:C127"/>
    <mergeCell ref="D103:D107"/>
    <mergeCell ref="D108:D112"/>
    <mergeCell ref="D113:D117"/>
    <mergeCell ref="D118:D122"/>
    <mergeCell ref="D123:D127"/>
    <mergeCell ref="A78:A102"/>
    <mergeCell ref="B78:B102"/>
    <mergeCell ref="C78:C102"/>
    <mergeCell ref="D78:D82"/>
    <mergeCell ref="D83:D87"/>
    <mergeCell ref="D88:D92"/>
    <mergeCell ref="D93:D97"/>
    <mergeCell ref="D98:D102"/>
    <mergeCell ref="A3:A27"/>
    <mergeCell ref="B3:B27"/>
    <mergeCell ref="C3:C27"/>
    <mergeCell ref="D3:D7"/>
    <mergeCell ref="D8:D12"/>
    <mergeCell ref="D13:D17"/>
    <mergeCell ref="D18:D22"/>
    <mergeCell ref="D23:D27"/>
    <mergeCell ref="A53:A77"/>
    <mergeCell ref="B53:B77"/>
    <mergeCell ref="C53:C77"/>
    <mergeCell ref="D53:D57"/>
    <mergeCell ref="D58:D62"/>
    <mergeCell ref="D63:D67"/>
    <mergeCell ref="D68:D72"/>
    <mergeCell ref="D73:D77"/>
    <mergeCell ref="A28:A52"/>
    <mergeCell ref="B28:B52"/>
    <mergeCell ref="C28:C52"/>
    <mergeCell ref="D28:D32"/>
    <mergeCell ref="D33:D37"/>
    <mergeCell ref="D38:D42"/>
    <mergeCell ref="D43:D47"/>
    <mergeCell ref="D48:D5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627"/>
  <sheetViews>
    <sheetView tabSelected="1" workbookViewId="0">
      <selection activeCell="A2" sqref="A2"/>
    </sheetView>
  </sheetViews>
  <sheetFormatPr defaultRowHeight="14.4" x14ac:dyDescent="0.3"/>
  <cols>
    <col min="84" max="84" width="23.44140625" bestFit="1" customWidth="1"/>
    <col min="85" max="85" width="24.77734375" bestFit="1" customWidth="1"/>
    <col min="86" max="86" width="20.109375" bestFit="1" customWidth="1"/>
    <col min="87" max="87" width="20.77734375" bestFit="1" customWidth="1"/>
    <col min="88" max="88" width="25" bestFit="1" customWidth="1"/>
    <col min="89" max="89" width="15.44140625" bestFit="1" customWidth="1"/>
    <col min="90" max="90" width="16.109375" bestFit="1" customWidth="1"/>
    <col min="91" max="91" width="20.33203125" bestFit="1" customWidth="1"/>
    <col min="92" max="92" width="14.21875" bestFit="1" customWidth="1"/>
    <col min="93" max="93" width="14.88671875" bestFit="1" customWidth="1"/>
    <col min="94" max="94" width="10" bestFit="1" customWidth="1"/>
    <col min="95" max="95" width="12.6640625" bestFit="1" customWidth="1"/>
    <col min="96" max="96" width="11" bestFit="1" customWidth="1"/>
    <col min="97" max="97" width="9.6640625" bestFit="1" customWidth="1"/>
    <col min="98" max="98" width="11.88671875" bestFit="1" customWidth="1"/>
    <col min="99" max="99" width="10.33203125" bestFit="1" customWidth="1"/>
    <col min="100" max="100" width="14.6640625" bestFit="1" customWidth="1"/>
    <col min="101" max="101" width="25.88671875" bestFit="1" customWidth="1"/>
    <col min="102" max="102" width="20.77734375" bestFit="1" customWidth="1"/>
    <col min="103" max="103" width="16.6640625" bestFit="1" customWidth="1"/>
    <col min="104" max="104" width="24.5546875" bestFit="1" customWidth="1"/>
    <col min="105" max="105" width="23.33203125" bestFit="1" customWidth="1"/>
    <col min="106" max="106" width="28.6640625" bestFit="1" customWidth="1"/>
    <col min="107" max="107" width="19.44140625" bestFit="1" customWidth="1"/>
    <col min="108" max="108" width="19.88671875" bestFit="1" customWidth="1"/>
    <col min="109" max="109" width="13.5546875" bestFit="1" customWidth="1"/>
    <col min="110" max="110" width="22.109375" bestFit="1" customWidth="1"/>
    <col min="111" max="111" width="19.21875" bestFit="1" customWidth="1"/>
    <col min="112" max="112" width="22.6640625" bestFit="1" customWidth="1"/>
    <col min="113" max="113" width="14.88671875" bestFit="1" customWidth="1"/>
  </cols>
  <sheetData>
    <row r="1" spans="1:113" x14ac:dyDescent="0.3">
      <c r="S1" s="7" t="s">
        <v>135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 t="s">
        <v>136</v>
      </c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 t="s">
        <v>137</v>
      </c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</row>
    <row r="2" spans="1:113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19</v>
      </c>
      <c r="AN2" t="s">
        <v>20</v>
      </c>
      <c r="AO2" t="s">
        <v>21</v>
      </c>
      <c r="AP2" t="s">
        <v>22</v>
      </c>
      <c r="AQ2" t="s">
        <v>23</v>
      </c>
      <c r="AR2" t="s">
        <v>24</v>
      </c>
      <c r="AS2" t="s">
        <v>25</v>
      </c>
      <c r="AT2" t="s">
        <v>26</v>
      </c>
      <c r="AU2" t="s">
        <v>27</v>
      </c>
      <c r="AV2" t="s">
        <v>28</v>
      </c>
      <c r="AW2" t="s">
        <v>29</v>
      </c>
      <c r="AX2" t="s">
        <v>30</v>
      </c>
      <c r="AY2" t="s">
        <v>31</v>
      </c>
      <c r="AZ2" t="s">
        <v>32</v>
      </c>
      <c r="BA2" t="s">
        <v>33</v>
      </c>
      <c r="BB2" t="s">
        <v>34</v>
      </c>
      <c r="BC2" t="s">
        <v>35</v>
      </c>
      <c r="BD2" t="s">
        <v>36</v>
      </c>
      <c r="BE2" t="s">
        <v>37</v>
      </c>
      <c r="BF2" t="s">
        <v>19</v>
      </c>
      <c r="BG2" t="s">
        <v>20</v>
      </c>
      <c r="BH2" t="s">
        <v>21</v>
      </c>
      <c r="BI2" t="s">
        <v>22</v>
      </c>
      <c r="BJ2" t="s">
        <v>23</v>
      </c>
      <c r="BK2" t="s">
        <v>24</v>
      </c>
      <c r="BL2" t="s">
        <v>25</v>
      </c>
      <c r="BM2" t="s">
        <v>26</v>
      </c>
      <c r="BN2" t="s">
        <v>27</v>
      </c>
      <c r="BO2" t="s">
        <v>28</v>
      </c>
      <c r="BP2" t="s">
        <v>29</v>
      </c>
      <c r="BQ2" t="s">
        <v>30</v>
      </c>
      <c r="BR2" t="s">
        <v>31</v>
      </c>
      <c r="BS2" t="s">
        <v>32</v>
      </c>
      <c r="BT2" t="s">
        <v>33</v>
      </c>
      <c r="BU2" t="s">
        <v>34</v>
      </c>
      <c r="BV2" t="s">
        <v>35</v>
      </c>
      <c r="BW2" t="s">
        <v>36</v>
      </c>
      <c r="BX2" t="s">
        <v>37</v>
      </c>
      <c r="BY2" t="s">
        <v>38</v>
      </c>
      <c r="BZ2" t="s">
        <v>39</v>
      </c>
      <c r="CA2" t="s">
        <v>40</v>
      </c>
      <c r="CB2" t="s">
        <v>41</v>
      </c>
      <c r="CC2" t="s">
        <v>42</v>
      </c>
      <c r="CD2" t="s">
        <v>43</v>
      </c>
      <c r="CE2" t="s">
        <v>44</v>
      </c>
      <c r="CF2" t="s">
        <v>45</v>
      </c>
      <c r="CG2" t="s">
        <v>46</v>
      </c>
      <c r="CH2" t="s">
        <v>47</v>
      </c>
      <c r="CI2" t="s">
        <v>48</v>
      </c>
      <c r="CJ2" t="s">
        <v>49</v>
      </c>
      <c r="CK2" t="s">
        <v>50</v>
      </c>
      <c r="CL2" t="s">
        <v>51</v>
      </c>
      <c r="CM2" t="s">
        <v>52</v>
      </c>
      <c r="CN2" t="s">
        <v>53</v>
      </c>
      <c r="CO2" t="s">
        <v>54</v>
      </c>
      <c r="CP2" t="s">
        <v>20</v>
      </c>
      <c r="CQ2" t="s">
        <v>55</v>
      </c>
      <c r="CR2" t="s">
        <v>56</v>
      </c>
      <c r="CS2" t="s">
        <v>57</v>
      </c>
      <c r="CT2" t="s">
        <v>58</v>
      </c>
      <c r="CU2" t="s">
        <v>59</v>
      </c>
      <c r="CV2" t="s">
        <v>60</v>
      </c>
      <c r="CW2" t="s">
        <v>61</v>
      </c>
      <c r="CX2" t="s">
        <v>62</v>
      </c>
      <c r="CY2" t="s">
        <v>63</v>
      </c>
      <c r="CZ2" t="s">
        <v>64</v>
      </c>
      <c r="DA2" t="s">
        <v>65</v>
      </c>
      <c r="DB2" t="s">
        <v>66</v>
      </c>
      <c r="DC2" t="s">
        <v>67</v>
      </c>
      <c r="DD2" t="s">
        <v>68</v>
      </c>
      <c r="DE2" t="s">
        <v>69</v>
      </c>
      <c r="DF2" t="s">
        <v>70</v>
      </c>
      <c r="DG2" t="s">
        <v>71</v>
      </c>
      <c r="DH2" t="s">
        <v>72</v>
      </c>
      <c r="DI2" t="s">
        <v>73</v>
      </c>
    </row>
    <row r="3" spans="1:113" x14ac:dyDescent="0.3">
      <c r="A3">
        <v>1</v>
      </c>
      <c r="B3" t="s">
        <v>74</v>
      </c>
      <c r="C3" t="s">
        <v>75</v>
      </c>
      <c r="D3" t="s">
        <v>76</v>
      </c>
      <c r="E3" t="s">
        <v>77</v>
      </c>
      <c r="F3">
        <v>8.3253000000000004</v>
      </c>
      <c r="G3">
        <v>3.2947000000000002</v>
      </c>
      <c r="H3">
        <v>9.1356000000000002</v>
      </c>
      <c r="I3">
        <v>9.3421000000000003</v>
      </c>
      <c r="J3">
        <v>7.8518999999999997</v>
      </c>
      <c r="K3">
        <v>6.3734999999999999</v>
      </c>
      <c r="L3" t="s">
        <v>134</v>
      </c>
      <c r="M3">
        <v>4.6550000000000002</v>
      </c>
      <c r="N3">
        <v>2.9946000000000002</v>
      </c>
      <c r="O3">
        <v>2.9946000000000002</v>
      </c>
      <c r="P3">
        <v>2.9946000000000002</v>
      </c>
      <c r="Q3">
        <v>35.668999999999997</v>
      </c>
      <c r="R3">
        <v>34.313600000000001</v>
      </c>
      <c r="S3">
        <v>5.4686000000000003</v>
      </c>
      <c r="T3">
        <v>-1.2699999999999999E-2</v>
      </c>
      <c r="U3">
        <v>21.1187</v>
      </c>
      <c r="V3">
        <v>24.265999999999998</v>
      </c>
      <c r="W3">
        <v>27.438500000000001</v>
      </c>
      <c r="X3">
        <v>27.423200000000001</v>
      </c>
      <c r="Y3">
        <v>23.333300000000001</v>
      </c>
      <c r="Z3">
        <v>-2.4167999999999998</v>
      </c>
      <c r="AA3">
        <v>-9.6102000000000007</v>
      </c>
      <c r="AB3">
        <v>3.3399999999999999E-2</v>
      </c>
      <c r="AC3">
        <v>-3.2326000000000001</v>
      </c>
      <c r="AD3">
        <v>-3.4859999999999998</v>
      </c>
      <c r="AE3">
        <v>14.532500000000001</v>
      </c>
      <c r="AF3">
        <v>-4.7325999999999997</v>
      </c>
      <c r="AG3">
        <v>-40.160600000000002</v>
      </c>
      <c r="AH3">
        <v>-40.160600000000002</v>
      </c>
      <c r="AI3">
        <v>5.0202</v>
      </c>
      <c r="AJ3">
        <v>-3.4758</v>
      </c>
      <c r="AK3">
        <v>5.0202</v>
      </c>
      <c r="AL3">
        <v>65.830399999999997</v>
      </c>
      <c r="AM3" t="s">
        <v>134</v>
      </c>
      <c r="AN3" t="s">
        <v>134</v>
      </c>
      <c r="AO3" t="s">
        <v>134</v>
      </c>
      <c r="AP3" t="s">
        <v>134</v>
      </c>
      <c r="AQ3" t="s">
        <v>134</v>
      </c>
      <c r="AR3" t="s">
        <v>134</v>
      </c>
      <c r="AS3" t="s">
        <v>134</v>
      </c>
      <c r="AT3" t="s">
        <v>134</v>
      </c>
      <c r="AU3" t="s">
        <v>134</v>
      </c>
      <c r="AV3" t="s">
        <v>134</v>
      </c>
      <c r="AW3" t="s">
        <v>134</v>
      </c>
      <c r="AX3" t="s">
        <v>134</v>
      </c>
      <c r="AY3" t="s">
        <v>134</v>
      </c>
      <c r="AZ3" t="s">
        <v>134</v>
      </c>
      <c r="BA3" t="s">
        <v>134</v>
      </c>
      <c r="BB3" t="s">
        <v>134</v>
      </c>
      <c r="BC3" t="s">
        <v>134</v>
      </c>
      <c r="BD3" t="s">
        <v>134</v>
      </c>
      <c r="BE3" t="s">
        <v>134</v>
      </c>
      <c r="BF3">
        <v>-1.2699999999999999E-2</v>
      </c>
      <c r="BG3">
        <v>21.1187</v>
      </c>
      <c r="BH3">
        <v>24.265999999999998</v>
      </c>
      <c r="BI3">
        <v>27.438500000000001</v>
      </c>
      <c r="BJ3">
        <v>27.423200000000001</v>
      </c>
      <c r="BK3">
        <v>23.333300000000001</v>
      </c>
      <c r="BL3">
        <v>-2.4167999999999998</v>
      </c>
      <c r="BM3">
        <v>-9.6102000000000007</v>
      </c>
      <c r="BN3">
        <v>3.3399999999999999E-2</v>
      </c>
      <c r="BO3">
        <v>-3.2326000000000001</v>
      </c>
      <c r="BP3">
        <v>-3.4859999999999998</v>
      </c>
      <c r="BQ3">
        <v>14.532500000000001</v>
      </c>
      <c r="BR3">
        <v>-4.7325999999999997</v>
      </c>
      <c r="BS3">
        <v>-40.160600000000002</v>
      </c>
      <c r="BT3">
        <v>-40.160600000000002</v>
      </c>
      <c r="BU3">
        <v>5.0202</v>
      </c>
      <c r="BV3">
        <v>-3.4758</v>
      </c>
      <c r="BW3">
        <v>5.0202</v>
      </c>
      <c r="BX3">
        <v>65.830399999999997</v>
      </c>
      <c r="BY3">
        <v>3710.7</v>
      </c>
      <c r="BZ3">
        <v>3710.7</v>
      </c>
      <c r="CA3">
        <v>0</v>
      </c>
      <c r="CB3">
        <v>0.61929999999999996</v>
      </c>
      <c r="CC3">
        <v>0.24510000000000001</v>
      </c>
      <c r="CD3">
        <v>0.76300000000000001</v>
      </c>
      <c r="CE3">
        <v>0.30199999999999999</v>
      </c>
      <c r="CF3">
        <v>5.7088999999999999</v>
      </c>
      <c r="CG3">
        <v>41.221400000000003</v>
      </c>
      <c r="CH3">
        <v>0</v>
      </c>
      <c r="CI3">
        <v>0</v>
      </c>
      <c r="CJ3">
        <v>0</v>
      </c>
      <c r="CK3">
        <v>13.196</v>
      </c>
      <c r="CL3">
        <v>11.6577</v>
      </c>
      <c r="CM3">
        <v>5.4396000000000004</v>
      </c>
      <c r="CN3">
        <v>5.2233999999999998</v>
      </c>
      <c r="CO3">
        <v>4.9641000000000002</v>
      </c>
      <c r="CP3">
        <v>5991.5</v>
      </c>
      <c r="CQ3">
        <v>4886.5</v>
      </c>
      <c r="CR3">
        <v>4863.3999999999996</v>
      </c>
      <c r="CS3">
        <v>5.6500000000000002E-2</v>
      </c>
      <c r="CT3">
        <v>1.2475000000000001</v>
      </c>
      <c r="CU3">
        <v>0.85229999999999995</v>
      </c>
      <c r="CV3">
        <v>5.6597</v>
      </c>
      <c r="CW3">
        <v>2.3871000000000002</v>
      </c>
      <c r="CX3">
        <v>152.90520000000001</v>
      </c>
      <c r="CY3">
        <v>5.0918000000000001</v>
      </c>
      <c r="CZ3">
        <v>71.684200000000004</v>
      </c>
      <c r="DA3">
        <v>2.3105000000000002</v>
      </c>
      <c r="DB3">
        <v>157.97110000000001</v>
      </c>
      <c r="DC3">
        <v>66.618300000000005</v>
      </c>
      <c r="DD3">
        <v>224.58940000000001</v>
      </c>
      <c r="DE3">
        <v>8938.2000000000007</v>
      </c>
      <c r="DF3">
        <v>5225.6000000000004</v>
      </c>
      <c r="DG3">
        <v>2896.8</v>
      </c>
      <c r="DH3">
        <v>652.20000000000005</v>
      </c>
      <c r="DI3">
        <v>163.6</v>
      </c>
    </row>
    <row r="4" spans="1:113" x14ac:dyDescent="0.3">
      <c r="E4" t="s">
        <v>78</v>
      </c>
      <c r="F4" t="s">
        <v>134</v>
      </c>
      <c r="G4" t="s">
        <v>134</v>
      </c>
      <c r="H4" t="s">
        <v>134</v>
      </c>
      <c r="I4" t="s">
        <v>134</v>
      </c>
      <c r="J4" t="s">
        <v>134</v>
      </c>
      <c r="K4" t="s">
        <v>134</v>
      </c>
      <c r="L4" t="s">
        <v>134</v>
      </c>
      <c r="M4" t="s">
        <v>134</v>
      </c>
      <c r="N4" t="s">
        <v>134</v>
      </c>
      <c r="O4" t="s">
        <v>134</v>
      </c>
      <c r="P4" t="s">
        <v>134</v>
      </c>
      <c r="Q4" t="s">
        <v>134</v>
      </c>
      <c r="R4" t="s">
        <v>134</v>
      </c>
      <c r="S4" t="s">
        <v>134</v>
      </c>
      <c r="T4" t="s">
        <v>134</v>
      </c>
      <c r="U4" t="s">
        <v>134</v>
      </c>
      <c r="V4" t="s">
        <v>134</v>
      </c>
      <c r="W4" t="s">
        <v>134</v>
      </c>
      <c r="X4" t="s">
        <v>134</v>
      </c>
      <c r="Y4" t="s">
        <v>134</v>
      </c>
      <c r="Z4" t="s">
        <v>134</v>
      </c>
      <c r="AA4" t="s">
        <v>134</v>
      </c>
      <c r="AB4" t="s">
        <v>134</v>
      </c>
      <c r="AC4" t="s">
        <v>134</v>
      </c>
      <c r="AD4" t="s">
        <v>134</v>
      </c>
      <c r="AE4" t="s">
        <v>134</v>
      </c>
      <c r="AF4" t="s">
        <v>134</v>
      </c>
      <c r="AG4" t="s">
        <v>134</v>
      </c>
      <c r="AH4" t="s">
        <v>134</v>
      </c>
      <c r="AI4" t="s">
        <v>134</v>
      </c>
      <c r="AJ4" t="s">
        <v>134</v>
      </c>
      <c r="AK4" t="s">
        <v>134</v>
      </c>
      <c r="AL4" t="s">
        <v>134</v>
      </c>
      <c r="AM4" t="s">
        <v>134</v>
      </c>
      <c r="AN4" t="s">
        <v>134</v>
      </c>
      <c r="AO4" t="s">
        <v>134</v>
      </c>
      <c r="AP4" t="s">
        <v>134</v>
      </c>
      <c r="AQ4" t="s">
        <v>134</v>
      </c>
      <c r="AR4" t="s">
        <v>134</v>
      </c>
      <c r="AS4" t="s">
        <v>134</v>
      </c>
      <c r="AT4" t="s">
        <v>134</v>
      </c>
      <c r="AU4" t="s">
        <v>134</v>
      </c>
      <c r="AV4" t="s">
        <v>134</v>
      </c>
      <c r="AW4" t="s">
        <v>134</v>
      </c>
      <c r="AX4" t="s">
        <v>134</v>
      </c>
      <c r="AY4" t="s">
        <v>134</v>
      </c>
      <c r="AZ4" t="s">
        <v>134</v>
      </c>
      <c r="BA4" t="s">
        <v>134</v>
      </c>
      <c r="BB4" t="s">
        <v>134</v>
      </c>
      <c r="BC4" t="s">
        <v>134</v>
      </c>
      <c r="BD4" t="s">
        <v>134</v>
      </c>
      <c r="BE4" t="s">
        <v>134</v>
      </c>
      <c r="BF4" t="s">
        <v>134</v>
      </c>
      <c r="BG4" t="s">
        <v>134</v>
      </c>
      <c r="BH4" t="s">
        <v>134</v>
      </c>
      <c r="BI4" t="s">
        <v>134</v>
      </c>
      <c r="BJ4" t="s">
        <v>134</v>
      </c>
      <c r="BK4" t="s">
        <v>134</v>
      </c>
      <c r="BL4" t="s">
        <v>134</v>
      </c>
      <c r="BM4" t="s">
        <v>134</v>
      </c>
      <c r="BN4" t="s">
        <v>134</v>
      </c>
      <c r="BO4" t="s">
        <v>134</v>
      </c>
      <c r="BP4" t="s">
        <v>134</v>
      </c>
      <c r="BQ4" t="s">
        <v>134</v>
      </c>
      <c r="BR4" t="s">
        <v>134</v>
      </c>
      <c r="BS4" t="s">
        <v>134</v>
      </c>
      <c r="BT4" t="s">
        <v>134</v>
      </c>
      <c r="BU4" t="s">
        <v>134</v>
      </c>
      <c r="BV4" t="s">
        <v>134</v>
      </c>
      <c r="BW4" t="s">
        <v>134</v>
      </c>
      <c r="BX4" t="s">
        <v>134</v>
      </c>
      <c r="BY4" t="s">
        <v>134</v>
      </c>
      <c r="BZ4" t="s">
        <v>134</v>
      </c>
      <c r="CA4" t="s">
        <v>134</v>
      </c>
      <c r="CB4" t="s">
        <v>134</v>
      </c>
      <c r="CC4" t="s">
        <v>134</v>
      </c>
      <c r="CD4" t="s">
        <v>134</v>
      </c>
      <c r="CE4" t="s">
        <v>134</v>
      </c>
      <c r="CF4" t="s">
        <v>134</v>
      </c>
      <c r="CG4" t="s">
        <v>134</v>
      </c>
      <c r="CH4" t="s">
        <v>134</v>
      </c>
      <c r="CI4" t="s">
        <v>134</v>
      </c>
      <c r="CJ4" t="s">
        <v>134</v>
      </c>
      <c r="CK4" t="s">
        <v>134</v>
      </c>
      <c r="CL4" t="s">
        <v>134</v>
      </c>
      <c r="CM4" t="s">
        <v>134</v>
      </c>
      <c r="CN4" t="s">
        <v>134</v>
      </c>
      <c r="CO4" t="s">
        <v>134</v>
      </c>
      <c r="CP4" t="s">
        <v>134</v>
      </c>
      <c r="CQ4" t="s">
        <v>134</v>
      </c>
      <c r="CR4" t="s">
        <v>134</v>
      </c>
      <c r="CS4" t="s">
        <v>134</v>
      </c>
      <c r="CT4" t="s">
        <v>134</v>
      </c>
      <c r="CU4" t="s">
        <v>134</v>
      </c>
      <c r="CV4" t="s">
        <v>134</v>
      </c>
      <c r="CW4" t="s">
        <v>134</v>
      </c>
      <c r="CX4" t="s">
        <v>134</v>
      </c>
      <c r="CY4" t="s">
        <v>134</v>
      </c>
      <c r="CZ4" t="s">
        <v>134</v>
      </c>
      <c r="DA4" t="s">
        <v>134</v>
      </c>
      <c r="DB4" t="s">
        <v>134</v>
      </c>
      <c r="DC4" t="s">
        <v>134</v>
      </c>
      <c r="DD4" t="s">
        <v>134</v>
      </c>
      <c r="DE4" t="s">
        <v>134</v>
      </c>
      <c r="DF4" t="s">
        <v>134</v>
      </c>
      <c r="DG4" t="s">
        <v>134</v>
      </c>
      <c r="DH4" t="s">
        <v>134</v>
      </c>
      <c r="DI4" t="s">
        <v>134</v>
      </c>
    </row>
    <row r="5" spans="1:113" x14ac:dyDescent="0.3">
      <c r="E5" t="s">
        <v>79</v>
      </c>
      <c r="F5" t="s">
        <v>134</v>
      </c>
      <c r="G5" t="s">
        <v>134</v>
      </c>
      <c r="H5" t="s">
        <v>134</v>
      </c>
      <c r="I5" t="s">
        <v>134</v>
      </c>
      <c r="J5">
        <v>7.0113000000000003</v>
      </c>
      <c r="K5">
        <v>5.4585999999999997</v>
      </c>
      <c r="L5">
        <v>20.159800000000001</v>
      </c>
      <c r="M5">
        <v>4.0682</v>
      </c>
      <c r="N5">
        <v>2.6577000000000002</v>
      </c>
      <c r="O5">
        <v>2.6577000000000002</v>
      </c>
      <c r="P5">
        <v>2.6577000000000002</v>
      </c>
      <c r="Q5">
        <v>34.671199999999999</v>
      </c>
      <c r="R5" t="s">
        <v>134</v>
      </c>
      <c r="S5" t="s">
        <v>134</v>
      </c>
      <c r="T5">
        <v>4.2927999999999997</v>
      </c>
      <c r="U5">
        <v>15.432600000000001</v>
      </c>
      <c r="V5">
        <v>17.9268</v>
      </c>
      <c r="W5">
        <v>18.220099999999999</v>
      </c>
      <c r="X5">
        <v>18.421099999999999</v>
      </c>
      <c r="Y5" t="s">
        <v>134</v>
      </c>
      <c r="Z5">
        <v>1.0785</v>
      </c>
      <c r="AA5">
        <v>1.8429</v>
      </c>
      <c r="AB5" t="s">
        <v>134</v>
      </c>
      <c r="AC5">
        <v>3.3971</v>
      </c>
      <c r="AD5">
        <v>-7.2499999999999995E-2</v>
      </c>
      <c r="AE5">
        <v>4.0929000000000002</v>
      </c>
      <c r="AF5">
        <v>2.9834000000000001</v>
      </c>
      <c r="AG5">
        <v>2.5173000000000001</v>
      </c>
      <c r="AH5">
        <v>2.5173000000000001</v>
      </c>
      <c r="AI5">
        <v>3.5990000000000002</v>
      </c>
      <c r="AJ5">
        <v>3.3532000000000002</v>
      </c>
      <c r="AK5">
        <v>3.6032000000000002</v>
      </c>
      <c r="AL5" t="s">
        <v>134</v>
      </c>
      <c r="AM5" t="s">
        <v>134</v>
      </c>
      <c r="AN5" t="s">
        <v>134</v>
      </c>
      <c r="AO5" t="s">
        <v>134</v>
      </c>
      <c r="AP5" t="s">
        <v>134</v>
      </c>
      <c r="AQ5" t="s">
        <v>134</v>
      </c>
      <c r="AR5" t="s">
        <v>134</v>
      </c>
      <c r="AS5" t="s">
        <v>134</v>
      </c>
      <c r="AT5" t="s">
        <v>134</v>
      </c>
      <c r="AU5" t="s">
        <v>134</v>
      </c>
      <c r="AV5" t="s">
        <v>134</v>
      </c>
      <c r="AW5" t="s">
        <v>134</v>
      </c>
      <c r="AX5" t="s">
        <v>134</v>
      </c>
      <c r="AY5" t="s">
        <v>134</v>
      </c>
      <c r="AZ5" t="s">
        <v>134</v>
      </c>
      <c r="BA5" t="s">
        <v>134</v>
      </c>
      <c r="BB5" t="s">
        <v>134</v>
      </c>
      <c r="BC5" t="s">
        <v>134</v>
      </c>
      <c r="BD5" t="s">
        <v>134</v>
      </c>
      <c r="BE5" t="s">
        <v>134</v>
      </c>
      <c r="BF5" t="s">
        <v>134</v>
      </c>
      <c r="BG5" t="s">
        <v>134</v>
      </c>
      <c r="BH5" t="s">
        <v>134</v>
      </c>
      <c r="BI5" t="s">
        <v>134</v>
      </c>
      <c r="BJ5" t="s">
        <v>134</v>
      </c>
      <c r="BK5" t="s">
        <v>134</v>
      </c>
      <c r="BL5" t="s">
        <v>134</v>
      </c>
      <c r="BM5" t="s">
        <v>134</v>
      </c>
      <c r="BN5" t="s">
        <v>134</v>
      </c>
      <c r="BO5" t="s">
        <v>134</v>
      </c>
      <c r="BP5" t="s">
        <v>134</v>
      </c>
      <c r="BQ5" t="s">
        <v>134</v>
      </c>
      <c r="BR5" t="s">
        <v>134</v>
      </c>
      <c r="BS5" t="s">
        <v>134</v>
      </c>
      <c r="BT5" t="s">
        <v>134</v>
      </c>
      <c r="BU5" t="s">
        <v>134</v>
      </c>
      <c r="BV5" t="s">
        <v>134</v>
      </c>
      <c r="BW5" t="s">
        <v>134</v>
      </c>
      <c r="BX5" t="s">
        <v>134</v>
      </c>
      <c r="BY5">
        <v>8080</v>
      </c>
      <c r="BZ5">
        <v>8080</v>
      </c>
      <c r="CA5">
        <v>0</v>
      </c>
      <c r="CB5" t="s">
        <v>134</v>
      </c>
      <c r="CC5" t="s">
        <v>134</v>
      </c>
      <c r="CD5" t="s">
        <v>134</v>
      </c>
      <c r="CE5" t="s">
        <v>134</v>
      </c>
      <c r="CF5">
        <v>4.9610000000000003</v>
      </c>
      <c r="CG5">
        <v>39.566400000000002</v>
      </c>
      <c r="CH5">
        <v>0</v>
      </c>
      <c r="CI5">
        <v>0</v>
      </c>
      <c r="CJ5">
        <v>0</v>
      </c>
      <c r="CK5">
        <v>29.096900000000002</v>
      </c>
      <c r="CL5">
        <v>22.538799999999998</v>
      </c>
      <c r="CM5">
        <v>11.512599999999999</v>
      </c>
      <c r="CN5">
        <v>20.515499999999999</v>
      </c>
      <c r="CO5">
        <v>17.023099999999999</v>
      </c>
      <c r="CP5">
        <v>1258.0999999999999</v>
      </c>
      <c r="CQ5" t="s">
        <v>134</v>
      </c>
      <c r="CR5">
        <v>979.5</v>
      </c>
      <c r="CS5">
        <v>5.6300000000000003E-2</v>
      </c>
      <c r="CT5">
        <v>1.2151000000000001</v>
      </c>
      <c r="CU5">
        <v>0.80930000000000002</v>
      </c>
      <c r="CV5">
        <v>4.0829000000000004</v>
      </c>
      <c r="CW5" t="s">
        <v>134</v>
      </c>
      <c r="CX5" t="s">
        <v>134</v>
      </c>
      <c r="CY5" t="s">
        <v>134</v>
      </c>
      <c r="CZ5" t="s">
        <v>134</v>
      </c>
      <c r="DA5" t="s">
        <v>134</v>
      </c>
      <c r="DB5" t="s">
        <v>134</v>
      </c>
      <c r="DC5" t="s">
        <v>134</v>
      </c>
      <c r="DD5" t="s">
        <v>134</v>
      </c>
      <c r="DE5">
        <v>9980.6</v>
      </c>
      <c r="DF5" t="s">
        <v>134</v>
      </c>
      <c r="DG5" t="s">
        <v>134</v>
      </c>
      <c r="DH5" t="s">
        <v>134</v>
      </c>
      <c r="DI5" t="s">
        <v>134</v>
      </c>
    </row>
    <row r="6" spans="1:113" x14ac:dyDescent="0.3">
      <c r="E6" t="s">
        <v>80</v>
      </c>
      <c r="F6" t="s">
        <v>134</v>
      </c>
      <c r="G6" t="s">
        <v>134</v>
      </c>
      <c r="H6" t="s">
        <v>134</v>
      </c>
      <c r="I6" t="s">
        <v>134</v>
      </c>
      <c r="J6">
        <v>6.8151999999999999</v>
      </c>
      <c r="K6">
        <v>5.2591999999999999</v>
      </c>
      <c r="L6">
        <v>27.2974</v>
      </c>
      <c r="M6">
        <v>3.8048000000000002</v>
      </c>
      <c r="N6">
        <v>2.4695999999999998</v>
      </c>
      <c r="O6">
        <v>2.4695999999999998</v>
      </c>
      <c r="P6">
        <v>2.4695999999999998</v>
      </c>
      <c r="Q6">
        <v>35.093800000000002</v>
      </c>
      <c r="R6" t="s">
        <v>134</v>
      </c>
      <c r="S6" t="s">
        <v>134</v>
      </c>
      <c r="T6">
        <v>3.3466</v>
      </c>
      <c r="U6">
        <v>17.748100000000001</v>
      </c>
      <c r="V6">
        <v>20.203299999999999</v>
      </c>
      <c r="W6">
        <v>18.1508</v>
      </c>
      <c r="X6">
        <v>18.005299999999998</v>
      </c>
      <c r="Y6" t="s">
        <v>134</v>
      </c>
      <c r="Z6" t="s">
        <v>134</v>
      </c>
      <c r="AA6" t="s">
        <v>134</v>
      </c>
      <c r="AB6" t="s">
        <v>134</v>
      </c>
      <c r="AC6" t="s">
        <v>134</v>
      </c>
      <c r="AD6" t="s">
        <v>134</v>
      </c>
      <c r="AE6" t="s">
        <v>134</v>
      </c>
      <c r="AF6" t="s">
        <v>134</v>
      </c>
      <c r="AG6" t="s">
        <v>134</v>
      </c>
      <c r="AH6" t="s">
        <v>134</v>
      </c>
      <c r="AI6" t="s">
        <v>134</v>
      </c>
      <c r="AJ6" t="s">
        <v>134</v>
      </c>
      <c r="AK6" t="s">
        <v>134</v>
      </c>
      <c r="AL6" t="s">
        <v>134</v>
      </c>
      <c r="AM6" t="s">
        <v>134</v>
      </c>
      <c r="AN6" t="s">
        <v>134</v>
      </c>
      <c r="AO6" t="s">
        <v>134</v>
      </c>
      <c r="AP6" t="s">
        <v>134</v>
      </c>
      <c r="AQ6" t="s">
        <v>134</v>
      </c>
      <c r="AR6" t="s">
        <v>134</v>
      </c>
      <c r="AS6" t="s">
        <v>134</v>
      </c>
      <c r="AT6" t="s">
        <v>134</v>
      </c>
      <c r="AU6" t="s">
        <v>134</v>
      </c>
      <c r="AV6" t="s">
        <v>134</v>
      </c>
      <c r="AW6" t="s">
        <v>134</v>
      </c>
      <c r="AX6" t="s">
        <v>134</v>
      </c>
      <c r="AY6" t="s">
        <v>134</v>
      </c>
      <c r="AZ6" t="s">
        <v>134</v>
      </c>
      <c r="BA6" t="s">
        <v>134</v>
      </c>
      <c r="BB6" t="s">
        <v>134</v>
      </c>
      <c r="BC6" t="s">
        <v>134</v>
      </c>
      <c r="BD6" t="s">
        <v>134</v>
      </c>
      <c r="BE6" t="s">
        <v>134</v>
      </c>
      <c r="BF6">
        <v>1.5036</v>
      </c>
      <c r="BG6">
        <v>-1.3352999999999999</v>
      </c>
      <c r="BH6">
        <v>-2.2052</v>
      </c>
      <c r="BI6">
        <v>-5.6825000000000001</v>
      </c>
      <c r="BJ6">
        <v>-5.7778</v>
      </c>
      <c r="BK6" t="s">
        <v>134</v>
      </c>
      <c r="BL6" t="s">
        <v>134</v>
      </c>
      <c r="BM6" t="s">
        <v>134</v>
      </c>
      <c r="BN6" t="s">
        <v>134</v>
      </c>
      <c r="BO6" t="s">
        <v>134</v>
      </c>
      <c r="BP6" t="s">
        <v>134</v>
      </c>
      <c r="BQ6" t="s">
        <v>134</v>
      </c>
      <c r="BR6" t="s">
        <v>134</v>
      </c>
      <c r="BS6" t="s">
        <v>134</v>
      </c>
      <c r="BT6" t="s">
        <v>134</v>
      </c>
      <c r="BU6" t="s">
        <v>134</v>
      </c>
      <c r="BV6" t="s">
        <v>134</v>
      </c>
      <c r="BW6" t="s">
        <v>134</v>
      </c>
      <c r="BX6" t="s">
        <v>134</v>
      </c>
      <c r="BY6" t="s">
        <v>134</v>
      </c>
      <c r="BZ6" t="s">
        <v>134</v>
      </c>
      <c r="CA6" t="s">
        <v>134</v>
      </c>
      <c r="CB6" t="s">
        <v>134</v>
      </c>
      <c r="CC6" t="s">
        <v>134</v>
      </c>
      <c r="CD6" t="s">
        <v>134</v>
      </c>
      <c r="CE6" t="s">
        <v>134</v>
      </c>
      <c r="CF6">
        <v>4.5072999999999999</v>
      </c>
      <c r="CG6" t="s">
        <v>134</v>
      </c>
      <c r="CH6" t="s">
        <v>134</v>
      </c>
      <c r="CI6" t="s">
        <v>134</v>
      </c>
      <c r="CJ6" t="s">
        <v>134</v>
      </c>
      <c r="CK6" t="s">
        <v>134</v>
      </c>
      <c r="CL6" t="s">
        <v>134</v>
      </c>
      <c r="CM6" t="s">
        <v>134</v>
      </c>
      <c r="CN6" t="s">
        <v>134</v>
      </c>
      <c r="CO6" t="s">
        <v>134</v>
      </c>
      <c r="CP6">
        <v>1241.3</v>
      </c>
      <c r="CQ6" t="s">
        <v>134</v>
      </c>
      <c r="CR6">
        <v>957.9</v>
      </c>
      <c r="CS6" t="s">
        <v>134</v>
      </c>
      <c r="CT6" t="s">
        <v>134</v>
      </c>
      <c r="CU6" t="s">
        <v>134</v>
      </c>
      <c r="CV6" t="s">
        <v>134</v>
      </c>
      <c r="CW6" t="s">
        <v>134</v>
      </c>
      <c r="CX6" t="s">
        <v>134</v>
      </c>
      <c r="CY6" t="s">
        <v>134</v>
      </c>
      <c r="CZ6" t="s">
        <v>134</v>
      </c>
      <c r="DA6" t="s">
        <v>134</v>
      </c>
      <c r="DB6" t="s">
        <v>134</v>
      </c>
      <c r="DC6" t="s">
        <v>134</v>
      </c>
      <c r="DD6" t="s">
        <v>134</v>
      </c>
      <c r="DE6" t="s">
        <v>134</v>
      </c>
      <c r="DF6" t="s">
        <v>134</v>
      </c>
      <c r="DG6" t="s">
        <v>134</v>
      </c>
      <c r="DH6" t="s">
        <v>134</v>
      </c>
      <c r="DI6" t="s">
        <v>134</v>
      </c>
    </row>
    <row r="7" spans="1:113" x14ac:dyDescent="0.3">
      <c r="E7" t="s">
        <v>81</v>
      </c>
      <c r="F7" t="s">
        <v>134</v>
      </c>
      <c r="G7" t="s">
        <v>134</v>
      </c>
      <c r="H7" t="s">
        <v>134</v>
      </c>
      <c r="I7" t="s">
        <v>134</v>
      </c>
      <c r="J7">
        <v>8.1649999999999991</v>
      </c>
      <c r="K7">
        <v>6.8407</v>
      </c>
      <c r="L7">
        <v>94.629800000000003</v>
      </c>
      <c r="M7">
        <v>6.1471999999999998</v>
      </c>
      <c r="N7">
        <v>3.8170000000000002</v>
      </c>
      <c r="O7">
        <v>3.8170000000000002</v>
      </c>
      <c r="P7">
        <v>3.8170000000000002</v>
      </c>
      <c r="Q7">
        <v>37.907600000000002</v>
      </c>
      <c r="R7" t="s">
        <v>134</v>
      </c>
      <c r="S7" t="s">
        <v>134</v>
      </c>
      <c r="T7">
        <v>1.3784000000000001</v>
      </c>
      <c r="U7">
        <v>20.453600000000002</v>
      </c>
      <c r="V7">
        <v>23.166699999999999</v>
      </c>
      <c r="W7">
        <v>43.642299999999999</v>
      </c>
      <c r="X7">
        <v>43.840600000000002</v>
      </c>
      <c r="Y7" t="s">
        <v>134</v>
      </c>
      <c r="Z7">
        <v>-2.4167999999999998</v>
      </c>
      <c r="AA7">
        <v>-9.6102000000000007</v>
      </c>
      <c r="AB7">
        <v>3.3399999999999999E-2</v>
      </c>
      <c r="AC7">
        <v>-3.2326000000000001</v>
      </c>
      <c r="AD7">
        <v>-3.4859999999999998</v>
      </c>
      <c r="AE7">
        <v>14.532500000000001</v>
      </c>
      <c r="AF7">
        <v>-4.7325999999999997</v>
      </c>
      <c r="AG7">
        <v>-40.160600000000002</v>
      </c>
      <c r="AH7">
        <v>-40.160600000000002</v>
      </c>
      <c r="AI7">
        <v>5.0202</v>
      </c>
      <c r="AJ7">
        <v>-3.4758</v>
      </c>
      <c r="AK7">
        <v>5.0202</v>
      </c>
      <c r="AL7" t="s">
        <v>134</v>
      </c>
      <c r="AM7" t="s">
        <v>134</v>
      </c>
      <c r="AN7" t="s">
        <v>134</v>
      </c>
      <c r="AO7" t="s">
        <v>134</v>
      </c>
      <c r="AP7" t="s">
        <v>134</v>
      </c>
      <c r="AQ7" t="s">
        <v>134</v>
      </c>
      <c r="AR7" t="s">
        <v>134</v>
      </c>
      <c r="AS7" t="s">
        <v>134</v>
      </c>
      <c r="AT7" t="s">
        <v>134</v>
      </c>
      <c r="AU7" t="s">
        <v>134</v>
      </c>
      <c r="AV7" t="s">
        <v>134</v>
      </c>
      <c r="AW7" t="s">
        <v>134</v>
      </c>
      <c r="AX7" t="s">
        <v>134</v>
      </c>
      <c r="AY7" t="s">
        <v>134</v>
      </c>
      <c r="AZ7" t="s">
        <v>134</v>
      </c>
      <c r="BA7" t="s">
        <v>134</v>
      </c>
      <c r="BB7" t="s">
        <v>134</v>
      </c>
      <c r="BC7" t="s">
        <v>134</v>
      </c>
      <c r="BD7" t="s">
        <v>134</v>
      </c>
      <c r="BE7" t="s">
        <v>134</v>
      </c>
      <c r="BF7">
        <v>21.056000000000001</v>
      </c>
      <c r="BG7">
        <v>45.0334</v>
      </c>
      <c r="BH7">
        <v>57.459000000000003</v>
      </c>
      <c r="BI7">
        <v>87.105400000000003</v>
      </c>
      <c r="BJ7">
        <v>87.264200000000002</v>
      </c>
      <c r="BK7" t="s">
        <v>134</v>
      </c>
      <c r="BL7" t="s">
        <v>134</v>
      </c>
      <c r="BM7" t="s">
        <v>134</v>
      </c>
      <c r="BN7" t="s">
        <v>134</v>
      </c>
      <c r="BO7" t="s">
        <v>134</v>
      </c>
      <c r="BP7" t="s">
        <v>134</v>
      </c>
      <c r="BQ7" t="s">
        <v>134</v>
      </c>
      <c r="BR7" t="s">
        <v>134</v>
      </c>
      <c r="BS7" t="s">
        <v>134</v>
      </c>
      <c r="BT7" t="s">
        <v>134</v>
      </c>
      <c r="BU7" t="s">
        <v>134</v>
      </c>
      <c r="BV7" t="s">
        <v>134</v>
      </c>
      <c r="BW7" t="s">
        <v>134</v>
      </c>
      <c r="BX7" t="s">
        <v>134</v>
      </c>
      <c r="BY7">
        <v>3710.7</v>
      </c>
      <c r="BZ7">
        <v>3710.7</v>
      </c>
      <c r="CA7">
        <v>0</v>
      </c>
      <c r="CB7" t="s">
        <v>134</v>
      </c>
      <c r="CC7" t="s">
        <v>134</v>
      </c>
      <c r="CD7" t="s">
        <v>134</v>
      </c>
      <c r="CE7" t="s">
        <v>134</v>
      </c>
      <c r="CF7">
        <v>6.0049999999999999</v>
      </c>
      <c r="CG7">
        <v>41.221400000000003</v>
      </c>
      <c r="CH7">
        <v>0</v>
      </c>
      <c r="CI7">
        <v>0</v>
      </c>
      <c r="CJ7">
        <v>0</v>
      </c>
      <c r="CK7">
        <v>13.196</v>
      </c>
      <c r="CL7">
        <v>11.6577</v>
      </c>
      <c r="CM7">
        <v>5.4396000000000004</v>
      </c>
      <c r="CN7">
        <v>5.2233999999999998</v>
      </c>
      <c r="CO7">
        <v>4.9641000000000002</v>
      </c>
      <c r="CP7">
        <v>1800.3</v>
      </c>
      <c r="CQ7" t="s">
        <v>134</v>
      </c>
      <c r="CR7">
        <v>1508.3</v>
      </c>
      <c r="CS7">
        <v>5.6500000000000002E-2</v>
      </c>
      <c r="CT7">
        <v>1.2475000000000001</v>
      </c>
      <c r="CU7">
        <v>0.85229999999999995</v>
      </c>
      <c r="CV7">
        <v>5.6597</v>
      </c>
      <c r="CW7" t="s">
        <v>134</v>
      </c>
      <c r="CX7" t="s">
        <v>134</v>
      </c>
      <c r="CY7" t="s">
        <v>134</v>
      </c>
      <c r="CZ7" t="s">
        <v>134</v>
      </c>
      <c r="DA7" t="s">
        <v>134</v>
      </c>
      <c r="DB7" t="s">
        <v>134</v>
      </c>
      <c r="DC7" t="s">
        <v>134</v>
      </c>
      <c r="DD7" t="s">
        <v>134</v>
      </c>
      <c r="DE7">
        <v>8938.2000000000007</v>
      </c>
      <c r="DF7">
        <v>5225.6000000000004</v>
      </c>
      <c r="DG7">
        <v>2896.8</v>
      </c>
      <c r="DH7">
        <v>652.20000000000005</v>
      </c>
      <c r="DI7">
        <v>163.6</v>
      </c>
    </row>
    <row r="8" spans="1:113" x14ac:dyDescent="0.3">
      <c r="D8" t="s">
        <v>82</v>
      </c>
      <c r="E8" t="s">
        <v>77</v>
      </c>
      <c r="F8">
        <v>10.3042</v>
      </c>
      <c r="G8">
        <v>4.2145999999999999</v>
      </c>
      <c r="H8">
        <v>10.527200000000001</v>
      </c>
      <c r="I8">
        <v>10.529400000000001</v>
      </c>
      <c r="J8">
        <v>9.3152000000000008</v>
      </c>
      <c r="K8">
        <v>7.3216000000000001</v>
      </c>
      <c r="L8">
        <v>26.137799999999999</v>
      </c>
      <c r="M8">
        <v>5.9211999999999998</v>
      </c>
      <c r="N8">
        <v>3.7414000000000001</v>
      </c>
      <c r="O8">
        <v>3.7414000000000001</v>
      </c>
      <c r="P8">
        <v>3.7414000000000001</v>
      </c>
      <c r="Q8">
        <v>36.812800000000003</v>
      </c>
      <c r="R8">
        <v>26.147100000000002</v>
      </c>
      <c r="S8">
        <v>7.61</v>
      </c>
      <c r="T8">
        <v>5.0388999999999999</v>
      </c>
      <c r="U8">
        <v>24.614899999999999</v>
      </c>
      <c r="V8">
        <v>20.6646</v>
      </c>
      <c r="W8">
        <v>31.232800000000001</v>
      </c>
      <c r="X8">
        <v>31.261600000000001</v>
      </c>
      <c r="Y8">
        <v>0</v>
      </c>
      <c r="Z8">
        <v>7.3921999999999999</v>
      </c>
      <c r="AA8">
        <v>5.1185</v>
      </c>
      <c r="AB8">
        <v>-5.4949000000000003</v>
      </c>
      <c r="AC8">
        <v>8.6075999999999997</v>
      </c>
      <c r="AD8">
        <v>78.380700000000004</v>
      </c>
      <c r="AE8">
        <v>85.766400000000004</v>
      </c>
      <c r="AF8">
        <v>-67.601100000000002</v>
      </c>
      <c r="AG8" t="s">
        <v>134</v>
      </c>
      <c r="AH8">
        <v>61.694600000000001</v>
      </c>
      <c r="AI8">
        <v>6.9904000000000002</v>
      </c>
      <c r="AJ8">
        <v>13.367699999999999</v>
      </c>
      <c r="AK8">
        <v>6.9904000000000002</v>
      </c>
      <c r="AL8">
        <v>-23.504200000000001</v>
      </c>
      <c r="AM8" t="s">
        <v>134</v>
      </c>
      <c r="AN8" t="s">
        <v>134</v>
      </c>
      <c r="AO8" t="s">
        <v>134</v>
      </c>
      <c r="AP8" t="s">
        <v>134</v>
      </c>
      <c r="AQ8" t="s">
        <v>134</v>
      </c>
      <c r="AR8" t="s">
        <v>134</v>
      </c>
      <c r="AS8" t="s">
        <v>134</v>
      </c>
      <c r="AT8" t="s">
        <v>134</v>
      </c>
      <c r="AU8" t="s">
        <v>134</v>
      </c>
      <c r="AV8" t="s">
        <v>134</v>
      </c>
      <c r="AW8" t="s">
        <v>134</v>
      </c>
      <c r="AX8" t="s">
        <v>134</v>
      </c>
      <c r="AY8" t="s">
        <v>134</v>
      </c>
      <c r="AZ8" t="s">
        <v>134</v>
      </c>
      <c r="BA8" t="s">
        <v>134</v>
      </c>
      <c r="BB8" t="s">
        <v>134</v>
      </c>
      <c r="BC8" t="s">
        <v>134</v>
      </c>
      <c r="BD8" t="s">
        <v>134</v>
      </c>
      <c r="BE8" t="s">
        <v>134</v>
      </c>
      <c r="BF8">
        <v>5.0388999999999999</v>
      </c>
      <c r="BG8">
        <v>24.614899999999999</v>
      </c>
      <c r="BH8">
        <v>20.6646</v>
      </c>
      <c r="BI8">
        <v>31.232800000000001</v>
      </c>
      <c r="BJ8">
        <v>31.261600000000001</v>
      </c>
      <c r="BK8">
        <v>0</v>
      </c>
      <c r="BL8">
        <v>7.3921999999999999</v>
      </c>
      <c r="BM8">
        <v>5.1185</v>
      </c>
      <c r="BN8">
        <v>-5.4949000000000003</v>
      </c>
      <c r="BO8">
        <v>8.6075999999999997</v>
      </c>
      <c r="BP8">
        <v>78.380700000000004</v>
      </c>
      <c r="BQ8">
        <v>85.766400000000004</v>
      </c>
      <c r="BR8">
        <v>-67.601100000000002</v>
      </c>
      <c r="BS8">
        <v>-100</v>
      </c>
      <c r="BT8">
        <v>61.694600000000001</v>
      </c>
      <c r="BU8">
        <v>6.9904000000000002</v>
      </c>
      <c r="BV8">
        <v>13.367699999999999</v>
      </c>
      <c r="BW8">
        <v>6.9904000000000002</v>
      </c>
      <c r="BX8">
        <v>-23.504200000000001</v>
      </c>
      <c r="BY8">
        <v>6000</v>
      </c>
      <c r="BZ8">
        <v>0</v>
      </c>
      <c r="CA8">
        <v>6000</v>
      </c>
      <c r="CB8">
        <v>0.80359999999999998</v>
      </c>
      <c r="CC8">
        <v>3.7999999999999999E-2</v>
      </c>
      <c r="CD8">
        <v>1.0224</v>
      </c>
      <c r="CE8">
        <v>4.8300000000000003E-2</v>
      </c>
      <c r="CF8">
        <v>8.1903000000000006</v>
      </c>
      <c r="CG8">
        <v>40.607599999999998</v>
      </c>
      <c r="CH8">
        <v>19.943200000000001</v>
      </c>
      <c r="CI8">
        <v>16.627199999999998</v>
      </c>
      <c r="CJ8">
        <v>8.0983999999999998</v>
      </c>
      <c r="CK8">
        <v>19.943200000000001</v>
      </c>
      <c r="CL8">
        <v>16.627199999999998</v>
      </c>
      <c r="CM8">
        <v>8.0983999999999998</v>
      </c>
      <c r="CN8">
        <v>0.94299999999999995</v>
      </c>
      <c r="CO8">
        <v>0.93420000000000003</v>
      </c>
      <c r="CP8">
        <v>7466.3</v>
      </c>
      <c r="CQ8">
        <v>6370.2</v>
      </c>
      <c r="CR8">
        <v>5868.4</v>
      </c>
      <c r="CS8">
        <v>0.1525</v>
      </c>
      <c r="CT8">
        <v>1.4865999999999999</v>
      </c>
      <c r="CU8">
        <v>1.0571999999999999</v>
      </c>
      <c r="CV8">
        <v>4.9020999999999999</v>
      </c>
      <c r="CW8">
        <v>2.448</v>
      </c>
      <c r="CX8">
        <v>149.10409999999999</v>
      </c>
      <c r="CY8">
        <v>5.3258000000000001</v>
      </c>
      <c r="CZ8">
        <v>68.534099999999995</v>
      </c>
      <c r="DA8">
        <v>3.7519999999999998</v>
      </c>
      <c r="DB8">
        <v>97.281700000000001</v>
      </c>
      <c r="DC8">
        <v>120.3565</v>
      </c>
      <c r="DD8">
        <v>217.63820000000001</v>
      </c>
      <c r="DE8">
        <v>9395.7000000000007</v>
      </c>
      <c r="DF8">
        <v>5195.7</v>
      </c>
      <c r="DG8">
        <v>3486.1</v>
      </c>
      <c r="DH8">
        <v>570.29999999999995</v>
      </c>
      <c r="DI8">
        <v>143.6</v>
      </c>
    </row>
    <row r="9" spans="1:113" x14ac:dyDescent="0.3">
      <c r="E9" t="s">
        <v>78</v>
      </c>
      <c r="F9" t="s">
        <v>134</v>
      </c>
      <c r="G9" t="s">
        <v>134</v>
      </c>
      <c r="H9" t="s">
        <v>134</v>
      </c>
      <c r="I9" t="s">
        <v>134</v>
      </c>
      <c r="J9" t="s">
        <v>134</v>
      </c>
      <c r="K9">
        <v>5.6790000000000003</v>
      </c>
      <c r="L9" t="s">
        <v>134</v>
      </c>
      <c r="M9">
        <v>4.5540000000000003</v>
      </c>
      <c r="N9">
        <v>3.0413999999999999</v>
      </c>
      <c r="O9">
        <v>3.0413999999999999</v>
      </c>
      <c r="P9">
        <v>3.0413999999999999</v>
      </c>
      <c r="Q9">
        <v>33.214399999999998</v>
      </c>
      <c r="R9" t="s">
        <v>134</v>
      </c>
      <c r="S9" t="s">
        <v>134</v>
      </c>
      <c r="T9" t="s">
        <v>134</v>
      </c>
      <c r="U9" t="s">
        <v>134</v>
      </c>
      <c r="V9" t="s">
        <v>134</v>
      </c>
      <c r="W9" t="s">
        <v>134</v>
      </c>
      <c r="X9" t="s">
        <v>134</v>
      </c>
      <c r="Y9" t="s">
        <v>134</v>
      </c>
      <c r="Z9" t="s">
        <v>134</v>
      </c>
      <c r="AA9" t="s">
        <v>134</v>
      </c>
      <c r="AB9" t="s">
        <v>134</v>
      </c>
      <c r="AC9" t="s">
        <v>134</v>
      </c>
      <c r="AD9" t="s">
        <v>134</v>
      </c>
      <c r="AE9" t="s">
        <v>134</v>
      </c>
      <c r="AF9" t="s">
        <v>134</v>
      </c>
      <c r="AG9" t="s">
        <v>134</v>
      </c>
      <c r="AH9" t="s">
        <v>134</v>
      </c>
      <c r="AI9" t="s">
        <v>134</v>
      </c>
      <c r="AJ9" t="s">
        <v>134</v>
      </c>
      <c r="AK9" t="s">
        <v>134</v>
      </c>
      <c r="AL9" t="s">
        <v>134</v>
      </c>
      <c r="AM9" t="s">
        <v>134</v>
      </c>
      <c r="AN9" t="s">
        <v>134</v>
      </c>
      <c r="AO9" t="s">
        <v>134</v>
      </c>
      <c r="AP9" t="s">
        <v>134</v>
      </c>
      <c r="AQ9" t="s">
        <v>134</v>
      </c>
      <c r="AR9" t="s">
        <v>134</v>
      </c>
      <c r="AS9" t="s">
        <v>134</v>
      </c>
      <c r="AT9" t="s">
        <v>134</v>
      </c>
      <c r="AU9" t="s">
        <v>134</v>
      </c>
      <c r="AV9" t="s">
        <v>134</v>
      </c>
      <c r="AW9" t="s">
        <v>134</v>
      </c>
      <c r="AX9" t="s">
        <v>134</v>
      </c>
      <c r="AY9" t="s">
        <v>134</v>
      </c>
      <c r="AZ9" t="s">
        <v>134</v>
      </c>
      <c r="BA9" t="s">
        <v>134</v>
      </c>
      <c r="BB9" t="s">
        <v>134</v>
      </c>
      <c r="BC9" t="s">
        <v>134</v>
      </c>
      <c r="BD9" t="s">
        <v>134</v>
      </c>
      <c r="BE9" t="s">
        <v>134</v>
      </c>
      <c r="BF9">
        <v>-19.043099999999999</v>
      </c>
      <c r="BG9" t="s">
        <v>134</v>
      </c>
      <c r="BH9">
        <v>-32.791899999999998</v>
      </c>
      <c r="BI9">
        <v>-35.491900000000001</v>
      </c>
      <c r="BJ9">
        <v>-35.516399999999997</v>
      </c>
      <c r="BK9" t="s">
        <v>134</v>
      </c>
      <c r="BL9" t="s">
        <v>134</v>
      </c>
      <c r="BM9" t="s">
        <v>134</v>
      </c>
      <c r="BN9" t="s">
        <v>134</v>
      </c>
      <c r="BO9" t="s">
        <v>134</v>
      </c>
      <c r="BP9" t="s">
        <v>134</v>
      </c>
      <c r="BQ9" t="s">
        <v>134</v>
      </c>
      <c r="BR9" t="s">
        <v>134</v>
      </c>
      <c r="BS9" t="s">
        <v>134</v>
      </c>
      <c r="BT9" t="s">
        <v>134</v>
      </c>
      <c r="BU9" t="s">
        <v>134</v>
      </c>
      <c r="BV9" t="s">
        <v>134</v>
      </c>
      <c r="BW9" t="s">
        <v>134</v>
      </c>
      <c r="BX9" t="s">
        <v>134</v>
      </c>
      <c r="BY9" t="s">
        <v>134</v>
      </c>
      <c r="BZ9" t="s">
        <v>134</v>
      </c>
      <c r="CA9" t="s">
        <v>134</v>
      </c>
      <c r="CB9" t="s">
        <v>134</v>
      </c>
      <c r="CC9" t="s">
        <v>134</v>
      </c>
      <c r="CD9" t="s">
        <v>134</v>
      </c>
      <c r="CE9" t="s">
        <v>134</v>
      </c>
      <c r="CF9" t="s">
        <v>134</v>
      </c>
      <c r="CG9" t="s">
        <v>134</v>
      </c>
      <c r="CH9" t="s">
        <v>134</v>
      </c>
      <c r="CI9" t="s">
        <v>134</v>
      </c>
      <c r="CJ9" t="s">
        <v>134</v>
      </c>
      <c r="CK9" t="s">
        <v>134</v>
      </c>
      <c r="CL9" t="s">
        <v>134</v>
      </c>
      <c r="CM9" t="s">
        <v>134</v>
      </c>
      <c r="CN9" t="s">
        <v>134</v>
      </c>
      <c r="CO9" t="s">
        <v>134</v>
      </c>
      <c r="CP9" t="s">
        <v>134</v>
      </c>
      <c r="CQ9" t="s">
        <v>134</v>
      </c>
      <c r="CR9">
        <v>1013.7</v>
      </c>
      <c r="CS9" t="s">
        <v>134</v>
      </c>
      <c r="CT9" t="s">
        <v>134</v>
      </c>
      <c r="CU9" t="s">
        <v>134</v>
      </c>
      <c r="CV9" t="s">
        <v>134</v>
      </c>
      <c r="CW9" t="s">
        <v>134</v>
      </c>
      <c r="CX9" t="s">
        <v>134</v>
      </c>
      <c r="CY9" t="s">
        <v>134</v>
      </c>
      <c r="CZ9" t="s">
        <v>134</v>
      </c>
      <c r="DA9" t="s">
        <v>134</v>
      </c>
      <c r="DB9" t="s">
        <v>134</v>
      </c>
      <c r="DC9" t="s">
        <v>134</v>
      </c>
      <c r="DD9" t="s">
        <v>134</v>
      </c>
      <c r="DE9" t="s">
        <v>134</v>
      </c>
      <c r="DF9" t="s">
        <v>134</v>
      </c>
      <c r="DG9" t="s">
        <v>134</v>
      </c>
      <c r="DH9" t="s">
        <v>134</v>
      </c>
      <c r="DI9" t="s">
        <v>134</v>
      </c>
    </row>
    <row r="10" spans="1:113" x14ac:dyDescent="0.3">
      <c r="E10" t="s">
        <v>79</v>
      </c>
      <c r="F10" t="s">
        <v>134</v>
      </c>
      <c r="G10" t="s">
        <v>134</v>
      </c>
      <c r="H10" t="s">
        <v>134</v>
      </c>
      <c r="I10" t="s">
        <v>134</v>
      </c>
      <c r="J10" t="s">
        <v>134</v>
      </c>
      <c r="K10" t="s">
        <v>134</v>
      </c>
      <c r="L10" t="s">
        <v>134</v>
      </c>
      <c r="M10" t="s">
        <v>134</v>
      </c>
      <c r="N10" t="s">
        <v>134</v>
      </c>
      <c r="O10" t="s">
        <v>134</v>
      </c>
      <c r="P10" t="s">
        <v>134</v>
      </c>
      <c r="Q10" t="s">
        <v>134</v>
      </c>
      <c r="R10" t="s">
        <v>134</v>
      </c>
      <c r="S10" t="s">
        <v>134</v>
      </c>
      <c r="T10" t="s">
        <v>134</v>
      </c>
      <c r="U10" t="s">
        <v>134</v>
      </c>
      <c r="V10" t="s">
        <v>134</v>
      </c>
      <c r="W10" t="s">
        <v>134</v>
      </c>
      <c r="X10" t="s">
        <v>134</v>
      </c>
      <c r="Y10" t="s">
        <v>134</v>
      </c>
      <c r="Z10" t="s">
        <v>134</v>
      </c>
      <c r="AA10" t="s">
        <v>134</v>
      </c>
      <c r="AB10" t="s">
        <v>134</v>
      </c>
      <c r="AC10" t="s">
        <v>134</v>
      </c>
      <c r="AD10" t="s">
        <v>134</v>
      </c>
      <c r="AE10" t="s">
        <v>134</v>
      </c>
      <c r="AF10" t="s">
        <v>134</v>
      </c>
      <c r="AG10" t="s">
        <v>134</v>
      </c>
      <c r="AH10" t="s">
        <v>134</v>
      </c>
      <c r="AI10" t="s">
        <v>134</v>
      </c>
      <c r="AJ10" t="s">
        <v>134</v>
      </c>
      <c r="AK10" t="s">
        <v>134</v>
      </c>
      <c r="AL10" t="s">
        <v>134</v>
      </c>
      <c r="AM10" t="s">
        <v>134</v>
      </c>
      <c r="AN10" t="s">
        <v>134</v>
      </c>
      <c r="AO10" t="s">
        <v>134</v>
      </c>
      <c r="AP10" t="s">
        <v>134</v>
      </c>
      <c r="AQ10" t="s">
        <v>134</v>
      </c>
      <c r="AR10" t="s">
        <v>134</v>
      </c>
      <c r="AS10" t="s">
        <v>134</v>
      </c>
      <c r="AT10" t="s">
        <v>134</v>
      </c>
      <c r="AU10" t="s">
        <v>134</v>
      </c>
      <c r="AV10" t="s">
        <v>134</v>
      </c>
      <c r="AW10" t="s">
        <v>134</v>
      </c>
      <c r="AX10" t="s">
        <v>134</v>
      </c>
      <c r="AY10" t="s">
        <v>134</v>
      </c>
      <c r="AZ10" t="s">
        <v>134</v>
      </c>
      <c r="BA10" t="s">
        <v>134</v>
      </c>
      <c r="BB10" t="s">
        <v>134</v>
      </c>
      <c r="BC10" t="s">
        <v>134</v>
      </c>
      <c r="BD10" t="s">
        <v>134</v>
      </c>
      <c r="BE10" t="s">
        <v>134</v>
      </c>
      <c r="BF10" t="s">
        <v>134</v>
      </c>
      <c r="BG10" t="s">
        <v>134</v>
      </c>
      <c r="BH10" t="s">
        <v>134</v>
      </c>
      <c r="BI10" t="s">
        <v>134</v>
      </c>
      <c r="BJ10" t="s">
        <v>134</v>
      </c>
      <c r="BK10" t="s">
        <v>134</v>
      </c>
      <c r="BL10" t="s">
        <v>134</v>
      </c>
      <c r="BM10" t="s">
        <v>134</v>
      </c>
      <c r="BN10" t="s">
        <v>134</v>
      </c>
      <c r="BO10" t="s">
        <v>134</v>
      </c>
      <c r="BP10" t="s">
        <v>134</v>
      </c>
      <c r="BQ10" t="s">
        <v>134</v>
      </c>
      <c r="BR10" t="s">
        <v>134</v>
      </c>
      <c r="BS10" t="s">
        <v>134</v>
      </c>
      <c r="BT10" t="s">
        <v>134</v>
      </c>
      <c r="BU10" t="s">
        <v>134</v>
      </c>
      <c r="BV10" t="s">
        <v>134</v>
      </c>
      <c r="BW10" t="s">
        <v>134</v>
      </c>
      <c r="BX10" t="s">
        <v>134</v>
      </c>
      <c r="BY10" t="s">
        <v>134</v>
      </c>
      <c r="BZ10" t="s">
        <v>134</v>
      </c>
      <c r="CA10" t="s">
        <v>134</v>
      </c>
      <c r="CB10" t="s">
        <v>134</v>
      </c>
      <c r="CC10" t="s">
        <v>134</v>
      </c>
      <c r="CD10" t="s">
        <v>134</v>
      </c>
      <c r="CE10" t="s">
        <v>134</v>
      </c>
      <c r="CF10" t="s">
        <v>134</v>
      </c>
      <c r="CG10" t="s">
        <v>134</v>
      </c>
      <c r="CH10" t="s">
        <v>134</v>
      </c>
      <c r="CI10" t="s">
        <v>134</v>
      </c>
      <c r="CJ10" t="s">
        <v>134</v>
      </c>
      <c r="CK10" t="s">
        <v>134</v>
      </c>
      <c r="CL10" t="s">
        <v>134</v>
      </c>
      <c r="CM10" t="s">
        <v>134</v>
      </c>
      <c r="CN10" t="s">
        <v>134</v>
      </c>
      <c r="CO10" t="s">
        <v>134</v>
      </c>
      <c r="CP10" t="s">
        <v>134</v>
      </c>
      <c r="CQ10" t="s">
        <v>134</v>
      </c>
      <c r="CR10" t="s">
        <v>134</v>
      </c>
      <c r="CS10" t="s">
        <v>134</v>
      </c>
      <c r="CT10" t="s">
        <v>134</v>
      </c>
      <c r="CU10" t="s">
        <v>134</v>
      </c>
      <c r="CV10" t="s">
        <v>134</v>
      </c>
      <c r="CW10" t="s">
        <v>134</v>
      </c>
      <c r="CX10" t="s">
        <v>134</v>
      </c>
      <c r="CY10" t="s">
        <v>134</v>
      </c>
      <c r="CZ10" t="s">
        <v>134</v>
      </c>
      <c r="DA10" t="s">
        <v>134</v>
      </c>
      <c r="DB10" t="s">
        <v>134</v>
      </c>
      <c r="DC10" t="s">
        <v>134</v>
      </c>
      <c r="DD10" t="s">
        <v>134</v>
      </c>
      <c r="DE10" t="s">
        <v>134</v>
      </c>
      <c r="DF10" t="s">
        <v>134</v>
      </c>
      <c r="DG10" t="s">
        <v>134</v>
      </c>
      <c r="DH10" t="s">
        <v>134</v>
      </c>
      <c r="DI10" t="s">
        <v>134</v>
      </c>
    </row>
    <row r="11" spans="1:113" x14ac:dyDescent="0.3">
      <c r="E11" t="s">
        <v>80</v>
      </c>
      <c r="F11" t="s">
        <v>134</v>
      </c>
      <c r="G11" t="s">
        <v>134</v>
      </c>
      <c r="H11" t="s">
        <v>134</v>
      </c>
      <c r="I11" t="s">
        <v>134</v>
      </c>
      <c r="J11" t="s">
        <v>134</v>
      </c>
      <c r="K11">
        <v>6.1783999999999999</v>
      </c>
      <c r="L11">
        <v>20.331399999999999</v>
      </c>
      <c r="M11">
        <v>4.9168000000000003</v>
      </c>
      <c r="N11">
        <v>3.0284</v>
      </c>
      <c r="O11">
        <v>3.0284</v>
      </c>
      <c r="P11">
        <v>3.0284</v>
      </c>
      <c r="Q11">
        <v>38.408299999999997</v>
      </c>
      <c r="R11" t="s">
        <v>134</v>
      </c>
      <c r="S11" t="s">
        <v>134</v>
      </c>
      <c r="T11">
        <v>6.4945000000000004</v>
      </c>
      <c r="U11" t="s">
        <v>134</v>
      </c>
      <c r="V11">
        <v>25.106999999999999</v>
      </c>
      <c r="W11">
        <v>30.5914</v>
      </c>
      <c r="X11">
        <v>30.660399999999999</v>
      </c>
      <c r="Y11" t="s">
        <v>134</v>
      </c>
      <c r="Z11" t="s">
        <v>134</v>
      </c>
      <c r="AA11" t="s">
        <v>134</v>
      </c>
      <c r="AB11" t="s">
        <v>134</v>
      </c>
      <c r="AC11" t="s">
        <v>134</v>
      </c>
      <c r="AD11" t="s">
        <v>134</v>
      </c>
      <c r="AE11" t="s">
        <v>134</v>
      </c>
      <c r="AF11" t="s">
        <v>134</v>
      </c>
      <c r="AG11" t="s">
        <v>134</v>
      </c>
      <c r="AH11" t="s">
        <v>134</v>
      </c>
      <c r="AI11" t="s">
        <v>134</v>
      </c>
      <c r="AJ11" t="s">
        <v>134</v>
      </c>
      <c r="AK11" t="s">
        <v>134</v>
      </c>
      <c r="AL11" t="s">
        <v>134</v>
      </c>
      <c r="AM11" t="s">
        <v>134</v>
      </c>
      <c r="AN11" t="s">
        <v>134</v>
      </c>
      <c r="AO11" t="s">
        <v>134</v>
      </c>
      <c r="AP11" t="s">
        <v>134</v>
      </c>
      <c r="AQ11" t="s">
        <v>134</v>
      </c>
      <c r="AR11" t="s">
        <v>134</v>
      </c>
      <c r="AS11" t="s">
        <v>134</v>
      </c>
      <c r="AT11" t="s">
        <v>134</v>
      </c>
      <c r="AU11" t="s">
        <v>134</v>
      </c>
      <c r="AV11" t="s">
        <v>134</v>
      </c>
      <c r="AW11" t="s">
        <v>134</v>
      </c>
      <c r="AX11" t="s">
        <v>134</v>
      </c>
      <c r="AY11" t="s">
        <v>134</v>
      </c>
      <c r="AZ11" t="s">
        <v>134</v>
      </c>
      <c r="BA11" t="s">
        <v>134</v>
      </c>
      <c r="BB11" t="s">
        <v>134</v>
      </c>
      <c r="BC11" t="s">
        <v>134</v>
      </c>
      <c r="BD11" t="s">
        <v>134</v>
      </c>
      <c r="BE11" t="s">
        <v>134</v>
      </c>
      <c r="BF11" t="s">
        <v>134</v>
      </c>
      <c r="BG11" t="s">
        <v>134</v>
      </c>
      <c r="BH11" t="s">
        <v>134</v>
      </c>
      <c r="BI11" t="s">
        <v>134</v>
      </c>
      <c r="BJ11" t="s">
        <v>134</v>
      </c>
      <c r="BK11" t="s">
        <v>134</v>
      </c>
      <c r="BL11" t="s">
        <v>134</v>
      </c>
      <c r="BM11" t="s">
        <v>134</v>
      </c>
      <c r="BN11" t="s">
        <v>134</v>
      </c>
      <c r="BO11" t="s">
        <v>134</v>
      </c>
      <c r="BP11" t="s">
        <v>134</v>
      </c>
      <c r="BQ11" t="s">
        <v>134</v>
      </c>
      <c r="BR11" t="s">
        <v>134</v>
      </c>
      <c r="BS11" t="s">
        <v>134</v>
      </c>
      <c r="BT11" t="s">
        <v>134</v>
      </c>
      <c r="BU11" t="s">
        <v>134</v>
      </c>
      <c r="BV11" t="s">
        <v>134</v>
      </c>
      <c r="BW11" t="s">
        <v>134</v>
      </c>
      <c r="BX11" t="s">
        <v>134</v>
      </c>
      <c r="BY11" t="s">
        <v>134</v>
      </c>
      <c r="BZ11" t="s">
        <v>134</v>
      </c>
      <c r="CA11" t="s">
        <v>134</v>
      </c>
      <c r="CB11" t="s">
        <v>134</v>
      </c>
      <c r="CC11" t="s">
        <v>134</v>
      </c>
      <c r="CD11" t="s">
        <v>134</v>
      </c>
      <c r="CE11" t="s">
        <v>134</v>
      </c>
      <c r="CF11" t="s">
        <v>134</v>
      </c>
      <c r="CG11" t="s">
        <v>134</v>
      </c>
      <c r="CH11" t="s">
        <v>134</v>
      </c>
      <c r="CI11" t="s">
        <v>134</v>
      </c>
      <c r="CJ11" t="s">
        <v>134</v>
      </c>
      <c r="CK11" t="s">
        <v>134</v>
      </c>
      <c r="CL11" t="s">
        <v>134</v>
      </c>
      <c r="CM11" t="s">
        <v>134</v>
      </c>
      <c r="CN11" t="s">
        <v>134</v>
      </c>
      <c r="CO11" t="s">
        <v>134</v>
      </c>
      <c r="CP11" t="s">
        <v>134</v>
      </c>
      <c r="CQ11" t="s">
        <v>134</v>
      </c>
      <c r="CR11">
        <v>1198.4000000000001</v>
      </c>
      <c r="CS11" t="s">
        <v>134</v>
      </c>
      <c r="CT11" t="s">
        <v>134</v>
      </c>
      <c r="CU11" t="s">
        <v>134</v>
      </c>
      <c r="CV11" t="s">
        <v>134</v>
      </c>
      <c r="CW11" t="s">
        <v>134</v>
      </c>
      <c r="CX11" t="s">
        <v>134</v>
      </c>
      <c r="CY11" t="s">
        <v>134</v>
      </c>
      <c r="CZ11" t="s">
        <v>134</v>
      </c>
      <c r="DA11" t="s">
        <v>134</v>
      </c>
      <c r="DB11" t="s">
        <v>134</v>
      </c>
      <c r="DC11" t="s">
        <v>134</v>
      </c>
      <c r="DD11" t="s">
        <v>134</v>
      </c>
      <c r="DE11" t="s">
        <v>134</v>
      </c>
      <c r="DF11" t="s">
        <v>134</v>
      </c>
      <c r="DG11" t="s">
        <v>134</v>
      </c>
      <c r="DH11" t="s">
        <v>134</v>
      </c>
      <c r="DI11" t="s">
        <v>134</v>
      </c>
    </row>
    <row r="12" spans="1:113" x14ac:dyDescent="0.3">
      <c r="E12" t="s">
        <v>81</v>
      </c>
      <c r="F12" t="s">
        <v>134</v>
      </c>
      <c r="G12" t="s">
        <v>134</v>
      </c>
      <c r="H12" t="s">
        <v>134</v>
      </c>
      <c r="I12" t="s">
        <v>134</v>
      </c>
      <c r="J12">
        <v>11.0382</v>
      </c>
      <c r="K12">
        <v>9.1845999999999997</v>
      </c>
      <c r="L12">
        <v>38.0381</v>
      </c>
      <c r="M12">
        <v>8.7667999999999999</v>
      </c>
      <c r="N12">
        <v>5.4279000000000002</v>
      </c>
      <c r="O12">
        <v>5.4279000000000002</v>
      </c>
      <c r="P12">
        <v>5.4279000000000002</v>
      </c>
      <c r="Q12">
        <v>38.086100000000002</v>
      </c>
      <c r="R12" t="s">
        <v>134</v>
      </c>
      <c r="S12" t="s">
        <v>134</v>
      </c>
      <c r="T12">
        <v>8.1233000000000004</v>
      </c>
      <c r="U12">
        <v>46.170099999999998</v>
      </c>
      <c r="V12">
        <v>45.170099999999998</v>
      </c>
      <c r="W12">
        <v>53.754800000000003</v>
      </c>
      <c r="X12">
        <v>53.904299999999999</v>
      </c>
      <c r="Y12" t="s">
        <v>134</v>
      </c>
      <c r="Z12">
        <v>7.3921999999999999</v>
      </c>
      <c r="AA12">
        <v>5.1185</v>
      </c>
      <c r="AB12">
        <v>-5.4949000000000003</v>
      </c>
      <c r="AC12">
        <v>8.6075999999999997</v>
      </c>
      <c r="AD12">
        <v>78.380700000000004</v>
      </c>
      <c r="AE12">
        <v>85.766400000000004</v>
      </c>
      <c r="AF12">
        <v>-67.601100000000002</v>
      </c>
      <c r="AG12" t="s">
        <v>134</v>
      </c>
      <c r="AH12">
        <v>61.694600000000001</v>
      </c>
      <c r="AI12">
        <v>6.9904000000000002</v>
      </c>
      <c r="AJ12">
        <v>13.367699999999999</v>
      </c>
      <c r="AK12">
        <v>6.9904000000000002</v>
      </c>
      <c r="AL12" t="s">
        <v>134</v>
      </c>
      <c r="AM12" t="s">
        <v>134</v>
      </c>
      <c r="AN12" t="s">
        <v>134</v>
      </c>
      <c r="AO12" t="s">
        <v>134</v>
      </c>
      <c r="AP12" t="s">
        <v>134</v>
      </c>
      <c r="AQ12" t="s">
        <v>134</v>
      </c>
      <c r="AR12" t="s">
        <v>134</v>
      </c>
      <c r="AS12" t="s">
        <v>134</v>
      </c>
      <c r="AT12" t="s">
        <v>134</v>
      </c>
      <c r="AU12" t="s">
        <v>134</v>
      </c>
      <c r="AV12" t="s">
        <v>134</v>
      </c>
      <c r="AW12" t="s">
        <v>134</v>
      </c>
      <c r="AX12" t="s">
        <v>134</v>
      </c>
      <c r="AY12" t="s">
        <v>134</v>
      </c>
      <c r="AZ12" t="s">
        <v>134</v>
      </c>
      <c r="BA12" t="s">
        <v>134</v>
      </c>
      <c r="BB12" t="s">
        <v>134</v>
      </c>
      <c r="BC12" t="s">
        <v>134</v>
      </c>
      <c r="BD12" t="s">
        <v>134</v>
      </c>
      <c r="BE12" t="s">
        <v>134</v>
      </c>
      <c r="BF12">
        <v>22.907499999999999</v>
      </c>
      <c r="BG12" t="s">
        <v>134</v>
      </c>
      <c r="BH12">
        <v>82.710300000000004</v>
      </c>
      <c r="BI12">
        <v>120.2928</v>
      </c>
      <c r="BJ12">
        <v>120.5776</v>
      </c>
      <c r="BK12" t="s">
        <v>134</v>
      </c>
      <c r="BL12" t="s">
        <v>134</v>
      </c>
      <c r="BM12" t="s">
        <v>134</v>
      </c>
      <c r="BN12" t="s">
        <v>134</v>
      </c>
      <c r="BO12" t="s">
        <v>134</v>
      </c>
      <c r="BP12" t="s">
        <v>134</v>
      </c>
      <c r="BQ12" t="s">
        <v>134</v>
      </c>
      <c r="BR12" t="s">
        <v>134</v>
      </c>
      <c r="BS12" t="s">
        <v>134</v>
      </c>
      <c r="BT12" t="s">
        <v>134</v>
      </c>
      <c r="BU12" t="s">
        <v>134</v>
      </c>
      <c r="BV12" t="s">
        <v>134</v>
      </c>
      <c r="BW12" t="s">
        <v>134</v>
      </c>
      <c r="BX12" t="s">
        <v>134</v>
      </c>
      <c r="BY12">
        <v>6000</v>
      </c>
      <c r="BZ12">
        <v>0</v>
      </c>
      <c r="CA12">
        <v>6000</v>
      </c>
      <c r="CB12" t="s">
        <v>134</v>
      </c>
      <c r="CC12" t="s">
        <v>134</v>
      </c>
      <c r="CD12" t="s">
        <v>134</v>
      </c>
      <c r="CE12" t="s">
        <v>134</v>
      </c>
      <c r="CF12">
        <v>12.688000000000001</v>
      </c>
      <c r="CG12">
        <v>40.607599999999998</v>
      </c>
      <c r="CH12">
        <v>19.943200000000001</v>
      </c>
      <c r="CI12">
        <v>16.627199999999998</v>
      </c>
      <c r="CJ12">
        <v>8.0983999999999998</v>
      </c>
      <c r="CK12">
        <v>19.943200000000001</v>
      </c>
      <c r="CL12">
        <v>16.627199999999998</v>
      </c>
      <c r="CM12">
        <v>8.0983999999999998</v>
      </c>
      <c r="CN12">
        <v>0.94299999999999995</v>
      </c>
      <c r="CO12">
        <v>0.93420000000000003</v>
      </c>
      <c r="CP12">
        <v>2631.5</v>
      </c>
      <c r="CQ12" t="s">
        <v>134</v>
      </c>
      <c r="CR12">
        <v>2189.6</v>
      </c>
      <c r="CS12">
        <v>0.1525</v>
      </c>
      <c r="CT12">
        <v>1.4865999999999999</v>
      </c>
      <c r="CU12">
        <v>1.0571999999999999</v>
      </c>
      <c r="CV12">
        <v>4.9020999999999999</v>
      </c>
      <c r="CW12" t="s">
        <v>134</v>
      </c>
      <c r="CX12" t="s">
        <v>134</v>
      </c>
      <c r="CY12" t="s">
        <v>134</v>
      </c>
      <c r="CZ12" t="s">
        <v>134</v>
      </c>
      <c r="DA12" t="s">
        <v>134</v>
      </c>
      <c r="DB12" t="s">
        <v>134</v>
      </c>
      <c r="DC12" t="s">
        <v>134</v>
      </c>
      <c r="DD12" t="s">
        <v>134</v>
      </c>
      <c r="DE12">
        <v>9395.7000000000007</v>
      </c>
      <c r="DF12">
        <v>5195.7</v>
      </c>
      <c r="DG12">
        <v>3486.1</v>
      </c>
      <c r="DH12">
        <v>570.29999999999995</v>
      </c>
      <c r="DI12">
        <v>143.6</v>
      </c>
    </row>
    <row r="13" spans="1:113" x14ac:dyDescent="0.3">
      <c r="D13" t="s">
        <v>83</v>
      </c>
      <c r="E13" t="s">
        <v>77</v>
      </c>
      <c r="F13" t="s">
        <v>134</v>
      </c>
      <c r="G13" t="s">
        <v>134</v>
      </c>
      <c r="H13" t="s">
        <v>134</v>
      </c>
      <c r="I13" t="s">
        <v>134</v>
      </c>
      <c r="J13" t="s">
        <v>134</v>
      </c>
      <c r="K13" t="s">
        <v>134</v>
      </c>
      <c r="L13" t="s">
        <v>134</v>
      </c>
      <c r="M13" t="s">
        <v>134</v>
      </c>
      <c r="N13" t="s">
        <v>134</v>
      </c>
      <c r="O13" t="s">
        <v>134</v>
      </c>
      <c r="P13" t="s">
        <v>134</v>
      </c>
      <c r="Q13" t="s">
        <v>134</v>
      </c>
      <c r="R13" t="s">
        <v>134</v>
      </c>
      <c r="S13" t="s">
        <v>134</v>
      </c>
      <c r="T13" t="s">
        <v>134</v>
      </c>
      <c r="U13" t="s">
        <v>134</v>
      </c>
      <c r="V13" t="s">
        <v>134</v>
      </c>
      <c r="W13" t="s">
        <v>134</v>
      </c>
      <c r="X13" t="s">
        <v>134</v>
      </c>
      <c r="Y13" t="s">
        <v>134</v>
      </c>
      <c r="Z13" t="s">
        <v>134</v>
      </c>
      <c r="AA13" t="s">
        <v>134</v>
      </c>
      <c r="AB13" t="s">
        <v>134</v>
      </c>
      <c r="AC13" t="s">
        <v>134</v>
      </c>
      <c r="AD13" t="s">
        <v>134</v>
      </c>
      <c r="AE13" t="s">
        <v>134</v>
      </c>
      <c r="AF13" t="s">
        <v>134</v>
      </c>
      <c r="AG13" t="s">
        <v>134</v>
      </c>
      <c r="AH13" t="s">
        <v>134</v>
      </c>
      <c r="AI13" t="s">
        <v>134</v>
      </c>
      <c r="AJ13" t="s">
        <v>134</v>
      </c>
      <c r="AK13" t="s">
        <v>134</v>
      </c>
      <c r="AL13" t="s">
        <v>134</v>
      </c>
      <c r="AM13" t="s">
        <v>134</v>
      </c>
      <c r="AN13" t="s">
        <v>134</v>
      </c>
      <c r="AO13" t="s">
        <v>134</v>
      </c>
      <c r="AP13" t="s">
        <v>134</v>
      </c>
      <c r="AQ13" t="s">
        <v>134</v>
      </c>
      <c r="AR13" t="s">
        <v>134</v>
      </c>
      <c r="AS13" t="s">
        <v>134</v>
      </c>
      <c r="AT13" t="s">
        <v>134</v>
      </c>
      <c r="AU13" t="s">
        <v>134</v>
      </c>
      <c r="AV13" t="s">
        <v>134</v>
      </c>
      <c r="AW13" t="s">
        <v>134</v>
      </c>
      <c r="AX13" t="s">
        <v>134</v>
      </c>
      <c r="AY13" t="s">
        <v>134</v>
      </c>
      <c r="AZ13" t="s">
        <v>134</v>
      </c>
      <c r="BA13" t="s">
        <v>134</v>
      </c>
      <c r="BB13" t="s">
        <v>134</v>
      </c>
      <c r="BC13" t="s">
        <v>134</v>
      </c>
      <c r="BD13" t="s">
        <v>134</v>
      </c>
      <c r="BE13" t="s">
        <v>134</v>
      </c>
      <c r="BF13" t="s">
        <v>134</v>
      </c>
      <c r="BG13" t="s">
        <v>134</v>
      </c>
      <c r="BH13" t="s">
        <v>134</v>
      </c>
      <c r="BI13" t="s">
        <v>134</v>
      </c>
      <c r="BJ13" t="s">
        <v>134</v>
      </c>
      <c r="BK13" t="s">
        <v>134</v>
      </c>
      <c r="BL13" t="s">
        <v>134</v>
      </c>
      <c r="BM13" t="s">
        <v>134</v>
      </c>
      <c r="BN13" t="s">
        <v>134</v>
      </c>
      <c r="BO13" t="s">
        <v>134</v>
      </c>
      <c r="BP13" t="s">
        <v>134</v>
      </c>
      <c r="BQ13" t="s">
        <v>134</v>
      </c>
      <c r="BR13" t="s">
        <v>134</v>
      </c>
      <c r="BS13" t="s">
        <v>134</v>
      </c>
      <c r="BT13" t="s">
        <v>134</v>
      </c>
      <c r="BU13" t="s">
        <v>134</v>
      </c>
      <c r="BV13" t="s">
        <v>134</v>
      </c>
      <c r="BW13" t="s">
        <v>134</v>
      </c>
      <c r="BX13" t="s">
        <v>134</v>
      </c>
      <c r="BY13" t="s">
        <v>134</v>
      </c>
      <c r="BZ13" t="s">
        <v>134</v>
      </c>
      <c r="CA13" t="s">
        <v>134</v>
      </c>
      <c r="CB13" t="s">
        <v>134</v>
      </c>
      <c r="CC13" t="s">
        <v>134</v>
      </c>
      <c r="CD13" t="s">
        <v>134</v>
      </c>
      <c r="CE13" t="s">
        <v>134</v>
      </c>
      <c r="CF13" t="s">
        <v>134</v>
      </c>
      <c r="CG13" t="s">
        <v>134</v>
      </c>
      <c r="CH13" t="s">
        <v>134</v>
      </c>
      <c r="CI13" t="s">
        <v>134</v>
      </c>
      <c r="CJ13" t="s">
        <v>134</v>
      </c>
      <c r="CK13" t="s">
        <v>134</v>
      </c>
      <c r="CL13" t="s">
        <v>134</v>
      </c>
      <c r="CM13" t="s">
        <v>134</v>
      </c>
      <c r="CN13" t="s">
        <v>134</v>
      </c>
      <c r="CO13" t="s">
        <v>134</v>
      </c>
      <c r="CP13" t="s">
        <v>134</v>
      </c>
      <c r="CQ13" t="s">
        <v>134</v>
      </c>
      <c r="CR13" t="s">
        <v>134</v>
      </c>
      <c r="CS13" t="s">
        <v>134</v>
      </c>
      <c r="CT13" t="s">
        <v>134</v>
      </c>
      <c r="CU13" t="s">
        <v>134</v>
      </c>
      <c r="CV13" t="s">
        <v>134</v>
      </c>
      <c r="CW13" t="s">
        <v>134</v>
      </c>
      <c r="CX13" t="s">
        <v>134</v>
      </c>
      <c r="CY13" t="s">
        <v>134</v>
      </c>
      <c r="CZ13" t="s">
        <v>134</v>
      </c>
      <c r="DA13" t="s">
        <v>134</v>
      </c>
      <c r="DB13" t="s">
        <v>134</v>
      </c>
      <c r="DC13" t="s">
        <v>134</v>
      </c>
      <c r="DD13" t="s">
        <v>134</v>
      </c>
      <c r="DE13" t="s">
        <v>134</v>
      </c>
      <c r="DF13" t="s">
        <v>134</v>
      </c>
      <c r="DG13" t="s">
        <v>134</v>
      </c>
      <c r="DH13" t="s">
        <v>134</v>
      </c>
      <c r="DI13" t="s">
        <v>134</v>
      </c>
    </row>
    <row r="14" spans="1:113" x14ac:dyDescent="0.3">
      <c r="E14" t="s">
        <v>78</v>
      </c>
      <c r="F14" t="s">
        <v>134</v>
      </c>
      <c r="G14" t="s">
        <v>134</v>
      </c>
      <c r="H14" t="s">
        <v>134</v>
      </c>
      <c r="I14" t="s">
        <v>134</v>
      </c>
      <c r="J14">
        <v>7.5434000000000001</v>
      </c>
      <c r="K14">
        <v>5.7283999999999997</v>
      </c>
      <c r="L14">
        <v>6.1898999999999997</v>
      </c>
      <c r="M14">
        <v>5.4333999999999998</v>
      </c>
      <c r="N14">
        <v>3.5916000000000001</v>
      </c>
      <c r="O14">
        <v>3.5916000000000001</v>
      </c>
      <c r="P14">
        <v>3.5916000000000001</v>
      </c>
      <c r="Q14">
        <v>33.898299999999999</v>
      </c>
      <c r="R14" t="s">
        <v>134</v>
      </c>
      <c r="S14" t="s">
        <v>134</v>
      </c>
      <c r="T14">
        <v>10.7159</v>
      </c>
      <c r="U14" t="s">
        <v>134</v>
      </c>
      <c r="V14">
        <v>11.68</v>
      </c>
      <c r="W14">
        <v>30.7423</v>
      </c>
      <c r="X14">
        <v>30.859400000000001</v>
      </c>
      <c r="Y14" t="s">
        <v>134</v>
      </c>
      <c r="Z14" t="s">
        <v>134</v>
      </c>
      <c r="AA14" t="s">
        <v>134</v>
      </c>
      <c r="AB14" t="s">
        <v>134</v>
      </c>
      <c r="AC14" t="s">
        <v>134</v>
      </c>
      <c r="AD14" t="s">
        <v>134</v>
      </c>
      <c r="AE14" t="s">
        <v>134</v>
      </c>
      <c r="AF14" t="s">
        <v>134</v>
      </c>
      <c r="AG14" t="s">
        <v>134</v>
      </c>
      <c r="AH14" t="s">
        <v>134</v>
      </c>
      <c r="AI14" t="s">
        <v>134</v>
      </c>
      <c r="AJ14" t="s">
        <v>134</v>
      </c>
      <c r="AK14" t="s">
        <v>134</v>
      </c>
      <c r="AL14" t="s">
        <v>134</v>
      </c>
      <c r="AM14" t="s">
        <v>134</v>
      </c>
      <c r="AN14" t="s">
        <v>134</v>
      </c>
      <c r="AO14" t="s">
        <v>134</v>
      </c>
      <c r="AP14" t="s">
        <v>134</v>
      </c>
      <c r="AQ14" t="s">
        <v>134</v>
      </c>
      <c r="AR14" t="s">
        <v>134</v>
      </c>
      <c r="AS14" t="s">
        <v>134</v>
      </c>
      <c r="AT14" t="s">
        <v>134</v>
      </c>
      <c r="AU14" t="s">
        <v>134</v>
      </c>
      <c r="AV14" t="s">
        <v>134</v>
      </c>
      <c r="AW14" t="s">
        <v>134</v>
      </c>
      <c r="AX14" t="s">
        <v>134</v>
      </c>
      <c r="AY14" t="s">
        <v>134</v>
      </c>
      <c r="AZ14" t="s">
        <v>134</v>
      </c>
      <c r="BA14" t="s">
        <v>134</v>
      </c>
      <c r="BB14" t="s">
        <v>134</v>
      </c>
      <c r="BC14" t="s">
        <v>134</v>
      </c>
      <c r="BD14" t="s">
        <v>134</v>
      </c>
      <c r="BE14" t="s">
        <v>134</v>
      </c>
      <c r="BF14">
        <v>-17.101900000000001</v>
      </c>
      <c r="BG14">
        <v>-43.347900000000003</v>
      </c>
      <c r="BH14">
        <v>-48.296500000000002</v>
      </c>
      <c r="BI14">
        <v>-45.146799999999999</v>
      </c>
      <c r="BJ14">
        <v>-45.171799999999998</v>
      </c>
      <c r="BK14" t="s">
        <v>134</v>
      </c>
      <c r="BL14" t="s">
        <v>134</v>
      </c>
      <c r="BM14" t="s">
        <v>134</v>
      </c>
      <c r="BN14" t="s">
        <v>134</v>
      </c>
      <c r="BO14" t="s">
        <v>134</v>
      </c>
      <c r="BP14" t="s">
        <v>134</v>
      </c>
      <c r="BQ14" t="s">
        <v>134</v>
      </c>
      <c r="BR14" t="s">
        <v>134</v>
      </c>
      <c r="BS14" t="s">
        <v>134</v>
      </c>
      <c r="BT14" t="s">
        <v>134</v>
      </c>
      <c r="BU14" t="s">
        <v>134</v>
      </c>
      <c r="BV14" t="s">
        <v>134</v>
      </c>
      <c r="BW14" t="s">
        <v>134</v>
      </c>
      <c r="BX14" t="s">
        <v>134</v>
      </c>
      <c r="BY14" t="s">
        <v>134</v>
      </c>
      <c r="BZ14" t="s">
        <v>134</v>
      </c>
      <c r="CA14" t="s">
        <v>134</v>
      </c>
      <c r="CB14" t="s">
        <v>134</v>
      </c>
      <c r="CC14" t="s">
        <v>134</v>
      </c>
      <c r="CD14" t="s">
        <v>134</v>
      </c>
      <c r="CE14" t="s">
        <v>134</v>
      </c>
      <c r="CF14">
        <v>7.2298999999999998</v>
      </c>
      <c r="CG14" t="s">
        <v>134</v>
      </c>
      <c r="CH14" t="s">
        <v>134</v>
      </c>
      <c r="CI14" t="s">
        <v>134</v>
      </c>
      <c r="CJ14" t="s">
        <v>134</v>
      </c>
      <c r="CK14" t="s">
        <v>134</v>
      </c>
      <c r="CL14" t="s">
        <v>134</v>
      </c>
      <c r="CM14" t="s">
        <v>134</v>
      </c>
      <c r="CN14" t="s">
        <v>134</v>
      </c>
      <c r="CO14" t="s">
        <v>134</v>
      </c>
      <c r="CP14">
        <v>1490.8</v>
      </c>
      <c r="CQ14" t="s">
        <v>134</v>
      </c>
      <c r="CR14">
        <v>1132.0999999999999</v>
      </c>
      <c r="CS14" t="s">
        <v>134</v>
      </c>
      <c r="CT14" t="s">
        <v>134</v>
      </c>
      <c r="CU14" t="s">
        <v>134</v>
      </c>
      <c r="CV14" t="s">
        <v>134</v>
      </c>
      <c r="CW14" t="s">
        <v>134</v>
      </c>
      <c r="CX14" t="s">
        <v>134</v>
      </c>
      <c r="CY14" t="s">
        <v>134</v>
      </c>
      <c r="CZ14" t="s">
        <v>134</v>
      </c>
      <c r="DA14" t="s">
        <v>134</v>
      </c>
      <c r="DB14" t="s">
        <v>134</v>
      </c>
      <c r="DC14" t="s">
        <v>134</v>
      </c>
      <c r="DD14" t="s">
        <v>134</v>
      </c>
      <c r="DE14" t="s">
        <v>134</v>
      </c>
      <c r="DF14" t="s">
        <v>134</v>
      </c>
      <c r="DG14" t="s">
        <v>134</v>
      </c>
      <c r="DH14" t="s">
        <v>134</v>
      </c>
      <c r="DI14" t="s">
        <v>134</v>
      </c>
    </row>
    <row r="15" spans="1:113" x14ac:dyDescent="0.3">
      <c r="E15" t="s">
        <v>79</v>
      </c>
      <c r="F15" t="s">
        <v>134</v>
      </c>
      <c r="G15" t="s">
        <v>134</v>
      </c>
      <c r="H15" t="s">
        <v>134</v>
      </c>
      <c r="I15" t="s">
        <v>134</v>
      </c>
      <c r="J15">
        <v>8.2014999999999993</v>
      </c>
      <c r="K15">
        <v>6.4808000000000003</v>
      </c>
      <c r="L15" t="s">
        <v>134</v>
      </c>
      <c r="M15">
        <v>5.8254000000000001</v>
      </c>
      <c r="N15">
        <v>3.7336999999999998</v>
      </c>
      <c r="O15">
        <v>3.7336999999999998</v>
      </c>
      <c r="P15">
        <v>3.7336999999999998</v>
      </c>
      <c r="Q15">
        <v>35.905299999999997</v>
      </c>
      <c r="R15" t="s">
        <v>134</v>
      </c>
      <c r="S15" t="s">
        <v>134</v>
      </c>
      <c r="T15" t="s">
        <v>134</v>
      </c>
      <c r="U15" t="s">
        <v>134</v>
      </c>
      <c r="V15" t="s">
        <v>134</v>
      </c>
      <c r="W15" t="s">
        <v>134</v>
      </c>
      <c r="X15" t="s">
        <v>134</v>
      </c>
      <c r="Y15" t="s">
        <v>134</v>
      </c>
      <c r="Z15" t="s">
        <v>134</v>
      </c>
      <c r="AA15" t="s">
        <v>134</v>
      </c>
      <c r="AB15" t="s">
        <v>134</v>
      </c>
      <c r="AC15" t="s">
        <v>134</v>
      </c>
      <c r="AD15" t="s">
        <v>134</v>
      </c>
      <c r="AE15" t="s">
        <v>134</v>
      </c>
      <c r="AF15" t="s">
        <v>134</v>
      </c>
      <c r="AG15" t="s">
        <v>134</v>
      </c>
      <c r="AH15" t="s">
        <v>134</v>
      </c>
      <c r="AI15" t="s">
        <v>134</v>
      </c>
      <c r="AJ15" t="s">
        <v>134</v>
      </c>
      <c r="AK15" t="s">
        <v>134</v>
      </c>
      <c r="AL15" t="s">
        <v>134</v>
      </c>
      <c r="AM15" t="s">
        <v>134</v>
      </c>
      <c r="AN15" t="s">
        <v>134</v>
      </c>
      <c r="AO15" t="s">
        <v>134</v>
      </c>
      <c r="AP15" t="s">
        <v>134</v>
      </c>
      <c r="AQ15" t="s">
        <v>134</v>
      </c>
      <c r="AR15" t="s">
        <v>134</v>
      </c>
      <c r="AS15" t="s">
        <v>134</v>
      </c>
      <c r="AT15" t="s">
        <v>134</v>
      </c>
      <c r="AU15" t="s">
        <v>134</v>
      </c>
      <c r="AV15" t="s">
        <v>134</v>
      </c>
      <c r="AW15" t="s">
        <v>134</v>
      </c>
      <c r="AX15" t="s">
        <v>134</v>
      </c>
      <c r="AY15" t="s">
        <v>134</v>
      </c>
      <c r="AZ15" t="s">
        <v>134</v>
      </c>
      <c r="BA15" t="s">
        <v>134</v>
      </c>
      <c r="BB15" t="s">
        <v>134</v>
      </c>
      <c r="BC15" t="s">
        <v>134</v>
      </c>
      <c r="BD15" t="s">
        <v>134</v>
      </c>
      <c r="BE15" t="s">
        <v>134</v>
      </c>
      <c r="BF15">
        <v>4.9198000000000004</v>
      </c>
      <c r="BG15">
        <v>14.073</v>
      </c>
      <c r="BH15">
        <v>18.6998</v>
      </c>
      <c r="BI15">
        <v>9.0730000000000004</v>
      </c>
      <c r="BJ15">
        <v>8.9551999999999996</v>
      </c>
      <c r="BK15" t="s">
        <v>134</v>
      </c>
      <c r="BL15" t="s">
        <v>134</v>
      </c>
      <c r="BM15" t="s">
        <v>134</v>
      </c>
      <c r="BN15" t="s">
        <v>134</v>
      </c>
      <c r="BO15" t="s">
        <v>134</v>
      </c>
      <c r="BP15" t="s">
        <v>134</v>
      </c>
      <c r="BQ15" t="s">
        <v>134</v>
      </c>
      <c r="BR15" t="s">
        <v>134</v>
      </c>
      <c r="BS15" t="s">
        <v>134</v>
      </c>
      <c r="BT15" t="s">
        <v>134</v>
      </c>
      <c r="BU15" t="s">
        <v>134</v>
      </c>
      <c r="BV15" t="s">
        <v>134</v>
      </c>
      <c r="BW15" t="s">
        <v>134</v>
      </c>
      <c r="BX15" t="s">
        <v>134</v>
      </c>
      <c r="BY15">
        <v>6151.4</v>
      </c>
      <c r="BZ15">
        <v>151.4</v>
      </c>
      <c r="CA15">
        <v>6000</v>
      </c>
      <c r="CB15" t="s">
        <v>134</v>
      </c>
      <c r="CC15" t="s">
        <v>134</v>
      </c>
      <c r="CD15">
        <v>1.0489999999999999</v>
      </c>
      <c r="CE15">
        <v>-0.17979999999999999</v>
      </c>
      <c r="CF15">
        <v>9.4529999999999994</v>
      </c>
      <c r="CG15">
        <v>43.384399999999999</v>
      </c>
      <c r="CH15">
        <v>19.005700000000001</v>
      </c>
      <c r="CI15">
        <v>15.9063</v>
      </c>
      <c r="CJ15">
        <v>8.2454999999999998</v>
      </c>
      <c r="CK15">
        <v>19.485299999999999</v>
      </c>
      <c r="CL15">
        <v>16.307700000000001</v>
      </c>
      <c r="CM15">
        <v>8.4535999999999998</v>
      </c>
      <c r="CN15">
        <v>-3.3395999999999999</v>
      </c>
      <c r="CO15">
        <v>-3.4550000000000001</v>
      </c>
      <c r="CP15">
        <v>1700.6</v>
      </c>
      <c r="CQ15" t="s">
        <v>134</v>
      </c>
      <c r="CR15">
        <v>1343.8</v>
      </c>
      <c r="CS15">
        <v>0.20830000000000001</v>
      </c>
      <c r="CT15">
        <v>1.6019999999999999</v>
      </c>
      <c r="CU15">
        <v>1.1073</v>
      </c>
      <c r="CV15">
        <v>1.0026999999999999</v>
      </c>
      <c r="CW15" t="s">
        <v>134</v>
      </c>
      <c r="CX15" t="s">
        <v>134</v>
      </c>
      <c r="CY15" t="s">
        <v>134</v>
      </c>
      <c r="CZ15" t="s">
        <v>134</v>
      </c>
      <c r="DA15" t="s">
        <v>134</v>
      </c>
      <c r="DB15" t="s">
        <v>134</v>
      </c>
      <c r="DC15" t="s">
        <v>134</v>
      </c>
      <c r="DD15" t="s">
        <v>134</v>
      </c>
      <c r="DE15">
        <v>10301.6</v>
      </c>
      <c r="DF15" t="s">
        <v>134</v>
      </c>
      <c r="DG15" t="s">
        <v>134</v>
      </c>
      <c r="DH15" t="s">
        <v>134</v>
      </c>
      <c r="DI15" t="s">
        <v>134</v>
      </c>
    </row>
    <row r="16" spans="1:113" x14ac:dyDescent="0.3">
      <c r="E16" t="s">
        <v>80</v>
      </c>
      <c r="F16" t="s">
        <v>134</v>
      </c>
      <c r="G16" t="s">
        <v>134</v>
      </c>
      <c r="H16" t="s">
        <v>134</v>
      </c>
      <c r="I16" t="s">
        <v>134</v>
      </c>
      <c r="J16">
        <v>7.1913</v>
      </c>
      <c r="K16">
        <v>5.1886999999999999</v>
      </c>
      <c r="L16" t="s">
        <v>134</v>
      </c>
      <c r="M16">
        <v>6.1136999999999997</v>
      </c>
      <c r="N16">
        <v>4.0034000000000001</v>
      </c>
      <c r="O16">
        <v>4.0034000000000001</v>
      </c>
      <c r="P16">
        <v>4.0034000000000001</v>
      </c>
      <c r="Q16">
        <v>34.518099999999997</v>
      </c>
      <c r="R16" t="s">
        <v>134</v>
      </c>
      <c r="S16" t="s">
        <v>134</v>
      </c>
      <c r="T16">
        <v>4.3888999999999996</v>
      </c>
      <c r="U16" t="s">
        <v>134</v>
      </c>
      <c r="V16">
        <v>-12.3331</v>
      </c>
      <c r="W16">
        <v>37.997999999999998</v>
      </c>
      <c r="X16">
        <v>38.267099999999999</v>
      </c>
      <c r="Y16" t="s">
        <v>134</v>
      </c>
      <c r="Z16" t="s">
        <v>134</v>
      </c>
      <c r="AA16" t="s">
        <v>134</v>
      </c>
      <c r="AB16" t="s">
        <v>134</v>
      </c>
      <c r="AC16" t="s">
        <v>134</v>
      </c>
      <c r="AD16" t="s">
        <v>134</v>
      </c>
      <c r="AE16" t="s">
        <v>134</v>
      </c>
      <c r="AF16" t="s">
        <v>134</v>
      </c>
      <c r="AG16" t="s">
        <v>134</v>
      </c>
      <c r="AH16" t="s">
        <v>134</v>
      </c>
      <c r="AI16" t="s">
        <v>134</v>
      </c>
      <c r="AJ16" t="s">
        <v>134</v>
      </c>
      <c r="AK16" t="s">
        <v>134</v>
      </c>
      <c r="AL16" t="s">
        <v>134</v>
      </c>
      <c r="AM16" t="s">
        <v>134</v>
      </c>
      <c r="AN16" t="s">
        <v>134</v>
      </c>
      <c r="AO16" t="s">
        <v>134</v>
      </c>
      <c r="AP16" t="s">
        <v>134</v>
      </c>
      <c r="AQ16" t="s">
        <v>134</v>
      </c>
      <c r="AR16" t="s">
        <v>134</v>
      </c>
      <c r="AS16" t="s">
        <v>134</v>
      </c>
      <c r="AT16" t="s">
        <v>134</v>
      </c>
      <c r="AU16" t="s">
        <v>134</v>
      </c>
      <c r="AV16" t="s">
        <v>134</v>
      </c>
      <c r="AW16" t="s">
        <v>134</v>
      </c>
      <c r="AX16" t="s">
        <v>134</v>
      </c>
      <c r="AY16" t="s">
        <v>134</v>
      </c>
      <c r="AZ16" t="s">
        <v>134</v>
      </c>
      <c r="BA16" t="s">
        <v>134</v>
      </c>
      <c r="BB16" t="s">
        <v>134</v>
      </c>
      <c r="BC16" t="s">
        <v>134</v>
      </c>
      <c r="BD16" t="s">
        <v>134</v>
      </c>
      <c r="BE16" t="s">
        <v>134</v>
      </c>
      <c r="BF16">
        <v>-2.0249999999999999</v>
      </c>
      <c r="BG16">
        <v>28.200399999999998</v>
      </c>
      <c r="BH16">
        <v>34.8825</v>
      </c>
      <c r="BI16">
        <v>45.686599999999999</v>
      </c>
      <c r="BJ16">
        <v>45.627400000000002</v>
      </c>
      <c r="BK16" t="s">
        <v>134</v>
      </c>
      <c r="BL16" t="s">
        <v>134</v>
      </c>
      <c r="BM16" t="s">
        <v>134</v>
      </c>
      <c r="BN16" t="s">
        <v>134</v>
      </c>
      <c r="BO16" t="s">
        <v>134</v>
      </c>
      <c r="BP16" t="s">
        <v>134</v>
      </c>
      <c r="BQ16" t="s">
        <v>134</v>
      </c>
      <c r="BR16" t="s">
        <v>134</v>
      </c>
      <c r="BS16" t="s">
        <v>134</v>
      </c>
      <c r="BT16" t="s">
        <v>134</v>
      </c>
      <c r="BU16" t="s">
        <v>134</v>
      </c>
      <c r="BV16" t="s">
        <v>134</v>
      </c>
      <c r="BW16" t="s">
        <v>134</v>
      </c>
      <c r="BX16" t="s">
        <v>134</v>
      </c>
      <c r="BY16" t="s">
        <v>134</v>
      </c>
      <c r="BZ16" t="s">
        <v>134</v>
      </c>
      <c r="CA16" t="s">
        <v>134</v>
      </c>
      <c r="CB16" t="s">
        <v>134</v>
      </c>
      <c r="CC16" t="s">
        <v>134</v>
      </c>
      <c r="CD16" t="s">
        <v>134</v>
      </c>
      <c r="CE16" t="s">
        <v>134</v>
      </c>
      <c r="CF16">
        <v>8.1712000000000007</v>
      </c>
      <c r="CG16" t="s">
        <v>134</v>
      </c>
      <c r="CH16" t="s">
        <v>134</v>
      </c>
      <c r="CI16" t="s">
        <v>134</v>
      </c>
      <c r="CJ16" t="s">
        <v>134</v>
      </c>
      <c r="CK16" t="s">
        <v>134</v>
      </c>
      <c r="CL16" t="s">
        <v>134</v>
      </c>
      <c r="CM16" t="s">
        <v>134</v>
      </c>
      <c r="CN16" t="s">
        <v>134</v>
      </c>
      <c r="CO16" t="s">
        <v>134</v>
      </c>
      <c r="CP16">
        <v>1456.1</v>
      </c>
      <c r="CQ16" t="s">
        <v>134</v>
      </c>
      <c r="CR16">
        <v>1050.5999999999999</v>
      </c>
      <c r="CS16" t="s">
        <v>134</v>
      </c>
      <c r="CT16" t="s">
        <v>134</v>
      </c>
      <c r="CU16" t="s">
        <v>134</v>
      </c>
      <c r="CV16" t="s">
        <v>134</v>
      </c>
      <c r="CW16" t="s">
        <v>134</v>
      </c>
      <c r="CX16" t="s">
        <v>134</v>
      </c>
      <c r="CY16" t="s">
        <v>134</v>
      </c>
      <c r="CZ16" t="s">
        <v>134</v>
      </c>
      <c r="DA16" t="s">
        <v>134</v>
      </c>
      <c r="DB16" t="s">
        <v>134</v>
      </c>
      <c r="DC16" t="s">
        <v>134</v>
      </c>
      <c r="DD16" t="s">
        <v>134</v>
      </c>
      <c r="DE16" t="s">
        <v>134</v>
      </c>
      <c r="DF16" t="s">
        <v>134</v>
      </c>
      <c r="DG16" t="s">
        <v>134</v>
      </c>
      <c r="DH16" t="s">
        <v>134</v>
      </c>
      <c r="DI16" t="s">
        <v>134</v>
      </c>
    </row>
    <row r="17" spans="1:113" x14ac:dyDescent="0.3">
      <c r="E17" t="s">
        <v>81</v>
      </c>
      <c r="F17" t="s">
        <v>134</v>
      </c>
      <c r="G17" t="s">
        <v>134</v>
      </c>
      <c r="H17" t="s">
        <v>134</v>
      </c>
      <c r="I17" t="s">
        <v>134</v>
      </c>
      <c r="J17" t="s">
        <v>134</v>
      </c>
      <c r="K17" t="s">
        <v>134</v>
      </c>
      <c r="L17" t="s">
        <v>134</v>
      </c>
      <c r="M17" t="s">
        <v>134</v>
      </c>
      <c r="N17" t="s">
        <v>134</v>
      </c>
      <c r="O17" t="s">
        <v>134</v>
      </c>
      <c r="P17" t="s">
        <v>134</v>
      </c>
      <c r="Q17" t="s">
        <v>134</v>
      </c>
      <c r="R17" t="s">
        <v>134</v>
      </c>
      <c r="S17" t="s">
        <v>134</v>
      </c>
      <c r="T17" t="s">
        <v>134</v>
      </c>
      <c r="U17" t="s">
        <v>134</v>
      </c>
      <c r="V17" t="s">
        <v>134</v>
      </c>
      <c r="W17" t="s">
        <v>134</v>
      </c>
      <c r="X17" t="s">
        <v>134</v>
      </c>
      <c r="Y17" t="s">
        <v>134</v>
      </c>
      <c r="Z17" t="s">
        <v>134</v>
      </c>
      <c r="AA17" t="s">
        <v>134</v>
      </c>
      <c r="AB17" t="s">
        <v>134</v>
      </c>
      <c r="AC17" t="s">
        <v>134</v>
      </c>
      <c r="AD17" t="s">
        <v>134</v>
      </c>
      <c r="AE17" t="s">
        <v>134</v>
      </c>
      <c r="AF17" t="s">
        <v>134</v>
      </c>
      <c r="AG17" t="s">
        <v>134</v>
      </c>
      <c r="AH17" t="s">
        <v>134</v>
      </c>
      <c r="AI17" t="s">
        <v>134</v>
      </c>
      <c r="AJ17" t="s">
        <v>134</v>
      </c>
      <c r="AK17" t="s">
        <v>134</v>
      </c>
      <c r="AL17" t="s">
        <v>134</v>
      </c>
      <c r="AM17" t="s">
        <v>134</v>
      </c>
      <c r="AN17" t="s">
        <v>134</v>
      </c>
      <c r="AO17" t="s">
        <v>134</v>
      </c>
      <c r="AP17" t="s">
        <v>134</v>
      </c>
      <c r="AQ17" t="s">
        <v>134</v>
      </c>
      <c r="AR17" t="s">
        <v>134</v>
      </c>
      <c r="AS17" t="s">
        <v>134</v>
      </c>
      <c r="AT17" t="s">
        <v>134</v>
      </c>
      <c r="AU17" t="s">
        <v>134</v>
      </c>
      <c r="AV17" t="s">
        <v>134</v>
      </c>
      <c r="AW17" t="s">
        <v>134</v>
      </c>
      <c r="AX17" t="s">
        <v>134</v>
      </c>
      <c r="AY17" t="s">
        <v>134</v>
      </c>
      <c r="AZ17" t="s">
        <v>134</v>
      </c>
      <c r="BA17" t="s">
        <v>134</v>
      </c>
      <c r="BB17" t="s">
        <v>134</v>
      </c>
      <c r="BC17" t="s">
        <v>134</v>
      </c>
      <c r="BD17" t="s">
        <v>134</v>
      </c>
      <c r="BE17" t="s">
        <v>134</v>
      </c>
      <c r="BF17" t="s">
        <v>134</v>
      </c>
      <c r="BG17" t="s">
        <v>134</v>
      </c>
      <c r="BH17" t="s">
        <v>134</v>
      </c>
      <c r="BI17" t="s">
        <v>134</v>
      </c>
      <c r="BJ17" t="s">
        <v>134</v>
      </c>
      <c r="BK17" t="s">
        <v>134</v>
      </c>
      <c r="BL17" t="s">
        <v>134</v>
      </c>
      <c r="BM17" t="s">
        <v>134</v>
      </c>
      <c r="BN17" t="s">
        <v>134</v>
      </c>
      <c r="BO17" t="s">
        <v>134</v>
      </c>
      <c r="BP17" t="s">
        <v>134</v>
      </c>
      <c r="BQ17" t="s">
        <v>134</v>
      </c>
      <c r="BR17" t="s">
        <v>134</v>
      </c>
      <c r="BS17" t="s">
        <v>134</v>
      </c>
      <c r="BT17" t="s">
        <v>134</v>
      </c>
      <c r="BU17" t="s">
        <v>134</v>
      </c>
      <c r="BV17" t="s">
        <v>134</v>
      </c>
      <c r="BW17" t="s">
        <v>134</v>
      </c>
      <c r="BX17" t="s">
        <v>134</v>
      </c>
      <c r="BY17" t="s">
        <v>134</v>
      </c>
      <c r="BZ17" t="s">
        <v>134</v>
      </c>
      <c r="CA17" t="s">
        <v>134</v>
      </c>
      <c r="CB17" t="s">
        <v>134</v>
      </c>
      <c r="CC17" t="s">
        <v>134</v>
      </c>
      <c r="CD17" t="s">
        <v>134</v>
      </c>
      <c r="CE17" t="s">
        <v>134</v>
      </c>
      <c r="CF17" t="s">
        <v>134</v>
      </c>
      <c r="CG17" t="s">
        <v>134</v>
      </c>
      <c r="CH17" t="s">
        <v>134</v>
      </c>
      <c r="CI17" t="s">
        <v>134</v>
      </c>
      <c r="CJ17" t="s">
        <v>134</v>
      </c>
      <c r="CK17" t="s">
        <v>134</v>
      </c>
      <c r="CL17" t="s">
        <v>134</v>
      </c>
      <c r="CM17" t="s">
        <v>134</v>
      </c>
      <c r="CN17" t="s">
        <v>134</v>
      </c>
      <c r="CO17" t="s">
        <v>134</v>
      </c>
      <c r="CP17" t="s">
        <v>134</v>
      </c>
      <c r="CQ17" t="s">
        <v>134</v>
      </c>
      <c r="CR17" t="s">
        <v>134</v>
      </c>
      <c r="CS17" t="s">
        <v>134</v>
      </c>
      <c r="CT17" t="s">
        <v>134</v>
      </c>
      <c r="CU17" t="s">
        <v>134</v>
      </c>
      <c r="CV17" t="s">
        <v>134</v>
      </c>
      <c r="CW17" t="s">
        <v>134</v>
      </c>
      <c r="CX17" t="s">
        <v>134</v>
      </c>
      <c r="CY17" t="s">
        <v>134</v>
      </c>
      <c r="CZ17" t="s">
        <v>134</v>
      </c>
      <c r="DA17" t="s">
        <v>134</v>
      </c>
      <c r="DB17" t="s">
        <v>134</v>
      </c>
      <c r="DC17" t="s">
        <v>134</v>
      </c>
      <c r="DD17" t="s">
        <v>134</v>
      </c>
      <c r="DE17" t="s">
        <v>134</v>
      </c>
      <c r="DF17" t="s">
        <v>134</v>
      </c>
      <c r="DG17" t="s">
        <v>134</v>
      </c>
      <c r="DH17" t="s">
        <v>134</v>
      </c>
      <c r="DI17" t="s">
        <v>134</v>
      </c>
    </row>
    <row r="18" spans="1:113" x14ac:dyDescent="0.3">
      <c r="D18" t="s">
        <v>84</v>
      </c>
      <c r="E18" t="s">
        <v>77</v>
      </c>
      <c r="F18" t="s">
        <v>134</v>
      </c>
      <c r="G18" t="s">
        <v>134</v>
      </c>
      <c r="H18" t="s">
        <v>134</v>
      </c>
      <c r="I18" t="s">
        <v>134</v>
      </c>
      <c r="J18">
        <v>8.5134000000000007</v>
      </c>
      <c r="K18">
        <v>6.7506000000000004</v>
      </c>
      <c r="L18" t="s">
        <v>134</v>
      </c>
      <c r="M18">
        <v>6.9382000000000001</v>
      </c>
      <c r="N18">
        <v>4.6862000000000004</v>
      </c>
      <c r="O18">
        <v>4.6862000000000004</v>
      </c>
      <c r="P18">
        <v>4.6862000000000004</v>
      </c>
      <c r="Q18">
        <v>32.457900000000002</v>
      </c>
      <c r="R18">
        <v>22.2026</v>
      </c>
      <c r="S18" t="s">
        <v>134</v>
      </c>
      <c r="T18" t="s">
        <v>134</v>
      </c>
      <c r="U18" t="s">
        <v>134</v>
      </c>
      <c r="V18" t="s">
        <v>134</v>
      </c>
      <c r="W18" t="s">
        <v>134</v>
      </c>
      <c r="X18" t="s">
        <v>134</v>
      </c>
      <c r="Y18" t="s">
        <v>134</v>
      </c>
      <c r="Z18" t="s">
        <v>134</v>
      </c>
      <c r="AA18" t="s">
        <v>134</v>
      </c>
      <c r="AB18" t="s">
        <v>134</v>
      </c>
      <c r="AC18" t="s">
        <v>134</v>
      </c>
      <c r="AD18" t="s">
        <v>134</v>
      </c>
      <c r="AE18" t="s">
        <v>134</v>
      </c>
      <c r="AF18" t="s">
        <v>134</v>
      </c>
      <c r="AG18" t="s">
        <v>134</v>
      </c>
      <c r="AH18" t="s">
        <v>134</v>
      </c>
      <c r="AI18" t="s">
        <v>134</v>
      </c>
      <c r="AJ18" t="s">
        <v>134</v>
      </c>
      <c r="AK18" t="s">
        <v>134</v>
      </c>
      <c r="AL18" t="s">
        <v>134</v>
      </c>
      <c r="AM18" t="s">
        <v>134</v>
      </c>
      <c r="AN18" t="s">
        <v>134</v>
      </c>
      <c r="AO18" t="s">
        <v>134</v>
      </c>
      <c r="AP18" t="s">
        <v>134</v>
      </c>
      <c r="AQ18" t="s">
        <v>134</v>
      </c>
      <c r="AR18" t="s">
        <v>134</v>
      </c>
      <c r="AS18" t="s">
        <v>134</v>
      </c>
      <c r="AT18" t="s">
        <v>134</v>
      </c>
      <c r="AU18" t="s">
        <v>134</v>
      </c>
      <c r="AV18" t="s">
        <v>134</v>
      </c>
      <c r="AW18" t="s">
        <v>134</v>
      </c>
      <c r="AX18" t="s">
        <v>134</v>
      </c>
      <c r="AY18" t="s">
        <v>134</v>
      </c>
      <c r="AZ18" t="s">
        <v>134</v>
      </c>
      <c r="BA18" t="s">
        <v>134</v>
      </c>
      <c r="BB18" t="s">
        <v>134</v>
      </c>
      <c r="BC18" t="s">
        <v>134</v>
      </c>
      <c r="BD18" t="s">
        <v>134</v>
      </c>
      <c r="BE18" t="s">
        <v>134</v>
      </c>
      <c r="BF18" t="s">
        <v>134</v>
      </c>
      <c r="BG18" t="s">
        <v>134</v>
      </c>
      <c r="BH18" t="s">
        <v>134</v>
      </c>
      <c r="BI18" t="s">
        <v>134</v>
      </c>
      <c r="BJ18" t="s">
        <v>134</v>
      </c>
      <c r="BK18" t="s">
        <v>134</v>
      </c>
      <c r="BL18" t="s">
        <v>134</v>
      </c>
      <c r="BM18" t="s">
        <v>134</v>
      </c>
      <c r="BN18" t="s">
        <v>134</v>
      </c>
      <c r="BO18" t="s">
        <v>134</v>
      </c>
      <c r="BP18" t="s">
        <v>134</v>
      </c>
      <c r="BQ18" t="s">
        <v>134</v>
      </c>
      <c r="BR18" t="s">
        <v>134</v>
      </c>
      <c r="BS18" t="s">
        <v>134</v>
      </c>
      <c r="BT18" t="s">
        <v>134</v>
      </c>
      <c r="BU18" t="s">
        <v>134</v>
      </c>
      <c r="BV18" t="s">
        <v>134</v>
      </c>
      <c r="BW18" t="s">
        <v>134</v>
      </c>
      <c r="BX18" t="s">
        <v>134</v>
      </c>
      <c r="BY18">
        <v>41.4</v>
      </c>
      <c r="BZ18">
        <v>0</v>
      </c>
      <c r="CA18">
        <v>41.4</v>
      </c>
      <c r="CB18">
        <v>5.4000000000000003E-3</v>
      </c>
      <c r="CC18">
        <v>-2.3010000000000002</v>
      </c>
      <c r="CD18">
        <v>6.7999999999999996E-3</v>
      </c>
      <c r="CE18">
        <v>-2.9018999999999999</v>
      </c>
      <c r="CF18">
        <v>11.6122</v>
      </c>
      <c r="CG18">
        <v>40.581299999999999</v>
      </c>
      <c r="CH18">
        <v>0.1148</v>
      </c>
      <c r="CI18">
        <v>0.11459999999999999</v>
      </c>
      <c r="CJ18">
        <v>4.6600000000000003E-2</v>
      </c>
      <c r="CK18">
        <v>0.1148</v>
      </c>
      <c r="CL18">
        <v>0.11459999999999999</v>
      </c>
      <c r="CM18">
        <v>4.6600000000000003E-2</v>
      </c>
      <c r="CN18">
        <v>-48.670699999999997</v>
      </c>
      <c r="CO18">
        <v>-94.820599999999999</v>
      </c>
      <c r="CP18">
        <v>7629.2</v>
      </c>
      <c r="CQ18">
        <v>5770.8</v>
      </c>
      <c r="CR18">
        <v>6049.5</v>
      </c>
      <c r="CS18">
        <v>0.33639999999999998</v>
      </c>
      <c r="CT18">
        <v>1.33</v>
      </c>
      <c r="CU18">
        <v>0.86939999999999995</v>
      </c>
      <c r="CV18">
        <v>4.9207000000000001</v>
      </c>
      <c r="CW18" t="s">
        <v>134</v>
      </c>
      <c r="CX18" t="s">
        <v>134</v>
      </c>
      <c r="CY18" t="s">
        <v>134</v>
      </c>
      <c r="CZ18" t="s">
        <v>134</v>
      </c>
      <c r="DA18" t="s">
        <v>134</v>
      </c>
      <c r="DB18" t="s">
        <v>134</v>
      </c>
      <c r="DC18" t="s">
        <v>134</v>
      </c>
      <c r="DD18" t="s">
        <v>134</v>
      </c>
      <c r="DE18">
        <v>11535.5</v>
      </c>
      <c r="DF18">
        <v>7351.2</v>
      </c>
      <c r="DG18">
        <v>3234.2</v>
      </c>
      <c r="DH18">
        <v>652.4</v>
      </c>
      <c r="DI18">
        <v>297.7</v>
      </c>
    </row>
    <row r="19" spans="1:113" x14ac:dyDescent="0.3">
      <c r="E19" t="s">
        <v>78</v>
      </c>
      <c r="F19" t="s">
        <v>134</v>
      </c>
      <c r="G19" t="s">
        <v>134</v>
      </c>
      <c r="H19" t="s">
        <v>134</v>
      </c>
      <c r="I19" t="s">
        <v>134</v>
      </c>
      <c r="J19">
        <v>7.9873000000000003</v>
      </c>
      <c r="K19">
        <v>6.2347000000000001</v>
      </c>
      <c r="L19">
        <v>12.1296</v>
      </c>
      <c r="M19">
        <v>6.1121999999999996</v>
      </c>
      <c r="N19">
        <v>4.1085000000000003</v>
      </c>
      <c r="O19">
        <v>4.1085000000000003</v>
      </c>
      <c r="P19">
        <v>4.1085000000000003</v>
      </c>
      <c r="Q19">
        <v>32.7819</v>
      </c>
      <c r="R19" t="s">
        <v>134</v>
      </c>
      <c r="S19" t="s">
        <v>134</v>
      </c>
      <c r="T19">
        <v>8.5892999999999997</v>
      </c>
      <c r="U19">
        <v>14.9785</v>
      </c>
      <c r="V19">
        <v>18.1874</v>
      </c>
      <c r="W19">
        <v>24.2181</v>
      </c>
      <c r="X19">
        <v>24.179099999999998</v>
      </c>
      <c r="Y19" t="s">
        <v>134</v>
      </c>
      <c r="Z19" t="s">
        <v>134</v>
      </c>
      <c r="AA19" t="s">
        <v>134</v>
      </c>
      <c r="AB19" t="s">
        <v>134</v>
      </c>
      <c r="AC19" t="s">
        <v>134</v>
      </c>
      <c r="AD19" t="s">
        <v>134</v>
      </c>
      <c r="AE19" t="s">
        <v>134</v>
      </c>
      <c r="AF19" t="s">
        <v>134</v>
      </c>
      <c r="AG19" t="s">
        <v>134</v>
      </c>
      <c r="AH19" t="s">
        <v>134</v>
      </c>
      <c r="AI19" t="s">
        <v>134</v>
      </c>
      <c r="AJ19" t="s">
        <v>134</v>
      </c>
      <c r="AK19" t="s">
        <v>134</v>
      </c>
      <c r="AL19" t="s">
        <v>134</v>
      </c>
      <c r="AM19" t="s">
        <v>134</v>
      </c>
      <c r="AN19" t="s">
        <v>134</v>
      </c>
      <c r="AO19" t="s">
        <v>134</v>
      </c>
      <c r="AP19" t="s">
        <v>134</v>
      </c>
      <c r="AQ19" t="s">
        <v>134</v>
      </c>
      <c r="AR19" t="s">
        <v>134</v>
      </c>
      <c r="AS19" t="s">
        <v>134</v>
      </c>
      <c r="AT19" t="s">
        <v>134</v>
      </c>
      <c r="AU19" t="s">
        <v>134</v>
      </c>
      <c r="AV19" t="s">
        <v>134</v>
      </c>
      <c r="AW19" t="s">
        <v>134</v>
      </c>
      <c r="AX19" t="s">
        <v>134</v>
      </c>
      <c r="AY19" t="s">
        <v>134</v>
      </c>
      <c r="AZ19" t="s">
        <v>134</v>
      </c>
      <c r="BA19" t="s">
        <v>134</v>
      </c>
      <c r="BB19" t="s">
        <v>134</v>
      </c>
      <c r="BC19" t="s">
        <v>134</v>
      </c>
      <c r="BD19" t="s">
        <v>134</v>
      </c>
      <c r="BE19" t="s">
        <v>134</v>
      </c>
      <c r="BF19" t="s">
        <v>134</v>
      </c>
      <c r="BG19" t="s">
        <v>134</v>
      </c>
      <c r="BH19" t="s">
        <v>134</v>
      </c>
      <c r="BI19" t="s">
        <v>134</v>
      </c>
      <c r="BJ19" t="s">
        <v>134</v>
      </c>
      <c r="BK19" t="s">
        <v>134</v>
      </c>
      <c r="BL19" t="s">
        <v>134</v>
      </c>
      <c r="BM19" t="s">
        <v>134</v>
      </c>
      <c r="BN19" t="s">
        <v>134</v>
      </c>
      <c r="BO19" t="s">
        <v>134</v>
      </c>
      <c r="BP19" t="s">
        <v>134</v>
      </c>
      <c r="BQ19" t="s">
        <v>134</v>
      </c>
      <c r="BR19" t="s">
        <v>134</v>
      </c>
      <c r="BS19" t="s">
        <v>134</v>
      </c>
      <c r="BT19" t="s">
        <v>134</v>
      </c>
      <c r="BU19" t="s">
        <v>134</v>
      </c>
      <c r="BV19" t="s">
        <v>134</v>
      </c>
      <c r="BW19" t="s">
        <v>134</v>
      </c>
      <c r="BX19" t="s">
        <v>134</v>
      </c>
      <c r="BY19" t="s">
        <v>134</v>
      </c>
      <c r="BZ19" t="s">
        <v>134</v>
      </c>
      <c r="CA19" t="s">
        <v>134</v>
      </c>
      <c r="CB19" t="s">
        <v>134</v>
      </c>
      <c r="CC19" t="s">
        <v>134</v>
      </c>
      <c r="CD19" t="s">
        <v>134</v>
      </c>
      <c r="CE19" t="s">
        <v>134</v>
      </c>
      <c r="CF19">
        <v>8.093</v>
      </c>
      <c r="CG19" t="s">
        <v>134</v>
      </c>
      <c r="CH19" t="s">
        <v>134</v>
      </c>
      <c r="CI19" t="s">
        <v>134</v>
      </c>
      <c r="CJ19" t="s">
        <v>134</v>
      </c>
      <c r="CK19" t="s">
        <v>134</v>
      </c>
      <c r="CL19" t="s">
        <v>134</v>
      </c>
      <c r="CM19" t="s">
        <v>134</v>
      </c>
      <c r="CN19" t="s">
        <v>134</v>
      </c>
      <c r="CO19" t="s">
        <v>134</v>
      </c>
      <c r="CP19">
        <v>1714.1</v>
      </c>
      <c r="CQ19" t="s">
        <v>134</v>
      </c>
      <c r="CR19">
        <v>1338</v>
      </c>
      <c r="CS19" t="s">
        <v>134</v>
      </c>
      <c r="CT19" t="s">
        <v>134</v>
      </c>
      <c r="CU19" t="s">
        <v>134</v>
      </c>
      <c r="CV19" t="s">
        <v>134</v>
      </c>
      <c r="CW19" t="s">
        <v>134</v>
      </c>
      <c r="CX19" t="s">
        <v>134</v>
      </c>
      <c r="CY19" t="s">
        <v>134</v>
      </c>
      <c r="CZ19" t="s">
        <v>134</v>
      </c>
      <c r="DA19" t="s">
        <v>134</v>
      </c>
      <c r="DB19" t="s">
        <v>134</v>
      </c>
      <c r="DC19" t="s">
        <v>134</v>
      </c>
      <c r="DD19" t="s">
        <v>134</v>
      </c>
      <c r="DE19" t="s">
        <v>134</v>
      </c>
      <c r="DF19" t="s">
        <v>134</v>
      </c>
      <c r="DG19" t="s">
        <v>134</v>
      </c>
      <c r="DH19" t="s">
        <v>134</v>
      </c>
      <c r="DI19" t="s">
        <v>134</v>
      </c>
    </row>
    <row r="20" spans="1:113" x14ac:dyDescent="0.3">
      <c r="E20" t="s">
        <v>79</v>
      </c>
      <c r="F20" t="s">
        <v>134</v>
      </c>
      <c r="G20" t="s">
        <v>134</v>
      </c>
      <c r="H20" t="s">
        <v>134</v>
      </c>
      <c r="I20" t="s">
        <v>134</v>
      </c>
      <c r="J20">
        <v>6.7224000000000004</v>
      </c>
      <c r="K20">
        <v>4.9737999999999998</v>
      </c>
      <c r="L20">
        <v>24.919899999999998</v>
      </c>
      <c r="M20">
        <v>5.4081999999999999</v>
      </c>
      <c r="N20">
        <v>3.4251</v>
      </c>
      <c r="O20">
        <v>3.4251</v>
      </c>
      <c r="P20">
        <v>3.4251</v>
      </c>
      <c r="Q20">
        <v>36.668900000000001</v>
      </c>
      <c r="R20" t="s">
        <v>134</v>
      </c>
      <c r="S20" t="s">
        <v>134</v>
      </c>
      <c r="T20">
        <v>6.0407000000000002</v>
      </c>
      <c r="U20">
        <v>29.7059</v>
      </c>
      <c r="V20">
        <v>39.940899999999999</v>
      </c>
      <c r="W20">
        <v>34.902900000000002</v>
      </c>
      <c r="X20">
        <v>34.6008</v>
      </c>
      <c r="Y20" t="s">
        <v>134</v>
      </c>
      <c r="Z20">
        <v>-99.091300000000004</v>
      </c>
      <c r="AA20">
        <v>-98.978399999999993</v>
      </c>
      <c r="AB20" t="s">
        <v>134</v>
      </c>
      <c r="AC20">
        <v>-98.889499999999998</v>
      </c>
      <c r="AD20">
        <v>-99.177199999999999</v>
      </c>
      <c r="AE20">
        <v>-98.943799999999996</v>
      </c>
      <c r="AF20">
        <v>-98.942999999999998</v>
      </c>
      <c r="AG20">
        <v>-91.703400000000002</v>
      </c>
      <c r="AH20">
        <v>-98.820400000000006</v>
      </c>
      <c r="AI20">
        <v>-98.937799999999996</v>
      </c>
      <c r="AJ20">
        <v>-98.918599999999998</v>
      </c>
      <c r="AK20">
        <v>-98.937799999999996</v>
      </c>
      <c r="AL20" t="s">
        <v>134</v>
      </c>
      <c r="AM20" t="s">
        <v>134</v>
      </c>
      <c r="AN20" t="s">
        <v>134</v>
      </c>
      <c r="AO20" t="s">
        <v>134</v>
      </c>
      <c r="AP20" t="s">
        <v>134</v>
      </c>
      <c r="AQ20" t="s">
        <v>134</v>
      </c>
      <c r="AR20" t="s">
        <v>134</v>
      </c>
      <c r="AS20" t="s">
        <v>134</v>
      </c>
      <c r="AT20" t="s">
        <v>134</v>
      </c>
      <c r="AU20" t="s">
        <v>134</v>
      </c>
      <c r="AV20" t="s">
        <v>134</v>
      </c>
      <c r="AW20" t="s">
        <v>134</v>
      </c>
      <c r="AX20" t="s">
        <v>134</v>
      </c>
      <c r="AY20" t="s">
        <v>134</v>
      </c>
      <c r="AZ20" t="s">
        <v>134</v>
      </c>
      <c r="BA20" t="s">
        <v>134</v>
      </c>
      <c r="BB20" t="s">
        <v>134</v>
      </c>
      <c r="BC20" t="s">
        <v>134</v>
      </c>
      <c r="BD20" t="s">
        <v>134</v>
      </c>
      <c r="BE20" t="s">
        <v>134</v>
      </c>
      <c r="BF20">
        <v>2.9637000000000002</v>
      </c>
      <c r="BG20">
        <v>-8.4343000000000004</v>
      </c>
      <c r="BH20">
        <v>-11.583399999999999</v>
      </c>
      <c r="BI20">
        <v>-16.581499999999998</v>
      </c>
      <c r="BJ20">
        <v>-16.7059</v>
      </c>
      <c r="BK20" t="s">
        <v>134</v>
      </c>
      <c r="BL20" t="s">
        <v>134</v>
      </c>
      <c r="BM20" t="s">
        <v>134</v>
      </c>
      <c r="BN20" t="s">
        <v>134</v>
      </c>
      <c r="BO20" t="s">
        <v>134</v>
      </c>
      <c r="BP20" t="s">
        <v>134</v>
      </c>
      <c r="BQ20" t="s">
        <v>134</v>
      </c>
      <c r="BR20" t="s">
        <v>134</v>
      </c>
      <c r="BS20" t="s">
        <v>134</v>
      </c>
      <c r="BT20" t="s">
        <v>134</v>
      </c>
      <c r="BU20" t="s">
        <v>134</v>
      </c>
      <c r="BV20" t="s">
        <v>134</v>
      </c>
      <c r="BW20" t="s">
        <v>134</v>
      </c>
      <c r="BX20" t="s">
        <v>134</v>
      </c>
      <c r="BY20">
        <v>7256.1</v>
      </c>
      <c r="BZ20">
        <v>1256.0999999999999</v>
      </c>
      <c r="CA20">
        <v>6000</v>
      </c>
      <c r="CB20" t="s">
        <v>134</v>
      </c>
      <c r="CC20" t="s">
        <v>134</v>
      </c>
      <c r="CD20" t="s">
        <v>134</v>
      </c>
      <c r="CE20" t="s">
        <v>134</v>
      </c>
      <c r="CF20">
        <v>6.3886000000000003</v>
      </c>
      <c r="CG20">
        <v>41.497300000000003</v>
      </c>
      <c r="CH20">
        <v>17.892299999999999</v>
      </c>
      <c r="CI20">
        <v>14.7095</v>
      </c>
      <c r="CJ20">
        <v>7.4248000000000003</v>
      </c>
      <c r="CK20">
        <v>21.638100000000001</v>
      </c>
      <c r="CL20">
        <v>17.788900000000002</v>
      </c>
      <c r="CM20">
        <v>8.9792000000000005</v>
      </c>
      <c r="CN20">
        <v>-25.6433</v>
      </c>
      <c r="CO20">
        <v>-34.486899999999999</v>
      </c>
      <c r="CP20">
        <v>1473.2</v>
      </c>
      <c r="CQ20" t="s">
        <v>134</v>
      </c>
      <c r="CR20">
        <v>1090</v>
      </c>
      <c r="CS20">
        <v>0.38919999999999999</v>
      </c>
      <c r="CT20">
        <v>1.54</v>
      </c>
      <c r="CU20">
        <v>1.083</v>
      </c>
      <c r="CV20">
        <v>4.8108000000000004</v>
      </c>
      <c r="CW20" t="s">
        <v>134</v>
      </c>
      <c r="CX20" t="s">
        <v>134</v>
      </c>
      <c r="CY20" t="s">
        <v>134</v>
      </c>
      <c r="CZ20" t="s">
        <v>134</v>
      </c>
      <c r="DA20" t="s">
        <v>134</v>
      </c>
      <c r="DB20" t="s">
        <v>134</v>
      </c>
      <c r="DC20" t="s">
        <v>134</v>
      </c>
      <c r="DD20" t="s">
        <v>134</v>
      </c>
      <c r="DE20">
        <v>10524.5</v>
      </c>
      <c r="DF20" t="s">
        <v>134</v>
      </c>
      <c r="DG20" t="s">
        <v>134</v>
      </c>
      <c r="DH20" t="s">
        <v>134</v>
      </c>
      <c r="DI20" t="s">
        <v>134</v>
      </c>
    </row>
    <row r="21" spans="1:113" x14ac:dyDescent="0.3">
      <c r="E21" t="s">
        <v>80</v>
      </c>
      <c r="F21" t="s">
        <v>134</v>
      </c>
      <c r="G21" t="s">
        <v>134</v>
      </c>
      <c r="H21" t="s">
        <v>134</v>
      </c>
      <c r="I21" t="s">
        <v>134</v>
      </c>
      <c r="J21">
        <v>7.1201999999999996</v>
      </c>
      <c r="K21">
        <v>5.0582000000000003</v>
      </c>
      <c r="L21" t="s">
        <v>134</v>
      </c>
      <c r="M21">
        <v>6.2529000000000003</v>
      </c>
      <c r="N21">
        <v>4.4260000000000002</v>
      </c>
      <c r="O21">
        <v>4.4260000000000002</v>
      </c>
      <c r="P21">
        <v>4.4260000000000002</v>
      </c>
      <c r="Q21">
        <v>29.2165</v>
      </c>
      <c r="R21" t="s">
        <v>134</v>
      </c>
      <c r="S21" t="s">
        <v>134</v>
      </c>
      <c r="T21">
        <v>-6.9493999999999998</v>
      </c>
      <c r="U21">
        <v>13.446099999999999</v>
      </c>
      <c r="V21">
        <v>22.635400000000001</v>
      </c>
      <c r="W21">
        <v>18.166399999999999</v>
      </c>
      <c r="X21">
        <v>18.318300000000001</v>
      </c>
      <c r="Y21" t="s">
        <v>134</v>
      </c>
      <c r="Z21" t="s">
        <v>134</v>
      </c>
      <c r="AA21" t="s">
        <v>134</v>
      </c>
      <c r="AB21" t="s">
        <v>134</v>
      </c>
      <c r="AC21" t="s">
        <v>134</v>
      </c>
      <c r="AD21" t="s">
        <v>134</v>
      </c>
      <c r="AE21" t="s">
        <v>134</v>
      </c>
      <c r="AF21" t="s">
        <v>134</v>
      </c>
      <c r="AG21" t="s">
        <v>134</v>
      </c>
      <c r="AH21" t="s">
        <v>134</v>
      </c>
      <c r="AI21" t="s">
        <v>134</v>
      </c>
      <c r="AJ21" t="s">
        <v>134</v>
      </c>
      <c r="AK21" t="s">
        <v>134</v>
      </c>
      <c r="AL21" t="s">
        <v>134</v>
      </c>
      <c r="AM21" t="s">
        <v>134</v>
      </c>
      <c r="AN21" t="s">
        <v>134</v>
      </c>
      <c r="AO21" t="s">
        <v>134</v>
      </c>
      <c r="AP21" t="s">
        <v>134</v>
      </c>
      <c r="AQ21" t="s">
        <v>134</v>
      </c>
      <c r="AR21" t="s">
        <v>134</v>
      </c>
      <c r="AS21" t="s">
        <v>134</v>
      </c>
      <c r="AT21" t="s">
        <v>134</v>
      </c>
      <c r="AU21" t="s">
        <v>134</v>
      </c>
      <c r="AV21" t="s">
        <v>134</v>
      </c>
      <c r="AW21" t="s">
        <v>134</v>
      </c>
      <c r="AX21" t="s">
        <v>134</v>
      </c>
      <c r="AY21" t="s">
        <v>134</v>
      </c>
      <c r="AZ21" t="s">
        <v>134</v>
      </c>
      <c r="BA21" t="s">
        <v>134</v>
      </c>
      <c r="BB21" t="s">
        <v>134</v>
      </c>
      <c r="BC21" t="s">
        <v>134</v>
      </c>
      <c r="BD21" t="s">
        <v>134</v>
      </c>
      <c r="BE21" t="s">
        <v>134</v>
      </c>
      <c r="BF21">
        <v>-14.0274</v>
      </c>
      <c r="BG21">
        <v>-8.9397000000000002</v>
      </c>
      <c r="BH21">
        <v>-12.5688</v>
      </c>
      <c r="BI21">
        <v>11.097799999999999</v>
      </c>
      <c r="BJ21">
        <v>11.2994</v>
      </c>
      <c r="BK21" t="s">
        <v>134</v>
      </c>
      <c r="BL21" t="s">
        <v>134</v>
      </c>
      <c r="BM21" t="s">
        <v>134</v>
      </c>
      <c r="BN21" t="s">
        <v>134</v>
      </c>
      <c r="BO21" t="s">
        <v>134</v>
      </c>
      <c r="BP21" t="s">
        <v>134</v>
      </c>
      <c r="BQ21" t="s">
        <v>134</v>
      </c>
      <c r="BR21" t="s">
        <v>134</v>
      </c>
      <c r="BS21" t="s">
        <v>134</v>
      </c>
      <c r="BT21" t="s">
        <v>134</v>
      </c>
      <c r="BU21" t="s">
        <v>134</v>
      </c>
      <c r="BV21" t="s">
        <v>134</v>
      </c>
      <c r="BW21" t="s">
        <v>134</v>
      </c>
      <c r="BX21" t="s">
        <v>134</v>
      </c>
      <c r="BY21" t="s">
        <v>134</v>
      </c>
      <c r="BZ21" t="s">
        <v>134</v>
      </c>
      <c r="CA21" t="s">
        <v>134</v>
      </c>
      <c r="CB21" t="s">
        <v>134</v>
      </c>
      <c r="CC21" t="s">
        <v>134</v>
      </c>
      <c r="CD21" t="s">
        <v>134</v>
      </c>
      <c r="CE21" t="s">
        <v>134</v>
      </c>
      <c r="CF21">
        <v>8.8025000000000002</v>
      </c>
      <c r="CG21" t="s">
        <v>134</v>
      </c>
      <c r="CH21" t="s">
        <v>134</v>
      </c>
      <c r="CI21" t="s">
        <v>134</v>
      </c>
      <c r="CJ21" t="s">
        <v>134</v>
      </c>
      <c r="CK21" t="s">
        <v>134</v>
      </c>
      <c r="CL21" t="s">
        <v>134</v>
      </c>
      <c r="CM21" t="s">
        <v>134</v>
      </c>
      <c r="CN21" t="s">
        <v>134</v>
      </c>
      <c r="CO21" t="s">
        <v>134</v>
      </c>
      <c r="CP21">
        <v>1341.5</v>
      </c>
      <c r="CQ21" t="s">
        <v>134</v>
      </c>
      <c r="CR21">
        <v>953</v>
      </c>
      <c r="CS21" t="s">
        <v>134</v>
      </c>
      <c r="CT21" t="s">
        <v>134</v>
      </c>
      <c r="CU21" t="s">
        <v>134</v>
      </c>
      <c r="CV21" t="s">
        <v>134</v>
      </c>
      <c r="CW21" t="s">
        <v>134</v>
      </c>
      <c r="CX21" t="s">
        <v>134</v>
      </c>
      <c r="CY21" t="s">
        <v>134</v>
      </c>
      <c r="CZ21" t="s">
        <v>134</v>
      </c>
      <c r="DA21" t="s">
        <v>134</v>
      </c>
      <c r="DB21" t="s">
        <v>134</v>
      </c>
      <c r="DC21" t="s">
        <v>134</v>
      </c>
      <c r="DD21" t="s">
        <v>134</v>
      </c>
      <c r="DE21" t="s">
        <v>134</v>
      </c>
      <c r="DF21" t="s">
        <v>134</v>
      </c>
      <c r="DG21" t="s">
        <v>134</v>
      </c>
      <c r="DH21" t="s">
        <v>134</v>
      </c>
      <c r="DI21" t="s">
        <v>134</v>
      </c>
    </row>
    <row r="22" spans="1:113" x14ac:dyDescent="0.3">
      <c r="E22" t="s">
        <v>81</v>
      </c>
      <c r="F22" t="s">
        <v>134</v>
      </c>
      <c r="G22" t="s">
        <v>134</v>
      </c>
      <c r="H22" t="s">
        <v>134</v>
      </c>
      <c r="I22" t="s">
        <v>134</v>
      </c>
      <c r="J22">
        <v>10.7202</v>
      </c>
      <c r="K22">
        <v>9.1438000000000006</v>
      </c>
      <c r="L22" t="s">
        <v>134</v>
      </c>
      <c r="M22">
        <v>9.1791999999999998</v>
      </c>
      <c r="N22">
        <v>6.2603</v>
      </c>
      <c r="O22">
        <v>6.2603</v>
      </c>
      <c r="P22">
        <v>6.2603</v>
      </c>
      <c r="Q22">
        <v>31.798500000000001</v>
      </c>
      <c r="R22" t="s">
        <v>134</v>
      </c>
      <c r="S22" t="s">
        <v>134</v>
      </c>
      <c r="T22" t="s">
        <v>134</v>
      </c>
      <c r="U22" t="s">
        <v>134</v>
      </c>
      <c r="V22" t="s">
        <v>134</v>
      </c>
      <c r="W22" t="s">
        <v>134</v>
      </c>
      <c r="X22" t="s">
        <v>134</v>
      </c>
      <c r="Y22" t="s">
        <v>134</v>
      </c>
      <c r="Z22" t="s">
        <v>134</v>
      </c>
      <c r="AA22" t="s">
        <v>134</v>
      </c>
      <c r="AB22" t="s">
        <v>134</v>
      </c>
      <c r="AC22" t="s">
        <v>134</v>
      </c>
      <c r="AD22" t="s">
        <v>134</v>
      </c>
      <c r="AE22" t="s">
        <v>134</v>
      </c>
      <c r="AF22" t="s">
        <v>134</v>
      </c>
      <c r="AG22" t="s">
        <v>134</v>
      </c>
      <c r="AH22" t="s">
        <v>134</v>
      </c>
      <c r="AI22" t="s">
        <v>134</v>
      </c>
      <c r="AJ22" t="s">
        <v>134</v>
      </c>
      <c r="AK22" t="s">
        <v>134</v>
      </c>
      <c r="AL22" t="s">
        <v>134</v>
      </c>
      <c r="AM22" t="s">
        <v>134</v>
      </c>
      <c r="AN22" t="s">
        <v>134</v>
      </c>
      <c r="AO22" t="s">
        <v>134</v>
      </c>
      <c r="AP22" t="s">
        <v>134</v>
      </c>
      <c r="AQ22" t="s">
        <v>134</v>
      </c>
      <c r="AR22" t="s">
        <v>134</v>
      </c>
      <c r="AS22" t="s">
        <v>134</v>
      </c>
      <c r="AT22" t="s">
        <v>134</v>
      </c>
      <c r="AU22" t="s">
        <v>134</v>
      </c>
      <c r="AV22" t="s">
        <v>134</v>
      </c>
      <c r="AW22" t="s">
        <v>134</v>
      </c>
      <c r="AX22" t="s">
        <v>134</v>
      </c>
      <c r="AY22" t="s">
        <v>134</v>
      </c>
      <c r="AZ22" t="s">
        <v>134</v>
      </c>
      <c r="BA22" t="s">
        <v>134</v>
      </c>
      <c r="BB22" t="s">
        <v>134</v>
      </c>
      <c r="BC22" t="s">
        <v>134</v>
      </c>
      <c r="BD22" t="s">
        <v>134</v>
      </c>
      <c r="BE22" t="s">
        <v>134</v>
      </c>
      <c r="BF22">
        <v>45.417900000000003</v>
      </c>
      <c r="BG22">
        <v>118.9415</v>
      </c>
      <c r="BH22">
        <v>162.8751</v>
      </c>
      <c r="BI22">
        <v>105.6841</v>
      </c>
      <c r="BJ22">
        <v>105.32989999999999</v>
      </c>
      <c r="BK22" t="s">
        <v>134</v>
      </c>
      <c r="BL22" t="s">
        <v>134</v>
      </c>
      <c r="BM22" t="s">
        <v>134</v>
      </c>
      <c r="BN22" t="s">
        <v>134</v>
      </c>
      <c r="BO22" t="s">
        <v>134</v>
      </c>
      <c r="BP22" t="s">
        <v>134</v>
      </c>
      <c r="BQ22" t="s">
        <v>134</v>
      </c>
      <c r="BR22" t="s">
        <v>134</v>
      </c>
      <c r="BS22" t="s">
        <v>134</v>
      </c>
      <c r="BT22" t="s">
        <v>134</v>
      </c>
      <c r="BU22" t="s">
        <v>134</v>
      </c>
      <c r="BV22" t="s">
        <v>134</v>
      </c>
      <c r="BW22" t="s">
        <v>134</v>
      </c>
      <c r="BX22" t="s">
        <v>134</v>
      </c>
      <c r="BY22">
        <v>41.4</v>
      </c>
      <c r="BZ22">
        <v>0</v>
      </c>
      <c r="CA22">
        <v>41.4</v>
      </c>
      <c r="CB22">
        <v>5.5999999999999999E-3</v>
      </c>
      <c r="CC22">
        <v>-2.3849999999999998</v>
      </c>
      <c r="CD22">
        <v>7.1999999999999998E-3</v>
      </c>
      <c r="CE22">
        <v>-3.0367000000000002</v>
      </c>
      <c r="CF22">
        <v>16.472799999999999</v>
      </c>
      <c r="CG22">
        <v>40.581299999999999</v>
      </c>
      <c r="CH22">
        <v>0.1148</v>
      </c>
      <c r="CI22">
        <v>0.11459999999999999</v>
      </c>
      <c r="CJ22">
        <v>4.6600000000000003E-2</v>
      </c>
      <c r="CK22">
        <v>0.1148</v>
      </c>
      <c r="CL22">
        <v>0.11459999999999999</v>
      </c>
      <c r="CM22">
        <v>4.6600000000000003E-2</v>
      </c>
      <c r="CN22">
        <v>-48.670699999999997</v>
      </c>
      <c r="CO22">
        <v>-94.820599999999999</v>
      </c>
      <c r="CP22">
        <v>2937.1</v>
      </c>
      <c r="CQ22" t="s">
        <v>134</v>
      </c>
      <c r="CR22">
        <v>2505.1999999999998</v>
      </c>
      <c r="CS22">
        <v>0.33639999999999998</v>
      </c>
      <c r="CT22">
        <v>1.33</v>
      </c>
      <c r="CU22">
        <v>0.86939999999999995</v>
      </c>
      <c r="CV22">
        <v>4.9207000000000001</v>
      </c>
      <c r="CW22" t="s">
        <v>134</v>
      </c>
      <c r="CX22" t="s">
        <v>134</v>
      </c>
      <c r="CY22" t="s">
        <v>134</v>
      </c>
      <c r="CZ22" t="s">
        <v>134</v>
      </c>
      <c r="DA22" t="s">
        <v>134</v>
      </c>
      <c r="DB22" t="s">
        <v>134</v>
      </c>
      <c r="DC22" t="s">
        <v>134</v>
      </c>
      <c r="DD22" t="s">
        <v>134</v>
      </c>
      <c r="DE22">
        <v>11535.5</v>
      </c>
      <c r="DF22">
        <v>7351.2</v>
      </c>
      <c r="DG22">
        <v>3234.2</v>
      </c>
      <c r="DH22">
        <v>652.4</v>
      </c>
      <c r="DI22">
        <v>297.7</v>
      </c>
    </row>
    <row r="23" spans="1:113" x14ac:dyDescent="0.3">
      <c r="D23" t="s">
        <v>85</v>
      </c>
      <c r="E23" t="s">
        <v>77</v>
      </c>
      <c r="F23" t="s">
        <v>134</v>
      </c>
      <c r="G23" t="s">
        <v>134</v>
      </c>
      <c r="H23" t="s">
        <v>134</v>
      </c>
      <c r="I23" t="s">
        <v>134</v>
      </c>
      <c r="J23" t="s">
        <v>134</v>
      </c>
      <c r="K23" t="s">
        <v>134</v>
      </c>
      <c r="L23" t="s">
        <v>134</v>
      </c>
      <c r="M23" t="s">
        <v>134</v>
      </c>
      <c r="N23" t="s">
        <v>134</v>
      </c>
      <c r="O23" t="s">
        <v>134</v>
      </c>
      <c r="P23" t="s">
        <v>134</v>
      </c>
      <c r="Q23" t="s">
        <v>134</v>
      </c>
      <c r="R23" t="s">
        <v>134</v>
      </c>
      <c r="S23" t="s">
        <v>134</v>
      </c>
      <c r="T23" t="s">
        <v>134</v>
      </c>
      <c r="U23" t="s">
        <v>134</v>
      </c>
      <c r="V23" t="s">
        <v>134</v>
      </c>
      <c r="W23" t="s">
        <v>134</v>
      </c>
      <c r="X23" t="s">
        <v>134</v>
      </c>
      <c r="Y23" t="s">
        <v>134</v>
      </c>
      <c r="Z23" t="s">
        <v>134</v>
      </c>
      <c r="AA23" t="s">
        <v>134</v>
      </c>
      <c r="AB23" t="s">
        <v>134</v>
      </c>
      <c r="AC23" t="s">
        <v>134</v>
      </c>
      <c r="AD23" t="s">
        <v>134</v>
      </c>
      <c r="AE23" t="s">
        <v>134</v>
      </c>
      <c r="AF23" t="s">
        <v>134</v>
      </c>
      <c r="AG23" t="s">
        <v>134</v>
      </c>
      <c r="AH23" t="s">
        <v>134</v>
      </c>
      <c r="AI23" t="s">
        <v>134</v>
      </c>
      <c r="AJ23" t="s">
        <v>134</v>
      </c>
      <c r="AK23" t="s">
        <v>134</v>
      </c>
      <c r="AL23" t="s">
        <v>134</v>
      </c>
      <c r="AM23" t="s">
        <v>134</v>
      </c>
      <c r="AN23" t="s">
        <v>134</v>
      </c>
      <c r="AO23" t="s">
        <v>134</v>
      </c>
      <c r="AP23" t="s">
        <v>134</v>
      </c>
      <c r="AQ23" t="s">
        <v>134</v>
      </c>
      <c r="AR23" t="s">
        <v>134</v>
      </c>
      <c r="AS23" t="s">
        <v>134</v>
      </c>
      <c r="AT23" t="s">
        <v>134</v>
      </c>
      <c r="AU23" t="s">
        <v>134</v>
      </c>
      <c r="AV23" t="s">
        <v>134</v>
      </c>
      <c r="AW23" t="s">
        <v>134</v>
      </c>
      <c r="AX23" t="s">
        <v>134</v>
      </c>
      <c r="AY23" t="s">
        <v>134</v>
      </c>
      <c r="AZ23" t="s">
        <v>134</v>
      </c>
      <c r="BA23" t="s">
        <v>134</v>
      </c>
      <c r="BB23" t="s">
        <v>134</v>
      </c>
      <c r="BC23" t="s">
        <v>134</v>
      </c>
      <c r="BD23" t="s">
        <v>134</v>
      </c>
      <c r="BE23" t="s">
        <v>134</v>
      </c>
      <c r="BF23" t="s">
        <v>134</v>
      </c>
      <c r="BG23" t="s">
        <v>134</v>
      </c>
      <c r="BH23" t="s">
        <v>134</v>
      </c>
      <c r="BI23" t="s">
        <v>134</v>
      </c>
      <c r="BJ23" t="s">
        <v>134</v>
      </c>
      <c r="BK23" t="s">
        <v>134</v>
      </c>
      <c r="BL23" t="s">
        <v>134</v>
      </c>
      <c r="BM23" t="s">
        <v>134</v>
      </c>
      <c r="BN23" t="s">
        <v>134</v>
      </c>
      <c r="BO23" t="s">
        <v>134</v>
      </c>
      <c r="BP23" t="s">
        <v>134</v>
      </c>
      <c r="BQ23" t="s">
        <v>134</v>
      </c>
      <c r="BR23" t="s">
        <v>134</v>
      </c>
      <c r="BS23" t="s">
        <v>134</v>
      </c>
      <c r="BT23" t="s">
        <v>134</v>
      </c>
      <c r="BU23" t="s">
        <v>134</v>
      </c>
      <c r="BV23" t="s">
        <v>134</v>
      </c>
      <c r="BW23" t="s">
        <v>134</v>
      </c>
      <c r="BX23" t="s">
        <v>134</v>
      </c>
      <c r="BY23" t="s">
        <v>134</v>
      </c>
      <c r="BZ23" t="s">
        <v>134</v>
      </c>
      <c r="CA23" t="s">
        <v>134</v>
      </c>
      <c r="CB23" t="s">
        <v>134</v>
      </c>
      <c r="CC23" t="s">
        <v>134</v>
      </c>
      <c r="CD23" t="s">
        <v>134</v>
      </c>
      <c r="CE23" t="s">
        <v>134</v>
      </c>
      <c r="CF23" t="s">
        <v>134</v>
      </c>
      <c r="CG23" t="s">
        <v>134</v>
      </c>
      <c r="CH23" t="s">
        <v>134</v>
      </c>
      <c r="CI23" t="s">
        <v>134</v>
      </c>
      <c r="CJ23" t="s">
        <v>134</v>
      </c>
      <c r="CK23" t="s">
        <v>134</v>
      </c>
      <c r="CL23" t="s">
        <v>134</v>
      </c>
      <c r="CM23" t="s">
        <v>134</v>
      </c>
      <c r="CN23" t="s">
        <v>134</v>
      </c>
      <c r="CO23" t="s">
        <v>134</v>
      </c>
      <c r="CP23" t="s">
        <v>134</v>
      </c>
      <c r="CQ23" t="s">
        <v>134</v>
      </c>
      <c r="CR23" t="s">
        <v>134</v>
      </c>
      <c r="CS23" t="s">
        <v>134</v>
      </c>
      <c r="CT23" t="s">
        <v>134</v>
      </c>
      <c r="CU23" t="s">
        <v>134</v>
      </c>
      <c r="CV23" t="s">
        <v>134</v>
      </c>
      <c r="CW23" t="s">
        <v>134</v>
      </c>
      <c r="CX23" t="s">
        <v>134</v>
      </c>
      <c r="CY23" t="s">
        <v>134</v>
      </c>
      <c r="CZ23" t="s">
        <v>134</v>
      </c>
      <c r="DA23" t="s">
        <v>134</v>
      </c>
      <c r="DB23" t="s">
        <v>134</v>
      </c>
      <c r="DC23" t="s">
        <v>134</v>
      </c>
      <c r="DD23" t="s">
        <v>134</v>
      </c>
      <c r="DE23" t="s">
        <v>134</v>
      </c>
      <c r="DF23" t="s">
        <v>134</v>
      </c>
      <c r="DG23" t="s">
        <v>134</v>
      </c>
      <c r="DH23" t="s">
        <v>134</v>
      </c>
      <c r="DI23" t="s">
        <v>134</v>
      </c>
    </row>
    <row r="24" spans="1:113" x14ac:dyDescent="0.3">
      <c r="E24" t="s">
        <v>78</v>
      </c>
      <c r="F24" t="s">
        <v>134</v>
      </c>
      <c r="G24" t="s">
        <v>134</v>
      </c>
      <c r="H24" t="s">
        <v>134</v>
      </c>
      <c r="I24" t="s">
        <v>134</v>
      </c>
      <c r="J24" t="s">
        <v>134</v>
      </c>
      <c r="K24" t="s">
        <v>134</v>
      </c>
      <c r="L24" t="s">
        <v>134</v>
      </c>
      <c r="M24" t="s">
        <v>134</v>
      </c>
      <c r="N24" t="s">
        <v>134</v>
      </c>
      <c r="O24" t="s">
        <v>134</v>
      </c>
      <c r="P24" t="s">
        <v>134</v>
      </c>
      <c r="Q24" t="s">
        <v>134</v>
      </c>
      <c r="R24" t="s">
        <v>134</v>
      </c>
      <c r="S24" t="s">
        <v>134</v>
      </c>
      <c r="T24" t="s">
        <v>134</v>
      </c>
      <c r="U24" t="s">
        <v>134</v>
      </c>
      <c r="V24" t="s">
        <v>134</v>
      </c>
      <c r="W24" t="s">
        <v>134</v>
      </c>
      <c r="X24" t="s">
        <v>134</v>
      </c>
      <c r="Y24" t="s">
        <v>134</v>
      </c>
      <c r="Z24" t="s">
        <v>134</v>
      </c>
      <c r="AA24" t="s">
        <v>134</v>
      </c>
      <c r="AB24" t="s">
        <v>134</v>
      </c>
      <c r="AC24" t="s">
        <v>134</v>
      </c>
      <c r="AD24" t="s">
        <v>134</v>
      </c>
      <c r="AE24" t="s">
        <v>134</v>
      </c>
      <c r="AF24" t="s">
        <v>134</v>
      </c>
      <c r="AG24" t="s">
        <v>134</v>
      </c>
      <c r="AH24" t="s">
        <v>134</v>
      </c>
      <c r="AI24" t="s">
        <v>134</v>
      </c>
      <c r="AJ24" t="s">
        <v>134</v>
      </c>
      <c r="AK24" t="s">
        <v>134</v>
      </c>
      <c r="AL24" t="s">
        <v>134</v>
      </c>
      <c r="AM24" t="s">
        <v>134</v>
      </c>
      <c r="AN24" t="s">
        <v>134</v>
      </c>
      <c r="AO24" t="s">
        <v>134</v>
      </c>
      <c r="AP24" t="s">
        <v>134</v>
      </c>
      <c r="AQ24" t="s">
        <v>134</v>
      </c>
      <c r="AR24" t="s">
        <v>134</v>
      </c>
      <c r="AS24" t="s">
        <v>134</v>
      </c>
      <c r="AT24" t="s">
        <v>134</v>
      </c>
      <c r="AU24" t="s">
        <v>134</v>
      </c>
      <c r="AV24" t="s">
        <v>134</v>
      </c>
      <c r="AW24" t="s">
        <v>134</v>
      </c>
      <c r="AX24" t="s">
        <v>134</v>
      </c>
      <c r="AY24" t="s">
        <v>134</v>
      </c>
      <c r="AZ24" t="s">
        <v>134</v>
      </c>
      <c r="BA24" t="s">
        <v>134</v>
      </c>
      <c r="BB24" t="s">
        <v>134</v>
      </c>
      <c r="BC24" t="s">
        <v>134</v>
      </c>
      <c r="BD24" t="s">
        <v>134</v>
      </c>
      <c r="BE24" t="s">
        <v>134</v>
      </c>
      <c r="BF24" t="s">
        <v>134</v>
      </c>
      <c r="BG24" t="s">
        <v>134</v>
      </c>
      <c r="BH24" t="s">
        <v>134</v>
      </c>
      <c r="BI24" t="s">
        <v>134</v>
      </c>
      <c r="BJ24" t="s">
        <v>134</v>
      </c>
      <c r="BK24" t="s">
        <v>134</v>
      </c>
      <c r="BL24" t="s">
        <v>134</v>
      </c>
      <c r="BM24" t="s">
        <v>134</v>
      </c>
      <c r="BN24" t="s">
        <v>134</v>
      </c>
      <c r="BO24" t="s">
        <v>134</v>
      </c>
      <c r="BP24" t="s">
        <v>134</v>
      </c>
      <c r="BQ24" t="s">
        <v>134</v>
      </c>
      <c r="BR24" t="s">
        <v>134</v>
      </c>
      <c r="BS24" t="s">
        <v>134</v>
      </c>
      <c r="BT24" t="s">
        <v>134</v>
      </c>
      <c r="BU24" t="s">
        <v>134</v>
      </c>
      <c r="BV24" t="s">
        <v>134</v>
      </c>
      <c r="BW24" t="s">
        <v>134</v>
      </c>
      <c r="BX24" t="s">
        <v>134</v>
      </c>
      <c r="BY24" t="s">
        <v>134</v>
      </c>
      <c r="BZ24" t="s">
        <v>134</v>
      </c>
      <c r="CA24" t="s">
        <v>134</v>
      </c>
      <c r="CB24" t="s">
        <v>134</v>
      </c>
      <c r="CC24" t="s">
        <v>134</v>
      </c>
      <c r="CD24" t="s">
        <v>134</v>
      </c>
      <c r="CE24" t="s">
        <v>134</v>
      </c>
      <c r="CF24" t="s">
        <v>134</v>
      </c>
      <c r="CG24" t="s">
        <v>134</v>
      </c>
      <c r="CH24" t="s">
        <v>134</v>
      </c>
      <c r="CI24" t="s">
        <v>134</v>
      </c>
      <c r="CJ24" t="s">
        <v>134</v>
      </c>
      <c r="CK24" t="s">
        <v>134</v>
      </c>
      <c r="CL24" t="s">
        <v>134</v>
      </c>
      <c r="CM24" t="s">
        <v>134</v>
      </c>
      <c r="CN24" t="s">
        <v>134</v>
      </c>
      <c r="CO24" t="s">
        <v>134</v>
      </c>
      <c r="CP24" t="s">
        <v>134</v>
      </c>
      <c r="CQ24" t="s">
        <v>134</v>
      </c>
      <c r="CR24" t="s">
        <v>134</v>
      </c>
      <c r="CS24" t="s">
        <v>134</v>
      </c>
      <c r="CT24" t="s">
        <v>134</v>
      </c>
      <c r="CU24" t="s">
        <v>134</v>
      </c>
      <c r="CV24" t="s">
        <v>134</v>
      </c>
      <c r="CW24" t="s">
        <v>134</v>
      </c>
      <c r="CX24" t="s">
        <v>134</v>
      </c>
      <c r="CY24" t="s">
        <v>134</v>
      </c>
      <c r="CZ24" t="s">
        <v>134</v>
      </c>
      <c r="DA24" t="s">
        <v>134</v>
      </c>
      <c r="DB24" t="s">
        <v>134</v>
      </c>
      <c r="DC24" t="s">
        <v>134</v>
      </c>
      <c r="DD24" t="s">
        <v>134</v>
      </c>
      <c r="DE24" t="s">
        <v>134</v>
      </c>
      <c r="DF24" t="s">
        <v>134</v>
      </c>
      <c r="DG24" t="s">
        <v>134</v>
      </c>
      <c r="DH24" t="s">
        <v>134</v>
      </c>
      <c r="DI24" t="s">
        <v>134</v>
      </c>
    </row>
    <row r="25" spans="1:113" x14ac:dyDescent="0.3">
      <c r="E25" t="s">
        <v>79</v>
      </c>
      <c r="F25" t="s">
        <v>134</v>
      </c>
      <c r="G25" t="s">
        <v>134</v>
      </c>
      <c r="H25" t="s">
        <v>134</v>
      </c>
      <c r="I25" t="s">
        <v>134</v>
      </c>
      <c r="J25" t="s">
        <v>134</v>
      </c>
      <c r="K25" t="s">
        <v>134</v>
      </c>
      <c r="L25" t="s">
        <v>134</v>
      </c>
      <c r="M25" t="s">
        <v>134</v>
      </c>
      <c r="N25" t="s">
        <v>134</v>
      </c>
      <c r="O25" t="s">
        <v>134</v>
      </c>
      <c r="P25" t="s">
        <v>134</v>
      </c>
      <c r="Q25" t="s">
        <v>134</v>
      </c>
      <c r="R25" t="s">
        <v>134</v>
      </c>
      <c r="S25" t="s">
        <v>134</v>
      </c>
      <c r="T25" t="s">
        <v>134</v>
      </c>
      <c r="U25" t="s">
        <v>134</v>
      </c>
      <c r="V25" t="s">
        <v>134</v>
      </c>
      <c r="W25" t="s">
        <v>134</v>
      </c>
      <c r="X25" t="s">
        <v>134</v>
      </c>
      <c r="Y25" t="s">
        <v>134</v>
      </c>
      <c r="Z25" t="s">
        <v>134</v>
      </c>
      <c r="AA25" t="s">
        <v>134</v>
      </c>
      <c r="AB25" t="s">
        <v>134</v>
      </c>
      <c r="AC25" t="s">
        <v>134</v>
      </c>
      <c r="AD25" t="s">
        <v>134</v>
      </c>
      <c r="AE25" t="s">
        <v>134</v>
      </c>
      <c r="AF25" t="s">
        <v>134</v>
      </c>
      <c r="AG25" t="s">
        <v>134</v>
      </c>
      <c r="AH25" t="s">
        <v>134</v>
      </c>
      <c r="AI25" t="s">
        <v>134</v>
      </c>
      <c r="AJ25" t="s">
        <v>134</v>
      </c>
      <c r="AK25" t="s">
        <v>134</v>
      </c>
      <c r="AL25" t="s">
        <v>134</v>
      </c>
      <c r="AM25" t="s">
        <v>134</v>
      </c>
      <c r="AN25" t="s">
        <v>134</v>
      </c>
      <c r="AO25" t="s">
        <v>134</v>
      </c>
      <c r="AP25" t="s">
        <v>134</v>
      </c>
      <c r="AQ25" t="s">
        <v>134</v>
      </c>
      <c r="AR25" t="s">
        <v>134</v>
      </c>
      <c r="AS25" t="s">
        <v>134</v>
      </c>
      <c r="AT25" t="s">
        <v>134</v>
      </c>
      <c r="AU25" t="s">
        <v>134</v>
      </c>
      <c r="AV25" t="s">
        <v>134</v>
      </c>
      <c r="AW25" t="s">
        <v>134</v>
      </c>
      <c r="AX25" t="s">
        <v>134</v>
      </c>
      <c r="AY25" t="s">
        <v>134</v>
      </c>
      <c r="AZ25" t="s">
        <v>134</v>
      </c>
      <c r="BA25" t="s">
        <v>134</v>
      </c>
      <c r="BB25" t="s">
        <v>134</v>
      </c>
      <c r="BC25" t="s">
        <v>134</v>
      </c>
      <c r="BD25" t="s">
        <v>134</v>
      </c>
      <c r="BE25" t="s">
        <v>134</v>
      </c>
      <c r="BF25" t="s">
        <v>134</v>
      </c>
      <c r="BG25" t="s">
        <v>134</v>
      </c>
      <c r="BH25" t="s">
        <v>134</v>
      </c>
      <c r="BI25" t="s">
        <v>134</v>
      </c>
      <c r="BJ25" t="s">
        <v>134</v>
      </c>
      <c r="BK25" t="s">
        <v>134</v>
      </c>
      <c r="BL25" t="s">
        <v>134</v>
      </c>
      <c r="BM25" t="s">
        <v>134</v>
      </c>
      <c r="BN25" t="s">
        <v>134</v>
      </c>
      <c r="BO25" t="s">
        <v>134</v>
      </c>
      <c r="BP25" t="s">
        <v>134</v>
      </c>
      <c r="BQ25" t="s">
        <v>134</v>
      </c>
      <c r="BR25" t="s">
        <v>134</v>
      </c>
      <c r="BS25" t="s">
        <v>134</v>
      </c>
      <c r="BT25" t="s">
        <v>134</v>
      </c>
      <c r="BU25" t="s">
        <v>134</v>
      </c>
      <c r="BV25" t="s">
        <v>134</v>
      </c>
      <c r="BW25" t="s">
        <v>134</v>
      </c>
      <c r="BX25" t="s">
        <v>134</v>
      </c>
      <c r="BY25" t="s">
        <v>134</v>
      </c>
      <c r="BZ25" t="s">
        <v>134</v>
      </c>
      <c r="CA25" t="s">
        <v>134</v>
      </c>
      <c r="CB25" t="s">
        <v>134</v>
      </c>
      <c r="CC25" t="s">
        <v>134</v>
      </c>
      <c r="CD25" t="s">
        <v>134</v>
      </c>
      <c r="CE25" t="s">
        <v>134</v>
      </c>
      <c r="CF25" t="s">
        <v>134</v>
      </c>
      <c r="CG25" t="s">
        <v>134</v>
      </c>
      <c r="CH25" t="s">
        <v>134</v>
      </c>
      <c r="CI25" t="s">
        <v>134</v>
      </c>
      <c r="CJ25" t="s">
        <v>134</v>
      </c>
      <c r="CK25" t="s">
        <v>134</v>
      </c>
      <c r="CL25" t="s">
        <v>134</v>
      </c>
      <c r="CM25" t="s">
        <v>134</v>
      </c>
      <c r="CN25" t="s">
        <v>134</v>
      </c>
      <c r="CO25" t="s">
        <v>134</v>
      </c>
      <c r="CP25" t="s">
        <v>134</v>
      </c>
      <c r="CQ25" t="s">
        <v>134</v>
      </c>
      <c r="CR25" t="s">
        <v>134</v>
      </c>
      <c r="CS25" t="s">
        <v>134</v>
      </c>
      <c r="CT25" t="s">
        <v>134</v>
      </c>
      <c r="CU25" t="s">
        <v>134</v>
      </c>
      <c r="CV25" t="s">
        <v>134</v>
      </c>
      <c r="CW25" t="s">
        <v>134</v>
      </c>
      <c r="CX25" t="s">
        <v>134</v>
      </c>
      <c r="CY25" t="s">
        <v>134</v>
      </c>
      <c r="CZ25" t="s">
        <v>134</v>
      </c>
      <c r="DA25" t="s">
        <v>134</v>
      </c>
      <c r="DB25" t="s">
        <v>134</v>
      </c>
      <c r="DC25" t="s">
        <v>134</v>
      </c>
      <c r="DD25" t="s">
        <v>134</v>
      </c>
      <c r="DE25" t="s">
        <v>134</v>
      </c>
      <c r="DF25" t="s">
        <v>134</v>
      </c>
      <c r="DG25" t="s">
        <v>134</v>
      </c>
      <c r="DH25" t="s">
        <v>134</v>
      </c>
      <c r="DI25" t="s">
        <v>134</v>
      </c>
    </row>
    <row r="26" spans="1:113" x14ac:dyDescent="0.3">
      <c r="E26" t="s">
        <v>80</v>
      </c>
      <c r="F26" t="s">
        <v>134</v>
      </c>
      <c r="G26" t="s">
        <v>134</v>
      </c>
      <c r="H26" t="s">
        <v>134</v>
      </c>
      <c r="I26" t="s">
        <v>134</v>
      </c>
      <c r="J26" t="s">
        <v>134</v>
      </c>
      <c r="K26" t="s">
        <v>134</v>
      </c>
      <c r="L26" t="s">
        <v>134</v>
      </c>
      <c r="M26" t="s">
        <v>134</v>
      </c>
      <c r="N26" t="s">
        <v>134</v>
      </c>
      <c r="O26" t="s">
        <v>134</v>
      </c>
      <c r="P26" t="s">
        <v>134</v>
      </c>
      <c r="Q26" t="s">
        <v>134</v>
      </c>
      <c r="R26" t="s">
        <v>134</v>
      </c>
      <c r="S26" t="s">
        <v>134</v>
      </c>
      <c r="T26" t="s">
        <v>134</v>
      </c>
      <c r="U26" t="s">
        <v>134</v>
      </c>
      <c r="V26" t="s">
        <v>134</v>
      </c>
      <c r="W26" t="s">
        <v>134</v>
      </c>
      <c r="X26" t="s">
        <v>134</v>
      </c>
      <c r="Y26" t="s">
        <v>134</v>
      </c>
      <c r="Z26" t="s">
        <v>134</v>
      </c>
      <c r="AA26" t="s">
        <v>134</v>
      </c>
      <c r="AB26" t="s">
        <v>134</v>
      </c>
      <c r="AC26" t="s">
        <v>134</v>
      </c>
      <c r="AD26" t="s">
        <v>134</v>
      </c>
      <c r="AE26" t="s">
        <v>134</v>
      </c>
      <c r="AF26" t="s">
        <v>134</v>
      </c>
      <c r="AG26" t="s">
        <v>134</v>
      </c>
      <c r="AH26" t="s">
        <v>134</v>
      </c>
      <c r="AI26" t="s">
        <v>134</v>
      </c>
      <c r="AJ26" t="s">
        <v>134</v>
      </c>
      <c r="AK26" t="s">
        <v>134</v>
      </c>
      <c r="AL26" t="s">
        <v>134</v>
      </c>
      <c r="AM26" t="s">
        <v>134</v>
      </c>
      <c r="AN26" t="s">
        <v>134</v>
      </c>
      <c r="AO26" t="s">
        <v>134</v>
      </c>
      <c r="AP26" t="s">
        <v>134</v>
      </c>
      <c r="AQ26" t="s">
        <v>134</v>
      </c>
      <c r="AR26" t="s">
        <v>134</v>
      </c>
      <c r="AS26" t="s">
        <v>134</v>
      </c>
      <c r="AT26" t="s">
        <v>134</v>
      </c>
      <c r="AU26" t="s">
        <v>134</v>
      </c>
      <c r="AV26" t="s">
        <v>134</v>
      </c>
      <c r="AW26" t="s">
        <v>134</v>
      </c>
      <c r="AX26" t="s">
        <v>134</v>
      </c>
      <c r="AY26" t="s">
        <v>134</v>
      </c>
      <c r="AZ26" t="s">
        <v>134</v>
      </c>
      <c r="BA26" t="s">
        <v>134</v>
      </c>
      <c r="BB26" t="s">
        <v>134</v>
      </c>
      <c r="BC26" t="s">
        <v>134</v>
      </c>
      <c r="BD26" t="s">
        <v>134</v>
      </c>
      <c r="BE26" t="s">
        <v>134</v>
      </c>
      <c r="BF26" t="s">
        <v>134</v>
      </c>
      <c r="BG26" t="s">
        <v>134</v>
      </c>
      <c r="BH26" t="s">
        <v>134</v>
      </c>
      <c r="BI26" t="s">
        <v>134</v>
      </c>
      <c r="BJ26" t="s">
        <v>134</v>
      </c>
      <c r="BK26" t="s">
        <v>134</v>
      </c>
      <c r="BL26" t="s">
        <v>134</v>
      </c>
      <c r="BM26" t="s">
        <v>134</v>
      </c>
      <c r="BN26" t="s">
        <v>134</v>
      </c>
      <c r="BO26" t="s">
        <v>134</v>
      </c>
      <c r="BP26" t="s">
        <v>134</v>
      </c>
      <c r="BQ26" t="s">
        <v>134</v>
      </c>
      <c r="BR26" t="s">
        <v>134</v>
      </c>
      <c r="BS26" t="s">
        <v>134</v>
      </c>
      <c r="BT26" t="s">
        <v>134</v>
      </c>
      <c r="BU26" t="s">
        <v>134</v>
      </c>
      <c r="BV26" t="s">
        <v>134</v>
      </c>
      <c r="BW26" t="s">
        <v>134</v>
      </c>
      <c r="BX26" t="s">
        <v>134</v>
      </c>
      <c r="BY26" t="s">
        <v>134</v>
      </c>
      <c r="BZ26" t="s">
        <v>134</v>
      </c>
      <c r="CA26" t="s">
        <v>134</v>
      </c>
      <c r="CB26" t="s">
        <v>134</v>
      </c>
      <c r="CC26" t="s">
        <v>134</v>
      </c>
      <c r="CD26" t="s">
        <v>134</v>
      </c>
      <c r="CE26" t="s">
        <v>134</v>
      </c>
      <c r="CF26" t="s">
        <v>134</v>
      </c>
      <c r="CG26" t="s">
        <v>134</v>
      </c>
      <c r="CH26" t="s">
        <v>134</v>
      </c>
      <c r="CI26" t="s">
        <v>134</v>
      </c>
      <c r="CJ26" t="s">
        <v>134</v>
      </c>
      <c r="CK26" t="s">
        <v>134</v>
      </c>
      <c r="CL26" t="s">
        <v>134</v>
      </c>
      <c r="CM26" t="s">
        <v>134</v>
      </c>
      <c r="CN26" t="s">
        <v>134</v>
      </c>
      <c r="CO26" t="s">
        <v>134</v>
      </c>
      <c r="CP26" t="s">
        <v>134</v>
      </c>
      <c r="CQ26" t="s">
        <v>134</v>
      </c>
      <c r="CR26" t="s">
        <v>134</v>
      </c>
      <c r="CS26" t="s">
        <v>134</v>
      </c>
      <c r="CT26" t="s">
        <v>134</v>
      </c>
      <c r="CU26" t="s">
        <v>134</v>
      </c>
      <c r="CV26" t="s">
        <v>134</v>
      </c>
      <c r="CW26" t="s">
        <v>134</v>
      </c>
      <c r="CX26" t="s">
        <v>134</v>
      </c>
      <c r="CY26" t="s">
        <v>134</v>
      </c>
      <c r="CZ26" t="s">
        <v>134</v>
      </c>
      <c r="DA26" t="s">
        <v>134</v>
      </c>
      <c r="DB26" t="s">
        <v>134</v>
      </c>
      <c r="DC26" t="s">
        <v>134</v>
      </c>
      <c r="DD26" t="s">
        <v>134</v>
      </c>
      <c r="DE26" t="s">
        <v>134</v>
      </c>
      <c r="DF26" t="s">
        <v>134</v>
      </c>
      <c r="DG26" t="s">
        <v>134</v>
      </c>
      <c r="DH26" t="s">
        <v>134</v>
      </c>
      <c r="DI26" t="s">
        <v>134</v>
      </c>
    </row>
    <row r="27" spans="1:113" x14ac:dyDescent="0.3">
      <c r="E27" t="s">
        <v>81</v>
      </c>
      <c r="F27" t="s">
        <v>134</v>
      </c>
      <c r="G27" t="s">
        <v>134</v>
      </c>
      <c r="H27" t="s">
        <v>134</v>
      </c>
      <c r="I27" t="s">
        <v>134</v>
      </c>
      <c r="J27" t="s">
        <v>134</v>
      </c>
      <c r="K27" t="s">
        <v>134</v>
      </c>
      <c r="L27" t="s">
        <v>134</v>
      </c>
      <c r="M27" t="s">
        <v>134</v>
      </c>
      <c r="N27" t="s">
        <v>134</v>
      </c>
      <c r="O27" t="s">
        <v>134</v>
      </c>
      <c r="P27" t="s">
        <v>134</v>
      </c>
      <c r="Q27" t="s">
        <v>134</v>
      </c>
      <c r="R27" t="s">
        <v>134</v>
      </c>
      <c r="S27" t="s">
        <v>134</v>
      </c>
      <c r="T27" t="s">
        <v>134</v>
      </c>
      <c r="U27" t="s">
        <v>134</v>
      </c>
      <c r="V27" t="s">
        <v>134</v>
      </c>
      <c r="W27" t="s">
        <v>134</v>
      </c>
      <c r="X27" t="s">
        <v>134</v>
      </c>
      <c r="Y27" t="s">
        <v>134</v>
      </c>
      <c r="Z27" t="s">
        <v>134</v>
      </c>
      <c r="AA27" t="s">
        <v>134</v>
      </c>
      <c r="AB27" t="s">
        <v>134</v>
      </c>
      <c r="AC27" t="s">
        <v>134</v>
      </c>
      <c r="AD27" t="s">
        <v>134</v>
      </c>
      <c r="AE27" t="s">
        <v>134</v>
      </c>
      <c r="AF27" t="s">
        <v>134</v>
      </c>
      <c r="AG27" t="s">
        <v>134</v>
      </c>
      <c r="AH27" t="s">
        <v>134</v>
      </c>
      <c r="AI27" t="s">
        <v>134</v>
      </c>
      <c r="AJ27" t="s">
        <v>134</v>
      </c>
      <c r="AK27" t="s">
        <v>134</v>
      </c>
      <c r="AL27" t="s">
        <v>134</v>
      </c>
      <c r="AM27" t="s">
        <v>134</v>
      </c>
      <c r="AN27" t="s">
        <v>134</v>
      </c>
      <c r="AO27" t="s">
        <v>134</v>
      </c>
      <c r="AP27" t="s">
        <v>134</v>
      </c>
      <c r="AQ27" t="s">
        <v>134</v>
      </c>
      <c r="AR27" t="s">
        <v>134</v>
      </c>
      <c r="AS27" t="s">
        <v>134</v>
      </c>
      <c r="AT27" t="s">
        <v>134</v>
      </c>
      <c r="AU27" t="s">
        <v>134</v>
      </c>
      <c r="AV27" t="s">
        <v>134</v>
      </c>
      <c r="AW27" t="s">
        <v>134</v>
      </c>
      <c r="AX27" t="s">
        <v>134</v>
      </c>
      <c r="AY27" t="s">
        <v>134</v>
      </c>
      <c r="AZ27" t="s">
        <v>134</v>
      </c>
      <c r="BA27" t="s">
        <v>134</v>
      </c>
      <c r="BB27" t="s">
        <v>134</v>
      </c>
      <c r="BC27" t="s">
        <v>134</v>
      </c>
      <c r="BD27" t="s">
        <v>134</v>
      </c>
      <c r="BE27" t="s">
        <v>134</v>
      </c>
      <c r="BF27" t="s">
        <v>134</v>
      </c>
      <c r="BG27" t="s">
        <v>134</v>
      </c>
      <c r="BH27" t="s">
        <v>134</v>
      </c>
      <c r="BI27" t="s">
        <v>134</v>
      </c>
      <c r="BJ27" t="s">
        <v>134</v>
      </c>
      <c r="BK27" t="s">
        <v>134</v>
      </c>
      <c r="BL27" t="s">
        <v>134</v>
      </c>
      <c r="BM27" t="s">
        <v>134</v>
      </c>
      <c r="BN27" t="s">
        <v>134</v>
      </c>
      <c r="BO27" t="s">
        <v>134</v>
      </c>
      <c r="BP27" t="s">
        <v>134</v>
      </c>
      <c r="BQ27" t="s">
        <v>134</v>
      </c>
      <c r="BR27" t="s">
        <v>134</v>
      </c>
      <c r="BS27" t="s">
        <v>134</v>
      </c>
      <c r="BT27" t="s">
        <v>134</v>
      </c>
      <c r="BU27" t="s">
        <v>134</v>
      </c>
      <c r="BV27" t="s">
        <v>134</v>
      </c>
      <c r="BW27" t="s">
        <v>134</v>
      </c>
      <c r="BX27" t="s">
        <v>134</v>
      </c>
      <c r="BY27" t="s">
        <v>134</v>
      </c>
      <c r="BZ27" t="s">
        <v>134</v>
      </c>
      <c r="CA27" t="s">
        <v>134</v>
      </c>
      <c r="CB27" t="s">
        <v>134</v>
      </c>
      <c r="CC27" t="s">
        <v>134</v>
      </c>
      <c r="CD27" t="s">
        <v>134</v>
      </c>
      <c r="CE27" t="s">
        <v>134</v>
      </c>
      <c r="CF27" t="s">
        <v>134</v>
      </c>
      <c r="CG27" t="s">
        <v>134</v>
      </c>
      <c r="CH27" t="s">
        <v>134</v>
      </c>
      <c r="CI27" t="s">
        <v>134</v>
      </c>
      <c r="CJ27" t="s">
        <v>134</v>
      </c>
      <c r="CK27" t="s">
        <v>134</v>
      </c>
      <c r="CL27" t="s">
        <v>134</v>
      </c>
      <c r="CM27" t="s">
        <v>134</v>
      </c>
      <c r="CN27" t="s">
        <v>134</v>
      </c>
      <c r="CO27" t="s">
        <v>134</v>
      </c>
      <c r="CP27" t="s">
        <v>134</v>
      </c>
      <c r="CQ27" t="s">
        <v>134</v>
      </c>
      <c r="CR27" t="s">
        <v>134</v>
      </c>
      <c r="CS27" t="s">
        <v>134</v>
      </c>
      <c r="CT27" t="s">
        <v>134</v>
      </c>
      <c r="CU27" t="s">
        <v>134</v>
      </c>
      <c r="CV27" t="s">
        <v>134</v>
      </c>
      <c r="CW27" t="s">
        <v>134</v>
      </c>
      <c r="CX27" t="s">
        <v>134</v>
      </c>
      <c r="CY27" t="s">
        <v>134</v>
      </c>
      <c r="CZ27" t="s">
        <v>134</v>
      </c>
      <c r="DA27" t="s">
        <v>134</v>
      </c>
      <c r="DB27" t="s">
        <v>134</v>
      </c>
      <c r="DC27" t="s">
        <v>134</v>
      </c>
      <c r="DD27" t="s">
        <v>134</v>
      </c>
      <c r="DE27" t="s">
        <v>134</v>
      </c>
      <c r="DF27" t="s">
        <v>134</v>
      </c>
      <c r="DG27" t="s">
        <v>134</v>
      </c>
      <c r="DH27" t="s">
        <v>134</v>
      </c>
      <c r="DI27" t="s">
        <v>134</v>
      </c>
    </row>
    <row r="28" spans="1:113" x14ac:dyDescent="0.3">
      <c r="A28">
        <v>2</v>
      </c>
      <c r="B28" t="s">
        <v>86</v>
      </c>
      <c r="C28" t="s">
        <v>87</v>
      </c>
      <c r="D28" t="s">
        <v>76</v>
      </c>
      <c r="E28" t="s">
        <v>77</v>
      </c>
      <c r="F28">
        <v>14.4946</v>
      </c>
      <c r="G28">
        <v>9.3760999999999992</v>
      </c>
      <c r="H28">
        <v>15.140599999999999</v>
      </c>
      <c r="I28">
        <v>12.1967</v>
      </c>
      <c r="J28">
        <v>12.891400000000001</v>
      </c>
      <c r="K28">
        <v>8.0558999999999994</v>
      </c>
      <c r="L28" t="s">
        <v>134</v>
      </c>
      <c r="M28">
        <v>9.5371000000000006</v>
      </c>
      <c r="N28">
        <v>9.8992000000000004</v>
      </c>
      <c r="O28">
        <v>9.8972999999999995</v>
      </c>
      <c r="P28">
        <v>9.8972999999999995</v>
      </c>
      <c r="Q28" t="s">
        <v>134</v>
      </c>
      <c r="R28">
        <v>54.943100000000001</v>
      </c>
      <c r="S28">
        <v>6.5308000000000002</v>
      </c>
      <c r="T28">
        <v>5.0975999999999999</v>
      </c>
      <c r="U28">
        <v>-7.1584000000000003</v>
      </c>
      <c r="V28">
        <v>-9.6073000000000004</v>
      </c>
      <c r="W28">
        <v>6.1342999999999996</v>
      </c>
      <c r="X28">
        <v>6.1028000000000002</v>
      </c>
      <c r="Y28">
        <v>13.333299999999999</v>
      </c>
      <c r="Z28">
        <v>3.3788</v>
      </c>
      <c r="AA28">
        <v>11.946899999999999</v>
      </c>
      <c r="AB28">
        <v>19.1311</v>
      </c>
      <c r="AC28">
        <v>4.7976999999999999</v>
      </c>
      <c r="AD28">
        <v>4.2286000000000001</v>
      </c>
      <c r="AE28" t="s">
        <v>134</v>
      </c>
      <c r="AF28">
        <v>17.2028</v>
      </c>
      <c r="AG28" t="s">
        <v>134</v>
      </c>
      <c r="AH28" t="s">
        <v>134</v>
      </c>
      <c r="AI28">
        <v>5.1756000000000002</v>
      </c>
      <c r="AJ28">
        <v>4.7062999999999997</v>
      </c>
      <c r="AK28">
        <v>5.1745000000000001</v>
      </c>
      <c r="AL28">
        <v>23.492599999999999</v>
      </c>
      <c r="AM28">
        <v>6.7210999999999999</v>
      </c>
      <c r="AN28">
        <v>-10.458600000000001</v>
      </c>
      <c r="AO28">
        <v>-15.960699999999999</v>
      </c>
      <c r="AP28">
        <v>-5.7708000000000004</v>
      </c>
      <c r="AQ28">
        <v>-5.7843</v>
      </c>
      <c r="AR28">
        <v>8.1310000000000002</v>
      </c>
      <c r="AS28">
        <v>8.4323999999999995</v>
      </c>
      <c r="AT28">
        <v>9.8322000000000003</v>
      </c>
      <c r="AU28">
        <v>3.2580999999999998</v>
      </c>
      <c r="AV28">
        <v>4.7424999999999997</v>
      </c>
      <c r="AW28" t="s">
        <v>134</v>
      </c>
      <c r="AX28" t="s">
        <v>134</v>
      </c>
      <c r="AY28">
        <v>-15.4773</v>
      </c>
      <c r="AZ28" t="s">
        <v>134</v>
      </c>
      <c r="BA28">
        <v>-100</v>
      </c>
      <c r="BB28">
        <v>6.9592999999999998</v>
      </c>
      <c r="BC28">
        <v>5.0058999999999996</v>
      </c>
      <c r="BD28">
        <v>6.9597999999999995</v>
      </c>
      <c r="BE28">
        <v>-9.3783999999999992</v>
      </c>
      <c r="BF28">
        <v>5.0975999999999999</v>
      </c>
      <c r="BG28">
        <v>-7.1584000000000003</v>
      </c>
      <c r="BH28">
        <v>-9.6073000000000004</v>
      </c>
      <c r="BI28">
        <v>6.1342999999999996</v>
      </c>
      <c r="BJ28">
        <v>6.1028000000000002</v>
      </c>
      <c r="BK28">
        <v>13.333299999999999</v>
      </c>
      <c r="BL28">
        <v>3.3788</v>
      </c>
      <c r="BM28">
        <v>11.946899999999999</v>
      </c>
      <c r="BN28">
        <v>19.1311</v>
      </c>
      <c r="BO28">
        <v>4.7976999999999999</v>
      </c>
      <c r="BP28">
        <v>4.2286000000000001</v>
      </c>
      <c r="BQ28">
        <v>-110.9712</v>
      </c>
      <c r="BR28">
        <v>17.2028</v>
      </c>
      <c r="BS28">
        <v>-100</v>
      </c>
      <c r="BT28">
        <v>-100</v>
      </c>
      <c r="BU28">
        <v>5.1756000000000002</v>
      </c>
      <c r="BV28">
        <v>4.7062999999999997</v>
      </c>
      <c r="BW28">
        <v>5.1745000000000001</v>
      </c>
      <c r="BX28">
        <v>23.492599999999999</v>
      </c>
      <c r="BY28">
        <v>0</v>
      </c>
      <c r="BZ28">
        <v>0</v>
      </c>
      <c r="CA28">
        <v>0</v>
      </c>
      <c r="CB28">
        <v>0</v>
      </c>
      <c r="CC28">
        <v>-1.0645</v>
      </c>
      <c r="CD28">
        <v>0</v>
      </c>
      <c r="CE28">
        <v>-1.7034</v>
      </c>
      <c r="CF28">
        <v>18.285299999999999</v>
      </c>
      <c r="CG28">
        <v>64.799899999999994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-19.595400000000001</v>
      </c>
      <c r="CO28">
        <v>-24.370999999999999</v>
      </c>
      <c r="CP28">
        <v>15132.9</v>
      </c>
      <c r="CQ28">
        <v>-929.2</v>
      </c>
      <c r="CR28">
        <v>9456.7000000000007</v>
      </c>
      <c r="CS28">
        <v>0.42349999999999999</v>
      </c>
      <c r="CT28">
        <v>0.96689999999999998</v>
      </c>
      <c r="CU28">
        <v>0.53139999999999998</v>
      </c>
      <c r="CV28">
        <v>5.1877000000000004</v>
      </c>
      <c r="CW28">
        <v>29.064299999999999</v>
      </c>
      <c r="CX28">
        <v>12.558400000000001</v>
      </c>
      <c r="CY28">
        <v>1.6663999999999999</v>
      </c>
      <c r="CZ28">
        <v>219.0368</v>
      </c>
      <c r="DA28">
        <v>3.0366</v>
      </c>
      <c r="DB28">
        <v>120.20099999999999</v>
      </c>
      <c r="DC28">
        <v>111.3942</v>
      </c>
      <c r="DD28">
        <v>231.59520000000001</v>
      </c>
      <c r="DE28">
        <v>12563.8</v>
      </c>
      <c r="DF28">
        <v>1390.7</v>
      </c>
      <c r="DG28">
        <v>2403.1999999999998</v>
      </c>
      <c r="DH28">
        <v>1544.8</v>
      </c>
      <c r="DI28">
        <v>7225.1</v>
      </c>
    </row>
    <row r="29" spans="1:113" x14ac:dyDescent="0.3">
      <c r="E29" t="s">
        <v>78</v>
      </c>
      <c r="F29" t="s">
        <v>134</v>
      </c>
      <c r="G29" t="s">
        <v>134</v>
      </c>
      <c r="H29" t="s">
        <v>134</v>
      </c>
      <c r="I29" t="s">
        <v>134</v>
      </c>
      <c r="J29">
        <v>14.325900000000001</v>
      </c>
      <c r="K29">
        <v>9.6416000000000004</v>
      </c>
      <c r="L29" t="s">
        <v>134</v>
      </c>
      <c r="M29">
        <v>12.914099999999999</v>
      </c>
      <c r="N29">
        <v>13.478</v>
      </c>
      <c r="O29">
        <v>13.475899999999999</v>
      </c>
      <c r="P29">
        <v>13.475899999999999</v>
      </c>
      <c r="Q29" t="s">
        <v>134</v>
      </c>
      <c r="R29" t="s">
        <v>134</v>
      </c>
      <c r="S29" t="s">
        <v>134</v>
      </c>
      <c r="T29">
        <v>2.105</v>
      </c>
      <c r="U29">
        <v>-13.5281</v>
      </c>
      <c r="V29">
        <v>-18.479500000000002</v>
      </c>
      <c r="W29">
        <v>-8.7704000000000004</v>
      </c>
      <c r="X29">
        <v>-8.7591000000000001</v>
      </c>
      <c r="Y29" t="s">
        <v>134</v>
      </c>
      <c r="Z29" t="s">
        <v>134</v>
      </c>
      <c r="AA29" t="s">
        <v>134</v>
      </c>
      <c r="AB29" t="s">
        <v>134</v>
      </c>
      <c r="AC29" t="s">
        <v>134</v>
      </c>
      <c r="AD29" t="s">
        <v>134</v>
      </c>
      <c r="AE29" t="s">
        <v>134</v>
      </c>
      <c r="AF29" t="s">
        <v>134</v>
      </c>
      <c r="AG29" t="s">
        <v>134</v>
      </c>
      <c r="AH29" t="s">
        <v>134</v>
      </c>
      <c r="AI29" t="s">
        <v>134</v>
      </c>
      <c r="AJ29" t="s">
        <v>134</v>
      </c>
      <c r="AK29" t="s">
        <v>134</v>
      </c>
      <c r="AL29" t="s">
        <v>134</v>
      </c>
      <c r="AM29">
        <v>6.5163000000000002</v>
      </c>
      <c r="AN29">
        <v>-8.7690000000000001</v>
      </c>
      <c r="AO29">
        <v>-13.397399999999999</v>
      </c>
      <c r="AP29">
        <v>2.5499999999999998E-2</v>
      </c>
      <c r="AQ29">
        <v>0</v>
      </c>
      <c r="AR29" t="s">
        <v>134</v>
      </c>
      <c r="AS29" t="s">
        <v>134</v>
      </c>
      <c r="AT29" t="s">
        <v>134</v>
      </c>
      <c r="AU29" t="s">
        <v>134</v>
      </c>
      <c r="AV29" t="s">
        <v>134</v>
      </c>
      <c r="AW29" t="s">
        <v>134</v>
      </c>
      <c r="AX29" t="s">
        <v>134</v>
      </c>
      <c r="AY29" t="s">
        <v>134</v>
      </c>
      <c r="AZ29" t="s">
        <v>134</v>
      </c>
      <c r="BA29" t="s">
        <v>134</v>
      </c>
      <c r="BB29" t="s">
        <v>134</v>
      </c>
      <c r="BC29" t="s">
        <v>134</v>
      </c>
      <c r="BD29" t="s">
        <v>134</v>
      </c>
      <c r="BE29" t="s">
        <v>134</v>
      </c>
      <c r="BF29">
        <v>10.1625</v>
      </c>
      <c r="BG29">
        <v>17.503799999999998</v>
      </c>
      <c r="BH29">
        <v>38.390099999999997</v>
      </c>
      <c r="BI29">
        <v>45.025599999999997</v>
      </c>
      <c r="BJ29">
        <v>45.051200000000001</v>
      </c>
      <c r="BK29" t="s">
        <v>134</v>
      </c>
      <c r="BL29" t="s">
        <v>134</v>
      </c>
      <c r="BM29" t="s">
        <v>134</v>
      </c>
      <c r="BN29" t="s">
        <v>134</v>
      </c>
      <c r="BO29" t="s">
        <v>134</v>
      </c>
      <c r="BP29" t="s">
        <v>134</v>
      </c>
      <c r="BQ29" t="s">
        <v>134</v>
      </c>
      <c r="BR29" t="s">
        <v>134</v>
      </c>
      <c r="BS29" t="s">
        <v>134</v>
      </c>
      <c r="BT29" t="s">
        <v>134</v>
      </c>
      <c r="BU29" t="s">
        <v>134</v>
      </c>
      <c r="BV29" t="s">
        <v>134</v>
      </c>
      <c r="BW29" t="s">
        <v>134</v>
      </c>
      <c r="BX29" t="s">
        <v>134</v>
      </c>
      <c r="BY29" t="s">
        <v>134</v>
      </c>
      <c r="BZ29" t="s">
        <v>134</v>
      </c>
      <c r="CA29" t="s">
        <v>134</v>
      </c>
      <c r="CB29" t="s">
        <v>134</v>
      </c>
      <c r="CC29" t="s">
        <v>134</v>
      </c>
      <c r="CD29" t="s">
        <v>134</v>
      </c>
      <c r="CE29" t="s">
        <v>134</v>
      </c>
      <c r="CF29">
        <v>39.285600000000002</v>
      </c>
      <c r="CG29" t="s">
        <v>134</v>
      </c>
      <c r="CH29" t="s">
        <v>134</v>
      </c>
      <c r="CI29" t="s">
        <v>134</v>
      </c>
      <c r="CJ29" t="s">
        <v>134</v>
      </c>
      <c r="CK29" t="s">
        <v>134</v>
      </c>
      <c r="CL29" t="s">
        <v>134</v>
      </c>
      <c r="CM29" t="s">
        <v>134</v>
      </c>
      <c r="CN29" t="s">
        <v>134</v>
      </c>
      <c r="CO29" t="s">
        <v>134</v>
      </c>
      <c r="CP29">
        <v>4250.7</v>
      </c>
      <c r="CQ29" t="s">
        <v>134</v>
      </c>
      <c r="CR29">
        <v>2860.8</v>
      </c>
      <c r="CS29" t="s">
        <v>134</v>
      </c>
      <c r="CT29" t="s">
        <v>134</v>
      </c>
      <c r="CU29" t="s">
        <v>134</v>
      </c>
      <c r="CV29" t="s">
        <v>134</v>
      </c>
      <c r="CW29" t="s">
        <v>134</v>
      </c>
      <c r="CX29" t="s">
        <v>134</v>
      </c>
      <c r="CY29" t="s">
        <v>134</v>
      </c>
      <c r="CZ29" t="s">
        <v>134</v>
      </c>
      <c r="DA29" t="s">
        <v>134</v>
      </c>
      <c r="DB29" t="s">
        <v>134</v>
      </c>
      <c r="DC29" t="s">
        <v>134</v>
      </c>
      <c r="DD29" t="s">
        <v>134</v>
      </c>
      <c r="DE29" t="s">
        <v>134</v>
      </c>
      <c r="DF29" t="s">
        <v>134</v>
      </c>
      <c r="DG29" t="s">
        <v>134</v>
      </c>
      <c r="DH29" t="s">
        <v>134</v>
      </c>
      <c r="DI29" t="s">
        <v>134</v>
      </c>
    </row>
    <row r="30" spans="1:113" x14ac:dyDescent="0.3">
      <c r="E30" t="s">
        <v>79</v>
      </c>
      <c r="F30">
        <v>13.006600000000001</v>
      </c>
      <c r="G30">
        <v>8.5343999999999998</v>
      </c>
      <c r="H30">
        <v>13.488099999999999</v>
      </c>
      <c r="I30">
        <v>10.3591</v>
      </c>
      <c r="J30">
        <v>15.025600000000001</v>
      </c>
      <c r="K30">
        <v>10.3683</v>
      </c>
      <c r="L30" t="s">
        <v>134</v>
      </c>
      <c r="M30">
        <v>11.247999999999999</v>
      </c>
      <c r="N30">
        <v>8.0833999999999993</v>
      </c>
      <c r="O30">
        <v>8.0808</v>
      </c>
      <c r="P30">
        <v>8.0808</v>
      </c>
      <c r="Q30">
        <v>29.079599999999999</v>
      </c>
      <c r="R30" t="s">
        <v>134</v>
      </c>
      <c r="S30" t="s">
        <v>134</v>
      </c>
      <c r="T30">
        <v>7.8344000000000005</v>
      </c>
      <c r="U30">
        <v>-7.7493999999999996</v>
      </c>
      <c r="V30">
        <v>-10.6023</v>
      </c>
      <c r="W30">
        <v>-7.1096000000000004</v>
      </c>
      <c r="X30">
        <v>-7.1172000000000004</v>
      </c>
      <c r="Y30" t="s">
        <v>134</v>
      </c>
      <c r="Z30">
        <v>-2.0884999999999998</v>
      </c>
      <c r="AA30">
        <v>-7.5381</v>
      </c>
      <c r="AB30" t="s">
        <v>134</v>
      </c>
      <c r="AC30">
        <v>3.3851</v>
      </c>
      <c r="AD30">
        <v>-17.387</v>
      </c>
      <c r="AE30">
        <v>-72.419399999999996</v>
      </c>
      <c r="AF30">
        <v>14.078799999999999</v>
      </c>
      <c r="AG30" t="s">
        <v>134</v>
      </c>
      <c r="AH30" t="s">
        <v>134</v>
      </c>
      <c r="AI30">
        <v>3.8184</v>
      </c>
      <c r="AJ30">
        <v>3.3559999999999999</v>
      </c>
      <c r="AK30">
        <v>3.8170000000000002</v>
      </c>
      <c r="AL30" t="s">
        <v>134</v>
      </c>
      <c r="AM30">
        <v>6.5776000000000003</v>
      </c>
      <c r="AN30">
        <v>-9.9925999999999995</v>
      </c>
      <c r="AO30">
        <v>-14.421200000000001</v>
      </c>
      <c r="AP30">
        <v>-12.385899999999999</v>
      </c>
      <c r="AQ30">
        <v>-12.414400000000001</v>
      </c>
      <c r="AR30" t="s">
        <v>134</v>
      </c>
      <c r="AS30" t="s">
        <v>134</v>
      </c>
      <c r="AT30" t="s">
        <v>134</v>
      </c>
      <c r="AU30" t="s">
        <v>134</v>
      </c>
      <c r="AV30" t="s">
        <v>134</v>
      </c>
      <c r="AW30" t="s">
        <v>134</v>
      </c>
      <c r="AX30" t="s">
        <v>134</v>
      </c>
      <c r="AY30" t="s">
        <v>134</v>
      </c>
      <c r="AZ30" t="s">
        <v>134</v>
      </c>
      <c r="BA30" t="s">
        <v>134</v>
      </c>
      <c r="BB30" t="s">
        <v>134</v>
      </c>
      <c r="BC30" t="s">
        <v>134</v>
      </c>
      <c r="BD30" t="s">
        <v>134</v>
      </c>
      <c r="BE30" t="s">
        <v>134</v>
      </c>
      <c r="BF30">
        <v>1.4104000000000001</v>
      </c>
      <c r="BG30">
        <v>6.3636999999999997</v>
      </c>
      <c r="BH30">
        <v>9.0533999999999999</v>
      </c>
      <c r="BI30">
        <v>-39.189700000000002</v>
      </c>
      <c r="BJ30">
        <v>-39.200000000000003</v>
      </c>
      <c r="BK30" t="s">
        <v>134</v>
      </c>
      <c r="BL30" t="s">
        <v>134</v>
      </c>
      <c r="BM30" t="s">
        <v>134</v>
      </c>
      <c r="BN30" t="s">
        <v>134</v>
      </c>
      <c r="BO30" t="s">
        <v>134</v>
      </c>
      <c r="BP30" t="s">
        <v>134</v>
      </c>
      <c r="BQ30" t="s">
        <v>134</v>
      </c>
      <c r="BR30" t="s">
        <v>134</v>
      </c>
      <c r="BS30" t="s">
        <v>134</v>
      </c>
      <c r="BT30" t="s">
        <v>134</v>
      </c>
      <c r="BU30" t="s">
        <v>134</v>
      </c>
      <c r="BV30" t="s">
        <v>134</v>
      </c>
      <c r="BW30" t="s">
        <v>134</v>
      </c>
      <c r="BX30" t="s">
        <v>134</v>
      </c>
      <c r="BY30">
        <v>0</v>
      </c>
      <c r="BZ30">
        <v>0</v>
      </c>
      <c r="CA30">
        <v>0</v>
      </c>
      <c r="CB30">
        <v>0</v>
      </c>
      <c r="CC30">
        <v>-1.2265999999999999</v>
      </c>
      <c r="CD30">
        <v>0</v>
      </c>
      <c r="CE30">
        <v>-1.9815</v>
      </c>
      <c r="CF30">
        <v>40.694899999999997</v>
      </c>
      <c r="CG30">
        <v>65.750500000000002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-23.0169</v>
      </c>
      <c r="CO30">
        <v>-29.898599999999998</v>
      </c>
      <c r="CP30">
        <v>4521.2</v>
      </c>
      <c r="CQ30" t="s">
        <v>134</v>
      </c>
      <c r="CR30">
        <v>3119.8</v>
      </c>
      <c r="CS30">
        <v>0.51880000000000004</v>
      </c>
      <c r="CT30">
        <v>1.1267</v>
      </c>
      <c r="CU30">
        <v>0.65620000000000001</v>
      </c>
      <c r="CV30">
        <v>6.0377999999999998</v>
      </c>
      <c r="CW30">
        <v>22.319600000000001</v>
      </c>
      <c r="CX30">
        <v>16.353400000000001</v>
      </c>
      <c r="CY30">
        <v>1.4428000000000001</v>
      </c>
      <c r="CZ30">
        <v>252.97649999999999</v>
      </c>
      <c r="DA30">
        <v>2.4891999999999999</v>
      </c>
      <c r="DB30">
        <v>146.6327</v>
      </c>
      <c r="DC30">
        <v>122.69710000000001</v>
      </c>
      <c r="DD30">
        <v>269.32979999999998</v>
      </c>
      <c r="DE30">
        <v>12653.6</v>
      </c>
      <c r="DF30" t="s">
        <v>134</v>
      </c>
      <c r="DG30" t="s">
        <v>134</v>
      </c>
      <c r="DH30" t="s">
        <v>134</v>
      </c>
      <c r="DI30" t="s">
        <v>134</v>
      </c>
    </row>
    <row r="31" spans="1:113" x14ac:dyDescent="0.3">
      <c r="E31" t="s">
        <v>80</v>
      </c>
      <c r="F31" t="s">
        <v>134</v>
      </c>
      <c r="G31" t="s">
        <v>134</v>
      </c>
      <c r="H31" t="s">
        <v>134</v>
      </c>
      <c r="I31" t="s">
        <v>134</v>
      </c>
      <c r="J31">
        <v>13.8256</v>
      </c>
      <c r="K31">
        <v>8.6517999999999997</v>
      </c>
      <c r="L31">
        <v>41.878900000000002</v>
      </c>
      <c r="M31">
        <v>9.4088999999999992</v>
      </c>
      <c r="N31">
        <v>7.0255000000000001</v>
      </c>
      <c r="O31">
        <v>7.0244</v>
      </c>
      <c r="P31">
        <v>7.0244</v>
      </c>
      <c r="Q31">
        <v>26.5059</v>
      </c>
      <c r="R31" t="s">
        <v>134</v>
      </c>
      <c r="S31" t="s">
        <v>134</v>
      </c>
      <c r="T31">
        <v>9.2965999999999998</v>
      </c>
      <c r="U31">
        <v>32.2864</v>
      </c>
      <c r="V31">
        <v>69.9893</v>
      </c>
      <c r="W31">
        <v>61.984900000000003</v>
      </c>
      <c r="X31">
        <v>61.867100000000001</v>
      </c>
      <c r="Y31" t="s">
        <v>134</v>
      </c>
      <c r="Z31" t="s">
        <v>134</v>
      </c>
      <c r="AA31" t="s">
        <v>134</v>
      </c>
      <c r="AB31" t="s">
        <v>134</v>
      </c>
      <c r="AC31" t="s">
        <v>134</v>
      </c>
      <c r="AD31" t="s">
        <v>134</v>
      </c>
      <c r="AE31" t="s">
        <v>134</v>
      </c>
      <c r="AF31" t="s">
        <v>134</v>
      </c>
      <c r="AG31" t="s">
        <v>134</v>
      </c>
      <c r="AH31" t="s">
        <v>134</v>
      </c>
      <c r="AI31" t="s">
        <v>134</v>
      </c>
      <c r="AJ31" t="s">
        <v>134</v>
      </c>
      <c r="AK31" t="s">
        <v>134</v>
      </c>
      <c r="AL31" t="s">
        <v>134</v>
      </c>
      <c r="AM31">
        <v>5.7076000000000002</v>
      </c>
      <c r="AN31">
        <v>-11.311299999999999</v>
      </c>
      <c r="AO31">
        <v>-17.027100000000001</v>
      </c>
      <c r="AP31">
        <v>-14.2538</v>
      </c>
      <c r="AQ31">
        <v>-14.269399999999999</v>
      </c>
      <c r="AR31" t="s">
        <v>134</v>
      </c>
      <c r="AS31" t="s">
        <v>134</v>
      </c>
      <c r="AT31" t="s">
        <v>134</v>
      </c>
      <c r="AU31" t="s">
        <v>134</v>
      </c>
      <c r="AV31" t="s">
        <v>134</v>
      </c>
      <c r="AW31" t="s">
        <v>134</v>
      </c>
      <c r="AX31" t="s">
        <v>134</v>
      </c>
      <c r="AY31" t="s">
        <v>134</v>
      </c>
      <c r="AZ31" t="s">
        <v>134</v>
      </c>
      <c r="BA31" t="s">
        <v>134</v>
      </c>
      <c r="BB31" t="s">
        <v>134</v>
      </c>
      <c r="BC31" t="s">
        <v>134</v>
      </c>
      <c r="BD31" t="s">
        <v>134</v>
      </c>
      <c r="BE31" t="s">
        <v>134</v>
      </c>
      <c r="BF31">
        <v>-8.8773999999999997</v>
      </c>
      <c r="BG31">
        <v>-16.155000000000001</v>
      </c>
      <c r="BH31">
        <v>-23.963100000000001</v>
      </c>
      <c r="BI31">
        <v>-20.7896</v>
      </c>
      <c r="BJ31">
        <v>-20.820399999999999</v>
      </c>
      <c r="BK31" t="s">
        <v>134</v>
      </c>
      <c r="BL31" t="s">
        <v>134</v>
      </c>
      <c r="BM31" t="s">
        <v>134</v>
      </c>
      <c r="BN31" t="s">
        <v>134</v>
      </c>
      <c r="BO31" t="s">
        <v>134</v>
      </c>
      <c r="BP31" t="s">
        <v>134</v>
      </c>
      <c r="BQ31" t="s">
        <v>134</v>
      </c>
      <c r="BR31" t="s">
        <v>134</v>
      </c>
      <c r="BS31" t="s">
        <v>134</v>
      </c>
      <c r="BT31" t="s">
        <v>134</v>
      </c>
      <c r="BU31" t="s">
        <v>134</v>
      </c>
      <c r="BV31" t="s">
        <v>134</v>
      </c>
      <c r="BW31" t="s">
        <v>134</v>
      </c>
      <c r="BX31" t="s">
        <v>134</v>
      </c>
      <c r="BY31" t="s">
        <v>134</v>
      </c>
      <c r="BZ31" t="s">
        <v>134</v>
      </c>
      <c r="CA31" t="s">
        <v>134</v>
      </c>
      <c r="CB31" t="s">
        <v>134</v>
      </c>
      <c r="CC31" t="s">
        <v>134</v>
      </c>
      <c r="CD31" t="s">
        <v>134</v>
      </c>
      <c r="CE31" t="s">
        <v>134</v>
      </c>
      <c r="CF31">
        <v>33.078499999999998</v>
      </c>
      <c r="CG31" t="s">
        <v>134</v>
      </c>
      <c r="CH31" t="s">
        <v>134</v>
      </c>
      <c r="CI31" t="s">
        <v>134</v>
      </c>
      <c r="CJ31" t="s">
        <v>134</v>
      </c>
      <c r="CK31" t="s">
        <v>134</v>
      </c>
      <c r="CL31" t="s">
        <v>134</v>
      </c>
      <c r="CM31" t="s">
        <v>134</v>
      </c>
      <c r="CN31" t="s">
        <v>134</v>
      </c>
      <c r="CO31" t="s">
        <v>134</v>
      </c>
      <c r="CP31">
        <v>3790.8</v>
      </c>
      <c r="CQ31" t="s">
        <v>134</v>
      </c>
      <c r="CR31">
        <v>2372.1999999999998</v>
      </c>
      <c r="CS31" t="s">
        <v>134</v>
      </c>
      <c r="CT31" t="s">
        <v>134</v>
      </c>
      <c r="CU31" t="s">
        <v>134</v>
      </c>
      <c r="CV31" t="s">
        <v>134</v>
      </c>
      <c r="CW31" t="s">
        <v>134</v>
      </c>
      <c r="CX31" t="s">
        <v>134</v>
      </c>
      <c r="CY31" t="s">
        <v>134</v>
      </c>
      <c r="CZ31" t="s">
        <v>134</v>
      </c>
      <c r="DA31" t="s">
        <v>134</v>
      </c>
      <c r="DB31" t="s">
        <v>134</v>
      </c>
      <c r="DC31" t="s">
        <v>134</v>
      </c>
      <c r="DD31" t="s">
        <v>134</v>
      </c>
      <c r="DE31" t="s">
        <v>134</v>
      </c>
      <c r="DF31" t="s">
        <v>134</v>
      </c>
      <c r="DG31" t="s">
        <v>134</v>
      </c>
      <c r="DH31" t="s">
        <v>134</v>
      </c>
      <c r="DI31" t="s">
        <v>134</v>
      </c>
    </row>
    <row r="32" spans="1:113" x14ac:dyDescent="0.3">
      <c r="E32" t="s">
        <v>81</v>
      </c>
      <c r="F32">
        <v>14.4946</v>
      </c>
      <c r="G32">
        <v>9.3760999999999992</v>
      </c>
      <c r="H32">
        <v>14.842700000000001</v>
      </c>
      <c r="I32">
        <v>11.887599999999999</v>
      </c>
      <c r="J32">
        <v>9.3041999999999998</v>
      </c>
      <c r="K32">
        <v>3.9958999999999998</v>
      </c>
      <c r="L32" t="s">
        <v>134</v>
      </c>
      <c r="M32">
        <v>5.0656999999999996</v>
      </c>
      <c r="N32">
        <v>11.8119</v>
      </c>
      <c r="O32">
        <v>11.809699999999999</v>
      </c>
      <c r="P32">
        <v>11.809699999999999</v>
      </c>
      <c r="Q32" t="s">
        <v>134</v>
      </c>
      <c r="R32" t="s">
        <v>134</v>
      </c>
      <c r="S32" t="s">
        <v>134</v>
      </c>
      <c r="T32">
        <v>2.5577000000000001</v>
      </c>
      <c r="U32">
        <v>-28.953700000000001</v>
      </c>
      <c r="V32">
        <v>-46.604100000000003</v>
      </c>
      <c r="W32">
        <v>18.32</v>
      </c>
      <c r="X32">
        <v>18.293500000000002</v>
      </c>
      <c r="Y32" t="s">
        <v>134</v>
      </c>
      <c r="Z32">
        <v>3.3788</v>
      </c>
      <c r="AA32">
        <v>11.946899999999999</v>
      </c>
      <c r="AB32">
        <v>19.1311</v>
      </c>
      <c r="AC32">
        <v>4.7976999999999999</v>
      </c>
      <c r="AD32">
        <v>4.2286000000000001</v>
      </c>
      <c r="AE32" t="s">
        <v>134</v>
      </c>
      <c r="AF32">
        <v>17.2028</v>
      </c>
      <c r="AG32" t="s">
        <v>134</v>
      </c>
      <c r="AH32" t="s">
        <v>134</v>
      </c>
      <c r="AI32">
        <v>5.1756000000000002</v>
      </c>
      <c r="AJ32">
        <v>4.7062999999999997</v>
      </c>
      <c r="AK32">
        <v>5.1745000000000001</v>
      </c>
      <c r="AL32" t="s">
        <v>134</v>
      </c>
      <c r="AM32">
        <v>6.1464999999999996</v>
      </c>
      <c r="AN32">
        <v>-12.471500000000001</v>
      </c>
      <c r="AO32">
        <v>-22.141400000000001</v>
      </c>
      <c r="AP32">
        <v>3.2450000000000001</v>
      </c>
      <c r="AQ32">
        <v>3.3188</v>
      </c>
      <c r="AR32" t="s">
        <v>134</v>
      </c>
      <c r="AS32">
        <v>8.4323999999999995</v>
      </c>
      <c r="AT32">
        <v>9.8322000000000003</v>
      </c>
      <c r="AU32">
        <v>3.2580999999999998</v>
      </c>
      <c r="AV32">
        <v>4.7424999999999997</v>
      </c>
      <c r="AW32" t="s">
        <v>134</v>
      </c>
      <c r="AX32" t="s">
        <v>134</v>
      </c>
      <c r="AY32">
        <v>-15.4773</v>
      </c>
      <c r="AZ32" t="s">
        <v>134</v>
      </c>
      <c r="BA32">
        <v>-100</v>
      </c>
      <c r="BB32">
        <v>6.9592999999999998</v>
      </c>
      <c r="BC32">
        <v>5.0058999999999996</v>
      </c>
      <c r="BD32">
        <v>6.9597999999999995</v>
      </c>
      <c r="BE32" t="s">
        <v>134</v>
      </c>
      <c r="BF32">
        <v>0.74550000000000005</v>
      </c>
      <c r="BG32">
        <v>-32.201599999999999</v>
      </c>
      <c r="BH32">
        <v>-53.4694</v>
      </c>
      <c r="BI32">
        <v>69.376900000000006</v>
      </c>
      <c r="BJ32">
        <v>69.403700000000001</v>
      </c>
      <c r="BK32" t="s">
        <v>134</v>
      </c>
      <c r="BL32" t="s">
        <v>134</v>
      </c>
      <c r="BM32" t="s">
        <v>134</v>
      </c>
      <c r="BN32" t="s">
        <v>134</v>
      </c>
      <c r="BO32" t="s">
        <v>134</v>
      </c>
      <c r="BP32" t="s">
        <v>134</v>
      </c>
      <c r="BQ32" t="s">
        <v>134</v>
      </c>
      <c r="BR32" t="s">
        <v>134</v>
      </c>
      <c r="BS32" t="s">
        <v>134</v>
      </c>
      <c r="BT32" t="s">
        <v>134</v>
      </c>
      <c r="BU32" t="s">
        <v>134</v>
      </c>
      <c r="BV32" t="s">
        <v>134</v>
      </c>
      <c r="BW32" t="s">
        <v>134</v>
      </c>
      <c r="BX32" t="s">
        <v>134</v>
      </c>
      <c r="BY32">
        <v>0</v>
      </c>
      <c r="BZ32">
        <v>0</v>
      </c>
      <c r="CA32">
        <v>0</v>
      </c>
      <c r="CB32">
        <v>0</v>
      </c>
      <c r="CC32">
        <v>-1.0645</v>
      </c>
      <c r="CD32">
        <v>0</v>
      </c>
      <c r="CE32">
        <v>-1.7034</v>
      </c>
      <c r="CF32">
        <v>19.6191</v>
      </c>
      <c r="CG32">
        <v>64.799899999999994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-19.595400000000001</v>
      </c>
      <c r="CO32">
        <v>-24.370999999999999</v>
      </c>
      <c r="CP32">
        <v>2570.1</v>
      </c>
      <c r="CQ32" t="s">
        <v>134</v>
      </c>
      <c r="CR32">
        <v>1103.8</v>
      </c>
      <c r="CS32">
        <v>0.42349999999999999</v>
      </c>
      <c r="CT32">
        <v>0.96689999999999998</v>
      </c>
      <c r="CU32">
        <v>0.53139999999999998</v>
      </c>
      <c r="CV32">
        <v>5.1877000000000004</v>
      </c>
      <c r="CW32">
        <v>28.424299999999999</v>
      </c>
      <c r="CX32">
        <v>12.841100000000001</v>
      </c>
      <c r="CY32">
        <v>1.6663999999999999</v>
      </c>
      <c r="CZ32">
        <v>219.0368</v>
      </c>
      <c r="DA32">
        <v>3.0366</v>
      </c>
      <c r="DB32">
        <v>120.20099999999999</v>
      </c>
      <c r="DC32">
        <v>111.6769</v>
      </c>
      <c r="DD32">
        <v>231.87790000000001</v>
      </c>
      <c r="DE32">
        <v>12563.8</v>
      </c>
      <c r="DF32">
        <v>1390.7</v>
      </c>
      <c r="DG32">
        <v>2403.1999999999998</v>
      </c>
      <c r="DH32">
        <v>1544.8</v>
      </c>
      <c r="DI32">
        <v>7225.1</v>
      </c>
    </row>
    <row r="33" spans="4:113" x14ac:dyDescent="0.3">
      <c r="D33" t="s">
        <v>82</v>
      </c>
      <c r="E33" t="s">
        <v>77</v>
      </c>
      <c r="F33">
        <v>7.0629999999999997</v>
      </c>
      <c r="G33">
        <v>4.6120000000000001</v>
      </c>
      <c r="H33">
        <v>7.6411999999999995</v>
      </c>
      <c r="I33">
        <v>7.5571999999999999</v>
      </c>
      <c r="J33">
        <v>14.4262</v>
      </c>
      <c r="K33">
        <v>7.4157000000000002</v>
      </c>
      <c r="L33" t="s">
        <v>134</v>
      </c>
      <c r="M33">
        <v>6.4890999999999996</v>
      </c>
      <c r="N33">
        <v>4.9785000000000004</v>
      </c>
      <c r="O33">
        <v>4.9809000000000001</v>
      </c>
      <c r="P33">
        <v>4.9809000000000001</v>
      </c>
      <c r="Q33">
        <v>24.816800000000001</v>
      </c>
      <c r="R33">
        <v>54.317599999999999</v>
      </c>
      <c r="S33">
        <v>3.2265999999999999</v>
      </c>
      <c r="T33">
        <v>0.49719999999999998</v>
      </c>
      <c r="U33">
        <v>12.462300000000001</v>
      </c>
      <c r="V33">
        <v>-7.4899000000000004</v>
      </c>
      <c r="W33">
        <v>-49.424199999999999</v>
      </c>
      <c r="X33">
        <v>-49.416699999999999</v>
      </c>
      <c r="Y33">
        <v>-50</v>
      </c>
      <c r="Z33">
        <v>17.981000000000002</v>
      </c>
      <c r="AA33">
        <v>-5.3288000000000002</v>
      </c>
      <c r="AB33">
        <v>1.4692000000000001</v>
      </c>
      <c r="AC33">
        <v>0.93310000000000004</v>
      </c>
      <c r="AD33">
        <v>-12.962300000000001</v>
      </c>
      <c r="AE33">
        <v>-203.8596</v>
      </c>
      <c r="AF33">
        <v>16.685700000000001</v>
      </c>
      <c r="AG33" t="s">
        <v>134</v>
      </c>
      <c r="AH33" t="s">
        <v>134</v>
      </c>
      <c r="AI33">
        <v>2.4716</v>
      </c>
      <c r="AJ33">
        <v>2.4716</v>
      </c>
      <c r="AK33">
        <v>2.4759000000000002</v>
      </c>
      <c r="AL33">
        <v>2.9024999999999999</v>
      </c>
      <c r="AM33">
        <v>7.3921000000000001</v>
      </c>
      <c r="AN33">
        <v>-1.1515</v>
      </c>
      <c r="AO33">
        <v>-8.6547000000000001</v>
      </c>
      <c r="AP33">
        <v>-11.421099999999999</v>
      </c>
      <c r="AQ33">
        <v>-11.427</v>
      </c>
      <c r="AR33">
        <v>-11.0328</v>
      </c>
      <c r="AS33">
        <v>14.200200000000001</v>
      </c>
      <c r="AT33">
        <v>5.1368</v>
      </c>
      <c r="AU33">
        <v>2.5213999999999999</v>
      </c>
      <c r="AV33">
        <v>3</v>
      </c>
      <c r="AW33" t="s">
        <v>134</v>
      </c>
      <c r="AX33" t="s">
        <v>134</v>
      </c>
      <c r="AY33">
        <v>-11.103400000000001</v>
      </c>
      <c r="AZ33" t="s">
        <v>134</v>
      </c>
      <c r="BA33">
        <v>-100</v>
      </c>
      <c r="BB33">
        <v>6.0391000000000004</v>
      </c>
      <c r="BC33">
        <v>4.3540000000000001</v>
      </c>
      <c r="BD33">
        <v>6.0406000000000004</v>
      </c>
      <c r="BE33">
        <v>-5.2582000000000004</v>
      </c>
      <c r="BF33">
        <v>0.49719999999999998</v>
      </c>
      <c r="BG33">
        <v>12.462300000000001</v>
      </c>
      <c r="BH33">
        <v>-7.4899000000000004</v>
      </c>
      <c r="BI33">
        <v>-49.424199999999999</v>
      </c>
      <c r="BJ33">
        <v>-49.416699999999999</v>
      </c>
      <c r="BK33">
        <v>-50</v>
      </c>
      <c r="BL33">
        <v>17.981000000000002</v>
      </c>
      <c r="BM33">
        <v>-5.3288000000000002</v>
      </c>
      <c r="BN33">
        <v>1.4692000000000001</v>
      </c>
      <c r="BO33">
        <v>0.93310000000000004</v>
      </c>
      <c r="BP33">
        <v>-12.962300000000001</v>
      </c>
      <c r="BQ33" t="s">
        <v>134</v>
      </c>
      <c r="BR33">
        <v>16.685700000000001</v>
      </c>
      <c r="BS33" t="s">
        <v>134</v>
      </c>
      <c r="BT33" t="s">
        <v>134</v>
      </c>
      <c r="BU33">
        <v>2.4716</v>
      </c>
      <c r="BV33">
        <v>2.4716</v>
      </c>
      <c r="BW33">
        <v>2.4759000000000002</v>
      </c>
      <c r="BX33">
        <v>2.9024999999999999</v>
      </c>
      <c r="BY33">
        <v>0</v>
      </c>
      <c r="BZ33">
        <v>0</v>
      </c>
      <c r="CA33">
        <v>0</v>
      </c>
      <c r="CB33">
        <v>0</v>
      </c>
      <c r="CC33">
        <v>-0.77649999999999997</v>
      </c>
      <c r="CD33">
        <v>0</v>
      </c>
      <c r="CE33">
        <v>-1.5105</v>
      </c>
      <c r="CF33">
        <v>26.328600000000002</v>
      </c>
      <c r="CG33">
        <v>65.790400000000005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-15.6875</v>
      </c>
      <c r="CO33">
        <v>-18.606300000000001</v>
      </c>
      <c r="CP33">
        <v>17018.8</v>
      </c>
      <c r="CQ33">
        <v>5782.9</v>
      </c>
      <c r="CR33">
        <v>8748.4</v>
      </c>
      <c r="CS33">
        <v>0.34910000000000002</v>
      </c>
      <c r="CT33">
        <v>0.89890000000000003</v>
      </c>
      <c r="CU33">
        <v>0.47699999999999998</v>
      </c>
      <c r="CV33">
        <v>5.1218000000000004</v>
      </c>
      <c r="CW33">
        <v>26.361499999999999</v>
      </c>
      <c r="CX33">
        <v>13.846</v>
      </c>
      <c r="CY33">
        <v>1.5112000000000001</v>
      </c>
      <c r="CZ33">
        <v>241.52780000000001</v>
      </c>
      <c r="DA33">
        <v>2.1861000000000002</v>
      </c>
      <c r="DB33">
        <v>166.9665</v>
      </c>
      <c r="DC33">
        <v>88.407300000000006</v>
      </c>
      <c r="DD33">
        <v>255.37379999999999</v>
      </c>
      <c r="DE33">
        <v>11894.3</v>
      </c>
      <c r="DF33">
        <v>1320.1</v>
      </c>
      <c r="DG33">
        <v>2412</v>
      </c>
      <c r="DH33">
        <v>1535.5</v>
      </c>
      <c r="DI33">
        <v>6626.7</v>
      </c>
    </row>
    <row r="34" spans="4:113" x14ac:dyDescent="0.3">
      <c r="E34" t="s">
        <v>78</v>
      </c>
      <c r="F34" t="s">
        <v>134</v>
      </c>
      <c r="G34" t="s">
        <v>134</v>
      </c>
      <c r="H34" t="s">
        <v>134</v>
      </c>
      <c r="I34" t="s">
        <v>134</v>
      </c>
      <c r="J34">
        <v>21.122599999999998</v>
      </c>
      <c r="K34">
        <v>15.1457</v>
      </c>
      <c r="L34" t="s">
        <v>134</v>
      </c>
      <c r="M34">
        <v>10.7478</v>
      </c>
      <c r="N34">
        <v>8.1856000000000009</v>
      </c>
      <c r="O34">
        <v>8.1976999999999993</v>
      </c>
      <c r="P34">
        <v>8.1976999999999993</v>
      </c>
      <c r="Q34">
        <v>25.209600000000002</v>
      </c>
      <c r="R34" t="s">
        <v>134</v>
      </c>
      <c r="S34" t="s">
        <v>134</v>
      </c>
      <c r="T34">
        <v>-2.7534999999999998</v>
      </c>
      <c r="U34">
        <v>43.383400000000002</v>
      </c>
      <c r="V34">
        <v>52.761499999999998</v>
      </c>
      <c r="W34">
        <v>-40.842799999999997</v>
      </c>
      <c r="X34">
        <v>-40.847099999999998</v>
      </c>
      <c r="Y34" t="s">
        <v>134</v>
      </c>
      <c r="Z34" t="s">
        <v>134</v>
      </c>
      <c r="AA34" t="s">
        <v>134</v>
      </c>
      <c r="AB34" t="s">
        <v>134</v>
      </c>
      <c r="AC34" t="s">
        <v>134</v>
      </c>
      <c r="AD34" t="s">
        <v>134</v>
      </c>
      <c r="AE34" t="s">
        <v>134</v>
      </c>
      <c r="AF34" t="s">
        <v>134</v>
      </c>
      <c r="AG34" t="s">
        <v>134</v>
      </c>
      <c r="AH34" t="s">
        <v>134</v>
      </c>
      <c r="AI34" t="s">
        <v>134</v>
      </c>
      <c r="AJ34" t="s">
        <v>134</v>
      </c>
      <c r="AK34" t="s">
        <v>134</v>
      </c>
      <c r="AL34" t="s">
        <v>134</v>
      </c>
      <c r="AM34">
        <v>5.1909000000000001</v>
      </c>
      <c r="AN34">
        <v>-1.4071</v>
      </c>
      <c r="AO34">
        <v>-4.5347999999999997</v>
      </c>
      <c r="AP34">
        <v>-9.6498000000000008</v>
      </c>
      <c r="AQ34">
        <v>-9.6515000000000004</v>
      </c>
      <c r="AR34" t="s">
        <v>134</v>
      </c>
      <c r="AS34" t="s">
        <v>134</v>
      </c>
      <c r="AT34" t="s">
        <v>134</v>
      </c>
      <c r="AU34" t="s">
        <v>134</v>
      </c>
      <c r="AV34" t="s">
        <v>134</v>
      </c>
      <c r="AW34" t="s">
        <v>134</v>
      </c>
      <c r="AX34" t="s">
        <v>134</v>
      </c>
      <c r="AY34" t="s">
        <v>134</v>
      </c>
      <c r="AZ34" t="s">
        <v>134</v>
      </c>
      <c r="BA34" t="s">
        <v>134</v>
      </c>
      <c r="BB34" t="s">
        <v>134</v>
      </c>
      <c r="BC34" t="s">
        <v>134</v>
      </c>
      <c r="BD34" t="s">
        <v>134</v>
      </c>
      <c r="BE34" t="s">
        <v>134</v>
      </c>
      <c r="BF34">
        <v>4.4574999999999996</v>
      </c>
      <c r="BG34">
        <v>137.14250000000001</v>
      </c>
      <c r="BH34">
        <v>295.92320000000001</v>
      </c>
      <c r="BI34">
        <v>-27.4907</v>
      </c>
      <c r="BJ34">
        <v>-27.466799999999999</v>
      </c>
      <c r="BK34" t="s">
        <v>134</v>
      </c>
      <c r="BL34" t="s">
        <v>134</v>
      </c>
      <c r="BM34" t="s">
        <v>134</v>
      </c>
      <c r="BN34" t="s">
        <v>134</v>
      </c>
      <c r="BO34" t="s">
        <v>134</v>
      </c>
      <c r="BP34" t="s">
        <v>134</v>
      </c>
      <c r="BQ34" t="s">
        <v>134</v>
      </c>
      <c r="BR34" t="s">
        <v>134</v>
      </c>
      <c r="BS34" t="s">
        <v>134</v>
      </c>
      <c r="BT34" t="s">
        <v>134</v>
      </c>
      <c r="BU34" t="s">
        <v>134</v>
      </c>
      <c r="BV34" t="s">
        <v>134</v>
      </c>
      <c r="BW34" t="s">
        <v>134</v>
      </c>
      <c r="BX34" t="s">
        <v>134</v>
      </c>
      <c r="BY34" t="s">
        <v>134</v>
      </c>
      <c r="BZ34" t="s">
        <v>134</v>
      </c>
      <c r="CA34" t="s">
        <v>134</v>
      </c>
      <c r="CB34" t="s">
        <v>134</v>
      </c>
      <c r="CC34" t="s">
        <v>134</v>
      </c>
      <c r="CD34" t="s">
        <v>134</v>
      </c>
      <c r="CE34" t="s">
        <v>134</v>
      </c>
      <c r="CF34">
        <v>26.932400000000001</v>
      </c>
      <c r="CG34" t="s">
        <v>134</v>
      </c>
      <c r="CH34" t="s">
        <v>134</v>
      </c>
      <c r="CI34" t="s">
        <v>134</v>
      </c>
      <c r="CJ34" t="s">
        <v>134</v>
      </c>
      <c r="CK34" t="s">
        <v>134</v>
      </c>
      <c r="CL34" t="s">
        <v>134</v>
      </c>
      <c r="CM34" t="s">
        <v>134</v>
      </c>
      <c r="CN34" t="s">
        <v>134</v>
      </c>
      <c r="CO34" t="s">
        <v>134</v>
      </c>
      <c r="CP34">
        <v>6094.8</v>
      </c>
      <c r="CQ34" t="s">
        <v>134</v>
      </c>
      <c r="CR34">
        <v>4370.2</v>
      </c>
      <c r="CS34" t="s">
        <v>134</v>
      </c>
      <c r="CT34" t="s">
        <v>134</v>
      </c>
      <c r="CU34" t="s">
        <v>134</v>
      </c>
      <c r="CV34" t="s">
        <v>134</v>
      </c>
      <c r="CW34" t="s">
        <v>134</v>
      </c>
      <c r="CX34" t="s">
        <v>134</v>
      </c>
      <c r="CY34" t="s">
        <v>134</v>
      </c>
      <c r="CZ34" t="s">
        <v>134</v>
      </c>
      <c r="DA34" t="s">
        <v>134</v>
      </c>
      <c r="DB34" t="s">
        <v>134</v>
      </c>
      <c r="DC34" t="s">
        <v>134</v>
      </c>
      <c r="DD34" t="s">
        <v>134</v>
      </c>
      <c r="DE34" t="s">
        <v>134</v>
      </c>
      <c r="DF34" t="s">
        <v>134</v>
      </c>
      <c r="DG34" t="s">
        <v>134</v>
      </c>
      <c r="DH34" t="s">
        <v>134</v>
      </c>
      <c r="DI34" t="s">
        <v>134</v>
      </c>
    </row>
    <row r="35" spans="4:113" x14ac:dyDescent="0.3">
      <c r="E35" t="s">
        <v>79</v>
      </c>
      <c r="F35">
        <v>10.7957</v>
      </c>
      <c r="G35">
        <v>7.1085000000000003</v>
      </c>
      <c r="H35">
        <v>11.5185</v>
      </c>
      <c r="I35">
        <v>10.7631</v>
      </c>
      <c r="J35">
        <v>11.318300000000001</v>
      </c>
      <c r="K35">
        <v>5.6337999999999999</v>
      </c>
      <c r="L35">
        <v>-303.78820000000002</v>
      </c>
      <c r="M35">
        <v>5.9181999999999997</v>
      </c>
      <c r="N35">
        <v>4.5092999999999996</v>
      </c>
      <c r="O35">
        <v>4.5068999999999999</v>
      </c>
      <c r="P35">
        <v>4.5068999999999999</v>
      </c>
      <c r="Q35">
        <v>26.453600000000002</v>
      </c>
      <c r="R35" t="s">
        <v>134</v>
      </c>
      <c r="S35" t="s">
        <v>134</v>
      </c>
      <c r="T35">
        <v>-1.5878999999999999</v>
      </c>
      <c r="U35">
        <v>-25.869199999999999</v>
      </c>
      <c r="V35">
        <v>-46.525399999999998</v>
      </c>
      <c r="W35">
        <v>-45.112099999999998</v>
      </c>
      <c r="X35">
        <v>-45.123800000000003</v>
      </c>
      <c r="Y35" t="s">
        <v>134</v>
      </c>
      <c r="Z35">
        <v>13.7607</v>
      </c>
      <c r="AA35">
        <v>17.825800000000001</v>
      </c>
      <c r="AB35" t="s">
        <v>134</v>
      </c>
      <c r="AC35">
        <v>2.3178000000000001</v>
      </c>
      <c r="AD35">
        <v>27.770199999999999</v>
      </c>
      <c r="AE35" t="s">
        <v>134</v>
      </c>
      <c r="AF35">
        <v>2.3915999999999999</v>
      </c>
      <c r="AG35" t="s">
        <v>134</v>
      </c>
      <c r="AH35" t="s">
        <v>134</v>
      </c>
      <c r="AI35">
        <v>2.6084000000000001</v>
      </c>
      <c r="AJ35">
        <v>2.6084000000000001</v>
      </c>
      <c r="AK35">
        <v>2.6116999999999999</v>
      </c>
      <c r="AL35" t="s">
        <v>134</v>
      </c>
      <c r="AM35">
        <v>6.4452999999999996</v>
      </c>
      <c r="AN35">
        <v>-10.7949</v>
      </c>
      <c r="AO35">
        <v>-19.340900000000001</v>
      </c>
      <c r="AP35">
        <v>-17.512699999999999</v>
      </c>
      <c r="AQ35">
        <v>-17.516500000000001</v>
      </c>
      <c r="AR35" t="s">
        <v>134</v>
      </c>
      <c r="AS35">
        <v>13.338699999999999</v>
      </c>
      <c r="AT35">
        <v>10.104699999999999</v>
      </c>
      <c r="AU35" t="s">
        <v>134</v>
      </c>
      <c r="AV35">
        <v>4.1547000000000001</v>
      </c>
      <c r="AW35">
        <v>0.71120000000000005</v>
      </c>
      <c r="AX35" t="s">
        <v>134</v>
      </c>
      <c r="AY35" t="s">
        <v>134</v>
      </c>
      <c r="AZ35" t="s">
        <v>134</v>
      </c>
      <c r="BA35">
        <v>-100</v>
      </c>
      <c r="BB35">
        <v>5.4534000000000002</v>
      </c>
      <c r="BC35">
        <v>3.7976000000000001</v>
      </c>
      <c r="BD35">
        <v>5.4535999999999998</v>
      </c>
      <c r="BE35" t="s">
        <v>134</v>
      </c>
      <c r="BF35">
        <v>2.6259000000000001</v>
      </c>
      <c r="BG35">
        <v>-45.008899999999997</v>
      </c>
      <c r="BH35">
        <v>-61.825499999999998</v>
      </c>
      <c r="BI35">
        <v>-43.578299999999999</v>
      </c>
      <c r="BJ35">
        <v>-43.5959</v>
      </c>
      <c r="BK35" t="s">
        <v>134</v>
      </c>
      <c r="BL35" t="s">
        <v>134</v>
      </c>
      <c r="BM35" t="s">
        <v>134</v>
      </c>
      <c r="BN35" t="s">
        <v>134</v>
      </c>
      <c r="BO35" t="s">
        <v>134</v>
      </c>
      <c r="BP35" t="s">
        <v>134</v>
      </c>
      <c r="BQ35" t="s">
        <v>134</v>
      </c>
      <c r="BR35" t="s">
        <v>134</v>
      </c>
      <c r="BS35" t="s">
        <v>134</v>
      </c>
      <c r="BT35" t="s">
        <v>134</v>
      </c>
      <c r="BU35" t="s">
        <v>134</v>
      </c>
      <c r="BV35" t="s">
        <v>134</v>
      </c>
      <c r="BW35" t="s">
        <v>134</v>
      </c>
      <c r="BX35" t="s">
        <v>134</v>
      </c>
      <c r="BY35">
        <v>0</v>
      </c>
      <c r="BZ35">
        <v>0</v>
      </c>
      <c r="CA35">
        <v>0</v>
      </c>
      <c r="CB35">
        <v>0</v>
      </c>
      <c r="CC35">
        <v>-0.72099999999999997</v>
      </c>
      <c r="CD35">
        <v>0</v>
      </c>
      <c r="CE35">
        <v>-1.1978</v>
      </c>
      <c r="CF35">
        <v>24.993300000000001</v>
      </c>
      <c r="CG35">
        <v>65.939400000000006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-13.661899999999999</v>
      </c>
      <c r="CO35">
        <v>-15.8238</v>
      </c>
      <c r="CP35">
        <v>3351.6</v>
      </c>
      <c r="CQ35" t="s">
        <v>134</v>
      </c>
      <c r="CR35">
        <v>1668.3</v>
      </c>
      <c r="CS35">
        <v>0.31019999999999998</v>
      </c>
      <c r="CT35">
        <v>0.96630000000000005</v>
      </c>
      <c r="CU35">
        <v>0.4637</v>
      </c>
      <c r="CV35">
        <v>5.8402000000000003</v>
      </c>
      <c r="CW35">
        <v>21.4314</v>
      </c>
      <c r="CX35">
        <v>17.031099999999999</v>
      </c>
      <c r="CY35">
        <v>1.4390000000000001</v>
      </c>
      <c r="CZ35">
        <v>253.65389999999999</v>
      </c>
      <c r="DA35">
        <v>2.8368000000000002</v>
      </c>
      <c r="DB35">
        <v>128.66540000000001</v>
      </c>
      <c r="DC35">
        <v>142.0196</v>
      </c>
      <c r="DD35">
        <v>270.685</v>
      </c>
      <c r="DE35">
        <v>14909.2</v>
      </c>
      <c r="DF35" t="s">
        <v>134</v>
      </c>
      <c r="DG35" t="s">
        <v>134</v>
      </c>
      <c r="DH35" t="s">
        <v>134</v>
      </c>
      <c r="DI35" t="s">
        <v>134</v>
      </c>
    </row>
    <row r="36" spans="4:113" x14ac:dyDescent="0.3">
      <c r="E36" t="s">
        <v>80</v>
      </c>
      <c r="F36" t="s">
        <v>134</v>
      </c>
      <c r="G36" t="s">
        <v>134</v>
      </c>
      <c r="H36" t="s">
        <v>134</v>
      </c>
      <c r="I36" t="s">
        <v>134</v>
      </c>
      <c r="J36">
        <v>11.4307</v>
      </c>
      <c r="K36">
        <v>5.4682000000000004</v>
      </c>
      <c r="L36">
        <v>-4673.2619999999997</v>
      </c>
      <c r="M36">
        <v>5.6280999999999999</v>
      </c>
      <c r="N36">
        <v>4.2046999999999999</v>
      </c>
      <c r="O36">
        <v>4.2046999999999999</v>
      </c>
      <c r="P36">
        <v>4.2046999999999999</v>
      </c>
      <c r="Q36">
        <v>25.361499999999999</v>
      </c>
      <c r="R36" t="s">
        <v>134</v>
      </c>
      <c r="S36" t="s">
        <v>134</v>
      </c>
      <c r="T36">
        <v>-6.8199999999999997E-2</v>
      </c>
      <c r="U36">
        <v>-17.378900000000002</v>
      </c>
      <c r="V36">
        <v>-36.839199999999998</v>
      </c>
      <c r="W36">
        <v>-40.181699999999999</v>
      </c>
      <c r="X36">
        <v>-40.176000000000002</v>
      </c>
      <c r="Y36" t="s">
        <v>134</v>
      </c>
      <c r="Z36" t="s">
        <v>134</v>
      </c>
      <c r="AA36" t="s">
        <v>134</v>
      </c>
      <c r="AB36" t="s">
        <v>134</v>
      </c>
      <c r="AC36" t="s">
        <v>134</v>
      </c>
      <c r="AD36" t="s">
        <v>134</v>
      </c>
      <c r="AE36" t="s">
        <v>134</v>
      </c>
      <c r="AF36" t="s">
        <v>134</v>
      </c>
      <c r="AG36" t="s">
        <v>134</v>
      </c>
      <c r="AH36" t="s">
        <v>134</v>
      </c>
      <c r="AI36" t="s">
        <v>134</v>
      </c>
      <c r="AJ36" t="s">
        <v>134</v>
      </c>
      <c r="AK36" t="s">
        <v>134</v>
      </c>
      <c r="AL36" t="s">
        <v>134</v>
      </c>
      <c r="AM36">
        <v>9.2667999999999999</v>
      </c>
      <c r="AN36">
        <v>7.5640000000000001</v>
      </c>
      <c r="AO36">
        <v>5.0220000000000002</v>
      </c>
      <c r="AP36">
        <v>5.9466000000000001</v>
      </c>
      <c r="AQ36">
        <v>5.9223999999999997</v>
      </c>
      <c r="AR36" t="s">
        <v>134</v>
      </c>
      <c r="AS36" t="s">
        <v>134</v>
      </c>
      <c r="AT36" t="s">
        <v>134</v>
      </c>
      <c r="AU36" t="s">
        <v>134</v>
      </c>
      <c r="AV36" t="s">
        <v>134</v>
      </c>
      <c r="AW36" t="s">
        <v>134</v>
      </c>
      <c r="AX36" t="s">
        <v>134</v>
      </c>
      <c r="AY36" t="s">
        <v>134</v>
      </c>
      <c r="AZ36" t="s">
        <v>134</v>
      </c>
      <c r="BA36" t="s">
        <v>134</v>
      </c>
      <c r="BB36" t="s">
        <v>134</v>
      </c>
      <c r="BC36" t="s">
        <v>134</v>
      </c>
      <c r="BD36" t="s">
        <v>134</v>
      </c>
      <c r="BE36" t="s">
        <v>134</v>
      </c>
      <c r="BF36">
        <v>-7.4702999999999999</v>
      </c>
      <c r="BG36">
        <v>-6.5521000000000003</v>
      </c>
      <c r="BH36">
        <v>-10.19</v>
      </c>
      <c r="BI36">
        <v>-13.6745</v>
      </c>
      <c r="BJ36">
        <v>-13.6812</v>
      </c>
      <c r="BK36" t="s">
        <v>134</v>
      </c>
      <c r="BL36" t="s">
        <v>134</v>
      </c>
      <c r="BM36" t="s">
        <v>134</v>
      </c>
      <c r="BN36" t="s">
        <v>134</v>
      </c>
      <c r="BO36" t="s">
        <v>134</v>
      </c>
      <c r="BP36" t="s">
        <v>134</v>
      </c>
      <c r="BQ36" t="s">
        <v>134</v>
      </c>
      <c r="BR36" t="s">
        <v>134</v>
      </c>
      <c r="BS36" t="s">
        <v>134</v>
      </c>
      <c r="BT36" t="s">
        <v>134</v>
      </c>
      <c r="BU36" t="s">
        <v>134</v>
      </c>
      <c r="BV36" t="s">
        <v>134</v>
      </c>
      <c r="BW36" t="s">
        <v>134</v>
      </c>
      <c r="BX36" t="s">
        <v>134</v>
      </c>
      <c r="BY36" t="s">
        <v>134</v>
      </c>
      <c r="BZ36" t="s">
        <v>134</v>
      </c>
      <c r="CA36" t="s">
        <v>134</v>
      </c>
      <c r="CB36" t="s">
        <v>134</v>
      </c>
      <c r="CC36" t="s">
        <v>134</v>
      </c>
      <c r="CD36" t="s">
        <v>134</v>
      </c>
      <c r="CE36" t="s">
        <v>134</v>
      </c>
      <c r="CF36">
        <v>22.2285</v>
      </c>
      <c r="CG36" t="s">
        <v>134</v>
      </c>
      <c r="CH36" t="s">
        <v>134</v>
      </c>
      <c r="CI36" t="s">
        <v>134</v>
      </c>
      <c r="CJ36" t="s">
        <v>134</v>
      </c>
      <c r="CK36" t="s">
        <v>134</v>
      </c>
      <c r="CL36" t="s">
        <v>134</v>
      </c>
      <c r="CM36" t="s">
        <v>134</v>
      </c>
      <c r="CN36" t="s">
        <v>134</v>
      </c>
      <c r="CO36" t="s">
        <v>134</v>
      </c>
      <c r="CP36">
        <v>3132</v>
      </c>
      <c r="CQ36" t="s">
        <v>134</v>
      </c>
      <c r="CR36">
        <v>1498.3</v>
      </c>
      <c r="CS36" t="s">
        <v>134</v>
      </c>
      <c r="CT36" t="s">
        <v>134</v>
      </c>
      <c r="CU36" t="s">
        <v>134</v>
      </c>
      <c r="CV36" t="s">
        <v>134</v>
      </c>
      <c r="CW36" t="s">
        <v>134</v>
      </c>
      <c r="CX36" t="s">
        <v>134</v>
      </c>
      <c r="CY36" t="s">
        <v>134</v>
      </c>
      <c r="CZ36" t="s">
        <v>134</v>
      </c>
      <c r="DA36" t="s">
        <v>134</v>
      </c>
      <c r="DB36" t="s">
        <v>134</v>
      </c>
      <c r="DC36" t="s">
        <v>134</v>
      </c>
      <c r="DD36" t="s">
        <v>134</v>
      </c>
      <c r="DE36" t="s">
        <v>134</v>
      </c>
      <c r="DF36" t="s">
        <v>134</v>
      </c>
      <c r="DG36" t="s">
        <v>134</v>
      </c>
      <c r="DH36" t="s">
        <v>134</v>
      </c>
      <c r="DI36" t="s">
        <v>134</v>
      </c>
    </row>
    <row r="37" spans="4:113" x14ac:dyDescent="0.3">
      <c r="E37" t="s">
        <v>81</v>
      </c>
      <c r="F37">
        <v>7.0629999999999997</v>
      </c>
      <c r="G37">
        <v>4.6120000000000001</v>
      </c>
      <c r="H37">
        <v>7.6411999999999995</v>
      </c>
      <c r="I37">
        <v>7.5511999999999997</v>
      </c>
      <c r="J37">
        <v>9.8236000000000008</v>
      </c>
      <c r="K37">
        <v>4.2569999999999997</v>
      </c>
      <c r="L37">
        <v>12.864000000000001</v>
      </c>
      <c r="M37">
        <v>4.4253</v>
      </c>
      <c r="N37">
        <v>3.5975000000000001</v>
      </c>
      <c r="O37">
        <v>3.5975000000000001</v>
      </c>
      <c r="P37">
        <v>3.5975000000000001</v>
      </c>
      <c r="Q37">
        <v>20.905100000000001</v>
      </c>
      <c r="R37" t="s">
        <v>134</v>
      </c>
      <c r="S37" t="s">
        <v>134</v>
      </c>
      <c r="T37">
        <v>3.0337000000000001</v>
      </c>
      <c r="U37">
        <v>8.7857000000000003</v>
      </c>
      <c r="V37">
        <v>9.7662999999999993</v>
      </c>
      <c r="W37">
        <v>-68.613200000000006</v>
      </c>
      <c r="X37">
        <v>-68.609300000000005</v>
      </c>
      <c r="Y37" t="s">
        <v>134</v>
      </c>
      <c r="Z37">
        <v>17.981000000000002</v>
      </c>
      <c r="AA37">
        <v>-5.3288000000000002</v>
      </c>
      <c r="AB37">
        <v>1.4692000000000001</v>
      </c>
      <c r="AC37">
        <v>0.93310000000000004</v>
      </c>
      <c r="AD37">
        <v>-12.962300000000001</v>
      </c>
      <c r="AE37">
        <v>-203.8596</v>
      </c>
      <c r="AF37">
        <v>16.685700000000001</v>
      </c>
      <c r="AG37" t="s">
        <v>134</v>
      </c>
      <c r="AH37" t="s">
        <v>134</v>
      </c>
      <c r="AI37">
        <v>2.4716</v>
      </c>
      <c r="AJ37">
        <v>2.4716</v>
      </c>
      <c r="AK37">
        <v>2.4759000000000002</v>
      </c>
      <c r="AL37" t="s">
        <v>134</v>
      </c>
      <c r="AM37">
        <v>6.3468</v>
      </c>
      <c r="AN37">
        <v>-3.7378999999999998</v>
      </c>
      <c r="AO37">
        <v>-11.127000000000001</v>
      </c>
      <c r="AP37">
        <v>-16.2745</v>
      </c>
      <c r="AQ37">
        <v>-16.271100000000001</v>
      </c>
      <c r="AR37" t="s">
        <v>134</v>
      </c>
      <c r="AS37">
        <v>14.200200000000001</v>
      </c>
      <c r="AT37">
        <v>5.1368</v>
      </c>
      <c r="AU37">
        <v>2.5213999999999999</v>
      </c>
      <c r="AV37">
        <v>3</v>
      </c>
      <c r="AW37" t="s">
        <v>134</v>
      </c>
      <c r="AX37" t="s">
        <v>134</v>
      </c>
      <c r="AY37">
        <v>-11.103400000000001</v>
      </c>
      <c r="AZ37" t="s">
        <v>134</v>
      </c>
      <c r="BA37">
        <v>-100</v>
      </c>
      <c r="BB37">
        <v>6.0391000000000004</v>
      </c>
      <c r="BC37">
        <v>4.3540000000000001</v>
      </c>
      <c r="BD37">
        <v>6.0406000000000004</v>
      </c>
      <c r="BE37" t="s">
        <v>134</v>
      </c>
      <c r="BF37">
        <v>3.8726000000000003</v>
      </c>
      <c r="BG37">
        <v>-10.731199999999999</v>
      </c>
      <c r="BH37">
        <v>-19.135000000000002</v>
      </c>
      <c r="BI37">
        <v>-11.1275</v>
      </c>
      <c r="BJ37">
        <v>-11.1111</v>
      </c>
      <c r="BK37" t="s">
        <v>134</v>
      </c>
      <c r="BL37" t="s">
        <v>134</v>
      </c>
      <c r="BM37" t="s">
        <v>134</v>
      </c>
      <c r="BN37" t="s">
        <v>134</v>
      </c>
      <c r="BO37" t="s">
        <v>134</v>
      </c>
      <c r="BP37" t="s">
        <v>134</v>
      </c>
      <c r="BQ37" t="s">
        <v>134</v>
      </c>
      <c r="BR37" t="s">
        <v>134</v>
      </c>
      <c r="BS37" t="s">
        <v>134</v>
      </c>
      <c r="BT37" t="s">
        <v>134</v>
      </c>
      <c r="BU37" t="s">
        <v>134</v>
      </c>
      <c r="BV37" t="s">
        <v>134</v>
      </c>
      <c r="BW37" t="s">
        <v>134</v>
      </c>
      <c r="BX37" t="s">
        <v>134</v>
      </c>
      <c r="BY37">
        <v>0</v>
      </c>
      <c r="BZ37">
        <v>0</v>
      </c>
      <c r="CA37">
        <v>0</v>
      </c>
      <c r="CB37">
        <v>0</v>
      </c>
      <c r="CC37">
        <v>-0.85950000000000004</v>
      </c>
      <c r="CD37">
        <v>0</v>
      </c>
      <c r="CE37">
        <v>-1.5105</v>
      </c>
      <c r="CF37">
        <v>19.268799999999999</v>
      </c>
      <c r="CG37">
        <v>65.790400000000005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-15.6875</v>
      </c>
      <c r="CO37">
        <v>-18.606300000000001</v>
      </c>
      <c r="CP37">
        <v>2795.9</v>
      </c>
      <c r="CQ37" t="s">
        <v>134</v>
      </c>
      <c r="CR37">
        <v>1211.5999999999999</v>
      </c>
      <c r="CS37">
        <v>0.34910000000000002</v>
      </c>
      <c r="CT37">
        <v>0.89890000000000003</v>
      </c>
      <c r="CU37">
        <v>0.47699999999999998</v>
      </c>
      <c r="CV37">
        <v>5.1218000000000004</v>
      </c>
      <c r="CW37">
        <v>25.5472</v>
      </c>
      <c r="CX37">
        <v>14.2873</v>
      </c>
      <c r="CY37">
        <v>1.5112000000000001</v>
      </c>
      <c r="CZ37">
        <v>241.52780000000001</v>
      </c>
      <c r="DA37">
        <v>2.1861000000000002</v>
      </c>
      <c r="DB37">
        <v>166.9665</v>
      </c>
      <c r="DC37">
        <v>88.848600000000005</v>
      </c>
      <c r="DD37">
        <v>255.8151</v>
      </c>
      <c r="DE37">
        <v>11894.3</v>
      </c>
      <c r="DF37">
        <v>1320.1</v>
      </c>
      <c r="DG37">
        <v>2412</v>
      </c>
      <c r="DH37">
        <v>1535.5</v>
      </c>
      <c r="DI37">
        <v>6626.7</v>
      </c>
    </row>
    <row r="38" spans="4:113" x14ac:dyDescent="0.3">
      <c r="D38" t="s">
        <v>83</v>
      </c>
      <c r="E38" t="s">
        <v>77</v>
      </c>
      <c r="F38">
        <v>7.0842000000000001</v>
      </c>
      <c r="G38">
        <v>4.6159999999999997</v>
      </c>
      <c r="H38">
        <v>7.6807999999999996</v>
      </c>
      <c r="I38">
        <v>6.6565000000000003</v>
      </c>
      <c r="J38">
        <v>12.979900000000001</v>
      </c>
      <c r="K38">
        <v>7.3601999999999999</v>
      </c>
      <c r="L38">
        <v>-8.1288</v>
      </c>
      <c r="M38">
        <v>7.3574999999999999</v>
      </c>
      <c r="N38">
        <v>5.5228000000000002</v>
      </c>
      <c r="O38">
        <v>5.5217000000000001</v>
      </c>
      <c r="P38">
        <v>5.5217000000000001</v>
      </c>
      <c r="Q38">
        <v>26.026900000000001</v>
      </c>
      <c r="R38">
        <v>52.821100000000001</v>
      </c>
      <c r="S38">
        <v>3.3422999999999998</v>
      </c>
      <c r="T38">
        <v>-7.2182000000000004</v>
      </c>
      <c r="U38">
        <v>-16.52</v>
      </c>
      <c r="V38">
        <v>-7.9123000000000001</v>
      </c>
      <c r="W38">
        <v>2.8557000000000001</v>
      </c>
      <c r="X38">
        <v>2.8506999999999998</v>
      </c>
      <c r="Y38">
        <v>0</v>
      </c>
      <c r="Z38">
        <v>-3.7321999999999997</v>
      </c>
      <c r="AA38">
        <v>2.9594</v>
      </c>
      <c r="AB38">
        <v>0.68889999999999996</v>
      </c>
      <c r="AC38">
        <v>4.5826000000000002</v>
      </c>
      <c r="AD38">
        <v>-45.906399999999998</v>
      </c>
      <c r="AE38" t="s">
        <v>134</v>
      </c>
      <c r="AF38">
        <v>43.612499999999997</v>
      </c>
      <c r="AG38" t="s">
        <v>134</v>
      </c>
      <c r="AH38" t="s">
        <v>134</v>
      </c>
      <c r="AI38">
        <v>2.6177000000000001</v>
      </c>
      <c r="AJ38">
        <v>2.6177000000000001</v>
      </c>
      <c r="AK38">
        <v>2.5941000000000001</v>
      </c>
      <c r="AL38">
        <v>-4.2325999999999997</v>
      </c>
      <c r="AM38">
        <v>1.7984</v>
      </c>
      <c r="AN38">
        <v>-5.8573000000000004</v>
      </c>
      <c r="AO38">
        <v>-10.6059</v>
      </c>
      <c r="AP38">
        <v>-14.2133</v>
      </c>
      <c r="AQ38">
        <v>-14.2158</v>
      </c>
      <c r="AR38">
        <v>-9.4979999999999993</v>
      </c>
      <c r="AS38">
        <v>6.5727000000000002</v>
      </c>
      <c r="AT38">
        <v>1.9311</v>
      </c>
      <c r="AU38">
        <v>2.6452999999999998</v>
      </c>
      <c r="AV38">
        <v>2.5261</v>
      </c>
      <c r="AW38" t="s">
        <v>134</v>
      </c>
      <c r="AX38" t="s">
        <v>134</v>
      </c>
      <c r="AY38">
        <v>-9.3879000000000001</v>
      </c>
      <c r="AZ38" t="s">
        <v>134</v>
      </c>
      <c r="BA38">
        <v>-100</v>
      </c>
      <c r="BB38">
        <v>4.3653000000000004</v>
      </c>
      <c r="BC38">
        <v>2.9020000000000001</v>
      </c>
      <c r="BD38">
        <v>4.3613</v>
      </c>
      <c r="BE38">
        <v>-3.1718000000000002</v>
      </c>
      <c r="BF38">
        <v>-7.2182000000000004</v>
      </c>
      <c r="BG38">
        <v>-16.52</v>
      </c>
      <c r="BH38">
        <v>-7.9123000000000001</v>
      </c>
      <c r="BI38">
        <v>2.8557000000000001</v>
      </c>
      <c r="BJ38">
        <v>2.8506999999999998</v>
      </c>
      <c r="BK38">
        <v>0</v>
      </c>
      <c r="BL38">
        <v>-3.7321999999999997</v>
      </c>
      <c r="BM38">
        <v>2.9594</v>
      </c>
      <c r="BN38">
        <v>0.68889999999999996</v>
      </c>
      <c r="BO38">
        <v>4.5826000000000002</v>
      </c>
      <c r="BP38">
        <v>-45.906399999999998</v>
      </c>
      <c r="BQ38" t="s">
        <v>134</v>
      </c>
      <c r="BR38">
        <v>43.612499999999997</v>
      </c>
      <c r="BS38" t="s">
        <v>134</v>
      </c>
      <c r="BT38" t="s">
        <v>134</v>
      </c>
      <c r="BU38">
        <v>2.6177000000000001</v>
      </c>
      <c r="BV38">
        <v>2.6177000000000001</v>
      </c>
      <c r="BW38">
        <v>2.5941000000000001</v>
      </c>
      <c r="BX38">
        <v>-4.2325999999999997</v>
      </c>
      <c r="BY38">
        <v>0</v>
      </c>
      <c r="BZ38">
        <v>0</v>
      </c>
      <c r="CA38">
        <v>0</v>
      </c>
      <c r="CB38">
        <v>0</v>
      </c>
      <c r="CC38">
        <v>-1.2845</v>
      </c>
      <c r="CD38">
        <v>0</v>
      </c>
      <c r="CE38">
        <v>-2.2652999999999999</v>
      </c>
      <c r="CF38">
        <v>20.6172</v>
      </c>
      <c r="CG38">
        <v>64.553799999999995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-21.112100000000002</v>
      </c>
      <c r="CO38">
        <v>-26.7621</v>
      </c>
      <c r="CP38">
        <v>14207.3</v>
      </c>
      <c r="CQ38">
        <v>8980.7999999999993</v>
      </c>
      <c r="CR38">
        <v>8056.2</v>
      </c>
      <c r="CS38">
        <v>0.45050000000000001</v>
      </c>
      <c r="CT38">
        <v>1.0045999999999999</v>
      </c>
      <c r="CU38">
        <v>0.56559999999999999</v>
      </c>
      <c r="CV38">
        <v>4.8330000000000002</v>
      </c>
      <c r="CW38">
        <v>23.0245</v>
      </c>
      <c r="CX38">
        <v>15.896100000000001</v>
      </c>
      <c r="CY38">
        <v>1.7576000000000001</v>
      </c>
      <c r="CZ38">
        <v>208.24199999999999</v>
      </c>
      <c r="DA38">
        <v>2.0177</v>
      </c>
      <c r="DB38">
        <v>181.3929</v>
      </c>
      <c r="DC38">
        <v>42.7453</v>
      </c>
      <c r="DD38">
        <v>224.13810000000001</v>
      </c>
      <c r="DE38">
        <v>12246.3</v>
      </c>
      <c r="DF38">
        <v>1310.7</v>
      </c>
      <c r="DG38">
        <v>2387.4</v>
      </c>
      <c r="DH38">
        <v>1390.2</v>
      </c>
      <c r="DI38">
        <v>7158</v>
      </c>
    </row>
    <row r="39" spans="4:113" x14ac:dyDescent="0.3">
      <c r="E39" t="s">
        <v>78</v>
      </c>
      <c r="F39" t="s">
        <v>134</v>
      </c>
      <c r="G39" t="s">
        <v>134</v>
      </c>
      <c r="H39" t="s">
        <v>134</v>
      </c>
      <c r="I39" t="s">
        <v>134</v>
      </c>
      <c r="J39">
        <v>14.811500000000001</v>
      </c>
      <c r="K39">
        <v>9.8285999999999998</v>
      </c>
      <c r="L39" t="s">
        <v>134</v>
      </c>
      <c r="M39">
        <v>10.725300000000001</v>
      </c>
      <c r="N39">
        <v>7.7533000000000003</v>
      </c>
      <c r="O39">
        <v>7.7526999999999999</v>
      </c>
      <c r="P39">
        <v>7.7526999999999999</v>
      </c>
      <c r="Q39">
        <v>28.824400000000001</v>
      </c>
      <c r="R39" t="s">
        <v>134</v>
      </c>
      <c r="S39" t="s">
        <v>134</v>
      </c>
      <c r="T39">
        <v>1.4535</v>
      </c>
      <c r="U39">
        <v>-28.859000000000002</v>
      </c>
      <c r="V39">
        <v>-34.163200000000003</v>
      </c>
      <c r="W39">
        <v>-4.0542999999999996</v>
      </c>
      <c r="X39">
        <v>-4.0572999999999997</v>
      </c>
      <c r="Y39" t="s">
        <v>134</v>
      </c>
      <c r="Z39" t="s">
        <v>134</v>
      </c>
      <c r="AA39" t="s">
        <v>134</v>
      </c>
      <c r="AB39" t="s">
        <v>134</v>
      </c>
      <c r="AC39" t="s">
        <v>134</v>
      </c>
      <c r="AD39" t="s">
        <v>134</v>
      </c>
      <c r="AE39" t="s">
        <v>134</v>
      </c>
      <c r="AF39" t="s">
        <v>134</v>
      </c>
      <c r="AG39" t="s">
        <v>134</v>
      </c>
      <c r="AH39" t="s">
        <v>134</v>
      </c>
      <c r="AI39" t="s">
        <v>134</v>
      </c>
      <c r="AJ39" t="s">
        <v>134</v>
      </c>
      <c r="AK39" t="s">
        <v>134</v>
      </c>
      <c r="AL39" t="s">
        <v>134</v>
      </c>
      <c r="AM39">
        <v>2.7486999999999999</v>
      </c>
      <c r="AN39">
        <v>-5.8483999999999998</v>
      </c>
      <c r="AO39">
        <v>-9.1593</v>
      </c>
      <c r="AP39">
        <v>-8.3084000000000007</v>
      </c>
      <c r="AQ39">
        <v>-8.3103999999999996</v>
      </c>
      <c r="AR39" t="s">
        <v>134</v>
      </c>
      <c r="AS39" t="s">
        <v>134</v>
      </c>
      <c r="AT39" t="s">
        <v>134</v>
      </c>
      <c r="AU39" t="s">
        <v>134</v>
      </c>
      <c r="AV39" t="s">
        <v>134</v>
      </c>
      <c r="AW39" t="s">
        <v>134</v>
      </c>
      <c r="AX39" t="s">
        <v>134</v>
      </c>
      <c r="AY39" t="s">
        <v>134</v>
      </c>
      <c r="AZ39" t="s">
        <v>134</v>
      </c>
      <c r="BA39" t="s">
        <v>134</v>
      </c>
      <c r="BB39" t="s">
        <v>134</v>
      </c>
      <c r="BC39" t="s">
        <v>134</v>
      </c>
      <c r="BD39" t="s">
        <v>134</v>
      </c>
      <c r="BE39" t="s">
        <v>134</v>
      </c>
      <c r="BF39">
        <v>2.8555000000000001</v>
      </c>
      <c r="BG39">
        <v>55.0807</v>
      </c>
      <c r="BH39">
        <v>137.47110000000001</v>
      </c>
      <c r="BI39">
        <v>121.6525</v>
      </c>
      <c r="BJ39">
        <v>121.69119999999999</v>
      </c>
      <c r="BK39" t="s">
        <v>134</v>
      </c>
      <c r="BL39" t="s">
        <v>134</v>
      </c>
      <c r="BM39" t="s">
        <v>134</v>
      </c>
      <c r="BN39" t="s">
        <v>134</v>
      </c>
      <c r="BO39" t="s">
        <v>134</v>
      </c>
      <c r="BP39" t="s">
        <v>134</v>
      </c>
      <c r="BQ39" t="s">
        <v>134</v>
      </c>
      <c r="BR39" t="s">
        <v>134</v>
      </c>
      <c r="BS39" t="s">
        <v>134</v>
      </c>
      <c r="BT39" t="s">
        <v>134</v>
      </c>
      <c r="BU39" t="s">
        <v>134</v>
      </c>
      <c r="BV39" t="s">
        <v>134</v>
      </c>
      <c r="BW39" t="s">
        <v>134</v>
      </c>
      <c r="BX39" t="s">
        <v>134</v>
      </c>
      <c r="BY39" t="s">
        <v>134</v>
      </c>
      <c r="BZ39" t="s">
        <v>134</v>
      </c>
      <c r="CA39" t="s">
        <v>134</v>
      </c>
      <c r="CB39" t="s">
        <v>134</v>
      </c>
      <c r="CC39" t="s">
        <v>134</v>
      </c>
      <c r="CD39" t="s">
        <v>134</v>
      </c>
      <c r="CE39" t="s">
        <v>134</v>
      </c>
      <c r="CF39">
        <v>27.9375</v>
      </c>
      <c r="CG39" t="s">
        <v>134</v>
      </c>
      <c r="CH39" t="s">
        <v>134</v>
      </c>
      <c r="CI39" t="s">
        <v>134</v>
      </c>
      <c r="CJ39" t="s">
        <v>134</v>
      </c>
      <c r="CK39" t="s">
        <v>134</v>
      </c>
      <c r="CL39" t="s">
        <v>134</v>
      </c>
      <c r="CM39" t="s">
        <v>134</v>
      </c>
      <c r="CN39" t="s">
        <v>134</v>
      </c>
      <c r="CO39" t="s">
        <v>134</v>
      </c>
      <c r="CP39">
        <v>4335.8999999999996</v>
      </c>
      <c r="CQ39" t="s">
        <v>134</v>
      </c>
      <c r="CR39">
        <v>2877.2</v>
      </c>
      <c r="CS39" t="s">
        <v>134</v>
      </c>
      <c r="CT39" t="s">
        <v>134</v>
      </c>
      <c r="CU39" t="s">
        <v>134</v>
      </c>
      <c r="CV39" t="s">
        <v>134</v>
      </c>
      <c r="CW39" t="s">
        <v>134</v>
      </c>
      <c r="CX39" t="s">
        <v>134</v>
      </c>
      <c r="CY39" t="s">
        <v>134</v>
      </c>
      <c r="CZ39" t="s">
        <v>134</v>
      </c>
      <c r="DA39" t="s">
        <v>134</v>
      </c>
      <c r="DB39" t="s">
        <v>134</v>
      </c>
      <c r="DC39" t="s">
        <v>134</v>
      </c>
      <c r="DD39" t="s">
        <v>134</v>
      </c>
      <c r="DE39" t="s">
        <v>134</v>
      </c>
      <c r="DF39" t="s">
        <v>134</v>
      </c>
      <c r="DG39" t="s">
        <v>134</v>
      </c>
      <c r="DH39" t="s">
        <v>134</v>
      </c>
      <c r="DI39" t="s">
        <v>134</v>
      </c>
    </row>
    <row r="40" spans="4:113" x14ac:dyDescent="0.3">
      <c r="E40" t="s">
        <v>79</v>
      </c>
      <c r="F40">
        <v>8.1092999999999993</v>
      </c>
      <c r="G40">
        <v>5.3463000000000003</v>
      </c>
      <c r="H40">
        <v>8.6643000000000008</v>
      </c>
      <c r="I40">
        <v>7.3220000000000001</v>
      </c>
      <c r="J40">
        <v>15.9437</v>
      </c>
      <c r="K40">
        <v>10.943099999999999</v>
      </c>
      <c r="L40" t="s">
        <v>134</v>
      </c>
      <c r="M40">
        <v>11.097099999999999</v>
      </c>
      <c r="N40">
        <v>8.3336000000000006</v>
      </c>
      <c r="O40">
        <v>8.3322000000000003</v>
      </c>
      <c r="P40">
        <v>8.3322000000000003</v>
      </c>
      <c r="Q40">
        <v>25.509499999999999</v>
      </c>
      <c r="R40" t="s">
        <v>134</v>
      </c>
      <c r="S40" t="s">
        <v>134</v>
      </c>
      <c r="T40">
        <v>-3.0855999999999999</v>
      </c>
      <c r="U40">
        <v>36.5199</v>
      </c>
      <c r="V40">
        <v>88.245500000000007</v>
      </c>
      <c r="W40">
        <v>79.169799999999995</v>
      </c>
      <c r="X40">
        <v>79.125500000000002</v>
      </c>
      <c r="Y40" t="s">
        <v>134</v>
      </c>
      <c r="Z40">
        <v>10.9024</v>
      </c>
      <c r="AA40">
        <v>-16.926500000000001</v>
      </c>
      <c r="AB40" t="s">
        <v>134</v>
      </c>
      <c r="AC40">
        <v>3.6272000000000002</v>
      </c>
      <c r="AD40">
        <v>-26.789400000000001</v>
      </c>
      <c r="AE40">
        <v>26.122399999999999</v>
      </c>
      <c r="AF40">
        <v>18.849399999999999</v>
      </c>
      <c r="AG40" t="s">
        <v>134</v>
      </c>
      <c r="AH40" t="s">
        <v>134</v>
      </c>
      <c r="AI40">
        <v>3.5931999999999999</v>
      </c>
      <c r="AJ40">
        <v>3.5931999999999999</v>
      </c>
      <c r="AK40">
        <v>3.5716000000000001</v>
      </c>
      <c r="AL40" t="s">
        <v>134</v>
      </c>
      <c r="AM40">
        <v>2.4802</v>
      </c>
      <c r="AN40">
        <v>-4.5785</v>
      </c>
      <c r="AO40">
        <v>-7.0945999999999998</v>
      </c>
      <c r="AP40">
        <v>-6.1319999999999997</v>
      </c>
      <c r="AQ40">
        <v>-6.1463000000000001</v>
      </c>
      <c r="AR40" t="s">
        <v>134</v>
      </c>
      <c r="AS40">
        <v>12.3346</v>
      </c>
      <c r="AT40">
        <v>1.4083999999999999</v>
      </c>
      <c r="AU40" t="s">
        <v>134</v>
      </c>
      <c r="AV40">
        <v>2.9788000000000001</v>
      </c>
      <c r="AW40">
        <v>-9.2202999999999999</v>
      </c>
      <c r="AX40" t="s">
        <v>134</v>
      </c>
      <c r="AY40" t="s">
        <v>134</v>
      </c>
      <c r="AZ40" t="s">
        <v>134</v>
      </c>
      <c r="BA40">
        <v>-100</v>
      </c>
      <c r="BB40">
        <v>5.1273999999999997</v>
      </c>
      <c r="BC40">
        <v>3.5042</v>
      </c>
      <c r="BD40">
        <v>5.1242000000000001</v>
      </c>
      <c r="BE40" t="s">
        <v>134</v>
      </c>
      <c r="BF40">
        <v>-11.966699999999999</v>
      </c>
      <c r="BG40">
        <v>3.5695999999999999</v>
      </c>
      <c r="BH40">
        <v>5.6021000000000001</v>
      </c>
      <c r="BI40">
        <v>3.2113</v>
      </c>
      <c r="BJ40">
        <v>3.1682000000000001</v>
      </c>
      <c r="BK40" t="s">
        <v>134</v>
      </c>
      <c r="BL40" t="s">
        <v>134</v>
      </c>
      <c r="BM40" t="s">
        <v>134</v>
      </c>
      <c r="BN40" t="s">
        <v>134</v>
      </c>
      <c r="BO40" t="s">
        <v>134</v>
      </c>
      <c r="BP40" t="s">
        <v>134</v>
      </c>
      <c r="BQ40" t="s">
        <v>134</v>
      </c>
      <c r="BR40" t="s">
        <v>134</v>
      </c>
      <c r="BS40" t="s">
        <v>134</v>
      </c>
      <c r="BT40" t="s">
        <v>134</v>
      </c>
      <c r="BU40" t="s">
        <v>134</v>
      </c>
      <c r="BV40" t="s">
        <v>134</v>
      </c>
      <c r="BW40" t="s">
        <v>134</v>
      </c>
      <c r="BX40" t="s">
        <v>134</v>
      </c>
      <c r="BY40">
        <v>0</v>
      </c>
      <c r="BZ40">
        <v>0</v>
      </c>
      <c r="CA40">
        <v>0</v>
      </c>
      <c r="CB40">
        <v>0</v>
      </c>
      <c r="CC40">
        <v>-0.91520000000000001</v>
      </c>
      <c r="CD40">
        <v>0</v>
      </c>
      <c r="CE40">
        <v>-1.5474999999999999</v>
      </c>
      <c r="CF40">
        <v>26.296600000000002</v>
      </c>
      <c r="CG40">
        <v>65.918000000000006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-15.8019</v>
      </c>
      <c r="CO40">
        <v>-18.767499999999998</v>
      </c>
      <c r="CP40">
        <v>4575.6000000000004</v>
      </c>
      <c r="CQ40" t="s">
        <v>134</v>
      </c>
      <c r="CR40">
        <v>3140.5</v>
      </c>
      <c r="CS40">
        <v>0.3523</v>
      </c>
      <c r="CT40">
        <v>0.97640000000000005</v>
      </c>
      <c r="CU40">
        <v>0.51349999999999996</v>
      </c>
      <c r="CV40">
        <v>6.1104000000000003</v>
      </c>
      <c r="CW40">
        <v>19.708500000000001</v>
      </c>
      <c r="CX40">
        <v>18.570699999999999</v>
      </c>
      <c r="CY40">
        <v>1.2699</v>
      </c>
      <c r="CZ40">
        <v>288.20389999999998</v>
      </c>
      <c r="DA40">
        <v>1.7178</v>
      </c>
      <c r="DB40">
        <v>213.06309999999999</v>
      </c>
      <c r="DC40">
        <v>93.711500000000001</v>
      </c>
      <c r="DD40">
        <v>306.77460000000002</v>
      </c>
      <c r="DE40">
        <v>12385.6</v>
      </c>
      <c r="DF40" t="s">
        <v>134</v>
      </c>
      <c r="DG40" t="s">
        <v>134</v>
      </c>
      <c r="DH40" t="s">
        <v>134</v>
      </c>
      <c r="DI40" t="s">
        <v>134</v>
      </c>
    </row>
    <row r="41" spans="4:113" x14ac:dyDescent="0.3">
      <c r="E41" t="s">
        <v>80</v>
      </c>
      <c r="F41" t="s">
        <v>134</v>
      </c>
      <c r="G41" t="s">
        <v>134</v>
      </c>
      <c r="H41" t="s">
        <v>134</v>
      </c>
      <c r="I41" t="s">
        <v>134</v>
      </c>
      <c r="J41">
        <v>11.0684</v>
      </c>
      <c r="K41">
        <v>4.7843999999999998</v>
      </c>
      <c r="L41">
        <v>-11.796799999999999</v>
      </c>
      <c r="M41">
        <v>5.0953999999999997</v>
      </c>
      <c r="N41">
        <v>3.3157000000000001</v>
      </c>
      <c r="O41">
        <v>3.3149000000000002</v>
      </c>
      <c r="P41">
        <v>3.3149000000000002</v>
      </c>
      <c r="Q41">
        <v>34.134900000000002</v>
      </c>
      <c r="R41" t="s">
        <v>134</v>
      </c>
      <c r="S41" t="s">
        <v>134</v>
      </c>
      <c r="T41">
        <v>-9.7515000000000001</v>
      </c>
      <c r="U41">
        <v>-12.611700000000001</v>
      </c>
      <c r="V41">
        <v>-21.037199999999999</v>
      </c>
      <c r="W41">
        <v>-28.851700000000001</v>
      </c>
      <c r="X41">
        <v>-28.921600000000002</v>
      </c>
      <c r="Y41" t="s">
        <v>134</v>
      </c>
      <c r="Z41" t="s">
        <v>134</v>
      </c>
      <c r="AA41" t="s">
        <v>134</v>
      </c>
      <c r="AB41" t="s">
        <v>134</v>
      </c>
      <c r="AC41" t="s">
        <v>134</v>
      </c>
      <c r="AD41" t="s">
        <v>134</v>
      </c>
      <c r="AE41" t="s">
        <v>134</v>
      </c>
      <c r="AF41" t="s">
        <v>134</v>
      </c>
      <c r="AG41" t="s">
        <v>134</v>
      </c>
      <c r="AH41" t="s">
        <v>134</v>
      </c>
      <c r="AI41" t="s">
        <v>134</v>
      </c>
      <c r="AJ41" t="s">
        <v>134</v>
      </c>
      <c r="AK41" t="s">
        <v>134</v>
      </c>
      <c r="AL41" t="s">
        <v>134</v>
      </c>
      <c r="AM41">
        <v>1.6064000000000001</v>
      </c>
      <c r="AN41">
        <v>-2.9172000000000002</v>
      </c>
      <c r="AO41">
        <v>-8.8942999999999994</v>
      </c>
      <c r="AP41">
        <v>-12.444699999999999</v>
      </c>
      <c r="AQ41">
        <v>-12.4772</v>
      </c>
      <c r="AR41" t="s">
        <v>134</v>
      </c>
      <c r="AS41" t="s">
        <v>134</v>
      </c>
      <c r="AT41" t="s">
        <v>134</v>
      </c>
      <c r="AU41" t="s">
        <v>134</v>
      </c>
      <c r="AV41" t="s">
        <v>134</v>
      </c>
      <c r="AW41" t="s">
        <v>134</v>
      </c>
      <c r="AX41" t="s">
        <v>134</v>
      </c>
      <c r="AY41" t="s">
        <v>134</v>
      </c>
      <c r="AZ41" t="s">
        <v>134</v>
      </c>
      <c r="BA41" t="s">
        <v>134</v>
      </c>
      <c r="BB41" t="s">
        <v>134</v>
      </c>
      <c r="BC41" t="s">
        <v>134</v>
      </c>
      <c r="BD41" t="s">
        <v>134</v>
      </c>
      <c r="BE41" t="s">
        <v>134</v>
      </c>
      <c r="BF41">
        <v>-12.7011</v>
      </c>
      <c r="BG41">
        <v>-40.807499999999997</v>
      </c>
      <c r="BH41">
        <v>-63.0685</v>
      </c>
      <c r="BI41">
        <v>-66.682900000000004</v>
      </c>
      <c r="BJ41">
        <v>-66.717699999999994</v>
      </c>
      <c r="BK41" t="s">
        <v>134</v>
      </c>
      <c r="BL41" t="s">
        <v>134</v>
      </c>
      <c r="BM41" t="s">
        <v>134</v>
      </c>
      <c r="BN41" t="s">
        <v>134</v>
      </c>
      <c r="BO41" t="s">
        <v>134</v>
      </c>
      <c r="BP41" t="s">
        <v>134</v>
      </c>
      <c r="BQ41" t="s">
        <v>134</v>
      </c>
      <c r="BR41" t="s">
        <v>134</v>
      </c>
      <c r="BS41" t="s">
        <v>134</v>
      </c>
      <c r="BT41" t="s">
        <v>134</v>
      </c>
      <c r="BU41" t="s">
        <v>134</v>
      </c>
      <c r="BV41" t="s">
        <v>134</v>
      </c>
      <c r="BW41" t="s">
        <v>134</v>
      </c>
      <c r="BX41" t="s">
        <v>134</v>
      </c>
      <c r="BY41" t="s">
        <v>134</v>
      </c>
      <c r="BZ41" t="s">
        <v>134</v>
      </c>
      <c r="CA41" t="s">
        <v>134</v>
      </c>
      <c r="CB41" t="s">
        <v>134</v>
      </c>
      <c r="CC41" t="s">
        <v>134</v>
      </c>
      <c r="CD41" t="s">
        <v>134</v>
      </c>
      <c r="CE41" t="s">
        <v>134</v>
      </c>
      <c r="CF41">
        <v>14.6835</v>
      </c>
      <c r="CG41" t="s">
        <v>134</v>
      </c>
      <c r="CH41" t="s">
        <v>134</v>
      </c>
      <c r="CI41" t="s">
        <v>134</v>
      </c>
      <c r="CJ41" t="s">
        <v>134</v>
      </c>
      <c r="CK41" t="s">
        <v>134</v>
      </c>
      <c r="CL41" t="s">
        <v>134</v>
      </c>
      <c r="CM41" t="s">
        <v>134</v>
      </c>
      <c r="CN41" t="s">
        <v>134</v>
      </c>
      <c r="CO41" t="s">
        <v>134</v>
      </c>
      <c r="CP41">
        <v>2737</v>
      </c>
      <c r="CQ41" t="s">
        <v>134</v>
      </c>
      <c r="CR41">
        <v>1183.0999999999999</v>
      </c>
      <c r="CS41" t="s">
        <v>134</v>
      </c>
      <c r="CT41" t="s">
        <v>134</v>
      </c>
      <c r="CU41" t="s">
        <v>134</v>
      </c>
      <c r="CV41" t="s">
        <v>134</v>
      </c>
      <c r="CW41" t="s">
        <v>134</v>
      </c>
      <c r="CX41" t="s">
        <v>134</v>
      </c>
      <c r="CY41" t="s">
        <v>134</v>
      </c>
      <c r="CZ41" t="s">
        <v>134</v>
      </c>
      <c r="DA41" t="s">
        <v>134</v>
      </c>
      <c r="DB41" t="s">
        <v>134</v>
      </c>
      <c r="DC41" t="s">
        <v>134</v>
      </c>
      <c r="DD41" t="s">
        <v>134</v>
      </c>
      <c r="DE41" t="s">
        <v>134</v>
      </c>
      <c r="DF41" t="s">
        <v>134</v>
      </c>
      <c r="DG41" t="s">
        <v>134</v>
      </c>
      <c r="DH41" t="s">
        <v>134</v>
      </c>
      <c r="DI41" t="s">
        <v>134</v>
      </c>
    </row>
    <row r="42" spans="4:113" x14ac:dyDescent="0.3">
      <c r="E42" t="s">
        <v>81</v>
      </c>
      <c r="F42">
        <v>7.3113999999999999</v>
      </c>
      <c r="G42">
        <v>4.7640000000000002</v>
      </c>
      <c r="H42">
        <v>7.9722999999999997</v>
      </c>
      <c r="I42">
        <v>6.8437000000000001</v>
      </c>
      <c r="J42">
        <v>9.5777000000000001</v>
      </c>
      <c r="K42">
        <v>3.2018</v>
      </c>
      <c r="L42">
        <v>-20.412600000000001</v>
      </c>
      <c r="M42">
        <v>1.7547000000000001</v>
      </c>
      <c r="N42">
        <v>2.1107</v>
      </c>
      <c r="O42">
        <v>2.1088</v>
      </c>
      <c r="P42">
        <v>2.1088</v>
      </c>
      <c r="Q42" t="s">
        <v>134</v>
      </c>
      <c r="R42" t="s">
        <v>134</v>
      </c>
      <c r="S42" t="s">
        <v>134</v>
      </c>
      <c r="T42">
        <v>-6.1311999999999998</v>
      </c>
      <c r="U42">
        <v>-8.4802999999999997</v>
      </c>
      <c r="V42">
        <v>-29.399100000000001</v>
      </c>
      <c r="W42">
        <v>-44.975099999999998</v>
      </c>
      <c r="X42">
        <v>-45.036799999999999</v>
      </c>
      <c r="Y42" t="s">
        <v>134</v>
      </c>
      <c r="Z42">
        <v>-3.7321999999999997</v>
      </c>
      <c r="AA42">
        <v>2.9594</v>
      </c>
      <c r="AB42">
        <v>0.68889999999999996</v>
      </c>
      <c r="AC42">
        <v>4.5826000000000002</v>
      </c>
      <c r="AD42">
        <v>-45.906399999999998</v>
      </c>
      <c r="AE42" t="s">
        <v>134</v>
      </c>
      <c r="AF42">
        <v>43.612499999999997</v>
      </c>
      <c r="AG42" t="s">
        <v>134</v>
      </c>
      <c r="AH42" t="s">
        <v>134</v>
      </c>
      <c r="AI42">
        <v>2.6177000000000001</v>
      </c>
      <c r="AJ42">
        <v>2.6177000000000001</v>
      </c>
      <c r="AK42">
        <v>2.5941000000000001</v>
      </c>
      <c r="AL42" t="s">
        <v>134</v>
      </c>
      <c r="AM42">
        <v>0.28599999999999998</v>
      </c>
      <c r="AN42">
        <v>-10.2506</v>
      </c>
      <c r="AO42">
        <v>-22.392700000000001</v>
      </c>
      <c r="AP42">
        <v>-34.384</v>
      </c>
      <c r="AQ42">
        <v>-34.389699999999998</v>
      </c>
      <c r="AR42" t="s">
        <v>134</v>
      </c>
      <c r="AS42">
        <v>6.5727000000000002</v>
      </c>
      <c r="AT42">
        <v>1.9311</v>
      </c>
      <c r="AU42">
        <v>2.6452999999999998</v>
      </c>
      <c r="AV42">
        <v>2.5261</v>
      </c>
      <c r="AW42" t="s">
        <v>134</v>
      </c>
      <c r="AX42" t="s">
        <v>134</v>
      </c>
      <c r="AY42">
        <v>-9.3879000000000001</v>
      </c>
      <c r="AZ42" t="s">
        <v>134</v>
      </c>
      <c r="BA42">
        <v>-100</v>
      </c>
      <c r="BB42">
        <v>4.3653000000000004</v>
      </c>
      <c r="BC42">
        <v>2.9020000000000001</v>
      </c>
      <c r="BD42">
        <v>4.3613</v>
      </c>
      <c r="BE42" t="s">
        <v>134</v>
      </c>
      <c r="BF42">
        <v>10.0451</v>
      </c>
      <c r="BG42">
        <v>-9.3780999999999999</v>
      </c>
      <c r="BH42">
        <v>-33.400799999999997</v>
      </c>
      <c r="BI42">
        <v>-37.197600000000001</v>
      </c>
      <c r="BJ42">
        <v>-37.316600000000001</v>
      </c>
      <c r="BK42" t="s">
        <v>134</v>
      </c>
      <c r="BL42" t="s">
        <v>134</v>
      </c>
      <c r="BM42" t="s">
        <v>134</v>
      </c>
      <c r="BN42" t="s">
        <v>134</v>
      </c>
      <c r="BO42" t="s">
        <v>134</v>
      </c>
      <c r="BP42" t="s">
        <v>134</v>
      </c>
      <c r="BQ42" t="s">
        <v>134</v>
      </c>
      <c r="BR42" t="s">
        <v>134</v>
      </c>
      <c r="BS42" t="s">
        <v>134</v>
      </c>
      <c r="BT42" t="s">
        <v>134</v>
      </c>
      <c r="BU42" t="s">
        <v>134</v>
      </c>
      <c r="BV42" t="s">
        <v>134</v>
      </c>
      <c r="BW42" t="s">
        <v>134</v>
      </c>
      <c r="BX42" t="s">
        <v>134</v>
      </c>
      <c r="BY42">
        <v>0</v>
      </c>
      <c r="BZ42">
        <v>0</v>
      </c>
      <c r="CA42">
        <v>0</v>
      </c>
      <c r="CB42">
        <v>0</v>
      </c>
      <c r="CC42">
        <v>-1.2652000000000001</v>
      </c>
      <c r="CD42">
        <v>0</v>
      </c>
      <c r="CE42">
        <v>-2.1941999999999999</v>
      </c>
      <c r="CF42">
        <v>14.748100000000001</v>
      </c>
      <c r="CG42">
        <v>64.553799999999995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-21.112100000000002</v>
      </c>
      <c r="CO42">
        <v>-26.7621</v>
      </c>
      <c r="CP42">
        <v>2558.8000000000002</v>
      </c>
      <c r="CQ42" t="s">
        <v>134</v>
      </c>
      <c r="CR42">
        <v>855.4</v>
      </c>
      <c r="CS42">
        <v>0.45050000000000001</v>
      </c>
      <c r="CT42">
        <v>1.0045999999999999</v>
      </c>
      <c r="CU42">
        <v>0.56559999999999999</v>
      </c>
      <c r="CV42">
        <v>4.8330000000000002</v>
      </c>
      <c r="CW42">
        <v>23.5425</v>
      </c>
      <c r="CX42">
        <v>15.5463</v>
      </c>
      <c r="CY42">
        <v>1.3385</v>
      </c>
      <c r="CZ42">
        <v>273.43020000000001</v>
      </c>
      <c r="DA42">
        <v>1.5445</v>
      </c>
      <c r="DB42">
        <v>236.96539999999999</v>
      </c>
      <c r="DC42">
        <v>52.011099999999999</v>
      </c>
      <c r="DD42">
        <v>288.97649999999999</v>
      </c>
      <c r="DE42">
        <v>12246.3</v>
      </c>
      <c r="DF42">
        <v>1310.7</v>
      </c>
      <c r="DG42">
        <v>2387.4</v>
      </c>
      <c r="DH42">
        <v>1390.2</v>
      </c>
      <c r="DI42">
        <v>7158</v>
      </c>
    </row>
    <row r="43" spans="4:113" x14ac:dyDescent="0.3">
      <c r="D43" t="s">
        <v>84</v>
      </c>
      <c r="E43" t="s">
        <v>77</v>
      </c>
      <c r="F43">
        <v>10.1755</v>
      </c>
      <c r="G43">
        <v>6.5468999999999999</v>
      </c>
      <c r="H43">
        <v>10.9262</v>
      </c>
      <c r="I43">
        <v>8.8935999999999993</v>
      </c>
      <c r="J43">
        <v>14.818300000000001</v>
      </c>
      <c r="K43">
        <v>9.8122000000000007</v>
      </c>
      <c r="L43">
        <v>18.468399999999999</v>
      </c>
      <c r="M43">
        <v>10.1312</v>
      </c>
      <c r="N43">
        <v>7.1496000000000004</v>
      </c>
      <c r="O43">
        <v>7.1487999999999996</v>
      </c>
      <c r="P43">
        <v>7.1487999999999996</v>
      </c>
      <c r="Q43">
        <v>29.4299</v>
      </c>
      <c r="R43">
        <v>52.817500000000003</v>
      </c>
      <c r="S43">
        <v>4.8010999999999999</v>
      </c>
      <c r="T43">
        <v>20.089200000000002</v>
      </c>
      <c r="U43">
        <v>29.276599999999998</v>
      </c>
      <c r="V43">
        <v>45.956000000000003</v>
      </c>
      <c r="W43">
        <v>40.426000000000002</v>
      </c>
      <c r="X43">
        <v>40.406100000000002</v>
      </c>
      <c r="Y43">
        <v>52.941200000000002</v>
      </c>
      <c r="Z43">
        <v>24.9053</v>
      </c>
      <c r="AA43">
        <v>14.710599999999999</v>
      </c>
      <c r="AB43">
        <v>-3.7473999999999998</v>
      </c>
      <c r="AC43">
        <v>10.8392</v>
      </c>
      <c r="AD43">
        <v>-48.527999999999999</v>
      </c>
      <c r="AE43">
        <v>591.68939999999998</v>
      </c>
      <c r="AF43">
        <v>44.1203</v>
      </c>
      <c r="AG43" t="s">
        <v>134</v>
      </c>
      <c r="AH43" t="s">
        <v>134</v>
      </c>
      <c r="AI43">
        <v>6.1536999999999997</v>
      </c>
      <c r="AJ43">
        <v>6.1536999999999997</v>
      </c>
      <c r="AK43">
        <v>5.5888</v>
      </c>
      <c r="AL43">
        <v>12.057499999999999</v>
      </c>
      <c r="AM43">
        <v>2.6276000000000002</v>
      </c>
      <c r="AN43">
        <v>-2.6951999999999998</v>
      </c>
      <c r="AO43">
        <v>-4.8601999999999999</v>
      </c>
      <c r="AP43">
        <v>-2.6870000000000003</v>
      </c>
      <c r="AQ43">
        <v>-2.6926999999999999</v>
      </c>
      <c r="AR43">
        <v>-2.8214000000000001</v>
      </c>
      <c r="AS43">
        <v>17.076899999999998</v>
      </c>
      <c r="AT43">
        <v>4.3682999999999996</v>
      </c>
      <c r="AU43">
        <v>3.8472</v>
      </c>
      <c r="AV43">
        <v>4.4733999999999998</v>
      </c>
      <c r="AW43">
        <v>-19.838200000000001</v>
      </c>
      <c r="AX43" t="s">
        <v>134</v>
      </c>
      <c r="AY43">
        <v>22.380700000000001</v>
      </c>
      <c r="AZ43">
        <v>-100</v>
      </c>
      <c r="BA43">
        <v>-100</v>
      </c>
      <c r="BB43">
        <v>4.8795999999999999</v>
      </c>
      <c r="BC43">
        <v>4.4218999999999999</v>
      </c>
      <c r="BD43">
        <v>4.7637999999999998</v>
      </c>
      <c r="BE43">
        <v>-0.57640000000000002</v>
      </c>
      <c r="BF43">
        <v>20.089200000000002</v>
      </c>
      <c r="BG43">
        <v>29.276599999999998</v>
      </c>
      <c r="BH43">
        <v>45.956000000000003</v>
      </c>
      <c r="BI43">
        <v>40.426000000000002</v>
      </c>
      <c r="BJ43">
        <v>40.406100000000002</v>
      </c>
      <c r="BK43">
        <v>52.941200000000002</v>
      </c>
      <c r="BL43">
        <v>24.9053</v>
      </c>
      <c r="BM43">
        <v>14.710599999999999</v>
      </c>
      <c r="BN43">
        <v>-3.7473999999999998</v>
      </c>
      <c r="BO43">
        <v>10.8392</v>
      </c>
      <c r="BP43">
        <v>-48.527999999999999</v>
      </c>
      <c r="BQ43">
        <v>591.68939999999998</v>
      </c>
      <c r="BR43">
        <v>44.1203</v>
      </c>
      <c r="BS43" t="s">
        <v>134</v>
      </c>
      <c r="BT43" t="s">
        <v>134</v>
      </c>
      <c r="BU43">
        <v>6.1536999999999997</v>
      </c>
      <c r="BV43">
        <v>6.1536999999999997</v>
      </c>
      <c r="BW43">
        <v>5.5888</v>
      </c>
      <c r="BX43">
        <v>12.057499999999999</v>
      </c>
      <c r="BY43">
        <v>0</v>
      </c>
      <c r="BZ43">
        <v>0</v>
      </c>
      <c r="CA43">
        <v>0</v>
      </c>
      <c r="CB43">
        <v>0</v>
      </c>
      <c r="CC43">
        <v>-1.3993</v>
      </c>
      <c r="CD43">
        <v>0</v>
      </c>
      <c r="CE43">
        <v>-2.1132</v>
      </c>
      <c r="CF43">
        <v>19.7684</v>
      </c>
      <c r="CG43">
        <v>63.020400000000002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-28.6493</v>
      </c>
      <c r="CO43">
        <v>-40.152799999999999</v>
      </c>
      <c r="CP43">
        <v>19161.5</v>
      </c>
      <c r="CQ43">
        <v>13812.5</v>
      </c>
      <c r="CR43">
        <v>12688.1</v>
      </c>
      <c r="CS43">
        <v>0.55940000000000001</v>
      </c>
      <c r="CT43">
        <v>1.1798999999999999</v>
      </c>
      <c r="CU43">
        <v>0.69840000000000002</v>
      </c>
      <c r="CV43">
        <v>5.3624999999999998</v>
      </c>
      <c r="CW43">
        <v>21.5669</v>
      </c>
      <c r="CX43">
        <v>16.924099999999999</v>
      </c>
      <c r="CY43">
        <v>1.8371</v>
      </c>
      <c r="CZ43">
        <v>198.6831</v>
      </c>
      <c r="DA43">
        <v>1.6896</v>
      </c>
      <c r="DB43">
        <v>216.03</v>
      </c>
      <c r="DC43">
        <v>-0.42280000000000001</v>
      </c>
      <c r="DD43">
        <v>215.60720000000001</v>
      </c>
      <c r="DE43">
        <v>14047.8</v>
      </c>
      <c r="DF43">
        <v>1539.6</v>
      </c>
      <c r="DG43">
        <v>2308.6999999999998</v>
      </c>
      <c r="DH43">
        <v>1617.9</v>
      </c>
      <c r="DI43">
        <v>8581.6</v>
      </c>
    </row>
    <row r="44" spans="4:113" x14ac:dyDescent="0.3">
      <c r="E44" t="s">
        <v>78</v>
      </c>
      <c r="F44" t="s">
        <v>134</v>
      </c>
      <c r="G44" t="s">
        <v>134</v>
      </c>
      <c r="H44" t="s">
        <v>134</v>
      </c>
      <c r="I44" t="s">
        <v>134</v>
      </c>
      <c r="J44">
        <v>11.7182</v>
      </c>
      <c r="K44">
        <v>7.0537000000000001</v>
      </c>
      <c r="L44" t="s">
        <v>134</v>
      </c>
      <c r="M44">
        <v>7.3334999999999999</v>
      </c>
      <c r="N44">
        <v>5.9341999999999997</v>
      </c>
      <c r="O44">
        <v>5.9336000000000002</v>
      </c>
      <c r="P44">
        <v>5.9336000000000002</v>
      </c>
      <c r="Q44">
        <v>19.081399999999999</v>
      </c>
      <c r="R44" t="s">
        <v>134</v>
      </c>
      <c r="S44" t="s">
        <v>134</v>
      </c>
      <c r="T44">
        <v>9.1029</v>
      </c>
      <c r="U44">
        <v>-5.6611000000000002</v>
      </c>
      <c r="V44">
        <v>-15.6394</v>
      </c>
      <c r="W44">
        <v>-8.9087999999999994</v>
      </c>
      <c r="X44">
        <v>-8.9358000000000004</v>
      </c>
      <c r="Y44" t="s">
        <v>134</v>
      </c>
      <c r="Z44" t="s">
        <v>134</v>
      </c>
      <c r="AA44" t="s">
        <v>134</v>
      </c>
      <c r="AB44" t="s">
        <v>134</v>
      </c>
      <c r="AC44" t="s">
        <v>134</v>
      </c>
      <c r="AD44" t="s">
        <v>134</v>
      </c>
      <c r="AE44" t="s">
        <v>134</v>
      </c>
      <c r="AF44" t="s">
        <v>134</v>
      </c>
      <c r="AG44" t="s">
        <v>134</v>
      </c>
      <c r="AH44" t="s">
        <v>134</v>
      </c>
      <c r="AI44" t="s">
        <v>134</v>
      </c>
      <c r="AJ44" t="s">
        <v>134</v>
      </c>
      <c r="AK44" t="s">
        <v>134</v>
      </c>
      <c r="AL44" t="s">
        <v>134</v>
      </c>
      <c r="AM44">
        <v>3.3584000000000001</v>
      </c>
      <c r="AN44">
        <v>-8.4406999999999996</v>
      </c>
      <c r="AO44">
        <v>-13.2104</v>
      </c>
      <c r="AP44">
        <v>6.8468999999999998</v>
      </c>
      <c r="AQ44">
        <v>6.8468999999999998</v>
      </c>
      <c r="AR44" t="s">
        <v>134</v>
      </c>
      <c r="AS44" t="s">
        <v>134</v>
      </c>
      <c r="AT44" t="s">
        <v>134</v>
      </c>
      <c r="AU44" t="s">
        <v>134</v>
      </c>
      <c r="AV44" t="s">
        <v>134</v>
      </c>
      <c r="AW44" t="s">
        <v>134</v>
      </c>
      <c r="AX44" t="s">
        <v>134</v>
      </c>
      <c r="AY44" t="s">
        <v>134</v>
      </c>
      <c r="AZ44" t="s">
        <v>134</v>
      </c>
      <c r="BA44" t="s">
        <v>134</v>
      </c>
      <c r="BB44" t="s">
        <v>134</v>
      </c>
      <c r="BC44" t="s">
        <v>134</v>
      </c>
      <c r="BD44" t="s">
        <v>134</v>
      </c>
      <c r="BE44" t="s">
        <v>134</v>
      </c>
      <c r="BF44">
        <v>34.998600000000003</v>
      </c>
      <c r="BG44">
        <v>45.118400000000001</v>
      </c>
      <c r="BH44">
        <v>111.9277</v>
      </c>
      <c r="BI44">
        <v>132.2439</v>
      </c>
      <c r="BJ44">
        <v>132.09110000000001</v>
      </c>
      <c r="BK44" t="s">
        <v>134</v>
      </c>
      <c r="BL44" t="s">
        <v>134</v>
      </c>
      <c r="BM44" t="s">
        <v>134</v>
      </c>
      <c r="BN44" t="s">
        <v>134</v>
      </c>
      <c r="BO44" t="s">
        <v>134</v>
      </c>
      <c r="BP44" t="s">
        <v>134</v>
      </c>
      <c r="BQ44" t="s">
        <v>134</v>
      </c>
      <c r="BR44" t="s">
        <v>134</v>
      </c>
      <c r="BS44" t="s">
        <v>134</v>
      </c>
      <c r="BT44" t="s">
        <v>134</v>
      </c>
      <c r="BU44" t="s">
        <v>134</v>
      </c>
      <c r="BV44" t="s">
        <v>134</v>
      </c>
      <c r="BW44" t="s">
        <v>134</v>
      </c>
      <c r="BX44" t="s">
        <v>134</v>
      </c>
      <c r="BY44" t="s">
        <v>134</v>
      </c>
      <c r="BZ44" t="s">
        <v>134</v>
      </c>
      <c r="CA44" t="s">
        <v>134</v>
      </c>
      <c r="CB44" t="s">
        <v>134</v>
      </c>
      <c r="CC44" t="s">
        <v>134</v>
      </c>
      <c r="CD44" t="s">
        <v>134</v>
      </c>
      <c r="CE44" t="s">
        <v>134</v>
      </c>
      <c r="CF44">
        <v>17.193899999999999</v>
      </c>
      <c r="CG44" t="s">
        <v>134</v>
      </c>
      <c r="CH44" t="s">
        <v>134</v>
      </c>
      <c r="CI44" t="s">
        <v>134</v>
      </c>
      <c r="CJ44" t="s">
        <v>134</v>
      </c>
      <c r="CK44" t="s">
        <v>134</v>
      </c>
      <c r="CL44" t="s">
        <v>134</v>
      </c>
      <c r="CM44" t="s">
        <v>134</v>
      </c>
      <c r="CN44" t="s">
        <v>134</v>
      </c>
      <c r="CO44" t="s">
        <v>134</v>
      </c>
      <c r="CP44">
        <v>4167.8</v>
      </c>
      <c r="CQ44" t="s">
        <v>134</v>
      </c>
      <c r="CR44">
        <v>2508.8000000000002</v>
      </c>
      <c r="CS44" t="s">
        <v>134</v>
      </c>
      <c r="CT44" t="s">
        <v>134</v>
      </c>
      <c r="CU44" t="s">
        <v>134</v>
      </c>
      <c r="CV44" t="s">
        <v>134</v>
      </c>
      <c r="CW44" t="s">
        <v>134</v>
      </c>
      <c r="CX44" t="s">
        <v>134</v>
      </c>
      <c r="CY44" t="s">
        <v>134</v>
      </c>
      <c r="CZ44" t="s">
        <v>134</v>
      </c>
      <c r="DA44" t="s">
        <v>134</v>
      </c>
      <c r="DB44" t="s">
        <v>134</v>
      </c>
      <c r="DC44" t="s">
        <v>134</v>
      </c>
      <c r="DD44" t="s">
        <v>134</v>
      </c>
      <c r="DE44" t="s">
        <v>134</v>
      </c>
      <c r="DF44" t="s">
        <v>134</v>
      </c>
      <c r="DG44" t="s">
        <v>134</v>
      </c>
      <c r="DH44" t="s">
        <v>134</v>
      </c>
      <c r="DI44" t="s">
        <v>134</v>
      </c>
    </row>
    <row r="45" spans="4:113" x14ac:dyDescent="0.3">
      <c r="E45" t="s">
        <v>79</v>
      </c>
      <c r="F45">
        <v>8.1256000000000004</v>
      </c>
      <c r="G45">
        <v>5.3192000000000004</v>
      </c>
      <c r="H45">
        <v>8.8483000000000001</v>
      </c>
      <c r="I45">
        <v>7.5762</v>
      </c>
      <c r="J45">
        <v>19.2255</v>
      </c>
      <c r="K45">
        <v>14.305400000000001</v>
      </c>
      <c r="L45">
        <v>31.987300000000001</v>
      </c>
      <c r="M45">
        <v>14.546900000000001</v>
      </c>
      <c r="N45">
        <v>9.8483999999999998</v>
      </c>
      <c r="O45">
        <v>9.8475000000000001</v>
      </c>
      <c r="P45">
        <v>9.8475000000000001</v>
      </c>
      <c r="Q45">
        <v>32.299199999999999</v>
      </c>
      <c r="R45" t="s">
        <v>134</v>
      </c>
      <c r="S45" t="s">
        <v>134</v>
      </c>
      <c r="T45">
        <v>16.9436</v>
      </c>
      <c r="U45">
        <v>37.7301</v>
      </c>
      <c r="V45">
        <v>47.922600000000003</v>
      </c>
      <c r="W45">
        <v>32.585500000000003</v>
      </c>
      <c r="X45">
        <v>32.593699999999998</v>
      </c>
      <c r="Y45" t="s">
        <v>134</v>
      </c>
      <c r="Z45">
        <v>47.207999999999998</v>
      </c>
      <c r="AA45">
        <v>17.4251</v>
      </c>
      <c r="AB45" t="s">
        <v>134</v>
      </c>
      <c r="AC45">
        <v>5.9406999999999996</v>
      </c>
      <c r="AD45">
        <v>21.209900000000001</v>
      </c>
      <c r="AE45" t="s">
        <v>134</v>
      </c>
      <c r="AF45">
        <v>33.563299999999998</v>
      </c>
      <c r="AG45" t="s">
        <v>134</v>
      </c>
      <c r="AH45" t="s">
        <v>134</v>
      </c>
      <c r="AI45">
        <v>4.5186000000000002</v>
      </c>
      <c r="AJ45">
        <v>4.5186000000000002</v>
      </c>
      <c r="AK45">
        <v>4.5186000000000002</v>
      </c>
      <c r="AL45" t="s">
        <v>134</v>
      </c>
      <c r="AM45">
        <v>2.5617999999999999</v>
      </c>
      <c r="AN45">
        <v>-1.5972</v>
      </c>
      <c r="AO45">
        <v>-2.8068</v>
      </c>
      <c r="AP45">
        <v>-4.6791999999999998</v>
      </c>
      <c r="AQ45">
        <v>-4.6772999999999998</v>
      </c>
      <c r="AR45" t="s">
        <v>134</v>
      </c>
      <c r="AS45">
        <v>18.615200000000002</v>
      </c>
      <c r="AT45">
        <v>1.5297000000000001</v>
      </c>
      <c r="AU45" t="s">
        <v>134</v>
      </c>
      <c r="AV45">
        <v>3.0966999999999998</v>
      </c>
      <c r="AW45">
        <v>0.55010000000000003</v>
      </c>
      <c r="AX45" t="s">
        <v>134</v>
      </c>
      <c r="AY45">
        <v>14.1137</v>
      </c>
      <c r="AZ45" t="s">
        <v>134</v>
      </c>
      <c r="BA45">
        <v>-100</v>
      </c>
      <c r="BB45">
        <v>4.3282999999999996</v>
      </c>
      <c r="BC45">
        <v>2.9403999999999999</v>
      </c>
      <c r="BD45">
        <v>4.3245000000000005</v>
      </c>
      <c r="BE45" t="s">
        <v>134</v>
      </c>
      <c r="BF45">
        <v>-6.8654000000000002</v>
      </c>
      <c r="BG45">
        <v>52.802399999999999</v>
      </c>
      <c r="BH45">
        <v>88.883099999999999</v>
      </c>
      <c r="BI45">
        <v>54.567900000000002</v>
      </c>
      <c r="BJ45">
        <v>54.594099999999997</v>
      </c>
      <c r="BK45" t="s">
        <v>134</v>
      </c>
      <c r="BL45" t="s">
        <v>134</v>
      </c>
      <c r="BM45" t="s">
        <v>134</v>
      </c>
      <c r="BN45" t="s">
        <v>134</v>
      </c>
      <c r="BO45" t="s">
        <v>134</v>
      </c>
      <c r="BP45" t="s">
        <v>134</v>
      </c>
      <c r="BQ45" t="s">
        <v>134</v>
      </c>
      <c r="BR45" t="s">
        <v>134</v>
      </c>
      <c r="BS45" t="s">
        <v>134</v>
      </c>
      <c r="BT45" t="s">
        <v>134</v>
      </c>
      <c r="BU45" t="s">
        <v>134</v>
      </c>
      <c r="BV45" t="s">
        <v>134</v>
      </c>
      <c r="BW45" t="s">
        <v>134</v>
      </c>
      <c r="BX45" t="s">
        <v>134</v>
      </c>
      <c r="BY45">
        <v>0</v>
      </c>
      <c r="BZ45" t="s">
        <v>134</v>
      </c>
      <c r="CA45">
        <v>0</v>
      </c>
      <c r="CB45">
        <v>0</v>
      </c>
      <c r="CC45">
        <v>-1.1015999999999999</v>
      </c>
      <c r="CD45">
        <v>0</v>
      </c>
      <c r="CE45">
        <v>-1.8404</v>
      </c>
      <c r="CF45">
        <v>29.524799999999999</v>
      </c>
      <c r="CG45">
        <v>65.033100000000005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-19.797000000000001</v>
      </c>
      <c r="CO45">
        <v>-24.683599999999998</v>
      </c>
      <c r="CP45">
        <v>6368.5</v>
      </c>
      <c r="CQ45" t="s">
        <v>134</v>
      </c>
      <c r="CR45">
        <v>4738.7</v>
      </c>
      <c r="CS45">
        <v>0.43980000000000002</v>
      </c>
      <c r="CT45">
        <v>1.1901999999999999</v>
      </c>
      <c r="CU45">
        <v>0.66620000000000001</v>
      </c>
      <c r="CV45">
        <v>5.8812999999999995</v>
      </c>
      <c r="CW45">
        <v>15.440200000000001</v>
      </c>
      <c r="CX45">
        <v>23.639600000000002</v>
      </c>
      <c r="CY45">
        <v>1.2671000000000001</v>
      </c>
      <c r="CZ45">
        <v>288.05970000000002</v>
      </c>
      <c r="DA45">
        <v>1.7578</v>
      </c>
      <c r="DB45">
        <v>207.6474</v>
      </c>
      <c r="DC45">
        <v>104.0519</v>
      </c>
      <c r="DD45">
        <v>311.69929999999999</v>
      </c>
      <c r="DE45">
        <v>14543.8</v>
      </c>
      <c r="DF45" t="s">
        <v>134</v>
      </c>
      <c r="DG45" t="s">
        <v>134</v>
      </c>
      <c r="DH45" t="s">
        <v>134</v>
      </c>
      <c r="DI45" t="s">
        <v>134</v>
      </c>
    </row>
    <row r="46" spans="4:113" x14ac:dyDescent="0.3">
      <c r="E46" t="s">
        <v>80</v>
      </c>
      <c r="F46" t="s">
        <v>134</v>
      </c>
      <c r="G46" t="s">
        <v>134</v>
      </c>
      <c r="H46" t="s">
        <v>134</v>
      </c>
      <c r="I46" t="s">
        <v>134</v>
      </c>
      <c r="J46">
        <v>13.613099999999999</v>
      </c>
      <c r="K46">
        <v>8.5054999999999996</v>
      </c>
      <c r="L46">
        <v>20.9589</v>
      </c>
      <c r="M46">
        <v>8.7222000000000008</v>
      </c>
      <c r="N46">
        <v>5.9431000000000003</v>
      </c>
      <c r="O46">
        <v>5.9424000000000001</v>
      </c>
      <c r="P46">
        <v>5.9424000000000001</v>
      </c>
      <c r="Q46">
        <v>31.863199999999999</v>
      </c>
      <c r="R46" t="s">
        <v>134</v>
      </c>
      <c r="S46" t="s">
        <v>134</v>
      </c>
      <c r="T46">
        <v>25.816199999999998</v>
      </c>
      <c r="U46">
        <v>47.2624</v>
      </c>
      <c r="V46">
        <v>102.2734</v>
      </c>
      <c r="W46">
        <v>102.3297</v>
      </c>
      <c r="X46">
        <v>102.0964</v>
      </c>
      <c r="Y46" t="s">
        <v>134</v>
      </c>
      <c r="Z46" t="s">
        <v>134</v>
      </c>
      <c r="AA46" t="s">
        <v>134</v>
      </c>
      <c r="AB46" t="s">
        <v>134</v>
      </c>
      <c r="AC46" t="s">
        <v>134</v>
      </c>
      <c r="AD46" t="s">
        <v>134</v>
      </c>
      <c r="AE46" t="s">
        <v>134</v>
      </c>
      <c r="AF46" t="s">
        <v>134</v>
      </c>
      <c r="AG46" t="s">
        <v>134</v>
      </c>
      <c r="AH46" t="s">
        <v>134</v>
      </c>
      <c r="AI46" t="s">
        <v>134</v>
      </c>
      <c r="AJ46" t="s">
        <v>134</v>
      </c>
      <c r="AK46" t="s">
        <v>134</v>
      </c>
      <c r="AL46" t="s">
        <v>134</v>
      </c>
      <c r="AM46">
        <v>3.6284000000000001</v>
      </c>
      <c r="AN46">
        <v>-2.2563</v>
      </c>
      <c r="AO46">
        <v>-4.2346000000000004</v>
      </c>
      <c r="AP46">
        <v>-5.5870999999999995</v>
      </c>
      <c r="AQ46">
        <v>-5.601</v>
      </c>
      <c r="AR46" t="s">
        <v>134</v>
      </c>
      <c r="AS46" t="s">
        <v>134</v>
      </c>
      <c r="AT46" t="s">
        <v>134</v>
      </c>
      <c r="AU46" t="s">
        <v>134</v>
      </c>
      <c r="AV46" t="s">
        <v>134</v>
      </c>
      <c r="AW46" t="s">
        <v>134</v>
      </c>
      <c r="AX46" t="s">
        <v>134</v>
      </c>
      <c r="AY46" t="s">
        <v>134</v>
      </c>
      <c r="AZ46" t="s">
        <v>134</v>
      </c>
      <c r="BA46" t="s">
        <v>134</v>
      </c>
      <c r="BB46" t="s">
        <v>134</v>
      </c>
      <c r="BC46" t="s">
        <v>134</v>
      </c>
      <c r="BD46" t="s">
        <v>134</v>
      </c>
      <c r="BE46" t="s">
        <v>134</v>
      </c>
      <c r="BF46">
        <v>-7.7895000000000003</v>
      </c>
      <c r="BG46">
        <v>-34.708300000000001</v>
      </c>
      <c r="BH46">
        <v>-45.174799999999998</v>
      </c>
      <c r="BI46">
        <v>-44.356200000000001</v>
      </c>
      <c r="BJ46">
        <v>-44.373899999999999</v>
      </c>
      <c r="BK46" t="s">
        <v>134</v>
      </c>
      <c r="BL46" t="s">
        <v>134</v>
      </c>
      <c r="BM46" t="s">
        <v>134</v>
      </c>
      <c r="BN46" t="s">
        <v>134</v>
      </c>
      <c r="BO46" t="s">
        <v>134</v>
      </c>
      <c r="BP46" t="s">
        <v>134</v>
      </c>
      <c r="BQ46" t="s">
        <v>134</v>
      </c>
      <c r="BR46" t="s">
        <v>134</v>
      </c>
      <c r="BS46" t="s">
        <v>134</v>
      </c>
      <c r="BT46" t="s">
        <v>134</v>
      </c>
      <c r="BU46" t="s">
        <v>134</v>
      </c>
      <c r="BV46" t="s">
        <v>134</v>
      </c>
      <c r="BW46" t="s">
        <v>134</v>
      </c>
      <c r="BX46" t="s">
        <v>134</v>
      </c>
      <c r="BY46" t="s">
        <v>134</v>
      </c>
      <c r="BZ46" t="s">
        <v>134</v>
      </c>
      <c r="CA46" t="s">
        <v>134</v>
      </c>
      <c r="CB46" t="s">
        <v>134</v>
      </c>
      <c r="CC46" t="s">
        <v>134</v>
      </c>
      <c r="CD46" t="s">
        <v>134</v>
      </c>
      <c r="CE46" t="s">
        <v>134</v>
      </c>
      <c r="CF46">
        <v>20.473199999999999</v>
      </c>
      <c r="CG46" t="s">
        <v>134</v>
      </c>
      <c r="CH46" t="s">
        <v>134</v>
      </c>
      <c r="CI46" t="s">
        <v>134</v>
      </c>
      <c r="CJ46" t="s">
        <v>134</v>
      </c>
      <c r="CK46" t="s">
        <v>134</v>
      </c>
      <c r="CL46" t="s">
        <v>134</v>
      </c>
      <c r="CM46" t="s">
        <v>134</v>
      </c>
      <c r="CN46" t="s">
        <v>134</v>
      </c>
      <c r="CO46" t="s">
        <v>134</v>
      </c>
      <c r="CP46">
        <v>4158.1000000000004</v>
      </c>
      <c r="CQ46" t="s">
        <v>134</v>
      </c>
      <c r="CR46">
        <v>2598</v>
      </c>
      <c r="CS46" t="s">
        <v>134</v>
      </c>
      <c r="CT46" t="s">
        <v>134</v>
      </c>
      <c r="CU46" t="s">
        <v>134</v>
      </c>
      <c r="CV46" t="s">
        <v>134</v>
      </c>
      <c r="CW46" t="s">
        <v>134</v>
      </c>
      <c r="CX46" t="s">
        <v>134</v>
      </c>
      <c r="CY46" t="s">
        <v>134</v>
      </c>
      <c r="CZ46" t="s">
        <v>134</v>
      </c>
      <c r="DA46" t="s">
        <v>134</v>
      </c>
      <c r="DB46" t="s">
        <v>134</v>
      </c>
      <c r="DC46" t="s">
        <v>134</v>
      </c>
      <c r="DD46" t="s">
        <v>134</v>
      </c>
      <c r="DE46" t="s">
        <v>134</v>
      </c>
      <c r="DF46" t="s">
        <v>134</v>
      </c>
      <c r="DG46" t="s">
        <v>134</v>
      </c>
      <c r="DH46" t="s">
        <v>134</v>
      </c>
      <c r="DI46" t="s">
        <v>134</v>
      </c>
    </row>
    <row r="47" spans="4:113" x14ac:dyDescent="0.3">
      <c r="E47" t="s">
        <v>81</v>
      </c>
      <c r="F47">
        <v>10.1755</v>
      </c>
      <c r="G47">
        <v>6.5468999999999999</v>
      </c>
      <c r="H47">
        <v>10.938599999999999</v>
      </c>
      <c r="I47">
        <v>8.8909000000000002</v>
      </c>
      <c r="J47">
        <v>12.963799999999999</v>
      </c>
      <c r="K47">
        <v>8.3186999999999998</v>
      </c>
      <c r="L47">
        <v>21.1982</v>
      </c>
      <c r="M47">
        <v>8.8067999999999991</v>
      </c>
      <c r="N47">
        <v>6.0194000000000001</v>
      </c>
      <c r="O47">
        <v>6.0185000000000004</v>
      </c>
      <c r="P47">
        <v>6.0185000000000004</v>
      </c>
      <c r="Q47">
        <v>31.6508</v>
      </c>
      <c r="R47" t="s">
        <v>134</v>
      </c>
      <c r="S47" t="s">
        <v>134</v>
      </c>
      <c r="T47">
        <v>29.7014</v>
      </c>
      <c r="U47">
        <v>54.244399999999999</v>
      </c>
      <c r="V47">
        <v>140.125</v>
      </c>
      <c r="W47">
        <v>126.3233</v>
      </c>
      <c r="X47">
        <v>126.087</v>
      </c>
      <c r="Y47" t="s">
        <v>134</v>
      </c>
      <c r="Z47">
        <v>24.9053</v>
      </c>
      <c r="AA47">
        <v>14.710599999999999</v>
      </c>
      <c r="AB47">
        <v>-3.7473999999999998</v>
      </c>
      <c r="AC47">
        <v>10.8392</v>
      </c>
      <c r="AD47">
        <v>-48.527999999999999</v>
      </c>
      <c r="AE47">
        <v>591.68939999999998</v>
      </c>
      <c r="AF47">
        <v>44.1203</v>
      </c>
      <c r="AG47" t="s">
        <v>134</v>
      </c>
      <c r="AH47" t="s">
        <v>134</v>
      </c>
      <c r="AI47">
        <v>6.1536999999999997</v>
      </c>
      <c r="AJ47">
        <v>6.1536999999999997</v>
      </c>
      <c r="AK47">
        <v>5.5888</v>
      </c>
      <c r="AL47" t="s">
        <v>134</v>
      </c>
      <c r="AM47">
        <v>4.8897000000000004</v>
      </c>
      <c r="AN47">
        <v>2.4409000000000001</v>
      </c>
      <c r="AO47">
        <v>2.6494999999999997</v>
      </c>
      <c r="AP47">
        <v>-3.9245999999999999</v>
      </c>
      <c r="AQ47">
        <v>-3.9386999999999999</v>
      </c>
      <c r="AR47" t="s">
        <v>134</v>
      </c>
      <c r="AS47">
        <v>17.076899999999998</v>
      </c>
      <c r="AT47">
        <v>4.3682999999999996</v>
      </c>
      <c r="AU47">
        <v>3.8472</v>
      </c>
      <c r="AV47">
        <v>4.4733999999999998</v>
      </c>
      <c r="AW47">
        <v>-19.838200000000001</v>
      </c>
      <c r="AX47" t="s">
        <v>134</v>
      </c>
      <c r="AY47">
        <v>22.380700000000001</v>
      </c>
      <c r="AZ47">
        <v>-100</v>
      </c>
      <c r="BA47">
        <v>-100</v>
      </c>
      <c r="BB47">
        <v>4.8795999999999999</v>
      </c>
      <c r="BC47">
        <v>4.4218999999999999</v>
      </c>
      <c r="BD47">
        <v>4.7637999999999998</v>
      </c>
      <c r="BE47" t="s">
        <v>134</v>
      </c>
      <c r="BF47">
        <v>11.8727</v>
      </c>
      <c r="BG47">
        <v>6.5366</v>
      </c>
      <c r="BH47">
        <v>9.4148999999999994</v>
      </c>
      <c r="BI47">
        <v>13.305099999999999</v>
      </c>
      <c r="BJ47">
        <v>13.278</v>
      </c>
      <c r="BK47" t="s">
        <v>134</v>
      </c>
      <c r="BL47" t="s">
        <v>134</v>
      </c>
      <c r="BM47" t="s">
        <v>134</v>
      </c>
      <c r="BN47" t="s">
        <v>134</v>
      </c>
      <c r="BO47" t="s">
        <v>134</v>
      </c>
      <c r="BP47" t="s">
        <v>134</v>
      </c>
      <c r="BQ47" t="s">
        <v>134</v>
      </c>
      <c r="BR47" t="s">
        <v>134</v>
      </c>
      <c r="BS47" t="s">
        <v>134</v>
      </c>
      <c r="BT47" t="s">
        <v>134</v>
      </c>
      <c r="BU47" t="s">
        <v>134</v>
      </c>
      <c r="BV47" t="s">
        <v>134</v>
      </c>
      <c r="BW47" t="s">
        <v>134</v>
      </c>
      <c r="BX47" t="s">
        <v>134</v>
      </c>
      <c r="BY47">
        <v>0</v>
      </c>
      <c r="BZ47">
        <v>0</v>
      </c>
      <c r="CA47">
        <v>0</v>
      </c>
      <c r="CB47">
        <v>0</v>
      </c>
      <c r="CC47">
        <v>-1.4020000000000001</v>
      </c>
      <c r="CD47">
        <v>0</v>
      </c>
      <c r="CE47">
        <v>-2.1132</v>
      </c>
      <c r="CF47">
        <v>13.6683</v>
      </c>
      <c r="CG47">
        <v>63.020400000000002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-28.6493</v>
      </c>
      <c r="CO47">
        <v>-40.152799999999999</v>
      </c>
      <c r="CP47">
        <v>4429.8999999999996</v>
      </c>
      <c r="CQ47" t="s">
        <v>134</v>
      </c>
      <c r="CR47">
        <v>2842.6</v>
      </c>
      <c r="CS47">
        <v>0.55940000000000001</v>
      </c>
      <c r="CT47">
        <v>1.1798999999999999</v>
      </c>
      <c r="CU47">
        <v>0.69840000000000002</v>
      </c>
      <c r="CV47">
        <v>5.3624999999999998</v>
      </c>
      <c r="CW47">
        <v>22.250499999999999</v>
      </c>
      <c r="CX47">
        <v>16.4041</v>
      </c>
      <c r="CY47">
        <v>1.5066999999999999</v>
      </c>
      <c r="CZ47">
        <v>242.24959999999999</v>
      </c>
      <c r="DA47">
        <v>1.4068000000000001</v>
      </c>
      <c r="DB47">
        <v>259.4513</v>
      </c>
      <c r="DC47">
        <v>-0.79759999999999998</v>
      </c>
      <c r="DD47">
        <v>258.65370000000001</v>
      </c>
      <c r="DE47">
        <v>14047.8</v>
      </c>
      <c r="DF47">
        <v>1539.6</v>
      </c>
      <c r="DG47">
        <v>2308.6999999999998</v>
      </c>
      <c r="DH47">
        <v>1617.9</v>
      </c>
      <c r="DI47">
        <v>8581.6</v>
      </c>
    </row>
    <row r="48" spans="4:113" x14ac:dyDescent="0.3">
      <c r="D48" t="s">
        <v>85</v>
      </c>
      <c r="E48" t="s">
        <v>77</v>
      </c>
      <c r="F48">
        <v>15.2905</v>
      </c>
      <c r="G48">
        <v>9.8407</v>
      </c>
      <c r="H48">
        <v>15.8912</v>
      </c>
      <c r="I48">
        <v>13.583</v>
      </c>
      <c r="J48">
        <v>14.1661</v>
      </c>
      <c r="K48">
        <v>9.9802999999999997</v>
      </c>
      <c r="L48">
        <v>11.386200000000001</v>
      </c>
      <c r="M48">
        <v>10.359500000000001</v>
      </c>
      <c r="N48">
        <v>10.503399999999999</v>
      </c>
      <c r="O48">
        <v>10.5023</v>
      </c>
      <c r="P48">
        <v>10.5023</v>
      </c>
      <c r="Q48" t="s">
        <v>134</v>
      </c>
      <c r="R48">
        <v>17.290700000000001</v>
      </c>
      <c r="S48">
        <v>12.646699999999999</v>
      </c>
      <c r="T48">
        <v>11.9598</v>
      </c>
      <c r="U48">
        <v>7.0323000000000002</v>
      </c>
      <c r="V48">
        <v>13.878399999999999</v>
      </c>
      <c r="W48">
        <v>64.48</v>
      </c>
      <c r="X48">
        <v>64.501000000000005</v>
      </c>
      <c r="Y48">
        <v>0</v>
      </c>
      <c r="Z48">
        <v>30.241599999999998</v>
      </c>
      <c r="AA48">
        <v>19.548300000000001</v>
      </c>
      <c r="AB48">
        <v>-0.81069999999999998</v>
      </c>
      <c r="AC48">
        <v>8.1518999999999995</v>
      </c>
      <c r="AD48">
        <v>141.43029999999999</v>
      </c>
      <c r="AE48">
        <v>129.42959999999999</v>
      </c>
      <c r="AF48">
        <v>6.2038000000000002</v>
      </c>
      <c r="AG48" t="s">
        <v>134</v>
      </c>
      <c r="AH48" t="s">
        <v>134</v>
      </c>
      <c r="AI48">
        <v>12.5679</v>
      </c>
      <c r="AJ48">
        <v>12.5679</v>
      </c>
      <c r="AK48">
        <v>13.173299999999999</v>
      </c>
      <c r="AL48">
        <v>-26.305599999999998</v>
      </c>
      <c r="AM48">
        <v>5.3251999999999997</v>
      </c>
      <c r="AN48">
        <v>4.7015000000000002</v>
      </c>
      <c r="AO48">
        <v>6.6710000000000003</v>
      </c>
      <c r="AP48">
        <v>6.7920999999999996</v>
      </c>
      <c r="AQ48">
        <v>6.7850000000000001</v>
      </c>
      <c r="AR48">
        <v>-2.8214000000000001</v>
      </c>
      <c r="AS48">
        <v>16.907800000000002</v>
      </c>
      <c r="AT48">
        <v>8.3948</v>
      </c>
      <c r="AU48">
        <v>3.1499000000000001</v>
      </c>
      <c r="AV48">
        <v>5.8186999999999998</v>
      </c>
      <c r="AW48">
        <v>-6.7035</v>
      </c>
      <c r="AX48" t="s">
        <v>134</v>
      </c>
      <c r="AY48">
        <v>24.590399999999999</v>
      </c>
      <c r="AZ48">
        <v>-100</v>
      </c>
      <c r="BA48">
        <v>-100</v>
      </c>
      <c r="BB48">
        <v>6.1520999999999999</v>
      </c>
      <c r="BC48">
        <v>6.0571999999999999</v>
      </c>
      <c r="BD48">
        <v>6.1486000000000001</v>
      </c>
      <c r="BE48">
        <v>8.5500000000000007E-2</v>
      </c>
      <c r="BF48">
        <v>11.9598</v>
      </c>
      <c r="BG48">
        <v>7.0323000000000002</v>
      </c>
      <c r="BH48">
        <v>13.878399999999999</v>
      </c>
      <c r="BI48">
        <v>64.48</v>
      </c>
      <c r="BJ48">
        <v>64.501000000000005</v>
      </c>
      <c r="BK48">
        <v>0</v>
      </c>
      <c r="BL48">
        <v>30.241599999999998</v>
      </c>
      <c r="BM48">
        <v>19.548300000000001</v>
      </c>
      <c r="BN48">
        <v>-0.81069999999999998</v>
      </c>
      <c r="BO48">
        <v>8.1518999999999995</v>
      </c>
      <c r="BP48">
        <v>141.43029999999999</v>
      </c>
      <c r="BQ48">
        <v>129.42959999999999</v>
      </c>
      <c r="BR48">
        <v>6.2038000000000002</v>
      </c>
      <c r="BS48" t="s">
        <v>134</v>
      </c>
      <c r="BT48" t="s">
        <v>134</v>
      </c>
      <c r="BU48">
        <v>12.5679</v>
      </c>
      <c r="BV48">
        <v>12.5679</v>
      </c>
      <c r="BW48">
        <v>13.173299999999999</v>
      </c>
      <c r="BX48">
        <v>-26.305599999999998</v>
      </c>
      <c r="BY48">
        <v>0</v>
      </c>
      <c r="BZ48">
        <v>0</v>
      </c>
      <c r="CA48">
        <v>0</v>
      </c>
      <c r="CB48">
        <v>0</v>
      </c>
      <c r="CC48">
        <v>-1.4552</v>
      </c>
      <c r="CD48">
        <v>0</v>
      </c>
      <c r="CE48">
        <v>-2.0655000000000001</v>
      </c>
      <c r="CF48">
        <v>23.905999999999999</v>
      </c>
      <c r="CG48">
        <v>65.594999999999999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-28.328499999999998</v>
      </c>
      <c r="CO48">
        <v>-39.525500000000001</v>
      </c>
      <c r="CP48">
        <v>20509</v>
      </c>
      <c r="CQ48">
        <v>15312.2</v>
      </c>
      <c r="CR48">
        <v>14449</v>
      </c>
      <c r="CS48">
        <v>0.6341</v>
      </c>
      <c r="CT48">
        <v>1.4203999999999999</v>
      </c>
      <c r="CU48">
        <v>0.81850000000000001</v>
      </c>
      <c r="CV48">
        <v>5.0149999999999997</v>
      </c>
      <c r="CW48">
        <v>18.883600000000001</v>
      </c>
      <c r="CX48">
        <v>19.329000000000001</v>
      </c>
      <c r="CY48">
        <v>1.9195</v>
      </c>
      <c r="CZ48">
        <v>190.15450000000001</v>
      </c>
      <c r="DA48">
        <v>1.7297</v>
      </c>
      <c r="DB48">
        <v>211.01329999999999</v>
      </c>
      <c r="DC48">
        <v>-1.5299</v>
      </c>
      <c r="DD48">
        <v>209.48339999999999</v>
      </c>
      <c r="DE48">
        <v>16793.900000000001</v>
      </c>
      <c r="DF48">
        <v>1857.4</v>
      </c>
      <c r="DG48">
        <v>2228.9</v>
      </c>
      <c r="DH48">
        <v>2947.5</v>
      </c>
      <c r="DI48">
        <v>9760.1</v>
      </c>
    </row>
    <row r="49" spans="1:113" x14ac:dyDescent="0.3">
      <c r="E49" t="s">
        <v>78</v>
      </c>
      <c r="F49" t="s">
        <v>134</v>
      </c>
      <c r="G49" t="s">
        <v>134</v>
      </c>
      <c r="H49" t="s">
        <v>134</v>
      </c>
      <c r="I49" t="s">
        <v>134</v>
      </c>
      <c r="J49">
        <v>13.8291</v>
      </c>
      <c r="K49">
        <v>9.6613000000000007</v>
      </c>
      <c r="L49">
        <v>31989.655200000001</v>
      </c>
      <c r="M49">
        <v>10.5634</v>
      </c>
      <c r="N49">
        <v>7.0393999999999997</v>
      </c>
      <c r="O49">
        <v>7.0385</v>
      </c>
      <c r="P49">
        <v>7.0385</v>
      </c>
      <c r="Q49">
        <v>33.360799999999998</v>
      </c>
      <c r="R49" t="s">
        <v>134</v>
      </c>
      <c r="S49" t="s">
        <v>134</v>
      </c>
      <c r="T49">
        <v>8.2000000000000007E-3</v>
      </c>
      <c r="U49">
        <v>18.023900000000001</v>
      </c>
      <c r="V49">
        <v>36.977800000000002</v>
      </c>
      <c r="W49">
        <v>18.631499999999999</v>
      </c>
      <c r="X49">
        <v>18.644100000000002</v>
      </c>
      <c r="Y49" t="s">
        <v>134</v>
      </c>
      <c r="Z49" t="s">
        <v>134</v>
      </c>
      <c r="AA49" t="s">
        <v>134</v>
      </c>
      <c r="AB49" t="s">
        <v>134</v>
      </c>
      <c r="AC49" t="s">
        <v>134</v>
      </c>
      <c r="AD49" t="s">
        <v>134</v>
      </c>
      <c r="AE49" t="s">
        <v>134</v>
      </c>
      <c r="AF49" t="s">
        <v>134</v>
      </c>
      <c r="AG49" t="s">
        <v>134</v>
      </c>
      <c r="AH49" t="s">
        <v>134</v>
      </c>
      <c r="AI49" t="s">
        <v>134</v>
      </c>
      <c r="AJ49" t="s">
        <v>134</v>
      </c>
      <c r="AK49" t="s">
        <v>134</v>
      </c>
      <c r="AL49" t="s">
        <v>134</v>
      </c>
      <c r="AM49">
        <v>4.1257999999999999</v>
      </c>
      <c r="AN49">
        <v>1.34E-2</v>
      </c>
      <c r="AO49">
        <v>-0.41839999999999999</v>
      </c>
      <c r="AP49">
        <v>-10.5952</v>
      </c>
      <c r="AQ49">
        <v>-10.600199999999999</v>
      </c>
      <c r="AR49" t="s">
        <v>134</v>
      </c>
      <c r="AS49" t="s">
        <v>134</v>
      </c>
      <c r="AT49" t="s">
        <v>134</v>
      </c>
      <c r="AU49" t="s">
        <v>134</v>
      </c>
      <c r="AV49" t="s">
        <v>134</v>
      </c>
      <c r="AW49" t="s">
        <v>134</v>
      </c>
      <c r="AX49" t="s">
        <v>134</v>
      </c>
      <c r="AY49" t="s">
        <v>134</v>
      </c>
      <c r="AZ49" t="s">
        <v>134</v>
      </c>
      <c r="BA49" t="s">
        <v>134</v>
      </c>
      <c r="BB49" t="s">
        <v>134</v>
      </c>
      <c r="BC49" t="s">
        <v>134</v>
      </c>
      <c r="BD49" t="s">
        <v>134</v>
      </c>
      <c r="BE49" t="s">
        <v>134</v>
      </c>
      <c r="BF49">
        <v>4.0926</v>
      </c>
      <c r="BG49">
        <v>11.040900000000001</v>
      </c>
      <c r="BH49">
        <v>20.892800000000001</v>
      </c>
      <c r="BI49">
        <v>21.7349</v>
      </c>
      <c r="BJ49">
        <v>21.794899999999998</v>
      </c>
      <c r="BK49" t="s">
        <v>134</v>
      </c>
      <c r="BL49" t="s">
        <v>134</v>
      </c>
      <c r="BM49" t="s">
        <v>134</v>
      </c>
      <c r="BN49" t="s">
        <v>134</v>
      </c>
      <c r="BO49" t="s">
        <v>134</v>
      </c>
      <c r="BP49" t="s">
        <v>134</v>
      </c>
      <c r="BQ49" t="s">
        <v>134</v>
      </c>
      <c r="BR49" t="s">
        <v>134</v>
      </c>
      <c r="BS49" t="s">
        <v>134</v>
      </c>
      <c r="BT49" t="s">
        <v>134</v>
      </c>
      <c r="BU49" t="s">
        <v>134</v>
      </c>
      <c r="BV49" t="s">
        <v>134</v>
      </c>
      <c r="BW49" t="s">
        <v>134</v>
      </c>
      <c r="BX49" t="s">
        <v>134</v>
      </c>
      <c r="BY49" t="s">
        <v>134</v>
      </c>
      <c r="BZ49" t="s">
        <v>134</v>
      </c>
      <c r="CA49" t="s">
        <v>134</v>
      </c>
      <c r="CB49" t="s">
        <v>134</v>
      </c>
      <c r="CC49" t="s">
        <v>134</v>
      </c>
      <c r="CD49" t="s">
        <v>134</v>
      </c>
      <c r="CE49" t="s">
        <v>134</v>
      </c>
      <c r="CF49">
        <v>26.997800000000002</v>
      </c>
      <c r="CG49" t="s">
        <v>134</v>
      </c>
      <c r="CH49" t="s">
        <v>134</v>
      </c>
      <c r="CI49" t="s">
        <v>134</v>
      </c>
      <c r="CJ49" t="s">
        <v>134</v>
      </c>
      <c r="CK49" t="s">
        <v>134</v>
      </c>
      <c r="CL49" t="s">
        <v>134</v>
      </c>
      <c r="CM49" t="s">
        <v>134</v>
      </c>
      <c r="CN49" t="s">
        <v>134</v>
      </c>
      <c r="CO49" t="s">
        <v>134</v>
      </c>
      <c r="CP49">
        <v>4919</v>
      </c>
      <c r="CQ49" t="s">
        <v>134</v>
      </c>
      <c r="CR49">
        <v>3436.5</v>
      </c>
      <c r="CS49" t="s">
        <v>134</v>
      </c>
      <c r="CT49" t="s">
        <v>134</v>
      </c>
      <c r="CU49" t="s">
        <v>134</v>
      </c>
      <c r="CV49" t="s">
        <v>134</v>
      </c>
      <c r="CW49" t="s">
        <v>134</v>
      </c>
      <c r="CX49" t="s">
        <v>134</v>
      </c>
      <c r="CY49" t="s">
        <v>134</v>
      </c>
      <c r="CZ49" t="s">
        <v>134</v>
      </c>
      <c r="DA49" t="s">
        <v>134</v>
      </c>
      <c r="DB49" t="s">
        <v>134</v>
      </c>
      <c r="DC49" t="s">
        <v>134</v>
      </c>
      <c r="DD49" t="s">
        <v>134</v>
      </c>
      <c r="DE49" t="s">
        <v>134</v>
      </c>
      <c r="DF49" t="s">
        <v>134</v>
      </c>
      <c r="DG49" t="s">
        <v>134</v>
      </c>
      <c r="DH49" t="s">
        <v>134</v>
      </c>
      <c r="DI49" t="s">
        <v>134</v>
      </c>
    </row>
    <row r="50" spans="1:113" x14ac:dyDescent="0.3">
      <c r="E50" t="s">
        <v>79</v>
      </c>
      <c r="F50">
        <v>10.374000000000001</v>
      </c>
      <c r="G50">
        <v>6.6977000000000002</v>
      </c>
      <c r="H50">
        <v>11.0863</v>
      </c>
      <c r="I50">
        <v>8.9666999999999994</v>
      </c>
      <c r="J50">
        <v>16.584800000000001</v>
      </c>
      <c r="K50">
        <v>12.629799999999999</v>
      </c>
      <c r="L50">
        <v>0.44140000000000001</v>
      </c>
      <c r="M50">
        <v>12.8225</v>
      </c>
      <c r="N50">
        <v>8.7248000000000001</v>
      </c>
      <c r="O50">
        <v>8.7233999999999998</v>
      </c>
      <c r="P50">
        <v>8.7233999999999998</v>
      </c>
      <c r="Q50">
        <v>31.957599999999999</v>
      </c>
      <c r="R50" t="s">
        <v>134</v>
      </c>
      <c r="S50" t="s">
        <v>134</v>
      </c>
      <c r="T50">
        <v>13.747199999999999</v>
      </c>
      <c r="U50">
        <v>-1.8763999999999998</v>
      </c>
      <c r="V50">
        <v>0.42420000000000002</v>
      </c>
      <c r="W50">
        <v>0.76329999999999998</v>
      </c>
      <c r="X50">
        <v>0.75009999999999999</v>
      </c>
      <c r="Y50" t="s">
        <v>134</v>
      </c>
      <c r="Z50">
        <v>7.8581000000000003</v>
      </c>
      <c r="AA50">
        <v>12.6755</v>
      </c>
      <c r="AB50">
        <v>-2.3921000000000001</v>
      </c>
      <c r="AC50">
        <v>7.8079000000000001</v>
      </c>
      <c r="AD50">
        <v>-15.818200000000001</v>
      </c>
      <c r="AE50">
        <v>50.139000000000003</v>
      </c>
      <c r="AF50">
        <v>34.746099999999998</v>
      </c>
      <c r="AG50" t="s">
        <v>134</v>
      </c>
      <c r="AH50" t="s">
        <v>134</v>
      </c>
      <c r="AI50">
        <v>6.3029999999999999</v>
      </c>
      <c r="AJ50">
        <v>6.3029999999999999</v>
      </c>
      <c r="AK50">
        <v>6.3034999999999997</v>
      </c>
      <c r="AL50" t="s">
        <v>134</v>
      </c>
      <c r="AM50">
        <v>6.1909000000000001</v>
      </c>
      <c r="AN50">
        <v>4.9797000000000002</v>
      </c>
      <c r="AO50">
        <v>6.3994</v>
      </c>
      <c r="AP50">
        <v>4.6589999999999998</v>
      </c>
      <c r="AQ50">
        <v>4.6509999999999998</v>
      </c>
      <c r="AR50" t="s">
        <v>134</v>
      </c>
      <c r="AS50">
        <v>14.4222</v>
      </c>
      <c r="AT50">
        <v>3.6696</v>
      </c>
      <c r="AU50" t="s">
        <v>134</v>
      </c>
      <c r="AV50">
        <v>4.5969999999999995</v>
      </c>
      <c r="AW50">
        <v>-4.641</v>
      </c>
      <c r="AX50" t="s">
        <v>134</v>
      </c>
      <c r="AY50">
        <v>20.0975</v>
      </c>
      <c r="AZ50" t="s">
        <v>134</v>
      </c>
      <c r="BA50">
        <v>-100</v>
      </c>
      <c r="BB50">
        <v>4.1611000000000002</v>
      </c>
      <c r="BC50">
        <v>4.0681000000000003</v>
      </c>
      <c r="BD50">
        <v>4.1571999999999996</v>
      </c>
      <c r="BE50" t="s">
        <v>134</v>
      </c>
      <c r="BF50">
        <v>5.9295</v>
      </c>
      <c r="BG50">
        <v>27.038</v>
      </c>
      <c r="BH50">
        <v>38.478099999999998</v>
      </c>
      <c r="BI50">
        <v>31.286899999999999</v>
      </c>
      <c r="BJ50">
        <v>31.278199999999998</v>
      </c>
      <c r="BK50" t="s">
        <v>134</v>
      </c>
      <c r="BL50" t="s">
        <v>134</v>
      </c>
      <c r="BM50" t="s">
        <v>134</v>
      </c>
      <c r="BN50" t="s">
        <v>134</v>
      </c>
      <c r="BO50" t="s">
        <v>134</v>
      </c>
      <c r="BP50" t="s">
        <v>134</v>
      </c>
      <c r="BQ50" t="s">
        <v>134</v>
      </c>
      <c r="BR50" t="s">
        <v>134</v>
      </c>
      <c r="BS50" t="s">
        <v>134</v>
      </c>
      <c r="BT50" t="s">
        <v>134</v>
      </c>
      <c r="BU50" t="s">
        <v>134</v>
      </c>
      <c r="BV50" t="s">
        <v>134</v>
      </c>
      <c r="BW50" t="s">
        <v>134</v>
      </c>
      <c r="BX50" t="s">
        <v>134</v>
      </c>
      <c r="BY50">
        <v>0</v>
      </c>
      <c r="BZ50">
        <v>0</v>
      </c>
      <c r="CA50">
        <v>0</v>
      </c>
      <c r="CB50">
        <v>0</v>
      </c>
      <c r="CC50">
        <v>-1.1020000000000001</v>
      </c>
      <c r="CD50">
        <v>0</v>
      </c>
      <c r="CE50">
        <v>-1.5965</v>
      </c>
      <c r="CF50">
        <v>22.9237</v>
      </c>
      <c r="CG50">
        <v>64.125600000000006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-22.673999999999999</v>
      </c>
      <c r="CO50">
        <v>-29.322700000000001</v>
      </c>
      <c r="CP50">
        <v>6249</v>
      </c>
      <c r="CQ50" t="s">
        <v>134</v>
      </c>
      <c r="CR50">
        <v>4758.8</v>
      </c>
      <c r="CS50">
        <v>0.46970000000000001</v>
      </c>
      <c r="CT50">
        <v>1.2504999999999999</v>
      </c>
      <c r="CU50">
        <v>0.68379999999999996</v>
      </c>
      <c r="CV50">
        <v>5.0170000000000003</v>
      </c>
      <c r="CW50">
        <v>14.424099999999999</v>
      </c>
      <c r="CX50">
        <v>25.3048</v>
      </c>
      <c r="CY50">
        <v>1.421</v>
      </c>
      <c r="CZ50">
        <v>256.8537</v>
      </c>
      <c r="DA50">
        <v>1.6229</v>
      </c>
      <c r="DB50">
        <v>224.90049999999999</v>
      </c>
      <c r="DC50">
        <v>57.258099999999999</v>
      </c>
      <c r="DD50">
        <v>282.15859999999998</v>
      </c>
      <c r="DE50">
        <v>16387.3</v>
      </c>
      <c r="DF50" t="s">
        <v>134</v>
      </c>
      <c r="DG50" t="s">
        <v>134</v>
      </c>
      <c r="DH50" t="s">
        <v>134</v>
      </c>
      <c r="DI50" t="s">
        <v>134</v>
      </c>
    </row>
    <row r="51" spans="1:113" x14ac:dyDescent="0.3">
      <c r="E51" t="s">
        <v>80</v>
      </c>
      <c r="F51" t="s">
        <v>134</v>
      </c>
      <c r="G51" t="s">
        <v>134</v>
      </c>
      <c r="H51" t="s">
        <v>134</v>
      </c>
      <c r="I51" t="s">
        <v>134</v>
      </c>
      <c r="J51">
        <v>13.1845</v>
      </c>
      <c r="K51">
        <v>8.7021999999999995</v>
      </c>
      <c r="L51">
        <v>10.644</v>
      </c>
      <c r="M51">
        <v>9.1555999999999997</v>
      </c>
      <c r="N51">
        <v>6.2171000000000003</v>
      </c>
      <c r="O51">
        <v>6.2161999999999997</v>
      </c>
      <c r="P51">
        <v>6.2161999999999997</v>
      </c>
      <c r="Q51">
        <v>32.095199999999998</v>
      </c>
      <c r="R51" t="s">
        <v>134</v>
      </c>
      <c r="S51" t="s">
        <v>134</v>
      </c>
      <c r="T51">
        <v>10.131600000000001</v>
      </c>
      <c r="U51">
        <v>6.6641000000000004</v>
      </c>
      <c r="V51">
        <v>12.679</v>
      </c>
      <c r="W51">
        <v>15.2058</v>
      </c>
      <c r="X51">
        <v>15.249000000000001</v>
      </c>
      <c r="Y51" t="s">
        <v>134</v>
      </c>
      <c r="Z51" t="s">
        <v>134</v>
      </c>
      <c r="AA51" t="s">
        <v>134</v>
      </c>
      <c r="AB51" t="s">
        <v>134</v>
      </c>
      <c r="AC51" t="s">
        <v>134</v>
      </c>
      <c r="AD51" t="s">
        <v>134</v>
      </c>
      <c r="AE51" t="s">
        <v>134</v>
      </c>
      <c r="AF51" t="s">
        <v>134</v>
      </c>
      <c r="AG51" t="s">
        <v>134</v>
      </c>
      <c r="AH51" t="s">
        <v>134</v>
      </c>
      <c r="AI51" t="s">
        <v>134</v>
      </c>
      <c r="AJ51" t="s">
        <v>134</v>
      </c>
      <c r="AK51" t="s">
        <v>134</v>
      </c>
      <c r="AL51" t="s">
        <v>134</v>
      </c>
      <c r="AM51">
        <v>6.0430000000000001</v>
      </c>
      <c r="AN51">
        <v>9.1288</v>
      </c>
      <c r="AO51">
        <v>15.971299999999999</v>
      </c>
      <c r="AP51">
        <v>11.9537</v>
      </c>
      <c r="AQ51">
        <v>11.9436</v>
      </c>
      <c r="AR51" t="s">
        <v>134</v>
      </c>
      <c r="AS51" t="s">
        <v>134</v>
      </c>
      <c r="AT51" t="s">
        <v>134</v>
      </c>
      <c r="AU51" t="s">
        <v>134</v>
      </c>
      <c r="AV51" t="s">
        <v>134</v>
      </c>
      <c r="AW51" t="s">
        <v>134</v>
      </c>
      <c r="AX51" t="s">
        <v>134</v>
      </c>
      <c r="AY51" t="s">
        <v>134</v>
      </c>
      <c r="AZ51" t="s">
        <v>134</v>
      </c>
      <c r="BA51" t="s">
        <v>134</v>
      </c>
      <c r="BB51" t="s">
        <v>134</v>
      </c>
      <c r="BC51" t="s">
        <v>134</v>
      </c>
      <c r="BD51" t="s">
        <v>134</v>
      </c>
      <c r="BE51" t="s">
        <v>134</v>
      </c>
      <c r="BF51">
        <v>-10.720599999999999</v>
      </c>
      <c r="BG51">
        <v>-29.025400000000001</v>
      </c>
      <c r="BH51">
        <v>-38.484499999999997</v>
      </c>
      <c r="BI51">
        <v>-36.380800000000001</v>
      </c>
      <c r="BJ51">
        <v>-36.3688</v>
      </c>
      <c r="BK51" t="s">
        <v>134</v>
      </c>
      <c r="BL51" t="s">
        <v>134</v>
      </c>
      <c r="BM51" t="s">
        <v>134</v>
      </c>
      <c r="BN51" t="s">
        <v>134</v>
      </c>
      <c r="BO51" t="s">
        <v>134</v>
      </c>
      <c r="BP51" t="s">
        <v>134</v>
      </c>
      <c r="BQ51" t="s">
        <v>134</v>
      </c>
      <c r="BR51" t="s">
        <v>134</v>
      </c>
      <c r="BS51" t="s">
        <v>134</v>
      </c>
      <c r="BT51" t="s">
        <v>134</v>
      </c>
      <c r="BU51" t="s">
        <v>134</v>
      </c>
      <c r="BV51" t="s">
        <v>134</v>
      </c>
      <c r="BW51" t="s">
        <v>134</v>
      </c>
      <c r="BX51" t="s">
        <v>134</v>
      </c>
      <c r="BY51" t="s">
        <v>134</v>
      </c>
      <c r="BZ51" t="s">
        <v>134</v>
      </c>
      <c r="CA51" t="s">
        <v>134</v>
      </c>
      <c r="CB51" t="s">
        <v>134</v>
      </c>
      <c r="CC51" t="s">
        <v>134</v>
      </c>
      <c r="CD51" t="s">
        <v>134</v>
      </c>
      <c r="CE51" t="s">
        <v>134</v>
      </c>
      <c r="CF51">
        <v>22.242699999999999</v>
      </c>
      <c r="CG51" t="s">
        <v>134</v>
      </c>
      <c r="CH51" t="s">
        <v>134</v>
      </c>
      <c r="CI51" t="s">
        <v>134</v>
      </c>
      <c r="CJ51" t="s">
        <v>134</v>
      </c>
      <c r="CK51" t="s">
        <v>134</v>
      </c>
      <c r="CL51" t="s">
        <v>134</v>
      </c>
      <c r="CM51" t="s">
        <v>134</v>
      </c>
      <c r="CN51" t="s">
        <v>134</v>
      </c>
      <c r="CO51" t="s">
        <v>134</v>
      </c>
      <c r="CP51">
        <v>4435.2</v>
      </c>
      <c r="CQ51" t="s">
        <v>134</v>
      </c>
      <c r="CR51">
        <v>2927.4</v>
      </c>
      <c r="CS51" t="s">
        <v>134</v>
      </c>
      <c r="CT51" t="s">
        <v>134</v>
      </c>
      <c r="CU51" t="s">
        <v>134</v>
      </c>
      <c r="CV51" t="s">
        <v>134</v>
      </c>
      <c r="CW51" t="s">
        <v>134</v>
      </c>
      <c r="CX51" t="s">
        <v>134</v>
      </c>
      <c r="CY51" t="s">
        <v>134</v>
      </c>
      <c r="CZ51" t="s">
        <v>134</v>
      </c>
      <c r="DA51" t="s">
        <v>134</v>
      </c>
      <c r="DB51" t="s">
        <v>134</v>
      </c>
      <c r="DC51" t="s">
        <v>134</v>
      </c>
      <c r="DD51" t="s">
        <v>134</v>
      </c>
      <c r="DE51" t="s">
        <v>134</v>
      </c>
      <c r="DF51" t="s">
        <v>134</v>
      </c>
      <c r="DG51" t="s">
        <v>134</v>
      </c>
      <c r="DH51" t="s">
        <v>134</v>
      </c>
      <c r="DI51" t="s">
        <v>134</v>
      </c>
    </row>
    <row r="52" spans="1:113" x14ac:dyDescent="0.3">
      <c r="E52" t="s">
        <v>81</v>
      </c>
      <c r="F52">
        <v>15.2905</v>
      </c>
      <c r="G52">
        <v>9.8407</v>
      </c>
      <c r="H52">
        <v>15.905200000000001</v>
      </c>
      <c r="I52">
        <v>13.530900000000001</v>
      </c>
      <c r="J52">
        <v>12.9488</v>
      </c>
      <c r="K52">
        <v>8.7797000000000001</v>
      </c>
      <c r="L52">
        <v>13.020899999999999</v>
      </c>
      <c r="M52">
        <v>9.0597999999999992</v>
      </c>
      <c r="N52">
        <v>19.330300000000001</v>
      </c>
      <c r="O52">
        <v>19.3292</v>
      </c>
      <c r="P52">
        <v>19.3292</v>
      </c>
      <c r="Q52" t="s">
        <v>134</v>
      </c>
      <c r="R52" t="s">
        <v>134</v>
      </c>
      <c r="S52" t="s">
        <v>134</v>
      </c>
      <c r="T52">
        <v>10.8711</v>
      </c>
      <c r="U52">
        <v>10.742900000000001</v>
      </c>
      <c r="V52">
        <v>17.016100000000002</v>
      </c>
      <c r="W52">
        <v>256.07799999999997</v>
      </c>
      <c r="X52">
        <v>256.22710000000001</v>
      </c>
      <c r="Y52" t="s">
        <v>134</v>
      </c>
      <c r="Z52">
        <v>30.241599999999998</v>
      </c>
      <c r="AA52">
        <v>19.548300000000001</v>
      </c>
      <c r="AB52">
        <v>-0.81069999999999998</v>
      </c>
      <c r="AC52">
        <v>8.1518999999999995</v>
      </c>
      <c r="AD52">
        <v>141.43029999999999</v>
      </c>
      <c r="AE52">
        <v>129.42959999999999</v>
      </c>
      <c r="AF52">
        <v>6.2038000000000002</v>
      </c>
      <c r="AG52" t="s">
        <v>134</v>
      </c>
      <c r="AH52" t="s">
        <v>134</v>
      </c>
      <c r="AI52">
        <v>12.5679</v>
      </c>
      <c r="AJ52">
        <v>12.5679</v>
      </c>
      <c r="AK52">
        <v>13.173299999999999</v>
      </c>
      <c r="AL52" t="s">
        <v>134</v>
      </c>
      <c r="AM52">
        <v>7.0620000000000003</v>
      </c>
      <c r="AN52">
        <v>6.2820999999999998</v>
      </c>
      <c r="AO52">
        <v>9.9804999999999993</v>
      </c>
      <c r="AP52">
        <v>21.5762</v>
      </c>
      <c r="AQ52">
        <v>21.568899999999999</v>
      </c>
      <c r="AR52" t="s">
        <v>134</v>
      </c>
      <c r="AS52">
        <v>16.907800000000002</v>
      </c>
      <c r="AT52">
        <v>8.3948</v>
      </c>
      <c r="AU52">
        <v>3.1499000000000001</v>
      </c>
      <c r="AV52">
        <v>5.8186999999999998</v>
      </c>
      <c r="AW52">
        <v>-6.7035</v>
      </c>
      <c r="AX52" t="s">
        <v>134</v>
      </c>
      <c r="AY52">
        <v>24.590399999999999</v>
      </c>
      <c r="AZ52">
        <v>-100</v>
      </c>
      <c r="BA52">
        <v>-100</v>
      </c>
      <c r="BB52">
        <v>6.1520999999999999</v>
      </c>
      <c r="BC52">
        <v>6.0571999999999999</v>
      </c>
      <c r="BD52">
        <v>6.1486000000000001</v>
      </c>
      <c r="BE52" t="s">
        <v>134</v>
      </c>
      <c r="BF52">
        <v>12.623799999999999</v>
      </c>
      <c r="BG52">
        <v>10.6106</v>
      </c>
      <c r="BH52">
        <v>13.6264</v>
      </c>
      <c r="BI52">
        <v>250.20320000000001</v>
      </c>
      <c r="BJ52">
        <v>250.13499999999999</v>
      </c>
      <c r="BK52" t="s">
        <v>134</v>
      </c>
      <c r="BL52" t="s">
        <v>134</v>
      </c>
      <c r="BM52" t="s">
        <v>134</v>
      </c>
      <c r="BN52" t="s">
        <v>134</v>
      </c>
      <c r="BO52" t="s">
        <v>134</v>
      </c>
      <c r="BP52" t="s">
        <v>134</v>
      </c>
      <c r="BQ52" t="s">
        <v>134</v>
      </c>
      <c r="BR52" t="s">
        <v>134</v>
      </c>
      <c r="BS52" t="s">
        <v>134</v>
      </c>
      <c r="BT52" t="s">
        <v>134</v>
      </c>
      <c r="BU52" t="s">
        <v>134</v>
      </c>
      <c r="BV52" t="s">
        <v>134</v>
      </c>
      <c r="BW52" t="s">
        <v>134</v>
      </c>
      <c r="BX52" t="s">
        <v>134</v>
      </c>
      <c r="BY52">
        <v>0</v>
      </c>
      <c r="BZ52">
        <v>0</v>
      </c>
      <c r="CA52">
        <v>0</v>
      </c>
      <c r="CB52">
        <v>0</v>
      </c>
      <c r="CC52">
        <v>-1.4552</v>
      </c>
      <c r="CD52">
        <v>0</v>
      </c>
      <c r="CE52">
        <v>-2.0655000000000001</v>
      </c>
      <c r="CF52">
        <v>21.9499</v>
      </c>
      <c r="CG52">
        <v>65.594999999999999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-28.328499999999998</v>
      </c>
      <c r="CO52">
        <v>-39.525500000000001</v>
      </c>
      <c r="CP52">
        <v>4905.8</v>
      </c>
      <c r="CQ52" t="s">
        <v>134</v>
      </c>
      <c r="CR52">
        <v>3326.3</v>
      </c>
      <c r="CS52">
        <v>0.6341</v>
      </c>
      <c r="CT52">
        <v>1.4203999999999999</v>
      </c>
      <c r="CU52">
        <v>0.81850000000000001</v>
      </c>
      <c r="CV52">
        <v>5.0149999999999997</v>
      </c>
      <c r="CW52">
        <v>18.883600000000001</v>
      </c>
      <c r="CX52">
        <v>19.329000000000001</v>
      </c>
      <c r="CY52">
        <v>1.5935999999999999</v>
      </c>
      <c r="CZ52">
        <v>229.0446</v>
      </c>
      <c r="DA52">
        <v>1.4610000000000001</v>
      </c>
      <c r="DB52">
        <v>249.83160000000001</v>
      </c>
      <c r="DC52">
        <v>-1.4581</v>
      </c>
      <c r="DD52">
        <v>248.37350000000001</v>
      </c>
      <c r="DE52">
        <v>16793.900000000001</v>
      </c>
      <c r="DF52">
        <v>1857.4</v>
      </c>
      <c r="DG52">
        <v>2228.9</v>
      </c>
      <c r="DH52">
        <v>2947.5</v>
      </c>
      <c r="DI52">
        <v>9760.1</v>
      </c>
    </row>
    <row r="53" spans="1:113" x14ac:dyDescent="0.3">
      <c r="A53">
        <v>3</v>
      </c>
      <c r="B53" t="s">
        <v>88</v>
      </c>
      <c r="C53" t="s">
        <v>89</v>
      </c>
      <c r="D53" t="s">
        <v>76</v>
      </c>
      <c r="E53" t="s">
        <v>77</v>
      </c>
      <c r="F53">
        <v>22.952300000000001</v>
      </c>
      <c r="G53">
        <v>7.6071999999999997</v>
      </c>
      <c r="H53">
        <v>12.8283</v>
      </c>
      <c r="I53">
        <v>10.287100000000001</v>
      </c>
      <c r="J53">
        <v>65.004800000000003</v>
      </c>
      <c r="K53">
        <v>50.826799999999999</v>
      </c>
      <c r="L53">
        <v>33.517600000000002</v>
      </c>
      <c r="M53">
        <v>43.173699999999997</v>
      </c>
      <c r="N53">
        <v>38.005699999999997</v>
      </c>
      <c r="O53">
        <v>37.975999999999999</v>
      </c>
      <c r="P53">
        <v>37.975999999999999</v>
      </c>
      <c r="Q53">
        <v>11.9702</v>
      </c>
      <c r="R53">
        <v>12.282399999999999</v>
      </c>
      <c r="S53">
        <v>20.133199999999999</v>
      </c>
      <c r="T53">
        <v>31.392399999999999</v>
      </c>
      <c r="U53">
        <v>24.936499999999999</v>
      </c>
      <c r="V53">
        <v>18.702200000000001</v>
      </c>
      <c r="W53">
        <v>7.1722000000000001</v>
      </c>
      <c r="X53">
        <v>4.3209999999999997</v>
      </c>
      <c r="Y53">
        <v>0</v>
      </c>
      <c r="Z53">
        <v>28.227</v>
      </c>
      <c r="AA53">
        <v>72.986199999999997</v>
      </c>
      <c r="AB53">
        <v>6.0640999999999998</v>
      </c>
      <c r="AC53">
        <v>17.177800000000001</v>
      </c>
      <c r="AD53">
        <v>27.6402</v>
      </c>
      <c r="AE53">
        <v>36.451599999999999</v>
      </c>
      <c r="AF53">
        <v>56.3626</v>
      </c>
      <c r="AG53">
        <v>23.884499999999999</v>
      </c>
      <c r="AH53">
        <v>11.6364</v>
      </c>
      <c r="AI53">
        <v>36.295200000000001</v>
      </c>
      <c r="AJ53">
        <v>20.532299999999999</v>
      </c>
      <c r="AK53">
        <v>37.097799999999999</v>
      </c>
      <c r="AL53">
        <v>-13.7653</v>
      </c>
      <c r="AM53">
        <v>30.985500000000002</v>
      </c>
      <c r="AN53">
        <v>31.557099999999998</v>
      </c>
      <c r="AO53">
        <v>30.768899999999999</v>
      </c>
      <c r="AP53">
        <v>32.095999999999997</v>
      </c>
      <c r="AQ53">
        <v>31.389600000000002</v>
      </c>
      <c r="AR53">
        <v>10.756600000000001</v>
      </c>
      <c r="AS53">
        <v>32.125300000000003</v>
      </c>
      <c r="AT53">
        <v>44.7303</v>
      </c>
      <c r="AU53">
        <v>24.336099999999998</v>
      </c>
      <c r="AV53">
        <v>28.26</v>
      </c>
      <c r="AW53">
        <v>56.509300000000003</v>
      </c>
      <c r="AX53" t="s">
        <v>134</v>
      </c>
      <c r="AY53">
        <v>9.5510999999999999</v>
      </c>
      <c r="AZ53">
        <v>44.556199999999997</v>
      </c>
      <c r="BA53">
        <v>34.894800000000004</v>
      </c>
      <c r="BB53">
        <v>24.832699999999999</v>
      </c>
      <c r="BC53">
        <v>30.213799999999999</v>
      </c>
      <c r="BD53">
        <v>23.7178</v>
      </c>
      <c r="BE53">
        <v>1.722</v>
      </c>
      <c r="BF53">
        <v>31.392399999999999</v>
      </c>
      <c r="BG53">
        <v>24.936499999999999</v>
      </c>
      <c r="BH53">
        <v>18.702200000000001</v>
      </c>
      <c r="BI53">
        <v>7.1722000000000001</v>
      </c>
      <c r="BJ53">
        <v>4.3209999999999997</v>
      </c>
      <c r="BK53">
        <v>0</v>
      </c>
      <c r="BL53">
        <v>28.227</v>
      </c>
      <c r="BM53">
        <v>72.986199999999997</v>
      </c>
      <c r="BN53">
        <v>6.0640999999999998</v>
      </c>
      <c r="BO53">
        <v>17.177800000000001</v>
      </c>
      <c r="BP53">
        <v>27.6402</v>
      </c>
      <c r="BQ53">
        <v>36.451599999999999</v>
      </c>
      <c r="BR53">
        <v>56.3626</v>
      </c>
      <c r="BS53">
        <v>23.884499999999999</v>
      </c>
      <c r="BT53">
        <v>11.6364</v>
      </c>
      <c r="BU53">
        <v>36.295200000000001</v>
      </c>
      <c r="BV53">
        <v>20.532299999999999</v>
      </c>
      <c r="BW53">
        <v>37.097799999999999</v>
      </c>
      <c r="BX53">
        <v>-13.7653</v>
      </c>
      <c r="BY53">
        <v>129339.8</v>
      </c>
      <c r="BZ53">
        <v>16455.7</v>
      </c>
      <c r="CA53">
        <v>112884.1</v>
      </c>
      <c r="CB53">
        <v>4.3434999999999997</v>
      </c>
      <c r="CC53">
        <v>4.1920000000000002</v>
      </c>
      <c r="CD53">
        <v>5.5551000000000004</v>
      </c>
      <c r="CE53">
        <v>5.3613</v>
      </c>
      <c r="CF53">
        <v>3.1861000000000002</v>
      </c>
      <c r="CG53">
        <v>35.519800000000004</v>
      </c>
      <c r="CH53">
        <v>126.6686</v>
      </c>
      <c r="CI53">
        <v>51.673299999999998</v>
      </c>
      <c r="CJ53">
        <v>45.744399999999999</v>
      </c>
      <c r="CK53">
        <v>145.1337</v>
      </c>
      <c r="CL53">
        <v>59.2059</v>
      </c>
      <c r="CM53">
        <v>52.412799999999997</v>
      </c>
      <c r="CN53">
        <v>140.07220000000001</v>
      </c>
      <c r="CO53">
        <v>58.3459</v>
      </c>
      <c r="CP53">
        <v>29778</v>
      </c>
      <c r="CQ53">
        <v>17317.599999999999</v>
      </c>
      <c r="CR53">
        <v>23283.200000000001</v>
      </c>
      <c r="CS53">
        <v>0.1671</v>
      </c>
      <c r="CT53">
        <v>2.0164</v>
      </c>
      <c r="CU53">
        <v>0.50900000000000001</v>
      </c>
      <c r="CV53">
        <v>2.3641999999999999</v>
      </c>
      <c r="CW53">
        <v>5.5753000000000004</v>
      </c>
      <c r="CX53">
        <v>65.467299999999994</v>
      </c>
      <c r="CY53" t="s">
        <v>134</v>
      </c>
      <c r="CZ53" t="s">
        <v>134</v>
      </c>
      <c r="DA53" t="s">
        <v>134</v>
      </c>
      <c r="DB53" t="s">
        <v>134</v>
      </c>
      <c r="DC53" t="s">
        <v>134</v>
      </c>
      <c r="DD53" t="s">
        <v>134</v>
      </c>
      <c r="DE53">
        <v>1694.4</v>
      </c>
      <c r="DF53" t="s">
        <v>134</v>
      </c>
      <c r="DG53" t="s">
        <v>134</v>
      </c>
      <c r="DH53" t="s">
        <v>134</v>
      </c>
      <c r="DI53" t="s">
        <v>134</v>
      </c>
    </row>
    <row r="54" spans="1:113" x14ac:dyDescent="0.3">
      <c r="E54" t="s">
        <v>78</v>
      </c>
      <c r="F54" t="s">
        <v>134</v>
      </c>
      <c r="G54" t="s">
        <v>134</v>
      </c>
      <c r="H54" t="s">
        <v>134</v>
      </c>
      <c r="I54" t="s">
        <v>134</v>
      </c>
      <c r="J54">
        <v>63.456000000000003</v>
      </c>
      <c r="K54">
        <v>53.222200000000001</v>
      </c>
      <c r="L54">
        <v>35.145600000000002</v>
      </c>
      <c r="M54">
        <v>30.688500000000001</v>
      </c>
      <c r="N54">
        <v>28.930900000000001</v>
      </c>
      <c r="O54">
        <v>28.855599999999999</v>
      </c>
      <c r="P54">
        <v>28.855599999999999</v>
      </c>
      <c r="Q54">
        <v>5.7271999999999998</v>
      </c>
      <c r="R54" t="s">
        <v>134</v>
      </c>
      <c r="S54" t="s">
        <v>134</v>
      </c>
      <c r="T54">
        <v>40.713700000000003</v>
      </c>
      <c r="U54">
        <v>14.6905</v>
      </c>
      <c r="V54">
        <v>23.619399999999999</v>
      </c>
      <c r="W54">
        <v>51.125799999999998</v>
      </c>
      <c r="X54">
        <v>50</v>
      </c>
      <c r="Y54" t="s">
        <v>134</v>
      </c>
      <c r="Z54" t="s">
        <v>134</v>
      </c>
      <c r="AA54" t="s">
        <v>134</v>
      </c>
      <c r="AB54" t="s">
        <v>134</v>
      </c>
      <c r="AC54" t="s">
        <v>134</v>
      </c>
      <c r="AD54" t="s">
        <v>134</v>
      </c>
      <c r="AE54" t="s">
        <v>134</v>
      </c>
      <c r="AF54" t="s">
        <v>134</v>
      </c>
      <c r="AG54" t="s">
        <v>134</v>
      </c>
      <c r="AH54" t="s">
        <v>134</v>
      </c>
      <c r="AI54" t="s">
        <v>134</v>
      </c>
      <c r="AJ54" t="s">
        <v>134</v>
      </c>
      <c r="AK54" t="s">
        <v>134</v>
      </c>
      <c r="AL54" t="s">
        <v>134</v>
      </c>
      <c r="AM54" t="s">
        <v>134</v>
      </c>
      <c r="AN54" t="s">
        <v>134</v>
      </c>
      <c r="AO54" t="s">
        <v>134</v>
      </c>
      <c r="AP54" t="s">
        <v>134</v>
      </c>
      <c r="AQ54" t="s">
        <v>134</v>
      </c>
      <c r="AR54" t="s">
        <v>134</v>
      </c>
      <c r="AS54" t="s">
        <v>134</v>
      </c>
      <c r="AT54" t="s">
        <v>134</v>
      </c>
      <c r="AU54" t="s">
        <v>134</v>
      </c>
      <c r="AV54" t="s">
        <v>134</v>
      </c>
      <c r="AW54" t="s">
        <v>134</v>
      </c>
      <c r="AX54" t="s">
        <v>134</v>
      </c>
      <c r="AY54" t="s">
        <v>134</v>
      </c>
      <c r="AZ54" t="s">
        <v>134</v>
      </c>
      <c r="BA54" t="s">
        <v>134</v>
      </c>
      <c r="BB54" t="s">
        <v>134</v>
      </c>
      <c r="BC54" t="s">
        <v>134</v>
      </c>
      <c r="BD54" t="s">
        <v>134</v>
      </c>
      <c r="BE54" t="s">
        <v>134</v>
      </c>
      <c r="BF54">
        <v>49.919699999999999</v>
      </c>
      <c r="BG54">
        <v>45.4955</v>
      </c>
      <c r="BH54">
        <v>52.003599999999999</v>
      </c>
      <c r="BI54">
        <v>-41.222799999999999</v>
      </c>
      <c r="BJ54">
        <v>-41.690100000000001</v>
      </c>
      <c r="BK54" t="s">
        <v>134</v>
      </c>
      <c r="BL54" t="s">
        <v>134</v>
      </c>
      <c r="BM54" t="s">
        <v>134</v>
      </c>
      <c r="BN54" t="s">
        <v>134</v>
      </c>
      <c r="BO54" t="s">
        <v>134</v>
      </c>
      <c r="BP54" t="s">
        <v>134</v>
      </c>
      <c r="BQ54" t="s">
        <v>134</v>
      </c>
      <c r="BR54" t="s">
        <v>134</v>
      </c>
      <c r="BS54" t="s">
        <v>134</v>
      </c>
      <c r="BT54" t="s">
        <v>134</v>
      </c>
      <c r="BU54" t="s">
        <v>134</v>
      </c>
      <c r="BV54" t="s">
        <v>134</v>
      </c>
      <c r="BW54" t="s">
        <v>134</v>
      </c>
      <c r="BX54" t="s">
        <v>134</v>
      </c>
      <c r="BY54" t="s">
        <v>134</v>
      </c>
      <c r="BZ54" t="s">
        <v>134</v>
      </c>
      <c r="CA54" t="s">
        <v>134</v>
      </c>
      <c r="CB54" t="s">
        <v>134</v>
      </c>
      <c r="CC54" t="s">
        <v>134</v>
      </c>
      <c r="CD54" t="s">
        <v>134</v>
      </c>
      <c r="CE54" t="s">
        <v>134</v>
      </c>
      <c r="CF54">
        <v>2.6188000000000002</v>
      </c>
      <c r="CG54" t="s">
        <v>134</v>
      </c>
      <c r="CH54" t="s">
        <v>134</v>
      </c>
      <c r="CI54" t="s">
        <v>134</v>
      </c>
      <c r="CJ54" t="s">
        <v>134</v>
      </c>
      <c r="CK54" t="s">
        <v>134</v>
      </c>
      <c r="CL54" t="s">
        <v>134</v>
      </c>
      <c r="CM54" t="s">
        <v>134</v>
      </c>
      <c r="CN54" t="s">
        <v>134</v>
      </c>
      <c r="CO54" t="s">
        <v>134</v>
      </c>
      <c r="CP54">
        <v>9181.2000000000007</v>
      </c>
      <c r="CQ54" t="s">
        <v>134</v>
      </c>
      <c r="CR54">
        <v>7700.5</v>
      </c>
      <c r="CS54" t="s">
        <v>134</v>
      </c>
      <c r="CT54" t="s">
        <v>134</v>
      </c>
      <c r="CU54" t="s">
        <v>134</v>
      </c>
      <c r="CV54" t="s">
        <v>134</v>
      </c>
      <c r="CW54" t="s">
        <v>134</v>
      </c>
      <c r="CX54" t="s">
        <v>134</v>
      </c>
      <c r="CY54" t="s">
        <v>134</v>
      </c>
      <c r="CZ54" t="s">
        <v>134</v>
      </c>
      <c r="DA54" t="s">
        <v>134</v>
      </c>
      <c r="DB54" t="s">
        <v>134</v>
      </c>
      <c r="DC54" t="s">
        <v>134</v>
      </c>
      <c r="DD54" t="s">
        <v>134</v>
      </c>
      <c r="DE54" t="s">
        <v>134</v>
      </c>
      <c r="DF54" t="s">
        <v>134</v>
      </c>
      <c r="DG54" t="s">
        <v>134</v>
      </c>
      <c r="DH54" t="s">
        <v>134</v>
      </c>
      <c r="DI54" t="s">
        <v>134</v>
      </c>
    </row>
    <row r="55" spans="1:113" x14ac:dyDescent="0.3">
      <c r="E55" t="s">
        <v>79</v>
      </c>
      <c r="F55">
        <v>27.978300000000001</v>
      </c>
      <c r="G55">
        <v>6.7046999999999999</v>
      </c>
      <c r="H55" t="s">
        <v>134</v>
      </c>
      <c r="I55">
        <v>9.4071999999999996</v>
      </c>
      <c r="J55">
        <v>69.758200000000002</v>
      </c>
      <c r="K55">
        <v>52.279000000000003</v>
      </c>
      <c r="L55">
        <v>217.36920000000001</v>
      </c>
      <c r="M55">
        <v>40.043199999999999</v>
      </c>
      <c r="N55">
        <v>32.741199999999999</v>
      </c>
      <c r="O55">
        <v>32.683799999999998</v>
      </c>
      <c r="P55">
        <v>32.683799999999998</v>
      </c>
      <c r="Q55">
        <v>18.235399999999998</v>
      </c>
      <c r="R55" t="s">
        <v>134</v>
      </c>
      <c r="S55" t="s">
        <v>134</v>
      </c>
      <c r="T55">
        <v>2.7023999999999999</v>
      </c>
      <c r="U55">
        <v>8.9103999999999992</v>
      </c>
      <c r="V55">
        <v>12.284599999999999</v>
      </c>
      <c r="W55">
        <v>24.049199999999999</v>
      </c>
      <c r="X55">
        <v>19.565200000000001</v>
      </c>
      <c r="Y55" t="s">
        <v>134</v>
      </c>
      <c r="Z55">
        <v>116.2058</v>
      </c>
      <c r="AA55">
        <v>25.463699999999999</v>
      </c>
      <c r="AB55" t="s">
        <v>134</v>
      </c>
      <c r="AC55">
        <v>-18.0398</v>
      </c>
      <c r="AD55" t="s">
        <v>134</v>
      </c>
      <c r="AE55" t="s">
        <v>134</v>
      </c>
      <c r="AF55">
        <v>-75.925799999999995</v>
      </c>
      <c r="AG55">
        <v>-33.098500000000001</v>
      </c>
      <c r="AH55">
        <v>-37.509</v>
      </c>
      <c r="AI55">
        <v>52.781500000000001</v>
      </c>
      <c r="AJ55">
        <v>-18.231300000000001</v>
      </c>
      <c r="AK55">
        <v>48.4574</v>
      </c>
      <c r="AL55" t="s">
        <v>134</v>
      </c>
      <c r="AM55" t="s">
        <v>134</v>
      </c>
      <c r="AN55" t="s">
        <v>134</v>
      </c>
      <c r="AO55" t="s">
        <v>134</v>
      </c>
      <c r="AP55" t="s">
        <v>134</v>
      </c>
      <c r="AQ55" t="s">
        <v>134</v>
      </c>
      <c r="AR55" t="s">
        <v>134</v>
      </c>
      <c r="AS55" t="s">
        <v>134</v>
      </c>
      <c r="AT55" t="s">
        <v>134</v>
      </c>
      <c r="AU55" t="s">
        <v>134</v>
      </c>
      <c r="AV55" t="s">
        <v>134</v>
      </c>
      <c r="AW55" t="s">
        <v>134</v>
      </c>
      <c r="AX55" t="s">
        <v>134</v>
      </c>
      <c r="AY55" t="s">
        <v>134</v>
      </c>
      <c r="AZ55" t="s">
        <v>134</v>
      </c>
      <c r="BA55" t="s">
        <v>134</v>
      </c>
      <c r="BB55" t="s">
        <v>134</v>
      </c>
      <c r="BC55" t="s">
        <v>134</v>
      </c>
      <c r="BD55" t="s">
        <v>134</v>
      </c>
      <c r="BE55" t="s">
        <v>134</v>
      </c>
      <c r="BF55">
        <v>-27.714500000000001</v>
      </c>
      <c r="BG55">
        <v>-20.535399999999999</v>
      </c>
      <c r="BH55">
        <v>-28.9955</v>
      </c>
      <c r="BI55">
        <v>-18.124600000000001</v>
      </c>
      <c r="BJ55">
        <v>-20.289899999999999</v>
      </c>
      <c r="BK55" t="s">
        <v>134</v>
      </c>
      <c r="BL55" t="s">
        <v>134</v>
      </c>
      <c r="BM55" t="s">
        <v>134</v>
      </c>
      <c r="BN55" t="s">
        <v>134</v>
      </c>
      <c r="BO55" t="s">
        <v>134</v>
      </c>
      <c r="BP55" t="s">
        <v>134</v>
      </c>
      <c r="BQ55" t="s">
        <v>134</v>
      </c>
      <c r="BR55" t="s">
        <v>134</v>
      </c>
      <c r="BS55" t="s">
        <v>134</v>
      </c>
      <c r="BT55" t="s">
        <v>134</v>
      </c>
      <c r="BU55" t="s">
        <v>134</v>
      </c>
      <c r="BV55" t="s">
        <v>134</v>
      </c>
      <c r="BW55" t="s">
        <v>134</v>
      </c>
      <c r="BX55" t="s">
        <v>134</v>
      </c>
      <c r="BY55">
        <v>121642.3</v>
      </c>
      <c r="BZ55">
        <v>5308.9</v>
      </c>
      <c r="CA55">
        <v>116333.4</v>
      </c>
      <c r="CB55">
        <v>4.0359999999999996</v>
      </c>
      <c r="CC55">
        <v>3.8224</v>
      </c>
      <c r="CD55">
        <v>4.9667000000000003</v>
      </c>
      <c r="CE55">
        <v>4.7038000000000002</v>
      </c>
      <c r="CF55">
        <v>1.7723</v>
      </c>
      <c r="CG55">
        <v>32.206800000000001</v>
      </c>
      <c r="CH55">
        <v>144.0943</v>
      </c>
      <c r="CI55">
        <v>57.483699999999999</v>
      </c>
      <c r="CJ55">
        <v>47.293799999999997</v>
      </c>
      <c r="CK55">
        <v>150.67009999999999</v>
      </c>
      <c r="CL55">
        <v>60.106900000000003</v>
      </c>
      <c r="CM55">
        <v>49.452100000000002</v>
      </c>
      <c r="CN55">
        <v>142.69569999999999</v>
      </c>
      <c r="CO55">
        <v>58.796100000000003</v>
      </c>
      <c r="CP55">
        <v>7295.8</v>
      </c>
      <c r="CQ55" t="s">
        <v>134</v>
      </c>
      <c r="CR55">
        <v>5467.7</v>
      </c>
      <c r="CS55">
        <v>0.2276</v>
      </c>
      <c r="CT55">
        <v>2.1107</v>
      </c>
      <c r="CU55">
        <v>0.60219999999999996</v>
      </c>
      <c r="CV55">
        <v>2.1604000000000001</v>
      </c>
      <c r="CW55">
        <v>5.7957999999999998</v>
      </c>
      <c r="CX55">
        <v>62.9771</v>
      </c>
      <c r="CY55" t="s">
        <v>134</v>
      </c>
      <c r="CZ55" t="s">
        <v>134</v>
      </c>
      <c r="DA55" t="s">
        <v>134</v>
      </c>
      <c r="DB55" t="s">
        <v>134</v>
      </c>
      <c r="DC55" t="s">
        <v>134</v>
      </c>
      <c r="DD55" t="s">
        <v>134</v>
      </c>
      <c r="DE55">
        <v>1143.0999999999999</v>
      </c>
      <c r="DF55" t="s">
        <v>134</v>
      </c>
      <c r="DG55" t="s">
        <v>134</v>
      </c>
      <c r="DH55" t="s">
        <v>134</v>
      </c>
      <c r="DI55" t="s">
        <v>134</v>
      </c>
    </row>
    <row r="56" spans="1:113" x14ac:dyDescent="0.3">
      <c r="E56" t="s">
        <v>80</v>
      </c>
      <c r="F56" t="s">
        <v>134</v>
      </c>
      <c r="G56" t="s">
        <v>134</v>
      </c>
      <c r="H56" t="s">
        <v>134</v>
      </c>
      <c r="I56" t="s">
        <v>134</v>
      </c>
      <c r="J56">
        <v>64.702500000000001</v>
      </c>
      <c r="K56">
        <v>46.962400000000002</v>
      </c>
      <c r="L56" t="s">
        <v>134</v>
      </c>
      <c r="M56">
        <v>47.199300000000001</v>
      </c>
      <c r="N56">
        <v>43.470300000000002</v>
      </c>
      <c r="O56">
        <v>43.567900000000002</v>
      </c>
      <c r="P56">
        <v>43.567900000000002</v>
      </c>
      <c r="Q56">
        <v>7.9006999999999996</v>
      </c>
      <c r="R56" t="s">
        <v>134</v>
      </c>
      <c r="S56" t="s">
        <v>134</v>
      </c>
      <c r="T56">
        <v>0.17150000000000001</v>
      </c>
      <c r="U56">
        <v>-9</v>
      </c>
      <c r="V56">
        <v>-22.395499999999998</v>
      </c>
      <c r="W56">
        <v>24.7639</v>
      </c>
      <c r="X56">
        <v>21.1111</v>
      </c>
      <c r="Y56" t="s">
        <v>134</v>
      </c>
      <c r="Z56" t="s">
        <v>134</v>
      </c>
      <c r="AA56" t="s">
        <v>134</v>
      </c>
      <c r="AB56" t="s">
        <v>134</v>
      </c>
      <c r="AC56" t="s">
        <v>134</v>
      </c>
      <c r="AD56" t="s">
        <v>134</v>
      </c>
      <c r="AE56" t="s">
        <v>134</v>
      </c>
      <c r="AF56" t="s">
        <v>134</v>
      </c>
      <c r="AG56" t="s">
        <v>134</v>
      </c>
      <c r="AH56" t="s">
        <v>134</v>
      </c>
      <c r="AI56" t="s">
        <v>134</v>
      </c>
      <c r="AJ56" t="s">
        <v>134</v>
      </c>
      <c r="AK56" t="s">
        <v>134</v>
      </c>
      <c r="AL56" t="s">
        <v>134</v>
      </c>
      <c r="AM56" t="s">
        <v>134</v>
      </c>
      <c r="AN56" t="s">
        <v>134</v>
      </c>
      <c r="AO56" t="s">
        <v>134</v>
      </c>
      <c r="AP56" t="s">
        <v>134</v>
      </c>
      <c r="AQ56" t="s">
        <v>134</v>
      </c>
      <c r="AR56" t="s">
        <v>134</v>
      </c>
      <c r="AS56" t="s">
        <v>134</v>
      </c>
      <c r="AT56" t="s">
        <v>134</v>
      </c>
      <c r="AU56" t="s">
        <v>134</v>
      </c>
      <c r="AV56" t="s">
        <v>134</v>
      </c>
      <c r="AW56" t="s">
        <v>134</v>
      </c>
      <c r="AX56" t="s">
        <v>134</v>
      </c>
      <c r="AY56" t="s">
        <v>134</v>
      </c>
      <c r="AZ56" t="s">
        <v>134</v>
      </c>
      <c r="BA56" t="s">
        <v>134</v>
      </c>
      <c r="BB56" t="s">
        <v>134</v>
      </c>
      <c r="BC56" t="s">
        <v>134</v>
      </c>
      <c r="BD56" t="s">
        <v>134</v>
      </c>
      <c r="BE56" t="s">
        <v>134</v>
      </c>
      <c r="BF56">
        <v>-1.1311</v>
      </c>
      <c r="BG56">
        <v>-8.2965999999999998</v>
      </c>
      <c r="BH56">
        <v>-11.185700000000001</v>
      </c>
      <c r="BI56">
        <v>31.793600000000001</v>
      </c>
      <c r="BJ56">
        <v>32.121200000000002</v>
      </c>
      <c r="BK56" t="s">
        <v>134</v>
      </c>
      <c r="BL56" t="s">
        <v>134</v>
      </c>
      <c r="BM56" t="s">
        <v>134</v>
      </c>
      <c r="BN56" t="s">
        <v>134</v>
      </c>
      <c r="BO56" t="s">
        <v>134</v>
      </c>
      <c r="BP56" t="s">
        <v>134</v>
      </c>
      <c r="BQ56" t="s">
        <v>134</v>
      </c>
      <c r="BR56" t="s">
        <v>134</v>
      </c>
      <c r="BS56" t="s">
        <v>134</v>
      </c>
      <c r="BT56" t="s">
        <v>134</v>
      </c>
      <c r="BU56" t="s">
        <v>134</v>
      </c>
      <c r="BV56" t="s">
        <v>134</v>
      </c>
      <c r="BW56" t="s">
        <v>134</v>
      </c>
      <c r="BX56" t="s">
        <v>134</v>
      </c>
      <c r="BY56" t="s">
        <v>134</v>
      </c>
      <c r="BZ56" t="s">
        <v>134</v>
      </c>
      <c r="CA56" t="s">
        <v>134</v>
      </c>
      <c r="CB56" t="s">
        <v>134</v>
      </c>
      <c r="CC56" t="s">
        <v>134</v>
      </c>
      <c r="CD56" t="s">
        <v>134</v>
      </c>
      <c r="CE56" t="s">
        <v>134</v>
      </c>
      <c r="CF56">
        <v>4.7491000000000003</v>
      </c>
      <c r="CG56" t="s">
        <v>134</v>
      </c>
      <c r="CH56" t="s">
        <v>134</v>
      </c>
      <c r="CI56" t="s">
        <v>134</v>
      </c>
      <c r="CJ56" t="s">
        <v>134</v>
      </c>
      <c r="CK56" t="s">
        <v>134</v>
      </c>
      <c r="CL56" t="s">
        <v>134</v>
      </c>
      <c r="CM56" t="s">
        <v>134</v>
      </c>
      <c r="CN56" t="s">
        <v>134</v>
      </c>
      <c r="CO56" t="s">
        <v>134</v>
      </c>
      <c r="CP56">
        <v>6690.5</v>
      </c>
      <c r="CQ56" t="s">
        <v>134</v>
      </c>
      <c r="CR56">
        <v>4856.1000000000004</v>
      </c>
      <c r="CS56" t="s">
        <v>134</v>
      </c>
      <c r="CT56" t="s">
        <v>134</v>
      </c>
      <c r="CU56" t="s">
        <v>134</v>
      </c>
      <c r="CV56" t="s">
        <v>134</v>
      </c>
      <c r="CW56" t="s">
        <v>134</v>
      </c>
      <c r="CX56" t="s">
        <v>134</v>
      </c>
      <c r="CY56" t="s">
        <v>134</v>
      </c>
      <c r="CZ56" t="s">
        <v>134</v>
      </c>
      <c r="DA56" t="s">
        <v>134</v>
      </c>
      <c r="DB56" t="s">
        <v>134</v>
      </c>
      <c r="DC56" t="s">
        <v>134</v>
      </c>
      <c r="DD56" t="s">
        <v>134</v>
      </c>
      <c r="DE56" t="s">
        <v>134</v>
      </c>
      <c r="DF56" t="s">
        <v>134</v>
      </c>
      <c r="DG56" t="s">
        <v>134</v>
      </c>
      <c r="DH56" t="s">
        <v>134</v>
      </c>
      <c r="DI56" t="s">
        <v>134</v>
      </c>
    </row>
    <row r="57" spans="1:113" x14ac:dyDescent="0.3">
      <c r="E57" t="s">
        <v>81</v>
      </c>
      <c r="F57">
        <v>22.952300000000001</v>
      </c>
      <c r="G57">
        <v>7.6071999999999997</v>
      </c>
      <c r="H57">
        <v>13.0139</v>
      </c>
      <c r="I57">
        <v>10.3658</v>
      </c>
      <c r="J57">
        <v>61.26</v>
      </c>
      <c r="K57">
        <v>48.7346</v>
      </c>
      <c r="L57">
        <v>16.921099999999999</v>
      </c>
      <c r="M57">
        <v>58.091500000000003</v>
      </c>
      <c r="N57">
        <v>49.1599</v>
      </c>
      <c r="O57">
        <v>49.096899999999998</v>
      </c>
      <c r="P57">
        <v>49.096899999999998</v>
      </c>
      <c r="Q57">
        <v>15.375</v>
      </c>
      <c r="R57" t="s">
        <v>134</v>
      </c>
      <c r="S57" t="s">
        <v>134</v>
      </c>
      <c r="T57">
        <v>11.8124</v>
      </c>
      <c r="U57">
        <v>4.7572999999999999</v>
      </c>
      <c r="V57">
        <v>3.8077000000000001</v>
      </c>
      <c r="W57">
        <v>-25.412800000000001</v>
      </c>
      <c r="X57">
        <v>-27.8873</v>
      </c>
      <c r="Y57" t="s">
        <v>134</v>
      </c>
      <c r="Z57">
        <v>28.227</v>
      </c>
      <c r="AA57">
        <v>72.986199999999997</v>
      </c>
      <c r="AB57">
        <v>6.0640999999999998</v>
      </c>
      <c r="AC57">
        <v>17.177800000000001</v>
      </c>
      <c r="AD57">
        <v>27.6402</v>
      </c>
      <c r="AE57">
        <v>36.451599999999999</v>
      </c>
      <c r="AF57">
        <v>56.3626</v>
      </c>
      <c r="AG57">
        <v>23.884499999999999</v>
      </c>
      <c r="AH57">
        <v>11.6364</v>
      </c>
      <c r="AI57">
        <v>36.295200000000001</v>
      </c>
      <c r="AJ57">
        <v>20.532299999999999</v>
      </c>
      <c r="AK57">
        <v>37.097799999999999</v>
      </c>
      <c r="AL57" t="s">
        <v>134</v>
      </c>
      <c r="AM57" t="s">
        <v>134</v>
      </c>
      <c r="AN57" t="s">
        <v>134</v>
      </c>
      <c r="AO57" t="s">
        <v>134</v>
      </c>
      <c r="AP57" t="s">
        <v>134</v>
      </c>
      <c r="AQ57" t="s">
        <v>134</v>
      </c>
      <c r="AR57" t="s">
        <v>134</v>
      </c>
      <c r="AS57" t="s">
        <v>134</v>
      </c>
      <c r="AT57" t="s">
        <v>134</v>
      </c>
      <c r="AU57" t="s">
        <v>134</v>
      </c>
      <c r="AV57" t="s">
        <v>134</v>
      </c>
      <c r="AW57" t="s">
        <v>134</v>
      </c>
      <c r="AX57" t="s">
        <v>134</v>
      </c>
      <c r="AY57" t="s">
        <v>134</v>
      </c>
      <c r="AZ57" t="s">
        <v>134</v>
      </c>
      <c r="BA57" t="s">
        <v>134</v>
      </c>
      <c r="BB57" t="s">
        <v>134</v>
      </c>
      <c r="BC57" t="s">
        <v>134</v>
      </c>
      <c r="BD57" t="s">
        <v>134</v>
      </c>
      <c r="BE57" t="s">
        <v>134</v>
      </c>
      <c r="BF57">
        <v>4.3567</v>
      </c>
      <c r="BG57">
        <v>-1.1957</v>
      </c>
      <c r="BH57">
        <v>8.2947000000000006</v>
      </c>
      <c r="BI57">
        <v>17.600100000000001</v>
      </c>
      <c r="BJ57">
        <v>17.4312</v>
      </c>
      <c r="BK57" t="s">
        <v>134</v>
      </c>
      <c r="BL57" t="s">
        <v>134</v>
      </c>
      <c r="BM57" t="s">
        <v>134</v>
      </c>
      <c r="BN57" t="s">
        <v>134</v>
      </c>
      <c r="BO57" t="s">
        <v>134</v>
      </c>
      <c r="BP57" t="s">
        <v>134</v>
      </c>
      <c r="BQ57" t="s">
        <v>134</v>
      </c>
      <c r="BR57" t="s">
        <v>134</v>
      </c>
      <c r="BS57" t="s">
        <v>134</v>
      </c>
      <c r="BT57" t="s">
        <v>134</v>
      </c>
      <c r="BU57" t="s">
        <v>134</v>
      </c>
      <c r="BV57" t="s">
        <v>134</v>
      </c>
      <c r="BW57" t="s">
        <v>134</v>
      </c>
      <c r="BX57" t="s">
        <v>134</v>
      </c>
      <c r="BY57">
        <v>129339.8</v>
      </c>
      <c r="BZ57">
        <v>16455.7</v>
      </c>
      <c r="CA57">
        <v>112884.1</v>
      </c>
      <c r="CB57">
        <v>4.3434999999999997</v>
      </c>
      <c r="CC57">
        <v>4.1920000000000002</v>
      </c>
      <c r="CD57">
        <v>5.5551000000000004</v>
      </c>
      <c r="CE57">
        <v>5.3613</v>
      </c>
      <c r="CF57">
        <v>8.9779999999999998</v>
      </c>
      <c r="CG57">
        <v>35.519800000000004</v>
      </c>
      <c r="CH57">
        <v>126.6686</v>
      </c>
      <c r="CI57">
        <v>51.673299999999998</v>
      </c>
      <c r="CJ57">
        <v>45.744399999999999</v>
      </c>
      <c r="CK57">
        <v>145.1337</v>
      </c>
      <c r="CL57">
        <v>59.2059</v>
      </c>
      <c r="CM57">
        <v>52.412799999999997</v>
      </c>
      <c r="CN57">
        <v>140.07220000000001</v>
      </c>
      <c r="CO57">
        <v>58.3459</v>
      </c>
      <c r="CP57">
        <v>6610.5</v>
      </c>
      <c r="CQ57" t="s">
        <v>134</v>
      </c>
      <c r="CR57">
        <v>5258.9</v>
      </c>
      <c r="CS57">
        <v>0.1671</v>
      </c>
      <c r="CT57">
        <v>2.0164</v>
      </c>
      <c r="CU57">
        <v>0.50900000000000001</v>
      </c>
      <c r="CV57">
        <v>2.3641999999999999</v>
      </c>
      <c r="CW57">
        <v>5.6056999999999997</v>
      </c>
      <c r="CX57">
        <v>65.112399999999994</v>
      </c>
      <c r="CY57" t="s">
        <v>134</v>
      </c>
      <c r="CZ57" t="s">
        <v>134</v>
      </c>
      <c r="DA57" t="s">
        <v>134</v>
      </c>
      <c r="DB57" t="s">
        <v>134</v>
      </c>
      <c r="DC57" t="s">
        <v>134</v>
      </c>
      <c r="DD57" t="s">
        <v>134</v>
      </c>
      <c r="DE57">
        <v>1694.4</v>
      </c>
      <c r="DF57" t="s">
        <v>134</v>
      </c>
      <c r="DG57" t="s">
        <v>134</v>
      </c>
      <c r="DH57" t="s">
        <v>134</v>
      </c>
      <c r="DI57" t="s">
        <v>134</v>
      </c>
    </row>
    <row r="58" spans="1:113" x14ac:dyDescent="0.3">
      <c r="D58" t="s">
        <v>82</v>
      </c>
      <c r="E58" t="s">
        <v>77</v>
      </c>
      <c r="F58">
        <v>23.6998</v>
      </c>
      <c r="G58">
        <v>8.1548999999999996</v>
      </c>
      <c r="H58">
        <v>13.3187</v>
      </c>
      <c r="I58">
        <v>11.285</v>
      </c>
      <c r="J58">
        <v>67.436499999999995</v>
      </c>
      <c r="K58">
        <v>51.968000000000004</v>
      </c>
      <c r="L58">
        <v>56.055</v>
      </c>
      <c r="M58">
        <v>42.438099999999999</v>
      </c>
      <c r="N58">
        <v>39.439700000000002</v>
      </c>
      <c r="O58">
        <v>39.267299999999999</v>
      </c>
      <c r="P58">
        <v>39.267299999999999</v>
      </c>
      <c r="Q58">
        <v>7.0654000000000003</v>
      </c>
      <c r="R58">
        <v>9.8391000000000002</v>
      </c>
      <c r="S58">
        <v>21.367999999999999</v>
      </c>
      <c r="T58">
        <v>28.648099999999999</v>
      </c>
      <c r="U58">
        <v>33.5242</v>
      </c>
      <c r="V58">
        <v>31.613399999999999</v>
      </c>
      <c r="W58">
        <v>33.034999999999997</v>
      </c>
      <c r="X58">
        <v>32.307699999999997</v>
      </c>
      <c r="Y58">
        <v>10</v>
      </c>
      <c r="Z58">
        <v>39.480800000000002</v>
      </c>
      <c r="AA58">
        <v>52.968600000000002</v>
      </c>
      <c r="AB58">
        <v>26.930599999999998</v>
      </c>
      <c r="AC58">
        <v>30.0076</v>
      </c>
      <c r="AD58">
        <v>46.944400000000002</v>
      </c>
      <c r="AE58">
        <v>-50.610500000000002</v>
      </c>
      <c r="AF58">
        <v>24.643799999999999</v>
      </c>
      <c r="AG58">
        <v>135.87389999999999</v>
      </c>
      <c r="AH58">
        <v>37.090400000000002</v>
      </c>
      <c r="AI58">
        <v>22.6114</v>
      </c>
      <c r="AJ58">
        <v>31.183900000000001</v>
      </c>
      <c r="AK58">
        <v>22.814599999999999</v>
      </c>
      <c r="AL58">
        <v>265.11720000000003</v>
      </c>
      <c r="AM58">
        <v>33.649900000000002</v>
      </c>
      <c r="AN58">
        <v>32.690199999999997</v>
      </c>
      <c r="AO58">
        <v>31.482099999999999</v>
      </c>
      <c r="AP58">
        <v>27.907399999999999</v>
      </c>
      <c r="AQ58">
        <v>27.072800000000001</v>
      </c>
      <c r="AR58">
        <v>6.5762999999999998</v>
      </c>
      <c r="AS58">
        <v>48.815300000000001</v>
      </c>
      <c r="AT58">
        <v>52.348300000000002</v>
      </c>
      <c r="AU58">
        <v>23.436599999999999</v>
      </c>
      <c r="AV58">
        <v>29.785599999999999</v>
      </c>
      <c r="AW58">
        <v>115.1053</v>
      </c>
      <c r="AX58" t="s">
        <v>134</v>
      </c>
      <c r="AY58">
        <v>12.5639</v>
      </c>
      <c r="AZ58">
        <v>23.995100000000001</v>
      </c>
      <c r="BA58">
        <v>36.317500000000003</v>
      </c>
      <c r="BB58">
        <v>25.3125</v>
      </c>
      <c r="BC58">
        <v>31.4467</v>
      </c>
      <c r="BD58">
        <v>24.729800000000001</v>
      </c>
      <c r="BE58">
        <v>20.7926</v>
      </c>
      <c r="BF58">
        <v>28.648099999999999</v>
      </c>
      <c r="BG58">
        <v>33.5242</v>
      </c>
      <c r="BH58">
        <v>31.613399999999999</v>
      </c>
      <c r="BI58">
        <v>33.034999999999997</v>
      </c>
      <c r="BJ58">
        <v>32.307699999999997</v>
      </c>
      <c r="BK58">
        <v>10</v>
      </c>
      <c r="BL58">
        <v>39.480800000000002</v>
      </c>
      <c r="BM58">
        <v>52.968600000000002</v>
      </c>
      <c r="BN58">
        <v>26.930599999999998</v>
      </c>
      <c r="BO58">
        <v>30.0076</v>
      </c>
      <c r="BP58">
        <v>46.944400000000002</v>
      </c>
      <c r="BQ58">
        <v>-50.610500000000002</v>
      </c>
      <c r="BR58">
        <v>24.643799999999999</v>
      </c>
      <c r="BS58">
        <v>135.87389999999999</v>
      </c>
      <c r="BT58">
        <v>37.090400000000002</v>
      </c>
      <c r="BU58">
        <v>22.6114</v>
      </c>
      <c r="BV58">
        <v>31.183900000000001</v>
      </c>
      <c r="BW58">
        <v>22.814599999999999</v>
      </c>
      <c r="BX58">
        <v>265.11720000000003</v>
      </c>
      <c r="BY58">
        <v>177312.5</v>
      </c>
      <c r="BZ58">
        <v>38814.699999999997</v>
      </c>
      <c r="CA58">
        <v>138497.79999999999</v>
      </c>
      <c r="CB58">
        <v>4.4611999999999998</v>
      </c>
      <c r="CC58">
        <v>4.2697000000000003</v>
      </c>
      <c r="CD58">
        <v>5.7891000000000004</v>
      </c>
      <c r="CE58">
        <v>5.5407000000000002</v>
      </c>
      <c r="CF58">
        <v>3.556</v>
      </c>
      <c r="CG58">
        <v>33.554600000000001</v>
      </c>
      <c r="CH58">
        <v>126.75</v>
      </c>
      <c r="CI58">
        <v>48.327599999999997</v>
      </c>
      <c r="CJ58">
        <v>43.169699999999999</v>
      </c>
      <c r="CK58">
        <v>162.2723</v>
      </c>
      <c r="CL58">
        <v>61.871699999999997</v>
      </c>
      <c r="CM58">
        <v>55.2682</v>
      </c>
      <c r="CN58">
        <v>155.30879999999999</v>
      </c>
      <c r="CO58">
        <v>60.831699999999998</v>
      </c>
      <c r="CP58">
        <v>39745.599999999999</v>
      </c>
      <c r="CQ58">
        <v>21735.4</v>
      </c>
      <c r="CR58">
        <v>30628.799999999999</v>
      </c>
      <c r="CS58">
        <v>0.14000000000000001</v>
      </c>
      <c r="CT58">
        <v>1.2495000000000001</v>
      </c>
      <c r="CU58">
        <v>0.37690000000000001</v>
      </c>
      <c r="CV58">
        <v>2.6879999999999997</v>
      </c>
      <c r="CW58">
        <v>5.3312999999999997</v>
      </c>
      <c r="CX58">
        <v>68.464200000000005</v>
      </c>
      <c r="CY58" t="s">
        <v>134</v>
      </c>
      <c r="CZ58" t="s">
        <v>134</v>
      </c>
      <c r="DA58" t="s">
        <v>134</v>
      </c>
      <c r="DB58" t="s">
        <v>134</v>
      </c>
      <c r="DC58" t="s">
        <v>134</v>
      </c>
      <c r="DD58" t="s">
        <v>134</v>
      </c>
      <c r="DE58">
        <v>2591.9</v>
      </c>
      <c r="DF58" t="s">
        <v>134</v>
      </c>
      <c r="DG58" t="s">
        <v>134</v>
      </c>
      <c r="DH58" t="s">
        <v>134</v>
      </c>
      <c r="DI58" t="s">
        <v>134</v>
      </c>
    </row>
    <row r="59" spans="1:113" x14ac:dyDescent="0.3">
      <c r="E59" t="s">
        <v>78</v>
      </c>
      <c r="F59" t="s">
        <v>134</v>
      </c>
      <c r="G59" t="s">
        <v>134</v>
      </c>
      <c r="H59" t="s">
        <v>134</v>
      </c>
      <c r="I59" t="s">
        <v>134</v>
      </c>
      <c r="J59">
        <v>66.778199999999998</v>
      </c>
      <c r="K59">
        <v>52.661000000000001</v>
      </c>
      <c r="L59">
        <v>-56.698799999999999</v>
      </c>
      <c r="M59">
        <v>51.664000000000001</v>
      </c>
      <c r="N59">
        <v>46.318800000000003</v>
      </c>
      <c r="O59">
        <v>45.593899999999998</v>
      </c>
      <c r="P59">
        <v>45.593899999999998</v>
      </c>
      <c r="Q59">
        <v>10.3462</v>
      </c>
      <c r="R59" t="s">
        <v>134</v>
      </c>
      <c r="S59" t="s">
        <v>134</v>
      </c>
      <c r="T59">
        <v>-13.8977</v>
      </c>
      <c r="U59">
        <v>-9.3897999999999993</v>
      </c>
      <c r="V59">
        <v>-14.8055</v>
      </c>
      <c r="W59">
        <v>36.047899999999998</v>
      </c>
      <c r="X59">
        <v>32.367100000000001</v>
      </c>
      <c r="Y59" t="s">
        <v>134</v>
      </c>
      <c r="Z59" t="s">
        <v>134</v>
      </c>
      <c r="AA59" t="s">
        <v>134</v>
      </c>
      <c r="AB59" t="s">
        <v>134</v>
      </c>
      <c r="AC59" t="s">
        <v>134</v>
      </c>
      <c r="AD59" t="s">
        <v>134</v>
      </c>
      <c r="AE59" t="s">
        <v>134</v>
      </c>
      <c r="AF59" t="s">
        <v>134</v>
      </c>
      <c r="AG59" t="s">
        <v>134</v>
      </c>
      <c r="AH59" t="s">
        <v>134</v>
      </c>
      <c r="AI59" t="s">
        <v>134</v>
      </c>
      <c r="AJ59" t="s">
        <v>134</v>
      </c>
      <c r="AK59" t="s">
        <v>134</v>
      </c>
      <c r="AL59" t="s">
        <v>134</v>
      </c>
      <c r="AM59" t="s">
        <v>134</v>
      </c>
      <c r="AN59" t="s">
        <v>134</v>
      </c>
      <c r="AO59" t="s">
        <v>134</v>
      </c>
      <c r="AP59" t="s">
        <v>134</v>
      </c>
      <c r="AQ59" t="s">
        <v>134</v>
      </c>
      <c r="AR59" t="s">
        <v>134</v>
      </c>
      <c r="AS59" t="s">
        <v>134</v>
      </c>
      <c r="AT59" t="s">
        <v>134</v>
      </c>
      <c r="AU59" t="s">
        <v>134</v>
      </c>
      <c r="AV59" t="s">
        <v>134</v>
      </c>
      <c r="AW59" t="s">
        <v>134</v>
      </c>
      <c r="AX59" t="s">
        <v>134</v>
      </c>
      <c r="AY59" t="s">
        <v>134</v>
      </c>
      <c r="AZ59" t="s">
        <v>134</v>
      </c>
      <c r="BA59" t="s">
        <v>134</v>
      </c>
      <c r="BB59" t="s">
        <v>134</v>
      </c>
      <c r="BC59" t="s">
        <v>134</v>
      </c>
      <c r="BD59" t="s">
        <v>134</v>
      </c>
      <c r="BE59" t="s">
        <v>134</v>
      </c>
      <c r="BF59">
        <v>15.420500000000001</v>
      </c>
      <c r="BG59">
        <v>25.9191</v>
      </c>
      <c r="BH59">
        <v>24.838699999999999</v>
      </c>
      <c r="BI59">
        <v>7.2103000000000002</v>
      </c>
      <c r="BJ59">
        <v>7.0312999999999999</v>
      </c>
      <c r="BK59" t="s">
        <v>134</v>
      </c>
      <c r="BL59" t="s">
        <v>134</v>
      </c>
      <c r="BM59" t="s">
        <v>134</v>
      </c>
      <c r="BN59" t="s">
        <v>134</v>
      </c>
      <c r="BO59" t="s">
        <v>134</v>
      </c>
      <c r="BP59" t="s">
        <v>134</v>
      </c>
      <c r="BQ59" t="s">
        <v>134</v>
      </c>
      <c r="BR59" t="s">
        <v>134</v>
      </c>
      <c r="BS59" t="s">
        <v>134</v>
      </c>
      <c r="BT59" t="s">
        <v>134</v>
      </c>
      <c r="BU59" t="s">
        <v>134</v>
      </c>
      <c r="BV59" t="s">
        <v>134</v>
      </c>
      <c r="BW59" t="s">
        <v>134</v>
      </c>
      <c r="BX59" t="s">
        <v>134</v>
      </c>
      <c r="BY59" t="s">
        <v>134</v>
      </c>
      <c r="BZ59" t="s">
        <v>134</v>
      </c>
      <c r="CA59" t="s">
        <v>134</v>
      </c>
      <c r="CB59" t="s">
        <v>134</v>
      </c>
      <c r="CC59" t="s">
        <v>134</v>
      </c>
      <c r="CD59" t="s">
        <v>134</v>
      </c>
      <c r="CE59" t="s">
        <v>134</v>
      </c>
      <c r="CF59">
        <v>4.8674999999999997</v>
      </c>
      <c r="CG59" t="s">
        <v>134</v>
      </c>
      <c r="CH59" t="s">
        <v>134</v>
      </c>
      <c r="CI59" t="s">
        <v>134</v>
      </c>
      <c r="CJ59" t="s">
        <v>134</v>
      </c>
      <c r="CK59" t="s">
        <v>134</v>
      </c>
      <c r="CL59" t="s">
        <v>134</v>
      </c>
      <c r="CM59" t="s">
        <v>134</v>
      </c>
      <c r="CN59" t="s">
        <v>134</v>
      </c>
      <c r="CO59" t="s">
        <v>134</v>
      </c>
      <c r="CP59">
        <v>8319.1</v>
      </c>
      <c r="CQ59" t="s">
        <v>134</v>
      </c>
      <c r="CR59">
        <v>6560.4</v>
      </c>
      <c r="CS59" t="s">
        <v>134</v>
      </c>
      <c r="CT59" t="s">
        <v>134</v>
      </c>
      <c r="CU59" t="s">
        <v>134</v>
      </c>
      <c r="CV59" t="s">
        <v>134</v>
      </c>
      <c r="CW59" t="s">
        <v>134</v>
      </c>
      <c r="CX59" t="s">
        <v>134</v>
      </c>
      <c r="CY59" t="s">
        <v>134</v>
      </c>
      <c r="CZ59" t="s">
        <v>134</v>
      </c>
      <c r="DA59" t="s">
        <v>134</v>
      </c>
      <c r="DB59" t="s">
        <v>134</v>
      </c>
      <c r="DC59" t="s">
        <v>134</v>
      </c>
      <c r="DD59" t="s">
        <v>134</v>
      </c>
      <c r="DE59" t="s">
        <v>134</v>
      </c>
      <c r="DF59" t="s">
        <v>134</v>
      </c>
      <c r="DG59" t="s">
        <v>134</v>
      </c>
      <c r="DH59" t="s">
        <v>134</v>
      </c>
      <c r="DI59" t="s">
        <v>134</v>
      </c>
    </row>
    <row r="60" spans="1:113" x14ac:dyDescent="0.3">
      <c r="E60" t="s">
        <v>79</v>
      </c>
      <c r="F60">
        <v>23.866399999999999</v>
      </c>
      <c r="G60">
        <v>7.2549999999999999</v>
      </c>
      <c r="H60">
        <v>12.016500000000001</v>
      </c>
      <c r="I60">
        <v>9.2615999999999996</v>
      </c>
      <c r="J60">
        <v>74.311300000000003</v>
      </c>
      <c r="K60">
        <v>58.228999999999999</v>
      </c>
      <c r="L60">
        <v>73.829899999999995</v>
      </c>
      <c r="M60">
        <v>44.6524</v>
      </c>
      <c r="N60">
        <v>39.8855</v>
      </c>
      <c r="O60">
        <v>39.696599999999997</v>
      </c>
      <c r="P60">
        <v>39.696599999999997</v>
      </c>
      <c r="Q60">
        <v>10.6755</v>
      </c>
      <c r="R60" t="s">
        <v>134</v>
      </c>
      <c r="S60" t="s">
        <v>134</v>
      </c>
      <c r="T60">
        <v>38.139499999999998</v>
      </c>
      <c r="U60">
        <v>47.155900000000003</v>
      </c>
      <c r="V60">
        <v>53.861800000000002</v>
      </c>
      <c r="W60">
        <v>67.779300000000006</v>
      </c>
      <c r="X60">
        <v>67.878799999999998</v>
      </c>
      <c r="Y60" t="s">
        <v>134</v>
      </c>
      <c r="Z60">
        <v>43.440300000000001</v>
      </c>
      <c r="AA60">
        <v>52.453899999999997</v>
      </c>
      <c r="AB60" t="s">
        <v>134</v>
      </c>
      <c r="AC60">
        <v>37.795200000000001</v>
      </c>
      <c r="AD60">
        <v>46.880299999999998</v>
      </c>
      <c r="AE60">
        <v>-11.653</v>
      </c>
      <c r="AF60">
        <v>32.849699999999999</v>
      </c>
      <c r="AG60">
        <v>153.1447</v>
      </c>
      <c r="AH60">
        <v>36.5107</v>
      </c>
      <c r="AI60">
        <v>24.037099999999999</v>
      </c>
      <c r="AJ60">
        <v>31.534600000000001</v>
      </c>
      <c r="AK60">
        <v>24.443100000000001</v>
      </c>
      <c r="AL60" t="s">
        <v>134</v>
      </c>
      <c r="AM60" t="s">
        <v>134</v>
      </c>
      <c r="AN60" t="s">
        <v>134</v>
      </c>
      <c r="AO60" t="s">
        <v>134</v>
      </c>
      <c r="AP60" t="s">
        <v>134</v>
      </c>
      <c r="AQ60" t="s">
        <v>134</v>
      </c>
      <c r="AR60" t="s">
        <v>134</v>
      </c>
      <c r="AS60" t="s">
        <v>134</v>
      </c>
      <c r="AT60" t="s">
        <v>134</v>
      </c>
      <c r="AU60" t="s">
        <v>134</v>
      </c>
      <c r="AV60" t="s">
        <v>134</v>
      </c>
      <c r="AW60" t="s">
        <v>134</v>
      </c>
      <c r="AX60" t="s">
        <v>134</v>
      </c>
      <c r="AY60" t="s">
        <v>134</v>
      </c>
      <c r="AZ60" t="s">
        <v>134</v>
      </c>
      <c r="BA60" t="s">
        <v>134</v>
      </c>
      <c r="BB60" t="s">
        <v>134</v>
      </c>
      <c r="BC60" t="s">
        <v>134</v>
      </c>
      <c r="BD60" t="s">
        <v>134</v>
      </c>
      <c r="BE60" t="s">
        <v>134</v>
      </c>
      <c r="BF60">
        <v>17.295200000000001</v>
      </c>
      <c r="BG60">
        <v>29.124700000000001</v>
      </c>
      <c r="BH60">
        <v>28.322600000000001</v>
      </c>
      <c r="BI60">
        <v>0.9718</v>
      </c>
      <c r="BJ60">
        <v>1.0949</v>
      </c>
      <c r="BK60" t="s">
        <v>134</v>
      </c>
      <c r="BL60" t="s">
        <v>134</v>
      </c>
      <c r="BM60" t="s">
        <v>134</v>
      </c>
      <c r="BN60" t="s">
        <v>134</v>
      </c>
      <c r="BO60" t="s">
        <v>134</v>
      </c>
      <c r="BP60" t="s">
        <v>134</v>
      </c>
      <c r="BQ60" t="s">
        <v>134</v>
      </c>
      <c r="BR60" t="s">
        <v>134</v>
      </c>
      <c r="BS60" t="s">
        <v>134</v>
      </c>
      <c r="BT60" t="s">
        <v>134</v>
      </c>
      <c r="BU60" t="s">
        <v>134</v>
      </c>
      <c r="BV60" t="s">
        <v>134</v>
      </c>
      <c r="BW60" t="s">
        <v>134</v>
      </c>
      <c r="BX60" t="s">
        <v>134</v>
      </c>
      <c r="BY60">
        <v>166054.70000000001</v>
      </c>
      <c r="BZ60">
        <v>13439.2</v>
      </c>
      <c r="CA60">
        <v>152615.5</v>
      </c>
      <c r="CB60">
        <v>5.1334</v>
      </c>
      <c r="CC60">
        <v>3.9672999999999998</v>
      </c>
      <c r="CD60">
        <v>6.6211000000000002</v>
      </c>
      <c r="CE60">
        <v>5.117</v>
      </c>
      <c r="CF60">
        <v>2.8026999999999997</v>
      </c>
      <c r="CG60">
        <v>29.085999999999999</v>
      </c>
      <c r="CH60">
        <v>152.4015</v>
      </c>
      <c r="CI60">
        <v>57.3322</v>
      </c>
      <c r="CJ60">
        <v>45.0261</v>
      </c>
      <c r="CK60">
        <v>165.8219</v>
      </c>
      <c r="CL60">
        <v>62.380800000000001</v>
      </c>
      <c r="CM60">
        <v>48.991100000000003</v>
      </c>
      <c r="CN60">
        <v>128.15309999999999</v>
      </c>
      <c r="CO60">
        <v>56.169800000000002</v>
      </c>
      <c r="CP60">
        <v>10736.2</v>
      </c>
      <c r="CQ60" t="s">
        <v>134</v>
      </c>
      <c r="CR60">
        <v>8412.7000000000007</v>
      </c>
      <c r="CS60">
        <v>0.55740000000000001</v>
      </c>
      <c r="CT60">
        <v>1.4100999999999999</v>
      </c>
      <c r="CU60">
        <v>0.78200000000000003</v>
      </c>
      <c r="CV60">
        <v>2.3380000000000001</v>
      </c>
      <c r="CW60">
        <v>3.7143999999999999</v>
      </c>
      <c r="CX60">
        <v>98.266199999999998</v>
      </c>
      <c r="CY60" t="s">
        <v>134</v>
      </c>
      <c r="CZ60" t="s">
        <v>134</v>
      </c>
      <c r="DA60" t="s">
        <v>134</v>
      </c>
      <c r="DB60" t="s">
        <v>134</v>
      </c>
      <c r="DC60" t="s">
        <v>134</v>
      </c>
      <c r="DD60" t="s">
        <v>134</v>
      </c>
      <c r="DE60">
        <v>1742.7</v>
      </c>
      <c r="DF60" t="s">
        <v>134</v>
      </c>
      <c r="DG60" t="s">
        <v>134</v>
      </c>
      <c r="DH60" t="s">
        <v>134</v>
      </c>
      <c r="DI60" t="s">
        <v>134</v>
      </c>
    </row>
    <row r="61" spans="1:113" x14ac:dyDescent="0.3">
      <c r="E61" t="s">
        <v>80</v>
      </c>
      <c r="F61" t="s">
        <v>134</v>
      </c>
      <c r="G61" t="s">
        <v>134</v>
      </c>
      <c r="H61" t="s">
        <v>134</v>
      </c>
      <c r="I61" t="s">
        <v>134</v>
      </c>
      <c r="J61">
        <v>62.606299999999997</v>
      </c>
      <c r="K61">
        <v>45.930100000000003</v>
      </c>
      <c r="L61">
        <v>43.793500000000002</v>
      </c>
      <c r="M61">
        <v>33.455500000000001</v>
      </c>
      <c r="N61">
        <v>33.381799999999998</v>
      </c>
      <c r="O61">
        <v>33.389000000000003</v>
      </c>
      <c r="P61">
        <v>33.389000000000003</v>
      </c>
      <c r="Q61">
        <v>0.22020000000000001</v>
      </c>
      <c r="R61" t="s">
        <v>134</v>
      </c>
      <c r="S61" t="s">
        <v>134</v>
      </c>
      <c r="T61">
        <v>48.319200000000002</v>
      </c>
      <c r="U61">
        <v>43.5139</v>
      </c>
      <c r="V61">
        <v>45.058799999999998</v>
      </c>
      <c r="W61">
        <v>13.666700000000001</v>
      </c>
      <c r="X61">
        <v>13.3028</v>
      </c>
      <c r="Y61" t="s">
        <v>134</v>
      </c>
      <c r="Z61" t="s">
        <v>134</v>
      </c>
      <c r="AA61" t="s">
        <v>134</v>
      </c>
      <c r="AB61" t="s">
        <v>134</v>
      </c>
      <c r="AC61" t="s">
        <v>134</v>
      </c>
      <c r="AD61" t="s">
        <v>134</v>
      </c>
      <c r="AE61" t="s">
        <v>134</v>
      </c>
      <c r="AF61" t="s">
        <v>134</v>
      </c>
      <c r="AG61" t="s">
        <v>134</v>
      </c>
      <c r="AH61" t="s">
        <v>134</v>
      </c>
      <c r="AI61" t="s">
        <v>134</v>
      </c>
      <c r="AJ61" t="s">
        <v>134</v>
      </c>
      <c r="AK61" t="s">
        <v>134</v>
      </c>
      <c r="AL61" t="s">
        <v>134</v>
      </c>
      <c r="AM61" t="s">
        <v>134</v>
      </c>
      <c r="AN61" t="s">
        <v>134</v>
      </c>
      <c r="AO61" t="s">
        <v>134</v>
      </c>
      <c r="AP61" t="s">
        <v>134</v>
      </c>
      <c r="AQ61" t="s">
        <v>134</v>
      </c>
      <c r="AR61" t="s">
        <v>134</v>
      </c>
      <c r="AS61" t="s">
        <v>134</v>
      </c>
      <c r="AT61" t="s">
        <v>134</v>
      </c>
      <c r="AU61" t="s">
        <v>134</v>
      </c>
      <c r="AV61" t="s">
        <v>134</v>
      </c>
      <c r="AW61" t="s">
        <v>134</v>
      </c>
      <c r="AX61" t="s">
        <v>134</v>
      </c>
      <c r="AY61" t="s">
        <v>134</v>
      </c>
      <c r="AZ61" t="s">
        <v>134</v>
      </c>
      <c r="BA61" t="s">
        <v>134</v>
      </c>
      <c r="BB61" t="s">
        <v>134</v>
      </c>
      <c r="BC61" t="s">
        <v>134</v>
      </c>
      <c r="BD61" t="s">
        <v>134</v>
      </c>
      <c r="BE61" t="s">
        <v>134</v>
      </c>
      <c r="BF61">
        <v>7.2668999999999997</v>
      </c>
      <c r="BG61">
        <v>-10.528600000000001</v>
      </c>
      <c r="BH61">
        <v>-16.222300000000001</v>
      </c>
      <c r="BI61">
        <v>-10.7128</v>
      </c>
      <c r="BJ61">
        <v>-10.830299999999999</v>
      </c>
      <c r="BK61" t="s">
        <v>134</v>
      </c>
      <c r="BL61" t="s">
        <v>134</v>
      </c>
      <c r="BM61" t="s">
        <v>134</v>
      </c>
      <c r="BN61" t="s">
        <v>134</v>
      </c>
      <c r="BO61" t="s">
        <v>134</v>
      </c>
      <c r="BP61" t="s">
        <v>134</v>
      </c>
      <c r="BQ61" t="s">
        <v>134</v>
      </c>
      <c r="BR61" t="s">
        <v>134</v>
      </c>
      <c r="BS61" t="s">
        <v>134</v>
      </c>
      <c r="BT61" t="s">
        <v>134</v>
      </c>
      <c r="BU61" t="s">
        <v>134</v>
      </c>
      <c r="BV61" t="s">
        <v>134</v>
      </c>
      <c r="BW61" t="s">
        <v>134</v>
      </c>
      <c r="BX61" t="s">
        <v>134</v>
      </c>
      <c r="BY61" t="s">
        <v>134</v>
      </c>
      <c r="BZ61" t="s">
        <v>134</v>
      </c>
      <c r="CA61" t="s">
        <v>134</v>
      </c>
      <c r="CB61" t="s">
        <v>134</v>
      </c>
      <c r="CC61" t="s">
        <v>134</v>
      </c>
      <c r="CD61" t="s">
        <v>134</v>
      </c>
      <c r="CE61" t="s">
        <v>134</v>
      </c>
      <c r="CF61">
        <v>2.9864000000000002</v>
      </c>
      <c r="CG61" t="s">
        <v>134</v>
      </c>
      <c r="CH61" t="s">
        <v>134</v>
      </c>
      <c r="CI61" t="s">
        <v>134</v>
      </c>
      <c r="CJ61" t="s">
        <v>134</v>
      </c>
      <c r="CK61" t="s">
        <v>134</v>
      </c>
      <c r="CL61" t="s">
        <v>134</v>
      </c>
      <c r="CM61" t="s">
        <v>134</v>
      </c>
      <c r="CN61" t="s">
        <v>134</v>
      </c>
      <c r="CO61" t="s">
        <v>134</v>
      </c>
      <c r="CP61">
        <v>9601.7999999999993</v>
      </c>
      <c r="CQ61" t="s">
        <v>134</v>
      </c>
      <c r="CR61">
        <v>7044.2</v>
      </c>
      <c r="CS61" t="s">
        <v>134</v>
      </c>
      <c r="CT61" t="s">
        <v>134</v>
      </c>
      <c r="CU61" t="s">
        <v>134</v>
      </c>
      <c r="CV61" t="s">
        <v>134</v>
      </c>
      <c r="CW61" t="s">
        <v>134</v>
      </c>
      <c r="CX61" t="s">
        <v>134</v>
      </c>
      <c r="CY61" t="s">
        <v>134</v>
      </c>
      <c r="CZ61" t="s">
        <v>134</v>
      </c>
      <c r="DA61" t="s">
        <v>134</v>
      </c>
      <c r="DB61" t="s">
        <v>134</v>
      </c>
      <c r="DC61" t="s">
        <v>134</v>
      </c>
      <c r="DD61" t="s">
        <v>134</v>
      </c>
      <c r="DE61" t="s">
        <v>134</v>
      </c>
      <c r="DF61" t="s">
        <v>134</v>
      </c>
      <c r="DG61" t="s">
        <v>134</v>
      </c>
      <c r="DH61" t="s">
        <v>134</v>
      </c>
      <c r="DI61" t="s">
        <v>134</v>
      </c>
    </row>
    <row r="62" spans="1:113" x14ac:dyDescent="0.3">
      <c r="E62" t="s">
        <v>81</v>
      </c>
      <c r="F62">
        <v>23.6998</v>
      </c>
      <c r="G62">
        <v>8.1548999999999996</v>
      </c>
      <c r="H62">
        <v>13.0603</v>
      </c>
      <c r="I62">
        <v>11.315799999999999</v>
      </c>
      <c r="J62">
        <v>66.5488</v>
      </c>
      <c r="K62">
        <v>51.700899999999997</v>
      </c>
      <c r="L62">
        <v>57.222700000000003</v>
      </c>
      <c r="M62">
        <v>41.922400000000003</v>
      </c>
      <c r="N62">
        <v>39.5169</v>
      </c>
      <c r="O62">
        <v>39.606200000000001</v>
      </c>
      <c r="P62">
        <v>39.606200000000001</v>
      </c>
      <c r="Q62">
        <v>5.7379999999999995</v>
      </c>
      <c r="R62" t="s">
        <v>134</v>
      </c>
      <c r="S62" t="s">
        <v>134</v>
      </c>
      <c r="T62">
        <v>54.561999999999998</v>
      </c>
      <c r="U62">
        <v>68.041499999999999</v>
      </c>
      <c r="V62">
        <v>64.126300000000001</v>
      </c>
      <c r="W62">
        <v>24.713100000000001</v>
      </c>
      <c r="X62">
        <v>24.609400000000001</v>
      </c>
      <c r="Y62" t="s">
        <v>134</v>
      </c>
      <c r="Z62">
        <v>39.480800000000002</v>
      </c>
      <c r="AA62">
        <v>52.968600000000002</v>
      </c>
      <c r="AB62">
        <v>26.930599999999998</v>
      </c>
      <c r="AC62">
        <v>30.0076</v>
      </c>
      <c r="AD62">
        <v>46.944400000000002</v>
      </c>
      <c r="AE62">
        <v>-50.610500000000002</v>
      </c>
      <c r="AF62">
        <v>24.643799999999999</v>
      </c>
      <c r="AG62">
        <v>135.87389999999999</v>
      </c>
      <c r="AH62">
        <v>37.090400000000002</v>
      </c>
      <c r="AI62">
        <v>22.6114</v>
      </c>
      <c r="AJ62">
        <v>31.183900000000001</v>
      </c>
      <c r="AK62">
        <v>22.814599999999999</v>
      </c>
      <c r="AL62" t="s">
        <v>134</v>
      </c>
      <c r="AM62" t="s">
        <v>134</v>
      </c>
      <c r="AN62" t="s">
        <v>134</v>
      </c>
      <c r="AO62" t="s">
        <v>134</v>
      </c>
      <c r="AP62" t="s">
        <v>134</v>
      </c>
      <c r="AQ62" t="s">
        <v>134</v>
      </c>
      <c r="AR62" t="s">
        <v>134</v>
      </c>
      <c r="AS62" t="s">
        <v>134</v>
      </c>
      <c r="AT62" t="s">
        <v>134</v>
      </c>
      <c r="AU62" t="s">
        <v>134</v>
      </c>
      <c r="AV62" t="s">
        <v>134</v>
      </c>
      <c r="AW62" t="s">
        <v>134</v>
      </c>
      <c r="AX62" t="s">
        <v>134</v>
      </c>
      <c r="AY62" t="s">
        <v>134</v>
      </c>
      <c r="AZ62" t="s">
        <v>134</v>
      </c>
      <c r="BA62" t="s">
        <v>134</v>
      </c>
      <c r="BB62" t="s">
        <v>134</v>
      </c>
      <c r="BC62" t="s">
        <v>134</v>
      </c>
      <c r="BD62" t="s">
        <v>134</v>
      </c>
      <c r="BE62" t="s">
        <v>134</v>
      </c>
      <c r="BF62">
        <v>9.8240999999999996</v>
      </c>
      <c r="BG62">
        <v>15.6784</v>
      </c>
      <c r="BH62">
        <v>22.519400000000001</v>
      </c>
      <c r="BI62">
        <v>29.028700000000001</v>
      </c>
      <c r="BJ62">
        <v>29.149799999999999</v>
      </c>
      <c r="BK62" t="s">
        <v>134</v>
      </c>
      <c r="BL62" t="s">
        <v>134</v>
      </c>
      <c r="BM62" t="s">
        <v>134</v>
      </c>
      <c r="BN62" t="s">
        <v>134</v>
      </c>
      <c r="BO62" t="s">
        <v>134</v>
      </c>
      <c r="BP62" t="s">
        <v>134</v>
      </c>
      <c r="BQ62" t="s">
        <v>134</v>
      </c>
      <c r="BR62" t="s">
        <v>134</v>
      </c>
      <c r="BS62" t="s">
        <v>134</v>
      </c>
      <c r="BT62" t="s">
        <v>134</v>
      </c>
      <c r="BU62" t="s">
        <v>134</v>
      </c>
      <c r="BV62" t="s">
        <v>134</v>
      </c>
      <c r="BW62" t="s">
        <v>134</v>
      </c>
      <c r="BX62" t="s">
        <v>134</v>
      </c>
      <c r="BY62">
        <v>177312.5</v>
      </c>
      <c r="BZ62">
        <v>38814.699999999997</v>
      </c>
      <c r="CA62">
        <v>138497.79999999999</v>
      </c>
      <c r="CB62">
        <v>4.4611999999999998</v>
      </c>
      <c r="CC62">
        <v>4.2697000000000003</v>
      </c>
      <c r="CD62">
        <v>5.7891000000000004</v>
      </c>
      <c r="CE62">
        <v>5.5407000000000002</v>
      </c>
      <c r="CF62">
        <v>6.4240000000000004</v>
      </c>
      <c r="CG62">
        <v>33.554600000000001</v>
      </c>
      <c r="CH62">
        <v>126.75</v>
      </c>
      <c r="CI62">
        <v>48.327599999999997</v>
      </c>
      <c r="CJ62">
        <v>43.169699999999999</v>
      </c>
      <c r="CK62">
        <v>162.2723</v>
      </c>
      <c r="CL62">
        <v>61.871699999999997</v>
      </c>
      <c r="CM62">
        <v>55.2682</v>
      </c>
      <c r="CN62">
        <v>155.30879999999999</v>
      </c>
      <c r="CO62">
        <v>60.831699999999998</v>
      </c>
      <c r="CP62">
        <v>11102</v>
      </c>
      <c r="CQ62" t="s">
        <v>134</v>
      </c>
      <c r="CR62">
        <v>8625</v>
      </c>
      <c r="CS62">
        <v>0.14000000000000001</v>
      </c>
      <c r="CT62">
        <v>1.2495000000000001</v>
      </c>
      <c r="CU62">
        <v>0.37690000000000001</v>
      </c>
      <c r="CV62">
        <v>2.6879999999999997</v>
      </c>
      <c r="CW62">
        <v>5.2904999999999998</v>
      </c>
      <c r="CX62">
        <v>68.991</v>
      </c>
      <c r="CY62" t="s">
        <v>134</v>
      </c>
      <c r="CZ62" t="s">
        <v>134</v>
      </c>
      <c r="DA62" t="s">
        <v>134</v>
      </c>
      <c r="DB62" t="s">
        <v>134</v>
      </c>
      <c r="DC62" t="s">
        <v>134</v>
      </c>
      <c r="DD62" t="s">
        <v>134</v>
      </c>
      <c r="DE62">
        <v>2591.9</v>
      </c>
      <c r="DF62" t="s">
        <v>134</v>
      </c>
      <c r="DG62" t="s">
        <v>134</v>
      </c>
      <c r="DH62" t="s">
        <v>134</v>
      </c>
      <c r="DI62" t="s">
        <v>134</v>
      </c>
    </row>
    <row r="63" spans="1:113" x14ac:dyDescent="0.3">
      <c r="D63" t="s">
        <v>83</v>
      </c>
      <c r="E63" t="s">
        <v>77</v>
      </c>
      <c r="F63">
        <v>23.9087</v>
      </c>
      <c r="G63">
        <v>8.0266000000000002</v>
      </c>
      <c r="H63">
        <v>11.457699999999999</v>
      </c>
      <c r="I63">
        <v>10.141299999999999</v>
      </c>
      <c r="J63">
        <v>68.239699999999999</v>
      </c>
      <c r="K63">
        <v>52.75</v>
      </c>
      <c r="L63">
        <v>57.037300000000002</v>
      </c>
      <c r="M63">
        <v>45.300199999999997</v>
      </c>
      <c r="N63">
        <v>40.541800000000002</v>
      </c>
      <c r="O63">
        <v>41.145899999999997</v>
      </c>
      <c r="P63">
        <v>41.145899999999997</v>
      </c>
      <c r="Q63">
        <v>10.3559</v>
      </c>
      <c r="R63">
        <v>7.9446000000000003</v>
      </c>
      <c r="S63">
        <v>22.0093</v>
      </c>
      <c r="T63">
        <v>18.2392</v>
      </c>
      <c r="U63">
        <v>19.647500000000001</v>
      </c>
      <c r="V63">
        <v>20.0184</v>
      </c>
      <c r="W63">
        <v>23.895900000000001</v>
      </c>
      <c r="X63">
        <v>23.881900000000002</v>
      </c>
      <c r="Y63">
        <v>0</v>
      </c>
      <c r="Z63">
        <v>50.934600000000003</v>
      </c>
      <c r="AA63">
        <v>-17.535399999999999</v>
      </c>
      <c r="AB63">
        <v>8.6079000000000008</v>
      </c>
      <c r="AC63">
        <v>22.698799999999999</v>
      </c>
      <c r="AD63">
        <v>47.945300000000003</v>
      </c>
      <c r="AE63" t="s">
        <v>134</v>
      </c>
      <c r="AF63">
        <v>11.7293</v>
      </c>
      <c r="AG63">
        <v>68.164599999999993</v>
      </c>
      <c r="AH63">
        <v>28.771599999999999</v>
      </c>
      <c r="AI63">
        <v>22.327200000000001</v>
      </c>
      <c r="AJ63">
        <v>26.314499999999999</v>
      </c>
      <c r="AK63">
        <v>22.758900000000001</v>
      </c>
      <c r="AL63">
        <v>-26.874700000000001</v>
      </c>
      <c r="AM63">
        <v>29.180700000000002</v>
      </c>
      <c r="AN63">
        <v>29.625299999999999</v>
      </c>
      <c r="AO63">
        <v>28.221699999999998</v>
      </c>
      <c r="AP63">
        <v>25.578099999999999</v>
      </c>
      <c r="AQ63">
        <v>24.771899999999999</v>
      </c>
      <c r="AR63">
        <v>4.0949999999999998</v>
      </c>
      <c r="AS63">
        <v>47.198399999999999</v>
      </c>
      <c r="AT63">
        <v>38.241100000000003</v>
      </c>
      <c r="AU63">
        <v>21.0992</v>
      </c>
      <c r="AV63">
        <v>32.823799999999999</v>
      </c>
      <c r="AW63">
        <v>55.624200000000002</v>
      </c>
      <c r="AX63" t="s">
        <v>134</v>
      </c>
      <c r="AY63">
        <v>25.200199999999999</v>
      </c>
      <c r="AZ63">
        <v>28.326499999999999</v>
      </c>
      <c r="BA63">
        <v>44.7547</v>
      </c>
      <c r="BB63">
        <v>25.528099999999998</v>
      </c>
      <c r="BC63">
        <v>35.651000000000003</v>
      </c>
      <c r="BD63">
        <v>25.0228</v>
      </c>
      <c r="BE63">
        <v>11.849600000000001</v>
      </c>
      <c r="BF63">
        <v>18.2392</v>
      </c>
      <c r="BG63">
        <v>19.647500000000001</v>
      </c>
      <c r="BH63">
        <v>20.0184</v>
      </c>
      <c r="BI63">
        <v>23.895900000000001</v>
      </c>
      <c r="BJ63">
        <v>23.881900000000002</v>
      </c>
      <c r="BK63">
        <v>0</v>
      </c>
      <c r="BL63">
        <v>50.934600000000003</v>
      </c>
      <c r="BM63">
        <v>-17.535399999999999</v>
      </c>
      <c r="BN63">
        <v>8.6079000000000008</v>
      </c>
      <c r="BO63">
        <v>22.698799999999999</v>
      </c>
      <c r="BP63">
        <v>47.945300000000003</v>
      </c>
      <c r="BQ63">
        <v>-197.2209</v>
      </c>
      <c r="BR63">
        <v>11.7293</v>
      </c>
      <c r="BS63">
        <v>68.164599999999993</v>
      </c>
      <c r="BT63">
        <v>28.771599999999999</v>
      </c>
      <c r="BU63">
        <v>22.327200000000001</v>
      </c>
      <c r="BV63">
        <v>26.314499999999999</v>
      </c>
      <c r="BW63">
        <v>22.758900000000001</v>
      </c>
      <c r="BX63">
        <v>-26.874700000000001</v>
      </c>
      <c r="BY63">
        <v>228328.2</v>
      </c>
      <c r="BZ63">
        <v>65272.6</v>
      </c>
      <c r="CA63">
        <v>163055.6</v>
      </c>
      <c r="CB63">
        <v>4.8014000000000001</v>
      </c>
      <c r="CC63">
        <v>4.5128000000000004</v>
      </c>
      <c r="CD63">
        <v>6.2112999999999996</v>
      </c>
      <c r="CE63">
        <v>5.8380000000000001</v>
      </c>
      <c r="CF63">
        <v>4.7881</v>
      </c>
      <c r="CG63">
        <v>33.585700000000003</v>
      </c>
      <c r="CH63">
        <v>121.98820000000001</v>
      </c>
      <c r="CI63">
        <v>45.043799999999997</v>
      </c>
      <c r="CJ63">
        <v>41.421999999999997</v>
      </c>
      <c r="CK63">
        <v>170.8211</v>
      </c>
      <c r="CL63">
        <v>63.075299999999999</v>
      </c>
      <c r="CM63">
        <v>58.003599999999999</v>
      </c>
      <c r="CN63">
        <v>160.5548</v>
      </c>
      <c r="CO63">
        <v>61.620399999999997</v>
      </c>
      <c r="CP63">
        <v>47554.6</v>
      </c>
      <c r="CQ63">
        <v>22286.5</v>
      </c>
      <c r="CR63">
        <v>36760.199999999997</v>
      </c>
      <c r="CS63">
        <v>0.17269999999999999</v>
      </c>
      <c r="CT63">
        <v>0.83830000000000005</v>
      </c>
      <c r="CU63">
        <v>0.4173</v>
      </c>
      <c r="CV63">
        <v>2.0926</v>
      </c>
      <c r="CW63">
        <v>4.3131000000000004</v>
      </c>
      <c r="CX63">
        <v>84.8583</v>
      </c>
      <c r="CY63" t="s">
        <v>134</v>
      </c>
      <c r="CZ63" t="s">
        <v>134</v>
      </c>
      <c r="DA63" t="s">
        <v>134</v>
      </c>
      <c r="DB63" t="s">
        <v>134</v>
      </c>
      <c r="DC63" t="s">
        <v>134</v>
      </c>
      <c r="DD63" t="s">
        <v>134</v>
      </c>
      <c r="DE63">
        <v>2137.4</v>
      </c>
      <c r="DF63" t="s">
        <v>134</v>
      </c>
      <c r="DG63" t="s">
        <v>134</v>
      </c>
      <c r="DH63" t="s">
        <v>134</v>
      </c>
      <c r="DI63" t="s">
        <v>134</v>
      </c>
    </row>
    <row r="64" spans="1:113" x14ac:dyDescent="0.3">
      <c r="E64" t="s">
        <v>78</v>
      </c>
      <c r="F64" t="s">
        <v>134</v>
      </c>
      <c r="G64" t="s">
        <v>134</v>
      </c>
      <c r="H64" t="s">
        <v>134</v>
      </c>
      <c r="I64" t="s">
        <v>134</v>
      </c>
      <c r="J64">
        <v>67.569199999999995</v>
      </c>
      <c r="K64">
        <v>52.447400000000002</v>
      </c>
      <c r="L64">
        <v>50.498399999999997</v>
      </c>
      <c r="M64">
        <v>40.626800000000003</v>
      </c>
      <c r="N64">
        <v>36.6663</v>
      </c>
      <c r="O64">
        <v>37.189799999999998</v>
      </c>
      <c r="P64">
        <v>37.189799999999998</v>
      </c>
      <c r="Q64">
        <v>9.7628000000000004</v>
      </c>
      <c r="R64" t="s">
        <v>134</v>
      </c>
      <c r="S64" t="s">
        <v>134</v>
      </c>
      <c r="T64">
        <v>39.906500000000001</v>
      </c>
      <c r="U64">
        <v>40.0428</v>
      </c>
      <c r="V64">
        <v>37.862099999999998</v>
      </c>
      <c r="W64">
        <v>12.831</v>
      </c>
      <c r="X64">
        <v>12.7737</v>
      </c>
      <c r="Y64" t="s">
        <v>134</v>
      </c>
      <c r="Z64" t="s">
        <v>134</v>
      </c>
      <c r="AA64" t="s">
        <v>134</v>
      </c>
      <c r="AB64" t="s">
        <v>134</v>
      </c>
      <c r="AC64" t="s">
        <v>134</v>
      </c>
      <c r="AD64" t="s">
        <v>134</v>
      </c>
      <c r="AE64" t="s">
        <v>134</v>
      </c>
      <c r="AF64" t="s">
        <v>134</v>
      </c>
      <c r="AG64" t="s">
        <v>134</v>
      </c>
      <c r="AH64" t="s">
        <v>134</v>
      </c>
      <c r="AI64" t="s">
        <v>134</v>
      </c>
      <c r="AJ64" t="s">
        <v>134</v>
      </c>
      <c r="AK64" t="s">
        <v>134</v>
      </c>
      <c r="AL64" t="s">
        <v>134</v>
      </c>
      <c r="AM64" t="s">
        <v>134</v>
      </c>
      <c r="AN64" t="s">
        <v>134</v>
      </c>
      <c r="AO64" t="s">
        <v>134</v>
      </c>
      <c r="AP64" t="s">
        <v>134</v>
      </c>
      <c r="AQ64" t="s">
        <v>134</v>
      </c>
      <c r="AR64" t="s">
        <v>134</v>
      </c>
      <c r="AS64" t="s">
        <v>134</v>
      </c>
      <c r="AT64" t="s">
        <v>134</v>
      </c>
      <c r="AU64" t="s">
        <v>134</v>
      </c>
      <c r="AV64" t="s">
        <v>134</v>
      </c>
      <c r="AW64" t="s">
        <v>134</v>
      </c>
      <c r="AX64" t="s">
        <v>134</v>
      </c>
      <c r="AY64" t="s">
        <v>134</v>
      </c>
      <c r="AZ64" t="s">
        <v>134</v>
      </c>
      <c r="BA64" t="s">
        <v>134</v>
      </c>
      <c r="BB64" t="s">
        <v>134</v>
      </c>
      <c r="BC64" t="s">
        <v>134</v>
      </c>
      <c r="BD64" t="s">
        <v>134</v>
      </c>
      <c r="BE64" t="s">
        <v>134</v>
      </c>
      <c r="BF64">
        <v>3.2980999999999998</v>
      </c>
      <c r="BG64">
        <v>4.8819999999999997</v>
      </c>
      <c r="BH64">
        <v>4.7896000000000001</v>
      </c>
      <c r="BI64">
        <v>-3.0043000000000002</v>
      </c>
      <c r="BJ64">
        <v>-3.1347999999999998</v>
      </c>
      <c r="BK64" t="s">
        <v>134</v>
      </c>
      <c r="BL64" t="s">
        <v>134</v>
      </c>
      <c r="BM64" t="s">
        <v>134</v>
      </c>
      <c r="BN64" t="s">
        <v>134</v>
      </c>
      <c r="BO64" t="s">
        <v>134</v>
      </c>
      <c r="BP64" t="s">
        <v>134</v>
      </c>
      <c r="BQ64" t="s">
        <v>134</v>
      </c>
      <c r="BR64" t="s">
        <v>134</v>
      </c>
      <c r="BS64" t="s">
        <v>134</v>
      </c>
      <c r="BT64" t="s">
        <v>134</v>
      </c>
      <c r="BU64" t="s">
        <v>134</v>
      </c>
      <c r="BV64" t="s">
        <v>134</v>
      </c>
      <c r="BW64" t="s">
        <v>134</v>
      </c>
      <c r="BX64" t="s">
        <v>134</v>
      </c>
      <c r="BY64" t="s">
        <v>134</v>
      </c>
      <c r="BZ64" t="s">
        <v>134</v>
      </c>
      <c r="CA64" t="s">
        <v>134</v>
      </c>
      <c r="CB64" t="s">
        <v>134</v>
      </c>
      <c r="CC64" t="s">
        <v>134</v>
      </c>
      <c r="CD64" t="s">
        <v>134</v>
      </c>
      <c r="CE64" t="s">
        <v>134</v>
      </c>
      <c r="CF64">
        <v>3.4954999999999998</v>
      </c>
      <c r="CG64" t="s">
        <v>134</v>
      </c>
      <c r="CH64" t="s">
        <v>134</v>
      </c>
      <c r="CI64" t="s">
        <v>134</v>
      </c>
      <c r="CJ64" t="s">
        <v>134</v>
      </c>
      <c r="CK64" t="s">
        <v>134</v>
      </c>
      <c r="CL64" t="s">
        <v>134</v>
      </c>
      <c r="CM64" t="s">
        <v>134</v>
      </c>
      <c r="CN64" t="s">
        <v>134</v>
      </c>
      <c r="CO64" t="s">
        <v>134</v>
      </c>
      <c r="CP64">
        <v>11644</v>
      </c>
      <c r="CQ64" t="s">
        <v>134</v>
      </c>
      <c r="CR64">
        <v>9038.1</v>
      </c>
      <c r="CS64" t="s">
        <v>134</v>
      </c>
      <c r="CT64" t="s">
        <v>134</v>
      </c>
      <c r="CU64" t="s">
        <v>134</v>
      </c>
      <c r="CV64" t="s">
        <v>134</v>
      </c>
      <c r="CW64" t="s">
        <v>134</v>
      </c>
      <c r="CX64" t="s">
        <v>134</v>
      </c>
      <c r="CY64" t="s">
        <v>134</v>
      </c>
      <c r="CZ64" t="s">
        <v>134</v>
      </c>
      <c r="DA64" t="s">
        <v>134</v>
      </c>
      <c r="DB64" t="s">
        <v>134</v>
      </c>
      <c r="DC64" t="s">
        <v>134</v>
      </c>
      <c r="DD64" t="s">
        <v>134</v>
      </c>
      <c r="DE64" t="s">
        <v>134</v>
      </c>
      <c r="DF64" t="s">
        <v>134</v>
      </c>
      <c r="DG64" t="s">
        <v>134</v>
      </c>
      <c r="DH64" t="s">
        <v>134</v>
      </c>
      <c r="DI64" t="s">
        <v>134</v>
      </c>
    </row>
    <row r="65" spans="1:113" x14ac:dyDescent="0.3">
      <c r="E65" t="s">
        <v>79</v>
      </c>
      <c r="F65">
        <v>22.730399999999999</v>
      </c>
      <c r="G65">
        <v>6.9672999999999998</v>
      </c>
      <c r="H65">
        <v>13.1881</v>
      </c>
      <c r="I65">
        <v>11.199199999999999</v>
      </c>
      <c r="J65">
        <v>69.0989</v>
      </c>
      <c r="K65">
        <v>53.954099999999997</v>
      </c>
      <c r="L65">
        <v>36.165799999999997</v>
      </c>
      <c r="M65">
        <v>38.967500000000001</v>
      </c>
      <c r="N65">
        <v>35.788800000000002</v>
      </c>
      <c r="O65">
        <v>36.675600000000003</v>
      </c>
      <c r="P65">
        <v>36.675600000000003</v>
      </c>
      <c r="Q65">
        <v>8.1489999999999991</v>
      </c>
      <c r="R65" t="s">
        <v>134</v>
      </c>
      <c r="S65" t="s">
        <v>134</v>
      </c>
      <c r="T65">
        <v>27.285299999999999</v>
      </c>
      <c r="U65">
        <v>17.178999999999998</v>
      </c>
      <c r="V65">
        <v>16.78</v>
      </c>
      <c r="W65">
        <v>16.3796</v>
      </c>
      <c r="X65">
        <v>16.2455</v>
      </c>
      <c r="Y65" t="s">
        <v>134</v>
      </c>
      <c r="Z65">
        <v>47.087800000000001</v>
      </c>
      <c r="AA65">
        <v>77.173400000000001</v>
      </c>
      <c r="AB65" t="s">
        <v>134</v>
      </c>
      <c r="AC65">
        <v>9.9634999999999998</v>
      </c>
      <c r="AD65">
        <v>53.617400000000004</v>
      </c>
      <c r="AE65" t="s">
        <v>134</v>
      </c>
      <c r="AF65">
        <v>33.186999999999998</v>
      </c>
      <c r="AG65">
        <v>267.82170000000002</v>
      </c>
      <c r="AH65">
        <v>3.4986000000000002</v>
      </c>
      <c r="AI65">
        <v>20.825399999999998</v>
      </c>
      <c r="AJ65">
        <v>10.0168</v>
      </c>
      <c r="AK65">
        <v>21.214099999999998</v>
      </c>
      <c r="AL65" t="s">
        <v>134</v>
      </c>
      <c r="AM65">
        <v>34.884500000000003</v>
      </c>
      <c r="AN65">
        <v>35.93</v>
      </c>
      <c r="AO65">
        <v>34.569299999999998</v>
      </c>
      <c r="AP65">
        <v>25.8216</v>
      </c>
      <c r="AQ65">
        <v>24.884900000000002</v>
      </c>
      <c r="AR65" t="s">
        <v>134</v>
      </c>
      <c r="AS65" t="s">
        <v>134</v>
      </c>
      <c r="AT65" t="s">
        <v>134</v>
      </c>
      <c r="AU65" t="s">
        <v>134</v>
      </c>
      <c r="AV65" t="s">
        <v>134</v>
      </c>
      <c r="AW65" t="s">
        <v>134</v>
      </c>
      <c r="AX65" t="s">
        <v>134</v>
      </c>
      <c r="AY65" t="s">
        <v>134</v>
      </c>
      <c r="AZ65" t="s">
        <v>134</v>
      </c>
      <c r="BA65" t="s">
        <v>134</v>
      </c>
      <c r="BB65" t="s">
        <v>134</v>
      </c>
      <c r="BC65" t="s">
        <v>134</v>
      </c>
      <c r="BD65" t="s">
        <v>134</v>
      </c>
      <c r="BE65" t="s">
        <v>134</v>
      </c>
      <c r="BF65">
        <v>6.4966999999999997</v>
      </c>
      <c r="BG65">
        <v>10.6562</v>
      </c>
      <c r="BH65">
        <v>11.1462</v>
      </c>
      <c r="BI65">
        <v>4.4653</v>
      </c>
      <c r="BJ65">
        <v>4.2070999999999996</v>
      </c>
      <c r="BK65" t="s">
        <v>134</v>
      </c>
      <c r="BL65" t="s">
        <v>134</v>
      </c>
      <c r="BM65" t="s">
        <v>134</v>
      </c>
      <c r="BN65" t="s">
        <v>134</v>
      </c>
      <c r="BO65" t="s">
        <v>134</v>
      </c>
      <c r="BP65" t="s">
        <v>134</v>
      </c>
      <c r="BQ65" t="s">
        <v>134</v>
      </c>
      <c r="BR65" t="s">
        <v>134</v>
      </c>
      <c r="BS65" t="s">
        <v>134</v>
      </c>
      <c r="BT65" t="s">
        <v>134</v>
      </c>
      <c r="BU65" t="s">
        <v>134</v>
      </c>
      <c r="BV65" t="s">
        <v>134</v>
      </c>
      <c r="BW65" t="s">
        <v>134</v>
      </c>
      <c r="BX65" t="s">
        <v>134</v>
      </c>
      <c r="BY65">
        <v>171864.3</v>
      </c>
      <c r="BZ65">
        <v>49432.3</v>
      </c>
      <c r="CA65">
        <v>122432</v>
      </c>
      <c r="CB65">
        <v>3.8500999999999999</v>
      </c>
      <c r="CC65">
        <v>3.1781000000000001</v>
      </c>
      <c r="CD65">
        <v>5.008</v>
      </c>
      <c r="CE65">
        <v>4.1338999999999997</v>
      </c>
      <c r="CF65">
        <v>3.4554</v>
      </c>
      <c r="CG65">
        <v>32.075800000000001</v>
      </c>
      <c r="CH65">
        <v>101.18770000000001</v>
      </c>
      <c r="CI65">
        <v>41.805700000000002</v>
      </c>
      <c r="CJ65">
        <v>32.848199999999999</v>
      </c>
      <c r="CK65">
        <v>142.04249999999999</v>
      </c>
      <c r="CL65">
        <v>58.684899999999999</v>
      </c>
      <c r="CM65">
        <v>46.110799999999998</v>
      </c>
      <c r="CN65">
        <v>117.2508</v>
      </c>
      <c r="CO65">
        <v>53.970199999999998</v>
      </c>
      <c r="CP65">
        <v>12575.3</v>
      </c>
      <c r="CQ65" t="s">
        <v>134</v>
      </c>
      <c r="CR65">
        <v>9819.1</v>
      </c>
      <c r="CS65">
        <v>0.27239999999999998</v>
      </c>
      <c r="CT65">
        <v>0.94040000000000001</v>
      </c>
      <c r="CU65">
        <v>0.47549999999999998</v>
      </c>
      <c r="CV65">
        <v>2.4571999999999998</v>
      </c>
      <c r="CW65">
        <v>3.5771999999999999</v>
      </c>
      <c r="CX65">
        <v>102.0338</v>
      </c>
      <c r="CY65" t="s">
        <v>134</v>
      </c>
      <c r="CZ65" t="s">
        <v>134</v>
      </c>
      <c r="DA65" t="s">
        <v>134</v>
      </c>
      <c r="DB65" t="s">
        <v>134</v>
      </c>
      <c r="DC65" t="s">
        <v>134</v>
      </c>
      <c r="DD65" t="s">
        <v>134</v>
      </c>
      <c r="DE65">
        <v>3087.6</v>
      </c>
      <c r="DF65" t="s">
        <v>134</v>
      </c>
      <c r="DG65" t="s">
        <v>134</v>
      </c>
      <c r="DH65" t="s">
        <v>134</v>
      </c>
      <c r="DI65" t="s">
        <v>134</v>
      </c>
    </row>
    <row r="66" spans="1:113" x14ac:dyDescent="0.3">
      <c r="E66" t="s">
        <v>80</v>
      </c>
      <c r="F66" t="s">
        <v>134</v>
      </c>
      <c r="G66" t="s">
        <v>134</v>
      </c>
      <c r="H66" t="s">
        <v>134</v>
      </c>
      <c r="I66" t="s">
        <v>134</v>
      </c>
      <c r="J66">
        <v>68.920699999999997</v>
      </c>
      <c r="K66">
        <v>50.548200000000001</v>
      </c>
      <c r="L66">
        <v>186.6979</v>
      </c>
      <c r="M66">
        <v>44.899799999999999</v>
      </c>
      <c r="N66">
        <v>40.697899999999997</v>
      </c>
      <c r="O66">
        <v>41.186999999999998</v>
      </c>
      <c r="P66">
        <v>41.186999999999998</v>
      </c>
      <c r="Q66">
        <v>9.2447999999999997</v>
      </c>
      <c r="R66" t="s">
        <v>134</v>
      </c>
      <c r="S66" t="s">
        <v>134</v>
      </c>
      <c r="T66">
        <v>3.0882000000000001</v>
      </c>
      <c r="U66">
        <v>12.4535</v>
      </c>
      <c r="V66">
        <v>12.440899999999999</v>
      </c>
      <c r="W66">
        <v>25.949100000000001</v>
      </c>
      <c r="X66">
        <v>25.910900000000002</v>
      </c>
      <c r="Y66" t="s">
        <v>134</v>
      </c>
      <c r="Z66" t="s">
        <v>134</v>
      </c>
      <c r="AA66" t="s">
        <v>134</v>
      </c>
      <c r="AB66" t="s">
        <v>134</v>
      </c>
      <c r="AC66" t="s">
        <v>134</v>
      </c>
      <c r="AD66" t="s">
        <v>134</v>
      </c>
      <c r="AE66" t="s">
        <v>134</v>
      </c>
      <c r="AF66" t="s">
        <v>134</v>
      </c>
      <c r="AG66" t="s">
        <v>134</v>
      </c>
      <c r="AH66" t="s">
        <v>134</v>
      </c>
      <c r="AI66" t="s">
        <v>134</v>
      </c>
      <c r="AJ66" t="s">
        <v>134</v>
      </c>
      <c r="AK66" t="s">
        <v>134</v>
      </c>
      <c r="AL66" t="s">
        <v>134</v>
      </c>
      <c r="AM66">
        <v>30.053799999999999</v>
      </c>
      <c r="AN66">
        <v>28.465299999999999</v>
      </c>
      <c r="AO66">
        <v>25.392600000000002</v>
      </c>
      <c r="AP66">
        <v>23.0672</v>
      </c>
      <c r="AQ66">
        <v>22.228100000000001</v>
      </c>
      <c r="AR66" t="s">
        <v>134</v>
      </c>
      <c r="AS66" t="s">
        <v>134</v>
      </c>
      <c r="AT66" t="s">
        <v>134</v>
      </c>
      <c r="AU66" t="s">
        <v>134</v>
      </c>
      <c r="AV66" t="s">
        <v>134</v>
      </c>
      <c r="AW66" t="s">
        <v>134</v>
      </c>
      <c r="AX66" t="s">
        <v>134</v>
      </c>
      <c r="AY66" t="s">
        <v>134</v>
      </c>
      <c r="AZ66" t="s">
        <v>134</v>
      </c>
      <c r="BA66" t="s">
        <v>134</v>
      </c>
      <c r="BB66" t="s">
        <v>134</v>
      </c>
      <c r="BC66" t="s">
        <v>134</v>
      </c>
      <c r="BD66" t="s">
        <v>134</v>
      </c>
      <c r="BE66" t="s">
        <v>134</v>
      </c>
      <c r="BF66">
        <v>-13.107699999999999</v>
      </c>
      <c r="BG66">
        <v>-12.259</v>
      </c>
      <c r="BH66">
        <v>-17.6935</v>
      </c>
      <c r="BI66">
        <v>-4.8225999999999996</v>
      </c>
      <c r="BJ66">
        <v>-4.8929999999999998</v>
      </c>
      <c r="BK66" t="s">
        <v>134</v>
      </c>
      <c r="BL66" t="s">
        <v>134</v>
      </c>
      <c r="BM66" t="s">
        <v>134</v>
      </c>
      <c r="BN66" t="s">
        <v>134</v>
      </c>
      <c r="BO66" t="s">
        <v>134</v>
      </c>
      <c r="BP66" t="s">
        <v>134</v>
      </c>
      <c r="BQ66" t="s">
        <v>134</v>
      </c>
      <c r="BR66" t="s">
        <v>134</v>
      </c>
      <c r="BS66" t="s">
        <v>134</v>
      </c>
      <c r="BT66" t="s">
        <v>134</v>
      </c>
      <c r="BU66" t="s">
        <v>134</v>
      </c>
      <c r="BV66" t="s">
        <v>134</v>
      </c>
      <c r="BW66" t="s">
        <v>134</v>
      </c>
      <c r="BX66" t="s">
        <v>134</v>
      </c>
      <c r="BY66" t="s">
        <v>134</v>
      </c>
      <c r="BZ66" t="s">
        <v>134</v>
      </c>
      <c r="CA66" t="s">
        <v>134</v>
      </c>
      <c r="CB66" t="s">
        <v>134</v>
      </c>
      <c r="CC66" t="s">
        <v>134</v>
      </c>
      <c r="CD66" t="s">
        <v>134</v>
      </c>
      <c r="CE66" t="s">
        <v>134</v>
      </c>
      <c r="CF66">
        <v>4.1840000000000002</v>
      </c>
      <c r="CG66" t="s">
        <v>134</v>
      </c>
      <c r="CH66" t="s">
        <v>134</v>
      </c>
      <c r="CI66" t="s">
        <v>134</v>
      </c>
      <c r="CJ66" t="s">
        <v>134</v>
      </c>
      <c r="CK66" t="s">
        <v>134</v>
      </c>
      <c r="CL66" t="s">
        <v>134</v>
      </c>
      <c r="CM66" t="s">
        <v>134</v>
      </c>
      <c r="CN66" t="s">
        <v>134</v>
      </c>
      <c r="CO66" t="s">
        <v>134</v>
      </c>
      <c r="CP66">
        <v>10792.5</v>
      </c>
      <c r="CQ66" t="s">
        <v>134</v>
      </c>
      <c r="CR66">
        <v>7915.5</v>
      </c>
      <c r="CS66" t="s">
        <v>134</v>
      </c>
      <c r="CT66" t="s">
        <v>134</v>
      </c>
      <c r="CU66" t="s">
        <v>134</v>
      </c>
      <c r="CV66" t="s">
        <v>134</v>
      </c>
      <c r="CW66" t="s">
        <v>134</v>
      </c>
      <c r="CX66" t="s">
        <v>134</v>
      </c>
      <c r="CY66" t="s">
        <v>134</v>
      </c>
      <c r="CZ66" t="s">
        <v>134</v>
      </c>
      <c r="DA66" t="s">
        <v>134</v>
      </c>
      <c r="DB66" t="s">
        <v>134</v>
      </c>
      <c r="DC66" t="s">
        <v>134</v>
      </c>
      <c r="DD66" t="s">
        <v>134</v>
      </c>
      <c r="DE66" t="s">
        <v>134</v>
      </c>
      <c r="DF66" t="s">
        <v>134</v>
      </c>
      <c r="DG66" t="s">
        <v>134</v>
      </c>
      <c r="DH66" t="s">
        <v>134</v>
      </c>
      <c r="DI66" t="s">
        <v>134</v>
      </c>
    </row>
    <row r="67" spans="1:113" x14ac:dyDescent="0.3">
      <c r="E67" t="s">
        <v>81</v>
      </c>
      <c r="F67">
        <v>24.230499999999999</v>
      </c>
      <c r="G67">
        <v>8.1346000000000007</v>
      </c>
      <c r="H67">
        <v>11.7455</v>
      </c>
      <c r="I67">
        <v>10.1287</v>
      </c>
      <c r="J67">
        <v>67.446700000000007</v>
      </c>
      <c r="K67">
        <v>53.706099999999999</v>
      </c>
      <c r="L67">
        <v>71.182299999999998</v>
      </c>
      <c r="M67">
        <v>56.165100000000002</v>
      </c>
      <c r="N67">
        <v>48.652999999999999</v>
      </c>
      <c r="O67">
        <v>49.152000000000001</v>
      </c>
      <c r="P67">
        <v>49.152000000000001</v>
      </c>
      <c r="Q67">
        <v>12.9998</v>
      </c>
      <c r="R67" t="s">
        <v>134</v>
      </c>
      <c r="S67" t="s">
        <v>134</v>
      </c>
      <c r="T67">
        <v>11.473700000000001</v>
      </c>
      <c r="U67">
        <v>12.9778</v>
      </c>
      <c r="V67">
        <v>15.7971</v>
      </c>
      <c r="W67">
        <v>38.340899999999998</v>
      </c>
      <c r="X67">
        <v>38.244500000000002</v>
      </c>
      <c r="Y67" t="s">
        <v>134</v>
      </c>
      <c r="Z67">
        <v>50.934600000000003</v>
      </c>
      <c r="AA67">
        <v>-17.535399999999999</v>
      </c>
      <c r="AB67">
        <v>8.6079000000000008</v>
      </c>
      <c r="AC67">
        <v>22.698799999999999</v>
      </c>
      <c r="AD67">
        <v>47.945300000000003</v>
      </c>
      <c r="AE67" t="s">
        <v>134</v>
      </c>
      <c r="AF67">
        <v>11.7293</v>
      </c>
      <c r="AG67">
        <v>68.164599999999993</v>
      </c>
      <c r="AH67">
        <v>28.771599999999999</v>
      </c>
      <c r="AI67">
        <v>22.327200000000001</v>
      </c>
      <c r="AJ67">
        <v>26.314499999999999</v>
      </c>
      <c r="AK67">
        <v>22.758900000000001</v>
      </c>
      <c r="AL67" t="s">
        <v>134</v>
      </c>
      <c r="AM67" t="s">
        <v>134</v>
      </c>
      <c r="AN67" t="s">
        <v>134</v>
      </c>
      <c r="AO67" t="s">
        <v>134</v>
      </c>
      <c r="AP67" t="s">
        <v>134</v>
      </c>
      <c r="AQ67" t="s">
        <v>134</v>
      </c>
      <c r="AR67" t="s">
        <v>134</v>
      </c>
      <c r="AS67" t="s">
        <v>134</v>
      </c>
      <c r="AT67" t="s">
        <v>134</v>
      </c>
      <c r="AU67" t="s">
        <v>134</v>
      </c>
      <c r="AV67" t="s">
        <v>134</v>
      </c>
      <c r="AW67" t="s">
        <v>134</v>
      </c>
      <c r="AX67" t="s">
        <v>134</v>
      </c>
      <c r="AY67" t="s">
        <v>134</v>
      </c>
      <c r="AZ67" t="s">
        <v>134</v>
      </c>
      <c r="BA67" t="s">
        <v>134</v>
      </c>
      <c r="BB67" t="s">
        <v>134</v>
      </c>
      <c r="BC67" t="s">
        <v>134</v>
      </c>
      <c r="BD67" t="s">
        <v>134</v>
      </c>
      <c r="BE67" t="s">
        <v>134</v>
      </c>
      <c r="BF67">
        <v>9.9277999999999995</v>
      </c>
      <c r="BG67">
        <v>17.751799999999999</v>
      </c>
      <c r="BH67">
        <v>27.170999999999999</v>
      </c>
      <c r="BI67">
        <v>35.3521</v>
      </c>
      <c r="BJ67">
        <v>35.2761</v>
      </c>
      <c r="BK67" t="s">
        <v>134</v>
      </c>
      <c r="BL67" t="s">
        <v>134</v>
      </c>
      <c r="BM67" t="s">
        <v>134</v>
      </c>
      <c r="BN67" t="s">
        <v>134</v>
      </c>
      <c r="BO67" t="s">
        <v>134</v>
      </c>
      <c r="BP67" t="s">
        <v>134</v>
      </c>
      <c r="BQ67" t="s">
        <v>134</v>
      </c>
      <c r="BR67" t="s">
        <v>134</v>
      </c>
      <c r="BS67" t="s">
        <v>134</v>
      </c>
      <c r="BT67" t="s">
        <v>134</v>
      </c>
      <c r="BU67" t="s">
        <v>134</v>
      </c>
      <c r="BV67" t="s">
        <v>134</v>
      </c>
      <c r="BW67" t="s">
        <v>134</v>
      </c>
      <c r="BX67" t="s">
        <v>134</v>
      </c>
      <c r="BY67">
        <v>228328.2</v>
      </c>
      <c r="BZ67">
        <v>65272.6</v>
      </c>
      <c r="CA67">
        <v>163055.6</v>
      </c>
      <c r="CB67">
        <v>4.8726000000000003</v>
      </c>
      <c r="CC67">
        <v>4.5797999999999996</v>
      </c>
      <c r="CD67">
        <v>6.2912999999999997</v>
      </c>
      <c r="CE67">
        <v>5.9131999999999998</v>
      </c>
      <c r="CF67">
        <v>9.0047999999999995</v>
      </c>
      <c r="CG67">
        <v>33.585700000000003</v>
      </c>
      <c r="CH67">
        <v>121.98820000000001</v>
      </c>
      <c r="CI67">
        <v>45.043799999999997</v>
      </c>
      <c r="CJ67">
        <v>41.421999999999997</v>
      </c>
      <c r="CK67">
        <v>170.8211</v>
      </c>
      <c r="CL67">
        <v>63.075299999999999</v>
      </c>
      <c r="CM67">
        <v>58.003599999999999</v>
      </c>
      <c r="CN67">
        <v>160.5548</v>
      </c>
      <c r="CO67">
        <v>61.620399999999997</v>
      </c>
      <c r="CP67">
        <v>12542.8</v>
      </c>
      <c r="CQ67" t="s">
        <v>134</v>
      </c>
      <c r="CR67">
        <v>9987.5</v>
      </c>
      <c r="CS67">
        <v>0.17269999999999999</v>
      </c>
      <c r="CT67">
        <v>0.83830000000000005</v>
      </c>
      <c r="CU67">
        <v>0.4173</v>
      </c>
      <c r="CV67">
        <v>2.0926</v>
      </c>
      <c r="CW67">
        <v>4.3710000000000004</v>
      </c>
      <c r="CX67">
        <v>83.733199999999997</v>
      </c>
      <c r="CY67" t="s">
        <v>134</v>
      </c>
      <c r="CZ67" t="s">
        <v>134</v>
      </c>
      <c r="DA67" t="s">
        <v>134</v>
      </c>
      <c r="DB67" t="s">
        <v>134</v>
      </c>
      <c r="DC67" t="s">
        <v>134</v>
      </c>
      <c r="DD67" t="s">
        <v>134</v>
      </c>
      <c r="DE67">
        <v>2137.4</v>
      </c>
      <c r="DF67" t="s">
        <v>134</v>
      </c>
      <c r="DG67" t="s">
        <v>134</v>
      </c>
      <c r="DH67" t="s">
        <v>134</v>
      </c>
      <c r="DI67" t="s">
        <v>134</v>
      </c>
    </row>
    <row r="68" spans="1:113" x14ac:dyDescent="0.3">
      <c r="D68" t="s">
        <v>84</v>
      </c>
      <c r="E68" t="s">
        <v>77</v>
      </c>
      <c r="F68">
        <v>25.482500000000002</v>
      </c>
      <c r="G68">
        <v>9.5181000000000004</v>
      </c>
      <c r="H68">
        <v>14.3973</v>
      </c>
      <c r="I68">
        <v>11.7136</v>
      </c>
      <c r="J68">
        <v>64.16</v>
      </c>
      <c r="K68">
        <v>50.412700000000001</v>
      </c>
      <c r="L68">
        <v>52.087600000000002</v>
      </c>
      <c r="M68">
        <v>49.516500000000001</v>
      </c>
      <c r="N68">
        <v>46.229900000000001</v>
      </c>
      <c r="O68">
        <v>46.348599999999998</v>
      </c>
      <c r="P68">
        <v>46.348599999999998</v>
      </c>
      <c r="Q68">
        <v>6.859</v>
      </c>
      <c r="R68">
        <v>6.8827999999999996</v>
      </c>
      <c r="S68">
        <v>23.7285</v>
      </c>
      <c r="T68">
        <v>18.7194</v>
      </c>
      <c r="U68">
        <v>17.0913</v>
      </c>
      <c r="V68">
        <v>19.462499999999999</v>
      </c>
      <c r="W68">
        <v>35.0122</v>
      </c>
      <c r="X68">
        <v>35.024999999999999</v>
      </c>
      <c r="Y68">
        <v>18.181799999999999</v>
      </c>
      <c r="Z68">
        <v>1.4551000000000001</v>
      </c>
      <c r="AA68">
        <v>210.10900000000001</v>
      </c>
      <c r="AB68">
        <v>14.375400000000001</v>
      </c>
      <c r="AC68">
        <v>12.8972</v>
      </c>
      <c r="AD68">
        <v>21.943300000000001</v>
      </c>
      <c r="AE68" t="s">
        <v>134</v>
      </c>
      <c r="AF68">
        <v>22.423100000000002</v>
      </c>
      <c r="AG68">
        <v>-19.1435</v>
      </c>
      <c r="AH68">
        <v>8.3026999999999997</v>
      </c>
      <c r="AI68">
        <v>29.610700000000001</v>
      </c>
      <c r="AJ68">
        <v>17.215800000000002</v>
      </c>
      <c r="AK68">
        <v>30.139500000000002</v>
      </c>
      <c r="AL68">
        <v>118.0823</v>
      </c>
      <c r="AM68">
        <v>26.205400000000001</v>
      </c>
      <c r="AN68">
        <v>24.736000000000001</v>
      </c>
      <c r="AO68">
        <v>23.561</v>
      </c>
      <c r="AP68">
        <v>28.832999999999998</v>
      </c>
      <c r="AQ68">
        <v>27.9894</v>
      </c>
      <c r="AR68">
        <v>5.3874000000000004</v>
      </c>
      <c r="AS68">
        <v>45.411000000000001</v>
      </c>
      <c r="AT68">
        <v>56.902299999999997</v>
      </c>
      <c r="AU68">
        <v>0.38429999999999997</v>
      </c>
      <c r="AV68">
        <v>10.956799999999999</v>
      </c>
      <c r="AW68" t="s">
        <v>134</v>
      </c>
      <c r="AX68" t="s">
        <v>134</v>
      </c>
      <c r="AY68">
        <v>4.1689999999999996</v>
      </c>
      <c r="AZ68">
        <v>3.6436999999999999</v>
      </c>
      <c r="BA68">
        <v>3.1659000000000002</v>
      </c>
      <c r="BB68">
        <v>28.973300000000002</v>
      </c>
      <c r="BC68">
        <v>11.1477</v>
      </c>
      <c r="BD68">
        <v>28.397400000000001</v>
      </c>
      <c r="BE68">
        <v>39.003599999999999</v>
      </c>
      <c r="BF68">
        <v>18.7194</v>
      </c>
      <c r="BG68">
        <v>17.0913</v>
      </c>
      <c r="BH68">
        <v>19.462499999999999</v>
      </c>
      <c r="BI68">
        <v>35.0122</v>
      </c>
      <c r="BJ68">
        <v>35.024999999999999</v>
      </c>
      <c r="BK68">
        <v>18.181799999999999</v>
      </c>
      <c r="BL68">
        <v>1.4551000000000001</v>
      </c>
      <c r="BM68">
        <v>210.10900000000001</v>
      </c>
      <c r="BN68">
        <v>14.375400000000001</v>
      </c>
      <c r="BO68">
        <v>12.8972</v>
      </c>
      <c r="BP68">
        <v>21.943300000000001</v>
      </c>
      <c r="BQ68" t="s">
        <v>134</v>
      </c>
      <c r="BR68">
        <v>22.423100000000002</v>
      </c>
      <c r="BS68">
        <v>-19.1435</v>
      </c>
      <c r="BT68">
        <v>8.3026999999999997</v>
      </c>
      <c r="BU68">
        <v>29.610700000000001</v>
      </c>
      <c r="BV68">
        <v>17.215800000000002</v>
      </c>
      <c r="BW68">
        <v>30.139500000000002</v>
      </c>
      <c r="BX68">
        <v>118.0823</v>
      </c>
      <c r="BY68">
        <v>205271.3</v>
      </c>
      <c r="BZ68">
        <v>25338.9</v>
      </c>
      <c r="CA68">
        <v>179932.4</v>
      </c>
      <c r="CB68">
        <v>3.7909999999999999</v>
      </c>
      <c r="CC68">
        <v>3.26</v>
      </c>
      <c r="CD68">
        <v>4.8247999999999998</v>
      </c>
      <c r="CE68">
        <v>4.149</v>
      </c>
      <c r="CF68">
        <v>4.2260999999999997</v>
      </c>
      <c r="CG68">
        <v>39.830399999999997</v>
      </c>
      <c r="CH68">
        <v>101.8569</v>
      </c>
      <c r="CI68">
        <v>47.112200000000001</v>
      </c>
      <c r="CJ68">
        <v>41.283000000000001</v>
      </c>
      <c r="CK68">
        <v>116.2008</v>
      </c>
      <c r="CL68">
        <v>53.746699999999997</v>
      </c>
      <c r="CM68">
        <v>47.096699999999998</v>
      </c>
      <c r="CN68">
        <v>99.925200000000004</v>
      </c>
      <c r="CO68">
        <v>49.981299999999997</v>
      </c>
      <c r="CP68">
        <v>54146.9</v>
      </c>
      <c r="CQ68">
        <v>17271.8</v>
      </c>
      <c r="CR68">
        <v>42545</v>
      </c>
      <c r="CS68">
        <v>0.43859999999999999</v>
      </c>
      <c r="CT68">
        <v>1.8163</v>
      </c>
      <c r="CU68">
        <v>0.73819999999999997</v>
      </c>
      <c r="CV68">
        <v>2.7841</v>
      </c>
      <c r="CW68">
        <v>4.3263999999999996</v>
      </c>
      <c r="CX68">
        <v>84.366</v>
      </c>
      <c r="CY68" t="s">
        <v>134</v>
      </c>
      <c r="CZ68" t="s">
        <v>134</v>
      </c>
      <c r="DA68" t="s">
        <v>134</v>
      </c>
      <c r="DB68" t="s">
        <v>134</v>
      </c>
      <c r="DC68" t="s">
        <v>134</v>
      </c>
      <c r="DD68" t="s">
        <v>134</v>
      </c>
      <c r="DE68">
        <v>6570.9</v>
      </c>
      <c r="DF68">
        <v>0</v>
      </c>
      <c r="DG68">
        <v>3890</v>
      </c>
      <c r="DH68">
        <v>0</v>
      </c>
      <c r="DI68">
        <v>2680.9</v>
      </c>
    </row>
    <row r="69" spans="1:113" x14ac:dyDescent="0.3">
      <c r="E69" t="s">
        <v>78</v>
      </c>
      <c r="F69" t="s">
        <v>134</v>
      </c>
      <c r="G69" t="s">
        <v>134</v>
      </c>
      <c r="H69" t="s">
        <v>134</v>
      </c>
      <c r="I69" t="s">
        <v>134</v>
      </c>
      <c r="J69">
        <v>66.9739</v>
      </c>
      <c r="K69">
        <v>51.511400000000002</v>
      </c>
      <c r="L69">
        <v>48.583300000000001</v>
      </c>
      <c r="M69">
        <v>48.356000000000002</v>
      </c>
      <c r="N69">
        <v>45.857199999999999</v>
      </c>
      <c r="O69">
        <v>45.988100000000003</v>
      </c>
      <c r="P69">
        <v>45.988100000000003</v>
      </c>
      <c r="Q69">
        <v>6.9371999999999998</v>
      </c>
      <c r="R69" t="s">
        <v>134</v>
      </c>
      <c r="S69" t="s">
        <v>134</v>
      </c>
      <c r="T69">
        <v>6.3403999999999998</v>
      </c>
      <c r="U69">
        <v>7.0959000000000003</v>
      </c>
      <c r="V69">
        <v>5.9584999999999999</v>
      </c>
      <c r="W69">
        <v>30.798400000000001</v>
      </c>
      <c r="X69">
        <v>30.744299999999999</v>
      </c>
      <c r="Y69" t="s">
        <v>134</v>
      </c>
      <c r="Z69" t="s">
        <v>134</v>
      </c>
      <c r="AA69" t="s">
        <v>134</v>
      </c>
      <c r="AB69" t="s">
        <v>134</v>
      </c>
      <c r="AC69" t="s">
        <v>134</v>
      </c>
      <c r="AD69" t="s">
        <v>134</v>
      </c>
      <c r="AE69" t="s">
        <v>134</v>
      </c>
      <c r="AF69" t="s">
        <v>134</v>
      </c>
      <c r="AG69" t="s">
        <v>134</v>
      </c>
      <c r="AH69" t="s">
        <v>134</v>
      </c>
      <c r="AI69" t="s">
        <v>134</v>
      </c>
      <c r="AJ69" t="s">
        <v>134</v>
      </c>
      <c r="AK69" t="s">
        <v>134</v>
      </c>
      <c r="AL69" t="s">
        <v>134</v>
      </c>
      <c r="AM69">
        <v>25.459700000000002</v>
      </c>
      <c r="AN69">
        <v>26.100999999999999</v>
      </c>
      <c r="AO69">
        <v>24.442299999999999</v>
      </c>
      <c r="AP69">
        <v>26.785299999999999</v>
      </c>
      <c r="AQ69">
        <v>26.042100000000001</v>
      </c>
      <c r="AR69" t="s">
        <v>134</v>
      </c>
      <c r="AS69" t="s">
        <v>134</v>
      </c>
      <c r="AT69" t="s">
        <v>134</v>
      </c>
      <c r="AU69" t="s">
        <v>134</v>
      </c>
      <c r="AV69" t="s">
        <v>134</v>
      </c>
      <c r="AW69" t="s">
        <v>134</v>
      </c>
      <c r="AX69" t="s">
        <v>134</v>
      </c>
      <c r="AY69" t="s">
        <v>134</v>
      </c>
      <c r="AZ69" t="s">
        <v>134</v>
      </c>
      <c r="BA69" t="s">
        <v>134</v>
      </c>
      <c r="BB69" t="s">
        <v>134</v>
      </c>
      <c r="BC69" t="s">
        <v>134</v>
      </c>
      <c r="BD69" t="s">
        <v>134</v>
      </c>
      <c r="BE69" t="s">
        <v>134</v>
      </c>
      <c r="BF69">
        <v>-4.2912999999999997</v>
      </c>
      <c r="BG69">
        <v>0.71660000000000001</v>
      </c>
      <c r="BH69">
        <v>-1.6878</v>
      </c>
      <c r="BI69">
        <v>-8.1738</v>
      </c>
      <c r="BJ69">
        <v>-7.9726999999999997</v>
      </c>
      <c r="BK69" t="s">
        <v>134</v>
      </c>
      <c r="BL69" t="s">
        <v>134</v>
      </c>
      <c r="BM69" t="s">
        <v>134</v>
      </c>
      <c r="BN69" t="s">
        <v>134</v>
      </c>
      <c r="BO69" t="s">
        <v>134</v>
      </c>
      <c r="BP69" t="s">
        <v>134</v>
      </c>
      <c r="BQ69" t="s">
        <v>134</v>
      </c>
      <c r="BR69" t="s">
        <v>134</v>
      </c>
      <c r="BS69" t="s">
        <v>134</v>
      </c>
      <c r="BT69" t="s">
        <v>134</v>
      </c>
      <c r="BU69" t="s">
        <v>134</v>
      </c>
      <c r="BV69" t="s">
        <v>134</v>
      </c>
      <c r="BW69" t="s">
        <v>134</v>
      </c>
      <c r="BX69" t="s">
        <v>134</v>
      </c>
      <c r="BY69" t="s">
        <v>134</v>
      </c>
      <c r="BZ69" t="s">
        <v>134</v>
      </c>
      <c r="CA69" t="s">
        <v>134</v>
      </c>
      <c r="CB69" t="s">
        <v>134</v>
      </c>
      <c r="CC69" t="s">
        <v>134</v>
      </c>
      <c r="CD69" t="s">
        <v>134</v>
      </c>
      <c r="CE69" t="s">
        <v>134</v>
      </c>
      <c r="CF69">
        <v>4.5552000000000001</v>
      </c>
      <c r="CG69" t="s">
        <v>134</v>
      </c>
      <c r="CH69" t="s">
        <v>134</v>
      </c>
      <c r="CI69" t="s">
        <v>134</v>
      </c>
      <c r="CJ69" t="s">
        <v>134</v>
      </c>
      <c r="CK69" t="s">
        <v>134</v>
      </c>
      <c r="CL69" t="s">
        <v>134</v>
      </c>
      <c r="CM69" t="s">
        <v>134</v>
      </c>
      <c r="CN69" t="s">
        <v>134</v>
      </c>
      <c r="CO69" t="s">
        <v>134</v>
      </c>
      <c r="CP69">
        <v>12170.7</v>
      </c>
      <c r="CQ69" t="s">
        <v>134</v>
      </c>
      <c r="CR69">
        <v>9360.7999999999993</v>
      </c>
      <c r="CS69" t="s">
        <v>134</v>
      </c>
      <c r="CT69" t="s">
        <v>134</v>
      </c>
      <c r="CU69" t="s">
        <v>134</v>
      </c>
      <c r="CV69" t="s">
        <v>134</v>
      </c>
      <c r="CW69" t="s">
        <v>134</v>
      </c>
      <c r="CX69" t="s">
        <v>134</v>
      </c>
      <c r="CY69" t="s">
        <v>134</v>
      </c>
      <c r="CZ69" t="s">
        <v>134</v>
      </c>
      <c r="DA69" t="s">
        <v>134</v>
      </c>
      <c r="DB69" t="s">
        <v>134</v>
      </c>
      <c r="DC69" t="s">
        <v>134</v>
      </c>
      <c r="DD69" t="s">
        <v>134</v>
      </c>
      <c r="DE69" t="s">
        <v>134</v>
      </c>
      <c r="DF69" t="s">
        <v>134</v>
      </c>
      <c r="DG69" t="s">
        <v>134</v>
      </c>
      <c r="DH69" t="s">
        <v>134</v>
      </c>
      <c r="DI69" t="s">
        <v>134</v>
      </c>
    </row>
    <row r="70" spans="1:113" x14ac:dyDescent="0.3">
      <c r="E70" t="s">
        <v>79</v>
      </c>
      <c r="F70">
        <v>25.618600000000001</v>
      </c>
      <c r="G70">
        <v>9.0957000000000008</v>
      </c>
      <c r="H70">
        <v>13.844099999999999</v>
      </c>
      <c r="I70">
        <v>11.188800000000001</v>
      </c>
      <c r="J70">
        <v>67.156899999999993</v>
      </c>
      <c r="K70">
        <v>54.183999999999997</v>
      </c>
      <c r="L70">
        <v>58.136600000000001</v>
      </c>
      <c r="M70">
        <v>53.599400000000003</v>
      </c>
      <c r="N70">
        <v>50.367899999999999</v>
      </c>
      <c r="O70">
        <v>50.134399999999999</v>
      </c>
      <c r="P70">
        <v>50.134399999999999</v>
      </c>
      <c r="Q70">
        <v>7.0579999999999998</v>
      </c>
      <c r="R70" t="s">
        <v>134</v>
      </c>
      <c r="S70" t="s">
        <v>134</v>
      </c>
      <c r="T70">
        <v>20.7319</v>
      </c>
      <c r="U70">
        <v>18.7913</v>
      </c>
      <c r="V70">
        <v>22.585799999999999</v>
      </c>
      <c r="W70">
        <v>60.971899999999998</v>
      </c>
      <c r="X70">
        <v>60.856299999999997</v>
      </c>
      <c r="Y70" t="s">
        <v>134</v>
      </c>
      <c r="Z70">
        <v>1.5314000000000001</v>
      </c>
      <c r="AA70">
        <v>99.209699999999998</v>
      </c>
      <c r="AB70" t="s">
        <v>134</v>
      </c>
      <c r="AC70">
        <v>6.5491000000000001</v>
      </c>
      <c r="AD70">
        <v>13.3467</v>
      </c>
      <c r="AE70" t="s">
        <v>134</v>
      </c>
      <c r="AF70">
        <v>13.6137</v>
      </c>
      <c r="AG70">
        <v>-27.556699999999999</v>
      </c>
      <c r="AH70">
        <v>12.0129</v>
      </c>
      <c r="AI70">
        <v>28.164899999999999</v>
      </c>
      <c r="AJ70">
        <v>18.6861</v>
      </c>
      <c r="AK70">
        <v>28.6282</v>
      </c>
      <c r="AL70" t="s">
        <v>134</v>
      </c>
      <c r="AM70">
        <v>20.515499999999999</v>
      </c>
      <c r="AN70">
        <v>22.228999999999999</v>
      </c>
      <c r="AO70">
        <v>22.383900000000001</v>
      </c>
      <c r="AP70">
        <v>30.644600000000001</v>
      </c>
      <c r="AQ70">
        <v>29.756699999999999</v>
      </c>
      <c r="AR70" t="s">
        <v>134</v>
      </c>
      <c r="AS70" t="s">
        <v>134</v>
      </c>
      <c r="AT70" t="s">
        <v>134</v>
      </c>
      <c r="AU70" t="s">
        <v>134</v>
      </c>
      <c r="AV70" t="s">
        <v>134</v>
      </c>
      <c r="AW70" t="s">
        <v>134</v>
      </c>
      <c r="AX70" t="s">
        <v>134</v>
      </c>
      <c r="AY70" t="s">
        <v>134</v>
      </c>
      <c r="AZ70" t="s">
        <v>134</v>
      </c>
      <c r="BA70" t="s">
        <v>134</v>
      </c>
      <c r="BB70" t="s">
        <v>134</v>
      </c>
      <c r="BC70" t="s">
        <v>134</v>
      </c>
      <c r="BD70" t="s">
        <v>134</v>
      </c>
      <c r="BE70" t="s">
        <v>134</v>
      </c>
      <c r="BF70">
        <v>19.117100000000001</v>
      </c>
      <c r="BG70">
        <v>20.057200000000002</v>
      </c>
      <c r="BH70">
        <v>26.2349</v>
      </c>
      <c r="BI70">
        <v>32.227400000000003</v>
      </c>
      <c r="BJ70">
        <v>32.160800000000002</v>
      </c>
      <c r="BK70" t="s">
        <v>134</v>
      </c>
      <c r="BL70" t="s">
        <v>134</v>
      </c>
      <c r="BM70" t="s">
        <v>134</v>
      </c>
      <c r="BN70" t="s">
        <v>134</v>
      </c>
      <c r="BO70" t="s">
        <v>134</v>
      </c>
      <c r="BP70" t="s">
        <v>134</v>
      </c>
      <c r="BQ70" t="s">
        <v>134</v>
      </c>
      <c r="BR70" t="s">
        <v>134</v>
      </c>
      <c r="BS70" t="s">
        <v>134</v>
      </c>
      <c r="BT70" t="s">
        <v>134</v>
      </c>
      <c r="BU70" t="s">
        <v>134</v>
      </c>
      <c r="BV70" t="s">
        <v>134</v>
      </c>
      <c r="BW70" t="s">
        <v>134</v>
      </c>
      <c r="BX70" t="s">
        <v>134</v>
      </c>
      <c r="BY70">
        <v>192510.2</v>
      </c>
      <c r="BZ70">
        <v>35810.400000000001</v>
      </c>
      <c r="CA70">
        <v>156699.79999999999</v>
      </c>
      <c r="CB70">
        <v>3.8875999999999999</v>
      </c>
      <c r="CC70">
        <v>3.5358000000000001</v>
      </c>
      <c r="CD70">
        <v>4.9998000000000005</v>
      </c>
      <c r="CE70">
        <v>4.5472999999999999</v>
      </c>
      <c r="CF70">
        <v>6.1722999999999999</v>
      </c>
      <c r="CG70">
        <v>38.722499999999997</v>
      </c>
      <c r="CH70">
        <v>101.04900000000001</v>
      </c>
      <c r="CI70">
        <v>45.082700000000003</v>
      </c>
      <c r="CJ70">
        <v>39.458100000000002</v>
      </c>
      <c r="CK70">
        <v>124.1416</v>
      </c>
      <c r="CL70">
        <v>55.385300000000001</v>
      </c>
      <c r="CM70">
        <v>48.475299999999997</v>
      </c>
      <c r="CN70">
        <v>112.9068</v>
      </c>
      <c r="CO70">
        <v>53.031100000000002</v>
      </c>
      <c r="CP70">
        <v>14611.8</v>
      </c>
      <c r="CQ70" t="s">
        <v>134</v>
      </c>
      <c r="CR70">
        <v>11789.2</v>
      </c>
      <c r="CS70">
        <v>0.23419999999999999</v>
      </c>
      <c r="CT70">
        <v>1.3761999999999999</v>
      </c>
      <c r="CU70">
        <v>0.53939999999999999</v>
      </c>
      <c r="CV70">
        <v>2.5830000000000002</v>
      </c>
      <c r="CW70">
        <v>3.3711000000000002</v>
      </c>
      <c r="CX70">
        <v>108.571</v>
      </c>
      <c r="CY70" t="s">
        <v>134</v>
      </c>
      <c r="CZ70" t="s">
        <v>134</v>
      </c>
      <c r="DA70" t="s">
        <v>134</v>
      </c>
      <c r="DB70" t="s">
        <v>134</v>
      </c>
      <c r="DC70" t="s">
        <v>134</v>
      </c>
      <c r="DD70" t="s">
        <v>134</v>
      </c>
      <c r="DE70">
        <v>6150.8</v>
      </c>
      <c r="DF70" t="s">
        <v>134</v>
      </c>
      <c r="DG70" t="s">
        <v>134</v>
      </c>
      <c r="DH70" t="s">
        <v>134</v>
      </c>
      <c r="DI70" t="s">
        <v>134</v>
      </c>
    </row>
    <row r="71" spans="1:113" x14ac:dyDescent="0.3">
      <c r="E71" t="s">
        <v>80</v>
      </c>
      <c r="F71" t="s">
        <v>134</v>
      </c>
      <c r="G71" t="s">
        <v>134</v>
      </c>
      <c r="H71" t="s">
        <v>134</v>
      </c>
      <c r="I71" t="s">
        <v>134</v>
      </c>
      <c r="J71">
        <v>64.701700000000002</v>
      </c>
      <c r="K71">
        <v>51.484299999999998</v>
      </c>
      <c r="L71">
        <v>67.488</v>
      </c>
      <c r="M71">
        <v>43.617199999999997</v>
      </c>
      <c r="N71">
        <v>37.719499999999996</v>
      </c>
      <c r="O71">
        <v>38.163200000000003</v>
      </c>
      <c r="P71">
        <v>38.163200000000003</v>
      </c>
      <c r="Q71">
        <v>13.5494</v>
      </c>
      <c r="R71" t="s">
        <v>134</v>
      </c>
      <c r="S71" t="s">
        <v>134</v>
      </c>
      <c r="T71">
        <v>31.619499999999999</v>
      </c>
      <c r="U71">
        <v>35.249099999999999</v>
      </c>
      <c r="V71">
        <v>45.966200000000001</v>
      </c>
      <c r="W71">
        <v>25.8292</v>
      </c>
      <c r="X71">
        <v>25.7669</v>
      </c>
      <c r="Y71" t="s">
        <v>134</v>
      </c>
      <c r="Z71" t="s">
        <v>134</v>
      </c>
      <c r="AA71" t="s">
        <v>134</v>
      </c>
      <c r="AB71" t="s">
        <v>134</v>
      </c>
      <c r="AC71" t="s">
        <v>134</v>
      </c>
      <c r="AD71" t="s">
        <v>134</v>
      </c>
      <c r="AE71" t="s">
        <v>134</v>
      </c>
      <c r="AF71" t="s">
        <v>134</v>
      </c>
      <c r="AG71" t="s">
        <v>134</v>
      </c>
      <c r="AH71" t="s">
        <v>134</v>
      </c>
      <c r="AI71" t="s">
        <v>134</v>
      </c>
      <c r="AJ71" t="s">
        <v>134</v>
      </c>
      <c r="AK71" t="s">
        <v>134</v>
      </c>
      <c r="AL71" t="s">
        <v>134</v>
      </c>
      <c r="AM71">
        <v>20.3719</v>
      </c>
      <c r="AN71">
        <v>18.3797</v>
      </c>
      <c r="AO71">
        <v>17.982800000000001</v>
      </c>
      <c r="AP71">
        <v>21.502199999999998</v>
      </c>
      <c r="AQ71">
        <v>20.707100000000001</v>
      </c>
      <c r="AR71" t="s">
        <v>134</v>
      </c>
      <c r="AS71" t="s">
        <v>134</v>
      </c>
      <c r="AT71" t="s">
        <v>134</v>
      </c>
      <c r="AU71" t="s">
        <v>134</v>
      </c>
      <c r="AV71" t="s">
        <v>134</v>
      </c>
      <c r="AW71" t="s">
        <v>134</v>
      </c>
      <c r="AX71" t="s">
        <v>134</v>
      </c>
      <c r="AY71" t="s">
        <v>134</v>
      </c>
      <c r="AZ71" t="s">
        <v>134</v>
      </c>
      <c r="BA71" t="s">
        <v>134</v>
      </c>
      <c r="BB71" t="s">
        <v>134</v>
      </c>
      <c r="BC71" t="s">
        <v>134</v>
      </c>
      <c r="BD71" t="s">
        <v>134</v>
      </c>
      <c r="BE71" t="s">
        <v>134</v>
      </c>
      <c r="BF71">
        <v>2.4845000000000002</v>
      </c>
      <c r="BG71">
        <v>-0.68179999999999996</v>
      </c>
      <c r="BH71">
        <v>-1.6844000000000001</v>
      </c>
      <c r="BI71">
        <v>-20.7471</v>
      </c>
      <c r="BJ71">
        <v>-20.849399999999999</v>
      </c>
      <c r="BK71" t="s">
        <v>134</v>
      </c>
      <c r="BL71" t="s">
        <v>134</v>
      </c>
      <c r="BM71" t="s">
        <v>134</v>
      </c>
      <c r="BN71" t="s">
        <v>134</v>
      </c>
      <c r="BO71" t="s">
        <v>134</v>
      </c>
      <c r="BP71" t="s">
        <v>134</v>
      </c>
      <c r="BQ71" t="s">
        <v>134</v>
      </c>
      <c r="BR71" t="s">
        <v>134</v>
      </c>
      <c r="BS71" t="s">
        <v>134</v>
      </c>
      <c r="BT71" t="s">
        <v>134</v>
      </c>
      <c r="BU71" t="s">
        <v>134</v>
      </c>
      <c r="BV71" t="s">
        <v>134</v>
      </c>
      <c r="BW71" t="s">
        <v>134</v>
      </c>
      <c r="BX71" t="s">
        <v>134</v>
      </c>
      <c r="BY71" t="s">
        <v>134</v>
      </c>
      <c r="BZ71" t="s">
        <v>134</v>
      </c>
      <c r="CA71" t="s">
        <v>134</v>
      </c>
      <c r="CB71" t="s">
        <v>134</v>
      </c>
      <c r="CC71" t="s">
        <v>134</v>
      </c>
      <c r="CD71" t="s">
        <v>134</v>
      </c>
      <c r="CE71" t="s">
        <v>134</v>
      </c>
      <c r="CF71">
        <v>4.7935999999999996</v>
      </c>
      <c r="CG71" t="s">
        <v>134</v>
      </c>
      <c r="CH71" t="s">
        <v>134</v>
      </c>
      <c r="CI71" t="s">
        <v>134</v>
      </c>
      <c r="CJ71" t="s">
        <v>134</v>
      </c>
      <c r="CK71" t="s">
        <v>134</v>
      </c>
      <c r="CL71" t="s">
        <v>134</v>
      </c>
      <c r="CM71" t="s">
        <v>134</v>
      </c>
      <c r="CN71" t="s">
        <v>134</v>
      </c>
      <c r="CO71" t="s">
        <v>134</v>
      </c>
      <c r="CP71">
        <v>14406.6</v>
      </c>
      <c r="CQ71" t="s">
        <v>134</v>
      </c>
      <c r="CR71">
        <v>11463.6</v>
      </c>
      <c r="CS71" t="s">
        <v>134</v>
      </c>
      <c r="CT71" t="s">
        <v>134</v>
      </c>
      <c r="CU71" t="s">
        <v>134</v>
      </c>
      <c r="CV71" t="s">
        <v>134</v>
      </c>
      <c r="CW71" t="s">
        <v>134</v>
      </c>
      <c r="CX71" t="s">
        <v>134</v>
      </c>
      <c r="CY71" t="s">
        <v>134</v>
      </c>
      <c r="CZ71" t="s">
        <v>134</v>
      </c>
      <c r="DA71" t="s">
        <v>134</v>
      </c>
      <c r="DB71" t="s">
        <v>134</v>
      </c>
      <c r="DC71" t="s">
        <v>134</v>
      </c>
      <c r="DD71" t="s">
        <v>134</v>
      </c>
      <c r="DE71" t="s">
        <v>134</v>
      </c>
      <c r="DF71" t="s">
        <v>134</v>
      </c>
      <c r="DG71" t="s">
        <v>134</v>
      </c>
      <c r="DH71" t="s">
        <v>134</v>
      </c>
      <c r="DI71" t="s">
        <v>134</v>
      </c>
    </row>
    <row r="72" spans="1:113" x14ac:dyDescent="0.3">
      <c r="E72" t="s">
        <v>81</v>
      </c>
      <c r="F72">
        <v>25.482500000000002</v>
      </c>
      <c r="G72">
        <v>9.5181000000000004</v>
      </c>
      <c r="H72">
        <v>14.3973</v>
      </c>
      <c r="I72">
        <v>11.617699999999999</v>
      </c>
      <c r="J72">
        <v>59.76</v>
      </c>
      <c r="K72">
        <v>46.500500000000002</v>
      </c>
      <c r="L72">
        <v>25.692</v>
      </c>
      <c r="M72">
        <v>52.5745</v>
      </c>
      <c r="N72">
        <v>52.1663</v>
      </c>
      <c r="O72">
        <v>52.293599999999998</v>
      </c>
      <c r="P72">
        <v>52.293599999999998</v>
      </c>
      <c r="Q72">
        <v>1.0108999999999999</v>
      </c>
      <c r="R72" t="s">
        <v>134</v>
      </c>
      <c r="S72" t="s">
        <v>134</v>
      </c>
      <c r="T72">
        <v>17.525099999999998</v>
      </c>
      <c r="U72">
        <v>10.353300000000001</v>
      </c>
      <c r="V72">
        <v>8.9786000000000001</v>
      </c>
      <c r="W72">
        <v>28.2178</v>
      </c>
      <c r="X72">
        <v>28.245999999999999</v>
      </c>
      <c r="Y72" t="s">
        <v>134</v>
      </c>
      <c r="Z72">
        <v>1.4551000000000001</v>
      </c>
      <c r="AA72">
        <v>210.10900000000001</v>
      </c>
      <c r="AB72">
        <v>14.375400000000001</v>
      </c>
      <c r="AC72">
        <v>12.8972</v>
      </c>
      <c r="AD72">
        <v>21.943300000000001</v>
      </c>
      <c r="AE72" t="s">
        <v>134</v>
      </c>
      <c r="AF72">
        <v>22.423100000000002</v>
      </c>
      <c r="AG72">
        <v>-19.1435</v>
      </c>
      <c r="AH72">
        <v>8.3026999999999997</v>
      </c>
      <c r="AI72">
        <v>29.610700000000001</v>
      </c>
      <c r="AJ72">
        <v>17.215800000000002</v>
      </c>
      <c r="AK72">
        <v>30.139500000000002</v>
      </c>
      <c r="AL72" t="s">
        <v>134</v>
      </c>
      <c r="AM72">
        <v>26.816299999999998</v>
      </c>
      <c r="AN72">
        <v>23.167300000000001</v>
      </c>
      <c r="AO72">
        <v>22.2241</v>
      </c>
      <c r="AP72">
        <v>37.265300000000003</v>
      </c>
      <c r="AQ72">
        <v>36.227699999999999</v>
      </c>
      <c r="AR72" t="s">
        <v>134</v>
      </c>
      <c r="AS72">
        <v>45.411000000000001</v>
      </c>
      <c r="AT72">
        <v>56.902299999999997</v>
      </c>
      <c r="AU72">
        <v>0.38429999999999997</v>
      </c>
      <c r="AV72">
        <v>10.956799999999999</v>
      </c>
      <c r="AW72" t="s">
        <v>134</v>
      </c>
      <c r="AX72" t="s">
        <v>134</v>
      </c>
      <c r="AY72">
        <v>4.1689999999999996</v>
      </c>
      <c r="AZ72">
        <v>3.6436999999999999</v>
      </c>
      <c r="BA72">
        <v>3.1659000000000002</v>
      </c>
      <c r="BB72">
        <v>28.973300000000002</v>
      </c>
      <c r="BC72">
        <v>11.1477</v>
      </c>
      <c r="BD72">
        <v>28.397400000000001</v>
      </c>
      <c r="BE72" t="s">
        <v>134</v>
      </c>
      <c r="BF72">
        <v>1.0318000000000001</v>
      </c>
      <c r="BG72">
        <v>-5.6616</v>
      </c>
      <c r="BH72">
        <v>-7.1006</v>
      </c>
      <c r="BI72">
        <v>37.695</v>
      </c>
      <c r="BJ72">
        <v>37.652799999999999</v>
      </c>
      <c r="BK72" t="s">
        <v>134</v>
      </c>
      <c r="BL72" t="s">
        <v>134</v>
      </c>
      <c r="BM72" t="s">
        <v>134</v>
      </c>
      <c r="BN72" t="s">
        <v>134</v>
      </c>
      <c r="BO72" t="s">
        <v>134</v>
      </c>
      <c r="BP72" t="s">
        <v>134</v>
      </c>
      <c r="BQ72" t="s">
        <v>134</v>
      </c>
      <c r="BR72" t="s">
        <v>134</v>
      </c>
      <c r="BS72" t="s">
        <v>134</v>
      </c>
      <c r="BT72" t="s">
        <v>134</v>
      </c>
      <c r="BU72" t="s">
        <v>134</v>
      </c>
      <c r="BV72" t="s">
        <v>134</v>
      </c>
      <c r="BW72" t="s">
        <v>134</v>
      </c>
      <c r="BX72" t="s">
        <v>134</v>
      </c>
      <c r="BY72">
        <v>205271.3</v>
      </c>
      <c r="BZ72">
        <v>25338.9</v>
      </c>
      <c r="CA72">
        <v>179932.4</v>
      </c>
      <c r="CB72">
        <v>3.7909999999999999</v>
      </c>
      <c r="CC72">
        <v>3.26</v>
      </c>
      <c r="CD72">
        <v>4.8247999999999998</v>
      </c>
      <c r="CE72">
        <v>4.149</v>
      </c>
      <c r="CF72">
        <v>3.3713000000000002</v>
      </c>
      <c r="CG72">
        <v>39.830399999999997</v>
      </c>
      <c r="CH72">
        <v>101.8569</v>
      </c>
      <c r="CI72">
        <v>47.112200000000001</v>
      </c>
      <c r="CJ72">
        <v>41.283000000000001</v>
      </c>
      <c r="CK72">
        <v>116.2008</v>
      </c>
      <c r="CL72">
        <v>53.746699999999997</v>
      </c>
      <c r="CM72">
        <v>47.096699999999998</v>
      </c>
      <c r="CN72">
        <v>99.925200000000004</v>
      </c>
      <c r="CO72">
        <v>49.981299999999997</v>
      </c>
      <c r="CP72">
        <v>13335.2</v>
      </c>
      <c r="CQ72" t="s">
        <v>134</v>
      </c>
      <c r="CR72">
        <v>10376.4</v>
      </c>
      <c r="CS72">
        <v>0.43859999999999999</v>
      </c>
      <c r="CT72">
        <v>1.8163</v>
      </c>
      <c r="CU72">
        <v>0.73819999999999997</v>
      </c>
      <c r="CV72">
        <v>2.7841</v>
      </c>
      <c r="CW72">
        <v>4.3263999999999996</v>
      </c>
      <c r="CX72">
        <v>84.366</v>
      </c>
      <c r="CY72" t="s">
        <v>134</v>
      </c>
      <c r="CZ72" t="s">
        <v>134</v>
      </c>
      <c r="DA72" t="s">
        <v>134</v>
      </c>
      <c r="DB72" t="s">
        <v>134</v>
      </c>
      <c r="DC72" t="s">
        <v>134</v>
      </c>
      <c r="DD72" t="s">
        <v>134</v>
      </c>
      <c r="DE72">
        <v>6570.9</v>
      </c>
      <c r="DF72">
        <v>0</v>
      </c>
      <c r="DG72">
        <v>3890</v>
      </c>
      <c r="DH72">
        <v>0</v>
      </c>
      <c r="DI72">
        <v>2680.9</v>
      </c>
    </row>
    <row r="73" spans="1:113" x14ac:dyDescent="0.3">
      <c r="D73" t="s">
        <v>85</v>
      </c>
      <c r="E73" t="s">
        <v>77</v>
      </c>
      <c r="F73">
        <v>19.201899999999998</v>
      </c>
      <c r="G73">
        <v>8.0774000000000008</v>
      </c>
      <c r="H73">
        <v>11.435</v>
      </c>
      <c r="I73">
        <v>10.842000000000001</v>
      </c>
      <c r="J73">
        <v>63.105499999999999</v>
      </c>
      <c r="K73">
        <v>52.610300000000002</v>
      </c>
      <c r="L73">
        <v>59.042000000000002</v>
      </c>
      <c r="M73">
        <v>46.2258</v>
      </c>
      <c r="N73">
        <v>32.588200000000001</v>
      </c>
      <c r="O73">
        <v>32.444000000000003</v>
      </c>
      <c r="P73">
        <v>32.444000000000003</v>
      </c>
      <c r="Q73">
        <v>29.502099999999999</v>
      </c>
      <c r="R73">
        <v>11.274699999999999</v>
      </c>
      <c r="S73">
        <v>17.036999999999999</v>
      </c>
      <c r="T73">
        <v>34.168599999999998</v>
      </c>
      <c r="U73">
        <v>31.9634</v>
      </c>
      <c r="V73">
        <v>40.017400000000002</v>
      </c>
      <c r="W73">
        <v>-6.0819999999999999</v>
      </c>
      <c r="X73">
        <v>-6.0879000000000003</v>
      </c>
      <c r="Y73">
        <v>53.846200000000003</v>
      </c>
      <c r="Z73">
        <v>80.068299999999994</v>
      </c>
      <c r="AA73">
        <v>-20.819099999999999</v>
      </c>
      <c r="AB73">
        <v>8.5595999999999997</v>
      </c>
      <c r="AC73">
        <v>8.6957000000000004</v>
      </c>
      <c r="AD73">
        <v>64.734899999999996</v>
      </c>
      <c r="AE73">
        <v>91.453599999999994</v>
      </c>
      <c r="AF73">
        <v>7.4771000000000001</v>
      </c>
      <c r="AG73">
        <v>-99.953800000000001</v>
      </c>
      <c r="AH73">
        <v>0.50180000000000002</v>
      </c>
      <c r="AI73">
        <v>20.113900000000001</v>
      </c>
      <c r="AJ73">
        <v>9.5731000000000002</v>
      </c>
      <c r="AK73">
        <v>20.408000000000001</v>
      </c>
      <c r="AL73">
        <v>33.916600000000003</v>
      </c>
      <c r="AM73">
        <v>26.5657</v>
      </c>
      <c r="AN73">
        <v>24.555900000000001</v>
      </c>
      <c r="AO73">
        <v>24.879000000000001</v>
      </c>
      <c r="AP73">
        <v>17.745200000000001</v>
      </c>
      <c r="AQ73">
        <v>16.975200000000001</v>
      </c>
      <c r="AR73">
        <v>14.8698</v>
      </c>
      <c r="AS73">
        <v>37.493000000000002</v>
      </c>
      <c r="AT73">
        <v>39.652299999999997</v>
      </c>
      <c r="AU73">
        <v>10.1633</v>
      </c>
      <c r="AV73">
        <v>17.6035</v>
      </c>
      <c r="AW73">
        <v>40.636600000000001</v>
      </c>
      <c r="AX73">
        <v>38.491599999999998</v>
      </c>
      <c r="AY73">
        <v>23.6614</v>
      </c>
      <c r="AZ73">
        <v>-75.510599999999997</v>
      </c>
      <c r="BA73">
        <v>12.2316</v>
      </c>
      <c r="BB73">
        <v>26.545200000000001</v>
      </c>
      <c r="BC73">
        <v>18.2179</v>
      </c>
      <c r="BD73">
        <v>26.723300000000002</v>
      </c>
      <c r="BE73">
        <v>44.346699999999998</v>
      </c>
      <c r="BF73">
        <v>34.168599999999998</v>
      </c>
      <c r="BG73">
        <v>31.9634</v>
      </c>
      <c r="BH73">
        <v>40.017400000000002</v>
      </c>
      <c r="BI73">
        <v>-6.0819999999999999</v>
      </c>
      <c r="BJ73">
        <v>-6.0879000000000003</v>
      </c>
      <c r="BK73">
        <v>53.846200000000003</v>
      </c>
      <c r="BL73">
        <v>80.068299999999994</v>
      </c>
      <c r="BM73">
        <v>-20.819099999999999</v>
      </c>
      <c r="BN73">
        <v>8.5595999999999997</v>
      </c>
      <c r="BO73">
        <v>8.6957000000000004</v>
      </c>
      <c r="BP73">
        <v>64.734899999999996</v>
      </c>
      <c r="BQ73">
        <v>91.453599999999994</v>
      </c>
      <c r="BR73">
        <v>7.4771000000000001</v>
      </c>
      <c r="BS73">
        <v>-99.953800000000001</v>
      </c>
      <c r="BT73">
        <v>0.50180000000000002</v>
      </c>
      <c r="BU73">
        <v>20.113900000000001</v>
      </c>
      <c r="BV73">
        <v>9.5731000000000002</v>
      </c>
      <c r="BW73">
        <v>20.408000000000001</v>
      </c>
      <c r="BX73">
        <v>33.916600000000003</v>
      </c>
      <c r="BY73">
        <v>206301.4</v>
      </c>
      <c r="BZ73">
        <v>11.7</v>
      </c>
      <c r="CA73">
        <v>206289.7</v>
      </c>
      <c r="CB73">
        <v>2.8872</v>
      </c>
      <c r="CC73">
        <v>2.4028</v>
      </c>
      <c r="CD73">
        <v>3.4632000000000001</v>
      </c>
      <c r="CE73">
        <v>2.8820999999999999</v>
      </c>
      <c r="CF73">
        <v>5.6829000000000001</v>
      </c>
      <c r="CG73">
        <v>44.122199999999999</v>
      </c>
      <c r="CH73">
        <v>97.222099999999998</v>
      </c>
      <c r="CI73">
        <v>49.294400000000003</v>
      </c>
      <c r="CJ73">
        <v>43.543900000000001</v>
      </c>
      <c r="CK73">
        <v>97.227599999999995</v>
      </c>
      <c r="CL73">
        <v>49.297199999999997</v>
      </c>
      <c r="CM73">
        <v>43.546399999999998</v>
      </c>
      <c r="CN73">
        <v>80.914500000000004</v>
      </c>
      <c r="CO73">
        <v>44.725299999999997</v>
      </c>
      <c r="CP73">
        <v>71454.100000000006</v>
      </c>
      <c r="CQ73">
        <v>44132.6</v>
      </c>
      <c r="CR73">
        <v>59570.400000000001</v>
      </c>
      <c r="CS73">
        <v>0.85589999999999999</v>
      </c>
      <c r="CT73">
        <v>3.5333000000000001</v>
      </c>
      <c r="CU73">
        <v>1.7305999999999999</v>
      </c>
      <c r="CV73">
        <v>3.1581999999999999</v>
      </c>
      <c r="CW73">
        <v>4.1154000000000002</v>
      </c>
      <c r="CX73">
        <v>88.690299999999993</v>
      </c>
      <c r="CY73" t="s">
        <v>134</v>
      </c>
      <c r="CZ73" t="s">
        <v>134</v>
      </c>
      <c r="DA73" t="s">
        <v>134</v>
      </c>
      <c r="DB73" t="s">
        <v>134</v>
      </c>
      <c r="DC73" t="s">
        <v>134</v>
      </c>
      <c r="DD73" t="s">
        <v>134</v>
      </c>
      <c r="DE73">
        <v>5202.8999999999996</v>
      </c>
      <c r="DF73">
        <v>0</v>
      </c>
      <c r="DG73">
        <v>2970.7</v>
      </c>
      <c r="DH73">
        <v>0</v>
      </c>
      <c r="DI73">
        <v>2232.1999999999998</v>
      </c>
    </row>
    <row r="74" spans="1:113" x14ac:dyDescent="0.3">
      <c r="E74" t="s">
        <v>78</v>
      </c>
      <c r="F74" t="s">
        <v>134</v>
      </c>
      <c r="G74" t="s">
        <v>134</v>
      </c>
      <c r="H74" t="s">
        <v>134</v>
      </c>
      <c r="I74" t="s">
        <v>134</v>
      </c>
      <c r="J74">
        <v>57.068899999999999</v>
      </c>
      <c r="K74">
        <v>46.294499999999999</v>
      </c>
      <c r="L74">
        <v>36.6813</v>
      </c>
      <c r="M74">
        <v>39.786700000000003</v>
      </c>
      <c r="N74">
        <v>25.873000000000001</v>
      </c>
      <c r="O74">
        <v>25.624600000000001</v>
      </c>
      <c r="P74">
        <v>25.624600000000001</v>
      </c>
      <c r="Q74">
        <v>35.398299999999999</v>
      </c>
      <c r="R74" t="s">
        <v>134</v>
      </c>
      <c r="S74" t="s">
        <v>134</v>
      </c>
      <c r="T74">
        <v>50.288499999999999</v>
      </c>
      <c r="U74">
        <v>28.720600000000001</v>
      </c>
      <c r="V74">
        <v>36.078400000000002</v>
      </c>
      <c r="W74">
        <v>-14.730600000000001</v>
      </c>
      <c r="X74">
        <v>-14.572900000000001</v>
      </c>
      <c r="Y74" t="s">
        <v>134</v>
      </c>
      <c r="Z74" t="s">
        <v>134</v>
      </c>
      <c r="AA74" t="s">
        <v>134</v>
      </c>
      <c r="AB74" t="s">
        <v>134</v>
      </c>
      <c r="AC74" t="s">
        <v>134</v>
      </c>
      <c r="AD74" t="s">
        <v>134</v>
      </c>
      <c r="AE74" t="s">
        <v>134</v>
      </c>
      <c r="AF74" t="s">
        <v>134</v>
      </c>
      <c r="AG74" t="s">
        <v>134</v>
      </c>
      <c r="AH74" t="s">
        <v>134</v>
      </c>
      <c r="AI74" t="s">
        <v>134</v>
      </c>
      <c r="AJ74" t="s">
        <v>134</v>
      </c>
      <c r="AK74" t="s">
        <v>134</v>
      </c>
      <c r="AL74" t="s">
        <v>134</v>
      </c>
      <c r="AM74">
        <v>21.7012</v>
      </c>
      <c r="AN74">
        <v>14.371600000000001</v>
      </c>
      <c r="AO74">
        <v>15.327400000000001</v>
      </c>
      <c r="AP74">
        <v>20.553699999999999</v>
      </c>
      <c r="AQ74">
        <v>19.7623</v>
      </c>
      <c r="AR74" t="s">
        <v>134</v>
      </c>
      <c r="AS74" t="s">
        <v>134</v>
      </c>
      <c r="AT74" t="s">
        <v>134</v>
      </c>
      <c r="AU74" t="s">
        <v>134</v>
      </c>
      <c r="AV74" t="s">
        <v>134</v>
      </c>
      <c r="AW74" t="s">
        <v>134</v>
      </c>
      <c r="AX74" t="s">
        <v>134</v>
      </c>
      <c r="AY74" t="s">
        <v>134</v>
      </c>
      <c r="AZ74" t="s">
        <v>134</v>
      </c>
      <c r="BA74" t="s">
        <v>134</v>
      </c>
      <c r="BB74" t="s">
        <v>134</v>
      </c>
      <c r="BC74" t="s">
        <v>134</v>
      </c>
      <c r="BD74" t="s">
        <v>134</v>
      </c>
      <c r="BE74" t="s">
        <v>134</v>
      </c>
      <c r="BF74">
        <v>23.0199</v>
      </c>
      <c r="BG74">
        <v>17.4801</v>
      </c>
      <c r="BH74">
        <v>22.475000000000001</v>
      </c>
      <c r="BI74">
        <v>-39.718600000000002</v>
      </c>
      <c r="BJ74">
        <v>-39.609200000000001</v>
      </c>
      <c r="BK74" t="s">
        <v>134</v>
      </c>
      <c r="BL74" t="s">
        <v>134</v>
      </c>
      <c r="BM74" t="s">
        <v>134</v>
      </c>
      <c r="BN74" t="s">
        <v>134</v>
      </c>
      <c r="BO74" t="s">
        <v>134</v>
      </c>
      <c r="BP74" t="s">
        <v>134</v>
      </c>
      <c r="BQ74" t="s">
        <v>134</v>
      </c>
      <c r="BR74" t="s">
        <v>134</v>
      </c>
      <c r="BS74" t="s">
        <v>134</v>
      </c>
      <c r="BT74" t="s">
        <v>134</v>
      </c>
      <c r="BU74" t="s">
        <v>134</v>
      </c>
      <c r="BV74" t="s">
        <v>134</v>
      </c>
      <c r="BW74" t="s">
        <v>134</v>
      </c>
      <c r="BX74" t="s">
        <v>134</v>
      </c>
      <c r="BY74" t="s">
        <v>134</v>
      </c>
      <c r="BZ74" t="s">
        <v>134</v>
      </c>
      <c r="CA74" t="s">
        <v>134</v>
      </c>
      <c r="CB74" t="s">
        <v>134</v>
      </c>
      <c r="CC74" t="s">
        <v>134</v>
      </c>
      <c r="CD74" t="s">
        <v>134</v>
      </c>
      <c r="CE74" t="s">
        <v>134</v>
      </c>
      <c r="CF74">
        <v>4.7485999999999997</v>
      </c>
      <c r="CG74" t="s">
        <v>134</v>
      </c>
      <c r="CH74" t="s">
        <v>134</v>
      </c>
      <c r="CI74" t="s">
        <v>134</v>
      </c>
      <c r="CJ74" t="s">
        <v>134</v>
      </c>
      <c r="CK74" t="s">
        <v>134</v>
      </c>
      <c r="CL74" t="s">
        <v>134</v>
      </c>
      <c r="CM74" t="s">
        <v>134</v>
      </c>
      <c r="CN74" t="s">
        <v>134</v>
      </c>
      <c r="CO74" t="s">
        <v>134</v>
      </c>
      <c r="CP74">
        <v>15666.2</v>
      </c>
      <c r="CQ74" t="s">
        <v>134</v>
      </c>
      <c r="CR74">
        <v>12708.5</v>
      </c>
      <c r="CS74" t="s">
        <v>134</v>
      </c>
      <c r="CT74" t="s">
        <v>134</v>
      </c>
      <c r="CU74" t="s">
        <v>134</v>
      </c>
      <c r="CV74" t="s">
        <v>134</v>
      </c>
      <c r="CW74" t="s">
        <v>134</v>
      </c>
      <c r="CX74" t="s">
        <v>134</v>
      </c>
      <c r="CY74" t="s">
        <v>134</v>
      </c>
      <c r="CZ74" t="s">
        <v>134</v>
      </c>
      <c r="DA74" t="s">
        <v>134</v>
      </c>
      <c r="DB74" t="s">
        <v>134</v>
      </c>
      <c r="DC74" t="s">
        <v>134</v>
      </c>
      <c r="DD74" t="s">
        <v>134</v>
      </c>
      <c r="DE74" t="s">
        <v>134</v>
      </c>
      <c r="DF74" t="s">
        <v>134</v>
      </c>
      <c r="DG74" t="s">
        <v>134</v>
      </c>
      <c r="DH74" t="s">
        <v>134</v>
      </c>
      <c r="DI74" t="s">
        <v>134</v>
      </c>
    </row>
    <row r="75" spans="1:113" x14ac:dyDescent="0.3">
      <c r="E75" t="s">
        <v>79</v>
      </c>
      <c r="F75">
        <v>21.844999999999999</v>
      </c>
      <c r="G75">
        <v>8.8158999999999992</v>
      </c>
      <c r="H75">
        <v>12.934699999999999</v>
      </c>
      <c r="I75">
        <v>11.1287</v>
      </c>
      <c r="J75">
        <v>68.850099999999998</v>
      </c>
      <c r="K75">
        <v>57.762999999999998</v>
      </c>
      <c r="L75">
        <v>74.442800000000005</v>
      </c>
      <c r="M75">
        <v>50.919200000000004</v>
      </c>
      <c r="N75">
        <v>36.671500000000002</v>
      </c>
      <c r="O75">
        <v>36.660699999999999</v>
      </c>
      <c r="P75">
        <v>36.660699999999999</v>
      </c>
      <c r="Q75">
        <v>27.642199999999999</v>
      </c>
      <c r="R75" t="s">
        <v>134</v>
      </c>
      <c r="S75" t="s">
        <v>134</v>
      </c>
      <c r="T75">
        <v>24.553999999999998</v>
      </c>
      <c r="U75">
        <v>28.4451</v>
      </c>
      <c r="V75">
        <v>34.059199999999997</v>
      </c>
      <c r="W75">
        <v>-7.4725000000000001</v>
      </c>
      <c r="X75">
        <v>-7.5289999999999999</v>
      </c>
      <c r="Y75" t="s">
        <v>134</v>
      </c>
      <c r="Z75">
        <v>13.2605</v>
      </c>
      <c r="AA75">
        <v>-58.021700000000003</v>
      </c>
      <c r="AB75">
        <v>11.8515</v>
      </c>
      <c r="AC75">
        <v>15.1998</v>
      </c>
      <c r="AD75">
        <v>-6.2881999999999998</v>
      </c>
      <c r="AE75">
        <v>146.922</v>
      </c>
      <c r="AF75">
        <v>22.825399999999998</v>
      </c>
      <c r="AG75">
        <v>-38.421500000000002</v>
      </c>
      <c r="AH75">
        <v>8.0002999999999993</v>
      </c>
      <c r="AI75">
        <v>24.1465</v>
      </c>
      <c r="AJ75">
        <v>15.203799999999999</v>
      </c>
      <c r="AK75">
        <v>24.2818</v>
      </c>
      <c r="AL75" t="s">
        <v>134</v>
      </c>
      <c r="AM75">
        <v>21.587700000000002</v>
      </c>
      <c r="AN75">
        <v>22.7013</v>
      </c>
      <c r="AO75">
        <v>26.270600000000002</v>
      </c>
      <c r="AP75">
        <v>29.2011</v>
      </c>
      <c r="AQ75">
        <v>28.26</v>
      </c>
      <c r="AR75" t="s">
        <v>134</v>
      </c>
      <c r="AS75">
        <v>39.302500000000002</v>
      </c>
      <c r="AT75">
        <v>23.162400000000002</v>
      </c>
      <c r="AU75" t="s">
        <v>134</v>
      </c>
      <c r="AV75">
        <v>8.7972000000000001</v>
      </c>
      <c r="AW75" t="s">
        <v>134</v>
      </c>
      <c r="AX75" t="s">
        <v>134</v>
      </c>
      <c r="AY75">
        <v>-9.8804999999999996</v>
      </c>
      <c r="AZ75">
        <v>22.68</v>
      </c>
      <c r="BA75">
        <v>1.3263</v>
      </c>
      <c r="BB75">
        <v>29.508099999999999</v>
      </c>
      <c r="BC75">
        <v>10.1008</v>
      </c>
      <c r="BD75">
        <v>29.0547</v>
      </c>
      <c r="BE75" t="s">
        <v>134</v>
      </c>
      <c r="BF75">
        <v>-1.4218</v>
      </c>
      <c r="BG75">
        <v>18.928599999999999</v>
      </c>
      <c r="BH75">
        <v>22.998799999999999</v>
      </c>
      <c r="BI75">
        <v>30.416699999999999</v>
      </c>
      <c r="BJ75">
        <v>30.517700000000001</v>
      </c>
      <c r="BK75" t="s">
        <v>134</v>
      </c>
      <c r="BL75" t="s">
        <v>134</v>
      </c>
      <c r="BM75" t="s">
        <v>134</v>
      </c>
      <c r="BN75" t="s">
        <v>134</v>
      </c>
      <c r="BO75" t="s">
        <v>134</v>
      </c>
      <c r="BP75" t="s">
        <v>134</v>
      </c>
      <c r="BQ75" t="s">
        <v>134</v>
      </c>
      <c r="BR75" t="s">
        <v>134</v>
      </c>
      <c r="BS75" t="s">
        <v>134</v>
      </c>
      <c r="BT75" t="s">
        <v>134</v>
      </c>
      <c r="BU75" t="s">
        <v>134</v>
      </c>
      <c r="BV75" t="s">
        <v>134</v>
      </c>
      <c r="BW75" t="s">
        <v>134</v>
      </c>
      <c r="BX75" t="s">
        <v>134</v>
      </c>
      <c r="BY75">
        <v>207911.5</v>
      </c>
      <c r="BZ75">
        <v>22051.5</v>
      </c>
      <c r="CA75">
        <v>185860</v>
      </c>
      <c r="CB75">
        <v>3.3660000000000001</v>
      </c>
      <c r="CC75">
        <v>2.8026</v>
      </c>
      <c r="CD75">
        <v>4.1677999999999997</v>
      </c>
      <c r="CE75">
        <v>3.4701</v>
      </c>
      <c r="CF75">
        <v>6.3251999999999997</v>
      </c>
      <c r="CG75">
        <v>41.775199999999998</v>
      </c>
      <c r="CH75">
        <v>96.541700000000006</v>
      </c>
      <c r="CI75">
        <v>46.415199999999999</v>
      </c>
      <c r="CJ75">
        <v>40.625700000000002</v>
      </c>
      <c r="CK75">
        <v>107.996</v>
      </c>
      <c r="CL75">
        <v>51.9221</v>
      </c>
      <c r="CM75">
        <v>45.445799999999998</v>
      </c>
      <c r="CN75">
        <v>89.918999999999997</v>
      </c>
      <c r="CO75">
        <v>47.345999999999997</v>
      </c>
      <c r="CP75">
        <v>18631.599999999999</v>
      </c>
      <c r="CQ75" t="s">
        <v>134</v>
      </c>
      <c r="CR75">
        <v>15631.3</v>
      </c>
      <c r="CS75">
        <v>0.5423</v>
      </c>
      <c r="CT75">
        <v>2.0764</v>
      </c>
      <c r="CU75">
        <v>0.94279999999999997</v>
      </c>
      <c r="CV75">
        <v>3.2395</v>
      </c>
      <c r="CW75">
        <v>4.0875000000000004</v>
      </c>
      <c r="CX75">
        <v>89.296999999999997</v>
      </c>
      <c r="CY75" t="s">
        <v>134</v>
      </c>
      <c r="CZ75" t="s">
        <v>134</v>
      </c>
      <c r="DA75" t="s">
        <v>134</v>
      </c>
      <c r="DB75" t="s">
        <v>134</v>
      </c>
      <c r="DC75" t="s">
        <v>134</v>
      </c>
      <c r="DD75" t="s">
        <v>134</v>
      </c>
      <c r="DE75">
        <v>2582</v>
      </c>
      <c r="DF75" t="s">
        <v>134</v>
      </c>
      <c r="DG75" t="s">
        <v>134</v>
      </c>
      <c r="DH75" t="s">
        <v>134</v>
      </c>
      <c r="DI75" t="s">
        <v>134</v>
      </c>
    </row>
    <row r="76" spans="1:113" x14ac:dyDescent="0.3">
      <c r="E76" t="s">
        <v>80</v>
      </c>
      <c r="F76" t="s">
        <v>134</v>
      </c>
      <c r="G76" t="s">
        <v>134</v>
      </c>
      <c r="H76" t="s">
        <v>134</v>
      </c>
      <c r="I76" t="s">
        <v>134</v>
      </c>
      <c r="J76">
        <v>66.356200000000001</v>
      </c>
      <c r="K76">
        <v>55.435200000000002</v>
      </c>
      <c r="L76">
        <v>77.808300000000003</v>
      </c>
      <c r="M76">
        <v>53.510199999999998</v>
      </c>
      <c r="N76">
        <v>37.227800000000002</v>
      </c>
      <c r="O76">
        <v>36.970100000000002</v>
      </c>
      <c r="P76">
        <v>36.970100000000002</v>
      </c>
      <c r="Q76">
        <v>30.428599999999999</v>
      </c>
      <c r="R76" t="s">
        <v>134</v>
      </c>
      <c r="S76" t="s">
        <v>134</v>
      </c>
      <c r="T76">
        <v>21.7407</v>
      </c>
      <c r="U76">
        <v>26.2226</v>
      </c>
      <c r="V76">
        <v>33.450000000000003</v>
      </c>
      <c r="W76">
        <v>17.299900000000001</v>
      </c>
      <c r="X76">
        <v>17.359400000000001</v>
      </c>
      <c r="Y76" t="s">
        <v>134</v>
      </c>
      <c r="Z76" t="s">
        <v>134</v>
      </c>
      <c r="AA76" t="s">
        <v>134</v>
      </c>
      <c r="AB76" t="s">
        <v>134</v>
      </c>
      <c r="AC76" t="s">
        <v>134</v>
      </c>
      <c r="AD76" t="s">
        <v>134</v>
      </c>
      <c r="AE76" t="s">
        <v>134</v>
      </c>
      <c r="AF76" t="s">
        <v>134</v>
      </c>
      <c r="AG76" t="s">
        <v>134</v>
      </c>
      <c r="AH76" t="s">
        <v>134</v>
      </c>
      <c r="AI76" t="s">
        <v>134</v>
      </c>
      <c r="AJ76" t="s">
        <v>134</v>
      </c>
      <c r="AK76" t="s">
        <v>134</v>
      </c>
      <c r="AL76" t="s">
        <v>134</v>
      </c>
      <c r="AM76">
        <v>21.102900000000002</v>
      </c>
      <c r="AN76">
        <v>19.400500000000001</v>
      </c>
      <c r="AO76">
        <v>18.957100000000001</v>
      </c>
      <c r="AP76">
        <v>22.450399999999998</v>
      </c>
      <c r="AQ76">
        <v>21.672899999999998</v>
      </c>
      <c r="AR76" t="s">
        <v>134</v>
      </c>
      <c r="AS76" t="s">
        <v>134</v>
      </c>
      <c r="AT76" t="s">
        <v>134</v>
      </c>
      <c r="AU76" t="s">
        <v>134</v>
      </c>
      <c r="AV76" t="s">
        <v>134</v>
      </c>
      <c r="AW76" t="s">
        <v>134</v>
      </c>
      <c r="AX76" t="s">
        <v>134</v>
      </c>
      <c r="AY76" t="s">
        <v>134</v>
      </c>
      <c r="AZ76" t="s">
        <v>134</v>
      </c>
      <c r="BA76" t="s">
        <v>134</v>
      </c>
      <c r="BB76" t="s">
        <v>134</v>
      </c>
      <c r="BC76" t="s">
        <v>134</v>
      </c>
      <c r="BD76" t="s">
        <v>134</v>
      </c>
      <c r="BE76" t="s">
        <v>134</v>
      </c>
      <c r="BF76">
        <v>-0.63780000000000003</v>
      </c>
      <c r="BG76">
        <v>-4.2369000000000003</v>
      </c>
      <c r="BH76">
        <v>-4.6420000000000003</v>
      </c>
      <c r="BI76">
        <v>0.2006</v>
      </c>
      <c r="BJ76">
        <v>0.20880000000000001</v>
      </c>
      <c r="BK76" t="s">
        <v>134</v>
      </c>
      <c r="BL76" t="s">
        <v>134</v>
      </c>
      <c r="BM76" t="s">
        <v>134</v>
      </c>
      <c r="BN76" t="s">
        <v>134</v>
      </c>
      <c r="BO76" t="s">
        <v>134</v>
      </c>
      <c r="BP76" t="s">
        <v>134</v>
      </c>
      <c r="BQ76" t="s">
        <v>134</v>
      </c>
      <c r="BR76" t="s">
        <v>134</v>
      </c>
      <c r="BS76" t="s">
        <v>134</v>
      </c>
      <c r="BT76" t="s">
        <v>134</v>
      </c>
      <c r="BU76" t="s">
        <v>134</v>
      </c>
      <c r="BV76" t="s">
        <v>134</v>
      </c>
      <c r="BW76" t="s">
        <v>134</v>
      </c>
      <c r="BX76" t="s">
        <v>134</v>
      </c>
      <c r="BY76" t="s">
        <v>134</v>
      </c>
      <c r="BZ76" t="s">
        <v>134</v>
      </c>
      <c r="CA76" t="s">
        <v>134</v>
      </c>
      <c r="CB76" t="s">
        <v>134</v>
      </c>
      <c r="CC76" t="s">
        <v>134</v>
      </c>
      <c r="CD76" t="s">
        <v>134</v>
      </c>
      <c r="CE76" t="s">
        <v>134</v>
      </c>
      <c r="CF76">
        <v>5.8829000000000002</v>
      </c>
      <c r="CG76" t="s">
        <v>134</v>
      </c>
      <c r="CH76" t="s">
        <v>134</v>
      </c>
      <c r="CI76" t="s">
        <v>134</v>
      </c>
      <c r="CJ76" t="s">
        <v>134</v>
      </c>
      <c r="CK76" t="s">
        <v>134</v>
      </c>
      <c r="CL76" t="s">
        <v>134</v>
      </c>
      <c r="CM76" t="s">
        <v>134</v>
      </c>
      <c r="CN76" t="s">
        <v>134</v>
      </c>
      <c r="CO76" t="s">
        <v>134</v>
      </c>
      <c r="CP76">
        <v>17842.2</v>
      </c>
      <c r="CQ76" t="s">
        <v>134</v>
      </c>
      <c r="CR76">
        <v>14905.7</v>
      </c>
      <c r="CS76" t="s">
        <v>134</v>
      </c>
      <c r="CT76" t="s">
        <v>134</v>
      </c>
      <c r="CU76" t="s">
        <v>134</v>
      </c>
      <c r="CV76" t="s">
        <v>134</v>
      </c>
      <c r="CW76" t="s">
        <v>134</v>
      </c>
      <c r="CX76" t="s">
        <v>134</v>
      </c>
      <c r="CY76" t="s">
        <v>134</v>
      </c>
      <c r="CZ76" t="s">
        <v>134</v>
      </c>
      <c r="DA76" t="s">
        <v>134</v>
      </c>
      <c r="DB76" t="s">
        <v>134</v>
      </c>
      <c r="DC76" t="s">
        <v>134</v>
      </c>
      <c r="DD76" t="s">
        <v>134</v>
      </c>
      <c r="DE76" t="s">
        <v>134</v>
      </c>
      <c r="DF76" t="s">
        <v>134</v>
      </c>
      <c r="DG76" t="s">
        <v>134</v>
      </c>
      <c r="DH76" t="s">
        <v>134</v>
      </c>
      <c r="DI76" t="s">
        <v>134</v>
      </c>
    </row>
    <row r="77" spans="1:113" x14ac:dyDescent="0.3">
      <c r="E77" t="s">
        <v>81</v>
      </c>
      <c r="F77">
        <v>19.201899999999998</v>
      </c>
      <c r="G77">
        <v>8.0774000000000008</v>
      </c>
      <c r="H77">
        <v>11.435</v>
      </c>
      <c r="I77">
        <v>10.843500000000001</v>
      </c>
      <c r="J77">
        <v>60.681600000000003</v>
      </c>
      <c r="K77">
        <v>51.29</v>
      </c>
      <c r="L77">
        <v>62.523600000000002</v>
      </c>
      <c r="M77">
        <v>41.635199999999998</v>
      </c>
      <c r="N77">
        <v>29.189499999999999</v>
      </c>
      <c r="O77">
        <v>29.1175</v>
      </c>
      <c r="P77">
        <v>29.1175</v>
      </c>
      <c r="Q77">
        <v>29.892299999999999</v>
      </c>
      <c r="R77" t="s">
        <v>134</v>
      </c>
      <c r="S77" t="s">
        <v>134</v>
      </c>
      <c r="T77">
        <v>42.635800000000003</v>
      </c>
      <c r="U77">
        <v>44.835500000000003</v>
      </c>
      <c r="V77">
        <v>57.327199999999998</v>
      </c>
      <c r="W77">
        <v>-20.5791</v>
      </c>
      <c r="X77">
        <v>-20.426300000000001</v>
      </c>
      <c r="Y77" t="s">
        <v>134</v>
      </c>
      <c r="Z77">
        <v>80.068299999999994</v>
      </c>
      <c r="AA77">
        <v>-20.819099999999999</v>
      </c>
      <c r="AB77">
        <v>8.5595999999999997</v>
      </c>
      <c r="AC77">
        <v>8.6957000000000004</v>
      </c>
      <c r="AD77">
        <v>64.734899999999996</v>
      </c>
      <c r="AE77">
        <v>91.453599999999994</v>
      </c>
      <c r="AF77">
        <v>7.4771000000000001</v>
      </c>
      <c r="AG77">
        <v>-99.953800000000001</v>
      </c>
      <c r="AH77">
        <v>0.50180000000000002</v>
      </c>
      <c r="AI77">
        <v>20.113900000000001</v>
      </c>
      <c r="AJ77">
        <v>9.5731000000000002</v>
      </c>
      <c r="AK77">
        <v>20.408000000000001</v>
      </c>
      <c r="AL77" t="s">
        <v>134</v>
      </c>
      <c r="AM77">
        <v>26.954999999999998</v>
      </c>
      <c r="AN77">
        <v>25.073399999999999</v>
      </c>
      <c r="AO77">
        <v>26.367999999999999</v>
      </c>
      <c r="AP77">
        <v>5.4641000000000002</v>
      </c>
      <c r="AQ77">
        <v>4.7634999999999996</v>
      </c>
      <c r="AR77" t="s">
        <v>134</v>
      </c>
      <c r="AS77">
        <v>37.493000000000002</v>
      </c>
      <c r="AT77">
        <v>39.652299999999997</v>
      </c>
      <c r="AU77">
        <v>10.1633</v>
      </c>
      <c r="AV77">
        <v>17.6035</v>
      </c>
      <c r="AW77">
        <v>40.636600000000001</v>
      </c>
      <c r="AX77">
        <v>38.491599999999998</v>
      </c>
      <c r="AY77">
        <v>23.6614</v>
      </c>
      <c r="AZ77">
        <v>-75.510599999999997</v>
      </c>
      <c r="BA77">
        <v>12.2316</v>
      </c>
      <c r="BB77">
        <v>26.545200000000001</v>
      </c>
      <c r="BC77">
        <v>18.2179</v>
      </c>
      <c r="BD77">
        <v>26.723300000000002</v>
      </c>
      <c r="BE77" t="s">
        <v>134</v>
      </c>
      <c r="BF77">
        <v>18.372499999999999</v>
      </c>
      <c r="BG77">
        <v>8.2494999999999994</v>
      </c>
      <c r="BH77">
        <v>9.5212000000000003</v>
      </c>
      <c r="BI77">
        <v>-6.7701000000000002</v>
      </c>
      <c r="BJ77">
        <v>-6.6666999999999996</v>
      </c>
      <c r="BK77" t="s">
        <v>134</v>
      </c>
      <c r="BL77" t="s">
        <v>134</v>
      </c>
      <c r="BM77" t="s">
        <v>134</v>
      </c>
      <c r="BN77" t="s">
        <v>134</v>
      </c>
      <c r="BO77" t="s">
        <v>134</v>
      </c>
      <c r="BP77" t="s">
        <v>134</v>
      </c>
      <c r="BQ77" t="s">
        <v>134</v>
      </c>
      <c r="BR77" t="s">
        <v>134</v>
      </c>
      <c r="BS77" t="s">
        <v>134</v>
      </c>
      <c r="BT77" t="s">
        <v>134</v>
      </c>
      <c r="BU77" t="s">
        <v>134</v>
      </c>
      <c r="BV77" t="s">
        <v>134</v>
      </c>
      <c r="BW77" t="s">
        <v>134</v>
      </c>
      <c r="BX77" t="s">
        <v>134</v>
      </c>
      <c r="BY77">
        <v>206301.4</v>
      </c>
      <c r="BZ77">
        <v>11.7</v>
      </c>
      <c r="CA77">
        <v>206289.7</v>
      </c>
      <c r="CB77">
        <v>2.8872</v>
      </c>
      <c r="CC77">
        <v>2.4028</v>
      </c>
      <c r="CD77">
        <v>3.4632000000000001</v>
      </c>
      <c r="CE77">
        <v>2.8820999999999999</v>
      </c>
      <c r="CF77">
        <v>5.86</v>
      </c>
      <c r="CG77">
        <v>44.122199999999999</v>
      </c>
      <c r="CH77">
        <v>97.222099999999998</v>
      </c>
      <c r="CI77">
        <v>49.294400000000003</v>
      </c>
      <c r="CJ77">
        <v>43.543900000000001</v>
      </c>
      <c r="CK77">
        <v>97.227599999999995</v>
      </c>
      <c r="CL77">
        <v>49.297199999999997</v>
      </c>
      <c r="CM77">
        <v>43.546399999999998</v>
      </c>
      <c r="CN77">
        <v>80.914500000000004</v>
      </c>
      <c r="CO77">
        <v>44.725299999999997</v>
      </c>
      <c r="CP77">
        <v>19314.099999999999</v>
      </c>
      <c r="CQ77" t="s">
        <v>134</v>
      </c>
      <c r="CR77">
        <v>16324.9</v>
      </c>
      <c r="CS77">
        <v>0.85589999999999999</v>
      </c>
      <c r="CT77">
        <v>3.5333000000000001</v>
      </c>
      <c r="CU77">
        <v>1.7305999999999999</v>
      </c>
      <c r="CV77">
        <v>3.1581999999999999</v>
      </c>
      <c r="CW77">
        <v>4.1154000000000002</v>
      </c>
      <c r="CX77">
        <v>88.690299999999993</v>
      </c>
      <c r="CY77" t="s">
        <v>134</v>
      </c>
      <c r="CZ77" t="s">
        <v>134</v>
      </c>
      <c r="DA77" t="s">
        <v>134</v>
      </c>
      <c r="DB77" t="s">
        <v>134</v>
      </c>
      <c r="DC77" t="s">
        <v>134</v>
      </c>
      <c r="DD77" t="s">
        <v>134</v>
      </c>
      <c r="DE77">
        <v>5202.8999999999996</v>
      </c>
      <c r="DF77">
        <v>0</v>
      </c>
      <c r="DG77">
        <v>2970.7</v>
      </c>
      <c r="DH77">
        <v>0</v>
      </c>
      <c r="DI77">
        <v>2232.1999999999998</v>
      </c>
    </row>
    <row r="78" spans="1:113" x14ac:dyDescent="0.3">
      <c r="A78">
        <v>4</v>
      </c>
      <c r="B78" t="s">
        <v>90</v>
      </c>
      <c r="C78" t="s">
        <v>91</v>
      </c>
      <c r="D78" t="s">
        <v>76</v>
      </c>
      <c r="E78" t="s">
        <v>77</v>
      </c>
      <c r="F78" t="s">
        <v>134</v>
      </c>
      <c r="G78" t="s">
        <v>134</v>
      </c>
      <c r="H78" t="s">
        <v>134</v>
      </c>
      <c r="I78" t="s">
        <v>134</v>
      </c>
      <c r="J78" t="s">
        <v>134</v>
      </c>
      <c r="K78" t="s">
        <v>134</v>
      </c>
      <c r="L78" t="s">
        <v>134</v>
      </c>
      <c r="M78" t="s">
        <v>134</v>
      </c>
      <c r="N78" t="s">
        <v>134</v>
      </c>
      <c r="O78" t="s">
        <v>134</v>
      </c>
      <c r="P78" t="s">
        <v>134</v>
      </c>
      <c r="Q78" t="s">
        <v>134</v>
      </c>
      <c r="R78" t="s">
        <v>134</v>
      </c>
      <c r="S78" t="s">
        <v>134</v>
      </c>
      <c r="T78" t="s">
        <v>134</v>
      </c>
      <c r="U78" t="s">
        <v>134</v>
      </c>
      <c r="V78" t="s">
        <v>134</v>
      </c>
      <c r="W78" t="s">
        <v>134</v>
      </c>
      <c r="X78" t="s">
        <v>134</v>
      </c>
      <c r="Y78" t="s">
        <v>134</v>
      </c>
      <c r="Z78" t="s">
        <v>134</v>
      </c>
      <c r="AA78" t="s">
        <v>134</v>
      </c>
      <c r="AB78" t="s">
        <v>134</v>
      </c>
      <c r="AC78" t="s">
        <v>134</v>
      </c>
      <c r="AD78" t="s">
        <v>134</v>
      </c>
      <c r="AE78" t="s">
        <v>134</v>
      </c>
      <c r="AF78" t="s">
        <v>134</v>
      </c>
      <c r="AG78" t="s">
        <v>134</v>
      </c>
      <c r="AH78" t="s">
        <v>134</v>
      </c>
      <c r="AI78" t="s">
        <v>134</v>
      </c>
      <c r="AJ78" t="s">
        <v>134</v>
      </c>
      <c r="AK78" t="s">
        <v>134</v>
      </c>
      <c r="AL78" t="s">
        <v>134</v>
      </c>
      <c r="AM78" t="s">
        <v>134</v>
      </c>
      <c r="AN78" t="s">
        <v>134</v>
      </c>
      <c r="AO78" t="s">
        <v>134</v>
      </c>
      <c r="AP78" t="s">
        <v>134</v>
      </c>
      <c r="AQ78" t="s">
        <v>134</v>
      </c>
      <c r="AR78" t="s">
        <v>134</v>
      </c>
      <c r="AS78" t="s">
        <v>134</v>
      </c>
      <c r="AT78" t="s">
        <v>134</v>
      </c>
      <c r="AU78" t="s">
        <v>134</v>
      </c>
      <c r="AV78" t="s">
        <v>134</v>
      </c>
      <c r="AW78" t="s">
        <v>134</v>
      </c>
      <c r="AX78" t="s">
        <v>134</v>
      </c>
      <c r="AY78" t="s">
        <v>134</v>
      </c>
      <c r="AZ78" t="s">
        <v>134</v>
      </c>
      <c r="BA78" t="s">
        <v>134</v>
      </c>
      <c r="BB78" t="s">
        <v>134</v>
      </c>
      <c r="BC78" t="s">
        <v>134</v>
      </c>
      <c r="BD78" t="s">
        <v>134</v>
      </c>
      <c r="BE78" t="s">
        <v>134</v>
      </c>
      <c r="BF78" t="s">
        <v>134</v>
      </c>
      <c r="BG78" t="s">
        <v>134</v>
      </c>
      <c r="BH78" t="s">
        <v>134</v>
      </c>
      <c r="BI78" t="s">
        <v>134</v>
      </c>
      <c r="BJ78" t="s">
        <v>134</v>
      </c>
      <c r="BK78" t="s">
        <v>134</v>
      </c>
      <c r="BL78" t="s">
        <v>134</v>
      </c>
      <c r="BM78" t="s">
        <v>134</v>
      </c>
      <c r="BN78" t="s">
        <v>134</v>
      </c>
      <c r="BO78" t="s">
        <v>134</v>
      </c>
      <c r="BP78" t="s">
        <v>134</v>
      </c>
      <c r="BQ78" t="s">
        <v>134</v>
      </c>
      <c r="BR78" t="s">
        <v>134</v>
      </c>
      <c r="BS78" t="s">
        <v>134</v>
      </c>
      <c r="BT78" t="s">
        <v>134</v>
      </c>
      <c r="BU78" t="s">
        <v>134</v>
      </c>
      <c r="BV78" t="s">
        <v>134</v>
      </c>
      <c r="BW78" t="s">
        <v>134</v>
      </c>
      <c r="BX78" t="s">
        <v>134</v>
      </c>
      <c r="BY78" t="s">
        <v>134</v>
      </c>
      <c r="BZ78" t="s">
        <v>134</v>
      </c>
      <c r="CA78" t="s">
        <v>134</v>
      </c>
      <c r="CB78" t="s">
        <v>134</v>
      </c>
      <c r="CC78" t="s">
        <v>134</v>
      </c>
      <c r="CD78" t="s">
        <v>134</v>
      </c>
      <c r="CE78" t="s">
        <v>134</v>
      </c>
      <c r="CF78" t="s">
        <v>134</v>
      </c>
      <c r="CG78" t="s">
        <v>134</v>
      </c>
      <c r="CH78" t="s">
        <v>134</v>
      </c>
      <c r="CI78" t="s">
        <v>134</v>
      </c>
      <c r="CJ78" t="s">
        <v>134</v>
      </c>
      <c r="CK78" t="s">
        <v>134</v>
      </c>
      <c r="CL78" t="s">
        <v>134</v>
      </c>
      <c r="CM78" t="s">
        <v>134</v>
      </c>
      <c r="CN78" t="s">
        <v>134</v>
      </c>
      <c r="CO78" t="s">
        <v>134</v>
      </c>
      <c r="CP78" t="s">
        <v>134</v>
      </c>
      <c r="CQ78" t="s">
        <v>134</v>
      </c>
      <c r="CR78" t="s">
        <v>134</v>
      </c>
      <c r="CS78" t="s">
        <v>134</v>
      </c>
      <c r="CT78" t="s">
        <v>134</v>
      </c>
      <c r="CU78" t="s">
        <v>134</v>
      </c>
      <c r="CV78" t="s">
        <v>134</v>
      </c>
      <c r="CW78" t="s">
        <v>134</v>
      </c>
      <c r="CX78" t="s">
        <v>134</v>
      </c>
      <c r="CY78" t="s">
        <v>134</v>
      </c>
      <c r="CZ78" t="s">
        <v>134</v>
      </c>
      <c r="DA78" t="s">
        <v>134</v>
      </c>
      <c r="DB78" t="s">
        <v>134</v>
      </c>
      <c r="DC78" t="s">
        <v>134</v>
      </c>
      <c r="DD78" t="s">
        <v>134</v>
      </c>
      <c r="DE78" t="s">
        <v>134</v>
      </c>
      <c r="DF78" t="s">
        <v>134</v>
      </c>
      <c r="DG78" t="s">
        <v>134</v>
      </c>
      <c r="DH78" t="s">
        <v>134</v>
      </c>
      <c r="DI78" t="s">
        <v>134</v>
      </c>
    </row>
    <row r="79" spans="1:113" x14ac:dyDescent="0.3">
      <c r="E79" t="s">
        <v>78</v>
      </c>
      <c r="F79" t="s">
        <v>134</v>
      </c>
      <c r="G79" t="s">
        <v>134</v>
      </c>
      <c r="H79" t="s">
        <v>134</v>
      </c>
      <c r="I79" t="s">
        <v>134</v>
      </c>
      <c r="J79" t="s">
        <v>134</v>
      </c>
      <c r="K79" t="s">
        <v>134</v>
      </c>
      <c r="L79" t="s">
        <v>134</v>
      </c>
      <c r="M79" t="s">
        <v>134</v>
      </c>
      <c r="N79" t="s">
        <v>134</v>
      </c>
      <c r="O79" t="s">
        <v>134</v>
      </c>
      <c r="P79" t="s">
        <v>134</v>
      </c>
      <c r="Q79" t="s">
        <v>134</v>
      </c>
      <c r="R79" t="s">
        <v>134</v>
      </c>
      <c r="S79" t="s">
        <v>134</v>
      </c>
      <c r="T79" t="s">
        <v>134</v>
      </c>
      <c r="U79" t="s">
        <v>134</v>
      </c>
      <c r="V79" t="s">
        <v>134</v>
      </c>
      <c r="W79" t="s">
        <v>134</v>
      </c>
      <c r="X79" t="s">
        <v>134</v>
      </c>
      <c r="Y79" t="s">
        <v>134</v>
      </c>
      <c r="Z79" t="s">
        <v>134</v>
      </c>
      <c r="AA79" t="s">
        <v>134</v>
      </c>
      <c r="AB79" t="s">
        <v>134</v>
      </c>
      <c r="AC79" t="s">
        <v>134</v>
      </c>
      <c r="AD79" t="s">
        <v>134</v>
      </c>
      <c r="AE79" t="s">
        <v>134</v>
      </c>
      <c r="AF79" t="s">
        <v>134</v>
      </c>
      <c r="AG79" t="s">
        <v>134</v>
      </c>
      <c r="AH79" t="s">
        <v>134</v>
      </c>
      <c r="AI79" t="s">
        <v>134</v>
      </c>
      <c r="AJ79" t="s">
        <v>134</v>
      </c>
      <c r="AK79" t="s">
        <v>134</v>
      </c>
      <c r="AL79" t="s">
        <v>134</v>
      </c>
      <c r="AM79" t="s">
        <v>134</v>
      </c>
      <c r="AN79" t="s">
        <v>134</v>
      </c>
      <c r="AO79" t="s">
        <v>134</v>
      </c>
      <c r="AP79" t="s">
        <v>134</v>
      </c>
      <c r="AQ79" t="s">
        <v>134</v>
      </c>
      <c r="AR79" t="s">
        <v>134</v>
      </c>
      <c r="AS79" t="s">
        <v>134</v>
      </c>
      <c r="AT79" t="s">
        <v>134</v>
      </c>
      <c r="AU79" t="s">
        <v>134</v>
      </c>
      <c r="AV79" t="s">
        <v>134</v>
      </c>
      <c r="AW79" t="s">
        <v>134</v>
      </c>
      <c r="AX79" t="s">
        <v>134</v>
      </c>
      <c r="AY79" t="s">
        <v>134</v>
      </c>
      <c r="AZ79" t="s">
        <v>134</v>
      </c>
      <c r="BA79" t="s">
        <v>134</v>
      </c>
      <c r="BB79" t="s">
        <v>134</v>
      </c>
      <c r="BC79" t="s">
        <v>134</v>
      </c>
      <c r="BD79" t="s">
        <v>134</v>
      </c>
      <c r="BE79" t="s">
        <v>134</v>
      </c>
      <c r="BF79" t="s">
        <v>134</v>
      </c>
      <c r="BG79" t="s">
        <v>134</v>
      </c>
      <c r="BH79" t="s">
        <v>134</v>
      </c>
      <c r="BI79" t="s">
        <v>134</v>
      </c>
      <c r="BJ79" t="s">
        <v>134</v>
      </c>
      <c r="BK79" t="s">
        <v>134</v>
      </c>
      <c r="BL79" t="s">
        <v>134</v>
      </c>
      <c r="BM79" t="s">
        <v>134</v>
      </c>
      <c r="BN79" t="s">
        <v>134</v>
      </c>
      <c r="BO79" t="s">
        <v>134</v>
      </c>
      <c r="BP79" t="s">
        <v>134</v>
      </c>
      <c r="BQ79" t="s">
        <v>134</v>
      </c>
      <c r="BR79" t="s">
        <v>134</v>
      </c>
      <c r="BS79" t="s">
        <v>134</v>
      </c>
      <c r="BT79" t="s">
        <v>134</v>
      </c>
      <c r="BU79" t="s">
        <v>134</v>
      </c>
      <c r="BV79" t="s">
        <v>134</v>
      </c>
      <c r="BW79" t="s">
        <v>134</v>
      </c>
      <c r="BX79" t="s">
        <v>134</v>
      </c>
      <c r="BY79" t="s">
        <v>134</v>
      </c>
      <c r="BZ79" t="s">
        <v>134</v>
      </c>
      <c r="CA79" t="s">
        <v>134</v>
      </c>
      <c r="CB79" t="s">
        <v>134</v>
      </c>
      <c r="CC79" t="s">
        <v>134</v>
      </c>
      <c r="CD79" t="s">
        <v>134</v>
      </c>
      <c r="CE79" t="s">
        <v>134</v>
      </c>
      <c r="CF79" t="s">
        <v>134</v>
      </c>
      <c r="CG79" t="s">
        <v>134</v>
      </c>
      <c r="CH79" t="s">
        <v>134</v>
      </c>
      <c r="CI79" t="s">
        <v>134</v>
      </c>
      <c r="CJ79" t="s">
        <v>134</v>
      </c>
      <c r="CK79" t="s">
        <v>134</v>
      </c>
      <c r="CL79" t="s">
        <v>134</v>
      </c>
      <c r="CM79" t="s">
        <v>134</v>
      </c>
      <c r="CN79" t="s">
        <v>134</v>
      </c>
      <c r="CO79" t="s">
        <v>134</v>
      </c>
      <c r="CP79" t="s">
        <v>134</v>
      </c>
      <c r="CQ79" t="s">
        <v>134</v>
      </c>
      <c r="CR79" t="s">
        <v>134</v>
      </c>
      <c r="CS79" t="s">
        <v>134</v>
      </c>
      <c r="CT79" t="s">
        <v>134</v>
      </c>
      <c r="CU79" t="s">
        <v>134</v>
      </c>
      <c r="CV79" t="s">
        <v>134</v>
      </c>
      <c r="CW79" t="s">
        <v>134</v>
      </c>
      <c r="CX79" t="s">
        <v>134</v>
      </c>
      <c r="CY79" t="s">
        <v>134</v>
      </c>
      <c r="CZ79" t="s">
        <v>134</v>
      </c>
      <c r="DA79" t="s">
        <v>134</v>
      </c>
      <c r="DB79" t="s">
        <v>134</v>
      </c>
      <c r="DC79" t="s">
        <v>134</v>
      </c>
      <c r="DD79" t="s">
        <v>134</v>
      </c>
      <c r="DE79" t="s">
        <v>134</v>
      </c>
      <c r="DF79" t="s">
        <v>134</v>
      </c>
      <c r="DG79" t="s">
        <v>134</v>
      </c>
      <c r="DH79" t="s">
        <v>134</v>
      </c>
      <c r="DI79" t="s">
        <v>134</v>
      </c>
    </row>
    <row r="80" spans="1:113" x14ac:dyDescent="0.3">
      <c r="E80" t="s">
        <v>79</v>
      </c>
      <c r="F80" t="s">
        <v>134</v>
      </c>
      <c r="G80" t="s">
        <v>134</v>
      </c>
      <c r="H80" t="s">
        <v>134</v>
      </c>
      <c r="I80" t="s">
        <v>134</v>
      </c>
      <c r="J80" t="s">
        <v>134</v>
      </c>
      <c r="K80" t="s">
        <v>134</v>
      </c>
      <c r="L80" t="s">
        <v>134</v>
      </c>
      <c r="M80" t="s">
        <v>134</v>
      </c>
      <c r="N80" t="s">
        <v>134</v>
      </c>
      <c r="O80" t="s">
        <v>134</v>
      </c>
      <c r="P80" t="s">
        <v>134</v>
      </c>
      <c r="Q80" t="s">
        <v>134</v>
      </c>
      <c r="R80" t="s">
        <v>134</v>
      </c>
      <c r="S80" t="s">
        <v>134</v>
      </c>
      <c r="T80" t="s">
        <v>134</v>
      </c>
      <c r="U80" t="s">
        <v>134</v>
      </c>
      <c r="V80" t="s">
        <v>134</v>
      </c>
      <c r="W80" t="s">
        <v>134</v>
      </c>
      <c r="X80" t="s">
        <v>134</v>
      </c>
      <c r="Y80" t="s">
        <v>134</v>
      </c>
      <c r="Z80" t="s">
        <v>134</v>
      </c>
      <c r="AA80" t="s">
        <v>134</v>
      </c>
      <c r="AB80" t="s">
        <v>134</v>
      </c>
      <c r="AC80" t="s">
        <v>134</v>
      </c>
      <c r="AD80" t="s">
        <v>134</v>
      </c>
      <c r="AE80" t="s">
        <v>134</v>
      </c>
      <c r="AF80" t="s">
        <v>134</v>
      </c>
      <c r="AG80" t="s">
        <v>134</v>
      </c>
      <c r="AH80" t="s">
        <v>134</v>
      </c>
      <c r="AI80" t="s">
        <v>134</v>
      </c>
      <c r="AJ80" t="s">
        <v>134</v>
      </c>
      <c r="AK80" t="s">
        <v>134</v>
      </c>
      <c r="AL80" t="s">
        <v>134</v>
      </c>
      <c r="AM80" t="s">
        <v>134</v>
      </c>
      <c r="AN80" t="s">
        <v>134</v>
      </c>
      <c r="AO80" t="s">
        <v>134</v>
      </c>
      <c r="AP80" t="s">
        <v>134</v>
      </c>
      <c r="AQ80" t="s">
        <v>134</v>
      </c>
      <c r="AR80" t="s">
        <v>134</v>
      </c>
      <c r="AS80" t="s">
        <v>134</v>
      </c>
      <c r="AT80" t="s">
        <v>134</v>
      </c>
      <c r="AU80" t="s">
        <v>134</v>
      </c>
      <c r="AV80" t="s">
        <v>134</v>
      </c>
      <c r="AW80" t="s">
        <v>134</v>
      </c>
      <c r="AX80" t="s">
        <v>134</v>
      </c>
      <c r="AY80" t="s">
        <v>134</v>
      </c>
      <c r="AZ80" t="s">
        <v>134</v>
      </c>
      <c r="BA80" t="s">
        <v>134</v>
      </c>
      <c r="BB80" t="s">
        <v>134</v>
      </c>
      <c r="BC80" t="s">
        <v>134</v>
      </c>
      <c r="BD80" t="s">
        <v>134</v>
      </c>
      <c r="BE80" t="s">
        <v>134</v>
      </c>
      <c r="BF80" t="s">
        <v>134</v>
      </c>
      <c r="BG80" t="s">
        <v>134</v>
      </c>
      <c r="BH80" t="s">
        <v>134</v>
      </c>
      <c r="BI80" t="s">
        <v>134</v>
      </c>
      <c r="BJ80" t="s">
        <v>134</v>
      </c>
      <c r="BK80" t="s">
        <v>134</v>
      </c>
      <c r="BL80" t="s">
        <v>134</v>
      </c>
      <c r="BM80" t="s">
        <v>134</v>
      </c>
      <c r="BN80" t="s">
        <v>134</v>
      </c>
      <c r="BO80" t="s">
        <v>134</v>
      </c>
      <c r="BP80" t="s">
        <v>134</v>
      </c>
      <c r="BQ80" t="s">
        <v>134</v>
      </c>
      <c r="BR80" t="s">
        <v>134</v>
      </c>
      <c r="BS80" t="s">
        <v>134</v>
      </c>
      <c r="BT80" t="s">
        <v>134</v>
      </c>
      <c r="BU80" t="s">
        <v>134</v>
      </c>
      <c r="BV80" t="s">
        <v>134</v>
      </c>
      <c r="BW80" t="s">
        <v>134</v>
      </c>
      <c r="BX80" t="s">
        <v>134</v>
      </c>
      <c r="BY80" t="s">
        <v>134</v>
      </c>
      <c r="BZ80" t="s">
        <v>134</v>
      </c>
      <c r="CA80" t="s">
        <v>134</v>
      </c>
      <c r="CB80" t="s">
        <v>134</v>
      </c>
      <c r="CC80" t="s">
        <v>134</v>
      </c>
      <c r="CD80" t="s">
        <v>134</v>
      </c>
      <c r="CE80" t="s">
        <v>134</v>
      </c>
      <c r="CF80" t="s">
        <v>134</v>
      </c>
      <c r="CG80" t="s">
        <v>134</v>
      </c>
      <c r="CH80" t="s">
        <v>134</v>
      </c>
      <c r="CI80" t="s">
        <v>134</v>
      </c>
      <c r="CJ80" t="s">
        <v>134</v>
      </c>
      <c r="CK80" t="s">
        <v>134</v>
      </c>
      <c r="CL80" t="s">
        <v>134</v>
      </c>
      <c r="CM80" t="s">
        <v>134</v>
      </c>
      <c r="CN80" t="s">
        <v>134</v>
      </c>
      <c r="CO80" t="s">
        <v>134</v>
      </c>
      <c r="CP80" t="s">
        <v>134</v>
      </c>
      <c r="CQ80" t="s">
        <v>134</v>
      </c>
      <c r="CR80" t="s">
        <v>134</v>
      </c>
      <c r="CS80" t="s">
        <v>134</v>
      </c>
      <c r="CT80" t="s">
        <v>134</v>
      </c>
      <c r="CU80" t="s">
        <v>134</v>
      </c>
      <c r="CV80" t="s">
        <v>134</v>
      </c>
      <c r="CW80" t="s">
        <v>134</v>
      </c>
      <c r="CX80" t="s">
        <v>134</v>
      </c>
      <c r="CY80" t="s">
        <v>134</v>
      </c>
      <c r="CZ80" t="s">
        <v>134</v>
      </c>
      <c r="DA80" t="s">
        <v>134</v>
      </c>
      <c r="DB80" t="s">
        <v>134</v>
      </c>
      <c r="DC80" t="s">
        <v>134</v>
      </c>
      <c r="DD80" t="s">
        <v>134</v>
      </c>
      <c r="DE80" t="s">
        <v>134</v>
      </c>
      <c r="DF80" t="s">
        <v>134</v>
      </c>
      <c r="DG80" t="s">
        <v>134</v>
      </c>
      <c r="DH80" t="s">
        <v>134</v>
      </c>
      <c r="DI80" t="s">
        <v>134</v>
      </c>
    </row>
    <row r="81" spans="4:113" x14ac:dyDescent="0.3">
      <c r="E81" t="s">
        <v>80</v>
      </c>
      <c r="F81" t="s">
        <v>134</v>
      </c>
      <c r="G81" t="s">
        <v>134</v>
      </c>
      <c r="H81" t="s">
        <v>134</v>
      </c>
      <c r="I81" t="s">
        <v>134</v>
      </c>
      <c r="J81" t="s">
        <v>134</v>
      </c>
      <c r="K81" t="s">
        <v>134</v>
      </c>
      <c r="L81" t="s">
        <v>134</v>
      </c>
      <c r="M81" t="s">
        <v>134</v>
      </c>
      <c r="N81" t="s">
        <v>134</v>
      </c>
      <c r="O81" t="s">
        <v>134</v>
      </c>
      <c r="P81" t="s">
        <v>134</v>
      </c>
      <c r="Q81" t="s">
        <v>134</v>
      </c>
      <c r="R81" t="s">
        <v>134</v>
      </c>
      <c r="S81" t="s">
        <v>134</v>
      </c>
      <c r="T81" t="s">
        <v>134</v>
      </c>
      <c r="U81" t="s">
        <v>134</v>
      </c>
      <c r="V81" t="s">
        <v>134</v>
      </c>
      <c r="W81" t="s">
        <v>134</v>
      </c>
      <c r="X81" t="s">
        <v>134</v>
      </c>
      <c r="Y81" t="s">
        <v>134</v>
      </c>
      <c r="Z81" t="s">
        <v>134</v>
      </c>
      <c r="AA81" t="s">
        <v>134</v>
      </c>
      <c r="AB81" t="s">
        <v>134</v>
      </c>
      <c r="AC81" t="s">
        <v>134</v>
      </c>
      <c r="AD81" t="s">
        <v>134</v>
      </c>
      <c r="AE81" t="s">
        <v>134</v>
      </c>
      <c r="AF81" t="s">
        <v>134</v>
      </c>
      <c r="AG81" t="s">
        <v>134</v>
      </c>
      <c r="AH81" t="s">
        <v>134</v>
      </c>
      <c r="AI81" t="s">
        <v>134</v>
      </c>
      <c r="AJ81" t="s">
        <v>134</v>
      </c>
      <c r="AK81" t="s">
        <v>134</v>
      </c>
      <c r="AL81" t="s">
        <v>134</v>
      </c>
      <c r="AM81" t="s">
        <v>134</v>
      </c>
      <c r="AN81" t="s">
        <v>134</v>
      </c>
      <c r="AO81" t="s">
        <v>134</v>
      </c>
      <c r="AP81" t="s">
        <v>134</v>
      </c>
      <c r="AQ81" t="s">
        <v>134</v>
      </c>
      <c r="AR81" t="s">
        <v>134</v>
      </c>
      <c r="AS81" t="s">
        <v>134</v>
      </c>
      <c r="AT81" t="s">
        <v>134</v>
      </c>
      <c r="AU81" t="s">
        <v>134</v>
      </c>
      <c r="AV81" t="s">
        <v>134</v>
      </c>
      <c r="AW81" t="s">
        <v>134</v>
      </c>
      <c r="AX81" t="s">
        <v>134</v>
      </c>
      <c r="AY81" t="s">
        <v>134</v>
      </c>
      <c r="AZ81" t="s">
        <v>134</v>
      </c>
      <c r="BA81" t="s">
        <v>134</v>
      </c>
      <c r="BB81" t="s">
        <v>134</v>
      </c>
      <c r="BC81" t="s">
        <v>134</v>
      </c>
      <c r="BD81" t="s">
        <v>134</v>
      </c>
      <c r="BE81" t="s">
        <v>134</v>
      </c>
      <c r="BF81" t="s">
        <v>134</v>
      </c>
      <c r="BG81" t="s">
        <v>134</v>
      </c>
      <c r="BH81" t="s">
        <v>134</v>
      </c>
      <c r="BI81" t="s">
        <v>134</v>
      </c>
      <c r="BJ81" t="s">
        <v>134</v>
      </c>
      <c r="BK81" t="s">
        <v>134</v>
      </c>
      <c r="BL81" t="s">
        <v>134</v>
      </c>
      <c r="BM81" t="s">
        <v>134</v>
      </c>
      <c r="BN81" t="s">
        <v>134</v>
      </c>
      <c r="BO81" t="s">
        <v>134</v>
      </c>
      <c r="BP81" t="s">
        <v>134</v>
      </c>
      <c r="BQ81" t="s">
        <v>134</v>
      </c>
      <c r="BR81" t="s">
        <v>134</v>
      </c>
      <c r="BS81" t="s">
        <v>134</v>
      </c>
      <c r="BT81" t="s">
        <v>134</v>
      </c>
      <c r="BU81" t="s">
        <v>134</v>
      </c>
      <c r="BV81" t="s">
        <v>134</v>
      </c>
      <c r="BW81" t="s">
        <v>134</v>
      </c>
      <c r="BX81" t="s">
        <v>134</v>
      </c>
      <c r="BY81" t="s">
        <v>134</v>
      </c>
      <c r="BZ81" t="s">
        <v>134</v>
      </c>
      <c r="CA81" t="s">
        <v>134</v>
      </c>
      <c r="CB81" t="s">
        <v>134</v>
      </c>
      <c r="CC81" t="s">
        <v>134</v>
      </c>
      <c r="CD81" t="s">
        <v>134</v>
      </c>
      <c r="CE81" t="s">
        <v>134</v>
      </c>
      <c r="CF81" t="s">
        <v>134</v>
      </c>
      <c r="CG81" t="s">
        <v>134</v>
      </c>
      <c r="CH81" t="s">
        <v>134</v>
      </c>
      <c r="CI81" t="s">
        <v>134</v>
      </c>
      <c r="CJ81" t="s">
        <v>134</v>
      </c>
      <c r="CK81" t="s">
        <v>134</v>
      </c>
      <c r="CL81" t="s">
        <v>134</v>
      </c>
      <c r="CM81" t="s">
        <v>134</v>
      </c>
      <c r="CN81" t="s">
        <v>134</v>
      </c>
      <c r="CO81" t="s">
        <v>134</v>
      </c>
      <c r="CP81" t="s">
        <v>134</v>
      </c>
      <c r="CQ81" t="s">
        <v>134</v>
      </c>
      <c r="CR81" t="s">
        <v>134</v>
      </c>
      <c r="CS81" t="s">
        <v>134</v>
      </c>
      <c r="CT81" t="s">
        <v>134</v>
      </c>
      <c r="CU81" t="s">
        <v>134</v>
      </c>
      <c r="CV81" t="s">
        <v>134</v>
      </c>
      <c r="CW81" t="s">
        <v>134</v>
      </c>
      <c r="CX81" t="s">
        <v>134</v>
      </c>
      <c r="CY81" t="s">
        <v>134</v>
      </c>
      <c r="CZ81" t="s">
        <v>134</v>
      </c>
      <c r="DA81" t="s">
        <v>134</v>
      </c>
      <c r="DB81" t="s">
        <v>134</v>
      </c>
      <c r="DC81" t="s">
        <v>134</v>
      </c>
      <c r="DD81" t="s">
        <v>134</v>
      </c>
      <c r="DE81" t="s">
        <v>134</v>
      </c>
      <c r="DF81" t="s">
        <v>134</v>
      </c>
      <c r="DG81" t="s">
        <v>134</v>
      </c>
      <c r="DH81" t="s">
        <v>134</v>
      </c>
      <c r="DI81" t="s">
        <v>134</v>
      </c>
    </row>
    <row r="82" spans="4:113" x14ac:dyDescent="0.3">
      <c r="E82" t="s">
        <v>81</v>
      </c>
      <c r="F82" t="s">
        <v>134</v>
      </c>
      <c r="G82" t="s">
        <v>134</v>
      </c>
      <c r="H82" t="s">
        <v>134</v>
      </c>
      <c r="I82" t="s">
        <v>134</v>
      </c>
      <c r="J82" t="s">
        <v>134</v>
      </c>
      <c r="K82" t="s">
        <v>134</v>
      </c>
      <c r="L82" t="s">
        <v>134</v>
      </c>
      <c r="M82" t="s">
        <v>134</v>
      </c>
      <c r="N82" t="s">
        <v>134</v>
      </c>
      <c r="O82" t="s">
        <v>134</v>
      </c>
      <c r="P82" t="s">
        <v>134</v>
      </c>
      <c r="Q82" t="s">
        <v>134</v>
      </c>
      <c r="R82" t="s">
        <v>134</v>
      </c>
      <c r="S82" t="s">
        <v>134</v>
      </c>
      <c r="T82" t="s">
        <v>134</v>
      </c>
      <c r="U82" t="s">
        <v>134</v>
      </c>
      <c r="V82" t="s">
        <v>134</v>
      </c>
      <c r="W82" t="s">
        <v>134</v>
      </c>
      <c r="X82" t="s">
        <v>134</v>
      </c>
      <c r="Y82" t="s">
        <v>134</v>
      </c>
      <c r="Z82" t="s">
        <v>134</v>
      </c>
      <c r="AA82" t="s">
        <v>134</v>
      </c>
      <c r="AB82" t="s">
        <v>134</v>
      </c>
      <c r="AC82" t="s">
        <v>134</v>
      </c>
      <c r="AD82" t="s">
        <v>134</v>
      </c>
      <c r="AE82" t="s">
        <v>134</v>
      </c>
      <c r="AF82" t="s">
        <v>134</v>
      </c>
      <c r="AG82" t="s">
        <v>134</v>
      </c>
      <c r="AH82" t="s">
        <v>134</v>
      </c>
      <c r="AI82" t="s">
        <v>134</v>
      </c>
      <c r="AJ82" t="s">
        <v>134</v>
      </c>
      <c r="AK82" t="s">
        <v>134</v>
      </c>
      <c r="AL82" t="s">
        <v>134</v>
      </c>
      <c r="AM82" t="s">
        <v>134</v>
      </c>
      <c r="AN82" t="s">
        <v>134</v>
      </c>
      <c r="AO82" t="s">
        <v>134</v>
      </c>
      <c r="AP82" t="s">
        <v>134</v>
      </c>
      <c r="AQ82" t="s">
        <v>134</v>
      </c>
      <c r="AR82" t="s">
        <v>134</v>
      </c>
      <c r="AS82" t="s">
        <v>134</v>
      </c>
      <c r="AT82" t="s">
        <v>134</v>
      </c>
      <c r="AU82" t="s">
        <v>134</v>
      </c>
      <c r="AV82" t="s">
        <v>134</v>
      </c>
      <c r="AW82" t="s">
        <v>134</v>
      </c>
      <c r="AX82" t="s">
        <v>134</v>
      </c>
      <c r="AY82" t="s">
        <v>134</v>
      </c>
      <c r="AZ82" t="s">
        <v>134</v>
      </c>
      <c r="BA82" t="s">
        <v>134</v>
      </c>
      <c r="BB82" t="s">
        <v>134</v>
      </c>
      <c r="BC82" t="s">
        <v>134</v>
      </c>
      <c r="BD82" t="s">
        <v>134</v>
      </c>
      <c r="BE82" t="s">
        <v>134</v>
      </c>
      <c r="BF82" t="s">
        <v>134</v>
      </c>
      <c r="BG82" t="s">
        <v>134</v>
      </c>
      <c r="BH82" t="s">
        <v>134</v>
      </c>
      <c r="BI82" t="s">
        <v>134</v>
      </c>
      <c r="BJ82" t="s">
        <v>134</v>
      </c>
      <c r="BK82" t="s">
        <v>134</v>
      </c>
      <c r="BL82" t="s">
        <v>134</v>
      </c>
      <c r="BM82" t="s">
        <v>134</v>
      </c>
      <c r="BN82" t="s">
        <v>134</v>
      </c>
      <c r="BO82" t="s">
        <v>134</v>
      </c>
      <c r="BP82" t="s">
        <v>134</v>
      </c>
      <c r="BQ82" t="s">
        <v>134</v>
      </c>
      <c r="BR82" t="s">
        <v>134</v>
      </c>
      <c r="BS82" t="s">
        <v>134</v>
      </c>
      <c r="BT82" t="s">
        <v>134</v>
      </c>
      <c r="BU82" t="s">
        <v>134</v>
      </c>
      <c r="BV82" t="s">
        <v>134</v>
      </c>
      <c r="BW82" t="s">
        <v>134</v>
      </c>
      <c r="BX82" t="s">
        <v>134</v>
      </c>
      <c r="BY82" t="s">
        <v>134</v>
      </c>
      <c r="BZ82" t="s">
        <v>134</v>
      </c>
      <c r="CA82" t="s">
        <v>134</v>
      </c>
      <c r="CB82" t="s">
        <v>134</v>
      </c>
      <c r="CC82" t="s">
        <v>134</v>
      </c>
      <c r="CD82" t="s">
        <v>134</v>
      </c>
      <c r="CE82" t="s">
        <v>134</v>
      </c>
      <c r="CF82" t="s">
        <v>134</v>
      </c>
      <c r="CG82" t="s">
        <v>134</v>
      </c>
      <c r="CH82" t="s">
        <v>134</v>
      </c>
      <c r="CI82" t="s">
        <v>134</v>
      </c>
      <c r="CJ82" t="s">
        <v>134</v>
      </c>
      <c r="CK82" t="s">
        <v>134</v>
      </c>
      <c r="CL82" t="s">
        <v>134</v>
      </c>
      <c r="CM82" t="s">
        <v>134</v>
      </c>
      <c r="CN82" t="s">
        <v>134</v>
      </c>
      <c r="CO82" t="s">
        <v>134</v>
      </c>
      <c r="CP82" t="s">
        <v>134</v>
      </c>
      <c r="CQ82" t="s">
        <v>134</v>
      </c>
      <c r="CR82" t="s">
        <v>134</v>
      </c>
      <c r="CS82" t="s">
        <v>134</v>
      </c>
      <c r="CT82" t="s">
        <v>134</v>
      </c>
      <c r="CU82" t="s">
        <v>134</v>
      </c>
      <c r="CV82" t="s">
        <v>134</v>
      </c>
      <c r="CW82" t="s">
        <v>134</v>
      </c>
      <c r="CX82" t="s">
        <v>134</v>
      </c>
      <c r="CY82" t="s">
        <v>134</v>
      </c>
      <c r="CZ82" t="s">
        <v>134</v>
      </c>
      <c r="DA82" t="s">
        <v>134</v>
      </c>
      <c r="DB82" t="s">
        <v>134</v>
      </c>
      <c r="DC82" t="s">
        <v>134</v>
      </c>
      <c r="DD82" t="s">
        <v>134</v>
      </c>
      <c r="DE82" t="s">
        <v>134</v>
      </c>
      <c r="DF82" t="s">
        <v>134</v>
      </c>
      <c r="DG82" t="s">
        <v>134</v>
      </c>
      <c r="DH82" t="s">
        <v>134</v>
      </c>
      <c r="DI82" t="s">
        <v>134</v>
      </c>
    </row>
    <row r="83" spans="4:113" x14ac:dyDescent="0.3">
      <c r="D83" t="s">
        <v>82</v>
      </c>
      <c r="E83" t="s">
        <v>77</v>
      </c>
      <c r="F83" t="s">
        <v>134</v>
      </c>
      <c r="G83" t="s">
        <v>134</v>
      </c>
      <c r="H83" t="s">
        <v>134</v>
      </c>
      <c r="I83" t="s">
        <v>134</v>
      </c>
      <c r="J83" t="s">
        <v>134</v>
      </c>
      <c r="K83" t="s">
        <v>134</v>
      </c>
      <c r="L83" t="s">
        <v>134</v>
      </c>
      <c r="M83" t="s">
        <v>134</v>
      </c>
      <c r="N83" t="s">
        <v>134</v>
      </c>
      <c r="O83" t="s">
        <v>134</v>
      </c>
      <c r="P83" t="s">
        <v>134</v>
      </c>
      <c r="Q83" t="s">
        <v>134</v>
      </c>
      <c r="R83" t="s">
        <v>134</v>
      </c>
      <c r="S83" t="s">
        <v>134</v>
      </c>
      <c r="T83" t="s">
        <v>134</v>
      </c>
      <c r="U83" t="s">
        <v>134</v>
      </c>
      <c r="V83" t="s">
        <v>134</v>
      </c>
      <c r="W83" t="s">
        <v>134</v>
      </c>
      <c r="X83" t="s">
        <v>134</v>
      </c>
      <c r="Y83" t="s">
        <v>134</v>
      </c>
      <c r="Z83" t="s">
        <v>134</v>
      </c>
      <c r="AA83" t="s">
        <v>134</v>
      </c>
      <c r="AB83" t="s">
        <v>134</v>
      </c>
      <c r="AC83" t="s">
        <v>134</v>
      </c>
      <c r="AD83" t="s">
        <v>134</v>
      </c>
      <c r="AE83" t="s">
        <v>134</v>
      </c>
      <c r="AF83" t="s">
        <v>134</v>
      </c>
      <c r="AG83" t="s">
        <v>134</v>
      </c>
      <c r="AH83" t="s">
        <v>134</v>
      </c>
      <c r="AI83" t="s">
        <v>134</v>
      </c>
      <c r="AJ83" t="s">
        <v>134</v>
      </c>
      <c r="AK83" t="s">
        <v>134</v>
      </c>
      <c r="AL83" t="s">
        <v>134</v>
      </c>
      <c r="AM83" t="s">
        <v>134</v>
      </c>
      <c r="AN83" t="s">
        <v>134</v>
      </c>
      <c r="AO83" t="s">
        <v>134</v>
      </c>
      <c r="AP83" t="s">
        <v>134</v>
      </c>
      <c r="AQ83" t="s">
        <v>134</v>
      </c>
      <c r="AR83" t="s">
        <v>134</v>
      </c>
      <c r="AS83" t="s">
        <v>134</v>
      </c>
      <c r="AT83" t="s">
        <v>134</v>
      </c>
      <c r="AU83" t="s">
        <v>134</v>
      </c>
      <c r="AV83" t="s">
        <v>134</v>
      </c>
      <c r="AW83" t="s">
        <v>134</v>
      </c>
      <c r="AX83" t="s">
        <v>134</v>
      </c>
      <c r="AY83" t="s">
        <v>134</v>
      </c>
      <c r="AZ83" t="s">
        <v>134</v>
      </c>
      <c r="BA83" t="s">
        <v>134</v>
      </c>
      <c r="BB83" t="s">
        <v>134</v>
      </c>
      <c r="BC83" t="s">
        <v>134</v>
      </c>
      <c r="BD83" t="s">
        <v>134</v>
      </c>
      <c r="BE83" t="s">
        <v>134</v>
      </c>
      <c r="BF83" t="s">
        <v>134</v>
      </c>
      <c r="BG83" t="s">
        <v>134</v>
      </c>
      <c r="BH83" t="s">
        <v>134</v>
      </c>
      <c r="BI83" t="s">
        <v>134</v>
      </c>
      <c r="BJ83" t="s">
        <v>134</v>
      </c>
      <c r="BK83" t="s">
        <v>134</v>
      </c>
      <c r="BL83" t="s">
        <v>134</v>
      </c>
      <c r="BM83" t="s">
        <v>134</v>
      </c>
      <c r="BN83" t="s">
        <v>134</v>
      </c>
      <c r="BO83" t="s">
        <v>134</v>
      </c>
      <c r="BP83" t="s">
        <v>134</v>
      </c>
      <c r="BQ83" t="s">
        <v>134</v>
      </c>
      <c r="BR83" t="s">
        <v>134</v>
      </c>
      <c r="BS83" t="s">
        <v>134</v>
      </c>
      <c r="BT83" t="s">
        <v>134</v>
      </c>
      <c r="BU83" t="s">
        <v>134</v>
      </c>
      <c r="BV83" t="s">
        <v>134</v>
      </c>
      <c r="BW83" t="s">
        <v>134</v>
      </c>
      <c r="BX83" t="s">
        <v>134</v>
      </c>
      <c r="BY83" t="s">
        <v>134</v>
      </c>
      <c r="BZ83" t="s">
        <v>134</v>
      </c>
      <c r="CA83" t="s">
        <v>134</v>
      </c>
      <c r="CB83" t="s">
        <v>134</v>
      </c>
      <c r="CC83" t="s">
        <v>134</v>
      </c>
      <c r="CD83" t="s">
        <v>134</v>
      </c>
      <c r="CE83" t="s">
        <v>134</v>
      </c>
      <c r="CF83" t="s">
        <v>134</v>
      </c>
      <c r="CG83" t="s">
        <v>134</v>
      </c>
      <c r="CH83" t="s">
        <v>134</v>
      </c>
      <c r="CI83" t="s">
        <v>134</v>
      </c>
      <c r="CJ83" t="s">
        <v>134</v>
      </c>
      <c r="CK83" t="s">
        <v>134</v>
      </c>
      <c r="CL83" t="s">
        <v>134</v>
      </c>
      <c r="CM83" t="s">
        <v>134</v>
      </c>
      <c r="CN83" t="s">
        <v>134</v>
      </c>
      <c r="CO83" t="s">
        <v>134</v>
      </c>
      <c r="CP83" t="s">
        <v>134</v>
      </c>
      <c r="CQ83" t="s">
        <v>134</v>
      </c>
      <c r="CR83" t="s">
        <v>134</v>
      </c>
      <c r="CS83" t="s">
        <v>134</v>
      </c>
      <c r="CT83" t="s">
        <v>134</v>
      </c>
      <c r="CU83" t="s">
        <v>134</v>
      </c>
      <c r="CV83" t="s">
        <v>134</v>
      </c>
      <c r="CW83" t="s">
        <v>134</v>
      </c>
      <c r="CX83" t="s">
        <v>134</v>
      </c>
      <c r="CY83" t="s">
        <v>134</v>
      </c>
      <c r="CZ83" t="s">
        <v>134</v>
      </c>
      <c r="DA83" t="s">
        <v>134</v>
      </c>
      <c r="DB83" t="s">
        <v>134</v>
      </c>
      <c r="DC83" t="s">
        <v>134</v>
      </c>
      <c r="DD83" t="s">
        <v>134</v>
      </c>
      <c r="DE83" t="s">
        <v>134</v>
      </c>
      <c r="DF83" t="s">
        <v>134</v>
      </c>
      <c r="DG83" t="s">
        <v>134</v>
      </c>
      <c r="DH83" t="s">
        <v>134</v>
      </c>
      <c r="DI83" t="s">
        <v>134</v>
      </c>
    </row>
    <row r="84" spans="4:113" x14ac:dyDescent="0.3">
      <c r="E84" t="s">
        <v>78</v>
      </c>
      <c r="F84" t="s">
        <v>134</v>
      </c>
      <c r="G84" t="s">
        <v>134</v>
      </c>
      <c r="H84" t="s">
        <v>134</v>
      </c>
      <c r="I84" t="s">
        <v>134</v>
      </c>
      <c r="J84" t="s">
        <v>134</v>
      </c>
      <c r="K84" t="s">
        <v>134</v>
      </c>
      <c r="L84" t="s">
        <v>134</v>
      </c>
      <c r="M84" t="s">
        <v>134</v>
      </c>
      <c r="N84" t="s">
        <v>134</v>
      </c>
      <c r="O84" t="s">
        <v>134</v>
      </c>
      <c r="P84" t="s">
        <v>134</v>
      </c>
      <c r="Q84" t="s">
        <v>134</v>
      </c>
      <c r="R84" t="s">
        <v>134</v>
      </c>
      <c r="S84" t="s">
        <v>134</v>
      </c>
      <c r="T84" t="s">
        <v>134</v>
      </c>
      <c r="U84" t="s">
        <v>134</v>
      </c>
      <c r="V84" t="s">
        <v>134</v>
      </c>
      <c r="W84" t="s">
        <v>134</v>
      </c>
      <c r="X84" t="s">
        <v>134</v>
      </c>
      <c r="Y84" t="s">
        <v>134</v>
      </c>
      <c r="Z84" t="s">
        <v>134</v>
      </c>
      <c r="AA84" t="s">
        <v>134</v>
      </c>
      <c r="AB84" t="s">
        <v>134</v>
      </c>
      <c r="AC84" t="s">
        <v>134</v>
      </c>
      <c r="AD84" t="s">
        <v>134</v>
      </c>
      <c r="AE84" t="s">
        <v>134</v>
      </c>
      <c r="AF84" t="s">
        <v>134</v>
      </c>
      <c r="AG84" t="s">
        <v>134</v>
      </c>
      <c r="AH84" t="s">
        <v>134</v>
      </c>
      <c r="AI84" t="s">
        <v>134</v>
      </c>
      <c r="AJ84" t="s">
        <v>134</v>
      </c>
      <c r="AK84" t="s">
        <v>134</v>
      </c>
      <c r="AL84" t="s">
        <v>134</v>
      </c>
      <c r="AM84" t="s">
        <v>134</v>
      </c>
      <c r="AN84" t="s">
        <v>134</v>
      </c>
      <c r="AO84" t="s">
        <v>134</v>
      </c>
      <c r="AP84" t="s">
        <v>134</v>
      </c>
      <c r="AQ84" t="s">
        <v>134</v>
      </c>
      <c r="AR84" t="s">
        <v>134</v>
      </c>
      <c r="AS84" t="s">
        <v>134</v>
      </c>
      <c r="AT84" t="s">
        <v>134</v>
      </c>
      <c r="AU84" t="s">
        <v>134</v>
      </c>
      <c r="AV84" t="s">
        <v>134</v>
      </c>
      <c r="AW84" t="s">
        <v>134</v>
      </c>
      <c r="AX84" t="s">
        <v>134</v>
      </c>
      <c r="AY84" t="s">
        <v>134</v>
      </c>
      <c r="AZ84" t="s">
        <v>134</v>
      </c>
      <c r="BA84" t="s">
        <v>134</v>
      </c>
      <c r="BB84" t="s">
        <v>134</v>
      </c>
      <c r="BC84" t="s">
        <v>134</v>
      </c>
      <c r="BD84" t="s">
        <v>134</v>
      </c>
      <c r="BE84" t="s">
        <v>134</v>
      </c>
      <c r="BF84" t="s">
        <v>134</v>
      </c>
      <c r="BG84" t="s">
        <v>134</v>
      </c>
      <c r="BH84" t="s">
        <v>134</v>
      </c>
      <c r="BI84" t="s">
        <v>134</v>
      </c>
      <c r="BJ84" t="s">
        <v>134</v>
      </c>
      <c r="BK84" t="s">
        <v>134</v>
      </c>
      <c r="BL84" t="s">
        <v>134</v>
      </c>
      <c r="BM84" t="s">
        <v>134</v>
      </c>
      <c r="BN84" t="s">
        <v>134</v>
      </c>
      <c r="BO84" t="s">
        <v>134</v>
      </c>
      <c r="BP84" t="s">
        <v>134</v>
      </c>
      <c r="BQ84" t="s">
        <v>134</v>
      </c>
      <c r="BR84" t="s">
        <v>134</v>
      </c>
      <c r="BS84" t="s">
        <v>134</v>
      </c>
      <c r="BT84" t="s">
        <v>134</v>
      </c>
      <c r="BU84" t="s">
        <v>134</v>
      </c>
      <c r="BV84" t="s">
        <v>134</v>
      </c>
      <c r="BW84" t="s">
        <v>134</v>
      </c>
      <c r="BX84" t="s">
        <v>134</v>
      </c>
      <c r="BY84" t="s">
        <v>134</v>
      </c>
      <c r="BZ84" t="s">
        <v>134</v>
      </c>
      <c r="CA84" t="s">
        <v>134</v>
      </c>
      <c r="CB84" t="s">
        <v>134</v>
      </c>
      <c r="CC84" t="s">
        <v>134</v>
      </c>
      <c r="CD84" t="s">
        <v>134</v>
      </c>
      <c r="CE84" t="s">
        <v>134</v>
      </c>
      <c r="CF84" t="s">
        <v>134</v>
      </c>
      <c r="CG84" t="s">
        <v>134</v>
      </c>
      <c r="CH84" t="s">
        <v>134</v>
      </c>
      <c r="CI84" t="s">
        <v>134</v>
      </c>
      <c r="CJ84" t="s">
        <v>134</v>
      </c>
      <c r="CK84" t="s">
        <v>134</v>
      </c>
      <c r="CL84" t="s">
        <v>134</v>
      </c>
      <c r="CM84" t="s">
        <v>134</v>
      </c>
      <c r="CN84" t="s">
        <v>134</v>
      </c>
      <c r="CO84" t="s">
        <v>134</v>
      </c>
      <c r="CP84" t="s">
        <v>134</v>
      </c>
      <c r="CQ84" t="s">
        <v>134</v>
      </c>
      <c r="CR84" t="s">
        <v>134</v>
      </c>
      <c r="CS84" t="s">
        <v>134</v>
      </c>
      <c r="CT84" t="s">
        <v>134</v>
      </c>
      <c r="CU84" t="s">
        <v>134</v>
      </c>
      <c r="CV84" t="s">
        <v>134</v>
      </c>
      <c r="CW84" t="s">
        <v>134</v>
      </c>
      <c r="CX84" t="s">
        <v>134</v>
      </c>
      <c r="CY84" t="s">
        <v>134</v>
      </c>
      <c r="CZ84" t="s">
        <v>134</v>
      </c>
      <c r="DA84" t="s">
        <v>134</v>
      </c>
      <c r="DB84" t="s">
        <v>134</v>
      </c>
      <c r="DC84" t="s">
        <v>134</v>
      </c>
      <c r="DD84" t="s">
        <v>134</v>
      </c>
      <c r="DE84" t="s">
        <v>134</v>
      </c>
      <c r="DF84" t="s">
        <v>134</v>
      </c>
      <c r="DG84" t="s">
        <v>134</v>
      </c>
      <c r="DH84" t="s">
        <v>134</v>
      </c>
      <c r="DI84" t="s">
        <v>134</v>
      </c>
    </row>
    <row r="85" spans="4:113" x14ac:dyDescent="0.3">
      <c r="E85" t="s">
        <v>79</v>
      </c>
      <c r="F85" t="s">
        <v>134</v>
      </c>
      <c r="G85" t="s">
        <v>134</v>
      </c>
      <c r="H85" t="s">
        <v>134</v>
      </c>
      <c r="I85" t="s">
        <v>134</v>
      </c>
      <c r="J85" t="s">
        <v>134</v>
      </c>
      <c r="K85" t="s">
        <v>134</v>
      </c>
      <c r="L85" t="s">
        <v>134</v>
      </c>
      <c r="M85" t="s">
        <v>134</v>
      </c>
      <c r="N85" t="s">
        <v>134</v>
      </c>
      <c r="O85" t="s">
        <v>134</v>
      </c>
      <c r="P85" t="s">
        <v>134</v>
      </c>
      <c r="Q85" t="s">
        <v>134</v>
      </c>
      <c r="R85" t="s">
        <v>134</v>
      </c>
      <c r="S85" t="s">
        <v>134</v>
      </c>
      <c r="T85" t="s">
        <v>134</v>
      </c>
      <c r="U85" t="s">
        <v>134</v>
      </c>
      <c r="V85" t="s">
        <v>134</v>
      </c>
      <c r="W85" t="s">
        <v>134</v>
      </c>
      <c r="X85" t="s">
        <v>134</v>
      </c>
      <c r="Y85" t="s">
        <v>134</v>
      </c>
      <c r="Z85" t="s">
        <v>134</v>
      </c>
      <c r="AA85" t="s">
        <v>134</v>
      </c>
      <c r="AB85" t="s">
        <v>134</v>
      </c>
      <c r="AC85" t="s">
        <v>134</v>
      </c>
      <c r="AD85" t="s">
        <v>134</v>
      </c>
      <c r="AE85" t="s">
        <v>134</v>
      </c>
      <c r="AF85" t="s">
        <v>134</v>
      </c>
      <c r="AG85" t="s">
        <v>134</v>
      </c>
      <c r="AH85" t="s">
        <v>134</v>
      </c>
      <c r="AI85" t="s">
        <v>134</v>
      </c>
      <c r="AJ85" t="s">
        <v>134</v>
      </c>
      <c r="AK85" t="s">
        <v>134</v>
      </c>
      <c r="AL85" t="s">
        <v>134</v>
      </c>
      <c r="AM85" t="s">
        <v>134</v>
      </c>
      <c r="AN85" t="s">
        <v>134</v>
      </c>
      <c r="AO85" t="s">
        <v>134</v>
      </c>
      <c r="AP85" t="s">
        <v>134</v>
      </c>
      <c r="AQ85" t="s">
        <v>134</v>
      </c>
      <c r="AR85" t="s">
        <v>134</v>
      </c>
      <c r="AS85" t="s">
        <v>134</v>
      </c>
      <c r="AT85" t="s">
        <v>134</v>
      </c>
      <c r="AU85" t="s">
        <v>134</v>
      </c>
      <c r="AV85" t="s">
        <v>134</v>
      </c>
      <c r="AW85" t="s">
        <v>134</v>
      </c>
      <c r="AX85" t="s">
        <v>134</v>
      </c>
      <c r="AY85" t="s">
        <v>134</v>
      </c>
      <c r="AZ85" t="s">
        <v>134</v>
      </c>
      <c r="BA85" t="s">
        <v>134</v>
      </c>
      <c r="BB85" t="s">
        <v>134</v>
      </c>
      <c r="BC85" t="s">
        <v>134</v>
      </c>
      <c r="BD85" t="s">
        <v>134</v>
      </c>
      <c r="BE85" t="s">
        <v>134</v>
      </c>
      <c r="BF85" t="s">
        <v>134</v>
      </c>
      <c r="BG85" t="s">
        <v>134</v>
      </c>
      <c r="BH85" t="s">
        <v>134</v>
      </c>
      <c r="BI85" t="s">
        <v>134</v>
      </c>
      <c r="BJ85" t="s">
        <v>134</v>
      </c>
      <c r="BK85" t="s">
        <v>134</v>
      </c>
      <c r="BL85" t="s">
        <v>134</v>
      </c>
      <c r="BM85" t="s">
        <v>134</v>
      </c>
      <c r="BN85" t="s">
        <v>134</v>
      </c>
      <c r="BO85" t="s">
        <v>134</v>
      </c>
      <c r="BP85" t="s">
        <v>134</v>
      </c>
      <c r="BQ85" t="s">
        <v>134</v>
      </c>
      <c r="BR85" t="s">
        <v>134</v>
      </c>
      <c r="BS85" t="s">
        <v>134</v>
      </c>
      <c r="BT85" t="s">
        <v>134</v>
      </c>
      <c r="BU85" t="s">
        <v>134</v>
      </c>
      <c r="BV85" t="s">
        <v>134</v>
      </c>
      <c r="BW85" t="s">
        <v>134</v>
      </c>
      <c r="BX85" t="s">
        <v>134</v>
      </c>
      <c r="BY85" t="s">
        <v>134</v>
      </c>
      <c r="BZ85" t="s">
        <v>134</v>
      </c>
      <c r="CA85" t="s">
        <v>134</v>
      </c>
      <c r="CB85" t="s">
        <v>134</v>
      </c>
      <c r="CC85" t="s">
        <v>134</v>
      </c>
      <c r="CD85" t="s">
        <v>134</v>
      </c>
      <c r="CE85" t="s">
        <v>134</v>
      </c>
      <c r="CF85" t="s">
        <v>134</v>
      </c>
      <c r="CG85" t="s">
        <v>134</v>
      </c>
      <c r="CH85" t="s">
        <v>134</v>
      </c>
      <c r="CI85" t="s">
        <v>134</v>
      </c>
      <c r="CJ85" t="s">
        <v>134</v>
      </c>
      <c r="CK85" t="s">
        <v>134</v>
      </c>
      <c r="CL85" t="s">
        <v>134</v>
      </c>
      <c r="CM85" t="s">
        <v>134</v>
      </c>
      <c r="CN85" t="s">
        <v>134</v>
      </c>
      <c r="CO85" t="s">
        <v>134</v>
      </c>
      <c r="CP85" t="s">
        <v>134</v>
      </c>
      <c r="CQ85" t="s">
        <v>134</v>
      </c>
      <c r="CR85" t="s">
        <v>134</v>
      </c>
      <c r="CS85" t="s">
        <v>134</v>
      </c>
      <c r="CT85" t="s">
        <v>134</v>
      </c>
      <c r="CU85" t="s">
        <v>134</v>
      </c>
      <c r="CV85" t="s">
        <v>134</v>
      </c>
      <c r="CW85" t="s">
        <v>134</v>
      </c>
      <c r="CX85" t="s">
        <v>134</v>
      </c>
      <c r="CY85" t="s">
        <v>134</v>
      </c>
      <c r="CZ85" t="s">
        <v>134</v>
      </c>
      <c r="DA85" t="s">
        <v>134</v>
      </c>
      <c r="DB85" t="s">
        <v>134</v>
      </c>
      <c r="DC85" t="s">
        <v>134</v>
      </c>
      <c r="DD85" t="s">
        <v>134</v>
      </c>
      <c r="DE85" t="s">
        <v>134</v>
      </c>
      <c r="DF85" t="s">
        <v>134</v>
      </c>
      <c r="DG85" t="s">
        <v>134</v>
      </c>
      <c r="DH85" t="s">
        <v>134</v>
      </c>
      <c r="DI85" t="s">
        <v>134</v>
      </c>
    </row>
    <row r="86" spans="4:113" x14ac:dyDescent="0.3">
      <c r="E86" t="s">
        <v>80</v>
      </c>
      <c r="F86" t="s">
        <v>134</v>
      </c>
      <c r="G86" t="s">
        <v>134</v>
      </c>
      <c r="H86" t="s">
        <v>134</v>
      </c>
      <c r="I86" t="s">
        <v>134</v>
      </c>
      <c r="J86" t="s">
        <v>134</v>
      </c>
      <c r="K86" t="s">
        <v>134</v>
      </c>
      <c r="L86" t="s">
        <v>134</v>
      </c>
      <c r="M86" t="s">
        <v>134</v>
      </c>
      <c r="N86" t="s">
        <v>134</v>
      </c>
      <c r="O86" t="s">
        <v>134</v>
      </c>
      <c r="P86" t="s">
        <v>134</v>
      </c>
      <c r="Q86" t="s">
        <v>134</v>
      </c>
      <c r="R86" t="s">
        <v>134</v>
      </c>
      <c r="S86" t="s">
        <v>134</v>
      </c>
      <c r="T86" t="s">
        <v>134</v>
      </c>
      <c r="U86" t="s">
        <v>134</v>
      </c>
      <c r="V86" t="s">
        <v>134</v>
      </c>
      <c r="W86" t="s">
        <v>134</v>
      </c>
      <c r="X86" t="s">
        <v>134</v>
      </c>
      <c r="Y86" t="s">
        <v>134</v>
      </c>
      <c r="Z86" t="s">
        <v>134</v>
      </c>
      <c r="AA86" t="s">
        <v>134</v>
      </c>
      <c r="AB86" t="s">
        <v>134</v>
      </c>
      <c r="AC86" t="s">
        <v>134</v>
      </c>
      <c r="AD86" t="s">
        <v>134</v>
      </c>
      <c r="AE86" t="s">
        <v>134</v>
      </c>
      <c r="AF86" t="s">
        <v>134</v>
      </c>
      <c r="AG86" t="s">
        <v>134</v>
      </c>
      <c r="AH86" t="s">
        <v>134</v>
      </c>
      <c r="AI86" t="s">
        <v>134</v>
      </c>
      <c r="AJ86" t="s">
        <v>134</v>
      </c>
      <c r="AK86" t="s">
        <v>134</v>
      </c>
      <c r="AL86" t="s">
        <v>134</v>
      </c>
      <c r="AM86" t="s">
        <v>134</v>
      </c>
      <c r="AN86" t="s">
        <v>134</v>
      </c>
      <c r="AO86" t="s">
        <v>134</v>
      </c>
      <c r="AP86" t="s">
        <v>134</v>
      </c>
      <c r="AQ86" t="s">
        <v>134</v>
      </c>
      <c r="AR86" t="s">
        <v>134</v>
      </c>
      <c r="AS86" t="s">
        <v>134</v>
      </c>
      <c r="AT86" t="s">
        <v>134</v>
      </c>
      <c r="AU86" t="s">
        <v>134</v>
      </c>
      <c r="AV86" t="s">
        <v>134</v>
      </c>
      <c r="AW86" t="s">
        <v>134</v>
      </c>
      <c r="AX86" t="s">
        <v>134</v>
      </c>
      <c r="AY86" t="s">
        <v>134</v>
      </c>
      <c r="AZ86" t="s">
        <v>134</v>
      </c>
      <c r="BA86" t="s">
        <v>134</v>
      </c>
      <c r="BB86" t="s">
        <v>134</v>
      </c>
      <c r="BC86" t="s">
        <v>134</v>
      </c>
      <c r="BD86" t="s">
        <v>134</v>
      </c>
      <c r="BE86" t="s">
        <v>134</v>
      </c>
      <c r="BF86" t="s">
        <v>134</v>
      </c>
      <c r="BG86" t="s">
        <v>134</v>
      </c>
      <c r="BH86" t="s">
        <v>134</v>
      </c>
      <c r="BI86" t="s">
        <v>134</v>
      </c>
      <c r="BJ86" t="s">
        <v>134</v>
      </c>
      <c r="BK86" t="s">
        <v>134</v>
      </c>
      <c r="BL86" t="s">
        <v>134</v>
      </c>
      <c r="BM86" t="s">
        <v>134</v>
      </c>
      <c r="BN86" t="s">
        <v>134</v>
      </c>
      <c r="BO86" t="s">
        <v>134</v>
      </c>
      <c r="BP86" t="s">
        <v>134</v>
      </c>
      <c r="BQ86" t="s">
        <v>134</v>
      </c>
      <c r="BR86" t="s">
        <v>134</v>
      </c>
      <c r="BS86" t="s">
        <v>134</v>
      </c>
      <c r="BT86" t="s">
        <v>134</v>
      </c>
      <c r="BU86" t="s">
        <v>134</v>
      </c>
      <c r="BV86" t="s">
        <v>134</v>
      </c>
      <c r="BW86" t="s">
        <v>134</v>
      </c>
      <c r="BX86" t="s">
        <v>134</v>
      </c>
      <c r="BY86" t="s">
        <v>134</v>
      </c>
      <c r="BZ86" t="s">
        <v>134</v>
      </c>
      <c r="CA86" t="s">
        <v>134</v>
      </c>
      <c r="CB86" t="s">
        <v>134</v>
      </c>
      <c r="CC86" t="s">
        <v>134</v>
      </c>
      <c r="CD86" t="s">
        <v>134</v>
      </c>
      <c r="CE86" t="s">
        <v>134</v>
      </c>
      <c r="CF86" t="s">
        <v>134</v>
      </c>
      <c r="CG86" t="s">
        <v>134</v>
      </c>
      <c r="CH86" t="s">
        <v>134</v>
      </c>
      <c r="CI86" t="s">
        <v>134</v>
      </c>
      <c r="CJ86" t="s">
        <v>134</v>
      </c>
      <c r="CK86" t="s">
        <v>134</v>
      </c>
      <c r="CL86" t="s">
        <v>134</v>
      </c>
      <c r="CM86" t="s">
        <v>134</v>
      </c>
      <c r="CN86" t="s">
        <v>134</v>
      </c>
      <c r="CO86" t="s">
        <v>134</v>
      </c>
      <c r="CP86" t="s">
        <v>134</v>
      </c>
      <c r="CQ86" t="s">
        <v>134</v>
      </c>
      <c r="CR86" t="s">
        <v>134</v>
      </c>
      <c r="CS86" t="s">
        <v>134</v>
      </c>
      <c r="CT86" t="s">
        <v>134</v>
      </c>
      <c r="CU86" t="s">
        <v>134</v>
      </c>
      <c r="CV86" t="s">
        <v>134</v>
      </c>
      <c r="CW86" t="s">
        <v>134</v>
      </c>
      <c r="CX86" t="s">
        <v>134</v>
      </c>
      <c r="CY86" t="s">
        <v>134</v>
      </c>
      <c r="CZ86" t="s">
        <v>134</v>
      </c>
      <c r="DA86" t="s">
        <v>134</v>
      </c>
      <c r="DB86" t="s">
        <v>134</v>
      </c>
      <c r="DC86" t="s">
        <v>134</v>
      </c>
      <c r="DD86" t="s">
        <v>134</v>
      </c>
      <c r="DE86" t="s">
        <v>134</v>
      </c>
      <c r="DF86" t="s">
        <v>134</v>
      </c>
      <c r="DG86" t="s">
        <v>134</v>
      </c>
      <c r="DH86" t="s">
        <v>134</v>
      </c>
      <c r="DI86" t="s">
        <v>134</v>
      </c>
    </row>
    <row r="87" spans="4:113" x14ac:dyDescent="0.3">
      <c r="E87" t="s">
        <v>81</v>
      </c>
      <c r="F87" t="s">
        <v>134</v>
      </c>
      <c r="G87" t="s">
        <v>134</v>
      </c>
      <c r="H87" t="s">
        <v>134</v>
      </c>
      <c r="I87" t="s">
        <v>134</v>
      </c>
      <c r="J87" t="s">
        <v>134</v>
      </c>
      <c r="K87" t="s">
        <v>134</v>
      </c>
      <c r="L87" t="s">
        <v>134</v>
      </c>
      <c r="M87" t="s">
        <v>134</v>
      </c>
      <c r="N87" t="s">
        <v>134</v>
      </c>
      <c r="O87" t="s">
        <v>134</v>
      </c>
      <c r="P87" t="s">
        <v>134</v>
      </c>
      <c r="Q87" t="s">
        <v>134</v>
      </c>
      <c r="R87" t="s">
        <v>134</v>
      </c>
      <c r="S87" t="s">
        <v>134</v>
      </c>
      <c r="T87" t="s">
        <v>134</v>
      </c>
      <c r="U87" t="s">
        <v>134</v>
      </c>
      <c r="V87" t="s">
        <v>134</v>
      </c>
      <c r="W87" t="s">
        <v>134</v>
      </c>
      <c r="X87" t="s">
        <v>134</v>
      </c>
      <c r="Y87" t="s">
        <v>134</v>
      </c>
      <c r="Z87" t="s">
        <v>134</v>
      </c>
      <c r="AA87" t="s">
        <v>134</v>
      </c>
      <c r="AB87" t="s">
        <v>134</v>
      </c>
      <c r="AC87" t="s">
        <v>134</v>
      </c>
      <c r="AD87" t="s">
        <v>134</v>
      </c>
      <c r="AE87" t="s">
        <v>134</v>
      </c>
      <c r="AF87" t="s">
        <v>134</v>
      </c>
      <c r="AG87" t="s">
        <v>134</v>
      </c>
      <c r="AH87" t="s">
        <v>134</v>
      </c>
      <c r="AI87" t="s">
        <v>134</v>
      </c>
      <c r="AJ87" t="s">
        <v>134</v>
      </c>
      <c r="AK87" t="s">
        <v>134</v>
      </c>
      <c r="AL87" t="s">
        <v>134</v>
      </c>
      <c r="AM87" t="s">
        <v>134</v>
      </c>
      <c r="AN87" t="s">
        <v>134</v>
      </c>
      <c r="AO87" t="s">
        <v>134</v>
      </c>
      <c r="AP87" t="s">
        <v>134</v>
      </c>
      <c r="AQ87" t="s">
        <v>134</v>
      </c>
      <c r="AR87" t="s">
        <v>134</v>
      </c>
      <c r="AS87" t="s">
        <v>134</v>
      </c>
      <c r="AT87" t="s">
        <v>134</v>
      </c>
      <c r="AU87" t="s">
        <v>134</v>
      </c>
      <c r="AV87" t="s">
        <v>134</v>
      </c>
      <c r="AW87" t="s">
        <v>134</v>
      </c>
      <c r="AX87" t="s">
        <v>134</v>
      </c>
      <c r="AY87" t="s">
        <v>134</v>
      </c>
      <c r="AZ87" t="s">
        <v>134</v>
      </c>
      <c r="BA87" t="s">
        <v>134</v>
      </c>
      <c r="BB87" t="s">
        <v>134</v>
      </c>
      <c r="BC87" t="s">
        <v>134</v>
      </c>
      <c r="BD87" t="s">
        <v>134</v>
      </c>
      <c r="BE87" t="s">
        <v>134</v>
      </c>
      <c r="BF87" t="s">
        <v>134</v>
      </c>
      <c r="BG87" t="s">
        <v>134</v>
      </c>
      <c r="BH87" t="s">
        <v>134</v>
      </c>
      <c r="BI87" t="s">
        <v>134</v>
      </c>
      <c r="BJ87" t="s">
        <v>134</v>
      </c>
      <c r="BK87" t="s">
        <v>134</v>
      </c>
      <c r="BL87" t="s">
        <v>134</v>
      </c>
      <c r="BM87" t="s">
        <v>134</v>
      </c>
      <c r="BN87" t="s">
        <v>134</v>
      </c>
      <c r="BO87" t="s">
        <v>134</v>
      </c>
      <c r="BP87" t="s">
        <v>134</v>
      </c>
      <c r="BQ87" t="s">
        <v>134</v>
      </c>
      <c r="BR87" t="s">
        <v>134</v>
      </c>
      <c r="BS87" t="s">
        <v>134</v>
      </c>
      <c r="BT87" t="s">
        <v>134</v>
      </c>
      <c r="BU87" t="s">
        <v>134</v>
      </c>
      <c r="BV87" t="s">
        <v>134</v>
      </c>
      <c r="BW87" t="s">
        <v>134</v>
      </c>
      <c r="BX87" t="s">
        <v>134</v>
      </c>
      <c r="BY87" t="s">
        <v>134</v>
      </c>
      <c r="BZ87" t="s">
        <v>134</v>
      </c>
      <c r="CA87" t="s">
        <v>134</v>
      </c>
      <c r="CB87" t="s">
        <v>134</v>
      </c>
      <c r="CC87" t="s">
        <v>134</v>
      </c>
      <c r="CD87" t="s">
        <v>134</v>
      </c>
      <c r="CE87" t="s">
        <v>134</v>
      </c>
      <c r="CF87" t="s">
        <v>134</v>
      </c>
      <c r="CG87" t="s">
        <v>134</v>
      </c>
      <c r="CH87" t="s">
        <v>134</v>
      </c>
      <c r="CI87" t="s">
        <v>134</v>
      </c>
      <c r="CJ87" t="s">
        <v>134</v>
      </c>
      <c r="CK87" t="s">
        <v>134</v>
      </c>
      <c r="CL87" t="s">
        <v>134</v>
      </c>
      <c r="CM87" t="s">
        <v>134</v>
      </c>
      <c r="CN87" t="s">
        <v>134</v>
      </c>
      <c r="CO87" t="s">
        <v>134</v>
      </c>
      <c r="CP87" t="s">
        <v>134</v>
      </c>
      <c r="CQ87" t="s">
        <v>134</v>
      </c>
      <c r="CR87" t="s">
        <v>134</v>
      </c>
      <c r="CS87" t="s">
        <v>134</v>
      </c>
      <c r="CT87" t="s">
        <v>134</v>
      </c>
      <c r="CU87" t="s">
        <v>134</v>
      </c>
      <c r="CV87" t="s">
        <v>134</v>
      </c>
      <c r="CW87" t="s">
        <v>134</v>
      </c>
      <c r="CX87" t="s">
        <v>134</v>
      </c>
      <c r="CY87" t="s">
        <v>134</v>
      </c>
      <c r="CZ87" t="s">
        <v>134</v>
      </c>
      <c r="DA87" t="s">
        <v>134</v>
      </c>
      <c r="DB87" t="s">
        <v>134</v>
      </c>
      <c r="DC87" t="s">
        <v>134</v>
      </c>
      <c r="DD87" t="s">
        <v>134</v>
      </c>
      <c r="DE87" t="s">
        <v>134</v>
      </c>
      <c r="DF87" t="s">
        <v>134</v>
      </c>
      <c r="DG87" t="s">
        <v>134</v>
      </c>
      <c r="DH87" t="s">
        <v>134</v>
      </c>
      <c r="DI87" t="s">
        <v>134</v>
      </c>
    </row>
    <row r="88" spans="4:113" x14ac:dyDescent="0.3">
      <c r="D88" t="s">
        <v>83</v>
      </c>
      <c r="E88" t="s">
        <v>77</v>
      </c>
      <c r="F88" t="s">
        <v>134</v>
      </c>
      <c r="G88" t="s">
        <v>134</v>
      </c>
      <c r="H88" t="s">
        <v>134</v>
      </c>
      <c r="I88" t="s">
        <v>134</v>
      </c>
      <c r="J88" t="s">
        <v>134</v>
      </c>
      <c r="K88" t="s">
        <v>134</v>
      </c>
      <c r="L88" t="s">
        <v>134</v>
      </c>
      <c r="M88" t="s">
        <v>134</v>
      </c>
      <c r="N88" t="s">
        <v>134</v>
      </c>
      <c r="O88" t="s">
        <v>134</v>
      </c>
      <c r="P88" t="s">
        <v>134</v>
      </c>
      <c r="Q88" t="s">
        <v>134</v>
      </c>
      <c r="R88" t="s">
        <v>134</v>
      </c>
      <c r="S88" t="s">
        <v>134</v>
      </c>
      <c r="T88" t="s">
        <v>134</v>
      </c>
      <c r="U88" t="s">
        <v>134</v>
      </c>
      <c r="V88" t="s">
        <v>134</v>
      </c>
      <c r="W88" t="s">
        <v>134</v>
      </c>
      <c r="X88" t="s">
        <v>134</v>
      </c>
      <c r="Y88" t="s">
        <v>134</v>
      </c>
      <c r="Z88" t="s">
        <v>134</v>
      </c>
      <c r="AA88" t="s">
        <v>134</v>
      </c>
      <c r="AB88" t="s">
        <v>134</v>
      </c>
      <c r="AC88" t="s">
        <v>134</v>
      </c>
      <c r="AD88" t="s">
        <v>134</v>
      </c>
      <c r="AE88" t="s">
        <v>134</v>
      </c>
      <c r="AF88" t="s">
        <v>134</v>
      </c>
      <c r="AG88" t="s">
        <v>134</v>
      </c>
      <c r="AH88" t="s">
        <v>134</v>
      </c>
      <c r="AI88" t="s">
        <v>134</v>
      </c>
      <c r="AJ88" t="s">
        <v>134</v>
      </c>
      <c r="AK88" t="s">
        <v>134</v>
      </c>
      <c r="AL88" t="s">
        <v>134</v>
      </c>
      <c r="AM88" t="s">
        <v>134</v>
      </c>
      <c r="AN88" t="s">
        <v>134</v>
      </c>
      <c r="AO88" t="s">
        <v>134</v>
      </c>
      <c r="AP88" t="s">
        <v>134</v>
      </c>
      <c r="AQ88" t="s">
        <v>134</v>
      </c>
      <c r="AR88" t="s">
        <v>134</v>
      </c>
      <c r="AS88" t="s">
        <v>134</v>
      </c>
      <c r="AT88" t="s">
        <v>134</v>
      </c>
      <c r="AU88" t="s">
        <v>134</v>
      </c>
      <c r="AV88" t="s">
        <v>134</v>
      </c>
      <c r="AW88" t="s">
        <v>134</v>
      </c>
      <c r="AX88" t="s">
        <v>134</v>
      </c>
      <c r="AY88" t="s">
        <v>134</v>
      </c>
      <c r="AZ88" t="s">
        <v>134</v>
      </c>
      <c r="BA88" t="s">
        <v>134</v>
      </c>
      <c r="BB88" t="s">
        <v>134</v>
      </c>
      <c r="BC88" t="s">
        <v>134</v>
      </c>
      <c r="BD88" t="s">
        <v>134</v>
      </c>
      <c r="BE88" t="s">
        <v>134</v>
      </c>
      <c r="BF88" t="s">
        <v>134</v>
      </c>
      <c r="BG88" t="s">
        <v>134</v>
      </c>
      <c r="BH88" t="s">
        <v>134</v>
      </c>
      <c r="BI88" t="s">
        <v>134</v>
      </c>
      <c r="BJ88" t="s">
        <v>134</v>
      </c>
      <c r="BK88" t="s">
        <v>134</v>
      </c>
      <c r="BL88" t="s">
        <v>134</v>
      </c>
      <c r="BM88" t="s">
        <v>134</v>
      </c>
      <c r="BN88" t="s">
        <v>134</v>
      </c>
      <c r="BO88" t="s">
        <v>134</v>
      </c>
      <c r="BP88" t="s">
        <v>134</v>
      </c>
      <c r="BQ88" t="s">
        <v>134</v>
      </c>
      <c r="BR88" t="s">
        <v>134</v>
      </c>
      <c r="BS88" t="s">
        <v>134</v>
      </c>
      <c r="BT88" t="s">
        <v>134</v>
      </c>
      <c r="BU88" t="s">
        <v>134</v>
      </c>
      <c r="BV88" t="s">
        <v>134</v>
      </c>
      <c r="BW88" t="s">
        <v>134</v>
      </c>
      <c r="BX88" t="s">
        <v>134</v>
      </c>
      <c r="BY88" t="s">
        <v>134</v>
      </c>
      <c r="BZ88" t="s">
        <v>134</v>
      </c>
      <c r="CA88" t="s">
        <v>134</v>
      </c>
      <c r="CB88" t="s">
        <v>134</v>
      </c>
      <c r="CC88" t="s">
        <v>134</v>
      </c>
      <c r="CD88" t="s">
        <v>134</v>
      </c>
      <c r="CE88" t="s">
        <v>134</v>
      </c>
      <c r="CF88" t="s">
        <v>134</v>
      </c>
      <c r="CG88" t="s">
        <v>134</v>
      </c>
      <c r="CH88" t="s">
        <v>134</v>
      </c>
      <c r="CI88" t="s">
        <v>134</v>
      </c>
      <c r="CJ88" t="s">
        <v>134</v>
      </c>
      <c r="CK88" t="s">
        <v>134</v>
      </c>
      <c r="CL88" t="s">
        <v>134</v>
      </c>
      <c r="CM88" t="s">
        <v>134</v>
      </c>
      <c r="CN88" t="s">
        <v>134</v>
      </c>
      <c r="CO88" t="s">
        <v>134</v>
      </c>
      <c r="CP88" t="s">
        <v>134</v>
      </c>
      <c r="CQ88" t="s">
        <v>134</v>
      </c>
      <c r="CR88" t="s">
        <v>134</v>
      </c>
      <c r="CS88" t="s">
        <v>134</v>
      </c>
      <c r="CT88" t="s">
        <v>134</v>
      </c>
      <c r="CU88" t="s">
        <v>134</v>
      </c>
      <c r="CV88" t="s">
        <v>134</v>
      </c>
      <c r="CW88" t="s">
        <v>134</v>
      </c>
      <c r="CX88" t="s">
        <v>134</v>
      </c>
      <c r="CY88" t="s">
        <v>134</v>
      </c>
      <c r="CZ88" t="s">
        <v>134</v>
      </c>
      <c r="DA88" t="s">
        <v>134</v>
      </c>
      <c r="DB88" t="s">
        <v>134</v>
      </c>
      <c r="DC88" t="s">
        <v>134</v>
      </c>
      <c r="DD88" t="s">
        <v>134</v>
      </c>
      <c r="DE88" t="s">
        <v>134</v>
      </c>
      <c r="DF88" t="s">
        <v>134</v>
      </c>
      <c r="DG88" t="s">
        <v>134</v>
      </c>
      <c r="DH88" t="s">
        <v>134</v>
      </c>
      <c r="DI88" t="s">
        <v>134</v>
      </c>
    </row>
    <row r="89" spans="4:113" x14ac:dyDescent="0.3">
      <c r="E89" t="s">
        <v>78</v>
      </c>
      <c r="F89" t="s">
        <v>134</v>
      </c>
      <c r="G89" t="s">
        <v>134</v>
      </c>
      <c r="H89" t="s">
        <v>134</v>
      </c>
      <c r="I89" t="s">
        <v>134</v>
      </c>
      <c r="J89" t="s">
        <v>134</v>
      </c>
      <c r="K89" t="s">
        <v>134</v>
      </c>
      <c r="L89" t="s">
        <v>134</v>
      </c>
      <c r="M89" t="s">
        <v>134</v>
      </c>
      <c r="N89" t="s">
        <v>134</v>
      </c>
      <c r="O89" t="s">
        <v>134</v>
      </c>
      <c r="P89" t="s">
        <v>134</v>
      </c>
      <c r="Q89" t="s">
        <v>134</v>
      </c>
      <c r="R89" t="s">
        <v>134</v>
      </c>
      <c r="S89" t="s">
        <v>134</v>
      </c>
      <c r="T89" t="s">
        <v>134</v>
      </c>
      <c r="U89" t="s">
        <v>134</v>
      </c>
      <c r="V89" t="s">
        <v>134</v>
      </c>
      <c r="W89" t="s">
        <v>134</v>
      </c>
      <c r="X89" t="s">
        <v>134</v>
      </c>
      <c r="Y89" t="s">
        <v>134</v>
      </c>
      <c r="Z89" t="s">
        <v>134</v>
      </c>
      <c r="AA89" t="s">
        <v>134</v>
      </c>
      <c r="AB89" t="s">
        <v>134</v>
      </c>
      <c r="AC89" t="s">
        <v>134</v>
      </c>
      <c r="AD89" t="s">
        <v>134</v>
      </c>
      <c r="AE89" t="s">
        <v>134</v>
      </c>
      <c r="AF89" t="s">
        <v>134</v>
      </c>
      <c r="AG89" t="s">
        <v>134</v>
      </c>
      <c r="AH89" t="s">
        <v>134</v>
      </c>
      <c r="AI89" t="s">
        <v>134</v>
      </c>
      <c r="AJ89" t="s">
        <v>134</v>
      </c>
      <c r="AK89" t="s">
        <v>134</v>
      </c>
      <c r="AL89" t="s">
        <v>134</v>
      </c>
      <c r="AM89" t="s">
        <v>134</v>
      </c>
      <c r="AN89" t="s">
        <v>134</v>
      </c>
      <c r="AO89" t="s">
        <v>134</v>
      </c>
      <c r="AP89" t="s">
        <v>134</v>
      </c>
      <c r="AQ89" t="s">
        <v>134</v>
      </c>
      <c r="AR89" t="s">
        <v>134</v>
      </c>
      <c r="AS89" t="s">
        <v>134</v>
      </c>
      <c r="AT89" t="s">
        <v>134</v>
      </c>
      <c r="AU89" t="s">
        <v>134</v>
      </c>
      <c r="AV89" t="s">
        <v>134</v>
      </c>
      <c r="AW89" t="s">
        <v>134</v>
      </c>
      <c r="AX89" t="s">
        <v>134</v>
      </c>
      <c r="AY89" t="s">
        <v>134</v>
      </c>
      <c r="AZ89" t="s">
        <v>134</v>
      </c>
      <c r="BA89" t="s">
        <v>134</v>
      </c>
      <c r="BB89" t="s">
        <v>134</v>
      </c>
      <c r="BC89" t="s">
        <v>134</v>
      </c>
      <c r="BD89" t="s">
        <v>134</v>
      </c>
      <c r="BE89" t="s">
        <v>134</v>
      </c>
      <c r="BF89" t="s">
        <v>134</v>
      </c>
      <c r="BG89" t="s">
        <v>134</v>
      </c>
      <c r="BH89" t="s">
        <v>134</v>
      </c>
      <c r="BI89" t="s">
        <v>134</v>
      </c>
      <c r="BJ89" t="s">
        <v>134</v>
      </c>
      <c r="BK89" t="s">
        <v>134</v>
      </c>
      <c r="BL89" t="s">
        <v>134</v>
      </c>
      <c r="BM89" t="s">
        <v>134</v>
      </c>
      <c r="BN89" t="s">
        <v>134</v>
      </c>
      <c r="BO89" t="s">
        <v>134</v>
      </c>
      <c r="BP89" t="s">
        <v>134</v>
      </c>
      <c r="BQ89" t="s">
        <v>134</v>
      </c>
      <c r="BR89" t="s">
        <v>134</v>
      </c>
      <c r="BS89" t="s">
        <v>134</v>
      </c>
      <c r="BT89" t="s">
        <v>134</v>
      </c>
      <c r="BU89" t="s">
        <v>134</v>
      </c>
      <c r="BV89" t="s">
        <v>134</v>
      </c>
      <c r="BW89" t="s">
        <v>134</v>
      </c>
      <c r="BX89" t="s">
        <v>134</v>
      </c>
      <c r="BY89" t="s">
        <v>134</v>
      </c>
      <c r="BZ89" t="s">
        <v>134</v>
      </c>
      <c r="CA89" t="s">
        <v>134</v>
      </c>
      <c r="CB89" t="s">
        <v>134</v>
      </c>
      <c r="CC89" t="s">
        <v>134</v>
      </c>
      <c r="CD89" t="s">
        <v>134</v>
      </c>
      <c r="CE89" t="s">
        <v>134</v>
      </c>
      <c r="CF89" t="s">
        <v>134</v>
      </c>
      <c r="CG89" t="s">
        <v>134</v>
      </c>
      <c r="CH89" t="s">
        <v>134</v>
      </c>
      <c r="CI89" t="s">
        <v>134</v>
      </c>
      <c r="CJ89" t="s">
        <v>134</v>
      </c>
      <c r="CK89" t="s">
        <v>134</v>
      </c>
      <c r="CL89" t="s">
        <v>134</v>
      </c>
      <c r="CM89" t="s">
        <v>134</v>
      </c>
      <c r="CN89" t="s">
        <v>134</v>
      </c>
      <c r="CO89" t="s">
        <v>134</v>
      </c>
      <c r="CP89" t="s">
        <v>134</v>
      </c>
      <c r="CQ89" t="s">
        <v>134</v>
      </c>
      <c r="CR89" t="s">
        <v>134</v>
      </c>
      <c r="CS89" t="s">
        <v>134</v>
      </c>
      <c r="CT89" t="s">
        <v>134</v>
      </c>
      <c r="CU89" t="s">
        <v>134</v>
      </c>
      <c r="CV89" t="s">
        <v>134</v>
      </c>
      <c r="CW89" t="s">
        <v>134</v>
      </c>
      <c r="CX89" t="s">
        <v>134</v>
      </c>
      <c r="CY89" t="s">
        <v>134</v>
      </c>
      <c r="CZ89" t="s">
        <v>134</v>
      </c>
      <c r="DA89" t="s">
        <v>134</v>
      </c>
      <c r="DB89" t="s">
        <v>134</v>
      </c>
      <c r="DC89" t="s">
        <v>134</v>
      </c>
      <c r="DD89" t="s">
        <v>134</v>
      </c>
      <c r="DE89" t="s">
        <v>134</v>
      </c>
      <c r="DF89" t="s">
        <v>134</v>
      </c>
      <c r="DG89" t="s">
        <v>134</v>
      </c>
      <c r="DH89" t="s">
        <v>134</v>
      </c>
      <c r="DI89" t="s">
        <v>134</v>
      </c>
    </row>
    <row r="90" spans="4:113" x14ac:dyDescent="0.3">
      <c r="E90" t="s">
        <v>79</v>
      </c>
      <c r="F90" t="s">
        <v>134</v>
      </c>
      <c r="G90" t="s">
        <v>134</v>
      </c>
      <c r="H90" t="s">
        <v>134</v>
      </c>
      <c r="I90" t="s">
        <v>134</v>
      </c>
      <c r="J90" t="s">
        <v>134</v>
      </c>
      <c r="K90" t="s">
        <v>134</v>
      </c>
      <c r="L90" t="s">
        <v>134</v>
      </c>
      <c r="M90" t="s">
        <v>134</v>
      </c>
      <c r="N90" t="s">
        <v>134</v>
      </c>
      <c r="O90" t="s">
        <v>134</v>
      </c>
      <c r="P90" t="s">
        <v>134</v>
      </c>
      <c r="Q90" t="s">
        <v>134</v>
      </c>
      <c r="R90" t="s">
        <v>134</v>
      </c>
      <c r="S90" t="s">
        <v>134</v>
      </c>
      <c r="T90" t="s">
        <v>134</v>
      </c>
      <c r="U90" t="s">
        <v>134</v>
      </c>
      <c r="V90" t="s">
        <v>134</v>
      </c>
      <c r="W90" t="s">
        <v>134</v>
      </c>
      <c r="X90" t="s">
        <v>134</v>
      </c>
      <c r="Y90" t="s">
        <v>134</v>
      </c>
      <c r="Z90" t="s">
        <v>134</v>
      </c>
      <c r="AA90" t="s">
        <v>134</v>
      </c>
      <c r="AB90" t="s">
        <v>134</v>
      </c>
      <c r="AC90" t="s">
        <v>134</v>
      </c>
      <c r="AD90" t="s">
        <v>134</v>
      </c>
      <c r="AE90" t="s">
        <v>134</v>
      </c>
      <c r="AF90" t="s">
        <v>134</v>
      </c>
      <c r="AG90" t="s">
        <v>134</v>
      </c>
      <c r="AH90" t="s">
        <v>134</v>
      </c>
      <c r="AI90" t="s">
        <v>134</v>
      </c>
      <c r="AJ90" t="s">
        <v>134</v>
      </c>
      <c r="AK90" t="s">
        <v>134</v>
      </c>
      <c r="AL90" t="s">
        <v>134</v>
      </c>
      <c r="AM90" t="s">
        <v>134</v>
      </c>
      <c r="AN90" t="s">
        <v>134</v>
      </c>
      <c r="AO90" t="s">
        <v>134</v>
      </c>
      <c r="AP90" t="s">
        <v>134</v>
      </c>
      <c r="AQ90" t="s">
        <v>134</v>
      </c>
      <c r="AR90" t="s">
        <v>134</v>
      </c>
      <c r="AS90" t="s">
        <v>134</v>
      </c>
      <c r="AT90" t="s">
        <v>134</v>
      </c>
      <c r="AU90" t="s">
        <v>134</v>
      </c>
      <c r="AV90" t="s">
        <v>134</v>
      </c>
      <c r="AW90" t="s">
        <v>134</v>
      </c>
      <c r="AX90" t="s">
        <v>134</v>
      </c>
      <c r="AY90" t="s">
        <v>134</v>
      </c>
      <c r="AZ90" t="s">
        <v>134</v>
      </c>
      <c r="BA90" t="s">
        <v>134</v>
      </c>
      <c r="BB90" t="s">
        <v>134</v>
      </c>
      <c r="BC90" t="s">
        <v>134</v>
      </c>
      <c r="BD90" t="s">
        <v>134</v>
      </c>
      <c r="BE90" t="s">
        <v>134</v>
      </c>
      <c r="BF90" t="s">
        <v>134</v>
      </c>
      <c r="BG90" t="s">
        <v>134</v>
      </c>
      <c r="BH90" t="s">
        <v>134</v>
      </c>
      <c r="BI90" t="s">
        <v>134</v>
      </c>
      <c r="BJ90" t="s">
        <v>134</v>
      </c>
      <c r="BK90" t="s">
        <v>134</v>
      </c>
      <c r="BL90" t="s">
        <v>134</v>
      </c>
      <c r="BM90" t="s">
        <v>134</v>
      </c>
      <c r="BN90" t="s">
        <v>134</v>
      </c>
      <c r="BO90" t="s">
        <v>134</v>
      </c>
      <c r="BP90" t="s">
        <v>134</v>
      </c>
      <c r="BQ90" t="s">
        <v>134</v>
      </c>
      <c r="BR90" t="s">
        <v>134</v>
      </c>
      <c r="BS90" t="s">
        <v>134</v>
      </c>
      <c r="BT90" t="s">
        <v>134</v>
      </c>
      <c r="BU90" t="s">
        <v>134</v>
      </c>
      <c r="BV90" t="s">
        <v>134</v>
      </c>
      <c r="BW90" t="s">
        <v>134</v>
      </c>
      <c r="BX90" t="s">
        <v>134</v>
      </c>
      <c r="BY90" t="s">
        <v>134</v>
      </c>
      <c r="BZ90" t="s">
        <v>134</v>
      </c>
      <c r="CA90" t="s">
        <v>134</v>
      </c>
      <c r="CB90" t="s">
        <v>134</v>
      </c>
      <c r="CC90" t="s">
        <v>134</v>
      </c>
      <c r="CD90" t="s">
        <v>134</v>
      </c>
      <c r="CE90" t="s">
        <v>134</v>
      </c>
      <c r="CF90" t="s">
        <v>134</v>
      </c>
      <c r="CG90" t="s">
        <v>134</v>
      </c>
      <c r="CH90" t="s">
        <v>134</v>
      </c>
      <c r="CI90" t="s">
        <v>134</v>
      </c>
      <c r="CJ90" t="s">
        <v>134</v>
      </c>
      <c r="CK90" t="s">
        <v>134</v>
      </c>
      <c r="CL90" t="s">
        <v>134</v>
      </c>
      <c r="CM90" t="s">
        <v>134</v>
      </c>
      <c r="CN90" t="s">
        <v>134</v>
      </c>
      <c r="CO90" t="s">
        <v>134</v>
      </c>
      <c r="CP90" t="s">
        <v>134</v>
      </c>
      <c r="CQ90" t="s">
        <v>134</v>
      </c>
      <c r="CR90" t="s">
        <v>134</v>
      </c>
      <c r="CS90" t="s">
        <v>134</v>
      </c>
      <c r="CT90" t="s">
        <v>134</v>
      </c>
      <c r="CU90" t="s">
        <v>134</v>
      </c>
      <c r="CV90" t="s">
        <v>134</v>
      </c>
      <c r="CW90" t="s">
        <v>134</v>
      </c>
      <c r="CX90" t="s">
        <v>134</v>
      </c>
      <c r="CY90" t="s">
        <v>134</v>
      </c>
      <c r="CZ90" t="s">
        <v>134</v>
      </c>
      <c r="DA90" t="s">
        <v>134</v>
      </c>
      <c r="DB90" t="s">
        <v>134</v>
      </c>
      <c r="DC90" t="s">
        <v>134</v>
      </c>
      <c r="DD90" t="s">
        <v>134</v>
      </c>
      <c r="DE90" t="s">
        <v>134</v>
      </c>
      <c r="DF90" t="s">
        <v>134</v>
      </c>
      <c r="DG90" t="s">
        <v>134</v>
      </c>
      <c r="DH90" t="s">
        <v>134</v>
      </c>
      <c r="DI90" t="s">
        <v>134</v>
      </c>
    </row>
    <row r="91" spans="4:113" x14ac:dyDescent="0.3">
      <c r="E91" t="s">
        <v>80</v>
      </c>
      <c r="F91" t="s">
        <v>134</v>
      </c>
      <c r="G91" t="s">
        <v>134</v>
      </c>
      <c r="H91" t="s">
        <v>134</v>
      </c>
      <c r="I91" t="s">
        <v>134</v>
      </c>
      <c r="J91" t="s">
        <v>134</v>
      </c>
      <c r="K91" t="s">
        <v>134</v>
      </c>
      <c r="L91" t="s">
        <v>134</v>
      </c>
      <c r="M91" t="s">
        <v>134</v>
      </c>
      <c r="N91" t="s">
        <v>134</v>
      </c>
      <c r="O91" t="s">
        <v>134</v>
      </c>
      <c r="P91" t="s">
        <v>134</v>
      </c>
      <c r="Q91" t="s">
        <v>134</v>
      </c>
      <c r="R91" t="s">
        <v>134</v>
      </c>
      <c r="S91" t="s">
        <v>134</v>
      </c>
      <c r="T91" t="s">
        <v>134</v>
      </c>
      <c r="U91" t="s">
        <v>134</v>
      </c>
      <c r="V91" t="s">
        <v>134</v>
      </c>
      <c r="W91" t="s">
        <v>134</v>
      </c>
      <c r="X91" t="s">
        <v>134</v>
      </c>
      <c r="Y91" t="s">
        <v>134</v>
      </c>
      <c r="Z91" t="s">
        <v>134</v>
      </c>
      <c r="AA91" t="s">
        <v>134</v>
      </c>
      <c r="AB91" t="s">
        <v>134</v>
      </c>
      <c r="AC91" t="s">
        <v>134</v>
      </c>
      <c r="AD91" t="s">
        <v>134</v>
      </c>
      <c r="AE91" t="s">
        <v>134</v>
      </c>
      <c r="AF91" t="s">
        <v>134</v>
      </c>
      <c r="AG91" t="s">
        <v>134</v>
      </c>
      <c r="AH91" t="s">
        <v>134</v>
      </c>
      <c r="AI91" t="s">
        <v>134</v>
      </c>
      <c r="AJ91" t="s">
        <v>134</v>
      </c>
      <c r="AK91" t="s">
        <v>134</v>
      </c>
      <c r="AL91" t="s">
        <v>134</v>
      </c>
      <c r="AM91" t="s">
        <v>134</v>
      </c>
      <c r="AN91" t="s">
        <v>134</v>
      </c>
      <c r="AO91" t="s">
        <v>134</v>
      </c>
      <c r="AP91" t="s">
        <v>134</v>
      </c>
      <c r="AQ91" t="s">
        <v>134</v>
      </c>
      <c r="AR91" t="s">
        <v>134</v>
      </c>
      <c r="AS91" t="s">
        <v>134</v>
      </c>
      <c r="AT91" t="s">
        <v>134</v>
      </c>
      <c r="AU91" t="s">
        <v>134</v>
      </c>
      <c r="AV91" t="s">
        <v>134</v>
      </c>
      <c r="AW91" t="s">
        <v>134</v>
      </c>
      <c r="AX91" t="s">
        <v>134</v>
      </c>
      <c r="AY91" t="s">
        <v>134</v>
      </c>
      <c r="AZ91" t="s">
        <v>134</v>
      </c>
      <c r="BA91" t="s">
        <v>134</v>
      </c>
      <c r="BB91" t="s">
        <v>134</v>
      </c>
      <c r="BC91" t="s">
        <v>134</v>
      </c>
      <c r="BD91" t="s">
        <v>134</v>
      </c>
      <c r="BE91" t="s">
        <v>134</v>
      </c>
      <c r="BF91" t="s">
        <v>134</v>
      </c>
      <c r="BG91" t="s">
        <v>134</v>
      </c>
      <c r="BH91" t="s">
        <v>134</v>
      </c>
      <c r="BI91" t="s">
        <v>134</v>
      </c>
      <c r="BJ91" t="s">
        <v>134</v>
      </c>
      <c r="BK91" t="s">
        <v>134</v>
      </c>
      <c r="BL91" t="s">
        <v>134</v>
      </c>
      <c r="BM91" t="s">
        <v>134</v>
      </c>
      <c r="BN91" t="s">
        <v>134</v>
      </c>
      <c r="BO91" t="s">
        <v>134</v>
      </c>
      <c r="BP91" t="s">
        <v>134</v>
      </c>
      <c r="BQ91" t="s">
        <v>134</v>
      </c>
      <c r="BR91" t="s">
        <v>134</v>
      </c>
      <c r="BS91" t="s">
        <v>134</v>
      </c>
      <c r="BT91" t="s">
        <v>134</v>
      </c>
      <c r="BU91" t="s">
        <v>134</v>
      </c>
      <c r="BV91" t="s">
        <v>134</v>
      </c>
      <c r="BW91" t="s">
        <v>134</v>
      </c>
      <c r="BX91" t="s">
        <v>134</v>
      </c>
      <c r="BY91" t="s">
        <v>134</v>
      </c>
      <c r="BZ91" t="s">
        <v>134</v>
      </c>
      <c r="CA91" t="s">
        <v>134</v>
      </c>
      <c r="CB91" t="s">
        <v>134</v>
      </c>
      <c r="CC91" t="s">
        <v>134</v>
      </c>
      <c r="CD91" t="s">
        <v>134</v>
      </c>
      <c r="CE91" t="s">
        <v>134</v>
      </c>
      <c r="CF91" t="s">
        <v>134</v>
      </c>
      <c r="CG91" t="s">
        <v>134</v>
      </c>
      <c r="CH91" t="s">
        <v>134</v>
      </c>
      <c r="CI91" t="s">
        <v>134</v>
      </c>
      <c r="CJ91" t="s">
        <v>134</v>
      </c>
      <c r="CK91" t="s">
        <v>134</v>
      </c>
      <c r="CL91" t="s">
        <v>134</v>
      </c>
      <c r="CM91" t="s">
        <v>134</v>
      </c>
      <c r="CN91" t="s">
        <v>134</v>
      </c>
      <c r="CO91" t="s">
        <v>134</v>
      </c>
      <c r="CP91" t="s">
        <v>134</v>
      </c>
      <c r="CQ91" t="s">
        <v>134</v>
      </c>
      <c r="CR91" t="s">
        <v>134</v>
      </c>
      <c r="CS91" t="s">
        <v>134</v>
      </c>
      <c r="CT91" t="s">
        <v>134</v>
      </c>
      <c r="CU91" t="s">
        <v>134</v>
      </c>
      <c r="CV91" t="s">
        <v>134</v>
      </c>
      <c r="CW91" t="s">
        <v>134</v>
      </c>
      <c r="CX91" t="s">
        <v>134</v>
      </c>
      <c r="CY91" t="s">
        <v>134</v>
      </c>
      <c r="CZ91" t="s">
        <v>134</v>
      </c>
      <c r="DA91" t="s">
        <v>134</v>
      </c>
      <c r="DB91" t="s">
        <v>134</v>
      </c>
      <c r="DC91" t="s">
        <v>134</v>
      </c>
      <c r="DD91" t="s">
        <v>134</v>
      </c>
      <c r="DE91" t="s">
        <v>134</v>
      </c>
      <c r="DF91" t="s">
        <v>134</v>
      </c>
      <c r="DG91" t="s">
        <v>134</v>
      </c>
      <c r="DH91" t="s">
        <v>134</v>
      </c>
      <c r="DI91" t="s">
        <v>134</v>
      </c>
    </row>
    <row r="92" spans="4:113" x14ac:dyDescent="0.3">
      <c r="E92" t="s">
        <v>81</v>
      </c>
      <c r="F92" t="s">
        <v>134</v>
      </c>
      <c r="G92" t="s">
        <v>134</v>
      </c>
      <c r="H92" t="s">
        <v>134</v>
      </c>
      <c r="I92" t="s">
        <v>134</v>
      </c>
      <c r="J92" t="s">
        <v>134</v>
      </c>
      <c r="K92" t="s">
        <v>134</v>
      </c>
      <c r="L92" t="s">
        <v>134</v>
      </c>
      <c r="M92" t="s">
        <v>134</v>
      </c>
      <c r="N92" t="s">
        <v>134</v>
      </c>
      <c r="O92" t="s">
        <v>134</v>
      </c>
      <c r="P92" t="s">
        <v>134</v>
      </c>
      <c r="Q92" t="s">
        <v>134</v>
      </c>
      <c r="R92" t="s">
        <v>134</v>
      </c>
      <c r="S92" t="s">
        <v>134</v>
      </c>
      <c r="T92" t="s">
        <v>134</v>
      </c>
      <c r="U92" t="s">
        <v>134</v>
      </c>
      <c r="V92" t="s">
        <v>134</v>
      </c>
      <c r="W92" t="s">
        <v>134</v>
      </c>
      <c r="X92" t="s">
        <v>134</v>
      </c>
      <c r="Y92" t="s">
        <v>134</v>
      </c>
      <c r="Z92" t="s">
        <v>134</v>
      </c>
      <c r="AA92" t="s">
        <v>134</v>
      </c>
      <c r="AB92" t="s">
        <v>134</v>
      </c>
      <c r="AC92" t="s">
        <v>134</v>
      </c>
      <c r="AD92" t="s">
        <v>134</v>
      </c>
      <c r="AE92" t="s">
        <v>134</v>
      </c>
      <c r="AF92" t="s">
        <v>134</v>
      </c>
      <c r="AG92" t="s">
        <v>134</v>
      </c>
      <c r="AH92" t="s">
        <v>134</v>
      </c>
      <c r="AI92" t="s">
        <v>134</v>
      </c>
      <c r="AJ92" t="s">
        <v>134</v>
      </c>
      <c r="AK92" t="s">
        <v>134</v>
      </c>
      <c r="AL92" t="s">
        <v>134</v>
      </c>
      <c r="AM92" t="s">
        <v>134</v>
      </c>
      <c r="AN92" t="s">
        <v>134</v>
      </c>
      <c r="AO92" t="s">
        <v>134</v>
      </c>
      <c r="AP92" t="s">
        <v>134</v>
      </c>
      <c r="AQ92" t="s">
        <v>134</v>
      </c>
      <c r="AR92" t="s">
        <v>134</v>
      </c>
      <c r="AS92" t="s">
        <v>134</v>
      </c>
      <c r="AT92" t="s">
        <v>134</v>
      </c>
      <c r="AU92" t="s">
        <v>134</v>
      </c>
      <c r="AV92" t="s">
        <v>134</v>
      </c>
      <c r="AW92" t="s">
        <v>134</v>
      </c>
      <c r="AX92" t="s">
        <v>134</v>
      </c>
      <c r="AY92" t="s">
        <v>134</v>
      </c>
      <c r="AZ92" t="s">
        <v>134</v>
      </c>
      <c r="BA92" t="s">
        <v>134</v>
      </c>
      <c r="BB92" t="s">
        <v>134</v>
      </c>
      <c r="BC92" t="s">
        <v>134</v>
      </c>
      <c r="BD92" t="s">
        <v>134</v>
      </c>
      <c r="BE92" t="s">
        <v>134</v>
      </c>
      <c r="BF92" t="s">
        <v>134</v>
      </c>
      <c r="BG92" t="s">
        <v>134</v>
      </c>
      <c r="BH92" t="s">
        <v>134</v>
      </c>
      <c r="BI92" t="s">
        <v>134</v>
      </c>
      <c r="BJ92" t="s">
        <v>134</v>
      </c>
      <c r="BK92" t="s">
        <v>134</v>
      </c>
      <c r="BL92" t="s">
        <v>134</v>
      </c>
      <c r="BM92" t="s">
        <v>134</v>
      </c>
      <c r="BN92" t="s">
        <v>134</v>
      </c>
      <c r="BO92" t="s">
        <v>134</v>
      </c>
      <c r="BP92" t="s">
        <v>134</v>
      </c>
      <c r="BQ92" t="s">
        <v>134</v>
      </c>
      <c r="BR92" t="s">
        <v>134</v>
      </c>
      <c r="BS92" t="s">
        <v>134</v>
      </c>
      <c r="BT92" t="s">
        <v>134</v>
      </c>
      <c r="BU92" t="s">
        <v>134</v>
      </c>
      <c r="BV92" t="s">
        <v>134</v>
      </c>
      <c r="BW92" t="s">
        <v>134</v>
      </c>
      <c r="BX92" t="s">
        <v>134</v>
      </c>
      <c r="BY92" t="s">
        <v>134</v>
      </c>
      <c r="BZ92" t="s">
        <v>134</v>
      </c>
      <c r="CA92" t="s">
        <v>134</v>
      </c>
      <c r="CB92" t="s">
        <v>134</v>
      </c>
      <c r="CC92" t="s">
        <v>134</v>
      </c>
      <c r="CD92" t="s">
        <v>134</v>
      </c>
      <c r="CE92" t="s">
        <v>134</v>
      </c>
      <c r="CF92" t="s">
        <v>134</v>
      </c>
      <c r="CG92" t="s">
        <v>134</v>
      </c>
      <c r="CH92" t="s">
        <v>134</v>
      </c>
      <c r="CI92" t="s">
        <v>134</v>
      </c>
      <c r="CJ92" t="s">
        <v>134</v>
      </c>
      <c r="CK92" t="s">
        <v>134</v>
      </c>
      <c r="CL92" t="s">
        <v>134</v>
      </c>
      <c r="CM92" t="s">
        <v>134</v>
      </c>
      <c r="CN92" t="s">
        <v>134</v>
      </c>
      <c r="CO92" t="s">
        <v>134</v>
      </c>
      <c r="CP92" t="s">
        <v>134</v>
      </c>
      <c r="CQ92" t="s">
        <v>134</v>
      </c>
      <c r="CR92" t="s">
        <v>134</v>
      </c>
      <c r="CS92" t="s">
        <v>134</v>
      </c>
      <c r="CT92" t="s">
        <v>134</v>
      </c>
      <c r="CU92" t="s">
        <v>134</v>
      </c>
      <c r="CV92" t="s">
        <v>134</v>
      </c>
      <c r="CW92" t="s">
        <v>134</v>
      </c>
      <c r="CX92" t="s">
        <v>134</v>
      </c>
      <c r="CY92" t="s">
        <v>134</v>
      </c>
      <c r="CZ92" t="s">
        <v>134</v>
      </c>
      <c r="DA92" t="s">
        <v>134</v>
      </c>
      <c r="DB92" t="s">
        <v>134</v>
      </c>
      <c r="DC92" t="s">
        <v>134</v>
      </c>
      <c r="DD92" t="s">
        <v>134</v>
      </c>
      <c r="DE92" t="s">
        <v>134</v>
      </c>
      <c r="DF92" t="s">
        <v>134</v>
      </c>
      <c r="DG92" t="s">
        <v>134</v>
      </c>
      <c r="DH92" t="s">
        <v>134</v>
      </c>
      <c r="DI92" t="s">
        <v>134</v>
      </c>
    </row>
    <row r="93" spans="4:113" x14ac:dyDescent="0.3">
      <c r="D93" t="s">
        <v>84</v>
      </c>
      <c r="E93" t="s">
        <v>77</v>
      </c>
      <c r="F93" t="s">
        <v>134</v>
      </c>
      <c r="G93" t="s">
        <v>134</v>
      </c>
      <c r="H93" t="s">
        <v>134</v>
      </c>
      <c r="I93" t="s">
        <v>134</v>
      </c>
      <c r="J93" t="s">
        <v>134</v>
      </c>
      <c r="K93" t="s">
        <v>134</v>
      </c>
      <c r="L93" t="s">
        <v>134</v>
      </c>
      <c r="M93" t="s">
        <v>134</v>
      </c>
      <c r="N93" t="s">
        <v>134</v>
      </c>
      <c r="O93" t="s">
        <v>134</v>
      </c>
      <c r="P93" t="s">
        <v>134</v>
      </c>
      <c r="Q93" t="s">
        <v>134</v>
      </c>
      <c r="R93" t="s">
        <v>134</v>
      </c>
      <c r="S93" t="s">
        <v>134</v>
      </c>
      <c r="T93" t="s">
        <v>134</v>
      </c>
      <c r="U93" t="s">
        <v>134</v>
      </c>
      <c r="V93" t="s">
        <v>134</v>
      </c>
      <c r="W93" t="s">
        <v>134</v>
      </c>
      <c r="X93" t="s">
        <v>134</v>
      </c>
      <c r="Y93" t="s">
        <v>134</v>
      </c>
      <c r="Z93" t="s">
        <v>134</v>
      </c>
      <c r="AA93" t="s">
        <v>134</v>
      </c>
      <c r="AB93" t="s">
        <v>134</v>
      </c>
      <c r="AC93" t="s">
        <v>134</v>
      </c>
      <c r="AD93" t="s">
        <v>134</v>
      </c>
      <c r="AE93" t="s">
        <v>134</v>
      </c>
      <c r="AF93" t="s">
        <v>134</v>
      </c>
      <c r="AG93" t="s">
        <v>134</v>
      </c>
      <c r="AH93" t="s">
        <v>134</v>
      </c>
      <c r="AI93" t="s">
        <v>134</v>
      </c>
      <c r="AJ93" t="s">
        <v>134</v>
      </c>
      <c r="AK93" t="s">
        <v>134</v>
      </c>
      <c r="AL93" t="s">
        <v>134</v>
      </c>
      <c r="AM93" t="s">
        <v>134</v>
      </c>
      <c r="AN93" t="s">
        <v>134</v>
      </c>
      <c r="AO93" t="s">
        <v>134</v>
      </c>
      <c r="AP93" t="s">
        <v>134</v>
      </c>
      <c r="AQ93" t="s">
        <v>134</v>
      </c>
      <c r="AR93" t="s">
        <v>134</v>
      </c>
      <c r="AS93" t="s">
        <v>134</v>
      </c>
      <c r="AT93" t="s">
        <v>134</v>
      </c>
      <c r="AU93" t="s">
        <v>134</v>
      </c>
      <c r="AV93" t="s">
        <v>134</v>
      </c>
      <c r="AW93" t="s">
        <v>134</v>
      </c>
      <c r="AX93" t="s">
        <v>134</v>
      </c>
      <c r="AY93" t="s">
        <v>134</v>
      </c>
      <c r="AZ93" t="s">
        <v>134</v>
      </c>
      <c r="BA93" t="s">
        <v>134</v>
      </c>
      <c r="BB93" t="s">
        <v>134</v>
      </c>
      <c r="BC93" t="s">
        <v>134</v>
      </c>
      <c r="BD93" t="s">
        <v>134</v>
      </c>
      <c r="BE93" t="s">
        <v>134</v>
      </c>
      <c r="BF93" t="s">
        <v>134</v>
      </c>
      <c r="BG93" t="s">
        <v>134</v>
      </c>
      <c r="BH93" t="s">
        <v>134</v>
      </c>
      <c r="BI93" t="s">
        <v>134</v>
      </c>
      <c r="BJ93" t="s">
        <v>134</v>
      </c>
      <c r="BK93" t="s">
        <v>134</v>
      </c>
      <c r="BL93" t="s">
        <v>134</v>
      </c>
      <c r="BM93" t="s">
        <v>134</v>
      </c>
      <c r="BN93" t="s">
        <v>134</v>
      </c>
      <c r="BO93" t="s">
        <v>134</v>
      </c>
      <c r="BP93" t="s">
        <v>134</v>
      </c>
      <c r="BQ93" t="s">
        <v>134</v>
      </c>
      <c r="BR93" t="s">
        <v>134</v>
      </c>
      <c r="BS93" t="s">
        <v>134</v>
      </c>
      <c r="BT93" t="s">
        <v>134</v>
      </c>
      <c r="BU93" t="s">
        <v>134</v>
      </c>
      <c r="BV93" t="s">
        <v>134</v>
      </c>
      <c r="BW93" t="s">
        <v>134</v>
      </c>
      <c r="BX93" t="s">
        <v>134</v>
      </c>
      <c r="BY93" t="s">
        <v>134</v>
      </c>
      <c r="BZ93" t="s">
        <v>134</v>
      </c>
      <c r="CA93" t="s">
        <v>134</v>
      </c>
      <c r="CB93" t="s">
        <v>134</v>
      </c>
      <c r="CC93" t="s">
        <v>134</v>
      </c>
      <c r="CD93" t="s">
        <v>134</v>
      </c>
      <c r="CE93" t="s">
        <v>134</v>
      </c>
      <c r="CF93" t="s">
        <v>134</v>
      </c>
      <c r="CG93" t="s">
        <v>134</v>
      </c>
      <c r="CH93" t="s">
        <v>134</v>
      </c>
      <c r="CI93" t="s">
        <v>134</v>
      </c>
      <c r="CJ93" t="s">
        <v>134</v>
      </c>
      <c r="CK93" t="s">
        <v>134</v>
      </c>
      <c r="CL93" t="s">
        <v>134</v>
      </c>
      <c r="CM93" t="s">
        <v>134</v>
      </c>
      <c r="CN93" t="s">
        <v>134</v>
      </c>
      <c r="CO93" t="s">
        <v>134</v>
      </c>
      <c r="CP93" t="s">
        <v>134</v>
      </c>
      <c r="CQ93" t="s">
        <v>134</v>
      </c>
      <c r="CR93" t="s">
        <v>134</v>
      </c>
      <c r="CS93" t="s">
        <v>134</v>
      </c>
      <c r="CT93" t="s">
        <v>134</v>
      </c>
      <c r="CU93" t="s">
        <v>134</v>
      </c>
      <c r="CV93" t="s">
        <v>134</v>
      </c>
      <c r="CW93" t="s">
        <v>134</v>
      </c>
      <c r="CX93" t="s">
        <v>134</v>
      </c>
      <c r="CY93" t="s">
        <v>134</v>
      </c>
      <c r="CZ93" t="s">
        <v>134</v>
      </c>
      <c r="DA93" t="s">
        <v>134</v>
      </c>
      <c r="DB93" t="s">
        <v>134</v>
      </c>
      <c r="DC93" t="s">
        <v>134</v>
      </c>
      <c r="DD93" t="s">
        <v>134</v>
      </c>
      <c r="DE93" t="s">
        <v>134</v>
      </c>
      <c r="DF93" t="s">
        <v>134</v>
      </c>
      <c r="DG93" t="s">
        <v>134</v>
      </c>
      <c r="DH93" t="s">
        <v>134</v>
      </c>
      <c r="DI93" t="s">
        <v>134</v>
      </c>
    </row>
    <row r="94" spans="4:113" x14ac:dyDescent="0.3">
      <c r="E94" t="s">
        <v>78</v>
      </c>
      <c r="F94" t="s">
        <v>134</v>
      </c>
      <c r="G94" t="s">
        <v>134</v>
      </c>
      <c r="H94" t="s">
        <v>134</v>
      </c>
      <c r="I94" t="s">
        <v>134</v>
      </c>
      <c r="J94" t="s">
        <v>134</v>
      </c>
      <c r="K94" t="s">
        <v>134</v>
      </c>
      <c r="L94" t="s">
        <v>134</v>
      </c>
      <c r="M94" t="s">
        <v>134</v>
      </c>
      <c r="N94" t="s">
        <v>134</v>
      </c>
      <c r="O94" t="s">
        <v>134</v>
      </c>
      <c r="P94" t="s">
        <v>134</v>
      </c>
      <c r="Q94" t="s">
        <v>134</v>
      </c>
      <c r="R94" t="s">
        <v>134</v>
      </c>
      <c r="S94" t="s">
        <v>134</v>
      </c>
      <c r="T94" t="s">
        <v>134</v>
      </c>
      <c r="U94" t="s">
        <v>134</v>
      </c>
      <c r="V94" t="s">
        <v>134</v>
      </c>
      <c r="W94" t="s">
        <v>134</v>
      </c>
      <c r="X94" t="s">
        <v>134</v>
      </c>
      <c r="Y94" t="s">
        <v>134</v>
      </c>
      <c r="Z94" t="s">
        <v>134</v>
      </c>
      <c r="AA94" t="s">
        <v>134</v>
      </c>
      <c r="AB94" t="s">
        <v>134</v>
      </c>
      <c r="AC94" t="s">
        <v>134</v>
      </c>
      <c r="AD94" t="s">
        <v>134</v>
      </c>
      <c r="AE94" t="s">
        <v>134</v>
      </c>
      <c r="AF94" t="s">
        <v>134</v>
      </c>
      <c r="AG94" t="s">
        <v>134</v>
      </c>
      <c r="AH94" t="s">
        <v>134</v>
      </c>
      <c r="AI94" t="s">
        <v>134</v>
      </c>
      <c r="AJ94" t="s">
        <v>134</v>
      </c>
      <c r="AK94" t="s">
        <v>134</v>
      </c>
      <c r="AL94" t="s">
        <v>134</v>
      </c>
      <c r="AM94" t="s">
        <v>134</v>
      </c>
      <c r="AN94" t="s">
        <v>134</v>
      </c>
      <c r="AO94" t="s">
        <v>134</v>
      </c>
      <c r="AP94" t="s">
        <v>134</v>
      </c>
      <c r="AQ94" t="s">
        <v>134</v>
      </c>
      <c r="AR94" t="s">
        <v>134</v>
      </c>
      <c r="AS94" t="s">
        <v>134</v>
      </c>
      <c r="AT94" t="s">
        <v>134</v>
      </c>
      <c r="AU94" t="s">
        <v>134</v>
      </c>
      <c r="AV94" t="s">
        <v>134</v>
      </c>
      <c r="AW94" t="s">
        <v>134</v>
      </c>
      <c r="AX94" t="s">
        <v>134</v>
      </c>
      <c r="AY94" t="s">
        <v>134</v>
      </c>
      <c r="AZ94" t="s">
        <v>134</v>
      </c>
      <c r="BA94" t="s">
        <v>134</v>
      </c>
      <c r="BB94" t="s">
        <v>134</v>
      </c>
      <c r="BC94" t="s">
        <v>134</v>
      </c>
      <c r="BD94" t="s">
        <v>134</v>
      </c>
      <c r="BE94" t="s">
        <v>134</v>
      </c>
      <c r="BF94" t="s">
        <v>134</v>
      </c>
      <c r="BG94" t="s">
        <v>134</v>
      </c>
      <c r="BH94" t="s">
        <v>134</v>
      </c>
      <c r="BI94" t="s">
        <v>134</v>
      </c>
      <c r="BJ94" t="s">
        <v>134</v>
      </c>
      <c r="BK94" t="s">
        <v>134</v>
      </c>
      <c r="BL94" t="s">
        <v>134</v>
      </c>
      <c r="BM94" t="s">
        <v>134</v>
      </c>
      <c r="BN94" t="s">
        <v>134</v>
      </c>
      <c r="BO94" t="s">
        <v>134</v>
      </c>
      <c r="BP94" t="s">
        <v>134</v>
      </c>
      <c r="BQ94" t="s">
        <v>134</v>
      </c>
      <c r="BR94" t="s">
        <v>134</v>
      </c>
      <c r="BS94" t="s">
        <v>134</v>
      </c>
      <c r="BT94" t="s">
        <v>134</v>
      </c>
      <c r="BU94" t="s">
        <v>134</v>
      </c>
      <c r="BV94" t="s">
        <v>134</v>
      </c>
      <c r="BW94" t="s">
        <v>134</v>
      </c>
      <c r="BX94" t="s">
        <v>134</v>
      </c>
      <c r="BY94" t="s">
        <v>134</v>
      </c>
      <c r="BZ94" t="s">
        <v>134</v>
      </c>
      <c r="CA94" t="s">
        <v>134</v>
      </c>
      <c r="CB94" t="s">
        <v>134</v>
      </c>
      <c r="CC94" t="s">
        <v>134</v>
      </c>
      <c r="CD94" t="s">
        <v>134</v>
      </c>
      <c r="CE94" t="s">
        <v>134</v>
      </c>
      <c r="CF94" t="s">
        <v>134</v>
      </c>
      <c r="CG94" t="s">
        <v>134</v>
      </c>
      <c r="CH94" t="s">
        <v>134</v>
      </c>
      <c r="CI94" t="s">
        <v>134</v>
      </c>
      <c r="CJ94" t="s">
        <v>134</v>
      </c>
      <c r="CK94" t="s">
        <v>134</v>
      </c>
      <c r="CL94" t="s">
        <v>134</v>
      </c>
      <c r="CM94" t="s">
        <v>134</v>
      </c>
      <c r="CN94" t="s">
        <v>134</v>
      </c>
      <c r="CO94" t="s">
        <v>134</v>
      </c>
      <c r="CP94" t="s">
        <v>134</v>
      </c>
      <c r="CQ94" t="s">
        <v>134</v>
      </c>
      <c r="CR94" t="s">
        <v>134</v>
      </c>
      <c r="CS94" t="s">
        <v>134</v>
      </c>
      <c r="CT94" t="s">
        <v>134</v>
      </c>
      <c r="CU94" t="s">
        <v>134</v>
      </c>
      <c r="CV94" t="s">
        <v>134</v>
      </c>
      <c r="CW94" t="s">
        <v>134</v>
      </c>
      <c r="CX94" t="s">
        <v>134</v>
      </c>
      <c r="CY94" t="s">
        <v>134</v>
      </c>
      <c r="CZ94" t="s">
        <v>134</v>
      </c>
      <c r="DA94" t="s">
        <v>134</v>
      </c>
      <c r="DB94" t="s">
        <v>134</v>
      </c>
      <c r="DC94" t="s">
        <v>134</v>
      </c>
      <c r="DD94" t="s">
        <v>134</v>
      </c>
      <c r="DE94" t="s">
        <v>134</v>
      </c>
      <c r="DF94" t="s">
        <v>134</v>
      </c>
      <c r="DG94" t="s">
        <v>134</v>
      </c>
      <c r="DH94" t="s">
        <v>134</v>
      </c>
      <c r="DI94" t="s">
        <v>134</v>
      </c>
    </row>
    <row r="95" spans="4:113" x14ac:dyDescent="0.3">
      <c r="E95" t="s">
        <v>79</v>
      </c>
      <c r="F95" t="s">
        <v>134</v>
      </c>
      <c r="G95" t="s">
        <v>134</v>
      </c>
      <c r="H95" t="s">
        <v>134</v>
      </c>
      <c r="I95" t="s">
        <v>134</v>
      </c>
      <c r="J95" t="s">
        <v>134</v>
      </c>
      <c r="K95" t="s">
        <v>134</v>
      </c>
      <c r="L95" t="s">
        <v>134</v>
      </c>
      <c r="M95" t="s">
        <v>134</v>
      </c>
      <c r="N95" t="s">
        <v>134</v>
      </c>
      <c r="O95" t="s">
        <v>134</v>
      </c>
      <c r="P95" t="s">
        <v>134</v>
      </c>
      <c r="Q95" t="s">
        <v>134</v>
      </c>
      <c r="R95" t="s">
        <v>134</v>
      </c>
      <c r="S95" t="s">
        <v>134</v>
      </c>
      <c r="T95" t="s">
        <v>134</v>
      </c>
      <c r="U95" t="s">
        <v>134</v>
      </c>
      <c r="V95" t="s">
        <v>134</v>
      </c>
      <c r="W95" t="s">
        <v>134</v>
      </c>
      <c r="X95" t="s">
        <v>134</v>
      </c>
      <c r="Y95" t="s">
        <v>134</v>
      </c>
      <c r="Z95" t="s">
        <v>134</v>
      </c>
      <c r="AA95" t="s">
        <v>134</v>
      </c>
      <c r="AB95" t="s">
        <v>134</v>
      </c>
      <c r="AC95" t="s">
        <v>134</v>
      </c>
      <c r="AD95" t="s">
        <v>134</v>
      </c>
      <c r="AE95" t="s">
        <v>134</v>
      </c>
      <c r="AF95" t="s">
        <v>134</v>
      </c>
      <c r="AG95" t="s">
        <v>134</v>
      </c>
      <c r="AH95" t="s">
        <v>134</v>
      </c>
      <c r="AI95" t="s">
        <v>134</v>
      </c>
      <c r="AJ95" t="s">
        <v>134</v>
      </c>
      <c r="AK95" t="s">
        <v>134</v>
      </c>
      <c r="AL95" t="s">
        <v>134</v>
      </c>
      <c r="AM95" t="s">
        <v>134</v>
      </c>
      <c r="AN95" t="s">
        <v>134</v>
      </c>
      <c r="AO95" t="s">
        <v>134</v>
      </c>
      <c r="AP95" t="s">
        <v>134</v>
      </c>
      <c r="AQ95" t="s">
        <v>134</v>
      </c>
      <c r="AR95" t="s">
        <v>134</v>
      </c>
      <c r="AS95" t="s">
        <v>134</v>
      </c>
      <c r="AT95" t="s">
        <v>134</v>
      </c>
      <c r="AU95" t="s">
        <v>134</v>
      </c>
      <c r="AV95" t="s">
        <v>134</v>
      </c>
      <c r="AW95" t="s">
        <v>134</v>
      </c>
      <c r="AX95" t="s">
        <v>134</v>
      </c>
      <c r="AY95" t="s">
        <v>134</v>
      </c>
      <c r="AZ95" t="s">
        <v>134</v>
      </c>
      <c r="BA95" t="s">
        <v>134</v>
      </c>
      <c r="BB95" t="s">
        <v>134</v>
      </c>
      <c r="BC95" t="s">
        <v>134</v>
      </c>
      <c r="BD95" t="s">
        <v>134</v>
      </c>
      <c r="BE95" t="s">
        <v>134</v>
      </c>
      <c r="BF95" t="s">
        <v>134</v>
      </c>
      <c r="BG95" t="s">
        <v>134</v>
      </c>
      <c r="BH95" t="s">
        <v>134</v>
      </c>
      <c r="BI95" t="s">
        <v>134</v>
      </c>
      <c r="BJ95" t="s">
        <v>134</v>
      </c>
      <c r="BK95" t="s">
        <v>134</v>
      </c>
      <c r="BL95" t="s">
        <v>134</v>
      </c>
      <c r="BM95" t="s">
        <v>134</v>
      </c>
      <c r="BN95" t="s">
        <v>134</v>
      </c>
      <c r="BO95" t="s">
        <v>134</v>
      </c>
      <c r="BP95" t="s">
        <v>134</v>
      </c>
      <c r="BQ95" t="s">
        <v>134</v>
      </c>
      <c r="BR95" t="s">
        <v>134</v>
      </c>
      <c r="BS95" t="s">
        <v>134</v>
      </c>
      <c r="BT95" t="s">
        <v>134</v>
      </c>
      <c r="BU95" t="s">
        <v>134</v>
      </c>
      <c r="BV95" t="s">
        <v>134</v>
      </c>
      <c r="BW95" t="s">
        <v>134</v>
      </c>
      <c r="BX95" t="s">
        <v>134</v>
      </c>
      <c r="BY95" t="s">
        <v>134</v>
      </c>
      <c r="BZ95" t="s">
        <v>134</v>
      </c>
      <c r="CA95" t="s">
        <v>134</v>
      </c>
      <c r="CB95" t="s">
        <v>134</v>
      </c>
      <c r="CC95" t="s">
        <v>134</v>
      </c>
      <c r="CD95" t="s">
        <v>134</v>
      </c>
      <c r="CE95" t="s">
        <v>134</v>
      </c>
      <c r="CF95" t="s">
        <v>134</v>
      </c>
      <c r="CG95" t="s">
        <v>134</v>
      </c>
      <c r="CH95" t="s">
        <v>134</v>
      </c>
      <c r="CI95" t="s">
        <v>134</v>
      </c>
      <c r="CJ95" t="s">
        <v>134</v>
      </c>
      <c r="CK95" t="s">
        <v>134</v>
      </c>
      <c r="CL95" t="s">
        <v>134</v>
      </c>
      <c r="CM95" t="s">
        <v>134</v>
      </c>
      <c r="CN95" t="s">
        <v>134</v>
      </c>
      <c r="CO95" t="s">
        <v>134</v>
      </c>
      <c r="CP95" t="s">
        <v>134</v>
      </c>
      <c r="CQ95" t="s">
        <v>134</v>
      </c>
      <c r="CR95" t="s">
        <v>134</v>
      </c>
      <c r="CS95" t="s">
        <v>134</v>
      </c>
      <c r="CT95" t="s">
        <v>134</v>
      </c>
      <c r="CU95" t="s">
        <v>134</v>
      </c>
      <c r="CV95" t="s">
        <v>134</v>
      </c>
      <c r="CW95" t="s">
        <v>134</v>
      </c>
      <c r="CX95" t="s">
        <v>134</v>
      </c>
      <c r="CY95" t="s">
        <v>134</v>
      </c>
      <c r="CZ95" t="s">
        <v>134</v>
      </c>
      <c r="DA95" t="s">
        <v>134</v>
      </c>
      <c r="DB95" t="s">
        <v>134</v>
      </c>
      <c r="DC95" t="s">
        <v>134</v>
      </c>
      <c r="DD95" t="s">
        <v>134</v>
      </c>
      <c r="DE95" t="s">
        <v>134</v>
      </c>
      <c r="DF95" t="s">
        <v>134</v>
      </c>
      <c r="DG95" t="s">
        <v>134</v>
      </c>
      <c r="DH95" t="s">
        <v>134</v>
      </c>
      <c r="DI95" t="s">
        <v>134</v>
      </c>
    </row>
    <row r="96" spans="4:113" x14ac:dyDescent="0.3">
      <c r="E96" t="s">
        <v>80</v>
      </c>
      <c r="F96" t="s">
        <v>134</v>
      </c>
      <c r="G96" t="s">
        <v>134</v>
      </c>
      <c r="H96" t="s">
        <v>134</v>
      </c>
      <c r="I96" t="s">
        <v>134</v>
      </c>
      <c r="J96" t="s">
        <v>134</v>
      </c>
      <c r="K96" t="s">
        <v>134</v>
      </c>
      <c r="L96" t="s">
        <v>134</v>
      </c>
      <c r="M96" t="s">
        <v>134</v>
      </c>
      <c r="N96" t="s">
        <v>134</v>
      </c>
      <c r="O96" t="s">
        <v>134</v>
      </c>
      <c r="P96" t="s">
        <v>134</v>
      </c>
      <c r="Q96" t="s">
        <v>134</v>
      </c>
      <c r="R96" t="s">
        <v>134</v>
      </c>
      <c r="S96" t="s">
        <v>134</v>
      </c>
      <c r="T96" t="s">
        <v>134</v>
      </c>
      <c r="U96" t="s">
        <v>134</v>
      </c>
      <c r="V96" t="s">
        <v>134</v>
      </c>
      <c r="W96" t="s">
        <v>134</v>
      </c>
      <c r="X96" t="s">
        <v>134</v>
      </c>
      <c r="Y96" t="s">
        <v>134</v>
      </c>
      <c r="Z96" t="s">
        <v>134</v>
      </c>
      <c r="AA96" t="s">
        <v>134</v>
      </c>
      <c r="AB96" t="s">
        <v>134</v>
      </c>
      <c r="AC96" t="s">
        <v>134</v>
      </c>
      <c r="AD96" t="s">
        <v>134</v>
      </c>
      <c r="AE96" t="s">
        <v>134</v>
      </c>
      <c r="AF96" t="s">
        <v>134</v>
      </c>
      <c r="AG96" t="s">
        <v>134</v>
      </c>
      <c r="AH96" t="s">
        <v>134</v>
      </c>
      <c r="AI96" t="s">
        <v>134</v>
      </c>
      <c r="AJ96" t="s">
        <v>134</v>
      </c>
      <c r="AK96" t="s">
        <v>134</v>
      </c>
      <c r="AL96" t="s">
        <v>134</v>
      </c>
      <c r="AM96" t="s">
        <v>134</v>
      </c>
      <c r="AN96" t="s">
        <v>134</v>
      </c>
      <c r="AO96" t="s">
        <v>134</v>
      </c>
      <c r="AP96" t="s">
        <v>134</v>
      </c>
      <c r="AQ96" t="s">
        <v>134</v>
      </c>
      <c r="AR96" t="s">
        <v>134</v>
      </c>
      <c r="AS96" t="s">
        <v>134</v>
      </c>
      <c r="AT96" t="s">
        <v>134</v>
      </c>
      <c r="AU96" t="s">
        <v>134</v>
      </c>
      <c r="AV96" t="s">
        <v>134</v>
      </c>
      <c r="AW96" t="s">
        <v>134</v>
      </c>
      <c r="AX96" t="s">
        <v>134</v>
      </c>
      <c r="AY96" t="s">
        <v>134</v>
      </c>
      <c r="AZ96" t="s">
        <v>134</v>
      </c>
      <c r="BA96" t="s">
        <v>134</v>
      </c>
      <c r="BB96" t="s">
        <v>134</v>
      </c>
      <c r="BC96" t="s">
        <v>134</v>
      </c>
      <c r="BD96" t="s">
        <v>134</v>
      </c>
      <c r="BE96" t="s">
        <v>134</v>
      </c>
      <c r="BF96" t="s">
        <v>134</v>
      </c>
      <c r="BG96" t="s">
        <v>134</v>
      </c>
      <c r="BH96" t="s">
        <v>134</v>
      </c>
      <c r="BI96" t="s">
        <v>134</v>
      </c>
      <c r="BJ96" t="s">
        <v>134</v>
      </c>
      <c r="BK96" t="s">
        <v>134</v>
      </c>
      <c r="BL96" t="s">
        <v>134</v>
      </c>
      <c r="BM96" t="s">
        <v>134</v>
      </c>
      <c r="BN96" t="s">
        <v>134</v>
      </c>
      <c r="BO96" t="s">
        <v>134</v>
      </c>
      <c r="BP96" t="s">
        <v>134</v>
      </c>
      <c r="BQ96" t="s">
        <v>134</v>
      </c>
      <c r="BR96" t="s">
        <v>134</v>
      </c>
      <c r="BS96" t="s">
        <v>134</v>
      </c>
      <c r="BT96" t="s">
        <v>134</v>
      </c>
      <c r="BU96" t="s">
        <v>134</v>
      </c>
      <c r="BV96" t="s">
        <v>134</v>
      </c>
      <c r="BW96" t="s">
        <v>134</v>
      </c>
      <c r="BX96" t="s">
        <v>134</v>
      </c>
      <c r="BY96" t="s">
        <v>134</v>
      </c>
      <c r="BZ96" t="s">
        <v>134</v>
      </c>
      <c r="CA96" t="s">
        <v>134</v>
      </c>
      <c r="CB96" t="s">
        <v>134</v>
      </c>
      <c r="CC96" t="s">
        <v>134</v>
      </c>
      <c r="CD96" t="s">
        <v>134</v>
      </c>
      <c r="CE96" t="s">
        <v>134</v>
      </c>
      <c r="CF96" t="s">
        <v>134</v>
      </c>
      <c r="CG96" t="s">
        <v>134</v>
      </c>
      <c r="CH96" t="s">
        <v>134</v>
      </c>
      <c r="CI96" t="s">
        <v>134</v>
      </c>
      <c r="CJ96" t="s">
        <v>134</v>
      </c>
      <c r="CK96" t="s">
        <v>134</v>
      </c>
      <c r="CL96" t="s">
        <v>134</v>
      </c>
      <c r="CM96" t="s">
        <v>134</v>
      </c>
      <c r="CN96" t="s">
        <v>134</v>
      </c>
      <c r="CO96" t="s">
        <v>134</v>
      </c>
      <c r="CP96" t="s">
        <v>134</v>
      </c>
      <c r="CQ96" t="s">
        <v>134</v>
      </c>
      <c r="CR96" t="s">
        <v>134</v>
      </c>
      <c r="CS96" t="s">
        <v>134</v>
      </c>
      <c r="CT96" t="s">
        <v>134</v>
      </c>
      <c r="CU96" t="s">
        <v>134</v>
      </c>
      <c r="CV96" t="s">
        <v>134</v>
      </c>
      <c r="CW96" t="s">
        <v>134</v>
      </c>
      <c r="CX96" t="s">
        <v>134</v>
      </c>
      <c r="CY96" t="s">
        <v>134</v>
      </c>
      <c r="CZ96" t="s">
        <v>134</v>
      </c>
      <c r="DA96" t="s">
        <v>134</v>
      </c>
      <c r="DB96" t="s">
        <v>134</v>
      </c>
      <c r="DC96" t="s">
        <v>134</v>
      </c>
      <c r="DD96" t="s">
        <v>134</v>
      </c>
      <c r="DE96" t="s">
        <v>134</v>
      </c>
      <c r="DF96" t="s">
        <v>134</v>
      </c>
      <c r="DG96" t="s">
        <v>134</v>
      </c>
      <c r="DH96" t="s">
        <v>134</v>
      </c>
      <c r="DI96" t="s">
        <v>134</v>
      </c>
    </row>
    <row r="97" spans="1:113" x14ac:dyDescent="0.3">
      <c r="E97" t="s">
        <v>81</v>
      </c>
      <c r="F97" t="s">
        <v>134</v>
      </c>
      <c r="G97" t="s">
        <v>134</v>
      </c>
      <c r="H97" t="s">
        <v>134</v>
      </c>
      <c r="I97" t="s">
        <v>134</v>
      </c>
      <c r="J97" t="s">
        <v>134</v>
      </c>
      <c r="K97" t="s">
        <v>134</v>
      </c>
      <c r="L97" t="s">
        <v>134</v>
      </c>
      <c r="M97" t="s">
        <v>134</v>
      </c>
      <c r="N97" t="s">
        <v>134</v>
      </c>
      <c r="O97" t="s">
        <v>134</v>
      </c>
      <c r="P97" t="s">
        <v>134</v>
      </c>
      <c r="Q97" t="s">
        <v>134</v>
      </c>
      <c r="R97" t="s">
        <v>134</v>
      </c>
      <c r="S97" t="s">
        <v>134</v>
      </c>
      <c r="T97" t="s">
        <v>134</v>
      </c>
      <c r="U97" t="s">
        <v>134</v>
      </c>
      <c r="V97" t="s">
        <v>134</v>
      </c>
      <c r="W97" t="s">
        <v>134</v>
      </c>
      <c r="X97" t="s">
        <v>134</v>
      </c>
      <c r="Y97" t="s">
        <v>134</v>
      </c>
      <c r="Z97" t="s">
        <v>134</v>
      </c>
      <c r="AA97" t="s">
        <v>134</v>
      </c>
      <c r="AB97" t="s">
        <v>134</v>
      </c>
      <c r="AC97" t="s">
        <v>134</v>
      </c>
      <c r="AD97" t="s">
        <v>134</v>
      </c>
      <c r="AE97" t="s">
        <v>134</v>
      </c>
      <c r="AF97" t="s">
        <v>134</v>
      </c>
      <c r="AG97" t="s">
        <v>134</v>
      </c>
      <c r="AH97" t="s">
        <v>134</v>
      </c>
      <c r="AI97" t="s">
        <v>134</v>
      </c>
      <c r="AJ97" t="s">
        <v>134</v>
      </c>
      <c r="AK97" t="s">
        <v>134</v>
      </c>
      <c r="AL97" t="s">
        <v>134</v>
      </c>
      <c r="AM97" t="s">
        <v>134</v>
      </c>
      <c r="AN97" t="s">
        <v>134</v>
      </c>
      <c r="AO97" t="s">
        <v>134</v>
      </c>
      <c r="AP97" t="s">
        <v>134</v>
      </c>
      <c r="AQ97" t="s">
        <v>134</v>
      </c>
      <c r="AR97" t="s">
        <v>134</v>
      </c>
      <c r="AS97" t="s">
        <v>134</v>
      </c>
      <c r="AT97" t="s">
        <v>134</v>
      </c>
      <c r="AU97" t="s">
        <v>134</v>
      </c>
      <c r="AV97" t="s">
        <v>134</v>
      </c>
      <c r="AW97" t="s">
        <v>134</v>
      </c>
      <c r="AX97" t="s">
        <v>134</v>
      </c>
      <c r="AY97" t="s">
        <v>134</v>
      </c>
      <c r="AZ97" t="s">
        <v>134</v>
      </c>
      <c r="BA97" t="s">
        <v>134</v>
      </c>
      <c r="BB97" t="s">
        <v>134</v>
      </c>
      <c r="BC97" t="s">
        <v>134</v>
      </c>
      <c r="BD97" t="s">
        <v>134</v>
      </c>
      <c r="BE97" t="s">
        <v>134</v>
      </c>
      <c r="BF97" t="s">
        <v>134</v>
      </c>
      <c r="BG97" t="s">
        <v>134</v>
      </c>
      <c r="BH97" t="s">
        <v>134</v>
      </c>
      <c r="BI97" t="s">
        <v>134</v>
      </c>
      <c r="BJ97" t="s">
        <v>134</v>
      </c>
      <c r="BK97" t="s">
        <v>134</v>
      </c>
      <c r="BL97" t="s">
        <v>134</v>
      </c>
      <c r="BM97" t="s">
        <v>134</v>
      </c>
      <c r="BN97" t="s">
        <v>134</v>
      </c>
      <c r="BO97" t="s">
        <v>134</v>
      </c>
      <c r="BP97" t="s">
        <v>134</v>
      </c>
      <c r="BQ97" t="s">
        <v>134</v>
      </c>
      <c r="BR97" t="s">
        <v>134</v>
      </c>
      <c r="BS97" t="s">
        <v>134</v>
      </c>
      <c r="BT97" t="s">
        <v>134</v>
      </c>
      <c r="BU97" t="s">
        <v>134</v>
      </c>
      <c r="BV97" t="s">
        <v>134</v>
      </c>
      <c r="BW97" t="s">
        <v>134</v>
      </c>
      <c r="BX97" t="s">
        <v>134</v>
      </c>
      <c r="BY97" t="s">
        <v>134</v>
      </c>
      <c r="BZ97" t="s">
        <v>134</v>
      </c>
      <c r="CA97" t="s">
        <v>134</v>
      </c>
      <c r="CB97" t="s">
        <v>134</v>
      </c>
      <c r="CC97" t="s">
        <v>134</v>
      </c>
      <c r="CD97" t="s">
        <v>134</v>
      </c>
      <c r="CE97" t="s">
        <v>134</v>
      </c>
      <c r="CF97" t="s">
        <v>134</v>
      </c>
      <c r="CG97" t="s">
        <v>134</v>
      </c>
      <c r="CH97" t="s">
        <v>134</v>
      </c>
      <c r="CI97" t="s">
        <v>134</v>
      </c>
      <c r="CJ97" t="s">
        <v>134</v>
      </c>
      <c r="CK97" t="s">
        <v>134</v>
      </c>
      <c r="CL97" t="s">
        <v>134</v>
      </c>
      <c r="CM97" t="s">
        <v>134</v>
      </c>
      <c r="CN97" t="s">
        <v>134</v>
      </c>
      <c r="CO97" t="s">
        <v>134</v>
      </c>
      <c r="CP97" t="s">
        <v>134</v>
      </c>
      <c r="CQ97" t="s">
        <v>134</v>
      </c>
      <c r="CR97" t="s">
        <v>134</v>
      </c>
      <c r="CS97" t="s">
        <v>134</v>
      </c>
      <c r="CT97" t="s">
        <v>134</v>
      </c>
      <c r="CU97" t="s">
        <v>134</v>
      </c>
      <c r="CV97" t="s">
        <v>134</v>
      </c>
      <c r="CW97" t="s">
        <v>134</v>
      </c>
      <c r="CX97" t="s">
        <v>134</v>
      </c>
      <c r="CY97" t="s">
        <v>134</v>
      </c>
      <c r="CZ97" t="s">
        <v>134</v>
      </c>
      <c r="DA97" t="s">
        <v>134</v>
      </c>
      <c r="DB97" t="s">
        <v>134</v>
      </c>
      <c r="DC97" t="s">
        <v>134</v>
      </c>
      <c r="DD97" t="s">
        <v>134</v>
      </c>
      <c r="DE97" t="s">
        <v>134</v>
      </c>
      <c r="DF97" t="s">
        <v>134</v>
      </c>
      <c r="DG97" t="s">
        <v>134</v>
      </c>
      <c r="DH97" t="s">
        <v>134</v>
      </c>
      <c r="DI97" t="s">
        <v>134</v>
      </c>
    </row>
    <row r="98" spans="1:113" x14ac:dyDescent="0.3">
      <c r="D98" t="s">
        <v>85</v>
      </c>
      <c r="E98" t="s">
        <v>77</v>
      </c>
      <c r="F98" t="s">
        <v>134</v>
      </c>
      <c r="G98" t="s">
        <v>134</v>
      </c>
      <c r="H98" t="s">
        <v>134</v>
      </c>
      <c r="I98" t="s">
        <v>134</v>
      </c>
      <c r="J98">
        <v>34.372700000000002</v>
      </c>
      <c r="K98">
        <v>14.636800000000001</v>
      </c>
      <c r="L98" t="s">
        <v>134</v>
      </c>
      <c r="M98">
        <v>11.389699999999999</v>
      </c>
      <c r="N98">
        <v>9.4563000000000006</v>
      </c>
      <c r="O98">
        <v>6.0427</v>
      </c>
      <c r="P98">
        <v>7.7653999999999996</v>
      </c>
      <c r="Q98">
        <v>35.393700000000003</v>
      </c>
      <c r="R98" t="s">
        <v>134</v>
      </c>
      <c r="S98" t="s">
        <v>134</v>
      </c>
      <c r="T98" t="s">
        <v>134</v>
      </c>
      <c r="U98" t="s">
        <v>134</v>
      </c>
      <c r="V98" t="s">
        <v>134</v>
      </c>
      <c r="W98" t="s">
        <v>134</v>
      </c>
      <c r="X98" t="s">
        <v>134</v>
      </c>
      <c r="Y98" t="s">
        <v>134</v>
      </c>
      <c r="Z98" t="s">
        <v>134</v>
      </c>
      <c r="AA98" t="s">
        <v>134</v>
      </c>
      <c r="AB98" t="s">
        <v>134</v>
      </c>
      <c r="AC98" t="s">
        <v>134</v>
      </c>
      <c r="AD98" t="s">
        <v>134</v>
      </c>
      <c r="AE98" t="s">
        <v>134</v>
      </c>
      <c r="AF98" t="s">
        <v>134</v>
      </c>
      <c r="AG98" t="s">
        <v>134</v>
      </c>
      <c r="AH98" t="s">
        <v>134</v>
      </c>
      <c r="AI98" t="s">
        <v>134</v>
      </c>
      <c r="AJ98" t="s">
        <v>134</v>
      </c>
      <c r="AK98" t="s">
        <v>134</v>
      </c>
      <c r="AL98" t="s">
        <v>134</v>
      </c>
      <c r="AM98" t="s">
        <v>134</v>
      </c>
      <c r="AN98" t="s">
        <v>134</v>
      </c>
      <c r="AO98" t="s">
        <v>134</v>
      </c>
      <c r="AP98" t="s">
        <v>134</v>
      </c>
      <c r="AQ98" t="s">
        <v>134</v>
      </c>
      <c r="AR98" t="s">
        <v>134</v>
      </c>
      <c r="AS98" t="s">
        <v>134</v>
      </c>
      <c r="AT98" t="s">
        <v>134</v>
      </c>
      <c r="AU98" t="s">
        <v>134</v>
      </c>
      <c r="AV98" t="s">
        <v>134</v>
      </c>
      <c r="AW98" t="s">
        <v>134</v>
      </c>
      <c r="AX98" t="s">
        <v>134</v>
      </c>
      <c r="AY98" t="s">
        <v>134</v>
      </c>
      <c r="AZ98" t="s">
        <v>134</v>
      </c>
      <c r="BA98" t="s">
        <v>134</v>
      </c>
      <c r="BB98" t="s">
        <v>134</v>
      </c>
      <c r="BC98" t="s">
        <v>134</v>
      </c>
      <c r="BD98" t="s">
        <v>134</v>
      </c>
      <c r="BE98" t="s">
        <v>134</v>
      </c>
      <c r="BF98" t="s">
        <v>134</v>
      </c>
      <c r="BG98" t="s">
        <v>134</v>
      </c>
      <c r="BH98" t="s">
        <v>134</v>
      </c>
      <c r="BI98" t="s">
        <v>134</v>
      </c>
      <c r="BJ98" t="s">
        <v>134</v>
      </c>
      <c r="BK98" t="s">
        <v>134</v>
      </c>
      <c r="BL98" t="s">
        <v>134</v>
      </c>
      <c r="BM98" t="s">
        <v>134</v>
      </c>
      <c r="BN98" t="s">
        <v>134</v>
      </c>
      <c r="BO98" t="s">
        <v>134</v>
      </c>
      <c r="BP98" t="s">
        <v>134</v>
      </c>
      <c r="BQ98" t="s">
        <v>134</v>
      </c>
      <c r="BR98" t="s">
        <v>134</v>
      </c>
      <c r="BS98" t="s">
        <v>134</v>
      </c>
      <c r="BT98" t="s">
        <v>134</v>
      </c>
      <c r="BU98" t="s">
        <v>134</v>
      </c>
      <c r="BV98" t="s">
        <v>134</v>
      </c>
      <c r="BW98" t="s">
        <v>134</v>
      </c>
      <c r="BX98" t="s">
        <v>134</v>
      </c>
      <c r="BY98">
        <v>446061.6</v>
      </c>
      <c r="BZ98">
        <v>99345.4</v>
      </c>
      <c r="CA98">
        <v>346716.2</v>
      </c>
      <c r="CB98">
        <v>9.5137</v>
      </c>
      <c r="CC98">
        <v>9.2812000000000001</v>
      </c>
      <c r="CD98">
        <v>28.711300000000001</v>
      </c>
      <c r="CE98">
        <v>28.009599999999999</v>
      </c>
      <c r="CF98">
        <v>1.5493999999999999</v>
      </c>
      <c r="CG98">
        <v>9.1961999999999993</v>
      </c>
      <c r="CH98">
        <v>338.34980000000002</v>
      </c>
      <c r="CI98">
        <v>63.207799999999999</v>
      </c>
      <c r="CJ98">
        <v>36.857599999999998</v>
      </c>
      <c r="CK98">
        <v>435.298</v>
      </c>
      <c r="CL98">
        <v>81.318799999999996</v>
      </c>
      <c r="CM98">
        <v>47.418599999999998</v>
      </c>
      <c r="CN98">
        <v>424.65980000000002</v>
      </c>
      <c r="CO98">
        <v>80.94</v>
      </c>
      <c r="CP98">
        <v>46886.2</v>
      </c>
      <c r="CQ98">
        <v>45111.8</v>
      </c>
      <c r="CR98">
        <v>15536.1</v>
      </c>
      <c r="CS98" t="s">
        <v>134</v>
      </c>
      <c r="CT98" t="s">
        <v>134</v>
      </c>
      <c r="CU98" t="s">
        <v>134</v>
      </c>
      <c r="CV98" t="s">
        <v>134</v>
      </c>
      <c r="CW98" t="s">
        <v>134</v>
      </c>
      <c r="CX98" t="s">
        <v>134</v>
      </c>
      <c r="CY98" t="s">
        <v>134</v>
      </c>
      <c r="CZ98" t="s">
        <v>134</v>
      </c>
      <c r="DA98" t="s">
        <v>134</v>
      </c>
      <c r="DB98" t="s">
        <v>134</v>
      </c>
      <c r="DC98" t="s">
        <v>134</v>
      </c>
      <c r="DD98" t="s">
        <v>134</v>
      </c>
      <c r="DE98" t="s">
        <v>134</v>
      </c>
      <c r="DF98" t="s">
        <v>134</v>
      </c>
      <c r="DG98" t="s">
        <v>134</v>
      </c>
      <c r="DH98" t="s">
        <v>134</v>
      </c>
      <c r="DI98" t="s">
        <v>134</v>
      </c>
    </row>
    <row r="99" spans="1:113" x14ac:dyDescent="0.3">
      <c r="E99" t="s">
        <v>78</v>
      </c>
      <c r="F99" t="s">
        <v>134</v>
      </c>
      <c r="G99" t="s">
        <v>134</v>
      </c>
      <c r="H99" t="s">
        <v>134</v>
      </c>
      <c r="I99" t="s">
        <v>134</v>
      </c>
      <c r="J99" t="s">
        <v>134</v>
      </c>
      <c r="K99" t="s">
        <v>134</v>
      </c>
      <c r="L99" t="s">
        <v>134</v>
      </c>
      <c r="M99" t="s">
        <v>134</v>
      </c>
      <c r="N99" t="s">
        <v>134</v>
      </c>
      <c r="O99" t="s">
        <v>134</v>
      </c>
      <c r="P99" t="s">
        <v>134</v>
      </c>
      <c r="Q99" t="s">
        <v>134</v>
      </c>
      <c r="R99" t="s">
        <v>134</v>
      </c>
      <c r="S99" t="s">
        <v>134</v>
      </c>
      <c r="T99" t="s">
        <v>134</v>
      </c>
      <c r="U99" t="s">
        <v>134</v>
      </c>
      <c r="V99" t="s">
        <v>134</v>
      </c>
      <c r="W99" t="s">
        <v>134</v>
      </c>
      <c r="X99" t="s">
        <v>134</v>
      </c>
      <c r="Y99" t="s">
        <v>134</v>
      </c>
      <c r="Z99" t="s">
        <v>134</v>
      </c>
      <c r="AA99" t="s">
        <v>134</v>
      </c>
      <c r="AB99" t="s">
        <v>134</v>
      </c>
      <c r="AC99" t="s">
        <v>134</v>
      </c>
      <c r="AD99" t="s">
        <v>134</v>
      </c>
      <c r="AE99" t="s">
        <v>134</v>
      </c>
      <c r="AF99" t="s">
        <v>134</v>
      </c>
      <c r="AG99" t="s">
        <v>134</v>
      </c>
      <c r="AH99" t="s">
        <v>134</v>
      </c>
      <c r="AI99" t="s">
        <v>134</v>
      </c>
      <c r="AJ99" t="s">
        <v>134</v>
      </c>
      <c r="AK99" t="s">
        <v>134</v>
      </c>
      <c r="AL99" t="s">
        <v>134</v>
      </c>
      <c r="AM99" t="s">
        <v>134</v>
      </c>
      <c r="AN99" t="s">
        <v>134</v>
      </c>
      <c r="AO99" t="s">
        <v>134</v>
      </c>
      <c r="AP99" t="s">
        <v>134</v>
      </c>
      <c r="AQ99" t="s">
        <v>134</v>
      </c>
      <c r="AR99" t="s">
        <v>134</v>
      </c>
      <c r="AS99" t="s">
        <v>134</v>
      </c>
      <c r="AT99" t="s">
        <v>134</v>
      </c>
      <c r="AU99" t="s">
        <v>134</v>
      </c>
      <c r="AV99" t="s">
        <v>134</v>
      </c>
      <c r="AW99" t="s">
        <v>134</v>
      </c>
      <c r="AX99" t="s">
        <v>134</v>
      </c>
      <c r="AY99" t="s">
        <v>134</v>
      </c>
      <c r="AZ99" t="s">
        <v>134</v>
      </c>
      <c r="BA99" t="s">
        <v>134</v>
      </c>
      <c r="BB99" t="s">
        <v>134</v>
      </c>
      <c r="BC99" t="s">
        <v>134</v>
      </c>
      <c r="BD99" t="s">
        <v>134</v>
      </c>
      <c r="BE99" t="s">
        <v>134</v>
      </c>
      <c r="BF99" t="s">
        <v>134</v>
      </c>
      <c r="BG99" t="s">
        <v>134</v>
      </c>
      <c r="BH99" t="s">
        <v>134</v>
      </c>
      <c r="BI99" t="s">
        <v>134</v>
      </c>
      <c r="BJ99" t="s">
        <v>134</v>
      </c>
      <c r="BK99" t="s">
        <v>134</v>
      </c>
      <c r="BL99" t="s">
        <v>134</v>
      </c>
      <c r="BM99" t="s">
        <v>134</v>
      </c>
      <c r="BN99" t="s">
        <v>134</v>
      </c>
      <c r="BO99" t="s">
        <v>134</v>
      </c>
      <c r="BP99" t="s">
        <v>134</v>
      </c>
      <c r="BQ99" t="s">
        <v>134</v>
      </c>
      <c r="BR99" t="s">
        <v>134</v>
      </c>
      <c r="BS99" t="s">
        <v>134</v>
      </c>
      <c r="BT99" t="s">
        <v>134</v>
      </c>
      <c r="BU99" t="s">
        <v>134</v>
      </c>
      <c r="BV99" t="s">
        <v>134</v>
      </c>
      <c r="BW99" t="s">
        <v>134</v>
      </c>
      <c r="BX99" t="s">
        <v>134</v>
      </c>
      <c r="BY99" t="s">
        <v>134</v>
      </c>
      <c r="BZ99" t="s">
        <v>134</v>
      </c>
      <c r="CA99" t="s">
        <v>134</v>
      </c>
      <c r="CB99" t="s">
        <v>134</v>
      </c>
      <c r="CC99" t="s">
        <v>134</v>
      </c>
      <c r="CD99" t="s">
        <v>134</v>
      </c>
      <c r="CE99" t="s">
        <v>134</v>
      </c>
      <c r="CF99" t="s">
        <v>134</v>
      </c>
      <c r="CG99" t="s">
        <v>134</v>
      </c>
      <c r="CH99" t="s">
        <v>134</v>
      </c>
      <c r="CI99" t="s">
        <v>134</v>
      </c>
      <c r="CJ99" t="s">
        <v>134</v>
      </c>
      <c r="CK99" t="s">
        <v>134</v>
      </c>
      <c r="CL99" t="s">
        <v>134</v>
      </c>
      <c r="CM99" t="s">
        <v>134</v>
      </c>
      <c r="CN99" t="s">
        <v>134</v>
      </c>
      <c r="CO99" t="s">
        <v>134</v>
      </c>
      <c r="CP99" t="s">
        <v>134</v>
      </c>
      <c r="CQ99" t="s">
        <v>134</v>
      </c>
      <c r="CR99" t="s">
        <v>134</v>
      </c>
      <c r="CS99" t="s">
        <v>134</v>
      </c>
      <c r="CT99" t="s">
        <v>134</v>
      </c>
      <c r="CU99" t="s">
        <v>134</v>
      </c>
      <c r="CV99" t="s">
        <v>134</v>
      </c>
      <c r="CW99" t="s">
        <v>134</v>
      </c>
      <c r="CX99" t="s">
        <v>134</v>
      </c>
      <c r="CY99" t="s">
        <v>134</v>
      </c>
      <c r="CZ99" t="s">
        <v>134</v>
      </c>
      <c r="DA99" t="s">
        <v>134</v>
      </c>
      <c r="DB99" t="s">
        <v>134</v>
      </c>
      <c r="DC99" t="s">
        <v>134</v>
      </c>
      <c r="DD99" t="s">
        <v>134</v>
      </c>
      <c r="DE99" t="s">
        <v>134</v>
      </c>
      <c r="DF99" t="s">
        <v>134</v>
      </c>
      <c r="DG99" t="s">
        <v>134</v>
      </c>
      <c r="DH99" t="s">
        <v>134</v>
      </c>
      <c r="DI99" t="s">
        <v>134</v>
      </c>
    </row>
    <row r="100" spans="1:113" x14ac:dyDescent="0.3">
      <c r="E100" t="s">
        <v>79</v>
      </c>
      <c r="F100" t="s">
        <v>134</v>
      </c>
      <c r="G100" t="s">
        <v>134</v>
      </c>
      <c r="H100" t="s">
        <v>134</v>
      </c>
      <c r="I100" t="s">
        <v>134</v>
      </c>
      <c r="J100">
        <v>34.4756</v>
      </c>
      <c r="K100">
        <v>33.681899999999999</v>
      </c>
      <c r="L100" t="s">
        <v>134</v>
      </c>
      <c r="M100">
        <v>12.139699999999999</v>
      </c>
      <c r="N100">
        <v>8.3096999999999994</v>
      </c>
      <c r="O100">
        <v>7.0978000000000003</v>
      </c>
      <c r="P100">
        <v>7.0978000000000003</v>
      </c>
      <c r="Q100">
        <v>31.549600000000002</v>
      </c>
      <c r="R100" t="s">
        <v>134</v>
      </c>
      <c r="S100" t="s">
        <v>134</v>
      </c>
      <c r="T100" t="s">
        <v>134</v>
      </c>
      <c r="U100" t="s">
        <v>134</v>
      </c>
      <c r="V100" t="s">
        <v>134</v>
      </c>
      <c r="W100" t="s">
        <v>134</v>
      </c>
      <c r="X100" t="s">
        <v>134</v>
      </c>
      <c r="Y100" t="s">
        <v>134</v>
      </c>
      <c r="Z100" t="s">
        <v>134</v>
      </c>
      <c r="AA100" t="s">
        <v>134</v>
      </c>
      <c r="AB100" t="s">
        <v>134</v>
      </c>
      <c r="AC100" t="s">
        <v>134</v>
      </c>
      <c r="AD100" t="s">
        <v>134</v>
      </c>
      <c r="AE100" t="s">
        <v>134</v>
      </c>
      <c r="AF100" t="s">
        <v>134</v>
      </c>
      <c r="AG100" t="s">
        <v>134</v>
      </c>
      <c r="AH100" t="s">
        <v>134</v>
      </c>
      <c r="AI100" t="s">
        <v>134</v>
      </c>
      <c r="AJ100" t="s">
        <v>134</v>
      </c>
      <c r="AK100" t="s">
        <v>134</v>
      </c>
      <c r="AL100" t="s">
        <v>134</v>
      </c>
      <c r="AM100" t="s">
        <v>134</v>
      </c>
      <c r="AN100" t="s">
        <v>134</v>
      </c>
      <c r="AO100" t="s">
        <v>134</v>
      </c>
      <c r="AP100" t="s">
        <v>134</v>
      </c>
      <c r="AQ100" t="s">
        <v>134</v>
      </c>
      <c r="AR100" t="s">
        <v>134</v>
      </c>
      <c r="AS100" t="s">
        <v>134</v>
      </c>
      <c r="AT100" t="s">
        <v>134</v>
      </c>
      <c r="AU100" t="s">
        <v>134</v>
      </c>
      <c r="AV100" t="s">
        <v>134</v>
      </c>
      <c r="AW100" t="s">
        <v>134</v>
      </c>
      <c r="AX100" t="s">
        <v>134</v>
      </c>
      <c r="AY100" t="s">
        <v>134</v>
      </c>
      <c r="AZ100" t="s">
        <v>134</v>
      </c>
      <c r="BA100" t="s">
        <v>134</v>
      </c>
      <c r="BB100" t="s">
        <v>134</v>
      </c>
      <c r="BC100" t="s">
        <v>134</v>
      </c>
      <c r="BD100" t="s">
        <v>134</v>
      </c>
      <c r="BE100" t="s">
        <v>134</v>
      </c>
      <c r="BF100" t="s">
        <v>134</v>
      </c>
      <c r="BG100" t="s">
        <v>134</v>
      </c>
      <c r="BH100" t="s">
        <v>134</v>
      </c>
      <c r="BI100" t="s">
        <v>134</v>
      </c>
      <c r="BJ100" t="s">
        <v>134</v>
      </c>
      <c r="BK100" t="s">
        <v>134</v>
      </c>
      <c r="BL100" t="s">
        <v>134</v>
      </c>
      <c r="BM100" t="s">
        <v>134</v>
      </c>
      <c r="BN100" t="s">
        <v>134</v>
      </c>
      <c r="BO100" t="s">
        <v>134</v>
      </c>
      <c r="BP100" t="s">
        <v>134</v>
      </c>
      <c r="BQ100" t="s">
        <v>134</v>
      </c>
      <c r="BR100" t="s">
        <v>134</v>
      </c>
      <c r="BS100" t="s">
        <v>134</v>
      </c>
      <c r="BT100" t="s">
        <v>134</v>
      </c>
      <c r="BU100" t="s">
        <v>134</v>
      </c>
      <c r="BV100" t="s">
        <v>134</v>
      </c>
      <c r="BW100" t="s">
        <v>134</v>
      </c>
      <c r="BX100" t="s">
        <v>134</v>
      </c>
      <c r="BY100">
        <v>346720.7</v>
      </c>
      <c r="BZ100">
        <v>123531.1</v>
      </c>
      <c r="CA100">
        <v>223189.6</v>
      </c>
      <c r="CB100" t="s">
        <v>134</v>
      </c>
      <c r="CC100" t="s">
        <v>134</v>
      </c>
      <c r="CD100" t="s">
        <v>134</v>
      </c>
      <c r="CE100" t="s">
        <v>134</v>
      </c>
      <c r="CF100" t="s">
        <v>134</v>
      </c>
      <c r="CG100">
        <v>9.6309000000000005</v>
      </c>
      <c r="CH100">
        <v>226.93770000000001</v>
      </c>
      <c r="CI100">
        <v>50.147199999999998</v>
      </c>
      <c r="CJ100">
        <v>26.120999999999999</v>
      </c>
      <c r="CK100">
        <v>352.54329999999999</v>
      </c>
      <c r="CL100">
        <v>77.902699999999996</v>
      </c>
      <c r="CM100">
        <v>40.578499999999998</v>
      </c>
      <c r="CN100">
        <v>346.70519999999999</v>
      </c>
      <c r="CO100">
        <v>77.613900000000001</v>
      </c>
      <c r="CP100">
        <v>11006.9</v>
      </c>
      <c r="CQ100" t="s">
        <v>134</v>
      </c>
      <c r="CR100">
        <v>10753.5</v>
      </c>
      <c r="CS100" t="s">
        <v>134</v>
      </c>
      <c r="CT100" t="s">
        <v>134</v>
      </c>
      <c r="CU100" t="s">
        <v>134</v>
      </c>
      <c r="CV100" t="s">
        <v>134</v>
      </c>
      <c r="CW100" t="s">
        <v>134</v>
      </c>
      <c r="CX100" t="s">
        <v>134</v>
      </c>
      <c r="CY100" t="s">
        <v>134</v>
      </c>
      <c r="CZ100" t="s">
        <v>134</v>
      </c>
      <c r="DA100" t="s">
        <v>134</v>
      </c>
      <c r="DB100" t="s">
        <v>134</v>
      </c>
      <c r="DC100" t="s">
        <v>134</v>
      </c>
      <c r="DD100" t="s">
        <v>134</v>
      </c>
      <c r="DE100" t="s">
        <v>134</v>
      </c>
      <c r="DF100" t="s">
        <v>134</v>
      </c>
      <c r="DG100" t="s">
        <v>134</v>
      </c>
      <c r="DH100" t="s">
        <v>134</v>
      </c>
      <c r="DI100" t="s">
        <v>134</v>
      </c>
    </row>
    <row r="101" spans="1:113" x14ac:dyDescent="0.3">
      <c r="E101" t="s">
        <v>80</v>
      </c>
      <c r="F101" t="s">
        <v>134</v>
      </c>
      <c r="G101" t="s">
        <v>134</v>
      </c>
      <c r="H101" t="s">
        <v>134</v>
      </c>
      <c r="I101" t="s">
        <v>134</v>
      </c>
      <c r="J101">
        <v>34.674700000000001</v>
      </c>
      <c r="K101">
        <v>33.8245</v>
      </c>
      <c r="L101" t="s">
        <v>134</v>
      </c>
      <c r="M101">
        <v>12.3118</v>
      </c>
      <c r="N101">
        <v>7.9055</v>
      </c>
      <c r="O101">
        <v>6.5212000000000003</v>
      </c>
      <c r="P101">
        <v>6.5212000000000003</v>
      </c>
      <c r="Q101">
        <v>35.789099999999998</v>
      </c>
      <c r="R101" t="s">
        <v>134</v>
      </c>
      <c r="S101" t="s">
        <v>134</v>
      </c>
      <c r="T101" t="s">
        <v>134</v>
      </c>
      <c r="U101" t="s">
        <v>134</v>
      </c>
      <c r="V101" t="s">
        <v>134</v>
      </c>
      <c r="W101" t="s">
        <v>134</v>
      </c>
      <c r="X101" t="s">
        <v>134</v>
      </c>
      <c r="Y101" t="s">
        <v>134</v>
      </c>
      <c r="Z101" t="s">
        <v>134</v>
      </c>
      <c r="AA101" t="s">
        <v>134</v>
      </c>
      <c r="AB101" t="s">
        <v>134</v>
      </c>
      <c r="AC101" t="s">
        <v>134</v>
      </c>
      <c r="AD101" t="s">
        <v>134</v>
      </c>
      <c r="AE101" t="s">
        <v>134</v>
      </c>
      <c r="AF101" t="s">
        <v>134</v>
      </c>
      <c r="AG101" t="s">
        <v>134</v>
      </c>
      <c r="AH101" t="s">
        <v>134</v>
      </c>
      <c r="AI101" t="s">
        <v>134</v>
      </c>
      <c r="AJ101" t="s">
        <v>134</v>
      </c>
      <c r="AK101" t="s">
        <v>134</v>
      </c>
      <c r="AL101" t="s">
        <v>134</v>
      </c>
      <c r="AM101" t="s">
        <v>134</v>
      </c>
      <c r="AN101" t="s">
        <v>134</v>
      </c>
      <c r="AO101" t="s">
        <v>134</v>
      </c>
      <c r="AP101" t="s">
        <v>134</v>
      </c>
      <c r="AQ101" t="s">
        <v>134</v>
      </c>
      <c r="AR101" t="s">
        <v>134</v>
      </c>
      <c r="AS101" t="s">
        <v>134</v>
      </c>
      <c r="AT101" t="s">
        <v>134</v>
      </c>
      <c r="AU101" t="s">
        <v>134</v>
      </c>
      <c r="AV101" t="s">
        <v>134</v>
      </c>
      <c r="AW101" t="s">
        <v>134</v>
      </c>
      <c r="AX101" t="s">
        <v>134</v>
      </c>
      <c r="AY101" t="s">
        <v>134</v>
      </c>
      <c r="AZ101" t="s">
        <v>134</v>
      </c>
      <c r="BA101" t="s">
        <v>134</v>
      </c>
      <c r="BB101" t="s">
        <v>134</v>
      </c>
      <c r="BC101" t="s">
        <v>134</v>
      </c>
      <c r="BD101" t="s">
        <v>134</v>
      </c>
      <c r="BE101" t="s">
        <v>134</v>
      </c>
      <c r="BF101">
        <v>23.203600000000002</v>
      </c>
      <c r="BG101">
        <v>8.9983000000000004</v>
      </c>
      <c r="BH101">
        <v>277.26679999999999</v>
      </c>
      <c r="BI101">
        <v>-3.5411000000000001</v>
      </c>
      <c r="BJ101">
        <v>-4.8544</v>
      </c>
      <c r="BK101" t="s">
        <v>134</v>
      </c>
      <c r="BL101" t="s">
        <v>134</v>
      </c>
      <c r="BM101" t="s">
        <v>134</v>
      </c>
      <c r="BN101" t="s">
        <v>134</v>
      </c>
      <c r="BO101" t="s">
        <v>134</v>
      </c>
      <c r="BP101" t="s">
        <v>134</v>
      </c>
      <c r="BQ101" t="s">
        <v>134</v>
      </c>
      <c r="BR101" t="s">
        <v>134</v>
      </c>
      <c r="BS101" t="s">
        <v>134</v>
      </c>
      <c r="BT101" t="s">
        <v>134</v>
      </c>
      <c r="BU101" t="s">
        <v>134</v>
      </c>
      <c r="BV101" t="s">
        <v>134</v>
      </c>
      <c r="BW101" t="s">
        <v>134</v>
      </c>
      <c r="BX101" t="s">
        <v>134</v>
      </c>
      <c r="BY101" t="s">
        <v>134</v>
      </c>
      <c r="BZ101" t="s">
        <v>134</v>
      </c>
      <c r="CA101" t="s">
        <v>134</v>
      </c>
      <c r="CB101" t="s">
        <v>134</v>
      </c>
      <c r="CC101" t="s">
        <v>134</v>
      </c>
      <c r="CD101" t="s">
        <v>134</v>
      </c>
      <c r="CE101" t="s">
        <v>134</v>
      </c>
      <c r="CF101" t="s">
        <v>134</v>
      </c>
      <c r="CG101" t="s">
        <v>134</v>
      </c>
      <c r="CH101" t="s">
        <v>134</v>
      </c>
      <c r="CI101" t="s">
        <v>134</v>
      </c>
      <c r="CJ101" t="s">
        <v>134</v>
      </c>
      <c r="CK101" t="s">
        <v>134</v>
      </c>
      <c r="CL101" t="s">
        <v>134</v>
      </c>
      <c r="CM101" t="s">
        <v>134</v>
      </c>
      <c r="CN101" t="s">
        <v>134</v>
      </c>
      <c r="CO101" t="s">
        <v>134</v>
      </c>
      <c r="CP101">
        <v>11529.4</v>
      </c>
      <c r="CQ101" t="s">
        <v>134</v>
      </c>
      <c r="CR101">
        <v>11246.7</v>
      </c>
      <c r="CS101" t="s">
        <v>134</v>
      </c>
      <c r="CT101" t="s">
        <v>134</v>
      </c>
      <c r="CU101" t="s">
        <v>134</v>
      </c>
      <c r="CV101" t="s">
        <v>134</v>
      </c>
      <c r="CW101" t="s">
        <v>134</v>
      </c>
      <c r="CX101" t="s">
        <v>134</v>
      </c>
      <c r="CY101" t="s">
        <v>134</v>
      </c>
      <c r="CZ101" t="s">
        <v>134</v>
      </c>
      <c r="DA101" t="s">
        <v>134</v>
      </c>
      <c r="DB101" t="s">
        <v>134</v>
      </c>
      <c r="DC101" t="s">
        <v>134</v>
      </c>
      <c r="DD101" t="s">
        <v>134</v>
      </c>
      <c r="DE101" t="s">
        <v>134</v>
      </c>
      <c r="DF101" t="s">
        <v>134</v>
      </c>
      <c r="DG101" t="s">
        <v>134</v>
      </c>
      <c r="DH101" t="s">
        <v>134</v>
      </c>
      <c r="DI101" t="s">
        <v>134</v>
      </c>
    </row>
    <row r="102" spans="1:113" x14ac:dyDescent="0.3">
      <c r="E102" t="s">
        <v>81</v>
      </c>
      <c r="F102" t="s">
        <v>134</v>
      </c>
      <c r="G102" t="s">
        <v>134</v>
      </c>
      <c r="H102" t="s">
        <v>134</v>
      </c>
      <c r="I102" t="s">
        <v>134</v>
      </c>
      <c r="J102">
        <v>29.614999999999998</v>
      </c>
      <c r="K102">
        <v>28.872599999999998</v>
      </c>
      <c r="L102" t="s">
        <v>134</v>
      </c>
      <c r="M102">
        <v>9.3461999999999996</v>
      </c>
      <c r="N102">
        <v>5.8468999999999998</v>
      </c>
      <c r="O102">
        <v>4.8812999999999995</v>
      </c>
      <c r="P102">
        <v>4.8812999999999995</v>
      </c>
      <c r="Q102">
        <v>37.441499999999998</v>
      </c>
      <c r="R102" t="s">
        <v>134</v>
      </c>
      <c r="S102" t="s">
        <v>134</v>
      </c>
      <c r="T102" t="s">
        <v>134</v>
      </c>
      <c r="U102" t="s">
        <v>134</v>
      </c>
      <c r="V102" t="s">
        <v>134</v>
      </c>
      <c r="W102" t="s">
        <v>134</v>
      </c>
      <c r="X102" t="s">
        <v>134</v>
      </c>
      <c r="Y102" t="s">
        <v>134</v>
      </c>
      <c r="Z102" t="s">
        <v>134</v>
      </c>
      <c r="AA102" t="s">
        <v>134</v>
      </c>
      <c r="AB102" t="s">
        <v>134</v>
      </c>
      <c r="AC102" t="s">
        <v>134</v>
      </c>
      <c r="AD102" t="s">
        <v>134</v>
      </c>
      <c r="AE102" t="s">
        <v>134</v>
      </c>
      <c r="AF102" t="s">
        <v>134</v>
      </c>
      <c r="AG102" t="s">
        <v>134</v>
      </c>
      <c r="AH102" t="s">
        <v>134</v>
      </c>
      <c r="AI102" t="s">
        <v>134</v>
      </c>
      <c r="AJ102" t="s">
        <v>134</v>
      </c>
      <c r="AK102" t="s">
        <v>134</v>
      </c>
      <c r="AL102" t="s">
        <v>134</v>
      </c>
      <c r="AM102" t="s">
        <v>134</v>
      </c>
      <c r="AN102" t="s">
        <v>134</v>
      </c>
      <c r="AO102" t="s">
        <v>134</v>
      </c>
      <c r="AP102" t="s">
        <v>134</v>
      </c>
      <c r="AQ102" t="s">
        <v>134</v>
      </c>
      <c r="AR102" t="s">
        <v>134</v>
      </c>
      <c r="AS102" t="s">
        <v>134</v>
      </c>
      <c r="AT102" t="s">
        <v>134</v>
      </c>
      <c r="AU102" t="s">
        <v>134</v>
      </c>
      <c r="AV102" t="s">
        <v>134</v>
      </c>
      <c r="AW102" t="s">
        <v>134</v>
      </c>
      <c r="AX102" t="s">
        <v>134</v>
      </c>
      <c r="AY102" t="s">
        <v>134</v>
      </c>
      <c r="AZ102" t="s">
        <v>134</v>
      </c>
      <c r="BA102" t="s">
        <v>134</v>
      </c>
      <c r="BB102" t="s">
        <v>134</v>
      </c>
      <c r="BC102" t="s">
        <v>134</v>
      </c>
      <c r="BD102" t="s">
        <v>134</v>
      </c>
      <c r="BE102" t="s">
        <v>134</v>
      </c>
      <c r="BF102">
        <v>27.9878</v>
      </c>
      <c r="BG102">
        <v>9.3117999999999999</v>
      </c>
      <c r="BH102">
        <v>9.2507000000000001</v>
      </c>
      <c r="BI102">
        <v>-4.1967999999999996</v>
      </c>
      <c r="BJ102">
        <v>-4.0815999999999999</v>
      </c>
      <c r="BK102" t="s">
        <v>134</v>
      </c>
      <c r="BL102" t="s">
        <v>134</v>
      </c>
      <c r="BM102" t="s">
        <v>134</v>
      </c>
      <c r="BN102" t="s">
        <v>134</v>
      </c>
      <c r="BO102" t="s">
        <v>134</v>
      </c>
      <c r="BP102" t="s">
        <v>134</v>
      </c>
      <c r="BQ102" t="s">
        <v>134</v>
      </c>
      <c r="BR102" t="s">
        <v>134</v>
      </c>
      <c r="BS102" t="s">
        <v>134</v>
      </c>
      <c r="BT102" t="s">
        <v>134</v>
      </c>
      <c r="BU102" t="s">
        <v>134</v>
      </c>
      <c r="BV102" t="s">
        <v>134</v>
      </c>
      <c r="BW102" t="s">
        <v>134</v>
      </c>
      <c r="BX102" t="s">
        <v>134</v>
      </c>
      <c r="BY102">
        <v>446061.6</v>
      </c>
      <c r="BZ102">
        <v>99345.4</v>
      </c>
      <c r="CA102">
        <v>346716.2</v>
      </c>
      <c r="CB102" t="s">
        <v>134</v>
      </c>
      <c r="CC102" t="s">
        <v>134</v>
      </c>
      <c r="CD102" t="s">
        <v>134</v>
      </c>
      <c r="CE102" t="s">
        <v>134</v>
      </c>
      <c r="CF102" t="s">
        <v>134</v>
      </c>
      <c r="CG102">
        <v>9.1961999999999993</v>
      </c>
      <c r="CH102">
        <v>338.34980000000002</v>
      </c>
      <c r="CI102">
        <v>63.207799999999999</v>
      </c>
      <c r="CJ102">
        <v>36.857599999999998</v>
      </c>
      <c r="CK102">
        <v>435.298</v>
      </c>
      <c r="CL102">
        <v>81.318799999999996</v>
      </c>
      <c r="CM102">
        <v>47.418599999999998</v>
      </c>
      <c r="CN102">
        <v>424.65980000000002</v>
      </c>
      <c r="CO102">
        <v>80.94</v>
      </c>
      <c r="CP102">
        <v>12603</v>
      </c>
      <c r="CQ102" t="s">
        <v>134</v>
      </c>
      <c r="CR102">
        <v>12287.1</v>
      </c>
      <c r="CS102" t="s">
        <v>134</v>
      </c>
      <c r="CT102" t="s">
        <v>134</v>
      </c>
      <c r="CU102" t="s">
        <v>134</v>
      </c>
      <c r="CV102" t="s">
        <v>134</v>
      </c>
      <c r="CW102" t="s">
        <v>134</v>
      </c>
      <c r="CX102" t="s">
        <v>134</v>
      </c>
      <c r="CY102" t="s">
        <v>134</v>
      </c>
      <c r="CZ102" t="s">
        <v>134</v>
      </c>
      <c r="DA102" t="s">
        <v>134</v>
      </c>
      <c r="DB102" t="s">
        <v>134</v>
      </c>
      <c r="DC102" t="s">
        <v>134</v>
      </c>
      <c r="DD102" t="s">
        <v>134</v>
      </c>
      <c r="DE102" t="s">
        <v>134</v>
      </c>
      <c r="DF102" t="s">
        <v>134</v>
      </c>
      <c r="DG102" t="s">
        <v>134</v>
      </c>
      <c r="DH102" t="s">
        <v>134</v>
      </c>
      <c r="DI102" t="s">
        <v>134</v>
      </c>
    </row>
    <row r="103" spans="1:113" x14ac:dyDescent="0.3">
      <c r="A103">
        <v>5</v>
      </c>
      <c r="B103" t="s">
        <v>92</v>
      </c>
      <c r="C103" t="s">
        <v>93</v>
      </c>
      <c r="D103" t="s">
        <v>76</v>
      </c>
      <c r="E103" t="s">
        <v>77</v>
      </c>
      <c r="F103">
        <v>15.221299999999999</v>
      </c>
      <c r="G103">
        <v>11.0787</v>
      </c>
      <c r="H103">
        <v>15.7164</v>
      </c>
      <c r="I103">
        <v>10.8909</v>
      </c>
      <c r="J103">
        <v>19.4176</v>
      </c>
      <c r="K103">
        <v>14.2514</v>
      </c>
      <c r="L103">
        <v>30.488900000000001</v>
      </c>
      <c r="M103">
        <v>17.8643</v>
      </c>
      <c r="N103">
        <v>14.969099999999999</v>
      </c>
      <c r="O103">
        <v>14.968999999999999</v>
      </c>
      <c r="P103">
        <v>14.968999999999999</v>
      </c>
      <c r="Q103">
        <v>16.206700000000001</v>
      </c>
      <c r="R103">
        <v>52.109699999999997</v>
      </c>
      <c r="S103">
        <v>7.2895000000000003</v>
      </c>
      <c r="T103">
        <v>9.0084999999999997</v>
      </c>
      <c r="U103">
        <v>16.251899999999999</v>
      </c>
      <c r="V103">
        <v>21.476700000000001</v>
      </c>
      <c r="W103">
        <v>16.262699999999999</v>
      </c>
      <c r="X103">
        <v>16.0822</v>
      </c>
      <c r="Y103">
        <v>38.8889</v>
      </c>
      <c r="Z103">
        <v>-1.48</v>
      </c>
      <c r="AA103">
        <v>-4.9594000000000005</v>
      </c>
      <c r="AB103">
        <v>2.3012000000000001</v>
      </c>
      <c r="AC103">
        <v>7.1135999999999999</v>
      </c>
      <c r="AD103">
        <v>-17.3123</v>
      </c>
      <c r="AE103">
        <v>6.5082000000000004</v>
      </c>
      <c r="AF103">
        <v>10.2468</v>
      </c>
      <c r="AG103">
        <v>-15.9596</v>
      </c>
      <c r="AH103">
        <v>-29.5153</v>
      </c>
      <c r="AI103">
        <v>6.4261999999999997</v>
      </c>
      <c r="AJ103">
        <v>6.2438000000000002</v>
      </c>
      <c r="AK103">
        <v>6.1597999999999997</v>
      </c>
      <c r="AL103">
        <v>32.756300000000003</v>
      </c>
      <c r="AM103">
        <v>7.0105000000000004</v>
      </c>
      <c r="AN103">
        <v>-0.40899999999999997</v>
      </c>
      <c r="AO103">
        <v>-3.2667999999999999</v>
      </c>
      <c r="AP103">
        <v>4.0846</v>
      </c>
      <c r="AQ103">
        <v>3.7656999999999998</v>
      </c>
      <c r="AR103">
        <v>15.811500000000001</v>
      </c>
      <c r="AS103">
        <v>8.7636000000000003</v>
      </c>
      <c r="AT103">
        <v>5.4291</v>
      </c>
      <c r="AU103">
        <v>3.0693999999999999</v>
      </c>
      <c r="AV103">
        <v>9.3832000000000004</v>
      </c>
      <c r="AW103" t="s">
        <v>134</v>
      </c>
      <c r="AX103">
        <v>28.887799999999999</v>
      </c>
      <c r="AY103">
        <v>-7.9375999999999998</v>
      </c>
      <c r="AZ103">
        <v>11.23</v>
      </c>
      <c r="BA103">
        <v>-27.136900000000001</v>
      </c>
      <c r="BB103">
        <v>9.2594999999999992</v>
      </c>
      <c r="BC103">
        <v>8.7814999999999994</v>
      </c>
      <c r="BD103">
        <v>8.8884000000000007</v>
      </c>
      <c r="BE103">
        <v>-2.6154999999999999</v>
      </c>
      <c r="BF103">
        <v>9.0084999999999997</v>
      </c>
      <c r="BG103">
        <v>16.251899999999999</v>
      </c>
      <c r="BH103">
        <v>21.476700000000001</v>
      </c>
      <c r="BI103">
        <v>16.262699999999999</v>
      </c>
      <c r="BJ103">
        <v>16.0822</v>
      </c>
      <c r="BK103">
        <v>38.8889</v>
      </c>
      <c r="BL103">
        <v>-1.48</v>
      </c>
      <c r="BM103">
        <v>-4.9594000000000005</v>
      </c>
      <c r="BN103">
        <v>2.3012000000000001</v>
      </c>
      <c r="BO103">
        <v>7.1135999999999999</v>
      </c>
      <c r="BP103">
        <v>-17.3123</v>
      </c>
      <c r="BQ103">
        <v>6.5082000000000004</v>
      </c>
      <c r="BR103">
        <v>10.2468</v>
      </c>
      <c r="BS103">
        <v>-15.9596</v>
      </c>
      <c r="BT103">
        <v>-29.5153</v>
      </c>
      <c r="BU103">
        <v>6.4261999999999997</v>
      </c>
      <c r="BV103">
        <v>6.2438000000000002</v>
      </c>
      <c r="BW103">
        <v>6.1597999999999997</v>
      </c>
      <c r="BX103">
        <v>32.756300000000003</v>
      </c>
      <c r="BY103">
        <v>340.3</v>
      </c>
      <c r="BZ103">
        <v>124.8</v>
      </c>
      <c r="CA103">
        <v>215.5</v>
      </c>
      <c r="CB103">
        <v>1.7600000000000001E-2</v>
      </c>
      <c r="CC103">
        <v>-2.3186</v>
      </c>
      <c r="CD103">
        <v>2.4E-2</v>
      </c>
      <c r="CE103">
        <v>-3.1591</v>
      </c>
      <c r="CF103">
        <v>29.416799999999999</v>
      </c>
      <c r="CG103">
        <v>72.558099999999996</v>
      </c>
      <c r="CH103">
        <v>0.214</v>
      </c>
      <c r="CI103">
        <v>0.21329999999999999</v>
      </c>
      <c r="CJ103">
        <v>0.15529999999999999</v>
      </c>
      <c r="CK103">
        <v>0.33789999999999998</v>
      </c>
      <c r="CL103">
        <v>0.33679999999999999</v>
      </c>
      <c r="CM103">
        <v>0.2452</v>
      </c>
      <c r="CN103">
        <v>-44.394799999999996</v>
      </c>
      <c r="CO103">
        <v>-79.839200000000005</v>
      </c>
      <c r="CP103">
        <v>19282.7</v>
      </c>
      <c r="CQ103">
        <v>11037.2</v>
      </c>
      <c r="CR103">
        <v>14152.4</v>
      </c>
      <c r="CS103">
        <v>1.4279999999999999</v>
      </c>
      <c r="CT103">
        <v>1.9028</v>
      </c>
      <c r="CU103">
        <v>1.5013999999999998</v>
      </c>
      <c r="CV103">
        <v>7.0868000000000002</v>
      </c>
      <c r="CW103">
        <v>42.549100000000003</v>
      </c>
      <c r="CX103">
        <v>8.5783000000000005</v>
      </c>
      <c r="CY103">
        <v>0.9204</v>
      </c>
      <c r="CZ103">
        <v>396.57150000000001</v>
      </c>
      <c r="DA103">
        <v>1.3614999999999999</v>
      </c>
      <c r="DB103">
        <v>268.0949</v>
      </c>
      <c r="DC103">
        <v>137.0549</v>
      </c>
      <c r="DD103">
        <v>405.14980000000003</v>
      </c>
      <c r="DE103">
        <v>8899.7000000000007</v>
      </c>
      <c r="DF103">
        <v>635</v>
      </c>
      <c r="DG103">
        <v>2258.3000000000002</v>
      </c>
      <c r="DH103">
        <v>881.9</v>
      </c>
      <c r="DI103">
        <v>5124.5</v>
      </c>
    </row>
    <row r="104" spans="1:113" x14ac:dyDescent="0.3">
      <c r="E104" t="s">
        <v>78</v>
      </c>
      <c r="F104" t="s">
        <v>134</v>
      </c>
      <c r="G104" t="s">
        <v>134</v>
      </c>
      <c r="H104" t="s">
        <v>134</v>
      </c>
      <c r="I104" t="s">
        <v>134</v>
      </c>
      <c r="J104" t="s">
        <v>134</v>
      </c>
      <c r="K104" t="s">
        <v>134</v>
      </c>
      <c r="L104" t="s">
        <v>134</v>
      </c>
      <c r="M104" t="s">
        <v>134</v>
      </c>
      <c r="N104" t="s">
        <v>134</v>
      </c>
      <c r="O104" t="s">
        <v>134</v>
      </c>
      <c r="P104" t="s">
        <v>134</v>
      </c>
      <c r="Q104" t="s">
        <v>134</v>
      </c>
      <c r="R104" t="s">
        <v>134</v>
      </c>
      <c r="S104" t="s">
        <v>134</v>
      </c>
      <c r="T104" t="s">
        <v>134</v>
      </c>
      <c r="U104" t="s">
        <v>134</v>
      </c>
      <c r="V104" t="s">
        <v>134</v>
      </c>
      <c r="W104" t="s">
        <v>134</v>
      </c>
      <c r="X104" t="s">
        <v>134</v>
      </c>
      <c r="Y104" t="s">
        <v>134</v>
      </c>
      <c r="Z104" t="s">
        <v>134</v>
      </c>
      <c r="AA104" t="s">
        <v>134</v>
      </c>
      <c r="AB104" t="s">
        <v>134</v>
      </c>
      <c r="AC104" t="s">
        <v>134</v>
      </c>
      <c r="AD104" t="s">
        <v>134</v>
      </c>
      <c r="AE104" t="s">
        <v>134</v>
      </c>
      <c r="AF104" t="s">
        <v>134</v>
      </c>
      <c r="AG104" t="s">
        <v>134</v>
      </c>
      <c r="AH104" t="s">
        <v>134</v>
      </c>
      <c r="AI104" t="s">
        <v>134</v>
      </c>
      <c r="AJ104" t="s">
        <v>134</v>
      </c>
      <c r="AK104" t="s">
        <v>134</v>
      </c>
      <c r="AL104" t="s">
        <v>134</v>
      </c>
      <c r="AM104" t="s">
        <v>134</v>
      </c>
      <c r="AN104" t="s">
        <v>134</v>
      </c>
      <c r="AO104" t="s">
        <v>134</v>
      </c>
      <c r="AP104" t="s">
        <v>134</v>
      </c>
      <c r="AQ104" t="s">
        <v>134</v>
      </c>
      <c r="AR104" t="s">
        <v>134</v>
      </c>
      <c r="AS104" t="s">
        <v>134</v>
      </c>
      <c r="AT104" t="s">
        <v>134</v>
      </c>
      <c r="AU104" t="s">
        <v>134</v>
      </c>
      <c r="AV104" t="s">
        <v>134</v>
      </c>
      <c r="AW104" t="s">
        <v>134</v>
      </c>
      <c r="AX104" t="s">
        <v>134</v>
      </c>
      <c r="AY104" t="s">
        <v>134</v>
      </c>
      <c r="AZ104" t="s">
        <v>134</v>
      </c>
      <c r="BA104" t="s">
        <v>134</v>
      </c>
      <c r="BB104" t="s">
        <v>134</v>
      </c>
      <c r="BC104" t="s">
        <v>134</v>
      </c>
      <c r="BD104" t="s">
        <v>134</v>
      </c>
      <c r="BE104" t="s">
        <v>134</v>
      </c>
      <c r="BF104" t="s">
        <v>134</v>
      </c>
      <c r="BG104" t="s">
        <v>134</v>
      </c>
      <c r="BH104" t="s">
        <v>134</v>
      </c>
      <c r="BI104" t="s">
        <v>134</v>
      </c>
      <c r="BJ104" t="s">
        <v>134</v>
      </c>
      <c r="BK104" t="s">
        <v>134</v>
      </c>
      <c r="BL104" t="s">
        <v>134</v>
      </c>
      <c r="BM104" t="s">
        <v>134</v>
      </c>
      <c r="BN104" t="s">
        <v>134</v>
      </c>
      <c r="BO104" t="s">
        <v>134</v>
      </c>
      <c r="BP104" t="s">
        <v>134</v>
      </c>
      <c r="BQ104" t="s">
        <v>134</v>
      </c>
      <c r="BR104" t="s">
        <v>134</v>
      </c>
      <c r="BS104" t="s">
        <v>134</v>
      </c>
      <c r="BT104" t="s">
        <v>134</v>
      </c>
      <c r="BU104" t="s">
        <v>134</v>
      </c>
      <c r="BV104" t="s">
        <v>134</v>
      </c>
      <c r="BW104" t="s">
        <v>134</v>
      </c>
      <c r="BX104" t="s">
        <v>134</v>
      </c>
      <c r="BY104" t="s">
        <v>134</v>
      </c>
      <c r="BZ104" t="s">
        <v>134</v>
      </c>
      <c r="CA104" t="s">
        <v>134</v>
      </c>
      <c r="CB104" t="s">
        <v>134</v>
      </c>
      <c r="CC104" t="s">
        <v>134</v>
      </c>
      <c r="CD104" t="s">
        <v>134</v>
      </c>
      <c r="CE104" t="s">
        <v>134</v>
      </c>
      <c r="CF104" t="s">
        <v>134</v>
      </c>
      <c r="CG104" t="s">
        <v>134</v>
      </c>
      <c r="CH104" t="s">
        <v>134</v>
      </c>
      <c r="CI104" t="s">
        <v>134</v>
      </c>
      <c r="CJ104" t="s">
        <v>134</v>
      </c>
      <c r="CK104" t="s">
        <v>134</v>
      </c>
      <c r="CL104" t="s">
        <v>134</v>
      </c>
      <c r="CM104" t="s">
        <v>134</v>
      </c>
      <c r="CN104" t="s">
        <v>134</v>
      </c>
      <c r="CO104" t="s">
        <v>134</v>
      </c>
      <c r="CP104" t="s">
        <v>134</v>
      </c>
      <c r="CQ104" t="s">
        <v>134</v>
      </c>
      <c r="CR104" t="s">
        <v>134</v>
      </c>
      <c r="CS104" t="s">
        <v>134</v>
      </c>
      <c r="CT104" t="s">
        <v>134</v>
      </c>
      <c r="CU104" t="s">
        <v>134</v>
      </c>
      <c r="CV104" t="s">
        <v>134</v>
      </c>
      <c r="CW104" t="s">
        <v>134</v>
      </c>
      <c r="CX104" t="s">
        <v>134</v>
      </c>
      <c r="CY104" t="s">
        <v>134</v>
      </c>
      <c r="CZ104" t="s">
        <v>134</v>
      </c>
      <c r="DA104" t="s">
        <v>134</v>
      </c>
      <c r="DB104" t="s">
        <v>134</v>
      </c>
      <c r="DC104" t="s">
        <v>134</v>
      </c>
      <c r="DD104" t="s">
        <v>134</v>
      </c>
      <c r="DE104" t="s">
        <v>134</v>
      </c>
      <c r="DF104" t="s">
        <v>134</v>
      </c>
      <c r="DG104" t="s">
        <v>134</v>
      </c>
      <c r="DH104" t="s">
        <v>134</v>
      </c>
      <c r="DI104" t="s">
        <v>134</v>
      </c>
    </row>
    <row r="105" spans="1:113" x14ac:dyDescent="0.3">
      <c r="E105" t="s">
        <v>79</v>
      </c>
      <c r="F105" t="s">
        <v>134</v>
      </c>
      <c r="G105" t="s">
        <v>134</v>
      </c>
      <c r="H105" t="s">
        <v>134</v>
      </c>
      <c r="I105" t="s">
        <v>134</v>
      </c>
      <c r="J105" t="s">
        <v>134</v>
      </c>
      <c r="K105" t="s">
        <v>134</v>
      </c>
      <c r="L105" t="s">
        <v>134</v>
      </c>
      <c r="M105" t="s">
        <v>134</v>
      </c>
      <c r="N105" t="s">
        <v>134</v>
      </c>
      <c r="O105" t="s">
        <v>134</v>
      </c>
      <c r="P105" t="s">
        <v>134</v>
      </c>
      <c r="Q105" t="s">
        <v>134</v>
      </c>
      <c r="R105" t="s">
        <v>134</v>
      </c>
      <c r="S105" t="s">
        <v>134</v>
      </c>
      <c r="T105" t="s">
        <v>134</v>
      </c>
      <c r="U105" t="s">
        <v>134</v>
      </c>
      <c r="V105" t="s">
        <v>134</v>
      </c>
      <c r="W105" t="s">
        <v>134</v>
      </c>
      <c r="X105" t="s">
        <v>134</v>
      </c>
      <c r="Y105" t="s">
        <v>134</v>
      </c>
      <c r="Z105" t="s">
        <v>134</v>
      </c>
      <c r="AA105" t="s">
        <v>134</v>
      </c>
      <c r="AB105" t="s">
        <v>134</v>
      </c>
      <c r="AC105" t="s">
        <v>134</v>
      </c>
      <c r="AD105" t="s">
        <v>134</v>
      </c>
      <c r="AE105" t="s">
        <v>134</v>
      </c>
      <c r="AF105" t="s">
        <v>134</v>
      </c>
      <c r="AG105" t="s">
        <v>134</v>
      </c>
      <c r="AH105" t="s">
        <v>134</v>
      </c>
      <c r="AI105" t="s">
        <v>134</v>
      </c>
      <c r="AJ105" t="s">
        <v>134</v>
      </c>
      <c r="AK105" t="s">
        <v>134</v>
      </c>
      <c r="AL105" t="s">
        <v>134</v>
      </c>
      <c r="AM105" t="s">
        <v>134</v>
      </c>
      <c r="AN105" t="s">
        <v>134</v>
      </c>
      <c r="AO105" t="s">
        <v>134</v>
      </c>
      <c r="AP105" t="s">
        <v>134</v>
      </c>
      <c r="AQ105" t="s">
        <v>134</v>
      </c>
      <c r="AR105" t="s">
        <v>134</v>
      </c>
      <c r="AS105" t="s">
        <v>134</v>
      </c>
      <c r="AT105" t="s">
        <v>134</v>
      </c>
      <c r="AU105" t="s">
        <v>134</v>
      </c>
      <c r="AV105" t="s">
        <v>134</v>
      </c>
      <c r="AW105" t="s">
        <v>134</v>
      </c>
      <c r="AX105" t="s">
        <v>134</v>
      </c>
      <c r="AY105" t="s">
        <v>134</v>
      </c>
      <c r="AZ105" t="s">
        <v>134</v>
      </c>
      <c r="BA105" t="s">
        <v>134</v>
      </c>
      <c r="BB105" t="s">
        <v>134</v>
      </c>
      <c r="BC105" t="s">
        <v>134</v>
      </c>
      <c r="BD105" t="s">
        <v>134</v>
      </c>
      <c r="BE105" t="s">
        <v>134</v>
      </c>
      <c r="BF105" t="s">
        <v>134</v>
      </c>
      <c r="BG105" t="s">
        <v>134</v>
      </c>
      <c r="BH105" t="s">
        <v>134</v>
      </c>
      <c r="BI105" t="s">
        <v>134</v>
      </c>
      <c r="BJ105" t="s">
        <v>134</v>
      </c>
      <c r="BK105" t="s">
        <v>134</v>
      </c>
      <c r="BL105" t="s">
        <v>134</v>
      </c>
      <c r="BM105" t="s">
        <v>134</v>
      </c>
      <c r="BN105" t="s">
        <v>134</v>
      </c>
      <c r="BO105" t="s">
        <v>134</v>
      </c>
      <c r="BP105" t="s">
        <v>134</v>
      </c>
      <c r="BQ105" t="s">
        <v>134</v>
      </c>
      <c r="BR105" t="s">
        <v>134</v>
      </c>
      <c r="BS105" t="s">
        <v>134</v>
      </c>
      <c r="BT105" t="s">
        <v>134</v>
      </c>
      <c r="BU105" t="s">
        <v>134</v>
      </c>
      <c r="BV105" t="s">
        <v>134</v>
      </c>
      <c r="BW105" t="s">
        <v>134</v>
      </c>
      <c r="BX105" t="s">
        <v>134</v>
      </c>
      <c r="BY105" t="s">
        <v>134</v>
      </c>
      <c r="BZ105" t="s">
        <v>134</v>
      </c>
      <c r="CA105" t="s">
        <v>134</v>
      </c>
      <c r="CB105" t="s">
        <v>134</v>
      </c>
      <c r="CC105" t="s">
        <v>134</v>
      </c>
      <c r="CD105" t="s">
        <v>134</v>
      </c>
      <c r="CE105" t="s">
        <v>134</v>
      </c>
      <c r="CF105" t="s">
        <v>134</v>
      </c>
      <c r="CG105" t="s">
        <v>134</v>
      </c>
      <c r="CH105" t="s">
        <v>134</v>
      </c>
      <c r="CI105" t="s">
        <v>134</v>
      </c>
      <c r="CJ105" t="s">
        <v>134</v>
      </c>
      <c r="CK105" t="s">
        <v>134</v>
      </c>
      <c r="CL105" t="s">
        <v>134</v>
      </c>
      <c r="CM105" t="s">
        <v>134</v>
      </c>
      <c r="CN105" t="s">
        <v>134</v>
      </c>
      <c r="CO105" t="s">
        <v>134</v>
      </c>
      <c r="CP105" t="s">
        <v>134</v>
      </c>
      <c r="CQ105" t="s">
        <v>134</v>
      </c>
      <c r="CR105" t="s">
        <v>134</v>
      </c>
      <c r="CS105" t="s">
        <v>134</v>
      </c>
      <c r="CT105" t="s">
        <v>134</v>
      </c>
      <c r="CU105" t="s">
        <v>134</v>
      </c>
      <c r="CV105" t="s">
        <v>134</v>
      </c>
      <c r="CW105" t="s">
        <v>134</v>
      </c>
      <c r="CX105" t="s">
        <v>134</v>
      </c>
      <c r="CY105" t="s">
        <v>134</v>
      </c>
      <c r="CZ105" t="s">
        <v>134</v>
      </c>
      <c r="DA105" t="s">
        <v>134</v>
      </c>
      <c r="DB105" t="s">
        <v>134</v>
      </c>
      <c r="DC105" t="s">
        <v>134</v>
      </c>
      <c r="DD105" t="s">
        <v>134</v>
      </c>
      <c r="DE105" t="s">
        <v>134</v>
      </c>
      <c r="DF105" t="s">
        <v>134</v>
      </c>
      <c r="DG105" t="s">
        <v>134</v>
      </c>
      <c r="DH105" t="s">
        <v>134</v>
      </c>
      <c r="DI105" t="s">
        <v>134</v>
      </c>
    </row>
    <row r="106" spans="1:113" x14ac:dyDescent="0.3">
      <c r="E106" t="s">
        <v>80</v>
      </c>
      <c r="F106" t="s">
        <v>134</v>
      </c>
      <c r="G106" t="s">
        <v>134</v>
      </c>
      <c r="H106" t="s">
        <v>134</v>
      </c>
      <c r="I106" t="s">
        <v>134</v>
      </c>
      <c r="J106" t="s">
        <v>134</v>
      </c>
      <c r="K106" t="s">
        <v>134</v>
      </c>
      <c r="L106" t="s">
        <v>134</v>
      </c>
      <c r="M106" t="s">
        <v>134</v>
      </c>
      <c r="N106" t="s">
        <v>134</v>
      </c>
      <c r="O106" t="s">
        <v>134</v>
      </c>
      <c r="P106" t="s">
        <v>134</v>
      </c>
      <c r="Q106" t="s">
        <v>134</v>
      </c>
      <c r="R106" t="s">
        <v>134</v>
      </c>
      <c r="S106" t="s">
        <v>134</v>
      </c>
      <c r="T106" t="s">
        <v>134</v>
      </c>
      <c r="U106" t="s">
        <v>134</v>
      </c>
      <c r="V106" t="s">
        <v>134</v>
      </c>
      <c r="W106" t="s">
        <v>134</v>
      </c>
      <c r="X106" t="s">
        <v>134</v>
      </c>
      <c r="Y106" t="s">
        <v>134</v>
      </c>
      <c r="Z106" t="s">
        <v>134</v>
      </c>
      <c r="AA106" t="s">
        <v>134</v>
      </c>
      <c r="AB106" t="s">
        <v>134</v>
      </c>
      <c r="AC106" t="s">
        <v>134</v>
      </c>
      <c r="AD106" t="s">
        <v>134</v>
      </c>
      <c r="AE106" t="s">
        <v>134</v>
      </c>
      <c r="AF106" t="s">
        <v>134</v>
      </c>
      <c r="AG106" t="s">
        <v>134</v>
      </c>
      <c r="AH106" t="s">
        <v>134</v>
      </c>
      <c r="AI106" t="s">
        <v>134</v>
      </c>
      <c r="AJ106" t="s">
        <v>134</v>
      </c>
      <c r="AK106" t="s">
        <v>134</v>
      </c>
      <c r="AL106" t="s">
        <v>134</v>
      </c>
      <c r="AM106" t="s">
        <v>134</v>
      </c>
      <c r="AN106" t="s">
        <v>134</v>
      </c>
      <c r="AO106" t="s">
        <v>134</v>
      </c>
      <c r="AP106" t="s">
        <v>134</v>
      </c>
      <c r="AQ106" t="s">
        <v>134</v>
      </c>
      <c r="AR106" t="s">
        <v>134</v>
      </c>
      <c r="AS106" t="s">
        <v>134</v>
      </c>
      <c r="AT106" t="s">
        <v>134</v>
      </c>
      <c r="AU106" t="s">
        <v>134</v>
      </c>
      <c r="AV106" t="s">
        <v>134</v>
      </c>
      <c r="AW106" t="s">
        <v>134</v>
      </c>
      <c r="AX106" t="s">
        <v>134</v>
      </c>
      <c r="AY106" t="s">
        <v>134</v>
      </c>
      <c r="AZ106" t="s">
        <v>134</v>
      </c>
      <c r="BA106" t="s">
        <v>134</v>
      </c>
      <c r="BB106" t="s">
        <v>134</v>
      </c>
      <c r="BC106" t="s">
        <v>134</v>
      </c>
      <c r="BD106" t="s">
        <v>134</v>
      </c>
      <c r="BE106" t="s">
        <v>134</v>
      </c>
      <c r="BF106" t="s">
        <v>134</v>
      </c>
      <c r="BG106" t="s">
        <v>134</v>
      </c>
      <c r="BH106" t="s">
        <v>134</v>
      </c>
      <c r="BI106" t="s">
        <v>134</v>
      </c>
      <c r="BJ106" t="s">
        <v>134</v>
      </c>
      <c r="BK106" t="s">
        <v>134</v>
      </c>
      <c r="BL106" t="s">
        <v>134</v>
      </c>
      <c r="BM106" t="s">
        <v>134</v>
      </c>
      <c r="BN106" t="s">
        <v>134</v>
      </c>
      <c r="BO106" t="s">
        <v>134</v>
      </c>
      <c r="BP106" t="s">
        <v>134</v>
      </c>
      <c r="BQ106" t="s">
        <v>134</v>
      </c>
      <c r="BR106" t="s">
        <v>134</v>
      </c>
      <c r="BS106" t="s">
        <v>134</v>
      </c>
      <c r="BT106" t="s">
        <v>134</v>
      </c>
      <c r="BU106" t="s">
        <v>134</v>
      </c>
      <c r="BV106" t="s">
        <v>134</v>
      </c>
      <c r="BW106" t="s">
        <v>134</v>
      </c>
      <c r="BX106" t="s">
        <v>134</v>
      </c>
      <c r="BY106" t="s">
        <v>134</v>
      </c>
      <c r="BZ106" t="s">
        <v>134</v>
      </c>
      <c r="CA106" t="s">
        <v>134</v>
      </c>
      <c r="CB106" t="s">
        <v>134</v>
      </c>
      <c r="CC106" t="s">
        <v>134</v>
      </c>
      <c r="CD106" t="s">
        <v>134</v>
      </c>
      <c r="CE106" t="s">
        <v>134</v>
      </c>
      <c r="CF106" t="s">
        <v>134</v>
      </c>
      <c r="CG106" t="s">
        <v>134</v>
      </c>
      <c r="CH106" t="s">
        <v>134</v>
      </c>
      <c r="CI106" t="s">
        <v>134</v>
      </c>
      <c r="CJ106" t="s">
        <v>134</v>
      </c>
      <c r="CK106" t="s">
        <v>134</v>
      </c>
      <c r="CL106" t="s">
        <v>134</v>
      </c>
      <c r="CM106" t="s">
        <v>134</v>
      </c>
      <c r="CN106" t="s">
        <v>134</v>
      </c>
      <c r="CO106" t="s">
        <v>134</v>
      </c>
      <c r="CP106" t="s">
        <v>134</v>
      </c>
      <c r="CQ106" t="s">
        <v>134</v>
      </c>
      <c r="CR106" t="s">
        <v>134</v>
      </c>
      <c r="CS106" t="s">
        <v>134</v>
      </c>
      <c r="CT106" t="s">
        <v>134</v>
      </c>
      <c r="CU106" t="s">
        <v>134</v>
      </c>
      <c r="CV106" t="s">
        <v>134</v>
      </c>
      <c r="CW106" t="s">
        <v>134</v>
      </c>
      <c r="CX106" t="s">
        <v>134</v>
      </c>
      <c r="CY106" t="s">
        <v>134</v>
      </c>
      <c r="CZ106" t="s">
        <v>134</v>
      </c>
      <c r="DA106" t="s">
        <v>134</v>
      </c>
      <c r="DB106" t="s">
        <v>134</v>
      </c>
      <c r="DC106" t="s">
        <v>134</v>
      </c>
      <c r="DD106" t="s">
        <v>134</v>
      </c>
      <c r="DE106" t="s">
        <v>134</v>
      </c>
      <c r="DF106" t="s">
        <v>134</v>
      </c>
      <c r="DG106" t="s">
        <v>134</v>
      </c>
      <c r="DH106" t="s">
        <v>134</v>
      </c>
      <c r="DI106" t="s">
        <v>134</v>
      </c>
    </row>
    <row r="107" spans="1:113" x14ac:dyDescent="0.3">
      <c r="E107" t="s">
        <v>81</v>
      </c>
      <c r="F107" t="s">
        <v>134</v>
      </c>
      <c r="G107" t="s">
        <v>134</v>
      </c>
      <c r="H107" t="s">
        <v>134</v>
      </c>
      <c r="I107" t="s">
        <v>134</v>
      </c>
      <c r="J107" t="s">
        <v>134</v>
      </c>
      <c r="K107" t="s">
        <v>134</v>
      </c>
      <c r="L107" t="s">
        <v>134</v>
      </c>
      <c r="M107" t="s">
        <v>134</v>
      </c>
      <c r="N107" t="s">
        <v>134</v>
      </c>
      <c r="O107" t="s">
        <v>134</v>
      </c>
      <c r="P107" t="s">
        <v>134</v>
      </c>
      <c r="Q107" t="s">
        <v>134</v>
      </c>
      <c r="R107" t="s">
        <v>134</v>
      </c>
      <c r="S107" t="s">
        <v>134</v>
      </c>
      <c r="T107" t="s">
        <v>134</v>
      </c>
      <c r="U107" t="s">
        <v>134</v>
      </c>
      <c r="V107" t="s">
        <v>134</v>
      </c>
      <c r="W107" t="s">
        <v>134</v>
      </c>
      <c r="X107" t="s">
        <v>134</v>
      </c>
      <c r="Y107" t="s">
        <v>134</v>
      </c>
      <c r="Z107" t="s">
        <v>134</v>
      </c>
      <c r="AA107" t="s">
        <v>134</v>
      </c>
      <c r="AB107" t="s">
        <v>134</v>
      </c>
      <c r="AC107" t="s">
        <v>134</v>
      </c>
      <c r="AD107" t="s">
        <v>134</v>
      </c>
      <c r="AE107" t="s">
        <v>134</v>
      </c>
      <c r="AF107" t="s">
        <v>134</v>
      </c>
      <c r="AG107" t="s">
        <v>134</v>
      </c>
      <c r="AH107" t="s">
        <v>134</v>
      </c>
      <c r="AI107" t="s">
        <v>134</v>
      </c>
      <c r="AJ107" t="s">
        <v>134</v>
      </c>
      <c r="AK107" t="s">
        <v>134</v>
      </c>
      <c r="AL107" t="s">
        <v>134</v>
      </c>
      <c r="AM107" t="s">
        <v>134</v>
      </c>
      <c r="AN107" t="s">
        <v>134</v>
      </c>
      <c r="AO107" t="s">
        <v>134</v>
      </c>
      <c r="AP107" t="s">
        <v>134</v>
      </c>
      <c r="AQ107" t="s">
        <v>134</v>
      </c>
      <c r="AR107" t="s">
        <v>134</v>
      </c>
      <c r="AS107" t="s">
        <v>134</v>
      </c>
      <c r="AT107" t="s">
        <v>134</v>
      </c>
      <c r="AU107" t="s">
        <v>134</v>
      </c>
      <c r="AV107" t="s">
        <v>134</v>
      </c>
      <c r="AW107" t="s">
        <v>134</v>
      </c>
      <c r="AX107" t="s">
        <v>134</v>
      </c>
      <c r="AY107" t="s">
        <v>134</v>
      </c>
      <c r="AZ107" t="s">
        <v>134</v>
      </c>
      <c r="BA107" t="s">
        <v>134</v>
      </c>
      <c r="BB107" t="s">
        <v>134</v>
      </c>
      <c r="BC107" t="s">
        <v>134</v>
      </c>
      <c r="BD107" t="s">
        <v>134</v>
      </c>
      <c r="BE107" t="s">
        <v>134</v>
      </c>
      <c r="BF107" t="s">
        <v>134</v>
      </c>
      <c r="BG107" t="s">
        <v>134</v>
      </c>
      <c r="BH107" t="s">
        <v>134</v>
      </c>
      <c r="BI107" t="s">
        <v>134</v>
      </c>
      <c r="BJ107" t="s">
        <v>134</v>
      </c>
      <c r="BK107" t="s">
        <v>134</v>
      </c>
      <c r="BL107" t="s">
        <v>134</v>
      </c>
      <c r="BM107" t="s">
        <v>134</v>
      </c>
      <c r="BN107" t="s">
        <v>134</v>
      </c>
      <c r="BO107" t="s">
        <v>134</v>
      </c>
      <c r="BP107" t="s">
        <v>134</v>
      </c>
      <c r="BQ107" t="s">
        <v>134</v>
      </c>
      <c r="BR107" t="s">
        <v>134</v>
      </c>
      <c r="BS107" t="s">
        <v>134</v>
      </c>
      <c r="BT107" t="s">
        <v>134</v>
      </c>
      <c r="BU107" t="s">
        <v>134</v>
      </c>
      <c r="BV107" t="s">
        <v>134</v>
      </c>
      <c r="BW107" t="s">
        <v>134</v>
      </c>
      <c r="BX107" t="s">
        <v>134</v>
      </c>
      <c r="BY107" t="s">
        <v>134</v>
      </c>
      <c r="BZ107" t="s">
        <v>134</v>
      </c>
      <c r="CA107" t="s">
        <v>134</v>
      </c>
      <c r="CB107" t="s">
        <v>134</v>
      </c>
      <c r="CC107" t="s">
        <v>134</v>
      </c>
      <c r="CD107" t="s">
        <v>134</v>
      </c>
      <c r="CE107" t="s">
        <v>134</v>
      </c>
      <c r="CF107" t="s">
        <v>134</v>
      </c>
      <c r="CG107" t="s">
        <v>134</v>
      </c>
      <c r="CH107" t="s">
        <v>134</v>
      </c>
      <c r="CI107" t="s">
        <v>134</v>
      </c>
      <c r="CJ107" t="s">
        <v>134</v>
      </c>
      <c r="CK107" t="s">
        <v>134</v>
      </c>
      <c r="CL107" t="s">
        <v>134</v>
      </c>
      <c r="CM107" t="s">
        <v>134</v>
      </c>
      <c r="CN107" t="s">
        <v>134</v>
      </c>
      <c r="CO107" t="s">
        <v>134</v>
      </c>
      <c r="CP107" t="s">
        <v>134</v>
      </c>
      <c r="CQ107" t="s">
        <v>134</v>
      </c>
      <c r="CR107" t="s">
        <v>134</v>
      </c>
      <c r="CS107" t="s">
        <v>134</v>
      </c>
      <c r="CT107" t="s">
        <v>134</v>
      </c>
      <c r="CU107" t="s">
        <v>134</v>
      </c>
      <c r="CV107" t="s">
        <v>134</v>
      </c>
      <c r="CW107" t="s">
        <v>134</v>
      </c>
      <c r="CX107" t="s">
        <v>134</v>
      </c>
      <c r="CY107" t="s">
        <v>134</v>
      </c>
      <c r="CZ107" t="s">
        <v>134</v>
      </c>
      <c r="DA107" t="s">
        <v>134</v>
      </c>
      <c r="DB107" t="s">
        <v>134</v>
      </c>
      <c r="DC107" t="s">
        <v>134</v>
      </c>
      <c r="DD107" t="s">
        <v>134</v>
      </c>
      <c r="DE107" t="s">
        <v>134</v>
      </c>
      <c r="DF107" t="s">
        <v>134</v>
      </c>
      <c r="DG107" t="s">
        <v>134</v>
      </c>
      <c r="DH107" t="s">
        <v>134</v>
      </c>
      <c r="DI107" t="s">
        <v>134</v>
      </c>
    </row>
    <row r="108" spans="1:113" x14ac:dyDescent="0.3">
      <c r="D108" t="s">
        <v>82</v>
      </c>
      <c r="E108" t="s">
        <v>77</v>
      </c>
      <c r="F108">
        <v>7.9432</v>
      </c>
      <c r="G108">
        <v>5.7682000000000002</v>
      </c>
      <c r="H108">
        <v>8.5396999999999998</v>
      </c>
      <c r="I108">
        <v>5.4969000000000001</v>
      </c>
      <c r="J108">
        <v>16.428000000000001</v>
      </c>
      <c r="K108">
        <v>9.7198999999999991</v>
      </c>
      <c r="L108">
        <v>-92.664100000000005</v>
      </c>
      <c r="M108">
        <v>12.497299999999999</v>
      </c>
      <c r="N108">
        <v>8.6054999999999993</v>
      </c>
      <c r="O108">
        <v>8.6054999999999993</v>
      </c>
      <c r="P108">
        <v>8.6054999999999993</v>
      </c>
      <c r="Q108">
        <v>31.1417</v>
      </c>
      <c r="R108">
        <v>53.786499999999997</v>
      </c>
      <c r="S108">
        <v>3.6707999999999998</v>
      </c>
      <c r="T108">
        <v>-5.4633000000000003</v>
      </c>
      <c r="U108">
        <v>-20.0185</v>
      </c>
      <c r="V108">
        <v>-35.523299999999999</v>
      </c>
      <c r="W108">
        <v>-45.652200000000001</v>
      </c>
      <c r="X108">
        <v>-45.729199999999999</v>
      </c>
      <c r="Y108">
        <v>-44</v>
      </c>
      <c r="Z108">
        <v>25.3874</v>
      </c>
      <c r="AA108">
        <v>0.87529999999999997</v>
      </c>
      <c r="AB108">
        <v>-5.9681999999999995</v>
      </c>
      <c r="AC108">
        <v>1.8336000000000001</v>
      </c>
      <c r="AD108">
        <v>0.36670000000000003</v>
      </c>
      <c r="AE108">
        <v>15.1629</v>
      </c>
      <c r="AF108">
        <v>10.582699999999999</v>
      </c>
      <c r="AG108">
        <v>373.14049999999997</v>
      </c>
      <c r="AH108">
        <v>2.8504</v>
      </c>
      <c r="AI108">
        <v>2.0002</v>
      </c>
      <c r="AJ108">
        <v>2.0030000000000001</v>
      </c>
      <c r="AK108">
        <v>1.8589</v>
      </c>
      <c r="AL108">
        <v>-7.5533999999999999</v>
      </c>
      <c r="AM108">
        <v>4.9019000000000004</v>
      </c>
      <c r="AN108">
        <v>-4.5648999999999997</v>
      </c>
      <c r="AO108">
        <v>-10.1805</v>
      </c>
      <c r="AP108">
        <v>-8.5485000000000007</v>
      </c>
      <c r="AQ108">
        <v>-8.8048999999999999</v>
      </c>
      <c r="AR108">
        <v>1.4932000000000001</v>
      </c>
      <c r="AS108">
        <v>17.774999999999999</v>
      </c>
      <c r="AT108">
        <v>-9.11E-2</v>
      </c>
      <c r="AU108">
        <v>0.36859999999999998</v>
      </c>
      <c r="AV108">
        <v>6.4913999999999996</v>
      </c>
      <c r="AW108" t="s">
        <v>134</v>
      </c>
      <c r="AX108">
        <v>20.4283</v>
      </c>
      <c r="AY108">
        <v>-9.4185999999999996</v>
      </c>
      <c r="AZ108">
        <v>-5.6693999999999996</v>
      </c>
      <c r="BA108">
        <v>-11.6532</v>
      </c>
      <c r="BB108">
        <v>6.9922000000000004</v>
      </c>
      <c r="BC108">
        <v>6.8760000000000003</v>
      </c>
      <c r="BD108">
        <v>6.6851000000000003</v>
      </c>
      <c r="BE108">
        <v>-1.8552999999999999</v>
      </c>
      <c r="BF108">
        <v>-5.4633000000000003</v>
      </c>
      <c r="BG108">
        <v>-20.0185</v>
      </c>
      <c r="BH108">
        <v>-35.523299999999999</v>
      </c>
      <c r="BI108">
        <v>-45.652200000000001</v>
      </c>
      <c r="BJ108">
        <v>-45.729199999999999</v>
      </c>
      <c r="BK108">
        <v>-44</v>
      </c>
      <c r="BL108">
        <v>25.3874</v>
      </c>
      <c r="BM108">
        <v>0.87529999999999997</v>
      </c>
      <c r="BN108">
        <v>-5.9681999999999995</v>
      </c>
      <c r="BO108">
        <v>1.8336000000000001</v>
      </c>
      <c r="BP108">
        <v>0.36670000000000003</v>
      </c>
      <c r="BQ108">
        <v>15.1629</v>
      </c>
      <c r="BR108">
        <v>10.582699999999999</v>
      </c>
      <c r="BS108">
        <v>373.14049999999997</v>
      </c>
      <c r="BT108">
        <v>2.8504</v>
      </c>
      <c r="BU108">
        <v>2.0002</v>
      </c>
      <c r="BV108">
        <v>2.0030000000000001</v>
      </c>
      <c r="BW108">
        <v>1.8589</v>
      </c>
      <c r="BX108">
        <v>-7.5533999999999999</v>
      </c>
      <c r="BY108">
        <v>350</v>
      </c>
      <c r="BZ108">
        <v>114.5</v>
      </c>
      <c r="CA108">
        <v>235.5</v>
      </c>
      <c r="CB108">
        <v>2.2700000000000001E-2</v>
      </c>
      <c r="CC108">
        <v>-3.1858</v>
      </c>
      <c r="CD108">
        <v>3.8399999999999997E-2</v>
      </c>
      <c r="CE108">
        <v>-5.3844000000000003</v>
      </c>
      <c r="CF108">
        <v>16.6785</v>
      </c>
      <c r="CG108">
        <v>72.676900000000003</v>
      </c>
      <c r="CH108">
        <v>0.2293</v>
      </c>
      <c r="CI108">
        <v>0.22850000000000001</v>
      </c>
      <c r="CJ108">
        <v>0.1666</v>
      </c>
      <c r="CK108">
        <v>0.3407</v>
      </c>
      <c r="CL108">
        <v>0.33960000000000001</v>
      </c>
      <c r="CM108">
        <v>0.24759999999999999</v>
      </c>
      <c r="CN108">
        <v>-47.831400000000002</v>
      </c>
      <c r="CO108">
        <v>-91.686199999999999</v>
      </c>
      <c r="CP108">
        <v>15422.6</v>
      </c>
      <c r="CQ108">
        <v>9185.2000000000007</v>
      </c>
      <c r="CR108">
        <v>9125</v>
      </c>
      <c r="CS108">
        <v>1.5322</v>
      </c>
      <c r="CT108">
        <v>2.0192000000000001</v>
      </c>
      <c r="CU108">
        <v>1.6221000000000001</v>
      </c>
      <c r="CV108">
        <v>6.2682000000000002</v>
      </c>
      <c r="CW108">
        <v>35.961799999999997</v>
      </c>
      <c r="CX108">
        <v>10.149699999999999</v>
      </c>
      <c r="CY108">
        <v>0.90129999999999999</v>
      </c>
      <c r="CZ108">
        <v>404.97089999999997</v>
      </c>
      <c r="DA108">
        <v>1.2629999999999999</v>
      </c>
      <c r="DB108">
        <v>288.98509999999999</v>
      </c>
      <c r="DC108">
        <v>126.13549999999999</v>
      </c>
      <c r="DD108">
        <v>415.12049999999999</v>
      </c>
      <c r="DE108">
        <v>8977.6</v>
      </c>
      <c r="DF108">
        <v>629.29999999999995</v>
      </c>
      <c r="DG108">
        <v>2037.8</v>
      </c>
      <c r="DH108">
        <v>848.4</v>
      </c>
      <c r="DI108">
        <v>5462.1</v>
      </c>
    </row>
    <row r="109" spans="1:113" x14ac:dyDescent="0.3">
      <c r="E109" t="s">
        <v>78</v>
      </c>
      <c r="F109" t="s">
        <v>134</v>
      </c>
      <c r="G109" t="s">
        <v>134</v>
      </c>
      <c r="H109" t="s">
        <v>134</v>
      </c>
      <c r="I109" t="s">
        <v>134</v>
      </c>
      <c r="J109" t="s">
        <v>134</v>
      </c>
      <c r="K109" t="s">
        <v>134</v>
      </c>
      <c r="L109" t="s">
        <v>134</v>
      </c>
      <c r="M109" t="s">
        <v>134</v>
      </c>
      <c r="N109" t="s">
        <v>134</v>
      </c>
      <c r="O109" t="s">
        <v>134</v>
      </c>
      <c r="P109" t="s">
        <v>134</v>
      </c>
      <c r="Q109" t="s">
        <v>134</v>
      </c>
      <c r="R109" t="s">
        <v>134</v>
      </c>
      <c r="S109" t="s">
        <v>134</v>
      </c>
      <c r="T109" t="s">
        <v>134</v>
      </c>
      <c r="U109" t="s">
        <v>134</v>
      </c>
      <c r="V109" t="s">
        <v>134</v>
      </c>
      <c r="W109" t="s">
        <v>134</v>
      </c>
      <c r="X109" t="s">
        <v>134</v>
      </c>
      <c r="Y109" t="s">
        <v>134</v>
      </c>
      <c r="Z109" t="s">
        <v>134</v>
      </c>
      <c r="AA109" t="s">
        <v>134</v>
      </c>
      <c r="AB109" t="s">
        <v>134</v>
      </c>
      <c r="AC109" t="s">
        <v>134</v>
      </c>
      <c r="AD109" t="s">
        <v>134</v>
      </c>
      <c r="AE109" t="s">
        <v>134</v>
      </c>
      <c r="AF109" t="s">
        <v>134</v>
      </c>
      <c r="AG109" t="s">
        <v>134</v>
      </c>
      <c r="AH109" t="s">
        <v>134</v>
      </c>
      <c r="AI109" t="s">
        <v>134</v>
      </c>
      <c r="AJ109" t="s">
        <v>134</v>
      </c>
      <c r="AK109" t="s">
        <v>134</v>
      </c>
      <c r="AL109" t="s">
        <v>134</v>
      </c>
      <c r="AM109" t="s">
        <v>134</v>
      </c>
      <c r="AN109" t="s">
        <v>134</v>
      </c>
      <c r="AO109" t="s">
        <v>134</v>
      </c>
      <c r="AP109" t="s">
        <v>134</v>
      </c>
      <c r="AQ109" t="s">
        <v>134</v>
      </c>
      <c r="AR109" t="s">
        <v>134</v>
      </c>
      <c r="AS109" t="s">
        <v>134</v>
      </c>
      <c r="AT109" t="s">
        <v>134</v>
      </c>
      <c r="AU109" t="s">
        <v>134</v>
      </c>
      <c r="AV109" t="s">
        <v>134</v>
      </c>
      <c r="AW109" t="s">
        <v>134</v>
      </c>
      <c r="AX109" t="s">
        <v>134</v>
      </c>
      <c r="AY109" t="s">
        <v>134</v>
      </c>
      <c r="AZ109" t="s">
        <v>134</v>
      </c>
      <c r="BA109" t="s">
        <v>134</v>
      </c>
      <c r="BB109" t="s">
        <v>134</v>
      </c>
      <c r="BC109" t="s">
        <v>134</v>
      </c>
      <c r="BD109" t="s">
        <v>134</v>
      </c>
      <c r="BE109" t="s">
        <v>134</v>
      </c>
      <c r="BF109" t="s">
        <v>134</v>
      </c>
      <c r="BG109" t="s">
        <v>134</v>
      </c>
      <c r="BH109" t="s">
        <v>134</v>
      </c>
      <c r="BI109" t="s">
        <v>134</v>
      </c>
      <c r="BJ109" t="s">
        <v>134</v>
      </c>
      <c r="BK109" t="s">
        <v>134</v>
      </c>
      <c r="BL109" t="s">
        <v>134</v>
      </c>
      <c r="BM109" t="s">
        <v>134</v>
      </c>
      <c r="BN109" t="s">
        <v>134</v>
      </c>
      <c r="BO109" t="s">
        <v>134</v>
      </c>
      <c r="BP109" t="s">
        <v>134</v>
      </c>
      <c r="BQ109" t="s">
        <v>134</v>
      </c>
      <c r="BR109" t="s">
        <v>134</v>
      </c>
      <c r="BS109" t="s">
        <v>134</v>
      </c>
      <c r="BT109" t="s">
        <v>134</v>
      </c>
      <c r="BU109" t="s">
        <v>134</v>
      </c>
      <c r="BV109" t="s">
        <v>134</v>
      </c>
      <c r="BW109" t="s">
        <v>134</v>
      </c>
      <c r="BX109" t="s">
        <v>134</v>
      </c>
      <c r="BY109" t="s">
        <v>134</v>
      </c>
      <c r="BZ109" t="s">
        <v>134</v>
      </c>
      <c r="CA109" t="s">
        <v>134</v>
      </c>
      <c r="CB109" t="s">
        <v>134</v>
      </c>
      <c r="CC109" t="s">
        <v>134</v>
      </c>
      <c r="CD109" t="s">
        <v>134</v>
      </c>
      <c r="CE109" t="s">
        <v>134</v>
      </c>
      <c r="CF109" t="s">
        <v>134</v>
      </c>
      <c r="CG109" t="s">
        <v>134</v>
      </c>
      <c r="CH109" t="s">
        <v>134</v>
      </c>
      <c r="CI109" t="s">
        <v>134</v>
      </c>
      <c r="CJ109" t="s">
        <v>134</v>
      </c>
      <c r="CK109" t="s">
        <v>134</v>
      </c>
      <c r="CL109" t="s">
        <v>134</v>
      </c>
      <c r="CM109" t="s">
        <v>134</v>
      </c>
      <c r="CN109" t="s">
        <v>134</v>
      </c>
      <c r="CO109" t="s">
        <v>134</v>
      </c>
      <c r="CP109" t="s">
        <v>134</v>
      </c>
      <c r="CQ109" t="s">
        <v>134</v>
      </c>
      <c r="CR109" t="s">
        <v>134</v>
      </c>
      <c r="CS109" t="s">
        <v>134</v>
      </c>
      <c r="CT109" t="s">
        <v>134</v>
      </c>
      <c r="CU109" t="s">
        <v>134</v>
      </c>
      <c r="CV109" t="s">
        <v>134</v>
      </c>
      <c r="CW109" t="s">
        <v>134</v>
      </c>
      <c r="CX109" t="s">
        <v>134</v>
      </c>
      <c r="CY109" t="s">
        <v>134</v>
      </c>
      <c r="CZ109" t="s">
        <v>134</v>
      </c>
      <c r="DA109" t="s">
        <v>134</v>
      </c>
      <c r="DB109" t="s">
        <v>134</v>
      </c>
      <c r="DC109" t="s">
        <v>134</v>
      </c>
      <c r="DD109" t="s">
        <v>134</v>
      </c>
      <c r="DE109" t="s">
        <v>134</v>
      </c>
      <c r="DF109" t="s">
        <v>134</v>
      </c>
      <c r="DG109" t="s">
        <v>134</v>
      </c>
      <c r="DH109" t="s">
        <v>134</v>
      </c>
      <c r="DI109" t="s">
        <v>134</v>
      </c>
    </row>
    <row r="110" spans="1:113" x14ac:dyDescent="0.3">
      <c r="E110" t="s">
        <v>79</v>
      </c>
      <c r="F110" t="s">
        <v>134</v>
      </c>
      <c r="G110" t="s">
        <v>134</v>
      </c>
      <c r="H110" t="s">
        <v>134</v>
      </c>
      <c r="I110" t="s">
        <v>134</v>
      </c>
      <c r="J110" t="s">
        <v>134</v>
      </c>
      <c r="K110" t="s">
        <v>134</v>
      </c>
      <c r="L110" t="s">
        <v>134</v>
      </c>
      <c r="M110" t="s">
        <v>134</v>
      </c>
      <c r="N110" t="s">
        <v>134</v>
      </c>
      <c r="O110" t="s">
        <v>134</v>
      </c>
      <c r="P110" t="s">
        <v>134</v>
      </c>
      <c r="Q110" t="s">
        <v>134</v>
      </c>
      <c r="R110" t="s">
        <v>134</v>
      </c>
      <c r="S110" t="s">
        <v>134</v>
      </c>
      <c r="T110" t="s">
        <v>134</v>
      </c>
      <c r="U110" t="s">
        <v>134</v>
      </c>
      <c r="V110" t="s">
        <v>134</v>
      </c>
      <c r="W110" t="s">
        <v>134</v>
      </c>
      <c r="X110" t="s">
        <v>134</v>
      </c>
      <c r="Y110" t="s">
        <v>134</v>
      </c>
      <c r="Z110" t="s">
        <v>134</v>
      </c>
      <c r="AA110" t="s">
        <v>134</v>
      </c>
      <c r="AB110" t="s">
        <v>134</v>
      </c>
      <c r="AC110" t="s">
        <v>134</v>
      </c>
      <c r="AD110" t="s">
        <v>134</v>
      </c>
      <c r="AE110" t="s">
        <v>134</v>
      </c>
      <c r="AF110" t="s">
        <v>134</v>
      </c>
      <c r="AG110" t="s">
        <v>134</v>
      </c>
      <c r="AH110" t="s">
        <v>134</v>
      </c>
      <c r="AI110" t="s">
        <v>134</v>
      </c>
      <c r="AJ110" t="s">
        <v>134</v>
      </c>
      <c r="AK110" t="s">
        <v>134</v>
      </c>
      <c r="AL110" t="s">
        <v>134</v>
      </c>
      <c r="AM110" t="s">
        <v>134</v>
      </c>
      <c r="AN110" t="s">
        <v>134</v>
      </c>
      <c r="AO110" t="s">
        <v>134</v>
      </c>
      <c r="AP110" t="s">
        <v>134</v>
      </c>
      <c r="AQ110" t="s">
        <v>134</v>
      </c>
      <c r="AR110" t="s">
        <v>134</v>
      </c>
      <c r="AS110" t="s">
        <v>134</v>
      </c>
      <c r="AT110" t="s">
        <v>134</v>
      </c>
      <c r="AU110" t="s">
        <v>134</v>
      </c>
      <c r="AV110" t="s">
        <v>134</v>
      </c>
      <c r="AW110" t="s">
        <v>134</v>
      </c>
      <c r="AX110" t="s">
        <v>134</v>
      </c>
      <c r="AY110" t="s">
        <v>134</v>
      </c>
      <c r="AZ110" t="s">
        <v>134</v>
      </c>
      <c r="BA110" t="s">
        <v>134</v>
      </c>
      <c r="BB110" t="s">
        <v>134</v>
      </c>
      <c r="BC110" t="s">
        <v>134</v>
      </c>
      <c r="BD110" t="s">
        <v>134</v>
      </c>
      <c r="BE110" t="s">
        <v>134</v>
      </c>
      <c r="BF110" t="s">
        <v>134</v>
      </c>
      <c r="BG110" t="s">
        <v>134</v>
      </c>
      <c r="BH110" t="s">
        <v>134</v>
      </c>
      <c r="BI110" t="s">
        <v>134</v>
      </c>
      <c r="BJ110" t="s">
        <v>134</v>
      </c>
      <c r="BK110" t="s">
        <v>134</v>
      </c>
      <c r="BL110" t="s">
        <v>134</v>
      </c>
      <c r="BM110" t="s">
        <v>134</v>
      </c>
      <c r="BN110" t="s">
        <v>134</v>
      </c>
      <c r="BO110" t="s">
        <v>134</v>
      </c>
      <c r="BP110" t="s">
        <v>134</v>
      </c>
      <c r="BQ110" t="s">
        <v>134</v>
      </c>
      <c r="BR110" t="s">
        <v>134</v>
      </c>
      <c r="BS110" t="s">
        <v>134</v>
      </c>
      <c r="BT110" t="s">
        <v>134</v>
      </c>
      <c r="BU110" t="s">
        <v>134</v>
      </c>
      <c r="BV110" t="s">
        <v>134</v>
      </c>
      <c r="BW110" t="s">
        <v>134</v>
      </c>
      <c r="BX110" t="s">
        <v>134</v>
      </c>
      <c r="BY110" t="s">
        <v>134</v>
      </c>
      <c r="BZ110" t="s">
        <v>134</v>
      </c>
      <c r="CA110" t="s">
        <v>134</v>
      </c>
      <c r="CB110" t="s">
        <v>134</v>
      </c>
      <c r="CC110" t="s">
        <v>134</v>
      </c>
      <c r="CD110" t="s">
        <v>134</v>
      </c>
      <c r="CE110" t="s">
        <v>134</v>
      </c>
      <c r="CF110" t="s">
        <v>134</v>
      </c>
      <c r="CG110" t="s">
        <v>134</v>
      </c>
      <c r="CH110" t="s">
        <v>134</v>
      </c>
      <c r="CI110" t="s">
        <v>134</v>
      </c>
      <c r="CJ110" t="s">
        <v>134</v>
      </c>
      <c r="CK110" t="s">
        <v>134</v>
      </c>
      <c r="CL110" t="s">
        <v>134</v>
      </c>
      <c r="CM110" t="s">
        <v>134</v>
      </c>
      <c r="CN110" t="s">
        <v>134</v>
      </c>
      <c r="CO110" t="s">
        <v>134</v>
      </c>
      <c r="CP110" t="s">
        <v>134</v>
      </c>
      <c r="CQ110" t="s">
        <v>134</v>
      </c>
      <c r="CR110" t="s">
        <v>134</v>
      </c>
      <c r="CS110" t="s">
        <v>134</v>
      </c>
      <c r="CT110" t="s">
        <v>134</v>
      </c>
      <c r="CU110" t="s">
        <v>134</v>
      </c>
      <c r="CV110" t="s">
        <v>134</v>
      </c>
      <c r="CW110" t="s">
        <v>134</v>
      </c>
      <c r="CX110" t="s">
        <v>134</v>
      </c>
      <c r="CY110" t="s">
        <v>134</v>
      </c>
      <c r="CZ110" t="s">
        <v>134</v>
      </c>
      <c r="DA110" t="s">
        <v>134</v>
      </c>
      <c r="DB110" t="s">
        <v>134</v>
      </c>
      <c r="DC110" t="s">
        <v>134</v>
      </c>
      <c r="DD110" t="s">
        <v>134</v>
      </c>
      <c r="DE110" t="s">
        <v>134</v>
      </c>
      <c r="DF110" t="s">
        <v>134</v>
      </c>
      <c r="DG110" t="s">
        <v>134</v>
      </c>
      <c r="DH110" t="s">
        <v>134</v>
      </c>
      <c r="DI110" t="s">
        <v>134</v>
      </c>
    </row>
    <row r="111" spans="1:113" x14ac:dyDescent="0.3">
      <c r="E111" t="s">
        <v>80</v>
      </c>
      <c r="F111" t="s">
        <v>134</v>
      </c>
      <c r="G111" t="s">
        <v>134</v>
      </c>
      <c r="H111" t="s">
        <v>134</v>
      </c>
      <c r="I111" t="s">
        <v>134</v>
      </c>
      <c r="J111" t="s">
        <v>134</v>
      </c>
      <c r="K111" t="s">
        <v>134</v>
      </c>
      <c r="L111" t="s">
        <v>134</v>
      </c>
      <c r="M111" t="s">
        <v>134</v>
      </c>
      <c r="N111" t="s">
        <v>134</v>
      </c>
      <c r="O111" t="s">
        <v>134</v>
      </c>
      <c r="P111" t="s">
        <v>134</v>
      </c>
      <c r="Q111" t="s">
        <v>134</v>
      </c>
      <c r="R111" t="s">
        <v>134</v>
      </c>
      <c r="S111" t="s">
        <v>134</v>
      </c>
      <c r="T111" t="s">
        <v>134</v>
      </c>
      <c r="U111" t="s">
        <v>134</v>
      </c>
      <c r="V111" t="s">
        <v>134</v>
      </c>
      <c r="W111" t="s">
        <v>134</v>
      </c>
      <c r="X111" t="s">
        <v>134</v>
      </c>
      <c r="Y111" t="s">
        <v>134</v>
      </c>
      <c r="Z111" t="s">
        <v>134</v>
      </c>
      <c r="AA111" t="s">
        <v>134</v>
      </c>
      <c r="AB111" t="s">
        <v>134</v>
      </c>
      <c r="AC111" t="s">
        <v>134</v>
      </c>
      <c r="AD111" t="s">
        <v>134</v>
      </c>
      <c r="AE111" t="s">
        <v>134</v>
      </c>
      <c r="AF111" t="s">
        <v>134</v>
      </c>
      <c r="AG111" t="s">
        <v>134</v>
      </c>
      <c r="AH111" t="s">
        <v>134</v>
      </c>
      <c r="AI111" t="s">
        <v>134</v>
      </c>
      <c r="AJ111" t="s">
        <v>134</v>
      </c>
      <c r="AK111" t="s">
        <v>134</v>
      </c>
      <c r="AL111" t="s">
        <v>134</v>
      </c>
      <c r="AM111" t="s">
        <v>134</v>
      </c>
      <c r="AN111" t="s">
        <v>134</v>
      </c>
      <c r="AO111" t="s">
        <v>134</v>
      </c>
      <c r="AP111" t="s">
        <v>134</v>
      </c>
      <c r="AQ111" t="s">
        <v>134</v>
      </c>
      <c r="AR111" t="s">
        <v>134</v>
      </c>
      <c r="AS111" t="s">
        <v>134</v>
      </c>
      <c r="AT111" t="s">
        <v>134</v>
      </c>
      <c r="AU111" t="s">
        <v>134</v>
      </c>
      <c r="AV111" t="s">
        <v>134</v>
      </c>
      <c r="AW111" t="s">
        <v>134</v>
      </c>
      <c r="AX111" t="s">
        <v>134</v>
      </c>
      <c r="AY111" t="s">
        <v>134</v>
      </c>
      <c r="AZ111" t="s">
        <v>134</v>
      </c>
      <c r="BA111" t="s">
        <v>134</v>
      </c>
      <c r="BB111" t="s">
        <v>134</v>
      </c>
      <c r="BC111" t="s">
        <v>134</v>
      </c>
      <c r="BD111" t="s">
        <v>134</v>
      </c>
      <c r="BE111" t="s">
        <v>134</v>
      </c>
      <c r="BF111" t="s">
        <v>134</v>
      </c>
      <c r="BG111" t="s">
        <v>134</v>
      </c>
      <c r="BH111" t="s">
        <v>134</v>
      </c>
      <c r="BI111" t="s">
        <v>134</v>
      </c>
      <c r="BJ111" t="s">
        <v>134</v>
      </c>
      <c r="BK111" t="s">
        <v>134</v>
      </c>
      <c r="BL111" t="s">
        <v>134</v>
      </c>
      <c r="BM111" t="s">
        <v>134</v>
      </c>
      <c r="BN111" t="s">
        <v>134</v>
      </c>
      <c r="BO111" t="s">
        <v>134</v>
      </c>
      <c r="BP111" t="s">
        <v>134</v>
      </c>
      <c r="BQ111" t="s">
        <v>134</v>
      </c>
      <c r="BR111" t="s">
        <v>134</v>
      </c>
      <c r="BS111" t="s">
        <v>134</v>
      </c>
      <c r="BT111" t="s">
        <v>134</v>
      </c>
      <c r="BU111" t="s">
        <v>134</v>
      </c>
      <c r="BV111" t="s">
        <v>134</v>
      </c>
      <c r="BW111" t="s">
        <v>134</v>
      </c>
      <c r="BX111" t="s">
        <v>134</v>
      </c>
      <c r="BY111" t="s">
        <v>134</v>
      </c>
      <c r="BZ111" t="s">
        <v>134</v>
      </c>
      <c r="CA111" t="s">
        <v>134</v>
      </c>
      <c r="CB111" t="s">
        <v>134</v>
      </c>
      <c r="CC111" t="s">
        <v>134</v>
      </c>
      <c r="CD111" t="s">
        <v>134</v>
      </c>
      <c r="CE111" t="s">
        <v>134</v>
      </c>
      <c r="CF111" t="s">
        <v>134</v>
      </c>
      <c r="CG111" t="s">
        <v>134</v>
      </c>
      <c r="CH111" t="s">
        <v>134</v>
      </c>
      <c r="CI111" t="s">
        <v>134</v>
      </c>
      <c r="CJ111" t="s">
        <v>134</v>
      </c>
      <c r="CK111" t="s">
        <v>134</v>
      </c>
      <c r="CL111" t="s">
        <v>134</v>
      </c>
      <c r="CM111" t="s">
        <v>134</v>
      </c>
      <c r="CN111" t="s">
        <v>134</v>
      </c>
      <c r="CO111" t="s">
        <v>134</v>
      </c>
      <c r="CP111" t="s">
        <v>134</v>
      </c>
      <c r="CQ111" t="s">
        <v>134</v>
      </c>
      <c r="CR111" t="s">
        <v>134</v>
      </c>
      <c r="CS111" t="s">
        <v>134</v>
      </c>
      <c r="CT111" t="s">
        <v>134</v>
      </c>
      <c r="CU111" t="s">
        <v>134</v>
      </c>
      <c r="CV111" t="s">
        <v>134</v>
      </c>
      <c r="CW111" t="s">
        <v>134</v>
      </c>
      <c r="CX111" t="s">
        <v>134</v>
      </c>
      <c r="CY111" t="s">
        <v>134</v>
      </c>
      <c r="CZ111" t="s">
        <v>134</v>
      </c>
      <c r="DA111" t="s">
        <v>134</v>
      </c>
      <c r="DB111" t="s">
        <v>134</v>
      </c>
      <c r="DC111" t="s">
        <v>134</v>
      </c>
      <c r="DD111" t="s">
        <v>134</v>
      </c>
      <c r="DE111" t="s">
        <v>134</v>
      </c>
      <c r="DF111" t="s">
        <v>134</v>
      </c>
      <c r="DG111" t="s">
        <v>134</v>
      </c>
      <c r="DH111" t="s">
        <v>134</v>
      </c>
      <c r="DI111" t="s">
        <v>134</v>
      </c>
    </row>
    <row r="112" spans="1:113" x14ac:dyDescent="0.3">
      <c r="E112" t="s">
        <v>81</v>
      </c>
      <c r="F112" t="s">
        <v>134</v>
      </c>
      <c r="G112" t="s">
        <v>134</v>
      </c>
      <c r="H112" t="s">
        <v>134</v>
      </c>
      <c r="I112" t="s">
        <v>134</v>
      </c>
      <c r="J112" t="s">
        <v>134</v>
      </c>
      <c r="K112" t="s">
        <v>134</v>
      </c>
      <c r="L112" t="s">
        <v>134</v>
      </c>
      <c r="M112" t="s">
        <v>134</v>
      </c>
      <c r="N112" t="s">
        <v>134</v>
      </c>
      <c r="O112" t="s">
        <v>134</v>
      </c>
      <c r="P112" t="s">
        <v>134</v>
      </c>
      <c r="Q112" t="s">
        <v>134</v>
      </c>
      <c r="R112" t="s">
        <v>134</v>
      </c>
      <c r="S112" t="s">
        <v>134</v>
      </c>
      <c r="T112" t="s">
        <v>134</v>
      </c>
      <c r="U112" t="s">
        <v>134</v>
      </c>
      <c r="V112" t="s">
        <v>134</v>
      </c>
      <c r="W112" t="s">
        <v>134</v>
      </c>
      <c r="X112" t="s">
        <v>134</v>
      </c>
      <c r="Y112" t="s">
        <v>134</v>
      </c>
      <c r="Z112" t="s">
        <v>134</v>
      </c>
      <c r="AA112" t="s">
        <v>134</v>
      </c>
      <c r="AB112" t="s">
        <v>134</v>
      </c>
      <c r="AC112" t="s">
        <v>134</v>
      </c>
      <c r="AD112" t="s">
        <v>134</v>
      </c>
      <c r="AE112" t="s">
        <v>134</v>
      </c>
      <c r="AF112" t="s">
        <v>134</v>
      </c>
      <c r="AG112" t="s">
        <v>134</v>
      </c>
      <c r="AH112" t="s">
        <v>134</v>
      </c>
      <c r="AI112" t="s">
        <v>134</v>
      </c>
      <c r="AJ112" t="s">
        <v>134</v>
      </c>
      <c r="AK112" t="s">
        <v>134</v>
      </c>
      <c r="AL112" t="s">
        <v>134</v>
      </c>
      <c r="AM112" t="s">
        <v>134</v>
      </c>
      <c r="AN112" t="s">
        <v>134</v>
      </c>
      <c r="AO112" t="s">
        <v>134</v>
      </c>
      <c r="AP112" t="s">
        <v>134</v>
      </c>
      <c r="AQ112" t="s">
        <v>134</v>
      </c>
      <c r="AR112" t="s">
        <v>134</v>
      </c>
      <c r="AS112" t="s">
        <v>134</v>
      </c>
      <c r="AT112" t="s">
        <v>134</v>
      </c>
      <c r="AU112" t="s">
        <v>134</v>
      </c>
      <c r="AV112" t="s">
        <v>134</v>
      </c>
      <c r="AW112" t="s">
        <v>134</v>
      </c>
      <c r="AX112" t="s">
        <v>134</v>
      </c>
      <c r="AY112" t="s">
        <v>134</v>
      </c>
      <c r="AZ112" t="s">
        <v>134</v>
      </c>
      <c r="BA112" t="s">
        <v>134</v>
      </c>
      <c r="BB112" t="s">
        <v>134</v>
      </c>
      <c r="BC112" t="s">
        <v>134</v>
      </c>
      <c r="BD112" t="s">
        <v>134</v>
      </c>
      <c r="BE112" t="s">
        <v>134</v>
      </c>
      <c r="BF112" t="s">
        <v>134</v>
      </c>
      <c r="BG112" t="s">
        <v>134</v>
      </c>
      <c r="BH112" t="s">
        <v>134</v>
      </c>
      <c r="BI112" t="s">
        <v>134</v>
      </c>
      <c r="BJ112" t="s">
        <v>134</v>
      </c>
      <c r="BK112" t="s">
        <v>134</v>
      </c>
      <c r="BL112" t="s">
        <v>134</v>
      </c>
      <c r="BM112" t="s">
        <v>134</v>
      </c>
      <c r="BN112" t="s">
        <v>134</v>
      </c>
      <c r="BO112" t="s">
        <v>134</v>
      </c>
      <c r="BP112" t="s">
        <v>134</v>
      </c>
      <c r="BQ112" t="s">
        <v>134</v>
      </c>
      <c r="BR112" t="s">
        <v>134</v>
      </c>
      <c r="BS112" t="s">
        <v>134</v>
      </c>
      <c r="BT112" t="s">
        <v>134</v>
      </c>
      <c r="BU112" t="s">
        <v>134</v>
      </c>
      <c r="BV112" t="s">
        <v>134</v>
      </c>
      <c r="BW112" t="s">
        <v>134</v>
      </c>
      <c r="BX112" t="s">
        <v>134</v>
      </c>
      <c r="BY112" t="s">
        <v>134</v>
      </c>
      <c r="BZ112" t="s">
        <v>134</v>
      </c>
      <c r="CA112" t="s">
        <v>134</v>
      </c>
      <c r="CB112" t="s">
        <v>134</v>
      </c>
      <c r="CC112" t="s">
        <v>134</v>
      </c>
      <c r="CD112" t="s">
        <v>134</v>
      </c>
      <c r="CE112" t="s">
        <v>134</v>
      </c>
      <c r="CF112" t="s">
        <v>134</v>
      </c>
      <c r="CG112" t="s">
        <v>134</v>
      </c>
      <c r="CH112" t="s">
        <v>134</v>
      </c>
      <c r="CI112" t="s">
        <v>134</v>
      </c>
      <c r="CJ112" t="s">
        <v>134</v>
      </c>
      <c r="CK112" t="s">
        <v>134</v>
      </c>
      <c r="CL112" t="s">
        <v>134</v>
      </c>
      <c r="CM112" t="s">
        <v>134</v>
      </c>
      <c r="CN112" t="s">
        <v>134</v>
      </c>
      <c r="CO112" t="s">
        <v>134</v>
      </c>
      <c r="CP112" t="s">
        <v>134</v>
      </c>
      <c r="CQ112" t="s">
        <v>134</v>
      </c>
      <c r="CR112" t="s">
        <v>134</v>
      </c>
      <c r="CS112" t="s">
        <v>134</v>
      </c>
      <c r="CT112" t="s">
        <v>134</v>
      </c>
      <c r="CU112" t="s">
        <v>134</v>
      </c>
      <c r="CV112" t="s">
        <v>134</v>
      </c>
      <c r="CW112" t="s">
        <v>134</v>
      </c>
      <c r="CX112" t="s">
        <v>134</v>
      </c>
      <c r="CY112" t="s">
        <v>134</v>
      </c>
      <c r="CZ112" t="s">
        <v>134</v>
      </c>
      <c r="DA112" t="s">
        <v>134</v>
      </c>
      <c r="DB112" t="s">
        <v>134</v>
      </c>
      <c r="DC112" t="s">
        <v>134</v>
      </c>
      <c r="DD112" t="s">
        <v>134</v>
      </c>
      <c r="DE112" t="s">
        <v>134</v>
      </c>
      <c r="DF112" t="s">
        <v>134</v>
      </c>
      <c r="DG112" t="s">
        <v>134</v>
      </c>
      <c r="DH112" t="s">
        <v>134</v>
      </c>
      <c r="DI112" t="s">
        <v>134</v>
      </c>
    </row>
    <row r="113" spans="1:113" x14ac:dyDescent="0.3">
      <c r="D113" t="s">
        <v>83</v>
      </c>
      <c r="E113" t="s">
        <v>77</v>
      </c>
      <c r="F113">
        <v>7.5201000000000002</v>
      </c>
      <c r="G113">
        <v>4.7843999999999998</v>
      </c>
      <c r="H113">
        <v>8.9166000000000007</v>
      </c>
      <c r="I113">
        <v>6.2430000000000003</v>
      </c>
      <c r="J113">
        <v>15.523</v>
      </c>
      <c r="K113">
        <v>8.2413000000000007</v>
      </c>
      <c r="L113">
        <v>6.9447000000000001</v>
      </c>
      <c r="M113">
        <v>9.9283999999999999</v>
      </c>
      <c r="N113">
        <v>7.1055999999999999</v>
      </c>
      <c r="O113">
        <v>5.5793999999999997</v>
      </c>
      <c r="P113">
        <v>5.5793999999999997</v>
      </c>
      <c r="Q113">
        <v>28.872</v>
      </c>
      <c r="R113">
        <v>49.591099999999997</v>
      </c>
      <c r="S113">
        <v>3.7907999999999999</v>
      </c>
      <c r="T113">
        <v>114.03870000000001</v>
      </c>
      <c r="U113">
        <v>102.2474</v>
      </c>
      <c r="V113">
        <v>81.479500000000002</v>
      </c>
      <c r="W113">
        <v>38.774299999999997</v>
      </c>
      <c r="X113">
        <v>8.4452999999999996</v>
      </c>
      <c r="Y113">
        <v>0</v>
      </c>
      <c r="Z113">
        <v>162.86920000000001</v>
      </c>
      <c r="AA113">
        <v>141.10679999999999</v>
      </c>
      <c r="AB113">
        <v>115.26519999999999</v>
      </c>
      <c r="AC113">
        <v>131.60730000000001</v>
      </c>
      <c r="AD113">
        <v>51.857100000000003</v>
      </c>
      <c r="AE113">
        <v>-81.739999999999995</v>
      </c>
      <c r="AF113">
        <v>217.9881</v>
      </c>
      <c r="AG113">
        <v>20.174700000000001</v>
      </c>
      <c r="AH113">
        <v>6.6856999999999998</v>
      </c>
      <c r="AI113">
        <v>132.8947</v>
      </c>
      <c r="AJ113">
        <v>132.46610000000001</v>
      </c>
      <c r="AK113">
        <v>48.722700000000003</v>
      </c>
      <c r="AL113">
        <v>72.938699999999997</v>
      </c>
      <c r="AM113">
        <v>18.717500000000001</v>
      </c>
      <c r="AN113">
        <v>9.3271999999999995</v>
      </c>
      <c r="AO113">
        <v>1.32</v>
      </c>
      <c r="AP113">
        <v>-1.8004</v>
      </c>
      <c r="AQ113">
        <v>-6.6959999999999997</v>
      </c>
      <c r="AR113">
        <v>-2.6353</v>
      </c>
      <c r="AS113">
        <v>25.244599999999998</v>
      </c>
      <c r="AT113">
        <v>18.464099999999998</v>
      </c>
      <c r="AU113">
        <v>15.9682</v>
      </c>
      <c r="AV113">
        <v>23.106300000000001</v>
      </c>
      <c r="AW113">
        <v>29.190200000000001</v>
      </c>
      <c r="AX113">
        <v>-16.573599999999999</v>
      </c>
      <c r="AY113">
        <v>17.519200000000001</v>
      </c>
      <c r="AZ113">
        <v>-5.1353</v>
      </c>
      <c r="BA113">
        <v>-11.4641</v>
      </c>
      <c r="BB113">
        <v>24.285399999999999</v>
      </c>
      <c r="BC113">
        <v>24.113700000000001</v>
      </c>
      <c r="BD113">
        <v>13.3698</v>
      </c>
      <c r="BE113">
        <v>13.010199999999999</v>
      </c>
      <c r="BF113">
        <v>114.03870000000001</v>
      </c>
      <c r="BG113">
        <v>102.2474</v>
      </c>
      <c r="BH113">
        <v>81.479500000000002</v>
      </c>
      <c r="BI113">
        <v>38.774299999999997</v>
      </c>
      <c r="BJ113">
        <v>8.4452999999999996</v>
      </c>
      <c r="BK113">
        <v>0</v>
      </c>
      <c r="BL113">
        <v>162.86920000000001</v>
      </c>
      <c r="BM113">
        <v>141.10679999999999</v>
      </c>
      <c r="BN113">
        <v>115.26519999999999</v>
      </c>
      <c r="BO113">
        <v>131.60730000000001</v>
      </c>
      <c r="BP113">
        <v>51.857100000000003</v>
      </c>
      <c r="BQ113">
        <v>-81.739999999999995</v>
      </c>
      <c r="BR113">
        <v>217.9881</v>
      </c>
      <c r="BS113">
        <v>20.174700000000001</v>
      </c>
      <c r="BT113">
        <v>6.6856999999999998</v>
      </c>
      <c r="BU113">
        <v>132.8947</v>
      </c>
      <c r="BV113">
        <v>132.46610000000001</v>
      </c>
      <c r="BW113">
        <v>48.722700000000003</v>
      </c>
      <c r="BX113">
        <v>72.938699999999997</v>
      </c>
      <c r="BY113">
        <v>373.4</v>
      </c>
      <c r="BZ113">
        <v>137.6</v>
      </c>
      <c r="CA113">
        <v>235.8</v>
      </c>
      <c r="CB113">
        <v>1.2E-2</v>
      </c>
      <c r="CC113">
        <v>-1.3677999999999999</v>
      </c>
      <c r="CD113">
        <v>2.2499999999999999E-2</v>
      </c>
      <c r="CE113">
        <v>-2.5762999999999998</v>
      </c>
      <c r="CF113">
        <v>22.194299999999998</v>
      </c>
      <c r="CG113">
        <v>59.711799999999997</v>
      </c>
      <c r="CH113">
        <v>9.8599999999999993E-2</v>
      </c>
      <c r="CI113">
        <v>9.8400000000000001E-2</v>
      </c>
      <c r="CJ113">
        <v>7.1999999999999995E-2</v>
      </c>
      <c r="CK113">
        <v>0.15609999999999999</v>
      </c>
      <c r="CL113">
        <v>0.15579999999999999</v>
      </c>
      <c r="CM113">
        <v>0.11409999999999999</v>
      </c>
      <c r="CN113">
        <v>-17.833500000000001</v>
      </c>
      <c r="CO113">
        <v>-21.7041</v>
      </c>
      <c r="CP113">
        <v>31191.8</v>
      </c>
      <c r="CQ113">
        <v>22046.6</v>
      </c>
      <c r="CR113">
        <v>16560</v>
      </c>
      <c r="CS113">
        <v>0.57020000000000004</v>
      </c>
      <c r="CT113">
        <v>1.0796000000000001</v>
      </c>
      <c r="CU113">
        <v>0.6714</v>
      </c>
      <c r="CV113">
        <v>3.9802999999999997</v>
      </c>
      <c r="CW113">
        <v>38.129300000000001</v>
      </c>
      <c r="CX113">
        <v>9.5989000000000004</v>
      </c>
      <c r="CY113">
        <v>1.5885</v>
      </c>
      <c r="CZ113">
        <v>230.4058</v>
      </c>
      <c r="DA113">
        <v>2.6166999999999998</v>
      </c>
      <c r="DB113">
        <v>139.86920000000001</v>
      </c>
      <c r="DC113">
        <v>100.1356</v>
      </c>
      <c r="DD113">
        <v>240.00470000000001</v>
      </c>
      <c r="DE113">
        <v>21645.599999999999</v>
      </c>
      <c r="DF113">
        <v>1972.6</v>
      </c>
      <c r="DG113">
        <v>4464.2</v>
      </c>
      <c r="DH113">
        <v>2502</v>
      </c>
      <c r="DI113">
        <v>12706.8</v>
      </c>
    </row>
    <row r="114" spans="1:113" x14ac:dyDescent="0.3">
      <c r="E114" t="s">
        <v>78</v>
      </c>
      <c r="F114" t="s">
        <v>134</v>
      </c>
      <c r="G114" t="s">
        <v>134</v>
      </c>
      <c r="H114" t="s">
        <v>134</v>
      </c>
      <c r="I114" t="s">
        <v>134</v>
      </c>
      <c r="J114" t="s">
        <v>134</v>
      </c>
      <c r="K114" t="s">
        <v>134</v>
      </c>
      <c r="L114" t="s">
        <v>134</v>
      </c>
      <c r="M114" t="s">
        <v>134</v>
      </c>
      <c r="N114" t="s">
        <v>134</v>
      </c>
      <c r="O114" t="s">
        <v>134</v>
      </c>
      <c r="P114" t="s">
        <v>134</v>
      </c>
      <c r="Q114" t="s">
        <v>134</v>
      </c>
      <c r="R114" t="s">
        <v>134</v>
      </c>
      <c r="S114" t="s">
        <v>134</v>
      </c>
      <c r="T114" t="s">
        <v>134</v>
      </c>
      <c r="U114" t="s">
        <v>134</v>
      </c>
      <c r="V114" t="s">
        <v>134</v>
      </c>
      <c r="W114" t="s">
        <v>134</v>
      </c>
      <c r="X114" t="s">
        <v>134</v>
      </c>
      <c r="Y114" t="s">
        <v>134</v>
      </c>
      <c r="Z114" t="s">
        <v>134</v>
      </c>
      <c r="AA114" t="s">
        <v>134</v>
      </c>
      <c r="AB114" t="s">
        <v>134</v>
      </c>
      <c r="AC114" t="s">
        <v>134</v>
      </c>
      <c r="AD114" t="s">
        <v>134</v>
      </c>
      <c r="AE114" t="s">
        <v>134</v>
      </c>
      <c r="AF114" t="s">
        <v>134</v>
      </c>
      <c r="AG114" t="s">
        <v>134</v>
      </c>
      <c r="AH114" t="s">
        <v>134</v>
      </c>
      <c r="AI114" t="s">
        <v>134</v>
      </c>
      <c r="AJ114" t="s">
        <v>134</v>
      </c>
      <c r="AK114" t="s">
        <v>134</v>
      </c>
      <c r="AL114" t="s">
        <v>134</v>
      </c>
      <c r="AM114" t="s">
        <v>134</v>
      </c>
      <c r="AN114" t="s">
        <v>134</v>
      </c>
      <c r="AO114" t="s">
        <v>134</v>
      </c>
      <c r="AP114" t="s">
        <v>134</v>
      </c>
      <c r="AQ114" t="s">
        <v>134</v>
      </c>
      <c r="AR114" t="s">
        <v>134</v>
      </c>
      <c r="AS114" t="s">
        <v>134</v>
      </c>
      <c r="AT114" t="s">
        <v>134</v>
      </c>
      <c r="AU114" t="s">
        <v>134</v>
      </c>
      <c r="AV114" t="s">
        <v>134</v>
      </c>
      <c r="AW114" t="s">
        <v>134</v>
      </c>
      <c r="AX114" t="s">
        <v>134</v>
      </c>
      <c r="AY114" t="s">
        <v>134</v>
      </c>
      <c r="AZ114" t="s">
        <v>134</v>
      </c>
      <c r="BA114" t="s">
        <v>134</v>
      </c>
      <c r="BB114" t="s">
        <v>134</v>
      </c>
      <c r="BC114" t="s">
        <v>134</v>
      </c>
      <c r="BD114" t="s">
        <v>134</v>
      </c>
      <c r="BE114" t="s">
        <v>134</v>
      </c>
      <c r="BF114" t="s">
        <v>134</v>
      </c>
      <c r="BG114" t="s">
        <v>134</v>
      </c>
      <c r="BH114" t="s">
        <v>134</v>
      </c>
      <c r="BI114" t="s">
        <v>134</v>
      </c>
      <c r="BJ114" t="s">
        <v>134</v>
      </c>
      <c r="BK114" t="s">
        <v>134</v>
      </c>
      <c r="BL114" t="s">
        <v>134</v>
      </c>
      <c r="BM114" t="s">
        <v>134</v>
      </c>
      <c r="BN114" t="s">
        <v>134</v>
      </c>
      <c r="BO114" t="s">
        <v>134</v>
      </c>
      <c r="BP114" t="s">
        <v>134</v>
      </c>
      <c r="BQ114" t="s">
        <v>134</v>
      </c>
      <c r="BR114" t="s">
        <v>134</v>
      </c>
      <c r="BS114" t="s">
        <v>134</v>
      </c>
      <c r="BT114" t="s">
        <v>134</v>
      </c>
      <c r="BU114" t="s">
        <v>134</v>
      </c>
      <c r="BV114" t="s">
        <v>134</v>
      </c>
      <c r="BW114" t="s">
        <v>134</v>
      </c>
      <c r="BX114" t="s">
        <v>134</v>
      </c>
      <c r="BY114" t="s">
        <v>134</v>
      </c>
      <c r="BZ114" t="s">
        <v>134</v>
      </c>
      <c r="CA114" t="s">
        <v>134</v>
      </c>
      <c r="CB114" t="s">
        <v>134</v>
      </c>
      <c r="CC114" t="s">
        <v>134</v>
      </c>
      <c r="CD114" t="s">
        <v>134</v>
      </c>
      <c r="CE114" t="s">
        <v>134</v>
      </c>
      <c r="CF114" t="s">
        <v>134</v>
      </c>
      <c r="CG114" t="s">
        <v>134</v>
      </c>
      <c r="CH114" t="s">
        <v>134</v>
      </c>
      <c r="CI114" t="s">
        <v>134</v>
      </c>
      <c r="CJ114" t="s">
        <v>134</v>
      </c>
      <c r="CK114" t="s">
        <v>134</v>
      </c>
      <c r="CL114" t="s">
        <v>134</v>
      </c>
      <c r="CM114" t="s">
        <v>134</v>
      </c>
      <c r="CN114" t="s">
        <v>134</v>
      </c>
      <c r="CO114" t="s">
        <v>134</v>
      </c>
      <c r="CP114" t="s">
        <v>134</v>
      </c>
      <c r="CQ114" t="s">
        <v>134</v>
      </c>
      <c r="CR114" t="s">
        <v>134</v>
      </c>
      <c r="CS114" t="s">
        <v>134</v>
      </c>
      <c r="CT114" t="s">
        <v>134</v>
      </c>
      <c r="CU114" t="s">
        <v>134</v>
      </c>
      <c r="CV114" t="s">
        <v>134</v>
      </c>
      <c r="CW114" t="s">
        <v>134</v>
      </c>
      <c r="CX114" t="s">
        <v>134</v>
      </c>
      <c r="CY114" t="s">
        <v>134</v>
      </c>
      <c r="CZ114" t="s">
        <v>134</v>
      </c>
      <c r="DA114" t="s">
        <v>134</v>
      </c>
      <c r="DB114" t="s">
        <v>134</v>
      </c>
      <c r="DC114" t="s">
        <v>134</v>
      </c>
      <c r="DD114" t="s">
        <v>134</v>
      </c>
      <c r="DE114" t="s">
        <v>134</v>
      </c>
      <c r="DF114" t="s">
        <v>134</v>
      </c>
      <c r="DG114" t="s">
        <v>134</v>
      </c>
      <c r="DH114" t="s">
        <v>134</v>
      </c>
      <c r="DI114" t="s">
        <v>134</v>
      </c>
    </row>
    <row r="115" spans="1:113" x14ac:dyDescent="0.3">
      <c r="E115" t="s">
        <v>79</v>
      </c>
      <c r="F115" t="s">
        <v>134</v>
      </c>
      <c r="G115" t="s">
        <v>134</v>
      </c>
      <c r="H115" t="s">
        <v>134</v>
      </c>
      <c r="I115" t="s">
        <v>134</v>
      </c>
      <c r="J115" t="s">
        <v>134</v>
      </c>
      <c r="K115" t="s">
        <v>134</v>
      </c>
      <c r="L115" t="s">
        <v>134</v>
      </c>
      <c r="M115" t="s">
        <v>134</v>
      </c>
      <c r="N115" t="s">
        <v>134</v>
      </c>
      <c r="O115" t="s">
        <v>134</v>
      </c>
      <c r="P115" t="s">
        <v>134</v>
      </c>
      <c r="Q115" t="s">
        <v>134</v>
      </c>
      <c r="R115" t="s">
        <v>134</v>
      </c>
      <c r="S115" t="s">
        <v>134</v>
      </c>
      <c r="T115" t="s">
        <v>134</v>
      </c>
      <c r="U115" t="s">
        <v>134</v>
      </c>
      <c r="V115" t="s">
        <v>134</v>
      </c>
      <c r="W115" t="s">
        <v>134</v>
      </c>
      <c r="X115" t="s">
        <v>134</v>
      </c>
      <c r="Y115" t="s">
        <v>134</v>
      </c>
      <c r="Z115" t="s">
        <v>134</v>
      </c>
      <c r="AA115" t="s">
        <v>134</v>
      </c>
      <c r="AB115" t="s">
        <v>134</v>
      </c>
      <c r="AC115" t="s">
        <v>134</v>
      </c>
      <c r="AD115" t="s">
        <v>134</v>
      </c>
      <c r="AE115" t="s">
        <v>134</v>
      </c>
      <c r="AF115" t="s">
        <v>134</v>
      </c>
      <c r="AG115" t="s">
        <v>134</v>
      </c>
      <c r="AH115" t="s">
        <v>134</v>
      </c>
      <c r="AI115" t="s">
        <v>134</v>
      </c>
      <c r="AJ115" t="s">
        <v>134</v>
      </c>
      <c r="AK115" t="s">
        <v>134</v>
      </c>
      <c r="AL115" t="s">
        <v>134</v>
      </c>
      <c r="AM115" t="s">
        <v>134</v>
      </c>
      <c r="AN115" t="s">
        <v>134</v>
      </c>
      <c r="AO115" t="s">
        <v>134</v>
      </c>
      <c r="AP115" t="s">
        <v>134</v>
      </c>
      <c r="AQ115" t="s">
        <v>134</v>
      </c>
      <c r="AR115" t="s">
        <v>134</v>
      </c>
      <c r="AS115" t="s">
        <v>134</v>
      </c>
      <c r="AT115" t="s">
        <v>134</v>
      </c>
      <c r="AU115" t="s">
        <v>134</v>
      </c>
      <c r="AV115" t="s">
        <v>134</v>
      </c>
      <c r="AW115" t="s">
        <v>134</v>
      </c>
      <c r="AX115" t="s">
        <v>134</v>
      </c>
      <c r="AY115" t="s">
        <v>134</v>
      </c>
      <c r="AZ115" t="s">
        <v>134</v>
      </c>
      <c r="BA115" t="s">
        <v>134</v>
      </c>
      <c r="BB115" t="s">
        <v>134</v>
      </c>
      <c r="BC115" t="s">
        <v>134</v>
      </c>
      <c r="BD115" t="s">
        <v>134</v>
      </c>
      <c r="BE115" t="s">
        <v>134</v>
      </c>
      <c r="BF115" t="s">
        <v>134</v>
      </c>
      <c r="BG115" t="s">
        <v>134</v>
      </c>
      <c r="BH115" t="s">
        <v>134</v>
      </c>
      <c r="BI115" t="s">
        <v>134</v>
      </c>
      <c r="BJ115" t="s">
        <v>134</v>
      </c>
      <c r="BK115" t="s">
        <v>134</v>
      </c>
      <c r="BL115" t="s">
        <v>134</v>
      </c>
      <c r="BM115" t="s">
        <v>134</v>
      </c>
      <c r="BN115" t="s">
        <v>134</v>
      </c>
      <c r="BO115" t="s">
        <v>134</v>
      </c>
      <c r="BP115" t="s">
        <v>134</v>
      </c>
      <c r="BQ115" t="s">
        <v>134</v>
      </c>
      <c r="BR115" t="s">
        <v>134</v>
      </c>
      <c r="BS115" t="s">
        <v>134</v>
      </c>
      <c r="BT115" t="s">
        <v>134</v>
      </c>
      <c r="BU115" t="s">
        <v>134</v>
      </c>
      <c r="BV115" t="s">
        <v>134</v>
      </c>
      <c r="BW115" t="s">
        <v>134</v>
      </c>
      <c r="BX115" t="s">
        <v>134</v>
      </c>
      <c r="BY115" t="s">
        <v>134</v>
      </c>
      <c r="BZ115" t="s">
        <v>134</v>
      </c>
      <c r="CA115" t="s">
        <v>134</v>
      </c>
      <c r="CB115" t="s">
        <v>134</v>
      </c>
      <c r="CC115" t="s">
        <v>134</v>
      </c>
      <c r="CD115" t="s">
        <v>134</v>
      </c>
      <c r="CE115" t="s">
        <v>134</v>
      </c>
      <c r="CF115" t="s">
        <v>134</v>
      </c>
      <c r="CG115" t="s">
        <v>134</v>
      </c>
      <c r="CH115" t="s">
        <v>134</v>
      </c>
      <c r="CI115" t="s">
        <v>134</v>
      </c>
      <c r="CJ115" t="s">
        <v>134</v>
      </c>
      <c r="CK115" t="s">
        <v>134</v>
      </c>
      <c r="CL115" t="s">
        <v>134</v>
      </c>
      <c r="CM115" t="s">
        <v>134</v>
      </c>
      <c r="CN115" t="s">
        <v>134</v>
      </c>
      <c r="CO115" t="s">
        <v>134</v>
      </c>
      <c r="CP115" t="s">
        <v>134</v>
      </c>
      <c r="CQ115" t="s">
        <v>134</v>
      </c>
      <c r="CR115" t="s">
        <v>134</v>
      </c>
      <c r="CS115" t="s">
        <v>134</v>
      </c>
      <c r="CT115" t="s">
        <v>134</v>
      </c>
      <c r="CU115" t="s">
        <v>134</v>
      </c>
      <c r="CV115" t="s">
        <v>134</v>
      </c>
      <c r="CW115" t="s">
        <v>134</v>
      </c>
      <c r="CX115" t="s">
        <v>134</v>
      </c>
      <c r="CY115" t="s">
        <v>134</v>
      </c>
      <c r="CZ115" t="s">
        <v>134</v>
      </c>
      <c r="DA115" t="s">
        <v>134</v>
      </c>
      <c r="DB115" t="s">
        <v>134</v>
      </c>
      <c r="DC115" t="s">
        <v>134</v>
      </c>
      <c r="DD115" t="s">
        <v>134</v>
      </c>
      <c r="DE115" t="s">
        <v>134</v>
      </c>
      <c r="DF115" t="s">
        <v>134</v>
      </c>
      <c r="DG115" t="s">
        <v>134</v>
      </c>
      <c r="DH115" t="s">
        <v>134</v>
      </c>
      <c r="DI115" t="s">
        <v>134</v>
      </c>
    </row>
    <row r="116" spans="1:113" x14ac:dyDescent="0.3">
      <c r="E116" t="s">
        <v>80</v>
      </c>
      <c r="F116" t="s">
        <v>134</v>
      </c>
      <c r="G116" t="s">
        <v>134</v>
      </c>
      <c r="H116" t="s">
        <v>134</v>
      </c>
      <c r="I116" t="s">
        <v>134</v>
      </c>
      <c r="J116">
        <v>12.958399999999999</v>
      </c>
      <c r="K116">
        <v>5.9376999999999995</v>
      </c>
      <c r="L116" t="s">
        <v>134</v>
      </c>
      <c r="M116">
        <v>8.3287999999999993</v>
      </c>
      <c r="N116">
        <v>5.7675000000000001</v>
      </c>
      <c r="O116">
        <v>4.8268000000000004</v>
      </c>
      <c r="P116">
        <v>4.8268000000000004</v>
      </c>
      <c r="Q116">
        <v>30.4846</v>
      </c>
      <c r="R116" t="s">
        <v>134</v>
      </c>
      <c r="S116" t="s">
        <v>134</v>
      </c>
      <c r="T116" t="s">
        <v>134</v>
      </c>
      <c r="U116" t="s">
        <v>134</v>
      </c>
      <c r="V116" t="s">
        <v>134</v>
      </c>
      <c r="W116" t="s">
        <v>134</v>
      </c>
      <c r="X116" t="s">
        <v>134</v>
      </c>
      <c r="Y116" t="s">
        <v>134</v>
      </c>
      <c r="Z116" t="s">
        <v>134</v>
      </c>
      <c r="AA116" t="s">
        <v>134</v>
      </c>
      <c r="AB116" t="s">
        <v>134</v>
      </c>
      <c r="AC116" t="s">
        <v>134</v>
      </c>
      <c r="AD116" t="s">
        <v>134</v>
      </c>
      <c r="AE116" t="s">
        <v>134</v>
      </c>
      <c r="AF116" t="s">
        <v>134</v>
      </c>
      <c r="AG116" t="s">
        <v>134</v>
      </c>
      <c r="AH116" t="s">
        <v>134</v>
      </c>
      <c r="AI116" t="s">
        <v>134</v>
      </c>
      <c r="AJ116" t="s">
        <v>134</v>
      </c>
      <c r="AK116" t="s">
        <v>134</v>
      </c>
      <c r="AL116" t="s">
        <v>134</v>
      </c>
      <c r="AM116" t="s">
        <v>134</v>
      </c>
      <c r="AN116" t="s">
        <v>134</v>
      </c>
      <c r="AO116" t="s">
        <v>134</v>
      </c>
      <c r="AP116" t="s">
        <v>134</v>
      </c>
      <c r="AQ116" t="s">
        <v>134</v>
      </c>
      <c r="AR116" t="s">
        <v>134</v>
      </c>
      <c r="AS116" t="s">
        <v>134</v>
      </c>
      <c r="AT116" t="s">
        <v>134</v>
      </c>
      <c r="AU116" t="s">
        <v>134</v>
      </c>
      <c r="AV116" t="s">
        <v>134</v>
      </c>
      <c r="AW116" t="s">
        <v>134</v>
      </c>
      <c r="AX116" t="s">
        <v>134</v>
      </c>
      <c r="AY116" t="s">
        <v>134</v>
      </c>
      <c r="AZ116" t="s">
        <v>134</v>
      </c>
      <c r="BA116" t="s">
        <v>134</v>
      </c>
      <c r="BB116" t="s">
        <v>134</v>
      </c>
      <c r="BC116" t="s">
        <v>134</v>
      </c>
      <c r="BD116" t="s">
        <v>134</v>
      </c>
      <c r="BE116" t="s">
        <v>134</v>
      </c>
      <c r="BF116" t="s">
        <v>134</v>
      </c>
      <c r="BG116" t="s">
        <v>134</v>
      </c>
      <c r="BH116" t="s">
        <v>134</v>
      </c>
      <c r="BI116" t="s">
        <v>134</v>
      </c>
      <c r="BJ116" t="s">
        <v>134</v>
      </c>
      <c r="BK116" t="s">
        <v>134</v>
      </c>
      <c r="BL116" t="s">
        <v>134</v>
      </c>
      <c r="BM116" t="s">
        <v>134</v>
      </c>
      <c r="BN116" t="s">
        <v>134</v>
      </c>
      <c r="BO116" t="s">
        <v>134</v>
      </c>
      <c r="BP116" t="s">
        <v>134</v>
      </c>
      <c r="BQ116" t="s">
        <v>134</v>
      </c>
      <c r="BR116" t="s">
        <v>134</v>
      </c>
      <c r="BS116" t="s">
        <v>134</v>
      </c>
      <c r="BT116" t="s">
        <v>134</v>
      </c>
      <c r="BU116" t="s">
        <v>134</v>
      </c>
      <c r="BV116" t="s">
        <v>134</v>
      </c>
      <c r="BW116" t="s">
        <v>134</v>
      </c>
      <c r="BX116" t="s">
        <v>134</v>
      </c>
      <c r="BY116" t="s">
        <v>134</v>
      </c>
      <c r="BZ116" t="s">
        <v>134</v>
      </c>
      <c r="CA116" t="s">
        <v>134</v>
      </c>
      <c r="CB116" t="s">
        <v>134</v>
      </c>
      <c r="CC116" t="s">
        <v>134</v>
      </c>
      <c r="CD116" t="s">
        <v>134</v>
      </c>
      <c r="CE116" t="s">
        <v>134</v>
      </c>
      <c r="CF116">
        <v>15.3489</v>
      </c>
      <c r="CG116" t="s">
        <v>134</v>
      </c>
      <c r="CH116" t="s">
        <v>134</v>
      </c>
      <c r="CI116" t="s">
        <v>134</v>
      </c>
      <c r="CJ116" t="s">
        <v>134</v>
      </c>
      <c r="CK116" t="s">
        <v>134</v>
      </c>
      <c r="CL116" t="s">
        <v>134</v>
      </c>
      <c r="CM116" t="s">
        <v>134</v>
      </c>
      <c r="CN116" t="s">
        <v>134</v>
      </c>
      <c r="CO116" t="s">
        <v>134</v>
      </c>
      <c r="CP116">
        <v>5801.9</v>
      </c>
      <c r="CQ116" t="s">
        <v>134</v>
      </c>
      <c r="CR116">
        <v>2658.5</v>
      </c>
      <c r="CS116" t="s">
        <v>134</v>
      </c>
      <c r="CT116" t="s">
        <v>134</v>
      </c>
      <c r="CU116" t="s">
        <v>134</v>
      </c>
      <c r="CV116" t="s">
        <v>134</v>
      </c>
      <c r="CW116" t="s">
        <v>134</v>
      </c>
      <c r="CX116" t="s">
        <v>134</v>
      </c>
      <c r="CY116" t="s">
        <v>134</v>
      </c>
      <c r="CZ116" t="s">
        <v>134</v>
      </c>
      <c r="DA116" t="s">
        <v>134</v>
      </c>
      <c r="DB116" t="s">
        <v>134</v>
      </c>
      <c r="DC116" t="s">
        <v>134</v>
      </c>
      <c r="DD116" t="s">
        <v>134</v>
      </c>
      <c r="DE116" t="s">
        <v>134</v>
      </c>
      <c r="DF116" t="s">
        <v>134</v>
      </c>
      <c r="DG116" t="s">
        <v>134</v>
      </c>
      <c r="DH116" t="s">
        <v>134</v>
      </c>
      <c r="DI116" t="s">
        <v>134</v>
      </c>
    </row>
    <row r="117" spans="1:113" x14ac:dyDescent="0.3">
      <c r="E117" t="s">
        <v>81</v>
      </c>
      <c r="F117" t="s">
        <v>134</v>
      </c>
      <c r="G117" t="s">
        <v>134</v>
      </c>
      <c r="H117" t="s">
        <v>134</v>
      </c>
      <c r="I117" t="s">
        <v>134</v>
      </c>
      <c r="J117">
        <v>12.1174</v>
      </c>
      <c r="K117">
        <v>5.4082999999999997</v>
      </c>
      <c r="L117" t="s">
        <v>134</v>
      </c>
      <c r="M117">
        <v>5.1512000000000002</v>
      </c>
      <c r="N117">
        <v>4.8356000000000003</v>
      </c>
      <c r="O117">
        <v>4.2316000000000003</v>
      </c>
      <c r="P117">
        <v>4.2316000000000003</v>
      </c>
      <c r="Q117">
        <v>7.8673999999999999</v>
      </c>
      <c r="R117" t="s">
        <v>134</v>
      </c>
      <c r="S117" t="s">
        <v>134</v>
      </c>
      <c r="T117" t="s">
        <v>134</v>
      </c>
      <c r="U117" t="s">
        <v>134</v>
      </c>
      <c r="V117" t="s">
        <v>134</v>
      </c>
      <c r="W117" t="s">
        <v>134</v>
      </c>
      <c r="X117" t="s">
        <v>134</v>
      </c>
      <c r="Y117" t="s">
        <v>134</v>
      </c>
      <c r="Z117" t="s">
        <v>134</v>
      </c>
      <c r="AA117" t="s">
        <v>134</v>
      </c>
      <c r="AB117" t="s">
        <v>134</v>
      </c>
      <c r="AC117" t="s">
        <v>134</v>
      </c>
      <c r="AD117" t="s">
        <v>134</v>
      </c>
      <c r="AE117" t="s">
        <v>134</v>
      </c>
      <c r="AF117" t="s">
        <v>134</v>
      </c>
      <c r="AG117" t="s">
        <v>134</v>
      </c>
      <c r="AH117" t="s">
        <v>134</v>
      </c>
      <c r="AI117" t="s">
        <v>134</v>
      </c>
      <c r="AJ117" t="s">
        <v>134</v>
      </c>
      <c r="AK117" t="s">
        <v>134</v>
      </c>
      <c r="AL117" t="s">
        <v>134</v>
      </c>
      <c r="AM117" t="s">
        <v>134</v>
      </c>
      <c r="AN117" t="s">
        <v>134</v>
      </c>
      <c r="AO117" t="s">
        <v>134</v>
      </c>
      <c r="AP117" t="s">
        <v>134</v>
      </c>
      <c r="AQ117" t="s">
        <v>134</v>
      </c>
      <c r="AR117" t="s">
        <v>134</v>
      </c>
      <c r="AS117" t="s">
        <v>134</v>
      </c>
      <c r="AT117" t="s">
        <v>134</v>
      </c>
      <c r="AU117" t="s">
        <v>134</v>
      </c>
      <c r="AV117" t="s">
        <v>134</v>
      </c>
      <c r="AW117" t="s">
        <v>134</v>
      </c>
      <c r="AX117" t="s">
        <v>134</v>
      </c>
      <c r="AY117" t="s">
        <v>134</v>
      </c>
      <c r="AZ117" t="s">
        <v>134</v>
      </c>
      <c r="BA117" t="s">
        <v>134</v>
      </c>
      <c r="BB117" t="s">
        <v>134</v>
      </c>
      <c r="BC117" t="s">
        <v>134</v>
      </c>
      <c r="BD117" t="s">
        <v>134</v>
      </c>
      <c r="BE117" t="s">
        <v>134</v>
      </c>
      <c r="BF117">
        <v>8.7113999999999994</v>
      </c>
      <c r="BG117">
        <v>-0.52190000000000003</v>
      </c>
      <c r="BH117">
        <v>-5.5438000000000001</v>
      </c>
      <c r="BI117">
        <v>8.5889000000000006</v>
      </c>
      <c r="BJ117">
        <v>9.4737000000000009</v>
      </c>
      <c r="BK117" t="s">
        <v>134</v>
      </c>
      <c r="BL117" t="s">
        <v>134</v>
      </c>
      <c r="BM117" t="s">
        <v>134</v>
      </c>
      <c r="BN117" t="s">
        <v>134</v>
      </c>
      <c r="BO117" t="s">
        <v>134</v>
      </c>
      <c r="BP117" t="s">
        <v>134</v>
      </c>
      <c r="BQ117" t="s">
        <v>134</v>
      </c>
      <c r="BR117" t="s">
        <v>134</v>
      </c>
      <c r="BS117" t="s">
        <v>134</v>
      </c>
      <c r="BT117" t="s">
        <v>134</v>
      </c>
      <c r="BU117" t="s">
        <v>134</v>
      </c>
      <c r="BV117" t="s">
        <v>134</v>
      </c>
      <c r="BW117" t="s">
        <v>134</v>
      </c>
      <c r="BX117" t="s">
        <v>134</v>
      </c>
      <c r="BY117">
        <v>373.4</v>
      </c>
      <c r="BZ117">
        <v>137.6</v>
      </c>
      <c r="CA117">
        <v>235.8</v>
      </c>
      <c r="CB117" t="s">
        <v>134</v>
      </c>
      <c r="CC117" t="s">
        <v>134</v>
      </c>
      <c r="CD117" t="s">
        <v>134</v>
      </c>
      <c r="CE117" t="s">
        <v>134</v>
      </c>
      <c r="CF117">
        <v>18.994800000000001</v>
      </c>
      <c r="CG117">
        <v>59.711799999999997</v>
      </c>
      <c r="CH117">
        <v>9.8599999999999993E-2</v>
      </c>
      <c r="CI117">
        <v>9.8400000000000001E-2</v>
      </c>
      <c r="CJ117">
        <v>7.1999999999999995E-2</v>
      </c>
      <c r="CK117">
        <v>0.15609999999999999</v>
      </c>
      <c r="CL117">
        <v>0.15579999999999999</v>
      </c>
      <c r="CM117">
        <v>0.11409999999999999</v>
      </c>
      <c r="CN117">
        <v>-17.833500000000001</v>
      </c>
      <c r="CO117">
        <v>-21.7041</v>
      </c>
      <c r="CP117">
        <v>5890.3</v>
      </c>
      <c r="CQ117" t="s">
        <v>134</v>
      </c>
      <c r="CR117">
        <v>2629</v>
      </c>
      <c r="CS117">
        <v>0.57020000000000004</v>
      </c>
      <c r="CT117">
        <v>1.0796000000000001</v>
      </c>
      <c r="CU117">
        <v>0.6714</v>
      </c>
      <c r="CV117">
        <v>3.9802999999999997</v>
      </c>
      <c r="CW117" t="s">
        <v>134</v>
      </c>
      <c r="CX117" t="s">
        <v>134</v>
      </c>
      <c r="CY117" t="s">
        <v>134</v>
      </c>
      <c r="CZ117" t="s">
        <v>134</v>
      </c>
      <c r="DA117" t="s">
        <v>134</v>
      </c>
      <c r="DB117" t="s">
        <v>134</v>
      </c>
      <c r="DC117" t="s">
        <v>134</v>
      </c>
      <c r="DD117" t="s">
        <v>134</v>
      </c>
      <c r="DE117">
        <v>21645.599999999999</v>
      </c>
      <c r="DF117">
        <v>1972.6</v>
      </c>
      <c r="DG117">
        <v>4464.2</v>
      </c>
      <c r="DH117">
        <v>2502</v>
      </c>
      <c r="DI117">
        <v>12706.8</v>
      </c>
    </row>
    <row r="118" spans="1:113" x14ac:dyDescent="0.3">
      <c r="D118" t="s">
        <v>84</v>
      </c>
      <c r="E118" t="s">
        <v>77</v>
      </c>
      <c r="F118">
        <v>7.4894999999999996</v>
      </c>
      <c r="G118">
        <v>4.4386999999999999</v>
      </c>
      <c r="H118">
        <v>8.4134999999999991</v>
      </c>
      <c r="I118">
        <v>6.8014000000000001</v>
      </c>
      <c r="J118">
        <v>16.346800000000002</v>
      </c>
      <c r="K118">
        <v>11.1793</v>
      </c>
      <c r="L118">
        <v>26.189900000000002</v>
      </c>
      <c r="M118">
        <v>11.728400000000001</v>
      </c>
      <c r="N118">
        <v>8.2416</v>
      </c>
      <c r="O118">
        <v>6.4257</v>
      </c>
      <c r="P118">
        <v>6.4257</v>
      </c>
      <c r="Q118">
        <v>29.7301</v>
      </c>
      <c r="R118">
        <v>47.141300000000001</v>
      </c>
      <c r="S118">
        <v>3.9588000000000001</v>
      </c>
      <c r="T118">
        <v>17.441600000000001</v>
      </c>
      <c r="U118">
        <v>21.2622</v>
      </c>
      <c r="V118">
        <v>53.356499999999997</v>
      </c>
      <c r="W118">
        <v>37.217199999999998</v>
      </c>
      <c r="X118">
        <v>37.4101</v>
      </c>
      <c r="Y118">
        <v>28.571400000000001</v>
      </c>
      <c r="Z118">
        <v>0.80730000000000002</v>
      </c>
      <c r="AA118">
        <v>13.6242</v>
      </c>
      <c r="AB118">
        <v>-3.1949999999999998</v>
      </c>
      <c r="AC118">
        <v>8.1544000000000008</v>
      </c>
      <c r="AD118">
        <v>-41.962499999999999</v>
      </c>
      <c r="AE118">
        <v>151.00739999999999</v>
      </c>
      <c r="AF118">
        <v>35.284799999999997</v>
      </c>
      <c r="AG118" t="s">
        <v>134</v>
      </c>
      <c r="AH118">
        <v>53.337600000000002</v>
      </c>
      <c r="AI118">
        <v>4.5015999999999998</v>
      </c>
      <c r="AJ118">
        <v>4.5334000000000003</v>
      </c>
      <c r="AK118">
        <v>4.2949000000000002</v>
      </c>
      <c r="AL118">
        <v>13.2111</v>
      </c>
      <c r="AM118">
        <v>19.3628</v>
      </c>
      <c r="AN118">
        <v>9.1552000000000007</v>
      </c>
      <c r="AO118">
        <v>6.5533000000000001</v>
      </c>
      <c r="AP118">
        <v>3.2349000000000001</v>
      </c>
      <c r="AQ118">
        <v>-1.8319999999999999</v>
      </c>
      <c r="AR118">
        <v>0</v>
      </c>
      <c r="AS118">
        <v>33.395699999999998</v>
      </c>
      <c r="AT118">
        <v>20.0242</v>
      </c>
      <c r="AU118">
        <v>16.197900000000001</v>
      </c>
      <c r="AV118">
        <v>23.521999999999998</v>
      </c>
      <c r="AW118">
        <v>17.7166</v>
      </c>
      <c r="AX118">
        <v>-1.325</v>
      </c>
      <c r="AY118">
        <v>24.227899999999998</v>
      </c>
      <c r="AZ118">
        <v>-100</v>
      </c>
      <c r="BA118">
        <v>-16.761199999999999</v>
      </c>
      <c r="BB118">
        <v>23.502800000000001</v>
      </c>
      <c r="BC118">
        <v>23.357500000000002</v>
      </c>
      <c r="BD118">
        <v>12.785500000000001</v>
      </c>
      <c r="BE118">
        <v>10.783099999999999</v>
      </c>
      <c r="BF118">
        <v>17.441600000000001</v>
      </c>
      <c r="BG118">
        <v>21.2622</v>
      </c>
      <c r="BH118">
        <v>53.356499999999997</v>
      </c>
      <c r="BI118">
        <v>37.217199999999998</v>
      </c>
      <c r="BJ118">
        <v>37.4101</v>
      </c>
      <c r="BK118">
        <v>28.571400000000001</v>
      </c>
      <c r="BL118">
        <v>0.80730000000000002</v>
      </c>
      <c r="BM118">
        <v>13.6242</v>
      </c>
      <c r="BN118">
        <v>-3.1949999999999998</v>
      </c>
      <c r="BO118">
        <v>8.1544000000000008</v>
      </c>
      <c r="BP118">
        <v>-41.962499999999999</v>
      </c>
      <c r="BQ118">
        <v>151.00739999999999</v>
      </c>
      <c r="BR118">
        <v>35.284799999999997</v>
      </c>
      <c r="BS118" t="s">
        <v>134</v>
      </c>
      <c r="BT118">
        <v>53.337600000000002</v>
      </c>
      <c r="BU118">
        <v>4.5015999999999998</v>
      </c>
      <c r="BV118">
        <v>4.5334000000000003</v>
      </c>
      <c r="BW118">
        <v>4.2949000000000002</v>
      </c>
      <c r="BX118">
        <v>13.2111</v>
      </c>
      <c r="BY118">
        <v>241.2</v>
      </c>
      <c r="BZ118">
        <v>0</v>
      </c>
      <c r="CA118">
        <v>241.2</v>
      </c>
      <c r="CB118">
        <v>6.3E-3</v>
      </c>
      <c r="CC118">
        <v>-1.5901999999999998</v>
      </c>
      <c r="CD118">
        <v>9.1000000000000004E-3</v>
      </c>
      <c r="CE118">
        <v>-2.3252999999999999</v>
      </c>
      <c r="CF118">
        <v>19.651499999999999</v>
      </c>
      <c r="CG118">
        <v>58.230899999999998</v>
      </c>
      <c r="CH118">
        <v>9.5399999999999999E-2</v>
      </c>
      <c r="CI118">
        <v>9.5299999999999996E-2</v>
      </c>
      <c r="CJ118">
        <v>6.7900000000000002E-2</v>
      </c>
      <c r="CK118">
        <v>9.5399999999999999E-2</v>
      </c>
      <c r="CL118">
        <v>9.5299999999999996E-2</v>
      </c>
      <c r="CM118">
        <v>6.7900000000000002E-2</v>
      </c>
      <c r="CN118">
        <v>-24.265899999999998</v>
      </c>
      <c r="CO118">
        <v>-32.040900000000001</v>
      </c>
      <c r="CP118">
        <v>38575.800000000003</v>
      </c>
      <c r="CQ118">
        <v>27518.6</v>
      </c>
      <c r="CR118">
        <v>26381.3</v>
      </c>
      <c r="CS118">
        <v>0.69450000000000001</v>
      </c>
      <c r="CT118">
        <v>1.2490999999999999</v>
      </c>
      <c r="CU118">
        <v>0.79949999999999999</v>
      </c>
      <c r="CV118">
        <v>4.5324999999999998</v>
      </c>
      <c r="CW118">
        <v>25.434799999999999</v>
      </c>
      <c r="CX118">
        <v>14.3504</v>
      </c>
      <c r="CY118">
        <v>1.5815999999999999</v>
      </c>
      <c r="CZ118">
        <v>230.77600000000001</v>
      </c>
      <c r="DA118">
        <v>1.6231</v>
      </c>
      <c r="DB118">
        <v>224.8759</v>
      </c>
      <c r="DC118">
        <v>20.250499999999999</v>
      </c>
      <c r="DD118">
        <v>245.12639999999999</v>
      </c>
      <c r="DE118">
        <v>24582.7</v>
      </c>
      <c r="DF118">
        <v>2111.8000000000002</v>
      </c>
      <c r="DG118">
        <v>5344.1</v>
      </c>
      <c r="DH118">
        <v>2397</v>
      </c>
      <c r="DI118">
        <v>14729.8</v>
      </c>
    </row>
    <row r="119" spans="1:113" x14ac:dyDescent="0.3">
      <c r="E119" t="s">
        <v>78</v>
      </c>
      <c r="F119" t="s">
        <v>134</v>
      </c>
      <c r="G119" t="s">
        <v>134</v>
      </c>
      <c r="H119" t="s">
        <v>134</v>
      </c>
      <c r="I119" t="s">
        <v>134</v>
      </c>
      <c r="J119">
        <v>14.363</v>
      </c>
      <c r="K119">
        <v>8.8121000000000009</v>
      </c>
      <c r="L119" t="s">
        <v>134</v>
      </c>
      <c r="M119">
        <v>9.0853999999999999</v>
      </c>
      <c r="N119">
        <v>7.0484</v>
      </c>
      <c r="O119">
        <v>5.1761999999999997</v>
      </c>
      <c r="P119">
        <v>5.1761999999999997</v>
      </c>
      <c r="Q119">
        <v>22.420300000000001</v>
      </c>
      <c r="R119" t="s">
        <v>134</v>
      </c>
      <c r="S119" t="s">
        <v>134</v>
      </c>
      <c r="T119" t="s">
        <v>134</v>
      </c>
      <c r="U119" t="s">
        <v>134</v>
      </c>
      <c r="V119" t="s">
        <v>134</v>
      </c>
      <c r="W119" t="s">
        <v>134</v>
      </c>
      <c r="X119" t="s">
        <v>134</v>
      </c>
      <c r="Y119" t="s">
        <v>134</v>
      </c>
      <c r="Z119" t="s">
        <v>134</v>
      </c>
      <c r="AA119" t="s">
        <v>134</v>
      </c>
      <c r="AB119" t="s">
        <v>134</v>
      </c>
      <c r="AC119" t="s">
        <v>134</v>
      </c>
      <c r="AD119" t="s">
        <v>134</v>
      </c>
      <c r="AE119" t="s">
        <v>134</v>
      </c>
      <c r="AF119" t="s">
        <v>134</v>
      </c>
      <c r="AG119" t="s">
        <v>134</v>
      </c>
      <c r="AH119" t="s">
        <v>134</v>
      </c>
      <c r="AI119" t="s">
        <v>134</v>
      </c>
      <c r="AJ119" t="s">
        <v>134</v>
      </c>
      <c r="AK119" t="s">
        <v>134</v>
      </c>
      <c r="AL119" t="s">
        <v>134</v>
      </c>
      <c r="AM119" t="s">
        <v>134</v>
      </c>
      <c r="AN119" t="s">
        <v>134</v>
      </c>
      <c r="AO119" t="s">
        <v>134</v>
      </c>
      <c r="AP119" t="s">
        <v>134</v>
      </c>
      <c r="AQ119" t="s">
        <v>134</v>
      </c>
      <c r="AR119" t="s">
        <v>134</v>
      </c>
      <c r="AS119" t="s">
        <v>134</v>
      </c>
      <c r="AT119" t="s">
        <v>134</v>
      </c>
      <c r="AU119" t="s">
        <v>134</v>
      </c>
      <c r="AV119" t="s">
        <v>134</v>
      </c>
      <c r="AW119" t="s">
        <v>134</v>
      </c>
      <c r="AX119" t="s">
        <v>134</v>
      </c>
      <c r="AY119" t="s">
        <v>134</v>
      </c>
      <c r="AZ119" t="s">
        <v>134</v>
      </c>
      <c r="BA119" t="s">
        <v>134</v>
      </c>
      <c r="BB119" t="s">
        <v>134</v>
      </c>
      <c r="BC119" t="s">
        <v>134</v>
      </c>
      <c r="BD119" t="s">
        <v>134</v>
      </c>
      <c r="BE119" t="s">
        <v>134</v>
      </c>
      <c r="BF119">
        <v>15.0365</v>
      </c>
      <c r="BG119">
        <v>29.299399999999999</v>
      </c>
      <c r="BH119">
        <v>65.424499999999995</v>
      </c>
      <c r="BI119">
        <v>29.772100000000002</v>
      </c>
      <c r="BJ119">
        <v>30.0885</v>
      </c>
      <c r="BK119" t="s">
        <v>134</v>
      </c>
      <c r="BL119" t="s">
        <v>134</v>
      </c>
      <c r="BM119" t="s">
        <v>134</v>
      </c>
      <c r="BN119" t="s">
        <v>134</v>
      </c>
      <c r="BO119" t="s">
        <v>134</v>
      </c>
      <c r="BP119" t="s">
        <v>134</v>
      </c>
      <c r="BQ119" t="s">
        <v>134</v>
      </c>
      <c r="BR119" t="s">
        <v>134</v>
      </c>
      <c r="BS119" t="s">
        <v>134</v>
      </c>
      <c r="BT119" t="s">
        <v>134</v>
      </c>
      <c r="BU119" t="s">
        <v>134</v>
      </c>
      <c r="BV119" t="s">
        <v>134</v>
      </c>
      <c r="BW119" t="s">
        <v>134</v>
      </c>
      <c r="BX119" t="s">
        <v>134</v>
      </c>
      <c r="BY119" t="s">
        <v>134</v>
      </c>
      <c r="BZ119" t="s">
        <v>134</v>
      </c>
      <c r="CA119" t="s">
        <v>134</v>
      </c>
      <c r="CB119" t="s">
        <v>134</v>
      </c>
      <c r="CC119" t="s">
        <v>134</v>
      </c>
      <c r="CD119" t="s">
        <v>134</v>
      </c>
      <c r="CE119" t="s">
        <v>134</v>
      </c>
      <c r="CF119">
        <v>13.0617</v>
      </c>
      <c r="CG119" t="s">
        <v>134</v>
      </c>
      <c r="CH119" t="s">
        <v>134</v>
      </c>
      <c r="CI119" t="s">
        <v>134</v>
      </c>
      <c r="CJ119" t="s">
        <v>134</v>
      </c>
      <c r="CK119" t="s">
        <v>134</v>
      </c>
      <c r="CL119" t="s">
        <v>134</v>
      </c>
      <c r="CM119" t="s">
        <v>134</v>
      </c>
      <c r="CN119" t="s">
        <v>134</v>
      </c>
      <c r="CO119" t="s">
        <v>134</v>
      </c>
      <c r="CP119">
        <v>8089.1</v>
      </c>
      <c r="CQ119" t="s">
        <v>134</v>
      </c>
      <c r="CR119">
        <v>4962.8999999999996</v>
      </c>
      <c r="CS119" t="s">
        <v>134</v>
      </c>
      <c r="CT119" t="s">
        <v>134</v>
      </c>
      <c r="CU119" t="s">
        <v>134</v>
      </c>
      <c r="CV119" t="s">
        <v>134</v>
      </c>
      <c r="CW119" t="s">
        <v>134</v>
      </c>
      <c r="CX119" t="s">
        <v>134</v>
      </c>
      <c r="CY119" t="s">
        <v>134</v>
      </c>
      <c r="CZ119" t="s">
        <v>134</v>
      </c>
      <c r="DA119" t="s">
        <v>134</v>
      </c>
      <c r="DB119" t="s">
        <v>134</v>
      </c>
      <c r="DC119" t="s">
        <v>134</v>
      </c>
      <c r="DD119" t="s">
        <v>134</v>
      </c>
      <c r="DE119" t="s">
        <v>134</v>
      </c>
      <c r="DF119" t="s">
        <v>134</v>
      </c>
      <c r="DG119" t="s">
        <v>134</v>
      </c>
      <c r="DH119" t="s">
        <v>134</v>
      </c>
      <c r="DI119" t="s">
        <v>134</v>
      </c>
    </row>
    <row r="120" spans="1:113" x14ac:dyDescent="0.3">
      <c r="E120" t="s">
        <v>79</v>
      </c>
      <c r="F120" t="s">
        <v>134</v>
      </c>
      <c r="G120" t="s">
        <v>134</v>
      </c>
      <c r="H120" t="s">
        <v>134</v>
      </c>
      <c r="I120" t="s">
        <v>134</v>
      </c>
      <c r="J120">
        <v>20.992699999999999</v>
      </c>
      <c r="K120">
        <v>15.9869</v>
      </c>
      <c r="L120" t="s">
        <v>134</v>
      </c>
      <c r="M120">
        <v>16.7379</v>
      </c>
      <c r="N120">
        <v>11.6876</v>
      </c>
      <c r="O120">
        <v>9.0352999999999994</v>
      </c>
      <c r="P120">
        <v>9.0352999999999994</v>
      </c>
      <c r="Q120">
        <v>30.173100000000002</v>
      </c>
      <c r="R120" t="s">
        <v>134</v>
      </c>
      <c r="S120" t="s">
        <v>134</v>
      </c>
      <c r="T120" t="s">
        <v>134</v>
      </c>
      <c r="U120" t="s">
        <v>134</v>
      </c>
      <c r="V120" t="s">
        <v>134</v>
      </c>
      <c r="W120" t="s">
        <v>134</v>
      </c>
      <c r="X120" t="s">
        <v>134</v>
      </c>
      <c r="Y120" t="s">
        <v>134</v>
      </c>
      <c r="Z120" t="s">
        <v>134</v>
      </c>
      <c r="AA120" t="s">
        <v>134</v>
      </c>
      <c r="AB120" t="s">
        <v>134</v>
      </c>
      <c r="AC120" t="s">
        <v>134</v>
      </c>
      <c r="AD120" t="s">
        <v>134</v>
      </c>
      <c r="AE120" t="s">
        <v>134</v>
      </c>
      <c r="AF120" t="s">
        <v>134</v>
      </c>
      <c r="AG120" t="s">
        <v>134</v>
      </c>
      <c r="AH120" t="s">
        <v>134</v>
      </c>
      <c r="AI120" t="s">
        <v>134</v>
      </c>
      <c r="AJ120" t="s">
        <v>134</v>
      </c>
      <c r="AK120" t="s">
        <v>134</v>
      </c>
      <c r="AL120" t="s">
        <v>134</v>
      </c>
      <c r="AM120" t="s">
        <v>134</v>
      </c>
      <c r="AN120" t="s">
        <v>134</v>
      </c>
      <c r="AO120" t="s">
        <v>134</v>
      </c>
      <c r="AP120" t="s">
        <v>134</v>
      </c>
      <c r="AQ120" t="s">
        <v>134</v>
      </c>
      <c r="AR120" t="s">
        <v>134</v>
      </c>
      <c r="AS120" t="s">
        <v>134</v>
      </c>
      <c r="AT120" t="s">
        <v>134</v>
      </c>
      <c r="AU120" t="s">
        <v>134</v>
      </c>
      <c r="AV120" t="s">
        <v>134</v>
      </c>
      <c r="AW120" t="s">
        <v>134</v>
      </c>
      <c r="AX120" t="s">
        <v>134</v>
      </c>
      <c r="AY120" t="s">
        <v>134</v>
      </c>
      <c r="AZ120" t="s">
        <v>134</v>
      </c>
      <c r="BA120" t="s">
        <v>134</v>
      </c>
      <c r="BB120" t="s">
        <v>134</v>
      </c>
      <c r="BC120" t="s">
        <v>134</v>
      </c>
      <c r="BD120" t="s">
        <v>134</v>
      </c>
      <c r="BE120" t="s">
        <v>134</v>
      </c>
      <c r="BF120">
        <v>7.6204000000000001</v>
      </c>
      <c r="BG120">
        <v>59.482500000000002</v>
      </c>
      <c r="BH120">
        <v>97.9589</v>
      </c>
      <c r="BI120">
        <v>90.467200000000005</v>
      </c>
      <c r="BJ120">
        <v>90.476200000000006</v>
      </c>
      <c r="BK120" t="s">
        <v>134</v>
      </c>
      <c r="BL120" t="s">
        <v>134</v>
      </c>
      <c r="BM120" t="s">
        <v>134</v>
      </c>
      <c r="BN120" t="s">
        <v>134</v>
      </c>
      <c r="BO120" t="s">
        <v>134</v>
      </c>
      <c r="BP120" t="s">
        <v>134</v>
      </c>
      <c r="BQ120" t="s">
        <v>134</v>
      </c>
      <c r="BR120" t="s">
        <v>134</v>
      </c>
      <c r="BS120" t="s">
        <v>134</v>
      </c>
      <c r="BT120" t="s">
        <v>134</v>
      </c>
      <c r="BU120" t="s">
        <v>134</v>
      </c>
      <c r="BV120" t="s">
        <v>134</v>
      </c>
      <c r="BW120" t="s">
        <v>134</v>
      </c>
      <c r="BX120" t="s">
        <v>134</v>
      </c>
      <c r="BY120">
        <v>161.4</v>
      </c>
      <c r="BZ120" t="s">
        <v>134</v>
      </c>
      <c r="CA120">
        <v>161.4</v>
      </c>
      <c r="CB120">
        <v>4.8999999999999998E-3</v>
      </c>
      <c r="CC120">
        <v>-1.4883</v>
      </c>
      <c r="CD120">
        <v>7.7999999999999996E-3</v>
      </c>
      <c r="CE120">
        <v>-2.3996</v>
      </c>
      <c r="CF120">
        <v>33.877899999999997</v>
      </c>
      <c r="CG120">
        <v>59.046199999999999</v>
      </c>
      <c r="CH120">
        <v>6.5500000000000003E-2</v>
      </c>
      <c r="CI120">
        <v>6.5500000000000003E-2</v>
      </c>
      <c r="CJ120">
        <v>4.7600000000000003E-2</v>
      </c>
      <c r="CK120">
        <v>6.5500000000000003E-2</v>
      </c>
      <c r="CL120">
        <v>6.5500000000000003E-2</v>
      </c>
      <c r="CM120">
        <v>4.7600000000000003E-2</v>
      </c>
      <c r="CN120">
        <v>-20.042000000000002</v>
      </c>
      <c r="CO120">
        <v>-25.0656</v>
      </c>
      <c r="CP120">
        <v>12900.7</v>
      </c>
      <c r="CQ120" t="s">
        <v>134</v>
      </c>
      <c r="CR120">
        <v>9824.5</v>
      </c>
      <c r="CS120">
        <v>0.64039999999999997</v>
      </c>
      <c r="CT120">
        <v>1.2603</v>
      </c>
      <c r="CU120">
        <v>0.79890000000000005</v>
      </c>
      <c r="CV120">
        <v>5.5652999999999997</v>
      </c>
      <c r="CW120" t="s">
        <v>134</v>
      </c>
      <c r="CX120" t="s">
        <v>134</v>
      </c>
      <c r="CY120" t="s">
        <v>134</v>
      </c>
      <c r="CZ120" t="s">
        <v>134</v>
      </c>
      <c r="DA120" t="s">
        <v>134</v>
      </c>
      <c r="DB120" t="s">
        <v>134</v>
      </c>
      <c r="DC120" t="s">
        <v>134</v>
      </c>
      <c r="DD120" t="s">
        <v>134</v>
      </c>
      <c r="DE120">
        <v>24568.5</v>
      </c>
      <c r="DF120" t="s">
        <v>134</v>
      </c>
      <c r="DG120" t="s">
        <v>134</v>
      </c>
      <c r="DH120" t="s">
        <v>134</v>
      </c>
      <c r="DI120" t="s">
        <v>134</v>
      </c>
    </row>
    <row r="121" spans="1:113" x14ac:dyDescent="0.3">
      <c r="E121" t="s">
        <v>80</v>
      </c>
      <c r="F121" t="s">
        <v>134</v>
      </c>
      <c r="G121" t="s">
        <v>134</v>
      </c>
      <c r="H121" t="s">
        <v>134</v>
      </c>
      <c r="I121" t="s">
        <v>134</v>
      </c>
      <c r="J121">
        <v>14.3725</v>
      </c>
      <c r="K121">
        <v>8.8475000000000001</v>
      </c>
      <c r="L121">
        <v>21.802399999999999</v>
      </c>
      <c r="M121">
        <v>9.2982999999999993</v>
      </c>
      <c r="N121">
        <v>6.5334000000000003</v>
      </c>
      <c r="O121">
        <v>4.8467000000000002</v>
      </c>
      <c r="P121">
        <v>4.8467000000000002</v>
      </c>
      <c r="Q121">
        <v>29.7364</v>
      </c>
      <c r="R121" t="s">
        <v>134</v>
      </c>
      <c r="S121" t="s">
        <v>134</v>
      </c>
      <c r="T121">
        <v>20.247299999999999</v>
      </c>
      <c r="U121">
        <v>30.5124</v>
      </c>
      <c r="V121">
        <v>70.919399999999996</v>
      </c>
      <c r="W121">
        <v>37.570599999999999</v>
      </c>
      <c r="X121">
        <v>-30.989100000000001</v>
      </c>
      <c r="Y121" t="s">
        <v>134</v>
      </c>
      <c r="Z121" t="s">
        <v>134</v>
      </c>
      <c r="AA121" t="s">
        <v>134</v>
      </c>
      <c r="AB121" t="s">
        <v>134</v>
      </c>
      <c r="AC121" t="s">
        <v>134</v>
      </c>
      <c r="AD121" t="s">
        <v>134</v>
      </c>
      <c r="AE121" t="s">
        <v>134</v>
      </c>
      <c r="AF121" t="s">
        <v>134</v>
      </c>
      <c r="AG121" t="s">
        <v>134</v>
      </c>
      <c r="AH121" t="s">
        <v>134</v>
      </c>
      <c r="AI121" t="s">
        <v>134</v>
      </c>
      <c r="AJ121" t="s">
        <v>134</v>
      </c>
      <c r="AK121" t="s">
        <v>134</v>
      </c>
      <c r="AL121" t="s">
        <v>134</v>
      </c>
      <c r="AM121" t="s">
        <v>134</v>
      </c>
      <c r="AN121" t="s">
        <v>134</v>
      </c>
      <c r="AO121" t="s">
        <v>134</v>
      </c>
      <c r="AP121" t="s">
        <v>134</v>
      </c>
      <c r="AQ121" t="s">
        <v>134</v>
      </c>
      <c r="AR121" t="s">
        <v>134</v>
      </c>
      <c r="AS121" t="s">
        <v>134</v>
      </c>
      <c r="AT121" t="s">
        <v>134</v>
      </c>
      <c r="AU121" t="s">
        <v>134</v>
      </c>
      <c r="AV121" t="s">
        <v>134</v>
      </c>
      <c r="AW121" t="s">
        <v>134</v>
      </c>
      <c r="AX121" t="s">
        <v>134</v>
      </c>
      <c r="AY121" t="s">
        <v>134</v>
      </c>
      <c r="AZ121" t="s">
        <v>134</v>
      </c>
      <c r="BA121" t="s">
        <v>134</v>
      </c>
      <c r="BB121" t="s">
        <v>134</v>
      </c>
      <c r="BC121" t="s">
        <v>134</v>
      </c>
      <c r="BD121" t="s">
        <v>134</v>
      </c>
      <c r="BE121" t="s">
        <v>134</v>
      </c>
      <c r="BF121">
        <v>-15.188499999999999</v>
      </c>
      <c r="BG121">
        <v>-40.097000000000001</v>
      </c>
      <c r="BH121">
        <v>-51.578200000000002</v>
      </c>
      <c r="BI121">
        <v>-63.716900000000003</v>
      </c>
      <c r="BJ121">
        <v>-81.875100000000003</v>
      </c>
      <c r="BK121" t="s">
        <v>134</v>
      </c>
      <c r="BL121" t="s">
        <v>134</v>
      </c>
      <c r="BM121" t="s">
        <v>134</v>
      </c>
      <c r="BN121" t="s">
        <v>134</v>
      </c>
      <c r="BO121" t="s">
        <v>134</v>
      </c>
      <c r="BP121" t="s">
        <v>134</v>
      </c>
      <c r="BQ121" t="s">
        <v>134</v>
      </c>
      <c r="BR121" t="s">
        <v>134</v>
      </c>
      <c r="BS121" t="s">
        <v>134</v>
      </c>
      <c r="BT121" t="s">
        <v>134</v>
      </c>
      <c r="BU121" t="s">
        <v>134</v>
      </c>
      <c r="BV121" t="s">
        <v>134</v>
      </c>
      <c r="BW121" t="s">
        <v>134</v>
      </c>
      <c r="BX121" t="s">
        <v>134</v>
      </c>
      <c r="BY121" t="s">
        <v>134</v>
      </c>
      <c r="BZ121" t="s">
        <v>134</v>
      </c>
      <c r="CA121" t="s">
        <v>134</v>
      </c>
      <c r="CB121" t="s">
        <v>134</v>
      </c>
      <c r="CC121" t="s">
        <v>134</v>
      </c>
      <c r="CD121" t="s">
        <v>134</v>
      </c>
      <c r="CE121" t="s">
        <v>134</v>
      </c>
      <c r="CF121">
        <v>14.985300000000001</v>
      </c>
      <c r="CG121" t="s">
        <v>134</v>
      </c>
      <c r="CH121" t="s">
        <v>134</v>
      </c>
      <c r="CI121" t="s">
        <v>134</v>
      </c>
      <c r="CJ121" t="s">
        <v>134</v>
      </c>
      <c r="CK121" t="s">
        <v>134</v>
      </c>
      <c r="CL121" t="s">
        <v>134</v>
      </c>
      <c r="CM121" t="s">
        <v>134</v>
      </c>
      <c r="CN121" t="s">
        <v>134</v>
      </c>
      <c r="CO121" t="s">
        <v>134</v>
      </c>
      <c r="CP121">
        <v>7727.9</v>
      </c>
      <c r="CQ121" t="s">
        <v>134</v>
      </c>
      <c r="CR121">
        <v>4757.2</v>
      </c>
      <c r="CS121" t="s">
        <v>134</v>
      </c>
      <c r="CT121" t="s">
        <v>134</v>
      </c>
      <c r="CU121" t="s">
        <v>134</v>
      </c>
      <c r="CV121" t="s">
        <v>134</v>
      </c>
      <c r="CW121" t="s">
        <v>134</v>
      </c>
      <c r="CX121" t="s">
        <v>134</v>
      </c>
      <c r="CY121" t="s">
        <v>134</v>
      </c>
      <c r="CZ121" t="s">
        <v>134</v>
      </c>
      <c r="DA121" t="s">
        <v>134</v>
      </c>
      <c r="DB121" t="s">
        <v>134</v>
      </c>
      <c r="DC121" t="s">
        <v>134</v>
      </c>
      <c r="DD121" t="s">
        <v>134</v>
      </c>
      <c r="DE121" t="s">
        <v>134</v>
      </c>
      <c r="DF121" t="s">
        <v>134</v>
      </c>
      <c r="DG121" t="s">
        <v>134</v>
      </c>
      <c r="DH121" t="s">
        <v>134</v>
      </c>
      <c r="DI121" t="s">
        <v>134</v>
      </c>
    </row>
    <row r="122" spans="1:113" x14ac:dyDescent="0.3">
      <c r="E122" t="s">
        <v>81</v>
      </c>
      <c r="F122">
        <v>8.2944999999999993</v>
      </c>
      <c r="G122">
        <v>4.9157999999999999</v>
      </c>
      <c r="H122" t="s">
        <v>134</v>
      </c>
      <c r="I122">
        <v>6.8052000000000001</v>
      </c>
      <c r="J122">
        <v>15.9756</v>
      </c>
      <c r="K122">
        <v>11.0793</v>
      </c>
      <c r="L122">
        <v>30.091899999999999</v>
      </c>
      <c r="M122">
        <v>11.789400000000001</v>
      </c>
      <c r="N122">
        <v>7.7526000000000002</v>
      </c>
      <c r="O122">
        <v>6.6279000000000003</v>
      </c>
      <c r="P122">
        <v>6.6279000000000003</v>
      </c>
      <c r="Q122">
        <v>34.241</v>
      </c>
      <c r="R122" t="s">
        <v>134</v>
      </c>
      <c r="S122" t="s">
        <v>134</v>
      </c>
      <c r="T122">
        <v>26.042200000000001</v>
      </c>
      <c r="U122">
        <v>57.575800000000001</v>
      </c>
      <c r="V122">
        <v>127.8824</v>
      </c>
      <c r="W122">
        <v>82.064599999999999</v>
      </c>
      <c r="X122">
        <v>82.300899999999999</v>
      </c>
      <c r="Y122" t="s">
        <v>134</v>
      </c>
      <c r="Z122">
        <v>0.80730000000000002</v>
      </c>
      <c r="AA122">
        <v>13.6242</v>
      </c>
      <c r="AB122">
        <v>-3.1949999999999998</v>
      </c>
      <c r="AC122">
        <v>8.1544000000000008</v>
      </c>
      <c r="AD122">
        <v>-41.962499999999999</v>
      </c>
      <c r="AE122">
        <v>151.00739999999999</v>
      </c>
      <c r="AF122">
        <v>35.284799999999997</v>
      </c>
      <c r="AG122" t="s">
        <v>134</v>
      </c>
      <c r="AH122">
        <v>53.337600000000002</v>
      </c>
      <c r="AI122">
        <v>4.5015999999999998</v>
      </c>
      <c r="AJ122">
        <v>4.5334000000000003</v>
      </c>
      <c r="AK122">
        <v>4.2949000000000002</v>
      </c>
      <c r="AL122" t="s">
        <v>134</v>
      </c>
      <c r="AM122" t="s">
        <v>134</v>
      </c>
      <c r="AN122" t="s">
        <v>134</v>
      </c>
      <c r="AO122" t="s">
        <v>134</v>
      </c>
      <c r="AP122" t="s">
        <v>134</v>
      </c>
      <c r="AQ122" t="s">
        <v>134</v>
      </c>
      <c r="AR122" t="s">
        <v>134</v>
      </c>
      <c r="AS122" t="s">
        <v>134</v>
      </c>
      <c r="AT122" t="s">
        <v>134</v>
      </c>
      <c r="AU122" t="s">
        <v>134</v>
      </c>
      <c r="AV122" t="s">
        <v>134</v>
      </c>
      <c r="AW122" t="s">
        <v>134</v>
      </c>
      <c r="AX122" t="s">
        <v>134</v>
      </c>
      <c r="AY122" t="s">
        <v>134</v>
      </c>
      <c r="AZ122" t="s">
        <v>134</v>
      </c>
      <c r="BA122" t="s">
        <v>134</v>
      </c>
      <c r="BB122" t="s">
        <v>134</v>
      </c>
      <c r="BC122" t="s">
        <v>134</v>
      </c>
      <c r="BD122" t="s">
        <v>134</v>
      </c>
      <c r="BE122" t="s">
        <v>134</v>
      </c>
      <c r="BF122">
        <v>14.7173</v>
      </c>
      <c r="BG122">
        <v>27.565100000000001</v>
      </c>
      <c r="BH122">
        <v>43.712699999999998</v>
      </c>
      <c r="BI122">
        <v>56.941699999999997</v>
      </c>
      <c r="BJ122">
        <v>56.962299999999999</v>
      </c>
      <c r="BK122" t="s">
        <v>134</v>
      </c>
      <c r="BL122" t="s">
        <v>134</v>
      </c>
      <c r="BM122" t="s">
        <v>134</v>
      </c>
      <c r="BN122" t="s">
        <v>134</v>
      </c>
      <c r="BO122" t="s">
        <v>134</v>
      </c>
      <c r="BP122" t="s">
        <v>134</v>
      </c>
      <c r="BQ122" t="s">
        <v>134</v>
      </c>
      <c r="BR122" t="s">
        <v>134</v>
      </c>
      <c r="BS122" t="s">
        <v>134</v>
      </c>
      <c r="BT122" t="s">
        <v>134</v>
      </c>
      <c r="BU122" t="s">
        <v>134</v>
      </c>
      <c r="BV122" t="s">
        <v>134</v>
      </c>
      <c r="BW122" t="s">
        <v>134</v>
      </c>
      <c r="BX122" t="s">
        <v>134</v>
      </c>
      <c r="BY122">
        <v>241.2</v>
      </c>
      <c r="BZ122">
        <v>0</v>
      </c>
      <c r="CA122">
        <v>241.2</v>
      </c>
      <c r="CB122">
        <v>6.3E-3</v>
      </c>
      <c r="CC122">
        <v>-1.5901999999999998</v>
      </c>
      <c r="CD122">
        <v>9.1000000000000004E-3</v>
      </c>
      <c r="CE122">
        <v>-2.3252999999999999</v>
      </c>
      <c r="CF122">
        <v>18.188400000000001</v>
      </c>
      <c r="CG122">
        <v>58.230899999999998</v>
      </c>
      <c r="CH122">
        <v>9.5399999999999999E-2</v>
      </c>
      <c r="CI122">
        <v>9.5299999999999996E-2</v>
      </c>
      <c r="CJ122">
        <v>6.7900000000000002E-2</v>
      </c>
      <c r="CK122">
        <v>9.5399999999999999E-2</v>
      </c>
      <c r="CL122">
        <v>9.5299999999999996E-2</v>
      </c>
      <c r="CM122">
        <v>6.7900000000000002E-2</v>
      </c>
      <c r="CN122">
        <v>-24.265899999999998</v>
      </c>
      <c r="CO122">
        <v>-32.040900000000001</v>
      </c>
      <c r="CP122">
        <v>9858.1</v>
      </c>
      <c r="CQ122" t="s">
        <v>134</v>
      </c>
      <c r="CR122">
        <v>6836.7</v>
      </c>
      <c r="CS122">
        <v>0.69450000000000001</v>
      </c>
      <c r="CT122">
        <v>1.2490999999999999</v>
      </c>
      <c r="CU122">
        <v>0.79949999999999999</v>
      </c>
      <c r="CV122">
        <v>4.5324999999999998</v>
      </c>
      <c r="CW122">
        <v>25.436199999999999</v>
      </c>
      <c r="CX122">
        <v>14.349600000000001</v>
      </c>
      <c r="CY122">
        <v>1.2349000000000001</v>
      </c>
      <c r="CZ122">
        <v>295.5693</v>
      </c>
      <c r="DA122">
        <v>1.2939000000000001</v>
      </c>
      <c r="DB122">
        <v>282.10180000000003</v>
      </c>
      <c r="DC122">
        <v>27.8171</v>
      </c>
      <c r="DD122">
        <v>309.91890000000001</v>
      </c>
      <c r="DE122">
        <v>24582.7</v>
      </c>
      <c r="DF122">
        <v>2111.8000000000002</v>
      </c>
      <c r="DG122">
        <v>5344.1</v>
      </c>
      <c r="DH122">
        <v>2397</v>
      </c>
      <c r="DI122">
        <v>14729.8</v>
      </c>
    </row>
    <row r="123" spans="1:113" x14ac:dyDescent="0.3">
      <c r="D123" t="s">
        <v>85</v>
      </c>
      <c r="E123" t="s">
        <v>77</v>
      </c>
      <c r="F123">
        <v>10.1174</v>
      </c>
      <c r="G123">
        <v>5.9775</v>
      </c>
      <c r="H123">
        <v>11.6381</v>
      </c>
      <c r="I123">
        <v>10.2094</v>
      </c>
      <c r="J123">
        <v>15.4383</v>
      </c>
      <c r="K123">
        <v>11.007</v>
      </c>
      <c r="L123">
        <v>9.3823000000000008</v>
      </c>
      <c r="M123">
        <v>11.2075</v>
      </c>
      <c r="N123">
        <v>11.4154</v>
      </c>
      <c r="O123">
        <v>8.3613999999999997</v>
      </c>
      <c r="P123">
        <v>8.3613999999999997</v>
      </c>
      <c r="Q123" t="s">
        <v>134</v>
      </c>
      <c r="R123">
        <v>13.6792</v>
      </c>
      <c r="S123">
        <v>8.7333999999999996</v>
      </c>
      <c r="T123">
        <v>10.3024</v>
      </c>
      <c r="U123">
        <v>4.2173999999999996</v>
      </c>
      <c r="V123">
        <v>8.6501000000000001</v>
      </c>
      <c r="W123">
        <v>43.593899999999998</v>
      </c>
      <c r="X123">
        <v>43.455500000000001</v>
      </c>
      <c r="Y123">
        <v>-58.333300000000001</v>
      </c>
      <c r="Z123">
        <v>40.042700000000004</v>
      </c>
      <c r="AA123">
        <v>20.324000000000002</v>
      </c>
      <c r="AB123">
        <v>0.43309999999999998</v>
      </c>
      <c r="AC123">
        <v>5.1468999999999996</v>
      </c>
      <c r="AD123">
        <v>118.9355</v>
      </c>
      <c r="AE123">
        <v>81.632599999999996</v>
      </c>
      <c r="AF123">
        <v>6.7538999999999998</v>
      </c>
      <c r="AG123" t="s">
        <v>134</v>
      </c>
      <c r="AH123">
        <v>64.510800000000003</v>
      </c>
      <c r="AI123">
        <v>9.1830999999999996</v>
      </c>
      <c r="AJ123">
        <v>9.2359000000000009</v>
      </c>
      <c r="AK123">
        <v>8.2152999999999992</v>
      </c>
      <c r="AL123">
        <v>-46.6599</v>
      </c>
      <c r="AM123">
        <v>23.375499999999999</v>
      </c>
      <c r="AN123">
        <v>19.3706</v>
      </c>
      <c r="AO123">
        <v>19.7286</v>
      </c>
      <c r="AP123">
        <v>11.235300000000001</v>
      </c>
      <c r="AQ123">
        <v>5.7940000000000005</v>
      </c>
      <c r="AR123">
        <v>-16.062200000000001</v>
      </c>
      <c r="AS123">
        <v>40.873699999999999</v>
      </c>
      <c r="AT123">
        <v>25.8645</v>
      </c>
      <c r="AU123">
        <v>14.920199999999999</v>
      </c>
      <c r="AV123">
        <v>23.576799999999999</v>
      </c>
      <c r="AW123">
        <v>15.290800000000001</v>
      </c>
      <c r="AX123">
        <v>8.5348000000000006</v>
      </c>
      <c r="AY123">
        <v>40.208599999999997</v>
      </c>
      <c r="AZ123">
        <v>-100</v>
      </c>
      <c r="BA123">
        <v>-3.8473999999999999</v>
      </c>
      <c r="BB123">
        <v>23.875399999999999</v>
      </c>
      <c r="BC123">
        <v>23.7849</v>
      </c>
      <c r="BD123">
        <v>12.9778</v>
      </c>
      <c r="BE123">
        <v>4.9497</v>
      </c>
      <c r="BF123">
        <v>10.3024</v>
      </c>
      <c r="BG123">
        <v>4.2173999999999996</v>
      </c>
      <c r="BH123">
        <v>8.6501000000000001</v>
      </c>
      <c r="BI123">
        <v>43.593899999999998</v>
      </c>
      <c r="BJ123">
        <v>43.455500000000001</v>
      </c>
      <c r="BK123">
        <v>-58.333300000000001</v>
      </c>
      <c r="BL123">
        <v>40.042700000000004</v>
      </c>
      <c r="BM123">
        <v>20.324000000000002</v>
      </c>
      <c r="BN123">
        <v>0.43309999999999998</v>
      </c>
      <c r="BO123">
        <v>5.1468999999999996</v>
      </c>
      <c r="BP123">
        <v>118.9355</v>
      </c>
      <c r="BQ123">
        <v>81.632599999999996</v>
      </c>
      <c r="BR123">
        <v>6.7538999999999998</v>
      </c>
      <c r="BS123" t="s">
        <v>134</v>
      </c>
      <c r="BT123">
        <v>64.510800000000003</v>
      </c>
      <c r="BU123">
        <v>9.1830999999999996</v>
      </c>
      <c r="BV123">
        <v>9.2359000000000009</v>
      </c>
      <c r="BW123">
        <v>8.2152999999999992</v>
      </c>
      <c r="BX123">
        <v>-46.6599</v>
      </c>
      <c r="BY123">
        <v>396.8</v>
      </c>
      <c r="BZ123">
        <v>0</v>
      </c>
      <c r="CA123">
        <v>396.8</v>
      </c>
      <c r="CB123">
        <v>9.9000000000000008E-3</v>
      </c>
      <c r="CC123">
        <v>-1.5737000000000001</v>
      </c>
      <c r="CD123">
        <v>1.38E-2</v>
      </c>
      <c r="CE123">
        <v>-2.2071999999999998</v>
      </c>
      <c r="CF123">
        <v>25.995899999999999</v>
      </c>
      <c r="CG123">
        <v>59.909100000000002</v>
      </c>
      <c r="CH123">
        <v>0.14380000000000001</v>
      </c>
      <c r="CI123">
        <v>0.14360000000000001</v>
      </c>
      <c r="CJ123">
        <v>0.10630000000000001</v>
      </c>
      <c r="CK123">
        <v>0.14380000000000001</v>
      </c>
      <c r="CL123">
        <v>0.14360000000000001</v>
      </c>
      <c r="CM123">
        <v>0.10630000000000001</v>
      </c>
      <c r="CN123">
        <v>-22.9208</v>
      </c>
      <c r="CO123">
        <v>-29.736699999999999</v>
      </c>
      <c r="CP123">
        <v>40202.699999999997</v>
      </c>
      <c r="CQ123">
        <v>29122.799999999999</v>
      </c>
      <c r="CR123">
        <v>28663.3</v>
      </c>
      <c r="CS123">
        <v>0.75839999999999996</v>
      </c>
      <c r="CT123">
        <v>1.4798</v>
      </c>
      <c r="CU123">
        <v>0.91379999999999995</v>
      </c>
      <c r="CV123">
        <v>4.2983000000000002</v>
      </c>
      <c r="CW123">
        <v>23.291699999999999</v>
      </c>
      <c r="CX123">
        <v>15.6708</v>
      </c>
      <c r="CY123">
        <v>1.6078000000000001</v>
      </c>
      <c r="CZ123">
        <v>227.01679999999999</v>
      </c>
      <c r="DA123">
        <v>1.6673</v>
      </c>
      <c r="DB123">
        <v>218.9162</v>
      </c>
      <c r="DC123">
        <v>23.7714</v>
      </c>
      <c r="DD123">
        <v>242.6876</v>
      </c>
      <c r="DE123">
        <v>29578.9</v>
      </c>
      <c r="DF123">
        <v>2587.4</v>
      </c>
      <c r="DG123">
        <v>5612.5</v>
      </c>
      <c r="DH123">
        <v>4034.6</v>
      </c>
      <c r="DI123">
        <v>17344.400000000001</v>
      </c>
    </row>
    <row r="124" spans="1:113" x14ac:dyDescent="0.3">
      <c r="E124" t="s">
        <v>78</v>
      </c>
      <c r="F124" t="s">
        <v>134</v>
      </c>
      <c r="G124" t="s">
        <v>134</v>
      </c>
      <c r="H124" t="s">
        <v>134</v>
      </c>
      <c r="I124" t="s">
        <v>134</v>
      </c>
      <c r="J124">
        <v>15.504200000000001</v>
      </c>
      <c r="K124">
        <v>11.0433</v>
      </c>
      <c r="L124">
        <v>28.965699999999998</v>
      </c>
      <c r="M124">
        <v>11.7506</v>
      </c>
      <c r="N124">
        <v>7.9625000000000004</v>
      </c>
      <c r="O124">
        <v>6.0357000000000003</v>
      </c>
      <c r="P124">
        <v>6.0357000000000003</v>
      </c>
      <c r="Q124">
        <v>32.238100000000003</v>
      </c>
      <c r="R124" t="s">
        <v>134</v>
      </c>
      <c r="S124" t="s">
        <v>134</v>
      </c>
      <c r="T124">
        <v>13.1234</v>
      </c>
      <c r="U124">
        <v>23.808599999999998</v>
      </c>
      <c r="V124">
        <v>43.736499999999999</v>
      </c>
      <c r="W124">
        <v>33.740400000000001</v>
      </c>
      <c r="X124">
        <v>33.333300000000001</v>
      </c>
      <c r="Y124" t="s">
        <v>134</v>
      </c>
      <c r="Z124" t="s">
        <v>134</v>
      </c>
      <c r="AA124" t="s">
        <v>134</v>
      </c>
      <c r="AB124" t="s">
        <v>134</v>
      </c>
      <c r="AC124" t="s">
        <v>134</v>
      </c>
      <c r="AD124" t="s">
        <v>134</v>
      </c>
      <c r="AE124" t="s">
        <v>134</v>
      </c>
      <c r="AF124" t="s">
        <v>134</v>
      </c>
      <c r="AG124" t="s">
        <v>134</v>
      </c>
      <c r="AH124" t="s">
        <v>134</v>
      </c>
      <c r="AI124" t="s">
        <v>134</v>
      </c>
      <c r="AJ124" t="s">
        <v>134</v>
      </c>
      <c r="AK124" t="s">
        <v>134</v>
      </c>
      <c r="AL124" t="s">
        <v>134</v>
      </c>
      <c r="AM124" t="s">
        <v>134</v>
      </c>
      <c r="AN124" t="s">
        <v>134</v>
      </c>
      <c r="AO124" t="s">
        <v>134</v>
      </c>
      <c r="AP124" t="s">
        <v>134</v>
      </c>
      <c r="AQ124" t="s">
        <v>134</v>
      </c>
      <c r="AR124" t="s">
        <v>134</v>
      </c>
      <c r="AS124" t="s">
        <v>134</v>
      </c>
      <c r="AT124" t="s">
        <v>134</v>
      </c>
      <c r="AU124" t="s">
        <v>134</v>
      </c>
      <c r="AV124" t="s">
        <v>134</v>
      </c>
      <c r="AW124" t="s">
        <v>134</v>
      </c>
      <c r="AX124" t="s">
        <v>134</v>
      </c>
      <c r="AY124" t="s">
        <v>134</v>
      </c>
      <c r="AZ124" t="s">
        <v>134</v>
      </c>
      <c r="BA124" t="s">
        <v>134</v>
      </c>
      <c r="BB124" t="s">
        <v>134</v>
      </c>
      <c r="BC124" t="s">
        <v>134</v>
      </c>
      <c r="BD124" t="s">
        <v>134</v>
      </c>
      <c r="BE124" t="s">
        <v>134</v>
      </c>
      <c r="BF124">
        <v>4.6420000000000003</v>
      </c>
      <c r="BG124">
        <v>1.5916000000000001</v>
      </c>
      <c r="BH124">
        <v>4.3413000000000004</v>
      </c>
      <c r="BI124">
        <v>-4.6725000000000003</v>
      </c>
      <c r="BJ124">
        <v>-4.8544</v>
      </c>
      <c r="BK124" t="s">
        <v>134</v>
      </c>
      <c r="BL124" t="s">
        <v>134</v>
      </c>
      <c r="BM124" t="s">
        <v>134</v>
      </c>
      <c r="BN124" t="s">
        <v>134</v>
      </c>
      <c r="BO124" t="s">
        <v>134</v>
      </c>
      <c r="BP124" t="s">
        <v>134</v>
      </c>
      <c r="BQ124" t="s">
        <v>134</v>
      </c>
      <c r="BR124" t="s">
        <v>134</v>
      </c>
      <c r="BS124" t="s">
        <v>134</v>
      </c>
      <c r="BT124" t="s">
        <v>134</v>
      </c>
      <c r="BU124" t="s">
        <v>134</v>
      </c>
      <c r="BV124" t="s">
        <v>134</v>
      </c>
      <c r="BW124" t="s">
        <v>134</v>
      </c>
      <c r="BX124" t="s">
        <v>134</v>
      </c>
      <c r="BY124" t="s">
        <v>134</v>
      </c>
      <c r="BZ124" t="s">
        <v>134</v>
      </c>
      <c r="CA124" t="s">
        <v>134</v>
      </c>
      <c r="CB124" t="s">
        <v>134</v>
      </c>
      <c r="CC124" t="s">
        <v>134</v>
      </c>
      <c r="CD124" t="s">
        <v>134</v>
      </c>
      <c r="CE124" t="s">
        <v>134</v>
      </c>
      <c r="CF124">
        <v>22.648099999999999</v>
      </c>
      <c r="CG124" t="s">
        <v>134</v>
      </c>
      <c r="CH124" t="s">
        <v>134</v>
      </c>
      <c r="CI124" t="s">
        <v>134</v>
      </c>
      <c r="CJ124" t="s">
        <v>134</v>
      </c>
      <c r="CK124" t="s">
        <v>134</v>
      </c>
      <c r="CL124" t="s">
        <v>134</v>
      </c>
      <c r="CM124" t="s">
        <v>134</v>
      </c>
      <c r="CN124" t="s">
        <v>134</v>
      </c>
      <c r="CO124" t="s">
        <v>134</v>
      </c>
      <c r="CP124">
        <v>10015</v>
      </c>
      <c r="CQ124" t="s">
        <v>134</v>
      </c>
      <c r="CR124">
        <v>7133.5</v>
      </c>
      <c r="CS124" t="s">
        <v>134</v>
      </c>
      <c r="CT124" t="s">
        <v>134</v>
      </c>
      <c r="CU124" t="s">
        <v>134</v>
      </c>
      <c r="CV124" t="s">
        <v>134</v>
      </c>
      <c r="CW124" t="s">
        <v>134</v>
      </c>
      <c r="CX124" t="s">
        <v>134</v>
      </c>
      <c r="CY124" t="s">
        <v>134</v>
      </c>
      <c r="CZ124" t="s">
        <v>134</v>
      </c>
      <c r="DA124" t="s">
        <v>134</v>
      </c>
      <c r="DB124" t="s">
        <v>134</v>
      </c>
      <c r="DC124" t="s">
        <v>134</v>
      </c>
      <c r="DD124" t="s">
        <v>134</v>
      </c>
      <c r="DE124" t="s">
        <v>134</v>
      </c>
      <c r="DF124" t="s">
        <v>134</v>
      </c>
      <c r="DG124" t="s">
        <v>134</v>
      </c>
      <c r="DH124" t="s">
        <v>134</v>
      </c>
      <c r="DI124" t="s">
        <v>134</v>
      </c>
    </row>
    <row r="125" spans="1:113" x14ac:dyDescent="0.3">
      <c r="E125" t="s">
        <v>79</v>
      </c>
      <c r="F125">
        <v>8.3971999999999998</v>
      </c>
      <c r="G125">
        <v>5.0084999999999997</v>
      </c>
      <c r="H125" t="s">
        <v>134</v>
      </c>
      <c r="I125">
        <v>7.0810000000000004</v>
      </c>
      <c r="J125">
        <v>18.288</v>
      </c>
      <c r="K125">
        <v>14.1023</v>
      </c>
      <c r="L125" t="s">
        <v>134</v>
      </c>
      <c r="M125">
        <v>14.660299999999999</v>
      </c>
      <c r="N125">
        <v>10.0139</v>
      </c>
      <c r="O125">
        <v>10.0139</v>
      </c>
      <c r="P125">
        <v>10.0139</v>
      </c>
      <c r="Q125">
        <v>31.693999999999999</v>
      </c>
      <c r="R125" t="s">
        <v>134</v>
      </c>
      <c r="S125" t="s">
        <v>134</v>
      </c>
      <c r="T125">
        <v>7.8129999999999997</v>
      </c>
      <c r="U125">
        <v>-3.1053000000000002</v>
      </c>
      <c r="V125">
        <v>-1.8871</v>
      </c>
      <c r="W125">
        <v>-4.7031999999999998</v>
      </c>
      <c r="X125">
        <v>-4.7031999999999998</v>
      </c>
      <c r="Y125" t="s">
        <v>134</v>
      </c>
      <c r="Z125">
        <v>14.5977</v>
      </c>
      <c r="AA125">
        <v>31.322600000000001</v>
      </c>
      <c r="AB125">
        <v>-1.2273000000000001</v>
      </c>
      <c r="AC125">
        <v>5.3489000000000004</v>
      </c>
      <c r="AD125">
        <v>32.605400000000003</v>
      </c>
      <c r="AE125">
        <v>44.442</v>
      </c>
      <c r="AF125">
        <v>20.950099999999999</v>
      </c>
      <c r="AG125" t="s">
        <v>134</v>
      </c>
      <c r="AH125">
        <v>87.360600000000005</v>
      </c>
      <c r="AI125">
        <v>3.2441</v>
      </c>
      <c r="AJ125">
        <v>3.2983000000000002</v>
      </c>
      <c r="AK125">
        <v>3.3976999999999999</v>
      </c>
      <c r="AL125" t="s">
        <v>134</v>
      </c>
      <c r="AM125" t="s">
        <v>134</v>
      </c>
      <c r="AN125" t="s">
        <v>134</v>
      </c>
      <c r="AO125" t="s">
        <v>134</v>
      </c>
      <c r="AP125" t="s">
        <v>134</v>
      </c>
      <c r="AQ125" t="s">
        <v>134</v>
      </c>
      <c r="AR125" t="s">
        <v>134</v>
      </c>
      <c r="AS125" t="s">
        <v>134</v>
      </c>
      <c r="AT125" t="s">
        <v>134</v>
      </c>
      <c r="AU125" t="s">
        <v>134</v>
      </c>
      <c r="AV125" t="s">
        <v>134</v>
      </c>
      <c r="AW125" t="s">
        <v>134</v>
      </c>
      <c r="AX125" t="s">
        <v>134</v>
      </c>
      <c r="AY125" t="s">
        <v>134</v>
      </c>
      <c r="AZ125" t="s">
        <v>134</v>
      </c>
      <c r="BA125" t="s">
        <v>134</v>
      </c>
      <c r="BB125" t="s">
        <v>134</v>
      </c>
      <c r="BC125" t="s">
        <v>134</v>
      </c>
      <c r="BD125" t="s">
        <v>134</v>
      </c>
      <c r="BE125" t="s">
        <v>134</v>
      </c>
      <c r="BF125">
        <v>5.8140000000000001</v>
      </c>
      <c r="BG125">
        <v>24.813800000000001</v>
      </c>
      <c r="BH125">
        <v>35.124400000000001</v>
      </c>
      <c r="BI125">
        <v>75.556600000000003</v>
      </c>
      <c r="BJ125">
        <v>75.869</v>
      </c>
      <c r="BK125" t="s">
        <v>134</v>
      </c>
      <c r="BL125" t="s">
        <v>134</v>
      </c>
      <c r="BM125" t="s">
        <v>134</v>
      </c>
      <c r="BN125" t="s">
        <v>134</v>
      </c>
      <c r="BO125" t="s">
        <v>134</v>
      </c>
      <c r="BP125" t="s">
        <v>134</v>
      </c>
      <c r="BQ125" t="s">
        <v>134</v>
      </c>
      <c r="BR125" t="s">
        <v>134</v>
      </c>
      <c r="BS125" t="s">
        <v>134</v>
      </c>
      <c r="BT125" t="s">
        <v>134</v>
      </c>
      <c r="BU125" t="s">
        <v>134</v>
      </c>
      <c r="BV125" t="s">
        <v>134</v>
      </c>
      <c r="BW125" t="s">
        <v>134</v>
      </c>
      <c r="BX125" t="s">
        <v>134</v>
      </c>
      <c r="BY125">
        <v>302.39999999999998</v>
      </c>
      <c r="BZ125">
        <v>0</v>
      </c>
      <c r="CA125">
        <v>302.39999999999998</v>
      </c>
      <c r="CB125">
        <v>7.4999999999999997E-3</v>
      </c>
      <c r="CC125">
        <v>-1.2499</v>
      </c>
      <c r="CD125">
        <v>1.0699999999999999E-2</v>
      </c>
      <c r="CE125">
        <v>-1.7669999999999999</v>
      </c>
      <c r="CF125">
        <v>26.945699999999999</v>
      </c>
      <c r="CG125">
        <v>59.101999999999997</v>
      </c>
      <c r="CH125">
        <v>0.11700000000000001</v>
      </c>
      <c r="CI125">
        <v>0.1169</v>
      </c>
      <c r="CJ125">
        <v>8.4599999999999995E-2</v>
      </c>
      <c r="CK125">
        <v>0.11700000000000001</v>
      </c>
      <c r="CL125">
        <v>0.1169</v>
      </c>
      <c r="CM125">
        <v>8.4599999999999995E-2</v>
      </c>
      <c r="CN125">
        <v>-19.399000000000001</v>
      </c>
      <c r="CO125">
        <v>-24.068000000000001</v>
      </c>
      <c r="CP125">
        <v>12500.1</v>
      </c>
      <c r="CQ125" t="s">
        <v>134</v>
      </c>
      <c r="CR125">
        <v>9639.1</v>
      </c>
      <c r="CS125">
        <v>0.59230000000000005</v>
      </c>
      <c r="CT125">
        <v>1.3413999999999999</v>
      </c>
      <c r="CU125">
        <v>0.75719999999999998</v>
      </c>
      <c r="CV125">
        <v>4.9013999999999998</v>
      </c>
      <c r="CW125">
        <v>18.893000000000001</v>
      </c>
      <c r="CX125">
        <v>19.319299999999998</v>
      </c>
      <c r="CY125">
        <v>1.1163000000000001</v>
      </c>
      <c r="CZ125">
        <v>326.9726</v>
      </c>
      <c r="DA125">
        <v>1.6487000000000001</v>
      </c>
      <c r="DB125">
        <v>221.38759999999999</v>
      </c>
      <c r="DC125">
        <v>124.90430000000001</v>
      </c>
      <c r="DD125">
        <v>346.2919</v>
      </c>
      <c r="DE125">
        <v>32264</v>
      </c>
      <c r="DF125" t="s">
        <v>134</v>
      </c>
      <c r="DG125" t="s">
        <v>134</v>
      </c>
      <c r="DH125" t="s">
        <v>134</v>
      </c>
      <c r="DI125" t="s">
        <v>134</v>
      </c>
    </row>
    <row r="126" spans="1:113" x14ac:dyDescent="0.3">
      <c r="E126" t="s">
        <v>80</v>
      </c>
      <c r="F126" t="s">
        <v>134</v>
      </c>
      <c r="G126" t="s">
        <v>134</v>
      </c>
      <c r="H126" t="s">
        <v>134</v>
      </c>
      <c r="I126" t="s">
        <v>134</v>
      </c>
      <c r="J126">
        <v>13.3589</v>
      </c>
      <c r="K126">
        <v>8.5830000000000002</v>
      </c>
      <c r="L126">
        <v>6.3850999999999996</v>
      </c>
      <c r="M126">
        <v>9.3111999999999995</v>
      </c>
      <c r="N126">
        <v>6.5808999999999997</v>
      </c>
      <c r="O126">
        <v>4.7809999999999997</v>
      </c>
      <c r="P126">
        <v>4.7809999999999997</v>
      </c>
      <c r="Q126">
        <v>29.3231</v>
      </c>
      <c r="R126" t="s">
        <v>134</v>
      </c>
      <c r="S126" t="s">
        <v>134</v>
      </c>
      <c r="T126">
        <v>11.8705</v>
      </c>
      <c r="U126">
        <v>4.0231000000000003</v>
      </c>
      <c r="V126">
        <v>8.5701999999999998</v>
      </c>
      <c r="W126">
        <v>10.399100000000001</v>
      </c>
      <c r="X126">
        <v>10.4832</v>
      </c>
      <c r="Y126" t="s">
        <v>134</v>
      </c>
      <c r="Z126" t="s">
        <v>134</v>
      </c>
      <c r="AA126" t="s">
        <v>134</v>
      </c>
      <c r="AB126" t="s">
        <v>134</v>
      </c>
      <c r="AC126" t="s">
        <v>134</v>
      </c>
      <c r="AD126" t="s">
        <v>134</v>
      </c>
      <c r="AE126" t="s">
        <v>134</v>
      </c>
      <c r="AF126" t="s">
        <v>134</v>
      </c>
      <c r="AG126" t="s">
        <v>134</v>
      </c>
      <c r="AH126" t="s">
        <v>134</v>
      </c>
      <c r="AI126" t="s">
        <v>134</v>
      </c>
      <c r="AJ126" t="s">
        <v>134</v>
      </c>
      <c r="AK126" t="s">
        <v>134</v>
      </c>
      <c r="AL126" t="s">
        <v>134</v>
      </c>
      <c r="AM126" t="s">
        <v>134</v>
      </c>
      <c r="AN126" t="s">
        <v>134</v>
      </c>
      <c r="AO126" t="s">
        <v>134</v>
      </c>
      <c r="AP126" t="s">
        <v>134</v>
      </c>
      <c r="AQ126" t="s">
        <v>134</v>
      </c>
      <c r="AR126" t="s">
        <v>134</v>
      </c>
      <c r="AS126" t="s">
        <v>134</v>
      </c>
      <c r="AT126" t="s">
        <v>134</v>
      </c>
      <c r="AU126" t="s">
        <v>134</v>
      </c>
      <c r="AV126" t="s">
        <v>134</v>
      </c>
      <c r="AW126" t="s">
        <v>134</v>
      </c>
      <c r="AX126" t="s">
        <v>134</v>
      </c>
      <c r="AY126" t="s">
        <v>134</v>
      </c>
      <c r="AZ126" t="s">
        <v>134</v>
      </c>
      <c r="BA126" t="s">
        <v>134</v>
      </c>
      <c r="BB126" t="s">
        <v>134</v>
      </c>
      <c r="BC126" t="s">
        <v>134</v>
      </c>
      <c r="BD126" t="s">
        <v>134</v>
      </c>
      <c r="BE126" t="s">
        <v>134</v>
      </c>
      <c r="BF126">
        <v>-11.960900000000001</v>
      </c>
      <c r="BG126">
        <v>-35.690100000000001</v>
      </c>
      <c r="BH126">
        <v>-46.417200000000001</v>
      </c>
      <c r="BI126">
        <v>-57.966900000000003</v>
      </c>
      <c r="BJ126">
        <v>-57.934800000000003</v>
      </c>
      <c r="BK126" t="s">
        <v>134</v>
      </c>
      <c r="BL126" t="s">
        <v>134</v>
      </c>
      <c r="BM126" t="s">
        <v>134</v>
      </c>
      <c r="BN126" t="s">
        <v>134</v>
      </c>
      <c r="BO126" t="s">
        <v>134</v>
      </c>
      <c r="BP126" t="s">
        <v>134</v>
      </c>
      <c r="BQ126" t="s">
        <v>134</v>
      </c>
      <c r="BR126" t="s">
        <v>134</v>
      </c>
      <c r="BS126" t="s">
        <v>134</v>
      </c>
      <c r="BT126" t="s">
        <v>134</v>
      </c>
      <c r="BU126" t="s">
        <v>134</v>
      </c>
      <c r="BV126" t="s">
        <v>134</v>
      </c>
      <c r="BW126" t="s">
        <v>134</v>
      </c>
      <c r="BX126" t="s">
        <v>134</v>
      </c>
      <c r="BY126" t="s">
        <v>134</v>
      </c>
      <c r="BZ126" t="s">
        <v>134</v>
      </c>
      <c r="CA126" t="s">
        <v>134</v>
      </c>
      <c r="CB126" t="s">
        <v>134</v>
      </c>
      <c r="CC126" t="s">
        <v>134</v>
      </c>
      <c r="CD126" t="s">
        <v>134</v>
      </c>
      <c r="CE126" t="s">
        <v>134</v>
      </c>
      <c r="CF126">
        <v>20.5228</v>
      </c>
      <c r="CG126" t="s">
        <v>134</v>
      </c>
      <c r="CH126" t="s">
        <v>134</v>
      </c>
      <c r="CI126" t="s">
        <v>134</v>
      </c>
      <c r="CJ126" t="s">
        <v>134</v>
      </c>
      <c r="CK126" t="s">
        <v>134</v>
      </c>
      <c r="CL126" t="s">
        <v>134</v>
      </c>
      <c r="CM126" t="s">
        <v>134</v>
      </c>
      <c r="CN126" t="s">
        <v>134</v>
      </c>
      <c r="CO126" t="s">
        <v>134</v>
      </c>
      <c r="CP126">
        <v>8038.8</v>
      </c>
      <c r="CQ126" t="s">
        <v>134</v>
      </c>
      <c r="CR126">
        <v>5164.8999999999996</v>
      </c>
      <c r="CS126" t="s">
        <v>134</v>
      </c>
      <c r="CT126" t="s">
        <v>134</v>
      </c>
      <c r="CU126" t="s">
        <v>134</v>
      </c>
      <c r="CV126" t="s">
        <v>134</v>
      </c>
      <c r="CW126" t="s">
        <v>134</v>
      </c>
      <c r="CX126" t="s">
        <v>134</v>
      </c>
      <c r="CY126" t="s">
        <v>134</v>
      </c>
      <c r="CZ126" t="s">
        <v>134</v>
      </c>
      <c r="DA126" t="s">
        <v>134</v>
      </c>
      <c r="DB126" t="s">
        <v>134</v>
      </c>
      <c r="DC126" t="s">
        <v>134</v>
      </c>
      <c r="DD126" t="s">
        <v>134</v>
      </c>
      <c r="DE126" t="s">
        <v>134</v>
      </c>
      <c r="DF126" t="s">
        <v>134</v>
      </c>
      <c r="DG126" t="s">
        <v>134</v>
      </c>
      <c r="DH126" t="s">
        <v>134</v>
      </c>
      <c r="DI126" t="s">
        <v>134</v>
      </c>
    </row>
    <row r="127" spans="1:113" x14ac:dyDescent="0.3">
      <c r="E127" t="s">
        <v>81</v>
      </c>
      <c r="F127">
        <v>10.8559</v>
      </c>
      <c r="G127">
        <v>6.4138000000000002</v>
      </c>
      <c r="H127" t="s">
        <v>134</v>
      </c>
      <c r="I127">
        <v>10.075799999999999</v>
      </c>
      <c r="J127">
        <v>13.4948</v>
      </c>
      <c r="K127">
        <v>9.1507000000000005</v>
      </c>
      <c r="L127" t="s">
        <v>134</v>
      </c>
      <c r="M127">
        <v>8.8744999999999994</v>
      </c>
      <c r="N127">
        <v>20.477699999999999</v>
      </c>
      <c r="O127">
        <v>14.479699999999999</v>
      </c>
      <c r="P127">
        <v>14.479699999999999</v>
      </c>
      <c r="Q127" t="s">
        <v>134</v>
      </c>
      <c r="R127" t="s">
        <v>134</v>
      </c>
      <c r="S127" t="s">
        <v>134</v>
      </c>
      <c r="T127">
        <v>9.0015999999999998</v>
      </c>
      <c r="U127">
        <v>-7.891</v>
      </c>
      <c r="V127">
        <v>-9.9390000000000001</v>
      </c>
      <c r="W127">
        <v>138.21850000000001</v>
      </c>
      <c r="X127">
        <v>138.34950000000001</v>
      </c>
      <c r="Y127" t="s">
        <v>134</v>
      </c>
      <c r="Z127">
        <v>40.042700000000004</v>
      </c>
      <c r="AA127">
        <v>20.324000000000002</v>
      </c>
      <c r="AB127">
        <v>0.43309999999999998</v>
      </c>
      <c r="AC127">
        <v>5.1468999999999996</v>
      </c>
      <c r="AD127">
        <v>118.9355</v>
      </c>
      <c r="AE127">
        <v>81.632599999999996</v>
      </c>
      <c r="AF127">
        <v>6.7538999999999998</v>
      </c>
      <c r="AG127" t="s">
        <v>134</v>
      </c>
      <c r="AH127">
        <v>64.510800000000003</v>
      </c>
      <c r="AI127">
        <v>9.1830999999999996</v>
      </c>
      <c r="AJ127">
        <v>9.2359000000000009</v>
      </c>
      <c r="AK127">
        <v>8.2152999999999992</v>
      </c>
      <c r="AL127" t="s">
        <v>134</v>
      </c>
      <c r="AM127" t="s">
        <v>134</v>
      </c>
      <c r="AN127" t="s">
        <v>134</v>
      </c>
      <c r="AO127" t="s">
        <v>134</v>
      </c>
      <c r="AP127" t="s">
        <v>134</v>
      </c>
      <c r="AQ127" t="s">
        <v>134</v>
      </c>
      <c r="AR127" t="s">
        <v>134</v>
      </c>
      <c r="AS127" t="s">
        <v>134</v>
      </c>
      <c r="AT127" t="s">
        <v>134</v>
      </c>
      <c r="AU127" t="s">
        <v>134</v>
      </c>
      <c r="AV127" t="s">
        <v>134</v>
      </c>
      <c r="AW127" t="s">
        <v>134</v>
      </c>
      <c r="AX127" t="s">
        <v>134</v>
      </c>
      <c r="AY127" t="s">
        <v>134</v>
      </c>
      <c r="AZ127" t="s">
        <v>134</v>
      </c>
      <c r="BA127" t="s">
        <v>134</v>
      </c>
      <c r="BB127" t="s">
        <v>134</v>
      </c>
      <c r="BC127" t="s">
        <v>134</v>
      </c>
      <c r="BD127" t="s">
        <v>134</v>
      </c>
      <c r="BE127" t="s">
        <v>134</v>
      </c>
      <c r="BF127">
        <v>11.817</v>
      </c>
      <c r="BG127">
        <v>12.954700000000001</v>
      </c>
      <c r="BH127">
        <v>19.212399999999999</v>
      </c>
      <c r="BI127">
        <v>238.64789999999999</v>
      </c>
      <c r="BJ127">
        <v>238.6207</v>
      </c>
      <c r="BK127" t="s">
        <v>134</v>
      </c>
      <c r="BL127" t="s">
        <v>134</v>
      </c>
      <c r="BM127" t="s">
        <v>134</v>
      </c>
      <c r="BN127" t="s">
        <v>134</v>
      </c>
      <c r="BO127" t="s">
        <v>134</v>
      </c>
      <c r="BP127" t="s">
        <v>134</v>
      </c>
      <c r="BQ127" t="s">
        <v>134</v>
      </c>
      <c r="BR127" t="s">
        <v>134</v>
      </c>
      <c r="BS127" t="s">
        <v>134</v>
      </c>
      <c r="BT127" t="s">
        <v>134</v>
      </c>
      <c r="BU127" t="s">
        <v>134</v>
      </c>
      <c r="BV127" t="s">
        <v>134</v>
      </c>
      <c r="BW127" t="s">
        <v>134</v>
      </c>
      <c r="BX127" t="s">
        <v>134</v>
      </c>
      <c r="BY127">
        <v>396.8</v>
      </c>
      <c r="BZ127">
        <v>0</v>
      </c>
      <c r="CA127">
        <v>396.8</v>
      </c>
      <c r="CB127">
        <v>0.01</v>
      </c>
      <c r="CC127">
        <v>-1.5962000000000001</v>
      </c>
      <c r="CD127">
        <v>1.41E-2</v>
      </c>
      <c r="CE127">
        <v>-2.2519</v>
      </c>
      <c r="CF127">
        <v>22.299099999999999</v>
      </c>
      <c r="CG127">
        <v>59.909100000000002</v>
      </c>
      <c r="CH127">
        <v>0.14380000000000001</v>
      </c>
      <c r="CI127">
        <v>0.14360000000000001</v>
      </c>
      <c r="CJ127">
        <v>0.10630000000000001</v>
      </c>
      <c r="CK127">
        <v>0.14380000000000001</v>
      </c>
      <c r="CL127">
        <v>0.14360000000000001</v>
      </c>
      <c r="CM127">
        <v>0.10630000000000001</v>
      </c>
      <c r="CN127">
        <v>-22.9208</v>
      </c>
      <c r="CO127">
        <v>-29.736699999999999</v>
      </c>
      <c r="CP127">
        <v>9080.2000000000007</v>
      </c>
      <c r="CQ127" t="s">
        <v>134</v>
      </c>
      <c r="CR127">
        <v>6157.2</v>
      </c>
      <c r="CS127">
        <v>0.75839999999999996</v>
      </c>
      <c r="CT127">
        <v>1.4798</v>
      </c>
      <c r="CU127">
        <v>0.91379999999999995</v>
      </c>
      <c r="CV127">
        <v>4.2983000000000002</v>
      </c>
      <c r="CW127">
        <v>23.291699999999999</v>
      </c>
      <c r="CX127">
        <v>15.6708</v>
      </c>
      <c r="CY127">
        <v>1.2686999999999999</v>
      </c>
      <c r="CZ127">
        <v>287.69779999999997</v>
      </c>
      <c r="DA127">
        <v>1.3517999999999999</v>
      </c>
      <c r="DB127">
        <v>270.00290000000001</v>
      </c>
      <c r="DC127">
        <v>33.365699999999997</v>
      </c>
      <c r="DD127">
        <v>303.36860000000001</v>
      </c>
      <c r="DE127">
        <v>29578.9</v>
      </c>
      <c r="DF127">
        <v>2587.4</v>
      </c>
      <c r="DG127">
        <v>5612.5</v>
      </c>
      <c r="DH127">
        <v>4034.6</v>
      </c>
      <c r="DI127">
        <v>17344.400000000001</v>
      </c>
    </row>
    <row r="128" spans="1:113" x14ac:dyDescent="0.3">
      <c r="A128">
        <v>6</v>
      </c>
      <c r="B128" t="s">
        <v>94</v>
      </c>
      <c r="C128" t="s">
        <v>95</v>
      </c>
      <c r="D128" t="s">
        <v>76</v>
      </c>
      <c r="E128" t="s">
        <v>77</v>
      </c>
      <c r="F128">
        <v>-3.8872</v>
      </c>
      <c r="G128">
        <v>-1.0716000000000001</v>
      </c>
      <c r="H128">
        <v>2.5388999999999999</v>
      </c>
      <c r="I128">
        <v>-0.14299999999999999</v>
      </c>
      <c r="J128">
        <v>3.6739999999999999</v>
      </c>
      <c r="K128">
        <v>-0.93969999999999998</v>
      </c>
      <c r="L128">
        <v>-60.697699999999998</v>
      </c>
      <c r="M128">
        <v>-2.6135000000000002</v>
      </c>
      <c r="N128">
        <v>-1.9308000000000001</v>
      </c>
      <c r="O128">
        <v>-1.4288000000000001</v>
      </c>
      <c r="P128">
        <v>-1.4288000000000001</v>
      </c>
      <c r="Q128" t="s">
        <v>134</v>
      </c>
      <c r="R128" t="s">
        <v>134</v>
      </c>
      <c r="S128" t="s">
        <v>134</v>
      </c>
      <c r="T128">
        <v>-7.9678000000000004</v>
      </c>
      <c r="U128">
        <v>-51.849499999999999</v>
      </c>
      <c r="V128" t="s">
        <v>134</v>
      </c>
      <c r="W128" t="s">
        <v>134</v>
      </c>
      <c r="X128" t="s">
        <v>134</v>
      </c>
      <c r="Y128" t="s">
        <v>134</v>
      </c>
      <c r="Z128">
        <v>-2.7</v>
      </c>
      <c r="AA128">
        <v>-18.563700000000001</v>
      </c>
      <c r="AB128">
        <v>19.183399999999999</v>
      </c>
      <c r="AC128">
        <v>33.883400000000002</v>
      </c>
      <c r="AD128">
        <v>-89.956400000000002</v>
      </c>
      <c r="AE128">
        <v>47.401200000000003</v>
      </c>
      <c r="AF128">
        <v>88730.852499999994</v>
      </c>
      <c r="AG128">
        <v>86.003699999999995</v>
      </c>
      <c r="AH128">
        <v>95.157700000000006</v>
      </c>
      <c r="AI128">
        <v>4.1802999999999999</v>
      </c>
      <c r="AJ128">
        <v>49.154400000000003</v>
      </c>
      <c r="AK128">
        <v>-10.457100000000001</v>
      </c>
      <c r="AL128" t="s">
        <v>134</v>
      </c>
      <c r="AM128">
        <v>13.9419</v>
      </c>
      <c r="AN128">
        <v>-2.7347999999999999</v>
      </c>
      <c r="AO128" t="s">
        <v>134</v>
      </c>
      <c r="AP128" t="s">
        <v>134</v>
      </c>
      <c r="AQ128" t="s">
        <v>134</v>
      </c>
      <c r="AR128">
        <v>-100</v>
      </c>
      <c r="AS128">
        <v>7.5903999999999998</v>
      </c>
      <c r="AT128">
        <v>3.0293999999999999</v>
      </c>
      <c r="AU128">
        <v>8.4657</v>
      </c>
      <c r="AV128">
        <v>17.477799999999998</v>
      </c>
      <c r="AW128">
        <v>-20.9877</v>
      </c>
      <c r="AX128" t="s">
        <v>134</v>
      </c>
      <c r="AY128">
        <v>16.508099999999999</v>
      </c>
      <c r="AZ128">
        <v>35.395699999999998</v>
      </c>
      <c r="BA128">
        <v>26.544499999999999</v>
      </c>
      <c r="BB128">
        <v>5.9657</v>
      </c>
      <c r="BC128">
        <v>16.6158</v>
      </c>
      <c r="BD128">
        <v>2.8050000000000002</v>
      </c>
      <c r="BE128" t="s">
        <v>134</v>
      </c>
      <c r="BF128">
        <v>-7.9678000000000004</v>
      </c>
      <c r="BG128">
        <v>-51.849499999999999</v>
      </c>
      <c r="BH128">
        <v>-121.7762</v>
      </c>
      <c r="BI128">
        <v>-137.84180000000001</v>
      </c>
      <c r="BJ128">
        <v>-138.0368</v>
      </c>
      <c r="BK128">
        <v>-100</v>
      </c>
      <c r="BL128">
        <v>-2.7</v>
      </c>
      <c r="BM128">
        <v>-18.563700000000001</v>
      </c>
      <c r="BN128">
        <v>19.183399999999999</v>
      </c>
      <c r="BO128">
        <v>33.883400000000002</v>
      </c>
      <c r="BP128">
        <v>-89.956400000000002</v>
      </c>
      <c r="BQ128" t="s">
        <v>134</v>
      </c>
      <c r="BR128">
        <v>88730.852499999994</v>
      </c>
      <c r="BS128">
        <v>86.003699999999995</v>
      </c>
      <c r="BT128">
        <v>95.157700000000006</v>
      </c>
      <c r="BU128">
        <v>4.1802999999999999</v>
      </c>
      <c r="BV128">
        <v>49.154400000000003</v>
      </c>
      <c r="BW128">
        <v>-10.457100000000001</v>
      </c>
      <c r="BX128">
        <v>-241.5471</v>
      </c>
      <c r="BY128">
        <v>84999.62</v>
      </c>
      <c r="BZ128">
        <v>30087.778999999999</v>
      </c>
      <c r="CA128">
        <v>54911.841</v>
      </c>
      <c r="CB128">
        <v>20.140999999999998</v>
      </c>
      <c r="CC128">
        <v>18.764800000000001</v>
      </c>
      <c r="CD128" t="s">
        <v>134</v>
      </c>
      <c r="CE128" t="s">
        <v>134</v>
      </c>
      <c r="CF128">
        <v>0.55669999999999997</v>
      </c>
      <c r="CG128">
        <v>22.751000000000001</v>
      </c>
      <c r="CH128">
        <v>118.3103</v>
      </c>
      <c r="CI128">
        <v>41.785699999999999</v>
      </c>
      <c r="CJ128">
        <v>31.316800000000001</v>
      </c>
      <c r="CK128">
        <v>183.13589999999999</v>
      </c>
      <c r="CL128">
        <v>64.681299999999993</v>
      </c>
      <c r="CM128">
        <v>48.476199999999999</v>
      </c>
      <c r="CN128">
        <v>170.6225</v>
      </c>
      <c r="CO128">
        <v>63.048200000000001</v>
      </c>
      <c r="CP128">
        <v>4220.2359999999999</v>
      </c>
      <c r="CQ128">
        <v>139.72999999999999</v>
      </c>
      <c r="CR128">
        <v>-1079.415</v>
      </c>
      <c r="CS128">
        <v>8.4699999999999998E-2</v>
      </c>
      <c r="CT128">
        <v>0.92179999999999995</v>
      </c>
      <c r="CU128">
        <v>0.28620000000000001</v>
      </c>
      <c r="CV128">
        <v>0.99970000000000003</v>
      </c>
      <c r="CW128">
        <v>8.2033000000000005</v>
      </c>
      <c r="CX128">
        <v>44.494100000000003</v>
      </c>
      <c r="CY128">
        <v>4.5130999999999997</v>
      </c>
      <c r="CZ128">
        <v>80.876400000000004</v>
      </c>
      <c r="DA128">
        <v>5.7107000000000001</v>
      </c>
      <c r="DB128">
        <v>63.915100000000002</v>
      </c>
      <c r="DC128">
        <v>61.455300000000001</v>
      </c>
      <c r="DD128">
        <v>125.3704</v>
      </c>
      <c r="DE128">
        <v>15440.495000000001</v>
      </c>
      <c r="DF128">
        <v>6629.848</v>
      </c>
      <c r="DG128">
        <v>1151.056</v>
      </c>
      <c r="DH128">
        <v>4722.4369999999999</v>
      </c>
      <c r="DI128">
        <v>2937.154</v>
      </c>
    </row>
    <row r="129" spans="4:113" x14ac:dyDescent="0.3">
      <c r="E129" t="s">
        <v>78</v>
      </c>
      <c r="F129" t="s">
        <v>134</v>
      </c>
      <c r="G129" t="s">
        <v>134</v>
      </c>
      <c r="H129" t="s">
        <v>134</v>
      </c>
      <c r="I129" t="s">
        <v>134</v>
      </c>
      <c r="J129">
        <v>1.0054000000000001</v>
      </c>
      <c r="K129">
        <v>-3.1089000000000002</v>
      </c>
      <c r="L129" t="s">
        <v>134</v>
      </c>
      <c r="M129">
        <v>-7.2129000000000003</v>
      </c>
      <c r="N129">
        <v>-6.1279000000000003</v>
      </c>
      <c r="O129">
        <v>-6.1279000000000003</v>
      </c>
      <c r="P129">
        <v>-6.1279000000000003</v>
      </c>
      <c r="Q129" t="s">
        <v>134</v>
      </c>
      <c r="R129" t="s">
        <v>134</v>
      </c>
      <c r="S129" t="s">
        <v>134</v>
      </c>
      <c r="T129" t="s">
        <v>134</v>
      </c>
      <c r="U129" t="s">
        <v>134</v>
      </c>
      <c r="V129" t="s">
        <v>134</v>
      </c>
      <c r="W129" t="s">
        <v>134</v>
      </c>
      <c r="X129" t="s">
        <v>134</v>
      </c>
      <c r="Y129" t="s">
        <v>134</v>
      </c>
      <c r="Z129" t="s">
        <v>134</v>
      </c>
      <c r="AA129" t="s">
        <v>134</v>
      </c>
      <c r="AB129" t="s">
        <v>134</v>
      </c>
      <c r="AC129" t="s">
        <v>134</v>
      </c>
      <c r="AD129" t="s">
        <v>134</v>
      </c>
      <c r="AE129" t="s">
        <v>134</v>
      </c>
      <c r="AF129" t="s">
        <v>134</v>
      </c>
      <c r="AG129" t="s">
        <v>134</v>
      </c>
      <c r="AH129" t="s">
        <v>134</v>
      </c>
      <c r="AI129" t="s">
        <v>134</v>
      </c>
      <c r="AJ129" t="s">
        <v>134</v>
      </c>
      <c r="AK129" t="s">
        <v>134</v>
      </c>
      <c r="AL129" t="s">
        <v>134</v>
      </c>
      <c r="AM129" t="s">
        <v>134</v>
      </c>
      <c r="AN129" t="s">
        <v>134</v>
      </c>
      <c r="AO129" t="s">
        <v>134</v>
      </c>
      <c r="AP129" t="s">
        <v>134</v>
      </c>
      <c r="AQ129" t="s">
        <v>134</v>
      </c>
      <c r="AR129" t="s">
        <v>134</v>
      </c>
      <c r="AS129" t="s">
        <v>134</v>
      </c>
      <c r="AT129" t="s">
        <v>134</v>
      </c>
      <c r="AU129" t="s">
        <v>134</v>
      </c>
      <c r="AV129" t="s">
        <v>134</v>
      </c>
      <c r="AW129" t="s">
        <v>134</v>
      </c>
      <c r="AX129" t="s">
        <v>134</v>
      </c>
      <c r="AY129" t="s">
        <v>134</v>
      </c>
      <c r="AZ129" t="s">
        <v>134</v>
      </c>
      <c r="BA129" t="s">
        <v>134</v>
      </c>
      <c r="BB129" t="s">
        <v>134</v>
      </c>
      <c r="BC129" t="s">
        <v>134</v>
      </c>
      <c r="BD129" t="s">
        <v>134</v>
      </c>
      <c r="BE129" t="s">
        <v>134</v>
      </c>
      <c r="BF129">
        <v>-36.596699999999998</v>
      </c>
      <c r="BG129">
        <v>-88.271799999999999</v>
      </c>
      <c r="BH129">
        <v>-173.1653</v>
      </c>
      <c r="BI129">
        <v>-194.47970000000001</v>
      </c>
      <c r="BJ129">
        <v>-191.3793</v>
      </c>
      <c r="BK129" t="s">
        <v>134</v>
      </c>
      <c r="BL129" t="s">
        <v>134</v>
      </c>
      <c r="BM129" t="s">
        <v>134</v>
      </c>
      <c r="BN129" t="s">
        <v>134</v>
      </c>
      <c r="BO129" t="s">
        <v>134</v>
      </c>
      <c r="BP129" t="s">
        <v>134</v>
      </c>
      <c r="BQ129" t="s">
        <v>134</v>
      </c>
      <c r="BR129" t="s">
        <v>134</v>
      </c>
      <c r="BS129" t="s">
        <v>134</v>
      </c>
      <c r="BT129" t="s">
        <v>134</v>
      </c>
      <c r="BU129" t="s">
        <v>134</v>
      </c>
      <c r="BV129" t="s">
        <v>134</v>
      </c>
      <c r="BW129" t="s">
        <v>134</v>
      </c>
      <c r="BX129" t="s">
        <v>134</v>
      </c>
      <c r="BY129" t="s">
        <v>134</v>
      </c>
      <c r="BZ129" t="s">
        <v>134</v>
      </c>
      <c r="CA129" t="s">
        <v>134</v>
      </c>
      <c r="CB129" t="s">
        <v>134</v>
      </c>
      <c r="CC129" t="s">
        <v>134</v>
      </c>
      <c r="CD129" t="s">
        <v>134</v>
      </c>
      <c r="CE129" t="s">
        <v>134</v>
      </c>
      <c r="CF129">
        <v>0.23100000000000001</v>
      </c>
      <c r="CG129" t="s">
        <v>134</v>
      </c>
      <c r="CH129" t="s">
        <v>134</v>
      </c>
      <c r="CI129" t="s">
        <v>134</v>
      </c>
      <c r="CJ129" t="s">
        <v>134</v>
      </c>
      <c r="CK129" t="s">
        <v>134</v>
      </c>
      <c r="CL129" t="s">
        <v>134</v>
      </c>
      <c r="CM129" t="s">
        <v>134</v>
      </c>
      <c r="CN129" t="s">
        <v>134</v>
      </c>
      <c r="CO129" t="s">
        <v>134</v>
      </c>
      <c r="CP129">
        <v>232.571</v>
      </c>
      <c r="CQ129" t="s">
        <v>134</v>
      </c>
      <c r="CR129">
        <v>-719.16399999999999</v>
      </c>
      <c r="CS129" t="s">
        <v>134</v>
      </c>
      <c r="CT129" t="s">
        <v>134</v>
      </c>
      <c r="CU129" t="s">
        <v>134</v>
      </c>
      <c r="CV129" t="s">
        <v>134</v>
      </c>
      <c r="CW129" t="s">
        <v>134</v>
      </c>
      <c r="CX129" t="s">
        <v>134</v>
      </c>
      <c r="CY129" t="s">
        <v>134</v>
      </c>
      <c r="CZ129" t="s">
        <v>134</v>
      </c>
      <c r="DA129" t="s">
        <v>134</v>
      </c>
      <c r="DB129" t="s">
        <v>134</v>
      </c>
      <c r="DC129" t="s">
        <v>134</v>
      </c>
      <c r="DD129" t="s">
        <v>134</v>
      </c>
      <c r="DE129" t="s">
        <v>134</v>
      </c>
      <c r="DF129" t="s">
        <v>134</v>
      </c>
      <c r="DG129" t="s">
        <v>134</v>
      </c>
      <c r="DH129" t="s">
        <v>134</v>
      </c>
      <c r="DI129" t="s">
        <v>134</v>
      </c>
    </row>
    <row r="130" spans="4:113" x14ac:dyDescent="0.3">
      <c r="E130" t="s">
        <v>79</v>
      </c>
      <c r="F130" t="s">
        <v>134</v>
      </c>
      <c r="G130" t="s">
        <v>134</v>
      </c>
      <c r="H130" t="s">
        <v>134</v>
      </c>
      <c r="I130" t="s">
        <v>134</v>
      </c>
      <c r="J130" t="s">
        <v>134</v>
      </c>
      <c r="K130" t="s">
        <v>134</v>
      </c>
      <c r="L130" t="s">
        <v>134</v>
      </c>
      <c r="M130" t="s">
        <v>134</v>
      </c>
      <c r="N130" t="s">
        <v>134</v>
      </c>
      <c r="O130" t="s">
        <v>134</v>
      </c>
      <c r="P130" t="s">
        <v>134</v>
      </c>
      <c r="Q130" t="s">
        <v>134</v>
      </c>
      <c r="R130" t="s">
        <v>134</v>
      </c>
      <c r="S130" t="s">
        <v>134</v>
      </c>
      <c r="T130" t="s">
        <v>134</v>
      </c>
      <c r="U130" t="s">
        <v>134</v>
      </c>
      <c r="V130" t="s">
        <v>134</v>
      </c>
      <c r="W130" t="s">
        <v>134</v>
      </c>
      <c r="X130" t="s">
        <v>134</v>
      </c>
      <c r="Y130" t="s">
        <v>134</v>
      </c>
      <c r="Z130" t="s">
        <v>134</v>
      </c>
      <c r="AA130" t="s">
        <v>134</v>
      </c>
      <c r="AB130" t="s">
        <v>134</v>
      </c>
      <c r="AC130" t="s">
        <v>134</v>
      </c>
      <c r="AD130" t="s">
        <v>134</v>
      </c>
      <c r="AE130" t="s">
        <v>134</v>
      </c>
      <c r="AF130" t="s">
        <v>134</v>
      </c>
      <c r="AG130" t="s">
        <v>134</v>
      </c>
      <c r="AH130" t="s">
        <v>134</v>
      </c>
      <c r="AI130" t="s">
        <v>134</v>
      </c>
      <c r="AJ130" t="s">
        <v>134</v>
      </c>
      <c r="AK130" t="s">
        <v>134</v>
      </c>
      <c r="AL130" t="s">
        <v>134</v>
      </c>
      <c r="AM130" t="s">
        <v>134</v>
      </c>
      <c r="AN130" t="s">
        <v>134</v>
      </c>
      <c r="AO130" t="s">
        <v>134</v>
      </c>
      <c r="AP130" t="s">
        <v>134</v>
      </c>
      <c r="AQ130" t="s">
        <v>134</v>
      </c>
      <c r="AR130" t="s">
        <v>134</v>
      </c>
      <c r="AS130" t="s">
        <v>134</v>
      </c>
      <c r="AT130" t="s">
        <v>134</v>
      </c>
      <c r="AU130" t="s">
        <v>134</v>
      </c>
      <c r="AV130" t="s">
        <v>134</v>
      </c>
      <c r="AW130" t="s">
        <v>134</v>
      </c>
      <c r="AX130" t="s">
        <v>134</v>
      </c>
      <c r="AY130" t="s">
        <v>134</v>
      </c>
      <c r="AZ130" t="s">
        <v>134</v>
      </c>
      <c r="BA130" t="s">
        <v>134</v>
      </c>
      <c r="BB130" t="s">
        <v>134</v>
      </c>
      <c r="BC130" t="s">
        <v>134</v>
      </c>
      <c r="BD130" t="s">
        <v>134</v>
      </c>
      <c r="BE130" t="s">
        <v>134</v>
      </c>
      <c r="BF130" t="s">
        <v>134</v>
      </c>
      <c r="BG130" t="s">
        <v>134</v>
      </c>
      <c r="BH130" t="s">
        <v>134</v>
      </c>
      <c r="BI130" t="s">
        <v>134</v>
      </c>
      <c r="BJ130" t="s">
        <v>134</v>
      </c>
      <c r="BK130" t="s">
        <v>134</v>
      </c>
      <c r="BL130" t="s">
        <v>134</v>
      </c>
      <c r="BM130" t="s">
        <v>134</v>
      </c>
      <c r="BN130" t="s">
        <v>134</v>
      </c>
      <c r="BO130" t="s">
        <v>134</v>
      </c>
      <c r="BP130" t="s">
        <v>134</v>
      </c>
      <c r="BQ130" t="s">
        <v>134</v>
      </c>
      <c r="BR130" t="s">
        <v>134</v>
      </c>
      <c r="BS130" t="s">
        <v>134</v>
      </c>
      <c r="BT130" t="s">
        <v>134</v>
      </c>
      <c r="BU130" t="s">
        <v>134</v>
      </c>
      <c r="BV130" t="s">
        <v>134</v>
      </c>
      <c r="BW130" t="s">
        <v>134</v>
      </c>
      <c r="BX130" t="s">
        <v>134</v>
      </c>
      <c r="BY130" t="s">
        <v>134</v>
      </c>
      <c r="BZ130" t="s">
        <v>134</v>
      </c>
      <c r="CA130" t="s">
        <v>134</v>
      </c>
      <c r="CB130" t="s">
        <v>134</v>
      </c>
      <c r="CC130" t="s">
        <v>134</v>
      </c>
      <c r="CD130" t="s">
        <v>134</v>
      </c>
      <c r="CE130" t="s">
        <v>134</v>
      </c>
      <c r="CF130" t="s">
        <v>134</v>
      </c>
      <c r="CG130" t="s">
        <v>134</v>
      </c>
      <c r="CH130" t="s">
        <v>134</v>
      </c>
      <c r="CI130" t="s">
        <v>134</v>
      </c>
      <c r="CJ130" t="s">
        <v>134</v>
      </c>
      <c r="CK130" t="s">
        <v>134</v>
      </c>
      <c r="CL130" t="s">
        <v>134</v>
      </c>
      <c r="CM130" t="s">
        <v>134</v>
      </c>
      <c r="CN130" t="s">
        <v>134</v>
      </c>
      <c r="CO130" t="s">
        <v>134</v>
      </c>
      <c r="CP130" t="s">
        <v>134</v>
      </c>
      <c r="CQ130" t="s">
        <v>134</v>
      </c>
      <c r="CR130" t="s">
        <v>134</v>
      </c>
      <c r="CS130" t="s">
        <v>134</v>
      </c>
      <c r="CT130" t="s">
        <v>134</v>
      </c>
      <c r="CU130" t="s">
        <v>134</v>
      </c>
      <c r="CV130" t="s">
        <v>134</v>
      </c>
      <c r="CW130" t="s">
        <v>134</v>
      </c>
      <c r="CX130" t="s">
        <v>134</v>
      </c>
      <c r="CY130" t="s">
        <v>134</v>
      </c>
      <c r="CZ130" t="s">
        <v>134</v>
      </c>
      <c r="DA130" t="s">
        <v>134</v>
      </c>
      <c r="DB130" t="s">
        <v>134</v>
      </c>
      <c r="DC130" t="s">
        <v>134</v>
      </c>
      <c r="DD130" t="s">
        <v>134</v>
      </c>
      <c r="DE130" t="s">
        <v>134</v>
      </c>
      <c r="DF130" t="s">
        <v>134</v>
      </c>
      <c r="DG130" t="s">
        <v>134</v>
      </c>
      <c r="DH130" t="s">
        <v>134</v>
      </c>
      <c r="DI130" t="s">
        <v>134</v>
      </c>
    </row>
    <row r="131" spans="4:113" x14ac:dyDescent="0.3">
      <c r="E131" t="s">
        <v>80</v>
      </c>
      <c r="F131" t="s">
        <v>134</v>
      </c>
      <c r="G131" t="s">
        <v>134</v>
      </c>
      <c r="H131" t="s">
        <v>134</v>
      </c>
      <c r="I131" t="s">
        <v>134</v>
      </c>
      <c r="J131">
        <v>-5.0914000000000001</v>
      </c>
      <c r="K131">
        <v>-9.7324000000000002</v>
      </c>
      <c r="L131">
        <v>-43.925199999999997</v>
      </c>
      <c r="M131">
        <v>-10.1281</v>
      </c>
      <c r="N131">
        <v>-8.7851999999999997</v>
      </c>
      <c r="O131">
        <v>-8.7851999999999997</v>
      </c>
      <c r="P131">
        <v>-8.7851999999999997</v>
      </c>
      <c r="Q131" t="s">
        <v>134</v>
      </c>
      <c r="R131" t="s">
        <v>134</v>
      </c>
      <c r="S131" t="s">
        <v>134</v>
      </c>
      <c r="T131">
        <v>-18.9528</v>
      </c>
      <c r="U131" t="s">
        <v>134</v>
      </c>
      <c r="V131" t="s">
        <v>134</v>
      </c>
      <c r="W131" t="s">
        <v>134</v>
      </c>
      <c r="X131" t="s">
        <v>134</v>
      </c>
      <c r="Y131" t="s">
        <v>134</v>
      </c>
      <c r="Z131" t="s">
        <v>134</v>
      </c>
      <c r="AA131" t="s">
        <v>134</v>
      </c>
      <c r="AB131" t="s">
        <v>134</v>
      </c>
      <c r="AC131" t="s">
        <v>134</v>
      </c>
      <c r="AD131" t="s">
        <v>134</v>
      </c>
      <c r="AE131" t="s">
        <v>134</v>
      </c>
      <c r="AF131" t="s">
        <v>134</v>
      </c>
      <c r="AG131" t="s">
        <v>134</v>
      </c>
      <c r="AH131" t="s">
        <v>134</v>
      </c>
      <c r="AI131" t="s">
        <v>134</v>
      </c>
      <c r="AJ131" t="s">
        <v>134</v>
      </c>
      <c r="AK131" t="s">
        <v>134</v>
      </c>
      <c r="AL131" t="s">
        <v>134</v>
      </c>
      <c r="AM131" t="s">
        <v>134</v>
      </c>
      <c r="AN131" t="s">
        <v>134</v>
      </c>
      <c r="AO131" t="s">
        <v>134</v>
      </c>
      <c r="AP131" t="s">
        <v>134</v>
      </c>
      <c r="AQ131" t="s">
        <v>134</v>
      </c>
      <c r="AR131" t="s">
        <v>134</v>
      </c>
      <c r="AS131" t="s">
        <v>134</v>
      </c>
      <c r="AT131" t="s">
        <v>134</v>
      </c>
      <c r="AU131" t="s">
        <v>134</v>
      </c>
      <c r="AV131" t="s">
        <v>134</v>
      </c>
      <c r="AW131" t="s">
        <v>134</v>
      </c>
      <c r="AX131" t="s">
        <v>134</v>
      </c>
      <c r="AY131" t="s">
        <v>134</v>
      </c>
      <c r="AZ131" t="s">
        <v>134</v>
      </c>
      <c r="BA131" t="s">
        <v>134</v>
      </c>
      <c r="BB131" t="s">
        <v>134</v>
      </c>
      <c r="BC131" t="s">
        <v>134</v>
      </c>
      <c r="BD131" t="s">
        <v>134</v>
      </c>
      <c r="BE131" t="s">
        <v>134</v>
      </c>
      <c r="BF131" t="s">
        <v>134</v>
      </c>
      <c r="BG131" t="s">
        <v>134</v>
      </c>
      <c r="BH131" t="s">
        <v>134</v>
      </c>
      <c r="BI131" t="s">
        <v>134</v>
      </c>
      <c r="BJ131" t="s">
        <v>134</v>
      </c>
      <c r="BK131" t="s">
        <v>134</v>
      </c>
      <c r="BL131" t="s">
        <v>134</v>
      </c>
      <c r="BM131" t="s">
        <v>134</v>
      </c>
      <c r="BN131" t="s">
        <v>134</v>
      </c>
      <c r="BO131" t="s">
        <v>134</v>
      </c>
      <c r="BP131" t="s">
        <v>134</v>
      </c>
      <c r="BQ131" t="s">
        <v>134</v>
      </c>
      <c r="BR131" t="s">
        <v>134</v>
      </c>
      <c r="BS131" t="s">
        <v>134</v>
      </c>
      <c r="BT131" t="s">
        <v>134</v>
      </c>
      <c r="BU131" t="s">
        <v>134</v>
      </c>
      <c r="BV131" t="s">
        <v>134</v>
      </c>
      <c r="BW131" t="s">
        <v>134</v>
      </c>
      <c r="BX131" t="s">
        <v>134</v>
      </c>
      <c r="BY131" t="s">
        <v>134</v>
      </c>
      <c r="BZ131" t="s">
        <v>134</v>
      </c>
      <c r="CA131" t="s">
        <v>134</v>
      </c>
      <c r="CB131" t="s">
        <v>134</v>
      </c>
      <c r="CC131" t="s">
        <v>134</v>
      </c>
      <c r="CD131" t="s">
        <v>134</v>
      </c>
      <c r="CE131" t="s">
        <v>134</v>
      </c>
      <c r="CF131">
        <v>-0.8407</v>
      </c>
      <c r="CG131" t="s">
        <v>134</v>
      </c>
      <c r="CH131" t="s">
        <v>134</v>
      </c>
      <c r="CI131" t="s">
        <v>134</v>
      </c>
      <c r="CJ131" t="s">
        <v>134</v>
      </c>
      <c r="CK131" t="s">
        <v>134</v>
      </c>
      <c r="CL131" t="s">
        <v>134</v>
      </c>
      <c r="CM131" t="s">
        <v>134</v>
      </c>
      <c r="CN131" t="s">
        <v>134</v>
      </c>
      <c r="CO131" t="s">
        <v>134</v>
      </c>
      <c r="CP131">
        <v>-969.03700000000003</v>
      </c>
      <c r="CQ131" t="s">
        <v>134</v>
      </c>
      <c r="CR131">
        <v>-1852.3510000000001</v>
      </c>
      <c r="CS131" t="s">
        <v>134</v>
      </c>
      <c r="CT131" t="s">
        <v>134</v>
      </c>
      <c r="CU131" t="s">
        <v>134</v>
      </c>
      <c r="CV131" t="s">
        <v>134</v>
      </c>
      <c r="CW131" t="s">
        <v>134</v>
      </c>
      <c r="CX131" t="s">
        <v>134</v>
      </c>
      <c r="CY131" t="s">
        <v>134</v>
      </c>
      <c r="CZ131" t="s">
        <v>134</v>
      </c>
      <c r="DA131" t="s">
        <v>134</v>
      </c>
      <c r="DB131" t="s">
        <v>134</v>
      </c>
      <c r="DC131" t="s">
        <v>134</v>
      </c>
      <c r="DD131" t="s">
        <v>134</v>
      </c>
      <c r="DE131" t="s">
        <v>134</v>
      </c>
      <c r="DF131" t="s">
        <v>134</v>
      </c>
      <c r="DG131" t="s">
        <v>134</v>
      </c>
      <c r="DH131" t="s">
        <v>134</v>
      </c>
      <c r="DI131" t="s">
        <v>134</v>
      </c>
    </row>
    <row r="132" spans="4:113" x14ac:dyDescent="0.3">
      <c r="E132" t="s">
        <v>81</v>
      </c>
      <c r="F132" t="s">
        <v>134</v>
      </c>
      <c r="G132" t="s">
        <v>134</v>
      </c>
      <c r="H132" t="s">
        <v>134</v>
      </c>
      <c r="I132" t="s">
        <v>134</v>
      </c>
      <c r="J132" t="s">
        <v>134</v>
      </c>
      <c r="K132" t="s">
        <v>134</v>
      </c>
      <c r="L132" t="s">
        <v>134</v>
      </c>
      <c r="M132" t="s">
        <v>134</v>
      </c>
      <c r="N132" t="s">
        <v>134</v>
      </c>
      <c r="O132" t="s">
        <v>134</v>
      </c>
      <c r="P132" t="s">
        <v>134</v>
      </c>
      <c r="Q132" t="s">
        <v>134</v>
      </c>
      <c r="R132" t="s">
        <v>134</v>
      </c>
      <c r="S132" t="s">
        <v>134</v>
      </c>
      <c r="T132" t="s">
        <v>134</v>
      </c>
      <c r="U132" t="s">
        <v>134</v>
      </c>
      <c r="V132" t="s">
        <v>134</v>
      </c>
      <c r="W132" t="s">
        <v>134</v>
      </c>
      <c r="X132" t="s">
        <v>134</v>
      </c>
      <c r="Y132" t="s">
        <v>134</v>
      </c>
      <c r="Z132" t="s">
        <v>134</v>
      </c>
      <c r="AA132" t="s">
        <v>134</v>
      </c>
      <c r="AB132" t="s">
        <v>134</v>
      </c>
      <c r="AC132" t="s">
        <v>134</v>
      </c>
      <c r="AD132" t="s">
        <v>134</v>
      </c>
      <c r="AE132" t="s">
        <v>134</v>
      </c>
      <c r="AF132" t="s">
        <v>134</v>
      </c>
      <c r="AG132" t="s">
        <v>134</v>
      </c>
      <c r="AH132" t="s">
        <v>134</v>
      </c>
      <c r="AI132" t="s">
        <v>134</v>
      </c>
      <c r="AJ132" t="s">
        <v>134</v>
      </c>
      <c r="AK132" t="s">
        <v>134</v>
      </c>
      <c r="AL132" t="s">
        <v>134</v>
      </c>
      <c r="AM132" t="s">
        <v>134</v>
      </c>
      <c r="AN132" t="s">
        <v>134</v>
      </c>
      <c r="AO132" t="s">
        <v>134</v>
      </c>
      <c r="AP132" t="s">
        <v>134</v>
      </c>
      <c r="AQ132" t="s">
        <v>134</v>
      </c>
      <c r="AR132" t="s">
        <v>134</v>
      </c>
      <c r="AS132" t="s">
        <v>134</v>
      </c>
      <c r="AT132" t="s">
        <v>134</v>
      </c>
      <c r="AU132" t="s">
        <v>134</v>
      </c>
      <c r="AV132" t="s">
        <v>134</v>
      </c>
      <c r="AW132" t="s">
        <v>134</v>
      </c>
      <c r="AX132" t="s">
        <v>134</v>
      </c>
      <c r="AY132" t="s">
        <v>134</v>
      </c>
      <c r="AZ132" t="s">
        <v>134</v>
      </c>
      <c r="BA132" t="s">
        <v>134</v>
      </c>
      <c r="BB132" t="s">
        <v>134</v>
      </c>
      <c r="BC132" t="s">
        <v>134</v>
      </c>
      <c r="BD132" t="s">
        <v>134</v>
      </c>
      <c r="BE132" t="s">
        <v>134</v>
      </c>
      <c r="BF132" t="s">
        <v>134</v>
      </c>
      <c r="BG132" t="s">
        <v>134</v>
      </c>
      <c r="BH132" t="s">
        <v>134</v>
      </c>
      <c r="BI132" t="s">
        <v>134</v>
      </c>
      <c r="BJ132" t="s">
        <v>134</v>
      </c>
      <c r="BK132" t="s">
        <v>134</v>
      </c>
      <c r="BL132" t="s">
        <v>134</v>
      </c>
      <c r="BM132" t="s">
        <v>134</v>
      </c>
      <c r="BN132" t="s">
        <v>134</v>
      </c>
      <c r="BO132" t="s">
        <v>134</v>
      </c>
      <c r="BP132" t="s">
        <v>134</v>
      </c>
      <c r="BQ132" t="s">
        <v>134</v>
      </c>
      <c r="BR132" t="s">
        <v>134</v>
      </c>
      <c r="BS132" t="s">
        <v>134</v>
      </c>
      <c r="BT132" t="s">
        <v>134</v>
      </c>
      <c r="BU132" t="s">
        <v>134</v>
      </c>
      <c r="BV132" t="s">
        <v>134</v>
      </c>
      <c r="BW132" t="s">
        <v>134</v>
      </c>
      <c r="BX132" t="s">
        <v>134</v>
      </c>
      <c r="BY132" t="s">
        <v>134</v>
      </c>
      <c r="BZ132" t="s">
        <v>134</v>
      </c>
      <c r="CA132" t="s">
        <v>134</v>
      </c>
      <c r="CB132" t="s">
        <v>134</v>
      </c>
      <c r="CC132" t="s">
        <v>134</v>
      </c>
      <c r="CD132" t="s">
        <v>134</v>
      </c>
      <c r="CE132" t="s">
        <v>134</v>
      </c>
      <c r="CF132" t="s">
        <v>134</v>
      </c>
      <c r="CG132" t="s">
        <v>134</v>
      </c>
      <c r="CH132" t="s">
        <v>134</v>
      </c>
      <c r="CI132" t="s">
        <v>134</v>
      </c>
      <c r="CJ132" t="s">
        <v>134</v>
      </c>
      <c r="CK132" t="s">
        <v>134</v>
      </c>
      <c r="CL132" t="s">
        <v>134</v>
      </c>
      <c r="CM132" t="s">
        <v>134</v>
      </c>
      <c r="CN132" t="s">
        <v>134</v>
      </c>
      <c r="CO132" t="s">
        <v>134</v>
      </c>
      <c r="CP132" t="s">
        <v>134</v>
      </c>
      <c r="CQ132" t="s">
        <v>134</v>
      </c>
      <c r="CR132" t="s">
        <v>134</v>
      </c>
      <c r="CS132" t="s">
        <v>134</v>
      </c>
      <c r="CT132" t="s">
        <v>134</v>
      </c>
      <c r="CU132" t="s">
        <v>134</v>
      </c>
      <c r="CV132" t="s">
        <v>134</v>
      </c>
      <c r="CW132" t="s">
        <v>134</v>
      </c>
      <c r="CX132" t="s">
        <v>134</v>
      </c>
      <c r="CY132" t="s">
        <v>134</v>
      </c>
      <c r="CZ132" t="s">
        <v>134</v>
      </c>
      <c r="DA132" t="s">
        <v>134</v>
      </c>
      <c r="DB132" t="s">
        <v>134</v>
      </c>
      <c r="DC132" t="s">
        <v>134</v>
      </c>
      <c r="DD132" t="s">
        <v>134</v>
      </c>
      <c r="DE132" t="s">
        <v>134</v>
      </c>
      <c r="DF132" t="s">
        <v>134</v>
      </c>
      <c r="DG132" t="s">
        <v>134</v>
      </c>
      <c r="DH132" t="s">
        <v>134</v>
      </c>
      <c r="DI132" t="s">
        <v>134</v>
      </c>
    </row>
    <row r="133" spans="4:113" x14ac:dyDescent="0.3">
      <c r="D133" t="s">
        <v>82</v>
      </c>
      <c r="E133" t="s">
        <v>77</v>
      </c>
      <c r="F133">
        <v>3.1501999999999999</v>
      </c>
      <c r="G133">
        <v>0.72260000000000002</v>
      </c>
      <c r="H133">
        <v>2.3847999999999998</v>
      </c>
      <c r="I133">
        <v>3.1791</v>
      </c>
      <c r="J133">
        <v>9.8895</v>
      </c>
      <c r="K133">
        <v>6.1093000000000002</v>
      </c>
      <c r="L133">
        <v>27.117799999999999</v>
      </c>
      <c r="M133">
        <v>-0.27089999999999997</v>
      </c>
      <c r="N133">
        <v>-1.3345</v>
      </c>
      <c r="O133">
        <v>0.87280000000000002</v>
      </c>
      <c r="P133">
        <v>0.87280000000000002</v>
      </c>
      <c r="Q133" t="s">
        <v>134</v>
      </c>
      <c r="R133">
        <v>95.648899999999998</v>
      </c>
      <c r="S133">
        <v>0.1371</v>
      </c>
      <c r="T133">
        <v>33.5533</v>
      </c>
      <c r="U133">
        <v>259.49059999999997</v>
      </c>
      <c r="V133" t="s">
        <v>134</v>
      </c>
      <c r="W133" t="s">
        <v>134</v>
      </c>
      <c r="X133" t="s">
        <v>134</v>
      </c>
      <c r="Y133" t="s">
        <v>134</v>
      </c>
      <c r="Z133">
        <v>-1.9778</v>
      </c>
      <c r="AA133">
        <v>1.4506999999999999</v>
      </c>
      <c r="AB133">
        <v>-15.0029</v>
      </c>
      <c r="AC133">
        <v>11.350999999999999</v>
      </c>
      <c r="AD133" t="s">
        <v>134</v>
      </c>
      <c r="AE133">
        <v>43.107900000000001</v>
      </c>
      <c r="AF133">
        <v>18.882100000000001</v>
      </c>
      <c r="AG133">
        <v>-5.2620000000000005</v>
      </c>
      <c r="AH133">
        <v>6.7046999999999999</v>
      </c>
      <c r="AI133">
        <v>2.8679999999999999</v>
      </c>
      <c r="AJ133">
        <v>5.3495999999999997</v>
      </c>
      <c r="AK133">
        <v>5.7278000000000002</v>
      </c>
      <c r="AL133">
        <v>58.927199999999999</v>
      </c>
      <c r="AM133">
        <v>16.1892</v>
      </c>
      <c r="AN133">
        <v>14.483700000000001</v>
      </c>
      <c r="AO133">
        <v>10.899100000000001</v>
      </c>
      <c r="AP133">
        <v>-20.5776</v>
      </c>
      <c r="AQ133">
        <v>-21.301100000000002</v>
      </c>
      <c r="AR133">
        <v>-9.7119999999999997</v>
      </c>
      <c r="AS133">
        <v>5.7824999999999998</v>
      </c>
      <c r="AT133">
        <v>-0.89219999999999999</v>
      </c>
      <c r="AU133">
        <v>3.1469999999999998</v>
      </c>
      <c r="AV133">
        <v>16.034700000000001</v>
      </c>
      <c r="AW133" t="s">
        <v>134</v>
      </c>
      <c r="AX133" t="s">
        <v>134</v>
      </c>
      <c r="AY133">
        <v>14.550800000000001</v>
      </c>
      <c r="AZ133">
        <v>27.447800000000001</v>
      </c>
      <c r="BA133">
        <v>25.802399999999999</v>
      </c>
      <c r="BB133">
        <v>5.4097999999999997</v>
      </c>
      <c r="BC133">
        <v>16.156500000000001</v>
      </c>
      <c r="BD133">
        <v>2.8281000000000001</v>
      </c>
      <c r="BE133" t="s">
        <v>134</v>
      </c>
      <c r="BF133">
        <v>33.5533</v>
      </c>
      <c r="BG133">
        <v>259.49059999999997</v>
      </c>
      <c r="BH133" t="s">
        <v>134</v>
      </c>
      <c r="BI133" t="s">
        <v>134</v>
      </c>
      <c r="BJ133" t="s">
        <v>134</v>
      </c>
      <c r="BK133" t="s">
        <v>134</v>
      </c>
      <c r="BL133">
        <v>-1.9778</v>
      </c>
      <c r="BM133">
        <v>1.4506999999999999</v>
      </c>
      <c r="BN133">
        <v>-15.0029</v>
      </c>
      <c r="BO133">
        <v>11.350999999999999</v>
      </c>
      <c r="BP133">
        <v>-148.61070000000001</v>
      </c>
      <c r="BQ133" t="s">
        <v>134</v>
      </c>
      <c r="BR133">
        <v>18.882100000000001</v>
      </c>
      <c r="BS133">
        <v>-5.2620000000000005</v>
      </c>
      <c r="BT133">
        <v>6.7046999999999999</v>
      </c>
      <c r="BU133">
        <v>2.8679999999999999</v>
      </c>
      <c r="BV133">
        <v>5.3495999999999997</v>
      </c>
      <c r="BW133">
        <v>5.7278000000000002</v>
      </c>
      <c r="BX133" t="s">
        <v>134</v>
      </c>
      <c r="BY133">
        <v>90698.595000000001</v>
      </c>
      <c r="BZ133">
        <v>28504.564999999999</v>
      </c>
      <c r="CA133">
        <v>62194.03</v>
      </c>
      <c r="CB133">
        <v>5.9782999999999999</v>
      </c>
      <c r="CC133">
        <v>4.9288999999999996</v>
      </c>
      <c r="CD133">
        <v>9.6774000000000004</v>
      </c>
      <c r="CE133">
        <v>7.9786999999999999</v>
      </c>
      <c r="CF133">
        <v>1.8841999999999999</v>
      </c>
      <c r="CG133">
        <v>23.105699999999999</v>
      </c>
      <c r="CH133">
        <v>130.26419999999999</v>
      </c>
      <c r="CI133">
        <v>44.923900000000003</v>
      </c>
      <c r="CJ133">
        <v>31.854099999999999</v>
      </c>
      <c r="CK133">
        <v>189.96639999999999</v>
      </c>
      <c r="CL133">
        <v>65.513199999999998</v>
      </c>
      <c r="CM133">
        <v>46.453400000000002</v>
      </c>
      <c r="CN133">
        <v>156.6216</v>
      </c>
      <c r="CO133">
        <v>61.0321</v>
      </c>
      <c r="CP133">
        <v>15171.352999999999</v>
      </c>
      <c r="CQ133">
        <v>12662.411</v>
      </c>
      <c r="CR133">
        <v>9372.2340000000004</v>
      </c>
      <c r="CS133">
        <v>0.20219999999999999</v>
      </c>
      <c r="CT133">
        <v>0.96130000000000004</v>
      </c>
      <c r="CU133">
        <v>0.37419999999999998</v>
      </c>
      <c r="CV133">
        <v>1.8702999999999999</v>
      </c>
      <c r="CW133">
        <v>11.2188</v>
      </c>
      <c r="CX133">
        <v>32.534700000000001</v>
      </c>
      <c r="CY133">
        <v>6.7321</v>
      </c>
      <c r="CZ133">
        <v>54.2179</v>
      </c>
      <c r="DA133">
        <v>3.6981999999999999</v>
      </c>
      <c r="DB133">
        <v>98.696799999999996</v>
      </c>
      <c r="DC133">
        <v>-11.9442</v>
      </c>
      <c r="DD133">
        <v>86.752600000000001</v>
      </c>
      <c r="DE133">
        <v>15664.489</v>
      </c>
      <c r="DF133">
        <v>7661.5590000000002</v>
      </c>
      <c r="DG133">
        <v>700.274</v>
      </c>
      <c r="DH133">
        <v>4977.4560000000001</v>
      </c>
      <c r="DI133">
        <v>2325.1999999999998</v>
      </c>
    </row>
    <row r="134" spans="4:113" x14ac:dyDescent="0.3">
      <c r="E134" t="s">
        <v>78</v>
      </c>
      <c r="F134" t="s">
        <v>134</v>
      </c>
      <c r="G134" t="s">
        <v>134</v>
      </c>
      <c r="H134" t="s">
        <v>134</v>
      </c>
      <c r="I134" t="s">
        <v>134</v>
      </c>
      <c r="J134" t="s">
        <v>134</v>
      </c>
      <c r="K134" t="s">
        <v>134</v>
      </c>
      <c r="L134" t="s">
        <v>134</v>
      </c>
      <c r="M134" t="s">
        <v>134</v>
      </c>
      <c r="N134" t="s">
        <v>134</v>
      </c>
      <c r="O134" t="s">
        <v>134</v>
      </c>
      <c r="P134" t="s">
        <v>134</v>
      </c>
      <c r="Q134" t="s">
        <v>134</v>
      </c>
      <c r="R134" t="s">
        <v>134</v>
      </c>
      <c r="S134" t="s">
        <v>134</v>
      </c>
      <c r="T134" t="s">
        <v>134</v>
      </c>
      <c r="U134" t="s">
        <v>134</v>
      </c>
      <c r="V134" t="s">
        <v>134</v>
      </c>
      <c r="W134" t="s">
        <v>134</v>
      </c>
      <c r="X134" t="s">
        <v>134</v>
      </c>
      <c r="Y134" t="s">
        <v>134</v>
      </c>
      <c r="Z134" t="s">
        <v>134</v>
      </c>
      <c r="AA134" t="s">
        <v>134</v>
      </c>
      <c r="AB134" t="s">
        <v>134</v>
      </c>
      <c r="AC134" t="s">
        <v>134</v>
      </c>
      <c r="AD134" t="s">
        <v>134</v>
      </c>
      <c r="AE134" t="s">
        <v>134</v>
      </c>
      <c r="AF134" t="s">
        <v>134</v>
      </c>
      <c r="AG134" t="s">
        <v>134</v>
      </c>
      <c r="AH134" t="s">
        <v>134</v>
      </c>
      <c r="AI134" t="s">
        <v>134</v>
      </c>
      <c r="AJ134" t="s">
        <v>134</v>
      </c>
      <c r="AK134" t="s">
        <v>134</v>
      </c>
      <c r="AL134" t="s">
        <v>134</v>
      </c>
      <c r="AM134" t="s">
        <v>134</v>
      </c>
      <c r="AN134" t="s">
        <v>134</v>
      </c>
      <c r="AO134" t="s">
        <v>134</v>
      </c>
      <c r="AP134" t="s">
        <v>134</v>
      </c>
      <c r="AQ134" t="s">
        <v>134</v>
      </c>
      <c r="AR134" t="s">
        <v>134</v>
      </c>
      <c r="AS134" t="s">
        <v>134</v>
      </c>
      <c r="AT134" t="s">
        <v>134</v>
      </c>
      <c r="AU134" t="s">
        <v>134</v>
      </c>
      <c r="AV134" t="s">
        <v>134</v>
      </c>
      <c r="AW134" t="s">
        <v>134</v>
      </c>
      <c r="AX134" t="s">
        <v>134</v>
      </c>
      <c r="AY134" t="s">
        <v>134</v>
      </c>
      <c r="AZ134" t="s">
        <v>134</v>
      </c>
      <c r="BA134" t="s">
        <v>134</v>
      </c>
      <c r="BB134" t="s">
        <v>134</v>
      </c>
      <c r="BC134" t="s">
        <v>134</v>
      </c>
      <c r="BD134" t="s">
        <v>134</v>
      </c>
      <c r="BE134" t="s">
        <v>134</v>
      </c>
      <c r="BF134" t="s">
        <v>134</v>
      </c>
      <c r="BG134" t="s">
        <v>134</v>
      </c>
      <c r="BH134" t="s">
        <v>134</v>
      </c>
      <c r="BI134" t="s">
        <v>134</v>
      </c>
      <c r="BJ134" t="s">
        <v>134</v>
      </c>
      <c r="BK134" t="s">
        <v>134</v>
      </c>
      <c r="BL134" t="s">
        <v>134</v>
      </c>
      <c r="BM134" t="s">
        <v>134</v>
      </c>
      <c r="BN134" t="s">
        <v>134</v>
      </c>
      <c r="BO134" t="s">
        <v>134</v>
      </c>
      <c r="BP134" t="s">
        <v>134</v>
      </c>
      <c r="BQ134" t="s">
        <v>134</v>
      </c>
      <c r="BR134" t="s">
        <v>134</v>
      </c>
      <c r="BS134" t="s">
        <v>134</v>
      </c>
      <c r="BT134" t="s">
        <v>134</v>
      </c>
      <c r="BU134" t="s">
        <v>134</v>
      </c>
      <c r="BV134" t="s">
        <v>134</v>
      </c>
      <c r="BW134" t="s">
        <v>134</v>
      </c>
      <c r="BX134" t="s">
        <v>134</v>
      </c>
      <c r="BY134" t="s">
        <v>134</v>
      </c>
      <c r="BZ134" t="s">
        <v>134</v>
      </c>
      <c r="CA134" t="s">
        <v>134</v>
      </c>
      <c r="CB134" t="s">
        <v>134</v>
      </c>
      <c r="CC134" t="s">
        <v>134</v>
      </c>
      <c r="CD134" t="s">
        <v>134</v>
      </c>
      <c r="CE134" t="s">
        <v>134</v>
      </c>
      <c r="CF134" t="s">
        <v>134</v>
      </c>
      <c r="CG134" t="s">
        <v>134</v>
      </c>
      <c r="CH134" t="s">
        <v>134</v>
      </c>
      <c r="CI134" t="s">
        <v>134</v>
      </c>
      <c r="CJ134" t="s">
        <v>134</v>
      </c>
      <c r="CK134" t="s">
        <v>134</v>
      </c>
      <c r="CL134" t="s">
        <v>134</v>
      </c>
      <c r="CM134" t="s">
        <v>134</v>
      </c>
      <c r="CN134" t="s">
        <v>134</v>
      </c>
      <c r="CO134" t="s">
        <v>134</v>
      </c>
      <c r="CP134" t="s">
        <v>134</v>
      </c>
      <c r="CQ134" t="s">
        <v>134</v>
      </c>
      <c r="CR134" t="s">
        <v>134</v>
      </c>
      <c r="CS134" t="s">
        <v>134</v>
      </c>
      <c r="CT134" t="s">
        <v>134</v>
      </c>
      <c r="CU134" t="s">
        <v>134</v>
      </c>
      <c r="CV134" t="s">
        <v>134</v>
      </c>
      <c r="CW134" t="s">
        <v>134</v>
      </c>
      <c r="CX134" t="s">
        <v>134</v>
      </c>
      <c r="CY134" t="s">
        <v>134</v>
      </c>
      <c r="CZ134" t="s">
        <v>134</v>
      </c>
      <c r="DA134" t="s">
        <v>134</v>
      </c>
      <c r="DB134" t="s">
        <v>134</v>
      </c>
      <c r="DC134" t="s">
        <v>134</v>
      </c>
      <c r="DD134" t="s">
        <v>134</v>
      </c>
      <c r="DE134" t="s">
        <v>134</v>
      </c>
      <c r="DF134" t="s">
        <v>134</v>
      </c>
      <c r="DG134" t="s">
        <v>134</v>
      </c>
      <c r="DH134" t="s">
        <v>134</v>
      </c>
      <c r="DI134" t="s">
        <v>134</v>
      </c>
    </row>
    <row r="135" spans="4:113" x14ac:dyDescent="0.3">
      <c r="E135" t="s">
        <v>79</v>
      </c>
      <c r="F135" t="s">
        <v>134</v>
      </c>
      <c r="G135" t="s">
        <v>134</v>
      </c>
      <c r="H135" t="s">
        <v>134</v>
      </c>
      <c r="I135" t="s">
        <v>134</v>
      </c>
      <c r="J135">
        <v>7.4401000000000002</v>
      </c>
      <c r="K135">
        <v>4.1680999999999999</v>
      </c>
      <c r="L135" t="s">
        <v>134</v>
      </c>
      <c r="M135">
        <v>5.2450000000000001</v>
      </c>
      <c r="N135">
        <v>3.8308999999999997</v>
      </c>
      <c r="O135">
        <v>3.8308999999999997</v>
      </c>
      <c r="P135">
        <v>3.8308999999999997</v>
      </c>
      <c r="Q135">
        <v>26.959700000000002</v>
      </c>
      <c r="R135" t="s">
        <v>134</v>
      </c>
      <c r="S135" t="s">
        <v>134</v>
      </c>
      <c r="T135" t="s">
        <v>134</v>
      </c>
      <c r="U135" t="s">
        <v>134</v>
      </c>
      <c r="V135" t="s">
        <v>134</v>
      </c>
      <c r="W135" t="s">
        <v>134</v>
      </c>
      <c r="X135" t="s">
        <v>134</v>
      </c>
      <c r="Y135" t="s">
        <v>134</v>
      </c>
      <c r="Z135" t="s">
        <v>134</v>
      </c>
      <c r="AA135" t="s">
        <v>134</v>
      </c>
      <c r="AB135" t="s">
        <v>134</v>
      </c>
      <c r="AC135" t="s">
        <v>134</v>
      </c>
      <c r="AD135" t="s">
        <v>134</v>
      </c>
      <c r="AE135" t="s">
        <v>134</v>
      </c>
      <c r="AF135" t="s">
        <v>134</v>
      </c>
      <c r="AG135" t="s">
        <v>134</v>
      </c>
      <c r="AH135" t="s">
        <v>134</v>
      </c>
      <c r="AI135" t="s">
        <v>134</v>
      </c>
      <c r="AJ135" t="s">
        <v>134</v>
      </c>
      <c r="AK135" t="s">
        <v>134</v>
      </c>
      <c r="AL135" t="s">
        <v>134</v>
      </c>
      <c r="AM135" t="s">
        <v>134</v>
      </c>
      <c r="AN135" t="s">
        <v>134</v>
      </c>
      <c r="AO135" t="s">
        <v>134</v>
      </c>
      <c r="AP135" t="s">
        <v>134</v>
      </c>
      <c r="AQ135" t="s">
        <v>134</v>
      </c>
      <c r="AR135" t="s">
        <v>134</v>
      </c>
      <c r="AS135" t="s">
        <v>134</v>
      </c>
      <c r="AT135" t="s">
        <v>134</v>
      </c>
      <c r="AU135" t="s">
        <v>134</v>
      </c>
      <c r="AV135" t="s">
        <v>134</v>
      </c>
      <c r="AW135" t="s">
        <v>134</v>
      </c>
      <c r="AX135" t="s">
        <v>134</v>
      </c>
      <c r="AY135" t="s">
        <v>134</v>
      </c>
      <c r="AZ135" t="s">
        <v>134</v>
      </c>
      <c r="BA135" t="s">
        <v>134</v>
      </c>
      <c r="BB135" t="s">
        <v>134</v>
      </c>
      <c r="BC135" t="s">
        <v>134</v>
      </c>
      <c r="BD135" t="s">
        <v>134</v>
      </c>
      <c r="BE135" t="s">
        <v>134</v>
      </c>
      <c r="BF135" t="s">
        <v>134</v>
      </c>
      <c r="BG135" t="s">
        <v>134</v>
      </c>
      <c r="BH135" t="s">
        <v>134</v>
      </c>
      <c r="BI135" t="s">
        <v>134</v>
      </c>
      <c r="BJ135" t="s">
        <v>134</v>
      </c>
      <c r="BK135" t="s">
        <v>134</v>
      </c>
      <c r="BL135" t="s">
        <v>134</v>
      </c>
      <c r="BM135" t="s">
        <v>134</v>
      </c>
      <c r="BN135" t="s">
        <v>134</v>
      </c>
      <c r="BO135" t="s">
        <v>134</v>
      </c>
      <c r="BP135" t="s">
        <v>134</v>
      </c>
      <c r="BQ135" t="s">
        <v>134</v>
      </c>
      <c r="BR135" t="s">
        <v>134</v>
      </c>
      <c r="BS135" t="s">
        <v>134</v>
      </c>
      <c r="BT135" t="s">
        <v>134</v>
      </c>
      <c r="BU135" t="s">
        <v>134</v>
      </c>
      <c r="BV135" t="s">
        <v>134</v>
      </c>
      <c r="BW135" t="s">
        <v>134</v>
      </c>
      <c r="BX135" t="s">
        <v>134</v>
      </c>
      <c r="BY135">
        <v>36979.684999999998</v>
      </c>
      <c r="BZ135">
        <v>7950.634</v>
      </c>
      <c r="CA135">
        <v>29029.050999999999</v>
      </c>
      <c r="CB135" t="s">
        <v>134</v>
      </c>
      <c r="CC135" t="s">
        <v>134</v>
      </c>
      <c r="CD135" t="s">
        <v>134</v>
      </c>
      <c r="CE135" t="s">
        <v>134</v>
      </c>
      <c r="CF135">
        <v>2.3266</v>
      </c>
      <c r="CG135">
        <v>38.702300000000001</v>
      </c>
      <c r="CH135">
        <v>56.949100000000001</v>
      </c>
      <c r="CI135">
        <v>33.005099999999999</v>
      </c>
      <c r="CJ135">
        <v>22.040600000000001</v>
      </c>
      <c r="CK135">
        <v>72.546700000000001</v>
      </c>
      <c r="CL135">
        <v>42.044699999999999</v>
      </c>
      <c r="CM135">
        <v>28.077200000000001</v>
      </c>
      <c r="CN135">
        <v>64.221199999999996</v>
      </c>
      <c r="CO135">
        <v>39.106499999999997</v>
      </c>
      <c r="CP135">
        <v>2343.8960000000002</v>
      </c>
      <c r="CQ135" t="s">
        <v>134</v>
      </c>
      <c r="CR135">
        <v>1313.0989999999999</v>
      </c>
      <c r="CS135">
        <v>9.0800000000000006E-2</v>
      </c>
      <c r="CT135">
        <v>0.93200000000000005</v>
      </c>
      <c r="CU135">
        <v>0.40620000000000001</v>
      </c>
      <c r="CV135">
        <v>1.3529</v>
      </c>
      <c r="CW135" t="s">
        <v>134</v>
      </c>
      <c r="CX135" t="s">
        <v>134</v>
      </c>
      <c r="CY135" t="s">
        <v>134</v>
      </c>
      <c r="CZ135" t="s">
        <v>134</v>
      </c>
      <c r="DA135" t="s">
        <v>134</v>
      </c>
      <c r="DB135" t="s">
        <v>134</v>
      </c>
      <c r="DC135" t="s">
        <v>134</v>
      </c>
      <c r="DD135" t="s">
        <v>134</v>
      </c>
      <c r="DE135">
        <v>15490.208000000001</v>
      </c>
      <c r="DF135" t="s">
        <v>134</v>
      </c>
      <c r="DG135" t="s">
        <v>134</v>
      </c>
      <c r="DH135" t="s">
        <v>134</v>
      </c>
      <c r="DI135" t="s">
        <v>134</v>
      </c>
    </row>
    <row r="136" spans="4:113" x14ac:dyDescent="0.3">
      <c r="E136" t="s">
        <v>80</v>
      </c>
      <c r="F136" t="s">
        <v>134</v>
      </c>
      <c r="G136" t="s">
        <v>134</v>
      </c>
      <c r="H136" t="s">
        <v>134</v>
      </c>
      <c r="I136" t="s">
        <v>134</v>
      </c>
      <c r="J136" t="s">
        <v>134</v>
      </c>
      <c r="K136" t="s">
        <v>134</v>
      </c>
      <c r="L136" t="s">
        <v>134</v>
      </c>
      <c r="M136" t="s">
        <v>134</v>
      </c>
      <c r="N136" t="s">
        <v>134</v>
      </c>
      <c r="O136" t="s">
        <v>134</v>
      </c>
      <c r="P136" t="s">
        <v>134</v>
      </c>
      <c r="Q136" t="s">
        <v>134</v>
      </c>
      <c r="R136" t="s">
        <v>134</v>
      </c>
      <c r="S136" t="s">
        <v>134</v>
      </c>
      <c r="T136" t="s">
        <v>134</v>
      </c>
      <c r="U136" t="s">
        <v>134</v>
      </c>
      <c r="V136" t="s">
        <v>134</v>
      </c>
      <c r="W136" t="s">
        <v>134</v>
      </c>
      <c r="X136" t="s">
        <v>134</v>
      </c>
      <c r="Y136" t="s">
        <v>134</v>
      </c>
      <c r="Z136" t="s">
        <v>134</v>
      </c>
      <c r="AA136" t="s">
        <v>134</v>
      </c>
      <c r="AB136" t="s">
        <v>134</v>
      </c>
      <c r="AC136" t="s">
        <v>134</v>
      </c>
      <c r="AD136" t="s">
        <v>134</v>
      </c>
      <c r="AE136" t="s">
        <v>134</v>
      </c>
      <c r="AF136" t="s">
        <v>134</v>
      </c>
      <c r="AG136" t="s">
        <v>134</v>
      </c>
      <c r="AH136" t="s">
        <v>134</v>
      </c>
      <c r="AI136" t="s">
        <v>134</v>
      </c>
      <c r="AJ136" t="s">
        <v>134</v>
      </c>
      <c r="AK136" t="s">
        <v>134</v>
      </c>
      <c r="AL136" t="s">
        <v>134</v>
      </c>
      <c r="AM136" t="s">
        <v>134</v>
      </c>
      <c r="AN136" t="s">
        <v>134</v>
      </c>
      <c r="AO136" t="s">
        <v>134</v>
      </c>
      <c r="AP136" t="s">
        <v>134</v>
      </c>
      <c r="AQ136" t="s">
        <v>134</v>
      </c>
      <c r="AR136" t="s">
        <v>134</v>
      </c>
      <c r="AS136" t="s">
        <v>134</v>
      </c>
      <c r="AT136" t="s">
        <v>134</v>
      </c>
      <c r="AU136" t="s">
        <v>134</v>
      </c>
      <c r="AV136" t="s">
        <v>134</v>
      </c>
      <c r="AW136" t="s">
        <v>134</v>
      </c>
      <c r="AX136" t="s">
        <v>134</v>
      </c>
      <c r="AY136" t="s">
        <v>134</v>
      </c>
      <c r="AZ136" t="s">
        <v>134</v>
      </c>
      <c r="BA136" t="s">
        <v>134</v>
      </c>
      <c r="BB136" t="s">
        <v>134</v>
      </c>
      <c r="BC136" t="s">
        <v>134</v>
      </c>
      <c r="BD136" t="s">
        <v>134</v>
      </c>
      <c r="BE136" t="s">
        <v>134</v>
      </c>
      <c r="BF136" t="s">
        <v>134</v>
      </c>
      <c r="BG136" t="s">
        <v>134</v>
      </c>
      <c r="BH136" t="s">
        <v>134</v>
      </c>
      <c r="BI136" t="s">
        <v>134</v>
      </c>
      <c r="BJ136" t="s">
        <v>134</v>
      </c>
      <c r="BK136" t="s">
        <v>134</v>
      </c>
      <c r="BL136" t="s">
        <v>134</v>
      </c>
      <c r="BM136" t="s">
        <v>134</v>
      </c>
      <c r="BN136" t="s">
        <v>134</v>
      </c>
      <c r="BO136" t="s">
        <v>134</v>
      </c>
      <c r="BP136" t="s">
        <v>134</v>
      </c>
      <c r="BQ136" t="s">
        <v>134</v>
      </c>
      <c r="BR136" t="s">
        <v>134</v>
      </c>
      <c r="BS136" t="s">
        <v>134</v>
      </c>
      <c r="BT136" t="s">
        <v>134</v>
      </c>
      <c r="BU136" t="s">
        <v>134</v>
      </c>
      <c r="BV136" t="s">
        <v>134</v>
      </c>
      <c r="BW136" t="s">
        <v>134</v>
      </c>
      <c r="BX136" t="s">
        <v>134</v>
      </c>
      <c r="BY136" t="s">
        <v>134</v>
      </c>
      <c r="BZ136" t="s">
        <v>134</v>
      </c>
      <c r="CA136" t="s">
        <v>134</v>
      </c>
      <c r="CB136" t="s">
        <v>134</v>
      </c>
      <c r="CC136" t="s">
        <v>134</v>
      </c>
      <c r="CD136" t="s">
        <v>134</v>
      </c>
      <c r="CE136" t="s">
        <v>134</v>
      </c>
      <c r="CF136" t="s">
        <v>134</v>
      </c>
      <c r="CG136" t="s">
        <v>134</v>
      </c>
      <c r="CH136" t="s">
        <v>134</v>
      </c>
      <c r="CI136" t="s">
        <v>134</v>
      </c>
      <c r="CJ136" t="s">
        <v>134</v>
      </c>
      <c r="CK136" t="s">
        <v>134</v>
      </c>
      <c r="CL136" t="s">
        <v>134</v>
      </c>
      <c r="CM136" t="s">
        <v>134</v>
      </c>
      <c r="CN136" t="s">
        <v>134</v>
      </c>
      <c r="CO136" t="s">
        <v>134</v>
      </c>
      <c r="CP136" t="s">
        <v>134</v>
      </c>
      <c r="CQ136" t="s">
        <v>134</v>
      </c>
      <c r="CR136" t="s">
        <v>134</v>
      </c>
      <c r="CS136" t="s">
        <v>134</v>
      </c>
      <c r="CT136" t="s">
        <v>134</v>
      </c>
      <c r="CU136" t="s">
        <v>134</v>
      </c>
      <c r="CV136" t="s">
        <v>134</v>
      </c>
      <c r="CW136" t="s">
        <v>134</v>
      </c>
      <c r="CX136" t="s">
        <v>134</v>
      </c>
      <c r="CY136" t="s">
        <v>134</v>
      </c>
      <c r="CZ136" t="s">
        <v>134</v>
      </c>
      <c r="DA136" t="s">
        <v>134</v>
      </c>
      <c r="DB136" t="s">
        <v>134</v>
      </c>
      <c r="DC136" t="s">
        <v>134</v>
      </c>
      <c r="DD136" t="s">
        <v>134</v>
      </c>
      <c r="DE136" t="s">
        <v>134</v>
      </c>
      <c r="DF136" t="s">
        <v>134</v>
      </c>
      <c r="DG136" t="s">
        <v>134</v>
      </c>
      <c r="DH136" t="s">
        <v>134</v>
      </c>
      <c r="DI136" t="s">
        <v>134</v>
      </c>
    </row>
    <row r="137" spans="4:113" x14ac:dyDescent="0.3">
      <c r="E137" t="s">
        <v>81</v>
      </c>
      <c r="F137" t="s">
        <v>134</v>
      </c>
      <c r="G137" t="s">
        <v>134</v>
      </c>
      <c r="H137" t="s">
        <v>134</v>
      </c>
      <c r="I137" t="s">
        <v>134</v>
      </c>
      <c r="J137" t="s">
        <v>134</v>
      </c>
      <c r="K137" t="s">
        <v>134</v>
      </c>
      <c r="L137" t="s">
        <v>134</v>
      </c>
      <c r="M137" t="s">
        <v>134</v>
      </c>
      <c r="N137" t="s">
        <v>134</v>
      </c>
      <c r="O137" t="s">
        <v>134</v>
      </c>
      <c r="P137" t="s">
        <v>134</v>
      </c>
      <c r="Q137" t="s">
        <v>134</v>
      </c>
      <c r="R137" t="s">
        <v>134</v>
      </c>
      <c r="S137" t="s">
        <v>134</v>
      </c>
      <c r="T137" t="s">
        <v>134</v>
      </c>
      <c r="U137" t="s">
        <v>134</v>
      </c>
      <c r="V137" t="s">
        <v>134</v>
      </c>
      <c r="W137" t="s">
        <v>134</v>
      </c>
      <c r="X137" t="s">
        <v>134</v>
      </c>
      <c r="Y137" t="s">
        <v>134</v>
      </c>
      <c r="Z137" t="s">
        <v>134</v>
      </c>
      <c r="AA137" t="s">
        <v>134</v>
      </c>
      <c r="AB137" t="s">
        <v>134</v>
      </c>
      <c r="AC137" t="s">
        <v>134</v>
      </c>
      <c r="AD137" t="s">
        <v>134</v>
      </c>
      <c r="AE137" t="s">
        <v>134</v>
      </c>
      <c r="AF137" t="s">
        <v>134</v>
      </c>
      <c r="AG137" t="s">
        <v>134</v>
      </c>
      <c r="AH137" t="s">
        <v>134</v>
      </c>
      <c r="AI137" t="s">
        <v>134</v>
      </c>
      <c r="AJ137" t="s">
        <v>134</v>
      </c>
      <c r="AK137" t="s">
        <v>134</v>
      </c>
      <c r="AL137" t="s">
        <v>134</v>
      </c>
      <c r="AM137" t="s">
        <v>134</v>
      </c>
      <c r="AN137" t="s">
        <v>134</v>
      </c>
      <c r="AO137" t="s">
        <v>134</v>
      </c>
      <c r="AP137" t="s">
        <v>134</v>
      </c>
      <c r="AQ137" t="s">
        <v>134</v>
      </c>
      <c r="AR137" t="s">
        <v>134</v>
      </c>
      <c r="AS137" t="s">
        <v>134</v>
      </c>
      <c r="AT137" t="s">
        <v>134</v>
      </c>
      <c r="AU137" t="s">
        <v>134</v>
      </c>
      <c r="AV137" t="s">
        <v>134</v>
      </c>
      <c r="AW137" t="s">
        <v>134</v>
      </c>
      <c r="AX137" t="s">
        <v>134</v>
      </c>
      <c r="AY137" t="s">
        <v>134</v>
      </c>
      <c r="AZ137" t="s">
        <v>134</v>
      </c>
      <c r="BA137" t="s">
        <v>134</v>
      </c>
      <c r="BB137" t="s">
        <v>134</v>
      </c>
      <c r="BC137" t="s">
        <v>134</v>
      </c>
      <c r="BD137" t="s">
        <v>134</v>
      </c>
      <c r="BE137" t="s">
        <v>134</v>
      </c>
      <c r="BF137" t="s">
        <v>134</v>
      </c>
      <c r="BG137" t="s">
        <v>134</v>
      </c>
      <c r="BH137" t="s">
        <v>134</v>
      </c>
      <c r="BI137" t="s">
        <v>134</v>
      </c>
      <c r="BJ137" t="s">
        <v>134</v>
      </c>
      <c r="BK137" t="s">
        <v>134</v>
      </c>
      <c r="BL137" t="s">
        <v>134</v>
      </c>
      <c r="BM137" t="s">
        <v>134</v>
      </c>
      <c r="BN137" t="s">
        <v>134</v>
      </c>
      <c r="BO137" t="s">
        <v>134</v>
      </c>
      <c r="BP137" t="s">
        <v>134</v>
      </c>
      <c r="BQ137" t="s">
        <v>134</v>
      </c>
      <c r="BR137" t="s">
        <v>134</v>
      </c>
      <c r="BS137" t="s">
        <v>134</v>
      </c>
      <c r="BT137" t="s">
        <v>134</v>
      </c>
      <c r="BU137" t="s">
        <v>134</v>
      </c>
      <c r="BV137" t="s">
        <v>134</v>
      </c>
      <c r="BW137" t="s">
        <v>134</v>
      </c>
      <c r="BX137" t="s">
        <v>134</v>
      </c>
      <c r="BY137" t="s">
        <v>134</v>
      </c>
      <c r="BZ137" t="s">
        <v>134</v>
      </c>
      <c r="CA137" t="s">
        <v>134</v>
      </c>
      <c r="CB137" t="s">
        <v>134</v>
      </c>
      <c r="CC137" t="s">
        <v>134</v>
      </c>
      <c r="CD137" t="s">
        <v>134</v>
      </c>
      <c r="CE137" t="s">
        <v>134</v>
      </c>
      <c r="CF137" t="s">
        <v>134</v>
      </c>
      <c r="CG137" t="s">
        <v>134</v>
      </c>
      <c r="CH137" t="s">
        <v>134</v>
      </c>
      <c r="CI137" t="s">
        <v>134</v>
      </c>
      <c r="CJ137" t="s">
        <v>134</v>
      </c>
      <c r="CK137" t="s">
        <v>134</v>
      </c>
      <c r="CL137" t="s">
        <v>134</v>
      </c>
      <c r="CM137" t="s">
        <v>134</v>
      </c>
      <c r="CN137" t="s">
        <v>134</v>
      </c>
      <c r="CO137" t="s">
        <v>134</v>
      </c>
      <c r="CP137" t="s">
        <v>134</v>
      </c>
      <c r="CQ137" t="s">
        <v>134</v>
      </c>
      <c r="CR137" t="s">
        <v>134</v>
      </c>
      <c r="CS137" t="s">
        <v>134</v>
      </c>
      <c r="CT137" t="s">
        <v>134</v>
      </c>
      <c r="CU137" t="s">
        <v>134</v>
      </c>
      <c r="CV137" t="s">
        <v>134</v>
      </c>
      <c r="CW137" t="s">
        <v>134</v>
      </c>
      <c r="CX137" t="s">
        <v>134</v>
      </c>
      <c r="CY137" t="s">
        <v>134</v>
      </c>
      <c r="CZ137" t="s">
        <v>134</v>
      </c>
      <c r="DA137" t="s">
        <v>134</v>
      </c>
      <c r="DB137" t="s">
        <v>134</v>
      </c>
      <c r="DC137" t="s">
        <v>134</v>
      </c>
      <c r="DD137" t="s">
        <v>134</v>
      </c>
      <c r="DE137" t="s">
        <v>134</v>
      </c>
      <c r="DF137" t="s">
        <v>134</v>
      </c>
      <c r="DG137" t="s">
        <v>134</v>
      </c>
      <c r="DH137" t="s">
        <v>134</v>
      </c>
      <c r="DI137" t="s">
        <v>134</v>
      </c>
    </row>
    <row r="138" spans="4:113" x14ac:dyDescent="0.3">
      <c r="D138" t="s">
        <v>83</v>
      </c>
      <c r="E138" t="s">
        <v>77</v>
      </c>
      <c r="F138">
        <v>22.532499999999999</v>
      </c>
      <c r="G138">
        <v>5.04</v>
      </c>
      <c r="H138">
        <v>11.3733</v>
      </c>
      <c r="I138">
        <v>10.5932</v>
      </c>
      <c r="J138">
        <v>14.194800000000001</v>
      </c>
      <c r="K138">
        <v>11.6563</v>
      </c>
      <c r="L138">
        <v>27.658100000000001</v>
      </c>
      <c r="M138">
        <v>7.8731999999999998</v>
      </c>
      <c r="N138">
        <v>5.3483999999999998</v>
      </c>
      <c r="O138">
        <v>5.1826999999999996</v>
      </c>
      <c r="P138">
        <v>5.1826999999999996</v>
      </c>
      <c r="Q138">
        <v>32.446199999999997</v>
      </c>
      <c r="R138">
        <v>25.251000000000001</v>
      </c>
      <c r="S138">
        <v>16.8428</v>
      </c>
      <c r="T138">
        <v>34.664299999999997</v>
      </c>
      <c r="U138">
        <v>93.289000000000001</v>
      </c>
      <c r="V138">
        <v>156.93270000000001</v>
      </c>
      <c r="W138">
        <v>699.67330000000004</v>
      </c>
      <c r="X138">
        <v>683.33330000000001</v>
      </c>
      <c r="Y138">
        <v>111.11109999999999</v>
      </c>
      <c r="Z138">
        <v>13.1873</v>
      </c>
      <c r="AA138">
        <v>31.5244</v>
      </c>
      <c r="AB138">
        <v>-2.2498</v>
      </c>
      <c r="AC138">
        <v>17.6112</v>
      </c>
      <c r="AD138" t="s">
        <v>134</v>
      </c>
      <c r="AE138">
        <v>71.728399999999993</v>
      </c>
      <c r="AF138">
        <v>-3.7770999999999999</v>
      </c>
      <c r="AG138">
        <v>27.406500000000001</v>
      </c>
      <c r="AH138">
        <v>23.803599999999999</v>
      </c>
      <c r="AI138">
        <v>10.864000000000001</v>
      </c>
      <c r="AJ138">
        <v>19.341200000000001</v>
      </c>
      <c r="AK138">
        <v>10.659000000000001</v>
      </c>
      <c r="AL138">
        <v>-428.04860000000002</v>
      </c>
      <c r="AM138">
        <v>13.071899999999999</v>
      </c>
      <c r="AN138">
        <v>19.086600000000001</v>
      </c>
      <c r="AO138">
        <v>20.5395</v>
      </c>
      <c r="AP138">
        <v>11.143800000000001</v>
      </c>
      <c r="AQ138">
        <v>25.977799999999998</v>
      </c>
      <c r="AR138">
        <v>-1.0206</v>
      </c>
      <c r="AS138">
        <v>5.4074999999999998</v>
      </c>
      <c r="AT138">
        <v>-1.3835999999999999</v>
      </c>
      <c r="AU138">
        <v>3.6124999999999998</v>
      </c>
      <c r="AV138">
        <v>17.084399999999999</v>
      </c>
      <c r="AW138" t="s">
        <v>134</v>
      </c>
      <c r="AX138" t="s">
        <v>134</v>
      </c>
      <c r="AY138">
        <v>5.1367000000000003</v>
      </c>
      <c r="AZ138">
        <v>75.179299999999998</v>
      </c>
      <c r="BA138">
        <v>34.319400000000002</v>
      </c>
      <c r="BB138">
        <v>5.9592999999999998</v>
      </c>
      <c r="BC138">
        <v>20.3964</v>
      </c>
      <c r="BD138">
        <v>3.3258999999999999</v>
      </c>
      <c r="BE138" t="s">
        <v>134</v>
      </c>
      <c r="BF138">
        <v>34.664299999999997</v>
      </c>
      <c r="BG138">
        <v>93.289000000000001</v>
      </c>
      <c r="BH138">
        <v>156.93270000000001</v>
      </c>
      <c r="BI138">
        <v>699.67330000000004</v>
      </c>
      <c r="BJ138">
        <v>683.33330000000001</v>
      </c>
      <c r="BK138">
        <v>111.11109999999999</v>
      </c>
      <c r="BL138">
        <v>13.1873</v>
      </c>
      <c r="BM138">
        <v>31.5244</v>
      </c>
      <c r="BN138">
        <v>-2.2498</v>
      </c>
      <c r="BO138">
        <v>17.6112</v>
      </c>
      <c r="BP138" t="s">
        <v>134</v>
      </c>
      <c r="BQ138" t="s">
        <v>134</v>
      </c>
      <c r="BR138">
        <v>-3.7770999999999999</v>
      </c>
      <c r="BS138">
        <v>27.406500000000001</v>
      </c>
      <c r="BT138">
        <v>23.803599999999999</v>
      </c>
      <c r="BU138">
        <v>10.864000000000001</v>
      </c>
      <c r="BV138">
        <v>19.341200000000001</v>
      </c>
      <c r="BW138">
        <v>10.659000000000001</v>
      </c>
      <c r="BX138" t="s">
        <v>134</v>
      </c>
      <c r="BY138">
        <v>112288.141</v>
      </c>
      <c r="BZ138">
        <v>36316.675000000003</v>
      </c>
      <c r="CA138">
        <v>75971.466</v>
      </c>
      <c r="CB138">
        <v>3.8292000000000002</v>
      </c>
      <c r="CC138">
        <v>3.1415000000000002</v>
      </c>
      <c r="CD138">
        <v>4.6631</v>
      </c>
      <c r="CE138">
        <v>3.8256000000000001</v>
      </c>
      <c r="CF138">
        <v>3.1852</v>
      </c>
      <c r="CG138">
        <v>21.739899999999999</v>
      </c>
      <c r="CH138">
        <v>143.52780000000001</v>
      </c>
      <c r="CI138">
        <v>45.982100000000003</v>
      </c>
      <c r="CJ138">
        <v>33.084099999999999</v>
      </c>
      <c r="CK138">
        <v>212.13849999999999</v>
      </c>
      <c r="CL138">
        <v>67.962900000000005</v>
      </c>
      <c r="CM138">
        <v>48.899299999999997</v>
      </c>
      <c r="CN138">
        <v>174.0411</v>
      </c>
      <c r="CO138">
        <v>63.509099999999997</v>
      </c>
      <c r="CP138">
        <v>29324.55</v>
      </c>
      <c r="CQ138">
        <v>27205.867999999999</v>
      </c>
      <c r="CR138">
        <v>24080.332999999999</v>
      </c>
      <c r="CS138">
        <v>0.21820000000000001</v>
      </c>
      <c r="CT138">
        <v>0.99170000000000003</v>
      </c>
      <c r="CU138">
        <v>0.3821</v>
      </c>
      <c r="CV138">
        <v>2.7145000000000001</v>
      </c>
      <c r="CW138">
        <v>14.476800000000001</v>
      </c>
      <c r="CX138">
        <v>25.2818</v>
      </c>
      <c r="CY138">
        <v>7.7389000000000001</v>
      </c>
      <c r="CZ138">
        <v>47.293700000000001</v>
      </c>
      <c r="DA138">
        <v>4.8044000000000002</v>
      </c>
      <c r="DB138">
        <v>76.180800000000005</v>
      </c>
      <c r="DC138">
        <v>-3.6052999999999997</v>
      </c>
      <c r="DD138">
        <v>72.575500000000005</v>
      </c>
      <c r="DE138">
        <v>20602.632000000001</v>
      </c>
      <c r="DF138">
        <v>7313.5959999999995</v>
      </c>
      <c r="DG138">
        <v>557.23</v>
      </c>
      <c r="DH138">
        <v>9375.0859999999993</v>
      </c>
      <c r="DI138">
        <v>3356.72</v>
      </c>
    </row>
    <row r="139" spans="4:113" x14ac:dyDescent="0.3">
      <c r="E139" t="s">
        <v>78</v>
      </c>
      <c r="F139" t="s">
        <v>134</v>
      </c>
      <c r="G139" t="s">
        <v>134</v>
      </c>
      <c r="H139" t="s">
        <v>134</v>
      </c>
      <c r="I139" t="s">
        <v>134</v>
      </c>
      <c r="J139" t="s">
        <v>134</v>
      </c>
      <c r="K139" t="s">
        <v>134</v>
      </c>
      <c r="L139" t="s">
        <v>134</v>
      </c>
      <c r="M139" t="s">
        <v>134</v>
      </c>
      <c r="N139" t="s">
        <v>134</v>
      </c>
      <c r="O139" t="s">
        <v>134</v>
      </c>
      <c r="P139" t="s">
        <v>134</v>
      </c>
      <c r="Q139" t="s">
        <v>134</v>
      </c>
      <c r="R139" t="s">
        <v>134</v>
      </c>
      <c r="S139" t="s">
        <v>134</v>
      </c>
      <c r="T139" t="s">
        <v>134</v>
      </c>
      <c r="U139" t="s">
        <v>134</v>
      </c>
      <c r="V139" t="s">
        <v>134</v>
      </c>
      <c r="W139" t="s">
        <v>134</v>
      </c>
      <c r="X139" t="s">
        <v>134</v>
      </c>
      <c r="Y139" t="s">
        <v>134</v>
      </c>
      <c r="Z139" t="s">
        <v>134</v>
      </c>
      <c r="AA139" t="s">
        <v>134</v>
      </c>
      <c r="AB139" t="s">
        <v>134</v>
      </c>
      <c r="AC139" t="s">
        <v>134</v>
      </c>
      <c r="AD139" t="s">
        <v>134</v>
      </c>
      <c r="AE139" t="s">
        <v>134</v>
      </c>
      <c r="AF139" t="s">
        <v>134</v>
      </c>
      <c r="AG139" t="s">
        <v>134</v>
      </c>
      <c r="AH139" t="s">
        <v>134</v>
      </c>
      <c r="AI139" t="s">
        <v>134</v>
      </c>
      <c r="AJ139" t="s">
        <v>134</v>
      </c>
      <c r="AK139" t="s">
        <v>134</v>
      </c>
      <c r="AL139" t="s">
        <v>134</v>
      </c>
      <c r="AM139" t="s">
        <v>134</v>
      </c>
      <c r="AN139" t="s">
        <v>134</v>
      </c>
      <c r="AO139" t="s">
        <v>134</v>
      </c>
      <c r="AP139" t="s">
        <v>134</v>
      </c>
      <c r="AQ139" t="s">
        <v>134</v>
      </c>
      <c r="AR139" t="s">
        <v>134</v>
      </c>
      <c r="AS139" t="s">
        <v>134</v>
      </c>
      <c r="AT139" t="s">
        <v>134</v>
      </c>
      <c r="AU139" t="s">
        <v>134</v>
      </c>
      <c r="AV139" t="s">
        <v>134</v>
      </c>
      <c r="AW139" t="s">
        <v>134</v>
      </c>
      <c r="AX139" t="s">
        <v>134</v>
      </c>
      <c r="AY139" t="s">
        <v>134</v>
      </c>
      <c r="AZ139" t="s">
        <v>134</v>
      </c>
      <c r="BA139" t="s">
        <v>134</v>
      </c>
      <c r="BB139" t="s">
        <v>134</v>
      </c>
      <c r="BC139" t="s">
        <v>134</v>
      </c>
      <c r="BD139" t="s">
        <v>134</v>
      </c>
      <c r="BE139" t="s">
        <v>134</v>
      </c>
      <c r="BF139" t="s">
        <v>134</v>
      </c>
      <c r="BG139" t="s">
        <v>134</v>
      </c>
      <c r="BH139" t="s">
        <v>134</v>
      </c>
      <c r="BI139" t="s">
        <v>134</v>
      </c>
      <c r="BJ139" t="s">
        <v>134</v>
      </c>
      <c r="BK139" t="s">
        <v>134</v>
      </c>
      <c r="BL139" t="s">
        <v>134</v>
      </c>
      <c r="BM139" t="s">
        <v>134</v>
      </c>
      <c r="BN139" t="s">
        <v>134</v>
      </c>
      <c r="BO139" t="s">
        <v>134</v>
      </c>
      <c r="BP139" t="s">
        <v>134</v>
      </c>
      <c r="BQ139" t="s">
        <v>134</v>
      </c>
      <c r="BR139" t="s">
        <v>134</v>
      </c>
      <c r="BS139" t="s">
        <v>134</v>
      </c>
      <c r="BT139" t="s">
        <v>134</v>
      </c>
      <c r="BU139" t="s">
        <v>134</v>
      </c>
      <c r="BV139" t="s">
        <v>134</v>
      </c>
      <c r="BW139" t="s">
        <v>134</v>
      </c>
      <c r="BX139" t="s">
        <v>134</v>
      </c>
      <c r="BY139" t="s">
        <v>134</v>
      </c>
      <c r="BZ139" t="s">
        <v>134</v>
      </c>
      <c r="CA139" t="s">
        <v>134</v>
      </c>
      <c r="CB139" t="s">
        <v>134</v>
      </c>
      <c r="CC139" t="s">
        <v>134</v>
      </c>
      <c r="CD139" t="s">
        <v>134</v>
      </c>
      <c r="CE139" t="s">
        <v>134</v>
      </c>
      <c r="CF139" t="s">
        <v>134</v>
      </c>
      <c r="CG139" t="s">
        <v>134</v>
      </c>
      <c r="CH139" t="s">
        <v>134</v>
      </c>
      <c r="CI139" t="s">
        <v>134</v>
      </c>
      <c r="CJ139" t="s">
        <v>134</v>
      </c>
      <c r="CK139" t="s">
        <v>134</v>
      </c>
      <c r="CL139" t="s">
        <v>134</v>
      </c>
      <c r="CM139" t="s">
        <v>134</v>
      </c>
      <c r="CN139" t="s">
        <v>134</v>
      </c>
      <c r="CO139" t="s">
        <v>134</v>
      </c>
      <c r="CP139" t="s">
        <v>134</v>
      </c>
      <c r="CQ139" t="s">
        <v>134</v>
      </c>
      <c r="CR139" t="s">
        <v>134</v>
      </c>
      <c r="CS139" t="s">
        <v>134</v>
      </c>
      <c r="CT139" t="s">
        <v>134</v>
      </c>
      <c r="CU139" t="s">
        <v>134</v>
      </c>
      <c r="CV139" t="s">
        <v>134</v>
      </c>
      <c r="CW139" t="s">
        <v>134</v>
      </c>
      <c r="CX139" t="s">
        <v>134</v>
      </c>
      <c r="CY139" t="s">
        <v>134</v>
      </c>
      <c r="CZ139" t="s">
        <v>134</v>
      </c>
      <c r="DA139" t="s">
        <v>134</v>
      </c>
      <c r="DB139" t="s">
        <v>134</v>
      </c>
      <c r="DC139" t="s">
        <v>134</v>
      </c>
      <c r="DD139" t="s">
        <v>134</v>
      </c>
      <c r="DE139" t="s">
        <v>134</v>
      </c>
      <c r="DF139" t="s">
        <v>134</v>
      </c>
      <c r="DG139" t="s">
        <v>134</v>
      </c>
      <c r="DH139" t="s">
        <v>134</v>
      </c>
      <c r="DI139" t="s">
        <v>134</v>
      </c>
    </row>
    <row r="140" spans="4:113" x14ac:dyDescent="0.3">
      <c r="E140" t="s">
        <v>79</v>
      </c>
      <c r="F140" t="s">
        <v>134</v>
      </c>
      <c r="G140" t="s">
        <v>134</v>
      </c>
      <c r="H140" t="s">
        <v>134</v>
      </c>
      <c r="I140" t="s">
        <v>134</v>
      </c>
      <c r="J140" t="s">
        <v>134</v>
      </c>
      <c r="K140" t="s">
        <v>134</v>
      </c>
      <c r="L140" t="s">
        <v>134</v>
      </c>
      <c r="M140" t="s">
        <v>134</v>
      </c>
      <c r="N140" t="s">
        <v>134</v>
      </c>
      <c r="O140" t="s">
        <v>134</v>
      </c>
      <c r="P140" t="s">
        <v>134</v>
      </c>
      <c r="Q140" t="s">
        <v>134</v>
      </c>
      <c r="R140" t="s">
        <v>134</v>
      </c>
      <c r="S140" t="s">
        <v>134</v>
      </c>
      <c r="T140" t="s">
        <v>134</v>
      </c>
      <c r="U140" t="s">
        <v>134</v>
      </c>
      <c r="V140" t="s">
        <v>134</v>
      </c>
      <c r="W140" t="s">
        <v>134</v>
      </c>
      <c r="X140" t="s">
        <v>134</v>
      </c>
      <c r="Y140" t="s">
        <v>134</v>
      </c>
      <c r="Z140" t="s">
        <v>134</v>
      </c>
      <c r="AA140" t="s">
        <v>134</v>
      </c>
      <c r="AB140" t="s">
        <v>134</v>
      </c>
      <c r="AC140" t="s">
        <v>134</v>
      </c>
      <c r="AD140" t="s">
        <v>134</v>
      </c>
      <c r="AE140" t="s">
        <v>134</v>
      </c>
      <c r="AF140" t="s">
        <v>134</v>
      </c>
      <c r="AG140" t="s">
        <v>134</v>
      </c>
      <c r="AH140" t="s">
        <v>134</v>
      </c>
      <c r="AI140" t="s">
        <v>134</v>
      </c>
      <c r="AJ140" t="s">
        <v>134</v>
      </c>
      <c r="AK140" t="s">
        <v>134</v>
      </c>
      <c r="AL140" t="s">
        <v>134</v>
      </c>
      <c r="AM140" t="s">
        <v>134</v>
      </c>
      <c r="AN140" t="s">
        <v>134</v>
      </c>
      <c r="AO140" t="s">
        <v>134</v>
      </c>
      <c r="AP140" t="s">
        <v>134</v>
      </c>
      <c r="AQ140" t="s">
        <v>134</v>
      </c>
      <c r="AR140" t="s">
        <v>134</v>
      </c>
      <c r="AS140" t="s">
        <v>134</v>
      </c>
      <c r="AT140" t="s">
        <v>134</v>
      </c>
      <c r="AU140" t="s">
        <v>134</v>
      </c>
      <c r="AV140" t="s">
        <v>134</v>
      </c>
      <c r="AW140" t="s">
        <v>134</v>
      </c>
      <c r="AX140" t="s">
        <v>134</v>
      </c>
      <c r="AY140" t="s">
        <v>134</v>
      </c>
      <c r="AZ140" t="s">
        <v>134</v>
      </c>
      <c r="BA140" t="s">
        <v>134</v>
      </c>
      <c r="BB140" t="s">
        <v>134</v>
      </c>
      <c r="BC140" t="s">
        <v>134</v>
      </c>
      <c r="BD140" t="s">
        <v>134</v>
      </c>
      <c r="BE140" t="s">
        <v>134</v>
      </c>
      <c r="BF140" t="s">
        <v>134</v>
      </c>
      <c r="BG140" t="s">
        <v>134</v>
      </c>
      <c r="BH140" t="s">
        <v>134</v>
      </c>
      <c r="BI140" t="s">
        <v>134</v>
      </c>
      <c r="BJ140" t="s">
        <v>134</v>
      </c>
      <c r="BK140" t="s">
        <v>134</v>
      </c>
      <c r="BL140" t="s">
        <v>134</v>
      </c>
      <c r="BM140" t="s">
        <v>134</v>
      </c>
      <c r="BN140" t="s">
        <v>134</v>
      </c>
      <c r="BO140" t="s">
        <v>134</v>
      </c>
      <c r="BP140" t="s">
        <v>134</v>
      </c>
      <c r="BQ140" t="s">
        <v>134</v>
      </c>
      <c r="BR140" t="s">
        <v>134</v>
      </c>
      <c r="BS140" t="s">
        <v>134</v>
      </c>
      <c r="BT140" t="s">
        <v>134</v>
      </c>
      <c r="BU140" t="s">
        <v>134</v>
      </c>
      <c r="BV140" t="s">
        <v>134</v>
      </c>
      <c r="BW140" t="s">
        <v>134</v>
      </c>
      <c r="BX140" t="s">
        <v>134</v>
      </c>
      <c r="BY140" t="s">
        <v>134</v>
      </c>
      <c r="BZ140" t="s">
        <v>134</v>
      </c>
      <c r="CA140" t="s">
        <v>134</v>
      </c>
      <c r="CB140" t="s">
        <v>134</v>
      </c>
      <c r="CC140" t="s">
        <v>134</v>
      </c>
      <c r="CD140" t="s">
        <v>134</v>
      </c>
      <c r="CE140" t="s">
        <v>134</v>
      </c>
      <c r="CF140" t="s">
        <v>134</v>
      </c>
      <c r="CG140" t="s">
        <v>134</v>
      </c>
      <c r="CH140" t="s">
        <v>134</v>
      </c>
      <c r="CI140" t="s">
        <v>134</v>
      </c>
      <c r="CJ140" t="s">
        <v>134</v>
      </c>
      <c r="CK140" t="s">
        <v>134</v>
      </c>
      <c r="CL140" t="s">
        <v>134</v>
      </c>
      <c r="CM140" t="s">
        <v>134</v>
      </c>
      <c r="CN140" t="s">
        <v>134</v>
      </c>
      <c r="CO140" t="s">
        <v>134</v>
      </c>
      <c r="CP140" t="s">
        <v>134</v>
      </c>
      <c r="CQ140" t="s">
        <v>134</v>
      </c>
      <c r="CR140" t="s">
        <v>134</v>
      </c>
      <c r="CS140" t="s">
        <v>134</v>
      </c>
      <c r="CT140" t="s">
        <v>134</v>
      </c>
      <c r="CU140" t="s">
        <v>134</v>
      </c>
      <c r="CV140" t="s">
        <v>134</v>
      </c>
      <c r="CW140" t="s">
        <v>134</v>
      </c>
      <c r="CX140" t="s">
        <v>134</v>
      </c>
      <c r="CY140" t="s">
        <v>134</v>
      </c>
      <c r="CZ140" t="s">
        <v>134</v>
      </c>
      <c r="DA140" t="s">
        <v>134</v>
      </c>
      <c r="DB140" t="s">
        <v>134</v>
      </c>
      <c r="DC140" t="s">
        <v>134</v>
      </c>
      <c r="DD140" t="s">
        <v>134</v>
      </c>
      <c r="DE140" t="s">
        <v>134</v>
      </c>
      <c r="DF140" t="s">
        <v>134</v>
      </c>
      <c r="DG140" t="s">
        <v>134</v>
      </c>
      <c r="DH140" t="s">
        <v>134</v>
      </c>
      <c r="DI140" t="s">
        <v>134</v>
      </c>
    </row>
    <row r="141" spans="4:113" x14ac:dyDescent="0.3">
      <c r="E141" t="s">
        <v>80</v>
      </c>
      <c r="F141" t="s">
        <v>134</v>
      </c>
      <c r="G141" t="s">
        <v>134</v>
      </c>
      <c r="H141" t="s">
        <v>134</v>
      </c>
      <c r="I141" t="s">
        <v>134</v>
      </c>
      <c r="J141" t="s">
        <v>134</v>
      </c>
      <c r="K141" t="s">
        <v>134</v>
      </c>
      <c r="L141" t="s">
        <v>134</v>
      </c>
      <c r="M141" t="s">
        <v>134</v>
      </c>
      <c r="N141" t="s">
        <v>134</v>
      </c>
      <c r="O141" t="s">
        <v>134</v>
      </c>
      <c r="P141" t="s">
        <v>134</v>
      </c>
      <c r="Q141" t="s">
        <v>134</v>
      </c>
      <c r="R141" t="s">
        <v>134</v>
      </c>
      <c r="S141" t="s">
        <v>134</v>
      </c>
      <c r="T141" t="s">
        <v>134</v>
      </c>
      <c r="U141" t="s">
        <v>134</v>
      </c>
      <c r="V141" t="s">
        <v>134</v>
      </c>
      <c r="W141" t="s">
        <v>134</v>
      </c>
      <c r="X141" t="s">
        <v>134</v>
      </c>
      <c r="Y141" t="s">
        <v>134</v>
      </c>
      <c r="Z141" t="s">
        <v>134</v>
      </c>
      <c r="AA141" t="s">
        <v>134</v>
      </c>
      <c r="AB141" t="s">
        <v>134</v>
      </c>
      <c r="AC141" t="s">
        <v>134</v>
      </c>
      <c r="AD141" t="s">
        <v>134</v>
      </c>
      <c r="AE141" t="s">
        <v>134</v>
      </c>
      <c r="AF141" t="s">
        <v>134</v>
      </c>
      <c r="AG141" t="s">
        <v>134</v>
      </c>
      <c r="AH141" t="s">
        <v>134</v>
      </c>
      <c r="AI141" t="s">
        <v>134</v>
      </c>
      <c r="AJ141" t="s">
        <v>134</v>
      </c>
      <c r="AK141" t="s">
        <v>134</v>
      </c>
      <c r="AL141" t="s">
        <v>134</v>
      </c>
      <c r="AM141" t="s">
        <v>134</v>
      </c>
      <c r="AN141" t="s">
        <v>134</v>
      </c>
      <c r="AO141" t="s">
        <v>134</v>
      </c>
      <c r="AP141" t="s">
        <v>134</v>
      </c>
      <c r="AQ141" t="s">
        <v>134</v>
      </c>
      <c r="AR141" t="s">
        <v>134</v>
      </c>
      <c r="AS141" t="s">
        <v>134</v>
      </c>
      <c r="AT141" t="s">
        <v>134</v>
      </c>
      <c r="AU141" t="s">
        <v>134</v>
      </c>
      <c r="AV141" t="s">
        <v>134</v>
      </c>
      <c r="AW141" t="s">
        <v>134</v>
      </c>
      <c r="AX141" t="s">
        <v>134</v>
      </c>
      <c r="AY141" t="s">
        <v>134</v>
      </c>
      <c r="AZ141" t="s">
        <v>134</v>
      </c>
      <c r="BA141" t="s">
        <v>134</v>
      </c>
      <c r="BB141" t="s">
        <v>134</v>
      </c>
      <c r="BC141" t="s">
        <v>134</v>
      </c>
      <c r="BD141" t="s">
        <v>134</v>
      </c>
      <c r="BE141" t="s">
        <v>134</v>
      </c>
      <c r="BF141" t="s">
        <v>134</v>
      </c>
      <c r="BG141" t="s">
        <v>134</v>
      </c>
      <c r="BH141" t="s">
        <v>134</v>
      </c>
      <c r="BI141" t="s">
        <v>134</v>
      </c>
      <c r="BJ141" t="s">
        <v>134</v>
      </c>
      <c r="BK141" t="s">
        <v>134</v>
      </c>
      <c r="BL141" t="s">
        <v>134</v>
      </c>
      <c r="BM141" t="s">
        <v>134</v>
      </c>
      <c r="BN141" t="s">
        <v>134</v>
      </c>
      <c r="BO141" t="s">
        <v>134</v>
      </c>
      <c r="BP141" t="s">
        <v>134</v>
      </c>
      <c r="BQ141" t="s">
        <v>134</v>
      </c>
      <c r="BR141" t="s">
        <v>134</v>
      </c>
      <c r="BS141" t="s">
        <v>134</v>
      </c>
      <c r="BT141" t="s">
        <v>134</v>
      </c>
      <c r="BU141" t="s">
        <v>134</v>
      </c>
      <c r="BV141" t="s">
        <v>134</v>
      </c>
      <c r="BW141" t="s">
        <v>134</v>
      </c>
      <c r="BX141" t="s">
        <v>134</v>
      </c>
      <c r="BY141" t="s">
        <v>134</v>
      </c>
      <c r="BZ141" t="s">
        <v>134</v>
      </c>
      <c r="CA141" t="s">
        <v>134</v>
      </c>
      <c r="CB141" t="s">
        <v>134</v>
      </c>
      <c r="CC141" t="s">
        <v>134</v>
      </c>
      <c r="CD141" t="s">
        <v>134</v>
      </c>
      <c r="CE141" t="s">
        <v>134</v>
      </c>
      <c r="CF141" t="s">
        <v>134</v>
      </c>
      <c r="CG141" t="s">
        <v>134</v>
      </c>
      <c r="CH141" t="s">
        <v>134</v>
      </c>
      <c r="CI141" t="s">
        <v>134</v>
      </c>
      <c r="CJ141" t="s">
        <v>134</v>
      </c>
      <c r="CK141" t="s">
        <v>134</v>
      </c>
      <c r="CL141" t="s">
        <v>134</v>
      </c>
      <c r="CM141" t="s">
        <v>134</v>
      </c>
      <c r="CN141" t="s">
        <v>134</v>
      </c>
      <c r="CO141" t="s">
        <v>134</v>
      </c>
      <c r="CP141" t="s">
        <v>134</v>
      </c>
      <c r="CQ141" t="s">
        <v>134</v>
      </c>
      <c r="CR141" t="s">
        <v>134</v>
      </c>
      <c r="CS141" t="s">
        <v>134</v>
      </c>
      <c r="CT141" t="s">
        <v>134</v>
      </c>
      <c r="CU141" t="s">
        <v>134</v>
      </c>
      <c r="CV141" t="s">
        <v>134</v>
      </c>
      <c r="CW141" t="s">
        <v>134</v>
      </c>
      <c r="CX141" t="s">
        <v>134</v>
      </c>
      <c r="CY141" t="s">
        <v>134</v>
      </c>
      <c r="CZ141" t="s">
        <v>134</v>
      </c>
      <c r="DA141" t="s">
        <v>134</v>
      </c>
      <c r="DB141" t="s">
        <v>134</v>
      </c>
      <c r="DC141" t="s">
        <v>134</v>
      </c>
      <c r="DD141" t="s">
        <v>134</v>
      </c>
      <c r="DE141" t="s">
        <v>134</v>
      </c>
      <c r="DF141" t="s">
        <v>134</v>
      </c>
      <c r="DG141" t="s">
        <v>134</v>
      </c>
      <c r="DH141" t="s">
        <v>134</v>
      </c>
      <c r="DI141" t="s">
        <v>134</v>
      </c>
    </row>
    <row r="142" spans="4:113" x14ac:dyDescent="0.3">
      <c r="E142" t="s">
        <v>81</v>
      </c>
      <c r="F142" t="s">
        <v>134</v>
      </c>
      <c r="G142" t="s">
        <v>134</v>
      </c>
      <c r="H142" t="s">
        <v>134</v>
      </c>
      <c r="I142" t="s">
        <v>134</v>
      </c>
      <c r="J142" t="s">
        <v>134</v>
      </c>
      <c r="K142" t="s">
        <v>134</v>
      </c>
      <c r="L142" t="s">
        <v>134</v>
      </c>
      <c r="M142" t="s">
        <v>134</v>
      </c>
      <c r="N142" t="s">
        <v>134</v>
      </c>
      <c r="O142" t="s">
        <v>134</v>
      </c>
      <c r="P142" t="s">
        <v>134</v>
      </c>
      <c r="Q142" t="s">
        <v>134</v>
      </c>
      <c r="R142" t="s">
        <v>134</v>
      </c>
      <c r="S142" t="s">
        <v>134</v>
      </c>
      <c r="T142" t="s">
        <v>134</v>
      </c>
      <c r="U142" t="s">
        <v>134</v>
      </c>
      <c r="V142" t="s">
        <v>134</v>
      </c>
      <c r="W142" t="s">
        <v>134</v>
      </c>
      <c r="X142" t="s">
        <v>134</v>
      </c>
      <c r="Y142" t="s">
        <v>134</v>
      </c>
      <c r="Z142" t="s">
        <v>134</v>
      </c>
      <c r="AA142" t="s">
        <v>134</v>
      </c>
      <c r="AB142" t="s">
        <v>134</v>
      </c>
      <c r="AC142" t="s">
        <v>134</v>
      </c>
      <c r="AD142" t="s">
        <v>134</v>
      </c>
      <c r="AE142" t="s">
        <v>134</v>
      </c>
      <c r="AF142" t="s">
        <v>134</v>
      </c>
      <c r="AG142" t="s">
        <v>134</v>
      </c>
      <c r="AH142" t="s">
        <v>134</v>
      </c>
      <c r="AI142" t="s">
        <v>134</v>
      </c>
      <c r="AJ142" t="s">
        <v>134</v>
      </c>
      <c r="AK142" t="s">
        <v>134</v>
      </c>
      <c r="AL142" t="s">
        <v>134</v>
      </c>
      <c r="AM142" t="s">
        <v>134</v>
      </c>
      <c r="AN142" t="s">
        <v>134</v>
      </c>
      <c r="AO142" t="s">
        <v>134</v>
      </c>
      <c r="AP142" t="s">
        <v>134</v>
      </c>
      <c r="AQ142" t="s">
        <v>134</v>
      </c>
      <c r="AR142" t="s">
        <v>134</v>
      </c>
      <c r="AS142" t="s">
        <v>134</v>
      </c>
      <c r="AT142" t="s">
        <v>134</v>
      </c>
      <c r="AU142" t="s">
        <v>134</v>
      </c>
      <c r="AV142" t="s">
        <v>134</v>
      </c>
      <c r="AW142" t="s">
        <v>134</v>
      </c>
      <c r="AX142" t="s">
        <v>134</v>
      </c>
      <c r="AY142" t="s">
        <v>134</v>
      </c>
      <c r="AZ142" t="s">
        <v>134</v>
      </c>
      <c r="BA142" t="s">
        <v>134</v>
      </c>
      <c r="BB142" t="s">
        <v>134</v>
      </c>
      <c r="BC142" t="s">
        <v>134</v>
      </c>
      <c r="BD142" t="s">
        <v>134</v>
      </c>
      <c r="BE142" t="s">
        <v>134</v>
      </c>
      <c r="BF142" t="s">
        <v>134</v>
      </c>
      <c r="BG142" t="s">
        <v>134</v>
      </c>
      <c r="BH142" t="s">
        <v>134</v>
      </c>
      <c r="BI142" t="s">
        <v>134</v>
      </c>
      <c r="BJ142" t="s">
        <v>134</v>
      </c>
      <c r="BK142" t="s">
        <v>134</v>
      </c>
      <c r="BL142" t="s">
        <v>134</v>
      </c>
      <c r="BM142" t="s">
        <v>134</v>
      </c>
      <c r="BN142" t="s">
        <v>134</v>
      </c>
      <c r="BO142" t="s">
        <v>134</v>
      </c>
      <c r="BP142" t="s">
        <v>134</v>
      </c>
      <c r="BQ142" t="s">
        <v>134</v>
      </c>
      <c r="BR142" t="s">
        <v>134</v>
      </c>
      <c r="BS142" t="s">
        <v>134</v>
      </c>
      <c r="BT142" t="s">
        <v>134</v>
      </c>
      <c r="BU142" t="s">
        <v>134</v>
      </c>
      <c r="BV142" t="s">
        <v>134</v>
      </c>
      <c r="BW142" t="s">
        <v>134</v>
      </c>
      <c r="BX142" t="s">
        <v>134</v>
      </c>
      <c r="BY142" t="s">
        <v>134</v>
      </c>
      <c r="BZ142" t="s">
        <v>134</v>
      </c>
      <c r="CA142" t="s">
        <v>134</v>
      </c>
      <c r="CB142" t="s">
        <v>134</v>
      </c>
      <c r="CC142" t="s">
        <v>134</v>
      </c>
      <c r="CD142" t="s">
        <v>134</v>
      </c>
      <c r="CE142" t="s">
        <v>134</v>
      </c>
      <c r="CF142" t="s">
        <v>134</v>
      </c>
      <c r="CG142" t="s">
        <v>134</v>
      </c>
      <c r="CH142" t="s">
        <v>134</v>
      </c>
      <c r="CI142" t="s">
        <v>134</v>
      </c>
      <c r="CJ142" t="s">
        <v>134</v>
      </c>
      <c r="CK142" t="s">
        <v>134</v>
      </c>
      <c r="CL142" t="s">
        <v>134</v>
      </c>
      <c r="CM142" t="s">
        <v>134</v>
      </c>
      <c r="CN142" t="s">
        <v>134</v>
      </c>
      <c r="CO142" t="s">
        <v>134</v>
      </c>
      <c r="CP142" t="s">
        <v>134</v>
      </c>
      <c r="CQ142" t="s">
        <v>134</v>
      </c>
      <c r="CR142" t="s">
        <v>134</v>
      </c>
      <c r="CS142" t="s">
        <v>134</v>
      </c>
      <c r="CT142" t="s">
        <v>134</v>
      </c>
      <c r="CU142" t="s">
        <v>134</v>
      </c>
      <c r="CV142" t="s">
        <v>134</v>
      </c>
      <c r="CW142" t="s">
        <v>134</v>
      </c>
      <c r="CX142" t="s">
        <v>134</v>
      </c>
      <c r="CY142" t="s">
        <v>134</v>
      </c>
      <c r="CZ142" t="s">
        <v>134</v>
      </c>
      <c r="DA142" t="s">
        <v>134</v>
      </c>
      <c r="DB142" t="s">
        <v>134</v>
      </c>
      <c r="DC142" t="s">
        <v>134</v>
      </c>
      <c r="DD142" t="s">
        <v>134</v>
      </c>
      <c r="DE142" t="s">
        <v>134</v>
      </c>
      <c r="DF142" t="s">
        <v>134</v>
      </c>
      <c r="DG142" t="s">
        <v>134</v>
      </c>
      <c r="DH142" t="s">
        <v>134</v>
      </c>
      <c r="DI142" t="s">
        <v>134</v>
      </c>
    </row>
    <row r="143" spans="4:113" x14ac:dyDescent="0.3">
      <c r="D143" t="s">
        <v>84</v>
      </c>
      <c r="E143" t="s">
        <v>77</v>
      </c>
      <c r="F143">
        <v>27.269500000000001</v>
      </c>
      <c r="G143">
        <v>6.5369999999999999</v>
      </c>
      <c r="H143">
        <v>13.932499999999999</v>
      </c>
      <c r="I143">
        <v>13.206799999999999</v>
      </c>
      <c r="J143">
        <v>14.479200000000001</v>
      </c>
      <c r="K143">
        <v>11.9613</v>
      </c>
      <c r="L143">
        <v>17.867699999999999</v>
      </c>
      <c r="M143">
        <v>8.0585000000000004</v>
      </c>
      <c r="N143">
        <v>7.1963999999999997</v>
      </c>
      <c r="O143">
        <v>6.9863</v>
      </c>
      <c r="P143">
        <v>6.9863</v>
      </c>
      <c r="Q143">
        <v>10.697800000000001</v>
      </c>
      <c r="R143">
        <v>27.858899999999998</v>
      </c>
      <c r="S143">
        <v>19.672499999999999</v>
      </c>
      <c r="T143">
        <v>7.0065999999999997</v>
      </c>
      <c r="U143">
        <v>10.5745</v>
      </c>
      <c r="V143">
        <v>10.8414</v>
      </c>
      <c r="W143">
        <v>133.06610000000001</v>
      </c>
      <c r="X143">
        <v>129.81829999999999</v>
      </c>
      <c r="Y143">
        <v>64.210499999999996</v>
      </c>
      <c r="Z143">
        <v>-29.250499999999999</v>
      </c>
      <c r="AA143">
        <v>44.154000000000003</v>
      </c>
      <c r="AB143">
        <v>10.6988</v>
      </c>
      <c r="AC143">
        <v>19.051100000000002</v>
      </c>
      <c r="AD143">
        <v>-38.514099999999999</v>
      </c>
      <c r="AE143">
        <v>21.7773</v>
      </c>
      <c r="AF143">
        <v>25.3309</v>
      </c>
      <c r="AG143">
        <v>21.713200000000001</v>
      </c>
      <c r="AH143">
        <v>19.1343</v>
      </c>
      <c r="AI143">
        <v>22.9</v>
      </c>
      <c r="AJ143">
        <v>20.412600000000001</v>
      </c>
      <c r="AK143">
        <v>21.453399999999998</v>
      </c>
      <c r="AL143" t="s">
        <v>134</v>
      </c>
      <c r="AM143">
        <v>12.0075</v>
      </c>
      <c r="AN143">
        <v>21.376200000000001</v>
      </c>
      <c r="AO143">
        <v>24.6768</v>
      </c>
      <c r="AP143">
        <v>22.9375</v>
      </c>
      <c r="AQ143">
        <v>20.9222</v>
      </c>
      <c r="AR143">
        <v>9.3011999999999997</v>
      </c>
      <c r="AS143" t="s">
        <v>134</v>
      </c>
      <c r="AT143">
        <v>4.4348999999999998</v>
      </c>
      <c r="AU143">
        <v>1.0467</v>
      </c>
      <c r="AV143">
        <v>19.856200000000001</v>
      </c>
      <c r="AW143" t="s">
        <v>134</v>
      </c>
      <c r="AX143" t="s">
        <v>134</v>
      </c>
      <c r="AY143">
        <v>4.0751999999999997</v>
      </c>
      <c r="AZ143">
        <v>39.773800000000001</v>
      </c>
      <c r="BA143">
        <v>33.565600000000003</v>
      </c>
      <c r="BB143">
        <v>10.6564</v>
      </c>
      <c r="BC143">
        <v>22.4956</v>
      </c>
      <c r="BD143">
        <v>7.2695999999999996</v>
      </c>
      <c r="BE143" t="s">
        <v>134</v>
      </c>
      <c r="BF143">
        <v>7.0065999999999997</v>
      </c>
      <c r="BG143">
        <v>10.5745</v>
      </c>
      <c r="BH143">
        <v>10.8414</v>
      </c>
      <c r="BI143">
        <v>133.06610000000001</v>
      </c>
      <c r="BJ143">
        <v>129.81829999999999</v>
      </c>
      <c r="BK143">
        <v>64.210499999999996</v>
      </c>
      <c r="BL143">
        <v>-29.250499999999999</v>
      </c>
      <c r="BM143">
        <v>44.154000000000003</v>
      </c>
      <c r="BN143">
        <v>10.6988</v>
      </c>
      <c r="BO143">
        <v>19.051100000000002</v>
      </c>
      <c r="BP143">
        <v>-38.514099999999999</v>
      </c>
      <c r="BQ143">
        <v>21.7773</v>
      </c>
      <c r="BR143">
        <v>25.3309</v>
      </c>
      <c r="BS143">
        <v>21.713200000000001</v>
      </c>
      <c r="BT143">
        <v>19.1343</v>
      </c>
      <c r="BU143">
        <v>22.9</v>
      </c>
      <c r="BV143">
        <v>20.412600000000001</v>
      </c>
      <c r="BW143">
        <v>21.453399999999998</v>
      </c>
      <c r="BX143" t="s">
        <v>134</v>
      </c>
      <c r="BY143">
        <v>131685.97</v>
      </c>
      <c r="BZ143">
        <v>42921.764000000003</v>
      </c>
      <c r="CA143">
        <v>88764.206000000006</v>
      </c>
      <c r="CB143">
        <v>3.9977999999999998</v>
      </c>
      <c r="CC143">
        <v>3.3464</v>
      </c>
      <c r="CD143">
        <v>4.8394000000000004</v>
      </c>
      <c r="CE143">
        <v>4.0507999999999997</v>
      </c>
      <c r="CF143">
        <v>3.1406999999999998</v>
      </c>
      <c r="CG143">
        <v>24.190200000000001</v>
      </c>
      <c r="CH143">
        <v>127.1341</v>
      </c>
      <c r="CI143">
        <v>44.050600000000003</v>
      </c>
      <c r="CJ143">
        <v>33.587400000000002</v>
      </c>
      <c r="CK143">
        <v>188.6096</v>
      </c>
      <c r="CL143">
        <v>65.351100000000002</v>
      </c>
      <c r="CM143">
        <v>49.828600000000002</v>
      </c>
      <c r="CN143">
        <v>157.87520000000001</v>
      </c>
      <c r="CO143">
        <v>61.221600000000002</v>
      </c>
      <c r="CP143">
        <v>32939.339999999997</v>
      </c>
      <c r="CQ143">
        <v>28450.773000000001</v>
      </c>
      <c r="CR143">
        <v>27211.452000000001</v>
      </c>
      <c r="CS143">
        <v>0.2112</v>
      </c>
      <c r="CT143">
        <v>1.0751999999999999</v>
      </c>
      <c r="CU143">
        <v>0.313</v>
      </c>
      <c r="CV143">
        <v>2.1917</v>
      </c>
      <c r="CW143">
        <v>18.233899999999998</v>
      </c>
      <c r="CX143">
        <v>20.017700000000001</v>
      </c>
      <c r="CY143">
        <v>6.5655000000000001</v>
      </c>
      <c r="CZ143">
        <v>55.594000000000001</v>
      </c>
      <c r="DA143">
        <v>5.3417000000000003</v>
      </c>
      <c r="DB143">
        <v>68.329899999999995</v>
      </c>
      <c r="DC143">
        <v>7.2817999999999996</v>
      </c>
      <c r="DD143">
        <v>75.611699999999999</v>
      </c>
      <c r="DE143">
        <v>27711.187000000002</v>
      </c>
      <c r="DF143">
        <v>7465.933</v>
      </c>
      <c r="DG143">
        <v>10215.6</v>
      </c>
      <c r="DH143">
        <v>6798.1149999999998</v>
      </c>
      <c r="DI143">
        <v>3231.5390000000002</v>
      </c>
    </row>
    <row r="144" spans="4:113" x14ac:dyDescent="0.3">
      <c r="E144" t="s">
        <v>78</v>
      </c>
      <c r="F144" t="s">
        <v>134</v>
      </c>
      <c r="G144" t="s">
        <v>134</v>
      </c>
      <c r="H144" t="s">
        <v>134</v>
      </c>
      <c r="I144" t="s">
        <v>134</v>
      </c>
      <c r="J144" t="s">
        <v>134</v>
      </c>
      <c r="K144" t="s">
        <v>134</v>
      </c>
      <c r="L144" t="s">
        <v>134</v>
      </c>
      <c r="M144" t="s">
        <v>134</v>
      </c>
      <c r="N144" t="s">
        <v>134</v>
      </c>
      <c r="O144" t="s">
        <v>134</v>
      </c>
      <c r="P144" t="s">
        <v>134</v>
      </c>
      <c r="Q144" t="s">
        <v>134</v>
      </c>
      <c r="R144" t="s">
        <v>134</v>
      </c>
      <c r="S144" t="s">
        <v>134</v>
      </c>
      <c r="T144" t="s">
        <v>134</v>
      </c>
      <c r="U144" t="s">
        <v>134</v>
      </c>
      <c r="V144" t="s">
        <v>134</v>
      </c>
      <c r="W144" t="s">
        <v>134</v>
      </c>
      <c r="X144" t="s">
        <v>134</v>
      </c>
      <c r="Y144" t="s">
        <v>134</v>
      </c>
      <c r="Z144" t="s">
        <v>134</v>
      </c>
      <c r="AA144" t="s">
        <v>134</v>
      </c>
      <c r="AB144" t="s">
        <v>134</v>
      </c>
      <c r="AC144" t="s">
        <v>134</v>
      </c>
      <c r="AD144" t="s">
        <v>134</v>
      </c>
      <c r="AE144" t="s">
        <v>134</v>
      </c>
      <c r="AF144" t="s">
        <v>134</v>
      </c>
      <c r="AG144" t="s">
        <v>134</v>
      </c>
      <c r="AH144" t="s">
        <v>134</v>
      </c>
      <c r="AI144" t="s">
        <v>134</v>
      </c>
      <c r="AJ144" t="s">
        <v>134</v>
      </c>
      <c r="AK144" t="s">
        <v>134</v>
      </c>
      <c r="AL144" t="s">
        <v>134</v>
      </c>
      <c r="AM144" t="s">
        <v>134</v>
      </c>
      <c r="AN144" t="s">
        <v>134</v>
      </c>
      <c r="AO144" t="s">
        <v>134</v>
      </c>
      <c r="AP144" t="s">
        <v>134</v>
      </c>
      <c r="AQ144" t="s">
        <v>134</v>
      </c>
      <c r="AR144" t="s">
        <v>134</v>
      </c>
      <c r="AS144" t="s">
        <v>134</v>
      </c>
      <c r="AT144" t="s">
        <v>134</v>
      </c>
      <c r="AU144" t="s">
        <v>134</v>
      </c>
      <c r="AV144" t="s">
        <v>134</v>
      </c>
      <c r="AW144" t="s">
        <v>134</v>
      </c>
      <c r="AX144" t="s">
        <v>134</v>
      </c>
      <c r="AY144" t="s">
        <v>134</v>
      </c>
      <c r="AZ144" t="s">
        <v>134</v>
      </c>
      <c r="BA144" t="s">
        <v>134</v>
      </c>
      <c r="BB144" t="s">
        <v>134</v>
      </c>
      <c r="BC144" t="s">
        <v>134</v>
      </c>
      <c r="BD144" t="s">
        <v>134</v>
      </c>
      <c r="BE144" t="s">
        <v>134</v>
      </c>
      <c r="BF144" t="s">
        <v>134</v>
      </c>
      <c r="BG144" t="s">
        <v>134</v>
      </c>
      <c r="BH144" t="s">
        <v>134</v>
      </c>
      <c r="BI144" t="s">
        <v>134</v>
      </c>
      <c r="BJ144" t="s">
        <v>134</v>
      </c>
      <c r="BK144" t="s">
        <v>134</v>
      </c>
      <c r="BL144" t="s">
        <v>134</v>
      </c>
      <c r="BM144" t="s">
        <v>134</v>
      </c>
      <c r="BN144" t="s">
        <v>134</v>
      </c>
      <c r="BO144" t="s">
        <v>134</v>
      </c>
      <c r="BP144" t="s">
        <v>134</v>
      </c>
      <c r="BQ144" t="s">
        <v>134</v>
      </c>
      <c r="BR144" t="s">
        <v>134</v>
      </c>
      <c r="BS144" t="s">
        <v>134</v>
      </c>
      <c r="BT144" t="s">
        <v>134</v>
      </c>
      <c r="BU144" t="s">
        <v>134</v>
      </c>
      <c r="BV144" t="s">
        <v>134</v>
      </c>
      <c r="BW144" t="s">
        <v>134</v>
      </c>
      <c r="BX144" t="s">
        <v>134</v>
      </c>
      <c r="BY144" t="s">
        <v>134</v>
      </c>
      <c r="BZ144" t="s">
        <v>134</v>
      </c>
      <c r="CA144" t="s">
        <v>134</v>
      </c>
      <c r="CB144" t="s">
        <v>134</v>
      </c>
      <c r="CC144" t="s">
        <v>134</v>
      </c>
      <c r="CD144" t="s">
        <v>134</v>
      </c>
      <c r="CE144" t="s">
        <v>134</v>
      </c>
      <c r="CF144" t="s">
        <v>134</v>
      </c>
      <c r="CG144" t="s">
        <v>134</v>
      </c>
      <c r="CH144" t="s">
        <v>134</v>
      </c>
      <c r="CI144" t="s">
        <v>134</v>
      </c>
      <c r="CJ144" t="s">
        <v>134</v>
      </c>
      <c r="CK144" t="s">
        <v>134</v>
      </c>
      <c r="CL144" t="s">
        <v>134</v>
      </c>
      <c r="CM144" t="s">
        <v>134</v>
      </c>
      <c r="CN144" t="s">
        <v>134</v>
      </c>
      <c r="CO144" t="s">
        <v>134</v>
      </c>
      <c r="CP144" t="s">
        <v>134</v>
      </c>
      <c r="CQ144" t="s">
        <v>134</v>
      </c>
      <c r="CR144" t="s">
        <v>134</v>
      </c>
      <c r="CS144" t="s">
        <v>134</v>
      </c>
      <c r="CT144" t="s">
        <v>134</v>
      </c>
      <c r="CU144" t="s">
        <v>134</v>
      </c>
      <c r="CV144" t="s">
        <v>134</v>
      </c>
      <c r="CW144" t="s">
        <v>134</v>
      </c>
      <c r="CX144" t="s">
        <v>134</v>
      </c>
      <c r="CY144" t="s">
        <v>134</v>
      </c>
      <c r="CZ144" t="s">
        <v>134</v>
      </c>
      <c r="DA144" t="s">
        <v>134</v>
      </c>
      <c r="DB144" t="s">
        <v>134</v>
      </c>
      <c r="DC144" t="s">
        <v>134</v>
      </c>
      <c r="DD144" t="s">
        <v>134</v>
      </c>
      <c r="DE144" t="s">
        <v>134</v>
      </c>
      <c r="DF144" t="s">
        <v>134</v>
      </c>
      <c r="DG144" t="s">
        <v>134</v>
      </c>
      <c r="DH144" t="s">
        <v>134</v>
      </c>
      <c r="DI144" t="s">
        <v>134</v>
      </c>
    </row>
    <row r="145" spans="1:113" x14ac:dyDescent="0.3">
      <c r="E145" t="s">
        <v>79</v>
      </c>
      <c r="F145" t="s">
        <v>134</v>
      </c>
      <c r="G145" t="s">
        <v>134</v>
      </c>
      <c r="H145" t="s">
        <v>134</v>
      </c>
      <c r="I145" t="s">
        <v>134</v>
      </c>
      <c r="J145" t="s">
        <v>134</v>
      </c>
      <c r="K145" t="s">
        <v>134</v>
      </c>
      <c r="L145" t="s">
        <v>134</v>
      </c>
      <c r="M145" t="s">
        <v>134</v>
      </c>
      <c r="N145" t="s">
        <v>134</v>
      </c>
      <c r="O145" t="s">
        <v>134</v>
      </c>
      <c r="P145" t="s">
        <v>134</v>
      </c>
      <c r="Q145" t="s">
        <v>134</v>
      </c>
      <c r="R145" t="s">
        <v>134</v>
      </c>
      <c r="S145" t="s">
        <v>134</v>
      </c>
      <c r="T145" t="s">
        <v>134</v>
      </c>
      <c r="U145" t="s">
        <v>134</v>
      </c>
      <c r="V145" t="s">
        <v>134</v>
      </c>
      <c r="W145" t="s">
        <v>134</v>
      </c>
      <c r="X145" t="s">
        <v>134</v>
      </c>
      <c r="Y145" t="s">
        <v>134</v>
      </c>
      <c r="Z145" t="s">
        <v>134</v>
      </c>
      <c r="AA145" t="s">
        <v>134</v>
      </c>
      <c r="AB145" t="s">
        <v>134</v>
      </c>
      <c r="AC145" t="s">
        <v>134</v>
      </c>
      <c r="AD145" t="s">
        <v>134</v>
      </c>
      <c r="AE145" t="s">
        <v>134</v>
      </c>
      <c r="AF145" t="s">
        <v>134</v>
      </c>
      <c r="AG145" t="s">
        <v>134</v>
      </c>
      <c r="AH145" t="s">
        <v>134</v>
      </c>
      <c r="AI145" t="s">
        <v>134</v>
      </c>
      <c r="AJ145" t="s">
        <v>134</v>
      </c>
      <c r="AK145" t="s">
        <v>134</v>
      </c>
      <c r="AL145" t="s">
        <v>134</v>
      </c>
      <c r="AM145" t="s">
        <v>134</v>
      </c>
      <c r="AN145" t="s">
        <v>134</v>
      </c>
      <c r="AO145" t="s">
        <v>134</v>
      </c>
      <c r="AP145" t="s">
        <v>134</v>
      </c>
      <c r="AQ145" t="s">
        <v>134</v>
      </c>
      <c r="AR145" t="s">
        <v>134</v>
      </c>
      <c r="AS145" t="s">
        <v>134</v>
      </c>
      <c r="AT145" t="s">
        <v>134</v>
      </c>
      <c r="AU145" t="s">
        <v>134</v>
      </c>
      <c r="AV145" t="s">
        <v>134</v>
      </c>
      <c r="AW145" t="s">
        <v>134</v>
      </c>
      <c r="AX145" t="s">
        <v>134</v>
      </c>
      <c r="AY145" t="s">
        <v>134</v>
      </c>
      <c r="AZ145" t="s">
        <v>134</v>
      </c>
      <c r="BA145" t="s">
        <v>134</v>
      </c>
      <c r="BB145" t="s">
        <v>134</v>
      </c>
      <c r="BC145" t="s">
        <v>134</v>
      </c>
      <c r="BD145" t="s">
        <v>134</v>
      </c>
      <c r="BE145" t="s">
        <v>134</v>
      </c>
      <c r="BF145" t="s">
        <v>134</v>
      </c>
      <c r="BG145" t="s">
        <v>134</v>
      </c>
      <c r="BH145" t="s">
        <v>134</v>
      </c>
      <c r="BI145" t="s">
        <v>134</v>
      </c>
      <c r="BJ145" t="s">
        <v>134</v>
      </c>
      <c r="BK145" t="s">
        <v>134</v>
      </c>
      <c r="BL145" t="s">
        <v>134</v>
      </c>
      <c r="BM145" t="s">
        <v>134</v>
      </c>
      <c r="BN145" t="s">
        <v>134</v>
      </c>
      <c r="BO145" t="s">
        <v>134</v>
      </c>
      <c r="BP145" t="s">
        <v>134</v>
      </c>
      <c r="BQ145" t="s">
        <v>134</v>
      </c>
      <c r="BR145" t="s">
        <v>134</v>
      </c>
      <c r="BS145" t="s">
        <v>134</v>
      </c>
      <c r="BT145" t="s">
        <v>134</v>
      </c>
      <c r="BU145" t="s">
        <v>134</v>
      </c>
      <c r="BV145" t="s">
        <v>134</v>
      </c>
      <c r="BW145" t="s">
        <v>134</v>
      </c>
      <c r="BX145" t="s">
        <v>134</v>
      </c>
      <c r="BY145" t="s">
        <v>134</v>
      </c>
      <c r="BZ145" t="s">
        <v>134</v>
      </c>
      <c r="CA145" t="s">
        <v>134</v>
      </c>
      <c r="CB145" t="s">
        <v>134</v>
      </c>
      <c r="CC145" t="s">
        <v>134</v>
      </c>
      <c r="CD145" t="s">
        <v>134</v>
      </c>
      <c r="CE145" t="s">
        <v>134</v>
      </c>
      <c r="CF145" t="s">
        <v>134</v>
      </c>
      <c r="CG145" t="s">
        <v>134</v>
      </c>
      <c r="CH145" t="s">
        <v>134</v>
      </c>
      <c r="CI145" t="s">
        <v>134</v>
      </c>
      <c r="CJ145" t="s">
        <v>134</v>
      </c>
      <c r="CK145" t="s">
        <v>134</v>
      </c>
      <c r="CL145" t="s">
        <v>134</v>
      </c>
      <c r="CM145" t="s">
        <v>134</v>
      </c>
      <c r="CN145" t="s">
        <v>134</v>
      </c>
      <c r="CO145" t="s">
        <v>134</v>
      </c>
      <c r="CP145" t="s">
        <v>134</v>
      </c>
      <c r="CQ145" t="s">
        <v>134</v>
      </c>
      <c r="CR145" t="s">
        <v>134</v>
      </c>
      <c r="CS145" t="s">
        <v>134</v>
      </c>
      <c r="CT145" t="s">
        <v>134</v>
      </c>
      <c r="CU145" t="s">
        <v>134</v>
      </c>
      <c r="CV145" t="s">
        <v>134</v>
      </c>
      <c r="CW145" t="s">
        <v>134</v>
      </c>
      <c r="CX145" t="s">
        <v>134</v>
      </c>
      <c r="CY145" t="s">
        <v>134</v>
      </c>
      <c r="CZ145" t="s">
        <v>134</v>
      </c>
      <c r="DA145" t="s">
        <v>134</v>
      </c>
      <c r="DB145" t="s">
        <v>134</v>
      </c>
      <c r="DC145" t="s">
        <v>134</v>
      </c>
      <c r="DD145" t="s">
        <v>134</v>
      </c>
      <c r="DE145" t="s">
        <v>134</v>
      </c>
      <c r="DF145" t="s">
        <v>134</v>
      </c>
      <c r="DG145" t="s">
        <v>134</v>
      </c>
      <c r="DH145" t="s">
        <v>134</v>
      </c>
      <c r="DI145" t="s">
        <v>134</v>
      </c>
    </row>
    <row r="146" spans="1:113" x14ac:dyDescent="0.3">
      <c r="E146" t="s">
        <v>80</v>
      </c>
      <c r="F146" t="s">
        <v>134</v>
      </c>
      <c r="G146" t="s">
        <v>134</v>
      </c>
      <c r="H146" t="s">
        <v>134</v>
      </c>
      <c r="I146" t="s">
        <v>134</v>
      </c>
      <c r="J146" t="s">
        <v>134</v>
      </c>
      <c r="K146" t="s">
        <v>134</v>
      </c>
      <c r="L146" t="s">
        <v>134</v>
      </c>
      <c r="M146" t="s">
        <v>134</v>
      </c>
      <c r="N146" t="s">
        <v>134</v>
      </c>
      <c r="O146" t="s">
        <v>134</v>
      </c>
      <c r="P146" t="s">
        <v>134</v>
      </c>
      <c r="Q146" t="s">
        <v>134</v>
      </c>
      <c r="R146" t="s">
        <v>134</v>
      </c>
      <c r="S146" t="s">
        <v>134</v>
      </c>
      <c r="T146" t="s">
        <v>134</v>
      </c>
      <c r="U146" t="s">
        <v>134</v>
      </c>
      <c r="V146" t="s">
        <v>134</v>
      </c>
      <c r="W146" t="s">
        <v>134</v>
      </c>
      <c r="X146" t="s">
        <v>134</v>
      </c>
      <c r="Y146" t="s">
        <v>134</v>
      </c>
      <c r="Z146" t="s">
        <v>134</v>
      </c>
      <c r="AA146" t="s">
        <v>134</v>
      </c>
      <c r="AB146" t="s">
        <v>134</v>
      </c>
      <c r="AC146" t="s">
        <v>134</v>
      </c>
      <c r="AD146" t="s">
        <v>134</v>
      </c>
      <c r="AE146" t="s">
        <v>134</v>
      </c>
      <c r="AF146" t="s">
        <v>134</v>
      </c>
      <c r="AG146" t="s">
        <v>134</v>
      </c>
      <c r="AH146" t="s">
        <v>134</v>
      </c>
      <c r="AI146" t="s">
        <v>134</v>
      </c>
      <c r="AJ146" t="s">
        <v>134</v>
      </c>
      <c r="AK146" t="s">
        <v>134</v>
      </c>
      <c r="AL146" t="s">
        <v>134</v>
      </c>
      <c r="AM146" t="s">
        <v>134</v>
      </c>
      <c r="AN146" t="s">
        <v>134</v>
      </c>
      <c r="AO146" t="s">
        <v>134</v>
      </c>
      <c r="AP146" t="s">
        <v>134</v>
      </c>
      <c r="AQ146" t="s">
        <v>134</v>
      </c>
      <c r="AR146" t="s">
        <v>134</v>
      </c>
      <c r="AS146" t="s">
        <v>134</v>
      </c>
      <c r="AT146" t="s">
        <v>134</v>
      </c>
      <c r="AU146" t="s">
        <v>134</v>
      </c>
      <c r="AV146" t="s">
        <v>134</v>
      </c>
      <c r="AW146" t="s">
        <v>134</v>
      </c>
      <c r="AX146" t="s">
        <v>134</v>
      </c>
      <c r="AY146" t="s">
        <v>134</v>
      </c>
      <c r="AZ146" t="s">
        <v>134</v>
      </c>
      <c r="BA146" t="s">
        <v>134</v>
      </c>
      <c r="BB146" t="s">
        <v>134</v>
      </c>
      <c r="BC146" t="s">
        <v>134</v>
      </c>
      <c r="BD146" t="s">
        <v>134</v>
      </c>
      <c r="BE146" t="s">
        <v>134</v>
      </c>
      <c r="BF146" t="s">
        <v>134</v>
      </c>
      <c r="BG146" t="s">
        <v>134</v>
      </c>
      <c r="BH146" t="s">
        <v>134</v>
      </c>
      <c r="BI146" t="s">
        <v>134</v>
      </c>
      <c r="BJ146" t="s">
        <v>134</v>
      </c>
      <c r="BK146" t="s">
        <v>134</v>
      </c>
      <c r="BL146" t="s">
        <v>134</v>
      </c>
      <c r="BM146" t="s">
        <v>134</v>
      </c>
      <c r="BN146" t="s">
        <v>134</v>
      </c>
      <c r="BO146" t="s">
        <v>134</v>
      </c>
      <c r="BP146" t="s">
        <v>134</v>
      </c>
      <c r="BQ146" t="s">
        <v>134</v>
      </c>
      <c r="BR146" t="s">
        <v>134</v>
      </c>
      <c r="BS146" t="s">
        <v>134</v>
      </c>
      <c r="BT146" t="s">
        <v>134</v>
      </c>
      <c r="BU146" t="s">
        <v>134</v>
      </c>
      <c r="BV146" t="s">
        <v>134</v>
      </c>
      <c r="BW146" t="s">
        <v>134</v>
      </c>
      <c r="BX146" t="s">
        <v>134</v>
      </c>
      <c r="BY146" t="s">
        <v>134</v>
      </c>
      <c r="BZ146" t="s">
        <v>134</v>
      </c>
      <c r="CA146" t="s">
        <v>134</v>
      </c>
      <c r="CB146" t="s">
        <v>134</v>
      </c>
      <c r="CC146" t="s">
        <v>134</v>
      </c>
      <c r="CD146" t="s">
        <v>134</v>
      </c>
      <c r="CE146" t="s">
        <v>134</v>
      </c>
      <c r="CF146" t="s">
        <v>134</v>
      </c>
      <c r="CG146" t="s">
        <v>134</v>
      </c>
      <c r="CH146" t="s">
        <v>134</v>
      </c>
      <c r="CI146" t="s">
        <v>134</v>
      </c>
      <c r="CJ146" t="s">
        <v>134</v>
      </c>
      <c r="CK146" t="s">
        <v>134</v>
      </c>
      <c r="CL146" t="s">
        <v>134</v>
      </c>
      <c r="CM146" t="s">
        <v>134</v>
      </c>
      <c r="CN146" t="s">
        <v>134</v>
      </c>
      <c r="CO146" t="s">
        <v>134</v>
      </c>
      <c r="CP146" t="s">
        <v>134</v>
      </c>
      <c r="CQ146" t="s">
        <v>134</v>
      </c>
      <c r="CR146" t="s">
        <v>134</v>
      </c>
      <c r="CS146" t="s">
        <v>134</v>
      </c>
      <c r="CT146" t="s">
        <v>134</v>
      </c>
      <c r="CU146" t="s">
        <v>134</v>
      </c>
      <c r="CV146" t="s">
        <v>134</v>
      </c>
      <c r="CW146" t="s">
        <v>134</v>
      </c>
      <c r="CX146" t="s">
        <v>134</v>
      </c>
      <c r="CY146" t="s">
        <v>134</v>
      </c>
      <c r="CZ146" t="s">
        <v>134</v>
      </c>
      <c r="DA146" t="s">
        <v>134</v>
      </c>
      <c r="DB146" t="s">
        <v>134</v>
      </c>
      <c r="DC146" t="s">
        <v>134</v>
      </c>
      <c r="DD146" t="s">
        <v>134</v>
      </c>
      <c r="DE146" t="s">
        <v>134</v>
      </c>
      <c r="DF146" t="s">
        <v>134</v>
      </c>
      <c r="DG146" t="s">
        <v>134</v>
      </c>
      <c r="DH146" t="s">
        <v>134</v>
      </c>
      <c r="DI146" t="s">
        <v>134</v>
      </c>
    </row>
    <row r="147" spans="1:113" x14ac:dyDescent="0.3">
      <c r="E147" t="s">
        <v>81</v>
      </c>
      <c r="F147" t="s">
        <v>134</v>
      </c>
      <c r="G147" t="s">
        <v>134</v>
      </c>
      <c r="H147" t="s">
        <v>134</v>
      </c>
      <c r="I147" t="s">
        <v>134</v>
      </c>
      <c r="J147" t="s">
        <v>134</v>
      </c>
      <c r="K147" t="s">
        <v>134</v>
      </c>
      <c r="L147" t="s">
        <v>134</v>
      </c>
      <c r="M147" t="s">
        <v>134</v>
      </c>
      <c r="N147" t="s">
        <v>134</v>
      </c>
      <c r="O147" t="s">
        <v>134</v>
      </c>
      <c r="P147" t="s">
        <v>134</v>
      </c>
      <c r="Q147" t="s">
        <v>134</v>
      </c>
      <c r="R147" t="s">
        <v>134</v>
      </c>
      <c r="S147" t="s">
        <v>134</v>
      </c>
      <c r="T147" t="s">
        <v>134</v>
      </c>
      <c r="U147" t="s">
        <v>134</v>
      </c>
      <c r="V147" t="s">
        <v>134</v>
      </c>
      <c r="W147" t="s">
        <v>134</v>
      </c>
      <c r="X147" t="s">
        <v>134</v>
      </c>
      <c r="Y147" t="s">
        <v>134</v>
      </c>
      <c r="Z147" t="s">
        <v>134</v>
      </c>
      <c r="AA147" t="s">
        <v>134</v>
      </c>
      <c r="AB147" t="s">
        <v>134</v>
      </c>
      <c r="AC147" t="s">
        <v>134</v>
      </c>
      <c r="AD147" t="s">
        <v>134</v>
      </c>
      <c r="AE147" t="s">
        <v>134</v>
      </c>
      <c r="AF147" t="s">
        <v>134</v>
      </c>
      <c r="AG147" t="s">
        <v>134</v>
      </c>
      <c r="AH147" t="s">
        <v>134</v>
      </c>
      <c r="AI147" t="s">
        <v>134</v>
      </c>
      <c r="AJ147" t="s">
        <v>134</v>
      </c>
      <c r="AK147" t="s">
        <v>134</v>
      </c>
      <c r="AL147" t="s">
        <v>134</v>
      </c>
      <c r="AM147" t="s">
        <v>134</v>
      </c>
      <c r="AN147" t="s">
        <v>134</v>
      </c>
      <c r="AO147" t="s">
        <v>134</v>
      </c>
      <c r="AP147" t="s">
        <v>134</v>
      </c>
      <c r="AQ147" t="s">
        <v>134</v>
      </c>
      <c r="AR147" t="s">
        <v>134</v>
      </c>
      <c r="AS147" t="s">
        <v>134</v>
      </c>
      <c r="AT147" t="s">
        <v>134</v>
      </c>
      <c r="AU147" t="s">
        <v>134</v>
      </c>
      <c r="AV147" t="s">
        <v>134</v>
      </c>
      <c r="AW147" t="s">
        <v>134</v>
      </c>
      <c r="AX147" t="s">
        <v>134</v>
      </c>
      <c r="AY147" t="s">
        <v>134</v>
      </c>
      <c r="AZ147" t="s">
        <v>134</v>
      </c>
      <c r="BA147" t="s">
        <v>134</v>
      </c>
      <c r="BB147" t="s">
        <v>134</v>
      </c>
      <c r="BC147" t="s">
        <v>134</v>
      </c>
      <c r="BD147" t="s">
        <v>134</v>
      </c>
      <c r="BE147" t="s">
        <v>134</v>
      </c>
      <c r="BF147" t="s">
        <v>134</v>
      </c>
      <c r="BG147" t="s">
        <v>134</v>
      </c>
      <c r="BH147" t="s">
        <v>134</v>
      </c>
      <c r="BI147" t="s">
        <v>134</v>
      </c>
      <c r="BJ147" t="s">
        <v>134</v>
      </c>
      <c r="BK147" t="s">
        <v>134</v>
      </c>
      <c r="BL147" t="s">
        <v>134</v>
      </c>
      <c r="BM147" t="s">
        <v>134</v>
      </c>
      <c r="BN147" t="s">
        <v>134</v>
      </c>
      <c r="BO147" t="s">
        <v>134</v>
      </c>
      <c r="BP147" t="s">
        <v>134</v>
      </c>
      <c r="BQ147" t="s">
        <v>134</v>
      </c>
      <c r="BR147" t="s">
        <v>134</v>
      </c>
      <c r="BS147" t="s">
        <v>134</v>
      </c>
      <c r="BT147" t="s">
        <v>134</v>
      </c>
      <c r="BU147" t="s">
        <v>134</v>
      </c>
      <c r="BV147" t="s">
        <v>134</v>
      </c>
      <c r="BW147" t="s">
        <v>134</v>
      </c>
      <c r="BX147" t="s">
        <v>134</v>
      </c>
      <c r="BY147" t="s">
        <v>134</v>
      </c>
      <c r="BZ147" t="s">
        <v>134</v>
      </c>
      <c r="CA147" t="s">
        <v>134</v>
      </c>
      <c r="CB147" t="s">
        <v>134</v>
      </c>
      <c r="CC147" t="s">
        <v>134</v>
      </c>
      <c r="CD147" t="s">
        <v>134</v>
      </c>
      <c r="CE147" t="s">
        <v>134</v>
      </c>
      <c r="CF147" t="s">
        <v>134</v>
      </c>
      <c r="CG147" t="s">
        <v>134</v>
      </c>
      <c r="CH147" t="s">
        <v>134</v>
      </c>
      <c r="CI147" t="s">
        <v>134</v>
      </c>
      <c r="CJ147" t="s">
        <v>134</v>
      </c>
      <c r="CK147" t="s">
        <v>134</v>
      </c>
      <c r="CL147" t="s">
        <v>134</v>
      </c>
      <c r="CM147" t="s">
        <v>134</v>
      </c>
      <c r="CN147" t="s">
        <v>134</v>
      </c>
      <c r="CO147" t="s">
        <v>134</v>
      </c>
      <c r="CP147" t="s">
        <v>134</v>
      </c>
      <c r="CQ147" t="s">
        <v>134</v>
      </c>
      <c r="CR147" t="s">
        <v>134</v>
      </c>
      <c r="CS147" t="s">
        <v>134</v>
      </c>
      <c r="CT147" t="s">
        <v>134</v>
      </c>
      <c r="CU147" t="s">
        <v>134</v>
      </c>
      <c r="CV147" t="s">
        <v>134</v>
      </c>
      <c r="CW147" t="s">
        <v>134</v>
      </c>
      <c r="CX147" t="s">
        <v>134</v>
      </c>
      <c r="CY147" t="s">
        <v>134</v>
      </c>
      <c r="CZ147" t="s">
        <v>134</v>
      </c>
      <c r="DA147" t="s">
        <v>134</v>
      </c>
      <c r="DB147" t="s">
        <v>134</v>
      </c>
      <c r="DC147" t="s">
        <v>134</v>
      </c>
      <c r="DD147" t="s">
        <v>134</v>
      </c>
      <c r="DE147" t="s">
        <v>134</v>
      </c>
      <c r="DF147" t="s">
        <v>134</v>
      </c>
      <c r="DG147" t="s">
        <v>134</v>
      </c>
      <c r="DH147" t="s">
        <v>134</v>
      </c>
      <c r="DI147" t="s">
        <v>134</v>
      </c>
    </row>
    <row r="148" spans="1:113" x14ac:dyDescent="0.3">
      <c r="D148" t="s">
        <v>85</v>
      </c>
      <c r="E148" t="s">
        <v>77</v>
      </c>
      <c r="F148">
        <v>25.4878</v>
      </c>
      <c r="G148">
        <v>5.8498000000000001</v>
      </c>
      <c r="H148">
        <v>12.175800000000001</v>
      </c>
      <c r="I148">
        <v>11.9216</v>
      </c>
      <c r="J148">
        <v>14.343299999999999</v>
      </c>
      <c r="K148">
        <v>12.162699999999999</v>
      </c>
      <c r="L148">
        <v>13.060499999999999</v>
      </c>
      <c r="M148">
        <v>8.7026000000000003</v>
      </c>
      <c r="N148">
        <v>6.1666999999999996</v>
      </c>
      <c r="O148">
        <v>5.9432999999999998</v>
      </c>
      <c r="P148">
        <v>5.9432999999999998</v>
      </c>
      <c r="Q148">
        <v>29.139399999999998</v>
      </c>
      <c r="R148">
        <v>40.115099999999998</v>
      </c>
      <c r="S148">
        <v>15.263299999999999</v>
      </c>
      <c r="T148">
        <v>29.507300000000001</v>
      </c>
      <c r="U148">
        <v>28.977599999999999</v>
      </c>
      <c r="V148">
        <v>32.390900000000002</v>
      </c>
      <c r="W148">
        <v>10.7607</v>
      </c>
      <c r="X148">
        <v>8.8929000000000009</v>
      </c>
      <c r="Y148">
        <v>55.769199999999998</v>
      </c>
      <c r="Z148">
        <v>-5.0792999999999999</v>
      </c>
      <c r="AA148">
        <v>-23.899799999999999</v>
      </c>
      <c r="AB148">
        <v>0.99529999999999996</v>
      </c>
      <c r="AC148">
        <v>25.684699999999999</v>
      </c>
      <c r="AD148" t="s">
        <v>134</v>
      </c>
      <c r="AE148">
        <v>-69.871899999999997</v>
      </c>
      <c r="AF148">
        <v>47.084899999999998</v>
      </c>
      <c r="AG148">
        <v>29.6068</v>
      </c>
      <c r="AH148">
        <v>19.914400000000001</v>
      </c>
      <c r="AI148">
        <v>18.1037</v>
      </c>
      <c r="AJ148">
        <v>19.286999999999999</v>
      </c>
      <c r="AK148">
        <v>12.8537</v>
      </c>
      <c r="AL148">
        <v>1196.7672</v>
      </c>
      <c r="AM148">
        <v>18.867899999999999</v>
      </c>
      <c r="AN148">
        <v>37.119300000000003</v>
      </c>
      <c r="AO148">
        <v>48.689700000000002</v>
      </c>
      <c r="AP148">
        <v>32.337299999999999</v>
      </c>
      <c r="AQ148">
        <v>29.775500000000001</v>
      </c>
      <c r="AR148">
        <v>32.279000000000003</v>
      </c>
      <c r="AS148">
        <v>-3.7006999999999999</v>
      </c>
      <c r="AT148">
        <v>3.0905999999999998</v>
      </c>
      <c r="AU148">
        <v>-0.59250000000000003</v>
      </c>
      <c r="AV148">
        <v>20.676600000000001</v>
      </c>
      <c r="AW148" t="s">
        <v>134</v>
      </c>
      <c r="AX148" t="s">
        <v>134</v>
      </c>
      <c r="AY148">
        <v>344.68470000000002</v>
      </c>
      <c r="AZ148">
        <v>28.0228</v>
      </c>
      <c r="BA148">
        <v>29.3826</v>
      </c>
      <c r="BB148">
        <v>13.1036</v>
      </c>
      <c r="BC148">
        <v>22.229299999999999</v>
      </c>
      <c r="BD148">
        <v>8.6493000000000002</v>
      </c>
      <c r="BE148" t="s">
        <v>134</v>
      </c>
      <c r="BF148">
        <v>29.507300000000001</v>
      </c>
      <c r="BG148">
        <v>28.977599999999999</v>
      </c>
      <c r="BH148">
        <v>32.390900000000002</v>
      </c>
      <c r="BI148">
        <v>10.7607</v>
      </c>
      <c r="BJ148">
        <v>8.8929000000000009</v>
      </c>
      <c r="BK148">
        <v>55.769199999999998</v>
      </c>
      <c r="BL148">
        <v>-5.0792999999999999</v>
      </c>
      <c r="BM148">
        <v>-23.899799999999999</v>
      </c>
      <c r="BN148">
        <v>0.99529999999999996</v>
      </c>
      <c r="BO148">
        <v>25.684699999999999</v>
      </c>
      <c r="BP148">
        <v>-345.39359999999999</v>
      </c>
      <c r="BQ148">
        <v>-69.871899999999997</v>
      </c>
      <c r="BR148">
        <v>47.084899999999998</v>
      </c>
      <c r="BS148">
        <v>29.6068</v>
      </c>
      <c r="BT148">
        <v>19.914400000000001</v>
      </c>
      <c r="BU148">
        <v>18.1037</v>
      </c>
      <c r="BV148">
        <v>19.286999999999999</v>
      </c>
      <c r="BW148">
        <v>12.8537</v>
      </c>
      <c r="BX148">
        <v>1196.7672</v>
      </c>
      <c r="BY148">
        <v>157910.43599999999</v>
      </c>
      <c r="BZ148">
        <v>55629.53</v>
      </c>
      <c r="CA148">
        <v>102280.906</v>
      </c>
      <c r="CB148">
        <v>3.7168999999999999</v>
      </c>
      <c r="CC148">
        <v>2.6257999999999999</v>
      </c>
      <c r="CD148">
        <v>4.3833000000000002</v>
      </c>
      <c r="CE148">
        <v>3.0966</v>
      </c>
      <c r="CF148">
        <v>3.4356</v>
      </c>
      <c r="CG148">
        <v>22.139099999999999</v>
      </c>
      <c r="CH148">
        <v>124.0382</v>
      </c>
      <c r="CI148">
        <v>42.551499999999997</v>
      </c>
      <c r="CJ148">
        <v>30.5152</v>
      </c>
      <c r="CK148">
        <v>191.50120000000001</v>
      </c>
      <c r="CL148">
        <v>65.694800000000001</v>
      </c>
      <c r="CM148">
        <v>47.112099999999998</v>
      </c>
      <c r="CN148">
        <v>135.28479999999999</v>
      </c>
      <c r="CO148">
        <v>57.4983</v>
      </c>
      <c r="CP148">
        <v>42484.356</v>
      </c>
      <c r="CQ148">
        <v>35972.756000000001</v>
      </c>
      <c r="CR148">
        <v>36025.482000000004</v>
      </c>
      <c r="CS148">
        <v>0.3266</v>
      </c>
      <c r="CT148">
        <v>1.0162</v>
      </c>
      <c r="CU148">
        <v>0.40949999999999998</v>
      </c>
      <c r="CV148">
        <v>2.4925000000000002</v>
      </c>
      <c r="CW148">
        <v>24.540800000000001</v>
      </c>
      <c r="CX148">
        <v>14.873200000000001</v>
      </c>
      <c r="CY148">
        <v>7.0735000000000001</v>
      </c>
      <c r="CZ148">
        <v>51.601199999999999</v>
      </c>
      <c r="DA148">
        <v>4.0762999999999998</v>
      </c>
      <c r="DB148">
        <v>89.541700000000006</v>
      </c>
      <c r="DC148">
        <v>-23.067299999999999</v>
      </c>
      <c r="DD148">
        <v>66.474400000000003</v>
      </c>
      <c r="DE148">
        <v>22076.891</v>
      </c>
      <c r="DF148">
        <v>9614.2810000000009</v>
      </c>
      <c r="DG148">
        <v>4453.8230000000003</v>
      </c>
      <c r="DH148">
        <v>7064.2030000000004</v>
      </c>
      <c r="DI148">
        <v>944.58399999999995</v>
      </c>
    </row>
    <row r="149" spans="1:113" x14ac:dyDescent="0.3">
      <c r="E149" t="s">
        <v>78</v>
      </c>
      <c r="F149" t="s">
        <v>134</v>
      </c>
      <c r="G149" t="s">
        <v>134</v>
      </c>
      <c r="H149" t="s">
        <v>134</v>
      </c>
      <c r="I149" t="s">
        <v>134</v>
      </c>
      <c r="J149" t="s">
        <v>134</v>
      </c>
      <c r="K149" t="s">
        <v>134</v>
      </c>
      <c r="L149" t="s">
        <v>134</v>
      </c>
      <c r="M149" t="s">
        <v>134</v>
      </c>
      <c r="N149" t="s">
        <v>134</v>
      </c>
      <c r="O149" t="s">
        <v>134</v>
      </c>
      <c r="P149" t="s">
        <v>134</v>
      </c>
      <c r="Q149" t="s">
        <v>134</v>
      </c>
      <c r="R149" t="s">
        <v>134</v>
      </c>
      <c r="S149" t="s">
        <v>134</v>
      </c>
      <c r="T149" t="s">
        <v>134</v>
      </c>
      <c r="U149" t="s">
        <v>134</v>
      </c>
      <c r="V149" t="s">
        <v>134</v>
      </c>
      <c r="W149" t="s">
        <v>134</v>
      </c>
      <c r="X149" t="s">
        <v>134</v>
      </c>
      <c r="Y149" t="s">
        <v>134</v>
      </c>
      <c r="Z149" t="s">
        <v>134</v>
      </c>
      <c r="AA149" t="s">
        <v>134</v>
      </c>
      <c r="AB149" t="s">
        <v>134</v>
      </c>
      <c r="AC149" t="s">
        <v>134</v>
      </c>
      <c r="AD149" t="s">
        <v>134</v>
      </c>
      <c r="AE149" t="s">
        <v>134</v>
      </c>
      <c r="AF149" t="s">
        <v>134</v>
      </c>
      <c r="AG149" t="s">
        <v>134</v>
      </c>
      <c r="AH149" t="s">
        <v>134</v>
      </c>
      <c r="AI149" t="s">
        <v>134</v>
      </c>
      <c r="AJ149" t="s">
        <v>134</v>
      </c>
      <c r="AK149" t="s">
        <v>134</v>
      </c>
      <c r="AL149" t="s">
        <v>134</v>
      </c>
      <c r="AM149" t="s">
        <v>134</v>
      </c>
      <c r="AN149" t="s">
        <v>134</v>
      </c>
      <c r="AO149" t="s">
        <v>134</v>
      </c>
      <c r="AP149" t="s">
        <v>134</v>
      </c>
      <c r="AQ149" t="s">
        <v>134</v>
      </c>
      <c r="AR149" t="s">
        <v>134</v>
      </c>
      <c r="AS149" t="s">
        <v>134</v>
      </c>
      <c r="AT149" t="s">
        <v>134</v>
      </c>
      <c r="AU149" t="s">
        <v>134</v>
      </c>
      <c r="AV149" t="s">
        <v>134</v>
      </c>
      <c r="AW149" t="s">
        <v>134</v>
      </c>
      <c r="AX149" t="s">
        <v>134</v>
      </c>
      <c r="AY149" t="s">
        <v>134</v>
      </c>
      <c r="AZ149" t="s">
        <v>134</v>
      </c>
      <c r="BA149" t="s">
        <v>134</v>
      </c>
      <c r="BB149" t="s">
        <v>134</v>
      </c>
      <c r="BC149" t="s">
        <v>134</v>
      </c>
      <c r="BD149" t="s">
        <v>134</v>
      </c>
      <c r="BE149" t="s">
        <v>134</v>
      </c>
      <c r="BF149" t="s">
        <v>134</v>
      </c>
      <c r="BG149" t="s">
        <v>134</v>
      </c>
      <c r="BH149" t="s">
        <v>134</v>
      </c>
      <c r="BI149" t="s">
        <v>134</v>
      </c>
      <c r="BJ149" t="s">
        <v>134</v>
      </c>
      <c r="BK149" t="s">
        <v>134</v>
      </c>
      <c r="BL149" t="s">
        <v>134</v>
      </c>
      <c r="BM149" t="s">
        <v>134</v>
      </c>
      <c r="BN149" t="s">
        <v>134</v>
      </c>
      <c r="BO149" t="s">
        <v>134</v>
      </c>
      <c r="BP149" t="s">
        <v>134</v>
      </c>
      <c r="BQ149" t="s">
        <v>134</v>
      </c>
      <c r="BR149" t="s">
        <v>134</v>
      </c>
      <c r="BS149" t="s">
        <v>134</v>
      </c>
      <c r="BT149" t="s">
        <v>134</v>
      </c>
      <c r="BU149" t="s">
        <v>134</v>
      </c>
      <c r="BV149" t="s">
        <v>134</v>
      </c>
      <c r="BW149" t="s">
        <v>134</v>
      </c>
      <c r="BX149" t="s">
        <v>134</v>
      </c>
      <c r="BY149" t="s">
        <v>134</v>
      </c>
      <c r="BZ149" t="s">
        <v>134</v>
      </c>
      <c r="CA149" t="s">
        <v>134</v>
      </c>
      <c r="CB149" t="s">
        <v>134</v>
      </c>
      <c r="CC149" t="s">
        <v>134</v>
      </c>
      <c r="CD149" t="s">
        <v>134</v>
      </c>
      <c r="CE149" t="s">
        <v>134</v>
      </c>
      <c r="CF149" t="s">
        <v>134</v>
      </c>
      <c r="CG149" t="s">
        <v>134</v>
      </c>
      <c r="CH149" t="s">
        <v>134</v>
      </c>
      <c r="CI149" t="s">
        <v>134</v>
      </c>
      <c r="CJ149" t="s">
        <v>134</v>
      </c>
      <c r="CK149" t="s">
        <v>134</v>
      </c>
      <c r="CL149" t="s">
        <v>134</v>
      </c>
      <c r="CM149" t="s">
        <v>134</v>
      </c>
      <c r="CN149" t="s">
        <v>134</v>
      </c>
      <c r="CO149" t="s">
        <v>134</v>
      </c>
      <c r="CP149" t="s">
        <v>134</v>
      </c>
      <c r="CQ149" t="s">
        <v>134</v>
      </c>
      <c r="CR149" t="s">
        <v>134</v>
      </c>
      <c r="CS149" t="s">
        <v>134</v>
      </c>
      <c r="CT149" t="s">
        <v>134</v>
      </c>
      <c r="CU149" t="s">
        <v>134</v>
      </c>
      <c r="CV149" t="s">
        <v>134</v>
      </c>
      <c r="CW149" t="s">
        <v>134</v>
      </c>
      <c r="CX149" t="s">
        <v>134</v>
      </c>
      <c r="CY149" t="s">
        <v>134</v>
      </c>
      <c r="CZ149" t="s">
        <v>134</v>
      </c>
      <c r="DA149" t="s">
        <v>134</v>
      </c>
      <c r="DB149" t="s">
        <v>134</v>
      </c>
      <c r="DC149" t="s">
        <v>134</v>
      </c>
      <c r="DD149" t="s">
        <v>134</v>
      </c>
      <c r="DE149" t="s">
        <v>134</v>
      </c>
      <c r="DF149" t="s">
        <v>134</v>
      </c>
      <c r="DG149" t="s">
        <v>134</v>
      </c>
      <c r="DH149" t="s">
        <v>134</v>
      </c>
      <c r="DI149" t="s">
        <v>134</v>
      </c>
    </row>
    <row r="150" spans="1:113" x14ac:dyDescent="0.3">
      <c r="E150" t="s">
        <v>79</v>
      </c>
      <c r="F150" t="s">
        <v>134</v>
      </c>
      <c r="G150" t="s">
        <v>134</v>
      </c>
      <c r="H150" t="s">
        <v>134</v>
      </c>
      <c r="I150" t="s">
        <v>134</v>
      </c>
      <c r="J150" t="s">
        <v>134</v>
      </c>
      <c r="K150" t="s">
        <v>134</v>
      </c>
      <c r="L150" t="s">
        <v>134</v>
      </c>
      <c r="M150" t="s">
        <v>134</v>
      </c>
      <c r="N150" t="s">
        <v>134</v>
      </c>
      <c r="O150" t="s">
        <v>134</v>
      </c>
      <c r="P150" t="s">
        <v>134</v>
      </c>
      <c r="Q150" t="s">
        <v>134</v>
      </c>
      <c r="R150" t="s">
        <v>134</v>
      </c>
      <c r="S150" t="s">
        <v>134</v>
      </c>
      <c r="T150" t="s">
        <v>134</v>
      </c>
      <c r="U150" t="s">
        <v>134</v>
      </c>
      <c r="V150" t="s">
        <v>134</v>
      </c>
      <c r="W150" t="s">
        <v>134</v>
      </c>
      <c r="X150" t="s">
        <v>134</v>
      </c>
      <c r="Y150" t="s">
        <v>134</v>
      </c>
      <c r="Z150" t="s">
        <v>134</v>
      </c>
      <c r="AA150" t="s">
        <v>134</v>
      </c>
      <c r="AB150" t="s">
        <v>134</v>
      </c>
      <c r="AC150" t="s">
        <v>134</v>
      </c>
      <c r="AD150" t="s">
        <v>134</v>
      </c>
      <c r="AE150" t="s">
        <v>134</v>
      </c>
      <c r="AF150" t="s">
        <v>134</v>
      </c>
      <c r="AG150" t="s">
        <v>134</v>
      </c>
      <c r="AH150" t="s">
        <v>134</v>
      </c>
      <c r="AI150" t="s">
        <v>134</v>
      </c>
      <c r="AJ150" t="s">
        <v>134</v>
      </c>
      <c r="AK150" t="s">
        <v>134</v>
      </c>
      <c r="AL150" t="s">
        <v>134</v>
      </c>
      <c r="AM150" t="s">
        <v>134</v>
      </c>
      <c r="AN150" t="s">
        <v>134</v>
      </c>
      <c r="AO150" t="s">
        <v>134</v>
      </c>
      <c r="AP150" t="s">
        <v>134</v>
      </c>
      <c r="AQ150" t="s">
        <v>134</v>
      </c>
      <c r="AR150" t="s">
        <v>134</v>
      </c>
      <c r="AS150" t="s">
        <v>134</v>
      </c>
      <c r="AT150" t="s">
        <v>134</v>
      </c>
      <c r="AU150" t="s">
        <v>134</v>
      </c>
      <c r="AV150" t="s">
        <v>134</v>
      </c>
      <c r="AW150" t="s">
        <v>134</v>
      </c>
      <c r="AX150" t="s">
        <v>134</v>
      </c>
      <c r="AY150" t="s">
        <v>134</v>
      </c>
      <c r="AZ150" t="s">
        <v>134</v>
      </c>
      <c r="BA150" t="s">
        <v>134</v>
      </c>
      <c r="BB150" t="s">
        <v>134</v>
      </c>
      <c r="BC150" t="s">
        <v>134</v>
      </c>
      <c r="BD150" t="s">
        <v>134</v>
      </c>
      <c r="BE150" t="s">
        <v>134</v>
      </c>
      <c r="BF150" t="s">
        <v>134</v>
      </c>
      <c r="BG150" t="s">
        <v>134</v>
      </c>
      <c r="BH150" t="s">
        <v>134</v>
      </c>
      <c r="BI150" t="s">
        <v>134</v>
      </c>
      <c r="BJ150" t="s">
        <v>134</v>
      </c>
      <c r="BK150" t="s">
        <v>134</v>
      </c>
      <c r="BL150" t="s">
        <v>134</v>
      </c>
      <c r="BM150" t="s">
        <v>134</v>
      </c>
      <c r="BN150" t="s">
        <v>134</v>
      </c>
      <c r="BO150" t="s">
        <v>134</v>
      </c>
      <c r="BP150" t="s">
        <v>134</v>
      </c>
      <c r="BQ150" t="s">
        <v>134</v>
      </c>
      <c r="BR150" t="s">
        <v>134</v>
      </c>
      <c r="BS150" t="s">
        <v>134</v>
      </c>
      <c r="BT150" t="s">
        <v>134</v>
      </c>
      <c r="BU150" t="s">
        <v>134</v>
      </c>
      <c r="BV150" t="s">
        <v>134</v>
      </c>
      <c r="BW150" t="s">
        <v>134</v>
      </c>
      <c r="BX150" t="s">
        <v>134</v>
      </c>
      <c r="BY150" t="s">
        <v>134</v>
      </c>
      <c r="BZ150" t="s">
        <v>134</v>
      </c>
      <c r="CA150" t="s">
        <v>134</v>
      </c>
      <c r="CB150" t="s">
        <v>134</v>
      </c>
      <c r="CC150" t="s">
        <v>134</v>
      </c>
      <c r="CD150" t="s">
        <v>134</v>
      </c>
      <c r="CE150" t="s">
        <v>134</v>
      </c>
      <c r="CF150" t="s">
        <v>134</v>
      </c>
      <c r="CG150" t="s">
        <v>134</v>
      </c>
      <c r="CH150" t="s">
        <v>134</v>
      </c>
      <c r="CI150" t="s">
        <v>134</v>
      </c>
      <c r="CJ150" t="s">
        <v>134</v>
      </c>
      <c r="CK150" t="s">
        <v>134</v>
      </c>
      <c r="CL150" t="s">
        <v>134</v>
      </c>
      <c r="CM150" t="s">
        <v>134</v>
      </c>
      <c r="CN150" t="s">
        <v>134</v>
      </c>
      <c r="CO150" t="s">
        <v>134</v>
      </c>
      <c r="CP150" t="s">
        <v>134</v>
      </c>
      <c r="CQ150" t="s">
        <v>134</v>
      </c>
      <c r="CR150" t="s">
        <v>134</v>
      </c>
      <c r="CS150" t="s">
        <v>134</v>
      </c>
      <c r="CT150" t="s">
        <v>134</v>
      </c>
      <c r="CU150" t="s">
        <v>134</v>
      </c>
      <c r="CV150" t="s">
        <v>134</v>
      </c>
      <c r="CW150" t="s">
        <v>134</v>
      </c>
      <c r="CX150" t="s">
        <v>134</v>
      </c>
      <c r="CY150" t="s">
        <v>134</v>
      </c>
      <c r="CZ150" t="s">
        <v>134</v>
      </c>
      <c r="DA150" t="s">
        <v>134</v>
      </c>
      <c r="DB150" t="s">
        <v>134</v>
      </c>
      <c r="DC150" t="s">
        <v>134</v>
      </c>
      <c r="DD150" t="s">
        <v>134</v>
      </c>
      <c r="DE150" t="s">
        <v>134</v>
      </c>
      <c r="DF150" t="s">
        <v>134</v>
      </c>
      <c r="DG150" t="s">
        <v>134</v>
      </c>
      <c r="DH150" t="s">
        <v>134</v>
      </c>
      <c r="DI150" t="s">
        <v>134</v>
      </c>
    </row>
    <row r="151" spans="1:113" x14ac:dyDescent="0.3">
      <c r="E151" t="s">
        <v>80</v>
      </c>
      <c r="F151" t="s">
        <v>134</v>
      </c>
      <c r="G151" t="s">
        <v>134</v>
      </c>
      <c r="H151" t="s">
        <v>134</v>
      </c>
      <c r="I151" t="s">
        <v>134</v>
      </c>
      <c r="J151" t="s">
        <v>134</v>
      </c>
      <c r="K151" t="s">
        <v>134</v>
      </c>
      <c r="L151" t="s">
        <v>134</v>
      </c>
      <c r="M151" t="s">
        <v>134</v>
      </c>
      <c r="N151" t="s">
        <v>134</v>
      </c>
      <c r="O151" t="s">
        <v>134</v>
      </c>
      <c r="P151" t="s">
        <v>134</v>
      </c>
      <c r="Q151" t="s">
        <v>134</v>
      </c>
      <c r="R151" t="s">
        <v>134</v>
      </c>
      <c r="S151" t="s">
        <v>134</v>
      </c>
      <c r="T151" t="s">
        <v>134</v>
      </c>
      <c r="U151" t="s">
        <v>134</v>
      </c>
      <c r="V151" t="s">
        <v>134</v>
      </c>
      <c r="W151" t="s">
        <v>134</v>
      </c>
      <c r="X151" t="s">
        <v>134</v>
      </c>
      <c r="Y151" t="s">
        <v>134</v>
      </c>
      <c r="Z151" t="s">
        <v>134</v>
      </c>
      <c r="AA151" t="s">
        <v>134</v>
      </c>
      <c r="AB151" t="s">
        <v>134</v>
      </c>
      <c r="AC151" t="s">
        <v>134</v>
      </c>
      <c r="AD151" t="s">
        <v>134</v>
      </c>
      <c r="AE151" t="s">
        <v>134</v>
      </c>
      <c r="AF151" t="s">
        <v>134</v>
      </c>
      <c r="AG151" t="s">
        <v>134</v>
      </c>
      <c r="AH151" t="s">
        <v>134</v>
      </c>
      <c r="AI151" t="s">
        <v>134</v>
      </c>
      <c r="AJ151" t="s">
        <v>134</v>
      </c>
      <c r="AK151" t="s">
        <v>134</v>
      </c>
      <c r="AL151" t="s">
        <v>134</v>
      </c>
      <c r="AM151" t="s">
        <v>134</v>
      </c>
      <c r="AN151" t="s">
        <v>134</v>
      </c>
      <c r="AO151" t="s">
        <v>134</v>
      </c>
      <c r="AP151" t="s">
        <v>134</v>
      </c>
      <c r="AQ151" t="s">
        <v>134</v>
      </c>
      <c r="AR151" t="s">
        <v>134</v>
      </c>
      <c r="AS151" t="s">
        <v>134</v>
      </c>
      <c r="AT151" t="s">
        <v>134</v>
      </c>
      <c r="AU151" t="s">
        <v>134</v>
      </c>
      <c r="AV151" t="s">
        <v>134</v>
      </c>
      <c r="AW151" t="s">
        <v>134</v>
      </c>
      <c r="AX151" t="s">
        <v>134</v>
      </c>
      <c r="AY151" t="s">
        <v>134</v>
      </c>
      <c r="AZ151" t="s">
        <v>134</v>
      </c>
      <c r="BA151" t="s">
        <v>134</v>
      </c>
      <c r="BB151" t="s">
        <v>134</v>
      </c>
      <c r="BC151" t="s">
        <v>134</v>
      </c>
      <c r="BD151" t="s">
        <v>134</v>
      </c>
      <c r="BE151" t="s">
        <v>134</v>
      </c>
      <c r="BF151" t="s">
        <v>134</v>
      </c>
      <c r="BG151" t="s">
        <v>134</v>
      </c>
      <c r="BH151" t="s">
        <v>134</v>
      </c>
      <c r="BI151" t="s">
        <v>134</v>
      </c>
      <c r="BJ151" t="s">
        <v>134</v>
      </c>
      <c r="BK151" t="s">
        <v>134</v>
      </c>
      <c r="BL151" t="s">
        <v>134</v>
      </c>
      <c r="BM151" t="s">
        <v>134</v>
      </c>
      <c r="BN151" t="s">
        <v>134</v>
      </c>
      <c r="BO151" t="s">
        <v>134</v>
      </c>
      <c r="BP151" t="s">
        <v>134</v>
      </c>
      <c r="BQ151" t="s">
        <v>134</v>
      </c>
      <c r="BR151" t="s">
        <v>134</v>
      </c>
      <c r="BS151" t="s">
        <v>134</v>
      </c>
      <c r="BT151" t="s">
        <v>134</v>
      </c>
      <c r="BU151" t="s">
        <v>134</v>
      </c>
      <c r="BV151" t="s">
        <v>134</v>
      </c>
      <c r="BW151" t="s">
        <v>134</v>
      </c>
      <c r="BX151" t="s">
        <v>134</v>
      </c>
      <c r="BY151" t="s">
        <v>134</v>
      </c>
      <c r="BZ151" t="s">
        <v>134</v>
      </c>
      <c r="CA151" t="s">
        <v>134</v>
      </c>
      <c r="CB151" t="s">
        <v>134</v>
      </c>
      <c r="CC151" t="s">
        <v>134</v>
      </c>
      <c r="CD151" t="s">
        <v>134</v>
      </c>
      <c r="CE151" t="s">
        <v>134</v>
      </c>
      <c r="CF151" t="s">
        <v>134</v>
      </c>
      <c r="CG151" t="s">
        <v>134</v>
      </c>
      <c r="CH151" t="s">
        <v>134</v>
      </c>
      <c r="CI151" t="s">
        <v>134</v>
      </c>
      <c r="CJ151" t="s">
        <v>134</v>
      </c>
      <c r="CK151" t="s">
        <v>134</v>
      </c>
      <c r="CL151" t="s">
        <v>134</v>
      </c>
      <c r="CM151" t="s">
        <v>134</v>
      </c>
      <c r="CN151" t="s">
        <v>134</v>
      </c>
      <c r="CO151" t="s">
        <v>134</v>
      </c>
      <c r="CP151" t="s">
        <v>134</v>
      </c>
      <c r="CQ151" t="s">
        <v>134</v>
      </c>
      <c r="CR151" t="s">
        <v>134</v>
      </c>
      <c r="CS151" t="s">
        <v>134</v>
      </c>
      <c r="CT151" t="s">
        <v>134</v>
      </c>
      <c r="CU151" t="s">
        <v>134</v>
      </c>
      <c r="CV151" t="s">
        <v>134</v>
      </c>
      <c r="CW151" t="s">
        <v>134</v>
      </c>
      <c r="CX151" t="s">
        <v>134</v>
      </c>
      <c r="CY151" t="s">
        <v>134</v>
      </c>
      <c r="CZ151" t="s">
        <v>134</v>
      </c>
      <c r="DA151" t="s">
        <v>134</v>
      </c>
      <c r="DB151" t="s">
        <v>134</v>
      </c>
      <c r="DC151" t="s">
        <v>134</v>
      </c>
      <c r="DD151" t="s">
        <v>134</v>
      </c>
      <c r="DE151" t="s">
        <v>134</v>
      </c>
      <c r="DF151" t="s">
        <v>134</v>
      </c>
      <c r="DG151" t="s">
        <v>134</v>
      </c>
      <c r="DH151" t="s">
        <v>134</v>
      </c>
      <c r="DI151" t="s">
        <v>134</v>
      </c>
    </row>
    <row r="152" spans="1:113" x14ac:dyDescent="0.3">
      <c r="E152" t="s">
        <v>81</v>
      </c>
      <c r="F152" t="s">
        <v>134</v>
      </c>
      <c r="G152" t="s">
        <v>134</v>
      </c>
      <c r="H152" t="s">
        <v>134</v>
      </c>
      <c r="I152" t="s">
        <v>134</v>
      </c>
      <c r="J152" t="s">
        <v>134</v>
      </c>
      <c r="K152" t="s">
        <v>134</v>
      </c>
      <c r="L152" t="s">
        <v>134</v>
      </c>
      <c r="M152" t="s">
        <v>134</v>
      </c>
      <c r="N152" t="s">
        <v>134</v>
      </c>
      <c r="O152" t="s">
        <v>134</v>
      </c>
      <c r="P152" t="s">
        <v>134</v>
      </c>
      <c r="Q152" t="s">
        <v>134</v>
      </c>
      <c r="R152" t="s">
        <v>134</v>
      </c>
      <c r="S152" t="s">
        <v>134</v>
      </c>
      <c r="T152" t="s">
        <v>134</v>
      </c>
      <c r="U152" t="s">
        <v>134</v>
      </c>
      <c r="V152" t="s">
        <v>134</v>
      </c>
      <c r="W152" t="s">
        <v>134</v>
      </c>
      <c r="X152" t="s">
        <v>134</v>
      </c>
      <c r="Y152" t="s">
        <v>134</v>
      </c>
      <c r="Z152" t="s">
        <v>134</v>
      </c>
      <c r="AA152" t="s">
        <v>134</v>
      </c>
      <c r="AB152" t="s">
        <v>134</v>
      </c>
      <c r="AC152" t="s">
        <v>134</v>
      </c>
      <c r="AD152" t="s">
        <v>134</v>
      </c>
      <c r="AE152" t="s">
        <v>134</v>
      </c>
      <c r="AF152" t="s">
        <v>134</v>
      </c>
      <c r="AG152" t="s">
        <v>134</v>
      </c>
      <c r="AH152" t="s">
        <v>134</v>
      </c>
      <c r="AI152" t="s">
        <v>134</v>
      </c>
      <c r="AJ152" t="s">
        <v>134</v>
      </c>
      <c r="AK152" t="s">
        <v>134</v>
      </c>
      <c r="AL152" t="s">
        <v>134</v>
      </c>
      <c r="AM152" t="s">
        <v>134</v>
      </c>
      <c r="AN152" t="s">
        <v>134</v>
      </c>
      <c r="AO152" t="s">
        <v>134</v>
      </c>
      <c r="AP152" t="s">
        <v>134</v>
      </c>
      <c r="AQ152" t="s">
        <v>134</v>
      </c>
      <c r="AR152" t="s">
        <v>134</v>
      </c>
      <c r="AS152" t="s">
        <v>134</v>
      </c>
      <c r="AT152" t="s">
        <v>134</v>
      </c>
      <c r="AU152" t="s">
        <v>134</v>
      </c>
      <c r="AV152" t="s">
        <v>134</v>
      </c>
      <c r="AW152" t="s">
        <v>134</v>
      </c>
      <c r="AX152" t="s">
        <v>134</v>
      </c>
      <c r="AY152" t="s">
        <v>134</v>
      </c>
      <c r="AZ152" t="s">
        <v>134</v>
      </c>
      <c r="BA152" t="s">
        <v>134</v>
      </c>
      <c r="BB152" t="s">
        <v>134</v>
      </c>
      <c r="BC152" t="s">
        <v>134</v>
      </c>
      <c r="BD152" t="s">
        <v>134</v>
      </c>
      <c r="BE152" t="s">
        <v>134</v>
      </c>
      <c r="BF152" t="s">
        <v>134</v>
      </c>
      <c r="BG152" t="s">
        <v>134</v>
      </c>
      <c r="BH152" t="s">
        <v>134</v>
      </c>
      <c r="BI152" t="s">
        <v>134</v>
      </c>
      <c r="BJ152" t="s">
        <v>134</v>
      </c>
      <c r="BK152" t="s">
        <v>134</v>
      </c>
      <c r="BL152" t="s">
        <v>134</v>
      </c>
      <c r="BM152" t="s">
        <v>134</v>
      </c>
      <c r="BN152" t="s">
        <v>134</v>
      </c>
      <c r="BO152" t="s">
        <v>134</v>
      </c>
      <c r="BP152" t="s">
        <v>134</v>
      </c>
      <c r="BQ152" t="s">
        <v>134</v>
      </c>
      <c r="BR152" t="s">
        <v>134</v>
      </c>
      <c r="BS152" t="s">
        <v>134</v>
      </c>
      <c r="BT152" t="s">
        <v>134</v>
      </c>
      <c r="BU152" t="s">
        <v>134</v>
      </c>
      <c r="BV152" t="s">
        <v>134</v>
      </c>
      <c r="BW152" t="s">
        <v>134</v>
      </c>
      <c r="BX152" t="s">
        <v>134</v>
      </c>
      <c r="BY152" t="s">
        <v>134</v>
      </c>
      <c r="BZ152" t="s">
        <v>134</v>
      </c>
      <c r="CA152" t="s">
        <v>134</v>
      </c>
      <c r="CB152" t="s">
        <v>134</v>
      </c>
      <c r="CC152" t="s">
        <v>134</v>
      </c>
      <c r="CD152" t="s">
        <v>134</v>
      </c>
      <c r="CE152" t="s">
        <v>134</v>
      </c>
      <c r="CF152" t="s">
        <v>134</v>
      </c>
      <c r="CG152" t="s">
        <v>134</v>
      </c>
      <c r="CH152" t="s">
        <v>134</v>
      </c>
      <c r="CI152" t="s">
        <v>134</v>
      </c>
      <c r="CJ152" t="s">
        <v>134</v>
      </c>
      <c r="CK152" t="s">
        <v>134</v>
      </c>
      <c r="CL152" t="s">
        <v>134</v>
      </c>
      <c r="CM152" t="s">
        <v>134</v>
      </c>
      <c r="CN152" t="s">
        <v>134</v>
      </c>
      <c r="CO152" t="s">
        <v>134</v>
      </c>
      <c r="CP152" t="s">
        <v>134</v>
      </c>
      <c r="CQ152" t="s">
        <v>134</v>
      </c>
      <c r="CR152" t="s">
        <v>134</v>
      </c>
      <c r="CS152" t="s">
        <v>134</v>
      </c>
      <c r="CT152" t="s">
        <v>134</v>
      </c>
      <c r="CU152" t="s">
        <v>134</v>
      </c>
      <c r="CV152" t="s">
        <v>134</v>
      </c>
      <c r="CW152" t="s">
        <v>134</v>
      </c>
      <c r="CX152" t="s">
        <v>134</v>
      </c>
      <c r="CY152" t="s">
        <v>134</v>
      </c>
      <c r="CZ152" t="s">
        <v>134</v>
      </c>
      <c r="DA152" t="s">
        <v>134</v>
      </c>
      <c r="DB152" t="s">
        <v>134</v>
      </c>
      <c r="DC152" t="s">
        <v>134</v>
      </c>
      <c r="DD152" t="s">
        <v>134</v>
      </c>
      <c r="DE152" t="s">
        <v>134</v>
      </c>
      <c r="DF152" t="s">
        <v>134</v>
      </c>
      <c r="DG152" t="s">
        <v>134</v>
      </c>
      <c r="DH152" t="s">
        <v>134</v>
      </c>
      <c r="DI152" t="s">
        <v>134</v>
      </c>
    </row>
    <row r="153" spans="1:113" x14ac:dyDescent="0.3">
      <c r="A153">
        <v>7</v>
      </c>
      <c r="B153" t="s">
        <v>96</v>
      </c>
      <c r="C153" t="s">
        <v>97</v>
      </c>
      <c r="D153" t="s">
        <v>76</v>
      </c>
      <c r="E153" t="s">
        <v>77</v>
      </c>
      <c r="F153">
        <v>32.836500000000001</v>
      </c>
      <c r="G153">
        <v>16.441199999999998</v>
      </c>
      <c r="H153">
        <v>30.920500000000001</v>
      </c>
      <c r="I153">
        <v>27.3843</v>
      </c>
      <c r="J153">
        <v>16.031600000000001</v>
      </c>
      <c r="K153">
        <v>13.9999</v>
      </c>
      <c r="L153">
        <v>10.4353</v>
      </c>
      <c r="M153">
        <v>14.578900000000001</v>
      </c>
      <c r="N153">
        <v>10.0365</v>
      </c>
      <c r="O153">
        <v>9.6872000000000007</v>
      </c>
      <c r="P153">
        <v>9.6872000000000007</v>
      </c>
      <c r="Q153">
        <v>31.157399999999999</v>
      </c>
      <c r="R153">
        <v>41.7104</v>
      </c>
      <c r="S153">
        <v>19.1403</v>
      </c>
      <c r="T153">
        <v>15.700200000000001</v>
      </c>
      <c r="U153">
        <v>16.064599999999999</v>
      </c>
      <c r="V153">
        <v>11.252700000000001</v>
      </c>
      <c r="W153">
        <v>9.4201999999999995</v>
      </c>
      <c r="X153">
        <v>9.4201999999999995</v>
      </c>
      <c r="Y153">
        <v>15.2174</v>
      </c>
      <c r="Z153">
        <v>13.1922</v>
      </c>
      <c r="AA153">
        <v>13.0892</v>
      </c>
      <c r="AB153">
        <v>-0.92989999999999995</v>
      </c>
      <c r="AC153">
        <v>18.456</v>
      </c>
      <c r="AD153">
        <v>4.7328000000000001</v>
      </c>
      <c r="AE153">
        <v>53.443199999999997</v>
      </c>
      <c r="AF153">
        <v>21.098500000000001</v>
      </c>
      <c r="AG153">
        <v>2.0082</v>
      </c>
      <c r="AH153">
        <v>-0.72119999999999995</v>
      </c>
      <c r="AI153">
        <v>20.879200000000001</v>
      </c>
      <c r="AJ153">
        <v>19.4512</v>
      </c>
      <c r="AK153">
        <v>19.3521</v>
      </c>
      <c r="AL153">
        <v>20.4526</v>
      </c>
      <c r="AM153">
        <v>18.457799999999999</v>
      </c>
      <c r="AN153">
        <v>23.8019</v>
      </c>
      <c r="AO153">
        <v>23.306100000000001</v>
      </c>
      <c r="AP153">
        <v>25.096599999999999</v>
      </c>
      <c r="AQ153">
        <v>25.096599999999999</v>
      </c>
      <c r="AR153">
        <v>24.8095</v>
      </c>
      <c r="AS153">
        <v>14.1877</v>
      </c>
      <c r="AT153">
        <v>21.901399999999999</v>
      </c>
      <c r="AU153">
        <v>21.8614</v>
      </c>
      <c r="AV153">
        <v>23.197500000000002</v>
      </c>
      <c r="AW153">
        <v>12.764200000000001</v>
      </c>
      <c r="AX153">
        <v>34.035699999999999</v>
      </c>
      <c r="AY153">
        <v>25.796800000000001</v>
      </c>
      <c r="AZ153">
        <v>-1.5712999999999999</v>
      </c>
      <c r="BA153">
        <v>-4.1908000000000003</v>
      </c>
      <c r="BB153">
        <v>27.361599999999999</v>
      </c>
      <c r="BC153">
        <v>23.3584</v>
      </c>
      <c r="BD153">
        <v>27.4072</v>
      </c>
      <c r="BE153">
        <v>30.324400000000001</v>
      </c>
      <c r="BF153">
        <v>15.700200000000001</v>
      </c>
      <c r="BG153">
        <v>16.064599999999999</v>
      </c>
      <c r="BH153">
        <v>11.252700000000001</v>
      </c>
      <c r="BI153">
        <v>9.4201999999999995</v>
      </c>
      <c r="BJ153">
        <v>9.4201999999999995</v>
      </c>
      <c r="BK153">
        <v>15.2174</v>
      </c>
      <c r="BL153">
        <v>13.1922</v>
      </c>
      <c r="BM153">
        <v>13.0892</v>
      </c>
      <c r="BN153">
        <v>-0.92989999999999995</v>
      </c>
      <c r="BO153">
        <v>18.456</v>
      </c>
      <c r="BP153">
        <v>4.7328000000000001</v>
      </c>
      <c r="BQ153">
        <v>53.443199999999997</v>
      </c>
      <c r="BR153">
        <v>21.098500000000001</v>
      </c>
      <c r="BS153">
        <v>2.0082</v>
      </c>
      <c r="BT153">
        <v>-0.72119999999999995</v>
      </c>
      <c r="BU153">
        <v>20.879200000000001</v>
      </c>
      <c r="BV153">
        <v>19.4512</v>
      </c>
      <c r="BW153">
        <v>19.3521</v>
      </c>
      <c r="BX153">
        <v>20.4526</v>
      </c>
      <c r="BY153">
        <v>2491.5</v>
      </c>
      <c r="BZ153">
        <v>2077.5</v>
      </c>
      <c r="CA153">
        <v>414</v>
      </c>
      <c r="CB153">
        <v>0.1235</v>
      </c>
      <c r="CC153">
        <v>-0.62170000000000003</v>
      </c>
      <c r="CD153">
        <v>0.1414</v>
      </c>
      <c r="CE153">
        <v>-0.71199999999999997</v>
      </c>
      <c r="CF153">
        <v>55.231099999999998</v>
      </c>
      <c r="CG153">
        <v>50.242600000000003</v>
      </c>
      <c r="CH153">
        <v>0.96609999999999996</v>
      </c>
      <c r="CI153">
        <v>0.91300000000000003</v>
      </c>
      <c r="CJ153">
        <v>0.51500000000000001</v>
      </c>
      <c r="CK153">
        <v>5.8140999999999998</v>
      </c>
      <c r="CL153">
        <v>5.4946999999999999</v>
      </c>
      <c r="CM153">
        <v>3.0991</v>
      </c>
      <c r="CN153">
        <v>-29.264600000000002</v>
      </c>
      <c r="CO153">
        <v>-41.372</v>
      </c>
      <c r="CP153">
        <v>20170.400000000001</v>
      </c>
      <c r="CQ153">
        <v>17678.3</v>
      </c>
      <c r="CR153">
        <v>17614.2</v>
      </c>
      <c r="CS153">
        <v>0.42899999999999999</v>
      </c>
      <c r="CT153">
        <v>1.4849999999999999</v>
      </c>
      <c r="CU153">
        <v>0.755</v>
      </c>
      <c r="CV153">
        <v>11.0609</v>
      </c>
      <c r="CW153">
        <v>12.033200000000001</v>
      </c>
      <c r="CX153">
        <v>30.332799999999999</v>
      </c>
      <c r="CY153">
        <v>3.8106</v>
      </c>
      <c r="CZ153">
        <v>95.784899999999993</v>
      </c>
      <c r="DA153">
        <v>4.8132000000000001</v>
      </c>
      <c r="DB153">
        <v>75.832800000000006</v>
      </c>
      <c r="DC153">
        <v>50.2849</v>
      </c>
      <c r="DD153">
        <v>126.1177</v>
      </c>
      <c r="DE153">
        <v>20698.599999999999</v>
      </c>
      <c r="DF153">
        <v>6714.3</v>
      </c>
      <c r="DG153">
        <v>870.9</v>
      </c>
      <c r="DH153">
        <v>11332</v>
      </c>
      <c r="DI153">
        <v>1781.4</v>
      </c>
    </row>
    <row r="154" spans="1:113" x14ac:dyDescent="0.3">
      <c r="E154" t="s">
        <v>78</v>
      </c>
      <c r="F154" t="s">
        <v>134</v>
      </c>
      <c r="G154" t="s">
        <v>134</v>
      </c>
      <c r="H154" t="s">
        <v>134</v>
      </c>
      <c r="I154" t="s">
        <v>134</v>
      </c>
      <c r="J154">
        <v>16.487100000000002</v>
      </c>
      <c r="K154">
        <v>14.3621</v>
      </c>
      <c r="L154" t="s">
        <v>134</v>
      </c>
      <c r="M154">
        <v>15.0426</v>
      </c>
      <c r="N154">
        <v>10.1112</v>
      </c>
      <c r="O154">
        <v>9.7649000000000008</v>
      </c>
      <c r="P154">
        <v>9.7649000000000008</v>
      </c>
      <c r="Q154">
        <v>32.782899999999998</v>
      </c>
      <c r="R154" t="s">
        <v>134</v>
      </c>
      <c r="S154" t="s">
        <v>134</v>
      </c>
      <c r="T154">
        <v>11.071400000000001</v>
      </c>
      <c r="U154">
        <v>4.0439999999999996</v>
      </c>
      <c r="V154">
        <v>-2.0379</v>
      </c>
      <c r="W154">
        <v>-4.5704000000000002</v>
      </c>
      <c r="X154">
        <v>-4.5704000000000002</v>
      </c>
      <c r="Y154" t="s">
        <v>134</v>
      </c>
      <c r="Z154" t="s">
        <v>134</v>
      </c>
      <c r="AA154" t="s">
        <v>134</v>
      </c>
      <c r="AB154" t="s">
        <v>134</v>
      </c>
      <c r="AC154" t="s">
        <v>134</v>
      </c>
      <c r="AD154" t="s">
        <v>134</v>
      </c>
      <c r="AE154" t="s">
        <v>134</v>
      </c>
      <c r="AF154" t="s">
        <v>134</v>
      </c>
      <c r="AG154" t="s">
        <v>134</v>
      </c>
      <c r="AH154" t="s">
        <v>134</v>
      </c>
      <c r="AI154" t="s">
        <v>134</v>
      </c>
      <c r="AJ154" t="s">
        <v>134</v>
      </c>
      <c r="AK154" t="s">
        <v>134</v>
      </c>
      <c r="AL154" t="s">
        <v>134</v>
      </c>
      <c r="AM154">
        <v>17.807200000000002</v>
      </c>
      <c r="AN154">
        <v>21.9589</v>
      </c>
      <c r="AO154">
        <v>20.884399999999999</v>
      </c>
      <c r="AP154">
        <v>20.975300000000001</v>
      </c>
      <c r="AQ154">
        <v>20.975300000000001</v>
      </c>
      <c r="AR154" t="s">
        <v>134</v>
      </c>
      <c r="AS154" t="s">
        <v>134</v>
      </c>
      <c r="AT154" t="s">
        <v>134</v>
      </c>
      <c r="AU154" t="s">
        <v>134</v>
      </c>
      <c r="AV154" t="s">
        <v>134</v>
      </c>
      <c r="AW154" t="s">
        <v>134</v>
      </c>
      <c r="AX154" t="s">
        <v>134</v>
      </c>
      <c r="AY154" t="s">
        <v>134</v>
      </c>
      <c r="AZ154" t="s">
        <v>134</v>
      </c>
      <c r="BA154" t="s">
        <v>134</v>
      </c>
      <c r="BB154" t="s">
        <v>134</v>
      </c>
      <c r="BC154" t="s">
        <v>134</v>
      </c>
      <c r="BD154" t="s">
        <v>134</v>
      </c>
      <c r="BE154" t="s">
        <v>134</v>
      </c>
      <c r="BF154">
        <v>4.7416</v>
      </c>
      <c r="BG154">
        <v>18.2255</v>
      </c>
      <c r="BH154">
        <v>17.604700000000001</v>
      </c>
      <c r="BI154">
        <v>9.5934000000000008</v>
      </c>
      <c r="BJ154">
        <v>9.5934000000000008</v>
      </c>
      <c r="BK154" t="s">
        <v>134</v>
      </c>
      <c r="BL154" t="s">
        <v>134</v>
      </c>
      <c r="BM154" t="s">
        <v>134</v>
      </c>
      <c r="BN154" t="s">
        <v>134</v>
      </c>
      <c r="BO154" t="s">
        <v>134</v>
      </c>
      <c r="BP154" t="s">
        <v>134</v>
      </c>
      <c r="BQ154" t="s">
        <v>134</v>
      </c>
      <c r="BR154" t="s">
        <v>134</v>
      </c>
      <c r="BS154" t="s">
        <v>134</v>
      </c>
      <c r="BT154" t="s">
        <v>134</v>
      </c>
      <c r="BU154" t="s">
        <v>134</v>
      </c>
      <c r="BV154" t="s">
        <v>134</v>
      </c>
      <c r="BW154" t="s">
        <v>134</v>
      </c>
      <c r="BX154" t="s">
        <v>134</v>
      </c>
      <c r="BY154" t="s">
        <v>134</v>
      </c>
      <c r="BZ154" t="s">
        <v>134</v>
      </c>
      <c r="CA154" t="s">
        <v>134</v>
      </c>
      <c r="CB154" t="s">
        <v>134</v>
      </c>
      <c r="CC154" t="s">
        <v>134</v>
      </c>
      <c r="CD154" t="s">
        <v>134</v>
      </c>
      <c r="CE154" t="s">
        <v>134</v>
      </c>
      <c r="CF154">
        <v>54.344999999999999</v>
      </c>
      <c r="CG154" t="s">
        <v>134</v>
      </c>
      <c r="CH154" t="s">
        <v>134</v>
      </c>
      <c r="CI154" t="s">
        <v>134</v>
      </c>
      <c r="CJ154" t="s">
        <v>134</v>
      </c>
      <c r="CK154" t="s">
        <v>134</v>
      </c>
      <c r="CL154" t="s">
        <v>134</v>
      </c>
      <c r="CM154" t="s">
        <v>134</v>
      </c>
      <c r="CN154" t="s">
        <v>134</v>
      </c>
      <c r="CO154" t="s">
        <v>134</v>
      </c>
      <c r="CP154">
        <v>4646.5</v>
      </c>
      <c r="CQ154" t="s">
        <v>134</v>
      </c>
      <c r="CR154">
        <v>4047.6</v>
      </c>
      <c r="CS154" t="s">
        <v>134</v>
      </c>
      <c r="CT154" t="s">
        <v>134</v>
      </c>
      <c r="CU154" t="s">
        <v>134</v>
      </c>
      <c r="CV154" t="s">
        <v>134</v>
      </c>
      <c r="CW154" t="s">
        <v>134</v>
      </c>
      <c r="CX154" t="s">
        <v>134</v>
      </c>
      <c r="CY154" t="s">
        <v>134</v>
      </c>
      <c r="CZ154" t="s">
        <v>134</v>
      </c>
      <c r="DA154" t="s">
        <v>134</v>
      </c>
      <c r="DB154" t="s">
        <v>134</v>
      </c>
      <c r="DC154" t="s">
        <v>134</v>
      </c>
      <c r="DD154" t="s">
        <v>134</v>
      </c>
      <c r="DE154" t="s">
        <v>134</v>
      </c>
      <c r="DF154" t="s">
        <v>134</v>
      </c>
      <c r="DG154" t="s">
        <v>134</v>
      </c>
      <c r="DH154" t="s">
        <v>134</v>
      </c>
      <c r="DI154" t="s">
        <v>134</v>
      </c>
    </row>
    <row r="155" spans="1:113" x14ac:dyDescent="0.3">
      <c r="E155" t="s">
        <v>79</v>
      </c>
      <c r="F155">
        <v>33.400300000000001</v>
      </c>
      <c r="G155">
        <v>16.696400000000001</v>
      </c>
      <c r="H155">
        <v>31.183299999999999</v>
      </c>
      <c r="I155">
        <v>27.730499999999999</v>
      </c>
      <c r="J155">
        <v>16.5626</v>
      </c>
      <c r="K155">
        <v>14.608700000000001</v>
      </c>
      <c r="L155">
        <v>22.1584</v>
      </c>
      <c r="M155">
        <v>15.691700000000001</v>
      </c>
      <c r="N155">
        <v>10.992699999999999</v>
      </c>
      <c r="O155">
        <v>10.5977</v>
      </c>
      <c r="P155">
        <v>10.5977</v>
      </c>
      <c r="Q155">
        <v>29.945900000000002</v>
      </c>
      <c r="R155" t="s">
        <v>134</v>
      </c>
      <c r="S155" t="s">
        <v>134</v>
      </c>
      <c r="T155">
        <v>18.054200000000002</v>
      </c>
      <c r="U155">
        <v>33.801299999999998</v>
      </c>
      <c r="V155">
        <v>30.2026</v>
      </c>
      <c r="W155">
        <v>36.6616</v>
      </c>
      <c r="X155">
        <v>36.661700000000003</v>
      </c>
      <c r="Y155" t="s">
        <v>134</v>
      </c>
      <c r="Z155">
        <v>6.6936</v>
      </c>
      <c r="AA155">
        <v>15.5252</v>
      </c>
      <c r="AB155" t="s">
        <v>134</v>
      </c>
      <c r="AC155">
        <v>11.5161</v>
      </c>
      <c r="AD155">
        <v>20.012599999999999</v>
      </c>
      <c r="AE155">
        <v>105.9136</v>
      </c>
      <c r="AF155">
        <v>7.5091000000000001</v>
      </c>
      <c r="AG155">
        <v>27.513999999999999</v>
      </c>
      <c r="AH155">
        <v>19.895099999999999</v>
      </c>
      <c r="AI155">
        <v>23.4071</v>
      </c>
      <c r="AJ155">
        <v>23.1662</v>
      </c>
      <c r="AK155">
        <v>21.535599999999999</v>
      </c>
      <c r="AL155" t="s">
        <v>134</v>
      </c>
      <c r="AM155">
        <v>15.890499999999999</v>
      </c>
      <c r="AN155">
        <v>19.5914</v>
      </c>
      <c r="AO155">
        <v>18.826599999999999</v>
      </c>
      <c r="AP155">
        <v>19.978000000000002</v>
      </c>
      <c r="AQ155">
        <v>19.971399999999999</v>
      </c>
      <c r="AR155" t="s">
        <v>134</v>
      </c>
      <c r="AS155" t="s">
        <v>134</v>
      </c>
      <c r="AT155" t="s">
        <v>134</v>
      </c>
      <c r="AU155" t="s">
        <v>134</v>
      </c>
      <c r="AV155" t="s">
        <v>134</v>
      </c>
      <c r="AW155" t="s">
        <v>134</v>
      </c>
      <c r="AX155" t="s">
        <v>134</v>
      </c>
      <c r="AY155" t="s">
        <v>134</v>
      </c>
      <c r="AZ155" t="s">
        <v>134</v>
      </c>
      <c r="BA155" t="s">
        <v>134</v>
      </c>
      <c r="BB155" t="s">
        <v>134</v>
      </c>
      <c r="BC155" t="s">
        <v>134</v>
      </c>
      <c r="BD155" t="s">
        <v>134</v>
      </c>
      <c r="BE155" t="s">
        <v>134</v>
      </c>
      <c r="BF155">
        <v>9.4208999999999996</v>
      </c>
      <c r="BG155">
        <v>9.9275000000000002</v>
      </c>
      <c r="BH155">
        <v>11.3049</v>
      </c>
      <c r="BI155">
        <v>18.764499999999998</v>
      </c>
      <c r="BJ155">
        <v>18.764499999999998</v>
      </c>
      <c r="BK155" t="s">
        <v>134</v>
      </c>
      <c r="BL155" t="s">
        <v>134</v>
      </c>
      <c r="BM155" t="s">
        <v>134</v>
      </c>
      <c r="BN155" t="s">
        <v>134</v>
      </c>
      <c r="BO155" t="s">
        <v>134</v>
      </c>
      <c r="BP155" t="s">
        <v>134</v>
      </c>
      <c r="BQ155" t="s">
        <v>134</v>
      </c>
      <c r="BR155" t="s">
        <v>134</v>
      </c>
      <c r="BS155" t="s">
        <v>134</v>
      </c>
      <c r="BT155" t="s">
        <v>134</v>
      </c>
      <c r="BU155" t="s">
        <v>134</v>
      </c>
      <c r="BV155" t="s">
        <v>134</v>
      </c>
      <c r="BW155" t="s">
        <v>134</v>
      </c>
      <c r="BX155" t="s">
        <v>134</v>
      </c>
      <c r="BY155">
        <v>2970.4</v>
      </c>
      <c r="BZ155">
        <v>2522.1</v>
      </c>
      <c r="CA155">
        <v>448.3</v>
      </c>
      <c r="CB155">
        <v>0.15809999999999999</v>
      </c>
      <c r="CC155">
        <v>-0.50209999999999999</v>
      </c>
      <c r="CD155">
        <v>0.17749999999999999</v>
      </c>
      <c r="CE155">
        <v>-0.56379999999999997</v>
      </c>
      <c r="CF155">
        <v>42.709000000000003</v>
      </c>
      <c r="CG155">
        <v>52.016199999999998</v>
      </c>
      <c r="CH155">
        <v>1.0798000000000001</v>
      </c>
      <c r="CI155">
        <v>1.0077</v>
      </c>
      <c r="CJ155">
        <v>0.59730000000000005</v>
      </c>
      <c r="CK155">
        <v>7.1547000000000001</v>
      </c>
      <c r="CL155">
        <v>6.6769999999999996</v>
      </c>
      <c r="CM155">
        <v>3.9577999999999998</v>
      </c>
      <c r="CN155">
        <v>-22.7239</v>
      </c>
      <c r="CO155">
        <v>-29.406199999999998</v>
      </c>
      <c r="CP155">
        <v>5108</v>
      </c>
      <c r="CQ155" t="s">
        <v>134</v>
      </c>
      <c r="CR155">
        <v>4505.3999999999996</v>
      </c>
      <c r="CS155">
        <v>0.41310000000000002</v>
      </c>
      <c r="CT155">
        <v>1.5348999999999999</v>
      </c>
      <c r="CU155">
        <v>0.74399999999999999</v>
      </c>
      <c r="CV155">
        <v>11.184900000000001</v>
      </c>
      <c r="CW155">
        <v>12.08</v>
      </c>
      <c r="CX155">
        <v>30.215199999999999</v>
      </c>
      <c r="CY155">
        <v>3.4779999999999998</v>
      </c>
      <c r="CZ155">
        <v>104.94410000000001</v>
      </c>
      <c r="DA155">
        <v>4.1345000000000001</v>
      </c>
      <c r="DB155">
        <v>88.280500000000004</v>
      </c>
      <c r="DC155">
        <v>46.878799999999998</v>
      </c>
      <c r="DD155">
        <v>135.1593</v>
      </c>
      <c r="DE155">
        <v>20800.2</v>
      </c>
      <c r="DF155" t="s">
        <v>134</v>
      </c>
      <c r="DG155" t="s">
        <v>134</v>
      </c>
      <c r="DH155" t="s">
        <v>134</v>
      </c>
      <c r="DI155" t="s">
        <v>134</v>
      </c>
    </row>
    <row r="156" spans="1:113" x14ac:dyDescent="0.3">
      <c r="E156" t="s">
        <v>80</v>
      </c>
      <c r="F156" t="s">
        <v>134</v>
      </c>
      <c r="G156" t="s">
        <v>134</v>
      </c>
      <c r="H156" t="s">
        <v>134</v>
      </c>
      <c r="I156" t="s">
        <v>134</v>
      </c>
      <c r="J156">
        <v>15.7448</v>
      </c>
      <c r="K156">
        <v>13.8888</v>
      </c>
      <c r="L156">
        <v>0</v>
      </c>
      <c r="M156">
        <v>14.477499999999999</v>
      </c>
      <c r="N156">
        <v>9.9650999999999996</v>
      </c>
      <c r="O156">
        <v>9.6509999999999998</v>
      </c>
      <c r="P156">
        <v>9.6509999999999998</v>
      </c>
      <c r="Q156">
        <v>31.168299999999999</v>
      </c>
      <c r="R156" t="s">
        <v>134</v>
      </c>
      <c r="S156" t="s">
        <v>134</v>
      </c>
      <c r="T156">
        <v>12.4841</v>
      </c>
      <c r="U156">
        <v>5.2351999999999999</v>
      </c>
      <c r="V156">
        <v>0</v>
      </c>
      <c r="W156">
        <v>-1.754</v>
      </c>
      <c r="X156">
        <v>-1.754</v>
      </c>
      <c r="Y156" t="s">
        <v>134</v>
      </c>
      <c r="Z156" t="s">
        <v>134</v>
      </c>
      <c r="AA156" t="s">
        <v>134</v>
      </c>
      <c r="AB156" t="s">
        <v>134</v>
      </c>
      <c r="AC156" t="s">
        <v>134</v>
      </c>
      <c r="AD156" t="s">
        <v>134</v>
      </c>
      <c r="AE156" t="s">
        <v>134</v>
      </c>
      <c r="AF156" t="s">
        <v>134</v>
      </c>
      <c r="AG156" t="s">
        <v>134</v>
      </c>
      <c r="AH156" t="s">
        <v>134</v>
      </c>
      <c r="AI156" t="s">
        <v>134</v>
      </c>
      <c r="AJ156" t="s">
        <v>134</v>
      </c>
      <c r="AK156" t="s">
        <v>134</v>
      </c>
      <c r="AL156" t="s">
        <v>134</v>
      </c>
      <c r="AM156">
        <v>20.902899999999999</v>
      </c>
      <c r="AN156">
        <v>37.500700000000002</v>
      </c>
      <c r="AO156">
        <v>39.699300000000001</v>
      </c>
      <c r="AP156">
        <v>41.0366</v>
      </c>
      <c r="AQ156">
        <v>41.0505</v>
      </c>
      <c r="AR156" t="s">
        <v>134</v>
      </c>
      <c r="AS156" t="s">
        <v>134</v>
      </c>
      <c r="AT156" t="s">
        <v>134</v>
      </c>
      <c r="AU156" t="s">
        <v>134</v>
      </c>
      <c r="AV156" t="s">
        <v>134</v>
      </c>
      <c r="AW156" t="s">
        <v>134</v>
      </c>
      <c r="AX156" t="s">
        <v>134</v>
      </c>
      <c r="AY156" t="s">
        <v>134</v>
      </c>
      <c r="AZ156" t="s">
        <v>134</v>
      </c>
      <c r="BA156" t="s">
        <v>134</v>
      </c>
      <c r="BB156" t="s">
        <v>134</v>
      </c>
      <c r="BC156" t="s">
        <v>134</v>
      </c>
      <c r="BD156" t="s">
        <v>134</v>
      </c>
      <c r="BE156" t="s">
        <v>134</v>
      </c>
      <c r="BF156">
        <v>10.6532</v>
      </c>
      <c r="BG156">
        <v>5.1898999999999997</v>
      </c>
      <c r="BH156">
        <v>5.2004000000000001</v>
      </c>
      <c r="BI156">
        <v>0.76800000000000002</v>
      </c>
      <c r="BJ156">
        <v>0.76790000000000003</v>
      </c>
      <c r="BK156" t="s">
        <v>134</v>
      </c>
      <c r="BL156" t="s">
        <v>134</v>
      </c>
      <c r="BM156" t="s">
        <v>134</v>
      </c>
      <c r="BN156" t="s">
        <v>134</v>
      </c>
      <c r="BO156" t="s">
        <v>134</v>
      </c>
      <c r="BP156" t="s">
        <v>134</v>
      </c>
      <c r="BQ156" t="s">
        <v>134</v>
      </c>
      <c r="BR156" t="s">
        <v>134</v>
      </c>
      <c r="BS156" t="s">
        <v>134</v>
      </c>
      <c r="BT156" t="s">
        <v>134</v>
      </c>
      <c r="BU156" t="s">
        <v>134</v>
      </c>
      <c r="BV156" t="s">
        <v>134</v>
      </c>
      <c r="BW156" t="s">
        <v>134</v>
      </c>
      <c r="BX156" t="s">
        <v>134</v>
      </c>
      <c r="BY156" t="s">
        <v>134</v>
      </c>
      <c r="BZ156" t="s">
        <v>134</v>
      </c>
      <c r="CA156" t="s">
        <v>134</v>
      </c>
      <c r="CB156" t="s">
        <v>134</v>
      </c>
      <c r="CC156" t="s">
        <v>134</v>
      </c>
      <c r="CD156" t="s">
        <v>134</v>
      </c>
      <c r="CE156" t="s">
        <v>134</v>
      </c>
      <c r="CF156">
        <v>53.838700000000003</v>
      </c>
      <c r="CG156" t="s">
        <v>134</v>
      </c>
      <c r="CH156" t="s">
        <v>134</v>
      </c>
      <c r="CI156" t="s">
        <v>134</v>
      </c>
      <c r="CJ156" t="s">
        <v>134</v>
      </c>
      <c r="CK156" t="s">
        <v>134</v>
      </c>
      <c r="CL156" t="s">
        <v>134</v>
      </c>
      <c r="CM156" t="s">
        <v>134</v>
      </c>
      <c r="CN156" t="s">
        <v>134</v>
      </c>
      <c r="CO156" t="s">
        <v>134</v>
      </c>
      <c r="CP156">
        <v>5373.1</v>
      </c>
      <c r="CQ156" t="s">
        <v>134</v>
      </c>
      <c r="CR156">
        <v>4739.7</v>
      </c>
      <c r="CS156" t="s">
        <v>134</v>
      </c>
      <c r="CT156" t="s">
        <v>134</v>
      </c>
      <c r="CU156" t="s">
        <v>134</v>
      </c>
      <c r="CV156" t="s">
        <v>134</v>
      </c>
      <c r="CW156" t="s">
        <v>134</v>
      </c>
      <c r="CX156" t="s">
        <v>134</v>
      </c>
      <c r="CY156" t="s">
        <v>134</v>
      </c>
      <c r="CZ156" t="s">
        <v>134</v>
      </c>
      <c r="DA156" t="s">
        <v>134</v>
      </c>
      <c r="DB156" t="s">
        <v>134</v>
      </c>
      <c r="DC156" t="s">
        <v>134</v>
      </c>
      <c r="DD156" t="s">
        <v>134</v>
      </c>
      <c r="DE156" t="s">
        <v>134</v>
      </c>
      <c r="DF156" t="s">
        <v>134</v>
      </c>
      <c r="DG156" t="s">
        <v>134</v>
      </c>
      <c r="DH156" t="s">
        <v>134</v>
      </c>
      <c r="DI156" t="s">
        <v>134</v>
      </c>
    </row>
    <row r="157" spans="1:113" x14ac:dyDescent="0.3">
      <c r="E157" t="s">
        <v>81</v>
      </c>
      <c r="F157">
        <v>32.836500000000001</v>
      </c>
      <c r="G157">
        <v>16.441199999999998</v>
      </c>
      <c r="H157">
        <v>31.014700000000001</v>
      </c>
      <c r="I157">
        <v>27.267900000000001</v>
      </c>
      <c r="J157">
        <v>14.851900000000001</v>
      </c>
      <c r="K157">
        <v>12.948700000000001</v>
      </c>
      <c r="L157">
        <v>13.6845</v>
      </c>
      <c r="M157">
        <v>13.2355</v>
      </c>
      <c r="N157">
        <v>9.1448</v>
      </c>
      <c r="O157">
        <v>8.7992000000000008</v>
      </c>
      <c r="P157">
        <v>8.7992000000000008</v>
      </c>
      <c r="Q157">
        <v>30.9069</v>
      </c>
      <c r="R157" t="s">
        <v>134</v>
      </c>
      <c r="S157" t="s">
        <v>134</v>
      </c>
      <c r="T157">
        <v>21.398299999999999</v>
      </c>
      <c r="U157">
        <v>23.436499999999999</v>
      </c>
      <c r="V157">
        <v>22.892800000000001</v>
      </c>
      <c r="W157">
        <v>14.4598</v>
      </c>
      <c r="X157">
        <v>14.4598</v>
      </c>
      <c r="Y157" t="s">
        <v>134</v>
      </c>
      <c r="Z157">
        <v>13.1922</v>
      </c>
      <c r="AA157">
        <v>13.0892</v>
      </c>
      <c r="AB157">
        <v>-0.92989999999999995</v>
      </c>
      <c r="AC157">
        <v>18.456</v>
      </c>
      <c r="AD157">
        <v>4.7328000000000001</v>
      </c>
      <c r="AE157">
        <v>53.443199999999997</v>
      </c>
      <c r="AF157">
        <v>21.098500000000001</v>
      </c>
      <c r="AG157">
        <v>2.0082</v>
      </c>
      <c r="AH157">
        <v>-0.72119999999999995</v>
      </c>
      <c r="AI157">
        <v>20.879200000000001</v>
      </c>
      <c r="AJ157">
        <v>19.4512</v>
      </c>
      <c r="AK157">
        <v>19.3521</v>
      </c>
      <c r="AL157" t="s">
        <v>134</v>
      </c>
      <c r="AM157">
        <v>18.047499999999999</v>
      </c>
      <c r="AN157">
        <v>22.0596</v>
      </c>
      <c r="AO157">
        <v>21.619199999999999</v>
      </c>
      <c r="AP157">
        <v>23.230699999999999</v>
      </c>
      <c r="AQ157">
        <v>23.230699999999999</v>
      </c>
      <c r="AR157" t="s">
        <v>134</v>
      </c>
      <c r="AS157">
        <v>14.1877</v>
      </c>
      <c r="AT157">
        <v>21.901399999999999</v>
      </c>
      <c r="AU157">
        <v>21.8614</v>
      </c>
      <c r="AV157">
        <v>23.197500000000002</v>
      </c>
      <c r="AW157">
        <v>12.764200000000001</v>
      </c>
      <c r="AX157">
        <v>34.035699999999999</v>
      </c>
      <c r="AY157">
        <v>25.796800000000001</v>
      </c>
      <c r="AZ157">
        <v>-1.5712999999999999</v>
      </c>
      <c r="BA157">
        <v>-4.1908000000000003</v>
      </c>
      <c r="BB157">
        <v>27.361599999999999</v>
      </c>
      <c r="BC157">
        <v>23.3584</v>
      </c>
      <c r="BD157">
        <v>27.4072</v>
      </c>
      <c r="BE157" t="s">
        <v>134</v>
      </c>
      <c r="BF157">
        <v>-4.2831999999999999</v>
      </c>
      <c r="BG157">
        <v>-9.7112999999999996</v>
      </c>
      <c r="BH157">
        <v>-10.7623</v>
      </c>
      <c r="BI157">
        <v>-12.7311</v>
      </c>
      <c r="BJ157">
        <v>-12.7311</v>
      </c>
      <c r="BK157" t="s">
        <v>134</v>
      </c>
      <c r="BL157" t="s">
        <v>134</v>
      </c>
      <c r="BM157" t="s">
        <v>134</v>
      </c>
      <c r="BN157" t="s">
        <v>134</v>
      </c>
      <c r="BO157" t="s">
        <v>134</v>
      </c>
      <c r="BP157" t="s">
        <v>134</v>
      </c>
      <c r="BQ157" t="s">
        <v>134</v>
      </c>
      <c r="BR157" t="s">
        <v>134</v>
      </c>
      <c r="BS157" t="s">
        <v>134</v>
      </c>
      <c r="BT157" t="s">
        <v>134</v>
      </c>
      <c r="BU157" t="s">
        <v>134</v>
      </c>
      <c r="BV157" t="s">
        <v>134</v>
      </c>
      <c r="BW157" t="s">
        <v>134</v>
      </c>
      <c r="BX157" t="s">
        <v>134</v>
      </c>
      <c r="BY157">
        <v>2491.5</v>
      </c>
      <c r="BZ157">
        <v>2077.5</v>
      </c>
      <c r="CA157">
        <v>414</v>
      </c>
      <c r="CB157">
        <v>0.12470000000000001</v>
      </c>
      <c r="CC157">
        <v>-0.62770000000000004</v>
      </c>
      <c r="CD157">
        <v>0.14219999999999999</v>
      </c>
      <c r="CE157">
        <v>-0.7157</v>
      </c>
      <c r="CF157">
        <v>41.3581</v>
      </c>
      <c r="CG157">
        <v>50.242600000000003</v>
      </c>
      <c r="CH157">
        <v>0.96609999999999996</v>
      </c>
      <c r="CI157">
        <v>0.91300000000000003</v>
      </c>
      <c r="CJ157">
        <v>0.51500000000000001</v>
      </c>
      <c r="CK157">
        <v>5.8140999999999998</v>
      </c>
      <c r="CL157">
        <v>5.4946999999999999</v>
      </c>
      <c r="CM157">
        <v>3.0991</v>
      </c>
      <c r="CN157">
        <v>-29.264600000000002</v>
      </c>
      <c r="CO157">
        <v>-41.372</v>
      </c>
      <c r="CP157">
        <v>4851.3</v>
      </c>
      <c r="CQ157" t="s">
        <v>134</v>
      </c>
      <c r="CR157">
        <v>4229.6000000000004</v>
      </c>
      <c r="CS157">
        <v>0.42899999999999999</v>
      </c>
      <c r="CT157">
        <v>1.4849999999999999</v>
      </c>
      <c r="CU157">
        <v>0.755</v>
      </c>
      <c r="CV157">
        <v>11.0609</v>
      </c>
      <c r="CW157">
        <v>12.033200000000001</v>
      </c>
      <c r="CX157">
        <v>30.332799999999999</v>
      </c>
      <c r="CY157">
        <v>3.8106</v>
      </c>
      <c r="CZ157">
        <v>95.784899999999993</v>
      </c>
      <c r="DA157">
        <v>4.8132000000000001</v>
      </c>
      <c r="DB157">
        <v>75.832800000000006</v>
      </c>
      <c r="DC157">
        <v>50.2849</v>
      </c>
      <c r="DD157">
        <v>126.1177</v>
      </c>
      <c r="DE157">
        <v>20698.599999999999</v>
      </c>
      <c r="DF157">
        <v>6714.3</v>
      </c>
      <c r="DG157">
        <v>870.9</v>
      </c>
      <c r="DH157">
        <v>11332</v>
      </c>
      <c r="DI157">
        <v>1781.4</v>
      </c>
    </row>
    <row r="158" spans="1:113" x14ac:dyDescent="0.3">
      <c r="D158" t="s">
        <v>82</v>
      </c>
      <c r="E158" t="s">
        <v>77</v>
      </c>
      <c r="F158">
        <v>31.7745</v>
      </c>
      <c r="G158">
        <v>16.423100000000002</v>
      </c>
      <c r="H158">
        <v>29.183299999999999</v>
      </c>
      <c r="I158">
        <v>25.4649</v>
      </c>
      <c r="J158">
        <v>15.978300000000001</v>
      </c>
      <c r="K158">
        <v>14.0624</v>
      </c>
      <c r="L158">
        <v>14.614800000000001</v>
      </c>
      <c r="M158">
        <v>14.8291</v>
      </c>
      <c r="N158">
        <v>10.1913</v>
      </c>
      <c r="O158">
        <v>9.9616000000000007</v>
      </c>
      <c r="P158">
        <v>9.9616000000000007</v>
      </c>
      <c r="Q158">
        <v>31.274899999999999</v>
      </c>
      <c r="R158">
        <v>41.939599999999999</v>
      </c>
      <c r="S158">
        <v>18.448399999999999</v>
      </c>
      <c r="T158">
        <v>11.3156</v>
      </c>
      <c r="U158">
        <v>10.9457</v>
      </c>
      <c r="V158">
        <v>11.8126</v>
      </c>
      <c r="W158">
        <v>14.4682</v>
      </c>
      <c r="X158">
        <v>14.4682</v>
      </c>
      <c r="Y158">
        <v>15.0943</v>
      </c>
      <c r="Z158">
        <v>6.2641</v>
      </c>
      <c r="AA158">
        <v>9.1145999999999994</v>
      </c>
      <c r="AB158">
        <v>3.4891000000000001</v>
      </c>
      <c r="AC158">
        <v>10.335900000000001</v>
      </c>
      <c r="AD158">
        <v>31.732199999999999</v>
      </c>
      <c r="AE158">
        <v>26.194500000000001</v>
      </c>
      <c r="AF158">
        <v>-11.282999999999999</v>
      </c>
      <c r="AG158">
        <v>63.6053</v>
      </c>
      <c r="AH158">
        <v>67.838700000000003</v>
      </c>
      <c r="AI158">
        <v>16.8203</v>
      </c>
      <c r="AJ158">
        <v>19.6236</v>
      </c>
      <c r="AK158">
        <v>17.407800000000002</v>
      </c>
      <c r="AL158">
        <v>-14.196</v>
      </c>
      <c r="AM158">
        <v>16.222799999999999</v>
      </c>
      <c r="AN158">
        <v>12.7593</v>
      </c>
      <c r="AO158">
        <v>11.475899999999999</v>
      </c>
      <c r="AP158">
        <v>10.795</v>
      </c>
      <c r="AQ158">
        <v>10.795</v>
      </c>
      <c r="AR158">
        <v>17.704499999999999</v>
      </c>
      <c r="AS158">
        <v>16.810600000000001</v>
      </c>
      <c r="AT158">
        <v>18.7638</v>
      </c>
      <c r="AU158">
        <v>14.511900000000001</v>
      </c>
      <c r="AV158">
        <v>18.685099999999998</v>
      </c>
      <c r="AW158">
        <v>19.3568</v>
      </c>
      <c r="AX158">
        <v>28.688500000000001</v>
      </c>
      <c r="AY158">
        <v>16.609200000000001</v>
      </c>
      <c r="AZ158">
        <v>16.280999999999999</v>
      </c>
      <c r="BA158">
        <v>12.7759</v>
      </c>
      <c r="BB158">
        <v>22.639600000000002</v>
      </c>
      <c r="BC158">
        <v>21.677800000000001</v>
      </c>
      <c r="BD158">
        <v>22.6311</v>
      </c>
      <c r="BE158">
        <v>2.9308999999999998</v>
      </c>
      <c r="BF158">
        <v>11.3156</v>
      </c>
      <c r="BG158">
        <v>10.9457</v>
      </c>
      <c r="BH158">
        <v>11.8126</v>
      </c>
      <c r="BI158">
        <v>14.4682</v>
      </c>
      <c r="BJ158">
        <v>14.4682</v>
      </c>
      <c r="BK158">
        <v>15.0943</v>
      </c>
      <c r="BL158">
        <v>6.2641</v>
      </c>
      <c r="BM158">
        <v>9.1145999999999994</v>
      </c>
      <c r="BN158">
        <v>3.4891000000000001</v>
      </c>
      <c r="BO158">
        <v>10.335900000000001</v>
      </c>
      <c r="BP158">
        <v>31.732199999999999</v>
      </c>
      <c r="BQ158">
        <v>26.194500000000001</v>
      </c>
      <c r="BR158">
        <v>-11.282999999999999</v>
      </c>
      <c r="BS158">
        <v>63.6053</v>
      </c>
      <c r="BT158">
        <v>67.838700000000003</v>
      </c>
      <c r="BU158">
        <v>16.8203</v>
      </c>
      <c r="BV158">
        <v>19.6236</v>
      </c>
      <c r="BW158">
        <v>17.407800000000002</v>
      </c>
      <c r="BX158">
        <v>-14.196</v>
      </c>
      <c r="BY158">
        <v>4181.7</v>
      </c>
      <c r="BZ158">
        <v>3398.9</v>
      </c>
      <c r="CA158">
        <v>782.8</v>
      </c>
      <c r="CB158">
        <v>0.18690000000000001</v>
      </c>
      <c r="CC158">
        <v>-0.46089999999999998</v>
      </c>
      <c r="CD158">
        <v>0.21229999999999999</v>
      </c>
      <c r="CE158">
        <v>-0.52370000000000005</v>
      </c>
      <c r="CF158">
        <v>59.627499999999998</v>
      </c>
      <c r="CG158">
        <v>53.210299999999997</v>
      </c>
      <c r="CH158">
        <v>1.5636999999999999</v>
      </c>
      <c r="CI158">
        <v>1.4432</v>
      </c>
      <c r="CJ158">
        <v>0.87829999999999997</v>
      </c>
      <c r="CK158">
        <v>8.3533000000000008</v>
      </c>
      <c r="CL158">
        <v>7.7092999999999998</v>
      </c>
      <c r="CM158">
        <v>4.6920000000000002</v>
      </c>
      <c r="CN158">
        <v>-20.602</v>
      </c>
      <c r="CO158">
        <v>-25.947700000000001</v>
      </c>
      <c r="CP158">
        <v>22378.2</v>
      </c>
      <c r="CQ158">
        <v>17840.400000000001</v>
      </c>
      <c r="CR158">
        <v>19694.900000000001</v>
      </c>
      <c r="CS158">
        <v>0.39979999999999999</v>
      </c>
      <c r="CT158">
        <v>1.5226</v>
      </c>
      <c r="CU158">
        <v>0.73529999999999995</v>
      </c>
      <c r="CV158">
        <v>14.764699999999999</v>
      </c>
      <c r="CW158">
        <v>12.2309</v>
      </c>
      <c r="CX158">
        <v>29.842400000000001</v>
      </c>
      <c r="CY158">
        <v>3.7518000000000002</v>
      </c>
      <c r="CZ158">
        <v>97.287499999999994</v>
      </c>
      <c r="DA158">
        <v>5.0437000000000003</v>
      </c>
      <c r="DB158">
        <v>72.367199999999997</v>
      </c>
      <c r="DC158">
        <v>54.762700000000002</v>
      </c>
      <c r="DD158">
        <v>127.1298</v>
      </c>
      <c r="DE158">
        <v>22585.200000000001</v>
      </c>
      <c r="DF158">
        <v>6906.2</v>
      </c>
      <c r="DG158">
        <v>1021.4</v>
      </c>
      <c r="DH158">
        <v>12401.6</v>
      </c>
      <c r="DI158">
        <v>2256</v>
      </c>
    </row>
    <row r="159" spans="1:113" x14ac:dyDescent="0.3">
      <c r="E159" t="s">
        <v>78</v>
      </c>
      <c r="F159" t="s">
        <v>134</v>
      </c>
      <c r="G159" t="s">
        <v>134</v>
      </c>
      <c r="H159" t="s">
        <v>134</v>
      </c>
      <c r="I159" t="s">
        <v>134</v>
      </c>
      <c r="J159">
        <v>16.735199999999999</v>
      </c>
      <c r="K159">
        <v>14.7941</v>
      </c>
      <c r="L159">
        <v>17.2</v>
      </c>
      <c r="M159">
        <v>15.2262</v>
      </c>
      <c r="N159">
        <v>10.446</v>
      </c>
      <c r="O159">
        <v>10.1853</v>
      </c>
      <c r="P159">
        <v>10.1853</v>
      </c>
      <c r="Q159">
        <v>31.394500000000001</v>
      </c>
      <c r="R159" t="s">
        <v>134</v>
      </c>
      <c r="S159" t="s">
        <v>134</v>
      </c>
      <c r="T159">
        <v>17.9831</v>
      </c>
      <c r="U159">
        <v>19.764600000000002</v>
      </c>
      <c r="V159">
        <v>21.537600000000001</v>
      </c>
      <c r="W159">
        <v>23.074100000000001</v>
      </c>
      <c r="X159">
        <v>23.074100000000001</v>
      </c>
      <c r="Y159" t="s">
        <v>134</v>
      </c>
      <c r="Z159" t="s">
        <v>134</v>
      </c>
      <c r="AA159" t="s">
        <v>134</v>
      </c>
      <c r="AB159" t="s">
        <v>134</v>
      </c>
      <c r="AC159" t="s">
        <v>134</v>
      </c>
      <c r="AD159" t="s">
        <v>134</v>
      </c>
      <c r="AE159" t="s">
        <v>134</v>
      </c>
      <c r="AF159" t="s">
        <v>134</v>
      </c>
      <c r="AG159" t="s">
        <v>134</v>
      </c>
      <c r="AH159" t="s">
        <v>134</v>
      </c>
      <c r="AI159" t="s">
        <v>134</v>
      </c>
      <c r="AJ159" t="s">
        <v>134</v>
      </c>
      <c r="AK159" t="s">
        <v>134</v>
      </c>
      <c r="AL159" t="s">
        <v>134</v>
      </c>
      <c r="AM159">
        <v>17.891999999999999</v>
      </c>
      <c r="AN159">
        <v>15.071099999999999</v>
      </c>
      <c r="AO159">
        <v>13.9544</v>
      </c>
      <c r="AP159">
        <v>13.978</v>
      </c>
      <c r="AQ159">
        <v>13.978</v>
      </c>
      <c r="AR159" t="s">
        <v>134</v>
      </c>
      <c r="AS159" t="s">
        <v>134</v>
      </c>
      <c r="AT159" t="s">
        <v>134</v>
      </c>
      <c r="AU159" t="s">
        <v>134</v>
      </c>
      <c r="AV159" t="s">
        <v>134</v>
      </c>
      <c r="AW159" t="s">
        <v>134</v>
      </c>
      <c r="AX159" t="s">
        <v>134</v>
      </c>
      <c r="AY159" t="s">
        <v>134</v>
      </c>
      <c r="AZ159" t="s">
        <v>134</v>
      </c>
      <c r="BA159" t="s">
        <v>134</v>
      </c>
      <c r="BB159" t="s">
        <v>134</v>
      </c>
      <c r="BC159" t="s">
        <v>134</v>
      </c>
      <c r="BD159" t="s">
        <v>134</v>
      </c>
      <c r="BE159" t="s">
        <v>134</v>
      </c>
      <c r="BF159">
        <v>1.8047</v>
      </c>
      <c r="BG159">
        <v>14.7136</v>
      </c>
      <c r="BH159">
        <v>16.313600000000001</v>
      </c>
      <c r="BI159">
        <v>17.8415</v>
      </c>
      <c r="BJ159">
        <v>17.8415</v>
      </c>
      <c r="BK159" t="s">
        <v>134</v>
      </c>
      <c r="BL159" t="s">
        <v>134</v>
      </c>
      <c r="BM159" t="s">
        <v>134</v>
      </c>
      <c r="BN159" t="s">
        <v>134</v>
      </c>
      <c r="BO159" t="s">
        <v>134</v>
      </c>
      <c r="BP159" t="s">
        <v>134</v>
      </c>
      <c r="BQ159" t="s">
        <v>134</v>
      </c>
      <c r="BR159" t="s">
        <v>134</v>
      </c>
      <c r="BS159" t="s">
        <v>134</v>
      </c>
      <c r="BT159" t="s">
        <v>134</v>
      </c>
      <c r="BU159" t="s">
        <v>134</v>
      </c>
      <c r="BV159" t="s">
        <v>134</v>
      </c>
      <c r="BW159" t="s">
        <v>134</v>
      </c>
      <c r="BX159" t="s">
        <v>134</v>
      </c>
      <c r="BY159" t="s">
        <v>134</v>
      </c>
      <c r="BZ159" t="s">
        <v>134</v>
      </c>
      <c r="CA159" t="s">
        <v>134</v>
      </c>
      <c r="CB159" t="s">
        <v>134</v>
      </c>
      <c r="CC159" t="s">
        <v>134</v>
      </c>
      <c r="CD159" t="s">
        <v>134</v>
      </c>
      <c r="CE159" t="s">
        <v>134</v>
      </c>
      <c r="CF159">
        <v>71.530799999999999</v>
      </c>
      <c r="CG159" t="s">
        <v>134</v>
      </c>
      <c r="CH159" t="s">
        <v>134</v>
      </c>
      <c r="CI159" t="s">
        <v>134</v>
      </c>
      <c r="CJ159" t="s">
        <v>134</v>
      </c>
      <c r="CK159" t="s">
        <v>134</v>
      </c>
      <c r="CL159" t="s">
        <v>134</v>
      </c>
      <c r="CM159" t="s">
        <v>134</v>
      </c>
      <c r="CN159" t="s">
        <v>134</v>
      </c>
      <c r="CO159" t="s">
        <v>134</v>
      </c>
      <c r="CP159">
        <v>5565.1</v>
      </c>
      <c r="CQ159" t="s">
        <v>134</v>
      </c>
      <c r="CR159">
        <v>4919.6000000000004</v>
      </c>
      <c r="CS159" t="s">
        <v>134</v>
      </c>
      <c r="CT159" t="s">
        <v>134</v>
      </c>
      <c r="CU159" t="s">
        <v>134</v>
      </c>
      <c r="CV159" t="s">
        <v>134</v>
      </c>
      <c r="CW159" t="s">
        <v>134</v>
      </c>
      <c r="CX159" t="s">
        <v>134</v>
      </c>
      <c r="CY159" t="s">
        <v>134</v>
      </c>
      <c r="CZ159" t="s">
        <v>134</v>
      </c>
      <c r="DA159" t="s">
        <v>134</v>
      </c>
      <c r="DB159" t="s">
        <v>134</v>
      </c>
      <c r="DC159" t="s">
        <v>134</v>
      </c>
      <c r="DD159" t="s">
        <v>134</v>
      </c>
      <c r="DE159" t="s">
        <v>134</v>
      </c>
      <c r="DF159" t="s">
        <v>134</v>
      </c>
      <c r="DG159" t="s">
        <v>134</v>
      </c>
      <c r="DH159" t="s">
        <v>134</v>
      </c>
      <c r="DI159" t="s">
        <v>134</v>
      </c>
    </row>
    <row r="160" spans="1:113" x14ac:dyDescent="0.3">
      <c r="E160" t="s">
        <v>79</v>
      </c>
      <c r="F160">
        <v>30.8904</v>
      </c>
      <c r="G160">
        <v>16.1647</v>
      </c>
      <c r="H160">
        <v>28.709299999999999</v>
      </c>
      <c r="I160">
        <v>25.887899999999998</v>
      </c>
      <c r="J160">
        <v>14.95</v>
      </c>
      <c r="K160">
        <v>13.0854</v>
      </c>
      <c r="L160">
        <v>3.7399</v>
      </c>
      <c r="M160">
        <v>14.227399999999999</v>
      </c>
      <c r="N160">
        <v>9.9323999999999995</v>
      </c>
      <c r="O160">
        <v>9.6829000000000001</v>
      </c>
      <c r="P160">
        <v>9.6829000000000001</v>
      </c>
      <c r="Q160">
        <v>30.188099999999999</v>
      </c>
      <c r="R160" t="s">
        <v>134</v>
      </c>
      <c r="S160" t="s">
        <v>134</v>
      </c>
      <c r="T160">
        <v>16.299600000000002</v>
      </c>
      <c r="U160">
        <v>4.9764999999999997</v>
      </c>
      <c r="V160">
        <v>4.1727999999999996</v>
      </c>
      <c r="W160">
        <v>6.2599</v>
      </c>
      <c r="X160">
        <v>6.26</v>
      </c>
      <c r="Y160" t="s">
        <v>134</v>
      </c>
      <c r="Z160">
        <v>19.7257</v>
      </c>
      <c r="AA160">
        <v>13.4085</v>
      </c>
      <c r="AB160" t="s">
        <v>134</v>
      </c>
      <c r="AC160">
        <v>14.7705</v>
      </c>
      <c r="AD160">
        <v>8.6443999999999992</v>
      </c>
      <c r="AE160">
        <v>37.215299999999999</v>
      </c>
      <c r="AF160">
        <v>20.522500000000001</v>
      </c>
      <c r="AG160">
        <v>-7.8585000000000003</v>
      </c>
      <c r="AH160">
        <v>-1.35E-2</v>
      </c>
      <c r="AI160">
        <v>15.1747</v>
      </c>
      <c r="AJ160">
        <v>14.160500000000001</v>
      </c>
      <c r="AK160">
        <v>16.0623</v>
      </c>
      <c r="AL160" t="s">
        <v>134</v>
      </c>
      <c r="AM160">
        <v>15.7807</v>
      </c>
      <c r="AN160">
        <v>10.682600000000001</v>
      </c>
      <c r="AO160">
        <v>9.1585000000000001</v>
      </c>
      <c r="AP160">
        <v>5.2900999999999998</v>
      </c>
      <c r="AQ160">
        <v>5.2900999999999998</v>
      </c>
      <c r="AR160" t="s">
        <v>134</v>
      </c>
      <c r="AS160" t="s">
        <v>134</v>
      </c>
      <c r="AT160" t="s">
        <v>134</v>
      </c>
      <c r="AU160" t="s">
        <v>134</v>
      </c>
      <c r="AV160" t="s">
        <v>134</v>
      </c>
      <c r="AW160" t="s">
        <v>134</v>
      </c>
      <c r="AX160" t="s">
        <v>134</v>
      </c>
      <c r="AY160" t="s">
        <v>134</v>
      </c>
      <c r="AZ160" t="s">
        <v>134</v>
      </c>
      <c r="BA160" t="s">
        <v>134</v>
      </c>
      <c r="BB160" t="s">
        <v>134</v>
      </c>
      <c r="BC160" t="s">
        <v>134</v>
      </c>
      <c r="BD160" t="s">
        <v>134</v>
      </c>
      <c r="BE160" t="s">
        <v>134</v>
      </c>
      <c r="BF160">
        <v>7.8586</v>
      </c>
      <c r="BG160">
        <v>-2.7547999999999999</v>
      </c>
      <c r="BH160">
        <v>-3.5986000000000002</v>
      </c>
      <c r="BI160">
        <v>2.5390999999999999</v>
      </c>
      <c r="BJ160">
        <v>2.5390999999999999</v>
      </c>
      <c r="BK160" t="s">
        <v>134</v>
      </c>
      <c r="BL160" t="s">
        <v>134</v>
      </c>
      <c r="BM160" t="s">
        <v>134</v>
      </c>
      <c r="BN160" t="s">
        <v>134</v>
      </c>
      <c r="BO160" t="s">
        <v>134</v>
      </c>
      <c r="BP160" t="s">
        <v>134</v>
      </c>
      <c r="BQ160" t="s">
        <v>134</v>
      </c>
      <c r="BR160" t="s">
        <v>134</v>
      </c>
      <c r="BS160" t="s">
        <v>134</v>
      </c>
      <c r="BT160" t="s">
        <v>134</v>
      </c>
      <c r="BU160" t="s">
        <v>134</v>
      </c>
      <c r="BV160" t="s">
        <v>134</v>
      </c>
      <c r="BW160" t="s">
        <v>134</v>
      </c>
      <c r="BX160" t="s">
        <v>134</v>
      </c>
      <c r="BY160">
        <v>2970</v>
      </c>
      <c r="BZ160">
        <v>2323.9</v>
      </c>
      <c r="CA160">
        <v>646.1</v>
      </c>
      <c r="CB160">
        <v>0.14080000000000001</v>
      </c>
      <c r="CC160">
        <v>-0.66469999999999996</v>
      </c>
      <c r="CD160">
        <v>0.1603</v>
      </c>
      <c r="CE160">
        <v>-0.75690000000000002</v>
      </c>
      <c r="CF160">
        <v>76.493600000000001</v>
      </c>
      <c r="CG160">
        <v>52.601700000000001</v>
      </c>
      <c r="CH160">
        <v>1.3512</v>
      </c>
      <c r="CI160">
        <v>1.2722</v>
      </c>
      <c r="CJ160">
        <v>0.75009999999999999</v>
      </c>
      <c r="CK160">
        <v>6.2111999999999998</v>
      </c>
      <c r="CL160">
        <v>5.8479999999999999</v>
      </c>
      <c r="CM160">
        <v>3.448</v>
      </c>
      <c r="CN160">
        <v>-29.333300000000001</v>
      </c>
      <c r="CO160">
        <v>-41.509399999999999</v>
      </c>
      <c r="CP160">
        <v>5362.2</v>
      </c>
      <c r="CQ160" t="s">
        <v>134</v>
      </c>
      <c r="CR160">
        <v>4693.3999999999996</v>
      </c>
      <c r="CS160">
        <v>0.49330000000000002</v>
      </c>
      <c r="CT160">
        <v>1.6396999999999999</v>
      </c>
      <c r="CU160">
        <v>0.83860000000000001</v>
      </c>
      <c r="CV160">
        <v>12.8781</v>
      </c>
      <c r="CW160">
        <v>12.4498</v>
      </c>
      <c r="CX160">
        <v>29.317799999999998</v>
      </c>
      <c r="CY160">
        <v>3.6913</v>
      </c>
      <c r="CZ160">
        <v>98.881399999999999</v>
      </c>
      <c r="DA160">
        <v>4.3623000000000003</v>
      </c>
      <c r="DB160">
        <v>83.6721</v>
      </c>
      <c r="DC160">
        <v>44.527099999999997</v>
      </c>
      <c r="DD160">
        <v>128.19919999999999</v>
      </c>
      <c r="DE160">
        <v>23589.200000000001</v>
      </c>
      <c r="DF160" t="s">
        <v>134</v>
      </c>
      <c r="DG160" t="s">
        <v>134</v>
      </c>
      <c r="DH160" t="s">
        <v>134</v>
      </c>
      <c r="DI160" t="s">
        <v>134</v>
      </c>
    </row>
    <row r="161" spans="4:113" x14ac:dyDescent="0.3">
      <c r="E161" t="s">
        <v>80</v>
      </c>
      <c r="F161" t="s">
        <v>134</v>
      </c>
      <c r="G161" t="s">
        <v>134</v>
      </c>
      <c r="H161" t="s">
        <v>134</v>
      </c>
      <c r="I161" t="s">
        <v>134</v>
      </c>
      <c r="J161">
        <v>16.195499999999999</v>
      </c>
      <c r="K161">
        <v>14.3269</v>
      </c>
      <c r="L161">
        <v>22.188300000000002</v>
      </c>
      <c r="M161">
        <v>14.945</v>
      </c>
      <c r="N161">
        <v>10.317299999999999</v>
      </c>
      <c r="O161">
        <v>10.2193</v>
      </c>
      <c r="P161">
        <v>10.2193</v>
      </c>
      <c r="Q161">
        <v>30.965399999999999</v>
      </c>
      <c r="R161" t="s">
        <v>134</v>
      </c>
      <c r="S161" t="s">
        <v>134</v>
      </c>
      <c r="T161">
        <v>5.5731999999999999</v>
      </c>
      <c r="U161">
        <v>8.5946999999999996</v>
      </c>
      <c r="V161">
        <v>8.9034999999999993</v>
      </c>
      <c r="W161">
        <v>11.789899999999999</v>
      </c>
      <c r="X161">
        <v>11.789899999999999</v>
      </c>
      <c r="Y161" t="s">
        <v>134</v>
      </c>
      <c r="Z161" t="s">
        <v>134</v>
      </c>
      <c r="AA161" t="s">
        <v>134</v>
      </c>
      <c r="AB161" t="s">
        <v>134</v>
      </c>
      <c r="AC161" t="s">
        <v>134</v>
      </c>
      <c r="AD161" t="s">
        <v>134</v>
      </c>
      <c r="AE161" t="s">
        <v>134</v>
      </c>
      <c r="AF161" t="s">
        <v>134</v>
      </c>
      <c r="AG161" t="s">
        <v>134</v>
      </c>
      <c r="AH161" t="s">
        <v>134</v>
      </c>
      <c r="AI161" t="s">
        <v>134</v>
      </c>
      <c r="AJ161" t="s">
        <v>134</v>
      </c>
      <c r="AK161" t="s">
        <v>134</v>
      </c>
      <c r="AL161" t="s">
        <v>134</v>
      </c>
      <c r="AM161">
        <v>17.334299999999999</v>
      </c>
      <c r="AN161">
        <v>12.900700000000001</v>
      </c>
      <c r="AO161">
        <v>11.5802</v>
      </c>
      <c r="AP161">
        <v>13.142300000000001</v>
      </c>
      <c r="AQ161">
        <v>13.142300000000001</v>
      </c>
      <c r="AR161" t="s">
        <v>134</v>
      </c>
      <c r="AS161" t="s">
        <v>134</v>
      </c>
      <c r="AT161" t="s">
        <v>134</v>
      </c>
      <c r="AU161" t="s">
        <v>134</v>
      </c>
      <c r="AV161" t="s">
        <v>134</v>
      </c>
      <c r="AW161" t="s">
        <v>134</v>
      </c>
      <c r="AX161" t="s">
        <v>134</v>
      </c>
      <c r="AY161" t="s">
        <v>134</v>
      </c>
      <c r="AZ161" t="s">
        <v>134</v>
      </c>
      <c r="BA161" t="s">
        <v>134</v>
      </c>
      <c r="BB161" t="s">
        <v>134</v>
      </c>
      <c r="BC161" t="s">
        <v>134</v>
      </c>
      <c r="BD161" t="s">
        <v>134</v>
      </c>
      <c r="BE161" t="s">
        <v>134</v>
      </c>
      <c r="BF161">
        <v>0.44750000000000001</v>
      </c>
      <c r="BG161">
        <v>8.8154000000000003</v>
      </c>
      <c r="BH161">
        <v>9.9778000000000002</v>
      </c>
      <c r="BI161">
        <v>6.0121000000000002</v>
      </c>
      <c r="BJ161">
        <v>6.0121000000000002</v>
      </c>
      <c r="BK161" t="s">
        <v>134</v>
      </c>
      <c r="BL161" t="s">
        <v>134</v>
      </c>
      <c r="BM161" t="s">
        <v>134</v>
      </c>
      <c r="BN161" t="s">
        <v>134</v>
      </c>
      <c r="BO161" t="s">
        <v>134</v>
      </c>
      <c r="BP161" t="s">
        <v>134</v>
      </c>
      <c r="BQ161" t="s">
        <v>134</v>
      </c>
      <c r="BR161" t="s">
        <v>134</v>
      </c>
      <c r="BS161" t="s">
        <v>134</v>
      </c>
      <c r="BT161" t="s">
        <v>134</v>
      </c>
      <c r="BU161" t="s">
        <v>134</v>
      </c>
      <c r="BV161" t="s">
        <v>134</v>
      </c>
      <c r="BW161" t="s">
        <v>134</v>
      </c>
      <c r="BX161" t="s">
        <v>134</v>
      </c>
      <c r="BY161" t="s">
        <v>134</v>
      </c>
      <c r="BZ161" t="s">
        <v>134</v>
      </c>
      <c r="CA161" t="s">
        <v>134</v>
      </c>
      <c r="CB161" t="s">
        <v>134</v>
      </c>
      <c r="CC161" t="s">
        <v>134</v>
      </c>
      <c r="CD161" t="s">
        <v>134</v>
      </c>
      <c r="CE161" t="s">
        <v>134</v>
      </c>
      <c r="CF161">
        <v>59.6616</v>
      </c>
      <c r="CG161" t="s">
        <v>134</v>
      </c>
      <c r="CH161" t="s">
        <v>134</v>
      </c>
      <c r="CI161" t="s">
        <v>134</v>
      </c>
      <c r="CJ161" t="s">
        <v>134</v>
      </c>
      <c r="CK161" t="s">
        <v>134</v>
      </c>
      <c r="CL161" t="s">
        <v>134</v>
      </c>
      <c r="CM161" t="s">
        <v>134</v>
      </c>
      <c r="CN161" t="s">
        <v>134</v>
      </c>
      <c r="CO161" t="s">
        <v>134</v>
      </c>
      <c r="CP161">
        <v>5834.9</v>
      </c>
      <c r="CQ161" t="s">
        <v>134</v>
      </c>
      <c r="CR161">
        <v>5161.7</v>
      </c>
      <c r="CS161" t="s">
        <v>134</v>
      </c>
      <c r="CT161" t="s">
        <v>134</v>
      </c>
      <c r="CU161" t="s">
        <v>134</v>
      </c>
      <c r="CV161" t="s">
        <v>134</v>
      </c>
      <c r="CW161" t="s">
        <v>134</v>
      </c>
      <c r="CX161" t="s">
        <v>134</v>
      </c>
      <c r="CY161" t="s">
        <v>134</v>
      </c>
      <c r="CZ161" t="s">
        <v>134</v>
      </c>
      <c r="DA161" t="s">
        <v>134</v>
      </c>
      <c r="DB161" t="s">
        <v>134</v>
      </c>
      <c r="DC161" t="s">
        <v>134</v>
      </c>
      <c r="DD161" t="s">
        <v>134</v>
      </c>
      <c r="DE161" t="s">
        <v>134</v>
      </c>
      <c r="DF161" t="s">
        <v>134</v>
      </c>
      <c r="DG161" t="s">
        <v>134</v>
      </c>
      <c r="DH161" t="s">
        <v>134</v>
      </c>
      <c r="DI161" t="s">
        <v>134</v>
      </c>
    </row>
    <row r="162" spans="4:113" x14ac:dyDescent="0.3">
      <c r="E162" t="s">
        <v>81</v>
      </c>
      <c r="F162">
        <v>31.7745</v>
      </c>
      <c r="G162">
        <v>16.423100000000002</v>
      </c>
      <c r="H162">
        <v>29.145099999999999</v>
      </c>
      <c r="I162">
        <v>25.441099999999999</v>
      </c>
      <c r="J162">
        <v>16.020800000000001</v>
      </c>
      <c r="K162">
        <v>14.096399999999999</v>
      </c>
      <c r="L162">
        <v>30.837199999999999</v>
      </c>
      <c r="M162">
        <v>14.9496</v>
      </c>
      <c r="N162">
        <v>10.0848</v>
      </c>
      <c r="O162">
        <v>9.7688000000000006</v>
      </c>
      <c r="P162">
        <v>9.7688000000000006</v>
      </c>
      <c r="Q162">
        <v>32.541200000000003</v>
      </c>
      <c r="R162" t="s">
        <v>134</v>
      </c>
      <c r="S162" t="s">
        <v>134</v>
      </c>
      <c r="T162">
        <v>6.8560999999999996</v>
      </c>
      <c r="U162">
        <v>15.266</v>
      </c>
      <c r="V162">
        <v>16.3278</v>
      </c>
      <c r="W162">
        <v>18.6313</v>
      </c>
      <c r="X162">
        <v>18.6313</v>
      </c>
      <c r="Y162" t="s">
        <v>134</v>
      </c>
      <c r="Z162">
        <v>6.2641</v>
      </c>
      <c r="AA162">
        <v>9.1145999999999994</v>
      </c>
      <c r="AB162">
        <v>3.4891000000000001</v>
      </c>
      <c r="AC162">
        <v>10.335900000000001</v>
      </c>
      <c r="AD162">
        <v>31.732199999999999</v>
      </c>
      <c r="AE162">
        <v>26.194500000000001</v>
      </c>
      <c r="AF162">
        <v>-11.282999999999999</v>
      </c>
      <c r="AG162">
        <v>63.6053</v>
      </c>
      <c r="AH162">
        <v>67.838700000000003</v>
      </c>
      <c r="AI162">
        <v>16.8203</v>
      </c>
      <c r="AJ162">
        <v>19.6236</v>
      </c>
      <c r="AK162">
        <v>17.407800000000002</v>
      </c>
      <c r="AL162" t="s">
        <v>134</v>
      </c>
      <c r="AM162">
        <v>13.212</v>
      </c>
      <c r="AN162">
        <v>12.4595</v>
      </c>
      <c r="AO162">
        <v>11.402699999999999</v>
      </c>
      <c r="AP162">
        <v>12.103999999999999</v>
      </c>
      <c r="AQ162">
        <v>12.103999999999999</v>
      </c>
      <c r="AR162" t="s">
        <v>134</v>
      </c>
      <c r="AS162">
        <v>16.810600000000001</v>
      </c>
      <c r="AT162">
        <v>18.7638</v>
      </c>
      <c r="AU162">
        <v>14.511900000000001</v>
      </c>
      <c r="AV162">
        <v>18.685099999999998</v>
      </c>
      <c r="AW162">
        <v>19.3568</v>
      </c>
      <c r="AX162">
        <v>28.688500000000001</v>
      </c>
      <c r="AY162">
        <v>16.609200000000001</v>
      </c>
      <c r="AZ162">
        <v>16.280999999999999</v>
      </c>
      <c r="BA162">
        <v>12.7759</v>
      </c>
      <c r="BB162">
        <v>22.639600000000002</v>
      </c>
      <c r="BC162">
        <v>21.677800000000001</v>
      </c>
      <c r="BD162">
        <v>22.6311</v>
      </c>
      <c r="BE162" t="s">
        <v>134</v>
      </c>
      <c r="BF162">
        <v>-3.1200999999999999</v>
      </c>
      <c r="BG162">
        <v>-4.1646000000000001</v>
      </c>
      <c r="BH162">
        <v>-4.6787000000000001</v>
      </c>
      <c r="BI162">
        <v>-7.3903999999999996</v>
      </c>
      <c r="BJ162">
        <v>-7.3903999999999996</v>
      </c>
      <c r="BK162" t="s">
        <v>134</v>
      </c>
      <c r="BL162" t="s">
        <v>134</v>
      </c>
      <c r="BM162" t="s">
        <v>134</v>
      </c>
      <c r="BN162" t="s">
        <v>134</v>
      </c>
      <c r="BO162" t="s">
        <v>134</v>
      </c>
      <c r="BP162" t="s">
        <v>134</v>
      </c>
      <c r="BQ162" t="s">
        <v>134</v>
      </c>
      <c r="BR162" t="s">
        <v>134</v>
      </c>
      <c r="BS162" t="s">
        <v>134</v>
      </c>
      <c r="BT162" t="s">
        <v>134</v>
      </c>
      <c r="BU162" t="s">
        <v>134</v>
      </c>
      <c r="BV162" t="s">
        <v>134</v>
      </c>
      <c r="BW162" t="s">
        <v>134</v>
      </c>
      <c r="BX162" t="s">
        <v>134</v>
      </c>
      <c r="BY162">
        <v>4181.7</v>
      </c>
      <c r="BZ162">
        <v>3398.9</v>
      </c>
      <c r="CA162">
        <v>782.8</v>
      </c>
      <c r="CB162">
        <v>0.1875</v>
      </c>
      <c r="CC162">
        <v>-0.46239999999999998</v>
      </c>
      <c r="CD162">
        <v>0.21290000000000001</v>
      </c>
      <c r="CE162">
        <v>-0.52500000000000002</v>
      </c>
      <c r="CF162">
        <v>54.876300000000001</v>
      </c>
      <c r="CG162">
        <v>53.210299999999997</v>
      </c>
      <c r="CH162">
        <v>1.5636999999999999</v>
      </c>
      <c r="CI162">
        <v>1.4432</v>
      </c>
      <c r="CJ162">
        <v>0.87829999999999997</v>
      </c>
      <c r="CK162">
        <v>8.3533000000000008</v>
      </c>
      <c r="CL162">
        <v>7.7092999999999998</v>
      </c>
      <c r="CM162">
        <v>4.6920000000000002</v>
      </c>
      <c r="CN162">
        <v>-20.602</v>
      </c>
      <c r="CO162">
        <v>-25.947700000000001</v>
      </c>
      <c r="CP162">
        <v>5591.9</v>
      </c>
      <c r="CQ162" t="s">
        <v>134</v>
      </c>
      <c r="CR162">
        <v>4920.2</v>
      </c>
      <c r="CS162">
        <v>0.39979999999999999</v>
      </c>
      <c r="CT162">
        <v>1.5226</v>
      </c>
      <c r="CU162">
        <v>0.73529999999999995</v>
      </c>
      <c r="CV162">
        <v>14.764699999999999</v>
      </c>
      <c r="CW162">
        <v>12.231</v>
      </c>
      <c r="CX162">
        <v>29.842300000000002</v>
      </c>
      <c r="CY162">
        <v>3.7518000000000002</v>
      </c>
      <c r="CZ162">
        <v>97.287099999999995</v>
      </c>
      <c r="DA162">
        <v>5.0437000000000003</v>
      </c>
      <c r="DB162">
        <v>72.366900000000001</v>
      </c>
      <c r="DC162">
        <v>54.762500000000003</v>
      </c>
      <c r="DD162">
        <v>127.1294</v>
      </c>
      <c r="DE162">
        <v>22585.200000000001</v>
      </c>
      <c r="DF162">
        <v>6906.2</v>
      </c>
      <c r="DG162">
        <v>1021.4</v>
      </c>
      <c r="DH162">
        <v>12401.6</v>
      </c>
      <c r="DI162">
        <v>2256</v>
      </c>
    </row>
    <row r="163" spans="4:113" x14ac:dyDescent="0.3">
      <c r="D163" t="s">
        <v>83</v>
      </c>
      <c r="E163" t="s">
        <v>77</v>
      </c>
      <c r="F163">
        <v>33.364400000000003</v>
      </c>
      <c r="G163">
        <v>18.115300000000001</v>
      </c>
      <c r="H163">
        <v>30.9724</v>
      </c>
      <c r="I163">
        <v>27.548500000000001</v>
      </c>
      <c r="J163">
        <v>18.3202</v>
      </c>
      <c r="K163">
        <v>16.441800000000001</v>
      </c>
      <c r="L163">
        <v>41.584699999999998</v>
      </c>
      <c r="M163">
        <v>17.1447</v>
      </c>
      <c r="N163">
        <v>11.6059</v>
      </c>
      <c r="O163">
        <v>11.2598</v>
      </c>
      <c r="P163">
        <v>11.2598</v>
      </c>
      <c r="Q163">
        <v>32.306199999999997</v>
      </c>
      <c r="R163">
        <v>41.674500000000002</v>
      </c>
      <c r="S163">
        <v>19.46</v>
      </c>
      <c r="T163">
        <v>9.4634999999999998</v>
      </c>
      <c r="U163">
        <v>25.507000000000001</v>
      </c>
      <c r="V163">
        <v>27.9849</v>
      </c>
      <c r="W163">
        <v>23.729299999999999</v>
      </c>
      <c r="X163">
        <v>23.729299999999999</v>
      </c>
      <c r="Y163">
        <v>22.950800000000001</v>
      </c>
      <c r="Z163">
        <v>5.5994999999999999</v>
      </c>
      <c r="AA163">
        <v>-8.6127000000000002</v>
      </c>
      <c r="AB163">
        <v>28.1249</v>
      </c>
      <c r="AC163">
        <v>13.7821</v>
      </c>
      <c r="AD163">
        <v>-8.9689999999999994</v>
      </c>
      <c r="AE163">
        <v>12.3483</v>
      </c>
      <c r="AF163">
        <v>2.6699000000000002</v>
      </c>
      <c r="AG163">
        <v>-26.252600000000001</v>
      </c>
      <c r="AH163">
        <v>-22.144100000000002</v>
      </c>
      <c r="AI163">
        <v>17.847100000000001</v>
      </c>
      <c r="AJ163">
        <v>14.763999999999999</v>
      </c>
      <c r="AK163">
        <v>18.195399999999999</v>
      </c>
      <c r="AL163">
        <v>92.576800000000006</v>
      </c>
      <c r="AM163">
        <v>14.793100000000001</v>
      </c>
      <c r="AN163">
        <v>16.158899999999999</v>
      </c>
      <c r="AO163">
        <v>15.7149</v>
      </c>
      <c r="AP163">
        <v>15.406000000000001</v>
      </c>
      <c r="AQ163">
        <v>15.4063</v>
      </c>
      <c r="AR163">
        <v>18.571999999999999</v>
      </c>
      <c r="AS163">
        <v>16.846299999999999</v>
      </c>
      <c r="AT163">
        <v>9.5951000000000004</v>
      </c>
      <c r="AU163">
        <v>19.7577</v>
      </c>
      <c r="AV163">
        <v>17.0806</v>
      </c>
      <c r="AW163">
        <v>16.834099999999999</v>
      </c>
      <c r="AX163">
        <v>15.1424</v>
      </c>
      <c r="AY163">
        <v>7.8956</v>
      </c>
      <c r="AZ163">
        <v>7.4103000000000003</v>
      </c>
      <c r="BA163">
        <v>6.8803000000000001</v>
      </c>
      <c r="BB163">
        <v>20.758700000000001</v>
      </c>
      <c r="BC163">
        <v>19.723300000000002</v>
      </c>
      <c r="BD163">
        <v>20.707000000000001</v>
      </c>
      <c r="BE163">
        <v>24.807700000000001</v>
      </c>
      <c r="BF163">
        <v>9.4634999999999998</v>
      </c>
      <c r="BG163">
        <v>25.507000000000001</v>
      </c>
      <c r="BH163">
        <v>27.9849</v>
      </c>
      <c r="BI163">
        <v>23.729299999999999</v>
      </c>
      <c r="BJ163">
        <v>23.729299999999999</v>
      </c>
      <c r="BK163">
        <v>22.950800000000001</v>
      </c>
      <c r="BL163">
        <v>5.5994999999999999</v>
      </c>
      <c r="BM163">
        <v>-8.6127000000000002</v>
      </c>
      <c r="BN163">
        <v>28.1249</v>
      </c>
      <c r="BO163">
        <v>13.7821</v>
      </c>
      <c r="BP163">
        <v>-8.9689999999999994</v>
      </c>
      <c r="BQ163">
        <v>12.3483</v>
      </c>
      <c r="BR163">
        <v>2.6699000000000002</v>
      </c>
      <c r="BS163">
        <v>-26.252600000000001</v>
      </c>
      <c r="BT163">
        <v>-22.144100000000002</v>
      </c>
      <c r="BU163">
        <v>17.847100000000001</v>
      </c>
      <c r="BV163">
        <v>14.763999999999999</v>
      </c>
      <c r="BW163">
        <v>18.195399999999999</v>
      </c>
      <c r="BX163">
        <v>92.576800000000006</v>
      </c>
      <c r="BY163">
        <v>3255.7</v>
      </c>
      <c r="BZ163">
        <v>2506.6</v>
      </c>
      <c r="CA163">
        <v>749.1</v>
      </c>
      <c r="CB163">
        <v>0.1159</v>
      </c>
      <c r="CC163">
        <v>-0.60419999999999996</v>
      </c>
      <c r="CD163">
        <v>0.12920000000000001</v>
      </c>
      <c r="CE163">
        <v>-0.67330000000000001</v>
      </c>
      <c r="CF163">
        <v>76.801199999999994</v>
      </c>
      <c r="CG163">
        <v>55.2605</v>
      </c>
      <c r="CH163">
        <v>1.2698</v>
      </c>
      <c r="CI163">
        <v>1.2034</v>
      </c>
      <c r="CJ163">
        <v>0.73850000000000005</v>
      </c>
      <c r="CK163">
        <v>5.5186000000000002</v>
      </c>
      <c r="CL163">
        <v>5.23</v>
      </c>
      <c r="CM163">
        <v>3.2096999999999998</v>
      </c>
      <c r="CN163">
        <v>-28.766999999999999</v>
      </c>
      <c r="CO163">
        <v>-40.384500000000003</v>
      </c>
      <c r="CP163">
        <v>28086.2</v>
      </c>
      <c r="CQ163">
        <v>19841.900000000001</v>
      </c>
      <c r="CR163">
        <v>25206.5</v>
      </c>
      <c r="CS163">
        <v>0.51859999999999995</v>
      </c>
      <c r="CT163">
        <v>1.5356000000000001</v>
      </c>
      <c r="CU163">
        <v>0.84570000000000001</v>
      </c>
      <c r="CV163">
        <v>16.4892</v>
      </c>
      <c r="CW163">
        <v>12.616199999999999</v>
      </c>
      <c r="CX163">
        <v>29.010400000000001</v>
      </c>
      <c r="CY163">
        <v>3.7174</v>
      </c>
      <c r="CZ163">
        <v>98.455600000000004</v>
      </c>
      <c r="DA163">
        <v>4.9953000000000003</v>
      </c>
      <c r="DB163">
        <v>73.268699999999995</v>
      </c>
      <c r="DC163">
        <v>54.197400000000002</v>
      </c>
      <c r="DD163">
        <v>127.46599999999999</v>
      </c>
      <c r="DE163">
        <v>20640</v>
      </c>
      <c r="DF163">
        <v>6564.4</v>
      </c>
      <c r="DG163">
        <v>734.5</v>
      </c>
      <c r="DH163">
        <v>10588.6</v>
      </c>
      <c r="DI163">
        <v>2752.5</v>
      </c>
    </row>
    <row r="164" spans="4:113" x14ac:dyDescent="0.3">
      <c r="E164" t="s">
        <v>78</v>
      </c>
      <c r="F164" t="s">
        <v>134</v>
      </c>
      <c r="G164" t="s">
        <v>134</v>
      </c>
      <c r="H164" t="s">
        <v>134</v>
      </c>
      <c r="I164" t="s">
        <v>134</v>
      </c>
      <c r="J164">
        <v>19.104099999999999</v>
      </c>
      <c r="K164">
        <v>17.166699999999999</v>
      </c>
      <c r="L164">
        <v>50.429600000000001</v>
      </c>
      <c r="M164">
        <v>18.970500000000001</v>
      </c>
      <c r="N164">
        <v>13.063800000000001</v>
      </c>
      <c r="O164">
        <v>12.7217</v>
      </c>
      <c r="P164">
        <v>12.7217</v>
      </c>
      <c r="Q164">
        <v>31.136199999999999</v>
      </c>
      <c r="R164" t="s">
        <v>134</v>
      </c>
      <c r="S164" t="s">
        <v>134</v>
      </c>
      <c r="T164">
        <v>7.5945</v>
      </c>
      <c r="U164">
        <v>23.962199999999999</v>
      </c>
      <c r="V164">
        <v>26.159500000000001</v>
      </c>
      <c r="W164">
        <v>34.390300000000003</v>
      </c>
      <c r="X164">
        <v>34.390300000000003</v>
      </c>
      <c r="Y164" t="s">
        <v>134</v>
      </c>
      <c r="Z164" t="s">
        <v>134</v>
      </c>
      <c r="AA164" t="s">
        <v>134</v>
      </c>
      <c r="AB164" t="s">
        <v>134</v>
      </c>
      <c r="AC164" t="s">
        <v>134</v>
      </c>
      <c r="AD164" t="s">
        <v>134</v>
      </c>
      <c r="AE164" t="s">
        <v>134</v>
      </c>
      <c r="AF164" t="s">
        <v>134</v>
      </c>
      <c r="AG164" t="s">
        <v>134</v>
      </c>
      <c r="AH164" t="s">
        <v>134</v>
      </c>
      <c r="AI164" t="s">
        <v>134</v>
      </c>
      <c r="AJ164" t="s">
        <v>134</v>
      </c>
      <c r="AK164" t="s">
        <v>134</v>
      </c>
      <c r="AL164" t="s">
        <v>134</v>
      </c>
      <c r="AM164">
        <v>14.3475</v>
      </c>
      <c r="AN164">
        <v>14.5129</v>
      </c>
      <c r="AO164">
        <v>13.914199999999999</v>
      </c>
      <c r="AP164">
        <v>15.422800000000001</v>
      </c>
      <c r="AQ164">
        <v>15.422800000000001</v>
      </c>
      <c r="AR164" t="s">
        <v>134</v>
      </c>
      <c r="AS164" t="s">
        <v>134</v>
      </c>
      <c r="AT164" t="s">
        <v>134</v>
      </c>
      <c r="AU164" t="s">
        <v>134</v>
      </c>
      <c r="AV164" t="s">
        <v>134</v>
      </c>
      <c r="AW164" t="s">
        <v>134</v>
      </c>
      <c r="AX164" t="s">
        <v>134</v>
      </c>
      <c r="AY164" t="s">
        <v>134</v>
      </c>
      <c r="AZ164" t="s">
        <v>134</v>
      </c>
      <c r="BA164" t="s">
        <v>134</v>
      </c>
      <c r="BB164" t="s">
        <v>134</v>
      </c>
      <c r="BC164" t="s">
        <v>134</v>
      </c>
      <c r="BD164" t="s">
        <v>134</v>
      </c>
      <c r="BE164" t="s">
        <v>134</v>
      </c>
      <c r="BF164">
        <v>2.5091999999999999</v>
      </c>
      <c r="BG164">
        <v>22.237500000000001</v>
      </c>
      <c r="BH164">
        <v>24.836400000000001</v>
      </c>
      <c r="BI164">
        <v>33.495600000000003</v>
      </c>
      <c r="BJ164">
        <v>33.495600000000003</v>
      </c>
      <c r="BK164" t="s">
        <v>134</v>
      </c>
      <c r="BL164" t="s">
        <v>134</v>
      </c>
      <c r="BM164" t="s">
        <v>134</v>
      </c>
      <c r="BN164" t="s">
        <v>134</v>
      </c>
      <c r="BO164" t="s">
        <v>134</v>
      </c>
      <c r="BP164" t="s">
        <v>134</v>
      </c>
      <c r="BQ164" t="s">
        <v>134</v>
      </c>
      <c r="BR164" t="s">
        <v>134</v>
      </c>
      <c r="BS164" t="s">
        <v>134</v>
      </c>
      <c r="BT164" t="s">
        <v>134</v>
      </c>
      <c r="BU164" t="s">
        <v>134</v>
      </c>
      <c r="BV164" t="s">
        <v>134</v>
      </c>
      <c r="BW164" t="s">
        <v>134</v>
      </c>
      <c r="BX164" t="s">
        <v>134</v>
      </c>
      <c r="BY164" t="s">
        <v>134</v>
      </c>
      <c r="BZ164" t="s">
        <v>134</v>
      </c>
      <c r="CA164" t="s">
        <v>134</v>
      </c>
      <c r="CB164" t="s">
        <v>134</v>
      </c>
      <c r="CC164" t="s">
        <v>134</v>
      </c>
      <c r="CD164" t="s">
        <v>134</v>
      </c>
      <c r="CE164" t="s">
        <v>134</v>
      </c>
      <c r="CF164">
        <v>76.715999999999994</v>
      </c>
      <c r="CG164" t="s">
        <v>134</v>
      </c>
      <c r="CH164" t="s">
        <v>134</v>
      </c>
      <c r="CI164" t="s">
        <v>134</v>
      </c>
      <c r="CJ164" t="s">
        <v>134</v>
      </c>
      <c r="CK164" t="s">
        <v>134</v>
      </c>
      <c r="CL164" t="s">
        <v>134</v>
      </c>
      <c r="CM164" t="s">
        <v>134</v>
      </c>
      <c r="CN164" t="s">
        <v>134</v>
      </c>
      <c r="CO164" t="s">
        <v>134</v>
      </c>
      <c r="CP164">
        <v>6835.4</v>
      </c>
      <c r="CQ164" t="s">
        <v>134</v>
      </c>
      <c r="CR164">
        <v>6142.2</v>
      </c>
      <c r="CS164" t="s">
        <v>134</v>
      </c>
      <c r="CT164" t="s">
        <v>134</v>
      </c>
      <c r="CU164" t="s">
        <v>134</v>
      </c>
      <c r="CV164" t="s">
        <v>134</v>
      </c>
      <c r="CW164" t="s">
        <v>134</v>
      </c>
      <c r="CX164" t="s">
        <v>134</v>
      </c>
      <c r="CY164" t="s">
        <v>134</v>
      </c>
      <c r="CZ164" t="s">
        <v>134</v>
      </c>
      <c r="DA164" t="s">
        <v>134</v>
      </c>
      <c r="DB164" t="s">
        <v>134</v>
      </c>
      <c r="DC164" t="s">
        <v>134</v>
      </c>
      <c r="DD164" t="s">
        <v>134</v>
      </c>
      <c r="DE164" t="s">
        <v>134</v>
      </c>
      <c r="DF164" t="s">
        <v>134</v>
      </c>
      <c r="DG164" t="s">
        <v>134</v>
      </c>
      <c r="DH164" t="s">
        <v>134</v>
      </c>
      <c r="DI164" t="s">
        <v>134</v>
      </c>
    </row>
    <row r="165" spans="4:113" x14ac:dyDescent="0.3">
      <c r="E165" t="s">
        <v>79</v>
      </c>
      <c r="F165">
        <v>31.5791</v>
      </c>
      <c r="G165">
        <v>16.846599999999999</v>
      </c>
      <c r="H165">
        <v>29.0654</v>
      </c>
      <c r="I165">
        <v>25.813700000000001</v>
      </c>
      <c r="J165">
        <v>16.640899999999998</v>
      </c>
      <c r="K165">
        <v>14.7409</v>
      </c>
      <c r="L165">
        <v>56.028399999999998</v>
      </c>
      <c r="M165">
        <v>16.035399999999999</v>
      </c>
      <c r="N165">
        <v>11.113300000000001</v>
      </c>
      <c r="O165">
        <v>10.695399999999999</v>
      </c>
      <c r="P165">
        <v>10.695399999999999</v>
      </c>
      <c r="Q165">
        <v>30.694900000000001</v>
      </c>
      <c r="R165" t="s">
        <v>134</v>
      </c>
      <c r="S165" t="s">
        <v>134</v>
      </c>
      <c r="T165">
        <v>4.0098000000000003</v>
      </c>
      <c r="U165">
        <v>15.773400000000001</v>
      </c>
      <c r="V165">
        <v>17.168800000000001</v>
      </c>
      <c r="W165">
        <v>14.8863</v>
      </c>
      <c r="X165">
        <v>14.886200000000001</v>
      </c>
      <c r="Y165" t="s">
        <v>134</v>
      </c>
      <c r="Z165">
        <v>11.206300000000001</v>
      </c>
      <c r="AA165">
        <v>1.0789</v>
      </c>
      <c r="AB165" t="s">
        <v>134</v>
      </c>
      <c r="AC165">
        <v>15.2651</v>
      </c>
      <c r="AD165">
        <v>34.331600000000002</v>
      </c>
      <c r="AE165">
        <v>-6.1890999999999998</v>
      </c>
      <c r="AF165">
        <v>-15.581200000000001</v>
      </c>
      <c r="AG165">
        <v>74.762299999999996</v>
      </c>
      <c r="AH165">
        <v>66.289599999999993</v>
      </c>
      <c r="AI165">
        <v>18.1602</v>
      </c>
      <c r="AJ165">
        <v>20.974799999999998</v>
      </c>
      <c r="AK165">
        <v>18.316099999999999</v>
      </c>
      <c r="AL165" t="s">
        <v>134</v>
      </c>
      <c r="AM165">
        <v>15.553100000000001</v>
      </c>
      <c r="AN165">
        <v>13.370200000000001</v>
      </c>
      <c r="AO165">
        <v>12.655200000000001</v>
      </c>
      <c r="AP165">
        <v>13.1952</v>
      </c>
      <c r="AQ165">
        <v>13.1952</v>
      </c>
      <c r="AR165" t="s">
        <v>134</v>
      </c>
      <c r="AS165">
        <v>18.922699999999999</v>
      </c>
      <c r="AT165">
        <v>11.520899999999999</v>
      </c>
      <c r="AU165" t="s">
        <v>134</v>
      </c>
      <c r="AV165">
        <v>17.7303</v>
      </c>
      <c r="AW165">
        <v>-0.23949999999999999</v>
      </c>
      <c r="AX165">
        <v>33.301499999999997</v>
      </c>
      <c r="AY165" t="s">
        <v>134</v>
      </c>
      <c r="AZ165" t="s">
        <v>134</v>
      </c>
      <c r="BA165">
        <v>15.9786</v>
      </c>
      <c r="BB165">
        <v>21.312000000000001</v>
      </c>
      <c r="BC165">
        <v>20.8262</v>
      </c>
      <c r="BD165">
        <v>21.245799999999999</v>
      </c>
      <c r="BE165" t="s">
        <v>134</v>
      </c>
      <c r="BF165">
        <v>13.311299999999999</v>
      </c>
      <c r="BG165">
        <v>-8.5175000000000001</v>
      </c>
      <c r="BH165">
        <v>-10.183400000000001</v>
      </c>
      <c r="BI165">
        <v>-12.058400000000001</v>
      </c>
      <c r="BJ165">
        <v>-12.058400000000001</v>
      </c>
      <c r="BK165" t="s">
        <v>134</v>
      </c>
      <c r="BL165" t="s">
        <v>134</v>
      </c>
      <c r="BM165" t="s">
        <v>134</v>
      </c>
      <c r="BN165" t="s">
        <v>134</v>
      </c>
      <c r="BO165" t="s">
        <v>134</v>
      </c>
      <c r="BP165" t="s">
        <v>134</v>
      </c>
      <c r="BQ165" t="s">
        <v>134</v>
      </c>
      <c r="BR165" t="s">
        <v>134</v>
      </c>
      <c r="BS165" t="s">
        <v>134</v>
      </c>
      <c r="BT165" t="s">
        <v>134</v>
      </c>
      <c r="BU165" t="s">
        <v>134</v>
      </c>
      <c r="BV165" t="s">
        <v>134</v>
      </c>
      <c r="BW165" t="s">
        <v>134</v>
      </c>
      <c r="BX165" t="s">
        <v>134</v>
      </c>
      <c r="BY165">
        <v>4938.8</v>
      </c>
      <c r="BZ165">
        <v>4061.3</v>
      </c>
      <c r="CA165">
        <v>877.5</v>
      </c>
      <c r="CB165">
        <v>0.20219999999999999</v>
      </c>
      <c r="CC165">
        <v>-0.42970000000000003</v>
      </c>
      <c r="CD165">
        <v>0.2276</v>
      </c>
      <c r="CE165">
        <v>-0.48349999999999999</v>
      </c>
      <c r="CF165">
        <v>67.331900000000005</v>
      </c>
      <c r="CG165">
        <v>53.994</v>
      </c>
      <c r="CH165">
        <v>1.5531000000000001</v>
      </c>
      <c r="CI165">
        <v>1.4281999999999999</v>
      </c>
      <c r="CJ165">
        <v>0.88380000000000003</v>
      </c>
      <c r="CK165">
        <v>8.7411999999999992</v>
      </c>
      <c r="CL165">
        <v>8.0385000000000009</v>
      </c>
      <c r="CM165">
        <v>4.9744000000000002</v>
      </c>
      <c r="CN165">
        <v>-18.5748</v>
      </c>
      <c r="CO165">
        <v>-22.812100000000001</v>
      </c>
      <c r="CP165">
        <v>6208</v>
      </c>
      <c r="CQ165" t="s">
        <v>134</v>
      </c>
      <c r="CR165">
        <v>5499.2</v>
      </c>
      <c r="CS165">
        <v>0.40179999999999999</v>
      </c>
      <c r="CT165">
        <v>1.5382</v>
      </c>
      <c r="CU165">
        <v>0.74619999999999997</v>
      </c>
      <c r="CV165">
        <v>14.553000000000001</v>
      </c>
      <c r="CW165">
        <v>11.235799999999999</v>
      </c>
      <c r="CX165">
        <v>32.485500000000002</v>
      </c>
      <c r="CY165">
        <v>3.3224</v>
      </c>
      <c r="CZ165">
        <v>109.8593</v>
      </c>
      <c r="DA165">
        <v>4.0385999999999997</v>
      </c>
      <c r="DB165">
        <v>90.377600000000001</v>
      </c>
      <c r="DC165">
        <v>51.967199999999998</v>
      </c>
      <c r="DD165">
        <v>142.34479999999999</v>
      </c>
      <c r="DE165">
        <v>23843.7</v>
      </c>
      <c r="DF165" t="s">
        <v>134</v>
      </c>
      <c r="DG165" t="s">
        <v>134</v>
      </c>
      <c r="DH165" t="s">
        <v>134</v>
      </c>
      <c r="DI165" t="s">
        <v>134</v>
      </c>
    </row>
    <row r="166" spans="4:113" x14ac:dyDescent="0.3">
      <c r="E166" t="s">
        <v>80</v>
      </c>
      <c r="F166" t="s">
        <v>134</v>
      </c>
      <c r="G166" t="s">
        <v>134</v>
      </c>
      <c r="H166" t="s">
        <v>134</v>
      </c>
      <c r="I166" t="s">
        <v>134</v>
      </c>
      <c r="J166">
        <v>19.5123</v>
      </c>
      <c r="K166">
        <v>17.7453</v>
      </c>
      <c r="L166">
        <v>42.369300000000003</v>
      </c>
      <c r="M166">
        <v>17.1538</v>
      </c>
      <c r="N166">
        <v>11.576499999999999</v>
      </c>
      <c r="O166">
        <v>11.291399999999999</v>
      </c>
      <c r="P166">
        <v>11.291399999999999</v>
      </c>
      <c r="Q166">
        <v>32.512999999999998</v>
      </c>
      <c r="R166" t="s">
        <v>134</v>
      </c>
      <c r="S166" t="s">
        <v>134</v>
      </c>
      <c r="T166">
        <v>13.882300000000001</v>
      </c>
      <c r="U166">
        <v>37.205399999999997</v>
      </c>
      <c r="V166">
        <v>41.054299999999998</v>
      </c>
      <c r="W166">
        <v>25.829799999999999</v>
      </c>
      <c r="X166">
        <v>25.829799999999999</v>
      </c>
      <c r="Y166" t="s">
        <v>134</v>
      </c>
      <c r="Z166" t="s">
        <v>134</v>
      </c>
      <c r="AA166" t="s">
        <v>134</v>
      </c>
      <c r="AB166" t="s">
        <v>134</v>
      </c>
      <c r="AC166" t="s">
        <v>134</v>
      </c>
      <c r="AD166" t="s">
        <v>134</v>
      </c>
      <c r="AE166" t="s">
        <v>134</v>
      </c>
      <c r="AF166" t="s">
        <v>134</v>
      </c>
      <c r="AG166" t="s">
        <v>134</v>
      </c>
      <c r="AH166" t="s">
        <v>134</v>
      </c>
      <c r="AI166" t="s">
        <v>134</v>
      </c>
      <c r="AJ166" t="s">
        <v>134</v>
      </c>
      <c r="AK166" t="s">
        <v>134</v>
      </c>
      <c r="AL166" t="s">
        <v>134</v>
      </c>
      <c r="AM166">
        <v>14.3384</v>
      </c>
      <c r="AN166">
        <v>18.342199999999998</v>
      </c>
      <c r="AO166">
        <v>18.147400000000001</v>
      </c>
      <c r="AP166">
        <v>16.025600000000001</v>
      </c>
      <c r="AQ166">
        <v>16.025600000000001</v>
      </c>
      <c r="AR166" t="s">
        <v>134</v>
      </c>
      <c r="AS166" t="s">
        <v>134</v>
      </c>
      <c r="AT166" t="s">
        <v>134</v>
      </c>
      <c r="AU166" t="s">
        <v>134</v>
      </c>
      <c r="AV166" t="s">
        <v>134</v>
      </c>
      <c r="AW166" t="s">
        <v>134</v>
      </c>
      <c r="AX166" t="s">
        <v>134</v>
      </c>
      <c r="AY166" t="s">
        <v>134</v>
      </c>
      <c r="AZ166" t="s">
        <v>134</v>
      </c>
      <c r="BA166" t="s">
        <v>134</v>
      </c>
      <c r="BB166" t="s">
        <v>134</v>
      </c>
      <c r="BC166" t="s">
        <v>134</v>
      </c>
      <c r="BD166" t="s">
        <v>134</v>
      </c>
      <c r="BE166" t="s">
        <v>134</v>
      </c>
      <c r="BF166">
        <v>20.875900000000001</v>
      </c>
      <c r="BG166">
        <v>31.6722</v>
      </c>
      <c r="BH166">
        <v>34.744799999999998</v>
      </c>
      <c r="BI166">
        <v>14.7585</v>
      </c>
      <c r="BJ166">
        <v>14.7585</v>
      </c>
      <c r="BK166" t="s">
        <v>134</v>
      </c>
      <c r="BL166" t="s">
        <v>134</v>
      </c>
      <c r="BM166" t="s">
        <v>134</v>
      </c>
      <c r="BN166" t="s">
        <v>134</v>
      </c>
      <c r="BO166" t="s">
        <v>134</v>
      </c>
      <c r="BP166" t="s">
        <v>134</v>
      </c>
      <c r="BQ166" t="s">
        <v>134</v>
      </c>
      <c r="BR166" t="s">
        <v>134</v>
      </c>
      <c r="BS166" t="s">
        <v>134</v>
      </c>
      <c r="BT166" t="s">
        <v>134</v>
      </c>
      <c r="BU166" t="s">
        <v>134</v>
      </c>
      <c r="BV166" t="s">
        <v>134</v>
      </c>
      <c r="BW166" t="s">
        <v>134</v>
      </c>
      <c r="BX166" t="s">
        <v>134</v>
      </c>
      <c r="BY166" t="s">
        <v>134</v>
      </c>
      <c r="BZ166" t="s">
        <v>134</v>
      </c>
      <c r="CA166" t="s">
        <v>134</v>
      </c>
      <c r="CB166" t="s">
        <v>134</v>
      </c>
      <c r="CC166" t="s">
        <v>134</v>
      </c>
      <c r="CD166" t="s">
        <v>134</v>
      </c>
      <c r="CE166" t="s">
        <v>134</v>
      </c>
      <c r="CF166">
        <v>105.2011</v>
      </c>
      <c r="CG166" t="s">
        <v>134</v>
      </c>
      <c r="CH166" t="s">
        <v>134</v>
      </c>
      <c r="CI166" t="s">
        <v>134</v>
      </c>
      <c r="CJ166" t="s">
        <v>134</v>
      </c>
      <c r="CK166" t="s">
        <v>134</v>
      </c>
      <c r="CL166" t="s">
        <v>134</v>
      </c>
      <c r="CM166" t="s">
        <v>134</v>
      </c>
      <c r="CN166" t="s">
        <v>134</v>
      </c>
      <c r="CO166" t="s">
        <v>134</v>
      </c>
      <c r="CP166">
        <v>8005.8</v>
      </c>
      <c r="CQ166" t="s">
        <v>134</v>
      </c>
      <c r="CR166">
        <v>7280.8</v>
      </c>
      <c r="CS166" t="s">
        <v>134</v>
      </c>
      <c r="CT166" t="s">
        <v>134</v>
      </c>
      <c r="CU166" t="s">
        <v>134</v>
      </c>
      <c r="CV166" t="s">
        <v>134</v>
      </c>
      <c r="CW166" t="s">
        <v>134</v>
      </c>
      <c r="CX166" t="s">
        <v>134</v>
      </c>
      <c r="CY166" t="s">
        <v>134</v>
      </c>
      <c r="CZ166" t="s">
        <v>134</v>
      </c>
      <c r="DA166" t="s">
        <v>134</v>
      </c>
      <c r="DB166" t="s">
        <v>134</v>
      </c>
      <c r="DC166" t="s">
        <v>134</v>
      </c>
      <c r="DD166" t="s">
        <v>134</v>
      </c>
      <c r="DE166" t="s">
        <v>134</v>
      </c>
      <c r="DF166" t="s">
        <v>134</v>
      </c>
      <c r="DG166" t="s">
        <v>134</v>
      </c>
      <c r="DH166" t="s">
        <v>134</v>
      </c>
      <c r="DI166" t="s">
        <v>134</v>
      </c>
    </row>
    <row r="167" spans="4:113" x14ac:dyDescent="0.3">
      <c r="E167" t="s">
        <v>81</v>
      </c>
      <c r="F167">
        <v>33.538400000000003</v>
      </c>
      <c r="G167">
        <v>18.209800000000001</v>
      </c>
      <c r="H167">
        <v>31.195499999999999</v>
      </c>
      <c r="I167">
        <v>27.743600000000001</v>
      </c>
      <c r="J167">
        <v>17.955100000000002</v>
      </c>
      <c r="K167">
        <v>16.034500000000001</v>
      </c>
      <c r="L167">
        <v>31.809100000000001</v>
      </c>
      <c r="M167">
        <v>16.5244</v>
      </c>
      <c r="N167">
        <v>10.7746</v>
      </c>
      <c r="O167">
        <v>10.4293</v>
      </c>
      <c r="P167">
        <v>10.4293</v>
      </c>
      <c r="Q167">
        <v>34.796100000000003</v>
      </c>
      <c r="R167" t="s">
        <v>134</v>
      </c>
      <c r="S167" t="s">
        <v>134</v>
      </c>
      <c r="T167">
        <v>12.286300000000001</v>
      </c>
      <c r="U167">
        <v>25.842700000000001</v>
      </c>
      <c r="V167">
        <v>27.724499999999999</v>
      </c>
      <c r="W167">
        <v>19.878599999999999</v>
      </c>
      <c r="X167">
        <v>19.878599999999999</v>
      </c>
      <c r="Y167" t="s">
        <v>134</v>
      </c>
      <c r="Z167">
        <v>5.5994999999999999</v>
      </c>
      <c r="AA167">
        <v>-8.6127000000000002</v>
      </c>
      <c r="AB167">
        <v>28.1249</v>
      </c>
      <c r="AC167">
        <v>13.7821</v>
      </c>
      <c r="AD167">
        <v>-8.9689999999999994</v>
      </c>
      <c r="AE167">
        <v>12.3483</v>
      </c>
      <c r="AF167">
        <v>2.6699000000000002</v>
      </c>
      <c r="AG167">
        <v>-26.252600000000001</v>
      </c>
      <c r="AH167">
        <v>-22.144100000000002</v>
      </c>
      <c r="AI167">
        <v>17.847100000000001</v>
      </c>
      <c r="AJ167">
        <v>14.763999999999999</v>
      </c>
      <c r="AK167">
        <v>18.195399999999999</v>
      </c>
      <c r="AL167" t="s">
        <v>134</v>
      </c>
      <c r="AM167">
        <v>14.8582</v>
      </c>
      <c r="AN167">
        <v>19.084499999999998</v>
      </c>
      <c r="AO167">
        <v>18.8796</v>
      </c>
      <c r="AP167">
        <v>17.050999999999998</v>
      </c>
      <c r="AQ167">
        <v>17.050999999999998</v>
      </c>
      <c r="AR167" t="s">
        <v>134</v>
      </c>
      <c r="AS167">
        <v>16.846299999999999</v>
      </c>
      <c r="AT167">
        <v>9.5951000000000004</v>
      </c>
      <c r="AU167">
        <v>19.7577</v>
      </c>
      <c r="AV167">
        <v>17.0806</v>
      </c>
      <c r="AW167">
        <v>16.834099999999999</v>
      </c>
      <c r="AX167">
        <v>15.1424</v>
      </c>
      <c r="AY167">
        <v>7.8956</v>
      </c>
      <c r="AZ167">
        <v>7.4103000000000003</v>
      </c>
      <c r="BA167">
        <v>6.8803000000000001</v>
      </c>
      <c r="BB167">
        <v>20.758700000000001</v>
      </c>
      <c r="BC167">
        <v>19.723300000000002</v>
      </c>
      <c r="BD167">
        <v>20.707000000000001</v>
      </c>
      <c r="BE167" t="s">
        <v>134</v>
      </c>
      <c r="BF167">
        <v>3.5632999999999999</v>
      </c>
      <c r="BG167">
        <v>-10.412599999999999</v>
      </c>
      <c r="BH167">
        <v>-12.2403</v>
      </c>
      <c r="BI167">
        <v>-12.8558</v>
      </c>
      <c r="BJ167">
        <v>-12.855499999999999</v>
      </c>
      <c r="BK167" t="s">
        <v>134</v>
      </c>
      <c r="BL167" t="s">
        <v>134</v>
      </c>
      <c r="BM167" t="s">
        <v>134</v>
      </c>
      <c r="BN167" t="s">
        <v>134</v>
      </c>
      <c r="BO167" t="s">
        <v>134</v>
      </c>
      <c r="BP167" t="s">
        <v>134</v>
      </c>
      <c r="BQ167" t="s">
        <v>134</v>
      </c>
      <c r="BR167" t="s">
        <v>134</v>
      </c>
      <c r="BS167" t="s">
        <v>134</v>
      </c>
      <c r="BT167" t="s">
        <v>134</v>
      </c>
      <c r="BU167" t="s">
        <v>134</v>
      </c>
      <c r="BV167" t="s">
        <v>134</v>
      </c>
      <c r="BW167" t="s">
        <v>134</v>
      </c>
      <c r="BX167" t="s">
        <v>134</v>
      </c>
      <c r="BY167">
        <v>3255.7</v>
      </c>
      <c r="BZ167">
        <v>2506.6</v>
      </c>
      <c r="CA167">
        <v>749.1</v>
      </c>
      <c r="CB167">
        <v>0.1173</v>
      </c>
      <c r="CC167">
        <v>-0.61140000000000005</v>
      </c>
      <c r="CD167">
        <v>0.13039999999999999</v>
      </c>
      <c r="CE167">
        <v>-0.67959999999999998</v>
      </c>
      <c r="CF167">
        <v>47.643900000000002</v>
      </c>
      <c r="CG167">
        <v>55.2605</v>
      </c>
      <c r="CH167">
        <v>1.2698</v>
      </c>
      <c r="CI167">
        <v>1.2034</v>
      </c>
      <c r="CJ167">
        <v>0.73850000000000005</v>
      </c>
      <c r="CK167">
        <v>5.5186000000000002</v>
      </c>
      <c r="CL167">
        <v>5.23</v>
      </c>
      <c r="CM167">
        <v>3.2096999999999998</v>
      </c>
      <c r="CN167">
        <v>-28.766999999999999</v>
      </c>
      <c r="CO167">
        <v>-40.384500000000003</v>
      </c>
      <c r="CP167">
        <v>7037</v>
      </c>
      <c r="CQ167" t="s">
        <v>134</v>
      </c>
      <c r="CR167">
        <v>6284.3</v>
      </c>
      <c r="CS167">
        <v>0.51859999999999995</v>
      </c>
      <c r="CT167">
        <v>1.5356000000000001</v>
      </c>
      <c r="CU167">
        <v>0.84570000000000001</v>
      </c>
      <c r="CV167">
        <v>16.4892</v>
      </c>
      <c r="CW167">
        <v>11.8422</v>
      </c>
      <c r="CX167">
        <v>30.906300000000002</v>
      </c>
      <c r="CY167">
        <v>3.6554000000000002</v>
      </c>
      <c r="CZ167">
        <v>100.125</v>
      </c>
      <c r="DA167">
        <v>4.91</v>
      </c>
      <c r="DB167">
        <v>74.542299999999997</v>
      </c>
      <c r="DC167">
        <v>56.488999999999997</v>
      </c>
      <c r="DD167">
        <v>131.03129999999999</v>
      </c>
      <c r="DE167">
        <v>20640</v>
      </c>
      <c r="DF167">
        <v>6564.4</v>
      </c>
      <c r="DG167">
        <v>734.5</v>
      </c>
      <c r="DH167">
        <v>10588.6</v>
      </c>
      <c r="DI167">
        <v>2752.5</v>
      </c>
    </row>
    <row r="168" spans="4:113" x14ac:dyDescent="0.3">
      <c r="D168" t="s">
        <v>84</v>
      </c>
      <c r="E168" t="s">
        <v>77</v>
      </c>
      <c r="F168">
        <v>27.456700000000001</v>
      </c>
      <c r="G168">
        <v>16.878699999999998</v>
      </c>
      <c r="H168">
        <v>25.813500000000001</v>
      </c>
      <c r="I168">
        <v>22.113</v>
      </c>
      <c r="J168">
        <v>19.7606</v>
      </c>
      <c r="K168">
        <v>17.544499999999999</v>
      </c>
      <c r="L168">
        <v>18.5548</v>
      </c>
      <c r="M168">
        <v>19.061900000000001</v>
      </c>
      <c r="N168">
        <v>13.186500000000001</v>
      </c>
      <c r="O168">
        <v>12.684100000000001</v>
      </c>
      <c r="P168">
        <v>12.684100000000001</v>
      </c>
      <c r="Q168">
        <v>32.525100000000002</v>
      </c>
      <c r="R168">
        <v>50.941699999999997</v>
      </c>
      <c r="S168">
        <v>13.469799999999999</v>
      </c>
      <c r="T168">
        <v>7.1380999999999997</v>
      </c>
      <c r="U168">
        <v>9.1104000000000003</v>
      </c>
      <c r="V168">
        <v>7.5803000000000003</v>
      </c>
      <c r="W168">
        <v>11.131399999999999</v>
      </c>
      <c r="X168">
        <v>11.16</v>
      </c>
      <c r="Y168">
        <v>10.666700000000001</v>
      </c>
      <c r="Z168">
        <v>21.886700000000001</v>
      </c>
      <c r="AA168">
        <v>31.462700000000002</v>
      </c>
      <c r="AB168">
        <v>1.6268</v>
      </c>
      <c r="AC168">
        <v>17.601800000000001</v>
      </c>
      <c r="AD168">
        <v>32.759099999999997</v>
      </c>
      <c r="AE168">
        <v>19.136900000000001</v>
      </c>
      <c r="AF168">
        <v>22.859000000000002</v>
      </c>
      <c r="AG168">
        <v>107.1611</v>
      </c>
      <c r="AH168">
        <v>73.324299999999994</v>
      </c>
      <c r="AI168">
        <v>15.4771</v>
      </c>
      <c r="AJ168">
        <v>18.063099999999999</v>
      </c>
      <c r="AK168">
        <v>16.5136</v>
      </c>
      <c r="AL168">
        <v>-30.129200000000001</v>
      </c>
      <c r="AM168">
        <v>9.7598000000000003</v>
      </c>
      <c r="AN168">
        <v>14.453799999999999</v>
      </c>
      <c r="AO168">
        <v>13.611499999999999</v>
      </c>
      <c r="AP168">
        <v>14.4244</v>
      </c>
      <c r="AQ168">
        <v>14.4254</v>
      </c>
      <c r="AR168">
        <v>15.7187</v>
      </c>
      <c r="AS168">
        <v>13.1128</v>
      </c>
      <c r="AT168">
        <v>10.44</v>
      </c>
      <c r="AU168">
        <v>11.6684</v>
      </c>
      <c r="AV168">
        <v>16.798100000000002</v>
      </c>
      <c r="AW168">
        <v>13.9862</v>
      </c>
      <c r="AX168">
        <v>27.353100000000001</v>
      </c>
      <c r="AY168">
        <v>8.7790999999999997</v>
      </c>
      <c r="AZ168">
        <v>12.6858</v>
      </c>
      <c r="BA168">
        <v>10.436199999999999</v>
      </c>
      <c r="BB168">
        <v>22.5579</v>
      </c>
      <c r="BC168">
        <v>21.487400000000001</v>
      </c>
      <c r="BD168">
        <v>22.565999999999999</v>
      </c>
      <c r="BE168">
        <v>17.707100000000001</v>
      </c>
      <c r="BF168">
        <v>7.1380999999999997</v>
      </c>
      <c r="BG168">
        <v>9.1104000000000003</v>
      </c>
      <c r="BH168">
        <v>7.5803000000000003</v>
      </c>
      <c r="BI168">
        <v>11.131399999999999</v>
      </c>
      <c r="BJ168">
        <v>11.16</v>
      </c>
      <c r="BK168">
        <v>10.666700000000001</v>
      </c>
      <c r="BL168">
        <v>21.886700000000001</v>
      </c>
      <c r="BM168">
        <v>31.462700000000002</v>
      </c>
      <c r="BN168">
        <v>1.6268</v>
      </c>
      <c r="BO168">
        <v>17.601800000000001</v>
      </c>
      <c r="BP168">
        <v>32.759099999999997</v>
      </c>
      <c r="BQ168">
        <v>19.136900000000001</v>
      </c>
      <c r="BR168">
        <v>22.859000000000002</v>
      </c>
      <c r="BS168">
        <v>107.1611</v>
      </c>
      <c r="BT168">
        <v>73.324299999999994</v>
      </c>
      <c r="BU168">
        <v>15.4771</v>
      </c>
      <c r="BV168">
        <v>18.063099999999999</v>
      </c>
      <c r="BW168">
        <v>16.5136</v>
      </c>
      <c r="BX168">
        <v>-30.129200000000001</v>
      </c>
      <c r="BY168">
        <v>5603.4</v>
      </c>
      <c r="BZ168">
        <v>5192.7</v>
      </c>
      <c r="CA168">
        <v>410.7</v>
      </c>
      <c r="CB168">
        <v>0.1855</v>
      </c>
      <c r="CC168">
        <v>-0.52700000000000002</v>
      </c>
      <c r="CD168">
        <v>0.2089</v>
      </c>
      <c r="CE168">
        <v>-0.59350000000000003</v>
      </c>
      <c r="CF168">
        <v>106.5009</v>
      </c>
      <c r="CG168">
        <v>61.211300000000001</v>
      </c>
      <c r="CH168">
        <v>0.51480000000000004</v>
      </c>
      <c r="CI168">
        <v>0.48099999999999998</v>
      </c>
      <c r="CJ168">
        <v>0.33069999999999999</v>
      </c>
      <c r="CK168">
        <v>7.0237999999999996</v>
      </c>
      <c r="CL168">
        <v>6.5628000000000002</v>
      </c>
      <c r="CM168">
        <v>4.5117000000000003</v>
      </c>
      <c r="CN168">
        <v>-19.958100000000002</v>
      </c>
      <c r="CO168">
        <v>-24.9346</v>
      </c>
      <c r="CP168">
        <v>30214.3</v>
      </c>
      <c r="CQ168">
        <v>23373</v>
      </c>
      <c r="CR168">
        <v>26825.9</v>
      </c>
      <c r="CS168">
        <v>0.55410000000000004</v>
      </c>
      <c r="CT168">
        <v>1.7930000000000001</v>
      </c>
      <c r="CU168">
        <v>0.92649999999999999</v>
      </c>
      <c r="CV168">
        <v>16.484300000000001</v>
      </c>
      <c r="CW168">
        <v>11.612299999999999</v>
      </c>
      <c r="CX168">
        <v>31.432099999999998</v>
      </c>
      <c r="CY168">
        <v>3.8752</v>
      </c>
      <c r="CZ168">
        <v>94.189099999999996</v>
      </c>
      <c r="DA168">
        <v>5.4992000000000001</v>
      </c>
      <c r="DB168">
        <v>66.372699999999995</v>
      </c>
      <c r="DC168">
        <v>59.248399999999997</v>
      </c>
      <c r="DD168">
        <v>125.6212</v>
      </c>
      <c r="DE168">
        <v>26269.4</v>
      </c>
      <c r="DF168">
        <v>7059.6</v>
      </c>
      <c r="DG168">
        <v>859.2</v>
      </c>
      <c r="DH168">
        <v>14990.8</v>
      </c>
      <c r="DI168">
        <v>3359.8</v>
      </c>
    </row>
    <row r="169" spans="4:113" x14ac:dyDescent="0.3">
      <c r="E169" t="s">
        <v>78</v>
      </c>
      <c r="F169" t="s">
        <v>134</v>
      </c>
      <c r="G169" t="s">
        <v>134</v>
      </c>
      <c r="H169" t="s">
        <v>134</v>
      </c>
      <c r="I169" t="s">
        <v>134</v>
      </c>
      <c r="J169">
        <v>22.847200000000001</v>
      </c>
      <c r="K169">
        <v>20.466200000000001</v>
      </c>
      <c r="L169">
        <v>41.1295</v>
      </c>
      <c r="M169">
        <v>22.292000000000002</v>
      </c>
      <c r="N169">
        <v>15.391</v>
      </c>
      <c r="O169">
        <v>14.9032</v>
      </c>
      <c r="P169">
        <v>14.9032</v>
      </c>
      <c r="Q169">
        <v>32.525700000000001</v>
      </c>
      <c r="R169" t="s">
        <v>134</v>
      </c>
      <c r="S169" t="s">
        <v>134</v>
      </c>
      <c r="T169">
        <v>9.0465</v>
      </c>
      <c r="U169">
        <v>20.873899999999999</v>
      </c>
      <c r="V169">
        <v>20.0075</v>
      </c>
      <c r="W169">
        <v>17.927800000000001</v>
      </c>
      <c r="X169">
        <v>17.927700000000002</v>
      </c>
      <c r="Y169" t="s">
        <v>134</v>
      </c>
      <c r="Z169" t="s">
        <v>134</v>
      </c>
      <c r="AA169" t="s">
        <v>134</v>
      </c>
      <c r="AB169" t="s">
        <v>134</v>
      </c>
      <c r="AC169" t="s">
        <v>134</v>
      </c>
      <c r="AD169" t="s">
        <v>134</v>
      </c>
      <c r="AE169" t="s">
        <v>134</v>
      </c>
      <c r="AF169" t="s">
        <v>134</v>
      </c>
      <c r="AG169" t="s">
        <v>134</v>
      </c>
      <c r="AH169" t="s">
        <v>134</v>
      </c>
      <c r="AI169" t="s">
        <v>134</v>
      </c>
      <c r="AJ169" t="s">
        <v>134</v>
      </c>
      <c r="AK169" t="s">
        <v>134</v>
      </c>
      <c r="AL169" t="s">
        <v>134</v>
      </c>
      <c r="AM169">
        <v>9.7268000000000008</v>
      </c>
      <c r="AN169">
        <v>15.6166</v>
      </c>
      <c r="AO169">
        <v>14.8352</v>
      </c>
      <c r="AP169">
        <v>15.204700000000001</v>
      </c>
      <c r="AQ169">
        <v>15.204700000000001</v>
      </c>
      <c r="AR169" t="s">
        <v>134</v>
      </c>
      <c r="AS169" t="s">
        <v>134</v>
      </c>
      <c r="AT169" t="s">
        <v>134</v>
      </c>
      <c r="AU169" t="s">
        <v>134</v>
      </c>
      <c r="AV169" t="s">
        <v>134</v>
      </c>
      <c r="AW169" t="s">
        <v>134</v>
      </c>
      <c r="AX169" t="s">
        <v>134</v>
      </c>
      <c r="AY169" t="s">
        <v>134</v>
      </c>
      <c r="AZ169" t="s">
        <v>134</v>
      </c>
      <c r="BA169" t="s">
        <v>134</v>
      </c>
      <c r="BB169" t="s">
        <v>134</v>
      </c>
      <c r="BC169" t="s">
        <v>134</v>
      </c>
      <c r="BD169" t="s">
        <v>134</v>
      </c>
      <c r="BE169" t="s">
        <v>134</v>
      </c>
      <c r="BF169">
        <v>-2.0874000000000001</v>
      </c>
      <c r="BG169">
        <v>17.674499999999998</v>
      </c>
      <c r="BH169">
        <v>17.585799999999999</v>
      </c>
      <c r="BI169">
        <v>27.788399999999999</v>
      </c>
      <c r="BJ169">
        <v>27.645</v>
      </c>
      <c r="BK169" t="s">
        <v>134</v>
      </c>
      <c r="BL169" t="s">
        <v>134</v>
      </c>
      <c r="BM169" t="s">
        <v>134</v>
      </c>
      <c r="BN169" t="s">
        <v>134</v>
      </c>
      <c r="BO169" t="s">
        <v>134</v>
      </c>
      <c r="BP169" t="s">
        <v>134</v>
      </c>
      <c r="BQ169" t="s">
        <v>134</v>
      </c>
      <c r="BR169" t="s">
        <v>134</v>
      </c>
      <c r="BS169" t="s">
        <v>134</v>
      </c>
      <c r="BT169" t="s">
        <v>134</v>
      </c>
      <c r="BU169" t="s">
        <v>134</v>
      </c>
      <c r="BV169" t="s">
        <v>134</v>
      </c>
      <c r="BW169" t="s">
        <v>134</v>
      </c>
      <c r="BX169" t="s">
        <v>134</v>
      </c>
      <c r="BY169" t="s">
        <v>134</v>
      </c>
      <c r="BZ169" t="s">
        <v>134</v>
      </c>
      <c r="CA169" t="s">
        <v>134</v>
      </c>
      <c r="CB169" t="s">
        <v>134</v>
      </c>
      <c r="CC169" t="s">
        <v>134</v>
      </c>
      <c r="CD169" t="s">
        <v>134</v>
      </c>
      <c r="CE169" t="s">
        <v>134</v>
      </c>
      <c r="CF169">
        <v>128.9701</v>
      </c>
      <c r="CG169" t="s">
        <v>134</v>
      </c>
      <c r="CH169" t="s">
        <v>134</v>
      </c>
      <c r="CI169" t="s">
        <v>134</v>
      </c>
      <c r="CJ169" t="s">
        <v>134</v>
      </c>
      <c r="CK169" t="s">
        <v>134</v>
      </c>
      <c r="CL169" t="s">
        <v>134</v>
      </c>
      <c r="CM169" t="s">
        <v>134</v>
      </c>
      <c r="CN169" t="s">
        <v>134</v>
      </c>
      <c r="CO169" t="s">
        <v>134</v>
      </c>
      <c r="CP169">
        <v>8202.5</v>
      </c>
      <c r="CQ169" t="s">
        <v>134</v>
      </c>
      <c r="CR169">
        <v>7347.7</v>
      </c>
      <c r="CS169" t="s">
        <v>134</v>
      </c>
      <c r="CT169" t="s">
        <v>134</v>
      </c>
      <c r="CU169" t="s">
        <v>134</v>
      </c>
      <c r="CV169" t="s">
        <v>134</v>
      </c>
      <c r="CW169" t="s">
        <v>134</v>
      </c>
      <c r="CX169" t="s">
        <v>134</v>
      </c>
      <c r="CY169" t="s">
        <v>134</v>
      </c>
      <c r="CZ169" t="s">
        <v>134</v>
      </c>
      <c r="DA169" t="s">
        <v>134</v>
      </c>
      <c r="DB169" t="s">
        <v>134</v>
      </c>
      <c r="DC169" t="s">
        <v>134</v>
      </c>
      <c r="DD169" t="s">
        <v>134</v>
      </c>
      <c r="DE169" t="s">
        <v>134</v>
      </c>
      <c r="DF169" t="s">
        <v>134</v>
      </c>
      <c r="DG169" t="s">
        <v>134</v>
      </c>
      <c r="DH169" t="s">
        <v>134</v>
      </c>
      <c r="DI169" t="s">
        <v>134</v>
      </c>
    </row>
    <row r="170" spans="4:113" x14ac:dyDescent="0.3">
      <c r="E170" t="s">
        <v>79</v>
      </c>
      <c r="F170">
        <v>30.702200000000001</v>
      </c>
      <c r="G170">
        <v>17.757300000000001</v>
      </c>
      <c r="H170" t="s">
        <v>134</v>
      </c>
      <c r="I170">
        <v>25.478300000000001</v>
      </c>
      <c r="J170">
        <v>19.163499999999999</v>
      </c>
      <c r="K170">
        <v>16.8963</v>
      </c>
      <c r="L170">
        <v>27.069500000000001</v>
      </c>
      <c r="M170">
        <v>18.860900000000001</v>
      </c>
      <c r="N170">
        <v>13.2982</v>
      </c>
      <c r="O170">
        <v>12.792300000000001</v>
      </c>
      <c r="P170">
        <v>12.792300000000001</v>
      </c>
      <c r="Q170">
        <v>31.4556</v>
      </c>
      <c r="R170" t="s">
        <v>134</v>
      </c>
      <c r="S170" t="s">
        <v>134</v>
      </c>
      <c r="T170">
        <v>9.6089000000000002</v>
      </c>
      <c r="U170">
        <v>17.264500000000002</v>
      </c>
      <c r="V170">
        <v>16.339700000000001</v>
      </c>
      <c r="W170">
        <v>17.894500000000001</v>
      </c>
      <c r="X170">
        <v>17.894500000000001</v>
      </c>
      <c r="Y170" t="s">
        <v>134</v>
      </c>
      <c r="Z170">
        <v>6.7739000000000003</v>
      </c>
      <c r="AA170">
        <v>6.7694999999999999</v>
      </c>
      <c r="AB170" t="s">
        <v>134</v>
      </c>
      <c r="AC170">
        <v>15.394399999999999</v>
      </c>
      <c r="AD170">
        <v>8.5957000000000008</v>
      </c>
      <c r="AE170">
        <v>42.208599999999997</v>
      </c>
      <c r="AF170">
        <v>4.8209</v>
      </c>
      <c r="AG170">
        <v>-38.073999999999998</v>
      </c>
      <c r="AH170">
        <v>-37.280299999999997</v>
      </c>
      <c r="AI170">
        <v>31.201000000000001</v>
      </c>
      <c r="AJ170">
        <v>25.696100000000001</v>
      </c>
      <c r="AK170">
        <v>30.7256</v>
      </c>
      <c r="AL170" t="s">
        <v>134</v>
      </c>
      <c r="AM170">
        <v>10.6341</v>
      </c>
      <c r="AN170">
        <v>16.7546</v>
      </c>
      <c r="AO170">
        <v>16.049600000000002</v>
      </c>
      <c r="AP170">
        <v>17.921600000000002</v>
      </c>
      <c r="AQ170">
        <v>17.921600000000002</v>
      </c>
      <c r="AR170" t="s">
        <v>134</v>
      </c>
      <c r="AS170">
        <v>13.5974</v>
      </c>
      <c r="AT170">
        <v>8.2243999999999993</v>
      </c>
      <c r="AU170" t="s">
        <v>134</v>
      </c>
      <c r="AV170">
        <v>17.001899999999999</v>
      </c>
      <c r="AW170">
        <v>-3.3117999999999999</v>
      </c>
      <c r="AX170">
        <v>27.197299999999998</v>
      </c>
      <c r="AY170" t="s">
        <v>134</v>
      </c>
      <c r="AZ170" t="s">
        <v>134</v>
      </c>
      <c r="BA170">
        <v>6.5195999999999996</v>
      </c>
      <c r="BB170">
        <v>22.3185</v>
      </c>
      <c r="BC170">
        <v>21.363199999999999</v>
      </c>
      <c r="BD170">
        <v>22.165199999999999</v>
      </c>
      <c r="BE170" t="s">
        <v>134</v>
      </c>
      <c r="BF170">
        <v>3.7214999999999998</v>
      </c>
      <c r="BG170">
        <v>-12.642099999999999</v>
      </c>
      <c r="BH170">
        <v>-14.0899</v>
      </c>
      <c r="BI170">
        <v>-11.047599999999999</v>
      </c>
      <c r="BJ170">
        <v>-11.047599999999999</v>
      </c>
      <c r="BK170" t="s">
        <v>134</v>
      </c>
      <c r="BL170" t="s">
        <v>134</v>
      </c>
      <c r="BM170" t="s">
        <v>134</v>
      </c>
      <c r="BN170" t="s">
        <v>134</v>
      </c>
      <c r="BO170" t="s">
        <v>134</v>
      </c>
      <c r="BP170" t="s">
        <v>134</v>
      </c>
      <c r="BQ170" t="s">
        <v>134</v>
      </c>
      <c r="BR170" t="s">
        <v>134</v>
      </c>
      <c r="BS170" t="s">
        <v>134</v>
      </c>
      <c r="BT170" t="s">
        <v>134</v>
      </c>
      <c r="BU170" t="s">
        <v>134</v>
      </c>
      <c r="BV170" t="s">
        <v>134</v>
      </c>
      <c r="BW170" t="s">
        <v>134</v>
      </c>
      <c r="BX170" t="s">
        <v>134</v>
      </c>
      <c r="BY170">
        <v>3097.6</v>
      </c>
      <c r="BZ170">
        <v>2515</v>
      </c>
      <c r="CA170">
        <v>582.6</v>
      </c>
      <c r="CB170">
        <v>0.10290000000000001</v>
      </c>
      <c r="CC170">
        <v>-0.53590000000000004</v>
      </c>
      <c r="CD170">
        <v>0.1147</v>
      </c>
      <c r="CE170">
        <v>-0.59740000000000004</v>
      </c>
      <c r="CF170">
        <v>118.04300000000001</v>
      </c>
      <c r="CG170">
        <v>61.1676</v>
      </c>
      <c r="CH170">
        <v>0.78590000000000004</v>
      </c>
      <c r="CI170">
        <v>0.75439999999999996</v>
      </c>
      <c r="CJ170">
        <v>0.50849999999999995</v>
      </c>
      <c r="CK170">
        <v>4.1787000000000001</v>
      </c>
      <c r="CL170">
        <v>4.0110999999999999</v>
      </c>
      <c r="CM170">
        <v>2.7037</v>
      </c>
      <c r="CN170">
        <v>-21.7714</v>
      </c>
      <c r="CO170">
        <v>-27.830500000000001</v>
      </c>
      <c r="CP170">
        <v>7129.8</v>
      </c>
      <c r="CQ170" t="s">
        <v>134</v>
      </c>
      <c r="CR170">
        <v>6286.3</v>
      </c>
      <c r="CS170">
        <v>0.54800000000000004</v>
      </c>
      <c r="CT170">
        <v>1.8376000000000001</v>
      </c>
      <c r="CU170">
        <v>0.95040000000000002</v>
      </c>
      <c r="CV170">
        <v>19.873200000000001</v>
      </c>
      <c r="CW170">
        <v>10.789899999999999</v>
      </c>
      <c r="CX170">
        <v>33.920699999999997</v>
      </c>
      <c r="CY170">
        <v>3.3866999999999998</v>
      </c>
      <c r="CZ170">
        <v>108.0711</v>
      </c>
      <c r="DA170">
        <v>4.6370000000000005</v>
      </c>
      <c r="DB170">
        <v>78.930499999999995</v>
      </c>
      <c r="DC170">
        <v>63.061300000000003</v>
      </c>
      <c r="DD170">
        <v>141.99180000000001</v>
      </c>
      <c r="DE170">
        <v>25457.8</v>
      </c>
      <c r="DF170" t="s">
        <v>134</v>
      </c>
      <c r="DG170" t="s">
        <v>134</v>
      </c>
      <c r="DH170" t="s">
        <v>134</v>
      </c>
      <c r="DI170" t="s">
        <v>134</v>
      </c>
    </row>
    <row r="171" spans="4:113" x14ac:dyDescent="0.3">
      <c r="E171" t="s">
        <v>80</v>
      </c>
      <c r="F171" t="s">
        <v>134</v>
      </c>
      <c r="G171" t="s">
        <v>134</v>
      </c>
      <c r="H171" t="s">
        <v>134</v>
      </c>
      <c r="I171" t="s">
        <v>134</v>
      </c>
      <c r="J171">
        <v>19.9636</v>
      </c>
      <c r="K171">
        <v>17.764399999999998</v>
      </c>
      <c r="L171" t="s">
        <v>134</v>
      </c>
      <c r="M171">
        <v>18.5945</v>
      </c>
      <c r="N171">
        <v>12.582800000000001</v>
      </c>
      <c r="O171">
        <v>11.9887</v>
      </c>
      <c r="P171">
        <v>11.9887</v>
      </c>
      <c r="Q171">
        <v>34.087000000000003</v>
      </c>
      <c r="R171" t="s">
        <v>134</v>
      </c>
      <c r="S171" t="s">
        <v>134</v>
      </c>
      <c r="T171">
        <v>2.7574000000000001</v>
      </c>
      <c r="U171">
        <v>-1.1661999999999999</v>
      </c>
      <c r="V171">
        <v>-3.5289000000000001</v>
      </c>
      <c r="W171">
        <v>-0.60550000000000004</v>
      </c>
      <c r="X171">
        <v>-0.61350000000000005</v>
      </c>
      <c r="Y171" t="s">
        <v>134</v>
      </c>
      <c r="Z171" t="s">
        <v>134</v>
      </c>
      <c r="AA171" t="s">
        <v>134</v>
      </c>
      <c r="AB171" t="s">
        <v>134</v>
      </c>
      <c r="AC171" t="s">
        <v>134</v>
      </c>
      <c r="AD171" t="s">
        <v>134</v>
      </c>
      <c r="AE171" t="s">
        <v>134</v>
      </c>
      <c r="AF171" t="s">
        <v>134</v>
      </c>
      <c r="AG171" t="s">
        <v>134</v>
      </c>
      <c r="AH171" t="s">
        <v>134</v>
      </c>
      <c r="AI171" t="s">
        <v>134</v>
      </c>
      <c r="AJ171" t="s">
        <v>134</v>
      </c>
      <c r="AK171" t="s">
        <v>134</v>
      </c>
      <c r="AL171" t="s">
        <v>134</v>
      </c>
      <c r="AM171">
        <v>8.7307000000000006</v>
      </c>
      <c r="AN171">
        <v>13.890700000000001</v>
      </c>
      <c r="AO171">
        <v>13.028600000000001</v>
      </c>
      <c r="AP171">
        <v>12.661899999999999</v>
      </c>
      <c r="AQ171">
        <v>12.66</v>
      </c>
      <c r="AR171" t="s">
        <v>134</v>
      </c>
      <c r="AS171" t="s">
        <v>134</v>
      </c>
      <c r="AT171" t="s">
        <v>134</v>
      </c>
      <c r="AU171" t="s">
        <v>134</v>
      </c>
      <c r="AV171" t="s">
        <v>134</v>
      </c>
      <c r="AW171" t="s">
        <v>134</v>
      </c>
      <c r="AX171" t="s">
        <v>134</v>
      </c>
      <c r="AY171" t="s">
        <v>134</v>
      </c>
      <c r="AZ171" t="s">
        <v>134</v>
      </c>
      <c r="BA171" t="s">
        <v>134</v>
      </c>
      <c r="BB171" t="s">
        <v>134</v>
      </c>
      <c r="BC171" t="s">
        <v>134</v>
      </c>
      <c r="BD171" t="s">
        <v>134</v>
      </c>
      <c r="BE171" t="s">
        <v>134</v>
      </c>
      <c r="BF171">
        <v>4.8324999999999996</v>
      </c>
      <c r="BG171">
        <v>-1.0616000000000001</v>
      </c>
      <c r="BH171">
        <v>-1.5070000000000001</v>
      </c>
      <c r="BI171">
        <v>-2.0444</v>
      </c>
      <c r="BJ171">
        <v>-2.0160999999999998</v>
      </c>
      <c r="BK171" t="s">
        <v>134</v>
      </c>
      <c r="BL171" t="s">
        <v>134</v>
      </c>
      <c r="BM171" t="s">
        <v>134</v>
      </c>
      <c r="BN171" t="s">
        <v>134</v>
      </c>
      <c r="BO171" t="s">
        <v>134</v>
      </c>
      <c r="BP171" t="s">
        <v>134</v>
      </c>
      <c r="BQ171" t="s">
        <v>134</v>
      </c>
      <c r="BR171" t="s">
        <v>134</v>
      </c>
      <c r="BS171" t="s">
        <v>134</v>
      </c>
      <c r="BT171" t="s">
        <v>134</v>
      </c>
      <c r="BU171" t="s">
        <v>134</v>
      </c>
      <c r="BV171" t="s">
        <v>134</v>
      </c>
      <c r="BW171" t="s">
        <v>134</v>
      </c>
      <c r="BX171" t="s">
        <v>134</v>
      </c>
      <c r="BY171" t="s">
        <v>134</v>
      </c>
      <c r="BZ171" t="s">
        <v>134</v>
      </c>
      <c r="CA171" t="s">
        <v>134</v>
      </c>
      <c r="CB171" t="s">
        <v>134</v>
      </c>
      <c r="CC171" t="s">
        <v>134</v>
      </c>
      <c r="CD171" t="s">
        <v>134</v>
      </c>
      <c r="CE171" t="s">
        <v>134</v>
      </c>
      <c r="CF171">
        <v>84.659800000000004</v>
      </c>
      <c r="CG171" t="s">
        <v>134</v>
      </c>
      <c r="CH171" t="s">
        <v>134</v>
      </c>
      <c r="CI171" t="s">
        <v>134</v>
      </c>
      <c r="CJ171" t="s">
        <v>134</v>
      </c>
      <c r="CK171" t="s">
        <v>134</v>
      </c>
      <c r="CL171" t="s">
        <v>134</v>
      </c>
      <c r="CM171" t="s">
        <v>134</v>
      </c>
      <c r="CN171" t="s">
        <v>134</v>
      </c>
      <c r="CO171" t="s">
        <v>134</v>
      </c>
      <c r="CP171">
        <v>7763.3</v>
      </c>
      <c r="CQ171" t="s">
        <v>134</v>
      </c>
      <c r="CR171">
        <v>6908.1</v>
      </c>
      <c r="CS171" t="s">
        <v>134</v>
      </c>
      <c r="CT171" t="s">
        <v>134</v>
      </c>
      <c r="CU171" t="s">
        <v>134</v>
      </c>
      <c r="CV171" t="s">
        <v>134</v>
      </c>
      <c r="CW171" t="s">
        <v>134</v>
      </c>
      <c r="CX171" t="s">
        <v>134</v>
      </c>
      <c r="CY171" t="s">
        <v>134</v>
      </c>
      <c r="CZ171" t="s">
        <v>134</v>
      </c>
      <c r="DA171" t="s">
        <v>134</v>
      </c>
      <c r="DB171" t="s">
        <v>134</v>
      </c>
      <c r="DC171" t="s">
        <v>134</v>
      </c>
      <c r="DD171" t="s">
        <v>134</v>
      </c>
      <c r="DE171" t="s">
        <v>134</v>
      </c>
      <c r="DF171" t="s">
        <v>134</v>
      </c>
      <c r="DG171" t="s">
        <v>134</v>
      </c>
      <c r="DH171" t="s">
        <v>134</v>
      </c>
      <c r="DI171" t="s">
        <v>134</v>
      </c>
    </row>
    <row r="172" spans="4:113" x14ac:dyDescent="0.3">
      <c r="E172" t="s">
        <v>81</v>
      </c>
      <c r="F172">
        <v>27.456700000000001</v>
      </c>
      <c r="G172">
        <v>16.878699999999998</v>
      </c>
      <c r="H172">
        <v>25.8292</v>
      </c>
      <c r="I172">
        <v>22.420400000000001</v>
      </c>
      <c r="J172">
        <v>18.010899999999999</v>
      </c>
      <c r="K172">
        <v>15.8985</v>
      </c>
      <c r="L172">
        <v>1.2248000000000001</v>
      </c>
      <c r="M172">
        <v>17.444400000000002</v>
      </c>
      <c r="N172">
        <v>12.134499999999999</v>
      </c>
      <c r="O172">
        <v>11.6945</v>
      </c>
      <c r="P172">
        <v>11.6945</v>
      </c>
      <c r="Q172">
        <v>31.974799999999998</v>
      </c>
      <c r="R172" t="s">
        <v>134</v>
      </c>
      <c r="S172" t="s">
        <v>134</v>
      </c>
      <c r="T172">
        <v>7.7930999999999999</v>
      </c>
      <c r="U172">
        <v>2.1261000000000001</v>
      </c>
      <c r="V172">
        <v>0.56010000000000004</v>
      </c>
      <c r="W172">
        <v>10.3941</v>
      </c>
      <c r="X172">
        <v>10.297499999999999</v>
      </c>
      <c r="Y172" t="s">
        <v>134</v>
      </c>
      <c r="Z172">
        <v>21.886700000000001</v>
      </c>
      <c r="AA172">
        <v>31.462700000000002</v>
      </c>
      <c r="AB172">
        <v>1.6268</v>
      </c>
      <c r="AC172">
        <v>17.601800000000001</v>
      </c>
      <c r="AD172">
        <v>32.759099999999997</v>
      </c>
      <c r="AE172">
        <v>19.136900000000001</v>
      </c>
      <c r="AF172">
        <v>22.859000000000002</v>
      </c>
      <c r="AG172">
        <v>107.1611</v>
      </c>
      <c r="AH172">
        <v>73.324299999999994</v>
      </c>
      <c r="AI172">
        <v>15.4771</v>
      </c>
      <c r="AJ172">
        <v>18.063099999999999</v>
      </c>
      <c r="AK172">
        <v>16.5136</v>
      </c>
      <c r="AL172" t="s">
        <v>134</v>
      </c>
      <c r="AM172">
        <v>9.2662999999999993</v>
      </c>
      <c r="AN172">
        <v>13.4993</v>
      </c>
      <c r="AO172">
        <v>12.638299999999999</v>
      </c>
      <c r="AP172">
        <v>12.2403</v>
      </c>
      <c r="AQ172">
        <v>12.245900000000001</v>
      </c>
      <c r="AR172" t="s">
        <v>134</v>
      </c>
      <c r="AS172">
        <v>13.1128</v>
      </c>
      <c r="AT172">
        <v>10.44</v>
      </c>
      <c r="AU172">
        <v>11.6684</v>
      </c>
      <c r="AV172">
        <v>16.798100000000002</v>
      </c>
      <c r="AW172">
        <v>13.9862</v>
      </c>
      <c r="AX172">
        <v>27.353100000000001</v>
      </c>
      <c r="AY172">
        <v>8.7790999999999997</v>
      </c>
      <c r="AZ172">
        <v>12.6858</v>
      </c>
      <c r="BA172">
        <v>10.436199999999999</v>
      </c>
      <c r="BB172">
        <v>22.5579</v>
      </c>
      <c r="BC172">
        <v>21.487400000000001</v>
      </c>
      <c r="BD172">
        <v>22.565999999999999</v>
      </c>
      <c r="BE172" t="s">
        <v>134</v>
      </c>
      <c r="BF172">
        <v>2.4723000000000002</v>
      </c>
      <c r="BG172">
        <v>-5.9641999999999999</v>
      </c>
      <c r="BH172">
        <v>-6.5648</v>
      </c>
      <c r="BI172">
        <v>-0.85580000000000001</v>
      </c>
      <c r="BJ172">
        <v>-0.82299999999999995</v>
      </c>
      <c r="BK172" t="s">
        <v>134</v>
      </c>
      <c r="BL172" t="s">
        <v>134</v>
      </c>
      <c r="BM172" t="s">
        <v>134</v>
      </c>
      <c r="BN172" t="s">
        <v>134</v>
      </c>
      <c r="BO172" t="s">
        <v>134</v>
      </c>
      <c r="BP172" t="s">
        <v>134</v>
      </c>
      <c r="BQ172" t="s">
        <v>134</v>
      </c>
      <c r="BR172" t="s">
        <v>134</v>
      </c>
      <c r="BS172" t="s">
        <v>134</v>
      </c>
      <c r="BT172" t="s">
        <v>134</v>
      </c>
      <c r="BU172" t="s">
        <v>134</v>
      </c>
      <c r="BV172" t="s">
        <v>134</v>
      </c>
      <c r="BW172" t="s">
        <v>134</v>
      </c>
      <c r="BX172" t="s">
        <v>134</v>
      </c>
      <c r="BY172">
        <v>5603.4</v>
      </c>
      <c r="BZ172">
        <v>5192.7</v>
      </c>
      <c r="CA172">
        <v>410.7</v>
      </c>
      <c r="CB172">
        <v>0.1825</v>
      </c>
      <c r="CC172">
        <v>-0.51870000000000005</v>
      </c>
      <c r="CD172">
        <v>0.20499999999999999</v>
      </c>
      <c r="CE172">
        <v>-0.58240000000000003</v>
      </c>
      <c r="CF172">
        <v>79.008899999999997</v>
      </c>
      <c r="CG172">
        <v>61.211300000000001</v>
      </c>
      <c r="CH172">
        <v>0.51480000000000004</v>
      </c>
      <c r="CI172">
        <v>0.48099999999999998</v>
      </c>
      <c r="CJ172">
        <v>0.33069999999999999</v>
      </c>
      <c r="CK172">
        <v>7.0237999999999996</v>
      </c>
      <c r="CL172">
        <v>6.5628000000000002</v>
      </c>
      <c r="CM172">
        <v>4.5117000000000003</v>
      </c>
      <c r="CN172">
        <v>-19.958100000000002</v>
      </c>
      <c r="CO172">
        <v>-24.9346</v>
      </c>
      <c r="CP172">
        <v>7118.7</v>
      </c>
      <c r="CQ172" t="s">
        <v>134</v>
      </c>
      <c r="CR172">
        <v>6283.8</v>
      </c>
      <c r="CS172">
        <v>0.55410000000000004</v>
      </c>
      <c r="CT172">
        <v>1.7930000000000001</v>
      </c>
      <c r="CU172">
        <v>0.92649999999999999</v>
      </c>
      <c r="CV172">
        <v>16.484300000000001</v>
      </c>
      <c r="CW172">
        <v>11.4725</v>
      </c>
      <c r="CX172">
        <v>31.815300000000001</v>
      </c>
      <c r="CY172">
        <v>3.8401000000000001</v>
      </c>
      <c r="CZ172">
        <v>95.050200000000004</v>
      </c>
      <c r="DA172">
        <v>5.4527000000000001</v>
      </c>
      <c r="DB172">
        <v>66.939400000000006</v>
      </c>
      <c r="DC172">
        <v>59.926099999999998</v>
      </c>
      <c r="DD172">
        <v>126.8655</v>
      </c>
      <c r="DE172">
        <v>26269.4</v>
      </c>
      <c r="DF172">
        <v>7059.6</v>
      </c>
      <c r="DG172">
        <v>859.2</v>
      </c>
      <c r="DH172">
        <v>14990.8</v>
      </c>
      <c r="DI172">
        <v>3359.8</v>
      </c>
    </row>
    <row r="173" spans="4:113" x14ac:dyDescent="0.3">
      <c r="D173" t="s">
        <v>85</v>
      </c>
      <c r="E173" t="s">
        <v>77</v>
      </c>
      <c r="F173">
        <v>25.464200000000002</v>
      </c>
      <c r="G173">
        <v>15.5617</v>
      </c>
      <c r="H173">
        <v>23.813300000000002</v>
      </c>
      <c r="I173">
        <v>19.860800000000001</v>
      </c>
      <c r="J173">
        <v>19.262</v>
      </c>
      <c r="K173">
        <v>17.090599999999998</v>
      </c>
      <c r="L173">
        <v>10.735200000000001</v>
      </c>
      <c r="M173">
        <v>18.484200000000001</v>
      </c>
      <c r="N173">
        <v>12.2135</v>
      </c>
      <c r="O173">
        <v>12.282299999999999</v>
      </c>
      <c r="P173">
        <v>12.282299999999999</v>
      </c>
      <c r="Q173">
        <v>33.924300000000002</v>
      </c>
      <c r="R173">
        <v>50.1785</v>
      </c>
      <c r="S173">
        <v>12.6866</v>
      </c>
      <c r="T173">
        <v>11.6191</v>
      </c>
      <c r="U173">
        <v>6.9267000000000003</v>
      </c>
      <c r="V173">
        <v>6.9961000000000002</v>
      </c>
      <c r="W173">
        <v>5.1303999999999998</v>
      </c>
      <c r="X173">
        <v>5.1471</v>
      </c>
      <c r="Y173">
        <v>29.559699999999999</v>
      </c>
      <c r="Z173">
        <v>19.6343</v>
      </c>
      <c r="AA173">
        <v>1.1941999999999999</v>
      </c>
      <c r="AB173">
        <v>40.7378</v>
      </c>
      <c r="AC173">
        <v>10.9628</v>
      </c>
      <c r="AD173">
        <v>3.6393</v>
      </c>
      <c r="AE173">
        <v>-20.0532</v>
      </c>
      <c r="AF173">
        <v>12.3323</v>
      </c>
      <c r="AG173">
        <v>-2.7288000000000001</v>
      </c>
      <c r="AH173">
        <v>-4.8024000000000004</v>
      </c>
      <c r="AI173">
        <v>9.5062999999999995</v>
      </c>
      <c r="AJ173">
        <v>8.5673999999999992</v>
      </c>
      <c r="AK173">
        <v>10.6043</v>
      </c>
      <c r="AL173">
        <v>34.894500000000001</v>
      </c>
      <c r="AM173">
        <v>8.8287999999999993</v>
      </c>
      <c r="AN173">
        <v>12.9697</v>
      </c>
      <c r="AO173">
        <v>12.374000000000001</v>
      </c>
      <c r="AP173">
        <v>12.8529</v>
      </c>
      <c r="AQ173">
        <v>12.8565</v>
      </c>
      <c r="AR173">
        <v>17.4941</v>
      </c>
      <c r="AS173">
        <v>12.025700000000001</v>
      </c>
      <c r="AT173">
        <v>7.75</v>
      </c>
      <c r="AU173">
        <v>13.2813</v>
      </c>
      <c r="AV173">
        <v>15.222099999999999</v>
      </c>
      <c r="AW173">
        <v>10.230700000000001</v>
      </c>
      <c r="AX173">
        <v>18.0091</v>
      </c>
      <c r="AY173">
        <v>8.4230999999999998</v>
      </c>
      <c r="AZ173">
        <v>19.9207</v>
      </c>
      <c r="BA173">
        <v>16.277200000000001</v>
      </c>
      <c r="BB173">
        <v>19.772300000000001</v>
      </c>
      <c r="BC173">
        <v>19.553599999999999</v>
      </c>
      <c r="BD173">
        <v>19.968699999999998</v>
      </c>
      <c r="BE173">
        <v>12.5451</v>
      </c>
      <c r="BF173">
        <v>11.6191</v>
      </c>
      <c r="BG173">
        <v>6.9267000000000003</v>
      </c>
      <c r="BH173">
        <v>6.9961000000000002</v>
      </c>
      <c r="BI173">
        <v>5.1303999999999998</v>
      </c>
      <c r="BJ173">
        <v>5.1471</v>
      </c>
      <c r="BK173">
        <v>29.559699999999999</v>
      </c>
      <c r="BL173">
        <v>19.6343</v>
      </c>
      <c r="BM173">
        <v>1.1941999999999999</v>
      </c>
      <c r="BN173">
        <v>40.7378</v>
      </c>
      <c r="BO173">
        <v>10.9628</v>
      </c>
      <c r="BP173">
        <v>3.6393</v>
      </c>
      <c r="BQ173">
        <v>-20.0532</v>
      </c>
      <c r="BR173">
        <v>12.3323</v>
      </c>
      <c r="BS173">
        <v>-2.7288000000000001</v>
      </c>
      <c r="BT173">
        <v>-4.8024000000000004</v>
      </c>
      <c r="BU173">
        <v>9.5062999999999995</v>
      </c>
      <c r="BV173">
        <v>8.5673999999999992</v>
      </c>
      <c r="BW173">
        <v>10.6043</v>
      </c>
      <c r="BX173">
        <v>34.894500000000001</v>
      </c>
      <c r="BY173">
        <v>5334.3</v>
      </c>
      <c r="BZ173">
        <v>5051</v>
      </c>
      <c r="CA173">
        <v>283.3</v>
      </c>
      <c r="CB173">
        <v>0.1668</v>
      </c>
      <c r="CC173">
        <v>-0.29020000000000001</v>
      </c>
      <c r="CD173">
        <v>0.188</v>
      </c>
      <c r="CE173">
        <v>-0.3271</v>
      </c>
      <c r="CF173">
        <v>91.177899999999994</v>
      </c>
      <c r="CG173">
        <v>61.018500000000003</v>
      </c>
      <c r="CH173">
        <v>0.32419999999999999</v>
      </c>
      <c r="CI173">
        <v>0.30559999999999998</v>
      </c>
      <c r="CJ173">
        <v>0.20549999999999999</v>
      </c>
      <c r="CK173">
        <v>6.1048</v>
      </c>
      <c r="CL173">
        <v>5.7536000000000005</v>
      </c>
      <c r="CM173">
        <v>3.8702000000000001</v>
      </c>
      <c r="CN173">
        <v>-10.619199999999999</v>
      </c>
      <c r="CO173">
        <v>-11.880800000000001</v>
      </c>
      <c r="CP173">
        <v>31976.1</v>
      </c>
      <c r="CQ173">
        <v>17716.3</v>
      </c>
      <c r="CR173">
        <v>28371.4</v>
      </c>
      <c r="CS173">
        <v>0.32829999999999998</v>
      </c>
      <c r="CT173">
        <v>1.5533999999999999</v>
      </c>
      <c r="CU173">
        <v>0.71709999999999996</v>
      </c>
      <c r="CV173">
        <v>15.3551</v>
      </c>
      <c r="CW173">
        <v>10.4497</v>
      </c>
      <c r="CX173">
        <v>34.929200000000002</v>
      </c>
      <c r="CY173">
        <v>3.6135000000000002</v>
      </c>
      <c r="CZ173">
        <v>101.0111</v>
      </c>
      <c r="DA173">
        <v>4.6931000000000003</v>
      </c>
      <c r="DB173">
        <v>77.774299999999997</v>
      </c>
      <c r="DC173">
        <v>58.165999999999997</v>
      </c>
      <c r="DD173">
        <v>135.94030000000001</v>
      </c>
      <c r="DE173">
        <v>26583.1</v>
      </c>
      <c r="DF173">
        <v>7966.3</v>
      </c>
      <c r="DG173">
        <v>1051.8</v>
      </c>
      <c r="DH173">
        <v>13891.9</v>
      </c>
      <c r="DI173">
        <v>3673.1</v>
      </c>
    </row>
    <row r="174" spans="4:113" x14ac:dyDescent="0.3">
      <c r="E174" t="s">
        <v>78</v>
      </c>
      <c r="F174" t="s">
        <v>134</v>
      </c>
      <c r="G174" t="s">
        <v>134</v>
      </c>
      <c r="H174" t="s">
        <v>134</v>
      </c>
      <c r="I174" t="s">
        <v>134</v>
      </c>
      <c r="J174">
        <v>17.439900000000002</v>
      </c>
      <c r="K174">
        <v>15.067299999999999</v>
      </c>
      <c r="L174" t="s">
        <v>134</v>
      </c>
      <c r="M174">
        <v>16.911999999999999</v>
      </c>
      <c r="N174">
        <v>11.485799999999999</v>
      </c>
      <c r="O174">
        <v>11.2028</v>
      </c>
      <c r="P174">
        <v>11.2028</v>
      </c>
      <c r="Q174">
        <v>33.482599999999998</v>
      </c>
      <c r="R174" t="s">
        <v>134</v>
      </c>
      <c r="S174" t="s">
        <v>134</v>
      </c>
      <c r="T174">
        <v>6.3617999999999997</v>
      </c>
      <c r="U174">
        <v>-18.4755</v>
      </c>
      <c r="V174">
        <v>-21.439599999999999</v>
      </c>
      <c r="W174">
        <v>-20.117699999999999</v>
      </c>
      <c r="X174">
        <v>-20.117699999999999</v>
      </c>
      <c r="Y174" t="s">
        <v>134</v>
      </c>
      <c r="Z174" t="s">
        <v>134</v>
      </c>
      <c r="AA174" t="s">
        <v>134</v>
      </c>
      <c r="AB174" t="s">
        <v>134</v>
      </c>
      <c r="AC174" t="s">
        <v>134</v>
      </c>
      <c r="AD174" t="s">
        <v>134</v>
      </c>
      <c r="AE174" t="s">
        <v>134</v>
      </c>
      <c r="AF174" t="s">
        <v>134</v>
      </c>
      <c r="AG174" t="s">
        <v>134</v>
      </c>
      <c r="AH174" t="s">
        <v>134</v>
      </c>
      <c r="AI174" t="s">
        <v>134</v>
      </c>
      <c r="AJ174" t="s">
        <v>134</v>
      </c>
      <c r="AK174" t="s">
        <v>134</v>
      </c>
      <c r="AL174" t="s">
        <v>134</v>
      </c>
      <c r="AM174">
        <v>8.4995999999999992</v>
      </c>
      <c r="AN174">
        <v>8.3005999999999993</v>
      </c>
      <c r="AO174">
        <v>6.8274999999999997</v>
      </c>
      <c r="AP174">
        <v>8.1872000000000007</v>
      </c>
      <c r="AQ174">
        <v>8.1872000000000007</v>
      </c>
      <c r="AR174" t="s">
        <v>134</v>
      </c>
      <c r="AS174" t="s">
        <v>134</v>
      </c>
      <c r="AT174" t="s">
        <v>134</v>
      </c>
      <c r="AU174" t="s">
        <v>134</v>
      </c>
      <c r="AV174" t="s">
        <v>134</v>
      </c>
      <c r="AW174" t="s">
        <v>134</v>
      </c>
      <c r="AX174" t="s">
        <v>134</v>
      </c>
      <c r="AY174" t="s">
        <v>134</v>
      </c>
      <c r="AZ174" t="s">
        <v>134</v>
      </c>
      <c r="BA174" t="s">
        <v>134</v>
      </c>
      <c r="BB174" t="s">
        <v>134</v>
      </c>
      <c r="BC174" t="s">
        <v>134</v>
      </c>
      <c r="BD174" t="s">
        <v>134</v>
      </c>
      <c r="BE174" t="s">
        <v>134</v>
      </c>
      <c r="BF174">
        <v>-2.3843000000000001</v>
      </c>
      <c r="BG174">
        <v>-5.9985999999999997</v>
      </c>
      <c r="BH174">
        <v>-8.0593000000000004</v>
      </c>
      <c r="BI174">
        <v>-7.5309999999999997</v>
      </c>
      <c r="BJ174">
        <v>-7.5538999999999996</v>
      </c>
      <c r="BK174" t="s">
        <v>134</v>
      </c>
      <c r="BL174" t="s">
        <v>134</v>
      </c>
      <c r="BM174" t="s">
        <v>134</v>
      </c>
      <c r="BN174" t="s">
        <v>134</v>
      </c>
      <c r="BO174" t="s">
        <v>134</v>
      </c>
      <c r="BP174" t="s">
        <v>134</v>
      </c>
      <c r="BQ174" t="s">
        <v>134</v>
      </c>
      <c r="BR174" t="s">
        <v>134</v>
      </c>
      <c r="BS174" t="s">
        <v>134</v>
      </c>
      <c r="BT174" t="s">
        <v>134</v>
      </c>
      <c r="BU174" t="s">
        <v>134</v>
      </c>
      <c r="BV174" t="s">
        <v>134</v>
      </c>
      <c r="BW174" t="s">
        <v>134</v>
      </c>
      <c r="BX174" t="s">
        <v>134</v>
      </c>
      <c r="BY174" t="s">
        <v>134</v>
      </c>
      <c r="BZ174" t="s">
        <v>134</v>
      </c>
      <c r="CA174" t="s">
        <v>134</v>
      </c>
      <c r="CB174" t="s">
        <v>134</v>
      </c>
      <c r="CC174" t="s">
        <v>134</v>
      </c>
      <c r="CD174" t="s">
        <v>134</v>
      </c>
      <c r="CE174" t="s">
        <v>134</v>
      </c>
      <c r="CF174">
        <v>83.589200000000005</v>
      </c>
      <c r="CG174" t="s">
        <v>134</v>
      </c>
      <c r="CH174" t="s">
        <v>134</v>
      </c>
      <c r="CI174" t="s">
        <v>134</v>
      </c>
      <c r="CJ174" t="s">
        <v>134</v>
      </c>
      <c r="CK174" t="s">
        <v>134</v>
      </c>
      <c r="CL174" t="s">
        <v>134</v>
      </c>
      <c r="CM174" t="s">
        <v>134</v>
      </c>
      <c r="CN174" t="s">
        <v>134</v>
      </c>
      <c r="CO174" t="s">
        <v>134</v>
      </c>
      <c r="CP174">
        <v>6653.7</v>
      </c>
      <c r="CQ174" t="s">
        <v>134</v>
      </c>
      <c r="CR174">
        <v>5748.5</v>
      </c>
      <c r="CS174" t="s">
        <v>134</v>
      </c>
      <c r="CT174" t="s">
        <v>134</v>
      </c>
      <c r="CU174" t="s">
        <v>134</v>
      </c>
      <c r="CV174" t="s">
        <v>134</v>
      </c>
      <c r="CW174" t="s">
        <v>134</v>
      </c>
      <c r="CX174" t="s">
        <v>134</v>
      </c>
      <c r="CY174" t="s">
        <v>134</v>
      </c>
      <c r="CZ174" t="s">
        <v>134</v>
      </c>
      <c r="DA174" t="s">
        <v>134</v>
      </c>
      <c r="DB174" t="s">
        <v>134</v>
      </c>
      <c r="DC174" t="s">
        <v>134</v>
      </c>
      <c r="DD174" t="s">
        <v>134</v>
      </c>
      <c r="DE174" t="s">
        <v>134</v>
      </c>
      <c r="DF174" t="s">
        <v>134</v>
      </c>
      <c r="DG174" t="s">
        <v>134</v>
      </c>
      <c r="DH174" t="s">
        <v>134</v>
      </c>
      <c r="DI174" t="s">
        <v>134</v>
      </c>
    </row>
    <row r="175" spans="4:113" x14ac:dyDescent="0.3">
      <c r="E175" t="s">
        <v>79</v>
      </c>
      <c r="F175">
        <v>26.174299999999999</v>
      </c>
      <c r="G175">
        <v>15.968500000000001</v>
      </c>
      <c r="H175">
        <v>24.701499999999999</v>
      </c>
      <c r="I175">
        <v>20.514299999999999</v>
      </c>
      <c r="J175">
        <v>20.034800000000001</v>
      </c>
      <c r="K175">
        <v>17.950299999999999</v>
      </c>
      <c r="L175">
        <v>11.5589</v>
      </c>
      <c r="M175">
        <v>17.744599999999998</v>
      </c>
      <c r="N175">
        <v>12.3367</v>
      </c>
      <c r="O175">
        <v>13.502000000000001</v>
      </c>
      <c r="P175">
        <v>13.502000000000001</v>
      </c>
      <c r="Q175">
        <v>32.487299999999998</v>
      </c>
      <c r="R175" t="s">
        <v>134</v>
      </c>
      <c r="S175" t="s">
        <v>134</v>
      </c>
      <c r="T175">
        <v>14.982200000000001</v>
      </c>
      <c r="U175">
        <v>8.9045000000000005</v>
      </c>
      <c r="V175">
        <v>9.1591000000000005</v>
      </c>
      <c r="W175">
        <v>21.000499999999999</v>
      </c>
      <c r="X175">
        <v>20.967700000000001</v>
      </c>
      <c r="Y175" t="s">
        <v>134</v>
      </c>
      <c r="Z175">
        <v>20.078199999999999</v>
      </c>
      <c r="AA175">
        <v>6.1532999999999998</v>
      </c>
      <c r="AB175">
        <v>8.9856999999999996</v>
      </c>
      <c r="AC175">
        <v>11.175700000000001</v>
      </c>
      <c r="AD175">
        <v>12.574400000000001</v>
      </c>
      <c r="AE175">
        <v>-8.2357999999999993</v>
      </c>
      <c r="AF175">
        <v>9.5151000000000003</v>
      </c>
      <c r="AG175">
        <v>105.39960000000001</v>
      </c>
      <c r="AH175">
        <v>82.128100000000003</v>
      </c>
      <c r="AI175">
        <v>9.5578000000000003</v>
      </c>
      <c r="AJ175">
        <v>12.4687</v>
      </c>
      <c r="AK175">
        <v>10.6251</v>
      </c>
      <c r="AL175" t="s">
        <v>134</v>
      </c>
      <c r="AM175">
        <v>10.3012</v>
      </c>
      <c r="AN175">
        <v>17.4863</v>
      </c>
      <c r="AO175">
        <v>17.214099999999998</v>
      </c>
      <c r="AP175">
        <v>19.2148</v>
      </c>
      <c r="AQ175">
        <v>19.1995</v>
      </c>
      <c r="AR175" t="s">
        <v>134</v>
      </c>
      <c r="AS175">
        <v>12.739699999999999</v>
      </c>
      <c r="AT175">
        <v>8.4608000000000008</v>
      </c>
      <c r="AU175" t="s">
        <v>134</v>
      </c>
      <c r="AV175">
        <v>13.6088</v>
      </c>
      <c r="AW175">
        <v>16.4482</v>
      </c>
      <c r="AX175">
        <v>28.170500000000001</v>
      </c>
      <c r="AY175">
        <v>4.6585999999999999</v>
      </c>
      <c r="AZ175">
        <v>21.1676</v>
      </c>
      <c r="BA175">
        <v>17.8902</v>
      </c>
      <c r="BB175">
        <v>19.275099999999998</v>
      </c>
      <c r="BC175">
        <v>19.182099999999998</v>
      </c>
      <c r="BD175">
        <v>19.2698</v>
      </c>
      <c r="BE175" t="s">
        <v>134</v>
      </c>
      <c r="BF175">
        <v>11.7951</v>
      </c>
      <c r="BG175">
        <v>28.429300000000001</v>
      </c>
      <c r="BH175">
        <v>33.186</v>
      </c>
      <c r="BI175">
        <v>34.7395</v>
      </c>
      <c r="BJ175">
        <v>34.652900000000002</v>
      </c>
      <c r="BK175" t="s">
        <v>134</v>
      </c>
      <c r="BL175" t="s">
        <v>134</v>
      </c>
      <c r="BM175" t="s">
        <v>134</v>
      </c>
      <c r="BN175" t="s">
        <v>134</v>
      </c>
      <c r="BO175" t="s">
        <v>134</v>
      </c>
      <c r="BP175" t="s">
        <v>134</v>
      </c>
      <c r="BQ175" t="s">
        <v>134</v>
      </c>
      <c r="BR175" t="s">
        <v>134</v>
      </c>
      <c r="BS175" t="s">
        <v>134</v>
      </c>
      <c r="BT175" t="s">
        <v>134</v>
      </c>
      <c r="BU175" t="s">
        <v>134</v>
      </c>
      <c r="BV175" t="s">
        <v>134</v>
      </c>
      <c r="BW175" t="s">
        <v>134</v>
      </c>
      <c r="BX175" t="s">
        <v>134</v>
      </c>
      <c r="BY175">
        <v>5641.6</v>
      </c>
      <c r="BZ175">
        <v>5165.8</v>
      </c>
      <c r="CA175">
        <v>475.8</v>
      </c>
      <c r="CB175">
        <v>0.189</v>
      </c>
      <c r="CC175">
        <v>-0.316</v>
      </c>
      <c r="CD175">
        <v>0.21379999999999999</v>
      </c>
      <c r="CE175">
        <v>-0.35759999999999997</v>
      </c>
      <c r="CF175">
        <v>97.437899999999999</v>
      </c>
      <c r="CG175">
        <v>60.864699999999999</v>
      </c>
      <c r="CH175">
        <v>0.58589999999999998</v>
      </c>
      <c r="CI175">
        <v>0.54779999999999995</v>
      </c>
      <c r="CJ175">
        <v>0.3735</v>
      </c>
      <c r="CK175">
        <v>6.9466000000000001</v>
      </c>
      <c r="CL175">
        <v>6.4954000000000001</v>
      </c>
      <c r="CM175">
        <v>4.4291999999999998</v>
      </c>
      <c r="CN175">
        <v>-11.6151</v>
      </c>
      <c r="CO175">
        <v>-13.141500000000001</v>
      </c>
      <c r="CP175">
        <v>8545.2999999999993</v>
      </c>
      <c r="CQ175" t="s">
        <v>134</v>
      </c>
      <c r="CR175">
        <v>7656.2</v>
      </c>
      <c r="CS175">
        <v>0.37680000000000002</v>
      </c>
      <c r="CT175">
        <v>1.6745000000000001</v>
      </c>
      <c r="CU175">
        <v>0.80089999999999995</v>
      </c>
      <c r="CV175">
        <v>17.2925</v>
      </c>
      <c r="CW175">
        <v>10.194000000000001</v>
      </c>
      <c r="CX175">
        <v>35.805500000000002</v>
      </c>
      <c r="CY175">
        <v>3.4266000000000001</v>
      </c>
      <c r="CZ175">
        <v>106.51900000000001</v>
      </c>
      <c r="DA175">
        <v>4.6492000000000004</v>
      </c>
      <c r="DB175">
        <v>78.508399999999995</v>
      </c>
      <c r="DC175">
        <v>63.816099999999999</v>
      </c>
      <c r="DD175">
        <v>142.3245</v>
      </c>
      <c r="DE175">
        <v>27024.3</v>
      </c>
      <c r="DF175" t="s">
        <v>134</v>
      </c>
      <c r="DG175" t="s">
        <v>134</v>
      </c>
      <c r="DH175" t="s">
        <v>134</v>
      </c>
      <c r="DI175" t="s">
        <v>134</v>
      </c>
    </row>
    <row r="176" spans="4:113" x14ac:dyDescent="0.3">
      <c r="E176" t="s">
        <v>80</v>
      </c>
      <c r="F176" t="s">
        <v>134</v>
      </c>
      <c r="G176" t="s">
        <v>134</v>
      </c>
      <c r="H176" t="s">
        <v>134</v>
      </c>
      <c r="I176" t="s">
        <v>134</v>
      </c>
      <c r="J176">
        <v>20.917200000000001</v>
      </c>
      <c r="K176">
        <v>18.8141</v>
      </c>
      <c r="L176">
        <v>31.988199999999999</v>
      </c>
      <c r="M176">
        <v>20.151299999999999</v>
      </c>
      <c r="N176">
        <v>13.3132</v>
      </c>
      <c r="O176">
        <v>13.0181</v>
      </c>
      <c r="P176">
        <v>13.0181</v>
      </c>
      <c r="Q176">
        <v>33.933999999999997</v>
      </c>
      <c r="R176" t="s">
        <v>134</v>
      </c>
      <c r="S176" t="s">
        <v>134</v>
      </c>
      <c r="T176">
        <v>10.4594</v>
      </c>
      <c r="U176">
        <v>17.722100000000001</v>
      </c>
      <c r="V176">
        <v>19.188700000000001</v>
      </c>
      <c r="W176">
        <v>18.9678</v>
      </c>
      <c r="X176">
        <v>18.93</v>
      </c>
      <c r="Y176" t="s">
        <v>134</v>
      </c>
      <c r="Z176" t="s">
        <v>134</v>
      </c>
      <c r="AA176" t="s">
        <v>134</v>
      </c>
      <c r="AB176" t="s">
        <v>134</v>
      </c>
      <c r="AC176" t="s">
        <v>134</v>
      </c>
      <c r="AD176" t="s">
        <v>134</v>
      </c>
      <c r="AE176" t="s">
        <v>134</v>
      </c>
      <c r="AF176" t="s">
        <v>134</v>
      </c>
      <c r="AG176" t="s">
        <v>134</v>
      </c>
      <c r="AH176" t="s">
        <v>134</v>
      </c>
      <c r="AI176" t="s">
        <v>134</v>
      </c>
      <c r="AJ176" t="s">
        <v>134</v>
      </c>
      <c r="AK176" t="s">
        <v>134</v>
      </c>
      <c r="AL176" t="s">
        <v>134</v>
      </c>
      <c r="AM176">
        <v>7.0270000000000001</v>
      </c>
      <c r="AN176">
        <v>11.7842</v>
      </c>
      <c r="AO176">
        <v>11.0809</v>
      </c>
      <c r="AP176">
        <v>10.5945</v>
      </c>
      <c r="AQ176">
        <v>10.585699999999999</v>
      </c>
      <c r="AR176" t="s">
        <v>134</v>
      </c>
      <c r="AS176" t="s">
        <v>134</v>
      </c>
      <c r="AT176" t="s">
        <v>134</v>
      </c>
      <c r="AU176" t="s">
        <v>134</v>
      </c>
      <c r="AV176" t="s">
        <v>134</v>
      </c>
      <c r="AW176" t="s">
        <v>134</v>
      </c>
      <c r="AX176" t="s">
        <v>134</v>
      </c>
      <c r="AY176" t="s">
        <v>134</v>
      </c>
      <c r="AZ176" t="s">
        <v>134</v>
      </c>
      <c r="BA176" t="s">
        <v>134</v>
      </c>
      <c r="BB176" t="s">
        <v>134</v>
      </c>
      <c r="BC176" t="s">
        <v>134</v>
      </c>
      <c r="BD176" t="s">
        <v>134</v>
      </c>
      <c r="BE176" t="s">
        <v>134</v>
      </c>
      <c r="BF176">
        <v>-0.1104</v>
      </c>
      <c r="BG176">
        <v>4.2888999999999999</v>
      </c>
      <c r="BH176">
        <v>4.6967999999999996</v>
      </c>
      <c r="BI176">
        <v>-3.6898999999999997</v>
      </c>
      <c r="BJ176">
        <v>-3.6667000000000001</v>
      </c>
      <c r="BK176" t="s">
        <v>134</v>
      </c>
      <c r="BL176" t="s">
        <v>134</v>
      </c>
      <c r="BM176" t="s">
        <v>134</v>
      </c>
      <c r="BN176" t="s">
        <v>134</v>
      </c>
      <c r="BO176" t="s">
        <v>134</v>
      </c>
      <c r="BP176" t="s">
        <v>134</v>
      </c>
      <c r="BQ176" t="s">
        <v>134</v>
      </c>
      <c r="BR176" t="s">
        <v>134</v>
      </c>
      <c r="BS176" t="s">
        <v>134</v>
      </c>
      <c r="BT176" t="s">
        <v>134</v>
      </c>
      <c r="BU176" t="s">
        <v>134</v>
      </c>
      <c r="BV176" t="s">
        <v>134</v>
      </c>
      <c r="BW176" t="s">
        <v>134</v>
      </c>
      <c r="BX176" t="s">
        <v>134</v>
      </c>
      <c r="BY176" t="s">
        <v>134</v>
      </c>
      <c r="BZ176" t="s">
        <v>134</v>
      </c>
      <c r="CA176" t="s">
        <v>134</v>
      </c>
      <c r="CB176" t="s">
        <v>134</v>
      </c>
      <c r="CC176" t="s">
        <v>134</v>
      </c>
      <c r="CD176" t="s">
        <v>134</v>
      </c>
      <c r="CE176" t="s">
        <v>134</v>
      </c>
      <c r="CF176">
        <v>96.762200000000007</v>
      </c>
      <c r="CG176" t="s">
        <v>134</v>
      </c>
      <c r="CH176" t="s">
        <v>134</v>
      </c>
      <c r="CI176" t="s">
        <v>134</v>
      </c>
      <c r="CJ176" t="s">
        <v>134</v>
      </c>
      <c r="CK176" t="s">
        <v>134</v>
      </c>
      <c r="CL176" t="s">
        <v>134</v>
      </c>
      <c r="CM176" t="s">
        <v>134</v>
      </c>
      <c r="CN176" t="s">
        <v>134</v>
      </c>
      <c r="CO176" t="s">
        <v>134</v>
      </c>
      <c r="CP176">
        <v>8911.7999999999993</v>
      </c>
      <c r="CQ176" t="s">
        <v>134</v>
      </c>
      <c r="CR176">
        <v>8015.8</v>
      </c>
      <c r="CS176" t="s">
        <v>134</v>
      </c>
      <c r="CT176" t="s">
        <v>134</v>
      </c>
      <c r="CU176" t="s">
        <v>134</v>
      </c>
      <c r="CV176" t="s">
        <v>134</v>
      </c>
      <c r="CW176" t="s">
        <v>134</v>
      </c>
      <c r="CX176" t="s">
        <v>134</v>
      </c>
      <c r="CY176" t="s">
        <v>134</v>
      </c>
      <c r="CZ176" t="s">
        <v>134</v>
      </c>
      <c r="DA176" t="s">
        <v>134</v>
      </c>
      <c r="DB176" t="s">
        <v>134</v>
      </c>
      <c r="DC176" t="s">
        <v>134</v>
      </c>
      <c r="DD176" t="s">
        <v>134</v>
      </c>
      <c r="DE176" t="s">
        <v>134</v>
      </c>
      <c r="DF176" t="s">
        <v>134</v>
      </c>
      <c r="DG176" t="s">
        <v>134</v>
      </c>
      <c r="DH176" t="s">
        <v>134</v>
      </c>
      <c r="DI176" t="s">
        <v>134</v>
      </c>
    </row>
    <row r="177" spans="1:113" x14ac:dyDescent="0.3">
      <c r="E177" t="s">
        <v>81</v>
      </c>
      <c r="F177">
        <v>25.464200000000002</v>
      </c>
      <c r="G177">
        <v>15.5617</v>
      </c>
      <c r="H177">
        <v>23.812200000000001</v>
      </c>
      <c r="I177">
        <v>20.3277</v>
      </c>
      <c r="J177">
        <v>18.733499999999999</v>
      </c>
      <c r="K177">
        <v>16.693999999999999</v>
      </c>
      <c r="L177">
        <v>21.4284</v>
      </c>
      <c r="M177">
        <v>17.4773</v>
      </c>
      <c r="N177">
        <v>11.060600000000001</v>
      </c>
      <c r="O177">
        <v>10.7278</v>
      </c>
      <c r="P177">
        <v>10.7278</v>
      </c>
      <c r="Q177">
        <v>36.714700000000001</v>
      </c>
      <c r="R177" t="s">
        <v>134</v>
      </c>
      <c r="S177" t="s">
        <v>134</v>
      </c>
      <c r="T177">
        <v>14.716200000000001</v>
      </c>
      <c r="U177">
        <v>18.662700000000001</v>
      </c>
      <c r="V177">
        <v>19.712399999999999</v>
      </c>
      <c r="W177">
        <v>4.0608000000000004</v>
      </c>
      <c r="X177">
        <v>3.9419</v>
      </c>
      <c r="Y177" t="s">
        <v>134</v>
      </c>
      <c r="Z177">
        <v>19.6343</v>
      </c>
      <c r="AA177">
        <v>1.1941999999999999</v>
      </c>
      <c r="AB177">
        <v>40.7378</v>
      </c>
      <c r="AC177">
        <v>10.9628</v>
      </c>
      <c r="AD177">
        <v>3.6393</v>
      </c>
      <c r="AE177">
        <v>-20.0532</v>
      </c>
      <c r="AF177">
        <v>12.3323</v>
      </c>
      <c r="AG177">
        <v>-2.7288000000000001</v>
      </c>
      <c r="AH177">
        <v>-4.8024000000000004</v>
      </c>
      <c r="AI177">
        <v>9.5062999999999995</v>
      </c>
      <c r="AJ177">
        <v>8.5673999999999992</v>
      </c>
      <c r="AK177">
        <v>10.6043</v>
      </c>
      <c r="AL177" t="s">
        <v>134</v>
      </c>
      <c r="AM177">
        <v>10.7523</v>
      </c>
      <c r="AN177">
        <v>16.403400000000001</v>
      </c>
      <c r="AO177">
        <v>16.810700000000001</v>
      </c>
      <c r="AP177">
        <v>13.8818</v>
      </c>
      <c r="AQ177">
        <v>13.8614</v>
      </c>
      <c r="AR177" t="s">
        <v>134</v>
      </c>
      <c r="AS177">
        <v>12.025700000000001</v>
      </c>
      <c r="AT177">
        <v>7.75</v>
      </c>
      <c r="AU177">
        <v>13.2813</v>
      </c>
      <c r="AV177">
        <v>15.222099999999999</v>
      </c>
      <c r="AW177">
        <v>10.230700000000001</v>
      </c>
      <c r="AX177">
        <v>18.0091</v>
      </c>
      <c r="AY177">
        <v>8.4230999999999998</v>
      </c>
      <c r="AZ177">
        <v>19.9207</v>
      </c>
      <c r="BA177">
        <v>16.277200000000001</v>
      </c>
      <c r="BB177">
        <v>19.772300000000001</v>
      </c>
      <c r="BC177">
        <v>19.553599999999999</v>
      </c>
      <c r="BD177">
        <v>19.968699999999998</v>
      </c>
      <c r="BE177" t="s">
        <v>134</v>
      </c>
      <c r="BF177">
        <v>5.2355</v>
      </c>
      <c r="BG177">
        <v>-5.7507999999999999</v>
      </c>
      <c r="BH177">
        <v>-6.6231999999999998</v>
      </c>
      <c r="BI177">
        <v>-13.2789</v>
      </c>
      <c r="BJ177">
        <v>-13.3218</v>
      </c>
      <c r="BK177" t="s">
        <v>134</v>
      </c>
      <c r="BL177" t="s">
        <v>134</v>
      </c>
      <c r="BM177" t="s">
        <v>134</v>
      </c>
      <c r="BN177" t="s">
        <v>134</v>
      </c>
      <c r="BO177" t="s">
        <v>134</v>
      </c>
      <c r="BP177" t="s">
        <v>134</v>
      </c>
      <c r="BQ177" t="s">
        <v>134</v>
      </c>
      <c r="BR177" t="s">
        <v>134</v>
      </c>
      <c r="BS177" t="s">
        <v>134</v>
      </c>
      <c r="BT177" t="s">
        <v>134</v>
      </c>
      <c r="BU177" t="s">
        <v>134</v>
      </c>
      <c r="BV177" t="s">
        <v>134</v>
      </c>
      <c r="BW177" t="s">
        <v>134</v>
      </c>
      <c r="BX177" t="s">
        <v>134</v>
      </c>
      <c r="BY177">
        <v>5334.3</v>
      </c>
      <c r="BZ177">
        <v>5051</v>
      </c>
      <c r="CA177">
        <v>283.3</v>
      </c>
      <c r="CB177">
        <v>0.1641</v>
      </c>
      <c r="CC177">
        <v>-0.28539999999999999</v>
      </c>
      <c r="CD177">
        <v>0.1845</v>
      </c>
      <c r="CE177">
        <v>-0.32100000000000001</v>
      </c>
      <c r="CF177">
        <v>91.996700000000004</v>
      </c>
      <c r="CG177">
        <v>61.018500000000003</v>
      </c>
      <c r="CH177">
        <v>0.32419999999999999</v>
      </c>
      <c r="CI177">
        <v>0.30559999999999998</v>
      </c>
      <c r="CJ177">
        <v>0.20549999999999999</v>
      </c>
      <c r="CK177">
        <v>6.1048</v>
      </c>
      <c r="CL177">
        <v>5.7536000000000005</v>
      </c>
      <c r="CM177">
        <v>3.8702000000000001</v>
      </c>
      <c r="CN177">
        <v>-10.619199999999999</v>
      </c>
      <c r="CO177">
        <v>-11.880800000000001</v>
      </c>
      <c r="CP177">
        <v>8399.2999999999993</v>
      </c>
      <c r="CQ177" t="s">
        <v>134</v>
      </c>
      <c r="CR177">
        <v>7484.9</v>
      </c>
      <c r="CS177">
        <v>0.32829999999999998</v>
      </c>
      <c r="CT177">
        <v>1.5533999999999999</v>
      </c>
      <c r="CU177">
        <v>0.71709999999999996</v>
      </c>
      <c r="CV177">
        <v>15.3551</v>
      </c>
      <c r="CW177">
        <v>10.5907</v>
      </c>
      <c r="CX177">
        <v>34.464199999999998</v>
      </c>
      <c r="CY177">
        <v>3.6135000000000002</v>
      </c>
      <c r="CZ177">
        <v>101.0111</v>
      </c>
      <c r="DA177">
        <v>4.6931000000000003</v>
      </c>
      <c r="DB177">
        <v>77.774299999999997</v>
      </c>
      <c r="DC177">
        <v>57.701000000000001</v>
      </c>
      <c r="DD177">
        <v>135.4753</v>
      </c>
      <c r="DE177">
        <v>26583.1</v>
      </c>
      <c r="DF177">
        <v>7966.3</v>
      </c>
      <c r="DG177">
        <v>1051.8</v>
      </c>
      <c r="DH177">
        <v>13891.9</v>
      </c>
      <c r="DI177">
        <v>3673.1</v>
      </c>
    </row>
    <row r="178" spans="1:113" x14ac:dyDescent="0.3">
      <c r="A178">
        <v>8</v>
      </c>
      <c r="B178" t="s">
        <v>98</v>
      </c>
      <c r="C178" t="s">
        <v>99</v>
      </c>
      <c r="D178" t="s">
        <v>76</v>
      </c>
      <c r="E178" t="s">
        <v>77</v>
      </c>
      <c r="F178">
        <v>36.905799999999999</v>
      </c>
      <c r="G178">
        <v>13.993600000000001</v>
      </c>
      <c r="H178">
        <v>18.248200000000001</v>
      </c>
      <c r="I178">
        <v>19.842300000000002</v>
      </c>
      <c r="J178">
        <v>26.331499999999998</v>
      </c>
      <c r="K178">
        <v>22.473099999999999</v>
      </c>
      <c r="L178">
        <v>52.570999999999998</v>
      </c>
      <c r="M178">
        <v>18.920500000000001</v>
      </c>
      <c r="N178">
        <v>14.433299999999999</v>
      </c>
      <c r="O178">
        <v>14.48</v>
      </c>
      <c r="P178">
        <v>14.48</v>
      </c>
      <c r="Q178">
        <v>23.715800000000002</v>
      </c>
      <c r="R178">
        <v>7.4527999999999999</v>
      </c>
      <c r="S178">
        <v>34.155299999999997</v>
      </c>
      <c r="T178">
        <v>38.332099999999997</v>
      </c>
      <c r="U178">
        <v>139.89109999999999</v>
      </c>
      <c r="V178">
        <v>184.2706</v>
      </c>
      <c r="W178">
        <v>299.11860000000001</v>
      </c>
      <c r="X178">
        <v>298.61250000000001</v>
      </c>
      <c r="Y178">
        <v>100</v>
      </c>
      <c r="Z178">
        <v>65.097200000000001</v>
      </c>
      <c r="AA178">
        <v>23.0792</v>
      </c>
      <c r="AB178">
        <v>6.3730000000000002</v>
      </c>
      <c r="AC178">
        <v>30.482800000000001</v>
      </c>
      <c r="AD178">
        <v>42.869300000000003</v>
      </c>
      <c r="AE178">
        <v>99.900800000000004</v>
      </c>
      <c r="AF178">
        <v>40.202300000000001</v>
      </c>
      <c r="AG178">
        <v>8.8570999999999991</v>
      </c>
      <c r="AH178">
        <v>9.7127999999999997</v>
      </c>
      <c r="AI178">
        <v>44.293700000000001</v>
      </c>
      <c r="AJ178">
        <v>24.664300000000001</v>
      </c>
      <c r="AK178">
        <v>43.796399999999998</v>
      </c>
      <c r="AL178">
        <v>237.82419999999999</v>
      </c>
      <c r="AM178">
        <v>21.356000000000002</v>
      </c>
      <c r="AN178">
        <v>32.797400000000003</v>
      </c>
      <c r="AO178">
        <v>36.168700000000001</v>
      </c>
      <c r="AP178">
        <v>63.5396</v>
      </c>
      <c r="AQ178">
        <v>66.983000000000004</v>
      </c>
      <c r="AR178">
        <v>27.225999999999999</v>
      </c>
      <c r="AS178">
        <v>24.266300000000001</v>
      </c>
      <c r="AT178">
        <v>21.9543</v>
      </c>
      <c r="AU178">
        <v>8.8474000000000004</v>
      </c>
      <c r="AV178">
        <v>17.559000000000001</v>
      </c>
      <c r="AW178">
        <v>23.869399999999999</v>
      </c>
      <c r="AX178">
        <v>17.480899999999998</v>
      </c>
      <c r="AY178">
        <v>21.289000000000001</v>
      </c>
      <c r="AZ178">
        <v>17.748699999999999</v>
      </c>
      <c r="BA178">
        <v>9.9603000000000002</v>
      </c>
      <c r="BB178">
        <v>24.856000000000002</v>
      </c>
      <c r="BC178">
        <v>16.0212</v>
      </c>
      <c r="BD178">
        <v>22.7486</v>
      </c>
      <c r="BE178">
        <v>48.854900000000001</v>
      </c>
      <c r="BF178">
        <v>38.332099999999997</v>
      </c>
      <c r="BG178">
        <v>139.89109999999999</v>
      </c>
      <c r="BH178">
        <v>184.2706</v>
      </c>
      <c r="BI178">
        <v>299.11860000000001</v>
      </c>
      <c r="BJ178">
        <v>298.61250000000001</v>
      </c>
      <c r="BK178">
        <v>100</v>
      </c>
      <c r="BL178">
        <v>65.097200000000001</v>
      </c>
      <c r="BM178">
        <v>23.0792</v>
      </c>
      <c r="BN178">
        <v>6.3730000000000002</v>
      </c>
      <c r="BO178">
        <v>30.482800000000001</v>
      </c>
      <c r="BP178">
        <v>42.869300000000003</v>
      </c>
      <c r="BQ178">
        <v>99.900800000000004</v>
      </c>
      <c r="BR178">
        <v>40.202300000000001</v>
      </c>
      <c r="BS178">
        <v>8.8570999999999991</v>
      </c>
      <c r="BT178">
        <v>9.7127999999999997</v>
      </c>
      <c r="BU178">
        <v>44.293700000000001</v>
      </c>
      <c r="BV178">
        <v>24.664300000000001</v>
      </c>
      <c r="BW178">
        <v>43.796399999999998</v>
      </c>
      <c r="BX178">
        <v>237.82419999999999</v>
      </c>
      <c r="BY178">
        <v>37691.4</v>
      </c>
      <c r="BZ178">
        <v>24897.8</v>
      </c>
      <c r="CA178">
        <v>12793.6</v>
      </c>
      <c r="CB178">
        <v>1.7671999999999999</v>
      </c>
      <c r="CC178">
        <v>1.6835</v>
      </c>
      <c r="CD178">
        <v>2.0705999999999998</v>
      </c>
      <c r="CE178">
        <v>1.9725000000000001</v>
      </c>
      <c r="CF178">
        <v>22.740200000000002</v>
      </c>
      <c r="CG178">
        <v>39.517600000000002</v>
      </c>
      <c r="CH178">
        <v>33.883000000000003</v>
      </c>
      <c r="CI178">
        <v>16.956499999999998</v>
      </c>
      <c r="CJ178">
        <v>13.481400000000001</v>
      </c>
      <c r="CK178">
        <v>99.823099999999997</v>
      </c>
      <c r="CL178">
        <v>49.9557</v>
      </c>
      <c r="CM178">
        <v>39.717700000000001</v>
      </c>
      <c r="CN178">
        <v>95.092699999999994</v>
      </c>
      <c r="CO178">
        <v>48.7423</v>
      </c>
      <c r="CP178">
        <v>21328</v>
      </c>
      <c r="CQ178">
        <v>17423.2</v>
      </c>
      <c r="CR178">
        <v>18202.7</v>
      </c>
      <c r="CS178">
        <v>4.2299999999999997E-2</v>
      </c>
      <c r="CT178">
        <v>1.3344</v>
      </c>
      <c r="CU178">
        <v>0.66710000000000003</v>
      </c>
      <c r="CV178">
        <v>3.6322000000000001</v>
      </c>
      <c r="CW178">
        <v>3.8265000000000002</v>
      </c>
      <c r="CX178">
        <v>95.388000000000005</v>
      </c>
      <c r="CY178">
        <v>1.7282</v>
      </c>
      <c r="CZ178">
        <v>211.19820000000001</v>
      </c>
      <c r="DA178">
        <v>3.5871</v>
      </c>
      <c r="DB178">
        <v>101.75320000000001</v>
      </c>
      <c r="DC178">
        <v>204.8329</v>
      </c>
      <c r="DD178">
        <v>306.58620000000002</v>
      </c>
      <c r="DE178">
        <v>23675.4</v>
      </c>
      <c r="DF178">
        <v>9099.4</v>
      </c>
      <c r="DG178">
        <v>5681.1</v>
      </c>
      <c r="DH178">
        <v>6721.1</v>
      </c>
      <c r="DI178">
        <v>2173.8000000000002</v>
      </c>
    </row>
    <row r="179" spans="1:113" x14ac:dyDescent="0.3">
      <c r="E179" t="s">
        <v>78</v>
      </c>
      <c r="F179" t="s">
        <v>134</v>
      </c>
      <c r="G179" t="s">
        <v>134</v>
      </c>
      <c r="H179" t="s">
        <v>134</v>
      </c>
      <c r="I179" t="s">
        <v>134</v>
      </c>
      <c r="J179">
        <v>18.104800000000001</v>
      </c>
      <c r="K179">
        <v>13.8733</v>
      </c>
      <c r="L179">
        <v>30.8428</v>
      </c>
      <c r="M179">
        <v>2.4659</v>
      </c>
      <c r="N179">
        <v>1.0273000000000001</v>
      </c>
      <c r="O179">
        <v>1.0944</v>
      </c>
      <c r="P179">
        <v>1.0944</v>
      </c>
      <c r="Q179">
        <v>58.339300000000001</v>
      </c>
      <c r="R179" t="s">
        <v>134</v>
      </c>
      <c r="S179" t="s">
        <v>134</v>
      </c>
      <c r="T179">
        <v>41.936100000000003</v>
      </c>
      <c r="U179">
        <v>120.18600000000001</v>
      </c>
      <c r="V179">
        <v>191.42259999999999</v>
      </c>
      <c r="W179" t="s">
        <v>134</v>
      </c>
      <c r="X179" t="s">
        <v>134</v>
      </c>
      <c r="Y179" t="s">
        <v>134</v>
      </c>
      <c r="Z179" t="s">
        <v>134</v>
      </c>
      <c r="AA179" t="s">
        <v>134</v>
      </c>
      <c r="AB179" t="s">
        <v>134</v>
      </c>
      <c r="AC179" t="s">
        <v>134</v>
      </c>
      <c r="AD179" t="s">
        <v>134</v>
      </c>
      <c r="AE179" t="s">
        <v>134</v>
      </c>
      <c r="AF179" t="s">
        <v>134</v>
      </c>
      <c r="AG179" t="s">
        <v>134</v>
      </c>
      <c r="AH179" t="s">
        <v>134</v>
      </c>
      <c r="AI179" t="s">
        <v>134</v>
      </c>
      <c r="AJ179" t="s">
        <v>134</v>
      </c>
      <c r="AK179" t="s">
        <v>134</v>
      </c>
      <c r="AL179" t="s">
        <v>134</v>
      </c>
      <c r="AM179">
        <v>20.1174</v>
      </c>
      <c r="AN179">
        <v>21.882999999999999</v>
      </c>
      <c r="AO179">
        <v>21.9559</v>
      </c>
      <c r="AP179" t="s">
        <v>134</v>
      </c>
      <c r="AQ179" t="s">
        <v>134</v>
      </c>
      <c r="AR179" t="s">
        <v>134</v>
      </c>
      <c r="AS179" t="s">
        <v>134</v>
      </c>
      <c r="AT179" t="s">
        <v>134</v>
      </c>
      <c r="AU179" t="s">
        <v>134</v>
      </c>
      <c r="AV179" t="s">
        <v>134</v>
      </c>
      <c r="AW179" t="s">
        <v>134</v>
      </c>
      <c r="AX179" t="s">
        <v>134</v>
      </c>
      <c r="AY179" t="s">
        <v>134</v>
      </c>
      <c r="AZ179" t="s">
        <v>134</v>
      </c>
      <c r="BA179" t="s">
        <v>134</v>
      </c>
      <c r="BB179" t="s">
        <v>134</v>
      </c>
      <c r="BC179" t="s">
        <v>134</v>
      </c>
      <c r="BD179" t="s">
        <v>134</v>
      </c>
      <c r="BE179" t="s">
        <v>134</v>
      </c>
      <c r="BF179">
        <v>9.4623000000000008</v>
      </c>
      <c r="BG179">
        <v>28.169799999999999</v>
      </c>
      <c r="BH179">
        <v>38.050400000000003</v>
      </c>
      <c r="BI179">
        <v>-82.874499999999998</v>
      </c>
      <c r="BJ179">
        <v>-82.841800000000006</v>
      </c>
      <c r="BK179" t="s">
        <v>134</v>
      </c>
      <c r="BL179" t="s">
        <v>134</v>
      </c>
      <c r="BM179" t="s">
        <v>134</v>
      </c>
      <c r="BN179" t="s">
        <v>134</v>
      </c>
      <c r="BO179" t="s">
        <v>134</v>
      </c>
      <c r="BP179" t="s">
        <v>134</v>
      </c>
      <c r="BQ179" t="s">
        <v>134</v>
      </c>
      <c r="BR179" t="s">
        <v>134</v>
      </c>
      <c r="BS179" t="s">
        <v>134</v>
      </c>
      <c r="BT179" t="s">
        <v>134</v>
      </c>
      <c r="BU179" t="s">
        <v>134</v>
      </c>
      <c r="BV179" t="s">
        <v>134</v>
      </c>
      <c r="BW179" t="s">
        <v>134</v>
      </c>
      <c r="BX179" t="s">
        <v>134</v>
      </c>
      <c r="BY179" t="s">
        <v>134</v>
      </c>
      <c r="BZ179" t="s">
        <v>134</v>
      </c>
      <c r="CA179" t="s">
        <v>134</v>
      </c>
      <c r="CB179" t="s">
        <v>134</v>
      </c>
      <c r="CC179" t="s">
        <v>134</v>
      </c>
      <c r="CD179" t="s">
        <v>134</v>
      </c>
      <c r="CE179" t="s">
        <v>134</v>
      </c>
      <c r="CF179">
        <v>12.119300000000001</v>
      </c>
      <c r="CG179" t="s">
        <v>134</v>
      </c>
      <c r="CH179" t="s">
        <v>134</v>
      </c>
      <c r="CI179" t="s">
        <v>134</v>
      </c>
      <c r="CJ179" t="s">
        <v>134</v>
      </c>
      <c r="CK179" t="s">
        <v>134</v>
      </c>
      <c r="CL179" t="s">
        <v>134</v>
      </c>
      <c r="CM179" t="s">
        <v>134</v>
      </c>
      <c r="CN179" t="s">
        <v>134</v>
      </c>
      <c r="CO179" t="s">
        <v>134</v>
      </c>
      <c r="CP179">
        <v>3077.1</v>
      </c>
      <c r="CQ179" t="s">
        <v>134</v>
      </c>
      <c r="CR179">
        <v>2357.9</v>
      </c>
      <c r="CS179" t="s">
        <v>134</v>
      </c>
      <c r="CT179" t="s">
        <v>134</v>
      </c>
      <c r="CU179" t="s">
        <v>134</v>
      </c>
      <c r="CV179" t="s">
        <v>134</v>
      </c>
      <c r="CW179" t="s">
        <v>134</v>
      </c>
      <c r="CX179" t="s">
        <v>134</v>
      </c>
      <c r="CY179" t="s">
        <v>134</v>
      </c>
      <c r="CZ179" t="s">
        <v>134</v>
      </c>
      <c r="DA179" t="s">
        <v>134</v>
      </c>
      <c r="DB179" t="s">
        <v>134</v>
      </c>
      <c r="DC179" t="s">
        <v>134</v>
      </c>
      <c r="DD179" t="s">
        <v>134</v>
      </c>
      <c r="DE179" t="s">
        <v>134</v>
      </c>
      <c r="DF179" t="s">
        <v>134</v>
      </c>
      <c r="DG179" t="s">
        <v>134</v>
      </c>
      <c r="DH179" t="s">
        <v>134</v>
      </c>
      <c r="DI179" t="s">
        <v>134</v>
      </c>
    </row>
    <row r="180" spans="1:113" x14ac:dyDescent="0.3">
      <c r="E180" t="s">
        <v>79</v>
      </c>
      <c r="F180">
        <v>16.891300000000001</v>
      </c>
      <c r="G180">
        <v>6.0191999999999997</v>
      </c>
      <c r="H180">
        <v>9.1598000000000006</v>
      </c>
      <c r="I180">
        <v>11.914400000000001</v>
      </c>
      <c r="J180">
        <v>23.101700000000001</v>
      </c>
      <c r="K180">
        <v>19.063700000000001</v>
      </c>
      <c r="L180">
        <v>41.130600000000001</v>
      </c>
      <c r="M180">
        <v>14.438599999999999</v>
      </c>
      <c r="N180">
        <v>12.3248</v>
      </c>
      <c r="O180">
        <v>12.382199999999999</v>
      </c>
      <c r="P180">
        <v>12.382199999999999</v>
      </c>
      <c r="Q180">
        <v>14.6403</v>
      </c>
      <c r="R180" t="s">
        <v>134</v>
      </c>
      <c r="S180" t="s">
        <v>134</v>
      </c>
      <c r="T180">
        <v>28.1172</v>
      </c>
      <c r="U180">
        <v>75.143799999999999</v>
      </c>
      <c r="V180">
        <v>89.934399999999997</v>
      </c>
      <c r="W180">
        <v>5.6666999999999996</v>
      </c>
      <c r="X180">
        <v>5.4973999999999998</v>
      </c>
      <c r="Y180" t="s">
        <v>134</v>
      </c>
      <c r="Z180">
        <v>58.5944</v>
      </c>
      <c r="AA180">
        <v>14.018599999999999</v>
      </c>
      <c r="AB180">
        <v>1.2849999999999999</v>
      </c>
      <c r="AC180">
        <v>22.020299999999999</v>
      </c>
      <c r="AD180">
        <v>26.7072</v>
      </c>
      <c r="AE180">
        <v>56.344700000000003</v>
      </c>
      <c r="AF180">
        <v>44.812899999999999</v>
      </c>
      <c r="AG180">
        <v>31.1418</v>
      </c>
      <c r="AH180">
        <v>20.9846</v>
      </c>
      <c r="AI180">
        <v>20.1843</v>
      </c>
      <c r="AJ180">
        <v>20.6174</v>
      </c>
      <c r="AK180">
        <v>19.752700000000001</v>
      </c>
      <c r="AL180" t="s">
        <v>134</v>
      </c>
      <c r="AM180">
        <v>22.037400000000002</v>
      </c>
      <c r="AN180">
        <v>28.541899999999998</v>
      </c>
      <c r="AO180">
        <v>30.361799999999999</v>
      </c>
      <c r="AP180" t="s">
        <v>134</v>
      </c>
      <c r="AQ180" t="s">
        <v>134</v>
      </c>
      <c r="AR180" t="s">
        <v>134</v>
      </c>
      <c r="AS180" t="s">
        <v>134</v>
      </c>
      <c r="AT180" t="s">
        <v>134</v>
      </c>
      <c r="AU180" t="s">
        <v>134</v>
      </c>
      <c r="AV180" t="s">
        <v>134</v>
      </c>
      <c r="AW180" t="s">
        <v>134</v>
      </c>
      <c r="AX180" t="s">
        <v>134</v>
      </c>
      <c r="AY180" t="s">
        <v>134</v>
      </c>
      <c r="AZ180" t="s">
        <v>134</v>
      </c>
      <c r="BA180" t="s">
        <v>134</v>
      </c>
      <c r="BB180" t="s">
        <v>134</v>
      </c>
      <c r="BC180" t="s">
        <v>134</v>
      </c>
      <c r="BD180" t="s">
        <v>134</v>
      </c>
      <c r="BE180" t="s">
        <v>134</v>
      </c>
      <c r="BF180">
        <v>11.6427</v>
      </c>
      <c r="BG180">
        <v>42.455599999999997</v>
      </c>
      <c r="BH180">
        <v>53.411900000000003</v>
      </c>
      <c r="BI180">
        <v>1163.172</v>
      </c>
      <c r="BJ180">
        <v>1159.375</v>
      </c>
      <c r="BK180" t="s">
        <v>134</v>
      </c>
      <c r="BL180" t="s">
        <v>134</v>
      </c>
      <c r="BM180" t="s">
        <v>134</v>
      </c>
      <c r="BN180" t="s">
        <v>134</v>
      </c>
      <c r="BO180" t="s">
        <v>134</v>
      </c>
      <c r="BP180" t="s">
        <v>134</v>
      </c>
      <c r="BQ180" t="s">
        <v>134</v>
      </c>
      <c r="BR180" t="s">
        <v>134</v>
      </c>
      <c r="BS180" t="s">
        <v>134</v>
      </c>
      <c r="BT180" t="s">
        <v>134</v>
      </c>
      <c r="BU180" t="s">
        <v>134</v>
      </c>
      <c r="BV180" t="s">
        <v>134</v>
      </c>
      <c r="BW180" t="s">
        <v>134</v>
      </c>
      <c r="BX180" t="s">
        <v>134</v>
      </c>
      <c r="BY180">
        <v>35058.300000000003</v>
      </c>
      <c r="BZ180">
        <v>23114.799999999999</v>
      </c>
      <c r="CA180">
        <v>11943.5</v>
      </c>
      <c r="CB180">
        <v>2.8153999999999999</v>
      </c>
      <c r="CC180">
        <v>2.5695999999999999</v>
      </c>
      <c r="CD180">
        <v>3.6269</v>
      </c>
      <c r="CE180">
        <v>3.3102</v>
      </c>
      <c r="CF180">
        <v>17.833600000000001</v>
      </c>
      <c r="CG180">
        <v>35.338500000000003</v>
      </c>
      <c r="CH180">
        <v>40.447000000000003</v>
      </c>
      <c r="CI180">
        <v>18.492100000000001</v>
      </c>
      <c r="CJ180">
        <v>14.407</v>
      </c>
      <c r="CK180">
        <v>118.72580000000001</v>
      </c>
      <c r="CL180">
        <v>54.280700000000003</v>
      </c>
      <c r="CM180">
        <v>42.289499999999997</v>
      </c>
      <c r="CN180">
        <v>108.36</v>
      </c>
      <c r="CO180">
        <v>52.006100000000004</v>
      </c>
      <c r="CP180">
        <v>4383.5</v>
      </c>
      <c r="CQ180" t="s">
        <v>134</v>
      </c>
      <c r="CR180">
        <v>3617.3</v>
      </c>
      <c r="CS180">
        <v>7.6399999999999996E-2</v>
      </c>
      <c r="CT180">
        <v>1.234</v>
      </c>
      <c r="CU180">
        <v>0.58320000000000005</v>
      </c>
      <c r="CV180">
        <v>2.5354999999999999</v>
      </c>
      <c r="CW180">
        <v>4.0488999999999997</v>
      </c>
      <c r="CX180">
        <v>90.147499999999994</v>
      </c>
      <c r="CY180">
        <v>1.7124000000000001</v>
      </c>
      <c r="CZ180">
        <v>213.15110000000001</v>
      </c>
      <c r="DA180">
        <v>3.1429999999999998</v>
      </c>
      <c r="DB180">
        <v>116.12990000000001</v>
      </c>
      <c r="DC180">
        <v>187.1687</v>
      </c>
      <c r="DD180">
        <v>303.29860000000002</v>
      </c>
      <c r="DE180">
        <v>21182.6</v>
      </c>
      <c r="DF180" t="s">
        <v>134</v>
      </c>
      <c r="DG180" t="s">
        <v>134</v>
      </c>
      <c r="DH180" t="s">
        <v>134</v>
      </c>
      <c r="DI180" t="s">
        <v>134</v>
      </c>
    </row>
    <row r="181" spans="1:113" x14ac:dyDescent="0.3">
      <c r="E181" t="s">
        <v>80</v>
      </c>
      <c r="F181" t="s">
        <v>134</v>
      </c>
      <c r="G181" t="s">
        <v>134</v>
      </c>
      <c r="H181" t="s">
        <v>134</v>
      </c>
      <c r="I181" t="s">
        <v>134</v>
      </c>
      <c r="J181">
        <v>30.147200000000002</v>
      </c>
      <c r="K181">
        <v>26.5898</v>
      </c>
      <c r="L181">
        <v>63.320599999999999</v>
      </c>
      <c r="M181">
        <v>25.7422</v>
      </c>
      <c r="N181">
        <v>19.485700000000001</v>
      </c>
      <c r="O181">
        <v>19.549800000000001</v>
      </c>
      <c r="P181">
        <v>19.549800000000001</v>
      </c>
      <c r="Q181">
        <v>24.3047</v>
      </c>
      <c r="R181" t="s">
        <v>134</v>
      </c>
      <c r="S181" t="s">
        <v>134</v>
      </c>
      <c r="T181">
        <v>37.602400000000003</v>
      </c>
      <c r="U181">
        <v>148.47550000000001</v>
      </c>
      <c r="V181">
        <v>186.33449999999999</v>
      </c>
      <c r="W181">
        <v>354.73259999999999</v>
      </c>
      <c r="X181">
        <v>354.60320000000002</v>
      </c>
      <c r="Y181" t="s">
        <v>134</v>
      </c>
      <c r="Z181" t="s">
        <v>134</v>
      </c>
      <c r="AA181" t="s">
        <v>134</v>
      </c>
      <c r="AB181" t="s">
        <v>134</v>
      </c>
      <c r="AC181" t="s">
        <v>134</v>
      </c>
      <c r="AD181" t="s">
        <v>134</v>
      </c>
      <c r="AE181" t="s">
        <v>134</v>
      </c>
      <c r="AF181" t="s">
        <v>134</v>
      </c>
      <c r="AG181" t="s">
        <v>134</v>
      </c>
      <c r="AH181" t="s">
        <v>134</v>
      </c>
      <c r="AI181" t="s">
        <v>134</v>
      </c>
      <c r="AJ181" t="s">
        <v>134</v>
      </c>
      <c r="AK181" t="s">
        <v>134</v>
      </c>
      <c r="AL181" t="s">
        <v>134</v>
      </c>
      <c r="AM181">
        <v>23.7742</v>
      </c>
      <c r="AN181">
        <v>32.476799999999997</v>
      </c>
      <c r="AO181">
        <v>34.985900000000001</v>
      </c>
      <c r="AP181">
        <v>58.420299999999997</v>
      </c>
      <c r="AQ181">
        <v>63.171599999999998</v>
      </c>
      <c r="AR181" t="s">
        <v>134</v>
      </c>
      <c r="AS181" t="s">
        <v>134</v>
      </c>
      <c r="AT181" t="s">
        <v>134</v>
      </c>
      <c r="AU181" t="s">
        <v>134</v>
      </c>
      <c r="AV181" t="s">
        <v>134</v>
      </c>
      <c r="AW181" t="s">
        <v>134</v>
      </c>
      <c r="AX181" t="s">
        <v>134</v>
      </c>
      <c r="AY181" t="s">
        <v>134</v>
      </c>
      <c r="AZ181" t="s">
        <v>134</v>
      </c>
      <c r="BA181" t="s">
        <v>134</v>
      </c>
      <c r="BB181" t="s">
        <v>134</v>
      </c>
      <c r="BC181" t="s">
        <v>134</v>
      </c>
      <c r="BD181" t="s">
        <v>134</v>
      </c>
      <c r="BE181" t="s">
        <v>134</v>
      </c>
      <c r="BF181">
        <v>12.5451</v>
      </c>
      <c r="BG181">
        <v>46.868899999999996</v>
      </c>
      <c r="BH181">
        <v>56.976199999999999</v>
      </c>
      <c r="BI181">
        <v>77.693100000000001</v>
      </c>
      <c r="BJ181">
        <v>77.667500000000004</v>
      </c>
      <c r="BK181" t="s">
        <v>134</v>
      </c>
      <c r="BL181" t="s">
        <v>134</v>
      </c>
      <c r="BM181" t="s">
        <v>134</v>
      </c>
      <c r="BN181" t="s">
        <v>134</v>
      </c>
      <c r="BO181" t="s">
        <v>134</v>
      </c>
      <c r="BP181" t="s">
        <v>134</v>
      </c>
      <c r="BQ181" t="s">
        <v>134</v>
      </c>
      <c r="BR181" t="s">
        <v>134</v>
      </c>
      <c r="BS181" t="s">
        <v>134</v>
      </c>
      <c r="BT181" t="s">
        <v>134</v>
      </c>
      <c r="BU181" t="s">
        <v>134</v>
      </c>
      <c r="BV181" t="s">
        <v>134</v>
      </c>
      <c r="BW181" t="s">
        <v>134</v>
      </c>
      <c r="BX181" t="s">
        <v>134</v>
      </c>
      <c r="BY181" t="s">
        <v>134</v>
      </c>
      <c r="BZ181" t="s">
        <v>134</v>
      </c>
      <c r="CA181" t="s">
        <v>134</v>
      </c>
      <c r="CB181" t="s">
        <v>134</v>
      </c>
      <c r="CC181" t="s">
        <v>134</v>
      </c>
      <c r="CD181" t="s">
        <v>134</v>
      </c>
      <c r="CE181" t="s">
        <v>134</v>
      </c>
      <c r="CF181">
        <v>27.1188</v>
      </c>
      <c r="CG181" t="s">
        <v>134</v>
      </c>
      <c r="CH181" t="s">
        <v>134</v>
      </c>
      <c r="CI181" t="s">
        <v>134</v>
      </c>
      <c r="CJ181" t="s">
        <v>134</v>
      </c>
      <c r="CK181" t="s">
        <v>134</v>
      </c>
      <c r="CL181" t="s">
        <v>134</v>
      </c>
      <c r="CM181" t="s">
        <v>134</v>
      </c>
      <c r="CN181" t="s">
        <v>134</v>
      </c>
      <c r="CO181" t="s">
        <v>134</v>
      </c>
      <c r="CP181">
        <v>6438</v>
      </c>
      <c r="CQ181" t="s">
        <v>134</v>
      </c>
      <c r="CR181">
        <v>5678.3</v>
      </c>
      <c r="CS181" t="s">
        <v>134</v>
      </c>
      <c r="CT181" t="s">
        <v>134</v>
      </c>
      <c r="CU181" t="s">
        <v>134</v>
      </c>
      <c r="CV181" t="s">
        <v>134</v>
      </c>
      <c r="CW181" t="s">
        <v>134</v>
      </c>
      <c r="CX181" t="s">
        <v>134</v>
      </c>
      <c r="CY181" t="s">
        <v>134</v>
      </c>
      <c r="CZ181" t="s">
        <v>134</v>
      </c>
      <c r="DA181" t="s">
        <v>134</v>
      </c>
      <c r="DB181" t="s">
        <v>134</v>
      </c>
      <c r="DC181" t="s">
        <v>134</v>
      </c>
      <c r="DD181" t="s">
        <v>134</v>
      </c>
      <c r="DE181" t="s">
        <v>134</v>
      </c>
      <c r="DF181" t="s">
        <v>134</v>
      </c>
      <c r="DG181" t="s">
        <v>134</v>
      </c>
      <c r="DH181" t="s">
        <v>134</v>
      </c>
      <c r="DI181" t="s">
        <v>134</v>
      </c>
    </row>
    <row r="182" spans="1:113" x14ac:dyDescent="0.3">
      <c r="E182" t="s">
        <v>81</v>
      </c>
      <c r="F182">
        <v>36.905799999999999</v>
      </c>
      <c r="G182">
        <v>13.993600000000001</v>
      </c>
      <c r="H182">
        <v>18.4069</v>
      </c>
      <c r="I182">
        <v>18.997299999999999</v>
      </c>
      <c r="J182">
        <v>32.219799999999999</v>
      </c>
      <c r="K182">
        <v>28.4026</v>
      </c>
      <c r="L182">
        <v>64.276399999999995</v>
      </c>
      <c r="M182">
        <v>28.9221</v>
      </c>
      <c r="N182">
        <v>21.7544</v>
      </c>
      <c r="O182">
        <v>21.7622</v>
      </c>
      <c r="P182">
        <v>21.7622</v>
      </c>
      <c r="Q182">
        <v>24.783000000000001</v>
      </c>
      <c r="R182" t="s">
        <v>134</v>
      </c>
      <c r="S182" t="s">
        <v>134</v>
      </c>
      <c r="T182">
        <v>48.509700000000002</v>
      </c>
      <c r="U182">
        <v>209.45930000000001</v>
      </c>
      <c r="V182">
        <v>283.44850000000002</v>
      </c>
      <c r="W182">
        <v>362.02929999999998</v>
      </c>
      <c r="X182">
        <v>361.39409999999998</v>
      </c>
      <c r="Y182" t="s">
        <v>134</v>
      </c>
      <c r="Z182">
        <v>65.097200000000001</v>
      </c>
      <c r="AA182">
        <v>23.0792</v>
      </c>
      <c r="AB182">
        <v>6.3730000000000002</v>
      </c>
      <c r="AC182">
        <v>30.482800000000001</v>
      </c>
      <c r="AD182">
        <v>42.869300000000003</v>
      </c>
      <c r="AE182">
        <v>99.900800000000004</v>
      </c>
      <c r="AF182">
        <v>40.202300000000001</v>
      </c>
      <c r="AG182">
        <v>8.8570999999999991</v>
      </c>
      <c r="AH182">
        <v>9.7127999999999997</v>
      </c>
      <c r="AI182">
        <v>44.293700000000001</v>
      </c>
      <c r="AJ182">
        <v>24.664300000000001</v>
      </c>
      <c r="AK182">
        <v>43.796399999999998</v>
      </c>
      <c r="AL182" t="s">
        <v>134</v>
      </c>
      <c r="AM182">
        <v>22.089500000000001</v>
      </c>
      <c r="AN182">
        <v>33.384099999999997</v>
      </c>
      <c r="AO182">
        <v>35.993600000000001</v>
      </c>
      <c r="AP182">
        <v>44.359900000000003</v>
      </c>
      <c r="AQ182">
        <v>47.392800000000001</v>
      </c>
      <c r="AR182" t="s">
        <v>134</v>
      </c>
      <c r="AS182">
        <v>24.266300000000001</v>
      </c>
      <c r="AT182">
        <v>21.9543</v>
      </c>
      <c r="AU182">
        <v>8.8474000000000004</v>
      </c>
      <c r="AV182">
        <v>17.559000000000001</v>
      </c>
      <c r="AW182">
        <v>23.869399999999999</v>
      </c>
      <c r="AX182">
        <v>17.480899999999998</v>
      </c>
      <c r="AY182">
        <v>21.289000000000001</v>
      </c>
      <c r="AZ182">
        <v>17.748699999999999</v>
      </c>
      <c r="BA182">
        <v>9.9603000000000002</v>
      </c>
      <c r="BB182">
        <v>24.856000000000002</v>
      </c>
      <c r="BC182">
        <v>16.0212</v>
      </c>
      <c r="BD182">
        <v>22.7486</v>
      </c>
      <c r="BE182" t="s">
        <v>134</v>
      </c>
      <c r="BF182">
        <v>7.9774000000000003</v>
      </c>
      <c r="BG182">
        <v>15.400700000000001</v>
      </c>
      <c r="BH182">
        <v>15.3391</v>
      </c>
      <c r="BI182">
        <v>20.196899999999999</v>
      </c>
      <c r="BJ182">
        <v>20.1816</v>
      </c>
      <c r="BK182" t="s">
        <v>134</v>
      </c>
      <c r="BL182" t="s">
        <v>134</v>
      </c>
      <c r="BM182" t="s">
        <v>134</v>
      </c>
      <c r="BN182" t="s">
        <v>134</v>
      </c>
      <c r="BO182" t="s">
        <v>134</v>
      </c>
      <c r="BP182" t="s">
        <v>134</v>
      </c>
      <c r="BQ182" t="s">
        <v>134</v>
      </c>
      <c r="BR182" t="s">
        <v>134</v>
      </c>
      <c r="BS182" t="s">
        <v>134</v>
      </c>
      <c r="BT182" t="s">
        <v>134</v>
      </c>
      <c r="BU182" t="s">
        <v>134</v>
      </c>
      <c r="BV182" t="s">
        <v>134</v>
      </c>
      <c r="BW182" t="s">
        <v>134</v>
      </c>
      <c r="BX182" t="s">
        <v>134</v>
      </c>
      <c r="BY182">
        <v>37691.4</v>
      </c>
      <c r="BZ182">
        <v>24897.8</v>
      </c>
      <c r="CA182">
        <v>12793.6</v>
      </c>
      <c r="CB182">
        <v>1.7671999999999999</v>
      </c>
      <c r="CC182">
        <v>1.6835</v>
      </c>
      <c r="CD182">
        <v>2.0705999999999998</v>
      </c>
      <c r="CE182">
        <v>1.9725000000000001</v>
      </c>
      <c r="CF182">
        <v>21.704599999999999</v>
      </c>
      <c r="CG182">
        <v>39.517600000000002</v>
      </c>
      <c r="CH182">
        <v>33.883000000000003</v>
      </c>
      <c r="CI182">
        <v>16.956499999999998</v>
      </c>
      <c r="CJ182">
        <v>13.481400000000001</v>
      </c>
      <c r="CK182">
        <v>99.823099999999997</v>
      </c>
      <c r="CL182">
        <v>49.9557</v>
      </c>
      <c r="CM182">
        <v>39.717700000000001</v>
      </c>
      <c r="CN182">
        <v>95.092699999999994</v>
      </c>
      <c r="CO182">
        <v>48.7423</v>
      </c>
      <c r="CP182">
        <v>7429.5</v>
      </c>
      <c r="CQ182" t="s">
        <v>134</v>
      </c>
      <c r="CR182">
        <v>6549.3</v>
      </c>
      <c r="CS182">
        <v>4.2299999999999997E-2</v>
      </c>
      <c r="CT182">
        <v>1.3344</v>
      </c>
      <c r="CU182">
        <v>0.66710000000000003</v>
      </c>
      <c r="CV182">
        <v>3.6322000000000001</v>
      </c>
      <c r="CW182">
        <v>3.7974999999999999</v>
      </c>
      <c r="CX182">
        <v>96.115499999999997</v>
      </c>
      <c r="CY182">
        <v>1.7282</v>
      </c>
      <c r="CZ182">
        <v>211.1987</v>
      </c>
      <c r="DA182">
        <v>3.5871</v>
      </c>
      <c r="DB182">
        <v>101.7535</v>
      </c>
      <c r="DC182">
        <v>205.5608</v>
      </c>
      <c r="DD182">
        <v>307.3143</v>
      </c>
      <c r="DE182">
        <v>23675.4</v>
      </c>
      <c r="DF182">
        <v>9099.4</v>
      </c>
      <c r="DG182">
        <v>5681.1</v>
      </c>
      <c r="DH182">
        <v>6721.1</v>
      </c>
      <c r="DI182">
        <v>2173.8000000000002</v>
      </c>
    </row>
    <row r="183" spans="1:113" x14ac:dyDescent="0.3">
      <c r="D183" t="s">
        <v>82</v>
      </c>
      <c r="E183" t="s">
        <v>77</v>
      </c>
      <c r="F183">
        <v>35.386499999999998</v>
      </c>
      <c r="G183">
        <v>14.066700000000001</v>
      </c>
      <c r="H183">
        <v>18.892099999999999</v>
      </c>
      <c r="I183">
        <v>18.084700000000002</v>
      </c>
      <c r="J183">
        <v>21.1511</v>
      </c>
      <c r="K183">
        <v>18.4069</v>
      </c>
      <c r="L183">
        <v>10.2156</v>
      </c>
      <c r="M183">
        <v>17.8858</v>
      </c>
      <c r="N183">
        <v>12.9636</v>
      </c>
      <c r="O183">
        <v>13.0008</v>
      </c>
      <c r="P183">
        <v>13.0008</v>
      </c>
      <c r="Q183">
        <v>27.5199</v>
      </c>
      <c r="R183">
        <v>8.3312000000000008</v>
      </c>
      <c r="S183">
        <v>32.438400000000001</v>
      </c>
      <c r="T183">
        <v>49.639899999999997</v>
      </c>
      <c r="U183">
        <v>20.1997</v>
      </c>
      <c r="V183">
        <v>22.564799999999998</v>
      </c>
      <c r="W183">
        <v>34.353900000000003</v>
      </c>
      <c r="X183">
        <v>34.261600000000001</v>
      </c>
      <c r="Y183">
        <v>50</v>
      </c>
      <c r="Z183">
        <v>34.233899999999998</v>
      </c>
      <c r="AA183">
        <v>52.533900000000003</v>
      </c>
      <c r="AB183">
        <v>16.5794</v>
      </c>
      <c r="AC183">
        <v>36.087699999999998</v>
      </c>
      <c r="AD183">
        <v>39.596899999999998</v>
      </c>
      <c r="AE183">
        <v>53.2378</v>
      </c>
      <c r="AF183">
        <v>51.799900000000001</v>
      </c>
      <c r="AG183">
        <v>24.0913</v>
      </c>
      <c r="AH183">
        <v>18.092500000000001</v>
      </c>
      <c r="AI183">
        <v>37.2346</v>
      </c>
      <c r="AJ183">
        <v>27.672000000000001</v>
      </c>
      <c r="AK183">
        <v>37.238100000000003</v>
      </c>
      <c r="AL183">
        <v>111.8797</v>
      </c>
      <c r="AM183">
        <v>27.655200000000001</v>
      </c>
      <c r="AN183">
        <v>25.5078</v>
      </c>
      <c r="AO183">
        <v>27.053799999999999</v>
      </c>
      <c r="AP183">
        <v>22.838699999999999</v>
      </c>
      <c r="AQ183">
        <v>24.818100000000001</v>
      </c>
      <c r="AR183">
        <v>35.095999999999997</v>
      </c>
      <c r="AS183">
        <v>29.923500000000001</v>
      </c>
      <c r="AT183">
        <v>26.783000000000001</v>
      </c>
      <c r="AU183">
        <v>8.5731999999999999</v>
      </c>
      <c r="AV183">
        <v>21.933900000000001</v>
      </c>
      <c r="AW183">
        <v>28.524699999999999</v>
      </c>
      <c r="AX183">
        <v>31.474699999999999</v>
      </c>
      <c r="AY183">
        <v>27.6831</v>
      </c>
      <c r="AZ183">
        <v>19.625499999999999</v>
      </c>
      <c r="BA183">
        <v>15.470599999999999</v>
      </c>
      <c r="BB183">
        <v>23.095700000000001</v>
      </c>
      <c r="BC183">
        <v>19.2073</v>
      </c>
      <c r="BD183">
        <v>21.8858</v>
      </c>
      <c r="BE183">
        <v>25.709499999999998</v>
      </c>
      <c r="BF183">
        <v>49.639899999999997</v>
      </c>
      <c r="BG183">
        <v>20.1997</v>
      </c>
      <c r="BH183">
        <v>22.564799999999998</v>
      </c>
      <c r="BI183">
        <v>34.353900000000003</v>
      </c>
      <c r="BJ183">
        <v>34.261600000000001</v>
      </c>
      <c r="BK183">
        <v>50</v>
      </c>
      <c r="BL183">
        <v>34.233899999999998</v>
      </c>
      <c r="BM183">
        <v>52.533900000000003</v>
      </c>
      <c r="BN183">
        <v>16.5794</v>
      </c>
      <c r="BO183">
        <v>36.087699999999998</v>
      </c>
      <c r="BP183">
        <v>39.596899999999998</v>
      </c>
      <c r="BQ183">
        <v>53.2378</v>
      </c>
      <c r="BR183">
        <v>51.799900000000001</v>
      </c>
      <c r="BS183">
        <v>24.0913</v>
      </c>
      <c r="BT183">
        <v>18.092500000000001</v>
      </c>
      <c r="BU183">
        <v>37.2346</v>
      </c>
      <c r="BV183">
        <v>27.672000000000001</v>
      </c>
      <c r="BW183">
        <v>37.238100000000003</v>
      </c>
      <c r="BX183">
        <v>111.8797</v>
      </c>
      <c r="BY183">
        <v>44510.7</v>
      </c>
      <c r="BZ183">
        <v>30896</v>
      </c>
      <c r="CA183">
        <v>13614.7</v>
      </c>
      <c r="CB183">
        <v>1.7362</v>
      </c>
      <c r="CC183">
        <v>1.5455999999999999</v>
      </c>
      <c r="CD183">
        <v>1.9950999999999999</v>
      </c>
      <c r="CE183">
        <v>1.776</v>
      </c>
      <c r="CF183">
        <v>36.178699999999999</v>
      </c>
      <c r="CG183">
        <v>39.923499999999997</v>
      </c>
      <c r="CH183">
        <v>26.2744</v>
      </c>
      <c r="CI183">
        <v>14.133699999999999</v>
      </c>
      <c r="CJ183">
        <v>10.542199999999999</v>
      </c>
      <c r="CK183">
        <v>85.899299999999997</v>
      </c>
      <c r="CL183">
        <v>46.2074</v>
      </c>
      <c r="CM183">
        <v>34.465699999999998</v>
      </c>
      <c r="CN183">
        <v>76.466899999999995</v>
      </c>
      <c r="CO183">
        <v>43.3322</v>
      </c>
      <c r="CP183">
        <v>25636.2</v>
      </c>
      <c r="CQ183">
        <v>17953.3</v>
      </c>
      <c r="CR183">
        <v>22310.1</v>
      </c>
      <c r="CS183">
        <v>7.9600000000000004E-2</v>
      </c>
      <c r="CT183">
        <v>1.3524</v>
      </c>
      <c r="CU183">
        <v>0.65639999999999998</v>
      </c>
      <c r="CV183">
        <v>5.0338000000000003</v>
      </c>
      <c r="CW183">
        <v>3.9252000000000002</v>
      </c>
      <c r="CX183">
        <v>92.988799999999998</v>
      </c>
      <c r="CY183">
        <v>1.9519</v>
      </c>
      <c r="CZ183">
        <v>186.99629999999999</v>
      </c>
      <c r="DA183">
        <v>4.1612</v>
      </c>
      <c r="DB183">
        <v>87.715400000000002</v>
      </c>
      <c r="DC183">
        <v>192.2697</v>
      </c>
      <c r="DD183">
        <v>279.98509999999999</v>
      </c>
      <c r="DE183">
        <v>36113</v>
      </c>
      <c r="DF183">
        <v>12016.5</v>
      </c>
      <c r="DG183">
        <v>7616.8</v>
      </c>
      <c r="DH183">
        <v>13702.3</v>
      </c>
      <c r="DI183">
        <v>2777.4</v>
      </c>
    </row>
    <row r="184" spans="1:113" x14ac:dyDescent="0.3">
      <c r="E184" t="s">
        <v>78</v>
      </c>
      <c r="F184" t="s">
        <v>134</v>
      </c>
      <c r="G184" t="s">
        <v>134</v>
      </c>
      <c r="H184" t="s">
        <v>134</v>
      </c>
      <c r="I184" t="s">
        <v>134</v>
      </c>
      <c r="J184">
        <v>22.737100000000002</v>
      </c>
      <c r="K184">
        <v>19.5992</v>
      </c>
      <c r="L184">
        <v>27.742899999999999</v>
      </c>
      <c r="M184">
        <v>19.3705</v>
      </c>
      <c r="N184">
        <v>14.3118</v>
      </c>
      <c r="O184">
        <v>14.351800000000001</v>
      </c>
      <c r="P184">
        <v>14.351800000000001</v>
      </c>
      <c r="Q184">
        <v>26.115600000000001</v>
      </c>
      <c r="R184" t="s">
        <v>134</v>
      </c>
      <c r="S184" t="s">
        <v>134</v>
      </c>
      <c r="T184">
        <v>70.311199999999999</v>
      </c>
      <c r="U184">
        <v>113.8865</v>
      </c>
      <c r="V184">
        <v>140.60390000000001</v>
      </c>
      <c r="W184">
        <v>2133.4946</v>
      </c>
      <c r="X184">
        <v>2126.5625</v>
      </c>
      <c r="Y184" t="s">
        <v>134</v>
      </c>
      <c r="Z184" t="s">
        <v>134</v>
      </c>
      <c r="AA184" t="s">
        <v>134</v>
      </c>
      <c r="AB184" t="s">
        <v>134</v>
      </c>
      <c r="AC184" t="s">
        <v>134</v>
      </c>
      <c r="AD184" t="s">
        <v>134</v>
      </c>
      <c r="AE184" t="s">
        <v>134</v>
      </c>
      <c r="AF184" t="s">
        <v>134</v>
      </c>
      <c r="AG184" t="s">
        <v>134</v>
      </c>
      <c r="AH184" t="s">
        <v>134</v>
      </c>
      <c r="AI184" t="s">
        <v>134</v>
      </c>
      <c r="AJ184" t="s">
        <v>134</v>
      </c>
      <c r="AK184" t="s">
        <v>134</v>
      </c>
      <c r="AL184" t="s">
        <v>134</v>
      </c>
      <c r="AM184">
        <v>29.020399999999999</v>
      </c>
      <c r="AN184">
        <v>27.452000000000002</v>
      </c>
      <c r="AO184">
        <v>28.418299999999999</v>
      </c>
      <c r="AP184" t="s">
        <v>134</v>
      </c>
      <c r="AQ184" t="s">
        <v>134</v>
      </c>
      <c r="AR184" t="s">
        <v>134</v>
      </c>
      <c r="AS184" t="s">
        <v>134</v>
      </c>
      <c r="AT184" t="s">
        <v>134</v>
      </c>
      <c r="AU184" t="s">
        <v>134</v>
      </c>
      <c r="AV184" t="s">
        <v>134</v>
      </c>
      <c r="AW184" t="s">
        <v>134</v>
      </c>
      <c r="AX184" t="s">
        <v>134</v>
      </c>
      <c r="AY184" t="s">
        <v>134</v>
      </c>
      <c r="AZ184" t="s">
        <v>134</v>
      </c>
      <c r="BA184" t="s">
        <v>134</v>
      </c>
      <c r="BB184" t="s">
        <v>134</v>
      </c>
      <c r="BC184" t="s">
        <v>134</v>
      </c>
      <c r="BD184" t="s">
        <v>134</v>
      </c>
      <c r="BE184" t="s">
        <v>134</v>
      </c>
      <c r="BF184">
        <v>25.531700000000001</v>
      </c>
      <c r="BG184">
        <v>-11.414</v>
      </c>
      <c r="BH184">
        <v>-13.377000000000001</v>
      </c>
      <c r="BI184">
        <v>-17.213699999999999</v>
      </c>
      <c r="BJ184">
        <v>-17.199300000000001</v>
      </c>
      <c r="BK184" t="s">
        <v>134</v>
      </c>
      <c r="BL184" t="s">
        <v>134</v>
      </c>
      <c r="BM184" t="s">
        <v>134</v>
      </c>
      <c r="BN184" t="s">
        <v>134</v>
      </c>
      <c r="BO184" t="s">
        <v>134</v>
      </c>
      <c r="BP184" t="s">
        <v>134</v>
      </c>
      <c r="BQ184" t="s">
        <v>134</v>
      </c>
      <c r="BR184" t="s">
        <v>134</v>
      </c>
      <c r="BS184" t="s">
        <v>134</v>
      </c>
      <c r="BT184" t="s">
        <v>134</v>
      </c>
      <c r="BU184" t="s">
        <v>134</v>
      </c>
      <c r="BV184" t="s">
        <v>134</v>
      </c>
      <c r="BW184" t="s">
        <v>134</v>
      </c>
      <c r="BX184" t="s">
        <v>134</v>
      </c>
      <c r="BY184" t="s">
        <v>134</v>
      </c>
      <c r="BZ184" t="s">
        <v>134</v>
      </c>
      <c r="CA184" t="s">
        <v>134</v>
      </c>
      <c r="CB184" t="s">
        <v>134</v>
      </c>
      <c r="CC184" t="s">
        <v>134</v>
      </c>
      <c r="CD184" t="s">
        <v>134</v>
      </c>
      <c r="CE184" t="s">
        <v>134</v>
      </c>
      <c r="CF184">
        <v>34.915100000000002</v>
      </c>
      <c r="CG184" t="s">
        <v>134</v>
      </c>
      <c r="CH184" t="s">
        <v>134</v>
      </c>
      <c r="CI184" t="s">
        <v>134</v>
      </c>
      <c r="CJ184" t="s">
        <v>134</v>
      </c>
      <c r="CK184" t="s">
        <v>134</v>
      </c>
      <c r="CL184" t="s">
        <v>134</v>
      </c>
      <c r="CM184" t="s">
        <v>134</v>
      </c>
      <c r="CN184" t="s">
        <v>134</v>
      </c>
      <c r="CO184" t="s">
        <v>134</v>
      </c>
      <c r="CP184">
        <v>6581.5</v>
      </c>
      <c r="CQ184" t="s">
        <v>134</v>
      </c>
      <c r="CR184">
        <v>5673.2</v>
      </c>
      <c r="CS184" t="s">
        <v>134</v>
      </c>
      <c r="CT184" t="s">
        <v>134</v>
      </c>
      <c r="CU184" t="s">
        <v>134</v>
      </c>
      <c r="CV184" t="s">
        <v>134</v>
      </c>
      <c r="CW184" t="s">
        <v>134</v>
      </c>
      <c r="CX184" t="s">
        <v>134</v>
      </c>
      <c r="CY184" t="s">
        <v>134</v>
      </c>
      <c r="CZ184" t="s">
        <v>134</v>
      </c>
      <c r="DA184" t="s">
        <v>134</v>
      </c>
      <c r="DB184" t="s">
        <v>134</v>
      </c>
      <c r="DC184" t="s">
        <v>134</v>
      </c>
      <c r="DD184" t="s">
        <v>134</v>
      </c>
      <c r="DE184" t="s">
        <v>134</v>
      </c>
      <c r="DF184" t="s">
        <v>134</v>
      </c>
      <c r="DG184" t="s">
        <v>134</v>
      </c>
      <c r="DH184" t="s">
        <v>134</v>
      </c>
      <c r="DI184" t="s">
        <v>134</v>
      </c>
    </row>
    <row r="185" spans="1:113" x14ac:dyDescent="0.3">
      <c r="E185" t="s">
        <v>79</v>
      </c>
      <c r="F185">
        <v>45.353200000000001</v>
      </c>
      <c r="G185">
        <v>17.260300000000001</v>
      </c>
      <c r="H185">
        <v>24.992000000000001</v>
      </c>
      <c r="I185">
        <v>23.923400000000001</v>
      </c>
      <c r="J185">
        <v>22.263000000000002</v>
      </c>
      <c r="K185">
        <v>19.123799999999999</v>
      </c>
      <c r="L185">
        <v>19.242100000000001</v>
      </c>
      <c r="M185">
        <v>17.8765</v>
      </c>
      <c r="N185">
        <v>12.9701</v>
      </c>
      <c r="O185">
        <v>13.003299999999999</v>
      </c>
      <c r="P185">
        <v>13.003299999999999</v>
      </c>
      <c r="Q185">
        <v>27.446000000000002</v>
      </c>
      <c r="R185" t="s">
        <v>134</v>
      </c>
      <c r="S185" t="s">
        <v>134</v>
      </c>
      <c r="T185">
        <v>50.8416</v>
      </c>
      <c r="U185">
        <v>45.365600000000001</v>
      </c>
      <c r="V185">
        <v>51.317300000000003</v>
      </c>
      <c r="W185">
        <v>58.408200000000001</v>
      </c>
      <c r="X185">
        <v>58.3127</v>
      </c>
      <c r="Y185" t="s">
        <v>134</v>
      </c>
      <c r="Z185">
        <v>59.757800000000003</v>
      </c>
      <c r="AA185">
        <v>66.139700000000005</v>
      </c>
      <c r="AB185">
        <v>8.6492000000000004</v>
      </c>
      <c r="AC185">
        <v>38.579799999999999</v>
      </c>
      <c r="AD185">
        <v>31.336300000000001</v>
      </c>
      <c r="AE185">
        <v>180.5214</v>
      </c>
      <c r="AF185">
        <v>126.611</v>
      </c>
      <c r="AG185">
        <v>-25.4054</v>
      </c>
      <c r="AH185">
        <v>-10.6591</v>
      </c>
      <c r="AI185">
        <v>56.519100000000002</v>
      </c>
      <c r="AJ185">
        <v>20.054300000000001</v>
      </c>
      <c r="AK185">
        <v>56.804299999999998</v>
      </c>
      <c r="AL185" t="s">
        <v>134</v>
      </c>
      <c r="AM185">
        <v>26.526900000000001</v>
      </c>
      <c r="AN185">
        <v>25.216799999999999</v>
      </c>
      <c r="AO185">
        <v>26.341000000000001</v>
      </c>
      <c r="AP185">
        <v>29.247800000000002</v>
      </c>
      <c r="AQ185">
        <v>31.9343</v>
      </c>
      <c r="AR185" t="s">
        <v>134</v>
      </c>
      <c r="AS185" t="s">
        <v>134</v>
      </c>
      <c r="AT185" t="s">
        <v>134</v>
      </c>
      <c r="AU185" t="s">
        <v>134</v>
      </c>
      <c r="AV185" t="s">
        <v>134</v>
      </c>
      <c r="AW185" t="s">
        <v>134</v>
      </c>
      <c r="AX185" t="s">
        <v>134</v>
      </c>
      <c r="AY185" t="s">
        <v>134</v>
      </c>
      <c r="AZ185" t="s">
        <v>134</v>
      </c>
      <c r="BA185" t="s">
        <v>134</v>
      </c>
      <c r="BB185" t="s">
        <v>134</v>
      </c>
      <c r="BC185" t="s">
        <v>134</v>
      </c>
      <c r="BD185" t="s">
        <v>134</v>
      </c>
      <c r="BE185" t="s">
        <v>134</v>
      </c>
      <c r="BF185">
        <v>-1.1200000000000001</v>
      </c>
      <c r="BG185">
        <v>-3.1816</v>
      </c>
      <c r="BH185">
        <v>-3.5183</v>
      </c>
      <c r="BI185">
        <v>-10.4109</v>
      </c>
      <c r="BJ185">
        <v>-10.456099999999999</v>
      </c>
      <c r="BK185" t="s">
        <v>134</v>
      </c>
      <c r="BL185" t="s">
        <v>134</v>
      </c>
      <c r="BM185" t="s">
        <v>134</v>
      </c>
      <c r="BN185" t="s">
        <v>134</v>
      </c>
      <c r="BO185" t="s">
        <v>134</v>
      </c>
      <c r="BP185" t="s">
        <v>134</v>
      </c>
      <c r="BQ185" t="s">
        <v>134</v>
      </c>
      <c r="BR185" t="s">
        <v>134</v>
      </c>
      <c r="BS185" t="s">
        <v>134</v>
      </c>
      <c r="BT185" t="s">
        <v>134</v>
      </c>
      <c r="BU185" t="s">
        <v>134</v>
      </c>
      <c r="BV185" t="s">
        <v>134</v>
      </c>
      <c r="BW185" t="s">
        <v>134</v>
      </c>
      <c r="BX185" t="s">
        <v>134</v>
      </c>
      <c r="BY185">
        <v>31321.4</v>
      </c>
      <c r="BZ185">
        <v>17242.400000000001</v>
      </c>
      <c r="CA185">
        <v>14079</v>
      </c>
      <c r="CB185">
        <v>1.1677999999999999</v>
      </c>
      <c r="CC185">
        <v>0.97850000000000004</v>
      </c>
      <c r="CD185">
        <v>1.34</v>
      </c>
      <c r="CE185">
        <v>1.1227</v>
      </c>
      <c r="CF185">
        <v>30.386700000000001</v>
      </c>
      <c r="CG185">
        <v>40.019599999999997</v>
      </c>
      <c r="CH185">
        <v>30.462</v>
      </c>
      <c r="CI185">
        <v>18.1572</v>
      </c>
      <c r="CJ185">
        <v>12.255000000000001</v>
      </c>
      <c r="CK185">
        <v>67.768500000000003</v>
      </c>
      <c r="CL185">
        <v>40.394100000000002</v>
      </c>
      <c r="CM185">
        <v>27.2636</v>
      </c>
      <c r="CN185">
        <v>56.781100000000002</v>
      </c>
      <c r="CO185">
        <v>36.216799999999999</v>
      </c>
      <c r="CP185">
        <v>6372.1</v>
      </c>
      <c r="CQ185" t="s">
        <v>134</v>
      </c>
      <c r="CR185">
        <v>5473.6</v>
      </c>
      <c r="CS185">
        <v>9.7000000000000003E-2</v>
      </c>
      <c r="CT185">
        <v>1.5022</v>
      </c>
      <c r="CU185">
        <v>0.71630000000000005</v>
      </c>
      <c r="CV185">
        <v>4.9077000000000002</v>
      </c>
      <c r="CW185">
        <v>3.8675999999999999</v>
      </c>
      <c r="CX185">
        <v>94.374200000000002</v>
      </c>
      <c r="CY185">
        <v>1.7284000000000002</v>
      </c>
      <c r="CZ185">
        <v>211.1729</v>
      </c>
      <c r="DA185">
        <v>2.7847</v>
      </c>
      <c r="DB185">
        <v>131.0728</v>
      </c>
      <c r="DC185">
        <v>174.4743</v>
      </c>
      <c r="DD185">
        <v>305.5471</v>
      </c>
      <c r="DE185">
        <v>35192.699999999997</v>
      </c>
      <c r="DF185" t="s">
        <v>134</v>
      </c>
      <c r="DG185" t="s">
        <v>134</v>
      </c>
      <c r="DH185" t="s">
        <v>134</v>
      </c>
      <c r="DI185" t="s">
        <v>134</v>
      </c>
    </row>
    <row r="186" spans="1:113" x14ac:dyDescent="0.3">
      <c r="E186" t="s">
        <v>80</v>
      </c>
      <c r="F186" t="s">
        <v>134</v>
      </c>
      <c r="G186" t="s">
        <v>134</v>
      </c>
      <c r="H186" t="s">
        <v>134</v>
      </c>
      <c r="I186" t="s">
        <v>134</v>
      </c>
      <c r="J186">
        <v>19.480599999999999</v>
      </c>
      <c r="K186">
        <v>17.340199999999999</v>
      </c>
      <c r="L186" t="s">
        <v>134</v>
      </c>
      <c r="M186">
        <v>17.143899999999999</v>
      </c>
      <c r="N186">
        <v>12.168799999999999</v>
      </c>
      <c r="O186">
        <v>12.2309</v>
      </c>
      <c r="P186">
        <v>12.2309</v>
      </c>
      <c r="Q186">
        <v>29.019600000000001</v>
      </c>
      <c r="R186" t="s">
        <v>134</v>
      </c>
      <c r="S186" t="s">
        <v>134</v>
      </c>
      <c r="T186">
        <v>47.152000000000001</v>
      </c>
      <c r="U186">
        <v>-4.9130000000000003</v>
      </c>
      <c r="V186">
        <v>-4.0364000000000004</v>
      </c>
      <c r="W186">
        <v>-7.9379</v>
      </c>
      <c r="X186">
        <v>-8.0306999999999995</v>
      </c>
      <c r="Y186" t="s">
        <v>134</v>
      </c>
      <c r="Z186" t="s">
        <v>134</v>
      </c>
      <c r="AA186" t="s">
        <v>134</v>
      </c>
      <c r="AB186" t="s">
        <v>134</v>
      </c>
      <c r="AC186" t="s">
        <v>134</v>
      </c>
      <c r="AD186" t="s">
        <v>134</v>
      </c>
      <c r="AE186" t="s">
        <v>134</v>
      </c>
      <c r="AF186" t="s">
        <v>134</v>
      </c>
      <c r="AG186" t="s">
        <v>134</v>
      </c>
      <c r="AH186" t="s">
        <v>134</v>
      </c>
      <c r="AI186" t="s">
        <v>134</v>
      </c>
      <c r="AJ186" t="s">
        <v>134</v>
      </c>
      <c r="AK186" t="s">
        <v>134</v>
      </c>
      <c r="AL186" t="s">
        <v>134</v>
      </c>
      <c r="AM186">
        <v>27.981400000000001</v>
      </c>
      <c r="AN186">
        <v>19.716899999999999</v>
      </c>
      <c r="AO186">
        <v>21.1754</v>
      </c>
      <c r="AP186">
        <v>17.477799999999998</v>
      </c>
      <c r="AQ186">
        <v>19.9038</v>
      </c>
      <c r="AR186" t="s">
        <v>134</v>
      </c>
      <c r="AS186" t="s">
        <v>134</v>
      </c>
      <c r="AT186" t="s">
        <v>134</v>
      </c>
      <c r="AU186" t="s">
        <v>134</v>
      </c>
      <c r="AV186" t="s">
        <v>134</v>
      </c>
      <c r="AW186" t="s">
        <v>134</v>
      </c>
      <c r="AX186" t="s">
        <v>134</v>
      </c>
      <c r="AY186" t="s">
        <v>134</v>
      </c>
      <c r="AZ186" t="s">
        <v>134</v>
      </c>
      <c r="BA186" t="s">
        <v>134</v>
      </c>
      <c r="BB186" t="s">
        <v>134</v>
      </c>
      <c r="BC186" t="s">
        <v>134</v>
      </c>
      <c r="BD186" t="s">
        <v>134</v>
      </c>
      <c r="BE186" t="s">
        <v>134</v>
      </c>
      <c r="BF186">
        <v>9.7921999999999993</v>
      </c>
      <c r="BG186">
        <v>-3.9295999999999998</v>
      </c>
      <c r="BH186">
        <v>-0.4476</v>
      </c>
      <c r="BI186">
        <v>3.2698999999999998</v>
      </c>
      <c r="BJ186">
        <v>3.2132000000000001</v>
      </c>
      <c r="BK186" t="s">
        <v>134</v>
      </c>
      <c r="BL186" t="s">
        <v>134</v>
      </c>
      <c r="BM186" t="s">
        <v>134</v>
      </c>
      <c r="BN186" t="s">
        <v>134</v>
      </c>
      <c r="BO186" t="s">
        <v>134</v>
      </c>
      <c r="BP186" t="s">
        <v>134</v>
      </c>
      <c r="BQ186" t="s">
        <v>134</v>
      </c>
      <c r="BR186" t="s">
        <v>134</v>
      </c>
      <c r="BS186" t="s">
        <v>134</v>
      </c>
      <c r="BT186" t="s">
        <v>134</v>
      </c>
      <c r="BU186" t="s">
        <v>134</v>
      </c>
      <c r="BV186" t="s">
        <v>134</v>
      </c>
      <c r="BW186" t="s">
        <v>134</v>
      </c>
      <c r="BX186" t="s">
        <v>134</v>
      </c>
      <c r="BY186" t="s">
        <v>134</v>
      </c>
      <c r="BZ186" t="s">
        <v>134</v>
      </c>
      <c r="CA186" t="s">
        <v>134</v>
      </c>
      <c r="CB186" t="s">
        <v>134</v>
      </c>
      <c r="CC186" t="s">
        <v>134</v>
      </c>
      <c r="CD186" t="s">
        <v>134</v>
      </c>
      <c r="CE186" t="s">
        <v>134</v>
      </c>
      <c r="CF186">
        <v>27.965699999999998</v>
      </c>
      <c r="CG186" t="s">
        <v>134</v>
      </c>
      <c r="CH186" t="s">
        <v>134</v>
      </c>
      <c r="CI186" t="s">
        <v>134</v>
      </c>
      <c r="CJ186" t="s">
        <v>134</v>
      </c>
      <c r="CK186" t="s">
        <v>134</v>
      </c>
      <c r="CL186" t="s">
        <v>134</v>
      </c>
      <c r="CM186" t="s">
        <v>134</v>
      </c>
      <c r="CN186" t="s">
        <v>134</v>
      </c>
      <c r="CO186" t="s">
        <v>134</v>
      </c>
      <c r="CP186">
        <v>6121.7</v>
      </c>
      <c r="CQ186" t="s">
        <v>134</v>
      </c>
      <c r="CR186">
        <v>5449.1</v>
      </c>
      <c r="CS186" t="s">
        <v>134</v>
      </c>
      <c r="CT186" t="s">
        <v>134</v>
      </c>
      <c r="CU186" t="s">
        <v>134</v>
      </c>
      <c r="CV186" t="s">
        <v>134</v>
      </c>
      <c r="CW186" t="s">
        <v>134</v>
      </c>
      <c r="CX186" t="s">
        <v>134</v>
      </c>
      <c r="CY186" t="s">
        <v>134</v>
      </c>
      <c r="CZ186" t="s">
        <v>134</v>
      </c>
      <c r="DA186" t="s">
        <v>134</v>
      </c>
      <c r="DB186" t="s">
        <v>134</v>
      </c>
      <c r="DC186" t="s">
        <v>134</v>
      </c>
      <c r="DD186" t="s">
        <v>134</v>
      </c>
      <c r="DE186" t="s">
        <v>134</v>
      </c>
      <c r="DF186" t="s">
        <v>134</v>
      </c>
      <c r="DG186" t="s">
        <v>134</v>
      </c>
      <c r="DH186" t="s">
        <v>134</v>
      </c>
      <c r="DI186" t="s">
        <v>134</v>
      </c>
    </row>
    <row r="187" spans="1:113" x14ac:dyDescent="0.3">
      <c r="E187" t="s">
        <v>81</v>
      </c>
      <c r="F187">
        <v>35.386200000000002</v>
      </c>
      <c r="G187">
        <v>14.066599999999999</v>
      </c>
      <c r="H187">
        <v>19.005500000000001</v>
      </c>
      <c r="I187">
        <v>18.084900000000001</v>
      </c>
      <c r="J187">
        <v>20.868200000000002</v>
      </c>
      <c r="K187">
        <v>18.1751</v>
      </c>
      <c r="L187" t="s">
        <v>134</v>
      </c>
      <c r="M187">
        <v>17.708500000000001</v>
      </c>
      <c r="N187">
        <v>12.8293</v>
      </c>
      <c r="O187">
        <v>12.8436</v>
      </c>
      <c r="P187">
        <v>12.8436</v>
      </c>
      <c r="Q187">
        <v>27.552800000000001</v>
      </c>
      <c r="R187" t="s">
        <v>134</v>
      </c>
      <c r="S187" t="s">
        <v>134</v>
      </c>
      <c r="T187">
        <v>36.345799999999997</v>
      </c>
      <c r="U187">
        <v>-11.6912</v>
      </c>
      <c r="V187">
        <v>-12.750999999999999</v>
      </c>
      <c r="W187">
        <v>-19.531300000000002</v>
      </c>
      <c r="X187">
        <v>-19.581600000000002</v>
      </c>
      <c r="Y187" t="s">
        <v>134</v>
      </c>
      <c r="Z187">
        <v>34.233899999999998</v>
      </c>
      <c r="AA187">
        <v>52.533900000000003</v>
      </c>
      <c r="AB187">
        <v>16.5794</v>
      </c>
      <c r="AC187">
        <v>36.087699999999998</v>
      </c>
      <c r="AD187">
        <v>39.596899999999998</v>
      </c>
      <c r="AE187">
        <v>53.2378</v>
      </c>
      <c r="AF187">
        <v>51.799900000000001</v>
      </c>
      <c r="AG187">
        <v>24.0913</v>
      </c>
      <c r="AH187">
        <v>18.092500000000001</v>
      </c>
      <c r="AI187">
        <v>37.2346</v>
      </c>
      <c r="AJ187">
        <v>27.672000000000001</v>
      </c>
      <c r="AK187">
        <v>37.238100000000003</v>
      </c>
      <c r="AL187" t="s">
        <v>134</v>
      </c>
      <c r="AM187">
        <v>27.727699999999999</v>
      </c>
      <c r="AN187">
        <v>30.771899999999999</v>
      </c>
      <c r="AO187">
        <v>33.890999999999998</v>
      </c>
      <c r="AP187">
        <v>27.0732</v>
      </c>
      <c r="AQ187">
        <v>27.3169</v>
      </c>
      <c r="AR187" t="s">
        <v>134</v>
      </c>
      <c r="AS187">
        <v>29.923500000000001</v>
      </c>
      <c r="AT187">
        <v>26.783000000000001</v>
      </c>
      <c r="AU187">
        <v>8.5731999999999999</v>
      </c>
      <c r="AV187">
        <v>21.933900000000001</v>
      </c>
      <c r="AW187">
        <v>28.524699999999999</v>
      </c>
      <c r="AX187">
        <v>31.474699999999999</v>
      </c>
      <c r="AY187">
        <v>27.6831</v>
      </c>
      <c r="AZ187">
        <v>19.625499999999999</v>
      </c>
      <c r="BA187">
        <v>15.470599999999999</v>
      </c>
      <c r="BB187">
        <v>23.095700000000001</v>
      </c>
      <c r="BC187">
        <v>19.2073</v>
      </c>
      <c r="BD187">
        <v>21.8858</v>
      </c>
      <c r="BE187" t="s">
        <v>134</v>
      </c>
      <c r="BF187">
        <v>4.8099999999999997E-2</v>
      </c>
      <c r="BG187">
        <v>7.1745000000000001</v>
      </c>
      <c r="BH187">
        <v>4.8650000000000002</v>
      </c>
      <c r="BI187">
        <v>5.0605000000000002</v>
      </c>
      <c r="BJ187">
        <v>5.0872999999999999</v>
      </c>
      <c r="BK187" t="s">
        <v>134</v>
      </c>
      <c r="BL187" t="s">
        <v>134</v>
      </c>
      <c r="BM187" t="s">
        <v>134</v>
      </c>
      <c r="BN187" t="s">
        <v>134</v>
      </c>
      <c r="BO187" t="s">
        <v>134</v>
      </c>
      <c r="BP187" t="s">
        <v>134</v>
      </c>
      <c r="BQ187" t="s">
        <v>134</v>
      </c>
      <c r="BR187" t="s">
        <v>134</v>
      </c>
      <c r="BS187" t="s">
        <v>134</v>
      </c>
      <c r="BT187" t="s">
        <v>134</v>
      </c>
      <c r="BU187" t="s">
        <v>134</v>
      </c>
      <c r="BV187" t="s">
        <v>134</v>
      </c>
      <c r="BW187" t="s">
        <v>134</v>
      </c>
      <c r="BX187" t="s">
        <v>134</v>
      </c>
      <c r="BY187">
        <v>44510.7</v>
      </c>
      <c r="BZ187">
        <v>30896</v>
      </c>
      <c r="CA187">
        <v>13614.7</v>
      </c>
      <c r="CB187">
        <v>1.7362</v>
      </c>
      <c r="CC187">
        <v>1.5455999999999999</v>
      </c>
      <c r="CD187">
        <v>1.9950999999999999</v>
      </c>
      <c r="CE187">
        <v>1.776</v>
      </c>
      <c r="CF187">
        <v>29.0305</v>
      </c>
      <c r="CG187">
        <v>39.923499999999997</v>
      </c>
      <c r="CH187">
        <v>26.2744</v>
      </c>
      <c r="CI187">
        <v>14.133699999999999</v>
      </c>
      <c r="CJ187">
        <v>10.542199999999999</v>
      </c>
      <c r="CK187">
        <v>85.899299999999997</v>
      </c>
      <c r="CL187">
        <v>46.2074</v>
      </c>
      <c r="CM187">
        <v>34.465699999999998</v>
      </c>
      <c r="CN187">
        <v>76.466899999999995</v>
      </c>
      <c r="CO187">
        <v>43.3322</v>
      </c>
      <c r="CP187">
        <v>6560.9</v>
      </c>
      <c r="CQ187" t="s">
        <v>134</v>
      </c>
      <c r="CR187">
        <v>5714.2</v>
      </c>
      <c r="CS187">
        <v>7.9600000000000004E-2</v>
      </c>
      <c r="CT187">
        <v>1.3524</v>
      </c>
      <c r="CU187">
        <v>0.65639999999999998</v>
      </c>
      <c r="CV187">
        <v>5.0338000000000003</v>
      </c>
      <c r="CW187">
        <v>3.9001999999999999</v>
      </c>
      <c r="CX187">
        <v>93.585599999999999</v>
      </c>
      <c r="CY187">
        <v>1.9519</v>
      </c>
      <c r="CZ187">
        <v>186.9966</v>
      </c>
      <c r="DA187">
        <v>4.1612</v>
      </c>
      <c r="DB187">
        <v>87.715500000000006</v>
      </c>
      <c r="DC187">
        <v>192.86660000000001</v>
      </c>
      <c r="DD187">
        <v>280.5822</v>
      </c>
      <c r="DE187">
        <v>36113</v>
      </c>
      <c r="DF187">
        <v>12016.5</v>
      </c>
      <c r="DG187">
        <v>7616.8</v>
      </c>
      <c r="DH187">
        <v>13702.3</v>
      </c>
      <c r="DI187">
        <v>2777.4</v>
      </c>
    </row>
    <row r="188" spans="1:113" x14ac:dyDescent="0.3">
      <c r="D188" t="s">
        <v>83</v>
      </c>
      <c r="E188" t="s">
        <v>77</v>
      </c>
      <c r="F188">
        <v>32.458199999999998</v>
      </c>
      <c r="G188">
        <v>13.853400000000001</v>
      </c>
      <c r="H188">
        <v>18.9802</v>
      </c>
      <c r="I188">
        <v>18.307400000000001</v>
      </c>
      <c r="J188">
        <v>23.068100000000001</v>
      </c>
      <c r="K188">
        <v>20.242799999999999</v>
      </c>
      <c r="L188">
        <v>33.673900000000003</v>
      </c>
      <c r="M188">
        <v>19.5916</v>
      </c>
      <c r="N188">
        <v>14.2349</v>
      </c>
      <c r="O188">
        <v>14.263</v>
      </c>
      <c r="P188">
        <v>14.263</v>
      </c>
      <c r="Q188">
        <v>27.341799999999999</v>
      </c>
      <c r="R188">
        <v>7.3734000000000002</v>
      </c>
      <c r="S188">
        <v>30.064900000000002</v>
      </c>
      <c r="T188">
        <v>14.6492</v>
      </c>
      <c r="U188">
        <v>25.823699999999999</v>
      </c>
      <c r="V188">
        <v>26.992599999999999</v>
      </c>
      <c r="W188">
        <v>25.779800000000002</v>
      </c>
      <c r="X188">
        <v>25.6296</v>
      </c>
      <c r="Y188">
        <v>11.1111</v>
      </c>
      <c r="Z188">
        <v>17.878499999999999</v>
      </c>
      <c r="AA188">
        <v>13.202999999999999</v>
      </c>
      <c r="AB188">
        <v>34.240499999999997</v>
      </c>
      <c r="AC188">
        <v>21.5639</v>
      </c>
      <c r="AD188">
        <v>12.430999999999999</v>
      </c>
      <c r="AE188">
        <v>16.7957</v>
      </c>
      <c r="AF188">
        <v>23.189800000000002</v>
      </c>
      <c r="AG188">
        <v>24.765999999999998</v>
      </c>
      <c r="AH188">
        <v>5.6368</v>
      </c>
      <c r="AI188">
        <v>37.334099999999999</v>
      </c>
      <c r="AJ188">
        <v>22.6876</v>
      </c>
      <c r="AK188">
        <v>36.585000000000001</v>
      </c>
      <c r="AL188">
        <v>43.198799999999999</v>
      </c>
      <c r="AM188">
        <v>25.9663</v>
      </c>
      <c r="AN188">
        <v>27.183900000000001</v>
      </c>
      <c r="AO188">
        <v>28.858699999999999</v>
      </c>
      <c r="AP188">
        <v>28.602599999999999</v>
      </c>
      <c r="AQ188">
        <v>30.962</v>
      </c>
      <c r="AR188">
        <v>-3.5807000000000002</v>
      </c>
      <c r="AS188">
        <v>27.648900000000001</v>
      </c>
      <c r="AT188">
        <v>22.946300000000001</v>
      </c>
      <c r="AU188">
        <v>14.774699999999999</v>
      </c>
      <c r="AV188">
        <v>21.7349</v>
      </c>
      <c r="AW188">
        <v>24.5885</v>
      </c>
      <c r="AX188">
        <v>35.511499999999998</v>
      </c>
      <c r="AY188">
        <v>26.619800000000001</v>
      </c>
      <c r="AZ188">
        <v>15.309699999999999</v>
      </c>
      <c r="BA188">
        <v>14.2614</v>
      </c>
      <c r="BB188">
        <v>23.730699999999999</v>
      </c>
      <c r="BC188">
        <v>19.408999999999999</v>
      </c>
      <c r="BD188">
        <v>23.491</v>
      </c>
      <c r="BE188">
        <v>41.923499999999997</v>
      </c>
      <c r="BF188">
        <v>14.6492</v>
      </c>
      <c r="BG188">
        <v>25.823699999999999</v>
      </c>
      <c r="BH188">
        <v>26.992599999999999</v>
      </c>
      <c r="BI188">
        <v>25.779800000000002</v>
      </c>
      <c r="BJ188">
        <v>25.6296</v>
      </c>
      <c r="BK188">
        <v>11.1111</v>
      </c>
      <c r="BL188">
        <v>17.878499999999999</v>
      </c>
      <c r="BM188">
        <v>13.202999999999999</v>
      </c>
      <c r="BN188">
        <v>34.240499999999997</v>
      </c>
      <c r="BO188">
        <v>21.5639</v>
      </c>
      <c r="BP188">
        <v>12.430999999999999</v>
      </c>
      <c r="BQ188">
        <v>16.7957</v>
      </c>
      <c r="BR188">
        <v>23.189800000000002</v>
      </c>
      <c r="BS188">
        <v>24.765999999999998</v>
      </c>
      <c r="BT188">
        <v>5.6368</v>
      </c>
      <c r="BU188">
        <v>37.334099999999999</v>
      </c>
      <c r="BV188">
        <v>22.6876</v>
      </c>
      <c r="BW188">
        <v>36.585000000000001</v>
      </c>
      <c r="BX188">
        <v>43.198799999999999</v>
      </c>
      <c r="BY188">
        <v>47019.7</v>
      </c>
      <c r="BZ188">
        <v>38547.699999999997</v>
      </c>
      <c r="CA188">
        <v>8472</v>
      </c>
      <c r="CB188">
        <v>1.4668000000000001</v>
      </c>
      <c r="CC188">
        <v>1.2064999999999999</v>
      </c>
      <c r="CD188">
        <v>1.6715</v>
      </c>
      <c r="CE188">
        <v>1.3749</v>
      </c>
      <c r="CF188">
        <v>40.407899999999998</v>
      </c>
      <c r="CG188">
        <v>44.949199999999998</v>
      </c>
      <c r="CH188">
        <v>11.905100000000001</v>
      </c>
      <c r="CI188">
        <v>7.1685999999999996</v>
      </c>
      <c r="CJ188">
        <v>5.3963999999999999</v>
      </c>
      <c r="CK188">
        <v>66.073400000000007</v>
      </c>
      <c r="CL188">
        <v>39.785699999999999</v>
      </c>
      <c r="CM188">
        <v>29.950099999999999</v>
      </c>
      <c r="CN188">
        <v>54.348100000000002</v>
      </c>
      <c r="CO188">
        <v>35.211399999999998</v>
      </c>
      <c r="CP188">
        <v>32055.599999999999</v>
      </c>
      <c r="CQ188">
        <v>16374.1</v>
      </c>
      <c r="CR188">
        <v>28129.5</v>
      </c>
      <c r="CS188">
        <v>0.1116</v>
      </c>
      <c r="CT188">
        <v>1.3378000000000001</v>
      </c>
      <c r="CU188">
        <v>0.66969999999999996</v>
      </c>
      <c r="CV188">
        <v>5.2889999999999997</v>
      </c>
      <c r="CW188">
        <v>3.6042000000000001</v>
      </c>
      <c r="CX188">
        <v>101.5487</v>
      </c>
      <c r="CY188">
        <v>1.6253</v>
      </c>
      <c r="CZ188">
        <v>225.18510000000001</v>
      </c>
      <c r="DA188">
        <v>2.9419</v>
      </c>
      <c r="DB188">
        <v>124.4097</v>
      </c>
      <c r="DC188">
        <v>202.32419999999999</v>
      </c>
      <c r="DD188">
        <v>326.73390000000001</v>
      </c>
      <c r="DE188">
        <v>40881</v>
      </c>
      <c r="DF188">
        <v>14849.2</v>
      </c>
      <c r="DG188">
        <v>9246.6</v>
      </c>
      <c r="DH188">
        <v>14011.8</v>
      </c>
      <c r="DI188">
        <v>2773.4</v>
      </c>
    </row>
    <row r="189" spans="1:113" x14ac:dyDescent="0.3">
      <c r="E189" t="s">
        <v>78</v>
      </c>
      <c r="F189" t="s">
        <v>134</v>
      </c>
      <c r="G189" t="s">
        <v>134</v>
      </c>
      <c r="H189" t="s">
        <v>134</v>
      </c>
      <c r="I189" t="s">
        <v>134</v>
      </c>
      <c r="J189">
        <v>22.203199999999999</v>
      </c>
      <c r="K189">
        <v>19.472899999999999</v>
      </c>
      <c r="L189">
        <v>18.482299999999999</v>
      </c>
      <c r="M189">
        <v>18.9422</v>
      </c>
      <c r="N189">
        <v>13.226900000000001</v>
      </c>
      <c r="O189">
        <v>13.2499</v>
      </c>
      <c r="P189">
        <v>13.2499</v>
      </c>
      <c r="Q189">
        <v>30.1721</v>
      </c>
      <c r="R189" t="s">
        <v>134</v>
      </c>
      <c r="S189" t="s">
        <v>134</v>
      </c>
      <c r="T189">
        <v>12.7516</v>
      </c>
      <c r="U189">
        <v>10.104100000000001</v>
      </c>
      <c r="V189">
        <v>12.025</v>
      </c>
      <c r="W189">
        <v>4.0945999999999998</v>
      </c>
      <c r="X189">
        <v>3.8595999999999999</v>
      </c>
      <c r="Y189" t="s">
        <v>134</v>
      </c>
      <c r="Z189" t="s">
        <v>134</v>
      </c>
      <c r="AA189" t="s">
        <v>134</v>
      </c>
      <c r="AB189" t="s">
        <v>134</v>
      </c>
      <c r="AC189" t="s">
        <v>134</v>
      </c>
      <c r="AD189" t="s">
        <v>134</v>
      </c>
      <c r="AE189" t="s">
        <v>134</v>
      </c>
      <c r="AF189" t="s">
        <v>134</v>
      </c>
      <c r="AG189" t="s">
        <v>134</v>
      </c>
      <c r="AH189" t="s">
        <v>134</v>
      </c>
      <c r="AI189" t="s">
        <v>134</v>
      </c>
      <c r="AJ189" t="s">
        <v>134</v>
      </c>
      <c r="AK189" t="s">
        <v>134</v>
      </c>
      <c r="AL189" t="s">
        <v>134</v>
      </c>
      <c r="AM189">
        <v>28.7576</v>
      </c>
      <c r="AN189">
        <v>33.369500000000002</v>
      </c>
      <c r="AO189">
        <v>37.005400000000002</v>
      </c>
      <c r="AP189" t="s">
        <v>134</v>
      </c>
      <c r="AQ189" t="s">
        <v>134</v>
      </c>
      <c r="AR189" t="s">
        <v>134</v>
      </c>
      <c r="AS189" t="s">
        <v>134</v>
      </c>
      <c r="AT189" t="s">
        <v>134</v>
      </c>
      <c r="AU189" t="s">
        <v>134</v>
      </c>
      <c r="AV189" t="s">
        <v>134</v>
      </c>
      <c r="AW189" t="s">
        <v>134</v>
      </c>
      <c r="AX189" t="s">
        <v>134</v>
      </c>
      <c r="AY189" t="s">
        <v>134</v>
      </c>
      <c r="AZ189" t="s">
        <v>134</v>
      </c>
      <c r="BA189" t="s">
        <v>134</v>
      </c>
      <c r="BB189" t="s">
        <v>134</v>
      </c>
      <c r="BC189" t="s">
        <v>134</v>
      </c>
      <c r="BD189" t="s">
        <v>134</v>
      </c>
      <c r="BE189" t="s">
        <v>134</v>
      </c>
      <c r="BF189">
        <v>3.8089</v>
      </c>
      <c r="BG189">
        <v>10.4498</v>
      </c>
      <c r="BH189">
        <v>11.2212</v>
      </c>
      <c r="BI189">
        <v>7.0926</v>
      </c>
      <c r="BJ189">
        <v>7.0232999999999999</v>
      </c>
      <c r="BK189" t="s">
        <v>134</v>
      </c>
      <c r="BL189" t="s">
        <v>134</v>
      </c>
      <c r="BM189" t="s">
        <v>134</v>
      </c>
      <c r="BN189" t="s">
        <v>134</v>
      </c>
      <c r="BO189" t="s">
        <v>134</v>
      </c>
      <c r="BP189" t="s">
        <v>134</v>
      </c>
      <c r="BQ189" t="s">
        <v>134</v>
      </c>
      <c r="BR189" t="s">
        <v>134</v>
      </c>
      <c r="BS189" t="s">
        <v>134</v>
      </c>
      <c r="BT189" t="s">
        <v>134</v>
      </c>
      <c r="BU189" t="s">
        <v>134</v>
      </c>
      <c r="BV189" t="s">
        <v>134</v>
      </c>
      <c r="BW189" t="s">
        <v>134</v>
      </c>
      <c r="BX189" t="s">
        <v>134</v>
      </c>
      <c r="BY189" t="s">
        <v>134</v>
      </c>
      <c r="BZ189" t="s">
        <v>134</v>
      </c>
      <c r="CA189" t="s">
        <v>134</v>
      </c>
      <c r="CB189" t="s">
        <v>134</v>
      </c>
      <c r="CC189" t="s">
        <v>134</v>
      </c>
      <c r="CD189" t="s">
        <v>134</v>
      </c>
      <c r="CE189" t="s">
        <v>134</v>
      </c>
      <c r="CF189">
        <v>34.755400000000002</v>
      </c>
      <c r="CG189" t="s">
        <v>134</v>
      </c>
      <c r="CH189" t="s">
        <v>134</v>
      </c>
      <c r="CI189" t="s">
        <v>134</v>
      </c>
      <c r="CJ189" t="s">
        <v>134</v>
      </c>
      <c r="CK189" t="s">
        <v>134</v>
      </c>
      <c r="CL189" t="s">
        <v>134</v>
      </c>
      <c r="CM189" t="s">
        <v>134</v>
      </c>
      <c r="CN189" t="s">
        <v>134</v>
      </c>
      <c r="CO189" t="s">
        <v>134</v>
      </c>
      <c r="CP189">
        <v>7246.5</v>
      </c>
      <c r="CQ189" t="s">
        <v>134</v>
      </c>
      <c r="CR189">
        <v>6355.4</v>
      </c>
      <c r="CS189" t="s">
        <v>134</v>
      </c>
      <c r="CT189" t="s">
        <v>134</v>
      </c>
      <c r="CU189" t="s">
        <v>134</v>
      </c>
      <c r="CV189" t="s">
        <v>134</v>
      </c>
      <c r="CW189" t="s">
        <v>134</v>
      </c>
      <c r="CX189" t="s">
        <v>134</v>
      </c>
      <c r="CY189" t="s">
        <v>134</v>
      </c>
      <c r="CZ189" t="s">
        <v>134</v>
      </c>
      <c r="DA189" t="s">
        <v>134</v>
      </c>
      <c r="DB189" t="s">
        <v>134</v>
      </c>
      <c r="DC189" t="s">
        <v>134</v>
      </c>
      <c r="DD189" t="s">
        <v>134</v>
      </c>
      <c r="DE189" t="s">
        <v>134</v>
      </c>
      <c r="DF189" t="s">
        <v>134</v>
      </c>
      <c r="DG189" t="s">
        <v>134</v>
      </c>
      <c r="DH189" t="s">
        <v>134</v>
      </c>
      <c r="DI189" t="s">
        <v>134</v>
      </c>
    </row>
    <row r="190" spans="1:113" x14ac:dyDescent="0.3">
      <c r="E190" t="s">
        <v>79</v>
      </c>
      <c r="F190">
        <v>32.176900000000003</v>
      </c>
      <c r="G190">
        <v>13.0113</v>
      </c>
      <c r="H190">
        <v>19.652799999999999</v>
      </c>
      <c r="I190">
        <v>19.264800000000001</v>
      </c>
      <c r="J190">
        <v>23.645199999999999</v>
      </c>
      <c r="K190">
        <v>20.817</v>
      </c>
      <c r="L190">
        <v>32.4129</v>
      </c>
      <c r="M190">
        <v>18.673500000000001</v>
      </c>
      <c r="N190">
        <v>13.7285</v>
      </c>
      <c r="O190">
        <v>13.7727</v>
      </c>
      <c r="P190">
        <v>13.7727</v>
      </c>
      <c r="Q190">
        <v>26.481200000000001</v>
      </c>
      <c r="R190" t="s">
        <v>134</v>
      </c>
      <c r="S190" t="s">
        <v>134</v>
      </c>
      <c r="T190">
        <v>14.6014</v>
      </c>
      <c r="U190">
        <v>21.7165</v>
      </c>
      <c r="V190">
        <v>24.747900000000001</v>
      </c>
      <c r="W190">
        <v>21.382100000000001</v>
      </c>
      <c r="X190">
        <v>21.1599</v>
      </c>
      <c r="Y190" t="s">
        <v>134</v>
      </c>
      <c r="Z190">
        <v>26.991900000000001</v>
      </c>
      <c r="AA190">
        <v>16.1295</v>
      </c>
      <c r="AB190">
        <v>47.476999999999997</v>
      </c>
      <c r="AC190">
        <v>29.110900000000001</v>
      </c>
      <c r="AD190">
        <v>57.040300000000002</v>
      </c>
      <c r="AE190">
        <v>-5.1139999999999999</v>
      </c>
      <c r="AF190">
        <v>-20.196200000000001</v>
      </c>
      <c r="AG190">
        <v>73.002600000000001</v>
      </c>
      <c r="AH190">
        <v>34.724499999999999</v>
      </c>
      <c r="AI190">
        <v>31.349799999999998</v>
      </c>
      <c r="AJ190">
        <v>32.713000000000001</v>
      </c>
      <c r="AK190">
        <v>31.262899999999998</v>
      </c>
      <c r="AL190" t="s">
        <v>134</v>
      </c>
      <c r="AM190">
        <v>24.138999999999999</v>
      </c>
      <c r="AN190">
        <v>24.992699999999999</v>
      </c>
      <c r="AO190">
        <v>26.176200000000001</v>
      </c>
      <c r="AP190">
        <v>17.898499999999999</v>
      </c>
      <c r="AQ190">
        <v>20.112400000000001</v>
      </c>
      <c r="AR190" t="s">
        <v>134</v>
      </c>
      <c r="AS190">
        <v>29.7454</v>
      </c>
      <c r="AT190">
        <v>27.296500000000002</v>
      </c>
      <c r="AU190">
        <v>12.573499999999999</v>
      </c>
      <c r="AV190">
        <v>22.605699999999999</v>
      </c>
      <c r="AW190">
        <v>19.506900000000002</v>
      </c>
      <c r="AX190">
        <v>4.4668000000000001</v>
      </c>
      <c r="AY190" t="s">
        <v>134</v>
      </c>
      <c r="AZ190" t="s">
        <v>134</v>
      </c>
      <c r="BA190">
        <v>13.487</v>
      </c>
      <c r="BB190">
        <v>22.673500000000001</v>
      </c>
      <c r="BC190">
        <v>18.377600000000001</v>
      </c>
      <c r="BD190">
        <v>22.560700000000001</v>
      </c>
      <c r="BE190" t="s">
        <v>134</v>
      </c>
      <c r="BF190">
        <v>1.1665000000000001</v>
      </c>
      <c r="BG190">
        <v>6.9706000000000001</v>
      </c>
      <c r="BH190">
        <v>7.3514999999999997</v>
      </c>
      <c r="BI190">
        <v>-4.3792999999999997</v>
      </c>
      <c r="BJ190">
        <v>-4.4499000000000004</v>
      </c>
      <c r="BK190" t="s">
        <v>134</v>
      </c>
      <c r="BL190" t="s">
        <v>134</v>
      </c>
      <c r="BM190" t="s">
        <v>134</v>
      </c>
      <c r="BN190" t="s">
        <v>134</v>
      </c>
      <c r="BO190" t="s">
        <v>134</v>
      </c>
      <c r="BP190" t="s">
        <v>134</v>
      </c>
      <c r="BQ190" t="s">
        <v>134</v>
      </c>
      <c r="BR190" t="s">
        <v>134</v>
      </c>
      <c r="BS190" t="s">
        <v>134</v>
      </c>
      <c r="BT190" t="s">
        <v>134</v>
      </c>
      <c r="BU190" t="s">
        <v>134</v>
      </c>
      <c r="BV190" t="s">
        <v>134</v>
      </c>
      <c r="BW190" t="s">
        <v>134</v>
      </c>
      <c r="BX190" t="s">
        <v>134</v>
      </c>
      <c r="BY190">
        <v>42197.599999999999</v>
      </c>
      <c r="BZ190">
        <v>29829.8</v>
      </c>
      <c r="CA190">
        <v>12367.8</v>
      </c>
      <c r="CB190">
        <v>1.524</v>
      </c>
      <c r="CC190">
        <v>1.2833999999999999</v>
      </c>
      <c r="CD190">
        <v>1.7328000000000001</v>
      </c>
      <c r="CE190">
        <v>1.4592000000000001</v>
      </c>
      <c r="CF190">
        <v>32.222299999999997</v>
      </c>
      <c r="CG190">
        <v>40.76</v>
      </c>
      <c r="CH190">
        <v>20.372800000000002</v>
      </c>
      <c r="CI190">
        <v>12.018599999999999</v>
      </c>
      <c r="CJ190">
        <v>8.3382000000000005</v>
      </c>
      <c r="CK190">
        <v>69.509699999999995</v>
      </c>
      <c r="CL190">
        <v>41.006300000000003</v>
      </c>
      <c r="CM190">
        <v>28.449000000000002</v>
      </c>
      <c r="CN190">
        <v>58.535899999999998</v>
      </c>
      <c r="CO190">
        <v>36.922800000000002</v>
      </c>
      <c r="CP190">
        <v>7755.9</v>
      </c>
      <c r="CQ190" t="s">
        <v>134</v>
      </c>
      <c r="CR190">
        <v>6828.2</v>
      </c>
      <c r="CS190">
        <v>9.1300000000000006E-2</v>
      </c>
      <c r="CT190">
        <v>1.3420000000000001</v>
      </c>
      <c r="CU190">
        <v>0.65590000000000004</v>
      </c>
      <c r="CV190">
        <v>5.3898000000000001</v>
      </c>
      <c r="CW190">
        <v>3.4794999999999998</v>
      </c>
      <c r="CX190">
        <v>104.8989</v>
      </c>
      <c r="CY190">
        <v>1.569</v>
      </c>
      <c r="CZ190">
        <v>232.6345</v>
      </c>
      <c r="DA190">
        <v>2.3252999999999999</v>
      </c>
      <c r="DB190">
        <v>156.9717</v>
      </c>
      <c r="DC190">
        <v>180.5617</v>
      </c>
      <c r="DD190">
        <v>337.53339999999997</v>
      </c>
      <c r="DE190">
        <v>40869.1</v>
      </c>
      <c r="DF190" t="s">
        <v>134</v>
      </c>
      <c r="DG190" t="s">
        <v>134</v>
      </c>
      <c r="DH190" t="s">
        <v>134</v>
      </c>
      <c r="DI190" t="s">
        <v>134</v>
      </c>
    </row>
    <row r="191" spans="1:113" x14ac:dyDescent="0.3">
      <c r="E191" t="s">
        <v>80</v>
      </c>
      <c r="F191" t="s">
        <v>134</v>
      </c>
      <c r="G191" t="s">
        <v>134</v>
      </c>
      <c r="H191" t="s">
        <v>134</v>
      </c>
      <c r="I191" t="s">
        <v>134</v>
      </c>
      <c r="J191">
        <v>23.979900000000001</v>
      </c>
      <c r="K191">
        <v>21.081700000000001</v>
      </c>
      <c r="L191">
        <v>61.677399999999999</v>
      </c>
      <c r="M191">
        <v>20.997199999999999</v>
      </c>
      <c r="N191">
        <v>15.577999999999999</v>
      </c>
      <c r="O191">
        <v>15.5868</v>
      </c>
      <c r="P191">
        <v>15.5868</v>
      </c>
      <c r="Q191">
        <v>25.809000000000001</v>
      </c>
      <c r="R191" t="s">
        <v>134</v>
      </c>
      <c r="S191" t="s">
        <v>134</v>
      </c>
      <c r="T191">
        <v>9.2163000000000004</v>
      </c>
      <c r="U191">
        <v>34.441400000000002</v>
      </c>
      <c r="V191">
        <v>32.781599999999997</v>
      </c>
      <c r="W191">
        <v>39.183</v>
      </c>
      <c r="X191">
        <v>39.103999999999999</v>
      </c>
      <c r="Y191" t="s">
        <v>134</v>
      </c>
      <c r="Z191" t="s">
        <v>134</v>
      </c>
      <c r="AA191" t="s">
        <v>134</v>
      </c>
      <c r="AB191" t="s">
        <v>134</v>
      </c>
      <c r="AC191" t="s">
        <v>134</v>
      </c>
      <c r="AD191" t="s">
        <v>134</v>
      </c>
      <c r="AE191" t="s">
        <v>134</v>
      </c>
      <c r="AF191" t="s">
        <v>134</v>
      </c>
      <c r="AG191" t="s">
        <v>134</v>
      </c>
      <c r="AH191" t="s">
        <v>134</v>
      </c>
      <c r="AI191" t="s">
        <v>134</v>
      </c>
      <c r="AJ191" t="s">
        <v>134</v>
      </c>
      <c r="AK191" t="s">
        <v>134</v>
      </c>
      <c r="AL191" t="s">
        <v>134</v>
      </c>
      <c r="AM191">
        <v>23.549700000000001</v>
      </c>
      <c r="AN191">
        <v>20.834900000000001</v>
      </c>
      <c r="AO191">
        <v>21.246700000000001</v>
      </c>
      <c r="AP191">
        <v>23.180099999999999</v>
      </c>
      <c r="AQ191">
        <v>25.707699999999999</v>
      </c>
      <c r="AR191" t="s">
        <v>134</v>
      </c>
      <c r="AS191" t="s">
        <v>134</v>
      </c>
      <c r="AT191" t="s">
        <v>134</v>
      </c>
      <c r="AU191" t="s">
        <v>134</v>
      </c>
      <c r="AV191" t="s">
        <v>134</v>
      </c>
      <c r="AW191" t="s">
        <v>134</v>
      </c>
      <c r="AX191" t="s">
        <v>134</v>
      </c>
      <c r="AY191" t="s">
        <v>134</v>
      </c>
      <c r="AZ191" t="s">
        <v>134</v>
      </c>
      <c r="BA191" t="s">
        <v>134</v>
      </c>
      <c r="BB191" t="s">
        <v>134</v>
      </c>
      <c r="BC191" t="s">
        <v>134</v>
      </c>
      <c r="BD191" t="s">
        <v>134</v>
      </c>
      <c r="BE191" t="s">
        <v>134</v>
      </c>
      <c r="BF191">
        <v>3.6334</v>
      </c>
      <c r="BG191">
        <v>5.6467999999999998</v>
      </c>
      <c r="BH191">
        <v>5.4123999999999999</v>
      </c>
      <c r="BI191">
        <v>17.947299999999998</v>
      </c>
      <c r="BJ191">
        <v>18.0412</v>
      </c>
      <c r="BK191" t="s">
        <v>134</v>
      </c>
      <c r="BL191" t="s">
        <v>134</v>
      </c>
      <c r="BM191" t="s">
        <v>134</v>
      </c>
      <c r="BN191" t="s">
        <v>134</v>
      </c>
      <c r="BO191" t="s">
        <v>134</v>
      </c>
      <c r="BP191" t="s">
        <v>134</v>
      </c>
      <c r="BQ191" t="s">
        <v>134</v>
      </c>
      <c r="BR191" t="s">
        <v>134</v>
      </c>
      <c r="BS191" t="s">
        <v>134</v>
      </c>
      <c r="BT191" t="s">
        <v>134</v>
      </c>
      <c r="BU191" t="s">
        <v>134</v>
      </c>
      <c r="BV191" t="s">
        <v>134</v>
      </c>
      <c r="BW191" t="s">
        <v>134</v>
      </c>
      <c r="BX191" t="s">
        <v>134</v>
      </c>
      <c r="BY191" t="s">
        <v>134</v>
      </c>
      <c r="BZ191" t="s">
        <v>134</v>
      </c>
      <c r="CA191" t="s">
        <v>134</v>
      </c>
      <c r="CB191" t="s">
        <v>134</v>
      </c>
      <c r="CC191" t="s">
        <v>134</v>
      </c>
      <c r="CD191" t="s">
        <v>134</v>
      </c>
      <c r="CE191" t="s">
        <v>134</v>
      </c>
      <c r="CF191">
        <v>36.255899999999997</v>
      </c>
      <c r="CG191" t="s">
        <v>134</v>
      </c>
      <c r="CH191" t="s">
        <v>134</v>
      </c>
      <c r="CI191" t="s">
        <v>134</v>
      </c>
      <c r="CJ191" t="s">
        <v>134</v>
      </c>
      <c r="CK191" t="s">
        <v>134</v>
      </c>
      <c r="CL191" t="s">
        <v>134</v>
      </c>
      <c r="CM191" t="s">
        <v>134</v>
      </c>
      <c r="CN191" t="s">
        <v>134</v>
      </c>
      <c r="CO191" t="s">
        <v>134</v>
      </c>
      <c r="CP191">
        <v>8230.1</v>
      </c>
      <c r="CQ191" t="s">
        <v>134</v>
      </c>
      <c r="CR191">
        <v>7235.4</v>
      </c>
      <c r="CS191" t="s">
        <v>134</v>
      </c>
      <c r="CT191" t="s">
        <v>134</v>
      </c>
      <c r="CU191" t="s">
        <v>134</v>
      </c>
      <c r="CV191" t="s">
        <v>134</v>
      </c>
      <c r="CW191" t="s">
        <v>134</v>
      </c>
      <c r="CX191" t="s">
        <v>134</v>
      </c>
      <c r="CY191" t="s">
        <v>134</v>
      </c>
      <c r="CZ191" t="s">
        <v>134</v>
      </c>
      <c r="DA191" t="s">
        <v>134</v>
      </c>
      <c r="DB191" t="s">
        <v>134</v>
      </c>
      <c r="DC191" t="s">
        <v>134</v>
      </c>
      <c r="DD191" t="s">
        <v>134</v>
      </c>
      <c r="DE191" t="s">
        <v>134</v>
      </c>
      <c r="DF191" t="s">
        <v>134</v>
      </c>
      <c r="DG191" t="s">
        <v>134</v>
      </c>
      <c r="DH191" t="s">
        <v>134</v>
      </c>
      <c r="DI191" t="s">
        <v>134</v>
      </c>
    </row>
    <row r="192" spans="1:113" x14ac:dyDescent="0.3">
      <c r="E192" t="s">
        <v>81</v>
      </c>
      <c r="F192">
        <v>33.295999999999999</v>
      </c>
      <c r="G192">
        <v>14.211</v>
      </c>
      <c r="H192">
        <v>19.5686</v>
      </c>
      <c r="I192">
        <v>18.568999999999999</v>
      </c>
      <c r="J192">
        <v>24.010899999999999</v>
      </c>
      <c r="K192">
        <v>20.982900000000001</v>
      </c>
      <c r="L192">
        <v>37.616100000000003</v>
      </c>
      <c r="M192">
        <v>20.983799999999999</v>
      </c>
      <c r="N192">
        <v>15.278499999999999</v>
      </c>
      <c r="O192">
        <v>15.3169</v>
      </c>
      <c r="P192">
        <v>15.3169</v>
      </c>
      <c r="Q192">
        <v>27.188800000000001</v>
      </c>
      <c r="R192" t="s">
        <v>134</v>
      </c>
      <c r="S192" t="s">
        <v>134</v>
      </c>
      <c r="T192">
        <v>16.8809</v>
      </c>
      <c r="U192">
        <v>34.4831</v>
      </c>
      <c r="V192">
        <v>34.9375</v>
      </c>
      <c r="W192">
        <v>39.388300000000001</v>
      </c>
      <c r="X192">
        <v>39.274900000000002</v>
      </c>
      <c r="Y192" t="s">
        <v>134</v>
      </c>
      <c r="Z192">
        <v>17.878499999999999</v>
      </c>
      <c r="AA192">
        <v>13.202999999999999</v>
      </c>
      <c r="AB192">
        <v>34.240499999999997</v>
      </c>
      <c r="AC192">
        <v>21.5639</v>
      </c>
      <c r="AD192">
        <v>12.430999999999999</v>
      </c>
      <c r="AE192">
        <v>16.7957</v>
      </c>
      <c r="AF192">
        <v>23.189800000000002</v>
      </c>
      <c r="AG192">
        <v>24.765999999999998</v>
      </c>
      <c r="AH192">
        <v>5.6368</v>
      </c>
      <c r="AI192">
        <v>37.334099999999999</v>
      </c>
      <c r="AJ192">
        <v>22.6876</v>
      </c>
      <c r="AK192">
        <v>36.585000000000001</v>
      </c>
      <c r="AL192" t="s">
        <v>134</v>
      </c>
      <c r="AM192">
        <v>26.328700000000001</v>
      </c>
      <c r="AN192">
        <v>32.2789</v>
      </c>
      <c r="AO192">
        <v>35.231499999999997</v>
      </c>
      <c r="AP192">
        <v>35.110599999999998</v>
      </c>
      <c r="AQ192">
        <v>37.915700000000001</v>
      </c>
      <c r="AR192" t="s">
        <v>134</v>
      </c>
      <c r="AS192">
        <v>27.648900000000001</v>
      </c>
      <c r="AT192">
        <v>22.946300000000001</v>
      </c>
      <c r="AU192">
        <v>14.774699999999999</v>
      </c>
      <c r="AV192">
        <v>21.7349</v>
      </c>
      <c r="AW192">
        <v>24.5885</v>
      </c>
      <c r="AX192">
        <v>35.511499999999998</v>
      </c>
      <c r="AY192">
        <v>26.619800000000001</v>
      </c>
      <c r="AZ192">
        <v>15.309699999999999</v>
      </c>
      <c r="BA192">
        <v>14.2614</v>
      </c>
      <c r="BB192">
        <v>23.730699999999999</v>
      </c>
      <c r="BC192">
        <v>19.408999999999999</v>
      </c>
      <c r="BD192">
        <v>23.491</v>
      </c>
      <c r="BE192" t="s">
        <v>134</v>
      </c>
      <c r="BF192">
        <v>6.7549999999999999</v>
      </c>
      <c r="BG192">
        <v>7.8998999999999997</v>
      </c>
      <c r="BH192">
        <v>7.3331999999999997</v>
      </c>
      <c r="BI192">
        <v>3.4060999999999999</v>
      </c>
      <c r="BJ192">
        <v>3.4371999999999998</v>
      </c>
      <c r="BK192" t="s">
        <v>134</v>
      </c>
      <c r="BL192" t="s">
        <v>134</v>
      </c>
      <c r="BM192" t="s">
        <v>134</v>
      </c>
      <c r="BN192" t="s">
        <v>134</v>
      </c>
      <c r="BO192" t="s">
        <v>134</v>
      </c>
      <c r="BP192" t="s">
        <v>134</v>
      </c>
      <c r="BQ192" t="s">
        <v>134</v>
      </c>
      <c r="BR192" t="s">
        <v>134</v>
      </c>
      <c r="BS192" t="s">
        <v>134</v>
      </c>
      <c r="BT192" t="s">
        <v>134</v>
      </c>
      <c r="BU192" t="s">
        <v>134</v>
      </c>
      <c r="BV192" t="s">
        <v>134</v>
      </c>
      <c r="BW192" t="s">
        <v>134</v>
      </c>
      <c r="BX192" t="s">
        <v>134</v>
      </c>
      <c r="BY192">
        <v>47019.7</v>
      </c>
      <c r="BZ192">
        <v>38547.699999999997</v>
      </c>
      <c r="CA192">
        <v>8472</v>
      </c>
      <c r="CB192">
        <v>1.4675</v>
      </c>
      <c r="CC192">
        <v>1.2071000000000001</v>
      </c>
      <c r="CD192">
        <v>1.6722000000000001</v>
      </c>
      <c r="CE192">
        <v>1.3754</v>
      </c>
      <c r="CF192">
        <v>35.138599999999997</v>
      </c>
      <c r="CG192">
        <v>44.949199999999998</v>
      </c>
      <c r="CH192">
        <v>11.905100000000001</v>
      </c>
      <c r="CI192">
        <v>7.1685999999999996</v>
      </c>
      <c r="CJ192">
        <v>5.3963999999999999</v>
      </c>
      <c r="CK192">
        <v>66.073400000000007</v>
      </c>
      <c r="CL192">
        <v>39.785699999999999</v>
      </c>
      <c r="CM192">
        <v>29.950099999999999</v>
      </c>
      <c r="CN192">
        <v>54.348100000000002</v>
      </c>
      <c r="CO192">
        <v>35.211399999999998</v>
      </c>
      <c r="CP192">
        <v>8823.2999999999993</v>
      </c>
      <c r="CQ192" t="s">
        <v>134</v>
      </c>
      <c r="CR192">
        <v>7710.6</v>
      </c>
      <c r="CS192">
        <v>0.1116</v>
      </c>
      <c r="CT192">
        <v>1.3378000000000001</v>
      </c>
      <c r="CU192">
        <v>0.66969999999999996</v>
      </c>
      <c r="CV192">
        <v>5.2889999999999997</v>
      </c>
      <c r="CW192">
        <v>3.5457999999999998</v>
      </c>
      <c r="CX192">
        <v>103.2213</v>
      </c>
      <c r="CY192">
        <v>1.6351</v>
      </c>
      <c r="CZ192">
        <v>223.8383</v>
      </c>
      <c r="DA192">
        <v>2.9582999999999999</v>
      </c>
      <c r="DB192">
        <v>123.718</v>
      </c>
      <c r="DC192">
        <v>203.3415</v>
      </c>
      <c r="DD192">
        <v>327.05950000000001</v>
      </c>
      <c r="DE192">
        <v>40881</v>
      </c>
      <c r="DF192">
        <v>14849.2</v>
      </c>
      <c r="DG192">
        <v>9246.6</v>
      </c>
      <c r="DH192">
        <v>14011.8</v>
      </c>
      <c r="DI192">
        <v>2773.4</v>
      </c>
    </row>
    <row r="193" spans="1:113" x14ac:dyDescent="0.3">
      <c r="D193" t="s">
        <v>84</v>
      </c>
      <c r="E193" t="s">
        <v>77</v>
      </c>
      <c r="F193">
        <v>27.632300000000001</v>
      </c>
      <c r="G193">
        <v>14.3095</v>
      </c>
      <c r="H193">
        <v>18.6858</v>
      </c>
      <c r="I193">
        <v>18.007400000000001</v>
      </c>
      <c r="J193">
        <v>23.134599999999999</v>
      </c>
      <c r="K193">
        <v>20.253900000000002</v>
      </c>
      <c r="L193">
        <v>18.5807</v>
      </c>
      <c r="M193">
        <v>20.619</v>
      </c>
      <c r="N193">
        <v>15.5017</v>
      </c>
      <c r="O193">
        <v>15.504799999999999</v>
      </c>
      <c r="P193">
        <v>15.504799999999999</v>
      </c>
      <c r="Q193">
        <v>24.8184</v>
      </c>
      <c r="R193">
        <v>6.3636999999999997</v>
      </c>
      <c r="S193">
        <v>25.873799999999999</v>
      </c>
      <c r="T193">
        <v>8.2791999999999994</v>
      </c>
      <c r="U193">
        <v>7.7211999999999996</v>
      </c>
      <c r="V193">
        <v>7.5435999999999996</v>
      </c>
      <c r="W193">
        <v>13.6572</v>
      </c>
      <c r="X193">
        <v>13.473700000000001</v>
      </c>
      <c r="Y193">
        <v>0</v>
      </c>
      <c r="Z193">
        <v>-39.971299999999999</v>
      </c>
      <c r="AA193">
        <v>6.7651000000000003</v>
      </c>
      <c r="AB193">
        <v>26.187000000000001</v>
      </c>
      <c r="AC193">
        <v>2.0678999999999998</v>
      </c>
      <c r="AD193">
        <v>-25.7532</v>
      </c>
      <c r="AE193">
        <v>5.2862</v>
      </c>
      <c r="AF193">
        <v>1.2715000000000001</v>
      </c>
      <c r="AG193">
        <v>-25.9528</v>
      </c>
      <c r="AH193">
        <v>-33.2654</v>
      </c>
      <c r="AI193">
        <v>28.589600000000001</v>
      </c>
      <c r="AJ193">
        <v>3.3022999999999998</v>
      </c>
      <c r="AK193">
        <v>28.4496</v>
      </c>
      <c r="AL193">
        <v>140.4263</v>
      </c>
      <c r="AM193">
        <v>26.2547</v>
      </c>
      <c r="AN193">
        <v>41.281100000000002</v>
      </c>
      <c r="AO193">
        <v>48.986400000000003</v>
      </c>
      <c r="AP193" t="s">
        <v>134</v>
      </c>
      <c r="AQ193" t="s">
        <v>134</v>
      </c>
      <c r="AR193">
        <v>37.972999999999999</v>
      </c>
      <c r="AS193">
        <v>17.399899999999999</v>
      </c>
      <c r="AT193">
        <v>22.8828</v>
      </c>
      <c r="AU193">
        <v>15.511200000000001</v>
      </c>
      <c r="AV193">
        <v>21.105399999999999</v>
      </c>
      <c r="AW193">
        <v>16.736799999999999</v>
      </c>
      <c r="AX193">
        <v>49.241999999999997</v>
      </c>
      <c r="AY193">
        <v>30.392399999999999</v>
      </c>
      <c r="AZ193">
        <v>8.3505000000000003</v>
      </c>
      <c r="BA193">
        <v>1.6755</v>
      </c>
      <c r="BB193">
        <v>31.879300000000001</v>
      </c>
      <c r="BC193">
        <v>18.524699999999999</v>
      </c>
      <c r="BD193">
        <v>31.823899999999998</v>
      </c>
      <c r="BE193">
        <v>66.083100000000002</v>
      </c>
      <c r="BF193">
        <v>8.2791999999999994</v>
      </c>
      <c r="BG193">
        <v>7.7211999999999996</v>
      </c>
      <c r="BH193">
        <v>7.5435999999999996</v>
      </c>
      <c r="BI193">
        <v>13.6572</v>
      </c>
      <c r="BJ193">
        <v>13.473700000000001</v>
      </c>
      <c r="BK193">
        <v>0</v>
      </c>
      <c r="BL193">
        <v>-39.971299999999999</v>
      </c>
      <c r="BM193">
        <v>6.7651000000000003</v>
      </c>
      <c r="BN193">
        <v>26.187000000000001</v>
      </c>
      <c r="BO193">
        <v>2.0678999999999998</v>
      </c>
      <c r="BP193">
        <v>-25.7532</v>
      </c>
      <c r="BQ193">
        <v>5.2862</v>
      </c>
      <c r="BR193">
        <v>1.2715000000000001</v>
      </c>
      <c r="BS193">
        <v>-25.9528</v>
      </c>
      <c r="BT193">
        <v>-33.2654</v>
      </c>
      <c r="BU193">
        <v>28.589600000000001</v>
      </c>
      <c r="BV193">
        <v>3.3022999999999998</v>
      </c>
      <c r="BW193">
        <v>28.4496</v>
      </c>
      <c r="BX193">
        <v>140.4263</v>
      </c>
      <c r="BY193">
        <v>33641.4</v>
      </c>
      <c r="BZ193">
        <v>31827.4</v>
      </c>
      <c r="CA193">
        <v>1814</v>
      </c>
      <c r="CB193">
        <v>0.97960000000000003</v>
      </c>
      <c r="CC193">
        <v>0.6149</v>
      </c>
      <c r="CD193">
        <v>1.1189</v>
      </c>
      <c r="CE193">
        <v>0.70240000000000002</v>
      </c>
      <c r="CF193">
        <v>63.002800000000001</v>
      </c>
      <c r="CG193">
        <v>57.675400000000003</v>
      </c>
      <c r="CH193">
        <v>1.9351</v>
      </c>
      <c r="CI193">
        <v>1.4240999999999999</v>
      </c>
      <c r="CJ193">
        <v>1.1163000000000001</v>
      </c>
      <c r="CK193">
        <v>35.887999999999998</v>
      </c>
      <c r="CL193">
        <v>26.41</v>
      </c>
      <c r="CM193">
        <v>20.703099999999999</v>
      </c>
      <c r="CN193">
        <v>22.528199999999998</v>
      </c>
      <c r="CO193">
        <v>18.386099999999999</v>
      </c>
      <c r="CP193">
        <v>34342.800000000003</v>
      </c>
      <c r="CQ193">
        <v>17401.3</v>
      </c>
      <c r="CR193">
        <v>30066.5</v>
      </c>
      <c r="CS193">
        <v>0.18909999999999999</v>
      </c>
      <c r="CT193">
        <v>1.3902000000000001</v>
      </c>
      <c r="CU193">
        <v>0.60670000000000002</v>
      </c>
      <c r="CV193">
        <v>6.0153999999999996</v>
      </c>
      <c r="CW193">
        <v>4.0273000000000003</v>
      </c>
      <c r="CX193">
        <v>90.630600000000001</v>
      </c>
      <c r="CY193">
        <v>1.6080999999999999</v>
      </c>
      <c r="CZ193">
        <v>226.9709</v>
      </c>
      <c r="DA193">
        <v>2.8382000000000001</v>
      </c>
      <c r="DB193">
        <v>128.60290000000001</v>
      </c>
      <c r="DC193">
        <v>188.99850000000001</v>
      </c>
      <c r="DD193">
        <v>317.60149999999999</v>
      </c>
      <c r="DE193">
        <v>43305.4</v>
      </c>
      <c r="DF193">
        <v>15201</v>
      </c>
      <c r="DG193">
        <v>8626.7000000000007</v>
      </c>
      <c r="DH193">
        <v>16214.3</v>
      </c>
      <c r="DI193">
        <v>3263.4</v>
      </c>
    </row>
    <row r="194" spans="1:113" x14ac:dyDescent="0.3">
      <c r="E194" t="s">
        <v>78</v>
      </c>
      <c r="F194" t="s">
        <v>134</v>
      </c>
      <c r="G194" t="s">
        <v>134</v>
      </c>
      <c r="H194" t="s">
        <v>134</v>
      </c>
      <c r="I194" t="s">
        <v>134</v>
      </c>
      <c r="J194">
        <v>24.262599999999999</v>
      </c>
      <c r="K194">
        <v>21.363</v>
      </c>
      <c r="L194">
        <v>34.7849</v>
      </c>
      <c r="M194">
        <v>21.4255</v>
      </c>
      <c r="N194">
        <v>15.963799999999999</v>
      </c>
      <c r="O194">
        <v>15.9655</v>
      </c>
      <c r="P194">
        <v>15.9655</v>
      </c>
      <c r="Q194">
        <v>25.584399999999999</v>
      </c>
      <c r="R194" t="s">
        <v>134</v>
      </c>
      <c r="S194" t="s">
        <v>134</v>
      </c>
      <c r="T194">
        <v>13.0038</v>
      </c>
      <c r="U194">
        <v>22.6067</v>
      </c>
      <c r="V194">
        <v>23.057600000000001</v>
      </c>
      <c r="W194">
        <v>23.8142</v>
      </c>
      <c r="X194">
        <v>23.485800000000001</v>
      </c>
      <c r="Y194" t="s">
        <v>134</v>
      </c>
      <c r="Z194" t="s">
        <v>134</v>
      </c>
      <c r="AA194" t="s">
        <v>134</v>
      </c>
      <c r="AB194" t="s">
        <v>134</v>
      </c>
      <c r="AC194" t="s">
        <v>134</v>
      </c>
      <c r="AD194" t="s">
        <v>134</v>
      </c>
      <c r="AE194" t="s">
        <v>134</v>
      </c>
      <c r="AF194" t="s">
        <v>134</v>
      </c>
      <c r="AG194" t="s">
        <v>134</v>
      </c>
      <c r="AH194" t="s">
        <v>134</v>
      </c>
      <c r="AI194" t="s">
        <v>134</v>
      </c>
      <c r="AJ194" t="s">
        <v>134</v>
      </c>
      <c r="AK194" t="s">
        <v>134</v>
      </c>
      <c r="AL194" t="s">
        <v>134</v>
      </c>
      <c r="AM194">
        <v>27.7486</v>
      </c>
      <c r="AN194">
        <v>40.231200000000001</v>
      </c>
      <c r="AO194">
        <v>45.81</v>
      </c>
      <c r="AP194" t="s">
        <v>134</v>
      </c>
      <c r="AQ194" t="s">
        <v>134</v>
      </c>
      <c r="AR194" t="s">
        <v>134</v>
      </c>
      <c r="AS194" t="s">
        <v>134</v>
      </c>
      <c r="AT194" t="s">
        <v>134</v>
      </c>
      <c r="AU194" t="s">
        <v>134</v>
      </c>
      <c r="AV194" t="s">
        <v>134</v>
      </c>
      <c r="AW194" t="s">
        <v>134</v>
      </c>
      <c r="AX194" t="s">
        <v>134</v>
      </c>
      <c r="AY194" t="s">
        <v>134</v>
      </c>
      <c r="AZ194" t="s">
        <v>134</v>
      </c>
      <c r="BA194" t="s">
        <v>134</v>
      </c>
      <c r="BB194" t="s">
        <v>134</v>
      </c>
      <c r="BC194" t="s">
        <v>134</v>
      </c>
      <c r="BD194" t="s">
        <v>134</v>
      </c>
      <c r="BE194" t="s">
        <v>134</v>
      </c>
      <c r="BF194">
        <v>-0.29360000000000003</v>
      </c>
      <c r="BG194">
        <v>0.75139999999999996</v>
      </c>
      <c r="BH194">
        <v>1.5122</v>
      </c>
      <c r="BI194">
        <v>3.9281999999999999</v>
      </c>
      <c r="BJ194">
        <v>3.7382999999999997</v>
      </c>
      <c r="BK194" t="s">
        <v>134</v>
      </c>
      <c r="BL194" t="s">
        <v>134</v>
      </c>
      <c r="BM194" t="s">
        <v>134</v>
      </c>
      <c r="BN194" t="s">
        <v>134</v>
      </c>
      <c r="BO194" t="s">
        <v>134</v>
      </c>
      <c r="BP194" t="s">
        <v>134</v>
      </c>
      <c r="BQ194" t="s">
        <v>134</v>
      </c>
      <c r="BR194" t="s">
        <v>134</v>
      </c>
      <c r="BS194" t="s">
        <v>134</v>
      </c>
      <c r="BT194" t="s">
        <v>134</v>
      </c>
      <c r="BU194" t="s">
        <v>134</v>
      </c>
      <c r="BV194" t="s">
        <v>134</v>
      </c>
      <c r="BW194" t="s">
        <v>134</v>
      </c>
      <c r="BX194" t="s">
        <v>134</v>
      </c>
      <c r="BY194" t="s">
        <v>134</v>
      </c>
      <c r="BZ194" t="s">
        <v>134</v>
      </c>
      <c r="CA194" t="s">
        <v>134</v>
      </c>
      <c r="CB194" t="s">
        <v>134</v>
      </c>
      <c r="CC194" t="s">
        <v>134</v>
      </c>
      <c r="CD194" t="s">
        <v>134</v>
      </c>
      <c r="CE194" t="s">
        <v>134</v>
      </c>
      <c r="CF194">
        <v>43.069800000000001</v>
      </c>
      <c r="CG194" t="s">
        <v>134</v>
      </c>
      <c r="CH194" t="s">
        <v>134</v>
      </c>
      <c r="CI194" t="s">
        <v>134</v>
      </c>
      <c r="CJ194" t="s">
        <v>134</v>
      </c>
      <c r="CK194" t="s">
        <v>134</v>
      </c>
      <c r="CL194" t="s">
        <v>134</v>
      </c>
      <c r="CM194" t="s">
        <v>134</v>
      </c>
      <c r="CN194" t="s">
        <v>134</v>
      </c>
      <c r="CO194" t="s">
        <v>134</v>
      </c>
      <c r="CP194">
        <v>8889.6</v>
      </c>
      <c r="CQ194" t="s">
        <v>134</v>
      </c>
      <c r="CR194">
        <v>7827.2</v>
      </c>
      <c r="CS194" t="s">
        <v>134</v>
      </c>
      <c r="CT194" t="s">
        <v>134</v>
      </c>
      <c r="CU194" t="s">
        <v>134</v>
      </c>
      <c r="CV194" t="s">
        <v>134</v>
      </c>
      <c r="CW194" t="s">
        <v>134</v>
      </c>
      <c r="CX194" t="s">
        <v>134</v>
      </c>
      <c r="CY194" t="s">
        <v>134</v>
      </c>
      <c r="CZ194" t="s">
        <v>134</v>
      </c>
      <c r="DA194" t="s">
        <v>134</v>
      </c>
      <c r="DB194" t="s">
        <v>134</v>
      </c>
      <c r="DC194" t="s">
        <v>134</v>
      </c>
      <c r="DD194" t="s">
        <v>134</v>
      </c>
      <c r="DE194" t="s">
        <v>134</v>
      </c>
      <c r="DF194" t="s">
        <v>134</v>
      </c>
      <c r="DG194" t="s">
        <v>134</v>
      </c>
      <c r="DH194" t="s">
        <v>134</v>
      </c>
      <c r="DI194" t="s">
        <v>134</v>
      </c>
    </row>
    <row r="195" spans="1:113" x14ac:dyDescent="0.3">
      <c r="E195" t="s">
        <v>79</v>
      </c>
      <c r="F195">
        <v>31.7028</v>
      </c>
      <c r="G195">
        <v>15.0115</v>
      </c>
      <c r="H195">
        <v>20.816400000000002</v>
      </c>
      <c r="I195">
        <v>20.122499999999999</v>
      </c>
      <c r="J195">
        <v>25.021899999999999</v>
      </c>
      <c r="K195">
        <v>22.054500000000001</v>
      </c>
      <c r="L195">
        <v>33.003999999999998</v>
      </c>
      <c r="M195">
        <v>22.348800000000001</v>
      </c>
      <c r="N195">
        <v>16.3064</v>
      </c>
      <c r="O195">
        <v>16.308800000000002</v>
      </c>
      <c r="P195">
        <v>16.308800000000002</v>
      </c>
      <c r="Q195">
        <v>26.988700000000001</v>
      </c>
      <c r="R195">
        <v>12.078099999999999</v>
      </c>
      <c r="S195">
        <v>27.873699999999999</v>
      </c>
      <c r="T195">
        <v>12.1335</v>
      </c>
      <c r="U195">
        <v>19.279399999999999</v>
      </c>
      <c r="V195">
        <v>19.321400000000001</v>
      </c>
      <c r="W195">
        <v>33.533200000000001</v>
      </c>
      <c r="X195">
        <v>33.366999999999997</v>
      </c>
      <c r="Y195" t="s">
        <v>134</v>
      </c>
      <c r="Z195">
        <v>-33.789900000000003</v>
      </c>
      <c r="AA195">
        <v>2.7915999999999999</v>
      </c>
      <c r="AB195">
        <v>3.8159000000000001</v>
      </c>
      <c r="AC195">
        <v>6.3902999999999999</v>
      </c>
      <c r="AD195">
        <v>-21.697500000000002</v>
      </c>
      <c r="AE195">
        <v>15.5083</v>
      </c>
      <c r="AF195">
        <v>-1.5432999999999999</v>
      </c>
      <c r="AG195">
        <v>16.331299999999999</v>
      </c>
      <c r="AH195">
        <v>-6.7971000000000004</v>
      </c>
      <c r="AI195">
        <v>39.232100000000003</v>
      </c>
      <c r="AJ195">
        <v>20.357199999999999</v>
      </c>
      <c r="AK195">
        <v>39.467500000000001</v>
      </c>
      <c r="AL195" t="s">
        <v>134</v>
      </c>
      <c r="AM195">
        <v>28.130500000000001</v>
      </c>
      <c r="AN195">
        <v>51.971800000000002</v>
      </c>
      <c r="AO195">
        <v>64.298599999999993</v>
      </c>
      <c r="AP195" t="s">
        <v>134</v>
      </c>
      <c r="AQ195" t="s">
        <v>134</v>
      </c>
      <c r="AR195" t="s">
        <v>134</v>
      </c>
      <c r="AS195">
        <v>16.3399</v>
      </c>
      <c r="AT195">
        <v>22.175699999999999</v>
      </c>
      <c r="AU195">
        <v>11.8835</v>
      </c>
      <c r="AV195">
        <v>20.6907</v>
      </c>
      <c r="AW195">
        <v>9.6389999999999993</v>
      </c>
      <c r="AX195">
        <v>2.2522000000000002</v>
      </c>
      <c r="AY195" t="s">
        <v>134</v>
      </c>
      <c r="AZ195" t="s">
        <v>134</v>
      </c>
      <c r="BA195">
        <v>5.2454999999999998</v>
      </c>
      <c r="BB195">
        <v>29.857900000000001</v>
      </c>
      <c r="BC195">
        <v>18.3474</v>
      </c>
      <c r="BD195">
        <v>29.831</v>
      </c>
      <c r="BE195" t="s">
        <v>134</v>
      </c>
      <c r="BF195">
        <v>0.2424</v>
      </c>
      <c r="BG195">
        <v>4.5278</v>
      </c>
      <c r="BH195">
        <v>4.6364000000000001</v>
      </c>
      <c r="BI195">
        <v>3.5352999999999999</v>
      </c>
      <c r="BJ195">
        <v>3.5964</v>
      </c>
      <c r="BK195" t="s">
        <v>134</v>
      </c>
      <c r="BL195" t="s">
        <v>134</v>
      </c>
      <c r="BM195" t="s">
        <v>134</v>
      </c>
      <c r="BN195" t="s">
        <v>134</v>
      </c>
      <c r="BO195" t="s">
        <v>134</v>
      </c>
      <c r="BP195" t="s">
        <v>134</v>
      </c>
      <c r="BQ195" t="s">
        <v>134</v>
      </c>
      <c r="BR195" t="s">
        <v>134</v>
      </c>
      <c r="BS195" t="s">
        <v>134</v>
      </c>
      <c r="BT195" t="s">
        <v>134</v>
      </c>
      <c r="BU195" t="s">
        <v>134</v>
      </c>
      <c r="BV195" t="s">
        <v>134</v>
      </c>
      <c r="BW195" t="s">
        <v>134</v>
      </c>
      <c r="BX195" t="s">
        <v>134</v>
      </c>
      <c r="BY195">
        <v>39329.4</v>
      </c>
      <c r="BZ195">
        <v>34701.4</v>
      </c>
      <c r="CA195">
        <v>4628</v>
      </c>
      <c r="CB195">
        <v>1.1179000000000001</v>
      </c>
      <c r="CC195">
        <v>0.91720000000000002</v>
      </c>
      <c r="CD195">
        <v>1.2723</v>
      </c>
      <c r="CE195">
        <v>1.0439000000000001</v>
      </c>
      <c r="CF195">
        <v>52.976599999999998</v>
      </c>
      <c r="CG195">
        <v>53.545499999999997</v>
      </c>
      <c r="CH195">
        <v>5.4752999999999998</v>
      </c>
      <c r="CI195">
        <v>3.7366999999999999</v>
      </c>
      <c r="CJ195">
        <v>2.9327000000000001</v>
      </c>
      <c r="CK195">
        <v>46.530299999999997</v>
      </c>
      <c r="CL195">
        <v>31.7547</v>
      </c>
      <c r="CM195">
        <v>24.922599999999999</v>
      </c>
      <c r="CN195">
        <v>38.177100000000003</v>
      </c>
      <c r="CO195">
        <v>27.629100000000001</v>
      </c>
      <c r="CP195">
        <v>9292.1</v>
      </c>
      <c r="CQ195" t="s">
        <v>134</v>
      </c>
      <c r="CR195">
        <v>8190.1</v>
      </c>
      <c r="CS195">
        <v>0.1036</v>
      </c>
      <c r="CT195">
        <v>1.4228000000000001</v>
      </c>
      <c r="CU195">
        <v>0.50360000000000005</v>
      </c>
      <c r="CV195">
        <v>6.7731000000000003</v>
      </c>
      <c r="CW195">
        <v>4.2462999999999997</v>
      </c>
      <c r="CX195">
        <v>86.193600000000004</v>
      </c>
      <c r="CY195">
        <v>1.6068</v>
      </c>
      <c r="CZ195">
        <v>227.77699999999999</v>
      </c>
      <c r="DA195">
        <v>2.7361</v>
      </c>
      <c r="DB195">
        <v>133.76939999999999</v>
      </c>
      <c r="DC195">
        <v>180.2012</v>
      </c>
      <c r="DD195">
        <v>313.97059999999999</v>
      </c>
      <c r="DE195">
        <v>42010</v>
      </c>
      <c r="DF195" t="s">
        <v>134</v>
      </c>
      <c r="DG195" t="s">
        <v>134</v>
      </c>
      <c r="DH195" t="s">
        <v>134</v>
      </c>
      <c r="DI195" t="s">
        <v>134</v>
      </c>
    </row>
    <row r="196" spans="1:113" x14ac:dyDescent="0.3">
      <c r="E196" t="s">
        <v>80</v>
      </c>
      <c r="F196" t="s">
        <v>134</v>
      </c>
      <c r="G196" t="s">
        <v>134</v>
      </c>
      <c r="H196" t="s">
        <v>134</v>
      </c>
      <c r="I196" t="s">
        <v>134</v>
      </c>
      <c r="J196">
        <v>23.276</v>
      </c>
      <c r="K196">
        <v>20.385100000000001</v>
      </c>
      <c r="L196">
        <v>16.236999999999998</v>
      </c>
      <c r="M196">
        <v>20.6312</v>
      </c>
      <c r="N196">
        <v>15.047599999999999</v>
      </c>
      <c r="O196">
        <v>15.049899999999999</v>
      </c>
      <c r="P196">
        <v>15.049899999999999</v>
      </c>
      <c r="Q196">
        <v>27.4434</v>
      </c>
      <c r="R196" t="s">
        <v>134</v>
      </c>
      <c r="S196" t="s">
        <v>134</v>
      </c>
      <c r="T196">
        <v>11.687100000000001</v>
      </c>
      <c r="U196">
        <v>9.4298000000000002</v>
      </c>
      <c r="V196">
        <v>9.0927000000000007</v>
      </c>
      <c r="W196">
        <v>6.2979000000000003</v>
      </c>
      <c r="X196">
        <v>6.1223999999999998</v>
      </c>
      <c r="Y196" t="s">
        <v>134</v>
      </c>
      <c r="Z196" t="s">
        <v>134</v>
      </c>
      <c r="AA196" t="s">
        <v>134</v>
      </c>
      <c r="AB196" t="s">
        <v>134</v>
      </c>
      <c r="AC196" t="s">
        <v>134</v>
      </c>
      <c r="AD196" t="s">
        <v>134</v>
      </c>
      <c r="AE196" t="s">
        <v>134</v>
      </c>
      <c r="AF196" t="s">
        <v>134</v>
      </c>
      <c r="AG196" t="s">
        <v>134</v>
      </c>
      <c r="AH196" t="s">
        <v>134</v>
      </c>
      <c r="AI196" t="s">
        <v>134</v>
      </c>
      <c r="AJ196" t="s">
        <v>134</v>
      </c>
      <c r="AK196" t="s">
        <v>134</v>
      </c>
      <c r="AL196" t="s">
        <v>134</v>
      </c>
      <c r="AM196">
        <v>24.514499999999998</v>
      </c>
      <c r="AN196">
        <v>36.1663</v>
      </c>
      <c r="AO196">
        <v>41.956099999999999</v>
      </c>
      <c r="AP196" t="s">
        <v>134</v>
      </c>
      <c r="AQ196" t="s">
        <v>134</v>
      </c>
      <c r="AR196" t="s">
        <v>134</v>
      </c>
      <c r="AS196" t="s">
        <v>134</v>
      </c>
      <c r="AT196" t="s">
        <v>134</v>
      </c>
      <c r="AU196" t="s">
        <v>134</v>
      </c>
      <c r="AV196" t="s">
        <v>134</v>
      </c>
      <c r="AW196" t="s">
        <v>134</v>
      </c>
      <c r="AX196" t="s">
        <v>134</v>
      </c>
      <c r="AY196" t="s">
        <v>134</v>
      </c>
      <c r="AZ196" t="s">
        <v>134</v>
      </c>
      <c r="BA196" t="s">
        <v>134</v>
      </c>
      <c r="BB196" t="s">
        <v>134</v>
      </c>
      <c r="BC196" t="s">
        <v>134</v>
      </c>
      <c r="BD196" t="s">
        <v>134</v>
      </c>
      <c r="BE196" t="s">
        <v>134</v>
      </c>
      <c r="BF196">
        <v>3.5246</v>
      </c>
      <c r="BG196">
        <v>-3.6987999999999999</v>
      </c>
      <c r="BH196">
        <v>-4.3113000000000001</v>
      </c>
      <c r="BI196">
        <v>-4.4663000000000004</v>
      </c>
      <c r="BJ196">
        <v>-4.5343999999999998</v>
      </c>
      <c r="BK196" t="s">
        <v>134</v>
      </c>
      <c r="BL196" t="s">
        <v>134</v>
      </c>
      <c r="BM196" t="s">
        <v>134</v>
      </c>
      <c r="BN196" t="s">
        <v>134</v>
      </c>
      <c r="BO196" t="s">
        <v>134</v>
      </c>
      <c r="BP196" t="s">
        <v>134</v>
      </c>
      <c r="BQ196" t="s">
        <v>134</v>
      </c>
      <c r="BR196" t="s">
        <v>134</v>
      </c>
      <c r="BS196" t="s">
        <v>134</v>
      </c>
      <c r="BT196" t="s">
        <v>134</v>
      </c>
      <c r="BU196" t="s">
        <v>134</v>
      </c>
      <c r="BV196" t="s">
        <v>134</v>
      </c>
      <c r="BW196" t="s">
        <v>134</v>
      </c>
      <c r="BX196" t="s">
        <v>134</v>
      </c>
      <c r="BY196" t="s">
        <v>134</v>
      </c>
      <c r="BZ196" t="s">
        <v>134</v>
      </c>
      <c r="CA196" t="s">
        <v>134</v>
      </c>
      <c r="CB196" t="s">
        <v>134</v>
      </c>
      <c r="CC196" t="s">
        <v>134</v>
      </c>
      <c r="CD196" t="s">
        <v>134</v>
      </c>
      <c r="CE196" t="s">
        <v>134</v>
      </c>
      <c r="CF196">
        <v>62.751800000000003</v>
      </c>
      <c r="CG196" t="s">
        <v>134</v>
      </c>
      <c r="CH196" t="s">
        <v>134</v>
      </c>
      <c r="CI196" t="s">
        <v>134</v>
      </c>
      <c r="CJ196" t="s">
        <v>134</v>
      </c>
      <c r="CK196" t="s">
        <v>134</v>
      </c>
      <c r="CL196" t="s">
        <v>134</v>
      </c>
      <c r="CM196" t="s">
        <v>134</v>
      </c>
      <c r="CN196" t="s">
        <v>134</v>
      </c>
      <c r="CO196" t="s">
        <v>134</v>
      </c>
      <c r="CP196">
        <v>8948.4</v>
      </c>
      <c r="CQ196" t="s">
        <v>134</v>
      </c>
      <c r="CR196">
        <v>7837</v>
      </c>
      <c r="CS196" t="s">
        <v>134</v>
      </c>
      <c r="CT196" t="s">
        <v>134</v>
      </c>
      <c r="CU196" t="s">
        <v>134</v>
      </c>
      <c r="CV196" t="s">
        <v>134</v>
      </c>
      <c r="CW196" t="s">
        <v>134</v>
      </c>
      <c r="CX196" t="s">
        <v>134</v>
      </c>
      <c r="CY196" t="s">
        <v>134</v>
      </c>
      <c r="CZ196" t="s">
        <v>134</v>
      </c>
      <c r="DA196" t="s">
        <v>134</v>
      </c>
      <c r="DB196" t="s">
        <v>134</v>
      </c>
      <c r="DC196" t="s">
        <v>134</v>
      </c>
      <c r="DD196" t="s">
        <v>134</v>
      </c>
      <c r="DE196" t="s">
        <v>134</v>
      </c>
      <c r="DF196" t="s">
        <v>134</v>
      </c>
      <c r="DG196" t="s">
        <v>134</v>
      </c>
      <c r="DH196" t="s">
        <v>134</v>
      </c>
      <c r="DI196" t="s">
        <v>134</v>
      </c>
    </row>
    <row r="197" spans="1:113" x14ac:dyDescent="0.3">
      <c r="E197" t="s">
        <v>81</v>
      </c>
      <c r="F197">
        <v>27.632000000000001</v>
      </c>
      <c r="G197">
        <v>14.3094</v>
      </c>
      <c r="H197">
        <v>18.758700000000001</v>
      </c>
      <c r="I197">
        <v>18.011600000000001</v>
      </c>
      <c r="J197">
        <v>20.134399999999999</v>
      </c>
      <c r="K197">
        <v>17.3414</v>
      </c>
      <c r="L197">
        <v>-161.8991</v>
      </c>
      <c r="M197">
        <v>18.128</v>
      </c>
      <c r="N197">
        <v>14.8576</v>
      </c>
      <c r="O197">
        <v>14.864100000000001</v>
      </c>
      <c r="P197">
        <v>14.864100000000001</v>
      </c>
      <c r="Q197">
        <v>18.040600000000001</v>
      </c>
      <c r="R197" t="s">
        <v>134</v>
      </c>
      <c r="S197" t="s">
        <v>134</v>
      </c>
      <c r="T197">
        <v>-2.5190999999999999</v>
      </c>
      <c r="U197">
        <v>-18.257300000000001</v>
      </c>
      <c r="V197">
        <v>-19.436900000000001</v>
      </c>
      <c r="W197">
        <v>-5.4010999999999996</v>
      </c>
      <c r="X197">
        <v>-5.5036000000000005</v>
      </c>
      <c r="Y197" t="s">
        <v>134</v>
      </c>
      <c r="Z197">
        <v>-39.971299999999999</v>
      </c>
      <c r="AA197">
        <v>6.7651000000000003</v>
      </c>
      <c r="AB197">
        <v>26.187000000000001</v>
      </c>
      <c r="AC197">
        <v>2.0678999999999998</v>
      </c>
      <c r="AD197">
        <v>-25.7532</v>
      </c>
      <c r="AE197">
        <v>5.2862</v>
      </c>
      <c r="AF197">
        <v>1.2715000000000001</v>
      </c>
      <c r="AG197">
        <v>-25.9528</v>
      </c>
      <c r="AH197">
        <v>-33.2654</v>
      </c>
      <c r="AI197">
        <v>28.589600000000001</v>
      </c>
      <c r="AJ197">
        <v>3.3022999999999998</v>
      </c>
      <c r="AK197">
        <v>28.4496</v>
      </c>
      <c r="AL197" t="s">
        <v>134</v>
      </c>
      <c r="AM197">
        <v>25.064900000000002</v>
      </c>
      <c r="AN197">
        <v>38.7211</v>
      </c>
      <c r="AO197">
        <v>48.341200000000001</v>
      </c>
      <c r="AP197">
        <v>37.585000000000001</v>
      </c>
      <c r="AQ197">
        <v>37.448300000000003</v>
      </c>
      <c r="AR197" t="s">
        <v>134</v>
      </c>
      <c r="AS197">
        <v>17.399899999999999</v>
      </c>
      <c r="AT197">
        <v>22.8828</v>
      </c>
      <c r="AU197">
        <v>15.511200000000001</v>
      </c>
      <c r="AV197">
        <v>21.105399999999999</v>
      </c>
      <c r="AW197">
        <v>16.736799999999999</v>
      </c>
      <c r="AX197">
        <v>49.241999999999997</v>
      </c>
      <c r="AY197">
        <v>30.392399999999999</v>
      </c>
      <c r="AZ197">
        <v>8.3505000000000003</v>
      </c>
      <c r="BA197">
        <v>1.6755</v>
      </c>
      <c r="BB197">
        <v>31.879300000000001</v>
      </c>
      <c r="BC197">
        <v>18.524699999999999</v>
      </c>
      <c r="BD197">
        <v>31.823899999999998</v>
      </c>
      <c r="BE197" t="s">
        <v>134</v>
      </c>
      <c r="BF197">
        <v>-6.8238000000000003</v>
      </c>
      <c r="BG197">
        <v>-19.400099999999998</v>
      </c>
      <c r="BH197">
        <v>-20.7363</v>
      </c>
      <c r="BI197">
        <v>-7.9745999999999997</v>
      </c>
      <c r="BJ197">
        <v>-7.8947000000000003</v>
      </c>
      <c r="BK197" t="s">
        <v>134</v>
      </c>
      <c r="BL197" t="s">
        <v>134</v>
      </c>
      <c r="BM197" t="s">
        <v>134</v>
      </c>
      <c r="BN197" t="s">
        <v>134</v>
      </c>
      <c r="BO197" t="s">
        <v>134</v>
      </c>
      <c r="BP197" t="s">
        <v>134</v>
      </c>
      <c r="BQ197" t="s">
        <v>134</v>
      </c>
      <c r="BR197" t="s">
        <v>134</v>
      </c>
      <c r="BS197" t="s">
        <v>134</v>
      </c>
      <c r="BT197" t="s">
        <v>134</v>
      </c>
      <c r="BU197" t="s">
        <v>134</v>
      </c>
      <c r="BV197" t="s">
        <v>134</v>
      </c>
      <c r="BW197" t="s">
        <v>134</v>
      </c>
      <c r="BX197" t="s">
        <v>134</v>
      </c>
      <c r="BY197">
        <v>33641.4</v>
      </c>
      <c r="BZ197">
        <v>31827.4</v>
      </c>
      <c r="CA197">
        <v>1814</v>
      </c>
      <c r="CB197">
        <v>0.97960000000000003</v>
      </c>
      <c r="CC197">
        <v>0.6149</v>
      </c>
      <c r="CD197">
        <v>1.1189</v>
      </c>
      <c r="CE197">
        <v>0.70240000000000002</v>
      </c>
      <c r="CF197">
        <v>50.506999999999998</v>
      </c>
      <c r="CG197">
        <v>57.675400000000003</v>
      </c>
      <c r="CH197">
        <v>1.9351</v>
      </c>
      <c r="CI197">
        <v>1.4240999999999999</v>
      </c>
      <c r="CJ197">
        <v>1.1163000000000001</v>
      </c>
      <c r="CK197">
        <v>35.887999999999998</v>
      </c>
      <c r="CL197">
        <v>26.41</v>
      </c>
      <c r="CM197">
        <v>20.703099999999999</v>
      </c>
      <c r="CN197">
        <v>22.528199999999998</v>
      </c>
      <c r="CO197">
        <v>18.386099999999999</v>
      </c>
      <c r="CP197">
        <v>7212.4</v>
      </c>
      <c r="CQ197" t="s">
        <v>134</v>
      </c>
      <c r="CR197">
        <v>6211.9</v>
      </c>
      <c r="CS197">
        <v>0.18909999999999999</v>
      </c>
      <c r="CT197">
        <v>1.3902000000000001</v>
      </c>
      <c r="CU197">
        <v>0.60670000000000002</v>
      </c>
      <c r="CV197">
        <v>6.0153999999999996</v>
      </c>
      <c r="CW197">
        <v>4.0273000000000003</v>
      </c>
      <c r="CX197">
        <v>90.630600000000001</v>
      </c>
      <c r="CY197">
        <v>1.6189</v>
      </c>
      <c r="CZ197">
        <v>225.46299999999999</v>
      </c>
      <c r="DA197">
        <v>2.8563999999999998</v>
      </c>
      <c r="DB197">
        <v>127.7817</v>
      </c>
      <c r="DC197">
        <v>188.31190000000001</v>
      </c>
      <c r="DD197">
        <v>316.09359999999998</v>
      </c>
      <c r="DE197">
        <v>43305.4</v>
      </c>
      <c r="DF197">
        <v>15201</v>
      </c>
      <c r="DG197">
        <v>8626.7000000000007</v>
      </c>
      <c r="DH197">
        <v>16214.3</v>
      </c>
      <c r="DI197">
        <v>3263.4</v>
      </c>
    </row>
    <row r="198" spans="1:113" x14ac:dyDescent="0.3">
      <c r="D198" t="s">
        <v>85</v>
      </c>
      <c r="E198" t="s">
        <v>77</v>
      </c>
      <c r="F198">
        <v>23.020399999999999</v>
      </c>
      <c r="G198">
        <v>12.9739</v>
      </c>
      <c r="H198">
        <v>16.922899999999998</v>
      </c>
      <c r="I198">
        <v>16.162600000000001</v>
      </c>
      <c r="J198">
        <v>23.235299999999999</v>
      </c>
      <c r="K198">
        <v>19.798000000000002</v>
      </c>
      <c r="L198">
        <v>14.9221</v>
      </c>
      <c r="M198">
        <v>19.966799999999999</v>
      </c>
      <c r="N198">
        <v>14.9259</v>
      </c>
      <c r="O198">
        <v>14.9276</v>
      </c>
      <c r="P198">
        <v>14.9276</v>
      </c>
      <c r="Q198">
        <v>25.246099999999998</v>
      </c>
      <c r="R198">
        <v>6.0448000000000004</v>
      </c>
      <c r="S198">
        <v>21.628900000000002</v>
      </c>
      <c r="T198">
        <v>9.3506</v>
      </c>
      <c r="U198">
        <v>9.8264999999999993</v>
      </c>
      <c r="V198">
        <v>6.8891</v>
      </c>
      <c r="W198">
        <v>5.2792000000000003</v>
      </c>
      <c r="X198">
        <v>5.1615000000000002</v>
      </c>
      <c r="Y198">
        <v>0</v>
      </c>
      <c r="Z198">
        <v>11.536799999999999</v>
      </c>
      <c r="AA198">
        <v>35.281300000000002</v>
      </c>
      <c r="AB198">
        <v>15.331300000000001</v>
      </c>
      <c r="AC198">
        <v>29.8828</v>
      </c>
      <c r="AD198">
        <v>27.810400000000001</v>
      </c>
      <c r="AE198">
        <v>34.863</v>
      </c>
      <c r="AF198">
        <v>21.939900000000002</v>
      </c>
      <c r="AG198">
        <v>35.692500000000003</v>
      </c>
      <c r="AH198">
        <v>41.787799999999997</v>
      </c>
      <c r="AI198">
        <v>24.623999999999999</v>
      </c>
      <c r="AJ198">
        <v>29.1569</v>
      </c>
      <c r="AK198">
        <v>24.626899999999999</v>
      </c>
      <c r="AL198">
        <v>-41.045099999999998</v>
      </c>
      <c r="AM198">
        <v>22.622199999999999</v>
      </c>
      <c r="AN198">
        <v>33.512300000000003</v>
      </c>
      <c r="AO198">
        <v>38.077399999999997</v>
      </c>
      <c r="AP198">
        <v>52.492600000000003</v>
      </c>
      <c r="AQ198">
        <v>52.315399999999997</v>
      </c>
      <c r="AR198">
        <v>27.225999999999999</v>
      </c>
      <c r="AS198">
        <v>14.070399999999999</v>
      </c>
      <c r="AT198">
        <v>24.949200000000001</v>
      </c>
      <c r="AU198">
        <v>18.386600000000001</v>
      </c>
      <c r="AV198">
        <v>23.747700000000002</v>
      </c>
      <c r="AW198">
        <v>19.822700000000001</v>
      </c>
      <c r="AX198">
        <v>37.797600000000003</v>
      </c>
      <c r="AY198">
        <v>22.212</v>
      </c>
      <c r="AZ198">
        <v>13.556100000000001</v>
      </c>
      <c r="BA198">
        <v>6.7839</v>
      </c>
      <c r="BB198">
        <v>34.881500000000003</v>
      </c>
      <c r="BC198">
        <v>22.141100000000002</v>
      </c>
      <c r="BD198">
        <v>34.83</v>
      </c>
      <c r="BE198">
        <v>63.2438</v>
      </c>
      <c r="BF198">
        <v>9.3506</v>
      </c>
      <c r="BG198">
        <v>9.8264999999999993</v>
      </c>
      <c r="BH198">
        <v>6.8891</v>
      </c>
      <c r="BI198">
        <v>5.2792000000000003</v>
      </c>
      <c r="BJ198">
        <v>5.1615000000000002</v>
      </c>
      <c r="BK198">
        <v>0</v>
      </c>
      <c r="BL198">
        <v>11.536799999999999</v>
      </c>
      <c r="BM198">
        <v>35.281300000000002</v>
      </c>
      <c r="BN198">
        <v>15.331300000000001</v>
      </c>
      <c r="BO198">
        <v>29.8828</v>
      </c>
      <c r="BP198">
        <v>27.810400000000001</v>
      </c>
      <c r="BQ198">
        <v>34.863</v>
      </c>
      <c r="BR198">
        <v>21.939900000000002</v>
      </c>
      <c r="BS198">
        <v>35.692500000000003</v>
      </c>
      <c r="BT198">
        <v>41.787799999999997</v>
      </c>
      <c r="BU198">
        <v>24.623999999999999</v>
      </c>
      <c r="BV198">
        <v>29.1569</v>
      </c>
      <c r="BW198">
        <v>24.626899999999999</v>
      </c>
      <c r="BX198">
        <v>-41.045099999999998</v>
      </c>
      <c r="BY198">
        <v>47699.4</v>
      </c>
      <c r="BZ198">
        <v>43187.4</v>
      </c>
      <c r="CA198">
        <v>4512</v>
      </c>
      <c r="CB198">
        <v>1.2645999999999999</v>
      </c>
      <c r="CC198">
        <v>0.93020000000000003</v>
      </c>
      <c r="CD198">
        <v>1.4842</v>
      </c>
      <c r="CE198">
        <v>1.0915999999999999</v>
      </c>
      <c r="CF198">
        <v>59.973799999999997</v>
      </c>
      <c r="CG198">
        <v>55.343800000000002</v>
      </c>
      <c r="CH198">
        <v>3.8622999999999998</v>
      </c>
      <c r="CI198">
        <v>2.7425000000000002</v>
      </c>
      <c r="CJ198">
        <v>2.1379000000000001</v>
      </c>
      <c r="CK198">
        <v>40.8307</v>
      </c>
      <c r="CL198">
        <v>28.992799999999999</v>
      </c>
      <c r="CM198">
        <v>22.6008</v>
      </c>
      <c r="CN198">
        <v>30.031099999999999</v>
      </c>
      <c r="CO198">
        <v>23.095300000000002</v>
      </c>
      <c r="CP198">
        <v>37717.5</v>
      </c>
      <c r="CQ198">
        <v>22418.3</v>
      </c>
      <c r="CR198">
        <v>32137.8</v>
      </c>
      <c r="CS198">
        <v>0.14530000000000001</v>
      </c>
      <c r="CT198">
        <v>1.4039999999999999</v>
      </c>
      <c r="CU198">
        <v>0.50070000000000003</v>
      </c>
      <c r="CV198">
        <v>4.4504000000000001</v>
      </c>
      <c r="CW198">
        <v>5.55</v>
      </c>
      <c r="CX198">
        <v>65.765799999999999</v>
      </c>
      <c r="CY198">
        <v>1.4201999999999999</v>
      </c>
      <c r="CZ198">
        <v>257.00299999999999</v>
      </c>
      <c r="DA198">
        <v>3.6649000000000003</v>
      </c>
      <c r="DB198">
        <v>99.592299999999994</v>
      </c>
      <c r="DC198">
        <v>223.1765</v>
      </c>
      <c r="DD198">
        <v>322.7688</v>
      </c>
      <c r="DE198">
        <v>58584.1</v>
      </c>
      <c r="DF198">
        <v>22071.4</v>
      </c>
      <c r="DG198">
        <v>10794.7</v>
      </c>
      <c r="DH198">
        <v>21483.9</v>
      </c>
      <c r="DI198">
        <v>4234.1000000000004</v>
      </c>
    </row>
    <row r="199" spans="1:113" x14ac:dyDescent="0.3">
      <c r="E199" t="s">
        <v>78</v>
      </c>
      <c r="F199" t="s">
        <v>134</v>
      </c>
      <c r="G199" t="s">
        <v>134</v>
      </c>
      <c r="H199" t="s">
        <v>134</v>
      </c>
      <c r="I199" t="s">
        <v>134</v>
      </c>
      <c r="J199">
        <v>23.241700000000002</v>
      </c>
      <c r="K199">
        <v>19.6191</v>
      </c>
      <c r="L199">
        <v>-86.555700000000002</v>
      </c>
      <c r="M199">
        <v>19.588699999999999</v>
      </c>
      <c r="N199">
        <v>14.314299999999999</v>
      </c>
      <c r="O199">
        <v>14.3192</v>
      </c>
      <c r="P199">
        <v>14.3192</v>
      </c>
      <c r="Q199">
        <v>26.925799999999999</v>
      </c>
      <c r="R199" t="s">
        <v>134</v>
      </c>
      <c r="S199" t="s">
        <v>134</v>
      </c>
      <c r="T199">
        <v>-2.2547999999999999</v>
      </c>
      <c r="U199">
        <v>-5.3276000000000003</v>
      </c>
      <c r="V199">
        <v>-9.2370000000000001</v>
      </c>
      <c r="W199">
        <v>-11.3598</v>
      </c>
      <c r="X199">
        <v>-11.4114</v>
      </c>
      <c r="Y199" t="s">
        <v>134</v>
      </c>
      <c r="Z199" t="s">
        <v>134</v>
      </c>
      <c r="AA199" t="s">
        <v>134</v>
      </c>
      <c r="AB199" t="s">
        <v>134</v>
      </c>
      <c r="AC199" t="s">
        <v>134</v>
      </c>
      <c r="AD199" t="s">
        <v>134</v>
      </c>
      <c r="AE199" t="s">
        <v>134</v>
      </c>
      <c r="AF199" t="s">
        <v>134</v>
      </c>
      <c r="AG199" t="s">
        <v>134</v>
      </c>
      <c r="AH199" t="s">
        <v>134</v>
      </c>
      <c r="AI199" t="s">
        <v>134</v>
      </c>
      <c r="AJ199" t="s">
        <v>134</v>
      </c>
      <c r="AK199" t="s">
        <v>134</v>
      </c>
      <c r="AL199" t="s">
        <v>134</v>
      </c>
      <c r="AM199">
        <v>24.771899999999999</v>
      </c>
      <c r="AN199">
        <v>43.202599999999997</v>
      </c>
      <c r="AO199">
        <v>54.419699999999999</v>
      </c>
      <c r="AP199" t="s">
        <v>134</v>
      </c>
      <c r="AQ199" t="s">
        <v>134</v>
      </c>
      <c r="AR199" t="s">
        <v>134</v>
      </c>
      <c r="AS199" t="s">
        <v>134</v>
      </c>
      <c r="AT199" t="s">
        <v>134</v>
      </c>
      <c r="AU199" t="s">
        <v>134</v>
      </c>
      <c r="AV199" t="s">
        <v>134</v>
      </c>
      <c r="AW199" t="s">
        <v>134</v>
      </c>
      <c r="AX199" t="s">
        <v>134</v>
      </c>
      <c r="AY199" t="s">
        <v>134</v>
      </c>
      <c r="AZ199" t="s">
        <v>134</v>
      </c>
      <c r="BA199" t="s">
        <v>134</v>
      </c>
      <c r="BB199" t="s">
        <v>134</v>
      </c>
      <c r="BC199" t="s">
        <v>134</v>
      </c>
      <c r="BD199" t="s">
        <v>134</v>
      </c>
      <c r="BE199" t="s">
        <v>134</v>
      </c>
      <c r="BF199">
        <v>1.0871</v>
      </c>
      <c r="BG199">
        <v>16.687899999999999</v>
      </c>
      <c r="BH199">
        <v>14.3644</v>
      </c>
      <c r="BI199">
        <v>-2.6181000000000001</v>
      </c>
      <c r="BJ199">
        <v>-2.7473000000000001</v>
      </c>
      <c r="BK199" t="s">
        <v>134</v>
      </c>
      <c r="BL199" t="s">
        <v>134</v>
      </c>
      <c r="BM199" t="s">
        <v>134</v>
      </c>
      <c r="BN199" t="s">
        <v>134</v>
      </c>
      <c r="BO199" t="s">
        <v>134</v>
      </c>
      <c r="BP199" t="s">
        <v>134</v>
      </c>
      <c r="BQ199" t="s">
        <v>134</v>
      </c>
      <c r="BR199" t="s">
        <v>134</v>
      </c>
      <c r="BS199" t="s">
        <v>134</v>
      </c>
      <c r="BT199" t="s">
        <v>134</v>
      </c>
      <c r="BU199" t="s">
        <v>134</v>
      </c>
      <c r="BV199" t="s">
        <v>134</v>
      </c>
      <c r="BW199" t="s">
        <v>134</v>
      </c>
      <c r="BX199" t="s">
        <v>134</v>
      </c>
      <c r="BY199" t="s">
        <v>134</v>
      </c>
      <c r="BZ199" t="s">
        <v>134</v>
      </c>
      <c r="CA199" t="s">
        <v>134</v>
      </c>
      <c r="CB199" t="s">
        <v>134</v>
      </c>
      <c r="CC199" t="s">
        <v>134</v>
      </c>
      <c r="CD199" t="s">
        <v>134</v>
      </c>
      <c r="CE199" t="s">
        <v>134</v>
      </c>
      <c r="CF199">
        <v>49.8874</v>
      </c>
      <c r="CG199" t="s">
        <v>134</v>
      </c>
      <c r="CH199" t="s">
        <v>134</v>
      </c>
      <c r="CI199" t="s">
        <v>134</v>
      </c>
      <c r="CJ199" t="s">
        <v>134</v>
      </c>
      <c r="CK199" t="s">
        <v>134</v>
      </c>
      <c r="CL199" t="s">
        <v>134</v>
      </c>
      <c r="CM199" t="s">
        <v>134</v>
      </c>
      <c r="CN199" t="s">
        <v>134</v>
      </c>
      <c r="CO199" t="s">
        <v>134</v>
      </c>
      <c r="CP199">
        <v>8416</v>
      </c>
      <c r="CQ199" t="s">
        <v>134</v>
      </c>
      <c r="CR199">
        <v>7104.2</v>
      </c>
      <c r="CS199" t="s">
        <v>134</v>
      </c>
      <c r="CT199" t="s">
        <v>134</v>
      </c>
      <c r="CU199" t="s">
        <v>134</v>
      </c>
      <c r="CV199" t="s">
        <v>134</v>
      </c>
      <c r="CW199" t="s">
        <v>134</v>
      </c>
      <c r="CX199" t="s">
        <v>134</v>
      </c>
      <c r="CY199" t="s">
        <v>134</v>
      </c>
      <c r="CZ199" t="s">
        <v>134</v>
      </c>
      <c r="DA199" t="s">
        <v>134</v>
      </c>
      <c r="DB199" t="s">
        <v>134</v>
      </c>
      <c r="DC199" t="s">
        <v>134</v>
      </c>
      <c r="DD199" t="s">
        <v>134</v>
      </c>
      <c r="DE199" t="s">
        <v>134</v>
      </c>
      <c r="DF199" t="s">
        <v>134</v>
      </c>
      <c r="DG199" t="s">
        <v>134</v>
      </c>
      <c r="DH199" t="s">
        <v>134</v>
      </c>
      <c r="DI199" t="s">
        <v>134</v>
      </c>
    </row>
    <row r="200" spans="1:113" x14ac:dyDescent="0.3">
      <c r="E200" t="s">
        <v>79</v>
      </c>
      <c r="F200">
        <v>25.283999999999999</v>
      </c>
      <c r="G200">
        <v>13.4833</v>
      </c>
      <c r="H200">
        <v>17.6754</v>
      </c>
      <c r="I200">
        <v>17.299099999999999</v>
      </c>
      <c r="J200">
        <v>25.660900000000002</v>
      </c>
      <c r="K200">
        <v>22.627500000000001</v>
      </c>
      <c r="L200">
        <v>25.949100000000001</v>
      </c>
      <c r="M200">
        <v>22.456600000000002</v>
      </c>
      <c r="N200">
        <v>17.9361</v>
      </c>
      <c r="O200">
        <v>17.940200000000001</v>
      </c>
      <c r="P200">
        <v>17.940200000000001</v>
      </c>
      <c r="Q200">
        <v>20.2454</v>
      </c>
      <c r="R200" t="s">
        <v>134</v>
      </c>
      <c r="S200" t="s">
        <v>134</v>
      </c>
      <c r="T200">
        <v>17.2502</v>
      </c>
      <c r="U200">
        <v>20.2441</v>
      </c>
      <c r="V200">
        <v>20.296500000000002</v>
      </c>
      <c r="W200">
        <v>28.979299999999999</v>
      </c>
      <c r="X200">
        <v>28.801200000000001</v>
      </c>
      <c r="Y200" t="s">
        <v>134</v>
      </c>
      <c r="Z200">
        <v>11.346</v>
      </c>
      <c r="AA200">
        <v>23.536799999999999</v>
      </c>
      <c r="AB200">
        <v>18.985399999999998</v>
      </c>
      <c r="AC200">
        <v>26.596599999999999</v>
      </c>
      <c r="AD200">
        <v>18.9925</v>
      </c>
      <c r="AE200">
        <v>-10.4543</v>
      </c>
      <c r="AF200">
        <v>18.274799999999999</v>
      </c>
      <c r="AG200">
        <v>36.939399999999999</v>
      </c>
      <c r="AH200">
        <v>22.267099999999999</v>
      </c>
      <c r="AI200">
        <v>25.6555</v>
      </c>
      <c r="AJ200">
        <v>24.579499999999999</v>
      </c>
      <c r="AK200">
        <v>25.5242</v>
      </c>
      <c r="AL200" t="s">
        <v>134</v>
      </c>
      <c r="AM200">
        <v>24.0702</v>
      </c>
      <c r="AN200">
        <v>34.880800000000001</v>
      </c>
      <c r="AO200">
        <v>38.915999999999997</v>
      </c>
      <c r="AP200">
        <v>28.569900000000001</v>
      </c>
      <c r="AQ200">
        <v>28.396599999999999</v>
      </c>
      <c r="AR200" t="s">
        <v>134</v>
      </c>
      <c r="AS200">
        <v>18.856999999999999</v>
      </c>
      <c r="AT200">
        <v>22.808700000000002</v>
      </c>
      <c r="AU200">
        <v>14.923999999999999</v>
      </c>
      <c r="AV200">
        <v>24.0749</v>
      </c>
      <c r="AW200">
        <v>19.480899999999998</v>
      </c>
      <c r="AX200">
        <v>33.900399999999998</v>
      </c>
      <c r="AY200">
        <v>24.982700000000001</v>
      </c>
      <c r="AZ200">
        <v>21.939799999999998</v>
      </c>
      <c r="BA200">
        <v>10.660600000000001</v>
      </c>
      <c r="BB200">
        <v>34.014899999999997</v>
      </c>
      <c r="BC200">
        <v>23.5731</v>
      </c>
      <c r="BD200">
        <v>33.966799999999999</v>
      </c>
      <c r="BE200" t="s">
        <v>134</v>
      </c>
      <c r="BF200">
        <v>20.245699999999999</v>
      </c>
      <c r="BG200">
        <v>32.761400000000002</v>
      </c>
      <c r="BH200">
        <v>38.684199999999997</v>
      </c>
      <c r="BI200">
        <v>50.652799999999999</v>
      </c>
      <c r="BJ200">
        <v>50.621499999999997</v>
      </c>
      <c r="BK200" t="s">
        <v>134</v>
      </c>
      <c r="BL200" t="s">
        <v>134</v>
      </c>
      <c r="BM200" t="s">
        <v>134</v>
      </c>
      <c r="BN200" t="s">
        <v>134</v>
      </c>
      <c r="BO200" t="s">
        <v>134</v>
      </c>
      <c r="BP200" t="s">
        <v>134</v>
      </c>
      <c r="BQ200" t="s">
        <v>134</v>
      </c>
      <c r="BR200" t="s">
        <v>134</v>
      </c>
      <c r="BS200" t="s">
        <v>134</v>
      </c>
      <c r="BT200" t="s">
        <v>134</v>
      </c>
      <c r="BU200" t="s">
        <v>134</v>
      </c>
      <c r="BV200" t="s">
        <v>134</v>
      </c>
      <c r="BW200" t="s">
        <v>134</v>
      </c>
      <c r="BX200" t="s">
        <v>134</v>
      </c>
      <c r="BY200">
        <v>48086.9</v>
      </c>
      <c r="BZ200">
        <v>47519.9</v>
      </c>
      <c r="CA200">
        <v>567</v>
      </c>
      <c r="CB200">
        <v>1.3451</v>
      </c>
      <c r="CC200">
        <v>1.0728</v>
      </c>
      <c r="CD200">
        <v>1.5508999999999999</v>
      </c>
      <c r="CE200">
        <v>1.2368999999999999</v>
      </c>
      <c r="CF200">
        <v>64.697199999999995</v>
      </c>
      <c r="CG200">
        <v>53.1554</v>
      </c>
      <c r="CH200">
        <v>0.53390000000000004</v>
      </c>
      <c r="CI200">
        <v>0.36749999999999999</v>
      </c>
      <c r="CJ200">
        <v>0.2838</v>
      </c>
      <c r="CK200">
        <v>45.275599999999997</v>
      </c>
      <c r="CL200">
        <v>31.165299999999998</v>
      </c>
      <c r="CM200">
        <v>24.0703</v>
      </c>
      <c r="CN200">
        <v>36.109200000000001</v>
      </c>
      <c r="CO200">
        <v>26.529599999999999</v>
      </c>
      <c r="CP200">
        <v>11173.2</v>
      </c>
      <c r="CQ200" t="s">
        <v>134</v>
      </c>
      <c r="CR200">
        <v>9852.4</v>
      </c>
      <c r="CS200">
        <v>0.10639999999999999</v>
      </c>
      <c r="CT200">
        <v>1.2822</v>
      </c>
      <c r="CU200">
        <v>0.43840000000000001</v>
      </c>
      <c r="CV200">
        <v>5.0171000000000001</v>
      </c>
      <c r="CW200">
        <v>5.3444000000000003</v>
      </c>
      <c r="CX200">
        <v>68.295400000000001</v>
      </c>
      <c r="CY200">
        <v>1.4663999999999999</v>
      </c>
      <c r="CZ200">
        <v>248.90199999999999</v>
      </c>
      <c r="DA200">
        <v>2.9375999999999998</v>
      </c>
      <c r="DB200">
        <v>124.25230000000001</v>
      </c>
      <c r="DC200">
        <v>192.9451</v>
      </c>
      <c r="DD200">
        <v>317.19740000000002</v>
      </c>
      <c r="DE200">
        <v>51897.8</v>
      </c>
      <c r="DF200" t="s">
        <v>134</v>
      </c>
      <c r="DG200" t="s">
        <v>134</v>
      </c>
      <c r="DH200" t="s">
        <v>134</v>
      </c>
      <c r="DI200" t="s">
        <v>134</v>
      </c>
    </row>
    <row r="201" spans="1:113" x14ac:dyDescent="0.3">
      <c r="E201" t="s">
        <v>80</v>
      </c>
      <c r="F201" t="s">
        <v>134</v>
      </c>
      <c r="G201" t="s">
        <v>134</v>
      </c>
      <c r="H201" t="s">
        <v>134</v>
      </c>
      <c r="I201" t="s">
        <v>134</v>
      </c>
      <c r="J201">
        <v>24.023900000000001</v>
      </c>
      <c r="K201">
        <v>20.7895</v>
      </c>
      <c r="L201">
        <v>24.4511</v>
      </c>
      <c r="M201">
        <v>21.124400000000001</v>
      </c>
      <c r="N201">
        <v>13.9344</v>
      </c>
      <c r="O201">
        <v>13.938000000000001</v>
      </c>
      <c r="P201">
        <v>13.938000000000001</v>
      </c>
      <c r="Q201">
        <v>34.0364</v>
      </c>
      <c r="R201" t="s">
        <v>134</v>
      </c>
      <c r="S201" t="s">
        <v>134</v>
      </c>
      <c r="T201">
        <v>11.042400000000001</v>
      </c>
      <c r="U201">
        <v>14.6104</v>
      </c>
      <c r="V201">
        <v>13.244899999999999</v>
      </c>
      <c r="W201">
        <v>2.8378999999999999</v>
      </c>
      <c r="X201">
        <v>2.8340000000000001</v>
      </c>
      <c r="Y201" t="s">
        <v>134</v>
      </c>
      <c r="Z201" t="s">
        <v>134</v>
      </c>
      <c r="AA201" t="s">
        <v>134</v>
      </c>
      <c r="AB201" t="s">
        <v>134</v>
      </c>
      <c r="AC201" t="s">
        <v>134</v>
      </c>
      <c r="AD201" t="s">
        <v>134</v>
      </c>
      <c r="AE201" t="s">
        <v>134</v>
      </c>
      <c r="AF201" t="s">
        <v>134</v>
      </c>
      <c r="AG201" t="s">
        <v>134</v>
      </c>
      <c r="AH201" t="s">
        <v>134</v>
      </c>
      <c r="AI201" t="s">
        <v>134</v>
      </c>
      <c r="AJ201" t="s">
        <v>134</v>
      </c>
      <c r="AK201" t="s">
        <v>134</v>
      </c>
      <c r="AL201" t="s">
        <v>134</v>
      </c>
      <c r="AM201">
        <v>22.430499999999999</v>
      </c>
      <c r="AN201">
        <v>31.674099999999999</v>
      </c>
      <c r="AO201">
        <v>34.947499999999998</v>
      </c>
      <c r="AP201">
        <v>45.320500000000003</v>
      </c>
      <c r="AQ201">
        <v>45.185299999999998</v>
      </c>
      <c r="AR201" t="s">
        <v>134</v>
      </c>
      <c r="AS201" t="s">
        <v>134</v>
      </c>
      <c r="AT201" t="s">
        <v>134</v>
      </c>
      <c r="AU201" t="s">
        <v>134</v>
      </c>
      <c r="AV201" t="s">
        <v>134</v>
      </c>
      <c r="AW201" t="s">
        <v>134</v>
      </c>
      <c r="AX201" t="s">
        <v>134</v>
      </c>
      <c r="AY201" t="s">
        <v>134</v>
      </c>
      <c r="AZ201" t="s">
        <v>134</v>
      </c>
      <c r="BA201" t="s">
        <v>134</v>
      </c>
      <c r="BB201" t="s">
        <v>134</v>
      </c>
      <c r="BC201" t="s">
        <v>134</v>
      </c>
      <c r="BD201" t="s">
        <v>134</v>
      </c>
      <c r="BE201" t="s">
        <v>134</v>
      </c>
      <c r="BF201">
        <v>-1.9565000000000001</v>
      </c>
      <c r="BG201">
        <v>-8.2106999999999992</v>
      </c>
      <c r="BH201">
        <v>-9.9204000000000008</v>
      </c>
      <c r="BI201">
        <v>-23.829000000000001</v>
      </c>
      <c r="BJ201">
        <v>-23.780899999999999</v>
      </c>
      <c r="BK201" t="s">
        <v>134</v>
      </c>
      <c r="BL201" t="s">
        <v>134</v>
      </c>
      <c r="BM201" t="s">
        <v>134</v>
      </c>
      <c r="BN201" t="s">
        <v>134</v>
      </c>
      <c r="BO201" t="s">
        <v>134</v>
      </c>
      <c r="BP201" t="s">
        <v>134</v>
      </c>
      <c r="BQ201" t="s">
        <v>134</v>
      </c>
      <c r="BR201" t="s">
        <v>134</v>
      </c>
      <c r="BS201" t="s">
        <v>134</v>
      </c>
      <c r="BT201" t="s">
        <v>134</v>
      </c>
      <c r="BU201" t="s">
        <v>134</v>
      </c>
      <c r="BV201" t="s">
        <v>134</v>
      </c>
      <c r="BW201" t="s">
        <v>134</v>
      </c>
      <c r="BX201" t="s">
        <v>134</v>
      </c>
      <c r="BY201" t="s">
        <v>134</v>
      </c>
      <c r="BZ201" t="s">
        <v>134</v>
      </c>
      <c r="CA201" t="s">
        <v>134</v>
      </c>
      <c r="CB201" t="s">
        <v>134</v>
      </c>
      <c r="CC201" t="s">
        <v>134</v>
      </c>
      <c r="CD201" t="s">
        <v>134</v>
      </c>
      <c r="CE201" t="s">
        <v>134</v>
      </c>
      <c r="CF201">
        <v>54.378599999999999</v>
      </c>
      <c r="CG201" t="s">
        <v>134</v>
      </c>
      <c r="CH201" t="s">
        <v>134</v>
      </c>
      <c r="CI201" t="s">
        <v>134</v>
      </c>
      <c r="CJ201" t="s">
        <v>134</v>
      </c>
      <c r="CK201" t="s">
        <v>134</v>
      </c>
      <c r="CL201" t="s">
        <v>134</v>
      </c>
      <c r="CM201" t="s">
        <v>134</v>
      </c>
      <c r="CN201" t="s">
        <v>134</v>
      </c>
      <c r="CO201" t="s">
        <v>134</v>
      </c>
      <c r="CP201">
        <v>10255.799999999999</v>
      </c>
      <c r="CQ201" t="s">
        <v>134</v>
      </c>
      <c r="CR201">
        <v>8875</v>
      </c>
      <c r="CS201" t="s">
        <v>134</v>
      </c>
      <c r="CT201" t="s">
        <v>134</v>
      </c>
      <c r="CU201" t="s">
        <v>134</v>
      </c>
      <c r="CV201" t="s">
        <v>134</v>
      </c>
      <c r="CW201" t="s">
        <v>134</v>
      </c>
      <c r="CX201" t="s">
        <v>134</v>
      </c>
      <c r="CY201" t="s">
        <v>134</v>
      </c>
      <c r="CZ201" t="s">
        <v>134</v>
      </c>
      <c r="DA201" t="s">
        <v>134</v>
      </c>
      <c r="DB201" t="s">
        <v>134</v>
      </c>
      <c r="DC201" t="s">
        <v>134</v>
      </c>
      <c r="DD201" t="s">
        <v>134</v>
      </c>
      <c r="DE201" t="s">
        <v>134</v>
      </c>
      <c r="DF201" t="s">
        <v>134</v>
      </c>
      <c r="DG201" t="s">
        <v>134</v>
      </c>
      <c r="DH201" t="s">
        <v>134</v>
      </c>
      <c r="DI201" t="s">
        <v>134</v>
      </c>
    </row>
    <row r="202" spans="1:113" x14ac:dyDescent="0.3">
      <c r="E202" t="s">
        <v>81</v>
      </c>
      <c r="F202">
        <v>23.020499999999998</v>
      </c>
      <c r="G202">
        <v>12.9739</v>
      </c>
      <c r="H202">
        <v>16.998899999999999</v>
      </c>
      <c r="I202">
        <v>16.261900000000001</v>
      </c>
      <c r="J202">
        <v>20.158000000000001</v>
      </c>
      <c r="K202">
        <v>16.231100000000001</v>
      </c>
      <c r="L202">
        <v>6.4477000000000002</v>
      </c>
      <c r="M202">
        <v>16.325199999999999</v>
      </c>
      <c r="N202">
        <v>13.2567</v>
      </c>
      <c r="O202">
        <v>13.250400000000001</v>
      </c>
      <c r="P202">
        <v>13.250400000000001</v>
      </c>
      <c r="Q202">
        <v>18.795999999999999</v>
      </c>
      <c r="R202">
        <v>22.1721</v>
      </c>
      <c r="S202">
        <v>17.916399999999999</v>
      </c>
      <c r="T202">
        <v>11.348000000000001</v>
      </c>
      <c r="U202">
        <v>11.4788</v>
      </c>
      <c r="V202">
        <v>4.2192999999999996</v>
      </c>
      <c r="W202">
        <v>-0.74</v>
      </c>
      <c r="X202">
        <v>-0.87909999999999999</v>
      </c>
      <c r="Y202" t="s">
        <v>134</v>
      </c>
      <c r="Z202">
        <v>11.536799999999999</v>
      </c>
      <c r="AA202">
        <v>35.281300000000002</v>
      </c>
      <c r="AB202">
        <v>15.331300000000001</v>
      </c>
      <c r="AC202">
        <v>29.8828</v>
      </c>
      <c r="AD202">
        <v>27.810400000000001</v>
      </c>
      <c r="AE202">
        <v>34.863</v>
      </c>
      <c r="AF202">
        <v>21.939900000000002</v>
      </c>
      <c r="AG202">
        <v>35.692500000000003</v>
      </c>
      <c r="AH202">
        <v>41.787799999999997</v>
      </c>
      <c r="AI202">
        <v>24.623999999999999</v>
      </c>
      <c r="AJ202">
        <v>29.1569</v>
      </c>
      <c r="AK202">
        <v>24.626899999999999</v>
      </c>
      <c r="AL202" t="s">
        <v>134</v>
      </c>
      <c r="AM202">
        <v>20.766999999999999</v>
      </c>
      <c r="AN202">
        <v>27.345400000000001</v>
      </c>
      <c r="AO202">
        <v>30.538</v>
      </c>
      <c r="AP202">
        <v>37.226100000000002</v>
      </c>
      <c r="AQ202">
        <v>37.058399999999999</v>
      </c>
      <c r="AR202" t="s">
        <v>134</v>
      </c>
      <c r="AS202">
        <v>14.070399999999999</v>
      </c>
      <c r="AT202">
        <v>24.949200000000001</v>
      </c>
      <c r="AU202">
        <v>18.386600000000001</v>
      </c>
      <c r="AV202">
        <v>23.747700000000002</v>
      </c>
      <c r="AW202">
        <v>19.822700000000001</v>
      </c>
      <c r="AX202">
        <v>37.797600000000003</v>
      </c>
      <c r="AY202">
        <v>22.212</v>
      </c>
      <c r="AZ202">
        <v>13.556100000000001</v>
      </c>
      <c r="BA202">
        <v>6.7839</v>
      </c>
      <c r="BB202">
        <v>34.881500000000003</v>
      </c>
      <c r="BC202">
        <v>22.141100000000002</v>
      </c>
      <c r="BD202">
        <v>34.83</v>
      </c>
      <c r="BE202" t="s">
        <v>134</v>
      </c>
      <c r="BF202">
        <v>-6.5674000000000001</v>
      </c>
      <c r="BG202">
        <v>-21.602399999999999</v>
      </c>
      <c r="BH202">
        <v>-27.0535</v>
      </c>
      <c r="BI202">
        <v>-11.176299999999999</v>
      </c>
      <c r="BJ202">
        <v>-11.220499999999999</v>
      </c>
      <c r="BK202" t="s">
        <v>134</v>
      </c>
      <c r="BL202" t="s">
        <v>134</v>
      </c>
      <c r="BM202" t="s">
        <v>134</v>
      </c>
      <c r="BN202" t="s">
        <v>134</v>
      </c>
      <c r="BO202" t="s">
        <v>134</v>
      </c>
      <c r="BP202" t="s">
        <v>134</v>
      </c>
      <c r="BQ202" t="s">
        <v>134</v>
      </c>
      <c r="BR202" t="s">
        <v>134</v>
      </c>
      <c r="BS202" t="s">
        <v>134</v>
      </c>
      <c r="BT202" t="s">
        <v>134</v>
      </c>
      <c r="BU202" t="s">
        <v>134</v>
      </c>
      <c r="BV202" t="s">
        <v>134</v>
      </c>
      <c r="BW202" t="s">
        <v>134</v>
      </c>
      <c r="BX202" t="s">
        <v>134</v>
      </c>
      <c r="BY202">
        <v>47699.4</v>
      </c>
      <c r="BZ202">
        <v>43187.4</v>
      </c>
      <c r="CA202">
        <v>4512</v>
      </c>
      <c r="CB202">
        <v>1.2589999999999999</v>
      </c>
      <c r="CC202">
        <v>0.92600000000000005</v>
      </c>
      <c r="CD202">
        <v>1.4764999999999999</v>
      </c>
      <c r="CE202">
        <v>1.0860000000000001</v>
      </c>
      <c r="CF202">
        <v>32.525500000000001</v>
      </c>
      <c r="CG202">
        <v>55.343800000000002</v>
      </c>
      <c r="CH202">
        <v>3.8622999999999998</v>
      </c>
      <c r="CI202">
        <v>2.7425000000000002</v>
      </c>
      <c r="CJ202">
        <v>2.1379000000000001</v>
      </c>
      <c r="CK202">
        <v>40.8307</v>
      </c>
      <c r="CL202">
        <v>28.992799999999999</v>
      </c>
      <c r="CM202">
        <v>22.6008</v>
      </c>
      <c r="CN202">
        <v>30.031099999999999</v>
      </c>
      <c r="CO202">
        <v>23.095300000000002</v>
      </c>
      <c r="CP202">
        <v>8040.3</v>
      </c>
      <c r="CQ202" t="s">
        <v>134</v>
      </c>
      <c r="CR202">
        <v>6474</v>
      </c>
      <c r="CS202">
        <v>0.14530000000000001</v>
      </c>
      <c r="CT202">
        <v>1.4039999999999999</v>
      </c>
      <c r="CU202">
        <v>0.50070000000000003</v>
      </c>
      <c r="CV202">
        <v>4.4504000000000001</v>
      </c>
      <c r="CW202">
        <v>5.55</v>
      </c>
      <c r="CX202">
        <v>65.765799999999999</v>
      </c>
      <c r="CY202">
        <v>1.4201999999999999</v>
      </c>
      <c r="CZ202">
        <v>257.00330000000002</v>
      </c>
      <c r="DA202">
        <v>3.6649000000000003</v>
      </c>
      <c r="DB202">
        <v>99.592399999999998</v>
      </c>
      <c r="DC202">
        <v>223.17670000000001</v>
      </c>
      <c r="DD202">
        <v>322.76920000000001</v>
      </c>
      <c r="DE202">
        <v>58584.1</v>
      </c>
      <c r="DF202">
        <v>22071.4</v>
      </c>
      <c r="DG202">
        <v>10794.7</v>
      </c>
      <c r="DH202">
        <v>21483.9</v>
      </c>
      <c r="DI202">
        <v>4234.1000000000004</v>
      </c>
    </row>
    <row r="203" spans="1:113" x14ac:dyDescent="0.3">
      <c r="A203">
        <v>9</v>
      </c>
      <c r="B203" t="s">
        <v>100</v>
      </c>
      <c r="C203" t="s">
        <v>101</v>
      </c>
      <c r="D203" t="s">
        <v>76</v>
      </c>
      <c r="E203" t="s">
        <v>77</v>
      </c>
      <c r="F203">
        <v>18.494199999999999</v>
      </c>
      <c r="G203">
        <v>9.7809000000000008</v>
      </c>
      <c r="H203">
        <v>13.580400000000001</v>
      </c>
      <c r="I203">
        <v>12.639699999999999</v>
      </c>
      <c r="J203">
        <v>7.3102</v>
      </c>
      <c r="K203">
        <v>6.0907999999999998</v>
      </c>
      <c r="L203">
        <v>8.6068999999999996</v>
      </c>
      <c r="M203">
        <v>5.2367999999999997</v>
      </c>
      <c r="N203">
        <v>3.4514</v>
      </c>
      <c r="O203">
        <v>3.4514</v>
      </c>
      <c r="P203">
        <v>3.4514</v>
      </c>
      <c r="Q203">
        <v>34.094099999999997</v>
      </c>
      <c r="R203" t="s">
        <v>134</v>
      </c>
      <c r="S203" t="s">
        <v>134</v>
      </c>
      <c r="T203">
        <v>40.282800000000002</v>
      </c>
      <c r="U203">
        <v>58.966799999999999</v>
      </c>
      <c r="V203">
        <v>68.286799999999999</v>
      </c>
      <c r="W203">
        <v>71.937600000000003</v>
      </c>
      <c r="X203">
        <v>69.540199999999999</v>
      </c>
      <c r="Y203" t="s">
        <v>134</v>
      </c>
      <c r="Z203">
        <v>-28.175799999999999</v>
      </c>
      <c r="AA203">
        <v>36.964100000000002</v>
      </c>
      <c r="AB203">
        <v>20.886900000000001</v>
      </c>
      <c r="AC203">
        <v>21.15</v>
      </c>
      <c r="AD203">
        <v>35.951300000000003</v>
      </c>
      <c r="AE203">
        <v>60.0899</v>
      </c>
      <c r="AF203">
        <v>29.8872</v>
      </c>
      <c r="AG203">
        <v>18.160900000000002</v>
      </c>
      <c r="AH203">
        <v>21.6265</v>
      </c>
      <c r="AI203">
        <v>20.9849</v>
      </c>
      <c r="AJ203">
        <v>21.241700000000002</v>
      </c>
      <c r="AK203">
        <v>20.433199999999999</v>
      </c>
      <c r="AL203">
        <v>68.268500000000003</v>
      </c>
      <c r="AM203" t="s">
        <v>134</v>
      </c>
      <c r="AN203" t="s">
        <v>134</v>
      </c>
      <c r="AO203" t="s">
        <v>134</v>
      </c>
      <c r="AP203" t="s">
        <v>134</v>
      </c>
      <c r="AQ203" t="s">
        <v>134</v>
      </c>
      <c r="AR203" t="s">
        <v>134</v>
      </c>
      <c r="AS203" t="s">
        <v>134</v>
      </c>
      <c r="AT203" t="s">
        <v>134</v>
      </c>
      <c r="AU203" t="s">
        <v>134</v>
      </c>
      <c r="AV203" t="s">
        <v>134</v>
      </c>
      <c r="AW203" t="s">
        <v>134</v>
      </c>
      <c r="AX203" t="s">
        <v>134</v>
      </c>
      <c r="AY203" t="s">
        <v>134</v>
      </c>
      <c r="AZ203" t="s">
        <v>134</v>
      </c>
      <c r="BA203" t="s">
        <v>134</v>
      </c>
      <c r="BB203" t="s">
        <v>134</v>
      </c>
      <c r="BC203" t="s">
        <v>134</v>
      </c>
      <c r="BD203" t="s">
        <v>134</v>
      </c>
      <c r="BE203" t="s">
        <v>134</v>
      </c>
      <c r="BF203">
        <v>40.282800000000002</v>
      </c>
      <c r="BG203">
        <v>58.966799999999999</v>
      </c>
      <c r="BH203">
        <v>68.286799999999999</v>
      </c>
      <c r="BI203">
        <v>71.937600000000003</v>
      </c>
      <c r="BJ203">
        <v>69.540199999999999</v>
      </c>
      <c r="BK203" t="s">
        <v>134</v>
      </c>
      <c r="BL203">
        <v>-28.175799999999999</v>
      </c>
      <c r="BM203">
        <v>36.964100000000002</v>
      </c>
      <c r="BN203">
        <v>20.886900000000001</v>
      </c>
      <c r="BO203">
        <v>21.15</v>
      </c>
      <c r="BP203">
        <v>35.951300000000003</v>
      </c>
      <c r="BQ203">
        <v>60.0899</v>
      </c>
      <c r="BR203">
        <v>29.8872</v>
      </c>
      <c r="BS203">
        <v>18.160900000000002</v>
      </c>
      <c r="BT203">
        <v>21.6265</v>
      </c>
      <c r="BU203">
        <v>20.9849</v>
      </c>
      <c r="BV203">
        <v>21.241700000000002</v>
      </c>
      <c r="BW203">
        <v>20.433199999999999</v>
      </c>
      <c r="BX203">
        <v>68.268500000000003</v>
      </c>
      <c r="BY203">
        <v>6411.42</v>
      </c>
      <c r="BZ203">
        <v>1843.05</v>
      </c>
      <c r="CA203">
        <v>4568.37</v>
      </c>
      <c r="CB203">
        <v>1.8757999999999999</v>
      </c>
      <c r="CC203">
        <v>1.7151000000000001</v>
      </c>
      <c r="CD203">
        <v>2.2513999999999998</v>
      </c>
      <c r="CE203">
        <v>2.0585</v>
      </c>
      <c r="CF203">
        <v>6.1760000000000002</v>
      </c>
      <c r="CG203">
        <v>52.862699999999997</v>
      </c>
      <c r="CH203">
        <v>47.807200000000002</v>
      </c>
      <c r="CI203">
        <v>28.610900000000001</v>
      </c>
      <c r="CJ203">
        <v>25.272500000000001</v>
      </c>
      <c r="CK203">
        <v>67.094399999999993</v>
      </c>
      <c r="CL203">
        <v>40.153599999999997</v>
      </c>
      <c r="CM203">
        <v>35.468299999999999</v>
      </c>
      <c r="CN203">
        <v>61.345999999999997</v>
      </c>
      <c r="CO203">
        <v>38.0214</v>
      </c>
      <c r="CP203">
        <v>3417.93</v>
      </c>
      <c r="CQ203">
        <v>700.94</v>
      </c>
      <c r="CR203">
        <v>2847.8</v>
      </c>
      <c r="CS203">
        <v>0.1542</v>
      </c>
      <c r="CT203">
        <v>1.3738000000000001</v>
      </c>
      <c r="CU203">
        <v>0.18099999999999999</v>
      </c>
      <c r="CV203" t="s">
        <v>134</v>
      </c>
      <c r="CW203">
        <v>409.56439999999998</v>
      </c>
      <c r="CX203">
        <v>0.89119999999999999</v>
      </c>
      <c r="CY203">
        <v>12.486499999999999</v>
      </c>
      <c r="CZ203">
        <v>29.2317</v>
      </c>
      <c r="DA203">
        <v>38.608699999999999</v>
      </c>
      <c r="DB203">
        <v>9.4537999999999993</v>
      </c>
      <c r="DC203">
        <v>20.669</v>
      </c>
      <c r="DD203">
        <v>30.122800000000002</v>
      </c>
      <c r="DE203">
        <v>3783.29</v>
      </c>
      <c r="DF203">
        <v>3783.29</v>
      </c>
      <c r="DG203">
        <v>0</v>
      </c>
      <c r="DH203">
        <v>0</v>
      </c>
      <c r="DI203">
        <v>0</v>
      </c>
    </row>
    <row r="204" spans="1:113" x14ac:dyDescent="0.3">
      <c r="E204" t="s">
        <v>78</v>
      </c>
      <c r="F204" t="s">
        <v>134</v>
      </c>
      <c r="G204" t="s">
        <v>134</v>
      </c>
      <c r="H204" t="s">
        <v>134</v>
      </c>
      <c r="I204" t="s">
        <v>134</v>
      </c>
      <c r="J204" t="s">
        <v>134</v>
      </c>
      <c r="K204" t="s">
        <v>134</v>
      </c>
      <c r="L204" t="s">
        <v>134</v>
      </c>
      <c r="M204" t="s">
        <v>134</v>
      </c>
      <c r="N204" t="s">
        <v>134</v>
      </c>
      <c r="O204" t="s">
        <v>134</v>
      </c>
      <c r="P204" t="s">
        <v>134</v>
      </c>
      <c r="Q204" t="s">
        <v>134</v>
      </c>
      <c r="R204" t="s">
        <v>134</v>
      </c>
      <c r="S204" t="s">
        <v>134</v>
      </c>
      <c r="T204" t="s">
        <v>134</v>
      </c>
      <c r="U204" t="s">
        <v>134</v>
      </c>
      <c r="V204" t="s">
        <v>134</v>
      </c>
      <c r="W204" t="s">
        <v>134</v>
      </c>
      <c r="X204" t="s">
        <v>134</v>
      </c>
      <c r="Y204" t="s">
        <v>134</v>
      </c>
      <c r="Z204" t="s">
        <v>134</v>
      </c>
      <c r="AA204" t="s">
        <v>134</v>
      </c>
      <c r="AB204" t="s">
        <v>134</v>
      </c>
      <c r="AC204" t="s">
        <v>134</v>
      </c>
      <c r="AD204" t="s">
        <v>134</v>
      </c>
      <c r="AE204" t="s">
        <v>134</v>
      </c>
      <c r="AF204" t="s">
        <v>134</v>
      </c>
      <c r="AG204" t="s">
        <v>134</v>
      </c>
      <c r="AH204" t="s">
        <v>134</v>
      </c>
      <c r="AI204" t="s">
        <v>134</v>
      </c>
      <c r="AJ204" t="s">
        <v>134</v>
      </c>
      <c r="AK204" t="s">
        <v>134</v>
      </c>
      <c r="AL204" t="s">
        <v>134</v>
      </c>
      <c r="AM204" t="s">
        <v>134</v>
      </c>
      <c r="AN204" t="s">
        <v>134</v>
      </c>
      <c r="AO204" t="s">
        <v>134</v>
      </c>
      <c r="AP204" t="s">
        <v>134</v>
      </c>
      <c r="AQ204" t="s">
        <v>134</v>
      </c>
      <c r="AR204" t="s">
        <v>134</v>
      </c>
      <c r="AS204" t="s">
        <v>134</v>
      </c>
      <c r="AT204" t="s">
        <v>134</v>
      </c>
      <c r="AU204" t="s">
        <v>134</v>
      </c>
      <c r="AV204" t="s">
        <v>134</v>
      </c>
      <c r="AW204" t="s">
        <v>134</v>
      </c>
      <c r="AX204" t="s">
        <v>134</v>
      </c>
      <c r="AY204" t="s">
        <v>134</v>
      </c>
      <c r="AZ204" t="s">
        <v>134</v>
      </c>
      <c r="BA204" t="s">
        <v>134</v>
      </c>
      <c r="BB204" t="s">
        <v>134</v>
      </c>
      <c r="BC204" t="s">
        <v>134</v>
      </c>
      <c r="BD204" t="s">
        <v>134</v>
      </c>
      <c r="BE204" t="s">
        <v>134</v>
      </c>
      <c r="BF204" t="s">
        <v>134</v>
      </c>
      <c r="BG204" t="s">
        <v>134</v>
      </c>
      <c r="BH204" t="s">
        <v>134</v>
      </c>
      <c r="BI204" t="s">
        <v>134</v>
      </c>
      <c r="BJ204" t="s">
        <v>134</v>
      </c>
      <c r="BK204" t="s">
        <v>134</v>
      </c>
      <c r="BL204" t="s">
        <v>134</v>
      </c>
      <c r="BM204" t="s">
        <v>134</v>
      </c>
      <c r="BN204" t="s">
        <v>134</v>
      </c>
      <c r="BO204" t="s">
        <v>134</v>
      </c>
      <c r="BP204" t="s">
        <v>134</v>
      </c>
      <c r="BQ204" t="s">
        <v>134</v>
      </c>
      <c r="BR204" t="s">
        <v>134</v>
      </c>
      <c r="BS204" t="s">
        <v>134</v>
      </c>
      <c r="BT204" t="s">
        <v>134</v>
      </c>
      <c r="BU204" t="s">
        <v>134</v>
      </c>
      <c r="BV204" t="s">
        <v>134</v>
      </c>
      <c r="BW204" t="s">
        <v>134</v>
      </c>
      <c r="BX204" t="s">
        <v>134</v>
      </c>
      <c r="BY204" t="s">
        <v>134</v>
      </c>
      <c r="BZ204" t="s">
        <v>134</v>
      </c>
      <c r="CA204" t="s">
        <v>134</v>
      </c>
      <c r="CB204" t="s">
        <v>134</v>
      </c>
      <c r="CC204" t="s">
        <v>134</v>
      </c>
      <c r="CD204" t="s">
        <v>134</v>
      </c>
      <c r="CE204" t="s">
        <v>134</v>
      </c>
      <c r="CF204" t="s">
        <v>134</v>
      </c>
      <c r="CG204" t="s">
        <v>134</v>
      </c>
      <c r="CH204" t="s">
        <v>134</v>
      </c>
      <c r="CI204" t="s">
        <v>134</v>
      </c>
      <c r="CJ204" t="s">
        <v>134</v>
      </c>
      <c r="CK204" t="s">
        <v>134</v>
      </c>
      <c r="CL204" t="s">
        <v>134</v>
      </c>
      <c r="CM204" t="s">
        <v>134</v>
      </c>
      <c r="CN204" t="s">
        <v>134</v>
      </c>
      <c r="CO204" t="s">
        <v>134</v>
      </c>
      <c r="CP204" t="s">
        <v>134</v>
      </c>
      <c r="CQ204" t="s">
        <v>134</v>
      </c>
      <c r="CR204" t="s">
        <v>134</v>
      </c>
      <c r="CS204" t="s">
        <v>134</v>
      </c>
      <c r="CT204" t="s">
        <v>134</v>
      </c>
      <c r="CU204" t="s">
        <v>134</v>
      </c>
      <c r="CV204" t="s">
        <v>134</v>
      </c>
      <c r="CW204" t="s">
        <v>134</v>
      </c>
      <c r="CX204" t="s">
        <v>134</v>
      </c>
      <c r="CY204" t="s">
        <v>134</v>
      </c>
      <c r="CZ204" t="s">
        <v>134</v>
      </c>
      <c r="DA204" t="s">
        <v>134</v>
      </c>
      <c r="DB204" t="s">
        <v>134</v>
      </c>
      <c r="DC204" t="s">
        <v>134</v>
      </c>
      <c r="DD204" t="s">
        <v>134</v>
      </c>
      <c r="DE204" t="s">
        <v>134</v>
      </c>
      <c r="DF204" t="s">
        <v>134</v>
      </c>
      <c r="DG204" t="s">
        <v>134</v>
      </c>
      <c r="DH204" t="s">
        <v>134</v>
      </c>
      <c r="DI204" t="s">
        <v>134</v>
      </c>
    </row>
    <row r="205" spans="1:113" x14ac:dyDescent="0.3">
      <c r="E205" t="s">
        <v>79</v>
      </c>
      <c r="F205" t="s">
        <v>134</v>
      </c>
      <c r="G205" t="s">
        <v>134</v>
      </c>
      <c r="H205" t="s">
        <v>134</v>
      </c>
      <c r="I205" t="s">
        <v>134</v>
      </c>
      <c r="J205" t="s">
        <v>134</v>
      </c>
      <c r="K205" t="s">
        <v>134</v>
      </c>
      <c r="L205" t="s">
        <v>134</v>
      </c>
      <c r="M205" t="s">
        <v>134</v>
      </c>
      <c r="N205" t="s">
        <v>134</v>
      </c>
      <c r="O205" t="s">
        <v>134</v>
      </c>
      <c r="P205" t="s">
        <v>134</v>
      </c>
      <c r="Q205" t="s">
        <v>134</v>
      </c>
      <c r="R205" t="s">
        <v>134</v>
      </c>
      <c r="S205" t="s">
        <v>134</v>
      </c>
      <c r="T205" t="s">
        <v>134</v>
      </c>
      <c r="U205" t="s">
        <v>134</v>
      </c>
      <c r="V205" t="s">
        <v>134</v>
      </c>
      <c r="W205" t="s">
        <v>134</v>
      </c>
      <c r="X205" t="s">
        <v>134</v>
      </c>
      <c r="Y205" t="s">
        <v>134</v>
      </c>
      <c r="Z205" t="s">
        <v>134</v>
      </c>
      <c r="AA205" t="s">
        <v>134</v>
      </c>
      <c r="AB205" t="s">
        <v>134</v>
      </c>
      <c r="AC205" t="s">
        <v>134</v>
      </c>
      <c r="AD205" t="s">
        <v>134</v>
      </c>
      <c r="AE205" t="s">
        <v>134</v>
      </c>
      <c r="AF205" t="s">
        <v>134</v>
      </c>
      <c r="AG205" t="s">
        <v>134</v>
      </c>
      <c r="AH205" t="s">
        <v>134</v>
      </c>
      <c r="AI205" t="s">
        <v>134</v>
      </c>
      <c r="AJ205" t="s">
        <v>134</v>
      </c>
      <c r="AK205" t="s">
        <v>134</v>
      </c>
      <c r="AL205" t="s">
        <v>134</v>
      </c>
      <c r="AM205" t="s">
        <v>134</v>
      </c>
      <c r="AN205" t="s">
        <v>134</v>
      </c>
      <c r="AO205" t="s">
        <v>134</v>
      </c>
      <c r="AP205" t="s">
        <v>134</v>
      </c>
      <c r="AQ205" t="s">
        <v>134</v>
      </c>
      <c r="AR205" t="s">
        <v>134</v>
      </c>
      <c r="AS205" t="s">
        <v>134</v>
      </c>
      <c r="AT205" t="s">
        <v>134</v>
      </c>
      <c r="AU205" t="s">
        <v>134</v>
      </c>
      <c r="AV205" t="s">
        <v>134</v>
      </c>
      <c r="AW205" t="s">
        <v>134</v>
      </c>
      <c r="AX205" t="s">
        <v>134</v>
      </c>
      <c r="AY205" t="s">
        <v>134</v>
      </c>
      <c r="AZ205" t="s">
        <v>134</v>
      </c>
      <c r="BA205" t="s">
        <v>134</v>
      </c>
      <c r="BB205" t="s">
        <v>134</v>
      </c>
      <c r="BC205" t="s">
        <v>134</v>
      </c>
      <c r="BD205" t="s">
        <v>134</v>
      </c>
      <c r="BE205" t="s">
        <v>134</v>
      </c>
      <c r="BF205" t="s">
        <v>134</v>
      </c>
      <c r="BG205" t="s">
        <v>134</v>
      </c>
      <c r="BH205" t="s">
        <v>134</v>
      </c>
      <c r="BI205" t="s">
        <v>134</v>
      </c>
      <c r="BJ205" t="s">
        <v>134</v>
      </c>
      <c r="BK205" t="s">
        <v>134</v>
      </c>
      <c r="BL205" t="s">
        <v>134</v>
      </c>
      <c r="BM205" t="s">
        <v>134</v>
      </c>
      <c r="BN205" t="s">
        <v>134</v>
      </c>
      <c r="BO205" t="s">
        <v>134</v>
      </c>
      <c r="BP205" t="s">
        <v>134</v>
      </c>
      <c r="BQ205" t="s">
        <v>134</v>
      </c>
      <c r="BR205" t="s">
        <v>134</v>
      </c>
      <c r="BS205" t="s">
        <v>134</v>
      </c>
      <c r="BT205" t="s">
        <v>134</v>
      </c>
      <c r="BU205" t="s">
        <v>134</v>
      </c>
      <c r="BV205" t="s">
        <v>134</v>
      </c>
      <c r="BW205" t="s">
        <v>134</v>
      </c>
      <c r="BX205" t="s">
        <v>134</v>
      </c>
      <c r="BY205" t="s">
        <v>134</v>
      </c>
      <c r="BZ205" t="s">
        <v>134</v>
      </c>
      <c r="CA205" t="s">
        <v>134</v>
      </c>
      <c r="CB205" t="s">
        <v>134</v>
      </c>
      <c r="CC205" t="s">
        <v>134</v>
      </c>
      <c r="CD205" t="s">
        <v>134</v>
      </c>
      <c r="CE205" t="s">
        <v>134</v>
      </c>
      <c r="CF205" t="s">
        <v>134</v>
      </c>
      <c r="CG205" t="s">
        <v>134</v>
      </c>
      <c r="CH205" t="s">
        <v>134</v>
      </c>
      <c r="CI205" t="s">
        <v>134</v>
      </c>
      <c r="CJ205" t="s">
        <v>134</v>
      </c>
      <c r="CK205" t="s">
        <v>134</v>
      </c>
      <c r="CL205" t="s">
        <v>134</v>
      </c>
      <c r="CM205" t="s">
        <v>134</v>
      </c>
      <c r="CN205" t="s">
        <v>134</v>
      </c>
      <c r="CO205" t="s">
        <v>134</v>
      </c>
      <c r="CP205" t="s">
        <v>134</v>
      </c>
      <c r="CQ205" t="s">
        <v>134</v>
      </c>
      <c r="CR205" t="s">
        <v>134</v>
      </c>
      <c r="CS205" t="s">
        <v>134</v>
      </c>
      <c r="CT205" t="s">
        <v>134</v>
      </c>
      <c r="CU205" t="s">
        <v>134</v>
      </c>
      <c r="CV205" t="s">
        <v>134</v>
      </c>
      <c r="CW205" t="s">
        <v>134</v>
      </c>
      <c r="CX205" t="s">
        <v>134</v>
      </c>
      <c r="CY205" t="s">
        <v>134</v>
      </c>
      <c r="CZ205" t="s">
        <v>134</v>
      </c>
      <c r="DA205" t="s">
        <v>134</v>
      </c>
      <c r="DB205" t="s">
        <v>134</v>
      </c>
      <c r="DC205" t="s">
        <v>134</v>
      </c>
      <c r="DD205" t="s">
        <v>134</v>
      </c>
      <c r="DE205" t="s">
        <v>134</v>
      </c>
      <c r="DF205" t="s">
        <v>134</v>
      </c>
      <c r="DG205" t="s">
        <v>134</v>
      </c>
      <c r="DH205" t="s">
        <v>134</v>
      </c>
      <c r="DI205" t="s">
        <v>134</v>
      </c>
    </row>
    <row r="206" spans="1:113" x14ac:dyDescent="0.3">
      <c r="E206" t="s">
        <v>80</v>
      </c>
      <c r="F206" t="s">
        <v>134</v>
      </c>
      <c r="G206" t="s">
        <v>134</v>
      </c>
      <c r="H206" t="s">
        <v>134</v>
      </c>
      <c r="I206" t="s">
        <v>134</v>
      </c>
      <c r="J206" t="s">
        <v>134</v>
      </c>
      <c r="K206" t="s">
        <v>134</v>
      </c>
      <c r="L206" t="s">
        <v>134</v>
      </c>
      <c r="M206" t="s">
        <v>134</v>
      </c>
      <c r="N206" t="s">
        <v>134</v>
      </c>
      <c r="O206" t="s">
        <v>134</v>
      </c>
      <c r="P206" t="s">
        <v>134</v>
      </c>
      <c r="Q206" t="s">
        <v>134</v>
      </c>
      <c r="R206" t="s">
        <v>134</v>
      </c>
      <c r="S206" t="s">
        <v>134</v>
      </c>
      <c r="T206" t="s">
        <v>134</v>
      </c>
      <c r="U206" t="s">
        <v>134</v>
      </c>
      <c r="V206" t="s">
        <v>134</v>
      </c>
      <c r="W206" t="s">
        <v>134</v>
      </c>
      <c r="X206" t="s">
        <v>134</v>
      </c>
      <c r="Y206" t="s">
        <v>134</v>
      </c>
      <c r="Z206" t="s">
        <v>134</v>
      </c>
      <c r="AA206" t="s">
        <v>134</v>
      </c>
      <c r="AB206" t="s">
        <v>134</v>
      </c>
      <c r="AC206" t="s">
        <v>134</v>
      </c>
      <c r="AD206" t="s">
        <v>134</v>
      </c>
      <c r="AE206" t="s">
        <v>134</v>
      </c>
      <c r="AF206" t="s">
        <v>134</v>
      </c>
      <c r="AG206" t="s">
        <v>134</v>
      </c>
      <c r="AH206" t="s">
        <v>134</v>
      </c>
      <c r="AI206" t="s">
        <v>134</v>
      </c>
      <c r="AJ206" t="s">
        <v>134</v>
      </c>
      <c r="AK206" t="s">
        <v>134</v>
      </c>
      <c r="AL206" t="s">
        <v>134</v>
      </c>
      <c r="AM206" t="s">
        <v>134</v>
      </c>
      <c r="AN206" t="s">
        <v>134</v>
      </c>
      <c r="AO206" t="s">
        <v>134</v>
      </c>
      <c r="AP206" t="s">
        <v>134</v>
      </c>
      <c r="AQ206" t="s">
        <v>134</v>
      </c>
      <c r="AR206" t="s">
        <v>134</v>
      </c>
      <c r="AS206" t="s">
        <v>134</v>
      </c>
      <c r="AT206" t="s">
        <v>134</v>
      </c>
      <c r="AU206" t="s">
        <v>134</v>
      </c>
      <c r="AV206" t="s">
        <v>134</v>
      </c>
      <c r="AW206" t="s">
        <v>134</v>
      </c>
      <c r="AX206" t="s">
        <v>134</v>
      </c>
      <c r="AY206" t="s">
        <v>134</v>
      </c>
      <c r="AZ206" t="s">
        <v>134</v>
      </c>
      <c r="BA206" t="s">
        <v>134</v>
      </c>
      <c r="BB206" t="s">
        <v>134</v>
      </c>
      <c r="BC206" t="s">
        <v>134</v>
      </c>
      <c r="BD206" t="s">
        <v>134</v>
      </c>
      <c r="BE206" t="s">
        <v>134</v>
      </c>
      <c r="BF206" t="s">
        <v>134</v>
      </c>
      <c r="BG206" t="s">
        <v>134</v>
      </c>
      <c r="BH206" t="s">
        <v>134</v>
      </c>
      <c r="BI206" t="s">
        <v>134</v>
      </c>
      <c r="BJ206" t="s">
        <v>134</v>
      </c>
      <c r="BK206" t="s">
        <v>134</v>
      </c>
      <c r="BL206" t="s">
        <v>134</v>
      </c>
      <c r="BM206" t="s">
        <v>134</v>
      </c>
      <c r="BN206" t="s">
        <v>134</v>
      </c>
      <c r="BO206" t="s">
        <v>134</v>
      </c>
      <c r="BP206" t="s">
        <v>134</v>
      </c>
      <c r="BQ206" t="s">
        <v>134</v>
      </c>
      <c r="BR206" t="s">
        <v>134</v>
      </c>
      <c r="BS206" t="s">
        <v>134</v>
      </c>
      <c r="BT206" t="s">
        <v>134</v>
      </c>
      <c r="BU206" t="s">
        <v>134</v>
      </c>
      <c r="BV206" t="s">
        <v>134</v>
      </c>
      <c r="BW206" t="s">
        <v>134</v>
      </c>
      <c r="BX206" t="s">
        <v>134</v>
      </c>
      <c r="BY206" t="s">
        <v>134</v>
      </c>
      <c r="BZ206" t="s">
        <v>134</v>
      </c>
      <c r="CA206" t="s">
        <v>134</v>
      </c>
      <c r="CB206" t="s">
        <v>134</v>
      </c>
      <c r="CC206" t="s">
        <v>134</v>
      </c>
      <c r="CD206" t="s">
        <v>134</v>
      </c>
      <c r="CE206" t="s">
        <v>134</v>
      </c>
      <c r="CF206" t="s">
        <v>134</v>
      </c>
      <c r="CG206" t="s">
        <v>134</v>
      </c>
      <c r="CH206" t="s">
        <v>134</v>
      </c>
      <c r="CI206" t="s">
        <v>134</v>
      </c>
      <c r="CJ206" t="s">
        <v>134</v>
      </c>
      <c r="CK206" t="s">
        <v>134</v>
      </c>
      <c r="CL206" t="s">
        <v>134</v>
      </c>
      <c r="CM206" t="s">
        <v>134</v>
      </c>
      <c r="CN206" t="s">
        <v>134</v>
      </c>
      <c r="CO206" t="s">
        <v>134</v>
      </c>
      <c r="CP206" t="s">
        <v>134</v>
      </c>
      <c r="CQ206" t="s">
        <v>134</v>
      </c>
      <c r="CR206" t="s">
        <v>134</v>
      </c>
      <c r="CS206" t="s">
        <v>134</v>
      </c>
      <c r="CT206" t="s">
        <v>134</v>
      </c>
      <c r="CU206" t="s">
        <v>134</v>
      </c>
      <c r="CV206" t="s">
        <v>134</v>
      </c>
      <c r="CW206" t="s">
        <v>134</v>
      </c>
      <c r="CX206" t="s">
        <v>134</v>
      </c>
      <c r="CY206" t="s">
        <v>134</v>
      </c>
      <c r="CZ206" t="s">
        <v>134</v>
      </c>
      <c r="DA206" t="s">
        <v>134</v>
      </c>
      <c r="DB206" t="s">
        <v>134</v>
      </c>
      <c r="DC206" t="s">
        <v>134</v>
      </c>
      <c r="DD206" t="s">
        <v>134</v>
      </c>
      <c r="DE206" t="s">
        <v>134</v>
      </c>
      <c r="DF206" t="s">
        <v>134</v>
      </c>
      <c r="DG206" t="s">
        <v>134</v>
      </c>
      <c r="DH206" t="s">
        <v>134</v>
      </c>
      <c r="DI206" t="s">
        <v>134</v>
      </c>
    </row>
    <row r="207" spans="1:113" x14ac:dyDescent="0.3">
      <c r="E207" t="s">
        <v>81</v>
      </c>
      <c r="F207" t="s">
        <v>134</v>
      </c>
      <c r="G207" t="s">
        <v>134</v>
      </c>
      <c r="H207" t="s">
        <v>134</v>
      </c>
      <c r="I207" t="s">
        <v>134</v>
      </c>
      <c r="J207" t="s">
        <v>134</v>
      </c>
      <c r="K207" t="s">
        <v>134</v>
      </c>
      <c r="L207" t="s">
        <v>134</v>
      </c>
      <c r="M207" t="s">
        <v>134</v>
      </c>
      <c r="N207" t="s">
        <v>134</v>
      </c>
      <c r="O207" t="s">
        <v>134</v>
      </c>
      <c r="P207" t="s">
        <v>134</v>
      </c>
      <c r="Q207" t="s">
        <v>134</v>
      </c>
      <c r="R207" t="s">
        <v>134</v>
      </c>
      <c r="S207" t="s">
        <v>134</v>
      </c>
      <c r="T207" t="s">
        <v>134</v>
      </c>
      <c r="U207" t="s">
        <v>134</v>
      </c>
      <c r="V207" t="s">
        <v>134</v>
      </c>
      <c r="W207" t="s">
        <v>134</v>
      </c>
      <c r="X207" t="s">
        <v>134</v>
      </c>
      <c r="Y207" t="s">
        <v>134</v>
      </c>
      <c r="Z207" t="s">
        <v>134</v>
      </c>
      <c r="AA207" t="s">
        <v>134</v>
      </c>
      <c r="AB207" t="s">
        <v>134</v>
      </c>
      <c r="AC207" t="s">
        <v>134</v>
      </c>
      <c r="AD207" t="s">
        <v>134</v>
      </c>
      <c r="AE207" t="s">
        <v>134</v>
      </c>
      <c r="AF207" t="s">
        <v>134</v>
      </c>
      <c r="AG207" t="s">
        <v>134</v>
      </c>
      <c r="AH207" t="s">
        <v>134</v>
      </c>
      <c r="AI207" t="s">
        <v>134</v>
      </c>
      <c r="AJ207" t="s">
        <v>134</v>
      </c>
      <c r="AK207" t="s">
        <v>134</v>
      </c>
      <c r="AL207" t="s">
        <v>134</v>
      </c>
      <c r="AM207" t="s">
        <v>134</v>
      </c>
      <c r="AN207" t="s">
        <v>134</v>
      </c>
      <c r="AO207" t="s">
        <v>134</v>
      </c>
      <c r="AP207" t="s">
        <v>134</v>
      </c>
      <c r="AQ207" t="s">
        <v>134</v>
      </c>
      <c r="AR207" t="s">
        <v>134</v>
      </c>
      <c r="AS207" t="s">
        <v>134</v>
      </c>
      <c r="AT207" t="s">
        <v>134</v>
      </c>
      <c r="AU207" t="s">
        <v>134</v>
      </c>
      <c r="AV207" t="s">
        <v>134</v>
      </c>
      <c r="AW207" t="s">
        <v>134</v>
      </c>
      <c r="AX207" t="s">
        <v>134</v>
      </c>
      <c r="AY207" t="s">
        <v>134</v>
      </c>
      <c r="AZ207" t="s">
        <v>134</v>
      </c>
      <c r="BA207" t="s">
        <v>134</v>
      </c>
      <c r="BB207" t="s">
        <v>134</v>
      </c>
      <c r="BC207" t="s">
        <v>134</v>
      </c>
      <c r="BD207" t="s">
        <v>134</v>
      </c>
      <c r="BE207" t="s">
        <v>134</v>
      </c>
      <c r="BF207" t="s">
        <v>134</v>
      </c>
      <c r="BG207" t="s">
        <v>134</v>
      </c>
      <c r="BH207" t="s">
        <v>134</v>
      </c>
      <c r="BI207" t="s">
        <v>134</v>
      </c>
      <c r="BJ207" t="s">
        <v>134</v>
      </c>
      <c r="BK207" t="s">
        <v>134</v>
      </c>
      <c r="BL207" t="s">
        <v>134</v>
      </c>
      <c r="BM207" t="s">
        <v>134</v>
      </c>
      <c r="BN207" t="s">
        <v>134</v>
      </c>
      <c r="BO207" t="s">
        <v>134</v>
      </c>
      <c r="BP207" t="s">
        <v>134</v>
      </c>
      <c r="BQ207" t="s">
        <v>134</v>
      </c>
      <c r="BR207" t="s">
        <v>134</v>
      </c>
      <c r="BS207" t="s">
        <v>134</v>
      </c>
      <c r="BT207" t="s">
        <v>134</v>
      </c>
      <c r="BU207" t="s">
        <v>134</v>
      </c>
      <c r="BV207" t="s">
        <v>134</v>
      </c>
      <c r="BW207" t="s">
        <v>134</v>
      </c>
      <c r="BX207" t="s">
        <v>134</v>
      </c>
      <c r="BY207" t="s">
        <v>134</v>
      </c>
      <c r="BZ207" t="s">
        <v>134</v>
      </c>
      <c r="CA207" t="s">
        <v>134</v>
      </c>
      <c r="CB207" t="s">
        <v>134</v>
      </c>
      <c r="CC207" t="s">
        <v>134</v>
      </c>
      <c r="CD207" t="s">
        <v>134</v>
      </c>
      <c r="CE207" t="s">
        <v>134</v>
      </c>
      <c r="CF207" t="s">
        <v>134</v>
      </c>
      <c r="CG207" t="s">
        <v>134</v>
      </c>
      <c r="CH207" t="s">
        <v>134</v>
      </c>
      <c r="CI207" t="s">
        <v>134</v>
      </c>
      <c r="CJ207" t="s">
        <v>134</v>
      </c>
      <c r="CK207" t="s">
        <v>134</v>
      </c>
      <c r="CL207" t="s">
        <v>134</v>
      </c>
      <c r="CM207" t="s">
        <v>134</v>
      </c>
      <c r="CN207" t="s">
        <v>134</v>
      </c>
      <c r="CO207" t="s">
        <v>134</v>
      </c>
      <c r="CP207" t="s">
        <v>134</v>
      </c>
      <c r="CQ207" t="s">
        <v>134</v>
      </c>
      <c r="CR207" t="s">
        <v>134</v>
      </c>
      <c r="CS207" t="s">
        <v>134</v>
      </c>
      <c r="CT207" t="s">
        <v>134</v>
      </c>
      <c r="CU207" t="s">
        <v>134</v>
      </c>
      <c r="CV207" t="s">
        <v>134</v>
      </c>
      <c r="CW207" t="s">
        <v>134</v>
      </c>
      <c r="CX207" t="s">
        <v>134</v>
      </c>
      <c r="CY207" t="s">
        <v>134</v>
      </c>
      <c r="CZ207" t="s">
        <v>134</v>
      </c>
      <c r="DA207" t="s">
        <v>134</v>
      </c>
      <c r="DB207" t="s">
        <v>134</v>
      </c>
      <c r="DC207" t="s">
        <v>134</v>
      </c>
      <c r="DD207" t="s">
        <v>134</v>
      </c>
      <c r="DE207" t="s">
        <v>134</v>
      </c>
      <c r="DF207" t="s">
        <v>134</v>
      </c>
      <c r="DG207" t="s">
        <v>134</v>
      </c>
      <c r="DH207" t="s">
        <v>134</v>
      </c>
      <c r="DI207" t="s">
        <v>134</v>
      </c>
    </row>
    <row r="208" spans="1:113" x14ac:dyDescent="0.3">
      <c r="D208" t="s">
        <v>82</v>
      </c>
      <c r="E208" t="s">
        <v>77</v>
      </c>
      <c r="F208">
        <v>19.646899999999999</v>
      </c>
      <c r="G208">
        <v>10.170500000000001</v>
      </c>
      <c r="H208">
        <v>13.9901</v>
      </c>
      <c r="I208">
        <v>13.1157</v>
      </c>
      <c r="J208">
        <v>7.1441999999999997</v>
      </c>
      <c r="K208">
        <v>5.875</v>
      </c>
      <c r="L208">
        <v>5.2983000000000002</v>
      </c>
      <c r="M208">
        <v>5.0217000000000001</v>
      </c>
      <c r="N208">
        <v>3.2953999999999999</v>
      </c>
      <c r="O208">
        <v>3.2947000000000002</v>
      </c>
      <c r="P208">
        <v>3.2947000000000002</v>
      </c>
      <c r="Q208">
        <v>34.378100000000003</v>
      </c>
      <c r="R208" t="s">
        <v>134</v>
      </c>
      <c r="S208" t="s">
        <v>134</v>
      </c>
      <c r="T208">
        <v>37.408799999999999</v>
      </c>
      <c r="U208">
        <v>34.289499999999997</v>
      </c>
      <c r="V208">
        <v>32.5413</v>
      </c>
      <c r="W208">
        <v>31.170200000000001</v>
      </c>
      <c r="X208">
        <v>31.186399999999999</v>
      </c>
      <c r="Y208" t="s">
        <v>134</v>
      </c>
      <c r="Z208">
        <v>-25.890599999999999</v>
      </c>
      <c r="AA208">
        <v>42.629600000000003</v>
      </c>
      <c r="AB208">
        <v>29.069199999999999</v>
      </c>
      <c r="AC208">
        <v>30.269400000000001</v>
      </c>
      <c r="AD208">
        <v>61.403300000000002</v>
      </c>
      <c r="AE208">
        <v>79.212199999999996</v>
      </c>
      <c r="AF208">
        <v>-3.3289</v>
      </c>
      <c r="AG208">
        <v>3.4817</v>
      </c>
      <c r="AH208">
        <v>41.075899999999997</v>
      </c>
      <c r="AI208">
        <v>25.498999999999999</v>
      </c>
      <c r="AJ208">
        <v>31.753699999999998</v>
      </c>
      <c r="AK208">
        <v>22.189399999999999</v>
      </c>
      <c r="AL208">
        <v>11.932700000000001</v>
      </c>
      <c r="AM208" t="s">
        <v>134</v>
      </c>
      <c r="AN208" t="s">
        <v>134</v>
      </c>
      <c r="AO208" t="s">
        <v>134</v>
      </c>
      <c r="AP208" t="s">
        <v>134</v>
      </c>
      <c r="AQ208" t="s">
        <v>134</v>
      </c>
      <c r="AR208" t="s">
        <v>134</v>
      </c>
      <c r="AS208" t="s">
        <v>134</v>
      </c>
      <c r="AT208" t="s">
        <v>134</v>
      </c>
      <c r="AU208" t="s">
        <v>134</v>
      </c>
      <c r="AV208" t="s">
        <v>134</v>
      </c>
      <c r="AW208" t="s">
        <v>134</v>
      </c>
      <c r="AX208" t="s">
        <v>134</v>
      </c>
      <c r="AY208" t="s">
        <v>134</v>
      </c>
      <c r="AZ208" t="s">
        <v>134</v>
      </c>
      <c r="BA208" t="s">
        <v>134</v>
      </c>
      <c r="BB208" t="s">
        <v>134</v>
      </c>
      <c r="BC208" t="s">
        <v>134</v>
      </c>
      <c r="BD208" t="s">
        <v>134</v>
      </c>
      <c r="BE208" t="s">
        <v>134</v>
      </c>
      <c r="BF208">
        <v>37.408799999999999</v>
      </c>
      <c r="BG208">
        <v>34.289499999999997</v>
      </c>
      <c r="BH208">
        <v>32.5413</v>
      </c>
      <c r="BI208">
        <v>31.170200000000001</v>
      </c>
      <c r="BJ208">
        <v>31.186399999999999</v>
      </c>
      <c r="BK208" t="s">
        <v>134</v>
      </c>
      <c r="BL208">
        <v>-25.890599999999999</v>
      </c>
      <c r="BM208">
        <v>42.629600000000003</v>
      </c>
      <c r="BN208">
        <v>29.069199999999999</v>
      </c>
      <c r="BO208">
        <v>30.269400000000001</v>
      </c>
      <c r="BP208">
        <v>61.403300000000002</v>
      </c>
      <c r="BQ208">
        <v>79.212199999999996</v>
      </c>
      <c r="BR208">
        <v>-3.3289</v>
      </c>
      <c r="BS208">
        <v>3.4817</v>
      </c>
      <c r="BT208">
        <v>41.075899999999997</v>
      </c>
      <c r="BU208">
        <v>25.498999999999999</v>
      </c>
      <c r="BV208">
        <v>31.753699999999998</v>
      </c>
      <c r="BW208">
        <v>22.189399999999999</v>
      </c>
      <c r="BX208">
        <v>11.932700000000001</v>
      </c>
      <c r="BY208">
        <v>9044.9699999999993</v>
      </c>
      <c r="BZ208">
        <v>1907.22</v>
      </c>
      <c r="CA208">
        <v>7137.75</v>
      </c>
      <c r="CB208">
        <v>1.9706000000000001</v>
      </c>
      <c r="CC208">
        <v>1.8881000000000001</v>
      </c>
      <c r="CD208">
        <v>2.3963000000000001</v>
      </c>
      <c r="CE208">
        <v>2.2959999999999998</v>
      </c>
      <c r="CF208">
        <v>6.3903999999999996</v>
      </c>
      <c r="CG208">
        <v>50.925199999999997</v>
      </c>
      <c r="CH208">
        <v>59.518599999999999</v>
      </c>
      <c r="CI208">
        <v>33.928800000000003</v>
      </c>
      <c r="CJ208">
        <v>30.311299999999999</v>
      </c>
      <c r="CK208">
        <v>75.4221</v>
      </c>
      <c r="CL208">
        <v>42.994700000000002</v>
      </c>
      <c r="CM208">
        <v>38.410600000000002</v>
      </c>
      <c r="CN208">
        <v>72.263099999999994</v>
      </c>
      <c r="CO208">
        <v>41.949300000000001</v>
      </c>
      <c r="CP208">
        <v>4589.92</v>
      </c>
      <c r="CQ208">
        <v>-184.35</v>
      </c>
      <c r="CR208">
        <v>3774.51</v>
      </c>
      <c r="CS208">
        <v>9.5899999999999999E-2</v>
      </c>
      <c r="CT208">
        <v>1.6040000000000001</v>
      </c>
      <c r="CU208">
        <v>0.1138</v>
      </c>
      <c r="CV208" t="s">
        <v>134</v>
      </c>
      <c r="CW208">
        <v>773.26469999999995</v>
      </c>
      <c r="CX208">
        <v>0.47199999999999998</v>
      </c>
      <c r="CY208">
        <v>12.306900000000001</v>
      </c>
      <c r="CZ208">
        <v>29.658200000000001</v>
      </c>
      <c r="DA208">
        <v>48.192300000000003</v>
      </c>
      <c r="DB208">
        <v>7.5738000000000003</v>
      </c>
      <c r="DC208">
        <v>22.5564</v>
      </c>
      <c r="DD208">
        <v>30.130199999999999</v>
      </c>
      <c r="DE208">
        <v>5396.09</v>
      </c>
      <c r="DF208">
        <v>5396.09</v>
      </c>
      <c r="DG208">
        <v>0</v>
      </c>
      <c r="DH208">
        <v>0</v>
      </c>
      <c r="DI208">
        <v>0</v>
      </c>
    </row>
    <row r="209" spans="4:113" x14ac:dyDescent="0.3">
      <c r="E209" t="s">
        <v>78</v>
      </c>
      <c r="F209" t="s">
        <v>134</v>
      </c>
      <c r="G209" t="s">
        <v>134</v>
      </c>
      <c r="H209" t="s">
        <v>134</v>
      </c>
      <c r="I209" t="s">
        <v>134</v>
      </c>
      <c r="J209" t="s">
        <v>134</v>
      </c>
      <c r="K209" t="s">
        <v>134</v>
      </c>
      <c r="L209" t="s">
        <v>134</v>
      </c>
      <c r="M209" t="s">
        <v>134</v>
      </c>
      <c r="N209" t="s">
        <v>134</v>
      </c>
      <c r="O209" t="s">
        <v>134</v>
      </c>
      <c r="P209" t="s">
        <v>134</v>
      </c>
      <c r="Q209" t="s">
        <v>134</v>
      </c>
      <c r="R209" t="s">
        <v>134</v>
      </c>
      <c r="S209" t="s">
        <v>134</v>
      </c>
      <c r="T209" t="s">
        <v>134</v>
      </c>
      <c r="U209" t="s">
        <v>134</v>
      </c>
      <c r="V209" t="s">
        <v>134</v>
      </c>
      <c r="W209" t="s">
        <v>134</v>
      </c>
      <c r="X209" t="s">
        <v>134</v>
      </c>
      <c r="Y209" t="s">
        <v>134</v>
      </c>
      <c r="Z209" t="s">
        <v>134</v>
      </c>
      <c r="AA209" t="s">
        <v>134</v>
      </c>
      <c r="AB209" t="s">
        <v>134</v>
      </c>
      <c r="AC209" t="s">
        <v>134</v>
      </c>
      <c r="AD209" t="s">
        <v>134</v>
      </c>
      <c r="AE209" t="s">
        <v>134</v>
      </c>
      <c r="AF209" t="s">
        <v>134</v>
      </c>
      <c r="AG209" t="s">
        <v>134</v>
      </c>
      <c r="AH209" t="s">
        <v>134</v>
      </c>
      <c r="AI209" t="s">
        <v>134</v>
      </c>
      <c r="AJ209" t="s">
        <v>134</v>
      </c>
      <c r="AK209" t="s">
        <v>134</v>
      </c>
      <c r="AL209" t="s">
        <v>134</v>
      </c>
      <c r="AM209" t="s">
        <v>134</v>
      </c>
      <c r="AN209" t="s">
        <v>134</v>
      </c>
      <c r="AO209" t="s">
        <v>134</v>
      </c>
      <c r="AP209" t="s">
        <v>134</v>
      </c>
      <c r="AQ209" t="s">
        <v>134</v>
      </c>
      <c r="AR209" t="s">
        <v>134</v>
      </c>
      <c r="AS209" t="s">
        <v>134</v>
      </c>
      <c r="AT209" t="s">
        <v>134</v>
      </c>
      <c r="AU209" t="s">
        <v>134</v>
      </c>
      <c r="AV209" t="s">
        <v>134</v>
      </c>
      <c r="AW209" t="s">
        <v>134</v>
      </c>
      <c r="AX209" t="s">
        <v>134</v>
      </c>
      <c r="AY209" t="s">
        <v>134</v>
      </c>
      <c r="AZ209" t="s">
        <v>134</v>
      </c>
      <c r="BA209" t="s">
        <v>134</v>
      </c>
      <c r="BB209" t="s">
        <v>134</v>
      </c>
      <c r="BC209" t="s">
        <v>134</v>
      </c>
      <c r="BD209" t="s">
        <v>134</v>
      </c>
      <c r="BE209" t="s">
        <v>134</v>
      </c>
      <c r="BF209" t="s">
        <v>134</v>
      </c>
      <c r="BG209" t="s">
        <v>134</v>
      </c>
      <c r="BH209" t="s">
        <v>134</v>
      </c>
      <c r="BI209" t="s">
        <v>134</v>
      </c>
      <c r="BJ209" t="s">
        <v>134</v>
      </c>
      <c r="BK209" t="s">
        <v>134</v>
      </c>
      <c r="BL209" t="s">
        <v>134</v>
      </c>
      <c r="BM209" t="s">
        <v>134</v>
      </c>
      <c r="BN209" t="s">
        <v>134</v>
      </c>
      <c r="BO209" t="s">
        <v>134</v>
      </c>
      <c r="BP209" t="s">
        <v>134</v>
      </c>
      <c r="BQ209" t="s">
        <v>134</v>
      </c>
      <c r="BR209" t="s">
        <v>134</v>
      </c>
      <c r="BS209" t="s">
        <v>134</v>
      </c>
      <c r="BT209" t="s">
        <v>134</v>
      </c>
      <c r="BU209" t="s">
        <v>134</v>
      </c>
      <c r="BV209" t="s">
        <v>134</v>
      </c>
      <c r="BW209" t="s">
        <v>134</v>
      </c>
      <c r="BX209" t="s">
        <v>134</v>
      </c>
      <c r="BY209" t="s">
        <v>134</v>
      </c>
      <c r="BZ209" t="s">
        <v>134</v>
      </c>
      <c r="CA209" t="s">
        <v>134</v>
      </c>
      <c r="CB209" t="s">
        <v>134</v>
      </c>
      <c r="CC209" t="s">
        <v>134</v>
      </c>
      <c r="CD209" t="s">
        <v>134</v>
      </c>
      <c r="CE209" t="s">
        <v>134</v>
      </c>
      <c r="CF209" t="s">
        <v>134</v>
      </c>
      <c r="CG209" t="s">
        <v>134</v>
      </c>
      <c r="CH209" t="s">
        <v>134</v>
      </c>
      <c r="CI209" t="s">
        <v>134</v>
      </c>
      <c r="CJ209" t="s">
        <v>134</v>
      </c>
      <c r="CK209" t="s">
        <v>134</v>
      </c>
      <c r="CL209" t="s">
        <v>134</v>
      </c>
      <c r="CM209" t="s">
        <v>134</v>
      </c>
      <c r="CN209" t="s">
        <v>134</v>
      </c>
      <c r="CO209" t="s">
        <v>134</v>
      </c>
      <c r="CP209" t="s">
        <v>134</v>
      </c>
      <c r="CQ209" t="s">
        <v>134</v>
      </c>
      <c r="CR209" t="s">
        <v>134</v>
      </c>
      <c r="CS209" t="s">
        <v>134</v>
      </c>
      <c r="CT209" t="s">
        <v>134</v>
      </c>
      <c r="CU209" t="s">
        <v>134</v>
      </c>
      <c r="CV209" t="s">
        <v>134</v>
      </c>
      <c r="CW209" t="s">
        <v>134</v>
      </c>
      <c r="CX209" t="s">
        <v>134</v>
      </c>
      <c r="CY209" t="s">
        <v>134</v>
      </c>
      <c r="CZ209" t="s">
        <v>134</v>
      </c>
      <c r="DA209" t="s">
        <v>134</v>
      </c>
      <c r="DB209" t="s">
        <v>134</v>
      </c>
      <c r="DC209" t="s">
        <v>134</v>
      </c>
      <c r="DD209" t="s">
        <v>134</v>
      </c>
      <c r="DE209" t="s">
        <v>134</v>
      </c>
      <c r="DF209" t="s">
        <v>134</v>
      </c>
      <c r="DG209" t="s">
        <v>134</v>
      </c>
      <c r="DH209" t="s">
        <v>134</v>
      </c>
      <c r="DI209" t="s">
        <v>134</v>
      </c>
    </row>
    <row r="210" spans="4:113" x14ac:dyDescent="0.3">
      <c r="E210" t="s">
        <v>79</v>
      </c>
      <c r="F210" t="s">
        <v>134</v>
      </c>
      <c r="G210" t="s">
        <v>134</v>
      </c>
      <c r="H210" t="s">
        <v>134</v>
      </c>
      <c r="I210" t="s">
        <v>134</v>
      </c>
      <c r="J210" t="s">
        <v>134</v>
      </c>
      <c r="K210" t="s">
        <v>134</v>
      </c>
      <c r="L210" t="s">
        <v>134</v>
      </c>
      <c r="M210" t="s">
        <v>134</v>
      </c>
      <c r="N210" t="s">
        <v>134</v>
      </c>
      <c r="O210" t="s">
        <v>134</v>
      </c>
      <c r="P210" t="s">
        <v>134</v>
      </c>
      <c r="Q210" t="s">
        <v>134</v>
      </c>
      <c r="R210" t="s">
        <v>134</v>
      </c>
      <c r="S210" t="s">
        <v>134</v>
      </c>
      <c r="T210" t="s">
        <v>134</v>
      </c>
      <c r="U210" t="s">
        <v>134</v>
      </c>
      <c r="V210" t="s">
        <v>134</v>
      </c>
      <c r="W210" t="s">
        <v>134</v>
      </c>
      <c r="X210" t="s">
        <v>134</v>
      </c>
      <c r="Y210" t="s">
        <v>134</v>
      </c>
      <c r="Z210" t="s">
        <v>134</v>
      </c>
      <c r="AA210" t="s">
        <v>134</v>
      </c>
      <c r="AB210" t="s">
        <v>134</v>
      </c>
      <c r="AC210" t="s">
        <v>134</v>
      </c>
      <c r="AD210" t="s">
        <v>134</v>
      </c>
      <c r="AE210" t="s">
        <v>134</v>
      </c>
      <c r="AF210" t="s">
        <v>134</v>
      </c>
      <c r="AG210" t="s">
        <v>134</v>
      </c>
      <c r="AH210" t="s">
        <v>134</v>
      </c>
      <c r="AI210" t="s">
        <v>134</v>
      </c>
      <c r="AJ210" t="s">
        <v>134</v>
      </c>
      <c r="AK210" t="s">
        <v>134</v>
      </c>
      <c r="AL210" t="s">
        <v>134</v>
      </c>
      <c r="AM210" t="s">
        <v>134</v>
      </c>
      <c r="AN210" t="s">
        <v>134</v>
      </c>
      <c r="AO210" t="s">
        <v>134</v>
      </c>
      <c r="AP210" t="s">
        <v>134</v>
      </c>
      <c r="AQ210" t="s">
        <v>134</v>
      </c>
      <c r="AR210" t="s">
        <v>134</v>
      </c>
      <c r="AS210" t="s">
        <v>134</v>
      </c>
      <c r="AT210" t="s">
        <v>134</v>
      </c>
      <c r="AU210" t="s">
        <v>134</v>
      </c>
      <c r="AV210" t="s">
        <v>134</v>
      </c>
      <c r="AW210" t="s">
        <v>134</v>
      </c>
      <c r="AX210" t="s">
        <v>134</v>
      </c>
      <c r="AY210" t="s">
        <v>134</v>
      </c>
      <c r="AZ210" t="s">
        <v>134</v>
      </c>
      <c r="BA210" t="s">
        <v>134</v>
      </c>
      <c r="BB210" t="s">
        <v>134</v>
      </c>
      <c r="BC210" t="s">
        <v>134</v>
      </c>
      <c r="BD210" t="s">
        <v>134</v>
      </c>
      <c r="BE210" t="s">
        <v>134</v>
      </c>
      <c r="BF210" t="s">
        <v>134</v>
      </c>
      <c r="BG210" t="s">
        <v>134</v>
      </c>
      <c r="BH210" t="s">
        <v>134</v>
      </c>
      <c r="BI210" t="s">
        <v>134</v>
      </c>
      <c r="BJ210" t="s">
        <v>134</v>
      </c>
      <c r="BK210" t="s">
        <v>134</v>
      </c>
      <c r="BL210" t="s">
        <v>134</v>
      </c>
      <c r="BM210" t="s">
        <v>134</v>
      </c>
      <c r="BN210" t="s">
        <v>134</v>
      </c>
      <c r="BO210" t="s">
        <v>134</v>
      </c>
      <c r="BP210" t="s">
        <v>134</v>
      </c>
      <c r="BQ210" t="s">
        <v>134</v>
      </c>
      <c r="BR210" t="s">
        <v>134</v>
      </c>
      <c r="BS210" t="s">
        <v>134</v>
      </c>
      <c r="BT210" t="s">
        <v>134</v>
      </c>
      <c r="BU210" t="s">
        <v>134</v>
      </c>
      <c r="BV210" t="s">
        <v>134</v>
      </c>
      <c r="BW210" t="s">
        <v>134</v>
      </c>
      <c r="BX210" t="s">
        <v>134</v>
      </c>
      <c r="BY210" t="s">
        <v>134</v>
      </c>
      <c r="BZ210" t="s">
        <v>134</v>
      </c>
      <c r="CA210" t="s">
        <v>134</v>
      </c>
      <c r="CB210" t="s">
        <v>134</v>
      </c>
      <c r="CC210" t="s">
        <v>134</v>
      </c>
      <c r="CD210" t="s">
        <v>134</v>
      </c>
      <c r="CE210" t="s">
        <v>134</v>
      </c>
      <c r="CF210" t="s">
        <v>134</v>
      </c>
      <c r="CG210" t="s">
        <v>134</v>
      </c>
      <c r="CH210" t="s">
        <v>134</v>
      </c>
      <c r="CI210" t="s">
        <v>134</v>
      </c>
      <c r="CJ210" t="s">
        <v>134</v>
      </c>
      <c r="CK210" t="s">
        <v>134</v>
      </c>
      <c r="CL210" t="s">
        <v>134</v>
      </c>
      <c r="CM210" t="s">
        <v>134</v>
      </c>
      <c r="CN210" t="s">
        <v>134</v>
      </c>
      <c r="CO210" t="s">
        <v>134</v>
      </c>
      <c r="CP210" t="s">
        <v>134</v>
      </c>
      <c r="CQ210" t="s">
        <v>134</v>
      </c>
      <c r="CR210" t="s">
        <v>134</v>
      </c>
      <c r="CS210" t="s">
        <v>134</v>
      </c>
      <c r="CT210" t="s">
        <v>134</v>
      </c>
      <c r="CU210" t="s">
        <v>134</v>
      </c>
      <c r="CV210" t="s">
        <v>134</v>
      </c>
      <c r="CW210" t="s">
        <v>134</v>
      </c>
      <c r="CX210" t="s">
        <v>134</v>
      </c>
      <c r="CY210" t="s">
        <v>134</v>
      </c>
      <c r="CZ210" t="s">
        <v>134</v>
      </c>
      <c r="DA210" t="s">
        <v>134</v>
      </c>
      <c r="DB210" t="s">
        <v>134</v>
      </c>
      <c r="DC210" t="s">
        <v>134</v>
      </c>
      <c r="DD210" t="s">
        <v>134</v>
      </c>
      <c r="DE210" t="s">
        <v>134</v>
      </c>
      <c r="DF210" t="s">
        <v>134</v>
      </c>
      <c r="DG210" t="s">
        <v>134</v>
      </c>
      <c r="DH210" t="s">
        <v>134</v>
      </c>
      <c r="DI210" t="s">
        <v>134</v>
      </c>
    </row>
    <row r="211" spans="4:113" x14ac:dyDescent="0.3">
      <c r="E211" t="s">
        <v>80</v>
      </c>
      <c r="F211" t="s">
        <v>134</v>
      </c>
      <c r="G211" t="s">
        <v>134</v>
      </c>
      <c r="H211" t="s">
        <v>134</v>
      </c>
      <c r="I211" t="s">
        <v>134</v>
      </c>
      <c r="J211" t="s">
        <v>134</v>
      </c>
      <c r="K211" t="s">
        <v>134</v>
      </c>
      <c r="L211" t="s">
        <v>134</v>
      </c>
      <c r="M211" t="s">
        <v>134</v>
      </c>
      <c r="N211" t="s">
        <v>134</v>
      </c>
      <c r="O211" t="s">
        <v>134</v>
      </c>
      <c r="P211" t="s">
        <v>134</v>
      </c>
      <c r="Q211" t="s">
        <v>134</v>
      </c>
      <c r="R211" t="s">
        <v>134</v>
      </c>
      <c r="S211" t="s">
        <v>134</v>
      </c>
      <c r="T211" t="s">
        <v>134</v>
      </c>
      <c r="U211" t="s">
        <v>134</v>
      </c>
      <c r="V211" t="s">
        <v>134</v>
      </c>
      <c r="W211" t="s">
        <v>134</v>
      </c>
      <c r="X211" t="s">
        <v>134</v>
      </c>
      <c r="Y211" t="s">
        <v>134</v>
      </c>
      <c r="Z211" t="s">
        <v>134</v>
      </c>
      <c r="AA211" t="s">
        <v>134</v>
      </c>
      <c r="AB211" t="s">
        <v>134</v>
      </c>
      <c r="AC211" t="s">
        <v>134</v>
      </c>
      <c r="AD211" t="s">
        <v>134</v>
      </c>
      <c r="AE211" t="s">
        <v>134</v>
      </c>
      <c r="AF211" t="s">
        <v>134</v>
      </c>
      <c r="AG211" t="s">
        <v>134</v>
      </c>
      <c r="AH211" t="s">
        <v>134</v>
      </c>
      <c r="AI211" t="s">
        <v>134</v>
      </c>
      <c r="AJ211" t="s">
        <v>134</v>
      </c>
      <c r="AK211" t="s">
        <v>134</v>
      </c>
      <c r="AL211" t="s">
        <v>134</v>
      </c>
      <c r="AM211" t="s">
        <v>134</v>
      </c>
      <c r="AN211" t="s">
        <v>134</v>
      </c>
      <c r="AO211" t="s">
        <v>134</v>
      </c>
      <c r="AP211" t="s">
        <v>134</v>
      </c>
      <c r="AQ211" t="s">
        <v>134</v>
      </c>
      <c r="AR211" t="s">
        <v>134</v>
      </c>
      <c r="AS211" t="s">
        <v>134</v>
      </c>
      <c r="AT211" t="s">
        <v>134</v>
      </c>
      <c r="AU211" t="s">
        <v>134</v>
      </c>
      <c r="AV211" t="s">
        <v>134</v>
      </c>
      <c r="AW211" t="s">
        <v>134</v>
      </c>
      <c r="AX211" t="s">
        <v>134</v>
      </c>
      <c r="AY211" t="s">
        <v>134</v>
      </c>
      <c r="AZ211" t="s">
        <v>134</v>
      </c>
      <c r="BA211" t="s">
        <v>134</v>
      </c>
      <c r="BB211" t="s">
        <v>134</v>
      </c>
      <c r="BC211" t="s">
        <v>134</v>
      </c>
      <c r="BD211" t="s">
        <v>134</v>
      </c>
      <c r="BE211" t="s">
        <v>134</v>
      </c>
      <c r="BF211" t="s">
        <v>134</v>
      </c>
      <c r="BG211" t="s">
        <v>134</v>
      </c>
      <c r="BH211" t="s">
        <v>134</v>
      </c>
      <c r="BI211" t="s">
        <v>134</v>
      </c>
      <c r="BJ211" t="s">
        <v>134</v>
      </c>
      <c r="BK211" t="s">
        <v>134</v>
      </c>
      <c r="BL211" t="s">
        <v>134</v>
      </c>
      <c r="BM211" t="s">
        <v>134</v>
      </c>
      <c r="BN211" t="s">
        <v>134</v>
      </c>
      <c r="BO211" t="s">
        <v>134</v>
      </c>
      <c r="BP211" t="s">
        <v>134</v>
      </c>
      <c r="BQ211" t="s">
        <v>134</v>
      </c>
      <c r="BR211" t="s">
        <v>134</v>
      </c>
      <c r="BS211" t="s">
        <v>134</v>
      </c>
      <c r="BT211" t="s">
        <v>134</v>
      </c>
      <c r="BU211" t="s">
        <v>134</v>
      </c>
      <c r="BV211" t="s">
        <v>134</v>
      </c>
      <c r="BW211" t="s">
        <v>134</v>
      </c>
      <c r="BX211" t="s">
        <v>134</v>
      </c>
      <c r="BY211" t="s">
        <v>134</v>
      </c>
      <c r="BZ211" t="s">
        <v>134</v>
      </c>
      <c r="CA211" t="s">
        <v>134</v>
      </c>
      <c r="CB211" t="s">
        <v>134</v>
      </c>
      <c r="CC211" t="s">
        <v>134</v>
      </c>
      <c r="CD211" t="s">
        <v>134</v>
      </c>
      <c r="CE211" t="s">
        <v>134</v>
      </c>
      <c r="CF211" t="s">
        <v>134</v>
      </c>
      <c r="CG211" t="s">
        <v>134</v>
      </c>
      <c r="CH211" t="s">
        <v>134</v>
      </c>
      <c r="CI211" t="s">
        <v>134</v>
      </c>
      <c r="CJ211" t="s">
        <v>134</v>
      </c>
      <c r="CK211" t="s">
        <v>134</v>
      </c>
      <c r="CL211" t="s">
        <v>134</v>
      </c>
      <c r="CM211" t="s">
        <v>134</v>
      </c>
      <c r="CN211" t="s">
        <v>134</v>
      </c>
      <c r="CO211" t="s">
        <v>134</v>
      </c>
      <c r="CP211" t="s">
        <v>134</v>
      </c>
      <c r="CQ211" t="s">
        <v>134</v>
      </c>
      <c r="CR211" t="s">
        <v>134</v>
      </c>
      <c r="CS211" t="s">
        <v>134</v>
      </c>
      <c r="CT211" t="s">
        <v>134</v>
      </c>
      <c r="CU211" t="s">
        <v>134</v>
      </c>
      <c r="CV211" t="s">
        <v>134</v>
      </c>
      <c r="CW211" t="s">
        <v>134</v>
      </c>
      <c r="CX211" t="s">
        <v>134</v>
      </c>
      <c r="CY211" t="s">
        <v>134</v>
      </c>
      <c r="CZ211" t="s">
        <v>134</v>
      </c>
      <c r="DA211" t="s">
        <v>134</v>
      </c>
      <c r="DB211" t="s">
        <v>134</v>
      </c>
      <c r="DC211" t="s">
        <v>134</v>
      </c>
      <c r="DD211" t="s">
        <v>134</v>
      </c>
      <c r="DE211" t="s">
        <v>134</v>
      </c>
      <c r="DF211" t="s">
        <v>134</v>
      </c>
      <c r="DG211" t="s">
        <v>134</v>
      </c>
      <c r="DH211" t="s">
        <v>134</v>
      </c>
      <c r="DI211" t="s">
        <v>134</v>
      </c>
    </row>
    <row r="212" spans="4:113" x14ac:dyDescent="0.3">
      <c r="E212" t="s">
        <v>81</v>
      </c>
      <c r="F212" t="s">
        <v>134</v>
      </c>
      <c r="G212" t="s">
        <v>134</v>
      </c>
      <c r="H212" t="s">
        <v>134</v>
      </c>
      <c r="I212" t="s">
        <v>134</v>
      </c>
      <c r="J212" t="s">
        <v>134</v>
      </c>
      <c r="K212" t="s">
        <v>134</v>
      </c>
      <c r="L212" t="s">
        <v>134</v>
      </c>
      <c r="M212" t="s">
        <v>134</v>
      </c>
      <c r="N212" t="s">
        <v>134</v>
      </c>
      <c r="O212" t="s">
        <v>134</v>
      </c>
      <c r="P212" t="s">
        <v>134</v>
      </c>
      <c r="Q212" t="s">
        <v>134</v>
      </c>
      <c r="R212" t="s">
        <v>134</v>
      </c>
      <c r="S212" t="s">
        <v>134</v>
      </c>
      <c r="T212" t="s">
        <v>134</v>
      </c>
      <c r="U212" t="s">
        <v>134</v>
      </c>
      <c r="V212" t="s">
        <v>134</v>
      </c>
      <c r="W212" t="s">
        <v>134</v>
      </c>
      <c r="X212" t="s">
        <v>134</v>
      </c>
      <c r="Y212" t="s">
        <v>134</v>
      </c>
      <c r="Z212" t="s">
        <v>134</v>
      </c>
      <c r="AA212" t="s">
        <v>134</v>
      </c>
      <c r="AB212" t="s">
        <v>134</v>
      </c>
      <c r="AC212" t="s">
        <v>134</v>
      </c>
      <c r="AD212" t="s">
        <v>134</v>
      </c>
      <c r="AE212" t="s">
        <v>134</v>
      </c>
      <c r="AF212" t="s">
        <v>134</v>
      </c>
      <c r="AG212" t="s">
        <v>134</v>
      </c>
      <c r="AH212" t="s">
        <v>134</v>
      </c>
      <c r="AI212" t="s">
        <v>134</v>
      </c>
      <c r="AJ212" t="s">
        <v>134</v>
      </c>
      <c r="AK212" t="s">
        <v>134</v>
      </c>
      <c r="AL212" t="s">
        <v>134</v>
      </c>
      <c r="AM212" t="s">
        <v>134</v>
      </c>
      <c r="AN212" t="s">
        <v>134</v>
      </c>
      <c r="AO212" t="s">
        <v>134</v>
      </c>
      <c r="AP212" t="s">
        <v>134</v>
      </c>
      <c r="AQ212" t="s">
        <v>134</v>
      </c>
      <c r="AR212" t="s">
        <v>134</v>
      </c>
      <c r="AS212" t="s">
        <v>134</v>
      </c>
      <c r="AT212" t="s">
        <v>134</v>
      </c>
      <c r="AU212" t="s">
        <v>134</v>
      </c>
      <c r="AV212" t="s">
        <v>134</v>
      </c>
      <c r="AW212" t="s">
        <v>134</v>
      </c>
      <c r="AX212" t="s">
        <v>134</v>
      </c>
      <c r="AY212" t="s">
        <v>134</v>
      </c>
      <c r="AZ212" t="s">
        <v>134</v>
      </c>
      <c r="BA212" t="s">
        <v>134</v>
      </c>
      <c r="BB212" t="s">
        <v>134</v>
      </c>
      <c r="BC212" t="s">
        <v>134</v>
      </c>
      <c r="BD212" t="s">
        <v>134</v>
      </c>
      <c r="BE212" t="s">
        <v>134</v>
      </c>
      <c r="BF212" t="s">
        <v>134</v>
      </c>
      <c r="BG212" t="s">
        <v>134</v>
      </c>
      <c r="BH212" t="s">
        <v>134</v>
      </c>
      <c r="BI212" t="s">
        <v>134</v>
      </c>
      <c r="BJ212" t="s">
        <v>134</v>
      </c>
      <c r="BK212" t="s">
        <v>134</v>
      </c>
      <c r="BL212" t="s">
        <v>134</v>
      </c>
      <c r="BM212" t="s">
        <v>134</v>
      </c>
      <c r="BN212" t="s">
        <v>134</v>
      </c>
      <c r="BO212" t="s">
        <v>134</v>
      </c>
      <c r="BP212" t="s">
        <v>134</v>
      </c>
      <c r="BQ212" t="s">
        <v>134</v>
      </c>
      <c r="BR212" t="s">
        <v>134</v>
      </c>
      <c r="BS212" t="s">
        <v>134</v>
      </c>
      <c r="BT212" t="s">
        <v>134</v>
      </c>
      <c r="BU212" t="s">
        <v>134</v>
      </c>
      <c r="BV212" t="s">
        <v>134</v>
      </c>
      <c r="BW212" t="s">
        <v>134</v>
      </c>
      <c r="BX212" t="s">
        <v>134</v>
      </c>
      <c r="BY212" t="s">
        <v>134</v>
      </c>
      <c r="BZ212" t="s">
        <v>134</v>
      </c>
      <c r="CA212" t="s">
        <v>134</v>
      </c>
      <c r="CB212" t="s">
        <v>134</v>
      </c>
      <c r="CC212" t="s">
        <v>134</v>
      </c>
      <c r="CD212" t="s">
        <v>134</v>
      </c>
      <c r="CE212" t="s">
        <v>134</v>
      </c>
      <c r="CF212" t="s">
        <v>134</v>
      </c>
      <c r="CG212" t="s">
        <v>134</v>
      </c>
      <c r="CH212" t="s">
        <v>134</v>
      </c>
      <c r="CI212" t="s">
        <v>134</v>
      </c>
      <c r="CJ212" t="s">
        <v>134</v>
      </c>
      <c r="CK212" t="s">
        <v>134</v>
      </c>
      <c r="CL212" t="s">
        <v>134</v>
      </c>
      <c r="CM212" t="s">
        <v>134</v>
      </c>
      <c r="CN212" t="s">
        <v>134</v>
      </c>
      <c r="CO212" t="s">
        <v>134</v>
      </c>
      <c r="CP212" t="s">
        <v>134</v>
      </c>
      <c r="CQ212" t="s">
        <v>134</v>
      </c>
      <c r="CR212" t="s">
        <v>134</v>
      </c>
      <c r="CS212" t="s">
        <v>134</v>
      </c>
      <c r="CT212" t="s">
        <v>134</v>
      </c>
      <c r="CU212" t="s">
        <v>134</v>
      </c>
      <c r="CV212" t="s">
        <v>134</v>
      </c>
      <c r="CW212" t="s">
        <v>134</v>
      </c>
      <c r="CX212" t="s">
        <v>134</v>
      </c>
      <c r="CY212" t="s">
        <v>134</v>
      </c>
      <c r="CZ212" t="s">
        <v>134</v>
      </c>
      <c r="DA212" t="s">
        <v>134</v>
      </c>
      <c r="DB212" t="s">
        <v>134</v>
      </c>
      <c r="DC212" t="s">
        <v>134</v>
      </c>
      <c r="DD212" t="s">
        <v>134</v>
      </c>
      <c r="DE212" t="s">
        <v>134</v>
      </c>
      <c r="DF212" t="s">
        <v>134</v>
      </c>
      <c r="DG212" t="s">
        <v>134</v>
      </c>
      <c r="DH212" t="s">
        <v>134</v>
      </c>
      <c r="DI212" t="s">
        <v>134</v>
      </c>
    </row>
    <row r="213" spans="4:113" x14ac:dyDescent="0.3">
      <c r="D213" t="s">
        <v>83</v>
      </c>
      <c r="E213" t="s">
        <v>77</v>
      </c>
      <c r="F213">
        <v>23.462800000000001</v>
      </c>
      <c r="G213">
        <v>11.6913</v>
      </c>
      <c r="H213">
        <v>15.688599999999999</v>
      </c>
      <c r="I213">
        <v>14.9077</v>
      </c>
      <c r="J213">
        <v>7.7460000000000004</v>
      </c>
      <c r="K213">
        <v>6.5968999999999998</v>
      </c>
      <c r="L213">
        <v>8.7631999999999994</v>
      </c>
      <c r="M213">
        <v>5.7506000000000004</v>
      </c>
      <c r="N213">
        <v>3.722</v>
      </c>
      <c r="O213">
        <v>3.7214</v>
      </c>
      <c r="P213">
        <v>3.7214</v>
      </c>
      <c r="Q213">
        <v>34.836500000000001</v>
      </c>
      <c r="R213" t="s">
        <v>134</v>
      </c>
      <c r="S213" t="s">
        <v>134</v>
      </c>
      <c r="T213">
        <v>33.321899999999999</v>
      </c>
      <c r="U213">
        <v>44.552399999999999</v>
      </c>
      <c r="V213">
        <v>49.7029</v>
      </c>
      <c r="W213">
        <v>50.591000000000001</v>
      </c>
      <c r="X213">
        <v>46.77</v>
      </c>
      <c r="Y213" t="s">
        <v>134</v>
      </c>
      <c r="Z213">
        <v>18.9877</v>
      </c>
      <c r="AA213">
        <v>24.476800000000001</v>
      </c>
      <c r="AB213">
        <v>33.821800000000003</v>
      </c>
      <c r="AC213">
        <v>31.564499999999999</v>
      </c>
      <c r="AD213">
        <v>14.0374</v>
      </c>
      <c r="AE213">
        <v>-26.867699999999999</v>
      </c>
      <c r="AF213">
        <v>61.864899999999999</v>
      </c>
      <c r="AG213">
        <v>49.539099999999998</v>
      </c>
      <c r="AH213">
        <v>31.9709</v>
      </c>
      <c r="AI213">
        <v>26.5838</v>
      </c>
      <c r="AJ213">
        <v>28.9</v>
      </c>
      <c r="AK213">
        <v>26.581099999999999</v>
      </c>
      <c r="AL213">
        <v>128.5076</v>
      </c>
      <c r="AM213" t="s">
        <v>134</v>
      </c>
      <c r="AN213" t="s">
        <v>134</v>
      </c>
      <c r="AO213" t="s">
        <v>134</v>
      </c>
      <c r="AP213" t="s">
        <v>134</v>
      </c>
      <c r="AQ213" t="s">
        <v>134</v>
      </c>
      <c r="AR213" t="s">
        <v>134</v>
      </c>
      <c r="AS213" t="s">
        <v>134</v>
      </c>
      <c r="AT213" t="s">
        <v>134</v>
      </c>
      <c r="AU213" t="s">
        <v>134</v>
      </c>
      <c r="AV213" t="s">
        <v>134</v>
      </c>
      <c r="AW213" t="s">
        <v>134</v>
      </c>
      <c r="AX213" t="s">
        <v>134</v>
      </c>
      <c r="AY213" t="s">
        <v>134</v>
      </c>
      <c r="AZ213" t="s">
        <v>134</v>
      </c>
      <c r="BA213" t="s">
        <v>134</v>
      </c>
      <c r="BB213" t="s">
        <v>134</v>
      </c>
      <c r="BC213" t="s">
        <v>134</v>
      </c>
      <c r="BD213" t="s">
        <v>134</v>
      </c>
      <c r="BE213" t="s">
        <v>134</v>
      </c>
      <c r="BF213">
        <v>33.321899999999999</v>
      </c>
      <c r="BG213">
        <v>44.552399999999999</v>
      </c>
      <c r="BH213">
        <v>49.7029</v>
      </c>
      <c r="BI213">
        <v>50.591000000000001</v>
      </c>
      <c r="BJ213">
        <v>46.77</v>
      </c>
      <c r="BK213" t="s">
        <v>134</v>
      </c>
      <c r="BL213">
        <v>18.9877</v>
      </c>
      <c r="BM213">
        <v>24.476800000000001</v>
      </c>
      <c r="BN213">
        <v>33.821800000000003</v>
      </c>
      <c r="BO213">
        <v>31.564499999999999</v>
      </c>
      <c r="BP213">
        <v>14.0374</v>
      </c>
      <c r="BQ213">
        <v>-26.867699999999999</v>
      </c>
      <c r="BR213">
        <v>61.864899999999999</v>
      </c>
      <c r="BS213">
        <v>49.539099999999998</v>
      </c>
      <c r="BT213">
        <v>31.9709</v>
      </c>
      <c r="BU213">
        <v>26.5838</v>
      </c>
      <c r="BV213">
        <v>28.9</v>
      </c>
      <c r="BW213">
        <v>26.581099999999999</v>
      </c>
      <c r="BX213">
        <v>128.5076</v>
      </c>
      <c r="BY213">
        <v>11936.73</v>
      </c>
      <c r="BZ213">
        <v>2852.04</v>
      </c>
      <c r="CA213">
        <v>9084.69</v>
      </c>
      <c r="CB213">
        <v>1.7991000000000001</v>
      </c>
      <c r="CC213">
        <v>1.7448000000000001</v>
      </c>
      <c r="CD213">
        <v>2.1124999999999998</v>
      </c>
      <c r="CE213">
        <v>2.0487000000000002</v>
      </c>
      <c r="CF213">
        <v>7.3358999999999996</v>
      </c>
      <c r="CG213">
        <v>48.996299999999998</v>
      </c>
      <c r="CH213">
        <v>59.8444</v>
      </c>
      <c r="CI213">
        <v>33.5015</v>
      </c>
      <c r="CJ213">
        <v>29.323499999999999</v>
      </c>
      <c r="CK213">
        <v>78.631900000000002</v>
      </c>
      <c r="CL213">
        <v>44.018999999999998</v>
      </c>
      <c r="CM213">
        <v>38.529200000000003</v>
      </c>
      <c r="CN213">
        <v>76.256799999999998</v>
      </c>
      <c r="CO213">
        <v>43.264600000000002</v>
      </c>
      <c r="CP213">
        <v>6634.84</v>
      </c>
      <c r="CQ213">
        <v>154.32</v>
      </c>
      <c r="CR213">
        <v>5650.55</v>
      </c>
      <c r="CS213">
        <v>5.8599999999999999E-2</v>
      </c>
      <c r="CT213">
        <v>1.2836000000000001</v>
      </c>
      <c r="CU213">
        <v>7.2300000000000003E-2</v>
      </c>
      <c r="CV213" t="s">
        <v>134</v>
      </c>
      <c r="CW213">
        <v>1106.0098</v>
      </c>
      <c r="CX213">
        <v>0.33090000000000003</v>
      </c>
      <c r="CY213">
        <v>12.2841</v>
      </c>
      <c r="CZ213">
        <v>29.794599999999999</v>
      </c>
      <c r="DA213">
        <v>48.796999999999997</v>
      </c>
      <c r="DB213">
        <v>7.5004999999999997</v>
      </c>
      <c r="DC213">
        <v>22.625</v>
      </c>
      <c r="DD213">
        <v>30.125499999999999</v>
      </c>
      <c r="DE213">
        <v>6716.88</v>
      </c>
      <c r="DF213">
        <v>6716.88</v>
      </c>
      <c r="DG213">
        <v>0</v>
      </c>
      <c r="DH213">
        <v>0</v>
      </c>
      <c r="DI213">
        <v>0</v>
      </c>
    </row>
    <row r="214" spans="4:113" x14ac:dyDescent="0.3">
      <c r="E214" t="s">
        <v>78</v>
      </c>
      <c r="F214" t="s">
        <v>134</v>
      </c>
      <c r="G214" t="s">
        <v>134</v>
      </c>
      <c r="H214" t="s">
        <v>134</v>
      </c>
      <c r="I214" t="s">
        <v>134</v>
      </c>
      <c r="J214" t="s">
        <v>134</v>
      </c>
      <c r="K214" t="s">
        <v>134</v>
      </c>
      <c r="L214" t="s">
        <v>134</v>
      </c>
      <c r="M214" t="s">
        <v>134</v>
      </c>
      <c r="N214" t="s">
        <v>134</v>
      </c>
      <c r="O214" t="s">
        <v>134</v>
      </c>
      <c r="P214" t="s">
        <v>134</v>
      </c>
      <c r="Q214" t="s">
        <v>134</v>
      </c>
      <c r="R214" t="s">
        <v>134</v>
      </c>
      <c r="S214" t="s">
        <v>134</v>
      </c>
      <c r="T214" t="s">
        <v>134</v>
      </c>
      <c r="U214" t="s">
        <v>134</v>
      </c>
      <c r="V214" t="s">
        <v>134</v>
      </c>
      <c r="W214" t="s">
        <v>134</v>
      </c>
      <c r="X214" t="s">
        <v>134</v>
      </c>
      <c r="Y214" t="s">
        <v>134</v>
      </c>
      <c r="Z214" t="s">
        <v>134</v>
      </c>
      <c r="AA214" t="s">
        <v>134</v>
      </c>
      <c r="AB214" t="s">
        <v>134</v>
      </c>
      <c r="AC214" t="s">
        <v>134</v>
      </c>
      <c r="AD214" t="s">
        <v>134</v>
      </c>
      <c r="AE214" t="s">
        <v>134</v>
      </c>
      <c r="AF214" t="s">
        <v>134</v>
      </c>
      <c r="AG214" t="s">
        <v>134</v>
      </c>
      <c r="AH214" t="s">
        <v>134</v>
      </c>
      <c r="AI214" t="s">
        <v>134</v>
      </c>
      <c r="AJ214" t="s">
        <v>134</v>
      </c>
      <c r="AK214" t="s">
        <v>134</v>
      </c>
      <c r="AL214" t="s">
        <v>134</v>
      </c>
      <c r="AM214" t="s">
        <v>134</v>
      </c>
      <c r="AN214" t="s">
        <v>134</v>
      </c>
      <c r="AO214" t="s">
        <v>134</v>
      </c>
      <c r="AP214" t="s">
        <v>134</v>
      </c>
      <c r="AQ214" t="s">
        <v>134</v>
      </c>
      <c r="AR214" t="s">
        <v>134</v>
      </c>
      <c r="AS214" t="s">
        <v>134</v>
      </c>
      <c r="AT214" t="s">
        <v>134</v>
      </c>
      <c r="AU214" t="s">
        <v>134</v>
      </c>
      <c r="AV214" t="s">
        <v>134</v>
      </c>
      <c r="AW214" t="s">
        <v>134</v>
      </c>
      <c r="AX214" t="s">
        <v>134</v>
      </c>
      <c r="AY214" t="s">
        <v>134</v>
      </c>
      <c r="AZ214" t="s">
        <v>134</v>
      </c>
      <c r="BA214" t="s">
        <v>134</v>
      </c>
      <c r="BB214" t="s">
        <v>134</v>
      </c>
      <c r="BC214" t="s">
        <v>134</v>
      </c>
      <c r="BD214" t="s">
        <v>134</v>
      </c>
      <c r="BE214" t="s">
        <v>134</v>
      </c>
      <c r="BF214" t="s">
        <v>134</v>
      </c>
      <c r="BG214" t="s">
        <v>134</v>
      </c>
      <c r="BH214" t="s">
        <v>134</v>
      </c>
      <c r="BI214" t="s">
        <v>134</v>
      </c>
      <c r="BJ214" t="s">
        <v>134</v>
      </c>
      <c r="BK214" t="s">
        <v>134</v>
      </c>
      <c r="BL214" t="s">
        <v>134</v>
      </c>
      <c r="BM214" t="s">
        <v>134</v>
      </c>
      <c r="BN214" t="s">
        <v>134</v>
      </c>
      <c r="BO214" t="s">
        <v>134</v>
      </c>
      <c r="BP214" t="s">
        <v>134</v>
      </c>
      <c r="BQ214" t="s">
        <v>134</v>
      </c>
      <c r="BR214" t="s">
        <v>134</v>
      </c>
      <c r="BS214" t="s">
        <v>134</v>
      </c>
      <c r="BT214" t="s">
        <v>134</v>
      </c>
      <c r="BU214" t="s">
        <v>134</v>
      </c>
      <c r="BV214" t="s">
        <v>134</v>
      </c>
      <c r="BW214" t="s">
        <v>134</v>
      </c>
      <c r="BX214" t="s">
        <v>134</v>
      </c>
      <c r="BY214" t="s">
        <v>134</v>
      </c>
      <c r="BZ214" t="s">
        <v>134</v>
      </c>
      <c r="CA214" t="s">
        <v>134</v>
      </c>
      <c r="CB214" t="s">
        <v>134</v>
      </c>
      <c r="CC214" t="s">
        <v>134</v>
      </c>
      <c r="CD214" t="s">
        <v>134</v>
      </c>
      <c r="CE214" t="s">
        <v>134</v>
      </c>
      <c r="CF214" t="s">
        <v>134</v>
      </c>
      <c r="CG214" t="s">
        <v>134</v>
      </c>
      <c r="CH214" t="s">
        <v>134</v>
      </c>
      <c r="CI214" t="s">
        <v>134</v>
      </c>
      <c r="CJ214" t="s">
        <v>134</v>
      </c>
      <c r="CK214" t="s">
        <v>134</v>
      </c>
      <c r="CL214" t="s">
        <v>134</v>
      </c>
      <c r="CM214" t="s">
        <v>134</v>
      </c>
      <c r="CN214" t="s">
        <v>134</v>
      </c>
      <c r="CO214" t="s">
        <v>134</v>
      </c>
      <c r="CP214" t="s">
        <v>134</v>
      </c>
      <c r="CQ214" t="s">
        <v>134</v>
      </c>
      <c r="CR214" t="s">
        <v>134</v>
      </c>
      <c r="CS214" t="s">
        <v>134</v>
      </c>
      <c r="CT214" t="s">
        <v>134</v>
      </c>
      <c r="CU214" t="s">
        <v>134</v>
      </c>
      <c r="CV214" t="s">
        <v>134</v>
      </c>
      <c r="CW214" t="s">
        <v>134</v>
      </c>
      <c r="CX214" t="s">
        <v>134</v>
      </c>
      <c r="CY214" t="s">
        <v>134</v>
      </c>
      <c r="CZ214" t="s">
        <v>134</v>
      </c>
      <c r="DA214" t="s">
        <v>134</v>
      </c>
      <c r="DB214" t="s">
        <v>134</v>
      </c>
      <c r="DC214" t="s">
        <v>134</v>
      </c>
      <c r="DD214" t="s">
        <v>134</v>
      </c>
      <c r="DE214" t="s">
        <v>134</v>
      </c>
      <c r="DF214" t="s">
        <v>134</v>
      </c>
      <c r="DG214" t="s">
        <v>134</v>
      </c>
      <c r="DH214" t="s">
        <v>134</v>
      </c>
      <c r="DI214" t="s">
        <v>134</v>
      </c>
    </row>
    <row r="215" spans="4:113" x14ac:dyDescent="0.3">
      <c r="E215" t="s">
        <v>79</v>
      </c>
      <c r="F215" t="s">
        <v>134</v>
      </c>
      <c r="G215" t="s">
        <v>134</v>
      </c>
      <c r="H215" t="s">
        <v>134</v>
      </c>
      <c r="I215" t="s">
        <v>134</v>
      </c>
      <c r="J215" t="s">
        <v>134</v>
      </c>
      <c r="K215" t="s">
        <v>134</v>
      </c>
      <c r="L215" t="s">
        <v>134</v>
      </c>
      <c r="M215" t="s">
        <v>134</v>
      </c>
      <c r="N215" t="s">
        <v>134</v>
      </c>
      <c r="O215" t="s">
        <v>134</v>
      </c>
      <c r="P215" t="s">
        <v>134</v>
      </c>
      <c r="Q215" t="s">
        <v>134</v>
      </c>
      <c r="R215" t="s">
        <v>134</v>
      </c>
      <c r="S215" t="s">
        <v>134</v>
      </c>
      <c r="T215" t="s">
        <v>134</v>
      </c>
      <c r="U215" t="s">
        <v>134</v>
      </c>
      <c r="V215" t="s">
        <v>134</v>
      </c>
      <c r="W215" t="s">
        <v>134</v>
      </c>
      <c r="X215" t="s">
        <v>134</v>
      </c>
      <c r="Y215" t="s">
        <v>134</v>
      </c>
      <c r="Z215" t="s">
        <v>134</v>
      </c>
      <c r="AA215" t="s">
        <v>134</v>
      </c>
      <c r="AB215" t="s">
        <v>134</v>
      </c>
      <c r="AC215" t="s">
        <v>134</v>
      </c>
      <c r="AD215" t="s">
        <v>134</v>
      </c>
      <c r="AE215" t="s">
        <v>134</v>
      </c>
      <c r="AF215" t="s">
        <v>134</v>
      </c>
      <c r="AG215" t="s">
        <v>134</v>
      </c>
      <c r="AH215" t="s">
        <v>134</v>
      </c>
      <c r="AI215" t="s">
        <v>134</v>
      </c>
      <c r="AJ215" t="s">
        <v>134</v>
      </c>
      <c r="AK215" t="s">
        <v>134</v>
      </c>
      <c r="AL215" t="s">
        <v>134</v>
      </c>
      <c r="AM215" t="s">
        <v>134</v>
      </c>
      <c r="AN215" t="s">
        <v>134</v>
      </c>
      <c r="AO215" t="s">
        <v>134</v>
      </c>
      <c r="AP215" t="s">
        <v>134</v>
      </c>
      <c r="AQ215" t="s">
        <v>134</v>
      </c>
      <c r="AR215" t="s">
        <v>134</v>
      </c>
      <c r="AS215" t="s">
        <v>134</v>
      </c>
      <c r="AT215" t="s">
        <v>134</v>
      </c>
      <c r="AU215" t="s">
        <v>134</v>
      </c>
      <c r="AV215" t="s">
        <v>134</v>
      </c>
      <c r="AW215" t="s">
        <v>134</v>
      </c>
      <c r="AX215" t="s">
        <v>134</v>
      </c>
      <c r="AY215" t="s">
        <v>134</v>
      </c>
      <c r="AZ215" t="s">
        <v>134</v>
      </c>
      <c r="BA215" t="s">
        <v>134</v>
      </c>
      <c r="BB215" t="s">
        <v>134</v>
      </c>
      <c r="BC215" t="s">
        <v>134</v>
      </c>
      <c r="BD215" t="s">
        <v>134</v>
      </c>
      <c r="BE215" t="s">
        <v>134</v>
      </c>
      <c r="BF215" t="s">
        <v>134</v>
      </c>
      <c r="BG215" t="s">
        <v>134</v>
      </c>
      <c r="BH215" t="s">
        <v>134</v>
      </c>
      <c r="BI215" t="s">
        <v>134</v>
      </c>
      <c r="BJ215" t="s">
        <v>134</v>
      </c>
      <c r="BK215" t="s">
        <v>134</v>
      </c>
      <c r="BL215" t="s">
        <v>134</v>
      </c>
      <c r="BM215" t="s">
        <v>134</v>
      </c>
      <c r="BN215" t="s">
        <v>134</v>
      </c>
      <c r="BO215" t="s">
        <v>134</v>
      </c>
      <c r="BP215" t="s">
        <v>134</v>
      </c>
      <c r="BQ215" t="s">
        <v>134</v>
      </c>
      <c r="BR215" t="s">
        <v>134</v>
      </c>
      <c r="BS215" t="s">
        <v>134</v>
      </c>
      <c r="BT215" t="s">
        <v>134</v>
      </c>
      <c r="BU215" t="s">
        <v>134</v>
      </c>
      <c r="BV215" t="s">
        <v>134</v>
      </c>
      <c r="BW215" t="s">
        <v>134</v>
      </c>
      <c r="BX215" t="s">
        <v>134</v>
      </c>
      <c r="BY215" t="s">
        <v>134</v>
      </c>
      <c r="BZ215" t="s">
        <v>134</v>
      </c>
      <c r="CA215" t="s">
        <v>134</v>
      </c>
      <c r="CB215" t="s">
        <v>134</v>
      </c>
      <c r="CC215" t="s">
        <v>134</v>
      </c>
      <c r="CD215" t="s">
        <v>134</v>
      </c>
      <c r="CE215" t="s">
        <v>134</v>
      </c>
      <c r="CF215" t="s">
        <v>134</v>
      </c>
      <c r="CG215" t="s">
        <v>134</v>
      </c>
      <c r="CH215" t="s">
        <v>134</v>
      </c>
      <c r="CI215" t="s">
        <v>134</v>
      </c>
      <c r="CJ215" t="s">
        <v>134</v>
      </c>
      <c r="CK215" t="s">
        <v>134</v>
      </c>
      <c r="CL215" t="s">
        <v>134</v>
      </c>
      <c r="CM215" t="s">
        <v>134</v>
      </c>
      <c r="CN215" t="s">
        <v>134</v>
      </c>
      <c r="CO215" t="s">
        <v>134</v>
      </c>
      <c r="CP215" t="s">
        <v>134</v>
      </c>
      <c r="CQ215" t="s">
        <v>134</v>
      </c>
      <c r="CR215" t="s">
        <v>134</v>
      </c>
      <c r="CS215" t="s">
        <v>134</v>
      </c>
      <c r="CT215" t="s">
        <v>134</v>
      </c>
      <c r="CU215" t="s">
        <v>134</v>
      </c>
      <c r="CV215" t="s">
        <v>134</v>
      </c>
      <c r="CW215" t="s">
        <v>134</v>
      </c>
      <c r="CX215" t="s">
        <v>134</v>
      </c>
      <c r="CY215" t="s">
        <v>134</v>
      </c>
      <c r="CZ215" t="s">
        <v>134</v>
      </c>
      <c r="DA215" t="s">
        <v>134</v>
      </c>
      <c r="DB215" t="s">
        <v>134</v>
      </c>
      <c r="DC215" t="s">
        <v>134</v>
      </c>
      <c r="DD215" t="s">
        <v>134</v>
      </c>
      <c r="DE215" t="s">
        <v>134</v>
      </c>
      <c r="DF215" t="s">
        <v>134</v>
      </c>
      <c r="DG215" t="s">
        <v>134</v>
      </c>
      <c r="DH215" t="s">
        <v>134</v>
      </c>
      <c r="DI215" t="s">
        <v>134</v>
      </c>
    </row>
    <row r="216" spans="4:113" x14ac:dyDescent="0.3">
      <c r="E216" t="s">
        <v>80</v>
      </c>
      <c r="F216" t="s">
        <v>134</v>
      </c>
      <c r="G216" t="s">
        <v>134</v>
      </c>
      <c r="H216" t="s">
        <v>134</v>
      </c>
      <c r="I216" t="s">
        <v>134</v>
      </c>
      <c r="J216" t="s">
        <v>134</v>
      </c>
      <c r="K216" t="s">
        <v>134</v>
      </c>
      <c r="L216" t="s">
        <v>134</v>
      </c>
      <c r="M216" t="s">
        <v>134</v>
      </c>
      <c r="N216" t="s">
        <v>134</v>
      </c>
      <c r="O216" t="s">
        <v>134</v>
      </c>
      <c r="P216" t="s">
        <v>134</v>
      </c>
      <c r="Q216" t="s">
        <v>134</v>
      </c>
      <c r="R216" t="s">
        <v>134</v>
      </c>
      <c r="S216" t="s">
        <v>134</v>
      </c>
      <c r="T216" t="s">
        <v>134</v>
      </c>
      <c r="U216" t="s">
        <v>134</v>
      </c>
      <c r="V216" t="s">
        <v>134</v>
      </c>
      <c r="W216" t="s">
        <v>134</v>
      </c>
      <c r="X216" t="s">
        <v>134</v>
      </c>
      <c r="Y216" t="s">
        <v>134</v>
      </c>
      <c r="Z216" t="s">
        <v>134</v>
      </c>
      <c r="AA216" t="s">
        <v>134</v>
      </c>
      <c r="AB216" t="s">
        <v>134</v>
      </c>
      <c r="AC216" t="s">
        <v>134</v>
      </c>
      <c r="AD216" t="s">
        <v>134</v>
      </c>
      <c r="AE216" t="s">
        <v>134</v>
      </c>
      <c r="AF216" t="s">
        <v>134</v>
      </c>
      <c r="AG216" t="s">
        <v>134</v>
      </c>
      <c r="AH216" t="s">
        <v>134</v>
      </c>
      <c r="AI216" t="s">
        <v>134</v>
      </c>
      <c r="AJ216" t="s">
        <v>134</v>
      </c>
      <c r="AK216" t="s">
        <v>134</v>
      </c>
      <c r="AL216" t="s">
        <v>134</v>
      </c>
      <c r="AM216" t="s">
        <v>134</v>
      </c>
      <c r="AN216" t="s">
        <v>134</v>
      </c>
      <c r="AO216" t="s">
        <v>134</v>
      </c>
      <c r="AP216" t="s">
        <v>134</v>
      </c>
      <c r="AQ216" t="s">
        <v>134</v>
      </c>
      <c r="AR216" t="s">
        <v>134</v>
      </c>
      <c r="AS216" t="s">
        <v>134</v>
      </c>
      <c r="AT216" t="s">
        <v>134</v>
      </c>
      <c r="AU216" t="s">
        <v>134</v>
      </c>
      <c r="AV216" t="s">
        <v>134</v>
      </c>
      <c r="AW216" t="s">
        <v>134</v>
      </c>
      <c r="AX216" t="s">
        <v>134</v>
      </c>
      <c r="AY216" t="s">
        <v>134</v>
      </c>
      <c r="AZ216" t="s">
        <v>134</v>
      </c>
      <c r="BA216" t="s">
        <v>134</v>
      </c>
      <c r="BB216" t="s">
        <v>134</v>
      </c>
      <c r="BC216" t="s">
        <v>134</v>
      </c>
      <c r="BD216" t="s">
        <v>134</v>
      </c>
      <c r="BE216" t="s">
        <v>134</v>
      </c>
      <c r="BF216" t="s">
        <v>134</v>
      </c>
      <c r="BG216" t="s">
        <v>134</v>
      </c>
      <c r="BH216" t="s">
        <v>134</v>
      </c>
      <c r="BI216" t="s">
        <v>134</v>
      </c>
      <c r="BJ216" t="s">
        <v>134</v>
      </c>
      <c r="BK216" t="s">
        <v>134</v>
      </c>
      <c r="BL216" t="s">
        <v>134</v>
      </c>
      <c r="BM216" t="s">
        <v>134</v>
      </c>
      <c r="BN216" t="s">
        <v>134</v>
      </c>
      <c r="BO216" t="s">
        <v>134</v>
      </c>
      <c r="BP216" t="s">
        <v>134</v>
      </c>
      <c r="BQ216" t="s">
        <v>134</v>
      </c>
      <c r="BR216" t="s">
        <v>134</v>
      </c>
      <c r="BS216" t="s">
        <v>134</v>
      </c>
      <c r="BT216" t="s">
        <v>134</v>
      </c>
      <c r="BU216" t="s">
        <v>134</v>
      </c>
      <c r="BV216" t="s">
        <v>134</v>
      </c>
      <c r="BW216" t="s">
        <v>134</v>
      </c>
      <c r="BX216" t="s">
        <v>134</v>
      </c>
      <c r="BY216" t="s">
        <v>134</v>
      </c>
      <c r="BZ216" t="s">
        <v>134</v>
      </c>
      <c r="CA216" t="s">
        <v>134</v>
      </c>
      <c r="CB216" t="s">
        <v>134</v>
      </c>
      <c r="CC216" t="s">
        <v>134</v>
      </c>
      <c r="CD216" t="s">
        <v>134</v>
      </c>
      <c r="CE216" t="s">
        <v>134</v>
      </c>
      <c r="CF216" t="s">
        <v>134</v>
      </c>
      <c r="CG216" t="s">
        <v>134</v>
      </c>
      <c r="CH216" t="s">
        <v>134</v>
      </c>
      <c r="CI216" t="s">
        <v>134</v>
      </c>
      <c r="CJ216" t="s">
        <v>134</v>
      </c>
      <c r="CK216" t="s">
        <v>134</v>
      </c>
      <c r="CL216" t="s">
        <v>134</v>
      </c>
      <c r="CM216" t="s">
        <v>134</v>
      </c>
      <c r="CN216" t="s">
        <v>134</v>
      </c>
      <c r="CO216" t="s">
        <v>134</v>
      </c>
      <c r="CP216" t="s">
        <v>134</v>
      </c>
      <c r="CQ216" t="s">
        <v>134</v>
      </c>
      <c r="CR216" t="s">
        <v>134</v>
      </c>
      <c r="CS216" t="s">
        <v>134</v>
      </c>
      <c r="CT216" t="s">
        <v>134</v>
      </c>
      <c r="CU216" t="s">
        <v>134</v>
      </c>
      <c r="CV216" t="s">
        <v>134</v>
      </c>
      <c r="CW216" t="s">
        <v>134</v>
      </c>
      <c r="CX216" t="s">
        <v>134</v>
      </c>
      <c r="CY216" t="s">
        <v>134</v>
      </c>
      <c r="CZ216" t="s">
        <v>134</v>
      </c>
      <c r="DA216" t="s">
        <v>134</v>
      </c>
      <c r="DB216" t="s">
        <v>134</v>
      </c>
      <c r="DC216" t="s">
        <v>134</v>
      </c>
      <c r="DD216" t="s">
        <v>134</v>
      </c>
      <c r="DE216" t="s">
        <v>134</v>
      </c>
      <c r="DF216" t="s">
        <v>134</v>
      </c>
      <c r="DG216" t="s">
        <v>134</v>
      </c>
      <c r="DH216" t="s">
        <v>134</v>
      </c>
      <c r="DI216" t="s">
        <v>134</v>
      </c>
    </row>
    <row r="217" spans="4:113" x14ac:dyDescent="0.3">
      <c r="E217" t="s">
        <v>81</v>
      </c>
      <c r="F217" t="s">
        <v>134</v>
      </c>
      <c r="G217" t="s">
        <v>134</v>
      </c>
      <c r="H217" t="s">
        <v>134</v>
      </c>
      <c r="I217" t="s">
        <v>134</v>
      </c>
      <c r="J217" t="s">
        <v>134</v>
      </c>
      <c r="K217" t="s">
        <v>134</v>
      </c>
      <c r="L217" t="s">
        <v>134</v>
      </c>
      <c r="M217" t="s">
        <v>134</v>
      </c>
      <c r="N217" t="s">
        <v>134</v>
      </c>
      <c r="O217" t="s">
        <v>134</v>
      </c>
      <c r="P217" t="s">
        <v>134</v>
      </c>
      <c r="Q217" t="s">
        <v>134</v>
      </c>
      <c r="R217" t="s">
        <v>134</v>
      </c>
      <c r="S217" t="s">
        <v>134</v>
      </c>
      <c r="T217" t="s">
        <v>134</v>
      </c>
      <c r="U217" t="s">
        <v>134</v>
      </c>
      <c r="V217" t="s">
        <v>134</v>
      </c>
      <c r="W217" t="s">
        <v>134</v>
      </c>
      <c r="X217" t="s">
        <v>134</v>
      </c>
      <c r="Y217" t="s">
        <v>134</v>
      </c>
      <c r="Z217" t="s">
        <v>134</v>
      </c>
      <c r="AA217" t="s">
        <v>134</v>
      </c>
      <c r="AB217" t="s">
        <v>134</v>
      </c>
      <c r="AC217" t="s">
        <v>134</v>
      </c>
      <c r="AD217" t="s">
        <v>134</v>
      </c>
      <c r="AE217" t="s">
        <v>134</v>
      </c>
      <c r="AF217" t="s">
        <v>134</v>
      </c>
      <c r="AG217" t="s">
        <v>134</v>
      </c>
      <c r="AH217" t="s">
        <v>134</v>
      </c>
      <c r="AI217" t="s">
        <v>134</v>
      </c>
      <c r="AJ217" t="s">
        <v>134</v>
      </c>
      <c r="AK217" t="s">
        <v>134</v>
      </c>
      <c r="AL217" t="s">
        <v>134</v>
      </c>
      <c r="AM217" t="s">
        <v>134</v>
      </c>
      <c r="AN217" t="s">
        <v>134</v>
      </c>
      <c r="AO217" t="s">
        <v>134</v>
      </c>
      <c r="AP217" t="s">
        <v>134</v>
      </c>
      <c r="AQ217" t="s">
        <v>134</v>
      </c>
      <c r="AR217" t="s">
        <v>134</v>
      </c>
      <c r="AS217" t="s">
        <v>134</v>
      </c>
      <c r="AT217" t="s">
        <v>134</v>
      </c>
      <c r="AU217" t="s">
        <v>134</v>
      </c>
      <c r="AV217" t="s">
        <v>134</v>
      </c>
      <c r="AW217" t="s">
        <v>134</v>
      </c>
      <c r="AX217" t="s">
        <v>134</v>
      </c>
      <c r="AY217" t="s">
        <v>134</v>
      </c>
      <c r="AZ217" t="s">
        <v>134</v>
      </c>
      <c r="BA217" t="s">
        <v>134</v>
      </c>
      <c r="BB217" t="s">
        <v>134</v>
      </c>
      <c r="BC217" t="s">
        <v>134</v>
      </c>
      <c r="BD217" t="s">
        <v>134</v>
      </c>
      <c r="BE217" t="s">
        <v>134</v>
      </c>
      <c r="BF217" t="s">
        <v>134</v>
      </c>
      <c r="BG217" t="s">
        <v>134</v>
      </c>
      <c r="BH217" t="s">
        <v>134</v>
      </c>
      <c r="BI217" t="s">
        <v>134</v>
      </c>
      <c r="BJ217" t="s">
        <v>134</v>
      </c>
      <c r="BK217" t="s">
        <v>134</v>
      </c>
      <c r="BL217" t="s">
        <v>134</v>
      </c>
      <c r="BM217" t="s">
        <v>134</v>
      </c>
      <c r="BN217" t="s">
        <v>134</v>
      </c>
      <c r="BO217" t="s">
        <v>134</v>
      </c>
      <c r="BP217" t="s">
        <v>134</v>
      </c>
      <c r="BQ217" t="s">
        <v>134</v>
      </c>
      <c r="BR217" t="s">
        <v>134</v>
      </c>
      <c r="BS217" t="s">
        <v>134</v>
      </c>
      <c r="BT217" t="s">
        <v>134</v>
      </c>
      <c r="BU217" t="s">
        <v>134</v>
      </c>
      <c r="BV217" t="s">
        <v>134</v>
      </c>
      <c r="BW217" t="s">
        <v>134</v>
      </c>
      <c r="BX217" t="s">
        <v>134</v>
      </c>
      <c r="BY217" t="s">
        <v>134</v>
      </c>
      <c r="BZ217" t="s">
        <v>134</v>
      </c>
      <c r="CA217" t="s">
        <v>134</v>
      </c>
      <c r="CB217" t="s">
        <v>134</v>
      </c>
      <c r="CC217" t="s">
        <v>134</v>
      </c>
      <c r="CD217" t="s">
        <v>134</v>
      </c>
      <c r="CE217" t="s">
        <v>134</v>
      </c>
      <c r="CF217" t="s">
        <v>134</v>
      </c>
      <c r="CG217" t="s">
        <v>134</v>
      </c>
      <c r="CH217" t="s">
        <v>134</v>
      </c>
      <c r="CI217" t="s">
        <v>134</v>
      </c>
      <c r="CJ217" t="s">
        <v>134</v>
      </c>
      <c r="CK217" t="s">
        <v>134</v>
      </c>
      <c r="CL217" t="s">
        <v>134</v>
      </c>
      <c r="CM217" t="s">
        <v>134</v>
      </c>
      <c r="CN217" t="s">
        <v>134</v>
      </c>
      <c r="CO217" t="s">
        <v>134</v>
      </c>
      <c r="CP217" t="s">
        <v>134</v>
      </c>
      <c r="CQ217" t="s">
        <v>134</v>
      </c>
      <c r="CR217" t="s">
        <v>134</v>
      </c>
      <c r="CS217" t="s">
        <v>134</v>
      </c>
      <c r="CT217" t="s">
        <v>134</v>
      </c>
      <c r="CU217" t="s">
        <v>134</v>
      </c>
      <c r="CV217" t="s">
        <v>134</v>
      </c>
      <c r="CW217" t="s">
        <v>134</v>
      </c>
      <c r="CX217" t="s">
        <v>134</v>
      </c>
      <c r="CY217" t="s">
        <v>134</v>
      </c>
      <c r="CZ217" t="s">
        <v>134</v>
      </c>
      <c r="DA217" t="s">
        <v>134</v>
      </c>
      <c r="DB217" t="s">
        <v>134</v>
      </c>
      <c r="DC217" t="s">
        <v>134</v>
      </c>
      <c r="DD217" t="s">
        <v>134</v>
      </c>
      <c r="DE217" t="s">
        <v>134</v>
      </c>
      <c r="DF217" t="s">
        <v>134</v>
      </c>
      <c r="DG217" t="s">
        <v>134</v>
      </c>
      <c r="DH217" t="s">
        <v>134</v>
      </c>
      <c r="DI217" t="s">
        <v>134</v>
      </c>
    </row>
    <row r="218" spans="4:113" x14ac:dyDescent="0.3">
      <c r="D218" t="s">
        <v>84</v>
      </c>
      <c r="E218" t="s">
        <v>77</v>
      </c>
      <c r="F218">
        <v>17.8565</v>
      </c>
      <c r="G218">
        <v>10.7295</v>
      </c>
      <c r="H218">
        <v>13.8268</v>
      </c>
      <c r="I218">
        <v>13.4321</v>
      </c>
      <c r="J218">
        <v>8.2622999999999998</v>
      </c>
      <c r="K218">
        <v>7.1859000000000002</v>
      </c>
      <c r="L218">
        <v>8.7081</v>
      </c>
      <c r="M218">
        <v>6.2915000000000001</v>
      </c>
      <c r="N218">
        <v>4.0320999999999998</v>
      </c>
      <c r="O218">
        <v>4.0316999999999998</v>
      </c>
      <c r="P218">
        <v>4.0316999999999998</v>
      </c>
      <c r="Q218">
        <v>35.911099999999998</v>
      </c>
      <c r="R218" t="s">
        <v>134</v>
      </c>
      <c r="S218" t="s">
        <v>134</v>
      </c>
      <c r="T218">
        <v>38.632899999999999</v>
      </c>
      <c r="U218">
        <v>47.855199999999996</v>
      </c>
      <c r="V218">
        <v>50.989400000000003</v>
      </c>
      <c r="W218">
        <v>49.517899999999997</v>
      </c>
      <c r="X218">
        <v>48.771900000000002</v>
      </c>
      <c r="Y218" t="s">
        <v>134</v>
      </c>
      <c r="Z218">
        <v>149.54429999999999</v>
      </c>
      <c r="AA218">
        <v>41.122500000000002</v>
      </c>
      <c r="AB218">
        <v>24.228400000000001</v>
      </c>
      <c r="AC218">
        <v>87.728999999999999</v>
      </c>
      <c r="AD218">
        <v>45.829700000000003</v>
      </c>
      <c r="AE218">
        <v>1071.3172</v>
      </c>
      <c r="AF218">
        <v>34.058100000000003</v>
      </c>
      <c r="AG218">
        <v>81.781899999999993</v>
      </c>
      <c r="AH218">
        <v>25.556899999999999</v>
      </c>
      <c r="AI218">
        <v>152.66890000000001</v>
      </c>
      <c r="AJ218">
        <v>96.796499999999995</v>
      </c>
      <c r="AK218">
        <v>127.35429999999999</v>
      </c>
      <c r="AL218">
        <v>-0.1386</v>
      </c>
      <c r="AM218" t="s">
        <v>134</v>
      </c>
      <c r="AN218" t="s">
        <v>134</v>
      </c>
      <c r="AO218" t="s">
        <v>134</v>
      </c>
      <c r="AP218" t="s">
        <v>134</v>
      </c>
      <c r="AQ218" t="s">
        <v>134</v>
      </c>
      <c r="AR218" t="s">
        <v>134</v>
      </c>
      <c r="AS218" t="s">
        <v>134</v>
      </c>
      <c r="AT218" t="s">
        <v>134</v>
      </c>
      <c r="AU218" t="s">
        <v>134</v>
      </c>
      <c r="AV218" t="s">
        <v>134</v>
      </c>
      <c r="AW218" t="s">
        <v>134</v>
      </c>
      <c r="AX218" t="s">
        <v>134</v>
      </c>
      <c r="AY218" t="s">
        <v>134</v>
      </c>
      <c r="AZ218" t="s">
        <v>134</v>
      </c>
      <c r="BA218" t="s">
        <v>134</v>
      </c>
      <c r="BB218" t="s">
        <v>134</v>
      </c>
      <c r="BC218" t="s">
        <v>134</v>
      </c>
      <c r="BD218" t="s">
        <v>134</v>
      </c>
      <c r="BE218" t="s">
        <v>134</v>
      </c>
      <c r="BF218">
        <v>38.632899999999999</v>
      </c>
      <c r="BG218">
        <v>47.855199999999996</v>
      </c>
      <c r="BH218">
        <v>50.989400000000003</v>
      </c>
      <c r="BI218">
        <v>49.517899999999997</v>
      </c>
      <c r="BJ218">
        <v>48.771900000000002</v>
      </c>
      <c r="BK218" t="s">
        <v>134</v>
      </c>
      <c r="BL218">
        <v>149.54429999999999</v>
      </c>
      <c r="BM218">
        <v>41.122500000000002</v>
      </c>
      <c r="BN218">
        <v>24.228400000000001</v>
      </c>
      <c r="BO218">
        <v>87.728999999999999</v>
      </c>
      <c r="BP218">
        <v>45.829700000000003</v>
      </c>
      <c r="BQ218">
        <v>1071.3172</v>
      </c>
      <c r="BR218">
        <v>34.058100000000003</v>
      </c>
      <c r="BS218">
        <v>81.781899999999993</v>
      </c>
      <c r="BT218">
        <v>25.556899999999999</v>
      </c>
      <c r="BU218">
        <v>152.66890000000001</v>
      </c>
      <c r="BV218">
        <v>96.796499999999995</v>
      </c>
      <c r="BW218">
        <v>127.35429999999999</v>
      </c>
      <c r="BX218">
        <v>-0.1386</v>
      </c>
      <c r="BY218">
        <v>14973.183999999999</v>
      </c>
      <c r="BZ218">
        <v>5163.9399999999996</v>
      </c>
      <c r="CA218">
        <v>9809.2440000000006</v>
      </c>
      <c r="CB218">
        <v>1.5261</v>
      </c>
      <c r="CC218">
        <v>-0.39750000000000002</v>
      </c>
      <c r="CD218">
        <v>1.7547000000000001</v>
      </c>
      <c r="CE218">
        <v>-0.45710000000000001</v>
      </c>
      <c r="CF218">
        <v>8.0725999999999996</v>
      </c>
      <c r="CG218">
        <v>65.9816</v>
      </c>
      <c r="CH218">
        <v>25.5321</v>
      </c>
      <c r="CI218">
        <v>18.372</v>
      </c>
      <c r="CJ218">
        <v>16.847100000000001</v>
      </c>
      <c r="CK218">
        <v>38.973100000000002</v>
      </c>
      <c r="CL218">
        <v>28.043600000000001</v>
      </c>
      <c r="CM218">
        <v>25.716000000000001</v>
      </c>
      <c r="CN218">
        <v>-10.151299999999999</v>
      </c>
      <c r="CO218">
        <v>-11.2982</v>
      </c>
      <c r="CP218">
        <v>9811.143</v>
      </c>
      <c r="CQ218">
        <v>3360.9879999999998</v>
      </c>
      <c r="CR218">
        <v>8532.9570000000003</v>
      </c>
      <c r="CS218">
        <v>1.9917</v>
      </c>
      <c r="CT218">
        <v>3.1434000000000002</v>
      </c>
      <c r="CU218">
        <v>2.0139</v>
      </c>
      <c r="CV218">
        <v>15.312799999999999</v>
      </c>
      <c r="CW218">
        <v>807.28160000000003</v>
      </c>
      <c r="CX218">
        <v>0.4521</v>
      </c>
      <c r="CY218">
        <v>12.79</v>
      </c>
      <c r="CZ218">
        <v>28.538</v>
      </c>
      <c r="DA218">
        <v>46.729599999999998</v>
      </c>
      <c r="DB218">
        <v>7.8109000000000002</v>
      </c>
      <c r="DC218">
        <v>21.179300000000001</v>
      </c>
      <c r="DD218">
        <v>28.990200000000002</v>
      </c>
      <c r="DE218">
        <v>9479.0310000000009</v>
      </c>
      <c r="DF218">
        <v>0</v>
      </c>
      <c r="DG218">
        <v>0</v>
      </c>
      <c r="DH218">
        <v>9465.1409999999996</v>
      </c>
      <c r="DI218">
        <v>13.89</v>
      </c>
    </row>
    <row r="219" spans="4:113" x14ac:dyDescent="0.3">
      <c r="E219" t="s">
        <v>78</v>
      </c>
      <c r="F219" t="s">
        <v>134</v>
      </c>
      <c r="G219" t="s">
        <v>134</v>
      </c>
      <c r="H219" t="s">
        <v>134</v>
      </c>
      <c r="I219" t="s">
        <v>134</v>
      </c>
      <c r="J219" t="s">
        <v>134</v>
      </c>
      <c r="K219" t="s">
        <v>134</v>
      </c>
      <c r="L219" t="s">
        <v>134</v>
      </c>
      <c r="M219" t="s">
        <v>134</v>
      </c>
      <c r="N219" t="s">
        <v>134</v>
      </c>
      <c r="O219" t="s">
        <v>134</v>
      </c>
      <c r="P219" t="s">
        <v>134</v>
      </c>
      <c r="Q219" t="s">
        <v>134</v>
      </c>
      <c r="R219" t="s">
        <v>134</v>
      </c>
      <c r="S219" t="s">
        <v>134</v>
      </c>
      <c r="T219" t="s">
        <v>134</v>
      </c>
      <c r="U219" t="s">
        <v>134</v>
      </c>
      <c r="V219" t="s">
        <v>134</v>
      </c>
      <c r="W219" t="s">
        <v>134</v>
      </c>
      <c r="X219" t="s">
        <v>134</v>
      </c>
      <c r="Y219" t="s">
        <v>134</v>
      </c>
      <c r="Z219" t="s">
        <v>134</v>
      </c>
      <c r="AA219" t="s">
        <v>134</v>
      </c>
      <c r="AB219" t="s">
        <v>134</v>
      </c>
      <c r="AC219" t="s">
        <v>134</v>
      </c>
      <c r="AD219" t="s">
        <v>134</v>
      </c>
      <c r="AE219" t="s">
        <v>134</v>
      </c>
      <c r="AF219" t="s">
        <v>134</v>
      </c>
      <c r="AG219" t="s">
        <v>134</v>
      </c>
      <c r="AH219" t="s">
        <v>134</v>
      </c>
      <c r="AI219" t="s">
        <v>134</v>
      </c>
      <c r="AJ219" t="s">
        <v>134</v>
      </c>
      <c r="AK219" t="s">
        <v>134</v>
      </c>
      <c r="AL219" t="s">
        <v>134</v>
      </c>
      <c r="AM219" t="s">
        <v>134</v>
      </c>
      <c r="AN219" t="s">
        <v>134</v>
      </c>
      <c r="AO219" t="s">
        <v>134</v>
      </c>
      <c r="AP219" t="s">
        <v>134</v>
      </c>
      <c r="AQ219" t="s">
        <v>134</v>
      </c>
      <c r="AR219" t="s">
        <v>134</v>
      </c>
      <c r="AS219" t="s">
        <v>134</v>
      </c>
      <c r="AT219" t="s">
        <v>134</v>
      </c>
      <c r="AU219" t="s">
        <v>134</v>
      </c>
      <c r="AV219" t="s">
        <v>134</v>
      </c>
      <c r="AW219" t="s">
        <v>134</v>
      </c>
      <c r="AX219" t="s">
        <v>134</v>
      </c>
      <c r="AY219" t="s">
        <v>134</v>
      </c>
      <c r="AZ219" t="s">
        <v>134</v>
      </c>
      <c r="BA219" t="s">
        <v>134</v>
      </c>
      <c r="BB219" t="s">
        <v>134</v>
      </c>
      <c r="BC219" t="s">
        <v>134</v>
      </c>
      <c r="BD219" t="s">
        <v>134</v>
      </c>
      <c r="BE219" t="s">
        <v>134</v>
      </c>
      <c r="BF219" t="s">
        <v>134</v>
      </c>
      <c r="BG219" t="s">
        <v>134</v>
      </c>
      <c r="BH219" t="s">
        <v>134</v>
      </c>
      <c r="BI219" t="s">
        <v>134</v>
      </c>
      <c r="BJ219" t="s">
        <v>134</v>
      </c>
      <c r="BK219" t="s">
        <v>134</v>
      </c>
      <c r="BL219" t="s">
        <v>134</v>
      </c>
      <c r="BM219" t="s">
        <v>134</v>
      </c>
      <c r="BN219" t="s">
        <v>134</v>
      </c>
      <c r="BO219" t="s">
        <v>134</v>
      </c>
      <c r="BP219" t="s">
        <v>134</v>
      </c>
      <c r="BQ219" t="s">
        <v>134</v>
      </c>
      <c r="BR219" t="s">
        <v>134</v>
      </c>
      <c r="BS219" t="s">
        <v>134</v>
      </c>
      <c r="BT219" t="s">
        <v>134</v>
      </c>
      <c r="BU219" t="s">
        <v>134</v>
      </c>
      <c r="BV219" t="s">
        <v>134</v>
      </c>
      <c r="BW219" t="s">
        <v>134</v>
      </c>
      <c r="BX219" t="s">
        <v>134</v>
      </c>
      <c r="BY219" t="s">
        <v>134</v>
      </c>
      <c r="BZ219" t="s">
        <v>134</v>
      </c>
      <c r="CA219" t="s">
        <v>134</v>
      </c>
      <c r="CB219" t="s">
        <v>134</v>
      </c>
      <c r="CC219" t="s">
        <v>134</v>
      </c>
      <c r="CD219" t="s">
        <v>134</v>
      </c>
      <c r="CE219" t="s">
        <v>134</v>
      </c>
      <c r="CF219" t="s">
        <v>134</v>
      </c>
      <c r="CG219" t="s">
        <v>134</v>
      </c>
      <c r="CH219" t="s">
        <v>134</v>
      </c>
      <c r="CI219" t="s">
        <v>134</v>
      </c>
      <c r="CJ219" t="s">
        <v>134</v>
      </c>
      <c r="CK219" t="s">
        <v>134</v>
      </c>
      <c r="CL219" t="s">
        <v>134</v>
      </c>
      <c r="CM219" t="s">
        <v>134</v>
      </c>
      <c r="CN219" t="s">
        <v>134</v>
      </c>
      <c r="CO219" t="s">
        <v>134</v>
      </c>
      <c r="CP219" t="s">
        <v>134</v>
      </c>
      <c r="CQ219" t="s">
        <v>134</v>
      </c>
      <c r="CR219" t="s">
        <v>134</v>
      </c>
      <c r="CS219" t="s">
        <v>134</v>
      </c>
      <c r="CT219" t="s">
        <v>134</v>
      </c>
      <c r="CU219" t="s">
        <v>134</v>
      </c>
      <c r="CV219" t="s">
        <v>134</v>
      </c>
      <c r="CW219" t="s">
        <v>134</v>
      </c>
      <c r="CX219" t="s">
        <v>134</v>
      </c>
      <c r="CY219" t="s">
        <v>134</v>
      </c>
      <c r="CZ219" t="s">
        <v>134</v>
      </c>
      <c r="DA219" t="s">
        <v>134</v>
      </c>
      <c r="DB219" t="s">
        <v>134</v>
      </c>
      <c r="DC219" t="s">
        <v>134</v>
      </c>
      <c r="DD219" t="s">
        <v>134</v>
      </c>
      <c r="DE219" t="s">
        <v>134</v>
      </c>
      <c r="DF219" t="s">
        <v>134</v>
      </c>
      <c r="DG219" t="s">
        <v>134</v>
      </c>
      <c r="DH219" t="s">
        <v>134</v>
      </c>
      <c r="DI219" t="s">
        <v>134</v>
      </c>
    </row>
    <row r="220" spans="4:113" x14ac:dyDescent="0.3">
      <c r="E220" t="s">
        <v>79</v>
      </c>
      <c r="F220" t="s">
        <v>134</v>
      </c>
      <c r="G220" t="s">
        <v>134</v>
      </c>
      <c r="H220" t="s">
        <v>134</v>
      </c>
      <c r="I220" t="s">
        <v>134</v>
      </c>
      <c r="J220" t="s">
        <v>134</v>
      </c>
      <c r="K220" t="s">
        <v>134</v>
      </c>
      <c r="L220" t="s">
        <v>134</v>
      </c>
      <c r="M220" t="s">
        <v>134</v>
      </c>
      <c r="N220" t="s">
        <v>134</v>
      </c>
      <c r="O220" t="s">
        <v>134</v>
      </c>
      <c r="P220" t="s">
        <v>134</v>
      </c>
      <c r="Q220" t="s">
        <v>134</v>
      </c>
      <c r="R220" t="s">
        <v>134</v>
      </c>
      <c r="S220" t="s">
        <v>134</v>
      </c>
      <c r="T220" t="s">
        <v>134</v>
      </c>
      <c r="U220" t="s">
        <v>134</v>
      </c>
      <c r="V220" t="s">
        <v>134</v>
      </c>
      <c r="W220" t="s">
        <v>134</v>
      </c>
      <c r="X220" t="s">
        <v>134</v>
      </c>
      <c r="Y220" t="s">
        <v>134</v>
      </c>
      <c r="Z220" t="s">
        <v>134</v>
      </c>
      <c r="AA220" t="s">
        <v>134</v>
      </c>
      <c r="AB220" t="s">
        <v>134</v>
      </c>
      <c r="AC220" t="s">
        <v>134</v>
      </c>
      <c r="AD220" t="s">
        <v>134</v>
      </c>
      <c r="AE220" t="s">
        <v>134</v>
      </c>
      <c r="AF220" t="s">
        <v>134</v>
      </c>
      <c r="AG220" t="s">
        <v>134</v>
      </c>
      <c r="AH220" t="s">
        <v>134</v>
      </c>
      <c r="AI220" t="s">
        <v>134</v>
      </c>
      <c r="AJ220" t="s">
        <v>134</v>
      </c>
      <c r="AK220" t="s">
        <v>134</v>
      </c>
      <c r="AL220" t="s">
        <v>134</v>
      </c>
      <c r="AM220" t="s">
        <v>134</v>
      </c>
      <c r="AN220" t="s">
        <v>134</v>
      </c>
      <c r="AO220" t="s">
        <v>134</v>
      </c>
      <c r="AP220" t="s">
        <v>134</v>
      </c>
      <c r="AQ220" t="s">
        <v>134</v>
      </c>
      <c r="AR220" t="s">
        <v>134</v>
      </c>
      <c r="AS220" t="s">
        <v>134</v>
      </c>
      <c r="AT220" t="s">
        <v>134</v>
      </c>
      <c r="AU220" t="s">
        <v>134</v>
      </c>
      <c r="AV220" t="s">
        <v>134</v>
      </c>
      <c r="AW220" t="s">
        <v>134</v>
      </c>
      <c r="AX220" t="s">
        <v>134</v>
      </c>
      <c r="AY220" t="s">
        <v>134</v>
      </c>
      <c r="AZ220" t="s">
        <v>134</v>
      </c>
      <c r="BA220" t="s">
        <v>134</v>
      </c>
      <c r="BB220" t="s">
        <v>134</v>
      </c>
      <c r="BC220" t="s">
        <v>134</v>
      </c>
      <c r="BD220" t="s">
        <v>134</v>
      </c>
      <c r="BE220" t="s">
        <v>134</v>
      </c>
      <c r="BF220" t="s">
        <v>134</v>
      </c>
      <c r="BG220" t="s">
        <v>134</v>
      </c>
      <c r="BH220" t="s">
        <v>134</v>
      </c>
      <c r="BI220" t="s">
        <v>134</v>
      </c>
      <c r="BJ220" t="s">
        <v>134</v>
      </c>
      <c r="BK220" t="s">
        <v>134</v>
      </c>
      <c r="BL220" t="s">
        <v>134</v>
      </c>
      <c r="BM220" t="s">
        <v>134</v>
      </c>
      <c r="BN220" t="s">
        <v>134</v>
      </c>
      <c r="BO220" t="s">
        <v>134</v>
      </c>
      <c r="BP220" t="s">
        <v>134</v>
      </c>
      <c r="BQ220" t="s">
        <v>134</v>
      </c>
      <c r="BR220" t="s">
        <v>134</v>
      </c>
      <c r="BS220" t="s">
        <v>134</v>
      </c>
      <c r="BT220" t="s">
        <v>134</v>
      </c>
      <c r="BU220" t="s">
        <v>134</v>
      </c>
      <c r="BV220" t="s">
        <v>134</v>
      </c>
      <c r="BW220" t="s">
        <v>134</v>
      </c>
      <c r="BX220" t="s">
        <v>134</v>
      </c>
      <c r="BY220" t="s">
        <v>134</v>
      </c>
      <c r="BZ220" t="s">
        <v>134</v>
      </c>
      <c r="CA220" t="s">
        <v>134</v>
      </c>
      <c r="CB220" t="s">
        <v>134</v>
      </c>
      <c r="CC220" t="s">
        <v>134</v>
      </c>
      <c r="CD220" t="s">
        <v>134</v>
      </c>
      <c r="CE220" t="s">
        <v>134</v>
      </c>
      <c r="CF220" t="s">
        <v>134</v>
      </c>
      <c r="CG220" t="s">
        <v>134</v>
      </c>
      <c r="CH220" t="s">
        <v>134</v>
      </c>
      <c r="CI220" t="s">
        <v>134</v>
      </c>
      <c r="CJ220" t="s">
        <v>134</v>
      </c>
      <c r="CK220" t="s">
        <v>134</v>
      </c>
      <c r="CL220" t="s">
        <v>134</v>
      </c>
      <c r="CM220" t="s">
        <v>134</v>
      </c>
      <c r="CN220" t="s">
        <v>134</v>
      </c>
      <c r="CO220" t="s">
        <v>134</v>
      </c>
      <c r="CP220" t="s">
        <v>134</v>
      </c>
      <c r="CQ220" t="s">
        <v>134</v>
      </c>
      <c r="CR220" t="s">
        <v>134</v>
      </c>
      <c r="CS220" t="s">
        <v>134</v>
      </c>
      <c r="CT220" t="s">
        <v>134</v>
      </c>
      <c r="CU220" t="s">
        <v>134</v>
      </c>
      <c r="CV220" t="s">
        <v>134</v>
      </c>
      <c r="CW220" t="s">
        <v>134</v>
      </c>
      <c r="CX220" t="s">
        <v>134</v>
      </c>
      <c r="CY220" t="s">
        <v>134</v>
      </c>
      <c r="CZ220" t="s">
        <v>134</v>
      </c>
      <c r="DA220" t="s">
        <v>134</v>
      </c>
      <c r="DB220" t="s">
        <v>134</v>
      </c>
      <c r="DC220" t="s">
        <v>134</v>
      </c>
      <c r="DD220" t="s">
        <v>134</v>
      </c>
      <c r="DE220" t="s">
        <v>134</v>
      </c>
      <c r="DF220" t="s">
        <v>134</v>
      </c>
      <c r="DG220" t="s">
        <v>134</v>
      </c>
      <c r="DH220" t="s">
        <v>134</v>
      </c>
      <c r="DI220" t="s">
        <v>134</v>
      </c>
    </row>
    <row r="221" spans="4:113" x14ac:dyDescent="0.3">
      <c r="E221" t="s">
        <v>80</v>
      </c>
      <c r="F221" t="s">
        <v>134</v>
      </c>
      <c r="G221" t="s">
        <v>134</v>
      </c>
      <c r="H221" t="s">
        <v>134</v>
      </c>
      <c r="I221" t="s">
        <v>134</v>
      </c>
      <c r="J221" t="s">
        <v>134</v>
      </c>
      <c r="K221" t="s">
        <v>134</v>
      </c>
      <c r="L221" t="s">
        <v>134</v>
      </c>
      <c r="M221" t="s">
        <v>134</v>
      </c>
      <c r="N221" t="s">
        <v>134</v>
      </c>
      <c r="O221" t="s">
        <v>134</v>
      </c>
      <c r="P221" t="s">
        <v>134</v>
      </c>
      <c r="Q221" t="s">
        <v>134</v>
      </c>
      <c r="R221" t="s">
        <v>134</v>
      </c>
      <c r="S221" t="s">
        <v>134</v>
      </c>
      <c r="T221" t="s">
        <v>134</v>
      </c>
      <c r="U221" t="s">
        <v>134</v>
      </c>
      <c r="V221" t="s">
        <v>134</v>
      </c>
      <c r="W221" t="s">
        <v>134</v>
      </c>
      <c r="X221" t="s">
        <v>134</v>
      </c>
      <c r="Y221" t="s">
        <v>134</v>
      </c>
      <c r="Z221" t="s">
        <v>134</v>
      </c>
      <c r="AA221" t="s">
        <v>134</v>
      </c>
      <c r="AB221" t="s">
        <v>134</v>
      </c>
      <c r="AC221" t="s">
        <v>134</v>
      </c>
      <c r="AD221" t="s">
        <v>134</v>
      </c>
      <c r="AE221" t="s">
        <v>134</v>
      </c>
      <c r="AF221" t="s">
        <v>134</v>
      </c>
      <c r="AG221" t="s">
        <v>134</v>
      </c>
      <c r="AH221" t="s">
        <v>134</v>
      </c>
      <c r="AI221" t="s">
        <v>134</v>
      </c>
      <c r="AJ221" t="s">
        <v>134</v>
      </c>
      <c r="AK221" t="s">
        <v>134</v>
      </c>
      <c r="AL221" t="s">
        <v>134</v>
      </c>
      <c r="AM221" t="s">
        <v>134</v>
      </c>
      <c r="AN221" t="s">
        <v>134</v>
      </c>
      <c r="AO221" t="s">
        <v>134</v>
      </c>
      <c r="AP221" t="s">
        <v>134</v>
      </c>
      <c r="AQ221" t="s">
        <v>134</v>
      </c>
      <c r="AR221" t="s">
        <v>134</v>
      </c>
      <c r="AS221" t="s">
        <v>134</v>
      </c>
      <c r="AT221" t="s">
        <v>134</v>
      </c>
      <c r="AU221" t="s">
        <v>134</v>
      </c>
      <c r="AV221" t="s">
        <v>134</v>
      </c>
      <c r="AW221" t="s">
        <v>134</v>
      </c>
      <c r="AX221" t="s">
        <v>134</v>
      </c>
      <c r="AY221" t="s">
        <v>134</v>
      </c>
      <c r="AZ221" t="s">
        <v>134</v>
      </c>
      <c r="BA221" t="s">
        <v>134</v>
      </c>
      <c r="BB221" t="s">
        <v>134</v>
      </c>
      <c r="BC221" t="s">
        <v>134</v>
      </c>
      <c r="BD221" t="s">
        <v>134</v>
      </c>
      <c r="BE221" t="s">
        <v>134</v>
      </c>
      <c r="BF221" t="s">
        <v>134</v>
      </c>
      <c r="BG221" t="s">
        <v>134</v>
      </c>
      <c r="BH221" t="s">
        <v>134</v>
      </c>
      <c r="BI221" t="s">
        <v>134</v>
      </c>
      <c r="BJ221" t="s">
        <v>134</v>
      </c>
      <c r="BK221" t="s">
        <v>134</v>
      </c>
      <c r="BL221" t="s">
        <v>134</v>
      </c>
      <c r="BM221" t="s">
        <v>134</v>
      </c>
      <c r="BN221" t="s">
        <v>134</v>
      </c>
      <c r="BO221" t="s">
        <v>134</v>
      </c>
      <c r="BP221" t="s">
        <v>134</v>
      </c>
      <c r="BQ221" t="s">
        <v>134</v>
      </c>
      <c r="BR221" t="s">
        <v>134</v>
      </c>
      <c r="BS221" t="s">
        <v>134</v>
      </c>
      <c r="BT221" t="s">
        <v>134</v>
      </c>
      <c r="BU221" t="s">
        <v>134</v>
      </c>
      <c r="BV221" t="s">
        <v>134</v>
      </c>
      <c r="BW221" t="s">
        <v>134</v>
      </c>
      <c r="BX221" t="s">
        <v>134</v>
      </c>
      <c r="BY221" t="s">
        <v>134</v>
      </c>
      <c r="BZ221" t="s">
        <v>134</v>
      </c>
      <c r="CA221" t="s">
        <v>134</v>
      </c>
      <c r="CB221" t="s">
        <v>134</v>
      </c>
      <c r="CC221" t="s">
        <v>134</v>
      </c>
      <c r="CD221" t="s">
        <v>134</v>
      </c>
      <c r="CE221" t="s">
        <v>134</v>
      </c>
      <c r="CF221" t="s">
        <v>134</v>
      </c>
      <c r="CG221" t="s">
        <v>134</v>
      </c>
      <c r="CH221" t="s">
        <v>134</v>
      </c>
      <c r="CI221" t="s">
        <v>134</v>
      </c>
      <c r="CJ221" t="s">
        <v>134</v>
      </c>
      <c r="CK221" t="s">
        <v>134</v>
      </c>
      <c r="CL221" t="s">
        <v>134</v>
      </c>
      <c r="CM221" t="s">
        <v>134</v>
      </c>
      <c r="CN221" t="s">
        <v>134</v>
      </c>
      <c r="CO221" t="s">
        <v>134</v>
      </c>
      <c r="CP221" t="s">
        <v>134</v>
      </c>
      <c r="CQ221" t="s">
        <v>134</v>
      </c>
      <c r="CR221" t="s">
        <v>134</v>
      </c>
      <c r="CS221" t="s">
        <v>134</v>
      </c>
      <c r="CT221" t="s">
        <v>134</v>
      </c>
      <c r="CU221" t="s">
        <v>134</v>
      </c>
      <c r="CV221" t="s">
        <v>134</v>
      </c>
      <c r="CW221" t="s">
        <v>134</v>
      </c>
      <c r="CX221" t="s">
        <v>134</v>
      </c>
      <c r="CY221" t="s">
        <v>134</v>
      </c>
      <c r="CZ221" t="s">
        <v>134</v>
      </c>
      <c r="DA221" t="s">
        <v>134</v>
      </c>
      <c r="DB221" t="s">
        <v>134</v>
      </c>
      <c r="DC221" t="s">
        <v>134</v>
      </c>
      <c r="DD221" t="s">
        <v>134</v>
      </c>
      <c r="DE221" t="s">
        <v>134</v>
      </c>
      <c r="DF221" t="s">
        <v>134</v>
      </c>
      <c r="DG221" t="s">
        <v>134</v>
      </c>
      <c r="DH221" t="s">
        <v>134</v>
      </c>
      <c r="DI221" t="s">
        <v>134</v>
      </c>
    </row>
    <row r="222" spans="4:113" x14ac:dyDescent="0.3">
      <c r="E222" t="s">
        <v>81</v>
      </c>
      <c r="F222" t="s">
        <v>134</v>
      </c>
      <c r="G222" t="s">
        <v>134</v>
      </c>
      <c r="H222" t="s">
        <v>134</v>
      </c>
      <c r="I222" t="s">
        <v>134</v>
      </c>
      <c r="J222" t="s">
        <v>134</v>
      </c>
      <c r="K222" t="s">
        <v>134</v>
      </c>
      <c r="L222" t="s">
        <v>134</v>
      </c>
      <c r="M222" t="s">
        <v>134</v>
      </c>
      <c r="N222" t="s">
        <v>134</v>
      </c>
      <c r="O222" t="s">
        <v>134</v>
      </c>
      <c r="P222" t="s">
        <v>134</v>
      </c>
      <c r="Q222" t="s">
        <v>134</v>
      </c>
      <c r="R222" t="s">
        <v>134</v>
      </c>
      <c r="S222" t="s">
        <v>134</v>
      </c>
      <c r="T222" t="s">
        <v>134</v>
      </c>
      <c r="U222" t="s">
        <v>134</v>
      </c>
      <c r="V222" t="s">
        <v>134</v>
      </c>
      <c r="W222" t="s">
        <v>134</v>
      </c>
      <c r="X222" t="s">
        <v>134</v>
      </c>
      <c r="Y222" t="s">
        <v>134</v>
      </c>
      <c r="Z222" t="s">
        <v>134</v>
      </c>
      <c r="AA222" t="s">
        <v>134</v>
      </c>
      <c r="AB222" t="s">
        <v>134</v>
      </c>
      <c r="AC222" t="s">
        <v>134</v>
      </c>
      <c r="AD222" t="s">
        <v>134</v>
      </c>
      <c r="AE222" t="s">
        <v>134</v>
      </c>
      <c r="AF222" t="s">
        <v>134</v>
      </c>
      <c r="AG222" t="s">
        <v>134</v>
      </c>
      <c r="AH222" t="s">
        <v>134</v>
      </c>
      <c r="AI222" t="s">
        <v>134</v>
      </c>
      <c r="AJ222" t="s">
        <v>134</v>
      </c>
      <c r="AK222" t="s">
        <v>134</v>
      </c>
      <c r="AL222" t="s">
        <v>134</v>
      </c>
      <c r="AM222" t="s">
        <v>134</v>
      </c>
      <c r="AN222" t="s">
        <v>134</v>
      </c>
      <c r="AO222" t="s">
        <v>134</v>
      </c>
      <c r="AP222" t="s">
        <v>134</v>
      </c>
      <c r="AQ222" t="s">
        <v>134</v>
      </c>
      <c r="AR222" t="s">
        <v>134</v>
      </c>
      <c r="AS222" t="s">
        <v>134</v>
      </c>
      <c r="AT222" t="s">
        <v>134</v>
      </c>
      <c r="AU222" t="s">
        <v>134</v>
      </c>
      <c r="AV222" t="s">
        <v>134</v>
      </c>
      <c r="AW222" t="s">
        <v>134</v>
      </c>
      <c r="AX222" t="s">
        <v>134</v>
      </c>
      <c r="AY222" t="s">
        <v>134</v>
      </c>
      <c r="AZ222" t="s">
        <v>134</v>
      </c>
      <c r="BA222" t="s">
        <v>134</v>
      </c>
      <c r="BB222" t="s">
        <v>134</v>
      </c>
      <c r="BC222" t="s">
        <v>134</v>
      </c>
      <c r="BD222" t="s">
        <v>134</v>
      </c>
      <c r="BE222" t="s">
        <v>134</v>
      </c>
      <c r="BF222" t="s">
        <v>134</v>
      </c>
      <c r="BG222" t="s">
        <v>134</v>
      </c>
      <c r="BH222" t="s">
        <v>134</v>
      </c>
      <c r="BI222" t="s">
        <v>134</v>
      </c>
      <c r="BJ222" t="s">
        <v>134</v>
      </c>
      <c r="BK222" t="s">
        <v>134</v>
      </c>
      <c r="BL222" t="s">
        <v>134</v>
      </c>
      <c r="BM222" t="s">
        <v>134</v>
      </c>
      <c r="BN222" t="s">
        <v>134</v>
      </c>
      <c r="BO222" t="s">
        <v>134</v>
      </c>
      <c r="BP222" t="s">
        <v>134</v>
      </c>
      <c r="BQ222" t="s">
        <v>134</v>
      </c>
      <c r="BR222" t="s">
        <v>134</v>
      </c>
      <c r="BS222" t="s">
        <v>134</v>
      </c>
      <c r="BT222" t="s">
        <v>134</v>
      </c>
      <c r="BU222" t="s">
        <v>134</v>
      </c>
      <c r="BV222" t="s">
        <v>134</v>
      </c>
      <c r="BW222" t="s">
        <v>134</v>
      </c>
      <c r="BX222" t="s">
        <v>134</v>
      </c>
      <c r="BY222" t="s">
        <v>134</v>
      </c>
      <c r="BZ222" t="s">
        <v>134</v>
      </c>
      <c r="CA222" t="s">
        <v>134</v>
      </c>
      <c r="CB222" t="s">
        <v>134</v>
      </c>
      <c r="CC222" t="s">
        <v>134</v>
      </c>
      <c r="CD222" t="s">
        <v>134</v>
      </c>
      <c r="CE222" t="s">
        <v>134</v>
      </c>
      <c r="CF222" t="s">
        <v>134</v>
      </c>
      <c r="CG222" t="s">
        <v>134</v>
      </c>
      <c r="CH222" t="s">
        <v>134</v>
      </c>
      <c r="CI222" t="s">
        <v>134</v>
      </c>
      <c r="CJ222" t="s">
        <v>134</v>
      </c>
      <c r="CK222" t="s">
        <v>134</v>
      </c>
      <c r="CL222" t="s">
        <v>134</v>
      </c>
      <c r="CM222" t="s">
        <v>134</v>
      </c>
      <c r="CN222" t="s">
        <v>134</v>
      </c>
      <c r="CO222" t="s">
        <v>134</v>
      </c>
      <c r="CP222" t="s">
        <v>134</v>
      </c>
      <c r="CQ222" t="s">
        <v>134</v>
      </c>
      <c r="CR222" t="s">
        <v>134</v>
      </c>
      <c r="CS222" t="s">
        <v>134</v>
      </c>
      <c r="CT222" t="s">
        <v>134</v>
      </c>
      <c r="CU222" t="s">
        <v>134</v>
      </c>
      <c r="CV222" t="s">
        <v>134</v>
      </c>
      <c r="CW222" t="s">
        <v>134</v>
      </c>
      <c r="CX222" t="s">
        <v>134</v>
      </c>
      <c r="CY222" t="s">
        <v>134</v>
      </c>
      <c r="CZ222" t="s">
        <v>134</v>
      </c>
      <c r="DA222" t="s">
        <v>134</v>
      </c>
      <c r="DB222" t="s">
        <v>134</v>
      </c>
      <c r="DC222" t="s">
        <v>134</v>
      </c>
      <c r="DD222" t="s">
        <v>134</v>
      </c>
      <c r="DE222" t="s">
        <v>134</v>
      </c>
      <c r="DF222" t="s">
        <v>134</v>
      </c>
      <c r="DG222" t="s">
        <v>134</v>
      </c>
      <c r="DH222" t="s">
        <v>134</v>
      </c>
      <c r="DI222" t="s">
        <v>134</v>
      </c>
    </row>
    <row r="223" spans="4:113" x14ac:dyDescent="0.3">
      <c r="D223" t="s">
        <v>85</v>
      </c>
      <c r="E223" t="s">
        <v>77</v>
      </c>
      <c r="F223">
        <v>18.9465</v>
      </c>
      <c r="G223">
        <v>14.057399999999999</v>
      </c>
      <c r="H223">
        <v>16.140999999999998</v>
      </c>
      <c r="I223">
        <v>14.940300000000001</v>
      </c>
      <c r="J223">
        <v>9.02</v>
      </c>
      <c r="K223">
        <v>7.9599000000000002</v>
      </c>
      <c r="L223">
        <v>10.9023</v>
      </c>
      <c r="M223">
        <v>8.1481999999999992</v>
      </c>
      <c r="N223">
        <v>5.3758999999999997</v>
      </c>
      <c r="O223">
        <v>5.3757000000000001</v>
      </c>
      <c r="P223">
        <v>5.3757000000000001</v>
      </c>
      <c r="Q223">
        <v>34.023699999999998</v>
      </c>
      <c r="R223">
        <v>0</v>
      </c>
      <c r="S223">
        <v>18.9465</v>
      </c>
      <c r="T223">
        <v>26.3035</v>
      </c>
      <c r="U223">
        <v>37.8857</v>
      </c>
      <c r="V223">
        <v>39.906999999999996</v>
      </c>
      <c r="W223">
        <v>68.406999999999996</v>
      </c>
      <c r="X223">
        <v>50.471699999999998</v>
      </c>
      <c r="Y223" t="s">
        <v>134</v>
      </c>
      <c r="Z223">
        <v>59.563699999999997</v>
      </c>
      <c r="AA223">
        <v>22.739000000000001</v>
      </c>
      <c r="AB223">
        <v>26.930700000000002</v>
      </c>
      <c r="AC223">
        <v>-2.9908000000000001</v>
      </c>
      <c r="AD223">
        <v>24.203299999999999</v>
      </c>
      <c r="AE223">
        <v>-36.671199999999999</v>
      </c>
      <c r="AF223">
        <v>21.727399999999999</v>
      </c>
      <c r="AG223">
        <v>-62.568600000000004</v>
      </c>
      <c r="AH223">
        <v>-70.661299999999997</v>
      </c>
      <c r="AI223">
        <v>21.5457</v>
      </c>
      <c r="AJ223">
        <v>-4.3125</v>
      </c>
      <c r="AK223">
        <v>21.5335</v>
      </c>
      <c r="AL223">
        <v>93.751099999999994</v>
      </c>
      <c r="AM223">
        <v>35.095399999999998</v>
      </c>
      <c r="AN223">
        <v>44.462899999999998</v>
      </c>
      <c r="AO223">
        <v>47.807299999999998</v>
      </c>
      <c r="AP223">
        <v>53.745600000000003</v>
      </c>
      <c r="AQ223">
        <v>48.956800000000001</v>
      </c>
      <c r="AR223" t="s">
        <v>134</v>
      </c>
      <c r="AS223">
        <v>20.323</v>
      </c>
      <c r="AT223">
        <v>33.320399999999999</v>
      </c>
      <c r="AU223">
        <v>26.912199999999999</v>
      </c>
      <c r="AV223">
        <v>30.504799999999999</v>
      </c>
      <c r="AW223">
        <v>35.1447</v>
      </c>
      <c r="AX223">
        <v>72.928899999999999</v>
      </c>
      <c r="AY223">
        <v>27.442299999999999</v>
      </c>
      <c r="AZ223">
        <v>4.3833000000000002</v>
      </c>
      <c r="BA223">
        <v>-3.5803000000000003</v>
      </c>
      <c r="BB223">
        <v>42.675800000000002</v>
      </c>
      <c r="BC223">
        <v>31.1449</v>
      </c>
      <c r="BD223">
        <v>38.82</v>
      </c>
      <c r="BE223">
        <v>51.879399999999997</v>
      </c>
      <c r="BF223">
        <v>26.3035</v>
      </c>
      <c r="BG223">
        <v>37.8857</v>
      </c>
      <c r="BH223">
        <v>39.906999999999996</v>
      </c>
      <c r="BI223">
        <v>68.406999999999996</v>
      </c>
      <c r="BJ223">
        <v>50.471699999999998</v>
      </c>
      <c r="BK223" t="s">
        <v>134</v>
      </c>
      <c r="BL223">
        <v>59.563699999999997</v>
      </c>
      <c r="BM223">
        <v>22.739000000000001</v>
      </c>
      <c r="BN223">
        <v>26.930700000000002</v>
      </c>
      <c r="BO223">
        <v>-2.9908000000000001</v>
      </c>
      <c r="BP223">
        <v>24.203299999999999</v>
      </c>
      <c r="BQ223">
        <v>-36.671199999999999</v>
      </c>
      <c r="BR223">
        <v>21.727399999999999</v>
      </c>
      <c r="BS223">
        <v>-62.568600000000004</v>
      </c>
      <c r="BT223">
        <v>-70.661299999999997</v>
      </c>
      <c r="BU223">
        <v>21.5457</v>
      </c>
      <c r="BV223">
        <v>-4.3125</v>
      </c>
      <c r="BW223">
        <v>21.5335</v>
      </c>
      <c r="BX223">
        <v>93.751099999999994</v>
      </c>
      <c r="BY223">
        <v>4392.9369999999999</v>
      </c>
      <c r="BZ223">
        <v>1932.9369999999999</v>
      </c>
      <c r="CA223">
        <v>2460</v>
      </c>
      <c r="CB223">
        <v>0.32469999999999999</v>
      </c>
      <c r="CC223">
        <v>-0.13900000000000001</v>
      </c>
      <c r="CD223">
        <v>0.36799999999999999</v>
      </c>
      <c r="CE223">
        <v>-0.1575</v>
      </c>
      <c r="CF223">
        <v>24.1555</v>
      </c>
      <c r="CG223">
        <v>82.662000000000006</v>
      </c>
      <c r="CH223">
        <v>5.2679999999999998</v>
      </c>
      <c r="CI223">
        <v>4.8149999999999995</v>
      </c>
      <c r="CJ223">
        <v>4.3552</v>
      </c>
      <c r="CK223">
        <v>9.4072999999999993</v>
      </c>
      <c r="CL223">
        <v>8.5983999999999998</v>
      </c>
      <c r="CM223">
        <v>7.7774000000000001</v>
      </c>
      <c r="CN223">
        <v>-4.0271999999999997</v>
      </c>
      <c r="CO223">
        <v>-4.1962000000000002</v>
      </c>
      <c r="CP223">
        <v>13528.166999999999</v>
      </c>
      <c r="CQ223">
        <v>4371.915</v>
      </c>
      <c r="CR223">
        <v>11938.206</v>
      </c>
      <c r="CS223">
        <v>0.91449999999999998</v>
      </c>
      <c r="CT223">
        <v>2.875</v>
      </c>
      <c r="CU223">
        <v>0.96340000000000003</v>
      </c>
      <c r="CV223">
        <v>54.921999999999997</v>
      </c>
      <c r="CW223">
        <v>550.23860000000002</v>
      </c>
      <c r="CX223">
        <v>0.6633</v>
      </c>
      <c r="CY223">
        <v>12.1694</v>
      </c>
      <c r="CZ223">
        <v>29.993200000000002</v>
      </c>
      <c r="DA223">
        <v>45.201700000000002</v>
      </c>
      <c r="DB223">
        <v>8.0748999999999995</v>
      </c>
      <c r="DC223">
        <v>22.581600000000002</v>
      </c>
      <c r="DD223">
        <v>30.656600000000001</v>
      </c>
      <c r="DE223">
        <v>11634.468000000001</v>
      </c>
      <c r="DF223">
        <v>0</v>
      </c>
      <c r="DG223">
        <v>0</v>
      </c>
      <c r="DH223">
        <v>11612.784</v>
      </c>
      <c r="DI223">
        <v>21.684000000000001</v>
      </c>
    </row>
    <row r="224" spans="4:113" x14ac:dyDescent="0.3">
      <c r="E224" t="s">
        <v>78</v>
      </c>
      <c r="F224" t="s">
        <v>134</v>
      </c>
      <c r="G224" t="s">
        <v>134</v>
      </c>
      <c r="H224" t="s">
        <v>134</v>
      </c>
      <c r="I224" t="s">
        <v>134</v>
      </c>
      <c r="J224" t="s">
        <v>134</v>
      </c>
      <c r="K224" t="s">
        <v>134</v>
      </c>
      <c r="L224" t="s">
        <v>134</v>
      </c>
      <c r="M224" t="s">
        <v>134</v>
      </c>
      <c r="N224" t="s">
        <v>134</v>
      </c>
      <c r="O224" t="s">
        <v>134</v>
      </c>
      <c r="P224" t="s">
        <v>134</v>
      </c>
      <c r="Q224" t="s">
        <v>134</v>
      </c>
      <c r="R224" t="s">
        <v>134</v>
      </c>
      <c r="S224" t="s">
        <v>134</v>
      </c>
      <c r="T224" t="s">
        <v>134</v>
      </c>
      <c r="U224" t="s">
        <v>134</v>
      </c>
      <c r="V224" t="s">
        <v>134</v>
      </c>
      <c r="W224" t="s">
        <v>134</v>
      </c>
      <c r="X224" t="s">
        <v>134</v>
      </c>
      <c r="Y224" t="s">
        <v>134</v>
      </c>
      <c r="Z224" t="s">
        <v>134</v>
      </c>
      <c r="AA224" t="s">
        <v>134</v>
      </c>
      <c r="AB224" t="s">
        <v>134</v>
      </c>
      <c r="AC224" t="s">
        <v>134</v>
      </c>
      <c r="AD224" t="s">
        <v>134</v>
      </c>
      <c r="AE224" t="s">
        <v>134</v>
      </c>
      <c r="AF224" t="s">
        <v>134</v>
      </c>
      <c r="AG224" t="s">
        <v>134</v>
      </c>
      <c r="AH224" t="s">
        <v>134</v>
      </c>
      <c r="AI224" t="s">
        <v>134</v>
      </c>
      <c r="AJ224" t="s">
        <v>134</v>
      </c>
      <c r="AK224" t="s">
        <v>134</v>
      </c>
      <c r="AL224" t="s">
        <v>134</v>
      </c>
      <c r="AM224" t="s">
        <v>134</v>
      </c>
      <c r="AN224" t="s">
        <v>134</v>
      </c>
      <c r="AO224" t="s">
        <v>134</v>
      </c>
      <c r="AP224" t="s">
        <v>134</v>
      </c>
      <c r="AQ224" t="s">
        <v>134</v>
      </c>
      <c r="AR224" t="s">
        <v>134</v>
      </c>
      <c r="AS224" t="s">
        <v>134</v>
      </c>
      <c r="AT224" t="s">
        <v>134</v>
      </c>
      <c r="AU224" t="s">
        <v>134</v>
      </c>
      <c r="AV224" t="s">
        <v>134</v>
      </c>
      <c r="AW224" t="s">
        <v>134</v>
      </c>
      <c r="AX224" t="s">
        <v>134</v>
      </c>
      <c r="AY224" t="s">
        <v>134</v>
      </c>
      <c r="AZ224" t="s">
        <v>134</v>
      </c>
      <c r="BA224" t="s">
        <v>134</v>
      </c>
      <c r="BB224" t="s">
        <v>134</v>
      </c>
      <c r="BC224" t="s">
        <v>134</v>
      </c>
      <c r="BD224" t="s">
        <v>134</v>
      </c>
      <c r="BE224" t="s">
        <v>134</v>
      </c>
      <c r="BF224" t="s">
        <v>134</v>
      </c>
      <c r="BG224" t="s">
        <v>134</v>
      </c>
      <c r="BH224" t="s">
        <v>134</v>
      </c>
      <c r="BI224" t="s">
        <v>134</v>
      </c>
      <c r="BJ224" t="s">
        <v>134</v>
      </c>
      <c r="BK224" t="s">
        <v>134</v>
      </c>
      <c r="BL224" t="s">
        <v>134</v>
      </c>
      <c r="BM224" t="s">
        <v>134</v>
      </c>
      <c r="BN224" t="s">
        <v>134</v>
      </c>
      <c r="BO224" t="s">
        <v>134</v>
      </c>
      <c r="BP224" t="s">
        <v>134</v>
      </c>
      <c r="BQ224" t="s">
        <v>134</v>
      </c>
      <c r="BR224" t="s">
        <v>134</v>
      </c>
      <c r="BS224" t="s">
        <v>134</v>
      </c>
      <c r="BT224" t="s">
        <v>134</v>
      </c>
      <c r="BU224" t="s">
        <v>134</v>
      </c>
      <c r="BV224" t="s">
        <v>134</v>
      </c>
      <c r="BW224" t="s">
        <v>134</v>
      </c>
      <c r="BX224" t="s">
        <v>134</v>
      </c>
      <c r="BY224" t="s">
        <v>134</v>
      </c>
      <c r="BZ224" t="s">
        <v>134</v>
      </c>
      <c r="CA224" t="s">
        <v>134</v>
      </c>
      <c r="CB224" t="s">
        <v>134</v>
      </c>
      <c r="CC224" t="s">
        <v>134</v>
      </c>
      <c r="CD224" t="s">
        <v>134</v>
      </c>
      <c r="CE224" t="s">
        <v>134</v>
      </c>
      <c r="CF224" t="s">
        <v>134</v>
      </c>
      <c r="CG224" t="s">
        <v>134</v>
      </c>
      <c r="CH224" t="s">
        <v>134</v>
      </c>
      <c r="CI224" t="s">
        <v>134</v>
      </c>
      <c r="CJ224" t="s">
        <v>134</v>
      </c>
      <c r="CK224" t="s">
        <v>134</v>
      </c>
      <c r="CL224" t="s">
        <v>134</v>
      </c>
      <c r="CM224" t="s">
        <v>134</v>
      </c>
      <c r="CN224" t="s">
        <v>134</v>
      </c>
      <c r="CO224" t="s">
        <v>134</v>
      </c>
      <c r="CP224" t="s">
        <v>134</v>
      </c>
      <c r="CQ224" t="s">
        <v>134</v>
      </c>
      <c r="CR224" t="s">
        <v>134</v>
      </c>
      <c r="CS224" t="s">
        <v>134</v>
      </c>
      <c r="CT224" t="s">
        <v>134</v>
      </c>
      <c r="CU224" t="s">
        <v>134</v>
      </c>
      <c r="CV224" t="s">
        <v>134</v>
      </c>
      <c r="CW224" t="s">
        <v>134</v>
      </c>
      <c r="CX224" t="s">
        <v>134</v>
      </c>
      <c r="CY224" t="s">
        <v>134</v>
      </c>
      <c r="CZ224" t="s">
        <v>134</v>
      </c>
      <c r="DA224" t="s">
        <v>134</v>
      </c>
      <c r="DB224" t="s">
        <v>134</v>
      </c>
      <c r="DC224" t="s">
        <v>134</v>
      </c>
      <c r="DD224" t="s">
        <v>134</v>
      </c>
      <c r="DE224" t="s">
        <v>134</v>
      </c>
      <c r="DF224" t="s">
        <v>134</v>
      </c>
      <c r="DG224" t="s">
        <v>134</v>
      </c>
      <c r="DH224" t="s">
        <v>134</v>
      </c>
      <c r="DI224" t="s">
        <v>134</v>
      </c>
    </row>
    <row r="225" spans="1:113" x14ac:dyDescent="0.3">
      <c r="E225" t="s">
        <v>79</v>
      </c>
      <c r="F225" t="s">
        <v>134</v>
      </c>
      <c r="G225" t="s">
        <v>134</v>
      </c>
      <c r="H225" t="s">
        <v>134</v>
      </c>
      <c r="I225" t="s">
        <v>134</v>
      </c>
      <c r="J225" t="s">
        <v>134</v>
      </c>
      <c r="K225" t="s">
        <v>134</v>
      </c>
      <c r="L225" t="s">
        <v>134</v>
      </c>
      <c r="M225" t="s">
        <v>134</v>
      </c>
      <c r="N225" t="s">
        <v>134</v>
      </c>
      <c r="O225" t="s">
        <v>134</v>
      </c>
      <c r="P225" t="s">
        <v>134</v>
      </c>
      <c r="Q225" t="s">
        <v>134</v>
      </c>
      <c r="R225" t="s">
        <v>134</v>
      </c>
      <c r="S225" t="s">
        <v>134</v>
      </c>
      <c r="T225" t="s">
        <v>134</v>
      </c>
      <c r="U225" t="s">
        <v>134</v>
      </c>
      <c r="V225" t="s">
        <v>134</v>
      </c>
      <c r="W225" t="s">
        <v>134</v>
      </c>
      <c r="X225" t="s">
        <v>134</v>
      </c>
      <c r="Y225" t="s">
        <v>134</v>
      </c>
      <c r="Z225" t="s">
        <v>134</v>
      </c>
      <c r="AA225" t="s">
        <v>134</v>
      </c>
      <c r="AB225" t="s">
        <v>134</v>
      </c>
      <c r="AC225" t="s">
        <v>134</v>
      </c>
      <c r="AD225" t="s">
        <v>134</v>
      </c>
      <c r="AE225" t="s">
        <v>134</v>
      </c>
      <c r="AF225" t="s">
        <v>134</v>
      </c>
      <c r="AG225" t="s">
        <v>134</v>
      </c>
      <c r="AH225" t="s">
        <v>134</v>
      </c>
      <c r="AI225" t="s">
        <v>134</v>
      </c>
      <c r="AJ225" t="s">
        <v>134</v>
      </c>
      <c r="AK225" t="s">
        <v>134</v>
      </c>
      <c r="AL225" t="s">
        <v>134</v>
      </c>
      <c r="AM225" t="s">
        <v>134</v>
      </c>
      <c r="AN225" t="s">
        <v>134</v>
      </c>
      <c r="AO225" t="s">
        <v>134</v>
      </c>
      <c r="AP225" t="s">
        <v>134</v>
      </c>
      <c r="AQ225" t="s">
        <v>134</v>
      </c>
      <c r="AR225" t="s">
        <v>134</v>
      </c>
      <c r="AS225" t="s">
        <v>134</v>
      </c>
      <c r="AT225" t="s">
        <v>134</v>
      </c>
      <c r="AU225" t="s">
        <v>134</v>
      </c>
      <c r="AV225" t="s">
        <v>134</v>
      </c>
      <c r="AW225" t="s">
        <v>134</v>
      </c>
      <c r="AX225" t="s">
        <v>134</v>
      </c>
      <c r="AY225" t="s">
        <v>134</v>
      </c>
      <c r="AZ225" t="s">
        <v>134</v>
      </c>
      <c r="BA225" t="s">
        <v>134</v>
      </c>
      <c r="BB225" t="s">
        <v>134</v>
      </c>
      <c r="BC225" t="s">
        <v>134</v>
      </c>
      <c r="BD225" t="s">
        <v>134</v>
      </c>
      <c r="BE225" t="s">
        <v>134</v>
      </c>
      <c r="BF225" t="s">
        <v>134</v>
      </c>
      <c r="BG225" t="s">
        <v>134</v>
      </c>
      <c r="BH225" t="s">
        <v>134</v>
      </c>
      <c r="BI225" t="s">
        <v>134</v>
      </c>
      <c r="BJ225" t="s">
        <v>134</v>
      </c>
      <c r="BK225" t="s">
        <v>134</v>
      </c>
      <c r="BL225" t="s">
        <v>134</v>
      </c>
      <c r="BM225" t="s">
        <v>134</v>
      </c>
      <c r="BN225" t="s">
        <v>134</v>
      </c>
      <c r="BO225" t="s">
        <v>134</v>
      </c>
      <c r="BP225" t="s">
        <v>134</v>
      </c>
      <c r="BQ225" t="s">
        <v>134</v>
      </c>
      <c r="BR225" t="s">
        <v>134</v>
      </c>
      <c r="BS225" t="s">
        <v>134</v>
      </c>
      <c r="BT225" t="s">
        <v>134</v>
      </c>
      <c r="BU225" t="s">
        <v>134</v>
      </c>
      <c r="BV225" t="s">
        <v>134</v>
      </c>
      <c r="BW225" t="s">
        <v>134</v>
      </c>
      <c r="BX225" t="s">
        <v>134</v>
      </c>
      <c r="BY225" t="s">
        <v>134</v>
      </c>
      <c r="BZ225" t="s">
        <v>134</v>
      </c>
      <c r="CA225" t="s">
        <v>134</v>
      </c>
      <c r="CB225" t="s">
        <v>134</v>
      </c>
      <c r="CC225" t="s">
        <v>134</v>
      </c>
      <c r="CD225" t="s">
        <v>134</v>
      </c>
      <c r="CE225" t="s">
        <v>134</v>
      </c>
      <c r="CF225" t="s">
        <v>134</v>
      </c>
      <c r="CG225" t="s">
        <v>134</v>
      </c>
      <c r="CH225" t="s">
        <v>134</v>
      </c>
      <c r="CI225" t="s">
        <v>134</v>
      </c>
      <c r="CJ225" t="s">
        <v>134</v>
      </c>
      <c r="CK225" t="s">
        <v>134</v>
      </c>
      <c r="CL225" t="s">
        <v>134</v>
      </c>
      <c r="CM225" t="s">
        <v>134</v>
      </c>
      <c r="CN225" t="s">
        <v>134</v>
      </c>
      <c r="CO225" t="s">
        <v>134</v>
      </c>
      <c r="CP225" t="s">
        <v>134</v>
      </c>
      <c r="CQ225" t="s">
        <v>134</v>
      </c>
      <c r="CR225" t="s">
        <v>134</v>
      </c>
      <c r="CS225" t="s">
        <v>134</v>
      </c>
      <c r="CT225" t="s">
        <v>134</v>
      </c>
      <c r="CU225" t="s">
        <v>134</v>
      </c>
      <c r="CV225" t="s">
        <v>134</v>
      </c>
      <c r="CW225" t="s">
        <v>134</v>
      </c>
      <c r="CX225" t="s">
        <v>134</v>
      </c>
      <c r="CY225" t="s">
        <v>134</v>
      </c>
      <c r="CZ225" t="s">
        <v>134</v>
      </c>
      <c r="DA225" t="s">
        <v>134</v>
      </c>
      <c r="DB225" t="s">
        <v>134</v>
      </c>
      <c r="DC225" t="s">
        <v>134</v>
      </c>
      <c r="DD225" t="s">
        <v>134</v>
      </c>
      <c r="DE225" t="s">
        <v>134</v>
      </c>
      <c r="DF225" t="s">
        <v>134</v>
      </c>
      <c r="DG225" t="s">
        <v>134</v>
      </c>
      <c r="DH225" t="s">
        <v>134</v>
      </c>
      <c r="DI225" t="s">
        <v>134</v>
      </c>
    </row>
    <row r="226" spans="1:113" x14ac:dyDescent="0.3">
      <c r="E226" t="s">
        <v>80</v>
      </c>
      <c r="F226" t="s">
        <v>134</v>
      </c>
      <c r="G226" t="s">
        <v>134</v>
      </c>
      <c r="H226" t="s">
        <v>134</v>
      </c>
      <c r="I226" t="s">
        <v>134</v>
      </c>
      <c r="J226" t="s">
        <v>134</v>
      </c>
      <c r="K226" t="s">
        <v>134</v>
      </c>
      <c r="L226" t="s">
        <v>134</v>
      </c>
      <c r="M226" t="s">
        <v>134</v>
      </c>
      <c r="N226" t="s">
        <v>134</v>
      </c>
      <c r="O226" t="s">
        <v>134</v>
      </c>
      <c r="P226" t="s">
        <v>134</v>
      </c>
      <c r="Q226" t="s">
        <v>134</v>
      </c>
      <c r="R226" t="s">
        <v>134</v>
      </c>
      <c r="S226" t="s">
        <v>134</v>
      </c>
      <c r="T226" t="s">
        <v>134</v>
      </c>
      <c r="U226" t="s">
        <v>134</v>
      </c>
      <c r="V226" t="s">
        <v>134</v>
      </c>
      <c r="W226" t="s">
        <v>134</v>
      </c>
      <c r="X226" t="s">
        <v>134</v>
      </c>
      <c r="Y226" t="s">
        <v>134</v>
      </c>
      <c r="Z226" t="s">
        <v>134</v>
      </c>
      <c r="AA226" t="s">
        <v>134</v>
      </c>
      <c r="AB226" t="s">
        <v>134</v>
      </c>
      <c r="AC226" t="s">
        <v>134</v>
      </c>
      <c r="AD226" t="s">
        <v>134</v>
      </c>
      <c r="AE226" t="s">
        <v>134</v>
      </c>
      <c r="AF226" t="s">
        <v>134</v>
      </c>
      <c r="AG226" t="s">
        <v>134</v>
      </c>
      <c r="AH226" t="s">
        <v>134</v>
      </c>
      <c r="AI226" t="s">
        <v>134</v>
      </c>
      <c r="AJ226" t="s">
        <v>134</v>
      </c>
      <c r="AK226" t="s">
        <v>134</v>
      </c>
      <c r="AL226" t="s">
        <v>134</v>
      </c>
      <c r="AM226" t="s">
        <v>134</v>
      </c>
      <c r="AN226" t="s">
        <v>134</v>
      </c>
      <c r="AO226" t="s">
        <v>134</v>
      </c>
      <c r="AP226" t="s">
        <v>134</v>
      </c>
      <c r="AQ226" t="s">
        <v>134</v>
      </c>
      <c r="AR226" t="s">
        <v>134</v>
      </c>
      <c r="AS226" t="s">
        <v>134</v>
      </c>
      <c r="AT226" t="s">
        <v>134</v>
      </c>
      <c r="AU226" t="s">
        <v>134</v>
      </c>
      <c r="AV226" t="s">
        <v>134</v>
      </c>
      <c r="AW226" t="s">
        <v>134</v>
      </c>
      <c r="AX226" t="s">
        <v>134</v>
      </c>
      <c r="AY226" t="s">
        <v>134</v>
      </c>
      <c r="AZ226" t="s">
        <v>134</v>
      </c>
      <c r="BA226" t="s">
        <v>134</v>
      </c>
      <c r="BB226" t="s">
        <v>134</v>
      </c>
      <c r="BC226" t="s">
        <v>134</v>
      </c>
      <c r="BD226" t="s">
        <v>134</v>
      </c>
      <c r="BE226" t="s">
        <v>134</v>
      </c>
      <c r="BF226" t="s">
        <v>134</v>
      </c>
      <c r="BG226" t="s">
        <v>134</v>
      </c>
      <c r="BH226" t="s">
        <v>134</v>
      </c>
      <c r="BI226" t="s">
        <v>134</v>
      </c>
      <c r="BJ226" t="s">
        <v>134</v>
      </c>
      <c r="BK226" t="s">
        <v>134</v>
      </c>
      <c r="BL226" t="s">
        <v>134</v>
      </c>
      <c r="BM226" t="s">
        <v>134</v>
      </c>
      <c r="BN226" t="s">
        <v>134</v>
      </c>
      <c r="BO226" t="s">
        <v>134</v>
      </c>
      <c r="BP226" t="s">
        <v>134</v>
      </c>
      <c r="BQ226" t="s">
        <v>134</v>
      </c>
      <c r="BR226" t="s">
        <v>134</v>
      </c>
      <c r="BS226" t="s">
        <v>134</v>
      </c>
      <c r="BT226" t="s">
        <v>134</v>
      </c>
      <c r="BU226" t="s">
        <v>134</v>
      </c>
      <c r="BV226" t="s">
        <v>134</v>
      </c>
      <c r="BW226" t="s">
        <v>134</v>
      </c>
      <c r="BX226" t="s">
        <v>134</v>
      </c>
      <c r="BY226" t="s">
        <v>134</v>
      </c>
      <c r="BZ226" t="s">
        <v>134</v>
      </c>
      <c r="CA226" t="s">
        <v>134</v>
      </c>
      <c r="CB226" t="s">
        <v>134</v>
      </c>
      <c r="CC226" t="s">
        <v>134</v>
      </c>
      <c r="CD226" t="s">
        <v>134</v>
      </c>
      <c r="CE226" t="s">
        <v>134</v>
      </c>
      <c r="CF226" t="s">
        <v>134</v>
      </c>
      <c r="CG226" t="s">
        <v>134</v>
      </c>
      <c r="CH226" t="s">
        <v>134</v>
      </c>
      <c r="CI226" t="s">
        <v>134</v>
      </c>
      <c r="CJ226" t="s">
        <v>134</v>
      </c>
      <c r="CK226" t="s">
        <v>134</v>
      </c>
      <c r="CL226" t="s">
        <v>134</v>
      </c>
      <c r="CM226" t="s">
        <v>134</v>
      </c>
      <c r="CN226" t="s">
        <v>134</v>
      </c>
      <c r="CO226" t="s">
        <v>134</v>
      </c>
      <c r="CP226" t="s">
        <v>134</v>
      </c>
      <c r="CQ226" t="s">
        <v>134</v>
      </c>
      <c r="CR226" t="s">
        <v>134</v>
      </c>
      <c r="CS226" t="s">
        <v>134</v>
      </c>
      <c r="CT226" t="s">
        <v>134</v>
      </c>
      <c r="CU226" t="s">
        <v>134</v>
      </c>
      <c r="CV226" t="s">
        <v>134</v>
      </c>
      <c r="CW226" t="s">
        <v>134</v>
      </c>
      <c r="CX226" t="s">
        <v>134</v>
      </c>
      <c r="CY226" t="s">
        <v>134</v>
      </c>
      <c r="CZ226" t="s">
        <v>134</v>
      </c>
      <c r="DA226" t="s">
        <v>134</v>
      </c>
      <c r="DB226" t="s">
        <v>134</v>
      </c>
      <c r="DC226" t="s">
        <v>134</v>
      </c>
      <c r="DD226" t="s">
        <v>134</v>
      </c>
      <c r="DE226" t="s">
        <v>134</v>
      </c>
      <c r="DF226" t="s">
        <v>134</v>
      </c>
      <c r="DG226" t="s">
        <v>134</v>
      </c>
      <c r="DH226" t="s">
        <v>134</v>
      </c>
      <c r="DI226" t="s">
        <v>134</v>
      </c>
    </row>
    <row r="227" spans="1:113" x14ac:dyDescent="0.3">
      <c r="E227" t="s">
        <v>81</v>
      </c>
      <c r="F227" t="s">
        <v>134</v>
      </c>
      <c r="G227" t="s">
        <v>134</v>
      </c>
      <c r="H227" t="s">
        <v>134</v>
      </c>
      <c r="I227" t="s">
        <v>134</v>
      </c>
      <c r="J227" t="s">
        <v>134</v>
      </c>
      <c r="K227" t="s">
        <v>134</v>
      </c>
      <c r="L227" t="s">
        <v>134</v>
      </c>
      <c r="M227" t="s">
        <v>134</v>
      </c>
      <c r="N227" t="s">
        <v>134</v>
      </c>
      <c r="O227" t="s">
        <v>134</v>
      </c>
      <c r="P227" t="s">
        <v>134</v>
      </c>
      <c r="Q227" t="s">
        <v>134</v>
      </c>
      <c r="R227" t="s">
        <v>134</v>
      </c>
      <c r="S227" t="s">
        <v>134</v>
      </c>
      <c r="T227" t="s">
        <v>134</v>
      </c>
      <c r="U227" t="s">
        <v>134</v>
      </c>
      <c r="V227" t="s">
        <v>134</v>
      </c>
      <c r="W227" t="s">
        <v>134</v>
      </c>
      <c r="X227" t="s">
        <v>134</v>
      </c>
      <c r="Y227" t="s">
        <v>134</v>
      </c>
      <c r="Z227" t="s">
        <v>134</v>
      </c>
      <c r="AA227" t="s">
        <v>134</v>
      </c>
      <c r="AB227" t="s">
        <v>134</v>
      </c>
      <c r="AC227" t="s">
        <v>134</v>
      </c>
      <c r="AD227" t="s">
        <v>134</v>
      </c>
      <c r="AE227" t="s">
        <v>134</v>
      </c>
      <c r="AF227" t="s">
        <v>134</v>
      </c>
      <c r="AG227" t="s">
        <v>134</v>
      </c>
      <c r="AH227" t="s">
        <v>134</v>
      </c>
      <c r="AI227" t="s">
        <v>134</v>
      </c>
      <c r="AJ227" t="s">
        <v>134</v>
      </c>
      <c r="AK227" t="s">
        <v>134</v>
      </c>
      <c r="AL227" t="s">
        <v>134</v>
      </c>
      <c r="AM227" t="s">
        <v>134</v>
      </c>
      <c r="AN227" t="s">
        <v>134</v>
      </c>
      <c r="AO227" t="s">
        <v>134</v>
      </c>
      <c r="AP227" t="s">
        <v>134</v>
      </c>
      <c r="AQ227" t="s">
        <v>134</v>
      </c>
      <c r="AR227" t="s">
        <v>134</v>
      </c>
      <c r="AS227" t="s">
        <v>134</v>
      </c>
      <c r="AT227" t="s">
        <v>134</v>
      </c>
      <c r="AU227" t="s">
        <v>134</v>
      </c>
      <c r="AV227" t="s">
        <v>134</v>
      </c>
      <c r="AW227" t="s">
        <v>134</v>
      </c>
      <c r="AX227" t="s">
        <v>134</v>
      </c>
      <c r="AY227" t="s">
        <v>134</v>
      </c>
      <c r="AZ227" t="s">
        <v>134</v>
      </c>
      <c r="BA227" t="s">
        <v>134</v>
      </c>
      <c r="BB227" t="s">
        <v>134</v>
      </c>
      <c r="BC227" t="s">
        <v>134</v>
      </c>
      <c r="BD227" t="s">
        <v>134</v>
      </c>
      <c r="BE227" t="s">
        <v>134</v>
      </c>
      <c r="BF227" t="s">
        <v>134</v>
      </c>
      <c r="BG227" t="s">
        <v>134</v>
      </c>
      <c r="BH227" t="s">
        <v>134</v>
      </c>
      <c r="BI227" t="s">
        <v>134</v>
      </c>
      <c r="BJ227" t="s">
        <v>134</v>
      </c>
      <c r="BK227" t="s">
        <v>134</v>
      </c>
      <c r="BL227" t="s">
        <v>134</v>
      </c>
      <c r="BM227" t="s">
        <v>134</v>
      </c>
      <c r="BN227" t="s">
        <v>134</v>
      </c>
      <c r="BO227" t="s">
        <v>134</v>
      </c>
      <c r="BP227" t="s">
        <v>134</v>
      </c>
      <c r="BQ227" t="s">
        <v>134</v>
      </c>
      <c r="BR227" t="s">
        <v>134</v>
      </c>
      <c r="BS227" t="s">
        <v>134</v>
      </c>
      <c r="BT227" t="s">
        <v>134</v>
      </c>
      <c r="BU227" t="s">
        <v>134</v>
      </c>
      <c r="BV227" t="s">
        <v>134</v>
      </c>
      <c r="BW227" t="s">
        <v>134</v>
      </c>
      <c r="BX227" t="s">
        <v>134</v>
      </c>
      <c r="BY227" t="s">
        <v>134</v>
      </c>
      <c r="BZ227" t="s">
        <v>134</v>
      </c>
      <c r="CA227" t="s">
        <v>134</v>
      </c>
      <c r="CB227" t="s">
        <v>134</v>
      </c>
      <c r="CC227" t="s">
        <v>134</v>
      </c>
      <c r="CD227" t="s">
        <v>134</v>
      </c>
      <c r="CE227" t="s">
        <v>134</v>
      </c>
      <c r="CF227" t="s">
        <v>134</v>
      </c>
      <c r="CG227" t="s">
        <v>134</v>
      </c>
      <c r="CH227" t="s">
        <v>134</v>
      </c>
      <c r="CI227" t="s">
        <v>134</v>
      </c>
      <c r="CJ227" t="s">
        <v>134</v>
      </c>
      <c r="CK227" t="s">
        <v>134</v>
      </c>
      <c r="CL227" t="s">
        <v>134</v>
      </c>
      <c r="CM227" t="s">
        <v>134</v>
      </c>
      <c r="CN227" t="s">
        <v>134</v>
      </c>
      <c r="CO227" t="s">
        <v>134</v>
      </c>
      <c r="CP227" t="s">
        <v>134</v>
      </c>
      <c r="CQ227" t="s">
        <v>134</v>
      </c>
      <c r="CR227" t="s">
        <v>134</v>
      </c>
      <c r="CS227" t="s">
        <v>134</v>
      </c>
      <c r="CT227" t="s">
        <v>134</v>
      </c>
      <c r="CU227" t="s">
        <v>134</v>
      </c>
      <c r="CV227" t="s">
        <v>134</v>
      </c>
      <c r="CW227" t="s">
        <v>134</v>
      </c>
      <c r="CX227" t="s">
        <v>134</v>
      </c>
      <c r="CY227" t="s">
        <v>134</v>
      </c>
      <c r="CZ227" t="s">
        <v>134</v>
      </c>
      <c r="DA227" t="s">
        <v>134</v>
      </c>
      <c r="DB227" t="s">
        <v>134</v>
      </c>
      <c r="DC227" t="s">
        <v>134</v>
      </c>
      <c r="DD227" t="s">
        <v>134</v>
      </c>
      <c r="DE227" t="s">
        <v>134</v>
      </c>
      <c r="DF227" t="s">
        <v>134</v>
      </c>
      <c r="DG227" t="s">
        <v>134</v>
      </c>
      <c r="DH227" t="s">
        <v>134</v>
      </c>
      <c r="DI227" t="s">
        <v>134</v>
      </c>
    </row>
    <row r="228" spans="1:113" x14ac:dyDescent="0.3">
      <c r="A228">
        <v>10</v>
      </c>
      <c r="B228" t="s">
        <v>102</v>
      </c>
      <c r="C228" t="s">
        <v>103</v>
      </c>
      <c r="D228" t="s">
        <v>76</v>
      </c>
      <c r="E228" t="s">
        <v>77</v>
      </c>
      <c r="F228">
        <v>17.6372</v>
      </c>
      <c r="G228">
        <v>1.7362</v>
      </c>
      <c r="H228">
        <v>6.0465</v>
      </c>
      <c r="I228">
        <v>7.5472000000000001</v>
      </c>
      <c r="J228" t="s">
        <v>134</v>
      </c>
      <c r="K228">
        <v>47.636400000000002</v>
      </c>
      <c r="L228">
        <v>56.550800000000002</v>
      </c>
      <c r="M228">
        <v>24.5565</v>
      </c>
      <c r="N228">
        <v>31.7119</v>
      </c>
      <c r="O228">
        <v>31.709900000000001</v>
      </c>
      <c r="P228">
        <v>31.709900000000001</v>
      </c>
      <c r="Q228">
        <v>33.4435</v>
      </c>
      <c r="R228">
        <v>14.8918</v>
      </c>
      <c r="S228">
        <v>15.0107</v>
      </c>
      <c r="T228">
        <v>13.0944</v>
      </c>
      <c r="U228" t="s">
        <v>134</v>
      </c>
      <c r="V228">
        <v>24.326799999999999</v>
      </c>
      <c r="W228">
        <v>20.5425</v>
      </c>
      <c r="X228">
        <v>11.7216</v>
      </c>
      <c r="Y228">
        <v>11.1111</v>
      </c>
      <c r="Z228" t="s">
        <v>134</v>
      </c>
      <c r="AA228" t="s">
        <v>134</v>
      </c>
      <c r="AB228">
        <v>-0.1409</v>
      </c>
      <c r="AC228">
        <v>13.446300000000001</v>
      </c>
      <c r="AD228" t="s">
        <v>134</v>
      </c>
      <c r="AE228" t="s">
        <v>134</v>
      </c>
      <c r="AF228" t="s">
        <v>134</v>
      </c>
      <c r="AG228">
        <v>-13.176399999999999</v>
      </c>
      <c r="AH228">
        <v>8.8170000000000002</v>
      </c>
      <c r="AI228">
        <v>15.7912</v>
      </c>
      <c r="AJ228">
        <v>11.157299999999999</v>
      </c>
      <c r="AK228">
        <v>15.3301</v>
      </c>
      <c r="AL228" t="s">
        <v>134</v>
      </c>
      <c r="AM228">
        <v>23.133900000000001</v>
      </c>
      <c r="AN228" t="s">
        <v>134</v>
      </c>
      <c r="AO228">
        <v>27.7806</v>
      </c>
      <c r="AP228">
        <v>28.3309</v>
      </c>
      <c r="AQ228">
        <v>21.7286</v>
      </c>
      <c r="AR228">
        <v>14.8698</v>
      </c>
      <c r="AS228" t="s">
        <v>134</v>
      </c>
      <c r="AT228" t="s">
        <v>134</v>
      </c>
      <c r="AU228">
        <v>17.662800000000001</v>
      </c>
      <c r="AV228">
        <v>21.205300000000001</v>
      </c>
      <c r="AW228" t="s">
        <v>134</v>
      </c>
      <c r="AX228" t="s">
        <v>134</v>
      </c>
      <c r="AY228" t="s">
        <v>134</v>
      </c>
      <c r="AZ228">
        <v>16.226700000000001</v>
      </c>
      <c r="BA228">
        <v>30.315100000000001</v>
      </c>
      <c r="BB228">
        <v>30.377600000000001</v>
      </c>
      <c r="BC228">
        <v>30.337</v>
      </c>
      <c r="BD228">
        <v>23.538699999999999</v>
      </c>
      <c r="BE228" t="s">
        <v>134</v>
      </c>
      <c r="BF228">
        <v>13.0944</v>
      </c>
      <c r="BG228" t="s">
        <v>134</v>
      </c>
      <c r="BH228">
        <v>24.326799999999999</v>
      </c>
      <c r="BI228">
        <v>20.5425</v>
      </c>
      <c r="BJ228">
        <v>11.7216</v>
      </c>
      <c r="BK228">
        <v>11.1111</v>
      </c>
      <c r="BL228" t="s">
        <v>134</v>
      </c>
      <c r="BM228" t="s">
        <v>134</v>
      </c>
      <c r="BN228">
        <v>-0.1409</v>
      </c>
      <c r="BO228">
        <v>13.446300000000001</v>
      </c>
      <c r="BP228" t="s">
        <v>134</v>
      </c>
      <c r="BQ228" t="s">
        <v>134</v>
      </c>
      <c r="BR228" t="s">
        <v>134</v>
      </c>
      <c r="BS228">
        <v>-13.176399999999999</v>
      </c>
      <c r="BT228">
        <v>8.8170000000000002</v>
      </c>
      <c r="BU228">
        <v>15.7912</v>
      </c>
      <c r="BV228">
        <v>11.157299999999999</v>
      </c>
      <c r="BW228">
        <v>15.3301</v>
      </c>
      <c r="BX228" t="s">
        <v>134</v>
      </c>
      <c r="BY228">
        <v>714725.14800000004</v>
      </c>
      <c r="BZ228">
        <v>187332.91200000001</v>
      </c>
      <c r="CA228">
        <v>527392.23600000003</v>
      </c>
      <c r="CB228" t="s">
        <v>134</v>
      </c>
      <c r="CC228" t="s">
        <v>134</v>
      </c>
      <c r="CD228">
        <v>7.5397999999999996</v>
      </c>
      <c r="CE228">
        <v>4.5245999999999995</v>
      </c>
      <c r="CF228" t="s">
        <v>134</v>
      </c>
      <c r="CG228">
        <v>9.9382000000000001</v>
      </c>
      <c r="CH228">
        <v>137.30959999999999</v>
      </c>
      <c r="CI228">
        <v>47.996499999999997</v>
      </c>
      <c r="CJ228">
        <v>13.650600000000001</v>
      </c>
      <c r="CK228">
        <v>186.08279999999999</v>
      </c>
      <c r="CL228">
        <v>65.045100000000005</v>
      </c>
      <c r="CM228">
        <v>18.499400000000001</v>
      </c>
      <c r="CN228">
        <v>111.6675</v>
      </c>
      <c r="CO228">
        <v>52.756100000000004</v>
      </c>
      <c r="CP228" t="s">
        <v>134</v>
      </c>
      <c r="CQ228" t="s">
        <v>134</v>
      </c>
      <c r="CR228">
        <v>94794.152000000002</v>
      </c>
      <c r="CS228" t="s">
        <v>134</v>
      </c>
      <c r="CT228" t="s">
        <v>134</v>
      </c>
      <c r="CU228" t="s">
        <v>134</v>
      </c>
      <c r="CV228" t="s">
        <v>134</v>
      </c>
      <c r="CW228" t="s">
        <v>134</v>
      </c>
      <c r="CX228" t="s">
        <v>134</v>
      </c>
      <c r="CY228" t="s">
        <v>134</v>
      </c>
      <c r="CZ228" t="s">
        <v>134</v>
      </c>
      <c r="DA228" t="s">
        <v>134</v>
      </c>
      <c r="DB228" t="s">
        <v>134</v>
      </c>
      <c r="DC228" t="s">
        <v>134</v>
      </c>
      <c r="DD228" t="s">
        <v>134</v>
      </c>
      <c r="DE228" t="s">
        <v>134</v>
      </c>
      <c r="DF228" t="s">
        <v>134</v>
      </c>
      <c r="DG228" t="s">
        <v>134</v>
      </c>
      <c r="DH228" t="s">
        <v>134</v>
      </c>
      <c r="DI228" t="s">
        <v>134</v>
      </c>
    </row>
    <row r="229" spans="1:113" x14ac:dyDescent="0.3">
      <c r="E229" t="s">
        <v>78</v>
      </c>
      <c r="F229" t="s">
        <v>134</v>
      </c>
      <c r="G229" t="s">
        <v>134</v>
      </c>
      <c r="H229" t="s">
        <v>134</v>
      </c>
      <c r="I229" t="s">
        <v>134</v>
      </c>
      <c r="J229" t="s">
        <v>134</v>
      </c>
      <c r="K229" t="s">
        <v>134</v>
      </c>
      <c r="L229" t="s">
        <v>134</v>
      </c>
      <c r="M229" t="s">
        <v>134</v>
      </c>
      <c r="N229" t="s">
        <v>134</v>
      </c>
      <c r="O229" t="s">
        <v>134</v>
      </c>
      <c r="P229" t="s">
        <v>134</v>
      </c>
      <c r="Q229" t="s">
        <v>134</v>
      </c>
      <c r="R229" t="s">
        <v>134</v>
      </c>
      <c r="S229" t="s">
        <v>134</v>
      </c>
      <c r="T229" t="s">
        <v>134</v>
      </c>
      <c r="U229" t="s">
        <v>134</v>
      </c>
      <c r="V229" t="s">
        <v>134</v>
      </c>
      <c r="W229" t="s">
        <v>134</v>
      </c>
      <c r="X229" t="s">
        <v>134</v>
      </c>
      <c r="Y229" t="s">
        <v>134</v>
      </c>
      <c r="Z229" t="s">
        <v>134</v>
      </c>
      <c r="AA229" t="s">
        <v>134</v>
      </c>
      <c r="AB229" t="s">
        <v>134</v>
      </c>
      <c r="AC229" t="s">
        <v>134</v>
      </c>
      <c r="AD229" t="s">
        <v>134</v>
      </c>
      <c r="AE229" t="s">
        <v>134</v>
      </c>
      <c r="AF229" t="s">
        <v>134</v>
      </c>
      <c r="AG229" t="s">
        <v>134</v>
      </c>
      <c r="AH229" t="s">
        <v>134</v>
      </c>
      <c r="AI229" t="s">
        <v>134</v>
      </c>
      <c r="AJ229" t="s">
        <v>134</v>
      </c>
      <c r="AK229" t="s">
        <v>134</v>
      </c>
      <c r="AL229" t="s">
        <v>134</v>
      </c>
      <c r="AM229" t="s">
        <v>134</v>
      </c>
      <c r="AN229" t="s">
        <v>134</v>
      </c>
      <c r="AO229" t="s">
        <v>134</v>
      </c>
      <c r="AP229" t="s">
        <v>134</v>
      </c>
      <c r="AQ229" t="s">
        <v>134</v>
      </c>
      <c r="AR229" t="s">
        <v>134</v>
      </c>
      <c r="AS229" t="s">
        <v>134</v>
      </c>
      <c r="AT229" t="s">
        <v>134</v>
      </c>
      <c r="AU229" t="s">
        <v>134</v>
      </c>
      <c r="AV229" t="s">
        <v>134</v>
      </c>
      <c r="AW229" t="s">
        <v>134</v>
      </c>
      <c r="AX229" t="s">
        <v>134</v>
      </c>
      <c r="AY229" t="s">
        <v>134</v>
      </c>
      <c r="AZ229" t="s">
        <v>134</v>
      </c>
      <c r="BA229" t="s">
        <v>134</v>
      </c>
      <c r="BB229" t="s">
        <v>134</v>
      </c>
      <c r="BC229" t="s">
        <v>134</v>
      </c>
      <c r="BD229" t="s">
        <v>134</v>
      </c>
      <c r="BE229" t="s">
        <v>134</v>
      </c>
      <c r="BF229" t="s">
        <v>134</v>
      </c>
      <c r="BG229" t="s">
        <v>134</v>
      </c>
      <c r="BH229" t="s">
        <v>134</v>
      </c>
      <c r="BI229" t="s">
        <v>134</v>
      </c>
      <c r="BJ229" t="s">
        <v>134</v>
      </c>
      <c r="BK229" t="s">
        <v>134</v>
      </c>
      <c r="BL229" t="s">
        <v>134</v>
      </c>
      <c r="BM229" t="s">
        <v>134</v>
      </c>
      <c r="BN229" t="s">
        <v>134</v>
      </c>
      <c r="BO229" t="s">
        <v>134</v>
      </c>
      <c r="BP229" t="s">
        <v>134</v>
      </c>
      <c r="BQ229" t="s">
        <v>134</v>
      </c>
      <c r="BR229" t="s">
        <v>134</v>
      </c>
      <c r="BS229" t="s">
        <v>134</v>
      </c>
      <c r="BT229" t="s">
        <v>134</v>
      </c>
      <c r="BU229" t="s">
        <v>134</v>
      </c>
      <c r="BV229" t="s">
        <v>134</v>
      </c>
      <c r="BW229" t="s">
        <v>134</v>
      </c>
      <c r="BX229" t="s">
        <v>134</v>
      </c>
      <c r="BY229" t="s">
        <v>134</v>
      </c>
      <c r="BZ229" t="s">
        <v>134</v>
      </c>
      <c r="CA229" t="s">
        <v>134</v>
      </c>
      <c r="CB229" t="s">
        <v>134</v>
      </c>
      <c r="CC229" t="s">
        <v>134</v>
      </c>
      <c r="CD229" t="s">
        <v>134</v>
      </c>
      <c r="CE229" t="s">
        <v>134</v>
      </c>
      <c r="CF229" t="s">
        <v>134</v>
      </c>
      <c r="CG229" t="s">
        <v>134</v>
      </c>
      <c r="CH229" t="s">
        <v>134</v>
      </c>
      <c r="CI229" t="s">
        <v>134</v>
      </c>
      <c r="CJ229" t="s">
        <v>134</v>
      </c>
      <c r="CK229" t="s">
        <v>134</v>
      </c>
      <c r="CL229" t="s">
        <v>134</v>
      </c>
      <c r="CM229" t="s">
        <v>134</v>
      </c>
      <c r="CN229" t="s">
        <v>134</v>
      </c>
      <c r="CO229" t="s">
        <v>134</v>
      </c>
      <c r="CP229" t="s">
        <v>134</v>
      </c>
      <c r="CQ229" t="s">
        <v>134</v>
      </c>
      <c r="CR229" t="s">
        <v>134</v>
      </c>
      <c r="CS229" t="s">
        <v>134</v>
      </c>
      <c r="CT229" t="s">
        <v>134</v>
      </c>
      <c r="CU229" t="s">
        <v>134</v>
      </c>
      <c r="CV229" t="s">
        <v>134</v>
      </c>
      <c r="CW229" t="s">
        <v>134</v>
      </c>
      <c r="CX229" t="s">
        <v>134</v>
      </c>
      <c r="CY229" t="s">
        <v>134</v>
      </c>
      <c r="CZ229" t="s">
        <v>134</v>
      </c>
      <c r="DA229" t="s">
        <v>134</v>
      </c>
      <c r="DB229" t="s">
        <v>134</v>
      </c>
      <c r="DC229" t="s">
        <v>134</v>
      </c>
      <c r="DD229" t="s">
        <v>134</v>
      </c>
      <c r="DE229" t="s">
        <v>134</v>
      </c>
      <c r="DF229" t="s">
        <v>134</v>
      </c>
      <c r="DG229" t="s">
        <v>134</v>
      </c>
      <c r="DH229" t="s">
        <v>134</v>
      </c>
      <c r="DI229" t="s">
        <v>134</v>
      </c>
    </row>
    <row r="230" spans="1:113" x14ac:dyDescent="0.3">
      <c r="E230" t="s">
        <v>79</v>
      </c>
      <c r="F230" t="s">
        <v>134</v>
      </c>
      <c r="G230" t="s">
        <v>134</v>
      </c>
      <c r="H230" t="s">
        <v>134</v>
      </c>
      <c r="I230" t="s">
        <v>134</v>
      </c>
      <c r="J230" t="s">
        <v>134</v>
      </c>
      <c r="K230" t="s">
        <v>134</v>
      </c>
      <c r="L230" t="s">
        <v>134</v>
      </c>
      <c r="M230" t="s">
        <v>134</v>
      </c>
      <c r="N230" t="s">
        <v>134</v>
      </c>
      <c r="O230" t="s">
        <v>134</v>
      </c>
      <c r="P230" t="s">
        <v>134</v>
      </c>
      <c r="Q230" t="s">
        <v>134</v>
      </c>
      <c r="R230" t="s">
        <v>134</v>
      </c>
      <c r="S230" t="s">
        <v>134</v>
      </c>
      <c r="T230" t="s">
        <v>134</v>
      </c>
      <c r="U230" t="s">
        <v>134</v>
      </c>
      <c r="V230" t="s">
        <v>134</v>
      </c>
      <c r="W230" t="s">
        <v>134</v>
      </c>
      <c r="X230" t="s">
        <v>134</v>
      </c>
      <c r="Y230" t="s">
        <v>134</v>
      </c>
      <c r="Z230" t="s">
        <v>134</v>
      </c>
      <c r="AA230" t="s">
        <v>134</v>
      </c>
      <c r="AB230" t="s">
        <v>134</v>
      </c>
      <c r="AC230" t="s">
        <v>134</v>
      </c>
      <c r="AD230" t="s">
        <v>134</v>
      </c>
      <c r="AE230" t="s">
        <v>134</v>
      </c>
      <c r="AF230" t="s">
        <v>134</v>
      </c>
      <c r="AG230" t="s">
        <v>134</v>
      </c>
      <c r="AH230" t="s">
        <v>134</v>
      </c>
      <c r="AI230" t="s">
        <v>134</v>
      </c>
      <c r="AJ230" t="s">
        <v>134</v>
      </c>
      <c r="AK230" t="s">
        <v>134</v>
      </c>
      <c r="AL230" t="s">
        <v>134</v>
      </c>
      <c r="AM230" t="s">
        <v>134</v>
      </c>
      <c r="AN230" t="s">
        <v>134</v>
      </c>
      <c r="AO230" t="s">
        <v>134</v>
      </c>
      <c r="AP230" t="s">
        <v>134</v>
      </c>
      <c r="AQ230" t="s">
        <v>134</v>
      </c>
      <c r="AR230" t="s">
        <v>134</v>
      </c>
      <c r="AS230" t="s">
        <v>134</v>
      </c>
      <c r="AT230" t="s">
        <v>134</v>
      </c>
      <c r="AU230" t="s">
        <v>134</v>
      </c>
      <c r="AV230" t="s">
        <v>134</v>
      </c>
      <c r="AW230" t="s">
        <v>134</v>
      </c>
      <c r="AX230" t="s">
        <v>134</v>
      </c>
      <c r="AY230" t="s">
        <v>134</v>
      </c>
      <c r="AZ230" t="s">
        <v>134</v>
      </c>
      <c r="BA230" t="s">
        <v>134</v>
      </c>
      <c r="BB230" t="s">
        <v>134</v>
      </c>
      <c r="BC230" t="s">
        <v>134</v>
      </c>
      <c r="BD230" t="s">
        <v>134</v>
      </c>
      <c r="BE230" t="s">
        <v>134</v>
      </c>
      <c r="BF230" t="s">
        <v>134</v>
      </c>
      <c r="BG230" t="s">
        <v>134</v>
      </c>
      <c r="BH230" t="s">
        <v>134</v>
      </c>
      <c r="BI230" t="s">
        <v>134</v>
      </c>
      <c r="BJ230" t="s">
        <v>134</v>
      </c>
      <c r="BK230" t="s">
        <v>134</v>
      </c>
      <c r="BL230" t="s">
        <v>134</v>
      </c>
      <c r="BM230" t="s">
        <v>134</v>
      </c>
      <c r="BN230" t="s">
        <v>134</v>
      </c>
      <c r="BO230" t="s">
        <v>134</v>
      </c>
      <c r="BP230" t="s">
        <v>134</v>
      </c>
      <c r="BQ230" t="s">
        <v>134</v>
      </c>
      <c r="BR230" t="s">
        <v>134</v>
      </c>
      <c r="BS230" t="s">
        <v>134</v>
      </c>
      <c r="BT230" t="s">
        <v>134</v>
      </c>
      <c r="BU230" t="s">
        <v>134</v>
      </c>
      <c r="BV230" t="s">
        <v>134</v>
      </c>
      <c r="BW230" t="s">
        <v>134</v>
      </c>
      <c r="BX230" t="s">
        <v>134</v>
      </c>
      <c r="BY230" t="s">
        <v>134</v>
      </c>
      <c r="BZ230" t="s">
        <v>134</v>
      </c>
      <c r="CA230" t="s">
        <v>134</v>
      </c>
      <c r="CB230" t="s">
        <v>134</v>
      </c>
      <c r="CC230" t="s">
        <v>134</v>
      </c>
      <c r="CD230" t="s">
        <v>134</v>
      </c>
      <c r="CE230" t="s">
        <v>134</v>
      </c>
      <c r="CF230" t="s">
        <v>134</v>
      </c>
      <c r="CG230" t="s">
        <v>134</v>
      </c>
      <c r="CH230" t="s">
        <v>134</v>
      </c>
      <c r="CI230" t="s">
        <v>134</v>
      </c>
      <c r="CJ230" t="s">
        <v>134</v>
      </c>
      <c r="CK230" t="s">
        <v>134</v>
      </c>
      <c r="CL230" t="s">
        <v>134</v>
      </c>
      <c r="CM230" t="s">
        <v>134</v>
      </c>
      <c r="CN230" t="s">
        <v>134</v>
      </c>
      <c r="CO230" t="s">
        <v>134</v>
      </c>
      <c r="CP230" t="s">
        <v>134</v>
      </c>
      <c r="CQ230" t="s">
        <v>134</v>
      </c>
      <c r="CR230" t="s">
        <v>134</v>
      </c>
      <c r="CS230" t="s">
        <v>134</v>
      </c>
      <c r="CT230" t="s">
        <v>134</v>
      </c>
      <c r="CU230" t="s">
        <v>134</v>
      </c>
      <c r="CV230" t="s">
        <v>134</v>
      </c>
      <c r="CW230" t="s">
        <v>134</v>
      </c>
      <c r="CX230" t="s">
        <v>134</v>
      </c>
      <c r="CY230" t="s">
        <v>134</v>
      </c>
      <c r="CZ230" t="s">
        <v>134</v>
      </c>
      <c r="DA230" t="s">
        <v>134</v>
      </c>
      <c r="DB230" t="s">
        <v>134</v>
      </c>
      <c r="DC230" t="s">
        <v>134</v>
      </c>
      <c r="DD230" t="s">
        <v>134</v>
      </c>
      <c r="DE230" t="s">
        <v>134</v>
      </c>
      <c r="DF230" t="s">
        <v>134</v>
      </c>
      <c r="DG230" t="s">
        <v>134</v>
      </c>
      <c r="DH230" t="s">
        <v>134</v>
      </c>
      <c r="DI230" t="s">
        <v>134</v>
      </c>
    </row>
    <row r="231" spans="1:113" x14ac:dyDescent="0.3">
      <c r="E231" t="s">
        <v>80</v>
      </c>
      <c r="F231" t="s">
        <v>134</v>
      </c>
      <c r="G231" t="s">
        <v>134</v>
      </c>
      <c r="H231" t="s">
        <v>134</v>
      </c>
      <c r="I231" t="s">
        <v>134</v>
      </c>
      <c r="J231" t="s">
        <v>134</v>
      </c>
      <c r="K231" t="s">
        <v>134</v>
      </c>
      <c r="L231" t="s">
        <v>134</v>
      </c>
      <c r="M231" t="s">
        <v>134</v>
      </c>
      <c r="N231" t="s">
        <v>134</v>
      </c>
      <c r="O231" t="s">
        <v>134</v>
      </c>
      <c r="P231" t="s">
        <v>134</v>
      </c>
      <c r="Q231" t="s">
        <v>134</v>
      </c>
      <c r="R231" t="s">
        <v>134</v>
      </c>
      <c r="S231" t="s">
        <v>134</v>
      </c>
      <c r="T231" t="s">
        <v>134</v>
      </c>
      <c r="U231" t="s">
        <v>134</v>
      </c>
      <c r="V231" t="s">
        <v>134</v>
      </c>
      <c r="W231" t="s">
        <v>134</v>
      </c>
      <c r="X231" t="s">
        <v>134</v>
      </c>
      <c r="Y231" t="s">
        <v>134</v>
      </c>
      <c r="Z231" t="s">
        <v>134</v>
      </c>
      <c r="AA231" t="s">
        <v>134</v>
      </c>
      <c r="AB231" t="s">
        <v>134</v>
      </c>
      <c r="AC231" t="s">
        <v>134</v>
      </c>
      <c r="AD231" t="s">
        <v>134</v>
      </c>
      <c r="AE231" t="s">
        <v>134</v>
      </c>
      <c r="AF231" t="s">
        <v>134</v>
      </c>
      <c r="AG231" t="s">
        <v>134</v>
      </c>
      <c r="AH231" t="s">
        <v>134</v>
      </c>
      <c r="AI231" t="s">
        <v>134</v>
      </c>
      <c r="AJ231" t="s">
        <v>134</v>
      </c>
      <c r="AK231" t="s">
        <v>134</v>
      </c>
      <c r="AL231" t="s">
        <v>134</v>
      </c>
      <c r="AM231" t="s">
        <v>134</v>
      </c>
      <c r="AN231" t="s">
        <v>134</v>
      </c>
      <c r="AO231" t="s">
        <v>134</v>
      </c>
      <c r="AP231" t="s">
        <v>134</v>
      </c>
      <c r="AQ231" t="s">
        <v>134</v>
      </c>
      <c r="AR231" t="s">
        <v>134</v>
      </c>
      <c r="AS231" t="s">
        <v>134</v>
      </c>
      <c r="AT231" t="s">
        <v>134</v>
      </c>
      <c r="AU231" t="s">
        <v>134</v>
      </c>
      <c r="AV231" t="s">
        <v>134</v>
      </c>
      <c r="AW231" t="s">
        <v>134</v>
      </c>
      <c r="AX231" t="s">
        <v>134</v>
      </c>
      <c r="AY231" t="s">
        <v>134</v>
      </c>
      <c r="AZ231" t="s">
        <v>134</v>
      </c>
      <c r="BA231" t="s">
        <v>134</v>
      </c>
      <c r="BB231" t="s">
        <v>134</v>
      </c>
      <c r="BC231" t="s">
        <v>134</v>
      </c>
      <c r="BD231" t="s">
        <v>134</v>
      </c>
      <c r="BE231" t="s">
        <v>134</v>
      </c>
      <c r="BF231" t="s">
        <v>134</v>
      </c>
      <c r="BG231" t="s">
        <v>134</v>
      </c>
      <c r="BH231" t="s">
        <v>134</v>
      </c>
      <c r="BI231" t="s">
        <v>134</v>
      </c>
      <c r="BJ231" t="s">
        <v>134</v>
      </c>
      <c r="BK231" t="s">
        <v>134</v>
      </c>
      <c r="BL231" t="s">
        <v>134</v>
      </c>
      <c r="BM231" t="s">
        <v>134</v>
      </c>
      <c r="BN231" t="s">
        <v>134</v>
      </c>
      <c r="BO231" t="s">
        <v>134</v>
      </c>
      <c r="BP231" t="s">
        <v>134</v>
      </c>
      <c r="BQ231" t="s">
        <v>134</v>
      </c>
      <c r="BR231" t="s">
        <v>134</v>
      </c>
      <c r="BS231" t="s">
        <v>134</v>
      </c>
      <c r="BT231" t="s">
        <v>134</v>
      </c>
      <c r="BU231" t="s">
        <v>134</v>
      </c>
      <c r="BV231" t="s">
        <v>134</v>
      </c>
      <c r="BW231" t="s">
        <v>134</v>
      </c>
      <c r="BX231" t="s">
        <v>134</v>
      </c>
      <c r="BY231" t="s">
        <v>134</v>
      </c>
      <c r="BZ231" t="s">
        <v>134</v>
      </c>
      <c r="CA231" t="s">
        <v>134</v>
      </c>
      <c r="CB231" t="s">
        <v>134</v>
      </c>
      <c r="CC231" t="s">
        <v>134</v>
      </c>
      <c r="CD231" t="s">
        <v>134</v>
      </c>
      <c r="CE231" t="s">
        <v>134</v>
      </c>
      <c r="CF231" t="s">
        <v>134</v>
      </c>
      <c r="CG231" t="s">
        <v>134</v>
      </c>
      <c r="CH231" t="s">
        <v>134</v>
      </c>
      <c r="CI231" t="s">
        <v>134</v>
      </c>
      <c r="CJ231" t="s">
        <v>134</v>
      </c>
      <c r="CK231" t="s">
        <v>134</v>
      </c>
      <c r="CL231" t="s">
        <v>134</v>
      </c>
      <c r="CM231" t="s">
        <v>134</v>
      </c>
      <c r="CN231" t="s">
        <v>134</v>
      </c>
      <c r="CO231" t="s">
        <v>134</v>
      </c>
      <c r="CP231" t="s">
        <v>134</v>
      </c>
      <c r="CQ231" t="s">
        <v>134</v>
      </c>
      <c r="CR231" t="s">
        <v>134</v>
      </c>
      <c r="CS231" t="s">
        <v>134</v>
      </c>
      <c r="CT231" t="s">
        <v>134</v>
      </c>
      <c r="CU231" t="s">
        <v>134</v>
      </c>
      <c r="CV231" t="s">
        <v>134</v>
      </c>
      <c r="CW231" t="s">
        <v>134</v>
      </c>
      <c r="CX231" t="s">
        <v>134</v>
      </c>
      <c r="CY231" t="s">
        <v>134</v>
      </c>
      <c r="CZ231" t="s">
        <v>134</v>
      </c>
      <c r="DA231" t="s">
        <v>134</v>
      </c>
      <c r="DB231" t="s">
        <v>134</v>
      </c>
      <c r="DC231" t="s">
        <v>134</v>
      </c>
      <c r="DD231" t="s">
        <v>134</v>
      </c>
      <c r="DE231" t="s">
        <v>134</v>
      </c>
      <c r="DF231" t="s">
        <v>134</v>
      </c>
      <c r="DG231" t="s">
        <v>134</v>
      </c>
      <c r="DH231" t="s">
        <v>134</v>
      </c>
      <c r="DI231" t="s">
        <v>134</v>
      </c>
    </row>
    <row r="232" spans="1:113" x14ac:dyDescent="0.3">
      <c r="E232" t="s">
        <v>81</v>
      </c>
      <c r="F232" t="s">
        <v>134</v>
      </c>
      <c r="G232" t="s">
        <v>134</v>
      </c>
      <c r="H232" t="s">
        <v>134</v>
      </c>
      <c r="I232" t="s">
        <v>134</v>
      </c>
      <c r="J232" t="s">
        <v>134</v>
      </c>
      <c r="K232" t="s">
        <v>134</v>
      </c>
      <c r="L232" t="s">
        <v>134</v>
      </c>
      <c r="M232" t="s">
        <v>134</v>
      </c>
      <c r="N232" t="s">
        <v>134</v>
      </c>
      <c r="O232" t="s">
        <v>134</v>
      </c>
      <c r="P232" t="s">
        <v>134</v>
      </c>
      <c r="Q232" t="s">
        <v>134</v>
      </c>
      <c r="R232" t="s">
        <v>134</v>
      </c>
      <c r="S232" t="s">
        <v>134</v>
      </c>
      <c r="T232" t="s">
        <v>134</v>
      </c>
      <c r="U232" t="s">
        <v>134</v>
      </c>
      <c r="V232" t="s">
        <v>134</v>
      </c>
      <c r="W232" t="s">
        <v>134</v>
      </c>
      <c r="X232" t="s">
        <v>134</v>
      </c>
      <c r="Y232" t="s">
        <v>134</v>
      </c>
      <c r="Z232" t="s">
        <v>134</v>
      </c>
      <c r="AA232" t="s">
        <v>134</v>
      </c>
      <c r="AB232" t="s">
        <v>134</v>
      </c>
      <c r="AC232" t="s">
        <v>134</v>
      </c>
      <c r="AD232" t="s">
        <v>134</v>
      </c>
      <c r="AE232" t="s">
        <v>134</v>
      </c>
      <c r="AF232" t="s">
        <v>134</v>
      </c>
      <c r="AG232" t="s">
        <v>134</v>
      </c>
      <c r="AH232" t="s">
        <v>134</v>
      </c>
      <c r="AI232" t="s">
        <v>134</v>
      </c>
      <c r="AJ232" t="s">
        <v>134</v>
      </c>
      <c r="AK232" t="s">
        <v>134</v>
      </c>
      <c r="AL232" t="s">
        <v>134</v>
      </c>
      <c r="AM232" t="s">
        <v>134</v>
      </c>
      <c r="AN232" t="s">
        <v>134</v>
      </c>
      <c r="AO232" t="s">
        <v>134</v>
      </c>
      <c r="AP232" t="s">
        <v>134</v>
      </c>
      <c r="AQ232" t="s">
        <v>134</v>
      </c>
      <c r="AR232" t="s">
        <v>134</v>
      </c>
      <c r="AS232" t="s">
        <v>134</v>
      </c>
      <c r="AT232" t="s">
        <v>134</v>
      </c>
      <c r="AU232" t="s">
        <v>134</v>
      </c>
      <c r="AV232" t="s">
        <v>134</v>
      </c>
      <c r="AW232" t="s">
        <v>134</v>
      </c>
      <c r="AX232" t="s">
        <v>134</v>
      </c>
      <c r="AY232" t="s">
        <v>134</v>
      </c>
      <c r="AZ232" t="s">
        <v>134</v>
      </c>
      <c r="BA232" t="s">
        <v>134</v>
      </c>
      <c r="BB232" t="s">
        <v>134</v>
      </c>
      <c r="BC232" t="s">
        <v>134</v>
      </c>
      <c r="BD232" t="s">
        <v>134</v>
      </c>
      <c r="BE232" t="s">
        <v>134</v>
      </c>
      <c r="BF232" t="s">
        <v>134</v>
      </c>
      <c r="BG232" t="s">
        <v>134</v>
      </c>
      <c r="BH232" t="s">
        <v>134</v>
      </c>
      <c r="BI232" t="s">
        <v>134</v>
      </c>
      <c r="BJ232" t="s">
        <v>134</v>
      </c>
      <c r="BK232" t="s">
        <v>134</v>
      </c>
      <c r="BL232" t="s">
        <v>134</v>
      </c>
      <c r="BM232" t="s">
        <v>134</v>
      </c>
      <c r="BN232" t="s">
        <v>134</v>
      </c>
      <c r="BO232" t="s">
        <v>134</v>
      </c>
      <c r="BP232" t="s">
        <v>134</v>
      </c>
      <c r="BQ232" t="s">
        <v>134</v>
      </c>
      <c r="BR232" t="s">
        <v>134</v>
      </c>
      <c r="BS232" t="s">
        <v>134</v>
      </c>
      <c r="BT232" t="s">
        <v>134</v>
      </c>
      <c r="BU232" t="s">
        <v>134</v>
      </c>
      <c r="BV232" t="s">
        <v>134</v>
      </c>
      <c r="BW232" t="s">
        <v>134</v>
      </c>
      <c r="BX232" t="s">
        <v>134</v>
      </c>
      <c r="BY232" t="s">
        <v>134</v>
      </c>
      <c r="BZ232" t="s">
        <v>134</v>
      </c>
      <c r="CA232" t="s">
        <v>134</v>
      </c>
      <c r="CB232" t="s">
        <v>134</v>
      </c>
      <c r="CC232" t="s">
        <v>134</v>
      </c>
      <c r="CD232" t="s">
        <v>134</v>
      </c>
      <c r="CE232" t="s">
        <v>134</v>
      </c>
      <c r="CF232" t="s">
        <v>134</v>
      </c>
      <c r="CG232" t="s">
        <v>134</v>
      </c>
      <c r="CH232" t="s">
        <v>134</v>
      </c>
      <c r="CI232" t="s">
        <v>134</v>
      </c>
      <c r="CJ232" t="s">
        <v>134</v>
      </c>
      <c r="CK232" t="s">
        <v>134</v>
      </c>
      <c r="CL232" t="s">
        <v>134</v>
      </c>
      <c r="CM232" t="s">
        <v>134</v>
      </c>
      <c r="CN232" t="s">
        <v>134</v>
      </c>
      <c r="CO232" t="s">
        <v>134</v>
      </c>
      <c r="CP232" t="s">
        <v>134</v>
      </c>
      <c r="CQ232" t="s">
        <v>134</v>
      </c>
      <c r="CR232" t="s">
        <v>134</v>
      </c>
      <c r="CS232" t="s">
        <v>134</v>
      </c>
      <c r="CT232" t="s">
        <v>134</v>
      </c>
      <c r="CU232" t="s">
        <v>134</v>
      </c>
      <c r="CV232" t="s">
        <v>134</v>
      </c>
      <c r="CW232" t="s">
        <v>134</v>
      </c>
      <c r="CX232" t="s">
        <v>134</v>
      </c>
      <c r="CY232" t="s">
        <v>134</v>
      </c>
      <c r="CZ232" t="s">
        <v>134</v>
      </c>
      <c r="DA232" t="s">
        <v>134</v>
      </c>
      <c r="DB232" t="s">
        <v>134</v>
      </c>
      <c r="DC232" t="s">
        <v>134</v>
      </c>
      <c r="DD232" t="s">
        <v>134</v>
      </c>
      <c r="DE232" t="s">
        <v>134</v>
      </c>
      <c r="DF232" t="s">
        <v>134</v>
      </c>
      <c r="DG232" t="s">
        <v>134</v>
      </c>
      <c r="DH232" t="s">
        <v>134</v>
      </c>
      <c r="DI232" t="s">
        <v>134</v>
      </c>
    </row>
    <row r="233" spans="1:113" x14ac:dyDescent="0.3">
      <c r="D233" t="s">
        <v>82</v>
      </c>
      <c r="E233" t="s">
        <v>77</v>
      </c>
      <c r="F233">
        <v>17.872299999999999</v>
      </c>
      <c r="G233">
        <v>1.7450999999999999</v>
      </c>
      <c r="H233">
        <v>5.8304</v>
      </c>
      <c r="I233">
        <v>7.4260999999999999</v>
      </c>
      <c r="J233" t="s">
        <v>134</v>
      </c>
      <c r="K233">
        <v>48.4773</v>
      </c>
      <c r="L233">
        <v>53.434699999999999</v>
      </c>
      <c r="M233">
        <v>25.289400000000001</v>
      </c>
      <c r="N233">
        <v>32.0075</v>
      </c>
      <c r="O233">
        <v>31.999199999999998</v>
      </c>
      <c r="P233">
        <v>31.999199999999998</v>
      </c>
      <c r="Q233">
        <v>33.9863</v>
      </c>
      <c r="R233">
        <v>14.6409</v>
      </c>
      <c r="S233">
        <v>15.255599999999999</v>
      </c>
      <c r="T233">
        <v>15.5794</v>
      </c>
      <c r="U233" t="s">
        <v>134</v>
      </c>
      <c r="V233">
        <v>19.0289</v>
      </c>
      <c r="W233">
        <v>18.031099999999999</v>
      </c>
      <c r="X233">
        <v>16.356200000000001</v>
      </c>
      <c r="Y233">
        <v>15</v>
      </c>
      <c r="Z233" t="s">
        <v>134</v>
      </c>
      <c r="AA233" t="s">
        <v>134</v>
      </c>
      <c r="AB233">
        <v>2.5190000000000001</v>
      </c>
      <c r="AC233">
        <v>20.9377</v>
      </c>
      <c r="AD233" t="s">
        <v>134</v>
      </c>
      <c r="AE233" t="s">
        <v>134</v>
      </c>
      <c r="AF233" t="s">
        <v>134</v>
      </c>
      <c r="AG233">
        <v>-13.0189</v>
      </c>
      <c r="AH233">
        <v>40.876399999999997</v>
      </c>
      <c r="AI233">
        <v>17.1099</v>
      </c>
      <c r="AJ233">
        <v>32.568899999999999</v>
      </c>
      <c r="AK233">
        <v>16.016400000000001</v>
      </c>
      <c r="AL233" t="s">
        <v>134</v>
      </c>
      <c r="AM233">
        <v>23.348099999999999</v>
      </c>
      <c r="AN233" t="s">
        <v>134</v>
      </c>
      <c r="AO233">
        <v>24.192599999999999</v>
      </c>
      <c r="AP233">
        <v>24.618200000000002</v>
      </c>
      <c r="AQ233">
        <v>19.761700000000001</v>
      </c>
      <c r="AR233">
        <v>13.8962</v>
      </c>
      <c r="AS233" t="s">
        <v>134</v>
      </c>
      <c r="AT233" t="s">
        <v>134</v>
      </c>
      <c r="AU233">
        <v>15.1557</v>
      </c>
      <c r="AV233">
        <v>20.9404</v>
      </c>
      <c r="AW233" t="s">
        <v>134</v>
      </c>
      <c r="AX233" t="s">
        <v>134</v>
      </c>
      <c r="AY233" t="s">
        <v>134</v>
      </c>
      <c r="AZ233">
        <v>14.2403</v>
      </c>
      <c r="BA233">
        <v>31.564499999999999</v>
      </c>
      <c r="BB233">
        <v>22.9817</v>
      </c>
      <c r="BC233">
        <v>28.527100000000001</v>
      </c>
      <c r="BD233">
        <v>19.160900000000002</v>
      </c>
      <c r="BE233" t="s">
        <v>134</v>
      </c>
      <c r="BF233">
        <v>15.5794</v>
      </c>
      <c r="BG233" t="s">
        <v>134</v>
      </c>
      <c r="BH233">
        <v>19.0289</v>
      </c>
      <c r="BI233">
        <v>18.031099999999999</v>
      </c>
      <c r="BJ233">
        <v>16.356200000000001</v>
      </c>
      <c r="BK233">
        <v>15</v>
      </c>
      <c r="BL233" t="s">
        <v>134</v>
      </c>
      <c r="BM233" t="s">
        <v>134</v>
      </c>
      <c r="BN233">
        <v>2.5190000000000001</v>
      </c>
      <c r="BO233">
        <v>20.9377</v>
      </c>
      <c r="BP233" t="s">
        <v>134</v>
      </c>
      <c r="BQ233" t="s">
        <v>134</v>
      </c>
      <c r="BR233" t="s">
        <v>134</v>
      </c>
      <c r="BS233">
        <v>-13.0189</v>
      </c>
      <c r="BT233">
        <v>40.876399999999997</v>
      </c>
      <c r="BU233">
        <v>17.1099</v>
      </c>
      <c r="BV233">
        <v>32.568899999999999</v>
      </c>
      <c r="BW233">
        <v>16.016400000000001</v>
      </c>
      <c r="BX233" t="s">
        <v>134</v>
      </c>
      <c r="BY233">
        <v>1006879.197</v>
      </c>
      <c r="BZ233">
        <v>162944.16099999999</v>
      </c>
      <c r="CA233">
        <v>843935.03599999996</v>
      </c>
      <c r="CB233" t="s">
        <v>134</v>
      </c>
      <c r="CC233" t="s">
        <v>134</v>
      </c>
      <c r="CD233">
        <v>8.9237000000000002</v>
      </c>
      <c r="CE233">
        <v>5.6894999999999998</v>
      </c>
      <c r="CF233" t="s">
        <v>134</v>
      </c>
      <c r="CG233">
        <v>9.6202000000000005</v>
      </c>
      <c r="CH233">
        <v>187.6215</v>
      </c>
      <c r="CI233">
        <v>57.935299999999998</v>
      </c>
      <c r="CJ233">
        <v>18.062000000000001</v>
      </c>
      <c r="CK233">
        <v>223.8468</v>
      </c>
      <c r="CL233">
        <v>69.121200000000002</v>
      </c>
      <c r="CM233">
        <v>21.549399999999999</v>
      </c>
      <c r="CN233">
        <v>142.71850000000001</v>
      </c>
      <c r="CO233">
        <v>58.8</v>
      </c>
      <c r="CP233" t="s">
        <v>134</v>
      </c>
      <c r="CQ233" t="s">
        <v>134</v>
      </c>
      <c r="CR233">
        <v>112832.41499999999</v>
      </c>
      <c r="CS233" t="s">
        <v>134</v>
      </c>
      <c r="CT233" t="s">
        <v>134</v>
      </c>
      <c r="CU233" t="s">
        <v>134</v>
      </c>
      <c r="CV233" t="s">
        <v>134</v>
      </c>
      <c r="CW233" t="s">
        <v>134</v>
      </c>
      <c r="CX233" t="s">
        <v>134</v>
      </c>
      <c r="CY233" t="s">
        <v>134</v>
      </c>
      <c r="CZ233" t="s">
        <v>134</v>
      </c>
      <c r="DA233" t="s">
        <v>134</v>
      </c>
      <c r="DB233" t="s">
        <v>134</v>
      </c>
      <c r="DC233" t="s">
        <v>134</v>
      </c>
      <c r="DD233" t="s">
        <v>134</v>
      </c>
      <c r="DE233" t="s">
        <v>134</v>
      </c>
      <c r="DF233" t="s">
        <v>134</v>
      </c>
      <c r="DG233" t="s">
        <v>134</v>
      </c>
      <c r="DH233" t="s">
        <v>134</v>
      </c>
      <c r="DI233" t="s">
        <v>134</v>
      </c>
    </row>
    <row r="234" spans="1:113" x14ac:dyDescent="0.3">
      <c r="E234" t="s">
        <v>78</v>
      </c>
      <c r="F234" t="s">
        <v>134</v>
      </c>
      <c r="G234" t="s">
        <v>134</v>
      </c>
      <c r="H234" t="s">
        <v>134</v>
      </c>
      <c r="I234" t="s">
        <v>134</v>
      </c>
      <c r="J234" t="s">
        <v>134</v>
      </c>
      <c r="K234" t="s">
        <v>134</v>
      </c>
      <c r="L234" t="s">
        <v>134</v>
      </c>
      <c r="M234" t="s">
        <v>134</v>
      </c>
      <c r="N234" t="s">
        <v>134</v>
      </c>
      <c r="O234" t="s">
        <v>134</v>
      </c>
      <c r="P234" t="s">
        <v>134</v>
      </c>
      <c r="Q234" t="s">
        <v>134</v>
      </c>
      <c r="R234" t="s">
        <v>134</v>
      </c>
      <c r="S234" t="s">
        <v>134</v>
      </c>
      <c r="T234" t="s">
        <v>134</v>
      </c>
      <c r="U234" t="s">
        <v>134</v>
      </c>
      <c r="V234" t="s">
        <v>134</v>
      </c>
      <c r="W234" t="s">
        <v>134</v>
      </c>
      <c r="X234" t="s">
        <v>134</v>
      </c>
      <c r="Y234" t="s">
        <v>134</v>
      </c>
      <c r="Z234" t="s">
        <v>134</v>
      </c>
      <c r="AA234" t="s">
        <v>134</v>
      </c>
      <c r="AB234" t="s">
        <v>134</v>
      </c>
      <c r="AC234" t="s">
        <v>134</v>
      </c>
      <c r="AD234" t="s">
        <v>134</v>
      </c>
      <c r="AE234" t="s">
        <v>134</v>
      </c>
      <c r="AF234" t="s">
        <v>134</v>
      </c>
      <c r="AG234" t="s">
        <v>134</v>
      </c>
      <c r="AH234" t="s">
        <v>134</v>
      </c>
      <c r="AI234" t="s">
        <v>134</v>
      </c>
      <c r="AJ234" t="s">
        <v>134</v>
      </c>
      <c r="AK234" t="s">
        <v>134</v>
      </c>
      <c r="AL234" t="s">
        <v>134</v>
      </c>
      <c r="AM234" t="s">
        <v>134</v>
      </c>
      <c r="AN234" t="s">
        <v>134</v>
      </c>
      <c r="AO234" t="s">
        <v>134</v>
      </c>
      <c r="AP234" t="s">
        <v>134</v>
      </c>
      <c r="AQ234" t="s">
        <v>134</v>
      </c>
      <c r="AR234" t="s">
        <v>134</v>
      </c>
      <c r="AS234" t="s">
        <v>134</v>
      </c>
      <c r="AT234" t="s">
        <v>134</v>
      </c>
      <c r="AU234" t="s">
        <v>134</v>
      </c>
      <c r="AV234" t="s">
        <v>134</v>
      </c>
      <c r="AW234" t="s">
        <v>134</v>
      </c>
      <c r="AX234" t="s">
        <v>134</v>
      </c>
      <c r="AY234" t="s">
        <v>134</v>
      </c>
      <c r="AZ234" t="s">
        <v>134</v>
      </c>
      <c r="BA234" t="s">
        <v>134</v>
      </c>
      <c r="BB234" t="s">
        <v>134</v>
      </c>
      <c r="BC234" t="s">
        <v>134</v>
      </c>
      <c r="BD234" t="s">
        <v>134</v>
      </c>
      <c r="BE234" t="s">
        <v>134</v>
      </c>
      <c r="BF234" t="s">
        <v>134</v>
      </c>
      <c r="BG234" t="s">
        <v>134</v>
      </c>
      <c r="BH234" t="s">
        <v>134</v>
      </c>
      <c r="BI234" t="s">
        <v>134</v>
      </c>
      <c r="BJ234" t="s">
        <v>134</v>
      </c>
      <c r="BK234" t="s">
        <v>134</v>
      </c>
      <c r="BL234" t="s">
        <v>134</v>
      </c>
      <c r="BM234" t="s">
        <v>134</v>
      </c>
      <c r="BN234" t="s">
        <v>134</v>
      </c>
      <c r="BO234" t="s">
        <v>134</v>
      </c>
      <c r="BP234" t="s">
        <v>134</v>
      </c>
      <c r="BQ234" t="s">
        <v>134</v>
      </c>
      <c r="BR234" t="s">
        <v>134</v>
      </c>
      <c r="BS234" t="s">
        <v>134</v>
      </c>
      <c r="BT234" t="s">
        <v>134</v>
      </c>
      <c r="BU234" t="s">
        <v>134</v>
      </c>
      <c r="BV234" t="s">
        <v>134</v>
      </c>
      <c r="BW234" t="s">
        <v>134</v>
      </c>
      <c r="BX234" t="s">
        <v>134</v>
      </c>
      <c r="BY234" t="s">
        <v>134</v>
      </c>
      <c r="BZ234" t="s">
        <v>134</v>
      </c>
      <c r="CA234" t="s">
        <v>134</v>
      </c>
      <c r="CB234" t="s">
        <v>134</v>
      </c>
      <c r="CC234" t="s">
        <v>134</v>
      </c>
      <c r="CD234" t="s">
        <v>134</v>
      </c>
      <c r="CE234" t="s">
        <v>134</v>
      </c>
      <c r="CF234" t="s">
        <v>134</v>
      </c>
      <c r="CG234" t="s">
        <v>134</v>
      </c>
      <c r="CH234" t="s">
        <v>134</v>
      </c>
      <c r="CI234" t="s">
        <v>134</v>
      </c>
      <c r="CJ234" t="s">
        <v>134</v>
      </c>
      <c r="CK234" t="s">
        <v>134</v>
      </c>
      <c r="CL234" t="s">
        <v>134</v>
      </c>
      <c r="CM234" t="s">
        <v>134</v>
      </c>
      <c r="CN234" t="s">
        <v>134</v>
      </c>
      <c r="CO234" t="s">
        <v>134</v>
      </c>
      <c r="CP234" t="s">
        <v>134</v>
      </c>
      <c r="CQ234" t="s">
        <v>134</v>
      </c>
      <c r="CR234" t="s">
        <v>134</v>
      </c>
      <c r="CS234" t="s">
        <v>134</v>
      </c>
      <c r="CT234" t="s">
        <v>134</v>
      </c>
      <c r="CU234" t="s">
        <v>134</v>
      </c>
      <c r="CV234" t="s">
        <v>134</v>
      </c>
      <c r="CW234" t="s">
        <v>134</v>
      </c>
      <c r="CX234" t="s">
        <v>134</v>
      </c>
      <c r="CY234" t="s">
        <v>134</v>
      </c>
      <c r="CZ234" t="s">
        <v>134</v>
      </c>
      <c r="DA234" t="s">
        <v>134</v>
      </c>
      <c r="DB234" t="s">
        <v>134</v>
      </c>
      <c r="DC234" t="s">
        <v>134</v>
      </c>
      <c r="DD234" t="s">
        <v>134</v>
      </c>
      <c r="DE234" t="s">
        <v>134</v>
      </c>
      <c r="DF234" t="s">
        <v>134</v>
      </c>
      <c r="DG234" t="s">
        <v>134</v>
      </c>
      <c r="DH234" t="s">
        <v>134</v>
      </c>
      <c r="DI234" t="s">
        <v>134</v>
      </c>
    </row>
    <row r="235" spans="1:113" x14ac:dyDescent="0.3">
      <c r="E235" t="s">
        <v>79</v>
      </c>
      <c r="F235" t="s">
        <v>134</v>
      </c>
      <c r="G235" t="s">
        <v>134</v>
      </c>
      <c r="H235" t="s">
        <v>134</v>
      </c>
      <c r="I235" t="s">
        <v>134</v>
      </c>
      <c r="J235" t="s">
        <v>134</v>
      </c>
      <c r="K235" t="s">
        <v>134</v>
      </c>
      <c r="L235" t="s">
        <v>134</v>
      </c>
      <c r="M235" t="s">
        <v>134</v>
      </c>
      <c r="N235" t="s">
        <v>134</v>
      </c>
      <c r="O235" t="s">
        <v>134</v>
      </c>
      <c r="P235" t="s">
        <v>134</v>
      </c>
      <c r="Q235" t="s">
        <v>134</v>
      </c>
      <c r="R235" t="s">
        <v>134</v>
      </c>
      <c r="S235" t="s">
        <v>134</v>
      </c>
      <c r="T235" t="s">
        <v>134</v>
      </c>
      <c r="U235" t="s">
        <v>134</v>
      </c>
      <c r="V235" t="s">
        <v>134</v>
      </c>
      <c r="W235" t="s">
        <v>134</v>
      </c>
      <c r="X235" t="s">
        <v>134</v>
      </c>
      <c r="Y235" t="s">
        <v>134</v>
      </c>
      <c r="Z235" t="s">
        <v>134</v>
      </c>
      <c r="AA235" t="s">
        <v>134</v>
      </c>
      <c r="AB235" t="s">
        <v>134</v>
      </c>
      <c r="AC235" t="s">
        <v>134</v>
      </c>
      <c r="AD235" t="s">
        <v>134</v>
      </c>
      <c r="AE235" t="s">
        <v>134</v>
      </c>
      <c r="AF235" t="s">
        <v>134</v>
      </c>
      <c r="AG235" t="s">
        <v>134</v>
      </c>
      <c r="AH235" t="s">
        <v>134</v>
      </c>
      <c r="AI235" t="s">
        <v>134</v>
      </c>
      <c r="AJ235" t="s">
        <v>134</v>
      </c>
      <c r="AK235" t="s">
        <v>134</v>
      </c>
      <c r="AL235" t="s">
        <v>134</v>
      </c>
      <c r="AM235" t="s">
        <v>134</v>
      </c>
      <c r="AN235" t="s">
        <v>134</v>
      </c>
      <c r="AO235" t="s">
        <v>134</v>
      </c>
      <c r="AP235" t="s">
        <v>134</v>
      </c>
      <c r="AQ235" t="s">
        <v>134</v>
      </c>
      <c r="AR235" t="s">
        <v>134</v>
      </c>
      <c r="AS235" t="s">
        <v>134</v>
      </c>
      <c r="AT235" t="s">
        <v>134</v>
      </c>
      <c r="AU235" t="s">
        <v>134</v>
      </c>
      <c r="AV235" t="s">
        <v>134</v>
      </c>
      <c r="AW235" t="s">
        <v>134</v>
      </c>
      <c r="AX235" t="s">
        <v>134</v>
      </c>
      <c r="AY235" t="s">
        <v>134</v>
      </c>
      <c r="AZ235" t="s">
        <v>134</v>
      </c>
      <c r="BA235" t="s">
        <v>134</v>
      </c>
      <c r="BB235" t="s">
        <v>134</v>
      </c>
      <c r="BC235" t="s">
        <v>134</v>
      </c>
      <c r="BD235" t="s">
        <v>134</v>
      </c>
      <c r="BE235" t="s">
        <v>134</v>
      </c>
      <c r="BF235" t="s">
        <v>134</v>
      </c>
      <c r="BG235" t="s">
        <v>134</v>
      </c>
      <c r="BH235" t="s">
        <v>134</v>
      </c>
      <c r="BI235" t="s">
        <v>134</v>
      </c>
      <c r="BJ235" t="s">
        <v>134</v>
      </c>
      <c r="BK235" t="s">
        <v>134</v>
      </c>
      <c r="BL235" t="s">
        <v>134</v>
      </c>
      <c r="BM235" t="s">
        <v>134</v>
      </c>
      <c r="BN235" t="s">
        <v>134</v>
      </c>
      <c r="BO235" t="s">
        <v>134</v>
      </c>
      <c r="BP235" t="s">
        <v>134</v>
      </c>
      <c r="BQ235" t="s">
        <v>134</v>
      </c>
      <c r="BR235" t="s">
        <v>134</v>
      </c>
      <c r="BS235" t="s">
        <v>134</v>
      </c>
      <c r="BT235" t="s">
        <v>134</v>
      </c>
      <c r="BU235" t="s">
        <v>134</v>
      </c>
      <c r="BV235" t="s">
        <v>134</v>
      </c>
      <c r="BW235" t="s">
        <v>134</v>
      </c>
      <c r="BX235" t="s">
        <v>134</v>
      </c>
      <c r="BY235" t="s">
        <v>134</v>
      </c>
      <c r="BZ235" t="s">
        <v>134</v>
      </c>
      <c r="CA235" t="s">
        <v>134</v>
      </c>
      <c r="CB235" t="s">
        <v>134</v>
      </c>
      <c r="CC235" t="s">
        <v>134</v>
      </c>
      <c r="CD235" t="s">
        <v>134</v>
      </c>
      <c r="CE235" t="s">
        <v>134</v>
      </c>
      <c r="CF235" t="s">
        <v>134</v>
      </c>
      <c r="CG235" t="s">
        <v>134</v>
      </c>
      <c r="CH235" t="s">
        <v>134</v>
      </c>
      <c r="CI235" t="s">
        <v>134</v>
      </c>
      <c r="CJ235" t="s">
        <v>134</v>
      </c>
      <c r="CK235" t="s">
        <v>134</v>
      </c>
      <c r="CL235" t="s">
        <v>134</v>
      </c>
      <c r="CM235" t="s">
        <v>134</v>
      </c>
      <c r="CN235" t="s">
        <v>134</v>
      </c>
      <c r="CO235" t="s">
        <v>134</v>
      </c>
      <c r="CP235" t="s">
        <v>134</v>
      </c>
      <c r="CQ235" t="s">
        <v>134</v>
      </c>
      <c r="CR235" t="s">
        <v>134</v>
      </c>
      <c r="CS235" t="s">
        <v>134</v>
      </c>
      <c r="CT235" t="s">
        <v>134</v>
      </c>
      <c r="CU235" t="s">
        <v>134</v>
      </c>
      <c r="CV235" t="s">
        <v>134</v>
      </c>
      <c r="CW235" t="s">
        <v>134</v>
      </c>
      <c r="CX235" t="s">
        <v>134</v>
      </c>
      <c r="CY235" t="s">
        <v>134</v>
      </c>
      <c r="CZ235" t="s">
        <v>134</v>
      </c>
      <c r="DA235" t="s">
        <v>134</v>
      </c>
      <c r="DB235" t="s">
        <v>134</v>
      </c>
      <c r="DC235" t="s">
        <v>134</v>
      </c>
      <c r="DD235" t="s">
        <v>134</v>
      </c>
      <c r="DE235" t="s">
        <v>134</v>
      </c>
      <c r="DF235" t="s">
        <v>134</v>
      </c>
      <c r="DG235" t="s">
        <v>134</v>
      </c>
      <c r="DH235" t="s">
        <v>134</v>
      </c>
      <c r="DI235" t="s">
        <v>134</v>
      </c>
    </row>
    <row r="236" spans="1:113" x14ac:dyDescent="0.3">
      <c r="E236" t="s">
        <v>80</v>
      </c>
      <c r="F236" t="s">
        <v>134</v>
      </c>
      <c r="G236" t="s">
        <v>134</v>
      </c>
      <c r="H236" t="s">
        <v>134</v>
      </c>
      <c r="I236" t="s">
        <v>134</v>
      </c>
      <c r="J236" t="s">
        <v>134</v>
      </c>
      <c r="K236" t="s">
        <v>134</v>
      </c>
      <c r="L236" t="s">
        <v>134</v>
      </c>
      <c r="M236" t="s">
        <v>134</v>
      </c>
      <c r="N236" t="s">
        <v>134</v>
      </c>
      <c r="O236" t="s">
        <v>134</v>
      </c>
      <c r="P236" t="s">
        <v>134</v>
      </c>
      <c r="Q236" t="s">
        <v>134</v>
      </c>
      <c r="R236" t="s">
        <v>134</v>
      </c>
      <c r="S236" t="s">
        <v>134</v>
      </c>
      <c r="T236" t="s">
        <v>134</v>
      </c>
      <c r="U236" t="s">
        <v>134</v>
      </c>
      <c r="V236" t="s">
        <v>134</v>
      </c>
      <c r="W236" t="s">
        <v>134</v>
      </c>
      <c r="X236" t="s">
        <v>134</v>
      </c>
      <c r="Y236" t="s">
        <v>134</v>
      </c>
      <c r="Z236" t="s">
        <v>134</v>
      </c>
      <c r="AA236" t="s">
        <v>134</v>
      </c>
      <c r="AB236" t="s">
        <v>134</v>
      </c>
      <c r="AC236" t="s">
        <v>134</v>
      </c>
      <c r="AD236" t="s">
        <v>134</v>
      </c>
      <c r="AE236" t="s">
        <v>134</v>
      </c>
      <c r="AF236" t="s">
        <v>134</v>
      </c>
      <c r="AG236" t="s">
        <v>134</v>
      </c>
      <c r="AH236" t="s">
        <v>134</v>
      </c>
      <c r="AI236" t="s">
        <v>134</v>
      </c>
      <c r="AJ236" t="s">
        <v>134</v>
      </c>
      <c r="AK236" t="s">
        <v>134</v>
      </c>
      <c r="AL236" t="s">
        <v>134</v>
      </c>
      <c r="AM236" t="s">
        <v>134</v>
      </c>
      <c r="AN236" t="s">
        <v>134</v>
      </c>
      <c r="AO236" t="s">
        <v>134</v>
      </c>
      <c r="AP236" t="s">
        <v>134</v>
      </c>
      <c r="AQ236" t="s">
        <v>134</v>
      </c>
      <c r="AR236" t="s">
        <v>134</v>
      </c>
      <c r="AS236" t="s">
        <v>134</v>
      </c>
      <c r="AT236" t="s">
        <v>134</v>
      </c>
      <c r="AU236" t="s">
        <v>134</v>
      </c>
      <c r="AV236" t="s">
        <v>134</v>
      </c>
      <c r="AW236" t="s">
        <v>134</v>
      </c>
      <c r="AX236" t="s">
        <v>134</v>
      </c>
      <c r="AY236" t="s">
        <v>134</v>
      </c>
      <c r="AZ236" t="s">
        <v>134</v>
      </c>
      <c r="BA236" t="s">
        <v>134</v>
      </c>
      <c r="BB236" t="s">
        <v>134</v>
      </c>
      <c r="BC236" t="s">
        <v>134</v>
      </c>
      <c r="BD236" t="s">
        <v>134</v>
      </c>
      <c r="BE236" t="s">
        <v>134</v>
      </c>
      <c r="BF236" t="s">
        <v>134</v>
      </c>
      <c r="BG236" t="s">
        <v>134</v>
      </c>
      <c r="BH236" t="s">
        <v>134</v>
      </c>
      <c r="BI236" t="s">
        <v>134</v>
      </c>
      <c r="BJ236" t="s">
        <v>134</v>
      </c>
      <c r="BK236" t="s">
        <v>134</v>
      </c>
      <c r="BL236" t="s">
        <v>134</v>
      </c>
      <c r="BM236" t="s">
        <v>134</v>
      </c>
      <c r="BN236" t="s">
        <v>134</v>
      </c>
      <c r="BO236" t="s">
        <v>134</v>
      </c>
      <c r="BP236" t="s">
        <v>134</v>
      </c>
      <c r="BQ236" t="s">
        <v>134</v>
      </c>
      <c r="BR236" t="s">
        <v>134</v>
      </c>
      <c r="BS236" t="s">
        <v>134</v>
      </c>
      <c r="BT236" t="s">
        <v>134</v>
      </c>
      <c r="BU236" t="s">
        <v>134</v>
      </c>
      <c r="BV236" t="s">
        <v>134</v>
      </c>
      <c r="BW236" t="s">
        <v>134</v>
      </c>
      <c r="BX236" t="s">
        <v>134</v>
      </c>
      <c r="BY236" t="s">
        <v>134</v>
      </c>
      <c r="BZ236" t="s">
        <v>134</v>
      </c>
      <c r="CA236" t="s">
        <v>134</v>
      </c>
      <c r="CB236" t="s">
        <v>134</v>
      </c>
      <c r="CC236" t="s">
        <v>134</v>
      </c>
      <c r="CD236" t="s">
        <v>134</v>
      </c>
      <c r="CE236" t="s">
        <v>134</v>
      </c>
      <c r="CF236" t="s">
        <v>134</v>
      </c>
      <c r="CG236" t="s">
        <v>134</v>
      </c>
      <c r="CH236" t="s">
        <v>134</v>
      </c>
      <c r="CI236" t="s">
        <v>134</v>
      </c>
      <c r="CJ236" t="s">
        <v>134</v>
      </c>
      <c r="CK236" t="s">
        <v>134</v>
      </c>
      <c r="CL236" t="s">
        <v>134</v>
      </c>
      <c r="CM236" t="s">
        <v>134</v>
      </c>
      <c r="CN236" t="s">
        <v>134</v>
      </c>
      <c r="CO236" t="s">
        <v>134</v>
      </c>
      <c r="CP236" t="s">
        <v>134</v>
      </c>
      <c r="CQ236" t="s">
        <v>134</v>
      </c>
      <c r="CR236" t="s">
        <v>134</v>
      </c>
      <c r="CS236" t="s">
        <v>134</v>
      </c>
      <c r="CT236" t="s">
        <v>134</v>
      </c>
      <c r="CU236" t="s">
        <v>134</v>
      </c>
      <c r="CV236" t="s">
        <v>134</v>
      </c>
      <c r="CW236" t="s">
        <v>134</v>
      </c>
      <c r="CX236" t="s">
        <v>134</v>
      </c>
      <c r="CY236" t="s">
        <v>134</v>
      </c>
      <c r="CZ236" t="s">
        <v>134</v>
      </c>
      <c r="DA236" t="s">
        <v>134</v>
      </c>
      <c r="DB236" t="s">
        <v>134</v>
      </c>
      <c r="DC236" t="s">
        <v>134</v>
      </c>
      <c r="DD236" t="s">
        <v>134</v>
      </c>
      <c r="DE236" t="s">
        <v>134</v>
      </c>
      <c r="DF236" t="s">
        <v>134</v>
      </c>
      <c r="DG236" t="s">
        <v>134</v>
      </c>
      <c r="DH236" t="s">
        <v>134</v>
      </c>
      <c r="DI236" t="s">
        <v>134</v>
      </c>
    </row>
    <row r="237" spans="1:113" x14ac:dyDescent="0.3">
      <c r="E237" t="s">
        <v>81</v>
      </c>
      <c r="F237" t="s">
        <v>134</v>
      </c>
      <c r="G237" t="s">
        <v>134</v>
      </c>
      <c r="H237" t="s">
        <v>134</v>
      </c>
      <c r="I237" t="s">
        <v>134</v>
      </c>
      <c r="J237" t="s">
        <v>134</v>
      </c>
      <c r="K237" t="s">
        <v>134</v>
      </c>
      <c r="L237" t="s">
        <v>134</v>
      </c>
      <c r="M237" t="s">
        <v>134</v>
      </c>
      <c r="N237" t="s">
        <v>134</v>
      </c>
      <c r="O237" t="s">
        <v>134</v>
      </c>
      <c r="P237" t="s">
        <v>134</v>
      </c>
      <c r="Q237" t="s">
        <v>134</v>
      </c>
      <c r="R237" t="s">
        <v>134</v>
      </c>
      <c r="S237" t="s">
        <v>134</v>
      </c>
      <c r="T237" t="s">
        <v>134</v>
      </c>
      <c r="U237" t="s">
        <v>134</v>
      </c>
      <c r="V237" t="s">
        <v>134</v>
      </c>
      <c r="W237" t="s">
        <v>134</v>
      </c>
      <c r="X237" t="s">
        <v>134</v>
      </c>
      <c r="Y237" t="s">
        <v>134</v>
      </c>
      <c r="Z237" t="s">
        <v>134</v>
      </c>
      <c r="AA237" t="s">
        <v>134</v>
      </c>
      <c r="AB237" t="s">
        <v>134</v>
      </c>
      <c r="AC237" t="s">
        <v>134</v>
      </c>
      <c r="AD237" t="s">
        <v>134</v>
      </c>
      <c r="AE237" t="s">
        <v>134</v>
      </c>
      <c r="AF237" t="s">
        <v>134</v>
      </c>
      <c r="AG237" t="s">
        <v>134</v>
      </c>
      <c r="AH237" t="s">
        <v>134</v>
      </c>
      <c r="AI237" t="s">
        <v>134</v>
      </c>
      <c r="AJ237" t="s">
        <v>134</v>
      </c>
      <c r="AK237" t="s">
        <v>134</v>
      </c>
      <c r="AL237" t="s">
        <v>134</v>
      </c>
      <c r="AM237" t="s">
        <v>134</v>
      </c>
      <c r="AN237" t="s">
        <v>134</v>
      </c>
      <c r="AO237" t="s">
        <v>134</v>
      </c>
      <c r="AP237" t="s">
        <v>134</v>
      </c>
      <c r="AQ237" t="s">
        <v>134</v>
      </c>
      <c r="AR237" t="s">
        <v>134</v>
      </c>
      <c r="AS237" t="s">
        <v>134</v>
      </c>
      <c r="AT237" t="s">
        <v>134</v>
      </c>
      <c r="AU237" t="s">
        <v>134</v>
      </c>
      <c r="AV237" t="s">
        <v>134</v>
      </c>
      <c r="AW237" t="s">
        <v>134</v>
      </c>
      <c r="AX237" t="s">
        <v>134</v>
      </c>
      <c r="AY237" t="s">
        <v>134</v>
      </c>
      <c r="AZ237" t="s">
        <v>134</v>
      </c>
      <c r="BA237" t="s">
        <v>134</v>
      </c>
      <c r="BB237" t="s">
        <v>134</v>
      </c>
      <c r="BC237" t="s">
        <v>134</v>
      </c>
      <c r="BD237" t="s">
        <v>134</v>
      </c>
      <c r="BE237" t="s">
        <v>134</v>
      </c>
      <c r="BF237" t="s">
        <v>134</v>
      </c>
      <c r="BG237" t="s">
        <v>134</v>
      </c>
      <c r="BH237" t="s">
        <v>134</v>
      </c>
      <c r="BI237" t="s">
        <v>134</v>
      </c>
      <c r="BJ237" t="s">
        <v>134</v>
      </c>
      <c r="BK237" t="s">
        <v>134</v>
      </c>
      <c r="BL237" t="s">
        <v>134</v>
      </c>
      <c r="BM237" t="s">
        <v>134</v>
      </c>
      <c r="BN237" t="s">
        <v>134</v>
      </c>
      <c r="BO237" t="s">
        <v>134</v>
      </c>
      <c r="BP237" t="s">
        <v>134</v>
      </c>
      <c r="BQ237" t="s">
        <v>134</v>
      </c>
      <c r="BR237" t="s">
        <v>134</v>
      </c>
      <c r="BS237" t="s">
        <v>134</v>
      </c>
      <c r="BT237" t="s">
        <v>134</v>
      </c>
      <c r="BU237" t="s">
        <v>134</v>
      </c>
      <c r="BV237" t="s">
        <v>134</v>
      </c>
      <c r="BW237" t="s">
        <v>134</v>
      </c>
      <c r="BX237" t="s">
        <v>134</v>
      </c>
      <c r="BY237" t="s">
        <v>134</v>
      </c>
      <c r="BZ237" t="s">
        <v>134</v>
      </c>
      <c r="CA237" t="s">
        <v>134</v>
      </c>
      <c r="CB237" t="s">
        <v>134</v>
      </c>
      <c r="CC237" t="s">
        <v>134</v>
      </c>
      <c r="CD237" t="s">
        <v>134</v>
      </c>
      <c r="CE237" t="s">
        <v>134</v>
      </c>
      <c r="CF237" t="s">
        <v>134</v>
      </c>
      <c r="CG237" t="s">
        <v>134</v>
      </c>
      <c r="CH237" t="s">
        <v>134</v>
      </c>
      <c r="CI237" t="s">
        <v>134</v>
      </c>
      <c r="CJ237" t="s">
        <v>134</v>
      </c>
      <c r="CK237" t="s">
        <v>134</v>
      </c>
      <c r="CL237" t="s">
        <v>134</v>
      </c>
      <c r="CM237" t="s">
        <v>134</v>
      </c>
      <c r="CN237" t="s">
        <v>134</v>
      </c>
      <c r="CO237" t="s">
        <v>134</v>
      </c>
      <c r="CP237" t="s">
        <v>134</v>
      </c>
      <c r="CQ237" t="s">
        <v>134</v>
      </c>
      <c r="CR237" t="s">
        <v>134</v>
      </c>
      <c r="CS237" t="s">
        <v>134</v>
      </c>
      <c r="CT237" t="s">
        <v>134</v>
      </c>
      <c r="CU237" t="s">
        <v>134</v>
      </c>
      <c r="CV237" t="s">
        <v>134</v>
      </c>
      <c r="CW237" t="s">
        <v>134</v>
      </c>
      <c r="CX237" t="s">
        <v>134</v>
      </c>
      <c r="CY237" t="s">
        <v>134</v>
      </c>
      <c r="CZ237" t="s">
        <v>134</v>
      </c>
      <c r="DA237" t="s">
        <v>134</v>
      </c>
      <c r="DB237" t="s">
        <v>134</v>
      </c>
      <c r="DC237" t="s">
        <v>134</v>
      </c>
      <c r="DD237" t="s">
        <v>134</v>
      </c>
      <c r="DE237" t="s">
        <v>134</v>
      </c>
      <c r="DF237" t="s">
        <v>134</v>
      </c>
      <c r="DG237" t="s">
        <v>134</v>
      </c>
      <c r="DH237" t="s">
        <v>134</v>
      </c>
      <c r="DI237" t="s">
        <v>134</v>
      </c>
    </row>
    <row r="238" spans="1:113" x14ac:dyDescent="0.3">
      <c r="D238" t="s">
        <v>83</v>
      </c>
      <c r="E238" t="s">
        <v>77</v>
      </c>
      <c r="F238">
        <v>16.952200000000001</v>
      </c>
      <c r="G238">
        <v>1.6711</v>
      </c>
      <c r="H238">
        <v>5.2320000000000002</v>
      </c>
      <c r="I238">
        <v>7.7478999999999996</v>
      </c>
      <c r="J238" t="s">
        <v>134</v>
      </c>
      <c r="K238">
        <v>47.111699999999999</v>
      </c>
      <c r="L238">
        <v>38.428800000000003</v>
      </c>
      <c r="M238">
        <v>24.746400000000001</v>
      </c>
      <c r="N238">
        <v>31.027699999999999</v>
      </c>
      <c r="O238">
        <v>30.9983</v>
      </c>
      <c r="P238">
        <v>30.9983</v>
      </c>
      <c r="Q238">
        <v>34.1402</v>
      </c>
      <c r="R238">
        <v>14.269</v>
      </c>
      <c r="S238">
        <v>14.533300000000001</v>
      </c>
      <c r="T238">
        <v>14.9352</v>
      </c>
      <c r="U238" t="s">
        <v>134</v>
      </c>
      <c r="V238">
        <v>12.4674</v>
      </c>
      <c r="W238">
        <v>12.107699999999999</v>
      </c>
      <c r="X238">
        <v>11.8476</v>
      </c>
      <c r="Y238">
        <v>8.6957000000000004</v>
      </c>
      <c r="Z238" t="s">
        <v>134</v>
      </c>
      <c r="AA238" t="s">
        <v>134</v>
      </c>
      <c r="AB238">
        <v>42.8889</v>
      </c>
      <c r="AC238">
        <v>13.8665</v>
      </c>
      <c r="AD238" t="s">
        <v>134</v>
      </c>
      <c r="AE238" t="s">
        <v>134</v>
      </c>
      <c r="AF238" t="s">
        <v>134</v>
      </c>
      <c r="AG238">
        <v>-3.5426000000000002</v>
      </c>
      <c r="AH238">
        <v>19.389600000000002</v>
      </c>
      <c r="AI238">
        <v>19.157299999999999</v>
      </c>
      <c r="AJ238">
        <v>19.317900000000002</v>
      </c>
      <c r="AK238">
        <v>18.537400000000002</v>
      </c>
      <c r="AL238">
        <v>-3.9290000000000003</v>
      </c>
      <c r="AM238">
        <v>21.0535</v>
      </c>
      <c r="AN238" t="s">
        <v>134</v>
      </c>
      <c r="AO238">
        <v>20.0123</v>
      </c>
      <c r="AP238">
        <v>20.112200000000001</v>
      </c>
      <c r="AQ238">
        <v>16.772200000000002</v>
      </c>
      <c r="AR238">
        <v>12.295500000000001</v>
      </c>
      <c r="AS238" t="s">
        <v>134</v>
      </c>
      <c r="AT238" t="s">
        <v>134</v>
      </c>
      <c r="AU238">
        <v>8.6266999999999996</v>
      </c>
      <c r="AV238">
        <v>17.009599999999999</v>
      </c>
      <c r="AW238" t="s">
        <v>134</v>
      </c>
      <c r="AX238" t="s">
        <v>134</v>
      </c>
      <c r="AY238" t="s">
        <v>134</v>
      </c>
      <c r="AZ238">
        <v>4.3718000000000004</v>
      </c>
      <c r="BA238">
        <v>25.276599999999998</v>
      </c>
      <c r="BB238">
        <v>23.1861</v>
      </c>
      <c r="BC238">
        <v>24.609200000000001</v>
      </c>
      <c r="BD238">
        <v>19.549099999999999</v>
      </c>
      <c r="BE238" t="s">
        <v>134</v>
      </c>
      <c r="BF238">
        <v>14.9352</v>
      </c>
      <c r="BG238" t="s">
        <v>134</v>
      </c>
      <c r="BH238">
        <v>12.4674</v>
      </c>
      <c r="BI238">
        <v>12.107699999999999</v>
      </c>
      <c r="BJ238">
        <v>11.8476</v>
      </c>
      <c r="BK238">
        <v>8.6957000000000004</v>
      </c>
      <c r="BL238" t="s">
        <v>134</v>
      </c>
      <c r="BM238" t="s">
        <v>134</v>
      </c>
      <c r="BN238">
        <v>42.8889</v>
      </c>
      <c r="BO238">
        <v>13.8665</v>
      </c>
      <c r="BP238" t="s">
        <v>134</v>
      </c>
      <c r="BQ238" t="s">
        <v>134</v>
      </c>
      <c r="BR238" t="s">
        <v>134</v>
      </c>
      <c r="BS238">
        <v>-3.5426000000000002</v>
      </c>
      <c r="BT238">
        <v>19.389600000000002</v>
      </c>
      <c r="BU238">
        <v>19.157299999999999</v>
      </c>
      <c r="BV238">
        <v>19.317900000000002</v>
      </c>
      <c r="BW238">
        <v>18.537400000000002</v>
      </c>
      <c r="BX238" t="s">
        <v>134</v>
      </c>
      <c r="BY238">
        <v>1202108.95</v>
      </c>
      <c r="BZ238">
        <v>157171.63</v>
      </c>
      <c r="CA238">
        <v>1044937.32</v>
      </c>
      <c r="CB238" t="s">
        <v>134</v>
      </c>
      <c r="CC238" t="s">
        <v>134</v>
      </c>
      <c r="CD238">
        <v>9.4728999999999992</v>
      </c>
      <c r="CE238">
        <v>6.8170000000000002</v>
      </c>
      <c r="CF238" t="s">
        <v>134</v>
      </c>
      <c r="CG238">
        <v>10.066800000000001</v>
      </c>
      <c r="CH238">
        <v>194.9589</v>
      </c>
      <c r="CI238">
        <v>60.12</v>
      </c>
      <c r="CJ238">
        <v>19.640499999999999</v>
      </c>
      <c r="CK238">
        <v>224.28319999999999</v>
      </c>
      <c r="CL238">
        <v>69.162800000000004</v>
      </c>
      <c r="CM238">
        <v>22.5946</v>
      </c>
      <c r="CN238">
        <v>161.4023</v>
      </c>
      <c r="CO238">
        <v>61.744799999999998</v>
      </c>
      <c r="CP238" t="s">
        <v>134</v>
      </c>
      <c r="CQ238" t="s">
        <v>134</v>
      </c>
      <c r="CR238">
        <v>126899.64200000001</v>
      </c>
      <c r="CS238" t="s">
        <v>134</v>
      </c>
      <c r="CT238" t="s">
        <v>134</v>
      </c>
      <c r="CU238" t="s">
        <v>134</v>
      </c>
      <c r="CV238" t="s">
        <v>134</v>
      </c>
      <c r="CW238" t="s">
        <v>134</v>
      </c>
      <c r="CX238" t="s">
        <v>134</v>
      </c>
      <c r="CY238" t="s">
        <v>134</v>
      </c>
      <c r="CZ238" t="s">
        <v>134</v>
      </c>
      <c r="DA238" t="s">
        <v>134</v>
      </c>
      <c r="DB238" t="s">
        <v>134</v>
      </c>
      <c r="DC238" t="s">
        <v>134</v>
      </c>
      <c r="DD238" t="s">
        <v>134</v>
      </c>
      <c r="DE238" t="s">
        <v>134</v>
      </c>
      <c r="DF238" t="s">
        <v>134</v>
      </c>
      <c r="DG238" t="s">
        <v>134</v>
      </c>
      <c r="DH238" t="s">
        <v>134</v>
      </c>
      <c r="DI238" t="s">
        <v>134</v>
      </c>
    </row>
    <row r="239" spans="1:113" x14ac:dyDescent="0.3">
      <c r="E239" t="s">
        <v>78</v>
      </c>
      <c r="F239" t="s">
        <v>134</v>
      </c>
      <c r="G239" t="s">
        <v>134</v>
      </c>
      <c r="H239" t="s">
        <v>134</v>
      </c>
      <c r="I239" t="s">
        <v>134</v>
      </c>
      <c r="J239" t="s">
        <v>134</v>
      </c>
      <c r="K239" t="s">
        <v>134</v>
      </c>
      <c r="L239" t="s">
        <v>134</v>
      </c>
      <c r="M239" t="s">
        <v>134</v>
      </c>
      <c r="N239" t="s">
        <v>134</v>
      </c>
      <c r="O239" t="s">
        <v>134</v>
      </c>
      <c r="P239" t="s">
        <v>134</v>
      </c>
      <c r="Q239" t="s">
        <v>134</v>
      </c>
      <c r="R239" t="s">
        <v>134</v>
      </c>
      <c r="S239" t="s">
        <v>134</v>
      </c>
      <c r="T239" t="s">
        <v>134</v>
      </c>
      <c r="U239" t="s">
        <v>134</v>
      </c>
      <c r="V239" t="s">
        <v>134</v>
      </c>
      <c r="W239" t="s">
        <v>134</v>
      </c>
      <c r="X239" t="s">
        <v>134</v>
      </c>
      <c r="Y239" t="s">
        <v>134</v>
      </c>
      <c r="Z239" t="s">
        <v>134</v>
      </c>
      <c r="AA239" t="s">
        <v>134</v>
      </c>
      <c r="AB239" t="s">
        <v>134</v>
      </c>
      <c r="AC239" t="s">
        <v>134</v>
      </c>
      <c r="AD239" t="s">
        <v>134</v>
      </c>
      <c r="AE239" t="s">
        <v>134</v>
      </c>
      <c r="AF239" t="s">
        <v>134</v>
      </c>
      <c r="AG239" t="s">
        <v>134</v>
      </c>
      <c r="AH239" t="s">
        <v>134</v>
      </c>
      <c r="AI239" t="s">
        <v>134</v>
      </c>
      <c r="AJ239" t="s">
        <v>134</v>
      </c>
      <c r="AK239" t="s">
        <v>134</v>
      </c>
      <c r="AL239" t="s">
        <v>134</v>
      </c>
      <c r="AM239" t="s">
        <v>134</v>
      </c>
      <c r="AN239" t="s">
        <v>134</v>
      </c>
      <c r="AO239" t="s">
        <v>134</v>
      </c>
      <c r="AP239" t="s">
        <v>134</v>
      </c>
      <c r="AQ239" t="s">
        <v>134</v>
      </c>
      <c r="AR239" t="s">
        <v>134</v>
      </c>
      <c r="AS239" t="s">
        <v>134</v>
      </c>
      <c r="AT239" t="s">
        <v>134</v>
      </c>
      <c r="AU239" t="s">
        <v>134</v>
      </c>
      <c r="AV239" t="s">
        <v>134</v>
      </c>
      <c r="AW239" t="s">
        <v>134</v>
      </c>
      <c r="AX239" t="s">
        <v>134</v>
      </c>
      <c r="AY239" t="s">
        <v>134</v>
      </c>
      <c r="AZ239" t="s">
        <v>134</v>
      </c>
      <c r="BA239" t="s">
        <v>134</v>
      </c>
      <c r="BB239" t="s">
        <v>134</v>
      </c>
      <c r="BC239" t="s">
        <v>134</v>
      </c>
      <c r="BD239" t="s">
        <v>134</v>
      </c>
      <c r="BE239" t="s">
        <v>134</v>
      </c>
      <c r="BF239" t="s">
        <v>134</v>
      </c>
      <c r="BG239" t="s">
        <v>134</v>
      </c>
      <c r="BH239" t="s">
        <v>134</v>
      </c>
      <c r="BI239" t="s">
        <v>134</v>
      </c>
      <c r="BJ239" t="s">
        <v>134</v>
      </c>
      <c r="BK239" t="s">
        <v>134</v>
      </c>
      <c r="BL239" t="s">
        <v>134</v>
      </c>
      <c r="BM239" t="s">
        <v>134</v>
      </c>
      <c r="BN239" t="s">
        <v>134</v>
      </c>
      <c r="BO239" t="s">
        <v>134</v>
      </c>
      <c r="BP239" t="s">
        <v>134</v>
      </c>
      <c r="BQ239" t="s">
        <v>134</v>
      </c>
      <c r="BR239" t="s">
        <v>134</v>
      </c>
      <c r="BS239" t="s">
        <v>134</v>
      </c>
      <c r="BT239" t="s">
        <v>134</v>
      </c>
      <c r="BU239" t="s">
        <v>134</v>
      </c>
      <c r="BV239" t="s">
        <v>134</v>
      </c>
      <c r="BW239" t="s">
        <v>134</v>
      </c>
      <c r="BX239" t="s">
        <v>134</v>
      </c>
      <c r="BY239" t="s">
        <v>134</v>
      </c>
      <c r="BZ239" t="s">
        <v>134</v>
      </c>
      <c r="CA239" t="s">
        <v>134</v>
      </c>
      <c r="CB239" t="s">
        <v>134</v>
      </c>
      <c r="CC239" t="s">
        <v>134</v>
      </c>
      <c r="CD239" t="s">
        <v>134</v>
      </c>
      <c r="CE239" t="s">
        <v>134</v>
      </c>
      <c r="CF239" t="s">
        <v>134</v>
      </c>
      <c r="CG239" t="s">
        <v>134</v>
      </c>
      <c r="CH239" t="s">
        <v>134</v>
      </c>
      <c r="CI239" t="s">
        <v>134</v>
      </c>
      <c r="CJ239" t="s">
        <v>134</v>
      </c>
      <c r="CK239" t="s">
        <v>134</v>
      </c>
      <c r="CL239" t="s">
        <v>134</v>
      </c>
      <c r="CM239" t="s">
        <v>134</v>
      </c>
      <c r="CN239" t="s">
        <v>134</v>
      </c>
      <c r="CO239" t="s">
        <v>134</v>
      </c>
      <c r="CP239" t="s">
        <v>134</v>
      </c>
      <c r="CQ239" t="s">
        <v>134</v>
      </c>
      <c r="CR239" t="s">
        <v>134</v>
      </c>
      <c r="CS239" t="s">
        <v>134</v>
      </c>
      <c r="CT239" t="s">
        <v>134</v>
      </c>
      <c r="CU239" t="s">
        <v>134</v>
      </c>
      <c r="CV239" t="s">
        <v>134</v>
      </c>
      <c r="CW239" t="s">
        <v>134</v>
      </c>
      <c r="CX239" t="s">
        <v>134</v>
      </c>
      <c r="CY239" t="s">
        <v>134</v>
      </c>
      <c r="CZ239" t="s">
        <v>134</v>
      </c>
      <c r="DA239" t="s">
        <v>134</v>
      </c>
      <c r="DB239" t="s">
        <v>134</v>
      </c>
      <c r="DC239" t="s">
        <v>134</v>
      </c>
      <c r="DD239" t="s">
        <v>134</v>
      </c>
      <c r="DE239" t="s">
        <v>134</v>
      </c>
      <c r="DF239" t="s">
        <v>134</v>
      </c>
      <c r="DG239" t="s">
        <v>134</v>
      </c>
      <c r="DH239" t="s">
        <v>134</v>
      </c>
      <c r="DI239" t="s">
        <v>134</v>
      </c>
    </row>
    <row r="240" spans="1:113" x14ac:dyDescent="0.3">
      <c r="E240" t="s">
        <v>79</v>
      </c>
      <c r="F240" t="s">
        <v>134</v>
      </c>
      <c r="G240" t="s">
        <v>134</v>
      </c>
      <c r="H240" t="s">
        <v>134</v>
      </c>
      <c r="I240" t="s">
        <v>134</v>
      </c>
      <c r="J240" t="s">
        <v>134</v>
      </c>
      <c r="K240" t="s">
        <v>134</v>
      </c>
      <c r="L240" t="s">
        <v>134</v>
      </c>
      <c r="M240" t="s">
        <v>134</v>
      </c>
      <c r="N240" t="s">
        <v>134</v>
      </c>
      <c r="O240" t="s">
        <v>134</v>
      </c>
      <c r="P240" t="s">
        <v>134</v>
      </c>
      <c r="Q240" t="s">
        <v>134</v>
      </c>
      <c r="R240" t="s">
        <v>134</v>
      </c>
      <c r="S240" t="s">
        <v>134</v>
      </c>
      <c r="T240" t="s">
        <v>134</v>
      </c>
      <c r="U240" t="s">
        <v>134</v>
      </c>
      <c r="V240" t="s">
        <v>134</v>
      </c>
      <c r="W240" t="s">
        <v>134</v>
      </c>
      <c r="X240" t="s">
        <v>134</v>
      </c>
      <c r="Y240" t="s">
        <v>134</v>
      </c>
      <c r="Z240" t="s">
        <v>134</v>
      </c>
      <c r="AA240" t="s">
        <v>134</v>
      </c>
      <c r="AB240" t="s">
        <v>134</v>
      </c>
      <c r="AC240" t="s">
        <v>134</v>
      </c>
      <c r="AD240" t="s">
        <v>134</v>
      </c>
      <c r="AE240" t="s">
        <v>134</v>
      </c>
      <c r="AF240" t="s">
        <v>134</v>
      </c>
      <c r="AG240" t="s">
        <v>134</v>
      </c>
      <c r="AH240" t="s">
        <v>134</v>
      </c>
      <c r="AI240" t="s">
        <v>134</v>
      </c>
      <c r="AJ240" t="s">
        <v>134</v>
      </c>
      <c r="AK240" t="s">
        <v>134</v>
      </c>
      <c r="AL240" t="s">
        <v>134</v>
      </c>
      <c r="AM240" t="s">
        <v>134</v>
      </c>
      <c r="AN240" t="s">
        <v>134</v>
      </c>
      <c r="AO240" t="s">
        <v>134</v>
      </c>
      <c r="AP240" t="s">
        <v>134</v>
      </c>
      <c r="AQ240" t="s">
        <v>134</v>
      </c>
      <c r="AR240" t="s">
        <v>134</v>
      </c>
      <c r="AS240" t="s">
        <v>134</v>
      </c>
      <c r="AT240" t="s">
        <v>134</v>
      </c>
      <c r="AU240" t="s">
        <v>134</v>
      </c>
      <c r="AV240" t="s">
        <v>134</v>
      </c>
      <c r="AW240" t="s">
        <v>134</v>
      </c>
      <c r="AX240" t="s">
        <v>134</v>
      </c>
      <c r="AY240" t="s">
        <v>134</v>
      </c>
      <c r="AZ240" t="s">
        <v>134</v>
      </c>
      <c r="BA240" t="s">
        <v>134</v>
      </c>
      <c r="BB240" t="s">
        <v>134</v>
      </c>
      <c r="BC240" t="s">
        <v>134</v>
      </c>
      <c r="BD240" t="s">
        <v>134</v>
      </c>
      <c r="BE240" t="s">
        <v>134</v>
      </c>
      <c r="BF240" t="s">
        <v>134</v>
      </c>
      <c r="BG240" t="s">
        <v>134</v>
      </c>
      <c r="BH240" t="s">
        <v>134</v>
      </c>
      <c r="BI240" t="s">
        <v>134</v>
      </c>
      <c r="BJ240" t="s">
        <v>134</v>
      </c>
      <c r="BK240" t="s">
        <v>134</v>
      </c>
      <c r="BL240" t="s">
        <v>134</v>
      </c>
      <c r="BM240" t="s">
        <v>134</v>
      </c>
      <c r="BN240" t="s">
        <v>134</v>
      </c>
      <c r="BO240" t="s">
        <v>134</v>
      </c>
      <c r="BP240" t="s">
        <v>134</v>
      </c>
      <c r="BQ240" t="s">
        <v>134</v>
      </c>
      <c r="BR240" t="s">
        <v>134</v>
      </c>
      <c r="BS240" t="s">
        <v>134</v>
      </c>
      <c r="BT240" t="s">
        <v>134</v>
      </c>
      <c r="BU240" t="s">
        <v>134</v>
      </c>
      <c r="BV240" t="s">
        <v>134</v>
      </c>
      <c r="BW240" t="s">
        <v>134</v>
      </c>
      <c r="BX240" t="s">
        <v>134</v>
      </c>
      <c r="BY240" t="s">
        <v>134</v>
      </c>
      <c r="BZ240" t="s">
        <v>134</v>
      </c>
      <c r="CA240" t="s">
        <v>134</v>
      </c>
      <c r="CB240" t="s">
        <v>134</v>
      </c>
      <c r="CC240" t="s">
        <v>134</v>
      </c>
      <c r="CD240" t="s">
        <v>134</v>
      </c>
      <c r="CE240" t="s">
        <v>134</v>
      </c>
      <c r="CF240" t="s">
        <v>134</v>
      </c>
      <c r="CG240" t="s">
        <v>134</v>
      </c>
      <c r="CH240" t="s">
        <v>134</v>
      </c>
      <c r="CI240" t="s">
        <v>134</v>
      </c>
      <c r="CJ240" t="s">
        <v>134</v>
      </c>
      <c r="CK240" t="s">
        <v>134</v>
      </c>
      <c r="CL240" t="s">
        <v>134</v>
      </c>
      <c r="CM240" t="s">
        <v>134</v>
      </c>
      <c r="CN240" t="s">
        <v>134</v>
      </c>
      <c r="CO240" t="s">
        <v>134</v>
      </c>
      <c r="CP240" t="s">
        <v>134</v>
      </c>
      <c r="CQ240" t="s">
        <v>134</v>
      </c>
      <c r="CR240" t="s">
        <v>134</v>
      </c>
      <c r="CS240" t="s">
        <v>134</v>
      </c>
      <c r="CT240" t="s">
        <v>134</v>
      </c>
      <c r="CU240" t="s">
        <v>134</v>
      </c>
      <c r="CV240" t="s">
        <v>134</v>
      </c>
      <c r="CW240" t="s">
        <v>134</v>
      </c>
      <c r="CX240" t="s">
        <v>134</v>
      </c>
      <c r="CY240" t="s">
        <v>134</v>
      </c>
      <c r="CZ240" t="s">
        <v>134</v>
      </c>
      <c r="DA240" t="s">
        <v>134</v>
      </c>
      <c r="DB240" t="s">
        <v>134</v>
      </c>
      <c r="DC240" t="s">
        <v>134</v>
      </c>
      <c r="DD240" t="s">
        <v>134</v>
      </c>
      <c r="DE240" t="s">
        <v>134</v>
      </c>
      <c r="DF240" t="s">
        <v>134</v>
      </c>
      <c r="DG240" t="s">
        <v>134</v>
      </c>
      <c r="DH240" t="s">
        <v>134</v>
      </c>
      <c r="DI240" t="s">
        <v>134</v>
      </c>
    </row>
    <row r="241" spans="1:113" x14ac:dyDescent="0.3">
      <c r="E241" t="s">
        <v>80</v>
      </c>
      <c r="F241" t="s">
        <v>134</v>
      </c>
      <c r="G241" t="s">
        <v>134</v>
      </c>
      <c r="H241" t="s">
        <v>134</v>
      </c>
      <c r="I241" t="s">
        <v>134</v>
      </c>
      <c r="J241" t="s">
        <v>134</v>
      </c>
      <c r="K241" t="s">
        <v>134</v>
      </c>
      <c r="L241" t="s">
        <v>134</v>
      </c>
      <c r="M241" t="s">
        <v>134</v>
      </c>
      <c r="N241" t="s">
        <v>134</v>
      </c>
      <c r="O241" t="s">
        <v>134</v>
      </c>
      <c r="P241" t="s">
        <v>134</v>
      </c>
      <c r="Q241" t="s">
        <v>134</v>
      </c>
      <c r="R241" t="s">
        <v>134</v>
      </c>
      <c r="S241" t="s">
        <v>134</v>
      </c>
      <c r="T241" t="s">
        <v>134</v>
      </c>
      <c r="U241" t="s">
        <v>134</v>
      </c>
      <c r="V241" t="s">
        <v>134</v>
      </c>
      <c r="W241" t="s">
        <v>134</v>
      </c>
      <c r="X241" t="s">
        <v>134</v>
      </c>
      <c r="Y241" t="s">
        <v>134</v>
      </c>
      <c r="Z241" t="s">
        <v>134</v>
      </c>
      <c r="AA241" t="s">
        <v>134</v>
      </c>
      <c r="AB241" t="s">
        <v>134</v>
      </c>
      <c r="AC241" t="s">
        <v>134</v>
      </c>
      <c r="AD241" t="s">
        <v>134</v>
      </c>
      <c r="AE241" t="s">
        <v>134</v>
      </c>
      <c r="AF241" t="s">
        <v>134</v>
      </c>
      <c r="AG241" t="s">
        <v>134</v>
      </c>
      <c r="AH241" t="s">
        <v>134</v>
      </c>
      <c r="AI241" t="s">
        <v>134</v>
      </c>
      <c r="AJ241" t="s">
        <v>134</v>
      </c>
      <c r="AK241" t="s">
        <v>134</v>
      </c>
      <c r="AL241" t="s">
        <v>134</v>
      </c>
      <c r="AM241" t="s">
        <v>134</v>
      </c>
      <c r="AN241" t="s">
        <v>134</v>
      </c>
      <c r="AO241" t="s">
        <v>134</v>
      </c>
      <c r="AP241" t="s">
        <v>134</v>
      </c>
      <c r="AQ241" t="s">
        <v>134</v>
      </c>
      <c r="AR241" t="s">
        <v>134</v>
      </c>
      <c r="AS241" t="s">
        <v>134</v>
      </c>
      <c r="AT241" t="s">
        <v>134</v>
      </c>
      <c r="AU241" t="s">
        <v>134</v>
      </c>
      <c r="AV241" t="s">
        <v>134</v>
      </c>
      <c r="AW241" t="s">
        <v>134</v>
      </c>
      <c r="AX241" t="s">
        <v>134</v>
      </c>
      <c r="AY241" t="s">
        <v>134</v>
      </c>
      <c r="AZ241" t="s">
        <v>134</v>
      </c>
      <c r="BA241" t="s">
        <v>134</v>
      </c>
      <c r="BB241" t="s">
        <v>134</v>
      </c>
      <c r="BC241" t="s">
        <v>134</v>
      </c>
      <c r="BD241" t="s">
        <v>134</v>
      </c>
      <c r="BE241" t="s">
        <v>134</v>
      </c>
      <c r="BF241" t="s">
        <v>134</v>
      </c>
      <c r="BG241" t="s">
        <v>134</v>
      </c>
      <c r="BH241" t="s">
        <v>134</v>
      </c>
      <c r="BI241" t="s">
        <v>134</v>
      </c>
      <c r="BJ241" t="s">
        <v>134</v>
      </c>
      <c r="BK241" t="s">
        <v>134</v>
      </c>
      <c r="BL241" t="s">
        <v>134</v>
      </c>
      <c r="BM241" t="s">
        <v>134</v>
      </c>
      <c r="BN241" t="s">
        <v>134</v>
      </c>
      <c r="BO241" t="s">
        <v>134</v>
      </c>
      <c r="BP241" t="s">
        <v>134</v>
      </c>
      <c r="BQ241" t="s">
        <v>134</v>
      </c>
      <c r="BR241" t="s">
        <v>134</v>
      </c>
      <c r="BS241" t="s">
        <v>134</v>
      </c>
      <c r="BT241" t="s">
        <v>134</v>
      </c>
      <c r="BU241" t="s">
        <v>134</v>
      </c>
      <c r="BV241" t="s">
        <v>134</v>
      </c>
      <c r="BW241" t="s">
        <v>134</v>
      </c>
      <c r="BX241" t="s">
        <v>134</v>
      </c>
      <c r="BY241" t="s">
        <v>134</v>
      </c>
      <c r="BZ241" t="s">
        <v>134</v>
      </c>
      <c r="CA241" t="s">
        <v>134</v>
      </c>
      <c r="CB241" t="s">
        <v>134</v>
      </c>
      <c r="CC241" t="s">
        <v>134</v>
      </c>
      <c r="CD241" t="s">
        <v>134</v>
      </c>
      <c r="CE241" t="s">
        <v>134</v>
      </c>
      <c r="CF241" t="s">
        <v>134</v>
      </c>
      <c r="CG241" t="s">
        <v>134</v>
      </c>
      <c r="CH241" t="s">
        <v>134</v>
      </c>
      <c r="CI241" t="s">
        <v>134</v>
      </c>
      <c r="CJ241" t="s">
        <v>134</v>
      </c>
      <c r="CK241" t="s">
        <v>134</v>
      </c>
      <c r="CL241" t="s">
        <v>134</v>
      </c>
      <c r="CM241" t="s">
        <v>134</v>
      </c>
      <c r="CN241" t="s">
        <v>134</v>
      </c>
      <c r="CO241" t="s">
        <v>134</v>
      </c>
      <c r="CP241" t="s">
        <v>134</v>
      </c>
      <c r="CQ241" t="s">
        <v>134</v>
      </c>
      <c r="CR241" t="s">
        <v>134</v>
      </c>
      <c r="CS241" t="s">
        <v>134</v>
      </c>
      <c r="CT241" t="s">
        <v>134</v>
      </c>
      <c r="CU241" t="s">
        <v>134</v>
      </c>
      <c r="CV241" t="s">
        <v>134</v>
      </c>
      <c r="CW241" t="s">
        <v>134</v>
      </c>
      <c r="CX241" t="s">
        <v>134</v>
      </c>
      <c r="CY241" t="s">
        <v>134</v>
      </c>
      <c r="CZ241" t="s">
        <v>134</v>
      </c>
      <c r="DA241" t="s">
        <v>134</v>
      </c>
      <c r="DB241" t="s">
        <v>134</v>
      </c>
      <c r="DC241" t="s">
        <v>134</v>
      </c>
      <c r="DD241" t="s">
        <v>134</v>
      </c>
      <c r="DE241" t="s">
        <v>134</v>
      </c>
      <c r="DF241" t="s">
        <v>134</v>
      </c>
      <c r="DG241" t="s">
        <v>134</v>
      </c>
      <c r="DH241" t="s">
        <v>134</v>
      </c>
      <c r="DI241" t="s">
        <v>134</v>
      </c>
    </row>
    <row r="242" spans="1:113" x14ac:dyDescent="0.3">
      <c r="E242" t="s">
        <v>81</v>
      </c>
      <c r="F242" t="s">
        <v>134</v>
      </c>
      <c r="G242" t="s">
        <v>134</v>
      </c>
      <c r="H242" t="s">
        <v>134</v>
      </c>
      <c r="I242" t="s">
        <v>134</v>
      </c>
      <c r="J242" t="s">
        <v>134</v>
      </c>
      <c r="K242" t="s">
        <v>134</v>
      </c>
      <c r="L242" t="s">
        <v>134</v>
      </c>
      <c r="M242" t="s">
        <v>134</v>
      </c>
      <c r="N242" t="s">
        <v>134</v>
      </c>
      <c r="O242" t="s">
        <v>134</v>
      </c>
      <c r="P242" t="s">
        <v>134</v>
      </c>
      <c r="Q242" t="s">
        <v>134</v>
      </c>
      <c r="R242" t="s">
        <v>134</v>
      </c>
      <c r="S242" t="s">
        <v>134</v>
      </c>
      <c r="T242" t="s">
        <v>134</v>
      </c>
      <c r="U242" t="s">
        <v>134</v>
      </c>
      <c r="V242" t="s">
        <v>134</v>
      </c>
      <c r="W242" t="s">
        <v>134</v>
      </c>
      <c r="X242" t="s">
        <v>134</v>
      </c>
      <c r="Y242" t="s">
        <v>134</v>
      </c>
      <c r="Z242" t="s">
        <v>134</v>
      </c>
      <c r="AA242" t="s">
        <v>134</v>
      </c>
      <c r="AB242" t="s">
        <v>134</v>
      </c>
      <c r="AC242" t="s">
        <v>134</v>
      </c>
      <c r="AD242" t="s">
        <v>134</v>
      </c>
      <c r="AE242" t="s">
        <v>134</v>
      </c>
      <c r="AF242" t="s">
        <v>134</v>
      </c>
      <c r="AG242" t="s">
        <v>134</v>
      </c>
      <c r="AH242" t="s">
        <v>134</v>
      </c>
      <c r="AI242" t="s">
        <v>134</v>
      </c>
      <c r="AJ242" t="s">
        <v>134</v>
      </c>
      <c r="AK242" t="s">
        <v>134</v>
      </c>
      <c r="AL242" t="s">
        <v>134</v>
      </c>
      <c r="AM242" t="s">
        <v>134</v>
      </c>
      <c r="AN242" t="s">
        <v>134</v>
      </c>
      <c r="AO242" t="s">
        <v>134</v>
      </c>
      <c r="AP242" t="s">
        <v>134</v>
      </c>
      <c r="AQ242" t="s">
        <v>134</v>
      </c>
      <c r="AR242" t="s">
        <v>134</v>
      </c>
      <c r="AS242" t="s">
        <v>134</v>
      </c>
      <c r="AT242" t="s">
        <v>134</v>
      </c>
      <c r="AU242" t="s">
        <v>134</v>
      </c>
      <c r="AV242" t="s">
        <v>134</v>
      </c>
      <c r="AW242" t="s">
        <v>134</v>
      </c>
      <c r="AX242" t="s">
        <v>134</v>
      </c>
      <c r="AY242" t="s">
        <v>134</v>
      </c>
      <c r="AZ242" t="s">
        <v>134</v>
      </c>
      <c r="BA242" t="s">
        <v>134</v>
      </c>
      <c r="BB242" t="s">
        <v>134</v>
      </c>
      <c r="BC242" t="s">
        <v>134</v>
      </c>
      <c r="BD242" t="s">
        <v>134</v>
      </c>
      <c r="BE242" t="s">
        <v>134</v>
      </c>
      <c r="BF242" t="s">
        <v>134</v>
      </c>
      <c r="BG242" t="s">
        <v>134</v>
      </c>
      <c r="BH242" t="s">
        <v>134</v>
      </c>
      <c r="BI242" t="s">
        <v>134</v>
      </c>
      <c r="BJ242" t="s">
        <v>134</v>
      </c>
      <c r="BK242" t="s">
        <v>134</v>
      </c>
      <c r="BL242" t="s">
        <v>134</v>
      </c>
      <c r="BM242" t="s">
        <v>134</v>
      </c>
      <c r="BN242" t="s">
        <v>134</v>
      </c>
      <c r="BO242" t="s">
        <v>134</v>
      </c>
      <c r="BP242" t="s">
        <v>134</v>
      </c>
      <c r="BQ242" t="s">
        <v>134</v>
      </c>
      <c r="BR242" t="s">
        <v>134</v>
      </c>
      <c r="BS242" t="s">
        <v>134</v>
      </c>
      <c r="BT242" t="s">
        <v>134</v>
      </c>
      <c r="BU242" t="s">
        <v>134</v>
      </c>
      <c r="BV242" t="s">
        <v>134</v>
      </c>
      <c r="BW242" t="s">
        <v>134</v>
      </c>
      <c r="BX242" t="s">
        <v>134</v>
      </c>
      <c r="BY242" t="s">
        <v>134</v>
      </c>
      <c r="BZ242" t="s">
        <v>134</v>
      </c>
      <c r="CA242" t="s">
        <v>134</v>
      </c>
      <c r="CB242" t="s">
        <v>134</v>
      </c>
      <c r="CC242" t="s">
        <v>134</v>
      </c>
      <c r="CD242" t="s">
        <v>134</v>
      </c>
      <c r="CE242" t="s">
        <v>134</v>
      </c>
      <c r="CF242" t="s">
        <v>134</v>
      </c>
      <c r="CG242" t="s">
        <v>134</v>
      </c>
      <c r="CH242" t="s">
        <v>134</v>
      </c>
      <c r="CI242" t="s">
        <v>134</v>
      </c>
      <c r="CJ242" t="s">
        <v>134</v>
      </c>
      <c r="CK242" t="s">
        <v>134</v>
      </c>
      <c r="CL242" t="s">
        <v>134</v>
      </c>
      <c r="CM242" t="s">
        <v>134</v>
      </c>
      <c r="CN242" t="s">
        <v>134</v>
      </c>
      <c r="CO242" t="s">
        <v>134</v>
      </c>
      <c r="CP242" t="s">
        <v>134</v>
      </c>
      <c r="CQ242" t="s">
        <v>134</v>
      </c>
      <c r="CR242" t="s">
        <v>134</v>
      </c>
      <c r="CS242" t="s">
        <v>134</v>
      </c>
      <c r="CT242" t="s">
        <v>134</v>
      </c>
      <c r="CU242" t="s">
        <v>134</v>
      </c>
      <c r="CV242" t="s">
        <v>134</v>
      </c>
      <c r="CW242" t="s">
        <v>134</v>
      </c>
      <c r="CX242" t="s">
        <v>134</v>
      </c>
      <c r="CY242" t="s">
        <v>134</v>
      </c>
      <c r="CZ242" t="s">
        <v>134</v>
      </c>
      <c r="DA242" t="s">
        <v>134</v>
      </c>
      <c r="DB242" t="s">
        <v>134</v>
      </c>
      <c r="DC242" t="s">
        <v>134</v>
      </c>
      <c r="DD242" t="s">
        <v>134</v>
      </c>
      <c r="DE242" t="s">
        <v>134</v>
      </c>
      <c r="DF242" t="s">
        <v>134</v>
      </c>
      <c r="DG242" t="s">
        <v>134</v>
      </c>
      <c r="DH242" t="s">
        <v>134</v>
      </c>
      <c r="DI242" t="s">
        <v>134</v>
      </c>
    </row>
    <row r="243" spans="1:113" x14ac:dyDescent="0.3">
      <c r="D243" t="s">
        <v>84</v>
      </c>
      <c r="E243" t="s">
        <v>77</v>
      </c>
      <c r="F243">
        <v>7.1913</v>
      </c>
      <c r="G243">
        <v>0.68279999999999996</v>
      </c>
      <c r="H243">
        <v>2.1326999999999998</v>
      </c>
      <c r="I243">
        <v>8.0350000000000001</v>
      </c>
      <c r="J243" t="s">
        <v>134</v>
      </c>
      <c r="K243">
        <v>19.325900000000001</v>
      </c>
      <c r="L243" t="s">
        <v>134</v>
      </c>
      <c r="M243">
        <v>10.3371</v>
      </c>
      <c r="N243">
        <v>12.876899999999999</v>
      </c>
      <c r="O243">
        <v>12.8314</v>
      </c>
      <c r="P243">
        <v>12.8314</v>
      </c>
      <c r="Q243">
        <v>33.369900000000001</v>
      </c>
      <c r="R243">
        <v>30.293700000000001</v>
      </c>
      <c r="S243">
        <v>5.0128000000000004</v>
      </c>
      <c r="T243">
        <v>12.3178</v>
      </c>
      <c r="U243" t="s">
        <v>134</v>
      </c>
      <c r="V243">
        <v>-53.082500000000003</v>
      </c>
      <c r="W243">
        <v>-52.656399999999998</v>
      </c>
      <c r="X243">
        <v>-52.819899999999997</v>
      </c>
      <c r="Y243">
        <v>0</v>
      </c>
      <c r="Z243" t="s">
        <v>134</v>
      </c>
      <c r="AA243" t="s">
        <v>134</v>
      </c>
      <c r="AB243">
        <v>6.6167999999999996</v>
      </c>
      <c r="AC243">
        <v>11.9101</v>
      </c>
      <c r="AD243" t="s">
        <v>134</v>
      </c>
      <c r="AE243" t="s">
        <v>134</v>
      </c>
      <c r="AF243" t="s">
        <v>134</v>
      </c>
      <c r="AG243">
        <v>27.052299999999999</v>
      </c>
      <c r="AH243">
        <v>2.2065000000000001</v>
      </c>
      <c r="AI243">
        <v>5.3059000000000003</v>
      </c>
      <c r="AJ243">
        <v>3.1135000000000002</v>
      </c>
      <c r="AK243">
        <v>4.7317999999999998</v>
      </c>
      <c r="AL243" t="s">
        <v>134</v>
      </c>
      <c r="AM243">
        <v>15.998799999999999</v>
      </c>
      <c r="AN243" t="s">
        <v>134</v>
      </c>
      <c r="AO243">
        <v>-1.0295000000000001</v>
      </c>
      <c r="AP243">
        <v>-1.2974999999999999</v>
      </c>
      <c r="AQ243">
        <v>-4.1139999999999999</v>
      </c>
      <c r="AR243">
        <v>9.3361999999999998</v>
      </c>
      <c r="AS243" t="s">
        <v>134</v>
      </c>
      <c r="AT243" t="s">
        <v>134</v>
      </c>
      <c r="AU243">
        <v>12.0739</v>
      </c>
      <c r="AV243">
        <v>16.4603</v>
      </c>
      <c r="AW243" t="s">
        <v>134</v>
      </c>
      <c r="AX243" t="s">
        <v>134</v>
      </c>
      <c r="AY243" t="s">
        <v>134</v>
      </c>
      <c r="AZ243">
        <v>5.5016999999999996</v>
      </c>
      <c r="BA243">
        <v>21.825099999999999</v>
      </c>
      <c r="BB243">
        <v>20.001000000000001</v>
      </c>
      <c r="BC243">
        <v>21.262499999999999</v>
      </c>
      <c r="BD243">
        <v>16.480899999999998</v>
      </c>
      <c r="BE243" t="s">
        <v>134</v>
      </c>
      <c r="BF243">
        <v>12.3178</v>
      </c>
      <c r="BG243" t="s">
        <v>134</v>
      </c>
      <c r="BH243">
        <v>-53.082500000000003</v>
      </c>
      <c r="BI243">
        <v>-52.656399999999998</v>
      </c>
      <c r="BJ243">
        <v>-52.819899999999997</v>
      </c>
      <c r="BK243">
        <v>0</v>
      </c>
      <c r="BL243" t="s">
        <v>134</v>
      </c>
      <c r="BM243" t="s">
        <v>134</v>
      </c>
      <c r="BN243">
        <v>6.6167999999999996</v>
      </c>
      <c r="BO243">
        <v>11.9101</v>
      </c>
      <c r="BP243" t="s">
        <v>134</v>
      </c>
      <c r="BQ243" t="s">
        <v>134</v>
      </c>
      <c r="BR243" t="s">
        <v>134</v>
      </c>
      <c r="BS243">
        <v>27.052299999999999</v>
      </c>
      <c r="BT243">
        <v>2.2065000000000001</v>
      </c>
      <c r="BU243">
        <v>5.3059000000000003</v>
      </c>
      <c r="BV243">
        <v>3.1135000000000002</v>
      </c>
      <c r="BW243">
        <v>4.7317999999999998</v>
      </c>
      <c r="BX243" t="s">
        <v>134</v>
      </c>
      <c r="BY243">
        <v>1324237.8049999999</v>
      </c>
      <c r="BZ243">
        <v>199690.19</v>
      </c>
      <c r="CA243">
        <v>1124547.615</v>
      </c>
      <c r="CB243" t="s">
        <v>134</v>
      </c>
      <c r="CC243" t="s">
        <v>134</v>
      </c>
      <c r="CD243">
        <v>22.241900000000001</v>
      </c>
      <c r="CE243">
        <v>13.6816</v>
      </c>
      <c r="CF243" t="s">
        <v>134</v>
      </c>
      <c r="CG243">
        <v>9.2205999999999992</v>
      </c>
      <c r="CH243">
        <v>199.2407</v>
      </c>
      <c r="CI243">
        <v>59.542299999999997</v>
      </c>
      <c r="CJ243">
        <v>18.391100000000002</v>
      </c>
      <c r="CK243">
        <v>234.6206</v>
      </c>
      <c r="CL243">
        <v>70.115399999999994</v>
      </c>
      <c r="CM243">
        <v>21.6569</v>
      </c>
      <c r="CN243">
        <v>144.3219</v>
      </c>
      <c r="CO243">
        <v>59.070399999999999</v>
      </c>
      <c r="CP243" t="s">
        <v>134</v>
      </c>
      <c r="CQ243" t="s">
        <v>134</v>
      </c>
      <c r="CR243">
        <v>59538.105000000003</v>
      </c>
      <c r="CS243" t="s">
        <v>134</v>
      </c>
      <c r="CT243" t="s">
        <v>134</v>
      </c>
      <c r="CU243" t="s">
        <v>134</v>
      </c>
      <c r="CV243" t="s">
        <v>134</v>
      </c>
      <c r="CW243" t="s">
        <v>134</v>
      </c>
      <c r="CX243" t="s">
        <v>134</v>
      </c>
      <c r="CY243" t="s">
        <v>134</v>
      </c>
      <c r="CZ243" t="s">
        <v>134</v>
      </c>
      <c r="DA243" t="s">
        <v>134</v>
      </c>
      <c r="DB243" t="s">
        <v>134</v>
      </c>
      <c r="DC243" t="s">
        <v>134</v>
      </c>
      <c r="DD243" t="s">
        <v>134</v>
      </c>
      <c r="DE243" t="s">
        <v>134</v>
      </c>
      <c r="DF243" t="s">
        <v>134</v>
      </c>
      <c r="DG243" t="s">
        <v>134</v>
      </c>
      <c r="DH243" t="s">
        <v>134</v>
      </c>
      <c r="DI243" t="s">
        <v>134</v>
      </c>
    </row>
    <row r="244" spans="1:113" x14ac:dyDescent="0.3">
      <c r="E244" t="s">
        <v>78</v>
      </c>
      <c r="F244" t="s">
        <v>134</v>
      </c>
      <c r="G244" t="s">
        <v>134</v>
      </c>
      <c r="H244" t="s">
        <v>134</v>
      </c>
      <c r="I244" t="s">
        <v>134</v>
      </c>
      <c r="J244" t="s">
        <v>134</v>
      </c>
      <c r="K244" t="s">
        <v>134</v>
      </c>
      <c r="L244" t="s">
        <v>134</v>
      </c>
      <c r="M244" t="s">
        <v>134</v>
      </c>
      <c r="N244" t="s">
        <v>134</v>
      </c>
      <c r="O244" t="s">
        <v>134</v>
      </c>
      <c r="P244" t="s">
        <v>134</v>
      </c>
      <c r="Q244" t="s">
        <v>134</v>
      </c>
      <c r="R244" t="s">
        <v>134</v>
      </c>
      <c r="S244" t="s">
        <v>134</v>
      </c>
      <c r="T244" t="s">
        <v>134</v>
      </c>
      <c r="U244" t="s">
        <v>134</v>
      </c>
      <c r="V244" t="s">
        <v>134</v>
      </c>
      <c r="W244" t="s">
        <v>134</v>
      </c>
      <c r="X244" t="s">
        <v>134</v>
      </c>
      <c r="Y244" t="s">
        <v>134</v>
      </c>
      <c r="Z244" t="s">
        <v>134</v>
      </c>
      <c r="AA244" t="s">
        <v>134</v>
      </c>
      <c r="AB244" t="s">
        <v>134</v>
      </c>
      <c r="AC244" t="s">
        <v>134</v>
      </c>
      <c r="AD244" t="s">
        <v>134</v>
      </c>
      <c r="AE244" t="s">
        <v>134</v>
      </c>
      <c r="AF244" t="s">
        <v>134</v>
      </c>
      <c r="AG244" t="s">
        <v>134</v>
      </c>
      <c r="AH244" t="s">
        <v>134</v>
      </c>
      <c r="AI244" t="s">
        <v>134</v>
      </c>
      <c r="AJ244" t="s">
        <v>134</v>
      </c>
      <c r="AK244" t="s">
        <v>134</v>
      </c>
      <c r="AL244" t="s">
        <v>134</v>
      </c>
      <c r="AM244" t="s">
        <v>134</v>
      </c>
      <c r="AN244" t="s">
        <v>134</v>
      </c>
      <c r="AO244" t="s">
        <v>134</v>
      </c>
      <c r="AP244" t="s">
        <v>134</v>
      </c>
      <c r="AQ244" t="s">
        <v>134</v>
      </c>
      <c r="AR244" t="s">
        <v>134</v>
      </c>
      <c r="AS244" t="s">
        <v>134</v>
      </c>
      <c r="AT244" t="s">
        <v>134</v>
      </c>
      <c r="AU244" t="s">
        <v>134</v>
      </c>
      <c r="AV244" t="s">
        <v>134</v>
      </c>
      <c r="AW244" t="s">
        <v>134</v>
      </c>
      <c r="AX244" t="s">
        <v>134</v>
      </c>
      <c r="AY244" t="s">
        <v>134</v>
      </c>
      <c r="AZ244" t="s">
        <v>134</v>
      </c>
      <c r="BA244" t="s">
        <v>134</v>
      </c>
      <c r="BB244" t="s">
        <v>134</v>
      </c>
      <c r="BC244" t="s">
        <v>134</v>
      </c>
      <c r="BD244" t="s">
        <v>134</v>
      </c>
      <c r="BE244" t="s">
        <v>134</v>
      </c>
      <c r="BF244" t="s">
        <v>134</v>
      </c>
      <c r="BG244" t="s">
        <v>134</v>
      </c>
      <c r="BH244" t="s">
        <v>134</v>
      </c>
      <c r="BI244" t="s">
        <v>134</v>
      </c>
      <c r="BJ244" t="s">
        <v>134</v>
      </c>
      <c r="BK244" t="s">
        <v>134</v>
      </c>
      <c r="BL244" t="s">
        <v>134</v>
      </c>
      <c r="BM244" t="s">
        <v>134</v>
      </c>
      <c r="BN244" t="s">
        <v>134</v>
      </c>
      <c r="BO244" t="s">
        <v>134</v>
      </c>
      <c r="BP244" t="s">
        <v>134</v>
      </c>
      <c r="BQ244" t="s">
        <v>134</v>
      </c>
      <c r="BR244" t="s">
        <v>134</v>
      </c>
      <c r="BS244" t="s">
        <v>134</v>
      </c>
      <c r="BT244" t="s">
        <v>134</v>
      </c>
      <c r="BU244" t="s">
        <v>134</v>
      </c>
      <c r="BV244" t="s">
        <v>134</v>
      </c>
      <c r="BW244" t="s">
        <v>134</v>
      </c>
      <c r="BX244" t="s">
        <v>134</v>
      </c>
      <c r="BY244" t="s">
        <v>134</v>
      </c>
      <c r="BZ244" t="s">
        <v>134</v>
      </c>
      <c r="CA244" t="s">
        <v>134</v>
      </c>
      <c r="CB244" t="s">
        <v>134</v>
      </c>
      <c r="CC244" t="s">
        <v>134</v>
      </c>
      <c r="CD244" t="s">
        <v>134</v>
      </c>
      <c r="CE244" t="s">
        <v>134</v>
      </c>
      <c r="CF244" t="s">
        <v>134</v>
      </c>
      <c r="CG244" t="s">
        <v>134</v>
      </c>
      <c r="CH244" t="s">
        <v>134</v>
      </c>
      <c r="CI244" t="s">
        <v>134</v>
      </c>
      <c r="CJ244" t="s">
        <v>134</v>
      </c>
      <c r="CK244" t="s">
        <v>134</v>
      </c>
      <c r="CL244" t="s">
        <v>134</v>
      </c>
      <c r="CM244" t="s">
        <v>134</v>
      </c>
      <c r="CN244" t="s">
        <v>134</v>
      </c>
      <c r="CO244" t="s">
        <v>134</v>
      </c>
      <c r="CP244" t="s">
        <v>134</v>
      </c>
      <c r="CQ244" t="s">
        <v>134</v>
      </c>
      <c r="CR244" t="s">
        <v>134</v>
      </c>
      <c r="CS244" t="s">
        <v>134</v>
      </c>
      <c r="CT244" t="s">
        <v>134</v>
      </c>
      <c r="CU244" t="s">
        <v>134</v>
      </c>
      <c r="CV244" t="s">
        <v>134</v>
      </c>
      <c r="CW244" t="s">
        <v>134</v>
      </c>
      <c r="CX244" t="s">
        <v>134</v>
      </c>
      <c r="CY244" t="s">
        <v>134</v>
      </c>
      <c r="CZ244" t="s">
        <v>134</v>
      </c>
      <c r="DA244" t="s">
        <v>134</v>
      </c>
      <c r="DB244" t="s">
        <v>134</v>
      </c>
      <c r="DC244" t="s">
        <v>134</v>
      </c>
      <c r="DD244" t="s">
        <v>134</v>
      </c>
      <c r="DE244" t="s">
        <v>134</v>
      </c>
      <c r="DF244" t="s">
        <v>134</v>
      </c>
      <c r="DG244" t="s">
        <v>134</v>
      </c>
      <c r="DH244" t="s">
        <v>134</v>
      </c>
      <c r="DI244" t="s">
        <v>134</v>
      </c>
    </row>
    <row r="245" spans="1:113" x14ac:dyDescent="0.3">
      <c r="E245" t="s">
        <v>79</v>
      </c>
      <c r="F245" t="s">
        <v>134</v>
      </c>
      <c r="G245" t="s">
        <v>134</v>
      </c>
      <c r="H245" t="s">
        <v>134</v>
      </c>
      <c r="I245" t="s">
        <v>134</v>
      </c>
      <c r="J245" t="s">
        <v>134</v>
      </c>
      <c r="K245" t="s">
        <v>134</v>
      </c>
      <c r="L245" t="s">
        <v>134</v>
      </c>
      <c r="M245" t="s">
        <v>134</v>
      </c>
      <c r="N245" t="s">
        <v>134</v>
      </c>
      <c r="O245" t="s">
        <v>134</v>
      </c>
      <c r="P245" t="s">
        <v>134</v>
      </c>
      <c r="Q245" t="s">
        <v>134</v>
      </c>
      <c r="R245" t="s">
        <v>134</v>
      </c>
      <c r="S245" t="s">
        <v>134</v>
      </c>
      <c r="T245" t="s">
        <v>134</v>
      </c>
      <c r="U245" t="s">
        <v>134</v>
      </c>
      <c r="V245" t="s">
        <v>134</v>
      </c>
      <c r="W245" t="s">
        <v>134</v>
      </c>
      <c r="X245" t="s">
        <v>134</v>
      </c>
      <c r="Y245" t="s">
        <v>134</v>
      </c>
      <c r="Z245" t="s">
        <v>134</v>
      </c>
      <c r="AA245" t="s">
        <v>134</v>
      </c>
      <c r="AB245" t="s">
        <v>134</v>
      </c>
      <c r="AC245" t="s">
        <v>134</v>
      </c>
      <c r="AD245" t="s">
        <v>134</v>
      </c>
      <c r="AE245" t="s">
        <v>134</v>
      </c>
      <c r="AF245" t="s">
        <v>134</v>
      </c>
      <c r="AG245" t="s">
        <v>134</v>
      </c>
      <c r="AH245" t="s">
        <v>134</v>
      </c>
      <c r="AI245" t="s">
        <v>134</v>
      </c>
      <c r="AJ245" t="s">
        <v>134</v>
      </c>
      <c r="AK245" t="s">
        <v>134</v>
      </c>
      <c r="AL245" t="s">
        <v>134</v>
      </c>
      <c r="AM245" t="s">
        <v>134</v>
      </c>
      <c r="AN245" t="s">
        <v>134</v>
      </c>
      <c r="AO245" t="s">
        <v>134</v>
      </c>
      <c r="AP245" t="s">
        <v>134</v>
      </c>
      <c r="AQ245" t="s">
        <v>134</v>
      </c>
      <c r="AR245" t="s">
        <v>134</v>
      </c>
      <c r="AS245" t="s">
        <v>134</v>
      </c>
      <c r="AT245" t="s">
        <v>134</v>
      </c>
      <c r="AU245" t="s">
        <v>134</v>
      </c>
      <c r="AV245" t="s">
        <v>134</v>
      </c>
      <c r="AW245" t="s">
        <v>134</v>
      </c>
      <c r="AX245" t="s">
        <v>134</v>
      </c>
      <c r="AY245" t="s">
        <v>134</v>
      </c>
      <c r="AZ245" t="s">
        <v>134</v>
      </c>
      <c r="BA245" t="s">
        <v>134</v>
      </c>
      <c r="BB245" t="s">
        <v>134</v>
      </c>
      <c r="BC245" t="s">
        <v>134</v>
      </c>
      <c r="BD245" t="s">
        <v>134</v>
      </c>
      <c r="BE245" t="s">
        <v>134</v>
      </c>
      <c r="BF245" t="s">
        <v>134</v>
      </c>
      <c r="BG245" t="s">
        <v>134</v>
      </c>
      <c r="BH245" t="s">
        <v>134</v>
      </c>
      <c r="BI245" t="s">
        <v>134</v>
      </c>
      <c r="BJ245" t="s">
        <v>134</v>
      </c>
      <c r="BK245" t="s">
        <v>134</v>
      </c>
      <c r="BL245" t="s">
        <v>134</v>
      </c>
      <c r="BM245" t="s">
        <v>134</v>
      </c>
      <c r="BN245" t="s">
        <v>134</v>
      </c>
      <c r="BO245" t="s">
        <v>134</v>
      </c>
      <c r="BP245" t="s">
        <v>134</v>
      </c>
      <c r="BQ245" t="s">
        <v>134</v>
      </c>
      <c r="BR245" t="s">
        <v>134</v>
      </c>
      <c r="BS245" t="s">
        <v>134</v>
      </c>
      <c r="BT245" t="s">
        <v>134</v>
      </c>
      <c r="BU245" t="s">
        <v>134</v>
      </c>
      <c r="BV245" t="s">
        <v>134</v>
      </c>
      <c r="BW245" t="s">
        <v>134</v>
      </c>
      <c r="BX245" t="s">
        <v>134</v>
      </c>
      <c r="BY245" t="s">
        <v>134</v>
      </c>
      <c r="BZ245" t="s">
        <v>134</v>
      </c>
      <c r="CA245" t="s">
        <v>134</v>
      </c>
      <c r="CB245" t="s">
        <v>134</v>
      </c>
      <c r="CC245" t="s">
        <v>134</v>
      </c>
      <c r="CD245" t="s">
        <v>134</v>
      </c>
      <c r="CE245" t="s">
        <v>134</v>
      </c>
      <c r="CF245" t="s">
        <v>134</v>
      </c>
      <c r="CG245" t="s">
        <v>134</v>
      </c>
      <c r="CH245" t="s">
        <v>134</v>
      </c>
      <c r="CI245" t="s">
        <v>134</v>
      </c>
      <c r="CJ245" t="s">
        <v>134</v>
      </c>
      <c r="CK245" t="s">
        <v>134</v>
      </c>
      <c r="CL245" t="s">
        <v>134</v>
      </c>
      <c r="CM245" t="s">
        <v>134</v>
      </c>
      <c r="CN245" t="s">
        <v>134</v>
      </c>
      <c r="CO245" t="s">
        <v>134</v>
      </c>
      <c r="CP245" t="s">
        <v>134</v>
      </c>
      <c r="CQ245" t="s">
        <v>134</v>
      </c>
      <c r="CR245" t="s">
        <v>134</v>
      </c>
      <c r="CS245" t="s">
        <v>134</v>
      </c>
      <c r="CT245" t="s">
        <v>134</v>
      </c>
      <c r="CU245" t="s">
        <v>134</v>
      </c>
      <c r="CV245" t="s">
        <v>134</v>
      </c>
      <c r="CW245" t="s">
        <v>134</v>
      </c>
      <c r="CX245" t="s">
        <v>134</v>
      </c>
      <c r="CY245" t="s">
        <v>134</v>
      </c>
      <c r="CZ245" t="s">
        <v>134</v>
      </c>
      <c r="DA245" t="s">
        <v>134</v>
      </c>
      <c r="DB245" t="s">
        <v>134</v>
      </c>
      <c r="DC245" t="s">
        <v>134</v>
      </c>
      <c r="DD245" t="s">
        <v>134</v>
      </c>
      <c r="DE245" t="s">
        <v>134</v>
      </c>
      <c r="DF245" t="s">
        <v>134</v>
      </c>
      <c r="DG245" t="s">
        <v>134</v>
      </c>
      <c r="DH245" t="s">
        <v>134</v>
      </c>
      <c r="DI245" t="s">
        <v>134</v>
      </c>
    </row>
    <row r="246" spans="1:113" x14ac:dyDescent="0.3">
      <c r="E246" t="s">
        <v>80</v>
      </c>
      <c r="F246" t="s">
        <v>134</v>
      </c>
      <c r="G246" t="s">
        <v>134</v>
      </c>
      <c r="H246" t="s">
        <v>134</v>
      </c>
      <c r="I246" t="s">
        <v>134</v>
      </c>
      <c r="J246" t="s">
        <v>134</v>
      </c>
      <c r="K246" t="s">
        <v>134</v>
      </c>
      <c r="L246" t="s">
        <v>134</v>
      </c>
      <c r="M246" t="s">
        <v>134</v>
      </c>
      <c r="N246" t="s">
        <v>134</v>
      </c>
      <c r="O246" t="s">
        <v>134</v>
      </c>
      <c r="P246" t="s">
        <v>134</v>
      </c>
      <c r="Q246" t="s">
        <v>134</v>
      </c>
      <c r="R246" t="s">
        <v>134</v>
      </c>
      <c r="S246" t="s">
        <v>134</v>
      </c>
      <c r="T246" t="s">
        <v>134</v>
      </c>
      <c r="U246" t="s">
        <v>134</v>
      </c>
      <c r="V246" t="s">
        <v>134</v>
      </c>
      <c r="W246" t="s">
        <v>134</v>
      </c>
      <c r="X246" t="s">
        <v>134</v>
      </c>
      <c r="Y246" t="s">
        <v>134</v>
      </c>
      <c r="Z246" t="s">
        <v>134</v>
      </c>
      <c r="AA246" t="s">
        <v>134</v>
      </c>
      <c r="AB246" t="s">
        <v>134</v>
      </c>
      <c r="AC246" t="s">
        <v>134</v>
      </c>
      <c r="AD246" t="s">
        <v>134</v>
      </c>
      <c r="AE246" t="s">
        <v>134</v>
      </c>
      <c r="AF246" t="s">
        <v>134</v>
      </c>
      <c r="AG246" t="s">
        <v>134</v>
      </c>
      <c r="AH246" t="s">
        <v>134</v>
      </c>
      <c r="AI246" t="s">
        <v>134</v>
      </c>
      <c r="AJ246" t="s">
        <v>134</v>
      </c>
      <c r="AK246" t="s">
        <v>134</v>
      </c>
      <c r="AL246" t="s">
        <v>134</v>
      </c>
      <c r="AM246" t="s">
        <v>134</v>
      </c>
      <c r="AN246" t="s">
        <v>134</v>
      </c>
      <c r="AO246" t="s">
        <v>134</v>
      </c>
      <c r="AP246" t="s">
        <v>134</v>
      </c>
      <c r="AQ246" t="s">
        <v>134</v>
      </c>
      <c r="AR246" t="s">
        <v>134</v>
      </c>
      <c r="AS246" t="s">
        <v>134</v>
      </c>
      <c r="AT246" t="s">
        <v>134</v>
      </c>
      <c r="AU246" t="s">
        <v>134</v>
      </c>
      <c r="AV246" t="s">
        <v>134</v>
      </c>
      <c r="AW246" t="s">
        <v>134</v>
      </c>
      <c r="AX246" t="s">
        <v>134</v>
      </c>
      <c r="AY246" t="s">
        <v>134</v>
      </c>
      <c r="AZ246" t="s">
        <v>134</v>
      </c>
      <c r="BA246" t="s">
        <v>134</v>
      </c>
      <c r="BB246" t="s">
        <v>134</v>
      </c>
      <c r="BC246" t="s">
        <v>134</v>
      </c>
      <c r="BD246" t="s">
        <v>134</v>
      </c>
      <c r="BE246" t="s">
        <v>134</v>
      </c>
      <c r="BF246" t="s">
        <v>134</v>
      </c>
      <c r="BG246" t="s">
        <v>134</v>
      </c>
      <c r="BH246" t="s">
        <v>134</v>
      </c>
      <c r="BI246" t="s">
        <v>134</v>
      </c>
      <c r="BJ246" t="s">
        <v>134</v>
      </c>
      <c r="BK246" t="s">
        <v>134</v>
      </c>
      <c r="BL246" t="s">
        <v>134</v>
      </c>
      <c r="BM246" t="s">
        <v>134</v>
      </c>
      <c r="BN246" t="s">
        <v>134</v>
      </c>
      <c r="BO246" t="s">
        <v>134</v>
      </c>
      <c r="BP246" t="s">
        <v>134</v>
      </c>
      <c r="BQ246" t="s">
        <v>134</v>
      </c>
      <c r="BR246" t="s">
        <v>134</v>
      </c>
      <c r="BS246" t="s">
        <v>134</v>
      </c>
      <c r="BT246" t="s">
        <v>134</v>
      </c>
      <c r="BU246" t="s">
        <v>134</v>
      </c>
      <c r="BV246" t="s">
        <v>134</v>
      </c>
      <c r="BW246" t="s">
        <v>134</v>
      </c>
      <c r="BX246" t="s">
        <v>134</v>
      </c>
      <c r="BY246" t="s">
        <v>134</v>
      </c>
      <c r="BZ246" t="s">
        <v>134</v>
      </c>
      <c r="CA246" t="s">
        <v>134</v>
      </c>
      <c r="CB246" t="s">
        <v>134</v>
      </c>
      <c r="CC246" t="s">
        <v>134</v>
      </c>
      <c r="CD246" t="s">
        <v>134</v>
      </c>
      <c r="CE246" t="s">
        <v>134</v>
      </c>
      <c r="CF246" t="s">
        <v>134</v>
      </c>
      <c r="CG246" t="s">
        <v>134</v>
      </c>
      <c r="CH246" t="s">
        <v>134</v>
      </c>
      <c r="CI246" t="s">
        <v>134</v>
      </c>
      <c r="CJ246" t="s">
        <v>134</v>
      </c>
      <c r="CK246" t="s">
        <v>134</v>
      </c>
      <c r="CL246" t="s">
        <v>134</v>
      </c>
      <c r="CM246" t="s">
        <v>134</v>
      </c>
      <c r="CN246" t="s">
        <v>134</v>
      </c>
      <c r="CO246" t="s">
        <v>134</v>
      </c>
      <c r="CP246" t="s">
        <v>134</v>
      </c>
      <c r="CQ246" t="s">
        <v>134</v>
      </c>
      <c r="CR246" t="s">
        <v>134</v>
      </c>
      <c r="CS246" t="s">
        <v>134</v>
      </c>
      <c r="CT246" t="s">
        <v>134</v>
      </c>
      <c r="CU246" t="s">
        <v>134</v>
      </c>
      <c r="CV246" t="s">
        <v>134</v>
      </c>
      <c r="CW246" t="s">
        <v>134</v>
      </c>
      <c r="CX246" t="s">
        <v>134</v>
      </c>
      <c r="CY246" t="s">
        <v>134</v>
      </c>
      <c r="CZ246" t="s">
        <v>134</v>
      </c>
      <c r="DA246" t="s">
        <v>134</v>
      </c>
      <c r="DB246" t="s">
        <v>134</v>
      </c>
      <c r="DC246" t="s">
        <v>134</v>
      </c>
      <c r="DD246" t="s">
        <v>134</v>
      </c>
      <c r="DE246" t="s">
        <v>134</v>
      </c>
      <c r="DF246" t="s">
        <v>134</v>
      </c>
      <c r="DG246" t="s">
        <v>134</v>
      </c>
      <c r="DH246" t="s">
        <v>134</v>
      </c>
      <c r="DI246" t="s">
        <v>134</v>
      </c>
    </row>
    <row r="247" spans="1:113" x14ac:dyDescent="0.3">
      <c r="E247" t="s">
        <v>81</v>
      </c>
      <c r="F247" t="s">
        <v>134</v>
      </c>
      <c r="G247" t="s">
        <v>134</v>
      </c>
      <c r="H247" t="s">
        <v>134</v>
      </c>
      <c r="I247" t="s">
        <v>134</v>
      </c>
      <c r="J247" t="s">
        <v>134</v>
      </c>
      <c r="K247" t="s">
        <v>134</v>
      </c>
      <c r="L247" t="s">
        <v>134</v>
      </c>
      <c r="M247" t="s">
        <v>134</v>
      </c>
      <c r="N247" t="s">
        <v>134</v>
      </c>
      <c r="O247" t="s">
        <v>134</v>
      </c>
      <c r="P247" t="s">
        <v>134</v>
      </c>
      <c r="Q247" t="s">
        <v>134</v>
      </c>
      <c r="R247" t="s">
        <v>134</v>
      </c>
      <c r="S247" t="s">
        <v>134</v>
      </c>
      <c r="T247" t="s">
        <v>134</v>
      </c>
      <c r="U247" t="s">
        <v>134</v>
      </c>
      <c r="V247" t="s">
        <v>134</v>
      </c>
      <c r="W247" t="s">
        <v>134</v>
      </c>
      <c r="X247" t="s">
        <v>134</v>
      </c>
      <c r="Y247" t="s">
        <v>134</v>
      </c>
      <c r="Z247" t="s">
        <v>134</v>
      </c>
      <c r="AA247" t="s">
        <v>134</v>
      </c>
      <c r="AB247" t="s">
        <v>134</v>
      </c>
      <c r="AC247" t="s">
        <v>134</v>
      </c>
      <c r="AD247" t="s">
        <v>134</v>
      </c>
      <c r="AE247" t="s">
        <v>134</v>
      </c>
      <c r="AF247" t="s">
        <v>134</v>
      </c>
      <c r="AG247" t="s">
        <v>134</v>
      </c>
      <c r="AH247" t="s">
        <v>134</v>
      </c>
      <c r="AI247" t="s">
        <v>134</v>
      </c>
      <c r="AJ247" t="s">
        <v>134</v>
      </c>
      <c r="AK247" t="s">
        <v>134</v>
      </c>
      <c r="AL247" t="s">
        <v>134</v>
      </c>
      <c r="AM247" t="s">
        <v>134</v>
      </c>
      <c r="AN247" t="s">
        <v>134</v>
      </c>
      <c r="AO247" t="s">
        <v>134</v>
      </c>
      <c r="AP247" t="s">
        <v>134</v>
      </c>
      <c r="AQ247" t="s">
        <v>134</v>
      </c>
      <c r="AR247" t="s">
        <v>134</v>
      </c>
      <c r="AS247" t="s">
        <v>134</v>
      </c>
      <c r="AT247" t="s">
        <v>134</v>
      </c>
      <c r="AU247" t="s">
        <v>134</v>
      </c>
      <c r="AV247" t="s">
        <v>134</v>
      </c>
      <c r="AW247" t="s">
        <v>134</v>
      </c>
      <c r="AX247" t="s">
        <v>134</v>
      </c>
      <c r="AY247" t="s">
        <v>134</v>
      </c>
      <c r="AZ247" t="s">
        <v>134</v>
      </c>
      <c r="BA247" t="s">
        <v>134</v>
      </c>
      <c r="BB247" t="s">
        <v>134</v>
      </c>
      <c r="BC247" t="s">
        <v>134</v>
      </c>
      <c r="BD247" t="s">
        <v>134</v>
      </c>
      <c r="BE247" t="s">
        <v>134</v>
      </c>
      <c r="BF247" t="s">
        <v>134</v>
      </c>
      <c r="BG247" t="s">
        <v>134</v>
      </c>
      <c r="BH247" t="s">
        <v>134</v>
      </c>
      <c r="BI247" t="s">
        <v>134</v>
      </c>
      <c r="BJ247" t="s">
        <v>134</v>
      </c>
      <c r="BK247" t="s">
        <v>134</v>
      </c>
      <c r="BL247" t="s">
        <v>134</v>
      </c>
      <c r="BM247" t="s">
        <v>134</v>
      </c>
      <c r="BN247" t="s">
        <v>134</v>
      </c>
      <c r="BO247" t="s">
        <v>134</v>
      </c>
      <c r="BP247" t="s">
        <v>134</v>
      </c>
      <c r="BQ247" t="s">
        <v>134</v>
      </c>
      <c r="BR247" t="s">
        <v>134</v>
      </c>
      <c r="BS247" t="s">
        <v>134</v>
      </c>
      <c r="BT247" t="s">
        <v>134</v>
      </c>
      <c r="BU247" t="s">
        <v>134</v>
      </c>
      <c r="BV247" t="s">
        <v>134</v>
      </c>
      <c r="BW247" t="s">
        <v>134</v>
      </c>
      <c r="BX247" t="s">
        <v>134</v>
      </c>
      <c r="BY247" t="s">
        <v>134</v>
      </c>
      <c r="BZ247" t="s">
        <v>134</v>
      </c>
      <c r="CA247" t="s">
        <v>134</v>
      </c>
      <c r="CB247" t="s">
        <v>134</v>
      </c>
      <c r="CC247" t="s">
        <v>134</v>
      </c>
      <c r="CD247" t="s">
        <v>134</v>
      </c>
      <c r="CE247" t="s">
        <v>134</v>
      </c>
      <c r="CF247" t="s">
        <v>134</v>
      </c>
      <c r="CG247" t="s">
        <v>134</v>
      </c>
      <c r="CH247" t="s">
        <v>134</v>
      </c>
      <c r="CI247" t="s">
        <v>134</v>
      </c>
      <c r="CJ247" t="s">
        <v>134</v>
      </c>
      <c r="CK247" t="s">
        <v>134</v>
      </c>
      <c r="CL247" t="s">
        <v>134</v>
      </c>
      <c r="CM247" t="s">
        <v>134</v>
      </c>
      <c r="CN247" t="s">
        <v>134</v>
      </c>
      <c r="CO247" t="s">
        <v>134</v>
      </c>
      <c r="CP247" t="s">
        <v>134</v>
      </c>
      <c r="CQ247" t="s">
        <v>134</v>
      </c>
      <c r="CR247" t="s">
        <v>134</v>
      </c>
      <c r="CS247" t="s">
        <v>134</v>
      </c>
      <c r="CT247" t="s">
        <v>134</v>
      </c>
      <c r="CU247" t="s">
        <v>134</v>
      </c>
      <c r="CV247" t="s">
        <v>134</v>
      </c>
      <c r="CW247" t="s">
        <v>134</v>
      </c>
      <c r="CX247" t="s">
        <v>134</v>
      </c>
      <c r="CY247" t="s">
        <v>134</v>
      </c>
      <c r="CZ247" t="s">
        <v>134</v>
      </c>
      <c r="DA247" t="s">
        <v>134</v>
      </c>
      <c r="DB247" t="s">
        <v>134</v>
      </c>
      <c r="DC247" t="s">
        <v>134</v>
      </c>
      <c r="DD247" t="s">
        <v>134</v>
      </c>
      <c r="DE247" t="s">
        <v>134</v>
      </c>
      <c r="DF247" t="s">
        <v>134</v>
      </c>
      <c r="DG247" t="s">
        <v>134</v>
      </c>
      <c r="DH247" t="s">
        <v>134</v>
      </c>
      <c r="DI247" t="s">
        <v>134</v>
      </c>
    </row>
    <row r="248" spans="1:113" x14ac:dyDescent="0.3">
      <c r="D248" t="s">
        <v>85</v>
      </c>
      <c r="E248" t="s">
        <v>77</v>
      </c>
      <c r="F248">
        <v>0.75600000000000001</v>
      </c>
      <c r="G248">
        <v>6.93E-2</v>
      </c>
      <c r="H248">
        <v>0.2147</v>
      </c>
      <c r="I248">
        <v>7.4619999999999997</v>
      </c>
      <c r="J248" t="s">
        <v>134</v>
      </c>
      <c r="K248">
        <v>1.8329</v>
      </c>
      <c r="L248" t="s">
        <v>134</v>
      </c>
      <c r="M248">
        <v>0.9677</v>
      </c>
      <c r="N248">
        <v>1.5030000000000001</v>
      </c>
      <c r="O248">
        <v>1.4763999999999999</v>
      </c>
      <c r="P248">
        <v>1.4763999999999999</v>
      </c>
      <c r="Q248">
        <v>18.0002</v>
      </c>
      <c r="R248">
        <v>0</v>
      </c>
      <c r="S248">
        <v>0.75600000000000001</v>
      </c>
      <c r="T248">
        <v>1.5278</v>
      </c>
      <c r="U248" t="s">
        <v>134</v>
      </c>
      <c r="V248">
        <v>-90.495500000000007</v>
      </c>
      <c r="W248">
        <v>-88.469200000000001</v>
      </c>
      <c r="X248">
        <v>-88.7136</v>
      </c>
      <c r="Y248" t="s">
        <v>134</v>
      </c>
      <c r="Z248" t="s">
        <v>134</v>
      </c>
      <c r="AA248" t="s">
        <v>134</v>
      </c>
      <c r="AB248">
        <v>6.2617000000000003</v>
      </c>
      <c r="AC248">
        <v>15.0854</v>
      </c>
      <c r="AD248" t="s">
        <v>134</v>
      </c>
      <c r="AE248" t="s">
        <v>134</v>
      </c>
      <c r="AF248" t="s">
        <v>134</v>
      </c>
      <c r="AG248">
        <v>16.975300000000001</v>
      </c>
      <c r="AH248">
        <v>35.267200000000003</v>
      </c>
      <c r="AI248">
        <v>13.882099999999999</v>
      </c>
      <c r="AJ248">
        <v>28.876300000000001</v>
      </c>
      <c r="AK248">
        <v>6.2727000000000004</v>
      </c>
      <c r="AL248">
        <v>-80.789699999999996</v>
      </c>
      <c r="AM248">
        <v>11.3683</v>
      </c>
      <c r="AN248" t="s">
        <v>134</v>
      </c>
      <c r="AO248">
        <v>-40.556800000000003</v>
      </c>
      <c r="AP248">
        <v>-38.626800000000003</v>
      </c>
      <c r="AQ248">
        <v>-40.052199999999999</v>
      </c>
      <c r="AR248">
        <v>-100</v>
      </c>
      <c r="AS248" t="s">
        <v>134</v>
      </c>
      <c r="AT248" t="s">
        <v>134</v>
      </c>
      <c r="AU248">
        <v>12.618500000000001</v>
      </c>
      <c r="AV248">
        <v>15.6218</v>
      </c>
      <c r="AW248" t="s">
        <v>134</v>
      </c>
      <c r="AX248" t="s">
        <v>134</v>
      </c>
      <c r="AY248" t="s">
        <v>134</v>
      </c>
      <c r="AZ248">
        <v>1.6002999999999998</v>
      </c>
      <c r="BA248">
        <v>22.220300000000002</v>
      </c>
      <c r="BB248">
        <v>14.1457</v>
      </c>
      <c r="BC248">
        <v>19.747900000000001</v>
      </c>
      <c r="BD248">
        <v>12.0375</v>
      </c>
      <c r="BE248" t="s">
        <v>134</v>
      </c>
      <c r="BF248">
        <v>1.5278</v>
      </c>
      <c r="BG248" t="s">
        <v>134</v>
      </c>
      <c r="BH248">
        <v>-90.495500000000007</v>
      </c>
      <c r="BI248">
        <v>-88.469200000000001</v>
      </c>
      <c r="BJ248">
        <v>-88.7136</v>
      </c>
      <c r="BK248">
        <v>-100</v>
      </c>
      <c r="BL248" t="s">
        <v>134</v>
      </c>
      <c r="BM248" t="s">
        <v>134</v>
      </c>
      <c r="BN248">
        <v>6.2617000000000003</v>
      </c>
      <c r="BO248">
        <v>15.0854</v>
      </c>
      <c r="BP248" t="s">
        <v>134</v>
      </c>
      <c r="BQ248" t="s">
        <v>134</v>
      </c>
      <c r="BR248" t="s">
        <v>134</v>
      </c>
      <c r="BS248">
        <v>16.975300000000001</v>
      </c>
      <c r="BT248">
        <v>35.267200000000003</v>
      </c>
      <c r="BU248">
        <v>13.882099999999999</v>
      </c>
      <c r="BV248">
        <v>28.876300000000001</v>
      </c>
      <c r="BW248">
        <v>6.2727000000000004</v>
      </c>
      <c r="BX248" t="s">
        <v>134</v>
      </c>
      <c r="BY248">
        <v>1791259.1880000001</v>
      </c>
      <c r="BZ248">
        <v>233588.264</v>
      </c>
      <c r="CA248">
        <v>1557670.9240000001</v>
      </c>
      <c r="CB248" t="s">
        <v>134</v>
      </c>
      <c r="CC248" t="s">
        <v>134</v>
      </c>
      <c r="CD248">
        <v>316.54239999999999</v>
      </c>
      <c r="CE248">
        <v>238.94540000000001</v>
      </c>
      <c r="CF248" t="s">
        <v>134</v>
      </c>
      <c r="CG248">
        <v>9.1242000000000001</v>
      </c>
      <c r="CH248">
        <v>242.33750000000001</v>
      </c>
      <c r="CI248">
        <v>63.995600000000003</v>
      </c>
      <c r="CJ248">
        <v>22.135300000000001</v>
      </c>
      <c r="CK248">
        <v>278.67840000000001</v>
      </c>
      <c r="CL248">
        <v>73.592399999999998</v>
      </c>
      <c r="CM248">
        <v>25.454699999999999</v>
      </c>
      <c r="CN248">
        <v>210.36340000000001</v>
      </c>
      <c r="CO248">
        <v>67.779700000000005</v>
      </c>
      <c r="CP248" t="s">
        <v>134</v>
      </c>
      <c r="CQ248" t="s">
        <v>134</v>
      </c>
      <c r="CR248">
        <v>5658.8280000000004</v>
      </c>
      <c r="CS248" t="s">
        <v>134</v>
      </c>
      <c r="CT248" t="s">
        <v>134</v>
      </c>
      <c r="CU248" t="s">
        <v>134</v>
      </c>
      <c r="CV248" t="s">
        <v>134</v>
      </c>
      <c r="CW248" t="s">
        <v>134</v>
      </c>
      <c r="CX248" t="s">
        <v>134</v>
      </c>
      <c r="CY248" t="s">
        <v>134</v>
      </c>
      <c r="CZ248" t="s">
        <v>134</v>
      </c>
      <c r="DA248" t="s">
        <v>134</v>
      </c>
      <c r="DB248" t="s">
        <v>134</v>
      </c>
      <c r="DC248" t="s">
        <v>134</v>
      </c>
      <c r="DD248" t="s">
        <v>134</v>
      </c>
      <c r="DE248" t="s">
        <v>134</v>
      </c>
      <c r="DF248" t="s">
        <v>134</v>
      </c>
      <c r="DG248" t="s">
        <v>134</v>
      </c>
      <c r="DH248" t="s">
        <v>134</v>
      </c>
      <c r="DI248" t="s">
        <v>134</v>
      </c>
    </row>
    <row r="249" spans="1:113" x14ac:dyDescent="0.3">
      <c r="E249" t="s">
        <v>78</v>
      </c>
      <c r="F249" t="s">
        <v>134</v>
      </c>
      <c r="G249" t="s">
        <v>134</v>
      </c>
      <c r="H249" t="s">
        <v>134</v>
      </c>
      <c r="I249" t="s">
        <v>134</v>
      </c>
      <c r="J249" t="s">
        <v>134</v>
      </c>
      <c r="K249" t="s">
        <v>134</v>
      </c>
      <c r="L249" t="s">
        <v>134</v>
      </c>
      <c r="M249" t="s">
        <v>134</v>
      </c>
      <c r="N249" t="s">
        <v>134</v>
      </c>
      <c r="O249" t="s">
        <v>134</v>
      </c>
      <c r="P249" t="s">
        <v>134</v>
      </c>
      <c r="Q249" t="s">
        <v>134</v>
      </c>
      <c r="R249" t="s">
        <v>134</v>
      </c>
      <c r="S249" t="s">
        <v>134</v>
      </c>
      <c r="T249" t="s">
        <v>134</v>
      </c>
      <c r="U249" t="s">
        <v>134</v>
      </c>
      <c r="V249" t="s">
        <v>134</v>
      </c>
      <c r="W249" t="s">
        <v>134</v>
      </c>
      <c r="X249" t="s">
        <v>134</v>
      </c>
      <c r="Y249" t="s">
        <v>134</v>
      </c>
      <c r="Z249" t="s">
        <v>134</v>
      </c>
      <c r="AA249" t="s">
        <v>134</v>
      </c>
      <c r="AB249" t="s">
        <v>134</v>
      </c>
      <c r="AC249" t="s">
        <v>134</v>
      </c>
      <c r="AD249" t="s">
        <v>134</v>
      </c>
      <c r="AE249" t="s">
        <v>134</v>
      </c>
      <c r="AF249" t="s">
        <v>134</v>
      </c>
      <c r="AG249" t="s">
        <v>134</v>
      </c>
      <c r="AH249" t="s">
        <v>134</v>
      </c>
      <c r="AI249" t="s">
        <v>134</v>
      </c>
      <c r="AJ249" t="s">
        <v>134</v>
      </c>
      <c r="AK249" t="s">
        <v>134</v>
      </c>
      <c r="AL249" t="s">
        <v>134</v>
      </c>
      <c r="AM249" t="s">
        <v>134</v>
      </c>
      <c r="AN249" t="s">
        <v>134</v>
      </c>
      <c r="AO249" t="s">
        <v>134</v>
      </c>
      <c r="AP249" t="s">
        <v>134</v>
      </c>
      <c r="AQ249" t="s">
        <v>134</v>
      </c>
      <c r="AR249" t="s">
        <v>134</v>
      </c>
      <c r="AS249" t="s">
        <v>134</v>
      </c>
      <c r="AT249" t="s">
        <v>134</v>
      </c>
      <c r="AU249" t="s">
        <v>134</v>
      </c>
      <c r="AV249" t="s">
        <v>134</v>
      </c>
      <c r="AW249" t="s">
        <v>134</v>
      </c>
      <c r="AX249" t="s">
        <v>134</v>
      </c>
      <c r="AY249" t="s">
        <v>134</v>
      </c>
      <c r="AZ249" t="s">
        <v>134</v>
      </c>
      <c r="BA249" t="s">
        <v>134</v>
      </c>
      <c r="BB249" t="s">
        <v>134</v>
      </c>
      <c r="BC249" t="s">
        <v>134</v>
      </c>
      <c r="BD249" t="s">
        <v>134</v>
      </c>
      <c r="BE249" t="s">
        <v>134</v>
      </c>
      <c r="BF249" t="s">
        <v>134</v>
      </c>
      <c r="BG249" t="s">
        <v>134</v>
      </c>
      <c r="BH249" t="s">
        <v>134</v>
      </c>
      <c r="BI249" t="s">
        <v>134</v>
      </c>
      <c r="BJ249" t="s">
        <v>134</v>
      </c>
      <c r="BK249" t="s">
        <v>134</v>
      </c>
      <c r="BL249" t="s">
        <v>134</v>
      </c>
      <c r="BM249" t="s">
        <v>134</v>
      </c>
      <c r="BN249" t="s">
        <v>134</v>
      </c>
      <c r="BO249" t="s">
        <v>134</v>
      </c>
      <c r="BP249" t="s">
        <v>134</v>
      </c>
      <c r="BQ249" t="s">
        <v>134</v>
      </c>
      <c r="BR249" t="s">
        <v>134</v>
      </c>
      <c r="BS249" t="s">
        <v>134</v>
      </c>
      <c r="BT249" t="s">
        <v>134</v>
      </c>
      <c r="BU249" t="s">
        <v>134</v>
      </c>
      <c r="BV249" t="s">
        <v>134</v>
      </c>
      <c r="BW249" t="s">
        <v>134</v>
      </c>
      <c r="BX249" t="s">
        <v>134</v>
      </c>
      <c r="BY249" t="s">
        <v>134</v>
      </c>
      <c r="BZ249" t="s">
        <v>134</v>
      </c>
      <c r="CA249" t="s">
        <v>134</v>
      </c>
      <c r="CB249" t="s">
        <v>134</v>
      </c>
      <c r="CC249" t="s">
        <v>134</v>
      </c>
      <c r="CD249" t="s">
        <v>134</v>
      </c>
      <c r="CE249" t="s">
        <v>134</v>
      </c>
      <c r="CF249" t="s">
        <v>134</v>
      </c>
      <c r="CG249" t="s">
        <v>134</v>
      </c>
      <c r="CH249" t="s">
        <v>134</v>
      </c>
      <c r="CI249" t="s">
        <v>134</v>
      </c>
      <c r="CJ249" t="s">
        <v>134</v>
      </c>
      <c r="CK249" t="s">
        <v>134</v>
      </c>
      <c r="CL249" t="s">
        <v>134</v>
      </c>
      <c r="CM249" t="s">
        <v>134</v>
      </c>
      <c r="CN249" t="s">
        <v>134</v>
      </c>
      <c r="CO249" t="s">
        <v>134</v>
      </c>
      <c r="CP249" t="s">
        <v>134</v>
      </c>
      <c r="CQ249" t="s">
        <v>134</v>
      </c>
      <c r="CR249" t="s">
        <v>134</v>
      </c>
      <c r="CS249" t="s">
        <v>134</v>
      </c>
      <c r="CT249" t="s">
        <v>134</v>
      </c>
      <c r="CU249" t="s">
        <v>134</v>
      </c>
      <c r="CV249" t="s">
        <v>134</v>
      </c>
      <c r="CW249" t="s">
        <v>134</v>
      </c>
      <c r="CX249" t="s">
        <v>134</v>
      </c>
      <c r="CY249" t="s">
        <v>134</v>
      </c>
      <c r="CZ249" t="s">
        <v>134</v>
      </c>
      <c r="DA249" t="s">
        <v>134</v>
      </c>
      <c r="DB249" t="s">
        <v>134</v>
      </c>
      <c r="DC249" t="s">
        <v>134</v>
      </c>
      <c r="DD249" t="s">
        <v>134</v>
      </c>
      <c r="DE249" t="s">
        <v>134</v>
      </c>
      <c r="DF249" t="s">
        <v>134</v>
      </c>
      <c r="DG249" t="s">
        <v>134</v>
      </c>
      <c r="DH249" t="s">
        <v>134</v>
      </c>
      <c r="DI249" t="s">
        <v>134</v>
      </c>
    </row>
    <row r="250" spans="1:113" x14ac:dyDescent="0.3">
      <c r="E250" t="s">
        <v>79</v>
      </c>
      <c r="F250" t="s">
        <v>134</v>
      </c>
      <c r="G250" t="s">
        <v>134</v>
      </c>
      <c r="H250" t="s">
        <v>134</v>
      </c>
      <c r="I250" t="s">
        <v>134</v>
      </c>
      <c r="J250" t="s">
        <v>134</v>
      </c>
      <c r="K250" t="s">
        <v>134</v>
      </c>
      <c r="L250" t="s">
        <v>134</v>
      </c>
      <c r="M250" t="s">
        <v>134</v>
      </c>
      <c r="N250" t="s">
        <v>134</v>
      </c>
      <c r="O250" t="s">
        <v>134</v>
      </c>
      <c r="P250" t="s">
        <v>134</v>
      </c>
      <c r="Q250" t="s">
        <v>134</v>
      </c>
      <c r="R250" t="s">
        <v>134</v>
      </c>
      <c r="S250" t="s">
        <v>134</v>
      </c>
      <c r="T250" t="s">
        <v>134</v>
      </c>
      <c r="U250" t="s">
        <v>134</v>
      </c>
      <c r="V250" t="s">
        <v>134</v>
      </c>
      <c r="W250" t="s">
        <v>134</v>
      </c>
      <c r="X250" t="s">
        <v>134</v>
      </c>
      <c r="Y250" t="s">
        <v>134</v>
      </c>
      <c r="Z250" t="s">
        <v>134</v>
      </c>
      <c r="AA250" t="s">
        <v>134</v>
      </c>
      <c r="AB250" t="s">
        <v>134</v>
      </c>
      <c r="AC250" t="s">
        <v>134</v>
      </c>
      <c r="AD250" t="s">
        <v>134</v>
      </c>
      <c r="AE250" t="s">
        <v>134</v>
      </c>
      <c r="AF250" t="s">
        <v>134</v>
      </c>
      <c r="AG250" t="s">
        <v>134</v>
      </c>
      <c r="AH250" t="s">
        <v>134</v>
      </c>
      <c r="AI250" t="s">
        <v>134</v>
      </c>
      <c r="AJ250" t="s">
        <v>134</v>
      </c>
      <c r="AK250" t="s">
        <v>134</v>
      </c>
      <c r="AL250" t="s">
        <v>134</v>
      </c>
      <c r="AM250" t="s">
        <v>134</v>
      </c>
      <c r="AN250" t="s">
        <v>134</v>
      </c>
      <c r="AO250" t="s">
        <v>134</v>
      </c>
      <c r="AP250" t="s">
        <v>134</v>
      </c>
      <c r="AQ250" t="s">
        <v>134</v>
      </c>
      <c r="AR250" t="s">
        <v>134</v>
      </c>
      <c r="AS250" t="s">
        <v>134</v>
      </c>
      <c r="AT250" t="s">
        <v>134</v>
      </c>
      <c r="AU250" t="s">
        <v>134</v>
      </c>
      <c r="AV250" t="s">
        <v>134</v>
      </c>
      <c r="AW250" t="s">
        <v>134</v>
      </c>
      <c r="AX250" t="s">
        <v>134</v>
      </c>
      <c r="AY250" t="s">
        <v>134</v>
      </c>
      <c r="AZ250" t="s">
        <v>134</v>
      </c>
      <c r="BA250" t="s">
        <v>134</v>
      </c>
      <c r="BB250" t="s">
        <v>134</v>
      </c>
      <c r="BC250" t="s">
        <v>134</v>
      </c>
      <c r="BD250" t="s">
        <v>134</v>
      </c>
      <c r="BE250" t="s">
        <v>134</v>
      </c>
      <c r="BF250" t="s">
        <v>134</v>
      </c>
      <c r="BG250" t="s">
        <v>134</v>
      </c>
      <c r="BH250" t="s">
        <v>134</v>
      </c>
      <c r="BI250" t="s">
        <v>134</v>
      </c>
      <c r="BJ250" t="s">
        <v>134</v>
      </c>
      <c r="BK250" t="s">
        <v>134</v>
      </c>
      <c r="BL250" t="s">
        <v>134</v>
      </c>
      <c r="BM250" t="s">
        <v>134</v>
      </c>
      <c r="BN250" t="s">
        <v>134</v>
      </c>
      <c r="BO250" t="s">
        <v>134</v>
      </c>
      <c r="BP250" t="s">
        <v>134</v>
      </c>
      <c r="BQ250" t="s">
        <v>134</v>
      </c>
      <c r="BR250" t="s">
        <v>134</v>
      </c>
      <c r="BS250" t="s">
        <v>134</v>
      </c>
      <c r="BT250" t="s">
        <v>134</v>
      </c>
      <c r="BU250" t="s">
        <v>134</v>
      </c>
      <c r="BV250" t="s">
        <v>134</v>
      </c>
      <c r="BW250" t="s">
        <v>134</v>
      </c>
      <c r="BX250" t="s">
        <v>134</v>
      </c>
      <c r="BY250" t="s">
        <v>134</v>
      </c>
      <c r="BZ250" t="s">
        <v>134</v>
      </c>
      <c r="CA250" t="s">
        <v>134</v>
      </c>
      <c r="CB250" t="s">
        <v>134</v>
      </c>
      <c r="CC250" t="s">
        <v>134</v>
      </c>
      <c r="CD250" t="s">
        <v>134</v>
      </c>
      <c r="CE250" t="s">
        <v>134</v>
      </c>
      <c r="CF250" t="s">
        <v>134</v>
      </c>
      <c r="CG250" t="s">
        <v>134</v>
      </c>
      <c r="CH250" t="s">
        <v>134</v>
      </c>
      <c r="CI250" t="s">
        <v>134</v>
      </c>
      <c r="CJ250" t="s">
        <v>134</v>
      </c>
      <c r="CK250" t="s">
        <v>134</v>
      </c>
      <c r="CL250" t="s">
        <v>134</v>
      </c>
      <c r="CM250" t="s">
        <v>134</v>
      </c>
      <c r="CN250" t="s">
        <v>134</v>
      </c>
      <c r="CO250" t="s">
        <v>134</v>
      </c>
      <c r="CP250" t="s">
        <v>134</v>
      </c>
      <c r="CQ250" t="s">
        <v>134</v>
      </c>
      <c r="CR250" t="s">
        <v>134</v>
      </c>
      <c r="CS250" t="s">
        <v>134</v>
      </c>
      <c r="CT250" t="s">
        <v>134</v>
      </c>
      <c r="CU250" t="s">
        <v>134</v>
      </c>
      <c r="CV250" t="s">
        <v>134</v>
      </c>
      <c r="CW250" t="s">
        <v>134</v>
      </c>
      <c r="CX250" t="s">
        <v>134</v>
      </c>
      <c r="CY250" t="s">
        <v>134</v>
      </c>
      <c r="CZ250" t="s">
        <v>134</v>
      </c>
      <c r="DA250" t="s">
        <v>134</v>
      </c>
      <c r="DB250" t="s">
        <v>134</v>
      </c>
      <c r="DC250" t="s">
        <v>134</v>
      </c>
      <c r="DD250" t="s">
        <v>134</v>
      </c>
      <c r="DE250" t="s">
        <v>134</v>
      </c>
      <c r="DF250" t="s">
        <v>134</v>
      </c>
      <c r="DG250" t="s">
        <v>134</v>
      </c>
      <c r="DH250" t="s">
        <v>134</v>
      </c>
      <c r="DI250" t="s">
        <v>134</v>
      </c>
    </row>
    <row r="251" spans="1:113" x14ac:dyDescent="0.3">
      <c r="E251" t="s">
        <v>80</v>
      </c>
      <c r="F251" t="s">
        <v>134</v>
      </c>
      <c r="G251" t="s">
        <v>134</v>
      </c>
      <c r="H251" t="s">
        <v>134</v>
      </c>
      <c r="I251" t="s">
        <v>134</v>
      </c>
      <c r="J251" t="s">
        <v>134</v>
      </c>
      <c r="K251" t="s">
        <v>134</v>
      </c>
      <c r="L251" t="s">
        <v>134</v>
      </c>
      <c r="M251" t="s">
        <v>134</v>
      </c>
      <c r="N251" t="s">
        <v>134</v>
      </c>
      <c r="O251" t="s">
        <v>134</v>
      </c>
      <c r="P251" t="s">
        <v>134</v>
      </c>
      <c r="Q251" t="s">
        <v>134</v>
      </c>
      <c r="R251" t="s">
        <v>134</v>
      </c>
      <c r="S251" t="s">
        <v>134</v>
      </c>
      <c r="T251" t="s">
        <v>134</v>
      </c>
      <c r="U251" t="s">
        <v>134</v>
      </c>
      <c r="V251" t="s">
        <v>134</v>
      </c>
      <c r="W251" t="s">
        <v>134</v>
      </c>
      <c r="X251" t="s">
        <v>134</v>
      </c>
      <c r="Y251" t="s">
        <v>134</v>
      </c>
      <c r="Z251" t="s">
        <v>134</v>
      </c>
      <c r="AA251" t="s">
        <v>134</v>
      </c>
      <c r="AB251" t="s">
        <v>134</v>
      </c>
      <c r="AC251" t="s">
        <v>134</v>
      </c>
      <c r="AD251" t="s">
        <v>134</v>
      </c>
      <c r="AE251" t="s">
        <v>134</v>
      </c>
      <c r="AF251" t="s">
        <v>134</v>
      </c>
      <c r="AG251" t="s">
        <v>134</v>
      </c>
      <c r="AH251" t="s">
        <v>134</v>
      </c>
      <c r="AI251" t="s">
        <v>134</v>
      </c>
      <c r="AJ251" t="s">
        <v>134</v>
      </c>
      <c r="AK251" t="s">
        <v>134</v>
      </c>
      <c r="AL251" t="s">
        <v>134</v>
      </c>
      <c r="AM251" t="s">
        <v>134</v>
      </c>
      <c r="AN251" t="s">
        <v>134</v>
      </c>
      <c r="AO251" t="s">
        <v>134</v>
      </c>
      <c r="AP251" t="s">
        <v>134</v>
      </c>
      <c r="AQ251" t="s">
        <v>134</v>
      </c>
      <c r="AR251" t="s">
        <v>134</v>
      </c>
      <c r="AS251" t="s">
        <v>134</v>
      </c>
      <c r="AT251" t="s">
        <v>134</v>
      </c>
      <c r="AU251" t="s">
        <v>134</v>
      </c>
      <c r="AV251" t="s">
        <v>134</v>
      </c>
      <c r="AW251" t="s">
        <v>134</v>
      </c>
      <c r="AX251" t="s">
        <v>134</v>
      </c>
      <c r="AY251" t="s">
        <v>134</v>
      </c>
      <c r="AZ251" t="s">
        <v>134</v>
      </c>
      <c r="BA251" t="s">
        <v>134</v>
      </c>
      <c r="BB251" t="s">
        <v>134</v>
      </c>
      <c r="BC251" t="s">
        <v>134</v>
      </c>
      <c r="BD251" t="s">
        <v>134</v>
      </c>
      <c r="BE251" t="s">
        <v>134</v>
      </c>
      <c r="BF251" t="s">
        <v>134</v>
      </c>
      <c r="BG251" t="s">
        <v>134</v>
      </c>
      <c r="BH251" t="s">
        <v>134</v>
      </c>
      <c r="BI251" t="s">
        <v>134</v>
      </c>
      <c r="BJ251" t="s">
        <v>134</v>
      </c>
      <c r="BK251" t="s">
        <v>134</v>
      </c>
      <c r="BL251" t="s">
        <v>134</v>
      </c>
      <c r="BM251" t="s">
        <v>134</v>
      </c>
      <c r="BN251" t="s">
        <v>134</v>
      </c>
      <c r="BO251" t="s">
        <v>134</v>
      </c>
      <c r="BP251" t="s">
        <v>134</v>
      </c>
      <c r="BQ251" t="s">
        <v>134</v>
      </c>
      <c r="BR251" t="s">
        <v>134</v>
      </c>
      <c r="BS251" t="s">
        <v>134</v>
      </c>
      <c r="BT251" t="s">
        <v>134</v>
      </c>
      <c r="BU251" t="s">
        <v>134</v>
      </c>
      <c r="BV251" t="s">
        <v>134</v>
      </c>
      <c r="BW251" t="s">
        <v>134</v>
      </c>
      <c r="BX251" t="s">
        <v>134</v>
      </c>
      <c r="BY251" t="s">
        <v>134</v>
      </c>
      <c r="BZ251" t="s">
        <v>134</v>
      </c>
      <c r="CA251" t="s">
        <v>134</v>
      </c>
      <c r="CB251" t="s">
        <v>134</v>
      </c>
      <c r="CC251" t="s">
        <v>134</v>
      </c>
      <c r="CD251" t="s">
        <v>134</v>
      </c>
      <c r="CE251" t="s">
        <v>134</v>
      </c>
      <c r="CF251" t="s">
        <v>134</v>
      </c>
      <c r="CG251" t="s">
        <v>134</v>
      </c>
      <c r="CH251" t="s">
        <v>134</v>
      </c>
      <c r="CI251" t="s">
        <v>134</v>
      </c>
      <c r="CJ251" t="s">
        <v>134</v>
      </c>
      <c r="CK251" t="s">
        <v>134</v>
      </c>
      <c r="CL251" t="s">
        <v>134</v>
      </c>
      <c r="CM251" t="s">
        <v>134</v>
      </c>
      <c r="CN251" t="s">
        <v>134</v>
      </c>
      <c r="CO251" t="s">
        <v>134</v>
      </c>
      <c r="CP251" t="s">
        <v>134</v>
      </c>
      <c r="CQ251" t="s">
        <v>134</v>
      </c>
      <c r="CR251" t="s">
        <v>134</v>
      </c>
      <c r="CS251" t="s">
        <v>134</v>
      </c>
      <c r="CT251" t="s">
        <v>134</v>
      </c>
      <c r="CU251" t="s">
        <v>134</v>
      </c>
      <c r="CV251" t="s">
        <v>134</v>
      </c>
      <c r="CW251" t="s">
        <v>134</v>
      </c>
      <c r="CX251" t="s">
        <v>134</v>
      </c>
      <c r="CY251" t="s">
        <v>134</v>
      </c>
      <c r="CZ251" t="s">
        <v>134</v>
      </c>
      <c r="DA251" t="s">
        <v>134</v>
      </c>
      <c r="DB251" t="s">
        <v>134</v>
      </c>
      <c r="DC251" t="s">
        <v>134</v>
      </c>
      <c r="DD251" t="s">
        <v>134</v>
      </c>
      <c r="DE251" t="s">
        <v>134</v>
      </c>
      <c r="DF251" t="s">
        <v>134</v>
      </c>
      <c r="DG251" t="s">
        <v>134</v>
      </c>
      <c r="DH251" t="s">
        <v>134</v>
      </c>
      <c r="DI251" t="s">
        <v>134</v>
      </c>
    </row>
    <row r="252" spans="1:113" x14ac:dyDescent="0.3">
      <c r="E252" t="s">
        <v>81</v>
      </c>
      <c r="F252" t="s">
        <v>134</v>
      </c>
      <c r="G252" t="s">
        <v>134</v>
      </c>
      <c r="H252" t="s">
        <v>134</v>
      </c>
      <c r="I252" t="s">
        <v>134</v>
      </c>
      <c r="J252" t="s">
        <v>134</v>
      </c>
      <c r="K252" t="s">
        <v>134</v>
      </c>
      <c r="L252" t="s">
        <v>134</v>
      </c>
      <c r="M252" t="s">
        <v>134</v>
      </c>
      <c r="N252" t="s">
        <v>134</v>
      </c>
      <c r="O252" t="s">
        <v>134</v>
      </c>
      <c r="P252" t="s">
        <v>134</v>
      </c>
      <c r="Q252" t="s">
        <v>134</v>
      </c>
      <c r="R252" t="s">
        <v>134</v>
      </c>
      <c r="S252" t="s">
        <v>134</v>
      </c>
      <c r="T252" t="s">
        <v>134</v>
      </c>
      <c r="U252" t="s">
        <v>134</v>
      </c>
      <c r="V252" t="s">
        <v>134</v>
      </c>
      <c r="W252" t="s">
        <v>134</v>
      </c>
      <c r="X252" t="s">
        <v>134</v>
      </c>
      <c r="Y252" t="s">
        <v>134</v>
      </c>
      <c r="Z252" t="s">
        <v>134</v>
      </c>
      <c r="AA252" t="s">
        <v>134</v>
      </c>
      <c r="AB252" t="s">
        <v>134</v>
      </c>
      <c r="AC252" t="s">
        <v>134</v>
      </c>
      <c r="AD252" t="s">
        <v>134</v>
      </c>
      <c r="AE252" t="s">
        <v>134</v>
      </c>
      <c r="AF252" t="s">
        <v>134</v>
      </c>
      <c r="AG252" t="s">
        <v>134</v>
      </c>
      <c r="AH252" t="s">
        <v>134</v>
      </c>
      <c r="AI252" t="s">
        <v>134</v>
      </c>
      <c r="AJ252" t="s">
        <v>134</v>
      </c>
      <c r="AK252" t="s">
        <v>134</v>
      </c>
      <c r="AL252" t="s">
        <v>134</v>
      </c>
      <c r="AM252" t="s">
        <v>134</v>
      </c>
      <c r="AN252" t="s">
        <v>134</v>
      </c>
      <c r="AO252" t="s">
        <v>134</v>
      </c>
      <c r="AP252" t="s">
        <v>134</v>
      </c>
      <c r="AQ252" t="s">
        <v>134</v>
      </c>
      <c r="AR252" t="s">
        <v>134</v>
      </c>
      <c r="AS252" t="s">
        <v>134</v>
      </c>
      <c r="AT252" t="s">
        <v>134</v>
      </c>
      <c r="AU252" t="s">
        <v>134</v>
      </c>
      <c r="AV252" t="s">
        <v>134</v>
      </c>
      <c r="AW252" t="s">
        <v>134</v>
      </c>
      <c r="AX252" t="s">
        <v>134</v>
      </c>
      <c r="AY252" t="s">
        <v>134</v>
      </c>
      <c r="AZ252" t="s">
        <v>134</v>
      </c>
      <c r="BA252" t="s">
        <v>134</v>
      </c>
      <c r="BB252" t="s">
        <v>134</v>
      </c>
      <c r="BC252" t="s">
        <v>134</v>
      </c>
      <c r="BD252" t="s">
        <v>134</v>
      </c>
      <c r="BE252" t="s">
        <v>134</v>
      </c>
      <c r="BF252" t="s">
        <v>134</v>
      </c>
      <c r="BG252" t="s">
        <v>134</v>
      </c>
      <c r="BH252" t="s">
        <v>134</v>
      </c>
      <c r="BI252" t="s">
        <v>134</v>
      </c>
      <c r="BJ252" t="s">
        <v>134</v>
      </c>
      <c r="BK252" t="s">
        <v>134</v>
      </c>
      <c r="BL252" t="s">
        <v>134</v>
      </c>
      <c r="BM252" t="s">
        <v>134</v>
      </c>
      <c r="BN252" t="s">
        <v>134</v>
      </c>
      <c r="BO252" t="s">
        <v>134</v>
      </c>
      <c r="BP252" t="s">
        <v>134</v>
      </c>
      <c r="BQ252" t="s">
        <v>134</v>
      </c>
      <c r="BR252" t="s">
        <v>134</v>
      </c>
      <c r="BS252" t="s">
        <v>134</v>
      </c>
      <c r="BT252" t="s">
        <v>134</v>
      </c>
      <c r="BU252" t="s">
        <v>134</v>
      </c>
      <c r="BV252" t="s">
        <v>134</v>
      </c>
      <c r="BW252" t="s">
        <v>134</v>
      </c>
      <c r="BX252" t="s">
        <v>134</v>
      </c>
      <c r="BY252" t="s">
        <v>134</v>
      </c>
      <c r="BZ252" t="s">
        <v>134</v>
      </c>
      <c r="CA252" t="s">
        <v>134</v>
      </c>
      <c r="CB252" t="s">
        <v>134</v>
      </c>
      <c r="CC252" t="s">
        <v>134</v>
      </c>
      <c r="CD252" t="s">
        <v>134</v>
      </c>
      <c r="CE252" t="s">
        <v>134</v>
      </c>
      <c r="CF252" t="s">
        <v>134</v>
      </c>
      <c r="CG252" t="s">
        <v>134</v>
      </c>
      <c r="CH252" t="s">
        <v>134</v>
      </c>
      <c r="CI252" t="s">
        <v>134</v>
      </c>
      <c r="CJ252" t="s">
        <v>134</v>
      </c>
      <c r="CK252" t="s">
        <v>134</v>
      </c>
      <c r="CL252" t="s">
        <v>134</v>
      </c>
      <c r="CM252" t="s">
        <v>134</v>
      </c>
      <c r="CN252" t="s">
        <v>134</v>
      </c>
      <c r="CO252" t="s">
        <v>134</v>
      </c>
      <c r="CP252" t="s">
        <v>134</v>
      </c>
      <c r="CQ252" t="s">
        <v>134</v>
      </c>
      <c r="CR252" t="s">
        <v>134</v>
      </c>
      <c r="CS252" t="s">
        <v>134</v>
      </c>
      <c r="CT252" t="s">
        <v>134</v>
      </c>
      <c r="CU252" t="s">
        <v>134</v>
      </c>
      <c r="CV252" t="s">
        <v>134</v>
      </c>
      <c r="CW252" t="s">
        <v>134</v>
      </c>
      <c r="CX252" t="s">
        <v>134</v>
      </c>
      <c r="CY252" t="s">
        <v>134</v>
      </c>
      <c r="CZ252" t="s">
        <v>134</v>
      </c>
      <c r="DA252" t="s">
        <v>134</v>
      </c>
      <c r="DB252" t="s">
        <v>134</v>
      </c>
      <c r="DC252" t="s">
        <v>134</v>
      </c>
      <c r="DD252" t="s">
        <v>134</v>
      </c>
      <c r="DE252" t="s">
        <v>134</v>
      </c>
      <c r="DF252" t="s">
        <v>134</v>
      </c>
      <c r="DG252" t="s">
        <v>134</v>
      </c>
      <c r="DH252" t="s">
        <v>134</v>
      </c>
      <c r="DI252" t="s">
        <v>134</v>
      </c>
    </row>
    <row r="253" spans="1:113" x14ac:dyDescent="0.3">
      <c r="A253">
        <v>11</v>
      </c>
      <c r="B253" t="s">
        <v>104</v>
      </c>
      <c r="C253" t="s">
        <v>105</v>
      </c>
      <c r="D253" t="s">
        <v>76</v>
      </c>
      <c r="E253" t="s">
        <v>77</v>
      </c>
      <c r="F253">
        <v>37.079599999999999</v>
      </c>
      <c r="G253">
        <v>24.376200000000001</v>
      </c>
      <c r="H253">
        <v>37.359400000000001</v>
      </c>
      <c r="I253">
        <v>31.601299999999998</v>
      </c>
      <c r="J253">
        <v>21.064299999999999</v>
      </c>
      <c r="K253">
        <v>20.145099999999999</v>
      </c>
      <c r="L253">
        <v>255.77449999999999</v>
      </c>
      <c r="M253">
        <v>23.597300000000001</v>
      </c>
      <c r="N253">
        <v>17.2881</v>
      </c>
      <c r="O253">
        <v>17.289899999999999</v>
      </c>
      <c r="P253">
        <v>17.135899999999999</v>
      </c>
      <c r="Q253">
        <v>29.863299999999999</v>
      </c>
      <c r="R253">
        <v>42.802399999999999</v>
      </c>
      <c r="S253">
        <v>21.2087</v>
      </c>
      <c r="T253">
        <v>0.98719999999999997</v>
      </c>
      <c r="U253">
        <v>13.975999999999999</v>
      </c>
      <c r="V253">
        <v>14.17</v>
      </c>
      <c r="W253">
        <v>7.9033999999999995</v>
      </c>
      <c r="X253">
        <v>7.8883000000000001</v>
      </c>
      <c r="Y253">
        <v>11.1111</v>
      </c>
      <c r="Z253">
        <v>8.4267000000000003</v>
      </c>
      <c r="AA253">
        <v>-0.42699999999999999</v>
      </c>
      <c r="AB253">
        <v>0.41959999999999997</v>
      </c>
      <c r="AC253">
        <v>20.764299999999999</v>
      </c>
      <c r="AD253">
        <v>-11.728</v>
      </c>
      <c r="AE253">
        <v>-55.670099999999998</v>
      </c>
      <c r="AF253">
        <v>6.5553999999999997</v>
      </c>
      <c r="AG253" t="s">
        <v>134</v>
      </c>
      <c r="AH253" t="s">
        <v>134</v>
      </c>
      <c r="AI253">
        <v>26.0625</v>
      </c>
      <c r="AJ253">
        <v>25.639700000000001</v>
      </c>
      <c r="AK253">
        <v>26.061800000000002</v>
      </c>
      <c r="AL253">
        <v>53.345999999999997</v>
      </c>
      <c r="AM253">
        <v>17.7194</v>
      </c>
      <c r="AN253">
        <v>24.385200000000001</v>
      </c>
      <c r="AO253">
        <v>25.7271</v>
      </c>
      <c r="AP253">
        <v>44.541200000000003</v>
      </c>
      <c r="AQ253">
        <v>44.540399999999998</v>
      </c>
      <c r="AR253">
        <v>35.367800000000003</v>
      </c>
      <c r="AS253">
        <v>23.163699999999999</v>
      </c>
      <c r="AT253">
        <v>11.518700000000001</v>
      </c>
      <c r="AU253">
        <v>5.6073000000000004</v>
      </c>
      <c r="AV253">
        <v>21.129000000000001</v>
      </c>
      <c r="AW253" t="s">
        <v>134</v>
      </c>
      <c r="AX253" t="s">
        <v>134</v>
      </c>
      <c r="AY253">
        <v>20.8184</v>
      </c>
      <c r="AZ253">
        <v>-100</v>
      </c>
      <c r="BA253">
        <v>-100</v>
      </c>
      <c r="BB253">
        <v>41.179600000000001</v>
      </c>
      <c r="BC253">
        <v>37.261899999999997</v>
      </c>
      <c r="BD253">
        <v>41.179400000000001</v>
      </c>
      <c r="BE253">
        <v>58.781799999999997</v>
      </c>
      <c r="BF253">
        <v>0.98719999999999997</v>
      </c>
      <c r="BG253">
        <v>13.975999999999999</v>
      </c>
      <c r="BH253">
        <v>14.17</v>
      </c>
      <c r="BI253">
        <v>7.9033999999999995</v>
      </c>
      <c r="BJ253">
        <v>7.8883000000000001</v>
      </c>
      <c r="BK253">
        <v>11.1111</v>
      </c>
      <c r="BL253">
        <v>8.4267000000000003</v>
      </c>
      <c r="BM253">
        <v>-0.42699999999999999</v>
      </c>
      <c r="BN253">
        <v>0.41959999999999997</v>
      </c>
      <c r="BO253">
        <v>20.764299999999999</v>
      </c>
      <c r="BP253" t="s">
        <v>134</v>
      </c>
      <c r="BQ253">
        <v>-55.670099999999998</v>
      </c>
      <c r="BR253">
        <v>6.5553999999999997</v>
      </c>
      <c r="BS253">
        <v>-100</v>
      </c>
      <c r="BT253">
        <v>-100</v>
      </c>
      <c r="BU253">
        <v>26.0625</v>
      </c>
      <c r="BV253">
        <v>25.639700000000001</v>
      </c>
      <c r="BW253">
        <v>26.061800000000002</v>
      </c>
      <c r="BX253">
        <v>53.345999999999997</v>
      </c>
      <c r="BY253">
        <v>0</v>
      </c>
      <c r="BZ253">
        <v>0</v>
      </c>
      <c r="CA253">
        <v>0</v>
      </c>
      <c r="CB253">
        <v>0</v>
      </c>
      <c r="CC253">
        <v>-0.67159999999999997</v>
      </c>
      <c r="CD253">
        <v>0</v>
      </c>
      <c r="CE253">
        <v>-0.70220000000000005</v>
      </c>
      <c r="CF253">
        <v>5067.3171000000002</v>
      </c>
      <c r="CG253">
        <v>66.418999999999997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-27.4468</v>
      </c>
      <c r="CO253">
        <v>-37.829799999999999</v>
      </c>
      <c r="CP253">
        <v>41552</v>
      </c>
      <c r="CQ253">
        <v>39351.5</v>
      </c>
      <c r="CR253">
        <v>39738.800000000003</v>
      </c>
      <c r="CS253">
        <v>0.58989999999999998</v>
      </c>
      <c r="CT253">
        <v>1.1889000000000001</v>
      </c>
      <c r="CU253">
        <v>0.75819999999999999</v>
      </c>
      <c r="CV253">
        <v>9.9613999999999994</v>
      </c>
      <c r="CW253">
        <v>25.776900000000001</v>
      </c>
      <c r="CX253">
        <v>14.16</v>
      </c>
      <c r="CY253">
        <v>21.6248</v>
      </c>
      <c r="CZ253">
        <v>16.878699999999998</v>
      </c>
      <c r="DA253">
        <v>6.7874999999999996</v>
      </c>
      <c r="DB253">
        <v>53.775100000000002</v>
      </c>
      <c r="DC253">
        <v>-22.7364</v>
      </c>
      <c r="DD253">
        <v>31.038699999999999</v>
      </c>
      <c r="DE253">
        <v>6412.1</v>
      </c>
      <c r="DF253">
        <v>1694.3</v>
      </c>
      <c r="DG253">
        <v>249.6</v>
      </c>
      <c r="DH253">
        <v>4287.3</v>
      </c>
      <c r="DI253">
        <v>180.9</v>
      </c>
    </row>
    <row r="254" spans="1:113" x14ac:dyDescent="0.3">
      <c r="E254" t="s">
        <v>78</v>
      </c>
      <c r="F254" t="s">
        <v>134</v>
      </c>
      <c r="G254" t="s">
        <v>134</v>
      </c>
      <c r="H254" t="s">
        <v>134</v>
      </c>
      <c r="I254" t="s">
        <v>134</v>
      </c>
      <c r="J254" t="s">
        <v>134</v>
      </c>
      <c r="K254" t="s">
        <v>134</v>
      </c>
      <c r="L254" t="s">
        <v>134</v>
      </c>
      <c r="M254" t="s">
        <v>134</v>
      </c>
      <c r="N254" t="s">
        <v>134</v>
      </c>
      <c r="O254" t="s">
        <v>134</v>
      </c>
      <c r="P254" t="s">
        <v>134</v>
      </c>
      <c r="Q254" t="s">
        <v>134</v>
      </c>
      <c r="R254" t="s">
        <v>134</v>
      </c>
      <c r="S254" t="s">
        <v>134</v>
      </c>
      <c r="T254" t="s">
        <v>134</v>
      </c>
      <c r="U254" t="s">
        <v>134</v>
      </c>
      <c r="V254" t="s">
        <v>134</v>
      </c>
      <c r="W254" t="s">
        <v>134</v>
      </c>
      <c r="X254" t="s">
        <v>134</v>
      </c>
      <c r="Y254" t="s">
        <v>134</v>
      </c>
      <c r="Z254" t="s">
        <v>134</v>
      </c>
      <c r="AA254" t="s">
        <v>134</v>
      </c>
      <c r="AB254" t="s">
        <v>134</v>
      </c>
      <c r="AC254" t="s">
        <v>134</v>
      </c>
      <c r="AD254" t="s">
        <v>134</v>
      </c>
      <c r="AE254" t="s">
        <v>134</v>
      </c>
      <c r="AF254" t="s">
        <v>134</v>
      </c>
      <c r="AG254" t="s">
        <v>134</v>
      </c>
      <c r="AH254" t="s">
        <v>134</v>
      </c>
      <c r="AI254" t="s">
        <v>134</v>
      </c>
      <c r="AJ254" t="s">
        <v>134</v>
      </c>
      <c r="AK254" t="s">
        <v>134</v>
      </c>
      <c r="AL254" t="s">
        <v>134</v>
      </c>
      <c r="AM254" t="s">
        <v>134</v>
      </c>
      <c r="AN254" t="s">
        <v>134</v>
      </c>
      <c r="AO254" t="s">
        <v>134</v>
      </c>
      <c r="AP254" t="s">
        <v>134</v>
      </c>
      <c r="AQ254" t="s">
        <v>134</v>
      </c>
      <c r="AR254" t="s">
        <v>134</v>
      </c>
      <c r="AS254" t="s">
        <v>134</v>
      </c>
      <c r="AT254" t="s">
        <v>134</v>
      </c>
      <c r="AU254" t="s">
        <v>134</v>
      </c>
      <c r="AV254" t="s">
        <v>134</v>
      </c>
      <c r="AW254" t="s">
        <v>134</v>
      </c>
      <c r="AX254" t="s">
        <v>134</v>
      </c>
      <c r="AY254" t="s">
        <v>134</v>
      </c>
      <c r="AZ254" t="s">
        <v>134</v>
      </c>
      <c r="BA254" t="s">
        <v>134</v>
      </c>
      <c r="BB254" t="s">
        <v>134</v>
      </c>
      <c r="BC254" t="s">
        <v>134</v>
      </c>
      <c r="BD254" t="s">
        <v>134</v>
      </c>
      <c r="BE254" t="s">
        <v>134</v>
      </c>
      <c r="BF254" t="s">
        <v>134</v>
      </c>
      <c r="BG254" t="s">
        <v>134</v>
      </c>
      <c r="BH254" t="s">
        <v>134</v>
      </c>
      <c r="BI254" t="s">
        <v>134</v>
      </c>
      <c r="BJ254" t="s">
        <v>134</v>
      </c>
      <c r="BK254" t="s">
        <v>134</v>
      </c>
      <c r="BL254" t="s">
        <v>134</v>
      </c>
      <c r="BM254" t="s">
        <v>134</v>
      </c>
      <c r="BN254" t="s">
        <v>134</v>
      </c>
      <c r="BO254" t="s">
        <v>134</v>
      </c>
      <c r="BP254" t="s">
        <v>134</v>
      </c>
      <c r="BQ254" t="s">
        <v>134</v>
      </c>
      <c r="BR254" t="s">
        <v>134</v>
      </c>
      <c r="BS254" t="s">
        <v>134</v>
      </c>
      <c r="BT254" t="s">
        <v>134</v>
      </c>
      <c r="BU254" t="s">
        <v>134</v>
      </c>
      <c r="BV254" t="s">
        <v>134</v>
      </c>
      <c r="BW254" t="s">
        <v>134</v>
      </c>
      <c r="BX254" t="s">
        <v>134</v>
      </c>
      <c r="BY254" t="s">
        <v>134</v>
      </c>
      <c r="BZ254" t="s">
        <v>134</v>
      </c>
      <c r="CA254" t="s">
        <v>134</v>
      </c>
      <c r="CB254" t="s">
        <v>134</v>
      </c>
      <c r="CC254" t="s">
        <v>134</v>
      </c>
      <c r="CD254" t="s">
        <v>134</v>
      </c>
      <c r="CE254" t="s">
        <v>134</v>
      </c>
      <c r="CF254" t="s">
        <v>134</v>
      </c>
      <c r="CG254" t="s">
        <v>134</v>
      </c>
      <c r="CH254" t="s">
        <v>134</v>
      </c>
      <c r="CI254" t="s">
        <v>134</v>
      </c>
      <c r="CJ254" t="s">
        <v>134</v>
      </c>
      <c r="CK254" t="s">
        <v>134</v>
      </c>
      <c r="CL254" t="s">
        <v>134</v>
      </c>
      <c r="CM254" t="s">
        <v>134</v>
      </c>
      <c r="CN254" t="s">
        <v>134</v>
      </c>
      <c r="CO254" t="s">
        <v>134</v>
      </c>
      <c r="CP254" t="s">
        <v>134</v>
      </c>
      <c r="CQ254" t="s">
        <v>134</v>
      </c>
      <c r="CR254" t="s">
        <v>134</v>
      </c>
      <c r="CS254" t="s">
        <v>134</v>
      </c>
      <c r="CT254" t="s">
        <v>134</v>
      </c>
      <c r="CU254" t="s">
        <v>134</v>
      </c>
      <c r="CV254" t="s">
        <v>134</v>
      </c>
      <c r="CW254" t="s">
        <v>134</v>
      </c>
      <c r="CX254" t="s">
        <v>134</v>
      </c>
      <c r="CY254" t="s">
        <v>134</v>
      </c>
      <c r="CZ254" t="s">
        <v>134</v>
      </c>
      <c r="DA254" t="s">
        <v>134</v>
      </c>
      <c r="DB254" t="s">
        <v>134</v>
      </c>
      <c r="DC254" t="s">
        <v>134</v>
      </c>
      <c r="DD254" t="s">
        <v>134</v>
      </c>
      <c r="DE254" t="s">
        <v>134</v>
      </c>
      <c r="DF254" t="s">
        <v>134</v>
      </c>
      <c r="DG254" t="s">
        <v>134</v>
      </c>
      <c r="DH254" t="s">
        <v>134</v>
      </c>
      <c r="DI254" t="s">
        <v>134</v>
      </c>
    </row>
    <row r="255" spans="1:113" x14ac:dyDescent="0.3">
      <c r="E255" t="s">
        <v>79</v>
      </c>
      <c r="F255" t="s">
        <v>134</v>
      </c>
      <c r="G255" t="s">
        <v>134</v>
      </c>
      <c r="H255" t="s">
        <v>134</v>
      </c>
      <c r="I255" t="s">
        <v>134</v>
      </c>
      <c r="J255" t="s">
        <v>134</v>
      </c>
      <c r="K255" t="s">
        <v>134</v>
      </c>
      <c r="L255" t="s">
        <v>134</v>
      </c>
      <c r="M255" t="s">
        <v>134</v>
      </c>
      <c r="N255" t="s">
        <v>134</v>
      </c>
      <c r="O255" t="s">
        <v>134</v>
      </c>
      <c r="P255" t="s">
        <v>134</v>
      </c>
      <c r="Q255" t="s">
        <v>134</v>
      </c>
      <c r="R255" t="s">
        <v>134</v>
      </c>
      <c r="S255" t="s">
        <v>134</v>
      </c>
      <c r="T255" t="s">
        <v>134</v>
      </c>
      <c r="U255" t="s">
        <v>134</v>
      </c>
      <c r="V255" t="s">
        <v>134</v>
      </c>
      <c r="W255" t="s">
        <v>134</v>
      </c>
      <c r="X255" t="s">
        <v>134</v>
      </c>
      <c r="Y255" t="s">
        <v>134</v>
      </c>
      <c r="Z255" t="s">
        <v>134</v>
      </c>
      <c r="AA255" t="s">
        <v>134</v>
      </c>
      <c r="AB255" t="s">
        <v>134</v>
      </c>
      <c r="AC255" t="s">
        <v>134</v>
      </c>
      <c r="AD255" t="s">
        <v>134</v>
      </c>
      <c r="AE255" t="s">
        <v>134</v>
      </c>
      <c r="AF255" t="s">
        <v>134</v>
      </c>
      <c r="AG255" t="s">
        <v>134</v>
      </c>
      <c r="AH255" t="s">
        <v>134</v>
      </c>
      <c r="AI255" t="s">
        <v>134</v>
      </c>
      <c r="AJ255" t="s">
        <v>134</v>
      </c>
      <c r="AK255" t="s">
        <v>134</v>
      </c>
      <c r="AL255" t="s">
        <v>134</v>
      </c>
      <c r="AM255" t="s">
        <v>134</v>
      </c>
      <c r="AN255" t="s">
        <v>134</v>
      </c>
      <c r="AO255" t="s">
        <v>134</v>
      </c>
      <c r="AP255" t="s">
        <v>134</v>
      </c>
      <c r="AQ255" t="s">
        <v>134</v>
      </c>
      <c r="AR255" t="s">
        <v>134</v>
      </c>
      <c r="AS255" t="s">
        <v>134</v>
      </c>
      <c r="AT255" t="s">
        <v>134</v>
      </c>
      <c r="AU255" t="s">
        <v>134</v>
      </c>
      <c r="AV255" t="s">
        <v>134</v>
      </c>
      <c r="AW255" t="s">
        <v>134</v>
      </c>
      <c r="AX255" t="s">
        <v>134</v>
      </c>
      <c r="AY255" t="s">
        <v>134</v>
      </c>
      <c r="AZ255" t="s">
        <v>134</v>
      </c>
      <c r="BA255" t="s">
        <v>134</v>
      </c>
      <c r="BB255" t="s">
        <v>134</v>
      </c>
      <c r="BC255" t="s">
        <v>134</v>
      </c>
      <c r="BD255" t="s">
        <v>134</v>
      </c>
      <c r="BE255" t="s">
        <v>134</v>
      </c>
      <c r="BF255" t="s">
        <v>134</v>
      </c>
      <c r="BG255" t="s">
        <v>134</v>
      </c>
      <c r="BH255" t="s">
        <v>134</v>
      </c>
      <c r="BI255" t="s">
        <v>134</v>
      </c>
      <c r="BJ255" t="s">
        <v>134</v>
      </c>
      <c r="BK255" t="s">
        <v>134</v>
      </c>
      <c r="BL255" t="s">
        <v>134</v>
      </c>
      <c r="BM255" t="s">
        <v>134</v>
      </c>
      <c r="BN255" t="s">
        <v>134</v>
      </c>
      <c r="BO255" t="s">
        <v>134</v>
      </c>
      <c r="BP255" t="s">
        <v>134</v>
      </c>
      <c r="BQ255" t="s">
        <v>134</v>
      </c>
      <c r="BR255" t="s">
        <v>134</v>
      </c>
      <c r="BS255" t="s">
        <v>134</v>
      </c>
      <c r="BT255" t="s">
        <v>134</v>
      </c>
      <c r="BU255" t="s">
        <v>134</v>
      </c>
      <c r="BV255" t="s">
        <v>134</v>
      </c>
      <c r="BW255" t="s">
        <v>134</v>
      </c>
      <c r="BX255" t="s">
        <v>134</v>
      </c>
      <c r="BY255" t="s">
        <v>134</v>
      </c>
      <c r="BZ255" t="s">
        <v>134</v>
      </c>
      <c r="CA255" t="s">
        <v>134</v>
      </c>
      <c r="CB255" t="s">
        <v>134</v>
      </c>
      <c r="CC255" t="s">
        <v>134</v>
      </c>
      <c r="CD255" t="s">
        <v>134</v>
      </c>
      <c r="CE255" t="s">
        <v>134</v>
      </c>
      <c r="CF255" t="s">
        <v>134</v>
      </c>
      <c r="CG255" t="s">
        <v>134</v>
      </c>
      <c r="CH255" t="s">
        <v>134</v>
      </c>
      <c r="CI255" t="s">
        <v>134</v>
      </c>
      <c r="CJ255" t="s">
        <v>134</v>
      </c>
      <c r="CK255" t="s">
        <v>134</v>
      </c>
      <c r="CL255" t="s">
        <v>134</v>
      </c>
      <c r="CM255" t="s">
        <v>134</v>
      </c>
      <c r="CN255" t="s">
        <v>134</v>
      </c>
      <c r="CO255" t="s">
        <v>134</v>
      </c>
      <c r="CP255" t="s">
        <v>134</v>
      </c>
      <c r="CQ255" t="s">
        <v>134</v>
      </c>
      <c r="CR255" t="s">
        <v>134</v>
      </c>
      <c r="CS255" t="s">
        <v>134</v>
      </c>
      <c r="CT255" t="s">
        <v>134</v>
      </c>
      <c r="CU255" t="s">
        <v>134</v>
      </c>
      <c r="CV255" t="s">
        <v>134</v>
      </c>
      <c r="CW255" t="s">
        <v>134</v>
      </c>
      <c r="CX255" t="s">
        <v>134</v>
      </c>
      <c r="CY255" t="s">
        <v>134</v>
      </c>
      <c r="CZ255" t="s">
        <v>134</v>
      </c>
      <c r="DA255" t="s">
        <v>134</v>
      </c>
      <c r="DB255" t="s">
        <v>134</v>
      </c>
      <c r="DC255" t="s">
        <v>134</v>
      </c>
      <c r="DD255" t="s">
        <v>134</v>
      </c>
      <c r="DE255" t="s">
        <v>134</v>
      </c>
      <c r="DF255" t="s">
        <v>134</v>
      </c>
      <c r="DG255" t="s">
        <v>134</v>
      </c>
      <c r="DH255" t="s">
        <v>134</v>
      </c>
      <c r="DI255" t="s">
        <v>134</v>
      </c>
    </row>
    <row r="256" spans="1:113" x14ac:dyDescent="0.3">
      <c r="E256" t="s">
        <v>80</v>
      </c>
      <c r="F256" t="s">
        <v>134</v>
      </c>
      <c r="G256" t="s">
        <v>134</v>
      </c>
      <c r="H256" t="s">
        <v>134</v>
      </c>
      <c r="I256" t="s">
        <v>134</v>
      </c>
      <c r="J256" t="s">
        <v>134</v>
      </c>
      <c r="K256" t="s">
        <v>134</v>
      </c>
      <c r="L256" t="s">
        <v>134</v>
      </c>
      <c r="M256" t="s">
        <v>134</v>
      </c>
      <c r="N256" t="s">
        <v>134</v>
      </c>
      <c r="O256" t="s">
        <v>134</v>
      </c>
      <c r="P256" t="s">
        <v>134</v>
      </c>
      <c r="Q256" t="s">
        <v>134</v>
      </c>
      <c r="R256" t="s">
        <v>134</v>
      </c>
      <c r="S256" t="s">
        <v>134</v>
      </c>
      <c r="T256" t="s">
        <v>134</v>
      </c>
      <c r="U256" t="s">
        <v>134</v>
      </c>
      <c r="V256" t="s">
        <v>134</v>
      </c>
      <c r="W256" t="s">
        <v>134</v>
      </c>
      <c r="X256" t="s">
        <v>134</v>
      </c>
      <c r="Y256" t="s">
        <v>134</v>
      </c>
      <c r="Z256" t="s">
        <v>134</v>
      </c>
      <c r="AA256" t="s">
        <v>134</v>
      </c>
      <c r="AB256" t="s">
        <v>134</v>
      </c>
      <c r="AC256" t="s">
        <v>134</v>
      </c>
      <c r="AD256" t="s">
        <v>134</v>
      </c>
      <c r="AE256" t="s">
        <v>134</v>
      </c>
      <c r="AF256" t="s">
        <v>134</v>
      </c>
      <c r="AG256" t="s">
        <v>134</v>
      </c>
      <c r="AH256" t="s">
        <v>134</v>
      </c>
      <c r="AI256" t="s">
        <v>134</v>
      </c>
      <c r="AJ256" t="s">
        <v>134</v>
      </c>
      <c r="AK256" t="s">
        <v>134</v>
      </c>
      <c r="AL256" t="s">
        <v>134</v>
      </c>
      <c r="AM256" t="s">
        <v>134</v>
      </c>
      <c r="AN256" t="s">
        <v>134</v>
      </c>
      <c r="AO256" t="s">
        <v>134</v>
      </c>
      <c r="AP256" t="s">
        <v>134</v>
      </c>
      <c r="AQ256" t="s">
        <v>134</v>
      </c>
      <c r="AR256" t="s">
        <v>134</v>
      </c>
      <c r="AS256" t="s">
        <v>134</v>
      </c>
      <c r="AT256" t="s">
        <v>134</v>
      </c>
      <c r="AU256" t="s">
        <v>134</v>
      </c>
      <c r="AV256" t="s">
        <v>134</v>
      </c>
      <c r="AW256" t="s">
        <v>134</v>
      </c>
      <c r="AX256" t="s">
        <v>134</v>
      </c>
      <c r="AY256" t="s">
        <v>134</v>
      </c>
      <c r="AZ256" t="s">
        <v>134</v>
      </c>
      <c r="BA256" t="s">
        <v>134</v>
      </c>
      <c r="BB256" t="s">
        <v>134</v>
      </c>
      <c r="BC256" t="s">
        <v>134</v>
      </c>
      <c r="BD256" t="s">
        <v>134</v>
      </c>
      <c r="BE256" t="s">
        <v>134</v>
      </c>
      <c r="BF256" t="s">
        <v>134</v>
      </c>
      <c r="BG256" t="s">
        <v>134</v>
      </c>
      <c r="BH256" t="s">
        <v>134</v>
      </c>
      <c r="BI256" t="s">
        <v>134</v>
      </c>
      <c r="BJ256" t="s">
        <v>134</v>
      </c>
      <c r="BK256" t="s">
        <v>134</v>
      </c>
      <c r="BL256" t="s">
        <v>134</v>
      </c>
      <c r="BM256" t="s">
        <v>134</v>
      </c>
      <c r="BN256" t="s">
        <v>134</v>
      </c>
      <c r="BO256" t="s">
        <v>134</v>
      </c>
      <c r="BP256" t="s">
        <v>134</v>
      </c>
      <c r="BQ256" t="s">
        <v>134</v>
      </c>
      <c r="BR256" t="s">
        <v>134</v>
      </c>
      <c r="BS256" t="s">
        <v>134</v>
      </c>
      <c r="BT256" t="s">
        <v>134</v>
      </c>
      <c r="BU256" t="s">
        <v>134</v>
      </c>
      <c r="BV256" t="s">
        <v>134</v>
      </c>
      <c r="BW256" t="s">
        <v>134</v>
      </c>
      <c r="BX256" t="s">
        <v>134</v>
      </c>
      <c r="BY256" t="s">
        <v>134</v>
      </c>
      <c r="BZ256" t="s">
        <v>134</v>
      </c>
      <c r="CA256" t="s">
        <v>134</v>
      </c>
      <c r="CB256" t="s">
        <v>134</v>
      </c>
      <c r="CC256" t="s">
        <v>134</v>
      </c>
      <c r="CD256" t="s">
        <v>134</v>
      </c>
      <c r="CE256" t="s">
        <v>134</v>
      </c>
      <c r="CF256" t="s">
        <v>134</v>
      </c>
      <c r="CG256" t="s">
        <v>134</v>
      </c>
      <c r="CH256" t="s">
        <v>134</v>
      </c>
      <c r="CI256" t="s">
        <v>134</v>
      </c>
      <c r="CJ256" t="s">
        <v>134</v>
      </c>
      <c r="CK256" t="s">
        <v>134</v>
      </c>
      <c r="CL256" t="s">
        <v>134</v>
      </c>
      <c r="CM256" t="s">
        <v>134</v>
      </c>
      <c r="CN256" t="s">
        <v>134</v>
      </c>
      <c r="CO256" t="s">
        <v>134</v>
      </c>
      <c r="CP256" t="s">
        <v>134</v>
      </c>
      <c r="CQ256" t="s">
        <v>134</v>
      </c>
      <c r="CR256" t="s">
        <v>134</v>
      </c>
      <c r="CS256" t="s">
        <v>134</v>
      </c>
      <c r="CT256" t="s">
        <v>134</v>
      </c>
      <c r="CU256" t="s">
        <v>134</v>
      </c>
      <c r="CV256" t="s">
        <v>134</v>
      </c>
      <c r="CW256" t="s">
        <v>134</v>
      </c>
      <c r="CX256" t="s">
        <v>134</v>
      </c>
      <c r="CY256" t="s">
        <v>134</v>
      </c>
      <c r="CZ256" t="s">
        <v>134</v>
      </c>
      <c r="DA256" t="s">
        <v>134</v>
      </c>
      <c r="DB256" t="s">
        <v>134</v>
      </c>
      <c r="DC256" t="s">
        <v>134</v>
      </c>
      <c r="DD256" t="s">
        <v>134</v>
      </c>
      <c r="DE256" t="s">
        <v>134</v>
      </c>
      <c r="DF256" t="s">
        <v>134</v>
      </c>
      <c r="DG256" t="s">
        <v>134</v>
      </c>
      <c r="DH256" t="s">
        <v>134</v>
      </c>
      <c r="DI256" t="s">
        <v>134</v>
      </c>
    </row>
    <row r="257" spans="4:113" x14ac:dyDescent="0.3">
      <c r="E257" t="s">
        <v>81</v>
      </c>
      <c r="F257" t="s">
        <v>134</v>
      </c>
      <c r="G257" t="s">
        <v>134</v>
      </c>
      <c r="H257" t="s">
        <v>134</v>
      </c>
      <c r="I257" t="s">
        <v>134</v>
      </c>
      <c r="J257" t="s">
        <v>134</v>
      </c>
      <c r="K257" t="s">
        <v>134</v>
      </c>
      <c r="L257" t="s">
        <v>134</v>
      </c>
      <c r="M257" t="s">
        <v>134</v>
      </c>
      <c r="N257" t="s">
        <v>134</v>
      </c>
      <c r="O257" t="s">
        <v>134</v>
      </c>
      <c r="P257" t="s">
        <v>134</v>
      </c>
      <c r="Q257" t="s">
        <v>134</v>
      </c>
      <c r="R257" t="s">
        <v>134</v>
      </c>
      <c r="S257" t="s">
        <v>134</v>
      </c>
      <c r="T257" t="s">
        <v>134</v>
      </c>
      <c r="U257" t="s">
        <v>134</v>
      </c>
      <c r="V257" t="s">
        <v>134</v>
      </c>
      <c r="W257" t="s">
        <v>134</v>
      </c>
      <c r="X257" t="s">
        <v>134</v>
      </c>
      <c r="Y257" t="s">
        <v>134</v>
      </c>
      <c r="Z257" t="s">
        <v>134</v>
      </c>
      <c r="AA257" t="s">
        <v>134</v>
      </c>
      <c r="AB257" t="s">
        <v>134</v>
      </c>
      <c r="AC257" t="s">
        <v>134</v>
      </c>
      <c r="AD257" t="s">
        <v>134</v>
      </c>
      <c r="AE257" t="s">
        <v>134</v>
      </c>
      <c r="AF257" t="s">
        <v>134</v>
      </c>
      <c r="AG257" t="s">
        <v>134</v>
      </c>
      <c r="AH257" t="s">
        <v>134</v>
      </c>
      <c r="AI257" t="s">
        <v>134</v>
      </c>
      <c r="AJ257" t="s">
        <v>134</v>
      </c>
      <c r="AK257" t="s">
        <v>134</v>
      </c>
      <c r="AL257" t="s">
        <v>134</v>
      </c>
      <c r="AM257" t="s">
        <v>134</v>
      </c>
      <c r="AN257" t="s">
        <v>134</v>
      </c>
      <c r="AO257" t="s">
        <v>134</v>
      </c>
      <c r="AP257" t="s">
        <v>134</v>
      </c>
      <c r="AQ257" t="s">
        <v>134</v>
      </c>
      <c r="AR257" t="s">
        <v>134</v>
      </c>
      <c r="AS257" t="s">
        <v>134</v>
      </c>
      <c r="AT257" t="s">
        <v>134</v>
      </c>
      <c r="AU257" t="s">
        <v>134</v>
      </c>
      <c r="AV257" t="s">
        <v>134</v>
      </c>
      <c r="AW257" t="s">
        <v>134</v>
      </c>
      <c r="AX257" t="s">
        <v>134</v>
      </c>
      <c r="AY257" t="s">
        <v>134</v>
      </c>
      <c r="AZ257" t="s">
        <v>134</v>
      </c>
      <c r="BA257" t="s">
        <v>134</v>
      </c>
      <c r="BB257" t="s">
        <v>134</v>
      </c>
      <c r="BC257" t="s">
        <v>134</v>
      </c>
      <c r="BD257" t="s">
        <v>134</v>
      </c>
      <c r="BE257" t="s">
        <v>134</v>
      </c>
      <c r="BF257" t="s">
        <v>134</v>
      </c>
      <c r="BG257" t="s">
        <v>134</v>
      </c>
      <c r="BH257" t="s">
        <v>134</v>
      </c>
      <c r="BI257" t="s">
        <v>134</v>
      </c>
      <c r="BJ257" t="s">
        <v>134</v>
      </c>
      <c r="BK257" t="s">
        <v>134</v>
      </c>
      <c r="BL257" t="s">
        <v>134</v>
      </c>
      <c r="BM257" t="s">
        <v>134</v>
      </c>
      <c r="BN257" t="s">
        <v>134</v>
      </c>
      <c r="BO257" t="s">
        <v>134</v>
      </c>
      <c r="BP257" t="s">
        <v>134</v>
      </c>
      <c r="BQ257" t="s">
        <v>134</v>
      </c>
      <c r="BR257" t="s">
        <v>134</v>
      </c>
      <c r="BS257" t="s">
        <v>134</v>
      </c>
      <c r="BT257" t="s">
        <v>134</v>
      </c>
      <c r="BU257" t="s">
        <v>134</v>
      </c>
      <c r="BV257" t="s">
        <v>134</v>
      </c>
      <c r="BW257" t="s">
        <v>134</v>
      </c>
      <c r="BX257" t="s">
        <v>134</v>
      </c>
      <c r="BY257" t="s">
        <v>134</v>
      </c>
      <c r="BZ257" t="s">
        <v>134</v>
      </c>
      <c r="CA257" t="s">
        <v>134</v>
      </c>
      <c r="CB257" t="s">
        <v>134</v>
      </c>
      <c r="CC257" t="s">
        <v>134</v>
      </c>
      <c r="CD257" t="s">
        <v>134</v>
      </c>
      <c r="CE257" t="s">
        <v>134</v>
      </c>
      <c r="CF257" t="s">
        <v>134</v>
      </c>
      <c r="CG257" t="s">
        <v>134</v>
      </c>
      <c r="CH257" t="s">
        <v>134</v>
      </c>
      <c r="CI257" t="s">
        <v>134</v>
      </c>
      <c r="CJ257" t="s">
        <v>134</v>
      </c>
      <c r="CK257" t="s">
        <v>134</v>
      </c>
      <c r="CL257" t="s">
        <v>134</v>
      </c>
      <c r="CM257" t="s">
        <v>134</v>
      </c>
      <c r="CN257" t="s">
        <v>134</v>
      </c>
      <c r="CO257" t="s">
        <v>134</v>
      </c>
      <c r="CP257" t="s">
        <v>134</v>
      </c>
      <c r="CQ257" t="s">
        <v>134</v>
      </c>
      <c r="CR257" t="s">
        <v>134</v>
      </c>
      <c r="CS257" t="s">
        <v>134</v>
      </c>
      <c r="CT257" t="s">
        <v>134</v>
      </c>
      <c r="CU257" t="s">
        <v>134</v>
      </c>
      <c r="CV257" t="s">
        <v>134</v>
      </c>
      <c r="CW257" t="s">
        <v>134</v>
      </c>
      <c r="CX257" t="s">
        <v>134</v>
      </c>
      <c r="CY257" t="s">
        <v>134</v>
      </c>
      <c r="CZ257" t="s">
        <v>134</v>
      </c>
      <c r="DA257" t="s">
        <v>134</v>
      </c>
      <c r="DB257" t="s">
        <v>134</v>
      </c>
      <c r="DC257" t="s">
        <v>134</v>
      </c>
      <c r="DD257" t="s">
        <v>134</v>
      </c>
      <c r="DE257" t="s">
        <v>134</v>
      </c>
      <c r="DF257" t="s">
        <v>134</v>
      </c>
      <c r="DG257" t="s">
        <v>134</v>
      </c>
      <c r="DH257" t="s">
        <v>134</v>
      </c>
      <c r="DI257" t="s">
        <v>134</v>
      </c>
    </row>
    <row r="258" spans="4:113" x14ac:dyDescent="0.3">
      <c r="D258" t="s">
        <v>82</v>
      </c>
      <c r="E258" t="s">
        <v>77</v>
      </c>
      <c r="F258">
        <v>28.459700000000002</v>
      </c>
      <c r="G258">
        <v>19.349599999999999</v>
      </c>
      <c r="H258">
        <v>28.5015</v>
      </c>
      <c r="I258">
        <v>26.391300000000001</v>
      </c>
      <c r="J258">
        <v>19.488299999999999</v>
      </c>
      <c r="K258">
        <v>18.2211</v>
      </c>
      <c r="L258" t="s">
        <v>134</v>
      </c>
      <c r="M258">
        <v>19.344799999999999</v>
      </c>
      <c r="N258">
        <v>14.3353</v>
      </c>
      <c r="O258">
        <v>14.3353</v>
      </c>
      <c r="P258">
        <v>14.3353</v>
      </c>
      <c r="Q258">
        <v>31.130700000000001</v>
      </c>
      <c r="R258">
        <v>47.819499999999998</v>
      </c>
      <c r="S258">
        <v>14.8504</v>
      </c>
      <c r="T258">
        <v>6.9950999999999999</v>
      </c>
      <c r="U258">
        <v>-1.0098</v>
      </c>
      <c r="V258">
        <v>-3.2235</v>
      </c>
      <c r="W258">
        <v>-10.4917</v>
      </c>
      <c r="X258">
        <v>-10.479200000000001</v>
      </c>
      <c r="Y258">
        <v>0</v>
      </c>
      <c r="Z258">
        <v>-9.9534000000000002</v>
      </c>
      <c r="AA258">
        <v>26.9709</v>
      </c>
      <c r="AB258">
        <v>-0.98140000000000005</v>
      </c>
      <c r="AC258">
        <v>4.2973999999999997</v>
      </c>
      <c r="AD258">
        <v>60.155099999999997</v>
      </c>
      <c r="AE258">
        <v>469.6155</v>
      </c>
      <c r="AF258">
        <v>-14.7736</v>
      </c>
      <c r="AG258" t="s">
        <v>134</v>
      </c>
      <c r="AH258" t="s">
        <v>134</v>
      </c>
      <c r="AI258">
        <v>9.1277000000000008</v>
      </c>
      <c r="AJ258">
        <v>9.1277000000000008</v>
      </c>
      <c r="AK258">
        <v>9.1279000000000003</v>
      </c>
      <c r="AL258">
        <v>-39.916499999999999</v>
      </c>
      <c r="AM258">
        <v>12.8695</v>
      </c>
      <c r="AN258">
        <v>9.9166000000000007</v>
      </c>
      <c r="AO258">
        <v>9.6499000000000006</v>
      </c>
      <c r="AP258">
        <v>13.666600000000001</v>
      </c>
      <c r="AQ258">
        <v>13.6692</v>
      </c>
      <c r="AR258">
        <v>20.112400000000001</v>
      </c>
      <c r="AS258">
        <v>24.6218</v>
      </c>
      <c r="AT258">
        <v>12.1744</v>
      </c>
      <c r="AU258">
        <v>5.7742000000000004</v>
      </c>
      <c r="AV258">
        <v>18.117100000000001</v>
      </c>
      <c r="AW258" t="s">
        <v>134</v>
      </c>
      <c r="AX258">
        <v>66.388099999999994</v>
      </c>
      <c r="AY258">
        <v>2.6871999999999998</v>
      </c>
      <c r="AZ258">
        <v>-100</v>
      </c>
      <c r="BA258">
        <v>-100</v>
      </c>
      <c r="BB258">
        <v>32.4953</v>
      </c>
      <c r="BC258">
        <v>32.152299999999997</v>
      </c>
      <c r="BD258">
        <v>32.498899999999999</v>
      </c>
      <c r="BE258">
        <v>-3.1276999999999999</v>
      </c>
      <c r="BF258">
        <v>6.9950999999999999</v>
      </c>
      <c r="BG258">
        <v>-1.0098</v>
      </c>
      <c r="BH258">
        <v>-3.2235</v>
      </c>
      <c r="BI258">
        <v>-10.4917</v>
      </c>
      <c r="BJ258">
        <v>-10.479200000000001</v>
      </c>
      <c r="BK258">
        <v>0</v>
      </c>
      <c r="BL258">
        <v>-9.9534000000000002</v>
      </c>
      <c r="BM258">
        <v>26.9709</v>
      </c>
      <c r="BN258">
        <v>-0.98140000000000005</v>
      </c>
      <c r="BO258">
        <v>4.2973999999999997</v>
      </c>
      <c r="BP258" t="s">
        <v>134</v>
      </c>
      <c r="BQ258">
        <v>469.6155</v>
      </c>
      <c r="BR258">
        <v>-14.7736</v>
      </c>
      <c r="BS258" t="s">
        <v>134</v>
      </c>
      <c r="BT258" t="s">
        <v>134</v>
      </c>
      <c r="BU258">
        <v>9.1277000000000008</v>
      </c>
      <c r="BV258">
        <v>9.1277000000000008</v>
      </c>
      <c r="BW258">
        <v>9.1279000000000003</v>
      </c>
      <c r="BX258">
        <v>-39.916499999999999</v>
      </c>
      <c r="BY258">
        <v>0</v>
      </c>
      <c r="BZ258">
        <v>0</v>
      </c>
      <c r="CA258">
        <v>0</v>
      </c>
      <c r="CB258">
        <v>0</v>
      </c>
      <c r="CC258">
        <v>-1.5543</v>
      </c>
      <c r="CD258">
        <v>0</v>
      </c>
      <c r="CE258">
        <v>-1.6623999999999999</v>
      </c>
      <c r="CF258">
        <v>633.78120000000001</v>
      </c>
      <c r="CG258">
        <v>69.495199999999997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-57.621400000000001</v>
      </c>
      <c r="CO258">
        <v>-135.96809999999999</v>
      </c>
      <c r="CP258">
        <v>41132.400000000001</v>
      </c>
      <c r="CQ258">
        <v>38435.9</v>
      </c>
      <c r="CR258">
        <v>38457.800000000003</v>
      </c>
      <c r="CS258">
        <v>1.4280999999999999</v>
      </c>
      <c r="CT258">
        <v>2.137</v>
      </c>
      <c r="CU258">
        <v>1.5882000000000001</v>
      </c>
      <c r="CV258">
        <v>10.4343</v>
      </c>
      <c r="CW258">
        <v>27.896599999999999</v>
      </c>
      <c r="CX258">
        <v>13.084</v>
      </c>
      <c r="CY258">
        <v>20.486899999999999</v>
      </c>
      <c r="CZ258">
        <v>17.816299999999998</v>
      </c>
      <c r="DA258">
        <v>7.7107999999999999</v>
      </c>
      <c r="DB258">
        <v>47.336399999999998</v>
      </c>
      <c r="DC258">
        <v>-16.4361</v>
      </c>
      <c r="DD258">
        <v>30.900300000000001</v>
      </c>
      <c r="DE258">
        <v>8141.5</v>
      </c>
      <c r="DF258">
        <v>2252.1</v>
      </c>
      <c r="DG258">
        <v>286.5</v>
      </c>
      <c r="DH258">
        <v>5399</v>
      </c>
      <c r="DI258">
        <v>203.9</v>
      </c>
    </row>
    <row r="259" spans="4:113" x14ac:dyDescent="0.3">
      <c r="E259" t="s">
        <v>78</v>
      </c>
      <c r="F259" t="s">
        <v>134</v>
      </c>
      <c r="G259" t="s">
        <v>134</v>
      </c>
      <c r="H259" t="s">
        <v>134</v>
      </c>
      <c r="I259" t="s">
        <v>134</v>
      </c>
      <c r="J259" t="s">
        <v>134</v>
      </c>
      <c r="K259" t="s">
        <v>134</v>
      </c>
      <c r="L259" t="s">
        <v>134</v>
      </c>
      <c r="M259" t="s">
        <v>134</v>
      </c>
      <c r="N259" t="s">
        <v>134</v>
      </c>
      <c r="O259" t="s">
        <v>134</v>
      </c>
      <c r="P259" t="s">
        <v>134</v>
      </c>
      <c r="Q259" t="s">
        <v>134</v>
      </c>
      <c r="R259" t="s">
        <v>134</v>
      </c>
      <c r="S259" t="s">
        <v>134</v>
      </c>
      <c r="T259" t="s">
        <v>134</v>
      </c>
      <c r="U259" t="s">
        <v>134</v>
      </c>
      <c r="V259" t="s">
        <v>134</v>
      </c>
      <c r="W259" t="s">
        <v>134</v>
      </c>
      <c r="X259" t="s">
        <v>134</v>
      </c>
      <c r="Y259" t="s">
        <v>134</v>
      </c>
      <c r="Z259" t="s">
        <v>134</v>
      </c>
      <c r="AA259" t="s">
        <v>134</v>
      </c>
      <c r="AB259" t="s">
        <v>134</v>
      </c>
      <c r="AC259" t="s">
        <v>134</v>
      </c>
      <c r="AD259" t="s">
        <v>134</v>
      </c>
      <c r="AE259" t="s">
        <v>134</v>
      </c>
      <c r="AF259" t="s">
        <v>134</v>
      </c>
      <c r="AG259" t="s">
        <v>134</v>
      </c>
      <c r="AH259" t="s">
        <v>134</v>
      </c>
      <c r="AI259" t="s">
        <v>134</v>
      </c>
      <c r="AJ259" t="s">
        <v>134</v>
      </c>
      <c r="AK259" t="s">
        <v>134</v>
      </c>
      <c r="AL259" t="s">
        <v>134</v>
      </c>
      <c r="AM259" t="s">
        <v>134</v>
      </c>
      <c r="AN259" t="s">
        <v>134</v>
      </c>
      <c r="AO259" t="s">
        <v>134</v>
      </c>
      <c r="AP259" t="s">
        <v>134</v>
      </c>
      <c r="AQ259" t="s">
        <v>134</v>
      </c>
      <c r="AR259" t="s">
        <v>134</v>
      </c>
      <c r="AS259" t="s">
        <v>134</v>
      </c>
      <c r="AT259" t="s">
        <v>134</v>
      </c>
      <c r="AU259" t="s">
        <v>134</v>
      </c>
      <c r="AV259" t="s">
        <v>134</v>
      </c>
      <c r="AW259" t="s">
        <v>134</v>
      </c>
      <c r="AX259" t="s">
        <v>134</v>
      </c>
      <c r="AY259" t="s">
        <v>134</v>
      </c>
      <c r="AZ259" t="s">
        <v>134</v>
      </c>
      <c r="BA259" t="s">
        <v>134</v>
      </c>
      <c r="BB259" t="s">
        <v>134</v>
      </c>
      <c r="BC259" t="s">
        <v>134</v>
      </c>
      <c r="BD259" t="s">
        <v>134</v>
      </c>
      <c r="BE259" t="s">
        <v>134</v>
      </c>
      <c r="BF259" t="s">
        <v>134</v>
      </c>
      <c r="BG259" t="s">
        <v>134</v>
      </c>
      <c r="BH259" t="s">
        <v>134</v>
      </c>
      <c r="BI259" t="s">
        <v>134</v>
      </c>
      <c r="BJ259" t="s">
        <v>134</v>
      </c>
      <c r="BK259" t="s">
        <v>134</v>
      </c>
      <c r="BL259" t="s">
        <v>134</v>
      </c>
      <c r="BM259" t="s">
        <v>134</v>
      </c>
      <c r="BN259" t="s">
        <v>134</v>
      </c>
      <c r="BO259" t="s">
        <v>134</v>
      </c>
      <c r="BP259" t="s">
        <v>134</v>
      </c>
      <c r="BQ259" t="s">
        <v>134</v>
      </c>
      <c r="BR259" t="s">
        <v>134</v>
      </c>
      <c r="BS259" t="s">
        <v>134</v>
      </c>
      <c r="BT259" t="s">
        <v>134</v>
      </c>
      <c r="BU259" t="s">
        <v>134</v>
      </c>
      <c r="BV259" t="s">
        <v>134</v>
      </c>
      <c r="BW259" t="s">
        <v>134</v>
      </c>
      <c r="BX259" t="s">
        <v>134</v>
      </c>
      <c r="BY259" t="s">
        <v>134</v>
      </c>
      <c r="BZ259" t="s">
        <v>134</v>
      </c>
      <c r="CA259" t="s">
        <v>134</v>
      </c>
      <c r="CB259" t="s">
        <v>134</v>
      </c>
      <c r="CC259" t="s">
        <v>134</v>
      </c>
      <c r="CD259" t="s">
        <v>134</v>
      </c>
      <c r="CE259" t="s">
        <v>134</v>
      </c>
      <c r="CF259" t="s">
        <v>134</v>
      </c>
      <c r="CG259" t="s">
        <v>134</v>
      </c>
      <c r="CH259" t="s">
        <v>134</v>
      </c>
      <c r="CI259" t="s">
        <v>134</v>
      </c>
      <c r="CJ259" t="s">
        <v>134</v>
      </c>
      <c r="CK259" t="s">
        <v>134</v>
      </c>
      <c r="CL259" t="s">
        <v>134</v>
      </c>
      <c r="CM259" t="s">
        <v>134</v>
      </c>
      <c r="CN259" t="s">
        <v>134</v>
      </c>
      <c r="CO259" t="s">
        <v>134</v>
      </c>
      <c r="CP259" t="s">
        <v>134</v>
      </c>
      <c r="CQ259" t="s">
        <v>134</v>
      </c>
      <c r="CR259" t="s">
        <v>134</v>
      </c>
      <c r="CS259" t="s">
        <v>134</v>
      </c>
      <c r="CT259" t="s">
        <v>134</v>
      </c>
      <c r="CU259" t="s">
        <v>134</v>
      </c>
      <c r="CV259" t="s">
        <v>134</v>
      </c>
      <c r="CW259" t="s">
        <v>134</v>
      </c>
      <c r="CX259" t="s">
        <v>134</v>
      </c>
      <c r="CY259" t="s">
        <v>134</v>
      </c>
      <c r="CZ259" t="s">
        <v>134</v>
      </c>
      <c r="DA259" t="s">
        <v>134</v>
      </c>
      <c r="DB259" t="s">
        <v>134</v>
      </c>
      <c r="DC259" t="s">
        <v>134</v>
      </c>
      <c r="DD259" t="s">
        <v>134</v>
      </c>
      <c r="DE259" t="s">
        <v>134</v>
      </c>
      <c r="DF259" t="s">
        <v>134</v>
      </c>
      <c r="DG259" t="s">
        <v>134</v>
      </c>
      <c r="DH259" t="s">
        <v>134</v>
      </c>
      <c r="DI259" t="s">
        <v>134</v>
      </c>
    </row>
    <row r="260" spans="4:113" x14ac:dyDescent="0.3">
      <c r="E260" t="s">
        <v>79</v>
      </c>
      <c r="F260" t="s">
        <v>134</v>
      </c>
      <c r="G260" t="s">
        <v>134</v>
      </c>
      <c r="H260" t="s">
        <v>134</v>
      </c>
      <c r="I260" t="s">
        <v>134</v>
      </c>
      <c r="J260" t="s">
        <v>134</v>
      </c>
      <c r="K260" t="s">
        <v>134</v>
      </c>
      <c r="L260" t="s">
        <v>134</v>
      </c>
      <c r="M260" t="s">
        <v>134</v>
      </c>
      <c r="N260" t="s">
        <v>134</v>
      </c>
      <c r="O260" t="s">
        <v>134</v>
      </c>
      <c r="P260" t="s">
        <v>134</v>
      </c>
      <c r="Q260" t="s">
        <v>134</v>
      </c>
      <c r="R260" t="s">
        <v>134</v>
      </c>
      <c r="S260" t="s">
        <v>134</v>
      </c>
      <c r="T260" t="s">
        <v>134</v>
      </c>
      <c r="U260" t="s">
        <v>134</v>
      </c>
      <c r="V260" t="s">
        <v>134</v>
      </c>
      <c r="W260" t="s">
        <v>134</v>
      </c>
      <c r="X260" t="s">
        <v>134</v>
      </c>
      <c r="Y260" t="s">
        <v>134</v>
      </c>
      <c r="Z260" t="s">
        <v>134</v>
      </c>
      <c r="AA260" t="s">
        <v>134</v>
      </c>
      <c r="AB260" t="s">
        <v>134</v>
      </c>
      <c r="AC260" t="s">
        <v>134</v>
      </c>
      <c r="AD260" t="s">
        <v>134</v>
      </c>
      <c r="AE260" t="s">
        <v>134</v>
      </c>
      <c r="AF260" t="s">
        <v>134</v>
      </c>
      <c r="AG260" t="s">
        <v>134</v>
      </c>
      <c r="AH260" t="s">
        <v>134</v>
      </c>
      <c r="AI260" t="s">
        <v>134</v>
      </c>
      <c r="AJ260" t="s">
        <v>134</v>
      </c>
      <c r="AK260" t="s">
        <v>134</v>
      </c>
      <c r="AL260" t="s">
        <v>134</v>
      </c>
      <c r="AM260" t="s">
        <v>134</v>
      </c>
      <c r="AN260" t="s">
        <v>134</v>
      </c>
      <c r="AO260" t="s">
        <v>134</v>
      </c>
      <c r="AP260" t="s">
        <v>134</v>
      </c>
      <c r="AQ260" t="s">
        <v>134</v>
      </c>
      <c r="AR260" t="s">
        <v>134</v>
      </c>
      <c r="AS260" t="s">
        <v>134</v>
      </c>
      <c r="AT260" t="s">
        <v>134</v>
      </c>
      <c r="AU260" t="s">
        <v>134</v>
      </c>
      <c r="AV260" t="s">
        <v>134</v>
      </c>
      <c r="AW260" t="s">
        <v>134</v>
      </c>
      <c r="AX260" t="s">
        <v>134</v>
      </c>
      <c r="AY260" t="s">
        <v>134</v>
      </c>
      <c r="AZ260" t="s">
        <v>134</v>
      </c>
      <c r="BA260" t="s">
        <v>134</v>
      </c>
      <c r="BB260" t="s">
        <v>134</v>
      </c>
      <c r="BC260" t="s">
        <v>134</v>
      </c>
      <c r="BD260" t="s">
        <v>134</v>
      </c>
      <c r="BE260" t="s">
        <v>134</v>
      </c>
      <c r="BF260" t="s">
        <v>134</v>
      </c>
      <c r="BG260" t="s">
        <v>134</v>
      </c>
      <c r="BH260" t="s">
        <v>134</v>
      </c>
      <c r="BI260" t="s">
        <v>134</v>
      </c>
      <c r="BJ260" t="s">
        <v>134</v>
      </c>
      <c r="BK260" t="s">
        <v>134</v>
      </c>
      <c r="BL260" t="s">
        <v>134</v>
      </c>
      <c r="BM260" t="s">
        <v>134</v>
      </c>
      <c r="BN260" t="s">
        <v>134</v>
      </c>
      <c r="BO260" t="s">
        <v>134</v>
      </c>
      <c r="BP260" t="s">
        <v>134</v>
      </c>
      <c r="BQ260" t="s">
        <v>134</v>
      </c>
      <c r="BR260" t="s">
        <v>134</v>
      </c>
      <c r="BS260" t="s">
        <v>134</v>
      </c>
      <c r="BT260" t="s">
        <v>134</v>
      </c>
      <c r="BU260" t="s">
        <v>134</v>
      </c>
      <c r="BV260" t="s">
        <v>134</v>
      </c>
      <c r="BW260" t="s">
        <v>134</v>
      </c>
      <c r="BX260" t="s">
        <v>134</v>
      </c>
      <c r="BY260" t="s">
        <v>134</v>
      </c>
      <c r="BZ260" t="s">
        <v>134</v>
      </c>
      <c r="CA260" t="s">
        <v>134</v>
      </c>
      <c r="CB260" t="s">
        <v>134</v>
      </c>
      <c r="CC260" t="s">
        <v>134</v>
      </c>
      <c r="CD260" t="s">
        <v>134</v>
      </c>
      <c r="CE260" t="s">
        <v>134</v>
      </c>
      <c r="CF260" t="s">
        <v>134</v>
      </c>
      <c r="CG260" t="s">
        <v>134</v>
      </c>
      <c r="CH260" t="s">
        <v>134</v>
      </c>
      <c r="CI260" t="s">
        <v>134</v>
      </c>
      <c r="CJ260" t="s">
        <v>134</v>
      </c>
      <c r="CK260" t="s">
        <v>134</v>
      </c>
      <c r="CL260" t="s">
        <v>134</v>
      </c>
      <c r="CM260" t="s">
        <v>134</v>
      </c>
      <c r="CN260" t="s">
        <v>134</v>
      </c>
      <c r="CO260" t="s">
        <v>134</v>
      </c>
      <c r="CP260" t="s">
        <v>134</v>
      </c>
      <c r="CQ260" t="s">
        <v>134</v>
      </c>
      <c r="CR260" t="s">
        <v>134</v>
      </c>
      <c r="CS260" t="s">
        <v>134</v>
      </c>
      <c r="CT260" t="s">
        <v>134</v>
      </c>
      <c r="CU260" t="s">
        <v>134</v>
      </c>
      <c r="CV260" t="s">
        <v>134</v>
      </c>
      <c r="CW260" t="s">
        <v>134</v>
      </c>
      <c r="CX260" t="s">
        <v>134</v>
      </c>
      <c r="CY260" t="s">
        <v>134</v>
      </c>
      <c r="CZ260" t="s">
        <v>134</v>
      </c>
      <c r="DA260" t="s">
        <v>134</v>
      </c>
      <c r="DB260" t="s">
        <v>134</v>
      </c>
      <c r="DC260" t="s">
        <v>134</v>
      </c>
      <c r="DD260" t="s">
        <v>134</v>
      </c>
      <c r="DE260" t="s">
        <v>134</v>
      </c>
      <c r="DF260" t="s">
        <v>134</v>
      </c>
      <c r="DG260" t="s">
        <v>134</v>
      </c>
      <c r="DH260" t="s">
        <v>134</v>
      </c>
      <c r="DI260" t="s">
        <v>134</v>
      </c>
    </row>
    <row r="261" spans="4:113" x14ac:dyDescent="0.3">
      <c r="E261" t="s">
        <v>80</v>
      </c>
      <c r="F261" t="s">
        <v>134</v>
      </c>
      <c r="G261" t="s">
        <v>134</v>
      </c>
      <c r="H261" t="s">
        <v>134</v>
      </c>
      <c r="I261" t="s">
        <v>134</v>
      </c>
      <c r="J261" t="s">
        <v>134</v>
      </c>
      <c r="K261" t="s">
        <v>134</v>
      </c>
      <c r="L261" t="s">
        <v>134</v>
      </c>
      <c r="M261" t="s">
        <v>134</v>
      </c>
      <c r="N261" t="s">
        <v>134</v>
      </c>
      <c r="O261" t="s">
        <v>134</v>
      </c>
      <c r="P261" t="s">
        <v>134</v>
      </c>
      <c r="Q261" t="s">
        <v>134</v>
      </c>
      <c r="R261" t="s">
        <v>134</v>
      </c>
      <c r="S261" t="s">
        <v>134</v>
      </c>
      <c r="T261" t="s">
        <v>134</v>
      </c>
      <c r="U261" t="s">
        <v>134</v>
      </c>
      <c r="V261" t="s">
        <v>134</v>
      </c>
      <c r="W261" t="s">
        <v>134</v>
      </c>
      <c r="X261" t="s">
        <v>134</v>
      </c>
      <c r="Y261" t="s">
        <v>134</v>
      </c>
      <c r="Z261" t="s">
        <v>134</v>
      </c>
      <c r="AA261" t="s">
        <v>134</v>
      </c>
      <c r="AB261" t="s">
        <v>134</v>
      </c>
      <c r="AC261" t="s">
        <v>134</v>
      </c>
      <c r="AD261" t="s">
        <v>134</v>
      </c>
      <c r="AE261" t="s">
        <v>134</v>
      </c>
      <c r="AF261" t="s">
        <v>134</v>
      </c>
      <c r="AG261" t="s">
        <v>134</v>
      </c>
      <c r="AH261" t="s">
        <v>134</v>
      </c>
      <c r="AI261" t="s">
        <v>134</v>
      </c>
      <c r="AJ261" t="s">
        <v>134</v>
      </c>
      <c r="AK261" t="s">
        <v>134</v>
      </c>
      <c r="AL261" t="s">
        <v>134</v>
      </c>
      <c r="AM261" t="s">
        <v>134</v>
      </c>
      <c r="AN261" t="s">
        <v>134</v>
      </c>
      <c r="AO261" t="s">
        <v>134</v>
      </c>
      <c r="AP261" t="s">
        <v>134</v>
      </c>
      <c r="AQ261" t="s">
        <v>134</v>
      </c>
      <c r="AR261" t="s">
        <v>134</v>
      </c>
      <c r="AS261" t="s">
        <v>134</v>
      </c>
      <c r="AT261" t="s">
        <v>134</v>
      </c>
      <c r="AU261" t="s">
        <v>134</v>
      </c>
      <c r="AV261" t="s">
        <v>134</v>
      </c>
      <c r="AW261" t="s">
        <v>134</v>
      </c>
      <c r="AX261" t="s">
        <v>134</v>
      </c>
      <c r="AY261" t="s">
        <v>134</v>
      </c>
      <c r="AZ261" t="s">
        <v>134</v>
      </c>
      <c r="BA261" t="s">
        <v>134</v>
      </c>
      <c r="BB261" t="s">
        <v>134</v>
      </c>
      <c r="BC261" t="s">
        <v>134</v>
      </c>
      <c r="BD261" t="s">
        <v>134</v>
      </c>
      <c r="BE261" t="s">
        <v>134</v>
      </c>
      <c r="BF261" t="s">
        <v>134</v>
      </c>
      <c r="BG261" t="s">
        <v>134</v>
      </c>
      <c r="BH261" t="s">
        <v>134</v>
      </c>
      <c r="BI261" t="s">
        <v>134</v>
      </c>
      <c r="BJ261" t="s">
        <v>134</v>
      </c>
      <c r="BK261" t="s">
        <v>134</v>
      </c>
      <c r="BL261" t="s">
        <v>134</v>
      </c>
      <c r="BM261" t="s">
        <v>134</v>
      </c>
      <c r="BN261" t="s">
        <v>134</v>
      </c>
      <c r="BO261" t="s">
        <v>134</v>
      </c>
      <c r="BP261" t="s">
        <v>134</v>
      </c>
      <c r="BQ261" t="s">
        <v>134</v>
      </c>
      <c r="BR261" t="s">
        <v>134</v>
      </c>
      <c r="BS261" t="s">
        <v>134</v>
      </c>
      <c r="BT261" t="s">
        <v>134</v>
      </c>
      <c r="BU261" t="s">
        <v>134</v>
      </c>
      <c r="BV261" t="s">
        <v>134</v>
      </c>
      <c r="BW261" t="s">
        <v>134</v>
      </c>
      <c r="BX261" t="s">
        <v>134</v>
      </c>
      <c r="BY261" t="s">
        <v>134</v>
      </c>
      <c r="BZ261" t="s">
        <v>134</v>
      </c>
      <c r="CA261" t="s">
        <v>134</v>
      </c>
      <c r="CB261" t="s">
        <v>134</v>
      </c>
      <c r="CC261" t="s">
        <v>134</v>
      </c>
      <c r="CD261" t="s">
        <v>134</v>
      </c>
      <c r="CE261" t="s">
        <v>134</v>
      </c>
      <c r="CF261" t="s">
        <v>134</v>
      </c>
      <c r="CG261" t="s">
        <v>134</v>
      </c>
      <c r="CH261" t="s">
        <v>134</v>
      </c>
      <c r="CI261" t="s">
        <v>134</v>
      </c>
      <c r="CJ261" t="s">
        <v>134</v>
      </c>
      <c r="CK261" t="s">
        <v>134</v>
      </c>
      <c r="CL261" t="s">
        <v>134</v>
      </c>
      <c r="CM261" t="s">
        <v>134</v>
      </c>
      <c r="CN261" t="s">
        <v>134</v>
      </c>
      <c r="CO261" t="s">
        <v>134</v>
      </c>
      <c r="CP261" t="s">
        <v>134</v>
      </c>
      <c r="CQ261" t="s">
        <v>134</v>
      </c>
      <c r="CR261" t="s">
        <v>134</v>
      </c>
      <c r="CS261" t="s">
        <v>134</v>
      </c>
      <c r="CT261" t="s">
        <v>134</v>
      </c>
      <c r="CU261" t="s">
        <v>134</v>
      </c>
      <c r="CV261" t="s">
        <v>134</v>
      </c>
      <c r="CW261" t="s">
        <v>134</v>
      </c>
      <c r="CX261" t="s">
        <v>134</v>
      </c>
      <c r="CY261" t="s">
        <v>134</v>
      </c>
      <c r="CZ261" t="s">
        <v>134</v>
      </c>
      <c r="DA261" t="s">
        <v>134</v>
      </c>
      <c r="DB261" t="s">
        <v>134</v>
      </c>
      <c r="DC261" t="s">
        <v>134</v>
      </c>
      <c r="DD261" t="s">
        <v>134</v>
      </c>
      <c r="DE261" t="s">
        <v>134</v>
      </c>
      <c r="DF261" t="s">
        <v>134</v>
      </c>
      <c r="DG261" t="s">
        <v>134</v>
      </c>
      <c r="DH261" t="s">
        <v>134</v>
      </c>
      <c r="DI261" t="s">
        <v>134</v>
      </c>
    </row>
    <row r="262" spans="4:113" x14ac:dyDescent="0.3">
      <c r="E262" t="s">
        <v>81</v>
      </c>
      <c r="F262" t="s">
        <v>134</v>
      </c>
      <c r="G262" t="s">
        <v>134</v>
      </c>
      <c r="H262" t="s">
        <v>134</v>
      </c>
      <c r="I262" t="s">
        <v>134</v>
      </c>
      <c r="J262" t="s">
        <v>134</v>
      </c>
      <c r="K262" t="s">
        <v>134</v>
      </c>
      <c r="L262" t="s">
        <v>134</v>
      </c>
      <c r="M262" t="s">
        <v>134</v>
      </c>
      <c r="N262" t="s">
        <v>134</v>
      </c>
      <c r="O262" t="s">
        <v>134</v>
      </c>
      <c r="P262" t="s">
        <v>134</v>
      </c>
      <c r="Q262" t="s">
        <v>134</v>
      </c>
      <c r="R262" t="s">
        <v>134</v>
      </c>
      <c r="S262" t="s">
        <v>134</v>
      </c>
      <c r="T262" t="s">
        <v>134</v>
      </c>
      <c r="U262" t="s">
        <v>134</v>
      </c>
      <c r="V262" t="s">
        <v>134</v>
      </c>
      <c r="W262" t="s">
        <v>134</v>
      </c>
      <c r="X262" t="s">
        <v>134</v>
      </c>
      <c r="Y262" t="s">
        <v>134</v>
      </c>
      <c r="Z262" t="s">
        <v>134</v>
      </c>
      <c r="AA262" t="s">
        <v>134</v>
      </c>
      <c r="AB262" t="s">
        <v>134</v>
      </c>
      <c r="AC262" t="s">
        <v>134</v>
      </c>
      <c r="AD262" t="s">
        <v>134</v>
      </c>
      <c r="AE262" t="s">
        <v>134</v>
      </c>
      <c r="AF262" t="s">
        <v>134</v>
      </c>
      <c r="AG262" t="s">
        <v>134</v>
      </c>
      <c r="AH262" t="s">
        <v>134</v>
      </c>
      <c r="AI262" t="s">
        <v>134</v>
      </c>
      <c r="AJ262" t="s">
        <v>134</v>
      </c>
      <c r="AK262" t="s">
        <v>134</v>
      </c>
      <c r="AL262" t="s">
        <v>134</v>
      </c>
      <c r="AM262" t="s">
        <v>134</v>
      </c>
      <c r="AN262" t="s">
        <v>134</v>
      </c>
      <c r="AO262" t="s">
        <v>134</v>
      </c>
      <c r="AP262" t="s">
        <v>134</v>
      </c>
      <c r="AQ262" t="s">
        <v>134</v>
      </c>
      <c r="AR262" t="s">
        <v>134</v>
      </c>
      <c r="AS262" t="s">
        <v>134</v>
      </c>
      <c r="AT262" t="s">
        <v>134</v>
      </c>
      <c r="AU262" t="s">
        <v>134</v>
      </c>
      <c r="AV262" t="s">
        <v>134</v>
      </c>
      <c r="AW262" t="s">
        <v>134</v>
      </c>
      <c r="AX262" t="s">
        <v>134</v>
      </c>
      <c r="AY262" t="s">
        <v>134</v>
      </c>
      <c r="AZ262" t="s">
        <v>134</v>
      </c>
      <c r="BA262" t="s">
        <v>134</v>
      </c>
      <c r="BB262" t="s">
        <v>134</v>
      </c>
      <c r="BC262" t="s">
        <v>134</v>
      </c>
      <c r="BD262" t="s">
        <v>134</v>
      </c>
      <c r="BE262" t="s">
        <v>134</v>
      </c>
      <c r="BF262" t="s">
        <v>134</v>
      </c>
      <c r="BG262" t="s">
        <v>134</v>
      </c>
      <c r="BH262" t="s">
        <v>134</v>
      </c>
      <c r="BI262" t="s">
        <v>134</v>
      </c>
      <c r="BJ262" t="s">
        <v>134</v>
      </c>
      <c r="BK262" t="s">
        <v>134</v>
      </c>
      <c r="BL262" t="s">
        <v>134</v>
      </c>
      <c r="BM262" t="s">
        <v>134</v>
      </c>
      <c r="BN262" t="s">
        <v>134</v>
      </c>
      <c r="BO262" t="s">
        <v>134</v>
      </c>
      <c r="BP262" t="s">
        <v>134</v>
      </c>
      <c r="BQ262" t="s">
        <v>134</v>
      </c>
      <c r="BR262" t="s">
        <v>134</v>
      </c>
      <c r="BS262" t="s">
        <v>134</v>
      </c>
      <c r="BT262" t="s">
        <v>134</v>
      </c>
      <c r="BU262" t="s">
        <v>134</v>
      </c>
      <c r="BV262" t="s">
        <v>134</v>
      </c>
      <c r="BW262" t="s">
        <v>134</v>
      </c>
      <c r="BX262" t="s">
        <v>134</v>
      </c>
      <c r="BY262" t="s">
        <v>134</v>
      </c>
      <c r="BZ262" t="s">
        <v>134</v>
      </c>
      <c r="CA262" t="s">
        <v>134</v>
      </c>
      <c r="CB262" t="s">
        <v>134</v>
      </c>
      <c r="CC262" t="s">
        <v>134</v>
      </c>
      <c r="CD262" t="s">
        <v>134</v>
      </c>
      <c r="CE262" t="s">
        <v>134</v>
      </c>
      <c r="CF262" t="s">
        <v>134</v>
      </c>
      <c r="CG262" t="s">
        <v>134</v>
      </c>
      <c r="CH262" t="s">
        <v>134</v>
      </c>
      <c r="CI262" t="s">
        <v>134</v>
      </c>
      <c r="CJ262" t="s">
        <v>134</v>
      </c>
      <c r="CK262" t="s">
        <v>134</v>
      </c>
      <c r="CL262" t="s">
        <v>134</v>
      </c>
      <c r="CM262" t="s">
        <v>134</v>
      </c>
      <c r="CN262" t="s">
        <v>134</v>
      </c>
      <c r="CO262" t="s">
        <v>134</v>
      </c>
      <c r="CP262" t="s">
        <v>134</v>
      </c>
      <c r="CQ262" t="s">
        <v>134</v>
      </c>
      <c r="CR262" t="s">
        <v>134</v>
      </c>
      <c r="CS262" t="s">
        <v>134</v>
      </c>
      <c r="CT262" t="s">
        <v>134</v>
      </c>
      <c r="CU262" t="s">
        <v>134</v>
      </c>
      <c r="CV262" t="s">
        <v>134</v>
      </c>
      <c r="CW262" t="s">
        <v>134</v>
      </c>
      <c r="CX262" t="s">
        <v>134</v>
      </c>
      <c r="CY262" t="s">
        <v>134</v>
      </c>
      <c r="CZ262" t="s">
        <v>134</v>
      </c>
      <c r="DA262" t="s">
        <v>134</v>
      </c>
      <c r="DB262" t="s">
        <v>134</v>
      </c>
      <c r="DC262" t="s">
        <v>134</v>
      </c>
      <c r="DD262" t="s">
        <v>134</v>
      </c>
      <c r="DE262" t="s">
        <v>134</v>
      </c>
      <c r="DF262" t="s">
        <v>134</v>
      </c>
      <c r="DG262" t="s">
        <v>134</v>
      </c>
      <c r="DH262" t="s">
        <v>134</v>
      </c>
      <c r="DI262" t="s">
        <v>134</v>
      </c>
    </row>
    <row r="263" spans="4:113" x14ac:dyDescent="0.3">
      <c r="D263" t="s">
        <v>83</v>
      </c>
      <c r="E263" t="s">
        <v>77</v>
      </c>
      <c r="F263">
        <v>31.349299999999999</v>
      </c>
      <c r="G263">
        <v>23.363499999999998</v>
      </c>
      <c r="H263">
        <v>31.351900000000001</v>
      </c>
      <c r="I263">
        <v>26.282900000000001</v>
      </c>
      <c r="J263">
        <v>21.474599999999999</v>
      </c>
      <c r="K263">
        <v>20.0943</v>
      </c>
      <c r="L263">
        <v>54.573</v>
      </c>
      <c r="M263">
        <v>23.796199999999999</v>
      </c>
      <c r="N263">
        <v>17.0045</v>
      </c>
      <c r="O263">
        <v>17.0045</v>
      </c>
      <c r="P263">
        <v>17.0045</v>
      </c>
      <c r="Q263">
        <v>32.722700000000003</v>
      </c>
      <c r="R263">
        <v>42.059399999999997</v>
      </c>
      <c r="S263">
        <v>18.164000000000001</v>
      </c>
      <c r="T263">
        <v>5.4326999999999996</v>
      </c>
      <c r="U263">
        <v>16.1782</v>
      </c>
      <c r="V263">
        <v>16.271100000000001</v>
      </c>
      <c r="W263">
        <v>25.0642</v>
      </c>
      <c r="X263">
        <v>25.0642</v>
      </c>
      <c r="Y263">
        <v>10</v>
      </c>
      <c r="Z263">
        <v>0.1353</v>
      </c>
      <c r="AA263">
        <v>-11.6784</v>
      </c>
      <c r="AB263">
        <v>-2.7584</v>
      </c>
      <c r="AC263">
        <v>2.8875999999999999</v>
      </c>
      <c r="AD263">
        <v>-119.60850000000001</v>
      </c>
      <c r="AE263">
        <v>-67.135000000000005</v>
      </c>
      <c r="AF263">
        <v>12.628500000000001</v>
      </c>
      <c r="AG263" t="s">
        <v>134</v>
      </c>
      <c r="AH263" t="s">
        <v>134</v>
      </c>
      <c r="AI263">
        <v>17.575800000000001</v>
      </c>
      <c r="AJ263">
        <v>17.575800000000001</v>
      </c>
      <c r="AK263">
        <v>17.575900000000001</v>
      </c>
      <c r="AL263">
        <v>67.419499999999999</v>
      </c>
      <c r="AM263">
        <v>6.9173</v>
      </c>
      <c r="AN263">
        <v>8.6341999999999999</v>
      </c>
      <c r="AO263">
        <v>8.0616000000000003</v>
      </c>
      <c r="AP263">
        <v>1.8364</v>
      </c>
      <c r="AQ263">
        <v>1.8355000000000001</v>
      </c>
      <c r="AR263">
        <v>6.5762999999999998</v>
      </c>
      <c r="AS263">
        <v>16.209900000000001</v>
      </c>
      <c r="AT263">
        <v>4.5278999999999998</v>
      </c>
      <c r="AU263">
        <v>4.8105000000000002</v>
      </c>
      <c r="AV263">
        <v>12.344799999999999</v>
      </c>
      <c r="AW263" t="s">
        <v>134</v>
      </c>
      <c r="AX263" t="s">
        <v>134</v>
      </c>
      <c r="AY263">
        <v>2.4316</v>
      </c>
      <c r="AZ263">
        <v>-100</v>
      </c>
      <c r="BA263">
        <v>-100</v>
      </c>
      <c r="BB263">
        <v>22.097799999999999</v>
      </c>
      <c r="BC263">
        <v>21.2028</v>
      </c>
      <c r="BD263">
        <v>22.0992</v>
      </c>
      <c r="BE263">
        <v>13.7295</v>
      </c>
      <c r="BF263">
        <v>5.4326999999999996</v>
      </c>
      <c r="BG263">
        <v>16.1782</v>
      </c>
      <c r="BH263">
        <v>16.271100000000001</v>
      </c>
      <c r="BI263">
        <v>25.0642</v>
      </c>
      <c r="BJ263">
        <v>25.0642</v>
      </c>
      <c r="BK263">
        <v>10</v>
      </c>
      <c r="BL263">
        <v>0.1353</v>
      </c>
      <c r="BM263">
        <v>-11.6784</v>
      </c>
      <c r="BN263">
        <v>-2.7584</v>
      </c>
      <c r="BO263">
        <v>2.8875999999999999</v>
      </c>
      <c r="BP263" t="s">
        <v>134</v>
      </c>
      <c r="BQ263">
        <v>-67.135000000000005</v>
      </c>
      <c r="BR263">
        <v>12.628500000000001</v>
      </c>
      <c r="BS263" t="s">
        <v>134</v>
      </c>
      <c r="BT263" t="s">
        <v>134</v>
      </c>
      <c r="BU263">
        <v>17.575800000000001</v>
      </c>
      <c r="BV263">
        <v>17.575800000000001</v>
      </c>
      <c r="BW263">
        <v>17.575900000000001</v>
      </c>
      <c r="BX263">
        <v>67.419499999999999</v>
      </c>
      <c r="BY263">
        <v>0</v>
      </c>
      <c r="BZ263">
        <v>0</v>
      </c>
      <c r="CA263">
        <v>0</v>
      </c>
      <c r="CB263">
        <v>0</v>
      </c>
      <c r="CC263">
        <v>-0.43640000000000001</v>
      </c>
      <c r="CD263">
        <v>0</v>
      </c>
      <c r="CE263">
        <v>-0.46639999999999998</v>
      </c>
      <c r="CF263">
        <v>9955.6041999999998</v>
      </c>
      <c r="CG263">
        <v>79.416300000000007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-15.985300000000001</v>
      </c>
      <c r="CO263">
        <v>-19.026700000000002</v>
      </c>
      <c r="CP263">
        <v>47786.9</v>
      </c>
      <c r="CQ263">
        <v>45135.5</v>
      </c>
      <c r="CR263">
        <v>44715.3</v>
      </c>
      <c r="CS263">
        <v>0.70620000000000005</v>
      </c>
      <c r="CT263">
        <v>1.5665</v>
      </c>
      <c r="CU263">
        <v>0.94930000000000003</v>
      </c>
      <c r="CV263">
        <v>16.025700000000001</v>
      </c>
      <c r="CW263">
        <v>31.0167</v>
      </c>
      <c r="CX263">
        <v>11.8001</v>
      </c>
      <c r="CY263">
        <v>19.5581</v>
      </c>
      <c r="CZ263">
        <v>18.7135</v>
      </c>
      <c r="DA263">
        <v>7.7859999999999996</v>
      </c>
      <c r="DB263">
        <v>47.007199999999997</v>
      </c>
      <c r="DC263">
        <v>-16.493600000000001</v>
      </c>
      <c r="DD263">
        <v>30.5136</v>
      </c>
      <c r="DE263">
        <v>7190.7</v>
      </c>
      <c r="DF263">
        <v>2258.1999999999998</v>
      </c>
      <c r="DG263">
        <v>426.1</v>
      </c>
      <c r="DH263">
        <v>4304.3999999999996</v>
      </c>
      <c r="DI263">
        <v>202</v>
      </c>
    </row>
    <row r="264" spans="4:113" x14ac:dyDescent="0.3">
      <c r="E264" t="s">
        <v>78</v>
      </c>
      <c r="F264" t="s">
        <v>134</v>
      </c>
      <c r="G264" t="s">
        <v>134</v>
      </c>
      <c r="H264" t="s">
        <v>134</v>
      </c>
      <c r="I264" t="s">
        <v>134</v>
      </c>
      <c r="J264" t="s">
        <v>134</v>
      </c>
      <c r="K264" t="s">
        <v>134</v>
      </c>
      <c r="L264" t="s">
        <v>134</v>
      </c>
      <c r="M264" t="s">
        <v>134</v>
      </c>
      <c r="N264" t="s">
        <v>134</v>
      </c>
      <c r="O264" t="s">
        <v>134</v>
      </c>
      <c r="P264" t="s">
        <v>134</v>
      </c>
      <c r="Q264" t="s">
        <v>134</v>
      </c>
      <c r="R264" t="s">
        <v>134</v>
      </c>
      <c r="S264" t="s">
        <v>134</v>
      </c>
      <c r="T264" t="s">
        <v>134</v>
      </c>
      <c r="U264" t="s">
        <v>134</v>
      </c>
      <c r="V264" t="s">
        <v>134</v>
      </c>
      <c r="W264" t="s">
        <v>134</v>
      </c>
      <c r="X264" t="s">
        <v>134</v>
      </c>
      <c r="Y264" t="s">
        <v>134</v>
      </c>
      <c r="Z264" t="s">
        <v>134</v>
      </c>
      <c r="AA264" t="s">
        <v>134</v>
      </c>
      <c r="AB264" t="s">
        <v>134</v>
      </c>
      <c r="AC264" t="s">
        <v>134</v>
      </c>
      <c r="AD264" t="s">
        <v>134</v>
      </c>
      <c r="AE264" t="s">
        <v>134</v>
      </c>
      <c r="AF264" t="s">
        <v>134</v>
      </c>
      <c r="AG264" t="s">
        <v>134</v>
      </c>
      <c r="AH264" t="s">
        <v>134</v>
      </c>
      <c r="AI264" t="s">
        <v>134</v>
      </c>
      <c r="AJ264" t="s">
        <v>134</v>
      </c>
      <c r="AK264" t="s">
        <v>134</v>
      </c>
      <c r="AL264" t="s">
        <v>134</v>
      </c>
      <c r="AM264" t="s">
        <v>134</v>
      </c>
      <c r="AN264" t="s">
        <v>134</v>
      </c>
      <c r="AO264" t="s">
        <v>134</v>
      </c>
      <c r="AP264" t="s">
        <v>134</v>
      </c>
      <c r="AQ264" t="s">
        <v>134</v>
      </c>
      <c r="AR264" t="s">
        <v>134</v>
      </c>
      <c r="AS264" t="s">
        <v>134</v>
      </c>
      <c r="AT264" t="s">
        <v>134</v>
      </c>
      <c r="AU264" t="s">
        <v>134</v>
      </c>
      <c r="AV264" t="s">
        <v>134</v>
      </c>
      <c r="AW264" t="s">
        <v>134</v>
      </c>
      <c r="AX264" t="s">
        <v>134</v>
      </c>
      <c r="AY264" t="s">
        <v>134</v>
      </c>
      <c r="AZ264" t="s">
        <v>134</v>
      </c>
      <c r="BA264" t="s">
        <v>134</v>
      </c>
      <c r="BB264" t="s">
        <v>134</v>
      </c>
      <c r="BC264" t="s">
        <v>134</v>
      </c>
      <c r="BD264" t="s">
        <v>134</v>
      </c>
      <c r="BE264" t="s">
        <v>134</v>
      </c>
      <c r="BF264" t="s">
        <v>134</v>
      </c>
      <c r="BG264" t="s">
        <v>134</v>
      </c>
      <c r="BH264" t="s">
        <v>134</v>
      </c>
      <c r="BI264" t="s">
        <v>134</v>
      </c>
      <c r="BJ264" t="s">
        <v>134</v>
      </c>
      <c r="BK264" t="s">
        <v>134</v>
      </c>
      <c r="BL264" t="s">
        <v>134</v>
      </c>
      <c r="BM264" t="s">
        <v>134</v>
      </c>
      <c r="BN264" t="s">
        <v>134</v>
      </c>
      <c r="BO264" t="s">
        <v>134</v>
      </c>
      <c r="BP264" t="s">
        <v>134</v>
      </c>
      <c r="BQ264" t="s">
        <v>134</v>
      </c>
      <c r="BR264" t="s">
        <v>134</v>
      </c>
      <c r="BS264" t="s">
        <v>134</v>
      </c>
      <c r="BT264" t="s">
        <v>134</v>
      </c>
      <c r="BU264" t="s">
        <v>134</v>
      </c>
      <c r="BV264" t="s">
        <v>134</v>
      </c>
      <c r="BW264" t="s">
        <v>134</v>
      </c>
      <c r="BX264" t="s">
        <v>134</v>
      </c>
      <c r="BY264" t="s">
        <v>134</v>
      </c>
      <c r="BZ264" t="s">
        <v>134</v>
      </c>
      <c r="CA264" t="s">
        <v>134</v>
      </c>
      <c r="CB264" t="s">
        <v>134</v>
      </c>
      <c r="CC264" t="s">
        <v>134</v>
      </c>
      <c r="CD264" t="s">
        <v>134</v>
      </c>
      <c r="CE264" t="s">
        <v>134</v>
      </c>
      <c r="CF264" t="s">
        <v>134</v>
      </c>
      <c r="CG264" t="s">
        <v>134</v>
      </c>
      <c r="CH264" t="s">
        <v>134</v>
      </c>
      <c r="CI264" t="s">
        <v>134</v>
      </c>
      <c r="CJ264" t="s">
        <v>134</v>
      </c>
      <c r="CK264" t="s">
        <v>134</v>
      </c>
      <c r="CL264" t="s">
        <v>134</v>
      </c>
      <c r="CM264" t="s">
        <v>134</v>
      </c>
      <c r="CN264" t="s">
        <v>134</v>
      </c>
      <c r="CO264" t="s">
        <v>134</v>
      </c>
      <c r="CP264" t="s">
        <v>134</v>
      </c>
      <c r="CQ264" t="s">
        <v>134</v>
      </c>
      <c r="CR264" t="s">
        <v>134</v>
      </c>
      <c r="CS264" t="s">
        <v>134</v>
      </c>
      <c r="CT264" t="s">
        <v>134</v>
      </c>
      <c r="CU264" t="s">
        <v>134</v>
      </c>
      <c r="CV264" t="s">
        <v>134</v>
      </c>
      <c r="CW264" t="s">
        <v>134</v>
      </c>
      <c r="CX264" t="s">
        <v>134</v>
      </c>
      <c r="CY264" t="s">
        <v>134</v>
      </c>
      <c r="CZ264" t="s">
        <v>134</v>
      </c>
      <c r="DA264" t="s">
        <v>134</v>
      </c>
      <c r="DB264" t="s">
        <v>134</v>
      </c>
      <c r="DC264" t="s">
        <v>134</v>
      </c>
      <c r="DD264" t="s">
        <v>134</v>
      </c>
      <c r="DE264" t="s">
        <v>134</v>
      </c>
      <c r="DF264" t="s">
        <v>134</v>
      </c>
      <c r="DG264" t="s">
        <v>134</v>
      </c>
      <c r="DH264" t="s">
        <v>134</v>
      </c>
      <c r="DI264" t="s">
        <v>134</v>
      </c>
    </row>
    <row r="265" spans="4:113" x14ac:dyDescent="0.3">
      <c r="E265" t="s">
        <v>79</v>
      </c>
      <c r="F265" t="s">
        <v>134</v>
      </c>
      <c r="G265" t="s">
        <v>134</v>
      </c>
      <c r="H265" t="s">
        <v>134</v>
      </c>
      <c r="I265" t="s">
        <v>134</v>
      </c>
      <c r="J265" t="s">
        <v>134</v>
      </c>
      <c r="K265" t="s">
        <v>134</v>
      </c>
      <c r="L265" t="s">
        <v>134</v>
      </c>
      <c r="M265" t="s">
        <v>134</v>
      </c>
      <c r="N265" t="s">
        <v>134</v>
      </c>
      <c r="O265" t="s">
        <v>134</v>
      </c>
      <c r="P265" t="s">
        <v>134</v>
      </c>
      <c r="Q265" t="s">
        <v>134</v>
      </c>
      <c r="R265" t="s">
        <v>134</v>
      </c>
      <c r="S265" t="s">
        <v>134</v>
      </c>
      <c r="T265" t="s">
        <v>134</v>
      </c>
      <c r="U265" t="s">
        <v>134</v>
      </c>
      <c r="V265" t="s">
        <v>134</v>
      </c>
      <c r="W265" t="s">
        <v>134</v>
      </c>
      <c r="X265" t="s">
        <v>134</v>
      </c>
      <c r="Y265" t="s">
        <v>134</v>
      </c>
      <c r="Z265" t="s">
        <v>134</v>
      </c>
      <c r="AA265" t="s">
        <v>134</v>
      </c>
      <c r="AB265" t="s">
        <v>134</v>
      </c>
      <c r="AC265" t="s">
        <v>134</v>
      </c>
      <c r="AD265" t="s">
        <v>134</v>
      </c>
      <c r="AE265" t="s">
        <v>134</v>
      </c>
      <c r="AF265" t="s">
        <v>134</v>
      </c>
      <c r="AG265" t="s">
        <v>134</v>
      </c>
      <c r="AH265" t="s">
        <v>134</v>
      </c>
      <c r="AI265" t="s">
        <v>134</v>
      </c>
      <c r="AJ265" t="s">
        <v>134</v>
      </c>
      <c r="AK265" t="s">
        <v>134</v>
      </c>
      <c r="AL265" t="s">
        <v>134</v>
      </c>
      <c r="AM265" t="s">
        <v>134</v>
      </c>
      <c r="AN265" t="s">
        <v>134</v>
      </c>
      <c r="AO265" t="s">
        <v>134</v>
      </c>
      <c r="AP265" t="s">
        <v>134</v>
      </c>
      <c r="AQ265" t="s">
        <v>134</v>
      </c>
      <c r="AR265" t="s">
        <v>134</v>
      </c>
      <c r="AS265" t="s">
        <v>134</v>
      </c>
      <c r="AT265" t="s">
        <v>134</v>
      </c>
      <c r="AU265" t="s">
        <v>134</v>
      </c>
      <c r="AV265" t="s">
        <v>134</v>
      </c>
      <c r="AW265" t="s">
        <v>134</v>
      </c>
      <c r="AX265" t="s">
        <v>134</v>
      </c>
      <c r="AY265" t="s">
        <v>134</v>
      </c>
      <c r="AZ265" t="s">
        <v>134</v>
      </c>
      <c r="BA265" t="s">
        <v>134</v>
      </c>
      <c r="BB265" t="s">
        <v>134</v>
      </c>
      <c r="BC265" t="s">
        <v>134</v>
      </c>
      <c r="BD265" t="s">
        <v>134</v>
      </c>
      <c r="BE265" t="s">
        <v>134</v>
      </c>
      <c r="BF265" t="s">
        <v>134</v>
      </c>
      <c r="BG265" t="s">
        <v>134</v>
      </c>
      <c r="BH265" t="s">
        <v>134</v>
      </c>
      <c r="BI265" t="s">
        <v>134</v>
      </c>
      <c r="BJ265" t="s">
        <v>134</v>
      </c>
      <c r="BK265" t="s">
        <v>134</v>
      </c>
      <c r="BL265" t="s">
        <v>134</v>
      </c>
      <c r="BM265" t="s">
        <v>134</v>
      </c>
      <c r="BN265" t="s">
        <v>134</v>
      </c>
      <c r="BO265" t="s">
        <v>134</v>
      </c>
      <c r="BP265" t="s">
        <v>134</v>
      </c>
      <c r="BQ265" t="s">
        <v>134</v>
      </c>
      <c r="BR265" t="s">
        <v>134</v>
      </c>
      <c r="BS265" t="s">
        <v>134</v>
      </c>
      <c r="BT265" t="s">
        <v>134</v>
      </c>
      <c r="BU265" t="s">
        <v>134</v>
      </c>
      <c r="BV265" t="s">
        <v>134</v>
      </c>
      <c r="BW265" t="s">
        <v>134</v>
      </c>
      <c r="BX265" t="s">
        <v>134</v>
      </c>
      <c r="BY265" t="s">
        <v>134</v>
      </c>
      <c r="BZ265" t="s">
        <v>134</v>
      </c>
      <c r="CA265" t="s">
        <v>134</v>
      </c>
      <c r="CB265" t="s">
        <v>134</v>
      </c>
      <c r="CC265" t="s">
        <v>134</v>
      </c>
      <c r="CD265" t="s">
        <v>134</v>
      </c>
      <c r="CE265" t="s">
        <v>134</v>
      </c>
      <c r="CF265" t="s">
        <v>134</v>
      </c>
      <c r="CG265" t="s">
        <v>134</v>
      </c>
      <c r="CH265" t="s">
        <v>134</v>
      </c>
      <c r="CI265" t="s">
        <v>134</v>
      </c>
      <c r="CJ265" t="s">
        <v>134</v>
      </c>
      <c r="CK265" t="s">
        <v>134</v>
      </c>
      <c r="CL265" t="s">
        <v>134</v>
      </c>
      <c r="CM265" t="s">
        <v>134</v>
      </c>
      <c r="CN265" t="s">
        <v>134</v>
      </c>
      <c r="CO265" t="s">
        <v>134</v>
      </c>
      <c r="CP265" t="s">
        <v>134</v>
      </c>
      <c r="CQ265" t="s">
        <v>134</v>
      </c>
      <c r="CR265" t="s">
        <v>134</v>
      </c>
      <c r="CS265" t="s">
        <v>134</v>
      </c>
      <c r="CT265" t="s">
        <v>134</v>
      </c>
      <c r="CU265" t="s">
        <v>134</v>
      </c>
      <c r="CV265" t="s">
        <v>134</v>
      </c>
      <c r="CW265" t="s">
        <v>134</v>
      </c>
      <c r="CX265" t="s">
        <v>134</v>
      </c>
      <c r="CY265" t="s">
        <v>134</v>
      </c>
      <c r="CZ265" t="s">
        <v>134</v>
      </c>
      <c r="DA265" t="s">
        <v>134</v>
      </c>
      <c r="DB265" t="s">
        <v>134</v>
      </c>
      <c r="DC265" t="s">
        <v>134</v>
      </c>
      <c r="DD265" t="s">
        <v>134</v>
      </c>
      <c r="DE265" t="s">
        <v>134</v>
      </c>
      <c r="DF265" t="s">
        <v>134</v>
      </c>
      <c r="DG265" t="s">
        <v>134</v>
      </c>
      <c r="DH265" t="s">
        <v>134</v>
      </c>
      <c r="DI265" t="s">
        <v>134</v>
      </c>
    </row>
    <row r="266" spans="4:113" x14ac:dyDescent="0.3">
      <c r="E266" t="s">
        <v>80</v>
      </c>
      <c r="F266" t="s">
        <v>134</v>
      </c>
      <c r="G266" t="s">
        <v>134</v>
      </c>
      <c r="H266" t="s">
        <v>134</v>
      </c>
      <c r="I266" t="s">
        <v>134</v>
      </c>
      <c r="J266" t="s">
        <v>134</v>
      </c>
      <c r="K266" t="s">
        <v>134</v>
      </c>
      <c r="L266" t="s">
        <v>134</v>
      </c>
      <c r="M266" t="s">
        <v>134</v>
      </c>
      <c r="N266" t="s">
        <v>134</v>
      </c>
      <c r="O266" t="s">
        <v>134</v>
      </c>
      <c r="P266" t="s">
        <v>134</v>
      </c>
      <c r="Q266" t="s">
        <v>134</v>
      </c>
      <c r="R266" t="s">
        <v>134</v>
      </c>
      <c r="S266" t="s">
        <v>134</v>
      </c>
      <c r="T266" t="s">
        <v>134</v>
      </c>
      <c r="U266" t="s">
        <v>134</v>
      </c>
      <c r="V266" t="s">
        <v>134</v>
      </c>
      <c r="W266" t="s">
        <v>134</v>
      </c>
      <c r="X266" t="s">
        <v>134</v>
      </c>
      <c r="Y266" t="s">
        <v>134</v>
      </c>
      <c r="Z266" t="s">
        <v>134</v>
      </c>
      <c r="AA266" t="s">
        <v>134</v>
      </c>
      <c r="AB266" t="s">
        <v>134</v>
      </c>
      <c r="AC266" t="s">
        <v>134</v>
      </c>
      <c r="AD266" t="s">
        <v>134</v>
      </c>
      <c r="AE266" t="s">
        <v>134</v>
      </c>
      <c r="AF266" t="s">
        <v>134</v>
      </c>
      <c r="AG266" t="s">
        <v>134</v>
      </c>
      <c r="AH266" t="s">
        <v>134</v>
      </c>
      <c r="AI266" t="s">
        <v>134</v>
      </c>
      <c r="AJ266" t="s">
        <v>134</v>
      </c>
      <c r="AK266" t="s">
        <v>134</v>
      </c>
      <c r="AL266" t="s">
        <v>134</v>
      </c>
      <c r="AM266" t="s">
        <v>134</v>
      </c>
      <c r="AN266" t="s">
        <v>134</v>
      </c>
      <c r="AO266" t="s">
        <v>134</v>
      </c>
      <c r="AP266" t="s">
        <v>134</v>
      </c>
      <c r="AQ266" t="s">
        <v>134</v>
      </c>
      <c r="AR266" t="s">
        <v>134</v>
      </c>
      <c r="AS266" t="s">
        <v>134</v>
      </c>
      <c r="AT266" t="s">
        <v>134</v>
      </c>
      <c r="AU266" t="s">
        <v>134</v>
      </c>
      <c r="AV266" t="s">
        <v>134</v>
      </c>
      <c r="AW266" t="s">
        <v>134</v>
      </c>
      <c r="AX266" t="s">
        <v>134</v>
      </c>
      <c r="AY266" t="s">
        <v>134</v>
      </c>
      <c r="AZ266" t="s">
        <v>134</v>
      </c>
      <c r="BA266" t="s">
        <v>134</v>
      </c>
      <c r="BB266" t="s">
        <v>134</v>
      </c>
      <c r="BC266" t="s">
        <v>134</v>
      </c>
      <c r="BD266" t="s">
        <v>134</v>
      </c>
      <c r="BE266" t="s">
        <v>134</v>
      </c>
      <c r="BF266" t="s">
        <v>134</v>
      </c>
      <c r="BG266" t="s">
        <v>134</v>
      </c>
      <c r="BH266" t="s">
        <v>134</v>
      </c>
      <c r="BI266" t="s">
        <v>134</v>
      </c>
      <c r="BJ266" t="s">
        <v>134</v>
      </c>
      <c r="BK266" t="s">
        <v>134</v>
      </c>
      <c r="BL266" t="s">
        <v>134</v>
      </c>
      <c r="BM266" t="s">
        <v>134</v>
      </c>
      <c r="BN266" t="s">
        <v>134</v>
      </c>
      <c r="BO266" t="s">
        <v>134</v>
      </c>
      <c r="BP266" t="s">
        <v>134</v>
      </c>
      <c r="BQ266" t="s">
        <v>134</v>
      </c>
      <c r="BR266" t="s">
        <v>134</v>
      </c>
      <c r="BS266" t="s">
        <v>134</v>
      </c>
      <c r="BT266" t="s">
        <v>134</v>
      </c>
      <c r="BU266" t="s">
        <v>134</v>
      </c>
      <c r="BV266" t="s">
        <v>134</v>
      </c>
      <c r="BW266" t="s">
        <v>134</v>
      </c>
      <c r="BX266" t="s">
        <v>134</v>
      </c>
      <c r="BY266" t="s">
        <v>134</v>
      </c>
      <c r="BZ266" t="s">
        <v>134</v>
      </c>
      <c r="CA266" t="s">
        <v>134</v>
      </c>
      <c r="CB266" t="s">
        <v>134</v>
      </c>
      <c r="CC266" t="s">
        <v>134</v>
      </c>
      <c r="CD266" t="s">
        <v>134</v>
      </c>
      <c r="CE266" t="s">
        <v>134</v>
      </c>
      <c r="CF266" t="s">
        <v>134</v>
      </c>
      <c r="CG266" t="s">
        <v>134</v>
      </c>
      <c r="CH266" t="s">
        <v>134</v>
      </c>
      <c r="CI266" t="s">
        <v>134</v>
      </c>
      <c r="CJ266" t="s">
        <v>134</v>
      </c>
      <c r="CK266" t="s">
        <v>134</v>
      </c>
      <c r="CL266" t="s">
        <v>134</v>
      </c>
      <c r="CM266" t="s">
        <v>134</v>
      </c>
      <c r="CN266" t="s">
        <v>134</v>
      </c>
      <c r="CO266" t="s">
        <v>134</v>
      </c>
      <c r="CP266" t="s">
        <v>134</v>
      </c>
      <c r="CQ266" t="s">
        <v>134</v>
      </c>
      <c r="CR266" t="s">
        <v>134</v>
      </c>
      <c r="CS266" t="s">
        <v>134</v>
      </c>
      <c r="CT266" t="s">
        <v>134</v>
      </c>
      <c r="CU266" t="s">
        <v>134</v>
      </c>
      <c r="CV266" t="s">
        <v>134</v>
      </c>
      <c r="CW266" t="s">
        <v>134</v>
      </c>
      <c r="CX266" t="s">
        <v>134</v>
      </c>
      <c r="CY266" t="s">
        <v>134</v>
      </c>
      <c r="CZ266" t="s">
        <v>134</v>
      </c>
      <c r="DA266" t="s">
        <v>134</v>
      </c>
      <c r="DB266" t="s">
        <v>134</v>
      </c>
      <c r="DC266" t="s">
        <v>134</v>
      </c>
      <c r="DD266" t="s">
        <v>134</v>
      </c>
      <c r="DE266" t="s">
        <v>134</v>
      </c>
      <c r="DF266" t="s">
        <v>134</v>
      </c>
      <c r="DG266" t="s">
        <v>134</v>
      </c>
      <c r="DH266" t="s">
        <v>134</v>
      </c>
      <c r="DI266" t="s">
        <v>134</v>
      </c>
    </row>
    <row r="267" spans="4:113" x14ac:dyDescent="0.3">
      <c r="E267" t="s">
        <v>81</v>
      </c>
      <c r="F267" t="s">
        <v>134</v>
      </c>
      <c r="G267" t="s">
        <v>134</v>
      </c>
      <c r="H267" t="s">
        <v>134</v>
      </c>
      <c r="I267" t="s">
        <v>134</v>
      </c>
      <c r="J267" t="s">
        <v>134</v>
      </c>
      <c r="K267" t="s">
        <v>134</v>
      </c>
      <c r="L267" t="s">
        <v>134</v>
      </c>
      <c r="M267" t="s">
        <v>134</v>
      </c>
      <c r="N267" t="s">
        <v>134</v>
      </c>
      <c r="O267" t="s">
        <v>134</v>
      </c>
      <c r="P267" t="s">
        <v>134</v>
      </c>
      <c r="Q267" t="s">
        <v>134</v>
      </c>
      <c r="R267" t="s">
        <v>134</v>
      </c>
      <c r="S267" t="s">
        <v>134</v>
      </c>
      <c r="T267" t="s">
        <v>134</v>
      </c>
      <c r="U267" t="s">
        <v>134</v>
      </c>
      <c r="V267" t="s">
        <v>134</v>
      </c>
      <c r="W267" t="s">
        <v>134</v>
      </c>
      <c r="X267" t="s">
        <v>134</v>
      </c>
      <c r="Y267" t="s">
        <v>134</v>
      </c>
      <c r="Z267" t="s">
        <v>134</v>
      </c>
      <c r="AA267" t="s">
        <v>134</v>
      </c>
      <c r="AB267" t="s">
        <v>134</v>
      </c>
      <c r="AC267" t="s">
        <v>134</v>
      </c>
      <c r="AD267" t="s">
        <v>134</v>
      </c>
      <c r="AE267" t="s">
        <v>134</v>
      </c>
      <c r="AF267" t="s">
        <v>134</v>
      </c>
      <c r="AG267" t="s">
        <v>134</v>
      </c>
      <c r="AH267" t="s">
        <v>134</v>
      </c>
      <c r="AI267" t="s">
        <v>134</v>
      </c>
      <c r="AJ267" t="s">
        <v>134</v>
      </c>
      <c r="AK267" t="s">
        <v>134</v>
      </c>
      <c r="AL267" t="s">
        <v>134</v>
      </c>
      <c r="AM267" t="s">
        <v>134</v>
      </c>
      <c r="AN267" t="s">
        <v>134</v>
      </c>
      <c r="AO267" t="s">
        <v>134</v>
      </c>
      <c r="AP267" t="s">
        <v>134</v>
      </c>
      <c r="AQ267" t="s">
        <v>134</v>
      </c>
      <c r="AR267" t="s">
        <v>134</v>
      </c>
      <c r="AS267" t="s">
        <v>134</v>
      </c>
      <c r="AT267" t="s">
        <v>134</v>
      </c>
      <c r="AU267" t="s">
        <v>134</v>
      </c>
      <c r="AV267" t="s">
        <v>134</v>
      </c>
      <c r="AW267" t="s">
        <v>134</v>
      </c>
      <c r="AX267" t="s">
        <v>134</v>
      </c>
      <c r="AY267" t="s">
        <v>134</v>
      </c>
      <c r="AZ267" t="s">
        <v>134</v>
      </c>
      <c r="BA267" t="s">
        <v>134</v>
      </c>
      <c r="BB267" t="s">
        <v>134</v>
      </c>
      <c r="BC267" t="s">
        <v>134</v>
      </c>
      <c r="BD267" t="s">
        <v>134</v>
      </c>
      <c r="BE267" t="s">
        <v>134</v>
      </c>
      <c r="BF267" t="s">
        <v>134</v>
      </c>
      <c r="BG267" t="s">
        <v>134</v>
      </c>
      <c r="BH267" t="s">
        <v>134</v>
      </c>
      <c r="BI267" t="s">
        <v>134</v>
      </c>
      <c r="BJ267" t="s">
        <v>134</v>
      </c>
      <c r="BK267" t="s">
        <v>134</v>
      </c>
      <c r="BL267" t="s">
        <v>134</v>
      </c>
      <c r="BM267" t="s">
        <v>134</v>
      </c>
      <c r="BN267" t="s">
        <v>134</v>
      </c>
      <c r="BO267" t="s">
        <v>134</v>
      </c>
      <c r="BP267" t="s">
        <v>134</v>
      </c>
      <c r="BQ267" t="s">
        <v>134</v>
      </c>
      <c r="BR267" t="s">
        <v>134</v>
      </c>
      <c r="BS267" t="s">
        <v>134</v>
      </c>
      <c r="BT267" t="s">
        <v>134</v>
      </c>
      <c r="BU267" t="s">
        <v>134</v>
      </c>
      <c r="BV267" t="s">
        <v>134</v>
      </c>
      <c r="BW267" t="s">
        <v>134</v>
      </c>
      <c r="BX267" t="s">
        <v>134</v>
      </c>
      <c r="BY267" t="s">
        <v>134</v>
      </c>
      <c r="BZ267" t="s">
        <v>134</v>
      </c>
      <c r="CA267" t="s">
        <v>134</v>
      </c>
      <c r="CB267" t="s">
        <v>134</v>
      </c>
      <c r="CC267" t="s">
        <v>134</v>
      </c>
      <c r="CD267" t="s">
        <v>134</v>
      </c>
      <c r="CE267" t="s">
        <v>134</v>
      </c>
      <c r="CF267" t="s">
        <v>134</v>
      </c>
      <c r="CG267" t="s">
        <v>134</v>
      </c>
      <c r="CH267" t="s">
        <v>134</v>
      </c>
      <c r="CI267" t="s">
        <v>134</v>
      </c>
      <c r="CJ267" t="s">
        <v>134</v>
      </c>
      <c r="CK267" t="s">
        <v>134</v>
      </c>
      <c r="CL267" t="s">
        <v>134</v>
      </c>
      <c r="CM267" t="s">
        <v>134</v>
      </c>
      <c r="CN267" t="s">
        <v>134</v>
      </c>
      <c r="CO267" t="s">
        <v>134</v>
      </c>
      <c r="CP267" t="s">
        <v>134</v>
      </c>
      <c r="CQ267" t="s">
        <v>134</v>
      </c>
      <c r="CR267" t="s">
        <v>134</v>
      </c>
      <c r="CS267" t="s">
        <v>134</v>
      </c>
      <c r="CT267" t="s">
        <v>134</v>
      </c>
      <c r="CU267" t="s">
        <v>134</v>
      </c>
      <c r="CV267" t="s">
        <v>134</v>
      </c>
      <c r="CW267" t="s">
        <v>134</v>
      </c>
      <c r="CX267" t="s">
        <v>134</v>
      </c>
      <c r="CY267" t="s">
        <v>134</v>
      </c>
      <c r="CZ267" t="s">
        <v>134</v>
      </c>
      <c r="DA267" t="s">
        <v>134</v>
      </c>
      <c r="DB267" t="s">
        <v>134</v>
      </c>
      <c r="DC267" t="s">
        <v>134</v>
      </c>
      <c r="DD267" t="s">
        <v>134</v>
      </c>
      <c r="DE267" t="s">
        <v>134</v>
      </c>
      <c r="DF267" t="s">
        <v>134</v>
      </c>
      <c r="DG267" t="s">
        <v>134</v>
      </c>
      <c r="DH267" t="s">
        <v>134</v>
      </c>
      <c r="DI267" t="s">
        <v>134</v>
      </c>
    </row>
    <row r="268" spans="4:113" x14ac:dyDescent="0.3">
      <c r="D268" t="s">
        <v>84</v>
      </c>
      <c r="E268" t="s">
        <v>77</v>
      </c>
      <c r="F268">
        <v>25.595300000000002</v>
      </c>
      <c r="G268">
        <v>20.9861</v>
      </c>
      <c r="H268">
        <v>25.601500000000001</v>
      </c>
      <c r="I268">
        <v>19.771899999999999</v>
      </c>
      <c r="J268">
        <v>20.6769</v>
      </c>
      <c r="K268">
        <v>19.2392</v>
      </c>
      <c r="L268">
        <v>-46.495100000000001</v>
      </c>
      <c r="M268">
        <v>24.9511</v>
      </c>
      <c r="N268">
        <v>19.086600000000001</v>
      </c>
      <c r="O268">
        <v>19.0867</v>
      </c>
      <c r="P268">
        <v>19.0867</v>
      </c>
      <c r="Q268">
        <v>28.278500000000001</v>
      </c>
      <c r="R268">
        <v>39.012700000000002</v>
      </c>
      <c r="S268">
        <v>15.6099</v>
      </c>
      <c r="T268">
        <v>-3.5129999999999999</v>
      </c>
      <c r="U268">
        <v>-7.5649999999999995</v>
      </c>
      <c r="V268">
        <v>-8.0873000000000008</v>
      </c>
      <c r="W268">
        <v>0.44940000000000002</v>
      </c>
      <c r="X268">
        <v>0.46379999999999999</v>
      </c>
      <c r="Y268">
        <v>0</v>
      </c>
      <c r="Z268">
        <v>32.783099999999997</v>
      </c>
      <c r="AA268">
        <v>1.2947</v>
      </c>
      <c r="AB268">
        <v>-2.7515000000000001</v>
      </c>
      <c r="AC268">
        <v>25.505500000000001</v>
      </c>
      <c r="AD268">
        <v>6.0667</v>
      </c>
      <c r="AE268">
        <v>220.50059999999999</v>
      </c>
      <c r="AF268">
        <v>10.303800000000001</v>
      </c>
      <c r="AG268" t="s">
        <v>134</v>
      </c>
      <c r="AH268" t="s">
        <v>134</v>
      </c>
      <c r="AI268">
        <v>27.361999999999998</v>
      </c>
      <c r="AJ268">
        <v>27.361999999999998</v>
      </c>
      <c r="AK268">
        <v>27.362200000000001</v>
      </c>
      <c r="AL268">
        <v>-11.9274</v>
      </c>
      <c r="AM268">
        <v>2.4409999999999998</v>
      </c>
      <c r="AN268">
        <v>3.5615000000000001</v>
      </c>
      <c r="AO268">
        <v>2.9066999999999998</v>
      </c>
      <c r="AP268">
        <v>6.0210999999999997</v>
      </c>
      <c r="AQ268">
        <v>6.0240999999999998</v>
      </c>
      <c r="AR268">
        <v>4.0949999999999998</v>
      </c>
      <c r="AS268">
        <v>18.854299999999999</v>
      </c>
      <c r="AT268">
        <v>0.69440000000000002</v>
      </c>
      <c r="AU268">
        <v>5.0125000000000002</v>
      </c>
      <c r="AV268">
        <v>14.147600000000001</v>
      </c>
      <c r="AW268" t="s">
        <v>134</v>
      </c>
      <c r="AX268">
        <v>64.580699999999993</v>
      </c>
      <c r="AY268">
        <v>2.5815000000000001</v>
      </c>
      <c r="AZ268">
        <v>-100</v>
      </c>
      <c r="BA268">
        <v>-100</v>
      </c>
      <c r="BB268">
        <v>24.037199999999999</v>
      </c>
      <c r="BC268">
        <v>23.933700000000002</v>
      </c>
      <c r="BD268">
        <v>24.0379</v>
      </c>
      <c r="BE268">
        <v>-1.2264999999999999</v>
      </c>
      <c r="BF268">
        <v>-3.5129999999999999</v>
      </c>
      <c r="BG268">
        <v>-7.5649999999999995</v>
      </c>
      <c r="BH268">
        <v>-8.0873000000000008</v>
      </c>
      <c r="BI268">
        <v>0.44940000000000002</v>
      </c>
      <c r="BJ268">
        <v>0.46379999999999999</v>
      </c>
      <c r="BK268">
        <v>0</v>
      </c>
      <c r="BL268">
        <v>32.783099999999997</v>
      </c>
      <c r="BM268">
        <v>1.2947</v>
      </c>
      <c r="BN268">
        <v>-2.7515000000000001</v>
      </c>
      <c r="BO268">
        <v>25.505500000000001</v>
      </c>
      <c r="BP268" t="s">
        <v>134</v>
      </c>
      <c r="BQ268">
        <v>220.50059999999999</v>
      </c>
      <c r="BR268">
        <v>10.303800000000001</v>
      </c>
      <c r="BS268" t="s">
        <v>134</v>
      </c>
      <c r="BT268" t="s">
        <v>134</v>
      </c>
      <c r="BU268">
        <v>27.361999999999998</v>
      </c>
      <c r="BV268">
        <v>27.361999999999998</v>
      </c>
      <c r="BW268">
        <v>27.362200000000001</v>
      </c>
      <c r="BX268">
        <v>-11.9274</v>
      </c>
      <c r="BY268">
        <v>0</v>
      </c>
      <c r="BZ268">
        <v>0</v>
      </c>
      <c r="CA268">
        <v>0</v>
      </c>
      <c r="CB268">
        <v>0</v>
      </c>
      <c r="CC268">
        <v>-1.4339999999999999</v>
      </c>
      <c r="CD268">
        <v>0</v>
      </c>
      <c r="CE268">
        <v>-1.5411999999999999</v>
      </c>
      <c r="CF268">
        <v>3156.7071000000001</v>
      </c>
      <c r="CG268">
        <v>82.525599999999997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-35.491500000000002</v>
      </c>
      <c r="CO268">
        <v>-55.0184</v>
      </c>
      <c r="CP268">
        <v>44193.9</v>
      </c>
      <c r="CQ268">
        <v>42199.5</v>
      </c>
      <c r="CR268">
        <v>41121</v>
      </c>
      <c r="CS268">
        <v>1.9725999999999999</v>
      </c>
      <c r="CT268">
        <v>2.9470999999999998</v>
      </c>
      <c r="CU268">
        <v>2.2692999999999999</v>
      </c>
      <c r="CV268">
        <v>15.6668</v>
      </c>
      <c r="CW268">
        <v>25.578299999999999</v>
      </c>
      <c r="CX268">
        <v>14.2699</v>
      </c>
      <c r="CY268">
        <v>20.267099999999999</v>
      </c>
      <c r="CZ268">
        <v>18.009499999999999</v>
      </c>
      <c r="DA268">
        <v>6.8856999999999999</v>
      </c>
      <c r="DB268">
        <v>53.008600000000001</v>
      </c>
      <c r="DC268">
        <v>-20.729199999999999</v>
      </c>
      <c r="DD268">
        <v>32.279299999999999</v>
      </c>
      <c r="DE268">
        <v>7283.8</v>
      </c>
      <c r="DF268">
        <v>2392.6999999999998</v>
      </c>
      <c r="DG268">
        <v>398.3</v>
      </c>
      <c r="DH268">
        <v>4308</v>
      </c>
      <c r="DI268">
        <v>184.8</v>
      </c>
    </row>
    <row r="269" spans="4:113" x14ac:dyDescent="0.3">
      <c r="E269" t="s">
        <v>78</v>
      </c>
      <c r="F269" t="s">
        <v>134</v>
      </c>
      <c r="G269" t="s">
        <v>134</v>
      </c>
      <c r="H269" t="s">
        <v>134</v>
      </c>
      <c r="I269" t="s">
        <v>134</v>
      </c>
      <c r="J269">
        <v>20.837399999999999</v>
      </c>
      <c r="K269">
        <v>19.464700000000001</v>
      </c>
      <c r="L269" t="s">
        <v>134</v>
      </c>
      <c r="M269">
        <v>24.1934</v>
      </c>
      <c r="N269">
        <v>18.422599999999999</v>
      </c>
      <c r="O269">
        <v>18.422599999999999</v>
      </c>
      <c r="P269">
        <v>18.422599999999999</v>
      </c>
      <c r="Q269">
        <v>28.367899999999999</v>
      </c>
      <c r="R269" t="s">
        <v>134</v>
      </c>
      <c r="S269" t="s">
        <v>134</v>
      </c>
      <c r="T269" t="s">
        <v>134</v>
      </c>
      <c r="U269" t="s">
        <v>134</v>
      </c>
      <c r="V269" t="s">
        <v>134</v>
      </c>
      <c r="W269" t="s">
        <v>134</v>
      </c>
      <c r="X269" t="s">
        <v>134</v>
      </c>
      <c r="Y269" t="s">
        <v>134</v>
      </c>
      <c r="Z269" t="s">
        <v>134</v>
      </c>
      <c r="AA269" t="s">
        <v>134</v>
      </c>
      <c r="AB269" t="s">
        <v>134</v>
      </c>
      <c r="AC269" t="s">
        <v>134</v>
      </c>
      <c r="AD269" t="s">
        <v>134</v>
      </c>
      <c r="AE269" t="s">
        <v>134</v>
      </c>
      <c r="AF269" t="s">
        <v>134</v>
      </c>
      <c r="AG269" t="s">
        <v>134</v>
      </c>
      <c r="AH269" t="s">
        <v>134</v>
      </c>
      <c r="AI269" t="s">
        <v>134</v>
      </c>
      <c r="AJ269" t="s">
        <v>134</v>
      </c>
      <c r="AK269" t="s">
        <v>134</v>
      </c>
      <c r="AL269" t="s">
        <v>134</v>
      </c>
      <c r="AM269" t="s">
        <v>134</v>
      </c>
      <c r="AN269" t="s">
        <v>134</v>
      </c>
      <c r="AO269" t="s">
        <v>134</v>
      </c>
      <c r="AP269" t="s">
        <v>134</v>
      </c>
      <c r="AQ269" t="s">
        <v>134</v>
      </c>
      <c r="AR269" t="s">
        <v>134</v>
      </c>
      <c r="AS269" t="s">
        <v>134</v>
      </c>
      <c r="AT269" t="s">
        <v>134</v>
      </c>
      <c r="AU269" t="s">
        <v>134</v>
      </c>
      <c r="AV269" t="s">
        <v>134</v>
      </c>
      <c r="AW269" t="s">
        <v>134</v>
      </c>
      <c r="AX269" t="s">
        <v>134</v>
      </c>
      <c r="AY269" t="s">
        <v>134</v>
      </c>
      <c r="AZ269" t="s">
        <v>134</v>
      </c>
      <c r="BA269" t="s">
        <v>134</v>
      </c>
      <c r="BB269" t="s">
        <v>134</v>
      </c>
      <c r="BC269" t="s">
        <v>134</v>
      </c>
      <c r="BD269" t="s">
        <v>134</v>
      </c>
      <c r="BE269" t="s">
        <v>134</v>
      </c>
      <c r="BF269" t="s">
        <v>134</v>
      </c>
      <c r="BG269" t="s">
        <v>134</v>
      </c>
      <c r="BH269" t="s">
        <v>134</v>
      </c>
      <c r="BI269" t="s">
        <v>134</v>
      </c>
      <c r="BJ269" t="s">
        <v>134</v>
      </c>
      <c r="BK269" t="s">
        <v>134</v>
      </c>
      <c r="BL269" t="s">
        <v>134</v>
      </c>
      <c r="BM269" t="s">
        <v>134</v>
      </c>
      <c r="BN269" t="s">
        <v>134</v>
      </c>
      <c r="BO269" t="s">
        <v>134</v>
      </c>
      <c r="BP269" t="s">
        <v>134</v>
      </c>
      <c r="BQ269" t="s">
        <v>134</v>
      </c>
      <c r="BR269" t="s">
        <v>134</v>
      </c>
      <c r="BS269" t="s">
        <v>134</v>
      </c>
      <c r="BT269" t="s">
        <v>134</v>
      </c>
      <c r="BU269" t="s">
        <v>134</v>
      </c>
      <c r="BV269" t="s">
        <v>134</v>
      </c>
      <c r="BW269" t="s">
        <v>134</v>
      </c>
      <c r="BX269" t="s">
        <v>134</v>
      </c>
      <c r="BY269" t="s">
        <v>134</v>
      </c>
      <c r="BZ269" t="s">
        <v>134</v>
      </c>
      <c r="CA269" t="s">
        <v>134</v>
      </c>
      <c r="CB269" t="s">
        <v>134</v>
      </c>
      <c r="CC269" t="s">
        <v>134</v>
      </c>
      <c r="CD269" t="s">
        <v>134</v>
      </c>
      <c r="CE269" t="s">
        <v>134</v>
      </c>
      <c r="CF269">
        <v>5345.3635999999997</v>
      </c>
      <c r="CG269" t="s">
        <v>134</v>
      </c>
      <c r="CH269" t="s">
        <v>134</v>
      </c>
      <c r="CI269" t="s">
        <v>134</v>
      </c>
      <c r="CJ269" t="s">
        <v>134</v>
      </c>
      <c r="CK269" t="s">
        <v>134</v>
      </c>
      <c r="CL269" t="s">
        <v>134</v>
      </c>
      <c r="CM269" t="s">
        <v>134</v>
      </c>
      <c r="CN269" t="s">
        <v>134</v>
      </c>
      <c r="CO269" t="s">
        <v>134</v>
      </c>
      <c r="CP269">
        <v>11759.8</v>
      </c>
      <c r="CQ269" t="s">
        <v>134</v>
      </c>
      <c r="CR269">
        <v>10985.1</v>
      </c>
      <c r="CS269" t="s">
        <v>134</v>
      </c>
      <c r="CT269" t="s">
        <v>134</v>
      </c>
      <c r="CU269" t="s">
        <v>134</v>
      </c>
      <c r="CV269" t="s">
        <v>134</v>
      </c>
      <c r="CW269" t="s">
        <v>134</v>
      </c>
      <c r="CX269" t="s">
        <v>134</v>
      </c>
      <c r="CY269" t="s">
        <v>134</v>
      </c>
      <c r="CZ269" t="s">
        <v>134</v>
      </c>
      <c r="DA269" t="s">
        <v>134</v>
      </c>
      <c r="DB269" t="s">
        <v>134</v>
      </c>
      <c r="DC269" t="s">
        <v>134</v>
      </c>
      <c r="DD269" t="s">
        <v>134</v>
      </c>
      <c r="DE269" t="s">
        <v>134</v>
      </c>
      <c r="DF269" t="s">
        <v>134</v>
      </c>
      <c r="DG269" t="s">
        <v>134</v>
      </c>
      <c r="DH269" t="s">
        <v>134</v>
      </c>
      <c r="DI269" t="s">
        <v>134</v>
      </c>
    </row>
    <row r="270" spans="4:113" x14ac:dyDescent="0.3">
      <c r="E270" t="s">
        <v>79</v>
      </c>
      <c r="F270" t="s">
        <v>134</v>
      </c>
      <c r="G270" t="s">
        <v>134</v>
      </c>
      <c r="H270" t="s">
        <v>134</v>
      </c>
      <c r="I270" t="s">
        <v>134</v>
      </c>
      <c r="J270">
        <v>21.758099999999999</v>
      </c>
      <c r="K270">
        <v>20.464700000000001</v>
      </c>
      <c r="L270" t="s">
        <v>134</v>
      </c>
      <c r="M270">
        <v>26.213799999999999</v>
      </c>
      <c r="N270">
        <v>20.182500000000001</v>
      </c>
      <c r="O270">
        <v>20.182500000000001</v>
      </c>
      <c r="P270">
        <v>20.182500000000001</v>
      </c>
      <c r="Q270">
        <v>28.070499999999999</v>
      </c>
      <c r="R270" t="s">
        <v>134</v>
      </c>
      <c r="S270" t="s">
        <v>134</v>
      </c>
      <c r="T270" t="s">
        <v>134</v>
      </c>
      <c r="U270" t="s">
        <v>134</v>
      </c>
      <c r="V270" t="s">
        <v>134</v>
      </c>
      <c r="W270" t="s">
        <v>134</v>
      </c>
      <c r="X270" t="s">
        <v>134</v>
      </c>
      <c r="Y270" t="s">
        <v>134</v>
      </c>
      <c r="Z270" t="s">
        <v>134</v>
      </c>
      <c r="AA270" t="s">
        <v>134</v>
      </c>
      <c r="AB270" t="s">
        <v>134</v>
      </c>
      <c r="AC270" t="s">
        <v>134</v>
      </c>
      <c r="AD270" t="s">
        <v>134</v>
      </c>
      <c r="AE270" t="s">
        <v>134</v>
      </c>
      <c r="AF270" t="s">
        <v>134</v>
      </c>
      <c r="AG270" t="s">
        <v>134</v>
      </c>
      <c r="AH270" t="s">
        <v>134</v>
      </c>
      <c r="AI270" t="s">
        <v>134</v>
      </c>
      <c r="AJ270" t="s">
        <v>134</v>
      </c>
      <c r="AK270" t="s">
        <v>134</v>
      </c>
      <c r="AL270" t="s">
        <v>134</v>
      </c>
      <c r="AM270" t="s">
        <v>134</v>
      </c>
      <c r="AN270" t="s">
        <v>134</v>
      </c>
      <c r="AO270" t="s">
        <v>134</v>
      </c>
      <c r="AP270" t="s">
        <v>134</v>
      </c>
      <c r="AQ270" t="s">
        <v>134</v>
      </c>
      <c r="AR270" t="s">
        <v>134</v>
      </c>
      <c r="AS270" t="s">
        <v>134</v>
      </c>
      <c r="AT270" t="s">
        <v>134</v>
      </c>
      <c r="AU270" t="s">
        <v>134</v>
      </c>
      <c r="AV270" t="s">
        <v>134</v>
      </c>
      <c r="AW270" t="s">
        <v>134</v>
      </c>
      <c r="AX270" t="s">
        <v>134</v>
      </c>
      <c r="AY270" t="s">
        <v>134</v>
      </c>
      <c r="AZ270" t="s">
        <v>134</v>
      </c>
      <c r="BA270" t="s">
        <v>134</v>
      </c>
      <c r="BB270" t="s">
        <v>134</v>
      </c>
      <c r="BC270" t="s">
        <v>134</v>
      </c>
      <c r="BD270" t="s">
        <v>134</v>
      </c>
      <c r="BE270" t="s">
        <v>134</v>
      </c>
      <c r="BF270">
        <v>5.4169</v>
      </c>
      <c r="BG270">
        <v>10.074999999999999</v>
      </c>
      <c r="BH270">
        <v>10.8329</v>
      </c>
      <c r="BI270">
        <v>15.4872</v>
      </c>
      <c r="BJ270">
        <v>15.5989</v>
      </c>
      <c r="BK270" t="s">
        <v>134</v>
      </c>
      <c r="BL270" t="s">
        <v>134</v>
      </c>
      <c r="BM270" t="s">
        <v>134</v>
      </c>
      <c r="BN270" t="s">
        <v>134</v>
      </c>
      <c r="BO270" t="s">
        <v>134</v>
      </c>
      <c r="BP270" t="s">
        <v>134</v>
      </c>
      <c r="BQ270" t="s">
        <v>134</v>
      </c>
      <c r="BR270" t="s">
        <v>134</v>
      </c>
      <c r="BS270" t="s">
        <v>134</v>
      </c>
      <c r="BT270" t="s">
        <v>134</v>
      </c>
      <c r="BU270" t="s">
        <v>134</v>
      </c>
      <c r="BV270" t="s">
        <v>134</v>
      </c>
      <c r="BW270" t="s">
        <v>134</v>
      </c>
      <c r="BX270" t="s">
        <v>134</v>
      </c>
      <c r="BY270">
        <v>33.299999999999997</v>
      </c>
      <c r="BZ270">
        <v>33.299999999999997</v>
      </c>
      <c r="CA270">
        <v>0</v>
      </c>
      <c r="CB270" t="s">
        <v>134</v>
      </c>
      <c r="CC270" t="s">
        <v>134</v>
      </c>
      <c r="CD270" t="s">
        <v>134</v>
      </c>
      <c r="CE270" t="s">
        <v>134</v>
      </c>
      <c r="CF270">
        <v>1903.6176</v>
      </c>
      <c r="CG270">
        <v>78.652799999999999</v>
      </c>
      <c r="CH270">
        <v>0</v>
      </c>
      <c r="CI270">
        <v>0</v>
      </c>
      <c r="CJ270">
        <v>0</v>
      </c>
      <c r="CK270">
        <v>2.07E-2</v>
      </c>
      <c r="CL270">
        <v>2.07E-2</v>
      </c>
      <c r="CM270">
        <v>1.6299999999999999E-2</v>
      </c>
      <c r="CN270">
        <v>-32.443800000000003</v>
      </c>
      <c r="CO270">
        <v>-48.024999999999999</v>
      </c>
      <c r="CP270">
        <v>12944.6</v>
      </c>
      <c r="CQ270" t="s">
        <v>134</v>
      </c>
      <c r="CR270">
        <v>12175.1</v>
      </c>
      <c r="CS270">
        <v>1.3391</v>
      </c>
      <c r="CT270">
        <v>2.1109</v>
      </c>
      <c r="CU270">
        <v>1.6425999999999998</v>
      </c>
      <c r="CV270">
        <v>12.655799999999999</v>
      </c>
      <c r="CW270" t="s">
        <v>134</v>
      </c>
      <c r="CX270" t="s">
        <v>134</v>
      </c>
      <c r="CY270" t="s">
        <v>134</v>
      </c>
      <c r="CZ270" t="s">
        <v>134</v>
      </c>
      <c r="DA270" t="s">
        <v>134</v>
      </c>
      <c r="DB270" t="s">
        <v>134</v>
      </c>
      <c r="DC270" t="s">
        <v>134</v>
      </c>
      <c r="DD270" t="s">
        <v>134</v>
      </c>
      <c r="DE270">
        <v>6755.9</v>
      </c>
      <c r="DF270" t="s">
        <v>134</v>
      </c>
      <c r="DG270" t="s">
        <v>134</v>
      </c>
      <c r="DH270" t="s">
        <v>134</v>
      </c>
      <c r="DI270" t="s">
        <v>134</v>
      </c>
    </row>
    <row r="271" spans="4:113" x14ac:dyDescent="0.3">
      <c r="E271" t="s">
        <v>80</v>
      </c>
      <c r="F271" t="s">
        <v>134</v>
      </c>
      <c r="G271" t="s">
        <v>134</v>
      </c>
      <c r="H271" t="s">
        <v>134</v>
      </c>
      <c r="I271" t="s">
        <v>134</v>
      </c>
      <c r="J271">
        <v>20.982800000000001</v>
      </c>
      <c r="K271">
        <v>19.431799999999999</v>
      </c>
      <c r="L271" t="s">
        <v>134</v>
      </c>
      <c r="M271">
        <v>25.831700000000001</v>
      </c>
      <c r="N271">
        <v>19.632400000000001</v>
      </c>
      <c r="O271">
        <v>19.632400000000001</v>
      </c>
      <c r="P271">
        <v>19.632400000000001</v>
      </c>
      <c r="Q271">
        <v>28.0992</v>
      </c>
      <c r="R271" t="s">
        <v>134</v>
      </c>
      <c r="S271" t="s">
        <v>134</v>
      </c>
      <c r="T271" t="s">
        <v>134</v>
      </c>
      <c r="U271" t="s">
        <v>134</v>
      </c>
      <c r="V271" t="s">
        <v>134</v>
      </c>
      <c r="W271" t="s">
        <v>134</v>
      </c>
      <c r="X271" t="s">
        <v>134</v>
      </c>
      <c r="Y271" t="s">
        <v>134</v>
      </c>
      <c r="Z271" t="s">
        <v>134</v>
      </c>
      <c r="AA271" t="s">
        <v>134</v>
      </c>
      <c r="AB271" t="s">
        <v>134</v>
      </c>
      <c r="AC271" t="s">
        <v>134</v>
      </c>
      <c r="AD271" t="s">
        <v>134</v>
      </c>
      <c r="AE271" t="s">
        <v>134</v>
      </c>
      <c r="AF271" t="s">
        <v>134</v>
      </c>
      <c r="AG271" t="s">
        <v>134</v>
      </c>
      <c r="AH271" t="s">
        <v>134</v>
      </c>
      <c r="AI271" t="s">
        <v>134</v>
      </c>
      <c r="AJ271" t="s">
        <v>134</v>
      </c>
      <c r="AK271" t="s">
        <v>134</v>
      </c>
      <c r="AL271" t="s">
        <v>134</v>
      </c>
      <c r="AM271" t="s">
        <v>134</v>
      </c>
      <c r="AN271" t="s">
        <v>134</v>
      </c>
      <c r="AO271" t="s">
        <v>134</v>
      </c>
      <c r="AP271" t="s">
        <v>134</v>
      </c>
      <c r="AQ271" t="s">
        <v>134</v>
      </c>
      <c r="AR271" t="s">
        <v>134</v>
      </c>
      <c r="AS271" t="s">
        <v>134</v>
      </c>
      <c r="AT271" t="s">
        <v>134</v>
      </c>
      <c r="AU271" t="s">
        <v>134</v>
      </c>
      <c r="AV271" t="s">
        <v>134</v>
      </c>
      <c r="AW271" t="s">
        <v>134</v>
      </c>
      <c r="AX271" t="s">
        <v>134</v>
      </c>
      <c r="AY271" t="s">
        <v>134</v>
      </c>
      <c r="AZ271" t="s">
        <v>134</v>
      </c>
      <c r="BA271" t="s">
        <v>134</v>
      </c>
      <c r="BB271" t="s">
        <v>134</v>
      </c>
      <c r="BC271" t="s">
        <v>134</v>
      </c>
      <c r="BD271" t="s">
        <v>134</v>
      </c>
      <c r="BE271" t="s">
        <v>134</v>
      </c>
      <c r="BF271">
        <v>-16.367599999999999</v>
      </c>
      <c r="BG271">
        <v>-19.347799999999999</v>
      </c>
      <c r="BH271">
        <v>-20.588699999999999</v>
      </c>
      <c r="BI271">
        <v>-18.647100000000002</v>
      </c>
      <c r="BJ271">
        <v>-18.6584</v>
      </c>
      <c r="BK271" t="s">
        <v>134</v>
      </c>
      <c r="BL271" t="s">
        <v>134</v>
      </c>
      <c r="BM271" t="s">
        <v>134</v>
      </c>
      <c r="BN271" t="s">
        <v>134</v>
      </c>
      <c r="BO271" t="s">
        <v>134</v>
      </c>
      <c r="BP271" t="s">
        <v>134</v>
      </c>
      <c r="BQ271" t="s">
        <v>134</v>
      </c>
      <c r="BR271" t="s">
        <v>134</v>
      </c>
      <c r="BS271" t="s">
        <v>134</v>
      </c>
      <c r="BT271" t="s">
        <v>134</v>
      </c>
      <c r="BU271" t="s">
        <v>134</v>
      </c>
      <c r="BV271" t="s">
        <v>134</v>
      </c>
      <c r="BW271" t="s">
        <v>134</v>
      </c>
      <c r="BX271" t="s">
        <v>134</v>
      </c>
      <c r="BY271" t="s">
        <v>134</v>
      </c>
      <c r="BZ271" t="s">
        <v>134</v>
      </c>
      <c r="CA271" t="s">
        <v>134</v>
      </c>
      <c r="CB271" t="s">
        <v>134</v>
      </c>
      <c r="CC271" t="s">
        <v>134</v>
      </c>
      <c r="CD271" t="s">
        <v>134</v>
      </c>
      <c r="CE271" t="s">
        <v>134</v>
      </c>
      <c r="CF271">
        <v>4015.4231</v>
      </c>
      <c r="CG271" t="s">
        <v>134</v>
      </c>
      <c r="CH271" t="s">
        <v>134</v>
      </c>
      <c r="CI271" t="s">
        <v>134</v>
      </c>
      <c r="CJ271" t="s">
        <v>134</v>
      </c>
      <c r="CK271" t="s">
        <v>134</v>
      </c>
      <c r="CL271" t="s">
        <v>134</v>
      </c>
      <c r="CM271" t="s">
        <v>134</v>
      </c>
      <c r="CN271" t="s">
        <v>134</v>
      </c>
      <c r="CO271" t="s">
        <v>134</v>
      </c>
      <c r="CP271">
        <v>10440.1</v>
      </c>
      <c r="CQ271" t="s">
        <v>134</v>
      </c>
      <c r="CR271">
        <v>9668.4</v>
      </c>
      <c r="CS271" t="s">
        <v>134</v>
      </c>
      <c r="CT271" t="s">
        <v>134</v>
      </c>
      <c r="CU271" t="s">
        <v>134</v>
      </c>
      <c r="CV271" t="s">
        <v>134</v>
      </c>
      <c r="CW271" t="s">
        <v>134</v>
      </c>
      <c r="CX271" t="s">
        <v>134</v>
      </c>
      <c r="CY271" t="s">
        <v>134</v>
      </c>
      <c r="CZ271" t="s">
        <v>134</v>
      </c>
      <c r="DA271" t="s">
        <v>134</v>
      </c>
      <c r="DB271" t="s">
        <v>134</v>
      </c>
      <c r="DC271" t="s">
        <v>134</v>
      </c>
      <c r="DD271" t="s">
        <v>134</v>
      </c>
      <c r="DE271" t="s">
        <v>134</v>
      </c>
      <c r="DF271" t="s">
        <v>134</v>
      </c>
      <c r="DG271" t="s">
        <v>134</v>
      </c>
      <c r="DH271" t="s">
        <v>134</v>
      </c>
      <c r="DI271" t="s">
        <v>134</v>
      </c>
    </row>
    <row r="272" spans="4:113" x14ac:dyDescent="0.3">
      <c r="E272" t="s">
        <v>81</v>
      </c>
      <c r="F272" t="s">
        <v>134</v>
      </c>
      <c r="G272" t="s">
        <v>134</v>
      </c>
      <c r="H272" t="s">
        <v>134</v>
      </c>
      <c r="I272" t="s">
        <v>134</v>
      </c>
      <c r="J272" t="s">
        <v>134</v>
      </c>
      <c r="K272" t="s">
        <v>134</v>
      </c>
      <c r="L272" t="s">
        <v>134</v>
      </c>
      <c r="M272" t="s">
        <v>134</v>
      </c>
      <c r="N272" t="s">
        <v>134</v>
      </c>
      <c r="O272" t="s">
        <v>134</v>
      </c>
      <c r="P272" t="s">
        <v>134</v>
      </c>
      <c r="Q272" t="s">
        <v>134</v>
      </c>
      <c r="R272" t="s">
        <v>134</v>
      </c>
      <c r="S272" t="s">
        <v>134</v>
      </c>
      <c r="T272" t="s">
        <v>134</v>
      </c>
      <c r="U272" t="s">
        <v>134</v>
      </c>
      <c r="V272" t="s">
        <v>134</v>
      </c>
      <c r="W272" t="s">
        <v>134</v>
      </c>
      <c r="X272" t="s">
        <v>134</v>
      </c>
      <c r="Y272" t="s">
        <v>134</v>
      </c>
      <c r="Z272" t="s">
        <v>134</v>
      </c>
      <c r="AA272" t="s">
        <v>134</v>
      </c>
      <c r="AB272" t="s">
        <v>134</v>
      </c>
      <c r="AC272" t="s">
        <v>134</v>
      </c>
      <c r="AD272" t="s">
        <v>134</v>
      </c>
      <c r="AE272" t="s">
        <v>134</v>
      </c>
      <c r="AF272" t="s">
        <v>134</v>
      </c>
      <c r="AG272" t="s">
        <v>134</v>
      </c>
      <c r="AH272" t="s">
        <v>134</v>
      </c>
      <c r="AI272" t="s">
        <v>134</v>
      </c>
      <c r="AJ272" t="s">
        <v>134</v>
      </c>
      <c r="AK272" t="s">
        <v>134</v>
      </c>
      <c r="AL272" t="s">
        <v>134</v>
      </c>
      <c r="AM272" t="s">
        <v>134</v>
      </c>
      <c r="AN272" t="s">
        <v>134</v>
      </c>
      <c r="AO272" t="s">
        <v>134</v>
      </c>
      <c r="AP272" t="s">
        <v>134</v>
      </c>
      <c r="AQ272" t="s">
        <v>134</v>
      </c>
      <c r="AR272" t="s">
        <v>134</v>
      </c>
      <c r="AS272" t="s">
        <v>134</v>
      </c>
      <c r="AT272" t="s">
        <v>134</v>
      </c>
      <c r="AU272" t="s">
        <v>134</v>
      </c>
      <c r="AV272" t="s">
        <v>134</v>
      </c>
      <c r="AW272" t="s">
        <v>134</v>
      </c>
      <c r="AX272" t="s">
        <v>134</v>
      </c>
      <c r="AY272" t="s">
        <v>134</v>
      </c>
      <c r="AZ272" t="s">
        <v>134</v>
      </c>
      <c r="BA272" t="s">
        <v>134</v>
      </c>
      <c r="BB272" t="s">
        <v>134</v>
      </c>
      <c r="BC272" t="s">
        <v>134</v>
      </c>
      <c r="BD272" t="s">
        <v>134</v>
      </c>
      <c r="BE272" t="s">
        <v>134</v>
      </c>
      <c r="BF272" t="s">
        <v>134</v>
      </c>
      <c r="BG272" t="s">
        <v>134</v>
      </c>
      <c r="BH272" t="s">
        <v>134</v>
      </c>
      <c r="BI272" t="s">
        <v>134</v>
      </c>
      <c r="BJ272" t="s">
        <v>134</v>
      </c>
      <c r="BK272" t="s">
        <v>134</v>
      </c>
      <c r="BL272" t="s">
        <v>134</v>
      </c>
      <c r="BM272" t="s">
        <v>134</v>
      </c>
      <c r="BN272" t="s">
        <v>134</v>
      </c>
      <c r="BO272" t="s">
        <v>134</v>
      </c>
      <c r="BP272" t="s">
        <v>134</v>
      </c>
      <c r="BQ272" t="s">
        <v>134</v>
      </c>
      <c r="BR272" t="s">
        <v>134</v>
      </c>
      <c r="BS272" t="s">
        <v>134</v>
      </c>
      <c r="BT272" t="s">
        <v>134</v>
      </c>
      <c r="BU272" t="s">
        <v>134</v>
      </c>
      <c r="BV272" t="s">
        <v>134</v>
      </c>
      <c r="BW272" t="s">
        <v>134</v>
      </c>
      <c r="BX272" t="s">
        <v>134</v>
      </c>
      <c r="BY272" t="s">
        <v>134</v>
      </c>
      <c r="BZ272" t="s">
        <v>134</v>
      </c>
      <c r="CA272" t="s">
        <v>134</v>
      </c>
      <c r="CB272" t="s">
        <v>134</v>
      </c>
      <c r="CC272" t="s">
        <v>134</v>
      </c>
      <c r="CD272" t="s">
        <v>134</v>
      </c>
      <c r="CE272" t="s">
        <v>134</v>
      </c>
      <c r="CF272" t="s">
        <v>134</v>
      </c>
      <c r="CG272" t="s">
        <v>134</v>
      </c>
      <c r="CH272" t="s">
        <v>134</v>
      </c>
      <c r="CI272" t="s">
        <v>134</v>
      </c>
      <c r="CJ272" t="s">
        <v>134</v>
      </c>
      <c r="CK272" t="s">
        <v>134</v>
      </c>
      <c r="CL272" t="s">
        <v>134</v>
      </c>
      <c r="CM272" t="s">
        <v>134</v>
      </c>
      <c r="CN272" t="s">
        <v>134</v>
      </c>
      <c r="CO272" t="s">
        <v>134</v>
      </c>
      <c r="CP272" t="s">
        <v>134</v>
      </c>
      <c r="CQ272" t="s">
        <v>134</v>
      </c>
      <c r="CR272" t="s">
        <v>134</v>
      </c>
      <c r="CS272" t="s">
        <v>134</v>
      </c>
      <c r="CT272" t="s">
        <v>134</v>
      </c>
      <c r="CU272" t="s">
        <v>134</v>
      </c>
      <c r="CV272">
        <v>15.6668</v>
      </c>
      <c r="CW272" t="s">
        <v>134</v>
      </c>
      <c r="CX272" t="s">
        <v>134</v>
      </c>
      <c r="CY272" t="s">
        <v>134</v>
      </c>
      <c r="CZ272" t="s">
        <v>134</v>
      </c>
      <c r="DA272" t="s">
        <v>134</v>
      </c>
      <c r="DB272" t="s">
        <v>134</v>
      </c>
      <c r="DC272" t="s">
        <v>134</v>
      </c>
      <c r="DD272" t="s">
        <v>134</v>
      </c>
      <c r="DE272" t="s">
        <v>134</v>
      </c>
      <c r="DF272" t="s">
        <v>134</v>
      </c>
      <c r="DG272" t="s">
        <v>134</v>
      </c>
      <c r="DH272" t="s">
        <v>134</v>
      </c>
      <c r="DI272" t="s">
        <v>134</v>
      </c>
    </row>
    <row r="273" spans="1:113" x14ac:dyDescent="0.3">
      <c r="D273" t="s">
        <v>85</v>
      </c>
      <c r="E273" t="s">
        <v>77</v>
      </c>
      <c r="F273">
        <v>22.209399999999999</v>
      </c>
      <c r="G273">
        <v>18.0379</v>
      </c>
      <c r="H273">
        <v>22.046299999999999</v>
      </c>
      <c r="I273">
        <v>16.3248</v>
      </c>
      <c r="J273">
        <v>19.358599999999999</v>
      </c>
      <c r="K273">
        <v>18.084199999999999</v>
      </c>
      <c r="L273">
        <v>10.6632</v>
      </c>
      <c r="M273">
        <v>24.021599999999999</v>
      </c>
      <c r="N273">
        <v>17.080500000000001</v>
      </c>
      <c r="O273">
        <v>17.0806</v>
      </c>
      <c r="P273">
        <v>17.0806</v>
      </c>
      <c r="Q273">
        <v>28.895199999999999</v>
      </c>
      <c r="R273">
        <v>37.723100000000002</v>
      </c>
      <c r="S273">
        <v>13.831300000000001</v>
      </c>
      <c r="T273">
        <v>15.565</v>
      </c>
      <c r="U273">
        <v>8.1967999999999996</v>
      </c>
      <c r="V273">
        <v>8.6266999999999996</v>
      </c>
      <c r="W273">
        <v>3.4186000000000001</v>
      </c>
      <c r="X273">
        <v>3.4043000000000001</v>
      </c>
      <c r="Y273">
        <v>9.0908999999999995</v>
      </c>
      <c r="Z273">
        <v>56.497</v>
      </c>
      <c r="AA273">
        <v>1.9495</v>
      </c>
      <c r="AB273">
        <v>-4.0266999999999999</v>
      </c>
      <c r="AC273">
        <v>16.191199999999998</v>
      </c>
      <c r="AD273">
        <v>-82.203100000000006</v>
      </c>
      <c r="AE273">
        <v>-17.843900000000001</v>
      </c>
      <c r="AF273">
        <v>45.1006</v>
      </c>
      <c r="AG273" t="s">
        <v>134</v>
      </c>
      <c r="AH273" t="s">
        <v>134</v>
      </c>
      <c r="AI273">
        <v>14.3849</v>
      </c>
      <c r="AJ273">
        <v>14.3849</v>
      </c>
      <c r="AK273">
        <v>16.269200000000001</v>
      </c>
      <c r="AL273">
        <v>32.043500000000002</v>
      </c>
      <c r="AM273">
        <v>4.8056000000000001</v>
      </c>
      <c r="AN273">
        <v>5.5747</v>
      </c>
      <c r="AO273">
        <v>5.1157000000000004</v>
      </c>
      <c r="AP273">
        <v>6.1346999999999996</v>
      </c>
      <c r="AQ273">
        <v>6.1348000000000003</v>
      </c>
      <c r="AR273">
        <v>5.9223999999999997</v>
      </c>
      <c r="AS273">
        <v>15.230600000000001</v>
      </c>
      <c r="AT273">
        <v>2.8909000000000002</v>
      </c>
      <c r="AU273">
        <v>-2.032</v>
      </c>
      <c r="AV273">
        <v>14.6785</v>
      </c>
      <c r="AW273" t="s">
        <v>134</v>
      </c>
      <c r="AX273">
        <v>20.585699999999999</v>
      </c>
      <c r="AY273">
        <v>10.36</v>
      </c>
      <c r="AZ273">
        <v>-100</v>
      </c>
      <c r="BA273">
        <v>-100</v>
      </c>
      <c r="BB273">
        <v>20.422999999999998</v>
      </c>
      <c r="BC273">
        <v>20.342099999999999</v>
      </c>
      <c r="BD273">
        <v>20.422999999999998</v>
      </c>
      <c r="BE273">
        <v>11.7942</v>
      </c>
      <c r="BF273">
        <v>15.565</v>
      </c>
      <c r="BG273">
        <v>8.1967999999999996</v>
      </c>
      <c r="BH273">
        <v>8.6266999999999996</v>
      </c>
      <c r="BI273">
        <v>3.4186000000000001</v>
      </c>
      <c r="BJ273">
        <v>3.4043000000000001</v>
      </c>
      <c r="BK273">
        <v>9.0908999999999995</v>
      </c>
      <c r="BL273">
        <v>56.497</v>
      </c>
      <c r="BM273">
        <v>1.9495</v>
      </c>
      <c r="BN273">
        <v>-4.0266999999999999</v>
      </c>
      <c r="BO273">
        <v>16.191199999999998</v>
      </c>
      <c r="BP273" t="s">
        <v>134</v>
      </c>
      <c r="BQ273">
        <v>-17.843900000000001</v>
      </c>
      <c r="BR273">
        <v>45.1006</v>
      </c>
      <c r="BS273" t="s">
        <v>134</v>
      </c>
      <c r="BT273" t="s">
        <v>134</v>
      </c>
      <c r="BU273">
        <v>14.3849</v>
      </c>
      <c r="BV273">
        <v>14.3849</v>
      </c>
      <c r="BW273">
        <v>16.269200000000001</v>
      </c>
      <c r="BX273">
        <v>32.043500000000002</v>
      </c>
      <c r="BY273">
        <v>0</v>
      </c>
      <c r="BZ273">
        <v>0</v>
      </c>
      <c r="CA273">
        <v>0</v>
      </c>
      <c r="CB273">
        <v>0</v>
      </c>
      <c r="CC273">
        <v>-1.3714999999999999</v>
      </c>
      <c r="CD273">
        <v>0</v>
      </c>
      <c r="CE273">
        <v>-1.4681999999999999</v>
      </c>
      <c r="CF273">
        <v>3650.1069000000002</v>
      </c>
      <c r="CG273">
        <v>81.242800000000003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-32.107599999999998</v>
      </c>
      <c r="CO273">
        <v>-47.292000000000002</v>
      </c>
      <c r="CP273">
        <v>47816.4</v>
      </c>
      <c r="CQ273">
        <v>45990.1</v>
      </c>
      <c r="CR273">
        <v>44668.4</v>
      </c>
      <c r="CS273">
        <v>1.5951</v>
      </c>
      <c r="CT273">
        <v>2.25</v>
      </c>
      <c r="CU273">
        <v>1.958</v>
      </c>
      <c r="CV273">
        <v>12.721500000000001</v>
      </c>
      <c r="CW273">
        <v>20.203399999999998</v>
      </c>
      <c r="CX273">
        <v>18.066199999999998</v>
      </c>
      <c r="CY273">
        <v>23.6586</v>
      </c>
      <c r="CZ273">
        <v>15.4278</v>
      </c>
      <c r="DA273">
        <v>6.3552</v>
      </c>
      <c r="DB273">
        <v>57.433</v>
      </c>
      <c r="DC273">
        <v>-23.9389</v>
      </c>
      <c r="DD273">
        <v>33.494100000000003</v>
      </c>
      <c r="DE273">
        <v>7425.8</v>
      </c>
      <c r="DF273">
        <v>2590.1</v>
      </c>
      <c r="DG273">
        <v>268.89999999999998</v>
      </c>
      <c r="DH273">
        <v>4340.6000000000004</v>
      </c>
      <c r="DI273">
        <v>226.2</v>
      </c>
    </row>
    <row r="274" spans="1:113" x14ac:dyDescent="0.3">
      <c r="E274" t="s">
        <v>78</v>
      </c>
      <c r="F274" t="s">
        <v>134</v>
      </c>
      <c r="G274" t="s">
        <v>134</v>
      </c>
      <c r="H274" t="s">
        <v>134</v>
      </c>
      <c r="I274" t="s">
        <v>134</v>
      </c>
      <c r="J274">
        <v>17.6022</v>
      </c>
      <c r="K274">
        <v>16.189800000000002</v>
      </c>
      <c r="L274">
        <v>-74.838999999999999</v>
      </c>
      <c r="M274">
        <v>22.5383</v>
      </c>
      <c r="N274">
        <v>15.7034</v>
      </c>
      <c r="O274">
        <v>15.703200000000001</v>
      </c>
      <c r="P274">
        <v>15.703200000000001</v>
      </c>
      <c r="Q274">
        <v>30.326000000000001</v>
      </c>
      <c r="R274" t="s">
        <v>134</v>
      </c>
      <c r="S274" t="s">
        <v>134</v>
      </c>
      <c r="T274">
        <v>-5.5838000000000001</v>
      </c>
      <c r="U274">
        <v>-20.242699999999999</v>
      </c>
      <c r="V274">
        <v>-21.469100000000001</v>
      </c>
      <c r="W274">
        <v>-19.521000000000001</v>
      </c>
      <c r="X274">
        <v>-19.4986</v>
      </c>
      <c r="Y274" t="s">
        <v>134</v>
      </c>
      <c r="Z274" t="s">
        <v>134</v>
      </c>
      <c r="AA274" t="s">
        <v>134</v>
      </c>
      <c r="AB274" t="s">
        <v>134</v>
      </c>
      <c r="AC274" t="s">
        <v>134</v>
      </c>
      <c r="AD274" t="s">
        <v>134</v>
      </c>
      <c r="AE274" t="s">
        <v>134</v>
      </c>
      <c r="AF274" t="s">
        <v>134</v>
      </c>
      <c r="AG274" t="s">
        <v>134</v>
      </c>
      <c r="AH274" t="s">
        <v>134</v>
      </c>
      <c r="AI274" t="s">
        <v>134</v>
      </c>
      <c r="AJ274" t="s">
        <v>134</v>
      </c>
      <c r="AK274" t="s">
        <v>134</v>
      </c>
      <c r="AL274" t="s">
        <v>134</v>
      </c>
      <c r="AM274" t="s">
        <v>134</v>
      </c>
      <c r="AN274" t="s">
        <v>134</v>
      </c>
      <c r="AO274" t="s">
        <v>134</v>
      </c>
      <c r="AP274" t="s">
        <v>134</v>
      </c>
      <c r="AQ274" t="s">
        <v>134</v>
      </c>
      <c r="AR274" t="s">
        <v>134</v>
      </c>
      <c r="AS274" t="s">
        <v>134</v>
      </c>
      <c r="AT274" t="s">
        <v>134</v>
      </c>
      <c r="AU274" t="s">
        <v>134</v>
      </c>
      <c r="AV274" t="s">
        <v>134</v>
      </c>
      <c r="AW274" t="s">
        <v>134</v>
      </c>
      <c r="AX274" t="s">
        <v>134</v>
      </c>
      <c r="AY274" t="s">
        <v>134</v>
      </c>
      <c r="AZ274" t="s">
        <v>134</v>
      </c>
      <c r="BA274" t="s">
        <v>134</v>
      </c>
      <c r="BB274" t="s">
        <v>134</v>
      </c>
      <c r="BC274" t="s">
        <v>134</v>
      </c>
      <c r="BD274" t="s">
        <v>134</v>
      </c>
      <c r="BE274" t="s">
        <v>134</v>
      </c>
      <c r="BF274">
        <v>10.893800000000001</v>
      </c>
      <c r="BG274">
        <v>3.6455000000000002</v>
      </c>
      <c r="BH274">
        <v>4.0313999999999997</v>
      </c>
      <c r="BI274">
        <v>-2.9584999999999999</v>
      </c>
      <c r="BJ274">
        <v>-3.0200999999999998</v>
      </c>
      <c r="BK274" t="s">
        <v>134</v>
      </c>
      <c r="BL274" t="s">
        <v>134</v>
      </c>
      <c r="BM274" t="s">
        <v>134</v>
      </c>
      <c r="BN274" t="s">
        <v>134</v>
      </c>
      <c r="BO274" t="s">
        <v>134</v>
      </c>
      <c r="BP274" t="s">
        <v>134</v>
      </c>
      <c r="BQ274" t="s">
        <v>134</v>
      </c>
      <c r="BR274" t="s">
        <v>134</v>
      </c>
      <c r="BS274" t="s">
        <v>134</v>
      </c>
      <c r="BT274" t="s">
        <v>134</v>
      </c>
      <c r="BU274" t="s">
        <v>134</v>
      </c>
      <c r="BV274" t="s">
        <v>134</v>
      </c>
      <c r="BW274" t="s">
        <v>134</v>
      </c>
      <c r="BX274" t="s">
        <v>134</v>
      </c>
      <c r="BY274" t="s">
        <v>134</v>
      </c>
      <c r="BZ274" t="s">
        <v>134</v>
      </c>
      <c r="CA274" t="s">
        <v>134</v>
      </c>
      <c r="CB274" t="s">
        <v>134</v>
      </c>
      <c r="CC274" t="s">
        <v>134</v>
      </c>
      <c r="CD274" t="s">
        <v>134</v>
      </c>
      <c r="CE274" t="s">
        <v>134</v>
      </c>
      <c r="CF274">
        <v>3908.0417000000002</v>
      </c>
      <c r="CG274" t="s">
        <v>134</v>
      </c>
      <c r="CH274" t="s">
        <v>134</v>
      </c>
      <c r="CI274" t="s">
        <v>134</v>
      </c>
      <c r="CJ274" t="s">
        <v>134</v>
      </c>
      <c r="CK274" t="s">
        <v>134</v>
      </c>
      <c r="CL274" t="s">
        <v>134</v>
      </c>
      <c r="CM274" t="s">
        <v>134</v>
      </c>
      <c r="CN274" t="s">
        <v>134</v>
      </c>
      <c r="CO274" t="s">
        <v>134</v>
      </c>
      <c r="CP274">
        <v>9379.2999999999993</v>
      </c>
      <c r="CQ274" t="s">
        <v>134</v>
      </c>
      <c r="CR274">
        <v>8626.7000000000007</v>
      </c>
      <c r="CS274" t="s">
        <v>134</v>
      </c>
      <c r="CT274" t="s">
        <v>134</v>
      </c>
      <c r="CU274" t="s">
        <v>134</v>
      </c>
      <c r="CV274" t="s">
        <v>134</v>
      </c>
      <c r="CW274" t="s">
        <v>134</v>
      </c>
      <c r="CX274" t="s">
        <v>134</v>
      </c>
      <c r="CY274" t="s">
        <v>134</v>
      </c>
      <c r="CZ274" t="s">
        <v>134</v>
      </c>
      <c r="DA274" t="s">
        <v>134</v>
      </c>
      <c r="DB274" t="s">
        <v>134</v>
      </c>
      <c r="DC274" t="s">
        <v>134</v>
      </c>
      <c r="DD274" t="s">
        <v>134</v>
      </c>
      <c r="DE274" t="s">
        <v>134</v>
      </c>
      <c r="DF274" t="s">
        <v>134</v>
      </c>
      <c r="DG274" t="s">
        <v>134</v>
      </c>
      <c r="DH274" t="s">
        <v>134</v>
      </c>
      <c r="DI274" t="s">
        <v>134</v>
      </c>
    </row>
    <row r="275" spans="1:113" x14ac:dyDescent="0.3">
      <c r="E275" t="s">
        <v>79</v>
      </c>
      <c r="F275">
        <v>22.599900000000002</v>
      </c>
      <c r="G275">
        <v>17.825500000000002</v>
      </c>
      <c r="H275" t="s">
        <v>134</v>
      </c>
      <c r="I275">
        <v>16.291499999999999</v>
      </c>
      <c r="J275">
        <v>20.038799999999998</v>
      </c>
      <c r="K275">
        <v>18.850100000000001</v>
      </c>
      <c r="L275">
        <v>0.56899999999999995</v>
      </c>
      <c r="M275">
        <v>24.697500000000002</v>
      </c>
      <c r="N275">
        <v>18.4343</v>
      </c>
      <c r="O275">
        <v>18.4343</v>
      </c>
      <c r="P275">
        <v>18.4343</v>
      </c>
      <c r="Q275">
        <v>25.3597</v>
      </c>
      <c r="R275" t="s">
        <v>134</v>
      </c>
      <c r="S275" t="s">
        <v>134</v>
      </c>
      <c r="T275">
        <v>8.8323</v>
      </c>
      <c r="U275">
        <v>0.23250000000000001</v>
      </c>
      <c r="V275">
        <v>0.24560000000000001</v>
      </c>
      <c r="W275">
        <v>-0.59460000000000002</v>
      </c>
      <c r="X275">
        <v>-0.60829999999999995</v>
      </c>
      <c r="Y275" t="s">
        <v>134</v>
      </c>
      <c r="Z275">
        <v>20.537099999999999</v>
      </c>
      <c r="AA275">
        <v>-19.282399999999999</v>
      </c>
      <c r="AB275">
        <v>-4.6054000000000004</v>
      </c>
      <c r="AC275">
        <v>12.4419</v>
      </c>
      <c r="AD275">
        <v>-53.7883</v>
      </c>
      <c r="AE275">
        <v>118.2137</v>
      </c>
      <c r="AF275">
        <v>20.624500000000001</v>
      </c>
      <c r="AG275" t="s">
        <v>134</v>
      </c>
      <c r="AH275" t="s">
        <v>134</v>
      </c>
      <c r="AI275">
        <v>13.039400000000001</v>
      </c>
      <c r="AJ275">
        <v>13.016</v>
      </c>
      <c r="AK275">
        <v>13.039400000000001</v>
      </c>
      <c r="AL275" t="s">
        <v>134</v>
      </c>
      <c r="AM275" t="s">
        <v>134</v>
      </c>
      <c r="AN275" t="s">
        <v>134</v>
      </c>
      <c r="AO275" t="s">
        <v>134</v>
      </c>
      <c r="AP275" t="s">
        <v>134</v>
      </c>
      <c r="AQ275" t="s">
        <v>134</v>
      </c>
      <c r="AR275" t="s">
        <v>134</v>
      </c>
      <c r="AS275" t="s">
        <v>134</v>
      </c>
      <c r="AT275" t="s">
        <v>134</v>
      </c>
      <c r="AU275" t="s">
        <v>134</v>
      </c>
      <c r="AV275" t="s">
        <v>134</v>
      </c>
      <c r="AW275" t="s">
        <v>134</v>
      </c>
      <c r="AX275" t="s">
        <v>134</v>
      </c>
      <c r="AY275" t="s">
        <v>134</v>
      </c>
      <c r="AZ275" t="s">
        <v>134</v>
      </c>
      <c r="BA275" t="s">
        <v>134</v>
      </c>
      <c r="BB275" t="s">
        <v>134</v>
      </c>
      <c r="BC275" t="s">
        <v>134</v>
      </c>
      <c r="BD275" t="s">
        <v>134</v>
      </c>
      <c r="BE275" t="s">
        <v>134</v>
      </c>
      <c r="BF275">
        <v>21.512699999999999</v>
      </c>
      <c r="BG275">
        <v>38.333399999999997</v>
      </c>
      <c r="BH275">
        <v>41.479399999999998</v>
      </c>
      <c r="BI275">
        <v>42.646500000000003</v>
      </c>
      <c r="BJ275">
        <v>42.725000000000001</v>
      </c>
      <c r="BK275" t="s">
        <v>134</v>
      </c>
      <c r="BL275" t="s">
        <v>134</v>
      </c>
      <c r="BM275" t="s">
        <v>134</v>
      </c>
      <c r="BN275" t="s">
        <v>134</v>
      </c>
      <c r="BO275" t="s">
        <v>134</v>
      </c>
      <c r="BP275" t="s">
        <v>134</v>
      </c>
      <c r="BQ275" t="s">
        <v>134</v>
      </c>
      <c r="BR275" t="s">
        <v>134</v>
      </c>
      <c r="BS275" t="s">
        <v>134</v>
      </c>
      <c r="BT275" t="s">
        <v>134</v>
      </c>
      <c r="BU275" t="s">
        <v>134</v>
      </c>
      <c r="BV275" t="s">
        <v>134</v>
      </c>
      <c r="BW275" t="s">
        <v>134</v>
      </c>
      <c r="BX275" t="s">
        <v>134</v>
      </c>
      <c r="BY275">
        <v>0</v>
      </c>
      <c r="BZ275">
        <v>0</v>
      </c>
      <c r="CA275">
        <v>0</v>
      </c>
      <c r="CB275">
        <v>0</v>
      </c>
      <c r="CC275">
        <v>-2.4007000000000001</v>
      </c>
      <c r="CD275">
        <v>0</v>
      </c>
      <c r="CE275">
        <v>-2.5895000000000001</v>
      </c>
      <c r="CF275">
        <v>2760.5745000000002</v>
      </c>
      <c r="CG275">
        <v>79.070800000000006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-55.287799999999997</v>
      </c>
      <c r="CO275">
        <v>-123.6528</v>
      </c>
      <c r="CP275">
        <v>12974.7</v>
      </c>
      <c r="CQ275" t="s">
        <v>134</v>
      </c>
      <c r="CR275">
        <v>12205</v>
      </c>
      <c r="CS275">
        <v>2.3494999999999999</v>
      </c>
      <c r="CT275">
        <v>3.2092999999999998</v>
      </c>
      <c r="CU275">
        <v>2.6829000000000001</v>
      </c>
      <c r="CV275">
        <v>14.3125</v>
      </c>
      <c r="CW275">
        <v>16.5517</v>
      </c>
      <c r="CX275">
        <v>22.052099999999999</v>
      </c>
      <c r="CY275">
        <v>24.429300000000001</v>
      </c>
      <c r="CZ275">
        <v>14.9411</v>
      </c>
      <c r="DA275">
        <v>5.0110999999999999</v>
      </c>
      <c r="DB275">
        <v>72.838999999999999</v>
      </c>
      <c r="DC275">
        <v>-35.845799999999997</v>
      </c>
      <c r="DD275">
        <v>36.993200000000002</v>
      </c>
      <c r="DE275">
        <v>5453.2</v>
      </c>
      <c r="DF275" t="s">
        <v>134</v>
      </c>
      <c r="DG275" t="s">
        <v>134</v>
      </c>
      <c r="DH275" t="s">
        <v>134</v>
      </c>
      <c r="DI275" t="s">
        <v>134</v>
      </c>
    </row>
    <row r="276" spans="1:113" x14ac:dyDescent="0.3">
      <c r="E276" t="s">
        <v>80</v>
      </c>
      <c r="F276" t="s">
        <v>134</v>
      </c>
      <c r="G276" t="s">
        <v>134</v>
      </c>
      <c r="H276" t="s">
        <v>134</v>
      </c>
      <c r="I276" t="s">
        <v>134</v>
      </c>
      <c r="J276">
        <v>19.701599999999999</v>
      </c>
      <c r="K276">
        <v>18.506</v>
      </c>
      <c r="L276">
        <v>14.8811</v>
      </c>
      <c r="M276">
        <v>23.118600000000001</v>
      </c>
      <c r="N276">
        <v>16.22</v>
      </c>
      <c r="O276">
        <v>16.220300000000002</v>
      </c>
      <c r="P276">
        <v>16.220300000000002</v>
      </c>
      <c r="Q276">
        <v>29.8399</v>
      </c>
      <c r="R276" t="s">
        <v>134</v>
      </c>
      <c r="S276" t="s">
        <v>134</v>
      </c>
      <c r="T276">
        <v>25.5382</v>
      </c>
      <c r="U276">
        <v>17.8734</v>
      </c>
      <c r="V276">
        <v>19.557500000000001</v>
      </c>
      <c r="W276">
        <v>3.7202000000000002</v>
      </c>
      <c r="X276">
        <v>3.6829000000000001</v>
      </c>
      <c r="Y276" t="s">
        <v>134</v>
      </c>
      <c r="Z276" t="s">
        <v>134</v>
      </c>
      <c r="AA276" t="s">
        <v>134</v>
      </c>
      <c r="AB276" t="s">
        <v>134</v>
      </c>
      <c r="AC276" t="s">
        <v>134</v>
      </c>
      <c r="AD276" t="s">
        <v>134</v>
      </c>
      <c r="AE276" t="s">
        <v>134</v>
      </c>
      <c r="AF276" t="s">
        <v>134</v>
      </c>
      <c r="AG276" t="s">
        <v>134</v>
      </c>
      <c r="AH276" t="s">
        <v>134</v>
      </c>
      <c r="AI276" t="s">
        <v>134</v>
      </c>
      <c r="AJ276" t="s">
        <v>134</v>
      </c>
      <c r="AK276" t="s">
        <v>134</v>
      </c>
      <c r="AL276" t="s">
        <v>134</v>
      </c>
      <c r="AM276" t="s">
        <v>134</v>
      </c>
      <c r="AN276" t="s">
        <v>134</v>
      </c>
      <c r="AO276" t="s">
        <v>134</v>
      </c>
      <c r="AP276" t="s">
        <v>134</v>
      </c>
      <c r="AQ276" t="s">
        <v>134</v>
      </c>
      <c r="AR276" t="s">
        <v>134</v>
      </c>
      <c r="AS276" t="s">
        <v>134</v>
      </c>
      <c r="AT276" t="s">
        <v>134</v>
      </c>
      <c r="AU276" t="s">
        <v>134</v>
      </c>
      <c r="AV276" t="s">
        <v>134</v>
      </c>
      <c r="AW276" t="s">
        <v>134</v>
      </c>
      <c r="AX276" t="s">
        <v>134</v>
      </c>
      <c r="AY276" t="s">
        <v>134</v>
      </c>
      <c r="AZ276" t="s">
        <v>134</v>
      </c>
      <c r="BA276" t="s">
        <v>134</v>
      </c>
      <c r="BB276" t="s">
        <v>134</v>
      </c>
      <c r="BC276" t="s">
        <v>134</v>
      </c>
      <c r="BD276" t="s">
        <v>134</v>
      </c>
      <c r="BE276" t="s">
        <v>134</v>
      </c>
      <c r="BF276">
        <v>-3.5297999999999998</v>
      </c>
      <c r="BG276">
        <v>-5.1531000000000002</v>
      </c>
      <c r="BH276">
        <v>-5.2904999999999998</v>
      </c>
      <c r="BI276">
        <v>-15.1159</v>
      </c>
      <c r="BJ276">
        <v>-15.1465</v>
      </c>
      <c r="BK276" t="s">
        <v>134</v>
      </c>
      <c r="BL276" t="s">
        <v>134</v>
      </c>
      <c r="BM276" t="s">
        <v>134</v>
      </c>
      <c r="BN276" t="s">
        <v>134</v>
      </c>
      <c r="BO276" t="s">
        <v>134</v>
      </c>
      <c r="BP276" t="s">
        <v>134</v>
      </c>
      <c r="BQ276" t="s">
        <v>134</v>
      </c>
      <c r="BR276" t="s">
        <v>134</v>
      </c>
      <c r="BS276" t="s">
        <v>134</v>
      </c>
      <c r="BT276" t="s">
        <v>134</v>
      </c>
      <c r="BU276" t="s">
        <v>134</v>
      </c>
      <c r="BV276" t="s">
        <v>134</v>
      </c>
      <c r="BW276" t="s">
        <v>134</v>
      </c>
      <c r="BX276" t="s">
        <v>134</v>
      </c>
      <c r="BY276" t="s">
        <v>134</v>
      </c>
      <c r="BZ276" t="s">
        <v>134</v>
      </c>
      <c r="CA276" t="s">
        <v>134</v>
      </c>
      <c r="CB276" t="s">
        <v>134</v>
      </c>
      <c r="CC276" t="s">
        <v>134</v>
      </c>
      <c r="CD276" t="s">
        <v>134</v>
      </c>
      <c r="CE276" t="s">
        <v>134</v>
      </c>
      <c r="CF276">
        <v>4102.0333000000001</v>
      </c>
      <c r="CG276" t="s">
        <v>134</v>
      </c>
      <c r="CH276" t="s">
        <v>134</v>
      </c>
      <c r="CI276" t="s">
        <v>134</v>
      </c>
      <c r="CJ276" t="s">
        <v>134</v>
      </c>
      <c r="CK276" t="s">
        <v>134</v>
      </c>
      <c r="CL276" t="s">
        <v>134</v>
      </c>
      <c r="CM276" t="s">
        <v>134</v>
      </c>
      <c r="CN276" t="s">
        <v>134</v>
      </c>
      <c r="CO276" t="s">
        <v>134</v>
      </c>
      <c r="CP276">
        <v>12306.1</v>
      </c>
      <c r="CQ276" t="s">
        <v>134</v>
      </c>
      <c r="CR276">
        <v>11559.3</v>
      </c>
      <c r="CS276" t="s">
        <v>134</v>
      </c>
      <c r="CT276" t="s">
        <v>134</v>
      </c>
      <c r="CU276" t="s">
        <v>134</v>
      </c>
      <c r="CV276" t="s">
        <v>134</v>
      </c>
      <c r="CW276" t="s">
        <v>134</v>
      </c>
      <c r="CX276" t="s">
        <v>134</v>
      </c>
      <c r="CY276" t="s">
        <v>134</v>
      </c>
      <c r="CZ276" t="s">
        <v>134</v>
      </c>
      <c r="DA276" t="s">
        <v>134</v>
      </c>
      <c r="DB276" t="s">
        <v>134</v>
      </c>
      <c r="DC276" t="s">
        <v>134</v>
      </c>
      <c r="DD276" t="s">
        <v>134</v>
      </c>
      <c r="DE276" t="s">
        <v>134</v>
      </c>
      <c r="DF276" t="s">
        <v>134</v>
      </c>
      <c r="DG276" t="s">
        <v>134</v>
      </c>
      <c r="DH276" t="s">
        <v>134</v>
      </c>
      <c r="DI276" t="s">
        <v>134</v>
      </c>
    </row>
    <row r="277" spans="1:113" x14ac:dyDescent="0.3">
      <c r="E277" t="s">
        <v>81</v>
      </c>
      <c r="F277">
        <v>22.041499999999999</v>
      </c>
      <c r="G277">
        <v>18.0379</v>
      </c>
      <c r="H277" t="s">
        <v>134</v>
      </c>
      <c r="I277">
        <v>16.287600000000001</v>
      </c>
      <c r="J277">
        <v>19.667100000000001</v>
      </c>
      <c r="K277">
        <v>18.345600000000001</v>
      </c>
      <c r="L277">
        <v>21.177499999999998</v>
      </c>
      <c r="M277">
        <v>25.400099999999998</v>
      </c>
      <c r="N277">
        <v>17.674099999999999</v>
      </c>
      <c r="O277">
        <v>17.674099999999999</v>
      </c>
      <c r="P277">
        <v>17.674099999999999</v>
      </c>
      <c r="Q277">
        <v>30.417200000000001</v>
      </c>
      <c r="R277" t="s">
        <v>134</v>
      </c>
      <c r="S277" t="s">
        <v>134</v>
      </c>
      <c r="T277">
        <v>38.413499999999999</v>
      </c>
      <c r="U277">
        <v>44.542200000000001</v>
      </c>
      <c r="V277">
        <v>47.138300000000001</v>
      </c>
      <c r="W277">
        <v>36.325899999999997</v>
      </c>
      <c r="X277">
        <v>36.314399999999999</v>
      </c>
      <c r="Y277" t="s">
        <v>134</v>
      </c>
      <c r="Z277">
        <v>56.497</v>
      </c>
      <c r="AA277">
        <v>1.9495</v>
      </c>
      <c r="AB277">
        <v>-4.0266999999999999</v>
      </c>
      <c r="AC277">
        <v>16.191199999999998</v>
      </c>
      <c r="AD277">
        <v>-82.203100000000006</v>
      </c>
      <c r="AE277">
        <v>-17.843900000000001</v>
      </c>
      <c r="AF277">
        <v>45.1006</v>
      </c>
      <c r="AG277" t="s">
        <v>134</v>
      </c>
      <c r="AH277" t="s">
        <v>134</v>
      </c>
      <c r="AI277">
        <v>14.3849</v>
      </c>
      <c r="AJ277">
        <v>14.3849</v>
      </c>
      <c r="AK277">
        <v>14.386200000000001</v>
      </c>
      <c r="AL277" t="s">
        <v>134</v>
      </c>
      <c r="AM277" t="s">
        <v>134</v>
      </c>
      <c r="AN277" t="s">
        <v>134</v>
      </c>
      <c r="AO277" t="s">
        <v>134</v>
      </c>
      <c r="AP277" t="s">
        <v>134</v>
      </c>
      <c r="AQ277" t="s">
        <v>134</v>
      </c>
      <c r="AR277" t="s">
        <v>134</v>
      </c>
      <c r="AS277" t="s">
        <v>134</v>
      </c>
      <c r="AT277" t="s">
        <v>134</v>
      </c>
      <c r="AU277" t="s">
        <v>134</v>
      </c>
      <c r="AV277" t="s">
        <v>134</v>
      </c>
      <c r="AW277" t="s">
        <v>134</v>
      </c>
      <c r="AX277" t="s">
        <v>134</v>
      </c>
      <c r="AY277" t="s">
        <v>134</v>
      </c>
      <c r="AZ277" t="s">
        <v>134</v>
      </c>
      <c r="BA277" t="s">
        <v>134</v>
      </c>
      <c r="BB277" t="s">
        <v>134</v>
      </c>
      <c r="BC277" t="s">
        <v>134</v>
      </c>
      <c r="BD277" t="s">
        <v>134</v>
      </c>
      <c r="BE277" t="s">
        <v>134</v>
      </c>
      <c r="BF277">
        <v>6.4771999999999998</v>
      </c>
      <c r="BG277">
        <v>6.2904</v>
      </c>
      <c r="BH277">
        <v>5.5540000000000003</v>
      </c>
      <c r="BI277">
        <v>16.020199999999999</v>
      </c>
      <c r="BJ277">
        <v>16.062000000000001</v>
      </c>
      <c r="BK277" t="s">
        <v>134</v>
      </c>
      <c r="BL277" t="s">
        <v>134</v>
      </c>
      <c r="BM277" t="s">
        <v>134</v>
      </c>
      <c r="BN277" t="s">
        <v>134</v>
      </c>
      <c r="BO277" t="s">
        <v>134</v>
      </c>
      <c r="BP277" t="s">
        <v>134</v>
      </c>
      <c r="BQ277" t="s">
        <v>134</v>
      </c>
      <c r="BR277" t="s">
        <v>134</v>
      </c>
      <c r="BS277" t="s">
        <v>134</v>
      </c>
      <c r="BT277" t="s">
        <v>134</v>
      </c>
      <c r="BU277" t="s">
        <v>134</v>
      </c>
      <c r="BV277" t="s">
        <v>134</v>
      </c>
      <c r="BW277" t="s">
        <v>134</v>
      </c>
      <c r="BX277" t="s">
        <v>134</v>
      </c>
      <c r="BY277">
        <v>0</v>
      </c>
      <c r="BZ277">
        <v>0</v>
      </c>
      <c r="CA277">
        <v>0</v>
      </c>
      <c r="CB277">
        <v>0</v>
      </c>
      <c r="CC277">
        <v>-1.3736999999999999</v>
      </c>
      <c r="CD277">
        <v>0</v>
      </c>
      <c r="CE277">
        <v>-1.4706999999999999</v>
      </c>
      <c r="CF277">
        <v>4360.0667000000003</v>
      </c>
      <c r="CG277">
        <v>81.242800000000003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-32.107599999999998</v>
      </c>
      <c r="CO277">
        <v>-47.292000000000002</v>
      </c>
      <c r="CP277">
        <v>13080.2</v>
      </c>
      <c r="CQ277" t="s">
        <v>134</v>
      </c>
      <c r="CR277">
        <v>12201.3</v>
      </c>
      <c r="CS277">
        <v>1.5951</v>
      </c>
      <c r="CT277">
        <v>2.25</v>
      </c>
      <c r="CU277">
        <v>1.958</v>
      </c>
      <c r="CV277">
        <v>12.721500000000001</v>
      </c>
      <c r="CW277">
        <v>20.203399999999998</v>
      </c>
      <c r="CX277">
        <v>18.066199999999998</v>
      </c>
      <c r="CY277">
        <v>23.6586</v>
      </c>
      <c r="CZ277">
        <v>15.4278</v>
      </c>
      <c r="DA277">
        <v>6.3552</v>
      </c>
      <c r="DB277">
        <v>57.433</v>
      </c>
      <c r="DC277">
        <v>-23.9389</v>
      </c>
      <c r="DD277">
        <v>33.494100000000003</v>
      </c>
      <c r="DE277">
        <v>7425.8</v>
      </c>
      <c r="DF277">
        <v>2590.1</v>
      </c>
      <c r="DG277">
        <v>268.89999999999998</v>
      </c>
      <c r="DH277">
        <v>4340.6000000000004</v>
      </c>
      <c r="DI277">
        <v>226.2</v>
      </c>
    </row>
    <row r="278" spans="1:113" x14ac:dyDescent="0.3">
      <c r="A278">
        <v>12</v>
      </c>
      <c r="B278" t="s">
        <v>106</v>
      </c>
      <c r="C278" t="s">
        <v>107</v>
      </c>
      <c r="D278" t="s">
        <v>76</v>
      </c>
      <c r="E278" t="s">
        <v>77</v>
      </c>
      <c r="F278" t="s">
        <v>134</v>
      </c>
      <c r="G278" t="s">
        <v>134</v>
      </c>
      <c r="H278" t="s">
        <v>134</v>
      </c>
      <c r="I278" t="s">
        <v>134</v>
      </c>
      <c r="J278" t="s">
        <v>134</v>
      </c>
      <c r="K278" t="s">
        <v>134</v>
      </c>
      <c r="L278" t="s">
        <v>134</v>
      </c>
      <c r="M278" t="s">
        <v>134</v>
      </c>
      <c r="N278" t="s">
        <v>134</v>
      </c>
      <c r="O278" t="s">
        <v>134</v>
      </c>
      <c r="P278" t="s">
        <v>134</v>
      </c>
      <c r="Q278" t="s">
        <v>134</v>
      </c>
      <c r="R278" t="s">
        <v>134</v>
      </c>
      <c r="S278" t="s">
        <v>134</v>
      </c>
      <c r="T278" t="s">
        <v>134</v>
      </c>
      <c r="U278" t="s">
        <v>134</v>
      </c>
      <c r="V278" t="s">
        <v>134</v>
      </c>
      <c r="W278" t="s">
        <v>134</v>
      </c>
      <c r="X278" t="s">
        <v>134</v>
      </c>
      <c r="Y278" t="s">
        <v>134</v>
      </c>
      <c r="Z278" t="s">
        <v>134</v>
      </c>
      <c r="AA278" t="s">
        <v>134</v>
      </c>
      <c r="AB278" t="s">
        <v>134</v>
      </c>
      <c r="AC278" t="s">
        <v>134</v>
      </c>
      <c r="AD278" t="s">
        <v>134</v>
      </c>
      <c r="AE278" t="s">
        <v>134</v>
      </c>
      <c r="AF278" t="s">
        <v>134</v>
      </c>
      <c r="AG278" t="s">
        <v>134</v>
      </c>
      <c r="AH278" t="s">
        <v>134</v>
      </c>
      <c r="AI278" t="s">
        <v>134</v>
      </c>
      <c r="AJ278" t="s">
        <v>134</v>
      </c>
      <c r="AK278" t="s">
        <v>134</v>
      </c>
      <c r="AL278" t="s">
        <v>134</v>
      </c>
      <c r="AM278" t="s">
        <v>134</v>
      </c>
      <c r="AN278" t="s">
        <v>134</v>
      </c>
      <c r="AO278" t="s">
        <v>134</v>
      </c>
      <c r="AP278" t="s">
        <v>134</v>
      </c>
      <c r="AQ278" t="s">
        <v>134</v>
      </c>
      <c r="AR278" t="s">
        <v>134</v>
      </c>
      <c r="AS278" t="s">
        <v>134</v>
      </c>
      <c r="AT278" t="s">
        <v>134</v>
      </c>
      <c r="AU278" t="s">
        <v>134</v>
      </c>
      <c r="AV278" t="s">
        <v>134</v>
      </c>
      <c r="AW278" t="s">
        <v>134</v>
      </c>
      <c r="AX278" t="s">
        <v>134</v>
      </c>
      <c r="AY278" t="s">
        <v>134</v>
      </c>
      <c r="AZ278" t="s">
        <v>134</v>
      </c>
      <c r="BA278" t="s">
        <v>134</v>
      </c>
      <c r="BB278" t="s">
        <v>134</v>
      </c>
      <c r="BC278" t="s">
        <v>134</v>
      </c>
      <c r="BD278" t="s">
        <v>134</v>
      </c>
      <c r="BE278" t="s">
        <v>134</v>
      </c>
      <c r="BF278" t="s">
        <v>134</v>
      </c>
      <c r="BG278" t="s">
        <v>134</v>
      </c>
      <c r="BH278" t="s">
        <v>134</v>
      </c>
      <c r="BI278" t="s">
        <v>134</v>
      </c>
      <c r="BJ278" t="s">
        <v>134</v>
      </c>
      <c r="BK278" t="s">
        <v>134</v>
      </c>
      <c r="BL278" t="s">
        <v>134</v>
      </c>
      <c r="BM278" t="s">
        <v>134</v>
      </c>
      <c r="BN278" t="s">
        <v>134</v>
      </c>
      <c r="BO278" t="s">
        <v>134</v>
      </c>
      <c r="BP278" t="s">
        <v>134</v>
      </c>
      <c r="BQ278" t="s">
        <v>134</v>
      </c>
      <c r="BR278" t="s">
        <v>134</v>
      </c>
      <c r="BS278" t="s">
        <v>134</v>
      </c>
      <c r="BT278" t="s">
        <v>134</v>
      </c>
      <c r="BU278" t="s">
        <v>134</v>
      </c>
      <c r="BV278" t="s">
        <v>134</v>
      </c>
      <c r="BW278" t="s">
        <v>134</v>
      </c>
      <c r="BX278" t="s">
        <v>134</v>
      </c>
      <c r="BY278" t="s">
        <v>134</v>
      </c>
      <c r="BZ278" t="s">
        <v>134</v>
      </c>
      <c r="CA278" t="s">
        <v>134</v>
      </c>
      <c r="CB278" t="s">
        <v>134</v>
      </c>
      <c r="CC278" t="s">
        <v>134</v>
      </c>
      <c r="CD278" t="s">
        <v>134</v>
      </c>
      <c r="CE278" t="s">
        <v>134</v>
      </c>
      <c r="CF278" t="s">
        <v>134</v>
      </c>
      <c r="CG278" t="s">
        <v>134</v>
      </c>
      <c r="CH278" t="s">
        <v>134</v>
      </c>
      <c r="CI278" t="s">
        <v>134</v>
      </c>
      <c r="CJ278" t="s">
        <v>134</v>
      </c>
      <c r="CK278" t="s">
        <v>134</v>
      </c>
      <c r="CL278" t="s">
        <v>134</v>
      </c>
      <c r="CM278" t="s">
        <v>134</v>
      </c>
      <c r="CN278" t="s">
        <v>134</v>
      </c>
      <c r="CO278" t="s">
        <v>134</v>
      </c>
      <c r="CP278" t="s">
        <v>134</v>
      </c>
      <c r="CQ278" t="s">
        <v>134</v>
      </c>
      <c r="CR278" t="s">
        <v>134</v>
      </c>
      <c r="CS278" t="s">
        <v>134</v>
      </c>
      <c r="CT278" t="s">
        <v>134</v>
      </c>
      <c r="CU278" t="s">
        <v>134</v>
      </c>
      <c r="CV278" t="s">
        <v>134</v>
      </c>
      <c r="CW278" t="s">
        <v>134</v>
      </c>
      <c r="CX278" t="s">
        <v>134</v>
      </c>
      <c r="CY278" t="s">
        <v>134</v>
      </c>
      <c r="CZ278" t="s">
        <v>134</v>
      </c>
      <c r="DA278" t="s">
        <v>134</v>
      </c>
      <c r="DB278" t="s">
        <v>134</v>
      </c>
      <c r="DC278" t="s">
        <v>134</v>
      </c>
      <c r="DD278" t="s">
        <v>134</v>
      </c>
      <c r="DE278" t="s">
        <v>134</v>
      </c>
      <c r="DF278" t="s">
        <v>134</v>
      </c>
      <c r="DG278" t="s">
        <v>134</v>
      </c>
      <c r="DH278" t="s">
        <v>134</v>
      </c>
      <c r="DI278" t="s">
        <v>134</v>
      </c>
    </row>
    <row r="279" spans="1:113" x14ac:dyDescent="0.3">
      <c r="E279" t="s">
        <v>78</v>
      </c>
      <c r="F279" t="s">
        <v>134</v>
      </c>
      <c r="G279" t="s">
        <v>134</v>
      </c>
      <c r="H279" t="s">
        <v>134</v>
      </c>
      <c r="I279" t="s">
        <v>134</v>
      </c>
      <c r="J279" t="s">
        <v>134</v>
      </c>
      <c r="K279" t="s">
        <v>134</v>
      </c>
      <c r="L279" t="s">
        <v>134</v>
      </c>
      <c r="M279" t="s">
        <v>134</v>
      </c>
      <c r="N279" t="s">
        <v>134</v>
      </c>
      <c r="O279" t="s">
        <v>134</v>
      </c>
      <c r="P279" t="s">
        <v>134</v>
      </c>
      <c r="Q279" t="s">
        <v>134</v>
      </c>
      <c r="R279" t="s">
        <v>134</v>
      </c>
      <c r="S279" t="s">
        <v>134</v>
      </c>
      <c r="T279" t="s">
        <v>134</v>
      </c>
      <c r="U279" t="s">
        <v>134</v>
      </c>
      <c r="V279" t="s">
        <v>134</v>
      </c>
      <c r="W279" t="s">
        <v>134</v>
      </c>
      <c r="X279" t="s">
        <v>134</v>
      </c>
      <c r="Y279" t="s">
        <v>134</v>
      </c>
      <c r="Z279" t="s">
        <v>134</v>
      </c>
      <c r="AA279" t="s">
        <v>134</v>
      </c>
      <c r="AB279" t="s">
        <v>134</v>
      </c>
      <c r="AC279" t="s">
        <v>134</v>
      </c>
      <c r="AD279" t="s">
        <v>134</v>
      </c>
      <c r="AE279" t="s">
        <v>134</v>
      </c>
      <c r="AF279" t="s">
        <v>134</v>
      </c>
      <c r="AG279" t="s">
        <v>134</v>
      </c>
      <c r="AH279" t="s">
        <v>134</v>
      </c>
      <c r="AI279" t="s">
        <v>134</v>
      </c>
      <c r="AJ279" t="s">
        <v>134</v>
      </c>
      <c r="AK279" t="s">
        <v>134</v>
      </c>
      <c r="AL279" t="s">
        <v>134</v>
      </c>
      <c r="AM279" t="s">
        <v>134</v>
      </c>
      <c r="AN279" t="s">
        <v>134</v>
      </c>
      <c r="AO279" t="s">
        <v>134</v>
      </c>
      <c r="AP279" t="s">
        <v>134</v>
      </c>
      <c r="AQ279" t="s">
        <v>134</v>
      </c>
      <c r="AR279" t="s">
        <v>134</v>
      </c>
      <c r="AS279" t="s">
        <v>134</v>
      </c>
      <c r="AT279" t="s">
        <v>134</v>
      </c>
      <c r="AU279" t="s">
        <v>134</v>
      </c>
      <c r="AV279" t="s">
        <v>134</v>
      </c>
      <c r="AW279" t="s">
        <v>134</v>
      </c>
      <c r="AX279" t="s">
        <v>134</v>
      </c>
      <c r="AY279" t="s">
        <v>134</v>
      </c>
      <c r="AZ279" t="s">
        <v>134</v>
      </c>
      <c r="BA279" t="s">
        <v>134</v>
      </c>
      <c r="BB279" t="s">
        <v>134</v>
      </c>
      <c r="BC279" t="s">
        <v>134</v>
      </c>
      <c r="BD279" t="s">
        <v>134</v>
      </c>
      <c r="BE279" t="s">
        <v>134</v>
      </c>
      <c r="BF279" t="s">
        <v>134</v>
      </c>
      <c r="BG279" t="s">
        <v>134</v>
      </c>
      <c r="BH279" t="s">
        <v>134</v>
      </c>
      <c r="BI279" t="s">
        <v>134</v>
      </c>
      <c r="BJ279" t="s">
        <v>134</v>
      </c>
      <c r="BK279" t="s">
        <v>134</v>
      </c>
      <c r="BL279" t="s">
        <v>134</v>
      </c>
      <c r="BM279" t="s">
        <v>134</v>
      </c>
      <c r="BN279" t="s">
        <v>134</v>
      </c>
      <c r="BO279" t="s">
        <v>134</v>
      </c>
      <c r="BP279" t="s">
        <v>134</v>
      </c>
      <c r="BQ279" t="s">
        <v>134</v>
      </c>
      <c r="BR279" t="s">
        <v>134</v>
      </c>
      <c r="BS279" t="s">
        <v>134</v>
      </c>
      <c r="BT279" t="s">
        <v>134</v>
      </c>
      <c r="BU279" t="s">
        <v>134</v>
      </c>
      <c r="BV279" t="s">
        <v>134</v>
      </c>
      <c r="BW279" t="s">
        <v>134</v>
      </c>
      <c r="BX279" t="s">
        <v>134</v>
      </c>
      <c r="BY279" t="s">
        <v>134</v>
      </c>
      <c r="BZ279" t="s">
        <v>134</v>
      </c>
      <c r="CA279" t="s">
        <v>134</v>
      </c>
      <c r="CB279" t="s">
        <v>134</v>
      </c>
      <c r="CC279" t="s">
        <v>134</v>
      </c>
      <c r="CD279" t="s">
        <v>134</v>
      </c>
      <c r="CE279" t="s">
        <v>134</v>
      </c>
      <c r="CF279" t="s">
        <v>134</v>
      </c>
      <c r="CG279" t="s">
        <v>134</v>
      </c>
      <c r="CH279" t="s">
        <v>134</v>
      </c>
      <c r="CI279" t="s">
        <v>134</v>
      </c>
      <c r="CJ279" t="s">
        <v>134</v>
      </c>
      <c r="CK279" t="s">
        <v>134</v>
      </c>
      <c r="CL279" t="s">
        <v>134</v>
      </c>
      <c r="CM279" t="s">
        <v>134</v>
      </c>
      <c r="CN279" t="s">
        <v>134</v>
      </c>
      <c r="CO279" t="s">
        <v>134</v>
      </c>
      <c r="CP279" t="s">
        <v>134</v>
      </c>
      <c r="CQ279" t="s">
        <v>134</v>
      </c>
      <c r="CR279" t="s">
        <v>134</v>
      </c>
      <c r="CS279" t="s">
        <v>134</v>
      </c>
      <c r="CT279" t="s">
        <v>134</v>
      </c>
      <c r="CU279" t="s">
        <v>134</v>
      </c>
      <c r="CV279" t="s">
        <v>134</v>
      </c>
      <c r="CW279" t="s">
        <v>134</v>
      </c>
      <c r="CX279" t="s">
        <v>134</v>
      </c>
      <c r="CY279" t="s">
        <v>134</v>
      </c>
      <c r="CZ279" t="s">
        <v>134</v>
      </c>
      <c r="DA279" t="s">
        <v>134</v>
      </c>
      <c r="DB279" t="s">
        <v>134</v>
      </c>
      <c r="DC279" t="s">
        <v>134</v>
      </c>
      <c r="DD279" t="s">
        <v>134</v>
      </c>
      <c r="DE279" t="s">
        <v>134</v>
      </c>
      <c r="DF279" t="s">
        <v>134</v>
      </c>
      <c r="DG279" t="s">
        <v>134</v>
      </c>
      <c r="DH279" t="s">
        <v>134</v>
      </c>
      <c r="DI279" t="s">
        <v>134</v>
      </c>
    </row>
    <row r="280" spans="1:113" x14ac:dyDescent="0.3">
      <c r="E280" t="s">
        <v>79</v>
      </c>
      <c r="F280" t="s">
        <v>134</v>
      </c>
      <c r="G280" t="s">
        <v>134</v>
      </c>
      <c r="H280" t="s">
        <v>134</v>
      </c>
      <c r="I280" t="s">
        <v>134</v>
      </c>
      <c r="J280" t="s">
        <v>134</v>
      </c>
      <c r="K280" t="s">
        <v>134</v>
      </c>
      <c r="L280" t="s">
        <v>134</v>
      </c>
      <c r="M280" t="s">
        <v>134</v>
      </c>
      <c r="N280" t="s">
        <v>134</v>
      </c>
      <c r="O280" t="s">
        <v>134</v>
      </c>
      <c r="P280" t="s">
        <v>134</v>
      </c>
      <c r="Q280" t="s">
        <v>134</v>
      </c>
      <c r="R280" t="s">
        <v>134</v>
      </c>
      <c r="S280" t="s">
        <v>134</v>
      </c>
      <c r="T280" t="s">
        <v>134</v>
      </c>
      <c r="U280" t="s">
        <v>134</v>
      </c>
      <c r="V280" t="s">
        <v>134</v>
      </c>
      <c r="W280" t="s">
        <v>134</v>
      </c>
      <c r="X280" t="s">
        <v>134</v>
      </c>
      <c r="Y280" t="s">
        <v>134</v>
      </c>
      <c r="Z280" t="s">
        <v>134</v>
      </c>
      <c r="AA280" t="s">
        <v>134</v>
      </c>
      <c r="AB280" t="s">
        <v>134</v>
      </c>
      <c r="AC280" t="s">
        <v>134</v>
      </c>
      <c r="AD280" t="s">
        <v>134</v>
      </c>
      <c r="AE280" t="s">
        <v>134</v>
      </c>
      <c r="AF280" t="s">
        <v>134</v>
      </c>
      <c r="AG280" t="s">
        <v>134</v>
      </c>
      <c r="AH280" t="s">
        <v>134</v>
      </c>
      <c r="AI280" t="s">
        <v>134</v>
      </c>
      <c r="AJ280" t="s">
        <v>134</v>
      </c>
      <c r="AK280" t="s">
        <v>134</v>
      </c>
      <c r="AL280" t="s">
        <v>134</v>
      </c>
      <c r="AM280" t="s">
        <v>134</v>
      </c>
      <c r="AN280" t="s">
        <v>134</v>
      </c>
      <c r="AO280" t="s">
        <v>134</v>
      </c>
      <c r="AP280" t="s">
        <v>134</v>
      </c>
      <c r="AQ280" t="s">
        <v>134</v>
      </c>
      <c r="AR280" t="s">
        <v>134</v>
      </c>
      <c r="AS280" t="s">
        <v>134</v>
      </c>
      <c r="AT280" t="s">
        <v>134</v>
      </c>
      <c r="AU280" t="s">
        <v>134</v>
      </c>
      <c r="AV280" t="s">
        <v>134</v>
      </c>
      <c r="AW280" t="s">
        <v>134</v>
      </c>
      <c r="AX280" t="s">
        <v>134</v>
      </c>
      <c r="AY280" t="s">
        <v>134</v>
      </c>
      <c r="AZ280" t="s">
        <v>134</v>
      </c>
      <c r="BA280" t="s">
        <v>134</v>
      </c>
      <c r="BB280" t="s">
        <v>134</v>
      </c>
      <c r="BC280" t="s">
        <v>134</v>
      </c>
      <c r="BD280" t="s">
        <v>134</v>
      </c>
      <c r="BE280" t="s">
        <v>134</v>
      </c>
      <c r="BF280" t="s">
        <v>134</v>
      </c>
      <c r="BG280" t="s">
        <v>134</v>
      </c>
      <c r="BH280" t="s">
        <v>134</v>
      </c>
      <c r="BI280" t="s">
        <v>134</v>
      </c>
      <c r="BJ280" t="s">
        <v>134</v>
      </c>
      <c r="BK280" t="s">
        <v>134</v>
      </c>
      <c r="BL280" t="s">
        <v>134</v>
      </c>
      <c r="BM280" t="s">
        <v>134</v>
      </c>
      <c r="BN280" t="s">
        <v>134</v>
      </c>
      <c r="BO280" t="s">
        <v>134</v>
      </c>
      <c r="BP280" t="s">
        <v>134</v>
      </c>
      <c r="BQ280" t="s">
        <v>134</v>
      </c>
      <c r="BR280" t="s">
        <v>134</v>
      </c>
      <c r="BS280" t="s">
        <v>134</v>
      </c>
      <c r="BT280" t="s">
        <v>134</v>
      </c>
      <c r="BU280" t="s">
        <v>134</v>
      </c>
      <c r="BV280" t="s">
        <v>134</v>
      </c>
      <c r="BW280" t="s">
        <v>134</v>
      </c>
      <c r="BX280" t="s">
        <v>134</v>
      </c>
      <c r="BY280" t="s">
        <v>134</v>
      </c>
      <c r="BZ280" t="s">
        <v>134</v>
      </c>
      <c r="CA280" t="s">
        <v>134</v>
      </c>
      <c r="CB280" t="s">
        <v>134</v>
      </c>
      <c r="CC280" t="s">
        <v>134</v>
      </c>
      <c r="CD280" t="s">
        <v>134</v>
      </c>
      <c r="CE280" t="s">
        <v>134</v>
      </c>
      <c r="CF280" t="s">
        <v>134</v>
      </c>
      <c r="CG280" t="s">
        <v>134</v>
      </c>
      <c r="CH280" t="s">
        <v>134</v>
      </c>
      <c r="CI280" t="s">
        <v>134</v>
      </c>
      <c r="CJ280" t="s">
        <v>134</v>
      </c>
      <c r="CK280" t="s">
        <v>134</v>
      </c>
      <c r="CL280" t="s">
        <v>134</v>
      </c>
      <c r="CM280" t="s">
        <v>134</v>
      </c>
      <c r="CN280" t="s">
        <v>134</v>
      </c>
      <c r="CO280" t="s">
        <v>134</v>
      </c>
      <c r="CP280" t="s">
        <v>134</v>
      </c>
      <c r="CQ280" t="s">
        <v>134</v>
      </c>
      <c r="CR280" t="s">
        <v>134</v>
      </c>
      <c r="CS280" t="s">
        <v>134</v>
      </c>
      <c r="CT280" t="s">
        <v>134</v>
      </c>
      <c r="CU280" t="s">
        <v>134</v>
      </c>
      <c r="CV280" t="s">
        <v>134</v>
      </c>
      <c r="CW280" t="s">
        <v>134</v>
      </c>
      <c r="CX280" t="s">
        <v>134</v>
      </c>
      <c r="CY280" t="s">
        <v>134</v>
      </c>
      <c r="CZ280" t="s">
        <v>134</v>
      </c>
      <c r="DA280" t="s">
        <v>134</v>
      </c>
      <c r="DB280" t="s">
        <v>134</v>
      </c>
      <c r="DC280" t="s">
        <v>134</v>
      </c>
      <c r="DD280" t="s">
        <v>134</v>
      </c>
      <c r="DE280" t="s">
        <v>134</v>
      </c>
      <c r="DF280" t="s">
        <v>134</v>
      </c>
      <c r="DG280" t="s">
        <v>134</v>
      </c>
      <c r="DH280" t="s">
        <v>134</v>
      </c>
      <c r="DI280" t="s">
        <v>134</v>
      </c>
    </row>
    <row r="281" spans="1:113" x14ac:dyDescent="0.3">
      <c r="E281" t="s">
        <v>80</v>
      </c>
      <c r="F281" t="s">
        <v>134</v>
      </c>
      <c r="G281" t="s">
        <v>134</v>
      </c>
      <c r="H281" t="s">
        <v>134</v>
      </c>
      <c r="I281" t="s">
        <v>134</v>
      </c>
      <c r="J281" t="s">
        <v>134</v>
      </c>
      <c r="K281" t="s">
        <v>134</v>
      </c>
      <c r="L281" t="s">
        <v>134</v>
      </c>
      <c r="M281" t="s">
        <v>134</v>
      </c>
      <c r="N281" t="s">
        <v>134</v>
      </c>
      <c r="O281" t="s">
        <v>134</v>
      </c>
      <c r="P281" t="s">
        <v>134</v>
      </c>
      <c r="Q281" t="s">
        <v>134</v>
      </c>
      <c r="R281" t="s">
        <v>134</v>
      </c>
      <c r="S281" t="s">
        <v>134</v>
      </c>
      <c r="T281" t="s">
        <v>134</v>
      </c>
      <c r="U281" t="s">
        <v>134</v>
      </c>
      <c r="V281" t="s">
        <v>134</v>
      </c>
      <c r="W281" t="s">
        <v>134</v>
      </c>
      <c r="X281" t="s">
        <v>134</v>
      </c>
      <c r="Y281" t="s">
        <v>134</v>
      </c>
      <c r="Z281" t="s">
        <v>134</v>
      </c>
      <c r="AA281" t="s">
        <v>134</v>
      </c>
      <c r="AB281" t="s">
        <v>134</v>
      </c>
      <c r="AC281" t="s">
        <v>134</v>
      </c>
      <c r="AD281" t="s">
        <v>134</v>
      </c>
      <c r="AE281" t="s">
        <v>134</v>
      </c>
      <c r="AF281" t="s">
        <v>134</v>
      </c>
      <c r="AG281" t="s">
        <v>134</v>
      </c>
      <c r="AH281" t="s">
        <v>134</v>
      </c>
      <c r="AI281" t="s">
        <v>134</v>
      </c>
      <c r="AJ281" t="s">
        <v>134</v>
      </c>
      <c r="AK281" t="s">
        <v>134</v>
      </c>
      <c r="AL281" t="s">
        <v>134</v>
      </c>
      <c r="AM281" t="s">
        <v>134</v>
      </c>
      <c r="AN281" t="s">
        <v>134</v>
      </c>
      <c r="AO281" t="s">
        <v>134</v>
      </c>
      <c r="AP281" t="s">
        <v>134</v>
      </c>
      <c r="AQ281" t="s">
        <v>134</v>
      </c>
      <c r="AR281" t="s">
        <v>134</v>
      </c>
      <c r="AS281" t="s">
        <v>134</v>
      </c>
      <c r="AT281" t="s">
        <v>134</v>
      </c>
      <c r="AU281" t="s">
        <v>134</v>
      </c>
      <c r="AV281" t="s">
        <v>134</v>
      </c>
      <c r="AW281" t="s">
        <v>134</v>
      </c>
      <c r="AX281" t="s">
        <v>134</v>
      </c>
      <c r="AY281" t="s">
        <v>134</v>
      </c>
      <c r="AZ281" t="s">
        <v>134</v>
      </c>
      <c r="BA281" t="s">
        <v>134</v>
      </c>
      <c r="BB281" t="s">
        <v>134</v>
      </c>
      <c r="BC281" t="s">
        <v>134</v>
      </c>
      <c r="BD281" t="s">
        <v>134</v>
      </c>
      <c r="BE281" t="s">
        <v>134</v>
      </c>
      <c r="BF281" t="s">
        <v>134</v>
      </c>
      <c r="BG281" t="s">
        <v>134</v>
      </c>
      <c r="BH281" t="s">
        <v>134</v>
      </c>
      <c r="BI281" t="s">
        <v>134</v>
      </c>
      <c r="BJ281" t="s">
        <v>134</v>
      </c>
      <c r="BK281" t="s">
        <v>134</v>
      </c>
      <c r="BL281" t="s">
        <v>134</v>
      </c>
      <c r="BM281" t="s">
        <v>134</v>
      </c>
      <c r="BN281" t="s">
        <v>134</v>
      </c>
      <c r="BO281" t="s">
        <v>134</v>
      </c>
      <c r="BP281" t="s">
        <v>134</v>
      </c>
      <c r="BQ281" t="s">
        <v>134</v>
      </c>
      <c r="BR281" t="s">
        <v>134</v>
      </c>
      <c r="BS281" t="s">
        <v>134</v>
      </c>
      <c r="BT281" t="s">
        <v>134</v>
      </c>
      <c r="BU281" t="s">
        <v>134</v>
      </c>
      <c r="BV281" t="s">
        <v>134</v>
      </c>
      <c r="BW281" t="s">
        <v>134</v>
      </c>
      <c r="BX281" t="s">
        <v>134</v>
      </c>
      <c r="BY281" t="s">
        <v>134</v>
      </c>
      <c r="BZ281" t="s">
        <v>134</v>
      </c>
      <c r="CA281" t="s">
        <v>134</v>
      </c>
      <c r="CB281" t="s">
        <v>134</v>
      </c>
      <c r="CC281" t="s">
        <v>134</v>
      </c>
      <c r="CD281" t="s">
        <v>134</v>
      </c>
      <c r="CE281" t="s">
        <v>134</v>
      </c>
      <c r="CF281" t="s">
        <v>134</v>
      </c>
      <c r="CG281" t="s">
        <v>134</v>
      </c>
      <c r="CH281" t="s">
        <v>134</v>
      </c>
      <c r="CI281" t="s">
        <v>134</v>
      </c>
      <c r="CJ281" t="s">
        <v>134</v>
      </c>
      <c r="CK281" t="s">
        <v>134</v>
      </c>
      <c r="CL281" t="s">
        <v>134</v>
      </c>
      <c r="CM281" t="s">
        <v>134</v>
      </c>
      <c r="CN281" t="s">
        <v>134</v>
      </c>
      <c r="CO281" t="s">
        <v>134</v>
      </c>
      <c r="CP281" t="s">
        <v>134</v>
      </c>
      <c r="CQ281" t="s">
        <v>134</v>
      </c>
      <c r="CR281" t="s">
        <v>134</v>
      </c>
      <c r="CS281" t="s">
        <v>134</v>
      </c>
      <c r="CT281" t="s">
        <v>134</v>
      </c>
      <c r="CU281" t="s">
        <v>134</v>
      </c>
      <c r="CV281" t="s">
        <v>134</v>
      </c>
      <c r="CW281" t="s">
        <v>134</v>
      </c>
      <c r="CX281" t="s">
        <v>134</v>
      </c>
      <c r="CY281" t="s">
        <v>134</v>
      </c>
      <c r="CZ281" t="s">
        <v>134</v>
      </c>
      <c r="DA281" t="s">
        <v>134</v>
      </c>
      <c r="DB281" t="s">
        <v>134</v>
      </c>
      <c r="DC281" t="s">
        <v>134</v>
      </c>
      <c r="DD281" t="s">
        <v>134</v>
      </c>
      <c r="DE281" t="s">
        <v>134</v>
      </c>
      <c r="DF281" t="s">
        <v>134</v>
      </c>
      <c r="DG281" t="s">
        <v>134</v>
      </c>
      <c r="DH281" t="s">
        <v>134</v>
      </c>
      <c r="DI281" t="s">
        <v>134</v>
      </c>
    </row>
    <row r="282" spans="1:113" x14ac:dyDescent="0.3">
      <c r="E282" t="s">
        <v>81</v>
      </c>
      <c r="F282" t="s">
        <v>134</v>
      </c>
      <c r="G282" t="s">
        <v>134</v>
      </c>
      <c r="H282" t="s">
        <v>134</v>
      </c>
      <c r="I282" t="s">
        <v>134</v>
      </c>
      <c r="J282" t="s">
        <v>134</v>
      </c>
      <c r="K282" t="s">
        <v>134</v>
      </c>
      <c r="L282" t="s">
        <v>134</v>
      </c>
      <c r="M282" t="s">
        <v>134</v>
      </c>
      <c r="N282" t="s">
        <v>134</v>
      </c>
      <c r="O282" t="s">
        <v>134</v>
      </c>
      <c r="P282" t="s">
        <v>134</v>
      </c>
      <c r="Q282" t="s">
        <v>134</v>
      </c>
      <c r="R282" t="s">
        <v>134</v>
      </c>
      <c r="S282" t="s">
        <v>134</v>
      </c>
      <c r="T282" t="s">
        <v>134</v>
      </c>
      <c r="U282" t="s">
        <v>134</v>
      </c>
      <c r="V282" t="s">
        <v>134</v>
      </c>
      <c r="W282" t="s">
        <v>134</v>
      </c>
      <c r="X282" t="s">
        <v>134</v>
      </c>
      <c r="Y282" t="s">
        <v>134</v>
      </c>
      <c r="Z282" t="s">
        <v>134</v>
      </c>
      <c r="AA282" t="s">
        <v>134</v>
      </c>
      <c r="AB282" t="s">
        <v>134</v>
      </c>
      <c r="AC282" t="s">
        <v>134</v>
      </c>
      <c r="AD282" t="s">
        <v>134</v>
      </c>
      <c r="AE282" t="s">
        <v>134</v>
      </c>
      <c r="AF282" t="s">
        <v>134</v>
      </c>
      <c r="AG282" t="s">
        <v>134</v>
      </c>
      <c r="AH282" t="s">
        <v>134</v>
      </c>
      <c r="AI282" t="s">
        <v>134</v>
      </c>
      <c r="AJ282" t="s">
        <v>134</v>
      </c>
      <c r="AK282" t="s">
        <v>134</v>
      </c>
      <c r="AL282" t="s">
        <v>134</v>
      </c>
      <c r="AM282" t="s">
        <v>134</v>
      </c>
      <c r="AN282" t="s">
        <v>134</v>
      </c>
      <c r="AO282" t="s">
        <v>134</v>
      </c>
      <c r="AP282" t="s">
        <v>134</v>
      </c>
      <c r="AQ282" t="s">
        <v>134</v>
      </c>
      <c r="AR282" t="s">
        <v>134</v>
      </c>
      <c r="AS282" t="s">
        <v>134</v>
      </c>
      <c r="AT282" t="s">
        <v>134</v>
      </c>
      <c r="AU282" t="s">
        <v>134</v>
      </c>
      <c r="AV282" t="s">
        <v>134</v>
      </c>
      <c r="AW282" t="s">
        <v>134</v>
      </c>
      <c r="AX282" t="s">
        <v>134</v>
      </c>
      <c r="AY282" t="s">
        <v>134</v>
      </c>
      <c r="AZ282" t="s">
        <v>134</v>
      </c>
      <c r="BA282" t="s">
        <v>134</v>
      </c>
      <c r="BB282" t="s">
        <v>134</v>
      </c>
      <c r="BC282" t="s">
        <v>134</v>
      </c>
      <c r="BD282" t="s">
        <v>134</v>
      </c>
      <c r="BE282" t="s">
        <v>134</v>
      </c>
      <c r="BF282" t="s">
        <v>134</v>
      </c>
      <c r="BG282" t="s">
        <v>134</v>
      </c>
      <c r="BH282" t="s">
        <v>134</v>
      </c>
      <c r="BI282" t="s">
        <v>134</v>
      </c>
      <c r="BJ282" t="s">
        <v>134</v>
      </c>
      <c r="BK282" t="s">
        <v>134</v>
      </c>
      <c r="BL282" t="s">
        <v>134</v>
      </c>
      <c r="BM282" t="s">
        <v>134</v>
      </c>
      <c r="BN282" t="s">
        <v>134</v>
      </c>
      <c r="BO282" t="s">
        <v>134</v>
      </c>
      <c r="BP282" t="s">
        <v>134</v>
      </c>
      <c r="BQ282" t="s">
        <v>134</v>
      </c>
      <c r="BR282" t="s">
        <v>134</v>
      </c>
      <c r="BS282" t="s">
        <v>134</v>
      </c>
      <c r="BT282" t="s">
        <v>134</v>
      </c>
      <c r="BU282" t="s">
        <v>134</v>
      </c>
      <c r="BV282" t="s">
        <v>134</v>
      </c>
      <c r="BW282" t="s">
        <v>134</v>
      </c>
      <c r="BX282" t="s">
        <v>134</v>
      </c>
      <c r="BY282" t="s">
        <v>134</v>
      </c>
      <c r="BZ282" t="s">
        <v>134</v>
      </c>
      <c r="CA282" t="s">
        <v>134</v>
      </c>
      <c r="CB282" t="s">
        <v>134</v>
      </c>
      <c r="CC282" t="s">
        <v>134</v>
      </c>
      <c r="CD282" t="s">
        <v>134</v>
      </c>
      <c r="CE282" t="s">
        <v>134</v>
      </c>
      <c r="CF282" t="s">
        <v>134</v>
      </c>
      <c r="CG282" t="s">
        <v>134</v>
      </c>
      <c r="CH282" t="s">
        <v>134</v>
      </c>
      <c r="CI282" t="s">
        <v>134</v>
      </c>
      <c r="CJ282" t="s">
        <v>134</v>
      </c>
      <c r="CK282" t="s">
        <v>134</v>
      </c>
      <c r="CL282" t="s">
        <v>134</v>
      </c>
      <c r="CM282" t="s">
        <v>134</v>
      </c>
      <c r="CN282" t="s">
        <v>134</v>
      </c>
      <c r="CO282" t="s">
        <v>134</v>
      </c>
      <c r="CP282" t="s">
        <v>134</v>
      </c>
      <c r="CQ282" t="s">
        <v>134</v>
      </c>
      <c r="CR282" t="s">
        <v>134</v>
      </c>
      <c r="CS282" t="s">
        <v>134</v>
      </c>
      <c r="CT282" t="s">
        <v>134</v>
      </c>
      <c r="CU282" t="s">
        <v>134</v>
      </c>
      <c r="CV282" t="s">
        <v>134</v>
      </c>
      <c r="CW282" t="s">
        <v>134</v>
      </c>
      <c r="CX282" t="s">
        <v>134</v>
      </c>
      <c r="CY282" t="s">
        <v>134</v>
      </c>
      <c r="CZ282" t="s">
        <v>134</v>
      </c>
      <c r="DA282" t="s">
        <v>134</v>
      </c>
      <c r="DB282" t="s">
        <v>134</v>
      </c>
      <c r="DC282" t="s">
        <v>134</v>
      </c>
      <c r="DD282" t="s">
        <v>134</v>
      </c>
      <c r="DE282" t="s">
        <v>134</v>
      </c>
      <c r="DF282" t="s">
        <v>134</v>
      </c>
      <c r="DG282" t="s">
        <v>134</v>
      </c>
      <c r="DH282" t="s">
        <v>134</v>
      </c>
      <c r="DI282" t="s">
        <v>134</v>
      </c>
    </row>
    <row r="283" spans="1:113" x14ac:dyDescent="0.3">
      <c r="D283" t="s">
        <v>82</v>
      </c>
      <c r="E283" t="s">
        <v>77</v>
      </c>
      <c r="F283" t="s">
        <v>134</v>
      </c>
      <c r="G283" t="s">
        <v>134</v>
      </c>
      <c r="H283" t="s">
        <v>134</v>
      </c>
      <c r="I283" t="s">
        <v>134</v>
      </c>
      <c r="J283">
        <v>67.063699999999997</v>
      </c>
      <c r="K283">
        <v>42.143500000000003</v>
      </c>
      <c r="L283" t="s">
        <v>134</v>
      </c>
      <c r="M283">
        <v>25.2149</v>
      </c>
      <c r="N283">
        <v>28.656300000000002</v>
      </c>
      <c r="O283">
        <v>16.6844</v>
      </c>
      <c r="P283">
        <v>28.656300000000002</v>
      </c>
      <c r="Q283">
        <v>33.831000000000003</v>
      </c>
      <c r="R283">
        <v>10.053699999999999</v>
      </c>
      <c r="S283" t="s">
        <v>134</v>
      </c>
      <c r="T283" t="s">
        <v>134</v>
      </c>
      <c r="U283" t="s">
        <v>134</v>
      </c>
      <c r="V283" t="s">
        <v>134</v>
      </c>
      <c r="W283" t="s">
        <v>134</v>
      </c>
      <c r="X283" t="s">
        <v>134</v>
      </c>
      <c r="Y283" t="s">
        <v>134</v>
      </c>
      <c r="Z283" t="s">
        <v>134</v>
      </c>
      <c r="AA283" t="s">
        <v>134</v>
      </c>
      <c r="AB283" t="s">
        <v>134</v>
      </c>
      <c r="AC283" t="s">
        <v>134</v>
      </c>
      <c r="AD283" t="s">
        <v>134</v>
      </c>
      <c r="AE283" t="s">
        <v>134</v>
      </c>
      <c r="AF283" t="s">
        <v>134</v>
      </c>
      <c r="AG283" t="s">
        <v>134</v>
      </c>
      <c r="AH283" t="s">
        <v>134</v>
      </c>
      <c r="AI283" t="s">
        <v>134</v>
      </c>
      <c r="AJ283" t="s">
        <v>134</v>
      </c>
      <c r="AK283" t="s">
        <v>134</v>
      </c>
      <c r="AL283" t="s">
        <v>134</v>
      </c>
      <c r="AM283" t="s">
        <v>134</v>
      </c>
      <c r="AN283" t="s">
        <v>134</v>
      </c>
      <c r="AO283" t="s">
        <v>134</v>
      </c>
      <c r="AP283" t="s">
        <v>134</v>
      </c>
      <c r="AQ283" t="s">
        <v>134</v>
      </c>
      <c r="AR283" t="s">
        <v>134</v>
      </c>
      <c r="AS283" t="s">
        <v>134</v>
      </c>
      <c r="AT283" t="s">
        <v>134</v>
      </c>
      <c r="AU283" t="s">
        <v>134</v>
      </c>
      <c r="AV283" t="s">
        <v>134</v>
      </c>
      <c r="AW283" t="s">
        <v>134</v>
      </c>
      <c r="AX283" t="s">
        <v>134</v>
      </c>
      <c r="AY283" t="s">
        <v>134</v>
      </c>
      <c r="AZ283" t="s">
        <v>134</v>
      </c>
      <c r="BA283" t="s">
        <v>134</v>
      </c>
      <c r="BB283" t="s">
        <v>134</v>
      </c>
      <c r="BC283" t="s">
        <v>134</v>
      </c>
      <c r="BD283" t="s">
        <v>134</v>
      </c>
      <c r="BE283" t="s">
        <v>134</v>
      </c>
      <c r="BF283" t="s">
        <v>134</v>
      </c>
      <c r="BG283" t="s">
        <v>134</v>
      </c>
      <c r="BH283" t="s">
        <v>134</v>
      </c>
      <c r="BI283" t="s">
        <v>134</v>
      </c>
      <c r="BJ283" t="s">
        <v>134</v>
      </c>
      <c r="BK283" t="s">
        <v>134</v>
      </c>
      <c r="BL283" t="s">
        <v>134</v>
      </c>
      <c r="BM283" t="s">
        <v>134</v>
      </c>
      <c r="BN283" t="s">
        <v>134</v>
      </c>
      <c r="BO283" t="s">
        <v>134</v>
      </c>
      <c r="BP283" t="s">
        <v>134</v>
      </c>
      <c r="BQ283" t="s">
        <v>134</v>
      </c>
      <c r="BR283" t="s">
        <v>134</v>
      </c>
      <c r="BS283" t="s">
        <v>134</v>
      </c>
      <c r="BT283" t="s">
        <v>134</v>
      </c>
      <c r="BU283" t="s">
        <v>134</v>
      </c>
      <c r="BV283" t="s">
        <v>134</v>
      </c>
      <c r="BW283" t="s">
        <v>134</v>
      </c>
      <c r="BX283" t="s">
        <v>134</v>
      </c>
      <c r="BY283">
        <v>266906.59999999998</v>
      </c>
      <c r="BZ283">
        <v>84171.5</v>
      </c>
      <c r="CA283">
        <v>182735.1</v>
      </c>
      <c r="CB283">
        <v>7.3955000000000002</v>
      </c>
      <c r="CC283">
        <v>7.3342000000000001</v>
      </c>
      <c r="CD283">
        <v>20.213000000000001</v>
      </c>
      <c r="CE283">
        <v>20.0456</v>
      </c>
      <c r="CF283">
        <v>1.6052999999999999</v>
      </c>
      <c r="CG283">
        <v>14.6282</v>
      </c>
      <c r="CH283">
        <v>380.72109999999998</v>
      </c>
      <c r="CI283">
        <v>58.0289</v>
      </c>
      <c r="CJ283">
        <v>55.692700000000002</v>
      </c>
      <c r="CK283">
        <v>556.08900000000006</v>
      </c>
      <c r="CL283">
        <v>84.758200000000002</v>
      </c>
      <c r="CM283">
        <v>81.3459</v>
      </c>
      <c r="CN283">
        <v>551.48230000000001</v>
      </c>
      <c r="CO283">
        <v>84.650400000000005</v>
      </c>
      <c r="CP283">
        <v>36090.6</v>
      </c>
      <c r="CQ283" t="s">
        <v>134</v>
      </c>
      <c r="CR283">
        <v>13204.7</v>
      </c>
      <c r="CS283" t="s">
        <v>134</v>
      </c>
      <c r="CT283" t="s">
        <v>134</v>
      </c>
      <c r="CU283" t="s">
        <v>134</v>
      </c>
      <c r="CV283" t="s">
        <v>134</v>
      </c>
      <c r="CW283" t="s">
        <v>134</v>
      </c>
      <c r="CX283" t="s">
        <v>134</v>
      </c>
      <c r="CY283" t="s">
        <v>134</v>
      </c>
      <c r="CZ283" t="s">
        <v>134</v>
      </c>
      <c r="DA283" t="s">
        <v>134</v>
      </c>
      <c r="DB283" t="s">
        <v>134</v>
      </c>
      <c r="DC283" t="s">
        <v>134</v>
      </c>
      <c r="DD283" t="s">
        <v>134</v>
      </c>
      <c r="DE283" t="s">
        <v>134</v>
      </c>
      <c r="DF283" t="s">
        <v>134</v>
      </c>
      <c r="DG283" t="s">
        <v>134</v>
      </c>
      <c r="DH283" t="s">
        <v>134</v>
      </c>
      <c r="DI283" t="s">
        <v>134</v>
      </c>
    </row>
    <row r="284" spans="1:113" x14ac:dyDescent="0.3">
      <c r="E284" t="s">
        <v>78</v>
      </c>
      <c r="F284" t="s">
        <v>134</v>
      </c>
      <c r="G284" t="s">
        <v>134</v>
      </c>
      <c r="H284" t="s">
        <v>134</v>
      </c>
      <c r="I284" t="s">
        <v>134</v>
      </c>
      <c r="J284" t="s">
        <v>134</v>
      </c>
      <c r="K284" t="s">
        <v>134</v>
      </c>
      <c r="L284" t="s">
        <v>134</v>
      </c>
      <c r="M284" t="s">
        <v>134</v>
      </c>
      <c r="N284" t="s">
        <v>134</v>
      </c>
      <c r="O284" t="s">
        <v>134</v>
      </c>
      <c r="P284" t="s">
        <v>134</v>
      </c>
      <c r="Q284" t="s">
        <v>134</v>
      </c>
      <c r="R284" t="s">
        <v>134</v>
      </c>
      <c r="S284" t="s">
        <v>134</v>
      </c>
      <c r="T284" t="s">
        <v>134</v>
      </c>
      <c r="U284" t="s">
        <v>134</v>
      </c>
      <c r="V284" t="s">
        <v>134</v>
      </c>
      <c r="W284" t="s">
        <v>134</v>
      </c>
      <c r="X284" t="s">
        <v>134</v>
      </c>
      <c r="Y284" t="s">
        <v>134</v>
      </c>
      <c r="Z284" t="s">
        <v>134</v>
      </c>
      <c r="AA284" t="s">
        <v>134</v>
      </c>
      <c r="AB284" t="s">
        <v>134</v>
      </c>
      <c r="AC284" t="s">
        <v>134</v>
      </c>
      <c r="AD284" t="s">
        <v>134</v>
      </c>
      <c r="AE284" t="s">
        <v>134</v>
      </c>
      <c r="AF284" t="s">
        <v>134</v>
      </c>
      <c r="AG284" t="s">
        <v>134</v>
      </c>
      <c r="AH284" t="s">
        <v>134</v>
      </c>
      <c r="AI284" t="s">
        <v>134</v>
      </c>
      <c r="AJ284" t="s">
        <v>134</v>
      </c>
      <c r="AK284" t="s">
        <v>134</v>
      </c>
      <c r="AL284" t="s">
        <v>134</v>
      </c>
      <c r="AM284" t="s">
        <v>134</v>
      </c>
      <c r="AN284" t="s">
        <v>134</v>
      </c>
      <c r="AO284" t="s">
        <v>134</v>
      </c>
      <c r="AP284" t="s">
        <v>134</v>
      </c>
      <c r="AQ284" t="s">
        <v>134</v>
      </c>
      <c r="AR284" t="s">
        <v>134</v>
      </c>
      <c r="AS284" t="s">
        <v>134</v>
      </c>
      <c r="AT284" t="s">
        <v>134</v>
      </c>
      <c r="AU284" t="s">
        <v>134</v>
      </c>
      <c r="AV284" t="s">
        <v>134</v>
      </c>
      <c r="AW284" t="s">
        <v>134</v>
      </c>
      <c r="AX284" t="s">
        <v>134</v>
      </c>
      <c r="AY284" t="s">
        <v>134</v>
      </c>
      <c r="AZ284" t="s">
        <v>134</v>
      </c>
      <c r="BA284" t="s">
        <v>134</v>
      </c>
      <c r="BB284" t="s">
        <v>134</v>
      </c>
      <c r="BC284" t="s">
        <v>134</v>
      </c>
      <c r="BD284" t="s">
        <v>134</v>
      </c>
      <c r="BE284" t="s">
        <v>134</v>
      </c>
      <c r="BF284" t="s">
        <v>134</v>
      </c>
      <c r="BG284" t="s">
        <v>134</v>
      </c>
      <c r="BH284" t="s">
        <v>134</v>
      </c>
      <c r="BI284" t="s">
        <v>134</v>
      </c>
      <c r="BJ284" t="s">
        <v>134</v>
      </c>
      <c r="BK284" t="s">
        <v>134</v>
      </c>
      <c r="BL284" t="s">
        <v>134</v>
      </c>
      <c r="BM284" t="s">
        <v>134</v>
      </c>
      <c r="BN284" t="s">
        <v>134</v>
      </c>
      <c r="BO284" t="s">
        <v>134</v>
      </c>
      <c r="BP284" t="s">
        <v>134</v>
      </c>
      <c r="BQ284" t="s">
        <v>134</v>
      </c>
      <c r="BR284" t="s">
        <v>134</v>
      </c>
      <c r="BS284" t="s">
        <v>134</v>
      </c>
      <c r="BT284" t="s">
        <v>134</v>
      </c>
      <c r="BU284" t="s">
        <v>134</v>
      </c>
      <c r="BV284" t="s">
        <v>134</v>
      </c>
      <c r="BW284" t="s">
        <v>134</v>
      </c>
      <c r="BX284" t="s">
        <v>134</v>
      </c>
      <c r="BY284" t="s">
        <v>134</v>
      </c>
      <c r="BZ284" t="s">
        <v>134</v>
      </c>
      <c r="CA284" t="s">
        <v>134</v>
      </c>
      <c r="CB284" t="s">
        <v>134</v>
      </c>
      <c r="CC284" t="s">
        <v>134</v>
      </c>
      <c r="CD284" t="s">
        <v>134</v>
      </c>
      <c r="CE284" t="s">
        <v>134</v>
      </c>
      <c r="CF284" t="s">
        <v>134</v>
      </c>
      <c r="CG284" t="s">
        <v>134</v>
      </c>
      <c r="CH284" t="s">
        <v>134</v>
      </c>
      <c r="CI284" t="s">
        <v>134</v>
      </c>
      <c r="CJ284" t="s">
        <v>134</v>
      </c>
      <c r="CK284" t="s">
        <v>134</v>
      </c>
      <c r="CL284" t="s">
        <v>134</v>
      </c>
      <c r="CM284" t="s">
        <v>134</v>
      </c>
      <c r="CN284" t="s">
        <v>134</v>
      </c>
      <c r="CO284" t="s">
        <v>134</v>
      </c>
      <c r="CP284" t="s">
        <v>134</v>
      </c>
      <c r="CQ284" t="s">
        <v>134</v>
      </c>
      <c r="CR284" t="s">
        <v>134</v>
      </c>
      <c r="CS284" t="s">
        <v>134</v>
      </c>
      <c r="CT284" t="s">
        <v>134</v>
      </c>
      <c r="CU284" t="s">
        <v>134</v>
      </c>
      <c r="CV284" t="s">
        <v>134</v>
      </c>
      <c r="CW284" t="s">
        <v>134</v>
      </c>
      <c r="CX284" t="s">
        <v>134</v>
      </c>
      <c r="CY284" t="s">
        <v>134</v>
      </c>
      <c r="CZ284" t="s">
        <v>134</v>
      </c>
      <c r="DA284" t="s">
        <v>134</v>
      </c>
      <c r="DB284" t="s">
        <v>134</v>
      </c>
      <c r="DC284" t="s">
        <v>134</v>
      </c>
      <c r="DD284" t="s">
        <v>134</v>
      </c>
      <c r="DE284" t="s">
        <v>134</v>
      </c>
      <c r="DF284" t="s">
        <v>134</v>
      </c>
      <c r="DG284" t="s">
        <v>134</v>
      </c>
      <c r="DH284" t="s">
        <v>134</v>
      </c>
      <c r="DI284" t="s">
        <v>134</v>
      </c>
    </row>
    <row r="285" spans="1:113" x14ac:dyDescent="0.3">
      <c r="E285" t="s">
        <v>79</v>
      </c>
      <c r="F285" t="s">
        <v>134</v>
      </c>
      <c r="G285" t="s">
        <v>134</v>
      </c>
      <c r="H285" t="s">
        <v>134</v>
      </c>
      <c r="I285" t="s">
        <v>134</v>
      </c>
      <c r="J285" t="s">
        <v>134</v>
      </c>
      <c r="K285" t="s">
        <v>134</v>
      </c>
      <c r="L285" t="s">
        <v>134</v>
      </c>
      <c r="M285" t="s">
        <v>134</v>
      </c>
      <c r="N285" t="s">
        <v>134</v>
      </c>
      <c r="O285" t="s">
        <v>134</v>
      </c>
      <c r="P285" t="s">
        <v>134</v>
      </c>
      <c r="Q285" t="s">
        <v>134</v>
      </c>
      <c r="R285" t="s">
        <v>134</v>
      </c>
      <c r="S285" t="s">
        <v>134</v>
      </c>
      <c r="T285" t="s">
        <v>134</v>
      </c>
      <c r="U285" t="s">
        <v>134</v>
      </c>
      <c r="V285" t="s">
        <v>134</v>
      </c>
      <c r="W285" t="s">
        <v>134</v>
      </c>
      <c r="X285" t="s">
        <v>134</v>
      </c>
      <c r="Y285" t="s">
        <v>134</v>
      </c>
      <c r="Z285" t="s">
        <v>134</v>
      </c>
      <c r="AA285" t="s">
        <v>134</v>
      </c>
      <c r="AB285" t="s">
        <v>134</v>
      </c>
      <c r="AC285" t="s">
        <v>134</v>
      </c>
      <c r="AD285" t="s">
        <v>134</v>
      </c>
      <c r="AE285" t="s">
        <v>134</v>
      </c>
      <c r="AF285" t="s">
        <v>134</v>
      </c>
      <c r="AG285" t="s">
        <v>134</v>
      </c>
      <c r="AH285" t="s">
        <v>134</v>
      </c>
      <c r="AI285" t="s">
        <v>134</v>
      </c>
      <c r="AJ285" t="s">
        <v>134</v>
      </c>
      <c r="AK285" t="s">
        <v>134</v>
      </c>
      <c r="AL285" t="s">
        <v>134</v>
      </c>
      <c r="AM285" t="s">
        <v>134</v>
      </c>
      <c r="AN285" t="s">
        <v>134</v>
      </c>
      <c r="AO285" t="s">
        <v>134</v>
      </c>
      <c r="AP285" t="s">
        <v>134</v>
      </c>
      <c r="AQ285" t="s">
        <v>134</v>
      </c>
      <c r="AR285" t="s">
        <v>134</v>
      </c>
      <c r="AS285" t="s">
        <v>134</v>
      </c>
      <c r="AT285" t="s">
        <v>134</v>
      </c>
      <c r="AU285" t="s">
        <v>134</v>
      </c>
      <c r="AV285" t="s">
        <v>134</v>
      </c>
      <c r="AW285" t="s">
        <v>134</v>
      </c>
      <c r="AX285" t="s">
        <v>134</v>
      </c>
      <c r="AY285" t="s">
        <v>134</v>
      </c>
      <c r="AZ285" t="s">
        <v>134</v>
      </c>
      <c r="BA285" t="s">
        <v>134</v>
      </c>
      <c r="BB285" t="s">
        <v>134</v>
      </c>
      <c r="BC285" t="s">
        <v>134</v>
      </c>
      <c r="BD285" t="s">
        <v>134</v>
      </c>
      <c r="BE285" t="s">
        <v>134</v>
      </c>
      <c r="BF285" t="s">
        <v>134</v>
      </c>
      <c r="BG285" t="s">
        <v>134</v>
      </c>
      <c r="BH285" t="s">
        <v>134</v>
      </c>
      <c r="BI285" t="s">
        <v>134</v>
      </c>
      <c r="BJ285" t="s">
        <v>134</v>
      </c>
      <c r="BK285" t="s">
        <v>134</v>
      </c>
      <c r="BL285" t="s">
        <v>134</v>
      </c>
      <c r="BM285" t="s">
        <v>134</v>
      </c>
      <c r="BN285" t="s">
        <v>134</v>
      </c>
      <c r="BO285" t="s">
        <v>134</v>
      </c>
      <c r="BP285" t="s">
        <v>134</v>
      </c>
      <c r="BQ285" t="s">
        <v>134</v>
      </c>
      <c r="BR285" t="s">
        <v>134</v>
      </c>
      <c r="BS285" t="s">
        <v>134</v>
      </c>
      <c r="BT285" t="s">
        <v>134</v>
      </c>
      <c r="BU285" t="s">
        <v>134</v>
      </c>
      <c r="BV285" t="s">
        <v>134</v>
      </c>
      <c r="BW285" t="s">
        <v>134</v>
      </c>
      <c r="BX285" t="s">
        <v>134</v>
      </c>
      <c r="BY285" t="s">
        <v>134</v>
      </c>
      <c r="BZ285" t="s">
        <v>134</v>
      </c>
      <c r="CA285" t="s">
        <v>134</v>
      </c>
      <c r="CB285" t="s">
        <v>134</v>
      </c>
      <c r="CC285" t="s">
        <v>134</v>
      </c>
      <c r="CD285" t="s">
        <v>134</v>
      </c>
      <c r="CE285" t="s">
        <v>134</v>
      </c>
      <c r="CF285" t="s">
        <v>134</v>
      </c>
      <c r="CG285" t="s">
        <v>134</v>
      </c>
      <c r="CH285" t="s">
        <v>134</v>
      </c>
      <c r="CI285" t="s">
        <v>134</v>
      </c>
      <c r="CJ285" t="s">
        <v>134</v>
      </c>
      <c r="CK285" t="s">
        <v>134</v>
      </c>
      <c r="CL285" t="s">
        <v>134</v>
      </c>
      <c r="CM285" t="s">
        <v>134</v>
      </c>
      <c r="CN285" t="s">
        <v>134</v>
      </c>
      <c r="CO285" t="s">
        <v>134</v>
      </c>
      <c r="CP285" t="s">
        <v>134</v>
      </c>
      <c r="CQ285" t="s">
        <v>134</v>
      </c>
      <c r="CR285" t="s">
        <v>134</v>
      </c>
      <c r="CS285" t="s">
        <v>134</v>
      </c>
      <c r="CT285" t="s">
        <v>134</v>
      </c>
      <c r="CU285" t="s">
        <v>134</v>
      </c>
      <c r="CV285" t="s">
        <v>134</v>
      </c>
      <c r="CW285" t="s">
        <v>134</v>
      </c>
      <c r="CX285" t="s">
        <v>134</v>
      </c>
      <c r="CY285" t="s">
        <v>134</v>
      </c>
      <c r="CZ285" t="s">
        <v>134</v>
      </c>
      <c r="DA285" t="s">
        <v>134</v>
      </c>
      <c r="DB285" t="s">
        <v>134</v>
      </c>
      <c r="DC285" t="s">
        <v>134</v>
      </c>
      <c r="DD285" t="s">
        <v>134</v>
      </c>
      <c r="DE285" t="s">
        <v>134</v>
      </c>
      <c r="DF285" t="s">
        <v>134</v>
      </c>
      <c r="DG285" t="s">
        <v>134</v>
      </c>
      <c r="DH285" t="s">
        <v>134</v>
      </c>
      <c r="DI285" t="s">
        <v>134</v>
      </c>
    </row>
    <row r="286" spans="1:113" x14ac:dyDescent="0.3">
      <c r="E286" t="s">
        <v>80</v>
      </c>
      <c r="F286" t="s">
        <v>134</v>
      </c>
      <c r="G286" t="s">
        <v>134</v>
      </c>
      <c r="H286" t="s">
        <v>134</v>
      </c>
      <c r="I286" t="s">
        <v>134</v>
      </c>
      <c r="J286" t="s">
        <v>134</v>
      </c>
      <c r="K286" t="s">
        <v>134</v>
      </c>
      <c r="L286" t="s">
        <v>134</v>
      </c>
      <c r="M286" t="s">
        <v>134</v>
      </c>
      <c r="N286" t="s">
        <v>134</v>
      </c>
      <c r="O286" t="s">
        <v>134</v>
      </c>
      <c r="P286" t="s">
        <v>134</v>
      </c>
      <c r="Q286" t="s">
        <v>134</v>
      </c>
      <c r="R286" t="s">
        <v>134</v>
      </c>
      <c r="S286" t="s">
        <v>134</v>
      </c>
      <c r="T286" t="s">
        <v>134</v>
      </c>
      <c r="U286" t="s">
        <v>134</v>
      </c>
      <c r="V286" t="s">
        <v>134</v>
      </c>
      <c r="W286" t="s">
        <v>134</v>
      </c>
      <c r="X286" t="s">
        <v>134</v>
      </c>
      <c r="Y286" t="s">
        <v>134</v>
      </c>
      <c r="Z286" t="s">
        <v>134</v>
      </c>
      <c r="AA286" t="s">
        <v>134</v>
      </c>
      <c r="AB286" t="s">
        <v>134</v>
      </c>
      <c r="AC286" t="s">
        <v>134</v>
      </c>
      <c r="AD286" t="s">
        <v>134</v>
      </c>
      <c r="AE286" t="s">
        <v>134</v>
      </c>
      <c r="AF286" t="s">
        <v>134</v>
      </c>
      <c r="AG286" t="s">
        <v>134</v>
      </c>
      <c r="AH286" t="s">
        <v>134</v>
      </c>
      <c r="AI286" t="s">
        <v>134</v>
      </c>
      <c r="AJ286" t="s">
        <v>134</v>
      </c>
      <c r="AK286" t="s">
        <v>134</v>
      </c>
      <c r="AL286" t="s">
        <v>134</v>
      </c>
      <c r="AM286" t="s">
        <v>134</v>
      </c>
      <c r="AN286" t="s">
        <v>134</v>
      </c>
      <c r="AO286" t="s">
        <v>134</v>
      </c>
      <c r="AP286" t="s">
        <v>134</v>
      </c>
      <c r="AQ286" t="s">
        <v>134</v>
      </c>
      <c r="AR286" t="s">
        <v>134</v>
      </c>
      <c r="AS286" t="s">
        <v>134</v>
      </c>
      <c r="AT286" t="s">
        <v>134</v>
      </c>
      <c r="AU286" t="s">
        <v>134</v>
      </c>
      <c r="AV286" t="s">
        <v>134</v>
      </c>
      <c r="AW286" t="s">
        <v>134</v>
      </c>
      <c r="AX286" t="s">
        <v>134</v>
      </c>
      <c r="AY286" t="s">
        <v>134</v>
      </c>
      <c r="AZ286" t="s">
        <v>134</v>
      </c>
      <c r="BA286" t="s">
        <v>134</v>
      </c>
      <c r="BB286" t="s">
        <v>134</v>
      </c>
      <c r="BC286" t="s">
        <v>134</v>
      </c>
      <c r="BD286" t="s">
        <v>134</v>
      </c>
      <c r="BE286" t="s">
        <v>134</v>
      </c>
      <c r="BF286" t="s">
        <v>134</v>
      </c>
      <c r="BG286" t="s">
        <v>134</v>
      </c>
      <c r="BH286" t="s">
        <v>134</v>
      </c>
      <c r="BI286" t="s">
        <v>134</v>
      </c>
      <c r="BJ286" t="s">
        <v>134</v>
      </c>
      <c r="BK286" t="s">
        <v>134</v>
      </c>
      <c r="BL286" t="s">
        <v>134</v>
      </c>
      <c r="BM286" t="s">
        <v>134</v>
      </c>
      <c r="BN286" t="s">
        <v>134</v>
      </c>
      <c r="BO286" t="s">
        <v>134</v>
      </c>
      <c r="BP286" t="s">
        <v>134</v>
      </c>
      <c r="BQ286" t="s">
        <v>134</v>
      </c>
      <c r="BR286" t="s">
        <v>134</v>
      </c>
      <c r="BS286" t="s">
        <v>134</v>
      </c>
      <c r="BT286" t="s">
        <v>134</v>
      </c>
      <c r="BU286" t="s">
        <v>134</v>
      </c>
      <c r="BV286" t="s">
        <v>134</v>
      </c>
      <c r="BW286" t="s">
        <v>134</v>
      </c>
      <c r="BX286" t="s">
        <v>134</v>
      </c>
      <c r="BY286" t="s">
        <v>134</v>
      </c>
      <c r="BZ286" t="s">
        <v>134</v>
      </c>
      <c r="CA286" t="s">
        <v>134</v>
      </c>
      <c r="CB286" t="s">
        <v>134</v>
      </c>
      <c r="CC286" t="s">
        <v>134</v>
      </c>
      <c r="CD286" t="s">
        <v>134</v>
      </c>
      <c r="CE286" t="s">
        <v>134</v>
      </c>
      <c r="CF286" t="s">
        <v>134</v>
      </c>
      <c r="CG286" t="s">
        <v>134</v>
      </c>
      <c r="CH286" t="s">
        <v>134</v>
      </c>
      <c r="CI286" t="s">
        <v>134</v>
      </c>
      <c r="CJ286" t="s">
        <v>134</v>
      </c>
      <c r="CK286" t="s">
        <v>134</v>
      </c>
      <c r="CL286" t="s">
        <v>134</v>
      </c>
      <c r="CM286" t="s">
        <v>134</v>
      </c>
      <c r="CN286" t="s">
        <v>134</v>
      </c>
      <c r="CO286" t="s">
        <v>134</v>
      </c>
      <c r="CP286" t="s">
        <v>134</v>
      </c>
      <c r="CQ286" t="s">
        <v>134</v>
      </c>
      <c r="CR286" t="s">
        <v>134</v>
      </c>
      <c r="CS286" t="s">
        <v>134</v>
      </c>
      <c r="CT286" t="s">
        <v>134</v>
      </c>
      <c r="CU286" t="s">
        <v>134</v>
      </c>
      <c r="CV286" t="s">
        <v>134</v>
      </c>
      <c r="CW286" t="s">
        <v>134</v>
      </c>
      <c r="CX286" t="s">
        <v>134</v>
      </c>
      <c r="CY286" t="s">
        <v>134</v>
      </c>
      <c r="CZ286" t="s">
        <v>134</v>
      </c>
      <c r="DA286" t="s">
        <v>134</v>
      </c>
      <c r="DB286" t="s">
        <v>134</v>
      </c>
      <c r="DC286" t="s">
        <v>134</v>
      </c>
      <c r="DD286" t="s">
        <v>134</v>
      </c>
      <c r="DE286" t="s">
        <v>134</v>
      </c>
      <c r="DF286" t="s">
        <v>134</v>
      </c>
      <c r="DG286" t="s">
        <v>134</v>
      </c>
      <c r="DH286" t="s">
        <v>134</v>
      </c>
      <c r="DI286" t="s">
        <v>134</v>
      </c>
    </row>
    <row r="287" spans="1:113" x14ac:dyDescent="0.3">
      <c r="E287" t="s">
        <v>81</v>
      </c>
      <c r="F287" t="s">
        <v>134</v>
      </c>
      <c r="G287" t="s">
        <v>134</v>
      </c>
      <c r="H287" t="s">
        <v>134</v>
      </c>
      <c r="I287" t="s">
        <v>134</v>
      </c>
      <c r="J287" t="s">
        <v>134</v>
      </c>
      <c r="K287" t="s">
        <v>134</v>
      </c>
      <c r="L287" t="s">
        <v>134</v>
      </c>
      <c r="M287" t="s">
        <v>134</v>
      </c>
      <c r="N287" t="s">
        <v>134</v>
      </c>
      <c r="O287" t="s">
        <v>134</v>
      </c>
      <c r="P287" t="s">
        <v>134</v>
      </c>
      <c r="Q287" t="s">
        <v>134</v>
      </c>
      <c r="R287" t="s">
        <v>134</v>
      </c>
      <c r="S287" t="s">
        <v>134</v>
      </c>
      <c r="T287" t="s">
        <v>134</v>
      </c>
      <c r="U287" t="s">
        <v>134</v>
      </c>
      <c r="V287" t="s">
        <v>134</v>
      </c>
      <c r="W287" t="s">
        <v>134</v>
      </c>
      <c r="X287" t="s">
        <v>134</v>
      </c>
      <c r="Y287" t="s">
        <v>134</v>
      </c>
      <c r="Z287" t="s">
        <v>134</v>
      </c>
      <c r="AA287" t="s">
        <v>134</v>
      </c>
      <c r="AB287" t="s">
        <v>134</v>
      </c>
      <c r="AC287" t="s">
        <v>134</v>
      </c>
      <c r="AD287" t="s">
        <v>134</v>
      </c>
      <c r="AE287" t="s">
        <v>134</v>
      </c>
      <c r="AF287" t="s">
        <v>134</v>
      </c>
      <c r="AG287" t="s">
        <v>134</v>
      </c>
      <c r="AH287" t="s">
        <v>134</v>
      </c>
      <c r="AI287" t="s">
        <v>134</v>
      </c>
      <c r="AJ287" t="s">
        <v>134</v>
      </c>
      <c r="AK287" t="s">
        <v>134</v>
      </c>
      <c r="AL287" t="s">
        <v>134</v>
      </c>
      <c r="AM287" t="s">
        <v>134</v>
      </c>
      <c r="AN287" t="s">
        <v>134</v>
      </c>
      <c r="AO287" t="s">
        <v>134</v>
      </c>
      <c r="AP287" t="s">
        <v>134</v>
      </c>
      <c r="AQ287" t="s">
        <v>134</v>
      </c>
      <c r="AR287" t="s">
        <v>134</v>
      </c>
      <c r="AS287" t="s">
        <v>134</v>
      </c>
      <c r="AT287" t="s">
        <v>134</v>
      </c>
      <c r="AU287" t="s">
        <v>134</v>
      </c>
      <c r="AV287" t="s">
        <v>134</v>
      </c>
      <c r="AW287" t="s">
        <v>134</v>
      </c>
      <c r="AX287" t="s">
        <v>134</v>
      </c>
      <c r="AY287" t="s">
        <v>134</v>
      </c>
      <c r="AZ287" t="s">
        <v>134</v>
      </c>
      <c r="BA287" t="s">
        <v>134</v>
      </c>
      <c r="BB287" t="s">
        <v>134</v>
      </c>
      <c r="BC287" t="s">
        <v>134</v>
      </c>
      <c r="BD287" t="s">
        <v>134</v>
      </c>
      <c r="BE287" t="s">
        <v>134</v>
      </c>
      <c r="BF287" t="s">
        <v>134</v>
      </c>
      <c r="BG287" t="s">
        <v>134</v>
      </c>
      <c r="BH287" t="s">
        <v>134</v>
      </c>
      <c r="BI287" t="s">
        <v>134</v>
      </c>
      <c r="BJ287" t="s">
        <v>134</v>
      </c>
      <c r="BK287" t="s">
        <v>134</v>
      </c>
      <c r="BL287" t="s">
        <v>134</v>
      </c>
      <c r="BM287" t="s">
        <v>134</v>
      </c>
      <c r="BN287" t="s">
        <v>134</v>
      </c>
      <c r="BO287" t="s">
        <v>134</v>
      </c>
      <c r="BP287" t="s">
        <v>134</v>
      </c>
      <c r="BQ287" t="s">
        <v>134</v>
      </c>
      <c r="BR287" t="s">
        <v>134</v>
      </c>
      <c r="BS287" t="s">
        <v>134</v>
      </c>
      <c r="BT287" t="s">
        <v>134</v>
      </c>
      <c r="BU287" t="s">
        <v>134</v>
      </c>
      <c r="BV287" t="s">
        <v>134</v>
      </c>
      <c r="BW287" t="s">
        <v>134</v>
      </c>
      <c r="BX287" t="s">
        <v>134</v>
      </c>
      <c r="BY287" t="s">
        <v>134</v>
      </c>
      <c r="BZ287" t="s">
        <v>134</v>
      </c>
      <c r="CA287" t="s">
        <v>134</v>
      </c>
      <c r="CB287" t="s">
        <v>134</v>
      </c>
      <c r="CC287" t="s">
        <v>134</v>
      </c>
      <c r="CD287" t="s">
        <v>134</v>
      </c>
      <c r="CE287" t="s">
        <v>134</v>
      </c>
      <c r="CF287" t="s">
        <v>134</v>
      </c>
      <c r="CG287" t="s">
        <v>134</v>
      </c>
      <c r="CH287" t="s">
        <v>134</v>
      </c>
      <c r="CI287" t="s">
        <v>134</v>
      </c>
      <c r="CJ287" t="s">
        <v>134</v>
      </c>
      <c r="CK287" t="s">
        <v>134</v>
      </c>
      <c r="CL287" t="s">
        <v>134</v>
      </c>
      <c r="CM287" t="s">
        <v>134</v>
      </c>
      <c r="CN287" t="s">
        <v>134</v>
      </c>
      <c r="CO287" t="s">
        <v>134</v>
      </c>
      <c r="CP287" t="s">
        <v>134</v>
      </c>
      <c r="CQ287" t="s">
        <v>134</v>
      </c>
      <c r="CR287" t="s">
        <v>134</v>
      </c>
      <c r="CS287" t="s">
        <v>134</v>
      </c>
      <c r="CT287" t="s">
        <v>134</v>
      </c>
      <c r="CU287" t="s">
        <v>134</v>
      </c>
      <c r="CV287" t="s">
        <v>134</v>
      </c>
      <c r="CW287" t="s">
        <v>134</v>
      </c>
      <c r="CX287" t="s">
        <v>134</v>
      </c>
      <c r="CY287" t="s">
        <v>134</v>
      </c>
      <c r="CZ287" t="s">
        <v>134</v>
      </c>
      <c r="DA287" t="s">
        <v>134</v>
      </c>
      <c r="DB287" t="s">
        <v>134</v>
      </c>
      <c r="DC287" t="s">
        <v>134</v>
      </c>
      <c r="DD287" t="s">
        <v>134</v>
      </c>
      <c r="DE287" t="s">
        <v>134</v>
      </c>
      <c r="DF287" t="s">
        <v>134</v>
      </c>
      <c r="DG287" t="s">
        <v>134</v>
      </c>
      <c r="DH287" t="s">
        <v>134</v>
      </c>
      <c r="DI287" t="s">
        <v>134</v>
      </c>
    </row>
    <row r="288" spans="1:113" x14ac:dyDescent="0.3">
      <c r="D288" t="s">
        <v>83</v>
      </c>
      <c r="E288" t="s">
        <v>77</v>
      </c>
      <c r="F288">
        <v>20.915800000000001</v>
      </c>
      <c r="G288">
        <v>3.2273999999999998</v>
      </c>
      <c r="H288">
        <v>3.3689999999999998</v>
      </c>
      <c r="I288">
        <v>4.6348000000000003</v>
      </c>
      <c r="J288">
        <v>66.652699999999996</v>
      </c>
      <c r="K288">
        <v>43.069000000000003</v>
      </c>
      <c r="L288">
        <v>45.747999999999998</v>
      </c>
      <c r="M288">
        <v>26.897500000000001</v>
      </c>
      <c r="N288">
        <v>29.209399999999999</v>
      </c>
      <c r="O288">
        <v>17.505099999999999</v>
      </c>
      <c r="P288">
        <v>29.209399999999999</v>
      </c>
      <c r="Q288">
        <v>34.919200000000004</v>
      </c>
      <c r="R288">
        <v>10.533099999999999</v>
      </c>
      <c r="S288">
        <v>18.712700000000002</v>
      </c>
      <c r="T288">
        <v>35.484000000000002</v>
      </c>
      <c r="U288">
        <v>34.897199999999998</v>
      </c>
      <c r="V288">
        <v>42.777200000000001</v>
      </c>
      <c r="W288">
        <v>42.4054</v>
      </c>
      <c r="X288">
        <v>34.411900000000003</v>
      </c>
      <c r="Y288">
        <v>38.8889</v>
      </c>
      <c r="Z288" t="s">
        <v>134</v>
      </c>
      <c r="AA288" t="s">
        <v>134</v>
      </c>
      <c r="AB288">
        <v>11.312200000000001</v>
      </c>
      <c r="AC288">
        <v>41.723399999999998</v>
      </c>
      <c r="AD288" t="s">
        <v>134</v>
      </c>
      <c r="AE288" t="s">
        <v>134</v>
      </c>
      <c r="AF288" t="s">
        <v>134</v>
      </c>
      <c r="AG288">
        <v>40.0503</v>
      </c>
      <c r="AH288">
        <v>38.905099999999997</v>
      </c>
      <c r="AI288">
        <v>54.733499999999999</v>
      </c>
      <c r="AJ288">
        <v>41.320399999999999</v>
      </c>
      <c r="AK288">
        <v>44.478200000000001</v>
      </c>
      <c r="AL288" t="s">
        <v>134</v>
      </c>
      <c r="AM288" t="s">
        <v>134</v>
      </c>
      <c r="AN288" t="s">
        <v>134</v>
      </c>
      <c r="AO288" t="s">
        <v>134</v>
      </c>
      <c r="AP288" t="s">
        <v>134</v>
      </c>
      <c r="AQ288" t="s">
        <v>134</v>
      </c>
      <c r="AR288" t="s">
        <v>134</v>
      </c>
      <c r="AS288" t="s">
        <v>134</v>
      </c>
      <c r="AT288" t="s">
        <v>134</v>
      </c>
      <c r="AU288" t="s">
        <v>134</v>
      </c>
      <c r="AV288" t="s">
        <v>134</v>
      </c>
      <c r="AW288" t="s">
        <v>134</v>
      </c>
      <c r="AX288" t="s">
        <v>134</v>
      </c>
      <c r="AY288" t="s">
        <v>134</v>
      </c>
      <c r="AZ288" t="s">
        <v>134</v>
      </c>
      <c r="BA288" t="s">
        <v>134</v>
      </c>
      <c r="BB288" t="s">
        <v>134</v>
      </c>
      <c r="BC288" t="s">
        <v>134</v>
      </c>
      <c r="BD288" t="s">
        <v>134</v>
      </c>
      <c r="BE288" t="s">
        <v>134</v>
      </c>
      <c r="BF288">
        <v>35.484000000000002</v>
      </c>
      <c r="BG288">
        <v>34.897199999999998</v>
      </c>
      <c r="BH288">
        <v>42.777200000000001</v>
      </c>
      <c r="BI288">
        <v>42.4054</v>
      </c>
      <c r="BJ288">
        <v>34.411900000000003</v>
      </c>
      <c r="BK288">
        <v>38.8889</v>
      </c>
      <c r="BL288">
        <v>77.991699999999994</v>
      </c>
      <c r="BM288" t="s">
        <v>134</v>
      </c>
      <c r="BN288">
        <v>11.312200000000001</v>
      </c>
      <c r="BO288">
        <v>41.723399999999998</v>
      </c>
      <c r="BP288" t="s">
        <v>134</v>
      </c>
      <c r="BQ288" t="s">
        <v>134</v>
      </c>
      <c r="BR288" t="s">
        <v>134</v>
      </c>
      <c r="BS288">
        <v>40.0503</v>
      </c>
      <c r="BT288">
        <v>38.905099999999997</v>
      </c>
      <c r="BU288">
        <v>54.733499999999999</v>
      </c>
      <c r="BV288">
        <v>41.320399999999999</v>
      </c>
      <c r="BW288">
        <v>44.478200000000001</v>
      </c>
      <c r="BX288" t="s">
        <v>134</v>
      </c>
      <c r="BY288">
        <v>370245.9</v>
      </c>
      <c r="BZ288">
        <v>117377.3</v>
      </c>
      <c r="CA288">
        <v>252868.6</v>
      </c>
      <c r="CB288">
        <v>7.6048999999999998</v>
      </c>
      <c r="CC288">
        <v>7.3315000000000001</v>
      </c>
      <c r="CD288">
        <v>19.638300000000001</v>
      </c>
      <c r="CE288">
        <v>18.932400000000001</v>
      </c>
      <c r="CF288">
        <v>1.6634</v>
      </c>
      <c r="CG288">
        <v>15.9864</v>
      </c>
      <c r="CH288">
        <v>340.48309999999998</v>
      </c>
      <c r="CI288">
        <v>56.886600000000001</v>
      </c>
      <c r="CJ288">
        <v>54.431100000000001</v>
      </c>
      <c r="CK288">
        <v>498.52949999999998</v>
      </c>
      <c r="CL288">
        <v>83.292400000000001</v>
      </c>
      <c r="CM288">
        <v>79.697199999999995</v>
      </c>
      <c r="CN288">
        <v>480.60980000000001</v>
      </c>
      <c r="CO288">
        <v>82.776700000000005</v>
      </c>
      <c r="CP288">
        <v>48685.2</v>
      </c>
      <c r="CQ288">
        <v>47732.7</v>
      </c>
      <c r="CR288">
        <v>18853.3</v>
      </c>
      <c r="CS288" t="s">
        <v>134</v>
      </c>
      <c r="CT288" t="s">
        <v>134</v>
      </c>
      <c r="CU288" t="s">
        <v>134</v>
      </c>
      <c r="CV288" t="s">
        <v>134</v>
      </c>
      <c r="CW288" t="s">
        <v>134</v>
      </c>
      <c r="CX288" t="s">
        <v>134</v>
      </c>
      <c r="CY288" t="s">
        <v>134</v>
      </c>
      <c r="CZ288" t="s">
        <v>134</v>
      </c>
      <c r="DA288" t="s">
        <v>134</v>
      </c>
      <c r="DB288" t="s">
        <v>134</v>
      </c>
      <c r="DC288" t="s">
        <v>134</v>
      </c>
      <c r="DD288" t="s">
        <v>134</v>
      </c>
      <c r="DE288" t="s">
        <v>134</v>
      </c>
      <c r="DF288" t="s">
        <v>134</v>
      </c>
      <c r="DG288" t="s">
        <v>134</v>
      </c>
      <c r="DH288" t="s">
        <v>134</v>
      </c>
      <c r="DI288" t="s">
        <v>134</v>
      </c>
    </row>
    <row r="289" spans="1:113" x14ac:dyDescent="0.3">
      <c r="E289" t="s">
        <v>78</v>
      </c>
      <c r="F289" t="s">
        <v>134</v>
      </c>
      <c r="G289" t="s">
        <v>134</v>
      </c>
      <c r="H289" t="s">
        <v>134</v>
      </c>
      <c r="I289" t="s">
        <v>134</v>
      </c>
      <c r="J289" t="s">
        <v>134</v>
      </c>
      <c r="K289" t="s">
        <v>134</v>
      </c>
      <c r="L289" t="s">
        <v>134</v>
      </c>
      <c r="M289" t="s">
        <v>134</v>
      </c>
      <c r="N289" t="s">
        <v>134</v>
      </c>
      <c r="O289" t="s">
        <v>134</v>
      </c>
      <c r="P289" t="s">
        <v>134</v>
      </c>
      <c r="Q289" t="s">
        <v>134</v>
      </c>
      <c r="R289" t="s">
        <v>134</v>
      </c>
      <c r="S289" t="s">
        <v>134</v>
      </c>
      <c r="T289" t="s">
        <v>134</v>
      </c>
      <c r="U289" t="s">
        <v>134</v>
      </c>
      <c r="V289" t="s">
        <v>134</v>
      </c>
      <c r="W289" t="s">
        <v>134</v>
      </c>
      <c r="X289" t="s">
        <v>134</v>
      </c>
      <c r="Y289" t="s">
        <v>134</v>
      </c>
      <c r="Z289" t="s">
        <v>134</v>
      </c>
      <c r="AA289" t="s">
        <v>134</v>
      </c>
      <c r="AB289" t="s">
        <v>134</v>
      </c>
      <c r="AC289" t="s">
        <v>134</v>
      </c>
      <c r="AD289" t="s">
        <v>134</v>
      </c>
      <c r="AE289" t="s">
        <v>134</v>
      </c>
      <c r="AF289" t="s">
        <v>134</v>
      </c>
      <c r="AG289" t="s">
        <v>134</v>
      </c>
      <c r="AH289" t="s">
        <v>134</v>
      </c>
      <c r="AI289" t="s">
        <v>134</v>
      </c>
      <c r="AJ289" t="s">
        <v>134</v>
      </c>
      <c r="AK289" t="s">
        <v>134</v>
      </c>
      <c r="AL289" t="s">
        <v>134</v>
      </c>
      <c r="AM289" t="s">
        <v>134</v>
      </c>
      <c r="AN289" t="s">
        <v>134</v>
      </c>
      <c r="AO289" t="s">
        <v>134</v>
      </c>
      <c r="AP289" t="s">
        <v>134</v>
      </c>
      <c r="AQ289" t="s">
        <v>134</v>
      </c>
      <c r="AR289" t="s">
        <v>134</v>
      </c>
      <c r="AS289" t="s">
        <v>134</v>
      </c>
      <c r="AT289" t="s">
        <v>134</v>
      </c>
      <c r="AU289" t="s">
        <v>134</v>
      </c>
      <c r="AV289" t="s">
        <v>134</v>
      </c>
      <c r="AW289" t="s">
        <v>134</v>
      </c>
      <c r="AX289" t="s">
        <v>134</v>
      </c>
      <c r="AY289" t="s">
        <v>134</v>
      </c>
      <c r="AZ289" t="s">
        <v>134</v>
      </c>
      <c r="BA289" t="s">
        <v>134</v>
      </c>
      <c r="BB289" t="s">
        <v>134</v>
      </c>
      <c r="BC289" t="s">
        <v>134</v>
      </c>
      <c r="BD289" t="s">
        <v>134</v>
      </c>
      <c r="BE289" t="s">
        <v>134</v>
      </c>
      <c r="BF289" t="s">
        <v>134</v>
      </c>
      <c r="BG289" t="s">
        <v>134</v>
      </c>
      <c r="BH289" t="s">
        <v>134</v>
      </c>
      <c r="BI289" t="s">
        <v>134</v>
      </c>
      <c r="BJ289" t="s">
        <v>134</v>
      </c>
      <c r="BK289" t="s">
        <v>134</v>
      </c>
      <c r="BL289" t="s">
        <v>134</v>
      </c>
      <c r="BM289" t="s">
        <v>134</v>
      </c>
      <c r="BN289" t="s">
        <v>134</v>
      </c>
      <c r="BO289" t="s">
        <v>134</v>
      </c>
      <c r="BP289" t="s">
        <v>134</v>
      </c>
      <c r="BQ289" t="s">
        <v>134</v>
      </c>
      <c r="BR289" t="s">
        <v>134</v>
      </c>
      <c r="BS289" t="s">
        <v>134</v>
      </c>
      <c r="BT289" t="s">
        <v>134</v>
      </c>
      <c r="BU289" t="s">
        <v>134</v>
      </c>
      <c r="BV289" t="s">
        <v>134</v>
      </c>
      <c r="BW289" t="s">
        <v>134</v>
      </c>
      <c r="BX289" t="s">
        <v>134</v>
      </c>
      <c r="BY289" t="s">
        <v>134</v>
      </c>
      <c r="BZ289" t="s">
        <v>134</v>
      </c>
      <c r="CA289" t="s">
        <v>134</v>
      </c>
      <c r="CB289" t="s">
        <v>134</v>
      </c>
      <c r="CC289" t="s">
        <v>134</v>
      </c>
      <c r="CD289" t="s">
        <v>134</v>
      </c>
      <c r="CE289" t="s">
        <v>134</v>
      </c>
      <c r="CF289" t="s">
        <v>134</v>
      </c>
      <c r="CG289" t="s">
        <v>134</v>
      </c>
      <c r="CH289" t="s">
        <v>134</v>
      </c>
      <c r="CI289" t="s">
        <v>134</v>
      </c>
      <c r="CJ289" t="s">
        <v>134</v>
      </c>
      <c r="CK289" t="s">
        <v>134</v>
      </c>
      <c r="CL289" t="s">
        <v>134</v>
      </c>
      <c r="CM289" t="s">
        <v>134</v>
      </c>
      <c r="CN289" t="s">
        <v>134</v>
      </c>
      <c r="CO289" t="s">
        <v>134</v>
      </c>
      <c r="CP289" t="s">
        <v>134</v>
      </c>
      <c r="CQ289" t="s">
        <v>134</v>
      </c>
      <c r="CR289" t="s">
        <v>134</v>
      </c>
      <c r="CS289" t="s">
        <v>134</v>
      </c>
      <c r="CT289" t="s">
        <v>134</v>
      </c>
      <c r="CU289" t="s">
        <v>134</v>
      </c>
      <c r="CV289" t="s">
        <v>134</v>
      </c>
      <c r="CW289" t="s">
        <v>134</v>
      </c>
      <c r="CX289" t="s">
        <v>134</v>
      </c>
      <c r="CY289" t="s">
        <v>134</v>
      </c>
      <c r="CZ289" t="s">
        <v>134</v>
      </c>
      <c r="DA289" t="s">
        <v>134</v>
      </c>
      <c r="DB289" t="s">
        <v>134</v>
      </c>
      <c r="DC289" t="s">
        <v>134</v>
      </c>
      <c r="DD289" t="s">
        <v>134</v>
      </c>
      <c r="DE289" t="s">
        <v>134</v>
      </c>
      <c r="DF289" t="s">
        <v>134</v>
      </c>
      <c r="DG289" t="s">
        <v>134</v>
      </c>
      <c r="DH289" t="s">
        <v>134</v>
      </c>
      <c r="DI289" t="s">
        <v>134</v>
      </c>
    </row>
    <row r="290" spans="1:113" x14ac:dyDescent="0.3">
      <c r="E290" t="s">
        <v>79</v>
      </c>
      <c r="F290" t="s">
        <v>134</v>
      </c>
      <c r="G290" t="s">
        <v>134</v>
      </c>
      <c r="H290" t="s">
        <v>134</v>
      </c>
      <c r="I290" t="s">
        <v>134</v>
      </c>
      <c r="J290" t="s">
        <v>134</v>
      </c>
      <c r="K290" t="s">
        <v>134</v>
      </c>
      <c r="L290" t="s">
        <v>134</v>
      </c>
      <c r="M290" t="s">
        <v>134</v>
      </c>
      <c r="N290" t="s">
        <v>134</v>
      </c>
      <c r="O290" t="s">
        <v>134</v>
      </c>
      <c r="P290" t="s">
        <v>134</v>
      </c>
      <c r="Q290" t="s">
        <v>134</v>
      </c>
      <c r="R290" t="s">
        <v>134</v>
      </c>
      <c r="S290" t="s">
        <v>134</v>
      </c>
      <c r="T290" t="s">
        <v>134</v>
      </c>
      <c r="U290" t="s">
        <v>134</v>
      </c>
      <c r="V290" t="s">
        <v>134</v>
      </c>
      <c r="W290" t="s">
        <v>134</v>
      </c>
      <c r="X290" t="s">
        <v>134</v>
      </c>
      <c r="Y290" t="s">
        <v>134</v>
      </c>
      <c r="Z290" t="s">
        <v>134</v>
      </c>
      <c r="AA290" t="s">
        <v>134</v>
      </c>
      <c r="AB290" t="s">
        <v>134</v>
      </c>
      <c r="AC290" t="s">
        <v>134</v>
      </c>
      <c r="AD290" t="s">
        <v>134</v>
      </c>
      <c r="AE290" t="s">
        <v>134</v>
      </c>
      <c r="AF290" t="s">
        <v>134</v>
      </c>
      <c r="AG290" t="s">
        <v>134</v>
      </c>
      <c r="AH290" t="s">
        <v>134</v>
      </c>
      <c r="AI290" t="s">
        <v>134</v>
      </c>
      <c r="AJ290" t="s">
        <v>134</v>
      </c>
      <c r="AK290" t="s">
        <v>134</v>
      </c>
      <c r="AL290" t="s">
        <v>134</v>
      </c>
      <c r="AM290" t="s">
        <v>134</v>
      </c>
      <c r="AN290" t="s">
        <v>134</v>
      </c>
      <c r="AO290" t="s">
        <v>134</v>
      </c>
      <c r="AP290" t="s">
        <v>134</v>
      </c>
      <c r="AQ290" t="s">
        <v>134</v>
      </c>
      <c r="AR290" t="s">
        <v>134</v>
      </c>
      <c r="AS290" t="s">
        <v>134</v>
      </c>
      <c r="AT290" t="s">
        <v>134</v>
      </c>
      <c r="AU290" t="s">
        <v>134</v>
      </c>
      <c r="AV290" t="s">
        <v>134</v>
      </c>
      <c r="AW290" t="s">
        <v>134</v>
      </c>
      <c r="AX290" t="s">
        <v>134</v>
      </c>
      <c r="AY290" t="s">
        <v>134</v>
      </c>
      <c r="AZ290" t="s">
        <v>134</v>
      </c>
      <c r="BA290" t="s">
        <v>134</v>
      </c>
      <c r="BB290" t="s">
        <v>134</v>
      </c>
      <c r="BC290" t="s">
        <v>134</v>
      </c>
      <c r="BD290" t="s">
        <v>134</v>
      </c>
      <c r="BE290" t="s">
        <v>134</v>
      </c>
      <c r="BF290" t="s">
        <v>134</v>
      </c>
      <c r="BG290" t="s">
        <v>134</v>
      </c>
      <c r="BH290" t="s">
        <v>134</v>
      </c>
      <c r="BI290" t="s">
        <v>134</v>
      </c>
      <c r="BJ290" t="s">
        <v>134</v>
      </c>
      <c r="BK290" t="s">
        <v>134</v>
      </c>
      <c r="BL290" t="s">
        <v>134</v>
      </c>
      <c r="BM290" t="s">
        <v>134</v>
      </c>
      <c r="BN290" t="s">
        <v>134</v>
      </c>
      <c r="BO290" t="s">
        <v>134</v>
      </c>
      <c r="BP290" t="s">
        <v>134</v>
      </c>
      <c r="BQ290" t="s">
        <v>134</v>
      </c>
      <c r="BR290" t="s">
        <v>134</v>
      </c>
      <c r="BS290" t="s">
        <v>134</v>
      </c>
      <c r="BT290" t="s">
        <v>134</v>
      </c>
      <c r="BU290" t="s">
        <v>134</v>
      </c>
      <c r="BV290" t="s">
        <v>134</v>
      </c>
      <c r="BW290" t="s">
        <v>134</v>
      </c>
      <c r="BX290" t="s">
        <v>134</v>
      </c>
      <c r="BY290" t="s">
        <v>134</v>
      </c>
      <c r="BZ290" t="s">
        <v>134</v>
      </c>
      <c r="CA290" t="s">
        <v>134</v>
      </c>
      <c r="CB290" t="s">
        <v>134</v>
      </c>
      <c r="CC290" t="s">
        <v>134</v>
      </c>
      <c r="CD290" t="s">
        <v>134</v>
      </c>
      <c r="CE290" t="s">
        <v>134</v>
      </c>
      <c r="CF290" t="s">
        <v>134</v>
      </c>
      <c r="CG290" t="s">
        <v>134</v>
      </c>
      <c r="CH290" t="s">
        <v>134</v>
      </c>
      <c r="CI290" t="s">
        <v>134</v>
      </c>
      <c r="CJ290" t="s">
        <v>134</v>
      </c>
      <c r="CK290" t="s">
        <v>134</v>
      </c>
      <c r="CL290" t="s">
        <v>134</v>
      </c>
      <c r="CM290" t="s">
        <v>134</v>
      </c>
      <c r="CN290" t="s">
        <v>134</v>
      </c>
      <c r="CO290" t="s">
        <v>134</v>
      </c>
      <c r="CP290" t="s">
        <v>134</v>
      </c>
      <c r="CQ290" t="s">
        <v>134</v>
      </c>
      <c r="CR290" t="s">
        <v>134</v>
      </c>
      <c r="CS290" t="s">
        <v>134</v>
      </c>
      <c r="CT290" t="s">
        <v>134</v>
      </c>
      <c r="CU290" t="s">
        <v>134</v>
      </c>
      <c r="CV290" t="s">
        <v>134</v>
      </c>
      <c r="CW290" t="s">
        <v>134</v>
      </c>
      <c r="CX290" t="s">
        <v>134</v>
      </c>
      <c r="CY290" t="s">
        <v>134</v>
      </c>
      <c r="CZ290" t="s">
        <v>134</v>
      </c>
      <c r="DA290" t="s">
        <v>134</v>
      </c>
      <c r="DB290" t="s">
        <v>134</v>
      </c>
      <c r="DC290" t="s">
        <v>134</v>
      </c>
      <c r="DD290" t="s">
        <v>134</v>
      </c>
      <c r="DE290" t="s">
        <v>134</v>
      </c>
      <c r="DF290" t="s">
        <v>134</v>
      </c>
      <c r="DG290" t="s">
        <v>134</v>
      </c>
      <c r="DH290" t="s">
        <v>134</v>
      </c>
      <c r="DI290" t="s">
        <v>134</v>
      </c>
    </row>
    <row r="291" spans="1:113" x14ac:dyDescent="0.3">
      <c r="E291" t="s">
        <v>80</v>
      </c>
      <c r="F291" t="s">
        <v>134</v>
      </c>
      <c r="G291" t="s">
        <v>134</v>
      </c>
      <c r="H291" t="s">
        <v>134</v>
      </c>
      <c r="I291" t="s">
        <v>134</v>
      </c>
      <c r="J291" t="s">
        <v>134</v>
      </c>
      <c r="K291" t="s">
        <v>134</v>
      </c>
      <c r="L291" t="s">
        <v>134</v>
      </c>
      <c r="M291" t="s">
        <v>134</v>
      </c>
      <c r="N291" t="s">
        <v>134</v>
      </c>
      <c r="O291" t="s">
        <v>134</v>
      </c>
      <c r="P291" t="s">
        <v>134</v>
      </c>
      <c r="Q291" t="s">
        <v>134</v>
      </c>
      <c r="R291" t="s">
        <v>134</v>
      </c>
      <c r="S291" t="s">
        <v>134</v>
      </c>
      <c r="T291" t="s">
        <v>134</v>
      </c>
      <c r="U291" t="s">
        <v>134</v>
      </c>
      <c r="V291" t="s">
        <v>134</v>
      </c>
      <c r="W291" t="s">
        <v>134</v>
      </c>
      <c r="X291" t="s">
        <v>134</v>
      </c>
      <c r="Y291" t="s">
        <v>134</v>
      </c>
      <c r="Z291" t="s">
        <v>134</v>
      </c>
      <c r="AA291" t="s">
        <v>134</v>
      </c>
      <c r="AB291" t="s">
        <v>134</v>
      </c>
      <c r="AC291" t="s">
        <v>134</v>
      </c>
      <c r="AD291" t="s">
        <v>134</v>
      </c>
      <c r="AE291" t="s">
        <v>134</v>
      </c>
      <c r="AF291" t="s">
        <v>134</v>
      </c>
      <c r="AG291" t="s">
        <v>134</v>
      </c>
      <c r="AH291" t="s">
        <v>134</v>
      </c>
      <c r="AI291" t="s">
        <v>134</v>
      </c>
      <c r="AJ291" t="s">
        <v>134</v>
      </c>
      <c r="AK291" t="s">
        <v>134</v>
      </c>
      <c r="AL291" t="s">
        <v>134</v>
      </c>
      <c r="AM291" t="s">
        <v>134</v>
      </c>
      <c r="AN291" t="s">
        <v>134</v>
      </c>
      <c r="AO291" t="s">
        <v>134</v>
      </c>
      <c r="AP291" t="s">
        <v>134</v>
      </c>
      <c r="AQ291" t="s">
        <v>134</v>
      </c>
      <c r="AR291" t="s">
        <v>134</v>
      </c>
      <c r="AS291" t="s">
        <v>134</v>
      </c>
      <c r="AT291" t="s">
        <v>134</v>
      </c>
      <c r="AU291" t="s">
        <v>134</v>
      </c>
      <c r="AV291" t="s">
        <v>134</v>
      </c>
      <c r="AW291" t="s">
        <v>134</v>
      </c>
      <c r="AX291" t="s">
        <v>134</v>
      </c>
      <c r="AY291" t="s">
        <v>134</v>
      </c>
      <c r="AZ291" t="s">
        <v>134</v>
      </c>
      <c r="BA291" t="s">
        <v>134</v>
      </c>
      <c r="BB291" t="s">
        <v>134</v>
      </c>
      <c r="BC291" t="s">
        <v>134</v>
      </c>
      <c r="BD291" t="s">
        <v>134</v>
      </c>
      <c r="BE291" t="s">
        <v>134</v>
      </c>
      <c r="BF291" t="s">
        <v>134</v>
      </c>
      <c r="BG291" t="s">
        <v>134</v>
      </c>
      <c r="BH291" t="s">
        <v>134</v>
      </c>
      <c r="BI291" t="s">
        <v>134</v>
      </c>
      <c r="BJ291" t="s">
        <v>134</v>
      </c>
      <c r="BK291" t="s">
        <v>134</v>
      </c>
      <c r="BL291" t="s">
        <v>134</v>
      </c>
      <c r="BM291" t="s">
        <v>134</v>
      </c>
      <c r="BN291" t="s">
        <v>134</v>
      </c>
      <c r="BO291" t="s">
        <v>134</v>
      </c>
      <c r="BP291" t="s">
        <v>134</v>
      </c>
      <c r="BQ291" t="s">
        <v>134</v>
      </c>
      <c r="BR291" t="s">
        <v>134</v>
      </c>
      <c r="BS291" t="s">
        <v>134</v>
      </c>
      <c r="BT291" t="s">
        <v>134</v>
      </c>
      <c r="BU291" t="s">
        <v>134</v>
      </c>
      <c r="BV291" t="s">
        <v>134</v>
      </c>
      <c r="BW291" t="s">
        <v>134</v>
      </c>
      <c r="BX291" t="s">
        <v>134</v>
      </c>
      <c r="BY291" t="s">
        <v>134</v>
      </c>
      <c r="BZ291" t="s">
        <v>134</v>
      </c>
      <c r="CA291" t="s">
        <v>134</v>
      </c>
      <c r="CB291" t="s">
        <v>134</v>
      </c>
      <c r="CC291" t="s">
        <v>134</v>
      </c>
      <c r="CD291" t="s">
        <v>134</v>
      </c>
      <c r="CE291" t="s">
        <v>134</v>
      </c>
      <c r="CF291" t="s">
        <v>134</v>
      </c>
      <c r="CG291" t="s">
        <v>134</v>
      </c>
      <c r="CH291" t="s">
        <v>134</v>
      </c>
      <c r="CI291" t="s">
        <v>134</v>
      </c>
      <c r="CJ291" t="s">
        <v>134</v>
      </c>
      <c r="CK291" t="s">
        <v>134</v>
      </c>
      <c r="CL291" t="s">
        <v>134</v>
      </c>
      <c r="CM291" t="s">
        <v>134</v>
      </c>
      <c r="CN291" t="s">
        <v>134</v>
      </c>
      <c r="CO291" t="s">
        <v>134</v>
      </c>
      <c r="CP291" t="s">
        <v>134</v>
      </c>
      <c r="CQ291" t="s">
        <v>134</v>
      </c>
      <c r="CR291" t="s">
        <v>134</v>
      </c>
      <c r="CS291" t="s">
        <v>134</v>
      </c>
      <c r="CT291" t="s">
        <v>134</v>
      </c>
      <c r="CU291" t="s">
        <v>134</v>
      </c>
      <c r="CV291" t="s">
        <v>134</v>
      </c>
      <c r="CW291" t="s">
        <v>134</v>
      </c>
      <c r="CX291" t="s">
        <v>134</v>
      </c>
      <c r="CY291" t="s">
        <v>134</v>
      </c>
      <c r="CZ291" t="s">
        <v>134</v>
      </c>
      <c r="DA291" t="s">
        <v>134</v>
      </c>
      <c r="DB291" t="s">
        <v>134</v>
      </c>
      <c r="DC291" t="s">
        <v>134</v>
      </c>
      <c r="DD291" t="s">
        <v>134</v>
      </c>
      <c r="DE291" t="s">
        <v>134</v>
      </c>
      <c r="DF291" t="s">
        <v>134</v>
      </c>
      <c r="DG291" t="s">
        <v>134</v>
      </c>
      <c r="DH291" t="s">
        <v>134</v>
      </c>
      <c r="DI291" t="s">
        <v>134</v>
      </c>
    </row>
    <row r="292" spans="1:113" x14ac:dyDescent="0.3">
      <c r="E292" t="s">
        <v>81</v>
      </c>
      <c r="F292" t="s">
        <v>134</v>
      </c>
      <c r="G292" t="s">
        <v>134</v>
      </c>
      <c r="H292" t="s">
        <v>134</v>
      </c>
      <c r="I292" t="s">
        <v>134</v>
      </c>
      <c r="J292" t="s">
        <v>134</v>
      </c>
      <c r="K292" t="s">
        <v>134</v>
      </c>
      <c r="L292" t="s">
        <v>134</v>
      </c>
      <c r="M292" t="s">
        <v>134</v>
      </c>
      <c r="N292" t="s">
        <v>134</v>
      </c>
      <c r="O292" t="s">
        <v>134</v>
      </c>
      <c r="P292" t="s">
        <v>134</v>
      </c>
      <c r="Q292" t="s">
        <v>134</v>
      </c>
      <c r="R292" t="s">
        <v>134</v>
      </c>
      <c r="S292" t="s">
        <v>134</v>
      </c>
      <c r="T292" t="s">
        <v>134</v>
      </c>
      <c r="U292" t="s">
        <v>134</v>
      </c>
      <c r="V292" t="s">
        <v>134</v>
      </c>
      <c r="W292" t="s">
        <v>134</v>
      </c>
      <c r="X292" t="s">
        <v>134</v>
      </c>
      <c r="Y292" t="s">
        <v>134</v>
      </c>
      <c r="Z292" t="s">
        <v>134</v>
      </c>
      <c r="AA292" t="s">
        <v>134</v>
      </c>
      <c r="AB292" t="s">
        <v>134</v>
      </c>
      <c r="AC292" t="s">
        <v>134</v>
      </c>
      <c r="AD292" t="s">
        <v>134</v>
      </c>
      <c r="AE292" t="s">
        <v>134</v>
      </c>
      <c r="AF292" t="s">
        <v>134</v>
      </c>
      <c r="AG292" t="s">
        <v>134</v>
      </c>
      <c r="AH292" t="s">
        <v>134</v>
      </c>
      <c r="AI292" t="s">
        <v>134</v>
      </c>
      <c r="AJ292" t="s">
        <v>134</v>
      </c>
      <c r="AK292" t="s">
        <v>134</v>
      </c>
      <c r="AL292" t="s">
        <v>134</v>
      </c>
      <c r="AM292" t="s">
        <v>134</v>
      </c>
      <c r="AN292" t="s">
        <v>134</v>
      </c>
      <c r="AO292" t="s">
        <v>134</v>
      </c>
      <c r="AP292" t="s">
        <v>134</v>
      </c>
      <c r="AQ292" t="s">
        <v>134</v>
      </c>
      <c r="AR292" t="s">
        <v>134</v>
      </c>
      <c r="AS292" t="s">
        <v>134</v>
      </c>
      <c r="AT292" t="s">
        <v>134</v>
      </c>
      <c r="AU292" t="s">
        <v>134</v>
      </c>
      <c r="AV292" t="s">
        <v>134</v>
      </c>
      <c r="AW292" t="s">
        <v>134</v>
      </c>
      <c r="AX292" t="s">
        <v>134</v>
      </c>
      <c r="AY292" t="s">
        <v>134</v>
      </c>
      <c r="AZ292" t="s">
        <v>134</v>
      </c>
      <c r="BA292" t="s">
        <v>134</v>
      </c>
      <c r="BB292" t="s">
        <v>134</v>
      </c>
      <c r="BC292" t="s">
        <v>134</v>
      </c>
      <c r="BD292" t="s">
        <v>134</v>
      </c>
      <c r="BE292" t="s">
        <v>134</v>
      </c>
      <c r="BF292" t="s">
        <v>134</v>
      </c>
      <c r="BG292" t="s">
        <v>134</v>
      </c>
      <c r="BH292" t="s">
        <v>134</v>
      </c>
      <c r="BI292" t="s">
        <v>134</v>
      </c>
      <c r="BJ292" t="s">
        <v>134</v>
      </c>
      <c r="BK292" t="s">
        <v>134</v>
      </c>
      <c r="BL292" t="s">
        <v>134</v>
      </c>
      <c r="BM292" t="s">
        <v>134</v>
      </c>
      <c r="BN292" t="s">
        <v>134</v>
      </c>
      <c r="BO292" t="s">
        <v>134</v>
      </c>
      <c r="BP292" t="s">
        <v>134</v>
      </c>
      <c r="BQ292" t="s">
        <v>134</v>
      </c>
      <c r="BR292" t="s">
        <v>134</v>
      </c>
      <c r="BS292" t="s">
        <v>134</v>
      </c>
      <c r="BT292" t="s">
        <v>134</v>
      </c>
      <c r="BU292" t="s">
        <v>134</v>
      </c>
      <c r="BV292" t="s">
        <v>134</v>
      </c>
      <c r="BW292" t="s">
        <v>134</v>
      </c>
      <c r="BX292" t="s">
        <v>134</v>
      </c>
      <c r="BY292" t="s">
        <v>134</v>
      </c>
      <c r="BZ292" t="s">
        <v>134</v>
      </c>
      <c r="CA292" t="s">
        <v>134</v>
      </c>
      <c r="CB292" t="s">
        <v>134</v>
      </c>
      <c r="CC292" t="s">
        <v>134</v>
      </c>
      <c r="CD292" t="s">
        <v>134</v>
      </c>
      <c r="CE292" t="s">
        <v>134</v>
      </c>
      <c r="CF292" t="s">
        <v>134</v>
      </c>
      <c r="CG292" t="s">
        <v>134</v>
      </c>
      <c r="CH292" t="s">
        <v>134</v>
      </c>
      <c r="CI292" t="s">
        <v>134</v>
      </c>
      <c r="CJ292" t="s">
        <v>134</v>
      </c>
      <c r="CK292" t="s">
        <v>134</v>
      </c>
      <c r="CL292" t="s">
        <v>134</v>
      </c>
      <c r="CM292" t="s">
        <v>134</v>
      </c>
      <c r="CN292" t="s">
        <v>134</v>
      </c>
      <c r="CO292" t="s">
        <v>134</v>
      </c>
      <c r="CP292" t="s">
        <v>134</v>
      </c>
      <c r="CQ292" t="s">
        <v>134</v>
      </c>
      <c r="CR292" t="s">
        <v>134</v>
      </c>
      <c r="CS292" t="s">
        <v>134</v>
      </c>
      <c r="CT292" t="s">
        <v>134</v>
      </c>
      <c r="CU292" t="s">
        <v>134</v>
      </c>
      <c r="CV292" t="s">
        <v>134</v>
      </c>
      <c r="CW292" t="s">
        <v>134</v>
      </c>
      <c r="CX292" t="s">
        <v>134</v>
      </c>
      <c r="CY292" t="s">
        <v>134</v>
      </c>
      <c r="CZ292" t="s">
        <v>134</v>
      </c>
      <c r="DA292" t="s">
        <v>134</v>
      </c>
      <c r="DB292" t="s">
        <v>134</v>
      </c>
      <c r="DC292" t="s">
        <v>134</v>
      </c>
      <c r="DD292" t="s">
        <v>134</v>
      </c>
      <c r="DE292" t="s">
        <v>134</v>
      </c>
      <c r="DF292" t="s">
        <v>134</v>
      </c>
      <c r="DG292" t="s">
        <v>134</v>
      </c>
      <c r="DH292" t="s">
        <v>134</v>
      </c>
      <c r="DI292" t="s">
        <v>134</v>
      </c>
    </row>
    <row r="293" spans="1:113" x14ac:dyDescent="0.3">
      <c r="D293" t="s">
        <v>84</v>
      </c>
      <c r="E293" t="s">
        <v>77</v>
      </c>
      <c r="F293">
        <v>21.5702</v>
      </c>
      <c r="G293">
        <v>3.3178000000000001</v>
      </c>
      <c r="H293">
        <v>3.5554000000000001</v>
      </c>
      <c r="I293">
        <v>5.1345000000000001</v>
      </c>
      <c r="J293">
        <v>66.782399999999996</v>
      </c>
      <c r="K293">
        <v>45.163600000000002</v>
      </c>
      <c r="L293">
        <v>47.791899999999998</v>
      </c>
      <c r="M293">
        <v>28.238</v>
      </c>
      <c r="N293">
        <v>29.7455</v>
      </c>
      <c r="O293">
        <v>18.4055</v>
      </c>
      <c r="P293">
        <v>29.7455</v>
      </c>
      <c r="Q293">
        <v>34.820300000000003</v>
      </c>
      <c r="R293">
        <v>10.72</v>
      </c>
      <c r="S293">
        <v>19.257899999999999</v>
      </c>
      <c r="T293">
        <v>36.797199999999997</v>
      </c>
      <c r="U293">
        <v>35.764499999999998</v>
      </c>
      <c r="V293">
        <v>44.869199999999999</v>
      </c>
      <c r="W293">
        <v>43.620899999999999</v>
      </c>
      <c r="X293">
        <v>40.996600000000001</v>
      </c>
      <c r="Y293">
        <v>-85.6</v>
      </c>
      <c r="Z293" t="s">
        <v>134</v>
      </c>
      <c r="AA293" t="s">
        <v>134</v>
      </c>
      <c r="AB293">
        <v>18.341200000000001</v>
      </c>
      <c r="AC293">
        <v>35.662100000000002</v>
      </c>
      <c r="AD293" t="s">
        <v>134</v>
      </c>
      <c r="AE293" t="s">
        <v>134</v>
      </c>
      <c r="AF293" t="s">
        <v>134</v>
      </c>
      <c r="AG293">
        <v>57.850499999999997</v>
      </c>
      <c r="AH293">
        <v>33.018500000000003</v>
      </c>
      <c r="AI293">
        <v>29.265799999999999</v>
      </c>
      <c r="AJ293">
        <v>32.391500000000001</v>
      </c>
      <c r="AK293">
        <v>26.585699999999999</v>
      </c>
      <c r="AL293">
        <v>66.429299999999998</v>
      </c>
      <c r="AM293" t="s">
        <v>134</v>
      </c>
      <c r="AN293" t="s">
        <v>134</v>
      </c>
      <c r="AO293" t="s">
        <v>134</v>
      </c>
      <c r="AP293" t="s">
        <v>134</v>
      </c>
      <c r="AQ293" t="s">
        <v>134</v>
      </c>
      <c r="AR293" t="s">
        <v>134</v>
      </c>
      <c r="AS293" t="s">
        <v>134</v>
      </c>
      <c r="AT293" t="s">
        <v>134</v>
      </c>
      <c r="AU293" t="s">
        <v>134</v>
      </c>
      <c r="AV293" t="s">
        <v>134</v>
      </c>
      <c r="AW293" t="s">
        <v>134</v>
      </c>
      <c r="AX293" t="s">
        <v>134</v>
      </c>
      <c r="AY293" t="s">
        <v>134</v>
      </c>
      <c r="AZ293" t="s">
        <v>134</v>
      </c>
      <c r="BA293" t="s">
        <v>134</v>
      </c>
      <c r="BB293" t="s">
        <v>134</v>
      </c>
      <c r="BC293" t="s">
        <v>134</v>
      </c>
      <c r="BD293" t="s">
        <v>134</v>
      </c>
      <c r="BE293" t="s">
        <v>134</v>
      </c>
      <c r="BF293">
        <v>36.797199999999997</v>
      </c>
      <c r="BG293">
        <v>35.764499999999998</v>
      </c>
      <c r="BH293">
        <v>44.869199999999999</v>
      </c>
      <c r="BI293">
        <v>43.620899999999999</v>
      </c>
      <c r="BJ293">
        <v>40.996600000000001</v>
      </c>
      <c r="BK293">
        <v>-85.6</v>
      </c>
      <c r="BL293">
        <v>23.261199999999999</v>
      </c>
      <c r="BM293" t="s">
        <v>134</v>
      </c>
      <c r="BN293">
        <v>18.341200000000001</v>
      </c>
      <c r="BO293">
        <v>35.662100000000002</v>
      </c>
      <c r="BP293" t="s">
        <v>134</v>
      </c>
      <c r="BQ293" t="s">
        <v>134</v>
      </c>
      <c r="BR293" t="s">
        <v>134</v>
      </c>
      <c r="BS293">
        <v>57.850499999999997</v>
      </c>
      <c r="BT293">
        <v>33.018500000000003</v>
      </c>
      <c r="BU293">
        <v>29.265799999999999</v>
      </c>
      <c r="BV293">
        <v>32.391500000000001</v>
      </c>
      <c r="BW293">
        <v>26.585699999999999</v>
      </c>
      <c r="BX293" t="s">
        <v>134</v>
      </c>
      <c r="BY293">
        <v>492495.4</v>
      </c>
      <c r="BZ293">
        <v>97562.2</v>
      </c>
      <c r="CA293">
        <v>394933.2</v>
      </c>
      <c r="CB293">
        <v>7.3914</v>
      </c>
      <c r="CC293">
        <v>7.3377999999999997</v>
      </c>
      <c r="CD293">
        <v>17.6633</v>
      </c>
      <c r="CE293">
        <v>17.535299999999999</v>
      </c>
      <c r="CF293">
        <v>1.7517</v>
      </c>
      <c r="CG293">
        <v>15.065200000000001</v>
      </c>
      <c r="CH293">
        <v>411.37759999999997</v>
      </c>
      <c r="CI293">
        <v>67.108699999999999</v>
      </c>
      <c r="CJ293">
        <v>61.975000000000001</v>
      </c>
      <c r="CK293">
        <v>513.00210000000004</v>
      </c>
      <c r="CL293">
        <v>83.686800000000005</v>
      </c>
      <c r="CM293">
        <v>77.284899999999993</v>
      </c>
      <c r="CN293">
        <v>509.28550000000001</v>
      </c>
      <c r="CO293">
        <v>83.587299999999999</v>
      </c>
      <c r="CP293">
        <v>66631.199999999997</v>
      </c>
      <c r="CQ293">
        <v>65139.8</v>
      </c>
      <c r="CR293">
        <v>27882.400000000001</v>
      </c>
      <c r="CS293" t="s">
        <v>134</v>
      </c>
      <c r="CT293" t="s">
        <v>134</v>
      </c>
      <c r="CU293" t="s">
        <v>134</v>
      </c>
      <c r="CV293" t="s">
        <v>134</v>
      </c>
      <c r="CW293" t="s">
        <v>134</v>
      </c>
      <c r="CX293" t="s">
        <v>134</v>
      </c>
      <c r="CY293" t="s">
        <v>134</v>
      </c>
      <c r="CZ293" t="s">
        <v>134</v>
      </c>
      <c r="DA293" t="s">
        <v>134</v>
      </c>
      <c r="DB293" t="s">
        <v>134</v>
      </c>
      <c r="DC293" t="s">
        <v>134</v>
      </c>
      <c r="DD293" t="s">
        <v>134</v>
      </c>
      <c r="DE293" t="s">
        <v>134</v>
      </c>
      <c r="DF293" t="s">
        <v>134</v>
      </c>
      <c r="DG293" t="s">
        <v>134</v>
      </c>
      <c r="DH293" t="s">
        <v>134</v>
      </c>
      <c r="DI293" t="s">
        <v>134</v>
      </c>
    </row>
    <row r="294" spans="1:113" x14ac:dyDescent="0.3">
      <c r="E294" t="s">
        <v>78</v>
      </c>
      <c r="F294" t="s">
        <v>134</v>
      </c>
      <c r="G294" t="s">
        <v>134</v>
      </c>
      <c r="H294" t="s">
        <v>134</v>
      </c>
      <c r="I294" t="s">
        <v>134</v>
      </c>
      <c r="J294" t="s">
        <v>134</v>
      </c>
      <c r="K294" t="s">
        <v>134</v>
      </c>
      <c r="L294" t="s">
        <v>134</v>
      </c>
      <c r="M294" t="s">
        <v>134</v>
      </c>
      <c r="N294" t="s">
        <v>134</v>
      </c>
      <c r="O294" t="s">
        <v>134</v>
      </c>
      <c r="P294" t="s">
        <v>134</v>
      </c>
      <c r="Q294" t="s">
        <v>134</v>
      </c>
      <c r="R294" t="s">
        <v>134</v>
      </c>
      <c r="S294" t="s">
        <v>134</v>
      </c>
      <c r="T294" t="s">
        <v>134</v>
      </c>
      <c r="U294" t="s">
        <v>134</v>
      </c>
      <c r="V294" t="s">
        <v>134</v>
      </c>
      <c r="W294" t="s">
        <v>134</v>
      </c>
      <c r="X294" t="s">
        <v>134</v>
      </c>
      <c r="Y294" t="s">
        <v>134</v>
      </c>
      <c r="Z294" t="s">
        <v>134</v>
      </c>
      <c r="AA294" t="s">
        <v>134</v>
      </c>
      <c r="AB294" t="s">
        <v>134</v>
      </c>
      <c r="AC294" t="s">
        <v>134</v>
      </c>
      <c r="AD294" t="s">
        <v>134</v>
      </c>
      <c r="AE294" t="s">
        <v>134</v>
      </c>
      <c r="AF294" t="s">
        <v>134</v>
      </c>
      <c r="AG294" t="s">
        <v>134</v>
      </c>
      <c r="AH294" t="s">
        <v>134</v>
      </c>
      <c r="AI294" t="s">
        <v>134</v>
      </c>
      <c r="AJ294" t="s">
        <v>134</v>
      </c>
      <c r="AK294" t="s">
        <v>134</v>
      </c>
      <c r="AL294" t="s">
        <v>134</v>
      </c>
      <c r="AM294" t="s">
        <v>134</v>
      </c>
      <c r="AN294" t="s">
        <v>134</v>
      </c>
      <c r="AO294" t="s">
        <v>134</v>
      </c>
      <c r="AP294" t="s">
        <v>134</v>
      </c>
      <c r="AQ294" t="s">
        <v>134</v>
      </c>
      <c r="AR294" t="s">
        <v>134</v>
      </c>
      <c r="AS294" t="s">
        <v>134</v>
      </c>
      <c r="AT294" t="s">
        <v>134</v>
      </c>
      <c r="AU294" t="s">
        <v>134</v>
      </c>
      <c r="AV294" t="s">
        <v>134</v>
      </c>
      <c r="AW294" t="s">
        <v>134</v>
      </c>
      <c r="AX294" t="s">
        <v>134</v>
      </c>
      <c r="AY294" t="s">
        <v>134</v>
      </c>
      <c r="AZ294" t="s">
        <v>134</v>
      </c>
      <c r="BA294" t="s">
        <v>134</v>
      </c>
      <c r="BB294" t="s">
        <v>134</v>
      </c>
      <c r="BC294" t="s">
        <v>134</v>
      </c>
      <c r="BD294" t="s">
        <v>134</v>
      </c>
      <c r="BE294" t="s">
        <v>134</v>
      </c>
      <c r="BF294" t="s">
        <v>134</v>
      </c>
      <c r="BG294" t="s">
        <v>134</v>
      </c>
      <c r="BH294" t="s">
        <v>134</v>
      </c>
      <c r="BI294" t="s">
        <v>134</v>
      </c>
      <c r="BJ294" t="s">
        <v>134</v>
      </c>
      <c r="BK294" t="s">
        <v>134</v>
      </c>
      <c r="BL294" t="s">
        <v>134</v>
      </c>
      <c r="BM294" t="s">
        <v>134</v>
      </c>
      <c r="BN294" t="s">
        <v>134</v>
      </c>
      <c r="BO294" t="s">
        <v>134</v>
      </c>
      <c r="BP294" t="s">
        <v>134</v>
      </c>
      <c r="BQ294" t="s">
        <v>134</v>
      </c>
      <c r="BR294" t="s">
        <v>134</v>
      </c>
      <c r="BS294" t="s">
        <v>134</v>
      </c>
      <c r="BT294" t="s">
        <v>134</v>
      </c>
      <c r="BU294" t="s">
        <v>134</v>
      </c>
      <c r="BV294" t="s">
        <v>134</v>
      </c>
      <c r="BW294" t="s">
        <v>134</v>
      </c>
      <c r="BX294" t="s">
        <v>134</v>
      </c>
      <c r="BY294" t="s">
        <v>134</v>
      </c>
      <c r="BZ294" t="s">
        <v>134</v>
      </c>
      <c r="CA294" t="s">
        <v>134</v>
      </c>
      <c r="CB294" t="s">
        <v>134</v>
      </c>
      <c r="CC294" t="s">
        <v>134</v>
      </c>
      <c r="CD294" t="s">
        <v>134</v>
      </c>
      <c r="CE294" t="s">
        <v>134</v>
      </c>
      <c r="CF294" t="s">
        <v>134</v>
      </c>
      <c r="CG294" t="s">
        <v>134</v>
      </c>
      <c r="CH294" t="s">
        <v>134</v>
      </c>
      <c r="CI294" t="s">
        <v>134</v>
      </c>
      <c r="CJ294" t="s">
        <v>134</v>
      </c>
      <c r="CK294" t="s">
        <v>134</v>
      </c>
      <c r="CL294" t="s">
        <v>134</v>
      </c>
      <c r="CM294" t="s">
        <v>134</v>
      </c>
      <c r="CN294" t="s">
        <v>134</v>
      </c>
      <c r="CO294" t="s">
        <v>134</v>
      </c>
      <c r="CP294" t="s">
        <v>134</v>
      </c>
      <c r="CQ294" t="s">
        <v>134</v>
      </c>
      <c r="CR294" t="s">
        <v>134</v>
      </c>
      <c r="CS294" t="s">
        <v>134</v>
      </c>
      <c r="CT294" t="s">
        <v>134</v>
      </c>
      <c r="CU294" t="s">
        <v>134</v>
      </c>
      <c r="CV294" t="s">
        <v>134</v>
      </c>
      <c r="CW294" t="s">
        <v>134</v>
      </c>
      <c r="CX294" t="s">
        <v>134</v>
      </c>
      <c r="CY294" t="s">
        <v>134</v>
      </c>
      <c r="CZ294" t="s">
        <v>134</v>
      </c>
      <c r="DA294" t="s">
        <v>134</v>
      </c>
      <c r="DB294" t="s">
        <v>134</v>
      </c>
      <c r="DC294" t="s">
        <v>134</v>
      </c>
      <c r="DD294" t="s">
        <v>134</v>
      </c>
      <c r="DE294" t="s">
        <v>134</v>
      </c>
      <c r="DF294" t="s">
        <v>134</v>
      </c>
      <c r="DG294" t="s">
        <v>134</v>
      </c>
      <c r="DH294" t="s">
        <v>134</v>
      </c>
      <c r="DI294" t="s">
        <v>134</v>
      </c>
    </row>
    <row r="295" spans="1:113" x14ac:dyDescent="0.3">
      <c r="E295" t="s">
        <v>79</v>
      </c>
      <c r="F295" t="s">
        <v>134</v>
      </c>
      <c r="G295" t="s">
        <v>134</v>
      </c>
      <c r="H295" t="s">
        <v>134</v>
      </c>
      <c r="I295" t="s">
        <v>134</v>
      </c>
      <c r="J295" t="s">
        <v>134</v>
      </c>
      <c r="K295" t="s">
        <v>134</v>
      </c>
      <c r="L295" t="s">
        <v>134</v>
      </c>
      <c r="M295" t="s">
        <v>134</v>
      </c>
      <c r="N295" t="s">
        <v>134</v>
      </c>
      <c r="O295" t="s">
        <v>134</v>
      </c>
      <c r="P295" t="s">
        <v>134</v>
      </c>
      <c r="Q295" t="s">
        <v>134</v>
      </c>
      <c r="R295" t="s">
        <v>134</v>
      </c>
      <c r="S295" t="s">
        <v>134</v>
      </c>
      <c r="T295" t="s">
        <v>134</v>
      </c>
      <c r="U295" t="s">
        <v>134</v>
      </c>
      <c r="V295" t="s">
        <v>134</v>
      </c>
      <c r="W295" t="s">
        <v>134</v>
      </c>
      <c r="X295" t="s">
        <v>134</v>
      </c>
      <c r="Y295" t="s">
        <v>134</v>
      </c>
      <c r="Z295" t="s">
        <v>134</v>
      </c>
      <c r="AA295" t="s">
        <v>134</v>
      </c>
      <c r="AB295" t="s">
        <v>134</v>
      </c>
      <c r="AC295" t="s">
        <v>134</v>
      </c>
      <c r="AD295" t="s">
        <v>134</v>
      </c>
      <c r="AE295" t="s">
        <v>134</v>
      </c>
      <c r="AF295" t="s">
        <v>134</v>
      </c>
      <c r="AG295" t="s">
        <v>134</v>
      </c>
      <c r="AH295" t="s">
        <v>134</v>
      </c>
      <c r="AI295" t="s">
        <v>134</v>
      </c>
      <c r="AJ295" t="s">
        <v>134</v>
      </c>
      <c r="AK295" t="s">
        <v>134</v>
      </c>
      <c r="AL295" t="s">
        <v>134</v>
      </c>
      <c r="AM295" t="s">
        <v>134</v>
      </c>
      <c r="AN295" t="s">
        <v>134</v>
      </c>
      <c r="AO295" t="s">
        <v>134</v>
      </c>
      <c r="AP295" t="s">
        <v>134</v>
      </c>
      <c r="AQ295" t="s">
        <v>134</v>
      </c>
      <c r="AR295" t="s">
        <v>134</v>
      </c>
      <c r="AS295" t="s">
        <v>134</v>
      </c>
      <c r="AT295" t="s">
        <v>134</v>
      </c>
      <c r="AU295" t="s">
        <v>134</v>
      </c>
      <c r="AV295" t="s">
        <v>134</v>
      </c>
      <c r="AW295" t="s">
        <v>134</v>
      </c>
      <c r="AX295" t="s">
        <v>134</v>
      </c>
      <c r="AY295" t="s">
        <v>134</v>
      </c>
      <c r="AZ295" t="s">
        <v>134</v>
      </c>
      <c r="BA295" t="s">
        <v>134</v>
      </c>
      <c r="BB295" t="s">
        <v>134</v>
      </c>
      <c r="BC295" t="s">
        <v>134</v>
      </c>
      <c r="BD295" t="s">
        <v>134</v>
      </c>
      <c r="BE295" t="s">
        <v>134</v>
      </c>
      <c r="BF295" t="s">
        <v>134</v>
      </c>
      <c r="BG295" t="s">
        <v>134</v>
      </c>
      <c r="BH295" t="s">
        <v>134</v>
      </c>
      <c r="BI295" t="s">
        <v>134</v>
      </c>
      <c r="BJ295" t="s">
        <v>134</v>
      </c>
      <c r="BK295" t="s">
        <v>134</v>
      </c>
      <c r="BL295" t="s">
        <v>134</v>
      </c>
      <c r="BM295" t="s">
        <v>134</v>
      </c>
      <c r="BN295" t="s">
        <v>134</v>
      </c>
      <c r="BO295" t="s">
        <v>134</v>
      </c>
      <c r="BP295" t="s">
        <v>134</v>
      </c>
      <c r="BQ295" t="s">
        <v>134</v>
      </c>
      <c r="BR295" t="s">
        <v>134</v>
      </c>
      <c r="BS295" t="s">
        <v>134</v>
      </c>
      <c r="BT295" t="s">
        <v>134</v>
      </c>
      <c r="BU295" t="s">
        <v>134</v>
      </c>
      <c r="BV295" t="s">
        <v>134</v>
      </c>
      <c r="BW295" t="s">
        <v>134</v>
      </c>
      <c r="BX295" t="s">
        <v>134</v>
      </c>
      <c r="BY295" t="s">
        <v>134</v>
      </c>
      <c r="BZ295" t="s">
        <v>134</v>
      </c>
      <c r="CA295" t="s">
        <v>134</v>
      </c>
      <c r="CB295" t="s">
        <v>134</v>
      </c>
      <c r="CC295" t="s">
        <v>134</v>
      </c>
      <c r="CD295" t="s">
        <v>134</v>
      </c>
      <c r="CE295" t="s">
        <v>134</v>
      </c>
      <c r="CF295" t="s">
        <v>134</v>
      </c>
      <c r="CG295" t="s">
        <v>134</v>
      </c>
      <c r="CH295" t="s">
        <v>134</v>
      </c>
      <c r="CI295" t="s">
        <v>134</v>
      </c>
      <c r="CJ295" t="s">
        <v>134</v>
      </c>
      <c r="CK295" t="s">
        <v>134</v>
      </c>
      <c r="CL295" t="s">
        <v>134</v>
      </c>
      <c r="CM295" t="s">
        <v>134</v>
      </c>
      <c r="CN295" t="s">
        <v>134</v>
      </c>
      <c r="CO295" t="s">
        <v>134</v>
      </c>
      <c r="CP295" t="s">
        <v>134</v>
      </c>
      <c r="CQ295" t="s">
        <v>134</v>
      </c>
      <c r="CR295" t="s">
        <v>134</v>
      </c>
      <c r="CS295" t="s">
        <v>134</v>
      </c>
      <c r="CT295" t="s">
        <v>134</v>
      </c>
      <c r="CU295" t="s">
        <v>134</v>
      </c>
      <c r="CV295" t="s">
        <v>134</v>
      </c>
      <c r="CW295" t="s">
        <v>134</v>
      </c>
      <c r="CX295" t="s">
        <v>134</v>
      </c>
      <c r="CY295" t="s">
        <v>134</v>
      </c>
      <c r="CZ295" t="s">
        <v>134</v>
      </c>
      <c r="DA295" t="s">
        <v>134</v>
      </c>
      <c r="DB295" t="s">
        <v>134</v>
      </c>
      <c r="DC295" t="s">
        <v>134</v>
      </c>
      <c r="DD295" t="s">
        <v>134</v>
      </c>
      <c r="DE295" t="s">
        <v>134</v>
      </c>
      <c r="DF295" t="s">
        <v>134</v>
      </c>
      <c r="DG295" t="s">
        <v>134</v>
      </c>
      <c r="DH295" t="s">
        <v>134</v>
      </c>
      <c r="DI295" t="s">
        <v>134</v>
      </c>
    </row>
    <row r="296" spans="1:113" x14ac:dyDescent="0.3">
      <c r="E296" t="s">
        <v>80</v>
      </c>
      <c r="F296" t="s">
        <v>134</v>
      </c>
      <c r="G296" t="s">
        <v>134</v>
      </c>
      <c r="H296" t="s">
        <v>134</v>
      </c>
      <c r="I296" t="s">
        <v>134</v>
      </c>
      <c r="J296" t="s">
        <v>134</v>
      </c>
      <c r="K296" t="s">
        <v>134</v>
      </c>
      <c r="L296" t="s">
        <v>134</v>
      </c>
      <c r="M296" t="s">
        <v>134</v>
      </c>
      <c r="N296" t="s">
        <v>134</v>
      </c>
      <c r="O296" t="s">
        <v>134</v>
      </c>
      <c r="P296" t="s">
        <v>134</v>
      </c>
      <c r="Q296" t="s">
        <v>134</v>
      </c>
      <c r="R296" t="s">
        <v>134</v>
      </c>
      <c r="S296" t="s">
        <v>134</v>
      </c>
      <c r="T296" t="s">
        <v>134</v>
      </c>
      <c r="U296" t="s">
        <v>134</v>
      </c>
      <c r="V296" t="s">
        <v>134</v>
      </c>
      <c r="W296" t="s">
        <v>134</v>
      </c>
      <c r="X296" t="s">
        <v>134</v>
      </c>
      <c r="Y296" t="s">
        <v>134</v>
      </c>
      <c r="Z296" t="s">
        <v>134</v>
      </c>
      <c r="AA296" t="s">
        <v>134</v>
      </c>
      <c r="AB296" t="s">
        <v>134</v>
      </c>
      <c r="AC296" t="s">
        <v>134</v>
      </c>
      <c r="AD296" t="s">
        <v>134</v>
      </c>
      <c r="AE296" t="s">
        <v>134</v>
      </c>
      <c r="AF296" t="s">
        <v>134</v>
      </c>
      <c r="AG296" t="s">
        <v>134</v>
      </c>
      <c r="AH296" t="s">
        <v>134</v>
      </c>
      <c r="AI296" t="s">
        <v>134</v>
      </c>
      <c r="AJ296" t="s">
        <v>134</v>
      </c>
      <c r="AK296" t="s">
        <v>134</v>
      </c>
      <c r="AL296" t="s">
        <v>134</v>
      </c>
      <c r="AM296" t="s">
        <v>134</v>
      </c>
      <c r="AN296" t="s">
        <v>134</v>
      </c>
      <c r="AO296" t="s">
        <v>134</v>
      </c>
      <c r="AP296" t="s">
        <v>134</v>
      </c>
      <c r="AQ296" t="s">
        <v>134</v>
      </c>
      <c r="AR296" t="s">
        <v>134</v>
      </c>
      <c r="AS296" t="s">
        <v>134</v>
      </c>
      <c r="AT296" t="s">
        <v>134</v>
      </c>
      <c r="AU296" t="s">
        <v>134</v>
      </c>
      <c r="AV296" t="s">
        <v>134</v>
      </c>
      <c r="AW296" t="s">
        <v>134</v>
      </c>
      <c r="AX296" t="s">
        <v>134</v>
      </c>
      <c r="AY296" t="s">
        <v>134</v>
      </c>
      <c r="AZ296" t="s">
        <v>134</v>
      </c>
      <c r="BA296" t="s">
        <v>134</v>
      </c>
      <c r="BB296" t="s">
        <v>134</v>
      </c>
      <c r="BC296" t="s">
        <v>134</v>
      </c>
      <c r="BD296" t="s">
        <v>134</v>
      </c>
      <c r="BE296" t="s">
        <v>134</v>
      </c>
      <c r="BF296" t="s">
        <v>134</v>
      </c>
      <c r="BG296" t="s">
        <v>134</v>
      </c>
      <c r="BH296" t="s">
        <v>134</v>
      </c>
      <c r="BI296" t="s">
        <v>134</v>
      </c>
      <c r="BJ296" t="s">
        <v>134</v>
      </c>
      <c r="BK296" t="s">
        <v>134</v>
      </c>
      <c r="BL296" t="s">
        <v>134</v>
      </c>
      <c r="BM296" t="s">
        <v>134</v>
      </c>
      <c r="BN296" t="s">
        <v>134</v>
      </c>
      <c r="BO296" t="s">
        <v>134</v>
      </c>
      <c r="BP296" t="s">
        <v>134</v>
      </c>
      <c r="BQ296" t="s">
        <v>134</v>
      </c>
      <c r="BR296" t="s">
        <v>134</v>
      </c>
      <c r="BS296" t="s">
        <v>134</v>
      </c>
      <c r="BT296" t="s">
        <v>134</v>
      </c>
      <c r="BU296" t="s">
        <v>134</v>
      </c>
      <c r="BV296" t="s">
        <v>134</v>
      </c>
      <c r="BW296" t="s">
        <v>134</v>
      </c>
      <c r="BX296" t="s">
        <v>134</v>
      </c>
      <c r="BY296" t="s">
        <v>134</v>
      </c>
      <c r="BZ296" t="s">
        <v>134</v>
      </c>
      <c r="CA296" t="s">
        <v>134</v>
      </c>
      <c r="CB296" t="s">
        <v>134</v>
      </c>
      <c r="CC296" t="s">
        <v>134</v>
      </c>
      <c r="CD296" t="s">
        <v>134</v>
      </c>
      <c r="CE296" t="s">
        <v>134</v>
      </c>
      <c r="CF296" t="s">
        <v>134</v>
      </c>
      <c r="CG296" t="s">
        <v>134</v>
      </c>
      <c r="CH296" t="s">
        <v>134</v>
      </c>
      <c r="CI296" t="s">
        <v>134</v>
      </c>
      <c r="CJ296" t="s">
        <v>134</v>
      </c>
      <c r="CK296" t="s">
        <v>134</v>
      </c>
      <c r="CL296" t="s">
        <v>134</v>
      </c>
      <c r="CM296" t="s">
        <v>134</v>
      </c>
      <c r="CN296" t="s">
        <v>134</v>
      </c>
      <c r="CO296" t="s">
        <v>134</v>
      </c>
      <c r="CP296" t="s">
        <v>134</v>
      </c>
      <c r="CQ296" t="s">
        <v>134</v>
      </c>
      <c r="CR296" t="s">
        <v>134</v>
      </c>
      <c r="CS296" t="s">
        <v>134</v>
      </c>
      <c r="CT296" t="s">
        <v>134</v>
      </c>
      <c r="CU296" t="s">
        <v>134</v>
      </c>
      <c r="CV296" t="s">
        <v>134</v>
      </c>
      <c r="CW296" t="s">
        <v>134</v>
      </c>
      <c r="CX296" t="s">
        <v>134</v>
      </c>
      <c r="CY296" t="s">
        <v>134</v>
      </c>
      <c r="CZ296" t="s">
        <v>134</v>
      </c>
      <c r="DA296" t="s">
        <v>134</v>
      </c>
      <c r="DB296" t="s">
        <v>134</v>
      </c>
      <c r="DC296" t="s">
        <v>134</v>
      </c>
      <c r="DD296" t="s">
        <v>134</v>
      </c>
      <c r="DE296" t="s">
        <v>134</v>
      </c>
      <c r="DF296" t="s">
        <v>134</v>
      </c>
      <c r="DG296" t="s">
        <v>134</v>
      </c>
      <c r="DH296" t="s">
        <v>134</v>
      </c>
      <c r="DI296" t="s">
        <v>134</v>
      </c>
    </row>
    <row r="297" spans="1:113" x14ac:dyDescent="0.3">
      <c r="E297" t="s">
        <v>81</v>
      </c>
      <c r="F297" t="s">
        <v>134</v>
      </c>
      <c r="G297" t="s">
        <v>134</v>
      </c>
      <c r="H297" t="s">
        <v>134</v>
      </c>
      <c r="I297" t="s">
        <v>134</v>
      </c>
      <c r="J297" t="s">
        <v>134</v>
      </c>
      <c r="K297" t="s">
        <v>134</v>
      </c>
      <c r="L297" t="s">
        <v>134</v>
      </c>
      <c r="M297" t="s">
        <v>134</v>
      </c>
      <c r="N297" t="s">
        <v>134</v>
      </c>
      <c r="O297" t="s">
        <v>134</v>
      </c>
      <c r="P297" t="s">
        <v>134</v>
      </c>
      <c r="Q297" t="s">
        <v>134</v>
      </c>
      <c r="R297" t="s">
        <v>134</v>
      </c>
      <c r="S297" t="s">
        <v>134</v>
      </c>
      <c r="T297" t="s">
        <v>134</v>
      </c>
      <c r="U297" t="s">
        <v>134</v>
      </c>
      <c r="V297" t="s">
        <v>134</v>
      </c>
      <c r="W297" t="s">
        <v>134</v>
      </c>
      <c r="X297" t="s">
        <v>134</v>
      </c>
      <c r="Y297" t="s">
        <v>134</v>
      </c>
      <c r="Z297" t="s">
        <v>134</v>
      </c>
      <c r="AA297" t="s">
        <v>134</v>
      </c>
      <c r="AB297" t="s">
        <v>134</v>
      </c>
      <c r="AC297" t="s">
        <v>134</v>
      </c>
      <c r="AD297" t="s">
        <v>134</v>
      </c>
      <c r="AE297" t="s">
        <v>134</v>
      </c>
      <c r="AF297" t="s">
        <v>134</v>
      </c>
      <c r="AG297" t="s">
        <v>134</v>
      </c>
      <c r="AH297" t="s">
        <v>134</v>
      </c>
      <c r="AI297" t="s">
        <v>134</v>
      </c>
      <c r="AJ297" t="s">
        <v>134</v>
      </c>
      <c r="AK297" t="s">
        <v>134</v>
      </c>
      <c r="AL297" t="s">
        <v>134</v>
      </c>
      <c r="AM297" t="s">
        <v>134</v>
      </c>
      <c r="AN297" t="s">
        <v>134</v>
      </c>
      <c r="AO297" t="s">
        <v>134</v>
      </c>
      <c r="AP297" t="s">
        <v>134</v>
      </c>
      <c r="AQ297" t="s">
        <v>134</v>
      </c>
      <c r="AR297" t="s">
        <v>134</v>
      </c>
      <c r="AS297" t="s">
        <v>134</v>
      </c>
      <c r="AT297" t="s">
        <v>134</v>
      </c>
      <c r="AU297" t="s">
        <v>134</v>
      </c>
      <c r="AV297" t="s">
        <v>134</v>
      </c>
      <c r="AW297" t="s">
        <v>134</v>
      </c>
      <c r="AX297" t="s">
        <v>134</v>
      </c>
      <c r="AY297" t="s">
        <v>134</v>
      </c>
      <c r="AZ297" t="s">
        <v>134</v>
      </c>
      <c r="BA297" t="s">
        <v>134</v>
      </c>
      <c r="BB297" t="s">
        <v>134</v>
      </c>
      <c r="BC297" t="s">
        <v>134</v>
      </c>
      <c r="BD297" t="s">
        <v>134</v>
      </c>
      <c r="BE297" t="s">
        <v>134</v>
      </c>
      <c r="BF297" t="s">
        <v>134</v>
      </c>
      <c r="BG297" t="s">
        <v>134</v>
      </c>
      <c r="BH297" t="s">
        <v>134</v>
      </c>
      <c r="BI297" t="s">
        <v>134</v>
      </c>
      <c r="BJ297" t="s">
        <v>134</v>
      </c>
      <c r="BK297" t="s">
        <v>134</v>
      </c>
      <c r="BL297" t="s">
        <v>134</v>
      </c>
      <c r="BM297" t="s">
        <v>134</v>
      </c>
      <c r="BN297" t="s">
        <v>134</v>
      </c>
      <c r="BO297" t="s">
        <v>134</v>
      </c>
      <c r="BP297" t="s">
        <v>134</v>
      </c>
      <c r="BQ297" t="s">
        <v>134</v>
      </c>
      <c r="BR297" t="s">
        <v>134</v>
      </c>
      <c r="BS297" t="s">
        <v>134</v>
      </c>
      <c r="BT297" t="s">
        <v>134</v>
      </c>
      <c r="BU297" t="s">
        <v>134</v>
      </c>
      <c r="BV297" t="s">
        <v>134</v>
      </c>
      <c r="BW297" t="s">
        <v>134</v>
      </c>
      <c r="BX297" t="s">
        <v>134</v>
      </c>
      <c r="BY297" t="s">
        <v>134</v>
      </c>
      <c r="BZ297" t="s">
        <v>134</v>
      </c>
      <c r="CA297" t="s">
        <v>134</v>
      </c>
      <c r="CB297" t="s">
        <v>134</v>
      </c>
      <c r="CC297" t="s">
        <v>134</v>
      </c>
      <c r="CD297" t="s">
        <v>134</v>
      </c>
      <c r="CE297" t="s">
        <v>134</v>
      </c>
      <c r="CF297" t="s">
        <v>134</v>
      </c>
      <c r="CG297" t="s">
        <v>134</v>
      </c>
      <c r="CH297" t="s">
        <v>134</v>
      </c>
      <c r="CI297" t="s">
        <v>134</v>
      </c>
      <c r="CJ297" t="s">
        <v>134</v>
      </c>
      <c r="CK297" t="s">
        <v>134</v>
      </c>
      <c r="CL297" t="s">
        <v>134</v>
      </c>
      <c r="CM297" t="s">
        <v>134</v>
      </c>
      <c r="CN297" t="s">
        <v>134</v>
      </c>
      <c r="CO297" t="s">
        <v>134</v>
      </c>
      <c r="CP297" t="s">
        <v>134</v>
      </c>
      <c r="CQ297" t="s">
        <v>134</v>
      </c>
      <c r="CR297" t="s">
        <v>134</v>
      </c>
      <c r="CS297" t="s">
        <v>134</v>
      </c>
      <c r="CT297" t="s">
        <v>134</v>
      </c>
      <c r="CU297" t="s">
        <v>134</v>
      </c>
      <c r="CV297" t="s">
        <v>134</v>
      </c>
      <c r="CW297" t="s">
        <v>134</v>
      </c>
      <c r="CX297" t="s">
        <v>134</v>
      </c>
      <c r="CY297" t="s">
        <v>134</v>
      </c>
      <c r="CZ297" t="s">
        <v>134</v>
      </c>
      <c r="DA297" t="s">
        <v>134</v>
      </c>
      <c r="DB297" t="s">
        <v>134</v>
      </c>
      <c r="DC297" t="s">
        <v>134</v>
      </c>
      <c r="DD297" t="s">
        <v>134</v>
      </c>
      <c r="DE297" t="s">
        <v>134</v>
      </c>
      <c r="DF297" t="s">
        <v>134</v>
      </c>
      <c r="DG297" t="s">
        <v>134</v>
      </c>
      <c r="DH297" t="s">
        <v>134</v>
      </c>
      <c r="DI297" t="s">
        <v>134</v>
      </c>
    </row>
    <row r="298" spans="1:113" x14ac:dyDescent="0.3">
      <c r="D298" t="s">
        <v>85</v>
      </c>
      <c r="E298" t="s">
        <v>77</v>
      </c>
      <c r="F298">
        <v>20.455300000000001</v>
      </c>
      <c r="G298">
        <v>3.5522999999999998</v>
      </c>
      <c r="H298">
        <v>3.8235000000000001</v>
      </c>
      <c r="I298">
        <v>5.3240999999999996</v>
      </c>
      <c r="J298">
        <v>65.531199999999998</v>
      </c>
      <c r="K298">
        <v>46.235999999999997</v>
      </c>
      <c r="L298">
        <v>48.749499999999998</v>
      </c>
      <c r="M298">
        <v>30.473099999999999</v>
      </c>
      <c r="N298">
        <v>30.361000000000001</v>
      </c>
      <c r="O298">
        <v>19.893599999999999</v>
      </c>
      <c r="P298">
        <v>30.361000000000001</v>
      </c>
      <c r="Q298">
        <v>34.717300000000002</v>
      </c>
      <c r="R298">
        <v>8.6029999999999998</v>
      </c>
      <c r="S298">
        <v>18.695499999999999</v>
      </c>
      <c r="T298">
        <v>34.7254</v>
      </c>
      <c r="U298">
        <v>32.201300000000003</v>
      </c>
      <c r="V298">
        <v>46.053800000000003</v>
      </c>
      <c r="W298">
        <v>45.618600000000001</v>
      </c>
      <c r="X298">
        <v>39.738599999999998</v>
      </c>
      <c r="Y298">
        <v>11.1111</v>
      </c>
      <c r="Z298" t="s">
        <v>134</v>
      </c>
      <c r="AA298" t="s">
        <v>134</v>
      </c>
      <c r="AB298">
        <v>20.395800000000001</v>
      </c>
      <c r="AC298">
        <v>36.236699999999999</v>
      </c>
      <c r="AD298" t="s">
        <v>134</v>
      </c>
      <c r="AE298" t="s">
        <v>134</v>
      </c>
      <c r="AF298" t="s">
        <v>134</v>
      </c>
      <c r="AG298">
        <v>20.5627</v>
      </c>
      <c r="AH298">
        <v>30.927599999999998</v>
      </c>
      <c r="AI298">
        <v>72.3459</v>
      </c>
      <c r="AJ298">
        <v>37.684199999999997</v>
      </c>
      <c r="AK298">
        <v>63.864899999999999</v>
      </c>
      <c r="AL298">
        <v>-10.262600000000001</v>
      </c>
      <c r="AM298" t="s">
        <v>134</v>
      </c>
      <c r="AN298" t="s">
        <v>134</v>
      </c>
      <c r="AO298" t="s">
        <v>134</v>
      </c>
      <c r="AP298" t="s">
        <v>134</v>
      </c>
      <c r="AQ298" t="s">
        <v>134</v>
      </c>
      <c r="AR298" t="s">
        <v>134</v>
      </c>
      <c r="AS298" t="s">
        <v>134</v>
      </c>
      <c r="AT298" t="s">
        <v>134</v>
      </c>
      <c r="AU298" t="s">
        <v>134</v>
      </c>
      <c r="AV298" t="s">
        <v>134</v>
      </c>
      <c r="AW298" t="s">
        <v>134</v>
      </c>
      <c r="AX298" t="s">
        <v>134</v>
      </c>
      <c r="AY298" t="s">
        <v>134</v>
      </c>
      <c r="AZ298" t="s">
        <v>134</v>
      </c>
      <c r="BA298" t="s">
        <v>134</v>
      </c>
      <c r="BB298" t="s">
        <v>134</v>
      </c>
      <c r="BC298" t="s">
        <v>134</v>
      </c>
      <c r="BD298" t="s">
        <v>134</v>
      </c>
      <c r="BE298" t="s">
        <v>134</v>
      </c>
      <c r="BF298">
        <v>34.7254</v>
      </c>
      <c r="BG298">
        <v>32.201300000000003</v>
      </c>
      <c r="BH298">
        <v>46.053800000000003</v>
      </c>
      <c r="BI298">
        <v>45.618600000000001</v>
      </c>
      <c r="BJ298">
        <v>39.738599999999998</v>
      </c>
      <c r="BK298">
        <v>11.1111</v>
      </c>
      <c r="BL298">
        <v>-48.025100000000002</v>
      </c>
      <c r="BM298" t="s">
        <v>134</v>
      </c>
      <c r="BN298">
        <v>20.395800000000001</v>
      </c>
      <c r="BO298">
        <v>36.236699999999999</v>
      </c>
      <c r="BP298" t="s">
        <v>134</v>
      </c>
      <c r="BQ298" t="s">
        <v>134</v>
      </c>
      <c r="BR298" t="s">
        <v>134</v>
      </c>
      <c r="BS298">
        <v>20.5627</v>
      </c>
      <c r="BT298">
        <v>30.927599999999998</v>
      </c>
      <c r="BU298">
        <v>72.3459</v>
      </c>
      <c r="BV298">
        <v>37.684199999999997</v>
      </c>
      <c r="BW298">
        <v>63.864899999999999</v>
      </c>
      <c r="BX298" t="s">
        <v>134</v>
      </c>
      <c r="BY298">
        <v>644812.5</v>
      </c>
      <c r="BZ298">
        <v>107571.1</v>
      </c>
      <c r="CA298">
        <v>537241.4</v>
      </c>
      <c r="CB298">
        <v>7.3201999999999998</v>
      </c>
      <c r="CC298">
        <v>7.2816000000000001</v>
      </c>
      <c r="CD298">
        <v>15.834</v>
      </c>
      <c r="CE298">
        <v>15.7506</v>
      </c>
      <c r="CF298">
        <v>1.9008</v>
      </c>
      <c r="CG298">
        <v>19.0565</v>
      </c>
      <c r="CH298">
        <v>324.70249999999999</v>
      </c>
      <c r="CI298">
        <v>66.304100000000005</v>
      </c>
      <c r="CJ298">
        <v>61.876800000000003</v>
      </c>
      <c r="CK298">
        <v>389.71719999999999</v>
      </c>
      <c r="CL298">
        <v>79.580100000000002</v>
      </c>
      <c r="CM298">
        <v>74.266300000000001</v>
      </c>
      <c r="CN298">
        <v>387.66559999999998</v>
      </c>
      <c r="CO298">
        <v>79.494100000000003</v>
      </c>
      <c r="CP298">
        <v>88087.3</v>
      </c>
      <c r="CQ298">
        <v>86008.5</v>
      </c>
      <c r="CR298">
        <v>40723.300000000003</v>
      </c>
      <c r="CS298" t="s">
        <v>134</v>
      </c>
      <c r="CT298" t="s">
        <v>134</v>
      </c>
      <c r="CU298" t="s">
        <v>134</v>
      </c>
      <c r="CV298" t="s">
        <v>134</v>
      </c>
      <c r="CW298" t="s">
        <v>134</v>
      </c>
      <c r="CX298" t="s">
        <v>134</v>
      </c>
      <c r="CY298" t="s">
        <v>134</v>
      </c>
      <c r="CZ298" t="s">
        <v>134</v>
      </c>
      <c r="DA298" t="s">
        <v>134</v>
      </c>
      <c r="DB298" t="s">
        <v>134</v>
      </c>
      <c r="DC298" t="s">
        <v>134</v>
      </c>
      <c r="DD298" t="s">
        <v>134</v>
      </c>
      <c r="DE298" t="s">
        <v>134</v>
      </c>
      <c r="DF298" t="s">
        <v>134</v>
      </c>
      <c r="DG298" t="s">
        <v>134</v>
      </c>
      <c r="DH298" t="s">
        <v>134</v>
      </c>
      <c r="DI298" t="s">
        <v>134</v>
      </c>
    </row>
    <row r="299" spans="1:113" x14ac:dyDescent="0.3">
      <c r="E299" t="s">
        <v>78</v>
      </c>
      <c r="F299" t="s">
        <v>134</v>
      </c>
      <c r="G299" t="s">
        <v>134</v>
      </c>
      <c r="H299" t="s">
        <v>134</v>
      </c>
      <c r="I299" t="s">
        <v>134</v>
      </c>
      <c r="J299" t="s">
        <v>134</v>
      </c>
      <c r="K299" t="s">
        <v>134</v>
      </c>
      <c r="L299" t="s">
        <v>134</v>
      </c>
      <c r="M299" t="s">
        <v>134</v>
      </c>
      <c r="N299" t="s">
        <v>134</v>
      </c>
      <c r="O299" t="s">
        <v>134</v>
      </c>
      <c r="P299" t="s">
        <v>134</v>
      </c>
      <c r="Q299" t="s">
        <v>134</v>
      </c>
      <c r="R299" t="s">
        <v>134</v>
      </c>
      <c r="S299" t="s">
        <v>134</v>
      </c>
      <c r="T299" t="s">
        <v>134</v>
      </c>
      <c r="U299" t="s">
        <v>134</v>
      </c>
      <c r="V299" t="s">
        <v>134</v>
      </c>
      <c r="W299" t="s">
        <v>134</v>
      </c>
      <c r="X299" t="s">
        <v>134</v>
      </c>
      <c r="Y299" t="s">
        <v>134</v>
      </c>
      <c r="Z299" t="s">
        <v>134</v>
      </c>
      <c r="AA299" t="s">
        <v>134</v>
      </c>
      <c r="AB299" t="s">
        <v>134</v>
      </c>
      <c r="AC299" t="s">
        <v>134</v>
      </c>
      <c r="AD299" t="s">
        <v>134</v>
      </c>
      <c r="AE299" t="s">
        <v>134</v>
      </c>
      <c r="AF299" t="s">
        <v>134</v>
      </c>
      <c r="AG299" t="s">
        <v>134</v>
      </c>
      <c r="AH299" t="s">
        <v>134</v>
      </c>
      <c r="AI299" t="s">
        <v>134</v>
      </c>
      <c r="AJ299" t="s">
        <v>134</v>
      </c>
      <c r="AK299" t="s">
        <v>134</v>
      </c>
      <c r="AL299" t="s">
        <v>134</v>
      </c>
      <c r="AM299" t="s">
        <v>134</v>
      </c>
      <c r="AN299" t="s">
        <v>134</v>
      </c>
      <c r="AO299" t="s">
        <v>134</v>
      </c>
      <c r="AP299" t="s">
        <v>134</v>
      </c>
      <c r="AQ299" t="s">
        <v>134</v>
      </c>
      <c r="AR299" t="s">
        <v>134</v>
      </c>
      <c r="AS299" t="s">
        <v>134</v>
      </c>
      <c r="AT299" t="s">
        <v>134</v>
      </c>
      <c r="AU299" t="s">
        <v>134</v>
      </c>
      <c r="AV299" t="s">
        <v>134</v>
      </c>
      <c r="AW299" t="s">
        <v>134</v>
      </c>
      <c r="AX299" t="s">
        <v>134</v>
      </c>
      <c r="AY299" t="s">
        <v>134</v>
      </c>
      <c r="AZ299" t="s">
        <v>134</v>
      </c>
      <c r="BA299" t="s">
        <v>134</v>
      </c>
      <c r="BB299" t="s">
        <v>134</v>
      </c>
      <c r="BC299" t="s">
        <v>134</v>
      </c>
      <c r="BD299" t="s">
        <v>134</v>
      </c>
      <c r="BE299" t="s">
        <v>134</v>
      </c>
      <c r="BF299" t="s">
        <v>134</v>
      </c>
      <c r="BG299" t="s">
        <v>134</v>
      </c>
      <c r="BH299" t="s">
        <v>134</v>
      </c>
      <c r="BI299" t="s">
        <v>134</v>
      </c>
      <c r="BJ299" t="s">
        <v>134</v>
      </c>
      <c r="BK299" t="s">
        <v>134</v>
      </c>
      <c r="BL299" t="s">
        <v>134</v>
      </c>
      <c r="BM299" t="s">
        <v>134</v>
      </c>
      <c r="BN299" t="s">
        <v>134</v>
      </c>
      <c r="BO299" t="s">
        <v>134</v>
      </c>
      <c r="BP299" t="s">
        <v>134</v>
      </c>
      <c r="BQ299" t="s">
        <v>134</v>
      </c>
      <c r="BR299" t="s">
        <v>134</v>
      </c>
      <c r="BS299" t="s">
        <v>134</v>
      </c>
      <c r="BT299" t="s">
        <v>134</v>
      </c>
      <c r="BU299" t="s">
        <v>134</v>
      </c>
      <c r="BV299" t="s">
        <v>134</v>
      </c>
      <c r="BW299" t="s">
        <v>134</v>
      </c>
      <c r="BX299" t="s">
        <v>134</v>
      </c>
      <c r="BY299" t="s">
        <v>134</v>
      </c>
      <c r="BZ299" t="s">
        <v>134</v>
      </c>
      <c r="CA299" t="s">
        <v>134</v>
      </c>
      <c r="CB299" t="s">
        <v>134</v>
      </c>
      <c r="CC299" t="s">
        <v>134</v>
      </c>
      <c r="CD299" t="s">
        <v>134</v>
      </c>
      <c r="CE299" t="s">
        <v>134</v>
      </c>
      <c r="CF299" t="s">
        <v>134</v>
      </c>
      <c r="CG299" t="s">
        <v>134</v>
      </c>
      <c r="CH299" t="s">
        <v>134</v>
      </c>
      <c r="CI299" t="s">
        <v>134</v>
      </c>
      <c r="CJ299" t="s">
        <v>134</v>
      </c>
      <c r="CK299" t="s">
        <v>134</v>
      </c>
      <c r="CL299" t="s">
        <v>134</v>
      </c>
      <c r="CM299" t="s">
        <v>134</v>
      </c>
      <c r="CN299" t="s">
        <v>134</v>
      </c>
      <c r="CO299" t="s">
        <v>134</v>
      </c>
      <c r="CP299" t="s">
        <v>134</v>
      </c>
      <c r="CQ299" t="s">
        <v>134</v>
      </c>
      <c r="CR299" t="s">
        <v>134</v>
      </c>
      <c r="CS299" t="s">
        <v>134</v>
      </c>
      <c r="CT299" t="s">
        <v>134</v>
      </c>
      <c r="CU299" t="s">
        <v>134</v>
      </c>
      <c r="CV299" t="s">
        <v>134</v>
      </c>
      <c r="CW299" t="s">
        <v>134</v>
      </c>
      <c r="CX299" t="s">
        <v>134</v>
      </c>
      <c r="CY299" t="s">
        <v>134</v>
      </c>
      <c r="CZ299" t="s">
        <v>134</v>
      </c>
      <c r="DA299" t="s">
        <v>134</v>
      </c>
      <c r="DB299" t="s">
        <v>134</v>
      </c>
      <c r="DC299" t="s">
        <v>134</v>
      </c>
      <c r="DD299" t="s">
        <v>134</v>
      </c>
      <c r="DE299" t="s">
        <v>134</v>
      </c>
      <c r="DF299" t="s">
        <v>134</v>
      </c>
      <c r="DG299" t="s">
        <v>134</v>
      </c>
      <c r="DH299" t="s">
        <v>134</v>
      </c>
      <c r="DI299" t="s">
        <v>134</v>
      </c>
    </row>
    <row r="300" spans="1:113" x14ac:dyDescent="0.3">
      <c r="E300" t="s">
        <v>79</v>
      </c>
      <c r="F300" t="s">
        <v>134</v>
      </c>
      <c r="G300" t="s">
        <v>134</v>
      </c>
      <c r="H300" t="s">
        <v>134</v>
      </c>
      <c r="I300" t="s">
        <v>134</v>
      </c>
      <c r="J300" t="s">
        <v>134</v>
      </c>
      <c r="K300" t="s">
        <v>134</v>
      </c>
      <c r="L300" t="s">
        <v>134</v>
      </c>
      <c r="M300" t="s">
        <v>134</v>
      </c>
      <c r="N300" t="s">
        <v>134</v>
      </c>
      <c r="O300" t="s">
        <v>134</v>
      </c>
      <c r="P300" t="s">
        <v>134</v>
      </c>
      <c r="Q300" t="s">
        <v>134</v>
      </c>
      <c r="R300" t="s">
        <v>134</v>
      </c>
      <c r="S300" t="s">
        <v>134</v>
      </c>
      <c r="T300" t="s">
        <v>134</v>
      </c>
      <c r="U300" t="s">
        <v>134</v>
      </c>
      <c r="V300" t="s">
        <v>134</v>
      </c>
      <c r="W300" t="s">
        <v>134</v>
      </c>
      <c r="X300" t="s">
        <v>134</v>
      </c>
      <c r="Y300" t="s">
        <v>134</v>
      </c>
      <c r="Z300" t="s">
        <v>134</v>
      </c>
      <c r="AA300" t="s">
        <v>134</v>
      </c>
      <c r="AB300" t="s">
        <v>134</v>
      </c>
      <c r="AC300" t="s">
        <v>134</v>
      </c>
      <c r="AD300" t="s">
        <v>134</v>
      </c>
      <c r="AE300" t="s">
        <v>134</v>
      </c>
      <c r="AF300" t="s">
        <v>134</v>
      </c>
      <c r="AG300" t="s">
        <v>134</v>
      </c>
      <c r="AH300" t="s">
        <v>134</v>
      </c>
      <c r="AI300" t="s">
        <v>134</v>
      </c>
      <c r="AJ300" t="s">
        <v>134</v>
      </c>
      <c r="AK300" t="s">
        <v>134</v>
      </c>
      <c r="AL300" t="s">
        <v>134</v>
      </c>
      <c r="AM300" t="s">
        <v>134</v>
      </c>
      <c r="AN300" t="s">
        <v>134</v>
      </c>
      <c r="AO300" t="s">
        <v>134</v>
      </c>
      <c r="AP300" t="s">
        <v>134</v>
      </c>
      <c r="AQ300" t="s">
        <v>134</v>
      </c>
      <c r="AR300" t="s">
        <v>134</v>
      </c>
      <c r="AS300" t="s">
        <v>134</v>
      </c>
      <c r="AT300" t="s">
        <v>134</v>
      </c>
      <c r="AU300" t="s">
        <v>134</v>
      </c>
      <c r="AV300" t="s">
        <v>134</v>
      </c>
      <c r="AW300" t="s">
        <v>134</v>
      </c>
      <c r="AX300" t="s">
        <v>134</v>
      </c>
      <c r="AY300" t="s">
        <v>134</v>
      </c>
      <c r="AZ300" t="s">
        <v>134</v>
      </c>
      <c r="BA300" t="s">
        <v>134</v>
      </c>
      <c r="BB300" t="s">
        <v>134</v>
      </c>
      <c r="BC300" t="s">
        <v>134</v>
      </c>
      <c r="BD300" t="s">
        <v>134</v>
      </c>
      <c r="BE300" t="s">
        <v>134</v>
      </c>
      <c r="BF300" t="s">
        <v>134</v>
      </c>
      <c r="BG300" t="s">
        <v>134</v>
      </c>
      <c r="BH300" t="s">
        <v>134</v>
      </c>
      <c r="BI300" t="s">
        <v>134</v>
      </c>
      <c r="BJ300" t="s">
        <v>134</v>
      </c>
      <c r="BK300" t="s">
        <v>134</v>
      </c>
      <c r="BL300" t="s">
        <v>134</v>
      </c>
      <c r="BM300" t="s">
        <v>134</v>
      </c>
      <c r="BN300" t="s">
        <v>134</v>
      </c>
      <c r="BO300" t="s">
        <v>134</v>
      </c>
      <c r="BP300" t="s">
        <v>134</v>
      </c>
      <c r="BQ300" t="s">
        <v>134</v>
      </c>
      <c r="BR300" t="s">
        <v>134</v>
      </c>
      <c r="BS300" t="s">
        <v>134</v>
      </c>
      <c r="BT300" t="s">
        <v>134</v>
      </c>
      <c r="BU300" t="s">
        <v>134</v>
      </c>
      <c r="BV300" t="s">
        <v>134</v>
      </c>
      <c r="BW300" t="s">
        <v>134</v>
      </c>
      <c r="BX300" t="s">
        <v>134</v>
      </c>
      <c r="BY300" t="s">
        <v>134</v>
      </c>
      <c r="BZ300" t="s">
        <v>134</v>
      </c>
      <c r="CA300" t="s">
        <v>134</v>
      </c>
      <c r="CB300" t="s">
        <v>134</v>
      </c>
      <c r="CC300" t="s">
        <v>134</v>
      </c>
      <c r="CD300" t="s">
        <v>134</v>
      </c>
      <c r="CE300" t="s">
        <v>134</v>
      </c>
      <c r="CF300" t="s">
        <v>134</v>
      </c>
      <c r="CG300" t="s">
        <v>134</v>
      </c>
      <c r="CH300" t="s">
        <v>134</v>
      </c>
      <c r="CI300" t="s">
        <v>134</v>
      </c>
      <c r="CJ300" t="s">
        <v>134</v>
      </c>
      <c r="CK300" t="s">
        <v>134</v>
      </c>
      <c r="CL300" t="s">
        <v>134</v>
      </c>
      <c r="CM300" t="s">
        <v>134</v>
      </c>
      <c r="CN300" t="s">
        <v>134</v>
      </c>
      <c r="CO300" t="s">
        <v>134</v>
      </c>
      <c r="CP300" t="s">
        <v>134</v>
      </c>
      <c r="CQ300" t="s">
        <v>134</v>
      </c>
      <c r="CR300" t="s">
        <v>134</v>
      </c>
      <c r="CS300" t="s">
        <v>134</v>
      </c>
      <c r="CT300" t="s">
        <v>134</v>
      </c>
      <c r="CU300" t="s">
        <v>134</v>
      </c>
      <c r="CV300" t="s">
        <v>134</v>
      </c>
      <c r="CW300" t="s">
        <v>134</v>
      </c>
      <c r="CX300" t="s">
        <v>134</v>
      </c>
      <c r="CY300" t="s">
        <v>134</v>
      </c>
      <c r="CZ300" t="s">
        <v>134</v>
      </c>
      <c r="DA300" t="s">
        <v>134</v>
      </c>
      <c r="DB300" t="s">
        <v>134</v>
      </c>
      <c r="DC300" t="s">
        <v>134</v>
      </c>
      <c r="DD300" t="s">
        <v>134</v>
      </c>
      <c r="DE300" t="s">
        <v>134</v>
      </c>
      <c r="DF300" t="s">
        <v>134</v>
      </c>
      <c r="DG300" t="s">
        <v>134</v>
      </c>
      <c r="DH300" t="s">
        <v>134</v>
      </c>
      <c r="DI300" t="s">
        <v>134</v>
      </c>
    </row>
    <row r="301" spans="1:113" x14ac:dyDescent="0.3">
      <c r="E301" t="s">
        <v>80</v>
      </c>
      <c r="F301" t="s">
        <v>134</v>
      </c>
      <c r="G301" t="s">
        <v>134</v>
      </c>
      <c r="H301" t="s">
        <v>134</v>
      </c>
      <c r="I301" t="s">
        <v>134</v>
      </c>
      <c r="J301" t="s">
        <v>134</v>
      </c>
      <c r="K301" t="s">
        <v>134</v>
      </c>
      <c r="L301" t="s">
        <v>134</v>
      </c>
      <c r="M301" t="s">
        <v>134</v>
      </c>
      <c r="N301" t="s">
        <v>134</v>
      </c>
      <c r="O301" t="s">
        <v>134</v>
      </c>
      <c r="P301" t="s">
        <v>134</v>
      </c>
      <c r="Q301" t="s">
        <v>134</v>
      </c>
      <c r="R301" t="s">
        <v>134</v>
      </c>
      <c r="S301" t="s">
        <v>134</v>
      </c>
      <c r="T301" t="s">
        <v>134</v>
      </c>
      <c r="U301" t="s">
        <v>134</v>
      </c>
      <c r="V301" t="s">
        <v>134</v>
      </c>
      <c r="W301" t="s">
        <v>134</v>
      </c>
      <c r="X301" t="s">
        <v>134</v>
      </c>
      <c r="Y301" t="s">
        <v>134</v>
      </c>
      <c r="Z301" t="s">
        <v>134</v>
      </c>
      <c r="AA301" t="s">
        <v>134</v>
      </c>
      <c r="AB301" t="s">
        <v>134</v>
      </c>
      <c r="AC301" t="s">
        <v>134</v>
      </c>
      <c r="AD301" t="s">
        <v>134</v>
      </c>
      <c r="AE301" t="s">
        <v>134</v>
      </c>
      <c r="AF301" t="s">
        <v>134</v>
      </c>
      <c r="AG301" t="s">
        <v>134</v>
      </c>
      <c r="AH301" t="s">
        <v>134</v>
      </c>
      <c r="AI301" t="s">
        <v>134</v>
      </c>
      <c r="AJ301" t="s">
        <v>134</v>
      </c>
      <c r="AK301" t="s">
        <v>134</v>
      </c>
      <c r="AL301" t="s">
        <v>134</v>
      </c>
      <c r="AM301" t="s">
        <v>134</v>
      </c>
      <c r="AN301" t="s">
        <v>134</v>
      </c>
      <c r="AO301" t="s">
        <v>134</v>
      </c>
      <c r="AP301" t="s">
        <v>134</v>
      </c>
      <c r="AQ301" t="s">
        <v>134</v>
      </c>
      <c r="AR301" t="s">
        <v>134</v>
      </c>
      <c r="AS301" t="s">
        <v>134</v>
      </c>
      <c r="AT301" t="s">
        <v>134</v>
      </c>
      <c r="AU301" t="s">
        <v>134</v>
      </c>
      <c r="AV301" t="s">
        <v>134</v>
      </c>
      <c r="AW301" t="s">
        <v>134</v>
      </c>
      <c r="AX301" t="s">
        <v>134</v>
      </c>
      <c r="AY301" t="s">
        <v>134</v>
      </c>
      <c r="AZ301" t="s">
        <v>134</v>
      </c>
      <c r="BA301" t="s">
        <v>134</v>
      </c>
      <c r="BB301" t="s">
        <v>134</v>
      </c>
      <c r="BC301" t="s">
        <v>134</v>
      </c>
      <c r="BD301" t="s">
        <v>134</v>
      </c>
      <c r="BE301" t="s">
        <v>134</v>
      </c>
      <c r="BF301" t="s">
        <v>134</v>
      </c>
      <c r="BG301" t="s">
        <v>134</v>
      </c>
      <c r="BH301" t="s">
        <v>134</v>
      </c>
      <c r="BI301" t="s">
        <v>134</v>
      </c>
      <c r="BJ301" t="s">
        <v>134</v>
      </c>
      <c r="BK301" t="s">
        <v>134</v>
      </c>
      <c r="BL301" t="s">
        <v>134</v>
      </c>
      <c r="BM301" t="s">
        <v>134</v>
      </c>
      <c r="BN301" t="s">
        <v>134</v>
      </c>
      <c r="BO301" t="s">
        <v>134</v>
      </c>
      <c r="BP301" t="s">
        <v>134</v>
      </c>
      <c r="BQ301" t="s">
        <v>134</v>
      </c>
      <c r="BR301" t="s">
        <v>134</v>
      </c>
      <c r="BS301" t="s">
        <v>134</v>
      </c>
      <c r="BT301" t="s">
        <v>134</v>
      </c>
      <c r="BU301" t="s">
        <v>134</v>
      </c>
      <c r="BV301" t="s">
        <v>134</v>
      </c>
      <c r="BW301" t="s">
        <v>134</v>
      </c>
      <c r="BX301" t="s">
        <v>134</v>
      </c>
      <c r="BY301" t="s">
        <v>134</v>
      </c>
      <c r="BZ301" t="s">
        <v>134</v>
      </c>
      <c r="CA301" t="s">
        <v>134</v>
      </c>
      <c r="CB301" t="s">
        <v>134</v>
      </c>
      <c r="CC301" t="s">
        <v>134</v>
      </c>
      <c r="CD301" t="s">
        <v>134</v>
      </c>
      <c r="CE301" t="s">
        <v>134</v>
      </c>
      <c r="CF301" t="s">
        <v>134</v>
      </c>
      <c r="CG301" t="s">
        <v>134</v>
      </c>
      <c r="CH301" t="s">
        <v>134</v>
      </c>
      <c r="CI301" t="s">
        <v>134</v>
      </c>
      <c r="CJ301" t="s">
        <v>134</v>
      </c>
      <c r="CK301" t="s">
        <v>134</v>
      </c>
      <c r="CL301" t="s">
        <v>134</v>
      </c>
      <c r="CM301" t="s">
        <v>134</v>
      </c>
      <c r="CN301" t="s">
        <v>134</v>
      </c>
      <c r="CO301" t="s">
        <v>134</v>
      </c>
      <c r="CP301" t="s">
        <v>134</v>
      </c>
      <c r="CQ301" t="s">
        <v>134</v>
      </c>
      <c r="CR301" t="s">
        <v>134</v>
      </c>
      <c r="CS301" t="s">
        <v>134</v>
      </c>
      <c r="CT301" t="s">
        <v>134</v>
      </c>
      <c r="CU301" t="s">
        <v>134</v>
      </c>
      <c r="CV301" t="s">
        <v>134</v>
      </c>
      <c r="CW301" t="s">
        <v>134</v>
      </c>
      <c r="CX301" t="s">
        <v>134</v>
      </c>
      <c r="CY301" t="s">
        <v>134</v>
      </c>
      <c r="CZ301" t="s">
        <v>134</v>
      </c>
      <c r="DA301" t="s">
        <v>134</v>
      </c>
      <c r="DB301" t="s">
        <v>134</v>
      </c>
      <c r="DC301" t="s">
        <v>134</v>
      </c>
      <c r="DD301" t="s">
        <v>134</v>
      </c>
      <c r="DE301" t="s">
        <v>134</v>
      </c>
      <c r="DF301" t="s">
        <v>134</v>
      </c>
      <c r="DG301" t="s">
        <v>134</v>
      </c>
      <c r="DH301" t="s">
        <v>134</v>
      </c>
      <c r="DI301" t="s">
        <v>134</v>
      </c>
    </row>
    <row r="302" spans="1:113" x14ac:dyDescent="0.3">
      <c r="E302" t="s">
        <v>81</v>
      </c>
      <c r="F302" t="s">
        <v>134</v>
      </c>
      <c r="G302" t="s">
        <v>134</v>
      </c>
      <c r="H302" t="s">
        <v>134</v>
      </c>
      <c r="I302" t="s">
        <v>134</v>
      </c>
      <c r="J302" t="s">
        <v>134</v>
      </c>
      <c r="K302" t="s">
        <v>134</v>
      </c>
      <c r="L302" t="s">
        <v>134</v>
      </c>
      <c r="M302" t="s">
        <v>134</v>
      </c>
      <c r="N302" t="s">
        <v>134</v>
      </c>
      <c r="O302" t="s">
        <v>134</v>
      </c>
      <c r="P302" t="s">
        <v>134</v>
      </c>
      <c r="Q302" t="s">
        <v>134</v>
      </c>
      <c r="R302" t="s">
        <v>134</v>
      </c>
      <c r="S302" t="s">
        <v>134</v>
      </c>
      <c r="T302" t="s">
        <v>134</v>
      </c>
      <c r="U302" t="s">
        <v>134</v>
      </c>
      <c r="V302" t="s">
        <v>134</v>
      </c>
      <c r="W302" t="s">
        <v>134</v>
      </c>
      <c r="X302" t="s">
        <v>134</v>
      </c>
      <c r="Y302" t="s">
        <v>134</v>
      </c>
      <c r="Z302" t="s">
        <v>134</v>
      </c>
      <c r="AA302" t="s">
        <v>134</v>
      </c>
      <c r="AB302" t="s">
        <v>134</v>
      </c>
      <c r="AC302" t="s">
        <v>134</v>
      </c>
      <c r="AD302" t="s">
        <v>134</v>
      </c>
      <c r="AE302" t="s">
        <v>134</v>
      </c>
      <c r="AF302" t="s">
        <v>134</v>
      </c>
      <c r="AG302" t="s">
        <v>134</v>
      </c>
      <c r="AH302" t="s">
        <v>134</v>
      </c>
      <c r="AI302" t="s">
        <v>134</v>
      </c>
      <c r="AJ302" t="s">
        <v>134</v>
      </c>
      <c r="AK302" t="s">
        <v>134</v>
      </c>
      <c r="AL302" t="s">
        <v>134</v>
      </c>
      <c r="AM302" t="s">
        <v>134</v>
      </c>
      <c r="AN302" t="s">
        <v>134</v>
      </c>
      <c r="AO302" t="s">
        <v>134</v>
      </c>
      <c r="AP302" t="s">
        <v>134</v>
      </c>
      <c r="AQ302" t="s">
        <v>134</v>
      </c>
      <c r="AR302" t="s">
        <v>134</v>
      </c>
      <c r="AS302" t="s">
        <v>134</v>
      </c>
      <c r="AT302" t="s">
        <v>134</v>
      </c>
      <c r="AU302" t="s">
        <v>134</v>
      </c>
      <c r="AV302" t="s">
        <v>134</v>
      </c>
      <c r="AW302" t="s">
        <v>134</v>
      </c>
      <c r="AX302" t="s">
        <v>134</v>
      </c>
      <c r="AY302" t="s">
        <v>134</v>
      </c>
      <c r="AZ302" t="s">
        <v>134</v>
      </c>
      <c r="BA302" t="s">
        <v>134</v>
      </c>
      <c r="BB302" t="s">
        <v>134</v>
      </c>
      <c r="BC302" t="s">
        <v>134</v>
      </c>
      <c r="BD302" t="s">
        <v>134</v>
      </c>
      <c r="BE302" t="s">
        <v>134</v>
      </c>
      <c r="BF302" t="s">
        <v>134</v>
      </c>
      <c r="BG302" t="s">
        <v>134</v>
      </c>
      <c r="BH302" t="s">
        <v>134</v>
      </c>
      <c r="BI302" t="s">
        <v>134</v>
      </c>
      <c r="BJ302" t="s">
        <v>134</v>
      </c>
      <c r="BK302" t="s">
        <v>134</v>
      </c>
      <c r="BL302" t="s">
        <v>134</v>
      </c>
      <c r="BM302" t="s">
        <v>134</v>
      </c>
      <c r="BN302" t="s">
        <v>134</v>
      </c>
      <c r="BO302" t="s">
        <v>134</v>
      </c>
      <c r="BP302" t="s">
        <v>134</v>
      </c>
      <c r="BQ302" t="s">
        <v>134</v>
      </c>
      <c r="BR302" t="s">
        <v>134</v>
      </c>
      <c r="BS302" t="s">
        <v>134</v>
      </c>
      <c r="BT302" t="s">
        <v>134</v>
      </c>
      <c r="BU302" t="s">
        <v>134</v>
      </c>
      <c r="BV302" t="s">
        <v>134</v>
      </c>
      <c r="BW302" t="s">
        <v>134</v>
      </c>
      <c r="BX302" t="s">
        <v>134</v>
      </c>
      <c r="BY302" t="s">
        <v>134</v>
      </c>
      <c r="BZ302" t="s">
        <v>134</v>
      </c>
      <c r="CA302" t="s">
        <v>134</v>
      </c>
      <c r="CB302" t="s">
        <v>134</v>
      </c>
      <c r="CC302" t="s">
        <v>134</v>
      </c>
      <c r="CD302" t="s">
        <v>134</v>
      </c>
      <c r="CE302" t="s">
        <v>134</v>
      </c>
      <c r="CF302" t="s">
        <v>134</v>
      </c>
      <c r="CG302" t="s">
        <v>134</v>
      </c>
      <c r="CH302" t="s">
        <v>134</v>
      </c>
      <c r="CI302" t="s">
        <v>134</v>
      </c>
      <c r="CJ302" t="s">
        <v>134</v>
      </c>
      <c r="CK302" t="s">
        <v>134</v>
      </c>
      <c r="CL302" t="s">
        <v>134</v>
      </c>
      <c r="CM302" t="s">
        <v>134</v>
      </c>
      <c r="CN302" t="s">
        <v>134</v>
      </c>
      <c r="CO302" t="s">
        <v>134</v>
      </c>
      <c r="CP302" t="s">
        <v>134</v>
      </c>
      <c r="CQ302" t="s">
        <v>134</v>
      </c>
      <c r="CR302" t="s">
        <v>134</v>
      </c>
      <c r="CS302" t="s">
        <v>134</v>
      </c>
      <c r="CT302" t="s">
        <v>134</v>
      </c>
      <c r="CU302" t="s">
        <v>134</v>
      </c>
      <c r="CV302" t="s">
        <v>134</v>
      </c>
      <c r="CW302" t="s">
        <v>134</v>
      </c>
      <c r="CX302" t="s">
        <v>134</v>
      </c>
      <c r="CY302" t="s">
        <v>134</v>
      </c>
      <c r="CZ302" t="s">
        <v>134</v>
      </c>
      <c r="DA302" t="s">
        <v>134</v>
      </c>
      <c r="DB302" t="s">
        <v>134</v>
      </c>
      <c r="DC302" t="s">
        <v>134</v>
      </c>
      <c r="DD302" t="s">
        <v>134</v>
      </c>
      <c r="DE302" t="s">
        <v>134</v>
      </c>
      <c r="DF302" t="s">
        <v>134</v>
      </c>
      <c r="DG302" t="s">
        <v>134</v>
      </c>
      <c r="DH302" t="s">
        <v>134</v>
      </c>
      <c r="DI302" t="s">
        <v>134</v>
      </c>
    </row>
    <row r="303" spans="1:113" x14ac:dyDescent="0.3">
      <c r="A303">
        <v>13</v>
      </c>
      <c r="B303" t="s">
        <v>108</v>
      </c>
      <c r="C303" t="s">
        <v>109</v>
      </c>
      <c r="D303" t="s">
        <v>76</v>
      </c>
      <c r="E303" t="s">
        <v>77</v>
      </c>
      <c r="F303">
        <v>17.676300000000001</v>
      </c>
      <c r="G303">
        <v>2.2094</v>
      </c>
      <c r="H303">
        <v>7.6909000000000001</v>
      </c>
      <c r="I303">
        <v>8.0266000000000002</v>
      </c>
      <c r="J303">
        <v>68.686400000000006</v>
      </c>
      <c r="K303">
        <v>59.790500000000002</v>
      </c>
      <c r="L303">
        <v>27.292300000000001</v>
      </c>
      <c r="M303">
        <v>48.923999999999999</v>
      </c>
      <c r="N303">
        <v>46.6601</v>
      </c>
      <c r="O303">
        <v>26.034700000000001</v>
      </c>
      <c r="P303">
        <v>32.8842</v>
      </c>
      <c r="Q303">
        <v>24.492599999999999</v>
      </c>
      <c r="R303">
        <v>1.8037000000000001</v>
      </c>
      <c r="S303">
        <v>17.357500000000002</v>
      </c>
      <c r="T303">
        <v>18.754999999999999</v>
      </c>
      <c r="U303">
        <v>13.0648</v>
      </c>
      <c r="V303">
        <v>6.7835999999999999</v>
      </c>
      <c r="W303">
        <v>-1.8784000000000001</v>
      </c>
      <c r="X303">
        <v>-5.7599</v>
      </c>
      <c r="Y303">
        <v>16.666699999999999</v>
      </c>
      <c r="Z303" t="s">
        <v>134</v>
      </c>
      <c r="AA303" t="s">
        <v>134</v>
      </c>
      <c r="AB303">
        <v>5.8897000000000004</v>
      </c>
      <c r="AC303">
        <v>13.7882</v>
      </c>
      <c r="AD303" t="s">
        <v>134</v>
      </c>
      <c r="AE303" t="s">
        <v>134</v>
      </c>
      <c r="AF303" t="s">
        <v>134</v>
      </c>
      <c r="AG303">
        <v>48.653500000000001</v>
      </c>
      <c r="AH303">
        <v>43.920900000000003</v>
      </c>
      <c r="AI303">
        <v>19.8828</v>
      </c>
      <c r="AJ303">
        <v>33.220700000000001</v>
      </c>
      <c r="AK303">
        <v>19.052800000000001</v>
      </c>
      <c r="AL303">
        <v>-41.690300000000001</v>
      </c>
      <c r="AM303">
        <v>75.024100000000004</v>
      </c>
      <c r="AN303">
        <v>94.590199999999996</v>
      </c>
      <c r="AO303">
        <v>89.076099999999997</v>
      </c>
      <c r="AP303">
        <v>84.971100000000007</v>
      </c>
      <c r="AQ303">
        <v>82.341399999999993</v>
      </c>
      <c r="AR303">
        <v>12.239100000000001</v>
      </c>
      <c r="AS303">
        <v>216.73939999999999</v>
      </c>
      <c r="AT303" t="s">
        <v>134</v>
      </c>
      <c r="AU303">
        <v>17.079000000000001</v>
      </c>
      <c r="AV303">
        <v>26.980599999999999</v>
      </c>
      <c r="AW303" t="s">
        <v>134</v>
      </c>
      <c r="AX303" t="s">
        <v>134</v>
      </c>
      <c r="AY303" t="s">
        <v>134</v>
      </c>
      <c r="AZ303">
        <v>158.61449999999999</v>
      </c>
      <c r="BA303">
        <v>118.6511</v>
      </c>
      <c r="BB303">
        <v>39.909399999999998</v>
      </c>
      <c r="BC303">
        <v>63.072400000000002</v>
      </c>
      <c r="BD303">
        <v>33.3001</v>
      </c>
      <c r="BE303" t="s">
        <v>134</v>
      </c>
      <c r="BF303">
        <v>18.754999999999999</v>
      </c>
      <c r="BG303">
        <v>13.0648</v>
      </c>
      <c r="BH303">
        <v>6.7835999999999999</v>
      </c>
      <c r="BI303">
        <v>-1.8784000000000001</v>
      </c>
      <c r="BJ303">
        <v>-5.7599</v>
      </c>
      <c r="BK303">
        <v>16.666699999999999</v>
      </c>
      <c r="BL303">
        <v>32.576900000000002</v>
      </c>
      <c r="BM303" t="s">
        <v>134</v>
      </c>
      <c r="BN303">
        <v>5.8897000000000004</v>
      </c>
      <c r="BO303">
        <v>13.7882</v>
      </c>
      <c r="BP303" t="s">
        <v>134</v>
      </c>
      <c r="BQ303" t="s">
        <v>134</v>
      </c>
      <c r="BR303" t="s">
        <v>134</v>
      </c>
      <c r="BS303">
        <v>48.653500000000001</v>
      </c>
      <c r="BT303">
        <v>43.920900000000003</v>
      </c>
      <c r="BU303">
        <v>19.8828</v>
      </c>
      <c r="BV303">
        <v>33.220700000000001</v>
      </c>
      <c r="BW303">
        <v>19.052800000000001</v>
      </c>
      <c r="BX303" t="s">
        <v>134</v>
      </c>
      <c r="BY303">
        <v>195085.1</v>
      </c>
      <c r="BZ303">
        <v>92082.5</v>
      </c>
      <c r="CA303">
        <v>103002.6</v>
      </c>
      <c r="CB303">
        <v>4.7888999999999999</v>
      </c>
      <c r="CC303">
        <v>4.2830000000000004</v>
      </c>
      <c r="CD303">
        <v>6.9488000000000003</v>
      </c>
      <c r="CE303">
        <v>6.2146999999999997</v>
      </c>
      <c r="CF303">
        <v>3.2976000000000001</v>
      </c>
      <c r="CG303">
        <v>12.763299999999999</v>
      </c>
      <c r="CH303">
        <v>79.010300000000001</v>
      </c>
      <c r="CI303">
        <v>31.6492</v>
      </c>
      <c r="CJ303">
        <v>13.845599999999999</v>
      </c>
      <c r="CK303">
        <v>149.64400000000001</v>
      </c>
      <c r="CL303">
        <v>59.942999999999998</v>
      </c>
      <c r="CM303">
        <v>26.223400000000002</v>
      </c>
      <c r="CN303">
        <v>133.8348</v>
      </c>
      <c r="CO303">
        <v>57.2348</v>
      </c>
      <c r="CP303">
        <v>40736.9</v>
      </c>
      <c r="CQ303">
        <v>40736.9</v>
      </c>
      <c r="CR303">
        <v>28074.7</v>
      </c>
      <c r="CS303" t="s">
        <v>134</v>
      </c>
      <c r="CT303" t="s">
        <v>134</v>
      </c>
      <c r="CU303" t="s">
        <v>134</v>
      </c>
      <c r="CV303" t="s">
        <v>134</v>
      </c>
      <c r="CW303" t="s">
        <v>134</v>
      </c>
      <c r="CX303" t="s">
        <v>134</v>
      </c>
      <c r="CY303" t="s">
        <v>134</v>
      </c>
      <c r="CZ303" t="s">
        <v>134</v>
      </c>
      <c r="DA303" t="s">
        <v>134</v>
      </c>
      <c r="DB303" t="s">
        <v>134</v>
      </c>
      <c r="DC303" t="s">
        <v>134</v>
      </c>
      <c r="DD303" t="s">
        <v>134</v>
      </c>
      <c r="DE303" t="s">
        <v>134</v>
      </c>
      <c r="DF303" t="s">
        <v>134</v>
      </c>
      <c r="DG303" t="s">
        <v>134</v>
      </c>
      <c r="DH303" t="s">
        <v>134</v>
      </c>
      <c r="DI303" t="s">
        <v>134</v>
      </c>
    </row>
    <row r="304" spans="1:113" x14ac:dyDescent="0.3">
      <c r="E304" t="s">
        <v>78</v>
      </c>
      <c r="F304" t="s">
        <v>134</v>
      </c>
      <c r="G304" t="s">
        <v>134</v>
      </c>
      <c r="H304" t="s">
        <v>134</v>
      </c>
      <c r="I304" t="s">
        <v>134</v>
      </c>
      <c r="J304">
        <v>70.312899999999999</v>
      </c>
      <c r="K304">
        <v>59.372999999999998</v>
      </c>
      <c r="L304">
        <v>58.007100000000001</v>
      </c>
      <c r="M304">
        <v>43.977400000000003</v>
      </c>
      <c r="N304">
        <v>42.777700000000003</v>
      </c>
      <c r="O304">
        <v>21.956</v>
      </c>
      <c r="P304">
        <v>29.698799999999999</v>
      </c>
      <c r="Q304">
        <v>28.087700000000002</v>
      </c>
      <c r="R304" t="s">
        <v>134</v>
      </c>
      <c r="S304" t="s">
        <v>134</v>
      </c>
      <c r="T304">
        <v>36.909700000000001</v>
      </c>
      <c r="U304">
        <v>34.275799999999997</v>
      </c>
      <c r="V304">
        <v>39.968899999999998</v>
      </c>
      <c r="W304">
        <v>42.805900000000001</v>
      </c>
      <c r="X304">
        <v>32.041200000000003</v>
      </c>
      <c r="Y304" t="s">
        <v>134</v>
      </c>
      <c r="Z304" t="s">
        <v>134</v>
      </c>
      <c r="AA304" t="s">
        <v>134</v>
      </c>
      <c r="AB304" t="s">
        <v>134</v>
      </c>
      <c r="AC304" t="s">
        <v>134</v>
      </c>
      <c r="AD304" t="s">
        <v>134</v>
      </c>
      <c r="AE304" t="s">
        <v>134</v>
      </c>
      <c r="AF304" t="s">
        <v>134</v>
      </c>
      <c r="AG304" t="s">
        <v>134</v>
      </c>
      <c r="AH304" t="s">
        <v>134</v>
      </c>
      <c r="AI304" t="s">
        <v>134</v>
      </c>
      <c r="AJ304" t="s">
        <v>134</v>
      </c>
      <c r="AK304" t="s">
        <v>134</v>
      </c>
      <c r="AL304" t="s">
        <v>134</v>
      </c>
      <c r="AM304">
        <v>80.064899999999994</v>
      </c>
      <c r="AN304" t="s">
        <v>134</v>
      </c>
      <c r="AO304" t="s">
        <v>134</v>
      </c>
      <c r="AP304" t="s">
        <v>134</v>
      </c>
      <c r="AQ304" t="s">
        <v>134</v>
      </c>
      <c r="AR304" t="s">
        <v>134</v>
      </c>
      <c r="AS304" t="s">
        <v>134</v>
      </c>
      <c r="AT304" t="s">
        <v>134</v>
      </c>
      <c r="AU304" t="s">
        <v>134</v>
      </c>
      <c r="AV304" t="s">
        <v>134</v>
      </c>
      <c r="AW304" t="s">
        <v>134</v>
      </c>
      <c r="AX304" t="s">
        <v>134</v>
      </c>
      <c r="AY304" t="s">
        <v>134</v>
      </c>
      <c r="AZ304" t="s">
        <v>134</v>
      </c>
      <c r="BA304" t="s">
        <v>134</v>
      </c>
      <c r="BB304" t="s">
        <v>134</v>
      </c>
      <c r="BC304" t="s">
        <v>134</v>
      </c>
      <c r="BD304" t="s">
        <v>134</v>
      </c>
      <c r="BE304" t="s">
        <v>134</v>
      </c>
      <c r="BF304">
        <v>-37.0075</v>
      </c>
      <c r="BG304">
        <v>-47.973300000000002</v>
      </c>
      <c r="BH304">
        <v>-59.595399999999998</v>
      </c>
      <c r="BI304">
        <v>-69.458600000000004</v>
      </c>
      <c r="BJ304">
        <v>-69.512200000000007</v>
      </c>
      <c r="BK304" t="s">
        <v>134</v>
      </c>
      <c r="BL304" t="s">
        <v>134</v>
      </c>
      <c r="BM304" t="s">
        <v>134</v>
      </c>
      <c r="BN304" t="s">
        <v>134</v>
      </c>
      <c r="BO304" t="s">
        <v>134</v>
      </c>
      <c r="BP304" t="s">
        <v>134</v>
      </c>
      <c r="BQ304" t="s">
        <v>134</v>
      </c>
      <c r="BR304" t="s">
        <v>134</v>
      </c>
      <c r="BS304" t="s">
        <v>134</v>
      </c>
      <c r="BT304" t="s">
        <v>134</v>
      </c>
      <c r="BU304" t="s">
        <v>134</v>
      </c>
      <c r="BV304" t="s">
        <v>134</v>
      </c>
      <c r="BW304" t="s">
        <v>134</v>
      </c>
      <c r="BX304" t="s">
        <v>134</v>
      </c>
      <c r="BY304" t="s">
        <v>134</v>
      </c>
      <c r="BZ304" t="s">
        <v>134</v>
      </c>
      <c r="CA304" t="s">
        <v>134</v>
      </c>
      <c r="CB304" t="s">
        <v>134</v>
      </c>
      <c r="CC304" t="s">
        <v>134</v>
      </c>
      <c r="CD304" t="s">
        <v>134</v>
      </c>
      <c r="CE304" t="s">
        <v>134</v>
      </c>
      <c r="CF304">
        <v>2.6970000000000001</v>
      </c>
      <c r="CG304" t="s">
        <v>134</v>
      </c>
      <c r="CH304" t="s">
        <v>134</v>
      </c>
      <c r="CI304" t="s">
        <v>134</v>
      </c>
      <c r="CJ304" t="s">
        <v>134</v>
      </c>
      <c r="CK304" t="s">
        <v>134</v>
      </c>
      <c r="CL304" t="s">
        <v>134</v>
      </c>
      <c r="CM304" t="s">
        <v>134</v>
      </c>
      <c r="CN304" t="s">
        <v>134</v>
      </c>
      <c r="CO304" t="s">
        <v>134</v>
      </c>
      <c r="CP304">
        <v>8928.4</v>
      </c>
      <c r="CQ304" t="s">
        <v>134</v>
      </c>
      <c r="CR304">
        <v>5573.7</v>
      </c>
      <c r="CS304" t="s">
        <v>134</v>
      </c>
      <c r="CT304" t="s">
        <v>134</v>
      </c>
      <c r="CU304" t="s">
        <v>134</v>
      </c>
      <c r="CV304" t="s">
        <v>134</v>
      </c>
      <c r="CW304" t="s">
        <v>134</v>
      </c>
      <c r="CX304" t="s">
        <v>134</v>
      </c>
      <c r="CY304" t="s">
        <v>134</v>
      </c>
      <c r="CZ304" t="s">
        <v>134</v>
      </c>
      <c r="DA304" t="s">
        <v>134</v>
      </c>
      <c r="DB304" t="s">
        <v>134</v>
      </c>
      <c r="DC304" t="s">
        <v>134</v>
      </c>
      <c r="DD304" t="s">
        <v>134</v>
      </c>
      <c r="DE304" t="s">
        <v>134</v>
      </c>
      <c r="DF304" t="s">
        <v>134</v>
      </c>
      <c r="DG304" t="s">
        <v>134</v>
      </c>
      <c r="DH304" t="s">
        <v>134</v>
      </c>
      <c r="DI304" t="s">
        <v>134</v>
      </c>
    </row>
    <row r="305" spans="4:113" x14ac:dyDescent="0.3">
      <c r="E305" t="s">
        <v>79</v>
      </c>
      <c r="F305">
        <v>23.649799999999999</v>
      </c>
      <c r="G305">
        <v>2.6227999999999998</v>
      </c>
      <c r="H305">
        <v>11.5389</v>
      </c>
      <c r="I305">
        <v>12.6456</v>
      </c>
      <c r="J305">
        <v>72.469300000000004</v>
      </c>
      <c r="K305">
        <v>60.628100000000003</v>
      </c>
      <c r="L305">
        <v>62.493000000000002</v>
      </c>
      <c r="M305">
        <v>42.5383</v>
      </c>
      <c r="N305">
        <v>42.750500000000002</v>
      </c>
      <c r="O305">
        <v>21.132300000000001</v>
      </c>
      <c r="P305">
        <v>29.775200000000002</v>
      </c>
      <c r="Q305">
        <v>28.672799999999999</v>
      </c>
      <c r="R305" t="s">
        <v>134</v>
      </c>
      <c r="S305" t="s">
        <v>134</v>
      </c>
      <c r="T305">
        <v>29.8443</v>
      </c>
      <c r="U305">
        <v>30.584</v>
      </c>
      <c r="V305">
        <v>31.1708</v>
      </c>
      <c r="W305">
        <v>27.5318</v>
      </c>
      <c r="X305">
        <v>15.8622</v>
      </c>
      <c r="Y305" t="s">
        <v>134</v>
      </c>
      <c r="Z305" t="s">
        <v>134</v>
      </c>
      <c r="AA305" t="s">
        <v>134</v>
      </c>
      <c r="AB305">
        <v>10.5243</v>
      </c>
      <c r="AC305">
        <v>5.6546000000000003</v>
      </c>
      <c r="AD305" t="s">
        <v>134</v>
      </c>
      <c r="AE305" t="s">
        <v>134</v>
      </c>
      <c r="AF305" t="s">
        <v>134</v>
      </c>
      <c r="AG305">
        <v>99.603200000000001</v>
      </c>
      <c r="AH305">
        <v>37.463500000000003</v>
      </c>
      <c r="AI305">
        <v>37.7864</v>
      </c>
      <c r="AJ305">
        <v>37.615900000000003</v>
      </c>
      <c r="AK305">
        <v>23.081399999999999</v>
      </c>
      <c r="AL305" t="s">
        <v>134</v>
      </c>
      <c r="AM305">
        <v>69.924400000000006</v>
      </c>
      <c r="AN305">
        <v>172.9468</v>
      </c>
      <c r="AO305" t="s">
        <v>134</v>
      </c>
      <c r="AP305" t="s">
        <v>134</v>
      </c>
      <c r="AQ305" t="s">
        <v>134</v>
      </c>
      <c r="AR305" t="s">
        <v>134</v>
      </c>
      <c r="AS305" t="s">
        <v>134</v>
      </c>
      <c r="AT305" t="s">
        <v>134</v>
      </c>
      <c r="AU305" t="s">
        <v>134</v>
      </c>
      <c r="AV305" t="s">
        <v>134</v>
      </c>
      <c r="AW305" t="s">
        <v>134</v>
      </c>
      <c r="AX305" t="s">
        <v>134</v>
      </c>
      <c r="AY305" t="s">
        <v>134</v>
      </c>
      <c r="AZ305" t="s">
        <v>134</v>
      </c>
      <c r="BA305" t="s">
        <v>134</v>
      </c>
      <c r="BB305" t="s">
        <v>134</v>
      </c>
      <c r="BC305" t="s">
        <v>134</v>
      </c>
      <c r="BD305" t="s">
        <v>134</v>
      </c>
      <c r="BE305" t="s">
        <v>134</v>
      </c>
      <c r="BF305">
        <v>3.0556000000000001</v>
      </c>
      <c r="BG305">
        <v>6.2161</v>
      </c>
      <c r="BH305">
        <v>1.0262</v>
      </c>
      <c r="BI305">
        <v>-0.81059999999999999</v>
      </c>
      <c r="BJ305">
        <v>-0.6895</v>
      </c>
      <c r="BK305" t="s">
        <v>134</v>
      </c>
      <c r="BL305" t="s">
        <v>134</v>
      </c>
      <c r="BM305" t="s">
        <v>134</v>
      </c>
      <c r="BN305" t="s">
        <v>134</v>
      </c>
      <c r="BO305" t="s">
        <v>134</v>
      </c>
      <c r="BP305" t="s">
        <v>134</v>
      </c>
      <c r="BQ305" t="s">
        <v>134</v>
      </c>
      <c r="BR305" t="s">
        <v>134</v>
      </c>
      <c r="BS305" t="s">
        <v>134</v>
      </c>
      <c r="BT305" t="s">
        <v>134</v>
      </c>
      <c r="BU305" t="s">
        <v>134</v>
      </c>
      <c r="BV305" t="s">
        <v>134</v>
      </c>
      <c r="BW305" t="s">
        <v>134</v>
      </c>
      <c r="BX305" t="s">
        <v>134</v>
      </c>
      <c r="BY305">
        <v>128005.5</v>
      </c>
      <c r="BZ305">
        <v>54375.7</v>
      </c>
      <c r="CA305">
        <v>73629.8</v>
      </c>
      <c r="CB305">
        <v>2.9217</v>
      </c>
      <c r="CC305">
        <v>2.7067999999999999</v>
      </c>
      <c r="CD305">
        <v>4.2685000000000004</v>
      </c>
      <c r="CE305">
        <v>3.9544000000000001</v>
      </c>
      <c r="CF305">
        <v>2.4965999999999999</v>
      </c>
      <c r="CG305">
        <v>12.4154</v>
      </c>
      <c r="CH305">
        <v>64.248699999999999</v>
      </c>
      <c r="CI305">
        <v>30.349499999999999</v>
      </c>
      <c r="CJ305">
        <v>10.947100000000001</v>
      </c>
      <c r="CK305">
        <v>111.6965</v>
      </c>
      <c r="CL305">
        <v>52.762599999999999</v>
      </c>
      <c r="CM305">
        <v>19.031500000000001</v>
      </c>
      <c r="CN305">
        <v>103.4787</v>
      </c>
      <c r="CO305">
        <v>50.854799999999997</v>
      </c>
      <c r="CP305">
        <v>9483.4</v>
      </c>
      <c r="CQ305" t="s">
        <v>134</v>
      </c>
      <c r="CR305">
        <v>5630.9</v>
      </c>
      <c r="CS305" t="s">
        <v>134</v>
      </c>
      <c r="CT305" t="s">
        <v>134</v>
      </c>
      <c r="CU305" t="s">
        <v>134</v>
      </c>
      <c r="CV305" t="s">
        <v>134</v>
      </c>
      <c r="CW305" t="s">
        <v>134</v>
      </c>
      <c r="CX305" t="s">
        <v>134</v>
      </c>
      <c r="CY305" t="s">
        <v>134</v>
      </c>
      <c r="CZ305" t="s">
        <v>134</v>
      </c>
      <c r="DA305" t="s">
        <v>134</v>
      </c>
      <c r="DB305" t="s">
        <v>134</v>
      </c>
      <c r="DC305" t="s">
        <v>134</v>
      </c>
      <c r="DD305" t="s">
        <v>134</v>
      </c>
      <c r="DE305" t="s">
        <v>134</v>
      </c>
      <c r="DF305" t="s">
        <v>134</v>
      </c>
      <c r="DG305" t="s">
        <v>134</v>
      </c>
      <c r="DH305" t="s">
        <v>134</v>
      </c>
      <c r="DI305" t="s">
        <v>134</v>
      </c>
    </row>
    <row r="306" spans="4:113" x14ac:dyDescent="0.3">
      <c r="E306" t="s">
        <v>80</v>
      </c>
      <c r="F306" t="s">
        <v>134</v>
      </c>
      <c r="G306" t="s">
        <v>134</v>
      </c>
      <c r="H306" t="s">
        <v>134</v>
      </c>
      <c r="I306" t="s">
        <v>134</v>
      </c>
      <c r="J306">
        <v>71.186999999999998</v>
      </c>
      <c r="K306">
        <v>58.681199999999997</v>
      </c>
      <c r="L306">
        <v>42.6753</v>
      </c>
      <c r="M306">
        <v>41.675199999999997</v>
      </c>
      <c r="N306">
        <v>41.494100000000003</v>
      </c>
      <c r="O306">
        <v>20.187000000000001</v>
      </c>
      <c r="P306">
        <v>28.487300000000001</v>
      </c>
      <c r="Q306">
        <v>29.444800000000001</v>
      </c>
      <c r="R306" t="s">
        <v>134</v>
      </c>
      <c r="S306" t="s">
        <v>134</v>
      </c>
      <c r="T306">
        <v>24.351900000000001</v>
      </c>
      <c r="U306">
        <v>20.322400000000002</v>
      </c>
      <c r="V306">
        <v>16.0627</v>
      </c>
      <c r="W306">
        <v>13.027200000000001</v>
      </c>
      <c r="X306">
        <v>13.2471</v>
      </c>
      <c r="Y306" t="s">
        <v>134</v>
      </c>
      <c r="Z306" t="s">
        <v>134</v>
      </c>
      <c r="AA306" t="s">
        <v>134</v>
      </c>
      <c r="AB306" t="s">
        <v>134</v>
      </c>
      <c r="AC306" t="s">
        <v>134</v>
      </c>
      <c r="AD306" t="s">
        <v>134</v>
      </c>
      <c r="AE306" t="s">
        <v>134</v>
      </c>
      <c r="AF306" t="s">
        <v>134</v>
      </c>
      <c r="AG306" t="s">
        <v>134</v>
      </c>
      <c r="AH306" t="s">
        <v>134</v>
      </c>
      <c r="AI306" t="s">
        <v>134</v>
      </c>
      <c r="AJ306" t="s">
        <v>134</v>
      </c>
      <c r="AK306" t="s">
        <v>134</v>
      </c>
      <c r="AL306" t="s">
        <v>134</v>
      </c>
      <c r="AM306">
        <v>74.587400000000002</v>
      </c>
      <c r="AN306">
        <v>110.2817</v>
      </c>
      <c r="AO306">
        <v>103.3583</v>
      </c>
      <c r="AP306">
        <v>87.01</v>
      </c>
      <c r="AQ306">
        <v>84.140900000000002</v>
      </c>
      <c r="AR306" t="s">
        <v>134</v>
      </c>
      <c r="AS306" t="s">
        <v>134</v>
      </c>
      <c r="AT306" t="s">
        <v>134</v>
      </c>
      <c r="AU306" t="s">
        <v>134</v>
      </c>
      <c r="AV306" t="s">
        <v>134</v>
      </c>
      <c r="AW306" t="s">
        <v>134</v>
      </c>
      <c r="AX306" t="s">
        <v>134</v>
      </c>
      <c r="AY306" t="s">
        <v>134</v>
      </c>
      <c r="AZ306" t="s">
        <v>134</v>
      </c>
      <c r="BA306" t="s">
        <v>134</v>
      </c>
      <c r="BB306" t="s">
        <v>134</v>
      </c>
      <c r="BC306" t="s">
        <v>134</v>
      </c>
      <c r="BD306" t="s">
        <v>134</v>
      </c>
      <c r="BE306" t="s">
        <v>134</v>
      </c>
      <c r="BF306">
        <v>6.4128999999999996</v>
      </c>
      <c r="BG306">
        <v>4.53</v>
      </c>
      <c r="BH306">
        <v>2.8361000000000001</v>
      </c>
      <c r="BI306">
        <v>1.6526000000000001</v>
      </c>
      <c r="BJ306">
        <v>1.6526000000000001</v>
      </c>
      <c r="BK306" t="s">
        <v>134</v>
      </c>
      <c r="BL306" t="s">
        <v>134</v>
      </c>
      <c r="BM306" t="s">
        <v>134</v>
      </c>
      <c r="BN306" t="s">
        <v>134</v>
      </c>
      <c r="BO306" t="s">
        <v>134</v>
      </c>
      <c r="BP306" t="s">
        <v>134</v>
      </c>
      <c r="BQ306" t="s">
        <v>134</v>
      </c>
      <c r="BR306" t="s">
        <v>134</v>
      </c>
      <c r="BS306" t="s">
        <v>134</v>
      </c>
      <c r="BT306" t="s">
        <v>134</v>
      </c>
      <c r="BU306" t="s">
        <v>134</v>
      </c>
      <c r="BV306" t="s">
        <v>134</v>
      </c>
      <c r="BW306" t="s">
        <v>134</v>
      </c>
      <c r="BX306" t="s">
        <v>134</v>
      </c>
      <c r="BY306" t="s">
        <v>134</v>
      </c>
      <c r="BZ306" t="s">
        <v>134</v>
      </c>
      <c r="CA306" t="s">
        <v>134</v>
      </c>
      <c r="CB306" t="s">
        <v>134</v>
      </c>
      <c r="CC306" t="s">
        <v>134</v>
      </c>
      <c r="CD306" t="s">
        <v>134</v>
      </c>
      <c r="CE306" t="s">
        <v>134</v>
      </c>
      <c r="CF306">
        <v>2.4432</v>
      </c>
      <c r="CG306" t="s">
        <v>134</v>
      </c>
      <c r="CH306" t="s">
        <v>134</v>
      </c>
      <c r="CI306" t="s">
        <v>134</v>
      </c>
      <c r="CJ306" t="s">
        <v>134</v>
      </c>
      <c r="CK306" t="s">
        <v>134</v>
      </c>
      <c r="CL306" t="s">
        <v>134</v>
      </c>
      <c r="CM306" t="s">
        <v>134</v>
      </c>
      <c r="CN306" t="s">
        <v>134</v>
      </c>
      <c r="CO306" t="s">
        <v>134</v>
      </c>
      <c r="CP306">
        <v>9913</v>
      </c>
      <c r="CQ306" t="s">
        <v>134</v>
      </c>
      <c r="CR306">
        <v>5790.6</v>
      </c>
      <c r="CS306" t="s">
        <v>134</v>
      </c>
      <c r="CT306" t="s">
        <v>134</v>
      </c>
      <c r="CU306" t="s">
        <v>134</v>
      </c>
      <c r="CV306" t="s">
        <v>134</v>
      </c>
      <c r="CW306" t="s">
        <v>134</v>
      </c>
      <c r="CX306" t="s">
        <v>134</v>
      </c>
      <c r="CY306" t="s">
        <v>134</v>
      </c>
      <c r="CZ306" t="s">
        <v>134</v>
      </c>
      <c r="DA306" t="s">
        <v>134</v>
      </c>
      <c r="DB306" t="s">
        <v>134</v>
      </c>
      <c r="DC306" t="s">
        <v>134</v>
      </c>
      <c r="DD306" t="s">
        <v>134</v>
      </c>
      <c r="DE306" t="s">
        <v>134</v>
      </c>
      <c r="DF306" t="s">
        <v>134</v>
      </c>
      <c r="DG306" t="s">
        <v>134</v>
      </c>
      <c r="DH306" t="s">
        <v>134</v>
      </c>
      <c r="DI306" t="s">
        <v>134</v>
      </c>
    </row>
    <row r="307" spans="4:113" x14ac:dyDescent="0.3">
      <c r="E307" t="s">
        <v>81</v>
      </c>
      <c r="F307">
        <v>17.676300000000001</v>
      </c>
      <c r="G307">
        <v>2.2094</v>
      </c>
      <c r="H307">
        <v>7.6909000000000001</v>
      </c>
      <c r="I307">
        <v>8.6252999999999993</v>
      </c>
      <c r="J307">
        <v>80.870900000000006</v>
      </c>
      <c r="K307">
        <v>74.656700000000001</v>
      </c>
      <c r="L307">
        <v>-214.59</v>
      </c>
      <c r="M307">
        <v>58.835999999999999</v>
      </c>
      <c r="N307">
        <v>61.242199999999997</v>
      </c>
      <c r="O307">
        <v>34.517400000000002</v>
      </c>
      <c r="P307">
        <v>44.093499999999999</v>
      </c>
      <c r="Q307">
        <v>18.516300000000001</v>
      </c>
      <c r="R307" t="s">
        <v>134</v>
      </c>
      <c r="S307" t="s">
        <v>134</v>
      </c>
      <c r="T307">
        <v>1.6996</v>
      </c>
      <c r="U307">
        <v>-3.3919999999999999</v>
      </c>
      <c r="V307">
        <v>-13.1464</v>
      </c>
      <c r="W307">
        <v>-22.482099999999999</v>
      </c>
      <c r="X307">
        <v>-22.523599999999998</v>
      </c>
      <c r="Y307" t="s">
        <v>134</v>
      </c>
      <c r="Z307" t="s">
        <v>134</v>
      </c>
      <c r="AA307" t="s">
        <v>134</v>
      </c>
      <c r="AB307">
        <v>5.8897000000000004</v>
      </c>
      <c r="AC307">
        <v>13.7882</v>
      </c>
      <c r="AD307" t="s">
        <v>134</v>
      </c>
      <c r="AE307" t="s">
        <v>134</v>
      </c>
      <c r="AF307" t="s">
        <v>134</v>
      </c>
      <c r="AG307">
        <v>48.653500000000001</v>
      </c>
      <c r="AH307">
        <v>43.920900000000003</v>
      </c>
      <c r="AI307">
        <v>19.8828</v>
      </c>
      <c r="AJ307">
        <v>33.220700000000001</v>
      </c>
      <c r="AK307">
        <v>19.052800000000001</v>
      </c>
      <c r="AL307" t="s">
        <v>134</v>
      </c>
      <c r="AM307">
        <v>71.052000000000007</v>
      </c>
      <c r="AN307">
        <v>67.041300000000007</v>
      </c>
      <c r="AO307">
        <v>58.447600000000001</v>
      </c>
      <c r="AP307">
        <v>45.874400000000001</v>
      </c>
      <c r="AQ307">
        <v>43.650300000000001</v>
      </c>
      <c r="AR307" t="s">
        <v>134</v>
      </c>
      <c r="AS307">
        <v>216.73939999999999</v>
      </c>
      <c r="AT307" t="s">
        <v>134</v>
      </c>
      <c r="AU307">
        <v>17.079000000000001</v>
      </c>
      <c r="AV307">
        <v>26.980599999999999</v>
      </c>
      <c r="AW307" t="s">
        <v>134</v>
      </c>
      <c r="AX307" t="s">
        <v>134</v>
      </c>
      <c r="AY307" t="s">
        <v>134</v>
      </c>
      <c r="AZ307">
        <v>158.61449999999999</v>
      </c>
      <c r="BA307">
        <v>118.6511</v>
      </c>
      <c r="BB307">
        <v>39.909399999999998</v>
      </c>
      <c r="BC307">
        <v>63.072400000000002</v>
      </c>
      <c r="BD307">
        <v>33.3001</v>
      </c>
      <c r="BE307" t="s">
        <v>134</v>
      </c>
      <c r="BF307">
        <v>47.219099999999997</v>
      </c>
      <c r="BG307">
        <v>67.245999999999995</v>
      </c>
      <c r="BH307">
        <v>106.90770000000001</v>
      </c>
      <c r="BI307">
        <v>151.72710000000001</v>
      </c>
      <c r="BJ307">
        <v>151.72710000000001</v>
      </c>
      <c r="BK307" t="s">
        <v>134</v>
      </c>
      <c r="BL307" t="s">
        <v>134</v>
      </c>
      <c r="BM307" t="s">
        <v>134</v>
      </c>
      <c r="BN307" t="s">
        <v>134</v>
      </c>
      <c r="BO307" t="s">
        <v>134</v>
      </c>
      <c r="BP307" t="s">
        <v>134</v>
      </c>
      <c r="BQ307" t="s">
        <v>134</v>
      </c>
      <c r="BR307" t="s">
        <v>134</v>
      </c>
      <c r="BS307" t="s">
        <v>134</v>
      </c>
      <c r="BT307" t="s">
        <v>134</v>
      </c>
      <c r="BU307" t="s">
        <v>134</v>
      </c>
      <c r="BV307" t="s">
        <v>134</v>
      </c>
      <c r="BW307" t="s">
        <v>134</v>
      </c>
      <c r="BX307" t="s">
        <v>134</v>
      </c>
      <c r="BY307">
        <v>195085.1</v>
      </c>
      <c r="BZ307">
        <v>92082.5</v>
      </c>
      <c r="CA307">
        <v>103002.6</v>
      </c>
      <c r="CB307">
        <v>4.3445</v>
      </c>
      <c r="CC307">
        <v>3.8855</v>
      </c>
      <c r="CD307">
        <v>6.7325999999999997</v>
      </c>
      <c r="CE307">
        <v>6.0213000000000001</v>
      </c>
      <c r="CF307">
        <v>3.7237</v>
      </c>
      <c r="CG307">
        <v>12.763299999999999</v>
      </c>
      <c r="CH307">
        <v>79.010300000000001</v>
      </c>
      <c r="CI307">
        <v>31.6492</v>
      </c>
      <c r="CJ307">
        <v>13.845599999999999</v>
      </c>
      <c r="CK307">
        <v>149.64400000000001</v>
      </c>
      <c r="CL307">
        <v>59.942999999999998</v>
      </c>
      <c r="CM307">
        <v>26.223400000000002</v>
      </c>
      <c r="CN307">
        <v>133.8348</v>
      </c>
      <c r="CO307">
        <v>57.2348</v>
      </c>
      <c r="CP307">
        <v>16579.099999999999</v>
      </c>
      <c r="CQ307" t="s">
        <v>134</v>
      </c>
      <c r="CR307">
        <v>11981.2</v>
      </c>
      <c r="CS307" t="s">
        <v>134</v>
      </c>
      <c r="CT307" t="s">
        <v>134</v>
      </c>
      <c r="CU307" t="s">
        <v>134</v>
      </c>
      <c r="CV307" t="s">
        <v>134</v>
      </c>
      <c r="CW307" t="s">
        <v>134</v>
      </c>
      <c r="CX307" t="s">
        <v>134</v>
      </c>
      <c r="CY307" t="s">
        <v>134</v>
      </c>
      <c r="CZ307" t="s">
        <v>134</v>
      </c>
      <c r="DA307" t="s">
        <v>134</v>
      </c>
      <c r="DB307" t="s">
        <v>134</v>
      </c>
      <c r="DC307" t="s">
        <v>134</v>
      </c>
      <c r="DD307" t="s">
        <v>134</v>
      </c>
      <c r="DE307" t="s">
        <v>134</v>
      </c>
      <c r="DF307" t="s">
        <v>134</v>
      </c>
      <c r="DG307" t="s">
        <v>134</v>
      </c>
      <c r="DH307" t="s">
        <v>134</v>
      </c>
      <c r="DI307" t="s">
        <v>134</v>
      </c>
    </row>
    <row r="308" spans="4:113" x14ac:dyDescent="0.3">
      <c r="D308" t="s">
        <v>82</v>
      </c>
      <c r="E308" t="s">
        <v>77</v>
      </c>
      <c r="F308">
        <v>16.418399999999998</v>
      </c>
      <c r="G308">
        <v>2.0777000000000001</v>
      </c>
      <c r="H308">
        <v>6.4931999999999999</v>
      </c>
      <c r="I308">
        <v>7.2129000000000003</v>
      </c>
      <c r="J308">
        <v>66.811199999999999</v>
      </c>
      <c r="K308">
        <v>55.3932</v>
      </c>
      <c r="L308">
        <v>33.655700000000003</v>
      </c>
      <c r="M308">
        <v>43.4529</v>
      </c>
      <c r="N308">
        <v>42.686999999999998</v>
      </c>
      <c r="O308">
        <v>22.619499999999999</v>
      </c>
      <c r="P308">
        <v>29.9406</v>
      </c>
      <c r="Q308">
        <v>25.783799999999999</v>
      </c>
      <c r="R308">
        <v>1.6480999999999999</v>
      </c>
      <c r="S308">
        <v>16.1478</v>
      </c>
      <c r="T308">
        <v>25.938500000000001</v>
      </c>
      <c r="U308">
        <v>22.5214</v>
      </c>
      <c r="V308">
        <v>11.3558</v>
      </c>
      <c r="W308">
        <v>9.4367000000000001</v>
      </c>
      <c r="X308">
        <v>9.4393999999999991</v>
      </c>
      <c r="Y308">
        <v>0</v>
      </c>
      <c r="Z308" t="s">
        <v>134</v>
      </c>
      <c r="AA308" t="s">
        <v>134</v>
      </c>
      <c r="AB308">
        <v>-0.61399999999999999</v>
      </c>
      <c r="AC308">
        <v>18.654499999999999</v>
      </c>
      <c r="AD308" t="s">
        <v>134</v>
      </c>
      <c r="AE308" t="s">
        <v>134</v>
      </c>
      <c r="AF308" t="s">
        <v>134</v>
      </c>
      <c r="AG308">
        <v>-8.5747</v>
      </c>
      <c r="AH308">
        <v>35.071300000000001</v>
      </c>
      <c r="AI308">
        <v>17.473700000000001</v>
      </c>
      <c r="AJ308">
        <v>28.021899999999999</v>
      </c>
      <c r="AK308">
        <v>16.785</v>
      </c>
      <c r="AL308">
        <v>-9.7027000000000001</v>
      </c>
      <c r="AM308">
        <v>51.344900000000003</v>
      </c>
      <c r="AN308">
        <v>45.3444</v>
      </c>
      <c r="AO308">
        <v>33.133000000000003</v>
      </c>
      <c r="AP308">
        <v>24.757200000000001</v>
      </c>
      <c r="AQ308">
        <v>22.844100000000001</v>
      </c>
      <c r="AR308">
        <v>12.239100000000001</v>
      </c>
      <c r="AS308">
        <v>346.90219999999999</v>
      </c>
      <c r="AT308" t="s">
        <v>134</v>
      </c>
      <c r="AU308">
        <v>13.8466</v>
      </c>
      <c r="AV308">
        <v>17.515899999999998</v>
      </c>
      <c r="AW308" t="s">
        <v>134</v>
      </c>
      <c r="AX308" t="s">
        <v>134</v>
      </c>
      <c r="AY308" t="s">
        <v>134</v>
      </c>
      <c r="AZ308">
        <v>260.41739999999999</v>
      </c>
      <c r="BA308">
        <v>140.92420000000001</v>
      </c>
      <c r="BB308">
        <v>37.275500000000001</v>
      </c>
      <c r="BC308">
        <v>64.429900000000004</v>
      </c>
      <c r="BD308">
        <v>31.344999999999999</v>
      </c>
      <c r="BE308" t="s">
        <v>134</v>
      </c>
      <c r="BF308">
        <v>25.938500000000001</v>
      </c>
      <c r="BG308">
        <v>22.5214</v>
      </c>
      <c r="BH308">
        <v>11.3558</v>
      </c>
      <c r="BI308">
        <v>9.4367000000000001</v>
      </c>
      <c r="BJ308">
        <v>9.4393999999999991</v>
      </c>
      <c r="BK308">
        <v>0</v>
      </c>
      <c r="BL308">
        <v>22.316299999999998</v>
      </c>
      <c r="BM308" t="s">
        <v>134</v>
      </c>
      <c r="BN308">
        <v>-0.61399999999999999</v>
      </c>
      <c r="BO308">
        <v>18.654499999999999</v>
      </c>
      <c r="BP308" t="s">
        <v>134</v>
      </c>
      <c r="BQ308" t="s">
        <v>134</v>
      </c>
      <c r="BR308" t="s">
        <v>134</v>
      </c>
      <c r="BS308">
        <v>-8.5747</v>
      </c>
      <c r="BT308">
        <v>35.071300000000001</v>
      </c>
      <c r="BU308">
        <v>17.473700000000001</v>
      </c>
      <c r="BV308">
        <v>28.021899999999999</v>
      </c>
      <c r="BW308">
        <v>16.785</v>
      </c>
      <c r="BX308" t="s">
        <v>134</v>
      </c>
      <c r="BY308">
        <v>263481.59999999998</v>
      </c>
      <c r="BZ308">
        <v>84171.5</v>
      </c>
      <c r="CA308">
        <v>179310.1</v>
      </c>
      <c r="CB308">
        <v>5.2789999999999999</v>
      </c>
      <c r="CC308">
        <v>4.9985999999999997</v>
      </c>
      <c r="CD308">
        <v>8.4280000000000008</v>
      </c>
      <c r="CE308">
        <v>7.9802999999999997</v>
      </c>
      <c r="CF308">
        <v>2.7323</v>
      </c>
      <c r="CG308">
        <v>12.562899999999999</v>
      </c>
      <c r="CH308">
        <v>117.08450000000001</v>
      </c>
      <c r="CI308">
        <v>43.038499999999999</v>
      </c>
      <c r="CJ308">
        <v>20.3142</v>
      </c>
      <c r="CK308">
        <v>172.0461</v>
      </c>
      <c r="CL308">
        <v>63.241500000000002</v>
      </c>
      <c r="CM308">
        <v>29.85</v>
      </c>
      <c r="CN308">
        <v>162.90729999999999</v>
      </c>
      <c r="CO308">
        <v>61.963799999999999</v>
      </c>
      <c r="CP308">
        <v>49911.4</v>
      </c>
      <c r="CQ308">
        <v>49911.4</v>
      </c>
      <c r="CR308">
        <v>31262.799999999999</v>
      </c>
      <c r="CS308" t="s">
        <v>134</v>
      </c>
      <c r="CT308" t="s">
        <v>134</v>
      </c>
      <c r="CU308" t="s">
        <v>134</v>
      </c>
      <c r="CV308" t="s">
        <v>134</v>
      </c>
      <c r="CW308" t="s">
        <v>134</v>
      </c>
      <c r="CX308" t="s">
        <v>134</v>
      </c>
      <c r="CY308" t="s">
        <v>134</v>
      </c>
      <c r="CZ308" t="s">
        <v>134</v>
      </c>
      <c r="DA308" t="s">
        <v>134</v>
      </c>
      <c r="DB308" t="s">
        <v>134</v>
      </c>
      <c r="DC308" t="s">
        <v>134</v>
      </c>
      <c r="DD308" t="s">
        <v>134</v>
      </c>
      <c r="DE308" t="s">
        <v>134</v>
      </c>
      <c r="DF308" t="s">
        <v>134</v>
      </c>
      <c r="DG308" t="s">
        <v>134</v>
      </c>
      <c r="DH308" t="s">
        <v>134</v>
      </c>
      <c r="DI308" t="s">
        <v>134</v>
      </c>
    </row>
    <row r="309" spans="4:113" x14ac:dyDescent="0.3">
      <c r="E309" t="s">
        <v>78</v>
      </c>
      <c r="F309" t="s">
        <v>134</v>
      </c>
      <c r="G309" t="s">
        <v>134</v>
      </c>
      <c r="H309" t="s">
        <v>134</v>
      </c>
      <c r="I309" t="s">
        <v>134</v>
      </c>
      <c r="J309">
        <v>71.243700000000004</v>
      </c>
      <c r="K309">
        <v>57.948700000000002</v>
      </c>
      <c r="L309">
        <v>51.107700000000001</v>
      </c>
      <c r="M309">
        <v>40.398499999999999</v>
      </c>
      <c r="N309">
        <v>40.9377</v>
      </c>
      <c r="O309">
        <v>19.604399999999998</v>
      </c>
      <c r="P309">
        <v>28.157900000000001</v>
      </c>
      <c r="Q309">
        <v>29.447500000000002</v>
      </c>
      <c r="R309" t="s">
        <v>134</v>
      </c>
      <c r="S309" t="s">
        <v>134</v>
      </c>
      <c r="T309">
        <v>28.292400000000001</v>
      </c>
      <c r="U309">
        <v>29.9908</v>
      </c>
      <c r="V309">
        <v>17.921700000000001</v>
      </c>
      <c r="W309">
        <v>14.551600000000001</v>
      </c>
      <c r="X309">
        <v>14.857099999999999</v>
      </c>
      <c r="Y309" t="s">
        <v>134</v>
      </c>
      <c r="Z309" t="s">
        <v>134</v>
      </c>
      <c r="AA309" t="s">
        <v>134</v>
      </c>
      <c r="AB309" t="s">
        <v>134</v>
      </c>
      <c r="AC309" t="s">
        <v>134</v>
      </c>
      <c r="AD309" t="s">
        <v>134</v>
      </c>
      <c r="AE309" t="s">
        <v>134</v>
      </c>
      <c r="AF309" t="s">
        <v>134</v>
      </c>
      <c r="AG309" t="s">
        <v>134</v>
      </c>
      <c r="AH309" t="s">
        <v>134</v>
      </c>
      <c r="AI309" t="s">
        <v>134</v>
      </c>
      <c r="AJ309" t="s">
        <v>134</v>
      </c>
      <c r="AK309" t="s">
        <v>134</v>
      </c>
      <c r="AL309" t="s">
        <v>134</v>
      </c>
      <c r="AM309">
        <v>72.645300000000006</v>
      </c>
      <c r="AN309">
        <v>73.548199999999994</v>
      </c>
      <c r="AO309">
        <v>57.933799999999998</v>
      </c>
      <c r="AP309">
        <v>49.940800000000003</v>
      </c>
      <c r="AQ309">
        <v>47.807400000000001</v>
      </c>
      <c r="AR309" t="s">
        <v>134</v>
      </c>
      <c r="AS309" t="s">
        <v>134</v>
      </c>
      <c r="AT309" t="s">
        <v>134</v>
      </c>
      <c r="AU309" t="s">
        <v>134</v>
      </c>
      <c r="AV309" t="s">
        <v>134</v>
      </c>
      <c r="AW309" t="s">
        <v>134</v>
      </c>
      <c r="AX309" t="s">
        <v>134</v>
      </c>
      <c r="AY309" t="s">
        <v>134</v>
      </c>
      <c r="AZ309" t="s">
        <v>134</v>
      </c>
      <c r="BA309" t="s">
        <v>134</v>
      </c>
      <c r="BB309" t="s">
        <v>134</v>
      </c>
      <c r="BC309" t="s">
        <v>134</v>
      </c>
      <c r="BD309" t="s">
        <v>134</v>
      </c>
      <c r="BE309" t="s">
        <v>134</v>
      </c>
      <c r="BF309">
        <v>-20.719200000000001</v>
      </c>
      <c r="BG309">
        <v>-29.9956</v>
      </c>
      <c r="BH309">
        <v>-45.142400000000002</v>
      </c>
      <c r="BI309">
        <v>-54.867699999999999</v>
      </c>
      <c r="BJ309">
        <v>-54.801000000000002</v>
      </c>
      <c r="BK309" t="s">
        <v>134</v>
      </c>
      <c r="BL309" t="s">
        <v>134</v>
      </c>
      <c r="BM309" t="s">
        <v>134</v>
      </c>
      <c r="BN309" t="s">
        <v>134</v>
      </c>
      <c r="BO309" t="s">
        <v>134</v>
      </c>
      <c r="BP309" t="s">
        <v>134</v>
      </c>
      <c r="BQ309" t="s">
        <v>134</v>
      </c>
      <c r="BR309" t="s">
        <v>134</v>
      </c>
      <c r="BS309" t="s">
        <v>134</v>
      </c>
      <c r="BT309" t="s">
        <v>134</v>
      </c>
      <c r="BU309" t="s">
        <v>134</v>
      </c>
      <c r="BV309" t="s">
        <v>134</v>
      </c>
      <c r="BW309" t="s">
        <v>134</v>
      </c>
      <c r="BX309" t="s">
        <v>134</v>
      </c>
      <c r="BY309" t="s">
        <v>134</v>
      </c>
      <c r="BZ309" t="s">
        <v>134</v>
      </c>
      <c r="CA309" t="s">
        <v>134</v>
      </c>
      <c r="CB309" t="s">
        <v>134</v>
      </c>
      <c r="CC309" t="s">
        <v>134</v>
      </c>
      <c r="CD309" t="s">
        <v>134</v>
      </c>
      <c r="CE309" t="s">
        <v>134</v>
      </c>
      <c r="CF309">
        <v>2.3452999999999999</v>
      </c>
      <c r="CG309" t="s">
        <v>134</v>
      </c>
      <c r="CH309" t="s">
        <v>134</v>
      </c>
      <c r="CI309" t="s">
        <v>134</v>
      </c>
      <c r="CJ309" t="s">
        <v>134</v>
      </c>
      <c r="CK309" t="s">
        <v>134</v>
      </c>
      <c r="CL309" t="s">
        <v>134</v>
      </c>
      <c r="CM309" t="s">
        <v>134</v>
      </c>
      <c r="CN309" t="s">
        <v>134</v>
      </c>
      <c r="CO309" t="s">
        <v>134</v>
      </c>
      <c r="CP309">
        <v>11606.1</v>
      </c>
      <c r="CQ309" t="s">
        <v>134</v>
      </c>
      <c r="CR309">
        <v>6572.6</v>
      </c>
      <c r="CS309" t="s">
        <v>134</v>
      </c>
      <c r="CT309" t="s">
        <v>134</v>
      </c>
      <c r="CU309" t="s">
        <v>134</v>
      </c>
      <c r="CV309" t="s">
        <v>134</v>
      </c>
      <c r="CW309" t="s">
        <v>134</v>
      </c>
      <c r="CX309" t="s">
        <v>134</v>
      </c>
      <c r="CY309" t="s">
        <v>134</v>
      </c>
      <c r="CZ309" t="s">
        <v>134</v>
      </c>
      <c r="DA309" t="s">
        <v>134</v>
      </c>
      <c r="DB309" t="s">
        <v>134</v>
      </c>
      <c r="DC309" t="s">
        <v>134</v>
      </c>
      <c r="DD309" t="s">
        <v>134</v>
      </c>
      <c r="DE309" t="s">
        <v>134</v>
      </c>
      <c r="DF309" t="s">
        <v>134</v>
      </c>
      <c r="DG309" t="s">
        <v>134</v>
      </c>
      <c r="DH309" t="s">
        <v>134</v>
      </c>
      <c r="DI309" t="s">
        <v>134</v>
      </c>
    </row>
    <row r="310" spans="4:113" x14ac:dyDescent="0.3">
      <c r="E310" t="s">
        <v>79</v>
      </c>
      <c r="F310">
        <v>17.7623</v>
      </c>
      <c r="G310">
        <v>2.1882000000000001</v>
      </c>
      <c r="H310">
        <v>8.2675999999999998</v>
      </c>
      <c r="I310">
        <v>9.3869000000000007</v>
      </c>
      <c r="J310">
        <v>72.338200000000001</v>
      </c>
      <c r="K310">
        <v>57.859200000000001</v>
      </c>
      <c r="L310">
        <v>43.119199999999999</v>
      </c>
      <c r="M310">
        <v>38.786999999999999</v>
      </c>
      <c r="N310">
        <v>41.360399999999998</v>
      </c>
      <c r="O310">
        <v>19.174099999999999</v>
      </c>
      <c r="P310">
        <v>28.636800000000001</v>
      </c>
      <c r="Q310">
        <v>28.601600000000001</v>
      </c>
      <c r="R310" t="s">
        <v>134</v>
      </c>
      <c r="S310" t="s">
        <v>134</v>
      </c>
      <c r="T310">
        <v>25.9115</v>
      </c>
      <c r="U310">
        <v>25.683800000000002</v>
      </c>
      <c r="V310">
        <v>13.360200000000001</v>
      </c>
      <c r="W310">
        <v>14.2439</v>
      </c>
      <c r="X310">
        <v>14.2439</v>
      </c>
      <c r="Y310" t="s">
        <v>134</v>
      </c>
      <c r="Z310" t="s">
        <v>134</v>
      </c>
      <c r="AA310" t="s">
        <v>134</v>
      </c>
      <c r="AB310">
        <v>4.3836000000000004</v>
      </c>
      <c r="AC310">
        <v>20.692900000000002</v>
      </c>
      <c r="AD310" t="s">
        <v>134</v>
      </c>
      <c r="AE310" t="s">
        <v>134</v>
      </c>
      <c r="AF310" t="s">
        <v>134</v>
      </c>
      <c r="AG310">
        <v>-5.3666</v>
      </c>
      <c r="AH310">
        <v>40.344999999999999</v>
      </c>
      <c r="AI310">
        <v>19.7728</v>
      </c>
      <c r="AJ310">
        <v>30.627199999999998</v>
      </c>
      <c r="AK310">
        <v>18.984500000000001</v>
      </c>
      <c r="AL310" t="s">
        <v>134</v>
      </c>
      <c r="AM310">
        <v>72.869299999999996</v>
      </c>
      <c r="AN310">
        <v>74.262100000000004</v>
      </c>
      <c r="AO310">
        <v>56.464799999999997</v>
      </c>
      <c r="AP310">
        <v>48.363300000000002</v>
      </c>
      <c r="AQ310">
        <v>46.448700000000002</v>
      </c>
      <c r="AR310" t="s">
        <v>134</v>
      </c>
      <c r="AS310" t="s">
        <v>134</v>
      </c>
      <c r="AT310" t="s">
        <v>134</v>
      </c>
      <c r="AU310" t="s">
        <v>134</v>
      </c>
      <c r="AV310" t="s">
        <v>134</v>
      </c>
      <c r="AW310" t="s">
        <v>134</v>
      </c>
      <c r="AX310" t="s">
        <v>134</v>
      </c>
      <c r="AY310" t="s">
        <v>134</v>
      </c>
      <c r="AZ310" t="s">
        <v>134</v>
      </c>
      <c r="BA310" t="s">
        <v>134</v>
      </c>
      <c r="BB310" t="s">
        <v>134</v>
      </c>
      <c r="BC310" t="s">
        <v>134</v>
      </c>
      <c r="BD310" t="s">
        <v>134</v>
      </c>
      <c r="BE310" t="s">
        <v>134</v>
      </c>
      <c r="BF310">
        <v>1.143</v>
      </c>
      <c r="BG310">
        <v>2.6968999999999999</v>
      </c>
      <c r="BH310">
        <v>-2.8816999999999999</v>
      </c>
      <c r="BI310">
        <v>-1.0770999999999999</v>
      </c>
      <c r="BJ310">
        <v>-1.2198</v>
      </c>
      <c r="BK310" t="s">
        <v>134</v>
      </c>
      <c r="BL310" t="s">
        <v>134</v>
      </c>
      <c r="BM310" t="s">
        <v>134</v>
      </c>
      <c r="BN310" t="s">
        <v>134</v>
      </c>
      <c r="BO310" t="s">
        <v>134</v>
      </c>
      <c r="BP310" t="s">
        <v>134</v>
      </c>
      <c r="BQ310" t="s">
        <v>134</v>
      </c>
      <c r="BR310" t="s">
        <v>134</v>
      </c>
      <c r="BS310" t="s">
        <v>134</v>
      </c>
      <c r="BT310" t="s">
        <v>134</v>
      </c>
      <c r="BU310" t="s">
        <v>134</v>
      </c>
      <c r="BV310" t="s">
        <v>134</v>
      </c>
      <c r="BW310" t="s">
        <v>134</v>
      </c>
      <c r="BX310" t="s">
        <v>134</v>
      </c>
      <c r="BY310">
        <v>179649.3</v>
      </c>
      <c r="BZ310">
        <v>51457.599999999999</v>
      </c>
      <c r="CA310">
        <v>128191.7</v>
      </c>
      <c r="CB310">
        <v>3.5916999999999999</v>
      </c>
      <c r="CC310">
        <v>3.3351999999999999</v>
      </c>
      <c r="CD310">
        <v>5.8464999999999998</v>
      </c>
      <c r="CE310">
        <v>5.4288999999999996</v>
      </c>
      <c r="CF310">
        <v>2.1892</v>
      </c>
      <c r="CG310">
        <v>12.239599999999999</v>
      </c>
      <c r="CH310">
        <v>93.392600000000002</v>
      </c>
      <c r="CI310">
        <v>40.450499999999998</v>
      </c>
      <c r="CJ310">
        <v>15.791499999999999</v>
      </c>
      <c r="CK310">
        <v>130.88140000000001</v>
      </c>
      <c r="CL310">
        <v>56.6877</v>
      </c>
      <c r="CM310">
        <v>22.130299999999998</v>
      </c>
      <c r="CN310">
        <v>121.53360000000001</v>
      </c>
      <c r="CO310">
        <v>54.860100000000003</v>
      </c>
      <c r="CP310">
        <v>11919.1</v>
      </c>
      <c r="CQ310" t="s">
        <v>134</v>
      </c>
      <c r="CR310">
        <v>6383.2</v>
      </c>
      <c r="CS310" t="s">
        <v>134</v>
      </c>
      <c r="CT310" t="s">
        <v>134</v>
      </c>
      <c r="CU310" t="s">
        <v>134</v>
      </c>
      <c r="CV310" t="s">
        <v>134</v>
      </c>
      <c r="CW310" t="s">
        <v>134</v>
      </c>
      <c r="CX310" t="s">
        <v>134</v>
      </c>
      <c r="CY310" t="s">
        <v>134</v>
      </c>
      <c r="CZ310" t="s">
        <v>134</v>
      </c>
      <c r="DA310" t="s">
        <v>134</v>
      </c>
      <c r="DB310" t="s">
        <v>134</v>
      </c>
      <c r="DC310" t="s">
        <v>134</v>
      </c>
      <c r="DD310" t="s">
        <v>134</v>
      </c>
      <c r="DE310" t="s">
        <v>134</v>
      </c>
      <c r="DF310" t="s">
        <v>134</v>
      </c>
      <c r="DG310" t="s">
        <v>134</v>
      </c>
      <c r="DH310" t="s">
        <v>134</v>
      </c>
      <c r="DI310" t="s">
        <v>134</v>
      </c>
    </row>
    <row r="311" spans="4:113" x14ac:dyDescent="0.3">
      <c r="E311" t="s">
        <v>80</v>
      </c>
      <c r="F311" t="s">
        <v>134</v>
      </c>
      <c r="G311" t="s">
        <v>134</v>
      </c>
      <c r="H311" t="s">
        <v>134</v>
      </c>
      <c r="I311" t="s">
        <v>134</v>
      </c>
      <c r="J311">
        <v>70.635800000000003</v>
      </c>
      <c r="K311">
        <v>56.7316</v>
      </c>
      <c r="L311">
        <v>50.904200000000003</v>
      </c>
      <c r="M311">
        <v>39.277900000000002</v>
      </c>
      <c r="N311">
        <v>38.703899999999997</v>
      </c>
      <c r="O311">
        <v>18.240100000000002</v>
      </c>
      <c r="P311">
        <v>26.377500000000001</v>
      </c>
      <c r="Q311">
        <v>31.860099999999999</v>
      </c>
      <c r="R311" t="s">
        <v>134</v>
      </c>
      <c r="S311" t="s">
        <v>134</v>
      </c>
      <c r="T311">
        <v>36.760399999999997</v>
      </c>
      <c r="U311">
        <v>35.701599999999999</v>
      </c>
      <c r="V311">
        <v>29.0212</v>
      </c>
      <c r="W311">
        <v>23.570799999999998</v>
      </c>
      <c r="X311">
        <v>23.5669</v>
      </c>
      <c r="Y311" t="s">
        <v>134</v>
      </c>
      <c r="Z311" t="s">
        <v>134</v>
      </c>
      <c r="AA311" t="s">
        <v>134</v>
      </c>
      <c r="AB311" t="s">
        <v>134</v>
      </c>
      <c r="AC311" t="s">
        <v>134</v>
      </c>
      <c r="AD311" t="s">
        <v>134</v>
      </c>
      <c r="AE311" t="s">
        <v>134</v>
      </c>
      <c r="AF311" t="s">
        <v>134</v>
      </c>
      <c r="AG311" t="s">
        <v>134</v>
      </c>
      <c r="AH311" t="s">
        <v>134</v>
      </c>
      <c r="AI311" t="s">
        <v>134</v>
      </c>
      <c r="AJ311" t="s">
        <v>134</v>
      </c>
      <c r="AK311" t="s">
        <v>134</v>
      </c>
      <c r="AL311" t="s">
        <v>134</v>
      </c>
      <c r="AM311">
        <v>74.044899999999998</v>
      </c>
      <c r="AN311">
        <v>88.389499999999998</v>
      </c>
      <c r="AO311">
        <v>70.732200000000006</v>
      </c>
      <c r="AP311">
        <v>58.377299999999998</v>
      </c>
      <c r="AQ311">
        <v>54.795900000000003</v>
      </c>
      <c r="AR311" t="s">
        <v>134</v>
      </c>
      <c r="AS311" t="s">
        <v>134</v>
      </c>
      <c r="AT311" t="s">
        <v>134</v>
      </c>
      <c r="AU311" t="s">
        <v>134</v>
      </c>
      <c r="AV311" t="s">
        <v>134</v>
      </c>
      <c r="AW311" t="s">
        <v>134</v>
      </c>
      <c r="AX311" t="s">
        <v>134</v>
      </c>
      <c r="AY311" t="s">
        <v>134</v>
      </c>
      <c r="AZ311" t="s">
        <v>134</v>
      </c>
      <c r="BA311" t="s">
        <v>134</v>
      </c>
      <c r="BB311" t="s">
        <v>134</v>
      </c>
      <c r="BC311" t="s">
        <v>134</v>
      </c>
      <c r="BD311" t="s">
        <v>134</v>
      </c>
      <c r="BE311" t="s">
        <v>134</v>
      </c>
      <c r="BF311">
        <v>15.581799999999999</v>
      </c>
      <c r="BG311">
        <v>12.861700000000001</v>
      </c>
      <c r="BH311">
        <v>17.043199999999999</v>
      </c>
      <c r="BI311">
        <v>9.9515999999999991</v>
      </c>
      <c r="BJ311">
        <v>9.9481000000000002</v>
      </c>
      <c r="BK311" t="s">
        <v>134</v>
      </c>
      <c r="BL311" t="s">
        <v>134</v>
      </c>
      <c r="BM311" t="s">
        <v>134</v>
      </c>
      <c r="BN311" t="s">
        <v>134</v>
      </c>
      <c r="BO311" t="s">
        <v>134</v>
      </c>
      <c r="BP311" t="s">
        <v>134</v>
      </c>
      <c r="BQ311" t="s">
        <v>134</v>
      </c>
      <c r="BR311" t="s">
        <v>134</v>
      </c>
      <c r="BS311" t="s">
        <v>134</v>
      </c>
      <c r="BT311" t="s">
        <v>134</v>
      </c>
      <c r="BU311" t="s">
        <v>134</v>
      </c>
      <c r="BV311" t="s">
        <v>134</v>
      </c>
      <c r="BW311" t="s">
        <v>134</v>
      </c>
      <c r="BX311" t="s">
        <v>134</v>
      </c>
      <c r="BY311" t="s">
        <v>134</v>
      </c>
      <c r="BZ311" t="s">
        <v>134</v>
      </c>
      <c r="CA311" t="s">
        <v>134</v>
      </c>
      <c r="CB311" t="s">
        <v>134</v>
      </c>
      <c r="CC311" t="s">
        <v>134</v>
      </c>
      <c r="CD311" t="s">
        <v>134</v>
      </c>
      <c r="CE311" t="s">
        <v>134</v>
      </c>
      <c r="CF311">
        <v>2.2896999999999998</v>
      </c>
      <c r="CG311" t="s">
        <v>134</v>
      </c>
      <c r="CH311" t="s">
        <v>134</v>
      </c>
      <c r="CI311" t="s">
        <v>134</v>
      </c>
      <c r="CJ311" t="s">
        <v>134</v>
      </c>
      <c r="CK311" t="s">
        <v>134</v>
      </c>
      <c r="CL311" t="s">
        <v>134</v>
      </c>
      <c r="CM311" t="s">
        <v>134</v>
      </c>
      <c r="CN311" t="s">
        <v>134</v>
      </c>
      <c r="CO311" t="s">
        <v>134</v>
      </c>
      <c r="CP311">
        <v>13452.1</v>
      </c>
      <c r="CQ311" t="s">
        <v>134</v>
      </c>
      <c r="CR311">
        <v>7471.1</v>
      </c>
      <c r="CS311" t="s">
        <v>134</v>
      </c>
      <c r="CT311" t="s">
        <v>134</v>
      </c>
      <c r="CU311" t="s">
        <v>134</v>
      </c>
      <c r="CV311" t="s">
        <v>134</v>
      </c>
      <c r="CW311" t="s">
        <v>134</v>
      </c>
      <c r="CX311" t="s">
        <v>134</v>
      </c>
      <c r="CY311" t="s">
        <v>134</v>
      </c>
      <c r="CZ311" t="s">
        <v>134</v>
      </c>
      <c r="DA311" t="s">
        <v>134</v>
      </c>
      <c r="DB311" t="s">
        <v>134</v>
      </c>
      <c r="DC311" t="s">
        <v>134</v>
      </c>
      <c r="DD311" t="s">
        <v>134</v>
      </c>
      <c r="DE311" t="s">
        <v>134</v>
      </c>
      <c r="DF311" t="s">
        <v>134</v>
      </c>
      <c r="DG311" t="s">
        <v>134</v>
      </c>
      <c r="DH311" t="s">
        <v>134</v>
      </c>
      <c r="DI311" t="s">
        <v>134</v>
      </c>
    </row>
    <row r="312" spans="4:113" x14ac:dyDescent="0.3">
      <c r="E312" t="s">
        <v>81</v>
      </c>
      <c r="F312">
        <v>16.418399999999998</v>
      </c>
      <c r="G312">
        <v>2.0777000000000001</v>
      </c>
      <c r="H312">
        <v>6.4931999999999999</v>
      </c>
      <c r="I312">
        <v>7.5640000000000001</v>
      </c>
      <c r="J312">
        <v>75.349800000000002</v>
      </c>
      <c r="K312">
        <v>66.558099999999996</v>
      </c>
      <c r="L312">
        <v>1.0181</v>
      </c>
      <c r="M312">
        <v>49.917299999999997</v>
      </c>
      <c r="N312">
        <v>54.287999999999997</v>
      </c>
      <c r="O312">
        <v>29.392099999999999</v>
      </c>
      <c r="P312">
        <v>39.217599999999997</v>
      </c>
      <c r="Q312">
        <v>18.491700000000002</v>
      </c>
      <c r="R312" t="s">
        <v>134</v>
      </c>
      <c r="S312" t="s">
        <v>134</v>
      </c>
      <c r="T312">
        <v>17.0824</v>
      </c>
      <c r="U312">
        <v>9.3413000000000004</v>
      </c>
      <c r="V312">
        <v>0.16439999999999999</v>
      </c>
      <c r="W312">
        <v>-7.2099999999999997E-2</v>
      </c>
      <c r="X312">
        <v>-0.15740000000000001</v>
      </c>
      <c r="Y312" t="s">
        <v>134</v>
      </c>
      <c r="Z312" t="s">
        <v>134</v>
      </c>
      <c r="AA312" t="s">
        <v>134</v>
      </c>
      <c r="AB312">
        <v>-0.61399999999999999</v>
      </c>
      <c r="AC312">
        <v>18.654499999999999</v>
      </c>
      <c r="AD312" t="s">
        <v>134</v>
      </c>
      <c r="AE312" t="s">
        <v>134</v>
      </c>
      <c r="AF312" t="s">
        <v>134</v>
      </c>
      <c r="AG312">
        <v>-8.5747</v>
      </c>
      <c r="AH312">
        <v>35.071300000000001</v>
      </c>
      <c r="AI312">
        <v>17.473700000000001</v>
      </c>
      <c r="AJ312">
        <v>28.021899999999999</v>
      </c>
      <c r="AK312">
        <v>16.785</v>
      </c>
      <c r="AL312" t="s">
        <v>134</v>
      </c>
      <c r="AM312">
        <v>29.838000000000001</v>
      </c>
      <c r="AN312">
        <v>24.407599999999999</v>
      </c>
      <c r="AO312">
        <v>14.7042</v>
      </c>
      <c r="AP312">
        <v>10.276999999999999</v>
      </c>
      <c r="AQ312">
        <v>8.3239999999999998</v>
      </c>
      <c r="AR312" t="s">
        <v>134</v>
      </c>
      <c r="AS312">
        <v>346.90219999999999</v>
      </c>
      <c r="AT312" t="s">
        <v>134</v>
      </c>
      <c r="AU312">
        <v>13.8466</v>
      </c>
      <c r="AV312">
        <v>17.515899999999998</v>
      </c>
      <c r="AW312" t="s">
        <v>134</v>
      </c>
      <c r="AX312" t="s">
        <v>134</v>
      </c>
      <c r="AY312" t="s">
        <v>134</v>
      </c>
      <c r="AZ312">
        <v>260.41739999999999</v>
      </c>
      <c r="BA312">
        <v>140.92420000000001</v>
      </c>
      <c r="BB312">
        <v>37.275500000000001</v>
      </c>
      <c r="BC312">
        <v>64.429900000000004</v>
      </c>
      <c r="BD312">
        <v>31.344999999999999</v>
      </c>
      <c r="BE312" t="s">
        <v>134</v>
      </c>
      <c r="BF312">
        <v>26.3276</v>
      </c>
      <c r="BG312">
        <v>34.758099999999999</v>
      </c>
      <c r="BH312">
        <v>60.631</v>
      </c>
      <c r="BI312">
        <v>103.5639</v>
      </c>
      <c r="BJ312">
        <v>103.38979999999999</v>
      </c>
      <c r="BK312" t="s">
        <v>134</v>
      </c>
      <c r="BL312" t="s">
        <v>134</v>
      </c>
      <c r="BM312" t="s">
        <v>134</v>
      </c>
      <c r="BN312" t="s">
        <v>134</v>
      </c>
      <c r="BO312" t="s">
        <v>134</v>
      </c>
      <c r="BP312" t="s">
        <v>134</v>
      </c>
      <c r="BQ312" t="s">
        <v>134</v>
      </c>
      <c r="BR312" t="s">
        <v>134</v>
      </c>
      <c r="BS312" t="s">
        <v>134</v>
      </c>
      <c r="BT312" t="s">
        <v>134</v>
      </c>
      <c r="BU312" t="s">
        <v>134</v>
      </c>
      <c r="BV312" t="s">
        <v>134</v>
      </c>
      <c r="BW312" t="s">
        <v>134</v>
      </c>
      <c r="BX312" t="s">
        <v>134</v>
      </c>
      <c r="BY312">
        <v>263481.59999999998</v>
      </c>
      <c r="BZ312">
        <v>84171.5</v>
      </c>
      <c r="CA312">
        <v>179310.1</v>
      </c>
      <c r="CB312">
        <v>4.7813999999999997</v>
      </c>
      <c r="CC312">
        <v>4.5274999999999999</v>
      </c>
      <c r="CD312">
        <v>8.1251999999999995</v>
      </c>
      <c r="CE312">
        <v>7.6936</v>
      </c>
      <c r="CF312">
        <v>3.0074999999999998</v>
      </c>
      <c r="CG312">
        <v>12.562899999999999</v>
      </c>
      <c r="CH312">
        <v>117.08450000000001</v>
      </c>
      <c r="CI312">
        <v>43.038499999999999</v>
      </c>
      <c r="CJ312">
        <v>20.3142</v>
      </c>
      <c r="CK312">
        <v>172.0461</v>
      </c>
      <c r="CL312">
        <v>63.241500000000002</v>
      </c>
      <c r="CM312">
        <v>29.85</v>
      </c>
      <c r="CN312">
        <v>162.90729999999999</v>
      </c>
      <c r="CO312">
        <v>61.963799999999999</v>
      </c>
      <c r="CP312">
        <v>18127.8</v>
      </c>
      <c r="CQ312" t="s">
        <v>134</v>
      </c>
      <c r="CR312">
        <v>12000.9</v>
      </c>
      <c r="CS312" t="s">
        <v>134</v>
      </c>
      <c r="CT312" t="s">
        <v>134</v>
      </c>
      <c r="CU312" t="s">
        <v>134</v>
      </c>
      <c r="CV312" t="s">
        <v>134</v>
      </c>
      <c r="CW312" t="s">
        <v>134</v>
      </c>
      <c r="CX312" t="s">
        <v>134</v>
      </c>
      <c r="CY312" t="s">
        <v>134</v>
      </c>
      <c r="CZ312" t="s">
        <v>134</v>
      </c>
      <c r="DA312" t="s">
        <v>134</v>
      </c>
      <c r="DB312" t="s">
        <v>134</v>
      </c>
      <c r="DC312" t="s">
        <v>134</v>
      </c>
      <c r="DD312" t="s">
        <v>134</v>
      </c>
      <c r="DE312" t="s">
        <v>134</v>
      </c>
      <c r="DF312" t="s">
        <v>134</v>
      </c>
      <c r="DG312" t="s">
        <v>134</v>
      </c>
      <c r="DH312" t="s">
        <v>134</v>
      </c>
      <c r="DI312" t="s">
        <v>134</v>
      </c>
    </row>
    <row r="313" spans="4:113" x14ac:dyDescent="0.3">
      <c r="D313" t="s">
        <v>83</v>
      </c>
      <c r="E313" t="s">
        <v>77</v>
      </c>
      <c r="F313">
        <v>15.094799999999999</v>
      </c>
      <c r="G313">
        <v>1.9441000000000002</v>
      </c>
      <c r="H313">
        <v>5.7069999999999999</v>
      </c>
      <c r="I313">
        <v>6.3596000000000004</v>
      </c>
      <c r="J313">
        <v>67.271299999999997</v>
      </c>
      <c r="K313">
        <v>54.191299999999998</v>
      </c>
      <c r="L313">
        <v>48.245399999999997</v>
      </c>
      <c r="M313">
        <v>40.819800000000001</v>
      </c>
      <c r="N313">
        <v>40.897399999999998</v>
      </c>
      <c r="O313">
        <v>19.994</v>
      </c>
      <c r="P313">
        <v>27.4649</v>
      </c>
      <c r="Q313">
        <v>27.062999999999999</v>
      </c>
      <c r="R313">
        <v>1.4945999999999999</v>
      </c>
      <c r="S313">
        <v>14.869199999999999</v>
      </c>
      <c r="T313">
        <v>24.746400000000001</v>
      </c>
      <c r="U313">
        <v>25.605799999999999</v>
      </c>
      <c r="V313">
        <v>17.599799999999998</v>
      </c>
      <c r="W313">
        <v>10.266400000000001</v>
      </c>
      <c r="X313">
        <v>10.2637</v>
      </c>
      <c r="Y313">
        <v>0</v>
      </c>
      <c r="Z313" t="s">
        <v>134</v>
      </c>
      <c r="AA313" t="s">
        <v>134</v>
      </c>
      <c r="AB313">
        <v>1.6261000000000001</v>
      </c>
      <c r="AC313">
        <v>17.2317</v>
      </c>
      <c r="AD313" t="s">
        <v>134</v>
      </c>
      <c r="AE313" t="s">
        <v>134</v>
      </c>
      <c r="AF313" t="s">
        <v>134</v>
      </c>
      <c r="AG313">
        <v>36.6768</v>
      </c>
      <c r="AH313">
        <v>36.8354</v>
      </c>
      <c r="AI313">
        <v>27.1675</v>
      </c>
      <c r="AJ313">
        <v>33.283099999999997</v>
      </c>
      <c r="AK313">
        <v>22.6252</v>
      </c>
      <c r="AL313">
        <v>8.7685999999999993</v>
      </c>
      <c r="AM313">
        <v>31.2956</v>
      </c>
      <c r="AN313">
        <v>29.354399999999998</v>
      </c>
      <c r="AO313">
        <v>20.392900000000001</v>
      </c>
      <c r="AP313">
        <v>10.8186</v>
      </c>
      <c r="AQ313">
        <v>9.1161999999999992</v>
      </c>
      <c r="AR313">
        <v>7.3402000000000003</v>
      </c>
      <c r="AS313">
        <v>43.597000000000001</v>
      </c>
      <c r="AT313" t="s">
        <v>134</v>
      </c>
      <c r="AU313">
        <v>10.866</v>
      </c>
      <c r="AV313">
        <v>13.873200000000001</v>
      </c>
      <c r="AW313" t="s">
        <v>134</v>
      </c>
      <c r="AX313" t="s">
        <v>134</v>
      </c>
      <c r="AY313" t="s">
        <v>134</v>
      </c>
      <c r="AZ313">
        <v>24.525700000000001</v>
      </c>
      <c r="BA313">
        <v>40.058399999999999</v>
      </c>
      <c r="BB313">
        <v>29.0746</v>
      </c>
      <c r="BC313">
        <v>35.5715</v>
      </c>
      <c r="BD313">
        <v>25.655200000000001</v>
      </c>
      <c r="BE313" t="s">
        <v>134</v>
      </c>
      <c r="BF313">
        <v>24.746400000000001</v>
      </c>
      <c r="BG313">
        <v>25.605799999999999</v>
      </c>
      <c r="BH313">
        <v>17.599799999999998</v>
      </c>
      <c r="BI313">
        <v>10.266400000000001</v>
      </c>
      <c r="BJ313">
        <v>10.2637</v>
      </c>
      <c r="BK313">
        <v>0</v>
      </c>
      <c r="BL313">
        <v>10.1203</v>
      </c>
      <c r="BM313" t="s">
        <v>134</v>
      </c>
      <c r="BN313">
        <v>1.6261000000000001</v>
      </c>
      <c r="BO313">
        <v>17.2317</v>
      </c>
      <c r="BP313" t="s">
        <v>134</v>
      </c>
      <c r="BQ313" t="s">
        <v>134</v>
      </c>
      <c r="BR313" t="s">
        <v>134</v>
      </c>
      <c r="BS313">
        <v>36.6768</v>
      </c>
      <c r="BT313">
        <v>36.8354</v>
      </c>
      <c r="BU313">
        <v>27.1675</v>
      </c>
      <c r="BV313">
        <v>33.283099999999997</v>
      </c>
      <c r="BW313">
        <v>22.6252</v>
      </c>
      <c r="BX313" t="s">
        <v>134</v>
      </c>
      <c r="BY313">
        <v>360774.7</v>
      </c>
      <c r="BZ313">
        <v>115281.1</v>
      </c>
      <c r="CA313">
        <v>245493.6</v>
      </c>
      <c r="CB313">
        <v>5.7548000000000004</v>
      </c>
      <c r="CC313">
        <v>5.3883000000000001</v>
      </c>
      <c r="CD313">
        <v>9.8132000000000001</v>
      </c>
      <c r="CE313">
        <v>9.1882000000000001</v>
      </c>
      <c r="CF313">
        <v>2.4731000000000001</v>
      </c>
      <c r="CG313">
        <v>13.1456</v>
      </c>
      <c r="CH313">
        <v>126.05459999999999</v>
      </c>
      <c r="CI313">
        <v>44.191200000000002</v>
      </c>
      <c r="CJ313">
        <v>23.7318</v>
      </c>
      <c r="CK313">
        <v>185.24850000000001</v>
      </c>
      <c r="CL313">
        <v>64.942800000000005</v>
      </c>
      <c r="CM313">
        <v>34.875999999999998</v>
      </c>
      <c r="CN313">
        <v>173.4513</v>
      </c>
      <c r="CO313">
        <v>63.430399999999999</v>
      </c>
      <c r="CP313">
        <v>62691</v>
      </c>
      <c r="CQ313">
        <v>62691</v>
      </c>
      <c r="CR313">
        <v>36764.400000000001</v>
      </c>
      <c r="CS313" t="s">
        <v>134</v>
      </c>
      <c r="CT313" t="s">
        <v>134</v>
      </c>
      <c r="CU313" t="s">
        <v>134</v>
      </c>
      <c r="CV313" t="s">
        <v>134</v>
      </c>
      <c r="CW313" t="s">
        <v>134</v>
      </c>
      <c r="CX313" t="s">
        <v>134</v>
      </c>
      <c r="CY313" t="s">
        <v>134</v>
      </c>
      <c r="CZ313" t="s">
        <v>134</v>
      </c>
      <c r="DA313" t="s">
        <v>134</v>
      </c>
      <c r="DB313" t="s">
        <v>134</v>
      </c>
      <c r="DC313" t="s">
        <v>134</v>
      </c>
      <c r="DD313" t="s">
        <v>134</v>
      </c>
      <c r="DE313" t="s">
        <v>134</v>
      </c>
      <c r="DF313" t="s">
        <v>134</v>
      </c>
      <c r="DG313" t="s">
        <v>134</v>
      </c>
      <c r="DH313" t="s">
        <v>134</v>
      </c>
      <c r="DI313" t="s">
        <v>134</v>
      </c>
    </row>
    <row r="314" spans="4:113" x14ac:dyDescent="0.3">
      <c r="E314" t="s">
        <v>78</v>
      </c>
      <c r="F314" t="s">
        <v>134</v>
      </c>
      <c r="G314" t="s">
        <v>134</v>
      </c>
      <c r="H314" t="s">
        <v>134</v>
      </c>
      <c r="I314" t="s">
        <v>134</v>
      </c>
      <c r="J314">
        <v>72.409800000000004</v>
      </c>
      <c r="K314">
        <v>59.789499999999997</v>
      </c>
      <c r="L314">
        <v>64.846800000000002</v>
      </c>
      <c r="M314">
        <v>41.83</v>
      </c>
      <c r="N314">
        <v>43.7624</v>
      </c>
      <c r="O314">
        <v>21.110600000000002</v>
      </c>
      <c r="P314">
        <v>30.1798</v>
      </c>
      <c r="Q314">
        <v>26.819400000000002</v>
      </c>
      <c r="R314" t="s">
        <v>134</v>
      </c>
      <c r="S314" t="s">
        <v>134</v>
      </c>
      <c r="T314">
        <v>35.764000000000003</v>
      </c>
      <c r="U314">
        <v>37.9861</v>
      </c>
      <c r="V314">
        <v>40.732700000000001</v>
      </c>
      <c r="W314">
        <v>46.194099999999999</v>
      </c>
      <c r="X314">
        <v>45.9833</v>
      </c>
      <c r="Y314" t="s">
        <v>134</v>
      </c>
      <c r="Z314" t="s">
        <v>134</v>
      </c>
      <c r="AA314" t="s">
        <v>134</v>
      </c>
      <c r="AB314" t="s">
        <v>134</v>
      </c>
      <c r="AC314" t="s">
        <v>134</v>
      </c>
      <c r="AD314" t="s">
        <v>134</v>
      </c>
      <c r="AE314" t="s">
        <v>134</v>
      </c>
      <c r="AF314" t="s">
        <v>134</v>
      </c>
      <c r="AG314" t="s">
        <v>134</v>
      </c>
      <c r="AH314" t="s">
        <v>134</v>
      </c>
      <c r="AI314" t="s">
        <v>134</v>
      </c>
      <c r="AJ314" t="s">
        <v>134</v>
      </c>
      <c r="AK314" t="s">
        <v>134</v>
      </c>
      <c r="AL314" t="s">
        <v>134</v>
      </c>
      <c r="AM314">
        <v>77.903099999999995</v>
      </c>
      <c r="AN314">
        <v>80.274699999999996</v>
      </c>
      <c r="AO314">
        <v>62.817500000000003</v>
      </c>
      <c r="AP314">
        <v>47.853200000000001</v>
      </c>
      <c r="AQ314">
        <v>45.373399999999997</v>
      </c>
      <c r="AR314" t="s">
        <v>134</v>
      </c>
      <c r="AS314" t="s">
        <v>134</v>
      </c>
      <c r="AT314" t="s">
        <v>134</v>
      </c>
      <c r="AU314" t="s">
        <v>134</v>
      </c>
      <c r="AV314" t="s">
        <v>134</v>
      </c>
      <c r="AW314" t="s">
        <v>134</v>
      </c>
      <c r="AX314" t="s">
        <v>134</v>
      </c>
      <c r="AY314" t="s">
        <v>134</v>
      </c>
      <c r="AZ314" t="s">
        <v>134</v>
      </c>
      <c r="BA314" t="s">
        <v>134</v>
      </c>
      <c r="BB314" t="s">
        <v>134</v>
      </c>
      <c r="BC314" t="s">
        <v>134</v>
      </c>
      <c r="BD314" t="s">
        <v>134</v>
      </c>
      <c r="BE314" t="s">
        <v>134</v>
      </c>
      <c r="BF314">
        <v>-8.0692000000000004</v>
      </c>
      <c r="BG314">
        <v>-11.6561</v>
      </c>
      <c r="BH314">
        <v>-22.924099999999999</v>
      </c>
      <c r="BI314">
        <v>-33.971600000000002</v>
      </c>
      <c r="BJ314">
        <v>-33.971600000000002</v>
      </c>
      <c r="BK314" t="s">
        <v>134</v>
      </c>
      <c r="BL314" t="s">
        <v>134</v>
      </c>
      <c r="BM314" t="s">
        <v>134</v>
      </c>
      <c r="BN314" t="s">
        <v>134</v>
      </c>
      <c r="BO314" t="s">
        <v>134</v>
      </c>
      <c r="BP314" t="s">
        <v>134</v>
      </c>
      <c r="BQ314" t="s">
        <v>134</v>
      </c>
      <c r="BR314" t="s">
        <v>134</v>
      </c>
      <c r="BS314" t="s">
        <v>134</v>
      </c>
      <c r="BT314" t="s">
        <v>134</v>
      </c>
      <c r="BU314">
        <v>-100</v>
      </c>
      <c r="BV314" t="s">
        <v>134</v>
      </c>
      <c r="BW314">
        <v>-100</v>
      </c>
      <c r="BX314" t="s">
        <v>134</v>
      </c>
      <c r="BY314" t="s">
        <v>134</v>
      </c>
      <c r="BZ314" t="s">
        <v>134</v>
      </c>
      <c r="CA314" t="s">
        <v>134</v>
      </c>
      <c r="CB314" t="s">
        <v>134</v>
      </c>
      <c r="CC314" t="s">
        <v>134</v>
      </c>
      <c r="CD314" t="s">
        <v>134</v>
      </c>
      <c r="CE314" t="s">
        <v>134</v>
      </c>
      <c r="CF314">
        <v>2.4096000000000002</v>
      </c>
      <c r="CG314" t="s">
        <v>134</v>
      </c>
      <c r="CH314" t="s">
        <v>134</v>
      </c>
      <c r="CI314" t="s">
        <v>134</v>
      </c>
      <c r="CJ314" t="s">
        <v>134</v>
      </c>
      <c r="CK314" t="s">
        <v>134</v>
      </c>
      <c r="CL314" t="s">
        <v>134</v>
      </c>
      <c r="CM314" t="s">
        <v>134</v>
      </c>
      <c r="CN314" t="s">
        <v>134</v>
      </c>
      <c r="CO314" t="s">
        <v>134</v>
      </c>
      <c r="CP314">
        <v>16014.8</v>
      </c>
      <c r="CQ314" t="s">
        <v>134</v>
      </c>
      <c r="CR314">
        <v>9249.7999999999993</v>
      </c>
      <c r="CS314" t="s">
        <v>134</v>
      </c>
      <c r="CT314" t="s">
        <v>134</v>
      </c>
      <c r="CU314" t="s">
        <v>134</v>
      </c>
      <c r="CV314" t="s">
        <v>134</v>
      </c>
      <c r="CW314" t="s">
        <v>134</v>
      </c>
      <c r="CX314" t="s">
        <v>134</v>
      </c>
      <c r="CY314" t="s">
        <v>134</v>
      </c>
      <c r="CZ314" t="s">
        <v>134</v>
      </c>
      <c r="DA314" t="s">
        <v>134</v>
      </c>
      <c r="DB314" t="s">
        <v>134</v>
      </c>
      <c r="DC314" t="s">
        <v>134</v>
      </c>
      <c r="DD314" t="s">
        <v>134</v>
      </c>
      <c r="DE314" t="s">
        <v>134</v>
      </c>
      <c r="DF314" t="s">
        <v>134</v>
      </c>
      <c r="DG314" t="s">
        <v>134</v>
      </c>
      <c r="DH314" t="s">
        <v>134</v>
      </c>
      <c r="DI314" t="s">
        <v>134</v>
      </c>
    </row>
    <row r="315" spans="4:113" x14ac:dyDescent="0.3">
      <c r="E315" t="s">
        <v>79</v>
      </c>
      <c r="F315">
        <v>17.3704</v>
      </c>
      <c r="G315">
        <v>2.2408999999999999</v>
      </c>
      <c r="H315">
        <v>7.5186999999999999</v>
      </c>
      <c r="I315">
        <v>8.8050999999999995</v>
      </c>
      <c r="J315">
        <v>71.940399999999997</v>
      </c>
      <c r="K315">
        <v>58.496099999999998</v>
      </c>
      <c r="L315">
        <v>60.124200000000002</v>
      </c>
      <c r="M315">
        <v>40.371400000000001</v>
      </c>
      <c r="N315">
        <v>42.515799999999999</v>
      </c>
      <c r="O315">
        <v>19.8368</v>
      </c>
      <c r="P315">
        <v>28.7424</v>
      </c>
      <c r="Q315">
        <v>27.3185</v>
      </c>
      <c r="R315" t="s">
        <v>134</v>
      </c>
      <c r="S315" t="s">
        <v>134</v>
      </c>
      <c r="T315">
        <v>34.964700000000001</v>
      </c>
      <c r="U315">
        <v>34.2224</v>
      </c>
      <c r="V315">
        <v>40.647300000000001</v>
      </c>
      <c r="W315">
        <v>39.628999999999998</v>
      </c>
      <c r="X315">
        <v>39.512700000000002</v>
      </c>
      <c r="Y315" t="s">
        <v>134</v>
      </c>
      <c r="Z315" t="s">
        <v>134</v>
      </c>
      <c r="AA315" t="s">
        <v>134</v>
      </c>
      <c r="AB315">
        <v>-0.61140000000000005</v>
      </c>
      <c r="AC315">
        <v>15.762</v>
      </c>
      <c r="AD315" t="s">
        <v>134</v>
      </c>
      <c r="AE315" t="s">
        <v>134</v>
      </c>
      <c r="AF315" t="s">
        <v>134</v>
      </c>
      <c r="AG315">
        <v>-10.9704</v>
      </c>
      <c r="AH315">
        <v>40.319800000000001</v>
      </c>
      <c r="AI315">
        <v>31.597300000000001</v>
      </c>
      <c r="AJ315">
        <v>36.541899999999998</v>
      </c>
      <c r="AK315">
        <v>27.4206</v>
      </c>
      <c r="AL315" t="s">
        <v>134</v>
      </c>
      <c r="AM315">
        <v>36.799300000000002</v>
      </c>
      <c r="AN315">
        <v>45.237099999999998</v>
      </c>
      <c r="AO315">
        <v>41.529699999999998</v>
      </c>
      <c r="AP315">
        <v>44.757599999999996</v>
      </c>
      <c r="AQ315">
        <v>42.49</v>
      </c>
      <c r="AR315" t="s">
        <v>134</v>
      </c>
      <c r="AS315">
        <v>-40.959499999999998</v>
      </c>
      <c r="AT315" t="s">
        <v>134</v>
      </c>
      <c r="AU315">
        <v>11.3195</v>
      </c>
      <c r="AV315">
        <v>13.051500000000001</v>
      </c>
      <c r="AW315" t="s">
        <v>134</v>
      </c>
      <c r="AX315" t="s">
        <v>134</v>
      </c>
      <c r="AY315" t="s">
        <v>134</v>
      </c>
      <c r="AZ315" t="s">
        <v>134</v>
      </c>
      <c r="BA315">
        <v>38.641300000000001</v>
      </c>
      <c r="BB315">
        <v>36.793999999999997</v>
      </c>
      <c r="BC315">
        <v>37.851999999999997</v>
      </c>
      <c r="BD315">
        <v>34.420299999999997</v>
      </c>
      <c r="BE315" t="s">
        <v>134</v>
      </c>
      <c r="BF315">
        <v>0.54749999999999999</v>
      </c>
      <c r="BG315">
        <v>-0.1043</v>
      </c>
      <c r="BH315">
        <v>-2.9405999999999999</v>
      </c>
      <c r="BI315">
        <v>-5.5194000000000001</v>
      </c>
      <c r="BJ315">
        <v>-5.5980999999999996</v>
      </c>
      <c r="BK315" t="s">
        <v>134</v>
      </c>
      <c r="BL315" t="s">
        <v>134</v>
      </c>
      <c r="BM315" t="s">
        <v>134</v>
      </c>
      <c r="BN315" t="s">
        <v>134</v>
      </c>
      <c r="BO315" t="s">
        <v>134</v>
      </c>
      <c r="BP315" t="s">
        <v>134</v>
      </c>
      <c r="BQ315" t="s">
        <v>134</v>
      </c>
      <c r="BR315" t="s">
        <v>134</v>
      </c>
      <c r="BS315" t="s">
        <v>134</v>
      </c>
      <c r="BT315" t="s">
        <v>134</v>
      </c>
      <c r="BU315" t="s">
        <v>134</v>
      </c>
      <c r="BV315" t="s">
        <v>134</v>
      </c>
      <c r="BW315" t="s">
        <v>134</v>
      </c>
      <c r="BX315" t="s">
        <v>134</v>
      </c>
      <c r="BY315">
        <v>252083.6</v>
      </c>
      <c r="BZ315">
        <v>45812.5</v>
      </c>
      <c r="CA315">
        <v>206271.1</v>
      </c>
      <c r="CB315">
        <v>3.964</v>
      </c>
      <c r="CC315">
        <v>3.8479000000000001</v>
      </c>
      <c r="CD315">
        <v>6.6866000000000003</v>
      </c>
      <c r="CE315">
        <v>6.4907000000000004</v>
      </c>
      <c r="CF315">
        <v>2.3218000000000001</v>
      </c>
      <c r="CG315">
        <v>13.472300000000001</v>
      </c>
      <c r="CH315">
        <v>114.1942</v>
      </c>
      <c r="CI315">
        <v>47.668999999999997</v>
      </c>
      <c r="CJ315">
        <v>21.95</v>
      </c>
      <c r="CK315">
        <v>139.5565</v>
      </c>
      <c r="CL315">
        <v>58.2562</v>
      </c>
      <c r="CM315">
        <v>26.825099999999999</v>
      </c>
      <c r="CN315">
        <v>135.46770000000001</v>
      </c>
      <c r="CO315">
        <v>57.531300000000002</v>
      </c>
      <c r="CP315">
        <v>15998.1</v>
      </c>
      <c r="CQ315" t="s">
        <v>134</v>
      </c>
      <c r="CR315">
        <v>8977.7999999999993</v>
      </c>
      <c r="CS315" t="s">
        <v>134</v>
      </c>
      <c r="CT315" t="s">
        <v>134</v>
      </c>
      <c r="CU315" t="s">
        <v>134</v>
      </c>
      <c r="CV315" t="s">
        <v>134</v>
      </c>
      <c r="CW315" t="s">
        <v>134</v>
      </c>
      <c r="CX315" t="s">
        <v>134</v>
      </c>
      <c r="CY315" t="s">
        <v>134</v>
      </c>
      <c r="CZ315" t="s">
        <v>134</v>
      </c>
      <c r="DA315" t="s">
        <v>134</v>
      </c>
      <c r="DB315" t="s">
        <v>134</v>
      </c>
      <c r="DC315" t="s">
        <v>134</v>
      </c>
      <c r="DD315" t="s">
        <v>134</v>
      </c>
      <c r="DE315" t="s">
        <v>134</v>
      </c>
      <c r="DF315" t="s">
        <v>134</v>
      </c>
      <c r="DG315" t="s">
        <v>134</v>
      </c>
      <c r="DH315" t="s">
        <v>134</v>
      </c>
      <c r="DI315" t="s">
        <v>134</v>
      </c>
    </row>
    <row r="316" spans="4:113" x14ac:dyDescent="0.3">
      <c r="E316" t="s">
        <v>80</v>
      </c>
      <c r="F316" t="s">
        <v>134</v>
      </c>
      <c r="G316" t="s">
        <v>134</v>
      </c>
      <c r="H316" t="s">
        <v>134</v>
      </c>
      <c r="I316" t="s">
        <v>134</v>
      </c>
      <c r="J316">
        <v>69.700999999999993</v>
      </c>
      <c r="K316">
        <v>55.7956</v>
      </c>
      <c r="L316">
        <v>52.660400000000003</v>
      </c>
      <c r="M316">
        <v>39.043700000000001</v>
      </c>
      <c r="N316">
        <v>39.657299999999999</v>
      </c>
      <c r="O316">
        <v>17.8933</v>
      </c>
      <c r="P316">
        <v>25.571000000000002</v>
      </c>
      <c r="Q316">
        <v>28.9254</v>
      </c>
      <c r="R316" t="s">
        <v>134</v>
      </c>
      <c r="S316" t="s">
        <v>134</v>
      </c>
      <c r="T316">
        <v>28.3261</v>
      </c>
      <c r="U316">
        <v>26.627800000000001</v>
      </c>
      <c r="V316">
        <v>27.7135</v>
      </c>
      <c r="W316">
        <v>25.885899999999999</v>
      </c>
      <c r="X316">
        <v>25.973400000000002</v>
      </c>
      <c r="Y316" t="s">
        <v>134</v>
      </c>
      <c r="Z316" t="s">
        <v>134</v>
      </c>
      <c r="AA316" t="s">
        <v>134</v>
      </c>
      <c r="AB316" t="s">
        <v>134</v>
      </c>
      <c r="AC316" t="s">
        <v>134</v>
      </c>
      <c r="AD316" t="s">
        <v>134</v>
      </c>
      <c r="AE316" t="s">
        <v>134</v>
      </c>
      <c r="AF316" t="s">
        <v>134</v>
      </c>
      <c r="AG316" t="s">
        <v>134</v>
      </c>
      <c r="AH316" t="s">
        <v>134</v>
      </c>
      <c r="AI316" t="s">
        <v>134</v>
      </c>
      <c r="AJ316" t="s">
        <v>134</v>
      </c>
      <c r="AK316" t="s">
        <v>134</v>
      </c>
      <c r="AL316" t="s">
        <v>134</v>
      </c>
      <c r="AM316">
        <v>35.778599999999997</v>
      </c>
      <c r="AN316">
        <v>38.2986</v>
      </c>
      <c r="AO316">
        <v>33.212000000000003</v>
      </c>
      <c r="AP316">
        <v>32.573300000000003</v>
      </c>
      <c r="AQ316">
        <v>30.839400000000001</v>
      </c>
      <c r="AR316" t="s">
        <v>134</v>
      </c>
      <c r="AS316" t="s">
        <v>134</v>
      </c>
      <c r="AT316" t="s">
        <v>134</v>
      </c>
      <c r="AU316" t="s">
        <v>134</v>
      </c>
      <c r="AV316" t="s">
        <v>134</v>
      </c>
      <c r="AW316" t="s">
        <v>134</v>
      </c>
      <c r="AX316" t="s">
        <v>134</v>
      </c>
      <c r="AY316" t="s">
        <v>134</v>
      </c>
      <c r="AZ316" t="s">
        <v>134</v>
      </c>
      <c r="BA316" t="s">
        <v>134</v>
      </c>
      <c r="BB316" t="s">
        <v>134</v>
      </c>
      <c r="BC316" t="s">
        <v>134</v>
      </c>
      <c r="BD316" t="s">
        <v>134</v>
      </c>
      <c r="BE316" t="s">
        <v>134</v>
      </c>
      <c r="BF316">
        <v>9.8965999999999994</v>
      </c>
      <c r="BG316">
        <v>6.4757999999999996</v>
      </c>
      <c r="BH316">
        <v>6.2798999999999996</v>
      </c>
      <c r="BI316">
        <v>-0.87050000000000005</v>
      </c>
      <c r="BJ316">
        <v>-0.72199999999999998</v>
      </c>
      <c r="BK316" t="s">
        <v>134</v>
      </c>
      <c r="BL316" t="s">
        <v>134</v>
      </c>
      <c r="BM316" t="s">
        <v>134</v>
      </c>
      <c r="BN316" t="s">
        <v>134</v>
      </c>
      <c r="BO316" t="s">
        <v>134</v>
      </c>
      <c r="BP316" t="s">
        <v>134</v>
      </c>
      <c r="BQ316" t="s">
        <v>134</v>
      </c>
      <c r="BR316" t="s">
        <v>134</v>
      </c>
      <c r="BS316" t="s">
        <v>134</v>
      </c>
      <c r="BT316" t="s">
        <v>134</v>
      </c>
      <c r="BU316" t="s">
        <v>134</v>
      </c>
      <c r="BV316" t="s">
        <v>134</v>
      </c>
      <c r="BW316" t="s">
        <v>134</v>
      </c>
      <c r="BX316" t="s">
        <v>134</v>
      </c>
      <c r="BY316" t="s">
        <v>134</v>
      </c>
      <c r="BZ316" t="s">
        <v>134</v>
      </c>
      <c r="CA316" t="s">
        <v>134</v>
      </c>
      <c r="CB316" t="s">
        <v>134</v>
      </c>
      <c r="CC316" t="s">
        <v>134</v>
      </c>
      <c r="CD316" t="s">
        <v>134</v>
      </c>
      <c r="CE316" t="s">
        <v>134</v>
      </c>
      <c r="CF316">
        <v>2.3214000000000001</v>
      </c>
      <c r="CG316" t="s">
        <v>134</v>
      </c>
      <c r="CH316" t="s">
        <v>134</v>
      </c>
      <c r="CI316" t="s">
        <v>134</v>
      </c>
      <c r="CJ316" t="s">
        <v>134</v>
      </c>
      <c r="CK316" t="s">
        <v>134</v>
      </c>
      <c r="CL316" t="s">
        <v>134</v>
      </c>
      <c r="CM316" t="s">
        <v>134</v>
      </c>
      <c r="CN316" t="s">
        <v>134</v>
      </c>
      <c r="CO316" t="s">
        <v>134</v>
      </c>
      <c r="CP316">
        <v>17034.099999999999</v>
      </c>
      <c r="CQ316" t="s">
        <v>134</v>
      </c>
      <c r="CR316">
        <v>9541.6</v>
      </c>
      <c r="CS316" t="s">
        <v>134</v>
      </c>
      <c r="CT316" t="s">
        <v>134</v>
      </c>
      <c r="CU316" t="s">
        <v>134</v>
      </c>
      <c r="CV316" t="s">
        <v>134</v>
      </c>
      <c r="CW316" t="s">
        <v>134</v>
      </c>
      <c r="CX316" t="s">
        <v>134</v>
      </c>
      <c r="CY316" t="s">
        <v>134</v>
      </c>
      <c r="CZ316" t="s">
        <v>134</v>
      </c>
      <c r="DA316" t="s">
        <v>134</v>
      </c>
      <c r="DB316" t="s">
        <v>134</v>
      </c>
      <c r="DC316" t="s">
        <v>134</v>
      </c>
      <c r="DD316" t="s">
        <v>134</v>
      </c>
      <c r="DE316" t="s">
        <v>134</v>
      </c>
      <c r="DF316" t="s">
        <v>134</v>
      </c>
      <c r="DG316" t="s">
        <v>134</v>
      </c>
      <c r="DH316" t="s">
        <v>134</v>
      </c>
      <c r="DI316" t="s">
        <v>134</v>
      </c>
    </row>
    <row r="317" spans="4:113" x14ac:dyDescent="0.3">
      <c r="E317" t="s">
        <v>81</v>
      </c>
      <c r="F317">
        <v>15.094799999999999</v>
      </c>
      <c r="G317">
        <v>1.9441000000000002</v>
      </c>
      <c r="H317">
        <v>5.7069999999999999</v>
      </c>
      <c r="I317">
        <v>6.8635000000000002</v>
      </c>
      <c r="J317">
        <v>71.432000000000002</v>
      </c>
      <c r="K317">
        <v>57.765300000000003</v>
      </c>
      <c r="L317">
        <v>-678.27790000000005</v>
      </c>
      <c r="M317">
        <v>40.005000000000003</v>
      </c>
      <c r="N317">
        <v>43.1404</v>
      </c>
      <c r="O317">
        <v>20.177</v>
      </c>
      <c r="P317">
        <v>29.1389</v>
      </c>
      <c r="Q317">
        <v>25.328600000000002</v>
      </c>
      <c r="R317" t="s">
        <v>134</v>
      </c>
      <c r="S317" t="s">
        <v>134</v>
      </c>
      <c r="T317">
        <v>6.7008000000000001</v>
      </c>
      <c r="U317">
        <v>1.1529</v>
      </c>
      <c r="V317">
        <v>-14.4406</v>
      </c>
      <c r="W317">
        <v>-26.752199999999998</v>
      </c>
      <c r="X317">
        <v>-26.761399999999998</v>
      </c>
      <c r="Y317" t="s">
        <v>134</v>
      </c>
      <c r="Z317" t="s">
        <v>134</v>
      </c>
      <c r="AA317" t="s">
        <v>134</v>
      </c>
      <c r="AB317">
        <v>1.6261000000000001</v>
      </c>
      <c r="AC317">
        <v>17.2317</v>
      </c>
      <c r="AD317" t="s">
        <v>134</v>
      </c>
      <c r="AE317" t="s">
        <v>134</v>
      </c>
      <c r="AF317" t="s">
        <v>134</v>
      </c>
      <c r="AG317">
        <v>36.6768</v>
      </c>
      <c r="AH317">
        <v>36.8354</v>
      </c>
      <c r="AI317">
        <v>27.1675</v>
      </c>
      <c r="AJ317">
        <v>33.283099999999997</v>
      </c>
      <c r="AK317">
        <v>22.6252</v>
      </c>
      <c r="AL317" t="s">
        <v>134</v>
      </c>
      <c r="AM317">
        <v>14.2797</v>
      </c>
      <c r="AN317">
        <v>9.6434999999999995</v>
      </c>
      <c r="AO317">
        <v>-0.1331</v>
      </c>
      <c r="AP317">
        <v>-9.9059000000000008</v>
      </c>
      <c r="AQ317">
        <v>-11.2903</v>
      </c>
      <c r="AR317" t="s">
        <v>134</v>
      </c>
      <c r="AS317">
        <v>43.597000000000001</v>
      </c>
      <c r="AT317" t="s">
        <v>134</v>
      </c>
      <c r="AU317">
        <v>10.866</v>
      </c>
      <c r="AV317">
        <v>13.873200000000001</v>
      </c>
      <c r="AW317" t="s">
        <v>134</v>
      </c>
      <c r="AX317" t="s">
        <v>134</v>
      </c>
      <c r="AY317" t="s">
        <v>134</v>
      </c>
      <c r="AZ317">
        <v>24.525700000000001</v>
      </c>
      <c r="BA317">
        <v>40.058399999999999</v>
      </c>
      <c r="BB317">
        <v>29.0746</v>
      </c>
      <c r="BC317">
        <v>35.5715</v>
      </c>
      <c r="BD317">
        <v>25.655200000000001</v>
      </c>
      <c r="BE317" t="s">
        <v>134</v>
      </c>
      <c r="BF317">
        <v>5.0391000000000004</v>
      </c>
      <c r="BG317">
        <v>7.6475999999999997</v>
      </c>
      <c r="BH317">
        <v>7.6119000000000003</v>
      </c>
      <c r="BI317">
        <v>18.445399999999999</v>
      </c>
      <c r="BJ317">
        <v>18.3521</v>
      </c>
      <c r="BK317" t="s">
        <v>134</v>
      </c>
      <c r="BL317" t="s">
        <v>134</v>
      </c>
      <c r="BM317" t="s">
        <v>134</v>
      </c>
      <c r="BN317" t="s">
        <v>134</v>
      </c>
      <c r="BO317" t="s">
        <v>134</v>
      </c>
      <c r="BP317" t="s">
        <v>134</v>
      </c>
      <c r="BQ317" t="s">
        <v>134</v>
      </c>
      <c r="BR317" t="s">
        <v>134</v>
      </c>
      <c r="BS317" t="s">
        <v>134</v>
      </c>
      <c r="BT317" t="s">
        <v>134</v>
      </c>
      <c r="BU317" t="s">
        <v>134</v>
      </c>
      <c r="BV317" t="s">
        <v>134</v>
      </c>
      <c r="BW317" t="s">
        <v>134</v>
      </c>
      <c r="BX317" t="s">
        <v>134</v>
      </c>
      <c r="BY317">
        <v>360774.7</v>
      </c>
      <c r="BZ317">
        <v>115281.1</v>
      </c>
      <c r="CA317">
        <v>245493.6</v>
      </c>
      <c r="CB317">
        <v>5.3540000000000001</v>
      </c>
      <c r="CC317">
        <v>5.0130999999999997</v>
      </c>
      <c r="CD317">
        <v>9.4847999999999999</v>
      </c>
      <c r="CE317">
        <v>8.8808000000000007</v>
      </c>
      <c r="CF317">
        <v>2.3226</v>
      </c>
      <c r="CG317">
        <v>13.1456</v>
      </c>
      <c r="CH317">
        <v>126.05459999999999</v>
      </c>
      <c r="CI317">
        <v>44.191200000000002</v>
      </c>
      <c r="CJ317">
        <v>23.7318</v>
      </c>
      <c r="CK317">
        <v>185.24850000000001</v>
      </c>
      <c r="CL317">
        <v>64.942800000000005</v>
      </c>
      <c r="CM317">
        <v>34.875999999999998</v>
      </c>
      <c r="CN317">
        <v>173.4513</v>
      </c>
      <c r="CO317">
        <v>63.430399999999999</v>
      </c>
      <c r="CP317">
        <v>18336.8</v>
      </c>
      <c r="CQ317" t="s">
        <v>134</v>
      </c>
      <c r="CR317">
        <v>10267.9</v>
      </c>
      <c r="CS317" t="s">
        <v>134</v>
      </c>
      <c r="CT317" t="s">
        <v>134</v>
      </c>
      <c r="CU317" t="s">
        <v>134</v>
      </c>
      <c r="CV317" t="s">
        <v>134</v>
      </c>
      <c r="CW317" t="s">
        <v>134</v>
      </c>
      <c r="CX317" t="s">
        <v>134</v>
      </c>
      <c r="CY317" t="s">
        <v>134</v>
      </c>
      <c r="CZ317" t="s">
        <v>134</v>
      </c>
      <c r="DA317" t="s">
        <v>134</v>
      </c>
      <c r="DB317" t="s">
        <v>134</v>
      </c>
      <c r="DC317" t="s">
        <v>134</v>
      </c>
      <c r="DD317" t="s">
        <v>134</v>
      </c>
      <c r="DE317" t="s">
        <v>134</v>
      </c>
      <c r="DF317" t="s">
        <v>134</v>
      </c>
      <c r="DG317" t="s">
        <v>134</v>
      </c>
      <c r="DH317" t="s">
        <v>134</v>
      </c>
      <c r="DI317" t="s">
        <v>134</v>
      </c>
    </row>
    <row r="318" spans="4:113" x14ac:dyDescent="0.3">
      <c r="D318" t="s">
        <v>84</v>
      </c>
      <c r="E318" t="s">
        <v>77</v>
      </c>
      <c r="F318">
        <v>15.206799999999999</v>
      </c>
      <c r="G318">
        <v>1.9451000000000001</v>
      </c>
      <c r="H318">
        <v>5.4253</v>
      </c>
      <c r="I318">
        <v>6.6935000000000002</v>
      </c>
      <c r="J318">
        <v>33.560499999999998</v>
      </c>
      <c r="K318">
        <v>22.978999999999999</v>
      </c>
      <c r="L318">
        <v>35.892000000000003</v>
      </c>
      <c r="M318">
        <v>20.1251</v>
      </c>
      <c r="N318">
        <v>16.270600000000002</v>
      </c>
      <c r="O318">
        <v>9.2438000000000002</v>
      </c>
      <c r="P318">
        <v>10.6684</v>
      </c>
      <c r="Q318">
        <v>29.948399999999999</v>
      </c>
      <c r="R318">
        <v>1.2313000000000001</v>
      </c>
      <c r="S318">
        <v>15.019500000000001</v>
      </c>
      <c r="T318">
        <v>19.913399999999999</v>
      </c>
      <c r="U318">
        <v>30.992799999999999</v>
      </c>
      <c r="V318">
        <v>32.519800000000004</v>
      </c>
      <c r="W318">
        <v>21.395199999999999</v>
      </c>
      <c r="X318">
        <v>21.383400000000002</v>
      </c>
      <c r="Y318">
        <v>0</v>
      </c>
      <c r="Z318" t="s">
        <v>134</v>
      </c>
      <c r="AA318" t="s">
        <v>134</v>
      </c>
      <c r="AB318">
        <v>8.6167999999999996</v>
      </c>
      <c r="AC318">
        <v>23.7163</v>
      </c>
      <c r="AD318" t="s">
        <v>134</v>
      </c>
      <c r="AE318" t="s">
        <v>134</v>
      </c>
      <c r="AF318" t="s">
        <v>134</v>
      </c>
      <c r="AG318">
        <v>38.052199999999999</v>
      </c>
      <c r="AH318">
        <v>33.885899999999999</v>
      </c>
      <c r="AI318">
        <v>19.902200000000001</v>
      </c>
      <c r="AJ318">
        <v>28.982199999999999</v>
      </c>
      <c r="AK318">
        <v>18.7653</v>
      </c>
      <c r="AL318">
        <v>-12.1226</v>
      </c>
      <c r="AM318">
        <v>44.803899999999999</v>
      </c>
      <c r="AN318">
        <v>24.5657</v>
      </c>
      <c r="AO318">
        <v>17.612500000000001</v>
      </c>
      <c r="AP318">
        <v>11.075699999999999</v>
      </c>
      <c r="AQ318">
        <v>9.3676999999999992</v>
      </c>
      <c r="AR318">
        <v>3.4965999999999999</v>
      </c>
      <c r="AS318">
        <v>29.07</v>
      </c>
      <c r="AT318" t="s">
        <v>134</v>
      </c>
      <c r="AU318">
        <v>7.1494999999999997</v>
      </c>
      <c r="AV318">
        <v>16.684000000000001</v>
      </c>
      <c r="AW318" t="s">
        <v>134</v>
      </c>
      <c r="AX318" t="s">
        <v>134</v>
      </c>
      <c r="AY318" t="s">
        <v>134</v>
      </c>
      <c r="AZ318">
        <v>41.573399999999999</v>
      </c>
      <c r="BA318">
        <v>39.384</v>
      </c>
      <c r="BB318">
        <v>26.144400000000001</v>
      </c>
      <c r="BC318">
        <v>34.149099999999997</v>
      </c>
      <c r="BD318">
        <v>22.911100000000001</v>
      </c>
      <c r="BE318" t="s">
        <v>134</v>
      </c>
      <c r="BF318">
        <v>19.913399999999999</v>
      </c>
      <c r="BG318">
        <v>30.992799999999999</v>
      </c>
      <c r="BH318">
        <v>32.519800000000004</v>
      </c>
      <c r="BI318">
        <v>21.395199999999999</v>
      </c>
      <c r="BJ318">
        <v>21.383400000000002</v>
      </c>
      <c r="BK318">
        <v>0</v>
      </c>
      <c r="BL318">
        <v>42.111699999999999</v>
      </c>
      <c r="BM318" t="s">
        <v>134</v>
      </c>
      <c r="BN318">
        <v>8.6167999999999996</v>
      </c>
      <c r="BO318">
        <v>23.7163</v>
      </c>
      <c r="BP318" t="s">
        <v>134</v>
      </c>
      <c r="BQ318" t="s">
        <v>134</v>
      </c>
      <c r="BR318" t="s">
        <v>134</v>
      </c>
      <c r="BS318">
        <v>38.052199999999999</v>
      </c>
      <c r="BT318">
        <v>33.885899999999999</v>
      </c>
      <c r="BU318">
        <v>19.902200000000001</v>
      </c>
      <c r="BV318">
        <v>28.982199999999999</v>
      </c>
      <c r="BW318">
        <v>18.7653</v>
      </c>
      <c r="BX318" t="s">
        <v>134</v>
      </c>
      <c r="BY318">
        <v>482820.4</v>
      </c>
      <c r="BZ318">
        <v>158935.79999999999</v>
      </c>
      <c r="CA318">
        <v>323884.59999999998</v>
      </c>
      <c r="CB318">
        <v>5.8794000000000004</v>
      </c>
      <c r="CC318">
        <v>5.6931000000000003</v>
      </c>
      <c r="CD318">
        <v>9.91</v>
      </c>
      <c r="CE318">
        <v>9.5960999999999999</v>
      </c>
      <c r="CF318">
        <v>2.5133000000000001</v>
      </c>
      <c r="CG318">
        <v>12.556900000000001</v>
      </c>
      <c r="CH318">
        <v>138.70169999999999</v>
      </c>
      <c r="CI318">
        <v>45.214300000000001</v>
      </c>
      <c r="CJ318">
        <v>25.181999999999999</v>
      </c>
      <c r="CK318">
        <v>206.76509999999999</v>
      </c>
      <c r="CL318">
        <v>67.401799999999994</v>
      </c>
      <c r="CM318">
        <v>37.539299999999997</v>
      </c>
      <c r="CN318">
        <v>200.21549999999999</v>
      </c>
      <c r="CO318">
        <v>66.690600000000003</v>
      </c>
      <c r="CP318">
        <v>82121.100000000006</v>
      </c>
      <c r="CQ318">
        <v>82121.100000000006</v>
      </c>
      <c r="CR318">
        <v>48720.5</v>
      </c>
      <c r="CS318" t="s">
        <v>134</v>
      </c>
      <c r="CT318" t="s">
        <v>134</v>
      </c>
      <c r="CU318" t="s">
        <v>134</v>
      </c>
      <c r="CV318" t="s">
        <v>134</v>
      </c>
      <c r="CW318" t="s">
        <v>134</v>
      </c>
      <c r="CX318" t="s">
        <v>134</v>
      </c>
      <c r="CY318" t="s">
        <v>134</v>
      </c>
      <c r="CZ318" t="s">
        <v>134</v>
      </c>
      <c r="DA318" t="s">
        <v>134</v>
      </c>
      <c r="DB318" t="s">
        <v>134</v>
      </c>
      <c r="DC318" t="s">
        <v>134</v>
      </c>
      <c r="DD318" t="s">
        <v>134</v>
      </c>
      <c r="DE318" t="s">
        <v>134</v>
      </c>
      <c r="DF318" t="s">
        <v>134</v>
      </c>
      <c r="DG318" t="s">
        <v>134</v>
      </c>
      <c r="DH318" t="s">
        <v>134</v>
      </c>
      <c r="DI318" t="s">
        <v>134</v>
      </c>
    </row>
    <row r="319" spans="4:113" x14ac:dyDescent="0.3">
      <c r="E319" t="s">
        <v>78</v>
      </c>
      <c r="F319" t="s">
        <v>134</v>
      </c>
      <c r="G319" t="s">
        <v>134</v>
      </c>
      <c r="H319" t="s">
        <v>134</v>
      </c>
      <c r="I319" t="s">
        <v>134</v>
      </c>
      <c r="J319">
        <v>69.094800000000006</v>
      </c>
      <c r="K319">
        <v>55.507599999999996</v>
      </c>
      <c r="L319">
        <v>42.576300000000003</v>
      </c>
      <c r="M319">
        <v>39.260100000000001</v>
      </c>
      <c r="N319">
        <v>39.6389</v>
      </c>
      <c r="O319">
        <v>18.459499999999998</v>
      </c>
      <c r="P319">
        <v>26.101099999999999</v>
      </c>
      <c r="Q319">
        <v>28.5945</v>
      </c>
      <c r="R319" t="s">
        <v>134</v>
      </c>
      <c r="S319" t="s">
        <v>134</v>
      </c>
      <c r="T319">
        <v>31.6568</v>
      </c>
      <c r="U319">
        <v>25.6294</v>
      </c>
      <c r="V319">
        <v>23.58</v>
      </c>
      <c r="W319">
        <v>15.123200000000001</v>
      </c>
      <c r="X319">
        <v>15.1907</v>
      </c>
      <c r="Y319" t="s">
        <v>134</v>
      </c>
      <c r="Z319" t="s">
        <v>134</v>
      </c>
      <c r="AA319" t="s">
        <v>134</v>
      </c>
      <c r="AB319" t="s">
        <v>134</v>
      </c>
      <c r="AC319" t="s">
        <v>134</v>
      </c>
      <c r="AD319" t="s">
        <v>134</v>
      </c>
      <c r="AE319" t="s">
        <v>134</v>
      </c>
      <c r="AF319" t="s">
        <v>134</v>
      </c>
      <c r="AG319" t="s">
        <v>134</v>
      </c>
      <c r="AH319" t="s">
        <v>134</v>
      </c>
      <c r="AI319" t="s">
        <v>134</v>
      </c>
      <c r="AJ319" t="s">
        <v>134</v>
      </c>
      <c r="AK319" t="s">
        <v>134</v>
      </c>
      <c r="AL319" t="s">
        <v>134</v>
      </c>
      <c r="AM319">
        <v>36.581699999999998</v>
      </c>
      <c r="AN319">
        <v>37.091500000000003</v>
      </c>
      <c r="AO319">
        <v>33.498199999999997</v>
      </c>
      <c r="AP319">
        <v>33.088799999999999</v>
      </c>
      <c r="AQ319">
        <v>31.051500000000001</v>
      </c>
      <c r="AR319" t="s">
        <v>134</v>
      </c>
      <c r="AS319" t="s">
        <v>134</v>
      </c>
      <c r="AT319" t="s">
        <v>134</v>
      </c>
      <c r="AU319" t="s">
        <v>134</v>
      </c>
      <c r="AV319" t="s">
        <v>134</v>
      </c>
      <c r="AW319" t="s">
        <v>134</v>
      </c>
      <c r="AX319" t="s">
        <v>134</v>
      </c>
      <c r="AY319" t="s">
        <v>134</v>
      </c>
      <c r="AZ319" t="s">
        <v>134</v>
      </c>
      <c r="BA319" t="s">
        <v>134</v>
      </c>
      <c r="BB319" t="s">
        <v>134</v>
      </c>
      <c r="BC319" t="s">
        <v>134</v>
      </c>
      <c r="BD319" t="s">
        <v>134</v>
      </c>
      <c r="BE319" t="s">
        <v>134</v>
      </c>
      <c r="BF319">
        <v>-53.865600000000001</v>
      </c>
      <c r="BG319">
        <v>9.7209000000000003</v>
      </c>
      <c r="BH319">
        <v>11.326599999999999</v>
      </c>
      <c r="BI319">
        <v>3.7763999999999998</v>
      </c>
      <c r="BJ319">
        <v>3.8504</v>
      </c>
      <c r="BK319" t="s">
        <v>134</v>
      </c>
      <c r="BL319" t="s">
        <v>134</v>
      </c>
      <c r="BM319" t="s">
        <v>134</v>
      </c>
      <c r="BN319" t="s">
        <v>134</v>
      </c>
      <c r="BO319" t="s">
        <v>134</v>
      </c>
      <c r="BP319" t="s">
        <v>134</v>
      </c>
      <c r="BQ319" t="s">
        <v>134</v>
      </c>
      <c r="BR319" t="s">
        <v>134</v>
      </c>
      <c r="BS319" t="s">
        <v>134</v>
      </c>
      <c r="BT319" t="s">
        <v>134</v>
      </c>
      <c r="BU319">
        <v>-100</v>
      </c>
      <c r="BV319" t="s">
        <v>134</v>
      </c>
      <c r="BW319">
        <v>-100</v>
      </c>
      <c r="BX319" t="s">
        <v>134</v>
      </c>
      <c r="BY319" t="s">
        <v>134</v>
      </c>
      <c r="BZ319" t="s">
        <v>134</v>
      </c>
      <c r="CA319" t="s">
        <v>134</v>
      </c>
      <c r="CB319" t="s">
        <v>134</v>
      </c>
      <c r="CC319" t="s">
        <v>134</v>
      </c>
      <c r="CD319" t="s">
        <v>134</v>
      </c>
      <c r="CE319" t="s">
        <v>134</v>
      </c>
      <c r="CF319">
        <v>2.36</v>
      </c>
      <c r="CG319" t="s">
        <v>134</v>
      </c>
      <c r="CH319" t="s">
        <v>134</v>
      </c>
      <c r="CI319" t="s">
        <v>134</v>
      </c>
      <c r="CJ319" t="s">
        <v>134</v>
      </c>
      <c r="CK319" t="s">
        <v>134</v>
      </c>
      <c r="CL319" t="s">
        <v>134</v>
      </c>
      <c r="CM319" t="s">
        <v>134</v>
      </c>
      <c r="CN319" t="s">
        <v>134</v>
      </c>
      <c r="CO319" t="s">
        <v>134</v>
      </c>
      <c r="CP319">
        <v>20119.3</v>
      </c>
      <c r="CQ319" t="s">
        <v>134</v>
      </c>
      <c r="CR319">
        <v>11430.9</v>
      </c>
      <c r="CS319" t="s">
        <v>134</v>
      </c>
      <c r="CT319" t="s">
        <v>134</v>
      </c>
      <c r="CU319" t="s">
        <v>134</v>
      </c>
      <c r="CV319" t="s">
        <v>134</v>
      </c>
      <c r="CW319" t="s">
        <v>134</v>
      </c>
      <c r="CX319" t="s">
        <v>134</v>
      </c>
      <c r="CY319" t="s">
        <v>134</v>
      </c>
      <c r="CZ319" t="s">
        <v>134</v>
      </c>
      <c r="DA319" t="s">
        <v>134</v>
      </c>
      <c r="DB319" t="s">
        <v>134</v>
      </c>
      <c r="DC319" t="s">
        <v>134</v>
      </c>
      <c r="DD319" t="s">
        <v>134</v>
      </c>
      <c r="DE319" t="s">
        <v>134</v>
      </c>
      <c r="DF319" t="s">
        <v>134</v>
      </c>
      <c r="DG319" t="s">
        <v>134</v>
      </c>
      <c r="DH319" t="s">
        <v>134</v>
      </c>
      <c r="DI319" t="s">
        <v>134</v>
      </c>
    </row>
    <row r="320" spans="4:113" x14ac:dyDescent="0.3">
      <c r="E320" t="s">
        <v>79</v>
      </c>
      <c r="F320">
        <v>15.092499999999999</v>
      </c>
      <c r="G320">
        <v>1.9762999999999999</v>
      </c>
      <c r="H320">
        <v>5.8757000000000001</v>
      </c>
      <c r="I320">
        <v>7.1441999999999997</v>
      </c>
      <c r="J320">
        <v>73.109700000000004</v>
      </c>
      <c r="K320">
        <v>59.909700000000001</v>
      </c>
      <c r="L320">
        <v>64.062700000000007</v>
      </c>
      <c r="M320">
        <v>41.091900000000003</v>
      </c>
      <c r="N320">
        <v>41.970999999999997</v>
      </c>
      <c r="O320">
        <v>19.1938</v>
      </c>
      <c r="P320">
        <v>27.987300000000001</v>
      </c>
      <c r="Q320">
        <v>29.952500000000001</v>
      </c>
      <c r="R320" t="s">
        <v>134</v>
      </c>
      <c r="S320" t="s">
        <v>134</v>
      </c>
      <c r="T320">
        <v>34.889400000000002</v>
      </c>
      <c r="U320">
        <v>37.081899999999997</v>
      </c>
      <c r="V320">
        <v>37.277500000000003</v>
      </c>
      <c r="W320">
        <v>30.517099999999999</v>
      </c>
      <c r="X320">
        <v>30.6859</v>
      </c>
      <c r="Y320" t="s">
        <v>134</v>
      </c>
      <c r="Z320" t="s">
        <v>134</v>
      </c>
      <c r="AA320" t="s">
        <v>134</v>
      </c>
      <c r="AB320">
        <v>8.1791999999999998</v>
      </c>
      <c r="AC320">
        <v>22.759399999999999</v>
      </c>
      <c r="AD320" t="s">
        <v>134</v>
      </c>
      <c r="AE320" t="s">
        <v>134</v>
      </c>
      <c r="AF320" t="s">
        <v>134</v>
      </c>
      <c r="AG320">
        <v>192.3014</v>
      </c>
      <c r="AH320">
        <v>66.273700000000005</v>
      </c>
      <c r="AI320">
        <v>17.2226</v>
      </c>
      <c r="AJ320">
        <v>45.797899999999998</v>
      </c>
      <c r="AK320">
        <v>16.4954</v>
      </c>
      <c r="AL320" t="s">
        <v>134</v>
      </c>
      <c r="AM320">
        <v>33.265099999999997</v>
      </c>
      <c r="AN320">
        <v>34.934399999999997</v>
      </c>
      <c r="AO320">
        <v>30.976800000000001</v>
      </c>
      <c r="AP320">
        <v>29.482500000000002</v>
      </c>
      <c r="AQ320">
        <v>27.504300000000001</v>
      </c>
      <c r="AR320" t="s">
        <v>134</v>
      </c>
      <c r="AS320">
        <v>177.01900000000001</v>
      </c>
      <c r="AT320" t="s">
        <v>134</v>
      </c>
      <c r="AU320">
        <v>8.3352000000000004</v>
      </c>
      <c r="AV320">
        <v>16.685300000000002</v>
      </c>
      <c r="AW320" t="s">
        <v>134</v>
      </c>
      <c r="AX320" t="s">
        <v>134</v>
      </c>
      <c r="AY320" t="s">
        <v>134</v>
      </c>
      <c r="AZ320" t="s">
        <v>134</v>
      </c>
      <c r="BA320">
        <v>39.453800000000001</v>
      </c>
      <c r="BB320">
        <v>30.748000000000001</v>
      </c>
      <c r="BC320">
        <v>36.143300000000004</v>
      </c>
      <c r="BD320">
        <v>27.773399999999999</v>
      </c>
      <c r="BE320" t="s">
        <v>134</v>
      </c>
      <c r="BF320">
        <v>-42.686700000000002</v>
      </c>
      <c r="BG320">
        <v>9.0023</v>
      </c>
      <c r="BH320">
        <v>7.8174000000000001</v>
      </c>
      <c r="BI320">
        <v>7.1143000000000001</v>
      </c>
      <c r="BJ320">
        <v>7.1006</v>
      </c>
      <c r="BK320" t="s">
        <v>134</v>
      </c>
      <c r="BL320" t="s">
        <v>134</v>
      </c>
      <c r="BM320" t="s">
        <v>134</v>
      </c>
      <c r="BN320" t="s">
        <v>134</v>
      </c>
      <c r="BO320" t="s">
        <v>134</v>
      </c>
      <c r="BP320" t="s">
        <v>134</v>
      </c>
      <c r="BQ320" t="s">
        <v>134</v>
      </c>
      <c r="BR320" t="s">
        <v>134</v>
      </c>
      <c r="BS320" t="s">
        <v>134</v>
      </c>
      <c r="BT320" t="s">
        <v>134</v>
      </c>
      <c r="BU320" t="s">
        <v>134</v>
      </c>
      <c r="BV320" t="s">
        <v>134</v>
      </c>
      <c r="BW320" t="s">
        <v>134</v>
      </c>
      <c r="BX320" t="s">
        <v>134</v>
      </c>
      <c r="BY320">
        <v>419148.7</v>
      </c>
      <c r="BZ320">
        <v>133910.6</v>
      </c>
      <c r="CA320">
        <v>285238.09999999998</v>
      </c>
      <c r="CB320">
        <v>5.4138999999999999</v>
      </c>
      <c r="CC320">
        <v>5.2942</v>
      </c>
      <c r="CD320">
        <v>9.6212</v>
      </c>
      <c r="CE320">
        <v>9.4085000000000001</v>
      </c>
      <c r="CF320">
        <v>2.3269000000000002</v>
      </c>
      <c r="CG320">
        <v>12.7864</v>
      </c>
      <c r="CH320">
        <v>134.7106</v>
      </c>
      <c r="CI320">
        <v>45.212000000000003</v>
      </c>
      <c r="CJ320">
        <v>24.7257</v>
      </c>
      <c r="CK320">
        <v>197.95310000000001</v>
      </c>
      <c r="CL320">
        <v>66.437700000000007</v>
      </c>
      <c r="CM320">
        <v>36.3337</v>
      </c>
      <c r="CN320">
        <v>193.57509999999999</v>
      </c>
      <c r="CO320">
        <v>65.937200000000004</v>
      </c>
      <c r="CP320">
        <v>21930.5</v>
      </c>
      <c r="CQ320" t="s">
        <v>134</v>
      </c>
      <c r="CR320">
        <v>12324.5</v>
      </c>
      <c r="CS320" t="s">
        <v>134</v>
      </c>
      <c r="CT320" t="s">
        <v>134</v>
      </c>
      <c r="CU320" t="s">
        <v>134</v>
      </c>
      <c r="CV320" t="s">
        <v>134</v>
      </c>
      <c r="CW320" t="s">
        <v>134</v>
      </c>
      <c r="CX320" t="s">
        <v>134</v>
      </c>
      <c r="CY320" t="s">
        <v>134</v>
      </c>
      <c r="CZ320" t="s">
        <v>134</v>
      </c>
      <c r="DA320" t="s">
        <v>134</v>
      </c>
      <c r="DB320" t="s">
        <v>134</v>
      </c>
      <c r="DC320" t="s">
        <v>134</v>
      </c>
      <c r="DD320" t="s">
        <v>134</v>
      </c>
      <c r="DE320" t="s">
        <v>134</v>
      </c>
      <c r="DF320" t="s">
        <v>134</v>
      </c>
      <c r="DG320" t="s">
        <v>134</v>
      </c>
      <c r="DH320" t="s">
        <v>134</v>
      </c>
      <c r="DI320" t="s">
        <v>134</v>
      </c>
    </row>
    <row r="321" spans="1:113" x14ac:dyDescent="0.3">
      <c r="E321" t="s">
        <v>80</v>
      </c>
      <c r="F321" t="s">
        <v>134</v>
      </c>
      <c r="G321" t="s">
        <v>134</v>
      </c>
      <c r="H321" t="s">
        <v>134</v>
      </c>
      <c r="I321" t="s">
        <v>134</v>
      </c>
      <c r="J321">
        <v>71.573999999999998</v>
      </c>
      <c r="K321">
        <v>59.084600000000002</v>
      </c>
      <c r="L321">
        <v>68.123699999999999</v>
      </c>
      <c r="M321">
        <v>41.845700000000001</v>
      </c>
      <c r="N321">
        <v>40.785899999999998</v>
      </c>
      <c r="O321">
        <v>18.6357</v>
      </c>
      <c r="P321">
        <v>26.315100000000001</v>
      </c>
      <c r="Q321">
        <v>30.975899999999999</v>
      </c>
      <c r="R321" t="s">
        <v>134</v>
      </c>
      <c r="S321" t="s">
        <v>134</v>
      </c>
      <c r="T321">
        <v>34.763599999999997</v>
      </c>
      <c r="U321">
        <v>38.384799999999998</v>
      </c>
      <c r="V321">
        <v>44.426499999999997</v>
      </c>
      <c r="W321">
        <v>40.355400000000003</v>
      </c>
      <c r="X321">
        <v>40.244700000000002</v>
      </c>
      <c r="Y321" t="s">
        <v>134</v>
      </c>
      <c r="Z321" t="s">
        <v>134</v>
      </c>
      <c r="AA321" t="s">
        <v>134</v>
      </c>
      <c r="AB321" t="s">
        <v>134</v>
      </c>
      <c r="AC321" t="s">
        <v>134</v>
      </c>
      <c r="AD321" t="s">
        <v>134</v>
      </c>
      <c r="AE321" t="s">
        <v>134</v>
      </c>
      <c r="AF321" t="s">
        <v>134</v>
      </c>
      <c r="AG321" t="s">
        <v>134</v>
      </c>
      <c r="AH321" t="s">
        <v>134</v>
      </c>
      <c r="AI321" t="s">
        <v>134</v>
      </c>
      <c r="AJ321" t="s">
        <v>134</v>
      </c>
      <c r="AK321" t="s">
        <v>134</v>
      </c>
      <c r="AL321" t="s">
        <v>134</v>
      </c>
      <c r="AM321">
        <v>31.892399999999999</v>
      </c>
      <c r="AN321">
        <v>32.264000000000003</v>
      </c>
      <c r="AO321">
        <v>29.995200000000001</v>
      </c>
      <c r="AP321">
        <v>29.264500000000002</v>
      </c>
      <c r="AQ321">
        <v>27.2837</v>
      </c>
      <c r="AR321" t="s">
        <v>134</v>
      </c>
      <c r="AS321" t="s">
        <v>134</v>
      </c>
      <c r="AT321" t="s">
        <v>134</v>
      </c>
      <c r="AU321" t="s">
        <v>134</v>
      </c>
      <c r="AV321" t="s">
        <v>134</v>
      </c>
      <c r="AW321" t="s">
        <v>134</v>
      </c>
      <c r="AX321" t="s">
        <v>134</v>
      </c>
      <c r="AY321" t="s">
        <v>134</v>
      </c>
      <c r="AZ321" t="s">
        <v>134</v>
      </c>
      <c r="BA321" t="s">
        <v>134</v>
      </c>
      <c r="BB321" t="s">
        <v>134</v>
      </c>
      <c r="BC321" t="s">
        <v>134</v>
      </c>
      <c r="BD321" t="s">
        <v>134</v>
      </c>
      <c r="BE321" t="s">
        <v>134</v>
      </c>
      <c r="BF321">
        <v>-44.365900000000003</v>
      </c>
      <c r="BG321">
        <v>7.4877000000000002</v>
      </c>
      <c r="BH321">
        <v>11.8147</v>
      </c>
      <c r="BI321">
        <v>6.6017999999999999</v>
      </c>
      <c r="BJ321">
        <v>6.5395000000000003</v>
      </c>
      <c r="BK321" t="s">
        <v>134</v>
      </c>
      <c r="BL321" t="s">
        <v>134</v>
      </c>
      <c r="BM321" t="s">
        <v>134</v>
      </c>
      <c r="BN321" t="s">
        <v>134</v>
      </c>
      <c r="BO321" t="s">
        <v>134</v>
      </c>
      <c r="BP321" t="s">
        <v>134</v>
      </c>
      <c r="BQ321" t="s">
        <v>134</v>
      </c>
      <c r="BR321" t="s">
        <v>134</v>
      </c>
      <c r="BS321" t="s">
        <v>134</v>
      </c>
      <c r="BT321" t="s">
        <v>134</v>
      </c>
      <c r="BU321" t="s">
        <v>134</v>
      </c>
      <c r="BV321" t="s">
        <v>134</v>
      </c>
      <c r="BW321" t="s">
        <v>134</v>
      </c>
      <c r="BX321" t="s">
        <v>134</v>
      </c>
      <c r="BY321" t="s">
        <v>134</v>
      </c>
      <c r="BZ321" t="s">
        <v>134</v>
      </c>
      <c r="CA321" t="s">
        <v>134</v>
      </c>
      <c r="CB321" t="s">
        <v>134</v>
      </c>
      <c r="CC321" t="s">
        <v>134</v>
      </c>
      <c r="CD321" t="s">
        <v>134</v>
      </c>
      <c r="CE321" t="s">
        <v>134</v>
      </c>
      <c r="CF321">
        <v>2.4525999999999999</v>
      </c>
      <c r="CG321" t="s">
        <v>134</v>
      </c>
      <c r="CH321" t="s">
        <v>134</v>
      </c>
      <c r="CI321" t="s">
        <v>134</v>
      </c>
      <c r="CJ321" t="s">
        <v>134</v>
      </c>
      <c r="CK321" t="s">
        <v>134</v>
      </c>
      <c r="CL321" t="s">
        <v>134</v>
      </c>
      <c r="CM321" t="s">
        <v>134</v>
      </c>
      <c r="CN321" t="s">
        <v>134</v>
      </c>
      <c r="CO321" t="s">
        <v>134</v>
      </c>
      <c r="CP321">
        <v>23572.6</v>
      </c>
      <c r="CQ321" t="s">
        <v>134</v>
      </c>
      <c r="CR321">
        <v>13780.6</v>
      </c>
      <c r="CS321" t="s">
        <v>134</v>
      </c>
      <c r="CT321" t="s">
        <v>134</v>
      </c>
      <c r="CU321" t="s">
        <v>134</v>
      </c>
      <c r="CV321" t="s">
        <v>134</v>
      </c>
      <c r="CW321" t="s">
        <v>134</v>
      </c>
      <c r="CX321" t="s">
        <v>134</v>
      </c>
      <c r="CY321" t="s">
        <v>134</v>
      </c>
      <c r="CZ321" t="s">
        <v>134</v>
      </c>
      <c r="DA321" t="s">
        <v>134</v>
      </c>
      <c r="DB321" t="s">
        <v>134</v>
      </c>
      <c r="DC321" t="s">
        <v>134</v>
      </c>
      <c r="DD321" t="s">
        <v>134</v>
      </c>
      <c r="DE321" t="s">
        <v>134</v>
      </c>
      <c r="DF321" t="s">
        <v>134</v>
      </c>
      <c r="DG321" t="s">
        <v>134</v>
      </c>
      <c r="DH321" t="s">
        <v>134</v>
      </c>
      <c r="DI321" t="s">
        <v>134</v>
      </c>
    </row>
    <row r="322" spans="1:113" x14ac:dyDescent="0.3">
      <c r="E322" t="s">
        <v>81</v>
      </c>
      <c r="F322">
        <v>15.206799999999999</v>
      </c>
      <c r="G322">
        <v>1.9451000000000001</v>
      </c>
      <c r="H322">
        <v>5.4253</v>
      </c>
      <c r="I322">
        <v>6.7390999999999996</v>
      </c>
      <c r="J322">
        <v>30.535</v>
      </c>
      <c r="K322">
        <v>19.239999999999998</v>
      </c>
      <c r="L322">
        <v>25.599</v>
      </c>
      <c r="M322">
        <v>16.619499999999999</v>
      </c>
      <c r="N322">
        <v>13.459</v>
      </c>
      <c r="O322">
        <v>7.5945</v>
      </c>
      <c r="P322">
        <v>8.7933000000000003</v>
      </c>
      <c r="Q322">
        <v>30.056799999999999</v>
      </c>
      <c r="R322" t="s">
        <v>134</v>
      </c>
      <c r="S322" t="s">
        <v>134</v>
      </c>
      <c r="T322">
        <v>11.591100000000001</v>
      </c>
      <c r="U322">
        <v>17.286000000000001</v>
      </c>
      <c r="V322">
        <v>13.984400000000001</v>
      </c>
      <c r="W322">
        <v>3.2725</v>
      </c>
      <c r="X322">
        <v>3.2359</v>
      </c>
      <c r="Y322" t="s">
        <v>134</v>
      </c>
      <c r="Z322" t="s">
        <v>134</v>
      </c>
      <c r="AA322" t="s">
        <v>134</v>
      </c>
      <c r="AB322">
        <v>8.6167999999999996</v>
      </c>
      <c r="AC322">
        <v>23.7163</v>
      </c>
      <c r="AD322" t="s">
        <v>134</v>
      </c>
      <c r="AE322" t="s">
        <v>134</v>
      </c>
      <c r="AF322" t="s">
        <v>134</v>
      </c>
      <c r="AG322">
        <v>38.052199999999999</v>
      </c>
      <c r="AH322">
        <v>33.885899999999999</v>
      </c>
      <c r="AI322">
        <v>19.902200000000001</v>
      </c>
      <c r="AJ322">
        <v>28.982199999999999</v>
      </c>
      <c r="AK322">
        <v>18.7653</v>
      </c>
      <c r="AL322" t="s">
        <v>134</v>
      </c>
      <c r="AM322">
        <v>32.089799999999997</v>
      </c>
      <c r="AN322">
        <v>7.4896000000000003</v>
      </c>
      <c r="AO322">
        <v>-1.5263</v>
      </c>
      <c r="AP322">
        <v>-9.4933999999999994</v>
      </c>
      <c r="AQ322">
        <v>-10.890499999999999</v>
      </c>
      <c r="AR322" t="s">
        <v>134</v>
      </c>
      <c r="AS322">
        <v>29.07</v>
      </c>
      <c r="AT322" t="s">
        <v>134</v>
      </c>
      <c r="AU322">
        <v>7.1494999999999997</v>
      </c>
      <c r="AV322">
        <v>16.684000000000001</v>
      </c>
      <c r="AW322" t="s">
        <v>134</v>
      </c>
      <c r="AX322" t="s">
        <v>134</v>
      </c>
      <c r="AY322" t="s">
        <v>134</v>
      </c>
      <c r="AZ322">
        <v>41.573399999999999</v>
      </c>
      <c r="BA322">
        <v>39.384</v>
      </c>
      <c r="BB322">
        <v>26.144400000000001</v>
      </c>
      <c r="BC322">
        <v>34.149099999999997</v>
      </c>
      <c r="BD322">
        <v>22.911100000000001</v>
      </c>
      <c r="BE322" t="s">
        <v>134</v>
      </c>
      <c r="BF322">
        <v>11.495699999999999</v>
      </c>
      <c r="BG322">
        <v>-8.7647999999999993</v>
      </c>
      <c r="BH322">
        <v>-15.070499999999999</v>
      </c>
      <c r="BI322">
        <v>-12.848700000000001</v>
      </c>
      <c r="BJ322">
        <v>-12.8796</v>
      </c>
      <c r="BK322" t="s">
        <v>134</v>
      </c>
      <c r="BL322" t="s">
        <v>134</v>
      </c>
      <c r="BM322" t="s">
        <v>134</v>
      </c>
      <c r="BN322" t="s">
        <v>134</v>
      </c>
      <c r="BO322" t="s">
        <v>134</v>
      </c>
      <c r="BP322" t="s">
        <v>134</v>
      </c>
      <c r="BQ322" t="s">
        <v>134</v>
      </c>
      <c r="BR322" t="s">
        <v>134</v>
      </c>
      <c r="BS322" t="s">
        <v>134</v>
      </c>
      <c r="BT322" t="s">
        <v>134</v>
      </c>
      <c r="BU322" t="s">
        <v>134</v>
      </c>
      <c r="BV322" t="s">
        <v>134</v>
      </c>
      <c r="BW322" t="s">
        <v>134</v>
      </c>
      <c r="BX322" t="s">
        <v>134</v>
      </c>
      <c r="BY322">
        <v>482820.4</v>
      </c>
      <c r="BZ322">
        <v>158935.79999999999</v>
      </c>
      <c r="CA322">
        <v>323884.59999999998</v>
      </c>
      <c r="CB322">
        <v>5.5414000000000003</v>
      </c>
      <c r="CC322">
        <v>5.3658999999999999</v>
      </c>
      <c r="CD322">
        <v>9.8055000000000003</v>
      </c>
      <c r="CE322">
        <v>9.4948999999999995</v>
      </c>
      <c r="CF322">
        <v>2.2397999999999998</v>
      </c>
      <c r="CG322">
        <v>12.556900000000001</v>
      </c>
      <c r="CH322">
        <v>138.70169999999999</v>
      </c>
      <c r="CI322">
        <v>45.214300000000001</v>
      </c>
      <c r="CJ322">
        <v>25.181999999999999</v>
      </c>
      <c r="CK322">
        <v>206.76509999999999</v>
      </c>
      <c r="CL322">
        <v>67.401799999999994</v>
      </c>
      <c r="CM322">
        <v>37.539299999999997</v>
      </c>
      <c r="CN322">
        <v>200.21549999999999</v>
      </c>
      <c r="CO322">
        <v>66.690600000000003</v>
      </c>
      <c r="CP322">
        <v>21506.5</v>
      </c>
      <c r="CQ322" t="s">
        <v>134</v>
      </c>
      <c r="CR322">
        <v>11703.8</v>
      </c>
      <c r="CS322" t="s">
        <v>134</v>
      </c>
      <c r="CT322" t="s">
        <v>134</v>
      </c>
      <c r="CU322" t="s">
        <v>134</v>
      </c>
      <c r="CV322" t="s">
        <v>134</v>
      </c>
      <c r="CW322" t="s">
        <v>134</v>
      </c>
      <c r="CX322" t="s">
        <v>134</v>
      </c>
      <c r="CY322" t="s">
        <v>134</v>
      </c>
      <c r="CZ322" t="s">
        <v>134</v>
      </c>
      <c r="DA322" t="s">
        <v>134</v>
      </c>
      <c r="DB322" t="s">
        <v>134</v>
      </c>
      <c r="DC322" t="s">
        <v>134</v>
      </c>
      <c r="DD322" t="s">
        <v>134</v>
      </c>
      <c r="DE322" t="s">
        <v>134</v>
      </c>
      <c r="DF322" t="s">
        <v>134</v>
      </c>
      <c r="DG322" t="s">
        <v>134</v>
      </c>
      <c r="DH322" t="s">
        <v>134</v>
      </c>
      <c r="DI322" t="s">
        <v>134</v>
      </c>
    </row>
    <row r="323" spans="1:113" x14ac:dyDescent="0.3">
      <c r="D323" t="s">
        <v>85</v>
      </c>
      <c r="E323" t="s">
        <v>77</v>
      </c>
      <c r="F323">
        <v>14.686400000000001</v>
      </c>
      <c r="G323">
        <v>1.9054</v>
      </c>
      <c r="H323">
        <v>5.2481999999999998</v>
      </c>
      <c r="I323">
        <v>6.5049999999999999</v>
      </c>
      <c r="J323">
        <v>34.155700000000003</v>
      </c>
      <c r="K323">
        <v>23.645800000000001</v>
      </c>
      <c r="L323">
        <v>26.254300000000001</v>
      </c>
      <c r="M323">
        <v>20.654599999999999</v>
      </c>
      <c r="N323">
        <v>16.3886</v>
      </c>
      <c r="O323">
        <v>8.9733000000000001</v>
      </c>
      <c r="P323">
        <v>10.352399999999999</v>
      </c>
      <c r="Q323">
        <v>31.224</v>
      </c>
      <c r="R323">
        <v>1.0159</v>
      </c>
      <c r="S323">
        <v>14.5372</v>
      </c>
      <c r="T323">
        <v>24.926600000000001</v>
      </c>
      <c r="U323">
        <v>27.068999999999999</v>
      </c>
      <c r="V323">
        <v>28.5261</v>
      </c>
      <c r="W323">
        <v>21.1997</v>
      </c>
      <c r="X323">
        <v>21.196200000000001</v>
      </c>
      <c r="Y323">
        <v>0</v>
      </c>
      <c r="Z323" t="s">
        <v>134</v>
      </c>
      <c r="AA323" t="s">
        <v>134</v>
      </c>
      <c r="AB323">
        <v>9.3404000000000007</v>
      </c>
      <c r="AC323">
        <v>23.715</v>
      </c>
      <c r="AD323" t="s">
        <v>134</v>
      </c>
      <c r="AE323" t="s">
        <v>134</v>
      </c>
      <c r="AF323" t="s">
        <v>134</v>
      </c>
      <c r="AG323">
        <v>14.789899999999999</v>
      </c>
      <c r="AH323">
        <v>31.418800000000001</v>
      </c>
      <c r="AI323">
        <v>38.021500000000003</v>
      </c>
      <c r="AJ323">
        <v>33.596499999999999</v>
      </c>
      <c r="AK323">
        <v>31.156300000000002</v>
      </c>
      <c r="AL323">
        <v>-77.260300000000001</v>
      </c>
      <c r="AM323">
        <v>43.652099999999997</v>
      </c>
      <c r="AN323">
        <v>23.698799999999999</v>
      </c>
      <c r="AO323">
        <v>18.953199999999999</v>
      </c>
      <c r="AP323">
        <v>11.7415</v>
      </c>
      <c r="AQ323">
        <v>10.841200000000001</v>
      </c>
      <c r="AR323">
        <v>3.1310000000000002</v>
      </c>
      <c r="AS323">
        <v>28.461500000000001</v>
      </c>
      <c r="AT323" t="s">
        <v>134</v>
      </c>
      <c r="AU323">
        <v>4.7583000000000002</v>
      </c>
      <c r="AV323">
        <v>19.470500000000001</v>
      </c>
      <c r="AW323" t="s">
        <v>134</v>
      </c>
      <c r="AX323" t="s">
        <v>134</v>
      </c>
      <c r="AY323" t="s">
        <v>134</v>
      </c>
      <c r="AZ323">
        <v>22.784600000000001</v>
      </c>
      <c r="BA323">
        <v>35.692399999999999</v>
      </c>
      <c r="BB323">
        <v>24.270900000000001</v>
      </c>
      <c r="BC323">
        <v>31.093800000000002</v>
      </c>
      <c r="BD323">
        <v>21.572900000000001</v>
      </c>
      <c r="BE323" t="s">
        <v>134</v>
      </c>
      <c r="BF323">
        <v>24.926600000000001</v>
      </c>
      <c r="BG323">
        <v>27.068999999999999</v>
      </c>
      <c r="BH323">
        <v>28.5261</v>
      </c>
      <c r="BI323">
        <v>21.1997</v>
      </c>
      <c r="BJ323">
        <v>21.196200000000001</v>
      </c>
      <c r="BK323">
        <v>0</v>
      </c>
      <c r="BL323">
        <v>0.67769999999999997</v>
      </c>
      <c r="BM323" t="s">
        <v>134</v>
      </c>
      <c r="BN323">
        <v>9.3404000000000007</v>
      </c>
      <c r="BO323">
        <v>23.715</v>
      </c>
      <c r="BP323" t="s">
        <v>134</v>
      </c>
      <c r="BQ323" t="s">
        <v>134</v>
      </c>
      <c r="BR323" t="s">
        <v>134</v>
      </c>
      <c r="BS323">
        <v>14.789899999999999</v>
      </c>
      <c r="BT323">
        <v>31.418800000000001</v>
      </c>
      <c r="BU323">
        <v>38.021500000000003</v>
      </c>
      <c r="BV323">
        <v>33.596499999999999</v>
      </c>
      <c r="BW323">
        <v>31.156300000000002</v>
      </c>
      <c r="BX323" t="s">
        <v>134</v>
      </c>
      <c r="BY323">
        <v>623559.19999999995</v>
      </c>
      <c r="BZ323">
        <v>172871.1</v>
      </c>
      <c r="CA323">
        <v>450688.1</v>
      </c>
      <c r="CB323">
        <v>5.9756999999999998</v>
      </c>
      <c r="CC323">
        <v>5.8140000000000001</v>
      </c>
      <c r="CD323">
        <v>9.9582999999999995</v>
      </c>
      <c r="CE323">
        <v>9.6888000000000005</v>
      </c>
      <c r="CF323">
        <v>2.5640000000000001</v>
      </c>
      <c r="CG323">
        <v>13.3118</v>
      </c>
      <c r="CH323">
        <v>139.8366</v>
      </c>
      <c r="CI323">
        <v>47.648699999999998</v>
      </c>
      <c r="CJ323">
        <v>28.322700000000001</v>
      </c>
      <c r="CK323">
        <v>193.47389999999999</v>
      </c>
      <c r="CL323">
        <v>65.925399999999996</v>
      </c>
      <c r="CM323">
        <v>39.186500000000002</v>
      </c>
      <c r="CN323">
        <v>188.2372</v>
      </c>
      <c r="CO323">
        <v>65.306299999999993</v>
      </c>
      <c r="CP323">
        <v>104348.8</v>
      </c>
      <c r="CQ323">
        <v>104348.8</v>
      </c>
      <c r="CR323">
        <v>62616.9</v>
      </c>
      <c r="CS323" t="s">
        <v>134</v>
      </c>
      <c r="CT323" t="s">
        <v>134</v>
      </c>
      <c r="CU323" t="s">
        <v>134</v>
      </c>
      <c r="CV323" t="s">
        <v>134</v>
      </c>
      <c r="CW323" t="s">
        <v>134</v>
      </c>
      <c r="CX323" t="s">
        <v>134</v>
      </c>
      <c r="CY323" t="s">
        <v>134</v>
      </c>
      <c r="CZ323" t="s">
        <v>134</v>
      </c>
      <c r="DA323" t="s">
        <v>134</v>
      </c>
      <c r="DB323" t="s">
        <v>134</v>
      </c>
      <c r="DC323" t="s">
        <v>134</v>
      </c>
      <c r="DD323" t="s">
        <v>134</v>
      </c>
      <c r="DE323" t="s">
        <v>134</v>
      </c>
      <c r="DF323" t="s">
        <v>134</v>
      </c>
      <c r="DG323" t="s">
        <v>134</v>
      </c>
      <c r="DH323" t="s">
        <v>134</v>
      </c>
      <c r="DI323" t="s">
        <v>134</v>
      </c>
    </row>
    <row r="324" spans="1:113" x14ac:dyDescent="0.3">
      <c r="E324" t="s">
        <v>78</v>
      </c>
      <c r="F324" t="s">
        <v>134</v>
      </c>
      <c r="G324" t="s">
        <v>134</v>
      </c>
      <c r="H324" t="s">
        <v>134</v>
      </c>
      <c r="I324" t="s">
        <v>134</v>
      </c>
      <c r="J324">
        <v>38.598399999999998</v>
      </c>
      <c r="K324">
        <v>26.471599999999999</v>
      </c>
      <c r="L324">
        <v>27.9315</v>
      </c>
      <c r="M324">
        <v>22.227699999999999</v>
      </c>
      <c r="N324">
        <v>18.380199999999999</v>
      </c>
      <c r="O324">
        <v>9.9537999999999993</v>
      </c>
      <c r="P324">
        <v>11.8545</v>
      </c>
      <c r="Q324">
        <v>30.567299999999999</v>
      </c>
      <c r="R324" t="s">
        <v>134</v>
      </c>
      <c r="S324" t="s">
        <v>134</v>
      </c>
      <c r="T324">
        <v>25.745699999999999</v>
      </c>
      <c r="U324">
        <v>26.260400000000001</v>
      </c>
      <c r="V324">
        <v>27.973300000000002</v>
      </c>
      <c r="W324">
        <v>21.8749</v>
      </c>
      <c r="X324">
        <v>21.7881</v>
      </c>
      <c r="Y324" t="s">
        <v>134</v>
      </c>
      <c r="Z324" t="s">
        <v>134</v>
      </c>
      <c r="AA324" t="s">
        <v>134</v>
      </c>
      <c r="AB324" t="s">
        <v>134</v>
      </c>
      <c r="AC324" t="s">
        <v>134</v>
      </c>
      <c r="AD324" t="s">
        <v>134</v>
      </c>
      <c r="AE324" t="s">
        <v>134</v>
      </c>
      <c r="AF324" t="s">
        <v>134</v>
      </c>
      <c r="AG324" t="s">
        <v>134</v>
      </c>
      <c r="AH324" t="s">
        <v>134</v>
      </c>
      <c r="AI324" t="s">
        <v>134</v>
      </c>
      <c r="AJ324" t="s">
        <v>134</v>
      </c>
      <c r="AK324" t="s">
        <v>134</v>
      </c>
      <c r="AL324" t="s">
        <v>134</v>
      </c>
      <c r="AM324">
        <v>47.979399999999998</v>
      </c>
      <c r="AN324">
        <v>30.7437</v>
      </c>
      <c r="AO324">
        <v>29.723199999999999</v>
      </c>
      <c r="AP324">
        <v>27.394600000000001</v>
      </c>
      <c r="AQ324">
        <v>25.4407</v>
      </c>
      <c r="AR324" t="s">
        <v>134</v>
      </c>
      <c r="AS324" t="s">
        <v>134</v>
      </c>
      <c r="AT324" t="s">
        <v>134</v>
      </c>
      <c r="AU324" t="s">
        <v>134</v>
      </c>
      <c r="AV324" t="s">
        <v>134</v>
      </c>
      <c r="AW324" t="s">
        <v>134</v>
      </c>
      <c r="AX324" t="s">
        <v>134</v>
      </c>
      <c r="AY324" t="s">
        <v>134</v>
      </c>
      <c r="AZ324" t="s">
        <v>134</v>
      </c>
      <c r="BA324" t="s">
        <v>134</v>
      </c>
      <c r="BB324" t="s">
        <v>134</v>
      </c>
      <c r="BC324" t="s">
        <v>134</v>
      </c>
      <c r="BD324" t="s">
        <v>134</v>
      </c>
      <c r="BE324" t="s">
        <v>134</v>
      </c>
      <c r="BF324">
        <v>-6.5158000000000005</v>
      </c>
      <c r="BG324">
        <v>18.116399999999999</v>
      </c>
      <c r="BH324">
        <v>24.9893</v>
      </c>
      <c r="BI324">
        <v>22.4696</v>
      </c>
      <c r="BJ324">
        <v>22.513000000000002</v>
      </c>
      <c r="BK324" t="s">
        <v>134</v>
      </c>
      <c r="BL324" t="s">
        <v>134</v>
      </c>
      <c r="BM324" t="s">
        <v>134</v>
      </c>
      <c r="BN324" t="s">
        <v>134</v>
      </c>
      <c r="BO324" t="s">
        <v>134</v>
      </c>
      <c r="BP324" t="s">
        <v>134</v>
      </c>
      <c r="BQ324" t="s">
        <v>134</v>
      </c>
      <c r="BR324" t="s">
        <v>134</v>
      </c>
      <c r="BS324" t="s">
        <v>134</v>
      </c>
      <c r="BT324" t="s">
        <v>134</v>
      </c>
      <c r="BU324" t="s">
        <v>134</v>
      </c>
      <c r="BV324" t="s">
        <v>134</v>
      </c>
      <c r="BW324" t="s">
        <v>134</v>
      </c>
      <c r="BX324" t="s">
        <v>134</v>
      </c>
      <c r="BY324" t="s">
        <v>134</v>
      </c>
      <c r="BZ324" t="s">
        <v>134</v>
      </c>
      <c r="CA324" t="s">
        <v>134</v>
      </c>
      <c r="CB324" t="s">
        <v>134</v>
      </c>
      <c r="CC324" t="s">
        <v>134</v>
      </c>
      <c r="CD324" t="s">
        <v>134</v>
      </c>
      <c r="CE324" t="s">
        <v>134</v>
      </c>
      <c r="CF324">
        <v>2.4074</v>
      </c>
      <c r="CG324" t="s">
        <v>134</v>
      </c>
      <c r="CH324" t="s">
        <v>134</v>
      </c>
      <c r="CI324" t="s">
        <v>134</v>
      </c>
      <c r="CJ324" t="s">
        <v>134</v>
      </c>
      <c r="CK324" t="s">
        <v>134</v>
      </c>
      <c r="CL324" t="s">
        <v>134</v>
      </c>
      <c r="CM324" t="s">
        <v>134</v>
      </c>
      <c r="CN324" t="s">
        <v>134</v>
      </c>
      <c r="CO324" t="s">
        <v>134</v>
      </c>
      <c r="CP324">
        <v>25402.7</v>
      </c>
      <c r="CQ324" t="s">
        <v>134</v>
      </c>
      <c r="CR324">
        <v>14628.5</v>
      </c>
      <c r="CS324" t="s">
        <v>134</v>
      </c>
      <c r="CT324" t="s">
        <v>134</v>
      </c>
      <c r="CU324" t="s">
        <v>134</v>
      </c>
      <c r="CV324" t="s">
        <v>134</v>
      </c>
      <c r="CW324" t="s">
        <v>134</v>
      </c>
      <c r="CX324" t="s">
        <v>134</v>
      </c>
      <c r="CY324" t="s">
        <v>134</v>
      </c>
      <c r="CZ324" t="s">
        <v>134</v>
      </c>
      <c r="DA324" t="s">
        <v>134</v>
      </c>
      <c r="DB324" t="s">
        <v>134</v>
      </c>
      <c r="DC324" t="s">
        <v>134</v>
      </c>
      <c r="DD324" t="s">
        <v>134</v>
      </c>
      <c r="DE324" t="s">
        <v>134</v>
      </c>
      <c r="DF324" t="s">
        <v>134</v>
      </c>
      <c r="DG324" t="s">
        <v>134</v>
      </c>
      <c r="DH324" t="s">
        <v>134</v>
      </c>
      <c r="DI324" t="s">
        <v>134</v>
      </c>
    </row>
    <row r="325" spans="1:113" x14ac:dyDescent="0.3">
      <c r="E325" t="s">
        <v>79</v>
      </c>
      <c r="F325">
        <v>13.842700000000001</v>
      </c>
      <c r="G325">
        <v>1.8349</v>
      </c>
      <c r="H325">
        <v>5.0580999999999996</v>
      </c>
      <c r="I325">
        <v>6.47</v>
      </c>
      <c r="J325">
        <v>34.453200000000002</v>
      </c>
      <c r="K325">
        <v>22.771999999999998</v>
      </c>
      <c r="L325">
        <v>16.044699999999999</v>
      </c>
      <c r="M325">
        <v>19.427399999999999</v>
      </c>
      <c r="N325">
        <v>15.613099999999999</v>
      </c>
      <c r="O325">
        <v>8.6271000000000004</v>
      </c>
      <c r="P325">
        <v>10.114699999999999</v>
      </c>
      <c r="Q325">
        <v>31.453299999999999</v>
      </c>
      <c r="R325" t="s">
        <v>134</v>
      </c>
      <c r="S325" t="s">
        <v>134</v>
      </c>
      <c r="T325">
        <v>27.723300000000002</v>
      </c>
      <c r="U325">
        <v>18.785299999999999</v>
      </c>
      <c r="V325">
        <v>19.1586</v>
      </c>
      <c r="W325">
        <v>13.2957</v>
      </c>
      <c r="X325">
        <v>13.2597</v>
      </c>
      <c r="Y325" t="s">
        <v>134</v>
      </c>
      <c r="Z325" t="s">
        <v>134</v>
      </c>
      <c r="AA325" t="s">
        <v>134</v>
      </c>
      <c r="AB325">
        <v>7.5606999999999998</v>
      </c>
      <c r="AC325">
        <v>24.061199999999999</v>
      </c>
      <c r="AD325" t="s">
        <v>134</v>
      </c>
      <c r="AE325" t="s">
        <v>134</v>
      </c>
      <c r="AF325" t="s">
        <v>134</v>
      </c>
      <c r="AG325">
        <v>4.6429999999999998</v>
      </c>
      <c r="AH325">
        <v>24.2013</v>
      </c>
      <c r="AI325">
        <v>40.823700000000002</v>
      </c>
      <c r="AJ325">
        <v>29.780100000000001</v>
      </c>
      <c r="AK325">
        <v>33.656300000000002</v>
      </c>
      <c r="AL325" t="s">
        <v>134</v>
      </c>
      <c r="AM325">
        <v>49.637</v>
      </c>
      <c r="AN325">
        <v>29.106300000000001</v>
      </c>
      <c r="AO325">
        <v>27.888300000000001</v>
      </c>
      <c r="AP325">
        <v>24.641200000000001</v>
      </c>
      <c r="AQ325">
        <v>22.275200000000002</v>
      </c>
      <c r="AR325" t="s">
        <v>134</v>
      </c>
      <c r="AS325">
        <v>52.166499999999999</v>
      </c>
      <c r="AT325" t="s">
        <v>134</v>
      </c>
      <c r="AU325">
        <v>4.7510000000000003</v>
      </c>
      <c r="AV325">
        <v>17.727699999999999</v>
      </c>
      <c r="AW325" t="s">
        <v>134</v>
      </c>
      <c r="AX325" t="s">
        <v>134</v>
      </c>
      <c r="AY325" t="s">
        <v>134</v>
      </c>
      <c r="AZ325">
        <v>38.757899999999999</v>
      </c>
      <c r="BA325">
        <v>41.088200000000001</v>
      </c>
      <c r="BB325">
        <v>29.092099999999999</v>
      </c>
      <c r="BC325">
        <v>35.951999999999998</v>
      </c>
      <c r="BD325">
        <v>23.778199999999998</v>
      </c>
      <c r="BE325" t="s">
        <v>134</v>
      </c>
      <c r="BF325">
        <v>0.33839999999999998</v>
      </c>
      <c r="BG325">
        <v>11.2121</v>
      </c>
      <c r="BH325">
        <v>16.650400000000001</v>
      </c>
      <c r="BI325">
        <v>11.5939</v>
      </c>
      <c r="BJ325">
        <v>11.7166</v>
      </c>
      <c r="BK325" t="s">
        <v>134</v>
      </c>
      <c r="BL325" t="s">
        <v>134</v>
      </c>
      <c r="BM325" t="s">
        <v>134</v>
      </c>
      <c r="BN325" t="s">
        <v>134</v>
      </c>
      <c r="BO325" t="s">
        <v>134</v>
      </c>
      <c r="BP325" t="s">
        <v>134</v>
      </c>
      <c r="BQ325" t="s">
        <v>134</v>
      </c>
      <c r="BR325" t="s">
        <v>134</v>
      </c>
      <c r="BS325" t="s">
        <v>134</v>
      </c>
      <c r="BT325" t="s">
        <v>134</v>
      </c>
      <c r="BU325" t="s">
        <v>134</v>
      </c>
      <c r="BV325" t="s">
        <v>134</v>
      </c>
      <c r="BW325" t="s">
        <v>134</v>
      </c>
      <c r="BX325" t="s">
        <v>134</v>
      </c>
      <c r="BY325">
        <v>520588.1</v>
      </c>
      <c r="BZ325">
        <v>140128.1</v>
      </c>
      <c r="CA325">
        <v>380460</v>
      </c>
      <c r="CB325">
        <v>5.5057999999999998</v>
      </c>
      <c r="CC325">
        <v>5.3924000000000003</v>
      </c>
      <c r="CD325">
        <v>9.8672000000000004</v>
      </c>
      <c r="CE325">
        <v>9.6639999999999997</v>
      </c>
      <c r="CF325">
        <v>2.3426</v>
      </c>
      <c r="CG325">
        <v>13.6942</v>
      </c>
      <c r="CH325">
        <v>127.5932</v>
      </c>
      <c r="CI325">
        <v>46.467300000000002</v>
      </c>
      <c r="CJ325">
        <v>26.427099999999999</v>
      </c>
      <c r="CK325">
        <v>174.5874</v>
      </c>
      <c r="CL325">
        <v>63.581699999999998</v>
      </c>
      <c r="CM325">
        <v>36.160499999999999</v>
      </c>
      <c r="CN325">
        <v>170.9931</v>
      </c>
      <c r="CO325">
        <v>63.098700000000001</v>
      </c>
      <c r="CP325">
        <v>26050.2</v>
      </c>
      <c r="CQ325" t="s">
        <v>134</v>
      </c>
      <c r="CR325">
        <v>14685.7</v>
      </c>
      <c r="CS325" t="s">
        <v>134</v>
      </c>
      <c r="CT325" t="s">
        <v>134</v>
      </c>
      <c r="CU325" t="s">
        <v>134</v>
      </c>
      <c r="CV325" t="s">
        <v>134</v>
      </c>
      <c r="CW325" t="s">
        <v>134</v>
      </c>
      <c r="CX325" t="s">
        <v>134</v>
      </c>
      <c r="CY325" t="s">
        <v>134</v>
      </c>
      <c r="CZ325" t="s">
        <v>134</v>
      </c>
      <c r="DA325" t="s">
        <v>134</v>
      </c>
      <c r="DB325" t="s">
        <v>134</v>
      </c>
      <c r="DC325" t="s">
        <v>134</v>
      </c>
      <c r="DD325" t="s">
        <v>134</v>
      </c>
      <c r="DE325" t="s">
        <v>134</v>
      </c>
      <c r="DF325" t="s">
        <v>134</v>
      </c>
      <c r="DG325" t="s">
        <v>134</v>
      </c>
      <c r="DH325" t="s">
        <v>134</v>
      </c>
      <c r="DI325" t="s">
        <v>134</v>
      </c>
    </row>
    <row r="326" spans="1:113" x14ac:dyDescent="0.3">
      <c r="E326" t="s">
        <v>80</v>
      </c>
      <c r="F326" t="s">
        <v>134</v>
      </c>
      <c r="G326" t="s">
        <v>134</v>
      </c>
      <c r="H326" t="s">
        <v>134</v>
      </c>
      <c r="I326" t="s">
        <v>134</v>
      </c>
      <c r="J326">
        <v>38.593899999999998</v>
      </c>
      <c r="K326">
        <v>27.139700000000001</v>
      </c>
      <c r="L326">
        <v>33.755200000000002</v>
      </c>
      <c r="M326">
        <v>23.006399999999999</v>
      </c>
      <c r="N326">
        <v>18.521599999999999</v>
      </c>
      <c r="O326">
        <v>9.7658000000000005</v>
      </c>
      <c r="P326">
        <v>11.521100000000001</v>
      </c>
      <c r="Q326">
        <v>31.759</v>
      </c>
      <c r="R326" t="s">
        <v>134</v>
      </c>
      <c r="S326" t="s">
        <v>134</v>
      </c>
      <c r="T326">
        <v>21.344799999999999</v>
      </c>
      <c r="U326">
        <v>25.500800000000002</v>
      </c>
      <c r="V326">
        <v>27.963899999999999</v>
      </c>
      <c r="W326">
        <v>21.9679</v>
      </c>
      <c r="X326">
        <v>21.864899999999999</v>
      </c>
      <c r="Y326" t="s">
        <v>134</v>
      </c>
      <c r="Z326" t="s">
        <v>134</v>
      </c>
      <c r="AA326" t="s">
        <v>134</v>
      </c>
      <c r="AB326" t="s">
        <v>134</v>
      </c>
      <c r="AC326" t="s">
        <v>134</v>
      </c>
      <c r="AD326" t="s">
        <v>134</v>
      </c>
      <c r="AE326" t="s">
        <v>134</v>
      </c>
      <c r="AF326" t="s">
        <v>134</v>
      </c>
      <c r="AG326" t="s">
        <v>134</v>
      </c>
      <c r="AH326" t="s">
        <v>134</v>
      </c>
      <c r="AI326" t="s">
        <v>134</v>
      </c>
      <c r="AJ326" t="s">
        <v>134</v>
      </c>
      <c r="AK326" t="s">
        <v>134</v>
      </c>
      <c r="AL326" t="s">
        <v>134</v>
      </c>
      <c r="AM326">
        <v>46.918500000000002</v>
      </c>
      <c r="AN326">
        <v>29.133500000000002</v>
      </c>
      <c r="AO326">
        <v>28.7256</v>
      </c>
      <c r="AP326">
        <v>24.655100000000001</v>
      </c>
      <c r="AQ326">
        <v>24.679400000000001</v>
      </c>
      <c r="AR326" t="s">
        <v>134</v>
      </c>
      <c r="AS326" t="s">
        <v>134</v>
      </c>
      <c r="AT326" t="s">
        <v>134</v>
      </c>
      <c r="AU326" t="s">
        <v>134</v>
      </c>
      <c r="AV326" t="s">
        <v>134</v>
      </c>
      <c r="AW326" t="s">
        <v>134</v>
      </c>
      <c r="AX326" t="s">
        <v>134</v>
      </c>
      <c r="AY326" t="s">
        <v>134</v>
      </c>
      <c r="AZ326" t="s">
        <v>134</v>
      </c>
      <c r="BA326" t="s">
        <v>134</v>
      </c>
      <c r="BB326" t="s">
        <v>134</v>
      </c>
      <c r="BC326" t="s">
        <v>134</v>
      </c>
      <c r="BD326" t="s">
        <v>134</v>
      </c>
      <c r="BE326" t="s">
        <v>134</v>
      </c>
      <c r="BF326">
        <v>31.738900000000001</v>
      </c>
      <c r="BG326">
        <v>8.3933999999999997</v>
      </c>
      <c r="BH326">
        <v>11.3474</v>
      </c>
      <c r="BI326">
        <v>7.2171000000000003</v>
      </c>
      <c r="BJ326">
        <v>7.0614999999999997</v>
      </c>
      <c r="BK326" t="s">
        <v>134</v>
      </c>
      <c r="BL326" t="s">
        <v>134</v>
      </c>
      <c r="BM326" t="s">
        <v>134</v>
      </c>
      <c r="BN326" t="s">
        <v>134</v>
      </c>
      <c r="BO326" t="s">
        <v>134</v>
      </c>
      <c r="BP326" t="s">
        <v>134</v>
      </c>
      <c r="BQ326" t="s">
        <v>134</v>
      </c>
      <c r="BR326" t="s">
        <v>134</v>
      </c>
      <c r="BS326" t="s">
        <v>134</v>
      </c>
      <c r="BT326" t="s">
        <v>134</v>
      </c>
      <c r="BU326" t="s">
        <v>134</v>
      </c>
      <c r="BV326" t="s">
        <v>134</v>
      </c>
      <c r="BW326" t="s">
        <v>134</v>
      </c>
      <c r="BX326" t="s">
        <v>134</v>
      </c>
      <c r="BY326" t="s">
        <v>134</v>
      </c>
      <c r="BZ326" t="s">
        <v>134</v>
      </c>
      <c r="CA326" t="s">
        <v>134</v>
      </c>
      <c r="CB326" t="s">
        <v>134</v>
      </c>
      <c r="CC326" t="s">
        <v>134</v>
      </c>
      <c r="CD326" t="s">
        <v>134</v>
      </c>
      <c r="CE326" t="s">
        <v>134</v>
      </c>
      <c r="CF326">
        <v>2.5331999999999999</v>
      </c>
      <c r="CG326" t="s">
        <v>134</v>
      </c>
      <c r="CH326" t="s">
        <v>134</v>
      </c>
      <c r="CI326" t="s">
        <v>134</v>
      </c>
      <c r="CJ326" t="s">
        <v>134</v>
      </c>
      <c r="CK326" t="s">
        <v>134</v>
      </c>
      <c r="CL326" t="s">
        <v>134</v>
      </c>
      <c r="CM326" t="s">
        <v>134</v>
      </c>
      <c r="CN326" t="s">
        <v>134</v>
      </c>
      <c r="CO326" t="s">
        <v>134</v>
      </c>
      <c r="CP326">
        <v>29583.8</v>
      </c>
      <c r="CQ326" t="s">
        <v>134</v>
      </c>
      <c r="CR326">
        <v>17634.2</v>
      </c>
      <c r="CS326" t="s">
        <v>134</v>
      </c>
      <c r="CT326" t="s">
        <v>134</v>
      </c>
      <c r="CU326" t="s">
        <v>134</v>
      </c>
      <c r="CV326" t="s">
        <v>134</v>
      </c>
      <c r="CW326" t="s">
        <v>134</v>
      </c>
      <c r="CX326" t="s">
        <v>134</v>
      </c>
      <c r="CY326" t="s">
        <v>134</v>
      </c>
      <c r="CZ326" t="s">
        <v>134</v>
      </c>
      <c r="DA326" t="s">
        <v>134</v>
      </c>
      <c r="DB326" t="s">
        <v>134</v>
      </c>
      <c r="DC326" t="s">
        <v>134</v>
      </c>
      <c r="DD326" t="s">
        <v>134</v>
      </c>
      <c r="DE326" t="s">
        <v>134</v>
      </c>
      <c r="DF326" t="s">
        <v>134</v>
      </c>
      <c r="DG326" t="s">
        <v>134</v>
      </c>
      <c r="DH326" t="s">
        <v>134</v>
      </c>
      <c r="DI326" t="s">
        <v>134</v>
      </c>
    </row>
    <row r="327" spans="1:113" x14ac:dyDescent="0.3">
      <c r="E327" t="s">
        <v>81</v>
      </c>
      <c r="F327">
        <v>14.5543</v>
      </c>
      <c r="G327">
        <v>1.8883000000000001</v>
      </c>
      <c r="H327">
        <v>5.1814999999999998</v>
      </c>
      <c r="I327">
        <v>6.4984999999999999</v>
      </c>
      <c r="J327">
        <v>32.401499999999999</v>
      </c>
      <c r="K327">
        <v>21.211200000000002</v>
      </c>
      <c r="L327">
        <v>28.988099999999999</v>
      </c>
      <c r="M327">
        <v>18.2898</v>
      </c>
      <c r="N327">
        <v>14.630800000000001</v>
      </c>
      <c r="O327">
        <v>7.7634999999999996</v>
      </c>
      <c r="P327">
        <v>9.0038999999999998</v>
      </c>
      <c r="Q327">
        <v>31.026199999999999</v>
      </c>
      <c r="R327" t="s">
        <v>134</v>
      </c>
      <c r="S327" t="s">
        <v>134</v>
      </c>
      <c r="T327">
        <v>25.415900000000001</v>
      </c>
      <c r="U327">
        <v>33.0212</v>
      </c>
      <c r="V327">
        <v>37.971400000000003</v>
      </c>
      <c r="W327">
        <v>28.147300000000001</v>
      </c>
      <c r="X327">
        <v>28.273800000000001</v>
      </c>
      <c r="Y327" t="s">
        <v>134</v>
      </c>
      <c r="Z327" t="s">
        <v>134</v>
      </c>
      <c r="AA327" t="s">
        <v>134</v>
      </c>
      <c r="AB327">
        <v>9.3404000000000007</v>
      </c>
      <c r="AC327">
        <v>23.715</v>
      </c>
      <c r="AD327" t="s">
        <v>134</v>
      </c>
      <c r="AE327" t="s">
        <v>134</v>
      </c>
      <c r="AF327" t="s">
        <v>134</v>
      </c>
      <c r="AG327">
        <v>14.789899999999999</v>
      </c>
      <c r="AH327">
        <v>31.418800000000001</v>
      </c>
      <c r="AI327">
        <v>38.021500000000003</v>
      </c>
      <c r="AJ327">
        <v>33.596499999999999</v>
      </c>
      <c r="AK327">
        <v>31.156300000000002</v>
      </c>
      <c r="AL327" t="s">
        <v>134</v>
      </c>
      <c r="AM327">
        <v>34.367800000000003</v>
      </c>
      <c r="AN327">
        <v>10.7614</v>
      </c>
      <c r="AO327">
        <v>3.2002999999999999</v>
      </c>
      <c r="AP327">
        <v>-5.5687999999999995</v>
      </c>
      <c r="AQ327">
        <v>-5.5693000000000001</v>
      </c>
      <c r="AR327" t="s">
        <v>134</v>
      </c>
      <c r="AS327">
        <v>28.461500000000001</v>
      </c>
      <c r="AT327" t="s">
        <v>134</v>
      </c>
      <c r="AU327">
        <v>4.7583000000000002</v>
      </c>
      <c r="AV327">
        <v>19.470500000000001</v>
      </c>
      <c r="AW327" t="s">
        <v>134</v>
      </c>
      <c r="AX327" t="s">
        <v>134</v>
      </c>
      <c r="AY327" t="s">
        <v>134</v>
      </c>
      <c r="AZ327">
        <v>22.784600000000001</v>
      </c>
      <c r="BA327">
        <v>35.692399999999999</v>
      </c>
      <c r="BB327">
        <v>24.270900000000001</v>
      </c>
      <c r="BC327">
        <v>31.093800000000002</v>
      </c>
      <c r="BD327">
        <v>21.572900000000001</v>
      </c>
      <c r="BE327" t="s">
        <v>134</v>
      </c>
      <c r="BF327">
        <v>15.1836</v>
      </c>
      <c r="BG327">
        <v>-3.2978000000000001</v>
      </c>
      <c r="BH327">
        <v>-8.4284999999999997</v>
      </c>
      <c r="BI327">
        <v>-8.4331999999999994</v>
      </c>
      <c r="BJ327">
        <v>-8.2979000000000003</v>
      </c>
      <c r="BK327" t="s">
        <v>134</v>
      </c>
      <c r="BL327" t="s">
        <v>134</v>
      </c>
      <c r="BM327" t="s">
        <v>134</v>
      </c>
      <c r="BN327" t="s">
        <v>134</v>
      </c>
      <c r="BO327" t="s">
        <v>134</v>
      </c>
      <c r="BP327" t="s">
        <v>134</v>
      </c>
      <c r="BQ327" t="s">
        <v>134</v>
      </c>
      <c r="BR327" t="s">
        <v>134</v>
      </c>
      <c r="BS327" t="s">
        <v>134</v>
      </c>
      <c r="BT327" t="s">
        <v>134</v>
      </c>
      <c r="BU327" t="s">
        <v>134</v>
      </c>
      <c r="BV327" t="s">
        <v>134</v>
      </c>
      <c r="BW327" t="s">
        <v>134</v>
      </c>
      <c r="BX327" t="s">
        <v>134</v>
      </c>
      <c r="BY327">
        <v>623559.19999999995</v>
      </c>
      <c r="BZ327">
        <v>172871.1</v>
      </c>
      <c r="CA327">
        <v>450688.1</v>
      </c>
      <c r="CB327">
        <v>5.7255000000000003</v>
      </c>
      <c r="CC327">
        <v>5.5705</v>
      </c>
      <c r="CD327">
        <v>10.0237</v>
      </c>
      <c r="CE327">
        <v>9.7523999999999997</v>
      </c>
      <c r="CF327">
        <v>2.3519000000000001</v>
      </c>
      <c r="CG327">
        <v>13.3118</v>
      </c>
      <c r="CH327">
        <v>139.8366</v>
      </c>
      <c r="CI327">
        <v>47.648699999999998</v>
      </c>
      <c r="CJ327">
        <v>28.322700000000001</v>
      </c>
      <c r="CK327">
        <v>193.47389999999999</v>
      </c>
      <c r="CL327">
        <v>65.925399999999996</v>
      </c>
      <c r="CM327">
        <v>39.186500000000002</v>
      </c>
      <c r="CN327">
        <v>188.2372</v>
      </c>
      <c r="CO327">
        <v>65.306299999999993</v>
      </c>
      <c r="CP327">
        <v>28608.2</v>
      </c>
      <c r="CQ327" t="s">
        <v>134</v>
      </c>
      <c r="CR327">
        <v>16147.9</v>
      </c>
      <c r="CS327" t="s">
        <v>134</v>
      </c>
      <c r="CT327" t="s">
        <v>134</v>
      </c>
      <c r="CU327" t="s">
        <v>134</v>
      </c>
      <c r="CV327" t="s">
        <v>134</v>
      </c>
      <c r="CW327" t="s">
        <v>134</v>
      </c>
      <c r="CX327" t="s">
        <v>134</v>
      </c>
      <c r="CY327" t="s">
        <v>134</v>
      </c>
      <c r="CZ327" t="s">
        <v>134</v>
      </c>
      <c r="DA327" t="s">
        <v>134</v>
      </c>
      <c r="DB327" t="s">
        <v>134</v>
      </c>
      <c r="DC327" t="s">
        <v>134</v>
      </c>
      <c r="DD327" t="s">
        <v>134</v>
      </c>
      <c r="DE327" t="s">
        <v>134</v>
      </c>
      <c r="DF327" t="s">
        <v>134</v>
      </c>
      <c r="DG327" t="s">
        <v>134</v>
      </c>
      <c r="DH327" t="s">
        <v>134</v>
      </c>
      <c r="DI327" t="s">
        <v>134</v>
      </c>
    </row>
    <row r="328" spans="1:113" x14ac:dyDescent="0.3">
      <c r="A328">
        <v>14</v>
      </c>
      <c r="B328" t="s">
        <v>110</v>
      </c>
      <c r="C328" t="s">
        <v>111</v>
      </c>
      <c r="D328" t="s">
        <v>76</v>
      </c>
      <c r="E328" t="s">
        <v>77</v>
      </c>
      <c r="F328" t="s">
        <v>134</v>
      </c>
      <c r="G328" t="s">
        <v>134</v>
      </c>
      <c r="H328" t="s">
        <v>134</v>
      </c>
      <c r="I328" t="s">
        <v>134</v>
      </c>
      <c r="J328" t="s">
        <v>134</v>
      </c>
      <c r="K328" t="s">
        <v>134</v>
      </c>
      <c r="L328" t="s">
        <v>134</v>
      </c>
      <c r="M328" t="s">
        <v>134</v>
      </c>
      <c r="N328" t="s">
        <v>134</v>
      </c>
      <c r="O328" t="s">
        <v>134</v>
      </c>
      <c r="P328" t="s">
        <v>134</v>
      </c>
      <c r="Q328" t="s">
        <v>134</v>
      </c>
      <c r="R328" t="s">
        <v>134</v>
      </c>
      <c r="S328" t="s">
        <v>134</v>
      </c>
      <c r="T328" t="s">
        <v>134</v>
      </c>
      <c r="U328" t="s">
        <v>134</v>
      </c>
      <c r="V328" t="s">
        <v>134</v>
      </c>
      <c r="W328" t="s">
        <v>134</v>
      </c>
      <c r="X328" t="s">
        <v>134</v>
      </c>
      <c r="Y328" t="s">
        <v>134</v>
      </c>
      <c r="Z328" t="s">
        <v>134</v>
      </c>
      <c r="AA328" t="s">
        <v>134</v>
      </c>
      <c r="AB328" t="s">
        <v>134</v>
      </c>
      <c r="AC328" t="s">
        <v>134</v>
      </c>
      <c r="AD328" t="s">
        <v>134</v>
      </c>
      <c r="AE328" t="s">
        <v>134</v>
      </c>
      <c r="AF328" t="s">
        <v>134</v>
      </c>
      <c r="AG328" t="s">
        <v>134</v>
      </c>
      <c r="AH328" t="s">
        <v>134</v>
      </c>
      <c r="AI328" t="s">
        <v>134</v>
      </c>
      <c r="AJ328" t="s">
        <v>134</v>
      </c>
      <c r="AK328" t="s">
        <v>134</v>
      </c>
      <c r="AL328" t="s">
        <v>134</v>
      </c>
      <c r="AM328" t="s">
        <v>134</v>
      </c>
      <c r="AN328" t="s">
        <v>134</v>
      </c>
      <c r="AO328" t="s">
        <v>134</v>
      </c>
      <c r="AP328" t="s">
        <v>134</v>
      </c>
      <c r="AQ328" t="s">
        <v>134</v>
      </c>
      <c r="AR328" t="s">
        <v>134</v>
      </c>
      <c r="AS328" t="s">
        <v>134</v>
      </c>
      <c r="AT328" t="s">
        <v>134</v>
      </c>
      <c r="AU328" t="s">
        <v>134</v>
      </c>
      <c r="AV328" t="s">
        <v>134</v>
      </c>
      <c r="AW328" t="s">
        <v>134</v>
      </c>
      <c r="AX328" t="s">
        <v>134</v>
      </c>
      <c r="AY328" t="s">
        <v>134</v>
      </c>
      <c r="AZ328" t="s">
        <v>134</v>
      </c>
      <c r="BA328" t="s">
        <v>134</v>
      </c>
      <c r="BB328" t="s">
        <v>134</v>
      </c>
      <c r="BC328" t="s">
        <v>134</v>
      </c>
      <c r="BD328" t="s">
        <v>134</v>
      </c>
      <c r="BE328" t="s">
        <v>134</v>
      </c>
      <c r="BF328" t="s">
        <v>134</v>
      </c>
      <c r="BG328" t="s">
        <v>134</v>
      </c>
      <c r="BH328" t="s">
        <v>134</v>
      </c>
      <c r="BI328" t="s">
        <v>134</v>
      </c>
      <c r="BJ328" t="s">
        <v>134</v>
      </c>
      <c r="BK328" t="s">
        <v>134</v>
      </c>
      <c r="BL328" t="s">
        <v>134</v>
      </c>
      <c r="BM328" t="s">
        <v>134</v>
      </c>
      <c r="BN328" t="s">
        <v>134</v>
      </c>
      <c r="BO328" t="s">
        <v>134</v>
      </c>
      <c r="BP328" t="s">
        <v>134</v>
      </c>
      <c r="BQ328" t="s">
        <v>134</v>
      </c>
      <c r="BR328" t="s">
        <v>134</v>
      </c>
      <c r="BS328" t="s">
        <v>134</v>
      </c>
      <c r="BT328" t="s">
        <v>134</v>
      </c>
      <c r="BU328" t="s">
        <v>134</v>
      </c>
      <c r="BV328" t="s">
        <v>134</v>
      </c>
      <c r="BW328" t="s">
        <v>134</v>
      </c>
      <c r="BX328" t="s">
        <v>134</v>
      </c>
      <c r="BY328" t="s">
        <v>134</v>
      </c>
      <c r="BZ328" t="s">
        <v>134</v>
      </c>
      <c r="CA328" t="s">
        <v>134</v>
      </c>
      <c r="CB328" t="s">
        <v>134</v>
      </c>
      <c r="CC328" t="s">
        <v>134</v>
      </c>
      <c r="CD328" t="s">
        <v>134</v>
      </c>
      <c r="CE328" t="s">
        <v>134</v>
      </c>
      <c r="CF328" t="s">
        <v>134</v>
      </c>
      <c r="CG328" t="s">
        <v>134</v>
      </c>
      <c r="CH328" t="s">
        <v>134</v>
      </c>
      <c r="CI328" t="s">
        <v>134</v>
      </c>
      <c r="CJ328" t="s">
        <v>134</v>
      </c>
      <c r="CK328" t="s">
        <v>134</v>
      </c>
      <c r="CL328" t="s">
        <v>134</v>
      </c>
      <c r="CM328" t="s">
        <v>134</v>
      </c>
      <c r="CN328" t="s">
        <v>134</v>
      </c>
      <c r="CO328" t="s">
        <v>134</v>
      </c>
      <c r="CP328" t="s">
        <v>134</v>
      </c>
      <c r="CQ328" t="s">
        <v>134</v>
      </c>
      <c r="CR328" t="s">
        <v>134</v>
      </c>
      <c r="CS328" t="s">
        <v>134</v>
      </c>
      <c r="CT328" t="s">
        <v>134</v>
      </c>
      <c r="CU328" t="s">
        <v>134</v>
      </c>
      <c r="CV328" t="s">
        <v>134</v>
      </c>
      <c r="CW328" t="s">
        <v>134</v>
      </c>
      <c r="CX328" t="s">
        <v>134</v>
      </c>
      <c r="CY328" t="s">
        <v>134</v>
      </c>
      <c r="CZ328" t="s">
        <v>134</v>
      </c>
      <c r="DA328" t="s">
        <v>134</v>
      </c>
      <c r="DB328" t="s">
        <v>134</v>
      </c>
      <c r="DC328" t="s">
        <v>134</v>
      </c>
      <c r="DD328" t="s">
        <v>134</v>
      </c>
      <c r="DE328" t="s">
        <v>134</v>
      </c>
      <c r="DF328" t="s">
        <v>134</v>
      </c>
      <c r="DG328" t="s">
        <v>134</v>
      </c>
      <c r="DH328" t="s">
        <v>134</v>
      </c>
      <c r="DI328" t="s">
        <v>134</v>
      </c>
    </row>
    <row r="329" spans="1:113" x14ac:dyDescent="0.3">
      <c r="E329" t="s">
        <v>78</v>
      </c>
      <c r="F329" t="s">
        <v>134</v>
      </c>
      <c r="G329" t="s">
        <v>134</v>
      </c>
      <c r="H329" t="s">
        <v>134</v>
      </c>
      <c r="I329" t="s">
        <v>134</v>
      </c>
      <c r="J329" t="s">
        <v>134</v>
      </c>
      <c r="K329" t="s">
        <v>134</v>
      </c>
      <c r="L329" t="s">
        <v>134</v>
      </c>
      <c r="M329" t="s">
        <v>134</v>
      </c>
      <c r="N329" t="s">
        <v>134</v>
      </c>
      <c r="O329" t="s">
        <v>134</v>
      </c>
      <c r="P329" t="s">
        <v>134</v>
      </c>
      <c r="Q329" t="s">
        <v>134</v>
      </c>
      <c r="R329" t="s">
        <v>134</v>
      </c>
      <c r="S329" t="s">
        <v>134</v>
      </c>
      <c r="T329" t="s">
        <v>134</v>
      </c>
      <c r="U329" t="s">
        <v>134</v>
      </c>
      <c r="V329" t="s">
        <v>134</v>
      </c>
      <c r="W329" t="s">
        <v>134</v>
      </c>
      <c r="X329" t="s">
        <v>134</v>
      </c>
      <c r="Y329" t="s">
        <v>134</v>
      </c>
      <c r="Z329" t="s">
        <v>134</v>
      </c>
      <c r="AA329" t="s">
        <v>134</v>
      </c>
      <c r="AB329" t="s">
        <v>134</v>
      </c>
      <c r="AC329" t="s">
        <v>134</v>
      </c>
      <c r="AD329" t="s">
        <v>134</v>
      </c>
      <c r="AE329" t="s">
        <v>134</v>
      </c>
      <c r="AF329" t="s">
        <v>134</v>
      </c>
      <c r="AG329" t="s">
        <v>134</v>
      </c>
      <c r="AH329" t="s">
        <v>134</v>
      </c>
      <c r="AI329" t="s">
        <v>134</v>
      </c>
      <c r="AJ329" t="s">
        <v>134</v>
      </c>
      <c r="AK329" t="s">
        <v>134</v>
      </c>
      <c r="AL329" t="s">
        <v>134</v>
      </c>
      <c r="AM329" t="s">
        <v>134</v>
      </c>
      <c r="AN329" t="s">
        <v>134</v>
      </c>
      <c r="AO329" t="s">
        <v>134</v>
      </c>
      <c r="AP329" t="s">
        <v>134</v>
      </c>
      <c r="AQ329" t="s">
        <v>134</v>
      </c>
      <c r="AR329" t="s">
        <v>134</v>
      </c>
      <c r="AS329" t="s">
        <v>134</v>
      </c>
      <c r="AT329" t="s">
        <v>134</v>
      </c>
      <c r="AU329" t="s">
        <v>134</v>
      </c>
      <c r="AV329" t="s">
        <v>134</v>
      </c>
      <c r="AW329" t="s">
        <v>134</v>
      </c>
      <c r="AX329" t="s">
        <v>134</v>
      </c>
      <c r="AY329" t="s">
        <v>134</v>
      </c>
      <c r="AZ329" t="s">
        <v>134</v>
      </c>
      <c r="BA329" t="s">
        <v>134</v>
      </c>
      <c r="BB329" t="s">
        <v>134</v>
      </c>
      <c r="BC329" t="s">
        <v>134</v>
      </c>
      <c r="BD329" t="s">
        <v>134</v>
      </c>
      <c r="BE329" t="s">
        <v>134</v>
      </c>
      <c r="BF329" t="s">
        <v>134</v>
      </c>
      <c r="BG329" t="s">
        <v>134</v>
      </c>
      <c r="BH329" t="s">
        <v>134</v>
      </c>
      <c r="BI329" t="s">
        <v>134</v>
      </c>
      <c r="BJ329" t="s">
        <v>134</v>
      </c>
      <c r="BK329" t="s">
        <v>134</v>
      </c>
      <c r="BL329" t="s">
        <v>134</v>
      </c>
      <c r="BM329" t="s">
        <v>134</v>
      </c>
      <c r="BN329" t="s">
        <v>134</v>
      </c>
      <c r="BO329" t="s">
        <v>134</v>
      </c>
      <c r="BP329" t="s">
        <v>134</v>
      </c>
      <c r="BQ329" t="s">
        <v>134</v>
      </c>
      <c r="BR329" t="s">
        <v>134</v>
      </c>
      <c r="BS329" t="s">
        <v>134</v>
      </c>
      <c r="BT329" t="s">
        <v>134</v>
      </c>
      <c r="BU329" t="s">
        <v>134</v>
      </c>
      <c r="BV329" t="s">
        <v>134</v>
      </c>
      <c r="BW329" t="s">
        <v>134</v>
      </c>
      <c r="BX329" t="s">
        <v>134</v>
      </c>
      <c r="BY329" t="s">
        <v>134</v>
      </c>
      <c r="BZ329" t="s">
        <v>134</v>
      </c>
      <c r="CA329" t="s">
        <v>134</v>
      </c>
      <c r="CB329" t="s">
        <v>134</v>
      </c>
      <c r="CC329" t="s">
        <v>134</v>
      </c>
      <c r="CD329" t="s">
        <v>134</v>
      </c>
      <c r="CE329" t="s">
        <v>134</v>
      </c>
      <c r="CF329" t="s">
        <v>134</v>
      </c>
      <c r="CG329" t="s">
        <v>134</v>
      </c>
      <c r="CH329" t="s">
        <v>134</v>
      </c>
      <c r="CI329" t="s">
        <v>134</v>
      </c>
      <c r="CJ329" t="s">
        <v>134</v>
      </c>
      <c r="CK329" t="s">
        <v>134</v>
      </c>
      <c r="CL329" t="s">
        <v>134</v>
      </c>
      <c r="CM329" t="s">
        <v>134</v>
      </c>
      <c r="CN329" t="s">
        <v>134</v>
      </c>
      <c r="CO329" t="s">
        <v>134</v>
      </c>
      <c r="CP329" t="s">
        <v>134</v>
      </c>
      <c r="CQ329" t="s">
        <v>134</v>
      </c>
      <c r="CR329" t="s">
        <v>134</v>
      </c>
      <c r="CS329" t="s">
        <v>134</v>
      </c>
      <c r="CT329" t="s">
        <v>134</v>
      </c>
      <c r="CU329" t="s">
        <v>134</v>
      </c>
      <c r="CV329" t="s">
        <v>134</v>
      </c>
      <c r="CW329" t="s">
        <v>134</v>
      </c>
      <c r="CX329" t="s">
        <v>134</v>
      </c>
      <c r="CY329" t="s">
        <v>134</v>
      </c>
      <c r="CZ329" t="s">
        <v>134</v>
      </c>
      <c r="DA329" t="s">
        <v>134</v>
      </c>
      <c r="DB329" t="s">
        <v>134</v>
      </c>
      <c r="DC329" t="s">
        <v>134</v>
      </c>
      <c r="DD329" t="s">
        <v>134</v>
      </c>
      <c r="DE329" t="s">
        <v>134</v>
      </c>
      <c r="DF329" t="s">
        <v>134</v>
      </c>
      <c r="DG329" t="s">
        <v>134</v>
      </c>
      <c r="DH329" t="s">
        <v>134</v>
      </c>
      <c r="DI329" t="s">
        <v>134</v>
      </c>
    </row>
    <row r="330" spans="1:113" x14ac:dyDescent="0.3">
      <c r="E330" t="s">
        <v>79</v>
      </c>
      <c r="F330" t="s">
        <v>134</v>
      </c>
      <c r="G330" t="s">
        <v>134</v>
      </c>
      <c r="H330" t="s">
        <v>134</v>
      </c>
      <c r="I330" t="s">
        <v>134</v>
      </c>
      <c r="J330" t="s">
        <v>134</v>
      </c>
      <c r="K330" t="s">
        <v>134</v>
      </c>
      <c r="L330" t="s">
        <v>134</v>
      </c>
      <c r="M330" t="s">
        <v>134</v>
      </c>
      <c r="N330" t="s">
        <v>134</v>
      </c>
      <c r="O330" t="s">
        <v>134</v>
      </c>
      <c r="P330" t="s">
        <v>134</v>
      </c>
      <c r="Q330" t="s">
        <v>134</v>
      </c>
      <c r="R330" t="s">
        <v>134</v>
      </c>
      <c r="S330" t="s">
        <v>134</v>
      </c>
      <c r="T330" t="s">
        <v>134</v>
      </c>
      <c r="U330" t="s">
        <v>134</v>
      </c>
      <c r="V330" t="s">
        <v>134</v>
      </c>
      <c r="W330" t="s">
        <v>134</v>
      </c>
      <c r="X330" t="s">
        <v>134</v>
      </c>
      <c r="Y330" t="s">
        <v>134</v>
      </c>
      <c r="Z330" t="s">
        <v>134</v>
      </c>
      <c r="AA330" t="s">
        <v>134</v>
      </c>
      <c r="AB330" t="s">
        <v>134</v>
      </c>
      <c r="AC330" t="s">
        <v>134</v>
      </c>
      <c r="AD330" t="s">
        <v>134</v>
      </c>
      <c r="AE330" t="s">
        <v>134</v>
      </c>
      <c r="AF330" t="s">
        <v>134</v>
      </c>
      <c r="AG330" t="s">
        <v>134</v>
      </c>
      <c r="AH330" t="s">
        <v>134</v>
      </c>
      <c r="AI330" t="s">
        <v>134</v>
      </c>
      <c r="AJ330" t="s">
        <v>134</v>
      </c>
      <c r="AK330" t="s">
        <v>134</v>
      </c>
      <c r="AL330" t="s">
        <v>134</v>
      </c>
      <c r="AM330" t="s">
        <v>134</v>
      </c>
      <c r="AN330" t="s">
        <v>134</v>
      </c>
      <c r="AO330" t="s">
        <v>134</v>
      </c>
      <c r="AP330" t="s">
        <v>134</v>
      </c>
      <c r="AQ330" t="s">
        <v>134</v>
      </c>
      <c r="AR330" t="s">
        <v>134</v>
      </c>
      <c r="AS330" t="s">
        <v>134</v>
      </c>
      <c r="AT330" t="s">
        <v>134</v>
      </c>
      <c r="AU330" t="s">
        <v>134</v>
      </c>
      <c r="AV330" t="s">
        <v>134</v>
      </c>
      <c r="AW330" t="s">
        <v>134</v>
      </c>
      <c r="AX330" t="s">
        <v>134</v>
      </c>
      <c r="AY330" t="s">
        <v>134</v>
      </c>
      <c r="AZ330" t="s">
        <v>134</v>
      </c>
      <c r="BA330" t="s">
        <v>134</v>
      </c>
      <c r="BB330" t="s">
        <v>134</v>
      </c>
      <c r="BC330" t="s">
        <v>134</v>
      </c>
      <c r="BD330" t="s">
        <v>134</v>
      </c>
      <c r="BE330" t="s">
        <v>134</v>
      </c>
      <c r="BF330" t="s">
        <v>134</v>
      </c>
      <c r="BG330" t="s">
        <v>134</v>
      </c>
      <c r="BH330" t="s">
        <v>134</v>
      </c>
      <c r="BI330" t="s">
        <v>134</v>
      </c>
      <c r="BJ330" t="s">
        <v>134</v>
      </c>
      <c r="BK330" t="s">
        <v>134</v>
      </c>
      <c r="BL330" t="s">
        <v>134</v>
      </c>
      <c r="BM330" t="s">
        <v>134</v>
      </c>
      <c r="BN330" t="s">
        <v>134</v>
      </c>
      <c r="BO330" t="s">
        <v>134</v>
      </c>
      <c r="BP330" t="s">
        <v>134</v>
      </c>
      <c r="BQ330" t="s">
        <v>134</v>
      </c>
      <c r="BR330" t="s">
        <v>134</v>
      </c>
      <c r="BS330" t="s">
        <v>134</v>
      </c>
      <c r="BT330" t="s">
        <v>134</v>
      </c>
      <c r="BU330" t="s">
        <v>134</v>
      </c>
      <c r="BV330" t="s">
        <v>134</v>
      </c>
      <c r="BW330" t="s">
        <v>134</v>
      </c>
      <c r="BX330" t="s">
        <v>134</v>
      </c>
      <c r="BY330" t="s">
        <v>134</v>
      </c>
      <c r="BZ330" t="s">
        <v>134</v>
      </c>
      <c r="CA330" t="s">
        <v>134</v>
      </c>
      <c r="CB330" t="s">
        <v>134</v>
      </c>
      <c r="CC330" t="s">
        <v>134</v>
      </c>
      <c r="CD330" t="s">
        <v>134</v>
      </c>
      <c r="CE330" t="s">
        <v>134</v>
      </c>
      <c r="CF330" t="s">
        <v>134</v>
      </c>
      <c r="CG330" t="s">
        <v>134</v>
      </c>
      <c r="CH330" t="s">
        <v>134</v>
      </c>
      <c r="CI330" t="s">
        <v>134</v>
      </c>
      <c r="CJ330" t="s">
        <v>134</v>
      </c>
      <c r="CK330" t="s">
        <v>134</v>
      </c>
      <c r="CL330" t="s">
        <v>134</v>
      </c>
      <c r="CM330" t="s">
        <v>134</v>
      </c>
      <c r="CN330" t="s">
        <v>134</v>
      </c>
      <c r="CO330" t="s">
        <v>134</v>
      </c>
      <c r="CP330" t="s">
        <v>134</v>
      </c>
      <c r="CQ330" t="s">
        <v>134</v>
      </c>
      <c r="CR330" t="s">
        <v>134</v>
      </c>
      <c r="CS330" t="s">
        <v>134</v>
      </c>
      <c r="CT330" t="s">
        <v>134</v>
      </c>
      <c r="CU330" t="s">
        <v>134</v>
      </c>
      <c r="CV330" t="s">
        <v>134</v>
      </c>
      <c r="CW330" t="s">
        <v>134</v>
      </c>
      <c r="CX330" t="s">
        <v>134</v>
      </c>
      <c r="CY330" t="s">
        <v>134</v>
      </c>
      <c r="CZ330" t="s">
        <v>134</v>
      </c>
      <c r="DA330" t="s">
        <v>134</v>
      </c>
      <c r="DB330" t="s">
        <v>134</v>
      </c>
      <c r="DC330" t="s">
        <v>134</v>
      </c>
      <c r="DD330" t="s">
        <v>134</v>
      </c>
      <c r="DE330" t="s">
        <v>134</v>
      </c>
      <c r="DF330" t="s">
        <v>134</v>
      </c>
      <c r="DG330" t="s">
        <v>134</v>
      </c>
      <c r="DH330" t="s">
        <v>134</v>
      </c>
      <c r="DI330" t="s">
        <v>134</v>
      </c>
    </row>
    <row r="331" spans="1:113" x14ac:dyDescent="0.3">
      <c r="E331" t="s">
        <v>80</v>
      </c>
      <c r="F331" t="s">
        <v>134</v>
      </c>
      <c r="G331" t="s">
        <v>134</v>
      </c>
      <c r="H331" t="s">
        <v>134</v>
      </c>
      <c r="I331" t="s">
        <v>134</v>
      </c>
      <c r="J331" t="s">
        <v>134</v>
      </c>
      <c r="K331" t="s">
        <v>134</v>
      </c>
      <c r="L331" t="s">
        <v>134</v>
      </c>
      <c r="M331" t="s">
        <v>134</v>
      </c>
      <c r="N331" t="s">
        <v>134</v>
      </c>
      <c r="O331" t="s">
        <v>134</v>
      </c>
      <c r="P331" t="s">
        <v>134</v>
      </c>
      <c r="Q331" t="s">
        <v>134</v>
      </c>
      <c r="R331" t="s">
        <v>134</v>
      </c>
      <c r="S331" t="s">
        <v>134</v>
      </c>
      <c r="T331" t="s">
        <v>134</v>
      </c>
      <c r="U331" t="s">
        <v>134</v>
      </c>
      <c r="V331" t="s">
        <v>134</v>
      </c>
      <c r="W331" t="s">
        <v>134</v>
      </c>
      <c r="X331" t="s">
        <v>134</v>
      </c>
      <c r="Y331" t="s">
        <v>134</v>
      </c>
      <c r="Z331" t="s">
        <v>134</v>
      </c>
      <c r="AA331" t="s">
        <v>134</v>
      </c>
      <c r="AB331" t="s">
        <v>134</v>
      </c>
      <c r="AC331" t="s">
        <v>134</v>
      </c>
      <c r="AD331" t="s">
        <v>134</v>
      </c>
      <c r="AE331" t="s">
        <v>134</v>
      </c>
      <c r="AF331" t="s">
        <v>134</v>
      </c>
      <c r="AG331" t="s">
        <v>134</v>
      </c>
      <c r="AH331" t="s">
        <v>134</v>
      </c>
      <c r="AI331" t="s">
        <v>134</v>
      </c>
      <c r="AJ331" t="s">
        <v>134</v>
      </c>
      <c r="AK331" t="s">
        <v>134</v>
      </c>
      <c r="AL331" t="s">
        <v>134</v>
      </c>
      <c r="AM331" t="s">
        <v>134</v>
      </c>
      <c r="AN331" t="s">
        <v>134</v>
      </c>
      <c r="AO331" t="s">
        <v>134</v>
      </c>
      <c r="AP331" t="s">
        <v>134</v>
      </c>
      <c r="AQ331" t="s">
        <v>134</v>
      </c>
      <c r="AR331" t="s">
        <v>134</v>
      </c>
      <c r="AS331" t="s">
        <v>134</v>
      </c>
      <c r="AT331" t="s">
        <v>134</v>
      </c>
      <c r="AU331" t="s">
        <v>134</v>
      </c>
      <c r="AV331" t="s">
        <v>134</v>
      </c>
      <c r="AW331" t="s">
        <v>134</v>
      </c>
      <c r="AX331" t="s">
        <v>134</v>
      </c>
      <c r="AY331" t="s">
        <v>134</v>
      </c>
      <c r="AZ331" t="s">
        <v>134</v>
      </c>
      <c r="BA331" t="s">
        <v>134</v>
      </c>
      <c r="BB331" t="s">
        <v>134</v>
      </c>
      <c r="BC331" t="s">
        <v>134</v>
      </c>
      <c r="BD331" t="s">
        <v>134</v>
      </c>
      <c r="BE331" t="s">
        <v>134</v>
      </c>
      <c r="BF331" t="s">
        <v>134</v>
      </c>
      <c r="BG331" t="s">
        <v>134</v>
      </c>
      <c r="BH331" t="s">
        <v>134</v>
      </c>
      <c r="BI331" t="s">
        <v>134</v>
      </c>
      <c r="BJ331" t="s">
        <v>134</v>
      </c>
      <c r="BK331" t="s">
        <v>134</v>
      </c>
      <c r="BL331" t="s">
        <v>134</v>
      </c>
      <c r="BM331" t="s">
        <v>134</v>
      </c>
      <c r="BN331" t="s">
        <v>134</v>
      </c>
      <c r="BO331" t="s">
        <v>134</v>
      </c>
      <c r="BP331" t="s">
        <v>134</v>
      </c>
      <c r="BQ331" t="s">
        <v>134</v>
      </c>
      <c r="BR331" t="s">
        <v>134</v>
      </c>
      <c r="BS331" t="s">
        <v>134</v>
      </c>
      <c r="BT331" t="s">
        <v>134</v>
      </c>
      <c r="BU331" t="s">
        <v>134</v>
      </c>
      <c r="BV331" t="s">
        <v>134</v>
      </c>
      <c r="BW331" t="s">
        <v>134</v>
      </c>
      <c r="BX331" t="s">
        <v>134</v>
      </c>
      <c r="BY331" t="s">
        <v>134</v>
      </c>
      <c r="BZ331" t="s">
        <v>134</v>
      </c>
      <c r="CA331" t="s">
        <v>134</v>
      </c>
      <c r="CB331" t="s">
        <v>134</v>
      </c>
      <c r="CC331" t="s">
        <v>134</v>
      </c>
      <c r="CD331" t="s">
        <v>134</v>
      </c>
      <c r="CE331" t="s">
        <v>134</v>
      </c>
      <c r="CF331" t="s">
        <v>134</v>
      </c>
      <c r="CG331" t="s">
        <v>134</v>
      </c>
      <c r="CH331" t="s">
        <v>134</v>
      </c>
      <c r="CI331" t="s">
        <v>134</v>
      </c>
      <c r="CJ331" t="s">
        <v>134</v>
      </c>
      <c r="CK331" t="s">
        <v>134</v>
      </c>
      <c r="CL331" t="s">
        <v>134</v>
      </c>
      <c r="CM331" t="s">
        <v>134</v>
      </c>
      <c r="CN331" t="s">
        <v>134</v>
      </c>
      <c r="CO331" t="s">
        <v>134</v>
      </c>
      <c r="CP331" t="s">
        <v>134</v>
      </c>
      <c r="CQ331" t="s">
        <v>134</v>
      </c>
      <c r="CR331" t="s">
        <v>134</v>
      </c>
      <c r="CS331" t="s">
        <v>134</v>
      </c>
      <c r="CT331" t="s">
        <v>134</v>
      </c>
      <c r="CU331" t="s">
        <v>134</v>
      </c>
      <c r="CV331" t="s">
        <v>134</v>
      </c>
      <c r="CW331" t="s">
        <v>134</v>
      </c>
      <c r="CX331" t="s">
        <v>134</v>
      </c>
      <c r="CY331" t="s">
        <v>134</v>
      </c>
      <c r="CZ331" t="s">
        <v>134</v>
      </c>
      <c r="DA331" t="s">
        <v>134</v>
      </c>
      <c r="DB331" t="s">
        <v>134</v>
      </c>
      <c r="DC331" t="s">
        <v>134</v>
      </c>
      <c r="DD331" t="s">
        <v>134</v>
      </c>
      <c r="DE331" t="s">
        <v>134</v>
      </c>
      <c r="DF331" t="s">
        <v>134</v>
      </c>
      <c r="DG331" t="s">
        <v>134</v>
      </c>
      <c r="DH331" t="s">
        <v>134</v>
      </c>
      <c r="DI331" t="s">
        <v>134</v>
      </c>
    </row>
    <row r="332" spans="1:113" x14ac:dyDescent="0.3">
      <c r="E332" t="s">
        <v>81</v>
      </c>
      <c r="F332" t="s">
        <v>134</v>
      </c>
      <c r="G332" t="s">
        <v>134</v>
      </c>
      <c r="H332" t="s">
        <v>134</v>
      </c>
      <c r="I332" t="s">
        <v>134</v>
      </c>
      <c r="J332" t="s">
        <v>134</v>
      </c>
      <c r="K332" t="s">
        <v>134</v>
      </c>
      <c r="L332" t="s">
        <v>134</v>
      </c>
      <c r="M332" t="s">
        <v>134</v>
      </c>
      <c r="N332" t="s">
        <v>134</v>
      </c>
      <c r="O332" t="s">
        <v>134</v>
      </c>
      <c r="P332" t="s">
        <v>134</v>
      </c>
      <c r="Q332" t="s">
        <v>134</v>
      </c>
      <c r="R332" t="s">
        <v>134</v>
      </c>
      <c r="S332" t="s">
        <v>134</v>
      </c>
      <c r="T332" t="s">
        <v>134</v>
      </c>
      <c r="U332" t="s">
        <v>134</v>
      </c>
      <c r="V332" t="s">
        <v>134</v>
      </c>
      <c r="W332" t="s">
        <v>134</v>
      </c>
      <c r="X332" t="s">
        <v>134</v>
      </c>
      <c r="Y332" t="s">
        <v>134</v>
      </c>
      <c r="Z332" t="s">
        <v>134</v>
      </c>
      <c r="AA332" t="s">
        <v>134</v>
      </c>
      <c r="AB332" t="s">
        <v>134</v>
      </c>
      <c r="AC332" t="s">
        <v>134</v>
      </c>
      <c r="AD332" t="s">
        <v>134</v>
      </c>
      <c r="AE332" t="s">
        <v>134</v>
      </c>
      <c r="AF332" t="s">
        <v>134</v>
      </c>
      <c r="AG332" t="s">
        <v>134</v>
      </c>
      <c r="AH332" t="s">
        <v>134</v>
      </c>
      <c r="AI332" t="s">
        <v>134</v>
      </c>
      <c r="AJ332" t="s">
        <v>134</v>
      </c>
      <c r="AK332" t="s">
        <v>134</v>
      </c>
      <c r="AL332" t="s">
        <v>134</v>
      </c>
      <c r="AM332" t="s">
        <v>134</v>
      </c>
      <c r="AN332" t="s">
        <v>134</v>
      </c>
      <c r="AO332" t="s">
        <v>134</v>
      </c>
      <c r="AP332" t="s">
        <v>134</v>
      </c>
      <c r="AQ332" t="s">
        <v>134</v>
      </c>
      <c r="AR332" t="s">
        <v>134</v>
      </c>
      <c r="AS332" t="s">
        <v>134</v>
      </c>
      <c r="AT332" t="s">
        <v>134</v>
      </c>
      <c r="AU332" t="s">
        <v>134</v>
      </c>
      <c r="AV332" t="s">
        <v>134</v>
      </c>
      <c r="AW332" t="s">
        <v>134</v>
      </c>
      <c r="AX332" t="s">
        <v>134</v>
      </c>
      <c r="AY332" t="s">
        <v>134</v>
      </c>
      <c r="AZ332" t="s">
        <v>134</v>
      </c>
      <c r="BA332" t="s">
        <v>134</v>
      </c>
      <c r="BB332" t="s">
        <v>134</v>
      </c>
      <c r="BC332" t="s">
        <v>134</v>
      </c>
      <c r="BD332" t="s">
        <v>134</v>
      </c>
      <c r="BE332" t="s">
        <v>134</v>
      </c>
      <c r="BF332" t="s">
        <v>134</v>
      </c>
      <c r="BG332" t="s">
        <v>134</v>
      </c>
      <c r="BH332" t="s">
        <v>134</v>
      </c>
      <c r="BI332" t="s">
        <v>134</v>
      </c>
      <c r="BJ332" t="s">
        <v>134</v>
      </c>
      <c r="BK332" t="s">
        <v>134</v>
      </c>
      <c r="BL332" t="s">
        <v>134</v>
      </c>
      <c r="BM332" t="s">
        <v>134</v>
      </c>
      <c r="BN332" t="s">
        <v>134</v>
      </c>
      <c r="BO332" t="s">
        <v>134</v>
      </c>
      <c r="BP332" t="s">
        <v>134</v>
      </c>
      <c r="BQ332" t="s">
        <v>134</v>
      </c>
      <c r="BR332" t="s">
        <v>134</v>
      </c>
      <c r="BS332" t="s">
        <v>134</v>
      </c>
      <c r="BT332" t="s">
        <v>134</v>
      </c>
      <c r="BU332" t="s">
        <v>134</v>
      </c>
      <c r="BV332" t="s">
        <v>134</v>
      </c>
      <c r="BW332" t="s">
        <v>134</v>
      </c>
      <c r="BX332" t="s">
        <v>134</v>
      </c>
      <c r="BY332" t="s">
        <v>134</v>
      </c>
      <c r="BZ332" t="s">
        <v>134</v>
      </c>
      <c r="CA332" t="s">
        <v>134</v>
      </c>
      <c r="CB332" t="s">
        <v>134</v>
      </c>
      <c r="CC332" t="s">
        <v>134</v>
      </c>
      <c r="CD332" t="s">
        <v>134</v>
      </c>
      <c r="CE332" t="s">
        <v>134</v>
      </c>
      <c r="CF332" t="s">
        <v>134</v>
      </c>
      <c r="CG332" t="s">
        <v>134</v>
      </c>
      <c r="CH332" t="s">
        <v>134</v>
      </c>
      <c r="CI332" t="s">
        <v>134</v>
      </c>
      <c r="CJ332" t="s">
        <v>134</v>
      </c>
      <c r="CK332" t="s">
        <v>134</v>
      </c>
      <c r="CL332" t="s">
        <v>134</v>
      </c>
      <c r="CM332" t="s">
        <v>134</v>
      </c>
      <c r="CN332" t="s">
        <v>134</v>
      </c>
      <c r="CO332" t="s">
        <v>134</v>
      </c>
      <c r="CP332" t="s">
        <v>134</v>
      </c>
      <c r="CQ332" t="s">
        <v>134</v>
      </c>
      <c r="CR332" t="s">
        <v>134</v>
      </c>
      <c r="CS332" t="s">
        <v>134</v>
      </c>
      <c r="CT332" t="s">
        <v>134</v>
      </c>
      <c r="CU332" t="s">
        <v>134</v>
      </c>
      <c r="CV332" t="s">
        <v>134</v>
      </c>
      <c r="CW332" t="s">
        <v>134</v>
      </c>
      <c r="CX332" t="s">
        <v>134</v>
      </c>
      <c r="CY332" t="s">
        <v>134</v>
      </c>
      <c r="CZ332" t="s">
        <v>134</v>
      </c>
      <c r="DA332" t="s">
        <v>134</v>
      </c>
      <c r="DB332" t="s">
        <v>134</v>
      </c>
      <c r="DC332" t="s">
        <v>134</v>
      </c>
      <c r="DD332" t="s">
        <v>134</v>
      </c>
      <c r="DE332" t="s">
        <v>134</v>
      </c>
      <c r="DF332" t="s">
        <v>134</v>
      </c>
      <c r="DG332" t="s">
        <v>134</v>
      </c>
      <c r="DH332" t="s">
        <v>134</v>
      </c>
      <c r="DI332" t="s">
        <v>134</v>
      </c>
    </row>
    <row r="333" spans="1:113" x14ac:dyDescent="0.3">
      <c r="D333" t="s">
        <v>82</v>
      </c>
      <c r="E333" t="s">
        <v>77</v>
      </c>
      <c r="F333" t="s">
        <v>134</v>
      </c>
      <c r="G333" t="s">
        <v>134</v>
      </c>
      <c r="H333" t="s">
        <v>134</v>
      </c>
      <c r="I333" t="s">
        <v>134</v>
      </c>
      <c r="J333" t="s">
        <v>134</v>
      </c>
      <c r="K333" t="s">
        <v>134</v>
      </c>
      <c r="L333" t="s">
        <v>134</v>
      </c>
      <c r="M333" t="s">
        <v>134</v>
      </c>
      <c r="N333" t="s">
        <v>134</v>
      </c>
      <c r="O333" t="s">
        <v>134</v>
      </c>
      <c r="P333" t="s">
        <v>134</v>
      </c>
      <c r="Q333" t="s">
        <v>134</v>
      </c>
      <c r="R333" t="s">
        <v>134</v>
      </c>
      <c r="S333" t="s">
        <v>134</v>
      </c>
      <c r="T333" t="s">
        <v>134</v>
      </c>
      <c r="U333" t="s">
        <v>134</v>
      </c>
      <c r="V333" t="s">
        <v>134</v>
      </c>
      <c r="W333" t="s">
        <v>134</v>
      </c>
      <c r="X333" t="s">
        <v>134</v>
      </c>
      <c r="Y333" t="s">
        <v>134</v>
      </c>
      <c r="Z333" t="s">
        <v>134</v>
      </c>
      <c r="AA333" t="s">
        <v>134</v>
      </c>
      <c r="AB333" t="s">
        <v>134</v>
      </c>
      <c r="AC333" t="s">
        <v>134</v>
      </c>
      <c r="AD333" t="s">
        <v>134</v>
      </c>
      <c r="AE333" t="s">
        <v>134</v>
      </c>
      <c r="AF333" t="s">
        <v>134</v>
      </c>
      <c r="AG333" t="s">
        <v>134</v>
      </c>
      <c r="AH333" t="s">
        <v>134</v>
      </c>
      <c r="AI333" t="s">
        <v>134</v>
      </c>
      <c r="AJ333" t="s">
        <v>134</v>
      </c>
      <c r="AK333" t="s">
        <v>134</v>
      </c>
      <c r="AL333" t="s">
        <v>134</v>
      </c>
      <c r="AM333" t="s">
        <v>134</v>
      </c>
      <c r="AN333" t="s">
        <v>134</v>
      </c>
      <c r="AO333" t="s">
        <v>134</v>
      </c>
      <c r="AP333" t="s">
        <v>134</v>
      </c>
      <c r="AQ333" t="s">
        <v>134</v>
      </c>
      <c r="AR333" t="s">
        <v>134</v>
      </c>
      <c r="AS333" t="s">
        <v>134</v>
      </c>
      <c r="AT333" t="s">
        <v>134</v>
      </c>
      <c r="AU333" t="s">
        <v>134</v>
      </c>
      <c r="AV333" t="s">
        <v>134</v>
      </c>
      <c r="AW333" t="s">
        <v>134</v>
      </c>
      <c r="AX333" t="s">
        <v>134</v>
      </c>
      <c r="AY333" t="s">
        <v>134</v>
      </c>
      <c r="AZ333" t="s">
        <v>134</v>
      </c>
      <c r="BA333" t="s">
        <v>134</v>
      </c>
      <c r="BB333" t="s">
        <v>134</v>
      </c>
      <c r="BC333" t="s">
        <v>134</v>
      </c>
      <c r="BD333" t="s">
        <v>134</v>
      </c>
      <c r="BE333" t="s">
        <v>134</v>
      </c>
      <c r="BF333" t="s">
        <v>134</v>
      </c>
      <c r="BG333" t="s">
        <v>134</v>
      </c>
      <c r="BH333" t="s">
        <v>134</v>
      </c>
      <c r="BI333" t="s">
        <v>134</v>
      </c>
      <c r="BJ333" t="s">
        <v>134</v>
      </c>
      <c r="BK333" t="s">
        <v>134</v>
      </c>
      <c r="BL333" t="s">
        <v>134</v>
      </c>
      <c r="BM333" t="s">
        <v>134</v>
      </c>
      <c r="BN333" t="s">
        <v>134</v>
      </c>
      <c r="BO333" t="s">
        <v>134</v>
      </c>
      <c r="BP333" t="s">
        <v>134</v>
      </c>
      <c r="BQ333" t="s">
        <v>134</v>
      </c>
      <c r="BR333" t="s">
        <v>134</v>
      </c>
      <c r="BS333" t="s">
        <v>134</v>
      </c>
      <c r="BT333" t="s">
        <v>134</v>
      </c>
      <c r="BU333" t="s">
        <v>134</v>
      </c>
      <c r="BV333" t="s">
        <v>134</v>
      </c>
      <c r="BW333" t="s">
        <v>134</v>
      </c>
      <c r="BX333" t="s">
        <v>134</v>
      </c>
      <c r="BY333">
        <v>0</v>
      </c>
      <c r="BZ333">
        <v>0</v>
      </c>
      <c r="CA333">
        <v>0</v>
      </c>
      <c r="CB333" t="s">
        <v>134</v>
      </c>
      <c r="CC333" t="s">
        <v>134</v>
      </c>
      <c r="CD333" t="s">
        <v>134</v>
      </c>
      <c r="CE333" t="s">
        <v>134</v>
      </c>
      <c r="CF333" t="s">
        <v>134</v>
      </c>
      <c r="CG333">
        <v>95.205399999999997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-79.991900000000001</v>
      </c>
      <c r="CO333">
        <v>-399.79669999999999</v>
      </c>
      <c r="CP333" t="s">
        <v>134</v>
      </c>
      <c r="CQ333" t="s">
        <v>134</v>
      </c>
      <c r="CR333" t="s">
        <v>134</v>
      </c>
      <c r="CS333" t="s">
        <v>134</v>
      </c>
      <c r="CT333" t="s">
        <v>134</v>
      </c>
      <c r="CU333" t="s">
        <v>134</v>
      </c>
      <c r="CV333" t="s">
        <v>134</v>
      </c>
      <c r="CW333" t="s">
        <v>134</v>
      </c>
      <c r="CX333" t="s">
        <v>134</v>
      </c>
      <c r="CY333" t="s">
        <v>134</v>
      </c>
      <c r="CZ333" t="s">
        <v>134</v>
      </c>
      <c r="DA333" t="s">
        <v>134</v>
      </c>
      <c r="DB333" t="s">
        <v>134</v>
      </c>
      <c r="DC333" t="s">
        <v>134</v>
      </c>
      <c r="DD333" t="s">
        <v>134</v>
      </c>
      <c r="DE333" t="s">
        <v>134</v>
      </c>
      <c r="DF333" t="s">
        <v>134</v>
      </c>
      <c r="DG333" t="s">
        <v>134</v>
      </c>
      <c r="DH333" t="s">
        <v>134</v>
      </c>
      <c r="DI333" t="s">
        <v>134</v>
      </c>
    </row>
    <row r="334" spans="1:113" x14ac:dyDescent="0.3">
      <c r="E334" t="s">
        <v>78</v>
      </c>
      <c r="F334" t="s">
        <v>134</v>
      </c>
      <c r="G334" t="s">
        <v>134</v>
      </c>
      <c r="H334" t="s">
        <v>134</v>
      </c>
      <c r="I334" t="s">
        <v>134</v>
      </c>
      <c r="J334" t="s">
        <v>134</v>
      </c>
      <c r="K334" t="s">
        <v>134</v>
      </c>
      <c r="L334" t="s">
        <v>134</v>
      </c>
      <c r="M334" t="s">
        <v>134</v>
      </c>
      <c r="N334" t="s">
        <v>134</v>
      </c>
      <c r="O334" t="s">
        <v>134</v>
      </c>
      <c r="P334" t="s">
        <v>134</v>
      </c>
      <c r="Q334" t="s">
        <v>134</v>
      </c>
      <c r="R334" t="s">
        <v>134</v>
      </c>
      <c r="S334" t="s">
        <v>134</v>
      </c>
      <c r="T334" t="s">
        <v>134</v>
      </c>
      <c r="U334" t="s">
        <v>134</v>
      </c>
      <c r="V334" t="s">
        <v>134</v>
      </c>
      <c r="W334" t="s">
        <v>134</v>
      </c>
      <c r="X334" t="s">
        <v>134</v>
      </c>
      <c r="Y334" t="s">
        <v>134</v>
      </c>
      <c r="Z334" t="s">
        <v>134</v>
      </c>
      <c r="AA334" t="s">
        <v>134</v>
      </c>
      <c r="AB334" t="s">
        <v>134</v>
      </c>
      <c r="AC334" t="s">
        <v>134</v>
      </c>
      <c r="AD334" t="s">
        <v>134</v>
      </c>
      <c r="AE334" t="s">
        <v>134</v>
      </c>
      <c r="AF334" t="s">
        <v>134</v>
      </c>
      <c r="AG334" t="s">
        <v>134</v>
      </c>
      <c r="AH334" t="s">
        <v>134</v>
      </c>
      <c r="AI334" t="s">
        <v>134</v>
      </c>
      <c r="AJ334" t="s">
        <v>134</v>
      </c>
      <c r="AK334" t="s">
        <v>134</v>
      </c>
      <c r="AL334" t="s">
        <v>134</v>
      </c>
      <c r="AM334" t="s">
        <v>134</v>
      </c>
      <c r="AN334" t="s">
        <v>134</v>
      </c>
      <c r="AO334" t="s">
        <v>134</v>
      </c>
      <c r="AP334" t="s">
        <v>134</v>
      </c>
      <c r="AQ334" t="s">
        <v>134</v>
      </c>
      <c r="AR334" t="s">
        <v>134</v>
      </c>
      <c r="AS334" t="s">
        <v>134</v>
      </c>
      <c r="AT334" t="s">
        <v>134</v>
      </c>
      <c r="AU334" t="s">
        <v>134</v>
      </c>
      <c r="AV334" t="s">
        <v>134</v>
      </c>
      <c r="AW334" t="s">
        <v>134</v>
      </c>
      <c r="AX334" t="s">
        <v>134</v>
      </c>
      <c r="AY334" t="s">
        <v>134</v>
      </c>
      <c r="AZ334" t="s">
        <v>134</v>
      </c>
      <c r="BA334" t="s">
        <v>134</v>
      </c>
      <c r="BB334" t="s">
        <v>134</v>
      </c>
      <c r="BC334" t="s">
        <v>134</v>
      </c>
      <c r="BD334" t="s">
        <v>134</v>
      </c>
      <c r="BE334" t="s">
        <v>134</v>
      </c>
      <c r="BF334" t="s">
        <v>134</v>
      </c>
      <c r="BG334" t="s">
        <v>134</v>
      </c>
      <c r="BH334" t="s">
        <v>134</v>
      </c>
      <c r="BI334" t="s">
        <v>134</v>
      </c>
      <c r="BJ334" t="s">
        <v>134</v>
      </c>
      <c r="BK334" t="s">
        <v>134</v>
      </c>
      <c r="BL334" t="s">
        <v>134</v>
      </c>
      <c r="BM334" t="s">
        <v>134</v>
      </c>
      <c r="BN334" t="s">
        <v>134</v>
      </c>
      <c r="BO334" t="s">
        <v>134</v>
      </c>
      <c r="BP334" t="s">
        <v>134</v>
      </c>
      <c r="BQ334" t="s">
        <v>134</v>
      </c>
      <c r="BR334" t="s">
        <v>134</v>
      </c>
      <c r="BS334" t="s">
        <v>134</v>
      </c>
      <c r="BT334" t="s">
        <v>134</v>
      </c>
      <c r="BU334" t="s">
        <v>134</v>
      </c>
      <c r="BV334" t="s">
        <v>134</v>
      </c>
      <c r="BW334" t="s">
        <v>134</v>
      </c>
      <c r="BX334" t="s">
        <v>134</v>
      </c>
      <c r="BY334" t="s">
        <v>134</v>
      </c>
      <c r="BZ334" t="s">
        <v>134</v>
      </c>
      <c r="CA334" t="s">
        <v>134</v>
      </c>
      <c r="CB334" t="s">
        <v>134</v>
      </c>
      <c r="CC334" t="s">
        <v>134</v>
      </c>
      <c r="CD334" t="s">
        <v>134</v>
      </c>
      <c r="CE334" t="s">
        <v>134</v>
      </c>
      <c r="CF334" t="s">
        <v>134</v>
      </c>
      <c r="CG334" t="s">
        <v>134</v>
      </c>
      <c r="CH334" t="s">
        <v>134</v>
      </c>
      <c r="CI334" t="s">
        <v>134</v>
      </c>
      <c r="CJ334" t="s">
        <v>134</v>
      </c>
      <c r="CK334" t="s">
        <v>134</v>
      </c>
      <c r="CL334" t="s">
        <v>134</v>
      </c>
      <c r="CM334" t="s">
        <v>134</v>
      </c>
      <c r="CN334" t="s">
        <v>134</v>
      </c>
      <c r="CO334" t="s">
        <v>134</v>
      </c>
      <c r="CP334" t="s">
        <v>134</v>
      </c>
      <c r="CQ334" t="s">
        <v>134</v>
      </c>
      <c r="CR334" t="s">
        <v>134</v>
      </c>
      <c r="CS334" t="s">
        <v>134</v>
      </c>
      <c r="CT334" t="s">
        <v>134</v>
      </c>
      <c r="CU334" t="s">
        <v>134</v>
      </c>
      <c r="CV334" t="s">
        <v>134</v>
      </c>
      <c r="CW334" t="s">
        <v>134</v>
      </c>
      <c r="CX334" t="s">
        <v>134</v>
      </c>
      <c r="CY334" t="s">
        <v>134</v>
      </c>
      <c r="CZ334" t="s">
        <v>134</v>
      </c>
      <c r="DA334" t="s">
        <v>134</v>
      </c>
      <c r="DB334" t="s">
        <v>134</v>
      </c>
      <c r="DC334" t="s">
        <v>134</v>
      </c>
      <c r="DD334" t="s">
        <v>134</v>
      </c>
      <c r="DE334" t="s">
        <v>134</v>
      </c>
      <c r="DF334" t="s">
        <v>134</v>
      </c>
      <c r="DG334" t="s">
        <v>134</v>
      </c>
      <c r="DH334" t="s">
        <v>134</v>
      </c>
      <c r="DI334" t="s">
        <v>134</v>
      </c>
    </row>
    <row r="335" spans="1:113" x14ac:dyDescent="0.3">
      <c r="E335" t="s">
        <v>79</v>
      </c>
      <c r="F335" t="s">
        <v>134</v>
      </c>
      <c r="G335" t="s">
        <v>134</v>
      </c>
      <c r="H335" t="s">
        <v>134</v>
      </c>
      <c r="I335" t="s">
        <v>134</v>
      </c>
      <c r="J335" t="s">
        <v>134</v>
      </c>
      <c r="K335" t="s">
        <v>134</v>
      </c>
      <c r="L335" t="s">
        <v>134</v>
      </c>
      <c r="M335" t="s">
        <v>134</v>
      </c>
      <c r="N335" t="s">
        <v>134</v>
      </c>
      <c r="O335" t="s">
        <v>134</v>
      </c>
      <c r="P335" t="s">
        <v>134</v>
      </c>
      <c r="Q335" t="s">
        <v>134</v>
      </c>
      <c r="R335" t="s">
        <v>134</v>
      </c>
      <c r="S335" t="s">
        <v>134</v>
      </c>
      <c r="T335" t="s">
        <v>134</v>
      </c>
      <c r="U335" t="s">
        <v>134</v>
      </c>
      <c r="V335" t="s">
        <v>134</v>
      </c>
      <c r="W335" t="s">
        <v>134</v>
      </c>
      <c r="X335" t="s">
        <v>134</v>
      </c>
      <c r="Y335" t="s">
        <v>134</v>
      </c>
      <c r="Z335" t="s">
        <v>134</v>
      </c>
      <c r="AA335" t="s">
        <v>134</v>
      </c>
      <c r="AB335" t="s">
        <v>134</v>
      </c>
      <c r="AC335" t="s">
        <v>134</v>
      </c>
      <c r="AD335" t="s">
        <v>134</v>
      </c>
      <c r="AE335" t="s">
        <v>134</v>
      </c>
      <c r="AF335" t="s">
        <v>134</v>
      </c>
      <c r="AG335" t="s">
        <v>134</v>
      </c>
      <c r="AH335" t="s">
        <v>134</v>
      </c>
      <c r="AI335" t="s">
        <v>134</v>
      </c>
      <c r="AJ335" t="s">
        <v>134</v>
      </c>
      <c r="AK335" t="s">
        <v>134</v>
      </c>
      <c r="AL335" t="s">
        <v>134</v>
      </c>
      <c r="AM335" t="s">
        <v>134</v>
      </c>
      <c r="AN335" t="s">
        <v>134</v>
      </c>
      <c r="AO335" t="s">
        <v>134</v>
      </c>
      <c r="AP335" t="s">
        <v>134</v>
      </c>
      <c r="AQ335" t="s">
        <v>134</v>
      </c>
      <c r="AR335" t="s">
        <v>134</v>
      </c>
      <c r="AS335" t="s">
        <v>134</v>
      </c>
      <c r="AT335" t="s">
        <v>134</v>
      </c>
      <c r="AU335" t="s">
        <v>134</v>
      </c>
      <c r="AV335" t="s">
        <v>134</v>
      </c>
      <c r="AW335" t="s">
        <v>134</v>
      </c>
      <c r="AX335" t="s">
        <v>134</v>
      </c>
      <c r="AY335" t="s">
        <v>134</v>
      </c>
      <c r="AZ335" t="s">
        <v>134</v>
      </c>
      <c r="BA335" t="s">
        <v>134</v>
      </c>
      <c r="BB335" t="s">
        <v>134</v>
      </c>
      <c r="BC335" t="s">
        <v>134</v>
      </c>
      <c r="BD335" t="s">
        <v>134</v>
      </c>
      <c r="BE335" t="s">
        <v>134</v>
      </c>
      <c r="BF335" t="s">
        <v>134</v>
      </c>
      <c r="BG335" t="s">
        <v>134</v>
      </c>
      <c r="BH335" t="s">
        <v>134</v>
      </c>
      <c r="BI335" t="s">
        <v>134</v>
      </c>
      <c r="BJ335" t="s">
        <v>134</v>
      </c>
      <c r="BK335" t="s">
        <v>134</v>
      </c>
      <c r="BL335" t="s">
        <v>134</v>
      </c>
      <c r="BM335" t="s">
        <v>134</v>
      </c>
      <c r="BN335" t="s">
        <v>134</v>
      </c>
      <c r="BO335" t="s">
        <v>134</v>
      </c>
      <c r="BP335" t="s">
        <v>134</v>
      </c>
      <c r="BQ335" t="s">
        <v>134</v>
      </c>
      <c r="BR335" t="s">
        <v>134</v>
      </c>
      <c r="BS335" t="s">
        <v>134</v>
      </c>
      <c r="BT335" t="s">
        <v>134</v>
      </c>
      <c r="BU335" t="s">
        <v>134</v>
      </c>
      <c r="BV335" t="s">
        <v>134</v>
      </c>
      <c r="BW335" t="s">
        <v>134</v>
      </c>
      <c r="BX335" t="s">
        <v>134</v>
      </c>
      <c r="BY335" t="s">
        <v>134</v>
      </c>
      <c r="BZ335" t="s">
        <v>134</v>
      </c>
      <c r="CA335" t="s">
        <v>134</v>
      </c>
      <c r="CB335" t="s">
        <v>134</v>
      </c>
      <c r="CC335" t="s">
        <v>134</v>
      </c>
      <c r="CD335" t="s">
        <v>134</v>
      </c>
      <c r="CE335" t="s">
        <v>134</v>
      </c>
      <c r="CF335" t="s">
        <v>134</v>
      </c>
      <c r="CG335" t="s">
        <v>134</v>
      </c>
      <c r="CH335" t="s">
        <v>134</v>
      </c>
      <c r="CI335" t="s">
        <v>134</v>
      </c>
      <c r="CJ335" t="s">
        <v>134</v>
      </c>
      <c r="CK335" t="s">
        <v>134</v>
      </c>
      <c r="CL335" t="s">
        <v>134</v>
      </c>
      <c r="CM335" t="s">
        <v>134</v>
      </c>
      <c r="CN335" t="s">
        <v>134</v>
      </c>
      <c r="CO335" t="s">
        <v>134</v>
      </c>
      <c r="CP335" t="s">
        <v>134</v>
      </c>
      <c r="CQ335" t="s">
        <v>134</v>
      </c>
      <c r="CR335" t="s">
        <v>134</v>
      </c>
      <c r="CS335" t="s">
        <v>134</v>
      </c>
      <c r="CT335" t="s">
        <v>134</v>
      </c>
      <c r="CU335" t="s">
        <v>134</v>
      </c>
      <c r="CV335" t="s">
        <v>134</v>
      </c>
      <c r="CW335" t="s">
        <v>134</v>
      </c>
      <c r="CX335" t="s">
        <v>134</v>
      </c>
      <c r="CY335" t="s">
        <v>134</v>
      </c>
      <c r="CZ335" t="s">
        <v>134</v>
      </c>
      <c r="DA335" t="s">
        <v>134</v>
      </c>
      <c r="DB335" t="s">
        <v>134</v>
      </c>
      <c r="DC335" t="s">
        <v>134</v>
      </c>
      <c r="DD335" t="s">
        <v>134</v>
      </c>
      <c r="DE335" t="s">
        <v>134</v>
      </c>
      <c r="DF335" t="s">
        <v>134</v>
      </c>
      <c r="DG335" t="s">
        <v>134</v>
      </c>
      <c r="DH335" t="s">
        <v>134</v>
      </c>
      <c r="DI335" t="s">
        <v>134</v>
      </c>
    </row>
    <row r="336" spans="1:113" x14ac:dyDescent="0.3">
      <c r="E336" t="s">
        <v>80</v>
      </c>
      <c r="F336" t="s">
        <v>134</v>
      </c>
      <c r="G336" t="s">
        <v>134</v>
      </c>
      <c r="H336" t="s">
        <v>134</v>
      </c>
      <c r="I336" t="s">
        <v>134</v>
      </c>
      <c r="J336" t="s">
        <v>134</v>
      </c>
      <c r="K336" t="s">
        <v>134</v>
      </c>
      <c r="L336" t="s">
        <v>134</v>
      </c>
      <c r="M336" t="s">
        <v>134</v>
      </c>
      <c r="N336" t="s">
        <v>134</v>
      </c>
      <c r="O336" t="s">
        <v>134</v>
      </c>
      <c r="P336" t="s">
        <v>134</v>
      </c>
      <c r="Q336" t="s">
        <v>134</v>
      </c>
      <c r="R336" t="s">
        <v>134</v>
      </c>
      <c r="S336" t="s">
        <v>134</v>
      </c>
      <c r="T336" t="s">
        <v>134</v>
      </c>
      <c r="U336" t="s">
        <v>134</v>
      </c>
      <c r="V336" t="s">
        <v>134</v>
      </c>
      <c r="W336" t="s">
        <v>134</v>
      </c>
      <c r="X336" t="s">
        <v>134</v>
      </c>
      <c r="Y336" t="s">
        <v>134</v>
      </c>
      <c r="Z336" t="s">
        <v>134</v>
      </c>
      <c r="AA336" t="s">
        <v>134</v>
      </c>
      <c r="AB336" t="s">
        <v>134</v>
      </c>
      <c r="AC336" t="s">
        <v>134</v>
      </c>
      <c r="AD336" t="s">
        <v>134</v>
      </c>
      <c r="AE336" t="s">
        <v>134</v>
      </c>
      <c r="AF336" t="s">
        <v>134</v>
      </c>
      <c r="AG336" t="s">
        <v>134</v>
      </c>
      <c r="AH336" t="s">
        <v>134</v>
      </c>
      <c r="AI336" t="s">
        <v>134</v>
      </c>
      <c r="AJ336" t="s">
        <v>134</v>
      </c>
      <c r="AK336" t="s">
        <v>134</v>
      </c>
      <c r="AL336" t="s">
        <v>134</v>
      </c>
      <c r="AM336" t="s">
        <v>134</v>
      </c>
      <c r="AN336" t="s">
        <v>134</v>
      </c>
      <c r="AO336" t="s">
        <v>134</v>
      </c>
      <c r="AP336" t="s">
        <v>134</v>
      </c>
      <c r="AQ336" t="s">
        <v>134</v>
      </c>
      <c r="AR336" t="s">
        <v>134</v>
      </c>
      <c r="AS336" t="s">
        <v>134</v>
      </c>
      <c r="AT336" t="s">
        <v>134</v>
      </c>
      <c r="AU336" t="s">
        <v>134</v>
      </c>
      <c r="AV336" t="s">
        <v>134</v>
      </c>
      <c r="AW336" t="s">
        <v>134</v>
      </c>
      <c r="AX336" t="s">
        <v>134</v>
      </c>
      <c r="AY336" t="s">
        <v>134</v>
      </c>
      <c r="AZ336" t="s">
        <v>134</v>
      </c>
      <c r="BA336" t="s">
        <v>134</v>
      </c>
      <c r="BB336" t="s">
        <v>134</v>
      </c>
      <c r="BC336" t="s">
        <v>134</v>
      </c>
      <c r="BD336" t="s">
        <v>134</v>
      </c>
      <c r="BE336" t="s">
        <v>134</v>
      </c>
      <c r="BF336" t="s">
        <v>134</v>
      </c>
      <c r="BG336" t="s">
        <v>134</v>
      </c>
      <c r="BH336" t="s">
        <v>134</v>
      </c>
      <c r="BI336" t="s">
        <v>134</v>
      </c>
      <c r="BJ336" t="s">
        <v>134</v>
      </c>
      <c r="BK336" t="s">
        <v>134</v>
      </c>
      <c r="BL336" t="s">
        <v>134</v>
      </c>
      <c r="BM336" t="s">
        <v>134</v>
      </c>
      <c r="BN336" t="s">
        <v>134</v>
      </c>
      <c r="BO336" t="s">
        <v>134</v>
      </c>
      <c r="BP336" t="s">
        <v>134</v>
      </c>
      <c r="BQ336" t="s">
        <v>134</v>
      </c>
      <c r="BR336" t="s">
        <v>134</v>
      </c>
      <c r="BS336" t="s">
        <v>134</v>
      </c>
      <c r="BT336" t="s">
        <v>134</v>
      </c>
      <c r="BU336" t="s">
        <v>134</v>
      </c>
      <c r="BV336" t="s">
        <v>134</v>
      </c>
      <c r="BW336" t="s">
        <v>134</v>
      </c>
      <c r="BX336" t="s">
        <v>134</v>
      </c>
      <c r="BY336" t="s">
        <v>134</v>
      </c>
      <c r="BZ336" t="s">
        <v>134</v>
      </c>
      <c r="CA336" t="s">
        <v>134</v>
      </c>
      <c r="CB336" t="s">
        <v>134</v>
      </c>
      <c r="CC336" t="s">
        <v>134</v>
      </c>
      <c r="CD336" t="s">
        <v>134</v>
      </c>
      <c r="CE336" t="s">
        <v>134</v>
      </c>
      <c r="CF336" t="s">
        <v>134</v>
      </c>
      <c r="CG336" t="s">
        <v>134</v>
      </c>
      <c r="CH336" t="s">
        <v>134</v>
      </c>
      <c r="CI336" t="s">
        <v>134</v>
      </c>
      <c r="CJ336" t="s">
        <v>134</v>
      </c>
      <c r="CK336" t="s">
        <v>134</v>
      </c>
      <c r="CL336" t="s">
        <v>134</v>
      </c>
      <c r="CM336" t="s">
        <v>134</v>
      </c>
      <c r="CN336" t="s">
        <v>134</v>
      </c>
      <c r="CO336" t="s">
        <v>134</v>
      </c>
      <c r="CP336" t="s">
        <v>134</v>
      </c>
      <c r="CQ336" t="s">
        <v>134</v>
      </c>
      <c r="CR336" t="s">
        <v>134</v>
      </c>
      <c r="CS336" t="s">
        <v>134</v>
      </c>
      <c r="CT336" t="s">
        <v>134</v>
      </c>
      <c r="CU336" t="s">
        <v>134</v>
      </c>
      <c r="CV336" t="s">
        <v>134</v>
      </c>
      <c r="CW336" t="s">
        <v>134</v>
      </c>
      <c r="CX336" t="s">
        <v>134</v>
      </c>
      <c r="CY336" t="s">
        <v>134</v>
      </c>
      <c r="CZ336" t="s">
        <v>134</v>
      </c>
      <c r="DA336" t="s">
        <v>134</v>
      </c>
      <c r="DB336" t="s">
        <v>134</v>
      </c>
      <c r="DC336" t="s">
        <v>134</v>
      </c>
      <c r="DD336" t="s">
        <v>134</v>
      </c>
      <c r="DE336" t="s">
        <v>134</v>
      </c>
      <c r="DF336" t="s">
        <v>134</v>
      </c>
      <c r="DG336" t="s">
        <v>134</v>
      </c>
      <c r="DH336" t="s">
        <v>134</v>
      </c>
      <c r="DI336" t="s">
        <v>134</v>
      </c>
    </row>
    <row r="337" spans="4:113" x14ac:dyDescent="0.3">
      <c r="E337" t="s">
        <v>81</v>
      </c>
      <c r="F337" t="s">
        <v>134</v>
      </c>
      <c r="G337" t="s">
        <v>134</v>
      </c>
      <c r="H337" t="s">
        <v>134</v>
      </c>
      <c r="I337" t="s">
        <v>134</v>
      </c>
      <c r="J337" t="s">
        <v>134</v>
      </c>
      <c r="K337" t="s">
        <v>134</v>
      </c>
      <c r="L337" t="s">
        <v>134</v>
      </c>
      <c r="M337" t="s">
        <v>134</v>
      </c>
      <c r="N337" t="s">
        <v>134</v>
      </c>
      <c r="O337" t="s">
        <v>134</v>
      </c>
      <c r="P337" t="s">
        <v>134</v>
      </c>
      <c r="Q337" t="s">
        <v>134</v>
      </c>
      <c r="R337" t="s">
        <v>134</v>
      </c>
      <c r="S337" t="s">
        <v>134</v>
      </c>
      <c r="T337" t="s">
        <v>134</v>
      </c>
      <c r="U337" t="s">
        <v>134</v>
      </c>
      <c r="V337" t="s">
        <v>134</v>
      </c>
      <c r="W337" t="s">
        <v>134</v>
      </c>
      <c r="X337" t="s">
        <v>134</v>
      </c>
      <c r="Y337" t="s">
        <v>134</v>
      </c>
      <c r="Z337" t="s">
        <v>134</v>
      </c>
      <c r="AA337" t="s">
        <v>134</v>
      </c>
      <c r="AB337" t="s">
        <v>134</v>
      </c>
      <c r="AC337" t="s">
        <v>134</v>
      </c>
      <c r="AD337" t="s">
        <v>134</v>
      </c>
      <c r="AE337" t="s">
        <v>134</v>
      </c>
      <c r="AF337" t="s">
        <v>134</v>
      </c>
      <c r="AG337" t="s">
        <v>134</v>
      </c>
      <c r="AH337" t="s">
        <v>134</v>
      </c>
      <c r="AI337" t="s">
        <v>134</v>
      </c>
      <c r="AJ337" t="s">
        <v>134</v>
      </c>
      <c r="AK337" t="s">
        <v>134</v>
      </c>
      <c r="AL337" t="s">
        <v>134</v>
      </c>
      <c r="AM337" t="s">
        <v>134</v>
      </c>
      <c r="AN337" t="s">
        <v>134</v>
      </c>
      <c r="AO337" t="s">
        <v>134</v>
      </c>
      <c r="AP337" t="s">
        <v>134</v>
      </c>
      <c r="AQ337" t="s">
        <v>134</v>
      </c>
      <c r="AR337" t="s">
        <v>134</v>
      </c>
      <c r="AS337" t="s">
        <v>134</v>
      </c>
      <c r="AT337" t="s">
        <v>134</v>
      </c>
      <c r="AU337" t="s">
        <v>134</v>
      </c>
      <c r="AV337" t="s">
        <v>134</v>
      </c>
      <c r="AW337" t="s">
        <v>134</v>
      </c>
      <c r="AX337" t="s">
        <v>134</v>
      </c>
      <c r="AY337" t="s">
        <v>134</v>
      </c>
      <c r="AZ337" t="s">
        <v>134</v>
      </c>
      <c r="BA337" t="s">
        <v>134</v>
      </c>
      <c r="BB337" t="s">
        <v>134</v>
      </c>
      <c r="BC337" t="s">
        <v>134</v>
      </c>
      <c r="BD337" t="s">
        <v>134</v>
      </c>
      <c r="BE337" t="s">
        <v>134</v>
      </c>
      <c r="BF337" t="s">
        <v>134</v>
      </c>
      <c r="BG337" t="s">
        <v>134</v>
      </c>
      <c r="BH337" t="s">
        <v>134</v>
      </c>
      <c r="BI337" t="s">
        <v>134</v>
      </c>
      <c r="BJ337" t="s">
        <v>134</v>
      </c>
      <c r="BK337" t="s">
        <v>134</v>
      </c>
      <c r="BL337" t="s">
        <v>134</v>
      </c>
      <c r="BM337" t="s">
        <v>134</v>
      </c>
      <c r="BN337" t="s">
        <v>134</v>
      </c>
      <c r="BO337" t="s">
        <v>134</v>
      </c>
      <c r="BP337" t="s">
        <v>134</v>
      </c>
      <c r="BQ337" t="s">
        <v>134</v>
      </c>
      <c r="BR337" t="s">
        <v>134</v>
      </c>
      <c r="BS337" t="s">
        <v>134</v>
      </c>
      <c r="BT337" t="s">
        <v>134</v>
      </c>
      <c r="BU337" t="s">
        <v>134</v>
      </c>
      <c r="BV337" t="s">
        <v>134</v>
      </c>
      <c r="BW337" t="s">
        <v>134</v>
      </c>
      <c r="BX337" t="s">
        <v>134</v>
      </c>
      <c r="BY337" t="s">
        <v>134</v>
      </c>
      <c r="BZ337" t="s">
        <v>134</v>
      </c>
      <c r="CA337" t="s">
        <v>134</v>
      </c>
      <c r="CB337" t="s">
        <v>134</v>
      </c>
      <c r="CC337" t="s">
        <v>134</v>
      </c>
      <c r="CD337" t="s">
        <v>134</v>
      </c>
      <c r="CE337" t="s">
        <v>134</v>
      </c>
      <c r="CF337" t="s">
        <v>134</v>
      </c>
      <c r="CG337" t="s">
        <v>134</v>
      </c>
      <c r="CH337" t="s">
        <v>134</v>
      </c>
      <c r="CI337" t="s">
        <v>134</v>
      </c>
      <c r="CJ337" t="s">
        <v>134</v>
      </c>
      <c r="CK337" t="s">
        <v>134</v>
      </c>
      <c r="CL337" t="s">
        <v>134</v>
      </c>
      <c r="CM337" t="s">
        <v>134</v>
      </c>
      <c r="CN337" t="s">
        <v>134</v>
      </c>
      <c r="CO337" t="s">
        <v>134</v>
      </c>
      <c r="CP337" t="s">
        <v>134</v>
      </c>
      <c r="CQ337" t="s">
        <v>134</v>
      </c>
      <c r="CR337" t="s">
        <v>134</v>
      </c>
      <c r="CS337" t="s">
        <v>134</v>
      </c>
      <c r="CT337" t="s">
        <v>134</v>
      </c>
      <c r="CU337" t="s">
        <v>134</v>
      </c>
      <c r="CV337" t="s">
        <v>134</v>
      </c>
      <c r="CW337" t="s">
        <v>134</v>
      </c>
      <c r="CX337" t="s">
        <v>134</v>
      </c>
      <c r="CY337" t="s">
        <v>134</v>
      </c>
      <c r="CZ337" t="s">
        <v>134</v>
      </c>
      <c r="DA337" t="s">
        <v>134</v>
      </c>
      <c r="DB337" t="s">
        <v>134</v>
      </c>
      <c r="DC337" t="s">
        <v>134</v>
      </c>
      <c r="DD337" t="s">
        <v>134</v>
      </c>
      <c r="DE337" t="s">
        <v>134</v>
      </c>
      <c r="DF337" t="s">
        <v>134</v>
      </c>
      <c r="DG337" t="s">
        <v>134</v>
      </c>
      <c r="DH337" t="s">
        <v>134</v>
      </c>
      <c r="DI337" t="s">
        <v>134</v>
      </c>
    </row>
    <row r="338" spans="4:113" x14ac:dyDescent="0.3">
      <c r="D338" t="s">
        <v>83</v>
      </c>
      <c r="E338" t="s">
        <v>77</v>
      </c>
      <c r="F338">
        <v>14.350199999999999</v>
      </c>
      <c r="G338">
        <v>2.714</v>
      </c>
      <c r="H338">
        <v>7.9809999999999999</v>
      </c>
      <c r="I338">
        <v>9.5146999999999995</v>
      </c>
      <c r="J338" t="s">
        <v>134</v>
      </c>
      <c r="K338">
        <v>38.191499999999998</v>
      </c>
      <c r="L338" t="s">
        <v>134</v>
      </c>
      <c r="M338">
        <v>23.885000000000002</v>
      </c>
      <c r="N338">
        <v>25.421600000000002</v>
      </c>
      <c r="O338">
        <v>25.421600000000002</v>
      </c>
      <c r="P338">
        <v>25.421600000000002</v>
      </c>
      <c r="Q338">
        <v>33.436399999999999</v>
      </c>
      <c r="R338" t="s">
        <v>134</v>
      </c>
      <c r="S338" t="s">
        <v>134</v>
      </c>
      <c r="T338" t="s">
        <v>134</v>
      </c>
      <c r="U338" t="s">
        <v>134</v>
      </c>
      <c r="V338" t="s">
        <v>134</v>
      </c>
      <c r="W338" t="s">
        <v>134</v>
      </c>
      <c r="X338" t="s">
        <v>134</v>
      </c>
      <c r="Y338" t="s">
        <v>134</v>
      </c>
      <c r="Z338" t="s">
        <v>134</v>
      </c>
      <c r="AA338" t="s">
        <v>134</v>
      </c>
      <c r="AB338">
        <v>118.42059999999999</v>
      </c>
      <c r="AC338">
        <v>3649.6583999999998</v>
      </c>
      <c r="AD338" t="s">
        <v>134</v>
      </c>
      <c r="AE338" t="s">
        <v>134</v>
      </c>
      <c r="AF338" t="s">
        <v>134</v>
      </c>
      <c r="AG338" t="s">
        <v>134</v>
      </c>
      <c r="AH338" t="s">
        <v>134</v>
      </c>
      <c r="AI338">
        <v>564.73889999999994</v>
      </c>
      <c r="AJ338">
        <v>1175.0406</v>
      </c>
      <c r="AK338">
        <v>204.13229999999999</v>
      </c>
      <c r="AL338" t="s">
        <v>134</v>
      </c>
      <c r="AM338" t="s">
        <v>134</v>
      </c>
      <c r="AN338" t="s">
        <v>134</v>
      </c>
      <c r="AO338" t="s">
        <v>134</v>
      </c>
      <c r="AP338" t="s">
        <v>134</v>
      </c>
      <c r="AQ338" t="s">
        <v>134</v>
      </c>
      <c r="AR338" t="s">
        <v>134</v>
      </c>
      <c r="AS338" t="s">
        <v>134</v>
      </c>
      <c r="AT338" t="s">
        <v>134</v>
      </c>
      <c r="AU338" t="s">
        <v>134</v>
      </c>
      <c r="AV338" t="s">
        <v>134</v>
      </c>
      <c r="AW338" t="s">
        <v>134</v>
      </c>
      <c r="AX338" t="s">
        <v>134</v>
      </c>
      <c r="AY338" t="s">
        <v>134</v>
      </c>
      <c r="AZ338" t="s">
        <v>134</v>
      </c>
      <c r="BA338" t="s">
        <v>134</v>
      </c>
      <c r="BB338" t="s">
        <v>134</v>
      </c>
      <c r="BC338" t="s">
        <v>134</v>
      </c>
      <c r="BD338" t="s">
        <v>134</v>
      </c>
      <c r="BE338" t="s">
        <v>134</v>
      </c>
      <c r="BF338" t="s">
        <v>134</v>
      </c>
      <c r="BG338" t="s">
        <v>134</v>
      </c>
      <c r="BH338" t="s">
        <v>134</v>
      </c>
      <c r="BI338" t="s">
        <v>134</v>
      </c>
      <c r="BJ338" t="s">
        <v>134</v>
      </c>
      <c r="BK338" t="s">
        <v>134</v>
      </c>
      <c r="BL338" t="s">
        <v>134</v>
      </c>
      <c r="BM338" t="s">
        <v>134</v>
      </c>
      <c r="BN338">
        <v>118.42059999999999</v>
      </c>
      <c r="BO338">
        <v>3649.6583999999998</v>
      </c>
      <c r="BP338" t="s">
        <v>134</v>
      </c>
      <c r="BQ338" t="s">
        <v>134</v>
      </c>
      <c r="BR338" t="s">
        <v>134</v>
      </c>
      <c r="BS338" t="s">
        <v>134</v>
      </c>
      <c r="BT338" t="s">
        <v>134</v>
      </c>
      <c r="BU338">
        <v>564.73889999999994</v>
      </c>
      <c r="BV338">
        <v>1175.0406</v>
      </c>
      <c r="BW338">
        <v>204.13229999999999</v>
      </c>
      <c r="BX338" t="s">
        <v>134</v>
      </c>
      <c r="BY338">
        <v>30614.32</v>
      </c>
      <c r="BZ338">
        <v>97.84</v>
      </c>
      <c r="CA338">
        <v>30516.48</v>
      </c>
      <c r="CB338" t="s">
        <v>134</v>
      </c>
      <c r="CC338" t="s">
        <v>134</v>
      </c>
      <c r="CD338">
        <v>7.4035000000000002</v>
      </c>
      <c r="CE338">
        <v>-0.27079999999999999</v>
      </c>
      <c r="CF338" t="s">
        <v>134</v>
      </c>
      <c r="CG338">
        <v>16.878</v>
      </c>
      <c r="CH338">
        <v>91.517300000000006</v>
      </c>
      <c r="CI338">
        <v>47.712299999999999</v>
      </c>
      <c r="CJ338">
        <v>15.446300000000001</v>
      </c>
      <c r="CK338">
        <v>91.810699999999997</v>
      </c>
      <c r="CL338">
        <v>47.865299999999998</v>
      </c>
      <c r="CM338">
        <v>15.495799999999999</v>
      </c>
      <c r="CN338">
        <v>-3.3578999999999999</v>
      </c>
      <c r="CO338">
        <v>-3.4744999999999999</v>
      </c>
      <c r="CP338" t="s">
        <v>134</v>
      </c>
      <c r="CQ338" t="s">
        <v>134</v>
      </c>
      <c r="CR338">
        <v>4135.1000000000004</v>
      </c>
      <c r="CS338" t="s">
        <v>134</v>
      </c>
      <c r="CT338" t="s">
        <v>134</v>
      </c>
      <c r="CU338" t="s">
        <v>134</v>
      </c>
      <c r="CV338" t="s">
        <v>134</v>
      </c>
      <c r="CW338" t="s">
        <v>134</v>
      </c>
      <c r="CX338" t="s">
        <v>134</v>
      </c>
      <c r="CY338" t="s">
        <v>134</v>
      </c>
      <c r="CZ338" t="s">
        <v>134</v>
      </c>
      <c r="DA338" t="s">
        <v>134</v>
      </c>
      <c r="DB338" t="s">
        <v>134</v>
      </c>
      <c r="DC338" t="s">
        <v>134</v>
      </c>
      <c r="DD338" t="s">
        <v>134</v>
      </c>
      <c r="DE338" t="s">
        <v>134</v>
      </c>
      <c r="DF338" t="s">
        <v>134</v>
      </c>
      <c r="DG338" t="s">
        <v>134</v>
      </c>
      <c r="DH338" t="s">
        <v>134</v>
      </c>
      <c r="DI338" t="s">
        <v>134</v>
      </c>
    </row>
    <row r="339" spans="4:113" x14ac:dyDescent="0.3">
      <c r="E339" t="s">
        <v>78</v>
      </c>
      <c r="F339" t="s">
        <v>134</v>
      </c>
      <c r="G339" t="s">
        <v>134</v>
      </c>
      <c r="H339" t="s">
        <v>134</v>
      </c>
      <c r="I339" t="s">
        <v>134</v>
      </c>
      <c r="J339" t="s">
        <v>134</v>
      </c>
      <c r="K339" t="s">
        <v>134</v>
      </c>
      <c r="L339" t="s">
        <v>134</v>
      </c>
      <c r="M339" t="s">
        <v>134</v>
      </c>
      <c r="N339" t="s">
        <v>134</v>
      </c>
      <c r="O339" t="s">
        <v>134</v>
      </c>
      <c r="P339" t="s">
        <v>134</v>
      </c>
      <c r="Q339" t="s">
        <v>134</v>
      </c>
      <c r="R339" t="s">
        <v>134</v>
      </c>
      <c r="S339" t="s">
        <v>134</v>
      </c>
      <c r="T339" t="s">
        <v>134</v>
      </c>
      <c r="U339" t="s">
        <v>134</v>
      </c>
      <c r="V339" t="s">
        <v>134</v>
      </c>
      <c r="W339" t="s">
        <v>134</v>
      </c>
      <c r="X339" t="s">
        <v>134</v>
      </c>
      <c r="Y339" t="s">
        <v>134</v>
      </c>
      <c r="Z339" t="s">
        <v>134</v>
      </c>
      <c r="AA339" t="s">
        <v>134</v>
      </c>
      <c r="AB339" t="s">
        <v>134</v>
      </c>
      <c r="AC339" t="s">
        <v>134</v>
      </c>
      <c r="AD339" t="s">
        <v>134</v>
      </c>
      <c r="AE339" t="s">
        <v>134</v>
      </c>
      <c r="AF339" t="s">
        <v>134</v>
      </c>
      <c r="AG339" t="s">
        <v>134</v>
      </c>
      <c r="AH339" t="s">
        <v>134</v>
      </c>
      <c r="AI339" t="s">
        <v>134</v>
      </c>
      <c r="AJ339" t="s">
        <v>134</v>
      </c>
      <c r="AK339" t="s">
        <v>134</v>
      </c>
      <c r="AL339" t="s">
        <v>134</v>
      </c>
      <c r="AM339" t="s">
        <v>134</v>
      </c>
      <c r="AN339" t="s">
        <v>134</v>
      </c>
      <c r="AO339" t="s">
        <v>134</v>
      </c>
      <c r="AP339" t="s">
        <v>134</v>
      </c>
      <c r="AQ339" t="s">
        <v>134</v>
      </c>
      <c r="AR339" t="s">
        <v>134</v>
      </c>
      <c r="AS339" t="s">
        <v>134</v>
      </c>
      <c r="AT339" t="s">
        <v>134</v>
      </c>
      <c r="AU339" t="s">
        <v>134</v>
      </c>
      <c r="AV339" t="s">
        <v>134</v>
      </c>
      <c r="AW339" t="s">
        <v>134</v>
      </c>
      <c r="AX339" t="s">
        <v>134</v>
      </c>
      <c r="AY339" t="s">
        <v>134</v>
      </c>
      <c r="AZ339" t="s">
        <v>134</v>
      </c>
      <c r="BA339" t="s">
        <v>134</v>
      </c>
      <c r="BB339" t="s">
        <v>134</v>
      </c>
      <c r="BC339" t="s">
        <v>134</v>
      </c>
      <c r="BD339" t="s">
        <v>134</v>
      </c>
      <c r="BE339" t="s">
        <v>134</v>
      </c>
      <c r="BF339" t="s">
        <v>134</v>
      </c>
      <c r="BG339" t="s">
        <v>134</v>
      </c>
      <c r="BH339" t="s">
        <v>134</v>
      </c>
      <c r="BI339" t="s">
        <v>134</v>
      </c>
      <c r="BJ339" t="s">
        <v>134</v>
      </c>
      <c r="BK339" t="s">
        <v>134</v>
      </c>
      <c r="BL339" t="s">
        <v>134</v>
      </c>
      <c r="BM339" t="s">
        <v>134</v>
      </c>
      <c r="BN339" t="s">
        <v>134</v>
      </c>
      <c r="BO339" t="s">
        <v>134</v>
      </c>
      <c r="BP339" t="s">
        <v>134</v>
      </c>
      <c r="BQ339" t="s">
        <v>134</v>
      </c>
      <c r="BR339" t="s">
        <v>134</v>
      </c>
      <c r="BS339" t="s">
        <v>134</v>
      </c>
      <c r="BT339" t="s">
        <v>134</v>
      </c>
      <c r="BU339" t="s">
        <v>134</v>
      </c>
      <c r="BV339" t="s">
        <v>134</v>
      </c>
      <c r="BW339" t="s">
        <v>134</v>
      </c>
      <c r="BX339" t="s">
        <v>134</v>
      </c>
      <c r="BY339" t="s">
        <v>134</v>
      </c>
      <c r="BZ339" t="s">
        <v>134</v>
      </c>
      <c r="CA339" t="s">
        <v>134</v>
      </c>
      <c r="CB339" t="s">
        <v>134</v>
      </c>
      <c r="CC339" t="s">
        <v>134</v>
      </c>
      <c r="CD339" t="s">
        <v>134</v>
      </c>
      <c r="CE339" t="s">
        <v>134</v>
      </c>
      <c r="CF339" t="s">
        <v>134</v>
      </c>
      <c r="CG339" t="s">
        <v>134</v>
      </c>
      <c r="CH339" t="s">
        <v>134</v>
      </c>
      <c r="CI339" t="s">
        <v>134</v>
      </c>
      <c r="CJ339" t="s">
        <v>134</v>
      </c>
      <c r="CK339" t="s">
        <v>134</v>
      </c>
      <c r="CL339" t="s">
        <v>134</v>
      </c>
      <c r="CM339" t="s">
        <v>134</v>
      </c>
      <c r="CN339" t="s">
        <v>134</v>
      </c>
      <c r="CO339" t="s">
        <v>134</v>
      </c>
      <c r="CP339" t="s">
        <v>134</v>
      </c>
      <c r="CQ339" t="s">
        <v>134</v>
      </c>
      <c r="CR339" t="s">
        <v>134</v>
      </c>
      <c r="CS339" t="s">
        <v>134</v>
      </c>
      <c r="CT339" t="s">
        <v>134</v>
      </c>
      <c r="CU339" t="s">
        <v>134</v>
      </c>
      <c r="CV339" t="s">
        <v>134</v>
      </c>
      <c r="CW339" t="s">
        <v>134</v>
      </c>
      <c r="CX339" t="s">
        <v>134</v>
      </c>
      <c r="CY339" t="s">
        <v>134</v>
      </c>
      <c r="CZ339" t="s">
        <v>134</v>
      </c>
      <c r="DA339" t="s">
        <v>134</v>
      </c>
      <c r="DB339" t="s">
        <v>134</v>
      </c>
      <c r="DC339" t="s">
        <v>134</v>
      </c>
      <c r="DD339" t="s">
        <v>134</v>
      </c>
      <c r="DE339" t="s">
        <v>134</v>
      </c>
      <c r="DF339" t="s">
        <v>134</v>
      </c>
      <c r="DG339" t="s">
        <v>134</v>
      </c>
      <c r="DH339" t="s">
        <v>134</v>
      </c>
      <c r="DI339" t="s">
        <v>134</v>
      </c>
    </row>
    <row r="340" spans="4:113" x14ac:dyDescent="0.3">
      <c r="E340" t="s">
        <v>79</v>
      </c>
      <c r="F340" t="s">
        <v>134</v>
      </c>
      <c r="G340" t="s">
        <v>134</v>
      </c>
      <c r="H340" t="s">
        <v>134</v>
      </c>
      <c r="I340" t="s">
        <v>134</v>
      </c>
      <c r="J340" t="s">
        <v>134</v>
      </c>
      <c r="K340" t="s">
        <v>134</v>
      </c>
      <c r="L340" t="s">
        <v>134</v>
      </c>
      <c r="M340" t="s">
        <v>134</v>
      </c>
      <c r="N340" t="s">
        <v>134</v>
      </c>
      <c r="O340" t="s">
        <v>134</v>
      </c>
      <c r="P340" t="s">
        <v>134</v>
      </c>
      <c r="Q340" t="s">
        <v>134</v>
      </c>
      <c r="R340" t="s">
        <v>134</v>
      </c>
      <c r="S340" t="s">
        <v>134</v>
      </c>
      <c r="T340" t="s">
        <v>134</v>
      </c>
      <c r="U340" t="s">
        <v>134</v>
      </c>
      <c r="V340" t="s">
        <v>134</v>
      </c>
      <c r="W340" t="s">
        <v>134</v>
      </c>
      <c r="X340" t="s">
        <v>134</v>
      </c>
      <c r="Y340" t="s">
        <v>134</v>
      </c>
      <c r="Z340" t="s">
        <v>134</v>
      </c>
      <c r="AA340" t="s">
        <v>134</v>
      </c>
      <c r="AB340" t="s">
        <v>134</v>
      </c>
      <c r="AC340" t="s">
        <v>134</v>
      </c>
      <c r="AD340" t="s">
        <v>134</v>
      </c>
      <c r="AE340" t="s">
        <v>134</v>
      </c>
      <c r="AF340" t="s">
        <v>134</v>
      </c>
      <c r="AG340" t="s">
        <v>134</v>
      </c>
      <c r="AH340" t="s">
        <v>134</v>
      </c>
      <c r="AI340" t="s">
        <v>134</v>
      </c>
      <c r="AJ340" t="s">
        <v>134</v>
      </c>
      <c r="AK340" t="s">
        <v>134</v>
      </c>
      <c r="AL340" t="s">
        <v>134</v>
      </c>
      <c r="AM340" t="s">
        <v>134</v>
      </c>
      <c r="AN340" t="s">
        <v>134</v>
      </c>
      <c r="AO340" t="s">
        <v>134</v>
      </c>
      <c r="AP340" t="s">
        <v>134</v>
      </c>
      <c r="AQ340" t="s">
        <v>134</v>
      </c>
      <c r="AR340" t="s">
        <v>134</v>
      </c>
      <c r="AS340" t="s">
        <v>134</v>
      </c>
      <c r="AT340" t="s">
        <v>134</v>
      </c>
      <c r="AU340" t="s">
        <v>134</v>
      </c>
      <c r="AV340" t="s">
        <v>134</v>
      </c>
      <c r="AW340" t="s">
        <v>134</v>
      </c>
      <c r="AX340" t="s">
        <v>134</v>
      </c>
      <c r="AY340" t="s">
        <v>134</v>
      </c>
      <c r="AZ340" t="s">
        <v>134</v>
      </c>
      <c r="BA340" t="s">
        <v>134</v>
      </c>
      <c r="BB340" t="s">
        <v>134</v>
      </c>
      <c r="BC340" t="s">
        <v>134</v>
      </c>
      <c r="BD340" t="s">
        <v>134</v>
      </c>
      <c r="BE340" t="s">
        <v>134</v>
      </c>
      <c r="BF340" t="s">
        <v>134</v>
      </c>
      <c r="BG340" t="s">
        <v>134</v>
      </c>
      <c r="BH340" t="s">
        <v>134</v>
      </c>
      <c r="BI340" t="s">
        <v>134</v>
      </c>
      <c r="BJ340" t="s">
        <v>134</v>
      </c>
      <c r="BK340" t="s">
        <v>134</v>
      </c>
      <c r="BL340" t="s">
        <v>134</v>
      </c>
      <c r="BM340" t="s">
        <v>134</v>
      </c>
      <c r="BN340" t="s">
        <v>134</v>
      </c>
      <c r="BO340" t="s">
        <v>134</v>
      </c>
      <c r="BP340" t="s">
        <v>134</v>
      </c>
      <c r="BQ340" t="s">
        <v>134</v>
      </c>
      <c r="BR340" t="s">
        <v>134</v>
      </c>
      <c r="BS340" t="s">
        <v>134</v>
      </c>
      <c r="BT340" t="s">
        <v>134</v>
      </c>
      <c r="BU340" t="s">
        <v>134</v>
      </c>
      <c r="BV340" t="s">
        <v>134</v>
      </c>
      <c r="BW340" t="s">
        <v>134</v>
      </c>
      <c r="BX340" t="s">
        <v>134</v>
      </c>
      <c r="BY340" t="s">
        <v>134</v>
      </c>
      <c r="BZ340" t="s">
        <v>134</v>
      </c>
      <c r="CA340" t="s">
        <v>134</v>
      </c>
      <c r="CB340" t="s">
        <v>134</v>
      </c>
      <c r="CC340" t="s">
        <v>134</v>
      </c>
      <c r="CD340" t="s">
        <v>134</v>
      </c>
      <c r="CE340" t="s">
        <v>134</v>
      </c>
      <c r="CF340" t="s">
        <v>134</v>
      </c>
      <c r="CG340" t="s">
        <v>134</v>
      </c>
      <c r="CH340" t="s">
        <v>134</v>
      </c>
      <c r="CI340" t="s">
        <v>134</v>
      </c>
      <c r="CJ340" t="s">
        <v>134</v>
      </c>
      <c r="CK340" t="s">
        <v>134</v>
      </c>
      <c r="CL340" t="s">
        <v>134</v>
      </c>
      <c r="CM340" t="s">
        <v>134</v>
      </c>
      <c r="CN340" t="s">
        <v>134</v>
      </c>
      <c r="CO340" t="s">
        <v>134</v>
      </c>
      <c r="CP340" t="s">
        <v>134</v>
      </c>
      <c r="CQ340" t="s">
        <v>134</v>
      </c>
      <c r="CR340" t="s">
        <v>134</v>
      </c>
      <c r="CS340" t="s">
        <v>134</v>
      </c>
      <c r="CT340" t="s">
        <v>134</v>
      </c>
      <c r="CU340" t="s">
        <v>134</v>
      </c>
      <c r="CV340" t="s">
        <v>134</v>
      </c>
      <c r="CW340" t="s">
        <v>134</v>
      </c>
      <c r="CX340" t="s">
        <v>134</v>
      </c>
      <c r="CY340" t="s">
        <v>134</v>
      </c>
      <c r="CZ340" t="s">
        <v>134</v>
      </c>
      <c r="DA340" t="s">
        <v>134</v>
      </c>
      <c r="DB340" t="s">
        <v>134</v>
      </c>
      <c r="DC340" t="s">
        <v>134</v>
      </c>
      <c r="DD340" t="s">
        <v>134</v>
      </c>
      <c r="DE340" t="s">
        <v>134</v>
      </c>
      <c r="DF340" t="s">
        <v>134</v>
      </c>
      <c r="DG340" t="s">
        <v>134</v>
      </c>
      <c r="DH340" t="s">
        <v>134</v>
      </c>
      <c r="DI340" t="s">
        <v>134</v>
      </c>
    </row>
    <row r="341" spans="4:113" x14ac:dyDescent="0.3">
      <c r="E341" t="s">
        <v>80</v>
      </c>
      <c r="F341" t="s">
        <v>134</v>
      </c>
      <c r="G341" t="s">
        <v>134</v>
      </c>
      <c r="H341" t="s">
        <v>134</v>
      </c>
      <c r="I341" t="s">
        <v>134</v>
      </c>
      <c r="J341" t="s">
        <v>134</v>
      </c>
      <c r="K341" t="s">
        <v>134</v>
      </c>
      <c r="L341" t="s">
        <v>134</v>
      </c>
      <c r="M341" t="s">
        <v>134</v>
      </c>
      <c r="N341" t="s">
        <v>134</v>
      </c>
      <c r="O341" t="s">
        <v>134</v>
      </c>
      <c r="P341" t="s">
        <v>134</v>
      </c>
      <c r="Q341" t="s">
        <v>134</v>
      </c>
      <c r="R341" t="s">
        <v>134</v>
      </c>
      <c r="S341" t="s">
        <v>134</v>
      </c>
      <c r="T341" t="s">
        <v>134</v>
      </c>
      <c r="U341" t="s">
        <v>134</v>
      </c>
      <c r="V341" t="s">
        <v>134</v>
      </c>
      <c r="W341" t="s">
        <v>134</v>
      </c>
      <c r="X341" t="s">
        <v>134</v>
      </c>
      <c r="Y341" t="s">
        <v>134</v>
      </c>
      <c r="Z341" t="s">
        <v>134</v>
      </c>
      <c r="AA341" t="s">
        <v>134</v>
      </c>
      <c r="AB341" t="s">
        <v>134</v>
      </c>
      <c r="AC341" t="s">
        <v>134</v>
      </c>
      <c r="AD341" t="s">
        <v>134</v>
      </c>
      <c r="AE341" t="s">
        <v>134</v>
      </c>
      <c r="AF341" t="s">
        <v>134</v>
      </c>
      <c r="AG341" t="s">
        <v>134</v>
      </c>
      <c r="AH341" t="s">
        <v>134</v>
      </c>
      <c r="AI341" t="s">
        <v>134</v>
      </c>
      <c r="AJ341" t="s">
        <v>134</v>
      </c>
      <c r="AK341" t="s">
        <v>134</v>
      </c>
      <c r="AL341" t="s">
        <v>134</v>
      </c>
      <c r="AM341" t="s">
        <v>134</v>
      </c>
      <c r="AN341" t="s">
        <v>134</v>
      </c>
      <c r="AO341" t="s">
        <v>134</v>
      </c>
      <c r="AP341" t="s">
        <v>134</v>
      </c>
      <c r="AQ341" t="s">
        <v>134</v>
      </c>
      <c r="AR341" t="s">
        <v>134</v>
      </c>
      <c r="AS341" t="s">
        <v>134</v>
      </c>
      <c r="AT341" t="s">
        <v>134</v>
      </c>
      <c r="AU341" t="s">
        <v>134</v>
      </c>
      <c r="AV341" t="s">
        <v>134</v>
      </c>
      <c r="AW341" t="s">
        <v>134</v>
      </c>
      <c r="AX341" t="s">
        <v>134</v>
      </c>
      <c r="AY341" t="s">
        <v>134</v>
      </c>
      <c r="AZ341" t="s">
        <v>134</v>
      </c>
      <c r="BA341" t="s">
        <v>134</v>
      </c>
      <c r="BB341" t="s">
        <v>134</v>
      </c>
      <c r="BC341" t="s">
        <v>134</v>
      </c>
      <c r="BD341" t="s">
        <v>134</v>
      </c>
      <c r="BE341" t="s">
        <v>134</v>
      </c>
      <c r="BF341" t="s">
        <v>134</v>
      </c>
      <c r="BG341" t="s">
        <v>134</v>
      </c>
      <c r="BH341" t="s">
        <v>134</v>
      </c>
      <c r="BI341" t="s">
        <v>134</v>
      </c>
      <c r="BJ341" t="s">
        <v>134</v>
      </c>
      <c r="BK341" t="s">
        <v>134</v>
      </c>
      <c r="BL341" t="s">
        <v>134</v>
      </c>
      <c r="BM341" t="s">
        <v>134</v>
      </c>
      <c r="BN341" t="s">
        <v>134</v>
      </c>
      <c r="BO341" t="s">
        <v>134</v>
      </c>
      <c r="BP341" t="s">
        <v>134</v>
      </c>
      <c r="BQ341" t="s">
        <v>134</v>
      </c>
      <c r="BR341" t="s">
        <v>134</v>
      </c>
      <c r="BS341" t="s">
        <v>134</v>
      </c>
      <c r="BT341" t="s">
        <v>134</v>
      </c>
      <c r="BU341" t="s">
        <v>134</v>
      </c>
      <c r="BV341" t="s">
        <v>134</v>
      </c>
      <c r="BW341" t="s">
        <v>134</v>
      </c>
      <c r="BX341" t="s">
        <v>134</v>
      </c>
      <c r="BY341" t="s">
        <v>134</v>
      </c>
      <c r="BZ341" t="s">
        <v>134</v>
      </c>
      <c r="CA341" t="s">
        <v>134</v>
      </c>
      <c r="CB341" t="s">
        <v>134</v>
      </c>
      <c r="CC341" t="s">
        <v>134</v>
      </c>
      <c r="CD341" t="s">
        <v>134</v>
      </c>
      <c r="CE341" t="s">
        <v>134</v>
      </c>
      <c r="CF341" t="s">
        <v>134</v>
      </c>
      <c r="CG341" t="s">
        <v>134</v>
      </c>
      <c r="CH341" t="s">
        <v>134</v>
      </c>
      <c r="CI341" t="s">
        <v>134</v>
      </c>
      <c r="CJ341" t="s">
        <v>134</v>
      </c>
      <c r="CK341" t="s">
        <v>134</v>
      </c>
      <c r="CL341" t="s">
        <v>134</v>
      </c>
      <c r="CM341" t="s">
        <v>134</v>
      </c>
      <c r="CN341" t="s">
        <v>134</v>
      </c>
      <c r="CO341" t="s">
        <v>134</v>
      </c>
      <c r="CP341" t="s">
        <v>134</v>
      </c>
      <c r="CQ341" t="s">
        <v>134</v>
      </c>
      <c r="CR341" t="s">
        <v>134</v>
      </c>
      <c r="CS341" t="s">
        <v>134</v>
      </c>
      <c r="CT341" t="s">
        <v>134</v>
      </c>
      <c r="CU341" t="s">
        <v>134</v>
      </c>
      <c r="CV341" t="s">
        <v>134</v>
      </c>
      <c r="CW341" t="s">
        <v>134</v>
      </c>
      <c r="CX341" t="s">
        <v>134</v>
      </c>
      <c r="CY341" t="s">
        <v>134</v>
      </c>
      <c r="CZ341" t="s">
        <v>134</v>
      </c>
      <c r="DA341" t="s">
        <v>134</v>
      </c>
      <c r="DB341" t="s">
        <v>134</v>
      </c>
      <c r="DC341" t="s">
        <v>134</v>
      </c>
      <c r="DD341" t="s">
        <v>134</v>
      </c>
      <c r="DE341" t="s">
        <v>134</v>
      </c>
      <c r="DF341" t="s">
        <v>134</v>
      </c>
      <c r="DG341" t="s">
        <v>134</v>
      </c>
      <c r="DH341" t="s">
        <v>134</v>
      </c>
      <c r="DI341" t="s">
        <v>134</v>
      </c>
    </row>
    <row r="342" spans="4:113" x14ac:dyDescent="0.3">
      <c r="E342" t="s">
        <v>81</v>
      </c>
      <c r="F342" t="s">
        <v>134</v>
      </c>
      <c r="G342" t="s">
        <v>134</v>
      </c>
      <c r="H342" t="s">
        <v>134</v>
      </c>
      <c r="I342" t="s">
        <v>134</v>
      </c>
      <c r="J342" t="s">
        <v>134</v>
      </c>
      <c r="K342" t="s">
        <v>134</v>
      </c>
      <c r="L342" t="s">
        <v>134</v>
      </c>
      <c r="M342" t="s">
        <v>134</v>
      </c>
      <c r="N342" t="s">
        <v>134</v>
      </c>
      <c r="O342" t="s">
        <v>134</v>
      </c>
      <c r="P342" t="s">
        <v>134</v>
      </c>
      <c r="Q342" t="s">
        <v>134</v>
      </c>
      <c r="R342" t="s">
        <v>134</v>
      </c>
      <c r="S342" t="s">
        <v>134</v>
      </c>
      <c r="T342" t="s">
        <v>134</v>
      </c>
      <c r="U342" t="s">
        <v>134</v>
      </c>
      <c r="V342" t="s">
        <v>134</v>
      </c>
      <c r="W342" t="s">
        <v>134</v>
      </c>
      <c r="X342" t="s">
        <v>134</v>
      </c>
      <c r="Y342" t="s">
        <v>134</v>
      </c>
      <c r="Z342" t="s">
        <v>134</v>
      </c>
      <c r="AA342" t="s">
        <v>134</v>
      </c>
      <c r="AB342" t="s">
        <v>134</v>
      </c>
      <c r="AC342" t="s">
        <v>134</v>
      </c>
      <c r="AD342" t="s">
        <v>134</v>
      </c>
      <c r="AE342" t="s">
        <v>134</v>
      </c>
      <c r="AF342" t="s">
        <v>134</v>
      </c>
      <c r="AG342" t="s">
        <v>134</v>
      </c>
      <c r="AH342" t="s">
        <v>134</v>
      </c>
      <c r="AI342" t="s">
        <v>134</v>
      </c>
      <c r="AJ342" t="s">
        <v>134</v>
      </c>
      <c r="AK342" t="s">
        <v>134</v>
      </c>
      <c r="AL342" t="s">
        <v>134</v>
      </c>
      <c r="AM342" t="s">
        <v>134</v>
      </c>
      <c r="AN342" t="s">
        <v>134</v>
      </c>
      <c r="AO342" t="s">
        <v>134</v>
      </c>
      <c r="AP342" t="s">
        <v>134</v>
      </c>
      <c r="AQ342" t="s">
        <v>134</v>
      </c>
      <c r="AR342" t="s">
        <v>134</v>
      </c>
      <c r="AS342" t="s">
        <v>134</v>
      </c>
      <c r="AT342" t="s">
        <v>134</v>
      </c>
      <c r="AU342" t="s">
        <v>134</v>
      </c>
      <c r="AV342" t="s">
        <v>134</v>
      </c>
      <c r="AW342" t="s">
        <v>134</v>
      </c>
      <c r="AX342" t="s">
        <v>134</v>
      </c>
      <c r="AY342" t="s">
        <v>134</v>
      </c>
      <c r="AZ342" t="s">
        <v>134</v>
      </c>
      <c r="BA342" t="s">
        <v>134</v>
      </c>
      <c r="BB342" t="s">
        <v>134</v>
      </c>
      <c r="BC342" t="s">
        <v>134</v>
      </c>
      <c r="BD342" t="s">
        <v>134</v>
      </c>
      <c r="BE342" t="s">
        <v>134</v>
      </c>
      <c r="BF342" t="s">
        <v>134</v>
      </c>
      <c r="BG342" t="s">
        <v>134</v>
      </c>
      <c r="BH342" t="s">
        <v>134</v>
      </c>
      <c r="BI342" t="s">
        <v>134</v>
      </c>
      <c r="BJ342" t="s">
        <v>134</v>
      </c>
      <c r="BK342" t="s">
        <v>134</v>
      </c>
      <c r="BL342" t="s">
        <v>134</v>
      </c>
      <c r="BM342" t="s">
        <v>134</v>
      </c>
      <c r="BN342" t="s">
        <v>134</v>
      </c>
      <c r="BO342" t="s">
        <v>134</v>
      </c>
      <c r="BP342" t="s">
        <v>134</v>
      </c>
      <c r="BQ342" t="s">
        <v>134</v>
      </c>
      <c r="BR342" t="s">
        <v>134</v>
      </c>
      <c r="BS342" t="s">
        <v>134</v>
      </c>
      <c r="BT342" t="s">
        <v>134</v>
      </c>
      <c r="BU342" t="s">
        <v>134</v>
      </c>
      <c r="BV342" t="s">
        <v>134</v>
      </c>
      <c r="BW342" t="s">
        <v>134</v>
      </c>
      <c r="BX342" t="s">
        <v>134</v>
      </c>
      <c r="BY342" t="s">
        <v>134</v>
      </c>
      <c r="BZ342" t="s">
        <v>134</v>
      </c>
      <c r="CA342" t="s">
        <v>134</v>
      </c>
      <c r="CB342" t="s">
        <v>134</v>
      </c>
      <c r="CC342" t="s">
        <v>134</v>
      </c>
      <c r="CD342" t="s">
        <v>134</v>
      </c>
      <c r="CE342" t="s">
        <v>134</v>
      </c>
      <c r="CF342" t="s">
        <v>134</v>
      </c>
      <c r="CG342" t="s">
        <v>134</v>
      </c>
      <c r="CH342" t="s">
        <v>134</v>
      </c>
      <c r="CI342" t="s">
        <v>134</v>
      </c>
      <c r="CJ342" t="s">
        <v>134</v>
      </c>
      <c r="CK342" t="s">
        <v>134</v>
      </c>
      <c r="CL342" t="s">
        <v>134</v>
      </c>
      <c r="CM342" t="s">
        <v>134</v>
      </c>
      <c r="CN342" t="s">
        <v>134</v>
      </c>
      <c r="CO342" t="s">
        <v>134</v>
      </c>
      <c r="CP342" t="s">
        <v>134</v>
      </c>
      <c r="CQ342" t="s">
        <v>134</v>
      </c>
      <c r="CR342" t="s">
        <v>134</v>
      </c>
      <c r="CS342" t="s">
        <v>134</v>
      </c>
      <c r="CT342" t="s">
        <v>134</v>
      </c>
      <c r="CU342" t="s">
        <v>134</v>
      </c>
      <c r="CV342" t="s">
        <v>134</v>
      </c>
      <c r="CW342" t="s">
        <v>134</v>
      </c>
      <c r="CX342" t="s">
        <v>134</v>
      </c>
      <c r="CY342" t="s">
        <v>134</v>
      </c>
      <c r="CZ342" t="s">
        <v>134</v>
      </c>
      <c r="DA342" t="s">
        <v>134</v>
      </c>
      <c r="DB342" t="s">
        <v>134</v>
      </c>
      <c r="DC342" t="s">
        <v>134</v>
      </c>
      <c r="DD342" t="s">
        <v>134</v>
      </c>
      <c r="DE342" t="s">
        <v>134</v>
      </c>
      <c r="DF342" t="s">
        <v>134</v>
      </c>
      <c r="DG342" t="s">
        <v>134</v>
      </c>
      <c r="DH342" t="s">
        <v>134</v>
      </c>
      <c r="DI342" t="s">
        <v>134</v>
      </c>
    </row>
    <row r="343" spans="4:113" x14ac:dyDescent="0.3">
      <c r="D343" t="s">
        <v>84</v>
      </c>
      <c r="E343" t="s">
        <v>77</v>
      </c>
      <c r="F343">
        <v>28.581399999999999</v>
      </c>
      <c r="G343">
        <v>4.4485000000000001</v>
      </c>
      <c r="H343">
        <v>18.694199999999999</v>
      </c>
      <c r="I343">
        <v>19.985199999999999</v>
      </c>
      <c r="J343" t="s">
        <v>134</v>
      </c>
      <c r="K343">
        <v>60.551499999999997</v>
      </c>
      <c r="L343">
        <v>74.528000000000006</v>
      </c>
      <c r="M343">
        <v>39.4542</v>
      </c>
      <c r="N343">
        <v>39.502200000000002</v>
      </c>
      <c r="O343">
        <v>39.502200000000002</v>
      </c>
      <c r="P343">
        <v>39.502200000000002</v>
      </c>
      <c r="Q343">
        <v>34.762700000000002</v>
      </c>
      <c r="R343" t="s">
        <v>134</v>
      </c>
      <c r="S343" t="s">
        <v>134</v>
      </c>
      <c r="T343">
        <v>149.53720000000001</v>
      </c>
      <c r="U343" t="s">
        <v>134</v>
      </c>
      <c r="V343">
        <v>312.1961</v>
      </c>
      <c r="W343">
        <v>303.98329999999999</v>
      </c>
      <c r="X343">
        <v>198.52940000000001</v>
      </c>
      <c r="Y343" t="s">
        <v>134</v>
      </c>
      <c r="Z343" t="s">
        <v>134</v>
      </c>
      <c r="AA343" t="s">
        <v>134</v>
      </c>
      <c r="AB343">
        <v>6.1353999999999997</v>
      </c>
      <c r="AC343">
        <v>53.043799999999997</v>
      </c>
      <c r="AD343" t="s">
        <v>134</v>
      </c>
      <c r="AE343" t="s">
        <v>134</v>
      </c>
      <c r="AF343" t="s">
        <v>134</v>
      </c>
      <c r="AG343">
        <v>154.68109999999999</v>
      </c>
      <c r="AH343">
        <v>-65.576400000000007</v>
      </c>
      <c r="AI343">
        <v>33.346899999999998</v>
      </c>
      <c r="AJ343">
        <v>-14.003</v>
      </c>
      <c r="AK343">
        <v>33.346899999999998</v>
      </c>
      <c r="AL343" t="s">
        <v>134</v>
      </c>
      <c r="AM343" t="s">
        <v>134</v>
      </c>
      <c r="AN343" t="s">
        <v>134</v>
      </c>
      <c r="AO343" t="s">
        <v>134</v>
      </c>
      <c r="AP343" t="s">
        <v>134</v>
      </c>
      <c r="AQ343" t="s">
        <v>134</v>
      </c>
      <c r="AR343" t="s">
        <v>134</v>
      </c>
      <c r="AS343" t="s">
        <v>134</v>
      </c>
      <c r="AT343" t="s">
        <v>134</v>
      </c>
      <c r="AU343" t="s">
        <v>134</v>
      </c>
      <c r="AV343" t="s">
        <v>134</v>
      </c>
      <c r="AW343" t="s">
        <v>134</v>
      </c>
      <c r="AX343" t="s">
        <v>134</v>
      </c>
      <c r="AY343" t="s">
        <v>134</v>
      </c>
      <c r="AZ343" t="s">
        <v>134</v>
      </c>
      <c r="BA343" t="s">
        <v>134</v>
      </c>
      <c r="BB343" t="s">
        <v>134</v>
      </c>
      <c r="BC343" t="s">
        <v>134</v>
      </c>
      <c r="BD343" t="s">
        <v>134</v>
      </c>
      <c r="BE343" t="s">
        <v>134</v>
      </c>
      <c r="BF343">
        <v>149.53720000000001</v>
      </c>
      <c r="BG343" t="s">
        <v>134</v>
      </c>
      <c r="BH343">
        <v>312.1961</v>
      </c>
      <c r="BI343">
        <v>303.98329999999999</v>
      </c>
      <c r="BJ343">
        <v>198.52940000000001</v>
      </c>
      <c r="BK343" t="s">
        <v>134</v>
      </c>
      <c r="BL343" t="s">
        <v>134</v>
      </c>
      <c r="BM343" t="s">
        <v>134</v>
      </c>
      <c r="BN343">
        <v>6.1353999999999997</v>
      </c>
      <c r="BO343">
        <v>53.043799999999997</v>
      </c>
      <c r="BP343" t="s">
        <v>134</v>
      </c>
      <c r="BQ343" t="s">
        <v>134</v>
      </c>
      <c r="BR343" t="s">
        <v>134</v>
      </c>
      <c r="BS343">
        <v>154.68109999999999</v>
      </c>
      <c r="BT343">
        <v>-65.576400000000007</v>
      </c>
      <c r="BU343">
        <v>33.346899999999998</v>
      </c>
      <c r="BV343">
        <v>-14.003</v>
      </c>
      <c r="BW343">
        <v>33.346899999999998</v>
      </c>
      <c r="BX343" t="s">
        <v>134</v>
      </c>
      <c r="BY343">
        <v>10538.56</v>
      </c>
      <c r="BZ343">
        <v>249.18</v>
      </c>
      <c r="CA343">
        <v>10289.379999999999</v>
      </c>
      <c r="CB343" t="s">
        <v>134</v>
      </c>
      <c r="CC343" t="s">
        <v>134</v>
      </c>
      <c r="CD343">
        <v>0.61829999999999996</v>
      </c>
      <c r="CE343">
        <v>-3.7027000000000001</v>
      </c>
      <c r="CF343" t="s">
        <v>134</v>
      </c>
      <c r="CG343">
        <v>14.7058</v>
      </c>
      <c r="CH343">
        <v>23.140599999999999</v>
      </c>
      <c r="CI343">
        <v>18.706900000000001</v>
      </c>
      <c r="CJ343">
        <v>3.403</v>
      </c>
      <c r="CK343">
        <v>23.701000000000001</v>
      </c>
      <c r="CL343">
        <v>19.1599</v>
      </c>
      <c r="CM343">
        <v>3.4853999999999998</v>
      </c>
      <c r="CN343">
        <v>-141.9365</v>
      </c>
      <c r="CO343">
        <v>338.45569999999998</v>
      </c>
      <c r="CP343" t="s">
        <v>134</v>
      </c>
      <c r="CQ343" t="s">
        <v>134</v>
      </c>
      <c r="CR343">
        <v>17044.72</v>
      </c>
      <c r="CS343" t="s">
        <v>134</v>
      </c>
      <c r="CT343" t="s">
        <v>134</v>
      </c>
      <c r="CU343" t="s">
        <v>134</v>
      </c>
      <c r="CV343" t="s">
        <v>134</v>
      </c>
      <c r="CW343" t="s">
        <v>134</v>
      </c>
      <c r="CX343" t="s">
        <v>134</v>
      </c>
      <c r="CY343" t="s">
        <v>134</v>
      </c>
      <c r="CZ343" t="s">
        <v>134</v>
      </c>
      <c r="DA343" t="s">
        <v>134</v>
      </c>
      <c r="DB343" t="s">
        <v>134</v>
      </c>
      <c r="DC343" t="s">
        <v>134</v>
      </c>
      <c r="DD343" t="s">
        <v>134</v>
      </c>
      <c r="DE343" t="s">
        <v>134</v>
      </c>
      <c r="DF343" t="s">
        <v>134</v>
      </c>
      <c r="DG343" t="s">
        <v>134</v>
      </c>
      <c r="DH343" t="s">
        <v>134</v>
      </c>
      <c r="DI343" t="s">
        <v>134</v>
      </c>
    </row>
    <row r="344" spans="4:113" x14ac:dyDescent="0.3">
      <c r="E344" t="s">
        <v>78</v>
      </c>
      <c r="F344" t="s">
        <v>134</v>
      </c>
      <c r="G344" t="s">
        <v>134</v>
      </c>
      <c r="H344" t="s">
        <v>134</v>
      </c>
      <c r="I344" t="s">
        <v>134</v>
      </c>
      <c r="J344" t="s">
        <v>134</v>
      </c>
      <c r="K344" t="s">
        <v>134</v>
      </c>
      <c r="L344" t="s">
        <v>134</v>
      </c>
      <c r="M344" t="s">
        <v>134</v>
      </c>
      <c r="N344" t="s">
        <v>134</v>
      </c>
      <c r="O344" t="s">
        <v>134</v>
      </c>
      <c r="P344" t="s">
        <v>134</v>
      </c>
      <c r="Q344" t="s">
        <v>134</v>
      </c>
      <c r="R344" t="s">
        <v>134</v>
      </c>
      <c r="S344" t="s">
        <v>134</v>
      </c>
      <c r="T344" t="s">
        <v>134</v>
      </c>
      <c r="U344" t="s">
        <v>134</v>
      </c>
      <c r="V344" t="s">
        <v>134</v>
      </c>
      <c r="W344" t="s">
        <v>134</v>
      </c>
      <c r="X344" t="s">
        <v>134</v>
      </c>
      <c r="Y344" t="s">
        <v>134</v>
      </c>
      <c r="Z344" t="s">
        <v>134</v>
      </c>
      <c r="AA344" t="s">
        <v>134</v>
      </c>
      <c r="AB344" t="s">
        <v>134</v>
      </c>
      <c r="AC344" t="s">
        <v>134</v>
      </c>
      <c r="AD344" t="s">
        <v>134</v>
      </c>
      <c r="AE344" t="s">
        <v>134</v>
      </c>
      <c r="AF344" t="s">
        <v>134</v>
      </c>
      <c r="AG344" t="s">
        <v>134</v>
      </c>
      <c r="AH344" t="s">
        <v>134</v>
      </c>
      <c r="AI344" t="s">
        <v>134</v>
      </c>
      <c r="AJ344" t="s">
        <v>134</v>
      </c>
      <c r="AK344" t="s">
        <v>134</v>
      </c>
      <c r="AL344" t="s">
        <v>134</v>
      </c>
      <c r="AM344" t="s">
        <v>134</v>
      </c>
      <c r="AN344" t="s">
        <v>134</v>
      </c>
      <c r="AO344" t="s">
        <v>134</v>
      </c>
      <c r="AP344" t="s">
        <v>134</v>
      </c>
      <c r="AQ344" t="s">
        <v>134</v>
      </c>
      <c r="AR344" t="s">
        <v>134</v>
      </c>
      <c r="AS344" t="s">
        <v>134</v>
      </c>
      <c r="AT344" t="s">
        <v>134</v>
      </c>
      <c r="AU344" t="s">
        <v>134</v>
      </c>
      <c r="AV344" t="s">
        <v>134</v>
      </c>
      <c r="AW344" t="s">
        <v>134</v>
      </c>
      <c r="AX344" t="s">
        <v>134</v>
      </c>
      <c r="AY344" t="s">
        <v>134</v>
      </c>
      <c r="AZ344" t="s">
        <v>134</v>
      </c>
      <c r="BA344" t="s">
        <v>134</v>
      </c>
      <c r="BB344" t="s">
        <v>134</v>
      </c>
      <c r="BC344" t="s">
        <v>134</v>
      </c>
      <c r="BD344" t="s">
        <v>134</v>
      </c>
      <c r="BE344" t="s">
        <v>134</v>
      </c>
      <c r="BF344" t="s">
        <v>134</v>
      </c>
      <c r="BG344" t="s">
        <v>134</v>
      </c>
      <c r="BH344" t="s">
        <v>134</v>
      </c>
      <c r="BI344" t="s">
        <v>134</v>
      </c>
      <c r="BJ344" t="s">
        <v>134</v>
      </c>
      <c r="BK344" t="s">
        <v>134</v>
      </c>
      <c r="BL344" t="s">
        <v>134</v>
      </c>
      <c r="BM344" t="s">
        <v>134</v>
      </c>
      <c r="BN344" t="s">
        <v>134</v>
      </c>
      <c r="BO344" t="s">
        <v>134</v>
      </c>
      <c r="BP344" t="s">
        <v>134</v>
      </c>
      <c r="BQ344" t="s">
        <v>134</v>
      </c>
      <c r="BR344" t="s">
        <v>134</v>
      </c>
      <c r="BS344" t="s">
        <v>134</v>
      </c>
      <c r="BT344" t="s">
        <v>134</v>
      </c>
      <c r="BU344" t="s">
        <v>134</v>
      </c>
      <c r="BV344" t="s">
        <v>134</v>
      </c>
      <c r="BW344" t="s">
        <v>134</v>
      </c>
      <c r="BX344" t="s">
        <v>134</v>
      </c>
      <c r="BY344" t="s">
        <v>134</v>
      </c>
      <c r="BZ344" t="s">
        <v>134</v>
      </c>
      <c r="CA344" t="s">
        <v>134</v>
      </c>
      <c r="CB344" t="s">
        <v>134</v>
      </c>
      <c r="CC344" t="s">
        <v>134</v>
      </c>
      <c r="CD344" t="s">
        <v>134</v>
      </c>
      <c r="CE344" t="s">
        <v>134</v>
      </c>
      <c r="CF344" t="s">
        <v>134</v>
      </c>
      <c r="CG344" t="s">
        <v>134</v>
      </c>
      <c r="CH344" t="s">
        <v>134</v>
      </c>
      <c r="CI344" t="s">
        <v>134</v>
      </c>
      <c r="CJ344" t="s">
        <v>134</v>
      </c>
      <c r="CK344" t="s">
        <v>134</v>
      </c>
      <c r="CL344" t="s">
        <v>134</v>
      </c>
      <c r="CM344" t="s">
        <v>134</v>
      </c>
      <c r="CN344" t="s">
        <v>134</v>
      </c>
      <c r="CO344" t="s">
        <v>134</v>
      </c>
      <c r="CP344" t="s">
        <v>134</v>
      </c>
      <c r="CQ344" t="s">
        <v>134</v>
      </c>
      <c r="CR344" t="s">
        <v>134</v>
      </c>
      <c r="CS344" t="s">
        <v>134</v>
      </c>
      <c r="CT344" t="s">
        <v>134</v>
      </c>
      <c r="CU344" t="s">
        <v>134</v>
      </c>
      <c r="CV344" t="s">
        <v>134</v>
      </c>
      <c r="CW344" t="s">
        <v>134</v>
      </c>
      <c r="CX344" t="s">
        <v>134</v>
      </c>
      <c r="CY344" t="s">
        <v>134</v>
      </c>
      <c r="CZ344" t="s">
        <v>134</v>
      </c>
      <c r="DA344" t="s">
        <v>134</v>
      </c>
      <c r="DB344" t="s">
        <v>134</v>
      </c>
      <c r="DC344" t="s">
        <v>134</v>
      </c>
      <c r="DD344" t="s">
        <v>134</v>
      </c>
      <c r="DE344" t="s">
        <v>134</v>
      </c>
      <c r="DF344" t="s">
        <v>134</v>
      </c>
      <c r="DG344" t="s">
        <v>134</v>
      </c>
      <c r="DH344" t="s">
        <v>134</v>
      </c>
      <c r="DI344" t="s">
        <v>134</v>
      </c>
    </row>
    <row r="345" spans="4:113" x14ac:dyDescent="0.3">
      <c r="E345" t="s">
        <v>79</v>
      </c>
      <c r="F345" t="s">
        <v>134</v>
      </c>
      <c r="G345" t="s">
        <v>134</v>
      </c>
      <c r="H345" t="s">
        <v>134</v>
      </c>
      <c r="I345" t="s">
        <v>134</v>
      </c>
      <c r="J345" t="s">
        <v>134</v>
      </c>
      <c r="K345" t="s">
        <v>134</v>
      </c>
      <c r="L345" t="s">
        <v>134</v>
      </c>
      <c r="M345" t="s">
        <v>134</v>
      </c>
      <c r="N345" t="s">
        <v>134</v>
      </c>
      <c r="O345" t="s">
        <v>134</v>
      </c>
      <c r="P345" t="s">
        <v>134</v>
      </c>
      <c r="Q345" t="s">
        <v>134</v>
      </c>
      <c r="R345" t="s">
        <v>134</v>
      </c>
      <c r="S345" t="s">
        <v>134</v>
      </c>
      <c r="T345" t="s">
        <v>134</v>
      </c>
      <c r="U345" t="s">
        <v>134</v>
      </c>
      <c r="V345" t="s">
        <v>134</v>
      </c>
      <c r="W345" t="s">
        <v>134</v>
      </c>
      <c r="X345" t="s">
        <v>134</v>
      </c>
      <c r="Y345" t="s">
        <v>134</v>
      </c>
      <c r="Z345" t="s">
        <v>134</v>
      </c>
      <c r="AA345" t="s">
        <v>134</v>
      </c>
      <c r="AB345" t="s">
        <v>134</v>
      </c>
      <c r="AC345" t="s">
        <v>134</v>
      </c>
      <c r="AD345" t="s">
        <v>134</v>
      </c>
      <c r="AE345" t="s">
        <v>134</v>
      </c>
      <c r="AF345" t="s">
        <v>134</v>
      </c>
      <c r="AG345" t="s">
        <v>134</v>
      </c>
      <c r="AH345" t="s">
        <v>134</v>
      </c>
      <c r="AI345" t="s">
        <v>134</v>
      </c>
      <c r="AJ345" t="s">
        <v>134</v>
      </c>
      <c r="AK345" t="s">
        <v>134</v>
      </c>
      <c r="AL345" t="s">
        <v>134</v>
      </c>
      <c r="AM345" t="s">
        <v>134</v>
      </c>
      <c r="AN345" t="s">
        <v>134</v>
      </c>
      <c r="AO345" t="s">
        <v>134</v>
      </c>
      <c r="AP345" t="s">
        <v>134</v>
      </c>
      <c r="AQ345" t="s">
        <v>134</v>
      </c>
      <c r="AR345" t="s">
        <v>134</v>
      </c>
      <c r="AS345" t="s">
        <v>134</v>
      </c>
      <c r="AT345" t="s">
        <v>134</v>
      </c>
      <c r="AU345" t="s">
        <v>134</v>
      </c>
      <c r="AV345" t="s">
        <v>134</v>
      </c>
      <c r="AW345" t="s">
        <v>134</v>
      </c>
      <c r="AX345" t="s">
        <v>134</v>
      </c>
      <c r="AY345" t="s">
        <v>134</v>
      </c>
      <c r="AZ345" t="s">
        <v>134</v>
      </c>
      <c r="BA345" t="s">
        <v>134</v>
      </c>
      <c r="BB345" t="s">
        <v>134</v>
      </c>
      <c r="BC345" t="s">
        <v>134</v>
      </c>
      <c r="BD345" t="s">
        <v>134</v>
      </c>
      <c r="BE345" t="s">
        <v>134</v>
      </c>
      <c r="BF345" t="s">
        <v>134</v>
      </c>
      <c r="BG345" t="s">
        <v>134</v>
      </c>
      <c r="BH345" t="s">
        <v>134</v>
      </c>
      <c r="BI345" t="s">
        <v>134</v>
      </c>
      <c r="BJ345" t="s">
        <v>134</v>
      </c>
      <c r="BK345" t="s">
        <v>134</v>
      </c>
      <c r="BL345" t="s">
        <v>134</v>
      </c>
      <c r="BM345" t="s">
        <v>134</v>
      </c>
      <c r="BN345" t="s">
        <v>134</v>
      </c>
      <c r="BO345" t="s">
        <v>134</v>
      </c>
      <c r="BP345" t="s">
        <v>134</v>
      </c>
      <c r="BQ345" t="s">
        <v>134</v>
      </c>
      <c r="BR345" t="s">
        <v>134</v>
      </c>
      <c r="BS345" t="s">
        <v>134</v>
      </c>
      <c r="BT345" t="s">
        <v>134</v>
      </c>
      <c r="BU345" t="s">
        <v>134</v>
      </c>
      <c r="BV345" t="s">
        <v>134</v>
      </c>
      <c r="BW345" t="s">
        <v>134</v>
      </c>
      <c r="BX345" t="s">
        <v>134</v>
      </c>
      <c r="BY345" t="s">
        <v>134</v>
      </c>
      <c r="BZ345" t="s">
        <v>134</v>
      </c>
      <c r="CA345" t="s">
        <v>134</v>
      </c>
      <c r="CB345" t="s">
        <v>134</v>
      </c>
      <c r="CC345" t="s">
        <v>134</v>
      </c>
      <c r="CD345" t="s">
        <v>134</v>
      </c>
      <c r="CE345" t="s">
        <v>134</v>
      </c>
      <c r="CF345" t="s">
        <v>134</v>
      </c>
      <c r="CG345" t="s">
        <v>134</v>
      </c>
      <c r="CH345" t="s">
        <v>134</v>
      </c>
      <c r="CI345" t="s">
        <v>134</v>
      </c>
      <c r="CJ345" t="s">
        <v>134</v>
      </c>
      <c r="CK345" t="s">
        <v>134</v>
      </c>
      <c r="CL345" t="s">
        <v>134</v>
      </c>
      <c r="CM345" t="s">
        <v>134</v>
      </c>
      <c r="CN345" t="s">
        <v>134</v>
      </c>
      <c r="CO345" t="s">
        <v>134</v>
      </c>
      <c r="CP345" t="s">
        <v>134</v>
      </c>
      <c r="CQ345" t="s">
        <v>134</v>
      </c>
      <c r="CR345" t="s">
        <v>134</v>
      </c>
      <c r="CS345" t="s">
        <v>134</v>
      </c>
      <c r="CT345" t="s">
        <v>134</v>
      </c>
      <c r="CU345" t="s">
        <v>134</v>
      </c>
      <c r="CV345" t="s">
        <v>134</v>
      </c>
      <c r="CW345" t="s">
        <v>134</v>
      </c>
      <c r="CX345" t="s">
        <v>134</v>
      </c>
      <c r="CY345" t="s">
        <v>134</v>
      </c>
      <c r="CZ345" t="s">
        <v>134</v>
      </c>
      <c r="DA345" t="s">
        <v>134</v>
      </c>
      <c r="DB345" t="s">
        <v>134</v>
      </c>
      <c r="DC345" t="s">
        <v>134</v>
      </c>
      <c r="DD345" t="s">
        <v>134</v>
      </c>
      <c r="DE345" t="s">
        <v>134</v>
      </c>
      <c r="DF345" t="s">
        <v>134</v>
      </c>
      <c r="DG345" t="s">
        <v>134</v>
      </c>
      <c r="DH345" t="s">
        <v>134</v>
      </c>
      <c r="DI345" t="s">
        <v>134</v>
      </c>
    </row>
    <row r="346" spans="4:113" x14ac:dyDescent="0.3">
      <c r="E346" t="s">
        <v>80</v>
      </c>
      <c r="F346" t="s">
        <v>134</v>
      </c>
      <c r="G346" t="s">
        <v>134</v>
      </c>
      <c r="H346" t="s">
        <v>134</v>
      </c>
      <c r="I346" t="s">
        <v>134</v>
      </c>
      <c r="J346" t="s">
        <v>134</v>
      </c>
      <c r="K346" t="s">
        <v>134</v>
      </c>
      <c r="L346" t="s">
        <v>134</v>
      </c>
      <c r="M346" t="s">
        <v>134</v>
      </c>
      <c r="N346" t="s">
        <v>134</v>
      </c>
      <c r="O346" t="s">
        <v>134</v>
      </c>
      <c r="P346" t="s">
        <v>134</v>
      </c>
      <c r="Q346" t="s">
        <v>134</v>
      </c>
      <c r="R346" t="s">
        <v>134</v>
      </c>
      <c r="S346" t="s">
        <v>134</v>
      </c>
      <c r="T346" t="s">
        <v>134</v>
      </c>
      <c r="U346" t="s">
        <v>134</v>
      </c>
      <c r="V346" t="s">
        <v>134</v>
      </c>
      <c r="W346" t="s">
        <v>134</v>
      </c>
      <c r="X346" t="s">
        <v>134</v>
      </c>
      <c r="Y346" t="s">
        <v>134</v>
      </c>
      <c r="Z346" t="s">
        <v>134</v>
      </c>
      <c r="AA346" t="s">
        <v>134</v>
      </c>
      <c r="AB346" t="s">
        <v>134</v>
      </c>
      <c r="AC346" t="s">
        <v>134</v>
      </c>
      <c r="AD346" t="s">
        <v>134</v>
      </c>
      <c r="AE346" t="s">
        <v>134</v>
      </c>
      <c r="AF346" t="s">
        <v>134</v>
      </c>
      <c r="AG346" t="s">
        <v>134</v>
      </c>
      <c r="AH346" t="s">
        <v>134</v>
      </c>
      <c r="AI346" t="s">
        <v>134</v>
      </c>
      <c r="AJ346" t="s">
        <v>134</v>
      </c>
      <c r="AK346" t="s">
        <v>134</v>
      </c>
      <c r="AL346" t="s">
        <v>134</v>
      </c>
      <c r="AM346" t="s">
        <v>134</v>
      </c>
      <c r="AN346" t="s">
        <v>134</v>
      </c>
      <c r="AO346" t="s">
        <v>134</v>
      </c>
      <c r="AP346" t="s">
        <v>134</v>
      </c>
      <c r="AQ346" t="s">
        <v>134</v>
      </c>
      <c r="AR346" t="s">
        <v>134</v>
      </c>
      <c r="AS346" t="s">
        <v>134</v>
      </c>
      <c r="AT346" t="s">
        <v>134</v>
      </c>
      <c r="AU346" t="s">
        <v>134</v>
      </c>
      <c r="AV346" t="s">
        <v>134</v>
      </c>
      <c r="AW346" t="s">
        <v>134</v>
      </c>
      <c r="AX346" t="s">
        <v>134</v>
      </c>
      <c r="AY346" t="s">
        <v>134</v>
      </c>
      <c r="AZ346" t="s">
        <v>134</v>
      </c>
      <c r="BA346" t="s">
        <v>134</v>
      </c>
      <c r="BB346" t="s">
        <v>134</v>
      </c>
      <c r="BC346" t="s">
        <v>134</v>
      </c>
      <c r="BD346" t="s">
        <v>134</v>
      </c>
      <c r="BE346" t="s">
        <v>134</v>
      </c>
      <c r="BF346" t="s">
        <v>134</v>
      </c>
      <c r="BG346" t="s">
        <v>134</v>
      </c>
      <c r="BH346" t="s">
        <v>134</v>
      </c>
      <c r="BI346" t="s">
        <v>134</v>
      </c>
      <c r="BJ346" t="s">
        <v>134</v>
      </c>
      <c r="BK346" t="s">
        <v>134</v>
      </c>
      <c r="BL346" t="s">
        <v>134</v>
      </c>
      <c r="BM346" t="s">
        <v>134</v>
      </c>
      <c r="BN346" t="s">
        <v>134</v>
      </c>
      <c r="BO346" t="s">
        <v>134</v>
      </c>
      <c r="BP346" t="s">
        <v>134</v>
      </c>
      <c r="BQ346" t="s">
        <v>134</v>
      </c>
      <c r="BR346" t="s">
        <v>134</v>
      </c>
      <c r="BS346" t="s">
        <v>134</v>
      </c>
      <c r="BT346" t="s">
        <v>134</v>
      </c>
      <c r="BU346" t="s">
        <v>134</v>
      </c>
      <c r="BV346" t="s">
        <v>134</v>
      </c>
      <c r="BW346" t="s">
        <v>134</v>
      </c>
      <c r="BX346" t="s">
        <v>134</v>
      </c>
      <c r="BY346" t="s">
        <v>134</v>
      </c>
      <c r="BZ346" t="s">
        <v>134</v>
      </c>
      <c r="CA346" t="s">
        <v>134</v>
      </c>
      <c r="CB346" t="s">
        <v>134</v>
      </c>
      <c r="CC346" t="s">
        <v>134</v>
      </c>
      <c r="CD346" t="s">
        <v>134</v>
      </c>
      <c r="CE346" t="s">
        <v>134</v>
      </c>
      <c r="CF346" t="s">
        <v>134</v>
      </c>
      <c r="CG346" t="s">
        <v>134</v>
      </c>
      <c r="CH346" t="s">
        <v>134</v>
      </c>
      <c r="CI346" t="s">
        <v>134</v>
      </c>
      <c r="CJ346" t="s">
        <v>134</v>
      </c>
      <c r="CK346" t="s">
        <v>134</v>
      </c>
      <c r="CL346" t="s">
        <v>134</v>
      </c>
      <c r="CM346" t="s">
        <v>134</v>
      </c>
      <c r="CN346" t="s">
        <v>134</v>
      </c>
      <c r="CO346" t="s">
        <v>134</v>
      </c>
      <c r="CP346" t="s">
        <v>134</v>
      </c>
      <c r="CQ346" t="s">
        <v>134</v>
      </c>
      <c r="CR346" t="s">
        <v>134</v>
      </c>
      <c r="CS346" t="s">
        <v>134</v>
      </c>
      <c r="CT346" t="s">
        <v>134</v>
      </c>
      <c r="CU346" t="s">
        <v>134</v>
      </c>
      <c r="CV346" t="s">
        <v>134</v>
      </c>
      <c r="CW346" t="s">
        <v>134</v>
      </c>
      <c r="CX346" t="s">
        <v>134</v>
      </c>
      <c r="CY346" t="s">
        <v>134</v>
      </c>
      <c r="CZ346" t="s">
        <v>134</v>
      </c>
      <c r="DA346" t="s">
        <v>134</v>
      </c>
      <c r="DB346" t="s">
        <v>134</v>
      </c>
      <c r="DC346" t="s">
        <v>134</v>
      </c>
      <c r="DD346" t="s">
        <v>134</v>
      </c>
      <c r="DE346" t="s">
        <v>134</v>
      </c>
      <c r="DF346" t="s">
        <v>134</v>
      </c>
      <c r="DG346" t="s">
        <v>134</v>
      </c>
      <c r="DH346" t="s">
        <v>134</v>
      </c>
      <c r="DI346" t="s">
        <v>134</v>
      </c>
    </row>
    <row r="347" spans="4:113" x14ac:dyDescent="0.3">
      <c r="E347" t="s">
        <v>81</v>
      </c>
      <c r="F347" t="s">
        <v>134</v>
      </c>
      <c r="G347" t="s">
        <v>134</v>
      </c>
      <c r="H347" t="s">
        <v>134</v>
      </c>
      <c r="I347" t="s">
        <v>134</v>
      </c>
      <c r="J347" t="s">
        <v>134</v>
      </c>
      <c r="K347" t="s">
        <v>134</v>
      </c>
      <c r="L347" t="s">
        <v>134</v>
      </c>
      <c r="M347" t="s">
        <v>134</v>
      </c>
      <c r="N347" t="s">
        <v>134</v>
      </c>
      <c r="O347" t="s">
        <v>134</v>
      </c>
      <c r="P347" t="s">
        <v>134</v>
      </c>
      <c r="Q347" t="s">
        <v>134</v>
      </c>
      <c r="R347" t="s">
        <v>134</v>
      </c>
      <c r="S347" t="s">
        <v>134</v>
      </c>
      <c r="T347" t="s">
        <v>134</v>
      </c>
      <c r="U347" t="s">
        <v>134</v>
      </c>
      <c r="V347" t="s">
        <v>134</v>
      </c>
      <c r="W347" t="s">
        <v>134</v>
      </c>
      <c r="X347" t="s">
        <v>134</v>
      </c>
      <c r="Y347" t="s">
        <v>134</v>
      </c>
      <c r="Z347" t="s">
        <v>134</v>
      </c>
      <c r="AA347" t="s">
        <v>134</v>
      </c>
      <c r="AB347" t="s">
        <v>134</v>
      </c>
      <c r="AC347" t="s">
        <v>134</v>
      </c>
      <c r="AD347" t="s">
        <v>134</v>
      </c>
      <c r="AE347" t="s">
        <v>134</v>
      </c>
      <c r="AF347" t="s">
        <v>134</v>
      </c>
      <c r="AG347" t="s">
        <v>134</v>
      </c>
      <c r="AH347" t="s">
        <v>134</v>
      </c>
      <c r="AI347" t="s">
        <v>134</v>
      </c>
      <c r="AJ347" t="s">
        <v>134</v>
      </c>
      <c r="AK347" t="s">
        <v>134</v>
      </c>
      <c r="AL347" t="s">
        <v>134</v>
      </c>
      <c r="AM347" t="s">
        <v>134</v>
      </c>
      <c r="AN347" t="s">
        <v>134</v>
      </c>
      <c r="AO347" t="s">
        <v>134</v>
      </c>
      <c r="AP347" t="s">
        <v>134</v>
      </c>
      <c r="AQ347" t="s">
        <v>134</v>
      </c>
      <c r="AR347" t="s">
        <v>134</v>
      </c>
      <c r="AS347" t="s">
        <v>134</v>
      </c>
      <c r="AT347" t="s">
        <v>134</v>
      </c>
      <c r="AU347" t="s">
        <v>134</v>
      </c>
      <c r="AV347" t="s">
        <v>134</v>
      </c>
      <c r="AW347" t="s">
        <v>134</v>
      </c>
      <c r="AX347" t="s">
        <v>134</v>
      </c>
      <c r="AY347" t="s">
        <v>134</v>
      </c>
      <c r="AZ347" t="s">
        <v>134</v>
      </c>
      <c r="BA347" t="s">
        <v>134</v>
      </c>
      <c r="BB347" t="s">
        <v>134</v>
      </c>
      <c r="BC347" t="s">
        <v>134</v>
      </c>
      <c r="BD347" t="s">
        <v>134</v>
      </c>
      <c r="BE347" t="s">
        <v>134</v>
      </c>
      <c r="BF347" t="s">
        <v>134</v>
      </c>
      <c r="BG347" t="s">
        <v>134</v>
      </c>
      <c r="BH347" t="s">
        <v>134</v>
      </c>
      <c r="BI347" t="s">
        <v>134</v>
      </c>
      <c r="BJ347" t="s">
        <v>134</v>
      </c>
      <c r="BK347" t="s">
        <v>134</v>
      </c>
      <c r="BL347" t="s">
        <v>134</v>
      </c>
      <c r="BM347" t="s">
        <v>134</v>
      </c>
      <c r="BN347" t="s">
        <v>134</v>
      </c>
      <c r="BO347" t="s">
        <v>134</v>
      </c>
      <c r="BP347" t="s">
        <v>134</v>
      </c>
      <c r="BQ347" t="s">
        <v>134</v>
      </c>
      <c r="BR347" t="s">
        <v>134</v>
      </c>
      <c r="BS347" t="s">
        <v>134</v>
      </c>
      <c r="BT347" t="s">
        <v>134</v>
      </c>
      <c r="BU347" t="s">
        <v>134</v>
      </c>
      <c r="BV347" t="s">
        <v>134</v>
      </c>
      <c r="BW347" t="s">
        <v>134</v>
      </c>
      <c r="BX347" t="s">
        <v>134</v>
      </c>
      <c r="BY347" t="s">
        <v>134</v>
      </c>
      <c r="BZ347" t="s">
        <v>134</v>
      </c>
      <c r="CA347" t="s">
        <v>134</v>
      </c>
      <c r="CB347" t="s">
        <v>134</v>
      </c>
      <c r="CC347" t="s">
        <v>134</v>
      </c>
      <c r="CD347" t="s">
        <v>134</v>
      </c>
      <c r="CE347" t="s">
        <v>134</v>
      </c>
      <c r="CF347" t="s">
        <v>134</v>
      </c>
      <c r="CG347" t="s">
        <v>134</v>
      </c>
      <c r="CH347" t="s">
        <v>134</v>
      </c>
      <c r="CI347" t="s">
        <v>134</v>
      </c>
      <c r="CJ347" t="s">
        <v>134</v>
      </c>
      <c r="CK347" t="s">
        <v>134</v>
      </c>
      <c r="CL347" t="s">
        <v>134</v>
      </c>
      <c r="CM347" t="s">
        <v>134</v>
      </c>
      <c r="CN347" t="s">
        <v>134</v>
      </c>
      <c r="CO347" t="s">
        <v>134</v>
      </c>
      <c r="CP347" t="s">
        <v>134</v>
      </c>
      <c r="CQ347" t="s">
        <v>134</v>
      </c>
      <c r="CR347" t="s">
        <v>134</v>
      </c>
      <c r="CS347" t="s">
        <v>134</v>
      </c>
      <c r="CT347" t="s">
        <v>134</v>
      </c>
      <c r="CU347" t="s">
        <v>134</v>
      </c>
      <c r="CV347" t="s">
        <v>134</v>
      </c>
      <c r="CW347" t="s">
        <v>134</v>
      </c>
      <c r="CX347" t="s">
        <v>134</v>
      </c>
      <c r="CY347" t="s">
        <v>134</v>
      </c>
      <c r="CZ347" t="s">
        <v>134</v>
      </c>
      <c r="DA347" t="s">
        <v>134</v>
      </c>
      <c r="DB347" t="s">
        <v>134</v>
      </c>
      <c r="DC347" t="s">
        <v>134</v>
      </c>
      <c r="DD347" t="s">
        <v>134</v>
      </c>
      <c r="DE347" t="s">
        <v>134</v>
      </c>
      <c r="DF347" t="s">
        <v>134</v>
      </c>
      <c r="DG347" t="s">
        <v>134</v>
      </c>
      <c r="DH347" t="s">
        <v>134</v>
      </c>
      <c r="DI347" t="s">
        <v>134</v>
      </c>
    </row>
    <row r="348" spans="4:113" x14ac:dyDescent="0.3">
      <c r="D348" t="s">
        <v>85</v>
      </c>
      <c r="E348" t="s">
        <v>77</v>
      </c>
      <c r="F348">
        <v>19.460799999999999</v>
      </c>
      <c r="G348">
        <v>3.61</v>
      </c>
      <c r="H348">
        <v>17.690000000000001</v>
      </c>
      <c r="I348">
        <v>21.747599999999998</v>
      </c>
      <c r="J348" t="s">
        <v>134</v>
      </c>
      <c r="K348">
        <v>54.993699999999997</v>
      </c>
      <c r="L348">
        <v>38.053199999999997</v>
      </c>
      <c r="M348">
        <v>37.322400000000002</v>
      </c>
      <c r="N348">
        <v>35.992699999999999</v>
      </c>
      <c r="O348">
        <v>35.992699999999999</v>
      </c>
      <c r="P348">
        <v>35.992699999999999</v>
      </c>
      <c r="Q348">
        <v>34.551299999999998</v>
      </c>
      <c r="R348" t="s">
        <v>134</v>
      </c>
      <c r="S348" t="s">
        <v>134</v>
      </c>
      <c r="T348">
        <v>27.5075</v>
      </c>
      <c r="U348" t="s">
        <v>134</v>
      </c>
      <c r="V348">
        <v>20.617799999999999</v>
      </c>
      <c r="W348">
        <v>21.008500000000002</v>
      </c>
      <c r="X348">
        <v>20.7882</v>
      </c>
      <c r="Y348" t="s">
        <v>134</v>
      </c>
      <c r="Z348" t="s">
        <v>134</v>
      </c>
      <c r="AA348" t="s">
        <v>134</v>
      </c>
      <c r="AB348">
        <v>-5.4242999999999997</v>
      </c>
      <c r="AC348">
        <v>46.546900000000001</v>
      </c>
      <c r="AD348" t="s">
        <v>134</v>
      </c>
      <c r="AE348" t="s">
        <v>134</v>
      </c>
      <c r="AF348" t="s">
        <v>134</v>
      </c>
      <c r="AG348">
        <v>81.936199999999999</v>
      </c>
      <c r="AH348">
        <v>-68.654600000000002</v>
      </c>
      <c r="AI348">
        <v>110.9984</v>
      </c>
      <c r="AJ348">
        <v>76.576999999999998</v>
      </c>
      <c r="AK348">
        <v>93.722200000000001</v>
      </c>
      <c r="AL348" t="s">
        <v>134</v>
      </c>
      <c r="AM348" t="s">
        <v>134</v>
      </c>
      <c r="AN348" t="s">
        <v>134</v>
      </c>
      <c r="AO348" t="s">
        <v>134</v>
      </c>
      <c r="AP348" t="s">
        <v>134</v>
      </c>
      <c r="AQ348" t="s">
        <v>134</v>
      </c>
      <c r="AR348" t="s">
        <v>134</v>
      </c>
      <c r="AS348" t="s">
        <v>134</v>
      </c>
      <c r="AT348" t="s">
        <v>134</v>
      </c>
      <c r="AU348" t="s">
        <v>134</v>
      </c>
      <c r="AV348" t="s">
        <v>134</v>
      </c>
      <c r="AW348" t="s">
        <v>134</v>
      </c>
      <c r="AX348" t="s">
        <v>134</v>
      </c>
      <c r="AY348" t="s">
        <v>134</v>
      </c>
      <c r="AZ348" t="s">
        <v>134</v>
      </c>
      <c r="BA348" t="s">
        <v>134</v>
      </c>
      <c r="BB348" t="s">
        <v>134</v>
      </c>
      <c r="BC348" t="s">
        <v>134</v>
      </c>
      <c r="BD348" t="s">
        <v>134</v>
      </c>
      <c r="BE348" t="s">
        <v>134</v>
      </c>
      <c r="BF348">
        <v>27.5075</v>
      </c>
      <c r="BG348" t="s">
        <v>134</v>
      </c>
      <c r="BH348">
        <v>20.617799999999999</v>
      </c>
      <c r="BI348">
        <v>21.008500000000002</v>
      </c>
      <c r="BJ348">
        <v>20.7882</v>
      </c>
      <c r="BK348" t="s">
        <v>134</v>
      </c>
      <c r="BL348" t="s">
        <v>134</v>
      </c>
      <c r="BM348" t="s">
        <v>134</v>
      </c>
      <c r="BN348">
        <v>-5.4242999999999997</v>
      </c>
      <c r="BO348">
        <v>46.546900000000001</v>
      </c>
      <c r="BP348" t="s">
        <v>134</v>
      </c>
      <c r="BQ348" t="s">
        <v>134</v>
      </c>
      <c r="BR348" t="s">
        <v>134</v>
      </c>
      <c r="BS348">
        <v>81.936199999999999</v>
      </c>
      <c r="BT348">
        <v>-68.654600000000002</v>
      </c>
      <c r="BU348">
        <v>110.9984</v>
      </c>
      <c r="BV348">
        <v>76.576999999999998</v>
      </c>
      <c r="BW348">
        <v>93.722200000000001</v>
      </c>
      <c r="BX348" t="s">
        <v>134</v>
      </c>
      <c r="BY348">
        <v>3303.3487</v>
      </c>
      <c r="BZ348">
        <v>453.34870000000001</v>
      </c>
      <c r="CA348">
        <v>2850</v>
      </c>
      <c r="CB348" t="s">
        <v>134</v>
      </c>
      <c r="CC348" t="s">
        <v>134</v>
      </c>
      <c r="CD348">
        <v>0.16070000000000001</v>
      </c>
      <c r="CE348">
        <v>-2.5197000000000003</v>
      </c>
      <c r="CF348" t="s">
        <v>134</v>
      </c>
      <c r="CG348">
        <v>21.173400000000001</v>
      </c>
      <c r="CH348">
        <v>3.0377000000000001</v>
      </c>
      <c r="CI348">
        <v>2.9344000000000001</v>
      </c>
      <c r="CJ348">
        <v>0.64319999999999999</v>
      </c>
      <c r="CK348">
        <v>3.5209999999999999</v>
      </c>
      <c r="CL348">
        <v>3.4012000000000002</v>
      </c>
      <c r="CM348">
        <v>0.74550000000000005</v>
      </c>
      <c r="CN348">
        <v>-55.2151</v>
      </c>
      <c r="CO348">
        <v>-123.2894</v>
      </c>
      <c r="CP348" t="s">
        <v>134</v>
      </c>
      <c r="CQ348" t="s">
        <v>134</v>
      </c>
      <c r="CR348">
        <v>20558.968099999998</v>
      </c>
      <c r="CS348" t="s">
        <v>134</v>
      </c>
      <c r="CT348" t="s">
        <v>134</v>
      </c>
      <c r="CU348" t="s">
        <v>134</v>
      </c>
      <c r="CV348">
        <v>1.6675</v>
      </c>
      <c r="CW348" t="s">
        <v>134</v>
      </c>
      <c r="CX348" t="s">
        <v>134</v>
      </c>
      <c r="CY348" t="s">
        <v>134</v>
      </c>
      <c r="CZ348" t="s">
        <v>134</v>
      </c>
      <c r="DA348" t="s">
        <v>134</v>
      </c>
      <c r="DB348" t="s">
        <v>134</v>
      </c>
      <c r="DC348" t="s">
        <v>134</v>
      </c>
      <c r="DD348" t="s">
        <v>134</v>
      </c>
      <c r="DE348" t="s">
        <v>134</v>
      </c>
      <c r="DF348" t="s">
        <v>134</v>
      </c>
      <c r="DG348" t="s">
        <v>134</v>
      </c>
      <c r="DH348" t="s">
        <v>134</v>
      </c>
      <c r="DI348" t="s">
        <v>134</v>
      </c>
    </row>
    <row r="349" spans="4:113" x14ac:dyDescent="0.3">
      <c r="E349" t="s">
        <v>78</v>
      </c>
      <c r="F349" t="s">
        <v>134</v>
      </c>
      <c r="G349" t="s">
        <v>134</v>
      </c>
      <c r="H349" t="s">
        <v>134</v>
      </c>
      <c r="I349" t="s">
        <v>134</v>
      </c>
      <c r="J349" t="s">
        <v>134</v>
      </c>
      <c r="K349" t="s">
        <v>134</v>
      </c>
      <c r="L349" t="s">
        <v>134</v>
      </c>
      <c r="M349" t="s">
        <v>134</v>
      </c>
      <c r="N349" t="s">
        <v>134</v>
      </c>
      <c r="O349" t="s">
        <v>134</v>
      </c>
      <c r="P349" t="s">
        <v>134</v>
      </c>
      <c r="Q349" t="s">
        <v>134</v>
      </c>
      <c r="R349" t="s">
        <v>134</v>
      </c>
      <c r="S349" t="s">
        <v>134</v>
      </c>
      <c r="T349" t="s">
        <v>134</v>
      </c>
      <c r="U349" t="s">
        <v>134</v>
      </c>
      <c r="V349" t="s">
        <v>134</v>
      </c>
      <c r="W349" t="s">
        <v>134</v>
      </c>
      <c r="X349" t="s">
        <v>134</v>
      </c>
      <c r="Y349" t="s">
        <v>134</v>
      </c>
      <c r="Z349" t="s">
        <v>134</v>
      </c>
      <c r="AA349" t="s">
        <v>134</v>
      </c>
      <c r="AB349" t="s">
        <v>134</v>
      </c>
      <c r="AC349" t="s">
        <v>134</v>
      </c>
      <c r="AD349" t="s">
        <v>134</v>
      </c>
      <c r="AE349" t="s">
        <v>134</v>
      </c>
      <c r="AF349" t="s">
        <v>134</v>
      </c>
      <c r="AG349" t="s">
        <v>134</v>
      </c>
      <c r="AH349" t="s">
        <v>134</v>
      </c>
      <c r="AI349" t="s">
        <v>134</v>
      </c>
      <c r="AJ349" t="s">
        <v>134</v>
      </c>
      <c r="AK349" t="s">
        <v>134</v>
      </c>
      <c r="AL349" t="s">
        <v>134</v>
      </c>
      <c r="AM349" t="s">
        <v>134</v>
      </c>
      <c r="AN349" t="s">
        <v>134</v>
      </c>
      <c r="AO349" t="s">
        <v>134</v>
      </c>
      <c r="AP349" t="s">
        <v>134</v>
      </c>
      <c r="AQ349" t="s">
        <v>134</v>
      </c>
      <c r="AR349" t="s">
        <v>134</v>
      </c>
      <c r="AS349" t="s">
        <v>134</v>
      </c>
      <c r="AT349" t="s">
        <v>134</v>
      </c>
      <c r="AU349" t="s">
        <v>134</v>
      </c>
      <c r="AV349" t="s">
        <v>134</v>
      </c>
      <c r="AW349" t="s">
        <v>134</v>
      </c>
      <c r="AX349" t="s">
        <v>134</v>
      </c>
      <c r="AY349" t="s">
        <v>134</v>
      </c>
      <c r="AZ349" t="s">
        <v>134</v>
      </c>
      <c r="BA349" t="s">
        <v>134</v>
      </c>
      <c r="BB349" t="s">
        <v>134</v>
      </c>
      <c r="BC349" t="s">
        <v>134</v>
      </c>
      <c r="BD349" t="s">
        <v>134</v>
      </c>
      <c r="BE349" t="s">
        <v>134</v>
      </c>
      <c r="BF349" t="s">
        <v>134</v>
      </c>
      <c r="BG349" t="s">
        <v>134</v>
      </c>
      <c r="BH349" t="s">
        <v>134</v>
      </c>
      <c r="BI349" t="s">
        <v>134</v>
      </c>
      <c r="BJ349" t="s">
        <v>134</v>
      </c>
      <c r="BK349" t="s">
        <v>134</v>
      </c>
      <c r="BL349" t="s">
        <v>134</v>
      </c>
      <c r="BM349" t="s">
        <v>134</v>
      </c>
      <c r="BN349" t="s">
        <v>134</v>
      </c>
      <c r="BO349" t="s">
        <v>134</v>
      </c>
      <c r="BP349" t="s">
        <v>134</v>
      </c>
      <c r="BQ349" t="s">
        <v>134</v>
      </c>
      <c r="BR349" t="s">
        <v>134</v>
      </c>
      <c r="BS349" t="s">
        <v>134</v>
      </c>
      <c r="BT349" t="s">
        <v>134</v>
      </c>
      <c r="BU349" t="s">
        <v>134</v>
      </c>
      <c r="BV349" t="s">
        <v>134</v>
      </c>
      <c r="BW349" t="s">
        <v>134</v>
      </c>
      <c r="BX349" t="s">
        <v>134</v>
      </c>
      <c r="BY349" t="s">
        <v>134</v>
      </c>
      <c r="BZ349" t="s">
        <v>134</v>
      </c>
      <c r="CA349" t="s">
        <v>134</v>
      </c>
      <c r="CB349" t="s">
        <v>134</v>
      </c>
      <c r="CC349" t="s">
        <v>134</v>
      </c>
      <c r="CD349" t="s">
        <v>134</v>
      </c>
      <c r="CE349" t="s">
        <v>134</v>
      </c>
      <c r="CF349" t="s">
        <v>134</v>
      </c>
      <c r="CG349" t="s">
        <v>134</v>
      </c>
      <c r="CH349" t="s">
        <v>134</v>
      </c>
      <c r="CI349" t="s">
        <v>134</v>
      </c>
      <c r="CJ349" t="s">
        <v>134</v>
      </c>
      <c r="CK349" t="s">
        <v>134</v>
      </c>
      <c r="CL349" t="s">
        <v>134</v>
      </c>
      <c r="CM349" t="s">
        <v>134</v>
      </c>
      <c r="CN349" t="s">
        <v>134</v>
      </c>
      <c r="CO349" t="s">
        <v>134</v>
      </c>
      <c r="CP349" t="s">
        <v>134</v>
      </c>
      <c r="CQ349" t="s">
        <v>134</v>
      </c>
      <c r="CR349" t="s">
        <v>134</v>
      </c>
      <c r="CS349" t="s">
        <v>134</v>
      </c>
      <c r="CT349" t="s">
        <v>134</v>
      </c>
      <c r="CU349" t="s">
        <v>134</v>
      </c>
      <c r="CV349" t="s">
        <v>134</v>
      </c>
      <c r="CW349" t="s">
        <v>134</v>
      </c>
      <c r="CX349" t="s">
        <v>134</v>
      </c>
      <c r="CY349" t="s">
        <v>134</v>
      </c>
      <c r="CZ349" t="s">
        <v>134</v>
      </c>
      <c r="DA349" t="s">
        <v>134</v>
      </c>
      <c r="DB349" t="s">
        <v>134</v>
      </c>
      <c r="DC349" t="s">
        <v>134</v>
      </c>
      <c r="DD349" t="s">
        <v>134</v>
      </c>
      <c r="DE349" t="s">
        <v>134</v>
      </c>
      <c r="DF349" t="s">
        <v>134</v>
      </c>
      <c r="DG349" t="s">
        <v>134</v>
      </c>
      <c r="DH349" t="s">
        <v>134</v>
      </c>
      <c r="DI349" t="s">
        <v>134</v>
      </c>
    </row>
    <row r="350" spans="4:113" x14ac:dyDescent="0.3">
      <c r="E350" t="s">
        <v>79</v>
      </c>
      <c r="F350" t="s">
        <v>134</v>
      </c>
      <c r="G350" t="s">
        <v>134</v>
      </c>
      <c r="H350" t="s">
        <v>134</v>
      </c>
      <c r="I350" t="s">
        <v>134</v>
      </c>
      <c r="J350" t="s">
        <v>134</v>
      </c>
      <c r="K350" t="s">
        <v>134</v>
      </c>
      <c r="L350" t="s">
        <v>134</v>
      </c>
      <c r="M350" t="s">
        <v>134</v>
      </c>
      <c r="N350" t="s">
        <v>134</v>
      </c>
      <c r="O350" t="s">
        <v>134</v>
      </c>
      <c r="P350" t="s">
        <v>134</v>
      </c>
      <c r="Q350" t="s">
        <v>134</v>
      </c>
      <c r="R350" t="s">
        <v>134</v>
      </c>
      <c r="S350" t="s">
        <v>134</v>
      </c>
      <c r="T350" t="s">
        <v>134</v>
      </c>
      <c r="U350" t="s">
        <v>134</v>
      </c>
      <c r="V350" t="s">
        <v>134</v>
      </c>
      <c r="W350" t="s">
        <v>134</v>
      </c>
      <c r="X350" t="s">
        <v>134</v>
      </c>
      <c r="Y350" t="s">
        <v>134</v>
      </c>
      <c r="Z350" t="s">
        <v>134</v>
      </c>
      <c r="AA350" t="s">
        <v>134</v>
      </c>
      <c r="AB350" t="s">
        <v>134</v>
      </c>
      <c r="AC350" t="s">
        <v>134</v>
      </c>
      <c r="AD350" t="s">
        <v>134</v>
      </c>
      <c r="AE350" t="s">
        <v>134</v>
      </c>
      <c r="AF350" t="s">
        <v>134</v>
      </c>
      <c r="AG350" t="s">
        <v>134</v>
      </c>
      <c r="AH350" t="s">
        <v>134</v>
      </c>
      <c r="AI350" t="s">
        <v>134</v>
      </c>
      <c r="AJ350" t="s">
        <v>134</v>
      </c>
      <c r="AK350" t="s">
        <v>134</v>
      </c>
      <c r="AL350" t="s">
        <v>134</v>
      </c>
      <c r="AM350" t="s">
        <v>134</v>
      </c>
      <c r="AN350" t="s">
        <v>134</v>
      </c>
      <c r="AO350" t="s">
        <v>134</v>
      </c>
      <c r="AP350" t="s">
        <v>134</v>
      </c>
      <c r="AQ350" t="s">
        <v>134</v>
      </c>
      <c r="AR350" t="s">
        <v>134</v>
      </c>
      <c r="AS350" t="s">
        <v>134</v>
      </c>
      <c r="AT350" t="s">
        <v>134</v>
      </c>
      <c r="AU350" t="s">
        <v>134</v>
      </c>
      <c r="AV350" t="s">
        <v>134</v>
      </c>
      <c r="AW350" t="s">
        <v>134</v>
      </c>
      <c r="AX350" t="s">
        <v>134</v>
      </c>
      <c r="AY350" t="s">
        <v>134</v>
      </c>
      <c r="AZ350" t="s">
        <v>134</v>
      </c>
      <c r="BA350" t="s">
        <v>134</v>
      </c>
      <c r="BB350" t="s">
        <v>134</v>
      </c>
      <c r="BC350" t="s">
        <v>134</v>
      </c>
      <c r="BD350" t="s">
        <v>134</v>
      </c>
      <c r="BE350" t="s">
        <v>134</v>
      </c>
      <c r="BF350" t="s">
        <v>134</v>
      </c>
      <c r="BG350" t="s">
        <v>134</v>
      </c>
      <c r="BH350" t="s">
        <v>134</v>
      </c>
      <c r="BI350" t="s">
        <v>134</v>
      </c>
      <c r="BJ350" t="s">
        <v>134</v>
      </c>
      <c r="BK350" t="s">
        <v>134</v>
      </c>
      <c r="BL350" t="s">
        <v>134</v>
      </c>
      <c r="BM350" t="s">
        <v>134</v>
      </c>
      <c r="BN350" t="s">
        <v>134</v>
      </c>
      <c r="BO350" t="s">
        <v>134</v>
      </c>
      <c r="BP350" t="s">
        <v>134</v>
      </c>
      <c r="BQ350" t="s">
        <v>134</v>
      </c>
      <c r="BR350" t="s">
        <v>134</v>
      </c>
      <c r="BS350" t="s">
        <v>134</v>
      </c>
      <c r="BT350" t="s">
        <v>134</v>
      </c>
      <c r="BU350" t="s">
        <v>134</v>
      </c>
      <c r="BV350" t="s">
        <v>134</v>
      </c>
      <c r="BW350" t="s">
        <v>134</v>
      </c>
      <c r="BX350" t="s">
        <v>134</v>
      </c>
      <c r="BY350" t="s">
        <v>134</v>
      </c>
      <c r="BZ350" t="s">
        <v>134</v>
      </c>
      <c r="CA350" t="s">
        <v>134</v>
      </c>
      <c r="CB350" t="s">
        <v>134</v>
      </c>
      <c r="CC350" t="s">
        <v>134</v>
      </c>
      <c r="CD350" t="s">
        <v>134</v>
      </c>
      <c r="CE350" t="s">
        <v>134</v>
      </c>
      <c r="CF350" t="s">
        <v>134</v>
      </c>
      <c r="CG350" t="s">
        <v>134</v>
      </c>
      <c r="CH350" t="s">
        <v>134</v>
      </c>
      <c r="CI350" t="s">
        <v>134</v>
      </c>
      <c r="CJ350" t="s">
        <v>134</v>
      </c>
      <c r="CK350" t="s">
        <v>134</v>
      </c>
      <c r="CL350" t="s">
        <v>134</v>
      </c>
      <c r="CM350" t="s">
        <v>134</v>
      </c>
      <c r="CN350" t="s">
        <v>134</v>
      </c>
      <c r="CO350" t="s">
        <v>134</v>
      </c>
      <c r="CP350" t="s">
        <v>134</v>
      </c>
      <c r="CQ350" t="s">
        <v>134</v>
      </c>
      <c r="CR350" t="s">
        <v>134</v>
      </c>
      <c r="CS350" t="s">
        <v>134</v>
      </c>
      <c r="CT350" t="s">
        <v>134</v>
      </c>
      <c r="CU350" t="s">
        <v>134</v>
      </c>
      <c r="CV350" t="s">
        <v>134</v>
      </c>
      <c r="CW350" t="s">
        <v>134</v>
      </c>
      <c r="CX350" t="s">
        <v>134</v>
      </c>
      <c r="CY350" t="s">
        <v>134</v>
      </c>
      <c r="CZ350" t="s">
        <v>134</v>
      </c>
      <c r="DA350" t="s">
        <v>134</v>
      </c>
      <c r="DB350" t="s">
        <v>134</v>
      </c>
      <c r="DC350" t="s">
        <v>134</v>
      </c>
      <c r="DD350" t="s">
        <v>134</v>
      </c>
      <c r="DE350" t="s">
        <v>134</v>
      </c>
      <c r="DF350" t="s">
        <v>134</v>
      </c>
      <c r="DG350" t="s">
        <v>134</v>
      </c>
      <c r="DH350" t="s">
        <v>134</v>
      </c>
      <c r="DI350" t="s">
        <v>134</v>
      </c>
    </row>
    <row r="351" spans="4:113" x14ac:dyDescent="0.3">
      <c r="E351" t="s">
        <v>80</v>
      </c>
      <c r="F351" t="s">
        <v>134</v>
      </c>
      <c r="G351" t="s">
        <v>134</v>
      </c>
      <c r="H351" t="s">
        <v>134</v>
      </c>
      <c r="I351" t="s">
        <v>134</v>
      </c>
      <c r="J351" t="s">
        <v>134</v>
      </c>
      <c r="K351" t="s">
        <v>134</v>
      </c>
      <c r="L351" t="s">
        <v>134</v>
      </c>
      <c r="M351" t="s">
        <v>134</v>
      </c>
      <c r="N351" t="s">
        <v>134</v>
      </c>
      <c r="O351" t="s">
        <v>134</v>
      </c>
      <c r="P351" t="s">
        <v>134</v>
      </c>
      <c r="Q351" t="s">
        <v>134</v>
      </c>
      <c r="R351" t="s">
        <v>134</v>
      </c>
      <c r="S351" t="s">
        <v>134</v>
      </c>
      <c r="T351" t="s">
        <v>134</v>
      </c>
      <c r="U351" t="s">
        <v>134</v>
      </c>
      <c r="V351" t="s">
        <v>134</v>
      </c>
      <c r="W351" t="s">
        <v>134</v>
      </c>
      <c r="X351" t="s">
        <v>134</v>
      </c>
      <c r="Y351" t="s">
        <v>134</v>
      </c>
      <c r="Z351" t="s">
        <v>134</v>
      </c>
      <c r="AA351" t="s">
        <v>134</v>
      </c>
      <c r="AB351" t="s">
        <v>134</v>
      </c>
      <c r="AC351" t="s">
        <v>134</v>
      </c>
      <c r="AD351" t="s">
        <v>134</v>
      </c>
      <c r="AE351" t="s">
        <v>134</v>
      </c>
      <c r="AF351" t="s">
        <v>134</v>
      </c>
      <c r="AG351" t="s">
        <v>134</v>
      </c>
      <c r="AH351" t="s">
        <v>134</v>
      </c>
      <c r="AI351" t="s">
        <v>134</v>
      </c>
      <c r="AJ351" t="s">
        <v>134</v>
      </c>
      <c r="AK351" t="s">
        <v>134</v>
      </c>
      <c r="AL351" t="s">
        <v>134</v>
      </c>
      <c r="AM351" t="s">
        <v>134</v>
      </c>
      <c r="AN351" t="s">
        <v>134</v>
      </c>
      <c r="AO351" t="s">
        <v>134</v>
      </c>
      <c r="AP351" t="s">
        <v>134</v>
      </c>
      <c r="AQ351" t="s">
        <v>134</v>
      </c>
      <c r="AR351" t="s">
        <v>134</v>
      </c>
      <c r="AS351" t="s">
        <v>134</v>
      </c>
      <c r="AT351" t="s">
        <v>134</v>
      </c>
      <c r="AU351" t="s">
        <v>134</v>
      </c>
      <c r="AV351" t="s">
        <v>134</v>
      </c>
      <c r="AW351" t="s">
        <v>134</v>
      </c>
      <c r="AX351" t="s">
        <v>134</v>
      </c>
      <c r="AY351" t="s">
        <v>134</v>
      </c>
      <c r="AZ351" t="s">
        <v>134</v>
      </c>
      <c r="BA351" t="s">
        <v>134</v>
      </c>
      <c r="BB351" t="s">
        <v>134</v>
      </c>
      <c r="BC351" t="s">
        <v>134</v>
      </c>
      <c r="BD351" t="s">
        <v>134</v>
      </c>
      <c r="BE351" t="s">
        <v>134</v>
      </c>
      <c r="BF351" t="s">
        <v>134</v>
      </c>
      <c r="BG351" t="s">
        <v>134</v>
      </c>
      <c r="BH351" t="s">
        <v>134</v>
      </c>
      <c r="BI351" t="s">
        <v>134</v>
      </c>
      <c r="BJ351" t="s">
        <v>134</v>
      </c>
      <c r="BK351" t="s">
        <v>134</v>
      </c>
      <c r="BL351" t="s">
        <v>134</v>
      </c>
      <c r="BM351" t="s">
        <v>134</v>
      </c>
      <c r="BN351" t="s">
        <v>134</v>
      </c>
      <c r="BO351" t="s">
        <v>134</v>
      </c>
      <c r="BP351" t="s">
        <v>134</v>
      </c>
      <c r="BQ351" t="s">
        <v>134</v>
      </c>
      <c r="BR351" t="s">
        <v>134</v>
      </c>
      <c r="BS351" t="s">
        <v>134</v>
      </c>
      <c r="BT351" t="s">
        <v>134</v>
      </c>
      <c r="BU351" t="s">
        <v>134</v>
      </c>
      <c r="BV351" t="s">
        <v>134</v>
      </c>
      <c r="BW351" t="s">
        <v>134</v>
      </c>
      <c r="BX351" t="s">
        <v>134</v>
      </c>
      <c r="BY351" t="s">
        <v>134</v>
      </c>
      <c r="BZ351" t="s">
        <v>134</v>
      </c>
      <c r="CA351" t="s">
        <v>134</v>
      </c>
      <c r="CB351" t="s">
        <v>134</v>
      </c>
      <c r="CC351" t="s">
        <v>134</v>
      </c>
      <c r="CD351" t="s">
        <v>134</v>
      </c>
      <c r="CE351" t="s">
        <v>134</v>
      </c>
      <c r="CF351" t="s">
        <v>134</v>
      </c>
      <c r="CG351" t="s">
        <v>134</v>
      </c>
      <c r="CH351" t="s">
        <v>134</v>
      </c>
      <c r="CI351" t="s">
        <v>134</v>
      </c>
      <c r="CJ351" t="s">
        <v>134</v>
      </c>
      <c r="CK351" t="s">
        <v>134</v>
      </c>
      <c r="CL351" t="s">
        <v>134</v>
      </c>
      <c r="CM351" t="s">
        <v>134</v>
      </c>
      <c r="CN351" t="s">
        <v>134</v>
      </c>
      <c r="CO351" t="s">
        <v>134</v>
      </c>
      <c r="CP351" t="s">
        <v>134</v>
      </c>
      <c r="CQ351" t="s">
        <v>134</v>
      </c>
      <c r="CR351" t="s">
        <v>134</v>
      </c>
      <c r="CS351" t="s">
        <v>134</v>
      </c>
      <c r="CT351" t="s">
        <v>134</v>
      </c>
      <c r="CU351" t="s">
        <v>134</v>
      </c>
      <c r="CV351" t="s">
        <v>134</v>
      </c>
      <c r="CW351" t="s">
        <v>134</v>
      </c>
      <c r="CX351" t="s">
        <v>134</v>
      </c>
      <c r="CY351" t="s">
        <v>134</v>
      </c>
      <c r="CZ351" t="s">
        <v>134</v>
      </c>
      <c r="DA351" t="s">
        <v>134</v>
      </c>
      <c r="DB351" t="s">
        <v>134</v>
      </c>
      <c r="DC351" t="s">
        <v>134</v>
      </c>
      <c r="DD351" t="s">
        <v>134</v>
      </c>
      <c r="DE351" t="s">
        <v>134</v>
      </c>
      <c r="DF351" t="s">
        <v>134</v>
      </c>
      <c r="DG351" t="s">
        <v>134</v>
      </c>
      <c r="DH351" t="s">
        <v>134</v>
      </c>
      <c r="DI351" t="s">
        <v>134</v>
      </c>
    </row>
    <row r="352" spans="4:113" x14ac:dyDescent="0.3">
      <c r="E352" t="s">
        <v>81</v>
      </c>
      <c r="F352" t="s">
        <v>134</v>
      </c>
      <c r="G352" t="s">
        <v>134</v>
      </c>
      <c r="H352" t="s">
        <v>134</v>
      </c>
      <c r="I352" t="s">
        <v>134</v>
      </c>
      <c r="J352" t="s">
        <v>134</v>
      </c>
      <c r="K352">
        <v>55.749099999999999</v>
      </c>
      <c r="L352" t="s">
        <v>134</v>
      </c>
      <c r="M352">
        <v>38.271099999999997</v>
      </c>
      <c r="N352">
        <v>36.357599999999998</v>
      </c>
      <c r="O352">
        <v>36.357599999999998</v>
      </c>
      <c r="P352">
        <v>36.357599999999998</v>
      </c>
      <c r="Q352">
        <v>34.7836</v>
      </c>
      <c r="R352" t="s">
        <v>134</v>
      </c>
      <c r="S352" t="s">
        <v>134</v>
      </c>
      <c r="T352" t="s">
        <v>134</v>
      </c>
      <c r="U352" t="s">
        <v>134</v>
      </c>
      <c r="V352" t="s">
        <v>134</v>
      </c>
      <c r="W352" t="s">
        <v>134</v>
      </c>
      <c r="X352" t="s">
        <v>134</v>
      </c>
      <c r="Y352" t="s">
        <v>134</v>
      </c>
      <c r="Z352" t="s">
        <v>134</v>
      </c>
      <c r="AA352" t="s">
        <v>134</v>
      </c>
      <c r="AB352" t="s">
        <v>134</v>
      </c>
      <c r="AC352" t="s">
        <v>134</v>
      </c>
      <c r="AD352" t="s">
        <v>134</v>
      </c>
      <c r="AE352" t="s">
        <v>134</v>
      </c>
      <c r="AF352" t="s">
        <v>134</v>
      </c>
      <c r="AG352" t="s">
        <v>134</v>
      </c>
      <c r="AH352" t="s">
        <v>134</v>
      </c>
      <c r="AI352" t="s">
        <v>134</v>
      </c>
      <c r="AJ352" t="s">
        <v>134</v>
      </c>
      <c r="AK352" t="s">
        <v>134</v>
      </c>
      <c r="AL352" t="s">
        <v>134</v>
      </c>
      <c r="AM352" t="s">
        <v>134</v>
      </c>
      <c r="AN352" t="s">
        <v>134</v>
      </c>
      <c r="AO352" t="s">
        <v>134</v>
      </c>
      <c r="AP352" t="s">
        <v>134</v>
      </c>
      <c r="AQ352" t="s">
        <v>134</v>
      </c>
      <c r="AR352" t="s">
        <v>134</v>
      </c>
      <c r="AS352" t="s">
        <v>134</v>
      </c>
      <c r="AT352" t="s">
        <v>134</v>
      </c>
      <c r="AU352" t="s">
        <v>134</v>
      </c>
      <c r="AV352" t="s">
        <v>134</v>
      </c>
      <c r="AW352" t="s">
        <v>134</v>
      </c>
      <c r="AX352" t="s">
        <v>134</v>
      </c>
      <c r="AY352" t="s">
        <v>134</v>
      </c>
      <c r="AZ352" t="s">
        <v>134</v>
      </c>
      <c r="BA352" t="s">
        <v>134</v>
      </c>
      <c r="BB352" t="s">
        <v>134</v>
      </c>
      <c r="BC352" t="s">
        <v>134</v>
      </c>
      <c r="BD352" t="s">
        <v>134</v>
      </c>
      <c r="BE352" t="s">
        <v>134</v>
      </c>
      <c r="BF352" t="s">
        <v>134</v>
      </c>
      <c r="BG352" t="s">
        <v>134</v>
      </c>
      <c r="BH352" t="s">
        <v>134</v>
      </c>
      <c r="BI352" t="s">
        <v>134</v>
      </c>
      <c r="BJ352" t="s">
        <v>134</v>
      </c>
      <c r="BK352" t="s">
        <v>134</v>
      </c>
      <c r="BL352" t="s">
        <v>134</v>
      </c>
      <c r="BM352" t="s">
        <v>134</v>
      </c>
      <c r="BN352" t="s">
        <v>134</v>
      </c>
      <c r="BO352" t="s">
        <v>134</v>
      </c>
      <c r="BP352" t="s">
        <v>134</v>
      </c>
      <c r="BQ352" t="s">
        <v>134</v>
      </c>
      <c r="BR352" t="s">
        <v>134</v>
      </c>
      <c r="BS352" t="s">
        <v>134</v>
      </c>
      <c r="BT352" t="s">
        <v>134</v>
      </c>
      <c r="BU352" t="s">
        <v>134</v>
      </c>
      <c r="BV352" t="s">
        <v>134</v>
      </c>
      <c r="BW352" t="s">
        <v>134</v>
      </c>
      <c r="BX352" t="s">
        <v>134</v>
      </c>
      <c r="BY352">
        <v>3303.3487</v>
      </c>
      <c r="BZ352">
        <v>453.34870000000001</v>
      </c>
      <c r="CA352">
        <v>2850</v>
      </c>
      <c r="CB352" t="s">
        <v>134</v>
      </c>
      <c r="CC352" t="s">
        <v>134</v>
      </c>
      <c r="CD352" t="s">
        <v>134</v>
      </c>
      <c r="CE352" t="s">
        <v>134</v>
      </c>
      <c r="CF352" t="s">
        <v>134</v>
      </c>
      <c r="CG352">
        <v>21.173400000000001</v>
      </c>
      <c r="CH352">
        <v>3.0377000000000001</v>
      </c>
      <c r="CI352">
        <v>2.9344000000000001</v>
      </c>
      <c r="CJ352">
        <v>0.64319999999999999</v>
      </c>
      <c r="CK352">
        <v>3.5209999999999999</v>
      </c>
      <c r="CL352">
        <v>3.4012000000000002</v>
      </c>
      <c r="CM352">
        <v>0.74550000000000005</v>
      </c>
      <c r="CN352">
        <v>-55.2151</v>
      </c>
      <c r="CO352">
        <v>-123.2894</v>
      </c>
      <c r="CP352" t="s">
        <v>134</v>
      </c>
      <c r="CQ352" t="s">
        <v>134</v>
      </c>
      <c r="CR352">
        <v>5947.2250000000004</v>
      </c>
      <c r="CS352" t="s">
        <v>134</v>
      </c>
      <c r="CT352" t="s">
        <v>134</v>
      </c>
      <c r="CU352" t="s">
        <v>134</v>
      </c>
      <c r="CV352">
        <v>1.6675</v>
      </c>
      <c r="CW352" t="s">
        <v>134</v>
      </c>
      <c r="CX352" t="s">
        <v>134</v>
      </c>
      <c r="CY352" t="s">
        <v>134</v>
      </c>
      <c r="CZ352" t="s">
        <v>134</v>
      </c>
      <c r="DA352" t="s">
        <v>134</v>
      </c>
      <c r="DB352" t="s">
        <v>134</v>
      </c>
      <c r="DC352" t="s">
        <v>134</v>
      </c>
      <c r="DD352" t="s">
        <v>134</v>
      </c>
      <c r="DE352" t="s">
        <v>134</v>
      </c>
      <c r="DF352" t="s">
        <v>134</v>
      </c>
      <c r="DG352" t="s">
        <v>134</v>
      </c>
      <c r="DH352" t="s">
        <v>134</v>
      </c>
      <c r="DI352" t="s">
        <v>134</v>
      </c>
    </row>
    <row r="353" spans="1:113" x14ac:dyDescent="0.3">
      <c r="A353">
        <v>15</v>
      </c>
      <c r="B353" t="s">
        <v>112</v>
      </c>
      <c r="C353" t="s">
        <v>113</v>
      </c>
      <c r="D353" t="s">
        <v>76</v>
      </c>
      <c r="E353" t="s">
        <v>77</v>
      </c>
      <c r="F353">
        <v>14.0611</v>
      </c>
      <c r="G353">
        <v>0.8095</v>
      </c>
      <c r="H353">
        <v>3.1436000000000002</v>
      </c>
      <c r="I353">
        <v>4.5038</v>
      </c>
      <c r="J353" t="s">
        <v>134</v>
      </c>
      <c r="K353">
        <v>32.564999999999998</v>
      </c>
      <c r="L353">
        <v>41.172499999999999</v>
      </c>
      <c r="M353">
        <v>13.0305</v>
      </c>
      <c r="N353">
        <v>27.351500000000001</v>
      </c>
      <c r="O353">
        <v>27.157800000000002</v>
      </c>
      <c r="P353">
        <v>27.157800000000002</v>
      </c>
      <c r="Q353">
        <v>17.763200000000001</v>
      </c>
      <c r="R353">
        <v>18.462199999999999</v>
      </c>
      <c r="S353">
        <v>11.4651</v>
      </c>
      <c r="T353">
        <v>12.3688</v>
      </c>
      <c r="U353" t="s">
        <v>134</v>
      </c>
      <c r="V353">
        <v>15.434699999999999</v>
      </c>
      <c r="W353">
        <v>4.0900999999999996</v>
      </c>
      <c r="X353">
        <v>1.3282</v>
      </c>
      <c r="Y353">
        <v>0</v>
      </c>
      <c r="Z353" t="s">
        <v>134</v>
      </c>
      <c r="AA353" t="s">
        <v>134</v>
      </c>
      <c r="AB353">
        <v>11.718299999999999</v>
      </c>
      <c r="AC353">
        <v>20.866700000000002</v>
      </c>
      <c r="AD353" t="s">
        <v>134</v>
      </c>
      <c r="AE353" t="s">
        <v>134</v>
      </c>
      <c r="AF353" t="s">
        <v>134</v>
      </c>
      <c r="AG353">
        <v>45.867199999999997</v>
      </c>
      <c r="AH353">
        <v>44.145899999999997</v>
      </c>
      <c r="AI353">
        <v>13.816000000000001</v>
      </c>
      <c r="AJ353">
        <v>36.665500000000002</v>
      </c>
      <c r="AK353">
        <v>11.5558</v>
      </c>
      <c r="AL353" t="s">
        <v>134</v>
      </c>
      <c r="AM353">
        <v>20.1311</v>
      </c>
      <c r="AN353" t="s">
        <v>134</v>
      </c>
      <c r="AO353">
        <v>11.3977</v>
      </c>
      <c r="AP353">
        <v>15.969200000000001</v>
      </c>
      <c r="AQ353">
        <v>12.5585</v>
      </c>
      <c r="AR353">
        <v>19.025300000000001</v>
      </c>
      <c r="AS353" t="s">
        <v>134</v>
      </c>
      <c r="AT353" t="s">
        <v>134</v>
      </c>
      <c r="AU353">
        <v>3.7042000000000002</v>
      </c>
      <c r="AV353">
        <v>23.898199999999999</v>
      </c>
      <c r="AW353" t="s">
        <v>134</v>
      </c>
      <c r="AX353" t="s">
        <v>134</v>
      </c>
      <c r="AY353" t="s">
        <v>134</v>
      </c>
      <c r="AZ353">
        <v>42.360300000000002</v>
      </c>
      <c r="BA353">
        <v>36.002699999999997</v>
      </c>
      <c r="BB353">
        <v>23.235299999999999</v>
      </c>
      <c r="BC353">
        <v>32.698700000000002</v>
      </c>
      <c r="BD353">
        <v>19.229199999999999</v>
      </c>
      <c r="BE353" t="s">
        <v>134</v>
      </c>
      <c r="BF353">
        <v>12.3688</v>
      </c>
      <c r="BG353" t="s">
        <v>134</v>
      </c>
      <c r="BH353">
        <v>15.434699999999999</v>
      </c>
      <c r="BI353">
        <v>4.0900999999999996</v>
      </c>
      <c r="BJ353">
        <v>1.3282</v>
      </c>
      <c r="BK353">
        <v>0</v>
      </c>
      <c r="BL353" t="s">
        <v>134</v>
      </c>
      <c r="BM353" t="s">
        <v>134</v>
      </c>
      <c r="BN353">
        <v>11.718299999999999</v>
      </c>
      <c r="BO353">
        <v>20.866700000000002</v>
      </c>
      <c r="BP353" t="s">
        <v>134</v>
      </c>
      <c r="BQ353" t="s">
        <v>134</v>
      </c>
      <c r="BR353" t="s">
        <v>134</v>
      </c>
      <c r="BS353">
        <v>45.867199999999997</v>
      </c>
      <c r="BT353">
        <v>44.145899999999997</v>
      </c>
      <c r="BU353">
        <v>13.816000000000001</v>
      </c>
      <c r="BV353">
        <v>36.665500000000002</v>
      </c>
      <c r="BW353">
        <v>11.5558</v>
      </c>
      <c r="BX353" t="s">
        <v>134</v>
      </c>
      <c r="BY353">
        <v>1470255.9669999999</v>
      </c>
      <c r="BZ353">
        <v>1100492.96</v>
      </c>
      <c r="CA353">
        <v>369763.00699999998</v>
      </c>
      <c r="CB353" t="s">
        <v>134</v>
      </c>
      <c r="CC353" t="s">
        <v>134</v>
      </c>
      <c r="CD353">
        <v>24.518999999999998</v>
      </c>
      <c r="CE353">
        <v>2.1128999999999998</v>
      </c>
      <c r="CF353" t="s">
        <v>134</v>
      </c>
      <c r="CG353">
        <v>5.5976999999999997</v>
      </c>
      <c r="CH353">
        <v>97.292699999999996</v>
      </c>
      <c r="CI353">
        <v>19.983899999999998</v>
      </c>
      <c r="CJ353">
        <v>5.4688999999999997</v>
      </c>
      <c r="CK353">
        <v>386.8562</v>
      </c>
      <c r="CL353">
        <v>79.460099999999997</v>
      </c>
      <c r="CM353">
        <v>21.745699999999999</v>
      </c>
      <c r="CN353">
        <v>33.337299999999999</v>
      </c>
      <c r="CO353">
        <v>25.002199999999998</v>
      </c>
      <c r="CP353" t="s">
        <v>134</v>
      </c>
      <c r="CQ353" t="s">
        <v>134</v>
      </c>
      <c r="CR353">
        <v>59963.894999999997</v>
      </c>
      <c r="CS353" t="s">
        <v>134</v>
      </c>
      <c r="CT353" t="s">
        <v>134</v>
      </c>
      <c r="CU353" t="s">
        <v>134</v>
      </c>
      <c r="CV353" t="s">
        <v>134</v>
      </c>
      <c r="CW353" t="s">
        <v>134</v>
      </c>
      <c r="CX353" t="s">
        <v>134</v>
      </c>
      <c r="CY353" t="s">
        <v>134</v>
      </c>
      <c r="CZ353" t="s">
        <v>134</v>
      </c>
      <c r="DA353" t="s">
        <v>134</v>
      </c>
      <c r="DB353" t="s">
        <v>134</v>
      </c>
      <c r="DC353" t="s">
        <v>134</v>
      </c>
      <c r="DD353" t="s">
        <v>134</v>
      </c>
      <c r="DE353" t="s">
        <v>134</v>
      </c>
      <c r="DF353" t="s">
        <v>134</v>
      </c>
      <c r="DG353" t="s">
        <v>134</v>
      </c>
      <c r="DH353" t="s">
        <v>134</v>
      </c>
      <c r="DI353" t="s">
        <v>134</v>
      </c>
    </row>
    <row r="354" spans="1:113" x14ac:dyDescent="0.3">
      <c r="E354" t="s">
        <v>78</v>
      </c>
      <c r="F354" t="s">
        <v>134</v>
      </c>
      <c r="G354" t="s">
        <v>134</v>
      </c>
      <c r="H354" t="s">
        <v>134</v>
      </c>
      <c r="I354" t="s">
        <v>134</v>
      </c>
      <c r="J354" t="s">
        <v>134</v>
      </c>
      <c r="K354" t="s">
        <v>134</v>
      </c>
      <c r="L354" t="s">
        <v>134</v>
      </c>
      <c r="M354" t="s">
        <v>134</v>
      </c>
      <c r="N354" t="s">
        <v>134</v>
      </c>
      <c r="O354" t="s">
        <v>134</v>
      </c>
      <c r="P354" t="s">
        <v>134</v>
      </c>
      <c r="Q354" t="s">
        <v>134</v>
      </c>
      <c r="R354" t="s">
        <v>134</v>
      </c>
      <c r="S354" t="s">
        <v>134</v>
      </c>
      <c r="T354" t="s">
        <v>134</v>
      </c>
      <c r="U354" t="s">
        <v>134</v>
      </c>
      <c r="V354" t="s">
        <v>134</v>
      </c>
      <c r="W354" t="s">
        <v>134</v>
      </c>
      <c r="X354" t="s">
        <v>134</v>
      </c>
      <c r="Y354" t="s">
        <v>134</v>
      </c>
      <c r="Z354" t="s">
        <v>134</v>
      </c>
      <c r="AA354" t="s">
        <v>134</v>
      </c>
      <c r="AB354" t="s">
        <v>134</v>
      </c>
      <c r="AC354" t="s">
        <v>134</v>
      </c>
      <c r="AD354" t="s">
        <v>134</v>
      </c>
      <c r="AE354" t="s">
        <v>134</v>
      </c>
      <c r="AF354" t="s">
        <v>134</v>
      </c>
      <c r="AG354" t="s">
        <v>134</v>
      </c>
      <c r="AH354" t="s">
        <v>134</v>
      </c>
      <c r="AI354" t="s">
        <v>134</v>
      </c>
      <c r="AJ354" t="s">
        <v>134</v>
      </c>
      <c r="AK354" t="s">
        <v>134</v>
      </c>
      <c r="AL354" t="s">
        <v>134</v>
      </c>
      <c r="AM354" t="s">
        <v>134</v>
      </c>
      <c r="AN354" t="s">
        <v>134</v>
      </c>
      <c r="AO354" t="s">
        <v>134</v>
      </c>
      <c r="AP354" t="s">
        <v>134</v>
      </c>
      <c r="AQ354" t="s">
        <v>134</v>
      </c>
      <c r="AR354" t="s">
        <v>134</v>
      </c>
      <c r="AS354" t="s">
        <v>134</v>
      </c>
      <c r="AT354" t="s">
        <v>134</v>
      </c>
      <c r="AU354" t="s">
        <v>134</v>
      </c>
      <c r="AV354" t="s">
        <v>134</v>
      </c>
      <c r="AW354" t="s">
        <v>134</v>
      </c>
      <c r="AX354" t="s">
        <v>134</v>
      </c>
      <c r="AY354" t="s">
        <v>134</v>
      </c>
      <c r="AZ354" t="s">
        <v>134</v>
      </c>
      <c r="BA354" t="s">
        <v>134</v>
      </c>
      <c r="BB354" t="s">
        <v>134</v>
      </c>
      <c r="BC354" t="s">
        <v>134</v>
      </c>
      <c r="BD354" t="s">
        <v>134</v>
      </c>
      <c r="BE354" t="s">
        <v>134</v>
      </c>
      <c r="BF354" t="s">
        <v>134</v>
      </c>
      <c r="BG354" t="s">
        <v>134</v>
      </c>
      <c r="BH354" t="s">
        <v>134</v>
      </c>
      <c r="BI354" t="s">
        <v>134</v>
      </c>
      <c r="BJ354" t="s">
        <v>134</v>
      </c>
      <c r="BK354" t="s">
        <v>134</v>
      </c>
      <c r="BL354" t="s">
        <v>134</v>
      </c>
      <c r="BM354" t="s">
        <v>134</v>
      </c>
      <c r="BN354" t="s">
        <v>134</v>
      </c>
      <c r="BO354" t="s">
        <v>134</v>
      </c>
      <c r="BP354" t="s">
        <v>134</v>
      </c>
      <c r="BQ354" t="s">
        <v>134</v>
      </c>
      <c r="BR354" t="s">
        <v>134</v>
      </c>
      <c r="BS354" t="s">
        <v>134</v>
      </c>
      <c r="BT354" t="s">
        <v>134</v>
      </c>
      <c r="BU354" t="s">
        <v>134</v>
      </c>
      <c r="BV354" t="s">
        <v>134</v>
      </c>
      <c r="BW354" t="s">
        <v>134</v>
      </c>
      <c r="BX354" t="s">
        <v>134</v>
      </c>
      <c r="BY354" t="s">
        <v>134</v>
      </c>
      <c r="BZ354" t="s">
        <v>134</v>
      </c>
      <c r="CA354" t="s">
        <v>134</v>
      </c>
      <c r="CB354" t="s">
        <v>134</v>
      </c>
      <c r="CC354" t="s">
        <v>134</v>
      </c>
      <c r="CD354" t="s">
        <v>134</v>
      </c>
      <c r="CE354" t="s">
        <v>134</v>
      </c>
      <c r="CF354" t="s">
        <v>134</v>
      </c>
      <c r="CG354" t="s">
        <v>134</v>
      </c>
      <c r="CH354" t="s">
        <v>134</v>
      </c>
      <c r="CI354" t="s">
        <v>134</v>
      </c>
      <c r="CJ354" t="s">
        <v>134</v>
      </c>
      <c r="CK354" t="s">
        <v>134</v>
      </c>
      <c r="CL354" t="s">
        <v>134</v>
      </c>
      <c r="CM354" t="s">
        <v>134</v>
      </c>
      <c r="CN354" t="s">
        <v>134</v>
      </c>
      <c r="CO354" t="s">
        <v>134</v>
      </c>
      <c r="CP354" t="s">
        <v>134</v>
      </c>
      <c r="CQ354" t="s">
        <v>134</v>
      </c>
      <c r="CR354" t="s">
        <v>134</v>
      </c>
      <c r="CS354" t="s">
        <v>134</v>
      </c>
      <c r="CT354" t="s">
        <v>134</v>
      </c>
      <c r="CU354" t="s">
        <v>134</v>
      </c>
      <c r="CV354" t="s">
        <v>134</v>
      </c>
      <c r="CW354" t="s">
        <v>134</v>
      </c>
      <c r="CX354" t="s">
        <v>134</v>
      </c>
      <c r="CY354" t="s">
        <v>134</v>
      </c>
      <c r="CZ354" t="s">
        <v>134</v>
      </c>
      <c r="DA354" t="s">
        <v>134</v>
      </c>
      <c r="DB354" t="s">
        <v>134</v>
      </c>
      <c r="DC354" t="s">
        <v>134</v>
      </c>
      <c r="DD354" t="s">
        <v>134</v>
      </c>
      <c r="DE354" t="s">
        <v>134</v>
      </c>
      <c r="DF354" t="s">
        <v>134</v>
      </c>
      <c r="DG354" t="s">
        <v>134</v>
      </c>
      <c r="DH354" t="s">
        <v>134</v>
      </c>
      <c r="DI354" t="s">
        <v>134</v>
      </c>
    </row>
    <row r="355" spans="1:113" x14ac:dyDescent="0.3">
      <c r="E355" t="s">
        <v>79</v>
      </c>
      <c r="F355" t="s">
        <v>134</v>
      </c>
      <c r="G355" t="s">
        <v>134</v>
      </c>
      <c r="H355" t="s">
        <v>134</v>
      </c>
      <c r="I355" t="s">
        <v>134</v>
      </c>
      <c r="J355" t="s">
        <v>134</v>
      </c>
      <c r="K355" t="s">
        <v>134</v>
      </c>
      <c r="L355" t="s">
        <v>134</v>
      </c>
      <c r="M355" t="s">
        <v>134</v>
      </c>
      <c r="N355" t="s">
        <v>134</v>
      </c>
      <c r="O355" t="s">
        <v>134</v>
      </c>
      <c r="P355" t="s">
        <v>134</v>
      </c>
      <c r="Q355" t="s">
        <v>134</v>
      </c>
      <c r="R355" t="s">
        <v>134</v>
      </c>
      <c r="S355" t="s">
        <v>134</v>
      </c>
      <c r="T355" t="s">
        <v>134</v>
      </c>
      <c r="U355" t="s">
        <v>134</v>
      </c>
      <c r="V355" t="s">
        <v>134</v>
      </c>
      <c r="W355" t="s">
        <v>134</v>
      </c>
      <c r="X355" t="s">
        <v>134</v>
      </c>
      <c r="Y355" t="s">
        <v>134</v>
      </c>
      <c r="Z355" t="s">
        <v>134</v>
      </c>
      <c r="AA355" t="s">
        <v>134</v>
      </c>
      <c r="AB355" t="s">
        <v>134</v>
      </c>
      <c r="AC355" t="s">
        <v>134</v>
      </c>
      <c r="AD355" t="s">
        <v>134</v>
      </c>
      <c r="AE355" t="s">
        <v>134</v>
      </c>
      <c r="AF355" t="s">
        <v>134</v>
      </c>
      <c r="AG355" t="s">
        <v>134</v>
      </c>
      <c r="AH355" t="s">
        <v>134</v>
      </c>
      <c r="AI355" t="s">
        <v>134</v>
      </c>
      <c r="AJ355" t="s">
        <v>134</v>
      </c>
      <c r="AK355" t="s">
        <v>134</v>
      </c>
      <c r="AL355" t="s">
        <v>134</v>
      </c>
      <c r="AM355" t="s">
        <v>134</v>
      </c>
      <c r="AN355" t="s">
        <v>134</v>
      </c>
      <c r="AO355" t="s">
        <v>134</v>
      </c>
      <c r="AP355" t="s">
        <v>134</v>
      </c>
      <c r="AQ355" t="s">
        <v>134</v>
      </c>
      <c r="AR355" t="s">
        <v>134</v>
      </c>
      <c r="AS355" t="s">
        <v>134</v>
      </c>
      <c r="AT355" t="s">
        <v>134</v>
      </c>
      <c r="AU355" t="s">
        <v>134</v>
      </c>
      <c r="AV355" t="s">
        <v>134</v>
      </c>
      <c r="AW355" t="s">
        <v>134</v>
      </c>
      <c r="AX355" t="s">
        <v>134</v>
      </c>
      <c r="AY355" t="s">
        <v>134</v>
      </c>
      <c r="AZ355" t="s">
        <v>134</v>
      </c>
      <c r="BA355" t="s">
        <v>134</v>
      </c>
      <c r="BB355" t="s">
        <v>134</v>
      </c>
      <c r="BC355" t="s">
        <v>134</v>
      </c>
      <c r="BD355" t="s">
        <v>134</v>
      </c>
      <c r="BE355" t="s">
        <v>134</v>
      </c>
      <c r="BF355" t="s">
        <v>134</v>
      </c>
      <c r="BG355" t="s">
        <v>134</v>
      </c>
      <c r="BH355" t="s">
        <v>134</v>
      </c>
      <c r="BI355" t="s">
        <v>134</v>
      </c>
      <c r="BJ355" t="s">
        <v>134</v>
      </c>
      <c r="BK355" t="s">
        <v>134</v>
      </c>
      <c r="BL355" t="s">
        <v>134</v>
      </c>
      <c r="BM355" t="s">
        <v>134</v>
      </c>
      <c r="BN355" t="s">
        <v>134</v>
      </c>
      <c r="BO355" t="s">
        <v>134</v>
      </c>
      <c r="BP355" t="s">
        <v>134</v>
      </c>
      <c r="BQ355" t="s">
        <v>134</v>
      </c>
      <c r="BR355" t="s">
        <v>134</v>
      </c>
      <c r="BS355" t="s">
        <v>134</v>
      </c>
      <c r="BT355" t="s">
        <v>134</v>
      </c>
      <c r="BU355" t="s">
        <v>134</v>
      </c>
      <c r="BV355" t="s">
        <v>134</v>
      </c>
      <c r="BW355" t="s">
        <v>134</v>
      </c>
      <c r="BX355" t="s">
        <v>134</v>
      </c>
      <c r="BY355" t="s">
        <v>134</v>
      </c>
      <c r="BZ355" t="s">
        <v>134</v>
      </c>
      <c r="CA355" t="s">
        <v>134</v>
      </c>
      <c r="CB355" t="s">
        <v>134</v>
      </c>
      <c r="CC355" t="s">
        <v>134</v>
      </c>
      <c r="CD355" t="s">
        <v>134</v>
      </c>
      <c r="CE355" t="s">
        <v>134</v>
      </c>
      <c r="CF355" t="s">
        <v>134</v>
      </c>
      <c r="CG355" t="s">
        <v>134</v>
      </c>
      <c r="CH355" t="s">
        <v>134</v>
      </c>
      <c r="CI355" t="s">
        <v>134</v>
      </c>
      <c r="CJ355" t="s">
        <v>134</v>
      </c>
      <c r="CK355" t="s">
        <v>134</v>
      </c>
      <c r="CL355" t="s">
        <v>134</v>
      </c>
      <c r="CM355" t="s">
        <v>134</v>
      </c>
      <c r="CN355" t="s">
        <v>134</v>
      </c>
      <c r="CO355" t="s">
        <v>134</v>
      </c>
      <c r="CP355" t="s">
        <v>134</v>
      </c>
      <c r="CQ355" t="s">
        <v>134</v>
      </c>
      <c r="CR355" t="s">
        <v>134</v>
      </c>
      <c r="CS355" t="s">
        <v>134</v>
      </c>
      <c r="CT355" t="s">
        <v>134</v>
      </c>
      <c r="CU355" t="s">
        <v>134</v>
      </c>
      <c r="CV355" t="s">
        <v>134</v>
      </c>
      <c r="CW355" t="s">
        <v>134</v>
      </c>
      <c r="CX355" t="s">
        <v>134</v>
      </c>
      <c r="CY355" t="s">
        <v>134</v>
      </c>
      <c r="CZ355" t="s">
        <v>134</v>
      </c>
      <c r="DA355" t="s">
        <v>134</v>
      </c>
      <c r="DB355" t="s">
        <v>134</v>
      </c>
      <c r="DC355" t="s">
        <v>134</v>
      </c>
      <c r="DD355" t="s">
        <v>134</v>
      </c>
      <c r="DE355" t="s">
        <v>134</v>
      </c>
      <c r="DF355" t="s">
        <v>134</v>
      </c>
      <c r="DG355" t="s">
        <v>134</v>
      </c>
      <c r="DH355" t="s">
        <v>134</v>
      </c>
      <c r="DI355" t="s">
        <v>134</v>
      </c>
    </row>
    <row r="356" spans="1:113" x14ac:dyDescent="0.3">
      <c r="E356" t="s">
        <v>80</v>
      </c>
      <c r="F356" t="s">
        <v>134</v>
      </c>
      <c r="G356" t="s">
        <v>134</v>
      </c>
      <c r="H356" t="s">
        <v>134</v>
      </c>
      <c r="I356" t="s">
        <v>134</v>
      </c>
      <c r="J356" t="s">
        <v>134</v>
      </c>
      <c r="K356" t="s">
        <v>134</v>
      </c>
      <c r="L356" t="s">
        <v>134</v>
      </c>
      <c r="M356" t="s">
        <v>134</v>
      </c>
      <c r="N356" t="s">
        <v>134</v>
      </c>
      <c r="O356" t="s">
        <v>134</v>
      </c>
      <c r="P356" t="s">
        <v>134</v>
      </c>
      <c r="Q356" t="s">
        <v>134</v>
      </c>
      <c r="R356" t="s">
        <v>134</v>
      </c>
      <c r="S356" t="s">
        <v>134</v>
      </c>
      <c r="T356" t="s">
        <v>134</v>
      </c>
      <c r="U356" t="s">
        <v>134</v>
      </c>
      <c r="V356" t="s">
        <v>134</v>
      </c>
      <c r="W356" t="s">
        <v>134</v>
      </c>
      <c r="X356" t="s">
        <v>134</v>
      </c>
      <c r="Y356" t="s">
        <v>134</v>
      </c>
      <c r="Z356" t="s">
        <v>134</v>
      </c>
      <c r="AA356" t="s">
        <v>134</v>
      </c>
      <c r="AB356" t="s">
        <v>134</v>
      </c>
      <c r="AC356" t="s">
        <v>134</v>
      </c>
      <c r="AD356" t="s">
        <v>134</v>
      </c>
      <c r="AE356" t="s">
        <v>134</v>
      </c>
      <c r="AF356" t="s">
        <v>134</v>
      </c>
      <c r="AG356" t="s">
        <v>134</v>
      </c>
      <c r="AH356" t="s">
        <v>134</v>
      </c>
      <c r="AI356" t="s">
        <v>134</v>
      </c>
      <c r="AJ356" t="s">
        <v>134</v>
      </c>
      <c r="AK356" t="s">
        <v>134</v>
      </c>
      <c r="AL356" t="s">
        <v>134</v>
      </c>
      <c r="AM356" t="s">
        <v>134</v>
      </c>
      <c r="AN356" t="s">
        <v>134</v>
      </c>
      <c r="AO356" t="s">
        <v>134</v>
      </c>
      <c r="AP356" t="s">
        <v>134</v>
      </c>
      <c r="AQ356" t="s">
        <v>134</v>
      </c>
      <c r="AR356" t="s">
        <v>134</v>
      </c>
      <c r="AS356" t="s">
        <v>134</v>
      </c>
      <c r="AT356" t="s">
        <v>134</v>
      </c>
      <c r="AU356" t="s">
        <v>134</v>
      </c>
      <c r="AV356" t="s">
        <v>134</v>
      </c>
      <c r="AW356" t="s">
        <v>134</v>
      </c>
      <c r="AX356" t="s">
        <v>134</v>
      </c>
      <c r="AY356" t="s">
        <v>134</v>
      </c>
      <c r="AZ356" t="s">
        <v>134</v>
      </c>
      <c r="BA356" t="s">
        <v>134</v>
      </c>
      <c r="BB356" t="s">
        <v>134</v>
      </c>
      <c r="BC356" t="s">
        <v>134</v>
      </c>
      <c r="BD356" t="s">
        <v>134</v>
      </c>
      <c r="BE356" t="s">
        <v>134</v>
      </c>
      <c r="BF356" t="s">
        <v>134</v>
      </c>
      <c r="BG356" t="s">
        <v>134</v>
      </c>
      <c r="BH356" t="s">
        <v>134</v>
      </c>
      <c r="BI356" t="s">
        <v>134</v>
      </c>
      <c r="BJ356" t="s">
        <v>134</v>
      </c>
      <c r="BK356" t="s">
        <v>134</v>
      </c>
      <c r="BL356" t="s">
        <v>134</v>
      </c>
      <c r="BM356" t="s">
        <v>134</v>
      </c>
      <c r="BN356" t="s">
        <v>134</v>
      </c>
      <c r="BO356" t="s">
        <v>134</v>
      </c>
      <c r="BP356" t="s">
        <v>134</v>
      </c>
      <c r="BQ356" t="s">
        <v>134</v>
      </c>
      <c r="BR356" t="s">
        <v>134</v>
      </c>
      <c r="BS356" t="s">
        <v>134</v>
      </c>
      <c r="BT356" t="s">
        <v>134</v>
      </c>
      <c r="BU356" t="s">
        <v>134</v>
      </c>
      <c r="BV356" t="s">
        <v>134</v>
      </c>
      <c r="BW356" t="s">
        <v>134</v>
      </c>
      <c r="BX356" t="s">
        <v>134</v>
      </c>
      <c r="BY356" t="s">
        <v>134</v>
      </c>
      <c r="BZ356" t="s">
        <v>134</v>
      </c>
      <c r="CA356" t="s">
        <v>134</v>
      </c>
      <c r="CB356" t="s">
        <v>134</v>
      </c>
      <c r="CC356" t="s">
        <v>134</v>
      </c>
      <c r="CD356" t="s">
        <v>134</v>
      </c>
      <c r="CE356" t="s">
        <v>134</v>
      </c>
      <c r="CF356" t="s">
        <v>134</v>
      </c>
      <c r="CG356" t="s">
        <v>134</v>
      </c>
      <c r="CH356" t="s">
        <v>134</v>
      </c>
      <c r="CI356" t="s">
        <v>134</v>
      </c>
      <c r="CJ356" t="s">
        <v>134</v>
      </c>
      <c r="CK356" t="s">
        <v>134</v>
      </c>
      <c r="CL356" t="s">
        <v>134</v>
      </c>
      <c r="CM356" t="s">
        <v>134</v>
      </c>
      <c r="CN356" t="s">
        <v>134</v>
      </c>
      <c r="CO356" t="s">
        <v>134</v>
      </c>
      <c r="CP356" t="s">
        <v>134</v>
      </c>
      <c r="CQ356" t="s">
        <v>134</v>
      </c>
      <c r="CR356" t="s">
        <v>134</v>
      </c>
      <c r="CS356" t="s">
        <v>134</v>
      </c>
      <c r="CT356" t="s">
        <v>134</v>
      </c>
      <c r="CU356" t="s">
        <v>134</v>
      </c>
      <c r="CV356" t="s">
        <v>134</v>
      </c>
      <c r="CW356" t="s">
        <v>134</v>
      </c>
      <c r="CX356" t="s">
        <v>134</v>
      </c>
      <c r="CY356" t="s">
        <v>134</v>
      </c>
      <c r="CZ356" t="s">
        <v>134</v>
      </c>
      <c r="DA356" t="s">
        <v>134</v>
      </c>
      <c r="DB356" t="s">
        <v>134</v>
      </c>
      <c r="DC356" t="s">
        <v>134</v>
      </c>
      <c r="DD356" t="s">
        <v>134</v>
      </c>
      <c r="DE356" t="s">
        <v>134</v>
      </c>
      <c r="DF356" t="s">
        <v>134</v>
      </c>
      <c r="DG356" t="s">
        <v>134</v>
      </c>
      <c r="DH356" t="s">
        <v>134</v>
      </c>
      <c r="DI356" t="s">
        <v>134</v>
      </c>
    </row>
    <row r="357" spans="1:113" x14ac:dyDescent="0.3">
      <c r="E357" t="s">
        <v>81</v>
      </c>
      <c r="F357" t="s">
        <v>134</v>
      </c>
      <c r="G357" t="s">
        <v>134</v>
      </c>
      <c r="H357" t="s">
        <v>134</v>
      </c>
      <c r="I357" t="s">
        <v>134</v>
      </c>
      <c r="J357" t="s">
        <v>134</v>
      </c>
      <c r="K357" t="s">
        <v>134</v>
      </c>
      <c r="L357" t="s">
        <v>134</v>
      </c>
      <c r="M357" t="s">
        <v>134</v>
      </c>
      <c r="N357" t="s">
        <v>134</v>
      </c>
      <c r="O357" t="s">
        <v>134</v>
      </c>
      <c r="P357" t="s">
        <v>134</v>
      </c>
      <c r="Q357" t="s">
        <v>134</v>
      </c>
      <c r="R357" t="s">
        <v>134</v>
      </c>
      <c r="S357" t="s">
        <v>134</v>
      </c>
      <c r="T357" t="s">
        <v>134</v>
      </c>
      <c r="U357" t="s">
        <v>134</v>
      </c>
      <c r="V357" t="s">
        <v>134</v>
      </c>
      <c r="W357" t="s">
        <v>134</v>
      </c>
      <c r="X357" t="s">
        <v>134</v>
      </c>
      <c r="Y357" t="s">
        <v>134</v>
      </c>
      <c r="Z357" t="s">
        <v>134</v>
      </c>
      <c r="AA357" t="s">
        <v>134</v>
      </c>
      <c r="AB357" t="s">
        <v>134</v>
      </c>
      <c r="AC357" t="s">
        <v>134</v>
      </c>
      <c r="AD357" t="s">
        <v>134</v>
      </c>
      <c r="AE357" t="s">
        <v>134</v>
      </c>
      <c r="AF357" t="s">
        <v>134</v>
      </c>
      <c r="AG357" t="s">
        <v>134</v>
      </c>
      <c r="AH357" t="s">
        <v>134</v>
      </c>
      <c r="AI357" t="s">
        <v>134</v>
      </c>
      <c r="AJ357" t="s">
        <v>134</v>
      </c>
      <c r="AK357" t="s">
        <v>134</v>
      </c>
      <c r="AL357" t="s">
        <v>134</v>
      </c>
      <c r="AM357" t="s">
        <v>134</v>
      </c>
      <c r="AN357" t="s">
        <v>134</v>
      </c>
      <c r="AO357" t="s">
        <v>134</v>
      </c>
      <c r="AP357" t="s">
        <v>134</v>
      </c>
      <c r="AQ357" t="s">
        <v>134</v>
      </c>
      <c r="AR357" t="s">
        <v>134</v>
      </c>
      <c r="AS357" t="s">
        <v>134</v>
      </c>
      <c r="AT357" t="s">
        <v>134</v>
      </c>
      <c r="AU357" t="s">
        <v>134</v>
      </c>
      <c r="AV357" t="s">
        <v>134</v>
      </c>
      <c r="AW357" t="s">
        <v>134</v>
      </c>
      <c r="AX357" t="s">
        <v>134</v>
      </c>
      <c r="AY357" t="s">
        <v>134</v>
      </c>
      <c r="AZ357" t="s">
        <v>134</v>
      </c>
      <c r="BA357" t="s">
        <v>134</v>
      </c>
      <c r="BB357" t="s">
        <v>134</v>
      </c>
      <c r="BC357" t="s">
        <v>134</v>
      </c>
      <c r="BD357" t="s">
        <v>134</v>
      </c>
      <c r="BE357" t="s">
        <v>134</v>
      </c>
      <c r="BF357" t="s">
        <v>134</v>
      </c>
      <c r="BG357" t="s">
        <v>134</v>
      </c>
      <c r="BH357" t="s">
        <v>134</v>
      </c>
      <c r="BI357" t="s">
        <v>134</v>
      </c>
      <c r="BJ357" t="s">
        <v>134</v>
      </c>
      <c r="BK357" t="s">
        <v>134</v>
      </c>
      <c r="BL357" t="s">
        <v>134</v>
      </c>
      <c r="BM357" t="s">
        <v>134</v>
      </c>
      <c r="BN357" t="s">
        <v>134</v>
      </c>
      <c r="BO357" t="s">
        <v>134</v>
      </c>
      <c r="BP357" t="s">
        <v>134</v>
      </c>
      <c r="BQ357" t="s">
        <v>134</v>
      </c>
      <c r="BR357" t="s">
        <v>134</v>
      </c>
      <c r="BS357" t="s">
        <v>134</v>
      </c>
      <c r="BT357" t="s">
        <v>134</v>
      </c>
      <c r="BU357" t="s">
        <v>134</v>
      </c>
      <c r="BV357" t="s">
        <v>134</v>
      </c>
      <c r="BW357" t="s">
        <v>134</v>
      </c>
      <c r="BX357" t="s">
        <v>134</v>
      </c>
      <c r="BY357" t="s">
        <v>134</v>
      </c>
      <c r="BZ357" t="s">
        <v>134</v>
      </c>
      <c r="CA357" t="s">
        <v>134</v>
      </c>
      <c r="CB357" t="s">
        <v>134</v>
      </c>
      <c r="CC357" t="s">
        <v>134</v>
      </c>
      <c r="CD357" t="s">
        <v>134</v>
      </c>
      <c r="CE357" t="s">
        <v>134</v>
      </c>
      <c r="CF357" t="s">
        <v>134</v>
      </c>
      <c r="CG357" t="s">
        <v>134</v>
      </c>
      <c r="CH357" t="s">
        <v>134</v>
      </c>
      <c r="CI357" t="s">
        <v>134</v>
      </c>
      <c r="CJ357" t="s">
        <v>134</v>
      </c>
      <c r="CK357" t="s">
        <v>134</v>
      </c>
      <c r="CL357" t="s">
        <v>134</v>
      </c>
      <c r="CM357" t="s">
        <v>134</v>
      </c>
      <c r="CN357" t="s">
        <v>134</v>
      </c>
      <c r="CO357" t="s">
        <v>134</v>
      </c>
      <c r="CP357" t="s">
        <v>134</v>
      </c>
      <c r="CQ357" t="s">
        <v>134</v>
      </c>
      <c r="CR357" t="s">
        <v>134</v>
      </c>
      <c r="CS357" t="s">
        <v>134</v>
      </c>
      <c r="CT357" t="s">
        <v>134</v>
      </c>
      <c r="CU357" t="s">
        <v>134</v>
      </c>
      <c r="CV357" t="s">
        <v>134</v>
      </c>
      <c r="CW357" t="s">
        <v>134</v>
      </c>
      <c r="CX357" t="s">
        <v>134</v>
      </c>
      <c r="CY357" t="s">
        <v>134</v>
      </c>
      <c r="CZ357" t="s">
        <v>134</v>
      </c>
      <c r="DA357" t="s">
        <v>134</v>
      </c>
      <c r="DB357" t="s">
        <v>134</v>
      </c>
      <c r="DC357" t="s">
        <v>134</v>
      </c>
      <c r="DD357" t="s">
        <v>134</v>
      </c>
      <c r="DE357" t="s">
        <v>134</v>
      </c>
      <c r="DF357" t="s">
        <v>134</v>
      </c>
      <c r="DG357" t="s">
        <v>134</v>
      </c>
      <c r="DH357" t="s">
        <v>134</v>
      </c>
      <c r="DI357" t="s">
        <v>134</v>
      </c>
    </row>
    <row r="358" spans="1:113" x14ac:dyDescent="0.3">
      <c r="D358" t="s">
        <v>82</v>
      </c>
      <c r="E358" t="s">
        <v>77</v>
      </c>
      <c r="F358">
        <v>9.7958999999999996</v>
      </c>
      <c r="G358">
        <v>0.55479999999999996</v>
      </c>
      <c r="H358">
        <v>2.0899000000000001</v>
      </c>
      <c r="I358">
        <v>3.6897000000000002</v>
      </c>
      <c r="J358" t="s">
        <v>134</v>
      </c>
      <c r="K358">
        <v>30.191500000000001</v>
      </c>
      <c r="L358" t="s">
        <v>134</v>
      </c>
      <c r="M358">
        <v>11.879899999999999</v>
      </c>
      <c r="N358">
        <v>19.933900000000001</v>
      </c>
      <c r="O358">
        <v>19.738600000000002</v>
      </c>
      <c r="P358">
        <v>19.738600000000002</v>
      </c>
      <c r="Q358">
        <v>35.942799999999998</v>
      </c>
      <c r="R358">
        <v>18.091200000000001</v>
      </c>
      <c r="S358">
        <v>8.0236999999999998</v>
      </c>
      <c r="T358">
        <v>9.4444999999999997</v>
      </c>
      <c r="U358" t="s">
        <v>134</v>
      </c>
      <c r="V358">
        <v>-0.21940000000000001</v>
      </c>
      <c r="W358">
        <v>-21.776900000000001</v>
      </c>
      <c r="X358">
        <v>-22.959800000000001</v>
      </c>
      <c r="Y358">
        <v>-25.581399999999999</v>
      </c>
      <c r="Z358" t="s">
        <v>134</v>
      </c>
      <c r="AA358" t="s">
        <v>134</v>
      </c>
      <c r="AB358">
        <v>4.5313999999999997</v>
      </c>
      <c r="AC358">
        <v>8.5581999999999994</v>
      </c>
      <c r="AD358" t="s">
        <v>134</v>
      </c>
      <c r="AE358" t="s">
        <v>134</v>
      </c>
      <c r="AF358" t="s">
        <v>134</v>
      </c>
      <c r="AG358">
        <v>4.7866</v>
      </c>
      <c r="AH358">
        <v>2.5796999999999999</v>
      </c>
      <c r="AI358">
        <v>11.0488</v>
      </c>
      <c r="AJ358">
        <v>4.3193000000000001</v>
      </c>
      <c r="AK358">
        <v>7.7862999999999998</v>
      </c>
      <c r="AL358">
        <v>-85.5154</v>
      </c>
      <c r="AM358">
        <v>20.047699999999999</v>
      </c>
      <c r="AN358" t="s">
        <v>134</v>
      </c>
      <c r="AO358">
        <v>6.4084000000000003</v>
      </c>
      <c r="AP358">
        <v>4.2335000000000003</v>
      </c>
      <c r="AQ358">
        <v>0.86040000000000005</v>
      </c>
      <c r="AR358">
        <v>1.2990999999999999</v>
      </c>
      <c r="AS358" t="s">
        <v>134</v>
      </c>
      <c r="AT358" t="s">
        <v>134</v>
      </c>
      <c r="AU358">
        <v>4.6814</v>
      </c>
      <c r="AV358">
        <v>20.889399999999998</v>
      </c>
      <c r="AW358" t="s">
        <v>134</v>
      </c>
      <c r="AX358" t="s">
        <v>134</v>
      </c>
      <c r="AY358" t="s">
        <v>134</v>
      </c>
      <c r="AZ358">
        <v>26.718499999999999</v>
      </c>
      <c r="BA358">
        <v>25.3688</v>
      </c>
      <c r="BB358">
        <v>21.753900000000002</v>
      </c>
      <c r="BC358">
        <v>24.522600000000001</v>
      </c>
      <c r="BD358">
        <v>17.102599999999999</v>
      </c>
      <c r="BE358" t="s">
        <v>134</v>
      </c>
      <c r="BF358">
        <v>9.4444999999999997</v>
      </c>
      <c r="BG358" t="s">
        <v>134</v>
      </c>
      <c r="BH358">
        <v>-0.21940000000000001</v>
      </c>
      <c r="BI358">
        <v>-21.776900000000001</v>
      </c>
      <c r="BJ358">
        <v>-22.959800000000001</v>
      </c>
      <c r="BK358">
        <v>-25.581399999999999</v>
      </c>
      <c r="BL358" t="s">
        <v>134</v>
      </c>
      <c r="BM358" t="s">
        <v>134</v>
      </c>
      <c r="BN358">
        <v>4.5313999999999997</v>
      </c>
      <c r="BO358">
        <v>8.5581999999999994</v>
      </c>
      <c r="BP358" t="s">
        <v>134</v>
      </c>
      <c r="BQ358" t="s">
        <v>134</v>
      </c>
      <c r="BR358" t="s">
        <v>134</v>
      </c>
      <c r="BS358">
        <v>4.7866</v>
      </c>
      <c r="BT358">
        <v>2.5796999999999999</v>
      </c>
      <c r="BU358">
        <v>11.0488</v>
      </c>
      <c r="BV358">
        <v>4.3193000000000001</v>
      </c>
      <c r="BW358">
        <v>7.7862999999999998</v>
      </c>
      <c r="BX358" t="s">
        <v>134</v>
      </c>
      <c r="BY358">
        <v>1508184.7949999999</v>
      </c>
      <c r="BZ358">
        <v>1153169.621</v>
      </c>
      <c r="CA358">
        <v>355015.174</v>
      </c>
      <c r="CB358" t="s">
        <v>134</v>
      </c>
      <c r="CC358" t="s">
        <v>134</v>
      </c>
      <c r="CD358">
        <v>25.206900000000001</v>
      </c>
      <c r="CE358">
        <v>-0.1358</v>
      </c>
      <c r="CF358" t="s">
        <v>134</v>
      </c>
      <c r="CG358">
        <v>5.7247000000000003</v>
      </c>
      <c r="CH358">
        <v>84.118099999999998</v>
      </c>
      <c r="CI358">
        <v>18.392399999999999</v>
      </c>
      <c r="CJ358">
        <v>4.8369</v>
      </c>
      <c r="CK358">
        <v>357.3528</v>
      </c>
      <c r="CL358">
        <v>78.135000000000005</v>
      </c>
      <c r="CM358">
        <v>20.548100000000002</v>
      </c>
      <c r="CN358">
        <v>-1.9257</v>
      </c>
      <c r="CO358">
        <v>-1.9635</v>
      </c>
      <c r="CP358" t="s">
        <v>134</v>
      </c>
      <c r="CQ358" t="s">
        <v>134</v>
      </c>
      <c r="CR358">
        <v>59832.313999999998</v>
      </c>
      <c r="CS358" t="s">
        <v>134</v>
      </c>
      <c r="CT358" t="s">
        <v>134</v>
      </c>
      <c r="CU358" t="s">
        <v>134</v>
      </c>
      <c r="CV358" t="s">
        <v>134</v>
      </c>
      <c r="CW358" t="s">
        <v>134</v>
      </c>
      <c r="CX358" t="s">
        <v>134</v>
      </c>
      <c r="CY358" t="s">
        <v>134</v>
      </c>
      <c r="CZ358" t="s">
        <v>134</v>
      </c>
      <c r="DA358" t="s">
        <v>134</v>
      </c>
      <c r="DB358" t="s">
        <v>134</v>
      </c>
      <c r="DC358" t="s">
        <v>134</v>
      </c>
      <c r="DD358" t="s">
        <v>134</v>
      </c>
      <c r="DE358" t="s">
        <v>134</v>
      </c>
      <c r="DF358" t="s">
        <v>134</v>
      </c>
      <c r="DG358" t="s">
        <v>134</v>
      </c>
      <c r="DH358" t="s">
        <v>134</v>
      </c>
      <c r="DI358" t="s">
        <v>134</v>
      </c>
    </row>
    <row r="359" spans="1:113" x14ac:dyDescent="0.3">
      <c r="E359" t="s">
        <v>78</v>
      </c>
      <c r="F359" t="s">
        <v>134</v>
      </c>
      <c r="G359" t="s">
        <v>134</v>
      </c>
      <c r="H359" t="s">
        <v>134</v>
      </c>
      <c r="I359" t="s">
        <v>134</v>
      </c>
      <c r="J359" t="s">
        <v>134</v>
      </c>
      <c r="K359" t="s">
        <v>134</v>
      </c>
      <c r="L359" t="s">
        <v>134</v>
      </c>
      <c r="M359" t="s">
        <v>134</v>
      </c>
      <c r="N359" t="s">
        <v>134</v>
      </c>
      <c r="O359" t="s">
        <v>134</v>
      </c>
      <c r="P359" t="s">
        <v>134</v>
      </c>
      <c r="Q359" t="s">
        <v>134</v>
      </c>
      <c r="R359" t="s">
        <v>134</v>
      </c>
      <c r="S359" t="s">
        <v>134</v>
      </c>
      <c r="T359" t="s">
        <v>134</v>
      </c>
      <c r="U359" t="s">
        <v>134</v>
      </c>
      <c r="V359" t="s">
        <v>134</v>
      </c>
      <c r="W359" t="s">
        <v>134</v>
      </c>
      <c r="X359" t="s">
        <v>134</v>
      </c>
      <c r="Y359" t="s">
        <v>134</v>
      </c>
      <c r="Z359" t="s">
        <v>134</v>
      </c>
      <c r="AA359" t="s">
        <v>134</v>
      </c>
      <c r="AB359" t="s">
        <v>134</v>
      </c>
      <c r="AC359" t="s">
        <v>134</v>
      </c>
      <c r="AD359" t="s">
        <v>134</v>
      </c>
      <c r="AE359" t="s">
        <v>134</v>
      </c>
      <c r="AF359" t="s">
        <v>134</v>
      </c>
      <c r="AG359" t="s">
        <v>134</v>
      </c>
      <c r="AH359" t="s">
        <v>134</v>
      </c>
      <c r="AI359" t="s">
        <v>134</v>
      </c>
      <c r="AJ359" t="s">
        <v>134</v>
      </c>
      <c r="AK359" t="s">
        <v>134</v>
      </c>
      <c r="AL359" t="s">
        <v>134</v>
      </c>
      <c r="AM359" t="s">
        <v>134</v>
      </c>
      <c r="AN359" t="s">
        <v>134</v>
      </c>
      <c r="AO359" t="s">
        <v>134</v>
      </c>
      <c r="AP359" t="s">
        <v>134</v>
      </c>
      <c r="AQ359" t="s">
        <v>134</v>
      </c>
      <c r="AR359" t="s">
        <v>134</v>
      </c>
      <c r="AS359" t="s">
        <v>134</v>
      </c>
      <c r="AT359" t="s">
        <v>134</v>
      </c>
      <c r="AU359" t="s">
        <v>134</v>
      </c>
      <c r="AV359" t="s">
        <v>134</v>
      </c>
      <c r="AW359" t="s">
        <v>134</v>
      </c>
      <c r="AX359" t="s">
        <v>134</v>
      </c>
      <c r="AY359" t="s">
        <v>134</v>
      </c>
      <c r="AZ359" t="s">
        <v>134</v>
      </c>
      <c r="BA359" t="s">
        <v>134</v>
      </c>
      <c r="BB359" t="s">
        <v>134</v>
      </c>
      <c r="BC359" t="s">
        <v>134</v>
      </c>
      <c r="BD359" t="s">
        <v>134</v>
      </c>
      <c r="BE359" t="s">
        <v>134</v>
      </c>
      <c r="BF359" t="s">
        <v>134</v>
      </c>
      <c r="BG359" t="s">
        <v>134</v>
      </c>
      <c r="BH359" t="s">
        <v>134</v>
      </c>
      <c r="BI359" t="s">
        <v>134</v>
      </c>
      <c r="BJ359" t="s">
        <v>134</v>
      </c>
      <c r="BK359" t="s">
        <v>134</v>
      </c>
      <c r="BL359" t="s">
        <v>134</v>
      </c>
      <c r="BM359" t="s">
        <v>134</v>
      </c>
      <c r="BN359" t="s">
        <v>134</v>
      </c>
      <c r="BO359" t="s">
        <v>134</v>
      </c>
      <c r="BP359" t="s">
        <v>134</v>
      </c>
      <c r="BQ359" t="s">
        <v>134</v>
      </c>
      <c r="BR359" t="s">
        <v>134</v>
      </c>
      <c r="BS359" t="s">
        <v>134</v>
      </c>
      <c r="BT359" t="s">
        <v>134</v>
      </c>
      <c r="BU359" t="s">
        <v>134</v>
      </c>
      <c r="BV359" t="s">
        <v>134</v>
      </c>
      <c r="BW359" t="s">
        <v>134</v>
      </c>
      <c r="BX359" t="s">
        <v>134</v>
      </c>
      <c r="BY359" t="s">
        <v>134</v>
      </c>
      <c r="BZ359" t="s">
        <v>134</v>
      </c>
      <c r="CA359" t="s">
        <v>134</v>
      </c>
      <c r="CB359" t="s">
        <v>134</v>
      </c>
      <c r="CC359" t="s">
        <v>134</v>
      </c>
      <c r="CD359" t="s">
        <v>134</v>
      </c>
      <c r="CE359" t="s">
        <v>134</v>
      </c>
      <c r="CF359" t="s">
        <v>134</v>
      </c>
      <c r="CG359" t="s">
        <v>134</v>
      </c>
      <c r="CH359" t="s">
        <v>134</v>
      </c>
      <c r="CI359" t="s">
        <v>134</v>
      </c>
      <c r="CJ359" t="s">
        <v>134</v>
      </c>
      <c r="CK359" t="s">
        <v>134</v>
      </c>
      <c r="CL359" t="s">
        <v>134</v>
      </c>
      <c r="CM359" t="s">
        <v>134</v>
      </c>
      <c r="CN359" t="s">
        <v>134</v>
      </c>
      <c r="CO359" t="s">
        <v>134</v>
      </c>
      <c r="CP359" t="s">
        <v>134</v>
      </c>
      <c r="CQ359" t="s">
        <v>134</v>
      </c>
      <c r="CR359" t="s">
        <v>134</v>
      </c>
      <c r="CS359" t="s">
        <v>134</v>
      </c>
      <c r="CT359" t="s">
        <v>134</v>
      </c>
      <c r="CU359" t="s">
        <v>134</v>
      </c>
      <c r="CV359" t="s">
        <v>134</v>
      </c>
      <c r="CW359" t="s">
        <v>134</v>
      </c>
      <c r="CX359" t="s">
        <v>134</v>
      </c>
      <c r="CY359" t="s">
        <v>134</v>
      </c>
      <c r="CZ359" t="s">
        <v>134</v>
      </c>
      <c r="DA359" t="s">
        <v>134</v>
      </c>
      <c r="DB359" t="s">
        <v>134</v>
      </c>
      <c r="DC359" t="s">
        <v>134</v>
      </c>
      <c r="DD359" t="s">
        <v>134</v>
      </c>
      <c r="DE359" t="s">
        <v>134</v>
      </c>
      <c r="DF359" t="s">
        <v>134</v>
      </c>
      <c r="DG359" t="s">
        <v>134</v>
      </c>
      <c r="DH359" t="s">
        <v>134</v>
      </c>
      <c r="DI359" t="s">
        <v>134</v>
      </c>
    </row>
    <row r="360" spans="1:113" x14ac:dyDescent="0.3">
      <c r="E360" t="s">
        <v>79</v>
      </c>
      <c r="F360" t="s">
        <v>134</v>
      </c>
      <c r="G360" t="s">
        <v>134</v>
      </c>
      <c r="H360" t="s">
        <v>134</v>
      </c>
      <c r="I360" t="s">
        <v>134</v>
      </c>
      <c r="J360" t="s">
        <v>134</v>
      </c>
      <c r="K360" t="s">
        <v>134</v>
      </c>
      <c r="L360" t="s">
        <v>134</v>
      </c>
      <c r="M360" t="s">
        <v>134</v>
      </c>
      <c r="N360" t="s">
        <v>134</v>
      </c>
      <c r="O360" t="s">
        <v>134</v>
      </c>
      <c r="P360" t="s">
        <v>134</v>
      </c>
      <c r="Q360" t="s">
        <v>134</v>
      </c>
      <c r="R360" t="s">
        <v>134</v>
      </c>
      <c r="S360" t="s">
        <v>134</v>
      </c>
      <c r="T360" t="s">
        <v>134</v>
      </c>
      <c r="U360" t="s">
        <v>134</v>
      </c>
      <c r="V360" t="s">
        <v>134</v>
      </c>
      <c r="W360" t="s">
        <v>134</v>
      </c>
      <c r="X360" t="s">
        <v>134</v>
      </c>
      <c r="Y360" t="s">
        <v>134</v>
      </c>
      <c r="Z360" t="s">
        <v>134</v>
      </c>
      <c r="AA360" t="s">
        <v>134</v>
      </c>
      <c r="AB360" t="s">
        <v>134</v>
      </c>
      <c r="AC360" t="s">
        <v>134</v>
      </c>
      <c r="AD360" t="s">
        <v>134</v>
      </c>
      <c r="AE360" t="s">
        <v>134</v>
      </c>
      <c r="AF360" t="s">
        <v>134</v>
      </c>
      <c r="AG360" t="s">
        <v>134</v>
      </c>
      <c r="AH360" t="s">
        <v>134</v>
      </c>
      <c r="AI360" t="s">
        <v>134</v>
      </c>
      <c r="AJ360" t="s">
        <v>134</v>
      </c>
      <c r="AK360" t="s">
        <v>134</v>
      </c>
      <c r="AL360" t="s">
        <v>134</v>
      </c>
      <c r="AM360" t="s">
        <v>134</v>
      </c>
      <c r="AN360" t="s">
        <v>134</v>
      </c>
      <c r="AO360" t="s">
        <v>134</v>
      </c>
      <c r="AP360" t="s">
        <v>134</v>
      </c>
      <c r="AQ360" t="s">
        <v>134</v>
      </c>
      <c r="AR360" t="s">
        <v>134</v>
      </c>
      <c r="AS360" t="s">
        <v>134</v>
      </c>
      <c r="AT360" t="s">
        <v>134</v>
      </c>
      <c r="AU360" t="s">
        <v>134</v>
      </c>
      <c r="AV360" t="s">
        <v>134</v>
      </c>
      <c r="AW360" t="s">
        <v>134</v>
      </c>
      <c r="AX360" t="s">
        <v>134</v>
      </c>
      <c r="AY360" t="s">
        <v>134</v>
      </c>
      <c r="AZ360" t="s">
        <v>134</v>
      </c>
      <c r="BA360" t="s">
        <v>134</v>
      </c>
      <c r="BB360" t="s">
        <v>134</v>
      </c>
      <c r="BC360" t="s">
        <v>134</v>
      </c>
      <c r="BD360" t="s">
        <v>134</v>
      </c>
      <c r="BE360" t="s">
        <v>134</v>
      </c>
      <c r="BF360" t="s">
        <v>134</v>
      </c>
      <c r="BG360" t="s">
        <v>134</v>
      </c>
      <c r="BH360" t="s">
        <v>134</v>
      </c>
      <c r="BI360" t="s">
        <v>134</v>
      </c>
      <c r="BJ360" t="s">
        <v>134</v>
      </c>
      <c r="BK360" t="s">
        <v>134</v>
      </c>
      <c r="BL360" t="s">
        <v>134</v>
      </c>
      <c r="BM360" t="s">
        <v>134</v>
      </c>
      <c r="BN360" t="s">
        <v>134</v>
      </c>
      <c r="BO360" t="s">
        <v>134</v>
      </c>
      <c r="BP360" t="s">
        <v>134</v>
      </c>
      <c r="BQ360" t="s">
        <v>134</v>
      </c>
      <c r="BR360" t="s">
        <v>134</v>
      </c>
      <c r="BS360" t="s">
        <v>134</v>
      </c>
      <c r="BT360" t="s">
        <v>134</v>
      </c>
      <c r="BU360" t="s">
        <v>134</v>
      </c>
      <c r="BV360" t="s">
        <v>134</v>
      </c>
      <c r="BW360" t="s">
        <v>134</v>
      </c>
      <c r="BX360" t="s">
        <v>134</v>
      </c>
      <c r="BY360" t="s">
        <v>134</v>
      </c>
      <c r="BZ360" t="s">
        <v>134</v>
      </c>
      <c r="CA360" t="s">
        <v>134</v>
      </c>
      <c r="CB360" t="s">
        <v>134</v>
      </c>
      <c r="CC360" t="s">
        <v>134</v>
      </c>
      <c r="CD360" t="s">
        <v>134</v>
      </c>
      <c r="CE360" t="s">
        <v>134</v>
      </c>
      <c r="CF360" t="s">
        <v>134</v>
      </c>
      <c r="CG360" t="s">
        <v>134</v>
      </c>
      <c r="CH360" t="s">
        <v>134</v>
      </c>
      <c r="CI360" t="s">
        <v>134</v>
      </c>
      <c r="CJ360" t="s">
        <v>134</v>
      </c>
      <c r="CK360" t="s">
        <v>134</v>
      </c>
      <c r="CL360" t="s">
        <v>134</v>
      </c>
      <c r="CM360" t="s">
        <v>134</v>
      </c>
      <c r="CN360" t="s">
        <v>134</v>
      </c>
      <c r="CO360" t="s">
        <v>134</v>
      </c>
      <c r="CP360" t="s">
        <v>134</v>
      </c>
      <c r="CQ360" t="s">
        <v>134</v>
      </c>
      <c r="CR360" t="s">
        <v>134</v>
      </c>
      <c r="CS360" t="s">
        <v>134</v>
      </c>
      <c r="CT360" t="s">
        <v>134</v>
      </c>
      <c r="CU360" t="s">
        <v>134</v>
      </c>
      <c r="CV360" t="s">
        <v>134</v>
      </c>
      <c r="CW360" t="s">
        <v>134</v>
      </c>
      <c r="CX360" t="s">
        <v>134</v>
      </c>
      <c r="CY360" t="s">
        <v>134</v>
      </c>
      <c r="CZ360" t="s">
        <v>134</v>
      </c>
      <c r="DA360" t="s">
        <v>134</v>
      </c>
      <c r="DB360" t="s">
        <v>134</v>
      </c>
      <c r="DC360" t="s">
        <v>134</v>
      </c>
      <c r="DD360" t="s">
        <v>134</v>
      </c>
      <c r="DE360" t="s">
        <v>134</v>
      </c>
      <c r="DF360" t="s">
        <v>134</v>
      </c>
      <c r="DG360" t="s">
        <v>134</v>
      </c>
      <c r="DH360" t="s">
        <v>134</v>
      </c>
      <c r="DI360" t="s">
        <v>134</v>
      </c>
    </row>
    <row r="361" spans="1:113" x14ac:dyDescent="0.3">
      <c r="E361" t="s">
        <v>80</v>
      </c>
      <c r="F361" t="s">
        <v>134</v>
      </c>
      <c r="G361" t="s">
        <v>134</v>
      </c>
      <c r="H361" t="s">
        <v>134</v>
      </c>
      <c r="I361" t="s">
        <v>134</v>
      </c>
      <c r="J361" t="s">
        <v>134</v>
      </c>
      <c r="K361" t="s">
        <v>134</v>
      </c>
      <c r="L361" t="s">
        <v>134</v>
      </c>
      <c r="M361" t="s">
        <v>134</v>
      </c>
      <c r="N361" t="s">
        <v>134</v>
      </c>
      <c r="O361" t="s">
        <v>134</v>
      </c>
      <c r="P361" t="s">
        <v>134</v>
      </c>
      <c r="Q361" t="s">
        <v>134</v>
      </c>
      <c r="R361" t="s">
        <v>134</v>
      </c>
      <c r="S361" t="s">
        <v>134</v>
      </c>
      <c r="T361" t="s">
        <v>134</v>
      </c>
      <c r="U361" t="s">
        <v>134</v>
      </c>
      <c r="V361" t="s">
        <v>134</v>
      </c>
      <c r="W361" t="s">
        <v>134</v>
      </c>
      <c r="X361" t="s">
        <v>134</v>
      </c>
      <c r="Y361" t="s">
        <v>134</v>
      </c>
      <c r="Z361" t="s">
        <v>134</v>
      </c>
      <c r="AA361" t="s">
        <v>134</v>
      </c>
      <c r="AB361" t="s">
        <v>134</v>
      </c>
      <c r="AC361" t="s">
        <v>134</v>
      </c>
      <c r="AD361" t="s">
        <v>134</v>
      </c>
      <c r="AE361" t="s">
        <v>134</v>
      </c>
      <c r="AF361" t="s">
        <v>134</v>
      </c>
      <c r="AG361" t="s">
        <v>134</v>
      </c>
      <c r="AH361" t="s">
        <v>134</v>
      </c>
      <c r="AI361" t="s">
        <v>134</v>
      </c>
      <c r="AJ361" t="s">
        <v>134</v>
      </c>
      <c r="AK361" t="s">
        <v>134</v>
      </c>
      <c r="AL361" t="s">
        <v>134</v>
      </c>
      <c r="AM361" t="s">
        <v>134</v>
      </c>
      <c r="AN361" t="s">
        <v>134</v>
      </c>
      <c r="AO361" t="s">
        <v>134</v>
      </c>
      <c r="AP361" t="s">
        <v>134</v>
      </c>
      <c r="AQ361" t="s">
        <v>134</v>
      </c>
      <c r="AR361" t="s">
        <v>134</v>
      </c>
      <c r="AS361" t="s">
        <v>134</v>
      </c>
      <c r="AT361" t="s">
        <v>134</v>
      </c>
      <c r="AU361" t="s">
        <v>134</v>
      </c>
      <c r="AV361" t="s">
        <v>134</v>
      </c>
      <c r="AW361" t="s">
        <v>134</v>
      </c>
      <c r="AX361" t="s">
        <v>134</v>
      </c>
      <c r="AY361" t="s">
        <v>134</v>
      </c>
      <c r="AZ361" t="s">
        <v>134</v>
      </c>
      <c r="BA361" t="s">
        <v>134</v>
      </c>
      <c r="BB361" t="s">
        <v>134</v>
      </c>
      <c r="BC361" t="s">
        <v>134</v>
      </c>
      <c r="BD361" t="s">
        <v>134</v>
      </c>
      <c r="BE361" t="s">
        <v>134</v>
      </c>
      <c r="BF361" t="s">
        <v>134</v>
      </c>
      <c r="BG361" t="s">
        <v>134</v>
      </c>
      <c r="BH361" t="s">
        <v>134</v>
      </c>
      <c r="BI361" t="s">
        <v>134</v>
      </c>
      <c r="BJ361" t="s">
        <v>134</v>
      </c>
      <c r="BK361" t="s">
        <v>134</v>
      </c>
      <c r="BL361" t="s">
        <v>134</v>
      </c>
      <c r="BM361" t="s">
        <v>134</v>
      </c>
      <c r="BN361" t="s">
        <v>134</v>
      </c>
      <c r="BO361" t="s">
        <v>134</v>
      </c>
      <c r="BP361" t="s">
        <v>134</v>
      </c>
      <c r="BQ361" t="s">
        <v>134</v>
      </c>
      <c r="BR361" t="s">
        <v>134</v>
      </c>
      <c r="BS361" t="s">
        <v>134</v>
      </c>
      <c r="BT361" t="s">
        <v>134</v>
      </c>
      <c r="BU361" t="s">
        <v>134</v>
      </c>
      <c r="BV361" t="s">
        <v>134</v>
      </c>
      <c r="BW361" t="s">
        <v>134</v>
      </c>
      <c r="BX361" t="s">
        <v>134</v>
      </c>
      <c r="BY361" t="s">
        <v>134</v>
      </c>
      <c r="BZ361" t="s">
        <v>134</v>
      </c>
      <c r="CA361" t="s">
        <v>134</v>
      </c>
      <c r="CB361" t="s">
        <v>134</v>
      </c>
      <c r="CC361" t="s">
        <v>134</v>
      </c>
      <c r="CD361" t="s">
        <v>134</v>
      </c>
      <c r="CE361" t="s">
        <v>134</v>
      </c>
      <c r="CF361" t="s">
        <v>134</v>
      </c>
      <c r="CG361" t="s">
        <v>134</v>
      </c>
      <c r="CH361" t="s">
        <v>134</v>
      </c>
      <c r="CI361" t="s">
        <v>134</v>
      </c>
      <c r="CJ361" t="s">
        <v>134</v>
      </c>
      <c r="CK361" t="s">
        <v>134</v>
      </c>
      <c r="CL361" t="s">
        <v>134</v>
      </c>
      <c r="CM361" t="s">
        <v>134</v>
      </c>
      <c r="CN361" t="s">
        <v>134</v>
      </c>
      <c r="CO361" t="s">
        <v>134</v>
      </c>
      <c r="CP361" t="s">
        <v>134</v>
      </c>
      <c r="CQ361" t="s">
        <v>134</v>
      </c>
      <c r="CR361" t="s">
        <v>134</v>
      </c>
      <c r="CS361" t="s">
        <v>134</v>
      </c>
      <c r="CT361" t="s">
        <v>134</v>
      </c>
      <c r="CU361" t="s">
        <v>134</v>
      </c>
      <c r="CV361" t="s">
        <v>134</v>
      </c>
      <c r="CW361" t="s">
        <v>134</v>
      </c>
      <c r="CX361" t="s">
        <v>134</v>
      </c>
      <c r="CY361" t="s">
        <v>134</v>
      </c>
      <c r="CZ361" t="s">
        <v>134</v>
      </c>
      <c r="DA361" t="s">
        <v>134</v>
      </c>
      <c r="DB361" t="s">
        <v>134</v>
      </c>
      <c r="DC361" t="s">
        <v>134</v>
      </c>
      <c r="DD361" t="s">
        <v>134</v>
      </c>
      <c r="DE361" t="s">
        <v>134</v>
      </c>
      <c r="DF361" t="s">
        <v>134</v>
      </c>
      <c r="DG361" t="s">
        <v>134</v>
      </c>
      <c r="DH361" t="s">
        <v>134</v>
      </c>
      <c r="DI361" t="s">
        <v>134</v>
      </c>
    </row>
    <row r="362" spans="1:113" x14ac:dyDescent="0.3">
      <c r="E362" t="s">
        <v>81</v>
      </c>
      <c r="F362" t="s">
        <v>134</v>
      </c>
      <c r="G362" t="s">
        <v>134</v>
      </c>
      <c r="H362" t="s">
        <v>134</v>
      </c>
      <c r="I362" t="s">
        <v>134</v>
      </c>
      <c r="J362" t="s">
        <v>134</v>
      </c>
      <c r="K362" t="s">
        <v>134</v>
      </c>
      <c r="L362" t="s">
        <v>134</v>
      </c>
      <c r="M362" t="s">
        <v>134</v>
      </c>
      <c r="N362" t="s">
        <v>134</v>
      </c>
      <c r="O362" t="s">
        <v>134</v>
      </c>
      <c r="P362" t="s">
        <v>134</v>
      </c>
      <c r="Q362" t="s">
        <v>134</v>
      </c>
      <c r="R362" t="s">
        <v>134</v>
      </c>
      <c r="S362" t="s">
        <v>134</v>
      </c>
      <c r="T362" t="s">
        <v>134</v>
      </c>
      <c r="U362" t="s">
        <v>134</v>
      </c>
      <c r="V362" t="s">
        <v>134</v>
      </c>
      <c r="W362" t="s">
        <v>134</v>
      </c>
      <c r="X362" t="s">
        <v>134</v>
      </c>
      <c r="Y362" t="s">
        <v>134</v>
      </c>
      <c r="Z362" t="s">
        <v>134</v>
      </c>
      <c r="AA362" t="s">
        <v>134</v>
      </c>
      <c r="AB362" t="s">
        <v>134</v>
      </c>
      <c r="AC362" t="s">
        <v>134</v>
      </c>
      <c r="AD362" t="s">
        <v>134</v>
      </c>
      <c r="AE362" t="s">
        <v>134</v>
      </c>
      <c r="AF362" t="s">
        <v>134</v>
      </c>
      <c r="AG362" t="s">
        <v>134</v>
      </c>
      <c r="AH362" t="s">
        <v>134</v>
      </c>
      <c r="AI362" t="s">
        <v>134</v>
      </c>
      <c r="AJ362" t="s">
        <v>134</v>
      </c>
      <c r="AK362" t="s">
        <v>134</v>
      </c>
      <c r="AL362" t="s">
        <v>134</v>
      </c>
      <c r="AM362" t="s">
        <v>134</v>
      </c>
      <c r="AN362" t="s">
        <v>134</v>
      </c>
      <c r="AO362" t="s">
        <v>134</v>
      </c>
      <c r="AP362" t="s">
        <v>134</v>
      </c>
      <c r="AQ362" t="s">
        <v>134</v>
      </c>
      <c r="AR362" t="s">
        <v>134</v>
      </c>
      <c r="AS362" t="s">
        <v>134</v>
      </c>
      <c r="AT362" t="s">
        <v>134</v>
      </c>
      <c r="AU362" t="s">
        <v>134</v>
      </c>
      <c r="AV362" t="s">
        <v>134</v>
      </c>
      <c r="AW362" t="s">
        <v>134</v>
      </c>
      <c r="AX362" t="s">
        <v>134</v>
      </c>
      <c r="AY362" t="s">
        <v>134</v>
      </c>
      <c r="AZ362" t="s">
        <v>134</v>
      </c>
      <c r="BA362" t="s">
        <v>134</v>
      </c>
      <c r="BB362" t="s">
        <v>134</v>
      </c>
      <c r="BC362" t="s">
        <v>134</v>
      </c>
      <c r="BD362" t="s">
        <v>134</v>
      </c>
      <c r="BE362" t="s">
        <v>134</v>
      </c>
      <c r="BF362" t="s">
        <v>134</v>
      </c>
      <c r="BG362" t="s">
        <v>134</v>
      </c>
      <c r="BH362" t="s">
        <v>134</v>
      </c>
      <c r="BI362" t="s">
        <v>134</v>
      </c>
      <c r="BJ362" t="s">
        <v>134</v>
      </c>
      <c r="BK362" t="s">
        <v>134</v>
      </c>
      <c r="BL362" t="s">
        <v>134</v>
      </c>
      <c r="BM362" t="s">
        <v>134</v>
      </c>
      <c r="BN362" t="s">
        <v>134</v>
      </c>
      <c r="BO362" t="s">
        <v>134</v>
      </c>
      <c r="BP362" t="s">
        <v>134</v>
      </c>
      <c r="BQ362" t="s">
        <v>134</v>
      </c>
      <c r="BR362" t="s">
        <v>134</v>
      </c>
      <c r="BS362" t="s">
        <v>134</v>
      </c>
      <c r="BT362" t="s">
        <v>134</v>
      </c>
      <c r="BU362" t="s">
        <v>134</v>
      </c>
      <c r="BV362" t="s">
        <v>134</v>
      </c>
      <c r="BW362" t="s">
        <v>134</v>
      </c>
      <c r="BX362" t="s">
        <v>134</v>
      </c>
      <c r="BY362" t="s">
        <v>134</v>
      </c>
      <c r="BZ362" t="s">
        <v>134</v>
      </c>
      <c r="CA362" t="s">
        <v>134</v>
      </c>
      <c r="CB362" t="s">
        <v>134</v>
      </c>
      <c r="CC362" t="s">
        <v>134</v>
      </c>
      <c r="CD362" t="s">
        <v>134</v>
      </c>
      <c r="CE362" t="s">
        <v>134</v>
      </c>
      <c r="CF362" t="s">
        <v>134</v>
      </c>
      <c r="CG362" t="s">
        <v>134</v>
      </c>
      <c r="CH362" t="s">
        <v>134</v>
      </c>
      <c r="CI362" t="s">
        <v>134</v>
      </c>
      <c r="CJ362" t="s">
        <v>134</v>
      </c>
      <c r="CK362" t="s">
        <v>134</v>
      </c>
      <c r="CL362" t="s">
        <v>134</v>
      </c>
      <c r="CM362" t="s">
        <v>134</v>
      </c>
      <c r="CN362" t="s">
        <v>134</v>
      </c>
      <c r="CO362" t="s">
        <v>134</v>
      </c>
      <c r="CP362" t="s">
        <v>134</v>
      </c>
      <c r="CQ362" t="s">
        <v>134</v>
      </c>
      <c r="CR362" t="s">
        <v>134</v>
      </c>
      <c r="CS362" t="s">
        <v>134</v>
      </c>
      <c r="CT362" t="s">
        <v>134</v>
      </c>
      <c r="CU362" t="s">
        <v>134</v>
      </c>
      <c r="CV362" t="s">
        <v>134</v>
      </c>
      <c r="CW362" t="s">
        <v>134</v>
      </c>
      <c r="CX362" t="s">
        <v>134</v>
      </c>
      <c r="CY362" t="s">
        <v>134</v>
      </c>
      <c r="CZ362" t="s">
        <v>134</v>
      </c>
      <c r="DA362" t="s">
        <v>134</v>
      </c>
      <c r="DB362" t="s">
        <v>134</v>
      </c>
      <c r="DC362" t="s">
        <v>134</v>
      </c>
      <c r="DD362" t="s">
        <v>134</v>
      </c>
      <c r="DE362" t="s">
        <v>134</v>
      </c>
      <c r="DF362" t="s">
        <v>134</v>
      </c>
      <c r="DG362" t="s">
        <v>134</v>
      </c>
      <c r="DH362" t="s">
        <v>134</v>
      </c>
      <c r="DI362" t="s">
        <v>134</v>
      </c>
    </row>
    <row r="363" spans="1:113" x14ac:dyDescent="0.3">
      <c r="D363" t="s">
        <v>83</v>
      </c>
      <c r="E363" t="s">
        <v>77</v>
      </c>
      <c r="F363">
        <v>-11.9916</v>
      </c>
      <c r="G363">
        <v>-0.71120000000000005</v>
      </c>
      <c r="H363">
        <v>-2.8340999999999998</v>
      </c>
      <c r="I363">
        <v>5.4066000000000001</v>
      </c>
      <c r="J363" t="s">
        <v>134</v>
      </c>
      <c r="K363">
        <v>-31.664100000000001</v>
      </c>
      <c r="L363">
        <v>-9122.9464000000007</v>
      </c>
      <c r="M363">
        <v>-12.0342</v>
      </c>
      <c r="N363">
        <v>-25.569299999999998</v>
      </c>
      <c r="O363">
        <v>-25.7455</v>
      </c>
      <c r="P363">
        <v>-25.7455</v>
      </c>
      <c r="Q363" t="s">
        <v>134</v>
      </c>
      <c r="R363" t="s">
        <v>134</v>
      </c>
      <c r="S363" t="s">
        <v>134</v>
      </c>
      <c r="T363">
        <v>2.8332000000000002</v>
      </c>
      <c r="U363" t="s">
        <v>134</v>
      </c>
      <c r="V363" t="s">
        <v>134</v>
      </c>
      <c r="W363" t="s">
        <v>134</v>
      </c>
      <c r="X363" t="s">
        <v>134</v>
      </c>
      <c r="Y363" t="s">
        <v>134</v>
      </c>
      <c r="Z363" t="s">
        <v>134</v>
      </c>
      <c r="AA363" t="s">
        <v>134</v>
      </c>
      <c r="AB363">
        <v>113.5089</v>
      </c>
      <c r="AC363">
        <v>-5.8309999999999995</v>
      </c>
      <c r="AD363" t="s">
        <v>134</v>
      </c>
      <c r="AE363" t="s">
        <v>134</v>
      </c>
      <c r="AF363" t="s">
        <v>134</v>
      </c>
      <c r="AG363">
        <v>-25.762899999999998</v>
      </c>
      <c r="AH363">
        <v>-20.796700000000001</v>
      </c>
      <c r="AI363">
        <v>1.1669</v>
      </c>
      <c r="AJ363">
        <v>-15.994400000000001</v>
      </c>
      <c r="AK363">
        <v>-2.9125999999999999</v>
      </c>
      <c r="AL363">
        <v>-17.591899999999999</v>
      </c>
      <c r="AM363">
        <v>14.954499999999999</v>
      </c>
      <c r="AN363" t="s">
        <v>134</v>
      </c>
      <c r="AO363" t="s">
        <v>134</v>
      </c>
      <c r="AP363" t="s">
        <v>134</v>
      </c>
      <c r="AQ363" t="s">
        <v>134</v>
      </c>
      <c r="AR363">
        <v>-100</v>
      </c>
      <c r="AS363" t="s">
        <v>134</v>
      </c>
      <c r="AT363" t="s">
        <v>134</v>
      </c>
      <c r="AU363">
        <v>21.688099999999999</v>
      </c>
      <c r="AV363">
        <v>13.5458</v>
      </c>
      <c r="AW363" t="s">
        <v>134</v>
      </c>
      <c r="AX363" t="s">
        <v>134</v>
      </c>
      <c r="AY363" t="s">
        <v>134</v>
      </c>
      <c r="AZ363">
        <v>14.405200000000001</v>
      </c>
      <c r="BA363">
        <v>12.577999999999999</v>
      </c>
      <c r="BB363">
        <v>14.342499999999999</v>
      </c>
      <c r="BC363">
        <v>13.026899999999999</v>
      </c>
      <c r="BD363">
        <v>10.649900000000001</v>
      </c>
      <c r="BE363" t="s">
        <v>134</v>
      </c>
      <c r="BF363">
        <v>2.8332000000000002</v>
      </c>
      <c r="BG363" t="s">
        <v>134</v>
      </c>
      <c r="BH363">
        <v>-204.16890000000001</v>
      </c>
      <c r="BI363">
        <v>-229.55099999999999</v>
      </c>
      <c r="BJ363">
        <v>-223.16139999999999</v>
      </c>
      <c r="BK363">
        <v>-100</v>
      </c>
      <c r="BL363" t="s">
        <v>134</v>
      </c>
      <c r="BM363" t="s">
        <v>134</v>
      </c>
      <c r="BN363">
        <v>113.5089</v>
      </c>
      <c r="BO363">
        <v>-5.8309999999999995</v>
      </c>
      <c r="BP363" t="s">
        <v>134</v>
      </c>
      <c r="BQ363" t="s">
        <v>134</v>
      </c>
      <c r="BR363" t="s">
        <v>134</v>
      </c>
      <c r="BS363">
        <v>-25.762899999999998</v>
      </c>
      <c r="BT363">
        <v>-20.796700000000001</v>
      </c>
      <c r="BU363">
        <v>1.1669</v>
      </c>
      <c r="BV363">
        <v>-15.994400000000001</v>
      </c>
      <c r="BW363">
        <v>-2.9125999999999999</v>
      </c>
      <c r="BX363" t="s">
        <v>134</v>
      </c>
      <c r="BY363">
        <v>1194531.6869999999</v>
      </c>
      <c r="BZ363">
        <v>856079.43</v>
      </c>
      <c r="CA363">
        <v>338452.25699999998</v>
      </c>
      <c r="CB363" t="s">
        <v>134</v>
      </c>
      <c r="CC363" t="s">
        <v>134</v>
      </c>
      <c r="CD363" t="s">
        <v>134</v>
      </c>
      <c r="CE363" t="s">
        <v>134</v>
      </c>
      <c r="CF363" t="s">
        <v>134</v>
      </c>
      <c r="CG363">
        <v>6.1494</v>
      </c>
      <c r="CH363">
        <v>79.268699999999995</v>
      </c>
      <c r="CI363">
        <v>20.872800000000002</v>
      </c>
      <c r="CJ363">
        <v>4.8967000000000001</v>
      </c>
      <c r="CK363">
        <v>279.7704</v>
      </c>
      <c r="CL363">
        <v>73.668300000000002</v>
      </c>
      <c r="CM363">
        <v>17.282499999999999</v>
      </c>
      <c r="CN363">
        <v>-41.094099999999997</v>
      </c>
      <c r="CO363">
        <v>-69.762299999999996</v>
      </c>
      <c r="CP363" t="s">
        <v>134</v>
      </c>
      <c r="CQ363" t="s">
        <v>134</v>
      </c>
      <c r="CR363">
        <v>-62326.675000000003</v>
      </c>
      <c r="CS363" t="s">
        <v>134</v>
      </c>
      <c r="CT363" t="s">
        <v>134</v>
      </c>
      <c r="CU363" t="s">
        <v>134</v>
      </c>
      <c r="CV363" t="s">
        <v>134</v>
      </c>
      <c r="CW363" t="s">
        <v>134</v>
      </c>
      <c r="CX363" t="s">
        <v>134</v>
      </c>
      <c r="CY363" t="s">
        <v>134</v>
      </c>
      <c r="CZ363" t="s">
        <v>134</v>
      </c>
      <c r="DA363" t="s">
        <v>134</v>
      </c>
      <c r="DB363" t="s">
        <v>134</v>
      </c>
      <c r="DC363" t="s">
        <v>134</v>
      </c>
      <c r="DD363" t="s">
        <v>134</v>
      </c>
      <c r="DE363" t="s">
        <v>134</v>
      </c>
      <c r="DF363" t="s">
        <v>134</v>
      </c>
      <c r="DG363" t="s">
        <v>134</v>
      </c>
      <c r="DH363" t="s">
        <v>134</v>
      </c>
      <c r="DI363" t="s">
        <v>134</v>
      </c>
    </row>
    <row r="364" spans="1:113" x14ac:dyDescent="0.3">
      <c r="E364" t="s">
        <v>78</v>
      </c>
      <c r="F364" t="s">
        <v>134</v>
      </c>
      <c r="G364" t="s">
        <v>134</v>
      </c>
      <c r="H364" t="s">
        <v>134</v>
      </c>
      <c r="I364" t="s">
        <v>134</v>
      </c>
      <c r="J364" t="s">
        <v>134</v>
      </c>
      <c r="K364" t="s">
        <v>134</v>
      </c>
      <c r="L364" t="s">
        <v>134</v>
      </c>
      <c r="M364" t="s">
        <v>134</v>
      </c>
      <c r="N364" t="s">
        <v>134</v>
      </c>
      <c r="O364" t="s">
        <v>134</v>
      </c>
      <c r="P364" t="s">
        <v>134</v>
      </c>
      <c r="Q364" t="s">
        <v>134</v>
      </c>
      <c r="R364" t="s">
        <v>134</v>
      </c>
      <c r="S364" t="s">
        <v>134</v>
      </c>
      <c r="T364" t="s">
        <v>134</v>
      </c>
      <c r="U364" t="s">
        <v>134</v>
      </c>
      <c r="V364" t="s">
        <v>134</v>
      </c>
      <c r="W364" t="s">
        <v>134</v>
      </c>
      <c r="X364" t="s">
        <v>134</v>
      </c>
      <c r="Y364" t="s">
        <v>134</v>
      </c>
      <c r="Z364" t="s">
        <v>134</v>
      </c>
      <c r="AA364" t="s">
        <v>134</v>
      </c>
      <c r="AB364" t="s">
        <v>134</v>
      </c>
      <c r="AC364" t="s">
        <v>134</v>
      </c>
      <c r="AD364" t="s">
        <v>134</v>
      </c>
      <c r="AE364" t="s">
        <v>134</v>
      </c>
      <c r="AF364" t="s">
        <v>134</v>
      </c>
      <c r="AG364" t="s">
        <v>134</v>
      </c>
      <c r="AH364" t="s">
        <v>134</v>
      </c>
      <c r="AI364" t="s">
        <v>134</v>
      </c>
      <c r="AJ364" t="s">
        <v>134</v>
      </c>
      <c r="AK364" t="s">
        <v>134</v>
      </c>
      <c r="AL364" t="s">
        <v>134</v>
      </c>
      <c r="AM364" t="s">
        <v>134</v>
      </c>
      <c r="AN364" t="s">
        <v>134</v>
      </c>
      <c r="AO364" t="s">
        <v>134</v>
      </c>
      <c r="AP364" t="s">
        <v>134</v>
      </c>
      <c r="AQ364" t="s">
        <v>134</v>
      </c>
      <c r="AR364" t="s">
        <v>134</v>
      </c>
      <c r="AS364" t="s">
        <v>134</v>
      </c>
      <c r="AT364" t="s">
        <v>134</v>
      </c>
      <c r="AU364" t="s">
        <v>134</v>
      </c>
      <c r="AV364" t="s">
        <v>134</v>
      </c>
      <c r="AW364" t="s">
        <v>134</v>
      </c>
      <c r="AX364" t="s">
        <v>134</v>
      </c>
      <c r="AY364" t="s">
        <v>134</v>
      </c>
      <c r="AZ364" t="s">
        <v>134</v>
      </c>
      <c r="BA364" t="s">
        <v>134</v>
      </c>
      <c r="BB364" t="s">
        <v>134</v>
      </c>
      <c r="BC364" t="s">
        <v>134</v>
      </c>
      <c r="BD364" t="s">
        <v>134</v>
      </c>
      <c r="BE364" t="s">
        <v>134</v>
      </c>
      <c r="BF364" t="s">
        <v>134</v>
      </c>
      <c r="BG364" t="s">
        <v>134</v>
      </c>
      <c r="BH364" t="s">
        <v>134</v>
      </c>
      <c r="BI364" t="s">
        <v>134</v>
      </c>
      <c r="BJ364" t="s">
        <v>134</v>
      </c>
      <c r="BK364" t="s">
        <v>134</v>
      </c>
      <c r="BL364" t="s">
        <v>134</v>
      </c>
      <c r="BM364" t="s">
        <v>134</v>
      </c>
      <c r="BN364" t="s">
        <v>134</v>
      </c>
      <c r="BO364" t="s">
        <v>134</v>
      </c>
      <c r="BP364" t="s">
        <v>134</v>
      </c>
      <c r="BQ364" t="s">
        <v>134</v>
      </c>
      <c r="BR364" t="s">
        <v>134</v>
      </c>
      <c r="BS364" t="s">
        <v>134</v>
      </c>
      <c r="BT364" t="s">
        <v>134</v>
      </c>
      <c r="BU364" t="s">
        <v>134</v>
      </c>
      <c r="BV364" t="s">
        <v>134</v>
      </c>
      <c r="BW364" t="s">
        <v>134</v>
      </c>
      <c r="BX364" t="s">
        <v>134</v>
      </c>
      <c r="BY364" t="s">
        <v>134</v>
      </c>
      <c r="BZ364" t="s">
        <v>134</v>
      </c>
      <c r="CA364" t="s">
        <v>134</v>
      </c>
      <c r="CB364" t="s">
        <v>134</v>
      </c>
      <c r="CC364" t="s">
        <v>134</v>
      </c>
      <c r="CD364" t="s">
        <v>134</v>
      </c>
      <c r="CE364" t="s">
        <v>134</v>
      </c>
      <c r="CF364" t="s">
        <v>134</v>
      </c>
      <c r="CG364" t="s">
        <v>134</v>
      </c>
      <c r="CH364" t="s">
        <v>134</v>
      </c>
      <c r="CI364" t="s">
        <v>134</v>
      </c>
      <c r="CJ364" t="s">
        <v>134</v>
      </c>
      <c r="CK364" t="s">
        <v>134</v>
      </c>
      <c r="CL364" t="s">
        <v>134</v>
      </c>
      <c r="CM364" t="s">
        <v>134</v>
      </c>
      <c r="CN364" t="s">
        <v>134</v>
      </c>
      <c r="CO364" t="s">
        <v>134</v>
      </c>
      <c r="CP364" t="s">
        <v>134</v>
      </c>
      <c r="CQ364" t="s">
        <v>134</v>
      </c>
      <c r="CR364" t="s">
        <v>134</v>
      </c>
      <c r="CS364" t="s">
        <v>134</v>
      </c>
      <c r="CT364" t="s">
        <v>134</v>
      </c>
      <c r="CU364" t="s">
        <v>134</v>
      </c>
      <c r="CV364" t="s">
        <v>134</v>
      </c>
      <c r="CW364" t="s">
        <v>134</v>
      </c>
      <c r="CX364" t="s">
        <v>134</v>
      </c>
      <c r="CY364" t="s">
        <v>134</v>
      </c>
      <c r="CZ364" t="s">
        <v>134</v>
      </c>
      <c r="DA364" t="s">
        <v>134</v>
      </c>
      <c r="DB364" t="s">
        <v>134</v>
      </c>
      <c r="DC364" t="s">
        <v>134</v>
      </c>
      <c r="DD364" t="s">
        <v>134</v>
      </c>
      <c r="DE364" t="s">
        <v>134</v>
      </c>
      <c r="DF364" t="s">
        <v>134</v>
      </c>
      <c r="DG364" t="s">
        <v>134</v>
      </c>
      <c r="DH364" t="s">
        <v>134</v>
      </c>
      <c r="DI364" t="s">
        <v>134</v>
      </c>
    </row>
    <row r="365" spans="1:113" x14ac:dyDescent="0.3">
      <c r="E365" t="s">
        <v>79</v>
      </c>
      <c r="F365" t="s">
        <v>134</v>
      </c>
      <c r="G365" t="s">
        <v>134</v>
      </c>
      <c r="H365" t="s">
        <v>134</v>
      </c>
      <c r="I365" t="s">
        <v>134</v>
      </c>
      <c r="J365" t="s">
        <v>134</v>
      </c>
      <c r="K365" t="s">
        <v>134</v>
      </c>
      <c r="L365" t="s">
        <v>134</v>
      </c>
      <c r="M365" t="s">
        <v>134</v>
      </c>
      <c r="N365" t="s">
        <v>134</v>
      </c>
      <c r="O365" t="s">
        <v>134</v>
      </c>
      <c r="P365" t="s">
        <v>134</v>
      </c>
      <c r="Q365" t="s">
        <v>134</v>
      </c>
      <c r="R365" t="s">
        <v>134</v>
      </c>
      <c r="S365" t="s">
        <v>134</v>
      </c>
      <c r="T365" t="s">
        <v>134</v>
      </c>
      <c r="U365" t="s">
        <v>134</v>
      </c>
      <c r="V365" t="s">
        <v>134</v>
      </c>
      <c r="W365" t="s">
        <v>134</v>
      </c>
      <c r="X365" t="s">
        <v>134</v>
      </c>
      <c r="Y365" t="s">
        <v>134</v>
      </c>
      <c r="Z365" t="s">
        <v>134</v>
      </c>
      <c r="AA365" t="s">
        <v>134</v>
      </c>
      <c r="AB365" t="s">
        <v>134</v>
      </c>
      <c r="AC365" t="s">
        <v>134</v>
      </c>
      <c r="AD365" t="s">
        <v>134</v>
      </c>
      <c r="AE365" t="s">
        <v>134</v>
      </c>
      <c r="AF365" t="s">
        <v>134</v>
      </c>
      <c r="AG365" t="s">
        <v>134</v>
      </c>
      <c r="AH365" t="s">
        <v>134</v>
      </c>
      <c r="AI365" t="s">
        <v>134</v>
      </c>
      <c r="AJ365" t="s">
        <v>134</v>
      </c>
      <c r="AK365" t="s">
        <v>134</v>
      </c>
      <c r="AL365" t="s">
        <v>134</v>
      </c>
      <c r="AM365" t="s">
        <v>134</v>
      </c>
      <c r="AN365" t="s">
        <v>134</v>
      </c>
      <c r="AO365" t="s">
        <v>134</v>
      </c>
      <c r="AP365" t="s">
        <v>134</v>
      </c>
      <c r="AQ365" t="s">
        <v>134</v>
      </c>
      <c r="AR365" t="s">
        <v>134</v>
      </c>
      <c r="AS365" t="s">
        <v>134</v>
      </c>
      <c r="AT365" t="s">
        <v>134</v>
      </c>
      <c r="AU365" t="s">
        <v>134</v>
      </c>
      <c r="AV365" t="s">
        <v>134</v>
      </c>
      <c r="AW365" t="s">
        <v>134</v>
      </c>
      <c r="AX365" t="s">
        <v>134</v>
      </c>
      <c r="AY365" t="s">
        <v>134</v>
      </c>
      <c r="AZ365" t="s">
        <v>134</v>
      </c>
      <c r="BA365" t="s">
        <v>134</v>
      </c>
      <c r="BB365" t="s">
        <v>134</v>
      </c>
      <c r="BC365" t="s">
        <v>134</v>
      </c>
      <c r="BD365" t="s">
        <v>134</v>
      </c>
      <c r="BE365" t="s">
        <v>134</v>
      </c>
      <c r="BF365" t="s">
        <v>134</v>
      </c>
      <c r="BG365" t="s">
        <v>134</v>
      </c>
      <c r="BH365" t="s">
        <v>134</v>
      </c>
      <c r="BI365" t="s">
        <v>134</v>
      </c>
      <c r="BJ365" t="s">
        <v>134</v>
      </c>
      <c r="BK365" t="s">
        <v>134</v>
      </c>
      <c r="BL365" t="s">
        <v>134</v>
      </c>
      <c r="BM365" t="s">
        <v>134</v>
      </c>
      <c r="BN365" t="s">
        <v>134</v>
      </c>
      <c r="BO365" t="s">
        <v>134</v>
      </c>
      <c r="BP365" t="s">
        <v>134</v>
      </c>
      <c r="BQ365" t="s">
        <v>134</v>
      </c>
      <c r="BR365" t="s">
        <v>134</v>
      </c>
      <c r="BS365" t="s">
        <v>134</v>
      </c>
      <c r="BT365" t="s">
        <v>134</v>
      </c>
      <c r="BU365" t="s">
        <v>134</v>
      </c>
      <c r="BV365" t="s">
        <v>134</v>
      </c>
      <c r="BW365" t="s">
        <v>134</v>
      </c>
      <c r="BX365" t="s">
        <v>134</v>
      </c>
      <c r="BY365" t="s">
        <v>134</v>
      </c>
      <c r="BZ365" t="s">
        <v>134</v>
      </c>
      <c r="CA365" t="s">
        <v>134</v>
      </c>
      <c r="CB365" t="s">
        <v>134</v>
      </c>
      <c r="CC365" t="s">
        <v>134</v>
      </c>
      <c r="CD365" t="s">
        <v>134</v>
      </c>
      <c r="CE365" t="s">
        <v>134</v>
      </c>
      <c r="CF365" t="s">
        <v>134</v>
      </c>
      <c r="CG365" t="s">
        <v>134</v>
      </c>
      <c r="CH365" t="s">
        <v>134</v>
      </c>
      <c r="CI365" t="s">
        <v>134</v>
      </c>
      <c r="CJ365" t="s">
        <v>134</v>
      </c>
      <c r="CK365" t="s">
        <v>134</v>
      </c>
      <c r="CL365" t="s">
        <v>134</v>
      </c>
      <c r="CM365" t="s">
        <v>134</v>
      </c>
      <c r="CN365" t="s">
        <v>134</v>
      </c>
      <c r="CO365" t="s">
        <v>134</v>
      </c>
      <c r="CP365" t="s">
        <v>134</v>
      </c>
      <c r="CQ365" t="s">
        <v>134</v>
      </c>
      <c r="CR365" t="s">
        <v>134</v>
      </c>
      <c r="CS365" t="s">
        <v>134</v>
      </c>
      <c r="CT365" t="s">
        <v>134</v>
      </c>
      <c r="CU365" t="s">
        <v>134</v>
      </c>
      <c r="CV365" t="s">
        <v>134</v>
      </c>
      <c r="CW365" t="s">
        <v>134</v>
      </c>
      <c r="CX365" t="s">
        <v>134</v>
      </c>
      <c r="CY365" t="s">
        <v>134</v>
      </c>
      <c r="CZ365" t="s">
        <v>134</v>
      </c>
      <c r="DA365" t="s">
        <v>134</v>
      </c>
      <c r="DB365" t="s">
        <v>134</v>
      </c>
      <c r="DC365" t="s">
        <v>134</v>
      </c>
      <c r="DD365" t="s">
        <v>134</v>
      </c>
      <c r="DE365" t="s">
        <v>134</v>
      </c>
      <c r="DF365" t="s">
        <v>134</v>
      </c>
      <c r="DG365" t="s">
        <v>134</v>
      </c>
      <c r="DH365" t="s">
        <v>134</v>
      </c>
      <c r="DI365" t="s">
        <v>134</v>
      </c>
    </row>
    <row r="366" spans="1:113" x14ac:dyDescent="0.3">
      <c r="E366" t="s">
        <v>80</v>
      </c>
      <c r="F366" t="s">
        <v>134</v>
      </c>
      <c r="G366" t="s">
        <v>134</v>
      </c>
      <c r="H366" t="s">
        <v>134</v>
      </c>
      <c r="I366" t="s">
        <v>134</v>
      </c>
      <c r="J366" t="s">
        <v>134</v>
      </c>
      <c r="K366" t="s">
        <v>134</v>
      </c>
      <c r="L366" t="s">
        <v>134</v>
      </c>
      <c r="M366" t="s">
        <v>134</v>
      </c>
      <c r="N366" t="s">
        <v>134</v>
      </c>
      <c r="O366" t="s">
        <v>134</v>
      </c>
      <c r="P366" t="s">
        <v>134</v>
      </c>
      <c r="Q366" t="s">
        <v>134</v>
      </c>
      <c r="R366" t="s">
        <v>134</v>
      </c>
      <c r="S366" t="s">
        <v>134</v>
      </c>
      <c r="T366" t="s">
        <v>134</v>
      </c>
      <c r="U366" t="s">
        <v>134</v>
      </c>
      <c r="V366" t="s">
        <v>134</v>
      </c>
      <c r="W366" t="s">
        <v>134</v>
      </c>
      <c r="X366" t="s">
        <v>134</v>
      </c>
      <c r="Y366" t="s">
        <v>134</v>
      </c>
      <c r="Z366" t="s">
        <v>134</v>
      </c>
      <c r="AA366" t="s">
        <v>134</v>
      </c>
      <c r="AB366" t="s">
        <v>134</v>
      </c>
      <c r="AC366" t="s">
        <v>134</v>
      </c>
      <c r="AD366" t="s">
        <v>134</v>
      </c>
      <c r="AE366" t="s">
        <v>134</v>
      </c>
      <c r="AF366" t="s">
        <v>134</v>
      </c>
      <c r="AG366" t="s">
        <v>134</v>
      </c>
      <c r="AH366" t="s">
        <v>134</v>
      </c>
      <c r="AI366" t="s">
        <v>134</v>
      </c>
      <c r="AJ366" t="s">
        <v>134</v>
      </c>
      <c r="AK366" t="s">
        <v>134</v>
      </c>
      <c r="AL366" t="s">
        <v>134</v>
      </c>
      <c r="AM366" t="s">
        <v>134</v>
      </c>
      <c r="AN366" t="s">
        <v>134</v>
      </c>
      <c r="AO366" t="s">
        <v>134</v>
      </c>
      <c r="AP366" t="s">
        <v>134</v>
      </c>
      <c r="AQ366" t="s">
        <v>134</v>
      </c>
      <c r="AR366" t="s">
        <v>134</v>
      </c>
      <c r="AS366" t="s">
        <v>134</v>
      </c>
      <c r="AT366" t="s">
        <v>134</v>
      </c>
      <c r="AU366" t="s">
        <v>134</v>
      </c>
      <c r="AV366" t="s">
        <v>134</v>
      </c>
      <c r="AW366" t="s">
        <v>134</v>
      </c>
      <c r="AX366" t="s">
        <v>134</v>
      </c>
      <c r="AY366" t="s">
        <v>134</v>
      </c>
      <c r="AZ366" t="s">
        <v>134</v>
      </c>
      <c r="BA366" t="s">
        <v>134</v>
      </c>
      <c r="BB366" t="s">
        <v>134</v>
      </c>
      <c r="BC366" t="s">
        <v>134</v>
      </c>
      <c r="BD366" t="s">
        <v>134</v>
      </c>
      <c r="BE366" t="s">
        <v>134</v>
      </c>
      <c r="BF366" t="s">
        <v>134</v>
      </c>
      <c r="BG366" t="s">
        <v>134</v>
      </c>
      <c r="BH366" t="s">
        <v>134</v>
      </c>
      <c r="BI366" t="s">
        <v>134</v>
      </c>
      <c r="BJ366" t="s">
        <v>134</v>
      </c>
      <c r="BK366" t="s">
        <v>134</v>
      </c>
      <c r="BL366" t="s">
        <v>134</v>
      </c>
      <c r="BM366" t="s">
        <v>134</v>
      </c>
      <c r="BN366" t="s">
        <v>134</v>
      </c>
      <c r="BO366" t="s">
        <v>134</v>
      </c>
      <c r="BP366" t="s">
        <v>134</v>
      </c>
      <c r="BQ366" t="s">
        <v>134</v>
      </c>
      <c r="BR366" t="s">
        <v>134</v>
      </c>
      <c r="BS366" t="s">
        <v>134</v>
      </c>
      <c r="BT366" t="s">
        <v>134</v>
      </c>
      <c r="BU366" t="s">
        <v>134</v>
      </c>
      <c r="BV366" t="s">
        <v>134</v>
      </c>
      <c r="BW366" t="s">
        <v>134</v>
      </c>
      <c r="BX366" t="s">
        <v>134</v>
      </c>
      <c r="BY366" t="s">
        <v>134</v>
      </c>
      <c r="BZ366" t="s">
        <v>134</v>
      </c>
      <c r="CA366" t="s">
        <v>134</v>
      </c>
      <c r="CB366" t="s">
        <v>134</v>
      </c>
      <c r="CC366" t="s">
        <v>134</v>
      </c>
      <c r="CD366" t="s">
        <v>134</v>
      </c>
      <c r="CE366" t="s">
        <v>134</v>
      </c>
      <c r="CF366" t="s">
        <v>134</v>
      </c>
      <c r="CG366" t="s">
        <v>134</v>
      </c>
      <c r="CH366" t="s">
        <v>134</v>
      </c>
      <c r="CI366" t="s">
        <v>134</v>
      </c>
      <c r="CJ366" t="s">
        <v>134</v>
      </c>
      <c r="CK366" t="s">
        <v>134</v>
      </c>
      <c r="CL366" t="s">
        <v>134</v>
      </c>
      <c r="CM366" t="s">
        <v>134</v>
      </c>
      <c r="CN366" t="s">
        <v>134</v>
      </c>
      <c r="CO366" t="s">
        <v>134</v>
      </c>
      <c r="CP366" t="s">
        <v>134</v>
      </c>
      <c r="CQ366" t="s">
        <v>134</v>
      </c>
      <c r="CR366" t="s">
        <v>134</v>
      </c>
      <c r="CS366" t="s">
        <v>134</v>
      </c>
      <c r="CT366" t="s">
        <v>134</v>
      </c>
      <c r="CU366" t="s">
        <v>134</v>
      </c>
      <c r="CV366" t="s">
        <v>134</v>
      </c>
      <c r="CW366" t="s">
        <v>134</v>
      </c>
      <c r="CX366" t="s">
        <v>134</v>
      </c>
      <c r="CY366" t="s">
        <v>134</v>
      </c>
      <c r="CZ366" t="s">
        <v>134</v>
      </c>
      <c r="DA366" t="s">
        <v>134</v>
      </c>
      <c r="DB366" t="s">
        <v>134</v>
      </c>
      <c r="DC366" t="s">
        <v>134</v>
      </c>
      <c r="DD366" t="s">
        <v>134</v>
      </c>
      <c r="DE366" t="s">
        <v>134</v>
      </c>
      <c r="DF366" t="s">
        <v>134</v>
      </c>
      <c r="DG366" t="s">
        <v>134</v>
      </c>
      <c r="DH366" t="s">
        <v>134</v>
      </c>
      <c r="DI366" t="s">
        <v>134</v>
      </c>
    </row>
    <row r="367" spans="1:113" x14ac:dyDescent="0.3">
      <c r="E367" t="s">
        <v>81</v>
      </c>
      <c r="F367" t="s">
        <v>134</v>
      </c>
      <c r="G367" t="s">
        <v>134</v>
      </c>
      <c r="H367" t="s">
        <v>134</v>
      </c>
      <c r="I367" t="s">
        <v>134</v>
      </c>
      <c r="J367" t="s">
        <v>134</v>
      </c>
      <c r="K367" t="s">
        <v>134</v>
      </c>
      <c r="L367" t="s">
        <v>134</v>
      </c>
      <c r="M367" t="s">
        <v>134</v>
      </c>
      <c r="N367" t="s">
        <v>134</v>
      </c>
      <c r="O367" t="s">
        <v>134</v>
      </c>
      <c r="P367" t="s">
        <v>134</v>
      </c>
      <c r="Q367" t="s">
        <v>134</v>
      </c>
      <c r="R367" t="s">
        <v>134</v>
      </c>
      <c r="S367" t="s">
        <v>134</v>
      </c>
      <c r="T367" t="s">
        <v>134</v>
      </c>
      <c r="U367" t="s">
        <v>134</v>
      </c>
      <c r="V367" t="s">
        <v>134</v>
      </c>
      <c r="W367" t="s">
        <v>134</v>
      </c>
      <c r="X367" t="s">
        <v>134</v>
      </c>
      <c r="Y367" t="s">
        <v>134</v>
      </c>
      <c r="Z367" t="s">
        <v>134</v>
      </c>
      <c r="AA367" t="s">
        <v>134</v>
      </c>
      <c r="AB367" t="s">
        <v>134</v>
      </c>
      <c r="AC367" t="s">
        <v>134</v>
      </c>
      <c r="AD367" t="s">
        <v>134</v>
      </c>
      <c r="AE367" t="s">
        <v>134</v>
      </c>
      <c r="AF367" t="s">
        <v>134</v>
      </c>
      <c r="AG367" t="s">
        <v>134</v>
      </c>
      <c r="AH367" t="s">
        <v>134</v>
      </c>
      <c r="AI367" t="s">
        <v>134</v>
      </c>
      <c r="AJ367" t="s">
        <v>134</v>
      </c>
      <c r="AK367" t="s">
        <v>134</v>
      </c>
      <c r="AL367" t="s">
        <v>134</v>
      </c>
      <c r="AM367" t="s">
        <v>134</v>
      </c>
      <c r="AN367" t="s">
        <v>134</v>
      </c>
      <c r="AO367" t="s">
        <v>134</v>
      </c>
      <c r="AP367" t="s">
        <v>134</v>
      </c>
      <c r="AQ367" t="s">
        <v>134</v>
      </c>
      <c r="AR367" t="s">
        <v>134</v>
      </c>
      <c r="AS367" t="s">
        <v>134</v>
      </c>
      <c r="AT367" t="s">
        <v>134</v>
      </c>
      <c r="AU367" t="s">
        <v>134</v>
      </c>
      <c r="AV367" t="s">
        <v>134</v>
      </c>
      <c r="AW367" t="s">
        <v>134</v>
      </c>
      <c r="AX367" t="s">
        <v>134</v>
      </c>
      <c r="AY367" t="s">
        <v>134</v>
      </c>
      <c r="AZ367" t="s">
        <v>134</v>
      </c>
      <c r="BA367" t="s">
        <v>134</v>
      </c>
      <c r="BB367" t="s">
        <v>134</v>
      </c>
      <c r="BC367" t="s">
        <v>134</v>
      </c>
      <c r="BD367" t="s">
        <v>134</v>
      </c>
      <c r="BE367" t="s">
        <v>134</v>
      </c>
      <c r="BF367" t="s">
        <v>134</v>
      </c>
      <c r="BG367" t="s">
        <v>134</v>
      </c>
      <c r="BH367" t="s">
        <v>134</v>
      </c>
      <c r="BI367" t="s">
        <v>134</v>
      </c>
      <c r="BJ367" t="s">
        <v>134</v>
      </c>
      <c r="BK367" t="s">
        <v>134</v>
      </c>
      <c r="BL367" t="s">
        <v>134</v>
      </c>
      <c r="BM367" t="s">
        <v>134</v>
      </c>
      <c r="BN367" t="s">
        <v>134</v>
      </c>
      <c r="BO367" t="s">
        <v>134</v>
      </c>
      <c r="BP367" t="s">
        <v>134</v>
      </c>
      <c r="BQ367" t="s">
        <v>134</v>
      </c>
      <c r="BR367" t="s">
        <v>134</v>
      </c>
      <c r="BS367" t="s">
        <v>134</v>
      </c>
      <c r="BT367" t="s">
        <v>134</v>
      </c>
      <c r="BU367" t="s">
        <v>134</v>
      </c>
      <c r="BV367" t="s">
        <v>134</v>
      </c>
      <c r="BW367" t="s">
        <v>134</v>
      </c>
      <c r="BX367" t="s">
        <v>134</v>
      </c>
      <c r="BY367" t="s">
        <v>134</v>
      </c>
      <c r="BZ367" t="s">
        <v>134</v>
      </c>
      <c r="CA367" t="s">
        <v>134</v>
      </c>
      <c r="CB367" t="s">
        <v>134</v>
      </c>
      <c r="CC367" t="s">
        <v>134</v>
      </c>
      <c r="CD367" t="s">
        <v>134</v>
      </c>
      <c r="CE367" t="s">
        <v>134</v>
      </c>
      <c r="CF367" t="s">
        <v>134</v>
      </c>
      <c r="CG367" t="s">
        <v>134</v>
      </c>
      <c r="CH367" t="s">
        <v>134</v>
      </c>
      <c r="CI367" t="s">
        <v>134</v>
      </c>
      <c r="CJ367" t="s">
        <v>134</v>
      </c>
      <c r="CK367" t="s">
        <v>134</v>
      </c>
      <c r="CL367" t="s">
        <v>134</v>
      </c>
      <c r="CM367" t="s">
        <v>134</v>
      </c>
      <c r="CN367" t="s">
        <v>134</v>
      </c>
      <c r="CO367" t="s">
        <v>134</v>
      </c>
      <c r="CP367" t="s">
        <v>134</v>
      </c>
      <c r="CQ367" t="s">
        <v>134</v>
      </c>
      <c r="CR367" t="s">
        <v>134</v>
      </c>
      <c r="CS367" t="s">
        <v>134</v>
      </c>
      <c r="CT367" t="s">
        <v>134</v>
      </c>
      <c r="CU367" t="s">
        <v>134</v>
      </c>
      <c r="CV367" t="s">
        <v>134</v>
      </c>
      <c r="CW367" t="s">
        <v>134</v>
      </c>
      <c r="CX367" t="s">
        <v>134</v>
      </c>
      <c r="CY367" t="s">
        <v>134</v>
      </c>
      <c r="CZ367" t="s">
        <v>134</v>
      </c>
      <c r="DA367" t="s">
        <v>134</v>
      </c>
      <c r="DB367" t="s">
        <v>134</v>
      </c>
      <c r="DC367" t="s">
        <v>134</v>
      </c>
      <c r="DD367" t="s">
        <v>134</v>
      </c>
      <c r="DE367" t="s">
        <v>134</v>
      </c>
      <c r="DF367" t="s">
        <v>134</v>
      </c>
      <c r="DG367" t="s">
        <v>134</v>
      </c>
      <c r="DH367" t="s">
        <v>134</v>
      </c>
      <c r="DI367" t="s">
        <v>134</v>
      </c>
    </row>
    <row r="368" spans="1:113" x14ac:dyDescent="0.3">
      <c r="D368" t="s">
        <v>84</v>
      </c>
      <c r="E368" t="s">
        <v>77</v>
      </c>
      <c r="F368">
        <v>4.2420999999999998</v>
      </c>
      <c r="G368">
        <v>0.25740000000000002</v>
      </c>
      <c r="H368">
        <v>1.5529999999999999</v>
      </c>
      <c r="I368">
        <v>8.6501999999999999</v>
      </c>
      <c r="J368" t="s">
        <v>134</v>
      </c>
      <c r="K368">
        <v>7.7907000000000002</v>
      </c>
      <c r="L368">
        <v>255.84960000000001</v>
      </c>
      <c r="M368">
        <v>3.3913000000000002</v>
      </c>
      <c r="N368">
        <v>8.1306999999999992</v>
      </c>
      <c r="O368">
        <v>7.9554</v>
      </c>
      <c r="P368">
        <v>7.9554</v>
      </c>
      <c r="Q368">
        <v>0</v>
      </c>
      <c r="R368">
        <v>15.234299999999999</v>
      </c>
      <c r="S368">
        <v>3.5958000000000001</v>
      </c>
      <c r="T368">
        <v>1.1953</v>
      </c>
      <c r="U368" t="s">
        <v>134</v>
      </c>
      <c r="V368" t="s">
        <v>134</v>
      </c>
      <c r="W368" t="s">
        <v>134</v>
      </c>
      <c r="X368" t="s">
        <v>134</v>
      </c>
      <c r="Y368" t="s">
        <v>134</v>
      </c>
      <c r="Z368" t="s">
        <v>134</v>
      </c>
      <c r="AA368" t="s">
        <v>134</v>
      </c>
      <c r="AB368">
        <v>-6.7539999999999996</v>
      </c>
      <c r="AC368">
        <v>4.0570000000000004</v>
      </c>
      <c r="AD368" t="s">
        <v>134</v>
      </c>
      <c r="AE368" t="s">
        <v>134</v>
      </c>
      <c r="AF368" t="s">
        <v>134</v>
      </c>
      <c r="AG368">
        <v>-97.429599999999994</v>
      </c>
      <c r="AH368">
        <v>-72.003699999999995</v>
      </c>
      <c r="AI368">
        <v>1.4129</v>
      </c>
      <c r="AJ368">
        <v>-52.671900000000001</v>
      </c>
      <c r="AK368">
        <v>1.3279000000000001</v>
      </c>
      <c r="AL368" t="s">
        <v>134</v>
      </c>
      <c r="AM368">
        <v>8.6664999999999992</v>
      </c>
      <c r="AN368" t="s">
        <v>134</v>
      </c>
      <c r="AO368">
        <v>-22.369800000000001</v>
      </c>
      <c r="AP368">
        <v>-19.134</v>
      </c>
      <c r="AQ368">
        <v>-21.716200000000001</v>
      </c>
      <c r="AR368">
        <v>-18.802900000000001</v>
      </c>
      <c r="AS368" t="s">
        <v>134</v>
      </c>
      <c r="AT368" t="s">
        <v>134</v>
      </c>
      <c r="AU368">
        <v>19.55</v>
      </c>
      <c r="AV368">
        <v>9.4740000000000002</v>
      </c>
      <c r="AW368" t="s">
        <v>134</v>
      </c>
      <c r="AX368" t="s">
        <v>134</v>
      </c>
      <c r="AY368" t="s">
        <v>134</v>
      </c>
      <c r="AZ368">
        <v>-47.6083</v>
      </c>
      <c r="BA368">
        <v>-15.868500000000001</v>
      </c>
      <c r="BB368">
        <v>8.6430000000000007</v>
      </c>
      <c r="BC368">
        <v>-6.5966000000000005</v>
      </c>
      <c r="BD368">
        <v>6.1444999999999999</v>
      </c>
      <c r="BE368" t="s">
        <v>134</v>
      </c>
      <c r="BF368">
        <v>1.1953</v>
      </c>
      <c r="BG368" t="s">
        <v>134</v>
      </c>
      <c r="BH368" t="s">
        <v>134</v>
      </c>
      <c r="BI368" t="s">
        <v>134</v>
      </c>
      <c r="BJ368" t="s">
        <v>134</v>
      </c>
      <c r="BK368" t="s">
        <v>134</v>
      </c>
      <c r="BL368" t="s">
        <v>134</v>
      </c>
      <c r="BM368" t="s">
        <v>134</v>
      </c>
      <c r="BN368">
        <v>-6.7539999999999996</v>
      </c>
      <c r="BO368">
        <v>4.0570000000000004</v>
      </c>
      <c r="BP368" t="s">
        <v>134</v>
      </c>
      <c r="BQ368" t="s">
        <v>134</v>
      </c>
      <c r="BR368" t="s">
        <v>134</v>
      </c>
      <c r="BS368">
        <v>-97.429599999999994</v>
      </c>
      <c r="BT368">
        <v>-72.003699999999995</v>
      </c>
      <c r="BU368">
        <v>1.4129</v>
      </c>
      <c r="BV368">
        <v>-52.671900000000001</v>
      </c>
      <c r="BW368">
        <v>1.3279000000000001</v>
      </c>
      <c r="BX368" t="s">
        <v>134</v>
      </c>
      <c r="BY368">
        <v>334424.65600000002</v>
      </c>
      <c r="BZ368">
        <v>22004.638999999999</v>
      </c>
      <c r="CA368">
        <v>312420.01699999999</v>
      </c>
      <c r="CB368" t="s">
        <v>134</v>
      </c>
      <c r="CC368" t="s">
        <v>134</v>
      </c>
      <c r="CD368">
        <v>18.815200000000001</v>
      </c>
      <c r="CE368">
        <v>-67.892200000000003</v>
      </c>
      <c r="CF368" t="s">
        <v>134</v>
      </c>
      <c r="CG368">
        <v>5.9881000000000002</v>
      </c>
      <c r="CH368">
        <v>72.152299999999997</v>
      </c>
      <c r="CI368">
        <v>40.710099999999997</v>
      </c>
      <c r="CJ368">
        <v>4.3438999999999997</v>
      </c>
      <c r="CK368">
        <v>77.234200000000001</v>
      </c>
      <c r="CL368">
        <v>43.577500000000001</v>
      </c>
      <c r="CM368">
        <v>4.6497999999999999</v>
      </c>
      <c r="CN368">
        <v>-278.68880000000001</v>
      </c>
      <c r="CO368">
        <v>155.9632</v>
      </c>
      <c r="CP368" t="s">
        <v>134</v>
      </c>
      <c r="CQ368" t="s">
        <v>134</v>
      </c>
      <c r="CR368">
        <v>17774.131000000001</v>
      </c>
      <c r="CS368" t="s">
        <v>134</v>
      </c>
      <c r="CT368" t="s">
        <v>134</v>
      </c>
      <c r="CU368" t="s">
        <v>134</v>
      </c>
      <c r="CV368" t="s">
        <v>134</v>
      </c>
      <c r="CW368" t="s">
        <v>134</v>
      </c>
      <c r="CX368" t="s">
        <v>134</v>
      </c>
      <c r="CY368" t="s">
        <v>134</v>
      </c>
      <c r="CZ368" t="s">
        <v>134</v>
      </c>
      <c r="DA368" t="s">
        <v>134</v>
      </c>
      <c r="DB368" t="s">
        <v>134</v>
      </c>
      <c r="DC368" t="s">
        <v>134</v>
      </c>
      <c r="DD368" t="s">
        <v>134</v>
      </c>
      <c r="DE368" t="s">
        <v>134</v>
      </c>
      <c r="DF368" t="s">
        <v>134</v>
      </c>
      <c r="DG368" t="s">
        <v>134</v>
      </c>
      <c r="DH368" t="s">
        <v>134</v>
      </c>
      <c r="DI368" t="s">
        <v>134</v>
      </c>
    </row>
    <row r="369" spans="1:113" x14ac:dyDescent="0.3">
      <c r="E369" t="s">
        <v>78</v>
      </c>
      <c r="F369" t="s">
        <v>134</v>
      </c>
      <c r="G369" t="s">
        <v>134</v>
      </c>
      <c r="H369" t="s">
        <v>134</v>
      </c>
      <c r="I369" t="s">
        <v>134</v>
      </c>
      <c r="J369" t="s">
        <v>134</v>
      </c>
      <c r="K369">
        <v>15.5547</v>
      </c>
      <c r="L369" t="s">
        <v>134</v>
      </c>
      <c r="M369">
        <v>15.5547</v>
      </c>
      <c r="N369">
        <v>10.438499999999999</v>
      </c>
      <c r="O369">
        <v>10.2136</v>
      </c>
      <c r="P369">
        <v>10.2136</v>
      </c>
      <c r="Q369">
        <v>33.3735</v>
      </c>
      <c r="R369" t="s">
        <v>134</v>
      </c>
      <c r="S369" t="s">
        <v>134</v>
      </c>
      <c r="T369" t="s">
        <v>134</v>
      </c>
      <c r="U369" t="s">
        <v>134</v>
      </c>
      <c r="V369" t="s">
        <v>134</v>
      </c>
      <c r="W369" t="s">
        <v>134</v>
      </c>
      <c r="X369" t="s">
        <v>134</v>
      </c>
      <c r="Y369" t="s">
        <v>134</v>
      </c>
      <c r="Z369" t="s">
        <v>134</v>
      </c>
      <c r="AA369" t="s">
        <v>134</v>
      </c>
      <c r="AB369" t="s">
        <v>134</v>
      </c>
      <c r="AC369" t="s">
        <v>134</v>
      </c>
      <c r="AD369" t="s">
        <v>134</v>
      </c>
      <c r="AE369" t="s">
        <v>134</v>
      </c>
      <c r="AF369" t="s">
        <v>134</v>
      </c>
      <c r="AG369" t="s">
        <v>134</v>
      </c>
      <c r="AH369" t="s">
        <v>134</v>
      </c>
      <c r="AI369" t="s">
        <v>134</v>
      </c>
      <c r="AJ369" t="s">
        <v>134</v>
      </c>
      <c r="AK369" t="s">
        <v>134</v>
      </c>
      <c r="AL369" t="s">
        <v>134</v>
      </c>
      <c r="AM369" t="s">
        <v>134</v>
      </c>
      <c r="AN369" t="s">
        <v>134</v>
      </c>
      <c r="AO369" t="s">
        <v>134</v>
      </c>
      <c r="AP369" t="s">
        <v>134</v>
      </c>
      <c r="AQ369" t="s">
        <v>134</v>
      </c>
      <c r="AR369" t="s">
        <v>134</v>
      </c>
      <c r="AS369" t="s">
        <v>134</v>
      </c>
      <c r="AT369" t="s">
        <v>134</v>
      </c>
      <c r="AU369" t="s">
        <v>134</v>
      </c>
      <c r="AV369" t="s">
        <v>134</v>
      </c>
      <c r="AW369" t="s">
        <v>134</v>
      </c>
      <c r="AX369" t="s">
        <v>134</v>
      </c>
      <c r="AY369" t="s">
        <v>134</v>
      </c>
      <c r="AZ369" t="s">
        <v>134</v>
      </c>
      <c r="BA369" t="s">
        <v>134</v>
      </c>
      <c r="BB369" t="s">
        <v>134</v>
      </c>
      <c r="BC369" t="s">
        <v>134</v>
      </c>
      <c r="BD369" t="s">
        <v>134</v>
      </c>
      <c r="BE369" t="s">
        <v>134</v>
      </c>
      <c r="BF369" t="s">
        <v>134</v>
      </c>
      <c r="BG369" t="s">
        <v>134</v>
      </c>
      <c r="BH369" t="s">
        <v>134</v>
      </c>
      <c r="BI369" t="s">
        <v>134</v>
      </c>
      <c r="BJ369" t="s">
        <v>134</v>
      </c>
      <c r="BK369" t="s">
        <v>134</v>
      </c>
      <c r="BL369" t="s">
        <v>134</v>
      </c>
      <c r="BM369" t="s">
        <v>134</v>
      </c>
      <c r="BN369" t="s">
        <v>134</v>
      </c>
      <c r="BO369" t="s">
        <v>134</v>
      </c>
      <c r="BP369" t="s">
        <v>134</v>
      </c>
      <c r="BQ369" t="s">
        <v>134</v>
      </c>
      <c r="BR369" t="s">
        <v>134</v>
      </c>
      <c r="BS369" t="s">
        <v>134</v>
      </c>
      <c r="BT369" t="s">
        <v>134</v>
      </c>
      <c r="BU369" t="s">
        <v>134</v>
      </c>
      <c r="BV369" t="s">
        <v>134</v>
      </c>
      <c r="BW369" t="s">
        <v>134</v>
      </c>
      <c r="BX369" t="s">
        <v>134</v>
      </c>
      <c r="BY369">
        <v>363540</v>
      </c>
      <c r="BZ369" t="s">
        <v>134</v>
      </c>
      <c r="CA369">
        <v>363540</v>
      </c>
      <c r="CB369" t="s">
        <v>134</v>
      </c>
      <c r="CC369" t="s">
        <v>134</v>
      </c>
      <c r="CD369" t="s">
        <v>134</v>
      </c>
      <c r="CE369" t="s">
        <v>134</v>
      </c>
      <c r="CF369" t="s">
        <v>134</v>
      </c>
      <c r="CG369">
        <v>6.3002000000000002</v>
      </c>
      <c r="CH369">
        <v>84.129400000000004</v>
      </c>
      <c r="CI369">
        <v>45.690399999999997</v>
      </c>
      <c r="CJ369">
        <v>5.3258000000000001</v>
      </c>
      <c r="CK369">
        <v>84.129400000000004</v>
      </c>
      <c r="CL369">
        <v>45.690399999999997</v>
      </c>
      <c r="CM369">
        <v>5.3258000000000001</v>
      </c>
      <c r="CN369">
        <v>-235.06899999999999</v>
      </c>
      <c r="CO369">
        <v>174.03630000000001</v>
      </c>
      <c r="CP369" t="s">
        <v>134</v>
      </c>
      <c r="CQ369" t="s">
        <v>134</v>
      </c>
      <c r="CR369">
        <v>8300</v>
      </c>
      <c r="CS369" t="s">
        <v>134</v>
      </c>
      <c r="CT369" t="s">
        <v>134</v>
      </c>
      <c r="CU369" t="s">
        <v>134</v>
      </c>
      <c r="CV369" t="s">
        <v>134</v>
      </c>
      <c r="CW369" t="s">
        <v>134</v>
      </c>
      <c r="CX369" t="s">
        <v>134</v>
      </c>
      <c r="CY369" t="s">
        <v>134</v>
      </c>
      <c r="CZ369" t="s">
        <v>134</v>
      </c>
      <c r="DA369" t="s">
        <v>134</v>
      </c>
      <c r="DB369" t="s">
        <v>134</v>
      </c>
      <c r="DC369" t="s">
        <v>134</v>
      </c>
      <c r="DD369" t="s">
        <v>134</v>
      </c>
      <c r="DE369" t="s">
        <v>134</v>
      </c>
      <c r="DF369" t="s">
        <v>134</v>
      </c>
      <c r="DG369" t="s">
        <v>134</v>
      </c>
      <c r="DH369" t="s">
        <v>134</v>
      </c>
      <c r="DI369" t="s">
        <v>134</v>
      </c>
    </row>
    <row r="370" spans="1:113" x14ac:dyDescent="0.3">
      <c r="E370" t="s">
        <v>79</v>
      </c>
      <c r="F370" t="s">
        <v>134</v>
      </c>
      <c r="G370" t="s">
        <v>134</v>
      </c>
      <c r="H370" t="s">
        <v>134</v>
      </c>
      <c r="I370" t="s">
        <v>134</v>
      </c>
      <c r="J370" t="s">
        <v>134</v>
      </c>
      <c r="K370">
        <v>11.805300000000001</v>
      </c>
      <c r="L370" t="s">
        <v>134</v>
      </c>
      <c r="M370">
        <v>11.805300000000001</v>
      </c>
      <c r="N370">
        <v>4.9728000000000003</v>
      </c>
      <c r="O370">
        <v>4.8056999999999999</v>
      </c>
      <c r="P370">
        <v>4.8056999999999999</v>
      </c>
      <c r="Q370">
        <v>62.477899999999998</v>
      </c>
      <c r="R370" t="s">
        <v>134</v>
      </c>
      <c r="S370" t="s">
        <v>134</v>
      </c>
      <c r="T370" t="s">
        <v>134</v>
      </c>
      <c r="U370" t="s">
        <v>134</v>
      </c>
      <c r="V370" t="s">
        <v>134</v>
      </c>
      <c r="W370" t="s">
        <v>134</v>
      </c>
      <c r="X370" t="s">
        <v>134</v>
      </c>
      <c r="Y370" t="s">
        <v>134</v>
      </c>
      <c r="Z370" t="s">
        <v>134</v>
      </c>
      <c r="AA370" t="s">
        <v>134</v>
      </c>
      <c r="AB370" t="s">
        <v>134</v>
      </c>
      <c r="AC370" t="s">
        <v>134</v>
      </c>
      <c r="AD370" t="s">
        <v>134</v>
      </c>
      <c r="AE370" t="s">
        <v>134</v>
      </c>
      <c r="AF370" t="s">
        <v>134</v>
      </c>
      <c r="AG370" t="s">
        <v>134</v>
      </c>
      <c r="AH370" t="s">
        <v>134</v>
      </c>
      <c r="AI370" t="s">
        <v>134</v>
      </c>
      <c r="AJ370" t="s">
        <v>134</v>
      </c>
      <c r="AK370" t="s">
        <v>134</v>
      </c>
      <c r="AL370" t="s">
        <v>134</v>
      </c>
      <c r="AM370" t="s">
        <v>134</v>
      </c>
      <c r="AN370" t="s">
        <v>134</v>
      </c>
      <c r="AO370" t="s">
        <v>134</v>
      </c>
      <c r="AP370" t="s">
        <v>134</v>
      </c>
      <c r="AQ370" t="s">
        <v>134</v>
      </c>
      <c r="AR370" t="s">
        <v>134</v>
      </c>
      <c r="AS370" t="s">
        <v>134</v>
      </c>
      <c r="AT370" t="s">
        <v>134</v>
      </c>
      <c r="AU370" t="s">
        <v>134</v>
      </c>
      <c r="AV370" t="s">
        <v>134</v>
      </c>
      <c r="AW370" t="s">
        <v>134</v>
      </c>
      <c r="AX370" t="s">
        <v>134</v>
      </c>
      <c r="AY370" t="s">
        <v>134</v>
      </c>
      <c r="AZ370" t="s">
        <v>134</v>
      </c>
      <c r="BA370" t="s">
        <v>134</v>
      </c>
      <c r="BB370" t="s">
        <v>134</v>
      </c>
      <c r="BC370" t="s">
        <v>134</v>
      </c>
      <c r="BD370" t="s">
        <v>134</v>
      </c>
      <c r="BE370" t="s">
        <v>134</v>
      </c>
      <c r="BF370">
        <v>-10.3073</v>
      </c>
      <c r="BG370" t="s">
        <v>134</v>
      </c>
      <c r="BH370">
        <v>-31.927700000000002</v>
      </c>
      <c r="BI370">
        <v>-57.798200000000001</v>
      </c>
      <c r="BJ370">
        <v>-57.801299999999998</v>
      </c>
      <c r="BK370" t="s">
        <v>134</v>
      </c>
      <c r="BL370" t="s">
        <v>134</v>
      </c>
      <c r="BM370" t="s">
        <v>134</v>
      </c>
      <c r="BN370">
        <v>-50.659700000000001</v>
      </c>
      <c r="BO370">
        <v>6.9512999999999998</v>
      </c>
      <c r="BP370" t="s">
        <v>134</v>
      </c>
      <c r="BQ370" t="s">
        <v>134</v>
      </c>
      <c r="BR370" t="s">
        <v>134</v>
      </c>
      <c r="BS370" t="s">
        <v>134</v>
      </c>
      <c r="BT370">
        <v>-2.6764999999999999</v>
      </c>
      <c r="BU370">
        <v>5.7900999999999998</v>
      </c>
      <c r="BV370">
        <v>1.9217</v>
      </c>
      <c r="BW370">
        <v>5.8635000000000002</v>
      </c>
      <c r="BX370" t="s">
        <v>134</v>
      </c>
      <c r="BY370">
        <v>353810</v>
      </c>
      <c r="BZ370" t="s">
        <v>134</v>
      </c>
      <c r="CA370">
        <v>353810</v>
      </c>
      <c r="CB370" t="s">
        <v>134</v>
      </c>
      <c r="CC370" t="s">
        <v>134</v>
      </c>
      <c r="CD370" t="s">
        <v>134</v>
      </c>
      <c r="CE370" t="s">
        <v>134</v>
      </c>
      <c r="CF370" t="s">
        <v>134</v>
      </c>
      <c r="CG370">
        <v>6.2366000000000001</v>
      </c>
      <c r="CH370">
        <v>77.3964</v>
      </c>
      <c r="CI370">
        <v>43.629100000000001</v>
      </c>
      <c r="CJ370">
        <v>4.8463000000000003</v>
      </c>
      <c r="CK370">
        <v>77.3964</v>
      </c>
      <c r="CL370">
        <v>43.629100000000001</v>
      </c>
      <c r="CM370">
        <v>4.8463000000000003</v>
      </c>
      <c r="CN370">
        <v>-224.40389999999999</v>
      </c>
      <c r="CO370">
        <v>180.38329999999999</v>
      </c>
      <c r="CP370" t="s">
        <v>134</v>
      </c>
      <c r="CQ370" t="s">
        <v>134</v>
      </c>
      <c r="CR370">
        <v>5650</v>
      </c>
      <c r="CS370" t="s">
        <v>134</v>
      </c>
      <c r="CT370" t="s">
        <v>134</v>
      </c>
      <c r="CU370" t="s">
        <v>134</v>
      </c>
      <c r="CV370" t="s">
        <v>134</v>
      </c>
      <c r="CW370" t="s">
        <v>134</v>
      </c>
      <c r="CX370" t="s">
        <v>134</v>
      </c>
      <c r="CY370" t="s">
        <v>134</v>
      </c>
      <c r="CZ370" t="s">
        <v>134</v>
      </c>
      <c r="DA370" t="s">
        <v>134</v>
      </c>
      <c r="DB370" t="s">
        <v>134</v>
      </c>
      <c r="DC370" t="s">
        <v>134</v>
      </c>
      <c r="DD370" t="s">
        <v>134</v>
      </c>
      <c r="DE370" t="s">
        <v>134</v>
      </c>
      <c r="DF370" t="s">
        <v>134</v>
      </c>
      <c r="DG370" t="s">
        <v>134</v>
      </c>
      <c r="DH370" t="s">
        <v>134</v>
      </c>
      <c r="DI370" t="s">
        <v>134</v>
      </c>
    </row>
    <row r="371" spans="1:113" x14ac:dyDescent="0.3">
      <c r="E371" t="s">
        <v>80</v>
      </c>
      <c r="F371" t="s">
        <v>134</v>
      </c>
      <c r="G371" t="s">
        <v>134</v>
      </c>
      <c r="H371" t="s">
        <v>134</v>
      </c>
      <c r="I371" t="s">
        <v>134</v>
      </c>
      <c r="J371" t="s">
        <v>134</v>
      </c>
      <c r="K371">
        <v>12.3009</v>
      </c>
      <c r="L371" t="s">
        <v>134</v>
      </c>
      <c r="M371">
        <v>12.3009</v>
      </c>
      <c r="N371">
        <v>6.8277999999999999</v>
      </c>
      <c r="O371">
        <v>6.6264000000000003</v>
      </c>
      <c r="P371">
        <v>6.6264000000000003</v>
      </c>
      <c r="Q371">
        <v>47.023800000000001</v>
      </c>
      <c r="R371" t="s">
        <v>134</v>
      </c>
      <c r="S371" t="s">
        <v>134</v>
      </c>
      <c r="T371" t="s">
        <v>134</v>
      </c>
      <c r="U371" t="s">
        <v>134</v>
      </c>
      <c r="V371" t="s">
        <v>134</v>
      </c>
      <c r="W371" t="s">
        <v>134</v>
      </c>
      <c r="X371" t="s">
        <v>134</v>
      </c>
      <c r="Y371" t="s">
        <v>134</v>
      </c>
      <c r="Z371" t="s">
        <v>134</v>
      </c>
      <c r="AA371" t="s">
        <v>134</v>
      </c>
      <c r="AB371" t="s">
        <v>134</v>
      </c>
      <c r="AC371" t="s">
        <v>134</v>
      </c>
      <c r="AD371" t="s">
        <v>134</v>
      </c>
      <c r="AE371" t="s">
        <v>134</v>
      </c>
      <c r="AF371" t="s">
        <v>134</v>
      </c>
      <c r="AG371" t="s">
        <v>134</v>
      </c>
      <c r="AH371" t="s">
        <v>134</v>
      </c>
      <c r="AI371" t="s">
        <v>134</v>
      </c>
      <c r="AJ371" t="s">
        <v>134</v>
      </c>
      <c r="AK371" t="s">
        <v>134</v>
      </c>
      <c r="AL371" t="s">
        <v>134</v>
      </c>
      <c r="AM371" t="s">
        <v>134</v>
      </c>
      <c r="AN371" t="s">
        <v>134</v>
      </c>
      <c r="AO371" t="s">
        <v>134</v>
      </c>
      <c r="AP371" t="s">
        <v>134</v>
      </c>
      <c r="AQ371" t="s">
        <v>134</v>
      </c>
      <c r="AR371" t="s">
        <v>134</v>
      </c>
      <c r="AS371" t="s">
        <v>134</v>
      </c>
      <c r="AT371" t="s">
        <v>134</v>
      </c>
      <c r="AU371" t="s">
        <v>134</v>
      </c>
      <c r="AV371" t="s">
        <v>134</v>
      </c>
      <c r="AW371" t="s">
        <v>134</v>
      </c>
      <c r="AX371" t="s">
        <v>134</v>
      </c>
      <c r="AY371" t="s">
        <v>134</v>
      </c>
      <c r="AZ371" t="s">
        <v>134</v>
      </c>
      <c r="BA371" t="s">
        <v>134</v>
      </c>
      <c r="BB371" t="s">
        <v>134</v>
      </c>
      <c r="BC371" t="s">
        <v>134</v>
      </c>
      <c r="BD371" t="s">
        <v>134</v>
      </c>
      <c r="BE371" t="s">
        <v>134</v>
      </c>
      <c r="BF371">
        <v>14.1454</v>
      </c>
      <c r="BG371" t="s">
        <v>134</v>
      </c>
      <c r="BH371">
        <v>18.938099999999999</v>
      </c>
      <c r="BI371">
        <v>57.391300000000001</v>
      </c>
      <c r="BJ371">
        <v>57.391300000000001</v>
      </c>
      <c r="BK371" t="s">
        <v>134</v>
      </c>
      <c r="BL371" t="s">
        <v>134</v>
      </c>
      <c r="BM371" t="s">
        <v>134</v>
      </c>
      <c r="BN371">
        <v>97.325999999999993</v>
      </c>
      <c r="BO371">
        <v>-6.2914000000000003</v>
      </c>
      <c r="BP371" t="s">
        <v>134</v>
      </c>
      <c r="BQ371" t="s">
        <v>134</v>
      </c>
      <c r="BR371" t="s">
        <v>134</v>
      </c>
      <c r="BS371" t="s">
        <v>134</v>
      </c>
      <c r="BT371">
        <v>-5.7347000000000001</v>
      </c>
      <c r="BU371">
        <v>-4.6047000000000002</v>
      </c>
      <c r="BV371">
        <v>-5.0976999999999997</v>
      </c>
      <c r="BW371">
        <v>-4.7066999999999997</v>
      </c>
      <c r="BX371" t="s">
        <v>134</v>
      </c>
      <c r="BY371">
        <v>333520</v>
      </c>
      <c r="BZ371" t="s">
        <v>134</v>
      </c>
      <c r="CA371">
        <v>333520</v>
      </c>
      <c r="CB371" t="s">
        <v>134</v>
      </c>
      <c r="CC371" t="s">
        <v>134</v>
      </c>
      <c r="CD371" t="s">
        <v>134</v>
      </c>
      <c r="CE371" t="s">
        <v>134</v>
      </c>
      <c r="CF371" t="s">
        <v>134</v>
      </c>
      <c r="CG371">
        <v>6.3421000000000003</v>
      </c>
      <c r="CH371">
        <v>76.479600000000005</v>
      </c>
      <c r="CI371">
        <v>43.336199999999998</v>
      </c>
      <c r="CJ371">
        <v>4.8750999999999998</v>
      </c>
      <c r="CK371">
        <v>76.479600000000005</v>
      </c>
      <c r="CL371">
        <v>43.336199999999998</v>
      </c>
      <c r="CM371">
        <v>4.8750999999999998</v>
      </c>
      <c r="CN371">
        <v>-254.46119999999999</v>
      </c>
      <c r="CO371">
        <v>164.74119999999999</v>
      </c>
      <c r="CP371" t="s">
        <v>134</v>
      </c>
      <c r="CQ371" t="s">
        <v>134</v>
      </c>
      <c r="CR371">
        <v>6720</v>
      </c>
      <c r="CS371" t="s">
        <v>134</v>
      </c>
      <c r="CT371" t="s">
        <v>134</v>
      </c>
      <c r="CU371" t="s">
        <v>134</v>
      </c>
      <c r="CV371" t="s">
        <v>134</v>
      </c>
      <c r="CW371" t="s">
        <v>134</v>
      </c>
      <c r="CX371" t="s">
        <v>134</v>
      </c>
      <c r="CY371" t="s">
        <v>134</v>
      </c>
      <c r="CZ371" t="s">
        <v>134</v>
      </c>
      <c r="DA371" t="s">
        <v>134</v>
      </c>
      <c r="DB371" t="s">
        <v>134</v>
      </c>
      <c r="DC371" t="s">
        <v>134</v>
      </c>
      <c r="DD371" t="s">
        <v>134</v>
      </c>
      <c r="DE371" t="s">
        <v>134</v>
      </c>
      <c r="DF371" t="s">
        <v>134</v>
      </c>
      <c r="DG371" t="s">
        <v>134</v>
      </c>
      <c r="DH371" t="s">
        <v>134</v>
      </c>
      <c r="DI371" t="s">
        <v>134</v>
      </c>
    </row>
    <row r="372" spans="1:113" x14ac:dyDescent="0.3">
      <c r="E372" t="s">
        <v>81</v>
      </c>
      <c r="F372" t="s">
        <v>134</v>
      </c>
      <c r="G372" t="s">
        <v>134</v>
      </c>
      <c r="H372" t="s">
        <v>134</v>
      </c>
      <c r="I372" t="s">
        <v>134</v>
      </c>
      <c r="J372" t="s">
        <v>134</v>
      </c>
      <c r="K372" t="s">
        <v>134</v>
      </c>
      <c r="L372" t="s">
        <v>134</v>
      </c>
      <c r="M372" t="s">
        <v>134</v>
      </c>
      <c r="N372" t="s">
        <v>134</v>
      </c>
      <c r="O372" t="s">
        <v>134</v>
      </c>
      <c r="P372" t="s">
        <v>134</v>
      </c>
      <c r="Q372" t="s">
        <v>134</v>
      </c>
      <c r="R372" t="s">
        <v>134</v>
      </c>
      <c r="S372" t="s">
        <v>134</v>
      </c>
      <c r="T372" t="s">
        <v>134</v>
      </c>
      <c r="U372" t="s">
        <v>134</v>
      </c>
      <c r="V372" t="s">
        <v>134</v>
      </c>
      <c r="W372" t="s">
        <v>134</v>
      </c>
      <c r="X372" t="s">
        <v>134</v>
      </c>
      <c r="Y372" t="s">
        <v>134</v>
      </c>
      <c r="Z372" t="s">
        <v>134</v>
      </c>
      <c r="AA372" t="s">
        <v>134</v>
      </c>
      <c r="AB372" t="s">
        <v>134</v>
      </c>
      <c r="AC372" t="s">
        <v>134</v>
      </c>
      <c r="AD372" t="s">
        <v>134</v>
      </c>
      <c r="AE372" t="s">
        <v>134</v>
      </c>
      <c r="AF372" t="s">
        <v>134</v>
      </c>
      <c r="AG372" t="s">
        <v>134</v>
      </c>
      <c r="AH372" t="s">
        <v>134</v>
      </c>
      <c r="AI372" t="s">
        <v>134</v>
      </c>
      <c r="AJ372" t="s">
        <v>134</v>
      </c>
      <c r="AK372" t="s">
        <v>134</v>
      </c>
      <c r="AL372" t="s">
        <v>134</v>
      </c>
      <c r="AM372" t="s">
        <v>134</v>
      </c>
      <c r="AN372" t="s">
        <v>134</v>
      </c>
      <c r="AO372" t="s">
        <v>134</v>
      </c>
      <c r="AP372" t="s">
        <v>134</v>
      </c>
      <c r="AQ372" t="s">
        <v>134</v>
      </c>
      <c r="AR372" t="s">
        <v>134</v>
      </c>
      <c r="AS372" t="s">
        <v>134</v>
      </c>
      <c r="AT372" t="s">
        <v>134</v>
      </c>
      <c r="AU372" t="s">
        <v>134</v>
      </c>
      <c r="AV372" t="s">
        <v>134</v>
      </c>
      <c r="AW372" t="s">
        <v>134</v>
      </c>
      <c r="AX372" t="s">
        <v>134</v>
      </c>
      <c r="AY372" t="s">
        <v>134</v>
      </c>
      <c r="AZ372" t="s">
        <v>134</v>
      </c>
      <c r="BA372" t="s">
        <v>134</v>
      </c>
      <c r="BB372" t="s">
        <v>134</v>
      </c>
      <c r="BC372" t="s">
        <v>134</v>
      </c>
      <c r="BD372" t="s">
        <v>134</v>
      </c>
      <c r="BE372" t="s">
        <v>134</v>
      </c>
      <c r="BF372" t="s">
        <v>134</v>
      </c>
      <c r="BG372" t="s">
        <v>134</v>
      </c>
      <c r="BH372" t="s">
        <v>134</v>
      </c>
      <c r="BI372" t="s">
        <v>134</v>
      </c>
      <c r="BJ372" t="s">
        <v>134</v>
      </c>
      <c r="BK372" t="s">
        <v>134</v>
      </c>
      <c r="BL372" t="s">
        <v>134</v>
      </c>
      <c r="BM372" t="s">
        <v>134</v>
      </c>
      <c r="BN372" t="s">
        <v>134</v>
      </c>
      <c r="BO372" t="s">
        <v>134</v>
      </c>
      <c r="BP372" t="s">
        <v>134</v>
      </c>
      <c r="BQ372" t="s">
        <v>134</v>
      </c>
      <c r="BR372" t="s">
        <v>134</v>
      </c>
      <c r="BS372" t="s">
        <v>134</v>
      </c>
      <c r="BT372" t="s">
        <v>134</v>
      </c>
      <c r="BU372" t="s">
        <v>134</v>
      </c>
      <c r="BV372" t="s">
        <v>134</v>
      </c>
      <c r="BW372" t="s">
        <v>134</v>
      </c>
      <c r="BX372" t="s">
        <v>134</v>
      </c>
      <c r="BY372" t="s">
        <v>134</v>
      </c>
      <c r="BZ372" t="s">
        <v>134</v>
      </c>
      <c r="CA372" t="s">
        <v>134</v>
      </c>
      <c r="CB372" t="s">
        <v>134</v>
      </c>
      <c r="CC372" t="s">
        <v>134</v>
      </c>
      <c r="CD372" t="s">
        <v>134</v>
      </c>
      <c r="CE372" t="s">
        <v>134</v>
      </c>
      <c r="CF372" t="s">
        <v>134</v>
      </c>
      <c r="CG372" t="s">
        <v>134</v>
      </c>
      <c r="CH372" t="s">
        <v>134</v>
      </c>
      <c r="CI372" t="s">
        <v>134</v>
      </c>
      <c r="CJ372" t="s">
        <v>134</v>
      </c>
      <c r="CK372" t="s">
        <v>134</v>
      </c>
      <c r="CL372" t="s">
        <v>134</v>
      </c>
      <c r="CM372" t="s">
        <v>134</v>
      </c>
      <c r="CN372" t="s">
        <v>134</v>
      </c>
      <c r="CO372" t="s">
        <v>134</v>
      </c>
      <c r="CP372" t="s">
        <v>134</v>
      </c>
      <c r="CQ372" t="s">
        <v>134</v>
      </c>
      <c r="CR372" t="s">
        <v>134</v>
      </c>
      <c r="CS372" t="s">
        <v>134</v>
      </c>
      <c r="CT372" t="s">
        <v>134</v>
      </c>
      <c r="CU372" t="s">
        <v>134</v>
      </c>
      <c r="CV372" t="s">
        <v>134</v>
      </c>
      <c r="CW372" t="s">
        <v>134</v>
      </c>
      <c r="CX372" t="s">
        <v>134</v>
      </c>
      <c r="CY372" t="s">
        <v>134</v>
      </c>
      <c r="CZ372" t="s">
        <v>134</v>
      </c>
      <c r="DA372" t="s">
        <v>134</v>
      </c>
      <c r="DB372" t="s">
        <v>134</v>
      </c>
      <c r="DC372" t="s">
        <v>134</v>
      </c>
      <c r="DD372" t="s">
        <v>134</v>
      </c>
      <c r="DE372" t="s">
        <v>134</v>
      </c>
      <c r="DF372" t="s">
        <v>134</v>
      </c>
      <c r="DG372" t="s">
        <v>134</v>
      </c>
      <c r="DH372" t="s">
        <v>134</v>
      </c>
      <c r="DI372" t="s">
        <v>134</v>
      </c>
    </row>
    <row r="373" spans="1:113" x14ac:dyDescent="0.3">
      <c r="D373" t="s">
        <v>85</v>
      </c>
      <c r="E373" t="s">
        <v>77</v>
      </c>
      <c r="F373">
        <v>-4.2107000000000001</v>
      </c>
      <c r="G373">
        <v>-0.25729999999999997</v>
      </c>
      <c r="H373">
        <v>-1.9275</v>
      </c>
      <c r="I373">
        <v>10.8009</v>
      </c>
      <c r="J373" t="s">
        <v>134</v>
      </c>
      <c r="K373">
        <v>-7.6825999999999999</v>
      </c>
      <c r="L373" t="s">
        <v>134</v>
      </c>
      <c r="M373">
        <v>-3.5377000000000001</v>
      </c>
      <c r="N373">
        <v>-7.3762999999999996</v>
      </c>
      <c r="O373">
        <v>-7.5823999999999998</v>
      </c>
      <c r="P373">
        <v>-7.5823999999999998</v>
      </c>
      <c r="Q373" t="s">
        <v>134</v>
      </c>
      <c r="R373" t="s">
        <v>134</v>
      </c>
      <c r="S373" t="s">
        <v>134</v>
      </c>
      <c r="T373">
        <v>3.1261000000000001</v>
      </c>
      <c r="U373" t="s">
        <v>134</v>
      </c>
      <c r="V373" t="s">
        <v>134</v>
      </c>
      <c r="W373" t="s">
        <v>134</v>
      </c>
      <c r="X373" t="s">
        <v>134</v>
      </c>
      <c r="Y373" t="s">
        <v>134</v>
      </c>
      <c r="Z373" t="s">
        <v>134</v>
      </c>
      <c r="AA373" t="s">
        <v>134</v>
      </c>
      <c r="AB373">
        <v>-6.7018000000000004</v>
      </c>
      <c r="AC373">
        <v>3.9744000000000002</v>
      </c>
      <c r="AD373" t="s">
        <v>134</v>
      </c>
      <c r="AE373" t="s">
        <v>134</v>
      </c>
      <c r="AF373" t="s">
        <v>134</v>
      </c>
      <c r="AG373">
        <v>-7.1638000000000002</v>
      </c>
      <c r="AH373">
        <v>100.053</v>
      </c>
      <c r="AI373">
        <v>8.1723999999999997</v>
      </c>
      <c r="AJ373">
        <v>48.211599999999997</v>
      </c>
      <c r="AK373">
        <v>-5.8277999999999999</v>
      </c>
      <c r="AL373" t="s">
        <v>134</v>
      </c>
      <c r="AM373">
        <v>5.7061999999999999</v>
      </c>
      <c r="AN373" t="s">
        <v>134</v>
      </c>
      <c r="AO373" t="s">
        <v>134</v>
      </c>
      <c r="AP373" t="s">
        <v>134</v>
      </c>
      <c r="AQ373" t="s">
        <v>134</v>
      </c>
      <c r="AR373">
        <v>-100</v>
      </c>
      <c r="AS373" t="s">
        <v>134</v>
      </c>
      <c r="AT373" t="s">
        <v>134</v>
      </c>
      <c r="AU373">
        <v>16.750299999999999</v>
      </c>
      <c r="AV373">
        <v>5.9778000000000002</v>
      </c>
      <c r="AW373" t="s">
        <v>134</v>
      </c>
      <c r="AX373" t="s">
        <v>134</v>
      </c>
      <c r="AY373" t="s">
        <v>134</v>
      </c>
      <c r="AZ373">
        <v>-51.412999999999997</v>
      </c>
      <c r="BA373">
        <v>-8.0884</v>
      </c>
      <c r="BB373">
        <v>7.0023</v>
      </c>
      <c r="BC373">
        <v>-3.4245999999999999</v>
      </c>
      <c r="BD373">
        <v>2.1819000000000002</v>
      </c>
      <c r="BE373" t="s">
        <v>134</v>
      </c>
      <c r="BF373">
        <v>3.1261000000000001</v>
      </c>
      <c r="BG373" t="s">
        <v>134</v>
      </c>
      <c r="BH373">
        <v>-207.57560000000001</v>
      </c>
      <c r="BI373">
        <v>-203.9742</v>
      </c>
      <c r="BJ373">
        <v>-203.68020000000001</v>
      </c>
      <c r="BK373">
        <v>-100</v>
      </c>
      <c r="BL373" t="s">
        <v>134</v>
      </c>
      <c r="BM373" t="s">
        <v>134</v>
      </c>
      <c r="BN373">
        <v>-6.7018000000000004</v>
      </c>
      <c r="BO373">
        <v>3.9744000000000002</v>
      </c>
      <c r="BP373" t="s">
        <v>134</v>
      </c>
      <c r="BQ373" t="s">
        <v>134</v>
      </c>
      <c r="BR373" t="s">
        <v>134</v>
      </c>
      <c r="BS373">
        <v>-7.1638000000000002</v>
      </c>
      <c r="BT373">
        <v>100.053</v>
      </c>
      <c r="BU373">
        <v>8.1723999999999997</v>
      </c>
      <c r="BV373">
        <v>48.211599999999997</v>
      </c>
      <c r="BW373">
        <v>-5.8277999999999999</v>
      </c>
      <c r="BX373" t="s">
        <v>134</v>
      </c>
      <c r="BY373">
        <v>669026.44299999997</v>
      </c>
      <c r="BZ373">
        <v>20428.273000000001</v>
      </c>
      <c r="CA373">
        <v>648598.17000000004</v>
      </c>
      <c r="CB373" t="s">
        <v>134</v>
      </c>
      <c r="CC373" t="s">
        <v>134</v>
      </c>
      <c r="CD373" t="s">
        <v>134</v>
      </c>
      <c r="CE373" t="s">
        <v>134</v>
      </c>
      <c r="CF373" t="s">
        <v>134</v>
      </c>
      <c r="CG373">
        <v>6.2271000000000001</v>
      </c>
      <c r="CH373">
        <v>138.47470000000001</v>
      </c>
      <c r="CI373">
        <v>57.023899999999998</v>
      </c>
      <c r="CJ373">
        <v>8.6734000000000009</v>
      </c>
      <c r="CK373">
        <v>142.83609999999999</v>
      </c>
      <c r="CL373">
        <v>58.82</v>
      </c>
      <c r="CM373">
        <v>8.9465000000000003</v>
      </c>
      <c r="CN373">
        <v>-65.159899999999993</v>
      </c>
      <c r="CO373">
        <v>-187.0258</v>
      </c>
      <c r="CP373" t="s">
        <v>134</v>
      </c>
      <c r="CQ373" t="s">
        <v>134</v>
      </c>
      <c r="CR373">
        <v>-19120.625</v>
      </c>
      <c r="CS373" t="s">
        <v>134</v>
      </c>
      <c r="CT373" t="s">
        <v>134</v>
      </c>
      <c r="CU373" t="s">
        <v>134</v>
      </c>
      <c r="CV373" t="s">
        <v>134</v>
      </c>
      <c r="CW373" t="s">
        <v>134</v>
      </c>
      <c r="CX373" t="s">
        <v>134</v>
      </c>
      <c r="CY373" t="s">
        <v>134</v>
      </c>
      <c r="CZ373" t="s">
        <v>134</v>
      </c>
      <c r="DA373" t="s">
        <v>134</v>
      </c>
      <c r="DB373" t="s">
        <v>134</v>
      </c>
      <c r="DC373" t="s">
        <v>134</v>
      </c>
      <c r="DD373" t="s">
        <v>134</v>
      </c>
      <c r="DE373" t="s">
        <v>134</v>
      </c>
      <c r="DF373" t="s">
        <v>134</v>
      </c>
      <c r="DG373" t="s">
        <v>134</v>
      </c>
      <c r="DH373" t="s">
        <v>134</v>
      </c>
      <c r="DI373" t="s">
        <v>134</v>
      </c>
    </row>
    <row r="374" spans="1:113" x14ac:dyDescent="0.3">
      <c r="E374" t="s">
        <v>78</v>
      </c>
      <c r="F374" t="s">
        <v>134</v>
      </c>
      <c r="G374" t="s">
        <v>134</v>
      </c>
      <c r="H374" t="s">
        <v>134</v>
      </c>
      <c r="I374" t="s">
        <v>134</v>
      </c>
      <c r="J374" t="s">
        <v>134</v>
      </c>
      <c r="K374" t="s">
        <v>134</v>
      </c>
      <c r="L374" t="s">
        <v>134</v>
      </c>
      <c r="M374" t="s">
        <v>134</v>
      </c>
      <c r="N374" t="s">
        <v>134</v>
      </c>
      <c r="O374" t="s">
        <v>134</v>
      </c>
      <c r="P374" t="s">
        <v>134</v>
      </c>
      <c r="Q374" t="s">
        <v>134</v>
      </c>
      <c r="R374" t="s">
        <v>134</v>
      </c>
      <c r="S374" t="s">
        <v>134</v>
      </c>
      <c r="T374" t="s">
        <v>134</v>
      </c>
      <c r="U374" t="s">
        <v>134</v>
      </c>
      <c r="V374" t="s">
        <v>134</v>
      </c>
      <c r="W374" t="s">
        <v>134</v>
      </c>
      <c r="X374" t="s">
        <v>134</v>
      </c>
      <c r="Y374" t="s">
        <v>134</v>
      </c>
      <c r="Z374" t="s">
        <v>134</v>
      </c>
      <c r="AA374" t="s">
        <v>134</v>
      </c>
      <c r="AB374" t="s">
        <v>134</v>
      </c>
      <c r="AC374" t="s">
        <v>134</v>
      </c>
      <c r="AD374" t="s">
        <v>134</v>
      </c>
      <c r="AE374" t="s">
        <v>134</v>
      </c>
      <c r="AF374" t="s">
        <v>134</v>
      </c>
      <c r="AG374" t="s">
        <v>134</v>
      </c>
      <c r="AH374" t="s">
        <v>134</v>
      </c>
      <c r="AI374" t="s">
        <v>134</v>
      </c>
      <c r="AJ374" t="s">
        <v>134</v>
      </c>
      <c r="AK374" t="s">
        <v>134</v>
      </c>
      <c r="AL374" t="s">
        <v>134</v>
      </c>
      <c r="AM374" t="s">
        <v>134</v>
      </c>
      <c r="AN374" t="s">
        <v>134</v>
      </c>
      <c r="AO374" t="s">
        <v>134</v>
      </c>
      <c r="AP374" t="s">
        <v>134</v>
      </c>
      <c r="AQ374" t="s">
        <v>134</v>
      </c>
      <c r="AR374" t="s">
        <v>134</v>
      </c>
      <c r="AS374" t="s">
        <v>134</v>
      </c>
      <c r="AT374" t="s">
        <v>134</v>
      </c>
      <c r="AU374" t="s">
        <v>134</v>
      </c>
      <c r="AV374" t="s">
        <v>134</v>
      </c>
      <c r="AW374" t="s">
        <v>134</v>
      </c>
      <c r="AX374" t="s">
        <v>134</v>
      </c>
      <c r="AY374" t="s">
        <v>134</v>
      </c>
      <c r="AZ374" t="s">
        <v>134</v>
      </c>
      <c r="BA374" t="s">
        <v>134</v>
      </c>
      <c r="BB374" t="s">
        <v>134</v>
      </c>
      <c r="BC374" t="s">
        <v>134</v>
      </c>
      <c r="BD374" t="s">
        <v>134</v>
      </c>
      <c r="BE374" t="s">
        <v>134</v>
      </c>
      <c r="BF374" t="s">
        <v>134</v>
      </c>
      <c r="BG374" t="s">
        <v>134</v>
      </c>
      <c r="BH374" t="s">
        <v>134</v>
      </c>
      <c r="BI374" t="s">
        <v>134</v>
      </c>
      <c r="BJ374" t="s">
        <v>134</v>
      </c>
      <c r="BK374" t="s">
        <v>134</v>
      </c>
      <c r="BL374" t="s">
        <v>134</v>
      </c>
      <c r="BM374" t="s">
        <v>134</v>
      </c>
      <c r="BN374" t="s">
        <v>134</v>
      </c>
      <c r="BO374" t="s">
        <v>134</v>
      </c>
      <c r="BP374" t="s">
        <v>134</v>
      </c>
      <c r="BQ374" t="s">
        <v>134</v>
      </c>
      <c r="BR374" t="s">
        <v>134</v>
      </c>
      <c r="BS374" t="s">
        <v>134</v>
      </c>
      <c r="BT374" t="s">
        <v>134</v>
      </c>
      <c r="BU374" t="s">
        <v>134</v>
      </c>
      <c r="BV374" t="s">
        <v>134</v>
      </c>
      <c r="BW374" t="s">
        <v>134</v>
      </c>
      <c r="BX374" t="s">
        <v>134</v>
      </c>
      <c r="BY374" t="s">
        <v>134</v>
      </c>
      <c r="BZ374" t="s">
        <v>134</v>
      </c>
      <c r="CA374" t="s">
        <v>134</v>
      </c>
      <c r="CB374" t="s">
        <v>134</v>
      </c>
      <c r="CC374" t="s">
        <v>134</v>
      </c>
      <c r="CD374" t="s">
        <v>134</v>
      </c>
      <c r="CE374" t="s">
        <v>134</v>
      </c>
      <c r="CF374" t="s">
        <v>134</v>
      </c>
      <c r="CG374" t="s">
        <v>134</v>
      </c>
      <c r="CH374" t="s">
        <v>134</v>
      </c>
      <c r="CI374" t="s">
        <v>134</v>
      </c>
      <c r="CJ374" t="s">
        <v>134</v>
      </c>
      <c r="CK374" t="s">
        <v>134</v>
      </c>
      <c r="CL374" t="s">
        <v>134</v>
      </c>
      <c r="CM374" t="s">
        <v>134</v>
      </c>
      <c r="CN374" t="s">
        <v>134</v>
      </c>
      <c r="CO374" t="s">
        <v>134</v>
      </c>
      <c r="CP374" t="s">
        <v>134</v>
      </c>
      <c r="CQ374" t="s">
        <v>134</v>
      </c>
      <c r="CR374" t="s">
        <v>134</v>
      </c>
      <c r="CS374" t="s">
        <v>134</v>
      </c>
      <c r="CT374" t="s">
        <v>134</v>
      </c>
      <c r="CU374" t="s">
        <v>134</v>
      </c>
      <c r="CV374" t="s">
        <v>134</v>
      </c>
      <c r="CW374" t="s">
        <v>134</v>
      </c>
      <c r="CX374" t="s">
        <v>134</v>
      </c>
      <c r="CY374" t="s">
        <v>134</v>
      </c>
      <c r="CZ374" t="s">
        <v>134</v>
      </c>
      <c r="DA374" t="s">
        <v>134</v>
      </c>
      <c r="DB374" t="s">
        <v>134</v>
      </c>
      <c r="DC374" t="s">
        <v>134</v>
      </c>
      <c r="DD374" t="s">
        <v>134</v>
      </c>
      <c r="DE374" t="s">
        <v>134</v>
      </c>
      <c r="DF374" t="s">
        <v>134</v>
      </c>
      <c r="DG374" t="s">
        <v>134</v>
      </c>
      <c r="DH374" t="s">
        <v>134</v>
      </c>
      <c r="DI374" t="s">
        <v>134</v>
      </c>
    </row>
    <row r="375" spans="1:113" x14ac:dyDescent="0.3">
      <c r="E375" t="s">
        <v>79</v>
      </c>
      <c r="F375" t="s">
        <v>134</v>
      </c>
      <c r="G375" t="s">
        <v>134</v>
      </c>
      <c r="H375" t="s">
        <v>134</v>
      </c>
      <c r="I375" t="s">
        <v>134</v>
      </c>
      <c r="J375" t="s">
        <v>134</v>
      </c>
      <c r="K375">
        <v>14.657</v>
      </c>
      <c r="L375">
        <v>25.212700000000002</v>
      </c>
      <c r="M375">
        <v>14.657</v>
      </c>
      <c r="N375">
        <v>8.6526999999999994</v>
      </c>
      <c r="O375">
        <v>8.077</v>
      </c>
      <c r="P375">
        <v>8.077</v>
      </c>
      <c r="Q375">
        <v>45.566800000000001</v>
      </c>
      <c r="R375" t="s">
        <v>134</v>
      </c>
      <c r="S375" t="s">
        <v>134</v>
      </c>
      <c r="T375">
        <v>27.016300000000001</v>
      </c>
      <c r="U375" t="s">
        <v>134</v>
      </c>
      <c r="V375">
        <v>57.699100000000001</v>
      </c>
      <c r="W375">
        <v>113.4783</v>
      </c>
      <c r="X375">
        <v>113.4783</v>
      </c>
      <c r="Y375" t="s">
        <v>134</v>
      </c>
      <c r="Z375" t="s">
        <v>134</v>
      </c>
      <c r="AA375" t="s">
        <v>134</v>
      </c>
      <c r="AB375">
        <v>85.212599999999995</v>
      </c>
      <c r="AC375">
        <v>-3.7515000000000001</v>
      </c>
      <c r="AD375" t="s">
        <v>134</v>
      </c>
      <c r="AE375" t="s">
        <v>134</v>
      </c>
      <c r="AF375" t="s">
        <v>134</v>
      </c>
      <c r="AG375" t="s">
        <v>134</v>
      </c>
      <c r="AH375">
        <v>-8.0155999999999992</v>
      </c>
      <c r="AI375">
        <v>-3.7974999999999999</v>
      </c>
      <c r="AJ375">
        <v>-5.6378000000000004</v>
      </c>
      <c r="AK375">
        <v>-3.9534000000000002</v>
      </c>
      <c r="AL375" t="s">
        <v>134</v>
      </c>
      <c r="AM375" t="s">
        <v>134</v>
      </c>
      <c r="AN375" t="s">
        <v>134</v>
      </c>
      <c r="AO375" t="s">
        <v>134</v>
      </c>
      <c r="AP375" t="s">
        <v>134</v>
      </c>
      <c r="AQ375" t="s">
        <v>134</v>
      </c>
      <c r="AR375" t="s">
        <v>134</v>
      </c>
      <c r="AS375" t="s">
        <v>134</v>
      </c>
      <c r="AT375" t="s">
        <v>134</v>
      </c>
      <c r="AU375" t="s">
        <v>134</v>
      </c>
      <c r="AV375" t="s">
        <v>134</v>
      </c>
      <c r="AW375" t="s">
        <v>134</v>
      </c>
      <c r="AX375" t="s">
        <v>134</v>
      </c>
      <c r="AY375" t="s">
        <v>134</v>
      </c>
      <c r="AZ375" t="s">
        <v>134</v>
      </c>
      <c r="BA375" t="s">
        <v>134</v>
      </c>
      <c r="BB375" t="s">
        <v>134</v>
      </c>
      <c r="BC375" t="s">
        <v>134</v>
      </c>
      <c r="BD375" t="s">
        <v>134</v>
      </c>
      <c r="BE375" t="s">
        <v>134</v>
      </c>
      <c r="BF375" t="s">
        <v>134</v>
      </c>
      <c r="BG375" t="s">
        <v>134</v>
      </c>
      <c r="BH375" t="s">
        <v>134</v>
      </c>
      <c r="BI375" t="s">
        <v>134</v>
      </c>
      <c r="BJ375" t="s">
        <v>134</v>
      </c>
      <c r="BK375" t="s">
        <v>134</v>
      </c>
      <c r="BL375" t="s">
        <v>134</v>
      </c>
      <c r="BM375" t="s">
        <v>134</v>
      </c>
      <c r="BN375" t="s">
        <v>134</v>
      </c>
      <c r="BO375" t="s">
        <v>134</v>
      </c>
      <c r="BP375" t="s">
        <v>134</v>
      </c>
      <c r="BQ375" t="s">
        <v>134</v>
      </c>
      <c r="BR375" t="s">
        <v>134</v>
      </c>
      <c r="BS375" t="s">
        <v>134</v>
      </c>
      <c r="BT375" t="s">
        <v>134</v>
      </c>
      <c r="BU375" t="s">
        <v>134</v>
      </c>
      <c r="BV375" t="s">
        <v>134</v>
      </c>
      <c r="BW375" t="s">
        <v>134</v>
      </c>
      <c r="BX375" t="s">
        <v>134</v>
      </c>
      <c r="BY375">
        <v>325450</v>
      </c>
      <c r="BZ375" t="s">
        <v>134</v>
      </c>
      <c r="CA375">
        <v>325450</v>
      </c>
      <c r="CB375" t="s">
        <v>134</v>
      </c>
      <c r="CC375" t="s">
        <v>134</v>
      </c>
      <c r="CD375" t="s">
        <v>134</v>
      </c>
      <c r="CE375" t="s">
        <v>134</v>
      </c>
      <c r="CF375" t="s">
        <v>134</v>
      </c>
      <c r="CG375">
        <v>6.2234999999999996</v>
      </c>
      <c r="CH375">
        <v>74.002899999999997</v>
      </c>
      <c r="CI375">
        <v>42.529699999999998</v>
      </c>
      <c r="CJ375">
        <v>4.6315999999999997</v>
      </c>
      <c r="CK375">
        <v>74.002899999999997</v>
      </c>
      <c r="CL375">
        <v>42.529699999999998</v>
      </c>
      <c r="CM375">
        <v>4.6315999999999997</v>
      </c>
      <c r="CN375">
        <v>-179.7808</v>
      </c>
      <c r="CO375">
        <v>225.3434</v>
      </c>
      <c r="CP375" t="s">
        <v>134</v>
      </c>
      <c r="CQ375" t="s">
        <v>134</v>
      </c>
      <c r="CR375">
        <v>8910</v>
      </c>
      <c r="CS375" t="s">
        <v>134</v>
      </c>
      <c r="CT375" t="s">
        <v>134</v>
      </c>
      <c r="CU375" t="s">
        <v>134</v>
      </c>
      <c r="CV375" t="s">
        <v>134</v>
      </c>
      <c r="CW375" t="s">
        <v>134</v>
      </c>
      <c r="CX375" t="s">
        <v>134</v>
      </c>
      <c r="CY375" t="s">
        <v>134</v>
      </c>
      <c r="CZ375" t="s">
        <v>134</v>
      </c>
      <c r="DA375" t="s">
        <v>134</v>
      </c>
      <c r="DB375" t="s">
        <v>134</v>
      </c>
      <c r="DC375" t="s">
        <v>134</v>
      </c>
      <c r="DD375" t="s">
        <v>134</v>
      </c>
      <c r="DE375" t="s">
        <v>134</v>
      </c>
      <c r="DF375" t="s">
        <v>134</v>
      </c>
      <c r="DG375" t="s">
        <v>134</v>
      </c>
      <c r="DH375" t="s">
        <v>134</v>
      </c>
      <c r="DI375" t="s">
        <v>134</v>
      </c>
    </row>
    <row r="376" spans="1:113" x14ac:dyDescent="0.3">
      <c r="E376" t="s">
        <v>80</v>
      </c>
      <c r="F376" t="s">
        <v>134</v>
      </c>
      <c r="G376" t="s">
        <v>134</v>
      </c>
      <c r="H376" t="s">
        <v>134</v>
      </c>
      <c r="I376" t="s">
        <v>134</v>
      </c>
      <c r="J376" t="s">
        <v>134</v>
      </c>
      <c r="K376" t="s">
        <v>134</v>
      </c>
      <c r="L376" t="s">
        <v>134</v>
      </c>
      <c r="M376" t="s">
        <v>134</v>
      </c>
      <c r="N376" t="s">
        <v>134</v>
      </c>
      <c r="O376" t="s">
        <v>134</v>
      </c>
      <c r="P376" t="s">
        <v>134</v>
      </c>
      <c r="Q376" t="s">
        <v>134</v>
      </c>
      <c r="R376" t="s">
        <v>134</v>
      </c>
      <c r="S376" t="s">
        <v>134</v>
      </c>
      <c r="T376" t="s">
        <v>134</v>
      </c>
      <c r="U376" t="s">
        <v>134</v>
      </c>
      <c r="V376" t="s">
        <v>134</v>
      </c>
      <c r="W376" t="s">
        <v>134</v>
      </c>
      <c r="X376" t="s">
        <v>134</v>
      </c>
      <c r="Y376" t="s">
        <v>134</v>
      </c>
      <c r="Z376" t="s">
        <v>134</v>
      </c>
      <c r="AA376" t="s">
        <v>134</v>
      </c>
      <c r="AB376" t="s">
        <v>134</v>
      </c>
      <c r="AC376" t="s">
        <v>134</v>
      </c>
      <c r="AD376" t="s">
        <v>134</v>
      </c>
      <c r="AE376" t="s">
        <v>134</v>
      </c>
      <c r="AF376" t="s">
        <v>134</v>
      </c>
      <c r="AG376" t="s">
        <v>134</v>
      </c>
      <c r="AH376" t="s">
        <v>134</v>
      </c>
      <c r="AI376" t="s">
        <v>134</v>
      </c>
      <c r="AJ376" t="s">
        <v>134</v>
      </c>
      <c r="AK376" t="s">
        <v>134</v>
      </c>
      <c r="AL376" t="s">
        <v>134</v>
      </c>
      <c r="AM376" t="s">
        <v>134</v>
      </c>
      <c r="AN376" t="s">
        <v>134</v>
      </c>
      <c r="AO376" t="s">
        <v>134</v>
      </c>
      <c r="AP376" t="s">
        <v>134</v>
      </c>
      <c r="AQ376" t="s">
        <v>134</v>
      </c>
      <c r="AR376" t="s">
        <v>134</v>
      </c>
      <c r="AS376" t="s">
        <v>134</v>
      </c>
      <c r="AT376" t="s">
        <v>134</v>
      </c>
      <c r="AU376" t="s">
        <v>134</v>
      </c>
      <c r="AV376" t="s">
        <v>134</v>
      </c>
      <c r="AW376" t="s">
        <v>134</v>
      </c>
      <c r="AX376" t="s">
        <v>134</v>
      </c>
      <c r="AY376" t="s">
        <v>134</v>
      </c>
      <c r="AZ376" t="s">
        <v>134</v>
      </c>
      <c r="BA376" t="s">
        <v>134</v>
      </c>
      <c r="BB376" t="s">
        <v>134</v>
      </c>
      <c r="BC376" t="s">
        <v>134</v>
      </c>
      <c r="BD376" t="s">
        <v>134</v>
      </c>
      <c r="BE376" t="s">
        <v>134</v>
      </c>
      <c r="BF376" t="s">
        <v>134</v>
      </c>
      <c r="BG376" t="s">
        <v>134</v>
      </c>
      <c r="BH376" t="s">
        <v>134</v>
      </c>
      <c r="BI376" t="s">
        <v>134</v>
      </c>
      <c r="BJ376" t="s">
        <v>134</v>
      </c>
      <c r="BK376" t="s">
        <v>134</v>
      </c>
      <c r="BL376" t="s">
        <v>134</v>
      </c>
      <c r="BM376" t="s">
        <v>134</v>
      </c>
      <c r="BN376" t="s">
        <v>134</v>
      </c>
      <c r="BO376" t="s">
        <v>134</v>
      </c>
      <c r="BP376" t="s">
        <v>134</v>
      </c>
      <c r="BQ376" t="s">
        <v>134</v>
      </c>
      <c r="BR376" t="s">
        <v>134</v>
      </c>
      <c r="BS376" t="s">
        <v>134</v>
      </c>
      <c r="BT376" t="s">
        <v>134</v>
      </c>
      <c r="BU376" t="s">
        <v>134</v>
      </c>
      <c r="BV376" t="s">
        <v>134</v>
      </c>
      <c r="BW376" t="s">
        <v>134</v>
      </c>
      <c r="BX376" t="s">
        <v>134</v>
      </c>
      <c r="BY376" t="s">
        <v>134</v>
      </c>
      <c r="BZ376" t="s">
        <v>134</v>
      </c>
      <c r="CA376" t="s">
        <v>134</v>
      </c>
      <c r="CB376" t="s">
        <v>134</v>
      </c>
      <c r="CC376" t="s">
        <v>134</v>
      </c>
      <c r="CD376" t="s">
        <v>134</v>
      </c>
      <c r="CE376" t="s">
        <v>134</v>
      </c>
      <c r="CF376" t="s">
        <v>134</v>
      </c>
      <c r="CG376" t="s">
        <v>134</v>
      </c>
      <c r="CH376" t="s">
        <v>134</v>
      </c>
      <c r="CI376" t="s">
        <v>134</v>
      </c>
      <c r="CJ376" t="s">
        <v>134</v>
      </c>
      <c r="CK376" t="s">
        <v>134</v>
      </c>
      <c r="CL376" t="s">
        <v>134</v>
      </c>
      <c r="CM376" t="s">
        <v>134</v>
      </c>
      <c r="CN376" t="s">
        <v>134</v>
      </c>
      <c r="CO376" t="s">
        <v>134</v>
      </c>
      <c r="CP376" t="s">
        <v>134</v>
      </c>
      <c r="CQ376" t="s">
        <v>134</v>
      </c>
      <c r="CR376" t="s">
        <v>134</v>
      </c>
      <c r="CS376" t="s">
        <v>134</v>
      </c>
      <c r="CT376" t="s">
        <v>134</v>
      </c>
      <c r="CU376" t="s">
        <v>134</v>
      </c>
      <c r="CV376" t="s">
        <v>134</v>
      </c>
      <c r="CW376" t="s">
        <v>134</v>
      </c>
      <c r="CX376" t="s">
        <v>134</v>
      </c>
      <c r="CY376" t="s">
        <v>134</v>
      </c>
      <c r="CZ376" t="s">
        <v>134</v>
      </c>
      <c r="DA376" t="s">
        <v>134</v>
      </c>
      <c r="DB376" t="s">
        <v>134</v>
      </c>
      <c r="DC376" t="s">
        <v>134</v>
      </c>
      <c r="DD376" t="s">
        <v>134</v>
      </c>
      <c r="DE376" t="s">
        <v>134</v>
      </c>
      <c r="DF376" t="s">
        <v>134</v>
      </c>
      <c r="DG376" t="s">
        <v>134</v>
      </c>
      <c r="DH376" t="s">
        <v>134</v>
      </c>
      <c r="DI376" t="s">
        <v>134</v>
      </c>
    </row>
    <row r="377" spans="1:113" x14ac:dyDescent="0.3">
      <c r="E377" t="s">
        <v>81</v>
      </c>
      <c r="F377" t="s">
        <v>134</v>
      </c>
      <c r="G377" t="s">
        <v>134</v>
      </c>
      <c r="H377" t="s">
        <v>134</v>
      </c>
      <c r="I377" t="s">
        <v>134</v>
      </c>
      <c r="J377" t="s">
        <v>134</v>
      </c>
      <c r="K377" t="s">
        <v>134</v>
      </c>
      <c r="L377" t="s">
        <v>134</v>
      </c>
      <c r="M377" t="s">
        <v>134</v>
      </c>
      <c r="N377" t="s">
        <v>134</v>
      </c>
      <c r="O377" t="s">
        <v>134</v>
      </c>
      <c r="P377" t="s">
        <v>134</v>
      </c>
      <c r="Q377" t="s">
        <v>134</v>
      </c>
      <c r="R377" t="s">
        <v>134</v>
      </c>
      <c r="S377" t="s">
        <v>134</v>
      </c>
      <c r="T377" t="s">
        <v>134</v>
      </c>
      <c r="U377" t="s">
        <v>134</v>
      </c>
      <c r="V377" t="s">
        <v>134</v>
      </c>
      <c r="W377" t="s">
        <v>134</v>
      </c>
      <c r="X377" t="s">
        <v>134</v>
      </c>
      <c r="Y377" t="s">
        <v>134</v>
      </c>
      <c r="Z377" t="s">
        <v>134</v>
      </c>
      <c r="AA377" t="s">
        <v>134</v>
      </c>
      <c r="AB377" t="s">
        <v>134</v>
      </c>
      <c r="AC377" t="s">
        <v>134</v>
      </c>
      <c r="AD377" t="s">
        <v>134</v>
      </c>
      <c r="AE377" t="s">
        <v>134</v>
      </c>
      <c r="AF377" t="s">
        <v>134</v>
      </c>
      <c r="AG377" t="s">
        <v>134</v>
      </c>
      <c r="AH377" t="s">
        <v>134</v>
      </c>
      <c r="AI377" t="s">
        <v>134</v>
      </c>
      <c r="AJ377" t="s">
        <v>134</v>
      </c>
      <c r="AK377" t="s">
        <v>134</v>
      </c>
      <c r="AL377" t="s">
        <v>134</v>
      </c>
      <c r="AM377" t="s">
        <v>134</v>
      </c>
      <c r="AN377" t="s">
        <v>134</v>
      </c>
      <c r="AO377" t="s">
        <v>134</v>
      </c>
      <c r="AP377" t="s">
        <v>134</v>
      </c>
      <c r="AQ377" t="s">
        <v>134</v>
      </c>
      <c r="AR377" t="s">
        <v>134</v>
      </c>
      <c r="AS377" t="s">
        <v>134</v>
      </c>
      <c r="AT377" t="s">
        <v>134</v>
      </c>
      <c r="AU377" t="s">
        <v>134</v>
      </c>
      <c r="AV377" t="s">
        <v>134</v>
      </c>
      <c r="AW377" t="s">
        <v>134</v>
      </c>
      <c r="AX377" t="s">
        <v>134</v>
      </c>
      <c r="AY377" t="s">
        <v>134</v>
      </c>
      <c r="AZ377" t="s">
        <v>134</v>
      </c>
      <c r="BA377" t="s">
        <v>134</v>
      </c>
      <c r="BB377" t="s">
        <v>134</v>
      </c>
      <c r="BC377" t="s">
        <v>134</v>
      </c>
      <c r="BD377" t="s">
        <v>134</v>
      </c>
      <c r="BE377" t="s">
        <v>134</v>
      </c>
      <c r="BF377" t="s">
        <v>134</v>
      </c>
      <c r="BG377" t="s">
        <v>134</v>
      </c>
      <c r="BH377" t="s">
        <v>134</v>
      </c>
      <c r="BI377" t="s">
        <v>134</v>
      </c>
      <c r="BJ377" t="s">
        <v>134</v>
      </c>
      <c r="BK377" t="s">
        <v>134</v>
      </c>
      <c r="BL377" t="s">
        <v>134</v>
      </c>
      <c r="BM377" t="s">
        <v>134</v>
      </c>
      <c r="BN377" t="s">
        <v>134</v>
      </c>
      <c r="BO377" t="s">
        <v>134</v>
      </c>
      <c r="BP377" t="s">
        <v>134</v>
      </c>
      <c r="BQ377" t="s">
        <v>134</v>
      </c>
      <c r="BR377" t="s">
        <v>134</v>
      </c>
      <c r="BS377" t="s">
        <v>134</v>
      </c>
      <c r="BT377" t="s">
        <v>134</v>
      </c>
      <c r="BU377" t="s">
        <v>134</v>
      </c>
      <c r="BV377" t="s">
        <v>134</v>
      </c>
      <c r="BW377" t="s">
        <v>134</v>
      </c>
      <c r="BX377" t="s">
        <v>134</v>
      </c>
      <c r="BY377" t="s">
        <v>134</v>
      </c>
      <c r="BZ377" t="s">
        <v>134</v>
      </c>
      <c r="CA377" t="s">
        <v>134</v>
      </c>
      <c r="CB377" t="s">
        <v>134</v>
      </c>
      <c r="CC377" t="s">
        <v>134</v>
      </c>
      <c r="CD377" t="s">
        <v>134</v>
      </c>
      <c r="CE377" t="s">
        <v>134</v>
      </c>
      <c r="CF377" t="s">
        <v>134</v>
      </c>
      <c r="CG377" t="s">
        <v>134</v>
      </c>
      <c r="CH377" t="s">
        <v>134</v>
      </c>
      <c r="CI377" t="s">
        <v>134</v>
      </c>
      <c r="CJ377" t="s">
        <v>134</v>
      </c>
      <c r="CK377" t="s">
        <v>134</v>
      </c>
      <c r="CL377" t="s">
        <v>134</v>
      </c>
      <c r="CM377" t="s">
        <v>134</v>
      </c>
      <c r="CN377" t="s">
        <v>134</v>
      </c>
      <c r="CO377" t="s">
        <v>134</v>
      </c>
      <c r="CP377" t="s">
        <v>134</v>
      </c>
      <c r="CQ377" t="s">
        <v>134</v>
      </c>
      <c r="CR377" t="s">
        <v>134</v>
      </c>
      <c r="CS377" t="s">
        <v>134</v>
      </c>
      <c r="CT377" t="s">
        <v>134</v>
      </c>
      <c r="CU377" t="s">
        <v>134</v>
      </c>
      <c r="CV377" t="s">
        <v>134</v>
      </c>
      <c r="CW377" t="s">
        <v>134</v>
      </c>
      <c r="CX377" t="s">
        <v>134</v>
      </c>
      <c r="CY377" t="s">
        <v>134</v>
      </c>
      <c r="CZ377" t="s">
        <v>134</v>
      </c>
      <c r="DA377" t="s">
        <v>134</v>
      </c>
      <c r="DB377" t="s">
        <v>134</v>
      </c>
      <c r="DC377" t="s">
        <v>134</v>
      </c>
      <c r="DD377" t="s">
        <v>134</v>
      </c>
      <c r="DE377" t="s">
        <v>134</v>
      </c>
      <c r="DF377" t="s">
        <v>134</v>
      </c>
      <c r="DG377" t="s">
        <v>134</v>
      </c>
      <c r="DH377" t="s">
        <v>134</v>
      </c>
      <c r="DI377" t="s">
        <v>134</v>
      </c>
    </row>
    <row r="378" spans="1:113" x14ac:dyDescent="0.3">
      <c r="A378">
        <v>16</v>
      </c>
      <c r="B378" t="s">
        <v>114</v>
      </c>
      <c r="C378" t="s">
        <v>115</v>
      </c>
      <c r="D378" t="s">
        <v>76</v>
      </c>
      <c r="E378" t="s">
        <v>77</v>
      </c>
      <c r="F378">
        <v>13.88</v>
      </c>
      <c r="G378">
        <v>6.3789999999999996</v>
      </c>
      <c r="H378">
        <v>13.894299999999999</v>
      </c>
      <c r="I378">
        <v>9.2212999999999994</v>
      </c>
      <c r="J378">
        <v>14.5448</v>
      </c>
      <c r="K378">
        <v>12.1793</v>
      </c>
      <c r="L378">
        <v>144.6541</v>
      </c>
      <c r="M378">
        <v>19.035599999999999</v>
      </c>
      <c r="N378">
        <v>15.0204</v>
      </c>
      <c r="O378">
        <v>15.014699999999999</v>
      </c>
      <c r="P378">
        <v>15.014699999999999</v>
      </c>
      <c r="Q378">
        <v>21.0932</v>
      </c>
      <c r="R378">
        <v>19.594000000000001</v>
      </c>
      <c r="S378">
        <v>11.160299999999999</v>
      </c>
      <c r="T378">
        <v>3.0078</v>
      </c>
      <c r="U378">
        <v>43.870399999999997</v>
      </c>
      <c r="V378">
        <v>53.094299999999997</v>
      </c>
      <c r="W378">
        <v>4.4505999999999997</v>
      </c>
      <c r="X378">
        <v>4.4443999999999999</v>
      </c>
      <c r="Y378">
        <v>4.4843000000000002</v>
      </c>
      <c r="Z378">
        <v>23.555800000000001</v>
      </c>
      <c r="AA378">
        <v>2.5944000000000003</v>
      </c>
      <c r="AB378">
        <v>15.274800000000001</v>
      </c>
      <c r="AC378">
        <v>0.84040000000000004</v>
      </c>
      <c r="AD378">
        <v>15.0078</v>
      </c>
      <c r="AE378">
        <v>10.6996</v>
      </c>
      <c r="AF378">
        <v>5.0807000000000002</v>
      </c>
      <c r="AG378">
        <v>-51.771900000000002</v>
      </c>
      <c r="AH378">
        <v>-23.291899999999998</v>
      </c>
      <c r="AI378">
        <v>11.295</v>
      </c>
      <c r="AJ378">
        <v>11.2919</v>
      </c>
      <c r="AK378">
        <v>11.295500000000001</v>
      </c>
      <c r="AL378">
        <v>84.890799999999999</v>
      </c>
      <c r="AM378">
        <v>5.9446000000000003</v>
      </c>
      <c r="AN378">
        <v>-4.1195000000000004</v>
      </c>
      <c r="AO378">
        <v>-5.5091000000000001</v>
      </c>
      <c r="AP378">
        <v>4.7790999999999997</v>
      </c>
      <c r="AQ378">
        <v>4.7781000000000002</v>
      </c>
      <c r="AR378">
        <v>4.4968000000000004</v>
      </c>
      <c r="AS378">
        <v>12.616199999999999</v>
      </c>
      <c r="AT378">
        <v>6.4573</v>
      </c>
      <c r="AU378">
        <v>12.575799999999999</v>
      </c>
      <c r="AV378">
        <v>11.5383</v>
      </c>
      <c r="AW378">
        <v>5.7401</v>
      </c>
      <c r="AX378">
        <v>13.8317</v>
      </c>
      <c r="AY378" t="s">
        <v>134</v>
      </c>
      <c r="AZ378" t="s">
        <v>134</v>
      </c>
      <c r="BA378">
        <v>-24.744900000000001</v>
      </c>
      <c r="BB378">
        <v>13.1172</v>
      </c>
      <c r="BC378">
        <v>13.107900000000001</v>
      </c>
      <c r="BD378">
        <v>13.1173</v>
      </c>
      <c r="BE378" t="s">
        <v>134</v>
      </c>
      <c r="BF378">
        <v>3.0078</v>
      </c>
      <c r="BG378">
        <v>43.870399999999997</v>
      </c>
      <c r="BH378">
        <v>53.094299999999997</v>
      </c>
      <c r="BI378">
        <v>4.4505999999999997</v>
      </c>
      <c r="BJ378">
        <v>4.4443999999999999</v>
      </c>
      <c r="BK378">
        <v>4.4843000000000002</v>
      </c>
      <c r="BL378">
        <v>23.555800000000001</v>
      </c>
      <c r="BM378">
        <v>2.5944000000000003</v>
      </c>
      <c r="BN378">
        <v>15.274800000000001</v>
      </c>
      <c r="BO378">
        <v>0.84040000000000004</v>
      </c>
      <c r="BP378">
        <v>15.0078</v>
      </c>
      <c r="BQ378">
        <v>10.6996</v>
      </c>
      <c r="BR378">
        <v>5.0807000000000002</v>
      </c>
      <c r="BS378">
        <v>-51.771900000000002</v>
      </c>
      <c r="BT378">
        <v>-23.291899999999998</v>
      </c>
      <c r="BU378">
        <v>11.295</v>
      </c>
      <c r="BV378">
        <v>11.2919</v>
      </c>
      <c r="BW378">
        <v>11.295500000000001</v>
      </c>
      <c r="BX378" t="s">
        <v>134</v>
      </c>
      <c r="BY378">
        <v>4.4459999999999997</v>
      </c>
      <c r="BZ378">
        <v>1.742</v>
      </c>
      <c r="CA378">
        <v>2.7039999999999997</v>
      </c>
      <c r="CB378">
        <v>5.0000000000000001E-4</v>
      </c>
      <c r="CC378">
        <v>-4.9957000000000003</v>
      </c>
      <c r="CD378">
        <v>5.9999999999999995E-4</v>
      </c>
      <c r="CE378">
        <v>-5.9660000000000002</v>
      </c>
      <c r="CF378">
        <v>607.19410000000005</v>
      </c>
      <c r="CG378">
        <v>48.213200000000001</v>
      </c>
      <c r="CH378">
        <v>3.7000000000000002E-3</v>
      </c>
      <c r="CI378">
        <v>3.7000000000000002E-3</v>
      </c>
      <c r="CJ378">
        <v>1.8E-3</v>
      </c>
      <c r="CK378">
        <v>6.1999999999999998E-3</v>
      </c>
      <c r="CL378">
        <v>6.1999999999999998E-3</v>
      </c>
      <c r="CM378">
        <v>3.0000000000000001E-3</v>
      </c>
      <c r="CN378">
        <v>-63.728000000000002</v>
      </c>
      <c r="CO378">
        <v>-175.69460000000001</v>
      </c>
      <c r="CP378">
        <v>9215.3850000000002</v>
      </c>
      <c r="CQ378">
        <v>5467.9470000000001</v>
      </c>
      <c r="CR378">
        <v>7716.64</v>
      </c>
      <c r="CS378">
        <v>0.64249999999999996</v>
      </c>
      <c r="CT378">
        <v>1.8641000000000001</v>
      </c>
      <c r="CU378">
        <v>1.2223999999999999</v>
      </c>
      <c r="CV378">
        <v>2.1152000000000002</v>
      </c>
      <c r="CW378">
        <v>1.6852</v>
      </c>
      <c r="CX378">
        <v>216.59229999999999</v>
      </c>
      <c r="CY378">
        <v>1.1169</v>
      </c>
      <c r="CZ378">
        <v>326.78320000000002</v>
      </c>
      <c r="DA378">
        <v>3.1288999999999998</v>
      </c>
      <c r="DB378">
        <v>116.6562</v>
      </c>
      <c r="DC378">
        <v>426.7192</v>
      </c>
      <c r="DD378">
        <v>543.37540000000001</v>
      </c>
      <c r="DE378">
        <v>33397.381999999998</v>
      </c>
      <c r="DF378">
        <v>18035.737000000001</v>
      </c>
      <c r="DG378">
        <v>13056.924000000001</v>
      </c>
      <c r="DH378">
        <v>1599.298</v>
      </c>
      <c r="DI378">
        <v>705.423</v>
      </c>
    </row>
    <row r="379" spans="1:113" x14ac:dyDescent="0.3">
      <c r="E379" t="s">
        <v>78</v>
      </c>
      <c r="F379" t="s">
        <v>134</v>
      </c>
      <c r="G379" t="s">
        <v>134</v>
      </c>
      <c r="H379" t="s">
        <v>134</v>
      </c>
      <c r="I379" t="s">
        <v>134</v>
      </c>
      <c r="J379" t="s">
        <v>134</v>
      </c>
      <c r="K379" t="s">
        <v>134</v>
      </c>
      <c r="L379" t="s">
        <v>134</v>
      </c>
      <c r="M379" t="s">
        <v>134</v>
      </c>
      <c r="N379" t="s">
        <v>134</v>
      </c>
      <c r="O379" t="s">
        <v>134</v>
      </c>
      <c r="P379" t="s">
        <v>134</v>
      </c>
      <c r="Q379" t="s">
        <v>134</v>
      </c>
      <c r="R379" t="s">
        <v>134</v>
      </c>
      <c r="S379" t="s">
        <v>134</v>
      </c>
      <c r="T379" t="s">
        <v>134</v>
      </c>
      <c r="U379" t="s">
        <v>134</v>
      </c>
      <c r="V379" t="s">
        <v>134</v>
      </c>
      <c r="W379" t="s">
        <v>134</v>
      </c>
      <c r="X379" t="s">
        <v>134</v>
      </c>
      <c r="Y379" t="s">
        <v>134</v>
      </c>
      <c r="Z379" t="s">
        <v>134</v>
      </c>
      <c r="AA379" t="s">
        <v>134</v>
      </c>
      <c r="AB379" t="s">
        <v>134</v>
      </c>
      <c r="AC379" t="s">
        <v>134</v>
      </c>
      <c r="AD379" t="s">
        <v>134</v>
      </c>
      <c r="AE379" t="s">
        <v>134</v>
      </c>
      <c r="AF379" t="s">
        <v>134</v>
      </c>
      <c r="AG379" t="s">
        <v>134</v>
      </c>
      <c r="AH379" t="s">
        <v>134</v>
      </c>
      <c r="AI379" t="s">
        <v>134</v>
      </c>
      <c r="AJ379" t="s">
        <v>134</v>
      </c>
      <c r="AK379" t="s">
        <v>134</v>
      </c>
      <c r="AL379" t="s">
        <v>134</v>
      </c>
      <c r="AM379" t="s">
        <v>134</v>
      </c>
      <c r="AN379" t="s">
        <v>134</v>
      </c>
      <c r="AO379" t="s">
        <v>134</v>
      </c>
      <c r="AP379" t="s">
        <v>134</v>
      </c>
      <c r="AQ379" t="s">
        <v>134</v>
      </c>
      <c r="AR379" t="s">
        <v>134</v>
      </c>
      <c r="AS379" t="s">
        <v>134</v>
      </c>
      <c r="AT379" t="s">
        <v>134</v>
      </c>
      <c r="AU379" t="s">
        <v>134</v>
      </c>
      <c r="AV379" t="s">
        <v>134</v>
      </c>
      <c r="AW379" t="s">
        <v>134</v>
      </c>
      <c r="AX379" t="s">
        <v>134</v>
      </c>
      <c r="AY379" t="s">
        <v>134</v>
      </c>
      <c r="AZ379" t="s">
        <v>134</v>
      </c>
      <c r="BA379" t="s">
        <v>134</v>
      </c>
      <c r="BB379" t="s">
        <v>134</v>
      </c>
      <c r="BC379" t="s">
        <v>134</v>
      </c>
      <c r="BD379" t="s">
        <v>134</v>
      </c>
      <c r="BE379" t="s">
        <v>134</v>
      </c>
      <c r="BF379" t="s">
        <v>134</v>
      </c>
      <c r="BG379" t="s">
        <v>134</v>
      </c>
      <c r="BH379" t="s">
        <v>134</v>
      </c>
      <c r="BI379" t="s">
        <v>134</v>
      </c>
      <c r="BJ379" t="s">
        <v>134</v>
      </c>
      <c r="BK379" t="s">
        <v>134</v>
      </c>
      <c r="BL379" t="s">
        <v>134</v>
      </c>
      <c r="BM379" t="s">
        <v>134</v>
      </c>
      <c r="BN379" t="s">
        <v>134</v>
      </c>
      <c r="BO379" t="s">
        <v>134</v>
      </c>
      <c r="BP379" t="s">
        <v>134</v>
      </c>
      <c r="BQ379" t="s">
        <v>134</v>
      </c>
      <c r="BR379" t="s">
        <v>134</v>
      </c>
      <c r="BS379" t="s">
        <v>134</v>
      </c>
      <c r="BT379" t="s">
        <v>134</v>
      </c>
      <c r="BU379" t="s">
        <v>134</v>
      </c>
      <c r="BV379" t="s">
        <v>134</v>
      </c>
      <c r="BW379" t="s">
        <v>134</v>
      </c>
      <c r="BX379" t="s">
        <v>134</v>
      </c>
      <c r="BY379" t="s">
        <v>134</v>
      </c>
      <c r="BZ379" t="s">
        <v>134</v>
      </c>
      <c r="CA379" t="s">
        <v>134</v>
      </c>
      <c r="CB379" t="s">
        <v>134</v>
      </c>
      <c r="CC379" t="s">
        <v>134</v>
      </c>
      <c r="CD379" t="s">
        <v>134</v>
      </c>
      <c r="CE379" t="s">
        <v>134</v>
      </c>
      <c r="CF379" t="s">
        <v>134</v>
      </c>
      <c r="CG379" t="s">
        <v>134</v>
      </c>
      <c r="CH379" t="s">
        <v>134</v>
      </c>
      <c r="CI379" t="s">
        <v>134</v>
      </c>
      <c r="CJ379" t="s">
        <v>134</v>
      </c>
      <c r="CK379" t="s">
        <v>134</v>
      </c>
      <c r="CL379" t="s">
        <v>134</v>
      </c>
      <c r="CM379" t="s">
        <v>134</v>
      </c>
      <c r="CN379" t="s">
        <v>134</v>
      </c>
      <c r="CO379" t="s">
        <v>134</v>
      </c>
      <c r="CP379" t="s">
        <v>134</v>
      </c>
      <c r="CQ379" t="s">
        <v>134</v>
      </c>
      <c r="CR379" t="s">
        <v>134</v>
      </c>
      <c r="CS379" t="s">
        <v>134</v>
      </c>
      <c r="CT379" t="s">
        <v>134</v>
      </c>
      <c r="CU379" t="s">
        <v>134</v>
      </c>
      <c r="CV379" t="s">
        <v>134</v>
      </c>
      <c r="CW379" t="s">
        <v>134</v>
      </c>
      <c r="CX379" t="s">
        <v>134</v>
      </c>
      <c r="CY379" t="s">
        <v>134</v>
      </c>
      <c r="CZ379" t="s">
        <v>134</v>
      </c>
      <c r="DA379" t="s">
        <v>134</v>
      </c>
      <c r="DB379" t="s">
        <v>134</v>
      </c>
      <c r="DC379" t="s">
        <v>134</v>
      </c>
      <c r="DD379" t="s">
        <v>134</v>
      </c>
      <c r="DE379" t="s">
        <v>134</v>
      </c>
      <c r="DF379" t="s">
        <v>134</v>
      </c>
      <c r="DG379" t="s">
        <v>134</v>
      </c>
      <c r="DH379" t="s">
        <v>134</v>
      </c>
      <c r="DI379" t="s">
        <v>134</v>
      </c>
    </row>
    <row r="380" spans="1:113" x14ac:dyDescent="0.3">
      <c r="E380" t="s">
        <v>79</v>
      </c>
      <c r="F380" t="s">
        <v>134</v>
      </c>
      <c r="G380" t="s">
        <v>134</v>
      </c>
      <c r="H380" t="s">
        <v>134</v>
      </c>
      <c r="I380" t="s">
        <v>134</v>
      </c>
      <c r="J380" t="s">
        <v>134</v>
      </c>
      <c r="K380" t="s">
        <v>134</v>
      </c>
      <c r="L380" t="s">
        <v>134</v>
      </c>
      <c r="M380" t="s">
        <v>134</v>
      </c>
      <c r="N380" t="s">
        <v>134</v>
      </c>
      <c r="O380" t="s">
        <v>134</v>
      </c>
      <c r="P380" t="s">
        <v>134</v>
      </c>
      <c r="Q380" t="s">
        <v>134</v>
      </c>
      <c r="R380" t="s">
        <v>134</v>
      </c>
      <c r="S380" t="s">
        <v>134</v>
      </c>
      <c r="T380" t="s">
        <v>134</v>
      </c>
      <c r="U380" t="s">
        <v>134</v>
      </c>
      <c r="V380" t="s">
        <v>134</v>
      </c>
      <c r="W380" t="s">
        <v>134</v>
      </c>
      <c r="X380" t="s">
        <v>134</v>
      </c>
      <c r="Y380" t="s">
        <v>134</v>
      </c>
      <c r="Z380" t="s">
        <v>134</v>
      </c>
      <c r="AA380" t="s">
        <v>134</v>
      </c>
      <c r="AB380" t="s">
        <v>134</v>
      </c>
      <c r="AC380" t="s">
        <v>134</v>
      </c>
      <c r="AD380" t="s">
        <v>134</v>
      </c>
      <c r="AE380" t="s">
        <v>134</v>
      </c>
      <c r="AF380" t="s">
        <v>134</v>
      </c>
      <c r="AG380" t="s">
        <v>134</v>
      </c>
      <c r="AH380" t="s">
        <v>134</v>
      </c>
      <c r="AI380" t="s">
        <v>134</v>
      </c>
      <c r="AJ380" t="s">
        <v>134</v>
      </c>
      <c r="AK380" t="s">
        <v>134</v>
      </c>
      <c r="AL380" t="s">
        <v>134</v>
      </c>
      <c r="AM380" t="s">
        <v>134</v>
      </c>
      <c r="AN380" t="s">
        <v>134</v>
      </c>
      <c r="AO380" t="s">
        <v>134</v>
      </c>
      <c r="AP380" t="s">
        <v>134</v>
      </c>
      <c r="AQ380" t="s">
        <v>134</v>
      </c>
      <c r="AR380" t="s">
        <v>134</v>
      </c>
      <c r="AS380" t="s">
        <v>134</v>
      </c>
      <c r="AT380" t="s">
        <v>134</v>
      </c>
      <c r="AU380" t="s">
        <v>134</v>
      </c>
      <c r="AV380" t="s">
        <v>134</v>
      </c>
      <c r="AW380" t="s">
        <v>134</v>
      </c>
      <c r="AX380" t="s">
        <v>134</v>
      </c>
      <c r="AY380" t="s">
        <v>134</v>
      </c>
      <c r="AZ380" t="s">
        <v>134</v>
      </c>
      <c r="BA380" t="s">
        <v>134</v>
      </c>
      <c r="BB380" t="s">
        <v>134</v>
      </c>
      <c r="BC380" t="s">
        <v>134</v>
      </c>
      <c r="BD380" t="s">
        <v>134</v>
      </c>
      <c r="BE380" t="s">
        <v>134</v>
      </c>
      <c r="BF380" t="s">
        <v>134</v>
      </c>
      <c r="BG380" t="s">
        <v>134</v>
      </c>
      <c r="BH380" t="s">
        <v>134</v>
      </c>
      <c r="BI380" t="s">
        <v>134</v>
      </c>
      <c r="BJ380" t="s">
        <v>134</v>
      </c>
      <c r="BK380" t="s">
        <v>134</v>
      </c>
      <c r="BL380" t="s">
        <v>134</v>
      </c>
      <c r="BM380" t="s">
        <v>134</v>
      </c>
      <c r="BN380" t="s">
        <v>134</v>
      </c>
      <c r="BO380" t="s">
        <v>134</v>
      </c>
      <c r="BP380" t="s">
        <v>134</v>
      </c>
      <c r="BQ380" t="s">
        <v>134</v>
      </c>
      <c r="BR380" t="s">
        <v>134</v>
      </c>
      <c r="BS380" t="s">
        <v>134</v>
      </c>
      <c r="BT380" t="s">
        <v>134</v>
      </c>
      <c r="BU380" t="s">
        <v>134</v>
      </c>
      <c r="BV380" t="s">
        <v>134</v>
      </c>
      <c r="BW380" t="s">
        <v>134</v>
      </c>
      <c r="BX380" t="s">
        <v>134</v>
      </c>
      <c r="BY380" t="s">
        <v>134</v>
      </c>
      <c r="BZ380" t="s">
        <v>134</v>
      </c>
      <c r="CA380" t="s">
        <v>134</v>
      </c>
      <c r="CB380" t="s">
        <v>134</v>
      </c>
      <c r="CC380" t="s">
        <v>134</v>
      </c>
      <c r="CD380" t="s">
        <v>134</v>
      </c>
      <c r="CE380" t="s">
        <v>134</v>
      </c>
      <c r="CF380" t="s">
        <v>134</v>
      </c>
      <c r="CG380" t="s">
        <v>134</v>
      </c>
      <c r="CH380" t="s">
        <v>134</v>
      </c>
      <c r="CI380" t="s">
        <v>134</v>
      </c>
      <c r="CJ380" t="s">
        <v>134</v>
      </c>
      <c r="CK380" t="s">
        <v>134</v>
      </c>
      <c r="CL380" t="s">
        <v>134</v>
      </c>
      <c r="CM380" t="s">
        <v>134</v>
      </c>
      <c r="CN380" t="s">
        <v>134</v>
      </c>
      <c r="CO380" t="s">
        <v>134</v>
      </c>
      <c r="CP380" t="s">
        <v>134</v>
      </c>
      <c r="CQ380" t="s">
        <v>134</v>
      </c>
      <c r="CR380" t="s">
        <v>134</v>
      </c>
      <c r="CS380" t="s">
        <v>134</v>
      </c>
      <c r="CT380" t="s">
        <v>134</v>
      </c>
      <c r="CU380" t="s">
        <v>134</v>
      </c>
      <c r="CV380" t="s">
        <v>134</v>
      </c>
      <c r="CW380" t="s">
        <v>134</v>
      </c>
      <c r="CX380" t="s">
        <v>134</v>
      </c>
      <c r="CY380" t="s">
        <v>134</v>
      </c>
      <c r="CZ380" t="s">
        <v>134</v>
      </c>
      <c r="DA380" t="s">
        <v>134</v>
      </c>
      <c r="DB380" t="s">
        <v>134</v>
      </c>
      <c r="DC380" t="s">
        <v>134</v>
      </c>
      <c r="DD380" t="s">
        <v>134</v>
      </c>
      <c r="DE380" t="s">
        <v>134</v>
      </c>
      <c r="DF380" t="s">
        <v>134</v>
      </c>
      <c r="DG380" t="s">
        <v>134</v>
      </c>
      <c r="DH380" t="s">
        <v>134</v>
      </c>
      <c r="DI380" t="s">
        <v>134</v>
      </c>
    </row>
    <row r="381" spans="1:113" x14ac:dyDescent="0.3">
      <c r="E381" t="s">
        <v>80</v>
      </c>
      <c r="F381" t="s">
        <v>134</v>
      </c>
      <c r="G381" t="s">
        <v>134</v>
      </c>
      <c r="H381" t="s">
        <v>134</v>
      </c>
      <c r="I381" t="s">
        <v>134</v>
      </c>
      <c r="J381" t="s">
        <v>134</v>
      </c>
      <c r="K381" t="s">
        <v>134</v>
      </c>
      <c r="L381" t="s">
        <v>134</v>
      </c>
      <c r="M381" t="s">
        <v>134</v>
      </c>
      <c r="N381" t="s">
        <v>134</v>
      </c>
      <c r="O381" t="s">
        <v>134</v>
      </c>
      <c r="P381" t="s">
        <v>134</v>
      </c>
      <c r="Q381" t="s">
        <v>134</v>
      </c>
      <c r="R381" t="s">
        <v>134</v>
      </c>
      <c r="S381" t="s">
        <v>134</v>
      </c>
      <c r="T381" t="s">
        <v>134</v>
      </c>
      <c r="U381" t="s">
        <v>134</v>
      </c>
      <c r="V381" t="s">
        <v>134</v>
      </c>
      <c r="W381" t="s">
        <v>134</v>
      </c>
      <c r="X381" t="s">
        <v>134</v>
      </c>
      <c r="Y381" t="s">
        <v>134</v>
      </c>
      <c r="Z381" t="s">
        <v>134</v>
      </c>
      <c r="AA381" t="s">
        <v>134</v>
      </c>
      <c r="AB381" t="s">
        <v>134</v>
      </c>
      <c r="AC381" t="s">
        <v>134</v>
      </c>
      <c r="AD381" t="s">
        <v>134</v>
      </c>
      <c r="AE381" t="s">
        <v>134</v>
      </c>
      <c r="AF381" t="s">
        <v>134</v>
      </c>
      <c r="AG381" t="s">
        <v>134</v>
      </c>
      <c r="AH381" t="s">
        <v>134</v>
      </c>
      <c r="AI381" t="s">
        <v>134</v>
      </c>
      <c r="AJ381" t="s">
        <v>134</v>
      </c>
      <c r="AK381" t="s">
        <v>134</v>
      </c>
      <c r="AL381" t="s">
        <v>134</v>
      </c>
      <c r="AM381" t="s">
        <v>134</v>
      </c>
      <c r="AN381" t="s">
        <v>134</v>
      </c>
      <c r="AO381" t="s">
        <v>134</v>
      </c>
      <c r="AP381" t="s">
        <v>134</v>
      </c>
      <c r="AQ381" t="s">
        <v>134</v>
      </c>
      <c r="AR381" t="s">
        <v>134</v>
      </c>
      <c r="AS381" t="s">
        <v>134</v>
      </c>
      <c r="AT381" t="s">
        <v>134</v>
      </c>
      <c r="AU381" t="s">
        <v>134</v>
      </c>
      <c r="AV381" t="s">
        <v>134</v>
      </c>
      <c r="AW381" t="s">
        <v>134</v>
      </c>
      <c r="AX381" t="s">
        <v>134</v>
      </c>
      <c r="AY381" t="s">
        <v>134</v>
      </c>
      <c r="AZ381" t="s">
        <v>134</v>
      </c>
      <c r="BA381" t="s">
        <v>134</v>
      </c>
      <c r="BB381" t="s">
        <v>134</v>
      </c>
      <c r="BC381" t="s">
        <v>134</v>
      </c>
      <c r="BD381" t="s">
        <v>134</v>
      </c>
      <c r="BE381" t="s">
        <v>134</v>
      </c>
      <c r="BF381" t="s">
        <v>134</v>
      </c>
      <c r="BG381" t="s">
        <v>134</v>
      </c>
      <c r="BH381" t="s">
        <v>134</v>
      </c>
      <c r="BI381" t="s">
        <v>134</v>
      </c>
      <c r="BJ381" t="s">
        <v>134</v>
      </c>
      <c r="BK381" t="s">
        <v>134</v>
      </c>
      <c r="BL381" t="s">
        <v>134</v>
      </c>
      <c r="BM381" t="s">
        <v>134</v>
      </c>
      <c r="BN381" t="s">
        <v>134</v>
      </c>
      <c r="BO381" t="s">
        <v>134</v>
      </c>
      <c r="BP381" t="s">
        <v>134</v>
      </c>
      <c r="BQ381" t="s">
        <v>134</v>
      </c>
      <c r="BR381" t="s">
        <v>134</v>
      </c>
      <c r="BS381" t="s">
        <v>134</v>
      </c>
      <c r="BT381" t="s">
        <v>134</v>
      </c>
      <c r="BU381" t="s">
        <v>134</v>
      </c>
      <c r="BV381" t="s">
        <v>134</v>
      </c>
      <c r="BW381" t="s">
        <v>134</v>
      </c>
      <c r="BX381" t="s">
        <v>134</v>
      </c>
      <c r="BY381" t="s">
        <v>134</v>
      </c>
      <c r="BZ381" t="s">
        <v>134</v>
      </c>
      <c r="CA381" t="s">
        <v>134</v>
      </c>
      <c r="CB381" t="s">
        <v>134</v>
      </c>
      <c r="CC381" t="s">
        <v>134</v>
      </c>
      <c r="CD381" t="s">
        <v>134</v>
      </c>
      <c r="CE381" t="s">
        <v>134</v>
      </c>
      <c r="CF381" t="s">
        <v>134</v>
      </c>
      <c r="CG381" t="s">
        <v>134</v>
      </c>
      <c r="CH381" t="s">
        <v>134</v>
      </c>
      <c r="CI381" t="s">
        <v>134</v>
      </c>
      <c r="CJ381" t="s">
        <v>134</v>
      </c>
      <c r="CK381" t="s">
        <v>134</v>
      </c>
      <c r="CL381" t="s">
        <v>134</v>
      </c>
      <c r="CM381" t="s">
        <v>134</v>
      </c>
      <c r="CN381" t="s">
        <v>134</v>
      </c>
      <c r="CO381" t="s">
        <v>134</v>
      </c>
      <c r="CP381" t="s">
        <v>134</v>
      </c>
      <c r="CQ381" t="s">
        <v>134</v>
      </c>
      <c r="CR381" t="s">
        <v>134</v>
      </c>
      <c r="CS381" t="s">
        <v>134</v>
      </c>
      <c r="CT381" t="s">
        <v>134</v>
      </c>
      <c r="CU381" t="s">
        <v>134</v>
      </c>
      <c r="CV381" t="s">
        <v>134</v>
      </c>
      <c r="CW381" t="s">
        <v>134</v>
      </c>
      <c r="CX381" t="s">
        <v>134</v>
      </c>
      <c r="CY381" t="s">
        <v>134</v>
      </c>
      <c r="CZ381" t="s">
        <v>134</v>
      </c>
      <c r="DA381" t="s">
        <v>134</v>
      </c>
      <c r="DB381" t="s">
        <v>134</v>
      </c>
      <c r="DC381" t="s">
        <v>134</v>
      </c>
      <c r="DD381" t="s">
        <v>134</v>
      </c>
      <c r="DE381" t="s">
        <v>134</v>
      </c>
      <c r="DF381" t="s">
        <v>134</v>
      </c>
      <c r="DG381" t="s">
        <v>134</v>
      </c>
      <c r="DH381" t="s">
        <v>134</v>
      </c>
      <c r="DI381" t="s">
        <v>134</v>
      </c>
    </row>
    <row r="382" spans="1:113" x14ac:dyDescent="0.3">
      <c r="E382" t="s">
        <v>81</v>
      </c>
      <c r="F382" t="s">
        <v>134</v>
      </c>
      <c r="G382" t="s">
        <v>134</v>
      </c>
      <c r="H382" t="s">
        <v>134</v>
      </c>
      <c r="I382" t="s">
        <v>134</v>
      </c>
      <c r="J382" t="s">
        <v>134</v>
      </c>
      <c r="K382" t="s">
        <v>134</v>
      </c>
      <c r="L382" t="s">
        <v>134</v>
      </c>
      <c r="M382" t="s">
        <v>134</v>
      </c>
      <c r="N382" t="s">
        <v>134</v>
      </c>
      <c r="O382" t="s">
        <v>134</v>
      </c>
      <c r="P382" t="s">
        <v>134</v>
      </c>
      <c r="Q382" t="s">
        <v>134</v>
      </c>
      <c r="R382" t="s">
        <v>134</v>
      </c>
      <c r="S382" t="s">
        <v>134</v>
      </c>
      <c r="T382" t="s">
        <v>134</v>
      </c>
      <c r="U382" t="s">
        <v>134</v>
      </c>
      <c r="V382" t="s">
        <v>134</v>
      </c>
      <c r="W382" t="s">
        <v>134</v>
      </c>
      <c r="X382" t="s">
        <v>134</v>
      </c>
      <c r="Y382" t="s">
        <v>134</v>
      </c>
      <c r="Z382" t="s">
        <v>134</v>
      </c>
      <c r="AA382" t="s">
        <v>134</v>
      </c>
      <c r="AB382" t="s">
        <v>134</v>
      </c>
      <c r="AC382" t="s">
        <v>134</v>
      </c>
      <c r="AD382" t="s">
        <v>134</v>
      </c>
      <c r="AE382" t="s">
        <v>134</v>
      </c>
      <c r="AF382" t="s">
        <v>134</v>
      </c>
      <c r="AG382" t="s">
        <v>134</v>
      </c>
      <c r="AH382" t="s">
        <v>134</v>
      </c>
      <c r="AI382" t="s">
        <v>134</v>
      </c>
      <c r="AJ382" t="s">
        <v>134</v>
      </c>
      <c r="AK382" t="s">
        <v>134</v>
      </c>
      <c r="AL382" t="s">
        <v>134</v>
      </c>
      <c r="AM382" t="s">
        <v>134</v>
      </c>
      <c r="AN382" t="s">
        <v>134</v>
      </c>
      <c r="AO382" t="s">
        <v>134</v>
      </c>
      <c r="AP382" t="s">
        <v>134</v>
      </c>
      <c r="AQ382" t="s">
        <v>134</v>
      </c>
      <c r="AR382" t="s">
        <v>134</v>
      </c>
      <c r="AS382" t="s">
        <v>134</v>
      </c>
      <c r="AT382" t="s">
        <v>134</v>
      </c>
      <c r="AU382" t="s">
        <v>134</v>
      </c>
      <c r="AV382" t="s">
        <v>134</v>
      </c>
      <c r="AW382" t="s">
        <v>134</v>
      </c>
      <c r="AX382" t="s">
        <v>134</v>
      </c>
      <c r="AY382" t="s">
        <v>134</v>
      </c>
      <c r="AZ382" t="s">
        <v>134</v>
      </c>
      <c r="BA382" t="s">
        <v>134</v>
      </c>
      <c r="BB382" t="s">
        <v>134</v>
      </c>
      <c r="BC382" t="s">
        <v>134</v>
      </c>
      <c r="BD382" t="s">
        <v>134</v>
      </c>
      <c r="BE382" t="s">
        <v>134</v>
      </c>
      <c r="BF382" t="s">
        <v>134</v>
      </c>
      <c r="BG382" t="s">
        <v>134</v>
      </c>
      <c r="BH382" t="s">
        <v>134</v>
      </c>
      <c r="BI382" t="s">
        <v>134</v>
      </c>
      <c r="BJ382" t="s">
        <v>134</v>
      </c>
      <c r="BK382" t="s">
        <v>134</v>
      </c>
      <c r="BL382" t="s">
        <v>134</v>
      </c>
      <c r="BM382" t="s">
        <v>134</v>
      </c>
      <c r="BN382" t="s">
        <v>134</v>
      </c>
      <c r="BO382" t="s">
        <v>134</v>
      </c>
      <c r="BP382" t="s">
        <v>134</v>
      </c>
      <c r="BQ382" t="s">
        <v>134</v>
      </c>
      <c r="BR382" t="s">
        <v>134</v>
      </c>
      <c r="BS382" t="s">
        <v>134</v>
      </c>
      <c r="BT382" t="s">
        <v>134</v>
      </c>
      <c r="BU382" t="s">
        <v>134</v>
      </c>
      <c r="BV382" t="s">
        <v>134</v>
      </c>
      <c r="BW382" t="s">
        <v>134</v>
      </c>
      <c r="BX382" t="s">
        <v>134</v>
      </c>
      <c r="BY382" t="s">
        <v>134</v>
      </c>
      <c r="BZ382" t="s">
        <v>134</v>
      </c>
      <c r="CA382" t="s">
        <v>134</v>
      </c>
      <c r="CB382" t="s">
        <v>134</v>
      </c>
      <c r="CC382" t="s">
        <v>134</v>
      </c>
      <c r="CD382" t="s">
        <v>134</v>
      </c>
      <c r="CE382" t="s">
        <v>134</v>
      </c>
      <c r="CF382" t="s">
        <v>134</v>
      </c>
      <c r="CG382" t="s">
        <v>134</v>
      </c>
      <c r="CH382" t="s">
        <v>134</v>
      </c>
      <c r="CI382" t="s">
        <v>134</v>
      </c>
      <c r="CJ382" t="s">
        <v>134</v>
      </c>
      <c r="CK382" t="s">
        <v>134</v>
      </c>
      <c r="CL382" t="s">
        <v>134</v>
      </c>
      <c r="CM382" t="s">
        <v>134</v>
      </c>
      <c r="CN382" t="s">
        <v>134</v>
      </c>
      <c r="CO382" t="s">
        <v>134</v>
      </c>
      <c r="CP382" t="s">
        <v>134</v>
      </c>
      <c r="CQ382" t="s">
        <v>134</v>
      </c>
      <c r="CR382" t="s">
        <v>134</v>
      </c>
      <c r="CS382" t="s">
        <v>134</v>
      </c>
      <c r="CT382" t="s">
        <v>134</v>
      </c>
      <c r="CU382" t="s">
        <v>134</v>
      </c>
      <c r="CV382" t="s">
        <v>134</v>
      </c>
      <c r="CW382" t="s">
        <v>134</v>
      </c>
      <c r="CX382" t="s">
        <v>134</v>
      </c>
      <c r="CY382" t="s">
        <v>134</v>
      </c>
      <c r="CZ382" t="s">
        <v>134</v>
      </c>
      <c r="DA382" t="s">
        <v>134</v>
      </c>
      <c r="DB382" t="s">
        <v>134</v>
      </c>
      <c r="DC382" t="s">
        <v>134</v>
      </c>
      <c r="DD382" t="s">
        <v>134</v>
      </c>
      <c r="DE382" t="s">
        <v>134</v>
      </c>
      <c r="DF382" t="s">
        <v>134</v>
      </c>
      <c r="DG382" t="s">
        <v>134</v>
      </c>
      <c r="DH382" t="s">
        <v>134</v>
      </c>
      <c r="DI382" t="s">
        <v>134</v>
      </c>
    </row>
    <row r="383" spans="1:113" x14ac:dyDescent="0.3">
      <c r="D383" t="s">
        <v>82</v>
      </c>
      <c r="E383" t="s">
        <v>77</v>
      </c>
      <c r="F383">
        <v>15.6119</v>
      </c>
      <c r="G383">
        <v>7.7991000000000001</v>
      </c>
      <c r="H383">
        <v>15.577299999999999</v>
      </c>
      <c r="I383">
        <v>11.3748</v>
      </c>
      <c r="J383">
        <v>17.792000000000002</v>
      </c>
      <c r="K383">
        <v>15.382099999999999</v>
      </c>
      <c r="L383">
        <v>49.078800000000001</v>
      </c>
      <c r="M383">
        <v>21.946300000000001</v>
      </c>
      <c r="N383">
        <v>17.360299999999999</v>
      </c>
      <c r="O383">
        <v>17.3626</v>
      </c>
      <c r="P383">
        <v>17.3626</v>
      </c>
      <c r="Q383">
        <v>20.8964</v>
      </c>
      <c r="R383">
        <v>19.5121</v>
      </c>
      <c r="S383">
        <v>12.5657</v>
      </c>
      <c r="T383">
        <v>8.8300999999999998</v>
      </c>
      <c r="U383">
        <v>31.078700000000001</v>
      </c>
      <c r="V383">
        <v>34.930700000000002</v>
      </c>
      <c r="W383">
        <v>25.8477</v>
      </c>
      <c r="X383">
        <v>25.851500000000001</v>
      </c>
      <c r="Y383">
        <v>25.321899999999999</v>
      </c>
      <c r="Z383">
        <v>-8.4352999999999998</v>
      </c>
      <c r="AA383">
        <v>2.5209000000000001</v>
      </c>
      <c r="AB383">
        <v>6.7704000000000004</v>
      </c>
      <c r="AC383">
        <v>5.0073999999999996</v>
      </c>
      <c r="AD383">
        <v>-3.4611000000000001</v>
      </c>
      <c r="AE383">
        <v>13.6836</v>
      </c>
      <c r="AF383">
        <v>-4.0235000000000003</v>
      </c>
      <c r="AG383">
        <v>14209.0126</v>
      </c>
      <c r="AH383">
        <v>5584.2330000000002</v>
      </c>
      <c r="AI383">
        <v>12.4434</v>
      </c>
      <c r="AJ383">
        <v>12.786300000000001</v>
      </c>
      <c r="AK383">
        <v>12.4175</v>
      </c>
      <c r="AL383" t="s">
        <v>134</v>
      </c>
      <c r="AM383">
        <v>5.1489000000000003</v>
      </c>
      <c r="AN383">
        <v>4.8456000000000001</v>
      </c>
      <c r="AO383">
        <v>4.6248000000000005</v>
      </c>
      <c r="AP383">
        <v>10.180400000000001</v>
      </c>
      <c r="AQ383">
        <v>10.180999999999999</v>
      </c>
      <c r="AR383">
        <v>8.7468000000000004</v>
      </c>
      <c r="AS383">
        <v>11.6325</v>
      </c>
      <c r="AT383">
        <v>6.7594000000000003</v>
      </c>
      <c r="AU383">
        <v>13.8101</v>
      </c>
      <c r="AV383">
        <v>10.6404</v>
      </c>
      <c r="AW383">
        <v>5.3243999999999998</v>
      </c>
      <c r="AX383">
        <v>13.250999999999999</v>
      </c>
      <c r="AY383" t="s">
        <v>134</v>
      </c>
      <c r="AZ383" t="s">
        <v>134</v>
      </c>
      <c r="BA383">
        <v>81.522400000000005</v>
      </c>
      <c r="BB383">
        <v>12.7476</v>
      </c>
      <c r="BC383">
        <v>12.811199999999999</v>
      </c>
      <c r="BD383">
        <v>12.7418</v>
      </c>
      <c r="BE383" t="s">
        <v>134</v>
      </c>
      <c r="BF383">
        <v>8.8300999999999998</v>
      </c>
      <c r="BG383">
        <v>31.078700000000001</v>
      </c>
      <c r="BH383">
        <v>34.930700000000002</v>
      </c>
      <c r="BI383">
        <v>25.8477</v>
      </c>
      <c r="BJ383">
        <v>25.851500000000001</v>
      </c>
      <c r="BK383">
        <v>25.321899999999999</v>
      </c>
      <c r="BL383">
        <v>-8.4352999999999998</v>
      </c>
      <c r="BM383">
        <v>2.5209000000000001</v>
      </c>
      <c r="BN383">
        <v>6.7704000000000004</v>
      </c>
      <c r="BO383">
        <v>5.0073999999999996</v>
      </c>
      <c r="BP383">
        <v>-3.4611000000000001</v>
      </c>
      <c r="BQ383">
        <v>13.6836</v>
      </c>
      <c r="BR383">
        <v>-4.0235000000000003</v>
      </c>
      <c r="BS383">
        <v>14209.0126</v>
      </c>
      <c r="BT383">
        <v>5584.2330000000002</v>
      </c>
      <c r="BU383">
        <v>12.4434</v>
      </c>
      <c r="BV383">
        <v>12.786300000000001</v>
      </c>
      <c r="BW383">
        <v>12.4175</v>
      </c>
      <c r="BX383" t="s">
        <v>134</v>
      </c>
      <c r="BY383">
        <v>252.721</v>
      </c>
      <c r="BZ383">
        <v>249.26300000000001</v>
      </c>
      <c r="CA383">
        <v>3.4580000000000002</v>
      </c>
      <c r="CB383">
        <v>2.06E-2</v>
      </c>
      <c r="CC383">
        <v>-4.9009</v>
      </c>
      <c r="CD383">
        <v>2.3800000000000002E-2</v>
      </c>
      <c r="CE383">
        <v>-5.6687000000000003</v>
      </c>
      <c r="CF383">
        <v>3546.7363</v>
      </c>
      <c r="CG383">
        <v>51.615400000000001</v>
      </c>
      <c r="CH383">
        <v>4.3E-3</v>
      </c>
      <c r="CI383">
        <v>4.1999999999999997E-3</v>
      </c>
      <c r="CJ383">
        <v>2.2000000000000001E-3</v>
      </c>
      <c r="CK383">
        <v>0.31109999999999999</v>
      </c>
      <c r="CL383">
        <v>0.31019999999999998</v>
      </c>
      <c r="CM383">
        <v>0.16070000000000001</v>
      </c>
      <c r="CN383">
        <v>-74.018100000000004</v>
      </c>
      <c r="CO383">
        <v>-284.88389999999998</v>
      </c>
      <c r="CP383">
        <v>12268.161</v>
      </c>
      <c r="CQ383">
        <v>9995.723</v>
      </c>
      <c r="CR383">
        <v>10606.422</v>
      </c>
      <c r="CS383">
        <v>0.86670000000000003</v>
      </c>
      <c r="CT383">
        <v>2.0106000000000002</v>
      </c>
      <c r="CU383">
        <v>1.413</v>
      </c>
      <c r="CV383">
        <v>3.6556999999999999</v>
      </c>
      <c r="CW383">
        <v>1.7322</v>
      </c>
      <c r="CX383">
        <v>210.7107</v>
      </c>
      <c r="CY383">
        <v>1.1434</v>
      </c>
      <c r="CZ383">
        <v>319.22329999999999</v>
      </c>
      <c r="DA383">
        <v>3.2675999999999998</v>
      </c>
      <c r="DB383">
        <v>111.7045</v>
      </c>
      <c r="DC383">
        <v>418.22949999999997</v>
      </c>
      <c r="DD383">
        <v>529.93399999999997</v>
      </c>
      <c r="DE383">
        <v>34239.284</v>
      </c>
      <c r="DF383">
        <v>18612.109</v>
      </c>
      <c r="DG383">
        <v>12677.474</v>
      </c>
      <c r="DH383">
        <v>1696.876</v>
      </c>
      <c r="DI383">
        <v>1252.825</v>
      </c>
    </row>
    <row r="384" spans="1:113" x14ac:dyDescent="0.3">
      <c r="E384" t="s">
        <v>78</v>
      </c>
      <c r="F384" t="s">
        <v>134</v>
      </c>
      <c r="G384" t="s">
        <v>134</v>
      </c>
      <c r="H384" t="s">
        <v>134</v>
      </c>
      <c r="I384" t="s">
        <v>134</v>
      </c>
      <c r="J384" t="s">
        <v>134</v>
      </c>
      <c r="K384" t="s">
        <v>134</v>
      </c>
      <c r="L384" t="s">
        <v>134</v>
      </c>
      <c r="M384" t="s">
        <v>134</v>
      </c>
      <c r="N384" t="s">
        <v>134</v>
      </c>
      <c r="O384" t="s">
        <v>134</v>
      </c>
      <c r="P384" t="s">
        <v>134</v>
      </c>
      <c r="Q384" t="s">
        <v>134</v>
      </c>
      <c r="R384" t="s">
        <v>134</v>
      </c>
      <c r="S384" t="s">
        <v>134</v>
      </c>
      <c r="T384" t="s">
        <v>134</v>
      </c>
      <c r="U384" t="s">
        <v>134</v>
      </c>
      <c r="V384" t="s">
        <v>134</v>
      </c>
      <c r="W384" t="s">
        <v>134</v>
      </c>
      <c r="X384" t="s">
        <v>134</v>
      </c>
      <c r="Y384" t="s">
        <v>134</v>
      </c>
      <c r="Z384" t="s">
        <v>134</v>
      </c>
      <c r="AA384" t="s">
        <v>134</v>
      </c>
      <c r="AB384" t="s">
        <v>134</v>
      </c>
      <c r="AC384" t="s">
        <v>134</v>
      </c>
      <c r="AD384" t="s">
        <v>134</v>
      </c>
      <c r="AE384" t="s">
        <v>134</v>
      </c>
      <c r="AF384" t="s">
        <v>134</v>
      </c>
      <c r="AG384" t="s">
        <v>134</v>
      </c>
      <c r="AH384" t="s">
        <v>134</v>
      </c>
      <c r="AI384" t="s">
        <v>134</v>
      </c>
      <c r="AJ384" t="s">
        <v>134</v>
      </c>
      <c r="AK384" t="s">
        <v>134</v>
      </c>
      <c r="AL384" t="s">
        <v>134</v>
      </c>
      <c r="AM384" t="s">
        <v>134</v>
      </c>
      <c r="AN384" t="s">
        <v>134</v>
      </c>
      <c r="AO384" t="s">
        <v>134</v>
      </c>
      <c r="AP384" t="s">
        <v>134</v>
      </c>
      <c r="AQ384" t="s">
        <v>134</v>
      </c>
      <c r="AR384" t="s">
        <v>134</v>
      </c>
      <c r="AS384" t="s">
        <v>134</v>
      </c>
      <c r="AT384" t="s">
        <v>134</v>
      </c>
      <c r="AU384" t="s">
        <v>134</v>
      </c>
      <c r="AV384" t="s">
        <v>134</v>
      </c>
      <c r="AW384" t="s">
        <v>134</v>
      </c>
      <c r="AX384" t="s">
        <v>134</v>
      </c>
      <c r="AY384" t="s">
        <v>134</v>
      </c>
      <c r="AZ384" t="s">
        <v>134</v>
      </c>
      <c r="BA384" t="s">
        <v>134</v>
      </c>
      <c r="BB384" t="s">
        <v>134</v>
      </c>
      <c r="BC384" t="s">
        <v>134</v>
      </c>
      <c r="BD384" t="s">
        <v>134</v>
      </c>
      <c r="BE384" t="s">
        <v>134</v>
      </c>
      <c r="BF384" t="s">
        <v>134</v>
      </c>
      <c r="BG384" t="s">
        <v>134</v>
      </c>
      <c r="BH384" t="s">
        <v>134</v>
      </c>
      <c r="BI384" t="s">
        <v>134</v>
      </c>
      <c r="BJ384" t="s">
        <v>134</v>
      </c>
      <c r="BK384" t="s">
        <v>134</v>
      </c>
      <c r="BL384" t="s">
        <v>134</v>
      </c>
      <c r="BM384" t="s">
        <v>134</v>
      </c>
      <c r="BN384" t="s">
        <v>134</v>
      </c>
      <c r="BO384" t="s">
        <v>134</v>
      </c>
      <c r="BP384" t="s">
        <v>134</v>
      </c>
      <c r="BQ384" t="s">
        <v>134</v>
      </c>
      <c r="BR384" t="s">
        <v>134</v>
      </c>
      <c r="BS384" t="s">
        <v>134</v>
      </c>
      <c r="BT384" t="s">
        <v>134</v>
      </c>
      <c r="BU384" t="s">
        <v>134</v>
      </c>
      <c r="BV384" t="s">
        <v>134</v>
      </c>
      <c r="BW384" t="s">
        <v>134</v>
      </c>
      <c r="BX384" t="s">
        <v>134</v>
      </c>
      <c r="BY384" t="s">
        <v>134</v>
      </c>
      <c r="BZ384" t="s">
        <v>134</v>
      </c>
      <c r="CA384" t="s">
        <v>134</v>
      </c>
      <c r="CB384" t="s">
        <v>134</v>
      </c>
      <c r="CC384" t="s">
        <v>134</v>
      </c>
      <c r="CD384" t="s">
        <v>134</v>
      </c>
      <c r="CE384" t="s">
        <v>134</v>
      </c>
      <c r="CF384" t="s">
        <v>134</v>
      </c>
      <c r="CG384" t="s">
        <v>134</v>
      </c>
      <c r="CH384" t="s">
        <v>134</v>
      </c>
      <c r="CI384" t="s">
        <v>134</v>
      </c>
      <c r="CJ384" t="s">
        <v>134</v>
      </c>
      <c r="CK384" t="s">
        <v>134</v>
      </c>
      <c r="CL384" t="s">
        <v>134</v>
      </c>
      <c r="CM384" t="s">
        <v>134</v>
      </c>
      <c r="CN384" t="s">
        <v>134</v>
      </c>
      <c r="CO384" t="s">
        <v>134</v>
      </c>
      <c r="CP384" t="s">
        <v>134</v>
      </c>
      <c r="CQ384" t="s">
        <v>134</v>
      </c>
      <c r="CR384" t="s">
        <v>134</v>
      </c>
      <c r="CS384" t="s">
        <v>134</v>
      </c>
      <c r="CT384" t="s">
        <v>134</v>
      </c>
      <c r="CU384" t="s">
        <v>134</v>
      </c>
      <c r="CV384" t="s">
        <v>134</v>
      </c>
      <c r="CW384" t="s">
        <v>134</v>
      </c>
      <c r="CX384" t="s">
        <v>134</v>
      </c>
      <c r="CY384" t="s">
        <v>134</v>
      </c>
      <c r="CZ384" t="s">
        <v>134</v>
      </c>
      <c r="DA384" t="s">
        <v>134</v>
      </c>
      <c r="DB384" t="s">
        <v>134</v>
      </c>
      <c r="DC384" t="s">
        <v>134</v>
      </c>
      <c r="DD384" t="s">
        <v>134</v>
      </c>
      <c r="DE384" t="s">
        <v>134</v>
      </c>
      <c r="DF384" t="s">
        <v>134</v>
      </c>
      <c r="DG384" t="s">
        <v>134</v>
      </c>
      <c r="DH384" t="s">
        <v>134</v>
      </c>
      <c r="DI384" t="s">
        <v>134</v>
      </c>
    </row>
    <row r="385" spans="4:113" x14ac:dyDescent="0.3">
      <c r="E385" t="s">
        <v>79</v>
      </c>
      <c r="F385" t="s">
        <v>134</v>
      </c>
      <c r="G385" t="s">
        <v>134</v>
      </c>
      <c r="H385" t="s">
        <v>134</v>
      </c>
      <c r="I385" t="s">
        <v>134</v>
      </c>
      <c r="J385" t="s">
        <v>134</v>
      </c>
      <c r="K385" t="s">
        <v>134</v>
      </c>
      <c r="L385" t="s">
        <v>134</v>
      </c>
      <c r="M385" t="s">
        <v>134</v>
      </c>
      <c r="N385" t="s">
        <v>134</v>
      </c>
      <c r="O385" t="s">
        <v>134</v>
      </c>
      <c r="P385" t="s">
        <v>134</v>
      </c>
      <c r="Q385" t="s">
        <v>134</v>
      </c>
      <c r="R385" t="s">
        <v>134</v>
      </c>
      <c r="S385" t="s">
        <v>134</v>
      </c>
      <c r="T385" t="s">
        <v>134</v>
      </c>
      <c r="U385" t="s">
        <v>134</v>
      </c>
      <c r="V385" t="s">
        <v>134</v>
      </c>
      <c r="W385" t="s">
        <v>134</v>
      </c>
      <c r="X385" t="s">
        <v>134</v>
      </c>
      <c r="Y385" t="s">
        <v>134</v>
      </c>
      <c r="Z385" t="s">
        <v>134</v>
      </c>
      <c r="AA385" t="s">
        <v>134</v>
      </c>
      <c r="AB385" t="s">
        <v>134</v>
      </c>
      <c r="AC385" t="s">
        <v>134</v>
      </c>
      <c r="AD385" t="s">
        <v>134</v>
      </c>
      <c r="AE385" t="s">
        <v>134</v>
      </c>
      <c r="AF385" t="s">
        <v>134</v>
      </c>
      <c r="AG385" t="s">
        <v>134</v>
      </c>
      <c r="AH385" t="s">
        <v>134</v>
      </c>
      <c r="AI385" t="s">
        <v>134</v>
      </c>
      <c r="AJ385" t="s">
        <v>134</v>
      </c>
      <c r="AK385" t="s">
        <v>134</v>
      </c>
      <c r="AL385" t="s">
        <v>134</v>
      </c>
      <c r="AM385" t="s">
        <v>134</v>
      </c>
      <c r="AN385" t="s">
        <v>134</v>
      </c>
      <c r="AO385" t="s">
        <v>134</v>
      </c>
      <c r="AP385" t="s">
        <v>134</v>
      </c>
      <c r="AQ385" t="s">
        <v>134</v>
      </c>
      <c r="AR385" t="s">
        <v>134</v>
      </c>
      <c r="AS385" t="s">
        <v>134</v>
      </c>
      <c r="AT385" t="s">
        <v>134</v>
      </c>
      <c r="AU385" t="s">
        <v>134</v>
      </c>
      <c r="AV385" t="s">
        <v>134</v>
      </c>
      <c r="AW385" t="s">
        <v>134</v>
      </c>
      <c r="AX385" t="s">
        <v>134</v>
      </c>
      <c r="AY385" t="s">
        <v>134</v>
      </c>
      <c r="AZ385" t="s">
        <v>134</v>
      </c>
      <c r="BA385" t="s">
        <v>134</v>
      </c>
      <c r="BB385" t="s">
        <v>134</v>
      </c>
      <c r="BC385" t="s">
        <v>134</v>
      </c>
      <c r="BD385" t="s">
        <v>134</v>
      </c>
      <c r="BE385" t="s">
        <v>134</v>
      </c>
      <c r="BF385" t="s">
        <v>134</v>
      </c>
      <c r="BG385" t="s">
        <v>134</v>
      </c>
      <c r="BH385" t="s">
        <v>134</v>
      </c>
      <c r="BI385" t="s">
        <v>134</v>
      </c>
      <c r="BJ385" t="s">
        <v>134</v>
      </c>
      <c r="BK385" t="s">
        <v>134</v>
      </c>
      <c r="BL385" t="s">
        <v>134</v>
      </c>
      <c r="BM385" t="s">
        <v>134</v>
      </c>
      <c r="BN385" t="s">
        <v>134</v>
      </c>
      <c r="BO385" t="s">
        <v>134</v>
      </c>
      <c r="BP385" t="s">
        <v>134</v>
      </c>
      <c r="BQ385" t="s">
        <v>134</v>
      </c>
      <c r="BR385" t="s">
        <v>134</v>
      </c>
      <c r="BS385" t="s">
        <v>134</v>
      </c>
      <c r="BT385" t="s">
        <v>134</v>
      </c>
      <c r="BU385" t="s">
        <v>134</v>
      </c>
      <c r="BV385" t="s">
        <v>134</v>
      </c>
      <c r="BW385" t="s">
        <v>134</v>
      </c>
      <c r="BX385" t="s">
        <v>134</v>
      </c>
      <c r="BY385" t="s">
        <v>134</v>
      </c>
      <c r="BZ385" t="s">
        <v>134</v>
      </c>
      <c r="CA385" t="s">
        <v>134</v>
      </c>
      <c r="CB385" t="s">
        <v>134</v>
      </c>
      <c r="CC385" t="s">
        <v>134</v>
      </c>
      <c r="CD385" t="s">
        <v>134</v>
      </c>
      <c r="CE385" t="s">
        <v>134</v>
      </c>
      <c r="CF385" t="s">
        <v>134</v>
      </c>
      <c r="CG385" t="s">
        <v>134</v>
      </c>
      <c r="CH385" t="s">
        <v>134</v>
      </c>
      <c r="CI385" t="s">
        <v>134</v>
      </c>
      <c r="CJ385" t="s">
        <v>134</v>
      </c>
      <c r="CK385" t="s">
        <v>134</v>
      </c>
      <c r="CL385" t="s">
        <v>134</v>
      </c>
      <c r="CM385" t="s">
        <v>134</v>
      </c>
      <c r="CN385" t="s">
        <v>134</v>
      </c>
      <c r="CO385" t="s">
        <v>134</v>
      </c>
      <c r="CP385" t="s">
        <v>134</v>
      </c>
      <c r="CQ385" t="s">
        <v>134</v>
      </c>
      <c r="CR385" t="s">
        <v>134</v>
      </c>
      <c r="CS385" t="s">
        <v>134</v>
      </c>
      <c r="CT385" t="s">
        <v>134</v>
      </c>
      <c r="CU385" t="s">
        <v>134</v>
      </c>
      <c r="CV385" t="s">
        <v>134</v>
      </c>
      <c r="CW385" t="s">
        <v>134</v>
      </c>
      <c r="CX385" t="s">
        <v>134</v>
      </c>
      <c r="CY385" t="s">
        <v>134</v>
      </c>
      <c r="CZ385" t="s">
        <v>134</v>
      </c>
      <c r="DA385" t="s">
        <v>134</v>
      </c>
      <c r="DB385" t="s">
        <v>134</v>
      </c>
      <c r="DC385" t="s">
        <v>134</v>
      </c>
      <c r="DD385" t="s">
        <v>134</v>
      </c>
      <c r="DE385" t="s">
        <v>134</v>
      </c>
      <c r="DF385" t="s">
        <v>134</v>
      </c>
      <c r="DG385" t="s">
        <v>134</v>
      </c>
      <c r="DH385" t="s">
        <v>134</v>
      </c>
      <c r="DI385" t="s">
        <v>134</v>
      </c>
    </row>
    <row r="386" spans="4:113" x14ac:dyDescent="0.3">
      <c r="E386" t="s">
        <v>80</v>
      </c>
      <c r="F386" t="s">
        <v>134</v>
      </c>
      <c r="G386" t="s">
        <v>134</v>
      </c>
      <c r="H386" t="s">
        <v>134</v>
      </c>
      <c r="I386" t="s">
        <v>134</v>
      </c>
      <c r="J386" t="s">
        <v>134</v>
      </c>
      <c r="K386" t="s">
        <v>134</v>
      </c>
      <c r="L386" t="s">
        <v>134</v>
      </c>
      <c r="M386" t="s">
        <v>134</v>
      </c>
      <c r="N386" t="s">
        <v>134</v>
      </c>
      <c r="O386" t="s">
        <v>134</v>
      </c>
      <c r="P386" t="s">
        <v>134</v>
      </c>
      <c r="Q386" t="s">
        <v>134</v>
      </c>
      <c r="R386" t="s">
        <v>134</v>
      </c>
      <c r="S386" t="s">
        <v>134</v>
      </c>
      <c r="T386" t="s">
        <v>134</v>
      </c>
      <c r="U386" t="s">
        <v>134</v>
      </c>
      <c r="V386" t="s">
        <v>134</v>
      </c>
      <c r="W386" t="s">
        <v>134</v>
      </c>
      <c r="X386" t="s">
        <v>134</v>
      </c>
      <c r="Y386" t="s">
        <v>134</v>
      </c>
      <c r="Z386" t="s">
        <v>134</v>
      </c>
      <c r="AA386" t="s">
        <v>134</v>
      </c>
      <c r="AB386" t="s">
        <v>134</v>
      </c>
      <c r="AC386" t="s">
        <v>134</v>
      </c>
      <c r="AD386" t="s">
        <v>134</v>
      </c>
      <c r="AE386" t="s">
        <v>134</v>
      </c>
      <c r="AF386" t="s">
        <v>134</v>
      </c>
      <c r="AG386" t="s">
        <v>134</v>
      </c>
      <c r="AH386" t="s">
        <v>134</v>
      </c>
      <c r="AI386" t="s">
        <v>134</v>
      </c>
      <c r="AJ386" t="s">
        <v>134</v>
      </c>
      <c r="AK386" t="s">
        <v>134</v>
      </c>
      <c r="AL386" t="s">
        <v>134</v>
      </c>
      <c r="AM386" t="s">
        <v>134</v>
      </c>
      <c r="AN386" t="s">
        <v>134</v>
      </c>
      <c r="AO386" t="s">
        <v>134</v>
      </c>
      <c r="AP386" t="s">
        <v>134</v>
      </c>
      <c r="AQ386" t="s">
        <v>134</v>
      </c>
      <c r="AR386" t="s">
        <v>134</v>
      </c>
      <c r="AS386" t="s">
        <v>134</v>
      </c>
      <c r="AT386" t="s">
        <v>134</v>
      </c>
      <c r="AU386" t="s">
        <v>134</v>
      </c>
      <c r="AV386" t="s">
        <v>134</v>
      </c>
      <c r="AW386" t="s">
        <v>134</v>
      </c>
      <c r="AX386" t="s">
        <v>134</v>
      </c>
      <c r="AY386" t="s">
        <v>134</v>
      </c>
      <c r="AZ386" t="s">
        <v>134</v>
      </c>
      <c r="BA386" t="s">
        <v>134</v>
      </c>
      <c r="BB386" t="s">
        <v>134</v>
      </c>
      <c r="BC386" t="s">
        <v>134</v>
      </c>
      <c r="BD386" t="s">
        <v>134</v>
      </c>
      <c r="BE386" t="s">
        <v>134</v>
      </c>
      <c r="BF386" t="s">
        <v>134</v>
      </c>
      <c r="BG386" t="s">
        <v>134</v>
      </c>
      <c r="BH386" t="s">
        <v>134</v>
      </c>
      <c r="BI386" t="s">
        <v>134</v>
      </c>
      <c r="BJ386" t="s">
        <v>134</v>
      </c>
      <c r="BK386" t="s">
        <v>134</v>
      </c>
      <c r="BL386" t="s">
        <v>134</v>
      </c>
      <c r="BM386" t="s">
        <v>134</v>
      </c>
      <c r="BN386" t="s">
        <v>134</v>
      </c>
      <c r="BO386" t="s">
        <v>134</v>
      </c>
      <c r="BP386" t="s">
        <v>134</v>
      </c>
      <c r="BQ386" t="s">
        <v>134</v>
      </c>
      <c r="BR386" t="s">
        <v>134</v>
      </c>
      <c r="BS386" t="s">
        <v>134</v>
      </c>
      <c r="BT386" t="s">
        <v>134</v>
      </c>
      <c r="BU386" t="s">
        <v>134</v>
      </c>
      <c r="BV386" t="s">
        <v>134</v>
      </c>
      <c r="BW386" t="s">
        <v>134</v>
      </c>
      <c r="BX386" t="s">
        <v>134</v>
      </c>
      <c r="BY386" t="s">
        <v>134</v>
      </c>
      <c r="BZ386" t="s">
        <v>134</v>
      </c>
      <c r="CA386" t="s">
        <v>134</v>
      </c>
      <c r="CB386" t="s">
        <v>134</v>
      </c>
      <c r="CC386" t="s">
        <v>134</v>
      </c>
      <c r="CD386" t="s">
        <v>134</v>
      </c>
      <c r="CE386" t="s">
        <v>134</v>
      </c>
      <c r="CF386" t="s">
        <v>134</v>
      </c>
      <c r="CG386" t="s">
        <v>134</v>
      </c>
      <c r="CH386" t="s">
        <v>134</v>
      </c>
      <c r="CI386" t="s">
        <v>134</v>
      </c>
      <c r="CJ386" t="s">
        <v>134</v>
      </c>
      <c r="CK386" t="s">
        <v>134</v>
      </c>
      <c r="CL386" t="s">
        <v>134</v>
      </c>
      <c r="CM386" t="s">
        <v>134</v>
      </c>
      <c r="CN386" t="s">
        <v>134</v>
      </c>
      <c r="CO386" t="s">
        <v>134</v>
      </c>
      <c r="CP386" t="s">
        <v>134</v>
      </c>
      <c r="CQ386" t="s">
        <v>134</v>
      </c>
      <c r="CR386" t="s">
        <v>134</v>
      </c>
      <c r="CS386" t="s">
        <v>134</v>
      </c>
      <c r="CT386" t="s">
        <v>134</v>
      </c>
      <c r="CU386" t="s">
        <v>134</v>
      </c>
      <c r="CV386" t="s">
        <v>134</v>
      </c>
      <c r="CW386" t="s">
        <v>134</v>
      </c>
      <c r="CX386" t="s">
        <v>134</v>
      </c>
      <c r="CY386" t="s">
        <v>134</v>
      </c>
      <c r="CZ386" t="s">
        <v>134</v>
      </c>
      <c r="DA386" t="s">
        <v>134</v>
      </c>
      <c r="DB386" t="s">
        <v>134</v>
      </c>
      <c r="DC386" t="s">
        <v>134</v>
      </c>
      <c r="DD386" t="s">
        <v>134</v>
      </c>
      <c r="DE386" t="s">
        <v>134</v>
      </c>
      <c r="DF386" t="s">
        <v>134</v>
      </c>
      <c r="DG386" t="s">
        <v>134</v>
      </c>
      <c r="DH386" t="s">
        <v>134</v>
      </c>
      <c r="DI386" t="s">
        <v>134</v>
      </c>
    </row>
    <row r="387" spans="4:113" x14ac:dyDescent="0.3">
      <c r="E387" t="s">
        <v>81</v>
      </c>
      <c r="F387" t="s">
        <v>134</v>
      </c>
      <c r="G387" t="s">
        <v>134</v>
      </c>
      <c r="H387" t="s">
        <v>134</v>
      </c>
      <c r="I387" t="s">
        <v>134</v>
      </c>
      <c r="J387" t="s">
        <v>134</v>
      </c>
      <c r="K387" t="s">
        <v>134</v>
      </c>
      <c r="L387" t="s">
        <v>134</v>
      </c>
      <c r="M387" t="s">
        <v>134</v>
      </c>
      <c r="N387" t="s">
        <v>134</v>
      </c>
      <c r="O387" t="s">
        <v>134</v>
      </c>
      <c r="P387" t="s">
        <v>134</v>
      </c>
      <c r="Q387" t="s">
        <v>134</v>
      </c>
      <c r="R387" t="s">
        <v>134</v>
      </c>
      <c r="S387" t="s">
        <v>134</v>
      </c>
      <c r="T387" t="s">
        <v>134</v>
      </c>
      <c r="U387" t="s">
        <v>134</v>
      </c>
      <c r="V387" t="s">
        <v>134</v>
      </c>
      <c r="W387" t="s">
        <v>134</v>
      </c>
      <c r="X387" t="s">
        <v>134</v>
      </c>
      <c r="Y387" t="s">
        <v>134</v>
      </c>
      <c r="Z387" t="s">
        <v>134</v>
      </c>
      <c r="AA387" t="s">
        <v>134</v>
      </c>
      <c r="AB387" t="s">
        <v>134</v>
      </c>
      <c r="AC387" t="s">
        <v>134</v>
      </c>
      <c r="AD387" t="s">
        <v>134</v>
      </c>
      <c r="AE387" t="s">
        <v>134</v>
      </c>
      <c r="AF387" t="s">
        <v>134</v>
      </c>
      <c r="AG387" t="s">
        <v>134</v>
      </c>
      <c r="AH387" t="s">
        <v>134</v>
      </c>
      <c r="AI387" t="s">
        <v>134</v>
      </c>
      <c r="AJ387" t="s">
        <v>134</v>
      </c>
      <c r="AK387" t="s">
        <v>134</v>
      </c>
      <c r="AL387" t="s">
        <v>134</v>
      </c>
      <c r="AM387" t="s">
        <v>134</v>
      </c>
      <c r="AN387" t="s">
        <v>134</v>
      </c>
      <c r="AO387" t="s">
        <v>134</v>
      </c>
      <c r="AP387" t="s">
        <v>134</v>
      </c>
      <c r="AQ387" t="s">
        <v>134</v>
      </c>
      <c r="AR387" t="s">
        <v>134</v>
      </c>
      <c r="AS387" t="s">
        <v>134</v>
      </c>
      <c r="AT387" t="s">
        <v>134</v>
      </c>
      <c r="AU387" t="s">
        <v>134</v>
      </c>
      <c r="AV387" t="s">
        <v>134</v>
      </c>
      <c r="AW387" t="s">
        <v>134</v>
      </c>
      <c r="AX387" t="s">
        <v>134</v>
      </c>
      <c r="AY387" t="s">
        <v>134</v>
      </c>
      <c r="AZ387" t="s">
        <v>134</v>
      </c>
      <c r="BA387" t="s">
        <v>134</v>
      </c>
      <c r="BB387" t="s">
        <v>134</v>
      </c>
      <c r="BC387" t="s">
        <v>134</v>
      </c>
      <c r="BD387" t="s">
        <v>134</v>
      </c>
      <c r="BE387" t="s">
        <v>134</v>
      </c>
      <c r="BF387" t="s">
        <v>134</v>
      </c>
      <c r="BG387" t="s">
        <v>134</v>
      </c>
      <c r="BH387" t="s">
        <v>134</v>
      </c>
      <c r="BI387" t="s">
        <v>134</v>
      </c>
      <c r="BJ387" t="s">
        <v>134</v>
      </c>
      <c r="BK387" t="s">
        <v>134</v>
      </c>
      <c r="BL387" t="s">
        <v>134</v>
      </c>
      <c r="BM387" t="s">
        <v>134</v>
      </c>
      <c r="BN387" t="s">
        <v>134</v>
      </c>
      <c r="BO387" t="s">
        <v>134</v>
      </c>
      <c r="BP387" t="s">
        <v>134</v>
      </c>
      <c r="BQ387" t="s">
        <v>134</v>
      </c>
      <c r="BR387" t="s">
        <v>134</v>
      </c>
      <c r="BS387" t="s">
        <v>134</v>
      </c>
      <c r="BT387" t="s">
        <v>134</v>
      </c>
      <c r="BU387" t="s">
        <v>134</v>
      </c>
      <c r="BV387" t="s">
        <v>134</v>
      </c>
      <c r="BW387" t="s">
        <v>134</v>
      </c>
      <c r="BX387" t="s">
        <v>134</v>
      </c>
      <c r="BY387" t="s">
        <v>134</v>
      </c>
      <c r="BZ387" t="s">
        <v>134</v>
      </c>
      <c r="CA387" t="s">
        <v>134</v>
      </c>
      <c r="CB387" t="s">
        <v>134</v>
      </c>
      <c r="CC387" t="s">
        <v>134</v>
      </c>
      <c r="CD387" t="s">
        <v>134</v>
      </c>
      <c r="CE387" t="s">
        <v>134</v>
      </c>
      <c r="CF387" t="s">
        <v>134</v>
      </c>
      <c r="CG387" t="s">
        <v>134</v>
      </c>
      <c r="CH387" t="s">
        <v>134</v>
      </c>
      <c r="CI387" t="s">
        <v>134</v>
      </c>
      <c r="CJ387" t="s">
        <v>134</v>
      </c>
      <c r="CK387" t="s">
        <v>134</v>
      </c>
      <c r="CL387" t="s">
        <v>134</v>
      </c>
      <c r="CM387" t="s">
        <v>134</v>
      </c>
      <c r="CN387" t="s">
        <v>134</v>
      </c>
      <c r="CO387" t="s">
        <v>134</v>
      </c>
      <c r="CP387" t="s">
        <v>134</v>
      </c>
      <c r="CQ387" t="s">
        <v>134</v>
      </c>
      <c r="CR387" t="s">
        <v>134</v>
      </c>
      <c r="CS387" t="s">
        <v>134</v>
      </c>
      <c r="CT387" t="s">
        <v>134</v>
      </c>
      <c r="CU387" t="s">
        <v>134</v>
      </c>
      <c r="CV387" t="s">
        <v>134</v>
      </c>
      <c r="CW387" t="s">
        <v>134</v>
      </c>
      <c r="CX387" t="s">
        <v>134</v>
      </c>
      <c r="CY387" t="s">
        <v>134</v>
      </c>
      <c r="CZ387" t="s">
        <v>134</v>
      </c>
      <c r="DA387" t="s">
        <v>134</v>
      </c>
      <c r="DB387" t="s">
        <v>134</v>
      </c>
      <c r="DC387" t="s">
        <v>134</v>
      </c>
      <c r="DD387" t="s">
        <v>134</v>
      </c>
      <c r="DE387" t="s">
        <v>134</v>
      </c>
      <c r="DF387" t="s">
        <v>134</v>
      </c>
      <c r="DG387" t="s">
        <v>134</v>
      </c>
      <c r="DH387" t="s">
        <v>134</v>
      </c>
      <c r="DI387" t="s">
        <v>134</v>
      </c>
    </row>
    <row r="388" spans="4:113" x14ac:dyDescent="0.3">
      <c r="D388" t="s">
        <v>83</v>
      </c>
      <c r="E388" t="s">
        <v>77</v>
      </c>
      <c r="F388">
        <v>16.221</v>
      </c>
      <c r="G388">
        <v>8.1</v>
      </c>
      <c r="H388">
        <v>16.1648</v>
      </c>
      <c r="I388">
        <v>12.087300000000001</v>
      </c>
      <c r="J388">
        <v>20.827400000000001</v>
      </c>
      <c r="K388">
        <v>18.124199999999998</v>
      </c>
      <c r="L388">
        <v>56.916899999999998</v>
      </c>
      <c r="M388">
        <v>25.312000000000001</v>
      </c>
      <c r="N388">
        <v>18.929400000000001</v>
      </c>
      <c r="O388">
        <v>18.788799999999998</v>
      </c>
      <c r="P388">
        <v>18.788799999999998</v>
      </c>
      <c r="Q388">
        <v>25.215800000000002</v>
      </c>
      <c r="R388">
        <v>29.1815</v>
      </c>
      <c r="S388">
        <v>11.487500000000001</v>
      </c>
      <c r="T388">
        <v>7.0688000000000004</v>
      </c>
      <c r="U388">
        <v>25.335100000000001</v>
      </c>
      <c r="V388">
        <v>26.155999999999999</v>
      </c>
      <c r="W388">
        <v>15.864000000000001</v>
      </c>
      <c r="X388">
        <v>15.8704</v>
      </c>
      <c r="Y388">
        <v>74.657499999999999</v>
      </c>
      <c r="Z388">
        <v>-1.6979</v>
      </c>
      <c r="AA388">
        <v>23.039100000000001</v>
      </c>
      <c r="AB388">
        <v>25.4956</v>
      </c>
      <c r="AC388">
        <v>17.798400000000001</v>
      </c>
      <c r="AD388">
        <v>11.8284</v>
      </c>
      <c r="AE388">
        <v>2.4655</v>
      </c>
      <c r="AF388">
        <v>0.77800000000000002</v>
      </c>
      <c r="AG388">
        <v>14.805199999999999</v>
      </c>
      <c r="AH388">
        <v>14.242599999999999</v>
      </c>
      <c r="AI388">
        <v>10.6843</v>
      </c>
      <c r="AJ388">
        <v>10.695399999999999</v>
      </c>
      <c r="AK388">
        <v>10.7089</v>
      </c>
      <c r="AL388">
        <v>46.1691</v>
      </c>
      <c r="AM388">
        <v>5.5831</v>
      </c>
      <c r="AN388">
        <v>3.0508999999999999</v>
      </c>
      <c r="AO388">
        <v>2.2669000000000001</v>
      </c>
      <c r="AP388">
        <v>9.5823999999999998</v>
      </c>
      <c r="AQ388">
        <v>9.5833999999999993</v>
      </c>
      <c r="AR388">
        <v>18.747199999999999</v>
      </c>
      <c r="AS388">
        <v>5.1142000000000003</v>
      </c>
      <c r="AT388">
        <v>12.2408</v>
      </c>
      <c r="AU388">
        <v>18.297499999999999</v>
      </c>
      <c r="AV388">
        <v>6.8052999999999999</v>
      </c>
      <c r="AW388">
        <v>8.8314000000000004</v>
      </c>
      <c r="AX388">
        <v>10.165800000000001</v>
      </c>
      <c r="AY388">
        <v>6.9660000000000002</v>
      </c>
      <c r="AZ388">
        <v>129.73310000000001</v>
      </c>
      <c r="BA388">
        <v>99.408299999999997</v>
      </c>
      <c r="BB388">
        <v>11.8537</v>
      </c>
      <c r="BC388">
        <v>11.9214</v>
      </c>
      <c r="BD388">
        <v>11.8528</v>
      </c>
      <c r="BE388" t="s">
        <v>134</v>
      </c>
      <c r="BF388">
        <v>7.0688000000000004</v>
      </c>
      <c r="BG388">
        <v>25.335100000000001</v>
      </c>
      <c r="BH388">
        <v>26.155999999999999</v>
      </c>
      <c r="BI388">
        <v>15.864000000000001</v>
      </c>
      <c r="BJ388">
        <v>15.8704</v>
      </c>
      <c r="BK388">
        <v>74.657499999999999</v>
      </c>
      <c r="BL388">
        <v>-1.6979</v>
      </c>
      <c r="BM388">
        <v>23.039100000000001</v>
      </c>
      <c r="BN388">
        <v>25.4956</v>
      </c>
      <c r="BO388">
        <v>17.798400000000001</v>
      </c>
      <c r="BP388">
        <v>11.8284</v>
      </c>
      <c r="BQ388">
        <v>2.4655</v>
      </c>
      <c r="BR388">
        <v>0.77800000000000002</v>
      </c>
      <c r="BS388">
        <v>14.805199999999999</v>
      </c>
      <c r="BT388">
        <v>14.242599999999999</v>
      </c>
      <c r="BU388">
        <v>10.6843</v>
      </c>
      <c r="BV388">
        <v>10.695399999999999</v>
      </c>
      <c r="BW388">
        <v>10.7089</v>
      </c>
      <c r="BX388">
        <v>46.1691</v>
      </c>
      <c r="BY388">
        <v>288.71499999999997</v>
      </c>
      <c r="BZ388">
        <v>286.16699999999997</v>
      </c>
      <c r="CA388">
        <v>2.548</v>
      </c>
      <c r="CB388">
        <v>1.8800000000000001E-2</v>
      </c>
      <c r="CC388">
        <v>-4.8931000000000004</v>
      </c>
      <c r="CD388">
        <v>2.1600000000000001E-2</v>
      </c>
      <c r="CE388">
        <v>-5.6228999999999996</v>
      </c>
      <c r="CF388">
        <v>1052.8117999999999</v>
      </c>
      <c r="CG388">
        <v>48.509099999999997</v>
      </c>
      <c r="CH388">
        <v>2.8E-3</v>
      </c>
      <c r="CI388">
        <v>2.8E-3</v>
      </c>
      <c r="CJ388">
        <v>1.4E-3</v>
      </c>
      <c r="CK388">
        <v>0.3211</v>
      </c>
      <c r="CL388">
        <v>0.3201</v>
      </c>
      <c r="CM388">
        <v>0.15590000000000001</v>
      </c>
      <c r="CN388">
        <v>-83.683099999999996</v>
      </c>
      <c r="CO388">
        <v>-512.86320000000001</v>
      </c>
      <c r="CP388">
        <v>15376.316000000001</v>
      </c>
      <c r="CQ388">
        <v>8804.9689999999991</v>
      </c>
      <c r="CR388">
        <v>13380.636</v>
      </c>
      <c r="CS388">
        <v>0.85440000000000005</v>
      </c>
      <c r="CT388">
        <v>1.8159999999999998</v>
      </c>
      <c r="CU388">
        <v>1.2776000000000001</v>
      </c>
      <c r="CV388">
        <v>3.3289</v>
      </c>
      <c r="CW388">
        <v>1.9567000000000001</v>
      </c>
      <c r="CX388">
        <v>187.04750000000001</v>
      </c>
      <c r="CY388">
        <v>1.0847</v>
      </c>
      <c r="CZ388">
        <v>337.42079999999999</v>
      </c>
      <c r="DA388">
        <v>4.1471</v>
      </c>
      <c r="DB388">
        <v>88.255200000000002</v>
      </c>
      <c r="DC388">
        <v>436.2131</v>
      </c>
      <c r="DD388">
        <v>524.4683</v>
      </c>
      <c r="DE388">
        <v>42127.71</v>
      </c>
      <c r="DF388">
        <v>24154.687000000002</v>
      </c>
      <c r="DG388">
        <v>15501.781000000001</v>
      </c>
      <c r="DH388">
        <v>1400.4829999999999</v>
      </c>
      <c r="DI388">
        <v>1070.759</v>
      </c>
    </row>
    <row r="389" spans="4:113" x14ac:dyDescent="0.3">
      <c r="E389" t="s">
        <v>78</v>
      </c>
      <c r="F389" t="s">
        <v>134</v>
      </c>
      <c r="G389" t="s">
        <v>134</v>
      </c>
      <c r="H389" t="s">
        <v>134</v>
      </c>
      <c r="I389" t="s">
        <v>134</v>
      </c>
      <c r="J389" t="s">
        <v>134</v>
      </c>
      <c r="K389" t="s">
        <v>134</v>
      </c>
      <c r="L389" t="s">
        <v>134</v>
      </c>
      <c r="M389" t="s">
        <v>134</v>
      </c>
      <c r="N389" t="s">
        <v>134</v>
      </c>
      <c r="O389" t="s">
        <v>134</v>
      </c>
      <c r="P389" t="s">
        <v>134</v>
      </c>
      <c r="Q389" t="s">
        <v>134</v>
      </c>
      <c r="R389" t="s">
        <v>134</v>
      </c>
      <c r="S389" t="s">
        <v>134</v>
      </c>
      <c r="T389" t="s">
        <v>134</v>
      </c>
      <c r="U389" t="s">
        <v>134</v>
      </c>
      <c r="V389" t="s">
        <v>134</v>
      </c>
      <c r="W389" t="s">
        <v>134</v>
      </c>
      <c r="X389" t="s">
        <v>134</v>
      </c>
      <c r="Y389" t="s">
        <v>134</v>
      </c>
      <c r="Z389" t="s">
        <v>134</v>
      </c>
      <c r="AA389" t="s">
        <v>134</v>
      </c>
      <c r="AB389" t="s">
        <v>134</v>
      </c>
      <c r="AC389" t="s">
        <v>134</v>
      </c>
      <c r="AD389" t="s">
        <v>134</v>
      </c>
      <c r="AE389" t="s">
        <v>134</v>
      </c>
      <c r="AF389" t="s">
        <v>134</v>
      </c>
      <c r="AG389" t="s">
        <v>134</v>
      </c>
      <c r="AH389" t="s">
        <v>134</v>
      </c>
      <c r="AI389" t="s">
        <v>134</v>
      </c>
      <c r="AJ389" t="s">
        <v>134</v>
      </c>
      <c r="AK389" t="s">
        <v>134</v>
      </c>
      <c r="AL389" t="s">
        <v>134</v>
      </c>
      <c r="AM389" t="s">
        <v>134</v>
      </c>
      <c r="AN389" t="s">
        <v>134</v>
      </c>
      <c r="AO389" t="s">
        <v>134</v>
      </c>
      <c r="AP389" t="s">
        <v>134</v>
      </c>
      <c r="AQ389" t="s">
        <v>134</v>
      </c>
      <c r="AR389" t="s">
        <v>134</v>
      </c>
      <c r="AS389" t="s">
        <v>134</v>
      </c>
      <c r="AT389" t="s">
        <v>134</v>
      </c>
      <c r="AU389" t="s">
        <v>134</v>
      </c>
      <c r="AV389" t="s">
        <v>134</v>
      </c>
      <c r="AW389" t="s">
        <v>134</v>
      </c>
      <c r="AX389" t="s">
        <v>134</v>
      </c>
      <c r="AY389" t="s">
        <v>134</v>
      </c>
      <c r="AZ389" t="s">
        <v>134</v>
      </c>
      <c r="BA389" t="s">
        <v>134</v>
      </c>
      <c r="BB389" t="s">
        <v>134</v>
      </c>
      <c r="BC389" t="s">
        <v>134</v>
      </c>
      <c r="BD389" t="s">
        <v>134</v>
      </c>
      <c r="BE389" t="s">
        <v>134</v>
      </c>
      <c r="BF389" t="s">
        <v>134</v>
      </c>
      <c r="BG389" t="s">
        <v>134</v>
      </c>
      <c r="BH389" t="s">
        <v>134</v>
      </c>
      <c r="BI389" t="s">
        <v>134</v>
      </c>
      <c r="BJ389" t="s">
        <v>134</v>
      </c>
      <c r="BK389" t="s">
        <v>134</v>
      </c>
      <c r="BL389" t="s">
        <v>134</v>
      </c>
      <c r="BM389" t="s">
        <v>134</v>
      </c>
      <c r="BN389" t="s">
        <v>134</v>
      </c>
      <c r="BO389" t="s">
        <v>134</v>
      </c>
      <c r="BP389" t="s">
        <v>134</v>
      </c>
      <c r="BQ389" t="s">
        <v>134</v>
      </c>
      <c r="BR389" t="s">
        <v>134</v>
      </c>
      <c r="BS389" t="s">
        <v>134</v>
      </c>
      <c r="BT389" t="s">
        <v>134</v>
      </c>
      <c r="BU389" t="s">
        <v>134</v>
      </c>
      <c r="BV389" t="s">
        <v>134</v>
      </c>
      <c r="BW389" t="s">
        <v>134</v>
      </c>
      <c r="BX389" t="s">
        <v>134</v>
      </c>
      <c r="BY389" t="s">
        <v>134</v>
      </c>
      <c r="BZ389" t="s">
        <v>134</v>
      </c>
      <c r="CA389" t="s">
        <v>134</v>
      </c>
      <c r="CB389" t="s">
        <v>134</v>
      </c>
      <c r="CC389" t="s">
        <v>134</v>
      </c>
      <c r="CD389" t="s">
        <v>134</v>
      </c>
      <c r="CE389" t="s">
        <v>134</v>
      </c>
      <c r="CF389" t="s">
        <v>134</v>
      </c>
      <c r="CG389" t="s">
        <v>134</v>
      </c>
      <c r="CH389" t="s">
        <v>134</v>
      </c>
      <c r="CI389" t="s">
        <v>134</v>
      </c>
      <c r="CJ389" t="s">
        <v>134</v>
      </c>
      <c r="CK389" t="s">
        <v>134</v>
      </c>
      <c r="CL389" t="s">
        <v>134</v>
      </c>
      <c r="CM389" t="s">
        <v>134</v>
      </c>
      <c r="CN389" t="s">
        <v>134</v>
      </c>
      <c r="CO389" t="s">
        <v>134</v>
      </c>
      <c r="CP389" t="s">
        <v>134</v>
      </c>
      <c r="CQ389" t="s">
        <v>134</v>
      </c>
      <c r="CR389" t="s">
        <v>134</v>
      </c>
      <c r="CS389" t="s">
        <v>134</v>
      </c>
      <c r="CT389" t="s">
        <v>134</v>
      </c>
      <c r="CU389" t="s">
        <v>134</v>
      </c>
      <c r="CV389" t="s">
        <v>134</v>
      </c>
      <c r="CW389" t="s">
        <v>134</v>
      </c>
      <c r="CX389" t="s">
        <v>134</v>
      </c>
      <c r="CY389" t="s">
        <v>134</v>
      </c>
      <c r="CZ389" t="s">
        <v>134</v>
      </c>
      <c r="DA389" t="s">
        <v>134</v>
      </c>
      <c r="DB389" t="s">
        <v>134</v>
      </c>
      <c r="DC389" t="s">
        <v>134</v>
      </c>
      <c r="DD389" t="s">
        <v>134</v>
      </c>
      <c r="DE389" t="s">
        <v>134</v>
      </c>
      <c r="DF389" t="s">
        <v>134</v>
      </c>
      <c r="DG389" t="s">
        <v>134</v>
      </c>
      <c r="DH389" t="s">
        <v>134</v>
      </c>
      <c r="DI389" t="s">
        <v>134</v>
      </c>
    </row>
    <row r="390" spans="4:113" x14ac:dyDescent="0.3">
      <c r="E390" t="s">
        <v>79</v>
      </c>
      <c r="F390" t="s">
        <v>134</v>
      </c>
      <c r="G390" t="s">
        <v>134</v>
      </c>
      <c r="H390" t="s">
        <v>134</v>
      </c>
      <c r="I390" t="s">
        <v>134</v>
      </c>
      <c r="J390" t="s">
        <v>134</v>
      </c>
      <c r="K390" t="s">
        <v>134</v>
      </c>
      <c r="L390" t="s">
        <v>134</v>
      </c>
      <c r="M390" t="s">
        <v>134</v>
      </c>
      <c r="N390" t="s">
        <v>134</v>
      </c>
      <c r="O390" t="s">
        <v>134</v>
      </c>
      <c r="P390" t="s">
        <v>134</v>
      </c>
      <c r="Q390" t="s">
        <v>134</v>
      </c>
      <c r="R390" t="s">
        <v>134</v>
      </c>
      <c r="S390" t="s">
        <v>134</v>
      </c>
      <c r="T390" t="s">
        <v>134</v>
      </c>
      <c r="U390" t="s">
        <v>134</v>
      </c>
      <c r="V390" t="s">
        <v>134</v>
      </c>
      <c r="W390" t="s">
        <v>134</v>
      </c>
      <c r="X390" t="s">
        <v>134</v>
      </c>
      <c r="Y390" t="s">
        <v>134</v>
      </c>
      <c r="Z390" t="s">
        <v>134</v>
      </c>
      <c r="AA390" t="s">
        <v>134</v>
      </c>
      <c r="AB390" t="s">
        <v>134</v>
      </c>
      <c r="AC390" t="s">
        <v>134</v>
      </c>
      <c r="AD390" t="s">
        <v>134</v>
      </c>
      <c r="AE390" t="s">
        <v>134</v>
      </c>
      <c r="AF390" t="s">
        <v>134</v>
      </c>
      <c r="AG390" t="s">
        <v>134</v>
      </c>
      <c r="AH390" t="s">
        <v>134</v>
      </c>
      <c r="AI390" t="s">
        <v>134</v>
      </c>
      <c r="AJ390" t="s">
        <v>134</v>
      </c>
      <c r="AK390" t="s">
        <v>134</v>
      </c>
      <c r="AL390" t="s">
        <v>134</v>
      </c>
      <c r="AM390" t="s">
        <v>134</v>
      </c>
      <c r="AN390" t="s">
        <v>134</v>
      </c>
      <c r="AO390" t="s">
        <v>134</v>
      </c>
      <c r="AP390" t="s">
        <v>134</v>
      </c>
      <c r="AQ390" t="s">
        <v>134</v>
      </c>
      <c r="AR390" t="s">
        <v>134</v>
      </c>
      <c r="AS390" t="s">
        <v>134</v>
      </c>
      <c r="AT390" t="s">
        <v>134</v>
      </c>
      <c r="AU390" t="s">
        <v>134</v>
      </c>
      <c r="AV390" t="s">
        <v>134</v>
      </c>
      <c r="AW390" t="s">
        <v>134</v>
      </c>
      <c r="AX390" t="s">
        <v>134</v>
      </c>
      <c r="AY390" t="s">
        <v>134</v>
      </c>
      <c r="AZ390" t="s">
        <v>134</v>
      </c>
      <c r="BA390" t="s">
        <v>134</v>
      </c>
      <c r="BB390" t="s">
        <v>134</v>
      </c>
      <c r="BC390" t="s">
        <v>134</v>
      </c>
      <c r="BD390" t="s">
        <v>134</v>
      </c>
      <c r="BE390" t="s">
        <v>134</v>
      </c>
      <c r="BF390" t="s">
        <v>134</v>
      </c>
      <c r="BG390" t="s">
        <v>134</v>
      </c>
      <c r="BH390" t="s">
        <v>134</v>
      </c>
      <c r="BI390" t="s">
        <v>134</v>
      </c>
      <c r="BJ390" t="s">
        <v>134</v>
      </c>
      <c r="BK390" t="s">
        <v>134</v>
      </c>
      <c r="BL390" t="s">
        <v>134</v>
      </c>
      <c r="BM390" t="s">
        <v>134</v>
      </c>
      <c r="BN390" t="s">
        <v>134</v>
      </c>
      <c r="BO390" t="s">
        <v>134</v>
      </c>
      <c r="BP390" t="s">
        <v>134</v>
      </c>
      <c r="BQ390" t="s">
        <v>134</v>
      </c>
      <c r="BR390" t="s">
        <v>134</v>
      </c>
      <c r="BS390" t="s">
        <v>134</v>
      </c>
      <c r="BT390" t="s">
        <v>134</v>
      </c>
      <c r="BU390" t="s">
        <v>134</v>
      </c>
      <c r="BV390" t="s">
        <v>134</v>
      </c>
      <c r="BW390" t="s">
        <v>134</v>
      </c>
      <c r="BX390" t="s">
        <v>134</v>
      </c>
      <c r="BY390" t="s">
        <v>134</v>
      </c>
      <c r="BZ390" t="s">
        <v>134</v>
      </c>
      <c r="CA390" t="s">
        <v>134</v>
      </c>
      <c r="CB390" t="s">
        <v>134</v>
      </c>
      <c r="CC390" t="s">
        <v>134</v>
      </c>
      <c r="CD390" t="s">
        <v>134</v>
      </c>
      <c r="CE390" t="s">
        <v>134</v>
      </c>
      <c r="CF390" t="s">
        <v>134</v>
      </c>
      <c r="CG390" t="s">
        <v>134</v>
      </c>
      <c r="CH390" t="s">
        <v>134</v>
      </c>
      <c r="CI390" t="s">
        <v>134</v>
      </c>
      <c r="CJ390" t="s">
        <v>134</v>
      </c>
      <c r="CK390" t="s">
        <v>134</v>
      </c>
      <c r="CL390" t="s">
        <v>134</v>
      </c>
      <c r="CM390" t="s">
        <v>134</v>
      </c>
      <c r="CN390" t="s">
        <v>134</v>
      </c>
      <c r="CO390" t="s">
        <v>134</v>
      </c>
      <c r="CP390" t="s">
        <v>134</v>
      </c>
      <c r="CQ390" t="s">
        <v>134</v>
      </c>
      <c r="CR390" t="s">
        <v>134</v>
      </c>
      <c r="CS390" t="s">
        <v>134</v>
      </c>
      <c r="CT390" t="s">
        <v>134</v>
      </c>
      <c r="CU390" t="s">
        <v>134</v>
      </c>
      <c r="CV390" t="s">
        <v>134</v>
      </c>
      <c r="CW390" t="s">
        <v>134</v>
      </c>
      <c r="CX390" t="s">
        <v>134</v>
      </c>
      <c r="CY390" t="s">
        <v>134</v>
      </c>
      <c r="CZ390" t="s">
        <v>134</v>
      </c>
      <c r="DA390" t="s">
        <v>134</v>
      </c>
      <c r="DB390" t="s">
        <v>134</v>
      </c>
      <c r="DC390" t="s">
        <v>134</v>
      </c>
      <c r="DD390" t="s">
        <v>134</v>
      </c>
      <c r="DE390" t="s">
        <v>134</v>
      </c>
      <c r="DF390" t="s">
        <v>134</v>
      </c>
      <c r="DG390" t="s">
        <v>134</v>
      </c>
      <c r="DH390" t="s">
        <v>134</v>
      </c>
      <c r="DI390" t="s">
        <v>134</v>
      </c>
    </row>
    <row r="391" spans="4:113" x14ac:dyDescent="0.3">
      <c r="E391" t="s">
        <v>80</v>
      </c>
      <c r="F391" t="s">
        <v>134</v>
      </c>
      <c r="G391" t="s">
        <v>134</v>
      </c>
      <c r="H391" t="s">
        <v>134</v>
      </c>
      <c r="I391" t="s">
        <v>134</v>
      </c>
      <c r="J391" t="s">
        <v>134</v>
      </c>
      <c r="K391" t="s">
        <v>134</v>
      </c>
      <c r="L391" t="s">
        <v>134</v>
      </c>
      <c r="M391" t="s">
        <v>134</v>
      </c>
      <c r="N391" t="s">
        <v>134</v>
      </c>
      <c r="O391" t="s">
        <v>134</v>
      </c>
      <c r="P391" t="s">
        <v>134</v>
      </c>
      <c r="Q391" t="s">
        <v>134</v>
      </c>
      <c r="R391" t="s">
        <v>134</v>
      </c>
      <c r="S391" t="s">
        <v>134</v>
      </c>
      <c r="T391" t="s">
        <v>134</v>
      </c>
      <c r="U391" t="s">
        <v>134</v>
      </c>
      <c r="V391" t="s">
        <v>134</v>
      </c>
      <c r="W391" t="s">
        <v>134</v>
      </c>
      <c r="X391" t="s">
        <v>134</v>
      </c>
      <c r="Y391" t="s">
        <v>134</v>
      </c>
      <c r="Z391" t="s">
        <v>134</v>
      </c>
      <c r="AA391" t="s">
        <v>134</v>
      </c>
      <c r="AB391" t="s">
        <v>134</v>
      </c>
      <c r="AC391" t="s">
        <v>134</v>
      </c>
      <c r="AD391" t="s">
        <v>134</v>
      </c>
      <c r="AE391" t="s">
        <v>134</v>
      </c>
      <c r="AF391" t="s">
        <v>134</v>
      </c>
      <c r="AG391" t="s">
        <v>134</v>
      </c>
      <c r="AH391" t="s">
        <v>134</v>
      </c>
      <c r="AI391" t="s">
        <v>134</v>
      </c>
      <c r="AJ391" t="s">
        <v>134</v>
      </c>
      <c r="AK391" t="s">
        <v>134</v>
      </c>
      <c r="AL391" t="s">
        <v>134</v>
      </c>
      <c r="AM391" t="s">
        <v>134</v>
      </c>
      <c r="AN391" t="s">
        <v>134</v>
      </c>
      <c r="AO391" t="s">
        <v>134</v>
      </c>
      <c r="AP391" t="s">
        <v>134</v>
      </c>
      <c r="AQ391" t="s">
        <v>134</v>
      </c>
      <c r="AR391" t="s">
        <v>134</v>
      </c>
      <c r="AS391" t="s">
        <v>134</v>
      </c>
      <c r="AT391" t="s">
        <v>134</v>
      </c>
      <c r="AU391" t="s">
        <v>134</v>
      </c>
      <c r="AV391" t="s">
        <v>134</v>
      </c>
      <c r="AW391" t="s">
        <v>134</v>
      </c>
      <c r="AX391" t="s">
        <v>134</v>
      </c>
      <c r="AY391" t="s">
        <v>134</v>
      </c>
      <c r="AZ391" t="s">
        <v>134</v>
      </c>
      <c r="BA391" t="s">
        <v>134</v>
      </c>
      <c r="BB391" t="s">
        <v>134</v>
      </c>
      <c r="BC391" t="s">
        <v>134</v>
      </c>
      <c r="BD391" t="s">
        <v>134</v>
      </c>
      <c r="BE391" t="s">
        <v>134</v>
      </c>
      <c r="BF391" t="s">
        <v>134</v>
      </c>
      <c r="BG391" t="s">
        <v>134</v>
      </c>
      <c r="BH391" t="s">
        <v>134</v>
      </c>
      <c r="BI391" t="s">
        <v>134</v>
      </c>
      <c r="BJ391" t="s">
        <v>134</v>
      </c>
      <c r="BK391" t="s">
        <v>134</v>
      </c>
      <c r="BL391" t="s">
        <v>134</v>
      </c>
      <c r="BM391" t="s">
        <v>134</v>
      </c>
      <c r="BN391" t="s">
        <v>134</v>
      </c>
      <c r="BO391" t="s">
        <v>134</v>
      </c>
      <c r="BP391" t="s">
        <v>134</v>
      </c>
      <c r="BQ391" t="s">
        <v>134</v>
      </c>
      <c r="BR391" t="s">
        <v>134</v>
      </c>
      <c r="BS391" t="s">
        <v>134</v>
      </c>
      <c r="BT391" t="s">
        <v>134</v>
      </c>
      <c r="BU391" t="s">
        <v>134</v>
      </c>
      <c r="BV391" t="s">
        <v>134</v>
      </c>
      <c r="BW391" t="s">
        <v>134</v>
      </c>
      <c r="BX391" t="s">
        <v>134</v>
      </c>
      <c r="BY391" t="s">
        <v>134</v>
      </c>
      <c r="BZ391" t="s">
        <v>134</v>
      </c>
      <c r="CA391" t="s">
        <v>134</v>
      </c>
      <c r="CB391" t="s">
        <v>134</v>
      </c>
      <c r="CC391" t="s">
        <v>134</v>
      </c>
      <c r="CD391" t="s">
        <v>134</v>
      </c>
      <c r="CE391" t="s">
        <v>134</v>
      </c>
      <c r="CF391" t="s">
        <v>134</v>
      </c>
      <c r="CG391" t="s">
        <v>134</v>
      </c>
      <c r="CH391" t="s">
        <v>134</v>
      </c>
      <c r="CI391" t="s">
        <v>134</v>
      </c>
      <c r="CJ391" t="s">
        <v>134</v>
      </c>
      <c r="CK391" t="s">
        <v>134</v>
      </c>
      <c r="CL391" t="s">
        <v>134</v>
      </c>
      <c r="CM391" t="s">
        <v>134</v>
      </c>
      <c r="CN391" t="s">
        <v>134</v>
      </c>
      <c r="CO391" t="s">
        <v>134</v>
      </c>
      <c r="CP391" t="s">
        <v>134</v>
      </c>
      <c r="CQ391" t="s">
        <v>134</v>
      </c>
      <c r="CR391" t="s">
        <v>134</v>
      </c>
      <c r="CS391" t="s">
        <v>134</v>
      </c>
      <c r="CT391" t="s">
        <v>134</v>
      </c>
      <c r="CU391" t="s">
        <v>134</v>
      </c>
      <c r="CV391" t="s">
        <v>134</v>
      </c>
      <c r="CW391" t="s">
        <v>134</v>
      </c>
      <c r="CX391" t="s">
        <v>134</v>
      </c>
      <c r="CY391" t="s">
        <v>134</v>
      </c>
      <c r="CZ391" t="s">
        <v>134</v>
      </c>
      <c r="DA391" t="s">
        <v>134</v>
      </c>
      <c r="DB391" t="s">
        <v>134</v>
      </c>
      <c r="DC391" t="s">
        <v>134</v>
      </c>
      <c r="DD391" t="s">
        <v>134</v>
      </c>
      <c r="DE391" t="s">
        <v>134</v>
      </c>
      <c r="DF391" t="s">
        <v>134</v>
      </c>
      <c r="DG391" t="s">
        <v>134</v>
      </c>
      <c r="DH391" t="s">
        <v>134</v>
      </c>
      <c r="DI391" t="s">
        <v>134</v>
      </c>
    </row>
    <row r="392" spans="4:113" x14ac:dyDescent="0.3">
      <c r="E392" t="s">
        <v>81</v>
      </c>
      <c r="F392" t="s">
        <v>134</v>
      </c>
      <c r="G392" t="s">
        <v>134</v>
      </c>
      <c r="H392" t="s">
        <v>134</v>
      </c>
      <c r="I392" t="s">
        <v>134</v>
      </c>
      <c r="J392" t="s">
        <v>134</v>
      </c>
      <c r="K392" t="s">
        <v>134</v>
      </c>
      <c r="L392" t="s">
        <v>134</v>
      </c>
      <c r="M392" t="s">
        <v>134</v>
      </c>
      <c r="N392" t="s">
        <v>134</v>
      </c>
      <c r="O392" t="s">
        <v>134</v>
      </c>
      <c r="P392" t="s">
        <v>134</v>
      </c>
      <c r="Q392" t="s">
        <v>134</v>
      </c>
      <c r="R392" t="s">
        <v>134</v>
      </c>
      <c r="S392" t="s">
        <v>134</v>
      </c>
      <c r="T392" t="s">
        <v>134</v>
      </c>
      <c r="U392" t="s">
        <v>134</v>
      </c>
      <c r="V392" t="s">
        <v>134</v>
      </c>
      <c r="W392" t="s">
        <v>134</v>
      </c>
      <c r="X392" t="s">
        <v>134</v>
      </c>
      <c r="Y392" t="s">
        <v>134</v>
      </c>
      <c r="Z392" t="s">
        <v>134</v>
      </c>
      <c r="AA392" t="s">
        <v>134</v>
      </c>
      <c r="AB392" t="s">
        <v>134</v>
      </c>
      <c r="AC392" t="s">
        <v>134</v>
      </c>
      <c r="AD392" t="s">
        <v>134</v>
      </c>
      <c r="AE392" t="s">
        <v>134</v>
      </c>
      <c r="AF392" t="s">
        <v>134</v>
      </c>
      <c r="AG392" t="s">
        <v>134</v>
      </c>
      <c r="AH392" t="s">
        <v>134</v>
      </c>
      <c r="AI392" t="s">
        <v>134</v>
      </c>
      <c r="AJ392" t="s">
        <v>134</v>
      </c>
      <c r="AK392" t="s">
        <v>134</v>
      </c>
      <c r="AL392" t="s">
        <v>134</v>
      </c>
      <c r="AM392" t="s">
        <v>134</v>
      </c>
      <c r="AN392" t="s">
        <v>134</v>
      </c>
      <c r="AO392" t="s">
        <v>134</v>
      </c>
      <c r="AP392" t="s">
        <v>134</v>
      </c>
      <c r="AQ392" t="s">
        <v>134</v>
      </c>
      <c r="AR392" t="s">
        <v>134</v>
      </c>
      <c r="AS392" t="s">
        <v>134</v>
      </c>
      <c r="AT392" t="s">
        <v>134</v>
      </c>
      <c r="AU392" t="s">
        <v>134</v>
      </c>
      <c r="AV392" t="s">
        <v>134</v>
      </c>
      <c r="AW392" t="s">
        <v>134</v>
      </c>
      <c r="AX392" t="s">
        <v>134</v>
      </c>
      <c r="AY392" t="s">
        <v>134</v>
      </c>
      <c r="AZ392" t="s">
        <v>134</v>
      </c>
      <c r="BA392" t="s">
        <v>134</v>
      </c>
      <c r="BB392" t="s">
        <v>134</v>
      </c>
      <c r="BC392" t="s">
        <v>134</v>
      </c>
      <c r="BD392" t="s">
        <v>134</v>
      </c>
      <c r="BE392" t="s">
        <v>134</v>
      </c>
      <c r="BF392" t="s">
        <v>134</v>
      </c>
      <c r="BG392" t="s">
        <v>134</v>
      </c>
      <c r="BH392" t="s">
        <v>134</v>
      </c>
      <c r="BI392" t="s">
        <v>134</v>
      </c>
      <c r="BJ392" t="s">
        <v>134</v>
      </c>
      <c r="BK392" t="s">
        <v>134</v>
      </c>
      <c r="BL392" t="s">
        <v>134</v>
      </c>
      <c r="BM392" t="s">
        <v>134</v>
      </c>
      <c r="BN392" t="s">
        <v>134</v>
      </c>
      <c r="BO392" t="s">
        <v>134</v>
      </c>
      <c r="BP392" t="s">
        <v>134</v>
      </c>
      <c r="BQ392" t="s">
        <v>134</v>
      </c>
      <c r="BR392" t="s">
        <v>134</v>
      </c>
      <c r="BS392" t="s">
        <v>134</v>
      </c>
      <c r="BT392" t="s">
        <v>134</v>
      </c>
      <c r="BU392" t="s">
        <v>134</v>
      </c>
      <c r="BV392" t="s">
        <v>134</v>
      </c>
      <c r="BW392" t="s">
        <v>134</v>
      </c>
      <c r="BX392" t="s">
        <v>134</v>
      </c>
      <c r="BY392" t="s">
        <v>134</v>
      </c>
      <c r="BZ392" t="s">
        <v>134</v>
      </c>
      <c r="CA392" t="s">
        <v>134</v>
      </c>
      <c r="CB392" t="s">
        <v>134</v>
      </c>
      <c r="CC392" t="s">
        <v>134</v>
      </c>
      <c r="CD392" t="s">
        <v>134</v>
      </c>
      <c r="CE392" t="s">
        <v>134</v>
      </c>
      <c r="CF392" t="s">
        <v>134</v>
      </c>
      <c r="CG392" t="s">
        <v>134</v>
      </c>
      <c r="CH392" t="s">
        <v>134</v>
      </c>
      <c r="CI392" t="s">
        <v>134</v>
      </c>
      <c r="CJ392" t="s">
        <v>134</v>
      </c>
      <c r="CK392" t="s">
        <v>134</v>
      </c>
      <c r="CL392" t="s">
        <v>134</v>
      </c>
      <c r="CM392" t="s">
        <v>134</v>
      </c>
      <c r="CN392" t="s">
        <v>134</v>
      </c>
      <c r="CO392" t="s">
        <v>134</v>
      </c>
      <c r="CP392" t="s">
        <v>134</v>
      </c>
      <c r="CQ392" t="s">
        <v>134</v>
      </c>
      <c r="CR392" t="s">
        <v>134</v>
      </c>
      <c r="CS392" t="s">
        <v>134</v>
      </c>
      <c r="CT392" t="s">
        <v>134</v>
      </c>
      <c r="CU392" t="s">
        <v>134</v>
      </c>
      <c r="CV392" t="s">
        <v>134</v>
      </c>
      <c r="CW392" t="s">
        <v>134</v>
      </c>
      <c r="CX392" t="s">
        <v>134</v>
      </c>
      <c r="CY392" t="s">
        <v>134</v>
      </c>
      <c r="CZ392" t="s">
        <v>134</v>
      </c>
      <c r="DA392" t="s">
        <v>134</v>
      </c>
      <c r="DB392" t="s">
        <v>134</v>
      </c>
      <c r="DC392" t="s">
        <v>134</v>
      </c>
      <c r="DD392" t="s">
        <v>134</v>
      </c>
      <c r="DE392" t="s">
        <v>134</v>
      </c>
      <c r="DF392" t="s">
        <v>134</v>
      </c>
      <c r="DG392" t="s">
        <v>134</v>
      </c>
      <c r="DH392" t="s">
        <v>134</v>
      </c>
      <c r="DI392" t="s">
        <v>134</v>
      </c>
    </row>
    <row r="393" spans="4:113" x14ac:dyDescent="0.3">
      <c r="D393" t="s">
        <v>84</v>
      </c>
      <c r="E393" t="s">
        <v>77</v>
      </c>
      <c r="F393">
        <v>17.9435</v>
      </c>
      <c r="G393">
        <v>8.4174000000000007</v>
      </c>
      <c r="H393">
        <v>17.967300000000002</v>
      </c>
      <c r="I393">
        <v>19.2928</v>
      </c>
      <c r="J393">
        <v>20.4832</v>
      </c>
      <c r="K393">
        <v>18.037700000000001</v>
      </c>
      <c r="L393">
        <v>27.966999999999999</v>
      </c>
      <c r="M393">
        <v>23.213699999999999</v>
      </c>
      <c r="N393">
        <v>17.603100000000001</v>
      </c>
      <c r="O393">
        <v>17.605499999999999</v>
      </c>
      <c r="P393">
        <v>17.605499999999999</v>
      </c>
      <c r="Q393">
        <v>24.1693</v>
      </c>
      <c r="R393">
        <v>32.985900000000001</v>
      </c>
      <c r="S393">
        <v>12.024699999999999</v>
      </c>
      <c r="T393">
        <v>17.680900000000001</v>
      </c>
      <c r="U393">
        <v>27.589199999999998</v>
      </c>
      <c r="V393">
        <v>30.369599999999998</v>
      </c>
      <c r="W393">
        <v>13.921900000000001</v>
      </c>
      <c r="X393">
        <v>17.235199999999999</v>
      </c>
      <c r="Y393">
        <v>-86.764700000000005</v>
      </c>
      <c r="Z393">
        <v>17.366099999999999</v>
      </c>
      <c r="AA393">
        <v>17.432200000000002</v>
      </c>
      <c r="AB393">
        <v>37.004800000000003</v>
      </c>
      <c r="AC393">
        <v>-5.4180000000000001</v>
      </c>
      <c r="AD393">
        <v>18.162600000000001</v>
      </c>
      <c r="AE393">
        <v>-27.923100000000002</v>
      </c>
      <c r="AF393">
        <v>12.999700000000001</v>
      </c>
      <c r="AG393">
        <v>-52.1663</v>
      </c>
      <c r="AH393">
        <v>6.5515999999999996</v>
      </c>
      <c r="AI393">
        <v>-16.2302</v>
      </c>
      <c r="AJ393">
        <v>-16.160499999999999</v>
      </c>
      <c r="AK393">
        <v>-10.1035</v>
      </c>
      <c r="AL393">
        <v>-90.0578</v>
      </c>
      <c r="AM393">
        <v>8.3620000000000001</v>
      </c>
      <c r="AN393">
        <v>7.4597999999999995</v>
      </c>
      <c r="AO393">
        <v>7.0305999999999997</v>
      </c>
      <c r="AP393">
        <v>12.4663</v>
      </c>
      <c r="AQ393">
        <v>13.1037</v>
      </c>
      <c r="AR393">
        <v>26.5459</v>
      </c>
      <c r="AS393">
        <v>9.9613999999999994</v>
      </c>
      <c r="AT393">
        <v>12.3057</v>
      </c>
      <c r="AU393">
        <v>22.212599999999998</v>
      </c>
      <c r="AV393">
        <v>3.1880000000000002</v>
      </c>
      <c r="AW393">
        <v>12.799200000000001</v>
      </c>
      <c r="AX393">
        <v>1.2897000000000001</v>
      </c>
      <c r="AY393">
        <v>3.5438000000000001</v>
      </c>
      <c r="AZ393">
        <v>131.44149999999999</v>
      </c>
      <c r="BA393">
        <v>122.7029</v>
      </c>
      <c r="BB393">
        <v>6.0086000000000004</v>
      </c>
      <c r="BC393">
        <v>6.0891999999999999</v>
      </c>
      <c r="BD393">
        <v>7.5159000000000002</v>
      </c>
      <c r="BE393" t="s">
        <v>134</v>
      </c>
      <c r="BF393">
        <v>17.680900000000001</v>
      </c>
      <c r="BG393">
        <v>27.589199999999998</v>
      </c>
      <c r="BH393">
        <v>30.369599999999998</v>
      </c>
      <c r="BI393">
        <v>13.921900000000001</v>
      </c>
      <c r="BJ393">
        <v>17.235199999999999</v>
      </c>
      <c r="BK393">
        <v>-86.764700000000005</v>
      </c>
      <c r="BL393">
        <v>17.366099999999999</v>
      </c>
      <c r="BM393">
        <v>17.432200000000002</v>
      </c>
      <c r="BN393">
        <v>37.004800000000003</v>
      </c>
      <c r="BO393">
        <v>-5.4180000000000001</v>
      </c>
      <c r="BP393">
        <v>18.162600000000001</v>
      </c>
      <c r="BQ393">
        <v>-27.923100000000002</v>
      </c>
      <c r="BR393">
        <v>12.999700000000001</v>
      </c>
      <c r="BS393">
        <v>-52.1663</v>
      </c>
      <c r="BT393">
        <v>6.5515999999999996</v>
      </c>
      <c r="BU393">
        <v>-16.2302</v>
      </c>
      <c r="BV393">
        <v>-16.160499999999999</v>
      </c>
      <c r="BW393">
        <v>-10.1035</v>
      </c>
      <c r="BX393">
        <v>-90.0578</v>
      </c>
      <c r="BY393">
        <v>302.5</v>
      </c>
      <c r="BZ393">
        <v>135.80000000000001</v>
      </c>
      <c r="CA393">
        <v>166.7</v>
      </c>
      <c r="CB393">
        <v>1.7100000000000001E-2</v>
      </c>
      <c r="CC393">
        <v>-2.1057999999999999</v>
      </c>
      <c r="CD393">
        <v>1.9400000000000001E-2</v>
      </c>
      <c r="CE393">
        <v>-2.3913000000000002</v>
      </c>
      <c r="CF393">
        <v>146.73920000000001</v>
      </c>
      <c r="CG393">
        <v>43.962499999999999</v>
      </c>
      <c r="CH393">
        <v>0.21510000000000001</v>
      </c>
      <c r="CI393">
        <v>0.21429999999999999</v>
      </c>
      <c r="CJ393">
        <v>9.4700000000000006E-2</v>
      </c>
      <c r="CK393">
        <v>0.39029999999999998</v>
      </c>
      <c r="CL393">
        <v>0.38879999999999998</v>
      </c>
      <c r="CM393">
        <v>0.1719</v>
      </c>
      <c r="CN393">
        <v>-48.167200000000001</v>
      </c>
      <c r="CO393">
        <v>-92.927899999999994</v>
      </c>
      <c r="CP393">
        <v>17726.099999999999</v>
      </c>
      <c r="CQ393">
        <v>9786.2000000000007</v>
      </c>
      <c r="CR393">
        <v>15609.8</v>
      </c>
      <c r="CS393">
        <v>0.43009999999999998</v>
      </c>
      <c r="CT393">
        <v>1.6080999999999999</v>
      </c>
      <c r="CU393">
        <v>0.9294</v>
      </c>
      <c r="CV393">
        <v>3.7072000000000003</v>
      </c>
      <c r="CW393">
        <v>2.1394000000000002</v>
      </c>
      <c r="CX393">
        <v>170.61009999999999</v>
      </c>
      <c r="CY393">
        <v>1.0645</v>
      </c>
      <c r="CZ393">
        <v>342.89449999999999</v>
      </c>
      <c r="DA393">
        <v>4.4718999999999998</v>
      </c>
      <c r="DB393">
        <v>81.620599999999996</v>
      </c>
      <c r="DC393">
        <v>431.88389999999998</v>
      </c>
      <c r="DD393">
        <v>513.50450000000001</v>
      </c>
      <c r="DE393">
        <v>48816.7</v>
      </c>
      <c r="DF393">
        <v>26654</v>
      </c>
      <c r="DG393">
        <v>16967.2</v>
      </c>
      <c r="DH393">
        <v>3811.7</v>
      </c>
      <c r="DI393">
        <v>1383.8</v>
      </c>
    </row>
    <row r="394" spans="4:113" x14ac:dyDescent="0.3">
      <c r="E394" t="s">
        <v>78</v>
      </c>
      <c r="F394" t="s">
        <v>134</v>
      </c>
      <c r="G394" t="s">
        <v>134</v>
      </c>
      <c r="H394" t="s">
        <v>134</v>
      </c>
      <c r="I394" t="s">
        <v>134</v>
      </c>
      <c r="J394" t="s">
        <v>134</v>
      </c>
      <c r="K394" t="s">
        <v>134</v>
      </c>
      <c r="L394" t="s">
        <v>134</v>
      </c>
      <c r="M394" t="s">
        <v>134</v>
      </c>
      <c r="N394" t="s">
        <v>134</v>
      </c>
      <c r="O394" t="s">
        <v>134</v>
      </c>
      <c r="P394" t="s">
        <v>134</v>
      </c>
      <c r="Q394" t="s">
        <v>134</v>
      </c>
      <c r="R394" t="s">
        <v>134</v>
      </c>
      <c r="S394" t="s">
        <v>134</v>
      </c>
      <c r="T394" t="s">
        <v>134</v>
      </c>
      <c r="U394" t="s">
        <v>134</v>
      </c>
      <c r="V394" t="s">
        <v>134</v>
      </c>
      <c r="W394" t="s">
        <v>134</v>
      </c>
      <c r="X394" t="s">
        <v>134</v>
      </c>
      <c r="Y394" t="s">
        <v>134</v>
      </c>
      <c r="Z394" t="s">
        <v>134</v>
      </c>
      <c r="AA394" t="s">
        <v>134</v>
      </c>
      <c r="AB394" t="s">
        <v>134</v>
      </c>
      <c r="AC394" t="s">
        <v>134</v>
      </c>
      <c r="AD394" t="s">
        <v>134</v>
      </c>
      <c r="AE394" t="s">
        <v>134</v>
      </c>
      <c r="AF394" t="s">
        <v>134</v>
      </c>
      <c r="AG394" t="s">
        <v>134</v>
      </c>
      <c r="AH394" t="s">
        <v>134</v>
      </c>
      <c r="AI394" t="s">
        <v>134</v>
      </c>
      <c r="AJ394" t="s">
        <v>134</v>
      </c>
      <c r="AK394" t="s">
        <v>134</v>
      </c>
      <c r="AL394" t="s">
        <v>134</v>
      </c>
      <c r="AM394" t="s">
        <v>134</v>
      </c>
      <c r="AN394" t="s">
        <v>134</v>
      </c>
      <c r="AO394" t="s">
        <v>134</v>
      </c>
      <c r="AP394" t="s">
        <v>134</v>
      </c>
      <c r="AQ394" t="s">
        <v>134</v>
      </c>
      <c r="AR394" t="s">
        <v>134</v>
      </c>
      <c r="AS394" t="s">
        <v>134</v>
      </c>
      <c r="AT394" t="s">
        <v>134</v>
      </c>
      <c r="AU394" t="s">
        <v>134</v>
      </c>
      <c r="AV394" t="s">
        <v>134</v>
      </c>
      <c r="AW394" t="s">
        <v>134</v>
      </c>
      <c r="AX394" t="s">
        <v>134</v>
      </c>
      <c r="AY394" t="s">
        <v>134</v>
      </c>
      <c r="AZ394" t="s">
        <v>134</v>
      </c>
      <c r="BA394" t="s">
        <v>134</v>
      </c>
      <c r="BB394" t="s">
        <v>134</v>
      </c>
      <c r="BC394" t="s">
        <v>134</v>
      </c>
      <c r="BD394" t="s">
        <v>134</v>
      </c>
      <c r="BE394" t="s">
        <v>134</v>
      </c>
      <c r="BF394" t="s">
        <v>134</v>
      </c>
      <c r="BG394" t="s">
        <v>134</v>
      </c>
      <c r="BH394" t="s">
        <v>134</v>
      </c>
      <c r="BI394" t="s">
        <v>134</v>
      </c>
      <c r="BJ394" t="s">
        <v>134</v>
      </c>
      <c r="BK394" t="s">
        <v>134</v>
      </c>
      <c r="BL394" t="s">
        <v>134</v>
      </c>
      <c r="BM394" t="s">
        <v>134</v>
      </c>
      <c r="BN394" t="s">
        <v>134</v>
      </c>
      <c r="BO394" t="s">
        <v>134</v>
      </c>
      <c r="BP394" t="s">
        <v>134</v>
      </c>
      <c r="BQ394" t="s">
        <v>134</v>
      </c>
      <c r="BR394" t="s">
        <v>134</v>
      </c>
      <c r="BS394" t="s">
        <v>134</v>
      </c>
      <c r="BT394" t="s">
        <v>134</v>
      </c>
      <c r="BU394" t="s">
        <v>134</v>
      </c>
      <c r="BV394" t="s">
        <v>134</v>
      </c>
      <c r="BW394" t="s">
        <v>134</v>
      </c>
      <c r="BX394" t="s">
        <v>134</v>
      </c>
      <c r="BY394" t="s">
        <v>134</v>
      </c>
      <c r="BZ394" t="s">
        <v>134</v>
      </c>
      <c r="CA394" t="s">
        <v>134</v>
      </c>
      <c r="CB394" t="s">
        <v>134</v>
      </c>
      <c r="CC394" t="s">
        <v>134</v>
      </c>
      <c r="CD394" t="s">
        <v>134</v>
      </c>
      <c r="CE394" t="s">
        <v>134</v>
      </c>
      <c r="CF394" t="s">
        <v>134</v>
      </c>
      <c r="CG394" t="s">
        <v>134</v>
      </c>
      <c r="CH394" t="s">
        <v>134</v>
      </c>
      <c r="CI394" t="s">
        <v>134</v>
      </c>
      <c r="CJ394" t="s">
        <v>134</v>
      </c>
      <c r="CK394" t="s">
        <v>134</v>
      </c>
      <c r="CL394" t="s">
        <v>134</v>
      </c>
      <c r="CM394" t="s">
        <v>134</v>
      </c>
      <c r="CN394" t="s">
        <v>134</v>
      </c>
      <c r="CO394" t="s">
        <v>134</v>
      </c>
      <c r="CP394" t="s">
        <v>134</v>
      </c>
      <c r="CQ394" t="s">
        <v>134</v>
      </c>
      <c r="CR394" t="s">
        <v>134</v>
      </c>
      <c r="CS394" t="s">
        <v>134</v>
      </c>
      <c r="CT394" t="s">
        <v>134</v>
      </c>
      <c r="CU394" t="s">
        <v>134</v>
      </c>
      <c r="CV394" t="s">
        <v>134</v>
      </c>
      <c r="CW394" t="s">
        <v>134</v>
      </c>
      <c r="CX394" t="s">
        <v>134</v>
      </c>
      <c r="CY394" t="s">
        <v>134</v>
      </c>
      <c r="CZ394" t="s">
        <v>134</v>
      </c>
      <c r="DA394" t="s">
        <v>134</v>
      </c>
      <c r="DB394" t="s">
        <v>134</v>
      </c>
      <c r="DC394" t="s">
        <v>134</v>
      </c>
      <c r="DD394" t="s">
        <v>134</v>
      </c>
      <c r="DE394" t="s">
        <v>134</v>
      </c>
      <c r="DF394" t="s">
        <v>134</v>
      </c>
      <c r="DG394" t="s">
        <v>134</v>
      </c>
      <c r="DH394" t="s">
        <v>134</v>
      </c>
      <c r="DI394" t="s">
        <v>134</v>
      </c>
    </row>
    <row r="395" spans="4:113" x14ac:dyDescent="0.3">
      <c r="E395" t="s">
        <v>79</v>
      </c>
      <c r="F395" t="s">
        <v>134</v>
      </c>
      <c r="G395" t="s">
        <v>134</v>
      </c>
      <c r="H395" t="s">
        <v>134</v>
      </c>
      <c r="I395" t="s">
        <v>134</v>
      </c>
      <c r="J395" t="s">
        <v>134</v>
      </c>
      <c r="K395" t="s">
        <v>134</v>
      </c>
      <c r="L395" t="s">
        <v>134</v>
      </c>
      <c r="M395" t="s">
        <v>134</v>
      </c>
      <c r="N395" t="s">
        <v>134</v>
      </c>
      <c r="O395" t="s">
        <v>134</v>
      </c>
      <c r="P395" t="s">
        <v>134</v>
      </c>
      <c r="Q395" t="s">
        <v>134</v>
      </c>
      <c r="R395" t="s">
        <v>134</v>
      </c>
      <c r="S395" t="s">
        <v>134</v>
      </c>
      <c r="T395" t="s">
        <v>134</v>
      </c>
      <c r="U395" t="s">
        <v>134</v>
      </c>
      <c r="V395" t="s">
        <v>134</v>
      </c>
      <c r="W395" t="s">
        <v>134</v>
      </c>
      <c r="X395" t="s">
        <v>134</v>
      </c>
      <c r="Y395" t="s">
        <v>134</v>
      </c>
      <c r="Z395" t="s">
        <v>134</v>
      </c>
      <c r="AA395" t="s">
        <v>134</v>
      </c>
      <c r="AB395" t="s">
        <v>134</v>
      </c>
      <c r="AC395" t="s">
        <v>134</v>
      </c>
      <c r="AD395" t="s">
        <v>134</v>
      </c>
      <c r="AE395" t="s">
        <v>134</v>
      </c>
      <c r="AF395" t="s">
        <v>134</v>
      </c>
      <c r="AG395" t="s">
        <v>134</v>
      </c>
      <c r="AH395" t="s">
        <v>134</v>
      </c>
      <c r="AI395" t="s">
        <v>134</v>
      </c>
      <c r="AJ395" t="s">
        <v>134</v>
      </c>
      <c r="AK395" t="s">
        <v>134</v>
      </c>
      <c r="AL395" t="s">
        <v>134</v>
      </c>
      <c r="AM395" t="s">
        <v>134</v>
      </c>
      <c r="AN395" t="s">
        <v>134</v>
      </c>
      <c r="AO395" t="s">
        <v>134</v>
      </c>
      <c r="AP395" t="s">
        <v>134</v>
      </c>
      <c r="AQ395" t="s">
        <v>134</v>
      </c>
      <c r="AR395" t="s">
        <v>134</v>
      </c>
      <c r="AS395" t="s">
        <v>134</v>
      </c>
      <c r="AT395" t="s">
        <v>134</v>
      </c>
      <c r="AU395" t="s">
        <v>134</v>
      </c>
      <c r="AV395" t="s">
        <v>134</v>
      </c>
      <c r="AW395" t="s">
        <v>134</v>
      </c>
      <c r="AX395" t="s">
        <v>134</v>
      </c>
      <c r="AY395" t="s">
        <v>134</v>
      </c>
      <c r="AZ395" t="s">
        <v>134</v>
      </c>
      <c r="BA395" t="s">
        <v>134</v>
      </c>
      <c r="BB395" t="s">
        <v>134</v>
      </c>
      <c r="BC395" t="s">
        <v>134</v>
      </c>
      <c r="BD395" t="s">
        <v>134</v>
      </c>
      <c r="BE395" t="s">
        <v>134</v>
      </c>
      <c r="BF395" t="s">
        <v>134</v>
      </c>
      <c r="BG395" t="s">
        <v>134</v>
      </c>
      <c r="BH395" t="s">
        <v>134</v>
      </c>
      <c r="BI395" t="s">
        <v>134</v>
      </c>
      <c r="BJ395" t="s">
        <v>134</v>
      </c>
      <c r="BK395" t="s">
        <v>134</v>
      </c>
      <c r="BL395" t="s">
        <v>134</v>
      </c>
      <c r="BM395" t="s">
        <v>134</v>
      </c>
      <c r="BN395" t="s">
        <v>134</v>
      </c>
      <c r="BO395" t="s">
        <v>134</v>
      </c>
      <c r="BP395" t="s">
        <v>134</v>
      </c>
      <c r="BQ395" t="s">
        <v>134</v>
      </c>
      <c r="BR395" t="s">
        <v>134</v>
      </c>
      <c r="BS395" t="s">
        <v>134</v>
      </c>
      <c r="BT395" t="s">
        <v>134</v>
      </c>
      <c r="BU395" t="s">
        <v>134</v>
      </c>
      <c r="BV395" t="s">
        <v>134</v>
      </c>
      <c r="BW395" t="s">
        <v>134</v>
      </c>
      <c r="BX395" t="s">
        <v>134</v>
      </c>
      <c r="BY395" t="s">
        <v>134</v>
      </c>
      <c r="BZ395" t="s">
        <v>134</v>
      </c>
      <c r="CA395" t="s">
        <v>134</v>
      </c>
      <c r="CB395" t="s">
        <v>134</v>
      </c>
      <c r="CC395" t="s">
        <v>134</v>
      </c>
      <c r="CD395" t="s">
        <v>134</v>
      </c>
      <c r="CE395" t="s">
        <v>134</v>
      </c>
      <c r="CF395" t="s">
        <v>134</v>
      </c>
      <c r="CG395" t="s">
        <v>134</v>
      </c>
      <c r="CH395" t="s">
        <v>134</v>
      </c>
      <c r="CI395" t="s">
        <v>134</v>
      </c>
      <c r="CJ395" t="s">
        <v>134</v>
      </c>
      <c r="CK395" t="s">
        <v>134</v>
      </c>
      <c r="CL395" t="s">
        <v>134</v>
      </c>
      <c r="CM395" t="s">
        <v>134</v>
      </c>
      <c r="CN395" t="s">
        <v>134</v>
      </c>
      <c r="CO395" t="s">
        <v>134</v>
      </c>
      <c r="CP395" t="s">
        <v>134</v>
      </c>
      <c r="CQ395" t="s">
        <v>134</v>
      </c>
      <c r="CR395" t="s">
        <v>134</v>
      </c>
      <c r="CS395" t="s">
        <v>134</v>
      </c>
      <c r="CT395" t="s">
        <v>134</v>
      </c>
      <c r="CU395" t="s">
        <v>134</v>
      </c>
      <c r="CV395" t="s">
        <v>134</v>
      </c>
      <c r="CW395" t="s">
        <v>134</v>
      </c>
      <c r="CX395" t="s">
        <v>134</v>
      </c>
      <c r="CY395" t="s">
        <v>134</v>
      </c>
      <c r="CZ395" t="s">
        <v>134</v>
      </c>
      <c r="DA395" t="s">
        <v>134</v>
      </c>
      <c r="DB395" t="s">
        <v>134</v>
      </c>
      <c r="DC395" t="s">
        <v>134</v>
      </c>
      <c r="DD395" t="s">
        <v>134</v>
      </c>
      <c r="DE395" t="s">
        <v>134</v>
      </c>
      <c r="DF395" t="s">
        <v>134</v>
      </c>
      <c r="DG395" t="s">
        <v>134</v>
      </c>
      <c r="DH395" t="s">
        <v>134</v>
      </c>
      <c r="DI395" t="s">
        <v>134</v>
      </c>
    </row>
    <row r="396" spans="4:113" x14ac:dyDescent="0.3">
      <c r="E396" t="s">
        <v>80</v>
      </c>
      <c r="F396" t="s">
        <v>134</v>
      </c>
      <c r="G396" t="s">
        <v>134</v>
      </c>
      <c r="H396" t="s">
        <v>134</v>
      </c>
      <c r="I396" t="s">
        <v>134</v>
      </c>
      <c r="J396" t="s">
        <v>134</v>
      </c>
      <c r="K396" t="s">
        <v>134</v>
      </c>
      <c r="L396" t="s">
        <v>134</v>
      </c>
      <c r="M396" t="s">
        <v>134</v>
      </c>
      <c r="N396" t="s">
        <v>134</v>
      </c>
      <c r="O396" t="s">
        <v>134</v>
      </c>
      <c r="P396" t="s">
        <v>134</v>
      </c>
      <c r="Q396" t="s">
        <v>134</v>
      </c>
      <c r="R396" t="s">
        <v>134</v>
      </c>
      <c r="S396" t="s">
        <v>134</v>
      </c>
      <c r="T396" t="s">
        <v>134</v>
      </c>
      <c r="U396" t="s">
        <v>134</v>
      </c>
      <c r="V396" t="s">
        <v>134</v>
      </c>
      <c r="W396" t="s">
        <v>134</v>
      </c>
      <c r="X396" t="s">
        <v>134</v>
      </c>
      <c r="Y396" t="s">
        <v>134</v>
      </c>
      <c r="Z396" t="s">
        <v>134</v>
      </c>
      <c r="AA396" t="s">
        <v>134</v>
      </c>
      <c r="AB396" t="s">
        <v>134</v>
      </c>
      <c r="AC396" t="s">
        <v>134</v>
      </c>
      <c r="AD396" t="s">
        <v>134</v>
      </c>
      <c r="AE396" t="s">
        <v>134</v>
      </c>
      <c r="AF396" t="s">
        <v>134</v>
      </c>
      <c r="AG396" t="s">
        <v>134</v>
      </c>
      <c r="AH396" t="s">
        <v>134</v>
      </c>
      <c r="AI396" t="s">
        <v>134</v>
      </c>
      <c r="AJ396" t="s">
        <v>134</v>
      </c>
      <c r="AK396" t="s">
        <v>134</v>
      </c>
      <c r="AL396" t="s">
        <v>134</v>
      </c>
      <c r="AM396" t="s">
        <v>134</v>
      </c>
      <c r="AN396" t="s">
        <v>134</v>
      </c>
      <c r="AO396" t="s">
        <v>134</v>
      </c>
      <c r="AP396" t="s">
        <v>134</v>
      </c>
      <c r="AQ396" t="s">
        <v>134</v>
      </c>
      <c r="AR396" t="s">
        <v>134</v>
      </c>
      <c r="AS396" t="s">
        <v>134</v>
      </c>
      <c r="AT396" t="s">
        <v>134</v>
      </c>
      <c r="AU396" t="s">
        <v>134</v>
      </c>
      <c r="AV396" t="s">
        <v>134</v>
      </c>
      <c r="AW396" t="s">
        <v>134</v>
      </c>
      <c r="AX396" t="s">
        <v>134</v>
      </c>
      <c r="AY396" t="s">
        <v>134</v>
      </c>
      <c r="AZ396" t="s">
        <v>134</v>
      </c>
      <c r="BA396" t="s">
        <v>134</v>
      </c>
      <c r="BB396" t="s">
        <v>134</v>
      </c>
      <c r="BC396" t="s">
        <v>134</v>
      </c>
      <c r="BD396" t="s">
        <v>134</v>
      </c>
      <c r="BE396" t="s">
        <v>134</v>
      </c>
      <c r="BF396" t="s">
        <v>134</v>
      </c>
      <c r="BG396" t="s">
        <v>134</v>
      </c>
      <c r="BH396" t="s">
        <v>134</v>
      </c>
      <c r="BI396" t="s">
        <v>134</v>
      </c>
      <c r="BJ396" t="s">
        <v>134</v>
      </c>
      <c r="BK396" t="s">
        <v>134</v>
      </c>
      <c r="BL396" t="s">
        <v>134</v>
      </c>
      <c r="BM396" t="s">
        <v>134</v>
      </c>
      <c r="BN396" t="s">
        <v>134</v>
      </c>
      <c r="BO396" t="s">
        <v>134</v>
      </c>
      <c r="BP396" t="s">
        <v>134</v>
      </c>
      <c r="BQ396" t="s">
        <v>134</v>
      </c>
      <c r="BR396" t="s">
        <v>134</v>
      </c>
      <c r="BS396" t="s">
        <v>134</v>
      </c>
      <c r="BT396" t="s">
        <v>134</v>
      </c>
      <c r="BU396" t="s">
        <v>134</v>
      </c>
      <c r="BV396" t="s">
        <v>134</v>
      </c>
      <c r="BW396" t="s">
        <v>134</v>
      </c>
      <c r="BX396" t="s">
        <v>134</v>
      </c>
      <c r="BY396" t="s">
        <v>134</v>
      </c>
      <c r="BZ396" t="s">
        <v>134</v>
      </c>
      <c r="CA396" t="s">
        <v>134</v>
      </c>
      <c r="CB396" t="s">
        <v>134</v>
      </c>
      <c r="CC396" t="s">
        <v>134</v>
      </c>
      <c r="CD396" t="s">
        <v>134</v>
      </c>
      <c r="CE396" t="s">
        <v>134</v>
      </c>
      <c r="CF396" t="s">
        <v>134</v>
      </c>
      <c r="CG396" t="s">
        <v>134</v>
      </c>
      <c r="CH396" t="s">
        <v>134</v>
      </c>
      <c r="CI396" t="s">
        <v>134</v>
      </c>
      <c r="CJ396" t="s">
        <v>134</v>
      </c>
      <c r="CK396" t="s">
        <v>134</v>
      </c>
      <c r="CL396" t="s">
        <v>134</v>
      </c>
      <c r="CM396" t="s">
        <v>134</v>
      </c>
      <c r="CN396" t="s">
        <v>134</v>
      </c>
      <c r="CO396" t="s">
        <v>134</v>
      </c>
      <c r="CP396" t="s">
        <v>134</v>
      </c>
      <c r="CQ396" t="s">
        <v>134</v>
      </c>
      <c r="CR396" t="s">
        <v>134</v>
      </c>
      <c r="CS396" t="s">
        <v>134</v>
      </c>
      <c r="CT396" t="s">
        <v>134</v>
      </c>
      <c r="CU396" t="s">
        <v>134</v>
      </c>
      <c r="CV396" t="s">
        <v>134</v>
      </c>
      <c r="CW396" t="s">
        <v>134</v>
      </c>
      <c r="CX396" t="s">
        <v>134</v>
      </c>
      <c r="CY396" t="s">
        <v>134</v>
      </c>
      <c r="CZ396" t="s">
        <v>134</v>
      </c>
      <c r="DA396" t="s">
        <v>134</v>
      </c>
      <c r="DB396" t="s">
        <v>134</v>
      </c>
      <c r="DC396" t="s">
        <v>134</v>
      </c>
      <c r="DD396" t="s">
        <v>134</v>
      </c>
      <c r="DE396" t="s">
        <v>134</v>
      </c>
      <c r="DF396" t="s">
        <v>134</v>
      </c>
      <c r="DG396" t="s">
        <v>134</v>
      </c>
      <c r="DH396" t="s">
        <v>134</v>
      </c>
      <c r="DI396" t="s">
        <v>134</v>
      </c>
    </row>
    <row r="397" spans="4:113" x14ac:dyDescent="0.3">
      <c r="E397" t="s">
        <v>81</v>
      </c>
      <c r="F397" t="s">
        <v>134</v>
      </c>
      <c r="G397" t="s">
        <v>134</v>
      </c>
      <c r="H397" t="s">
        <v>134</v>
      </c>
      <c r="I397" t="s">
        <v>134</v>
      </c>
      <c r="J397" t="s">
        <v>134</v>
      </c>
      <c r="K397" t="s">
        <v>134</v>
      </c>
      <c r="L397" t="s">
        <v>134</v>
      </c>
      <c r="M397" t="s">
        <v>134</v>
      </c>
      <c r="N397" t="s">
        <v>134</v>
      </c>
      <c r="O397" t="s">
        <v>134</v>
      </c>
      <c r="P397" t="s">
        <v>134</v>
      </c>
      <c r="Q397" t="s">
        <v>134</v>
      </c>
      <c r="R397" t="s">
        <v>134</v>
      </c>
      <c r="S397" t="s">
        <v>134</v>
      </c>
      <c r="T397" t="s">
        <v>134</v>
      </c>
      <c r="U397" t="s">
        <v>134</v>
      </c>
      <c r="V397" t="s">
        <v>134</v>
      </c>
      <c r="W397" t="s">
        <v>134</v>
      </c>
      <c r="X397" t="s">
        <v>134</v>
      </c>
      <c r="Y397" t="s">
        <v>134</v>
      </c>
      <c r="Z397" t="s">
        <v>134</v>
      </c>
      <c r="AA397" t="s">
        <v>134</v>
      </c>
      <c r="AB397" t="s">
        <v>134</v>
      </c>
      <c r="AC397" t="s">
        <v>134</v>
      </c>
      <c r="AD397" t="s">
        <v>134</v>
      </c>
      <c r="AE397" t="s">
        <v>134</v>
      </c>
      <c r="AF397" t="s">
        <v>134</v>
      </c>
      <c r="AG397" t="s">
        <v>134</v>
      </c>
      <c r="AH397" t="s">
        <v>134</v>
      </c>
      <c r="AI397" t="s">
        <v>134</v>
      </c>
      <c r="AJ397" t="s">
        <v>134</v>
      </c>
      <c r="AK397" t="s">
        <v>134</v>
      </c>
      <c r="AL397" t="s">
        <v>134</v>
      </c>
      <c r="AM397" t="s">
        <v>134</v>
      </c>
      <c r="AN397" t="s">
        <v>134</v>
      </c>
      <c r="AO397" t="s">
        <v>134</v>
      </c>
      <c r="AP397" t="s">
        <v>134</v>
      </c>
      <c r="AQ397" t="s">
        <v>134</v>
      </c>
      <c r="AR397" t="s">
        <v>134</v>
      </c>
      <c r="AS397" t="s">
        <v>134</v>
      </c>
      <c r="AT397" t="s">
        <v>134</v>
      </c>
      <c r="AU397" t="s">
        <v>134</v>
      </c>
      <c r="AV397" t="s">
        <v>134</v>
      </c>
      <c r="AW397" t="s">
        <v>134</v>
      </c>
      <c r="AX397" t="s">
        <v>134</v>
      </c>
      <c r="AY397" t="s">
        <v>134</v>
      </c>
      <c r="AZ397" t="s">
        <v>134</v>
      </c>
      <c r="BA397" t="s">
        <v>134</v>
      </c>
      <c r="BB397" t="s">
        <v>134</v>
      </c>
      <c r="BC397" t="s">
        <v>134</v>
      </c>
      <c r="BD397" t="s">
        <v>134</v>
      </c>
      <c r="BE397" t="s">
        <v>134</v>
      </c>
      <c r="BF397" t="s">
        <v>134</v>
      </c>
      <c r="BG397" t="s">
        <v>134</v>
      </c>
      <c r="BH397" t="s">
        <v>134</v>
      </c>
      <c r="BI397" t="s">
        <v>134</v>
      </c>
      <c r="BJ397" t="s">
        <v>134</v>
      </c>
      <c r="BK397" t="s">
        <v>134</v>
      </c>
      <c r="BL397" t="s">
        <v>134</v>
      </c>
      <c r="BM397" t="s">
        <v>134</v>
      </c>
      <c r="BN397" t="s">
        <v>134</v>
      </c>
      <c r="BO397" t="s">
        <v>134</v>
      </c>
      <c r="BP397" t="s">
        <v>134</v>
      </c>
      <c r="BQ397" t="s">
        <v>134</v>
      </c>
      <c r="BR397" t="s">
        <v>134</v>
      </c>
      <c r="BS397" t="s">
        <v>134</v>
      </c>
      <c r="BT397" t="s">
        <v>134</v>
      </c>
      <c r="BU397" t="s">
        <v>134</v>
      </c>
      <c r="BV397" t="s">
        <v>134</v>
      </c>
      <c r="BW397" t="s">
        <v>134</v>
      </c>
      <c r="BX397" t="s">
        <v>134</v>
      </c>
      <c r="BY397" t="s">
        <v>134</v>
      </c>
      <c r="BZ397" t="s">
        <v>134</v>
      </c>
      <c r="CA397" t="s">
        <v>134</v>
      </c>
      <c r="CB397" t="s">
        <v>134</v>
      </c>
      <c r="CC397" t="s">
        <v>134</v>
      </c>
      <c r="CD397" t="s">
        <v>134</v>
      </c>
      <c r="CE397" t="s">
        <v>134</v>
      </c>
      <c r="CF397" t="s">
        <v>134</v>
      </c>
      <c r="CG397" t="s">
        <v>134</v>
      </c>
      <c r="CH397" t="s">
        <v>134</v>
      </c>
      <c r="CI397" t="s">
        <v>134</v>
      </c>
      <c r="CJ397" t="s">
        <v>134</v>
      </c>
      <c r="CK397" t="s">
        <v>134</v>
      </c>
      <c r="CL397" t="s">
        <v>134</v>
      </c>
      <c r="CM397" t="s">
        <v>134</v>
      </c>
      <c r="CN397" t="s">
        <v>134</v>
      </c>
      <c r="CO397" t="s">
        <v>134</v>
      </c>
      <c r="CP397" t="s">
        <v>134</v>
      </c>
      <c r="CQ397" t="s">
        <v>134</v>
      </c>
      <c r="CR397" t="s">
        <v>134</v>
      </c>
      <c r="CS397" t="s">
        <v>134</v>
      </c>
      <c r="CT397" t="s">
        <v>134</v>
      </c>
      <c r="CU397" t="s">
        <v>134</v>
      </c>
      <c r="CV397" t="s">
        <v>134</v>
      </c>
      <c r="CW397" t="s">
        <v>134</v>
      </c>
      <c r="CX397" t="s">
        <v>134</v>
      </c>
      <c r="CY397" t="s">
        <v>134</v>
      </c>
      <c r="CZ397" t="s">
        <v>134</v>
      </c>
      <c r="DA397" t="s">
        <v>134</v>
      </c>
      <c r="DB397" t="s">
        <v>134</v>
      </c>
      <c r="DC397" t="s">
        <v>134</v>
      </c>
      <c r="DD397" t="s">
        <v>134</v>
      </c>
      <c r="DE397" t="s">
        <v>134</v>
      </c>
      <c r="DF397" t="s">
        <v>134</v>
      </c>
      <c r="DG397" t="s">
        <v>134</v>
      </c>
      <c r="DH397" t="s">
        <v>134</v>
      </c>
      <c r="DI397" t="s">
        <v>134</v>
      </c>
    </row>
    <row r="398" spans="4:113" x14ac:dyDescent="0.3">
      <c r="D398" t="s">
        <v>85</v>
      </c>
      <c r="E398" t="s">
        <v>77</v>
      </c>
      <c r="F398">
        <v>18.178899999999999</v>
      </c>
      <c r="G398">
        <v>7.8347999999999995</v>
      </c>
      <c r="H398">
        <v>18.066299999999998</v>
      </c>
      <c r="I398">
        <v>18.572400000000002</v>
      </c>
      <c r="J398">
        <v>19.567799999999998</v>
      </c>
      <c r="K398">
        <v>16.955300000000001</v>
      </c>
      <c r="L398">
        <v>10.860300000000001</v>
      </c>
      <c r="M398">
        <v>18.816099999999999</v>
      </c>
      <c r="N398">
        <v>13.758800000000001</v>
      </c>
      <c r="O398">
        <v>13.765499999999999</v>
      </c>
      <c r="P398">
        <v>13.765499999999999</v>
      </c>
      <c r="Q398">
        <v>28.092600000000001</v>
      </c>
      <c r="R398">
        <v>34.037300000000002</v>
      </c>
      <c r="S398">
        <v>11.991300000000001</v>
      </c>
      <c r="T398">
        <v>19.9861</v>
      </c>
      <c r="U398">
        <v>13.8917</v>
      </c>
      <c r="V398">
        <v>11.9435</v>
      </c>
      <c r="W398">
        <v>-6.0292000000000003</v>
      </c>
      <c r="X398">
        <v>7.9630000000000001</v>
      </c>
      <c r="Y398">
        <v>-55.555599999999998</v>
      </c>
      <c r="Z398">
        <v>30.329000000000001</v>
      </c>
      <c r="AA398">
        <v>-5.4470999999999998</v>
      </c>
      <c r="AB398">
        <v>21.537800000000001</v>
      </c>
      <c r="AC398">
        <v>7.7016999999999998</v>
      </c>
      <c r="AD398">
        <v>12.4267</v>
      </c>
      <c r="AE398">
        <v>-16.004799999999999</v>
      </c>
      <c r="AF398">
        <v>5.4495000000000005</v>
      </c>
      <c r="AG398">
        <v>0.88370000000000004</v>
      </c>
      <c r="AH398">
        <v>55.4711</v>
      </c>
      <c r="AI398">
        <v>3.6031</v>
      </c>
      <c r="AJ398">
        <v>3.8048000000000002</v>
      </c>
      <c r="AK398">
        <v>4.4858000000000002</v>
      </c>
      <c r="AL398" t="s">
        <v>134</v>
      </c>
      <c r="AM398">
        <v>11.077500000000001</v>
      </c>
      <c r="AN398">
        <v>26.0124</v>
      </c>
      <c r="AO398">
        <v>28.463799999999999</v>
      </c>
      <c r="AP398">
        <v>9.4685000000000006</v>
      </c>
      <c r="AQ398">
        <v>11.0631</v>
      </c>
      <c r="AR398">
        <v>24.2361</v>
      </c>
      <c r="AS398">
        <v>11.099</v>
      </c>
      <c r="AT398">
        <v>7.2336</v>
      </c>
      <c r="AU398">
        <v>20.622</v>
      </c>
      <c r="AV398">
        <v>4.9973000000000001</v>
      </c>
      <c r="AW398">
        <v>10.429</v>
      </c>
      <c r="AX398">
        <v>-4.4081999999999999</v>
      </c>
      <c r="AY398">
        <v>3.1013999999999999</v>
      </c>
      <c r="AZ398">
        <v>106.9162</v>
      </c>
      <c r="BA398">
        <v>140.90690000000001</v>
      </c>
      <c r="BB398">
        <v>4.3441999999999998</v>
      </c>
      <c r="BC398">
        <v>4.4642999999999997</v>
      </c>
      <c r="BD398">
        <v>6.0076999999999998</v>
      </c>
      <c r="BE398" t="s">
        <v>134</v>
      </c>
      <c r="BF398">
        <v>19.9861</v>
      </c>
      <c r="BG398">
        <v>13.8917</v>
      </c>
      <c r="BH398">
        <v>11.9435</v>
      </c>
      <c r="BI398">
        <v>-6.0292000000000003</v>
      </c>
      <c r="BJ398">
        <v>7.9630000000000001</v>
      </c>
      <c r="BK398">
        <v>-55.555599999999998</v>
      </c>
      <c r="BL398">
        <v>30.329000000000001</v>
      </c>
      <c r="BM398">
        <v>-5.4470999999999998</v>
      </c>
      <c r="BN398">
        <v>21.537800000000001</v>
      </c>
      <c r="BO398">
        <v>7.7016999999999998</v>
      </c>
      <c r="BP398">
        <v>12.4267</v>
      </c>
      <c r="BQ398">
        <v>-16.004799999999999</v>
      </c>
      <c r="BR398">
        <v>5.4495000000000005</v>
      </c>
      <c r="BS398">
        <v>0.88370000000000004</v>
      </c>
      <c r="BT398">
        <v>55.4711</v>
      </c>
      <c r="BU398">
        <v>3.6031</v>
      </c>
      <c r="BV398">
        <v>3.8048000000000002</v>
      </c>
      <c r="BW398">
        <v>4.4858000000000002</v>
      </c>
      <c r="BX398">
        <v>-296.4325</v>
      </c>
      <c r="BY398">
        <v>470.3</v>
      </c>
      <c r="BZ398">
        <v>137</v>
      </c>
      <c r="CA398">
        <v>333.3</v>
      </c>
      <c r="CB398">
        <v>2.3099999999999999E-2</v>
      </c>
      <c r="CC398">
        <v>-0.38990000000000002</v>
      </c>
      <c r="CD398">
        <v>2.6700000000000002E-2</v>
      </c>
      <c r="CE398">
        <v>-0.45</v>
      </c>
      <c r="CF398">
        <v>1197.1823999999999</v>
      </c>
      <c r="CG398">
        <v>42.2958</v>
      </c>
      <c r="CH398">
        <v>0.41510000000000002</v>
      </c>
      <c r="CI398">
        <v>0.41270000000000001</v>
      </c>
      <c r="CJ398">
        <v>0.1759</v>
      </c>
      <c r="CK398">
        <v>0.58579999999999999</v>
      </c>
      <c r="CL398">
        <v>0.58240000000000003</v>
      </c>
      <c r="CM398">
        <v>0.2482</v>
      </c>
      <c r="CN398">
        <v>-9.8840000000000003</v>
      </c>
      <c r="CO398">
        <v>-10.9681</v>
      </c>
      <c r="CP398">
        <v>20352.099999999999</v>
      </c>
      <c r="CQ398">
        <v>12281</v>
      </c>
      <c r="CR398">
        <v>17634.900000000001</v>
      </c>
      <c r="CS398">
        <v>8.5199999999999998E-2</v>
      </c>
      <c r="CT398">
        <v>1.4525000000000001</v>
      </c>
      <c r="CU398">
        <v>0.66210000000000002</v>
      </c>
      <c r="CV398">
        <v>3.456</v>
      </c>
      <c r="CW398">
        <v>2.0674999999999999</v>
      </c>
      <c r="CX398">
        <v>176.54409999999999</v>
      </c>
      <c r="CY398">
        <v>1.0747</v>
      </c>
      <c r="CZ398">
        <v>339.6259</v>
      </c>
      <c r="DA398">
        <v>3.6299000000000001</v>
      </c>
      <c r="DB398">
        <v>100.5548</v>
      </c>
      <c r="DC398">
        <v>415.61529999999999</v>
      </c>
      <c r="DD398">
        <v>516.17010000000005</v>
      </c>
      <c r="DE398">
        <v>46157.599999999999</v>
      </c>
      <c r="DF398">
        <v>27977.5</v>
      </c>
      <c r="DG398">
        <v>14681.8</v>
      </c>
      <c r="DH398">
        <v>3200.4</v>
      </c>
      <c r="DI398">
        <v>297.89999999999998</v>
      </c>
    </row>
    <row r="399" spans="4:113" x14ac:dyDescent="0.3">
      <c r="E399" t="s">
        <v>78</v>
      </c>
      <c r="F399" t="s">
        <v>134</v>
      </c>
      <c r="G399" t="s">
        <v>134</v>
      </c>
      <c r="H399" t="s">
        <v>134</v>
      </c>
      <c r="I399" t="s">
        <v>134</v>
      </c>
      <c r="J399" t="s">
        <v>134</v>
      </c>
      <c r="K399" t="s">
        <v>134</v>
      </c>
      <c r="L399" t="s">
        <v>134</v>
      </c>
      <c r="M399" t="s">
        <v>134</v>
      </c>
      <c r="N399" t="s">
        <v>134</v>
      </c>
      <c r="O399" t="s">
        <v>134</v>
      </c>
      <c r="P399" t="s">
        <v>134</v>
      </c>
      <c r="Q399" t="s">
        <v>134</v>
      </c>
      <c r="R399" t="s">
        <v>134</v>
      </c>
      <c r="S399" t="s">
        <v>134</v>
      </c>
      <c r="T399" t="s">
        <v>134</v>
      </c>
      <c r="U399" t="s">
        <v>134</v>
      </c>
      <c r="V399" t="s">
        <v>134</v>
      </c>
      <c r="W399" t="s">
        <v>134</v>
      </c>
      <c r="X399" t="s">
        <v>134</v>
      </c>
      <c r="Y399" t="s">
        <v>134</v>
      </c>
      <c r="Z399" t="s">
        <v>134</v>
      </c>
      <c r="AA399" t="s">
        <v>134</v>
      </c>
      <c r="AB399" t="s">
        <v>134</v>
      </c>
      <c r="AC399" t="s">
        <v>134</v>
      </c>
      <c r="AD399" t="s">
        <v>134</v>
      </c>
      <c r="AE399" t="s">
        <v>134</v>
      </c>
      <c r="AF399" t="s">
        <v>134</v>
      </c>
      <c r="AG399" t="s">
        <v>134</v>
      </c>
      <c r="AH399" t="s">
        <v>134</v>
      </c>
      <c r="AI399" t="s">
        <v>134</v>
      </c>
      <c r="AJ399" t="s">
        <v>134</v>
      </c>
      <c r="AK399" t="s">
        <v>134</v>
      </c>
      <c r="AL399" t="s">
        <v>134</v>
      </c>
      <c r="AM399" t="s">
        <v>134</v>
      </c>
      <c r="AN399" t="s">
        <v>134</v>
      </c>
      <c r="AO399" t="s">
        <v>134</v>
      </c>
      <c r="AP399" t="s">
        <v>134</v>
      </c>
      <c r="AQ399" t="s">
        <v>134</v>
      </c>
      <c r="AR399" t="s">
        <v>134</v>
      </c>
      <c r="AS399" t="s">
        <v>134</v>
      </c>
      <c r="AT399" t="s">
        <v>134</v>
      </c>
      <c r="AU399" t="s">
        <v>134</v>
      </c>
      <c r="AV399" t="s">
        <v>134</v>
      </c>
      <c r="AW399" t="s">
        <v>134</v>
      </c>
      <c r="AX399" t="s">
        <v>134</v>
      </c>
      <c r="AY399" t="s">
        <v>134</v>
      </c>
      <c r="AZ399" t="s">
        <v>134</v>
      </c>
      <c r="BA399" t="s">
        <v>134</v>
      </c>
      <c r="BB399" t="s">
        <v>134</v>
      </c>
      <c r="BC399" t="s">
        <v>134</v>
      </c>
      <c r="BD399" t="s">
        <v>134</v>
      </c>
      <c r="BE399" t="s">
        <v>134</v>
      </c>
      <c r="BF399" t="s">
        <v>134</v>
      </c>
      <c r="BG399" t="s">
        <v>134</v>
      </c>
      <c r="BH399" t="s">
        <v>134</v>
      </c>
      <c r="BI399" t="s">
        <v>134</v>
      </c>
      <c r="BJ399" t="s">
        <v>134</v>
      </c>
      <c r="BK399" t="s">
        <v>134</v>
      </c>
      <c r="BL399" t="s">
        <v>134</v>
      </c>
      <c r="BM399" t="s">
        <v>134</v>
      </c>
      <c r="BN399" t="s">
        <v>134</v>
      </c>
      <c r="BO399" t="s">
        <v>134</v>
      </c>
      <c r="BP399" t="s">
        <v>134</v>
      </c>
      <c r="BQ399" t="s">
        <v>134</v>
      </c>
      <c r="BR399" t="s">
        <v>134</v>
      </c>
      <c r="BS399" t="s">
        <v>134</v>
      </c>
      <c r="BT399" t="s">
        <v>134</v>
      </c>
      <c r="BU399" t="s">
        <v>134</v>
      </c>
      <c r="BV399" t="s">
        <v>134</v>
      </c>
      <c r="BW399" t="s">
        <v>134</v>
      </c>
      <c r="BX399" t="s">
        <v>134</v>
      </c>
      <c r="BY399" t="s">
        <v>134</v>
      </c>
      <c r="BZ399" t="s">
        <v>134</v>
      </c>
      <c r="CA399" t="s">
        <v>134</v>
      </c>
      <c r="CB399" t="s">
        <v>134</v>
      </c>
      <c r="CC399" t="s">
        <v>134</v>
      </c>
      <c r="CD399" t="s">
        <v>134</v>
      </c>
      <c r="CE399" t="s">
        <v>134</v>
      </c>
      <c r="CF399" t="s">
        <v>134</v>
      </c>
      <c r="CG399" t="s">
        <v>134</v>
      </c>
      <c r="CH399" t="s">
        <v>134</v>
      </c>
      <c r="CI399" t="s">
        <v>134</v>
      </c>
      <c r="CJ399" t="s">
        <v>134</v>
      </c>
      <c r="CK399" t="s">
        <v>134</v>
      </c>
      <c r="CL399" t="s">
        <v>134</v>
      </c>
      <c r="CM399" t="s">
        <v>134</v>
      </c>
      <c r="CN399" t="s">
        <v>134</v>
      </c>
      <c r="CO399" t="s">
        <v>134</v>
      </c>
      <c r="CP399" t="s">
        <v>134</v>
      </c>
      <c r="CQ399" t="s">
        <v>134</v>
      </c>
      <c r="CR399" t="s">
        <v>134</v>
      </c>
      <c r="CS399" t="s">
        <v>134</v>
      </c>
      <c r="CT399" t="s">
        <v>134</v>
      </c>
      <c r="CU399" t="s">
        <v>134</v>
      </c>
      <c r="CV399" t="s">
        <v>134</v>
      </c>
      <c r="CW399" t="s">
        <v>134</v>
      </c>
      <c r="CX399" t="s">
        <v>134</v>
      </c>
      <c r="CY399" t="s">
        <v>134</v>
      </c>
      <c r="CZ399" t="s">
        <v>134</v>
      </c>
      <c r="DA399" t="s">
        <v>134</v>
      </c>
      <c r="DB399" t="s">
        <v>134</v>
      </c>
      <c r="DC399" t="s">
        <v>134</v>
      </c>
      <c r="DD399" t="s">
        <v>134</v>
      </c>
      <c r="DE399" t="s">
        <v>134</v>
      </c>
      <c r="DF399" t="s">
        <v>134</v>
      </c>
      <c r="DG399" t="s">
        <v>134</v>
      </c>
      <c r="DH399" t="s">
        <v>134</v>
      </c>
      <c r="DI399" t="s">
        <v>134</v>
      </c>
    </row>
    <row r="400" spans="4:113" x14ac:dyDescent="0.3">
      <c r="E400" t="s">
        <v>79</v>
      </c>
      <c r="F400" t="s">
        <v>134</v>
      </c>
      <c r="G400" t="s">
        <v>134</v>
      </c>
      <c r="H400" t="s">
        <v>134</v>
      </c>
      <c r="I400" t="s">
        <v>134</v>
      </c>
      <c r="J400" t="s">
        <v>134</v>
      </c>
      <c r="K400" t="s">
        <v>134</v>
      </c>
      <c r="L400" t="s">
        <v>134</v>
      </c>
      <c r="M400" t="s">
        <v>134</v>
      </c>
      <c r="N400" t="s">
        <v>134</v>
      </c>
      <c r="O400" t="s">
        <v>134</v>
      </c>
      <c r="P400" t="s">
        <v>134</v>
      </c>
      <c r="Q400" t="s">
        <v>134</v>
      </c>
      <c r="R400" t="s">
        <v>134</v>
      </c>
      <c r="S400" t="s">
        <v>134</v>
      </c>
      <c r="T400" t="s">
        <v>134</v>
      </c>
      <c r="U400" t="s">
        <v>134</v>
      </c>
      <c r="V400" t="s">
        <v>134</v>
      </c>
      <c r="W400" t="s">
        <v>134</v>
      </c>
      <c r="X400" t="s">
        <v>134</v>
      </c>
      <c r="Y400" t="s">
        <v>134</v>
      </c>
      <c r="Z400" t="s">
        <v>134</v>
      </c>
      <c r="AA400" t="s">
        <v>134</v>
      </c>
      <c r="AB400" t="s">
        <v>134</v>
      </c>
      <c r="AC400" t="s">
        <v>134</v>
      </c>
      <c r="AD400" t="s">
        <v>134</v>
      </c>
      <c r="AE400" t="s">
        <v>134</v>
      </c>
      <c r="AF400" t="s">
        <v>134</v>
      </c>
      <c r="AG400" t="s">
        <v>134</v>
      </c>
      <c r="AH400" t="s">
        <v>134</v>
      </c>
      <c r="AI400" t="s">
        <v>134</v>
      </c>
      <c r="AJ400" t="s">
        <v>134</v>
      </c>
      <c r="AK400" t="s">
        <v>134</v>
      </c>
      <c r="AL400" t="s">
        <v>134</v>
      </c>
      <c r="AM400" t="s">
        <v>134</v>
      </c>
      <c r="AN400" t="s">
        <v>134</v>
      </c>
      <c r="AO400" t="s">
        <v>134</v>
      </c>
      <c r="AP400" t="s">
        <v>134</v>
      </c>
      <c r="AQ400" t="s">
        <v>134</v>
      </c>
      <c r="AR400" t="s">
        <v>134</v>
      </c>
      <c r="AS400" t="s">
        <v>134</v>
      </c>
      <c r="AT400" t="s">
        <v>134</v>
      </c>
      <c r="AU400" t="s">
        <v>134</v>
      </c>
      <c r="AV400" t="s">
        <v>134</v>
      </c>
      <c r="AW400" t="s">
        <v>134</v>
      </c>
      <c r="AX400" t="s">
        <v>134</v>
      </c>
      <c r="AY400" t="s">
        <v>134</v>
      </c>
      <c r="AZ400" t="s">
        <v>134</v>
      </c>
      <c r="BA400" t="s">
        <v>134</v>
      </c>
      <c r="BB400" t="s">
        <v>134</v>
      </c>
      <c r="BC400" t="s">
        <v>134</v>
      </c>
      <c r="BD400" t="s">
        <v>134</v>
      </c>
      <c r="BE400" t="s">
        <v>134</v>
      </c>
      <c r="BF400" t="s">
        <v>134</v>
      </c>
      <c r="BG400" t="s">
        <v>134</v>
      </c>
      <c r="BH400" t="s">
        <v>134</v>
      </c>
      <c r="BI400" t="s">
        <v>134</v>
      </c>
      <c r="BJ400" t="s">
        <v>134</v>
      </c>
      <c r="BK400" t="s">
        <v>134</v>
      </c>
      <c r="BL400" t="s">
        <v>134</v>
      </c>
      <c r="BM400" t="s">
        <v>134</v>
      </c>
      <c r="BN400" t="s">
        <v>134</v>
      </c>
      <c r="BO400" t="s">
        <v>134</v>
      </c>
      <c r="BP400" t="s">
        <v>134</v>
      </c>
      <c r="BQ400" t="s">
        <v>134</v>
      </c>
      <c r="BR400" t="s">
        <v>134</v>
      </c>
      <c r="BS400" t="s">
        <v>134</v>
      </c>
      <c r="BT400" t="s">
        <v>134</v>
      </c>
      <c r="BU400" t="s">
        <v>134</v>
      </c>
      <c r="BV400" t="s">
        <v>134</v>
      </c>
      <c r="BW400" t="s">
        <v>134</v>
      </c>
      <c r="BX400" t="s">
        <v>134</v>
      </c>
      <c r="BY400" t="s">
        <v>134</v>
      </c>
      <c r="BZ400" t="s">
        <v>134</v>
      </c>
      <c r="CA400" t="s">
        <v>134</v>
      </c>
      <c r="CB400" t="s">
        <v>134</v>
      </c>
      <c r="CC400" t="s">
        <v>134</v>
      </c>
      <c r="CD400" t="s">
        <v>134</v>
      </c>
      <c r="CE400" t="s">
        <v>134</v>
      </c>
      <c r="CF400" t="s">
        <v>134</v>
      </c>
      <c r="CG400" t="s">
        <v>134</v>
      </c>
      <c r="CH400" t="s">
        <v>134</v>
      </c>
      <c r="CI400" t="s">
        <v>134</v>
      </c>
      <c r="CJ400" t="s">
        <v>134</v>
      </c>
      <c r="CK400" t="s">
        <v>134</v>
      </c>
      <c r="CL400" t="s">
        <v>134</v>
      </c>
      <c r="CM400" t="s">
        <v>134</v>
      </c>
      <c r="CN400" t="s">
        <v>134</v>
      </c>
      <c r="CO400" t="s">
        <v>134</v>
      </c>
      <c r="CP400" t="s">
        <v>134</v>
      </c>
      <c r="CQ400" t="s">
        <v>134</v>
      </c>
      <c r="CR400" t="s">
        <v>134</v>
      </c>
      <c r="CS400" t="s">
        <v>134</v>
      </c>
      <c r="CT400" t="s">
        <v>134</v>
      </c>
      <c r="CU400" t="s">
        <v>134</v>
      </c>
      <c r="CV400" t="s">
        <v>134</v>
      </c>
      <c r="CW400" t="s">
        <v>134</v>
      </c>
      <c r="CX400" t="s">
        <v>134</v>
      </c>
      <c r="CY400" t="s">
        <v>134</v>
      </c>
      <c r="CZ400" t="s">
        <v>134</v>
      </c>
      <c r="DA400" t="s">
        <v>134</v>
      </c>
      <c r="DB400" t="s">
        <v>134</v>
      </c>
      <c r="DC400" t="s">
        <v>134</v>
      </c>
      <c r="DD400" t="s">
        <v>134</v>
      </c>
      <c r="DE400" t="s">
        <v>134</v>
      </c>
      <c r="DF400" t="s">
        <v>134</v>
      </c>
      <c r="DG400" t="s">
        <v>134</v>
      </c>
      <c r="DH400" t="s">
        <v>134</v>
      </c>
      <c r="DI400" t="s">
        <v>134</v>
      </c>
    </row>
    <row r="401" spans="1:113" x14ac:dyDescent="0.3">
      <c r="E401" t="s">
        <v>80</v>
      </c>
      <c r="F401" t="s">
        <v>134</v>
      </c>
      <c r="G401" t="s">
        <v>134</v>
      </c>
      <c r="H401" t="s">
        <v>134</v>
      </c>
      <c r="I401" t="s">
        <v>134</v>
      </c>
      <c r="J401" t="s">
        <v>134</v>
      </c>
      <c r="K401" t="s">
        <v>134</v>
      </c>
      <c r="L401" t="s">
        <v>134</v>
      </c>
      <c r="M401" t="s">
        <v>134</v>
      </c>
      <c r="N401" t="s">
        <v>134</v>
      </c>
      <c r="O401" t="s">
        <v>134</v>
      </c>
      <c r="P401" t="s">
        <v>134</v>
      </c>
      <c r="Q401" t="s">
        <v>134</v>
      </c>
      <c r="R401" t="s">
        <v>134</v>
      </c>
      <c r="S401" t="s">
        <v>134</v>
      </c>
      <c r="T401" t="s">
        <v>134</v>
      </c>
      <c r="U401" t="s">
        <v>134</v>
      </c>
      <c r="V401" t="s">
        <v>134</v>
      </c>
      <c r="W401" t="s">
        <v>134</v>
      </c>
      <c r="X401" t="s">
        <v>134</v>
      </c>
      <c r="Y401" t="s">
        <v>134</v>
      </c>
      <c r="Z401" t="s">
        <v>134</v>
      </c>
      <c r="AA401" t="s">
        <v>134</v>
      </c>
      <c r="AB401" t="s">
        <v>134</v>
      </c>
      <c r="AC401" t="s">
        <v>134</v>
      </c>
      <c r="AD401" t="s">
        <v>134</v>
      </c>
      <c r="AE401" t="s">
        <v>134</v>
      </c>
      <c r="AF401" t="s">
        <v>134</v>
      </c>
      <c r="AG401" t="s">
        <v>134</v>
      </c>
      <c r="AH401" t="s">
        <v>134</v>
      </c>
      <c r="AI401" t="s">
        <v>134</v>
      </c>
      <c r="AJ401" t="s">
        <v>134</v>
      </c>
      <c r="AK401" t="s">
        <v>134</v>
      </c>
      <c r="AL401" t="s">
        <v>134</v>
      </c>
      <c r="AM401" t="s">
        <v>134</v>
      </c>
      <c r="AN401" t="s">
        <v>134</v>
      </c>
      <c r="AO401" t="s">
        <v>134</v>
      </c>
      <c r="AP401" t="s">
        <v>134</v>
      </c>
      <c r="AQ401" t="s">
        <v>134</v>
      </c>
      <c r="AR401" t="s">
        <v>134</v>
      </c>
      <c r="AS401" t="s">
        <v>134</v>
      </c>
      <c r="AT401" t="s">
        <v>134</v>
      </c>
      <c r="AU401" t="s">
        <v>134</v>
      </c>
      <c r="AV401" t="s">
        <v>134</v>
      </c>
      <c r="AW401" t="s">
        <v>134</v>
      </c>
      <c r="AX401" t="s">
        <v>134</v>
      </c>
      <c r="AY401" t="s">
        <v>134</v>
      </c>
      <c r="AZ401" t="s">
        <v>134</v>
      </c>
      <c r="BA401" t="s">
        <v>134</v>
      </c>
      <c r="BB401" t="s">
        <v>134</v>
      </c>
      <c r="BC401" t="s">
        <v>134</v>
      </c>
      <c r="BD401" t="s">
        <v>134</v>
      </c>
      <c r="BE401" t="s">
        <v>134</v>
      </c>
      <c r="BF401" t="s">
        <v>134</v>
      </c>
      <c r="BG401" t="s">
        <v>134</v>
      </c>
      <c r="BH401" t="s">
        <v>134</v>
      </c>
      <c r="BI401" t="s">
        <v>134</v>
      </c>
      <c r="BJ401" t="s">
        <v>134</v>
      </c>
      <c r="BK401" t="s">
        <v>134</v>
      </c>
      <c r="BL401" t="s">
        <v>134</v>
      </c>
      <c r="BM401" t="s">
        <v>134</v>
      </c>
      <c r="BN401" t="s">
        <v>134</v>
      </c>
      <c r="BO401" t="s">
        <v>134</v>
      </c>
      <c r="BP401" t="s">
        <v>134</v>
      </c>
      <c r="BQ401" t="s">
        <v>134</v>
      </c>
      <c r="BR401" t="s">
        <v>134</v>
      </c>
      <c r="BS401" t="s">
        <v>134</v>
      </c>
      <c r="BT401" t="s">
        <v>134</v>
      </c>
      <c r="BU401" t="s">
        <v>134</v>
      </c>
      <c r="BV401" t="s">
        <v>134</v>
      </c>
      <c r="BW401" t="s">
        <v>134</v>
      </c>
      <c r="BX401" t="s">
        <v>134</v>
      </c>
      <c r="BY401" t="s">
        <v>134</v>
      </c>
      <c r="BZ401" t="s">
        <v>134</v>
      </c>
      <c r="CA401" t="s">
        <v>134</v>
      </c>
      <c r="CB401" t="s">
        <v>134</v>
      </c>
      <c r="CC401" t="s">
        <v>134</v>
      </c>
      <c r="CD401" t="s">
        <v>134</v>
      </c>
      <c r="CE401" t="s">
        <v>134</v>
      </c>
      <c r="CF401" t="s">
        <v>134</v>
      </c>
      <c r="CG401" t="s">
        <v>134</v>
      </c>
      <c r="CH401" t="s">
        <v>134</v>
      </c>
      <c r="CI401" t="s">
        <v>134</v>
      </c>
      <c r="CJ401" t="s">
        <v>134</v>
      </c>
      <c r="CK401" t="s">
        <v>134</v>
      </c>
      <c r="CL401" t="s">
        <v>134</v>
      </c>
      <c r="CM401" t="s">
        <v>134</v>
      </c>
      <c r="CN401" t="s">
        <v>134</v>
      </c>
      <c r="CO401" t="s">
        <v>134</v>
      </c>
      <c r="CP401" t="s">
        <v>134</v>
      </c>
      <c r="CQ401" t="s">
        <v>134</v>
      </c>
      <c r="CR401" t="s">
        <v>134</v>
      </c>
      <c r="CS401" t="s">
        <v>134</v>
      </c>
      <c r="CT401" t="s">
        <v>134</v>
      </c>
      <c r="CU401" t="s">
        <v>134</v>
      </c>
      <c r="CV401" t="s">
        <v>134</v>
      </c>
      <c r="CW401" t="s">
        <v>134</v>
      </c>
      <c r="CX401" t="s">
        <v>134</v>
      </c>
      <c r="CY401" t="s">
        <v>134</v>
      </c>
      <c r="CZ401" t="s">
        <v>134</v>
      </c>
      <c r="DA401" t="s">
        <v>134</v>
      </c>
      <c r="DB401" t="s">
        <v>134</v>
      </c>
      <c r="DC401" t="s">
        <v>134</v>
      </c>
      <c r="DD401" t="s">
        <v>134</v>
      </c>
      <c r="DE401" t="s">
        <v>134</v>
      </c>
      <c r="DF401" t="s">
        <v>134</v>
      </c>
      <c r="DG401" t="s">
        <v>134</v>
      </c>
      <c r="DH401" t="s">
        <v>134</v>
      </c>
      <c r="DI401" t="s">
        <v>134</v>
      </c>
    </row>
    <row r="402" spans="1:113" x14ac:dyDescent="0.3">
      <c r="E402" t="s">
        <v>81</v>
      </c>
      <c r="F402" t="s">
        <v>134</v>
      </c>
      <c r="G402" t="s">
        <v>134</v>
      </c>
      <c r="H402" t="s">
        <v>134</v>
      </c>
      <c r="I402" t="s">
        <v>134</v>
      </c>
      <c r="J402" t="s">
        <v>134</v>
      </c>
      <c r="K402" t="s">
        <v>134</v>
      </c>
      <c r="L402" t="s">
        <v>134</v>
      </c>
      <c r="M402" t="s">
        <v>134</v>
      </c>
      <c r="N402" t="s">
        <v>134</v>
      </c>
      <c r="O402" t="s">
        <v>134</v>
      </c>
      <c r="P402" t="s">
        <v>134</v>
      </c>
      <c r="Q402" t="s">
        <v>134</v>
      </c>
      <c r="R402" t="s">
        <v>134</v>
      </c>
      <c r="S402" t="s">
        <v>134</v>
      </c>
      <c r="T402" t="s">
        <v>134</v>
      </c>
      <c r="U402" t="s">
        <v>134</v>
      </c>
      <c r="V402" t="s">
        <v>134</v>
      </c>
      <c r="W402" t="s">
        <v>134</v>
      </c>
      <c r="X402" t="s">
        <v>134</v>
      </c>
      <c r="Y402" t="s">
        <v>134</v>
      </c>
      <c r="Z402" t="s">
        <v>134</v>
      </c>
      <c r="AA402" t="s">
        <v>134</v>
      </c>
      <c r="AB402" t="s">
        <v>134</v>
      </c>
      <c r="AC402" t="s">
        <v>134</v>
      </c>
      <c r="AD402" t="s">
        <v>134</v>
      </c>
      <c r="AE402" t="s">
        <v>134</v>
      </c>
      <c r="AF402" t="s">
        <v>134</v>
      </c>
      <c r="AG402" t="s">
        <v>134</v>
      </c>
      <c r="AH402" t="s">
        <v>134</v>
      </c>
      <c r="AI402" t="s">
        <v>134</v>
      </c>
      <c r="AJ402" t="s">
        <v>134</v>
      </c>
      <c r="AK402" t="s">
        <v>134</v>
      </c>
      <c r="AL402" t="s">
        <v>134</v>
      </c>
      <c r="AM402" t="s">
        <v>134</v>
      </c>
      <c r="AN402" t="s">
        <v>134</v>
      </c>
      <c r="AO402" t="s">
        <v>134</v>
      </c>
      <c r="AP402" t="s">
        <v>134</v>
      </c>
      <c r="AQ402" t="s">
        <v>134</v>
      </c>
      <c r="AR402" t="s">
        <v>134</v>
      </c>
      <c r="AS402" t="s">
        <v>134</v>
      </c>
      <c r="AT402" t="s">
        <v>134</v>
      </c>
      <c r="AU402" t="s">
        <v>134</v>
      </c>
      <c r="AV402" t="s">
        <v>134</v>
      </c>
      <c r="AW402" t="s">
        <v>134</v>
      </c>
      <c r="AX402" t="s">
        <v>134</v>
      </c>
      <c r="AY402" t="s">
        <v>134</v>
      </c>
      <c r="AZ402" t="s">
        <v>134</v>
      </c>
      <c r="BA402" t="s">
        <v>134</v>
      </c>
      <c r="BB402" t="s">
        <v>134</v>
      </c>
      <c r="BC402" t="s">
        <v>134</v>
      </c>
      <c r="BD402" t="s">
        <v>134</v>
      </c>
      <c r="BE402" t="s">
        <v>134</v>
      </c>
      <c r="BF402" t="s">
        <v>134</v>
      </c>
      <c r="BG402" t="s">
        <v>134</v>
      </c>
      <c r="BH402" t="s">
        <v>134</v>
      </c>
      <c r="BI402" t="s">
        <v>134</v>
      </c>
      <c r="BJ402" t="s">
        <v>134</v>
      </c>
      <c r="BK402" t="s">
        <v>134</v>
      </c>
      <c r="BL402" t="s">
        <v>134</v>
      </c>
      <c r="BM402" t="s">
        <v>134</v>
      </c>
      <c r="BN402" t="s">
        <v>134</v>
      </c>
      <c r="BO402" t="s">
        <v>134</v>
      </c>
      <c r="BP402" t="s">
        <v>134</v>
      </c>
      <c r="BQ402" t="s">
        <v>134</v>
      </c>
      <c r="BR402" t="s">
        <v>134</v>
      </c>
      <c r="BS402" t="s">
        <v>134</v>
      </c>
      <c r="BT402" t="s">
        <v>134</v>
      </c>
      <c r="BU402" t="s">
        <v>134</v>
      </c>
      <c r="BV402" t="s">
        <v>134</v>
      </c>
      <c r="BW402" t="s">
        <v>134</v>
      </c>
      <c r="BX402" t="s">
        <v>134</v>
      </c>
      <c r="BY402" t="s">
        <v>134</v>
      </c>
      <c r="BZ402" t="s">
        <v>134</v>
      </c>
      <c r="CA402" t="s">
        <v>134</v>
      </c>
      <c r="CB402" t="s">
        <v>134</v>
      </c>
      <c r="CC402" t="s">
        <v>134</v>
      </c>
      <c r="CD402" t="s">
        <v>134</v>
      </c>
      <c r="CE402" t="s">
        <v>134</v>
      </c>
      <c r="CF402" t="s">
        <v>134</v>
      </c>
      <c r="CG402" t="s">
        <v>134</v>
      </c>
      <c r="CH402" t="s">
        <v>134</v>
      </c>
      <c r="CI402" t="s">
        <v>134</v>
      </c>
      <c r="CJ402" t="s">
        <v>134</v>
      </c>
      <c r="CK402" t="s">
        <v>134</v>
      </c>
      <c r="CL402" t="s">
        <v>134</v>
      </c>
      <c r="CM402" t="s">
        <v>134</v>
      </c>
      <c r="CN402" t="s">
        <v>134</v>
      </c>
      <c r="CO402" t="s">
        <v>134</v>
      </c>
      <c r="CP402" t="s">
        <v>134</v>
      </c>
      <c r="CQ402" t="s">
        <v>134</v>
      </c>
      <c r="CR402" t="s">
        <v>134</v>
      </c>
      <c r="CS402" t="s">
        <v>134</v>
      </c>
      <c r="CT402" t="s">
        <v>134</v>
      </c>
      <c r="CU402" t="s">
        <v>134</v>
      </c>
      <c r="CV402" t="s">
        <v>134</v>
      </c>
      <c r="CW402" t="s">
        <v>134</v>
      </c>
      <c r="CX402" t="s">
        <v>134</v>
      </c>
      <c r="CY402" t="s">
        <v>134</v>
      </c>
      <c r="CZ402" t="s">
        <v>134</v>
      </c>
      <c r="DA402" t="s">
        <v>134</v>
      </c>
      <c r="DB402" t="s">
        <v>134</v>
      </c>
      <c r="DC402" t="s">
        <v>134</v>
      </c>
      <c r="DD402" t="s">
        <v>134</v>
      </c>
      <c r="DE402" t="s">
        <v>134</v>
      </c>
      <c r="DF402" t="s">
        <v>134</v>
      </c>
      <c r="DG402" t="s">
        <v>134</v>
      </c>
      <c r="DH402" t="s">
        <v>134</v>
      </c>
      <c r="DI402" t="s">
        <v>134</v>
      </c>
    </row>
    <row r="403" spans="1:113" x14ac:dyDescent="0.3">
      <c r="A403">
        <v>17</v>
      </c>
      <c r="B403" t="s">
        <v>116</v>
      </c>
      <c r="C403" t="s">
        <v>117</v>
      </c>
      <c r="D403" t="s">
        <v>76</v>
      </c>
      <c r="E403" t="s">
        <v>77</v>
      </c>
      <c r="F403">
        <v>10.9948</v>
      </c>
      <c r="G403">
        <v>4.7659000000000002</v>
      </c>
      <c r="H403">
        <v>10.052</v>
      </c>
      <c r="I403">
        <v>7.0972</v>
      </c>
      <c r="J403">
        <v>11.803599999999999</v>
      </c>
      <c r="K403">
        <v>9.2516999999999996</v>
      </c>
      <c r="L403">
        <v>-53.27</v>
      </c>
      <c r="M403">
        <v>13.070499999999999</v>
      </c>
      <c r="N403">
        <v>9.0153999999999996</v>
      </c>
      <c r="O403">
        <v>9.0167999999999999</v>
      </c>
      <c r="P403">
        <v>9.0167999999999999</v>
      </c>
      <c r="Q403">
        <v>31.024799999999999</v>
      </c>
      <c r="R403">
        <v>19.774699999999999</v>
      </c>
      <c r="S403">
        <v>8.8206000000000007</v>
      </c>
      <c r="T403">
        <v>-19.244900000000001</v>
      </c>
      <c r="U403">
        <v>-51.649099999999997</v>
      </c>
      <c r="V403">
        <v>-57.844499999999996</v>
      </c>
      <c r="W403">
        <v>-47.666699999999999</v>
      </c>
      <c r="X403">
        <v>-47.678199999999997</v>
      </c>
      <c r="Y403">
        <v>-47.689500000000002</v>
      </c>
      <c r="Z403">
        <v>-3.9895</v>
      </c>
      <c r="AA403">
        <v>-17.359000000000002</v>
      </c>
      <c r="AB403">
        <v>10.410299999999999</v>
      </c>
      <c r="AC403">
        <v>4.8634000000000004</v>
      </c>
      <c r="AD403">
        <v>-7.3413000000000004</v>
      </c>
      <c r="AE403">
        <v>13.722200000000001</v>
      </c>
      <c r="AF403">
        <v>-9.4388000000000005</v>
      </c>
      <c r="AG403">
        <v>86.149500000000003</v>
      </c>
      <c r="AH403">
        <v>73.772300000000001</v>
      </c>
      <c r="AI403">
        <v>8.5795999999999992</v>
      </c>
      <c r="AJ403">
        <v>13.8696</v>
      </c>
      <c r="AK403">
        <v>8.5826999999999991</v>
      </c>
      <c r="AL403">
        <v>125.0284</v>
      </c>
      <c r="AM403">
        <v>7.9576000000000002</v>
      </c>
      <c r="AN403">
        <v>1.6402000000000001</v>
      </c>
      <c r="AO403">
        <v>-1.54</v>
      </c>
      <c r="AP403">
        <v>2.3736999999999999</v>
      </c>
      <c r="AQ403">
        <v>2.3708</v>
      </c>
      <c r="AR403">
        <v>-3.6034000000000002</v>
      </c>
      <c r="AS403">
        <v>11.901</v>
      </c>
      <c r="AT403">
        <v>4.4443000000000001</v>
      </c>
      <c r="AU403">
        <v>23.552499999999998</v>
      </c>
      <c r="AV403">
        <v>12.5542</v>
      </c>
      <c r="AW403">
        <v>10.142099999999999</v>
      </c>
      <c r="AX403">
        <v>25.882999999999999</v>
      </c>
      <c r="AY403">
        <v>8.1675000000000004</v>
      </c>
      <c r="AZ403">
        <v>111.0059</v>
      </c>
      <c r="BA403">
        <v>94.936700000000002</v>
      </c>
      <c r="BB403">
        <v>20.758500000000002</v>
      </c>
      <c r="BC403">
        <v>23.676500000000001</v>
      </c>
      <c r="BD403">
        <v>20.755500000000001</v>
      </c>
      <c r="BE403">
        <v>3.1036999999999999</v>
      </c>
      <c r="BF403">
        <v>-19.244900000000001</v>
      </c>
      <c r="BG403">
        <v>-51.649099999999997</v>
      </c>
      <c r="BH403">
        <v>-57.844499999999996</v>
      </c>
      <c r="BI403">
        <v>-47.666699999999999</v>
      </c>
      <c r="BJ403">
        <v>-47.678199999999997</v>
      </c>
      <c r="BK403">
        <v>-47.689500000000002</v>
      </c>
      <c r="BL403">
        <v>-3.9895</v>
      </c>
      <c r="BM403">
        <v>-17.359000000000002</v>
      </c>
      <c r="BN403">
        <v>10.410299999999999</v>
      </c>
      <c r="BO403">
        <v>4.8634000000000004</v>
      </c>
      <c r="BP403">
        <v>-7.3413000000000004</v>
      </c>
      <c r="BQ403">
        <v>13.722200000000001</v>
      </c>
      <c r="BR403">
        <v>-9.4388000000000005</v>
      </c>
      <c r="BS403">
        <v>86.149500000000003</v>
      </c>
      <c r="BT403">
        <v>73.772300000000001</v>
      </c>
      <c r="BU403">
        <v>8.5795999999999992</v>
      </c>
      <c r="BV403">
        <v>13.8696</v>
      </c>
      <c r="BW403">
        <v>8.5826999999999991</v>
      </c>
      <c r="BX403">
        <v>125.0284</v>
      </c>
      <c r="BY403">
        <v>46885.5</v>
      </c>
      <c r="BZ403">
        <v>27272.2</v>
      </c>
      <c r="CA403">
        <v>19613.3</v>
      </c>
      <c r="CB403">
        <v>1.0225</v>
      </c>
      <c r="CC403">
        <v>-1.5979999999999999</v>
      </c>
      <c r="CD403">
        <v>1.3045</v>
      </c>
      <c r="CE403">
        <v>-2.0388000000000002</v>
      </c>
      <c r="CF403">
        <v>44.006799999999998</v>
      </c>
      <c r="CG403">
        <v>44.084400000000002</v>
      </c>
      <c r="CH403">
        <v>5.9122000000000003</v>
      </c>
      <c r="CI403">
        <v>5.1801000000000004</v>
      </c>
      <c r="CJ403">
        <v>2.6067</v>
      </c>
      <c r="CK403">
        <v>14.132999999999999</v>
      </c>
      <c r="CL403">
        <v>12.382899999999999</v>
      </c>
      <c r="CM403">
        <v>6.2312000000000003</v>
      </c>
      <c r="CN403">
        <v>-22.088000000000001</v>
      </c>
      <c r="CO403">
        <v>-28.349900000000002</v>
      </c>
      <c r="CP403">
        <v>45855.1</v>
      </c>
      <c r="CQ403">
        <v>29813.8</v>
      </c>
      <c r="CR403">
        <v>35941.199999999997</v>
      </c>
      <c r="CS403">
        <v>0.4622</v>
      </c>
      <c r="CT403">
        <v>2.0154999999999998</v>
      </c>
      <c r="CU403">
        <v>1.5468999999999999</v>
      </c>
      <c r="CV403">
        <v>1.8054000000000001</v>
      </c>
      <c r="CW403">
        <v>1.3496000000000001</v>
      </c>
      <c r="CX403">
        <v>270.44470000000001</v>
      </c>
      <c r="CY403">
        <v>1.6108</v>
      </c>
      <c r="CZ403">
        <v>226.59739999999999</v>
      </c>
      <c r="DA403">
        <v>1.657</v>
      </c>
      <c r="DB403">
        <v>220.28399999999999</v>
      </c>
      <c r="DC403">
        <v>276.75799999999998</v>
      </c>
      <c r="DD403">
        <v>497.04199999999997</v>
      </c>
      <c r="DE403">
        <v>98086.9</v>
      </c>
      <c r="DF403">
        <v>43030.400000000001</v>
      </c>
      <c r="DG403">
        <v>30112.400000000001</v>
      </c>
      <c r="DH403">
        <v>17973.3</v>
      </c>
      <c r="DI403">
        <v>6970.8</v>
      </c>
    </row>
    <row r="404" spans="1:113" x14ac:dyDescent="0.3">
      <c r="E404" t="s">
        <v>78</v>
      </c>
      <c r="F404" t="s">
        <v>134</v>
      </c>
      <c r="G404" t="s">
        <v>134</v>
      </c>
      <c r="H404" t="s">
        <v>134</v>
      </c>
      <c r="I404" t="s">
        <v>134</v>
      </c>
      <c r="J404" t="s">
        <v>134</v>
      </c>
      <c r="K404" t="s">
        <v>134</v>
      </c>
      <c r="L404" t="s">
        <v>134</v>
      </c>
      <c r="M404" t="s">
        <v>134</v>
      </c>
      <c r="N404" t="s">
        <v>134</v>
      </c>
      <c r="O404" t="s">
        <v>134</v>
      </c>
      <c r="P404" t="s">
        <v>134</v>
      </c>
      <c r="Q404" t="s">
        <v>134</v>
      </c>
      <c r="R404" t="s">
        <v>134</v>
      </c>
      <c r="S404" t="s">
        <v>134</v>
      </c>
      <c r="T404" t="s">
        <v>134</v>
      </c>
      <c r="U404" t="s">
        <v>134</v>
      </c>
      <c r="V404" t="s">
        <v>134</v>
      </c>
      <c r="W404" t="s">
        <v>134</v>
      </c>
      <c r="X404" t="s">
        <v>134</v>
      </c>
      <c r="Y404" t="s">
        <v>134</v>
      </c>
      <c r="Z404" t="s">
        <v>134</v>
      </c>
      <c r="AA404" t="s">
        <v>134</v>
      </c>
      <c r="AB404" t="s">
        <v>134</v>
      </c>
      <c r="AC404" t="s">
        <v>134</v>
      </c>
      <c r="AD404" t="s">
        <v>134</v>
      </c>
      <c r="AE404" t="s">
        <v>134</v>
      </c>
      <c r="AF404" t="s">
        <v>134</v>
      </c>
      <c r="AG404" t="s">
        <v>134</v>
      </c>
      <c r="AH404" t="s">
        <v>134</v>
      </c>
      <c r="AI404" t="s">
        <v>134</v>
      </c>
      <c r="AJ404" t="s">
        <v>134</v>
      </c>
      <c r="AK404" t="s">
        <v>134</v>
      </c>
      <c r="AL404" t="s">
        <v>134</v>
      </c>
      <c r="AM404" t="s">
        <v>134</v>
      </c>
      <c r="AN404" t="s">
        <v>134</v>
      </c>
      <c r="AO404" t="s">
        <v>134</v>
      </c>
      <c r="AP404" t="s">
        <v>134</v>
      </c>
      <c r="AQ404" t="s">
        <v>134</v>
      </c>
      <c r="AR404" t="s">
        <v>134</v>
      </c>
      <c r="AS404" t="s">
        <v>134</v>
      </c>
      <c r="AT404" t="s">
        <v>134</v>
      </c>
      <c r="AU404" t="s">
        <v>134</v>
      </c>
      <c r="AV404" t="s">
        <v>134</v>
      </c>
      <c r="AW404" t="s">
        <v>134</v>
      </c>
      <c r="AX404" t="s">
        <v>134</v>
      </c>
      <c r="AY404" t="s">
        <v>134</v>
      </c>
      <c r="AZ404" t="s">
        <v>134</v>
      </c>
      <c r="BA404" t="s">
        <v>134</v>
      </c>
      <c r="BB404" t="s">
        <v>134</v>
      </c>
      <c r="BC404" t="s">
        <v>134</v>
      </c>
      <c r="BD404" t="s">
        <v>134</v>
      </c>
      <c r="BE404" t="s">
        <v>134</v>
      </c>
      <c r="BF404" t="s">
        <v>134</v>
      </c>
      <c r="BG404" t="s">
        <v>134</v>
      </c>
      <c r="BH404" t="s">
        <v>134</v>
      </c>
      <c r="BI404" t="s">
        <v>134</v>
      </c>
      <c r="BJ404" t="s">
        <v>134</v>
      </c>
      <c r="BK404" t="s">
        <v>134</v>
      </c>
      <c r="BL404" t="s">
        <v>134</v>
      </c>
      <c r="BM404" t="s">
        <v>134</v>
      </c>
      <c r="BN404" t="s">
        <v>134</v>
      </c>
      <c r="BO404" t="s">
        <v>134</v>
      </c>
      <c r="BP404" t="s">
        <v>134</v>
      </c>
      <c r="BQ404" t="s">
        <v>134</v>
      </c>
      <c r="BR404" t="s">
        <v>134</v>
      </c>
      <c r="BS404" t="s">
        <v>134</v>
      </c>
      <c r="BT404" t="s">
        <v>134</v>
      </c>
      <c r="BU404" t="s">
        <v>134</v>
      </c>
      <c r="BV404" t="s">
        <v>134</v>
      </c>
      <c r="BW404" t="s">
        <v>134</v>
      </c>
      <c r="BX404" t="s">
        <v>134</v>
      </c>
      <c r="BY404" t="s">
        <v>134</v>
      </c>
      <c r="BZ404" t="s">
        <v>134</v>
      </c>
      <c r="CA404" t="s">
        <v>134</v>
      </c>
      <c r="CB404" t="s">
        <v>134</v>
      </c>
      <c r="CC404" t="s">
        <v>134</v>
      </c>
      <c r="CD404" t="s">
        <v>134</v>
      </c>
      <c r="CE404" t="s">
        <v>134</v>
      </c>
      <c r="CF404" t="s">
        <v>134</v>
      </c>
      <c r="CG404" t="s">
        <v>134</v>
      </c>
      <c r="CH404" t="s">
        <v>134</v>
      </c>
      <c r="CI404" t="s">
        <v>134</v>
      </c>
      <c r="CJ404" t="s">
        <v>134</v>
      </c>
      <c r="CK404" t="s">
        <v>134</v>
      </c>
      <c r="CL404" t="s">
        <v>134</v>
      </c>
      <c r="CM404" t="s">
        <v>134</v>
      </c>
      <c r="CN404" t="s">
        <v>134</v>
      </c>
      <c r="CO404" t="s">
        <v>134</v>
      </c>
      <c r="CP404" t="s">
        <v>134</v>
      </c>
      <c r="CQ404" t="s">
        <v>134</v>
      </c>
      <c r="CR404" t="s">
        <v>134</v>
      </c>
      <c r="CS404" t="s">
        <v>134</v>
      </c>
      <c r="CT404" t="s">
        <v>134</v>
      </c>
      <c r="CU404" t="s">
        <v>134</v>
      </c>
      <c r="CV404" t="s">
        <v>134</v>
      </c>
      <c r="CW404" t="s">
        <v>134</v>
      </c>
      <c r="CX404" t="s">
        <v>134</v>
      </c>
      <c r="CY404" t="s">
        <v>134</v>
      </c>
      <c r="CZ404" t="s">
        <v>134</v>
      </c>
      <c r="DA404" t="s">
        <v>134</v>
      </c>
      <c r="DB404" t="s">
        <v>134</v>
      </c>
      <c r="DC404" t="s">
        <v>134</v>
      </c>
      <c r="DD404" t="s">
        <v>134</v>
      </c>
      <c r="DE404" t="s">
        <v>134</v>
      </c>
      <c r="DF404" t="s">
        <v>134</v>
      </c>
      <c r="DG404" t="s">
        <v>134</v>
      </c>
      <c r="DH404" t="s">
        <v>134</v>
      </c>
      <c r="DI404" t="s">
        <v>134</v>
      </c>
    </row>
    <row r="405" spans="1:113" x14ac:dyDescent="0.3">
      <c r="E405" t="s">
        <v>79</v>
      </c>
      <c r="F405" t="s">
        <v>134</v>
      </c>
      <c r="G405" t="s">
        <v>134</v>
      </c>
      <c r="H405" t="s">
        <v>134</v>
      </c>
      <c r="I405" t="s">
        <v>134</v>
      </c>
      <c r="J405" t="s">
        <v>134</v>
      </c>
      <c r="K405" t="s">
        <v>134</v>
      </c>
      <c r="L405" t="s">
        <v>134</v>
      </c>
      <c r="M405" t="s">
        <v>134</v>
      </c>
      <c r="N405" t="s">
        <v>134</v>
      </c>
      <c r="O405" t="s">
        <v>134</v>
      </c>
      <c r="P405" t="s">
        <v>134</v>
      </c>
      <c r="Q405" t="s">
        <v>134</v>
      </c>
      <c r="R405" t="s">
        <v>134</v>
      </c>
      <c r="S405" t="s">
        <v>134</v>
      </c>
      <c r="T405" t="s">
        <v>134</v>
      </c>
      <c r="U405" t="s">
        <v>134</v>
      </c>
      <c r="V405" t="s">
        <v>134</v>
      </c>
      <c r="W405" t="s">
        <v>134</v>
      </c>
      <c r="X405" t="s">
        <v>134</v>
      </c>
      <c r="Y405" t="s">
        <v>134</v>
      </c>
      <c r="Z405" t="s">
        <v>134</v>
      </c>
      <c r="AA405" t="s">
        <v>134</v>
      </c>
      <c r="AB405" t="s">
        <v>134</v>
      </c>
      <c r="AC405" t="s">
        <v>134</v>
      </c>
      <c r="AD405" t="s">
        <v>134</v>
      </c>
      <c r="AE405" t="s">
        <v>134</v>
      </c>
      <c r="AF405" t="s">
        <v>134</v>
      </c>
      <c r="AG405" t="s">
        <v>134</v>
      </c>
      <c r="AH405" t="s">
        <v>134</v>
      </c>
      <c r="AI405" t="s">
        <v>134</v>
      </c>
      <c r="AJ405" t="s">
        <v>134</v>
      </c>
      <c r="AK405" t="s">
        <v>134</v>
      </c>
      <c r="AL405" t="s">
        <v>134</v>
      </c>
      <c r="AM405" t="s">
        <v>134</v>
      </c>
      <c r="AN405" t="s">
        <v>134</v>
      </c>
      <c r="AO405" t="s">
        <v>134</v>
      </c>
      <c r="AP405" t="s">
        <v>134</v>
      </c>
      <c r="AQ405" t="s">
        <v>134</v>
      </c>
      <c r="AR405" t="s">
        <v>134</v>
      </c>
      <c r="AS405" t="s">
        <v>134</v>
      </c>
      <c r="AT405" t="s">
        <v>134</v>
      </c>
      <c r="AU405" t="s">
        <v>134</v>
      </c>
      <c r="AV405" t="s">
        <v>134</v>
      </c>
      <c r="AW405" t="s">
        <v>134</v>
      </c>
      <c r="AX405" t="s">
        <v>134</v>
      </c>
      <c r="AY405" t="s">
        <v>134</v>
      </c>
      <c r="AZ405" t="s">
        <v>134</v>
      </c>
      <c r="BA405" t="s">
        <v>134</v>
      </c>
      <c r="BB405" t="s">
        <v>134</v>
      </c>
      <c r="BC405" t="s">
        <v>134</v>
      </c>
      <c r="BD405" t="s">
        <v>134</v>
      </c>
      <c r="BE405" t="s">
        <v>134</v>
      </c>
      <c r="BF405" t="s">
        <v>134</v>
      </c>
      <c r="BG405" t="s">
        <v>134</v>
      </c>
      <c r="BH405" t="s">
        <v>134</v>
      </c>
      <c r="BI405" t="s">
        <v>134</v>
      </c>
      <c r="BJ405" t="s">
        <v>134</v>
      </c>
      <c r="BK405" t="s">
        <v>134</v>
      </c>
      <c r="BL405" t="s">
        <v>134</v>
      </c>
      <c r="BM405" t="s">
        <v>134</v>
      </c>
      <c r="BN405" t="s">
        <v>134</v>
      </c>
      <c r="BO405" t="s">
        <v>134</v>
      </c>
      <c r="BP405" t="s">
        <v>134</v>
      </c>
      <c r="BQ405" t="s">
        <v>134</v>
      </c>
      <c r="BR405" t="s">
        <v>134</v>
      </c>
      <c r="BS405" t="s">
        <v>134</v>
      </c>
      <c r="BT405" t="s">
        <v>134</v>
      </c>
      <c r="BU405" t="s">
        <v>134</v>
      </c>
      <c r="BV405" t="s">
        <v>134</v>
      </c>
      <c r="BW405" t="s">
        <v>134</v>
      </c>
      <c r="BX405" t="s">
        <v>134</v>
      </c>
      <c r="BY405" t="s">
        <v>134</v>
      </c>
      <c r="BZ405" t="s">
        <v>134</v>
      </c>
      <c r="CA405" t="s">
        <v>134</v>
      </c>
      <c r="CB405" t="s">
        <v>134</v>
      </c>
      <c r="CC405" t="s">
        <v>134</v>
      </c>
      <c r="CD405" t="s">
        <v>134</v>
      </c>
      <c r="CE405" t="s">
        <v>134</v>
      </c>
      <c r="CF405" t="s">
        <v>134</v>
      </c>
      <c r="CG405" t="s">
        <v>134</v>
      </c>
      <c r="CH405" t="s">
        <v>134</v>
      </c>
      <c r="CI405" t="s">
        <v>134</v>
      </c>
      <c r="CJ405" t="s">
        <v>134</v>
      </c>
      <c r="CK405" t="s">
        <v>134</v>
      </c>
      <c r="CL405" t="s">
        <v>134</v>
      </c>
      <c r="CM405" t="s">
        <v>134</v>
      </c>
      <c r="CN405" t="s">
        <v>134</v>
      </c>
      <c r="CO405" t="s">
        <v>134</v>
      </c>
      <c r="CP405" t="s">
        <v>134</v>
      </c>
      <c r="CQ405" t="s">
        <v>134</v>
      </c>
      <c r="CR405" t="s">
        <v>134</v>
      </c>
      <c r="CS405" t="s">
        <v>134</v>
      </c>
      <c r="CT405" t="s">
        <v>134</v>
      </c>
      <c r="CU405" t="s">
        <v>134</v>
      </c>
      <c r="CV405" t="s">
        <v>134</v>
      </c>
      <c r="CW405" t="s">
        <v>134</v>
      </c>
      <c r="CX405" t="s">
        <v>134</v>
      </c>
      <c r="CY405" t="s">
        <v>134</v>
      </c>
      <c r="CZ405" t="s">
        <v>134</v>
      </c>
      <c r="DA405" t="s">
        <v>134</v>
      </c>
      <c r="DB405" t="s">
        <v>134</v>
      </c>
      <c r="DC405" t="s">
        <v>134</v>
      </c>
      <c r="DD405" t="s">
        <v>134</v>
      </c>
      <c r="DE405" t="s">
        <v>134</v>
      </c>
      <c r="DF405" t="s">
        <v>134</v>
      </c>
      <c r="DG405" t="s">
        <v>134</v>
      </c>
      <c r="DH405" t="s">
        <v>134</v>
      </c>
      <c r="DI405" t="s">
        <v>134</v>
      </c>
    </row>
    <row r="406" spans="1:113" x14ac:dyDescent="0.3">
      <c r="E406" t="s">
        <v>80</v>
      </c>
      <c r="F406" t="s">
        <v>134</v>
      </c>
      <c r="G406" t="s">
        <v>134</v>
      </c>
      <c r="H406" t="s">
        <v>134</v>
      </c>
      <c r="I406" t="s">
        <v>134</v>
      </c>
      <c r="J406" t="s">
        <v>134</v>
      </c>
      <c r="K406" t="s">
        <v>134</v>
      </c>
      <c r="L406" t="s">
        <v>134</v>
      </c>
      <c r="M406" t="s">
        <v>134</v>
      </c>
      <c r="N406" t="s">
        <v>134</v>
      </c>
      <c r="O406" t="s">
        <v>134</v>
      </c>
      <c r="P406" t="s">
        <v>134</v>
      </c>
      <c r="Q406" t="s">
        <v>134</v>
      </c>
      <c r="R406" t="s">
        <v>134</v>
      </c>
      <c r="S406" t="s">
        <v>134</v>
      </c>
      <c r="T406" t="s">
        <v>134</v>
      </c>
      <c r="U406" t="s">
        <v>134</v>
      </c>
      <c r="V406" t="s">
        <v>134</v>
      </c>
      <c r="W406" t="s">
        <v>134</v>
      </c>
      <c r="X406" t="s">
        <v>134</v>
      </c>
      <c r="Y406" t="s">
        <v>134</v>
      </c>
      <c r="Z406" t="s">
        <v>134</v>
      </c>
      <c r="AA406" t="s">
        <v>134</v>
      </c>
      <c r="AB406" t="s">
        <v>134</v>
      </c>
      <c r="AC406" t="s">
        <v>134</v>
      </c>
      <c r="AD406" t="s">
        <v>134</v>
      </c>
      <c r="AE406" t="s">
        <v>134</v>
      </c>
      <c r="AF406" t="s">
        <v>134</v>
      </c>
      <c r="AG406" t="s">
        <v>134</v>
      </c>
      <c r="AH406" t="s">
        <v>134</v>
      </c>
      <c r="AI406" t="s">
        <v>134</v>
      </c>
      <c r="AJ406" t="s">
        <v>134</v>
      </c>
      <c r="AK406" t="s">
        <v>134</v>
      </c>
      <c r="AL406" t="s">
        <v>134</v>
      </c>
      <c r="AM406" t="s">
        <v>134</v>
      </c>
      <c r="AN406" t="s">
        <v>134</v>
      </c>
      <c r="AO406" t="s">
        <v>134</v>
      </c>
      <c r="AP406" t="s">
        <v>134</v>
      </c>
      <c r="AQ406" t="s">
        <v>134</v>
      </c>
      <c r="AR406" t="s">
        <v>134</v>
      </c>
      <c r="AS406" t="s">
        <v>134</v>
      </c>
      <c r="AT406" t="s">
        <v>134</v>
      </c>
      <c r="AU406" t="s">
        <v>134</v>
      </c>
      <c r="AV406" t="s">
        <v>134</v>
      </c>
      <c r="AW406" t="s">
        <v>134</v>
      </c>
      <c r="AX406" t="s">
        <v>134</v>
      </c>
      <c r="AY406" t="s">
        <v>134</v>
      </c>
      <c r="AZ406" t="s">
        <v>134</v>
      </c>
      <c r="BA406" t="s">
        <v>134</v>
      </c>
      <c r="BB406" t="s">
        <v>134</v>
      </c>
      <c r="BC406" t="s">
        <v>134</v>
      </c>
      <c r="BD406" t="s">
        <v>134</v>
      </c>
      <c r="BE406" t="s">
        <v>134</v>
      </c>
      <c r="BF406" t="s">
        <v>134</v>
      </c>
      <c r="BG406" t="s">
        <v>134</v>
      </c>
      <c r="BH406" t="s">
        <v>134</v>
      </c>
      <c r="BI406" t="s">
        <v>134</v>
      </c>
      <c r="BJ406" t="s">
        <v>134</v>
      </c>
      <c r="BK406" t="s">
        <v>134</v>
      </c>
      <c r="BL406" t="s">
        <v>134</v>
      </c>
      <c r="BM406" t="s">
        <v>134</v>
      </c>
      <c r="BN406" t="s">
        <v>134</v>
      </c>
      <c r="BO406" t="s">
        <v>134</v>
      </c>
      <c r="BP406" t="s">
        <v>134</v>
      </c>
      <c r="BQ406" t="s">
        <v>134</v>
      </c>
      <c r="BR406" t="s">
        <v>134</v>
      </c>
      <c r="BS406" t="s">
        <v>134</v>
      </c>
      <c r="BT406" t="s">
        <v>134</v>
      </c>
      <c r="BU406" t="s">
        <v>134</v>
      </c>
      <c r="BV406" t="s">
        <v>134</v>
      </c>
      <c r="BW406" t="s">
        <v>134</v>
      </c>
      <c r="BX406" t="s">
        <v>134</v>
      </c>
      <c r="BY406" t="s">
        <v>134</v>
      </c>
      <c r="BZ406" t="s">
        <v>134</v>
      </c>
      <c r="CA406" t="s">
        <v>134</v>
      </c>
      <c r="CB406" t="s">
        <v>134</v>
      </c>
      <c r="CC406" t="s">
        <v>134</v>
      </c>
      <c r="CD406" t="s">
        <v>134</v>
      </c>
      <c r="CE406" t="s">
        <v>134</v>
      </c>
      <c r="CF406" t="s">
        <v>134</v>
      </c>
      <c r="CG406" t="s">
        <v>134</v>
      </c>
      <c r="CH406" t="s">
        <v>134</v>
      </c>
      <c r="CI406" t="s">
        <v>134</v>
      </c>
      <c r="CJ406" t="s">
        <v>134</v>
      </c>
      <c r="CK406" t="s">
        <v>134</v>
      </c>
      <c r="CL406" t="s">
        <v>134</v>
      </c>
      <c r="CM406" t="s">
        <v>134</v>
      </c>
      <c r="CN406" t="s">
        <v>134</v>
      </c>
      <c r="CO406" t="s">
        <v>134</v>
      </c>
      <c r="CP406" t="s">
        <v>134</v>
      </c>
      <c r="CQ406" t="s">
        <v>134</v>
      </c>
      <c r="CR406" t="s">
        <v>134</v>
      </c>
      <c r="CS406" t="s">
        <v>134</v>
      </c>
      <c r="CT406" t="s">
        <v>134</v>
      </c>
      <c r="CU406" t="s">
        <v>134</v>
      </c>
      <c r="CV406" t="s">
        <v>134</v>
      </c>
      <c r="CW406" t="s">
        <v>134</v>
      </c>
      <c r="CX406" t="s">
        <v>134</v>
      </c>
      <c r="CY406" t="s">
        <v>134</v>
      </c>
      <c r="CZ406" t="s">
        <v>134</v>
      </c>
      <c r="DA406" t="s">
        <v>134</v>
      </c>
      <c r="DB406" t="s">
        <v>134</v>
      </c>
      <c r="DC406" t="s">
        <v>134</v>
      </c>
      <c r="DD406" t="s">
        <v>134</v>
      </c>
      <c r="DE406" t="s">
        <v>134</v>
      </c>
      <c r="DF406" t="s">
        <v>134</v>
      </c>
      <c r="DG406" t="s">
        <v>134</v>
      </c>
      <c r="DH406" t="s">
        <v>134</v>
      </c>
      <c r="DI406" t="s">
        <v>134</v>
      </c>
    </row>
    <row r="407" spans="1:113" x14ac:dyDescent="0.3">
      <c r="E407" t="s">
        <v>81</v>
      </c>
      <c r="F407" t="s">
        <v>134</v>
      </c>
      <c r="G407" t="s">
        <v>134</v>
      </c>
      <c r="H407" t="s">
        <v>134</v>
      </c>
      <c r="I407" t="s">
        <v>134</v>
      </c>
      <c r="J407" t="s">
        <v>134</v>
      </c>
      <c r="K407" t="s">
        <v>134</v>
      </c>
      <c r="L407" t="s">
        <v>134</v>
      </c>
      <c r="M407" t="s">
        <v>134</v>
      </c>
      <c r="N407" t="s">
        <v>134</v>
      </c>
      <c r="O407" t="s">
        <v>134</v>
      </c>
      <c r="P407" t="s">
        <v>134</v>
      </c>
      <c r="Q407" t="s">
        <v>134</v>
      </c>
      <c r="R407" t="s">
        <v>134</v>
      </c>
      <c r="S407" t="s">
        <v>134</v>
      </c>
      <c r="T407" t="s">
        <v>134</v>
      </c>
      <c r="U407" t="s">
        <v>134</v>
      </c>
      <c r="V407" t="s">
        <v>134</v>
      </c>
      <c r="W407" t="s">
        <v>134</v>
      </c>
      <c r="X407" t="s">
        <v>134</v>
      </c>
      <c r="Y407" t="s">
        <v>134</v>
      </c>
      <c r="Z407" t="s">
        <v>134</v>
      </c>
      <c r="AA407" t="s">
        <v>134</v>
      </c>
      <c r="AB407" t="s">
        <v>134</v>
      </c>
      <c r="AC407" t="s">
        <v>134</v>
      </c>
      <c r="AD407" t="s">
        <v>134</v>
      </c>
      <c r="AE407" t="s">
        <v>134</v>
      </c>
      <c r="AF407" t="s">
        <v>134</v>
      </c>
      <c r="AG407" t="s">
        <v>134</v>
      </c>
      <c r="AH407" t="s">
        <v>134</v>
      </c>
      <c r="AI407" t="s">
        <v>134</v>
      </c>
      <c r="AJ407" t="s">
        <v>134</v>
      </c>
      <c r="AK407" t="s">
        <v>134</v>
      </c>
      <c r="AL407" t="s">
        <v>134</v>
      </c>
      <c r="AM407" t="s">
        <v>134</v>
      </c>
      <c r="AN407" t="s">
        <v>134</v>
      </c>
      <c r="AO407" t="s">
        <v>134</v>
      </c>
      <c r="AP407" t="s">
        <v>134</v>
      </c>
      <c r="AQ407" t="s">
        <v>134</v>
      </c>
      <c r="AR407" t="s">
        <v>134</v>
      </c>
      <c r="AS407" t="s">
        <v>134</v>
      </c>
      <c r="AT407" t="s">
        <v>134</v>
      </c>
      <c r="AU407" t="s">
        <v>134</v>
      </c>
      <c r="AV407" t="s">
        <v>134</v>
      </c>
      <c r="AW407" t="s">
        <v>134</v>
      </c>
      <c r="AX407" t="s">
        <v>134</v>
      </c>
      <c r="AY407" t="s">
        <v>134</v>
      </c>
      <c r="AZ407" t="s">
        <v>134</v>
      </c>
      <c r="BA407" t="s">
        <v>134</v>
      </c>
      <c r="BB407" t="s">
        <v>134</v>
      </c>
      <c r="BC407" t="s">
        <v>134</v>
      </c>
      <c r="BD407" t="s">
        <v>134</v>
      </c>
      <c r="BE407" t="s">
        <v>134</v>
      </c>
      <c r="BF407" t="s">
        <v>134</v>
      </c>
      <c r="BG407" t="s">
        <v>134</v>
      </c>
      <c r="BH407" t="s">
        <v>134</v>
      </c>
      <c r="BI407" t="s">
        <v>134</v>
      </c>
      <c r="BJ407" t="s">
        <v>134</v>
      </c>
      <c r="BK407" t="s">
        <v>134</v>
      </c>
      <c r="BL407" t="s">
        <v>134</v>
      </c>
      <c r="BM407" t="s">
        <v>134</v>
      </c>
      <c r="BN407" t="s">
        <v>134</v>
      </c>
      <c r="BO407" t="s">
        <v>134</v>
      </c>
      <c r="BP407" t="s">
        <v>134</v>
      </c>
      <c r="BQ407" t="s">
        <v>134</v>
      </c>
      <c r="BR407" t="s">
        <v>134</v>
      </c>
      <c r="BS407" t="s">
        <v>134</v>
      </c>
      <c r="BT407" t="s">
        <v>134</v>
      </c>
      <c r="BU407" t="s">
        <v>134</v>
      </c>
      <c r="BV407" t="s">
        <v>134</v>
      </c>
      <c r="BW407" t="s">
        <v>134</v>
      </c>
      <c r="BX407" t="s">
        <v>134</v>
      </c>
      <c r="BY407" t="s">
        <v>134</v>
      </c>
      <c r="BZ407" t="s">
        <v>134</v>
      </c>
      <c r="CA407" t="s">
        <v>134</v>
      </c>
      <c r="CB407" t="s">
        <v>134</v>
      </c>
      <c r="CC407" t="s">
        <v>134</v>
      </c>
      <c r="CD407" t="s">
        <v>134</v>
      </c>
      <c r="CE407" t="s">
        <v>134</v>
      </c>
      <c r="CF407" t="s">
        <v>134</v>
      </c>
      <c r="CG407" t="s">
        <v>134</v>
      </c>
      <c r="CH407" t="s">
        <v>134</v>
      </c>
      <c r="CI407" t="s">
        <v>134</v>
      </c>
      <c r="CJ407" t="s">
        <v>134</v>
      </c>
      <c r="CK407" t="s">
        <v>134</v>
      </c>
      <c r="CL407" t="s">
        <v>134</v>
      </c>
      <c r="CM407" t="s">
        <v>134</v>
      </c>
      <c r="CN407" t="s">
        <v>134</v>
      </c>
      <c r="CO407" t="s">
        <v>134</v>
      </c>
      <c r="CP407" t="s">
        <v>134</v>
      </c>
      <c r="CQ407" t="s">
        <v>134</v>
      </c>
      <c r="CR407" t="s">
        <v>134</v>
      </c>
      <c r="CS407" t="s">
        <v>134</v>
      </c>
      <c r="CT407" t="s">
        <v>134</v>
      </c>
      <c r="CU407" t="s">
        <v>134</v>
      </c>
      <c r="CV407" t="s">
        <v>134</v>
      </c>
      <c r="CW407" t="s">
        <v>134</v>
      </c>
      <c r="CX407" t="s">
        <v>134</v>
      </c>
      <c r="CY407" t="s">
        <v>134</v>
      </c>
      <c r="CZ407" t="s">
        <v>134</v>
      </c>
      <c r="DA407" t="s">
        <v>134</v>
      </c>
      <c r="DB407" t="s">
        <v>134</v>
      </c>
      <c r="DC407" t="s">
        <v>134</v>
      </c>
      <c r="DD407" t="s">
        <v>134</v>
      </c>
      <c r="DE407" t="s">
        <v>134</v>
      </c>
      <c r="DF407" t="s">
        <v>134</v>
      </c>
      <c r="DG407" t="s">
        <v>134</v>
      </c>
      <c r="DH407" t="s">
        <v>134</v>
      </c>
      <c r="DI407" t="s">
        <v>134</v>
      </c>
    </row>
    <row r="408" spans="1:113" x14ac:dyDescent="0.3">
      <c r="D408" t="s">
        <v>82</v>
      </c>
      <c r="E408" t="s">
        <v>77</v>
      </c>
      <c r="F408">
        <v>4.3112000000000004</v>
      </c>
      <c r="G408">
        <v>1.9877</v>
      </c>
      <c r="H408">
        <v>4.0869999999999997</v>
      </c>
      <c r="I408">
        <v>2.6395999999999997</v>
      </c>
      <c r="J408">
        <v>8.3910999999999998</v>
      </c>
      <c r="K408">
        <v>4.8009000000000004</v>
      </c>
      <c r="L408">
        <v>-24.673200000000001</v>
      </c>
      <c r="M408">
        <v>7.2553000000000001</v>
      </c>
      <c r="N408">
        <v>4.8110999999999997</v>
      </c>
      <c r="O408">
        <v>4.8175999999999997</v>
      </c>
      <c r="P408">
        <v>4.8175999999999997</v>
      </c>
      <c r="Q408">
        <v>33.687800000000003</v>
      </c>
      <c r="R408">
        <v>19.5486</v>
      </c>
      <c r="S408">
        <v>3.4683999999999999</v>
      </c>
      <c r="T408">
        <v>-22.396799999999999</v>
      </c>
      <c r="U408">
        <v>-44.832700000000003</v>
      </c>
      <c r="V408">
        <v>-59.729799999999997</v>
      </c>
      <c r="W408">
        <v>-58.537300000000002</v>
      </c>
      <c r="X408">
        <v>-58.560400000000001</v>
      </c>
      <c r="Y408">
        <v>-59.010599999999997</v>
      </c>
      <c r="Z408">
        <v>-5.9522000000000004</v>
      </c>
      <c r="AA408">
        <v>3.0911</v>
      </c>
      <c r="AB408">
        <v>-10.654199999999999</v>
      </c>
      <c r="AC408">
        <v>-5.7888999999999999</v>
      </c>
      <c r="AD408">
        <v>-5.5903999999999998</v>
      </c>
      <c r="AE408">
        <v>-0.65610000000000002</v>
      </c>
      <c r="AF408">
        <v>2.8961999999999999</v>
      </c>
      <c r="AG408">
        <v>-94.391400000000004</v>
      </c>
      <c r="AH408">
        <v>-59.795400000000001</v>
      </c>
      <c r="AI408">
        <v>3.1181000000000001</v>
      </c>
      <c r="AJ408">
        <v>-4.6790000000000003</v>
      </c>
      <c r="AK408">
        <v>3.1244000000000001</v>
      </c>
      <c r="AL408">
        <v>-67.164699999999996</v>
      </c>
      <c r="AM408">
        <v>-1.8835</v>
      </c>
      <c r="AN408">
        <v>-15.711500000000001</v>
      </c>
      <c r="AO408">
        <v>-23.392600000000002</v>
      </c>
      <c r="AP408">
        <v>-19.614000000000001</v>
      </c>
      <c r="AQ408">
        <v>-19.624400000000001</v>
      </c>
      <c r="AR408">
        <v>-24.279299999999999</v>
      </c>
      <c r="AS408">
        <v>4.9865000000000004</v>
      </c>
      <c r="AT408">
        <v>1.7235</v>
      </c>
      <c r="AU408">
        <v>11.2791</v>
      </c>
      <c r="AV408">
        <v>7.7976000000000001</v>
      </c>
      <c r="AW408">
        <v>4.1988000000000003</v>
      </c>
      <c r="AX408">
        <v>20.562799999999999</v>
      </c>
      <c r="AY408">
        <v>3.4984999999999999</v>
      </c>
      <c r="AZ408">
        <v>16.4359</v>
      </c>
      <c r="BA408">
        <v>66.31</v>
      </c>
      <c r="BB408">
        <v>16.5655</v>
      </c>
      <c r="BC408">
        <v>17.6053</v>
      </c>
      <c r="BD408">
        <v>16.564</v>
      </c>
      <c r="BE408">
        <v>-7.1298000000000004</v>
      </c>
      <c r="BF408">
        <v>-22.396799999999999</v>
      </c>
      <c r="BG408">
        <v>-44.832700000000003</v>
      </c>
      <c r="BH408">
        <v>-59.729799999999997</v>
      </c>
      <c r="BI408">
        <v>-58.537300000000002</v>
      </c>
      <c r="BJ408">
        <v>-58.560400000000001</v>
      </c>
      <c r="BK408">
        <v>-59.010599999999997</v>
      </c>
      <c r="BL408">
        <v>-5.9522000000000004</v>
      </c>
      <c r="BM408">
        <v>3.0911</v>
      </c>
      <c r="BN408">
        <v>-10.654199999999999</v>
      </c>
      <c r="BO408">
        <v>-5.7888999999999999</v>
      </c>
      <c r="BP408">
        <v>-5.5903999999999998</v>
      </c>
      <c r="BQ408">
        <v>-0.65610000000000002</v>
      </c>
      <c r="BR408">
        <v>2.8961999999999999</v>
      </c>
      <c r="BS408">
        <v>-94.391400000000004</v>
      </c>
      <c r="BT408">
        <v>-59.795400000000001</v>
      </c>
      <c r="BU408">
        <v>3.1181000000000001</v>
      </c>
      <c r="BV408">
        <v>-4.6790000000000003</v>
      </c>
      <c r="BW408">
        <v>3.1244000000000001</v>
      </c>
      <c r="BX408">
        <v>-67.164699999999996</v>
      </c>
      <c r="BY408">
        <v>18868.3</v>
      </c>
      <c r="BZ408">
        <v>1532.1</v>
      </c>
      <c r="CA408">
        <v>17336.2</v>
      </c>
      <c r="CB408">
        <v>0.74590000000000001</v>
      </c>
      <c r="CC408">
        <v>-3.1855000000000002</v>
      </c>
      <c r="CD408">
        <v>1.3035999999999999</v>
      </c>
      <c r="CE408">
        <v>-5.5675999999999997</v>
      </c>
      <c r="CF408">
        <v>27.499700000000001</v>
      </c>
      <c r="CG408">
        <v>48.253999999999998</v>
      </c>
      <c r="CH408">
        <v>5.0678000000000001</v>
      </c>
      <c r="CI408">
        <v>4.8027999999999995</v>
      </c>
      <c r="CJ408">
        <v>2.4455999999999998</v>
      </c>
      <c r="CK408">
        <v>5.5156000000000001</v>
      </c>
      <c r="CL408">
        <v>5.2272999999999996</v>
      </c>
      <c r="CM408">
        <v>2.6616999999999997</v>
      </c>
      <c r="CN408">
        <v>-23.5563</v>
      </c>
      <c r="CO408">
        <v>-30.815300000000001</v>
      </c>
      <c r="CP408">
        <v>25297</v>
      </c>
      <c r="CQ408">
        <v>22040.7</v>
      </c>
      <c r="CR408">
        <v>14473.6</v>
      </c>
      <c r="CS408">
        <v>0.43590000000000001</v>
      </c>
      <c r="CT408">
        <v>2.1493000000000002</v>
      </c>
      <c r="CU408">
        <v>1.5981999999999998</v>
      </c>
      <c r="CV408">
        <v>1.9100999999999999</v>
      </c>
      <c r="CW408">
        <v>1.1019000000000001</v>
      </c>
      <c r="CX408">
        <v>331.24310000000003</v>
      </c>
      <c r="CY408">
        <v>1.4255</v>
      </c>
      <c r="CZ408">
        <v>256.04259999999999</v>
      </c>
      <c r="DA408">
        <v>1.6186</v>
      </c>
      <c r="DB408">
        <v>225.5086</v>
      </c>
      <c r="DC408">
        <v>361.77710000000002</v>
      </c>
      <c r="DD408">
        <v>587.28570000000002</v>
      </c>
      <c r="DE408">
        <v>101118.9</v>
      </c>
      <c r="DF408">
        <v>45607.4</v>
      </c>
      <c r="DG408">
        <v>32121.200000000001</v>
      </c>
      <c r="DH408">
        <v>19482.3</v>
      </c>
      <c r="DI408">
        <v>3908</v>
      </c>
    </row>
    <row r="409" spans="1:113" x14ac:dyDescent="0.3">
      <c r="E409" t="s">
        <v>78</v>
      </c>
      <c r="F409" t="s">
        <v>134</v>
      </c>
      <c r="G409" t="s">
        <v>134</v>
      </c>
      <c r="H409" t="s">
        <v>134</v>
      </c>
      <c r="I409" t="s">
        <v>134</v>
      </c>
      <c r="J409" t="s">
        <v>134</v>
      </c>
      <c r="K409" t="s">
        <v>134</v>
      </c>
      <c r="L409" t="s">
        <v>134</v>
      </c>
      <c r="M409" t="s">
        <v>134</v>
      </c>
      <c r="N409" t="s">
        <v>134</v>
      </c>
      <c r="O409" t="s">
        <v>134</v>
      </c>
      <c r="P409" t="s">
        <v>134</v>
      </c>
      <c r="Q409" t="s">
        <v>134</v>
      </c>
      <c r="R409" t="s">
        <v>134</v>
      </c>
      <c r="S409" t="s">
        <v>134</v>
      </c>
      <c r="T409" t="s">
        <v>134</v>
      </c>
      <c r="U409" t="s">
        <v>134</v>
      </c>
      <c r="V409" t="s">
        <v>134</v>
      </c>
      <c r="W409" t="s">
        <v>134</v>
      </c>
      <c r="X409" t="s">
        <v>134</v>
      </c>
      <c r="Y409" t="s">
        <v>134</v>
      </c>
      <c r="Z409" t="s">
        <v>134</v>
      </c>
      <c r="AA409" t="s">
        <v>134</v>
      </c>
      <c r="AB409" t="s">
        <v>134</v>
      </c>
      <c r="AC409" t="s">
        <v>134</v>
      </c>
      <c r="AD409" t="s">
        <v>134</v>
      </c>
      <c r="AE409" t="s">
        <v>134</v>
      </c>
      <c r="AF409" t="s">
        <v>134</v>
      </c>
      <c r="AG409" t="s">
        <v>134</v>
      </c>
      <c r="AH409" t="s">
        <v>134</v>
      </c>
      <c r="AI409" t="s">
        <v>134</v>
      </c>
      <c r="AJ409" t="s">
        <v>134</v>
      </c>
      <c r="AK409" t="s">
        <v>134</v>
      </c>
      <c r="AL409" t="s">
        <v>134</v>
      </c>
      <c r="AM409" t="s">
        <v>134</v>
      </c>
      <c r="AN409" t="s">
        <v>134</v>
      </c>
      <c r="AO409" t="s">
        <v>134</v>
      </c>
      <c r="AP409" t="s">
        <v>134</v>
      </c>
      <c r="AQ409" t="s">
        <v>134</v>
      </c>
      <c r="AR409" t="s">
        <v>134</v>
      </c>
      <c r="AS409" t="s">
        <v>134</v>
      </c>
      <c r="AT409" t="s">
        <v>134</v>
      </c>
      <c r="AU409" t="s">
        <v>134</v>
      </c>
      <c r="AV409" t="s">
        <v>134</v>
      </c>
      <c r="AW409" t="s">
        <v>134</v>
      </c>
      <c r="AX409" t="s">
        <v>134</v>
      </c>
      <c r="AY409" t="s">
        <v>134</v>
      </c>
      <c r="AZ409" t="s">
        <v>134</v>
      </c>
      <c r="BA409" t="s">
        <v>134</v>
      </c>
      <c r="BB409" t="s">
        <v>134</v>
      </c>
      <c r="BC409" t="s">
        <v>134</v>
      </c>
      <c r="BD409" t="s">
        <v>134</v>
      </c>
      <c r="BE409" t="s">
        <v>134</v>
      </c>
      <c r="BF409" t="s">
        <v>134</v>
      </c>
      <c r="BG409" t="s">
        <v>134</v>
      </c>
      <c r="BH409" t="s">
        <v>134</v>
      </c>
      <c r="BI409" t="s">
        <v>134</v>
      </c>
      <c r="BJ409" t="s">
        <v>134</v>
      </c>
      <c r="BK409" t="s">
        <v>134</v>
      </c>
      <c r="BL409" t="s">
        <v>134</v>
      </c>
      <c r="BM409" t="s">
        <v>134</v>
      </c>
      <c r="BN409" t="s">
        <v>134</v>
      </c>
      <c r="BO409" t="s">
        <v>134</v>
      </c>
      <c r="BP409" t="s">
        <v>134</v>
      </c>
      <c r="BQ409" t="s">
        <v>134</v>
      </c>
      <c r="BR409" t="s">
        <v>134</v>
      </c>
      <c r="BS409" t="s">
        <v>134</v>
      </c>
      <c r="BT409" t="s">
        <v>134</v>
      </c>
      <c r="BU409" t="s">
        <v>134</v>
      </c>
      <c r="BV409" t="s">
        <v>134</v>
      </c>
      <c r="BW409" t="s">
        <v>134</v>
      </c>
      <c r="BX409" t="s">
        <v>134</v>
      </c>
      <c r="BY409" t="s">
        <v>134</v>
      </c>
      <c r="BZ409" t="s">
        <v>134</v>
      </c>
      <c r="CA409" t="s">
        <v>134</v>
      </c>
      <c r="CB409" t="s">
        <v>134</v>
      </c>
      <c r="CC409" t="s">
        <v>134</v>
      </c>
      <c r="CD409" t="s">
        <v>134</v>
      </c>
      <c r="CE409" t="s">
        <v>134</v>
      </c>
      <c r="CF409" t="s">
        <v>134</v>
      </c>
      <c r="CG409" t="s">
        <v>134</v>
      </c>
      <c r="CH409" t="s">
        <v>134</v>
      </c>
      <c r="CI409" t="s">
        <v>134</v>
      </c>
      <c r="CJ409" t="s">
        <v>134</v>
      </c>
      <c r="CK409" t="s">
        <v>134</v>
      </c>
      <c r="CL409" t="s">
        <v>134</v>
      </c>
      <c r="CM409" t="s">
        <v>134</v>
      </c>
      <c r="CN409" t="s">
        <v>134</v>
      </c>
      <c r="CO409" t="s">
        <v>134</v>
      </c>
      <c r="CP409" t="s">
        <v>134</v>
      </c>
      <c r="CQ409" t="s">
        <v>134</v>
      </c>
      <c r="CR409" t="s">
        <v>134</v>
      </c>
      <c r="CS409" t="s">
        <v>134</v>
      </c>
      <c r="CT409" t="s">
        <v>134</v>
      </c>
      <c r="CU409" t="s">
        <v>134</v>
      </c>
      <c r="CV409" t="s">
        <v>134</v>
      </c>
      <c r="CW409" t="s">
        <v>134</v>
      </c>
      <c r="CX409" t="s">
        <v>134</v>
      </c>
      <c r="CY409" t="s">
        <v>134</v>
      </c>
      <c r="CZ409" t="s">
        <v>134</v>
      </c>
      <c r="DA409" t="s">
        <v>134</v>
      </c>
      <c r="DB409" t="s">
        <v>134</v>
      </c>
      <c r="DC409" t="s">
        <v>134</v>
      </c>
      <c r="DD409" t="s">
        <v>134</v>
      </c>
      <c r="DE409" t="s">
        <v>134</v>
      </c>
      <c r="DF409" t="s">
        <v>134</v>
      </c>
      <c r="DG409" t="s">
        <v>134</v>
      </c>
      <c r="DH409" t="s">
        <v>134</v>
      </c>
      <c r="DI409" t="s">
        <v>134</v>
      </c>
    </row>
    <row r="410" spans="1:113" x14ac:dyDescent="0.3">
      <c r="E410" t="s">
        <v>79</v>
      </c>
      <c r="F410" t="s">
        <v>134</v>
      </c>
      <c r="G410" t="s">
        <v>134</v>
      </c>
      <c r="H410" t="s">
        <v>134</v>
      </c>
      <c r="I410" t="s">
        <v>134</v>
      </c>
      <c r="J410" t="s">
        <v>134</v>
      </c>
      <c r="K410" t="s">
        <v>134</v>
      </c>
      <c r="L410" t="s">
        <v>134</v>
      </c>
      <c r="M410" t="s">
        <v>134</v>
      </c>
      <c r="N410" t="s">
        <v>134</v>
      </c>
      <c r="O410" t="s">
        <v>134</v>
      </c>
      <c r="P410" t="s">
        <v>134</v>
      </c>
      <c r="Q410" t="s">
        <v>134</v>
      </c>
      <c r="R410" t="s">
        <v>134</v>
      </c>
      <c r="S410" t="s">
        <v>134</v>
      </c>
      <c r="T410" t="s">
        <v>134</v>
      </c>
      <c r="U410" t="s">
        <v>134</v>
      </c>
      <c r="V410" t="s">
        <v>134</v>
      </c>
      <c r="W410" t="s">
        <v>134</v>
      </c>
      <c r="X410" t="s">
        <v>134</v>
      </c>
      <c r="Y410" t="s">
        <v>134</v>
      </c>
      <c r="Z410" t="s">
        <v>134</v>
      </c>
      <c r="AA410" t="s">
        <v>134</v>
      </c>
      <c r="AB410" t="s">
        <v>134</v>
      </c>
      <c r="AC410" t="s">
        <v>134</v>
      </c>
      <c r="AD410" t="s">
        <v>134</v>
      </c>
      <c r="AE410" t="s">
        <v>134</v>
      </c>
      <c r="AF410" t="s">
        <v>134</v>
      </c>
      <c r="AG410" t="s">
        <v>134</v>
      </c>
      <c r="AH410" t="s">
        <v>134</v>
      </c>
      <c r="AI410" t="s">
        <v>134</v>
      </c>
      <c r="AJ410" t="s">
        <v>134</v>
      </c>
      <c r="AK410" t="s">
        <v>134</v>
      </c>
      <c r="AL410" t="s">
        <v>134</v>
      </c>
      <c r="AM410" t="s">
        <v>134</v>
      </c>
      <c r="AN410" t="s">
        <v>134</v>
      </c>
      <c r="AO410" t="s">
        <v>134</v>
      </c>
      <c r="AP410" t="s">
        <v>134</v>
      </c>
      <c r="AQ410" t="s">
        <v>134</v>
      </c>
      <c r="AR410" t="s">
        <v>134</v>
      </c>
      <c r="AS410" t="s">
        <v>134</v>
      </c>
      <c r="AT410" t="s">
        <v>134</v>
      </c>
      <c r="AU410" t="s">
        <v>134</v>
      </c>
      <c r="AV410" t="s">
        <v>134</v>
      </c>
      <c r="AW410" t="s">
        <v>134</v>
      </c>
      <c r="AX410" t="s">
        <v>134</v>
      </c>
      <c r="AY410" t="s">
        <v>134</v>
      </c>
      <c r="AZ410" t="s">
        <v>134</v>
      </c>
      <c r="BA410" t="s">
        <v>134</v>
      </c>
      <c r="BB410" t="s">
        <v>134</v>
      </c>
      <c r="BC410" t="s">
        <v>134</v>
      </c>
      <c r="BD410" t="s">
        <v>134</v>
      </c>
      <c r="BE410" t="s">
        <v>134</v>
      </c>
      <c r="BF410" t="s">
        <v>134</v>
      </c>
      <c r="BG410" t="s">
        <v>134</v>
      </c>
      <c r="BH410" t="s">
        <v>134</v>
      </c>
      <c r="BI410" t="s">
        <v>134</v>
      </c>
      <c r="BJ410" t="s">
        <v>134</v>
      </c>
      <c r="BK410" t="s">
        <v>134</v>
      </c>
      <c r="BL410" t="s">
        <v>134</v>
      </c>
      <c r="BM410" t="s">
        <v>134</v>
      </c>
      <c r="BN410" t="s">
        <v>134</v>
      </c>
      <c r="BO410" t="s">
        <v>134</v>
      </c>
      <c r="BP410" t="s">
        <v>134</v>
      </c>
      <c r="BQ410" t="s">
        <v>134</v>
      </c>
      <c r="BR410" t="s">
        <v>134</v>
      </c>
      <c r="BS410" t="s">
        <v>134</v>
      </c>
      <c r="BT410" t="s">
        <v>134</v>
      </c>
      <c r="BU410" t="s">
        <v>134</v>
      </c>
      <c r="BV410" t="s">
        <v>134</v>
      </c>
      <c r="BW410" t="s">
        <v>134</v>
      </c>
      <c r="BX410" t="s">
        <v>134</v>
      </c>
      <c r="BY410" t="s">
        <v>134</v>
      </c>
      <c r="BZ410" t="s">
        <v>134</v>
      </c>
      <c r="CA410" t="s">
        <v>134</v>
      </c>
      <c r="CB410" t="s">
        <v>134</v>
      </c>
      <c r="CC410" t="s">
        <v>134</v>
      </c>
      <c r="CD410" t="s">
        <v>134</v>
      </c>
      <c r="CE410" t="s">
        <v>134</v>
      </c>
      <c r="CF410" t="s">
        <v>134</v>
      </c>
      <c r="CG410" t="s">
        <v>134</v>
      </c>
      <c r="CH410" t="s">
        <v>134</v>
      </c>
      <c r="CI410" t="s">
        <v>134</v>
      </c>
      <c r="CJ410" t="s">
        <v>134</v>
      </c>
      <c r="CK410" t="s">
        <v>134</v>
      </c>
      <c r="CL410" t="s">
        <v>134</v>
      </c>
      <c r="CM410" t="s">
        <v>134</v>
      </c>
      <c r="CN410" t="s">
        <v>134</v>
      </c>
      <c r="CO410" t="s">
        <v>134</v>
      </c>
      <c r="CP410" t="s">
        <v>134</v>
      </c>
      <c r="CQ410" t="s">
        <v>134</v>
      </c>
      <c r="CR410" t="s">
        <v>134</v>
      </c>
      <c r="CS410" t="s">
        <v>134</v>
      </c>
      <c r="CT410" t="s">
        <v>134</v>
      </c>
      <c r="CU410" t="s">
        <v>134</v>
      </c>
      <c r="CV410" t="s">
        <v>134</v>
      </c>
      <c r="CW410" t="s">
        <v>134</v>
      </c>
      <c r="CX410" t="s">
        <v>134</v>
      </c>
      <c r="CY410" t="s">
        <v>134</v>
      </c>
      <c r="CZ410" t="s">
        <v>134</v>
      </c>
      <c r="DA410" t="s">
        <v>134</v>
      </c>
      <c r="DB410" t="s">
        <v>134</v>
      </c>
      <c r="DC410" t="s">
        <v>134</v>
      </c>
      <c r="DD410" t="s">
        <v>134</v>
      </c>
      <c r="DE410" t="s">
        <v>134</v>
      </c>
      <c r="DF410" t="s">
        <v>134</v>
      </c>
      <c r="DG410" t="s">
        <v>134</v>
      </c>
      <c r="DH410" t="s">
        <v>134</v>
      </c>
      <c r="DI410" t="s">
        <v>134</v>
      </c>
    </row>
    <row r="411" spans="1:113" x14ac:dyDescent="0.3">
      <c r="E411" t="s">
        <v>80</v>
      </c>
      <c r="F411" t="s">
        <v>134</v>
      </c>
      <c r="G411" t="s">
        <v>134</v>
      </c>
      <c r="H411" t="s">
        <v>134</v>
      </c>
      <c r="I411" t="s">
        <v>134</v>
      </c>
      <c r="J411" t="s">
        <v>134</v>
      </c>
      <c r="K411" t="s">
        <v>134</v>
      </c>
      <c r="L411" t="s">
        <v>134</v>
      </c>
      <c r="M411" t="s">
        <v>134</v>
      </c>
      <c r="N411" t="s">
        <v>134</v>
      </c>
      <c r="O411" t="s">
        <v>134</v>
      </c>
      <c r="P411" t="s">
        <v>134</v>
      </c>
      <c r="Q411" t="s">
        <v>134</v>
      </c>
      <c r="R411" t="s">
        <v>134</v>
      </c>
      <c r="S411" t="s">
        <v>134</v>
      </c>
      <c r="T411" t="s">
        <v>134</v>
      </c>
      <c r="U411" t="s">
        <v>134</v>
      </c>
      <c r="V411" t="s">
        <v>134</v>
      </c>
      <c r="W411" t="s">
        <v>134</v>
      </c>
      <c r="X411" t="s">
        <v>134</v>
      </c>
      <c r="Y411" t="s">
        <v>134</v>
      </c>
      <c r="Z411" t="s">
        <v>134</v>
      </c>
      <c r="AA411" t="s">
        <v>134</v>
      </c>
      <c r="AB411" t="s">
        <v>134</v>
      </c>
      <c r="AC411" t="s">
        <v>134</v>
      </c>
      <c r="AD411" t="s">
        <v>134</v>
      </c>
      <c r="AE411" t="s">
        <v>134</v>
      </c>
      <c r="AF411" t="s">
        <v>134</v>
      </c>
      <c r="AG411" t="s">
        <v>134</v>
      </c>
      <c r="AH411" t="s">
        <v>134</v>
      </c>
      <c r="AI411" t="s">
        <v>134</v>
      </c>
      <c r="AJ411" t="s">
        <v>134</v>
      </c>
      <c r="AK411" t="s">
        <v>134</v>
      </c>
      <c r="AL411" t="s">
        <v>134</v>
      </c>
      <c r="AM411" t="s">
        <v>134</v>
      </c>
      <c r="AN411" t="s">
        <v>134</v>
      </c>
      <c r="AO411" t="s">
        <v>134</v>
      </c>
      <c r="AP411" t="s">
        <v>134</v>
      </c>
      <c r="AQ411" t="s">
        <v>134</v>
      </c>
      <c r="AR411" t="s">
        <v>134</v>
      </c>
      <c r="AS411" t="s">
        <v>134</v>
      </c>
      <c r="AT411" t="s">
        <v>134</v>
      </c>
      <c r="AU411" t="s">
        <v>134</v>
      </c>
      <c r="AV411" t="s">
        <v>134</v>
      </c>
      <c r="AW411" t="s">
        <v>134</v>
      </c>
      <c r="AX411" t="s">
        <v>134</v>
      </c>
      <c r="AY411" t="s">
        <v>134</v>
      </c>
      <c r="AZ411" t="s">
        <v>134</v>
      </c>
      <c r="BA411" t="s">
        <v>134</v>
      </c>
      <c r="BB411" t="s">
        <v>134</v>
      </c>
      <c r="BC411" t="s">
        <v>134</v>
      </c>
      <c r="BD411" t="s">
        <v>134</v>
      </c>
      <c r="BE411" t="s">
        <v>134</v>
      </c>
      <c r="BF411" t="s">
        <v>134</v>
      </c>
      <c r="BG411" t="s">
        <v>134</v>
      </c>
      <c r="BH411" t="s">
        <v>134</v>
      </c>
      <c r="BI411" t="s">
        <v>134</v>
      </c>
      <c r="BJ411" t="s">
        <v>134</v>
      </c>
      <c r="BK411" t="s">
        <v>134</v>
      </c>
      <c r="BL411" t="s">
        <v>134</v>
      </c>
      <c r="BM411" t="s">
        <v>134</v>
      </c>
      <c r="BN411" t="s">
        <v>134</v>
      </c>
      <c r="BO411" t="s">
        <v>134</v>
      </c>
      <c r="BP411" t="s">
        <v>134</v>
      </c>
      <c r="BQ411" t="s">
        <v>134</v>
      </c>
      <c r="BR411" t="s">
        <v>134</v>
      </c>
      <c r="BS411" t="s">
        <v>134</v>
      </c>
      <c r="BT411" t="s">
        <v>134</v>
      </c>
      <c r="BU411" t="s">
        <v>134</v>
      </c>
      <c r="BV411" t="s">
        <v>134</v>
      </c>
      <c r="BW411" t="s">
        <v>134</v>
      </c>
      <c r="BX411" t="s">
        <v>134</v>
      </c>
      <c r="BY411" t="s">
        <v>134</v>
      </c>
      <c r="BZ411" t="s">
        <v>134</v>
      </c>
      <c r="CA411" t="s">
        <v>134</v>
      </c>
      <c r="CB411" t="s">
        <v>134</v>
      </c>
      <c r="CC411" t="s">
        <v>134</v>
      </c>
      <c r="CD411" t="s">
        <v>134</v>
      </c>
      <c r="CE411" t="s">
        <v>134</v>
      </c>
      <c r="CF411" t="s">
        <v>134</v>
      </c>
      <c r="CG411" t="s">
        <v>134</v>
      </c>
      <c r="CH411" t="s">
        <v>134</v>
      </c>
      <c r="CI411" t="s">
        <v>134</v>
      </c>
      <c r="CJ411" t="s">
        <v>134</v>
      </c>
      <c r="CK411" t="s">
        <v>134</v>
      </c>
      <c r="CL411" t="s">
        <v>134</v>
      </c>
      <c r="CM411" t="s">
        <v>134</v>
      </c>
      <c r="CN411" t="s">
        <v>134</v>
      </c>
      <c r="CO411" t="s">
        <v>134</v>
      </c>
      <c r="CP411" t="s">
        <v>134</v>
      </c>
      <c r="CQ411" t="s">
        <v>134</v>
      </c>
      <c r="CR411" t="s">
        <v>134</v>
      </c>
      <c r="CS411" t="s">
        <v>134</v>
      </c>
      <c r="CT411" t="s">
        <v>134</v>
      </c>
      <c r="CU411" t="s">
        <v>134</v>
      </c>
      <c r="CV411" t="s">
        <v>134</v>
      </c>
      <c r="CW411" t="s">
        <v>134</v>
      </c>
      <c r="CX411" t="s">
        <v>134</v>
      </c>
      <c r="CY411" t="s">
        <v>134</v>
      </c>
      <c r="CZ411" t="s">
        <v>134</v>
      </c>
      <c r="DA411" t="s">
        <v>134</v>
      </c>
      <c r="DB411" t="s">
        <v>134</v>
      </c>
      <c r="DC411" t="s">
        <v>134</v>
      </c>
      <c r="DD411" t="s">
        <v>134</v>
      </c>
      <c r="DE411" t="s">
        <v>134</v>
      </c>
      <c r="DF411" t="s">
        <v>134</v>
      </c>
      <c r="DG411" t="s">
        <v>134</v>
      </c>
      <c r="DH411" t="s">
        <v>134</v>
      </c>
      <c r="DI411" t="s">
        <v>134</v>
      </c>
    </row>
    <row r="412" spans="1:113" x14ac:dyDescent="0.3">
      <c r="E412" t="s">
        <v>81</v>
      </c>
      <c r="F412" t="s">
        <v>134</v>
      </c>
      <c r="G412" t="s">
        <v>134</v>
      </c>
      <c r="H412" t="s">
        <v>134</v>
      </c>
      <c r="I412" t="s">
        <v>134</v>
      </c>
      <c r="J412" t="s">
        <v>134</v>
      </c>
      <c r="K412" t="s">
        <v>134</v>
      </c>
      <c r="L412" t="s">
        <v>134</v>
      </c>
      <c r="M412" t="s">
        <v>134</v>
      </c>
      <c r="N412" t="s">
        <v>134</v>
      </c>
      <c r="O412" t="s">
        <v>134</v>
      </c>
      <c r="P412" t="s">
        <v>134</v>
      </c>
      <c r="Q412" t="s">
        <v>134</v>
      </c>
      <c r="R412" t="s">
        <v>134</v>
      </c>
      <c r="S412" t="s">
        <v>134</v>
      </c>
      <c r="T412" t="s">
        <v>134</v>
      </c>
      <c r="U412" t="s">
        <v>134</v>
      </c>
      <c r="V412" t="s">
        <v>134</v>
      </c>
      <c r="W412" t="s">
        <v>134</v>
      </c>
      <c r="X412" t="s">
        <v>134</v>
      </c>
      <c r="Y412" t="s">
        <v>134</v>
      </c>
      <c r="Z412" t="s">
        <v>134</v>
      </c>
      <c r="AA412" t="s">
        <v>134</v>
      </c>
      <c r="AB412" t="s">
        <v>134</v>
      </c>
      <c r="AC412" t="s">
        <v>134</v>
      </c>
      <c r="AD412" t="s">
        <v>134</v>
      </c>
      <c r="AE412" t="s">
        <v>134</v>
      </c>
      <c r="AF412" t="s">
        <v>134</v>
      </c>
      <c r="AG412" t="s">
        <v>134</v>
      </c>
      <c r="AH412" t="s">
        <v>134</v>
      </c>
      <c r="AI412" t="s">
        <v>134</v>
      </c>
      <c r="AJ412" t="s">
        <v>134</v>
      </c>
      <c r="AK412" t="s">
        <v>134</v>
      </c>
      <c r="AL412" t="s">
        <v>134</v>
      </c>
      <c r="AM412" t="s">
        <v>134</v>
      </c>
      <c r="AN412" t="s">
        <v>134</v>
      </c>
      <c r="AO412" t="s">
        <v>134</v>
      </c>
      <c r="AP412" t="s">
        <v>134</v>
      </c>
      <c r="AQ412" t="s">
        <v>134</v>
      </c>
      <c r="AR412" t="s">
        <v>134</v>
      </c>
      <c r="AS412" t="s">
        <v>134</v>
      </c>
      <c r="AT412" t="s">
        <v>134</v>
      </c>
      <c r="AU412" t="s">
        <v>134</v>
      </c>
      <c r="AV412" t="s">
        <v>134</v>
      </c>
      <c r="AW412" t="s">
        <v>134</v>
      </c>
      <c r="AX412" t="s">
        <v>134</v>
      </c>
      <c r="AY412" t="s">
        <v>134</v>
      </c>
      <c r="AZ412" t="s">
        <v>134</v>
      </c>
      <c r="BA412" t="s">
        <v>134</v>
      </c>
      <c r="BB412" t="s">
        <v>134</v>
      </c>
      <c r="BC412" t="s">
        <v>134</v>
      </c>
      <c r="BD412" t="s">
        <v>134</v>
      </c>
      <c r="BE412" t="s">
        <v>134</v>
      </c>
      <c r="BF412" t="s">
        <v>134</v>
      </c>
      <c r="BG412" t="s">
        <v>134</v>
      </c>
      <c r="BH412" t="s">
        <v>134</v>
      </c>
      <c r="BI412" t="s">
        <v>134</v>
      </c>
      <c r="BJ412" t="s">
        <v>134</v>
      </c>
      <c r="BK412" t="s">
        <v>134</v>
      </c>
      <c r="BL412" t="s">
        <v>134</v>
      </c>
      <c r="BM412" t="s">
        <v>134</v>
      </c>
      <c r="BN412" t="s">
        <v>134</v>
      </c>
      <c r="BO412" t="s">
        <v>134</v>
      </c>
      <c r="BP412" t="s">
        <v>134</v>
      </c>
      <c r="BQ412" t="s">
        <v>134</v>
      </c>
      <c r="BR412" t="s">
        <v>134</v>
      </c>
      <c r="BS412" t="s">
        <v>134</v>
      </c>
      <c r="BT412" t="s">
        <v>134</v>
      </c>
      <c r="BU412" t="s">
        <v>134</v>
      </c>
      <c r="BV412" t="s">
        <v>134</v>
      </c>
      <c r="BW412" t="s">
        <v>134</v>
      </c>
      <c r="BX412" t="s">
        <v>134</v>
      </c>
      <c r="BY412" t="s">
        <v>134</v>
      </c>
      <c r="BZ412" t="s">
        <v>134</v>
      </c>
      <c r="CA412" t="s">
        <v>134</v>
      </c>
      <c r="CB412" t="s">
        <v>134</v>
      </c>
      <c r="CC412" t="s">
        <v>134</v>
      </c>
      <c r="CD412" t="s">
        <v>134</v>
      </c>
      <c r="CE412" t="s">
        <v>134</v>
      </c>
      <c r="CF412" t="s">
        <v>134</v>
      </c>
      <c r="CG412" t="s">
        <v>134</v>
      </c>
      <c r="CH412" t="s">
        <v>134</v>
      </c>
      <c r="CI412" t="s">
        <v>134</v>
      </c>
      <c r="CJ412" t="s">
        <v>134</v>
      </c>
      <c r="CK412" t="s">
        <v>134</v>
      </c>
      <c r="CL412" t="s">
        <v>134</v>
      </c>
      <c r="CM412" t="s">
        <v>134</v>
      </c>
      <c r="CN412" t="s">
        <v>134</v>
      </c>
      <c r="CO412" t="s">
        <v>134</v>
      </c>
      <c r="CP412" t="s">
        <v>134</v>
      </c>
      <c r="CQ412" t="s">
        <v>134</v>
      </c>
      <c r="CR412" t="s">
        <v>134</v>
      </c>
      <c r="CS412" t="s">
        <v>134</v>
      </c>
      <c r="CT412" t="s">
        <v>134</v>
      </c>
      <c r="CU412" t="s">
        <v>134</v>
      </c>
      <c r="CV412" t="s">
        <v>134</v>
      </c>
      <c r="CW412" t="s">
        <v>134</v>
      </c>
      <c r="CX412" t="s">
        <v>134</v>
      </c>
      <c r="CY412" t="s">
        <v>134</v>
      </c>
      <c r="CZ412" t="s">
        <v>134</v>
      </c>
      <c r="DA412" t="s">
        <v>134</v>
      </c>
      <c r="DB412" t="s">
        <v>134</v>
      </c>
      <c r="DC412" t="s">
        <v>134</v>
      </c>
      <c r="DD412" t="s">
        <v>134</v>
      </c>
      <c r="DE412" t="s">
        <v>134</v>
      </c>
      <c r="DF412" t="s">
        <v>134</v>
      </c>
      <c r="DG412" t="s">
        <v>134</v>
      </c>
      <c r="DH412" t="s">
        <v>134</v>
      </c>
      <c r="DI412" t="s">
        <v>134</v>
      </c>
    </row>
    <row r="413" spans="1:113" x14ac:dyDescent="0.3">
      <c r="D413" t="s">
        <v>83</v>
      </c>
      <c r="E413" t="s">
        <v>77</v>
      </c>
      <c r="F413">
        <v>-2.6593999999999998</v>
      </c>
      <c r="G413">
        <v>-1.2753999999999999</v>
      </c>
      <c r="H413">
        <v>-2.4500000000000002</v>
      </c>
      <c r="I413">
        <v>-5.1376999999999997</v>
      </c>
      <c r="J413">
        <v>-7.4634999999999998</v>
      </c>
      <c r="K413">
        <v>-11.1089</v>
      </c>
      <c r="L413">
        <v>-100.69889999999999</v>
      </c>
      <c r="M413">
        <v>-5.5940000000000003</v>
      </c>
      <c r="N413">
        <v>-3.4704999999999999</v>
      </c>
      <c r="O413">
        <v>-3.4649000000000001</v>
      </c>
      <c r="P413">
        <v>-3.4649000000000001</v>
      </c>
      <c r="Q413" t="s">
        <v>134</v>
      </c>
      <c r="R413" t="s">
        <v>134</v>
      </c>
      <c r="S413" t="s">
        <v>134</v>
      </c>
      <c r="T413">
        <v>-14.2296</v>
      </c>
      <c r="U413" t="s">
        <v>134</v>
      </c>
      <c r="V413" t="s">
        <v>134</v>
      </c>
      <c r="W413" t="s">
        <v>134</v>
      </c>
      <c r="X413" t="s">
        <v>134</v>
      </c>
      <c r="Y413">
        <v>-65.517200000000003</v>
      </c>
      <c r="Z413">
        <v>-6.6463999999999999</v>
      </c>
      <c r="AA413">
        <v>-4.5427</v>
      </c>
      <c r="AB413">
        <v>6.4886999999999997</v>
      </c>
      <c r="AC413">
        <v>-1.6966000000000001</v>
      </c>
      <c r="AD413">
        <v>-7.9301000000000004</v>
      </c>
      <c r="AE413">
        <v>-2.6402999999999999</v>
      </c>
      <c r="AF413">
        <v>-0.41299999999999998</v>
      </c>
      <c r="AG413">
        <v>-41.225499999999997</v>
      </c>
      <c r="AH413">
        <v>34.037599999999998</v>
      </c>
      <c r="AI413">
        <v>-3.0272000000000001</v>
      </c>
      <c r="AJ413">
        <v>-1.0871</v>
      </c>
      <c r="AK413">
        <v>-3.0230999999999999</v>
      </c>
      <c r="AL413">
        <v>-30.269200000000001</v>
      </c>
      <c r="AM413">
        <v>-9.1826000000000008</v>
      </c>
      <c r="AN413" t="s">
        <v>134</v>
      </c>
      <c r="AO413" t="s">
        <v>134</v>
      </c>
      <c r="AP413" t="s">
        <v>134</v>
      </c>
      <c r="AQ413" t="s">
        <v>134</v>
      </c>
      <c r="AR413">
        <v>-42.255000000000003</v>
      </c>
      <c r="AS413">
        <v>4.0991999999999997</v>
      </c>
      <c r="AT413">
        <v>-2.3982000000000001</v>
      </c>
      <c r="AU413">
        <v>7.1132</v>
      </c>
      <c r="AV413">
        <v>3.1577000000000002</v>
      </c>
      <c r="AW413">
        <v>1.9832000000000001</v>
      </c>
      <c r="AX413">
        <v>6.9241999999999999</v>
      </c>
      <c r="AY413">
        <v>2.0846999999999998</v>
      </c>
      <c r="AZ413">
        <v>-9.3119999999999994</v>
      </c>
      <c r="BA413">
        <v>58.6815</v>
      </c>
      <c r="BB413">
        <v>10.4793</v>
      </c>
      <c r="BC413">
        <v>11.839</v>
      </c>
      <c r="BD413">
        <v>10.4788</v>
      </c>
      <c r="BE413">
        <v>-19.4879</v>
      </c>
      <c r="BF413">
        <v>-14.2296</v>
      </c>
      <c r="BG413">
        <v>-176.28890000000001</v>
      </c>
      <c r="BH413">
        <v>-298.46409999999997</v>
      </c>
      <c r="BI413">
        <v>-161.68700000000001</v>
      </c>
      <c r="BJ413">
        <v>-161.7201</v>
      </c>
      <c r="BK413">
        <v>-65.517200000000003</v>
      </c>
      <c r="BL413">
        <v>-6.6463999999999999</v>
      </c>
      <c r="BM413">
        <v>-4.5427</v>
      </c>
      <c r="BN413">
        <v>6.4886999999999997</v>
      </c>
      <c r="BO413">
        <v>-1.6966000000000001</v>
      </c>
      <c r="BP413">
        <v>-7.9301000000000004</v>
      </c>
      <c r="BQ413">
        <v>-2.6402999999999999</v>
      </c>
      <c r="BR413">
        <v>-0.41299999999999998</v>
      </c>
      <c r="BS413">
        <v>-41.225499999999997</v>
      </c>
      <c r="BT413">
        <v>34.037599999999998</v>
      </c>
      <c r="BU413">
        <v>-3.0272000000000001</v>
      </c>
      <c r="BV413">
        <v>-1.0871</v>
      </c>
      <c r="BW413">
        <v>-3.0230999999999999</v>
      </c>
      <c r="BX413">
        <v>-30.269200000000001</v>
      </c>
      <c r="BY413">
        <v>25326</v>
      </c>
      <c r="BZ413">
        <v>916</v>
      </c>
      <c r="CA413">
        <v>24410</v>
      </c>
      <c r="CB413" t="s">
        <v>134</v>
      </c>
      <c r="CC413" t="s">
        <v>134</v>
      </c>
      <c r="CD413" t="s">
        <v>134</v>
      </c>
      <c r="CE413" t="s">
        <v>134</v>
      </c>
      <c r="CF413">
        <v>-70.925399999999996</v>
      </c>
      <c r="CG413">
        <v>47.631500000000003</v>
      </c>
      <c r="CH413">
        <v>7.3582999999999998</v>
      </c>
      <c r="CI413">
        <v>6.8364000000000003</v>
      </c>
      <c r="CJ413">
        <v>3.5049999999999999</v>
      </c>
      <c r="CK413">
        <v>7.6345000000000001</v>
      </c>
      <c r="CL413">
        <v>7.093</v>
      </c>
      <c r="CM413">
        <v>3.6364999999999998</v>
      </c>
      <c r="CN413">
        <v>-23.108599999999999</v>
      </c>
      <c r="CO413">
        <v>-30.053599999999999</v>
      </c>
      <c r="CP413">
        <v>-19298.8</v>
      </c>
      <c r="CQ413">
        <v>-32973.5</v>
      </c>
      <c r="CR413">
        <v>-28724.9</v>
      </c>
      <c r="CS413">
        <v>0.47589999999999999</v>
      </c>
      <c r="CT413">
        <v>2.1953999999999998</v>
      </c>
      <c r="CU413">
        <v>1.631</v>
      </c>
      <c r="CV413">
        <v>1.2296</v>
      </c>
      <c r="CW413">
        <v>1.0085</v>
      </c>
      <c r="CX413">
        <v>362.90230000000003</v>
      </c>
      <c r="CY413">
        <v>1.3785000000000001</v>
      </c>
      <c r="CZ413">
        <v>265.50599999999997</v>
      </c>
      <c r="DA413">
        <v>1.4521999999999999</v>
      </c>
      <c r="DB413">
        <v>252.03450000000001</v>
      </c>
      <c r="DC413">
        <v>376.37380000000002</v>
      </c>
      <c r="DD413">
        <v>628.40830000000005</v>
      </c>
      <c r="DE413">
        <v>96572.9</v>
      </c>
      <c r="DF413">
        <v>44526.5</v>
      </c>
      <c r="DG413">
        <v>32574.6</v>
      </c>
      <c r="DH413">
        <v>17058.5</v>
      </c>
      <c r="DI413">
        <v>2413.3000000000002</v>
      </c>
    </row>
    <row r="414" spans="1:113" x14ac:dyDescent="0.3">
      <c r="E414" t="s">
        <v>78</v>
      </c>
      <c r="F414" t="s">
        <v>134</v>
      </c>
      <c r="G414" t="s">
        <v>134</v>
      </c>
      <c r="H414" t="s">
        <v>134</v>
      </c>
      <c r="I414" t="s">
        <v>134</v>
      </c>
      <c r="J414" t="s">
        <v>134</v>
      </c>
      <c r="K414" t="s">
        <v>134</v>
      </c>
      <c r="L414" t="s">
        <v>134</v>
      </c>
      <c r="M414" t="s">
        <v>134</v>
      </c>
      <c r="N414" t="s">
        <v>134</v>
      </c>
      <c r="O414" t="s">
        <v>134</v>
      </c>
      <c r="P414" t="s">
        <v>134</v>
      </c>
      <c r="Q414" t="s">
        <v>134</v>
      </c>
      <c r="R414" t="s">
        <v>134</v>
      </c>
      <c r="S414" t="s">
        <v>134</v>
      </c>
      <c r="T414" t="s">
        <v>134</v>
      </c>
      <c r="U414" t="s">
        <v>134</v>
      </c>
      <c r="V414" t="s">
        <v>134</v>
      </c>
      <c r="W414" t="s">
        <v>134</v>
      </c>
      <c r="X414" t="s">
        <v>134</v>
      </c>
      <c r="Y414" t="s">
        <v>134</v>
      </c>
      <c r="Z414" t="s">
        <v>134</v>
      </c>
      <c r="AA414" t="s">
        <v>134</v>
      </c>
      <c r="AB414" t="s">
        <v>134</v>
      </c>
      <c r="AC414" t="s">
        <v>134</v>
      </c>
      <c r="AD414" t="s">
        <v>134</v>
      </c>
      <c r="AE414" t="s">
        <v>134</v>
      </c>
      <c r="AF414" t="s">
        <v>134</v>
      </c>
      <c r="AG414" t="s">
        <v>134</v>
      </c>
      <c r="AH414" t="s">
        <v>134</v>
      </c>
      <c r="AI414" t="s">
        <v>134</v>
      </c>
      <c r="AJ414" t="s">
        <v>134</v>
      </c>
      <c r="AK414" t="s">
        <v>134</v>
      </c>
      <c r="AL414" t="s">
        <v>134</v>
      </c>
      <c r="AM414" t="s">
        <v>134</v>
      </c>
      <c r="AN414" t="s">
        <v>134</v>
      </c>
      <c r="AO414" t="s">
        <v>134</v>
      </c>
      <c r="AP414" t="s">
        <v>134</v>
      </c>
      <c r="AQ414" t="s">
        <v>134</v>
      </c>
      <c r="AR414" t="s">
        <v>134</v>
      </c>
      <c r="AS414" t="s">
        <v>134</v>
      </c>
      <c r="AT414" t="s">
        <v>134</v>
      </c>
      <c r="AU414" t="s">
        <v>134</v>
      </c>
      <c r="AV414" t="s">
        <v>134</v>
      </c>
      <c r="AW414" t="s">
        <v>134</v>
      </c>
      <c r="AX414" t="s">
        <v>134</v>
      </c>
      <c r="AY414" t="s">
        <v>134</v>
      </c>
      <c r="AZ414" t="s">
        <v>134</v>
      </c>
      <c r="BA414" t="s">
        <v>134</v>
      </c>
      <c r="BB414" t="s">
        <v>134</v>
      </c>
      <c r="BC414" t="s">
        <v>134</v>
      </c>
      <c r="BD414" t="s">
        <v>134</v>
      </c>
      <c r="BE414" t="s">
        <v>134</v>
      </c>
      <c r="BF414" t="s">
        <v>134</v>
      </c>
      <c r="BG414" t="s">
        <v>134</v>
      </c>
      <c r="BH414" t="s">
        <v>134</v>
      </c>
      <c r="BI414" t="s">
        <v>134</v>
      </c>
      <c r="BJ414" t="s">
        <v>134</v>
      </c>
      <c r="BK414" t="s">
        <v>134</v>
      </c>
      <c r="BL414" t="s">
        <v>134</v>
      </c>
      <c r="BM414" t="s">
        <v>134</v>
      </c>
      <c r="BN414" t="s">
        <v>134</v>
      </c>
      <c r="BO414" t="s">
        <v>134</v>
      </c>
      <c r="BP414" t="s">
        <v>134</v>
      </c>
      <c r="BQ414" t="s">
        <v>134</v>
      </c>
      <c r="BR414" t="s">
        <v>134</v>
      </c>
      <c r="BS414" t="s">
        <v>134</v>
      </c>
      <c r="BT414" t="s">
        <v>134</v>
      </c>
      <c r="BU414" t="s">
        <v>134</v>
      </c>
      <c r="BV414" t="s">
        <v>134</v>
      </c>
      <c r="BW414" t="s">
        <v>134</v>
      </c>
      <c r="BX414" t="s">
        <v>134</v>
      </c>
      <c r="BY414" t="s">
        <v>134</v>
      </c>
      <c r="BZ414" t="s">
        <v>134</v>
      </c>
      <c r="CA414" t="s">
        <v>134</v>
      </c>
      <c r="CB414" t="s">
        <v>134</v>
      </c>
      <c r="CC414" t="s">
        <v>134</v>
      </c>
      <c r="CD414" t="s">
        <v>134</v>
      </c>
      <c r="CE414" t="s">
        <v>134</v>
      </c>
      <c r="CF414" t="s">
        <v>134</v>
      </c>
      <c r="CG414" t="s">
        <v>134</v>
      </c>
      <c r="CH414" t="s">
        <v>134</v>
      </c>
      <c r="CI414" t="s">
        <v>134</v>
      </c>
      <c r="CJ414" t="s">
        <v>134</v>
      </c>
      <c r="CK414" t="s">
        <v>134</v>
      </c>
      <c r="CL414" t="s">
        <v>134</v>
      </c>
      <c r="CM414" t="s">
        <v>134</v>
      </c>
      <c r="CN414" t="s">
        <v>134</v>
      </c>
      <c r="CO414" t="s">
        <v>134</v>
      </c>
      <c r="CP414" t="s">
        <v>134</v>
      </c>
      <c r="CQ414" t="s">
        <v>134</v>
      </c>
      <c r="CR414" t="s">
        <v>134</v>
      </c>
      <c r="CS414" t="s">
        <v>134</v>
      </c>
      <c r="CT414" t="s">
        <v>134</v>
      </c>
      <c r="CU414" t="s">
        <v>134</v>
      </c>
      <c r="CV414" t="s">
        <v>134</v>
      </c>
      <c r="CW414" t="s">
        <v>134</v>
      </c>
      <c r="CX414" t="s">
        <v>134</v>
      </c>
      <c r="CY414" t="s">
        <v>134</v>
      </c>
      <c r="CZ414" t="s">
        <v>134</v>
      </c>
      <c r="DA414" t="s">
        <v>134</v>
      </c>
      <c r="DB414" t="s">
        <v>134</v>
      </c>
      <c r="DC414" t="s">
        <v>134</v>
      </c>
      <c r="DD414" t="s">
        <v>134</v>
      </c>
      <c r="DE414" t="s">
        <v>134</v>
      </c>
      <c r="DF414" t="s">
        <v>134</v>
      </c>
      <c r="DG414" t="s">
        <v>134</v>
      </c>
      <c r="DH414" t="s">
        <v>134</v>
      </c>
      <c r="DI414" t="s">
        <v>134</v>
      </c>
    </row>
    <row r="415" spans="1:113" x14ac:dyDescent="0.3">
      <c r="E415" t="s">
        <v>79</v>
      </c>
      <c r="F415" t="s">
        <v>134</v>
      </c>
      <c r="G415" t="s">
        <v>134</v>
      </c>
      <c r="H415" t="s">
        <v>134</v>
      </c>
      <c r="I415" t="s">
        <v>134</v>
      </c>
      <c r="J415" t="s">
        <v>134</v>
      </c>
      <c r="K415" t="s">
        <v>134</v>
      </c>
      <c r="L415" t="s">
        <v>134</v>
      </c>
      <c r="M415" t="s">
        <v>134</v>
      </c>
      <c r="N415" t="s">
        <v>134</v>
      </c>
      <c r="O415" t="s">
        <v>134</v>
      </c>
      <c r="P415" t="s">
        <v>134</v>
      </c>
      <c r="Q415" t="s">
        <v>134</v>
      </c>
      <c r="R415" t="s">
        <v>134</v>
      </c>
      <c r="S415" t="s">
        <v>134</v>
      </c>
      <c r="T415" t="s">
        <v>134</v>
      </c>
      <c r="U415" t="s">
        <v>134</v>
      </c>
      <c r="V415" t="s">
        <v>134</v>
      </c>
      <c r="W415" t="s">
        <v>134</v>
      </c>
      <c r="X415" t="s">
        <v>134</v>
      </c>
      <c r="Y415" t="s">
        <v>134</v>
      </c>
      <c r="Z415" t="s">
        <v>134</v>
      </c>
      <c r="AA415" t="s">
        <v>134</v>
      </c>
      <c r="AB415" t="s">
        <v>134</v>
      </c>
      <c r="AC415" t="s">
        <v>134</v>
      </c>
      <c r="AD415" t="s">
        <v>134</v>
      </c>
      <c r="AE415" t="s">
        <v>134</v>
      </c>
      <c r="AF415" t="s">
        <v>134</v>
      </c>
      <c r="AG415" t="s">
        <v>134</v>
      </c>
      <c r="AH415" t="s">
        <v>134</v>
      </c>
      <c r="AI415" t="s">
        <v>134</v>
      </c>
      <c r="AJ415" t="s">
        <v>134</v>
      </c>
      <c r="AK415" t="s">
        <v>134</v>
      </c>
      <c r="AL415" t="s">
        <v>134</v>
      </c>
      <c r="AM415" t="s">
        <v>134</v>
      </c>
      <c r="AN415" t="s">
        <v>134</v>
      </c>
      <c r="AO415" t="s">
        <v>134</v>
      </c>
      <c r="AP415" t="s">
        <v>134</v>
      </c>
      <c r="AQ415" t="s">
        <v>134</v>
      </c>
      <c r="AR415" t="s">
        <v>134</v>
      </c>
      <c r="AS415" t="s">
        <v>134</v>
      </c>
      <c r="AT415" t="s">
        <v>134</v>
      </c>
      <c r="AU415" t="s">
        <v>134</v>
      </c>
      <c r="AV415" t="s">
        <v>134</v>
      </c>
      <c r="AW415" t="s">
        <v>134</v>
      </c>
      <c r="AX415" t="s">
        <v>134</v>
      </c>
      <c r="AY415" t="s">
        <v>134</v>
      </c>
      <c r="AZ415" t="s">
        <v>134</v>
      </c>
      <c r="BA415" t="s">
        <v>134</v>
      </c>
      <c r="BB415" t="s">
        <v>134</v>
      </c>
      <c r="BC415" t="s">
        <v>134</v>
      </c>
      <c r="BD415" t="s">
        <v>134</v>
      </c>
      <c r="BE415" t="s">
        <v>134</v>
      </c>
      <c r="BF415" t="s">
        <v>134</v>
      </c>
      <c r="BG415" t="s">
        <v>134</v>
      </c>
      <c r="BH415" t="s">
        <v>134</v>
      </c>
      <c r="BI415" t="s">
        <v>134</v>
      </c>
      <c r="BJ415" t="s">
        <v>134</v>
      </c>
      <c r="BK415" t="s">
        <v>134</v>
      </c>
      <c r="BL415" t="s">
        <v>134</v>
      </c>
      <c r="BM415" t="s">
        <v>134</v>
      </c>
      <c r="BN415" t="s">
        <v>134</v>
      </c>
      <c r="BO415" t="s">
        <v>134</v>
      </c>
      <c r="BP415" t="s">
        <v>134</v>
      </c>
      <c r="BQ415" t="s">
        <v>134</v>
      </c>
      <c r="BR415" t="s">
        <v>134</v>
      </c>
      <c r="BS415" t="s">
        <v>134</v>
      </c>
      <c r="BT415" t="s">
        <v>134</v>
      </c>
      <c r="BU415" t="s">
        <v>134</v>
      </c>
      <c r="BV415" t="s">
        <v>134</v>
      </c>
      <c r="BW415" t="s">
        <v>134</v>
      </c>
      <c r="BX415" t="s">
        <v>134</v>
      </c>
      <c r="BY415" t="s">
        <v>134</v>
      </c>
      <c r="BZ415" t="s">
        <v>134</v>
      </c>
      <c r="CA415" t="s">
        <v>134</v>
      </c>
      <c r="CB415" t="s">
        <v>134</v>
      </c>
      <c r="CC415" t="s">
        <v>134</v>
      </c>
      <c r="CD415" t="s">
        <v>134</v>
      </c>
      <c r="CE415" t="s">
        <v>134</v>
      </c>
      <c r="CF415" t="s">
        <v>134</v>
      </c>
      <c r="CG415" t="s">
        <v>134</v>
      </c>
      <c r="CH415" t="s">
        <v>134</v>
      </c>
      <c r="CI415" t="s">
        <v>134</v>
      </c>
      <c r="CJ415" t="s">
        <v>134</v>
      </c>
      <c r="CK415" t="s">
        <v>134</v>
      </c>
      <c r="CL415" t="s">
        <v>134</v>
      </c>
      <c r="CM415" t="s">
        <v>134</v>
      </c>
      <c r="CN415" t="s">
        <v>134</v>
      </c>
      <c r="CO415" t="s">
        <v>134</v>
      </c>
      <c r="CP415" t="s">
        <v>134</v>
      </c>
      <c r="CQ415" t="s">
        <v>134</v>
      </c>
      <c r="CR415" t="s">
        <v>134</v>
      </c>
      <c r="CS415" t="s">
        <v>134</v>
      </c>
      <c r="CT415" t="s">
        <v>134</v>
      </c>
      <c r="CU415" t="s">
        <v>134</v>
      </c>
      <c r="CV415" t="s">
        <v>134</v>
      </c>
      <c r="CW415" t="s">
        <v>134</v>
      </c>
      <c r="CX415" t="s">
        <v>134</v>
      </c>
      <c r="CY415" t="s">
        <v>134</v>
      </c>
      <c r="CZ415" t="s">
        <v>134</v>
      </c>
      <c r="DA415" t="s">
        <v>134</v>
      </c>
      <c r="DB415" t="s">
        <v>134</v>
      </c>
      <c r="DC415" t="s">
        <v>134</v>
      </c>
      <c r="DD415" t="s">
        <v>134</v>
      </c>
      <c r="DE415" t="s">
        <v>134</v>
      </c>
      <c r="DF415" t="s">
        <v>134</v>
      </c>
      <c r="DG415" t="s">
        <v>134</v>
      </c>
      <c r="DH415" t="s">
        <v>134</v>
      </c>
      <c r="DI415" t="s">
        <v>134</v>
      </c>
    </row>
    <row r="416" spans="1:113" x14ac:dyDescent="0.3">
      <c r="E416" t="s">
        <v>80</v>
      </c>
      <c r="F416" t="s">
        <v>134</v>
      </c>
      <c r="G416" t="s">
        <v>134</v>
      </c>
      <c r="H416" t="s">
        <v>134</v>
      </c>
      <c r="I416" t="s">
        <v>134</v>
      </c>
      <c r="J416" t="s">
        <v>134</v>
      </c>
      <c r="K416" t="s">
        <v>134</v>
      </c>
      <c r="L416" t="s">
        <v>134</v>
      </c>
      <c r="M416" t="s">
        <v>134</v>
      </c>
      <c r="N416" t="s">
        <v>134</v>
      </c>
      <c r="O416" t="s">
        <v>134</v>
      </c>
      <c r="P416" t="s">
        <v>134</v>
      </c>
      <c r="Q416" t="s">
        <v>134</v>
      </c>
      <c r="R416" t="s">
        <v>134</v>
      </c>
      <c r="S416" t="s">
        <v>134</v>
      </c>
      <c r="T416" t="s">
        <v>134</v>
      </c>
      <c r="U416" t="s">
        <v>134</v>
      </c>
      <c r="V416" t="s">
        <v>134</v>
      </c>
      <c r="W416" t="s">
        <v>134</v>
      </c>
      <c r="X416" t="s">
        <v>134</v>
      </c>
      <c r="Y416" t="s">
        <v>134</v>
      </c>
      <c r="Z416" t="s">
        <v>134</v>
      </c>
      <c r="AA416" t="s">
        <v>134</v>
      </c>
      <c r="AB416" t="s">
        <v>134</v>
      </c>
      <c r="AC416" t="s">
        <v>134</v>
      </c>
      <c r="AD416" t="s">
        <v>134</v>
      </c>
      <c r="AE416" t="s">
        <v>134</v>
      </c>
      <c r="AF416" t="s">
        <v>134</v>
      </c>
      <c r="AG416" t="s">
        <v>134</v>
      </c>
      <c r="AH416" t="s">
        <v>134</v>
      </c>
      <c r="AI416" t="s">
        <v>134</v>
      </c>
      <c r="AJ416" t="s">
        <v>134</v>
      </c>
      <c r="AK416" t="s">
        <v>134</v>
      </c>
      <c r="AL416" t="s">
        <v>134</v>
      </c>
      <c r="AM416" t="s">
        <v>134</v>
      </c>
      <c r="AN416" t="s">
        <v>134</v>
      </c>
      <c r="AO416" t="s">
        <v>134</v>
      </c>
      <c r="AP416" t="s">
        <v>134</v>
      </c>
      <c r="AQ416" t="s">
        <v>134</v>
      </c>
      <c r="AR416" t="s">
        <v>134</v>
      </c>
      <c r="AS416" t="s">
        <v>134</v>
      </c>
      <c r="AT416" t="s">
        <v>134</v>
      </c>
      <c r="AU416" t="s">
        <v>134</v>
      </c>
      <c r="AV416" t="s">
        <v>134</v>
      </c>
      <c r="AW416" t="s">
        <v>134</v>
      </c>
      <c r="AX416" t="s">
        <v>134</v>
      </c>
      <c r="AY416" t="s">
        <v>134</v>
      </c>
      <c r="AZ416" t="s">
        <v>134</v>
      </c>
      <c r="BA416" t="s">
        <v>134</v>
      </c>
      <c r="BB416" t="s">
        <v>134</v>
      </c>
      <c r="BC416" t="s">
        <v>134</v>
      </c>
      <c r="BD416" t="s">
        <v>134</v>
      </c>
      <c r="BE416" t="s">
        <v>134</v>
      </c>
      <c r="BF416" t="s">
        <v>134</v>
      </c>
      <c r="BG416" t="s">
        <v>134</v>
      </c>
      <c r="BH416" t="s">
        <v>134</v>
      </c>
      <c r="BI416" t="s">
        <v>134</v>
      </c>
      <c r="BJ416" t="s">
        <v>134</v>
      </c>
      <c r="BK416" t="s">
        <v>134</v>
      </c>
      <c r="BL416" t="s">
        <v>134</v>
      </c>
      <c r="BM416" t="s">
        <v>134</v>
      </c>
      <c r="BN416" t="s">
        <v>134</v>
      </c>
      <c r="BO416" t="s">
        <v>134</v>
      </c>
      <c r="BP416" t="s">
        <v>134</v>
      </c>
      <c r="BQ416" t="s">
        <v>134</v>
      </c>
      <c r="BR416" t="s">
        <v>134</v>
      </c>
      <c r="BS416" t="s">
        <v>134</v>
      </c>
      <c r="BT416" t="s">
        <v>134</v>
      </c>
      <c r="BU416" t="s">
        <v>134</v>
      </c>
      <c r="BV416" t="s">
        <v>134</v>
      </c>
      <c r="BW416" t="s">
        <v>134</v>
      </c>
      <c r="BX416" t="s">
        <v>134</v>
      </c>
      <c r="BY416" t="s">
        <v>134</v>
      </c>
      <c r="BZ416" t="s">
        <v>134</v>
      </c>
      <c r="CA416" t="s">
        <v>134</v>
      </c>
      <c r="CB416" t="s">
        <v>134</v>
      </c>
      <c r="CC416" t="s">
        <v>134</v>
      </c>
      <c r="CD416" t="s">
        <v>134</v>
      </c>
      <c r="CE416" t="s">
        <v>134</v>
      </c>
      <c r="CF416" t="s">
        <v>134</v>
      </c>
      <c r="CG416" t="s">
        <v>134</v>
      </c>
      <c r="CH416" t="s">
        <v>134</v>
      </c>
      <c r="CI416" t="s">
        <v>134</v>
      </c>
      <c r="CJ416" t="s">
        <v>134</v>
      </c>
      <c r="CK416" t="s">
        <v>134</v>
      </c>
      <c r="CL416" t="s">
        <v>134</v>
      </c>
      <c r="CM416" t="s">
        <v>134</v>
      </c>
      <c r="CN416" t="s">
        <v>134</v>
      </c>
      <c r="CO416" t="s">
        <v>134</v>
      </c>
      <c r="CP416" t="s">
        <v>134</v>
      </c>
      <c r="CQ416" t="s">
        <v>134</v>
      </c>
      <c r="CR416" t="s">
        <v>134</v>
      </c>
      <c r="CS416" t="s">
        <v>134</v>
      </c>
      <c r="CT416" t="s">
        <v>134</v>
      </c>
      <c r="CU416" t="s">
        <v>134</v>
      </c>
      <c r="CV416" t="s">
        <v>134</v>
      </c>
      <c r="CW416" t="s">
        <v>134</v>
      </c>
      <c r="CX416" t="s">
        <v>134</v>
      </c>
      <c r="CY416" t="s">
        <v>134</v>
      </c>
      <c r="CZ416" t="s">
        <v>134</v>
      </c>
      <c r="DA416" t="s">
        <v>134</v>
      </c>
      <c r="DB416" t="s">
        <v>134</v>
      </c>
      <c r="DC416" t="s">
        <v>134</v>
      </c>
      <c r="DD416" t="s">
        <v>134</v>
      </c>
      <c r="DE416" t="s">
        <v>134</v>
      </c>
      <c r="DF416" t="s">
        <v>134</v>
      </c>
      <c r="DG416" t="s">
        <v>134</v>
      </c>
      <c r="DH416" t="s">
        <v>134</v>
      </c>
      <c r="DI416" t="s">
        <v>134</v>
      </c>
    </row>
    <row r="417" spans="1:113" x14ac:dyDescent="0.3">
      <c r="E417" t="s">
        <v>81</v>
      </c>
      <c r="F417" t="s">
        <v>134</v>
      </c>
      <c r="G417" t="s">
        <v>134</v>
      </c>
      <c r="H417" t="s">
        <v>134</v>
      </c>
      <c r="I417" t="s">
        <v>134</v>
      </c>
      <c r="J417" t="s">
        <v>134</v>
      </c>
      <c r="K417" t="s">
        <v>134</v>
      </c>
      <c r="L417" t="s">
        <v>134</v>
      </c>
      <c r="M417" t="s">
        <v>134</v>
      </c>
      <c r="N417" t="s">
        <v>134</v>
      </c>
      <c r="O417" t="s">
        <v>134</v>
      </c>
      <c r="P417" t="s">
        <v>134</v>
      </c>
      <c r="Q417" t="s">
        <v>134</v>
      </c>
      <c r="R417" t="s">
        <v>134</v>
      </c>
      <c r="S417" t="s">
        <v>134</v>
      </c>
      <c r="T417" t="s">
        <v>134</v>
      </c>
      <c r="U417" t="s">
        <v>134</v>
      </c>
      <c r="V417" t="s">
        <v>134</v>
      </c>
      <c r="W417" t="s">
        <v>134</v>
      </c>
      <c r="X417" t="s">
        <v>134</v>
      </c>
      <c r="Y417" t="s">
        <v>134</v>
      </c>
      <c r="Z417" t="s">
        <v>134</v>
      </c>
      <c r="AA417" t="s">
        <v>134</v>
      </c>
      <c r="AB417" t="s">
        <v>134</v>
      </c>
      <c r="AC417" t="s">
        <v>134</v>
      </c>
      <c r="AD417" t="s">
        <v>134</v>
      </c>
      <c r="AE417" t="s">
        <v>134</v>
      </c>
      <c r="AF417" t="s">
        <v>134</v>
      </c>
      <c r="AG417" t="s">
        <v>134</v>
      </c>
      <c r="AH417" t="s">
        <v>134</v>
      </c>
      <c r="AI417" t="s">
        <v>134</v>
      </c>
      <c r="AJ417" t="s">
        <v>134</v>
      </c>
      <c r="AK417" t="s">
        <v>134</v>
      </c>
      <c r="AL417" t="s">
        <v>134</v>
      </c>
      <c r="AM417" t="s">
        <v>134</v>
      </c>
      <c r="AN417" t="s">
        <v>134</v>
      </c>
      <c r="AO417" t="s">
        <v>134</v>
      </c>
      <c r="AP417" t="s">
        <v>134</v>
      </c>
      <c r="AQ417" t="s">
        <v>134</v>
      </c>
      <c r="AR417" t="s">
        <v>134</v>
      </c>
      <c r="AS417" t="s">
        <v>134</v>
      </c>
      <c r="AT417" t="s">
        <v>134</v>
      </c>
      <c r="AU417" t="s">
        <v>134</v>
      </c>
      <c r="AV417" t="s">
        <v>134</v>
      </c>
      <c r="AW417" t="s">
        <v>134</v>
      </c>
      <c r="AX417" t="s">
        <v>134</v>
      </c>
      <c r="AY417" t="s">
        <v>134</v>
      </c>
      <c r="AZ417" t="s">
        <v>134</v>
      </c>
      <c r="BA417" t="s">
        <v>134</v>
      </c>
      <c r="BB417" t="s">
        <v>134</v>
      </c>
      <c r="BC417" t="s">
        <v>134</v>
      </c>
      <c r="BD417" t="s">
        <v>134</v>
      </c>
      <c r="BE417" t="s">
        <v>134</v>
      </c>
      <c r="BF417" t="s">
        <v>134</v>
      </c>
      <c r="BG417" t="s">
        <v>134</v>
      </c>
      <c r="BH417" t="s">
        <v>134</v>
      </c>
      <c r="BI417" t="s">
        <v>134</v>
      </c>
      <c r="BJ417" t="s">
        <v>134</v>
      </c>
      <c r="BK417" t="s">
        <v>134</v>
      </c>
      <c r="BL417" t="s">
        <v>134</v>
      </c>
      <c r="BM417" t="s">
        <v>134</v>
      </c>
      <c r="BN417" t="s">
        <v>134</v>
      </c>
      <c r="BO417" t="s">
        <v>134</v>
      </c>
      <c r="BP417" t="s">
        <v>134</v>
      </c>
      <c r="BQ417" t="s">
        <v>134</v>
      </c>
      <c r="BR417" t="s">
        <v>134</v>
      </c>
      <c r="BS417" t="s">
        <v>134</v>
      </c>
      <c r="BT417" t="s">
        <v>134</v>
      </c>
      <c r="BU417" t="s">
        <v>134</v>
      </c>
      <c r="BV417" t="s">
        <v>134</v>
      </c>
      <c r="BW417" t="s">
        <v>134</v>
      </c>
      <c r="BX417" t="s">
        <v>134</v>
      </c>
      <c r="BY417" t="s">
        <v>134</v>
      </c>
      <c r="BZ417" t="s">
        <v>134</v>
      </c>
      <c r="CA417" t="s">
        <v>134</v>
      </c>
      <c r="CB417" t="s">
        <v>134</v>
      </c>
      <c r="CC417" t="s">
        <v>134</v>
      </c>
      <c r="CD417" t="s">
        <v>134</v>
      </c>
      <c r="CE417" t="s">
        <v>134</v>
      </c>
      <c r="CF417" t="s">
        <v>134</v>
      </c>
      <c r="CG417" t="s">
        <v>134</v>
      </c>
      <c r="CH417" t="s">
        <v>134</v>
      </c>
      <c r="CI417" t="s">
        <v>134</v>
      </c>
      <c r="CJ417" t="s">
        <v>134</v>
      </c>
      <c r="CK417" t="s">
        <v>134</v>
      </c>
      <c r="CL417" t="s">
        <v>134</v>
      </c>
      <c r="CM417" t="s">
        <v>134</v>
      </c>
      <c r="CN417" t="s">
        <v>134</v>
      </c>
      <c r="CO417" t="s">
        <v>134</v>
      </c>
      <c r="CP417" t="s">
        <v>134</v>
      </c>
      <c r="CQ417" t="s">
        <v>134</v>
      </c>
      <c r="CR417" t="s">
        <v>134</v>
      </c>
      <c r="CS417" t="s">
        <v>134</v>
      </c>
      <c r="CT417" t="s">
        <v>134</v>
      </c>
      <c r="CU417" t="s">
        <v>134</v>
      </c>
      <c r="CV417" t="s">
        <v>134</v>
      </c>
      <c r="CW417" t="s">
        <v>134</v>
      </c>
      <c r="CX417" t="s">
        <v>134</v>
      </c>
      <c r="CY417" t="s">
        <v>134</v>
      </c>
      <c r="CZ417" t="s">
        <v>134</v>
      </c>
      <c r="DA417" t="s">
        <v>134</v>
      </c>
      <c r="DB417" t="s">
        <v>134</v>
      </c>
      <c r="DC417" t="s">
        <v>134</v>
      </c>
      <c r="DD417" t="s">
        <v>134</v>
      </c>
      <c r="DE417" t="s">
        <v>134</v>
      </c>
      <c r="DF417" t="s">
        <v>134</v>
      </c>
      <c r="DG417" t="s">
        <v>134</v>
      </c>
      <c r="DH417" t="s">
        <v>134</v>
      </c>
      <c r="DI417" t="s">
        <v>134</v>
      </c>
    </row>
    <row r="418" spans="1:113" x14ac:dyDescent="0.3">
      <c r="D418" t="s">
        <v>84</v>
      </c>
      <c r="E418" t="s">
        <v>77</v>
      </c>
      <c r="F418">
        <v>1.4134</v>
      </c>
      <c r="G418">
        <v>0.72199999999999998</v>
      </c>
      <c r="H418">
        <v>2.2385999999999999</v>
      </c>
      <c r="I418">
        <v>-5.2600000000000001E-2</v>
      </c>
      <c r="J418">
        <v>2.8639000000000001</v>
      </c>
      <c r="K418">
        <v>-7.9399999999999998E-2</v>
      </c>
      <c r="L418">
        <v>81.627899999999997</v>
      </c>
      <c r="M418">
        <v>2.0282</v>
      </c>
      <c r="N418">
        <v>1.5766</v>
      </c>
      <c r="O418">
        <v>1.5838000000000001</v>
      </c>
      <c r="P418">
        <v>1.5838000000000001</v>
      </c>
      <c r="Q418">
        <v>22.267199999999999</v>
      </c>
      <c r="R418">
        <v>84.573499999999996</v>
      </c>
      <c r="S418">
        <v>0.218</v>
      </c>
      <c r="T418">
        <v>10.661899999999999</v>
      </c>
      <c r="U418" t="s">
        <v>134</v>
      </c>
      <c r="V418">
        <v>99.000299999999996</v>
      </c>
      <c r="W418" t="s">
        <v>134</v>
      </c>
      <c r="X418" t="s">
        <v>134</v>
      </c>
      <c r="Y418">
        <v>295</v>
      </c>
      <c r="Z418">
        <v>-1.6101999999999999</v>
      </c>
      <c r="AA418">
        <v>-23.196000000000002</v>
      </c>
      <c r="AB418">
        <v>-11.7095</v>
      </c>
      <c r="AC418">
        <v>-6.0823</v>
      </c>
      <c r="AD418">
        <v>-11.189399999999999</v>
      </c>
      <c r="AE418">
        <v>-6.7130000000000001</v>
      </c>
      <c r="AF418">
        <v>0.29349999999999998</v>
      </c>
      <c r="AG418">
        <v>-16.742000000000001</v>
      </c>
      <c r="AH418">
        <v>-24.3142</v>
      </c>
      <c r="AI418">
        <v>0.2258</v>
      </c>
      <c r="AJ418">
        <v>7.0400000000000004E-2</v>
      </c>
      <c r="AK418">
        <v>0.2316</v>
      </c>
      <c r="AL418">
        <v>-5.7526000000000002</v>
      </c>
      <c r="AM418">
        <v>-9.5152000000000001</v>
      </c>
      <c r="AN418">
        <v>-39.225700000000003</v>
      </c>
      <c r="AO418" t="s">
        <v>134</v>
      </c>
      <c r="AP418">
        <v>-42.199100000000001</v>
      </c>
      <c r="AQ418">
        <v>-42.251199999999997</v>
      </c>
      <c r="AR418">
        <v>-24.404599999999999</v>
      </c>
      <c r="AS418">
        <v>-3.6231</v>
      </c>
      <c r="AT418">
        <v>-11.552300000000001</v>
      </c>
      <c r="AU418">
        <v>-9.2348999999999997</v>
      </c>
      <c r="AV418">
        <v>-1.873</v>
      </c>
      <c r="AW418">
        <v>-6.9949000000000003</v>
      </c>
      <c r="AX418">
        <v>2.5411000000000001</v>
      </c>
      <c r="AY418">
        <v>-3.4237000000000002</v>
      </c>
      <c r="AZ418">
        <v>-14.990500000000001</v>
      </c>
      <c r="BA418">
        <v>-18.422999999999998</v>
      </c>
      <c r="BB418">
        <v>4.9741999999999997</v>
      </c>
      <c r="BC418">
        <v>4.7217000000000002</v>
      </c>
      <c r="BD418">
        <v>4.9790000000000001</v>
      </c>
      <c r="BE418">
        <v>35.251399999999997</v>
      </c>
      <c r="BF418">
        <v>10.661899999999999</v>
      </c>
      <c r="BG418" t="s">
        <v>134</v>
      </c>
      <c r="BH418" t="s">
        <v>134</v>
      </c>
      <c r="BI418" t="s">
        <v>134</v>
      </c>
      <c r="BJ418" t="s">
        <v>134</v>
      </c>
      <c r="BK418">
        <v>295</v>
      </c>
      <c r="BL418">
        <v>-1.6101999999999999</v>
      </c>
      <c r="BM418">
        <v>-23.196000000000002</v>
      </c>
      <c r="BN418">
        <v>-11.7095</v>
      </c>
      <c r="BO418">
        <v>-6.0823</v>
      </c>
      <c r="BP418">
        <v>-11.189399999999999</v>
      </c>
      <c r="BQ418">
        <v>-6.7130000000000001</v>
      </c>
      <c r="BR418">
        <v>0.29349999999999998</v>
      </c>
      <c r="BS418">
        <v>-16.742000000000001</v>
      </c>
      <c r="BT418">
        <v>-24.3142</v>
      </c>
      <c r="BU418">
        <v>0.2258</v>
      </c>
      <c r="BV418">
        <v>7.0400000000000004E-2</v>
      </c>
      <c r="BW418">
        <v>0.2316</v>
      </c>
      <c r="BX418">
        <v>-5.7526000000000002</v>
      </c>
      <c r="BY418">
        <v>1558.9</v>
      </c>
      <c r="BZ418">
        <v>663.4</v>
      </c>
      <c r="CA418">
        <v>895.5</v>
      </c>
      <c r="CB418">
        <v>0.1885</v>
      </c>
      <c r="CC418">
        <v>-12.4964</v>
      </c>
      <c r="CD418" t="s">
        <v>134</v>
      </c>
      <c r="CE418" t="s">
        <v>134</v>
      </c>
      <c r="CF418">
        <v>2.3536999999999999</v>
      </c>
      <c r="CG418">
        <v>52.795999999999999</v>
      </c>
      <c r="CH418">
        <v>0.27650000000000002</v>
      </c>
      <c r="CI418">
        <v>0.2752</v>
      </c>
      <c r="CJ418">
        <v>0.14599999999999999</v>
      </c>
      <c r="CK418">
        <v>0.48130000000000001</v>
      </c>
      <c r="CL418">
        <v>0.47899999999999998</v>
      </c>
      <c r="CM418">
        <v>0.25409999999999999</v>
      </c>
      <c r="CN418">
        <v>-31.903199999999998</v>
      </c>
      <c r="CO418">
        <v>-46.849800000000002</v>
      </c>
      <c r="CP418">
        <v>8268.6</v>
      </c>
      <c r="CQ418">
        <v>4711.8999999999996</v>
      </c>
      <c r="CR418">
        <v>-229.3</v>
      </c>
      <c r="CS418">
        <v>0.52070000000000005</v>
      </c>
      <c r="CT418">
        <v>2.13</v>
      </c>
      <c r="CU418">
        <v>1.6168</v>
      </c>
      <c r="CV418">
        <v>1.7254</v>
      </c>
      <c r="CW418">
        <v>1.2970999999999999</v>
      </c>
      <c r="CX418">
        <v>281.38979999999998</v>
      </c>
      <c r="CY418">
        <v>1.5453000000000001</v>
      </c>
      <c r="CZ418">
        <v>236.19980000000001</v>
      </c>
      <c r="DA418">
        <v>1.2546999999999999</v>
      </c>
      <c r="DB418">
        <v>290.9049</v>
      </c>
      <c r="DC418">
        <v>226.68469999999999</v>
      </c>
      <c r="DD418">
        <v>517.58960000000002</v>
      </c>
      <c r="DE418">
        <v>73796.7</v>
      </c>
      <c r="DF418">
        <v>33189</v>
      </c>
      <c r="DG418">
        <v>25356</v>
      </c>
      <c r="DH418">
        <v>14312</v>
      </c>
      <c r="DI418">
        <v>939.7</v>
      </c>
    </row>
    <row r="419" spans="1:113" x14ac:dyDescent="0.3">
      <c r="E419" t="s">
        <v>78</v>
      </c>
      <c r="F419" t="s">
        <v>134</v>
      </c>
      <c r="G419" t="s">
        <v>134</v>
      </c>
      <c r="H419" t="s">
        <v>134</v>
      </c>
      <c r="I419" t="s">
        <v>134</v>
      </c>
      <c r="J419" t="s">
        <v>134</v>
      </c>
      <c r="K419" t="s">
        <v>134</v>
      </c>
      <c r="L419" t="s">
        <v>134</v>
      </c>
      <c r="M419" t="s">
        <v>134</v>
      </c>
      <c r="N419" t="s">
        <v>134</v>
      </c>
      <c r="O419" t="s">
        <v>134</v>
      </c>
      <c r="P419" t="s">
        <v>134</v>
      </c>
      <c r="Q419" t="s">
        <v>134</v>
      </c>
      <c r="R419" t="s">
        <v>134</v>
      </c>
      <c r="S419" t="s">
        <v>134</v>
      </c>
      <c r="T419" t="s">
        <v>134</v>
      </c>
      <c r="U419" t="s">
        <v>134</v>
      </c>
      <c r="V419" t="s">
        <v>134</v>
      </c>
      <c r="W419" t="s">
        <v>134</v>
      </c>
      <c r="X419" t="s">
        <v>134</v>
      </c>
      <c r="Y419" t="s">
        <v>134</v>
      </c>
      <c r="Z419" t="s">
        <v>134</v>
      </c>
      <c r="AA419" t="s">
        <v>134</v>
      </c>
      <c r="AB419" t="s">
        <v>134</v>
      </c>
      <c r="AC419" t="s">
        <v>134</v>
      </c>
      <c r="AD419" t="s">
        <v>134</v>
      </c>
      <c r="AE419" t="s">
        <v>134</v>
      </c>
      <c r="AF419" t="s">
        <v>134</v>
      </c>
      <c r="AG419" t="s">
        <v>134</v>
      </c>
      <c r="AH419" t="s">
        <v>134</v>
      </c>
      <c r="AI419" t="s">
        <v>134</v>
      </c>
      <c r="AJ419" t="s">
        <v>134</v>
      </c>
      <c r="AK419" t="s">
        <v>134</v>
      </c>
      <c r="AL419" t="s">
        <v>134</v>
      </c>
      <c r="AM419" t="s">
        <v>134</v>
      </c>
      <c r="AN419" t="s">
        <v>134</v>
      </c>
      <c r="AO419" t="s">
        <v>134</v>
      </c>
      <c r="AP419" t="s">
        <v>134</v>
      </c>
      <c r="AQ419" t="s">
        <v>134</v>
      </c>
      <c r="AR419" t="s">
        <v>134</v>
      </c>
      <c r="AS419" t="s">
        <v>134</v>
      </c>
      <c r="AT419" t="s">
        <v>134</v>
      </c>
      <c r="AU419" t="s">
        <v>134</v>
      </c>
      <c r="AV419" t="s">
        <v>134</v>
      </c>
      <c r="AW419" t="s">
        <v>134</v>
      </c>
      <c r="AX419" t="s">
        <v>134</v>
      </c>
      <c r="AY419" t="s">
        <v>134</v>
      </c>
      <c r="AZ419" t="s">
        <v>134</v>
      </c>
      <c r="BA419" t="s">
        <v>134</v>
      </c>
      <c r="BB419" t="s">
        <v>134</v>
      </c>
      <c r="BC419" t="s">
        <v>134</v>
      </c>
      <c r="BD419" t="s">
        <v>134</v>
      </c>
      <c r="BE419" t="s">
        <v>134</v>
      </c>
      <c r="BF419" t="s">
        <v>134</v>
      </c>
      <c r="BG419" t="s">
        <v>134</v>
      </c>
      <c r="BH419" t="s">
        <v>134</v>
      </c>
      <c r="BI419" t="s">
        <v>134</v>
      </c>
      <c r="BJ419" t="s">
        <v>134</v>
      </c>
      <c r="BK419" t="s">
        <v>134</v>
      </c>
      <c r="BL419" t="s">
        <v>134</v>
      </c>
      <c r="BM419" t="s">
        <v>134</v>
      </c>
      <c r="BN419" t="s">
        <v>134</v>
      </c>
      <c r="BO419" t="s">
        <v>134</v>
      </c>
      <c r="BP419" t="s">
        <v>134</v>
      </c>
      <c r="BQ419" t="s">
        <v>134</v>
      </c>
      <c r="BR419" t="s">
        <v>134</v>
      </c>
      <c r="BS419" t="s">
        <v>134</v>
      </c>
      <c r="BT419" t="s">
        <v>134</v>
      </c>
      <c r="BU419" t="s">
        <v>134</v>
      </c>
      <c r="BV419" t="s">
        <v>134</v>
      </c>
      <c r="BW419" t="s">
        <v>134</v>
      </c>
      <c r="BX419" t="s">
        <v>134</v>
      </c>
      <c r="BY419" t="s">
        <v>134</v>
      </c>
      <c r="BZ419" t="s">
        <v>134</v>
      </c>
      <c r="CA419" t="s">
        <v>134</v>
      </c>
      <c r="CB419" t="s">
        <v>134</v>
      </c>
      <c r="CC419" t="s">
        <v>134</v>
      </c>
      <c r="CD419" t="s">
        <v>134</v>
      </c>
      <c r="CE419" t="s">
        <v>134</v>
      </c>
      <c r="CF419" t="s">
        <v>134</v>
      </c>
      <c r="CG419" t="s">
        <v>134</v>
      </c>
      <c r="CH419" t="s">
        <v>134</v>
      </c>
      <c r="CI419" t="s">
        <v>134</v>
      </c>
      <c r="CJ419" t="s">
        <v>134</v>
      </c>
      <c r="CK419" t="s">
        <v>134</v>
      </c>
      <c r="CL419" t="s">
        <v>134</v>
      </c>
      <c r="CM419" t="s">
        <v>134</v>
      </c>
      <c r="CN419" t="s">
        <v>134</v>
      </c>
      <c r="CO419" t="s">
        <v>134</v>
      </c>
      <c r="CP419" t="s">
        <v>134</v>
      </c>
      <c r="CQ419" t="s">
        <v>134</v>
      </c>
      <c r="CR419" t="s">
        <v>134</v>
      </c>
      <c r="CS419" t="s">
        <v>134</v>
      </c>
      <c r="CT419" t="s">
        <v>134</v>
      </c>
      <c r="CU419" t="s">
        <v>134</v>
      </c>
      <c r="CV419" t="s">
        <v>134</v>
      </c>
      <c r="CW419" t="s">
        <v>134</v>
      </c>
      <c r="CX419" t="s">
        <v>134</v>
      </c>
      <c r="CY419" t="s">
        <v>134</v>
      </c>
      <c r="CZ419" t="s">
        <v>134</v>
      </c>
      <c r="DA419" t="s">
        <v>134</v>
      </c>
      <c r="DB419" t="s">
        <v>134</v>
      </c>
      <c r="DC419" t="s">
        <v>134</v>
      </c>
      <c r="DD419" t="s">
        <v>134</v>
      </c>
      <c r="DE419" t="s">
        <v>134</v>
      </c>
      <c r="DF419" t="s">
        <v>134</v>
      </c>
      <c r="DG419" t="s">
        <v>134</v>
      </c>
      <c r="DH419" t="s">
        <v>134</v>
      </c>
      <c r="DI419" t="s">
        <v>134</v>
      </c>
    </row>
    <row r="420" spans="1:113" x14ac:dyDescent="0.3">
      <c r="E420" t="s">
        <v>79</v>
      </c>
      <c r="F420" t="s">
        <v>134</v>
      </c>
      <c r="G420" t="s">
        <v>134</v>
      </c>
      <c r="H420" t="s">
        <v>134</v>
      </c>
      <c r="I420" t="s">
        <v>134</v>
      </c>
      <c r="J420" t="s">
        <v>134</v>
      </c>
      <c r="K420" t="s">
        <v>134</v>
      </c>
      <c r="L420" t="s">
        <v>134</v>
      </c>
      <c r="M420" t="s">
        <v>134</v>
      </c>
      <c r="N420" t="s">
        <v>134</v>
      </c>
      <c r="O420" t="s">
        <v>134</v>
      </c>
      <c r="P420" t="s">
        <v>134</v>
      </c>
      <c r="Q420" t="s">
        <v>134</v>
      </c>
      <c r="R420" t="s">
        <v>134</v>
      </c>
      <c r="S420" t="s">
        <v>134</v>
      </c>
      <c r="T420" t="s">
        <v>134</v>
      </c>
      <c r="U420" t="s">
        <v>134</v>
      </c>
      <c r="V420" t="s">
        <v>134</v>
      </c>
      <c r="W420" t="s">
        <v>134</v>
      </c>
      <c r="X420" t="s">
        <v>134</v>
      </c>
      <c r="Y420" t="s">
        <v>134</v>
      </c>
      <c r="Z420" t="s">
        <v>134</v>
      </c>
      <c r="AA420" t="s">
        <v>134</v>
      </c>
      <c r="AB420" t="s">
        <v>134</v>
      </c>
      <c r="AC420" t="s">
        <v>134</v>
      </c>
      <c r="AD420" t="s">
        <v>134</v>
      </c>
      <c r="AE420" t="s">
        <v>134</v>
      </c>
      <c r="AF420" t="s">
        <v>134</v>
      </c>
      <c r="AG420" t="s">
        <v>134</v>
      </c>
      <c r="AH420" t="s">
        <v>134</v>
      </c>
      <c r="AI420" t="s">
        <v>134</v>
      </c>
      <c r="AJ420" t="s">
        <v>134</v>
      </c>
      <c r="AK420" t="s">
        <v>134</v>
      </c>
      <c r="AL420" t="s">
        <v>134</v>
      </c>
      <c r="AM420" t="s">
        <v>134</v>
      </c>
      <c r="AN420" t="s">
        <v>134</v>
      </c>
      <c r="AO420" t="s">
        <v>134</v>
      </c>
      <c r="AP420" t="s">
        <v>134</v>
      </c>
      <c r="AQ420" t="s">
        <v>134</v>
      </c>
      <c r="AR420" t="s">
        <v>134</v>
      </c>
      <c r="AS420" t="s">
        <v>134</v>
      </c>
      <c r="AT420" t="s">
        <v>134</v>
      </c>
      <c r="AU420" t="s">
        <v>134</v>
      </c>
      <c r="AV420" t="s">
        <v>134</v>
      </c>
      <c r="AW420" t="s">
        <v>134</v>
      </c>
      <c r="AX420" t="s">
        <v>134</v>
      </c>
      <c r="AY420" t="s">
        <v>134</v>
      </c>
      <c r="AZ420" t="s">
        <v>134</v>
      </c>
      <c r="BA420" t="s">
        <v>134</v>
      </c>
      <c r="BB420" t="s">
        <v>134</v>
      </c>
      <c r="BC420" t="s">
        <v>134</v>
      </c>
      <c r="BD420" t="s">
        <v>134</v>
      </c>
      <c r="BE420" t="s">
        <v>134</v>
      </c>
      <c r="BF420" t="s">
        <v>134</v>
      </c>
      <c r="BG420" t="s">
        <v>134</v>
      </c>
      <c r="BH420" t="s">
        <v>134</v>
      </c>
      <c r="BI420" t="s">
        <v>134</v>
      </c>
      <c r="BJ420" t="s">
        <v>134</v>
      </c>
      <c r="BK420" t="s">
        <v>134</v>
      </c>
      <c r="BL420" t="s">
        <v>134</v>
      </c>
      <c r="BM420" t="s">
        <v>134</v>
      </c>
      <c r="BN420" t="s">
        <v>134</v>
      </c>
      <c r="BO420" t="s">
        <v>134</v>
      </c>
      <c r="BP420" t="s">
        <v>134</v>
      </c>
      <c r="BQ420" t="s">
        <v>134</v>
      </c>
      <c r="BR420" t="s">
        <v>134</v>
      </c>
      <c r="BS420" t="s">
        <v>134</v>
      </c>
      <c r="BT420" t="s">
        <v>134</v>
      </c>
      <c r="BU420" t="s">
        <v>134</v>
      </c>
      <c r="BV420" t="s">
        <v>134</v>
      </c>
      <c r="BW420" t="s">
        <v>134</v>
      </c>
      <c r="BX420" t="s">
        <v>134</v>
      </c>
      <c r="BY420" t="s">
        <v>134</v>
      </c>
      <c r="BZ420" t="s">
        <v>134</v>
      </c>
      <c r="CA420" t="s">
        <v>134</v>
      </c>
      <c r="CB420" t="s">
        <v>134</v>
      </c>
      <c r="CC420" t="s">
        <v>134</v>
      </c>
      <c r="CD420" t="s">
        <v>134</v>
      </c>
      <c r="CE420" t="s">
        <v>134</v>
      </c>
      <c r="CF420" t="s">
        <v>134</v>
      </c>
      <c r="CG420" t="s">
        <v>134</v>
      </c>
      <c r="CH420" t="s">
        <v>134</v>
      </c>
      <c r="CI420" t="s">
        <v>134</v>
      </c>
      <c r="CJ420" t="s">
        <v>134</v>
      </c>
      <c r="CK420" t="s">
        <v>134</v>
      </c>
      <c r="CL420" t="s">
        <v>134</v>
      </c>
      <c r="CM420" t="s">
        <v>134</v>
      </c>
      <c r="CN420" t="s">
        <v>134</v>
      </c>
      <c r="CO420" t="s">
        <v>134</v>
      </c>
      <c r="CP420" t="s">
        <v>134</v>
      </c>
      <c r="CQ420" t="s">
        <v>134</v>
      </c>
      <c r="CR420" t="s">
        <v>134</v>
      </c>
      <c r="CS420" t="s">
        <v>134</v>
      </c>
      <c r="CT420" t="s">
        <v>134</v>
      </c>
      <c r="CU420" t="s">
        <v>134</v>
      </c>
      <c r="CV420" t="s">
        <v>134</v>
      </c>
      <c r="CW420" t="s">
        <v>134</v>
      </c>
      <c r="CX420" t="s">
        <v>134</v>
      </c>
      <c r="CY420" t="s">
        <v>134</v>
      </c>
      <c r="CZ420" t="s">
        <v>134</v>
      </c>
      <c r="DA420" t="s">
        <v>134</v>
      </c>
      <c r="DB420" t="s">
        <v>134</v>
      </c>
      <c r="DC420" t="s">
        <v>134</v>
      </c>
      <c r="DD420" t="s">
        <v>134</v>
      </c>
      <c r="DE420" t="s">
        <v>134</v>
      </c>
      <c r="DF420" t="s">
        <v>134</v>
      </c>
      <c r="DG420" t="s">
        <v>134</v>
      </c>
      <c r="DH420" t="s">
        <v>134</v>
      </c>
      <c r="DI420" t="s">
        <v>134</v>
      </c>
    </row>
    <row r="421" spans="1:113" x14ac:dyDescent="0.3">
      <c r="E421" t="s">
        <v>80</v>
      </c>
      <c r="F421" t="s">
        <v>134</v>
      </c>
      <c r="G421" t="s">
        <v>134</v>
      </c>
      <c r="H421" t="s">
        <v>134</v>
      </c>
      <c r="I421" t="s">
        <v>134</v>
      </c>
      <c r="J421" t="s">
        <v>134</v>
      </c>
      <c r="K421" t="s">
        <v>134</v>
      </c>
      <c r="L421" t="s">
        <v>134</v>
      </c>
      <c r="M421" t="s">
        <v>134</v>
      </c>
      <c r="N421" t="s">
        <v>134</v>
      </c>
      <c r="O421" t="s">
        <v>134</v>
      </c>
      <c r="P421" t="s">
        <v>134</v>
      </c>
      <c r="Q421" t="s">
        <v>134</v>
      </c>
      <c r="R421" t="s">
        <v>134</v>
      </c>
      <c r="S421" t="s">
        <v>134</v>
      </c>
      <c r="T421" t="s">
        <v>134</v>
      </c>
      <c r="U421" t="s">
        <v>134</v>
      </c>
      <c r="V421" t="s">
        <v>134</v>
      </c>
      <c r="W421" t="s">
        <v>134</v>
      </c>
      <c r="X421" t="s">
        <v>134</v>
      </c>
      <c r="Y421" t="s">
        <v>134</v>
      </c>
      <c r="Z421" t="s">
        <v>134</v>
      </c>
      <c r="AA421" t="s">
        <v>134</v>
      </c>
      <c r="AB421" t="s">
        <v>134</v>
      </c>
      <c r="AC421" t="s">
        <v>134</v>
      </c>
      <c r="AD421" t="s">
        <v>134</v>
      </c>
      <c r="AE421" t="s">
        <v>134</v>
      </c>
      <c r="AF421" t="s">
        <v>134</v>
      </c>
      <c r="AG421" t="s">
        <v>134</v>
      </c>
      <c r="AH421" t="s">
        <v>134</v>
      </c>
      <c r="AI421" t="s">
        <v>134</v>
      </c>
      <c r="AJ421" t="s">
        <v>134</v>
      </c>
      <c r="AK421" t="s">
        <v>134</v>
      </c>
      <c r="AL421" t="s">
        <v>134</v>
      </c>
      <c r="AM421" t="s">
        <v>134</v>
      </c>
      <c r="AN421" t="s">
        <v>134</v>
      </c>
      <c r="AO421" t="s">
        <v>134</v>
      </c>
      <c r="AP421" t="s">
        <v>134</v>
      </c>
      <c r="AQ421" t="s">
        <v>134</v>
      </c>
      <c r="AR421" t="s">
        <v>134</v>
      </c>
      <c r="AS421" t="s">
        <v>134</v>
      </c>
      <c r="AT421" t="s">
        <v>134</v>
      </c>
      <c r="AU421" t="s">
        <v>134</v>
      </c>
      <c r="AV421" t="s">
        <v>134</v>
      </c>
      <c r="AW421" t="s">
        <v>134</v>
      </c>
      <c r="AX421" t="s">
        <v>134</v>
      </c>
      <c r="AY421" t="s">
        <v>134</v>
      </c>
      <c r="AZ421" t="s">
        <v>134</v>
      </c>
      <c r="BA421" t="s">
        <v>134</v>
      </c>
      <c r="BB421" t="s">
        <v>134</v>
      </c>
      <c r="BC421" t="s">
        <v>134</v>
      </c>
      <c r="BD421" t="s">
        <v>134</v>
      </c>
      <c r="BE421" t="s">
        <v>134</v>
      </c>
      <c r="BF421" t="s">
        <v>134</v>
      </c>
      <c r="BG421" t="s">
        <v>134</v>
      </c>
      <c r="BH421" t="s">
        <v>134</v>
      </c>
      <c r="BI421" t="s">
        <v>134</v>
      </c>
      <c r="BJ421" t="s">
        <v>134</v>
      </c>
      <c r="BK421" t="s">
        <v>134</v>
      </c>
      <c r="BL421" t="s">
        <v>134</v>
      </c>
      <c r="BM421" t="s">
        <v>134</v>
      </c>
      <c r="BN421" t="s">
        <v>134</v>
      </c>
      <c r="BO421" t="s">
        <v>134</v>
      </c>
      <c r="BP421" t="s">
        <v>134</v>
      </c>
      <c r="BQ421" t="s">
        <v>134</v>
      </c>
      <c r="BR421" t="s">
        <v>134</v>
      </c>
      <c r="BS421" t="s">
        <v>134</v>
      </c>
      <c r="BT421" t="s">
        <v>134</v>
      </c>
      <c r="BU421" t="s">
        <v>134</v>
      </c>
      <c r="BV421" t="s">
        <v>134</v>
      </c>
      <c r="BW421" t="s">
        <v>134</v>
      </c>
      <c r="BX421" t="s">
        <v>134</v>
      </c>
      <c r="BY421" t="s">
        <v>134</v>
      </c>
      <c r="BZ421" t="s">
        <v>134</v>
      </c>
      <c r="CA421" t="s">
        <v>134</v>
      </c>
      <c r="CB421" t="s">
        <v>134</v>
      </c>
      <c r="CC421" t="s">
        <v>134</v>
      </c>
      <c r="CD421" t="s">
        <v>134</v>
      </c>
      <c r="CE421" t="s">
        <v>134</v>
      </c>
      <c r="CF421" t="s">
        <v>134</v>
      </c>
      <c r="CG421" t="s">
        <v>134</v>
      </c>
      <c r="CH421" t="s">
        <v>134</v>
      </c>
      <c r="CI421" t="s">
        <v>134</v>
      </c>
      <c r="CJ421" t="s">
        <v>134</v>
      </c>
      <c r="CK421" t="s">
        <v>134</v>
      </c>
      <c r="CL421" t="s">
        <v>134</v>
      </c>
      <c r="CM421" t="s">
        <v>134</v>
      </c>
      <c r="CN421" t="s">
        <v>134</v>
      </c>
      <c r="CO421" t="s">
        <v>134</v>
      </c>
      <c r="CP421" t="s">
        <v>134</v>
      </c>
      <c r="CQ421" t="s">
        <v>134</v>
      </c>
      <c r="CR421" t="s">
        <v>134</v>
      </c>
      <c r="CS421" t="s">
        <v>134</v>
      </c>
      <c r="CT421" t="s">
        <v>134</v>
      </c>
      <c r="CU421" t="s">
        <v>134</v>
      </c>
      <c r="CV421" t="s">
        <v>134</v>
      </c>
      <c r="CW421" t="s">
        <v>134</v>
      </c>
      <c r="CX421" t="s">
        <v>134</v>
      </c>
      <c r="CY421" t="s">
        <v>134</v>
      </c>
      <c r="CZ421" t="s">
        <v>134</v>
      </c>
      <c r="DA421" t="s">
        <v>134</v>
      </c>
      <c r="DB421" t="s">
        <v>134</v>
      </c>
      <c r="DC421" t="s">
        <v>134</v>
      </c>
      <c r="DD421" t="s">
        <v>134</v>
      </c>
      <c r="DE421" t="s">
        <v>134</v>
      </c>
      <c r="DF421" t="s">
        <v>134</v>
      </c>
      <c r="DG421" t="s">
        <v>134</v>
      </c>
      <c r="DH421" t="s">
        <v>134</v>
      </c>
      <c r="DI421" t="s">
        <v>134</v>
      </c>
    </row>
    <row r="422" spans="1:113" x14ac:dyDescent="0.3">
      <c r="E422" t="s">
        <v>81</v>
      </c>
      <c r="F422" t="s">
        <v>134</v>
      </c>
      <c r="G422" t="s">
        <v>134</v>
      </c>
      <c r="H422" t="s">
        <v>134</v>
      </c>
      <c r="I422" t="s">
        <v>134</v>
      </c>
      <c r="J422" t="s">
        <v>134</v>
      </c>
      <c r="K422" t="s">
        <v>134</v>
      </c>
      <c r="L422" t="s">
        <v>134</v>
      </c>
      <c r="M422" t="s">
        <v>134</v>
      </c>
      <c r="N422" t="s">
        <v>134</v>
      </c>
      <c r="O422" t="s">
        <v>134</v>
      </c>
      <c r="P422" t="s">
        <v>134</v>
      </c>
      <c r="Q422" t="s">
        <v>134</v>
      </c>
      <c r="R422" t="s">
        <v>134</v>
      </c>
      <c r="S422" t="s">
        <v>134</v>
      </c>
      <c r="T422" t="s">
        <v>134</v>
      </c>
      <c r="U422" t="s">
        <v>134</v>
      </c>
      <c r="V422" t="s">
        <v>134</v>
      </c>
      <c r="W422" t="s">
        <v>134</v>
      </c>
      <c r="X422" t="s">
        <v>134</v>
      </c>
      <c r="Y422" t="s">
        <v>134</v>
      </c>
      <c r="Z422" t="s">
        <v>134</v>
      </c>
      <c r="AA422" t="s">
        <v>134</v>
      </c>
      <c r="AB422" t="s">
        <v>134</v>
      </c>
      <c r="AC422" t="s">
        <v>134</v>
      </c>
      <c r="AD422" t="s">
        <v>134</v>
      </c>
      <c r="AE422" t="s">
        <v>134</v>
      </c>
      <c r="AF422" t="s">
        <v>134</v>
      </c>
      <c r="AG422" t="s">
        <v>134</v>
      </c>
      <c r="AH422" t="s">
        <v>134</v>
      </c>
      <c r="AI422" t="s">
        <v>134</v>
      </c>
      <c r="AJ422" t="s">
        <v>134</v>
      </c>
      <c r="AK422" t="s">
        <v>134</v>
      </c>
      <c r="AL422" t="s">
        <v>134</v>
      </c>
      <c r="AM422" t="s">
        <v>134</v>
      </c>
      <c r="AN422" t="s">
        <v>134</v>
      </c>
      <c r="AO422" t="s">
        <v>134</v>
      </c>
      <c r="AP422" t="s">
        <v>134</v>
      </c>
      <c r="AQ422" t="s">
        <v>134</v>
      </c>
      <c r="AR422" t="s">
        <v>134</v>
      </c>
      <c r="AS422" t="s">
        <v>134</v>
      </c>
      <c r="AT422" t="s">
        <v>134</v>
      </c>
      <c r="AU422" t="s">
        <v>134</v>
      </c>
      <c r="AV422" t="s">
        <v>134</v>
      </c>
      <c r="AW422" t="s">
        <v>134</v>
      </c>
      <c r="AX422" t="s">
        <v>134</v>
      </c>
      <c r="AY422" t="s">
        <v>134</v>
      </c>
      <c r="AZ422" t="s">
        <v>134</v>
      </c>
      <c r="BA422" t="s">
        <v>134</v>
      </c>
      <c r="BB422" t="s">
        <v>134</v>
      </c>
      <c r="BC422" t="s">
        <v>134</v>
      </c>
      <c r="BD422" t="s">
        <v>134</v>
      </c>
      <c r="BE422" t="s">
        <v>134</v>
      </c>
      <c r="BF422" t="s">
        <v>134</v>
      </c>
      <c r="BG422" t="s">
        <v>134</v>
      </c>
      <c r="BH422" t="s">
        <v>134</v>
      </c>
      <c r="BI422" t="s">
        <v>134</v>
      </c>
      <c r="BJ422" t="s">
        <v>134</v>
      </c>
      <c r="BK422" t="s">
        <v>134</v>
      </c>
      <c r="BL422" t="s">
        <v>134</v>
      </c>
      <c r="BM422" t="s">
        <v>134</v>
      </c>
      <c r="BN422" t="s">
        <v>134</v>
      </c>
      <c r="BO422" t="s">
        <v>134</v>
      </c>
      <c r="BP422" t="s">
        <v>134</v>
      </c>
      <c r="BQ422" t="s">
        <v>134</v>
      </c>
      <c r="BR422" t="s">
        <v>134</v>
      </c>
      <c r="BS422" t="s">
        <v>134</v>
      </c>
      <c r="BT422" t="s">
        <v>134</v>
      </c>
      <c r="BU422" t="s">
        <v>134</v>
      </c>
      <c r="BV422" t="s">
        <v>134</v>
      </c>
      <c r="BW422" t="s">
        <v>134</v>
      </c>
      <c r="BX422" t="s">
        <v>134</v>
      </c>
      <c r="BY422" t="s">
        <v>134</v>
      </c>
      <c r="BZ422" t="s">
        <v>134</v>
      </c>
      <c r="CA422" t="s">
        <v>134</v>
      </c>
      <c r="CB422" t="s">
        <v>134</v>
      </c>
      <c r="CC422" t="s">
        <v>134</v>
      </c>
      <c r="CD422" t="s">
        <v>134</v>
      </c>
      <c r="CE422" t="s">
        <v>134</v>
      </c>
      <c r="CF422" t="s">
        <v>134</v>
      </c>
      <c r="CG422" t="s">
        <v>134</v>
      </c>
      <c r="CH422" t="s">
        <v>134</v>
      </c>
      <c r="CI422" t="s">
        <v>134</v>
      </c>
      <c r="CJ422" t="s">
        <v>134</v>
      </c>
      <c r="CK422" t="s">
        <v>134</v>
      </c>
      <c r="CL422" t="s">
        <v>134</v>
      </c>
      <c r="CM422" t="s">
        <v>134</v>
      </c>
      <c r="CN422" t="s">
        <v>134</v>
      </c>
      <c r="CO422" t="s">
        <v>134</v>
      </c>
      <c r="CP422" t="s">
        <v>134</v>
      </c>
      <c r="CQ422" t="s">
        <v>134</v>
      </c>
      <c r="CR422" t="s">
        <v>134</v>
      </c>
      <c r="CS422" t="s">
        <v>134</v>
      </c>
      <c r="CT422" t="s">
        <v>134</v>
      </c>
      <c r="CU422" t="s">
        <v>134</v>
      </c>
      <c r="CV422" t="s">
        <v>134</v>
      </c>
      <c r="CW422" t="s">
        <v>134</v>
      </c>
      <c r="CX422" t="s">
        <v>134</v>
      </c>
      <c r="CY422" t="s">
        <v>134</v>
      </c>
      <c r="CZ422" t="s">
        <v>134</v>
      </c>
      <c r="DA422" t="s">
        <v>134</v>
      </c>
      <c r="DB422" t="s">
        <v>134</v>
      </c>
      <c r="DC422" t="s">
        <v>134</v>
      </c>
      <c r="DD422" t="s">
        <v>134</v>
      </c>
      <c r="DE422" t="s">
        <v>134</v>
      </c>
      <c r="DF422" t="s">
        <v>134</v>
      </c>
      <c r="DG422" t="s">
        <v>134</v>
      </c>
      <c r="DH422" t="s">
        <v>134</v>
      </c>
      <c r="DI422" t="s">
        <v>134</v>
      </c>
    </row>
    <row r="423" spans="1:113" x14ac:dyDescent="0.3">
      <c r="D423" t="s">
        <v>85</v>
      </c>
      <c r="E423" t="s">
        <v>77</v>
      </c>
      <c r="F423">
        <v>1.3632</v>
      </c>
      <c r="G423">
        <v>0.70650000000000002</v>
      </c>
      <c r="H423">
        <v>1.6318000000000001</v>
      </c>
      <c r="I423">
        <v>1.2646999999999999</v>
      </c>
      <c r="J423">
        <v>7.0416999999999996</v>
      </c>
      <c r="K423">
        <v>4.2275999999999998</v>
      </c>
      <c r="L423">
        <v>270.71260000000001</v>
      </c>
      <c r="M423">
        <v>4.3422999999999998</v>
      </c>
      <c r="N423">
        <v>1.5662</v>
      </c>
      <c r="O423">
        <v>1.5768</v>
      </c>
      <c r="P423">
        <v>1.5768</v>
      </c>
      <c r="Q423">
        <v>63.931100000000001</v>
      </c>
      <c r="R423">
        <v>131.49</v>
      </c>
      <c r="S423">
        <v>-0.42930000000000001</v>
      </c>
      <c r="T423">
        <v>1.3048</v>
      </c>
      <c r="U423">
        <v>86.381699999999995</v>
      </c>
      <c r="V423">
        <v>470.7296</v>
      </c>
      <c r="W423">
        <v>-3.5209999999999999</v>
      </c>
      <c r="X423">
        <v>43.951599999999999</v>
      </c>
      <c r="Y423">
        <v>50</v>
      </c>
      <c r="Z423">
        <v>3.1459000000000001</v>
      </c>
      <c r="AA423">
        <v>-15.1297</v>
      </c>
      <c r="AB423">
        <v>-13.1168</v>
      </c>
      <c r="AC423">
        <v>3.5815999999999999</v>
      </c>
      <c r="AD423">
        <v>-10.812100000000001</v>
      </c>
      <c r="AE423">
        <v>-7.8173000000000004</v>
      </c>
      <c r="AF423">
        <v>20.954499999999999</v>
      </c>
      <c r="AG423">
        <v>-20.786899999999999</v>
      </c>
      <c r="AH423">
        <v>-29.610600000000002</v>
      </c>
      <c r="AI423">
        <v>-0.1759</v>
      </c>
      <c r="AJ423">
        <v>-0.31690000000000002</v>
      </c>
      <c r="AK423">
        <v>-0.16669999999999999</v>
      </c>
      <c r="AL423">
        <v>44.538800000000002</v>
      </c>
      <c r="AM423">
        <v>-10.273199999999999</v>
      </c>
      <c r="AN423">
        <v>-26.97</v>
      </c>
      <c r="AO423">
        <v>-32.635199999999998</v>
      </c>
      <c r="AP423">
        <v>-41.951599999999999</v>
      </c>
      <c r="AQ423">
        <v>-42.065600000000003</v>
      </c>
      <c r="AR423">
        <v>-15.216699999999999</v>
      </c>
      <c r="AS423">
        <v>-4.9615999999999998</v>
      </c>
      <c r="AT423">
        <v>-12.0014</v>
      </c>
      <c r="AU423">
        <v>-14.031499999999999</v>
      </c>
      <c r="AV423">
        <v>-2.4003999999999999</v>
      </c>
      <c r="AW423">
        <v>-10.0746</v>
      </c>
      <c r="AX423">
        <v>-2.0009999999999999</v>
      </c>
      <c r="AY423">
        <v>1.5246</v>
      </c>
      <c r="AZ423">
        <v>-48.602400000000003</v>
      </c>
      <c r="BA423">
        <v>-47.294800000000002</v>
      </c>
      <c r="BB423">
        <v>1.1375999999999999</v>
      </c>
      <c r="BC423">
        <v>-0.49230000000000002</v>
      </c>
      <c r="BD423">
        <v>1.1433</v>
      </c>
      <c r="BE423">
        <v>-5.6805000000000003</v>
      </c>
      <c r="BF423">
        <v>1.3048</v>
      </c>
      <c r="BG423">
        <v>86.381699999999995</v>
      </c>
      <c r="BH423">
        <v>470.7296</v>
      </c>
      <c r="BI423">
        <v>-3.5209999999999999</v>
      </c>
      <c r="BJ423">
        <v>43.951599999999999</v>
      </c>
      <c r="BK423">
        <v>50</v>
      </c>
      <c r="BL423">
        <v>3.1459000000000001</v>
      </c>
      <c r="BM423">
        <v>-15.1297</v>
      </c>
      <c r="BN423">
        <v>-13.1168</v>
      </c>
      <c r="BO423">
        <v>3.5815999999999999</v>
      </c>
      <c r="BP423">
        <v>-10.812100000000001</v>
      </c>
      <c r="BQ423">
        <v>-7.8173000000000004</v>
      </c>
      <c r="BR423">
        <v>20.954499999999999</v>
      </c>
      <c r="BS423">
        <v>-20.786899999999999</v>
      </c>
      <c r="BT423">
        <v>-29.610600000000002</v>
      </c>
      <c r="BU423">
        <v>-0.1759</v>
      </c>
      <c r="BV423">
        <v>-0.31690000000000002</v>
      </c>
      <c r="BW423">
        <v>-0.16669999999999999</v>
      </c>
      <c r="BX423">
        <v>44.538800000000002</v>
      </c>
      <c r="BY423">
        <v>1097.3</v>
      </c>
      <c r="BZ423">
        <v>525.5</v>
      </c>
      <c r="CA423">
        <v>571.79999999999995</v>
      </c>
      <c r="CB423">
        <v>5.57E-2</v>
      </c>
      <c r="CC423">
        <v>-5.6757999999999997</v>
      </c>
      <c r="CD423">
        <v>9.2799999999999994E-2</v>
      </c>
      <c r="CE423">
        <v>-9.4539000000000009</v>
      </c>
      <c r="CF423">
        <v>7.7210999999999999</v>
      </c>
      <c r="CG423">
        <v>50.885399999999997</v>
      </c>
      <c r="CH423">
        <v>0.1769</v>
      </c>
      <c r="CI423">
        <v>0.17630000000000001</v>
      </c>
      <c r="CJ423">
        <v>0.09</v>
      </c>
      <c r="CK423">
        <v>0.33939999999999998</v>
      </c>
      <c r="CL423">
        <v>0.3382</v>
      </c>
      <c r="CM423">
        <v>0.17269999999999999</v>
      </c>
      <c r="CN423">
        <v>-34.585599999999999</v>
      </c>
      <c r="CO423">
        <v>-52.871600000000001</v>
      </c>
      <c r="CP423">
        <v>19701.099999999999</v>
      </c>
      <c r="CQ423">
        <v>16888.599999999999</v>
      </c>
      <c r="CR423">
        <v>11827.8</v>
      </c>
      <c r="CS423">
        <v>0.50839999999999996</v>
      </c>
      <c r="CT423">
        <v>1.9445999999999999</v>
      </c>
      <c r="CU423">
        <v>1.5335999999999999</v>
      </c>
      <c r="CV423">
        <v>1.462</v>
      </c>
      <c r="CW423">
        <v>1.2476</v>
      </c>
      <c r="CX423">
        <v>292.55599999999998</v>
      </c>
      <c r="CY423">
        <v>2.3319999999999999</v>
      </c>
      <c r="CZ423">
        <v>156.5206</v>
      </c>
      <c r="DA423">
        <v>1.5392999999999999</v>
      </c>
      <c r="DB423">
        <v>237.12690000000001</v>
      </c>
      <c r="DC423">
        <v>211.94970000000001</v>
      </c>
      <c r="DD423">
        <v>449.07659999999998</v>
      </c>
      <c r="DE423">
        <v>62631.5</v>
      </c>
      <c r="DF423">
        <v>30771.7</v>
      </c>
      <c r="DG423">
        <v>22855.1</v>
      </c>
      <c r="DH423">
        <v>9508.9</v>
      </c>
      <c r="DI423">
        <v>-504.2</v>
      </c>
    </row>
    <row r="424" spans="1:113" x14ac:dyDescent="0.3">
      <c r="E424" t="s">
        <v>78</v>
      </c>
      <c r="F424" t="s">
        <v>134</v>
      </c>
      <c r="G424" t="s">
        <v>134</v>
      </c>
      <c r="H424" t="s">
        <v>134</v>
      </c>
      <c r="I424" t="s">
        <v>134</v>
      </c>
      <c r="J424" t="s">
        <v>134</v>
      </c>
      <c r="K424" t="s">
        <v>134</v>
      </c>
      <c r="L424" t="s">
        <v>134</v>
      </c>
      <c r="M424" t="s">
        <v>134</v>
      </c>
      <c r="N424" t="s">
        <v>134</v>
      </c>
      <c r="O424" t="s">
        <v>134</v>
      </c>
      <c r="P424" t="s">
        <v>134</v>
      </c>
      <c r="Q424" t="s">
        <v>134</v>
      </c>
      <c r="R424" t="s">
        <v>134</v>
      </c>
      <c r="S424" t="s">
        <v>134</v>
      </c>
      <c r="T424" t="s">
        <v>134</v>
      </c>
      <c r="U424" t="s">
        <v>134</v>
      </c>
      <c r="V424" t="s">
        <v>134</v>
      </c>
      <c r="W424" t="s">
        <v>134</v>
      </c>
      <c r="X424" t="s">
        <v>134</v>
      </c>
      <c r="Y424" t="s">
        <v>134</v>
      </c>
      <c r="Z424" t="s">
        <v>134</v>
      </c>
      <c r="AA424" t="s">
        <v>134</v>
      </c>
      <c r="AB424" t="s">
        <v>134</v>
      </c>
      <c r="AC424" t="s">
        <v>134</v>
      </c>
      <c r="AD424" t="s">
        <v>134</v>
      </c>
      <c r="AE424" t="s">
        <v>134</v>
      </c>
      <c r="AF424" t="s">
        <v>134</v>
      </c>
      <c r="AG424" t="s">
        <v>134</v>
      </c>
      <c r="AH424" t="s">
        <v>134</v>
      </c>
      <c r="AI424" t="s">
        <v>134</v>
      </c>
      <c r="AJ424" t="s">
        <v>134</v>
      </c>
      <c r="AK424" t="s">
        <v>134</v>
      </c>
      <c r="AL424" t="s">
        <v>134</v>
      </c>
      <c r="AM424" t="s">
        <v>134</v>
      </c>
      <c r="AN424" t="s">
        <v>134</v>
      </c>
      <c r="AO424" t="s">
        <v>134</v>
      </c>
      <c r="AP424" t="s">
        <v>134</v>
      </c>
      <c r="AQ424" t="s">
        <v>134</v>
      </c>
      <c r="AR424" t="s">
        <v>134</v>
      </c>
      <c r="AS424" t="s">
        <v>134</v>
      </c>
      <c r="AT424" t="s">
        <v>134</v>
      </c>
      <c r="AU424" t="s">
        <v>134</v>
      </c>
      <c r="AV424" t="s">
        <v>134</v>
      </c>
      <c r="AW424" t="s">
        <v>134</v>
      </c>
      <c r="AX424" t="s">
        <v>134</v>
      </c>
      <c r="AY424" t="s">
        <v>134</v>
      </c>
      <c r="AZ424" t="s">
        <v>134</v>
      </c>
      <c r="BA424" t="s">
        <v>134</v>
      </c>
      <c r="BB424" t="s">
        <v>134</v>
      </c>
      <c r="BC424" t="s">
        <v>134</v>
      </c>
      <c r="BD424" t="s">
        <v>134</v>
      </c>
      <c r="BE424" t="s">
        <v>134</v>
      </c>
      <c r="BF424" t="s">
        <v>134</v>
      </c>
      <c r="BG424" t="s">
        <v>134</v>
      </c>
      <c r="BH424" t="s">
        <v>134</v>
      </c>
      <c r="BI424" t="s">
        <v>134</v>
      </c>
      <c r="BJ424" t="s">
        <v>134</v>
      </c>
      <c r="BK424" t="s">
        <v>134</v>
      </c>
      <c r="BL424" t="s">
        <v>134</v>
      </c>
      <c r="BM424" t="s">
        <v>134</v>
      </c>
      <c r="BN424" t="s">
        <v>134</v>
      </c>
      <c r="BO424" t="s">
        <v>134</v>
      </c>
      <c r="BP424" t="s">
        <v>134</v>
      </c>
      <c r="BQ424" t="s">
        <v>134</v>
      </c>
      <c r="BR424" t="s">
        <v>134</v>
      </c>
      <c r="BS424" t="s">
        <v>134</v>
      </c>
      <c r="BT424" t="s">
        <v>134</v>
      </c>
      <c r="BU424" t="s">
        <v>134</v>
      </c>
      <c r="BV424" t="s">
        <v>134</v>
      </c>
      <c r="BW424" t="s">
        <v>134</v>
      </c>
      <c r="BX424" t="s">
        <v>134</v>
      </c>
      <c r="BY424" t="s">
        <v>134</v>
      </c>
      <c r="BZ424" t="s">
        <v>134</v>
      </c>
      <c r="CA424" t="s">
        <v>134</v>
      </c>
      <c r="CB424" t="s">
        <v>134</v>
      </c>
      <c r="CC424" t="s">
        <v>134</v>
      </c>
      <c r="CD424" t="s">
        <v>134</v>
      </c>
      <c r="CE424" t="s">
        <v>134</v>
      </c>
      <c r="CF424" t="s">
        <v>134</v>
      </c>
      <c r="CG424" t="s">
        <v>134</v>
      </c>
      <c r="CH424" t="s">
        <v>134</v>
      </c>
      <c r="CI424" t="s">
        <v>134</v>
      </c>
      <c r="CJ424" t="s">
        <v>134</v>
      </c>
      <c r="CK424" t="s">
        <v>134</v>
      </c>
      <c r="CL424" t="s">
        <v>134</v>
      </c>
      <c r="CM424" t="s">
        <v>134</v>
      </c>
      <c r="CN424" t="s">
        <v>134</v>
      </c>
      <c r="CO424" t="s">
        <v>134</v>
      </c>
      <c r="CP424" t="s">
        <v>134</v>
      </c>
      <c r="CQ424" t="s">
        <v>134</v>
      </c>
      <c r="CR424" t="s">
        <v>134</v>
      </c>
      <c r="CS424" t="s">
        <v>134</v>
      </c>
      <c r="CT424" t="s">
        <v>134</v>
      </c>
      <c r="CU424" t="s">
        <v>134</v>
      </c>
      <c r="CV424" t="s">
        <v>134</v>
      </c>
      <c r="CW424" t="s">
        <v>134</v>
      </c>
      <c r="CX424" t="s">
        <v>134</v>
      </c>
      <c r="CY424" t="s">
        <v>134</v>
      </c>
      <c r="CZ424" t="s">
        <v>134</v>
      </c>
      <c r="DA424" t="s">
        <v>134</v>
      </c>
      <c r="DB424" t="s">
        <v>134</v>
      </c>
      <c r="DC424" t="s">
        <v>134</v>
      </c>
      <c r="DD424" t="s">
        <v>134</v>
      </c>
      <c r="DE424" t="s">
        <v>134</v>
      </c>
      <c r="DF424" t="s">
        <v>134</v>
      </c>
      <c r="DG424" t="s">
        <v>134</v>
      </c>
      <c r="DH424" t="s">
        <v>134</v>
      </c>
      <c r="DI424" t="s">
        <v>134</v>
      </c>
    </row>
    <row r="425" spans="1:113" x14ac:dyDescent="0.3">
      <c r="E425" t="s">
        <v>79</v>
      </c>
      <c r="F425" t="s">
        <v>134</v>
      </c>
      <c r="G425" t="s">
        <v>134</v>
      </c>
      <c r="H425" t="s">
        <v>134</v>
      </c>
      <c r="I425" t="s">
        <v>134</v>
      </c>
      <c r="J425" t="s">
        <v>134</v>
      </c>
      <c r="K425" t="s">
        <v>134</v>
      </c>
      <c r="L425" t="s">
        <v>134</v>
      </c>
      <c r="M425" t="s">
        <v>134</v>
      </c>
      <c r="N425" t="s">
        <v>134</v>
      </c>
      <c r="O425" t="s">
        <v>134</v>
      </c>
      <c r="P425" t="s">
        <v>134</v>
      </c>
      <c r="Q425" t="s">
        <v>134</v>
      </c>
      <c r="R425" t="s">
        <v>134</v>
      </c>
      <c r="S425" t="s">
        <v>134</v>
      </c>
      <c r="T425" t="s">
        <v>134</v>
      </c>
      <c r="U425" t="s">
        <v>134</v>
      </c>
      <c r="V425" t="s">
        <v>134</v>
      </c>
      <c r="W425" t="s">
        <v>134</v>
      </c>
      <c r="X425" t="s">
        <v>134</v>
      </c>
      <c r="Y425" t="s">
        <v>134</v>
      </c>
      <c r="Z425" t="s">
        <v>134</v>
      </c>
      <c r="AA425" t="s">
        <v>134</v>
      </c>
      <c r="AB425" t="s">
        <v>134</v>
      </c>
      <c r="AC425" t="s">
        <v>134</v>
      </c>
      <c r="AD425" t="s">
        <v>134</v>
      </c>
      <c r="AE425" t="s">
        <v>134</v>
      </c>
      <c r="AF425" t="s">
        <v>134</v>
      </c>
      <c r="AG425" t="s">
        <v>134</v>
      </c>
      <c r="AH425" t="s">
        <v>134</v>
      </c>
      <c r="AI425" t="s">
        <v>134</v>
      </c>
      <c r="AJ425" t="s">
        <v>134</v>
      </c>
      <c r="AK425" t="s">
        <v>134</v>
      </c>
      <c r="AL425" t="s">
        <v>134</v>
      </c>
      <c r="AM425" t="s">
        <v>134</v>
      </c>
      <c r="AN425" t="s">
        <v>134</v>
      </c>
      <c r="AO425" t="s">
        <v>134</v>
      </c>
      <c r="AP425" t="s">
        <v>134</v>
      </c>
      <c r="AQ425" t="s">
        <v>134</v>
      </c>
      <c r="AR425" t="s">
        <v>134</v>
      </c>
      <c r="AS425" t="s">
        <v>134</v>
      </c>
      <c r="AT425" t="s">
        <v>134</v>
      </c>
      <c r="AU425" t="s">
        <v>134</v>
      </c>
      <c r="AV425" t="s">
        <v>134</v>
      </c>
      <c r="AW425" t="s">
        <v>134</v>
      </c>
      <c r="AX425" t="s">
        <v>134</v>
      </c>
      <c r="AY425" t="s">
        <v>134</v>
      </c>
      <c r="AZ425" t="s">
        <v>134</v>
      </c>
      <c r="BA425" t="s">
        <v>134</v>
      </c>
      <c r="BB425" t="s">
        <v>134</v>
      </c>
      <c r="BC425" t="s">
        <v>134</v>
      </c>
      <c r="BD425" t="s">
        <v>134</v>
      </c>
      <c r="BE425" t="s">
        <v>134</v>
      </c>
      <c r="BF425" t="s">
        <v>134</v>
      </c>
      <c r="BG425" t="s">
        <v>134</v>
      </c>
      <c r="BH425" t="s">
        <v>134</v>
      </c>
      <c r="BI425" t="s">
        <v>134</v>
      </c>
      <c r="BJ425" t="s">
        <v>134</v>
      </c>
      <c r="BK425" t="s">
        <v>134</v>
      </c>
      <c r="BL425" t="s">
        <v>134</v>
      </c>
      <c r="BM425" t="s">
        <v>134</v>
      </c>
      <c r="BN425" t="s">
        <v>134</v>
      </c>
      <c r="BO425" t="s">
        <v>134</v>
      </c>
      <c r="BP425" t="s">
        <v>134</v>
      </c>
      <c r="BQ425" t="s">
        <v>134</v>
      </c>
      <c r="BR425" t="s">
        <v>134</v>
      </c>
      <c r="BS425" t="s">
        <v>134</v>
      </c>
      <c r="BT425" t="s">
        <v>134</v>
      </c>
      <c r="BU425" t="s">
        <v>134</v>
      </c>
      <c r="BV425" t="s">
        <v>134</v>
      </c>
      <c r="BW425" t="s">
        <v>134</v>
      </c>
      <c r="BX425" t="s">
        <v>134</v>
      </c>
      <c r="BY425" t="s">
        <v>134</v>
      </c>
      <c r="BZ425" t="s">
        <v>134</v>
      </c>
      <c r="CA425" t="s">
        <v>134</v>
      </c>
      <c r="CB425" t="s">
        <v>134</v>
      </c>
      <c r="CC425" t="s">
        <v>134</v>
      </c>
      <c r="CD425" t="s">
        <v>134</v>
      </c>
      <c r="CE425" t="s">
        <v>134</v>
      </c>
      <c r="CF425" t="s">
        <v>134</v>
      </c>
      <c r="CG425" t="s">
        <v>134</v>
      </c>
      <c r="CH425" t="s">
        <v>134</v>
      </c>
      <c r="CI425" t="s">
        <v>134</v>
      </c>
      <c r="CJ425" t="s">
        <v>134</v>
      </c>
      <c r="CK425" t="s">
        <v>134</v>
      </c>
      <c r="CL425" t="s">
        <v>134</v>
      </c>
      <c r="CM425" t="s">
        <v>134</v>
      </c>
      <c r="CN425" t="s">
        <v>134</v>
      </c>
      <c r="CO425" t="s">
        <v>134</v>
      </c>
      <c r="CP425" t="s">
        <v>134</v>
      </c>
      <c r="CQ425" t="s">
        <v>134</v>
      </c>
      <c r="CR425" t="s">
        <v>134</v>
      </c>
      <c r="CS425" t="s">
        <v>134</v>
      </c>
      <c r="CT425" t="s">
        <v>134</v>
      </c>
      <c r="CU425" t="s">
        <v>134</v>
      </c>
      <c r="CV425" t="s">
        <v>134</v>
      </c>
      <c r="CW425" t="s">
        <v>134</v>
      </c>
      <c r="CX425" t="s">
        <v>134</v>
      </c>
      <c r="CY425" t="s">
        <v>134</v>
      </c>
      <c r="CZ425" t="s">
        <v>134</v>
      </c>
      <c r="DA425" t="s">
        <v>134</v>
      </c>
      <c r="DB425" t="s">
        <v>134</v>
      </c>
      <c r="DC425" t="s">
        <v>134</v>
      </c>
      <c r="DD425" t="s">
        <v>134</v>
      </c>
      <c r="DE425" t="s">
        <v>134</v>
      </c>
      <c r="DF425" t="s">
        <v>134</v>
      </c>
      <c r="DG425" t="s">
        <v>134</v>
      </c>
      <c r="DH425" t="s">
        <v>134</v>
      </c>
      <c r="DI425" t="s">
        <v>134</v>
      </c>
    </row>
    <row r="426" spans="1:113" x14ac:dyDescent="0.3">
      <c r="E426" t="s">
        <v>80</v>
      </c>
      <c r="F426" t="s">
        <v>134</v>
      </c>
      <c r="G426" t="s">
        <v>134</v>
      </c>
      <c r="H426" t="s">
        <v>134</v>
      </c>
      <c r="I426" t="s">
        <v>134</v>
      </c>
      <c r="J426" t="s">
        <v>134</v>
      </c>
      <c r="K426" t="s">
        <v>134</v>
      </c>
      <c r="L426" t="s">
        <v>134</v>
      </c>
      <c r="M426" t="s">
        <v>134</v>
      </c>
      <c r="N426" t="s">
        <v>134</v>
      </c>
      <c r="O426" t="s">
        <v>134</v>
      </c>
      <c r="P426" t="s">
        <v>134</v>
      </c>
      <c r="Q426" t="s">
        <v>134</v>
      </c>
      <c r="R426" t="s">
        <v>134</v>
      </c>
      <c r="S426" t="s">
        <v>134</v>
      </c>
      <c r="T426" t="s">
        <v>134</v>
      </c>
      <c r="U426" t="s">
        <v>134</v>
      </c>
      <c r="V426" t="s">
        <v>134</v>
      </c>
      <c r="W426" t="s">
        <v>134</v>
      </c>
      <c r="X426" t="s">
        <v>134</v>
      </c>
      <c r="Y426" t="s">
        <v>134</v>
      </c>
      <c r="Z426" t="s">
        <v>134</v>
      </c>
      <c r="AA426" t="s">
        <v>134</v>
      </c>
      <c r="AB426" t="s">
        <v>134</v>
      </c>
      <c r="AC426" t="s">
        <v>134</v>
      </c>
      <c r="AD426" t="s">
        <v>134</v>
      </c>
      <c r="AE426" t="s">
        <v>134</v>
      </c>
      <c r="AF426" t="s">
        <v>134</v>
      </c>
      <c r="AG426" t="s">
        <v>134</v>
      </c>
      <c r="AH426" t="s">
        <v>134</v>
      </c>
      <c r="AI426" t="s">
        <v>134</v>
      </c>
      <c r="AJ426" t="s">
        <v>134</v>
      </c>
      <c r="AK426" t="s">
        <v>134</v>
      </c>
      <c r="AL426" t="s">
        <v>134</v>
      </c>
      <c r="AM426" t="s">
        <v>134</v>
      </c>
      <c r="AN426" t="s">
        <v>134</v>
      </c>
      <c r="AO426" t="s">
        <v>134</v>
      </c>
      <c r="AP426" t="s">
        <v>134</v>
      </c>
      <c r="AQ426" t="s">
        <v>134</v>
      </c>
      <c r="AR426" t="s">
        <v>134</v>
      </c>
      <c r="AS426" t="s">
        <v>134</v>
      </c>
      <c r="AT426" t="s">
        <v>134</v>
      </c>
      <c r="AU426" t="s">
        <v>134</v>
      </c>
      <c r="AV426" t="s">
        <v>134</v>
      </c>
      <c r="AW426" t="s">
        <v>134</v>
      </c>
      <c r="AX426" t="s">
        <v>134</v>
      </c>
      <c r="AY426" t="s">
        <v>134</v>
      </c>
      <c r="AZ426" t="s">
        <v>134</v>
      </c>
      <c r="BA426" t="s">
        <v>134</v>
      </c>
      <c r="BB426" t="s">
        <v>134</v>
      </c>
      <c r="BC426" t="s">
        <v>134</v>
      </c>
      <c r="BD426" t="s">
        <v>134</v>
      </c>
      <c r="BE426" t="s">
        <v>134</v>
      </c>
      <c r="BF426" t="s">
        <v>134</v>
      </c>
      <c r="BG426" t="s">
        <v>134</v>
      </c>
      <c r="BH426" t="s">
        <v>134</v>
      </c>
      <c r="BI426" t="s">
        <v>134</v>
      </c>
      <c r="BJ426" t="s">
        <v>134</v>
      </c>
      <c r="BK426" t="s">
        <v>134</v>
      </c>
      <c r="BL426" t="s">
        <v>134</v>
      </c>
      <c r="BM426" t="s">
        <v>134</v>
      </c>
      <c r="BN426" t="s">
        <v>134</v>
      </c>
      <c r="BO426" t="s">
        <v>134</v>
      </c>
      <c r="BP426" t="s">
        <v>134</v>
      </c>
      <c r="BQ426" t="s">
        <v>134</v>
      </c>
      <c r="BR426" t="s">
        <v>134</v>
      </c>
      <c r="BS426" t="s">
        <v>134</v>
      </c>
      <c r="BT426" t="s">
        <v>134</v>
      </c>
      <c r="BU426" t="s">
        <v>134</v>
      </c>
      <c r="BV426" t="s">
        <v>134</v>
      </c>
      <c r="BW426" t="s">
        <v>134</v>
      </c>
      <c r="BX426" t="s">
        <v>134</v>
      </c>
      <c r="BY426" t="s">
        <v>134</v>
      </c>
      <c r="BZ426" t="s">
        <v>134</v>
      </c>
      <c r="CA426" t="s">
        <v>134</v>
      </c>
      <c r="CB426" t="s">
        <v>134</v>
      </c>
      <c r="CC426" t="s">
        <v>134</v>
      </c>
      <c r="CD426" t="s">
        <v>134</v>
      </c>
      <c r="CE426" t="s">
        <v>134</v>
      </c>
      <c r="CF426" t="s">
        <v>134</v>
      </c>
      <c r="CG426" t="s">
        <v>134</v>
      </c>
      <c r="CH426" t="s">
        <v>134</v>
      </c>
      <c r="CI426" t="s">
        <v>134</v>
      </c>
      <c r="CJ426" t="s">
        <v>134</v>
      </c>
      <c r="CK426" t="s">
        <v>134</v>
      </c>
      <c r="CL426" t="s">
        <v>134</v>
      </c>
      <c r="CM426" t="s">
        <v>134</v>
      </c>
      <c r="CN426" t="s">
        <v>134</v>
      </c>
      <c r="CO426" t="s">
        <v>134</v>
      </c>
      <c r="CP426" t="s">
        <v>134</v>
      </c>
      <c r="CQ426" t="s">
        <v>134</v>
      </c>
      <c r="CR426" t="s">
        <v>134</v>
      </c>
      <c r="CS426" t="s">
        <v>134</v>
      </c>
      <c r="CT426" t="s">
        <v>134</v>
      </c>
      <c r="CU426" t="s">
        <v>134</v>
      </c>
      <c r="CV426" t="s">
        <v>134</v>
      </c>
      <c r="CW426" t="s">
        <v>134</v>
      </c>
      <c r="CX426" t="s">
        <v>134</v>
      </c>
      <c r="CY426" t="s">
        <v>134</v>
      </c>
      <c r="CZ426" t="s">
        <v>134</v>
      </c>
      <c r="DA426" t="s">
        <v>134</v>
      </c>
      <c r="DB426" t="s">
        <v>134</v>
      </c>
      <c r="DC426" t="s">
        <v>134</v>
      </c>
      <c r="DD426" t="s">
        <v>134</v>
      </c>
      <c r="DE426" t="s">
        <v>134</v>
      </c>
      <c r="DF426" t="s">
        <v>134</v>
      </c>
      <c r="DG426" t="s">
        <v>134</v>
      </c>
      <c r="DH426" t="s">
        <v>134</v>
      </c>
      <c r="DI426" t="s">
        <v>134</v>
      </c>
    </row>
    <row r="427" spans="1:113" x14ac:dyDescent="0.3">
      <c r="E427" t="s">
        <v>81</v>
      </c>
      <c r="F427" t="s">
        <v>134</v>
      </c>
      <c r="G427" t="s">
        <v>134</v>
      </c>
      <c r="H427" t="s">
        <v>134</v>
      </c>
      <c r="I427" t="s">
        <v>134</v>
      </c>
      <c r="J427" t="s">
        <v>134</v>
      </c>
      <c r="K427" t="s">
        <v>134</v>
      </c>
      <c r="L427" t="s">
        <v>134</v>
      </c>
      <c r="M427" t="s">
        <v>134</v>
      </c>
      <c r="N427" t="s">
        <v>134</v>
      </c>
      <c r="O427" t="s">
        <v>134</v>
      </c>
      <c r="P427" t="s">
        <v>134</v>
      </c>
      <c r="Q427" t="s">
        <v>134</v>
      </c>
      <c r="R427" t="s">
        <v>134</v>
      </c>
      <c r="S427" t="s">
        <v>134</v>
      </c>
      <c r="T427" t="s">
        <v>134</v>
      </c>
      <c r="U427" t="s">
        <v>134</v>
      </c>
      <c r="V427" t="s">
        <v>134</v>
      </c>
      <c r="W427" t="s">
        <v>134</v>
      </c>
      <c r="X427" t="s">
        <v>134</v>
      </c>
      <c r="Y427" t="s">
        <v>134</v>
      </c>
      <c r="Z427" t="s">
        <v>134</v>
      </c>
      <c r="AA427" t="s">
        <v>134</v>
      </c>
      <c r="AB427" t="s">
        <v>134</v>
      </c>
      <c r="AC427" t="s">
        <v>134</v>
      </c>
      <c r="AD427" t="s">
        <v>134</v>
      </c>
      <c r="AE427" t="s">
        <v>134</v>
      </c>
      <c r="AF427" t="s">
        <v>134</v>
      </c>
      <c r="AG427" t="s">
        <v>134</v>
      </c>
      <c r="AH427" t="s">
        <v>134</v>
      </c>
      <c r="AI427" t="s">
        <v>134</v>
      </c>
      <c r="AJ427" t="s">
        <v>134</v>
      </c>
      <c r="AK427" t="s">
        <v>134</v>
      </c>
      <c r="AL427" t="s">
        <v>134</v>
      </c>
      <c r="AM427" t="s">
        <v>134</v>
      </c>
      <c r="AN427" t="s">
        <v>134</v>
      </c>
      <c r="AO427" t="s">
        <v>134</v>
      </c>
      <c r="AP427" t="s">
        <v>134</v>
      </c>
      <c r="AQ427" t="s">
        <v>134</v>
      </c>
      <c r="AR427" t="s">
        <v>134</v>
      </c>
      <c r="AS427" t="s">
        <v>134</v>
      </c>
      <c r="AT427" t="s">
        <v>134</v>
      </c>
      <c r="AU427" t="s">
        <v>134</v>
      </c>
      <c r="AV427" t="s">
        <v>134</v>
      </c>
      <c r="AW427" t="s">
        <v>134</v>
      </c>
      <c r="AX427" t="s">
        <v>134</v>
      </c>
      <c r="AY427" t="s">
        <v>134</v>
      </c>
      <c r="AZ427" t="s">
        <v>134</v>
      </c>
      <c r="BA427" t="s">
        <v>134</v>
      </c>
      <c r="BB427" t="s">
        <v>134</v>
      </c>
      <c r="BC427" t="s">
        <v>134</v>
      </c>
      <c r="BD427" t="s">
        <v>134</v>
      </c>
      <c r="BE427" t="s">
        <v>134</v>
      </c>
      <c r="BF427" t="s">
        <v>134</v>
      </c>
      <c r="BG427" t="s">
        <v>134</v>
      </c>
      <c r="BH427" t="s">
        <v>134</v>
      </c>
      <c r="BI427" t="s">
        <v>134</v>
      </c>
      <c r="BJ427" t="s">
        <v>134</v>
      </c>
      <c r="BK427" t="s">
        <v>134</v>
      </c>
      <c r="BL427" t="s">
        <v>134</v>
      </c>
      <c r="BM427" t="s">
        <v>134</v>
      </c>
      <c r="BN427" t="s">
        <v>134</v>
      </c>
      <c r="BO427" t="s">
        <v>134</v>
      </c>
      <c r="BP427" t="s">
        <v>134</v>
      </c>
      <c r="BQ427" t="s">
        <v>134</v>
      </c>
      <c r="BR427" t="s">
        <v>134</v>
      </c>
      <c r="BS427" t="s">
        <v>134</v>
      </c>
      <c r="BT427" t="s">
        <v>134</v>
      </c>
      <c r="BU427" t="s">
        <v>134</v>
      </c>
      <c r="BV427" t="s">
        <v>134</v>
      </c>
      <c r="BW427" t="s">
        <v>134</v>
      </c>
      <c r="BX427" t="s">
        <v>134</v>
      </c>
      <c r="BY427" t="s">
        <v>134</v>
      </c>
      <c r="BZ427" t="s">
        <v>134</v>
      </c>
      <c r="CA427" t="s">
        <v>134</v>
      </c>
      <c r="CB427" t="s">
        <v>134</v>
      </c>
      <c r="CC427" t="s">
        <v>134</v>
      </c>
      <c r="CD427" t="s">
        <v>134</v>
      </c>
      <c r="CE427" t="s">
        <v>134</v>
      </c>
      <c r="CF427" t="s">
        <v>134</v>
      </c>
      <c r="CG427" t="s">
        <v>134</v>
      </c>
      <c r="CH427" t="s">
        <v>134</v>
      </c>
      <c r="CI427" t="s">
        <v>134</v>
      </c>
      <c r="CJ427" t="s">
        <v>134</v>
      </c>
      <c r="CK427" t="s">
        <v>134</v>
      </c>
      <c r="CL427" t="s">
        <v>134</v>
      </c>
      <c r="CM427" t="s">
        <v>134</v>
      </c>
      <c r="CN427" t="s">
        <v>134</v>
      </c>
      <c r="CO427" t="s">
        <v>134</v>
      </c>
      <c r="CP427" t="s">
        <v>134</v>
      </c>
      <c r="CQ427" t="s">
        <v>134</v>
      </c>
      <c r="CR427" t="s">
        <v>134</v>
      </c>
      <c r="CS427" t="s">
        <v>134</v>
      </c>
      <c r="CT427" t="s">
        <v>134</v>
      </c>
      <c r="CU427" t="s">
        <v>134</v>
      </c>
      <c r="CV427" t="s">
        <v>134</v>
      </c>
      <c r="CW427" t="s">
        <v>134</v>
      </c>
      <c r="CX427" t="s">
        <v>134</v>
      </c>
      <c r="CY427" t="s">
        <v>134</v>
      </c>
      <c r="CZ427" t="s">
        <v>134</v>
      </c>
      <c r="DA427" t="s">
        <v>134</v>
      </c>
      <c r="DB427" t="s">
        <v>134</v>
      </c>
      <c r="DC427" t="s">
        <v>134</v>
      </c>
      <c r="DD427" t="s">
        <v>134</v>
      </c>
      <c r="DE427" t="s">
        <v>134</v>
      </c>
      <c r="DF427" t="s">
        <v>134</v>
      </c>
      <c r="DG427" t="s">
        <v>134</v>
      </c>
      <c r="DH427" t="s">
        <v>134</v>
      </c>
      <c r="DI427" t="s">
        <v>134</v>
      </c>
    </row>
    <row r="428" spans="1:113" x14ac:dyDescent="0.3">
      <c r="A428">
        <v>18</v>
      </c>
      <c r="B428" t="s">
        <v>118</v>
      </c>
      <c r="C428" t="s">
        <v>119</v>
      </c>
      <c r="D428" t="s">
        <v>76</v>
      </c>
      <c r="E428" t="s">
        <v>77</v>
      </c>
      <c r="F428">
        <v>21.596900000000002</v>
      </c>
      <c r="G428">
        <v>4.6470000000000002</v>
      </c>
      <c r="H428">
        <v>8.5076000000000001</v>
      </c>
      <c r="I428">
        <v>8.9011999999999993</v>
      </c>
      <c r="J428">
        <v>3.8035000000000001</v>
      </c>
      <c r="K428">
        <v>2.8155000000000001</v>
      </c>
      <c r="L428">
        <v>14.543200000000001</v>
      </c>
      <c r="M428">
        <v>2.3332000000000002</v>
      </c>
      <c r="N428">
        <v>1.5337000000000001</v>
      </c>
      <c r="O428">
        <v>1.4799</v>
      </c>
      <c r="P428">
        <v>1.4799</v>
      </c>
      <c r="Q428">
        <v>34.265500000000003</v>
      </c>
      <c r="R428">
        <v>32.587200000000003</v>
      </c>
      <c r="S428">
        <v>14.559100000000001</v>
      </c>
      <c r="T428">
        <v>9.1776999999999997</v>
      </c>
      <c r="U428">
        <v>50.640300000000003</v>
      </c>
      <c r="V428">
        <v>76.745099999999994</v>
      </c>
      <c r="W428">
        <v>107.92310000000001</v>
      </c>
      <c r="X428">
        <v>107.92</v>
      </c>
      <c r="Y428">
        <v>54.561399999999999</v>
      </c>
      <c r="Z428">
        <v>4.3312999999999997</v>
      </c>
      <c r="AA428">
        <v>16.098800000000001</v>
      </c>
      <c r="AB428">
        <v>15.1464</v>
      </c>
      <c r="AC428">
        <v>11.5783</v>
      </c>
      <c r="AD428">
        <v>-3.6543000000000001</v>
      </c>
      <c r="AE428" t="s">
        <v>134</v>
      </c>
      <c r="AF428">
        <v>44.374000000000002</v>
      </c>
      <c r="AG428">
        <v>-45.466999999999999</v>
      </c>
      <c r="AH428">
        <v>-1.38E-2</v>
      </c>
      <c r="AI428">
        <v>15.317299999999999</v>
      </c>
      <c r="AJ428">
        <v>5.3517000000000001</v>
      </c>
      <c r="AK428">
        <v>15.8813</v>
      </c>
      <c r="AL428">
        <v>108.60339999999999</v>
      </c>
      <c r="AM428">
        <v>14.115</v>
      </c>
      <c r="AN428">
        <v>24.403199999999998</v>
      </c>
      <c r="AO428">
        <v>28.645299999999999</v>
      </c>
      <c r="AP428">
        <v>43.901600000000002</v>
      </c>
      <c r="AQ428">
        <v>43.898699999999998</v>
      </c>
      <c r="AR428">
        <v>33.956200000000003</v>
      </c>
      <c r="AS428">
        <v>24.716899999999999</v>
      </c>
      <c r="AT428">
        <v>24.102900000000002</v>
      </c>
      <c r="AU428">
        <v>12.107100000000001</v>
      </c>
      <c r="AV428">
        <v>10.4198</v>
      </c>
      <c r="AW428">
        <v>43.037300000000002</v>
      </c>
      <c r="AX428" t="s">
        <v>134</v>
      </c>
      <c r="AY428">
        <v>13.3172</v>
      </c>
      <c r="AZ428">
        <v>-9.3628999999999998</v>
      </c>
      <c r="BA428">
        <v>6.4630999999999998</v>
      </c>
      <c r="BB428">
        <v>7.6916000000000002</v>
      </c>
      <c r="BC428">
        <v>6.9238</v>
      </c>
      <c r="BD428">
        <v>7.8684000000000003</v>
      </c>
      <c r="BE428">
        <v>10.5061</v>
      </c>
      <c r="BF428">
        <v>9.1776999999999997</v>
      </c>
      <c r="BG428">
        <v>50.640300000000003</v>
      </c>
      <c r="BH428">
        <v>76.745099999999994</v>
      </c>
      <c r="BI428">
        <v>107.92310000000001</v>
      </c>
      <c r="BJ428">
        <v>107.92</v>
      </c>
      <c r="BK428">
        <v>54.561399999999999</v>
      </c>
      <c r="BL428">
        <v>4.3312999999999997</v>
      </c>
      <c r="BM428">
        <v>16.098800000000001</v>
      </c>
      <c r="BN428">
        <v>15.1464</v>
      </c>
      <c r="BO428">
        <v>11.5783</v>
      </c>
      <c r="BP428">
        <v>-3.6543000000000001</v>
      </c>
      <c r="BQ428" t="s">
        <v>134</v>
      </c>
      <c r="BR428">
        <v>44.374000000000002</v>
      </c>
      <c r="BS428">
        <v>-45.466999999999999</v>
      </c>
      <c r="BT428">
        <v>-1.38E-2</v>
      </c>
      <c r="BU428">
        <v>15.317299999999999</v>
      </c>
      <c r="BV428">
        <v>5.3517000000000001</v>
      </c>
      <c r="BW428">
        <v>15.8813</v>
      </c>
      <c r="BX428">
        <v>108.60339999999999</v>
      </c>
      <c r="BY428">
        <v>331522.7</v>
      </c>
      <c r="BZ428">
        <v>111545.5</v>
      </c>
      <c r="CA428">
        <v>219977.2</v>
      </c>
      <c r="CB428">
        <v>3.2984</v>
      </c>
      <c r="CC428">
        <v>2.6029</v>
      </c>
      <c r="CD428">
        <v>4.4558</v>
      </c>
      <c r="CE428">
        <v>3.5163000000000002</v>
      </c>
      <c r="CF428">
        <v>16.403500000000001</v>
      </c>
      <c r="CG428">
        <v>21.901399999999999</v>
      </c>
      <c r="CH428">
        <v>106.85469999999999</v>
      </c>
      <c r="CI428">
        <v>40.9345</v>
      </c>
      <c r="CJ428">
        <v>24.783300000000001</v>
      </c>
      <c r="CK428">
        <v>161.03829999999999</v>
      </c>
      <c r="CL428">
        <v>61.691400000000002</v>
      </c>
      <c r="CM428">
        <v>37.350299999999997</v>
      </c>
      <c r="CN428">
        <v>127.0829</v>
      </c>
      <c r="CO428">
        <v>55.963200000000001</v>
      </c>
      <c r="CP428">
        <v>100511.1</v>
      </c>
      <c r="CQ428">
        <v>28134.9</v>
      </c>
      <c r="CR428">
        <v>74401.899999999994</v>
      </c>
      <c r="CS428">
        <v>0.16070000000000001</v>
      </c>
      <c r="CT428">
        <v>1.0765</v>
      </c>
      <c r="CU428">
        <v>0.26519999999999999</v>
      </c>
      <c r="CV428">
        <v>3.5752000000000002</v>
      </c>
      <c r="CW428">
        <v>59.392000000000003</v>
      </c>
      <c r="CX428">
        <v>6.1456</v>
      </c>
      <c r="CY428">
        <v>11.190099999999999</v>
      </c>
      <c r="CZ428">
        <v>32.618099999999998</v>
      </c>
      <c r="DA428">
        <v>22.4038</v>
      </c>
      <c r="DB428">
        <v>16.291899999999998</v>
      </c>
      <c r="DC428">
        <v>22.471800000000002</v>
      </c>
      <c r="DD428">
        <v>38.7637</v>
      </c>
      <c r="DE428">
        <v>231694.7</v>
      </c>
      <c r="DF428">
        <v>37960.6</v>
      </c>
      <c r="DG428">
        <v>9765</v>
      </c>
      <c r="DH428">
        <v>152932.1</v>
      </c>
      <c r="DI428">
        <v>31037</v>
      </c>
    </row>
    <row r="429" spans="1:113" x14ac:dyDescent="0.3">
      <c r="E429" t="s">
        <v>78</v>
      </c>
      <c r="F429" t="s">
        <v>134</v>
      </c>
      <c r="G429" t="s">
        <v>134</v>
      </c>
      <c r="H429" t="s">
        <v>134</v>
      </c>
      <c r="I429" t="s">
        <v>134</v>
      </c>
      <c r="J429" t="s">
        <v>134</v>
      </c>
      <c r="K429" t="s">
        <v>134</v>
      </c>
      <c r="L429" t="s">
        <v>134</v>
      </c>
      <c r="M429" t="s">
        <v>134</v>
      </c>
      <c r="N429" t="s">
        <v>134</v>
      </c>
      <c r="O429" t="s">
        <v>134</v>
      </c>
      <c r="P429" t="s">
        <v>134</v>
      </c>
      <c r="Q429" t="s">
        <v>134</v>
      </c>
      <c r="R429" t="s">
        <v>134</v>
      </c>
      <c r="S429" t="s">
        <v>134</v>
      </c>
      <c r="T429" t="s">
        <v>134</v>
      </c>
      <c r="U429" t="s">
        <v>134</v>
      </c>
      <c r="V429" t="s">
        <v>134</v>
      </c>
      <c r="W429" t="s">
        <v>134</v>
      </c>
      <c r="X429" t="s">
        <v>134</v>
      </c>
      <c r="Y429" t="s">
        <v>134</v>
      </c>
      <c r="Z429" t="s">
        <v>134</v>
      </c>
      <c r="AA429" t="s">
        <v>134</v>
      </c>
      <c r="AB429" t="s">
        <v>134</v>
      </c>
      <c r="AC429" t="s">
        <v>134</v>
      </c>
      <c r="AD429" t="s">
        <v>134</v>
      </c>
      <c r="AE429" t="s">
        <v>134</v>
      </c>
      <c r="AF429" t="s">
        <v>134</v>
      </c>
      <c r="AG429" t="s">
        <v>134</v>
      </c>
      <c r="AH429" t="s">
        <v>134</v>
      </c>
      <c r="AI429" t="s">
        <v>134</v>
      </c>
      <c r="AJ429" t="s">
        <v>134</v>
      </c>
      <c r="AK429" t="s">
        <v>134</v>
      </c>
      <c r="AL429" t="s">
        <v>134</v>
      </c>
      <c r="AM429" t="s">
        <v>134</v>
      </c>
      <c r="AN429" t="s">
        <v>134</v>
      </c>
      <c r="AO429" t="s">
        <v>134</v>
      </c>
      <c r="AP429" t="s">
        <v>134</v>
      </c>
      <c r="AQ429" t="s">
        <v>134</v>
      </c>
      <c r="AR429" t="s">
        <v>134</v>
      </c>
      <c r="AS429" t="s">
        <v>134</v>
      </c>
      <c r="AT429" t="s">
        <v>134</v>
      </c>
      <c r="AU429" t="s">
        <v>134</v>
      </c>
      <c r="AV429" t="s">
        <v>134</v>
      </c>
      <c r="AW429" t="s">
        <v>134</v>
      </c>
      <c r="AX429" t="s">
        <v>134</v>
      </c>
      <c r="AY429" t="s">
        <v>134</v>
      </c>
      <c r="AZ429" t="s">
        <v>134</v>
      </c>
      <c r="BA429" t="s">
        <v>134</v>
      </c>
      <c r="BB429" t="s">
        <v>134</v>
      </c>
      <c r="BC429" t="s">
        <v>134</v>
      </c>
      <c r="BD429" t="s">
        <v>134</v>
      </c>
      <c r="BE429" t="s">
        <v>134</v>
      </c>
      <c r="BF429" t="s">
        <v>134</v>
      </c>
      <c r="BG429" t="s">
        <v>134</v>
      </c>
      <c r="BH429" t="s">
        <v>134</v>
      </c>
      <c r="BI429" t="s">
        <v>134</v>
      </c>
      <c r="BJ429" t="s">
        <v>134</v>
      </c>
      <c r="BK429" t="s">
        <v>134</v>
      </c>
      <c r="BL429" t="s">
        <v>134</v>
      </c>
      <c r="BM429" t="s">
        <v>134</v>
      </c>
      <c r="BN429" t="s">
        <v>134</v>
      </c>
      <c r="BO429" t="s">
        <v>134</v>
      </c>
      <c r="BP429" t="s">
        <v>134</v>
      </c>
      <c r="BQ429" t="s">
        <v>134</v>
      </c>
      <c r="BR429" t="s">
        <v>134</v>
      </c>
      <c r="BS429" t="s">
        <v>134</v>
      </c>
      <c r="BT429" t="s">
        <v>134</v>
      </c>
      <c r="BU429" t="s">
        <v>134</v>
      </c>
      <c r="BV429" t="s">
        <v>134</v>
      </c>
      <c r="BW429" t="s">
        <v>134</v>
      </c>
      <c r="BX429" t="s">
        <v>134</v>
      </c>
      <c r="BY429" t="s">
        <v>134</v>
      </c>
      <c r="BZ429" t="s">
        <v>134</v>
      </c>
      <c r="CA429" t="s">
        <v>134</v>
      </c>
      <c r="CB429" t="s">
        <v>134</v>
      </c>
      <c r="CC429" t="s">
        <v>134</v>
      </c>
      <c r="CD429" t="s">
        <v>134</v>
      </c>
      <c r="CE429" t="s">
        <v>134</v>
      </c>
      <c r="CF429" t="s">
        <v>134</v>
      </c>
      <c r="CG429" t="s">
        <v>134</v>
      </c>
      <c r="CH429" t="s">
        <v>134</v>
      </c>
      <c r="CI429" t="s">
        <v>134</v>
      </c>
      <c r="CJ429" t="s">
        <v>134</v>
      </c>
      <c r="CK429" t="s">
        <v>134</v>
      </c>
      <c r="CL429" t="s">
        <v>134</v>
      </c>
      <c r="CM429" t="s">
        <v>134</v>
      </c>
      <c r="CN429" t="s">
        <v>134</v>
      </c>
      <c r="CO429" t="s">
        <v>134</v>
      </c>
      <c r="CP429" t="s">
        <v>134</v>
      </c>
      <c r="CQ429" t="s">
        <v>134</v>
      </c>
      <c r="CR429" t="s">
        <v>134</v>
      </c>
      <c r="CS429" t="s">
        <v>134</v>
      </c>
      <c r="CT429" t="s">
        <v>134</v>
      </c>
      <c r="CU429" t="s">
        <v>134</v>
      </c>
      <c r="CV429" t="s">
        <v>134</v>
      </c>
      <c r="CW429" t="s">
        <v>134</v>
      </c>
      <c r="CX429" t="s">
        <v>134</v>
      </c>
      <c r="CY429" t="s">
        <v>134</v>
      </c>
      <c r="CZ429" t="s">
        <v>134</v>
      </c>
      <c r="DA429" t="s">
        <v>134</v>
      </c>
      <c r="DB429" t="s">
        <v>134</v>
      </c>
      <c r="DC429" t="s">
        <v>134</v>
      </c>
      <c r="DD429" t="s">
        <v>134</v>
      </c>
      <c r="DE429" t="s">
        <v>134</v>
      </c>
      <c r="DF429" t="s">
        <v>134</v>
      </c>
      <c r="DG429" t="s">
        <v>134</v>
      </c>
      <c r="DH429" t="s">
        <v>134</v>
      </c>
      <c r="DI429" t="s">
        <v>134</v>
      </c>
    </row>
    <row r="430" spans="1:113" x14ac:dyDescent="0.3">
      <c r="E430" t="s">
        <v>79</v>
      </c>
      <c r="F430" t="s">
        <v>134</v>
      </c>
      <c r="G430" t="s">
        <v>134</v>
      </c>
      <c r="H430" t="s">
        <v>134</v>
      </c>
      <c r="I430" t="s">
        <v>134</v>
      </c>
      <c r="J430" t="s">
        <v>134</v>
      </c>
      <c r="K430" t="s">
        <v>134</v>
      </c>
      <c r="L430" t="s">
        <v>134</v>
      </c>
      <c r="M430" t="s">
        <v>134</v>
      </c>
      <c r="N430" t="s">
        <v>134</v>
      </c>
      <c r="O430" t="s">
        <v>134</v>
      </c>
      <c r="P430" t="s">
        <v>134</v>
      </c>
      <c r="Q430" t="s">
        <v>134</v>
      </c>
      <c r="R430" t="s">
        <v>134</v>
      </c>
      <c r="S430" t="s">
        <v>134</v>
      </c>
      <c r="T430" t="s">
        <v>134</v>
      </c>
      <c r="U430" t="s">
        <v>134</v>
      </c>
      <c r="V430" t="s">
        <v>134</v>
      </c>
      <c r="W430" t="s">
        <v>134</v>
      </c>
      <c r="X430" t="s">
        <v>134</v>
      </c>
      <c r="Y430" t="s">
        <v>134</v>
      </c>
      <c r="Z430" t="s">
        <v>134</v>
      </c>
      <c r="AA430" t="s">
        <v>134</v>
      </c>
      <c r="AB430" t="s">
        <v>134</v>
      </c>
      <c r="AC430" t="s">
        <v>134</v>
      </c>
      <c r="AD430" t="s">
        <v>134</v>
      </c>
      <c r="AE430" t="s">
        <v>134</v>
      </c>
      <c r="AF430" t="s">
        <v>134</v>
      </c>
      <c r="AG430" t="s">
        <v>134</v>
      </c>
      <c r="AH430" t="s">
        <v>134</v>
      </c>
      <c r="AI430" t="s">
        <v>134</v>
      </c>
      <c r="AJ430" t="s">
        <v>134</v>
      </c>
      <c r="AK430" t="s">
        <v>134</v>
      </c>
      <c r="AL430" t="s">
        <v>134</v>
      </c>
      <c r="AM430" t="s">
        <v>134</v>
      </c>
      <c r="AN430" t="s">
        <v>134</v>
      </c>
      <c r="AO430" t="s">
        <v>134</v>
      </c>
      <c r="AP430" t="s">
        <v>134</v>
      </c>
      <c r="AQ430" t="s">
        <v>134</v>
      </c>
      <c r="AR430" t="s">
        <v>134</v>
      </c>
      <c r="AS430" t="s">
        <v>134</v>
      </c>
      <c r="AT430" t="s">
        <v>134</v>
      </c>
      <c r="AU430" t="s">
        <v>134</v>
      </c>
      <c r="AV430" t="s">
        <v>134</v>
      </c>
      <c r="AW430" t="s">
        <v>134</v>
      </c>
      <c r="AX430" t="s">
        <v>134</v>
      </c>
      <c r="AY430" t="s">
        <v>134</v>
      </c>
      <c r="AZ430" t="s">
        <v>134</v>
      </c>
      <c r="BA430" t="s">
        <v>134</v>
      </c>
      <c r="BB430" t="s">
        <v>134</v>
      </c>
      <c r="BC430" t="s">
        <v>134</v>
      </c>
      <c r="BD430" t="s">
        <v>134</v>
      </c>
      <c r="BE430" t="s">
        <v>134</v>
      </c>
      <c r="BF430" t="s">
        <v>134</v>
      </c>
      <c r="BG430" t="s">
        <v>134</v>
      </c>
      <c r="BH430" t="s">
        <v>134</v>
      </c>
      <c r="BI430" t="s">
        <v>134</v>
      </c>
      <c r="BJ430" t="s">
        <v>134</v>
      </c>
      <c r="BK430" t="s">
        <v>134</v>
      </c>
      <c r="BL430" t="s">
        <v>134</v>
      </c>
      <c r="BM430" t="s">
        <v>134</v>
      </c>
      <c r="BN430" t="s">
        <v>134</v>
      </c>
      <c r="BO430" t="s">
        <v>134</v>
      </c>
      <c r="BP430" t="s">
        <v>134</v>
      </c>
      <c r="BQ430" t="s">
        <v>134</v>
      </c>
      <c r="BR430" t="s">
        <v>134</v>
      </c>
      <c r="BS430" t="s">
        <v>134</v>
      </c>
      <c r="BT430" t="s">
        <v>134</v>
      </c>
      <c r="BU430" t="s">
        <v>134</v>
      </c>
      <c r="BV430" t="s">
        <v>134</v>
      </c>
      <c r="BW430" t="s">
        <v>134</v>
      </c>
      <c r="BX430" t="s">
        <v>134</v>
      </c>
      <c r="BY430" t="s">
        <v>134</v>
      </c>
      <c r="BZ430" t="s">
        <v>134</v>
      </c>
      <c r="CA430" t="s">
        <v>134</v>
      </c>
      <c r="CB430" t="s">
        <v>134</v>
      </c>
      <c r="CC430" t="s">
        <v>134</v>
      </c>
      <c r="CD430" t="s">
        <v>134</v>
      </c>
      <c r="CE430" t="s">
        <v>134</v>
      </c>
      <c r="CF430" t="s">
        <v>134</v>
      </c>
      <c r="CG430" t="s">
        <v>134</v>
      </c>
      <c r="CH430" t="s">
        <v>134</v>
      </c>
      <c r="CI430" t="s">
        <v>134</v>
      </c>
      <c r="CJ430" t="s">
        <v>134</v>
      </c>
      <c r="CK430" t="s">
        <v>134</v>
      </c>
      <c r="CL430" t="s">
        <v>134</v>
      </c>
      <c r="CM430" t="s">
        <v>134</v>
      </c>
      <c r="CN430" t="s">
        <v>134</v>
      </c>
      <c r="CO430" t="s">
        <v>134</v>
      </c>
      <c r="CP430" t="s">
        <v>134</v>
      </c>
      <c r="CQ430" t="s">
        <v>134</v>
      </c>
      <c r="CR430" t="s">
        <v>134</v>
      </c>
      <c r="CS430" t="s">
        <v>134</v>
      </c>
      <c r="CT430" t="s">
        <v>134</v>
      </c>
      <c r="CU430" t="s">
        <v>134</v>
      </c>
      <c r="CV430" t="s">
        <v>134</v>
      </c>
      <c r="CW430" t="s">
        <v>134</v>
      </c>
      <c r="CX430" t="s">
        <v>134</v>
      </c>
      <c r="CY430" t="s">
        <v>134</v>
      </c>
      <c r="CZ430" t="s">
        <v>134</v>
      </c>
      <c r="DA430" t="s">
        <v>134</v>
      </c>
      <c r="DB430" t="s">
        <v>134</v>
      </c>
      <c r="DC430" t="s">
        <v>134</v>
      </c>
      <c r="DD430" t="s">
        <v>134</v>
      </c>
      <c r="DE430" t="s">
        <v>134</v>
      </c>
      <c r="DF430" t="s">
        <v>134</v>
      </c>
      <c r="DG430" t="s">
        <v>134</v>
      </c>
      <c r="DH430" t="s">
        <v>134</v>
      </c>
      <c r="DI430" t="s">
        <v>134</v>
      </c>
    </row>
    <row r="431" spans="1:113" x14ac:dyDescent="0.3">
      <c r="E431" t="s">
        <v>80</v>
      </c>
      <c r="F431" t="s">
        <v>134</v>
      </c>
      <c r="G431" t="s">
        <v>134</v>
      </c>
      <c r="H431" t="s">
        <v>134</v>
      </c>
      <c r="I431" t="s">
        <v>134</v>
      </c>
      <c r="J431" t="s">
        <v>134</v>
      </c>
      <c r="K431" t="s">
        <v>134</v>
      </c>
      <c r="L431" t="s">
        <v>134</v>
      </c>
      <c r="M431" t="s">
        <v>134</v>
      </c>
      <c r="N431" t="s">
        <v>134</v>
      </c>
      <c r="O431" t="s">
        <v>134</v>
      </c>
      <c r="P431" t="s">
        <v>134</v>
      </c>
      <c r="Q431" t="s">
        <v>134</v>
      </c>
      <c r="R431" t="s">
        <v>134</v>
      </c>
      <c r="S431" t="s">
        <v>134</v>
      </c>
      <c r="T431" t="s">
        <v>134</v>
      </c>
      <c r="U431" t="s">
        <v>134</v>
      </c>
      <c r="V431" t="s">
        <v>134</v>
      </c>
      <c r="W431" t="s">
        <v>134</v>
      </c>
      <c r="X431" t="s">
        <v>134</v>
      </c>
      <c r="Y431" t="s">
        <v>134</v>
      </c>
      <c r="Z431" t="s">
        <v>134</v>
      </c>
      <c r="AA431" t="s">
        <v>134</v>
      </c>
      <c r="AB431" t="s">
        <v>134</v>
      </c>
      <c r="AC431" t="s">
        <v>134</v>
      </c>
      <c r="AD431" t="s">
        <v>134</v>
      </c>
      <c r="AE431" t="s">
        <v>134</v>
      </c>
      <c r="AF431" t="s">
        <v>134</v>
      </c>
      <c r="AG431" t="s">
        <v>134</v>
      </c>
      <c r="AH431" t="s">
        <v>134</v>
      </c>
      <c r="AI431" t="s">
        <v>134</v>
      </c>
      <c r="AJ431" t="s">
        <v>134</v>
      </c>
      <c r="AK431" t="s">
        <v>134</v>
      </c>
      <c r="AL431" t="s">
        <v>134</v>
      </c>
      <c r="AM431" t="s">
        <v>134</v>
      </c>
      <c r="AN431" t="s">
        <v>134</v>
      </c>
      <c r="AO431" t="s">
        <v>134</v>
      </c>
      <c r="AP431" t="s">
        <v>134</v>
      </c>
      <c r="AQ431" t="s">
        <v>134</v>
      </c>
      <c r="AR431" t="s">
        <v>134</v>
      </c>
      <c r="AS431" t="s">
        <v>134</v>
      </c>
      <c r="AT431" t="s">
        <v>134</v>
      </c>
      <c r="AU431" t="s">
        <v>134</v>
      </c>
      <c r="AV431" t="s">
        <v>134</v>
      </c>
      <c r="AW431" t="s">
        <v>134</v>
      </c>
      <c r="AX431" t="s">
        <v>134</v>
      </c>
      <c r="AY431" t="s">
        <v>134</v>
      </c>
      <c r="AZ431" t="s">
        <v>134</v>
      </c>
      <c r="BA431" t="s">
        <v>134</v>
      </c>
      <c r="BB431" t="s">
        <v>134</v>
      </c>
      <c r="BC431" t="s">
        <v>134</v>
      </c>
      <c r="BD431" t="s">
        <v>134</v>
      </c>
      <c r="BE431" t="s">
        <v>134</v>
      </c>
      <c r="BF431" t="s">
        <v>134</v>
      </c>
      <c r="BG431" t="s">
        <v>134</v>
      </c>
      <c r="BH431" t="s">
        <v>134</v>
      </c>
      <c r="BI431" t="s">
        <v>134</v>
      </c>
      <c r="BJ431" t="s">
        <v>134</v>
      </c>
      <c r="BK431" t="s">
        <v>134</v>
      </c>
      <c r="BL431" t="s">
        <v>134</v>
      </c>
      <c r="BM431" t="s">
        <v>134</v>
      </c>
      <c r="BN431" t="s">
        <v>134</v>
      </c>
      <c r="BO431" t="s">
        <v>134</v>
      </c>
      <c r="BP431" t="s">
        <v>134</v>
      </c>
      <c r="BQ431" t="s">
        <v>134</v>
      </c>
      <c r="BR431" t="s">
        <v>134</v>
      </c>
      <c r="BS431" t="s">
        <v>134</v>
      </c>
      <c r="BT431" t="s">
        <v>134</v>
      </c>
      <c r="BU431" t="s">
        <v>134</v>
      </c>
      <c r="BV431" t="s">
        <v>134</v>
      </c>
      <c r="BW431" t="s">
        <v>134</v>
      </c>
      <c r="BX431" t="s">
        <v>134</v>
      </c>
      <c r="BY431" t="s">
        <v>134</v>
      </c>
      <c r="BZ431" t="s">
        <v>134</v>
      </c>
      <c r="CA431" t="s">
        <v>134</v>
      </c>
      <c r="CB431" t="s">
        <v>134</v>
      </c>
      <c r="CC431" t="s">
        <v>134</v>
      </c>
      <c r="CD431" t="s">
        <v>134</v>
      </c>
      <c r="CE431" t="s">
        <v>134</v>
      </c>
      <c r="CF431" t="s">
        <v>134</v>
      </c>
      <c r="CG431" t="s">
        <v>134</v>
      </c>
      <c r="CH431" t="s">
        <v>134</v>
      </c>
      <c r="CI431" t="s">
        <v>134</v>
      </c>
      <c r="CJ431" t="s">
        <v>134</v>
      </c>
      <c r="CK431" t="s">
        <v>134</v>
      </c>
      <c r="CL431" t="s">
        <v>134</v>
      </c>
      <c r="CM431" t="s">
        <v>134</v>
      </c>
      <c r="CN431" t="s">
        <v>134</v>
      </c>
      <c r="CO431" t="s">
        <v>134</v>
      </c>
      <c r="CP431" t="s">
        <v>134</v>
      </c>
      <c r="CQ431" t="s">
        <v>134</v>
      </c>
      <c r="CR431" t="s">
        <v>134</v>
      </c>
      <c r="CS431" t="s">
        <v>134</v>
      </c>
      <c r="CT431" t="s">
        <v>134</v>
      </c>
      <c r="CU431" t="s">
        <v>134</v>
      </c>
      <c r="CV431" t="s">
        <v>134</v>
      </c>
      <c r="CW431" t="s">
        <v>134</v>
      </c>
      <c r="CX431" t="s">
        <v>134</v>
      </c>
      <c r="CY431" t="s">
        <v>134</v>
      </c>
      <c r="CZ431" t="s">
        <v>134</v>
      </c>
      <c r="DA431" t="s">
        <v>134</v>
      </c>
      <c r="DB431" t="s">
        <v>134</v>
      </c>
      <c r="DC431" t="s">
        <v>134</v>
      </c>
      <c r="DD431" t="s">
        <v>134</v>
      </c>
      <c r="DE431" t="s">
        <v>134</v>
      </c>
      <c r="DF431" t="s">
        <v>134</v>
      </c>
      <c r="DG431" t="s">
        <v>134</v>
      </c>
      <c r="DH431" t="s">
        <v>134</v>
      </c>
      <c r="DI431" t="s">
        <v>134</v>
      </c>
    </row>
    <row r="432" spans="1:113" x14ac:dyDescent="0.3">
      <c r="E432" t="s">
        <v>81</v>
      </c>
      <c r="F432" t="s">
        <v>134</v>
      </c>
      <c r="G432" t="s">
        <v>134</v>
      </c>
      <c r="H432" t="s">
        <v>134</v>
      </c>
      <c r="I432" t="s">
        <v>134</v>
      </c>
      <c r="J432" t="s">
        <v>134</v>
      </c>
      <c r="K432" t="s">
        <v>134</v>
      </c>
      <c r="L432" t="s">
        <v>134</v>
      </c>
      <c r="M432" t="s">
        <v>134</v>
      </c>
      <c r="N432" t="s">
        <v>134</v>
      </c>
      <c r="O432" t="s">
        <v>134</v>
      </c>
      <c r="P432" t="s">
        <v>134</v>
      </c>
      <c r="Q432" t="s">
        <v>134</v>
      </c>
      <c r="R432" t="s">
        <v>134</v>
      </c>
      <c r="S432" t="s">
        <v>134</v>
      </c>
      <c r="T432" t="s">
        <v>134</v>
      </c>
      <c r="U432" t="s">
        <v>134</v>
      </c>
      <c r="V432" t="s">
        <v>134</v>
      </c>
      <c r="W432" t="s">
        <v>134</v>
      </c>
      <c r="X432" t="s">
        <v>134</v>
      </c>
      <c r="Y432" t="s">
        <v>134</v>
      </c>
      <c r="Z432" t="s">
        <v>134</v>
      </c>
      <c r="AA432" t="s">
        <v>134</v>
      </c>
      <c r="AB432" t="s">
        <v>134</v>
      </c>
      <c r="AC432" t="s">
        <v>134</v>
      </c>
      <c r="AD432" t="s">
        <v>134</v>
      </c>
      <c r="AE432" t="s">
        <v>134</v>
      </c>
      <c r="AF432" t="s">
        <v>134</v>
      </c>
      <c r="AG432" t="s">
        <v>134</v>
      </c>
      <c r="AH432" t="s">
        <v>134</v>
      </c>
      <c r="AI432" t="s">
        <v>134</v>
      </c>
      <c r="AJ432" t="s">
        <v>134</v>
      </c>
      <c r="AK432" t="s">
        <v>134</v>
      </c>
      <c r="AL432" t="s">
        <v>134</v>
      </c>
      <c r="AM432" t="s">
        <v>134</v>
      </c>
      <c r="AN432" t="s">
        <v>134</v>
      </c>
      <c r="AO432" t="s">
        <v>134</v>
      </c>
      <c r="AP432" t="s">
        <v>134</v>
      </c>
      <c r="AQ432" t="s">
        <v>134</v>
      </c>
      <c r="AR432" t="s">
        <v>134</v>
      </c>
      <c r="AS432" t="s">
        <v>134</v>
      </c>
      <c r="AT432" t="s">
        <v>134</v>
      </c>
      <c r="AU432" t="s">
        <v>134</v>
      </c>
      <c r="AV432" t="s">
        <v>134</v>
      </c>
      <c r="AW432" t="s">
        <v>134</v>
      </c>
      <c r="AX432" t="s">
        <v>134</v>
      </c>
      <c r="AY432" t="s">
        <v>134</v>
      </c>
      <c r="AZ432" t="s">
        <v>134</v>
      </c>
      <c r="BA432" t="s">
        <v>134</v>
      </c>
      <c r="BB432" t="s">
        <v>134</v>
      </c>
      <c r="BC432" t="s">
        <v>134</v>
      </c>
      <c r="BD432" t="s">
        <v>134</v>
      </c>
      <c r="BE432" t="s">
        <v>134</v>
      </c>
      <c r="BF432" t="s">
        <v>134</v>
      </c>
      <c r="BG432" t="s">
        <v>134</v>
      </c>
      <c r="BH432" t="s">
        <v>134</v>
      </c>
      <c r="BI432" t="s">
        <v>134</v>
      </c>
      <c r="BJ432" t="s">
        <v>134</v>
      </c>
      <c r="BK432" t="s">
        <v>134</v>
      </c>
      <c r="BL432" t="s">
        <v>134</v>
      </c>
      <c r="BM432" t="s">
        <v>134</v>
      </c>
      <c r="BN432" t="s">
        <v>134</v>
      </c>
      <c r="BO432" t="s">
        <v>134</v>
      </c>
      <c r="BP432" t="s">
        <v>134</v>
      </c>
      <c r="BQ432" t="s">
        <v>134</v>
      </c>
      <c r="BR432" t="s">
        <v>134</v>
      </c>
      <c r="BS432" t="s">
        <v>134</v>
      </c>
      <c r="BT432" t="s">
        <v>134</v>
      </c>
      <c r="BU432" t="s">
        <v>134</v>
      </c>
      <c r="BV432" t="s">
        <v>134</v>
      </c>
      <c r="BW432" t="s">
        <v>134</v>
      </c>
      <c r="BX432" t="s">
        <v>134</v>
      </c>
      <c r="BY432" t="s">
        <v>134</v>
      </c>
      <c r="BZ432" t="s">
        <v>134</v>
      </c>
      <c r="CA432" t="s">
        <v>134</v>
      </c>
      <c r="CB432" t="s">
        <v>134</v>
      </c>
      <c r="CC432" t="s">
        <v>134</v>
      </c>
      <c r="CD432" t="s">
        <v>134</v>
      </c>
      <c r="CE432" t="s">
        <v>134</v>
      </c>
      <c r="CF432" t="s">
        <v>134</v>
      </c>
      <c r="CG432" t="s">
        <v>134</v>
      </c>
      <c r="CH432" t="s">
        <v>134</v>
      </c>
      <c r="CI432" t="s">
        <v>134</v>
      </c>
      <c r="CJ432" t="s">
        <v>134</v>
      </c>
      <c r="CK432" t="s">
        <v>134</v>
      </c>
      <c r="CL432" t="s">
        <v>134</v>
      </c>
      <c r="CM432" t="s">
        <v>134</v>
      </c>
      <c r="CN432" t="s">
        <v>134</v>
      </c>
      <c r="CO432" t="s">
        <v>134</v>
      </c>
      <c r="CP432" t="s">
        <v>134</v>
      </c>
      <c r="CQ432" t="s">
        <v>134</v>
      </c>
      <c r="CR432" t="s">
        <v>134</v>
      </c>
      <c r="CS432" t="s">
        <v>134</v>
      </c>
      <c r="CT432" t="s">
        <v>134</v>
      </c>
      <c r="CU432" t="s">
        <v>134</v>
      </c>
      <c r="CV432" t="s">
        <v>134</v>
      </c>
      <c r="CW432" t="s">
        <v>134</v>
      </c>
      <c r="CX432" t="s">
        <v>134</v>
      </c>
      <c r="CY432" t="s">
        <v>134</v>
      </c>
      <c r="CZ432" t="s">
        <v>134</v>
      </c>
      <c r="DA432" t="s">
        <v>134</v>
      </c>
      <c r="DB432" t="s">
        <v>134</v>
      </c>
      <c r="DC432" t="s">
        <v>134</v>
      </c>
      <c r="DD432" t="s">
        <v>134</v>
      </c>
      <c r="DE432" t="s">
        <v>134</v>
      </c>
      <c r="DF432" t="s">
        <v>134</v>
      </c>
      <c r="DG432" t="s">
        <v>134</v>
      </c>
      <c r="DH432" t="s">
        <v>134</v>
      </c>
      <c r="DI432" t="s">
        <v>134</v>
      </c>
    </row>
    <row r="433" spans="4:113" x14ac:dyDescent="0.3">
      <c r="D433" t="s">
        <v>82</v>
      </c>
      <c r="E433" t="s">
        <v>77</v>
      </c>
      <c r="F433">
        <v>22.887499999999999</v>
      </c>
      <c r="G433">
        <v>5.4671000000000003</v>
      </c>
      <c r="H433">
        <v>10.571999999999999</v>
      </c>
      <c r="I433">
        <v>8.3478999999999992</v>
      </c>
      <c r="J433">
        <v>4.0332999999999997</v>
      </c>
      <c r="K433">
        <v>2.7848000000000002</v>
      </c>
      <c r="L433">
        <v>-4.6600000000000003E-2</v>
      </c>
      <c r="M433">
        <v>3.1724000000000001</v>
      </c>
      <c r="N433">
        <v>2.0964</v>
      </c>
      <c r="O433">
        <v>1.9828000000000001</v>
      </c>
      <c r="P433">
        <v>1.9828000000000001</v>
      </c>
      <c r="Q433">
        <v>33.918100000000003</v>
      </c>
      <c r="R433">
        <v>36.195900000000002</v>
      </c>
      <c r="S433">
        <v>14.603199999999999</v>
      </c>
      <c r="T433">
        <v>-8.2722999999999995</v>
      </c>
      <c r="U433">
        <v>4.3276000000000003</v>
      </c>
      <c r="V433">
        <v>-0.15060000000000001</v>
      </c>
      <c r="W433">
        <v>22.908799999999999</v>
      </c>
      <c r="X433">
        <v>22.910499999999999</v>
      </c>
      <c r="Y433">
        <v>36.549399999999999</v>
      </c>
      <c r="Z433">
        <v>-35.110399999999998</v>
      </c>
      <c r="AA433">
        <v>-24.9011</v>
      </c>
      <c r="AB433">
        <v>22.47</v>
      </c>
      <c r="AC433">
        <v>-2.1627999999999998</v>
      </c>
      <c r="AD433">
        <v>-47.794600000000003</v>
      </c>
      <c r="AE433" t="s">
        <v>134</v>
      </c>
      <c r="AF433">
        <v>-2.2052</v>
      </c>
      <c r="AG433">
        <v>-44.862099999999998</v>
      </c>
      <c r="AH433">
        <v>-23.105699999999999</v>
      </c>
      <c r="AI433">
        <v>15.843999999999999</v>
      </c>
      <c r="AJ433">
        <v>-8.1845999999999997</v>
      </c>
      <c r="AK433">
        <v>16.0611</v>
      </c>
      <c r="AL433">
        <v>135.67859999999999</v>
      </c>
      <c r="AM433">
        <v>14.3819</v>
      </c>
      <c r="AN433">
        <v>26.204899999999999</v>
      </c>
      <c r="AO433">
        <v>33.212299999999999</v>
      </c>
      <c r="AP433">
        <v>24.109200000000001</v>
      </c>
      <c r="AQ433">
        <v>24.107900000000001</v>
      </c>
      <c r="AR433">
        <v>25.970300000000002</v>
      </c>
      <c r="AS433">
        <v>2.5399000000000003</v>
      </c>
      <c r="AT433">
        <v>4.282</v>
      </c>
      <c r="AU433">
        <v>12.5563</v>
      </c>
      <c r="AV433">
        <v>7.0761000000000003</v>
      </c>
      <c r="AW433">
        <v>0.31469999999999998</v>
      </c>
      <c r="AX433" t="s">
        <v>134</v>
      </c>
      <c r="AY433">
        <v>6.7569999999999997</v>
      </c>
      <c r="AZ433">
        <v>-20.0183</v>
      </c>
      <c r="BA433">
        <v>-0.91569999999999996</v>
      </c>
      <c r="BB433">
        <v>9.5965000000000007</v>
      </c>
      <c r="BC433">
        <v>3.3852000000000002</v>
      </c>
      <c r="BD433">
        <v>9.7911999999999999</v>
      </c>
      <c r="BE433" t="s">
        <v>134</v>
      </c>
      <c r="BF433">
        <v>-8.2722999999999995</v>
      </c>
      <c r="BG433">
        <v>4.3276000000000003</v>
      </c>
      <c r="BH433">
        <v>-0.15060000000000001</v>
      </c>
      <c r="BI433">
        <v>22.908799999999999</v>
      </c>
      <c r="BJ433">
        <v>22.910499999999999</v>
      </c>
      <c r="BK433">
        <v>36.549399999999999</v>
      </c>
      <c r="BL433">
        <v>-35.110399999999998</v>
      </c>
      <c r="BM433">
        <v>-24.9011</v>
      </c>
      <c r="BN433">
        <v>22.47</v>
      </c>
      <c r="BO433">
        <v>-2.1627999999999998</v>
      </c>
      <c r="BP433">
        <v>-47.794600000000003</v>
      </c>
      <c r="BQ433">
        <v>-217.88900000000001</v>
      </c>
      <c r="BR433">
        <v>-2.2052</v>
      </c>
      <c r="BS433">
        <v>-44.862099999999998</v>
      </c>
      <c r="BT433">
        <v>-23.105699999999999</v>
      </c>
      <c r="BU433">
        <v>15.843999999999999</v>
      </c>
      <c r="BV433">
        <v>-8.1845999999999997</v>
      </c>
      <c r="BW433">
        <v>16.0611</v>
      </c>
      <c r="BX433">
        <v>135.67859999999999</v>
      </c>
      <c r="BY433">
        <v>254922.1</v>
      </c>
      <c r="BZ433">
        <v>61503.9</v>
      </c>
      <c r="CA433">
        <v>193418.2</v>
      </c>
      <c r="CB433">
        <v>2.6071999999999997</v>
      </c>
      <c r="CC433">
        <v>1.7065000000000001</v>
      </c>
      <c r="CD433">
        <v>3.7761</v>
      </c>
      <c r="CE433">
        <v>2.4716</v>
      </c>
      <c r="CF433">
        <v>17.616599999999998</v>
      </c>
      <c r="CG433">
        <v>25.946100000000001</v>
      </c>
      <c r="CH433">
        <v>81.103499999999997</v>
      </c>
      <c r="CI433">
        <v>39.200699999999998</v>
      </c>
      <c r="CJ433">
        <v>22.242999999999999</v>
      </c>
      <c r="CK433">
        <v>106.8931</v>
      </c>
      <c r="CL433">
        <v>51.665900000000001</v>
      </c>
      <c r="CM433">
        <v>29.315899999999999</v>
      </c>
      <c r="CN433">
        <v>69.965100000000007</v>
      </c>
      <c r="CO433">
        <v>41.164400000000001</v>
      </c>
      <c r="CP433">
        <v>97775.7</v>
      </c>
      <c r="CQ433">
        <v>-11070.2</v>
      </c>
      <c r="CR433">
        <v>67508.899999999994</v>
      </c>
      <c r="CS433">
        <v>0.21909999999999999</v>
      </c>
      <c r="CT433">
        <v>0.90269999999999995</v>
      </c>
      <c r="CU433">
        <v>0.29249999999999998</v>
      </c>
      <c r="CV433">
        <v>3.5446999999999997</v>
      </c>
      <c r="CW433">
        <v>64.713400000000007</v>
      </c>
      <c r="CX433">
        <v>5.6402999999999999</v>
      </c>
      <c r="CY433">
        <v>10.475300000000001</v>
      </c>
      <c r="CZ433">
        <v>34.843699999999998</v>
      </c>
      <c r="DA433">
        <v>16.204599999999999</v>
      </c>
      <c r="DB433">
        <v>22.5245</v>
      </c>
      <c r="DC433">
        <v>17.959499999999998</v>
      </c>
      <c r="DD433">
        <v>40.484000000000002</v>
      </c>
      <c r="DE433">
        <v>174000.2</v>
      </c>
      <c r="DF433">
        <v>37205.599999999999</v>
      </c>
      <c r="DG433">
        <v>4234.6000000000004</v>
      </c>
      <c r="DH433">
        <v>114333.8</v>
      </c>
      <c r="DI433">
        <v>18226.2</v>
      </c>
    </row>
    <row r="434" spans="4:113" x14ac:dyDescent="0.3">
      <c r="E434" t="s">
        <v>78</v>
      </c>
      <c r="F434" t="s">
        <v>134</v>
      </c>
      <c r="G434" t="s">
        <v>134</v>
      </c>
      <c r="H434" t="s">
        <v>134</v>
      </c>
      <c r="I434" t="s">
        <v>134</v>
      </c>
      <c r="J434" t="s">
        <v>134</v>
      </c>
      <c r="K434" t="s">
        <v>134</v>
      </c>
      <c r="L434" t="s">
        <v>134</v>
      </c>
      <c r="M434" t="s">
        <v>134</v>
      </c>
      <c r="N434" t="s">
        <v>134</v>
      </c>
      <c r="O434" t="s">
        <v>134</v>
      </c>
      <c r="P434" t="s">
        <v>134</v>
      </c>
      <c r="Q434" t="s">
        <v>134</v>
      </c>
      <c r="R434" t="s">
        <v>134</v>
      </c>
      <c r="S434" t="s">
        <v>134</v>
      </c>
      <c r="T434" t="s">
        <v>134</v>
      </c>
      <c r="U434" t="s">
        <v>134</v>
      </c>
      <c r="V434" t="s">
        <v>134</v>
      </c>
      <c r="W434" t="s">
        <v>134</v>
      </c>
      <c r="X434" t="s">
        <v>134</v>
      </c>
      <c r="Y434" t="s">
        <v>134</v>
      </c>
      <c r="Z434" t="s">
        <v>134</v>
      </c>
      <c r="AA434" t="s">
        <v>134</v>
      </c>
      <c r="AB434" t="s">
        <v>134</v>
      </c>
      <c r="AC434" t="s">
        <v>134</v>
      </c>
      <c r="AD434" t="s">
        <v>134</v>
      </c>
      <c r="AE434" t="s">
        <v>134</v>
      </c>
      <c r="AF434" t="s">
        <v>134</v>
      </c>
      <c r="AG434" t="s">
        <v>134</v>
      </c>
      <c r="AH434" t="s">
        <v>134</v>
      </c>
      <c r="AI434" t="s">
        <v>134</v>
      </c>
      <c r="AJ434" t="s">
        <v>134</v>
      </c>
      <c r="AK434" t="s">
        <v>134</v>
      </c>
      <c r="AL434" t="s">
        <v>134</v>
      </c>
      <c r="AM434" t="s">
        <v>134</v>
      </c>
      <c r="AN434" t="s">
        <v>134</v>
      </c>
      <c r="AO434" t="s">
        <v>134</v>
      </c>
      <c r="AP434" t="s">
        <v>134</v>
      </c>
      <c r="AQ434" t="s">
        <v>134</v>
      </c>
      <c r="AR434" t="s">
        <v>134</v>
      </c>
      <c r="AS434" t="s">
        <v>134</v>
      </c>
      <c r="AT434" t="s">
        <v>134</v>
      </c>
      <c r="AU434" t="s">
        <v>134</v>
      </c>
      <c r="AV434" t="s">
        <v>134</v>
      </c>
      <c r="AW434" t="s">
        <v>134</v>
      </c>
      <c r="AX434" t="s">
        <v>134</v>
      </c>
      <c r="AY434" t="s">
        <v>134</v>
      </c>
      <c r="AZ434" t="s">
        <v>134</v>
      </c>
      <c r="BA434" t="s">
        <v>134</v>
      </c>
      <c r="BB434" t="s">
        <v>134</v>
      </c>
      <c r="BC434" t="s">
        <v>134</v>
      </c>
      <c r="BD434" t="s">
        <v>134</v>
      </c>
      <c r="BE434" t="s">
        <v>134</v>
      </c>
      <c r="BF434" t="s">
        <v>134</v>
      </c>
      <c r="BG434" t="s">
        <v>134</v>
      </c>
      <c r="BH434" t="s">
        <v>134</v>
      </c>
      <c r="BI434" t="s">
        <v>134</v>
      </c>
      <c r="BJ434" t="s">
        <v>134</v>
      </c>
      <c r="BK434" t="s">
        <v>134</v>
      </c>
      <c r="BL434" t="s">
        <v>134</v>
      </c>
      <c r="BM434" t="s">
        <v>134</v>
      </c>
      <c r="BN434" t="s">
        <v>134</v>
      </c>
      <c r="BO434" t="s">
        <v>134</v>
      </c>
      <c r="BP434" t="s">
        <v>134</v>
      </c>
      <c r="BQ434" t="s">
        <v>134</v>
      </c>
      <c r="BR434" t="s">
        <v>134</v>
      </c>
      <c r="BS434" t="s">
        <v>134</v>
      </c>
      <c r="BT434" t="s">
        <v>134</v>
      </c>
      <c r="BU434" t="s">
        <v>134</v>
      </c>
      <c r="BV434" t="s">
        <v>134</v>
      </c>
      <c r="BW434" t="s">
        <v>134</v>
      </c>
      <c r="BX434" t="s">
        <v>134</v>
      </c>
      <c r="BY434" t="s">
        <v>134</v>
      </c>
      <c r="BZ434" t="s">
        <v>134</v>
      </c>
      <c r="CA434" t="s">
        <v>134</v>
      </c>
      <c r="CB434" t="s">
        <v>134</v>
      </c>
      <c r="CC434" t="s">
        <v>134</v>
      </c>
      <c r="CD434" t="s">
        <v>134</v>
      </c>
      <c r="CE434" t="s">
        <v>134</v>
      </c>
      <c r="CF434" t="s">
        <v>134</v>
      </c>
      <c r="CG434" t="s">
        <v>134</v>
      </c>
      <c r="CH434" t="s">
        <v>134</v>
      </c>
      <c r="CI434" t="s">
        <v>134</v>
      </c>
      <c r="CJ434" t="s">
        <v>134</v>
      </c>
      <c r="CK434" t="s">
        <v>134</v>
      </c>
      <c r="CL434" t="s">
        <v>134</v>
      </c>
      <c r="CM434" t="s">
        <v>134</v>
      </c>
      <c r="CN434" t="s">
        <v>134</v>
      </c>
      <c r="CO434" t="s">
        <v>134</v>
      </c>
      <c r="CP434" t="s">
        <v>134</v>
      </c>
      <c r="CQ434" t="s">
        <v>134</v>
      </c>
      <c r="CR434" t="s">
        <v>134</v>
      </c>
      <c r="CS434" t="s">
        <v>134</v>
      </c>
      <c r="CT434" t="s">
        <v>134</v>
      </c>
      <c r="CU434" t="s">
        <v>134</v>
      </c>
      <c r="CV434" t="s">
        <v>134</v>
      </c>
      <c r="CW434" t="s">
        <v>134</v>
      </c>
      <c r="CX434" t="s">
        <v>134</v>
      </c>
      <c r="CY434" t="s">
        <v>134</v>
      </c>
      <c r="CZ434" t="s">
        <v>134</v>
      </c>
      <c r="DA434" t="s">
        <v>134</v>
      </c>
      <c r="DB434" t="s">
        <v>134</v>
      </c>
      <c r="DC434" t="s">
        <v>134</v>
      </c>
      <c r="DD434" t="s">
        <v>134</v>
      </c>
      <c r="DE434" t="s">
        <v>134</v>
      </c>
      <c r="DF434" t="s">
        <v>134</v>
      </c>
      <c r="DG434" t="s">
        <v>134</v>
      </c>
      <c r="DH434" t="s">
        <v>134</v>
      </c>
      <c r="DI434" t="s">
        <v>134</v>
      </c>
    </row>
    <row r="435" spans="4:113" x14ac:dyDescent="0.3">
      <c r="E435" t="s">
        <v>79</v>
      </c>
      <c r="F435" t="s">
        <v>134</v>
      </c>
      <c r="G435" t="s">
        <v>134</v>
      </c>
      <c r="H435" t="s">
        <v>134</v>
      </c>
      <c r="I435" t="s">
        <v>134</v>
      </c>
      <c r="J435" t="s">
        <v>134</v>
      </c>
      <c r="K435" t="s">
        <v>134</v>
      </c>
      <c r="L435" t="s">
        <v>134</v>
      </c>
      <c r="M435" t="s">
        <v>134</v>
      </c>
      <c r="N435" t="s">
        <v>134</v>
      </c>
      <c r="O435" t="s">
        <v>134</v>
      </c>
      <c r="P435" t="s">
        <v>134</v>
      </c>
      <c r="Q435" t="s">
        <v>134</v>
      </c>
      <c r="R435" t="s">
        <v>134</v>
      </c>
      <c r="S435" t="s">
        <v>134</v>
      </c>
      <c r="T435" t="s">
        <v>134</v>
      </c>
      <c r="U435" t="s">
        <v>134</v>
      </c>
      <c r="V435" t="s">
        <v>134</v>
      </c>
      <c r="W435" t="s">
        <v>134</v>
      </c>
      <c r="X435" t="s">
        <v>134</v>
      </c>
      <c r="Y435" t="s">
        <v>134</v>
      </c>
      <c r="Z435" t="s">
        <v>134</v>
      </c>
      <c r="AA435" t="s">
        <v>134</v>
      </c>
      <c r="AB435" t="s">
        <v>134</v>
      </c>
      <c r="AC435" t="s">
        <v>134</v>
      </c>
      <c r="AD435" t="s">
        <v>134</v>
      </c>
      <c r="AE435" t="s">
        <v>134</v>
      </c>
      <c r="AF435" t="s">
        <v>134</v>
      </c>
      <c r="AG435" t="s">
        <v>134</v>
      </c>
      <c r="AH435" t="s">
        <v>134</v>
      </c>
      <c r="AI435" t="s">
        <v>134</v>
      </c>
      <c r="AJ435" t="s">
        <v>134</v>
      </c>
      <c r="AK435" t="s">
        <v>134</v>
      </c>
      <c r="AL435" t="s">
        <v>134</v>
      </c>
      <c r="AM435" t="s">
        <v>134</v>
      </c>
      <c r="AN435" t="s">
        <v>134</v>
      </c>
      <c r="AO435" t="s">
        <v>134</v>
      </c>
      <c r="AP435" t="s">
        <v>134</v>
      </c>
      <c r="AQ435" t="s">
        <v>134</v>
      </c>
      <c r="AR435" t="s">
        <v>134</v>
      </c>
      <c r="AS435" t="s">
        <v>134</v>
      </c>
      <c r="AT435" t="s">
        <v>134</v>
      </c>
      <c r="AU435" t="s">
        <v>134</v>
      </c>
      <c r="AV435" t="s">
        <v>134</v>
      </c>
      <c r="AW435" t="s">
        <v>134</v>
      </c>
      <c r="AX435" t="s">
        <v>134</v>
      </c>
      <c r="AY435" t="s">
        <v>134</v>
      </c>
      <c r="AZ435" t="s">
        <v>134</v>
      </c>
      <c r="BA435" t="s">
        <v>134</v>
      </c>
      <c r="BB435" t="s">
        <v>134</v>
      </c>
      <c r="BC435" t="s">
        <v>134</v>
      </c>
      <c r="BD435" t="s">
        <v>134</v>
      </c>
      <c r="BE435" t="s">
        <v>134</v>
      </c>
      <c r="BF435" t="s">
        <v>134</v>
      </c>
      <c r="BG435" t="s">
        <v>134</v>
      </c>
      <c r="BH435" t="s">
        <v>134</v>
      </c>
      <c r="BI435" t="s">
        <v>134</v>
      </c>
      <c r="BJ435" t="s">
        <v>134</v>
      </c>
      <c r="BK435" t="s">
        <v>134</v>
      </c>
      <c r="BL435" t="s">
        <v>134</v>
      </c>
      <c r="BM435" t="s">
        <v>134</v>
      </c>
      <c r="BN435" t="s">
        <v>134</v>
      </c>
      <c r="BO435" t="s">
        <v>134</v>
      </c>
      <c r="BP435" t="s">
        <v>134</v>
      </c>
      <c r="BQ435" t="s">
        <v>134</v>
      </c>
      <c r="BR435" t="s">
        <v>134</v>
      </c>
      <c r="BS435" t="s">
        <v>134</v>
      </c>
      <c r="BT435" t="s">
        <v>134</v>
      </c>
      <c r="BU435" t="s">
        <v>134</v>
      </c>
      <c r="BV435" t="s">
        <v>134</v>
      </c>
      <c r="BW435" t="s">
        <v>134</v>
      </c>
      <c r="BX435" t="s">
        <v>134</v>
      </c>
      <c r="BY435" t="s">
        <v>134</v>
      </c>
      <c r="BZ435" t="s">
        <v>134</v>
      </c>
      <c r="CA435" t="s">
        <v>134</v>
      </c>
      <c r="CB435" t="s">
        <v>134</v>
      </c>
      <c r="CC435" t="s">
        <v>134</v>
      </c>
      <c r="CD435" t="s">
        <v>134</v>
      </c>
      <c r="CE435" t="s">
        <v>134</v>
      </c>
      <c r="CF435" t="s">
        <v>134</v>
      </c>
      <c r="CG435" t="s">
        <v>134</v>
      </c>
      <c r="CH435" t="s">
        <v>134</v>
      </c>
      <c r="CI435" t="s">
        <v>134</v>
      </c>
      <c r="CJ435" t="s">
        <v>134</v>
      </c>
      <c r="CK435" t="s">
        <v>134</v>
      </c>
      <c r="CL435" t="s">
        <v>134</v>
      </c>
      <c r="CM435" t="s">
        <v>134</v>
      </c>
      <c r="CN435" t="s">
        <v>134</v>
      </c>
      <c r="CO435" t="s">
        <v>134</v>
      </c>
      <c r="CP435" t="s">
        <v>134</v>
      </c>
      <c r="CQ435" t="s">
        <v>134</v>
      </c>
      <c r="CR435" t="s">
        <v>134</v>
      </c>
      <c r="CS435" t="s">
        <v>134</v>
      </c>
      <c r="CT435" t="s">
        <v>134</v>
      </c>
      <c r="CU435" t="s">
        <v>134</v>
      </c>
      <c r="CV435" t="s">
        <v>134</v>
      </c>
      <c r="CW435" t="s">
        <v>134</v>
      </c>
      <c r="CX435" t="s">
        <v>134</v>
      </c>
      <c r="CY435" t="s">
        <v>134</v>
      </c>
      <c r="CZ435" t="s">
        <v>134</v>
      </c>
      <c r="DA435" t="s">
        <v>134</v>
      </c>
      <c r="DB435" t="s">
        <v>134</v>
      </c>
      <c r="DC435" t="s">
        <v>134</v>
      </c>
      <c r="DD435" t="s">
        <v>134</v>
      </c>
      <c r="DE435" t="s">
        <v>134</v>
      </c>
      <c r="DF435" t="s">
        <v>134</v>
      </c>
      <c r="DG435" t="s">
        <v>134</v>
      </c>
      <c r="DH435" t="s">
        <v>134</v>
      </c>
      <c r="DI435" t="s">
        <v>134</v>
      </c>
    </row>
    <row r="436" spans="4:113" x14ac:dyDescent="0.3">
      <c r="E436" t="s">
        <v>80</v>
      </c>
      <c r="F436" t="s">
        <v>134</v>
      </c>
      <c r="G436" t="s">
        <v>134</v>
      </c>
      <c r="H436" t="s">
        <v>134</v>
      </c>
      <c r="I436" t="s">
        <v>134</v>
      </c>
      <c r="J436" t="s">
        <v>134</v>
      </c>
      <c r="K436" t="s">
        <v>134</v>
      </c>
      <c r="L436" t="s">
        <v>134</v>
      </c>
      <c r="M436" t="s">
        <v>134</v>
      </c>
      <c r="N436" t="s">
        <v>134</v>
      </c>
      <c r="O436" t="s">
        <v>134</v>
      </c>
      <c r="P436" t="s">
        <v>134</v>
      </c>
      <c r="Q436" t="s">
        <v>134</v>
      </c>
      <c r="R436" t="s">
        <v>134</v>
      </c>
      <c r="S436" t="s">
        <v>134</v>
      </c>
      <c r="T436" t="s">
        <v>134</v>
      </c>
      <c r="U436" t="s">
        <v>134</v>
      </c>
      <c r="V436" t="s">
        <v>134</v>
      </c>
      <c r="W436" t="s">
        <v>134</v>
      </c>
      <c r="X436" t="s">
        <v>134</v>
      </c>
      <c r="Y436" t="s">
        <v>134</v>
      </c>
      <c r="Z436" t="s">
        <v>134</v>
      </c>
      <c r="AA436" t="s">
        <v>134</v>
      </c>
      <c r="AB436" t="s">
        <v>134</v>
      </c>
      <c r="AC436" t="s">
        <v>134</v>
      </c>
      <c r="AD436" t="s">
        <v>134</v>
      </c>
      <c r="AE436" t="s">
        <v>134</v>
      </c>
      <c r="AF436" t="s">
        <v>134</v>
      </c>
      <c r="AG436" t="s">
        <v>134</v>
      </c>
      <c r="AH436" t="s">
        <v>134</v>
      </c>
      <c r="AI436" t="s">
        <v>134</v>
      </c>
      <c r="AJ436" t="s">
        <v>134</v>
      </c>
      <c r="AK436" t="s">
        <v>134</v>
      </c>
      <c r="AL436" t="s">
        <v>134</v>
      </c>
      <c r="AM436" t="s">
        <v>134</v>
      </c>
      <c r="AN436" t="s">
        <v>134</v>
      </c>
      <c r="AO436" t="s">
        <v>134</v>
      </c>
      <c r="AP436" t="s">
        <v>134</v>
      </c>
      <c r="AQ436" t="s">
        <v>134</v>
      </c>
      <c r="AR436" t="s">
        <v>134</v>
      </c>
      <c r="AS436" t="s">
        <v>134</v>
      </c>
      <c r="AT436" t="s">
        <v>134</v>
      </c>
      <c r="AU436" t="s">
        <v>134</v>
      </c>
      <c r="AV436" t="s">
        <v>134</v>
      </c>
      <c r="AW436" t="s">
        <v>134</v>
      </c>
      <c r="AX436" t="s">
        <v>134</v>
      </c>
      <c r="AY436" t="s">
        <v>134</v>
      </c>
      <c r="AZ436" t="s">
        <v>134</v>
      </c>
      <c r="BA436" t="s">
        <v>134</v>
      </c>
      <c r="BB436" t="s">
        <v>134</v>
      </c>
      <c r="BC436" t="s">
        <v>134</v>
      </c>
      <c r="BD436" t="s">
        <v>134</v>
      </c>
      <c r="BE436" t="s">
        <v>134</v>
      </c>
      <c r="BF436" t="s">
        <v>134</v>
      </c>
      <c r="BG436" t="s">
        <v>134</v>
      </c>
      <c r="BH436" t="s">
        <v>134</v>
      </c>
      <c r="BI436" t="s">
        <v>134</v>
      </c>
      <c r="BJ436" t="s">
        <v>134</v>
      </c>
      <c r="BK436" t="s">
        <v>134</v>
      </c>
      <c r="BL436" t="s">
        <v>134</v>
      </c>
      <c r="BM436" t="s">
        <v>134</v>
      </c>
      <c r="BN436" t="s">
        <v>134</v>
      </c>
      <c r="BO436" t="s">
        <v>134</v>
      </c>
      <c r="BP436" t="s">
        <v>134</v>
      </c>
      <c r="BQ436" t="s">
        <v>134</v>
      </c>
      <c r="BR436" t="s">
        <v>134</v>
      </c>
      <c r="BS436" t="s">
        <v>134</v>
      </c>
      <c r="BT436" t="s">
        <v>134</v>
      </c>
      <c r="BU436" t="s">
        <v>134</v>
      </c>
      <c r="BV436" t="s">
        <v>134</v>
      </c>
      <c r="BW436" t="s">
        <v>134</v>
      </c>
      <c r="BX436" t="s">
        <v>134</v>
      </c>
      <c r="BY436" t="s">
        <v>134</v>
      </c>
      <c r="BZ436" t="s">
        <v>134</v>
      </c>
      <c r="CA436" t="s">
        <v>134</v>
      </c>
      <c r="CB436" t="s">
        <v>134</v>
      </c>
      <c r="CC436" t="s">
        <v>134</v>
      </c>
      <c r="CD436" t="s">
        <v>134</v>
      </c>
      <c r="CE436" t="s">
        <v>134</v>
      </c>
      <c r="CF436" t="s">
        <v>134</v>
      </c>
      <c r="CG436" t="s">
        <v>134</v>
      </c>
      <c r="CH436" t="s">
        <v>134</v>
      </c>
      <c r="CI436" t="s">
        <v>134</v>
      </c>
      <c r="CJ436" t="s">
        <v>134</v>
      </c>
      <c r="CK436" t="s">
        <v>134</v>
      </c>
      <c r="CL436" t="s">
        <v>134</v>
      </c>
      <c r="CM436" t="s">
        <v>134</v>
      </c>
      <c r="CN436" t="s">
        <v>134</v>
      </c>
      <c r="CO436" t="s">
        <v>134</v>
      </c>
      <c r="CP436" t="s">
        <v>134</v>
      </c>
      <c r="CQ436" t="s">
        <v>134</v>
      </c>
      <c r="CR436" t="s">
        <v>134</v>
      </c>
      <c r="CS436" t="s">
        <v>134</v>
      </c>
      <c r="CT436" t="s">
        <v>134</v>
      </c>
      <c r="CU436" t="s">
        <v>134</v>
      </c>
      <c r="CV436" t="s">
        <v>134</v>
      </c>
      <c r="CW436" t="s">
        <v>134</v>
      </c>
      <c r="CX436" t="s">
        <v>134</v>
      </c>
      <c r="CY436" t="s">
        <v>134</v>
      </c>
      <c r="CZ436" t="s">
        <v>134</v>
      </c>
      <c r="DA436" t="s">
        <v>134</v>
      </c>
      <c r="DB436" t="s">
        <v>134</v>
      </c>
      <c r="DC436" t="s">
        <v>134</v>
      </c>
      <c r="DD436" t="s">
        <v>134</v>
      </c>
      <c r="DE436" t="s">
        <v>134</v>
      </c>
      <c r="DF436" t="s">
        <v>134</v>
      </c>
      <c r="DG436" t="s">
        <v>134</v>
      </c>
      <c r="DH436" t="s">
        <v>134</v>
      </c>
      <c r="DI436" t="s">
        <v>134</v>
      </c>
    </row>
    <row r="437" spans="4:113" x14ac:dyDescent="0.3">
      <c r="E437" t="s">
        <v>81</v>
      </c>
      <c r="F437" t="s">
        <v>134</v>
      </c>
      <c r="G437" t="s">
        <v>134</v>
      </c>
      <c r="H437" t="s">
        <v>134</v>
      </c>
      <c r="I437" t="s">
        <v>134</v>
      </c>
      <c r="J437" t="s">
        <v>134</v>
      </c>
      <c r="K437" t="s">
        <v>134</v>
      </c>
      <c r="L437" t="s">
        <v>134</v>
      </c>
      <c r="M437" t="s">
        <v>134</v>
      </c>
      <c r="N437" t="s">
        <v>134</v>
      </c>
      <c r="O437" t="s">
        <v>134</v>
      </c>
      <c r="P437" t="s">
        <v>134</v>
      </c>
      <c r="Q437" t="s">
        <v>134</v>
      </c>
      <c r="R437" t="s">
        <v>134</v>
      </c>
      <c r="S437" t="s">
        <v>134</v>
      </c>
      <c r="T437" t="s">
        <v>134</v>
      </c>
      <c r="U437" t="s">
        <v>134</v>
      </c>
      <c r="V437" t="s">
        <v>134</v>
      </c>
      <c r="W437" t="s">
        <v>134</v>
      </c>
      <c r="X437" t="s">
        <v>134</v>
      </c>
      <c r="Y437" t="s">
        <v>134</v>
      </c>
      <c r="Z437" t="s">
        <v>134</v>
      </c>
      <c r="AA437" t="s">
        <v>134</v>
      </c>
      <c r="AB437" t="s">
        <v>134</v>
      </c>
      <c r="AC437" t="s">
        <v>134</v>
      </c>
      <c r="AD437" t="s">
        <v>134</v>
      </c>
      <c r="AE437" t="s">
        <v>134</v>
      </c>
      <c r="AF437" t="s">
        <v>134</v>
      </c>
      <c r="AG437" t="s">
        <v>134</v>
      </c>
      <c r="AH437" t="s">
        <v>134</v>
      </c>
      <c r="AI437" t="s">
        <v>134</v>
      </c>
      <c r="AJ437" t="s">
        <v>134</v>
      </c>
      <c r="AK437" t="s">
        <v>134</v>
      </c>
      <c r="AL437" t="s">
        <v>134</v>
      </c>
      <c r="AM437" t="s">
        <v>134</v>
      </c>
      <c r="AN437" t="s">
        <v>134</v>
      </c>
      <c r="AO437" t="s">
        <v>134</v>
      </c>
      <c r="AP437" t="s">
        <v>134</v>
      </c>
      <c r="AQ437" t="s">
        <v>134</v>
      </c>
      <c r="AR437" t="s">
        <v>134</v>
      </c>
      <c r="AS437" t="s">
        <v>134</v>
      </c>
      <c r="AT437" t="s">
        <v>134</v>
      </c>
      <c r="AU437" t="s">
        <v>134</v>
      </c>
      <c r="AV437" t="s">
        <v>134</v>
      </c>
      <c r="AW437" t="s">
        <v>134</v>
      </c>
      <c r="AX437" t="s">
        <v>134</v>
      </c>
      <c r="AY437" t="s">
        <v>134</v>
      </c>
      <c r="AZ437" t="s">
        <v>134</v>
      </c>
      <c r="BA437" t="s">
        <v>134</v>
      </c>
      <c r="BB437" t="s">
        <v>134</v>
      </c>
      <c r="BC437" t="s">
        <v>134</v>
      </c>
      <c r="BD437" t="s">
        <v>134</v>
      </c>
      <c r="BE437" t="s">
        <v>134</v>
      </c>
      <c r="BF437" t="s">
        <v>134</v>
      </c>
      <c r="BG437" t="s">
        <v>134</v>
      </c>
      <c r="BH437" t="s">
        <v>134</v>
      </c>
      <c r="BI437" t="s">
        <v>134</v>
      </c>
      <c r="BJ437" t="s">
        <v>134</v>
      </c>
      <c r="BK437" t="s">
        <v>134</v>
      </c>
      <c r="BL437" t="s">
        <v>134</v>
      </c>
      <c r="BM437" t="s">
        <v>134</v>
      </c>
      <c r="BN437" t="s">
        <v>134</v>
      </c>
      <c r="BO437" t="s">
        <v>134</v>
      </c>
      <c r="BP437" t="s">
        <v>134</v>
      </c>
      <c r="BQ437" t="s">
        <v>134</v>
      </c>
      <c r="BR437" t="s">
        <v>134</v>
      </c>
      <c r="BS437" t="s">
        <v>134</v>
      </c>
      <c r="BT437" t="s">
        <v>134</v>
      </c>
      <c r="BU437" t="s">
        <v>134</v>
      </c>
      <c r="BV437" t="s">
        <v>134</v>
      </c>
      <c r="BW437" t="s">
        <v>134</v>
      </c>
      <c r="BX437" t="s">
        <v>134</v>
      </c>
      <c r="BY437" t="s">
        <v>134</v>
      </c>
      <c r="BZ437" t="s">
        <v>134</v>
      </c>
      <c r="CA437" t="s">
        <v>134</v>
      </c>
      <c r="CB437" t="s">
        <v>134</v>
      </c>
      <c r="CC437" t="s">
        <v>134</v>
      </c>
      <c r="CD437" t="s">
        <v>134</v>
      </c>
      <c r="CE437" t="s">
        <v>134</v>
      </c>
      <c r="CF437" t="s">
        <v>134</v>
      </c>
      <c r="CG437" t="s">
        <v>134</v>
      </c>
      <c r="CH437" t="s">
        <v>134</v>
      </c>
      <c r="CI437" t="s">
        <v>134</v>
      </c>
      <c r="CJ437" t="s">
        <v>134</v>
      </c>
      <c r="CK437" t="s">
        <v>134</v>
      </c>
      <c r="CL437" t="s">
        <v>134</v>
      </c>
      <c r="CM437" t="s">
        <v>134</v>
      </c>
      <c r="CN437" t="s">
        <v>134</v>
      </c>
      <c r="CO437" t="s">
        <v>134</v>
      </c>
      <c r="CP437" t="s">
        <v>134</v>
      </c>
      <c r="CQ437" t="s">
        <v>134</v>
      </c>
      <c r="CR437" t="s">
        <v>134</v>
      </c>
      <c r="CS437" t="s">
        <v>134</v>
      </c>
      <c r="CT437" t="s">
        <v>134</v>
      </c>
      <c r="CU437" t="s">
        <v>134</v>
      </c>
      <c r="CV437" t="s">
        <v>134</v>
      </c>
      <c r="CW437" t="s">
        <v>134</v>
      </c>
      <c r="CX437" t="s">
        <v>134</v>
      </c>
      <c r="CY437" t="s">
        <v>134</v>
      </c>
      <c r="CZ437" t="s">
        <v>134</v>
      </c>
      <c r="DA437" t="s">
        <v>134</v>
      </c>
      <c r="DB437" t="s">
        <v>134</v>
      </c>
      <c r="DC437" t="s">
        <v>134</v>
      </c>
      <c r="DD437" t="s">
        <v>134</v>
      </c>
      <c r="DE437" t="s">
        <v>134</v>
      </c>
      <c r="DF437" t="s">
        <v>134</v>
      </c>
      <c r="DG437" t="s">
        <v>134</v>
      </c>
      <c r="DH437" t="s">
        <v>134</v>
      </c>
      <c r="DI437" t="s">
        <v>134</v>
      </c>
    </row>
    <row r="438" spans="4:113" x14ac:dyDescent="0.3">
      <c r="D438" t="s">
        <v>83</v>
      </c>
      <c r="E438" t="s">
        <v>77</v>
      </c>
      <c r="F438">
        <v>31.5503</v>
      </c>
      <c r="G438">
        <v>8.8309999999999995</v>
      </c>
      <c r="H438">
        <v>16.427299999999999</v>
      </c>
      <c r="I438">
        <v>15.6256</v>
      </c>
      <c r="J438">
        <v>8.0055999999999994</v>
      </c>
      <c r="K438">
        <v>6.7168999999999999</v>
      </c>
      <c r="L438" t="s">
        <v>134</v>
      </c>
      <c r="M438">
        <v>6.6829999999999998</v>
      </c>
      <c r="N438">
        <v>4.4927000000000001</v>
      </c>
      <c r="O438">
        <v>4.2354000000000003</v>
      </c>
      <c r="P438">
        <v>4.2354000000000003</v>
      </c>
      <c r="Q438">
        <v>32.793100000000003</v>
      </c>
      <c r="R438">
        <v>30.558499999999999</v>
      </c>
      <c r="S438">
        <v>21.908999999999999</v>
      </c>
      <c r="T438">
        <v>-22.263500000000001</v>
      </c>
      <c r="U438">
        <v>54.296300000000002</v>
      </c>
      <c r="V438">
        <v>87.498199999999997</v>
      </c>
      <c r="W438">
        <v>66.054199999999994</v>
      </c>
      <c r="X438">
        <v>66.059899999999999</v>
      </c>
      <c r="Y438">
        <v>40.1496</v>
      </c>
      <c r="Z438">
        <v>-16.484300000000001</v>
      </c>
      <c r="AA438">
        <v>-10.9377</v>
      </c>
      <c r="AB438">
        <v>21.497699999999998</v>
      </c>
      <c r="AC438">
        <v>7.8369</v>
      </c>
      <c r="AD438">
        <v>27.0702</v>
      </c>
      <c r="AE438">
        <v>82.546099999999996</v>
      </c>
      <c r="AF438">
        <v>-34.158700000000003</v>
      </c>
      <c r="AG438">
        <v>-53.6631</v>
      </c>
      <c r="AH438">
        <v>13.340299999999999</v>
      </c>
      <c r="AI438">
        <v>24.144300000000001</v>
      </c>
      <c r="AJ438">
        <v>18.5623</v>
      </c>
      <c r="AK438">
        <v>24.2516</v>
      </c>
      <c r="AL438">
        <v>-34.768700000000003</v>
      </c>
      <c r="AM438">
        <v>4.1703000000000001</v>
      </c>
      <c r="AN438">
        <v>27.724499999999999</v>
      </c>
      <c r="AO438">
        <v>37.806100000000001</v>
      </c>
      <c r="AP438">
        <v>37.3142</v>
      </c>
      <c r="AQ438">
        <v>37.314999999999998</v>
      </c>
      <c r="AR438">
        <v>33.828400000000002</v>
      </c>
      <c r="AS438">
        <v>-2.3601000000000001</v>
      </c>
      <c r="AT438">
        <v>-3.1789000000000001</v>
      </c>
      <c r="AU438">
        <v>14.630700000000001</v>
      </c>
      <c r="AV438">
        <v>7.0252999999999997</v>
      </c>
      <c r="AW438">
        <v>-4.5514999999999999</v>
      </c>
      <c r="AX438" t="s">
        <v>134</v>
      </c>
      <c r="AY438">
        <v>-1.2406999999999999</v>
      </c>
      <c r="AZ438">
        <v>-30.4421</v>
      </c>
      <c r="BA438">
        <v>2.9051</v>
      </c>
      <c r="BB438">
        <v>12.6114</v>
      </c>
      <c r="BC438">
        <v>7.1661999999999999</v>
      </c>
      <c r="BD438">
        <v>12.8001</v>
      </c>
      <c r="BE438">
        <v>32.879100000000001</v>
      </c>
      <c r="BF438">
        <v>-22.263500000000001</v>
      </c>
      <c r="BG438">
        <v>54.296300000000002</v>
      </c>
      <c r="BH438">
        <v>87.498199999999997</v>
      </c>
      <c r="BI438">
        <v>66.054199999999994</v>
      </c>
      <c r="BJ438">
        <v>66.059899999999999</v>
      </c>
      <c r="BK438">
        <v>40.1496</v>
      </c>
      <c r="BL438">
        <v>-16.484300000000001</v>
      </c>
      <c r="BM438">
        <v>-10.9377</v>
      </c>
      <c r="BN438">
        <v>21.497699999999998</v>
      </c>
      <c r="BO438">
        <v>7.8369</v>
      </c>
      <c r="BP438">
        <v>27.0702</v>
      </c>
      <c r="BQ438" t="s">
        <v>134</v>
      </c>
      <c r="BR438">
        <v>-34.158700000000003</v>
      </c>
      <c r="BS438">
        <v>-53.6631</v>
      </c>
      <c r="BT438">
        <v>13.340299999999999</v>
      </c>
      <c r="BU438">
        <v>24.144300000000001</v>
      </c>
      <c r="BV438">
        <v>18.5623</v>
      </c>
      <c r="BW438">
        <v>24.2516</v>
      </c>
      <c r="BX438">
        <v>-34.768700000000003</v>
      </c>
      <c r="BY438">
        <v>288929.5</v>
      </c>
      <c r="BZ438">
        <v>28499</v>
      </c>
      <c r="CA438">
        <v>260430.5</v>
      </c>
      <c r="CB438">
        <v>1.9152</v>
      </c>
      <c r="CC438">
        <v>1.2599</v>
      </c>
      <c r="CD438">
        <v>2.2826</v>
      </c>
      <c r="CE438">
        <v>1.5016</v>
      </c>
      <c r="CF438">
        <v>25.924800000000001</v>
      </c>
      <c r="CG438">
        <v>29.8902</v>
      </c>
      <c r="CH438">
        <v>87.964500000000001</v>
      </c>
      <c r="CI438">
        <v>44.518599999999999</v>
      </c>
      <c r="CJ438">
        <v>27.767800000000001</v>
      </c>
      <c r="CK438">
        <v>97.590500000000006</v>
      </c>
      <c r="CL438">
        <v>49.390300000000003</v>
      </c>
      <c r="CM438">
        <v>30.8065</v>
      </c>
      <c r="CN438">
        <v>64.200900000000004</v>
      </c>
      <c r="CO438">
        <v>39.098999999999997</v>
      </c>
      <c r="CP438">
        <v>150864.29999999999</v>
      </c>
      <c r="CQ438">
        <v>35148.400000000001</v>
      </c>
      <c r="CR438">
        <v>126578</v>
      </c>
      <c r="CS438">
        <v>0.29330000000000001</v>
      </c>
      <c r="CT438">
        <v>0.9798</v>
      </c>
      <c r="CU438">
        <v>0.36520000000000002</v>
      </c>
      <c r="CV438">
        <v>3.4178000000000002</v>
      </c>
      <c r="CW438">
        <v>70.773899999999998</v>
      </c>
      <c r="CX438">
        <v>5.1714000000000002</v>
      </c>
      <c r="CY438">
        <v>9.4239999999999995</v>
      </c>
      <c r="CZ438">
        <v>38.837000000000003</v>
      </c>
      <c r="DA438">
        <v>14.352</v>
      </c>
      <c r="DB438">
        <v>25.5017</v>
      </c>
      <c r="DC438">
        <v>18.506799999999998</v>
      </c>
      <c r="DD438">
        <v>44.008400000000002</v>
      </c>
      <c r="DE438">
        <v>154968.5</v>
      </c>
      <c r="DF438">
        <v>34799.1</v>
      </c>
      <c r="DG438">
        <v>3736.4</v>
      </c>
      <c r="DH438">
        <v>103173.1</v>
      </c>
      <c r="DI438">
        <v>13259.9</v>
      </c>
    </row>
    <row r="439" spans="4:113" x14ac:dyDescent="0.3">
      <c r="E439" t="s">
        <v>78</v>
      </c>
      <c r="F439" t="s">
        <v>134</v>
      </c>
      <c r="G439" t="s">
        <v>134</v>
      </c>
      <c r="H439" t="s">
        <v>134</v>
      </c>
      <c r="I439" t="s">
        <v>134</v>
      </c>
      <c r="J439" t="s">
        <v>134</v>
      </c>
      <c r="K439" t="s">
        <v>134</v>
      </c>
      <c r="L439" t="s">
        <v>134</v>
      </c>
      <c r="M439" t="s">
        <v>134</v>
      </c>
      <c r="N439" t="s">
        <v>134</v>
      </c>
      <c r="O439" t="s">
        <v>134</v>
      </c>
      <c r="P439" t="s">
        <v>134</v>
      </c>
      <c r="Q439" t="s">
        <v>134</v>
      </c>
      <c r="R439" t="s">
        <v>134</v>
      </c>
      <c r="S439" t="s">
        <v>134</v>
      </c>
      <c r="T439" t="s">
        <v>134</v>
      </c>
      <c r="U439" t="s">
        <v>134</v>
      </c>
      <c r="V439" t="s">
        <v>134</v>
      </c>
      <c r="W439" t="s">
        <v>134</v>
      </c>
      <c r="X439" t="s">
        <v>134</v>
      </c>
      <c r="Y439" t="s">
        <v>134</v>
      </c>
      <c r="Z439" t="s">
        <v>134</v>
      </c>
      <c r="AA439" t="s">
        <v>134</v>
      </c>
      <c r="AB439" t="s">
        <v>134</v>
      </c>
      <c r="AC439" t="s">
        <v>134</v>
      </c>
      <c r="AD439" t="s">
        <v>134</v>
      </c>
      <c r="AE439" t="s">
        <v>134</v>
      </c>
      <c r="AF439" t="s">
        <v>134</v>
      </c>
      <c r="AG439" t="s">
        <v>134</v>
      </c>
      <c r="AH439" t="s">
        <v>134</v>
      </c>
      <c r="AI439" t="s">
        <v>134</v>
      </c>
      <c r="AJ439" t="s">
        <v>134</v>
      </c>
      <c r="AK439" t="s">
        <v>134</v>
      </c>
      <c r="AL439" t="s">
        <v>134</v>
      </c>
      <c r="AM439" t="s">
        <v>134</v>
      </c>
      <c r="AN439" t="s">
        <v>134</v>
      </c>
      <c r="AO439" t="s">
        <v>134</v>
      </c>
      <c r="AP439" t="s">
        <v>134</v>
      </c>
      <c r="AQ439" t="s">
        <v>134</v>
      </c>
      <c r="AR439" t="s">
        <v>134</v>
      </c>
      <c r="AS439" t="s">
        <v>134</v>
      </c>
      <c r="AT439" t="s">
        <v>134</v>
      </c>
      <c r="AU439" t="s">
        <v>134</v>
      </c>
      <c r="AV439" t="s">
        <v>134</v>
      </c>
      <c r="AW439" t="s">
        <v>134</v>
      </c>
      <c r="AX439" t="s">
        <v>134</v>
      </c>
      <c r="AY439" t="s">
        <v>134</v>
      </c>
      <c r="AZ439" t="s">
        <v>134</v>
      </c>
      <c r="BA439" t="s">
        <v>134</v>
      </c>
      <c r="BB439" t="s">
        <v>134</v>
      </c>
      <c r="BC439" t="s">
        <v>134</v>
      </c>
      <c r="BD439" t="s">
        <v>134</v>
      </c>
      <c r="BE439" t="s">
        <v>134</v>
      </c>
      <c r="BF439" t="s">
        <v>134</v>
      </c>
      <c r="BG439" t="s">
        <v>134</v>
      </c>
      <c r="BH439" t="s">
        <v>134</v>
      </c>
      <c r="BI439" t="s">
        <v>134</v>
      </c>
      <c r="BJ439" t="s">
        <v>134</v>
      </c>
      <c r="BK439" t="s">
        <v>134</v>
      </c>
      <c r="BL439" t="s">
        <v>134</v>
      </c>
      <c r="BM439" t="s">
        <v>134</v>
      </c>
      <c r="BN439" t="s">
        <v>134</v>
      </c>
      <c r="BO439" t="s">
        <v>134</v>
      </c>
      <c r="BP439" t="s">
        <v>134</v>
      </c>
      <c r="BQ439" t="s">
        <v>134</v>
      </c>
      <c r="BR439" t="s">
        <v>134</v>
      </c>
      <c r="BS439" t="s">
        <v>134</v>
      </c>
      <c r="BT439" t="s">
        <v>134</v>
      </c>
      <c r="BU439" t="s">
        <v>134</v>
      </c>
      <c r="BV439" t="s">
        <v>134</v>
      </c>
      <c r="BW439" t="s">
        <v>134</v>
      </c>
      <c r="BX439" t="s">
        <v>134</v>
      </c>
      <c r="BY439" t="s">
        <v>134</v>
      </c>
      <c r="BZ439" t="s">
        <v>134</v>
      </c>
      <c r="CA439" t="s">
        <v>134</v>
      </c>
      <c r="CB439" t="s">
        <v>134</v>
      </c>
      <c r="CC439" t="s">
        <v>134</v>
      </c>
      <c r="CD439" t="s">
        <v>134</v>
      </c>
      <c r="CE439" t="s">
        <v>134</v>
      </c>
      <c r="CF439" t="s">
        <v>134</v>
      </c>
      <c r="CG439" t="s">
        <v>134</v>
      </c>
      <c r="CH439" t="s">
        <v>134</v>
      </c>
      <c r="CI439" t="s">
        <v>134</v>
      </c>
      <c r="CJ439" t="s">
        <v>134</v>
      </c>
      <c r="CK439" t="s">
        <v>134</v>
      </c>
      <c r="CL439" t="s">
        <v>134</v>
      </c>
      <c r="CM439" t="s">
        <v>134</v>
      </c>
      <c r="CN439" t="s">
        <v>134</v>
      </c>
      <c r="CO439" t="s">
        <v>134</v>
      </c>
      <c r="CP439" t="s">
        <v>134</v>
      </c>
      <c r="CQ439" t="s">
        <v>134</v>
      </c>
      <c r="CR439" t="s">
        <v>134</v>
      </c>
      <c r="CS439" t="s">
        <v>134</v>
      </c>
      <c r="CT439" t="s">
        <v>134</v>
      </c>
      <c r="CU439" t="s">
        <v>134</v>
      </c>
      <c r="CV439" t="s">
        <v>134</v>
      </c>
      <c r="CW439" t="s">
        <v>134</v>
      </c>
      <c r="CX439" t="s">
        <v>134</v>
      </c>
      <c r="CY439" t="s">
        <v>134</v>
      </c>
      <c r="CZ439" t="s">
        <v>134</v>
      </c>
      <c r="DA439" t="s">
        <v>134</v>
      </c>
      <c r="DB439" t="s">
        <v>134</v>
      </c>
      <c r="DC439" t="s">
        <v>134</v>
      </c>
      <c r="DD439" t="s">
        <v>134</v>
      </c>
      <c r="DE439" t="s">
        <v>134</v>
      </c>
      <c r="DF439" t="s">
        <v>134</v>
      </c>
      <c r="DG439" t="s">
        <v>134</v>
      </c>
      <c r="DH439" t="s">
        <v>134</v>
      </c>
      <c r="DI439" t="s">
        <v>134</v>
      </c>
    </row>
    <row r="440" spans="4:113" x14ac:dyDescent="0.3">
      <c r="E440" t="s">
        <v>79</v>
      </c>
      <c r="F440" t="s">
        <v>134</v>
      </c>
      <c r="G440" t="s">
        <v>134</v>
      </c>
      <c r="H440" t="s">
        <v>134</v>
      </c>
      <c r="I440" t="s">
        <v>134</v>
      </c>
      <c r="J440" t="s">
        <v>134</v>
      </c>
      <c r="K440" t="s">
        <v>134</v>
      </c>
      <c r="L440" t="s">
        <v>134</v>
      </c>
      <c r="M440" t="s">
        <v>134</v>
      </c>
      <c r="N440" t="s">
        <v>134</v>
      </c>
      <c r="O440" t="s">
        <v>134</v>
      </c>
      <c r="P440" t="s">
        <v>134</v>
      </c>
      <c r="Q440" t="s">
        <v>134</v>
      </c>
      <c r="R440" t="s">
        <v>134</v>
      </c>
      <c r="S440" t="s">
        <v>134</v>
      </c>
      <c r="T440" t="s">
        <v>134</v>
      </c>
      <c r="U440" t="s">
        <v>134</v>
      </c>
      <c r="V440" t="s">
        <v>134</v>
      </c>
      <c r="W440" t="s">
        <v>134</v>
      </c>
      <c r="X440" t="s">
        <v>134</v>
      </c>
      <c r="Y440" t="s">
        <v>134</v>
      </c>
      <c r="Z440" t="s">
        <v>134</v>
      </c>
      <c r="AA440" t="s">
        <v>134</v>
      </c>
      <c r="AB440" t="s">
        <v>134</v>
      </c>
      <c r="AC440" t="s">
        <v>134</v>
      </c>
      <c r="AD440" t="s">
        <v>134</v>
      </c>
      <c r="AE440" t="s">
        <v>134</v>
      </c>
      <c r="AF440" t="s">
        <v>134</v>
      </c>
      <c r="AG440" t="s">
        <v>134</v>
      </c>
      <c r="AH440" t="s">
        <v>134</v>
      </c>
      <c r="AI440" t="s">
        <v>134</v>
      </c>
      <c r="AJ440" t="s">
        <v>134</v>
      </c>
      <c r="AK440" t="s">
        <v>134</v>
      </c>
      <c r="AL440" t="s">
        <v>134</v>
      </c>
      <c r="AM440" t="s">
        <v>134</v>
      </c>
      <c r="AN440" t="s">
        <v>134</v>
      </c>
      <c r="AO440" t="s">
        <v>134</v>
      </c>
      <c r="AP440" t="s">
        <v>134</v>
      </c>
      <c r="AQ440" t="s">
        <v>134</v>
      </c>
      <c r="AR440" t="s">
        <v>134</v>
      </c>
      <c r="AS440" t="s">
        <v>134</v>
      </c>
      <c r="AT440" t="s">
        <v>134</v>
      </c>
      <c r="AU440" t="s">
        <v>134</v>
      </c>
      <c r="AV440" t="s">
        <v>134</v>
      </c>
      <c r="AW440" t="s">
        <v>134</v>
      </c>
      <c r="AX440" t="s">
        <v>134</v>
      </c>
      <c r="AY440" t="s">
        <v>134</v>
      </c>
      <c r="AZ440" t="s">
        <v>134</v>
      </c>
      <c r="BA440" t="s">
        <v>134</v>
      </c>
      <c r="BB440" t="s">
        <v>134</v>
      </c>
      <c r="BC440" t="s">
        <v>134</v>
      </c>
      <c r="BD440" t="s">
        <v>134</v>
      </c>
      <c r="BE440" t="s">
        <v>134</v>
      </c>
      <c r="BF440" t="s">
        <v>134</v>
      </c>
      <c r="BG440" t="s">
        <v>134</v>
      </c>
      <c r="BH440" t="s">
        <v>134</v>
      </c>
      <c r="BI440" t="s">
        <v>134</v>
      </c>
      <c r="BJ440" t="s">
        <v>134</v>
      </c>
      <c r="BK440" t="s">
        <v>134</v>
      </c>
      <c r="BL440" t="s">
        <v>134</v>
      </c>
      <c r="BM440" t="s">
        <v>134</v>
      </c>
      <c r="BN440" t="s">
        <v>134</v>
      </c>
      <c r="BO440" t="s">
        <v>134</v>
      </c>
      <c r="BP440" t="s">
        <v>134</v>
      </c>
      <c r="BQ440" t="s">
        <v>134</v>
      </c>
      <c r="BR440" t="s">
        <v>134</v>
      </c>
      <c r="BS440" t="s">
        <v>134</v>
      </c>
      <c r="BT440" t="s">
        <v>134</v>
      </c>
      <c r="BU440" t="s">
        <v>134</v>
      </c>
      <c r="BV440" t="s">
        <v>134</v>
      </c>
      <c r="BW440" t="s">
        <v>134</v>
      </c>
      <c r="BX440" t="s">
        <v>134</v>
      </c>
      <c r="BY440" t="s">
        <v>134</v>
      </c>
      <c r="BZ440" t="s">
        <v>134</v>
      </c>
      <c r="CA440" t="s">
        <v>134</v>
      </c>
      <c r="CB440" t="s">
        <v>134</v>
      </c>
      <c r="CC440" t="s">
        <v>134</v>
      </c>
      <c r="CD440" t="s">
        <v>134</v>
      </c>
      <c r="CE440" t="s">
        <v>134</v>
      </c>
      <c r="CF440" t="s">
        <v>134</v>
      </c>
      <c r="CG440" t="s">
        <v>134</v>
      </c>
      <c r="CH440" t="s">
        <v>134</v>
      </c>
      <c r="CI440" t="s">
        <v>134</v>
      </c>
      <c r="CJ440" t="s">
        <v>134</v>
      </c>
      <c r="CK440" t="s">
        <v>134</v>
      </c>
      <c r="CL440" t="s">
        <v>134</v>
      </c>
      <c r="CM440" t="s">
        <v>134</v>
      </c>
      <c r="CN440" t="s">
        <v>134</v>
      </c>
      <c r="CO440" t="s">
        <v>134</v>
      </c>
      <c r="CP440" t="s">
        <v>134</v>
      </c>
      <c r="CQ440" t="s">
        <v>134</v>
      </c>
      <c r="CR440" t="s">
        <v>134</v>
      </c>
      <c r="CS440" t="s">
        <v>134</v>
      </c>
      <c r="CT440" t="s">
        <v>134</v>
      </c>
      <c r="CU440" t="s">
        <v>134</v>
      </c>
      <c r="CV440" t="s">
        <v>134</v>
      </c>
      <c r="CW440" t="s">
        <v>134</v>
      </c>
      <c r="CX440" t="s">
        <v>134</v>
      </c>
      <c r="CY440" t="s">
        <v>134</v>
      </c>
      <c r="CZ440" t="s">
        <v>134</v>
      </c>
      <c r="DA440" t="s">
        <v>134</v>
      </c>
      <c r="DB440" t="s">
        <v>134</v>
      </c>
      <c r="DC440" t="s">
        <v>134</v>
      </c>
      <c r="DD440" t="s">
        <v>134</v>
      </c>
      <c r="DE440" t="s">
        <v>134</v>
      </c>
      <c r="DF440" t="s">
        <v>134</v>
      </c>
      <c r="DG440" t="s">
        <v>134</v>
      </c>
      <c r="DH440" t="s">
        <v>134</v>
      </c>
      <c r="DI440" t="s">
        <v>134</v>
      </c>
    </row>
    <row r="441" spans="4:113" x14ac:dyDescent="0.3">
      <c r="E441" t="s">
        <v>80</v>
      </c>
      <c r="F441" t="s">
        <v>134</v>
      </c>
      <c r="G441" t="s">
        <v>134</v>
      </c>
      <c r="H441" t="s">
        <v>134</v>
      </c>
      <c r="I441" t="s">
        <v>134</v>
      </c>
      <c r="J441" t="s">
        <v>134</v>
      </c>
      <c r="K441" t="s">
        <v>134</v>
      </c>
      <c r="L441" t="s">
        <v>134</v>
      </c>
      <c r="M441" t="s">
        <v>134</v>
      </c>
      <c r="N441" t="s">
        <v>134</v>
      </c>
      <c r="O441" t="s">
        <v>134</v>
      </c>
      <c r="P441" t="s">
        <v>134</v>
      </c>
      <c r="Q441" t="s">
        <v>134</v>
      </c>
      <c r="R441" t="s">
        <v>134</v>
      </c>
      <c r="S441" t="s">
        <v>134</v>
      </c>
      <c r="T441" t="s">
        <v>134</v>
      </c>
      <c r="U441" t="s">
        <v>134</v>
      </c>
      <c r="V441" t="s">
        <v>134</v>
      </c>
      <c r="W441" t="s">
        <v>134</v>
      </c>
      <c r="X441" t="s">
        <v>134</v>
      </c>
      <c r="Y441" t="s">
        <v>134</v>
      </c>
      <c r="Z441" t="s">
        <v>134</v>
      </c>
      <c r="AA441" t="s">
        <v>134</v>
      </c>
      <c r="AB441" t="s">
        <v>134</v>
      </c>
      <c r="AC441" t="s">
        <v>134</v>
      </c>
      <c r="AD441" t="s">
        <v>134</v>
      </c>
      <c r="AE441" t="s">
        <v>134</v>
      </c>
      <c r="AF441" t="s">
        <v>134</v>
      </c>
      <c r="AG441" t="s">
        <v>134</v>
      </c>
      <c r="AH441" t="s">
        <v>134</v>
      </c>
      <c r="AI441" t="s">
        <v>134</v>
      </c>
      <c r="AJ441" t="s">
        <v>134</v>
      </c>
      <c r="AK441" t="s">
        <v>134</v>
      </c>
      <c r="AL441" t="s">
        <v>134</v>
      </c>
      <c r="AM441" t="s">
        <v>134</v>
      </c>
      <c r="AN441" t="s">
        <v>134</v>
      </c>
      <c r="AO441" t="s">
        <v>134</v>
      </c>
      <c r="AP441" t="s">
        <v>134</v>
      </c>
      <c r="AQ441" t="s">
        <v>134</v>
      </c>
      <c r="AR441" t="s">
        <v>134</v>
      </c>
      <c r="AS441" t="s">
        <v>134</v>
      </c>
      <c r="AT441" t="s">
        <v>134</v>
      </c>
      <c r="AU441" t="s">
        <v>134</v>
      </c>
      <c r="AV441" t="s">
        <v>134</v>
      </c>
      <c r="AW441" t="s">
        <v>134</v>
      </c>
      <c r="AX441" t="s">
        <v>134</v>
      </c>
      <c r="AY441" t="s">
        <v>134</v>
      </c>
      <c r="AZ441" t="s">
        <v>134</v>
      </c>
      <c r="BA441" t="s">
        <v>134</v>
      </c>
      <c r="BB441" t="s">
        <v>134</v>
      </c>
      <c r="BC441" t="s">
        <v>134</v>
      </c>
      <c r="BD441" t="s">
        <v>134</v>
      </c>
      <c r="BE441" t="s">
        <v>134</v>
      </c>
      <c r="BF441" t="s">
        <v>134</v>
      </c>
      <c r="BG441" t="s">
        <v>134</v>
      </c>
      <c r="BH441" t="s">
        <v>134</v>
      </c>
      <c r="BI441" t="s">
        <v>134</v>
      </c>
      <c r="BJ441" t="s">
        <v>134</v>
      </c>
      <c r="BK441" t="s">
        <v>134</v>
      </c>
      <c r="BL441" t="s">
        <v>134</v>
      </c>
      <c r="BM441" t="s">
        <v>134</v>
      </c>
      <c r="BN441" t="s">
        <v>134</v>
      </c>
      <c r="BO441" t="s">
        <v>134</v>
      </c>
      <c r="BP441" t="s">
        <v>134</v>
      </c>
      <c r="BQ441" t="s">
        <v>134</v>
      </c>
      <c r="BR441" t="s">
        <v>134</v>
      </c>
      <c r="BS441" t="s">
        <v>134</v>
      </c>
      <c r="BT441" t="s">
        <v>134</v>
      </c>
      <c r="BU441" t="s">
        <v>134</v>
      </c>
      <c r="BV441" t="s">
        <v>134</v>
      </c>
      <c r="BW441" t="s">
        <v>134</v>
      </c>
      <c r="BX441" t="s">
        <v>134</v>
      </c>
      <c r="BY441" t="s">
        <v>134</v>
      </c>
      <c r="BZ441" t="s">
        <v>134</v>
      </c>
      <c r="CA441" t="s">
        <v>134</v>
      </c>
      <c r="CB441" t="s">
        <v>134</v>
      </c>
      <c r="CC441" t="s">
        <v>134</v>
      </c>
      <c r="CD441" t="s">
        <v>134</v>
      </c>
      <c r="CE441" t="s">
        <v>134</v>
      </c>
      <c r="CF441" t="s">
        <v>134</v>
      </c>
      <c r="CG441" t="s">
        <v>134</v>
      </c>
      <c r="CH441" t="s">
        <v>134</v>
      </c>
      <c r="CI441" t="s">
        <v>134</v>
      </c>
      <c r="CJ441" t="s">
        <v>134</v>
      </c>
      <c r="CK441" t="s">
        <v>134</v>
      </c>
      <c r="CL441" t="s">
        <v>134</v>
      </c>
      <c r="CM441" t="s">
        <v>134</v>
      </c>
      <c r="CN441" t="s">
        <v>134</v>
      </c>
      <c r="CO441" t="s">
        <v>134</v>
      </c>
      <c r="CP441" t="s">
        <v>134</v>
      </c>
      <c r="CQ441" t="s">
        <v>134</v>
      </c>
      <c r="CR441" t="s">
        <v>134</v>
      </c>
      <c r="CS441" t="s">
        <v>134</v>
      </c>
      <c r="CT441" t="s">
        <v>134</v>
      </c>
      <c r="CU441" t="s">
        <v>134</v>
      </c>
      <c r="CV441" t="s">
        <v>134</v>
      </c>
      <c r="CW441" t="s">
        <v>134</v>
      </c>
      <c r="CX441" t="s">
        <v>134</v>
      </c>
      <c r="CY441" t="s">
        <v>134</v>
      </c>
      <c r="CZ441" t="s">
        <v>134</v>
      </c>
      <c r="DA441" t="s">
        <v>134</v>
      </c>
      <c r="DB441" t="s">
        <v>134</v>
      </c>
      <c r="DC441" t="s">
        <v>134</v>
      </c>
      <c r="DD441" t="s">
        <v>134</v>
      </c>
      <c r="DE441" t="s">
        <v>134</v>
      </c>
      <c r="DF441" t="s">
        <v>134</v>
      </c>
      <c r="DG441" t="s">
        <v>134</v>
      </c>
      <c r="DH441" t="s">
        <v>134</v>
      </c>
      <c r="DI441" t="s">
        <v>134</v>
      </c>
    </row>
    <row r="442" spans="4:113" x14ac:dyDescent="0.3">
      <c r="E442" t="s">
        <v>81</v>
      </c>
      <c r="F442" t="s">
        <v>134</v>
      </c>
      <c r="G442" t="s">
        <v>134</v>
      </c>
      <c r="H442" t="s">
        <v>134</v>
      </c>
      <c r="I442" t="s">
        <v>134</v>
      </c>
      <c r="J442" t="s">
        <v>134</v>
      </c>
      <c r="K442" t="s">
        <v>134</v>
      </c>
      <c r="L442" t="s">
        <v>134</v>
      </c>
      <c r="M442" t="s">
        <v>134</v>
      </c>
      <c r="N442" t="s">
        <v>134</v>
      </c>
      <c r="O442" t="s">
        <v>134</v>
      </c>
      <c r="P442" t="s">
        <v>134</v>
      </c>
      <c r="Q442" t="s">
        <v>134</v>
      </c>
      <c r="R442" t="s">
        <v>134</v>
      </c>
      <c r="S442" t="s">
        <v>134</v>
      </c>
      <c r="T442" t="s">
        <v>134</v>
      </c>
      <c r="U442" t="s">
        <v>134</v>
      </c>
      <c r="V442" t="s">
        <v>134</v>
      </c>
      <c r="W442" t="s">
        <v>134</v>
      </c>
      <c r="X442" t="s">
        <v>134</v>
      </c>
      <c r="Y442" t="s">
        <v>134</v>
      </c>
      <c r="Z442" t="s">
        <v>134</v>
      </c>
      <c r="AA442" t="s">
        <v>134</v>
      </c>
      <c r="AB442" t="s">
        <v>134</v>
      </c>
      <c r="AC442" t="s">
        <v>134</v>
      </c>
      <c r="AD442" t="s">
        <v>134</v>
      </c>
      <c r="AE442" t="s">
        <v>134</v>
      </c>
      <c r="AF442" t="s">
        <v>134</v>
      </c>
      <c r="AG442" t="s">
        <v>134</v>
      </c>
      <c r="AH442" t="s">
        <v>134</v>
      </c>
      <c r="AI442" t="s">
        <v>134</v>
      </c>
      <c r="AJ442" t="s">
        <v>134</v>
      </c>
      <c r="AK442" t="s">
        <v>134</v>
      </c>
      <c r="AL442" t="s">
        <v>134</v>
      </c>
      <c r="AM442" t="s">
        <v>134</v>
      </c>
      <c r="AN442" t="s">
        <v>134</v>
      </c>
      <c r="AO442" t="s">
        <v>134</v>
      </c>
      <c r="AP442" t="s">
        <v>134</v>
      </c>
      <c r="AQ442" t="s">
        <v>134</v>
      </c>
      <c r="AR442" t="s">
        <v>134</v>
      </c>
      <c r="AS442" t="s">
        <v>134</v>
      </c>
      <c r="AT442" t="s">
        <v>134</v>
      </c>
      <c r="AU442" t="s">
        <v>134</v>
      </c>
      <c r="AV442" t="s">
        <v>134</v>
      </c>
      <c r="AW442" t="s">
        <v>134</v>
      </c>
      <c r="AX442" t="s">
        <v>134</v>
      </c>
      <c r="AY442" t="s">
        <v>134</v>
      </c>
      <c r="AZ442" t="s">
        <v>134</v>
      </c>
      <c r="BA442" t="s">
        <v>134</v>
      </c>
      <c r="BB442" t="s">
        <v>134</v>
      </c>
      <c r="BC442" t="s">
        <v>134</v>
      </c>
      <c r="BD442" t="s">
        <v>134</v>
      </c>
      <c r="BE442" t="s">
        <v>134</v>
      </c>
      <c r="BF442" t="s">
        <v>134</v>
      </c>
      <c r="BG442" t="s">
        <v>134</v>
      </c>
      <c r="BH442" t="s">
        <v>134</v>
      </c>
      <c r="BI442" t="s">
        <v>134</v>
      </c>
      <c r="BJ442" t="s">
        <v>134</v>
      </c>
      <c r="BK442" t="s">
        <v>134</v>
      </c>
      <c r="BL442" t="s">
        <v>134</v>
      </c>
      <c r="BM442" t="s">
        <v>134</v>
      </c>
      <c r="BN442" t="s">
        <v>134</v>
      </c>
      <c r="BO442" t="s">
        <v>134</v>
      </c>
      <c r="BP442" t="s">
        <v>134</v>
      </c>
      <c r="BQ442" t="s">
        <v>134</v>
      </c>
      <c r="BR442" t="s">
        <v>134</v>
      </c>
      <c r="BS442" t="s">
        <v>134</v>
      </c>
      <c r="BT442" t="s">
        <v>134</v>
      </c>
      <c r="BU442" t="s">
        <v>134</v>
      </c>
      <c r="BV442" t="s">
        <v>134</v>
      </c>
      <c r="BW442" t="s">
        <v>134</v>
      </c>
      <c r="BX442" t="s">
        <v>134</v>
      </c>
      <c r="BY442" t="s">
        <v>134</v>
      </c>
      <c r="BZ442" t="s">
        <v>134</v>
      </c>
      <c r="CA442" t="s">
        <v>134</v>
      </c>
      <c r="CB442" t="s">
        <v>134</v>
      </c>
      <c r="CC442" t="s">
        <v>134</v>
      </c>
      <c r="CD442" t="s">
        <v>134</v>
      </c>
      <c r="CE442" t="s">
        <v>134</v>
      </c>
      <c r="CF442" t="s">
        <v>134</v>
      </c>
      <c r="CG442" t="s">
        <v>134</v>
      </c>
      <c r="CH442" t="s">
        <v>134</v>
      </c>
      <c r="CI442" t="s">
        <v>134</v>
      </c>
      <c r="CJ442" t="s">
        <v>134</v>
      </c>
      <c r="CK442" t="s">
        <v>134</v>
      </c>
      <c r="CL442" t="s">
        <v>134</v>
      </c>
      <c r="CM442" t="s">
        <v>134</v>
      </c>
      <c r="CN442" t="s">
        <v>134</v>
      </c>
      <c r="CO442" t="s">
        <v>134</v>
      </c>
      <c r="CP442" t="s">
        <v>134</v>
      </c>
      <c r="CQ442" t="s">
        <v>134</v>
      </c>
      <c r="CR442" t="s">
        <v>134</v>
      </c>
      <c r="CS442" t="s">
        <v>134</v>
      </c>
      <c r="CT442" t="s">
        <v>134</v>
      </c>
      <c r="CU442" t="s">
        <v>134</v>
      </c>
      <c r="CV442" t="s">
        <v>134</v>
      </c>
      <c r="CW442" t="s">
        <v>134</v>
      </c>
      <c r="CX442" t="s">
        <v>134</v>
      </c>
      <c r="CY442" t="s">
        <v>134</v>
      </c>
      <c r="CZ442" t="s">
        <v>134</v>
      </c>
      <c r="DA442" t="s">
        <v>134</v>
      </c>
      <c r="DB442" t="s">
        <v>134</v>
      </c>
      <c r="DC442" t="s">
        <v>134</v>
      </c>
      <c r="DD442" t="s">
        <v>134</v>
      </c>
      <c r="DE442" t="s">
        <v>134</v>
      </c>
      <c r="DF442" t="s">
        <v>134</v>
      </c>
      <c r="DG442" t="s">
        <v>134</v>
      </c>
      <c r="DH442" t="s">
        <v>134</v>
      </c>
      <c r="DI442" t="s">
        <v>134</v>
      </c>
    </row>
    <row r="443" spans="4:113" x14ac:dyDescent="0.3">
      <c r="D443" t="s">
        <v>84</v>
      </c>
      <c r="E443" t="s">
        <v>77</v>
      </c>
      <c r="F443">
        <v>29.7577</v>
      </c>
      <c r="G443">
        <v>8.9213000000000005</v>
      </c>
      <c r="H443">
        <v>16.425999999999998</v>
      </c>
      <c r="I443">
        <v>12.1989</v>
      </c>
      <c r="J443">
        <v>6.7206000000000001</v>
      </c>
      <c r="K443">
        <v>5.6722999999999999</v>
      </c>
      <c r="L443">
        <v>4.0086000000000004</v>
      </c>
      <c r="M443">
        <v>6.8136999999999999</v>
      </c>
      <c r="N443">
        <v>4.7283999999999997</v>
      </c>
      <c r="O443">
        <v>4.3375000000000004</v>
      </c>
      <c r="P443">
        <v>4.3375000000000004</v>
      </c>
      <c r="Q443">
        <v>30.604099999999999</v>
      </c>
      <c r="R443">
        <v>53.893799999999999</v>
      </c>
      <c r="S443">
        <v>13.7201</v>
      </c>
      <c r="T443">
        <v>7.1753999999999998</v>
      </c>
      <c r="U443">
        <v>4.4474</v>
      </c>
      <c r="V443">
        <v>4.9663000000000004</v>
      </c>
      <c r="W443">
        <v>14.983599999999999</v>
      </c>
      <c r="X443">
        <v>129.97929999999999</v>
      </c>
      <c r="Y443">
        <v>92.763900000000007</v>
      </c>
      <c r="Z443">
        <v>116.6887</v>
      </c>
      <c r="AA443">
        <v>44.7502</v>
      </c>
      <c r="AB443">
        <v>19.154800000000002</v>
      </c>
      <c r="AC443">
        <v>26.2255</v>
      </c>
      <c r="AD443">
        <v>71.811199999999999</v>
      </c>
      <c r="AE443" t="s">
        <v>134</v>
      </c>
      <c r="AF443">
        <v>36.278199999999998</v>
      </c>
      <c r="AG443">
        <v>444.42500000000001</v>
      </c>
      <c r="AH443">
        <v>52.752899999999997</v>
      </c>
      <c r="AI443">
        <v>11.2188</v>
      </c>
      <c r="AJ443">
        <v>29.595700000000001</v>
      </c>
      <c r="AK443">
        <v>10.8893</v>
      </c>
      <c r="AL443">
        <v>-17.8626</v>
      </c>
      <c r="AM443">
        <v>-1.0506</v>
      </c>
      <c r="AN443">
        <v>22.933499999999999</v>
      </c>
      <c r="AO443">
        <v>36.555599999999998</v>
      </c>
      <c r="AP443">
        <v>62.032200000000003</v>
      </c>
      <c r="AQ443">
        <v>65.233699999999999</v>
      </c>
      <c r="AR443">
        <v>61.643999999999998</v>
      </c>
      <c r="AS443">
        <v>-1.5767</v>
      </c>
      <c r="AT443">
        <v>9.4299999999999995E-2</v>
      </c>
      <c r="AU443">
        <v>9.4611999999999998</v>
      </c>
      <c r="AV443">
        <v>6.9899000000000004</v>
      </c>
      <c r="AW443">
        <v>2.3650000000000002</v>
      </c>
      <c r="AX443" t="s">
        <v>134</v>
      </c>
      <c r="AY443">
        <v>-3.0548000000000002</v>
      </c>
      <c r="AZ443">
        <v>-12.247</v>
      </c>
      <c r="BA443">
        <v>3.4497</v>
      </c>
      <c r="BB443">
        <v>14.1463</v>
      </c>
      <c r="BC443">
        <v>7.7946</v>
      </c>
      <c r="BD443">
        <v>14.1816</v>
      </c>
      <c r="BE443">
        <v>79.132800000000003</v>
      </c>
      <c r="BF443">
        <v>7.1753999999999998</v>
      </c>
      <c r="BG443">
        <v>4.4474</v>
      </c>
      <c r="BH443">
        <v>4.9663000000000004</v>
      </c>
      <c r="BI443">
        <v>14.983599999999999</v>
      </c>
      <c r="BJ443">
        <v>129.97929999999999</v>
      </c>
      <c r="BK443">
        <v>92.763900000000007</v>
      </c>
      <c r="BL443">
        <v>116.6887</v>
      </c>
      <c r="BM443">
        <v>44.7502</v>
      </c>
      <c r="BN443">
        <v>19.154800000000002</v>
      </c>
      <c r="BO443">
        <v>26.2255</v>
      </c>
      <c r="BP443">
        <v>71.811199999999999</v>
      </c>
      <c r="BQ443">
        <v>-2188.2392</v>
      </c>
      <c r="BR443">
        <v>36.278199999999998</v>
      </c>
      <c r="BS443">
        <v>444.42500000000001</v>
      </c>
      <c r="BT443">
        <v>52.752899999999997</v>
      </c>
      <c r="BU443">
        <v>11.2188</v>
      </c>
      <c r="BV443">
        <v>29.595700000000001</v>
      </c>
      <c r="BW443">
        <v>10.8893</v>
      </c>
      <c r="BX443">
        <v>-17.8626</v>
      </c>
      <c r="BY443">
        <v>357254.40000000002</v>
      </c>
      <c r="BZ443">
        <v>124701.1</v>
      </c>
      <c r="CA443">
        <v>232553.3</v>
      </c>
      <c r="CB443">
        <v>2.6438999999999999</v>
      </c>
      <c r="CC443">
        <v>2.0853999999999999</v>
      </c>
      <c r="CD443">
        <v>3.1324999999999998</v>
      </c>
      <c r="CE443">
        <v>2.4708000000000001</v>
      </c>
      <c r="CF443">
        <v>20.3599</v>
      </c>
      <c r="CG443">
        <v>28.252600000000001</v>
      </c>
      <c r="CH443">
        <v>70.948099999999997</v>
      </c>
      <c r="CI443">
        <v>33.947699999999998</v>
      </c>
      <c r="CJ443">
        <v>21.318300000000001</v>
      </c>
      <c r="CK443">
        <v>108.9923</v>
      </c>
      <c r="CL443">
        <v>52.151400000000002</v>
      </c>
      <c r="CM443">
        <v>32.749699999999997</v>
      </c>
      <c r="CN443">
        <v>85.968000000000004</v>
      </c>
      <c r="CO443">
        <v>46.2273</v>
      </c>
      <c r="CP443">
        <v>135124.70000000001</v>
      </c>
      <c r="CQ443">
        <v>39532.699999999997</v>
      </c>
      <c r="CR443">
        <v>114048.3</v>
      </c>
      <c r="CS443">
        <v>0.15939999999999999</v>
      </c>
      <c r="CT443">
        <v>0.80049999999999999</v>
      </c>
      <c r="CU443">
        <v>0.26079999999999998</v>
      </c>
      <c r="CV443">
        <v>2.9462000000000002</v>
      </c>
      <c r="CW443">
        <v>57.277000000000001</v>
      </c>
      <c r="CX443">
        <v>6.3724999999999996</v>
      </c>
      <c r="CY443">
        <v>9.9004999999999992</v>
      </c>
      <c r="CZ443">
        <v>36.866900000000001</v>
      </c>
      <c r="DA443">
        <v>18.644400000000001</v>
      </c>
      <c r="DB443">
        <v>19.576999999999998</v>
      </c>
      <c r="DC443">
        <v>23.662500000000001</v>
      </c>
      <c r="DD443">
        <v>43.2395</v>
      </c>
      <c r="DE443">
        <v>211967.8</v>
      </c>
      <c r="DF443">
        <v>40442.6</v>
      </c>
      <c r="DG443">
        <v>7435.6</v>
      </c>
      <c r="DH443">
        <v>158572.9</v>
      </c>
      <c r="DI443">
        <v>5516.7</v>
      </c>
    </row>
    <row r="444" spans="4:113" x14ac:dyDescent="0.3">
      <c r="E444" t="s">
        <v>78</v>
      </c>
      <c r="F444" t="s">
        <v>134</v>
      </c>
      <c r="G444" t="s">
        <v>134</v>
      </c>
      <c r="H444" t="s">
        <v>134</v>
      </c>
      <c r="I444" t="s">
        <v>134</v>
      </c>
      <c r="J444" t="s">
        <v>134</v>
      </c>
      <c r="K444" t="s">
        <v>134</v>
      </c>
      <c r="L444" t="s">
        <v>134</v>
      </c>
      <c r="M444" t="s">
        <v>134</v>
      </c>
      <c r="N444" t="s">
        <v>134</v>
      </c>
      <c r="O444" t="s">
        <v>134</v>
      </c>
      <c r="P444" t="s">
        <v>134</v>
      </c>
      <c r="Q444" t="s">
        <v>134</v>
      </c>
      <c r="R444" t="s">
        <v>134</v>
      </c>
      <c r="S444" t="s">
        <v>134</v>
      </c>
      <c r="T444" t="s">
        <v>134</v>
      </c>
      <c r="U444" t="s">
        <v>134</v>
      </c>
      <c r="V444" t="s">
        <v>134</v>
      </c>
      <c r="W444" t="s">
        <v>134</v>
      </c>
      <c r="X444" t="s">
        <v>134</v>
      </c>
      <c r="Y444" t="s">
        <v>134</v>
      </c>
      <c r="Z444" t="s">
        <v>134</v>
      </c>
      <c r="AA444" t="s">
        <v>134</v>
      </c>
      <c r="AB444" t="s">
        <v>134</v>
      </c>
      <c r="AC444" t="s">
        <v>134</v>
      </c>
      <c r="AD444" t="s">
        <v>134</v>
      </c>
      <c r="AE444" t="s">
        <v>134</v>
      </c>
      <c r="AF444" t="s">
        <v>134</v>
      </c>
      <c r="AG444" t="s">
        <v>134</v>
      </c>
      <c r="AH444" t="s">
        <v>134</v>
      </c>
      <c r="AI444" t="s">
        <v>134</v>
      </c>
      <c r="AJ444" t="s">
        <v>134</v>
      </c>
      <c r="AK444" t="s">
        <v>134</v>
      </c>
      <c r="AL444" t="s">
        <v>134</v>
      </c>
      <c r="AM444" t="s">
        <v>134</v>
      </c>
      <c r="AN444" t="s">
        <v>134</v>
      </c>
      <c r="AO444" t="s">
        <v>134</v>
      </c>
      <c r="AP444" t="s">
        <v>134</v>
      </c>
      <c r="AQ444" t="s">
        <v>134</v>
      </c>
      <c r="AR444" t="s">
        <v>134</v>
      </c>
      <c r="AS444" t="s">
        <v>134</v>
      </c>
      <c r="AT444" t="s">
        <v>134</v>
      </c>
      <c r="AU444" t="s">
        <v>134</v>
      </c>
      <c r="AV444" t="s">
        <v>134</v>
      </c>
      <c r="AW444" t="s">
        <v>134</v>
      </c>
      <c r="AX444" t="s">
        <v>134</v>
      </c>
      <c r="AY444" t="s">
        <v>134</v>
      </c>
      <c r="AZ444" t="s">
        <v>134</v>
      </c>
      <c r="BA444" t="s">
        <v>134</v>
      </c>
      <c r="BB444" t="s">
        <v>134</v>
      </c>
      <c r="BC444" t="s">
        <v>134</v>
      </c>
      <c r="BD444" t="s">
        <v>134</v>
      </c>
      <c r="BE444" t="s">
        <v>134</v>
      </c>
      <c r="BF444" t="s">
        <v>134</v>
      </c>
      <c r="BG444" t="s">
        <v>134</v>
      </c>
      <c r="BH444" t="s">
        <v>134</v>
      </c>
      <c r="BI444" t="s">
        <v>134</v>
      </c>
      <c r="BJ444" t="s">
        <v>134</v>
      </c>
      <c r="BK444" t="s">
        <v>134</v>
      </c>
      <c r="BL444" t="s">
        <v>134</v>
      </c>
      <c r="BM444" t="s">
        <v>134</v>
      </c>
      <c r="BN444" t="s">
        <v>134</v>
      </c>
      <c r="BO444" t="s">
        <v>134</v>
      </c>
      <c r="BP444" t="s">
        <v>134</v>
      </c>
      <c r="BQ444" t="s">
        <v>134</v>
      </c>
      <c r="BR444" t="s">
        <v>134</v>
      </c>
      <c r="BS444" t="s">
        <v>134</v>
      </c>
      <c r="BT444" t="s">
        <v>134</v>
      </c>
      <c r="BU444" t="s">
        <v>134</v>
      </c>
      <c r="BV444" t="s">
        <v>134</v>
      </c>
      <c r="BW444" t="s">
        <v>134</v>
      </c>
      <c r="BX444" t="s">
        <v>134</v>
      </c>
      <c r="BY444" t="s">
        <v>134</v>
      </c>
      <c r="BZ444" t="s">
        <v>134</v>
      </c>
      <c r="CA444" t="s">
        <v>134</v>
      </c>
      <c r="CB444" t="s">
        <v>134</v>
      </c>
      <c r="CC444" t="s">
        <v>134</v>
      </c>
      <c r="CD444" t="s">
        <v>134</v>
      </c>
      <c r="CE444" t="s">
        <v>134</v>
      </c>
      <c r="CF444" t="s">
        <v>134</v>
      </c>
      <c r="CG444" t="s">
        <v>134</v>
      </c>
      <c r="CH444" t="s">
        <v>134</v>
      </c>
      <c r="CI444" t="s">
        <v>134</v>
      </c>
      <c r="CJ444" t="s">
        <v>134</v>
      </c>
      <c r="CK444" t="s">
        <v>134</v>
      </c>
      <c r="CL444" t="s">
        <v>134</v>
      </c>
      <c r="CM444" t="s">
        <v>134</v>
      </c>
      <c r="CN444" t="s">
        <v>134</v>
      </c>
      <c r="CO444" t="s">
        <v>134</v>
      </c>
      <c r="CP444" t="s">
        <v>134</v>
      </c>
      <c r="CQ444" t="s">
        <v>134</v>
      </c>
      <c r="CR444" t="s">
        <v>134</v>
      </c>
      <c r="CS444" t="s">
        <v>134</v>
      </c>
      <c r="CT444" t="s">
        <v>134</v>
      </c>
      <c r="CU444" t="s">
        <v>134</v>
      </c>
      <c r="CV444" t="s">
        <v>134</v>
      </c>
      <c r="CW444" t="s">
        <v>134</v>
      </c>
      <c r="CX444" t="s">
        <v>134</v>
      </c>
      <c r="CY444" t="s">
        <v>134</v>
      </c>
      <c r="CZ444" t="s">
        <v>134</v>
      </c>
      <c r="DA444" t="s">
        <v>134</v>
      </c>
      <c r="DB444" t="s">
        <v>134</v>
      </c>
      <c r="DC444" t="s">
        <v>134</v>
      </c>
      <c r="DD444" t="s">
        <v>134</v>
      </c>
      <c r="DE444" t="s">
        <v>134</v>
      </c>
      <c r="DF444" t="s">
        <v>134</v>
      </c>
      <c r="DG444" t="s">
        <v>134</v>
      </c>
      <c r="DH444" t="s">
        <v>134</v>
      </c>
      <c r="DI444" t="s">
        <v>134</v>
      </c>
    </row>
    <row r="445" spans="4:113" x14ac:dyDescent="0.3">
      <c r="E445" t="s">
        <v>79</v>
      </c>
      <c r="F445" t="s">
        <v>134</v>
      </c>
      <c r="G445" t="s">
        <v>134</v>
      </c>
      <c r="H445" t="s">
        <v>134</v>
      </c>
      <c r="I445" t="s">
        <v>134</v>
      </c>
      <c r="J445" t="s">
        <v>134</v>
      </c>
      <c r="K445" t="s">
        <v>134</v>
      </c>
      <c r="L445" t="s">
        <v>134</v>
      </c>
      <c r="M445" t="s">
        <v>134</v>
      </c>
      <c r="N445" t="s">
        <v>134</v>
      </c>
      <c r="O445" t="s">
        <v>134</v>
      </c>
      <c r="P445" t="s">
        <v>134</v>
      </c>
      <c r="Q445" t="s">
        <v>134</v>
      </c>
      <c r="R445" t="s">
        <v>134</v>
      </c>
      <c r="S445" t="s">
        <v>134</v>
      </c>
      <c r="T445" t="s">
        <v>134</v>
      </c>
      <c r="U445" t="s">
        <v>134</v>
      </c>
      <c r="V445" t="s">
        <v>134</v>
      </c>
      <c r="W445" t="s">
        <v>134</v>
      </c>
      <c r="X445" t="s">
        <v>134</v>
      </c>
      <c r="Y445" t="s">
        <v>134</v>
      </c>
      <c r="Z445" t="s">
        <v>134</v>
      </c>
      <c r="AA445" t="s">
        <v>134</v>
      </c>
      <c r="AB445" t="s">
        <v>134</v>
      </c>
      <c r="AC445" t="s">
        <v>134</v>
      </c>
      <c r="AD445" t="s">
        <v>134</v>
      </c>
      <c r="AE445" t="s">
        <v>134</v>
      </c>
      <c r="AF445" t="s">
        <v>134</v>
      </c>
      <c r="AG445" t="s">
        <v>134</v>
      </c>
      <c r="AH445" t="s">
        <v>134</v>
      </c>
      <c r="AI445" t="s">
        <v>134</v>
      </c>
      <c r="AJ445" t="s">
        <v>134</v>
      </c>
      <c r="AK445" t="s">
        <v>134</v>
      </c>
      <c r="AL445" t="s">
        <v>134</v>
      </c>
      <c r="AM445" t="s">
        <v>134</v>
      </c>
      <c r="AN445" t="s">
        <v>134</v>
      </c>
      <c r="AO445" t="s">
        <v>134</v>
      </c>
      <c r="AP445" t="s">
        <v>134</v>
      </c>
      <c r="AQ445" t="s">
        <v>134</v>
      </c>
      <c r="AR445" t="s">
        <v>134</v>
      </c>
      <c r="AS445" t="s">
        <v>134</v>
      </c>
      <c r="AT445" t="s">
        <v>134</v>
      </c>
      <c r="AU445" t="s">
        <v>134</v>
      </c>
      <c r="AV445" t="s">
        <v>134</v>
      </c>
      <c r="AW445" t="s">
        <v>134</v>
      </c>
      <c r="AX445" t="s">
        <v>134</v>
      </c>
      <c r="AY445" t="s">
        <v>134</v>
      </c>
      <c r="AZ445" t="s">
        <v>134</v>
      </c>
      <c r="BA445" t="s">
        <v>134</v>
      </c>
      <c r="BB445" t="s">
        <v>134</v>
      </c>
      <c r="BC445" t="s">
        <v>134</v>
      </c>
      <c r="BD445" t="s">
        <v>134</v>
      </c>
      <c r="BE445" t="s">
        <v>134</v>
      </c>
      <c r="BF445" t="s">
        <v>134</v>
      </c>
      <c r="BG445" t="s">
        <v>134</v>
      </c>
      <c r="BH445" t="s">
        <v>134</v>
      </c>
      <c r="BI445" t="s">
        <v>134</v>
      </c>
      <c r="BJ445" t="s">
        <v>134</v>
      </c>
      <c r="BK445" t="s">
        <v>134</v>
      </c>
      <c r="BL445" t="s">
        <v>134</v>
      </c>
      <c r="BM445" t="s">
        <v>134</v>
      </c>
      <c r="BN445" t="s">
        <v>134</v>
      </c>
      <c r="BO445" t="s">
        <v>134</v>
      </c>
      <c r="BP445" t="s">
        <v>134</v>
      </c>
      <c r="BQ445" t="s">
        <v>134</v>
      </c>
      <c r="BR445" t="s">
        <v>134</v>
      </c>
      <c r="BS445" t="s">
        <v>134</v>
      </c>
      <c r="BT445" t="s">
        <v>134</v>
      </c>
      <c r="BU445" t="s">
        <v>134</v>
      </c>
      <c r="BV445" t="s">
        <v>134</v>
      </c>
      <c r="BW445" t="s">
        <v>134</v>
      </c>
      <c r="BX445" t="s">
        <v>134</v>
      </c>
      <c r="BY445" t="s">
        <v>134</v>
      </c>
      <c r="BZ445" t="s">
        <v>134</v>
      </c>
      <c r="CA445" t="s">
        <v>134</v>
      </c>
      <c r="CB445" t="s">
        <v>134</v>
      </c>
      <c r="CC445" t="s">
        <v>134</v>
      </c>
      <c r="CD445" t="s">
        <v>134</v>
      </c>
      <c r="CE445" t="s">
        <v>134</v>
      </c>
      <c r="CF445" t="s">
        <v>134</v>
      </c>
      <c r="CG445" t="s">
        <v>134</v>
      </c>
      <c r="CH445" t="s">
        <v>134</v>
      </c>
      <c r="CI445" t="s">
        <v>134</v>
      </c>
      <c r="CJ445" t="s">
        <v>134</v>
      </c>
      <c r="CK445" t="s">
        <v>134</v>
      </c>
      <c r="CL445" t="s">
        <v>134</v>
      </c>
      <c r="CM445" t="s">
        <v>134</v>
      </c>
      <c r="CN445" t="s">
        <v>134</v>
      </c>
      <c r="CO445" t="s">
        <v>134</v>
      </c>
      <c r="CP445" t="s">
        <v>134</v>
      </c>
      <c r="CQ445" t="s">
        <v>134</v>
      </c>
      <c r="CR445" t="s">
        <v>134</v>
      </c>
      <c r="CS445" t="s">
        <v>134</v>
      </c>
      <c r="CT445" t="s">
        <v>134</v>
      </c>
      <c r="CU445" t="s">
        <v>134</v>
      </c>
      <c r="CV445" t="s">
        <v>134</v>
      </c>
      <c r="CW445" t="s">
        <v>134</v>
      </c>
      <c r="CX445" t="s">
        <v>134</v>
      </c>
      <c r="CY445" t="s">
        <v>134</v>
      </c>
      <c r="CZ445" t="s">
        <v>134</v>
      </c>
      <c r="DA445" t="s">
        <v>134</v>
      </c>
      <c r="DB445" t="s">
        <v>134</v>
      </c>
      <c r="DC445" t="s">
        <v>134</v>
      </c>
      <c r="DD445" t="s">
        <v>134</v>
      </c>
      <c r="DE445" t="s">
        <v>134</v>
      </c>
      <c r="DF445" t="s">
        <v>134</v>
      </c>
      <c r="DG445" t="s">
        <v>134</v>
      </c>
      <c r="DH445" t="s">
        <v>134</v>
      </c>
      <c r="DI445" t="s">
        <v>134</v>
      </c>
    </row>
    <row r="446" spans="4:113" x14ac:dyDescent="0.3">
      <c r="E446" t="s">
        <v>80</v>
      </c>
      <c r="F446" t="s">
        <v>134</v>
      </c>
      <c r="G446" t="s">
        <v>134</v>
      </c>
      <c r="H446" t="s">
        <v>134</v>
      </c>
      <c r="I446" t="s">
        <v>134</v>
      </c>
      <c r="J446" t="s">
        <v>134</v>
      </c>
      <c r="K446" t="s">
        <v>134</v>
      </c>
      <c r="L446" t="s">
        <v>134</v>
      </c>
      <c r="M446" t="s">
        <v>134</v>
      </c>
      <c r="N446" t="s">
        <v>134</v>
      </c>
      <c r="O446" t="s">
        <v>134</v>
      </c>
      <c r="P446" t="s">
        <v>134</v>
      </c>
      <c r="Q446" t="s">
        <v>134</v>
      </c>
      <c r="R446" t="s">
        <v>134</v>
      </c>
      <c r="S446" t="s">
        <v>134</v>
      </c>
      <c r="T446" t="s">
        <v>134</v>
      </c>
      <c r="U446" t="s">
        <v>134</v>
      </c>
      <c r="V446" t="s">
        <v>134</v>
      </c>
      <c r="W446" t="s">
        <v>134</v>
      </c>
      <c r="X446" t="s">
        <v>134</v>
      </c>
      <c r="Y446" t="s">
        <v>134</v>
      </c>
      <c r="Z446" t="s">
        <v>134</v>
      </c>
      <c r="AA446" t="s">
        <v>134</v>
      </c>
      <c r="AB446" t="s">
        <v>134</v>
      </c>
      <c r="AC446" t="s">
        <v>134</v>
      </c>
      <c r="AD446" t="s">
        <v>134</v>
      </c>
      <c r="AE446" t="s">
        <v>134</v>
      </c>
      <c r="AF446" t="s">
        <v>134</v>
      </c>
      <c r="AG446" t="s">
        <v>134</v>
      </c>
      <c r="AH446" t="s">
        <v>134</v>
      </c>
      <c r="AI446" t="s">
        <v>134</v>
      </c>
      <c r="AJ446" t="s">
        <v>134</v>
      </c>
      <c r="AK446" t="s">
        <v>134</v>
      </c>
      <c r="AL446" t="s">
        <v>134</v>
      </c>
      <c r="AM446" t="s">
        <v>134</v>
      </c>
      <c r="AN446" t="s">
        <v>134</v>
      </c>
      <c r="AO446" t="s">
        <v>134</v>
      </c>
      <c r="AP446" t="s">
        <v>134</v>
      </c>
      <c r="AQ446" t="s">
        <v>134</v>
      </c>
      <c r="AR446" t="s">
        <v>134</v>
      </c>
      <c r="AS446" t="s">
        <v>134</v>
      </c>
      <c r="AT446" t="s">
        <v>134</v>
      </c>
      <c r="AU446" t="s">
        <v>134</v>
      </c>
      <c r="AV446" t="s">
        <v>134</v>
      </c>
      <c r="AW446" t="s">
        <v>134</v>
      </c>
      <c r="AX446" t="s">
        <v>134</v>
      </c>
      <c r="AY446" t="s">
        <v>134</v>
      </c>
      <c r="AZ446" t="s">
        <v>134</v>
      </c>
      <c r="BA446" t="s">
        <v>134</v>
      </c>
      <c r="BB446" t="s">
        <v>134</v>
      </c>
      <c r="BC446" t="s">
        <v>134</v>
      </c>
      <c r="BD446" t="s">
        <v>134</v>
      </c>
      <c r="BE446" t="s">
        <v>134</v>
      </c>
      <c r="BF446" t="s">
        <v>134</v>
      </c>
      <c r="BG446" t="s">
        <v>134</v>
      </c>
      <c r="BH446" t="s">
        <v>134</v>
      </c>
      <c r="BI446" t="s">
        <v>134</v>
      </c>
      <c r="BJ446" t="s">
        <v>134</v>
      </c>
      <c r="BK446" t="s">
        <v>134</v>
      </c>
      <c r="BL446" t="s">
        <v>134</v>
      </c>
      <c r="BM446" t="s">
        <v>134</v>
      </c>
      <c r="BN446" t="s">
        <v>134</v>
      </c>
      <c r="BO446" t="s">
        <v>134</v>
      </c>
      <c r="BP446" t="s">
        <v>134</v>
      </c>
      <c r="BQ446" t="s">
        <v>134</v>
      </c>
      <c r="BR446" t="s">
        <v>134</v>
      </c>
      <c r="BS446" t="s">
        <v>134</v>
      </c>
      <c r="BT446" t="s">
        <v>134</v>
      </c>
      <c r="BU446" t="s">
        <v>134</v>
      </c>
      <c r="BV446" t="s">
        <v>134</v>
      </c>
      <c r="BW446" t="s">
        <v>134</v>
      </c>
      <c r="BX446" t="s">
        <v>134</v>
      </c>
      <c r="BY446" t="s">
        <v>134</v>
      </c>
      <c r="BZ446" t="s">
        <v>134</v>
      </c>
      <c r="CA446" t="s">
        <v>134</v>
      </c>
      <c r="CB446" t="s">
        <v>134</v>
      </c>
      <c r="CC446" t="s">
        <v>134</v>
      </c>
      <c r="CD446" t="s">
        <v>134</v>
      </c>
      <c r="CE446" t="s">
        <v>134</v>
      </c>
      <c r="CF446" t="s">
        <v>134</v>
      </c>
      <c r="CG446" t="s">
        <v>134</v>
      </c>
      <c r="CH446" t="s">
        <v>134</v>
      </c>
      <c r="CI446" t="s">
        <v>134</v>
      </c>
      <c r="CJ446" t="s">
        <v>134</v>
      </c>
      <c r="CK446" t="s">
        <v>134</v>
      </c>
      <c r="CL446" t="s">
        <v>134</v>
      </c>
      <c r="CM446" t="s">
        <v>134</v>
      </c>
      <c r="CN446" t="s">
        <v>134</v>
      </c>
      <c r="CO446" t="s">
        <v>134</v>
      </c>
      <c r="CP446" t="s">
        <v>134</v>
      </c>
      <c r="CQ446" t="s">
        <v>134</v>
      </c>
      <c r="CR446" t="s">
        <v>134</v>
      </c>
      <c r="CS446" t="s">
        <v>134</v>
      </c>
      <c r="CT446" t="s">
        <v>134</v>
      </c>
      <c r="CU446" t="s">
        <v>134</v>
      </c>
      <c r="CV446" t="s">
        <v>134</v>
      </c>
      <c r="CW446" t="s">
        <v>134</v>
      </c>
      <c r="CX446" t="s">
        <v>134</v>
      </c>
      <c r="CY446" t="s">
        <v>134</v>
      </c>
      <c r="CZ446" t="s">
        <v>134</v>
      </c>
      <c r="DA446" t="s">
        <v>134</v>
      </c>
      <c r="DB446" t="s">
        <v>134</v>
      </c>
      <c r="DC446" t="s">
        <v>134</v>
      </c>
      <c r="DD446" t="s">
        <v>134</v>
      </c>
      <c r="DE446" t="s">
        <v>134</v>
      </c>
      <c r="DF446" t="s">
        <v>134</v>
      </c>
      <c r="DG446" t="s">
        <v>134</v>
      </c>
      <c r="DH446" t="s">
        <v>134</v>
      </c>
      <c r="DI446" t="s">
        <v>134</v>
      </c>
    </row>
    <row r="447" spans="4:113" x14ac:dyDescent="0.3">
      <c r="E447" t="s">
        <v>81</v>
      </c>
      <c r="F447" t="s">
        <v>134</v>
      </c>
      <c r="G447" t="s">
        <v>134</v>
      </c>
      <c r="H447" t="s">
        <v>134</v>
      </c>
      <c r="I447" t="s">
        <v>134</v>
      </c>
      <c r="J447" t="s">
        <v>134</v>
      </c>
      <c r="K447" t="s">
        <v>134</v>
      </c>
      <c r="L447" t="s">
        <v>134</v>
      </c>
      <c r="M447" t="s">
        <v>134</v>
      </c>
      <c r="N447" t="s">
        <v>134</v>
      </c>
      <c r="O447" t="s">
        <v>134</v>
      </c>
      <c r="P447" t="s">
        <v>134</v>
      </c>
      <c r="Q447" t="s">
        <v>134</v>
      </c>
      <c r="R447" t="s">
        <v>134</v>
      </c>
      <c r="S447" t="s">
        <v>134</v>
      </c>
      <c r="T447" t="s">
        <v>134</v>
      </c>
      <c r="U447" t="s">
        <v>134</v>
      </c>
      <c r="V447" t="s">
        <v>134</v>
      </c>
      <c r="W447" t="s">
        <v>134</v>
      </c>
      <c r="X447" t="s">
        <v>134</v>
      </c>
      <c r="Y447" t="s">
        <v>134</v>
      </c>
      <c r="Z447" t="s">
        <v>134</v>
      </c>
      <c r="AA447" t="s">
        <v>134</v>
      </c>
      <c r="AB447" t="s">
        <v>134</v>
      </c>
      <c r="AC447" t="s">
        <v>134</v>
      </c>
      <c r="AD447" t="s">
        <v>134</v>
      </c>
      <c r="AE447" t="s">
        <v>134</v>
      </c>
      <c r="AF447" t="s">
        <v>134</v>
      </c>
      <c r="AG447" t="s">
        <v>134</v>
      </c>
      <c r="AH447" t="s">
        <v>134</v>
      </c>
      <c r="AI447" t="s">
        <v>134</v>
      </c>
      <c r="AJ447" t="s">
        <v>134</v>
      </c>
      <c r="AK447" t="s">
        <v>134</v>
      </c>
      <c r="AL447" t="s">
        <v>134</v>
      </c>
      <c r="AM447" t="s">
        <v>134</v>
      </c>
      <c r="AN447" t="s">
        <v>134</v>
      </c>
      <c r="AO447" t="s">
        <v>134</v>
      </c>
      <c r="AP447" t="s">
        <v>134</v>
      </c>
      <c r="AQ447" t="s">
        <v>134</v>
      </c>
      <c r="AR447" t="s">
        <v>134</v>
      </c>
      <c r="AS447" t="s">
        <v>134</v>
      </c>
      <c r="AT447" t="s">
        <v>134</v>
      </c>
      <c r="AU447" t="s">
        <v>134</v>
      </c>
      <c r="AV447" t="s">
        <v>134</v>
      </c>
      <c r="AW447" t="s">
        <v>134</v>
      </c>
      <c r="AX447" t="s">
        <v>134</v>
      </c>
      <c r="AY447" t="s">
        <v>134</v>
      </c>
      <c r="AZ447" t="s">
        <v>134</v>
      </c>
      <c r="BA447" t="s">
        <v>134</v>
      </c>
      <c r="BB447" t="s">
        <v>134</v>
      </c>
      <c r="BC447" t="s">
        <v>134</v>
      </c>
      <c r="BD447" t="s">
        <v>134</v>
      </c>
      <c r="BE447" t="s">
        <v>134</v>
      </c>
      <c r="BF447" t="s">
        <v>134</v>
      </c>
      <c r="BG447" t="s">
        <v>134</v>
      </c>
      <c r="BH447" t="s">
        <v>134</v>
      </c>
      <c r="BI447" t="s">
        <v>134</v>
      </c>
      <c r="BJ447" t="s">
        <v>134</v>
      </c>
      <c r="BK447" t="s">
        <v>134</v>
      </c>
      <c r="BL447" t="s">
        <v>134</v>
      </c>
      <c r="BM447" t="s">
        <v>134</v>
      </c>
      <c r="BN447" t="s">
        <v>134</v>
      </c>
      <c r="BO447" t="s">
        <v>134</v>
      </c>
      <c r="BP447" t="s">
        <v>134</v>
      </c>
      <c r="BQ447" t="s">
        <v>134</v>
      </c>
      <c r="BR447" t="s">
        <v>134</v>
      </c>
      <c r="BS447" t="s">
        <v>134</v>
      </c>
      <c r="BT447" t="s">
        <v>134</v>
      </c>
      <c r="BU447" t="s">
        <v>134</v>
      </c>
      <c r="BV447" t="s">
        <v>134</v>
      </c>
      <c r="BW447" t="s">
        <v>134</v>
      </c>
      <c r="BX447" t="s">
        <v>134</v>
      </c>
      <c r="BY447" t="s">
        <v>134</v>
      </c>
      <c r="BZ447" t="s">
        <v>134</v>
      </c>
      <c r="CA447" t="s">
        <v>134</v>
      </c>
      <c r="CB447" t="s">
        <v>134</v>
      </c>
      <c r="CC447" t="s">
        <v>134</v>
      </c>
      <c r="CD447" t="s">
        <v>134</v>
      </c>
      <c r="CE447" t="s">
        <v>134</v>
      </c>
      <c r="CF447" t="s">
        <v>134</v>
      </c>
      <c r="CG447" t="s">
        <v>134</v>
      </c>
      <c r="CH447" t="s">
        <v>134</v>
      </c>
      <c r="CI447" t="s">
        <v>134</v>
      </c>
      <c r="CJ447" t="s">
        <v>134</v>
      </c>
      <c r="CK447" t="s">
        <v>134</v>
      </c>
      <c r="CL447" t="s">
        <v>134</v>
      </c>
      <c r="CM447" t="s">
        <v>134</v>
      </c>
      <c r="CN447" t="s">
        <v>134</v>
      </c>
      <c r="CO447" t="s">
        <v>134</v>
      </c>
      <c r="CP447" t="s">
        <v>134</v>
      </c>
      <c r="CQ447" t="s">
        <v>134</v>
      </c>
      <c r="CR447" t="s">
        <v>134</v>
      </c>
      <c r="CS447" t="s">
        <v>134</v>
      </c>
      <c r="CT447" t="s">
        <v>134</v>
      </c>
      <c r="CU447" t="s">
        <v>134</v>
      </c>
      <c r="CV447" t="s">
        <v>134</v>
      </c>
      <c r="CW447" t="s">
        <v>134</v>
      </c>
      <c r="CX447" t="s">
        <v>134</v>
      </c>
      <c r="CY447" t="s">
        <v>134</v>
      </c>
      <c r="CZ447" t="s">
        <v>134</v>
      </c>
      <c r="DA447" t="s">
        <v>134</v>
      </c>
      <c r="DB447" t="s">
        <v>134</v>
      </c>
      <c r="DC447" t="s">
        <v>134</v>
      </c>
      <c r="DD447" t="s">
        <v>134</v>
      </c>
      <c r="DE447" t="s">
        <v>134</v>
      </c>
      <c r="DF447" t="s">
        <v>134</v>
      </c>
      <c r="DG447" t="s">
        <v>134</v>
      </c>
      <c r="DH447" t="s">
        <v>134</v>
      </c>
      <c r="DI447" t="s">
        <v>134</v>
      </c>
    </row>
    <row r="448" spans="4:113" x14ac:dyDescent="0.3">
      <c r="D448" t="s">
        <v>85</v>
      </c>
      <c r="E448" t="s">
        <v>77</v>
      </c>
      <c r="F448">
        <v>26.716699999999999</v>
      </c>
      <c r="G448">
        <v>7.8504000000000005</v>
      </c>
      <c r="H448">
        <v>14.577199999999999</v>
      </c>
      <c r="I448">
        <v>10.955400000000001</v>
      </c>
      <c r="J448">
        <v>6.4558</v>
      </c>
      <c r="K448">
        <v>5.2282999999999999</v>
      </c>
      <c r="L448">
        <v>2.5992999999999999</v>
      </c>
      <c r="M448">
        <v>6.0307000000000004</v>
      </c>
      <c r="N448">
        <v>4.1662999999999997</v>
      </c>
      <c r="O448">
        <v>3.8331</v>
      </c>
      <c r="P448">
        <v>3.8331</v>
      </c>
      <c r="Q448">
        <v>30.914100000000001</v>
      </c>
      <c r="R448">
        <v>50.567399999999999</v>
      </c>
      <c r="S448">
        <v>13.2067</v>
      </c>
      <c r="T448">
        <v>16.892299999999999</v>
      </c>
      <c r="U448">
        <v>12.2864</v>
      </c>
      <c r="V448">
        <v>7.7408000000000001</v>
      </c>
      <c r="W448">
        <v>3.2988</v>
      </c>
      <c r="X448">
        <v>3.2927</v>
      </c>
      <c r="Y448">
        <v>-3.0769000000000002</v>
      </c>
      <c r="Z448">
        <v>8.3484999999999996</v>
      </c>
      <c r="AA448">
        <v>6.2874999999999996</v>
      </c>
      <c r="AB448">
        <v>10.058</v>
      </c>
      <c r="AC448">
        <v>10.3902</v>
      </c>
      <c r="AD448">
        <v>-0.7913</v>
      </c>
      <c r="AE448">
        <v>45.659399999999998</v>
      </c>
      <c r="AF448">
        <v>16.2483</v>
      </c>
      <c r="AG448">
        <v>-29.791499999999999</v>
      </c>
      <c r="AH448">
        <v>5.4132999999999996</v>
      </c>
      <c r="AI448">
        <v>17.529199999999999</v>
      </c>
      <c r="AJ448">
        <v>11.210599999999999</v>
      </c>
      <c r="AK448">
        <v>18.815300000000001</v>
      </c>
      <c r="AL448">
        <v>21.285</v>
      </c>
      <c r="AM448">
        <v>-0.58679999999999999</v>
      </c>
      <c r="AN448">
        <v>17.857600000000001</v>
      </c>
      <c r="AO448">
        <v>23.892900000000001</v>
      </c>
      <c r="AP448">
        <v>36.792400000000001</v>
      </c>
      <c r="AQ448">
        <v>39.498399999999997</v>
      </c>
      <c r="AR448">
        <v>40.762599999999999</v>
      </c>
      <c r="AS448">
        <v>3.6291000000000002</v>
      </c>
      <c r="AT448">
        <v>2.4548999999999999</v>
      </c>
      <c r="AU448">
        <v>9.6234000000000002</v>
      </c>
      <c r="AV448">
        <v>8.6456</v>
      </c>
      <c r="AW448">
        <v>-1.1679999999999999</v>
      </c>
      <c r="AX448" t="s">
        <v>134</v>
      </c>
      <c r="AY448">
        <v>8.1773000000000007</v>
      </c>
      <c r="AZ448">
        <v>-15.609500000000001</v>
      </c>
      <c r="BA448">
        <v>2.5792999999999999</v>
      </c>
      <c r="BB448">
        <v>16.629300000000001</v>
      </c>
      <c r="BC448">
        <v>8.3533000000000008</v>
      </c>
      <c r="BD448">
        <v>16.897400000000001</v>
      </c>
      <c r="BE448">
        <v>21.703800000000001</v>
      </c>
      <c r="BF448">
        <v>16.892299999999999</v>
      </c>
      <c r="BG448">
        <v>12.2864</v>
      </c>
      <c r="BH448">
        <v>7.7408000000000001</v>
      </c>
      <c r="BI448">
        <v>3.2988</v>
      </c>
      <c r="BJ448">
        <v>3.2927</v>
      </c>
      <c r="BK448">
        <v>-3.0769000000000002</v>
      </c>
      <c r="BL448">
        <v>8.3484999999999996</v>
      </c>
      <c r="BM448">
        <v>6.2874999999999996</v>
      </c>
      <c r="BN448">
        <v>10.058</v>
      </c>
      <c r="BO448">
        <v>10.3902</v>
      </c>
      <c r="BP448">
        <v>-0.7913</v>
      </c>
      <c r="BQ448" t="s">
        <v>134</v>
      </c>
      <c r="BR448">
        <v>16.2483</v>
      </c>
      <c r="BS448">
        <v>-29.791499999999999</v>
      </c>
      <c r="BT448">
        <v>5.4132999999999996</v>
      </c>
      <c r="BU448">
        <v>17.529199999999999</v>
      </c>
      <c r="BV448">
        <v>11.210599999999999</v>
      </c>
      <c r="BW448">
        <v>18.815300000000001</v>
      </c>
      <c r="BX448">
        <v>21.285</v>
      </c>
      <c r="BY448">
        <v>376593.6</v>
      </c>
      <c r="BZ448">
        <v>87550.8</v>
      </c>
      <c r="CA448">
        <v>289042.8</v>
      </c>
      <c r="CB448">
        <v>2.4821</v>
      </c>
      <c r="CC448">
        <v>2.0345</v>
      </c>
      <c r="CD448">
        <v>3.0648</v>
      </c>
      <c r="CE448">
        <v>2.5122</v>
      </c>
      <c r="CF448">
        <v>13.9079</v>
      </c>
      <c r="CG448">
        <v>30.408899999999999</v>
      </c>
      <c r="CH448">
        <v>75.029899999999998</v>
      </c>
      <c r="CI448">
        <v>37.940600000000003</v>
      </c>
      <c r="CJ448">
        <v>24.002800000000001</v>
      </c>
      <c r="CK448">
        <v>97.756399999999999</v>
      </c>
      <c r="CL448">
        <v>49.432699999999997</v>
      </c>
      <c r="CM448">
        <v>31.273199999999999</v>
      </c>
      <c r="CN448">
        <v>80.130399999999995</v>
      </c>
      <c r="CO448">
        <v>44.484699999999997</v>
      </c>
      <c r="CP448">
        <v>151726.6</v>
      </c>
      <c r="CQ448">
        <v>73371.3</v>
      </c>
      <c r="CR448">
        <v>122876.6</v>
      </c>
      <c r="CS448">
        <v>0.14860000000000001</v>
      </c>
      <c r="CT448">
        <v>0.88839999999999997</v>
      </c>
      <c r="CU448">
        <v>0.26250000000000001</v>
      </c>
      <c r="CV448">
        <v>3.0705999999999998</v>
      </c>
      <c r="CW448">
        <v>46.964700000000001</v>
      </c>
      <c r="CX448">
        <v>7.7717999999999998</v>
      </c>
      <c r="CY448">
        <v>9.2432999999999996</v>
      </c>
      <c r="CZ448">
        <v>39.488199999999999</v>
      </c>
      <c r="DA448">
        <v>16.528500000000001</v>
      </c>
      <c r="DB448">
        <v>22.083100000000002</v>
      </c>
      <c r="DC448">
        <v>25.1769</v>
      </c>
      <c r="DD448">
        <v>47.26</v>
      </c>
      <c r="DE448">
        <v>225295.2</v>
      </c>
      <c r="DF448">
        <v>30987.3</v>
      </c>
      <c r="DG448">
        <v>10128.1</v>
      </c>
      <c r="DH448">
        <v>177719.7</v>
      </c>
      <c r="DI448">
        <v>6460.1</v>
      </c>
    </row>
    <row r="449" spans="1:113" x14ac:dyDescent="0.3">
      <c r="E449" t="s">
        <v>78</v>
      </c>
      <c r="F449" t="s">
        <v>134</v>
      </c>
      <c r="G449" t="s">
        <v>134</v>
      </c>
      <c r="H449" t="s">
        <v>134</v>
      </c>
      <c r="I449" t="s">
        <v>134</v>
      </c>
      <c r="J449" t="s">
        <v>134</v>
      </c>
      <c r="K449" t="s">
        <v>134</v>
      </c>
      <c r="L449" t="s">
        <v>134</v>
      </c>
      <c r="M449" t="s">
        <v>134</v>
      </c>
      <c r="N449" t="s">
        <v>134</v>
      </c>
      <c r="O449" t="s">
        <v>134</v>
      </c>
      <c r="P449" t="s">
        <v>134</v>
      </c>
      <c r="Q449" t="s">
        <v>134</v>
      </c>
      <c r="R449" t="s">
        <v>134</v>
      </c>
      <c r="S449" t="s">
        <v>134</v>
      </c>
      <c r="T449" t="s">
        <v>134</v>
      </c>
      <c r="U449" t="s">
        <v>134</v>
      </c>
      <c r="V449" t="s">
        <v>134</v>
      </c>
      <c r="W449" t="s">
        <v>134</v>
      </c>
      <c r="X449" t="s">
        <v>134</v>
      </c>
      <c r="Y449" t="s">
        <v>134</v>
      </c>
      <c r="Z449" t="s">
        <v>134</v>
      </c>
      <c r="AA449" t="s">
        <v>134</v>
      </c>
      <c r="AB449" t="s">
        <v>134</v>
      </c>
      <c r="AC449" t="s">
        <v>134</v>
      </c>
      <c r="AD449" t="s">
        <v>134</v>
      </c>
      <c r="AE449" t="s">
        <v>134</v>
      </c>
      <c r="AF449" t="s">
        <v>134</v>
      </c>
      <c r="AG449" t="s">
        <v>134</v>
      </c>
      <c r="AH449" t="s">
        <v>134</v>
      </c>
      <c r="AI449" t="s">
        <v>134</v>
      </c>
      <c r="AJ449" t="s">
        <v>134</v>
      </c>
      <c r="AK449" t="s">
        <v>134</v>
      </c>
      <c r="AL449" t="s">
        <v>134</v>
      </c>
      <c r="AM449" t="s">
        <v>134</v>
      </c>
      <c r="AN449" t="s">
        <v>134</v>
      </c>
      <c r="AO449" t="s">
        <v>134</v>
      </c>
      <c r="AP449" t="s">
        <v>134</v>
      </c>
      <c r="AQ449" t="s">
        <v>134</v>
      </c>
      <c r="AR449" t="s">
        <v>134</v>
      </c>
      <c r="AS449" t="s">
        <v>134</v>
      </c>
      <c r="AT449" t="s">
        <v>134</v>
      </c>
      <c r="AU449" t="s">
        <v>134</v>
      </c>
      <c r="AV449" t="s">
        <v>134</v>
      </c>
      <c r="AW449" t="s">
        <v>134</v>
      </c>
      <c r="AX449" t="s">
        <v>134</v>
      </c>
      <c r="AY449" t="s">
        <v>134</v>
      </c>
      <c r="AZ449" t="s">
        <v>134</v>
      </c>
      <c r="BA449" t="s">
        <v>134</v>
      </c>
      <c r="BB449" t="s">
        <v>134</v>
      </c>
      <c r="BC449" t="s">
        <v>134</v>
      </c>
      <c r="BD449" t="s">
        <v>134</v>
      </c>
      <c r="BE449" t="s">
        <v>134</v>
      </c>
      <c r="BF449" t="s">
        <v>134</v>
      </c>
      <c r="BG449" t="s">
        <v>134</v>
      </c>
      <c r="BH449" t="s">
        <v>134</v>
      </c>
      <c r="BI449" t="s">
        <v>134</v>
      </c>
      <c r="BJ449" t="s">
        <v>134</v>
      </c>
      <c r="BK449" t="s">
        <v>134</v>
      </c>
      <c r="BL449" t="s">
        <v>134</v>
      </c>
      <c r="BM449" t="s">
        <v>134</v>
      </c>
      <c r="BN449" t="s">
        <v>134</v>
      </c>
      <c r="BO449" t="s">
        <v>134</v>
      </c>
      <c r="BP449" t="s">
        <v>134</v>
      </c>
      <c r="BQ449" t="s">
        <v>134</v>
      </c>
      <c r="BR449" t="s">
        <v>134</v>
      </c>
      <c r="BS449" t="s">
        <v>134</v>
      </c>
      <c r="BT449" t="s">
        <v>134</v>
      </c>
      <c r="BU449" t="s">
        <v>134</v>
      </c>
      <c r="BV449" t="s">
        <v>134</v>
      </c>
      <c r="BW449" t="s">
        <v>134</v>
      </c>
      <c r="BX449" t="s">
        <v>134</v>
      </c>
      <c r="BY449" t="s">
        <v>134</v>
      </c>
      <c r="BZ449" t="s">
        <v>134</v>
      </c>
      <c r="CA449" t="s">
        <v>134</v>
      </c>
      <c r="CB449" t="s">
        <v>134</v>
      </c>
      <c r="CC449" t="s">
        <v>134</v>
      </c>
      <c r="CD449" t="s">
        <v>134</v>
      </c>
      <c r="CE449" t="s">
        <v>134</v>
      </c>
      <c r="CF449" t="s">
        <v>134</v>
      </c>
      <c r="CG449" t="s">
        <v>134</v>
      </c>
      <c r="CH449" t="s">
        <v>134</v>
      </c>
      <c r="CI449" t="s">
        <v>134</v>
      </c>
      <c r="CJ449" t="s">
        <v>134</v>
      </c>
      <c r="CK449" t="s">
        <v>134</v>
      </c>
      <c r="CL449" t="s">
        <v>134</v>
      </c>
      <c r="CM449" t="s">
        <v>134</v>
      </c>
      <c r="CN449" t="s">
        <v>134</v>
      </c>
      <c r="CO449" t="s">
        <v>134</v>
      </c>
      <c r="CP449" t="s">
        <v>134</v>
      </c>
      <c r="CQ449" t="s">
        <v>134</v>
      </c>
      <c r="CR449" t="s">
        <v>134</v>
      </c>
      <c r="CS449" t="s">
        <v>134</v>
      </c>
      <c r="CT449" t="s">
        <v>134</v>
      </c>
      <c r="CU449" t="s">
        <v>134</v>
      </c>
      <c r="CV449" t="s">
        <v>134</v>
      </c>
      <c r="CW449" t="s">
        <v>134</v>
      </c>
      <c r="CX449" t="s">
        <v>134</v>
      </c>
      <c r="CY449" t="s">
        <v>134</v>
      </c>
      <c r="CZ449" t="s">
        <v>134</v>
      </c>
      <c r="DA449" t="s">
        <v>134</v>
      </c>
      <c r="DB449" t="s">
        <v>134</v>
      </c>
      <c r="DC449" t="s">
        <v>134</v>
      </c>
      <c r="DD449" t="s">
        <v>134</v>
      </c>
      <c r="DE449" t="s">
        <v>134</v>
      </c>
      <c r="DF449" t="s">
        <v>134</v>
      </c>
      <c r="DG449" t="s">
        <v>134</v>
      </c>
      <c r="DH449" t="s">
        <v>134</v>
      </c>
      <c r="DI449" t="s">
        <v>134</v>
      </c>
    </row>
    <row r="450" spans="1:113" x14ac:dyDescent="0.3">
      <c r="E450" t="s">
        <v>79</v>
      </c>
      <c r="F450" t="s">
        <v>134</v>
      </c>
      <c r="G450" t="s">
        <v>134</v>
      </c>
      <c r="H450" t="s">
        <v>134</v>
      </c>
      <c r="I450" t="s">
        <v>134</v>
      </c>
      <c r="J450" t="s">
        <v>134</v>
      </c>
      <c r="K450" t="s">
        <v>134</v>
      </c>
      <c r="L450" t="s">
        <v>134</v>
      </c>
      <c r="M450" t="s">
        <v>134</v>
      </c>
      <c r="N450" t="s">
        <v>134</v>
      </c>
      <c r="O450" t="s">
        <v>134</v>
      </c>
      <c r="P450" t="s">
        <v>134</v>
      </c>
      <c r="Q450" t="s">
        <v>134</v>
      </c>
      <c r="R450" t="s">
        <v>134</v>
      </c>
      <c r="S450" t="s">
        <v>134</v>
      </c>
      <c r="T450" t="s">
        <v>134</v>
      </c>
      <c r="U450" t="s">
        <v>134</v>
      </c>
      <c r="V450" t="s">
        <v>134</v>
      </c>
      <c r="W450" t="s">
        <v>134</v>
      </c>
      <c r="X450" t="s">
        <v>134</v>
      </c>
      <c r="Y450" t="s">
        <v>134</v>
      </c>
      <c r="Z450" t="s">
        <v>134</v>
      </c>
      <c r="AA450" t="s">
        <v>134</v>
      </c>
      <c r="AB450" t="s">
        <v>134</v>
      </c>
      <c r="AC450" t="s">
        <v>134</v>
      </c>
      <c r="AD450" t="s">
        <v>134</v>
      </c>
      <c r="AE450" t="s">
        <v>134</v>
      </c>
      <c r="AF450" t="s">
        <v>134</v>
      </c>
      <c r="AG450" t="s">
        <v>134</v>
      </c>
      <c r="AH450" t="s">
        <v>134</v>
      </c>
      <c r="AI450" t="s">
        <v>134</v>
      </c>
      <c r="AJ450" t="s">
        <v>134</v>
      </c>
      <c r="AK450" t="s">
        <v>134</v>
      </c>
      <c r="AL450" t="s">
        <v>134</v>
      </c>
      <c r="AM450" t="s">
        <v>134</v>
      </c>
      <c r="AN450" t="s">
        <v>134</v>
      </c>
      <c r="AO450" t="s">
        <v>134</v>
      </c>
      <c r="AP450" t="s">
        <v>134</v>
      </c>
      <c r="AQ450" t="s">
        <v>134</v>
      </c>
      <c r="AR450" t="s">
        <v>134</v>
      </c>
      <c r="AS450" t="s">
        <v>134</v>
      </c>
      <c r="AT450" t="s">
        <v>134</v>
      </c>
      <c r="AU450" t="s">
        <v>134</v>
      </c>
      <c r="AV450" t="s">
        <v>134</v>
      </c>
      <c r="AW450" t="s">
        <v>134</v>
      </c>
      <c r="AX450" t="s">
        <v>134</v>
      </c>
      <c r="AY450" t="s">
        <v>134</v>
      </c>
      <c r="AZ450" t="s">
        <v>134</v>
      </c>
      <c r="BA450" t="s">
        <v>134</v>
      </c>
      <c r="BB450" t="s">
        <v>134</v>
      </c>
      <c r="BC450" t="s">
        <v>134</v>
      </c>
      <c r="BD450" t="s">
        <v>134</v>
      </c>
      <c r="BE450" t="s">
        <v>134</v>
      </c>
      <c r="BF450" t="s">
        <v>134</v>
      </c>
      <c r="BG450" t="s">
        <v>134</v>
      </c>
      <c r="BH450" t="s">
        <v>134</v>
      </c>
      <c r="BI450" t="s">
        <v>134</v>
      </c>
      <c r="BJ450" t="s">
        <v>134</v>
      </c>
      <c r="BK450" t="s">
        <v>134</v>
      </c>
      <c r="BL450" t="s">
        <v>134</v>
      </c>
      <c r="BM450" t="s">
        <v>134</v>
      </c>
      <c r="BN450" t="s">
        <v>134</v>
      </c>
      <c r="BO450" t="s">
        <v>134</v>
      </c>
      <c r="BP450" t="s">
        <v>134</v>
      </c>
      <c r="BQ450" t="s">
        <v>134</v>
      </c>
      <c r="BR450" t="s">
        <v>134</v>
      </c>
      <c r="BS450" t="s">
        <v>134</v>
      </c>
      <c r="BT450" t="s">
        <v>134</v>
      </c>
      <c r="BU450" t="s">
        <v>134</v>
      </c>
      <c r="BV450" t="s">
        <v>134</v>
      </c>
      <c r="BW450" t="s">
        <v>134</v>
      </c>
      <c r="BX450" t="s">
        <v>134</v>
      </c>
      <c r="BY450" t="s">
        <v>134</v>
      </c>
      <c r="BZ450" t="s">
        <v>134</v>
      </c>
      <c r="CA450" t="s">
        <v>134</v>
      </c>
      <c r="CB450" t="s">
        <v>134</v>
      </c>
      <c r="CC450" t="s">
        <v>134</v>
      </c>
      <c r="CD450" t="s">
        <v>134</v>
      </c>
      <c r="CE450" t="s">
        <v>134</v>
      </c>
      <c r="CF450" t="s">
        <v>134</v>
      </c>
      <c r="CG450" t="s">
        <v>134</v>
      </c>
      <c r="CH450" t="s">
        <v>134</v>
      </c>
      <c r="CI450" t="s">
        <v>134</v>
      </c>
      <c r="CJ450" t="s">
        <v>134</v>
      </c>
      <c r="CK450" t="s">
        <v>134</v>
      </c>
      <c r="CL450" t="s">
        <v>134</v>
      </c>
      <c r="CM450" t="s">
        <v>134</v>
      </c>
      <c r="CN450" t="s">
        <v>134</v>
      </c>
      <c r="CO450" t="s">
        <v>134</v>
      </c>
      <c r="CP450" t="s">
        <v>134</v>
      </c>
      <c r="CQ450" t="s">
        <v>134</v>
      </c>
      <c r="CR450" t="s">
        <v>134</v>
      </c>
      <c r="CS450" t="s">
        <v>134</v>
      </c>
      <c r="CT450" t="s">
        <v>134</v>
      </c>
      <c r="CU450" t="s">
        <v>134</v>
      </c>
      <c r="CV450" t="s">
        <v>134</v>
      </c>
      <c r="CW450" t="s">
        <v>134</v>
      </c>
      <c r="CX450" t="s">
        <v>134</v>
      </c>
      <c r="CY450" t="s">
        <v>134</v>
      </c>
      <c r="CZ450" t="s">
        <v>134</v>
      </c>
      <c r="DA450" t="s">
        <v>134</v>
      </c>
      <c r="DB450" t="s">
        <v>134</v>
      </c>
      <c r="DC450" t="s">
        <v>134</v>
      </c>
      <c r="DD450" t="s">
        <v>134</v>
      </c>
      <c r="DE450" t="s">
        <v>134</v>
      </c>
      <c r="DF450" t="s">
        <v>134</v>
      </c>
      <c r="DG450" t="s">
        <v>134</v>
      </c>
      <c r="DH450" t="s">
        <v>134</v>
      </c>
      <c r="DI450" t="s">
        <v>134</v>
      </c>
    </row>
    <row r="451" spans="1:113" x14ac:dyDescent="0.3">
      <c r="E451" t="s">
        <v>80</v>
      </c>
      <c r="F451" t="s">
        <v>134</v>
      </c>
      <c r="G451" t="s">
        <v>134</v>
      </c>
      <c r="H451" t="s">
        <v>134</v>
      </c>
      <c r="I451" t="s">
        <v>134</v>
      </c>
      <c r="J451" t="s">
        <v>134</v>
      </c>
      <c r="K451" t="s">
        <v>134</v>
      </c>
      <c r="L451" t="s">
        <v>134</v>
      </c>
      <c r="M451" t="s">
        <v>134</v>
      </c>
      <c r="N451" t="s">
        <v>134</v>
      </c>
      <c r="O451" t="s">
        <v>134</v>
      </c>
      <c r="P451" t="s">
        <v>134</v>
      </c>
      <c r="Q451" t="s">
        <v>134</v>
      </c>
      <c r="R451" t="s">
        <v>134</v>
      </c>
      <c r="S451" t="s">
        <v>134</v>
      </c>
      <c r="T451" t="s">
        <v>134</v>
      </c>
      <c r="U451" t="s">
        <v>134</v>
      </c>
      <c r="V451" t="s">
        <v>134</v>
      </c>
      <c r="W451" t="s">
        <v>134</v>
      </c>
      <c r="X451" t="s">
        <v>134</v>
      </c>
      <c r="Y451" t="s">
        <v>134</v>
      </c>
      <c r="Z451" t="s">
        <v>134</v>
      </c>
      <c r="AA451" t="s">
        <v>134</v>
      </c>
      <c r="AB451" t="s">
        <v>134</v>
      </c>
      <c r="AC451" t="s">
        <v>134</v>
      </c>
      <c r="AD451" t="s">
        <v>134</v>
      </c>
      <c r="AE451" t="s">
        <v>134</v>
      </c>
      <c r="AF451" t="s">
        <v>134</v>
      </c>
      <c r="AG451" t="s">
        <v>134</v>
      </c>
      <c r="AH451" t="s">
        <v>134</v>
      </c>
      <c r="AI451" t="s">
        <v>134</v>
      </c>
      <c r="AJ451" t="s">
        <v>134</v>
      </c>
      <c r="AK451" t="s">
        <v>134</v>
      </c>
      <c r="AL451" t="s">
        <v>134</v>
      </c>
      <c r="AM451" t="s">
        <v>134</v>
      </c>
      <c r="AN451" t="s">
        <v>134</v>
      </c>
      <c r="AO451" t="s">
        <v>134</v>
      </c>
      <c r="AP451" t="s">
        <v>134</v>
      </c>
      <c r="AQ451" t="s">
        <v>134</v>
      </c>
      <c r="AR451" t="s">
        <v>134</v>
      </c>
      <c r="AS451" t="s">
        <v>134</v>
      </c>
      <c r="AT451" t="s">
        <v>134</v>
      </c>
      <c r="AU451" t="s">
        <v>134</v>
      </c>
      <c r="AV451" t="s">
        <v>134</v>
      </c>
      <c r="AW451" t="s">
        <v>134</v>
      </c>
      <c r="AX451" t="s">
        <v>134</v>
      </c>
      <c r="AY451" t="s">
        <v>134</v>
      </c>
      <c r="AZ451" t="s">
        <v>134</v>
      </c>
      <c r="BA451" t="s">
        <v>134</v>
      </c>
      <c r="BB451" t="s">
        <v>134</v>
      </c>
      <c r="BC451" t="s">
        <v>134</v>
      </c>
      <c r="BD451" t="s">
        <v>134</v>
      </c>
      <c r="BE451" t="s">
        <v>134</v>
      </c>
      <c r="BF451" t="s">
        <v>134</v>
      </c>
      <c r="BG451" t="s">
        <v>134</v>
      </c>
      <c r="BH451" t="s">
        <v>134</v>
      </c>
      <c r="BI451" t="s">
        <v>134</v>
      </c>
      <c r="BJ451" t="s">
        <v>134</v>
      </c>
      <c r="BK451" t="s">
        <v>134</v>
      </c>
      <c r="BL451" t="s">
        <v>134</v>
      </c>
      <c r="BM451" t="s">
        <v>134</v>
      </c>
      <c r="BN451" t="s">
        <v>134</v>
      </c>
      <c r="BO451" t="s">
        <v>134</v>
      </c>
      <c r="BP451" t="s">
        <v>134</v>
      </c>
      <c r="BQ451" t="s">
        <v>134</v>
      </c>
      <c r="BR451" t="s">
        <v>134</v>
      </c>
      <c r="BS451" t="s">
        <v>134</v>
      </c>
      <c r="BT451" t="s">
        <v>134</v>
      </c>
      <c r="BU451" t="s">
        <v>134</v>
      </c>
      <c r="BV451" t="s">
        <v>134</v>
      </c>
      <c r="BW451" t="s">
        <v>134</v>
      </c>
      <c r="BX451" t="s">
        <v>134</v>
      </c>
      <c r="BY451" t="s">
        <v>134</v>
      </c>
      <c r="BZ451" t="s">
        <v>134</v>
      </c>
      <c r="CA451" t="s">
        <v>134</v>
      </c>
      <c r="CB451" t="s">
        <v>134</v>
      </c>
      <c r="CC451" t="s">
        <v>134</v>
      </c>
      <c r="CD451" t="s">
        <v>134</v>
      </c>
      <c r="CE451" t="s">
        <v>134</v>
      </c>
      <c r="CF451" t="s">
        <v>134</v>
      </c>
      <c r="CG451" t="s">
        <v>134</v>
      </c>
      <c r="CH451" t="s">
        <v>134</v>
      </c>
      <c r="CI451" t="s">
        <v>134</v>
      </c>
      <c r="CJ451" t="s">
        <v>134</v>
      </c>
      <c r="CK451" t="s">
        <v>134</v>
      </c>
      <c r="CL451" t="s">
        <v>134</v>
      </c>
      <c r="CM451" t="s">
        <v>134</v>
      </c>
      <c r="CN451" t="s">
        <v>134</v>
      </c>
      <c r="CO451" t="s">
        <v>134</v>
      </c>
      <c r="CP451" t="s">
        <v>134</v>
      </c>
      <c r="CQ451" t="s">
        <v>134</v>
      </c>
      <c r="CR451" t="s">
        <v>134</v>
      </c>
      <c r="CS451" t="s">
        <v>134</v>
      </c>
      <c r="CT451" t="s">
        <v>134</v>
      </c>
      <c r="CU451" t="s">
        <v>134</v>
      </c>
      <c r="CV451" t="s">
        <v>134</v>
      </c>
      <c r="CW451" t="s">
        <v>134</v>
      </c>
      <c r="CX451" t="s">
        <v>134</v>
      </c>
      <c r="CY451" t="s">
        <v>134</v>
      </c>
      <c r="CZ451" t="s">
        <v>134</v>
      </c>
      <c r="DA451" t="s">
        <v>134</v>
      </c>
      <c r="DB451" t="s">
        <v>134</v>
      </c>
      <c r="DC451" t="s">
        <v>134</v>
      </c>
      <c r="DD451" t="s">
        <v>134</v>
      </c>
      <c r="DE451" t="s">
        <v>134</v>
      </c>
      <c r="DF451" t="s">
        <v>134</v>
      </c>
      <c r="DG451" t="s">
        <v>134</v>
      </c>
      <c r="DH451" t="s">
        <v>134</v>
      </c>
      <c r="DI451" t="s">
        <v>134</v>
      </c>
    </row>
    <row r="452" spans="1:113" x14ac:dyDescent="0.3">
      <c r="E452" t="s">
        <v>81</v>
      </c>
      <c r="F452" t="s">
        <v>134</v>
      </c>
      <c r="G452" t="s">
        <v>134</v>
      </c>
      <c r="H452" t="s">
        <v>134</v>
      </c>
      <c r="I452" t="s">
        <v>134</v>
      </c>
      <c r="J452" t="s">
        <v>134</v>
      </c>
      <c r="K452" t="s">
        <v>134</v>
      </c>
      <c r="L452" t="s">
        <v>134</v>
      </c>
      <c r="M452" t="s">
        <v>134</v>
      </c>
      <c r="N452" t="s">
        <v>134</v>
      </c>
      <c r="O452" t="s">
        <v>134</v>
      </c>
      <c r="P452" t="s">
        <v>134</v>
      </c>
      <c r="Q452" t="s">
        <v>134</v>
      </c>
      <c r="R452" t="s">
        <v>134</v>
      </c>
      <c r="S452" t="s">
        <v>134</v>
      </c>
      <c r="T452" t="s">
        <v>134</v>
      </c>
      <c r="U452" t="s">
        <v>134</v>
      </c>
      <c r="V452" t="s">
        <v>134</v>
      </c>
      <c r="W452" t="s">
        <v>134</v>
      </c>
      <c r="X452" t="s">
        <v>134</v>
      </c>
      <c r="Y452" t="s">
        <v>134</v>
      </c>
      <c r="Z452" t="s">
        <v>134</v>
      </c>
      <c r="AA452" t="s">
        <v>134</v>
      </c>
      <c r="AB452" t="s">
        <v>134</v>
      </c>
      <c r="AC452" t="s">
        <v>134</v>
      </c>
      <c r="AD452" t="s">
        <v>134</v>
      </c>
      <c r="AE452" t="s">
        <v>134</v>
      </c>
      <c r="AF452" t="s">
        <v>134</v>
      </c>
      <c r="AG452" t="s">
        <v>134</v>
      </c>
      <c r="AH452" t="s">
        <v>134</v>
      </c>
      <c r="AI452" t="s">
        <v>134</v>
      </c>
      <c r="AJ452" t="s">
        <v>134</v>
      </c>
      <c r="AK452" t="s">
        <v>134</v>
      </c>
      <c r="AL452" t="s">
        <v>134</v>
      </c>
      <c r="AM452" t="s">
        <v>134</v>
      </c>
      <c r="AN452" t="s">
        <v>134</v>
      </c>
      <c r="AO452" t="s">
        <v>134</v>
      </c>
      <c r="AP452" t="s">
        <v>134</v>
      </c>
      <c r="AQ452" t="s">
        <v>134</v>
      </c>
      <c r="AR452" t="s">
        <v>134</v>
      </c>
      <c r="AS452" t="s">
        <v>134</v>
      </c>
      <c r="AT452" t="s">
        <v>134</v>
      </c>
      <c r="AU452" t="s">
        <v>134</v>
      </c>
      <c r="AV452" t="s">
        <v>134</v>
      </c>
      <c r="AW452" t="s">
        <v>134</v>
      </c>
      <c r="AX452" t="s">
        <v>134</v>
      </c>
      <c r="AY452" t="s">
        <v>134</v>
      </c>
      <c r="AZ452" t="s">
        <v>134</v>
      </c>
      <c r="BA452" t="s">
        <v>134</v>
      </c>
      <c r="BB452" t="s">
        <v>134</v>
      </c>
      <c r="BC452" t="s">
        <v>134</v>
      </c>
      <c r="BD452" t="s">
        <v>134</v>
      </c>
      <c r="BE452" t="s">
        <v>134</v>
      </c>
      <c r="BF452" t="s">
        <v>134</v>
      </c>
      <c r="BG452" t="s">
        <v>134</v>
      </c>
      <c r="BH452" t="s">
        <v>134</v>
      </c>
      <c r="BI452" t="s">
        <v>134</v>
      </c>
      <c r="BJ452" t="s">
        <v>134</v>
      </c>
      <c r="BK452" t="s">
        <v>134</v>
      </c>
      <c r="BL452" t="s">
        <v>134</v>
      </c>
      <c r="BM452" t="s">
        <v>134</v>
      </c>
      <c r="BN452" t="s">
        <v>134</v>
      </c>
      <c r="BO452" t="s">
        <v>134</v>
      </c>
      <c r="BP452" t="s">
        <v>134</v>
      </c>
      <c r="BQ452" t="s">
        <v>134</v>
      </c>
      <c r="BR452" t="s">
        <v>134</v>
      </c>
      <c r="BS452" t="s">
        <v>134</v>
      </c>
      <c r="BT452" t="s">
        <v>134</v>
      </c>
      <c r="BU452" t="s">
        <v>134</v>
      </c>
      <c r="BV452" t="s">
        <v>134</v>
      </c>
      <c r="BW452" t="s">
        <v>134</v>
      </c>
      <c r="BX452" t="s">
        <v>134</v>
      </c>
      <c r="BY452" t="s">
        <v>134</v>
      </c>
      <c r="BZ452" t="s">
        <v>134</v>
      </c>
      <c r="CA452" t="s">
        <v>134</v>
      </c>
      <c r="CB452" t="s">
        <v>134</v>
      </c>
      <c r="CC452" t="s">
        <v>134</v>
      </c>
      <c r="CD452" t="s">
        <v>134</v>
      </c>
      <c r="CE452" t="s">
        <v>134</v>
      </c>
      <c r="CF452" t="s">
        <v>134</v>
      </c>
      <c r="CG452" t="s">
        <v>134</v>
      </c>
      <c r="CH452" t="s">
        <v>134</v>
      </c>
      <c r="CI452" t="s">
        <v>134</v>
      </c>
      <c r="CJ452" t="s">
        <v>134</v>
      </c>
      <c r="CK452" t="s">
        <v>134</v>
      </c>
      <c r="CL452" t="s">
        <v>134</v>
      </c>
      <c r="CM452" t="s">
        <v>134</v>
      </c>
      <c r="CN452" t="s">
        <v>134</v>
      </c>
      <c r="CO452" t="s">
        <v>134</v>
      </c>
      <c r="CP452" t="s">
        <v>134</v>
      </c>
      <c r="CQ452" t="s">
        <v>134</v>
      </c>
      <c r="CR452" t="s">
        <v>134</v>
      </c>
      <c r="CS452" t="s">
        <v>134</v>
      </c>
      <c r="CT452" t="s">
        <v>134</v>
      </c>
      <c r="CU452" t="s">
        <v>134</v>
      </c>
      <c r="CV452" t="s">
        <v>134</v>
      </c>
      <c r="CW452" t="s">
        <v>134</v>
      </c>
      <c r="CX452" t="s">
        <v>134</v>
      </c>
      <c r="CY452" t="s">
        <v>134</v>
      </c>
      <c r="CZ452" t="s">
        <v>134</v>
      </c>
      <c r="DA452" t="s">
        <v>134</v>
      </c>
      <c r="DB452" t="s">
        <v>134</v>
      </c>
      <c r="DC452" t="s">
        <v>134</v>
      </c>
      <c r="DD452" t="s">
        <v>134</v>
      </c>
      <c r="DE452" t="s">
        <v>134</v>
      </c>
      <c r="DF452" t="s">
        <v>134</v>
      </c>
      <c r="DG452" t="s">
        <v>134</v>
      </c>
      <c r="DH452" t="s">
        <v>134</v>
      </c>
      <c r="DI452" t="s">
        <v>134</v>
      </c>
    </row>
    <row r="453" spans="1:113" x14ac:dyDescent="0.3">
      <c r="A453">
        <v>19</v>
      </c>
      <c r="B453" t="s">
        <v>120</v>
      </c>
      <c r="C453" t="s">
        <v>121</v>
      </c>
      <c r="D453" t="s">
        <v>76</v>
      </c>
      <c r="E453" t="s">
        <v>77</v>
      </c>
      <c r="F453">
        <v>5.0377000000000001</v>
      </c>
      <c r="G453">
        <v>1.6196000000000002</v>
      </c>
      <c r="H453">
        <v>3.3839999999999999</v>
      </c>
      <c r="I453">
        <v>3.6017999999999999</v>
      </c>
      <c r="J453">
        <v>32.394500000000001</v>
      </c>
      <c r="K453">
        <v>14.1434</v>
      </c>
      <c r="L453">
        <v>41.670099999999998</v>
      </c>
      <c r="M453">
        <v>9.1715999999999998</v>
      </c>
      <c r="N453">
        <v>3.5213000000000001</v>
      </c>
      <c r="O453">
        <v>3.2336</v>
      </c>
      <c r="P453">
        <v>3.2336</v>
      </c>
      <c r="Q453">
        <v>61.606200000000001</v>
      </c>
      <c r="R453">
        <v>25.949400000000001</v>
      </c>
      <c r="S453">
        <v>3.7305000000000001</v>
      </c>
      <c r="T453">
        <v>11.4969</v>
      </c>
      <c r="U453">
        <v>19.430399999999999</v>
      </c>
      <c r="V453">
        <v>43.636800000000001</v>
      </c>
      <c r="W453">
        <v>21.839400000000001</v>
      </c>
      <c r="X453">
        <v>16.833300000000001</v>
      </c>
      <c r="Y453">
        <v>80</v>
      </c>
      <c r="Z453">
        <v>-4.2511000000000001</v>
      </c>
      <c r="AA453">
        <v>28.223600000000001</v>
      </c>
      <c r="AB453">
        <v>-6.5564</v>
      </c>
      <c r="AC453">
        <v>15.0428</v>
      </c>
      <c r="AD453">
        <v>-93.626000000000005</v>
      </c>
      <c r="AE453">
        <v>-53.904200000000003</v>
      </c>
      <c r="AF453">
        <v>23.703800000000001</v>
      </c>
      <c r="AG453">
        <v>112.8143</v>
      </c>
      <c r="AH453">
        <v>13.7249</v>
      </c>
      <c r="AI453">
        <v>17.5627</v>
      </c>
      <c r="AJ453">
        <v>15.448600000000001</v>
      </c>
      <c r="AK453">
        <v>12.7606</v>
      </c>
      <c r="AL453">
        <v>16.211200000000002</v>
      </c>
      <c r="AM453">
        <v>18.081</v>
      </c>
      <c r="AN453">
        <v>12.820600000000001</v>
      </c>
      <c r="AO453">
        <v>3.2765</v>
      </c>
      <c r="AP453">
        <v>-18.809100000000001</v>
      </c>
      <c r="AQ453">
        <v>-19.468399999999999</v>
      </c>
      <c r="AR453">
        <v>12.474600000000001</v>
      </c>
      <c r="AS453">
        <v>14.7811</v>
      </c>
      <c r="AT453">
        <v>8.1144999999999996</v>
      </c>
      <c r="AU453">
        <v>5.3381999999999996</v>
      </c>
      <c r="AV453">
        <v>24.0166</v>
      </c>
      <c r="AW453" t="s">
        <v>134</v>
      </c>
      <c r="AX453" t="s">
        <v>134</v>
      </c>
      <c r="AY453">
        <v>-2.3094000000000001</v>
      </c>
      <c r="AZ453">
        <v>31.562100000000001</v>
      </c>
      <c r="BA453">
        <v>41.2104</v>
      </c>
      <c r="BB453">
        <v>16.074400000000001</v>
      </c>
      <c r="BC453">
        <v>26.0947</v>
      </c>
      <c r="BD453">
        <v>14.2843</v>
      </c>
      <c r="BE453">
        <v>10.165699999999999</v>
      </c>
      <c r="BF453">
        <v>11.4969</v>
      </c>
      <c r="BG453">
        <v>19.430399999999999</v>
      </c>
      <c r="BH453">
        <v>43.636800000000001</v>
      </c>
      <c r="BI453">
        <v>21.839400000000001</v>
      </c>
      <c r="BJ453">
        <v>16.833300000000001</v>
      </c>
      <c r="BK453">
        <v>80</v>
      </c>
      <c r="BL453">
        <v>-4.2511000000000001</v>
      </c>
      <c r="BM453">
        <v>28.223600000000001</v>
      </c>
      <c r="BN453">
        <v>-6.5564</v>
      </c>
      <c r="BO453">
        <v>15.0428</v>
      </c>
      <c r="BP453" t="s">
        <v>134</v>
      </c>
      <c r="BQ453" t="s">
        <v>134</v>
      </c>
      <c r="BR453">
        <v>23.703800000000001</v>
      </c>
      <c r="BS453">
        <v>112.8143</v>
      </c>
      <c r="BT453">
        <v>13.7249</v>
      </c>
      <c r="BU453">
        <v>17.5627</v>
      </c>
      <c r="BV453">
        <v>15.448600000000001</v>
      </c>
      <c r="BW453">
        <v>12.7606</v>
      </c>
      <c r="BX453">
        <v>16.211200000000002</v>
      </c>
      <c r="BY453">
        <v>758958</v>
      </c>
      <c r="BZ453">
        <v>209039</v>
      </c>
      <c r="CA453">
        <v>549919</v>
      </c>
      <c r="CB453">
        <v>2.7323</v>
      </c>
      <c r="CC453">
        <v>2.3289</v>
      </c>
      <c r="CD453">
        <v>6.2582000000000004</v>
      </c>
      <c r="CE453">
        <v>5.3341000000000003</v>
      </c>
      <c r="CF453">
        <v>7.6348000000000003</v>
      </c>
      <c r="CG453">
        <v>32.622</v>
      </c>
      <c r="CH453">
        <v>85.970200000000006</v>
      </c>
      <c r="CI453">
        <v>39.3187</v>
      </c>
      <c r="CJ453">
        <v>30.021100000000001</v>
      </c>
      <c r="CK453">
        <v>118.6498</v>
      </c>
      <c r="CL453">
        <v>54.264800000000001</v>
      </c>
      <c r="CM453">
        <v>41.433</v>
      </c>
      <c r="CN453">
        <v>101.1292</v>
      </c>
      <c r="CO453">
        <v>50.280700000000003</v>
      </c>
      <c r="CP453">
        <v>277770</v>
      </c>
      <c r="CQ453">
        <v>163611</v>
      </c>
      <c r="CR453">
        <v>121274</v>
      </c>
      <c r="CS453">
        <v>0.1973</v>
      </c>
      <c r="CT453">
        <v>0.39410000000000001</v>
      </c>
      <c r="CU453">
        <v>0.29899999999999999</v>
      </c>
      <c r="CV453">
        <v>2.0644999999999998</v>
      </c>
      <c r="CW453">
        <v>14.5198</v>
      </c>
      <c r="CX453">
        <v>25.138000000000002</v>
      </c>
      <c r="CY453" t="s">
        <v>134</v>
      </c>
      <c r="CZ453" t="s">
        <v>134</v>
      </c>
      <c r="DA453" t="s">
        <v>134</v>
      </c>
      <c r="DB453" t="s">
        <v>134</v>
      </c>
      <c r="DC453" t="s">
        <v>134</v>
      </c>
      <c r="DD453" t="s">
        <v>134</v>
      </c>
      <c r="DE453">
        <v>1422</v>
      </c>
      <c r="DF453" t="s">
        <v>134</v>
      </c>
      <c r="DG453" t="s">
        <v>134</v>
      </c>
      <c r="DH453" t="s">
        <v>134</v>
      </c>
      <c r="DI453" t="s">
        <v>134</v>
      </c>
    </row>
    <row r="454" spans="1:113" x14ac:dyDescent="0.3">
      <c r="E454" t="s">
        <v>78</v>
      </c>
      <c r="F454">
        <v>4.1149000000000004</v>
      </c>
      <c r="G454">
        <v>1.2987</v>
      </c>
      <c r="H454" t="s">
        <v>134</v>
      </c>
      <c r="I454">
        <v>3.2126000000000001</v>
      </c>
      <c r="J454">
        <v>32.298299999999998</v>
      </c>
      <c r="K454">
        <v>13.313800000000001</v>
      </c>
      <c r="L454">
        <v>47.094700000000003</v>
      </c>
      <c r="M454">
        <v>9.0687999999999995</v>
      </c>
      <c r="N454">
        <v>4.2899000000000003</v>
      </c>
      <c r="O454">
        <v>3.3996</v>
      </c>
      <c r="P454">
        <v>3.3996</v>
      </c>
      <c r="Q454">
        <v>52.696300000000001</v>
      </c>
      <c r="R454" t="s">
        <v>134</v>
      </c>
      <c r="S454" t="s">
        <v>134</v>
      </c>
      <c r="T454">
        <v>9.1798999999999999</v>
      </c>
      <c r="U454">
        <v>19.310600000000001</v>
      </c>
      <c r="V454">
        <v>42.331800000000001</v>
      </c>
      <c r="W454">
        <v>-9.6168999999999993</v>
      </c>
      <c r="X454">
        <v>-10.358599999999999</v>
      </c>
      <c r="Y454" t="s">
        <v>134</v>
      </c>
      <c r="Z454">
        <v>-24.082599999999999</v>
      </c>
      <c r="AA454">
        <v>16.036300000000001</v>
      </c>
      <c r="AB454">
        <v>-4.9550000000000001</v>
      </c>
      <c r="AC454">
        <v>10.612299999999999</v>
      </c>
      <c r="AD454">
        <v>-23.393799999999999</v>
      </c>
      <c r="AE454">
        <v>1.3294999999999999</v>
      </c>
      <c r="AF454" t="s">
        <v>134</v>
      </c>
      <c r="AG454">
        <v>34.338299999999997</v>
      </c>
      <c r="AH454">
        <v>5.5064000000000002</v>
      </c>
      <c r="AI454">
        <v>18.396100000000001</v>
      </c>
      <c r="AJ454">
        <v>10.9917</v>
      </c>
      <c r="AK454">
        <v>10.381</v>
      </c>
      <c r="AL454">
        <v>12.8177</v>
      </c>
      <c r="AM454">
        <v>18.959600000000002</v>
      </c>
      <c r="AN454">
        <v>13.540800000000001</v>
      </c>
      <c r="AO454">
        <v>1.7696000000000001</v>
      </c>
      <c r="AP454">
        <v>-20.480699999999999</v>
      </c>
      <c r="AQ454">
        <v>-20.604500000000002</v>
      </c>
      <c r="AR454" t="s">
        <v>134</v>
      </c>
      <c r="AS454" t="s">
        <v>134</v>
      </c>
      <c r="AT454" t="s">
        <v>134</v>
      </c>
      <c r="AU454" t="s">
        <v>134</v>
      </c>
      <c r="AV454" t="s">
        <v>134</v>
      </c>
      <c r="AW454" t="s">
        <v>134</v>
      </c>
      <c r="AX454" t="s">
        <v>134</v>
      </c>
      <c r="AY454" t="s">
        <v>134</v>
      </c>
      <c r="AZ454" t="s">
        <v>134</v>
      </c>
      <c r="BA454" t="s">
        <v>134</v>
      </c>
      <c r="BB454" t="s">
        <v>134</v>
      </c>
      <c r="BC454" t="s">
        <v>134</v>
      </c>
      <c r="BD454" t="s">
        <v>134</v>
      </c>
      <c r="BE454" t="s">
        <v>134</v>
      </c>
      <c r="BF454">
        <v>3.4817999999999998</v>
      </c>
      <c r="BG454">
        <v>7.9927000000000001</v>
      </c>
      <c r="BH454">
        <v>19.370799999999999</v>
      </c>
      <c r="BI454">
        <v>35.450299999999999</v>
      </c>
      <c r="BJ454">
        <v>34.328400000000002</v>
      </c>
      <c r="BK454" t="s">
        <v>134</v>
      </c>
      <c r="BL454">
        <v>-4.7815000000000003</v>
      </c>
      <c r="BM454">
        <v>38.322800000000001</v>
      </c>
      <c r="BN454">
        <v>-3.8273000000000001</v>
      </c>
      <c r="BO454">
        <v>11.870799999999999</v>
      </c>
      <c r="BP454" t="s">
        <v>134</v>
      </c>
      <c r="BQ454" t="s">
        <v>134</v>
      </c>
      <c r="BR454" t="s">
        <v>134</v>
      </c>
      <c r="BS454">
        <v>105.4914</v>
      </c>
      <c r="BT454">
        <v>11.5793</v>
      </c>
      <c r="BU454">
        <v>13.7713</v>
      </c>
      <c r="BV454">
        <v>12.563800000000001</v>
      </c>
      <c r="BW454">
        <v>8.4969000000000001</v>
      </c>
      <c r="BX454">
        <v>48.421900000000001</v>
      </c>
      <c r="BY454">
        <v>744639</v>
      </c>
      <c r="BZ454">
        <v>201846</v>
      </c>
      <c r="CA454">
        <v>542793</v>
      </c>
      <c r="CB454">
        <v>3.0110000000000001</v>
      </c>
      <c r="CC454">
        <v>2.3967000000000001</v>
      </c>
      <c r="CD454">
        <v>7.8445999999999998</v>
      </c>
      <c r="CE454">
        <v>6.2441000000000004</v>
      </c>
      <c r="CF454" t="s">
        <v>134</v>
      </c>
      <c r="CG454">
        <v>32.297600000000003</v>
      </c>
      <c r="CH454">
        <v>87.683999999999997</v>
      </c>
      <c r="CI454">
        <v>39.803800000000003</v>
      </c>
      <c r="CJ454">
        <v>30.472300000000001</v>
      </c>
      <c r="CK454">
        <v>120.2907</v>
      </c>
      <c r="CL454">
        <v>54.605400000000003</v>
      </c>
      <c r="CM454">
        <v>41.803899999999999</v>
      </c>
      <c r="CN454">
        <v>95.748400000000004</v>
      </c>
      <c r="CO454">
        <v>48.914000000000001</v>
      </c>
      <c r="CP454">
        <v>65449</v>
      </c>
      <c r="CQ454">
        <v>19461</v>
      </c>
      <c r="CR454">
        <v>26979</v>
      </c>
      <c r="CS454">
        <v>0.27360000000000001</v>
      </c>
      <c r="CT454">
        <v>0.4617</v>
      </c>
      <c r="CU454">
        <v>0.377</v>
      </c>
      <c r="CV454">
        <v>1.3019000000000001</v>
      </c>
      <c r="CW454">
        <v>11.9405</v>
      </c>
      <c r="CX454">
        <v>30.568100000000001</v>
      </c>
      <c r="CY454" t="s">
        <v>134</v>
      </c>
      <c r="CZ454" t="s">
        <v>134</v>
      </c>
      <c r="DA454" t="s">
        <v>134</v>
      </c>
      <c r="DB454" t="s">
        <v>134</v>
      </c>
      <c r="DC454" t="s">
        <v>134</v>
      </c>
      <c r="DD454" t="s">
        <v>134</v>
      </c>
      <c r="DE454">
        <v>1534</v>
      </c>
      <c r="DF454" t="s">
        <v>134</v>
      </c>
      <c r="DG454" t="s">
        <v>134</v>
      </c>
      <c r="DH454" t="s">
        <v>134</v>
      </c>
      <c r="DI454" t="s">
        <v>134</v>
      </c>
    </row>
    <row r="455" spans="1:113" x14ac:dyDescent="0.3">
      <c r="E455" t="s">
        <v>79</v>
      </c>
      <c r="F455">
        <v>3.6882999999999999</v>
      </c>
      <c r="G455">
        <v>1.1680999999999999</v>
      </c>
      <c r="H455" t="s">
        <v>134</v>
      </c>
      <c r="I455">
        <v>3.1071</v>
      </c>
      <c r="J455">
        <v>32.038899999999998</v>
      </c>
      <c r="K455">
        <v>13.565200000000001</v>
      </c>
      <c r="L455">
        <v>37.851999999999997</v>
      </c>
      <c r="M455">
        <v>6.4005999999999998</v>
      </c>
      <c r="N455">
        <v>2.3517999999999999</v>
      </c>
      <c r="O455">
        <v>2.4009999999999998</v>
      </c>
      <c r="P455">
        <v>2.4009999999999998</v>
      </c>
      <c r="Q455">
        <v>63.257399999999997</v>
      </c>
      <c r="R455" t="s">
        <v>134</v>
      </c>
      <c r="S455" t="s">
        <v>134</v>
      </c>
      <c r="T455">
        <v>5.1852</v>
      </c>
      <c r="U455">
        <v>7.5785999999999998</v>
      </c>
      <c r="V455">
        <v>15.949199999999999</v>
      </c>
      <c r="W455">
        <v>-29.007200000000001</v>
      </c>
      <c r="X455">
        <v>-32.578899999999997</v>
      </c>
      <c r="Y455" t="s">
        <v>134</v>
      </c>
      <c r="Z455">
        <v>-32.144500000000001</v>
      </c>
      <c r="AA455">
        <v>22.6568</v>
      </c>
      <c r="AB455">
        <v>-10.497999999999999</v>
      </c>
      <c r="AC455">
        <v>10.7241</v>
      </c>
      <c r="AD455">
        <v>-31.200800000000001</v>
      </c>
      <c r="AE455">
        <v>-7.5727000000000002</v>
      </c>
      <c r="AF455" t="s">
        <v>134</v>
      </c>
      <c r="AG455">
        <v>24.443300000000001</v>
      </c>
      <c r="AH455">
        <v>5.5716000000000001</v>
      </c>
      <c r="AI455">
        <v>21.007000000000001</v>
      </c>
      <c r="AJ455">
        <v>12.121700000000001</v>
      </c>
      <c r="AK455">
        <v>13.2453</v>
      </c>
      <c r="AL455">
        <v>103.4396</v>
      </c>
      <c r="AM455">
        <v>19.033100000000001</v>
      </c>
      <c r="AN455">
        <v>13.702</v>
      </c>
      <c r="AO455">
        <v>3.0192000000000001</v>
      </c>
      <c r="AP455">
        <v>-21.0398</v>
      </c>
      <c r="AQ455">
        <v>-21.846599999999999</v>
      </c>
      <c r="AR455" t="s">
        <v>134</v>
      </c>
      <c r="AS455" t="s">
        <v>134</v>
      </c>
      <c r="AT455" t="s">
        <v>134</v>
      </c>
      <c r="AU455" t="s">
        <v>134</v>
      </c>
      <c r="AV455" t="s">
        <v>134</v>
      </c>
      <c r="AW455" t="s">
        <v>134</v>
      </c>
      <c r="AX455" t="s">
        <v>134</v>
      </c>
      <c r="AY455" t="s">
        <v>134</v>
      </c>
      <c r="AZ455" t="s">
        <v>134</v>
      </c>
      <c r="BA455" t="s">
        <v>134</v>
      </c>
      <c r="BB455" t="s">
        <v>134</v>
      </c>
      <c r="BC455" t="s">
        <v>134</v>
      </c>
      <c r="BD455" t="s">
        <v>134</v>
      </c>
      <c r="BE455" t="s">
        <v>134</v>
      </c>
      <c r="BF455">
        <v>5.2333999999999996</v>
      </c>
      <c r="BG455">
        <v>4.3880999999999997</v>
      </c>
      <c r="BH455">
        <v>7.2203999999999997</v>
      </c>
      <c r="BI455">
        <v>-25.678599999999999</v>
      </c>
      <c r="BJ455">
        <v>-28.833300000000001</v>
      </c>
      <c r="BK455" t="s">
        <v>134</v>
      </c>
      <c r="BL455">
        <v>-8.6646000000000001</v>
      </c>
      <c r="BM455">
        <v>8.3442000000000007</v>
      </c>
      <c r="BN455">
        <v>0.2387</v>
      </c>
      <c r="BO455">
        <v>0.67259999999999998</v>
      </c>
      <c r="BP455">
        <v>-8.2223000000000006</v>
      </c>
      <c r="BQ455" t="s">
        <v>134</v>
      </c>
      <c r="BR455" t="s">
        <v>134</v>
      </c>
      <c r="BS455">
        <v>-10.076000000000001</v>
      </c>
      <c r="BT455">
        <v>-2.7099999999999999E-2</v>
      </c>
      <c r="BU455">
        <v>1.6135000000000002</v>
      </c>
      <c r="BV455">
        <v>0.71760000000000002</v>
      </c>
      <c r="BW455">
        <v>2.1638999999999999</v>
      </c>
      <c r="BX455">
        <v>30.6783</v>
      </c>
      <c r="BY455">
        <v>744437</v>
      </c>
      <c r="BZ455">
        <v>181508</v>
      </c>
      <c r="CA455">
        <v>562929</v>
      </c>
      <c r="CB455">
        <v>2.9527000000000001</v>
      </c>
      <c r="CC455">
        <v>2.5994999999999999</v>
      </c>
      <c r="CD455">
        <v>7.5269000000000004</v>
      </c>
      <c r="CE455">
        <v>6.6265999999999998</v>
      </c>
      <c r="CF455" t="s">
        <v>134</v>
      </c>
      <c r="CG455">
        <v>32.7761</v>
      </c>
      <c r="CH455">
        <v>89.492900000000006</v>
      </c>
      <c r="CI455">
        <v>40.9863</v>
      </c>
      <c r="CJ455">
        <v>31.3916</v>
      </c>
      <c r="CK455">
        <v>118.3485</v>
      </c>
      <c r="CL455">
        <v>54.201700000000002</v>
      </c>
      <c r="CM455">
        <v>41.513399999999997</v>
      </c>
      <c r="CN455">
        <v>104.1919</v>
      </c>
      <c r="CO455">
        <v>51.026499999999999</v>
      </c>
      <c r="CP455">
        <v>68321</v>
      </c>
      <c r="CQ455">
        <v>38671</v>
      </c>
      <c r="CR455">
        <v>28927</v>
      </c>
      <c r="CS455">
        <v>0.1663</v>
      </c>
      <c r="CT455">
        <v>0.3579</v>
      </c>
      <c r="CU455">
        <v>0.26429999999999998</v>
      </c>
      <c r="CV455">
        <v>1.9561999999999999</v>
      </c>
      <c r="CW455">
        <v>12.408200000000001</v>
      </c>
      <c r="CX455">
        <v>29.4161</v>
      </c>
      <c r="CY455" t="s">
        <v>134</v>
      </c>
      <c r="CZ455" t="s">
        <v>134</v>
      </c>
      <c r="DA455" t="s">
        <v>134</v>
      </c>
      <c r="DB455" t="s">
        <v>134</v>
      </c>
      <c r="DC455" t="s">
        <v>134</v>
      </c>
      <c r="DD455" t="s">
        <v>134</v>
      </c>
      <c r="DE455">
        <v>1662</v>
      </c>
      <c r="DF455" t="s">
        <v>134</v>
      </c>
      <c r="DG455" t="s">
        <v>134</v>
      </c>
      <c r="DH455" t="s">
        <v>134</v>
      </c>
      <c r="DI455" t="s">
        <v>134</v>
      </c>
    </row>
    <row r="456" spans="1:113" x14ac:dyDescent="0.3">
      <c r="E456" t="s">
        <v>80</v>
      </c>
      <c r="F456">
        <v>4.1839000000000004</v>
      </c>
      <c r="G456">
        <v>1.3519999999999999</v>
      </c>
      <c r="H456" t="s">
        <v>134</v>
      </c>
      <c r="I456">
        <v>3.2742</v>
      </c>
      <c r="J456">
        <v>32.333100000000002</v>
      </c>
      <c r="K456">
        <v>14.470499999999999</v>
      </c>
      <c r="L456">
        <v>44.058799999999998</v>
      </c>
      <c r="M456">
        <v>10.393599999999999</v>
      </c>
      <c r="N456">
        <v>2.8411</v>
      </c>
      <c r="O456">
        <v>2.7814000000000001</v>
      </c>
      <c r="P456">
        <v>2.7814000000000001</v>
      </c>
      <c r="Q456">
        <v>72.664699999999996</v>
      </c>
      <c r="R456" t="s">
        <v>134</v>
      </c>
      <c r="S456" t="s">
        <v>134</v>
      </c>
      <c r="T456">
        <v>13.3047</v>
      </c>
      <c r="U456">
        <v>22.835799999999999</v>
      </c>
      <c r="V456">
        <v>55.648200000000003</v>
      </c>
      <c r="W456">
        <v>115.0864</v>
      </c>
      <c r="X456">
        <v>104.4177</v>
      </c>
      <c r="Y456" t="s">
        <v>134</v>
      </c>
      <c r="Z456">
        <v>-11.229699999999999</v>
      </c>
      <c r="AA456">
        <v>15.175700000000001</v>
      </c>
      <c r="AB456">
        <v>-5.1105</v>
      </c>
      <c r="AC456">
        <v>11.0901</v>
      </c>
      <c r="AD456">
        <v>-10.765700000000001</v>
      </c>
      <c r="AE456">
        <v>-35.180599999999998</v>
      </c>
      <c r="AF456" t="s">
        <v>134</v>
      </c>
      <c r="AG456">
        <v>36.210700000000003</v>
      </c>
      <c r="AH456">
        <v>8.1245999999999992</v>
      </c>
      <c r="AI456">
        <v>13.511699999999999</v>
      </c>
      <c r="AJ456">
        <v>10.5572</v>
      </c>
      <c r="AK456">
        <v>9.0463000000000005</v>
      </c>
      <c r="AL456">
        <v>-0.53779999999999994</v>
      </c>
      <c r="AM456">
        <v>17.8093</v>
      </c>
      <c r="AN456">
        <v>12.8489</v>
      </c>
      <c r="AO456">
        <v>3.8589000000000002</v>
      </c>
      <c r="AP456">
        <v>-20.946899999999999</v>
      </c>
      <c r="AQ456">
        <v>-21.7501</v>
      </c>
      <c r="AR456" t="s">
        <v>134</v>
      </c>
      <c r="AS456" t="s">
        <v>134</v>
      </c>
      <c r="AT456" t="s">
        <v>134</v>
      </c>
      <c r="AU456" t="s">
        <v>134</v>
      </c>
      <c r="AV456" t="s">
        <v>134</v>
      </c>
      <c r="AW456" t="s">
        <v>134</v>
      </c>
      <c r="AX456" t="s">
        <v>134</v>
      </c>
      <c r="AY456" t="s">
        <v>134</v>
      </c>
      <c r="AZ456" t="s">
        <v>134</v>
      </c>
      <c r="BA456" t="s">
        <v>134</v>
      </c>
      <c r="BB456" t="s">
        <v>134</v>
      </c>
      <c r="BC456" t="s">
        <v>134</v>
      </c>
      <c r="BD456" t="s">
        <v>134</v>
      </c>
      <c r="BE456" t="s">
        <v>134</v>
      </c>
      <c r="BF456">
        <v>2.8797999999999999</v>
      </c>
      <c r="BG456">
        <v>3.8246000000000002</v>
      </c>
      <c r="BH456">
        <v>9.7452000000000005</v>
      </c>
      <c r="BI456">
        <v>19.1797</v>
      </c>
      <c r="BJ456">
        <v>19.203700000000001</v>
      </c>
      <c r="BK456" t="s">
        <v>134</v>
      </c>
      <c r="BL456">
        <v>18.422499999999999</v>
      </c>
      <c r="BM456">
        <v>-13.2371</v>
      </c>
      <c r="BN456">
        <v>-1.6116999999999999</v>
      </c>
      <c r="BO456">
        <v>0.7077</v>
      </c>
      <c r="BP456">
        <v>17.450500000000002</v>
      </c>
      <c r="BQ456" t="s">
        <v>134</v>
      </c>
      <c r="BR456" t="s">
        <v>134</v>
      </c>
      <c r="BS456">
        <v>-6.03</v>
      </c>
      <c r="BT456">
        <v>-1.5175000000000001</v>
      </c>
      <c r="BU456">
        <v>0.74150000000000005</v>
      </c>
      <c r="BV456">
        <v>-0.4829</v>
      </c>
      <c r="BW456">
        <v>0.8236</v>
      </c>
      <c r="BX456">
        <v>-39.496099999999998</v>
      </c>
      <c r="BY456">
        <v>733140</v>
      </c>
      <c r="BZ456">
        <v>170563</v>
      </c>
      <c r="CA456">
        <v>562577</v>
      </c>
      <c r="CB456">
        <v>2.7633000000000001</v>
      </c>
      <c r="CC456">
        <v>2.3391999999999999</v>
      </c>
      <c r="CD456">
        <v>6.6495999999999995</v>
      </c>
      <c r="CE456">
        <v>5.6288999999999998</v>
      </c>
      <c r="CF456" t="s">
        <v>134</v>
      </c>
      <c r="CG456">
        <v>32.813800000000001</v>
      </c>
      <c r="CH456">
        <v>88.778700000000001</v>
      </c>
      <c r="CI456">
        <v>41.159399999999998</v>
      </c>
      <c r="CJ456">
        <v>31.151499999999999</v>
      </c>
      <c r="CK456">
        <v>115.6947</v>
      </c>
      <c r="CL456">
        <v>53.638199999999998</v>
      </c>
      <c r="CM456">
        <v>40.5961</v>
      </c>
      <c r="CN456">
        <v>97.935299999999998</v>
      </c>
      <c r="CO456">
        <v>49.478400000000001</v>
      </c>
      <c r="CP456">
        <v>70934</v>
      </c>
      <c r="CQ456">
        <v>51982</v>
      </c>
      <c r="CR456">
        <v>31746</v>
      </c>
      <c r="CS456">
        <v>0.20860000000000001</v>
      </c>
      <c r="CT456">
        <v>0.41370000000000001</v>
      </c>
      <c r="CU456">
        <v>0.32369999999999999</v>
      </c>
      <c r="CV456">
        <v>2.0440999999999998</v>
      </c>
      <c r="CW456">
        <v>12.5786</v>
      </c>
      <c r="CX456">
        <v>29.017499999999998</v>
      </c>
      <c r="CY456" t="s">
        <v>134</v>
      </c>
      <c r="CZ456" t="s">
        <v>134</v>
      </c>
      <c r="DA456" t="s">
        <v>134</v>
      </c>
      <c r="DB456" t="s">
        <v>134</v>
      </c>
      <c r="DC456" t="s">
        <v>134</v>
      </c>
      <c r="DD456" t="s">
        <v>134</v>
      </c>
      <c r="DE456">
        <v>1442</v>
      </c>
      <c r="DF456" t="s">
        <v>134</v>
      </c>
      <c r="DG456" t="s">
        <v>134</v>
      </c>
      <c r="DH456" t="s">
        <v>134</v>
      </c>
      <c r="DI456" t="s">
        <v>134</v>
      </c>
    </row>
    <row r="457" spans="1:113" x14ac:dyDescent="0.3">
      <c r="E457" t="s">
        <v>81</v>
      </c>
      <c r="F457">
        <v>5.0377000000000001</v>
      </c>
      <c r="G457">
        <v>1.6196000000000002</v>
      </c>
      <c r="H457" t="s">
        <v>134</v>
      </c>
      <c r="I457">
        <v>3.6004</v>
      </c>
      <c r="J457">
        <v>32.884</v>
      </c>
      <c r="K457">
        <v>15.1319</v>
      </c>
      <c r="L457">
        <v>41.790500000000002</v>
      </c>
      <c r="M457">
        <v>10.7182</v>
      </c>
      <c r="N457">
        <v>4.6144999999999996</v>
      </c>
      <c r="O457">
        <v>4.3277999999999999</v>
      </c>
      <c r="P457">
        <v>4.3277999999999999</v>
      </c>
      <c r="Q457">
        <v>56.947299999999998</v>
      </c>
      <c r="R457" t="s">
        <v>134</v>
      </c>
      <c r="S457" t="s">
        <v>134</v>
      </c>
      <c r="T457">
        <v>13.4674</v>
      </c>
      <c r="U457">
        <v>20.561</v>
      </c>
      <c r="V457">
        <v>48.763300000000001</v>
      </c>
      <c r="W457">
        <v>89.067999999999998</v>
      </c>
      <c r="X457">
        <v>79.552199999999999</v>
      </c>
      <c r="Y457" t="s">
        <v>134</v>
      </c>
      <c r="Z457">
        <v>-4.2511000000000001</v>
      </c>
      <c r="AA457">
        <v>28.223600000000001</v>
      </c>
      <c r="AB457">
        <v>-6.5564</v>
      </c>
      <c r="AC457">
        <v>15.0428</v>
      </c>
      <c r="AD457">
        <v>-93.626000000000005</v>
      </c>
      <c r="AE457">
        <v>-53.904200000000003</v>
      </c>
      <c r="AF457">
        <v>23.703800000000001</v>
      </c>
      <c r="AG457">
        <v>112.8143</v>
      </c>
      <c r="AH457">
        <v>13.7249</v>
      </c>
      <c r="AI457">
        <v>17.5627</v>
      </c>
      <c r="AJ457">
        <v>15.448600000000001</v>
      </c>
      <c r="AK457">
        <v>12.7606</v>
      </c>
      <c r="AL457">
        <v>-27.690300000000001</v>
      </c>
      <c r="AM457">
        <v>16.723400000000002</v>
      </c>
      <c r="AN457">
        <v>12.619400000000001</v>
      </c>
      <c r="AO457">
        <v>4.4184999999999999</v>
      </c>
      <c r="AP457">
        <v>-14.0305</v>
      </c>
      <c r="AQ457">
        <v>-14.9087</v>
      </c>
      <c r="AR457" t="s">
        <v>134</v>
      </c>
      <c r="AS457">
        <v>14.7811</v>
      </c>
      <c r="AT457">
        <v>8.1144999999999996</v>
      </c>
      <c r="AU457">
        <v>5.3381999999999996</v>
      </c>
      <c r="AV457">
        <v>24.0166</v>
      </c>
      <c r="AW457" t="s">
        <v>134</v>
      </c>
      <c r="AX457" t="s">
        <v>134</v>
      </c>
      <c r="AY457">
        <v>-2.3094000000000001</v>
      </c>
      <c r="AZ457">
        <v>31.562100000000001</v>
      </c>
      <c r="BA457">
        <v>41.2104</v>
      </c>
      <c r="BB457">
        <v>16.074400000000001</v>
      </c>
      <c r="BC457">
        <v>26.0947</v>
      </c>
      <c r="BD457">
        <v>14.2843</v>
      </c>
      <c r="BE457" t="s">
        <v>134</v>
      </c>
      <c r="BF457">
        <v>1.2799</v>
      </c>
      <c r="BG457">
        <v>3.0055999999999998</v>
      </c>
      <c r="BH457">
        <v>5.9093999999999998</v>
      </c>
      <c r="BI457">
        <v>57.587699999999998</v>
      </c>
      <c r="BJ457">
        <v>57.563899999999997</v>
      </c>
      <c r="BK457" t="s">
        <v>134</v>
      </c>
      <c r="BL457">
        <v>-7.0308000000000002</v>
      </c>
      <c r="BM457">
        <v>-1.387</v>
      </c>
      <c r="BN457">
        <v>-1.4812000000000001</v>
      </c>
      <c r="BO457">
        <v>1.4304999999999999</v>
      </c>
      <c r="BP457">
        <v>-173.2413</v>
      </c>
      <c r="BQ457" t="s">
        <v>134</v>
      </c>
      <c r="BR457" t="s">
        <v>134</v>
      </c>
      <c r="BS457">
        <v>22.558199999999999</v>
      </c>
      <c r="BT457">
        <v>3.5215999999999998</v>
      </c>
      <c r="BU457">
        <v>0.94320000000000004</v>
      </c>
      <c r="BV457">
        <v>2.3262</v>
      </c>
      <c r="BW457">
        <v>0.89739999999999998</v>
      </c>
      <c r="BX457">
        <v>-38.381500000000003</v>
      </c>
      <c r="BY457">
        <v>758958</v>
      </c>
      <c r="BZ457">
        <v>209039</v>
      </c>
      <c r="CA457">
        <v>549919</v>
      </c>
      <c r="CB457">
        <v>2.7323</v>
      </c>
      <c r="CC457">
        <v>2.3289</v>
      </c>
      <c r="CD457">
        <v>6.2582000000000004</v>
      </c>
      <c r="CE457">
        <v>5.3341000000000003</v>
      </c>
      <c r="CF457" t="s">
        <v>134</v>
      </c>
      <c r="CG457">
        <v>32.622</v>
      </c>
      <c r="CH457">
        <v>85.970200000000006</v>
      </c>
      <c r="CI457">
        <v>39.3187</v>
      </c>
      <c r="CJ457">
        <v>30.021100000000001</v>
      </c>
      <c r="CK457">
        <v>118.6498</v>
      </c>
      <c r="CL457">
        <v>54.264800000000001</v>
      </c>
      <c r="CM457">
        <v>41.433</v>
      </c>
      <c r="CN457">
        <v>101.1292</v>
      </c>
      <c r="CO457">
        <v>50.280700000000003</v>
      </c>
      <c r="CP457">
        <v>73066</v>
      </c>
      <c r="CQ457">
        <v>51492</v>
      </c>
      <c r="CR457">
        <v>33622</v>
      </c>
      <c r="CS457">
        <v>0.1973</v>
      </c>
      <c r="CT457">
        <v>0.39410000000000001</v>
      </c>
      <c r="CU457">
        <v>0.29899999999999999</v>
      </c>
      <c r="CV457">
        <v>2.0644999999999998</v>
      </c>
      <c r="CW457">
        <v>14.5198</v>
      </c>
      <c r="CX457">
        <v>25.138000000000002</v>
      </c>
      <c r="CY457" t="s">
        <v>134</v>
      </c>
      <c r="CZ457" t="s">
        <v>134</v>
      </c>
      <c r="DA457" t="s">
        <v>134</v>
      </c>
      <c r="DB457" t="s">
        <v>134</v>
      </c>
      <c r="DC457" t="s">
        <v>134</v>
      </c>
      <c r="DD457" t="s">
        <v>134</v>
      </c>
      <c r="DE457">
        <v>1422</v>
      </c>
      <c r="DF457" t="s">
        <v>134</v>
      </c>
      <c r="DG457" t="s">
        <v>134</v>
      </c>
      <c r="DH457" t="s">
        <v>134</v>
      </c>
      <c r="DI457" t="s">
        <v>134</v>
      </c>
    </row>
    <row r="458" spans="1:113" x14ac:dyDescent="0.3">
      <c r="D458" t="s">
        <v>82</v>
      </c>
      <c r="E458" t="s">
        <v>77</v>
      </c>
      <c r="F458">
        <v>8.5175999999999998</v>
      </c>
      <c r="G458">
        <v>2.7357</v>
      </c>
      <c r="H458">
        <v>5.2309999999999999</v>
      </c>
      <c r="I458">
        <v>5.7877000000000001</v>
      </c>
      <c r="J458">
        <v>34.103099999999998</v>
      </c>
      <c r="K458">
        <v>17.2287</v>
      </c>
      <c r="L458">
        <v>59.266199999999998</v>
      </c>
      <c r="M458">
        <v>11.6396</v>
      </c>
      <c r="N458">
        <v>5.7674000000000003</v>
      </c>
      <c r="O458">
        <v>5.6318000000000001</v>
      </c>
      <c r="P458">
        <v>5.6318000000000001</v>
      </c>
      <c r="Q458">
        <v>50.4499</v>
      </c>
      <c r="R458">
        <v>17.119700000000002</v>
      </c>
      <c r="S458">
        <v>7.0594000000000001</v>
      </c>
      <c r="T458">
        <v>7.3395000000000001</v>
      </c>
      <c r="U458">
        <v>13.000999999999999</v>
      </c>
      <c r="V458">
        <v>30.755099999999999</v>
      </c>
      <c r="W458">
        <v>86.947699999999998</v>
      </c>
      <c r="X458">
        <v>85.0214</v>
      </c>
      <c r="Y458">
        <v>23.333300000000001</v>
      </c>
      <c r="Z458">
        <v>7.6715</v>
      </c>
      <c r="AA458">
        <v>-5.8368000000000002</v>
      </c>
      <c r="AB458">
        <v>-2.8959000000000001</v>
      </c>
      <c r="AC458">
        <v>6.8811</v>
      </c>
      <c r="AD458">
        <v>14.6471</v>
      </c>
      <c r="AE458">
        <v>-6.5623000000000005</v>
      </c>
      <c r="AF458">
        <v>-2.3372999999999999</v>
      </c>
      <c r="AG458">
        <v>1.1242000000000001</v>
      </c>
      <c r="AH458">
        <v>-12.5548</v>
      </c>
      <c r="AI458">
        <v>4.4440999999999997</v>
      </c>
      <c r="AJ458">
        <v>-4.7804000000000002</v>
      </c>
      <c r="AK458">
        <v>3.6573000000000002</v>
      </c>
      <c r="AL458">
        <v>7.7545999999999999</v>
      </c>
      <c r="AM458">
        <v>17.074300000000001</v>
      </c>
      <c r="AN458">
        <v>13.3657</v>
      </c>
      <c r="AO458">
        <v>8.6356000000000002</v>
      </c>
      <c r="AP458">
        <v>-10.4016</v>
      </c>
      <c r="AQ458">
        <v>-11.3283</v>
      </c>
      <c r="AR458">
        <v>17.2926</v>
      </c>
      <c r="AS458">
        <v>15.3652</v>
      </c>
      <c r="AT458">
        <v>22.570799999999998</v>
      </c>
      <c r="AU458">
        <v>3.7138</v>
      </c>
      <c r="AV458">
        <v>22.458200000000001</v>
      </c>
      <c r="AW458" t="s">
        <v>134</v>
      </c>
      <c r="AX458" t="s">
        <v>134</v>
      </c>
      <c r="AY458">
        <v>37.360300000000002</v>
      </c>
      <c r="AZ458">
        <v>59.583599999999997</v>
      </c>
      <c r="BA458">
        <v>45.464700000000001</v>
      </c>
      <c r="BB458">
        <v>8.3582000000000001</v>
      </c>
      <c r="BC458">
        <v>19.385400000000001</v>
      </c>
      <c r="BD458">
        <v>6.8913000000000002</v>
      </c>
      <c r="BE458">
        <v>9.1895000000000007</v>
      </c>
      <c r="BF458">
        <v>7.3395000000000001</v>
      </c>
      <c r="BG458">
        <v>13.000999999999999</v>
      </c>
      <c r="BH458">
        <v>30.755099999999999</v>
      </c>
      <c r="BI458">
        <v>86.947699999999998</v>
      </c>
      <c r="BJ458">
        <v>85.0214</v>
      </c>
      <c r="BK458">
        <v>23.333300000000001</v>
      </c>
      <c r="BL458">
        <v>7.6715</v>
      </c>
      <c r="BM458">
        <v>-5.8368000000000002</v>
      </c>
      <c r="BN458">
        <v>-2.8959000000000001</v>
      </c>
      <c r="BO458">
        <v>6.8811</v>
      </c>
      <c r="BP458" t="s">
        <v>134</v>
      </c>
      <c r="BQ458" t="s">
        <v>134</v>
      </c>
      <c r="BR458">
        <v>-2.3372999999999999</v>
      </c>
      <c r="BS458">
        <v>1.1242000000000001</v>
      </c>
      <c r="BT458">
        <v>-12.5548</v>
      </c>
      <c r="BU458">
        <v>4.4440999999999997</v>
      </c>
      <c r="BV458">
        <v>-4.7804000000000002</v>
      </c>
      <c r="BW458">
        <v>3.6573000000000002</v>
      </c>
      <c r="BX458">
        <v>7.7545999999999999</v>
      </c>
      <c r="BY458">
        <v>663672</v>
      </c>
      <c r="BZ458">
        <v>211389</v>
      </c>
      <c r="CA458">
        <v>452283</v>
      </c>
      <c r="CB458">
        <v>2.1143999999999998</v>
      </c>
      <c r="CC458">
        <v>1.8094000000000001</v>
      </c>
      <c r="CD458">
        <v>4.1852999999999998</v>
      </c>
      <c r="CE458">
        <v>3.5815999999999999</v>
      </c>
      <c r="CF458">
        <v>8.4852000000000007</v>
      </c>
      <c r="CG458">
        <v>31.645600000000002</v>
      </c>
      <c r="CH458">
        <v>67.697999999999993</v>
      </c>
      <c r="CI458">
        <v>33.961300000000001</v>
      </c>
      <c r="CJ458">
        <v>23.101400000000002</v>
      </c>
      <c r="CK458">
        <v>99.338899999999995</v>
      </c>
      <c r="CL458">
        <v>49.834200000000003</v>
      </c>
      <c r="CM458">
        <v>33.898600000000002</v>
      </c>
      <c r="CN458">
        <v>85.009</v>
      </c>
      <c r="CO458">
        <v>45.948599999999999</v>
      </c>
      <c r="CP458">
        <v>313883</v>
      </c>
      <c r="CQ458">
        <v>167472</v>
      </c>
      <c r="CR458">
        <v>158572</v>
      </c>
      <c r="CS458">
        <v>0.15090000000000001</v>
      </c>
      <c r="CT458">
        <v>0.4219</v>
      </c>
      <c r="CU458">
        <v>0.24890000000000001</v>
      </c>
      <c r="CV458">
        <v>2.34</v>
      </c>
      <c r="CW458">
        <v>15.343</v>
      </c>
      <c r="CX458">
        <v>23.789400000000001</v>
      </c>
      <c r="CY458" t="s">
        <v>134</v>
      </c>
      <c r="CZ458" t="s">
        <v>134</v>
      </c>
      <c r="DA458" t="s">
        <v>134</v>
      </c>
      <c r="DB458" t="s">
        <v>134</v>
      </c>
      <c r="DC458" t="s">
        <v>134</v>
      </c>
      <c r="DD458" t="s">
        <v>134</v>
      </c>
      <c r="DE458">
        <v>1339</v>
      </c>
      <c r="DF458" t="s">
        <v>134</v>
      </c>
      <c r="DG458" t="s">
        <v>134</v>
      </c>
      <c r="DH458" t="s">
        <v>134</v>
      </c>
      <c r="DI458" t="s">
        <v>134</v>
      </c>
    </row>
    <row r="459" spans="1:113" x14ac:dyDescent="0.3">
      <c r="E459" t="s">
        <v>78</v>
      </c>
      <c r="F459">
        <v>5.4001999999999999</v>
      </c>
      <c r="G459">
        <v>1.7725</v>
      </c>
      <c r="H459" t="s">
        <v>134</v>
      </c>
      <c r="I459">
        <v>3.7524999999999999</v>
      </c>
      <c r="J459">
        <v>33.621400000000001</v>
      </c>
      <c r="K459">
        <v>16.042000000000002</v>
      </c>
      <c r="L459">
        <v>36.534799999999997</v>
      </c>
      <c r="M459">
        <v>11.771000000000001</v>
      </c>
      <c r="N459">
        <v>5.0963000000000003</v>
      </c>
      <c r="O459">
        <v>4.8276000000000003</v>
      </c>
      <c r="P459">
        <v>4.8276000000000003</v>
      </c>
      <c r="Q459">
        <v>56.7042</v>
      </c>
      <c r="R459" t="s">
        <v>134</v>
      </c>
      <c r="S459" t="s">
        <v>134</v>
      </c>
      <c r="T459">
        <v>13.312799999999999</v>
      </c>
      <c r="U459">
        <v>17.9544</v>
      </c>
      <c r="V459">
        <v>36.5321</v>
      </c>
      <c r="W459">
        <v>60.908700000000003</v>
      </c>
      <c r="X459">
        <v>54.055599999999998</v>
      </c>
      <c r="Y459" t="s">
        <v>134</v>
      </c>
      <c r="Z459">
        <v>12.4556</v>
      </c>
      <c r="AA459">
        <v>15.384600000000001</v>
      </c>
      <c r="AB459">
        <v>-4.8253000000000004</v>
      </c>
      <c r="AC459">
        <v>2.2151999999999998</v>
      </c>
      <c r="AD459">
        <v>12.5318</v>
      </c>
      <c r="AE459">
        <v>2.4857</v>
      </c>
      <c r="AF459" t="s">
        <v>134</v>
      </c>
      <c r="AG459">
        <v>-30.8002</v>
      </c>
      <c r="AH459">
        <v>-4.3151999999999999</v>
      </c>
      <c r="AI459">
        <v>5.0144000000000002</v>
      </c>
      <c r="AJ459">
        <v>-8.0100000000000005E-2</v>
      </c>
      <c r="AK459">
        <v>5.5049000000000001</v>
      </c>
      <c r="AL459">
        <v>23.938400000000001</v>
      </c>
      <c r="AM459">
        <v>17.096499999999999</v>
      </c>
      <c r="AN459">
        <v>12.7814</v>
      </c>
      <c r="AO459">
        <v>5.6856999999999998</v>
      </c>
      <c r="AP459">
        <v>-15.9834</v>
      </c>
      <c r="AQ459">
        <v>-16.838000000000001</v>
      </c>
      <c r="AR459" t="s">
        <v>134</v>
      </c>
      <c r="AS459" t="s">
        <v>134</v>
      </c>
      <c r="AT459" t="s">
        <v>134</v>
      </c>
      <c r="AU459" t="s">
        <v>134</v>
      </c>
      <c r="AV459" t="s">
        <v>134</v>
      </c>
      <c r="AW459" t="s">
        <v>134</v>
      </c>
      <c r="AX459" t="s">
        <v>134</v>
      </c>
      <c r="AY459" t="s">
        <v>134</v>
      </c>
      <c r="AZ459" t="s">
        <v>134</v>
      </c>
      <c r="BA459" t="s">
        <v>134</v>
      </c>
      <c r="BB459" t="s">
        <v>134</v>
      </c>
      <c r="BC459" t="s">
        <v>134</v>
      </c>
      <c r="BD459" t="s">
        <v>134</v>
      </c>
      <c r="BE459" t="s">
        <v>134</v>
      </c>
      <c r="BF459">
        <v>3.3407999999999998</v>
      </c>
      <c r="BG459">
        <v>5.6578999999999997</v>
      </c>
      <c r="BH459">
        <v>9.5562000000000005</v>
      </c>
      <c r="BI459">
        <v>15.2766</v>
      </c>
      <c r="BJ459">
        <v>15.253500000000001</v>
      </c>
      <c r="BK459" t="s">
        <v>134</v>
      </c>
      <c r="BL459">
        <v>11.832699999999999</v>
      </c>
      <c r="BM459">
        <v>24.4726</v>
      </c>
      <c r="BN459">
        <v>-2.0457000000000001</v>
      </c>
      <c r="BO459">
        <v>-0.60309999999999997</v>
      </c>
      <c r="BP459" t="s">
        <v>134</v>
      </c>
      <c r="BQ459" t="s">
        <v>134</v>
      </c>
      <c r="BR459" t="s">
        <v>134</v>
      </c>
      <c r="BS459">
        <v>-33.181399999999996</v>
      </c>
      <c r="BT459">
        <v>-6.1204999999999998</v>
      </c>
      <c r="BU459">
        <v>1.6276999999999999</v>
      </c>
      <c r="BV459">
        <v>-2.5768</v>
      </c>
      <c r="BW459">
        <v>1.5156000000000001</v>
      </c>
      <c r="BX459">
        <v>154.39420000000001</v>
      </c>
      <c r="BY459">
        <v>712506</v>
      </c>
      <c r="BZ459">
        <v>139677</v>
      </c>
      <c r="CA459">
        <v>572829</v>
      </c>
      <c r="CB459">
        <v>2.4609999999999999</v>
      </c>
      <c r="CC459">
        <v>2.0887000000000002</v>
      </c>
      <c r="CD459">
        <v>5.4336000000000002</v>
      </c>
      <c r="CE459">
        <v>4.6116000000000001</v>
      </c>
      <c r="CF459" t="s">
        <v>134</v>
      </c>
      <c r="CG459">
        <v>33.3371</v>
      </c>
      <c r="CH459">
        <v>88.117500000000007</v>
      </c>
      <c r="CI459">
        <v>42.04</v>
      </c>
      <c r="CJ459">
        <v>31.461600000000001</v>
      </c>
      <c r="CK459">
        <v>109.60380000000001</v>
      </c>
      <c r="CL459">
        <v>52.290900000000001</v>
      </c>
      <c r="CM459">
        <v>39.133099999999999</v>
      </c>
      <c r="CN459">
        <v>93.023899999999998</v>
      </c>
      <c r="CO459">
        <v>48.192900000000002</v>
      </c>
      <c r="CP459">
        <v>77200</v>
      </c>
      <c r="CQ459">
        <v>47776</v>
      </c>
      <c r="CR459">
        <v>36835</v>
      </c>
      <c r="CS459">
        <v>0.20169999999999999</v>
      </c>
      <c r="CT459">
        <v>0.4546</v>
      </c>
      <c r="CU459">
        <v>0.32250000000000001</v>
      </c>
      <c r="CV459">
        <v>2.2656999999999998</v>
      </c>
      <c r="CW459">
        <v>14.491899999999999</v>
      </c>
      <c r="CX459">
        <v>25.186599999999999</v>
      </c>
      <c r="CY459" t="s">
        <v>134</v>
      </c>
      <c r="CZ459" t="s">
        <v>134</v>
      </c>
      <c r="DA459" t="s">
        <v>134</v>
      </c>
      <c r="DB459" t="s">
        <v>134</v>
      </c>
      <c r="DC459" t="s">
        <v>134</v>
      </c>
      <c r="DD459" t="s">
        <v>134</v>
      </c>
      <c r="DE459">
        <v>1770</v>
      </c>
      <c r="DF459" t="s">
        <v>134</v>
      </c>
      <c r="DG459" t="s">
        <v>134</v>
      </c>
      <c r="DH459" t="s">
        <v>134</v>
      </c>
      <c r="DI459" t="s">
        <v>134</v>
      </c>
    </row>
    <row r="460" spans="1:113" x14ac:dyDescent="0.3">
      <c r="E460" t="s">
        <v>79</v>
      </c>
      <c r="F460">
        <v>6.7561999999999998</v>
      </c>
      <c r="G460">
        <v>2.2101999999999999</v>
      </c>
      <c r="H460" t="s">
        <v>134</v>
      </c>
      <c r="I460">
        <v>4.3682999999999996</v>
      </c>
      <c r="J460">
        <v>33.728299999999997</v>
      </c>
      <c r="K460">
        <v>16.8626</v>
      </c>
      <c r="L460">
        <v>63.098399999999998</v>
      </c>
      <c r="M460">
        <v>12.351800000000001</v>
      </c>
      <c r="N460">
        <v>5.8887999999999998</v>
      </c>
      <c r="O460">
        <v>6.0547000000000004</v>
      </c>
      <c r="P460">
        <v>6.0547000000000004</v>
      </c>
      <c r="Q460">
        <v>52.324800000000003</v>
      </c>
      <c r="R460" t="s">
        <v>134</v>
      </c>
      <c r="S460" t="s">
        <v>134</v>
      </c>
      <c r="T460">
        <v>7.1317000000000004</v>
      </c>
      <c r="U460">
        <v>12.780799999999999</v>
      </c>
      <c r="V460">
        <v>33.173200000000001</v>
      </c>
      <c r="W460">
        <v>170.15629999999999</v>
      </c>
      <c r="X460">
        <v>170.17949999999999</v>
      </c>
      <c r="Y460" t="s">
        <v>134</v>
      </c>
      <c r="Z460">
        <v>27.0229</v>
      </c>
      <c r="AA460">
        <v>-21.299600000000002</v>
      </c>
      <c r="AB460">
        <v>-6.7187000000000001</v>
      </c>
      <c r="AC460">
        <v>5.0503999999999998</v>
      </c>
      <c r="AD460">
        <v>25.539400000000001</v>
      </c>
      <c r="AE460">
        <v>25.321200000000001</v>
      </c>
      <c r="AF460" t="s">
        <v>134</v>
      </c>
      <c r="AG460">
        <v>-54.497900000000001</v>
      </c>
      <c r="AH460">
        <v>-9.0220000000000002</v>
      </c>
      <c r="AI460">
        <v>4.8616999999999999</v>
      </c>
      <c r="AJ460">
        <v>-2.6635</v>
      </c>
      <c r="AK460">
        <v>4.6592000000000002</v>
      </c>
      <c r="AL460">
        <v>-24.5077</v>
      </c>
      <c r="AM460">
        <v>17.146000000000001</v>
      </c>
      <c r="AN460">
        <v>12.782299999999999</v>
      </c>
      <c r="AO460">
        <v>7.1853999999999996</v>
      </c>
      <c r="AP460">
        <v>-9.3057999999999996</v>
      </c>
      <c r="AQ460">
        <v>-10.2309</v>
      </c>
      <c r="AR460" t="s">
        <v>134</v>
      </c>
      <c r="AS460" t="s">
        <v>134</v>
      </c>
      <c r="AT460" t="s">
        <v>134</v>
      </c>
      <c r="AU460" t="s">
        <v>134</v>
      </c>
      <c r="AV460" t="s">
        <v>134</v>
      </c>
      <c r="AW460" t="s">
        <v>134</v>
      </c>
      <c r="AX460" t="s">
        <v>134</v>
      </c>
      <c r="AY460" t="s">
        <v>134</v>
      </c>
      <c r="AZ460" t="s">
        <v>134</v>
      </c>
      <c r="BA460" t="s">
        <v>134</v>
      </c>
      <c r="BB460" t="s">
        <v>134</v>
      </c>
      <c r="BC460" t="s">
        <v>134</v>
      </c>
      <c r="BD460" t="s">
        <v>134</v>
      </c>
      <c r="BE460" t="s">
        <v>134</v>
      </c>
      <c r="BF460">
        <v>-0.50690000000000002</v>
      </c>
      <c r="BG460">
        <v>-0.19040000000000001</v>
      </c>
      <c r="BH460">
        <v>4.5826000000000002</v>
      </c>
      <c r="BI460">
        <v>24.781199999999998</v>
      </c>
      <c r="BJ460">
        <v>24.810700000000001</v>
      </c>
      <c r="BK460" t="s">
        <v>134</v>
      </c>
      <c r="BL460">
        <v>3.1667999999999998</v>
      </c>
      <c r="BM460">
        <v>-26.101700000000001</v>
      </c>
      <c r="BN460">
        <v>-1.7555000000000001</v>
      </c>
      <c r="BO460">
        <v>3.4649999999999999</v>
      </c>
      <c r="BP460">
        <v>2.3862999999999999</v>
      </c>
      <c r="BQ460" t="s">
        <v>134</v>
      </c>
      <c r="BR460" t="s">
        <v>134</v>
      </c>
      <c r="BS460">
        <v>-40.870699999999999</v>
      </c>
      <c r="BT460">
        <v>-4.9447999999999999</v>
      </c>
      <c r="BU460">
        <v>1.4657</v>
      </c>
      <c r="BV460">
        <v>-1.8864000000000001</v>
      </c>
      <c r="BW460">
        <v>1.345</v>
      </c>
      <c r="BX460">
        <v>-20.4024</v>
      </c>
      <c r="BY460">
        <v>677274</v>
      </c>
      <c r="BZ460">
        <v>82590</v>
      </c>
      <c r="CA460">
        <v>594684</v>
      </c>
      <c r="CB460">
        <v>2.2707999999999999</v>
      </c>
      <c r="CC460">
        <v>1.9729000000000001</v>
      </c>
      <c r="CD460">
        <v>4.8126999999999995</v>
      </c>
      <c r="CE460">
        <v>4.1814</v>
      </c>
      <c r="CF460" t="s">
        <v>134</v>
      </c>
      <c r="CG460">
        <v>32.654000000000003</v>
      </c>
      <c r="CH460">
        <v>90.158000000000001</v>
      </c>
      <c r="CI460">
        <v>44.4831</v>
      </c>
      <c r="CJ460">
        <v>31.568100000000001</v>
      </c>
      <c r="CK460">
        <v>102.67919999999999</v>
      </c>
      <c r="CL460">
        <v>50.660899999999998</v>
      </c>
      <c r="CM460">
        <v>35.952300000000001</v>
      </c>
      <c r="CN460">
        <v>89.2102</v>
      </c>
      <c r="CO460">
        <v>47.148699999999998</v>
      </c>
      <c r="CP460">
        <v>77053</v>
      </c>
      <c r="CQ460">
        <v>40104</v>
      </c>
      <c r="CR460">
        <v>38523</v>
      </c>
      <c r="CS460">
        <v>0.17760000000000001</v>
      </c>
      <c r="CT460">
        <v>0.48659999999999998</v>
      </c>
      <c r="CU460">
        <v>0.31090000000000001</v>
      </c>
      <c r="CV460">
        <v>2.4552</v>
      </c>
      <c r="CW460">
        <v>15.103899999999999</v>
      </c>
      <c r="CX460">
        <v>24.166</v>
      </c>
      <c r="CY460" t="s">
        <v>134</v>
      </c>
      <c r="CZ460" t="s">
        <v>134</v>
      </c>
      <c r="DA460" t="s">
        <v>134</v>
      </c>
      <c r="DB460" t="s">
        <v>134</v>
      </c>
      <c r="DC460" t="s">
        <v>134</v>
      </c>
      <c r="DD460" t="s">
        <v>134</v>
      </c>
      <c r="DE460">
        <v>1308</v>
      </c>
      <c r="DF460" t="s">
        <v>134</v>
      </c>
      <c r="DG460" t="s">
        <v>134</v>
      </c>
      <c r="DH460" t="s">
        <v>134</v>
      </c>
      <c r="DI460" t="s">
        <v>134</v>
      </c>
    </row>
    <row r="461" spans="1:113" x14ac:dyDescent="0.3">
      <c r="E461" t="s">
        <v>80</v>
      </c>
      <c r="F461">
        <v>8.1369000000000007</v>
      </c>
      <c r="G461">
        <v>2.6063999999999998</v>
      </c>
      <c r="H461" t="s">
        <v>134</v>
      </c>
      <c r="I461">
        <v>5.3665000000000003</v>
      </c>
      <c r="J461">
        <v>33.534300000000002</v>
      </c>
      <c r="K461">
        <v>17.160599999999999</v>
      </c>
      <c r="L461">
        <v>63.319299999999998</v>
      </c>
      <c r="M461">
        <v>12.1454</v>
      </c>
      <c r="N461">
        <v>6.4836</v>
      </c>
      <c r="O461">
        <v>6.1871999999999998</v>
      </c>
      <c r="P461">
        <v>6.1871999999999998</v>
      </c>
      <c r="Q461">
        <v>46.616799999999998</v>
      </c>
      <c r="R461" t="s">
        <v>134</v>
      </c>
      <c r="S461" t="s">
        <v>134</v>
      </c>
      <c r="T461">
        <v>5.8281000000000001</v>
      </c>
      <c r="U461">
        <v>9.7598000000000003</v>
      </c>
      <c r="V461">
        <v>25.502400000000002</v>
      </c>
      <c r="W461">
        <v>135.41460000000001</v>
      </c>
      <c r="X461">
        <v>135.36349999999999</v>
      </c>
      <c r="Y461" t="s">
        <v>134</v>
      </c>
      <c r="Z461">
        <v>16.090800000000002</v>
      </c>
      <c r="AA461">
        <v>-12.343999999999999</v>
      </c>
      <c r="AB461">
        <v>-7.3952999999999998</v>
      </c>
      <c r="AC461">
        <v>7.7672999999999996</v>
      </c>
      <c r="AD461">
        <v>15.446</v>
      </c>
      <c r="AE461">
        <v>-12.220599999999999</v>
      </c>
      <c r="AF461" t="s">
        <v>134</v>
      </c>
      <c r="AG461">
        <v>10.874600000000001</v>
      </c>
      <c r="AH461">
        <v>-10.059699999999999</v>
      </c>
      <c r="AI461">
        <v>3.0247000000000002</v>
      </c>
      <c r="AJ461">
        <v>-3.9935999999999998</v>
      </c>
      <c r="AK461">
        <v>2.8157000000000001</v>
      </c>
      <c r="AL461">
        <v>23.079699999999999</v>
      </c>
      <c r="AM461">
        <v>17.639299999999999</v>
      </c>
      <c r="AN461">
        <v>13.994</v>
      </c>
      <c r="AO461">
        <v>10.184200000000001</v>
      </c>
      <c r="AP461">
        <v>-8.4766999999999992</v>
      </c>
      <c r="AQ461">
        <v>-9.4105000000000008</v>
      </c>
      <c r="AR461" t="s">
        <v>134</v>
      </c>
      <c r="AS461" t="s">
        <v>134</v>
      </c>
      <c r="AT461" t="s">
        <v>134</v>
      </c>
      <c r="AU461" t="s">
        <v>134</v>
      </c>
      <c r="AV461" t="s">
        <v>134</v>
      </c>
      <c r="AW461" t="s">
        <v>134</v>
      </c>
      <c r="AX461" t="s">
        <v>134</v>
      </c>
      <c r="AY461" t="s">
        <v>134</v>
      </c>
      <c r="AZ461" t="s">
        <v>134</v>
      </c>
      <c r="BA461" t="s">
        <v>134</v>
      </c>
      <c r="BB461" t="s">
        <v>134</v>
      </c>
      <c r="BC461" t="s">
        <v>134</v>
      </c>
      <c r="BD461" t="s">
        <v>134</v>
      </c>
      <c r="BE461" t="s">
        <v>134</v>
      </c>
      <c r="BF461">
        <v>1.6278999999999999</v>
      </c>
      <c r="BG461">
        <v>1.0434000000000001</v>
      </c>
      <c r="BH461">
        <v>3.4239000000000002</v>
      </c>
      <c r="BI461">
        <v>3.8534000000000002</v>
      </c>
      <c r="BJ461">
        <v>3.8428</v>
      </c>
      <c r="BK461" t="s">
        <v>134</v>
      </c>
      <c r="BL461">
        <v>8.2306000000000008</v>
      </c>
      <c r="BM461">
        <v>-3.3639000000000001</v>
      </c>
      <c r="BN461">
        <v>-2.3254000000000001</v>
      </c>
      <c r="BO461">
        <v>3.3123</v>
      </c>
      <c r="BP461">
        <v>8.0074000000000005</v>
      </c>
      <c r="BQ461" t="s">
        <v>134</v>
      </c>
      <c r="BR461" t="s">
        <v>134</v>
      </c>
      <c r="BS461">
        <v>128.97569999999999</v>
      </c>
      <c r="BT461">
        <v>-2.6409000000000002</v>
      </c>
      <c r="BU461">
        <v>-1.0233000000000001</v>
      </c>
      <c r="BV461">
        <v>-1.8428</v>
      </c>
      <c r="BW461">
        <v>-0.95230000000000004</v>
      </c>
      <c r="BX461">
        <v>-1.3567</v>
      </c>
      <c r="BY461">
        <v>659388</v>
      </c>
      <c r="BZ461">
        <v>189111</v>
      </c>
      <c r="CA461">
        <v>470277</v>
      </c>
      <c r="CB461">
        <v>2.1606999999999998</v>
      </c>
      <c r="CC461">
        <v>1.877</v>
      </c>
      <c r="CD461">
        <v>4.4306999999999999</v>
      </c>
      <c r="CE461">
        <v>3.8489</v>
      </c>
      <c r="CF461" t="s">
        <v>134</v>
      </c>
      <c r="CG461">
        <v>31.306100000000001</v>
      </c>
      <c r="CH461">
        <v>72.034199999999998</v>
      </c>
      <c r="CI461">
        <v>35.837699999999998</v>
      </c>
      <c r="CJ461">
        <v>24.163699999999999</v>
      </c>
      <c r="CK461">
        <v>101.00109999999999</v>
      </c>
      <c r="CL461">
        <v>50.249000000000002</v>
      </c>
      <c r="CM461">
        <v>33.880600000000001</v>
      </c>
      <c r="CN461">
        <v>87.738299999999995</v>
      </c>
      <c r="CO461">
        <v>46.734400000000001</v>
      </c>
      <c r="CP461">
        <v>77857</v>
      </c>
      <c r="CQ461">
        <v>39632</v>
      </c>
      <c r="CR461">
        <v>39842</v>
      </c>
      <c r="CS461">
        <v>0.1391</v>
      </c>
      <c r="CT461">
        <v>0.42959999999999998</v>
      </c>
      <c r="CU461">
        <v>0.255</v>
      </c>
      <c r="CV461">
        <v>2.2343000000000002</v>
      </c>
      <c r="CW461">
        <v>13.5899</v>
      </c>
      <c r="CX461">
        <v>26.8582</v>
      </c>
      <c r="CY461" t="s">
        <v>134</v>
      </c>
      <c r="CZ461" t="s">
        <v>134</v>
      </c>
      <c r="DA461" t="s">
        <v>134</v>
      </c>
      <c r="DB461" t="s">
        <v>134</v>
      </c>
      <c r="DC461" t="s">
        <v>134</v>
      </c>
      <c r="DD461" t="s">
        <v>134</v>
      </c>
      <c r="DE461">
        <v>1264</v>
      </c>
      <c r="DF461" t="s">
        <v>134</v>
      </c>
      <c r="DG461" t="s">
        <v>134</v>
      </c>
      <c r="DH461" t="s">
        <v>134</v>
      </c>
      <c r="DI461" t="s">
        <v>134</v>
      </c>
    </row>
    <row r="462" spans="1:113" x14ac:dyDescent="0.3">
      <c r="E462" t="s">
        <v>81</v>
      </c>
      <c r="F462">
        <v>8.5175999999999998</v>
      </c>
      <c r="G462">
        <v>2.7357</v>
      </c>
      <c r="H462" t="s">
        <v>134</v>
      </c>
      <c r="I462">
        <v>5.8048000000000002</v>
      </c>
      <c r="J462">
        <v>35.247100000000003</v>
      </c>
      <c r="K462">
        <v>18.5623</v>
      </c>
      <c r="L462">
        <v>114.2929</v>
      </c>
      <c r="M462">
        <v>10.2913</v>
      </c>
      <c r="N462">
        <v>5.5941000000000001</v>
      </c>
      <c r="O462">
        <v>5.4542000000000002</v>
      </c>
      <c r="P462">
        <v>5.4542000000000002</v>
      </c>
      <c r="Q462">
        <v>45.643000000000001</v>
      </c>
      <c r="R462" t="s">
        <v>134</v>
      </c>
      <c r="S462" t="s">
        <v>134</v>
      </c>
      <c r="T462">
        <v>3.5834000000000001</v>
      </c>
      <c r="U462">
        <v>11.026999999999999</v>
      </c>
      <c r="V462">
        <v>27.0656</v>
      </c>
      <c r="W462">
        <v>30.5428</v>
      </c>
      <c r="X462">
        <v>30.507100000000001</v>
      </c>
      <c r="Y462" t="s">
        <v>134</v>
      </c>
      <c r="Z462">
        <v>7.6715</v>
      </c>
      <c r="AA462">
        <v>-5.8368000000000002</v>
      </c>
      <c r="AB462">
        <v>-2.8959000000000001</v>
      </c>
      <c r="AC462">
        <v>6.8811</v>
      </c>
      <c r="AD462">
        <v>14.6471</v>
      </c>
      <c r="AE462">
        <v>-6.5623000000000005</v>
      </c>
      <c r="AF462">
        <v>-2.3372999999999999</v>
      </c>
      <c r="AG462">
        <v>1.1242000000000001</v>
      </c>
      <c r="AH462">
        <v>-12.5548</v>
      </c>
      <c r="AI462">
        <v>4.4440999999999997</v>
      </c>
      <c r="AJ462">
        <v>-4.7804000000000002</v>
      </c>
      <c r="AK462">
        <v>3.6573000000000002</v>
      </c>
      <c r="AL462">
        <v>36.201700000000002</v>
      </c>
      <c r="AM462">
        <v>16.447400000000002</v>
      </c>
      <c r="AN462">
        <v>14.1793</v>
      </c>
      <c r="AO462">
        <v>11.446099999999999</v>
      </c>
      <c r="AP462">
        <v>-9.2939000000000007</v>
      </c>
      <c r="AQ462">
        <v>-10.239699999999999</v>
      </c>
      <c r="AR462" t="s">
        <v>134</v>
      </c>
      <c r="AS462">
        <v>15.3652</v>
      </c>
      <c r="AT462">
        <v>22.570799999999998</v>
      </c>
      <c r="AU462">
        <v>3.7138</v>
      </c>
      <c r="AV462">
        <v>22.458200000000001</v>
      </c>
      <c r="AW462" t="s">
        <v>134</v>
      </c>
      <c r="AX462" t="s">
        <v>134</v>
      </c>
      <c r="AY462">
        <v>37.360300000000002</v>
      </c>
      <c r="AZ462">
        <v>59.583599999999997</v>
      </c>
      <c r="BA462">
        <v>45.464700000000001</v>
      </c>
      <c r="BB462">
        <v>8.3582000000000001</v>
      </c>
      <c r="BC462">
        <v>19.385400000000001</v>
      </c>
      <c r="BD462">
        <v>6.8913000000000002</v>
      </c>
      <c r="BE462" t="s">
        <v>134</v>
      </c>
      <c r="BF462">
        <v>-0.86829999999999996</v>
      </c>
      <c r="BG462">
        <v>4.1948999999999996</v>
      </c>
      <c r="BH462">
        <v>7.2286000000000001</v>
      </c>
      <c r="BI462">
        <v>-12.614000000000001</v>
      </c>
      <c r="BJ462">
        <v>-12.632199999999999</v>
      </c>
      <c r="BK462" t="s">
        <v>134</v>
      </c>
      <c r="BL462">
        <v>-13.773199999999999</v>
      </c>
      <c r="BM462">
        <v>5.9335000000000004</v>
      </c>
      <c r="BN462">
        <v>3.3056000000000001</v>
      </c>
      <c r="BO462">
        <v>0.59640000000000004</v>
      </c>
      <c r="BP462">
        <v>-154.14959999999999</v>
      </c>
      <c r="BQ462" t="s">
        <v>134</v>
      </c>
      <c r="BR462" t="s">
        <v>134</v>
      </c>
      <c r="BS462">
        <v>11.7804</v>
      </c>
      <c r="BT462">
        <v>0.64970000000000006</v>
      </c>
      <c r="BU462">
        <v>2.3338999999999999</v>
      </c>
      <c r="BV462">
        <v>1.4876</v>
      </c>
      <c r="BW462">
        <v>1.7233000000000001</v>
      </c>
      <c r="BX462">
        <v>-31.812100000000001</v>
      </c>
      <c r="BY462">
        <v>663672</v>
      </c>
      <c r="BZ462">
        <v>211389</v>
      </c>
      <c r="CA462">
        <v>452283</v>
      </c>
      <c r="CB462">
        <v>2.1187999999999998</v>
      </c>
      <c r="CC462">
        <v>1.8130999999999999</v>
      </c>
      <c r="CD462">
        <v>4.2024999999999997</v>
      </c>
      <c r="CE462">
        <v>3.5963000000000003</v>
      </c>
      <c r="CF462" t="s">
        <v>134</v>
      </c>
      <c r="CG462">
        <v>31.645600000000002</v>
      </c>
      <c r="CH462">
        <v>67.697999999999993</v>
      </c>
      <c r="CI462">
        <v>33.961300000000001</v>
      </c>
      <c r="CJ462">
        <v>23.101400000000002</v>
      </c>
      <c r="CK462">
        <v>99.338899999999995</v>
      </c>
      <c r="CL462">
        <v>49.834200000000003</v>
      </c>
      <c r="CM462">
        <v>33.898600000000002</v>
      </c>
      <c r="CN462">
        <v>85.009</v>
      </c>
      <c r="CO462">
        <v>45.948599999999999</v>
      </c>
      <c r="CP462">
        <v>81123</v>
      </c>
      <c r="CQ462">
        <v>39310</v>
      </c>
      <c r="CR462">
        <v>42722</v>
      </c>
      <c r="CS462">
        <v>0.15090000000000001</v>
      </c>
      <c r="CT462">
        <v>0.4219</v>
      </c>
      <c r="CU462">
        <v>0.24890000000000001</v>
      </c>
      <c r="CV462">
        <v>2.34</v>
      </c>
      <c r="CW462">
        <v>15.343</v>
      </c>
      <c r="CX462">
        <v>23.789400000000001</v>
      </c>
      <c r="CY462" t="s">
        <v>134</v>
      </c>
      <c r="CZ462" t="s">
        <v>134</v>
      </c>
      <c r="DA462" t="s">
        <v>134</v>
      </c>
      <c r="DB462" t="s">
        <v>134</v>
      </c>
      <c r="DC462" t="s">
        <v>134</v>
      </c>
      <c r="DD462" t="s">
        <v>134</v>
      </c>
      <c r="DE462">
        <v>1339</v>
      </c>
      <c r="DF462" t="s">
        <v>134</v>
      </c>
      <c r="DG462" t="s">
        <v>134</v>
      </c>
      <c r="DH462" t="s">
        <v>134</v>
      </c>
      <c r="DI462" t="s">
        <v>134</v>
      </c>
    </row>
    <row r="463" spans="1:113" x14ac:dyDescent="0.3">
      <c r="D463" t="s">
        <v>83</v>
      </c>
      <c r="E463" t="s">
        <v>77</v>
      </c>
      <c r="F463">
        <v>8.5968</v>
      </c>
      <c r="G463">
        <v>2.6074999999999999</v>
      </c>
      <c r="H463">
        <v>6.3253000000000004</v>
      </c>
      <c r="I463">
        <v>6.2823000000000002</v>
      </c>
      <c r="J463">
        <v>35.318100000000001</v>
      </c>
      <c r="K463">
        <v>17.241399999999999</v>
      </c>
      <c r="L463">
        <v>17.5017</v>
      </c>
      <c r="M463">
        <v>12.504099999999999</v>
      </c>
      <c r="N463">
        <v>6.3540999999999999</v>
      </c>
      <c r="O463">
        <v>5.6812000000000005</v>
      </c>
      <c r="P463">
        <v>5.6812000000000005</v>
      </c>
      <c r="Q463">
        <v>49.184399999999997</v>
      </c>
      <c r="R463">
        <v>9.9121000000000006</v>
      </c>
      <c r="S463">
        <v>7.7446999999999999</v>
      </c>
      <c r="T463">
        <v>4.8812999999999995</v>
      </c>
      <c r="U463">
        <v>8.6179000000000006</v>
      </c>
      <c r="V463">
        <v>4.9585999999999997</v>
      </c>
      <c r="W463">
        <v>5.8010999999999999</v>
      </c>
      <c r="X463">
        <v>5.7826000000000004</v>
      </c>
      <c r="Y463">
        <v>-38.738700000000001</v>
      </c>
      <c r="Z463">
        <v>6.0205000000000002</v>
      </c>
      <c r="AA463">
        <v>26.363</v>
      </c>
      <c r="AB463">
        <v>13.0631</v>
      </c>
      <c r="AC463">
        <v>14.856</v>
      </c>
      <c r="AD463">
        <v>-75.525800000000004</v>
      </c>
      <c r="AE463">
        <v>3.5983000000000001</v>
      </c>
      <c r="AF463">
        <v>33.030999999999999</v>
      </c>
      <c r="AG463">
        <v>-61.367400000000004</v>
      </c>
      <c r="AH463">
        <v>-0.23219999999999999</v>
      </c>
      <c r="AI463">
        <v>6.0166000000000004</v>
      </c>
      <c r="AJ463">
        <v>2.9024999999999999</v>
      </c>
      <c r="AK463">
        <v>5.9420000000000002</v>
      </c>
      <c r="AL463">
        <v>3.38</v>
      </c>
      <c r="AM463">
        <v>10.147600000000001</v>
      </c>
      <c r="AN463">
        <v>11.1774</v>
      </c>
      <c r="AO463">
        <v>11.0268</v>
      </c>
      <c r="AP463">
        <v>-1.9339</v>
      </c>
      <c r="AQ463">
        <v>-2.9428000000000001</v>
      </c>
      <c r="AR463">
        <v>6.3426999999999998</v>
      </c>
      <c r="AS463">
        <v>7.1841999999999997</v>
      </c>
      <c r="AT463">
        <v>-4.5803000000000003</v>
      </c>
      <c r="AU463">
        <v>0.1038</v>
      </c>
      <c r="AV463">
        <v>8.9466999999999999</v>
      </c>
      <c r="AW463" t="s">
        <v>134</v>
      </c>
      <c r="AX463" t="s">
        <v>134</v>
      </c>
      <c r="AY463">
        <v>19.699200000000001</v>
      </c>
      <c r="AZ463">
        <v>-0.64959999999999996</v>
      </c>
      <c r="BA463">
        <v>1.4315</v>
      </c>
      <c r="BB463">
        <v>6.5301999999999998</v>
      </c>
      <c r="BC463">
        <v>3.8792999999999997</v>
      </c>
      <c r="BD463">
        <v>5.0465</v>
      </c>
      <c r="BE463">
        <v>8.4418000000000006</v>
      </c>
      <c r="BF463">
        <v>4.8812999999999995</v>
      </c>
      <c r="BG463">
        <v>8.6179000000000006</v>
      </c>
      <c r="BH463">
        <v>4.9585999999999997</v>
      </c>
      <c r="BI463">
        <v>5.8010999999999999</v>
      </c>
      <c r="BJ463">
        <v>5.7826000000000004</v>
      </c>
      <c r="BK463">
        <v>-38.738700000000001</v>
      </c>
      <c r="BL463">
        <v>6.0205000000000002</v>
      </c>
      <c r="BM463">
        <v>26.363</v>
      </c>
      <c r="BN463">
        <v>13.0631</v>
      </c>
      <c r="BO463">
        <v>14.856</v>
      </c>
      <c r="BP463" t="s">
        <v>134</v>
      </c>
      <c r="BQ463" t="s">
        <v>134</v>
      </c>
      <c r="BR463">
        <v>33.030999999999999</v>
      </c>
      <c r="BS463">
        <v>-61.367400000000004</v>
      </c>
      <c r="BT463">
        <v>-0.23219999999999999</v>
      </c>
      <c r="BU463">
        <v>6.0166000000000004</v>
      </c>
      <c r="BV463">
        <v>2.9024999999999999</v>
      </c>
      <c r="BW463">
        <v>5.9420000000000002</v>
      </c>
      <c r="BX463">
        <v>3.38</v>
      </c>
      <c r="BY463">
        <v>662131</v>
      </c>
      <c r="BZ463">
        <v>81665</v>
      </c>
      <c r="CA463">
        <v>580466</v>
      </c>
      <c r="CB463">
        <v>1.9420999999999999</v>
      </c>
      <c r="CC463">
        <v>1.7452000000000001</v>
      </c>
      <c r="CD463">
        <v>3.9782999999999999</v>
      </c>
      <c r="CE463">
        <v>3.5749</v>
      </c>
      <c r="CF463">
        <v>7.1818</v>
      </c>
      <c r="CG463">
        <v>29.186199999999999</v>
      </c>
      <c r="CH463">
        <v>81.953699999999998</v>
      </c>
      <c r="CI463">
        <v>42.356900000000003</v>
      </c>
      <c r="CJ463">
        <v>25.813700000000001</v>
      </c>
      <c r="CK463">
        <v>93.483699999999999</v>
      </c>
      <c r="CL463">
        <v>48.316099999999999</v>
      </c>
      <c r="CM463">
        <v>29.445399999999999</v>
      </c>
      <c r="CN463">
        <v>84.003600000000006</v>
      </c>
      <c r="CO463">
        <v>45.653199999999998</v>
      </c>
      <c r="CP463">
        <v>340933</v>
      </c>
      <c r="CQ463">
        <v>147620</v>
      </c>
      <c r="CR463">
        <v>166435</v>
      </c>
      <c r="CS463">
        <v>0.1153</v>
      </c>
      <c r="CT463">
        <v>0.39279999999999998</v>
      </c>
      <c r="CU463">
        <v>0.2286</v>
      </c>
      <c r="CV463">
        <v>2.0598999999999998</v>
      </c>
      <c r="CW463">
        <v>15.065099999999999</v>
      </c>
      <c r="CX463">
        <v>24.294499999999999</v>
      </c>
      <c r="CY463" t="s">
        <v>134</v>
      </c>
      <c r="CZ463" t="s">
        <v>134</v>
      </c>
      <c r="DA463" t="s">
        <v>134</v>
      </c>
      <c r="DB463" t="s">
        <v>134</v>
      </c>
      <c r="DC463" t="s">
        <v>134</v>
      </c>
      <c r="DD463" t="s">
        <v>134</v>
      </c>
      <c r="DE463">
        <v>1692</v>
      </c>
      <c r="DF463" t="s">
        <v>134</v>
      </c>
      <c r="DG463" t="s">
        <v>134</v>
      </c>
      <c r="DH463" t="s">
        <v>134</v>
      </c>
      <c r="DI463" t="s">
        <v>134</v>
      </c>
    </row>
    <row r="464" spans="1:113" x14ac:dyDescent="0.3">
      <c r="E464" t="s">
        <v>78</v>
      </c>
      <c r="F464">
        <v>9.0427</v>
      </c>
      <c r="G464">
        <v>2.8254999999999999</v>
      </c>
      <c r="H464" t="s">
        <v>134</v>
      </c>
      <c r="I464">
        <v>6.0282999999999998</v>
      </c>
      <c r="J464">
        <v>34.879100000000001</v>
      </c>
      <c r="K464">
        <v>17.810099999999998</v>
      </c>
      <c r="L464">
        <v>75.0458</v>
      </c>
      <c r="M464">
        <v>16.611999999999998</v>
      </c>
      <c r="N464">
        <v>7.4104000000000001</v>
      </c>
      <c r="O464">
        <v>6.5663</v>
      </c>
      <c r="P464">
        <v>6.5663</v>
      </c>
      <c r="Q464">
        <v>55.391399999999997</v>
      </c>
      <c r="R464" t="s">
        <v>134</v>
      </c>
      <c r="S464" t="s">
        <v>134</v>
      </c>
      <c r="T464">
        <v>3.0891000000000002</v>
      </c>
      <c r="U464">
        <v>6.9455999999999998</v>
      </c>
      <c r="V464">
        <v>14.450900000000001</v>
      </c>
      <c r="W464">
        <v>40.216500000000003</v>
      </c>
      <c r="X464">
        <v>40.209200000000003</v>
      </c>
      <c r="Y464" t="s">
        <v>134</v>
      </c>
      <c r="Z464">
        <v>20.088799999999999</v>
      </c>
      <c r="AA464">
        <v>-1.2429000000000001</v>
      </c>
      <c r="AB464">
        <v>2.9464999999999999</v>
      </c>
      <c r="AC464">
        <v>18.8523</v>
      </c>
      <c r="AD464">
        <v>19.52</v>
      </c>
      <c r="AE464">
        <v>-4.2576999999999998</v>
      </c>
      <c r="AF464" t="s">
        <v>134</v>
      </c>
      <c r="AG464">
        <v>35.411700000000003</v>
      </c>
      <c r="AH464">
        <v>0.63380000000000003</v>
      </c>
      <c r="AI464">
        <v>6.1699000000000002</v>
      </c>
      <c r="AJ464">
        <v>3.2749999999999999</v>
      </c>
      <c r="AK464">
        <v>5.1218000000000004</v>
      </c>
      <c r="AL464">
        <v>0.47370000000000001</v>
      </c>
      <c r="AM464">
        <v>14.1174</v>
      </c>
      <c r="AN464">
        <v>12.960900000000001</v>
      </c>
      <c r="AO464">
        <v>10.6456</v>
      </c>
      <c r="AP464">
        <v>-1.5621</v>
      </c>
      <c r="AQ464">
        <v>-2.5807000000000002</v>
      </c>
      <c r="AR464" t="s">
        <v>134</v>
      </c>
      <c r="AS464" t="s">
        <v>134</v>
      </c>
      <c r="AT464">
        <v>-1.2662</v>
      </c>
      <c r="AU464">
        <v>-0.11310000000000001</v>
      </c>
      <c r="AV464">
        <v>8.6450999999999993</v>
      </c>
      <c r="AW464" t="s">
        <v>134</v>
      </c>
      <c r="AX464" t="s">
        <v>134</v>
      </c>
      <c r="AY464" t="s">
        <v>134</v>
      </c>
      <c r="AZ464">
        <v>19.834199999999999</v>
      </c>
      <c r="BA464">
        <v>1.8729</v>
      </c>
      <c r="BB464">
        <v>8.0848999999999993</v>
      </c>
      <c r="BC464">
        <v>4.6456999999999997</v>
      </c>
      <c r="BD464">
        <v>6.8597000000000001</v>
      </c>
      <c r="BE464">
        <v>7.9089</v>
      </c>
      <c r="BF464">
        <v>2.8475999999999999</v>
      </c>
      <c r="BG464">
        <v>1.7738</v>
      </c>
      <c r="BH464">
        <v>-1.3202</v>
      </c>
      <c r="BI464">
        <v>23.818999999999999</v>
      </c>
      <c r="BJ464">
        <v>23.8217</v>
      </c>
      <c r="BK464" t="s">
        <v>134</v>
      </c>
      <c r="BL464">
        <v>24.729900000000001</v>
      </c>
      <c r="BM464">
        <v>30.545200000000001</v>
      </c>
      <c r="BN464">
        <v>3.8477999999999999</v>
      </c>
      <c r="BO464">
        <v>10.5298</v>
      </c>
      <c r="BP464" t="s">
        <v>134</v>
      </c>
      <c r="BQ464" t="s">
        <v>134</v>
      </c>
      <c r="BR464" t="s">
        <v>134</v>
      </c>
      <c r="BS464">
        <v>-10.525600000000001</v>
      </c>
      <c r="BT464">
        <v>8.0386000000000006</v>
      </c>
      <c r="BU464">
        <v>3.3069999999999999</v>
      </c>
      <c r="BV464">
        <v>5.665</v>
      </c>
      <c r="BW464">
        <v>2.9497999999999998</v>
      </c>
      <c r="BX464">
        <v>87.662300000000002</v>
      </c>
      <c r="BY464">
        <v>717022</v>
      </c>
      <c r="BZ464">
        <v>189139</v>
      </c>
      <c r="CA464">
        <v>527883</v>
      </c>
      <c r="CB464">
        <v>2.2505999999999999</v>
      </c>
      <c r="CC464">
        <v>1.8555000000000001</v>
      </c>
      <c r="CD464">
        <v>4.3922999999999996</v>
      </c>
      <c r="CE464">
        <v>3.6212999999999997</v>
      </c>
      <c r="CF464">
        <v>3.3780000000000001</v>
      </c>
      <c r="CG464">
        <v>29.485800000000001</v>
      </c>
      <c r="CH464">
        <v>76.484499999999997</v>
      </c>
      <c r="CI464">
        <v>37.512900000000002</v>
      </c>
      <c r="CJ464">
        <v>24.394200000000001</v>
      </c>
      <c r="CK464">
        <v>103.8887</v>
      </c>
      <c r="CL464">
        <v>50.953600000000002</v>
      </c>
      <c r="CM464">
        <v>33.134500000000003</v>
      </c>
      <c r="CN464">
        <v>85.652799999999999</v>
      </c>
      <c r="CO464">
        <v>46.136000000000003</v>
      </c>
      <c r="CP464">
        <v>82562</v>
      </c>
      <c r="CQ464">
        <v>38500</v>
      </c>
      <c r="CR464">
        <v>42158</v>
      </c>
      <c r="CS464">
        <v>0.1943</v>
      </c>
      <c r="CT464">
        <v>0.53090000000000004</v>
      </c>
      <c r="CU464">
        <v>0.314</v>
      </c>
      <c r="CV464">
        <v>2.2967</v>
      </c>
      <c r="CW464">
        <v>13.045299999999999</v>
      </c>
      <c r="CX464">
        <v>27.979500000000002</v>
      </c>
      <c r="CY464" t="s">
        <v>134</v>
      </c>
      <c r="CZ464" t="s">
        <v>134</v>
      </c>
      <c r="DA464" t="s">
        <v>134</v>
      </c>
      <c r="DB464" t="s">
        <v>134</v>
      </c>
      <c r="DC464" t="s">
        <v>134</v>
      </c>
      <c r="DD464" t="s">
        <v>134</v>
      </c>
      <c r="DE464">
        <v>1748</v>
      </c>
      <c r="DF464" t="s">
        <v>134</v>
      </c>
      <c r="DG464" t="s">
        <v>134</v>
      </c>
      <c r="DH464" t="s">
        <v>134</v>
      </c>
      <c r="DI464" t="s">
        <v>134</v>
      </c>
    </row>
    <row r="465" spans="1:113" x14ac:dyDescent="0.3">
      <c r="E465" t="s">
        <v>79</v>
      </c>
      <c r="F465">
        <v>10.171799999999999</v>
      </c>
      <c r="G465">
        <v>3.1625000000000001</v>
      </c>
      <c r="H465" t="s">
        <v>134</v>
      </c>
      <c r="I465">
        <v>6.8017000000000003</v>
      </c>
      <c r="J465">
        <v>34.6128</v>
      </c>
      <c r="K465">
        <v>16.828499999999998</v>
      </c>
      <c r="L465">
        <v>16.042400000000001</v>
      </c>
      <c r="M465">
        <v>12.4305</v>
      </c>
      <c r="N465">
        <v>6.8396999999999997</v>
      </c>
      <c r="O465">
        <v>6.3883000000000001</v>
      </c>
      <c r="P465">
        <v>6.3883000000000001</v>
      </c>
      <c r="Q465">
        <v>44.976199999999999</v>
      </c>
      <c r="R465" t="s">
        <v>134</v>
      </c>
      <c r="S465" t="s">
        <v>134</v>
      </c>
      <c r="T465">
        <v>4.3357000000000001</v>
      </c>
      <c r="U465">
        <v>7.0717999999999996</v>
      </c>
      <c r="V465">
        <v>4.1247999999999996</v>
      </c>
      <c r="W465">
        <v>10.0853</v>
      </c>
      <c r="X465">
        <v>10.0838</v>
      </c>
      <c r="Y465" t="s">
        <v>134</v>
      </c>
      <c r="Z465">
        <v>9.4083000000000006</v>
      </c>
      <c r="AA465">
        <v>20.106999999999999</v>
      </c>
      <c r="AB465">
        <v>7.0811999999999999</v>
      </c>
      <c r="AC465">
        <v>12.425700000000001</v>
      </c>
      <c r="AD465">
        <v>9.6142000000000003</v>
      </c>
      <c r="AE465">
        <v>-28.947600000000001</v>
      </c>
      <c r="AF465" t="s">
        <v>134</v>
      </c>
      <c r="AG465">
        <v>60.959000000000003</v>
      </c>
      <c r="AH465">
        <v>-2.4095</v>
      </c>
      <c r="AI465">
        <v>2.6745999999999999</v>
      </c>
      <c r="AJ465">
        <v>9.9000000000000005E-2</v>
      </c>
      <c r="AK465">
        <v>2.2570000000000001</v>
      </c>
      <c r="AL465">
        <v>-17.352599999999999</v>
      </c>
      <c r="AM465">
        <v>9.3933999999999997</v>
      </c>
      <c r="AN465">
        <v>10.0078</v>
      </c>
      <c r="AO465">
        <v>9.5526999999999997</v>
      </c>
      <c r="AP465">
        <v>-1.726</v>
      </c>
      <c r="AQ465">
        <v>-2.7410000000000001</v>
      </c>
      <c r="AR465" t="s">
        <v>134</v>
      </c>
      <c r="AS465" t="s">
        <v>134</v>
      </c>
      <c r="AT465">
        <v>-5.0812999999999997</v>
      </c>
      <c r="AU465">
        <v>3.6799999999999999E-2</v>
      </c>
      <c r="AV465">
        <v>7.9939999999999998</v>
      </c>
      <c r="AW465" t="s">
        <v>134</v>
      </c>
      <c r="AX465" t="s">
        <v>134</v>
      </c>
      <c r="AY465" t="s">
        <v>134</v>
      </c>
      <c r="AZ465">
        <v>11.872</v>
      </c>
      <c r="BA465">
        <v>0.64429999999999998</v>
      </c>
      <c r="BB465">
        <v>6.5050999999999997</v>
      </c>
      <c r="BC465">
        <v>3.3622000000000001</v>
      </c>
      <c r="BD465">
        <v>5.2733999999999996</v>
      </c>
      <c r="BE465">
        <v>12.627700000000001</v>
      </c>
      <c r="BF465">
        <v>0.69620000000000004</v>
      </c>
      <c r="BG465">
        <v>0.19309999999999999</v>
      </c>
      <c r="BH465">
        <v>-4.3563000000000001</v>
      </c>
      <c r="BI465">
        <v>-27.9434</v>
      </c>
      <c r="BJ465">
        <v>-27.9773</v>
      </c>
      <c r="BK465" t="s">
        <v>134</v>
      </c>
      <c r="BL465">
        <v>2.9156</v>
      </c>
      <c r="BM465">
        <v>-10.1259</v>
      </c>
      <c r="BN465">
        <v>1.6851</v>
      </c>
      <c r="BO465">
        <v>-2.5448</v>
      </c>
      <c r="BP465" t="s">
        <v>134</v>
      </c>
      <c r="BQ465" t="s">
        <v>134</v>
      </c>
      <c r="BR465" t="s">
        <v>134</v>
      </c>
      <c r="BS465">
        <v>-30.673300000000001</v>
      </c>
      <c r="BT465">
        <v>-30.410799999999998</v>
      </c>
      <c r="BU465">
        <v>-3.9976000000000003</v>
      </c>
      <c r="BV465">
        <v>-19.1538</v>
      </c>
      <c r="BW465">
        <v>-3.2393000000000001</v>
      </c>
      <c r="BX465">
        <v>-34.524700000000003</v>
      </c>
      <c r="BY465">
        <v>660955</v>
      </c>
      <c r="BZ465">
        <v>132936</v>
      </c>
      <c r="CA465">
        <v>528019</v>
      </c>
      <c r="CB465">
        <v>2.0411000000000001</v>
      </c>
      <c r="CC465">
        <v>1.7534999999999998</v>
      </c>
      <c r="CD465">
        <v>4.0152000000000001</v>
      </c>
      <c r="CE465">
        <v>3.4493999999999998</v>
      </c>
      <c r="CF465" t="s">
        <v>134</v>
      </c>
      <c r="CG465">
        <v>29.700500000000002</v>
      </c>
      <c r="CH465">
        <v>77.965800000000002</v>
      </c>
      <c r="CI465">
        <v>39.4574</v>
      </c>
      <c r="CJ465">
        <v>24.9314</v>
      </c>
      <c r="CK465">
        <v>97.594800000000006</v>
      </c>
      <c r="CL465">
        <v>49.391399999999997</v>
      </c>
      <c r="CM465">
        <v>31.208200000000001</v>
      </c>
      <c r="CN465">
        <v>83.842600000000004</v>
      </c>
      <c r="CO465">
        <v>45.605600000000003</v>
      </c>
      <c r="CP465">
        <v>82502</v>
      </c>
      <c r="CQ465">
        <v>37786</v>
      </c>
      <c r="CR465">
        <v>40112</v>
      </c>
      <c r="CS465">
        <v>0.15529999999999999</v>
      </c>
      <c r="CT465">
        <v>0.44800000000000001</v>
      </c>
      <c r="CU465">
        <v>0.27689999999999998</v>
      </c>
      <c r="CV465">
        <v>2.2048000000000001</v>
      </c>
      <c r="CW465">
        <v>13.431699999999999</v>
      </c>
      <c r="CX465">
        <v>27.174499999999998</v>
      </c>
      <c r="CY465" t="s">
        <v>134</v>
      </c>
      <c r="CZ465" t="s">
        <v>134</v>
      </c>
      <c r="DA465" t="s">
        <v>134</v>
      </c>
      <c r="DB465" t="s">
        <v>134</v>
      </c>
      <c r="DC465" t="s">
        <v>134</v>
      </c>
      <c r="DD465" t="s">
        <v>134</v>
      </c>
      <c r="DE465">
        <v>1571</v>
      </c>
      <c r="DF465" t="s">
        <v>134</v>
      </c>
      <c r="DG465" t="s">
        <v>134</v>
      </c>
      <c r="DH465" t="s">
        <v>134</v>
      </c>
      <c r="DI465" t="s">
        <v>134</v>
      </c>
    </row>
    <row r="466" spans="1:113" x14ac:dyDescent="0.3">
      <c r="E466" t="s">
        <v>80</v>
      </c>
      <c r="F466">
        <v>9.6348000000000003</v>
      </c>
      <c r="G466">
        <v>2.9178999999999999</v>
      </c>
      <c r="H466" t="s">
        <v>134</v>
      </c>
      <c r="I466">
        <v>6.8841999999999999</v>
      </c>
      <c r="J466">
        <v>35.091999999999999</v>
      </c>
      <c r="K466">
        <v>16.999600000000001</v>
      </c>
      <c r="L466">
        <v>12.5943</v>
      </c>
      <c r="M466">
        <v>10.8278</v>
      </c>
      <c r="N466">
        <v>5.2186000000000003</v>
      </c>
      <c r="O466">
        <v>4.641</v>
      </c>
      <c r="P466">
        <v>4.641</v>
      </c>
      <c r="Q466">
        <v>51.803699999999999</v>
      </c>
      <c r="R466" t="s">
        <v>134</v>
      </c>
      <c r="S466" t="s">
        <v>134</v>
      </c>
      <c r="T466">
        <v>3.6558999999999999</v>
      </c>
      <c r="U466">
        <v>8.4707000000000008</v>
      </c>
      <c r="V466">
        <v>2.6831</v>
      </c>
      <c r="W466">
        <v>-22.2485</v>
      </c>
      <c r="X466">
        <v>-22.3706</v>
      </c>
      <c r="Y466" t="s">
        <v>134</v>
      </c>
      <c r="Z466">
        <v>4.1253000000000002</v>
      </c>
      <c r="AA466">
        <v>43.512700000000002</v>
      </c>
      <c r="AB466">
        <v>13.2065</v>
      </c>
      <c r="AC466">
        <v>12.071300000000001</v>
      </c>
      <c r="AD466">
        <v>4.8036000000000003</v>
      </c>
      <c r="AE466">
        <v>3.5202999999999998</v>
      </c>
      <c r="AF466" t="s">
        <v>134</v>
      </c>
      <c r="AG466">
        <v>-57.692599999999999</v>
      </c>
      <c r="AH466">
        <v>-10.4527</v>
      </c>
      <c r="AI466">
        <v>5.7127999999999997</v>
      </c>
      <c r="AJ466">
        <v>-2.4102000000000001</v>
      </c>
      <c r="AK466">
        <v>5.1505000000000001</v>
      </c>
      <c r="AL466">
        <v>-3.1425000000000001</v>
      </c>
      <c r="AM466">
        <v>8.8407</v>
      </c>
      <c r="AN466">
        <v>11.135199999999999</v>
      </c>
      <c r="AO466">
        <v>12.495699999999999</v>
      </c>
      <c r="AP466">
        <v>-3.0396999999999998</v>
      </c>
      <c r="AQ466">
        <v>-4.0742000000000003</v>
      </c>
      <c r="AR466" t="s">
        <v>134</v>
      </c>
      <c r="AS466" t="s">
        <v>134</v>
      </c>
      <c r="AT466">
        <v>-1.9823</v>
      </c>
      <c r="AU466">
        <v>5.5500000000000001E-2</v>
      </c>
      <c r="AV466">
        <v>8.5152000000000001</v>
      </c>
      <c r="AW466" t="s">
        <v>134</v>
      </c>
      <c r="AX466" t="s">
        <v>134</v>
      </c>
      <c r="AY466" t="s">
        <v>134</v>
      </c>
      <c r="AZ466">
        <v>2.0442</v>
      </c>
      <c r="BA466">
        <v>-1.0434000000000001</v>
      </c>
      <c r="BB466">
        <v>6.7797000000000001</v>
      </c>
      <c r="BC466">
        <v>2.7271000000000001</v>
      </c>
      <c r="BD466">
        <v>5.4031000000000002</v>
      </c>
      <c r="BE466">
        <v>10.0999</v>
      </c>
      <c r="BF466">
        <v>0.96579999999999999</v>
      </c>
      <c r="BG466">
        <v>2.3635999999999999</v>
      </c>
      <c r="BH466">
        <v>1.9919</v>
      </c>
      <c r="BI466">
        <v>-27.289899999999999</v>
      </c>
      <c r="BJ466">
        <v>-27.343699999999998</v>
      </c>
      <c r="BK466" t="s">
        <v>134</v>
      </c>
      <c r="BL466">
        <v>11.282999999999999</v>
      </c>
      <c r="BM466">
        <v>15.4679</v>
      </c>
      <c r="BN466">
        <v>2.8026999999999997</v>
      </c>
      <c r="BO466">
        <v>2.5444</v>
      </c>
      <c r="BP466" t="s">
        <v>134</v>
      </c>
      <c r="BQ466" t="s">
        <v>134</v>
      </c>
      <c r="BR466" t="s">
        <v>134</v>
      </c>
      <c r="BS466">
        <v>-41.515500000000003</v>
      </c>
      <c r="BT466">
        <v>-35.323700000000002</v>
      </c>
      <c r="BU466">
        <v>-0.31230000000000002</v>
      </c>
      <c r="BV466">
        <v>-20.2242</v>
      </c>
      <c r="BW466">
        <v>-4.1700000000000001E-2</v>
      </c>
      <c r="BX466">
        <v>15.6149</v>
      </c>
      <c r="BY466">
        <v>590464</v>
      </c>
      <c r="BZ466">
        <v>80008</v>
      </c>
      <c r="CA466">
        <v>510456</v>
      </c>
      <c r="CB466">
        <v>1.7869999999999999</v>
      </c>
      <c r="CC466">
        <v>1.6076999999999999</v>
      </c>
      <c r="CD466">
        <v>3.5638000000000001</v>
      </c>
      <c r="CE466">
        <v>3.2061999999999999</v>
      </c>
      <c r="CF466">
        <v>4.4387999999999996</v>
      </c>
      <c r="CG466">
        <v>29.372900000000001</v>
      </c>
      <c r="CH466">
        <v>73.963300000000004</v>
      </c>
      <c r="CI466">
        <v>39.860300000000002</v>
      </c>
      <c r="CJ466">
        <v>23.403099999999998</v>
      </c>
      <c r="CK466">
        <v>85.556100000000001</v>
      </c>
      <c r="CL466">
        <v>46.107999999999997</v>
      </c>
      <c r="CM466">
        <v>27.071300000000001</v>
      </c>
      <c r="CN466">
        <v>76.972300000000004</v>
      </c>
      <c r="CO466">
        <v>43.494</v>
      </c>
      <c r="CP466">
        <v>84452</v>
      </c>
      <c r="CQ466">
        <v>35136</v>
      </c>
      <c r="CR466">
        <v>40911</v>
      </c>
      <c r="CS466">
        <v>0.10489999999999999</v>
      </c>
      <c r="CT466">
        <v>0.39350000000000002</v>
      </c>
      <c r="CU466">
        <v>0.2379</v>
      </c>
      <c r="CV466">
        <v>2.3079000000000001</v>
      </c>
      <c r="CW466">
        <v>12.8467</v>
      </c>
      <c r="CX466">
        <v>28.411899999999999</v>
      </c>
      <c r="CY466" t="s">
        <v>134</v>
      </c>
      <c r="CZ466" t="s">
        <v>134</v>
      </c>
      <c r="DA466" t="s">
        <v>134</v>
      </c>
      <c r="DB466" t="s">
        <v>134</v>
      </c>
      <c r="DC466" t="s">
        <v>134</v>
      </c>
      <c r="DD466" t="s">
        <v>134</v>
      </c>
      <c r="DE466">
        <v>1814</v>
      </c>
      <c r="DF466" t="s">
        <v>134</v>
      </c>
      <c r="DG466" t="s">
        <v>134</v>
      </c>
      <c r="DH466" t="s">
        <v>134</v>
      </c>
      <c r="DI466" t="s">
        <v>134</v>
      </c>
    </row>
    <row r="467" spans="1:113" x14ac:dyDescent="0.3">
      <c r="E467" t="s">
        <v>81</v>
      </c>
      <c r="F467">
        <v>9.4802</v>
      </c>
      <c r="G467">
        <v>2.8754</v>
      </c>
      <c r="H467">
        <v>8.4573999999999998</v>
      </c>
      <c r="I467">
        <v>6.6242000000000001</v>
      </c>
      <c r="J467">
        <v>36.601900000000001</v>
      </c>
      <c r="K467">
        <v>17.305599999999998</v>
      </c>
      <c r="L467">
        <v>2.4279000000000002</v>
      </c>
      <c r="M467">
        <v>10.295</v>
      </c>
      <c r="N467">
        <v>5.9832999999999998</v>
      </c>
      <c r="O467">
        <v>5.1696</v>
      </c>
      <c r="P467">
        <v>5.1696</v>
      </c>
      <c r="Q467">
        <v>41.881999999999998</v>
      </c>
      <c r="R467" t="s">
        <v>134</v>
      </c>
      <c r="S467" t="s">
        <v>134</v>
      </c>
      <c r="T467">
        <v>8.4468999999999994</v>
      </c>
      <c r="U467">
        <v>12.615399999999999</v>
      </c>
      <c r="V467">
        <v>1.1048</v>
      </c>
      <c r="W467">
        <v>2.7881999999999998</v>
      </c>
      <c r="X467">
        <v>2.8662000000000001</v>
      </c>
      <c r="Y467" t="s">
        <v>134</v>
      </c>
      <c r="Z467">
        <v>6.0205000000000002</v>
      </c>
      <c r="AA467">
        <v>26.363</v>
      </c>
      <c r="AB467">
        <v>13.0631</v>
      </c>
      <c r="AC467">
        <v>14.856</v>
      </c>
      <c r="AD467">
        <v>-75.525800000000004</v>
      </c>
      <c r="AE467">
        <v>3.5983000000000001</v>
      </c>
      <c r="AF467">
        <v>33.030999999999999</v>
      </c>
      <c r="AG467">
        <v>-61.367400000000004</v>
      </c>
      <c r="AH467">
        <v>-0.23219999999999999</v>
      </c>
      <c r="AI467">
        <v>6.0166000000000004</v>
      </c>
      <c r="AJ467">
        <v>2.9024999999999999</v>
      </c>
      <c r="AK467">
        <v>5.9420000000000002</v>
      </c>
      <c r="AL467">
        <v>49.197000000000003</v>
      </c>
      <c r="AM467">
        <v>8.9418000000000006</v>
      </c>
      <c r="AN467">
        <v>10.9077</v>
      </c>
      <c r="AO467">
        <v>11.7905</v>
      </c>
      <c r="AP467">
        <v>-1.6284999999999998</v>
      </c>
      <c r="AQ467">
        <v>-2.6276999999999999</v>
      </c>
      <c r="AR467" t="s">
        <v>134</v>
      </c>
      <c r="AS467">
        <v>7.1841999999999997</v>
      </c>
      <c r="AT467">
        <v>-4.5803000000000003</v>
      </c>
      <c r="AU467">
        <v>0.1038</v>
      </c>
      <c r="AV467">
        <v>8.9466999999999999</v>
      </c>
      <c r="AW467" t="s">
        <v>134</v>
      </c>
      <c r="AX467" t="s">
        <v>134</v>
      </c>
      <c r="AY467">
        <v>19.699200000000001</v>
      </c>
      <c r="AZ467">
        <v>-0.64959999999999996</v>
      </c>
      <c r="BA467">
        <v>1.4315</v>
      </c>
      <c r="BB467">
        <v>6.5301999999999998</v>
      </c>
      <c r="BC467">
        <v>3.8792999999999997</v>
      </c>
      <c r="BD467">
        <v>5.0465</v>
      </c>
      <c r="BE467">
        <v>2.3214999999999999</v>
      </c>
      <c r="BF467">
        <v>3.7136</v>
      </c>
      <c r="BG467">
        <v>8.0982000000000003</v>
      </c>
      <c r="BH467">
        <v>5.4231999999999996</v>
      </c>
      <c r="BI467">
        <v>16.442599999999999</v>
      </c>
      <c r="BJ467">
        <v>16.6065</v>
      </c>
      <c r="BK467" t="s">
        <v>134</v>
      </c>
      <c r="BL467">
        <v>-2.2904999999999998</v>
      </c>
      <c r="BM467">
        <v>-6.7255000000000003</v>
      </c>
      <c r="BN467">
        <v>2.7260999999999997</v>
      </c>
      <c r="BO467">
        <v>2.6793</v>
      </c>
      <c r="BP467" t="s">
        <v>134</v>
      </c>
      <c r="BQ467" t="s">
        <v>134</v>
      </c>
      <c r="BR467">
        <v>-47.2346</v>
      </c>
      <c r="BS467">
        <v>-2.7277</v>
      </c>
      <c r="BT467">
        <v>-29.9572</v>
      </c>
      <c r="BU467">
        <v>0.51019999999999999</v>
      </c>
      <c r="BV467">
        <v>-16.9452</v>
      </c>
      <c r="BW467">
        <v>0.58640000000000003</v>
      </c>
      <c r="BX467">
        <v>5.0332999999999997</v>
      </c>
      <c r="BY467">
        <v>662131</v>
      </c>
      <c r="BZ467">
        <v>81665</v>
      </c>
      <c r="CA467">
        <v>580466</v>
      </c>
      <c r="CB467">
        <v>1.9434</v>
      </c>
      <c r="CC467">
        <v>1.7463</v>
      </c>
      <c r="CD467">
        <v>3.9835000000000003</v>
      </c>
      <c r="CE467">
        <v>3.5796000000000001</v>
      </c>
      <c r="CF467">
        <v>5.3240999999999996</v>
      </c>
      <c r="CG467">
        <v>29.186199999999999</v>
      </c>
      <c r="CH467">
        <v>81.953699999999998</v>
      </c>
      <c r="CI467">
        <v>42.356900000000003</v>
      </c>
      <c r="CJ467">
        <v>25.813700000000001</v>
      </c>
      <c r="CK467">
        <v>93.483699999999999</v>
      </c>
      <c r="CL467">
        <v>48.316099999999999</v>
      </c>
      <c r="CM467">
        <v>29.445399999999999</v>
      </c>
      <c r="CN467">
        <v>84.003600000000006</v>
      </c>
      <c r="CO467">
        <v>45.653199999999998</v>
      </c>
      <c r="CP467">
        <v>91357</v>
      </c>
      <c r="CQ467">
        <v>36138</v>
      </c>
      <c r="CR467">
        <v>43194</v>
      </c>
      <c r="CS467">
        <v>0.1153</v>
      </c>
      <c r="CT467">
        <v>0.39279999999999998</v>
      </c>
      <c r="CU467">
        <v>0.2286</v>
      </c>
      <c r="CV467">
        <v>2.0598999999999998</v>
      </c>
      <c r="CW467">
        <v>15.065099999999999</v>
      </c>
      <c r="CX467">
        <v>24.294499999999999</v>
      </c>
      <c r="CY467" t="s">
        <v>134</v>
      </c>
      <c r="CZ467" t="s">
        <v>134</v>
      </c>
      <c r="DA467" t="s">
        <v>134</v>
      </c>
      <c r="DB467" t="s">
        <v>134</v>
      </c>
      <c r="DC467" t="s">
        <v>134</v>
      </c>
      <c r="DD467" t="s">
        <v>134</v>
      </c>
      <c r="DE467">
        <v>1692</v>
      </c>
      <c r="DF467" t="s">
        <v>134</v>
      </c>
      <c r="DG467" t="s">
        <v>134</v>
      </c>
      <c r="DH467" t="s">
        <v>134</v>
      </c>
      <c r="DI467" t="s">
        <v>134</v>
      </c>
    </row>
    <row r="468" spans="1:113" x14ac:dyDescent="0.3">
      <c r="D468" t="s">
        <v>84</v>
      </c>
      <c r="E468" t="s">
        <v>77</v>
      </c>
      <c r="F468">
        <v>5.6618000000000004</v>
      </c>
      <c r="G468">
        <v>1.6576</v>
      </c>
      <c r="H468">
        <v>4.4730999999999996</v>
      </c>
      <c r="I468">
        <v>5.2218999999999998</v>
      </c>
      <c r="J468">
        <v>37.006799999999998</v>
      </c>
      <c r="K468">
        <v>16.295300000000001</v>
      </c>
      <c r="L468">
        <v>-91.897000000000006</v>
      </c>
      <c r="M468">
        <v>8.0899000000000001</v>
      </c>
      <c r="N468">
        <v>4.4427000000000003</v>
      </c>
      <c r="O468">
        <v>3.9802</v>
      </c>
      <c r="P468">
        <v>3.9802</v>
      </c>
      <c r="Q468">
        <v>45.083100000000002</v>
      </c>
      <c r="R468">
        <v>10.519</v>
      </c>
      <c r="S468">
        <v>5.0662000000000003</v>
      </c>
      <c r="T468">
        <v>-1.1020000000000001</v>
      </c>
      <c r="U468">
        <v>3.9595000000000002</v>
      </c>
      <c r="V468">
        <v>-5.9124999999999996</v>
      </c>
      <c r="W468">
        <v>-37.4694</v>
      </c>
      <c r="X468">
        <v>-37.434199999999997</v>
      </c>
      <c r="Y468">
        <v>-26.470600000000001</v>
      </c>
      <c r="Z468">
        <v>-9.4497</v>
      </c>
      <c r="AA468">
        <v>-71.1584</v>
      </c>
      <c r="AB468">
        <v>-2.0951</v>
      </c>
      <c r="AC468">
        <v>3.1131000000000002</v>
      </c>
      <c r="AD468">
        <v>-9.6125000000000007</v>
      </c>
      <c r="AE468">
        <v>-19.060099999999998</v>
      </c>
      <c r="AF468">
        <v>4.9767999999999999</v>
      </c>
      <c r="AG468">
        <v>59.073700000000002</v>
      </c>
      <c r="AH468">
        <v>6.9440999999999997</v>
      </c>
      <c r="AI468">
        <v>2.8559000000000001</v>
      </c>
      <c r="AJ468">
        <v>5.2336</v>
      </c>
      <c r="AK468">
        <v>1.0288999999999999</v>
      </c>
      <c r="AL468">
        <v>-5.5869999999999997</v>
      </c>
      <c r="AM468">
        <v>5.9668999999999999</v>
      </c>
      <c r="AN468">
        <v>8.3012999999999995</v>
      </c>
      <c r="AO468">
        <v>8.5037000000000003</v>
      </c>
      <c r="AP468">
        <v>-2.2576999999999998</v>
      </c>
      <c r="AQ468">
        <v>-3.2530000000000001</v>
      </c>
      <c r="AR468">
        <v>0</v>
      </c>
      <c r="AS468">
        <v>-2.0024000000000002</v>
      </c>
      <c r="AT468">
        <v>-17.8964</v>
      </c>
      <c r="AU468">
        <v>-0.93300000000000005</v>
      </c>
      <c r="AV468">
        <v>8.1842000000000006</v>
      </c>
      <c r="AW468" t="s">
        <v>134</v>
      </c>
      <c r="AX468" t="s">
        <v>134</v>
      </c>
      <c r="AY468">
        <v>32.922899999999998</v>
      </c>
      <c r="AZ468">
        <v>-1.6232</v>
      </c>
      <c r="BA468">
        <v>9.2507999999999999</v>
      </c>
      <c r="BB468">
        <v>6.8457999999999997</v>
      </c>
      <c r="BC468">
        <v>8.2281999999999993</v>
      </c>
      <c r="BD468">
        <v>4.8198999999999996</v>
      </c>
      <c r="BE468">
        <v>4.1243999999999996</v>
      </c>
      <c r="BF468">
        <v>-1.1020000000000001</v>
      </c>
      <c r="BG468">
        <v>3.9595000000000002</v>
      </c>
      <c r="BH468">
        <v>-5.9124999999999996</v>
      </c>
      <c r="BI468">
        <v>-37.4694</v>
      </c>
      <c r="BJ468">
        <v>-37.434199999999997</v>
      </c>
      <c r="BK468">
        <v>-26.470600000000001</v>
      </c>
      <c r="BL468">
        <v>-9.4497</v>
      </c>
      <c r="BM468">
        <v>-71.1584</v>
      </c>
      <c r="BN468">
        <v>-2.0951</v>
      </c>
      <c r="BO468">
        <v>3.1131000000000002</v>
      </c>
      <c r="BP468" t="s">
        <v>134</v>
      </c>
      <c r="BQ468" t="s">
        <v>134</v>
      </c>
      <c r="BR468">
        <v>4.9767999999999999</v>
      </c>
      <c r="BS468">
        <v>59.073700000000002</v>
      </c>
      <c r="BT468">
        <v>6.9440999999999997</v>
      </c>
      <c r="BU468">
        <v>2.8559000000000001</v>
      </c>
      <c r="BV468">
        <v>5.2336</v>
      </c>
      <c r="BW468">
        <v>1.0288999999999999</v>
      </c>
      <c r="BX468">
        <v>-5.5869999999999997</v>
      </c>
      <c r="BY468">
        <v>1074281</v>
      </c>
      <c r="BZ468">
        <v>177908</v>
      </c>
      <c r="CA468">
        <v>896373</v>
      </c>
      <c r="CB468">
        <v>3.0407000000000002</v>
      </c>
      <c r="CC468">
        <v>2.9470000000000001</v>
      </c>
      <c r="CD468">
        <v>6.9055</v>
      </c>
      <c r="CE468">
        <v>6.6928000000000001</v>
      </c>
      <c r="CF468">
        <v>5.2628000000000004</v>
      </c>
      <c r="CG468">
        <v>28.982299999999999</v>
      </c>
      <c r="CH468">
        <v>120.5916</v>
      </c>
      <c r="CI468">
        <v>49.316499999999998</v>
      </c>
      <c r="CJ468">
        <v>38.5122</v>
      </c>
      <c r="CK468">
        <v>144.52610000000001</v>
      </c>
      <c r="CL468">
        <v>59.104599999999998</v>
      </c>
      <c r="CM468">
        <v>46.155999999999999</v>
      </c>
      <c r="CN468">
        <v>140.07300000000001</v>
      </c>
      <c r="CO468">
        <v>58.345999999999997</v>
      </c>
      <c r="CP468">
        <v>353298</v>
      </c>
      <c r="CQ468">
        <v>130268</v>
      </c>
      <c r="CR468">
        <v>155568</v>
      </c>
      <c r="CS468">
        <v>5.2600000000000001E-2</v>
      </c>
      <c r="CT468">
        <v>0.32269999999999999</v>
      </c>
      <c r="CU468">
        <v>0.1318</v>
      </c>
      <c r="CV468">
        <v>2.0034999999999998</v>
      </c>
      <c r="CW468">
        <v>18.2058</v>
      </c>
      <c r="CX468">
        <v>20.0486</v>
      </c>
      <c r="CY468" t="s">
        <v>134</v>
      </c>
      <c r="CZ468" t="s">
        <v>134</v>
      </c>
      <c r="DA468" t="s">
        <v>134</v>
      </c>
      <c r="DB468" t="s">
        <v>134</v>
      </c>
      <c r="DC468" t="s">
        <v>134</v>
      </c>
      <c r="DD468" t="s">
        <v>134</v>
      </c>
      <c r="DE468">
        <v>488</v>
      </c>
      <c r="DF468" t="s">
        <v>134</v>
      </c>
      <c r="DG468" t="s">
        <v>134</v>
      </c>
      <c r="DH468" t="s">
        <v>134</v>
      </c>
      <c r="DI468" t="s">
        <v>134</v>
      </c>
    </row>
    <row r="469" spans="1:113" x14ac:dyDescent="0.3">
      <c r="E469" t="s">
        <v>78</v>
      </c>
      <c r="F469">
        <v>8.3923000000000005</v>
      </c>
      <c r="G469">
        <v>2.4525000000000001</v>
      </c>
      <c r="H469">
        <v>6.6609999999999996</v>
      </c>
      <c r="I469">
        <v>5.7127999999999997</v>
      </c>
      <c r="J469">
        <v>37.478700000000003</v>
      </c>
      <c r="K469">
        <v>17.749199999999998</v>
      </c>
      <c r="L469">
        <v>18.148900000000001</v>
      </c>
      <c r="M469">
        <v>9.7591000000000001</v>
      </c>
      <c r="N469">
        <v>5.8098000000000001</v>
      </c>
      <c r="O469">
        <v>5.7229000000000001</v>
      </c>
      <c r="P469">
        <v>5.7229000000000001</v>
      </c>
      <c r="Q469">
        <v>40.467700000000001</v>
      </c>
      <c r="R469" t="s">
        <v>134</v>
      </c>
      <c r="S469" t="s">
        <v>134</v>
      </c>
      <c r="T469">
        <v>7.9237000000000002</v>
      </c>
      <c r="U469">
        <v>16.2758</v>
      </c>
      <c r="V469">
        <v>8.1166</v>
      </c>
      <c r="W469">
        <v>-30.815799999999999</v>
      </c>
      <c r="X469">
        <v>-30.812899999999999</v>
      </c>
      <c r="Y469" t="s">
        <v>134</v>
      </c>
      <c r="Z469">
        <v>-4.8166000000000002</v>
      </c>
      <c r="AA469">
        <v>-7.1509999999999998</v>
      </c>
      <c r="AB469">
        <v>6.2267999999999999</v>
      </c>
      <c r="AC469">
        <v>3.5928</v>
      </c>
      <c r="AD469">
        <v>-24.075800000000001</v>
      </c>
      <c r="AE469">
        <v>-20.231100000000001</v>
      </c>
      <c r="AF469">
        <v>15.1374</v>
      </c>
      <c r="AG469">
        <v>-31.807099999999998</v>
      </c>
      <c r="AH469">
        <v>7.1291000000000002</v>
      </c>
      <c r="AI469">
        <v>-1.4548000000000001</v>
      </c>
      <c r="AJ469">
        <v>3.4706999999999999</v>
      </c>
      <c r="AK469">
        <v>-1.1071</v>
      </c>
      <c r="AL469">
        <v>28.4922</v>
      </c>
      <c r="AM469">
        <v>8.5188000000000006</v>
      </c>
      <c r="AN469">
        <v>10.9069</v>
      </c>
      <c r="AO469">
        <v>11.985900000000001</v>
      </c>
      <c r="AP469">
        <v>3.7671999999999999</v>
      </c>
      <c r="AQ469">
        <v>2.7098</v>
      </c>
      <c r="AR469" t="s">
        <v>134</v>
      </c>
      <c r="AS469">
        <v>2.1644000000000001</v>
      </c>
      <c r="AT469">
        <v>-6.0978000000000003</v>
      </c>
      <c r="AU469">
        <v>-0.3614</v>
      </c>
      <c r="AV469">
        <v>8.6946999999999992</v>
      </c>
      <c r="AW469" t="s">
        <v>134</v>
      </c>
      <c r="AX469" t="s">
        <v>134</v>
      </c>
      <c r="AY469" t="s">
        <v>134</v>
      </c>
      <c r="AZ469">
        <v>-4.8565000000000005</v>
      </c>
      <c r="BA469">
        <v>10.138199999999999</v>
      </c>
      <c r="BB469">
        <v>5.7213000000000003</v>
      </c>
      <c r="BC469">
        <v>8.2129999999999992</v>
      </c>
      <c r="BD469">
        <v>4.1471999999999998</v>
      </c>
      <c r="BE469">
        <v>11.052899999999999</v>
      </c>
      <c r="BF469">
        <v>2.3513999999999999</v>
      </c>
      <c r="BG469">
        <v>4.8053999999999997</v>
      </c>
      <c r="BH469">
        <v>4.9801000000000002</v>
      </c>
      <c r="BI469">
        <v>10.8163</v>
      </c>
      <c r="BJ469">
        <v>10.9091</v>
      </c>
      <c r="BK469" t="s">
        <v>134</v>
      </c>
      <c r="BL469">
        <v>22.542200000000001</v>
      </c>
      <c r="BM469">
        <v>-4.0780000000000003</v>
      </c>
      <c r="BN469">
        <v>-2.3934000000000002</v>
      </c>
      <c r="BO469">
        <v>-0.26400000000000001</v>
      </c>
      <c r="BP469" t="s">
        <v>134</v>
      </c>
      <c r="BQ469" t="s">
        <v>134</v>
      </c>
      <c r="BR469">
        <v>5.8411</v>
      </c>
      <c r="BS469">
        <v>16.918800000000001</v>
      </c>
      <c r="BT469">
        <v>1.2924</v>
      </c>
      <c r="BU469">
        <v>-3.8041999999999998</v>
      </c>
      <c r="BV469">
        <v>-0.84009999999999996</v>
      </c>
      <c r="BW469">
        <v>-3.7153</v>
      </c>
      <c r="BX469">
        <v>61.622</v>
      </c>
      <c r="BY469">
        <v>1017508</v>
      </c>
      <c r="BZ469">
        <v>130762</v>
      </c>
      <c r="CA469">
        <v>886746</v>
      </c>
      <c r="CB469">
        <v>2.8734000000000002</v>
      </c>
      <c r="CC469">
        <v>2.6381000000000001</v>
      </c>
      <c r="CD469">
        <v>5.9988000000000001</v>
      </c>
      <c r="CE469">
        <v>5.5075000000000003</v>
      </c>
      <c r="CF469">
        <v>4.9291999999999998</v>
      </c>
      <c r="CG469">
        <v>28.5566</v>
      </c>
      <c r="CH469">
        <v>127.55589999999999</v>
      </c>
      <c r="CI469">
        <v>51.774999999999999</v>
      </c>
      <c r="CJ469">
        <v>39.3887</v>
      </c>
      <c r="CK469">
        <v>146.3657</v>
      </c>
      <c r="CL469">
        <v>59.4099</v>
      </c>
      <c r="CM469">
        <v>45.197000000000003</v>
      </c>
      <c r="CN469">
        <v>134.3783</v>
      </c>
      <c r="CO469">
        <v>57.3339</v>
      </c>
      <c r="CP469">
        <v>95745</v>
      </c>
      <c r="CQ469">
        <v>36168</v>
      </c>
      <c r="CR469">
        <v>45343</v>
      </c>
      <c r="CS469">
        <v>0.13589999999999999</v>
      </c>
      <c r="CT469">
        <v>0.40200000000000002</v>
      </c>
      <c r="CU469">
        <v>0.24590000000000001</v>
      </c>
      <c r="CV469">
        <v>2.3658000000000001</v>
      </c>
      <c r="CW469">
        <v>14.230499999999999</v>
      </c>
      <c r="CX469">
        <v>25.7193</v>
      </c>
      <c r="CY469" t="s">
        <v>134</v>
      </c>
      <c r="CZ469" t="s">
        <v>134</v>
      </c>
      <c r="DA469" t="s">
        <v>134</v>
      </c>
      <c r="DB469" t="s">
        <v>134</v>
      </c>
      <c r="DC469" t="s">
        <v>134</v>
      </c>
      <c r="DD469" t="s">
        <v>134</v>
      </c>
      <c r="DE469">
        <v>1623</v>
      </c>
      <c r="DF469" t="s">
        <v>134</v>
      </c>
      <c r="DG469" t="s">
        <v>134</v>
      </c>
      <c r="DH469" t="s">
        <v>134</v>
      </c>
      <c r="DI469" t="s">
        <v>134</v>
      </c>
    </row>
    <row r="470" spans="1:113" x14ac:dyDescent="0.3">
      <c r="E470" t="s">
        <v>79</v>
      </c>
      <c r="F470">
        <v>8.3444000000000003</v>
      </c>
      <c r="G470">
        <v>2.46</v>
      </c>
      <c r="H470">
        <v>6.7007000000000003</v>
      </c>
      <c r="I470">
        <v>6.1170999999999998</v>
      </c>
      <c r="J470">
        <v>38.375799999999998</v>
      </c>
      <c r="K470">
        <v>18.2715</v>
      </c>
      <c r="L470">
        <v>60.4315</v>
      </c>
      <c r="M470">
        <v>11.069100000000001</v>
      </c>
      <c r="N470">
        <v>6.5517000000000003</v>
      </c>
      <c r="O470">
        <v>5.9253999999999998</v>
      </c>
      <c r="P470">
        <v>5.9253999999999998</v>
      </c>
      <c r="Q470">
        <v>40.810600000000001</v>
      </c>
      <c r="R470" t="s">
        <v>134</v>
      </c>
      <c r="S470" t="s">
        <v>134</v>
      </c>
      <c r="T470">
        <v>3.4226000000000001</v>
      </c>
      <c r="U470">
        <v>14.6663</v>
      </c>
      <c r="V470">
        <v>12.2906</v>
      </c>
      <c r="W470">
        <v>-4.9085000000000001</v>
      </c>
      <c r="X470">
        <v>-4.9478999999999997</v>
      </c>
      <c r="Y470" t="s">
        <v>134</v>
      </c>
      <c r="Z470">
        <v>1.1141000000000001</v>
      </c>
      <c r="AA470">
        <v>-5.6014999999999997</v>
      </c>
      <c r="AB470">
        <v>4.2060000000000004</v>
      </c>
      <c r="AC470">
        <v>4.4922000000000004</v>
      </c>
      <c r="AD470">
        <v>-14.9587</v>
      </c>
      <c r="AE470">
        <v>-22.233699999999999</v>
      </c>
      <c r="AF470">
        <v>11.104900000000001</v>
      </c>
      <c r="AG470">
        <v>-20.8352</v>
      </c>
      <c r="AH470">
        <v>8.2349999999999994</v>
      </c>
      <c r="AI470">
        <v>-0.86870000000000003</v>
      </c>
      <c r="AJ470">
        <v>4.3087999999999997</v>
      </c>
      <c r="AK470">
        <v>7.1300000000000002E-2</v>
      </c>
      <c r="AL470">
        <v>45.946599999999997</v>
      </c>
      <c r="AM470">
        <v>7.3769999999999998</v>
      </c>
      <c r="AN470">
        <v>10.222099999999999</v>
      </c>
      <c r="AO470">
        <v>11.3507</v>
      </c>
      <c r="AP470">
        <v>7.2995999999999999</v>
      </c>
      <c r="AQ470">
        <v>6.1677999999999997</v>
      </c>
      <c r="AR470" t="s">
        <v>134</v>
      </c>
      <c r="AS470">
        <v>2.3426</v>
      </c>
      <c r="AT470">
        <v>-9.2545999999999999</v>
      </c>
      <c r="AU470">
        <v>-1.1302000000000001</v>
      </c>
      <c r="AV470">
        <v>7.5815000000000001</v>
      </c>
      <c r="AW470" t="s">
        <v>134</v>
      </c>
      <c r="AX470" t="s">
        <v>134</v>
      </c>
      <c r="AY470" t="s">
        <v>134</v>
      </c>
      <c r="AZ470">
        <v>-11.2073</v>
      </c>
      <c r="BA470">
        <v>7.9230999999999998</v>
      </c>
      <c r="BB470">
        <v>6.0106999999999999</v>
      </c>
      <c r="BC470">
        <v>7.1143000000000001</v>
      </c>
      <c r="BD470">
        <v>4.6921999999999997</v>
      </c>
      <c r="BE470">
        <v>7.5686</v>
      </c>
      <c r="BF470">
        <v>-3.5034000000000001</v>
      </c>
      <c r="BG470">
        <v>-1.1938</v>
      </c>
      <c r="BH470">
        <v>-0.66379999999999995</v>
      </c>
      <c r="BI470">
        <v>-8.8900000000000007E-2</v>
      </c>
      <c r="BJ470">
        <v>-0.2732</v>
      </c>
      <c r="BK470" t="s">
        <v>134</v>
      </c>
      <c r="BL470">
        <v>24.329599999999999</v>
      </c>
      <c r="BM470">
        <v>-8.6259999999999994</v>
      </c>
      <c r="BN470">
        <v>0.1961</v>
      </c>
      <c r="BO470">
        <v>-1.2746999999999999</v>
      </c>
      <c r="BP470" t="s">
        <v>134</v>
      </c>
      <c r="BQ470" t="s">
        <v>134</v>
      </c>
      <c r="BR470">
        <v>2.9485000000000001</v>
      </c>
      <c r="BS470">
        <v>-17.1785</v>
      </c>
      <c r="BT470">
        <v>-2.8868</v>
      </c>
      <c r="BU470">
        <v>-1.2782</v>
      </c>
      <c r="BV470">
        <v>-2.2339000000000002</v>
      </c>
      <c r="BW470">
        <v>-0.23300000000000001</v>
      </c>
      <c r="BX470">
        <v>-25.6386</v>
      </c>
      <c r="BY470">
        <v>988135</v>
      </c>
      <c r="BZ470">
        <v>108299</v>
      </c>
      <c r="CA470">
        <v>879836</v>
      </c>
      <c r="CB470">
        <v>2.6981999999999999</v>
      </c>
      <c r="CC470">
        <v>2.5926999999999998</v>
      </c>
      <c r="CD470">
        <v>5.6611000000000002</v>
      </c>
      <c r="CE470">
        <v>5.4397000000000002</v>
      </c>
      <c r="CF470">
        <v>3.8414999999999999</v>
      </c>
      <c r="CG470">
        <v>28.857900000000001</v>
      </c>
      <c r="CH470">
        <v>128.20070000000001</v>
      </c>
      <c r="CI470">
        <v>52.545400000000001</v>
      </c>
      <c r="CJ470">
        <v>39.586300000000001</v>
      </c>
      <c r="CK470">
        <v>143.98089999999999</v>
      </c>
      <c r="CL470">
        <v>59.013199999999998</v>
      </c>
      <c r="CM470">
        <v>44.459000000000003</v>
      </c>
      <c r="CN470">
        <v>138.35050000000001</v>
      </c>
      <c r="CO470">
        <v>58.045000000000002</v>
      </c>
      <c r="CP470">
        <v>94602</v>
      </c>
      <c r="CQ470">
        <v>49676</v>
      </c>
      <c r="CR470">
        <v>45042</v>
      </c>
      <c r="CS470">
        <v>6.4899999999999999E-2</v>
      </c>
      <c r="CT470">
        <v>0.32029999999999997</v>
      </c>
      <c r="CU470">
        <v>0.17949999999999999</v>
      </c>
      <c r="CV470">
        <v>2.3088000000000002</v>
      </c>
      <c r="CW470">
        <v>14.6183</v>
      </c>
      <c r="CX470">
        <v>25.036999999999999</v>
      </c>
      <c r="CY470" t="s">
        <v>134</v>
      </c>
      <c r="CZ470" t="s">
        <v>134</v>
      </c>
      <c r="DA470" t="s">
        <v>134</v>
      </c>
      <c r="DB470" t="s">
        <v>134</v>
      </c>
      <c r="DC470" t="s">
        <v>134</v>
      </c>
      <c r="DD470" t="s">
        <v>134</v>
      </c>
      <c r="DE470">
        <v>1483</v>
      </c>
      <c r="DF470" t="s">
        <v>134</v>
      </c>
      <c r="DG470" t="s">
        <v>134</v>
      </c>
      <c r="DH470" t="s">
        <v>134</v>
      </c>
      <c r="DI470" t="s">
        <v>134</v>
      </c>
    </row>
    <row r="471" spans="1:113" x14ac:dyDescent="0.3">
      <c r="E471" t="s">
        <v>80</v>
      </c>
      <c r="F471">
        <v>7.3945999999999996</v>
      </c>
      <c r="G471">
        <v>2.0842999999999998</v>
      </c>
      <c r="H471">
        <v>6.3383000000000003</v>
      </c>
      <c r="I471">
        <v>5.4005999999999998</v>
      </c>
      <c r="J471">
        <v>36.4664</v>
      </c>
      <c r="K471">
        <v>15.7471</v>
      </c>
      <c r="L471">
        <v>-57.860900000000001</v>
      </c>
      <c r="M471">
        <v>7.9518000000000004</v>
      </c>
      <c r="N471">
        <v>2.8776000000000002</v>
      </c>
      <c r="O471">
        <v>2.1585000000000001</v>
      </c>
      <c r="P471">
        <v>2.1585000000000001</v>
      </c>
      <c r="Q471">
        <v>63.812199999999997</v>
      </c>
      <c r="R471" t="s">
        <v>134</v>
      </c>
      <c r="S471" t="s">
        <v>134</v>
      </c>
      <c r="T471">
        <v>-3.0341999999999998</v>
      </c>
      <c r="U471">
        <v>0.69099999999999995</v>
      </c>
      <c r="V471">
        <v>-10.3119</v>
      </c>
      <c r="W471">
        <v>-54.543799999999997</v>
      </c>
      <c r="X471">
        <v>-54.512599999999999</v>
      </c>
      <c r="Y471" t="s">
        <v>134</v>
      </c>
      <c r="Z471">
        <v>-6.3841999999999999</v>
      </c>
      <c r="AA471">
        <v>-28.996700000000001</v>
      </c>
      <c r="AB471">
        <v>1.9649000000000001</v>
      </c>
      <c r="AC471">
        <v>7.9345999999999997</v>
      </c>
      <c r="AD471">
        <v>-9.4606999999999992</v>
      </c>
      <c r="AE471">
        <v>-43.288899999999998</v>
      </c>
      <c r="AF471">
        <v>5.0861000000000001</v>
      </c>
      <c r="AG471">
        <v>137.60589999999999</v>
      </c>
      <c r="AH471">
        <v>20.662099999999999</v>
      </c>
      <c r="AI471">
        <v>-2.3513999999999999</v>
      </c>
      <c r="AJ471">
        <v>10.833500000000001</v>
      </c>
      <c r="AK471">
        <v>-3.2707999999999999</v>
      </c>
      <c r="AL471">
        <v>-4.4782000000000002</v>
      </c>
      <c r="AM471">
        <v>4.7801999999999998</v>
      </c>
      <c r="AN471">
        <v>7.3883000000000001</v>
      </c>
      <c r="AO471">
        <v>9.1318999999999999</v>
      </c>
      <c r="AP471">
        <v>-13.0122</v>
      </c>
      <c r="AQ471">
        <v>-13.9071</v>
      </c>
      <c r="AR471" t="s">
        <v>134</v>
      </c>
      <c r="AS471">
        <v>-0.80720000000000003</v>
      </c>
      <c r="AT471">
        <v>-6.8140000000000001</v>
      </c>
      <c r="AU471">
        <v>-1.228</v>
      </c>
      <c r="AV471">
        <v>7.9058000000000002</v>
      </c>
      <c r="AW471" t="s">
        <v>134</v>
      </c>
      <c r="AX471" t="s">
        <v>134</v>
      </c>
      <c r="AY471" t="s">
        <v>134</v>
      </c>
      <c r="AZ471">
        <v>-1.8772</v>
      </c>
      <c r="BA471">
        <v>9.4353999999999996</v>
      </c>
      <c r="BB471">
        <v>5.7831000000000001</v>
      </c>
      <c r="BC471">
        <v>7.9725999999999999</v>
      </c>
      <c r="BD471">
        <v>4.0556000000000001</v>
      </c>
      <c r="BE471">
        <v>5.6802999999999999</v>
      </c>
      <c r="BF471">
        <v>-5.3376000000000001</v>
      </c>
      <c r="BG471">
        <v>-10.0474</v>
      </c>
      <c r="BH471">
        <v>-18.4161</v>
      </c>
      <c r="BI471">
        <v>-65.516499999999994</v>
      </c>
      <c r="BJ471">
        <v>-65.479500000000002</v>
      </c>
      <c r="BK471" t="s">
        <v>134</v>
      </c>
      <c r="BL471">
        <v>-7.4225000000000003</v>
      </c>
      <c r="BM471">
        <v>-13.148999999999999</v>
      </c>
      <c r="BN471">
        <v>1.0311999999999999</v>
      </c>
      <c r="BO471">
        <v>6.3525</v>
      </c>
      <c r="BP471" t="s">
        <v>134</v>
      </c>
      <c r="BQ471" t="s">
        <v>134</v>
      </c>
      <c r="BR471">
        <v>-1.8193000000000001</v>
      </c>
      <c r="BS471">
        <v>84.195599999999999</v>
      </c>
      <c r="BT471">
        <v>15.4344</v>
      </c>
      <c r="BU471">
        <v>0.26579999999999998</v>
      </c>
      <c r="BV471">
        <v>9.2172999999999998</v>
      </c>
      <c r="BW471">
        <v>-1.5524</v>
      </c>
      <c r="BX471">
        <v>-24.329000000000001</v>
      </c>
      <c r="BY471">
        <v>1140648</v>
      </c>
      <c r="BZ471">
        <v>199482</v>
      </c>
      <c r="CA471">
        <v>941166</v>
      </c>
      <c r="CB471">
        <v>3.1097000000000001</v>
      </c>
      <c r="CC471">
        <v>3.0144000000000002</v>
      </c>
      <c r="CD471">
        <v>6.6969000000000003</v>
      </c>
      <c r="CE471">
        <v>6.4916999999999998</v>
      </c>
      <c r="CF471">
        <v>2.5739000000000001</v>
      </c>
      <c r="CG471">
        <v>26.712900000000001</v>
      </c>
      <c r="CH471">
        <v>136.77350000000001</v>
      </c>
      <c r="CI471">
        <v>51.464500000000001</v>
      </c>
      <c r="CJ471">
        <v>39.816400000000002</v>
      </c>
      <c r="CK471">
        <v>165.7629</v>
      </c>
      <c r="CL471">
        <v>62.372500000000002</v>
      </c>
      <c r="CM471">
        <v>48.255600000000001</v>
      </c>
      <c r="CN471">
        <v>160.68350000000001</v>
      </c>
      <c r="CO471">
        <v>61.639299999999999</v>
      </c>
      <c r="CP471">
        <v>85097</v>
      </c>
      <c r="CQ471">
        <v>19365</v>
      </c>
      <c r="CR471">
        <v>36747</v>
      </c>
      <c r="CS471">
        <v>5.1999999999999998E-2</v>
      </c>
      <c r="CT471">
        <v>0.27</v>
      </c>
      <c r="CU471">
        <v>0.14599999999999999</v>
      </c>
      <c r="CV471">
        <v>2.1019999999999999</v>
      </c>
      <c r="CW471">
        <v>15.0739</v>
      </c>
      <c r="CX471">
        <v>24.2805</v>
      </c>
      <c r="CY471" t="s">
        <v>134</v>
      </c>
      <c r="CZ471" t="s">
        <v>134</v>
      </c>
      <c r="DA471" t="s">
        <v>134</v>
      </c>
      <c r="DB471" t="s">
        <v>134</v>
      </c>
      <c r="DC471" t="s">
        <v>134</v>
      </c>
      <c r="DD471" t="s">
        <v>134</v>
      </c>
      <c r="DE471">
        <v>1288</v>
      </c>
      <c r="DF471" t="s">
        <v>134</v>
      </c>
      <c r="DG471" t="s">
        <v>134</v>
      </c>
      <c r="DH471" t="s">
        <v>134</v>
      </c>
      <c r="DI471" t="s">
        <v>134</v>
      </c>
    </row>
    <row r="472" spans="1:113" x14ac:dyDescent="0.3">
      <c r="E472" t="s">
        <v>81</v>
      </c>
      <c r="F472">
        <v>5.6618000000000004</v>
      </c>
      <c r="G472">
        <v>1.6576</v>
      </c>
      <c r="H472">
        <v>5.4862000000000002</v>
      </c>
      <c r="I472">
        <v>4.9683000000000002</v>
      </c>
      <c r="J472">
        <v>36.043500000000002</v>
      </c>
      <c r="K472">
        <v>13.5138</v>
      </c>
      <c r="L472">
        <v>-44.793399999999998</v>
      </c>
      <c r="M472">
        <v>2.9447000000000001</v>
      </c>
      <c r="N472">
        <v>2.1455000000000002</v>
      </c>
      <c r="O472">
        <v>1.7023000000000001</v>
      </c>
      <c r="P472">
        <v>1.7023000000000001</v>
      </c>
      <c r="Q472">
        <v>27.1404</v>
      </c>
      <c r="R472" t="s">
        <v>134</v>
      </c>
      <c r="S472" t="s">
        <v>134</v>
      </c>
      <c r="T472">
        <v>-12.1196</v>
      </c>
      <c r="U472">
        <v>-13.458500000000001</v>
      </c>
      <c r="V472">
        <v>-31.371600000000001</v>
      </c>
      <c r="W472">
        <v>-71.697100000000006</v>
      </c>
      <c r="X472">
        <v>-71.818200000000004</v>
      </c>
      <c r="Y472" t="s">
        <v>134</v>
      </c>
      <c r="Z472">
        <v>-9.4497</v>
      </c>
      <c r="AA472">
        <v>-71.1584</v>
      </c>
      <c r="AB472">
        <v>-2.0951</v>
      </c>
      <c r="AC472">
        <v>3.1131000000000002</v>
      </c>
      <c r="AD472">
        <v>-9.6125000000000007</v>
      </c>
      <c r="AE472">
        <v>-19.060099999999998</v>
      </c>
      <c r="AF472">
        <v>4.9767999999999999</v>
      </c>
      <c r="AG472">
        <v>59.073700000000002</v>
      </c>
      <c r="AH472">
        <v>6.9440999999999997</v>
      </c>
      <c r="AI472">
        <v>2.8559000000000001</v>
      </c>
      <c r="AJ472">
        <v>5.2336</v>
      </c>
      <c r="AK472">
        <v>1.0288999999999999</v>
      </c>
      <c r="AL472">
        <v>-91.946399999999997</v>
      </c>
      <c r="AM472">
        <v>3.2099000000000002</v>
      </c>
      <c r="AN472">
        <v>4.8704999999999998</v>
      </c>
      <c r="AO472">
        <v>1.4039999999999999</v>
      </c>
      <c r="AP472">
        <v>-17.979199999999999</v>
      </c>
      <c r="AQ472">
        <v>-18.895</v>
      </c>
      <c r="AR472" t="s">
        <v>134</v>
      </c>
      <c r="AS472">
        <v>-2.0024000000000002</v>
      </c>
      <c r="AT472">
        <v>-17.8964</v>
      </c>
      <c r="AU472">
        <v>-0.93300000000000005</v>
      </c>
      <c r="AV472">
        <v>8.1842000000000006</v>
      </c>
      <c r="AW472" t="s">
        <v>134</v>
      </c>
      <c r="AX472" t="s">
        <v>134</v>
      </c>
      <c r="AY472">
        <v>32.922899999999998</v>
      </c>
      <c r="AZ472">
        <v>-1.6232</v>
      </c>
      <c r="BA472">
        <v>9.2507999999999999</v>
      </c>
      <c r="BB472">
        <v>6.8457999999999997</v>
      </c>
      <c r="BC472">
        <v>8.2281999999999993</v>
      </c>
      <c r="BD472">
        <v>4.8198999999999996</v>
      </c>
      <c r="BE472">
        <v>-33.664700000000003</v>
      </c>
      <c r="BF472">
        <v>-6.0041000000000002</v>
      </c>
      <c r="BG472">
        <v>-7.0942999999999996</v>
      </c>
      <c r="BH472">
        <v>-19.334900000000001</v>
      </c>
      <c r="BI472">
        <v>-25.868600000000001</v>
      </c>
      <c r="BJ472">
        <v>-26.1905</v>
      </c>
      <c r="BK472" t="s">
        <v>134</v>
      </c>
      <c r="BL472">
        <v>-21.1249</v>
      </c>
      <c r="BM472">
        <v>-62.111800000000002</v>
      </c>
      <c r="BN472">
        <v>-0.91249999999999998</v>
      </c>
      <c r="BO472">
        <v>-1.5341</v>
      </c>
      <c r="BP472" t="s">
        <v>134</v>
      </c>
      <c r="BQ472" t="s">
        <v>134</v>
      </c>
      <c r="BR472">
        <v>-1.8719999999999999</v>
      </c>
      <c r="BS472">
        <v>-10.815</v>
      </c>
      <c r="BT472">
        <v>-5.8184000000000005</v>
      </c>
      <c r="BU472">
        <v>8.0207999999999995</v>
      </c>
      <c r="BV472">
        <v>-0.61099999999999999</v>
      </c>
      <c r="BW472">
        <v>6.8308</v>
      </c>
      <c r="BX472">
        <v>-91.144599999999997</v>
      </c>
      <c r="BY472">
        <v>1074281</v>
      </c>
      <c r="BZ472">
        <v>177908</v>
      </c>
      <c r="CA472">
        <v>896373</v>
      </c>
      <c r="CB472">
        <v>3.0304000000000002</v>
      </c>
      <c r="CC472">
        <v>2.9370000000000003</v>
      </c>
      <c r="CD472">
        <v>6.8524000000000003</v>
      </c>
      <c r="CE472">
        <v>6.6413000000000002</v>
      </c>
      <c r="CF472">
        <v>3.4802</v>
      </c>
      <c r="CG472">
        <v>28.982299999999999</v>
      </c>
      <c r="CH472">
        <v>120.5916</v>
      </c>
      <c r="CI472">
        <v>49.316499999999998</v>
      </c>
      <c r="CJ472">
        <v>38.5122</v>
      </c>
      <c r="CK472">
        <v>144.52610000000001</v>
      </c>
      <c r="CL472">
        <v>59.104599999999998</v>
      </c>
      <c r="CM472">
        <v>46.155999999999999</v>
      </c>
      <c r="CN472">
        <v>140.07300000000001</v>
      </c>
      <c r="CO472">
        <v>58.345999999999997</v>
      </c>
      <c r="CP472">
        <v>79060</v>
      </c>
      <c r="CQ472">
        <v>25911</v>
      </c>
      <c r="CR472">
        <v>29642</v>
      </c>
      <c r="CS472">
        <v>5.2600000000000001E-2</v>
      </c>
      <c r="CT472">
        <v>0.32269999999999999</v>
      </c>
      <c r="CU472">
        <v>0.1318</v>
      </c>
      <c r="CV472">
        <v>2.0034999999999998</v>
      </c>
      <c r="CW472">
        <v>18.2058</v>
      </c>
      <c r="CX472">
        <v>20.0486</v>
      </c>
      <c r="CY472" t="s">
        <v>134</v>
      </c>
      <c r="CZ472" t="s">
        <v>134</v>
      </c>
      <c r="DA472" t="s">
        <v>134</v>
      </c>
      <c r="DB472" t="s">
        <v>134</v>
      </c>
      <c r="DC472" t="s">
        <v>134</v>
      </c>
      <c r="DD472" t="s">
        <v>134</v>
      </c>
      <c r="DE472">
        <v>488</v>
      </c>
      <c r="DF472" t="s">
        <v>134</v>
      </c>
      <c r="DG472" t="s">
        <v>134</v>
      </c>
      <c r="DH472" t="s">
        <v>134</v>
      </c>
      <c r="DI472" t="s">
        <v>134</v>
      </c>
    </row>
    <row r="473" spans="1:113" x14ac:dyDescent="0.3">
      <c r="D473" t="s">
        <v>85</v>
      </c>
      <c r="E473" t="s">
        <v>77</v>
      </c>
      <c r="F473">
        <v>1.6045</v>
      </c>
      <c r="G473">
        <v>0.45429999999999998</v>
      </c>
      <c r="H473">
        <v>3.5051000000000001</v>
      </c>
      <c r="I473">
        <v>4.4039000000000001</v>
      </c>
      <c r="J473">
        <v>36.2393</v>
      </c>
      <c r="K473">
        <v>13.2454</v>
      </c>
      <c r="L473">
        <v>-37.961399999999998</v>
      </c>
      <c r="M473">
        <v>3.9037999999999999</v>
      </c>
      <c r="N473">
        <v>2.6090999999999998</v>
      </c>
      <c r="O473">
        <v>1.3131999999999999</v>
      </c>
      <c r="P473">
        <v>1.3131999999999999</v>
      </c>
      <c r="Q473">
        <v>33.164999999999999</v>
      </c>
      <c r="R473">
        <v>90.932699999999997</v>
      </c>
      <c r="S473">
        <v>0.14549999999999999</v>
      </c>
      <c r="T473">
        <v>-12.339600000000001</v>
      </c>
      <c r="U473">
        <v>-14.1577</v>
      </c>
      <c r="V473">
        <v>-28.746300000000002</v>
      </c>
      <c r="W473">
        <v>-71.077399999999997</v>
      </c>
      <c r="X473">
        <v>-71.083100000000002</v>
      </c>
      <c r="Y473">
        <v>150</v>
      </c>
      <c r="Z473">
        <v>24.108699999999999</v>
      </c>
      <c r="AA473">
        <v>42.008200000000002</v>
      </c>
      <c r="AB473">
        <v>17.7225</v>
      </c>
      <c r="AC473">
        <v>7.4234999999999998</v>
      </c>
      <c r="AD473">
        <v>1.1308</v>
      </c>
      <c r="AE473">
        <v>1.1379999999999999</v>
      </c>
      <c r="AF473">
        <v>3.4028999999999998</v>
      </c>
      <c r="AG473">
        <v>49.531999999999996</v>
      </c>
      <c r="AH473">
        <v>3.7719</v>
      </c>
      <c r="AI473">
        <v>5.4042000000000003</v>
      </c>
      <c r="AJ473">
        <v>4.4400000000000004</v>
      </c>
      <c r="AK473">
        <v>3.0807000000000002</v>
      </c>
      <c r="AL473">
        <v>14.475300000000001</v>
      </c>
      <c r="AM473">
        <v>1.7050000000000001</v>
      </c>
      <c r="AN473">
        <v>5.4519000000000002</v>
      </c>
      <c r="AO473">
        <v>5.5953999999999997</v>
      </c>
      <c r="AP473">
        <v>-13.547700000000001</v>
      </c>
      <c r="AQ473">
        <v>-14.4468</v>
      </c>
      <c r="AR473">
        <v>20.112400000000001</v>
      </c>
      <c r="AS473">
        <v>-0.50460000000000005</v>
      </c>
      <c r="AT473">
        <v>-8.9750999999999994</v>
      </c>
      <c r="AU473">
        <v>3.5026000000000002</v>
      </c>
      <c r="AV473">
        <v>9.4932999999999996</v>
      </c>
      <c r="AW473" t="s">
        <v>134</v>
      </c>
      <c r="AX473" t="s">
        <v>134</v>
      </c>
      <c r="AY473">
        <v>26.565999999999999</v>
      </c>
      <c r="AZ473">
        <v>21.856200000000001</v>
      </c>
      <c r="BA473">
        <v>10.777799999999999</v>
      </c>
      <c r="BB473">
        <v>7.5647000000000002</v>
      </c>
      <c r="BC473">
        <v>9.3812999999999995</v>
      </c>
      <c r="BD473">
        <v>5.5707000000000004</v>
      </c>
      <c r="BE473">
        <v>6.9478</v>
      </c>
      <c r="BF473">
        <v>-12.339600000000001</v>
      </c>
      <c r="BG473">
        <v>-14.1577</v>
      </c>
      <c r="BH473">
        <v>-28.746300000000002</v>
      </c>
      <c r="BI473">
        <v>-71.077399999999997</v>
      </c>
      <c r="BJ473">
        <v>-71.083100000000002</v>
      </c>
      <c r="BK473">
        <v>150</v>
      </c>
      <c r="BL473">
        <v>24.108699999999999</v>
      </c>
      <c r="BM473">
        <v>42.008200000000002</v>
      </c>
      <c r="BN473">
        <v>17.7225</v>
      </c>
      <c r="BO473">
        <v>7.4234999999999998</v>
      </c>
      <c r="BP473" t="s">
        <v>134</v>
      </c>
      <c r="BQ473" t="s">
        <v>134</v>
      </c>
      <c r="BR473">
        <v>3.4028999999999998</v>
      </c>
      <c r="BS473">
        <v>49.531999999999996</v>
      </c>
      <c r="BT473">
        <v>3.7719</v>
      </c>
      <c r="BU473">
        <v>5.4042000000000003</v>
      </c>
      <c r="BV473">
        <v>4.4400000000000004</v>
      </c>
      <c r="BW473">
        <v>3.0807000000000002</v>
      </c>
      <c r="BX473">
        <v>14.475300000000001</v>
      </c>
      <c r="BY473">
        <v>1113335</v>
      </c>
      <c r="BZ473">
        <v>263915</v>
      </c>
      <c r="CA473">
        <v>849420</v>
      </c>
      <c r="CB473">
        <v>3.6710000000000003</v>
      </c>
      <c r="CC473">
        <v>3.2235999999999998</v>
      </c>
      <c r="CD473">
        <v>10.043799999999999</v>
      </c>
      <c r="CE473">
        <v>8.8196999999999992</v>
      </c>
      <c r="CF473">
        <v>4.6879999999999997</v>
      </c>
      <c r="CG473">
        <v>27.749199999999998</v>
      </c>
      <c r="CH473">
        <v>108.41589999999999</v>
      </c>
      <c r="CI473">
        <v>44.781300000000002</v>
      </c>
      <c r="CJ473">
        <v>33.8979</v>
      </c>
      <c r="CK473">
        <v>142.10069999999999</v>
      </c>
      <c r="CL473">
        <v>58.694899999999997</v>
      </c>
      <c r="CM473">
        <v>44.43</v>
      </c>
      <c r="CN473">
        <v>124.78270000000001</v>
      </c>
      <c r="CO473">
        <v>55.512599999999999</v>
      </c>
      <c r="CP473">
        <v>303279</v>
      </c>
      <c r="CQ473">
        <v>58020</v>
      </c>
      <c r="CR473">
        <v>110848</v>
      </c>
      <c r="CS473">
        <v>0.1734</v>
      </c>
      <c r="CT473">
        <v>0.42820000000000003</v>
      </c>
      <c r="CU473">
        <v>0.24859999999999999</v>
      </c>
      <c r="CV473">
        <v>1.5838000000000001</v>
      </c>
      <c r="CW473">
        <v>15.755700000000001</v>
      </c>
      <c r="CX473">
        <v>23.1662</v>
      </c>
      <c r="CY473" t="s">
        <v>134</v>
      </c>
      <c r="CZ473" t="s">
        <v>134</v>
      </c>
      <c r="DA473" t="s">
        <v>134</v>
      </c>
      <c r="DB473" t="s">
        <v>134</v>
      </c>
      <c r="DC473" t="s">
        <v>134</v>
      </c>
      <c r="DD473" t="s">
        <v>134</v>
      </c>
      <c r="DE473">
        <v>693</v>
      </c>
      <c r="DF473" t="s">
        <v>134</v>
      </c>
      <c r="DG473" t="s">
        <v>134</v>
      </c>
      <c r="DH473" t="s">
        <v>134</v>
      </c>
      <c r="DI473" t="s">
        <v>134</v>
      </c>
    </row>
    <row r="474" spans="1:113" x14ac:dyDescent="0.3">
      <c r="E474" t="s">
        <v>78</v>
      </c>
      <c r="F474">
        <v>4.0919999999999996</v>
      </c>
      <c r="G474">
        <v>1.1811</v>
      </c>
      <c r="H474">
        <v>4.9068000000000005</v>
      </c>
      <c r="I474">
        <v>4.2968000000000002</v>
      </c>
      <c r="J474">
        <v>35.332700000000003</v>
      </c>
      <c r="K474">
        <v>13.3855</v>
      </c>
      <c r="L474">
        <v>-44.451599999999999</v>
      </c>
      <c r="M474">
        <v>6.5183</v>
      </c>
      <c r="N474">
        <v>2.8130999999999999</v>
      </c>
      <c r="O474">
        <v>1.6726999999999999</v>
      </c>
      <c r="P474">
        <v>1.6726999999999999</v>
      </c>
      <c r="Q474">
        <v>56.843400000000003</v>
      </c>
      <c r="R474" t="s">
        <v>134</v>
      </c>
      <c r="S474" t="s">
        <v>134</v>
      </c>
      <c r="T474">
        <v>-14.0465</v>
      </c>
      <c r="U474">
        <v>-18.9681</v>
      </c>
      <c r="V474">
        <v>-35.1785</v>
      </c>
      <c r="W474">
        <v>-74.876900000000006</v>
      </c>
      <c r="X474">
        <v>-74.863399999999999</v>
      </c>
      <c r="Y474" t="s">
        <v>134</v>
      </c>
      <c r="Z474">
        <v>-10.760300000000001</v>
      </c>
      <c r="AA474">
        <v>-50.277299999999997</v>
      </c>
      <c r="AB474">
        <v>4.9623999999999997</v>
      </c>
      <c r="AC474">
        <v>3.4647000000000001</v>
      </c>
      <c r="AD474">
        <v>-16.100999999999999</v>
      </c>
      <c r="AE474">
        <v>-15.738899999999999</v>
      </c>
      <c r="AF474">
        <v>10.2568</v>
      </c>
      <c r="AG474">
        <v>16.585899999999999</v>
      </c>
      <c r="AH474">
        <v>1.0427999999999999</v>
      </c>
      <c r="AI474">
        <v>7.9207999999999998</v>
      </c>
      <c r="AJ474">
        <v>3.8346</v>
      </c>
      <c r="AK474">
        <v>5.6576000000000004</v>
      </c>
      <c r="AL474">
        <v>24.164000000000001</v>
      </c>
      <c r="AM474">
        <v>3.4196</v>
      </c>
      <c r="AN474">
        <v>7.1790000000000003</v>
      </c>
      <c r="AO474">
        <v>9.1693999999999996</v>
      </c>
      <c r="AP474">
        <v>-13.5847</v>
      </c>
      <c r="AQ474">
        <v>-14.452999999999999</v>
      </c>
      <c r="AR474" t="s">
        <v>134</v>
      </c>
      <c r="AS474">
        <v>-8.3300999999999998</v>
      </c>
      <c r="AT474">
        <v>-9.4</v>
      </c>
      <c r="AU474">
        <v>0.8548</v>
      </c>
      <c r="AV474">
        <v>7.6611000000000002</v>
      </c>
      <c r="AW474" t="s">
        <v>134</v>
      </c>
      <c r="AX474" t="s">
        <v>134</v>
      </c>
      <c r="AY474" t="s">
        <v>134</v>
      </c>
      <c r="AZ474">
        <v>0.29089999999999999</v>
      </c>
      <c r="BA474">
        <v>7.8140000000000001</v>
      </c>
      <c r="BB474">
        <v>7.4893999999999998</v>
      </c>
      <c r="BC474">
        <v>7.6763000000000003</v>
      </c>
      <c r="BD474">
        <v>5.4401000000000002</v>
      </c>
      <c r="BE474">
        <v>17.517499999999998</v>
      </c>
      <c r="BF474">
        <v>0.1071</v>
      </c>
      <c r="BG474">
        <v>-1.8669</v>
      </c>
      <c r="BH474">
        <v>-0.84340000000000004</v>
      </c>
      <c r="BI474">
        <v>-1.6335999999999999</v>
      </c>
      <c r="BJ474">
        <v>-1.0752999999999999</v>
      </c>
      <c r="BK474" t="s">
        <v>134</v>
      </c>
      <c r="BL474">
        <v>3.3479999999999999</v>
      </c>
      <c r="BM474">
        <v>65.368899999999996</v>
      </c>
      <c r="BN474">
        <v>4.6425999999999998</v>
      </c>
      <c r="BO474">
        <v>-0.1449</v>
      </c>
      <c r="BP474" t="s">
        <v>134</v>
      </c>
      <c r="BQ474" t="s">
        <v>134</v>
      </c>
      <c r="BR474">
        <v>11.1646</v>
      </c>
      <c r="BS474">
        <v>-13.623100000000001</v>
      </c>
      <c r="BT474">
        <v>-4.1708999999999996</v>
      </c>
      <c r="BU474">
        <v>0.93269999999999997</v>
      </c>
      <c r="BV474">
        <v>-2.0821000000000001</v>
      </c>
      <c r="BW474">
        <v>0.69599999999999995</v>
      </c>
      <c r="BX474">
        <v>2391.7766999999999</v>
      </c>
      <c r="BY474">
        <v>1028119</v>
      </c>
      <c r="BZ474">
        <v>152450</v>
      </c>
      <c r="CA474">
        <v>875669</v>
      </c>
      <c r="CB474">
        <v>3.0568</v>
      </c>
      <c r="CC474">
        <v>2.9195000000000002</v>
      </c>
      <c r="CD474">
        <v>7.3007999999999997</v>
      </c>
      <c r="CE474">
        <v>6.9730999999999996</v>
      </c>
      <c r="CF474">
        <v>3.5202999999999998</v>
      </c>
      <c r="CG474">
        <v>29.161799999999999</v>
      </c>
      <c r="CH474">
        <v>116.7176</v>
      </c>
      <c r="CI474">
        <v>49.240099999999998</v>
      </c>
      <c r="CJ474">
        <v>37.594099999999997</v>
      </c>
      <c r="CK474">
        <v>137.0376</v>
      </c>
      <c r="CL474">
        <v>57.812600000000003</v>
      </c>
      <c r="CM474">
        <v>44.139099999999999</v>
      </c>
      <c r="CN474">
        <v>130.88630000000001</v>
      </c>
      <c r="CO474">
        <v>56.688600000000001</v>
      </c>
      <c r="CP474">
        <v>77584</v>
      </c>
      <c r="CQ474">
        <v>33792</v>
      </c>
      <c r="CR474">
        <v>29392</v>
      </c>
      <c r="CS474">
        <v>7.1300000000000002E-2</v>
      </c>
      <c r="CT474">
        <v>0.33689999999999998</v>
      </c>
      <c r="CU474">
        <v>0.1469</v>
      </c>
      <c r="CV474">
        <v>2.1798999999999999</v>
      </c>
      <c r="CW474">
        <v>17.688800000000001</v>
      </c>
      <c r="CX474">
        <v>20.634599999999999</v>
      </c>
      <c r="CY474" t="s">
        <v>134</v>
      </c>
      <c r="CZ474" t="s">
        <v>134</v>
      </c>
      <c r="DA474" t="s">
        <v>134</v>
      </c>
      <c r="DB474" t="s">
        <v>134</v>
      </c>
      <c r="DC474" t="s">
        <v>134</v>
      </c>
      <c r="DD474" t="s">
        <v>134</v>
      </c>
      <c r="DE474">
        <v>807</v>
      </c>
      <c r="DF474" t="s">
        <v>134</v>
      </c>
      <c r="DG474" t="s">
        <v>134</v>
      </c>
      <c r="DH474" t="s">
        <v>134</v>
      </c>
      <c r="DI474" t="s">
        <v>134</v>
      </c>
    </row>
    <row r="475" spans="1:113" x14ac:dyDescent="0.3">
      <c r="E475" t="s">
        <v>79</v>
      </c>
      <c r="F475">
        <v>2.3744000000000001</v>
      </c>
      <c r="G475">
        <v>0.68400000000000005</v>
      </c>
      <c r="H475">
        <v>4.0673000000000004</v>
      </c>
      <c r="I475">
        <v>3.7296</v>
      </c>
      <c r="J475">
        <v>36.378</v>
      </c>
      <c r="K475">
        <v>14.8538</v>
      </c>
      <c r="L475">
        <v>-44.162700000000001</v>
      </c>
      <c r="M475">
        <v>5.1440000000000001</v>
      </c>
      <c r="N475">
        <v>2.6913999999999998</v>
      </c>
      <c r="O475">
        <v>1.5750999999999999</v>
      </c>
      <c r="P475">
        <v>1.5750999999999999</v>
      </c>
      <c r="Q475">
        <v>47.679000000000002</v>
      </c>
      <c r="R475" t="s">
        <v>134</v>
      </c>
      <c r="S475" t="s">
        <v>134</v>
      </c>
      <c r="T475">
        <v>-11.661</v>
      </c>
      <c r="U475">
        <v>-16.259699999999999</v>
      </c>
      <c r="V475">
        <v>-28.184799999999999</v>
      </c>
      <c r="W475">
        <v>-76.518100000000004</v>
      </c>
      <c r="X475">
        <v>-76.438400000000001</v>
      </c>
      <c r="Y475" t="s">
        <v>134</v>
      </c>
      <c r="Z475">
        <v>-28.223299999999998</v>
      </c>
      <c r="AA475">
        <v>-63.317599999999999</v>
      </c>
      <c r="AB475">
        <v>10.6526</v>
      </c>
      <c r="AC475">
        <v>8.8352000000000004</v>
      </c>
      <c r="AD475">
        <v>-21.8597</v>
      </c>
      <c r="AE475">
        <v>-12.263199999999999</v>
      </c>
      <c r="AF475">
        <v>9.1428999999999991</v>
      </c>
      <c r="AG475">
        <v>51.7973</v>
      </c>
      <c r="AH475">
        <v>6.5885999999999996</v>
      </c>
      <c r="AI475">
        <v>12.3696</v>
      </c>
      <c r="AJ475">
        <v>8.9580000000000002</v>
      </c>
      <c r="AK475">
        <v>8.4664999999999999</v>
      </c>
      <c r="AL475">
        <v>-40.015599999999999</v>
      </c>
      <c r="AM475">
        <v>1.4413</v>
      </c>
      <c r="AN475">
        <v>4.5205000000000002</v>
      </c>
      <c r="AO475">
        <v>5.3318000000000003</v>
      </c>
      <c r="AP475">
        <v>-13.8118</v>
      </c>
      <c r="AQ475">
        <v>-14.6607</v>
      </c>
      <c r="AR475" t="s">
        <v>134</v>
      </c>
      <c r="AS475">
        <v>-8.7257999999999996</v>
      </c>
      <c r="AT475">
        <v>-16.683299999999999</v>
      </c>
      <c r="AU475">
        <v>0.69920000000000004</v>
      </c>
      <c r="AV475">
        <v>8.3541000000000007</v>
      </c>
      <c r="AW475" t="s">
        <v>134</v>
      </c>
      <c r="AX475" t="s">
        <v>134</v>
      </c>
      <c r="AY475" t="s">
        <v>134</v>
      </c>
      <c r="AZ475">
        <v>2.4218999999999999</v>
      </c>
      <c r="BA475">
        <v>8.3551000000000002</v>
      </c>
      <c r="BB475">
        <v>8.2083999999999993</v>
      </c>
      <c r="BC475">
        <v>8.2928999999999995</v>
      </c>
      <c r="BD475">
        <v>6.0347</v>
      </c>
      <c r="BE475">
        <v>2.1295999999999999</v>
      </c>
      <c r="BF475">
        <v>-0.82520000000000004</v>
      </c>
      <c r="BG475">
        <v>1.4729999999999999</v>
      </c>
      <c r="BH475">
        <v>8.2636000000000003</v>
      </c>
      <c r="BI475">
        <v>-6.6158000000000001</v>
      </c>
      <c r="BJ475">
        <v>-6.5217000000000001</v>
      </c>
      <c r="BK475" t="s">
        <v>134</v>
      </c>
      <c r="BL475">
        <v>5.2735000000000003</v>
      </c>
      <c r="BM475">
        <v>-32.589799999999997</v>
      </c>
      <c r="BN475">
        <v>5.6279000000000003</v>
      </c>
      <c r="BO475">
        <v>3.5388999999999999</v>
      </c>
      <c r="BP475" t="s">
        <v>134</v>
      </c>
      <c r="BQ475" t="s">
        <v>134</v>
      </c>
      <c r="BR475">
        <v>1.9083999999999999</v>
      </c>
      <c r="BS475">
        <v>15.504300000000001</v>
      </c>
      <c r="BT475">
        <v>3.4619</v>
      </c>
      <c r="BU475">
        <v>2.7913999999999999</v>
      </c>
      <c r="BV475">
        <v>3.1774</v>
      </c>
      <c r="BW475">
        <v>2.4192999999999998</v>
      </c>
      <c r="BX475">
        <v>-64.075500000000005</v>
      </c>
      <c r="BY475">
        <v>1053239</v>
      </c>
      <c r="BZ475">
        <v>164395</v>
      </c>
      <c r="CA475">
        <v>888844</v>
      </c>
      <c r="CB475">
        <v>3.2766000000000002</v>
      </c>
      <c r="CC475">
        <v>3.1583999999999999</v>
      </c>
      <c r="CD475">
        <v>8.1890999999999998</v>
      </c>
      <c r="CE475">
        <v>7.8937999999999997</v>
      </c>
      <c r="CF475">
        <v>3.1795</v>
      </c>
      <c r="CG475">
        <v>28.760100000000001</v>
      </c>
      <c r="CH475">
        <v>115.2565</v>
      </c>
      <c r="CI475">
        <v>48.719099999999997</v>
      </c>
      <c r="CJ475">
        <v>36.745100000000001</v>
      </c>
      <c r="CK475">
        <v>136.5736</v>
      </c>
      <c r="CL475">
        <v>57.729900000000001</v>
      </c>
      <c r="CM475">
        <v>43.5413</v>
      </c>
      <c r="CN475">
        <v>131.64840000000001</v>
      </c>
      <c r="CO475">
        <v>56.831099999999999</v>
      </c>
      <c r="CP475">
        <v>79220</v>
      </c>
      <c r="CQ475">
        <v>21503</v>
      </c>
      <c r="CR475">
        <v>32347</v>
      </c>
      <c r="CS475">
        <v>5.4100000000000002E-2</v>
      </c>
      <c r="CT475">
        <v>0.35260000000000002</v>
      </c>
      <c r="CU475">
        <v>0.1239</v>
      </c>
      <c r="CV475">
        <v>2.0350000000000001</v>
      </c>
      <c r="CW475">
        <v>15.183299999999999</v>
      </c>
      <c r="CX475">
        <v>24.0396</v>
      </c>
      <c r="CY475" t="s">
        <v>134</v>
      </c>
      <c r="CZ475" t="s">
        <v>134</v>
      </c>
      <c r="DA475" t="s">
        <v>134</v>
      </c>
      <c r="DB475" t="s">
        <v>134</v>
      </c>
      <c r="DC475" t="s">
        <v>134</v>
      </c>
      <c r="DD475" t="s">
        <v>134</v>
      </c>
      <c r="DE475">
        <v>544</v>
      </c>
      <c r="DF475" t="s">
        <v>134</v>
      </c>
      <c r="DG475" t="s">
        <v>134</v>
      </c>
      <c r="DH475" t="s">
        <v>134</v>
      </c>
      <c r="DI475" t="s">
        <v>134</v>
      </c>
    </row>
    <row r="476" spans="1:113" x14ac:dyDescent="0.3">
      <c r="E476" t="s">
        <v>80</v>
      </c>
      <c r="F476">
        <v>2.0350000000000001</v>
      </c>
      <c r="G476">
        <v>0.58009999999999995</v>
      </c>
      <c r="H476">
        <v>4.2083000000000004</v>
      </c>
      <c r="I476">
        <v>4.1403999999999996</v>
      </c>
      <c r="J476">
        <v>36.758400000000002</v>
      </c>
      <c r="K476">
        <v>12.950200000000001</v>
      </c>
      <c r="L476">
        <v>-34.582900000000002</v>
      </c>
      <c r="M476">
        <v>2.9460999999999999</v>
      </c>
      <c r="N476">
        <v>2.7595000000000001</v>
      </c>
      <c r="O476">
        <v>1.5049999999999999</v>
      </c>
      <c r="P476">
        <v>1.5049999999999999</v>
      </c>
      <c r="Q476">
        <v>6.3314000000000004</v>
      </c>
      <c r="R476" t="s">
        <v>134</v>
      </c>
      <c r="S476" t="s">
        <v>134</v>
      </c>
      <c r="T476">
        <v>-12.9291</v>
      </c>
      <c r="U476">
        <v>-12.2319</v>
      </c>
      <c r="V476">
        <v>-28.394200000000001</v>
      </c>
      <c r="W476">
        <v>-39.289299999999997</v>
      </c>
      <c r="X476">
        <v>-39.682499999999997</v>
      </c>
      <c r="Y476" t="s">
        <v>134</v>
      </c>
      <c r="Z476">
        <v>-13.2957</v>
      </c>
      <c r="AA476">
        <v>-49.922400000000003</v>
      </c>
      <c r="AB476">
        <v>11.606400000000001</v>
      </c>
      <c r="AC476">
        <v>2.6787999999999998</v>
      </c>
      <c r="AD476">
        <v>-17.8611</v>
      </c>
      <c r="AE476">
        <v>-3.9266000000000001</v>
      </c>
      <c r="AF476">
        <v>10.3482</v>
      </c>
      <c r="AG476">
        <v>28.959</v>
      </c>
      <c r="AH476">
        <v>-7.1952999999999996</v>
      </c>
      <c r="AI476">
        <v>19.129799999999999</v>
      </c>
      <c r="AJ476">
        <v>2.7101999999999999</v>
      </c>
      <c r="AK476">
        <v>16.269600000000001</v>
      </c>
      <c r="AL476">
        <v>0.26050000000000001</v>
      </c>
      <c r="AM476">
        <v>0.96870000000000001</v>
      </c>
      <c r="AN476">
        <v>5.2796000000000003</v>
      </c>
      <c r="AO476">
        <v>5.2264999999999997</v>
      </c>
      <c r="AP476">
        <v>1.5116000000000001</v>
      </c>
      <c r="AQ476">
        <v>0.34570000000000001</v>
      </c>
      <c r="AR476" t="s">
        <v>134</v>
      </c>
      <c r="AS476">
        <v>-4.7839</v>
      </c>
      <c r="AT476">
        <v>-12.422800000000001</v>
      </c>
      <c r="AU476">
        <v>2.6009000000000002</v>
      </c>
      <c r="AV476">
        <v>8.3457000000000008</v>
      </c>
      <c r="AW476" t="s">
        <v>134</v>
      </c>
      <c r="AX476" t="s">
        <v>134</v>
      </c>
      <c r="AY476" t="s">
        <v>134</v>
      </c>
      <c r="AZ476">
        <v>15.4879</v>
      </c>
      <c r="BA476">
        <v>9.3179999999999996</v>
      </c>
      <c r="BB476">
        <v>7.9866999999999999</v>
      </c>
      <c r="BC476">
        <v>8.7249999999999996</v>
      </c>
      <c r="BD476">
        <v>6.2009999999999996</v>
      </c>
      <c r="BE476">
        <v>2.5754000000000001</v>
      </c>
      <c r="BF476">
        <v>-6.6965000000000003</v>
      </c>
      <c r="BG476">
        <v>-5.7207999999999997</v>
      </c>
      <c r="BH476">
        <v>-18.654</v>
      </c>
      <c r="BI476">
        <v>-10.845499999999999</v>
      </c>
      <c r="BJ476">
        <v>-11.6279</v>
      </c>
      <c r="BK476" t="s">
        <v>134</v>
      </c>
      <c r="BL476">
        <v>11.831200000000001</v>
      </c>
      <c r="BM476">
        <v>18.566199999999998</v>
      </c>
      <c r="BN476">
        <v>1.9020999999999999</v>
      </c>
      <c r="BO476">
        <v>0.33660000000000001</v>
      </c>
      <c r="BP476" t="s">
        <v>134</v>
      </c>
      <c r="BQ476" t="s">
        <v>134</v>
      </c>
      <c r="BR476">
        <v>-0.73499999999999999</v>
      </c>
      <c r="BS476">
        <v>56.482900000000001</v>
      </c>
      <c r="BT476">
        <v>0.50660000000000005</v>
      </c>
      <c r="BU476">
        <v>6.2977999999999996</v>
      </c>
      <c r="BV476">
        <v>2.9546000000000001</v>
      </c>
      <c r="BW476">
        <v>5.5298999999999996</v>
      </c>
      <c r="BX476">
        <v>26.479700000000001</v>
      </c>
      <c r="BY476">
        <v>1058575</v>
      </c>
      <c r="BZ476">
        <v>257250</v>
      </c>
      <c r="CA476">
        <v>801325</v>
      </c>
      <c r="CB476">
        <v>3.4034</v>
      </c>
      <c r="CC476">
        <v>3.2246999999999999</v>
      </c>
      <c r="CD476">
        <v>8.9573</v>
      </c>
      <c r="CE476">
        <v>8.4871999999999996</v>
      </c>
      <c r="CF476">
        <v>3.0059999999999998</v>
      </c>
      <c r="CG476">
        <v>30.248699999999999</v>
      </c>
      <c r="CH476">
        <v>97.751599999999996</v>
      </c>
      <c r="CI476">
        <v>42.661499999999997</v>
      </c>
      <c r="CJ476">
        <v>33.015900000000002</v>
      </c>
      <c r="CK476">
        <v>129.13290000000001</v>
      </c>
      <c r="CL476">
        <v>56.357199999999999</v>
      </c>
      <c r="CM476">
        <v>43.615099999999998</v>
      </c>
      <c r="CN476">
        <v>122.3558</v>
      </c>
      <c r="CO476">
        <v>55.027000000000001</v>
      </c>
      <c r="CP476">
        <v>74688</v>
      </c>
      <c r="CQ476">
        <v>-6901</v>
      </c>
      <c r="CR476">
        <v>26313</v>
      </c>
      <c r="CS476">
        <v>7.2499999999999995E-2</v>
      </c>
      <c r="CT476">
        <v>0.3347</v>
      </c>
      <c r="CU476">
        <v>0.1439</v>
      </c>
      <c r="CV476">
        <v>2.1113</v>
      </c>
      <c r="CW476">
        <v>14.5779</v>
      </c>
      <c r="CX476">
        <v>25.038</v>
      </c>
      <c r="CY476" t="s">
        <v>134</v>
      </c>
      <c r="CZ476" t="s">
        <v>134</v>
      </c>
      <c r="DA476" t="s">
        <v>134</v>
      </c>
      <c r="DB476" t="s">
        <v>134</v>
      </c>
      <c r="DC476" t="s">
        <v>134</v>
      </c>
      <c r="DD476" t="s">
        <v>134</v>
      </c>
      <c r="DE476">
        <v>645</v>
      </c>
      <c r="DF476" t="s">
        <v>134</v>
      </c>
      <c r="DG476" t="s">
        <v>134</v>
      </c>
      <c r="DH476" t="s">
        <v>134</v>
      </c>
      <c r="DI476" t="s">
        <v>134</v>
      </c>
    </row>
    <row r="477" spans="1:113" x14ac:dyDescent="0.3">
      <c r="E477" t="s">
        <v>81</v>
      </c>
      <c r="F477">
        <v>1.6045</v>
      </c>
      <c r="G477">
        <v>0.45429999999999998</v>
      </c>
      <c r="H477">
        <v>4.6215000000000002</v>
      </c>
      <c r="I477">
        <v>3.8134000000000001</v>
      </c>
      <c r="J477">
        <v>35.678400000000003</v>
      </c>
      <c r="K477">
        <v>10.726599999999999</v>
      </c>
      <c r="L477">
        <v>-37.303800000000003</v>
      </c>
      <c r="M477">
        <v>0.59540000000000004</v>
      </c>
      <c r="N477">
        <v>2.1339999999999999</v>
      </c>
      <c r="O477">
        <v>0.42220000000000002</v>
      </c>
      <c r="P477">
        <v>0.42220000000000002</v>
      </c>
      <c r="Q477" t="s">
        <v>134</v>
      </c>
      <c r="R477" t="s">
        <v>134</v>
      </c>
      <c r="S477" t="s">
        <v>134</v>
      </c>
      <c r="T477">
        <v>-10.4871</v>
      </c>
      <c r="U477">
        <v>-11.3939</v>
      </c>
      <c r="V477">
        <v>-28.948799999999999</v>
      </c>
      <c r="W477">
        <v>-77.798599999999993</v>
      </c>
      <c r="X477">
        <v>-77.419399999999996</v>
      </c>
      <c r="Y477" t="s">
        <v>134</v>
      </c>
      <c r="Z477">
        <v>24.108699999999999</v>
      </c>
      <c r="AA477">
        <v>42.008200000000002</v>
      </c>
      <c r="AB477">
        <v>17.7225</v>
      </c>
      <c r="AC477">
        <v>7.4234999999999998</v>
      </c>
      <c r="AD477">
        <v>1.1308</v>
      </c>
      <c r="AE477">
        <v>1.1379999999999999</v>
      </c>
      <c r="AF477">
        <v>3.4028999999999998</v>
      </c>
      <c r="AG477">
        <v>49.531999999999996</v>
      </c>
      <c r="AH477">
        <v>3.7719</v>
      </c>
      <c r="AI477">
        <v>5.4042000000000003</v>
      </c>
      <c r="AJ477">
        <v>4.4400000000000004</v>
      </c>
      <c r="AK477">
        <v>3.0807000000000002</v>
      </c>
      <c r="AL477">
        <v>793.75750000000005</v>
      </c>
      <c r="AM477">
        <v>5.33E-2</v>
      </c>
      <c r="AN477">
        <v>2.9396</v>
      </c>
      <c r="AO477">
        <v>-1.4015</v>
      </c>
      <c r="AP477">
        <v>-30.427800000000001</v>
      </c>
      <c r="AQ477">
        <v>-30.9724</v>
      </c>
      <c r="AR477" t="s">
        <v>134</v>
      </c>
      <c r="AS477">
        <v>-0.50460000000000005</v>
      </c>
      <c r="AT477">
        <v>-8.9750999999999994</v>
      </c>
      <c r="AU477">
        <v>3.5026000000000002</v>
      </c>
      <c r="AV477">
        <v>9.4932999999999996</v>
      </c>
      <c r="AW477" t="s">
        <v>134</v>
      </c>
      <c r="AX477" t="s">
        <v>134</v>
      </c>
      <c r="AY477">
        <v>26.565999999999999</v>
      </c>
      <c r="AZ477">
        <v>21.856200000000001</v>
      </c>
      <c r="BA477">
        <v>10.777799999999999</v>
      </c>
      <c r="BB477">
        <v>7.5647000000000002</v>
      </c>
      <c r="BC477">
        <v>9.3812999999999995</v>
      </c>
      <c r="BD477">
        <v>5.5707000000000004</v>
      </c>
      <c r="BE477">
        <v>1.1274</v>
      </c>
      <c r="BF477">
        <v>-3.3679000000000001</v>
      </c>
      <c r="BG477">
        <v>-6.2072000000000003</v>
      </c>
      <c r="BH477">
        <v>-19.959700000000002</v>
      </c>
      <c r="BI477">
        <v>-72.890799999999999</v>
      </c>
      <c r="BJ477">
        <v>-72.368399999999994</v>
      </c>
      <c r="BK477" t="s">
        <v>134</v>
      </c>
      <c r="BL477">
        <v>7.3834</v>
      </c>
      <c r="BM477">
        <v>7.4419000000000004</v>
      </c>
      <c r="BN477">
        <v>4.5175000000000001</v>
      </c>
      <c r="BO477">
        <v>3.2439</v>
      </c>
      <c r="BP477" t="s">
        <v>134</v>
      </c>
      <c r="BQ477" t="s">
        <v>134</v>
      </c>
      <c r="BR477">
        <v>-8.0481999999999996</v>
      </c>
      <c r="BS477">
        <v>2.5909</v>
      </c>
      <c r="BT477">
        <v>5.173</v>
      </c>
      <c r="BU477">
        <v>-2.0362999999999998</v>
      </c>
      <c r="BV477">
        <v>2.0703</v>
      </c>
      <c r="BW477">
        <v>-2.6368</v>
      </c>
      <c r="BX477">
        <v>-21.0596</v>
      </c>
      <c r="BY477">
        <v>1113335</v>
      </c>
      <c r="BZ477">
        <v>263915</v>
      </c>
      <c r="CA477">
        <v>849420</v>
      </c>
      <c r="CB477">
        <v>3.6861999999999999</v>
      </c>
      <c r="CC477">
        <v>3.2368999999999999</v>
      </c>
      <c r="CD477">
        <v>10.158300000000001</v>
      </c>
      <c r="CE477">
        <v>8.9202999999999992</v>
      </c>
      <c r="CF477">
        <v>2.9308000000000001</v>
      </c>
      <c r="CG477">
        <v>27.749199999999998</v>
      </c>
      <c r="CH477">
        <v>108.41589999999999</v>
      </c>
      <c r="CI477">
        <v>44.781300000000002</v>
      </c>
      <c r="CJ477">
        <v>33.8979</v>
      </c>
      <c r="CK477">
        <v>142.10069999999999</v>
      </c>
      <c r="CL477">
        <v>58.694899999999997</v>
      </c>
      <c r="CM477">
        <v>44.43</v>
      </c>
      <c r="CN477">
        <v>124.78270000000001</v>
      </c>
      <c r="CO477">
        <v>55.512599999999999</v>
      </c>
      <c r="CP477">
        <v>70052</v>
      </c>
      <c r="CQ477">
        <v>7891</v>
      </c>
      <c r="CR477">
        <v>21061</v>
      </c>
      <c r="CS477">
        <v>0.1734</v>
      </c>
      <c r="CT477">
        <v>0.42820000000000003</v>
      </c>
      <c r="CU477">
        <v>0.24859999999999999</v>
      </c>
      <c r="CV477">
        <v>1.5838000000000001</v>
      </c>
      <c r="CW477">
        <v>15.755700000000001</v>
      </c>
      <c r="CX477">
        <v>23.1662</v>
      </c>
      <c r="CY477" t="s">
        <v>134</v>
      </c>
      <c r="CZ477" t="s">
        <v>134</v>
      </c>
      <c r="DA477" t="s">
        <v>134</v>
      </c>
      <c r="DB477" t="s">
        <v>134</v>
      </c>
      <c r="DC477" t="s">
        <v>134</v>
      </c>
      <c r="DD477" t="s">
        <v>134</v>
      </c>
      <c r="DE477">
        <v>693</v>
      </c>
      <c r="DF477" t="s">
        <v>134</v>
      </c>
      <c r="DG477" t="s">
        <v>134</v>
      </c>
      <c r="DH477" t="s">
        <v>134</v>
      </c>
      <c r="DI477" t="s">
        <v>134</v>
      </c>
    </row>
    <row r="478" spans="1:113" x14ac:dyDescent="0.3">
      <c r="A478">
        <v>20</v>
      </c>
      <c r="B478" t="s">
        <v>122</v>
      </c>
      <c r="C478" t="s">
        <v>123</v>
      </c>
      <c r="D478" t="s">
        <v>76</v>
      </c>
      <c r="E478" t="s">
        <v>77</v>
      </c>
      <c r="F478">
        <v>8.6168999999999993</v>
      </c>
      <c r="G478">
        <v>5.3894000000000002</v>
      </c>
      <c r="H478">
        <v>8.4109999999999996</v>
      </c>
      <c r="I478">
        <v>6.7095000000000002</v>
      </c>
      <c r="J478">
        <v>40.641199999999998</v>
      </c>
      <c r="K478">
        <v>21.005500000000001</v>
      </c>
      <c r="L478">
        <v>119.6863</v>
      </c>
      <c r="M478">
        <v>21.458100000000002</v>
      </c>
      <c r="N478">
        <v>14.02</v>
      </c>
      <c r="O478">
        <v>14.02</v>
      </c>
      <c r="P478">
        <v>14.02</v>
      </c>
      <c r="Q478">
        <v>34.663400000000003</v>
      </c>
      <c r="R478">
        <v>54.765999999999998</v>
      </c>
      <c r="S478">
        <v>3.8978000000000002</v>
      </c>
      <c r="T478">
        <v>5.4001000000000001</v>
      </c>
      <c r="U478">
        <v>14.879099999999999</v>
      </c>
      <c r="V478">
        <v>41.228299999999997</v>
      </c>
      <c r="W478">
        <v>51.411499999999997</v>
      </c>
      <c r="X478">
        <v>42.872399999999999</v>
      </c>
      <c r="Y478">
        <v>-20</v>
      </c>
      <c r="Z478">
        <v>-64.051900000000003</v>
      </c>
      <c r="AA478" t="s">
        <v>134</v>
      </c>
      <c r="AB478">
        <v>-6.1928999999999998</v>
      </c>
      <c r="AC478">
        <v>3.4037000000000002</v>
      </c>
      <c r="AD478">
        <v>-18.4392</v>
      </c>
      <c r="AE478">
        <v>-69.562799999999996</v>
      </c>
      <c r="AF478">
        <v>-73.346500000000006</v>
      </c>
      <c r="AG478">
        <v>158.22829999999999</v>
      </c>
      <c r="AH478">
        <v>-5.1318000000000001</v>
      </c>
      <c r="AI478">
        <v>4.9190000000000005</v>
      </c>
      <c r="AJ478">
        <v>3.2096999999999998</v>
      </c>
      <c r="AK478">
        <v>4.8879999999999999</v>
      </c>
      <c r="AL478">
        <v>8.3773</v>
      </c>
      <c r="AM478">
        <v>16.474399999999999</v>
      </c>
      <c r="AN478">
        <v>23.845600000000001</v>
      </c>
      <c r="AO478">
        <v>52.791200000000003</v>
      </c>
      <c r="AP478">
        <v>50.707500000000003</v>
      </c>
      <c r="AQ478">
        <v>46.677399999999999</v>
      </c>
      <c r="AR478" t="s">
        <v>134</v>
      </c>
      <c r="AS478">
        <v>-5.3672000000000004</v>
      </c>
      <c r="AT478" t="s">
        <v>134</v>
      </c>
      <c r="AU478">
        <v>-2.0922000000000001</v>
      </c>
      <c r="AV478">
        <v>6.6771000000000003</v>
      </c>
      <c r="AW478">
        <v>-17.7227</v>
      </c>
      <c r="AX478" t="s">
        <v>134</v>
      </c>
      <c r="AY478">
        <v>15.5489</v>
      </c>
      <c r="AZ478">
        <v>-29.6875</v>
      </c>
      <c r="BA478">
        <v>-10.398199999999999</v>
      </c>
      <c r="BB478">
        <v>11.7471</v>
      </c>
      <c r="BC478">
        <v>5.7862999999999998</v>
      </c>
      <c r="BD478">
        <v>-12.9968</v>
      </c>
      <c r="BE478">
        <v>56.649700000000003</v>
      </c>
      <c r="BF478">
        <v>5.4001000000000001</v>
      </c>
      <c r="BG478">
        <v>14.879099999999999</v>
      </c>
      <c r="BH478">
        <v>41.228299999999997</v>
      </c>
      <c r="BI478">
        <v>51.411499999999997</v>
      </c>
      <c r="BJ478">
        <v>42.872399999999999</v>
      </c>
      <c r="BK478">
        <v>-20</v>
      </c>
      <c r="BL478">
        <v>-64.051900000000003</v>
      </c>
      <c r="BM478" t="s">
        <v>134</v>
      </c>
      <c r="BN478">
        <v>-6.1928999999999998</v>
      </c>
      <c r="BO478">
        <v>3.4037000000000002</v>
      </c>
      <c r="BP478">
        <v>-18.4392</v>
      </c>
      <c r="BQ478">
        <v>-69.562799999999996</v>
      </c>
      <c r="BR478">
        <v>-73.346500000000006</v>
      </c>
      <c r="BS478">
        <v>158.22829999999999</v>
      </c>
      <c r="BT478">
        <v>-5.1318000000000001</v>
      </c>
      <c r="BU478">
        <v>4.9190000000000005</v>
      </c>
      <c r="BV478">
        <v>3.2096999999999998</v>
      </c>
      <c r="BW478">
        <v>4.8879999999999999</v>
      </c>
      <c r="BX478">
        <v>8.3773</v>
      </c>
      <c r="BY478">
        <v>33423</v>
      </c>
      <c r="BZ478">
        <v>7579</v>
      </c>
      <c r="CA478">
        <v>25844</v>
      </c>
      <c r="CB478">
        <v>0.75960000000000005</v>
      </c>
      <c r="CC478">
        <v>-0.15210000000000001</v>
      </c>
      <c r="CD478">
        <v>1.4697</v>
      </c>
      <c r="CE478">
        <v>-0.29430000000000001</v>
      </c>
      <c r="CF478">
        <v>11.3874</v>
      </c>
      <c r="CG478">
        <v>62.992199999999997</v>
      </c>
      <c r="CH478">
        <v>14.327400000000001</v>
      </c>
      <c r="CI478">
        <v>12.0876</v>
      </c>
      <c r="CJ478">
        <v>9.0251000000000001</v>
      </c>
      <c r="CK478">
        <v>18.529</v>
      </c>
      <c r="CL478">
        <v>15.6325</v>
      </c>
      <c r="CM478">
        <v>11.671799999999999</v>
      </c>
      <c r="CN478">
        <v>-3.7099000000000002</v>
      </c>
      <c r="CO478">
        <v>-3.8528000000000002</v>
      </c>
      <c r="CP478">
        <v>44001</v>
      </c>
      <c r="CQ478">
        <v>28259</v>
      </c>
      <c r="CR478">
        <v>22742</v>
      </c>
      <c r="CS478">
        <v>0.95169999999999999</v>
      </c>
      <c r="CT478">
        <v>1.3277000000000001</v>
      </c>
      <c r="CU478">
        <v>1.0246</v>
      </c>
      <c r="CV478">
        <v>2.9881000000000002</v>
      </c>
      <c r="CW478">
        <v>18.620200000000001</v>
      </c>
      <c r="CX478">
        <v>19.602399999999999</v>
      </c>
      <c r="CY478" t="s">
        <v>134</v>
      </c>
      <c r="CZ478" t="s">
        <v>134</v>
      </c>
      <c r="DA478" t="s">
        <v>134</v>
      </c>
      <c r="DB478" t="s">
        <v>134</v>
      </c>
      <c r="DC478" t="s">
        <v>134</v>
      </c>
      <c r="DD478" t="s">
        <v>134</v>
      </c>
      <c r="DE478">
        <v>0</v>
      </c>
      <c r="DF478">
        <v>0</v>
      </c>
      <c r="DG478">
        <v>0</v>
      </c>
      <c r="DH478">
        <v>0</v>
      </c>
      <c r="DI478">
        <v>0</v>
      </c>
    </row>
    <row r="479" spans="1:113" x14ac:dyDescent="0.3">
      <c r="E479" t="s">
        <v>78</v>
      </c>
      <c r="F479">
        <v>7.0003000000000002</v>
      </c>
      <c r="G479">
        <v>4.3495999999999997</v>
      </c>
      <c r="H479">
        <v>7.0970000000000004</v>
      </c>
      <c r="I479">
        <v>5.5582000000000003</v>
      </c>
      <c r="J479">
        <v>40.236499999999999</v>
      </c>
      <c r="K479">
        <v>19.153300000000002</v>
      </c>
      <c r="L479">
        <v>75.863699999999994</v>
      </c>
      <c r="M479">
        <v>20.7742</v>
      </c>
      <c r="N479">
        <v>13.638400000000001</v>
      </c>
      <c r="O479">
        <v>13.638400000000001</v>
      </c>
      <c r="P479">
        <v>13.638400000000001</v>
      </c>
      <c r="Q479">
        <v>34.349200000000003</v>
      </c>
      <c r="R479">
        <v>0</v>
      </c>
      <c r="S479">
        <v>7.0003000000000002</v>
      </c>
      <c r="T479">
        <v>8.5039999999999996</v>
      </c>
      <c r="U479">
        <v>19.087900000000001</v>
      </c>
      <c r="V479">
        <v>45.018799999999999</v>
      </c>
      <c r="W479">
        <v>67.572599999999994</v>
      </c>
      <c r="X479">
        <v>54.582700000000003</v>
      </c>
      <c r="Y479" t="s">
        <v>134</v>
      </c>
      <c r="Z479">
        <v>-46.683</v>
      </c>
      <c r="AA479" t="s">
        <v>134</v>
      </c>
      <c r="AB479">
        <v>-3.2816999999999998</v>
      </c>
      <c r="AC479">
        <v>18.93</v>
      </c>
      <c r="AD479">
        <v>-16.638500000000001</v>
      </c>
      <c r="AE479">
        <v>721.16279999999995</v>
      </c>
      <c r="AF479">
        <v>-62.8842</v>
      </c>
      <c r="AG479">
        <v>-85.261300000000006</v>
      </c>
      <c r="AH479">
        <v>-7.3330000000000002</v>
      </c>
      <c r="AI479">
        <v>23.116199999999999</v>
      </c>
      <c r="AJ479">
        <v>17.254300000000001</v>
      </c>
      <c r="AK479">
        <v>-62.141800000000003</v>
      </c>
      <c r="AL479" t="s">
        <v>134</v>
      </c>
      <c r="AM479" t="s">
        <v>134</v>
      </c>
      <c r="AN479" t="s">
        <v>134</v>
      </c>
      <c r="AO479" t="s">
        <v>134</v>
      </c>
      <c r="AP479" t="s">
        <v>134</v>
      </c>
      <c r="AQ479" t="s">
        <v>134</v>
      </c>
      <c r="AR479" t="s">
        <v>134</v>
      </c>
      <c r="AS479" t="s">
        <v>134</v>
      </c>
      <c r="AT479" t="s">
        <v>134</v>
      </c>
      <c r="AU479" t="s">
        <v>134</v>
      </c>
      <c r="AV479" t="s">
        <v>134</v>
      </c>
      <c r="AW479" t="s">
        <v>134</v>
      </c>
      <c r="AX479" t="s">
        <v>134</v>
      </c>
      <c r="AY479" t="s">
        <v>134</v>
      </c>
      <c r="AZ479" t="s">
        <v>134</v>
      </c>
      <c r="BA479" t="s">
        <v>134</v>
      </c>
      <c r="BB479" t="s">
        <v>134</v>
      </c>
      <c r="BC479" t="s">
        <v>134</v>
      </c>
      <c r="BD479" t="s">
        <v>134</v>
      </c>
      <c r="BE479" t="s">
        <v>134</v>
      </c>
      <c r="BF479">
        <v>-1.9300000000000002</v>
      </c>
      <c r="BG479">
        <v>4.9855999999999998</v>
      </c>
      <c r="BH479">
        <v>14.292199999999999</v>
      </c>
      <c r="BI479">
        <v>24.469200000000001</v>
      </c>
      <c r="BJ479">
        <v>24.440100000000001</v>
      </c>
      <c r="BK479" t="s">
        <v>134</v>
      </c>
      <c r="BL479">
        <v>-52.618699999999997</v>
      </c>
      <c r="BM479" t="s">
        <v>134</v>
      </c>
      <c r="BN479">
        <v>-1.9117999999999999</v>
      </c>
      <c r="BO479">
        <v>3.42</v>
      </c>
      <c r="BP479">
        <v>53.314900000000002</v>
      </c>
      <c r="BQ479">
        <v>4.5678999999999998</v>
      </c>
      <c r="BR479">
        <v>-74.204899999999995</v>
      </c>
      <c r="BS479">
        <v>-35.604799999999997</v>
      </c>
      <c r="BT479">
        <v>-7.9276999999999997</v>
      </c>
      <c r="BU479">
        <v>5.1411999999999995</v>
      </c>
      <c r="BV479">
        <v>2.9186000000000001</v>
      </c>
      <c r="BW479">
        <v>5.1386000000000003</v>
      </c>
      <c r="BX479">
        <v>9.7230000000000008</v>
      </c>
      <c r="BY479">
        <v>32438</v>
      </c>
      <c r="BZ479">
        <v>1890</v>
      </c>
      <c r="CA479">
        <v>30548</v>
      </c>
      <c r="CB479">
        <v>0.81159999999999999</v>
      </c>
      <c r="CC479">
        <v>-0.90800000000000003</v>
      </c>
      <c r="CD479">
        <v>1.8393999999999999</v>
      </c>
      <c r="CE479">
        <v>-2.0577999999999999</v>
      </c>
      <c r="CF479">
        <v>10.193199999999999</v>
      </c>
      <c r="CG479">
        <v>63.115699999999997</v>
      </c>
      <c r="CH479">
        <v>16.8994</v>
      </c>
      <c r="CI479">
        <v>14.328200000000001</v>
      </c>
      <c r="CJ479">
        <v>10.6662</v>
      </c>
      <c r="CK479">
        <v>17.944900000000001</v>
      </c>
      <c r="CL479">
        <v>15.214700000000001</v>
      </c>
      <c r="CM479">
        <v>11.3261</v>
      </c>
      <c r="CN479">
        <v>-20.075900000000001</v>
      </c>
      <c r="CO479">
        <v>-25.1187</v>
      </c>
      <c r="CP479">
        <v>10550</v>
      </c>
      <c r="CQ479">
        <v>6120</v>
      </c>
      <c r="CR479">
        <v>5022</v>
      </c>
      <c r="CS479">
        <v>1.7898000000000001</v>
      </c>
      <c r="CT479">
        <v>2.2358000000000002</v>
      </c>
      <c r="CU479">
        <v>1.8953</v>
      </c>
      <c r="CV479">
        <v>3.2926000000000002</v>
      </c>
      <c r="CW479">
        <v>17.979900000000001</v>
      </c>
      <c r="CX479">
        <v>20.3005</v>
      </c>
      <c r="CY479" t="s">
        <v>134</v>
      </c>
      <c r="CZ479" t="s">
        <v>134</v>
      </c>
      <c r="DA479" t="s">
        <v>134</v>
      </c>
      <c r="DB479" t="s">
        <v>134</v>
      </c>
      <c r="DC479" t="s">
        <v>134</v>
      </c>
      <c r="DD479" t="s">
        <v>134</v>
      </c>
      <c r="DE479">
        <v>0</v>
      </c>
      <c r="DF479">
        <v>0</v>
      </c>
      <c r="DG479">
        <v>0</v>
      </c>
      <c r="DH479">
        <v>0</v>
      </c>
      <c r="DI479">
        <v>0</v>
      </c>
    </row>
    <row r="480" spans="1:113" x14ac:dyDescent="0.3">
      <c r="E480" t="s">
        <v>79</v>
      </c>
      <c r="F480" t="s">
        <v>134</v>
      </c>
      <c r="G480" t="s">
        <v>134</v>
      </c>
      <c r="H480" t="s">
        <v>134</v>
      </c>
      <c r="I480" t="s">
        <v>134</v>
      </c>
      <c r="J480">
        <v>39.978400000000001</v>
      </c>
      <c r="K480">
        <v>20.1327</v>
      </c>
      <c r="L480">
        <v>107.6443</v>
      </c>
      <c r="M480">
        <v>17.278400000000001</v>
      </c>
      <c r="N480">
        <v>10.336500000000001</v>
      </c>
      <c r="O480">
        <v>10.336500000000001</v>
      </c>
      <c r="P480">
        <v>10.336500000000001</v>
      </c>
      <c r="Q480">
        <v>40.1768</v>
      </c>
      <c r="R480">
        <v>0</v>
      </c>
      <c r="S480" t="s">
        <v>134</v>
      </c>
      <c r="T480">
        <v>5.0166000000000004</v>
      </c>
      <c r="U480">
        <v>12.3338</v>
      </c>
      <c r="V480">
        <v>34.302799999999998</v>
      </c>
      <c r="W480">
        <v>12.035500000000001</v>
      </c>
      <c r="X480">
        <v>3.3144999999999998</v>
      </c>
      <c r="Y480" t="s">
        <v>134</v>
      </c>
      <c r="Z480" t="s">
        <v>134</v>
      </c>
      <c r="AA480" t="s">
        <v>134</v>
      </c>
      <c r="AB480" t="s">
        <v>134</v>
      </c>
      <c r="AC480" t="s">
        <v>134</v>
      </c>
      <c r="AD480" t="s">
        <v>134</v>
      </c>
      <c r="AE480" t="s">
        <v>134</v>
      </c>
      <c r="AF480" t="s">
        <v>134</v>
      </c>
      <c r="AG480" t="s">
        <v>134</v>
      </c>
      <c r="AH480" t="s">
        <v>134</v>
      </c>
      <c r="AI480" t="s">
        <v>134</v>
      </c>
      <c r="AJ480" t="s">
        <v>134</v>
      </c>
      <c r="AK480" t="s">
        <v>134</v>
      </c>
      <c r="AL480" t="s">
        <v>134</v>
      </c>
      <c r="AM480" t="s">
        <v>134</v>
      </c>
      <c r="AN480" t="s">
        <v>134</v>
      </c>
      <c r="AO480" t="s">
        <v>134</v>
      </c>
      <c r="AP480" t="s">
        <v>134</v>
      </c>
      <c r="AQ480" t="s">
        <v>134</v>
      </c>
      <c r="AR480" t="s">
        <v>134</v>
      </c>
      <c r="AS480" t="s">
        <v>134</v>
      </c>
      <c r="AT480" t="s">
        <v>134</v>
      </c>
      <c r="AU480" t="s">
        <v>134</v>
      </c>
      <c r="AV480" t="s">
        <v>134</v>
      </c>
      <c r="AW480" t="s">
        <v>134</v>
      </c>
      <c r="AX480" t="s">
        <v>134</v>
      </c>
      <c r="AY480" t="s">
        <v>134</v>
      </c>
      <c r="AZ480" t="s">
        <v>134</v>
      </c>
      <c r="BA480" t="s">
        <v>134</v>
      </c>
      <c r="BB480" t="s">
        <v>134</v>
      </c>
      <c r="BC480" t="s">
        <v>134</v>
      </c>
      <c r="BD480" t="s">
        <v>134</v>
      </c>
      <c r="BE480" t="s">
        <v>134</v>
      </c>
      <c r="BF480">
        <v>2.3532000000000002</v>
      </c>
      <c r="BG480">
        <v>1.6966999999999999</v>
      </c>
      <c r="BH480">
        <v>7.5865999999999998</v>
      </c>
      <c r="BI480">
        <v>-22.427299999999999</v>
      </c>
      <c r="BJ480">
        <v>-22.445699999999999</v>
      </c>
      <c r="BK480" t="s">
        <v>134</v>
      </c>
      <c r="BL480">
        <v>-11.399000000000001</v>
      </c>
      <c r="BM480" t="s">
        <v>134</v>
      </c>
      <c r="BN480">
        <v>-1.9062999999999999</v>
      </c>
      <c r="BO480">
        <v>-2.2122999999999999</v>
      </c>
      <c r="BP480">
        <v>-20.450500000000002</v>
      </c>
      <c r="BQ480">
        <v>-78.959000000000003</v>
      </c>
      <c r="BR480">
        <v>-0.43640000000000001</v>
      </c>
      <c r="BS480">
        <v>-47.513199999999998</v>
      </c>
      <c r="BT480">
        <v>-19.723800000000001</v>
      </c>
      <c r="BU480">
        <v>1.2845</v>
      </c>
      <c r="BV480">
        <v>-1.9117999999999999</v>
      </c>
      <c r="BW480">
        <v>1.2812999999999999</v>
      </c>
      <c r="BX480">
        <v>4.3792</v>
      </c>
      <c r="BY480">
        <v>26040</v>
      </c>
      <c r="BZ480">
        <v>992</v>
      </c>
      <c r="CA480">
        <v>25048</v>
      </c>
      <c r="CB480">
        <v>0.63290000000000002</v>
      </c>
      <c r="CC480">
        <v>-8.48E-2</v>
      </c>
      <c r="CD480">
        <v>1.3694</v>
      </c>
      <c r="CE480">
        <v>-0.18340000000000001</v>
      </c>
      <c r="CF480">
        <v>10.925699999999999</v>
      </c>
      <c r="CG480">
        <v>65.372699999999995</v>
      </c>
      <c r="CH480">
        <v>13.681000000000001</v>
      </c>
      <c r="CI480">
        <v>11.977499999999999</v>
      </c>
      <c r="CJ480">
        <v>8.9436</v>
      </c>
      <c r="CK480">
        <v>14.222799999999999</v>
      </c>
      <c r="CL480">
        <v>12.4518</v>
      </c>
      <c r="CM480">
        <v>9.2978000000000005</v>
      </c>
      <c r="CN480">
        <v>-1.9051</v>
      </c>
      <c r="CO480">
        <v>-1.9420999999999999</v>
      </c>
      <c r="CP480">
        <v>10729</v>
      </c>
      <c r="CQ480">
        <v>7436</v>
      </c>
      <c r="CR480">
        <v>5403</v>
      </c>
      <c r="CS480">
        <v>0.83679999999999999</v>
      </c>
      <c r="CT480">
        <v>1.2829999999999999</v>
      </c>
      <c r="CU480">
        <v>0.93859999999999999</v>
      </c>
      <c r="CV480">
        <v>3.3894000000000002</v>
      </c>
      <c r="CW480" t="s">
        <v>134</v>
      </c>
      <c r="CX480" t="s">
        <v>134</v>
      </c>
      <c r="CY480" t="s">
        <v>134</v>
      </c>
      <c r="CZ480" t="s">
        <v>134</v>
      </c>
      <c r="DA480" t="s">
        <v>134</v>
      </c>
      <c r="DB480" t="s">
        <v>134</v>
      </c>
      <c r="DC480" t="s">
        <v>134</v>
      </c>
      <c r="DD480" t="s">
        <v>134</v>
      </c>
      <c r="DE480">
        <v>0</v>
      </c>
      <c r="DF480">
        <v>0</v>
      </c>
      <c r="DG480">
        <v>0</v>
      </c>
      <c r="DH480">
        <v>0</v>
      </c>
      <c r="DI480">
        <v>0</v>
      </c>
    </row>
    <row r="481" spans="4:113" x14ac:dyDescent="0.3">
      <c r="E481" t="s">
        <v>80</v>
      </c>
      <c r="F481">
        <v>7.3407999999999998</v>
      </c>
      <c r="G481">
        <v>4.6887999999999996</v>
      </c>
      <c r="H481">
        <v>7.4226000000000001</v>
      </c>
      <c r="I481">
        <v>5.9303999999999997</v>
      </c>
      <c r="J481">
        <v>41.313000000000002</v>
      </c>
      <c r="K481">
        <v>22.082699999999999</v>
      </c>
      <c r="L481">
        <v>175.2627</v>
      </c>
      <c r="M481">
        <v>22.540399999999998</v>
      </c>
      <c r="N481">
        <v>15.0306</v>
      </c>
      <c r="O481">
        <v>15.0306</v>
      </c>
      <c r="P481">
        <v>15.0306</v>
      </c>
      <c r="Q481">
        <v>33.317100000000003</v>
      </c>
      <c r="R481">
        <v>0</v>
      </c>
      <c r="S481">
        <v>7.3407999999999998</v>
      </c>
      <c r="T481">
        <v>3.9864000000000002</v>
      </c>
      <c r="U481">
        <v>14.945</v>
      </c>
      <c r="V481">
        <v>43.732100000000003</v>
      </c>
      <c r="W481">
        <v>61.550600000000003</v>
      </c>
      <c r="X481">
        <v>50.346699999999998</v>
      </c>
      <c r="Y481" t="s">
        <v>134</v>
      </c>
      <c r="Z481">
        <v>-50.863999999999997</v>
      </c>
      <c r="AA481" t="s">
        <v>134</v>
      </c>
      <c r="AB481">
        <v>-5.1532</v>
      </c>
      <c r="AC481">
        <v>-0.14729999999999999</v>
      </c>
      <c r="AD481">
        <v>85.297799999999995</v>
      </c>
      <c r="AE481">
        <v>-65.642399999999995</v>
      </c>
      <c r="AF481">
        <v>-68.823099999999997</v>
      </c>
      <c r="AG481" t="s">
        <v>134</v>
      </c>
      <c r="AH481">
        <v>-21.316199999999998</v>
      </c>
      <c r="AI481">
        <v>5.6375999999999999</v>
      </c>
      <c r="AJ481">
        <v>1.0301</v>
      </c>
      <c r="AK481">
        <v>5.6219000000000001</v>
      </c>
      <c r="AL481">
        <v>-21.834399999999999</v>
      </c>
      <c r="AM481" t="s">
        <v>134</v>
      </c>
      <c r="AN481" t="s">
        <v>134</v>
      </c>
      <c r="AO481" t="s">
        <v>134</v>
      </c>
      <c r="AP481" t="s">
        <v>134</v>
      </c>
      <c r="AQ481" t="s">
        <v>134</v>
      </c>
      <c r="AR481" t="s">
        <v>134</v>
      </c>
      <c r="AS481" t="s">
        <v>134</v>
      </c>
      <c r="AT481" t="s">
        <v>134</v>
      </c>
      <c r="AU481" t="s">
        <v>134</v>
      </c>
      <c r="AV481" t="s">
        <v>134</v>
      </c>
      <c r="AW481" t="s">
        <v>134</v>
      </c>
      <c r="AX481" t="s">
        <v>134</v>
      </c>
      <c r="AY481" t="s">
        <v>134</v>
      </c>
      <c r="AZ481" t="s">
        <v>134</v>
      </c>
      <c r="BA481" t="s">
        <v>134</v>
      </c>
      <c r="BB481" t="s">
        <v>134</v>
      </c>
      <c r="BC481" t="s">
        <v>134</v>
      </c>
      <c r="BD481" t="s">
        <v>134</v>
      </c>
      <c r="BE481" t="s">
        <v>134</v>
      </c>
      <c r="BF481">
        <v>1.7662</v>
      </c>
      <c r="BG481">
        <v>5.1635999999999997</v>
      </c>
      <c r="BH481">
        <v>11.623200000000001</v>
      </c>
      <c r="BI481">
        <v>47.981299999999997</v>
      </c>
      <c r="BJ481">
        <v>47.9863</v>
      </c>
      <c r="BK481" t="s">
        <v>134</v>
      </c>
      <c r="BL481">
        <v>-7.3517000000000001</v>
      </c>
      <c r="BM481" t="s">
        <v>134</v>
      </c>
      <c r="BN481">
        <v>-1.4236</v>
      </c>
      <c r="BO481">
        <v>1.4193</v>
      </c>
      <c r="BP481">
        <v>-17.213999999999999</v>
      </c>
      <c r="BQ481">
        <v>73.34</v>
      </c>
      <c r="BR481">
        <v>2.1918000000000002</v>
      </c>
      <c r="BS481">
        <v>0</v>
      </c>
      <c r="BT481">
        <v>10.0154</v>
      </c>
      <c r="BU481">
        <v>1.8849</v>
      </c>
      <c r="BV481">
        <v>2.8973</v>
      </c>
      <c r="BW481">
        <v>1.8811</v>
      </c>
      <c r="BX481">
        <v>-7.3741000000000003</v>
      </c>
      <c r="BY481">
        <v>28648</v>
      </c>
      <c r="BZ481">
        <v>992</v>
      </c>
      <c r="CA481">
        <v>27656</v>
      </c>
      <c r="CB481">
        <v>0.67230000000000001</v>
      </c>
      <c r="CC481">
        <v>-0.11940000000000001</v>
      </c>
      <c r="CD481">
        <v>1.3740000000000001</v>
      </c>
      <c r="CE481">
        <v>-0.24399999999999999</v>
      </c>
      <c r="CF481">
        <v>11.680099999999999</v>
      </c>
      <c r="CG481">
        <v>65.672799999999995</v>
      </c>
      <c r="CH481">
        <v>14.826000000000001</v>
      </c>
      <c r="CI481">
        <v>12.8522</v>
      </c>
      <c r="CJ481">
        <v>9.7367000000000008</v>
      </c>
      <c r="CK481">
        <v>15.357799999999999</v>
      </c>
      <c r="CL481">
        <v>13.3132</v>
      </c>
      <c r="CM481">
        <v>10.085900000000001</v>
      </c>
      <c r="CN481">
        <v>-2.7271000000000001</v>
      </c>
      <c r="CO481">
        <v>-2.8035000000000001</v>
      </c>
      <c r="CP481">
        <v>11283</v>
      </c>
      <c r="CQ481">
        <v>8115</v>
      </c>
      <c r="CR481">
        <v>6031</v>
      </c>
      <c r="CS481">
        <v>1.0357000000000001</v>
      </c>
      <c r="CT481">
        <v>1.5314000000000001</v>
      </c>
      <c r="CU481">
        <v>1.1377999999999999</v>
      </c>
      <c r="CV481">
        <v>3.5718999999999999</v>
      </c>
      <c r="CW481">
        <v>21.212900000000001</v>
      </c>
      <c r="CX481">
        <v>17.206499999999998</v>
      </c>
      <c r="CY481" t="s">
        <v>134</v>
      </c>
      <c r="CZ481" t="s">
        <v>134</v>
      </c>
      <c r="DA481" t="s">
        <v>134</v>
      </c>
      <c r="DB481" t="s">
        <v>134</v>
      </c>
      <c r="DC481" t="s">
        <v>134</v>
      </c>
      <c r="DD481" t="s">
        <v>134</v>
      </c>
      <c r="DE481">
        <v>0</v>
      </c>
      <c r="DF481">
        <v>0</v>
      </c>
      <c r="DG481">
        <v>0</v>
      </c>
      <c r="DH481">
        <v>0</v>
      </c>
      <c r="DI481">
        <v>0</v>
      </c>
    </row>
    <row r="482" spans="4:113" x14ac:dyDescent="0.3">
      <c r="E482" t="s">
        <v>81</v>
      </c>
      <c r="F482">
        <v>8.6168999999999993</v>
      </c>
      <c r="G482">
        <v>5.3894000000000002</v>
      </c>
      <c r="H482">
        <v>8.4109999999999996</v>
      </c>
      <c r="I482">
        <v>6.7084999999999999</v>
      </c>
      <c r="J482">
        <v>41.438800000000001</v>
      </c>
      <c r="K482">
        <v>22.8431</v>
      </c>
      <c r="L482">
        <v>170.1634</v>
      </c>
      <c r="M482">
        <v>25.061800000000002</v>
      </c>
      <c r="N482">
        <v>16.932500000000001</v>
      </c>
      <c r="O482">
        <v>16.932500000000001</v>
      </c>
      <c r="P482">
        <v>16.932500000000001</v>
      </c>
      <c r="Q482">
        <v>32.437100000000001</v>
      </c>
      <c r="R482">
        <v>175.97219999999999</v>
      </c>
      <c r="S482">
        <v>-6.5465</v>
      </c>
      <c r="T482">
        <v>4.3498999999999999</v>
      </c>
      <c r="U482">
        <v>15.0463</v>
      </c>
      <c r="V482">
        <v>45.038699999999999</v>
      </c>
      <c r="W482">
        <v>64.427400000000006</v>
      </c>
      <c r="X482">
        <v>64.361000000000004</v>
      </c>
      <c r="Y482" t="s">
        <v>134</v>
      </c>
      <c r="Z482">
        <v>-64.051900000000003</v>
      </c>
      <c r="AA482" t="s">
        <v>134</v>
      </c>
      <c r="AB482">
        <v>-6.1928999999999998</v>
      </c>
      <c r="AC482">
        <v>3.4037000000000002</v>
      </c>
      <c r="AD482">
        <v>-18.4392</v>
      </c>
      <c r="AE482">
        <v>-69.562799999999996</v>
      </c>
      <c r="AF482">
        <v>-73.346500000000006</v>
      </c>
      <c r="AG482">
        <v>158.22829999999999</v>
      </c>
      <c r="AH482">
        <v>-5.1318000000000001</v>
      </c>
      <c r="AI482">
        <v>4.9190000000000005</v>
      </c>
      <c r="AJ482">
        <v>3.2096999999999998</v>
      </c>
      <c r="AK482">
        <v>4.8879999999999999</v>
      </c>
      <c r="AL482">
        <v>-2.6569000000000003</v>
      </c>
      <c r="AM482" t="s">
        <v>134</v>
      </c>
      <c r="AN482" t="s">
        <v>134</v>
      </c>
      <c r="AO482" t="s">
        <v>134</v>
      </c>
      <c r="AP482" t="s">
        <v>134</v>
      </c>
      <c r="AQ482" t="s">
        <v>134</v>
      </c>
      <c r="AR482" t="s">
        <v>134</v>
      </c>
      <c r="AS482" t="s">
        <v>134</v>
      </c>
      <c r="AT482" t="s">
        <v>134</v>
      </c>
      <c r="AU482" t="s">
        <v>134</v>
      </c>
      <c r="AV482" t="s">
        <v>134</v>
      </c>
      <c r="AW482" t="s">
        <v>134</v>
      </c>
      <c r="AX482" t="s">
        <v>134</v>
      </c>
      <c r="AY482" t="s">
        <v>134</v>
      </c>
      <c r="AZ482" t="s">
        <v>134</v>
      </c>
      <c r="BA482" t="s">
        <v>134</v>
      </c>
      <c r="BB482" t="s">
        <v>134</v>
      </c>
      <c r="BC482" t="s">
        <v>134</v>
      </c>
      <c r="BD482" t="s">
        <v>134</v>
      </c>
      <c r="BE482" t="s">
        <v>134</v>
      </c>
      <c r="BF482">
        <v>2.153</v>
      </c>
      <c r="BG482">
        <v>2.4638999999999998</v>
      </c>
      <c r="BH482">
        <v>5.6707000000000001</v>
      </c>
      <c r="BI482">
        <v>15.0792</v>
      </c>
      <c r="BJ482">
        <v>15.083</v>
      </c>
      <c r="BK482" t="s">
        <v>134</v>
      </c>
      <c r="BL482">
        <v>-7.5743999999999998</v>
      </c>
      <c r="BM482" t="s">
        <v>134</v>
      </c>
      <c r="BN482">
        <v>-1.0980000000000001</v>
      </c>
      <c r="BO482">
        <v>0.81540000000000001</v>
      </c>
      <c r="BP482">
        <v>-19.220199999999998</v>
      </c>
      <c r="BQ482">
        <v>-20.193000000000001</v>
      </c>
      <c r="BR482">
        <v>1.5550000000000002</v>
      </c>
      <c r="BS482">
        <v>664.01210000000003</v>
      </c>
      <c r="BT482">
        <v>16.6678</v>
      </c>
      <c r="BU482">
        <v>-3.2995999999999999</v>
      </c>
      <c r="BV482">
        <v>-0.64129999999999998</v>
      </c>
      <c r="BW482">
        <v>-3.3191000000000002</v>
      </c>
      <c r="BX482">
        <v>-8.2383000000000006</v>
      </c>
      <c r="BY482">
        <v>33423</v>
      </c>
      <c r="BZ482">
        <v>7579</v>
      </c>
      <c r="CA482">
        <v>25844</v>
      </c>
      <c r="CB482">
        <v>0.75749999999999995</v>
      </c>
      <c r="CC482">
        <v>-0.1517</v>
      </c>
      <c r="CD482">
        <v>1.4641</v>
      </c>
      <c r="CE482">
        <v>-0.29310000000000003</v>
      </c>
      <c r="CF482">
        <v>13.1226</v>
      </c>
      <c r="CG482">
        <v>62.992199999999997</v>
      </c>
      <c r="CH482">
        <v>14.327400000000001</v>
      </c>
      <c r="CI482">
        <v>12.0876</v>
      </c>
      <c r="CJ482">
        <v>9.0251000000000001</v>
      </c>
      <c r="CK482">
        <v>18.529</v>
      </c>
      <c r="CL482">
        <v>15.6325</v>
      </c>
      <c r="CM482">
        <v>11.671799999999999</v>
      </c>
      <c r="CN482">
        <v>-3.7099000000000002</v>
      </c>
      <c r="CO482">
        <v>-3.8528000000000002</v>
      </c>
      <c r="CP482">
        <v>11561</v>
      </c>
      <c r="CQ482">
        <v>6710</v>
      </c>
      <c r="CR482">
        <v>6373</v>
      </c>
      <c r="CS482">
        <v>0.95169999999999999</v>
      </c>
      <c r="CT482">
        <v>1.3277000000000001</v>
      </c>
      <c r="CU482">
        <v>1.0246</v>
      </c>
      <c r="CV482">
        <v>2.9881000000000002</v>
      </c>
      <c r="CW482">
        <v>18.620200000000001</v>
      </c>
      <c r="CX482">
        <v>19.602399999999999</v>
      </c>
      <c r="CY482" t="s">
        <v>134</v>
      </c>
      <c r="CZ482" t="s">
        <v>134</v>
      </c>
      <c r="DA482" t="s">
        <v>134</v>
      </c>
      <c r="DB482" t="s">
        <v>134</v>
      </c>
      <c r="DC482" t="s">
        <v>134</v>
      </c>
      <c r="DD482" t="s">
        <v>134</v>
      </c>
      <c r="DE482">
        <v>0</v>
      </c>
      <c r="DF482">
        <v>0</v>
      </c>
      <c r="DG482">
        <v>0</v>
      </c>
      <c r="DH482">
        <v>0</v>
      </c>
      <c r="DI482">
        <v>0</v>
      </c>
    </row>
    <row r="483" spans="4:113" x14ac:dyDescent="0.3">
      <c r="D483" t="s">
        <v>82</v>
      </c>
      <c r="E483" t="s">
        <v>77</v>
      </c>
      <c r="F483">
        <v>11.366199999999999</v>
      </c>
      <c r="G483">
        <v>7.1425000000000001</v>
      </c>
      <c r="H483">
        <v>10.661799999999999</v>
      </c>
      <c r="I483">
        <v>8.4425000000000008</v>
      </c>
      <c r="J483">
        <v>42.886299999999999</v>
      </c>
      <c r="K483">
        <v>24.1629</v>
      </c>
      <c r="L483">
        <v>64.781400000000005</v>
      </c>
      <c r="M483">
        <v>26.152100000000001</v>
      </c>
      <c r="N483">
        <v>17.075299999999999</v>
      </c>
      <c r="O483">
        <v>17.075299999999999</v>
      </c>
      <c r="P483">
        <v>17.075299999999999</v>
      </c>
      <c r="Q483">
        <v>34.707500000000003</v>
      </c>
      <c r="R483">
        <v>104.55459999999999</v>
      </c>
      <c r="S483">
        <v>-0.51770000000000005</v>
      </c>
      <c r="T483">
        <v>7.7733999999999996</v>
      </c>
      <c r="U483">
        <v>13.727</v>
      </c>
      <c r="V483">
        <v>23.973300000000002</v>
      </c>
      <c r="W483">
        <v>31.260300000000001</v>
      </c>
      <c r="X483">
        <v>31.317</v>
      </c>
      <c r="Y483">
        <v>150</v>
      </c>
      <c r="Z483">
        <v>14.861800000000001</v>
      </c>
      <c r="AA483" t="s">
        <v>134</v>
      </c>
      <c r="AB483">
        <v>-2.8383000000000003</v>
      </c>
      <c r="AC483">
        <v>-5.1715</v>
      </c>
      <c r="AD483">
        <v>85.436099999999996</v>
      </c>
      <c r="AE483">
        <v>-51.820700000000002</v>
      </c>
      <c r="AF483">
        <v>-29.1447</v>
      </c>
      <c r="AG483">
        <v>34.041400000000003</v>
      </c>
      <c r="AH483">
        <v>-22.741800000000001</v>
      </c>
      <c r="AI483">
        <v>-5.6447000000000003</v>
      </c>
      <c r="AJ483">
        <v>-8.3173999999999992</v>
      </c>
      <c r="AK483">
        <v>-5.8673000000000002</v>
      </c>
      <c r="AL483">
        <v>-0.83540000000000003</v>
      </c>
      <c r="AM483">
        <v>10.637599999999999</v>
      </c>
      <c r="AN483">
        <v>15.6532</v>
      </c>
      <c r="AO483">
        <v>33.830599999999997</v>
      </c>
      <c r="AP483">
        <v>51.098999999999997</v>
      </c>
      <c r="AQ483">
        <v>47.287500000000001</v>
      </c>
      <c r="AR483" t="s">
        <v>134</v>
      </c>
      <c r="AS483">
        <v>-17.088999999999999</v>
      </c>
      <c r="AT483" t="s">
        <v>134</v>
      </c>
      <c r="AU483">
        <v>-3.4683999999999999</v>
      </c>
      <c r="AV483">
        <v>3.8209999999999997</v>
      </c>
      <c r="AW483">
        <v>-14.622299999999999</v>
      </c>
      <c r="AX483">
        <v>-2.1080999999999999</v>
      </c>
      <c r="AY483">
        <v>-20.354399999999998</v>
      </c>
      <c r="AZ483">
        <v>17.960100000000001</v>
      </c>
      <c r="BA483">
        <v>-10.1549</v>
      </c>
      <c r="BB483">
        <v>4.5461999999999998</v>
      </c>
      <c r="BC483">
        <v>1.6766999999999999</v>
      </c>
      <c r="BD483">
        <v>-17.463000000000001</v>
      </c>
      <c r="BE483">
        <v>6.7843</v>
      </c>
      <c r="BF483">
        <v>7.7733999999999996</v>
      </c>
      <c r="BG483">
        <v>13.727</v>
      </c>
      <c r="BH483">
        <v>23.973300000000002</v>
      </c>
      <c r="BI483">
        <v>31.260300000000001</v>
      </c>
      <c r="BJ483">
        <v>31.317</v>
      </c>
      <c r="BK483">
        <v>150</v>
      </c>
      <c r="BL483">
        <v>14.861800000000001</v>
      </c>
      <c r="BM483" t="s">
        <v>134</v>
      </c>
      <c r="BN483">
        <v>-2.8383000000000003</v>
      </c>
      <c r="BO483">
        <v>-5.1715</v>
      </c>
      <c r="BP483">
        <v>85.436099999999996</v>
      </c>
      <c r="BQ483">
        <v>-51.820700000000002</v>
      </c>
      <c r="BR483">
        <v>-29.1447</v>
      </c>
      <c r="BS483">
        <v>34.041400000000003</v>
      </c>
      <c r="BT483">
        <v>-22.741800000000001</v>
      </c>
      <c r="BU483">
        <v>-5.6447000000000003</v>
      </c>
      <c r="BV483">
        <v>-8.3173999999999992</v>
      </c>
      <c r="BW483">
        <v>-5.8673000000000002</v>
      </c>
      <c r="BX483">
        <v>-0.83540000000000003</v>
      </c>
      <c r="BY483">
        <v>25822</v>
      </c>
      <c r="BZ483">
        <v>10159</v>
      </c>
      <c r="CA483">
        <v>15663</v>
      </c>
      <c r="CB483">
        <v>0.51600000000000001</v>
      </c>
      <c r="CC483">
        <v>-0.29449999999999998</v>
      </c>
      <c r="CD483">
        <v>0.91590000000000005</v>
      </c>
      <c r="CE483">
        <v>-0.52270000000000005</v>
      </c>
      <c r="CF483">
        <v>16.9861</v>
      </c>
      <c r="CG483">
        <v>62.677900000000001</v>
      </c>
      <c r="CH483">
        <v>9.2027000000000001</v>
      </c>
      <c r="CI483">
        <v>7.9904000000000002</v>
      </c>
      <c r="CJ483">
        <v>5.7681000000000004</v>
      </c>
      <c r="CK483">
        <v>15.1716</v>
      </c>
      <c r="CL483">
        <v>13.173</v>
      </c>
      <c r="CM483">
        <v>9.5091999999999999</v>
      </c>
      <c r="CN483">
        <v>-8.6592000000000002</v>
      </c>
      <c r="CO483">
        <v>-9.4801000000000002</v>
      </c>
      <c r="CP483">
        <v>50041</v>
      </c>
      <c r="CQ483">
        <v>29260</v>
      </c>
      <c r="CR483">
        <v>28194</v>
      </c>
      <c r="CS483">
        <v>0.80010000000000003</v>
      </c>
      <c r="CT483">
        <v>1.1313</v>
      </c>
      <c r="CU483">
        <v>0.86980000000000002</v>
      </c>
      <c r="CV483">
        <v>5.1978</v>
      </c>
      <c r="CW483">
        <v>35.320999999999998</v>
      </c>
      <c r="CX483">
        <v>10.3338</v>
      </c>
      <c r="CY483" t="s">
        <v>134</v>
      </c>
      <c r="CZ483" t="s">
        <v>134</v>
      </c>
      <c r="DA483" t="s">
        <v>134</v>
      </c>
      <c r="DB483" t="s">
        <v>134</v>
      </c>
      <c r="DC483" t="s">
        <v>134</v>
      </c>
      <c r="DD483" t="s">
        <v>134</v>
      </c>
      <c r="DE483">
        <v>0</v>
      </c>
      <c r="DF483">
        <v>0</v>
      </c>
      <c r="DG483">
        <v>0</v>
      </c>
      <c r="DH483">
        <v>0</v>
      </c>
      <c r="DI483">
        <v>0</v>
      </c>
    </row>
    <row r="484" spans="4:113" x14ac:dyDescent="0.3">
      <c r="E484" t="s">
        <v>78</v>
      </c>
      <c r="F484">
        <v>8.9300999999999995</v>
      </c>
      <c r="G484">
        <v>5.7019000000000002</v>
      </c>
      <c r="H484">
        <v>8.8732000000000006</v>
      </c>
      <c r="I484">
        <v>7.2062999999999997</v>
      </c>
      <c r="J484">
        <v>41.474699999999999</v>
      </c>
      <c r="K484">
        <v>22.995699999999999</v>
      </c>
      <c r="L484">
        <v>68.645200000000003</v>
      </c>
      <c r="M484">
        <v>24.360600000000002</v>
      </c>
      <c r="N484">
        <v>16.2803</v>
      </c>
      <c r="O484">
        <v>16.2803</v>
      </c>
      <c r="P484">
        <v>16.2803</v>
      </c>
      <c r="Q484">
        <v>33.169699999999999</v>
      </c>
      <c r="R484">
        <v>183.67349999999999</v>
      </c>
      <c r="S484">
        <v>-7.4721000000000002</v>
      </c>
      <c r="T484">
        <v>8.4171999999999993</v>
      </c>
      <c r="U484">
        <v>11.7536</v>
      </c>
      <c r="V484">
        <v>30.167300000000001</v>
      </c>
      <c r="W484">
        <v>29.418299999999999</v>
      </c>
      <c r="X484">
        <v>29.433599999999998</v>
      </c>
      <c r="Y484" t="s">
        <v>134</v>
      </c>
      <c r="Z484">
        <v>-16.111499999999999</v>
      </c>
      <c r="AA484" t="s">
        <v>134</v>
      </c>
      <c r="AB484">
        <v>-5.2412999999999998</v>
      </c>
      <c r="AC484">
        <v>-1.2164999999999999</v>
      </c>
      <c r="AD484">
        <v>-29.324300000000001</v>
      </c>
      <c r="AE484">
        <v>-53.201999999999998</v>
      </c>
      <c r="AF484">
        <v>-0.1091</v>
      </c>
      <c r="AG484">
        <v>-47.513199999999998</v>
      </c>
      <c r="AH484">
        <v>-25.633500000000002</v>
      </c>
      <c r="AI484">
        <v>1.0981000000000001</v>
      </c>
      <c r="AJ484">
        <v>-2.9689999999999999</v>
      </c>
      <c r="AK484">
        <v>1.0880000000000001</v>
      </c>
      <c r="AL484">
        <v>10.3864</v>
      </c>
      <c r="AM484" t="s">
        <v>134</v>
      </c>
      <c r="AN484" t="s">
        <v>134</v>
      </c>
      <c r="AO484" t="s">
        <v>134</v>
      </c>
      <c r="AP484" t="s">
        <v>134</v>
      </c>
      <c r="AQ484" t="s">
        <v>134</v>
      </c>
      <c r="AR484" t="s">
        <v>134</v>
      </c>
      <c r="AS484" t="s">
        <v>134</v>
      </c>
      <c r="AT484" t="s">
        <v>134</v>
      </c>
      <c r="AU484" t="s">
        <v>134</v>
      </c>
      <c r="AV484" t="s">
        <v>134</v>
      </c>
      <c r="AW484" t="s">
        <v>134</v>
      </c>
      <c r="AX484" t="s">
        <v>134</v>
      </c>
      <c r="AY484" t="s">
        <v>134</v>
      </c>
      <c r="AZ484" t="s">
        <v>134</v>
      </c>
      <c r="BA484" t="s">
        <v>134</v>
      </c>
      <c r="BB484" t="s">
        <v>134</v>
      </c>
      <c r="BC484" t="s">
        <v>134</v>
      </c>
      <c r="BD484" t="s">
        <v>134</v>
      </c>
      <c r="BE484" t="s">
        <v>134</v>
      </c>
      <c r="BF484">
        <v>1.8925000000000001</v>
      </c>
      <c r="BG484">
        <v>1.9807999999999999</v>
      </c>
      <c r="BH484">
        <v>2.5733999999999999</v>
      </c>
      <c r="BI484">
        <v>-2.0322</v>
      </c>
      <c r="BJ484">
        <v>-2.004</v>
      </c>
      <c r="BK484">
        <v>2.2726999999999999</v>
      </c>
      <c r="BL484">
        <v>10.569100000000001</v>
      </c>
      <c r="BM484" t="s">
        <v>134</v>
      </c>
      <c r="BN484">
        <v>-0.91679999999999995</v>
      </c>
      <c r="BO484">
        <v>-1.2010000000000001</v>
      </c>
      <c r="BP484">
        <v>32.853499999999997</v>
      </c>
      <c r="BQ484">
        <v>60.7761</v>
      </c>
      <c r="BR484">
        <v>-3.3262999999999998</v>
      </c>
      <c r="BS484">
        <v>-86.911199999999994</v>
      </c>
      <c r="BT484">
        <v>-27.825199999999999</v>
      </c>
      <c r="BU484">
        <v>1.3122</v>
      </c>
      <c r="BV484">
        <v>-3.2427000000000001</v>
      </c>
      <c r="BW484">
        <v>1.3294999999999999</v>
      </c>
      <c r="BX484">
        <v>24.4251</v>
      </c>
      <c r="BY484">
        <v>24123</v>
      </c>
      <c r="BZ484">
        <v>992</v>
      </c>
      <c r="CA484">
        <v>23131</v>
      </c>
      <c r="CB484">
        <v>0.53180000000000005</v>
      </c>
      <c r="CC484">
        <v>-0.56669999999999998</v>
      </c>
      <c r="CD484">
        <v>0.9909</v>
      </c>
      <c r="CE484">
        <v>-1.056</v>
      </c>
      <c r="CF484">
        <v>14.136699999999999</v>
      </c>
      <c r="CG484">
        <v>64.5946</v>
      </c>
      <c r="CH484">
        <v>12.657299999999999</v>
      </c>
      <c r="CI484">
        <v>11.1813</v>
      </c>
      <c r="CJ484">
        <v>8.1759000000000004</v>
      </c>
      <c r="CK484">
        <v>13.200100000000001</v>
      </c>
      <c r="CL484">
        <v>11.6608</v>
      </c>
      <c r="CM484">
        <v>8.5265000000000004</v>
      </c>
      <c r="CN484">
        <v>-14.067399999999999</v>
      </c>
      <c r="CO484">
        <v>-16.370200000000001</v>
      </c>
      <c r="CP484">
        <v>11790</v>
      </c>
      <c r="CQ484">
        <v>7128</v>
      </c>
      <c r="CR484">
        <v>6537</v>
      </c>
      <c r="CS484">
        <v>1.1360999999999999</v>
      </c>
      <c r="CT484">
        <v>1.5063</v>
      </c>
      <c r="CU484">
        <v>1.2136</v>
      </c>
      <c r="CV484">
        <v>4.5681000000000003</v>
      </c>
      <c r="CW484">
        <v>29.645499999999998</v>
      </c>
      <c r="CX484">
        <v>12.312200000000001</v>
      </c>
      <c r="CY484" t="s">
        <v>134</v>
      </c>
      <c r="CZ484" t="s">
        <v>134</v>
      </c>
      <c r="DA484" t="s">
        <v>134</v>
      </c>
      <c r="DB484" t="s">
        <v>134</v>
      </c>
      <c r="DC484" t="s">
        <v>134</v>
      </c>
      <c r="DD484" t="s">
        <v>134</v>
      </c>
      <c r="DE484">
        <v>0</v>
      </c>
      <c r="DF484">
        <v>0</v>
      </c>
      <c r="DG484">
        <v>0</v>
      </c>
      <c r="DH484">
        <v>0</v>
      </c>
      <c r="DI484">
        <v>0</v>
      </c>
    </row>
    <row r="485" spans="4:113" x14ac:dyDescent="0.3">
      <c r="E485" t="s">
        <v>79</v>
      </c>
      <c r="F485">
        <v>10.0749</v>
      </c>
      <c r="G485">
        <v>6.6274999999999995</v>
      </c>
      <c r="H485">
        <v>10.023199999999999</v>
      </c>
      <c r="I485">
        <v>7.9768999999999997</v>
      </c>
      <c r="J485">
        <v>41.4696</v>
      </c>
      <c r="K485">
        <v>22.971900000000002</v>
      </c>
      <c r="L485">
        <v>53.896099999999997</v>
      </c>
      <c r="M485">
        <v>24.244900000000001</v>
      </c>
      <c r="N485">
        <v>15.8766</v>
      </c>
      <c r="O485">
        <v>15.8766</v>
      </c>
      <c r="P485">
        <v>15.8766</v>
      </c>
      <c r="Q485">
        <v>34.515799999999999</v>
      </c>
      <c r="R485">
        <v>0</v>
      </c>
      <c r="S485">
        <v>10.0749</v>
      </c>
      <c r="T485">
        <v>9.1814</v>
      </c>
      <c r="U485">
        <v>13.2538</v>
      </c>
      <c r="V485">
        <v>24.578900000000001</v>
      </c>
      <c r="W485">
        <v>67.700100000000006</v>
      </c>
      <c r="X485">
        <v>67.713300000000004</v>
      </c>
      <c r="Y485" t="s">
        <v>134</v>
      </c>
      <c r="Z485">
        <v>-1.8378999999999999</v>
      </c>
      <c r="AA485" t="s">
        <v>134</v>
      </c>
      <c r="AB485">
        <v>-4.4065000000000003</v>
      </c>
      <c r="AC485">
        <v>-4.8749000000000002</v>
      </c>
      <c r="AD485">
        <v>-10.3058</v>
      </c>
      <c r="AE485">
        <v>-1.5123</v>
      </c>
      <c r="AF485">
        <v>6.3562000000000003</v>
      </c>
      <c r="AG485" t="s">
        <v>134</v>
      </c>
      <c r="AH485">
        <v>-17.488499999999998</v>
      </c>
      <c r="AI485">
        <v>-3.6501999999999999</v>
      </c>
      <c r="AJ485">
        <v>-5.3733000000000004</v>
      </c>
      <c r="AK485">
        <v>-3.7235</v>
      </c>
      <c r="AL485">
        <v>-15.0642</v>
      </c>
      <c r="AM485" t="s">
        <v>134</v>
      </c>
      <c r="AN485" t="s">
        <v>134</v>
      </c>
      <c r="AO485" t="s">
        <v>134</v>
      </c>
      <c r="AP485" t="s">
        <v>134</v>
      </c>
      <c r="AQ485" t="s">
        <v>134</v>
      </c>
      <c r="AR485" t="s">
        <v>134</v>
      </c>
      <c r="AS485" t="s">
        <v>134</v>
      </c>
      <c r="AT485" t="s">
        <v>134</v>
      </c>
      <c r="AU485" t="s">
        <v>134</v>
      </c>
      <c r="AV485" t="s">
        <v>134</v>
      </c>
      <c r="AW485" t="s">
        <v>134</v>
      </c>
      <c r="AX485" t="s">
        <v>134</v>
      </c>
      <c r="AY485" t="s">
        <v>134</v>
      </c>
      <c r="AZ485" t="s">
        <v>134</v>
      </c>
      <c r="BA485" t="s">
        <v>134</v>
      </c>
      <c r="BB485" t="s">
        <v>134</v>
      </c>
      <c r="BC485" t="s">
        <v>134</v>
      </c>
      <c r="BD485" t="s">
        <v>134</v>
      </c>
      <c r="BE485" t="s">
        <v>134</v>
      </c>
      <c r="BF485">
        <v>3.0745</v>
      </c>
      <c r="BG485">
        <v>3.0619000000000001</v>
      </c>
      <c r="BH485">
        <v>2.9676999999999998</v>
      </c>
      <c r="BI485">
        <v>0.51859999999999995</v>
      </c>
      <c r="BJ485">
        <v>0.49080000000000001</v>
      </c>
      <c r="BK485">
        <v>-100</v>
      </c>
      <c r="BL485">
        <v>3.6764999999999999</v>
      </c>
      <c r="BM485" t="s">
        <v>134</v>
      </c>
      <c r="BN485">
        <v>-1.0421</v>
      </c>
      <c r="BO485">
        <v>-5.8338999999999999</v>
      </c>
      <c r="BP485">
        <v>0.95599999999999996</v>
      </c>
      <c r="BQ485">
        <v>-55.718699999999998</v>
      </c>
      <c r="BR485">
        <v>6.0076000000000001</v>
      </c>
      <c r="BS485">
        <v>-100</v>
      </c>
      <c r="BT485">
        <v>-10.9315</v>
      </c>
      <c r="BU485">
        <v>-3.4725000000000001</v>
      </c>
      <c r="BV485">
        <v>-4.3422999999999998</v>
      </c>
      <c r="BW485">
        <v>-3.5394000000000001</v>
      </c>
      <c r="BX485">
        <v>-19.686399999999999</v>
      </c>
      <c r="BY485">
        <v>21486</v>
      </c>
      <c r="BZ485">
        <v>0</v>
      </c>
      <c r="CA485">
        <v>21486</v>
      </c>
      <c r="CB485">
        <v>0.4592</v>
      </c>
      <c r="CC485">
        <v>-0.14069999999999999</v>
      </c>
      <c r="CD485">
        <v>0.83689999999999998</v>
      </c>
      <c r="CE485">
        <v>-0.25640000000000002</v>
      </c>
      <c r="CF485">
        <v>16.115400000000001</v>
      </c>
      <c r="CG485">
        <v>66.214399999999998</v>
      </c>
      <c r="CH485">
        <v>12.180099999999999</v>
      </c>
      <c r="CI485">
        <v>10.8576</v>
      </c>
      <c r="CJ485">
        <v>8.0649999999999995</v>
      </c>
      <c r="CK485">
        <v>12.180099999999999</v>
      </c>
      <c r="CL485">
        <v>10.8576</v>
      </c>
      <c r="CM485">
        <v>8.0649999999999995</v>
      </c>
      <c r="CN485">
        <v>-3.7311999999999999</v>
      </c>
      <c r="CO485">
        <v>-3.8757999999999999</v>
      </c>
      <c r="CP485">
        <v>12151</v>
      </c>
      <c r="CQ485">
        <v>7566</v>
      </c>
      <c r="CR485">
        <v>6731</v>
      </c>
      <c r="CS485">
        <v>0.8</v>
      </c>
      <c r="CT485">
        <v>1.2803</v>
      </c>
      <c r="CU485">
        <v>0.90049999999999997</v>
      </c>
      <c r="CV485">
        <v>5.4287999999999998</v>
      </c>
      <c r="CW485">
        <v>31.742000000000001</v>
      </c>
      <c r="CX485">
        <v>11.499000000000001</v>
      </c>
      <c r="CY485" t="s">
        <v>134</v>
      </c>
      <c r="CZ485" t="s">
        <v>134</v>
      </c>
      <c r="DA485" t="s">
        <v>134</v>
      </c>
      <c r="DB485" t="s">
        <v>134</v>
      </c>
      <c r="DC485" t="s">
        <v>134</v>
      </c>
      <c r="DD485" t="s">
        <v>134</v>
      </c>
      <c r="DE485">
        <v>0</v>
      </c>
      <c r="DF485">
        <v>0</v>
      </c>
      <c r="DG485">
        <v>0</v>
      </c>
      <c r="DH485">
        <v>0</v>
      </c>
      <c r="DI485">
        <v>0</v>
      </c>
    </row>
    <row r="486" spans="4:113" x14ac:dyDescent="0.3">
      <c r="E486" t="s">
        <v>80</v>
      </c>
      <c r="F486">
        <v>10.384</v>
      </c>
      <c r="G486">
        <v>6.8757000000000001</v>
      </c>
      <c r="H486">
        <v>10.134499999999999</v>
      </c>
      <c r="I486">
        <v>8.0863999999999994</v>
      </c>
      <c r="J486">
        <v>43.173499999999997</v>
      </c>
      <c r="K486">
        <v>24.297999999999998</v>
      </c>
      <c r="L486">
        <v>52.09</v>
      </c>
      <c r="M486">
        <v>26.061399999999999</v>
      </c>
      <c r="N486">
        <v>17.190000000000001</v>
      </c>
      <c r="O486">
        <v>17.190000000000001</v>
      </c>
      <c r="P486">
        <v>17.190000000000001</v>
      </c>
      <c r="Q486">
        <v>34.040300000000002</v>
      </c>
      <c r="R486">
        <v>0</v>
      </c>
      <c r="S486">
        <v>10.384</v>
      </c>
      <c r="T486">
        <v>7.9710999999999999</v>
      </c>
      <c r="U486">
        <v>12.833500000000001</v>
      </c>
      <c r="V486">
        <v>18.802900000000001</v>
      </c>
      <c r="W486">
        <v>23.483599999999999</v>
      </c>
      <c r="X486">
        <v>23.477899999999998</v>
      </c>
      <c r="Y486" t="s">
        <v>134</v>
      </c>
      <c r="Z486">
        <v>0.1202</v>
      </c>
      <c r="AA486" t="s">
        <v>134</v>
      </c>
      <c r="AB486">
        <v>-3.4611000000000001</v>
      </c>
      <c r="AC486">
        <v>-4.6775000000000002</v>
      </c>
      <c r="AD486">
        <v>10.3283</v>
      </c>
      <c r="AE486">
        <v>-31.043399999999998</v>
      </c>
      <c r="AF486">
        <v>-7.8819999999999997</v>
      </c>
      <c r="AG486" t="s">
        <v>134</v>
      </c>
      <c r="AH486">
        <v>-23.935400000000001</v>
      </c>
      <c r="AI486">
        <v>-3.0670000000000002</v>
      </c>
      <c r="AJ486">
        <v>-5.8452000000000002</v>
      </c>
      <c r="AK486">
        <v>-3.1505000000000001</v>
      </c>
      <c r="AL486">
        <v>7.3856999999999999</v>
      </c>
      <c r="AM486" t="s">
        <v>134</v>
      </c>
      <c r="AN486" t="s">
        <v>134</v>
      </c>
      <c r="AO486" t="s">
        <v>134</v>
      </c>
      <c r="AP486" t="s">
        <v>134</v>
      </c>
      <c r="AQ486" t="s">
        <v>134</v>
      </c>
      <c r="AR486" t="s">
        <v>134</v>
      </c>
      <c r="AS486" t="s">
        <v>134</v>
      </c>
      <c r="AT486" t="s">
        <v>134</v>
      </c>
      <c r="AU486" t="s">
        <v>134</v>
      </c>
      <c r="AV486" t="s">
        <v>134</v>
      </c>
      <c r="AW486" t="s">
        <v>134</v>
      </c>
      <c r="AX486" t="s">
        <v>134</v>
      </c>
      <c r="AY486" t="s">
        <v>134</v>
      </c>
      <c r="AZ486" t="s">
        <v>134</v>
      </c>
      <c r="BA486" t="s">
        <v>134</v>
      </c>
      <c r="BB486" t="s">
        <v>134</v>
      </c>
      <c r="BC486" t="s">
        <v>134</v>
      </c>
      <c r="BD486" t="s">
        <v>134</v>
      </c>
      <c r="BE486" t="s">
        <v>134</v>
      </c>
      <c r="BF486">
        <v>0.63819999999999999</v>
      </c>
      <c r="BG486">
        <v>4.7732999999999999</v>
      </c>
      <c r="BH486">
        <v>6.4478</v>
      </c>
      <c r="BI486">
        <v>8.9639000000000006</v>
      </c>
      <c r="BJ486">
        <v>8.9540000000000006</v>
      </c>
      <c r="BK486" t="s">
        <v>134</v>
      </c>
      <c r="BL486">
        <v>-5.5034999999999998</v>
      </c>
      <c r="BM486" t="s">
        <v>134</v>
      </c>
      <c r="BN486">
        <v>-0.44869999999999999</v>
      </c>
      <c r="BO486">
        <v>1.6297999999999999</v>
      </c>
      <c r="BP486">
        <v>1.8308</v>
      </c>
      <c r="BQ486">
        <v>21.364699999999999</v>
      </c>
      <c r="BR486">
        <v>-11.488899999999999</v>
      </c>
      <c r="BS486" t="s">
        <v>134</v>
      </c>
      <c r="BT486">
        <v>1.4195</v>
      </c>
      <c r="BU486">
        <v>2.5017</v>
      </c>
      <c r="BV486">
        <v>2.3841999999999999</v>
      </c>
      <c r="BW486">
        <v>2.4874999999999998</v>
      </c>
      <c r="BX486">
        <v>17.1083</v>
      </c>
      <c r="BY486">
        <v>21791</v>
      </c>
      <c r="BZ486">
        <v>0</v>
      </c>
      <c r="CA486">
        <v>21791</v>
      </c>
      <c r="CB486">
        <v>0.45179999999999998</v>
      </c>
      <c r="CC486">
        <v>-0.1603</v>
      </c>
      <c r="CD486">
        <v>0.81289999999999996</v>
      </c>
      <c r="CE486">
        <v>-0.28849999999999998</v>
      </c>
      <c r="CF486">
        <v>18.5044</v>
      </c>
      <c r="CG486">
        <v>66.782399999999996</v>
      </c>
      <c r="CH486">
        <v>12.051500000000001</v>
      </c>
      <c r="CI486">
        <v>10.7553</v>
      </c>
      <c r="CJ486">
        <v>8.0482999999999993</v>
      </c>
      <c r="CK486">
        <v>12.051500000000001</v>
      </c>
      <c r="CL486">
        <v>10.7553</v>
      </c>
      <c r="CM486">
        <v>8.0482999999999993</v>
      </c>
      <c r="CN486">
        <v>-4.2766999999999999</v>
      </c>
      <c r="CO486">
        <v>-4.4678000000000004</v>
      </c>
      <c r="CP486">
        <v>12731</v>
      </c>
      <c r="CQ486">
        <v>8507</v>
      </c>
      <c r="CR486">
        <v>7165</v>
      </c>
      <c r="CS486">
        <v>0.875</v>
      </c>
      <c r="CT486">
        <v>1.3536999999999999</v>
      </c>
      <c r="CU486">
        <v>0.97370000000000001</v>
      </c>
      <c r="CV486">
        <v>5.9901999999999997</v>
      </c>
      <c r="CW486">
        <v>34.579500000000003</v>
      </c>
      <c r="CX486">
        <v>10.555400000000001</v>
      </c>
      <c r="CY486" t="s">
        <v>134</v>
      </c>
      <c r="CZ486" t="s">
        <v>134</v>
      </c>
      <c r="DA486" t="s">
        <v>134</v>
      </c>
      <c r="DB486" t="s">
        <v>134</v>
      </c>
      <c r="DC486" t="s">
        <v>134</v>
      </c>
      <c r="DD486" t="s">
        <v>134</v>
      </c>
      <c r="DE486">
        <v>0</v>
      </c>
      <c r="DF486">
        <v>0</v>
      </c>
      <c r="DG486">
        <v>0</v>
      </c>
      <c r="DH486">
        <v>0</v>
      </c>
      <c r="DI486">
        <v>0</v>
      </c>
    </row>
    <row r="487" spans="4:113" x14ac:dyDescent="0.3">
      <c r="E487" t="s">
        <v>81</v>
      </c>
      <c r="F487">
        <v>11.366199999999999</v>
      </c>
      <c r="G487">
        <v>7.1425000000000001</v>
      </c>
      <c r="H487">
        <v>10.653499999999999</v>
      </c>
      <c r="I487">
        <v>8.4472000000000005</v>
      </c>
      <c r="J487">
        <v>45.369399999999999</v>
      </c>
      <c r="K487">
        <v>26.337900000000001</v>
      </c>
      <c r="L487">
        <v>88.520399999999995</v>
      </c>
      <c r="M487">
        <v>29.8673</v>
      </c>
      <c r="N487">
        <v>18.919499999999999</v>
      </c>
      <c r="O487">
        <v>18.919499999999999</v>
      </c>
      <c r="P487">
        <v>18.919499999999999</v>
      </c>
      <c r="Q487">
        <v>36.654899999999998</v>
      </c>
      <c r="R487">
        <v>220.79820000000001</v>
      </c>
      <c r="S487">
        <v>-13.7302</v>
      </c>
      <c r="T487">
        <v>5.6203000000000003</v>
      </c>
      <c r="U487">
        <v>15.6388</v>
      </c>
      <c r="V487">
        <v>21.779399999999999</v>
      </c>
      <c r="W487">
        <v>18.014399999999998</v>
      </c>
      <c r="X487">
        <v>17.995999999999999</v>
      </c>
      <c r="Y487">
        <v>47.7273</v>
      </c>
      <c r="Z487">
        <v>14.861800000000001</v>
      </c>
      <c r="AA487" t="s">
        <v>134</v>
      </c>
      <c r="AB487">
        <v>-2.8383000000000003</v>
      </c>
      <c r="AC487">
        <v>-5.1715</v>
      </c>
      <c r="AD487">
        <v>85.436099999999996</v>
      </c>
      <c r="AE487">
        <v>-51.820700000000002</v>
      </c>
      <c r="AF487">
        <v>-29.1447</v>
      </c>
      <c r="AG487">
        <v>34.041400000000003</v>
      </c>
      <c r="AH487">
        <v>-22.741800000000001</v>
      </c>
      <c r="AI487">
        <v>-5.6447000000000003</v>
      </c>
      <c r="AJ487">
        <v>-8.3173999999999992</v>
      </c>
      <c r="AK487">
        <v>-5.8673000000000002</v>
      </c>
      <c r="AL487">
        <v>-5.7027000000000001</v>
      </c>
      <c r="AM487" t="s">
        <v>134</v>
      </c>
      <c r="AN487" t="s">
        <v>134</v>
      </c>
      <c r="AO487" t="s">
        <v>134</v>
      </c>
      <c r="AP487" t="s">
        <v>134</v>
      </c>
      <c r="AQ487" t="s">
        <v>134</v>
      </c>
      <c r="AR487" t="s">
        <v>134</v>
      </c>
      <c r="AS487" t="s">
        <v>134</v>
      </c>
      <c r="AT487" t="s">
        <v>134</v>
      </c>
      <c r="AU487" t="s">
        <v>134</v>
      </c>
      <c r="AV487" t="s">
        <v>134</v>
      </c>
      <c r="AW487" t="s">
        <v>134</v>
      </c>
      <c r="AX487" t="s">
        <v>134</v>
      </c>
      <c r="AY487" t="s">
        <v>134</v>
      </c>
      <c r="AZ487" t="s">
        <v>134</v>
      </c>
      <c r="BA487" t="s">
        <v>134</v>
      </c>
      <c r="BB487" t="s">
        <v>134</v>
      </c>
      <c r="BC487" t="s">
        <v>134</v>
      </c>
      <c r="BD487" t="s">
        <v>134</v>
      </c>
      <c r="BE487" t="s">
        <v>134</v>
      </c>
      <c r="BF487">
        <v>-7.1199999999999999E-2</v>
      </c>
      <c r="BG487">
        <v>5.0114000000000001</v>
      </c>
      <c r="BH487">
        <v>8.3181999999999992</v>
      </c>
      <c r="BI487">
        <v>9.9822000000000006</v>
      </c>
      <c r="BJ487">
        <v>9.9739000000000004</v>
      </c>
      <c r="BK487" t="s">
        <v>134</v>
      </c>
      <c r="BL487">
        <v>6.0342000000000002</v>
      </c>
      <c r="BM487" t="s">
        <v>134</v>
      </c>
      <c r="BN487">
        <v>-0.46</v>
      </c>
      <c r="BO487">
        <v>0.29289999999999999</v>
      </c>
      <c r="BP487">
        <v>35.771900000000002</v>
      </c>
      <c r="BQ487">
        <v>-44.239600000000003</v>
      </c>
      <c r="BR487">
        <v>-21.885899999999999</v>
      </c>
      <c r="BS487" t="s">
        <v>134</v>
      </c>
      <c r="BT487">
        <v>18.4985</v>
      </c>
      <c r="BU487">
        <v>-5.8712</v>
      </c>
      <c r="BV487">
        <v>-3.2500999999999998</v>
      </c>
      <c r="BW487">
        <v>-6.0312000000000001</v>
      </c>
      <c r="BX487">
        <v>-19.4224</v>
      </c>
      <c r="BY487">
        <v>25822</v>
      </c>
      <c r="BZ487">
        <v>10159</v>
      </c>
      <c r="CA487">
        <v>15663</v>
      </c>
      <c r="CB487">
        <v>0.51600000000000001</v>
      </c>
      <c r="CC487">
        <v>-0.29449999999999998</v>
      </c>
      <c r="CD487">
        <v>0.91590000000000005</v>
      </c>
      <c r="CE487">
        <v>-0.52270000000000005</v>
      </c>
      <c r="CF487">
        <v>20.7593</v>
      </c>
      <c r="CG487">
        <v>62.677900000000001</v>
      </c>
      <c r="CH487">
        <v>9.2027000000000001</v>
      </c>
      <c r="CI487">
        <v>7.9904000000000002</v>
      </c>
      <c r="CJ487">
        <v>5.7681000000000004</v>
      </c>
      <c r="CK487">
        <v>15.1716</v>
      </c>
      <c r="CL487">
        <v>13.173</v>
      </c>
      <c r="CM487">
        <v>9.5091999999999999</v>
      </c>
      <c r="CN487">
        <v>-8.6592000000000002</v>
      </c>
      <c r="CO487">
        <v>-9.4801000000000002</v>
      </c>
      <c r="CP487">
        <v>13369</v>
      </c>
      <c r="CQ487">
        <v>6059</v>
      </c>
      <c r="CR487">
        <v>7761</v>
      </c>
      <c r="CS487">
        <v>0.80010000000000003</v>
      </c>
      <c r="CT487">
        <v>1.1313</v>
      </c>
      <c r="CU487">
        <v>0.86980000000000002</v>
      </c>
      <c r="CV487">
        <v>5.1978</v>
      </c>
      <c r="CW487">
        <v>35.320999999999998</v>
      </c>
      <c r="CX487">
        <v>10.3338</v>
      </c>
      <c r="CY487" t="s">
        <v>134</v>
      </c>
      <c r="CZ487" t="s">
        <v>134</v>
      </c>
      <c r="DA487" t="s">
        <v>134</v>
      </c>
      <c r="DB487" t="s">
        <v>134</v>
      </c>
      <c r="DC487" t="s">
        <v>134</v>
      </c>
      <c r="DD487" t="s">
        <v>134</v>
      </c>
      <c r="DE487">
        <v>0</v>
      </c>
      <c r="DF487">
        <v>0</v>
      </c>
      <c r="DG487">
        <v>0</v>
      </c>
      <c r="DH487">
        <v>0</v>
      </c>
      <c r="DI487">
        <v>0</v>
      </c>
    </row>
    <row r="488" spans="4:113" x14ac:dyDescent="0.3">
      <c r="D488" t="s">
        <v>83</v>
      </c>
      <c r="E488" t="s">
        <v>77</v>
      </c>
      <c r="F488">
        <v>13.469799999999999</v>
      </c>
      <c r="G488">
        <v>8.8102</v>
      </c>
      <c r="H488">
        <v>12.736700000000001</v>
      </c>
      <c r="I488">
        <v>9.6185000000000009</v>
      </c>
      <c r="J488">
        <v>43.596200000000003</v>
      </c>
      <c r="K488">
        <v>25.159199999999998</v>
      </c>
      <c r="L488">
        <v>43.321399999999997</v>
      </c>
      <c r="M488">
        <v>29.416499999999999</v>
      </c>
      <c r="N488">
        <v>19.352599999999999</v>
      </c>
      <c r="O488">
        <v>19.352599999999999</v>
      </c>
      <c r="P488">
        <v>19.352599999999999</v>
      </c>
      <c r="Q488">
        <v>34.211599999999997</v>
      </c>
      <c r="R488">
        <v>23.887499999999999</v>
      </c>
      <c r="S488">
        <v>10.2522</v>
      </c>
      <c r="T488">
        <v>5.4858000000000002</v>
      </c>
      <c r="U488">
        <v>7.2321</v>
      </c>
      <c r="V488">
        <v>9.8353999999999999</v>
      </c>
      <c r="W488">
        <v>19.554300000000001</v>
      </c>
      <c r="X488">
        <v>19.308599999999998</v>
      </c>
      <c r="Y488">
        <v>-72.7273</v>
      </c>
      <c r="Z488">
        <v>-45.753100000000003</v>
      </c>
      <c r="AA488" t="s">
        <v>134</v>
      </c>
      <c r="AB488">
        <v>-2.1507999999999998</v>
      </c>
      <c r="AC488">
        <v>-0.86839999999999995</v>
      </c>
      <c r="AD488">
        <v>-56.301400000000001</v>
      </c>
      <c r="AE488">
        <v>255.32679999999999</v>
      </c>
      <c r="AF488">
        <v>-28.5395</v>
      </c>
      <c r="AG488">
        <v>-37.995899999999999</v>
      </c>
      <c r="AH488">
        <v>-33.909100000000002</v>
      </c>
      <c r="AI488">
        <v>7.8019999999999996</v>
      </c>
      <c r="AJ488">
        <v>2.3073999999999999</v>
      </c>
      <c r="AK488">
        <v>7.6372999999999998</v>
      </c>
      <c r="AL488">
        <v>15.3764</v>
      </c>
      <c r="AM488">
        <v>7.6647999999999996</v>
      </c>
      <c r="AN488">
        <v>11.392099999999999</v>
      </c>
      <c r="AO488">
        <v>22.783100000000001</v>
      </c>
      <c r="AP488">
        <v>33.993099999999998</v>
      </c>
      <c r="AQ488">
        <v>31.787500000000001</v>
      </c>
      <c r="AR488" t="s">
        <v>134</v>
      </c>
      <c r="AS488">
        <v>-22.798200000000001</v>
      </c>
      <c r="AT488" t="s">
        <v>134</v>
      </c>
      <c r="AU488">
        <v>-3.8929</v>
      </c>
      <c r="AV488">
        <v>2.9390000000000001</v>
      </c>
      <c r="AW488">
        <v>-27.505400000000002</v>
      </c>
      <c r="AX488">
        <v>31.5318</v>
      </c>
      <c r="AY488">
        <v>-15.3546</v>
      </c>
      <c r="AZ488">
        <v>2.8677000000000001</v>
      </c>
      <c r="BA488">
        <v>-16.734400000000001</v>
      </c>
      <c r="BB488">
        <v>5.5658000000000003</v>
      </c>
      <c r="BC488">
        <v>1.8938999999999999</v>
      </c>
      <c r="BD488">
        <v>-16.683599999999998</v>
      </c>
      <c r="BE488">
        <v>11.5246</v>
      </c>
      <c r="BF488">
        <v>5.4858000000000002</v>
      </c>
      <c r="BG488">
        <v>7.2321</v>
      </c>
      <c r="BH488">
        <v>9.8353999999999999</v>
      </c>
      <c r="BI488">
        <v>19.554300000000001</v>
      </c>
      <c r="BJ488">
        <v>19.308599999999998</v>
      </c>
      <c r="BK488">
        <v>-72.7273</v>
      </c>
      <c r="BL488">
        <v>-45.753100000000003</v>
      </c>
      <c r="BM488" t="s">
        <v>134</v>
      </c>
      <c r="BN488">
        <v>-2.1507999999999998</v>
      </c>
      <c r="BO488">
        <v>-0.86839999999999995</v>
      </c>
      <c r="BP488">
        <v>-56.301400000000001</v>
      </c>
      <c r="BQ488">
        <v>255.32679999999999</v>
      </c>
      <c r="BR488">
        <v>-28.5395</v>
      </c>
      <c r="BS488">
        <v>-37.995899999999999</v>
      </c>
      <c r="BT488">
        <v>-33.909100000000002</v>
      </c>
      <c r="BU488">
        <v>7.8019999999999996</v>
      </c>
      <c r="BV488">
        <v>2.3073999999999999</v>
      </c>
      <c r="BW488">
        <v>7.6372999999999998</v>
      </c>
      <c r="BX488">
        <v>15.3764</v>
      </c>
      <c r="BY488">
        <v>17066</v>
      </c>
      <c r="BZ488">
        <v>6299</v>
      </c>
      <c r="CA488">
        <v>10767</v>
      </c>
      <c r="CB488">
        <v>0.318</v>
      </c>
      <c r="CC488">
        <v>-0.5534</v>
      </c>
      <c r="CD488">
        <v>0.55110000000000003</v>
      </c>
      <c r="CE488">
        <v>-0.95889999999999997</v>
      </c>
      <c r="CF488">
        <v>24.603400000000001</v>
      </c>
      <c r="CG488">
        <v>68.159899999999993</v>
      </c>
      <c r="CH488">
        <v>5.8681999999999999</v>
      </c>
      <c r="CI488">
        <v>5.3689</v>
      </c>
      <c r="CJ488">
        <v>3.9998</v>
      </c>
      <c r="CK488">
        <v>9.3012999999999995</v>
      </c>
      <c r="CL488">
        <v>8.5098000000000003</v>
      </c>
      <c r="CM488">
        <v>6.3398000000000003</v>
      </c>
      <c r="CN488">
        <v>-16.183900000000001</v>
      </c>
      <c r="CO488">
        <v>-19.308800000000002</v>
      </c>
      <c r="CP488">
        <v>53660</v>
      </c>
      <c r="CQ488">
        <v>32410</v>
      </c>
      <c r="CR488">
        <v>30967</v>
      </c>
      <c r="CS488">
        <v>1.2115</v>
      </c>
      <c r="CT488">
        <v>1.6127</v>
      </c>
      <c r="CU488">
        <v>1.2610999999999999</v>
      </c>
      <c r="CV488">
        <v>18.514099999999999</v>
      </c>
      <c r="CW488">
        <v>45.185000000000002</v>
      </c>
      <c r="CX488">
        <v>8.1</v>
      </c>
      <c r="CY488" t="s">
        <v>134</v>
      </c>
      <c r="CZ488" t="s">
        <v>134</v>
      </c>
      <c r="DA488" t="s">
        <v>134</v>
      </c>
      <c r="DB488" t="s">
        <v>134</v>
      </c>
      <c r="DC488" t="s">
        <v>134</v>
      </c>
      <c r="DD488" t="s">
        <v>134</v>
      </c>
      <c r="DE488">
        <v>0</v>
      </c>
      <c r="DF488">
        <v>0</v>
      </c>
      <c r="DG488">
        <v>0</v>
      </c>
      <c r="DH488">
        <v>0</v>
      </c>
      <c r="DI488">
        <v>0</v>
      </c>
    </row>
    <row r="489" spans="4:113" x14ac:dyDescent="0.3">
      <c r="E489" t="s">
        <v>78</v>
      </c>
      <c r="F489">
        <v>11.7463</v>
      </c>
      <c r="G489">
        <v>7.5286999999999997</v>
      </c>
      <c r="H489">
        <v>11.418799999999999</v>
      </c>
      <c r="I489">
        <v>8.9011999999999993</v>
      </c>
      <c r="J489">
        <v>43.011600000000001</v>
      </c>
      <c r="K489">
        <v>24.5382</v>
      </c>
      <c r="L489">
        <v>49.884399999999999</v>
      </c>
      <c r="M489">
        <v>29.489000000000001</v>
      </c>
      <c r="N489">
        <v>19.0901</v>
      </c>
      <c r="O489">
        <v>19.0901</v>
      </c>
      <c r="P489">
        <v>19.0901</v>
      </c>
      <c r="Q489">
        <v>35.2637</v>
      </c>
      <c r="R489">
        <v>0</v>
      </c>
      <c r="S489">
        <v>11.7463</v>
      </c>
      <c r="T489">
        <v>6.0857999999999999</v>
      </c>
      <c r="U489">
        <v>10.016999999999999</v>
      </c>
      <c r="V489">
        <v>13.2018</v>
      </c>
      <c r="W489">
        <v>24.395</v>
      </c>
      <c r="X489">
        <v>24.212700000000002</v>
      </c>
      <c r="Y489" t="s">
        <v>134</v>
      </c>
      <c r="Z489">
        <v>8.7646999999999995</v>
      </c>
      <c r="AA489" t="s">
        <v>134</v>
      </c>
      <c r="AB489">
        <v>-2.7130000000000001</v>
      </c>
      <c r="AC489">
        <v>-2.3197999999999999</v>
      </c>
      <c r="AD489">
        <v>43.339700000000001</v>
      </c>
      <c r="AE489">
        <v>-45.105400000000003</v>
      </c>
      <c r="AF489">
        <v>-20.8629</v>
      </c>
      <c r="AG489" t="s">
        <v>134</v>
      </c>
      <c r="AH489">
        <v>-28.1142</v>
      </c>
      <c r="AI489">
        <v>-3.8494999999999999</v>
      </c>
      <c r="AJ489">
        <v>-6.6790000000000003</v>
      </c>
      <c r="AK489">
        <v>-4.2211999999999996</v>
      </c>
      <c r="AL489">
        <v>23.252099999999999</v>
      </c>
      <c r="AM489" t="s">
        <v>134</v>
      </c>
      <c r="AN489" t="s">
        <v>134</v>
      </c>
      <c r="AO489" t="s">
        <v>134</v>
      </c>
      <c r="AP489" t="s">
        <v>134</v>
      </c>
      <c r="AQ489" t="s">
        <v>134</v>
      </c>
      <c r="AR489" t="s">
        <v>134</v>
      </c>
      <c r="AS489" t="s">
        <v>134</v>
      </c>
      <c r="AT489" t="s">
        <v>134</v>
      </c>
      <c r="AU489" t="s">
        <v>134</v>
      </c>
      <c r="AV489" t="s">
        <v>134</v>
      </c>
      <c r="AW489" t="s">
        <v>134</v>
      </c>
      <c r="AX489" t="s">
        <v>134</v>
      </c>
      <c r="AY489" t="s">
        <v>134</v>
      </c>
      <c r="AZ489" t="s">
        <v>134</v>
      </c>
      <c r="BA489" t="s">
        <v>134</v>
      </c>
      <c r="BB489" t="s">
        <v>134</v>
      </c>
      <c r="BC489" t="s">
        <v>134</v>
      </c>
      <c r="BD489" t="s">
        <v>134</v>
      </c>
      <c r="BE489" t="s">
        <v>134</v>
      </c>
      <c r="BF489">
        <v>2.3416000000000001</v>
      </c>
      <c r="BG489">
        <v>-2.9769999999999999</v>
      </c>
      <c r="BH489">
        <v>-4.6515000000000004</v>
      </c>
      <c r="BI489">
        <v>3.2646000000000002</v>
      </c>
      <c r="BJ489">
        <v>3.1589999999999998</v>
      </c>
      <c r="BK489">
        <v>-100</v>
      </c>
      <c r="BL489">
        <v>4.6998999999999995</v>
      </c>
      <c r="BM489" t="s">
        <v>134</v>
      </c>
      <c r="BN489">
        <v>-0.78910000000000002</v>
      </c>
      <c r="BO489">
        <v>1.7702</v>
      </c>
      <c r="BP489">
        <v>2.6941000000000002</v>
      </c>
      <c r="BQ489">
        <v>83.185599999999994</v>
      </c>
      <c r="BR489">
        <v>7.9732000000000003</v>
      </c>
      <c r="BS489">
        <v>-100</v>
      </c>
      <c r="BT489">
        <v>-32.844099999999997</v>
      </c>
      <c r="BU489">
        <v>3.2397</v>
      </c>
      <c r="BV489">
        <v>-1.5135999999999998</v>
      </c>
      <c r="BW489">
        <v>3.1013999999999999</v>
      </c>
      <c r="BX489">
        <v>62.630899999999997</v>
      </c>
      <c r="BY489">
        <v>17341</v>
      </c>
      <c r="BZ489">
        <v>0</v>
      </c>
      <c r="CA489">
        <v>17341</v>
      </c>
      <c r="CB489">
        <v>0.33850000000000002</v>
      </c>
      <c r="CC489">
        <v>-0.50109999999999999</v>
      </c>
      <c r="CD489">
        <v>0.5968</v>
      </c>
      <c r="CE489">
        <v>-0.88339999999999996</v>
      </c>
      <c r="CF489">
        <v>19.6233</v>
      </c>
      <c r="CG489">
        <v>63.582900000000002</v>
      </c>
      <c r="CH489">
        <v>9.8689</v>
      </c>
      <c r="CI489">
        <v>8.9824000000000002</v>
      </c>
      <c r="CJ489">
        <v>6.2748999999999997</v>
      </c>
      <c r="CK489">
        <v>9.8689</v>
      </c>
      <c r="CL489">
        <v>8.9824000000000002</v>
      </c>
      <c r="CM489">
        <v>6.2748999999999997</v>
      </c>
      <c r="CN489">
        <v>-14.6084</v>
      </c>
      <c r="CO489">
        <v>-17.107500000000002</v>
      </c>
      <c r="CP489">
        <v>12971</v>
      </c>
      <c r="CQ489">
        <v>7907</v>
      </c>
      <c r="CR489">
        <v>7400</v>
      </c>
      <c r="CS489">
        <v>0.89159999999999995</v>
      </c>
      <c r="CT489">
        <v>1.2526999999999999</v>
      </c>
      <c r="CU489">
        <v>0.96830000000000005</v>
      </c>
      <c r="CV489">
        <v>23.027799999999999</v>
      </c>
      <c r="CW489">
        <v>33.365200000000002</v>
      </c>
      <c r="CX489">
        <v>10.9396</v>
      </c>
      <c r="CY489" t="s">
        <v>134</v>
      </c>
      <c r="CZ489" t="s">
        <v>134</v>
      </c>
      <c r="DA489" t="s">
        <v>134</v>
      </c>
      <c r="DB489" t="s">
        <v>134</v>
      </c>
      <c r="DC489" t="s">
        <v>134</v>
      </c>
      <c r="DD489" t="s">
        <v>134</v>
      </c>
      <c r="DE489">
        <v>0</v>
      </c>
      <c r="DF489">
        <v>0</v>
      </c>
      <c r="DG489">
        <v>0</v>
      </c>
      <c r="DH489">
        <v>0</v>
      </c>
      <c r="DI489">
        <v>0</v>
      </c>
    </row>
    <row r="490" spans="4:113" x14ac:dyDescent="0.3">
      <c r="E490" t="s">
        <v>79</v>
      </c>
      <c r="F490">
        <v>11.6713</v>
      </c>
      <c r="G490">
        <v>7.8841000000000001</v>
      </c>
      <c r="H490" t="s">
        <v>134</v>
      </c>
      <c r="I490">
        <v>8.0198</v>
      </c>
      <c r="J490">
        <v>42.833599999999997</v>
      </c>
      <c r="K490">
        <v>24.1523</v>
      </c>
      <c r="L490">
        <v>56.267400000000002</v>
      </c>
      <c r="M490">
        <v>29.363399999999999</v>
      </c>
      <c r="N490">
        <v>19.066400000000002</v>
      </c>
      <c r="O490">
        <v>19.066400000000002</v>
      </c>
      <c r="P490">
        <v>19.066400000000002</v>
      </c>
      <c r="Q490">
        <v>35.067300000000003</v>
      </c>
      <c r="R490">
        <v>0</v>
      </c>
      <c r="S490">
        <v>11.6713</v>
      </c>
      <c r="T490">
        <v>3.6756000000000002</v>
      </c>
      <c r="U490">
        <v>7.0857999999999999</v>
      </c>
      <c r="V490">
        <v>9.0030999999999999</v>
      </c>
      <c r="W490">
        <v>24.505600000000001</v>
      </c>
      <c r="X490">
        <v>24.257200000000001</v>
      </c>
      <c r="Y490" t="s">
        <v>134</v>
      </c>
      <c r="Z490">
        <v>-40.198599999999999</v>
      </c>
      <c r="AA490" t="s">
        <v>134</v>
      </c>
      <c r="AB490">
        <v>-1.7783</v>
      </c>
      <c r="AC490">
        <v>-1.3723000000000001</v>
      </c>
      <c r="AD490">
        <v>-59.027799999999999</v>
      </c>
      <c r="AE490">
        <v>111.2467</v>
      </c>
      <c r="AF490">
        <v>-24.832599999999999</v>
      </c>
      <c r="AG490" t="s">
        <v>134</v>
      </c>
      <c r="AH490">
        <v>-31.951000000000001</v>
      </c>
      <c r="AI490">
        <v>2.6371000000000002</v>
      </c>
      <c r="AJ490">
        <v>-1.1183000000000001</v>
      </c>
      <c r="AK490">
        <v>2.2917999999999998</v>
      </c>
      <c r="AL490">
        <v>16.1785</v>
      </c>
      <c r="AM490" t="s">
        <v>134</v>
      </c>
      <c r="AN490" t="s">
        <v>134</v>
      </c>
      <c r="AO490" t="s">
        <v>134</v>
      </c>
      <c r="AP490" t="s">
        <v>134</v>
      </c>
      <c r="AQ490" t="s">
        <v>134</v>
      </c>
      <c r="AR490" t="s">
        <v>134</v>
      </c>
      <c r="AS490" t="s">
        <v>134</v>
      </c>
      <c r="AT490" t="s">
        <v>134</v>
      </c>
      <c r="AU490" t="s">
        <v>134</v>
      </c>
      <c r="AV490" t="s">
        <v>134</v>
      </c>
      <c r="AW490" t="s">
        <v>134</v>
      </c>
      <c r="AX490" t="s">
        <v>134</v>
      </c>
      <c r="AY490" t="s">
        <v>134</v>
      </c>
      <c r="AZ490" t="s">
        <v>134</v>
      </c>
      <c r="BA490" t="s">
        <v>134</v>
      </c>
      <c r="BB490" t="s">
        <v>134</v>
      </c>
      <c r="BC490" t="s">
        <v>134</v>
      </c>
      <c r="BD490" t="s">
        <v>134</v>
      </c>
      <c r="BE490" t="s">
        <v>134</v>
      </c>
      <c r="BF490">
        <v>121.4624</v>
      </c>
      <c r="BG490">
        <v>115.8593</v>
      </c>
      <c r="BH490">
        <v>128.4958</v>
      </c>
      <c r="BI490">
        <v>30.9222</v>
      </c>
      <c r="BJ490">
        <v>30.470099999999999</v>
      </c>
      <c r="BK490" t="s">
        <v>134</v>
      </c>
      <c r="BL490">
        <v>7.8261000000000003</v>
      </c>
      <c r="BM490" t="s">
        <v>134</v>
      </c>
      <c r="BN490">
        <v>142.9898</v>
      </c>
      <c r="BO490">
        <v>26.9163</v>
      </c>
      <c r="BP490">
        <v>-50.870600000000003</v>
      </c>
      <c r="BQ490">
        <v>-49.683900000000001</v>
      </c>
      <c r="BR490">
        <v>130.12620000000001</v>
      </c>
      <c r="BS490" t="s">
        <v>134</v>
      </c>
      <c r="BT490" t="s">
        <v>134</v>
      </c>
      <c r="BU490">
        <v>-0.74829999999999997</v>
      </c>
      <c r="BV490">
        <v>7.2667000000000002</v>
      </c>
      <c r="BW490">
        <v>-0.7671</v>
      </c>
      <c r="BX490" t="s">
        <v>134</v>
      </c>
      <c r="BY490">
        <v>14621</v>
      </c>
      <c r="BZ490">
        <v>2034</v>
      </c>
      <c r="CA490">
        <v>12587</v>
      </c>
      <c r="CB490">
        <v>0.32390000000000002</v>
      </c>
      <c r="CC490">
        <v>-0.56399999999999995</v>
      </c>
      <c r="CD490">
        <v>0.57399999999999995</v>
      </c>
      <c r="CE490">
        <v>-0.99939999999999996</v>
      </c>
      <c r="CF490">
        <v>22.9894</v>
      </c>
      <c r="CG490">
        <v>68.906099999999995</v>
      </c>
      <c r="CH490">
        <v>6.952</v>
      </c>
      <c r="CI490">
        <v>6.4325999999999999</v>
      </c>
      <c r="CJ490">
        <v>4.7904</v>
      </c>
      <c r="CK490">
        <v>8.0754000000000001</v>
      </c>
      <c r="CL490">
        <v>7.4719999999999995</v>
      </c>
      <c r="CM490">
        <v>5.5644999999999998</v>
      </c>
      <c r="CN490">
        <v>-14.0609</v>
      </c>
      <c r="CO490">
        <v>-16.361499999999999</v>
      </c>
      <c r="CP490">
        <v>13012</v>
      </c>
      <c r="CQ490">
        <v>7574</v>
      </c>
      <c r="CR490">
        <v>7337</v>
      </c>
      <c r="CS490">
        <v>1.1842999999999999</v>
      </c>
      <c r="CT490">
        <v>1.6139000000000001</v>
      </c>
      <c r="CU490">
        <v>1.2465999999999999</v>
      </c>
      <c r="CV490">
        <v>6.6035000000000004</v>
      </c>
      <c r="CW490">
        <v>36.588000000000001</v>
      </c>
      <c r="CX490">
        <v>9.9759999999999991</v>
      </c>
      <c r="CY490" t="s">
        <v>134</v>
      </c>
      <c r="CZ490" t="s">
        <v>134</v>
      </c>
      <c r="DA490" t="s">
        <v>134</v>
      </c>
      <c r="DB490" t="s">
        <v>134</v>
      </c>
      <c r="DC490" t="s">
        <v>134</v>
      </c>
      <c r="DD490" t="s">
        <v>134</v>
      </c>
      <c r="DE490">
        <v>0</v>
      </c>
      <c r="DF490">
        <v>0</v>
      </c>
      <c r="DG490">
        <v>0</v>
      </c>
      <c r="DH490">
        <v>0</v>
      </c>
      <c r="DI490">
        <v>0</v>
      </c>
    </row>
    <row r="491" spans="4:113" x14ac:dyDescent="0.3">
      <c r="E491" t="s">
        <v>80</v>
      </c>
      <c r="F491">
        <v>11.7545</v>
      </c>
      <c r="G491">
        <v>8.0035000000000007</v>
      </c>
      <c r="H491" t="s">
        <v>134</v>
      </c>
      <c r="I491">
        <v>6.8075999999999999</v>
      </c>
      <c r="J491">
        <v>43.4206</v>
      </c>
      <c r="K491">
        <v>25.1891</v>
      </c>
      <c r="L491">
        <v>43.411900000000003</v>
      </c>
      <c r="M491">
        <v>27.8629</v>
      </c>
      <c r="N491">
        <v>18.28</v>
      </c>
      <c r="O491">
        <v>18.28</v>
      </c>
      <c r="P491">
        <v>18.28</v>
      </c>
      <c r="Q491">
        <v>34.393099999999997</v>
      </c>
      <c r="R491">
        <v>0</v>
      </c>
      <c r="S491">
        <v>11.7545</v>
      </c>
      <c r="T491">
        <v>4.8901000000000003</v>
      </c>
      <c r="U491">
        <v>5.4904999999999999</v>
      </c>
      <c r="V491">
        <v>8.7369000000000003</v>
      </c>
      <c r="W491">
        <v>11.540699999999999</v>
      </c>
      <c r="X491">
        <v>11.356</v>
      </c>
      <c r="Y491" t="s">
        <v>134</v>
      </c>
      <c r="Z491">
        <v>-20.5944</v>
      </c>
      <c r="AA491" t="s">
        <v>134</v>
      </c>
      <c r="AB491">
        <v>-1.7147000000000001</v>
      </c>
      <c r="AC491">
        <v>-0.93069999999999997</v>
      </c>
      <c r="AD491">
        <v>-19.466799999999999</v>
      </c>
      <c r="AE491">
        <v>120.18429999999999</v>
      </c>
      <c r="AF491">
        <v>-21.653099999999998</v>
      </c>
      <c r="AG491" t="s">
        <v>134</v>
      </c>
      <c r="AH491">
        <v>-34.445399999999999</v>
      </c>
      <c r="AI491">
        <v>2.9643000000000002</v>
      </c>
      <c r="AJ491">
        <v>-1.0591999999999999</v>
      </c>
      <c r="AK491">
        <v>2.6320999999999999</v>
      </c>
      <c r="AL491">
        <v>2.2926000000000002</v>
      </c>
      <c r="AM491" t="s">
        <v>134</v>
      </c>
      <c r="AN491" t="s">
        <v>134</v>
      </c>
      <c r="AO491" t="s">
        <v>134</v>
      </c>
      <c r="AP491" t="s">
        <v>134</v>
      </c>
      <c r="AQ491" t="s">
        <v>134</v>
      </c>
      <c r="AR491" t="s">
        <v>134</v>
      </c>
      <c r="AS491" t="s">
        <v>134</v>
      </c>
      <c r="AT491" t="s">
        <v>134</v>
      </c>
      <c r="AU491" t="s">
        <v>134</v>
      </c>
      <c r="AV491" t="s">
        <v>134</v>
      </c>
      <c r="AW491" t="s">
        <v>134</v>
      </c>
      <c r="AX491" t="s">
        <v>134</v>
      </c>
      <c r="AY491" t="s">
        <v>134</v>
      </c>
      <c r="AZ491" t="s">
        <v>134</v>
      </c>
      <c r="BA491" t="s">
        <v>134</v>
      </c>
      <c r="BB491" t="s">
        <v>134</v>
      </c>
      <c r="BC491" t="s">
        <v>134</v>
      </c>
      <c r="BD491" t="s">
        <v>134</v>
      </c>
      <c r="BE491" t="s">
        <v>134</v>
      </c>
      <c r="BF491">
        <v>125.33880000000001</v>
      </c>
      <c r="BG491">
        <v>125.5626</v>
      </c>
      <c r="BH491">
        <v>152.70840000000001</v>
      </c>
      <c r="BI491">
        <v>-4.4287000000000001</v>
      </c>
      <c r="BJ491">
        <v>-4.5163000000000002</v>
      </c>
      <c r="BK491" t="s">
        <v>134</v>
      </c>
      <c r="BL491">
        <v>25.474399999999999</v>
      </c>
      <c r="BM491" t="s">
        <v>134</v>
      </c>
      <c r="BN491">
        <v>-0.38429999999999997</v>
      </c>
      <c r="BO491">
        <v>2.0848</v>
      </c>
      <c r="BP491">
        <v>100.1541</v>
      </c>
      <c r="BQ491">
        <v>26.499500000000001</v>
      </c>
      <c r="BR491">
        <v>-7.7450000000000001</v>
      </c>
      <c r="BS491">
        <v>1.9666000000000001</v>
      </c>
      <c r="BT491">
        <v>-2.2980999999999998</v>
      </c>
      <c r="BU491">
        <v>2.8284000000000002</v>
      </c>
      <c r="BV491">
        <v>2.4454000000000002</v>
      </c>
      <c r="BW491">
        <v>2.8284000000000002</v>
      </c>
      <c r="BX491" t="s">
        <v>134</v>
      </c>
      <c r="BY491">
        <v>14285</v>
      </c>
      <c r="BZ491">
        <v>2074</v>
      </c>
      <c r="CA491">
        <v>12211</v>
      </c>
      <c r="CB491">
        <v>0.36840000000000001</v>
      </c>
      <c r="CC491">
        <v>-0.78859999999999997</v>
      </c>
      <c r="CD491">
        <v>0.65390000000000004</v>
      </c>
      <c r="CE491">
        <v>-1.4</v>
      </c>
      <c r="CF491">
        <v>26.913799999999998</v>
      </c>
      <c r="CG491">
        <v>69.408100000000005</v>
      </c>
      <c r="CH491">
        <v>6.5587999999999997</v>
      </c>
      <c r="CI491">
        <v>6.0914999999999999</v>
      </c>
      <c r="CJ491">
        <v>4.5524000000000004</v>
      </c>
      <c r="CK491">
        <v>7.6727999999999996</v>
      </c>
      <c r="CL491">
        <v>7.1261000000000001</v>
      </c>
      <c r="CM491">
        <v>5.3255999999999997</v>
      </c>
      <c r="CN491">
        <v>-16.427499999999998</v>
      </c>
      <c r="CO491">
        <v>-19.656500000000001</v>
      </c>
      <c r="CP491">
        <v>13430</v>
      </c>
      <c r="CQ491">
        <v>8046</v>
      </c>
      <c r="CR491">
        <v>7791</v>
      </c>
      <c r="CS491">
        <v>1.3162</v>
      </c>
      <c r="CT491">
        <v>1.7709000000000001</v>
      </c>
      <c r="CU491">
        <v>1.3937999999999999</v>
      </c>
      <c r="CV491">
        <v>7.5048000000000004</v>
      </c>
      <c r="CW491">
        <v>29.397600000000001</v>
      </c>
      <c r="CX491">
        <v>12.416</v>
      </c>
      <c r="CY491" t="s">
        <v>134</v>
      </c>
      <c r="CZ491" t="s">
        <v>134</v>
      </c>
      <c r="DA491" t="s">
        <v>134</v>
      </c>
      <c r="DB491" t="s">
        <v>134</v>
      </c>
      <c r="DC491" t="s">
        <v>134</v>
      </c>
      <c r="DD491" t="s">
        <v>134</v>
      </c>
      <c r="DE491">
        <v>0</v>
      </c>
      <c r="DF491">
        <v>0</v>
      </c>
      <c r="DG491">
        <v>0</v>
      </c>
      <c r="DH491">
        <v>0</v>
      </c>
      <c r="DI491">
        <v>0</v>
      </c>
    </row>
    <row r="492" spans="4:113" x14ac:dyDescent="0.3">
      <c r="E492" t="s">
        <v>81</v>
      </c>
      <c r="F492">
        <v>12.3881</v>
      </c>
      <c r="G492">
        <v>8.1027000000000005</v>
      </c>
      <c r="H492" t="s">
        <v>134</v>
      </c>
      <c r="I492">
        <v>5.9611000000000001</v>
      </c>
      <c r="J492">
        <v>45.058399999999999</v>
      </c>
      <c r="K492">
        <v>26.689599999999999</v>
      </c>
      <c r="L492">
        <v>31.505600000000001</v>
      </c>
      <c r="M492">
        <v>30.918099999999999</v>
      </c>
      <c r="N492">
        <v>20.927299999999999</v>
      </c>
      <c r="O492">
        <v>20.927299999999999</v>
      </c>
      <c r="P492">
        <v>20.927299999999999</v>
      </c>
      <c r="Q492">
        <v>32.313800000000001</v>
      </c>
      <c r="R492">
        <v>85.990600000000001</v>
      </c>
      <c r="S492">
        <v>1.7355</v>
      </c>
      <c r="T492">
        <v>7.3030999999999997</v>
      </c>
      <c r="U492">
        <v>6.5674000000000001</v>
      </c>
      <c r="V492">
        <v>8.7360000000000007</v>
      </c>
      <c r="W492">
        <v>18.6906</v>
      </c>
      <c r="X492">
        <v>18.546199999999999</v>
      </c>
      <c r="Y492">
        <v>-53.846200000000003</v>
      </c>
      <c r="Z492">
        <v>-45.753100000000003</v>
      </c>
      <c r="AA492" t="s">
        <v>134</v>
      </c>
      <c r="AB492">
        <v>-2.1507999999999998</v>
      </c>
      <c r="AC492">
        <v>-0.86839999999999995</v>
      </c>
      <c r="AD492">
        <v>-56.301400000000001</v>
      </c>
      <c r="AE492">
        <v>255.32679999999999</v>
      </c>
      <c r="AF492">
        <v>-28.5395</v>
      </c>
      <c r="AG492">
        <v>-37.995899999999999</v>
      </c>
      <c r="AH492">
        <v>-33.909100000000002</v>
      </c>
      <c r="AI492">
        <v>7.8019999999999996</v>
      </c>
      <c r="AJ492">
        <v>2.3073999999999999</v>
      </c>
      <c r="AK492">
        <v>7.6372999999999998</v>
      </c>
      <c r="AL492">
        <v>20.372</v>
      </c>
      <c r="AM492" t="s">
        <v>134</v>
      </c>
      <c r="AN492" t="s">
        <v>134</v>
      </c>
      <c r="AO492" t="s">
        <v>134</v>
      </c>
      <c r="AP492" t="s">
        <v>134</v>
      </c>
      <c r="AQ492" t="s">
        <v>134</v>
      </c>
      <c r="AR492" t="s">
        <v>134</v>
      </c>
      <c r="AS492" t="s">
        <v>134</v>
      </c>
      <c r="AT492" t="s">
        <v>134</v>
      </c>
      <c r="AU492" t="s">
        <v>134</v>
      </c>
      <c r="AV492" t="s">
        <v>134</v>
      </c>
      <c r="AW492" t="s">
        <v>134</v>
      </c>
      <c r="AX492" t="s">
        <v>134</v>
      </c>
      <c r="AY492" t="s">
        <v>134</v>
      </c>
      <c r="AZ492" t="s">
        <v>134</v>
      </c>
      <c r="BA492" t="s">
        <v>134</v>
      </c>
      <c r="BB492" t="s">
        <v>134</v>
      </c>
      <c r="BC492" t="s">
        <v>134</v>
      </c>
      <c r="BD492" t="s">
        <v>134</v>
      </c>
      <c r="BE492" t="s">
        <v>134</v>
      </c>
      <c r="BF492">
        <v>126.5134</v>
      </c>
      <c r="BG492">
        <v>129.6052</v>
      </c>
      <c r="BH492">
        <v>156.11529999999999</v>
      </c>
      <c r="BI492">
        <v>33.6768</v>
      </c>
      <c r="BJ492">
        <v>33.716500000000003</v>
      </c>
      <c r="BK492" t="s">
        <v>134</v>
      </c>
      <c r="BL492">
        <v>-27.561399999999999</v>
      </c>
      <c r="BM492" t="s">
        <v>134</v>
      </c>
      <c r="BN492">
        <v>-0.90159999999999996</v>
      </c>
      <c r="BO492">
        <v>0.35599999999999998</v>
      </c>
      <c r="BP492">
        <v>-26.3279</v>
      </c>
      <c r="BQ492">
        <v>-10.015599999999999</v>
      </c>
      <c r="BR492">
        <v>-28.751899999999999</v>
      </c>
      <c r="BS492">
        <v>203.71260000000001</v>
      </c>
      <c r="BT492">
        <v>19.468</v>
      </c>
      <c r="BU492">
        <v>-1.4485999999999999</v>
      </c>
      <c r="BV492">
        <v>4.19E-2</v>
      </c>
      <c r="BW492">
        <v>-1.4485000000000001</v>
      </c>
      <c r="BX492" t="s">
        <v>134</v>
      </c>
      <c r="BY492">
        <v>17066</v>
      </c>
      <c r="BZ492">
        <v>6299</v>
      </c>
      <c r="CA492">
        <v>10767</v>
      </c>
      <c r="CB492">
        <v>0.5262</v>
      </c>
      <c r="CC492">
        <v>-0.91549999999999998</v>
      </c>
      <c r="CD492">
        <v>0.9466</v>
      </c>
      <c r="CE492">
        <v>-1.6471</v>
      </c>
      <c r="CF492">
        <v>31.3811</v>
      </c>
      <c r="CG492">
        <v>68.159899999999993</v>
      </c>
      <c r="CH492">
        <v>5.8681999999999999</v>
      </c>
      <c r="CI492">
        <v>5.3689</v>
      </c>
      <c r="CJ492">
        <v>3.9998</v>
      </c>
      <c r="CK492">
        <v>9.3012999999999995</v>
      </c>
      <c r="CL492">
        <v>8.5098000000000003</v>
      </c>
      <c r="CM492">
        <v>6.3398000000000003</v>
      </c>
      <c r="CN492">
        <v>-16.183900000000001</v>
      </c>
      <c r="CO492">
        <v>-19.308800000000002</v>
      </c>
      <c r="CP492">
        <v>14247</v>
      </c>
      <c r="CQ492">
        <v>8883</v>
      </c>
      <c r="CR492">
        <v>8439</v>
      </c>
      <c r="CS492">
        <v>1.2115</v>
      </c>
      <c r="CT492">
        <v>1.6127</v>
      </c>
      <c r="CU492">
        <v>1.2610999999999999</v>
      </c>
      <c r="CV492">
        <v>18.514099999999999</v>
      </c>
      <c r="CW492">
        <v>26.8065</v>
      </c>
      <c r="CX492">
        <v>13.6534</v>
      </c>
      <c r="CY492" t="s">
        <v>134</v>
      </c>
      <c r="CZ492" t="s">
        <v>134</v>
      </c>
      <c r="DA492" t="s">
        <v>134</v>
      </c>
      <c r="DB492" t="s">
        <v>134</v>
      </c>
      <c r="DC492" t="s">
        <v>134</v>
      </c>
      <c r="DD492" t="s">
        <v>134</v>
      </c>
      <c r="DE492">
        <v>0</v>
      </c>
      <c r="DF492">
        <v>0</v>
      </c>
      <c r="DG492">
        <v>0</v>
      </c>
      <c r="DH492">
        <v>0</v>
      </c>
      <c r="DI492">
        <v>0</v>
      </c>
    </row>
    <row r="493" spans="4:113" x14ac:dyDescent="0.3">
      <c r="D493" t="s">
        <v>84</v>
      </c>
      <c r="E493" t="s">
        <v>77</v>
      </c>
      <c r="F493">
        <v>16.282699999999998</v>
      </c>
      <c r="G493">
        <v>13.2494</v>
      </c>
      <c r="H493">
        <v>16.1584</v>
      </c>
      <c r="I493">
        <v>7.3025000000000002</v>
      </c>
      <c r="J493">
        <v>46.429600000000001</v>
      </c>
      <c r="K493">
        <v>27.271699999999999</v>
      </c>
      <c r="L493">
        <v>61.949100000000001</v>
      </c>
      <c r="M493">
        <v>58.831200000000003</v>
      </c>
      <c r="N493">
        <v>45.146000000000001</v>
      </c>
      <c r="O493">
        <v>45.146000000000001</v>
      </c>
      <c r="P493">
        <v>45.146000000000001</v>
      </c>
      <c r="Q493">
        <v>23.261700000000001</v>
      </c>
      <c r="R493">
        <v>107.7311</v>
      </c>
      <c r="S493">
        <v>-1.2587999999999999</v>
      </c>
      <c r="T493">
        <v>9.4704999999999995</v>
      </c>
      <c r="U493">
        <v>13.535299999999999</v>
      </c>
      <c r="V493">
        <v>24.458100000000002</v>
      </c>
      <c r="W493">
        <v>22.2301</v>
      </c>
      <c r="X493">
        <v>24.1737</v>
      </c>
      <c r="Y493">
        <v>433.33330000000001</v>
      </c>
      <c r="Z493">
        <v>-22.506399999999999</v>
      </c>
      <c r="AA493" t="s">
        <v>134</v>
      </c>
      <c r="AB493">
        <v>-4.6782000000000004</v>
      </c>
      <c r="AC493">
        <v>0.28789999999999999</v>
      </c>
      <c r="AD493">
        <v>-25.1145</v>
      </c>
      <c r="AE493">
        <v>-92.331900000000005</v>
      </c>
      <c r="AF493">
        <v>-17.209299999999999</v>
      </c>
      <c r="AG493" t="s">
        <v>134</v>
      </c>
      <c r="AH493" t="s">
        <v>134</v>
      </c>
      <c r="AI493">
        <v>-15.035500000000001</v>
      </c>
      <c r="AJ493">
        <v>-13.508900000000001</v>
      </c>
      <c r="AK493">
        <v>-12.873799999999999</v>
      </c>
      <c r="AL493">
        <v>43.803699999999999</v>
      </c>
      <c r="AM493">
        <v>-8.4322999999999997</v>
      </c>
      <c r="AN493">
        <v>-4.3806000000000003</v>
      </c>
      <c r="AO493">
        <v>3.5991</v>
      </c>
      <c r="AP493">
        <v>29.677199999999999</v>
      </c>
      <c r="AQ493">
        <v>27.976800000000001</v>
      </c>
      <c r="AR493" t="s">
        <v>134</v>
      </c>
      <c r="AS493">
        <v>-25.992699999999999</v>
      </c>
      <c r="AT493" t="s">
        <v>134</v>
      </c>
      <c r="AU493">
        <v>-19.126000000000001</v>
      </c>
      <c r="AV493">
        <v>-2.4186999999999999</v>
      </c>
      <c r="AW493">
        <v>-18.1904</v>
      </c>
      <c r="AX493">
        <v>-15.9236</v>
      </c>
      <c r="AY493">
        <v>-33.631599999999999</v>
      </c>
      <c r="AZ493">
        <v>-24.1828</v>
      </c>
      <c r="BA493">
        <v>-39.725099999999998</v>
      </c>
      <c r="BB493">
        <v>1.3082</v>
      </c>
      <c r="BC493">
        <v>-2.6276000000000002</v>
      </c>
      <c r="BD493">
        <v>-19.640999999999998</v>
      </c>
      <c r="BE493">
        <v>0.60580000000000001</v>
      </c>
      <c r="BF493">
        <v>9.4704999999999995</v>
      </c>
      <c r="BG493">
        <v>13.535299999999999</v>
      </c>
      <c r="BH493">
        <v>24.458100000000002</v>
      </c>
      <c r="BI493">
        <v>22.2301</v>
      </c>
      <c r="BJ493">
        <v>24.1737</v>
      </c>
      <c r="BK493">
        <v>433.33330000000001</v>
      </c>
      <c r="BL493">
        <v>-22.506399999999999</v>
      </c>
      <c r="BM493" t="s">
        <v>134</v>
      </c>
      <c r="BN493">
        <v>-4.6782000000000004</v>
      </c>
      <c r="BO493">
        <v>0.28789999999999999</v>
      </c>
      <c r="BP493">
        <v>-25.1145</v>
      </c>
      <c r="BQ493">
        <v>-92.331900000000005</v>
      </c>
      <c r="BR493">
        <v>-17.209299999999999</v>
      </c>
      <c r="BS493" t="s">
        <v>134</v>
      </c>
      <c r="BT493" t="s">
        <v>134</v>
      </c>
      <c r="BU493">
        <v>-15.035500000000001</v>
      </c>
      <c r="BV493">
        <v>-13.508900000000001</v>
      </c>
      <c r="BW493">
        <v>-12.873799999999999</v>
      </c>
      <c r="BX493">
        <v>43.803699999999999</v>
      </c>
      <c r="BY493">
        <v>2785</v>
      </c>
      <c r="BZ493">
        <v>2785</v>
      </c>
      <c r="CA493">
        <v>0</v>
      </c>
      <c r="CB493">
        <v>9.8599999999999993E-2</v>
      </c>
      <c r="CC493">
        <v>-1.2283999999999999</v>
      </c>
      <c r="CD493">
        <v>0.1678</v>
      </c>
      <c r="CE493">
        <v>-2.0912999999999999</v>
      </c>
      <c r="CF493">
        <v>1412.55</v>
      </c>
      <c r="CG493">
        <v>74.6494</v>
      </c>
      <c r="CH493">
        <v>0</v>
      </c>
      <c r="CI493">
        <v>0</v>
      </c>
      <c r="CJ493">
        <v>0</v>
      </c>
      <c r="CK493">
        <v>1.7968999999999999</v>
      </c>
      <c r="CL493">
        <v>1.7650999999999999</v>
      </c>
      <c r="CM493">
        <v>1.3412999999999999</v>
      </c>
      <c r="CN493">
        <v>-22.39</v>
      </c>
      <c r="CO493">
        <v>-28.849399999999999</v>
      </c>
      <c r="CP493">
        <v>28251</v>
      </c>
      <c r="CQ493">
        <v>18163</v>
      </c>
      <c r="CR493">
        <v>16594</v>
      </c>
      <c r="CS493">
        <v>0.85289999999999999</v>
      </c>
      <c r="CT493">
        <v>1.0720000000000001</v>
      </c>
      <c r="CU493">
        <v>0.88739999999999997</v>
      </c>
      <c r="CV493">
        <v>7.3372999999999999</v>
      </c>
      <c r="CW493">
        <v>35.070300000000003</v>
      </c>
      <c r="CX493">
        <v>10.4077</v>
      </c>
      <c r="CY493" t="s">
        <v>134</v>
      </c>
      <c r="CZ493" t="s">
        <v>134</v>
      </c>
      <c r="DA493" t="s">
        <v>134</v>
      </c>
      <c r="DB493" t="s">
        <v>134</v>
      </c>
      <c r="DC493" t="s">
        <v>134</v>
      </c>
      <c r="DD493" t="s">
        <v>134</v>
      </c>
      <c r="DE493">
        <v>0</v>
      </c>
      <c r="DF493">
        <v>0</v>
      </c>
      <c r="DG493">
        <v>0</v>
      </c>
      <c r="DH493">
        <v>0</v>
      </c>
      <c r="DI493">
        <v>0</v>
      </c>
    </row>
    <row r="494" spans="4:113" x14ac:dyDescent="0.3">
      <c r="E494" t="s">
        <v>78</v>
      </c>
      <c r="F494">
        <v>13.7714</v>
      </c>
      <c r="G494">
        <v>12.2242</v>
      </c>
      <c r="H494" t="s">
        <v>134</v>
      </c>
      <c r="I494">
        <v>5.8627000000000002</v>
      </c>
      <c r="J494">
        <v>45.488999999999997</v>
      </c>
      <c r="K494">
        <v>25.676100000000002</v>
      </c>
      <c r="L494">
        <v>63.882100000000001</v>
      </c>
      <c r="M494">
        <v>57.965699999999998</v>
      </c>
      <c r="N494">
        <v>52.040500000000002</v>
      </c>
      <c r="O494">
        <v>52.040500000000002</v>
      </c>
      <c r="P494">
        <v>52.040500000000002</v>
      </c>
      <c r="Q494">
        <v>10.222</v>
      </c>
      <c r="R494">
        <v>0</v>
      </c>
      <c r="S494">
        <v>13.7714</v>
      </c>
      <c r="T494">
        <v>5.9341999999999997</v>
      </c>
      <c r="U494">
        <v>9.6548999999999996</v>
      </c>
      <c r="V494">
        <v>16.194299999999998</v>
      </c>
      <c r="W494">
        <v>70.931299999999993</v>
      </c>
      <c r="X494">
        <v>70.512799999999999</v>
      </c>
      <c r="Y494" t="s">
        <v>134</v>
      </c>
      <c r="Z494">
        <v>2.7109999999999999</v>
      </c>
      <c r="AA494" t="s">
        <v>134</v>
      </c>
      <c r="AB494">
        <v>-1.7515000000000001</v>
      </c>
      <c r="AC494">
        <v>2.4039999999999999</v>
      </c>
      <c r="AD494">
        <v>52.006100000000004</v>
      </c>
      <c r="AE494">
        <v>34.223799999999997</v>
      </c>
      <c r="AF494" t="s">
        <v>134</v>
      </c>
      <c r="AG494" t="s">
        <v>134</v>
      </c>
      <c r="AH494" t="s">
        <v>134</v>
      </c>
      <c r="AI494">
        <v>3.9024999999999999</v>
      </c>
      <c r="AJ494">
        <v>3.9024999999999999</v>
      </c>
      <c r="AK494">
        <v>3.9613</v>
      </c>
      <c r="AL494" t="s">
        <v>134</v>
      </c>
      <c r="AM494" t="s">
        <v>134</v>
      </c>
      <c r="AN494" t="s">
        <v>134</v>
      </c>
      <c r="AO494" t="s">
        <v>134</v>
      </c>
      <c r="AP494" t="s">
        <v>134</v>
      </c>
      <c r="AQ494" t="s">
        <v>134</v>
      </c>
      <c r="AR494" t="s">
        <v>134</v>
      </c>
      <c r="AS494" t="s">
        <v>134</v>
      </c>
      <c r="AT494" t="s">
        <v>134</v>
      </c>
      <c r="AU494" t="s">
        <v>134</v>
      </c>
      <c r="AV494" t="s">
        <v>134</v>
      </c>
      <c r="AW494" t="s">
        <v>134</v>
      </c>
      <c r="AX494" t="s">
        <v>134</v>
      </c>
      <c r="AY494" t="s">
        <v>134</v>
      </c>
      <c r="AZ494" t="s">
        <v>134</v>
      </c>
      <c r="BA494" t="s">
        <v>134</v>
      </c>
      <c r="BB494" t="s">
        <v>134</v>
      </c>
      <c r="BC494" t="s">
        <v>134</v>
      </c>
      <c r="BD494" t="s">
        <v>134</v>
      </c>
      <c r="BE494" t="s">
        <v>134</v>
      </c>
      <c r="BF494">
        <v>2.4681000000000002</v>
      </c>
      <c r="BG494">
        <v>-1.2843</v>
      </c>
      <c r="BH494">
        <v>-0.34720000000000001</v>
      </c>
      <c r="BI494">
        <v>5.2617000000000003</v>
      </c>
      <c r="BJ494">
        <v>5.2770000000000001</v>
      </c>
      <c r="BK494">
        <v>-100</v>
      </c>
      <c r="BL494">
        <v>2.7109999999999999</v>
      </c>
      <c r="BM494" t="s">
        <v>134</v>
      </c>
      <c r="BN494">
        <v>-1.7547000000000001</v>
      </c>
      <c r="BO494">
        <v>2.4035000000000002</v>
      </c>
      <c r="BP494">
        <v>53.282400000000003</v>
      </c>
      <c r="BQ494">
        <v>34.220599999999997</v>
      </c>
      <c r="BR494" t="s">
        <v>134</v>
      </c>
      <c r="BS494" t="s">
        <v>134</v>
      </c>
      <c r="BT494" t="s">
        <v>134</v>
      </c>
      <c r="BU494">
        <v>3.9020000000000001</v>
      </c>
      <c r="BV494">
        <v>3.9020000000000001</v>
      </c>
      <c r="BW494">
        <v>3.9802999999999997</v>
      </c>
      <c r="BX494">
        <v>-33.924999999999997</v>
      </c>
      <c r="BY494">
        <v>0</v>
      </c>
      <c r="BZ494">
        <v>0</v>
      </c>
      <c r="CA494">
        <v>0</v>
      </c>
      <c r="CB494">
        <v>0</v>
      </c>
      <c r="CC494">
        <v>-2.4618000000000002</v>
      </c>
      <c r="CD494">
        <v>0</v>
      </c>
      <c r="CE494">
        <v>-4.5254000000000003</v>
      </c>
      <c r="CF494" t="s">
        <v>134</v>
      </c>
      <c r="CG494">
        <v>89.401799999999994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-33.075000000000003</v>
      </c>
      <c r="CO494">
        <v>-49.420999999999999</v>
      </c>
      <c r="CP494">
        <v>6610</v>
      </c>
      <c r="CQ494">
        <v>4237</v>
      </c>
      <c r="CR494">
        <v>3731</v>
      </c>
      <c r="CS494">
        <v>4.2565</v>
      </c>
      <c r="CT494">
        <v>4.7626999999999997</v>
      </c>
      <c r="CU494">
        <v>4.3929</v>
      </c>
      <c r="CV494">
        <v>19.523399999999999</v>
      </c>
      <c r="CW494">
        <v>28.4618</v>
      </c>
      <c r="CX494">
        <v>12.859400000000001</v>
      </c>
      <c r="CY494" t="s">
        <v>134</v>
      </c>
      <c r="CZ494" t="s">
        <v>134</v>
      </c>
      <c r="DA494" t="s">
        <v>134</v>
      </c>
      <c r="DB494" t="s">
        <v>134</v>
      </c>
      <c r="DC494" t="s">
        <v>134</v>
      </c>
      <c r="DD494" t="s">
        <v>134</v>
      </c>
      <c r="DE494">
        <v>0</v>
      </c>
      <c r="DF494">
        <v>0</v>
      </c>
      <c r="DG494">
        <v>0</v>
      </c>
      <c r="DH494">
        <v>0</v>
      </c>
      <c r="DI494">
        <v>0</v>
      </c>
    </row>
    <row r="495" spans="4:113" x14ac:dyDescent="0.3">
      <c r="E495" t="s">
        <v>79</v>
      </c>
      <c r="F495">
        <v>15.6203</v>
      </c>
      <c r="G495">
        <v>12.034700000000001</v>
      </c>
      <c r="H495" t="s">
        <v>134</v>
      </c>
      <c r="I495">
        <v>6.2906000000000004</v>
      </c>
      <c r="J495">
        <v>46.046900000000001</v>
      </c>
      <c r="K495">
        <v>26.819500000000001</v>
      </c>
      <c r="L495">
        <v>75.181899999999999</v>
      </c>
      <c r="M495">
        <v>67.693600000000004</v>
      </c>
      <c r="N495">
        <v>51.714199999999998</v>
      </c>
      <c r="O495">
        <v>51.714199999999998</v>
      </c>
      <c r="P495">
        <v>51.714199999999998</v>
      </c>
      <c r="Q495">
        <v>23.605499999999999</v>
      </c>
      <c r="R495">
        <v>0</v>
      </c>
      <c r="S495">
        <v>15.6203</v>
      </c>
      <c r="T495">
        <v>9.0121000000000002</v>
      </c>
      <c r="U495">
        <v>15.720499999999999</v>
      </c>
      <c r="V495">
        <v>30.165399999999998</v>
      </c>
      <c r="W495">
        <v>30.797799999999999</v>
      </c>
      <c r="X495">
        <v>32.639299999999999</v>
      </c>
      <c r="Y495" t="s">
        <v>134</v>
      </c>
      <c r="Z495">
        <v>-4.5065999999999997</v>
      </c>
      <c r="AA495" t="s">
        <v>134</v>
      </c>
      <c r="AB495">
        <v>-60.235900000000001</v>
      </c>
      <c r="AC495">
        <v>-26.487300000000001</v>
      </c>
      <c r="AD495">
        <v>95.993799999999993</v>
      </c>
      <c r="AE495">
        <v>-56.012300000000003</v>
      </c>
      <c r="AF495">
        <v>-49.211799999999997</v>
      </c>
      <c r="AG495" t="s">
        <v>134</v>
      </c>
      <c r="AH495" t="s">
        <v>134</v>
      </c>
      <c r="AI495">
        <v>-5.9920999999999998</v>
      </c>
      <c r="AJ495">
        <v>-13.016400000000001</v>
      </c>
      <c r="AK495">
        <v>-3.5996999999999999</v>
      </c>
      <c r="AL495" t="s">
        <v>134</v>
      </c>
      <c r="AM495" t="s">
        <v>134</v>
      </c>
      <c r="AN495" t="s">
        <v>134</v>
      </c>
      <c r="AO495" t="s">
        <v>134</v>
      </c>
      <c r="AP495" t="s">
        <v>134</v>
      </c>
      <c r="AQ495" t="s">
        <v>134</v>
      </c>
      <c r="AR495" t="s">
        <v>134</v>
      </c>
      <c r="AS495" t="s">
        <v>134</v>
      </c>
      <c r="AT495" t="s">
        <v>134</v>
      </c>
      <c r="AU495" t="s">
        <v>134</v>
      </c>
      <c r="AV495" t="s">
        <v>134</v>
      </c>
      <c r="AW495" t="s">
        <v>134</v>
      </c>
      <c r="AX495" t="s">
        <v>134</v>
      </c>
      <c r="AY495" t="s">
        <v>134</v>
      </c>
      <c r="AZ495" t="s">
        <v>134</v>
      </c>
      <c r="BA495" t="s">
        <v>134</v>
      </c>
      <c r="BB495" t="s">
        <v>134</v>
      </c>
      <c r="BC495" t="s">
        <v>134</v>
      </c>
      <c r="BD495" t="s">
        <v>134</v>
      </c>
      <c r="BE495" t="s">
        <v>134</v>
      </c>
      <c r="BF495">
        <v>2.9729999999999999</v>
      </c>
      <c r="BG495">
        <v>4.2359999999999998</v>
      </c>
      <c r="BH495">
        <v>7.5583</v>
      </c>
      <c r="BI495">
        <v>2.3273999999999999</v>
      </c>
      <c r="BJ495">
        <v>3.7845</v>
      </c>
      <c r="BK495" t="s">
        <v>134</v>
      </c>
      <c r="BL495">
        <v>0.249</v>
      </c>
      <c r="BM495" t="s">
        <v>134</v>
      </c>
      <c r="BN495">
        <v>-1.6548</v>
      </c>
      <c r="BO495">
        <v>-8.8907000000000007</v>
      </c>
      <c r="BP495">
        <v>-36.653399999999998</v>
      </c>
      <c r="BQ495">
        <v>-83.510499999999993</v>
      </c>
      <c r="BR495" t="s">
        <v>134</v>
      </c>
      <c r="BS495" t="s">
        <v>134</v>
      </c>
      <c r="BT495" t="s">
        <v>134</v>
      </c>
      <c r="BU495">
        <v>-10.199999999999999</v>
      </c>
      <c r="BV495">
        <v>-10.199999999999999</v>
      </c>
      <c r="BW495">
        <v>-7.9841999999999995</v>
      </c>
      <c r="BX495">
        <v>69.450100000000006</v>
      </c>
      <c r="BY495">
        <v>0</v>
      </c>
      <c r="BZ495">
        <v>0</v>
      </c>
      <c r="CA495">
        <v>0</v>
      </c>
      <c r="CB495">
        <v>0</v>
      </c>
      <c r="CC495">
        <v>-0.61</v>
      </c>
      <c r="CD495">
        <v>0</v>
      </c>
      <c r="CE495">
        <v>-1.0893999999999999</v>
      </c>
      <c r="CF495" t="s">
        <v>134</v>
      </c>
      <c r="CG495">
        <v>88.117000000000004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-9.4620999999999995</v>
      </c>
      <c r="CO495">
        <v>-10.450900000000001</v>
      </c>
      <c r="CP495">
        <v>6890</v>
      </c>
      <c r="CQ495">
        <v>4922</v>
      </c>
      <c r="CR495">
        <v>4013</v>
      </c>
      <c r="CS495">
        <v>1.1165</v>
      </c>
      <c r="CT495">
        <v>1.6335</v>
      </c>
      <c r="CU495">
        <v>1.256</v>
      </c>
      <c r="CV495">
        <v>19.503900000000002</v>
      </c>
      <c r="CW495">
        <v>27.9709</v>
      </c>
      <c r="CX495">
        <v>13.085000000000001</v>
      </c>
      <c r="CY495" t="s">
        <v>134</v>
      </c>
      <c r="CZ495" t="s">
        <v>134</v>
      </c>
      <c r="DA495" t="s">
        <v>134</v>
      </c>
      <c r="DB495" t="s">
        <v>134</v>
      </c>
      <c r="DC495" t="s">
        <v>134</v>
      </c>
      <c r="DD495" t="s">
        <v>134</v>
      </c>
      <c r="DE495">
        <v>0</v>
      </c>
      <c r="DF495">
        <v>0</v>
      </c>
      <c r="DG495">
        <v>0</v>
      </c>
      <c r="DH495">
        <v>0</v>
      </c>
      <c r="DI495">
        <v>0</v>
      </c>
    </row>
    <row r="496" spans="4:113" x14ac:dyDescent="0.3">
      <c r="E496" t="s">
        <v>80</v>
      </c>
      <c r="F496">
        <v>15.839</v>
      </c>
      <c r="G496">
        <v>12.228300000000001</v>
      </c>
      <c r="H496" t="s">
        <v>134</v>
      </c>
      <c r="I496">
        <v>6.3611000000000004</v>
      </c>
      <c r="J496">
        <v>46.117600000000003</v>
      </c>
      <c r="K496">
        <v>26.941199999999998</v>
      </c>
      <c r="L496">
        <v>61.670400000000001</v>
      </c>
      <c r="M496">
        <v>57.673200000000001</v>
      </c>
      <c r="N496">
        <v>40.548999999999999</v>
      </c>
      <c r="O496">
        <v>40.548999999999999</v>
      </c>
      <c r="P496">
        <v>40.548999999999999</v>
      </c>
      <c r="Q496">
        <v>29.691700000000001</v>
      </c>
      <c r="R496">
        <v>0</v>
      </c>
      <c r="S496">
        <v>15.839</v>
      </c>
      <c r="T496">
        <v>9.6067</v>
      </c>
      <c r="U496">
        <v>13.714700000000001</v>
      </c>
      <c r="V496">
        <v>25.098600000000001</v>
      </c>
      <c r="W496">
        <v>25.333300000000001</v>
      </c>
      <c r="X496">
        <v>28.735600000000002</v>
      </c>
      <c r="Y496" t="s">
        <v>134</v>
      </c>
      <c r="Z496">
        <v>-22.570900000000002</v>
      </c>
      <c r="AA496" t="s">
        <v>134</v>
      </c>
      <c r="AB496">
        <v>-59.881599999999999</v>
      </c>
      <c r="AC496">
        <v>-25.075099999999999</v>
      </c>
      <c r="AD496">
        <v>-1.1547000000000001</v>
      </c>
      <c r="AE496">
        <v>-55.953400000000002</v>
      </c>
      <c r="AF496">
        <v>-43.239199999999997</v>
      </c>
      <c r="AG496" t="s">
        <v>134</v>
      </c>
      <c r="AH496" t="s">
        <v>134</v>
      </c>
      <c r="AI496">
        <v>-5.4292999999999996</v>
      </c>
      <c r="AJ496">
        <v>-12.1685</v>
      </c>
      <c r="AK496">
        <v>-3.0226000000000002</v>
      </c>
      <c r="AL496" t="s">
        <v>134</v>
      </c>
      <c r="AM496" t="s">
        <v>134</v>
      </c>
      <c r="AN496" t="s">
        <v>134</v>
      </c>
      <c r="AO496" t="s">
        <v>134</v>
      </c>
      <c r="AP496" t="s">
        <v>134</v>
      </c>
      <c r="AQ496" t="s">
        <v>134</v>
      </c>
      <c r="AR496" t="s">
        <v>134</v>
      </c>
      <c r="AS496" t="s">
        <v>134</v>
      </c>
      <c r="AT496" t="s">
        <v>134</v>
      </c>
      <c r="AU496" t="s">
        <v>134</v>
      </c>
      <c r="AV496" t="s">
        <v>134</v>
      </c>
      <c r="AW496" t="s">
        <v>134</v>
      </c>
      <c r="AX496" t="s">
        <v>134</v>
      </c>
      <c r="AY496" t="s">
        <v>134</v>
      </c>
      <c r="AZ496" t="s">
        <v>134</v>
      </c>
      <c r="BA496" t="s">
        <v>134</v>
      </c>
      <c r="BB496" t="s">
        <v>134</v>
      </c>
      <c r="BC496" t="s">
        <v>134</v>
      </c>
      <c r="BD496" t="s">
        <v>134</v>
      </c>
      <c r="BE496" t="s">
        <v>134</v>
      </c>
      <c r="BF496">
        <v>2.2522000000000002</v>
      </c>
      <c r="BG496">
        <v>2.4093</v>
      </c>
      <c r="BH496">
        <v>2.7161999999999997</v>
      </c>
      <c r="BI496">
        <v>-19.824200000000001</v>
      </c>
      <c r="BJ496">
        <v>-18.860199999999999</v>
      </c>
      <c r="BK496" t="s">
        <v>134</v>
      </c>
      <c r="BL496">
        <v>1.7387000000000001</v>
      </c>
      <c r="BM496" t="s">
        <v>134</v>
      </c>
      <c r="BN496">
        <v>0.50339999999999996</v>
      </c>
      <c r="BO496">
        <v>4.0458999999999996</v>
      </c>
      <c r="BP496">
        <v>0.94340000000000002</v>
      </c>
      <c r="BQ496">
        <v>26.668900000000001</v>
      </c>
      <c r="BR496">
        <v>3.1038999999999999</v>
      </c>
      <c r="BS496" t="s">
        <v>134</v>
      </c>
      <c r="BT496" t="s">
        <v>134</v>
      </c>
      <c r="BU496">
        <v>3.4441000000000002</v>
      </c>
      <c r="BV496">
        <v>3.4441000000000002</v>
      </c>
      <c r="BW496">
        <v>3.4441000000000002</v>
      </c>
      <c r="BX496">
        <v>-59.320999999999998</v>
      </c>
      <c r="BY496">
        <v>0</v>
      </c>
      <c r="BZ496">
        <v>0</v>
      </c>
      <c r="CA496">
        <v>0</v>
      </c>
      <c r="CB496">
        <v>0</v>
      </c>
      <c r="CC496">
        <v>-0.70640000000000003</v>
      </c>
      <c r="CD496">
        <v>0</v>
      </c>
      <c r="CE496">
        <v>-1.2332000000000001</v>
      </c>
      <c r="CF496" t="s">
        <v>134</v>
      </c>
      <c r="CG496">
        <v>87.607399999999998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-10.933299999999999</v>
      </c>
      <c r="CO496">
        <v>-12.275399999999999</v>
      </c>
      <c r="CP496">
        <v>7056</v>
      </c>
      <c r="CQ496">
        <v>4502</v>
      </c>
      <c r="CR496">
        <v>4122</v>
      </c>
      <c r="CS496">
        <v>1.2244999999999999</v>
      </c>
      <c r="CT496">
        <v>1.7363</v>
      </c>
      <c r="CU496">
        <v>1.3547</v>
      </c>
      <c r="CV496">
        <v>17.1496</v>
      </c>
      <c r="CW496">
        <v>25.133199999999999</v>
      </c>
      <c r="CX496">
        <v>14.5624</v>
      </c>
      <c r="CY496" t="s">
        <v>134</v>
      </c>
      <c r="CZ496" t="s">
        <v>134</v>
      </c>
      <c r="DA496" t="s">
        <v>134</v>
      </c>
      <c r="DB496" t="s">
        <v>134</v>
      </c>
      <c r="DC496" t="s">
        <v>134</v>
      </c>
      <c r="DD496" t="s">
        <v>134</v>
      </c>
      <c r="DE496">
        <v>0</v>
      </c>
      <c r="DF496">
        <v>0</v>
      </c>
      <c r="DG496">
        <v>0</v>
      </c>
      <c r="DH496">
        <v>0</v>
      </c>
      <c r="DI496">
        <v>0</v>
      </c>
    </row>
    <row r="497" spans="1:113" x14ac:dyDescent="0.3">
      <c r="E497" t="s">
        <v>81</v>
      </c>
      <c r="F497">
        <v>16.282699999999998</v>
      </c>
      <c r="G497">
        <v>13.2494</v>
      </c>
      <c r="H497" t="s">
        <v>134</v>
      </c>
      <c r="I497">
        <v>7.2413999999999996</v>
      </c>
      <c r="J497">
        <v>47.935000000000002</v>
      </c>
      <c r="K497">
        <v>29.452400000000001</v>
      </c>
      <c r="L497">
        <v>52.564100000000003</v>
      </c>
      <c r="M497">
        <v>52.457500000000003</v>
      </c>
      <c r="N497">
        <v>37.164400000000001</v>
      </c>
      <c r="O497">
        <v>37.164400000000001</v>
      </c>
      <c r="P497">
        <v>37.164400000000001</v>
      </c>
      <c r="Q497">
        <v>29.153300000000002</v>
      </c>
      <c r="R497">
        <v>372.02980000000002</v>
      </c>
      <c r="S497">
        <v>-44.293700000000001</v>
      </c>
      <c r="T497">
        <v>13.200799999999999</v>
      </c>
      <c r="U497">
        <v>14.9194</v>
      </c>
      <c r="V497">
        <v>26.2821</v>
      </c>
      <c r="W497">
        <v>-16.9543</v>
      </c>
      <c r="X497">
        <v>-14.775700000000001</v>
      </c>
      <c r="Y497">
        <v>300</v>
      </c>
      <c r="Z497">
        <v>-22.506399999999999</v>
      </c>
      <c r="AA497" t="s">
        <v>134</v>
      </c>
      <c r="AB497">
        <v>-4.6782000000000004</v>
      </c>
      <c r="AC497">
        <v>0.28789999999999999</v>
      </c>
      <c r="AD497">
        <v>-25.1145</v>
      </c>
      <c r="AE497">
        <v>-92.331900000000005</v>
      </c>
      <c r="AF497">
        <v>-17.209299999999999</v>
      </c>
      <c r="AG497" t="s">
        <v>134</v>
      </c>
      <c r="AH497" t="s">
        <v>134</v>
      </c>
      <c r="AI497">
        <v>-15.035500000000001</v>
      </c>
      <c r="AJ497">
        <v>-13.508900000000001</v>
      </c>
      <c r="AK497">
        <v>-12.873799999999999</v>
      </c>
      <c r="AL497">
        <v>-69.725399999999993</v>
      </c>
      <c r="AM497" t="s">
        <v>134</v>
      </c>
      <c r="AN497" t="s">
        <v>134</v>
      </c>
      <c r="AO497" t="s">
        <v>134</v>
      </c>
      <c r="AP497" t="s">
        <v>134</v>
      </c>
      <c r="AQ497" t="s">
        <v>134</v>
      </c>
      <c r="AR497" t="s">
        <v>134</v>
      </c>
      <c r="AS497" t="s">
        <v>134</v>
      </c>
      <c r="AT497" t="s">
        <v>134</v>
      </c>
      <c r="AU497" t="s">
        <v>134</v>
      </c>
      <c r="AV497" t="s">
        <v>134</v>
      </c>
      <c r="AW497" t="s">
        <v>134</v>
      </c>
      <c r="AX497" t="s">
        <v>134</v>
      </c>
      <c r="AY497" t="s">
        <v>134</v>
      </c>
      <c r="AZ497" t="s">
        <v>134</v>
      </c>
      <c r="BA497" t="s">
        <v>134</v>
      </c>
      <c r="BB497" t="s">
        <v>134</v>
      </c>
      <c r="BC497" t="s">
        <v>134</v>
      </c>
      <c r="BD497" t="s">
        <v>134</v>
      </c>
      <c r="BE497" t="s">
        <v>134</v>
      </c>
      <c r="BF497">
        <v>4.9215999999999998</v>
      </c>
      <c r="BG497">
        <v>9.0561000000000007</v>
      </c>
      <c r="BH497">
        <v>14.701599999999999</v>
      </c>
      <c r="BI497">
        <v>-3.8361999999999998</v>
      </c>
      <c r="BJ497">
        <v>-3.8689999999999998</v>
      </c>
      <c r="BK497" t="s">
        <v>134</v>
      </c>
      <c r="BL497">
        <v>-26.025400000000001</v>
      </c>
      <c r="BM497" t="s">
        <v>134</v>
      </c>
      <c r="BN497">
        <v>-1.8372999999999999</v>
      </c>
      <c r="BO497">
        <v>3.3109000000000002</v>
      </c>
      <c r="BP497">
        <v>-23.598099999999999</v>
      </c>
      <c r="BQ497">
        <v>-72.647900000000007</v>
      </c>
      <c r="BR497">
        <v>-30.104700000000001</v>
      </c>
      <c r="BS497" t="s">
        <v>134</v>
      </c>
      <c r="BT497" t="s">
        <v>134</v>
      </c>
      <c r="BU497" t="s">
        <v>134</v>
      </c>
      <c r="BV497" t="s">
        <v>134</v>
      </c>
      <c r="BW497" t="s">
        <v>134</v>
      </c>
      <c r="BX497">
        <v>-33.529400000000003</v>
      </c>
      <c r="BY497">
        <v>2785</v>
      </c>
      <c r="BZ497">
        <v>2785</v>
      </c>
      <c r="CA497">
        <v>0</v>
      </c>
      <c r="CB497">
        <v>9.8599999999999993E-2</v>
      </c>
      <c r="CC497">
        <v>-1.2283999999999999</v>
      </c>
      <c r="CD497">
        <v>0.1678</v>
      </c>
      <c r="CE497">
        <v>-2.0912999999999999</v>
      </c>
      <c r="CF497" t="s">
        <v>134</v>
      </c>
      <c r="CG497">
        <v>74.6494</v>
      </c>
      <c r="CH497">
        <v>0</v>
      </c>
      <c r="CI497">
        <v>0</v>
      </c>
      <c r="CJ497">
        <v>0</v>
      </c>
      <c r="CK497">
        <v>1.7968999999999999</v>
      </c>
      <c r="CL497">
        <v>1.7650999999999999</v>
      </c>
      <c r="CM497">
        <v>1.3412999999999999</v>
      </c>
      <c r="CN497">
        <v>-22.39</v>
      </c>
      <c r="CO497">
        <v>-28.849399999999999</v>
      </c>
      <c r="CP497">
        <v>7695</v>
      </c>
      <c r="CQ497">
        <v>4502</v>
      </c>
      <c r="CR497">
        <v>4728</v>
      </c>
      <c r="CS497">
        <v>0.85289999999999999</v>
      </c>
      <c r="CT497">
        <v>1.0720000000000001</v>
      </c>
      <c r="CU497">
        <v>0.88739999999999997</v>
      </c>
      <c r="CV497">
        <v>7.3372999999999999</v>
      </c>
      <c r="CW497">
        <v>35.070300000000003</v>
      </c>
      <c r="CX497">
        <v>10.4077</v>
      </c>
      <c r="CY497" t="s">
        <v>134</v>
      </c>
      <c r="CZ497" t="s">
        <v>134</v>
      </c>
      <c r="DA497" t="s">
        <v>134</v>
      </c>
      <c r="DB497" t="s">
        <v>134</v>
      </c>
      <c r="DC497" t="s">
        <v>134</v>
      </c>
      <c r="DD497" t="s">
        <v>134</v>
      </c>
      <c r="DE497">
        <v>0</v>
      </c>
      <c r="DF497">
        <v>0</v>
      </c>
      <c r="DG497">
        <v>0</v>
      </c>
      <c r="DH497">
        <v>0</v>
      </c>
      <c r="DI497">
        <v>0</v>
      </c>
    </row>
    <row r="498" spans="1:113" x14ac:dyDescent="0.3">
      <c r="D498" t="s">
        <v>85</v>
      </c>
      <c r="E498" t="s">
        <v>77</v>
      </c>
      <c r="F498">
        <v>15.363</v>
      </c>
      <c r="G498">
        <v>12.278</v>
      </c>
      <c r="H498">
        <v>15.2461</v>
      </c>
      <c r="I498">
        <v>8.4176000000000002</v>
      </c>
      <c r="J498">
        <v>48.125700000000002</v>
      </c>
      <c r="K498">
        <v>30.302700000000002</v>
      </c>
      <c r="L498">
        <v>64.6785</v>
      </c>
      <c r="M498">
        <v>53.301499999999997</v>
      </c>
      <c r="N498">
        <v>37.662399999999998</v>
      </c>
      <c r="O498">
        <v>37.662399999999998</v>
      </c>
      <c r="P498">
        <v>37.662399999999998</v>
      </c>
      <c r="Q498">
        <v>29.340900000000001</v>
      </c>
      <c r="R498">
        <v>103.83969999999999</v>
      </c>
      <c r="S498">
        <v>-0.58989999999999998</v>
      </c>
      <c r="T498">
        <v>8.8171999999999997</v>
      </c>
      <c r="U498">
        <v>12.7925</v>
      </c>
      <c r="V498">
        <v>20.911200000000001</v>
      </c>
      <c r="W498">
        <v>-9.2210000000000001</v>
      </c>
      <c r="X498">
        <v>-8.4199000000000002</v>
      </c>
      <c r="Y498">
        <v>-12.5</v>
      </c>
      <c r="Z498">
        <v>-8.4666999999999994</v>
      </c>
      <c r="AA498" t="s">
        <v>134</v>
      </c>
      <c r="AB498">
        <v>-2.4796</v>
      </c>
      <c r="AC498">
        <v>-6.024</v>
      </c>
      <c r="AD498">
        <v>-0.43830000000000002</v>
      </c>
      <c r="AE498">
        <v>1816.6996999999999</v>
      </c>
      <c r="AF498">
        <v>-1.944</v>
      </c>
      <c r="AG498" t="s">
        <v>134</v>
      </c>
      <c r="AH498" t="s">
        <v>134</v>
      </c>
      <c r="AI498">
        <v>9.4527000000000001</v>
      </c>
      <c r="AJ498">
        <v>7.5206999999999997</v>
      </c>
      <c r="AK498">
        <v>9.4527000000000001</v>
      </c>
      <c r="AL498">
        <v>27.446300000000001</v>
      </c>
      <c r="AM498">
        <v>-8.4083000000000006</v>
      </c>
      <c r="AN498">
        <v>-3.613</v>
      </c>
      <c r="AO498">
        <v>4.4965999999999999</v>
      </c>
      <c r="AP498">
        <v>19.991900000000001</v>
      </c>
      <c r="AQ498">
        <v>19.167999999999999</v>
      </c>
      <c r="AR498">
        <v>20.546099999999999</v>
      </c>
      <c r="AS498">
        <v>-20.3279</v>
      </c>
      <c r="AT498" t="s">
        <v>134</v>
      </c>
      <c r="AU498">
        <v>-19.142499999999998</v>
      </c>
      <c r="AV498">
        <v>-6.6037999999999997</v>
      </c>
      <c r="AW498" t="s">
        <v>134</v>
      </c>
      <c r="AX498">
        <v>5.0148000000000001</v>
      </c>
      <c r="AY498">
        <v>9.1243999999999996</v>
      </c>
      <c r="AZ498">
        <v>-100</v>
      </c>
      <c r="BA498">
        <v>-100</v>
      </c>
      <c r="BB498">
        <v>-0.26679999999999998</v>
      </c>
      <c r="BC498">
        <v>-3.9165999999999999</v>
      </c>
      <c r="BD498">
        <v>0.1517</v>
      </c>
      <c r="BE498">
        <v>2.0560999999999998</v>
      </c>
      <c r="BF498">
        <v>8.8171999999999997</v>
      </c>
      <c r="BG498">
        <v>12.7925</v>
      </c>
      <c r="BH498">
        <v>20.911200000000001</v>
      </c>
      <c r="BI498">
        <v>-9.2210000000000001</v>
      </c>
      <c r="BJ498">
        <v>-8.4199000000000002</v>
      </c>
      <c r="BK498">
        <v>-12.5</v>
      </c>
      <c r="BL498">
        <v>-8.4666999999999994</v>
      </c>
      <c r="BM498" t="s">
        <v>134</v>
      </c>
      <c r="BN498">
        <v>-2.4796</v>
      </c>
      <c r="BO498">
        <v>-6.024</v>
      </c>
      <c r="BP498" t="s">
        <v>134</v>
      </c>
      <c r="BQ498">
        <v>1816.6996999999999</v>
      </c>
      <c r="BR498">
        <v>-1.944</v>
      </c>
      <c r="BS498">
        <v>-100</v>
      </c>
      <c r="BT498">
        <v>-100</v>
      </c>
      <c r="BU498">
        <v>9.4527000000000001</v>
      </c>
      <c r="BV498">
        <v>7.5206999999999997</v>
      </c>
      <c r="BW498">
        <v>9.4527000000000001</v>
      </c>
      <c r="BX498">
        <v>27.446300000000001</v>
      </c>
      <c r="BY498">
        <v>0</v>
      </c>
      <c r="BZ498">
        <v>0</v>
      </c>
      <c r="CA498">
        <v>0</v>
      </c>
      <c r="CB498">
        <v>0</v>
      </c>
      <c r="CC498">
        <v>-2.0518999999999998</v>
      </c>
      <c r="CD498">
        <v>0</v>
      </c>
      <c r="CE498">
        <v>-3.2587999999999999</v>
      </c>
      <c r="CF498">
        <v>995.78129999999999</v>
      </c>
      <c r="CG498">
        <v>86.203000000000003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-38.542499999999997</v>
      </c>
      <c r="CO498">
        <v>-62.713999999999999</v>
      </c>
      <c r="CP498">
        <v>31865</v>
      </c>
      <c r="CQ498">
        <v>21141</v>
      </c>
      <c r="CR498">
        <v>20064</v>
      </c>
      <c r="CS498">
        <v>3.6006999999999998</v>
      </c>
      <c r="CT498">
        <v>4.1919000000000004</v>
      </c>
      <c r="CU498">
        <v>3.7519</v>
      </c>
      <c r="CV498">
        <v>15.0124</v>
      </c>
      <c r="CW498">
        <v>23.046299999999999</v>
      </c>
      <c r="CX498">
        <v>15.8377</v>
      </c>
      <c r="CY498" t="s">
        <v>134</v>
      </c>
      <c r="CZ498" t="s">
        <v>134</v>
      </c>
      <c r="DA498" t="s">
        <v>134</v>
      </c>
      <c r="DB498" t="s">
        <v>134</v>
      </c>
      <c r="DC498" t="s">
        <v>134</v>
      </c>
      <c r="DD498" t="s">
        <v>134</v>
      </c>
      <c r="DE498">
        <v>0</v>
      </c>
      <c r="DF498">
        <v>0</v>
      </c>
      <c r="DG498">
        <v>0</v>
      </c>
      <c r="DH498">
        <v>0</v>
      </c>
      <c r="DI498">
        <v>0</v>
      </c>
    </row>
    <row r="499" spans="1:113" x14ac:dyDescent="0.3">
      <c r="E499" t="s">
        <v>78</v>
      </c>
      <c r="F499">
        <v>15.135199999999999</v>
      </c>
      <c r="G499">
        <v>13.3926</v>
      </c>
      <c r="H499" t="s">
        <v>134</v>
      </c>
      <c r="I499">
        <v>7.2407000000000004</v>
      </c>
      <c r="J499">
        <v>49.052300000000002</v>
      </c>
      <c r="K499">
        <v>30.538499999999999</v>
      </c>
      <c r="L499">
        <v>80.898099999999999</v>
      </c>
      <c r="M499">
        <v>57.907600000000002</v>
      </c>
      <c r="N499">
        <v>41.665599999999998</v>
      </c>
      <c r="O499">
        <v>41.665599999999998</v>
      </c>
      <c r="P499">
        <v>41.665599999999998</v>
      </c>
      <c r="Q499">
        <v>28.048100000000002</v>
      </c>
      <c r="R499">
        <v>111.4391</v>
      </c>
      <c r="S499">
        <v>-1.7313000000000001</v>
      </c>
      <c r="T499">
        <v>9.6552000000000007</v>
      </c>
      <c r="U499">
        <v>18.245100000000001</v>
      </c>
      <c r="V499">
        <v>30.4208</v>
      </c>
      <c r="W499">
        <v>-12.2058</v>
      </c>
      <c r="X499">
        <v>-10</v>
      </c>
      <c r="Y499" t="s">
        <v>134</v>
      </c>
      <c r="Z499">
        <v>-99.800799999999995</v>
      </c>
      <c r="AA499" t="s">
        <v>134</v>
      </c>
      <c r="AB499">
        <v>-2.4241000000000001</v>
      </c>
      <c r="AC499">
        <v>-13.0052</v>
      </c>
      <c r="AD499" t="s">
        <v>134</v>
      </c>
      <c r="AE499">
        <v>-58.097700000000003</v>
      </c>
      <c r="AF499" t="s">
        <v>134</v>
      </c>
      <c r="AG499" t="s">
        <v>134</v>
      </c>
      <c r="AH499" t="s">
        <v>134</v>
      </c>
      <c r="AI499">
        <v>-14.9209</v>
      </c>
      <c r="AJ499">
        <v>-14.9209</v>
      </c>
      <c r="AK499">
        <v>-12.822100000000001</v>
      </c>
      <c r="AL499">
        <v>143.81649999999999</v>
      </c>
      <c r="AM499">
        <v>-7.9916</v>
      </c>
      <c r="AN499">
        <v>-2.4741</v>
      </c>
      <c r="AO499">
        <v>7.0395000000000003</v>
      </c>
      <c r="AP499">
        <v>25.482099999999999</v>
      </c>
      <c r="AQ499">
        <v>24.059200000000001</v>
      </c>
      <c r="AR499" t="s">
        <v>134</v>
      </c>
      <c r="AS499">
        <v>-77.908299999999997</v>
      </c>
      <c r="AT499" t="s">
        <v>134</v>
      </c>
      <c r="AU499">
        <v>-18.871500000000001</v>
      </c>
      <c r="AV499">
        <v>-5.1947000000000001</v>
      </c>
      <c r="AW499" t="s">
        <v>134</v>
      </c>
      <c r="AX499">
        <v>32.070399999999999</v>
      </c>
      <c r="AY499" t="s">
        <v>134</v>
      </c>
      <c r="AZ499">
        <v>-100</v>
      </c>
      <c r="BA499">
        <v>-100</v>
      </c>
      <c r="BB499">
        <v>1.8931</v>
      </c>
      <c r="BC499">
        <v>-2.3725999999999998</v>
      </c>
      <c r="BD499">
        <v>-19.177099999999999</v>
      </c>
      <c r="BE499" t="s">
        <v>134</v>
      </c>
      <c r="BF499">
        <v>-0.74129999999999996</v>
      </c>
      <c r="BG499">
        <v>1.5724</v>
      </c>
      <c r="BH499">
        <v>2.9188000000000001</v>
      </c>
      <c r="BI499">
        <v>11.2806</v>
      </c>
      <c r="BJ499">
        <v>11.176500000000001</v>
      </c>
      <c r="BK499">
        <v>-66.666700000000006</v>
      </c>
      <c r="BL499">
        <v>-99.866699999999994</v>
      </c>
      <c r="BM499" t="s">
        <v>134</v>
      </c>
      <c r="BN499">
        <v>0.57020000000000004</v>
      </c>
      <c r="BO499">
        <v>-11.926299999999999</v>
      </c>
      <c r="BP499" t="s">
        <v>134</v>
      </c>
      <c r="BQ499">
        <v>667.89020000000005</v>
      </c>
      <c r="BR499">
        <v>-91.082599999999999</v>
      </c>
      <c r="BS499">
        <v>-100</v>
      </c>
      <c r="BT499">
        <v>-100</v>
      </c>
      <c r="BU499">
        <v>4.0420999999999996</v>
      </c>
      <c r="BV499">
        <v>2.2056</v>
      </c>
      <c r="BW499">
        <v>4.0419999999999998</v>
      </c>
      <c r="BX499">
        <v>432.13499999999999</v>
      </c>
      <c r="BY499">
        <v>0</v>
      </c>
      <c r="BZ499">
        <v>0</v>
      </c>
      <c r="CA499">
        <v>0</v>
      </c>
      <c r="CB499">
        <v>0</v>
      </c>
      <c r="CC499">
        <v>-1.0697000000000001</v>
      </c>
      <c r="CD499">
        <v>0</v>
      </c>
      <c r="CE499">
        <v>-1.7772999999999999</v>
      </c>
      <c r="CF499" t="s">
        <v>134</v>
      </c>
      <c r="CG499">
        <v>87.433000000000007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-19.540099999999999</v>
      </c>
      <c r="CO499">
        <v>-24.285499999999999</v>
      </c>
      <c r="CP499">
        <v>7816</v>
      </c>
      <c r="CQ499">
        <v>5552</v>
      </c>
      <c r="CR499">
        <v>4866</v>
      </c>
      <c r="CS499">
        <v>1.9758</v>
      </c>
      <c r="CT499">
        <v>2.456</v>
      </c>
      <c r="CU499">
        <v>1.976</v>
      </c>
      <c r="CV499">
        <v>19.964700000000001</v>
      </c>
      <c r="CW499">
        <v>61.878700000000002</v>
      </c>
      <c r="CX499">
        <v>5.8986000000000001</v>
      </c>
      <c r="CY499" t="s">
        <v>134</v>
      </c>
      <c r="CZ499" t="s">
        <v>134</v>
      </c>
      <c r="DA499" t="s">
        <v>134</v>
      </c>
      <c r="DB499" t="s">
        <v>134</v>
      </c>
      <c r="DC499" t="s">
        <v>134</v>
      </c>
      <c r="DD499" t="s">
        <v>134</v>
      </c>
      <c r="DE499">
        <v>0</v>
      </c>
      <c r="DF499">
        <v>0</v>
      </c>
      <c r="DG499">
        <v>0</v>
      </c>
      <c r="DH499">
        <v>0</v>
      </c>
      <c r="DI499">
        <v>0</v>
      </c>
    </row>
    <row r="500" spans="1:113" x14ac:dyDescent="0.3">
      <c r="E500" t="s">
        <v>79</v>
      </c>
      <c r="F500">
        <v>15.3324</v>
      </c>
      <c r="G500">
        <v>13.395899999999999</v>
      </c>
      <c r="H500" t="s">
        <v>134</v>
      </c>
      <c r="I500">
        <v>7.9547999999999996</v>
      </c>
      <c r="J500">
        <v>47.615600000000001</v>
      </c>
      <c r="K500">
        <v>29.5352</v>
      </c>
      <c r="L500">
        <v>54.556699999999999</v>
      </c>
      <c r="M500">
        <v>54.096600000000002</v>
      </c>
      <c r="N500">
        <v>38.488</v>
      </c>
      <c r="O500">
        <v>38.488</v>
      </c>
      <c r="P500">
        <v>38.488</v>
      </c>
      <c r="Q500">
        <v>28.853200000000001</v>
      </c>
      <c r="R500">
        <v>115.8897</v>
      </c>
      <c r="S500">
        <v>-2.4363000000000001</v>
      </c>
      <c r="T500">
        <v>10.853400000000001</v>
      </c>
      <c r="U500">
        <v>14.629899999999999</v>
      </c>
      <c r="V500">
        <v>22.078199999999999</v>
      </c>
      <c r="W500">
        <v>-17.498100000000001</v>
      </c>
      <c r="X500">
        <v>-16.6143</v>
      </c>
      <c r="Y500" t="s">
        <v>134</v>
      </c>
      <c r="Z500">
        <v>-26.1798</v>
      </c>
      <c r="AA500" t="s">
        <v>134</v>
      </c>
      <c r="AB500">
        <v>-1.9175</v>
      </c>
      <c r="AC500">
        <v>-5.2744</v>
      </c>
      <c r="AD500">
        <v>-43.3962</v>
      </c>
      <c r="AE500">
        <v>104.8369</v>
      </c>
      <c r="AF500">
        <v>3.3738000000000001</v>
      </c>
      <c r="AG500" t="s">
        <v>134</v>
      </c>
      <c r="AH500" t="s">
        <v>134</v>
      </c>
      <c r="AI500">
        <v>-6.9251000000000005</v>
      </c>
      <c r="AJ500">
        <v>-6.9251000000000005</v>
      </c>
      <c r="AK500">
        <v>-6.9251000000000005</v>
      </c>
      <c r="AL500">
        <v>-66.724000000000004</v>
      </c>
      <c r="AM500">
        <v>-8.2812000000000001</v>
      </c>
      <c r="AN500">
        <v>-3.7294</v>
      </c>
      <c r="AO500">
        <v>4.0186999999999999</v>
      </c>
      <c r="AP500">
        <v>20.856100000000001</v>
      </c>
      <c r="AQ500">
        <v>19.482399999999998</v>
      </c>
      <c r="AR500">
        <v>9.8560999999999996</v>
      </c>
      <c r="AS500" t="s">
        <v>134</v>
      </c>
      <c r="AT500" t="s">
        <v>134</v>
      </c>
      <c r="AU500" t="s">
        <v>134</v>
      </c>
      <c r="AV500" t="s">
        <v>134</v>
      </c>
      <c r="AW500" t="s">
        <v>134</v>
      </c>
      <c r="AX500" t="s">
        <v>134</v>
      </c>
      <c r="AY500" t="s">
        <v>134</v>
      </c>
      <c r="AZ500" t="s">
        <v>134</v>
      </c>
      <c r="BA500" t="s">
        <v>134</v>
      </c>
      <c r="BB500" t="s">
        <v>134</v>
      </c>
      <c r="BC500" t="s">
        <v>134</v>
      </c>
      <c r="BD500" t="s">
        <v>134</v>
      </c>
      <c r="BE500" t="s">
        <v>134</v>
      </c>
      <c r="BF500">
        <v>4.0982000000000003</v>
      </c>
      <c r="BG500">
        <v>1.0490999999999999</v>
      </c>
      <c r="BH500">
        <v>0.67820000000000003</v>
      </c>
      <c r="BI500">
        <v>-3.8409</v>
      </c>
      <c r="BJ500">
        <v>-3.8429000000000002</v>
      </c>
      <c r="BK500">
        <v>0</v>
      </c>
      <c r="BL500">
        <v>37050</v>
      </c>
      <c r="BM500" t="s">
        <v>134</v>
      </c>
      <c r="BN500">
        <v>-1.1442000000000001</v>
      </c>
      <c r="BO500">
        <v>-0.79430000000000001</v>
      </c>
      <c r="BP500" t="s">
        <v>134</v>
      </c>
      <c r="BQ500">
        <v>-19.3919</v>
      </c>
      <c r="BR500">
        <v>-23.4</v>
      </c>
      <c r="BS500" t="s">
        <v>134</v>
      </c>
      <c r="BT500" t="s">
        <v>134</v>
      </c>
      <c r="BU500">
        <v>-1.7605</v>
      </c>
      <c r="BV500">
        <v>-1.7605</v>
      </c>
      <c r="BW500">
        <v>-1.76</v>
      </c>
      <c r="BX500">
        <v>-76.873500000000007</v>
      </c>
      <c r="BY500">
        <v>0</v>
      </c>
      <c r="BZ500">
        <v>0</v>
      </c>
      <c r="CA500">
        <v>0</v>
      </c>
      <c r="CB500">
        <v>0</v>
      </c>
      <c r="CC500">
        <v>-0.80779999999999996</v>
      </c>
      <c r="CD500">
        <v>0</v>
      </c>
      <c r="CE500">
        <v>-1.3221000000000001</v>
      </c>
      <c r="CF500" t="s">
        <v>134</v>
      </c>
      <c r="CG500">
        <v>86.581500000000005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-15.535399999999999</v>
      </c>
      <c r="CO500">
        <v>-18.392800000000001</v>
      </c>
      <c r="CP500">
        <v>7898</v>
      </c>
      <c r="CQ500">
        <v>4959</v>
      </c>
      <c r="CR500">
        <v>4899</v>
      </c>
      <c r="CS500">
        <v>1.4796</v>
      </c>
      <c r="CT500">
        <v>2.1253000000000002</v>
      </c>
      <c r="CU500">
        <v>1.5689</v>
      </c>
      <c r="CV500">
        <v>20.0289</v>
      </c>
      <c r="CW500">
        <v>36.509900000000002</v>
      </c>
      <c r="CX500">
        <v>9.9972999999999992</v>
      </c>
      <c r="CY500" t="s">
        <v>134</v>
      </c>
      <c r="CZ500" t="s">
        <v>134</v>
      </c>
      <c r="DA500" t="s">
        <v>134</v>
      </c>
      <c r="DB500" t="s">
        <v>134</v>
      </c>
      <c r="DC500" t="s">
        <v>134</v>
      </c>
      <c r="DD500" t="s">
        <v>134</v>
      </c>
      <c r="DE500">
        <v>0</v>
      </c>
      <c r="DF500">
        <v>0</v>
      </c>
      <c r="DG500">
        <v>0</v>
      </c>
      <c r="DH500">
        <v>0</v>
      </c>
      <c r="DI500">
        <v>0</v>
      </c>
    </row>
    <row r="501" spans="1:113" x14ac:dyDescent="0.3">
      <c r="E501" t="s">
        <v>80</v>
      </c>
      <c r="F501" t="s">
        <v>134</v>
      </c>
      <c r="G501">
        <v>12.716100000000001</v>
      </c>
      <c r="H501" t="s">
        <v>134</v>
      </c>
      <c r="I501">
        <v>16.415900000000001</v>
      </c>
      <c r="J501">
        <v>47.0259</v>
      </c>
      <c r="K501">
        <v>29.764800000000001</v>
      </c>
      <c r="L501">
        <v>55.742600000000003</v>
      </c>
      <c r="M501">
        <v>49.236600000000003</v>
      </c>
      <c r="N501">
        <v>34.510399999999997</v>
      </c>
      <c r="O501">
        <v>34.510399999999997</v>
      </c>
      <c r="P501">
        <v>34.510399999999997</v>
      </c>
      <c r="Q501">
        <v>29.908999999999999</v>
      </c>
      <c r="R501" t="s">
        <v>134</v>
      </c>
      <c r="S501" t="s">
        <v>134</v>
      </c>
      <c r="T501">
        <v>10.869299999999999</v>
      </c>
      <c r="U501">
        <v>13.0527</v>
      </c>
      <c r="V501">
        <v>22.489100000000001</v>
      </c>
      <c r="W501">
        <v>-5.6414999999999997</v>
      </c>
      <c r="X501">
        <v>-5.7737999999999996</v>
      </c>
      <c r="Y501" t="s">
        <v>134</v>
      </c>
      <c r="Z501">
        <v>16.113299999999999</v>
      </c>
      <c r="AA501" t="s">
        <v>134</v>
      </c>
      <c r="AB501">
        <v>-3.4779</v>
      </c>
      <c r="AC501">
        <v>-5.5803000000000003</v>
      </c>
      <c r="AD501" t="s">
        <v>134</v>
      </c>
      <c r="AE501">
        <v>112.0518</v>
      </c>
      <c r="AF501">
        <v>1374.7382</v>
      </c>
      <c r="AG501" t="s">
        <v>134</v>
      </c>
      <c r="AH501" t="s">
        <v>134</v>
      </c>
      <c r="AI501" t="s">
        <v>134</v>
      </c>
      <c r="AJ501" t="s">
        <v>134</v>
      </c>
      <c r="AK501" t="s">
        <v>134</v>
      </c>
      <c r="AL501">
        <v>29.283100000000001</v>
      </c>
      <c r="AM501">
        <v>-8.3719999999999999</v>
      </c>
      <c r="AN501">
        <v>-4.0640999999999998</v>
      </c>
      <c r="AO501">
        <v>3.7705000000000002</v>
      </c>
      <c r="AP501">
        <v>18.165199999999999</v>
      </c>
      <c r="AQ501">
        <v>17.033200000000001</v>
      </c>
      <c r="AR501" t="s">
        <v>134</v>
      </c>
      <c r="AS501">
        <v>-18.882999999999999</v>
      </c>
      <c r="AT501" t="s">
        <v>134</v>
      </c>
      <c r="AU501">
        <v>-19.009</v>
      </c>
      <c r="AV501">
        <v>-7.7775999999999996</v>
      </c>
      <c r="AW501" t="s">
        <v>134</v>
      </c>
      <c r="AX501">
        <v>-13.394</v>
      </c>
      <c r="AY501">
        <v>13.4991</v>
      </c>
      <c r="AZ501" t="s">
        <v>134</v>
      </c>
      <c r="BA501">
        <v>-100</v>
      </c>
      <c r="BB501">
        <v>-1.4765999999999999</v>
      </c>
      <c r="BC501" t="s">
        <v>134</v>
      </c>
      <c r="BD501">
        <v>-1.0642</v>
      </c>
      <c r="BE501" t="s">
        <v>134</v>
      </c>
      <c r="BF501">
        <v>2.2667999999999999</v>
      </c>
      <c r="BG501">
        <v>1.0003</v>
      </c>
      <c r="BH501">
        <v>3.0617999999999999</v>
      </c>
      <c r="BI501">
        <v>-8.3019999999999996</v>
      </c>
      <c r="BJ501">
        <v>-8.3116000000000003</v>
      </c>
      <c r="BK501" t="s">
        <v>134</v>
      </c>
      <c r="BL501">
        <v>60.026899999999998</v>
      </c>
      <c r="BM501" t="s">
        <v>134</v>
      </c>
      <c r="BN501">
        <v>-1.0954999999999999</v>
      </c>
      <c r="BO501">
        <v>3.7099000000000002</v>
      </c>
      <c r="BP501">
        <v>-1334.5833</v>
      </c>
      <c r="BQ501">
        <v>31.130500000000001</v>
      </c>
      <c r="BR501">
        <v>1370.8877</v>
      </c>
      <c r="BS501" t="s">
        <v>134</v>
      </c>
      <c r="BT501" t="s">
        <v>134</v>
      </c>
      <c r="BU501">
        <v>3.4750000000000001</v>
      </c>
      <c r="BV501">
        <v>3.4750000000000001</v>
      </c>
      <c r="BW501">
        <v>3.4750000000000001</v>
      </c>
      <c r="BX501">
        <v>58.044899999999998</v>
      </c>
      <c r="BY501">
        <v>0</v>
      </c>
      <c r="BZ501">
        <v>0</v>
      </c>
      <c r="CA501">
        <v>0</v>
      </c>
      <c r="CB501">
        <v>0</v>
      </c>
      <c r="CC501">
        <v>-0.96079999999999999</v>
      </c>
      <c r="CD501">
        <v>0</v>
      </c>
      <c r="CE501">
        <v>-1.5430999999999999</v>
      </c>
      <c r="CF501" t="s">
        <v>134</v>
      </c>
      <c r="CG501">
        <v>86.385400000000004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-18.395700000000001</v>
      </c>
      <c r="CO501">
        <v>-22.5426</v>
      </c>
      <c r="CP501">
        <v>7977</v>
      </c>
      <c r="CQ501">
        <v>5352</v>
      </c>
      <c r="CR501">
        <v>5049</v>
      </c>
      <c r="CS501">
        <v>1.7443</v>
      </c>
      <c r="CT501">
        <v>2.4198</v>
      </c>
      <c r="CU501">
        <v>1.8818000000000001</v>
      </c>
      <c r="CV501">
        <v>18.320499999999999</v>
      </c>
      <c r="CW501">
        <v>29.614599999999999</v>
      </c>
      <c r="CX501">
        <v>12.324999999999999</v>
      </c>
      <c r="CY501" t="s">
        <v>134</v>
      </c>
      <c r="CZ501" t="s">
        <v>134</v>
      </c>
      <c r="DA501" t="s">
        <v>134</v>
      </c>
      <c r="DB501" t="s">
        <v>134</v>
      </c>
      <c r="DC501" t="s">
        <v>134</v>
      </c>
      <c r="DD501" t="s">
        <v>134</v>
      </c>
      <c r="DE501">
        <v>0</v>
      </c>
      <c r="DF501">
        <v>0</v>
      </c>
      <c r="DG501">
        <v>0</v>
      </c>
      <c r="DH501">
        <v>0</v>
      </c>
      <c r="DI501">
        <v>0</v>
      </c>
    </row>
    <row r="502" spans="1:113" x14ac:dyDescent="0.3">
      <c r="E502" t="s">
        <v>81</v>
      </c>
      <c r="F502">
        <v>15.363</v>
      </c>
      <c r="G502">
        <v>12.278</v>
      </c>
      <c r="H502" t="s">
        <v>134</v>
      </c>
      <c r="I502">
        <v>8.3707999999999991</v>
      </c>
      <c r="J502">
        <v>47.537100000000002</v>
      </c>
      <c r="K502">
        <v>30.057400000000001</v>
      </c>
      <c r="L502">
        <v>44.444400000000002</v>
      </c>
      <c r="M502">
        <v>52.247700000000002</v>
      </c>
      <c r="N502">
        <v>36.226700000000001</v>
      </c>
      <c r="O502">
        <v>36.226700000000001</v>
      </c>
      <c r="P502">
        <v>36.226700000000001</v>
      </c>
      <c r="Q502">
        <v>30.663599999999999</v>
      </c>
      <c r="R502">
        <v>427.30220000000003</v>
      </c>
      <c r="S502">
        <v>-50.283499999999997</v>
      </c>
      <c r="T502">
        <v>4.2047999999999996</v>
      </c>
      <c r="U502">
        <v>3.3397999999999999</v>
      </c>
      <c r="V502">
        <v>6.3452000000000002</v>
      </c>
      <c r="W502">
        <v>1.5756000000000001</v>
      </c>
      <c r="X502">
        <v>1.548</v>
      </c>
      <c r="Y502">
        <v>16.666699999999999</v>
      </c>
      <c r="Z502">
        <v>-8.4666999999999994</v>
      </c>
      <c r="AA502" t="s">
        <v>134</v>
      </c>
      <c r="AB502">
        <v>-2.4796</v>
      </c>
      <c r="AC502">
        <v>-6.024</v>
      </c>
      <c r="AD502">
        <v>-0.43830000000000002</v>
      </c>
      <c r="AE502">
        <v>1816.6996999999999</v>
      </c>
      <c r="AF502">
        <v>-1.944</v>
      </c>
      <c r="AG502" t="s">
        <v>134</v>
      </c>
      <c r="AH502" t="s">
        <v>134</v>
      </c>
      <c r="AI502">
        <v>9.4527000000000001</v>
      </c>
      <c r="AJ502">
        <v>7.5206999999999997</v>
      </c>
      <c r="AK502">
        <v>9.4527000000000001</v>
      </c>
      <c r="AL502">
        <v>118.9712</v>
      </c>
      <c r="AM502">
        <v>-8.9521999999999995</v>
      </c>
      <c r="AN502">
        <v>-4.5731000000000002</v>
      </c>
      <c r="AO502">
        <v>2.7323</v>
      </c>
      <c r="AP502">
        <v>16.098700000000001</v>
      </c>
      <c r="AQ502">
        <v>16.659600000000001</v>
      </c>
      <c r="AR502" t="s">
        <v>134</v>
      </c>
      <c r="AS502">
        <v>-20.3279</v>
      </c>
      <c r="AT502" t="s">
        <v>134</v>
      </c>
      <c r="AU502">
        <v>-19.142499999999998</v>
      </c>
      <c r="AV502">
        <v>-6.6037999999999997</v>
      </c>
      <c r="AW502" t="s">
        <v>134</v>
      </c>
      <c r="AX502">
        <v>5.0148000000000001</v>
      </c>
      <c r="AY502">
        <v>9.1243999999999996</v>
      </c>
      <c r="AZ502">
        <v>-100</v>
      </c>
      <c r="BA502">
        <v>-100</v>
      </c>
      <c r="BB502">
        <v>-0.26679999999999998</v>
      </c>
      <c r="BC502">
        <v>-3.9165999999999999</v>
      </c>
      <c r="BD502">
        <v>0.1517</v>
      </c>
      <c r="BE502">
        <v>-2.1899000000000002</v>
      </c>
      <c r="BF502">
        <v>-1.3854</v>
      </c>
      <c r="BG502">
        <v>-0.31340000000000001</v>
      </c>
      <c r="BH502">
        <v>-0.41589999999999999</v>
      </c>
      <c r="BI502">
        <v>3.5190000000000001</v>
      </c>
      <c r="BJ502">
        <v>3.6008</v>
      </c>
      <c r="BK502" t="s">
        <v>134</v>
      </c>
      <c r="BL502">
        <v>15.475199999999999</v>
      </c>
      <c r="BM502" t="s">
        <v>134</v>
      </c>
      <c r="BN502">
        <v>-0.82369999999999999</v>
      </c>
      <c r="BO502">
        <v>3.7084000000000001</v>
      </c>
      <c r="BP502" t="s">
        <v>134</v>
      </c>
      <c r="BQ502">
        <v>136.14179999999999</v>
      </c>
      <c r="BR502">
        <v>-2.4053</v>
      </c>
      <c r="BS502" t="s">
        <v>134</v>
      </c>
      <c r="BT502" t="s">
        <v>134</v>
      </c>
      <c r="BU502">
        <v>3.4893999999999998</v>
      </c>
      <c r="BV502">
        <v>3.4893999999999998</v>
      </c>
      <c r="BW502">
        <v>3.4889999999999999</v>
      </c>
      <c r="BX502">
        <v>12.583500000000001</v>
      </c>
      <c r="BY502">
        <v>0</v>
      </c>
      <c r="BZ502">
        <v>0</v>
      </c>
      <c r="CA502">
        <v>0</v>
      </c>
      <c r="CB502">
        <v>0</v>
      </c>
      <c r="CC502">
        <v>-2.0663</v>
      </c>
      <c r="CD502">
        <v>0</v>
      </c>
      <c r="CE502">
        <v>-3.2953000000000001</v>
      </c>
      <c r="CF502">
        <v>64.129000000000005</v>
      </c>
      <c r="CG502">
        <v>86.203000000000003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-38.542499999999997</v>
      </c>
      <c r="CO502">
        <v>-62.713999999999999</v>
      </c>
      <c r="CP502">
        <v>7952</v>
      </c>
      <c r="CQ502">
        <v>5056</v>
      </c>
      <c r="CR502">
        <v>5028</v>
      </c>
      <c r="CS502">
        <v>3.6006999999999998</v>
      </c>
      <c r="CT502">
        <v>4.1919000000000004</v>
      </c>
      <c r="CU502">
        <v>3.7519</v>
      </c>
      <c r="CV502">
        <v>15.0124</v>
      </c>
      <c r="CW502">
        <v>23.046299999999999</v>
      </c>
      <c r="CX502">
        <v>15.8377</v>
      </c>
      <c r="CY502" t="s">
        <v>134</v>
      </c>
      <c r="CZ502" t="s">
        <v>134</v>
      </c>
      <c r="DA502" t="s">
        <v>134</v>
      </c>
      <c r="DB502" t="s">
        <v>134</v>
      </c>
      <c r="DC502" t="s">
        <v>134</v>
      </c>
      <c r="DD502" t="s">
        <v>134</v>
      </c>
      <c r="DE502">
        <v>0</v>
      </c>
      <c r="DF502">
        <v>0</v>
      </c>
      <c r="DG502">
        <v>0</v>
      </c>
      <c r="DH502">
        <v>0</v>
      </c>
      <c r="DI502">
        <v>0</v>
      </c>
    </row>
    <row r="503" spans="1:113" x14ac:dyDescent="0.3">
      <c r="A503">
        <v>21</v>
      </c>
      <c r="B503" t="s">
        <v>124</v>
      </c>
      <c r="C503" t="s">
        <v>125</v>
      </c>
      <c r="D503" t="s">
        <v>76</v>
      </c>
      <c r="E503" t="s">
        <v>77</v>
      </c>
      <c r="F503">
        <v>14.465199999999999</v>
      </c>
      <c r="G503">
        <v>8.1402999999999999</v>
      </c>
      <c r="H503">
        <v>12.4053</v>
      </c>
      <c r="I503">
        <v>12.302099999999999</v>
      </c>
      <c r="J503">
        <v>25.822800000000001</v>
      </c>
      <c r="K503">
        <v>18.746700000000001</v>
      </c>
      <c r="L503">
        <v>31.377600000000001</v>
      </c>
      <c r="M503">
        <v>18.6877</v>
      </c>
      <c r="N503">
        <v>14.9724</v>
      </c>
      <c r="O503">
        <v>14.381500000000001</v>
      </c>
      <c r="P503">
        <v>14.381500000000001</v>
      </c>
      <c r="Q503">
        <v>19.881</v>
      </c>
      <c r="R503">
        <v>24.1663</v>
      </c>
      <c r="S503">
        <v>10.9695</v>
      </c>
      <c r="T503">
        <v>15.7727</v>
      </c>
      <c r="U503">
        <v>24.7272</v>
      </c>
      <c r="V503">
        <v>29.538900000000002</v>
      </c>
      <c r="W503">
        <v>-18.6874</v>
      </c>
      <c r="X503">
        <v>-19.145600000000002</v>
      </c>
      <c r="Y503">
        <v>-33.333300000000001</v>
      </c>
      <c r="Z503">
        <v>17.677099999999999</v>
      </c>
      <c r="AA503">
        <v>-5.4718999999999998</v>
      </c>
      <c r="AB503">
        <v>52.709899999999998</v>
      </c>
      <c r="AC503">
        <v>30.219000000000001</v>
      </c>
      <c r="AD503">
        <v>11.837899999999999</v>
      </c>
      <c r="AE503">
        <v>0.72789999999999999</v>
      </c>
      <c r="AF503">
        <v>0.49199999999999999</v>
      </c>
      <c r="AG503">
        <v>187.14619999999999</v>
      </c>
      <c r="AH503">
        <v>241.51929999999999</v>
      </c>
      <c r="AI503">
        <v>12.649000000000001</v>
      </c>
      <c r="AJ503">
        <v>31.575099999999999</v>
      </c>
      <c r="AK503">
        <v>12.3246</v>
      </c>
      <c r="AL503">
        <v>19.2254</v>
      </c>
      <c r="AM503">
        <v>12.332000000000001</v>
      </c>
      <c r="AN503">
        <v>13.232699999999999</v>
      </c>
      <c r="AO503">
        <v>13.301299999999999</v>
      </c>
      <c r="AP503">
        <v>34.755899999999997</v>
      </c>
      <c r="AQ503">
        <v>34.729199999999999</v>
      </c>
      <c r="AR503">
        <v>10.756600000000001</v>
      </c>
      <c r="AS503">
        <v>10.342600000000001</v>
      </c>
      <c r="AT503">
        <v>3.3637999999999999</v>
      </c>
      <c r="AU503">
        <v>16.208200000000001</v>
      </c>
      <c r="AV503">
        <v>17.720700000000001</v>
      </c>
      <c r="AW503">
        <v>5.6706000000000003</v>
      </c>
      <c r="AX503" t="s">
        <v>134</v>
      </c>
      <c r="AY503">
        <v>10.757300000000001</v>
      </c>
      <c r="AZ503">
        <v>-9.2556999999999992</v>
      </c>
      <c r="BA503">
        <v>10.1541</v>
      </c>
      <c r="BB503">
        <v>15.1525</v>
      </c>
      <c r="BC503">
        <v>13.962300000000001</v>
      </c>
      <c r="BD503">
        <v>14.9094</v>
      </c>
      <c r="BE503">
        <v>42.206699999999998</v>
      </c>
      <c r="BF503">
        <v>15.7727</v>
      </c>
      <c r="BG503">
        <v>24.7272</v>
      </c>
      <c r="BH503">
        <v>29.538900000000002</v>
      </c>
      <c r="BI503">
        <v>-18.6874</v>
      </c>
      <c r="BJ503">
        <v>-19.145600000000002</v>
      </c>
      <c r="BK503">
        <v>-33.333300000000001</v>
      </c>
      <c r="BL503">
        <v>17.677099999999999</v>
      </c>
      <c r="BM503">
        <v>-5.4718999999999998</v>
      </c>
      <c r="BN503">
        <v>52.709899999999998</v>
      </c>
      <c r="BO503">
        <v>30.219000000000001</v>
      </c>
      <c r="BP503">
        <v>11.837899999999999</v>
      </c>
      <c r="BQ503">
        <v>0.72789999999999999</v>
      </c>
      <c r="BR503">
        <v>0.49199999999999999</v>
      </c>
      <c r="BS503">
        <v>187.14619999999999</v>
      </c>
      <c r="BT503">
        <v>241.51929999999999</v>
      </c>
      <c r="BU503">
        <v>12.649000000000001</v>
      </c>
      <c r="BV503">
        <v>31.575099999999999</v>
      </c>
      <c r="BW503">
        <v>12.3246</v>
      </c>
      <c r="BX503">
        <v>19.2254</v>
      </c>
      <c r="BY503">
        <v>8497</v>
      </c>
      <c r="BZ503">
        <v>2435</v>
      </c>
      <c r="CA503">
        <v>6062</v>
      </c>
      <c r="CB503">
        <v>1.1435999999999999</v>
      </c>
      <c r="CC503">
        <v>-0.88060000000000005</v>
      </c>
      <c r="CD503">
        <v>1.5752999999999999</v>
      </c>
      <c r="CE503">
        <v>-1.2130000000000001</v>
      </c>
      <c r="CF503">
        <v>437.05880000000002</v>
      </c>
      <c r="CG503">
        <v>52.632800000000003</v>
      </c>
      <c r="CH503">
        <v>19.498200000000001</v>
      </c>
      <c r="CI503">
        <v>15.3131</v>
      </c>
      <c r="CJ503">
        <v>10.541499999999999</v>
      </c>
      <c r="CK503">
        <v>27.330300000000001</v>
      </c>
      <c r="CL503">
        <v>21.464099999999998</v>
      </c>
      <c r="CM503">
        <v>14.7758</v>
      </c>
      <c r="CN503">
        <v>-21.045400000000001</v>
      </c>
      <c r="CO503">
        <v>-26.655000000000001</v>
      </c>
      <c r="CP503">
        <v>7430</v>
      </c>
      <c r="CQ503">
        <v>-455</v>
      </c>
      <c r="CR503">
        <v>5394</v>
      </c>
      <c r="CS503">
        <v>1.0902000000000001</v>
      </c>
      <c r="CT503">
        <v>1.9127000000000001</v>
      </c>
      <c r="CU503">
        <v>1.5249000000000001</v>
      </c>
      <c r="CV503">
        <v>3.5566</v>
      </c>
      <c r="CW503">
        <v>5.1867000000000001</v>
      </c>
      <c r="CX503">
        <v>70.372799999999998</v>
      </c>
      <c r="CY503">
        <v>3.0594000000000001</v>
      </c>
      <c r="CZ503">
        <v>119.3062</v>
      </c>
      <c r="DA503">
        <v>3.3599000000000001</v>
      </c>
      <c r="DB503">
        <v>108.6343</v>
      </c>
      <c r="DC503">
        <v>81.044700000000006</v>
      </c>
      <c r="DD503">
        <v>189.679</v>
      </c>
      <c r="DE503">
        <v>3766</v>
      </c>
      <c r="DF503">
        <v>1039</v>
      </c>
      <c r="DG503">
        <v>1429</v>
      </c>
      <c r="DH503">
        <v>1140</v>
      </c>
      <c r="DI503">
        <v>158</v>
      </c>
    </row>
    <row r="504" spans="1:113" x14ac:dyDescent="0.3">
      <c r="E504" t="s">
        <v>78</v>
      </c>
      <c r="F504">
        <v>20.267900000000001</v>
      </c>
      <c r="G504">
        <v>11.9703</v>
      </c>
      <c r="H504">
        <v>18.366199999999999</v>
      </c>
      <c r="I504">
        <v>10.0496</v>
      </c>
      <c r="J504">
        <v>21.883800000000001</v>
      </c>
      <c r="K504">
        <v>14.939</v>
      </c>
      <c r="L504">
        <v>19.192900000000002</v>
      </c>
      <c r="M504">
        <v>18.119900000000001</v>
      </c>
      <c r="N504">
        <v>13.8436</v>
      </c>
      <c r="O504">
        <v>13.4579</v>
      </c>
      <c r="P504">
        <v>13.4579</v>
      </c>
      <c r="Q504">
        <v>23.6</v>
      </c>
      <c r="R504" t="s">
        <v>134</v>
      </c>
      <c r="S504" t="s">
        <v>134</v>
      </c>
      <c r="T504">
        <v>21.7041</v>
      </c>
      <c r="U504">
        <v>23.911999999999999</v>
      </c>
      <c r="V504">
        <v>29.721299999999999</v>
      </c>
      <c r="W504">
        <v>18.654800000000002</v>
      </c>
      <c r="X504">
        <v>18.843900000000001</v>
      </c>
      <c r="Y504" t="s">
        <v>134</v>
      </c>
      <c r="Z504">
        <v>14.09</v>
      </c>
      <c r="AA504">
        <v>0</v>
      </c>
      <c r="AB504">
        <v>12.796200000000001</v>
      </c>
      <c r="AC504">
        <v>17.316800000000001</v>
      </c>
      <c r="AD504">
        <v>-1.0327</v>
      </c>
      <c r="AE504">
        <v>50</v>
      </c>
      <c r="AF504">
        <v>23.926400000000001</v>
      </c>
      <c r="AG504">
        <v>-40.983600000000003</v>
      </c>
      <c r="AH504">
        <v>82.438999999999993</v>
      </c>
      <c r="AI504">
        <v>22.326000000000001</v>
      </c>
      <c r="AJ504">
        <v>27.137799999999999</v>
      </c>
      <c r="AK504">
        <v>19.642900000000001</v>
      </c>
      <c r="AL504" t="s">
        <v>134</v>
      </c>
      <c r="AM504">
        <v>21.3582</v>
      </c>
      <c r="AN504" t="s">
        <v>134</v>
      </c>
      <c r="AO504" t="s">
        <v>134</v>
      </c>
      <c r="AP504">
        <v>44.154499999999999</v>
      </c>
      <c r="AQ504" t="s">
        <v>134</v>
      </c>
      <c r="AR504" t="s">
        <v>134</v>
      </c>
      <c r="AS504" t="s">
        <v>134</v>
      </c>
      <c r="AT504" t="s">
        <v>134</v>
      </c>
      <c r="AU504" t="s">
        <v>134</v>
      </c>
      <c r="AV504" t="s">
        <v>134</v>
      </c>
      <c r="AW504" t="s">
        <v>134</v>
      </c>
      <c r="AX504" t="s">
        <v>134</v>
      </c>
      <c r="AY504" t="s">
        <v>134</v>
      </c>
      <c r="AZ504" t="s">
        <v>134</v>
      </c>
      <c r="BA504" t="s">
        <v>134</v>
      </c>
      <c r="BB504" t="s">
        <v>134</v>
      </c>
      <c r="BC504" t="s">
        <v>134</v>
      </c>
      <c r="BD504" t="s">
        <v>134</v>
      </c>
      <c r="BE504" t="s">
        <v>134</v>
      </c>
      <c r="BF504">
        <v>10.2584</v>
      </c>
      <c r="BG504">
        <v>47.311300000000003</v>
      </c>
      <c r="BH504">
        <v>81.007999999999996</v>
      </c>
      <c r="BI504">
        <v>-62.390900000000002</v>
      </c>
      <c r="BJ504">
        <v>-62.340699999999998</v>
      </c>
      <c r="BK504" t="s">
        <v>134</v>
      </c>
      <c r="BL504">
        <v>14.381</v>
      </c>
      <c r="BM504">
        <v>-0.60240000000000005</v>
      </c>
      <c r="BN504">
        <v>12.41</v>
      </c>
      <c r="BO504">
        <v>6.9268999999999998</v>
      </c>
      <c r="BP504">
        <v>2.2040999999999999</v>
      </c>
      <c r="BQ504">
        <v>8.9512999999999998</v>
      </c>
      <c r="BR504">
        <v>16.931999999999999</v>
      </c>
      <c r="BS504">
        <v>-15.0943</v>
      </c>
      <c r="BT504">
        <v>50.3215</v>
      </c>
      <c r="BU504">
        <v>4.4241000000000001</v>
      </c>
      <c r="BV504">
        <v>8.2195</v>
      </c>
      <c r="BW504">
        <v>4.4310999999999998</v>
      </c>
      <c r="BX504" t="s">
        <v>134</v>
      </c>
      <c r="BY504">
        <v>3740</v>
      </c>
      <c r="BZ504">
        <v>720</v>
      </c>
      <c r="CA504">
        <v>3020</v>
      </c>
      <c r="CB504">
        <v>0.66990000000000005</v>
      </c>
      <c r="CC504">
        <v>-1.6318999999999999</v>
      </c>
      <c r="CD504">
        <v>1.0016</v>
      </c>
      <c r="CE504">
        <v>-2.4397000000000002</v>
      </c>
      <c r="CF504">
        <v>400.1053</v>
      </c>
      <c r="CG504">
        <v>59.593400000000003</v>
      </c>
      <c r="CH504">
        <v>10.4788</v>
      </c>
      <c r="CI504">
        <v>9.2751999999999999</v>
      </c>
      <c r="CJ504">
        <v>6.3956</v>
      </c>
      <c r="CK504">
        <v>12.9771</v>
      </c>
      <c r="CL504">
        <v>11.486499999999999</v>
      </c>
      <c r="CM504">
        <v>7.9203999999999999</v>
      </c>
      <c r="CN504">
        <v>-31.61</v>
      </c>
      <c r="CO504">
        <v>-46.220199999999998</v>
      </c>
      <c r="CP504">
        <v>1520.4</v>
      </c>
      <c r="CQ504" t="s">
        <v>134</v>
      </c>
      <c r="CR504">
        <v>1037.9000000000001</v>
      </c>
      <c r="CS504">
        <v>1.2157</v>
      </c>
      <c r="CT504">
        <v>2.2886000000000002</v>
      </c>
      <c r="CU504">
        <v>1.7673000000000001</v>
      </c>
      <c r="CV504">
        <v>3.7887</v>
      </c>
      <c r="CW504">
        <v>4.6645000000000003</v>
      </c>
      <c r="CX504">
        <v>78.25</v>
      </c>
      <c r="CY504">
        <v>2.8134999999999999</v>
      </c>
      <c r="CZ504">
        <v>129.7312</v>
      </c>
      <c r="DA504">
        <v>3.0525000000000002</v>
      </c>
      <c r="DB504">
        <v>119.57550000000001</v>
      </c>
      <c r="DC504">
        <v>88.405799999999999</v>
      </c>
      <c r="DD504">
        <v>207.9812</v>
      </c>
      <c r="DE504">
        <v>3960</v>
      </c>
      <c r="DF504" t="s">
        <v>134</v>
      </c>
      <c r="DG504" t="s">
        <v>134</v>
      </c>
      <c r="DH504" t="s">
        <v>134</v>
      </c>
      <c r="DI504" t="s">
        <v>134</v>
      </c>
    </row>
    <row r="505" spans="1:113" x14ac:dyDescent="0.3">
      <c r="E505" t="s">
        <v>79</v>
      </c>
      <c r="F505">
        <v>19.936199999999999</v>
      </c>
      <c r="G505">
        <v>12.306699999999999</v>
      </c>
      <c r="H505">
        <v>17.964500000000001</v>
      </c>
      <c r="I505">
        <v>9.9999000000000002</v>
      </c>
      <c r="J505">
        <v>23.952300000000001</v>
      </c>
      <c r="K505">
        <v>17.13</v>
      </c>
      <c r="L505">
        <v>12.446199999999999</v>
      </c>
      <c r="M505">
        <v>18.6813</v>
      </c>
      <c r="N505">
        <v>14.337899999999999</v>
      </c>
      <c r="O505">
        <v>13.9129</v>
      </c>
      <c r="P505">
        <v>13.9129</v>
      </c>
      <c r="Q505">
        <v>23.2502</v>
      </c>
      <c r="R505" t="s">
        <v>134</v>
      </c>
      <c r="S505" t="s">
        <v>134</v>
      </c>
      <c r="T505">
        <v>23.938199999999998</v>
      </c>
      <c r="U505">
        <v>15.144399999999999</v>
      </c>
      <c r="V505">
        <v>16.3245</v>
      </c>
      <c r="W505">
        <v>13.943099999999999</v>
      </c>
      <c r="X505">
        <v>13.3772</v>
      </c>
      <c r="Y505" t="s">
        <v>134</v>
      </c>
      <c r="Z505">
        <v>15.8102</v>
      </c>
      <c r="AA505">
        <v>4.1898</v>
      </c>
      <c r="AB505">
        <v>21.620799999999999</v>
      </c>
      <c r="AC505">
        <v>21.090800000000002</v>
      </c>
      <c r="AD505">
        <v>2.2183999999999999</v>
      </c>
      <c r="AE505">
        <v>53.427500000000002</v>
      </c>
      <c r="AF505">
        <v>26.810400000000001</v>
      </c>
      <c r="AG505">
        <v>-46.6068</v>
      </c>
      <c r="AH505">
        <v>58.730199999999996</v>
      </c>
      <c r="AI505">
        <v>22.4084</v>
      </c>
      <c r="AJ505">
        <v>25.8245</v>
      </c>
      <c r="AK505">
        <v>19.721299999999999</v>
      </c>
      <c r="AL505" t="s">
        <v>134</v>
      </c>
      <c r="AM505">
        <v>10.8184</v>
      </c>
      <c r="AN505" t="s">
        <v>134</v>
      </c>
      <c r="AO505" t="s">
        <v>134</v>
      </c>
      <c r="AP505">
        <v>32.492199999999997</v>
      </c>
      <c r="AQ505" t="s">
        <v>134</v>
      </c>
      <c r="AR505" t="s">
        <v>134</v>
      </c>
      <c r="AS505" t="s">
        <v>134</v>
      </c>
      <c r="AT505" t="s">
        <v>134</v>
      </c>
      <c r="AU505" t="s">
        <v>134</v>
      </c>
      <c r="AV505" t="s">
        <v>134</v>
      </c>
      <c r="AW505" t="s">
        <v>134</v>
      </c>
      <c r="AX505" t="s">
        <v>134</v>
      </c>
      <c r="AY505" t="s">
        <v>134</v>
      </c>
      <c r="AZ505" t="s">
        <v>134</v>
      </c>
      <c r="BA505" t="s">
        <v>134</v>
      </c>
      <c r="BB505" t="s">
        <v>134</v>
      </c>
      <c r="BC505" t="s">
        <v>134</v>
      </c>
      <c r="BD505" t="s">
        <v>134</v>
      </c>
      <c r="BE505" t="s">
        <v>134</v>
      </c>
      <c r="BF505">
        <v>5.6782000000000004</v>
      </c>
      <c r="BG505">
        <v>15.6669</v>
      </c>
      <c r="BH505">
        <v>21.177399999999999</v>
      </c>
      <c r="BI505">
        <v>9.2513000000000005</v>
      </c>
      <c r="BJ505">
        <v>9.3020999999999994</v>
      </c>
      <c r="BK505" t="s">
        <v>134</v>
      </c>
      <c r="BL505">
        <v>0</v>
      </c>
      <c r="BM505">
        <v>6.5656999999999996</v>
      </c>
      <c r="BN505">
        <v>7.5105000000000004</v>
      </c>
      <c r="BO505">
        <v>1.0377000000000001</v>
      </c>
      <c r="BP505">
        <v>6.2609000000000004</v>
      </c>
      <c r="BQ505">
        <v>1.8355000000000001</v>
      </c>
      <c r="BR505">
        <v>-2.4752000000000001</v>
      </c>
      <c r="BS505">
        <v>-4.1666999999999996</v>
      </c>
      <c r="BT505">
        <v>8.0213999999999999</v>
      </c>
      <c r="BU505">
        <v>4.1291000000000002</v>
      </c>
      <c r="BV505">
        <v>4.5762</v>
      </c>
      <c r="BW505">
        <v>4.1222000000000003</v>
      </c>
      <c r="BX505" t="s">
        <v>134</v>
      </c>
      <c r="BY505">
        <v>4040</v>
      </c>
      <c r="BZ505">
        <v>690</v>
      </c>
      <c r="CA505">
        <v>3350</v>
      </c>
      <c r="CB505">
        <v>0.69489999999999996</v>
      </c>
      <c r="CC505">
        <v>-1.2556</v>
      </c>
      <c r="CD505">
        <v>1.0330999999999999</v>
      </c>
      <c r="CE505">
        <v>-1.8668</v>
      </c>
      <c r="CF505">
        <v>517.23530000000005</v>
      </c>
      <c r="CG505">
        <v>61.412700000000001</v>
      </c>
      <c r="CH505">
        <v>11.1629</v>
      </c>
      <c r="CI505">
        <v>9.8384999999999998</v>
      </c>
      <c r="CJ505">
        <v>7.0216000000000003</v>
      </c>
      <c r="CK505">
        <v>13.462199999999999</v>
      </c>
      <c r="CL505">
        <v>11.8649</v>
      </c>
      <c r="CM505">
        <v>8.4678000000000004</v>
      </c>
      <c r="CN505">
        <v>-24.325199999999999</v>
      </c>
      <c r="CO505">
        <v>-32.144399999999997</v>
      </c>
      <c r="CP505">
        <v>1758.6</v>
      </c>
      <c r="CQ505" t="s">
        <v>134</v>
      </c>
      <c r="CR505">
        <v>1257.7</v>
      </c>
      <c r="CS505">
        <v>1.2530000000000001</v>
      </c>
      <c r="CT505">
        <v>2.5326</v>
      </c>
      <c r="CU505">
        <v>1.8972</v>
      </c>
      <c r="CV505">
        <v>4.3089000000000004</v>
      </c>
      <c r="CW505">
        <v>4.9581999999999997</v>
      </c>
      <c r="CX505">
        <v>73.615700000000004</v>
      </c>
      <c r="CY505">
        <v>2.8806000000000003</v>
      </c>
      <c r="CZ505">
        <v>126.7088</v>
      </c>
      <c r="DA505">
        <v>3.4287999999999998</v>
      </c>
      <c r="DB505">
        <v>106.4502</v>
      </c>
      <c r="DC505">
        <v>93.874300000000005</v>
      </c>
      <c r="DD505">
        <v>200.3245</v>
      </c>
      <c r="DE505">
        <v>4220</v>
      </c>
      <c r="DF505" t="s">
        <v>134</v>
      </c>
      <c r="DG505" t="s">
        <v>134</v>
      </c>
      <c r="DH505" t="s">
        <v>134</v>
      </c>
      <c r="DI505" t="s">
        <v>134</v>
      </c>
    </row>
    <row r="506" spans="1:113" x14ac:dyDescent="0.3">
      <c r="E506" t="s">
        <v>80</v>
      </c>
      <c r="F506">
        <v>19.6829</v>
      </c>
      <c r="G506">
        <v>11.8988</v>
      </c>
      <c r="H506">
        <v>17.483000000000001</v>
      </c>
      <c r="I506">
        <v>10.052</v>
      </c>
      <c r="J506">
        <v>25.075600000000001</v>
      </c>
      <c r="K506">
        <v>17.7591</v>
      </c>
      <c r="L506">
        <v>30.430199999999999</v>
      </c>
      <c r="M506">
        <v>19.474900000000002</v>
      </c>
      <c r="N506">
        <v>15.7439</v>
      </c>
      <c r="O506">
        <v>14.973800000000001</v>
      </c>
      <c r="P506">
        <v>14.973800000000001</v>
      </c>
      <c r="Q506">
        <v>19.157800000000002</v>
      </c>
      <c r="R506" t="s">
        <v>134</v>
      </c>
      <c r="S506" t="s">
        <v>134</v>
      </c>
      <c r="T506">
        <v>10.5547</v>
      </c>
      <c r="U506">
        <v>16.994900000000001</v>
      </c>
      <c r="V506">
        <v>19.558299999999999</v>
      </c>
      <c r="W506">
        <v>14.417999999999999</v>
      </c>
      <c r="X506">
        <v>14.1934</v>
      </c>
      <c r="Y506" t="s">
        <v>134</v>
      </c>
      <c r="Z506">
        <v>11.091200000000001</v>
      </c>
      <c r="AA506">
        <v>3.0232999999999999</v>
      </c>
      <c r="AB506">
        <v>35.872100000000003</v>
      </c>
      <c r="AC506">
        <v>22.995200000000001</v>
      </c>
      <c r="AD506">
        <v>7.4960000000000004</v>
      </c>
      <c r="AE506">
        <v>25.6769</v>
      </c>
      <c r="AF506">
        <v>7.7347999999999999</v>
      </c>
      <c r="AG506">
        <v>-38</v>
      </c>
      <c r="AH506">
        <v>108.9494</v>
      </c>
      <c r="AI506">
        <v>22.039200000000001</v>
      </c>
      <c r="AJ506">
        <v>29.996400000000001</v>
      </c>
      <c r="AK506">
        <v>19.2927</v>
      </c>
      <c r="AL506" t="s">
        <v>134</v>
      </c>
      <c r="AM506">
        <v>9.9583999999999993</v>
      </c>
      <c r="AN506">
        <v>12.6035</v>
      </c>
      <c r="AO506">
        <v>12.1995</v>
      </c>
      <c r="AP506">
        <v>30.070799999999998</v>
      </c>
      <c r="AQ506">
        <v>29.821400000000001</v>
      </c>
      <c r="AR506" t="s">
        <v>134</v>
      </c>
      <c r="AS506" t="s">
        <v>134</v>
      </c>
      <c r="AT506" t="s">
        <v>134</v>
      </c>
      <c r="AU506" t="s">
        <v>134</v>
      </c>
      <c r="AV506" t="s">
        <v>134</v>
      </c>
      <c r="AW506" t="s">
        <v>134</v>
      </c>
      <c r="AX506" t="s">
        <v>134</v>
      </c>
      <c r="AY506" t="s">
        <v>134</v>
      </c>
      <c r="AZ506" t="s">
        <v>134</v>
      </c>
      <c r="BA506" t="s">
        <v>134</v>
      </c>
      <c r="BB506" t="s">
        <v>134</v>
      </c>
      <c r="BC506" t="s">
        <v>134</v>
      </c>
      <c r="BD506" t="s">
        <v>134</v>
      </c>
      <c r="BE506" t="s">
        <v>134</v>
      </c>
      <c r="BF506">
        <v>-4.5014000000000003</v>
      </c>
      <c r="BG506">
        <v>-2.2700000000000001E-2</v>
      </c>
      <c r="BH506">
        <v>-0.99390000000000001</v>
      </c>
      <c r="BI506">
        <v>2.7801999999999998</v>
      </c>
      <c r="BJ506">
        <v>2.7079</v>
      </c>
      <c r="BK506" t="s">
        <v>134</v>
      </c>
      <c r="BL506">
        <v>6.5179999999999998</v>
      </c>
      <c r="BM506">
        <v>4.9763000000000002</v>
      </c>
      <c r="BN506">
        <v>14.1671</v>
      </c>
      <c r="BO506">
        <v>6.7280999999999995</v>
      </c>
      <c r="BP506">
        <v>10.311</v>
      </c>
      <c r="BQ506">
        <v>3.7490999999999999</v>
      </c>
      <c r="BR506">
        <v>-1.0152000000000001</v>
      </c>
      <c r="BS506">
        <v>-10.1449</v>
      </c>
      <c r="BT506">
        <v>32.9208</v>
      </c>
      <c r="BU506">
        <v>3.6987999999999999</v>
      </c>
      <c r="BV506">
        <v>7.1658999999999997</v>
      </c>
      <c r="BW506">
        <v>3.6177000000000001</v>
      </c>
      <c r="BX506" t="s">
        <v>134</v>
      </c>
      <c r="BY506">
        <v>5370</v>
      </c>
      <c r="BZ506">
        <v>620</v>
      </c>
      <c r="CA506">
        <v>4750</v>
      </c>
      <c r="CB506">
        <v>0.88480000000000003</v>
      </c>
      <c r="CC506">
        <v>-0.84360000000000002</v>
      </c>
      <c r="CD506">
        <v>1.3052000000000001</v>
      </c>
      <c r="CE506">
        <v>-1.2444999999999999</v>
      </c>
      <c r="CF506">
        <v>676.23080000000004</v>
      </c>
      <c r="CG506">
        <v>59.622900000000001</v>
      </c>
      <c r="CH506">
        <v>15.263500000000001</v>
      </c>
      <c r="CI506">
        <v>13.017300000000001</v>
      </c>
      <c r="CJ506">
        <v>9.3284000000000002</v>
      </c>
      <c r="CK506">
        <v>17.255800000000001</v>
      </c>
      <c r="CL506">
        <v>14.7164</v>
      </c>
      <c r="CM506">
        <v>10.545999999999999</v>
      </c>
      <c r="CN506">
        <v>-16.452400000000001</v>
      </c>
      <c r="CO506">
        <v>-19.692299999999999</v>
      </c>
      <c r="CP506">
        <v>1758.2</v>
      </c>
      <c r="CQ506" t="s">
        <v>134</v>
      </c>
      <c r="CR506">
        <v>1245.2</v>
      </c>
      <c r="CS506">
        <v>1.149</v>
      </c>
      <c r="CT506">
        <v>2.5760999999999998</v>
      </c>
      <c r="CU506">
        <v>1.8290999999999999</v>
      </c>
      <c r="CV506">
        <v>4.7641999999999998</v>
      </c>
      <c r="CW506">
        <v>4.6783999999999999</v>
      </c>
      <c r="CX506">
        <v>78.018299999999996</v>
      </c>
      <c r="CY506">
        <v>2.7726999999999999</v>
      </c>
      <c r="CZ506">
        <v>131.63990000000001</v>
      </c>
      <c r="DA506">
        <v>3.2534000000000001</v>
      </c>
      <c r="DB506">
        <v>112.1893</v>
      </c>
      <c r="DC506">
        <v>97.468999999999994</v>
      </c>
      <c r="DD506">
        <v>209.65819999999999</v>
      </c>
      <c r="DE506">
        <v>4430</v>
      </c>
      <c r="DF506" t="s">
        <v>134</v>
      </c>
      <c r="DG506" t="s">
        <v>134</v>
      </c>
      <c r="DH506" t="s">
        <v>134</v>
      </c>
      <c r="DI506" t="s">
        <v>134</v>
      </c>
    </row>
    <row r="507" spans="1:113" x14ac:dyDescent="0.3">
      <c r="E507" t="s">
        <v>81</v>
      </c>
      <c r="F507">
        <v>14.462400000000001</v>
      </c>
      <c r="G507">
        <v>8.1387</v>
      </c>
      <c r="H507">
        <v>12.4041</v>
      </c>
      <c r="I507">
        <v>9.6837</v>
      </c>
      <c r="J507">
        <v>17.985299999999999</v>
      </c>
      <c r="K507">
        <v>10.5122</v>
      </c>
      <c r="L507">
        <v>20.136299999999999</v>
      </c>
      <c r="M507">
        <v>19.106300000000001</v>
      </c>
      <c r="N507">
        <v>16.456099999999999</v>
      </c>
      <c r="O507">
        <v>15.6493</v>
      </c>
      <c r="P507">
        <v>15.6493</v>
      </c>
      <c r="Q507">
        <v>13.870799999999999</v>
      </c>
      <c r="R507" t="s">
        <v>134</v>
      </c>
      <c r="S507" t="s">
        <v>134</v>
      </c>
      <c r="T507">
        <v>14.675000000000001</v>
      </c>
      <c r="U507">
        <v>25.917999999999999</v>
      </c>
      <c r="V507">
        <v>32.472999999999999</v>
      </c>
      <c r="W507">
        <v>-54.515099999999997</v>
      </c>
      <c r="X507">
        <v>-54.697499999999998</v>
      </c>
      <c r="Y507" t="s">
        <v>134</v>
      </c>
      <c r="Z507">
        <v>17.677099999999999</v>
      </c>
      <c r="AA507">
        <v>-5.4718999999999998</v>
      </c>
      <c r="AB507">
        <v>52.709899999999998</v>
      </c>
      <c r="AC507">
        <v>30.219000000000001</v>
      </c>
      <c r="AD507">
        <v>11.837899999999999</v>
      </c>
      <c r="AE507">
        <v>0.72789999999999999</v>
      </c>
      <c r="AF507">
        <v>0.49199999999999999</v>
      </c>
      <c r="AG507">
        <v>187.14619999999999</v>
      </c>
      <c r="AH507">
        <v>241.51929999999999</v>
      </c>
      <c r="AI507">
        <v>12.649000000000001</v>
      </c>
      <c r="AJ507">
        <v>31.575099999999999</v>
      </c>
      <c r="AK507">
        <v>12.3246</v>
      </c>
      <c r="AL507" t="s">
        <v>134</v>
      </c>
      <c r="AM507">
        <v>9.1572999999999993</v>
      </c>
      <c r="AN507">
        <v>7.2557999999999998</v>
      </c>
      <c r="AO507">
        <v>4.5049000000000001</v>
      </c>
      <c r="AP507">
        <v>35.365200000000002</v>
      </c>
      <c r="AQ507">
        <v>35.191200000000002</v>
      </c>
      <c r="AR507" t="s">
        <v>134</v>
      </c>
      <c r="AS507">
        <v>10.342600000000001</v>
      </c>
      <c r="AT507">
        <v>3.3637999999999999</v>
      </c>
      <c r="AU507">
        <v>16.208200000000001</v>
      </c>
      <c r="AV507">
        <v>17.720700000000001</v>
      </c>
      <c r="AW507">
        <v>5.6706000000000003</v>
      </c>
      <c r="AX507" t="s">
        <v>134</v>
      </c>
      <c r="AY507" t="s">
        <v>134</v>
      </c>
      <c r="AZ507">
        <v>-9.2556999999999992</v>
      </c>
      <c r="BA507">
        <v>10.1541</v>
      </c>
      <c r="BB507">
        <v>15.1525</v>
      </c>
      <c r="BC507">
        <v>13.962300000000001</v>
      </c>
      <c r="BD507">
        <v>14.9094</v>
      </c>
      <c r="BE507" t="s">
        <v>134</v>
      </c>
      <c r="BF507">
        <v>3.0564</v>
      </c>
      <c r="BG507">
        <v>-26.083500000000001</v>
      </c>
      <c r="BH507">
        <v>-38.997799999999998</v>
      </c>
      <c r="BI507">
        <v>7.7054999999999998</v>
      </c>
      <c r="BJ507">
        <v>7.1562999999999999</v>
      </c>
      <c r="BK507" t="s">
        <v>134</v>
      </c>
      <c r="BL507">
        <v>-3.4138000000000002</v>
      </c>
      <c r="BM507">
        <v>-14.9887</v>
      </c>
      <c r="BN507">
        <v>10.680400000000001</v>
      </c>
      <c r="BO507">
        <v>12.933999999999999</v>
      </c>
      <c r="BP507">
        <v>-6.6469000000000005</v>
      </c>
      <c r="BQ507">
        <v>-12.4948</v>
      </c>
      <c r="BR507">
        <v>-10.974399999999999</v>
      </c>
      <c r="BS507">
        <v>292.74189999999999</v>
      </c>
      <c r="BT507">
        <v>58.230899999999998</v>
      </c>
      <c r="BU507">
        <v>-9.64E-2</v>
      </c>
      <c r="BV507">
        <v>8.4872999999999994</v>
      </c>
      <c r="BW507">
        <v>-0.30630000000000002</v>
      </c>
      <c r="BX507" t="s">
        <v>134</v>
      </c>
      <c r="BY507">
        <v>8497</v>
      </c>
      <c r="BZ507">
        <v>2435</v>
      </c>
      <c r="CA507">
        <v>6062</v>
      </c>
      <c r="CB507">
        <v>1.3409</v>
      </c>
      <c r="CC507">
        <v>-1.0325</v>
      </c>
      <c r="CD507">
        <v>1.9759</v>
      </c>
      <c r="CE507">
        <v>-1.5215000000000001</v>
      </c>
      <c r="CF507">
        <v>178.0274</v>
      </c>
      <c r="CG507">
        <v>52.632800000000003</v>
      </c>
      <c r="CH507">
        <v>19.498200000000001</v>
      </c>
      <c r="CI507">
        <v>15.3131</v>
      </c>
      <c r="CJ507">
        <v>10.541499999999999</v>
      </c>
      <c r="CK507">
        <v>27.330300000000001</v>
      </c>
      <c r="CL507">
        <v>21.464099999999998</v>
      </c>
      <c r="CM507">
        <v>14.7758</v>
      </c>
      <c r="CN507">
        <v>-21.045400000000001</v>
      </c>
      <c r="CO507">
        <v>-26.655000000000001</v>
      </c>
      <c r="CP507">
        <v>1299.5999999999999</v>
      </c>
      <c r="CQ507" t="s">
        <v>134</v>
      </c>
      <c r="CR507">
        <v>759.6</v>
      </c>
      <c r="CS507">
        <v>1.0902000000000001</v>
      </c>
      <c r="CT507">
        <v>1.9127000000000001</v>
      </c>
      <c r="CU507">
        <v>1.5249000000000001</v>
      </c>
      <c r="CV507">
        <v>3.5566</v>
      </c>
      <c r="CW507">
        <v>5.1424000000000003</v>
      </c>
      <c r="CX507">
        <v>70.979200000000006</v>
      </c>
      <c r="CY507">
        <v>3.0592000000000001</v>
      </c>
      <c r="CZ507">
        <v>119.31319999999999</v>
      </c>
      <c r="DA507">
        <v>3.3597000000000001</v>
      </c>
      <c r="DB507">
        <v>108.6408</v>
      </c>
      <c r="DC507">
        <v>81.651600000000002</v>
      </c>
      <c r="DD507">
        <v>190.29239999999999</v>
      </c>
      <c r="DE507">
        <v>3766</v>
      </c>
      <c r="DF507">
        <v>1039</v>
      </c>
      <c r="DG507">
        <v>1429</v>
      </c>
      <c r="DH507">
        <v>1140</v>
      </c>
      <c r="DI507">
        <v>158</v>
      </c>
    </row>
    <row r="508" spans="1:113" x14ac:dyDescent="0.3">
      <c r="D508" t="s">
        <v>82</v>
      </c>
      <c r="E508" t="s">
        <v>77</v>
      </c>
      <c r="F508">
        <v>15.7972</v>
      </c>
      <c r="G508">
        <v>8.2039000000000009</v>
      </c>
      <c r="H508">
        <v>12.581300000000001</v>
      </c>
      <c r="I508">
        <v>10.737500000000001</v>
      </c>
      <c r="J508">
        <v>24.2378</v>
      </c>
      <c r="K508">
        <v>17.0852</v>
      </c>
      <c r="L508" t="s">
        <v>134</v>
      </c>
      <c r="M508">
        <v>20.198699999999999</v>
      </c>
      <c r="N508">
        <v>17.101400000000002</v>
      </c>
      <c r="O508">
        <v>16.098099999999999</v>
      </c>
      <c r="P508">
        <v>16.098099999999999</v>
      </c>
      <c r="Q508">
        <v>15.334099999999999</v>
      </c>
      <c r="R508">
        <v>20.104500000000002</v>
      </c>
      <c r="S508">
        <v>12.6213</v>
      </c>
      <c r="T508">
        <v>7.3853999999999997</v>
      </c>
      <c r="U508">
        <v>0.79410000000000003</v>
      </c>
      <c r="V508">
        <v>-2.1320000000000001</v>
      </c>
      <c r="W508">
        <v>20.202999999999999</v>
      </c>
      <c r="X508">
        <v>19.452400000000001</v>
      </c>
      <c r="Y508">
        <v>0</v>
      </c>
      <c r="Z508">
        <v>28.459499999999998</v>
      </c>
      <c r="AA508">
        <v>20.207100000000001</v>
      </c>
      <c r="AB508">
        <v>18.8626</v>
      </c>
      <c r="AC508">
        <v>10.865</v>
      </c>
      <c r="AD508">
        <v>26.176100000000002</v>
      </c>
      <c r="AE508">
        <v>-19.957100000000001</v>
      </c>
      <c r="AF508">
        <v>23.6463</v>
      </c>
      <c r="AG508">
        <v>7.1868999999999996</v>
      </c>
      <c r="AH508">
        <v>21.289899999999999</v>
      </c>
      <c r="AI508">
        <v>10.736599999999999</v>
      </c>
      <c r="AJ508">
        <v>13.0017</v>
      </c>
      <c r="AK508">
        <v>8.0582999999999991</v>
      </c>
      <c r="AL508">
        <v>-59.536900000000003</v>
      </c>
      <c r="AM508">
        <v>8.6964000000000006</v>
      </c>
      <c r="AN508">
        <v>8.5485000000000007</v>
      </c>
      <c r="AO508">
        <v>8.1495999999999995</v>
      </c>
      <c r="AP508">
        <v>11.1464</v>
      </c>
      <c r="AQ508">
        <v>10.8788</v>
      </c>
      <c r="AR508">
        <v>7.3940999999999999</v>
      </c>
      <c r="AS508">
        <v>11.5482</v>
      </c>
      <c r="AT508">
        <v>4.0247000000000002</v>
      </c>
      <c r="AU508">
        <v>19.898199999999999</v>
      </c>
      <c r="AV508">
        <v>16.7745</v>
      </c>
      <c r="AW508">
        <v>6.2278000000000002</v>
      </c>
      <c r="AX508">
        <v>14.5036</v>
      </c>
      <c r="AY508">
        <v>13.2097</v>
      </c>
      <c r="AZ508" t="s">
        <v>134</v>
      </c>
      <c r="BA508">
        <v>14.945399999999999</v>
      </c>
      <c r="BB508">
        <v>13.954599999999999</v>
      </c>
      <c r="BC508">
        <v>14.1784</v>
      </c>
      <c r="BD508">
        <v>13.221500000000001</v>
      </c>
      <c r="BE508">
        <v>-11.1751</v>
      </c>
      <c r="BF508">
        <v>7.3853999999999997</v>
      </c>
      <c r="BG508">
        <v>0.79410000000000003</v>
      </c>
      <c r="BH508">
        <v>-2.1320000000000001</v>
      </c>
      <c r="BI508">
        <v>20.202999999999999</v>
      </c>
      <c r="BJ508">
        <v>19.452400000000001</v>
      </c>
      <c r="BK508">
        <v>0</v>
      </c>
      <c r="BL508">
        <v>28.459499999999998</v>
      </c>
      <c r="BM508">
        <v>20.207100000000001</v>
      </c>
      <c r="BN508">
        <v>18.8626</v>
      </c>
      <c r="BO508">
        <v>10.865</v>
      </c>
      <c r="BP508">
        <v>26.176100000000002</v>
      </c>
      <c r="BQ508">
        <v>-19.957100000000001</v>
      </c>
      <c r="BR508">
        <v>23.6463</v>
      </c>
      <c r="BS508">
        <v>7.1868999999999996</v>
      </c>
      <c r="BT508">
        <v>21.289899999999999</v>
      </c>
      <c r="BU508">
        <v>10.736599999999999</v>
      </c>
      <c r="BV508">
        <v>13.0017</v>
      </c>
      <c r="BW508">
        <v>8.0582999999999991</v>
      </c>
      <c r="BX508">
        <v>-59.536900000000003</v>
      </c>
      <c r="BY508">
        <v>10306</v>
      </c>
      <c r="BZ508">
        <v>2610</v>
      </c>
      <c r="CA508">
        <v>7696</v>
      </c>
      <c r="CB508">
        <v>1.3761999999999999</v>
      </c>
      <c r="CC508">
        <v>-0.182</v>
      </c>
      <c r="CD508">
        <v>1.9523000000000001</v>
      </c>
      <c r="CE508">
        <v>-0.25819999999999999</v>
      </c>
      <c r="CF508">
        <v>312.04169999999999</v>
      </c>
      <c r="CG508">
        <v>51.3003</v>
      </c>
      <c r="CH508">
        <v>22.353899999999999</v>
      </c>
      <c r="CI508">
        <v>17.203900000000001</v>
      </c>
      <c r="CJ508">
        <v>12.071400000000001</v>
      </c>
      <c r="CK508">
        <v>29.934899999999999</v>
      </c>
      <c r="CL508">
        <v>23.038399999999999</v>
      </c>
      <c r="CM508">
        <v>16.165299999999998</v>
      </c>
      <c r="CN508">
        <v>-3.9590000000000001</v>
      </c>
      <c r="CO508">
        <v>-4.1222000000000003</v>
      </c>
      <c r="CP508">
        <v>7489</v>
      </c>
      <c r="CQ508">
        <v>-892</v>
      </c>
      <c r="CR508">
        <v>5279</v>
      </c>
      <c r="CS508">
        <v>0.75060000000000004</v>
      </c>
      <c r="CT508">
        <v>1.6482999999999999</v>
      </c>
      <c r="CU508">
        <v>1.2462</v>
      </c>
      <c r="CV508">
        <v>3.4628000000000001</v>
      </c>
      <c r="CW508">
        <v>4.5097000000000005</v>
      </c>
      <c r="CX508">
        <v>80.937200000000004</v>
      </c>
      <c r="CY508">
        <v>3.1545000000000001</v>
      </c>
      <c r="CZ508">
        <v>115.7089</v>
      </c>
      <c r="DA508">
        <v>3.5649999999999999</v>
      </c>
      <c r="DB508">
        <v>102.38509999999999</v>
      </c>
      <c r="DC508">
        <v>94.260999999999996</v>
      </c>
      <c r="DD508">
        <v>196.64609999999999</v>
      </c>
      <c r="DE508">
        <v>4527</v>
      </c>
      <c r="DF508">
        <v>1205</v>
      </c>
      <c r="DG508">
        <v>1436</v>
      </c>
      <c r="DH508">
        <v>1357</v>
      </c>
      <c r="DI508">
        <v>529</v>
      </c>
    </row>
    <row r="509" spans="1:113" x14ac:dyDescent="0.3">
      <c r="E509" t="s">
        <v>78</v>
      </c>
      <c r="F509">
        <v>14.227600000000001</v>
      </c>
      <c r="G509">
        <v>7.9431000000000003</v>
      </c>
      <c r="H509">
        <v>11.967499999999999</v>
      </c>
      <c r="I509">
        <v>9.5375999999999994</v>
      </c>
      <c r="J509">
        <v>24.1983</v>
      </c>
      <c r="K509">
        <v>16.9739</v>
      </c>
      <c r="L509">
        <v>75.758799999999994</v>
      </c>
      <c r="M509">
        <v>19.206700000000001</v>
      </c>
      <c r="N509">
        <v>14.9094</v>
      </c>
      <c r="O509">
        <v>14.316700000000001</v>
      </c>
      <c r="P509">
        <v>14.316700000000001</v>
      </c>
      <c r="Q509">
        <v>22.374300000000002</v>
      </c>
      <c r="R509" t="s">
        <v>134</v>
      </c>
      <c r="S509" t="s">
        <v>134</v>
      </c>
      <c r="T509">
        <v>3.4615999999999998</v>
      </c>
      <c r="U509">
        <v>14.4041</v>
      </c>
      <c r="V509">
        <v>17.5547</v>
      </c>
      <c r="W509">
        <v>10.0642</v>
      </c>
      <c r="X509">
        <v>9.9367999999999999</v>
      </c>
      <c r="Y509" t="s">
        <v>134</v>
      </c>
      <c r="Z509">
        <v>13.893700000000001</v>
      </c>
      <c r="AA509">
        <v>-4.2929000000000004</v>
      </c>
      <c r="AB509">
        <v>48.004199999999997</v>
      </c>
      <c r="AC509">
        <v>25.624700000000001</v>
      </c>
      <c r="AD509">
        <v>3.8260999999999998</v>
      </c>
      <c r="AE509">
        <v>-6.3876999999999997</v>
      </c>
      <c r="AF509">
        <v>10.396000000000001</v>
      </c>
      <c r="AG509">
        <v>215.27780000000001</v>
      </c>
      <c r="AH509">
        <v>148.93049999999999</v>
      </c>
      <c r="AI509">
        <v>11.762700000000001</v>
      </c>
      <c r="AJ509">
        <v>27.5184</v>
      </c>
      <c r="AK509">
        <v>11.371700000000001</v>
      </c>
      <c r="AL509" t="s">
        <v>134</v>
      </c>
      <c r="AM509">
        <v>7.7057000000000002</v>
      </c>
      <c r="AN509">
        <v>10.855399999999999</v>
      </c>
      <c r="AO509">
        <v>11.2926</v>
      </c>
      <c r="AP509">
        <v>12.287599999999999</v>
      </c>
      <c r="AQ509">
        <v>12.388400000000001</v>
      </c>
      <c r="AR509" t="s">
        <v>134</v>
      </c>
      <c r="AS509" t="s">
        <v>134</v>
      </c>
      <c r="AT509" t="s">
        <v>134</v>
      </c>
      <c r="AU509" t="s">
        <v>134</v>
      </c>
      <c r="AV509" t="s">
        <v>134</v>
      </c>
      <c r="AW509" t="s">
        <v>134</v>
      </c>
      <c r="AX509" t="s">
        <v>134</v>
      </c>
      <c r="AY509" t="s">
        <v>134</v>
      </c>
      <c r="AZ509" t="s">
        <v>134</v>
      </c>
      <c r="BA509" t="s">
        <v>134</v>
      </c>
      <c r="BB509" t="s">
        <v>134</v>
      </c>
      <c r="BC509" t="s">
        <v>134</v>
      </c>
      <c r="BD509" t="s">
        <v>134</v>
      </c>
      <c r="BE509" t="s">
        <v>134</v>
      </c>
      <c r="BF509">
        <v>-0.52310000000000001</v>
      </c>
      <c r="BG509">
        <v>33.841200000000001</v>
      </c>
      <c r="BH509">
        <v>60.624000000000002</v>
      </c>
      <c r="BI509">
        <v>-8.9936000000000007</v>
      </c>
      <c r="BJ509">
        <v>-8.6112000000000002</v>
      </c>
      <c r="BK509" t="s">
        <v>134</v>
      </c>
      <c r="BL509">
        <v>10.7036</v>
      </c>
      <c r="BM509">
        <v>0.63729999999999998</v>
      </c>
      <c r="BN509">
        <v>8.9460999999999995</v>
      </c>
      <c r="BO509">
        <v>3.1545000000000001</v>
      </c>
      <c r="BP509">
        <v>-5.1176000000000004</v>
      </c>
      <c r="BQ509">
        <v>1.2547999999999999</v>
      </c>
      <c r="BR509">
        <v>28.456199999999999</v>
      </c>
      <c r="BS509">
        <v>-6.7762000000000002</v>
      </c>
      <c r="BT509">
        <v>9.5680999999999994</v>
      </c>
      <c r="BU509">
        <v>3.6024000000000003</v>
      </c>
      <c r="BV509">
        <v>4.8829000000000002</v>
      </c>
      <c r="BW509">
        <v>3.5451000000000001</v>
      </c>
      <c r="BX509" t="s">
        <v>134</v>
      </c>
      <c r="BY509">
        <v>9310</v>
      </c>
      <c r="BZ509">
        <v>2270</v>
      </c>
      <c r="CA509">
        <v>7040</v>
      </c>
      <c r="CB509">
        <v>1.4200999999999999</v>
      </c>
      <c r="CC509">
        <v>-0.63</v>
      </c>
      <c r="CD509">
        <v>2.0769000000000002</v>
      </c>
      <c r="CE509">
        <v>-0.92130000000000001</v>
      </c>
      <c r="CF509">
        <v>299.89659999999998</v>
      </c>
      <c r="CG509">
        <v>52.832099999999997</v>
      </c>
      <c r="CH509">
        <v>21.8566</v>
      </c>
      <c r="CI509">
        <v>16.9557</v>
      </c>
      <c r="CJ509">
        <v>11.867800000000001</v>
      </c>
      <c r="CK509">
        <v>28.9041</v>
      </c>
      <c r="CL509">
        <v>22.422899999999998</v>
      </c>
      <c r="CM509">
        <v>15.6945</v>
      </c>
      <c r="CN509">
        <v>-12.822100000000001</v>
      </c>
      <c r="CO509">
        <v>-14.708</v>
      </c>
      <c r="CP509">
        <v>1739.4</v>
      </c>
      <c r="CQ509" t="s">
        <v>134</v>
      </c>
      <c r="CR509">
        <v>1220.0999999999999</v>
      </c>
      <c r="CS509">
        <v>1.0136000000000001</v>
      </c>
      <c r="CT509">
        <v>1.9615</v>
      </c>
      <c r="CU509">
        <v>1.5143</v>
      </c>
      <c r="CV509">
        <v>4.0610999999999997</v>
      </c>
      <c r="CW509">
        <v>4.6139000000000001</v>
      </c>
      <c r="CX509">
        <v>79.108699999999999</v>
      </c>
      <c r="CY509">
        <v>3.0179999999999998</v>
      </c>
      <c r="CZ509">
        <v>120.9415</v>
      </c>
      <c r="DA509">
        <v>2.7117</v>
      </c>
      <c r="DB509">
        <v>134.60220000000001</v>
      </c>
      <c r="DC509">
        <v>65.447999999999993</v>
      </c>
      <c r="DD509">
        <v>200.05019999999999</v>
      </c>
      <c r="DE509">
        <v>3790</v>
      </c>
      <c r="DF509" t="s">
        <v>134</v>
      </c>
      <c r="DG509" t="s">
        <v>134</v>
      </c>
      <c r="DH509" t="s">
        <v>134</v>
      </c>
      <c r="DI509" t="s">
        <v>134</v>
      </c>
    </row>
    <row r="510" spans="1:113" x14ac:dyDescent="0.3">
      <c r="E510" t="s">
        <v>79</v>
      </c>
      <c r="F510">
        <v>13.7546</v>
      </c>
      <c r="G510">
        <v>7.7834000000000003</v>
      </c>
      <c r="H510">
        <v>11.4062</v>
      </c>
      <c r="I510">
        <v>9.0503999999999998</v>
      </c>
      <c r="J510">
        <v>23.081499999999998</v>
      </c>
      <c r="K510">
        <v>15.8506</v>
      </c>
      <c r="L510" t="s">
        <v>134</v>
      </c>
      <c r="M510">
        <v>17.1858</v>
      </c>
      <c r="N510">
        <v>14.2752</v>
      </c>
      <c r="O510">
        <v>13.612299999999999</v>
      </c>
      <c r="P510">
        <v>13.612299999999999</v>
      </c>
      <c r="Q510">
        <v>16.935700000000001</v>
      </c>
      <c r="R510" t="s">
        <v>134</v>
      </c>
      <c r="S510" t="s">
        <v>134</v>
      </c>
      <c r="T510">
        <v>2.1084000000000001</v>
      </c>
      <c r="U510">
        <v>-1.6034999999999999</v>
      </c>
      <c r="V510">
        <v>-5.5179999999999998</v>
      </c>
      <c r="W510">
        <v>-9.7900000000000001E-2</v>
      </c>
      <c r="X510">
        <v>-0.96709999999999996</v>
      </c>
      <c r="Y510" t="s">
        <v>134</v>
      </c>
      <c r="Z510">
        <v>13.6038</v>
      </c>
      <c r="AA510">
        <v>3.4952999999999999</v>
      </c>
      <c r="AB510">
        <v>46.0518</v>
      </c>
      <c r="AC510">
        <v>27.836099999999998</v>
      </c>
      <c r="AD510">
        <v>7.9329000000000001</v>
      </c>
      <c r="AE510">
        <v>-27.895499999999998</v>
      </c>
      <c r="AF510">
        <v>11.571099999999999</v>
      </c>
      <c r="AG510">
        <v>479.5942</v>
      </c>
      <c r="AH510">
        <v>192.81190000000001</v>
      </c>
      <c r="AI510">
        <v>9.4009</v>
      </c>
      <c r="AJ510">
        <v>31.162400000000002</v>
      </c>
      <c r="AK510">
        <v>9.9358000000000004</v>
      </c>
      <c r="AL510" t="s">
        <v>134</v>
      </c>
      <c r="AM510">
        <v>5.2691999999999997</v>
      </c>
      <c r="AN510">
        <v>8.6704000000000008</v>
      </c>
      <c r="AO510">
        <v>8.4746000000000006</v>
      </c>
      <c r="AP510">
        <v>6.5844000000000005</v>
      </c>
      <c r="AQ510">
        <v>6.4827000000000004</v>
      </c>
      <c r="AR510" t="s">
        <v>134</v>
      </c>
      <c r="AS510" t="s">
        <v>134</v>
      </c>
      <c r="AT510" t="s">
        <v>134</v>
      </c>
      <c r="AU510" t="s">
        <v>134</v>
      </c>
      <c r="AV510" t="s">
        <v>134</v>
      </c>
      <c r="AW510" t="s">
        <v>134</v>
      </c>
      <c r="AX510" t="s">
        <v>134</v>
      </c>
      <c r="AY510" t="s">
        <v>134</v>
      </c>
      <c r="AZ510" t="s">
        <v>134</v>
      </c>
      <c r="BA510" t="s">
        <v>134</v>
      </c>
      <c r="BB510" t="s">
        <v>134</v>
      </c>
      <c r="BC510" t="s">
        <v>134</v>
      </c>
      <c r="BD510" t="s">
        <v>134</v>
      </c>
      <c r="BE510" t="s">
        <v>134</v>
      </c>
      <c r="BF510">
        <v>4.2960000000000003</v>
      </c>
      <c r="BG510">
        <v>-0.51739999999999997</v>
      </c>
      <c r="BH510">
        <v>-2.6063000000000001</v>
      </c>
      <c r="BI510">
        <v>-0.8357</v>
      </c>
      <c r="BJ510">
        <v>-1.5388999999999999</v>
      </c>
      <c r="BK510" t="s">
        <v>134</v>
      </c>
      <c r="BL510">
        <v>-0.2545</v>
      </c>
      <c r="BM510">
        <v>15.237500000000001</v>
      </c>
      <c r="BN510">
        <v>6.0922999999999998</v>
      </c>
      <c r="BO510">
        <v>2.8163</v>
      </c>
      <c r="BP510">
        <v>10.464</v>
      </c>
      <c r="BQ510">
        <v>-21.561599999999999</v>
      </c>
      <c r="BR510">
        <v>-1.4372</v>
      </c>
      <c r="BS510">
        <v>76.176199999999994</v>
      </c>
      <c r="BT510">
        <v>27.063400000000001</v>
      </c>
      <c r="BU510">
        <v>1.9285999999999999</v>
      </c>
      <c r="BV510">
        <v>7.5644999999999998</v>
      </c>
      <c r="BW510">
        <v>2.7797999999999998</v>
      </c>
      <c r="BX510" t="s">
        <v>134</v>
      </c>
      <c r="BY510">
        <v>11829.6</v>
      </c>
      <c r="BZ510">
        <v>3999.2</v>
      </c>
      <c r="CA510">
        <v>7830.4</v>
      </c>
      <c r="CB510">
        <v>1.8122</v>
      </c>
      <c r="CC510">
        <v>0.14249999999999999</v>
      </c>
      <c r="CD510">
        <v>2.6804999999999999</v>
      </c>
      <c r="CE510">
        <v>0.2107</v>
      </c>
      <c r="CF510">
        <v>34.401600000000002</v>
      </c>
      <c r="CG510">
        <v>52.813400000000001</v>
      </c>
      <c r="CH510">
        <v>23.8505</v>
      </c>
      <c r="CI510">
        <v>17.533000000000001</v>
      </c>
      <c r="CJ510">
        <v>12.838699999999999</v>
      </c>
      <c r="CK510">
        <v>36.031599999999997</v>
      </c>
      <c r="CL510">
        <v>26.4877</v>
      </c>
      <c r="CM510">
        <v>19.395800000000001</v>
      </c>
      <c r="CN510">
        <v>2.8323999999999998</v>
      </c>
      <c r="CO510">
        <v>2.7544</v>
      </c>
      <c r="CP510">
        <v>1730.4</v>
      </c>
      <c r="CQ510" t="s">
        <v>134</v>
      </c>
      <c r="CR510">
        <v>1188.3</v>
      </c>
      <c r="CS510">
        <v>0.77769999999999995</v>
      </c>
      <c r="CT510">
        <v>1.7136</v>
      </c>
      <c r="CU510">
        <v>1.2502</v>
      </c>
      <c r="CV510">
        <v>3.7983000000000002</v>
      </c>
      <c r="CW510">
        <v>4.6449999999999996</v>
      </c>
      <c r="CX510">
        <v>78.578599999999994</v>
      </c>
      <c r="CY510">
        <v>2.8204000000000002</v>
      </c>
      <c r="CZ510">
        <v>129.41309999999999</v>
      </c>
      <c r="DA510">
        <v>2.9409000000000001</v>
      </c>
      <c r="DB510">
        <v>124.1099</v>
      </c>
      <c r="DC510">
        <v>83.881900000000002</v>
      </c>
      <c r="DD510">
        <v>207.99180000000001</v>
      </c>
      <c r="DE510">
        <v>4367.5</v>
      </c>
      <c r="DF510" t="s">
        <v>134</v>
      </c>
      <c r="DG510" t="s">
        <v>134</v>
      </c>
      <c r="DH510" t="s">
        <v>134</v>
      </c>
      <c r="DI510" t="s">
        <v>134</v>
      </c>
    </row>
    <row r="511" spans="1:113" x14ac:dyDescent="0.3">
      <c r="E511" t="s">
        <v>80</v>
      </c>
      <c r="F511">
        <v>12.9216</v>
      </c>
      <c r="G511">
        <v>7.2506000000000004</v>
      </c>
      <c r="H511">
        <v>10.7584</v>
      </c>
      <c r="I511">
        <v>8.5349000000000004</v>
      </c>
      <c r="J511">
        <v>21.015899999999998</v>
      </c>
      <c r="K511">
        <v>13.618600000000001</v>
      </c>
      <c r="L511" t="s">
        <v>134</v>
      </c>
      <c r="M511">
        <v>14.273</v>
      </c>
      <c r="N511">
        <v>12.8079</v>
      </c>
      <c r="O511">
        <v>11.9473</v>
      </c>
      <c r="P511">
        <v>11.9473</v>
      </c>
      <c r="Q511">
        <v>10.264200000000001</v>
      </c>
      <c r="R511" t="s">
        <v>134</v>
      </c>
      <c r="S511" t="s">
        <v>134</v>
      </c>
      <c r="T511">
        <v>8.5472999999999999</v>
      </c>
      <c r="U511">
        <v>-9.0263000000000009</v>
      </c>
      <c r="V511">
        <v>-16.760400000000001</v>
      </c>
      <c r="W511">
        <v>-13.3918</v>
      </c>
      <c r="X511">
        <v>-14.1243</v>
      </c>
      <c r="Y511" t="s">
        <v>134</v>
      </c>
      <c r="Z511">
        <v>11.2721</v>
      </c>
      <c r="AA511">
        <v>15.1242</v>
      </c>
      <c r="AB511">
        <v>34.231900000000003</v>
      </c>
      <c r="AC511">
        <v>21.543600000000001</v>
      </c>
      <c r="AD511">
        <v>6.9733000000000001</v>
      </c>
      <c r="AE511">
        <v>-31.897200000000002</v>
      </c>
      <c r="AF511">
        <v>23.076899999999998</v>
      </c>
      <c r="AG511">
        <v>495.16129999999998</v>
      </c>
      <c r="AH511">
        <v>117.1322</v>
      </c>
      <c r="AI511">
        <v>8.0655999999999999</v>
      </c>
      <c r="AJ511">
        <v>24.116199999999999</v>
      </c>
      <c r="AK511">
        <v>8.4979999999999993</v>
      </c>
      <c r="AL511" t="s">
        <v>134</v>
      </c>
      <c r="AM511">
        <v>3.6850000000000001</v>
      </c>
      <c r="AN511">
        <v>4.4629000000000003</v>
      </c>
      <c r="AO511">
        <v>2.2757999999999998</v>
      </c>
      <c r="AP511">
        <v>2.3675999999999999</v>
      </c>
      <c r="AQ511">
        <v>2.2494000000000001</v>
      </c>
      <c r="AR511" t="s">
        <v>134</v>
      </c>
      <c r="AS511" t="s">
        <v>134</v>
      </c>
      <c r="AT511" t="s">
        <v>134</v>
      </c>
      <c r="AU511" t="s">
        <v>134</v>
      </c>
      <c r="AV511" t="s">
        <v>134</v>
      </c>
      <c r="AW511" t="s">
        <v>134</v>
      </c>
      <c r="AX511" t="s">
        <v>134</v>
      </c>
      <c r="AY511" t="s">
        <v>134</v>
      </c>
      <c r="AZ511" t="s">
        <v>134</v>
      </c>
      <c r="BA511" t="s">
        <v>134</v>
      </c>
      <c r="BB511" t="s">
        <v>134</v>
      </c>
      <c r="BC511" t="s">
        <v>134</v>
      </c>
      <c r="BD511" t="s">
        <v>134</v>
      </c>
      <c r="BE511" t="s">
        <v>134</v>
      </c>
      <c r="BF511">
        <v>1.5206</v>
      </c>
      <c r="BG511">
        <v>-7.5647000000000002</v>
      </c>
      <c r="BH511">
        <v>-12.7746</v>
      </c>
      <c r="BI511">
        <v>-10.896599999999999</v>
      </c>
      <c r="BJ511">
        <v>-10.9375</v>
      </c>
      <c r="BK511" t="s">
        <v>134</v>
      </c>
      <c r="BL511">
        <v>4.3318000000000003</v>
      </c>
      <c r="BM511">
        <v>16.771599999999999</v>
      </c>
      <c r="BN511">
        <v>4.9276</v>
      </c>
      <c r="BO511">
        <v>1.4746999999999999</v>
      </c>
      <c r="BP511">
        <v>9.3301999999999996</v>
      </c>
      <c r="BQ511">
        <v>-2.0087999999999999</v>
      </c>
      <c r="BR511">
        <v>9.1927000000000003</v>
      </c>
      <c r="BS511">
        <v>-7.7315000000000005</v>
      </c>
      <c r="BT511">
        <v>-1.4337</v>
      </c>
      <c r="BU511">
        <v>2.4331</v>
      </c>
      <c r="BV511">
        <v>1.4088000000000001</v>
      </c>
      <c r="BW511">
        <v>2.2625999999999999</v>
      </c>
      <c r="BX511" t="s">
        <v>134</v>
      </c>
      <c r="BY511">
        <v>11660</v>
      </c>
      <c r="BZ511">
        <v>3690</v>
      </c>
      <c r="CA511">
        <v>7970</v>
      </c>
      <c r="CB511">
        <v>1.8308</v>
      </c>
      <c r="CC511">
        <v>0.4365</v>
      </c>
      <c r="CD511">
        <v>2.7732000000000001</v>
      </c>
      <c r="CE511">
        <v>0.66120000000000001</v>
      </c>
      <c r="CF511">
        <v>33.392499999999998</v>
      </c>
      <c r="CG511">
        <v>53.223500000000001</v>
      </c>
      <c r="CH511">
        <v>23.699100000000001</v>
      </c>
      <c r="CI511">
        <v>17.5977</v>
      </c>
      <c r="CJ511">
        <v>12.877700000000001</v>
      </c>
      <c r="CK511">
        <v>34.671399999999998</v>
      </c>
      <c r="CL511">
        <v>25.745200000000001</v>
      </c>
      <c r="CM511">
        <v>18.8399</v>
      </c>
      <c r="CN511">
        <v>8.2664000000000009</v>
      </c>
      <c r="CO511">
        <v>7.6353</v>
      </c>
      <c r="CP511">
        <v>1599.5</v>
      </c>
      <c r="CQ511" t="s">
        <v>134</v>
      </c>
      <c r="CR511">
        <v>1036.5</v>
      </c>
      <c r="CS511">
        <v>0.66069999999999995</v>
      </c>
      <c r="CT511">
        <v>1.7292000000000001</v>
      </c>
      <c r="CU511">
        <v>1.1749000000000001</v>
      </c>
      <c r="CV511">
        <v>3.4687999999999999</v>
      </c>
      <c r="CW511">
        <v>4.5003000000000002</v>
      </c>
      <c r="CX511">
        <v>81.106200000000001</v>
      </c>
      <c r="CY511">
        <v>2.6177999999999999</v>
      </c>
      <c r="CZ511">
        <v>139.4314</v>
      </c>
      <c r="DA511">
        <v>3.0215000000000001</v>
      </c>
      <c r="DB511">
        <v>120.7993</v>
      </c>
      <c r="DC511">
        <v>99.738200000000006</v>
      </c>
      <c r="DD511">
        <v>220.53749999999999</v>
      </c>
      <c r="DE511">
        <v>5100</v>
      </c>
      <c r="DF511" t="s">
        <v>134</v>
      </c>
      <c r="DG511" t="s">
        <v>134</v>
      </c>
      <c r="DH511" t="s">
        <v>134</v>
      </c>
      <c r="DI511" t="s">
        <v>134</v>
      </c>
    </row>
    <row r="512" spans="1:113" x14ac:dyDescent="0.3">
      <c r="E512" t="s">
        <v>81</v>
      </c>
      <c r="F512">
        <v>15.7982</v>
      </c>
      <c r="G512">
        <v>8.2043999999999997</v>
      </c>
      <c r="H512">
        <v>12.743600000000001</v>
      </c>
      <c r="I512">
        <v>9.4073999999999991</v>
      </c>
      <c r="J512">
        <v>22.306699999999999</v>
      </c>
      <c r="K512">
        <v>15.2593</v>
      </c>
      <c r="L512">
        <v>47.082299999999996</v>
      </c>
      <c r="M512">
        <v>29.938099999999999</v>
      </c>
      <c r="N512">
        <v>26.108499999999999</v>
      </c>
      <c r="O512">
        <v>24.270800000000001</v>
      </c>
      <c r="P512">
        <v>24.270800000000001</v>
      </c>
      <c r="Q512">
        <v>12.791600000000001</v>
      </c>
      <c r="R512" t="s">
        <v>134</v>
      </c>
      <c r="S512" t="s">
        <v>134</v>
      </c>
      <c r="T512">
        <v>14.917199999999999</v>
      </c>
      <c r="U512">
        <v>42.528500000000001</v>
      </c>
      <c r="V512">
        <v>66.811499999999995</v>
      </c>
      <c r="W512">
        <v>78.227800000000002</v>
      </c>
      <c r="X512">
        <v>77.152900000000002</v>
      </c>
      <c r="Y512" t="s">
        <v>134</v>
      </c>
      <c r="Z512">
        <v>28.459499999999998</v>
      </c>
      <c r="AA512">
        <v>20.207100000000001</v>
      </c>
      <c r="AB512">
        <v>18.8626</v>
      </c>
      <c r="AC512">
        <v>10.865</v>
      </c>
      <c r="AD512">
        <v>26.176100000000002</v>
      </c>
      <c r="AE512">
        <v>-19.957100000000001</v>
      </c>
      <c r="AF512">
        <v>23.6463</v>
      </c>
      <c r="AG512">
        <v>7.1868999999999996</v>
      </c>
      <c r="AH512">
        <v>21.289899999999999</v>
      </c>
      <c r="AI512">
        <v>10.736599999999999</v>
      </c>
      <c r="AJ512">
        <v>13.0017</v>
      </c>
      <c r="AK512">
        <v>8.0582999999999991</v>
      </c>
      <c r="AL512" t="s">
        <v>134</v>
      </c>
      <c r="AM512">
        <v>4.8004999999999995</v>
      </c>
      <c r="AN512">
        <v>7.0496999999999996</v>
      </c>
      <c r="AO512">
        <v>5.9118000000000004</v>
      </c>
      <c r="AP512">
        <v>20.1113</v>
      </c>
      <c r="AQ512">
        <v>19.828499999999998</v>
      </c>
      <c r="AR512" t="s">
        <v>134</v>
      </c>
      <c r="AS512">
        <v>11.5482</v>
      </c>
      <c r="AT512">
        <v>4.0247000000000002</v>
      </c>
      <c r="AU512">
        <v>19.898199999999999</v>
      </c>
      <c r="AV512">
        <v>16.7745</v>
      </c>
      <c r="AW512">
        <v>-0.59079999999999999</v>
      </c>
      <c r="AX512">
        <v>14.5036</v>
      </c>
      <c r="AY512" t="s">
        <v>134</v>
      </c>
      <c r="AZ512" t="s">
        <v>134</v>
      </c>
      <c r="BA512">
        <v>14.945399999999999</v>
      </c>
      <c r="BB512">
        <v>13.954599999999999</v>
      </c>
      <c r="BC512">
        <v>14.1784</v>
      </c>
      <c r="BD512">
        <v>13.221500000000001</v>
      </c>
      <c r="BE512" t="s">
        <v>134</v>
      </c>
      <c r="BF512">
        <v>9.1039999999999992</v>
      </c>
      <c r="BG512">
        <v>15.8049</v>
      </c>
      <c r="BH512">
        <v>22.247900000000001</v>
      </c>
      <c r="BI512">
        <v>121.643</v>
      </c>
      <c r="BJ512">
        <v>121.0526</v>
      </c>
      <c r="BK512" t="s">
        <v>134</v>
      </c>
      <c r="BL512">
        <v>11.505100000000001</v>
      </c>
      <c r="BM512">
        <v>-11.235300000000001</v>
      </c>
      <c r="BN512">
        <v>-1.9923</v>
      </c>
      <c r="BO512">
        <v>3.0118</v>
      </c>
      <c r="BP512">
        <v>10.111000000000001</v>
      </c>
      <c r="BQ512">
        <v>2.8468999999999998</v>
      </c>
      <c r="BR512">
        <v>-10.5625</v>
      </c>
      <c r="BS512">
        <v>-29.2683</v>
      </c>
      <c r="BT512">
        <v>-11.612299999999999</v>
      </c>
      <c r="BU512">
        <v>2.3729</v>
      </c>
      <c r="BV512">
        <v>-1.2276</v>
      </c>
      <c r="BW512">
        <v>-0.71040000000000003</v>
      </c>
      <c r="BX512" t="s">
        <v>134</v>
      </c>
      <c r="BY512">
        <v>10306</v>
      </c>
      <c r="BZ512">
        <v>2610</v>
      </c>
      <c r="CA512">
        <v>7696</v>
      </c>
      <c r="CB512">
        <v>1.4889999999999999</v>
      </c>
      <c r="CC512">
        <v>-0.19689999999999999</v>
      </c>
      <c r="CD512">
        <v>2.1871999999999998</v>
      </c>
      <c r="CE512">
        <v>-0.2893</v>
      </c>
      <c r="CF512" t="s">
        <v>134</v>
      </c>
      <c r="CG512">
        <v>51.3003</v>
      </c>
      <c r="CH512">
        <v>22.353899999999999</v>
      </c>
      <c r="CI512">
        <v>17.203900000000001</v>
      </c>
      <c r="CJ512">
        <v>12.071400000000001</v>
      </c>
      <c r="CK512">
        <v>29.934899999999999</v>
      </c>
      <c r="CL512">
        <v>23.038399999999999</v>
      </c>
      <c r="CM512">
        <v>16.165299999999998</v>
      </c>
      <c r="CN512">
        <v>-3.9590000000000001</v>
      </c>
      <c r="CO512">
        <v>-4.1222000000000003</v>
      </c>
      <c r="CP512">
        <v>1852.3</v>
      </c>
      <c r="CQ512" t="s">
        <v>134</v>
      </c>
      <c r="CR512">
        <v>1267.0999999999999</v>
      </c>
      <c r="CS512">
        <v>0.75060000000000004</v>
      </c>
      <c r="CT512">
        <v>1.6482999999999999</v>
      </c>
      <c r="CU512">
        <v>1.2462</v>
      </c>
      <c r="CV512">
        <v>3.4628000000000001</v>
      </c>
      <c r="CW512">
        <v>4.4661</v>
      </c>
      <c r="CX512">
        <v>81.726200000000006</v>
      </c>
      <c r="CY512">
        <v>3.1543000000000001</v>
      </c>
      <c r="CZ512">
        <v>115.71420000000001</v>
      </c>
      <c r="DA512">
        <v>3.5648</v>
      </c>
      <c r="DB512">
        <v>102.3896</v>
      </c>
      <c r="DC512">
        <v>95.050899999999999</v>
      </c>
      <c r="DD512">
        <v>197.44040000000001</v>
      </c>
      <c r="DE512">
        <v>4527</v>
      </c>
      <c r="DF512">
        <v>1205</v>
      </c>
      <c r="DG512">
        <v>1436</v>
      </c>
      <c r="DH512">
        <v>1357</v>
      </c>
      <c r="DI512">
        <v>529</v>
      </c>
    </row>
    <row r="513" spans="1:113" x14ac:dyDescent="0.3">
      <c r="D513" t="s">
        <v>83</v>
      </c>
      <c r="E513" t="s">
        <v>77</v>
      </c>
      <c r="F513">
        <v>24.462900000000001</v>
      </c>
      <c r="G513">
        <v>12.063000000000001</v>
      </c>
      <c r="H513">
        <v>17.624300000000002</v>
      </c>
      <c r="I513">
        <v>9.1806000000000001</v>
      </c>
      <c r="J513">
        <v>25.9511</v>
      </c>
      <c r="K513">
        <v>18.999300000000002</v>
      </c>
      <c r="L513">
        <v>33.948399999999999</v>
      </c>
      <c r="M513">
        <v>35.215499999999999</v>
      </c>
      <c r="N513">
        <v>27.8447</v>
      </c>
      <c r="O513">
        <v>25.710100000000001</v>
      </c>
      <c r="P513">
        <v>25.710100000000001</v>
      </c>
      <c r="Q513">
        <v>20.930399999999999</v>
      </c>
      <c r="R513">
        <v>11.1595</v>
      </c>
      <c r="S513">
        <v>21.733000000000001</v>
      </c>
      <c r="T513">
        <v>12.8034</v>
      </c>
      <c r="U513">
        <v>20.777100000000001</v>
      </c>
      <c r="V513">
        <v>25.4404</v>
      </c>
      <c r="W513">
        <v>80.156800000000004</v>
      </c>
      <c r="X513">
        <v>80.176900000000003</v>
      </c>
      <c r="Y513">
        <v>0</v>
      </c>
      <c r="Z513">
        <v>6.8007999999999997</v>
      </c>
      <c r="AA513">
        <v>12.9666</v>
      </c>
      <c r="AB513">
        <v>18.8096</v>
      </c>
      <c r="AC513">
        <v>33.0364</v>
      </c>
      <c r="AD513">
        <v>-0.84389999999999998</v>
      </c>
      <c r="AE513">
        <v>134.70580000000001</v>
      </c>
      <c r="AF513">
        <v>27.44</v>
      </c>
      <c r="AG513">
        <v>51.302700000000002</v>
      </c>
      <c r="AH513">
        <v>139.4042</v>
      </c>
      <c r="AI513">
        <v>26.8386</v>
      </c>
      <c r="AJ513">
        <v>52.771900000000002</v>
      </c>
      <c r="AK513">
        <v>24.0017</v>
      </c>
      <c r="AL513">
        <v>131.7826</v>
      </c>
      <c r="AM513">
        <v>14.053100000000001</v>
      </c>
      <c r="AN513">
        <v>9.3581000000000003</v>
      </c>
      <c r="AO513">
        <v>9.4504999999999999</v>
      </c>
      <c r="AP513">
        <v>19.514299999999999</v>
      </c>
      <c r="AQ513">
        <v>19.200800000000001</v>
      </c>
      <c r="AR513">
        <v>2.1295999999999999</v>
      </c>
      <c r="AS513">
        <v>10.664400000000001</v>
      </c>
      <c r="AT513">
        <v>4.3314000000000004</v>
      </c>
      <c r="AU513">
        <v>22.138300000000001</v>
      </c>
      <c r="AV513">
        <v>18.790900000000001</v>
      </c>
      <c r="AW513">
        <v>5.1295999999999999</v>
      </c>
      <c r="AX513">
        <v>25.942</v>
      </c>
      <c r="AY513">
        <v>13.033799999999999</v>
      </c>
      <c r="AZ513">
        <v>9.8038000000000007</v>
      </c>
      <c r="BA513">
        <v>51.105400000000003</v>
      </c>
      <c r="BB513">
        <v>16.0961</v>
      </c>
      <c r="BC513">
        <v>23.448499999999999</v>
      </c>
      <c r="BD513">
        <v>14.8133</v>
      </c>
      <c r="BE513">
        <v>-6.6356000000000002</v>
      </c>
      <c r="BF513">
        <v>12.8034</v>
      </c>
      <c r="BG513">
        <v>20.777100000000001</v>
      </c>
      <c r="BH513">
        <v>25.4404</v>
      </c>
      <c r="BI513">
        <v>80.156800000000004</v>
      </c>
      <c r="BJ513">
        <v>80.176900000000003</v>
      </c>
      <c r="BK513">
        <v>0</v>
      </c>
      <c r="BL513">
        <v>6.8007999999999997</v>
      </c>
      <c r="BM513">
        <v>12.9666</v>
      </c>
      <c r="BN513">
        <v>18.8096</v>
      </c>
      <c r="BO513">
        <v>33.0364</v>
      </c>
      <c r="BP513">
        <v>-0.84389999999999998</v>
      </c>
      <c r="BQ513">
        <v>134.70580000000001</v>
      </c>
      <c r="BR513">
        <v>27.44</v>
      </c>
      <c r="BS513">
        <v>51.302700000000002</v>
      </c>
      <c r="BT513">
        <v>139.4042</v>
      </c>
      <c r="BU513">
        <v>26.8386</v>
      </c>
      <c r="BV513">
        <v>52.771900000000002</v>
      </c>
      <c r="BW513">
        <v>24.0017</v>
      </c>
      <c r="BX513">
        <v>131.7826</v>
      </c>
      <c r="BY513">
        <v>24673</v>
      </c>
      <c r="BZ513">
        <v>3949</v>
      </c>
      <c r="CA513">
        <v>20724</v>
      </c>
      <c r="CB513">
        <v>2.7278000000000002</v>
      </c>
      <c r="CC513">
        <v>0.1313</v>
      </c>
      <c r="CD513">
        <v>3.7259000000000002</v>
      </c>
      <c r="CE513">
        <v>0.1794</v>
      </c>
      <c r="CF513">
        <v>27.5762</v>
      </c>
      <c r="CG513">
        <v>47.816400000000002</v>
      </c>
      <c r="CH513">
        <v>47.458100000000002</v>
      </c>
      <c r="CI513">
        <v>30.324400000000001</v>
      </c>
      <c r="CJ513">
        <v>24.434100000000001</v>
      </c>
      <c r="CK513">
        <v>56.501300000000001</v>
      </c>
      <c r="CL513">
        <v>36.102800000000002</v>
      </c>
      <c r="CM513">
        <v>29.09</v>
      </c>
      <c r="CN513">
        <v>2.7204999999999999</v>
      </c>
      <c r="CO513">
        <v>2.6484999999999999</v>
      </c>
      <c r="CP513">
        <v>9045</v>
      </c>
      <c r="CQ513">
        <v>939</v>
      </c>
      <c r="CR513">
        <v>6622</v>
      </c>
      <c r="CS513">
        <v>1.4429000000000001</v>
      </c>
      <c r="CT513">
        <v>2.4534000000000002</v>
      </c>
      <c r="CU513">
        <v>1.9485000000000001</v>
      </c>
      <c r="CV513">
        <v>2.8769999999999998</v>
      </c>
      <c r="CW513">
        <v>4.3748000000000005</v>
      </c>
      <c r="CX513">
        <v>83.661000000000001</v>
      </c>
      <c r="CY513">
        <v>2.8252000000000002</v>
      </c>
      <c r="CZ513">
        <v>129.5472</v>
      </c>
      <c r="DA513">
        <v>2.9098999999999999</v>
      </c>
      <c r="DB513">
        <v>125.7787</v>
      </c>
      <c r="DC513">
        <v>87.429500000000004</v>
      </c>
      <c r="DD513">
        <v>213.20820000000001</v>
      </c>
      <c r="DE513">
        <v>5114</v>
      </c>
      <c r="DF513">
        <v>1359</v>
      </c>
      <c r="DG513">
        <v>1707</v>
      </c>
      <c r="DH513">
        <v>1401</v>
      </c>
      <c r="DI513">
        <v>647</v>
      </c>
    </row>
    <row r="514" spans="1:113" x14ac:dyDescent="0.3">
      <c r="E514" t="s">
        <v>78</v>
      </c>
      <c r="F514">
        <v>15.944900000000001</v>
      </c>
      <c r="G514">
        <v>8.4082000000000008</v>
      </c>
      <c r="H514">
        <v>13.0197</v>
      </c>
      <c r="I514">
        <v>9.5907</v>
      </c>
      <c r="J514">
        <v>27.238900000000001</v>
      </c>
      <c r="K514">
        <v>19.8187</v>
      </c>
      <c r="L514">
        <v>53.8155</v>
      </c>
      <c r="M514">
        <v>22.270700000000001</v>
      </c>
      <c r="N514">
        <v>17.527200000000001</v>
      </c>
      <c r="O514">
        <v>16.206199999999999</v>
      </c>
      <c r="P514">
        <v>16.206199999999999</v>
      </c>
      <c r="Q514">
        <v>21.299299999999999</v>
      </c>
      <c r="R514" t="s">
        <v>134</v>
      </c>
      <c r="S514" t="s">
        <v>134</v>
      </c>
      <c r="T514">
        <v>8.3680000000000003</v>
      </c>
      <c r="U514">
        <v>21.9846</v>
      </c>
      <c r="V514">
        <v>26.5306</v>
      </c>
      <c r="W514">
        <v>22.670300000000001</v>
      </c>
      <c r="X514">
        <v>21.345600000000001</v>
      </c>
      <c r="Y514" t="s">
        <v>134</v>
      </c>
      <c r="Z514">
        <v>14.909599999999999</v>
      </c>
      <c r="AA514">
        <v>21.899699999999999</v>
      </c>
      <c r="AB514">
        <v>21.5046</v>
      </c>
      <c r="AC514">
        <v>8.8165999999999993</v>
      </c>
      <c r="AD514">
        <v>27.638200000000001</v>
      </c>
      <c r="AE514">
        <v>-22.666699999999999</v>
      </c>
      <c r="AF514">
        <v>3.8117000000000001</v>
      </c>
      <c r="AG514">
        <v>14.0969</v>
      </c>
      <c r="AH514">
        <v>9.5595999999999997</v>
      </c>
      <c r="AI514">
        <v>11.207699999999999</v>
      </c>
      <c r="AJ514">
        <v>10.838200000000001</v>
      </c>
      <c r="AK514">
        <v>10.4178</v>
      </c>
      <c r="AL514" t="s">
        <v>134</v>
      </c>
      <c r="AM514">
        <v>3.2987000000000002</v>
      </c>
      <c r="AN514">
        <v>9.8399000000000001</v>
      </c>
      <c r="AO514">
        <v>10.1585</v>
      </c>
      <c r="AP514">
        <v>10.467600000000001</v>
      </c>
      <c r="AQ514">
        <v>10.214700000000001</v>
      </c>
      <c r="AR514" t="s">
        <v>134</v>
      </c>
      <c r="AS514" t="s">
        <v>134</v>
      </c>
      <c r="AT514" t="s">
        <v>134</v>
      </c>
      <c r="AU514" t="s">
        <v>134</v>
      </c>
      <c r="AV514" t="s">
        <v>134</v>
      </c>
      <c r="AW514" t="s">
        <v>134</v>
      </c>
      <c r="AX514" t="s">
        <v>134</v>
      </c>
      <c r="AY514" t="s">
        <v>134</v>
      </c>
      <c r="AZ514" t="s">
        <v>134</v>
      </c>
      <c r="BA514" t="s">
        <v>134</v>
      </c>
      <c r="BB514" t="s">
        <v>134</v>
      </c>
      <c r="BC514" t="s">
        <v>134</v>
      </c>
      <c r="BD514" t="s">
        <v>134</v>
      </c>
      <c r="BE514" t="s">
        <v>134</v>
      </c>
      <c r="BF514">
        <v>-6.1923000000000004</v>
      </c>
      <c r="BG514">
        <v>14.5495</v>
      </c>
      <c r="BH514">
        <v>21.837299999999999</v>
      </c>
      <c r="BI514">
        <v>-37.362299999999998</v>
      </c>
      <c r="BJ514">
        <v>-37.400799999999997</v>
      </c>
      <c r="BK514" t="s">
        <v>134</v>
      </c>
      <c r="BL514">
        <v>-0.97340000000000004</v>
      </c>
      <c r="BM514">
        <v>2.0543</v>
      </c>
      <c r="BN514">
        <v>11.367699999999999</v>
      </c>
      <c r="BO514">
        <v>1.2484999999999999</v>
      </c>
      <c r="BP514">
        <v>-4.0180999999999996</v>
      </c>
      <c r="BQ514">
        <v>-2.1728000000000001</v>
      </c>
      <c r="BR514">
        <v>7.85</v>
      </c>
      <c r="BS514">
        <v>-0.76629999999999998</v>
      </c>
      <c r="BT514">
        <v>-1.0285</v>
      </c>
      <c r="BU514">
        <v>4.0431999999999997</v>
      </c>
      <c r="BV514">
        <v>2.8748</v>
      </c>
      <c r="BW514">
        <v>5.806</v>
      </c>
      <c r="BX514" t="s">
        <v>134</v>
      </c>
      <c r="BY514">
        <v>10200</v>
      </c>
      <c r="BZ514">
        <v>2590</v>
      </c>
      <c r="CA514">
        <v>7610</v>
      </c>
      <c r="CB514">
        <v>1.3965000000000001</v>
      </c>
      <c r="CC514">
        <v>-3.6999999999999998E-2</v>
      </c>
      <c r="CD514">
        <v>2.0255000000000001</v>
      </c>
      <c r="CE514">
        <v>-5.3600000000000002E-2</v>
      </c>
      <c r="CF514">
        <v>48.0045</v>
      </c>
      <c r="CG514">
        <v>52.641399999999997</v>
      </c>
      <c r="CH514">
        <v>21.245100000000001</v>
      </c>
      <c r="CI514">
        <v>16.536300000000001</v>
      </c>
      <c r="CJ514">
        <v>11.789300000000001</v>
      </c>
      <c r="CK514">
        <v>28.4757</v>
      </c>
      <c r="CL514">
        <v>22.164300000000001</v>
      </c>
      <c r="CM514">
        <v>15.8017</v>
      </c>
      <c r="CN514">
        <v>-0.75380000000000003</v>
      </c>
      <c r="CO514">
        <v>-0.75949999999999995</v>
      </c>
      <c r="CP514">
        <v>2121.8000000000002</v>
      </c>
      <c r="CQ514" t="s">
        <v>134</v>
      </c>
      <c r="CR514">
        <v>1543.8</v>
      </c>
      <c r="CS514">
        <v>0.69750000000000001</v>
      </c>
      <c r="CT514">
        <v>1.6569</v>
      </c>
      <c r="CU514">
        <v>1.2059</v>
      </c>
      <c r="CV514">
        <v>3.5661</v>
      </c>
      <c r="CW514">
        <v>4.3730000000000002</v>
      </c>
      <c r="CX514">
        <v>83.467100000000002</v>
      </c>
      <c r="CY514">
        <v>3.1945999999999999</v>
      </c>
      <c r="CZ514">
        <v>114.2535</v>
      </c>
      <c r="DA514">
        <v>3.1383000000000001</v>
      </c>
      <c r="DB514">
        <v>116.3056</v>
      </c>
      <c r="DC514">
        <v>81.415099999999995</v>
      </c>
      <c r="DD514">
        <v>197.72069999999999</v>
      </c>
      <c r="DE514">
        <v>4620</v>
      </c>
      <c r="DF514" t="s">
        <v>134</v>
      </c>
      <c r="DG514" t="s">
        <v>134</v>
      </c>
      <c r="DH514" t="s">
        <v>134</v>
      </c>
      <c r="DI514" t="s">
        <v>134</v>
      </c>
    </row>
    <row r="515" spans="1:113" x14ac:dyDescent="0.3">
      <c r="E515" t="s">
        <v>79</v>
      </c>
      <c r="F515">
        <v>21.0992</v>
      </c>
      <c r="G515">
        <v>11.0166</v>
      </c>
      <c r="H515">
        <v>16.339400000000001</v>
      </c>
      <c r="I515">
        <v>8.6859000000000002</v>
      </c>
      <c r="J515">
        <v>23.8581</v>
      </c>
      <c r="K515">
        <v>16.663</v>
      </c>
      <c r="L515">
        <v>24.393999999999998</v>
      </c>
      <c r="M515">
        <v>56.334499999999998</v>
      </c>
      <c r="N515">
        <v>39.7149</v>
      </c>
      <c r="O515">
        <v>36.9315</v>
      </c>
      <c r="P515">
        <v>36.9315</v>
      </c>
      <c r="Q515">
        <v>29.5016</v>
      </c>
      <c r="R515" t="s">
        <v>134</v>
      </c>
      <c r="S515" t="s">
        <v>134</v>
      </c>
      <c r="T515">
        <v>10.5097</v>
      </c>
      <c r="U515">
        <v>14.2279</v>
      </c>
      <c r="V515">
        <v>16.174399999999999</v>
      </c>
      <c r="W515">
        <v>199.8236</v>
      </c>
      <c r="X515">
        <v>198.82810000000001</v>
      </c>
      <c r="Y515" t="s">
        <v>134</v>
      </c>
      <c r="Z515">
        <v>8.3706999999999994</v>
      </c>
      <c r="AA515">
        <v>15.4917</v>
      </c>
      <c r="AB515">
        <v>13.5436</v>
      </c>
      <c r="AC515">
        <v>15.0105</v>
      </c>
      <c r="AD515">
        <v>5.2435999999999998</v>
      </c>
      <c r="AE515">
        <v>27.8645</v>
      </c>
      <c r="AF515">
        <v>20.136900000000001</v>
      </c>
      <c r="AG515">
        <v>-21.054200000000002</v>
      </c>
      <c r="AH515">
        <v>0.92730000000000001</v>
      </c>
      <c r="AI515">
        <v>19.808299999999999</v>
      </c>
      <c r="AJ515">
        <v>14.8072</v>
      </c>
      <c r="AK515">
        <v>14.702400000000001</v>
      </c>
      <c r="AL515" t="s">
        <v>134</v>
      </c>
      <c r="AM515">
        <v>4.0667</v>
      </c>
      <c r="AN515">
        <v>6.4275000000000002</v>
      </c>
      <c r="AO515">
        <v>5.4813999999999998</v>
      </c>
      <c r="AP515">
        <v>27.950900000000001</v>
      </c>
      <c r="AQ515">
        <v>27.617599999999999</v>
      </c>
      <c r="AR515" t="s">
        <v>134</v>
      </c>
      <c r="AS515" t="s">
        <v>134</v>
      </c>
      <c r="AT515" t="s">
        <v>134</v>
      </c>
      <c r="AU515" t="s">
        <v>134</v>
      </c>
      <c r="AV515" t="s">
        <v>134</v>
      </c>
      <c r="AW515" t="s">
        <v>134</v>
      </c>
      <c r="AX515" t="s">
        <v>134</v>
      </c>
      <c r="AY515" t="s">
        <v>134</v>
      </c>
      <c r="AZ515" t="s">
        <v>134</v>
      </c>
      <c r="BA515" t="s">
        <v>134</v>
      </c>
      <c r="BB515" t="s">
        <v>134</v>
      </c>
      <c r="BC515" t="s">
        <v>134</v>
      </c>
      <c r="BD515" t="s">
        <v>134</v>
      </c>
      <c r="BE515" t="s">
        <v>134</v>
      </c>
      <c r="BF515">
        <v>9.3125999999999998</v>
      </c>
      <c r="BG515">
        <v>-5.1079999999999997</v>
      </c>
      <c r="BH515">
        <v>-7.5351999999999997</v>
      </c>
      <c r="BI515">
        <v>146.94919999999999</v>
      </c>
      <c r="BJ515">
        <v>146.9734</v>
      </c>
      <c r="BK515" t="s">
        <v>134</v>
      </c>
      <c r="BL515">
        <v>-5.9305000000000003</v>
      </c>
      <c r="BM515">
        <v>9.1797000000000004</v>
      </c>
      <c r="BN515">
        <v>-0.8589</v>
      </c>
      <c r="BO515">
        <v>8.6685999999999996</v>
      </c>
      <c r="BP515">
        <v>-8.9173000000000009</v>
      </c>
      <c r="BQ515">
        <v>29.691700000000001</v>
      </c>
      <c r="BR515">
        <v>14.0626</v>
      </c>
      <c r="BS515">
        <v>21.8996</v>
      </c>
      <c r="BT515">
        <v>17.052</v>
      </c>
      <c r="BU515">
        <v>9.8116000000000003</v>
      </c>
      <c r="BV515">
        <v>11.4163</v>
      </c>
      <c r="BW515">
        <v>8.7317</v>
      </c>
      <c r="BX515" t="s">
        <v>134</v>
      </c>
      <c r="BY515">
        <v>11939.3</v>
      </c>
      <c r="BZ515">
        <v>3157.2</v>
      </c>
      <c r="CA515">
        <v>8782.1</v>
      </c>
      <c r="CB515">
        <v>1.5895000000000001</v>
      </c>
      <c r="CC515">
        <v>-0.2525</v>
      </c>
      <c r="CD515">
        <v>2.3062</v>
      </c>
      <c r="CE515">
        <v>-0.36630000000000001</v>
      </c>
      <c r="CF515">
        <v>67.460800000000006</v>
      </c>
      <c r="CG515">
        <v>51.691899999999997</v>
      </c>
      <c r="CH515">
        <v>22.326699999999999</v>
      </c>
      <c r="CI515">
        <v>17.1279</v>
      </c>
      <c r="CJ515">
        <v>12.5198</v>
      </c>
      <c r="CK515">
        <v>30.353300000000001</v>
      </c>
      <c r="CL515">
        <v>23.285399999999999</v>
      </c>
      <c r="CM515">
        <v>17.020700000000001</v>
      </c>
      <c r="CN515">
        <v>-4.8212000000000002</v>
      </c>
      <c r="CO515">
        <v>-5.0654000000000003</v>
      </c>
      <c r="CP515">
        <v>1976.6</v>
      </c>
      <c r="CQ515" t="s">
        <v>134</v>
      </c>
      <c r="CR515">
        <v>1380.5</v>
      </c>
      <c r="CS515">
        <v>0.86980000000000002</v>
      </c>
      <c r="CT515">
        <v>1.8039000000000001</v>
      </c>
      <c r="CU515">
        <v>1.3210999999999999</v>
      </c>
      <c r="CV515">
        <v>3.3363999999999998</v>
      </c>
      <c r="CW515">
        <v>4.6054000000000004</v>
      </c>
      <c r="CX515">
        <v>79.255099999999999</v>
      </c>
      <c r="CY515">
        <v>2.8681000000000001</v>
      </c>
      <c r="CZ515">
        <v>127.26009999999999</v>
      </c>
      <c r="DA515">
        <v>2.9293</v>
      </c>
      <c r="DB515">
        <v>124.6024</v>
      </c>
      <c r="DC515">
        <v>81.912800000000004</v>
      </c>
      <c r="DD515">
        <v>206.5153</v>
      </c>
      <c r="DE515">
        <v>5044.1000000000004</v>
      </c>
      <c r="DF515" t="s">
        <v>134</v>
      </c>
      <c r="DG515" t="s">
        <v>134</v>
      </c>
      <c r="DH515" t="s">
        <v>134</v>
      </c>
      <c r="DI515" t="s">
        <v>134</v>
      </c>
    </row>
    <row r="516" spans="1:113" x14ac:dyDescent="0.3">
      <c r="E516" t="s">
        <v>80</v>
      </c>
      <c r="F516">
        <v>11.8789</v>
      </c>
      <c r="G516">
        <v>6.3146000000000004</v>
      </c>
      <c r="H516">
        <v>9.7569999999999997</v>
      </c>
      <c r="I516">
        <v>6.1237000000000004</v>
      </c>
      <c r="J516">
        <v>22.832599999999999</v>
      </c>
      <c r="K516">
        <v>15.3345</v>
      </c>
      <c r="L516">
        <v>34.793599999999998</v>
      </c>
      <c r="M516">
        <v>17.532</v>
      </c>
      <c r="N516">
        <v>14.6221</v>
      </c>
      <c r="O516">
        <v>12.4366</v>
      </c>
      <c r="P516">
        <v>12.4366</v>
      </c>
      <c r="Q516">
        <v>16.597799999999999</v>
      </c>
      <c r="R516" t="s">
        <v>134</v>
      </c>
      <c r="S516" t="s">
        <v>134</v>
      </c>
      <c r="T516">
        <v>8.8176000000000005</v>
      </c>
      <c r="U516">
        <v>18.224399999999999</v>
      </c>
      <c r="V516">
        <v>22.527699999999999</v>
      </c>
      <c r="W516">
        <v>13.273899999999999</v>
      </c>
      <c r="X516">
        <v>12.938599999999999</v>
      </c>
      <c r="Y516" t="s">
        <v>134</v>
      </c>
      <c r="Z516">
        <v>4.9203999999999999</v>
      </c>
      <c r="AA516">
        <v>4.5098000000000003</v>
      </c>
      <c r="AB516">
        <v>17.245799999999999</v>
      </c>
      <c r="AC516">
        <v>13.831</v>
      </c>
      <c r="AD516">
        <v>1.9417</v>
      </c>
      <c r="AE516">
        <v>22.142900000000001</v>
      </c>
      <c r="AF516">
        <v>8.9582999999999995</v>
      </c>
      <c r="AG516">
        <v>-31.165299999999998</v>
      </c>
      <c r="AH516">
        <v>2.6587000000000001</v>
      </c>
      <c r="AI516">
        <v>20.933700000000002</v>
      </c>
      <c r="AJ516">
        <v>16.2287</v>
      </c>
      <c r="AK516">
        <v>13.5701</v>
      </c>
      <c r="AL516" t="s">
        <v>134</v>
      </c>
      <c r="AM516">
        <v>2.6112000000000002</v>
      </c>
      <c r="AN516">
        <v>2.1476000000000002</v>
      </c>
      <c r="AO516">
        <v>-0.38300000000000001</v>
      </c>
      <c r="AP516">
        <v>0.44269999999999998</v>
      </c>
      <c r="AQ516">
        <v>0.1953</v>
      </c>
      <c r="AR516" t="s">
        <v>134</v>
      </c>
      <c r="AS516" t="s">
        <v>134</v>
      </c>
      <c r="AT516" t="s">
        <v>134</v>
      </c>
      <c r="AU516" t="s">
        <v>134</v>
      </c>
      <c r="AV516" t="s">
        <v>134</v>
      </c>
      <c r="AW516" t="s">
        <v>134</v>
      </c>
      <c r="AX516" t="s">
        <v>134</v>
      </c>
      <c r="AY516" t="s">
        <v>134</v>
      </c>
      <c r="AZ516" t="s">
        <v>134</v>
      </c>
      <c r="BA516" t="s">
        <v>134</v>
      </c>
      <c r="BB516" t="s">
        <v>134</v>
      </c>
      <c r="BC516" t="s">
        <v>134</v>
      </c>
      <c r="BD516" t="s">
        <v>134</v>
      </c>
      <c r="BE516" t="s">
        <v>134</v>
      </c>
      <c r="BF516">
        <v>5.4763000000000002</v>
      </c>
      <c r="BG516">
        <v>11.827299999999999</v>
      </c>
      <c r="BH516">
        <v>17.483799999999999</v>
      </c>
      <c r="BI516" t="s">
        <v>134</v>
      </c>
      <c r="BJ516" t="s">
        <v>134</v>
      </c>
      <c r="BK516" t="s">
        <v>134</v>
      </c>
      <c r="BL516">
        <v>1.0101</v>
      </c>
      <c r="BM516">
        <v>5.6680000000000001</v>
      </c>
      <c r="BN516">
        <v>8.3489000000000004</v>
      </c>
      <c r="BO516">
        <v>0.434</v>
      </c>
      <c r="BP516">
        <v>5.9001999999999999</v>
      </c>
      <c r="BQ516">
        <v>-6.3936999999999999</v>
      </c>
      <c r="BR516">
        <v>-0.96760000000000002</v>
      </c>
      <c r="BS516">
        <v>-19.548999999999999</v>
      </c>
      <c r="BT516">
        <v>0.2571</v>
      </c>
      <c r="BU516">
        <v>3.3952</v>
      </c>
      <c r="BV516">
        <v>2.6644999999999999</v>
      </c>
      <c r="BW516">
        <v>1.2530999999999999</v>
      </c>
      <c r="BX516" t="s">
        <v>134</v>
      </c>
      <c r="BY516">
        <v>11970</v>
      </c>
      <c r="BZ516">
        <v>2540</v>
      </c>
      <c r="CA516">
        <v>9430</v>
      </c>
      <c r="CB516">
        <v>1.5923</v>
      </c>
      <c r="CC516">
        <v>0.157</v>
      </c>
      <c r="CD516">
        <v>2.3420000000000001</v>
      </c>
      <c r="CE516">
        <v>0.23089999999999999</v>
      </c>
      <c r="CF516">
        <v>126.0667</v>
      </c>
      <c r="CG516">
        <v>53.101500000000001</v>
      </c>
      <c r="CH516">
        <v>23.186599999999999</v>
      </c>
      <c r="CI516">
        <v>17.914100000000001</v>
      </c>
      <c r="CJ516">
        <v>13.385400000000001</v>
      </c>
      <c r="CK516">
        <v>29.431999999999999</v>
      </c>
      <c r="CL516">
        <v>22.7394</v>
      </c>
      <c r="CM516">
        <v>16.9908</v>
      </c>
      <c r="CN516">
        <v>2.9013999999999998</v>
      </c>
      <c r="CO516">
        <v>2.8195999999999999</v>
      </c>
      <c r="CP516">
        <v>1891</v>
      </c>
      <c r="CQ516" t="s">
        <v>134</v>
      </c>
      <c r="CR516">
        <v>1270</v>
      </c>
      <c r="CS516">
        <v>0.75449999999999995</v>
      </c>
      <c r="CT516">
        <v>1.8371</v>
      </c>
      <c r="CU516">
        <v>1.2615000000000001</v>
      </c>
      <c r="CV516">
        <v>3.7084000000000001</v>
      </c>
      <c r="CW516">
        <v>4.5221</v>
      </c>
      <c r="CX516">
        <v>80.713899999999995</v>
      </c>
      <c r="CY516">
        <v>2.5651999999999999</v>
      </c>
      <c r="CZ516">
        <v>142.29140000000001</v>
      </c>
      <c r="DA516">
        <v>2.7133000000000003</v>
      </c>
      <c r="DB516">
        <v>134.5215</v>
      </c>
      <c r="DC516">
        <v>88.483800000000002</v>
      </c>
      <c r="DD516">
        <v>223.00530000000001</v>
      </c>
      <c r="DE516">
        <v>5330</v>
      </c>
      <c r="DF516" t="s">
        <v>134</v>
      </c>
      <c r="DG516" t="s">
        <v>134</v>
      </c>
      <c r="DH516" t="s">
        <v>134</v>
      </c>
      <c r="DI516" t="s">
        <v>134</v>
      </c>
    </row>
    <row r="517" spans="1:113" x14ac:dyDescent="0.3">
      <c r="E517" t="s">
        <v>81</v>
      </c>
      <c r="F517">
        <v>15.7872</v>
      </c>
      <c r="G517">
        <v>7.7849000000000004</v>
      </c>
      <c r="H517">
        <v>11.439500000000001</v>
      </c>
      <c r="I517">
        <v>5.6756000000000002</v>
      </c>
      <c r="J517">
        <v>21.962299999999999</v>
      </c>
      <c r="K517">
        <v>15.4901</v>
      </c>
      <c r="L517">
        <v>16.8596</v>
      </c>
      <c r="M517">
        <v>45.552900000000001</v>
      </c>
      <c r="N517">
        <v>39.5548</v>
      </c>
      <c r="O517">
        <v>37.194699999999997</v>
      </c>
      <c r="P517">
        <v>37.194699999999997</v>
      </c>
      <c r="Q517">
        <v>13.167400000000001</v>
      </c>
      <c r="R517" t="s">
        <v>134</v>
      </c>
      <c r="S517" t="s">
        <v>134</v>
      </c>
      <c r="T517">
        <v>16.850100000000001</v>
      </c>
      <c r="U517">
        <v>15.046200000000001</v>
      </c>
      <c r="V517">
        <v>18.6173</v>
      </c>
      <c r="W517">
        <v>79.071200000000005</v>
      </c>
      <c r="X517">
        <v>79.067499999999995</v>
      </c>
      <c r="Y517" t="s">
        <v>134</v>
      </c>
      <c r="Z517">
        <v>6.8007999999999997</v>
      </c>
      <c r="AA517">
        <v>12.9666</v>
      </c>
      <c r="AB517">
        <v>18.8096</v>
      </c>
      <c r="AC517">
        <v>33.0364</v>
      </c>
      <c r="AD517">
        <v>-0.84389999999999998</v>
      </c>
      <c r="AE517">
        <v>134.70580000000001</v>
      </c>
      <c r="AF517">
        <v>27.44</v>
      </c>
      <c r="AG517">
        <v>51.302700000000002</v>
      </c>
      <c r="AH517">
        <v>139.4042</v>
      </c>
      <c r="AI517">
        <v>26.8386</v>
      </c>
      <c r="AJ517">
        <v>52.771900000000002</v>
      </c>
      <c r="AK517">
        <v>24.0017</v>
      </c>
      <c r="AL517" t="s">
        <v>134</v>
      </c>
      <c r="AM517">
        <v>6.6988000000000003</v>
      </c>
      <c r="AN517">
        <v>7.9855</v>
      </c>
      <c r="AO517">
        <v>7.3308999999999997</v>
      </c>
      <c r="AP517">
        <v>29.055499999999999</v>
      </c>
      <c r="AQ517">
        <v>28.709700000000002</v>
      </c>
      <c r="AR517" t="s">
        <v>134</v>
      </c>
      <c r="AS517">
        <v>10.664400000000001</v>
      </c>
      <c r="AT517">
        <v>4.3314000000000004</v>
      </c>
      <c r="AU517">
        <v>22.138300000000001</v>
      </c>
      <c r="AV517">
        <v>18.790900000000001</v>
      </c>
      <c r="AW517">
        <v>5.1295999999999999</v>
      </c>
      <c r="AX517">
        <v>25.942</v>
      </c>
      <c r="AY517">
        <v>13.033799999999999</v>
      </c>
      <c r="AZ517">
        <v>9.8038000000000007</v>
      </c>
      <c r="BA517">
        <v>51.105400000000003</v>
      </c>
      <c r="BB517">
        <v>16.0961</v>
      </c>
      <c r="BC517">
        <v>23.448499999999999</v>
      </c>
      <c r="BD517">
        <v>14.8133</v>
      </c>
      <c r="BE517" t="s">
        <v>134</v>
      </c>
      <c r="BF517">
        <v>22.9785</v>
      </c>
      <c r="BG517">
        <v>15.3139</v>
      </c>
      <c r="BH517">
        <v>24.317599999999999</v>
      </c>
      <c r="BI517">
        <v>246.6859</v>
      </c>
      <c r="BJ517">
        <v>246.78190000000001</v>
      </c>
      <c r="BK517" t="s">
        <v>134</v>
      </c>
      <c r="BL517">
        <v>13.503399999999999</v>
      </c>
      <c r="BM517">
        <v>-4.0525000000000002</v>
      </c>
      <c r="BN517">
        <v>-0.68520000000000003</v>
      </c>
      <c r="BO517">
        <v>20.3918</v>
      </c>
      <c r="BP517">
        <v>7.1020000000000003</v>
      </c>
      <c r="BQ517">
        <v>97.627399999999994</v>
      </c>
      <c r="BR517">
        <v>4.6079999999999997</v>
      </c>
      <c r="BS517">
        <v>55.4724</v>
      </c>
      <c r="BT517">
        <v>106.1236</v>
      </c>
      <c r="BU517">
        <v>7.3715000000000002</v>
      </c>
      <c r="BV517">
        <v>29.827100000000002</v>
      </c>
      <c r="BW517">
        <v>8.4094999999999995</v>
      </c>
      <c r="BX517" t="s">
        <v>134</v>
      </c>
      <c r="BY517">
        <v>24673</v>
      </c>
      <c r="BZ517">
        <v>3949</v>
      </c>
      <c r="CA517">
        <v>20724</v>
      </c>
      <c r="CB517">
        <v>3.1823999999999999</v>
      </c>
      <c r="CC517">
        <v>0.1532</v>
      </c>
      <c r="CD517">
        <v>4.6676000000000002</v>
      </c>
      <c r="CE517">
        <v>0.22470000000000001</v>
      </c>
      <c r="CF517">
        <v>152.21430000000001</v>
      </c>
      <c r="CG517">
        <v>47.816400000000002</v>
      </c>
      <c r="CH517">
        <v>47.458100000000002</v>
      </c>
      <c r="CI517">
        <v>30.324400000000001</v>
      </c>
      <c r="CJ517">
        <v>24.434100000000001</v>
      </c>
      <c r="CK517">
        <v>56.501300000000001</v>
      </c>
      <c r="CL517">
        <v>36.102800000000002</v>
      </c>
      <c r="CM517">
        <v>29.09</v>
      </c>
      <c r="CN517">
        <v>2.7204999999999999</v>
      </c>
      <c r="CO517">
        <v>2.6484999999999999</v>
      </c>
      <c r="CP517">
        <v>2131</v>
      </c>
      <c r="CQ517" t="s">
        <v>134</v>
      </c>
      <c r="CR517">
        <v>1503</v>
      </c>
      <c r="CS517">
        <v>1.4429000000000001</v>
      </c>
      <c r="CT517">
        <v>2.4534000000000002</v>
      </c>
      <c r="CU517">
        <v>1.9485000000000001</v>
      </c>
      <c r="CV517">
        <v>2.8769999999999998</v>
      </c>
      <c r="CW517">
        <v>4.1451000000000002</v>
      </c>
      <c r="CX517">
        <v>88.2971</v>
      </c>
      <c r="CY517">
        <v>2.7949000000000002</v>
      </c>
      <c r="CZ517">
        <v>130.95099999999999</v>
      </c>
      <c r="DA517">
        <v>2.88</v>
      </c>
      <c r="DB517">
        <v>127.0848</v>
      </c>
      <c r="DC517">
        <v>92.163300000000007</v>
      </c>
      <c r="DD517">
        <v>219.24809999999999</v>
      </c>
      <c r="DE517">
        <v>5114</v>
      </c>
      <c r="DF517">
        <v>1359</v>
      </c>
      <c r="DG517">
        <v>1707</v>
      </c>
      <c r="DH517">
        <v>1401</v>
      </c>
      <c r="DI517">
        <v>647</v>
      </c>
    </row>
    <row r="518" spans="1:113" x14ac:dyDescent="0.3">
      <c r="D518" t="s">
        <v>84</v>
      </c>
      <c r="E518" t="s">
        <v>77</v>
      </c>
      <c r="F518">
        <v>13.799200000000001</v>
      </c>
      <c r="G518">
        <v>6.8574000000000002</v>
      </c>
      <c r="H518">
        <v>9.9978999999999996</v>
      </c>
      <c r="I518">
        <v>8.1012000000000004</v>
      </c>
      <c r="J518">
        <v>25.4693</v>
      </c>
      <c r="K518">
        <v>18.261500000000002</v>
      </c>
      <c r="L518">
        <v>31.167100000000001</v>
      </c>
      <c r="M518">
        <v>22.094200000000001</v>
      </c>
      <c r="N518">
        <v>17.892199999999999</v>
      </c>
      <c r="O518">
        <v>15.9161</v>
      </c>
      <c r="P518">
        <v>15.9161</v>
      </c>
      <c r="Q518">
        <v>19.0185</v>
      </c>
      <c r="R518">
        <v>3.2673999999999999</v>
      </c>
      <c r="S518">
        <v>13.3484</v>
      </c>
      <c r="T518">
        <v>18.041699999999999</v>
      </c>
      <c r="U518">
        <v>27.572299999999998</v>
      </c>
      <c r="V518">
        <v>35.291899999999998</v>
      </c>
      <c r="W518">
        <v>11.21</v>
      </c>
      <c r="X518">
        <v>10.5677</v>
      </c>
      <c r="Y518">
        <v>-80</v>
      </c>
      <c r="Z518">
        <v>23.610900000000001</v>
      </c>
      <c r="AA518">
        <v>17.127600000000001</v>
      </c>
      <c r="AB518">
        <v>9.2172999999999998</v>
      </c>
      <c r="AC518">
        <v>11.067500000000001</v>
      </c>
      <c r="AD518">
        <v>20.3523</v>
      </c>
      <c r="AE518">
        <v>2.7850000000000001</v>
      </c>
      <c r="AF518">
        <v>21.302099999999999</v>
      </c>
      <c r="AG518">
        <v>-75.386200000000002</v>
      </c>
      <c r="AH518">
        <v>-10.614800000000001</v>
      </c>
      <c r="AI518">
        <v>21.2624</v>
      </c>
      <c r="AJ518">
        <v>9.6395999999999997</v>
      </c>
      <c r="AK518">
        <v>19.929099999999998</v>
      </c>
      <c r="AL518">
        <v>80.224999999999994</v>
      </c>
      <c r="AM518">
        <v>13.4198</v>
      </c>
      <c r="AN518">
        <v>13.558</v>
      </c>
      <c r="AO518">
        <v>15.417300000000001</v>
      </c>
      <c r="AP518">
        <v>12.5844</v>
      </c>
      <c r="AQ518">
        <v>12.6059</v>
      </c>
      <c r="AR518">
        <v>-27.521999999999998</v>
      </c>
      <c r="AS518">
        <v>12.427300000000001</v>
      </c>
      <c r="AT518">
        <v>10.924799999999999</v>
      </c>
      <c r="AU518">
        <v>21.603100000000001</v>
      </c>
      <c r="AV518">
        <v>18.9495</v>
      </c>
      <c r="AW518">
        <v>8.3223000000000003</v>
      </c>
      <c r="AX518">
        <v>19.216799999999999</v>
      </c>
      <c r="AY518">
        <v>16.290800000000001</v>
      </c>
      <c r="AZ518">
        <v>-12.294700000000001</v>
      </c>
      <c r="BA518">
        <v>53.701099999999997</v>
      </c>
      <c r="BB518">
        <v>18.029</v>
      </c>
      <c r="BC518">
        <v>23.975000000000001</v>
      </c>
      <c r="BD518">
        <v>16.313700000000001</v>
      </c>
      <c r="BE518">
        <v>5.024</v>
      </c>
      <c r="BF518">
        <v>18.041699999999999</v>
      </c>
      <c r="BG518">
        <v>27.572299999999998</v>
      </c>
      <c r="BH518">
        <v>35.291899999999998</v>
      </c>
      <c r="BI518">
        <v>11.21</v>
      </c>
      <c r="BJ518">
        <v>10.5677</v>
      </c>
      <c r="BK518">
        <v>-80</v>
      </c>
      <c r="BL518">
        <v>23.610900000000001</v>
      </c>
      <c r="BM518">
        <v>17.127600000000001</v>
      </c>
      <c r="BN518">
        <v>9.2172999999999998</v>
      </c>
      <c r="BO518">
        <v>11.067500000000001</v>
      </c>
      <c r="BP518">
        <v>20.3523</v>
      </c>
      <c r="BQ518">
        <v>2.7850000000000001</v>
      </c>
      <c r="BR518">
        <v>21.302099999999999</v>
      </c>
      <c r="BS518">
        <v>-75.386200000000002</v>
      </c>
      <c r="BT518">
        <v>-10.614800000000001</v>
      </c>
      <c r="BU518">
        <v>21.2624</v>
      </c>
      <c r="BV518">
        <v>9.6395999999999997</v>
      </c>
      <c r="BW518">
        <v>19.929099999999998</v>
      </c>
      <c r="BX518">
        <v>80.224999999999994</v>
      </c>
      <c r="BY518">
        <v>22054</v>
      </c>
      <c r="BZ518">
        <v>972</v>
      </c>
      <c r="CA518">
        <v>21082</v>
      </c>
      <c r="CB518">
        <v>2.2515999999999998</v>
      </c>
      <c r="CC518">
        <v>9.8699999999999996E-2</v>
      </c>
      <c r="CD518">
        <v>3.1402999999999999</v>
      </c>
      <c r="CE518">
        <v>0.13769999999999999</v>
      </c>
      <c r="CF518">
        <v>37.673099999999998</v>
      </c>
      <c r="CG518">
        <v>51.496699999999997</v>
      </c>
      <c r="CH518">
        <v>40.435000000000002</v>
      </c>
      <c r="CI518">
        <v>28.415500000000002</v>
      </c>
      <c r="CJ518">
        <v>22.441500000000001</v>
      </c>
      <c r="CK518">
        <v>42.299300000000002</v>
      </c>
      <c r="CL518">
        <v>29.7256</v>
      </c>
      <c r="CM518">
        <v>23.476199999999999</v>
      </c>
      <c r="CN518">
        <v>1.8547</v>
      </c>
      <c r="CO518">
        <v>1.8209</v>
      </c>
      <c r="CP518">
        <v>9795</v>
      </c>
      <c r="CQ518">
        <v>3711</v>
      </c>
      <c r="CR518">
        <v>7023</v>
      </c>
      <c r="CS518">
        <v>1.2564</v>
      </c>
      <c r="CT518">
        <v>2.4117999999999999</v>
      </c>
      <c r="CU518">
        <v>1.7827</v>
      </c>
      <c r="CV518">
        <v>4.8552999999999997</v>
      </c>
      <c r="CW518">
        <v>4.8141999999999996</v>
      </c>
      <c r="CX518">
        <v>75.817800000000005</v>
      </c>
      <c r="CY518">
        <v>2.5737999999999999</v>
      </c>
      <c r="CZ518">
        <v>141.81200000000001</v>
      </c>
      <c r="DA518">
        <v>2.3837999999999999</v>
      </c>
      <c r="DB518">
        <v>153.1139</v>
      </c>
      <c r="DC518">
        <v>64.515900000000002</v>
      </c>
      <c r="DD518">
        <v>217.62979999999999</v>
      </c>
      <c r="DE518">
        <v>6353</v>
      </c>
      <c r="DF518">
        <v>1531</v>
      </c>
      <c r="DG518">
        <v>2466</v>
      </c>
      <c r="DH518">
        <v>1747</v>
      </c>
      <c r="DI518">
        <v>609</v>
      </c>
    </row>
    <row r="519" spans="1:113" x14ac:dyDescent="0.3">
      <c r="E519" t="s">
        <v>78</v>
      </c>
      <c r="F519" t="s">
        <v>134</v>
      </c>
      <c r="G519" t="s">
        <v>134</v>
      </c>
      <c r="H519" t="s">
        <v>134</v>
      </c>
      <c r="I519" t="s">
        <v>134</v>
      </c>
      <c r="J519">
        <v>27.067900000000002</v>
      </c>
      <c r="K519">
        <v>20.267499999999998</v>
      </c>
      <c r="L519">
        <v>22.279299999999999</v>
      </c>
      <c r="M519">
        <v>23.8889</v>
      </c>
      <c r="N519">
        <v>18.7654</v>
      </c>
      <c r="O519">
        <v>17.139900000000001</v>
      </c>
      <c r="P519">
        <v>17.139900000000001</v>
      </c>
      <c r="Q519">
        <v>23.772600000000001</v>
      </c>
      <c r="R519" t="s">
        <v>134</v>
      </c>
      <c r="S519" t="s">
        <v>134</v>
      </c>
      <c r="T519">
        <v>28.249099999999999</v>
      </c>
      <c r="U519">
        <v>26.308199999999999</v>
      </c>
      <c r="V519">
        <v>31.949100000000001</v>
      </c>
      <c r="W519">
        <v>34.463299999999997</v>
      </c>
      <c r="X519">
        <v>34.463299999999997</v>
      </c>
      <c r="Y519" t="s">
        <v>134</v>
      </c>
      <c r="Z519" t="s">
        <v>134</v>
      </c>
      <c r="AA519" t="s">
        <v>134</v>
      </c>
      <c r="AB519" t="s">
        <v>134</v>
      </c>
      <c r="AC519" t="s">
        <v>134</v>
      </c>
      <c r="AD519" t="s">
        <v>134</v>
      </c>
      <c r="AE519" t="s">
        <v>134</v>
      </c>
      <c r="AF519" t="s">
        <v>134</v>
      </c>
      <c r="AG519" t="s">
        <v>134</v>
      </c>
      <c r="AH519" t="s">
        <v>134</v>
      </c>
      <c r="AI519" t="s">
        <v>134</v>
      </c>
      <c r="AJ519" t="s">
        <v>134</v>
      </c>
      <c r="AK519" t="s">
        <v>134</v>
      </c>
      <c r="AL519" t="s">
        <v>134</v>
      </c>
      <c r="AM519">
        <v>17.265699999999999</v>
      </c>
      <c r="AN519">
        <v>18.6389</v>
      </c>
      <c r="AO519">
        <v>24.114100000000001</v>
      </c>
      <c r="AP519">
        <v>18.919599999999999</v>
      </c>
      <c r="AQ519">
        <v>18.599599999999999</v>
      </c>
      <c r="AR519" t="s">
        <v>134</v>
      </c>
      <c r="AS519" t="s">
        <v>134</v>
      </c>
      <c r="AT519" t="s">
        <v>134</v>
      </c>
      <c r="AU519" t="s">
        <v>134</v>
      </c>
      <c r="AV519" t="s">
        <v>134</v>
      </c>
      <c r="AW519" t="s">
        <v>134</v>
      </c>
      <c r="AX519" t="s">
        <v>134</v>
      </c>
      <c r="AY519" t="s">
        <v>134</v>
      </c>
      <c r="AZ519" t="s">
        <v>134</v>
      </c>
      <c r="BA519" t="s">
        <v>134</v>
      </c>
      <c r="BB519" t="s">
        <v>134</v>
      </c>
      <c r="BC519" t="s">
        <v>134</v>
      </c>
      <c r="BD519" t="s">
        <v>134</v>
      </c>
      <c r="BE519" t="s">
        <v>134</v>
      </c>
      <c r="BF519">
        <v>4.1242999999999999</v>
      </c>
      <c r="BG519">
        <v>28.592400000000001</v>
      </c>
      <c r="BH519">
        <v>40.915599999999998</v>
      </c>
      <c r="BI519">
        <v>-49.97</v>
      </c>
      <c r="BJ519">
        <v>-50.855499999999999</v>
      </c>
      <c r="BK519" t="s">
        <v>134</v>
      </c>
      <c r="BL519" t="s">
        <v>134</v>
      </c>
      <c r="BM519" t="s">
        <v>134</v>
      </c>
      <c r="BN519" t="s">
        <v>134</v>
      </c>
      <c r="BO519" t="s">
        <v>134</v>
      </c>
      <c r="BP519" t="s">
        <v>134</v>
      </c>
      <c r="BQ519" t="s">
        <v>134</v>
      </c>
      <c r="BR519" t="s">
        <v>134</v>
      </c>
      <c r="BS519" t="s">
        <v>134</v>
      </c>
      <c r="BT519" t="s">
        <v>134</v>
      </c>
      <c r="BU519" t="s">
        <v>134</v>
      </c>
      <c r="BV519" t="s">
        <v>134</v>
      </c>
      <c r="BW519" t="s">
        <v>134</v>
      </c>
      <c r="BX519" t="s">
        <v>134</v>
      </c>
      <c r="BY519" t="s">
        <v>134</v>
      </c>
      <c r="BZ519" t="s">
        <v>134</v>
      </c>
      <c r="CA519" t="s">
        <v>134</v>
      </c>
      <c r="CB519" t="s">
        <v>134</v>
      </c>
      <c r="CC519" t="s">
        <v>134</v>
      </c>
      <c r="CD519" t="s">
        <v>134</v>
      </c>
      <c r="CE519" t="s">
        <v>134</v>
      </c>
      <c r="CF519">
        <v>46.157899999999998</v>
      </c>
      <c r="CG519" t="s">
        <v>134</v>
      </c>
      <c r="CH519" t="s">
        <v>134</v>
      </c>
      <c r="CI519" t="s">
        <v>134</v>
      </c>
      <c r="CJ519" t="s">
        <v>134</v>
      </c>
      <c r="CK519" t="s">
        <v>134</v>
      </c>
      <c r="CL519" t="s">
        <v>134</v>
      </c>
      <c r="CM519" t="s">
        <v>134</v>
      </c>
      <c r="CN519" t="s">
        <v>134</v>
      </c>
      <c r="CO519" t="s">
        <v>134</v>
      </c>
      <c r="CP519">
        <v>2631</v>
      </c>
      <c r="CQ519" t="s">
        <v>134</v>
      </c>
      <c r="CR519">
        <v>1970</v>
      </c>
      <c r="CS519" t="s">
        <v>134</v>
      </c>
      <c r="CT519" t="s">
        <v>134</v>
      </c>
      <c r="CU519" t="s">
        <v>134</v>
      </c>
      <c r="CV519" t="s">
        <v>134</v>
      </c>
      <c r="CW519" t="s">
        <v>134</v>
      </c>
      <c r="CX519" t="s">
        <v>134</v>
      </c>
      <c r="CY519" t="s">
        <v>134</v>
      </c>
      <c r="CZ519" t="s">
        <v>134</v>
      </c>
      <c r="DA519" t="s">
        <v>134</v>
      </c>
      <c r="DB519" t="s">
        <v>134</v>
      </c>
      <c r="DC519" t="s">
        <v>134</v>
      </c>
      <c r="DD519" t="s">
        <v>134</v>
      </c>
      <c r="DE519" t="s">
        <v>134</v>
      </c>
      <c r="DF519" t="s">
        <v>134</v>
      </c>
      <c r="DG519" t="s">
        <v>134</v>
      </c>
      <c r="DH519" t="s">
        <v>134</v>
      </c>
      <c r="DI519" t="s">
        <v>134</v>
      </c>
    </row>
    <row r="520" spans="1:113" x14ac:dyDescent="0.3">
      <c r="E520" t="s">
        <v>79</v>
      </c>
      <c r="F520">
        <v>18.6508</v>
      </c>
      <c r="G520">
        <v>9.4465000000000003</v>
      </c>
      <c r="H520" t="s">
        <v>134</v>
      </c>
      <c r="I520">
        <v>8.3668999999999993</v>
      </c>
      <c r="J520">
        <v>25.521100000000001</v>
      </c>
      <c r="K520">
        <v>18.258199999999999</v>
      </c>
      <c r="L520">
        <v>40.979399999999998</v>
      </c>
      <c r="M520">
        <v>21.650400000000001</v>
      </c>
      <c r="N520">
        <v>17.705200000000001</v>
      </c>
      <c r="O520">
        <v>15.5997</v>
      </c>
      <c r="P520">
        <v>15.5997</v>
      </c>
      <c r="Q520">
        <v>20.481300000000001</v>
      </c>
      <c r="R520" t="s">
        <v>134</v>
      </c>
      <c r="S520" t="s">
        <v>134</v>
      </c>
      <c r="T520">
        <v>19.765699999999999</v>
      </c>
      <c r="U520">
        <v>41.927900000000001</v>
      </c>
      <c r="V520">
        <v>58.834400000000002</v>
      </c>
      <c r="W520" t="s">
        <v>134</v>
      </c>
      <c r="X520" t="s">
        <v>134</v>
      </c>
      <c r="Y520" t="s">
        <v>134</v>
      </c>
      <c r="Z520">
        <v>11.389799999999999</v>
      </c>
      <c r="AA520">
        <v>4.5380000000000003</v>
      </c>
      <c r="AB520">
        <v>19.001100000000001</v>
      </c>
      <c r="AC520">
        <v>26.491199999999999</v>
      </c>
      <c r="AD520">
        <v>-10.5108</v>
      </c>
      <c r="AE520">
        <v>85.132499999999993</v>
      </c>
      <c r="AF520">
        <v>33.627499999999998</v>
      </c>
      <c r="AG520">
        <v>-2.3502000000000001</v>
      </c>
      <c r="AH520">
        <v>104.7272</v>
      </c>
      <c r="AI520">
        <v>20.718499999999999</v>
      </c>
      <c r="AJ520">
        <v>40.280200000000001</v>
      </c>
      <c r="AK520">
        <v>19.655100000000001</v>
      </c>
      <c r="AL520" t="s">
        <v>134</v>
      </c>
      <c r="AM520">
        <v>13.0875</v>
      </c>
      <c r="AN520">
        <v>11.6275</v>
      </c>
      <c r="AO520">
        <v>12.4343</v>
      </c>
      <c r="AP520">
        <v>11.3499</v>
      </c>
      <c r="AQ520">
        <v>11.0662</v>
      </c>
      <c r="AR520" t="s">
        <v>134</v>
      </c>
      <c r="AS520">
        <v>9.6005000000000003</v>
      </c>
      <c r="AT520">
        <v>8.9631000000000007</v>
      </c>
      <c r="AU520">
        <v>22.025099999999998</v>
      </c>
      <c r="AV520">
        <v>19.744800000000001</v>
      </c>
      <c r="AW520">
        <v>-6.0561999999999996</v>
      </c>
      <c r="AX520">
        <v>49.370600000000003</v>
      </c>
      <c r="AY520" t="s">
        <v>134</v>
      </c>
      <c r="AZ520" t="s">
        <v>134</v>
      </c>
      <c r="BA520">
        <v>49.031399999999998</v>
      </c>
      <c r="BB520">
        <v>16.559899999999999</v>
      </c>
      <c r="BC520">
        <v>23.148599999999998</v>
      </c>
      <c r="BD520">
        <v>14.9057</v>
      </c>
      <c r="BE520" t="s">
        <v>134</v>
      </c>
      <c r="BF520">
        <v>-4.2751999999999999</v>
      </c>
      <c r="BG520">
        <v>-8.7798999999999996</v>
      </c>
      <c r="BH520">
        <v>-12.842600000000001</v>
      </c>
      <c r="BI520">
        <v>-11.944800000000001</v>
      </c>
      <c r="BJ520">
        <v>-11.944800000000001</v>
      </c>
      <c r="BK520" t="s">
        <v>134</v>
      </c>
      <c r="BL520" t="s">
        <v>134</v>
      </c>
      <c r="BM520" t="s">
        <v>134</v>
      </c>
      <c r="BN520" t="s">
        <v>134</v>
      </c>
      <c r="BO520" t="s">
        <v>134</v>
      </c>
      <c r="BP520" t="s">
        <v>134</v>
      </c>
      <c r="BQ520" t="s">
        <v>134</v>
      </c>
      <c r="BR520" t="s">
        <v>134</v>
      </c>
      <c r="BS520" t="s">
        <v>134</v>
      </c>
      <c r="BT520" t="s">
        <v>134</v>
      </c>
      <c r="BU520" t="s">
        <v>134</v>
      </c>
      <c r="BV520" t="s">
        <v>134</v>
      </c>
      <c r="BW520" t="s">
        <v>134</v>
      </c>
      <c r="BX520" t="s">
        <v>134</v>
      </c>
      <c r="BY520">
        <v>24443</v>
      </c>
      <c r="BZ520">
        <v>3083</v>
      </c>
      <c r="CA520">
        <v>21360</v>
      </c>
      <c r="CB520">
        <v>2.7387000000000001</v>
      </c>
      <c r="CC520">
        <v>0.1482</v>
      </c>
      <c r="CD520">
        <v>3.8834999999999997</v>
      </c>
      <c r="CE520">
        <v>0.2102</v>
      </c>
      <c r="CF520">
        <v>36.923099999999998</v>
      </c>
      <c r="CG520">
        <v>49.825299999999999</v>
      </c>
      <c r="CH520">
        <v>44.983600000000003</v>
      </c>
      <c r="CI520">
        <v>29.6968</v>
      </c>
      <c r="CJ520">
        <v>24.073599999999999</v>
      </c>
      <c r="CK520">
        <v>51.476300000000002</v>
      </c>
      <c r="CL520">
        <v>33.9831</v>
      </c>
      <c r="CM520">
        <v>27.548200000000001</v>
      </c>
      <c r="CN520">
        <v>2.7862</v>
      </c>
      <c r="CO520">
        <v>2.7107000000000001</v>
      </c>
      <c r="CP520">
        <v>2400</v>
      </c>
      <c r="CQ520" t="s">
        <v>134</v>
      </c>
      <c r="CR520">
        <v>1717</v>
      </c>
      <c r="CS520">
        <v>1.4651000000000001</v>
      </c>
      <c r="CT520">
        <v>2.5003000000000002</v>
      </c>
      <c r="CU520">
        <v>1.9718</v>
      </c>
      <c r="CV520">
        <v>4.4475999999999996</v>
      </c>
      <c r="CW520">
        <v>4.8051000000000004</v>
      </c>
      <c r="CX520">
        <v>76.168400000000005</v>
      </c>
      <c r="CY520">
        <v>2.6261000000000001</v>
      </c>
      <c r="CZ520">
        <v>139.36879999999999</v>
      </c>
      <c r="DA520">
        <v>2.2330999999999999</v>
      </c>
      <c r="DB520">
        <v>163.90020000000001</v>
      </c>
      <c r="DC520">
        <v>51.637099999999997</v>
      </c>
      <c r="DD520">
        <v>215.53720000000001</v>
      </c>
      <c r="DE520">
        <v>5273</v>
      </c>
      <c r="DF520" t="s">
        <v>134</v>
      </c>
      <c r="DG520" t="s">
        <v>134</v>
      </c>
      <c r="DH520" t="s">
        <v>134</v>
      </c>
      <c r="DI520" t="s">
        <v>134</v>
      </c>
    </row>
    <row r="521" spans="1:113" x14ac:dyDescent="0.3">
      <c r="E521" t="s">
        <v>80</v>
      </c>
      <c r="F521">
        <v>19.538799999999998</v>
      </c>
      <c r="G521">
        <v>10.0566</v>
      </c>
      <c r="H521" t="s">
        <v>134</v>
      </c>
      <c r="I521">
        <v>8.9458000000000002</v>
      </c>
      <c r="J521">
        <v>27.002400000000002</v>
      </c>
      <c r="K521">
        <v>20.127099999999999</v>
      </c>
      <c r="L521">
        <v>36.359699999999997</v>
      </c>
      <c r="M521">
        <v>23.902200000000001</v>
      </c>
      <c r="N521">
        <v>18.6601</v>
      </c>
      <c r="O521">
        <v>16.7531</v>
      </c>
      <c r="P521">
        <v>16.7531</v>
      </c>
      <c r="Q521">
        <v>22.258600000000001</v>
      </c>
      <c r="R521" t="s">
        <v>134</v>
      </c>
      <c r="S521" t="s">
        <v>134</v>
      </c>
      <c r="T521">
        <v>29.5944</v>
      </c>
      <c r="U521">
        <v>49.404800000000002</v>
      </c>
      <c r="V521">
        <v>70.223299999999995</v>
      </c>
      <c r="W521">
        <v>64.553299999999993</v>
      </c>
      <c r="X521">
        <v>64.553299999999993</v>
      </c>
      <c r="Y521" t="s">
        <v>134</v>
      </c>
      <c r="Z521">
        <v>25.103400000000001</v>
      </c>
      <c r="AA521">
        <v>13.3208</v>
      </c>
      <c r="AB521">
        <v>11.283300000000001</v>
      </c>
      <c r="AC521">
        <v>30.802</v>
      </c>
      <c r="AD521">
        <v>11.0204</v>
      </c>
      <c r="AE521">
        <v>114.7034</v>
      </c>
      <c r="AF521">
        <v>32.8872</v>
      </c>
      <c r="AG521">
        <v>24.015699999999999</v>
      </c>
      <c r="AH521">
        <v>112.61490000000001</v>
      </c>
      <c r="AI521">
        <v>22.449000000000002</v>
      </c>
      <c r="AJ521">
        <v>42.952100000000002</v>
      </c>
      <c r="AK521">
        <v>23.7102</v>
      </c>
      <c r="AL521" t="s">
        <v>134</v>
      </c>
      <c r="AM521">
        <v>14.604800000000001</v>
      </c>
      <c r="AN521">
        <v>16.488800000000001</v>
      </c>
      <c r="AO521">
        <v>19.252800000000001</v>
      </c>
      <c r="AP521">
        <v>15.085599999999999</v>
      </c>
      <c r="AQ521">
        <v>14.776199999999999</v>
      </c>
      <c r="AR521" t="s">
        <v>134</v>
      </c>
      <c r="AS521">
        <v>13.5725</v>
      </c>
      <c r="AT521">
        <v>9.5387000000000004</v>
      </c>
      <c r="AU521">
        <v>21.200800000000001</v>
      </c>
      <c r="AV521">
        <v>18.5825</v>
      </c>
      <c r="AW521">
        <v>-1.1137999999999999</v>
      </c>
      <c r="AX521">
        <v>58.000500000000002</v>
      </c>
      <c r="AY521" t="s">
        <v>134</v>
      </c>
      <c r="AZ521" t="s">
        <v>134</v>
      </c>
      <c r="BA521">
        <v>46.588500000000003</v>
      </c>
      <c r="BB521">
        <v>16.738399999999999</v>
      </c>
      <c r="BC521">
        <v>22.998999999999999</v>
      </c>
      <c r="BD521">
        <v>15.039400000000001</v>
      </c>
      <c r="BE521" t="s">
        <v>134</v>
      </c>
      <c r="BF521">
        <v>8.1095000000000006</v>
      </c>
      <c r="BG521">
        <v>15.041700000000001</v>
      </c>
      <c r="BH521">
        <v>19.860199999999999</v>
      </c>
      <c r="BI521">
        <v>16.768899999999999</v>
      </c>
      <c r="BJ521">
        <v>16.768899999999999</v>
      </c>
      <c r="BK521" t="s">
        <v>134</v>
      </c>
      <c r="BL521">
        <v>13.4459</v>
      </c>
      <c r="BM521">
        <v>14.5458</v>
      </c>
      <c r="BN521">
        <v>1.3219000000000001</v>
      </c>
      <c r="BO521">
        <v>3.8567</v>
      </c>
      <c r="BP521">
        <v>31.379799999999999</v>
      </c>
      <c r="BQ521">
        <v>8.5579000000000001</v>
      </c>
      <c r="BR521">
        <v>-1.5162</v>
      </c>
      <c r="BS521">
        <v>2.1732</v>
      </c>
      <c r="BT521">
        <v>4.1197999999999997</v>
      </c>
      <c r="BU521">
        <v>4.8773999999999997</v>
      </c>
      <c r="BV521">
        <v>4.62</v>
      </c>
      <c r="BW521">
        <v>4.6845999999999997</v>
      </c>
      <c r="BX521" t="s">
        <v>134</v>
      </c>
      <c r="BY521">
        <v>25450</v>
      </c>
      <c r="BZ521">
        <v>3150</v>
      </c>
      <c r="CA521">
        <v>22300</v>
      </c>
      <c r="CB521">
        <v>2.5869</v>
      </c>
      <c r="CC521">
        <v>0.29780000000000001</v>
      </c>
      <c r="CD521">
        <v>3.5629</v>
      </c>
      <c r="CE521">
        <v>0.41020000000000001</v>
      </c>
      <c r="CF521">
        <v>31.375</v>
      </c>
      <c r="CG521">
        <v>50.222499999999997</v>
      </c>
      <c r="CH521">
        <v>44.7791</v>
      </c>
      <c r="CI521">
        <v>29.634599999999999</v>
      </c>
      <c r="CJ521">
        <v>24.1997</v>
      </c>
      <c r="CK521">
        <v>51.104399999999998</v>
      </c>
      <c r="CL521">
        <v>33.820599999999999</v>
      </c>
      <c r="CM521">
        <v>27.617999999999999</v>
      </c>
      <c r="CN521">
        <v>5.8834999999999997</v>
      </c>
      <c r="CO521">
        <v>5.5565999999999995</v>
      </c>
      <c r="CP521">
        <v>2761</v>
      </c>
      <c r="CQ521" t="s">
        <v>134</v>
      </c>
      <c r="CR521">
        <v>2058</v>
      </c>
      <c r="CS521">
        <v>1.4093</v>
      </c>
      <c r="CT521">
        <v>2.6082999999999998</v>
      </c>
      <c r="CU521">
        <v>1.9767999999999999</v>
      </c>
      <c r="CV521">
        <v>4.4795999999999996</v>
      </c>
      <c r="CW521">
        <v>4.76</v>
      </c>
      <c r="CX521">
        <v>76.89</v>
      </c>
      <c r="CY521">
        <v>2.552</v>
      </c>
      <c r="CZ521">
        <v>143.41810000000001</v>
      </c>
      <c r="DA521">
        <v>2.4988999999999999</v>
      </c>
      <c r="DB521">
        <v>146.46729999999999</v>
      </c>
      <c r="DC521">
        <v>73.840699999999998</v>
      </c>
      <c r="DD521">
        <v>220.3081</v>
      </c>
      <c r="DE521">
        <v>6040</v>
      </c>
      <c r="DF521" t="s">
        <v>134</v>
      </c>
      <c r="DG521" t="s">
        <v>134</v>
      </c>
      <c r="DH521" t="s">
        <v>134</v>
      </c>
      <c r="DI521" t="s">
        <v>134</v>
      </c>
    </row>
    <row r="522" spans="1:113" x14ac:dyDescent="0.3">
      <c r="E522" t="s">
        <v>81</v>
      </c>
      <c r="F522">
        <v>13.799200000000001</v>
      </c>
      <c r="G522">
        <v>6.8574000000000002</v>
      </c>
      <c r="H522" t="s">
        <v>134</v>
      </c>
      <c r="I522">
        <v>7.8758999999999997</v>
      </c>
      <c r="J522">
        <v>20.398199999999999</v>
      </c>
      <c r="K522">
        <v>12.510899999999999</v>
      </c>
      <c r="L522">
        <v>-173.42660000000001</v>
      </c>
      <c r="M522">
        <v>17.265000000000001</v>
      </c>
      <c r="N522">
        <v>16.144500000000001</v>
      </c>
      <c r="O522">
        <v>13.870799999999999</v>
      </c>
      <c r="P522">
        <v>13.870799999999999</v>
      </c>
      <c r="Q522">
        <v>6.4901999999999997</v>
      </c>
      <c r="R522" t="s">
        <v>134</v>
      </c>
      <c r="S522" t="s">
        <v>134</v>
      </c>
      <c r="T522">
        <v>-1.5319</v>
      </c>
      <c r="U522">
        <v>-8.3577999999999992</v>
      </c>
      <c r="V522">
        <v>-17.739599999999999</v>
      </c>
      <c r="W522">
        <v>-61.7117</v>
      </c>
      <c r="X522">
        <v>-62.064900000000002</v>
      </c>
      <c r="Y522" t="s">
        <v>134</v>
      </c>
      <c r="Z522">
        <v>23.610900000000001</v>
      </c>
      <c r="AA522">
        <v>17.127600000000001</v>
      </c>
      <c r="AB522">
        <v>9.2172999999999998</v>
      </c>
      <c r="AC522">
        <v>11.067500000000001</v>
      </c>
      <c r="AD522">
        <v>20.3523</v>
      </c>
      <c r="AE522">
        <v>2.7850000000000001</v>
      </c>
      <c r="AF522">
        <v>21.302099999999999</v>
      </c>
      <c r="AG522">
        <v>-75.386200000000002</v>
      </c>
      <c r="AH522">
        <v>-10.614800000000001</v>
      </c>
      <c r="AI522">
        <v>21.2624</v>
      </c>
      <c r="AJ522">
        <v>9.6395999999999997</v>
      </c>
      <c r="AK522">
        <v>19.929099999999998</v>
      </c>
      <c r="AL522" t="s">
        <v>134</v>
      </c>
      <c r="AM522">
        <v>9.3016000000000005</v>
      </c>
      <c r="AN522">
        <v>5.4665999999999997</v>
      </c>
      <c r="AO522">
        <v>2.7076000000000002</v>
      </c>
      <c r="AP522">
        <v>5.4470000000000001</v>
      </c>
      <c r="AQ522">
        <v>5.4135999999999997</v>
      </c>
      <c r="AR522" t="s">
        <v>134</v>
      </c>
      <c r="AS522">
        <v>12.427300000000001</v>
      </c>
      <c r="AT522">
        <v>10.924799999999999</v>
      </c>
      <c r="AU522">
        <v>21.603100000000001</v>
      </c>
      <c r="AV522">
        <v>18.9495</v>
      </c>
      <c r="AW522">
        <v>8.3223000000000003</v>
      </c>
      <c r="AX522">
        <v>19.216799999999999</v>
      </c>
      <c r="AY522">
        <v>16.290800000000001</v>
      </c>
      <c r="AZ522">
        <v>-12.294700000000001</v>
      </c>
      <c r="BA522">
        <v>53.701099999999997</v>
      </c>
      <c r="BB522">
        <v>18.029</v>
      </c>
      <c r="BC522">
        <v>23.975000000000001</v>
      </c>
      <c r="BD522">
        <v>16.313700000000001</v>
      </c>
      <c r="BE522" t="s">
        <v>134</v>
      </c>
      <c r="BF522">
        <v>-11.4109</v>
      </c>
      <c r="BG522">
        <v>-32.089799999999997</v>
      </c>
      <c r="BH522">
        <v>-44.1205</v>
      </c>
      <c r="BI522">
        <v>-25.569199999999999</v>
      </c>
      <c r="BJ522">
        <v>-24.927</v>
      </c>
      <c r="BK522" t="s">
        <v>134</v>
      </c>
      <c r="BL522">
        <v>-2.6240000000000001</v>
      </c>
      <c r="BM522">
        <v>5.1821000000000002</v>
      </c>
      <c r="BN522">
        <v>-0.18079999999999999</v>
      </c>
      <c r="BO522">
        <v>1.9447000000000001</v>
      </c>
      <c r="BP522">
        <v>-4.5587999999999997</v>
      </c>
      <c r="BQ522">
        <v>-7.8053999999999997</v>
      </c>
      <c r="BR522">
        <v>6.4317000000000002</v>
      </c>
      <c r="BS522">
        <v>-69.142899999999997</v>
      </c>
      <c r="BT522">
        <v>-13.3438</v>
      </c>
      <c r="BU522">
        <v>4.6947999999999999</v>
      </c>
      <c r="BV522">
        <v>-1.4060000000000001</v>
      </c>
      <c r="BW522">
        <v>4.5311000000000003</v>
      </c>
      <c r="BX522" t="s">
        <v>134</v>
      </c>
      <c r="BY522">
        <v>22054</v>
      </c>
      <c r="BZ522">
        <v>972</v>
      </c>
      <c r="CA522">
        <v>21082</v>
      </c>
      <c r="CB522">
        <v>2.2814000000000001</v>
      </c>
      <c r="CC522">
        <v>0.1</v>
      </c>
      <c r="CD522">
        <v>3.1985000000000001</v>
      </c>
      <c r="CE522">
        <v>0.14019999999999999</v>
      </c>
      <c r="CF522">
        <v>37.5</v>
      </c>
      <c r="CG522">
        <v>51.496699999999997</v>
      </c>
      <c r="CH522">
        <v>40.435000000000002</v>
      </c>
      <c r="CI522">
        <v>28.415500000000002</v>
      </c>
      <c r="CJ522">
        <v>22.441500000000001</v>
      </c>
      <c r="CK522">
        <v>42.299300000000002</v>
      </c>
      <c r="CL522">
        <v>29.7256</v>
      </c>
      <c r="CM522">
        <v>23.476199999999999</v>
      </c>
      <c r="CN522">
        <v>1.8547</v>
      </c>
      <c r="CO522">
        <v>1.8209</v>
      </c>
      <c r="CP522">
        <v>1875</v>
      </c>
      <c r="CQ522" t="s">
        <v>134</v>
      </c>
      <c r="CR522">
        <v>1150</v>
      </c>
      <c r="CS522">
        <v>1.2564</v>
      </c>
      <c r="CT522">
        <v>2.4117999999999999</v>
      </c>
      <c r="CU522">
        <v>1.7827</v>
      </c>
      <c r="CV522">
        <v>4.8552999999999997</v>
      </c>
      <c r="CW522">
        <v>4.8632</v>
      </c>
      <c r="CX522">
        <v>75.052800000000005</v>
      </c>
      <c r="CY522">
        <v>2.5737999999999999</v>
      </c>
      <c r="CZ522">
        <v>141.81200000000001</v>
      </c>
      <c r="DA522">
        <v>2.3837999999999999</v>
      </c>
      <c r="DB522">
        <v>153.1139</v>
      </c>
      <c r="DC522">
        <v>63.750900000000001</v>
      </c>
      <c r="DD522">
        <v>216.8648</v>
      </c>
      <c r="DE522">
        <v>6353</v>
      </c>
      <c r="DF522">
        <v>1531</v>
      </c>
      <c r="DG522">
        <v>2466</v>
      </c>
      <c r="DH522">
        <v>1747</v>
      </c>
      <c r="DI522">
        <v>609</v>
      </c>
    </row>
    <row r="523" spans="1:113" x14ac:dyDescent="0.3">
      <c r="D523" t="s">
        <v>85</v>
      </c>
      <c r="E523" t="s">
        <v>77</v>
      </c>
      <c r="F523">
        <v>7.4341999999999997</v>
      </c>
      <c r="G523">
        <v>3.8424</v>
      </c>
      <c r="H523">
        <v>6.5391000000000004</v>
      </c>
      <c r="I523">
        <v>4.4104999999999999</v>
      </c>
      <c r="J523">
        <v>20.8416</v>
      </c>
      <c r="K523">
        <v>11.161099999999999</v>
      </c>
      <c r="L523" t="s">
        <v>134</v>
      </c>
      <c r="M523">
        <v>15.334</v>
      </c>
      <c r="N523">
        <v>11.389900000000001</v>
      </c>
      <c r="O523">
        <v>9.3613</v>
      </c>
      <c r="P523">
        <v>9.3613</v>
      </c>
      <c r="Q523">
        <v>25.721299999999999</v>
      </c>
      <c r="R523">
        <v>16.111699999999999</v>
      </c>
      <c r="S523">
        <v>6.2365000000000004</v>
      </c>
      <c r="T523">
        <v>3.4401000000000002</v>
      </c>
      <c r="U523">
        <v>-15.354800000000001</v>
      </c>
      <c r="V523">
        <v>-36.779200000000003</v>
      </c>
      <c r="W523">
        <v>-39.160299999999999</v>
      </c>
      <c r="X523">
        <v>-39.263800000000003</v>
      </c>
      <c r="Y523">
        <v>200</v>
      </c>
      <c r="Z523">
        <v>20.459700000000002</v>
      </c>
      <c r="AA523">
        <v>13.7258</v>
      </c>
      <c r="AB523">
        <v>7.9058000000000002</v>
      </c>
      <c r="AC523">
        <v>6.3390000000000004</v>
      </c>
      <c r="AD523">
        <v>0.29530000000000001</v>
      </c>
      <c r="AE523">
        <v>-15.282299999999999</v>
      </c>
      <c r="AF523">
        <v>35.906399999999998</v>
      </c>
      <c r="AG523">
        <v>407.51029999999997</v>
      </c>
      <c r="AH523">
        <v>3.5232000000000001</v>
      </c>
      <c r="AI523">
        <v>8.3375000000000004</v>
      </c>
      <c r="AJ523">
        <v>6.9063999999999997</v>
      </c>
      <c r="AK523">
        <v>7.0922000000000001</v>
      </c>
      <c r="AL523">
        <v>-8.6419999999999995</v>
      </c>
      <c r="AM523">
        <v>9.8650000000000002</v>
      </c>
      <c r="AN523">
        <v>6.8356000000000003</v>
      </c>
      <c r="AO523">
        <v>1.2918000000000001</v>
      </c>
      <c r="AP523">
        <v>-6.0545999999999998</v>
      </c>
      <c r="AQ523">
        <v>-6.0876999999999999</v>
      </c>
      <c r="AR523">
        <v>-16.744700000000002</v>
      </c>
      <c r="AS523">
        <v>15.855700000000001</v>
      </c>
      <c r="AT523">
        <v>12.642900000000001</v>
      </c>
      <c r="AU523">
        <v>21.084299999999999</v>
      </c>
      <c r="AV523">
        <v>17.734200000000001</v>
      </c>
      <c r="AW523">
        <v>6.7827999999999999</v>
      </c>
      <c r="AX523">
        <v>9.9344000000000001</v>
      </c>
      <c r="AY523">
        <v>23.8139</v>
      </c>
      <c r="AZ523">
        <v>42.214199999999998</v>
      </c>
      <c r="BA523">
        <v>55.7883</v>
      </c>
      <c r="BB523">
        <v>15.400600000000001</v>
      </c>
      <c r="BC523">
        <v>21.393799999999999</v>
      </c>
      <c r="BD523">
        <v>13.9674</v>
      </c>
      <c r="BE523">
        <v>5.5175000000000001</v>
      </c>
      <c r="BF523">
        <v>3.4401000000000002</v>
      </c>
      <c r="BG523">
        <v>-15.354800000000001</v>
      </c>
      <c r="BH523">
        <v>-36.779200000000003</v>
      </c>
      <c r="BI523">
        <v>-39.160299999999999</v>
      </c>
      <c r="BJ523">
        <v>-39.263800000000003</v>
      </c>
      <c r="BK523">
        <v>200</v>
      </c>
      <c r="BL523">
        <v>20.459700000000002</v>
      </c>
      <c r="BM523">
        <v>13.7258</v>
      </c>
      <c r="BN523">
        <v>7.9058000000000002</v>
      </c>
      <c r="BO523">
        <v>6.3390000000000004</v>
      </c>
      <c r="BP523">
        <v>0.29530000000000001</v>
      </c>
      <c r="BQ523">
        <v>-15.282299999999999</v>
      </c>
      <c r="BR523">
        <v>35.906399999999998</v>
      </c>
      <c r="BS523">
        <v>407.51029999999997</v>
      </c>
      <c r="BT523">
        <v>3.5232000000000001</v>
      </c>
      <c r="BU523">
        <v>8.3375000000000004</v>
      </c>
      <c r="BV523">
        <v>6.9063999999999997</v>
      </c>
      <c r="BW523">
        <v>7.0922000000000001</v>
      </c>
      <c r="BX523">
        <v>-8.6419999999999995</v>
      </c>
      <c r="BY523">
        <v>22831</v>
      </c>
      <c r="BZ523">
        <v>4933</v>
      </c>
      <c r="CA523">
        <v>17898</v>
      </c>
      <c r="CB523">
        <v>2.7537000000000003</v>
      </c>
      <c r="CC523">
        <v>0.42149999999999999</v>
      </c>
      <c r="CD523">
        <v>5.1421000000000001</v>
      </c>
      <c r="CE523">
        <v>0.78720000000000001</v>
      </c>
      <c r="CF523">
        <v>12.6195</v>
      </c>
      <c r="CG523">
        <v>51.861400000000003</v>
      </c>
      <c r="CH523">
        <v>31.686299999999999</v>
      </c>
      <c r="CI523">
        <v>22.5654</v>
      </c>
      <c r="CJ523">
        <v>17.916499999999999</v>
      </c>
      <c r="CK523">
        <v>40.419600000000003</v>
      </c>
      <c r="CL523">
        <v>28.7849</v>
      </c>
      <c r="CM523">
        <v>22.854500000000002</v>
      </c>
      <c r="CN523">
        <v>6.1875</v>
      </c>
      <c r="CO523">
        <v>5.8269000000000002</v>
      </c>
      <c r="CP523">
        <v>8291</v>
      </c>
      <c r="CQ523">
        <v>909</v>
      </c>
      <c r="CR523">
        <v>4440</v>
      </c>
      <c r="CS523">
        <v>0.90300000000000002</v>
      </c>
      <c r="CT523">
        <v>1.9374</v>
      </c>
      <c r="CU523">
        <v>1.3998999999999999</v>
      </c>
      <c r="CV523">
        <v>6.3909000000000002</v>
      </c>
      <c r="CW523">
        <v>4.0861999999999998</v>
      </c>
      <c r="CX523">
        <v>89.325500000000005</v>
      </c>
      <c r="CY523">
        <v>2.4714</v>
      </c>
      <c r="CZ523">
        <v>147.6925</v>
      </c>
      <c r="DA523">
        <v>2.0228999999999999</v>
      </c>
      <c r="DB523">
        <v>180.43199999999999</v>
      </c>
      <c r="DC523">
        <v>56.585999999999999</v>
      </c>
      <c r="DD523">
        <v>237.018</v>
      </c>
      <c r="DE523">
        <v>7225</v>
      </c>
      <c r="DF523">
        <v>1848</v>
      </c>
      <c r="DG523">
        <v>2658</v>
      </c>
      <c r="DH523">
        <v>1903</v>
      </c>
      <c r="DI523">
        <v>816</v>
      </c>
    </row>
    <row r="524" spans="1:113" x14ac:dyDescent="0.3">
      <c r="E524" t="s">
        <v>78</v>
      </c>
      <c r="F524" t="s">
        <v>134</v>
      </c>
      <c r="G524" t="s">
        <v>134</v>
      </c>
      <c r="H524" t="s">
        <v>134</v>
      </c>
      <c r="I524" t="s">
        <v>134</v>
      </c>
      <c r="J524">
        <v>20.713799999999999</v>
      </c>
      <c r="K524">
        <v>10.0604</v>
      </c>
      <c r="L524">
        <v>-188.5455</v>
      </c>
      <c r="M524">
        <v>14.5892</v>
      </c>
      <c r="N524">
        <v>10.534800000000001</v>
      </c>
      <c r="O524">
        <v>8.7664000000000009</v>
      </c>
      <c r="P524">
        <v>8.7664000000000009</v>
      </c>
      <c r="Q524">
        <v>27.790099999999999</v>
      </c>
      <c r="R524" t="s">
        <v>134</v>
      </c>
      <c r="S524" t="s">
        <v>134</v>
      </c>
      <c r="T524">
        <v>-5.5984999999999996</v>
      </c>
      <c r="U524">
        <v>-26.985900000000001</v>
      </c>
      <c r="V524">
        <v>-52.639600000000002</v>
      </c>
      <c r="W524">
        <v>-51.200499999999998</v>
      </c>
      <c r="X524">
        <v>-50.660299999999999</v>
      </c>
      <c r="Y524" t="s">
        <v>134</v>
      </c>
      <c r="Z524" t="s">
        <v>134</v>
      </c>
      <c r="AA524" t="s">
        <v>134</v>
      </c>
      <c r="AB524" t="s">
        <v>134</v>
      </c>
      <c r="AC524" t="s">
        <v>134</v>
      </c>
      <c r="AD524" t="s">
        <v>134</v>
      </c>
      <c r="AE524" t="s">
        <v>134</v>
      </c>
      <c r="AF524" t="s">
        <v>134</v>
      </c>
      <c r="AG524" t="s">
        <v>134</v>
      </c>
      <c r="AH524" t="s">
        <v>134</v>
      </c>
      <c r="AI524" t="s">
        <v>134</v>
      </c>
      <c r="AJ524" t="s">
        <v>134</v>
      </c>
      <c r="AK524" t="s">
        <v>134</v>
      </c>
      <c r="AL524" t="s">
        <v>134</v>
      </c>
      <c r="AM524">
        <v>10.1913</v>
      </c>
      <c r="AN524">
        <v>9.3796999999999997</v>
      </c>
      <c r="AO524">
        <v>3.1211000000000002</v>
      </c>
      <c r="AP524">
        <v>0.62660000000000005</v>
      </c>
      <c r="AQ524">
        <v>0.64480000000000004</v>
      </c>
      <c r="AR524" t="s">
        <v>134</v>
      </c>
      <c r="AS524" t="s">
        <v>134</v>
      </c>
      <c r="AT524" t="s">
        <v>134</v>
      </c>
      <c r="AU524" t="s">
        <v>134</v>
      </c>
      <c r="AV524" t="s">
        <v>134</v>
      </c>
      <c r="AW524" t="s">
        <v>134</v>
      </c>
      <c r="AX524" t="s">
        <v>134</v>
      </c>
      <c r="AY524" t="s">
        <v>134</v>
      </c>
      <c r="AZ524" t="s">
        <v>134</v>
      </c>
      <c r="BA524" t="s">
        <v>134</v>
      </c>
      <c r="BB524" t="s">
        <v>134</v>
      </c>
      <c r="BC524" t="s">
        <v>134</v>
      </c>
      <c r="BD524" t="s">
        <v>134</v>
      </c>
      <c r="BE524" t="s">
        <v>134</v>
      </c>
      <c r="BF524">
        <v>0.8921</v>
      </c>
      <c r="BG524">
        <v>2.4533</v>
      </c>
      <c r="BH524">
        <v>-18.869599999999998</v>
      </c>
      <c r="BI524">
        <v>-36.235300000000002</v>
      </c>
      <c r="BJ524">
        <v>-36.0809</v>
      </c>
      <c r="BK524" t="s">
        <v>134</v>
      </c>
      <c r="BL524">
        <v>-6.0801999999999996</v>
      </c>
      <c r="BM524">
        <v>12.9703</v>
      </c>
      <c r="BN524">
        <v>0.82</v>
      </c>
      <c r="BO524">
        <v>1.2135</v>
      </c>
      <c r="BP524">
        <v>-3.8906000000000001</v>
      </c>
      <c r="BQ524">
        <v>-2.0385</v>
      </c>
      <c r="BR524">
        <v>7.9762000000000004</v>
      </c>
      <c r="BS524">
        <v>125.72020000000001</v>
      </c>
      <c r="BT524">
        <v>3.8496000000000001</v>
      </c>
      <c r="BU524">
        <v>1.9506000000000001</v>
      </c>
      <c r="BV524">
        <v>2.5150999999999999</v>
      </c>
      <c r="BW524">
        <v>1.7054</v>
      </c>
      <c r="BX524" t="s">
        <v>134</v>
      </c>
      <c r="BY524">
        <v>22903</v>
      </c>
      <c r="BZ524">
        <v>2194</v>
      </c>
      <c r="CA524">
        <v>20709</v>
      </c>
      <c r="CB524">
        <v>2.5569999999999999</v>
      </c>
      <c r="CC524">
        <v>0.20830000000000001</v>
      </c>
      <c r="CD524">
        <v>3.9097</v>
      </c>
      <c r="CE524">
        <v>0.31850000000000001</v>
      </c>
      <c r="CF524">
        <v>11.931699999999999</v>
      </c>
      <c r="CG524">
        <v>51.746899999999997</v>
      </c>
      <c r="CH524">
        <v>38.959600000000002</v>
      </c>
      <c r="CI524">
        <v>27.227899999999998</v>
      </c>
      <c r="CJ524">
        <v>21.780100000000001</v>
      </c>
      <c r="CK524">
        <v>43.087200000000003</v>
      </c>
      <c r="CL524">
        <v>30.112500000000001</v>
      </c>
      <c r="CM524">
        <v>24.087599999999998</v>
      </c>
      <c r="CN524">
        <v>3.5105</v>
      </c>
      <c r="CO524">
        <v>3.3914</v>
      </c>
      <c r="CP524">
        <v>1921</v>
      </c>
      <c r="CQ524" t="s">
        <v>134</v>
      </c>
      <c r="CR524">
        <v>933</v>
      </c>
      <c r="CS524">
        <v>1.2097</v>
      </c>
      <c r="CT524">
        <v>2.3346999999999998</v>
      </c>
      <c r="CU524">
        <v>1.6867000000000001</v>
      </c>
      <c r="CV524">
        <v>4.4934000000000003</v>
      </c>
      <c r="CW524" t="s">
        <v>134</v>
      </c>
      <c r="CX524" t="s">
        <v>134</v>
      </c>
      <c r="CY524" t="s">
        <v>134</v>
      </c>
      <c r="CZ524" t="s">
        <v>134</v>
      </c>
      <c r="DA524" t="s">
        <v>134</v>
      </c>
      <c r="DB524" t="s">
        <v>134</v>
      </c>
      <c r="DC524" t="s">
        <v>134</v>
      </c>
      <c r="DD524" t="s">
        <v>134</v>
      </c>
      <c r="DE524">
        <v>7177</v>
      </c>
      <c r="DF524" t="s">
        <v>134</v>
      </c>
      <c r="DG524" t="s">
        <v>134</v>
      </c>
      <c r="DH524" t="s">
        <v>134</v>
      </c>
      <c r="DI524" t="s">
        <v>134</v>
      </c>
    </row>
    <row r="525" spans="1:113" x14ac:dyDescent="0.3">
      <c r="E525" t="s">
        <v>79</v>
      </c>
      <c r="F525">
        <v>9.5916999999999994</v>
      </c>
      <c r="G525">
        <v>4.8932000000000002</v>
      </c>
      <c r="H525" t="s">
        <v>134</v>
      </c>
      <c r="I525">
        <v>5.3609999999999998</v>
      </c>
      <c r="J525">
        <v>18.821000000000002</v>
      </c>
      <c r="K525">
        <v>9.1575000000000006</v>
      </c>
      <c r="L525" t="s">
        <v>134</v>
      </c>
      <c r="M525">
        <v>13.586600000000001</v>
      </c>
      <c r="N525">
        <v>9.1988000000000003</v>
      </c>
      <c r="O525">
        <v>7.1029999999999998</v>
      </c>
      <c r="P525">
        <v>7.1029999999999998</v>
      </c>
      <c r="Q525">
        <v>32.294800000000002</v>
      </c>
      <c r="R525" t="s">
        <v>134</v>
      </c>
      <c r="S525" t="s">
        <v>134</v>
      </c>
      <c r="T525">
        <v>2.4106999999999998</v>
      </c>
      <c r="U525">
        <v>-24.041699999999999</v>
      </c>
      <c r="V525">
        <v>-48.3401</v>
      </c>
      <c r="W525">
        <v>-53.101599999999998</v>
      </c>
      <c r="X525">
        <v>-52.556199999999997</v>
      </c>
      <c r="Y525" t="s">
        <v>134</v>
      </c>
      <c r="Z525">
        <v>18.211400000000001</v>
      </c>
      <c r="AA525">
        <v>35.805</v>
      </c>
      <c r="AB525">
        <v>3.3839999999999999</v>
      </c>
      <c r="AC525">
        <v>6.7869999999999999</v>
      </c>
      <c r="AD525">
        <v>35.002400000000002</v>
      </c>
      <c r="AE525">
        <v>-0.70960000000000001</v>
      </c>
      <c r="AF525">
        <v>16.5793</v>
      </c>
      <c r="AG525">
        <v>-31.365600000000001</v>
      </c>
      <c r="AH525">
        <v>-7.2659000000000002</v>
      </c>
      <c r="AI525">
        <v>12.688499999999999</v>
      </c>
      <c r="AJ525">
        <v>5.9074</v>
      </c>
      <c r="AK525">
        <v>11.726100000000001</v>
      </c>
      <c r="AL525" t="s">
        <v>134</v>
      </c>
      <c r="AM525">
        <v>10.3331</v>
      </c>
      <c r="AN525">
        <v>3.6029999999999998</v>
      </c>
      <c r="AO525">
        <v>-3.8822999999999999</v>
      </c>
      <c r="AP525">
        <v>-5.1565000000000003</v>
      </c>
      <c r="AQ525">
        <v>-5.2622999999999998</v>
      </c>
      <c r="AR525" t="s">
        <v>134</v>
      </c>
      <c r="AS525">
        <v>13.425599999999999</v>
      </c>
      <c r="AT525">
        <v>12.071999999999999</v>
      </c>
      <c r="AU525">
        <v>19.932400000000001</v>
      </c>
      <c r="AV525">
        <v>19.183499999999999</v>
      </c>
      <c r="AW525">
        <v>7.0034999999999998</v>
      </c>
      <c r="AX525">
        <v>21.060099999999998</v>
      </c>
      <c r="AY525">
        <v>21.501100000000001</v>
      </c>
      <c r="AZ525">
        <v>10.364800000000001</v>
      </c>
      <c r="BA525">
        <v>54.8583</v>
      </c>
      <c r="BB525">
        <v>16.894600000000001</v>
      </c>
      <c r="BC525">
        <v>22.996600000000001</v>
      </c>
      <c r="BD525">
        <v>15.0784</v>
      </c>
      <c r="BE525" t="s">
        <v>134</v>
      </c>
      <c r="BF525">
        <v>4.4424999999999999</v>
      </c>
      <c r="BG525">
        <v>-5.1014999999999997</v>
      </c>
      <c r="BH525">
        <v>-4.9302999999999999</v>
      </c>
      <c r="BI525">
        <v>-15.3752</v>
      </c>
      <c r="BJ525">
        <v>-15.3285</v>
      </c>
      <c r="BK525" t="s">
        <v>134</v>
      </c>
      <c r="BL525">
        <v>13.9361</v>
      </c>
      <c r="BM525">
        <v>-0.22289999999999999</v>
      </c>
      <c r="BN525">
        <v>1.3887</v>
      </c>
      <c r="BO525">
        <v>-0.34920000000000001</v>
      </c>
      <c r="BP525">
        <v>12.023999999999999</v>
      </c>
      <c r="BQ525">
        <v>1.2708999999999999</v>
      </c>
      <c r="BR525">
        <v>3.0049000000000001</v>
      </c>
      <c r="BS525">
        <v>-3.5552000000000001</v>
      </c>
      <c r="BT525">
        <v>-1.0304</v>
      </c>
      <c r="BU525">
        <v>0.66600000000000004</v>
      </c>
      <c r="BV525">
        <v>0.15509999999999999</v>
      </c>
      <c r="BW525">
        <v>0.38819999999999999</v>
      </c>
      <c r="BX525" t="s">
        <v>134</v>
      </c>
      <c r="BY525">
        <v>22667</v>
      </c>
      <c r="BZ525">
        <v>2116</v>
      </c>
      <c r="CA525">
        <v>20551</v>
      </c>
      <c r="CB525">
        <v>2.7048999999999999</v>
      </c>
      <c r="CC525">
        <v>0.34139999999999998</v>
      </c>
      <c r="CD525">
        <v>4.5082000000000004</v>
      </c>
      <c r="CE525">
        <v>0.56899999999999995</v>
      </c>
      <c r="CF525">
        <v>13.210100000000001</v>
      </c>
      <c r="CG525">
        <v>52.129800000000003</v>
      </c>
      <c r="CH525">
        <v>38.406599999999997</v>
      </c>
      <c r="CI525">
        <v>26.978300000000001</v>
      </c>
      <c r="CJ525">
        <v>21.689699999999998</v>
      </c>
      <c r="CK525">
        <v>42.3611</v>
      </c>
      <c r="CL525">
        <v>29.7561</v>
      </c>
      <c r="CM525">
        <v>23.923000000000002</v>
      </c>
      <c r="CN525">
        <v>5.3468</v>
      </c>
      <c r="CO525">
        <v>5.0754000000000001</v>
      </c>
      <c r="CP525">
        <v>1823</v>
      </c>
      <c r="CQ525" t="s">
        <v>134</v>
      </c>
      <c r="CR525">
        <v>887</v>
      </c>
      <c r="CS525">
        <v>1.1758</v>
      </c>
      <c r="CT525">
        <v>2.3955000000000002</v>
      </c>
      <c r="CU525">
        <v>1.7368999999999999</v>
      </c>
      <c r="CV525">
        <v>4.5892999999999997</v>
      </c>
      <c r="CW525">
        <v>4.4168000000000003</v>
      </c>
      <c r="CX525">
        <v>82.638499999999993</v>
      </c>
      <c r="CY525">
        <v>2.5488</v>
      </c>
      <c r="CZ525">
        <v>143.20359999999999</v>
      </c>
      <c r="DA525">
        <v>2.3205999999999998</v>
      </c>
      <c r="DB525">
        <v>157.28710000000001</v>
      </c>
      <c r="DC525">
        <v>68.555000000000007</v>
      </c>
      <c r="DD525">
        <v>225.84209999999999</v>
      </c>
      <c r="DE525">
        <v>7161</v>
      </c>
      <c r="DF525" t="s">
        <v>134</v>
      </c>
      <c r="DG525" t="s">
        <v>134</v>
      </c>
      <c r="DH525" t="s">
        <v>134</v>
      </c>
      <c r="DI525" t="s">
        <v>134</v>
      </c>
    </row>
    <row r="526" spans="1:113" x14ac:dyDescent="0.3">
      <c r="E526" t="s">
        <v>80</v>
      </c>
      <c r="F526">
        <v>7.6254999999999997</v>
      </c>
      <c r="G526">
        <v>3.9222000000000001</v>
      </c>
      <c r="H526" t="s">
        <v>134</v>
      </c>
      <c r="I526">
        <v>4.391</v>
      </c>
      <c r="J526">
        <v>20.956600000000002</v>
      </c>
      <c r="K526">
        <v>11.749700000000001</v>
      </c>
      <c r="L526" t="s">
        <v>134</v>
      </c>
      <c r="M526">
        <v>14.150700000000001</v>
      </c>
      <c r="N526">
        <v>10.738300000000001</v>
      </c>
      <c r="O526">
        <v>8.6869999999999994</v>
      </c>
      <c r="P526">
        <v>8.6869999999999994</v>
      </c>
      <c r="Q526">
        <v>24.114899999999999</v>
      </c>
      <c r="R526" t="s">
        <v>134</v>
      </c>
      <c r="S526" t="s">
        <v>134</v>
      </c>
      <c r="T526">
        <v>1.9563999999999999</v>
      </c>
      <c r="U526">
        <v>-19.702999999999999</v>
      </c>
      <c r="V526">
        <v>-39.601599999999998</v>
      </c>
      <c r="W526">
        <v>-46.351399999999998</v>
      </c>
      <c r="X526">
        <v>-45.709299999999999</v>
      </c>
      <c r="Y526" t="s">
        <v>134</v>
      </c>
      <c r="Z526">
        <v>11.863300000000001</v>
      </c>
      <c r="AA526">
        <v>21.7715</v>
      </c>
      <c r="AB526">
        <v>2.8487999999999998</v>
      </c>
      <c r="AC526">
        <v>4.4676999999999998</v>
      </c>
      <c r="AD526">
        <v>-3.4559000000000002</v>
      </c>
      <c r="AE526">
        <v>-13.653700000000001</v>
      </c>
      <c r="AF526">
        <v>38.4604</v>
      </c>
      <c r="AG526">
        <v>-34.285699999999999</v>
      </c>
      <c r="AH526">
        <v>-16.6248</v>
      </c>
      <c r="AI526">
        <v>10.741</v>
      </c>
      <c r="AJ526">
        <v>1.4857</v>
      </c>
      <c r="AK526">
        <v>9.4036000000000008</v>
      </c>
      <c r="AL526" t="s">
        <v>134</v>
      </c>
      <c r="AM526">
        <v>10.774800000000001</v>
      </c>
      <c r="AN526">
        <v>8.0869</v>
      </c>
      <c r="AO526">
        <v>3.6006</v>
      </c>
      <c r="AP526">
        <v>3.0499999999999999E-2</v>
      </c>
      <c r="AQ526">
        <v>0</v>
      </c>
      <c r="AR526" t="s">
        <v>134</v>
      </c>
      <c r="AS526">
        <v>12.661799999999999</v>
      </c>
      <c r="AT526">
        <v>11.332699999999999</v>
      </c>
      <c r="AU526">
        <v>19.603100000000001</v>
      </c>
      <c r="AV526">
        <v>18.384699999999999</v>
      </c>
      <c r="AW526">
        <v>4.6718000000000002</v>
      </c>
      <c r="AX526">
        <v>14.1496</v>
      </c>
      <c r="AY526">
        <v>21.596299999999999</v>
      </c>
      <c r="AZ526">
        <v>15.6629</v>
      </c>
      <c r="BA526">
        <v>52.531100000000002</v>
      </c>
      <c r="BB526">
        <v>16.680800000000001</v>
      </c>
      <c r="BC526">
        <v>22.161300000000001</v>
      </c>
      <c r="BD526">
        <v>14.7486</v>
      </c>
      <c r="BE526" t="s">
        <v>134</v>
      </c>
      <c r="BF526">
        <v>9.2195</v>
      </c>
      <c r="BG526">
        <v>21.6127</v>
      </c>
      <c r="BH526">
        <v>40.135300000000001</v>
      </c>
      <c r="BI526">
        <v>33.575600000000001</v>
      </c>
      <c r="BJ526">
        <v>33.620699999999999</v>
      </c>
      <c r="BK526" t="s">
        <v>134</v>
      </c>
      <c r="BL526">
        <v>7.3536999999999999</v>
      </c>
      <c r="BM526">
        <v>2.7090999999999998</v>
      </c>
      <c r="BN526">
        <v>0.7974</v>
      </c>
      <c r="BO526">
        <v>1.6011</v>
      </c>
      <c r="BP526">
        <v>-6.0465</v>
      </c>
      <c r="BQ526">
        <v>-5.5943000000000005</v>
      </c>
      <c r="BR526">
        <v>16.968499999999999</v>
      </c>
      <c r="BS526">
        <v>-2.1739000000000002</v>
      </c>
      <c r="BT526">
        <v>-6.3880999999999997</v>
      </c>
      <c r="BU526">
        <v>3.0649000000000002</v>
      </c>
      <c r="BV526">
        <v>0.252</v>
      </c>
      <c r="BW526">
        <v>2.5084999999999997</v>
      </c>
      <c r="BX526" t="s">
        <v>134</v>
      </c>
      <c r="BY526">
        <v>21219</v>
      </c>
      <c r="BZ526">
        <v>2070</v>
      </c>
      <c r="CA526">
        <v>19149</v>
      </c>
      <c r="CB526">
        <v>2.7079</v>
      </c>
      <c r="CC526">
        <v>0.40960000000000002</v>
      </c>
      <c r="CD526">
        <v>5.0366</v>
      </c>
      <c r="CE526">
        <v>0.76190000000000002</v>
      </c>
      <c r="CF526">
        <v>15.0816</v>
      </c>
      <c r="CG526">
        <v>52.595399999999998</v>
      </c>
      <c r="CH526">
        <v>34.722299999999997</v>
      </c>
      <c r="CI526">
        <v>25.0746</v>
      </c>
      <c r="CJ526">
        <v>19.8916</v>
      </c>
      <c r="CK526">
        <v>38.4758</v>
      </c>
      <c r="CL526">
        <v>27.7852</v>
      </c>
      <c r="CM526">
        <v>22.041799999999999</v>
      </c>
      <c r="CN526">
        <v>5.8205999999999998</v>
      </c>
      <c r="CO526">
        <v>5.5004</v>
      </c>
      <c r="CP526">
        <v>2217</v>
      </c>
      <c r="CQ526" t="s">
        <v>134</v>
      </c>
      <c r="CR526">
        <v>1243</v>
      </c>
      <c r="CS526">
        <v>0.99180000000000001</v>
      </c>
      <c r="CT526">
        <v>2.2222</v>
      </c>
      <c r="CU526">
        <v>1.5506</v>
      </c>
      <c r="CV526">
        <v>6.3479000000000001</v>
      </c>
      <c r="CW526">
        <v>4.0311000000000003</v>
      </c>
      <c r="CX526">
        <v>90.545599999999993</v>
      </c>
      <c r="CY526">
        <v>2.3652000000000002</v>
      </c>
      <c r="CZ526">
        <v>154.3203</v>
      </c>
      <c r="DA526">
        <v>2.0703999999999998</v>
      </c>
      <c r="DB526">
        <v>176.29820000000001</v>
      </c>
      <c r="DC526">
        <v>68.567599999999999</v>
      </c>
      <c r="DD526">
        <v>244.86580000000001</v>
      </c>
      <c r="DE526">
        <v>7355</v>
      </c>
      <c r="DF526" t="s">
        <v>134</v>
      </c>
      <c r="DG526" t="s">
        <v>134</v>
      </c>
      <c r="DH526" t="s">
        <v>134</v>
      </c>
      <c r="DI526" t="s">
        <v>134</v>
      </c>
    </row>
    <row r="527" spans="1:113" x14ac:dyDescent="0.3">
      <c r="E527" t="s">
        <v>81</v>
      </c>
      <c r="F527">
        <v>7.4341999999999997</v>
      </c>
      <c r="G527">
        <v>3.8424</v>
      </c>
      <c r="H527">
        <v>6.4984000000000002</v>
      </c>
      <c r="I527">
        <v>4.3574999999999999</v>
      </c>
      <c r="J527">
        <v>19.923000000000002</v>
      </c>
      <c r="K527">
        <v>11.7743</v>
      </c>
      <c r="L527">
        <v>9.0691000000000006</v>
      </c>
      <c r="M527">
        <v>16.536999999999999</v>
      </c>
      <c r="N527">
        <v>13.056900000000001</v>
      </c>
      <c r="O527">
        <v>11.1501</v>
      </c>
      <c r="P527">
        <v>11.1501</v>
      </c>
      <c r="Q527">
        <v>21.044499999999999</v>
      </c>
      <c r="R527" t="s">
        <v>134</v>
      </c>
      <c r="S527" t="s">
        <v>134</v>
      </c>
      <c r="T527">
        <v>27.2302</v>
      </c>
      <c r="U527">
        <v>24.2667</v>
      </c>
      <c r="V527">
        <v>19.739100000000001</v>
      </c>
      <c r="W527">
        <v>2.2745000000000002</v>
      </c>
      <c r="X527">
        <v>2.1772999999999998</v>
      </c>
      <c r="Y527" t="s">
        <v>134</v>
      </c>
      <c r="Z527">
        <v>20.459700000000002</v>
      </c>
      <c r="AA527">
        <v>13.7258</v>
      </c>
      <c r="AB527">
        <v>7.9058000000000002</v>
      </c>
      <c r="AC527">
        <v>6.3390000000000004</v>
      </c>
      <c r="AD527">
        <v>0.29530000000000001</v>
      </c>
      <c r="AE527">
        <v>-15.282299999999999</v>
      </c>
      <c r="AF527">
        <v>35.906399999999998</v>
      </c>
      <c r="AG527">
        <v>407.51029999999997</v>
      </c>
      <c r="AH527">
        <v>3.5232000000000001</v>
      </c>
      <c r="AI527">
        <v>8.3375000000000004</v>
      </c>
      <c r="AJ527">
        <v>6.9063999999999997</v>
      </c>
      <c r="AK527">
        <v>7.0922000000000001</v>
      </c>
      <c r="AL527" t="s">
        <v>134</v>
      </c>
      <c r="AM527">
        <v>13.165900000000001</v>
      </c>
      <c r="AN527">
        <v>17.686499999999999</v>
      </c>
      <c r="AO527">
        <v>19.150300000000001</v>
      </c>
      <c r="AP527">
        <v>-12.1075</v>
      </c>
      <c r="AQ527">
        <v>-12.1554</v>
      </c>
      <c r="AR527" t="s">
        <v>134</v>
      </c>
      <c r="AS527">
        <v>15.855700000000001</v>
      </c>
      <c r="AT527">
        <v>12.642900000000001</v>
      </c>
      <c r="AU527">
        <v>21.084299999999999</v>
      </c>
      <c r="AV527">
        <v>17.734200000000001</v>
      </c>
      <c r="AW527">
        <v>6.7827999999999999</v>
      </c>
      <c r="AX527">
        <v>9.9344000000000001</v>
      </c>
      <c r="AY527">
        <v>23.8139</v>
      </c>
      <c r="AZ527">
        <v>42.214199999999998</v>
      </c>
      <c r="BA527">
        <v>55.7883</v>
      </c>
      <c r="BB527">
        <v>15.400600000000001</v>
      </c>
      <c r="BC527">
        <v>21.393799999999999</v>
      </c>
      <c r="BD527">
        <v>13.9674</v>
      </c>
      <c r="BE527" t="s">
        <v>134</v>
      </c>
      <c r="BF527">
        <v>10.549200000000001</v>
      </c>
      <c r="BG527">
        <v>5.0970000000000004</v>
      </c>
      <c r="BH527">
        <v>10.7804</v>
      </c>
      <c r="BI527">
        <v>41.8934</v>
      </c>
      <c r="BJ527">
        <v>41.290300000000002</v>
      </c>
      <c r="BK527" t="s">
        <v>134</v>
      </c>
      <c r="BL527">
        <v>4.8590999999999998</v>
      </c>
      <c r="BM527">
        <v>-1.7675000000000001</v>
      </c>
      <c r="BN527">
        <v>4.7272999999999996</v>
      </c>
      <c r="BO527">
        <v>3.7707999999999999</v>
      </c>
      <c r="BP527">
        <v>-0.85050000000000003</v>
      </c>
      <c r="BQ527">
        <v>-9.5443999999999996</v>
      </c>
      <c r="BR527">
        <v>4.4684999999999997</v>
      </c>
      <c r="BS527">
        <v>138.3092</v>
      </c>
      <c r="BT527">
        <v>7.5969999999999995</v>
      </c>
      <c r="BU527">
        <v>2.4224999999999999</v>
      </c>
      <c r="BV527">
        <v>3.8603000000000001</v>
      </c>
      <c r="BW527">
        <v>2.3226</v>
      </c>
      <c r="BX527" t="s">
        <v>134</v>
      </c>
      <c r="BY527">
        <v>22831</v>
      </c>
      <c r="BZ527">
        <v>4933</v>
      </c>
      <c r="CA527">
        <v>17898</v>
      </c>
      <c r="CB527">
        <v>2.7537000000000003</v>
      </c>
      <c r="CC527">
        <v>0.42149999999999999</v>
      </c>
      <c r="CD527">
        <v>5.1421000000000001</v>
      </c>
      <c r="CE527">
        <v>0.78720000000000001</v>
      </c>
      <c r="CF527">
        <v>13.787000000000001</v>
      </c>
      <c r="CG527">
        <v>51.861400000000003</v>
      </c>
      <c r="CH527">
        <v>31.686299999999999</v>
      </c>
      <c r="CI527">
        <v>22.5654</v>
      </c>
      <c r="CJ527">
        <v>17.916499999999999</v>
      </c>
      <c r="CK527">
        <v>40.419600000000003</v>
      </c>
      <c r="CL527">
        <v>28.7849</v>
      </c>
      <c r="CM527">
        <v>22.854500000000002</v>
      </c>
      <c r="CN527">
        <v>6.1875</v>
      </c>
      <c r="CO527">
        <v>5.8269000000000002</v>
      </c>
      <c r="CP527">
        <v>2330</v>
      </c>
      <c r="CQ527" t="s">
        <v>134</v>
      </c>
      <c r="CR527">
        <v>1377</v>
      </c>
      <c r="CS527">
        <v>0.90300000000000002</v>
      </c>
      <c r="CT527">
        <v>1.9374</v>
      </c>
      <c r="CU527">
        <v>1.3998999999999999</v>
      </c>
      <c r="CV527">
        <v>6.3909000000000002</v>
      </c>
      <c r="CW527">
        <v>4.2354000000000003</v>
      </c>
      <c r="CX527">
        <v>86.177899999999994</v>
      </c>
      <c r="CY527">
        <v>2.4714</v>
      </c>
      <c r="CZ527">
        <v>147.6925</v>
      </c>
      <c r="DA527">
        <v>2.0228999999999999</v>
      </c>
      <c r="DB527">
        <v>180.43199999999999</v>
      </c>
      <c r="DC527">
        <v>53.438400000000001</v>
      </c>
      <c r="DD527">
        <v>233.87039999999999</v>
      </c>
      <c r="DE527">
        <v>7225</v>
      </c>
      <c r="DF527">
        <v>1848</v>
      </c>
      <c r="DG527">
        <v>2658</v>
      </c>
      <c r="DH527">
        <v>1903</v>
      </c>
      <c r="DI527">
        <v>816</v>
      </c>
    </row>
    <row r="528" spans="1:113" x14ac:dyDescent="0.3">
      <c r="A528">
        <v>22</v>
      </c>
      <c r="B528" t="s">
        <v>126</v>
      </c>
      <c r="C528" t="s">
        <v>127</v>
      </c>
      <c r="D528" t="s">
        <v>76</v>
      </c>
      <c r="E528" t="s">
        <v>77</v>
      </c>
      <c r="F528" t="s">
        <v>134</v>
      </c>
      <c r="G528" t="s">
        <v>134</v>
      </c>
      <c r="H528" t="s">
        <v>134</v>
      </c>
      <c r="I528" t="s">
        <v>134</v>
      </c>
      <c r="J528" t="s">
        <v>134</v>
      </c>
      <c r="K528" t="s">
        <v>134</v>
      </c>
      <c r="L528" t="s">
        <v>134</v>
      </c>
      <c r="M528" t="s">
        <v>134</v>
      </c>
      <c r="N528" t="s">
        <v>134</v>
      </c>
      <c r="O528" t="s">
        <v>134</v>
      </c>
      <c r="P528" t="s">
        <v>134</v>
      </c>
      <c r="Q528" t="s">
        <v>134</v>
      </c>
      <c r="R528" t="s">
        <v>134</v>
      </c>
      <c r="S528" t="s">
        <v>134</v>
      </c>
      <c r="T528" t="s">
        <v>134</v>
      </c>
      <c r="U528" t="s">
        <v>134</v>
      </c>
      <c r="V528" t="s">
        <v>134</v>
      </c>
      <c r="W528" t="s">
        <v>134</v>
      </c>
      <c r="X528" t="s">
        <v>134</v>
      </c>
      <c r="Y528" t="s">
        <v>134</v>
      </c>
      <c r="Z528" t="s">
        <v>134</v>
      </c>
      <c r="AA528" t="s">
        <v>134</v>
      </c>
      <c r="AB528" t="s">
        <v>134</v>
      </c>
      <c r="AC528" t="s">
        <v>134</v>
      </c>
      <c r="AD528" t="s">
        <v>134</v>
      </c>
      <c r="AE528" t="s">
        <v>134</v>
      </c>
      <c r="AF528" t="s">
        <v>134</v>
      </c>
      <c r="AG528" t="s">
        <v>134</v>
      </c>
      <c r="AH528" t="s">
        <v>134</v>
      </c>
      <c r="AI528" t="s">
        <v>134</v>
      </c>
      <c r="AJ528" t="s">
        <v>134</v>
      </c>
      <c r="AK528" t="s">
        <v>134</v>
      </c>
      <c r="AL528" t="s">
        <v>134</v>
      </c>
      <c r="AM528" t="s">
        <v>134</v>
      </c>
      <c r="AN528" t="s">
        <v>134</v>
      </c>
      <c r="AO528" t="s">
        <v>134</v>
      </c>
      <c r="AP528" t="s">
        <v>134</v>
      </c>
      <c r="AQ528" t="s">
        <v>134</v>
      </c>
      <c r="AR528" t="s">
        <v>134</v>
      </c>
      <c r="AS528" t="s">
        <v>134</v>
      </c>
      <c r="AT528" t="s">
        <v>134</v>
      </c>
      <c r="AU528" t="s">
        <v>134</v>
      </c>
      <c r="AV528" t="s">
        <v>134</v>
      </c>
      <c r="AW528" t="s">
        <v>134</v>
      </c>
      <c r="AX528" t="s">
        <v>134</v>
      </c>
      <c r="AY528" t="s">
        <v>134</v>
      </c>
      <c r="AZ528" t="s">
        <v>134</v>
      </c>
      <c r="BA528" t="s">
        <v>134</v>
      </c>
      <c r="BB528" t="s">
        <v>134</v>
      </c>
      <c r="BC528" t="s">
        <v>134</v>
      </c>
      <c r="BD528" t="s">
        <v>134</v>
      </c>
      <c r="BE528" t="s">
        <v>134</v>
      </c>
      <c r="BF528" t="s">
        <v>134</v>
      </c>
      <c r="BG528" t="s">
        <v>134</v>
      </c>
      <c r="BH528" t="s">
        <v>134</v>
      </c>
      <c r="BI528" t="s">
        <v>134</v>
      </c>
      <c r="BJ528" t="s">
        <v>134</v>
      </c>
      <c r="BK528" t="s">
        <v>134</v>
      </c>
      <c r="BL528" t="s">
        <v>134</v>
      </c>
      <c r="BM528" t="s">
        <v>134</v>
      </c>
      <c r="BN528" t="s">
        <v>134</v>
      </c>
      <c r="BO528" t="s">
        <v>134</v>
      </c>
      <c r="BP528" t="s">
        <v>134</v>
      </c>
      <c r="BQ528" t="s">
        <v>134</v>
      </c>
      <c r="BR528" t="s">
        <v>134</v>
      </c>
      <c r="BS528" t="s">
        <v>134</v>
      </c>
      <c r="BT528" t="s">
        <v>134</v>
      </c>
      <c r="BU528" t="s">
        <v>134</v>
      </c>
      <c r="BV528" t="s">
        <v>134</v>
      </c>
      <c r="BW528" t="s">
        <v>134</v>
      </c>
      <c r="BX528" t="s">
        <v>134</v>
      </c>
      <c r="BY528" t="s">
        <v>134</v>
      </c>
      <c r="BZ528" t="s">
        <v>134</v>
      </c>
      <c r="CA528" t="s">
        <v>134</v>
      </c>
      <c r="CB528" t="s">
        <v>134</v>
      </c>
      <c r="CC528" t="s">
        <v>134</v>
      </c>
      <c r="CD528" t="s">
        <v>134</v>
      </c>
      <c r="CE528" t="s">
        <v>134</v>
      </c>
      <c r="CF528" t="s">
        <v>134</v>
      </c>
      <c r="CG528" t="s">
        <v>134</v>
      </c>
      <c r="CH528" t="s">
        <v>134</v>
      </c>
      <c r="CI528" t="s">
        <v>134</v>
      </c>
      <c r="CJ528" t="s">
        <v>134</v>
      </c>
      <c r="CK528" t="s">
        <v>134</v>
      </c>
      <c r="CL528" t="s">
        <v>134</v>
      </c>
      <c r="CM528" t="s">
        <v>134</v>
      </c>
      <c r="CN528" t="s">
        <v>134</v>
      </c>
      <c r="CO528" t="s">
        <v>134</v>
      </c>
      <c r="CP528" t="s">
        <v>134</v>
      </c>
      <c r="CQ528" t="s">
        <v>134</v>
      </c>
      <c r="CR528" t="s">
        <v>134</v>
      </c>
      <c r="CS528" t="s">
        <v>134</v>
      </c>
      <c r="CT528" t="s">
        <v>134</v>
      </c>
      <c r="CU528" t="s">
        <v>134</v>
      </c>
      <c r="CV528" t="s">
        <v>134</v>
      </c>
      <c r="CW528" t="s">
        <v>134</v>
      </c>
      <c r="CX528" t="s">
        <v>134</v>
      </c>
      <c r="CY528" t="s">
        <v>134</v>
      </c>
      <c r="CZ528" t="s">
        <v>134</v>
      </c>
      <c r="DA528" t="s">
        <v>134</v>
      </c>
      <c r="DB528" t="s">
        <v>134</v>
      </c>
      <c r="DC528" t="s">
        <v>134</v>
      </c>
      <c r="DD528" t="s">
        <v>134</v>
      </c>
      <c r="DE528" t="s">
        <v>134</v>
      </c>
      <c r="DF528" t="s">
        <v>134</v>
      </c>
      <c r="DG528" t="s">
        <v>134</v>
      </c>
      <c r="DH528" t="s">
        <v>134</v>
      </c>
      <c r="DI528" t="s">
        <v>134</v>
      </c>
    </row>
    <row r="529" spans="4:113" x14ac:dyDescent="0.3">
      <c r="E529" t="s">
        <v>78</v>
      </c>
      <c r="F529" t="s">
        <v>134</v>
      </c>
      <c r="G529" t="s">
        <v>134</v>
      </c>
      <c r="H529" t="s">
        <v>134</v>
      </c>
      <c r="I529" t="s">
        <v>134</v>
      </c>
      <c r="J529" t="s">
        <v>134</v>
      </c>
      <c r="K529" t="s">
        <v>134</v>
      </c>
      <c r="L529" t="s">
        <v>134</v>
      </c>
      <c r="M529" t="s">
        <v>134</v>
      </c>
      <c r="N529" t="s">
        <v>134</v>
      </c>
      <c r="O529" t="s">
        <v>134</v>
      </c>
      <c r="P529" t="s">
        <v>134</v>
      </c>
      <c r="Q529" t="s">
        <v>134</v>
      </c>
      <c r="R529" t="s">
        <v>134</v>
      </c>
      <c r="S529" t="s">
        <v>134</v>
      </c>
      <c r="T529" t="s">
        <v>134</v>
      </c>
      <c r="U529" t="s">
        <v>134</v>
      </c>
      <c r="V529" t="s">
        <v>134</v>
      </c>
      <c r="W529" t="s">
        <v>134</v>
      </c>
      <c r="X529" t="s">
        <v>134</v>
      </c>
      <c r="Y529" t="s">
        <v>134</v>
      </c>
      <c r="Z529" t="s">
        <v>134</v>
      </c>
      <c r="AA529" t="s">
        <v>134</v>
      </c>
      <c r="AB529" t="s">
        <v>134</v>
      </c>
      <c r="AC529" t="s">
        <v>134</v>
      </c>
      <c r="AD529" t="s">
        <v>134</v>
      </c>
      <c r="AE529" t="s">
        <v>134</v>
      </c>
      <c r="AF529" t="s">
        <v>134</v>
      </c>
      <c r="AG529" t="s">
        <v>134</v>
      </c>
      <c r="AH529" t="s">
        <v>134</v>
      </c>
      <c r="AI529" t="s">
        <v>134</v>
      </c>
      <c r="AJ529" t="s">
        <v>134</v>
      </c>
      <c r="AK529" t="s">
        <v>134</v>
      </c>
      <c r="AL529" t="s">
        <v>134</v>
      </c>
      <c r="AM529" t="s">
        <v>134</v>
      </c>
      <c r="AN529" t="s">
        <v>134</v>
      </c>
      <c r="AO529" t="s">
        <v>134</v>
      </c>
      <c r="AP529" t="s">
        <v>134</v>
      </c>
      <c r="AQ529" t="s">
        <v>134</v>
      </c>
      <c r="AR529" t="s">
        <v>134</v>
      </c>
      <c r="AS529" t="s">
        <v>134</v>
      </c>
      <c r="AT529" t="s">
        <v>134</v>
      </c>
      <c r="AU529" t="s">
        <v>134</v>
      </c>
      <c r="AV529" t="s">
        <v>134</v>
      </c>
      <c r="AW529" t="s">
        <v>134</v>
      </c>
      <c r="AX529" t="s">
        <v>134</v>
      </c>
      <c r="AY529" t="s">
        <v>134</v>
      </c>
      <c r="AZ529" t="s">
        <v>134</v>
      </c>
      <c r="BA529" t="s">
        <v>134</v>
      </c>
      <c r="BB529" t="s">
        <v>134</v>
      </c>
      <c r="BC529" t="s">
        <v>134</v>
      </c>
      <c r="BD529" t="s">
        <v>134</v>
      </c>
      <c r="BE529" t="s">
        <v>134</v>
      </c>
      <c r="BF529" t="s">
        <v>134</v>
      </c>
      <c r="BG529" t="s">
        <v>134</v>
      </c>
      <c r="BH529" t="s">
        <v>134</v>
      </c>
      <c r="BI529" t="s">
        <v>134</v>
      </c>
      <c r="BJ529" t="s">
        <v>134</v>
      </c>
      <c r="BK529" t="s">
        <v>134</v>
      </c>
      <c r="BL529" t="s">
        <v>134</v>
      </c>
      <c r="BM529" t="s">
        <v>134</v>
      </c>
      <c r="BN529" t="s">
        <v>134</v>
      </c>
      <c r="BO529" t="s">
        <v>134</v>
      </c>
      <c r="BP529" t="s">
        <v>134</v>
      </c>
      <c r="BQ529" t="s">
        <v>134</v>
      </c>
      <c r="BR529" t="s">
        <v>134</v>
      </c>
      <c r="BS529" t="s">
        <v>134</v>
      </c>
      <c r="BT529" t="s">
        <v>134</v>
      </c>
      <c r="BU529" t="s">
        <v>134</v>
      </c>
      <c r="BV529" t="s">
        <v>134</v>
      </c>
      <c r="BW529" t="s">
        <v>134</v>
      </c>
      <c r="BX529" t="s">
        <v>134</v>
      </c>
      <c r="BY529" t="s">
        <v>134</v>
      </c>
      <c r="BZ529" t="s">
        <v>134</v>
      </c>
      <c r="CA529" t="s">
        <v>134</v>
      </c>
      <c r="CB529" t="s">
        <v>134</v>
      </c>
      <c r="CC529" t="s">
        <v>134</v>
      </c>
      <c r="CD529" t="s">
        <v>134</v>
      </c>
      <c r="CE529" t="s">
        <v>134</v>
      </c>
      <c r="CF529" t="s">
        <v>134</v>
      </c>
      <c r="CG529" t="s">
        <v>134</v>
      </c>
      <c r="CH529" t="s">
        <v>134</v>
      </c>
      <c r="CI529" t="s">
        <v>134</v>
      </c>
      <c r="CJ529" t="s">
        <v>134</v>
      </c>
      <c r="CK529" t="s">
        <v>134</v>
      </c>
      <c r="CL529" t="s">
        <v>134</v>
      </c>
      <c r="CM529" t="s">
        <v>134</v>
      </c>
      <c r="CN529" t="s">
        <v>134</v>
      </c>
      <c r="CO529" t="s">
        <v>134</v>
      </c>
      <c r="CP529" t="s">
        <v>134</v>
      </c>
      <c r="CQ529" t="s">
        <v>134</v>
      </c>
      <c r="CR529" t="s">
        <v>134</v>
      </c>
      <c r="CS529" t="s">
        <v>134</v>
      </c>
      <c r="CT529" t="s">
        <v>134</v>
      </c>
      <c r="CU529" t="s">
        <v>134</v>
      </c>
      <c r="CV529" t="s">
        <v>134</v>
      </c>
      <c r="CW529" t="s">
        <v>134</v>
      </c>
      <c r="CX529" t="s">
        <v>134</v>
      </c>
      <c r="CY529" t="s">
        <v>134</v>
      </c>
      <c r="CZ529" t="s">
        <v>134</v>
      </c>
      <c r="DA529" t="s">
        <v>134</v>
      </c>
      <c r="DB529" t="s">
        <v>134</v>
      </c>
      <c r="DC529" t="s">
        <v>134</v>
      </c>
      <c r="DD529" t="s">
        <v>134</v>
      </c>
      <c r="DE529" t="s">
        <v>134</v>
      </c>
      <c r="DF529" t="s">
        <v>134</v>
      </c>
      <c r="DG529" t="s">
        <v>134</v>
      </c>
      <c r="DH529" t="s">
        <v>134</v>
      </c>
      <c r="DI529" t="s">
        <v>134</v>
      </c>
    </row>
    <row r="530" spans="4:113" x14ac:dyDescent="0.3">
      <c r="E530" t="s">
        <v>79</v>
      </c>
      <c r="F530" t="s">
        <v>134</v>
      </c>
      <c r="G530" t="s">
        <v>134</v>
      </c>
      <c r="H530" t="s">
        <v>134</v>
      </c>
      <c r="I530" t="s">
        <v>134</v>
      </c>
      <c r="J530" t="s">
        <v>134</v>
      </c>
      <c r="K530" t="s">
        <v>134</v>
      </c>
      <c r="L530" t="s">
        <v>134</v>
      </c>
      <c r="M530" t="s">
        <v>134</v>
      </c>
      <c r="N530" t="s">
        <v>134</v>
      </c>
      <c r="O530" t="s">
        <v>134</v>
      </c>
      <c r="P530" t="s">
        <v>134</v>
      </c>
      <c r="Q530" t="s">
        <v>134</v>
      </c>
      <c r="R530" t="s">
        <v>134</v>
      </c>
      <c r="S530" t="s">
        <v>134</v>
      </c>
      <c r="T530" t="s">
        <v>134</v>
      </c>
      <c r="U530" t="s">
        <v>134</v>
      </c>
      <c r="V530" t="s">
        <v>134</v>
      </c>
      <c r="W530" t="s">
        <v>134</v>
      </c>
      <c r="X530" t="s">
        <v>134</v>
      </c>
      <c r="Y530" t="s">
        <v>134</v>
      </c>
      <c r="Z530" t="s">
        <v>134</v>
      </c>
      <c r="AA530" t="s">
        <v>134</v>
      </c>
      <c r="AB530" t="s">
        <v>134</v>
      </c>
      <c r="AC530" t="s">
        <v>134</v>
      </c>
      <c r="AD530" t="s">
        <v>134</v>
      </c>
      <c r="AE530" t="s">
        <v>134</v>
      </c>
      <c r="AF530" t="s">
        <v>134</v>
      </c>
      <c r="AG530" t="s">
        <v>134</v>
      </c>
      <c r="AH530" t="s">
        <v>134</v>
      </c>
      <c r="AI530" t="s">
        <v>134</v>
      </c>
      <c r="AJ530" t="s">
        <v>134</v>
      </c>
      <c r="AK530" t="s">
        <v>134</v>
      </c>
      <c r="AL530" t="s">
        <v>134</v>
      </c>
      <c r="AM530" t="s">
        <v>134</v>
      </c>
      <c r="AN530" t="s">
        <v>134</v>
      </c>
      <c r="AO530" t="s">
        <v>134</v>
      </c>
      <c r="AP530" t="s">
        <v>134</v>
      </c>
      <c r="AQ530" t="s">
        <v>134</v>
      </c>
      <c r="AR530" t="s">
        <v>134</v>
      </c>
      <c r="AS530" t="s">
        <v>134</v>
      </c>
      <c r="AT530" t="s">
        <v>134</v>
      </c>
      <c r="AU530" t="s">
        <v>134</v>
      </c>
      <c r="AV530" t="s">
        <v>134</v>
      </c>
      <c r="AW530" t="s">
        <v>134</v>
      </c>
      <c r="AX530" t="s">
        <v>134</v>
      </c>
      <c r="AY530" t="s">
        <v>134</v>
      </c>
      <c r="AZ530" t="s">
        <v>134</v>
      </c>
      <c r="BA530" t="s">
        <v>134</v>
      </c>
      <c r="BB530" t="s">
        <v>134</v>
      </c>
      <c r="BC530" t="s">
        <v>134</v>
      </c>
      <c r="BD530" t="s">
        <v>134</v>
      </c>
      <c r="BE530" t="s">
        <v>134</v>
      </c>
      <c r="BF530" t="s">
        <v>134</v>
      </c>
      <c r="BG530" t="s">
        <v>134</v>
      </c>
      <c r="BH530" t="s">
        <v>134</v>
      </c>
      <c r="BI530" t="s">
        <v>134</v>
      </c>
      <c r="BJ530" t="s">
        <v>134</v>
      </c>
      <c r="BK530" t="s">
        <v>134</v>
      </c>
      <c r="BL530" t="s">
        <v>134</v>
      </c>
      <c r="BM530" t="s">
        <v>134</v>
      </c>
      <c r="BN530" t="s">
        <v>134</v>
      </c>
      <c r="BO530" t="s">
        <v>134</v>
      </c>
      <c r="BP530" t="s">
        <v>134</v>
      </c>
      <c r="BQ530" t="s">
        <v>134</v>
      </c>
      <c r="BR530" t="s">
        <v>134</v>
      </c>
      <c r="BS530" t="s">
        <v>134</v>
      </c>
      <c r="BT530" t="s">
        <v>134</v>
      </c>
      <c r="BU530" t="s">
        <v>134</v>
      </c>
      <c r="BV530" t="s">
        <v>134</v>
      </c>
      <c r="BW530" t="s">
        <v>134</v>
      </c>
      <c r="BX530" t="s">
        <v>134</v>
      </c>
      <c r="BY530" t="s">
        <v>134</v>
      </c>
      <c r="BZ530" t="s">
        <v>134</v>
      </c>
      <c r="CA530" t="s">
        <v>134</v>
      </c>
      <c r="CB530" t="s">
        <v>134</v>
      </c>
      <c r="CC530" t="s">
        <v>134</v>
      </c>
      <c r="CD530" t="s">
        <v>134</v>
      </c>
      <c r="CE530" t="s">
        <v>134</v>
      </c>
      <c r="CF530" t="s">
        <v>134</v>
      </c>
      <c r="CG530" t="s">
        <v>134</v>
      </c>
      <c r="CH530" t="s">
        <v>134</v>
      </c>
      <c r="CI530" t="s">
        <v>134</v>
      </c>
      <c r="CJ530" t="s">
        <v>134</v>
      </c>
      <c r="CK530" t="s">
        <v>134</v>
      </c>
      <c r="CL530" t="s">
        <v>134</v>
      </c>
      <c r="CM530" t="s">
        <v>134</v>
      </c>
      <c r="CN530" t="s">
        <v>134</v>
      </c>
      <c r="CO530" t="s">
        <v>134</v>
      </c>
      <c r="CP530" t="s">
        <v>134</v>
      </c>
      <c r="CQ530" t="s">
        <v>134</v>
      </c>
      <c r="CR530" t="s">
        <v>134</v>
      </c>
      <c r="CS530" t="s">
        <v>134</v>
      </c>
      <c r="CT530" t="s">
        <v>134</v>
      </c>
      <c r="CU530" t="s">
        <v>134</v>
      </c>
      <c r="CV530" t="s">
        <v>134</v>
      </c>
      <c r="CW530" t="s">
        <v>134</v>
      </c>
      <c r="CX530" t="s">
        <v>134</v>
      </c>
      <c r="CY530" t="s">
        <v>134</v>
      </c>
      <c r="CZ530" t="s">
        <v>134</v>
      </c>
      <c r="DA530" t="s">
        <v>134</v>
      </c>
      <c r="DB530" t="s">
        <v>134</v>
      </c>
      <c r="DC530" t="s">
        <v>134</v>
      </c>
      <c r="DD530" t="s">
        <v>134</v>
      </c>
      <c r="DE530" t="s">
        <v>134</v>
      </c>
      <c r="DF530" t="s">
        <v>134</v>
      </c>
      <c r="DG530" t="s">
        <v>134</v>
      </c>
      <c r="DH530" t="s">
        <v>134</v>
      </c>
      <c r="DI530" t="s">
        <v>134</v>
      </c>
    </row>
    <row r="531" spans="4:113" x14ac:dyDescent="0.3">
      <c r="E531" t="s">
        <v>80</v>
      </c>
      <c r="F531" t="s">
        <v>134</v>
      </c>
      <c r="G531" t="s">
        <v>134</v>
      </c>
      <c r="H531" t="s">
        <v>134</v>
      </c>
      <c r="I531" t="s">
        <v>134</v>
      </c>
      <c r="J531" t="s">
        <v>134</v>
      </c>
      <c r="K531" t="s">
        <v>134</v>
      </c>
      <c r="L531" t="s">
        <v>134</v>
      </c>
      <c r="M531" t="s">
        <v>134</v>
      </c>
      <c r="N531" t="s">
        <v>134</v>
      </c>
      <c r="O531" t="s">
        <v>134</v>
      </c>
      <c r="P531" t="s">
        <v>134</v>
      </c>
      <c r="Q531" t="s">
        <v>134</v>
      </c>
      <c r="R531" t="s">
        <v>134</v>
      </c>
      <c r="S531" t="s">
        <v>134</v>
      </c>
      <c r="T531" t="s">
        <v>134</v>
      </c>
      <c r="U531" t="s">
        <v>134</v>
      </c>
      <c r="V531" t="s">
        <v>134</v>
      </c>
      <c r="W531" t="s">
        <v>134</v>
      </c>
      <c r="X531" t="s">
        <v>134</v>
      </c>
      <c r="Y531" t="s">
        <v>134</v>
      </c>
      <c r="Z531" t="s">
        <v>134</v>
      </c>
      <c r="AA531" t="s">
        <v>134</v>
      </c>
      <c r="AB531" t="s">
        <v>134</v>
      </c>
      <c r="AC531" t="s">
        <v>134</v>
      </c>
      <c r="AD531" t="s">
        <v>134</v>
      </c>
      <c r="AE531" t="s">
        <v>134</v>
      </c>
      <c r="AF531" t="s">
        <v>134</v>
      </c>
      <c r="AG531" t="s">
        <v>134</v>
      </c>
      <c r="AH531" t="s">
        <v>134</v>
      </c>
      <c r="AI531" t="s">
        <v>134</v>
      </c>
      <c r="AJ531" t="s">
        <v>134</v>
      </c>
      <c r="AK531" t="s">
        <v>134</v>
      </c>
      <c r="AL531" t="s">
        <v>134</v>
      </c>
      <c r="AM531" t="s">
        <v>134</v>
      </c>
      <c r="AN531" t="s">
        <v>134</v>
      </c>
      <c r="AO531" t="s">
        <v>134</v>
      </c>
      <c r="AP531" t="s">
        <v>134</v>
      </c>
      <c r="AQ531" t="s">
        <v>134</v>
      </c>
      <c r="AR531" t="s">
        <v>134</v>
      </c>
      <c r="AS531" t="s">
        <v>134</v>
      </c>
      <c r="AT531" t="s">
        <v>134</v>
      </c>
      <c r="AU531" t="s">
        <v>134</v>
      </c>
      <c r="AV531" t="s">
        <v>134</v>
      </c>
      <c r="AW531" t="s">
        <v>134</v>
      </c>
      <c r="AX531" t="s">
        <v>134</v>
      </c>
      <c r="AY531" t="s">
        <v>134</v>
      </c>
      <c r="AZ531" t="s">
        <v>134</v>
      </c>
      <c r="BA531" t="s">
        <v>134</v>
      </c>
      <c r="BB531" t="s">
        <v>134</v>
      </c>
      <c r="BC531" t="s">
        <v>134</v>
      </c>
      <c r="BD531" t="s">
        <v>134</v>
      </c>
      <c r="BE531" t="s">
        <v>134</v>
      </c>
      <c r="BF531" t="s">
        <v>134</v>
      </c>
      <c r="BG531" t="s">
        <v>134</v>
      </c>
      <c r="BH531" t="s">
        <v>134</v>
      </c>
      <c r="BI531" t="s">
        <v>134</v>
      </c>
      <c r="BJ531" t="s">
        <v>134</v>
      </c>
      <c r="BK531" t="s">
        <v>134</v>
      </c>
      <c r="BL531" t="s">
        <v>134</v>
      </c>
      <c r="BM531" t="s">
        <v>134</v>
      </c>
      <c r="BN531" t="s">
        <v>134</v>
      </c>
      <c r="BO531" t="s">
        <v>134</v>
      </c>
      <c r="BP531" t="s">
        <v>134</v>
      </c>
      <c r="BQ531" t="s">
        <v>134</v>
      </c>
      <c r="BR531" t="s">
        <v>134</v>
      </c>
      <c r="BS531" t="s">
        <v>134</v>
      </c>
      <c r="BT531" t="s">
        <v>134</v>
      </c>
      <c r="BU531" t="s">
        <v>134</v>
      </c>
      <c r="BV531" t="s">
        <v>134</v>
      </c>
      <c r="BW531" t="s">
        <v>134</v>
      </c>
      <c r="BX531" t="s">
        <v>134</v>
      </c>
      <c r="BY531" t="s">
        <v>134</v>
      </c>
      <c r="BZ531" t="s">
        <v>134</v>
      </c>
      <c r="CA531" t="s">
        <v>134</v>
      </c>
      <c r="CB531" t="s">
        <v>134</v>
      </c>
      <c r="CC531" t="s">
        <v>134</v>
      </c>
      <c r="CD531" t="s">
        <v>134</v>
      </c>
      <c r="CE531" t="s">
        <v>134</v>
      </c>
      <c r="CF531" t="s">
        <v>134</v>
      </c>
      <c r="CG531" t="s">
        <v>134</v>
      </c>
      <c r="CH531" t="s">
        <v>134</v>
      </c>
      <c r="CI531" t="s">
        <v>134</v>
      </c>
      <c r="CJ531" t="s">
        <v>134</v>
      </c>
      <c r="CK531" t="s">
        <v>134</v>
      </c>
      <c r="CL531" t="s">
        <v>134</v>
      </c>
      <c r="CM531" t="s">
        <v>134</v>
      </c>
      <c r="CN531" t="s">
        <v>134</v>
      </c>
      <c r="CO531" t="s">
        <v>134</v>
      </c>
      <c r="CP531" t="s">
        <v>134</v>
      </c>
      <c r="CQ531" t="s">
        <v>134</v>
      </c>
      <c r="CR531" t="s">
        <v>134</v>
      </c>
      <c r="CS531" t="s">
        <v>134</v>
      </c>
      <c r="CT531" t="s">
        <v>134</v>
      </c>
      <c r="CU531" t="s">
        <v>134</v>
      </c>
      <c r="CV531" t="s">
        <v>134</v>
      </c>
      <c r="CW531" t="s">
        <v>134</v>
      </c>
      <c r="CX531" t="s">
        <v>134</v>
      </c>
      <c r="CY531" t="s">
        <v>134</v>
      </c>
      <c r="CZ531" t="s">
        <v>134</v>
      </c>
      <c r="DA531" t="s">
        <v>134</v>
      </c>
      <c r="DB531" t="s">
        <v>134</v>
      </c>
      <c r="DC531" t="s">
        <v>134</v>
      </c>
      <c r="DD531" t="s">
        <v>134</v>
      </c>
      <c r="DE531" t="s">
        <v>134</v>
      </c>
      <c r="DF531" t="s">
        <v>134</v>
      </c>
      <c r="DG531" t="s">
        <v>134</v>
      </c>
      <c r="DH531" t="s">
        <v>134</v>
      </c>
      <c r="DI531" t="s">
        <v>134</v>
      </c>
    </row>
    <row r="532" spans="4:113" x14ac:dyDescent="0.3">
      <c r="E532" t="s">
        <v>81</v>
      </c>
      <c r="F532" t="s">
        <v>134</v>
      </c>
      <c r="G532" t="s">
        <v>134</v>
      </c>
      <c r="H532" t="s">
        <v>134</v>
      </c>
      <c r="I532" t="s">
        <v>134</v>
      </c>
      <c r="J532" t="s">
        <v>134</v>
      </c>
      <c r="K532" t="s">
        <v>134</v>
      </c>
      <c r="L532" t="s">
        <v>134</v>
      </c>
      <c r="M532" t="s">
        <v>134</v>
      </c>
      <c r="N532" t="s">
        <v>134</v>
      </c>
      <c r="O532" t="s">
        <v>134</v>
      </c>
      <c r="P532" t="s">
        <v>134</v>
      </c>
      <c r="Q532" t="s">
        <v>134</v>
      </c>
      <c r="R532" t="s">
        <v>134</v>
      </c>
      <c r="S532" t="s">
        <v>134</v>
      </c>
      <c r="T532" t="s">
        <v>134</v>
      </c>
      <c r="U532" t="s">
        <v>134</v>
      </c>
      <c r="V532" t="s">
        <v>134</v>
      </c>
      <c r="W532" t="s">
        <v>134</v>
      </c>
      <c r="X532" t="s">
        <v>134</v>
      </c>
      <c r="Y532" t="s">
        <v>134</v>
      </c>
      <c r="Z532" t="s">
        <v>134</v>
      </c>
      <c r="AA532" t="s">
        <v>134</v>
      </c>
      <c r="AB532" t="s">
        <v>134</v>
      </c>
      <c r="AC532" t="s">
        <v>134</v>
      </c>
      <c r="AD532" t="s">
        <v>134</v>
      </c>
      <c r="AE532" t="s">
        <v>134</v>
      </c>
      <c r="AF532" t="s">
        <v>134</v>
      </c>
      <c r="AG532" t="s">
        <v>134</v>
      </c>
      <c r="AH532" t="s">
        <v>134</v>
      </c>
      <c r="AI532" t="s">
        <v>134</v>
      </c>
      <c r="AJ532" t="s">
        <v>134</v>
      </c>
      <c r="AK532" t="s">
        <v>134</v>
      </c>
      <c r="AL532" t="s">
        <v>134</v>
      </c>
      <c r="AM532" t="s">
        <v>134</v>
      </c>
      <c r="AN532" t="s">
        <v>134</v>
      </c>
      <c r="AO532" t="s">
        <v>134</v>
      </c>
      <c r="AP532" t="s">
        <v>134</v>
      </c>
      <c r="AQ532" t="s">
        <v>134</v>
      </c>
      <c r="AR532" t="s">
        <v>134</v>
      </c>
      <c r="AS532" t="s">
        <v>134</v>
      </c>
      <c r="AT532" t="s">
        <v>134</v>
      </c>
      <c r="AU532" t="s">
        <v>134</v>
      </c>
      <c r="AV532" t="s">
        <v>134</v>
      </c>
      <c r="AW532" t="s">
        <v>134</v>
      </c>
      <c r="AX532" t="s">
        <v>134</v>
      </c>
      <c r="AY532" t="s">
        <v>134</v>
      </c>
      <c r="AZ532" t="s">
        <v>134</v>
      </c>
      <c r="BA532" t="s">
        <v>134</v>
      </c>
      <c r="BB532" t="s">
        <v>134</v>
      </c>
      <c r="BC532" t="s">
        <v>134</v>
      </c>
      <c r="BD532" t="s">
        <v>134</v>
      </c>
      <c r="BE532" t="s">
        <v>134</v>
      </c>
      <c r="BF532" t="s">
        <v>134</v>
      </c>
      <c r="BG532" t="s">
        <v>134</v>
      </c>
      <c r="BH532" t="s">
        <v>134</v>
      </c>
      <c r="BI532" t="s">
        <v>134</v>
      </c>
      <c r="BJ532" t="s">
        <v>134</v>
      </c>
      <c r="BK532" t="s">
        <v>134</v>
      </c>
      <c r="BL532" t="s">
        <v>134</v>
      </c>
      <c r="BM532" t="s">
        <v>134</v>
      </c>
      <c r="BN532" t="s">
        <v>134</v>
      </c>
      <c r="BO532" t="s">
        <v>134</v>
      </c>
      <c r="BP532" t="s">
        <v>134</v>
      </c>
      <c r="BQ532" t="s">
        <v>134</v>
      </c>
      <c r="BR532" t="s">
        <v>134</v>
      </c>
      <c r="BS532" t="s">
        <v>134</v>
      </c>
      <c r="BT532" t="s">
        <v>134</v>
      </c>
      <c r="BU532" t="s">
        <v>134</v>
      </c>
      <c r="BV532" t="s">
        <v>134</v>
      </c>
      <c r="BW532" t="s">
        <v>134</v>
      </c>
      <c r="BX532" t="s">
        <v>134</v>
      </c>
      <c r="BY532" t="s">
        <v>134</v>
      </c>
      <c r="BZ532" t="s">
        <v>134</v>
      </c>
      <c r="CA532" t="s">
        <v>134</v>
      </c>
      <c r="CB532" t="s">
        <v>134</v>
      </c>
      <c r="CC532" t="s">
        <v>134</v>
      </c>
      <c r="CD532" t="s">
        <v>134</v>
      </c>
      <c r="CE532" t="s">
        <v>134</v>
      </c>
      <c r="CF532" t="s">
        <v>134</v>
      </c>
      <c r="CG532" t="s">
        <v>134</v>
      </c>
      <c r="CH532" t="s">
        <v>134</v>
      </c>
      <c r="CI532" t="s">
        <v>134</v>
      </c>
      <c r="CJ532" t="s">
        <v>134</v>
      </c>
      <c r="CK532" t="s">
        <v>134</v>
      </c>
      <c r="CL532" t="s">
        <v>134</v>
      </c>
      <c r="CM532" t="s">
        <v>134</v>
      </c>
      <c r="CN532" t="s">
        <v>134</v>
      </c>
      <c r="CO532" t="s">
        <v>134</v>
      </c>
      <c r="CP532" t="s">
        <v>134</v>
      </c>
      <c r="CQ532" t="s">
        <v>134</v>
      </c>
      <c r="CR532" t="s">
        <v>134</v>
      </c>
      <c r="CS532" t="s">
        <v>134</v>
      </c>
      <c r="CT532" t="s">
        <v>134</v>
      </c>
      <c r="CU532" t="s">
        <v>134</v>
      </c>
      <c r="CV532" t="s">
        <v>134</v>
      </c>
      <c r="CW532" t="s">
        <v>134</v>
      </c>
      <c r="CX532" t="s">
        <v>134</v>
      </c>
      <c r="CY532" t="s">
        <v>134</v>
      </c>
      <c r="CZ532" t="s">
        <v>134</v>
      </c>
      <c r="DA532" t="s">
        <v>134</v>
      </c>
      <c r="DB532" t="s">
        <v>134</v>
      </c>
      <c r="DC532" t="s">
        <v>134</v>
      </c>
      <c r="DD532" t="s">
        <v>134</v>
      </c>
      <c r="DE532" t="s">
        <v>134</v>
      </c>
      <c r="DF532" t="s">
        <v>134</v>
      </c>
      <c r="DG532" t="s">
        <v>134</v>
      </c>
      <c r="DH532" t="s">
        <v>134</v>
      </c>
      <c r="DI532" t="s">
        <v>134</v>
      </c>
    </row>
    <row r="533" spans="4:113" x14ac:dyDescent="0.3">
      <c r="D533" t="s">
        <v>82</v>
      </c>
      <c r="E533" t="s">
        <v>77</v>
      </c>
      <c r="F533" t="s">
        <v>134</v>
      </c>
      <c r="G533" t="s">
        <v>134</v>
      </c>
      <c r="H533" t="s">
        <v>134</v>
      </c>
      <c r="I533" t="s">
        <v>134</v>
      </c>
      <c r="J533">
        <v>16.6417</v>
      </c>
      <c r="K533">
        <v>11.801500000000001</v>
      </c>
      <c r="L533" t="s">
        <v>134</v>
      </c>
      <c r="M533">
        <v>15.8119</v>
      </c>
      <c r="N533">
        <v>10.635199999999999</v>
      </c>
      <c r="O533">
        <v>10.635199999999999</v>
      </c>
      <c r="P533">
        <v>10.635199999999999</v>
      </c>
      <c r="Q533">
        <v>32.738999999999997</v>
      </c>
      <c r="R533">
        <v>26.388000000000002</v>
      </c>
      <c r="S533" t="s">
        <v>134</v>
      </c>
      <c r="T533" t="s">
        <v>134</v>
      </c>
      <c r="U533" t="s">
        <v>134</v>
      </c>
      <c r="V533" t="s">
        <v>134</v>
      </c>
      <c r="W533" t="s">
        <v>134</v>
      </c>
      <c r="X533" t="s">
        <v>134</v>
      </c>
      <c r="Y533" t="s">
        <v>134</v>
      </c>
      <c r="Z533" t="s">
        <v>134</v>
      </c>
      <c r="AA533" t="s">
        <v>134</v>
      </c>
      <c r="AB533" t="s">
        <v>134</v>
      </c>
      <c r="AC533" t="s">
        <v>134</v>
      </c>
      <c r="AD533" t="s">
        <v>134</v>
      </c>
      <c r="AE533" t="s">
        <v>134</v>
      </c>
      <c r="AF533" t="s">
        <v>134</v>
      </c>
      <c r="AG533" t="s">
        <v>134</v>
      </c>
      <c r="AH533" t="s">
        <v>134</v>
      </c>
      <c r="AI533" t="s">
        <v>134</v>
      </c>
      <c r="AJ533" t="s">
        <v>134</v>
      </c>
      <c r="AK533" t="s">
        <v>134</v>
      </c>
      <c r="AL533" t="s">
        <v>134</v>
      </c>
      <c r="AM533" t="s">
        <v>134</v>
      </c>
      <c r="AN533" t="s">
        <v>134</v>
      </c>
      <c r="AO533" t="s">
        <v>134</v>
      </c>
      <c r="AP533" t="s">
        <v>134</v>
      </c>
      <c r="AQ533" t="s">
        <v>134</v>
      </c>
      <c r="AR533" t="s">
        <v>134</v>
      </c>
      <c r="AS533" t="s">
        <v>134</v>
      </c>
      <c r="AT533" t="s">
        <v>134</v>
      </c>
      <c r="AU533" t="s">
        <v>134</v>
      </c>
      <c r="AV533" t="s">
        <v>134</v>
      </c>
      <c r="AW533" t="s">
        <v>134</v>
      </c>
      <c r="AX533" t="s">
        <v>134</v>
      </c>
      <c r="AY533" t="s">
        <v>134</v>
      </c>
      <c r="AZ533" t="s">
        <v>134</v>
      </c>
      <c r="BA533" t="s">
        <v>134</v>
      </c>
      <c r="BB533" t="s">
        <v>134</v>
      </c>
      <c r="BC533" t="s">
        <v>134</v>
      </c>
      <c r="BD533" t="s">
        <v>134</v>
      </c>
      <c r="BE533" t="s">
        <v>134</v>
      </c>
      <c r="BF533" t="s">
        <v>134</v>
      </c>
      <c r="BG533" t="s">
        <v>134</v>
      </c>
      <c r="BH533" t="s">
        <v>134</v>
      </c>
      <c r="BI533" t="s">
        <v>134</v>
      </c>
      <c r="BJ533" t="s">
        <v>134</v>
      </c>
      <c r="BK533" t="s">
        <v>134</v>
      </c>
      <c r="BL533" t="s">
        <v>134</v>
      </c>
      <c r="BM533" t="s">
        <v>134</v>
      </c>
      <c r="BN533" t="s">
        <v>134</v>
      </c>
      <c r="BO533" t="s">
        <v>134</v>
      </c>
      <c r="BP533" t="s">
        <v>134</v>
      </c>
      <c r="BQ533" t="s">
        <v>134</v>
      </c>
      <c r="BR533" t="s">
        <v>134</v>
      </c>
      <c r="BS533" t="s">
        <v>134</v>
      </c>
      <c r="BT533" t="s">
        <v>134</v>
      </c>
      <c r="BU533" t="s">
        <v>134</v>
      </c>
      <c r="BV533" t="s">
        <v>134</v>
      </c>
      <c r="BW533" t="s">
        <v>134</v>
      </c>
      <c r="BX533" t="s">
        <v>134</v>
      </c>
      <c r="BY533">
        <v>1122</v>
      </c>
      <c r="BZ533">
        <v>580</v>
      </c>
      <c r="CA533">
        <v>542</v>
      </c>
      <c r="CB533">
        <v>7.0900000000000005E-2</v>
      </c>
      <c r="CC533">
        <v>-1.2946</v>
      </c>
      <c r="CD533">
        <v>0.1</v>
      </c>
      <c r="CE533">
        <v>-1.8254999999999999</v>
      </c>
      <c r="CF533">
        <v>116.8848</v>
      </c>
      <c r="CG533">
        <v>70.435599999999994</v>
      </c>
      <c r="CH533">
        <v>0.73770000000000002</v>
      </c>
      <c r="CI533">
        <v>0.72660000000000002</v>
      </c>
      <c r="CJ533">
        <v>0.51959999999999995</v>
      </c>
      <c r="CK533">
        <v>1.5272000000000001</v>
      </c>
      <c r="CL533">
        <v>1.5042</v>
      </c>
      <c r="CM533">
        <v>1.0757000000000001</v>
      </c>
      <c r="CN533">
        <v>-27.886199999999999</v>
      </c>
      <c r="CO533">
        <v>-38.669699999999999</v>
      </c>
      <c r="CP533">
        <v>15826.2</v>
      </c>
      <c r="CQ533" t="s">
        <v>134</v>
      </c>
      <c r="CR533">
        <v>11223.2</v>
      </c>
      <c r="CS533">
        <v>0.84709999999999996</v>
      </c>
      <c r="CT533">
        <v>2.3231000000000002</v>
      </c>
      <c r="CU533">
        <v>1.3126</v>
      </c>
      <c r="CV533">
        <v>17.576799999999999</v>
      </c>
      <c r="CW533" t="s">
        <v>134</v>
      </c>
      <c r="CX533" t="s">
        <v>134</v>
      </c>
      <c r="CY533" t="s">
        <v>134</v>
      </c>
      <c r="CZ533" t="s">
        <v>134</v>
      </c>
      <c r="DA533" t="s">
        <v>134</v>
      </c>
      <c r="DB533" t="s">
        <v>134</v>
      </c>
      <c r="DC533" t="s">
        <v>134</v>
      </c>
      <c r="DD533" t="s">
        <v>134</v>
      </c>
      <c r="DE533">
        <v>12762</v>
      </c>
      <c r="DF533">
        <v>2257</v>
      </c>
      <c r="DG533">
        <v>1407</v>
      </c>
      <c r="DH533">
        <v>5906</v>
      </c>
      <c r="DI533">
        <v>3192</v>
      </c>
    </row>
    <row r="534" spans="4:113" x14ac:dyDescent="0.3">
      <c r="E534" t="s">
        <v>78</v>
      </c>
      <c r="F534" t="s">
        <v>134</v>
      </c>
      <c r="G534" t="s">
        <v>134</v>
      </c>
      <c r="H534" t="s">
        <v>134</v>
      </c>
      <c r="I534" t="s">
        <v>134</v>
      </c>
      <c r="J534" t="s">
        <v>134</v>
      </c>
      <c r="K534" t="s">
        <v>134</v>
      </c>
      <c r="L534" t="s">
        <v>134</v>
      </c>
      <c r="M534" t="s">
        <v>134</v>
      </c>
      <c r="N534" t="s">
        <v>134</v>
      </c>
      <c r="O534" t="s">
        <v>134</v>
      </c>
      <c r="P534" t="s">
        <v>134</v>
      </c>
      <c r="Q534" t="s">
        <v>134</v>
      </c>
      <c r="R534" t="s">
        <v>134</v>
      </c>
      <c r="S534" t="s">
        <v>134</v>
      </c>
      <c r="T534" t="s">
        <v>134</v>
      </c>
      <c r="U534" t="s">
        <v>134</v>
      </c>
      <c r="V534" t="s">
        <v>134</v>
      </c>
      <c r="W534" t="s">
        <v>134</v>
      </c>
      <c r="X534" t="s">
        <v>134</v>
      </c>
      <c r="Y534" t="s">
        <v>134</v>
      </c>
      <c r="Z534" t="s">
        <v>134</v>
      </c>
      <c r="AA534" t="s">
        <v>134</v>
      </c>
      <c r="AB534" t="s">
        <v>134</v>
      </c>
      <c r="AC534" t="s">
        <v>134</v>
      </c>
      <c r="AD534" t="s">
        <v>134</v>
      </c>
      <c r="AE534" t="s">
        <v>134</v>
      </c>
      <c r="AF534" t="s">
        <v>134</v>
      </c>
      <c r="AG534" t="s">
        <v>134</v>
      </c>
      <c r="AH534" t="s">
        <v>134</v>
      </c>
      <c r="AI534" t="s">
        <v>134</v>
      </c>
      <c r="AJ534" t="s">
        <v>134</v>
      </c>
      <c r="AK534" t="s">
        <v>134</v>
      </c>
      <c r="AL534" t="s">
        <v>134</v>
      </c>
      <c r="AM534" t="s">
        <v>134</v>
      </c>
      <c r="AN534" t="s">
        <v>134</v>
      </c>
      <c r="AO534" t="s">
        <v>134</v>
      </c>
      <c r="AP534" t="s">
        <v>134</v>
      </c>
      <c r="AQ534" t="s">
        <v>134</v>
      </c>
      <c r="AR534" t="s">
        <v>134</v>
      </c>
      <c r="AS534" t="s">
        <v>134</v>
      </c>
      <c r="AT534" t="s">
        <v>134</v>
      </c>
      <c r="AU534" t="s">
        <v>134</v>
      </c>
      <c r="AV534" t="s">
        <v>134</v>
      </c>
      <c r="AW534" t="s">
        <v>134</v>
      </c>
      <c r="AX534" t="s">
        <v>134</v>
      </c>
      <c r="AY534" t="s">
        <v>134</v>
      </c>
      <c r="AZ534" t="s">
        <v>134</v>
      </c>
      <c r="BA534" t="s">
        <v>134</v>
      </c>
      <c r="BB534" t="s">
        <v>134</v>
      </c>
      <c r="BC534" t="s">
        <v>134</v>
      </c>
      <c r="BD534" t="s">
        <v>134</v>
      </c>
      <c r="BE534" t="s">
        <v>134</v>
      </c>
      <c r="BF534" t="s">
        <v>134</v>
      </c>
      <c r="BG534" t="s">
        <v>134</v>
      </c>
      <c r="BH534" t="s">
        <v>134</v>
      </c>
      <c r="BI534" t="s">
        <v>134</v>
      </c>
      <c r="BJ534" t="s">
        <v>134</v>
      </c>
      <c r="BK534" t="s">
        <v>134</v>
      </c>
      <c r="BL534" t="s">
        <v>134</v>
      </c>
      <c r="BM534" t="s">
        <v>134</v>
      </c>
      <c r="BN534" t="s">
        <v>134</v>
      </c>
      <c r="BO534" t="s">
        <v>134</v>
      </c>
      <c r="BP534" t="s">
        <v>134</v>
      </c>
      <c r="BQ534" t="s">
        <v>134</v>
      </c>
      <c r="BR534" t="s">
        <v>134</v>
      </c>
      <c r="BS534" t="s">
        <v>134</v>
      </c>
      <c r="BT534" t="s">
        <v>134</v>
      </c>
      <c r="BU534" t="s">
        <v>134</v>
      </c>
      <c r="BV534" t="s">
        <v>134</v>
      </c>
      <c r="BW534" t="s">
        <v>134</v>
      </c>
      <c r="BX534" t="s">
        <v>134</v>
      </c>
      <c r="BY534" t="s">
        <v>134</v>
      </c>
      <c r="BZ534" t="s">
        <v>134</v>
      </c>
      <c r="CA534" t="s">
        <v>134</v>
      </c>
      <c r="CB534" t="s">
        <v>134</v>
      </c>
      <c r="CC534" t="s">
        <v>134</v>
      </c>
      <c r="CD534" t="s">
        <v>134</v>
      </c>
      <c r="CE534" t="s">
        <v>134</v>
      </c>
      <c r="CF534" t="s">
        <v>134</v>
      </c>
      <c r="CG534" t="s">
        <v>134</v>
      </c>
      <c r="CH534" t="s">
        <v>134</v>
      </c>
      <c r="CI534" t="s">
        <v>134</v>
      </c>
      <c r="CJ534" t="s">
        <v>134</v>
      </c>
      <c r="CK534" t="s">
        <v>134</v>
      </c>
      <c r="CL534" t="s">
        <v>134</v>
      </c>
      <c r="CM534" t="s">
        <v>134</v>
      </c>
      <c r="CN534" t="s">
        <v>134</v>
      </c>
      <c r="CO534" t="s">
        <v>134</v>
      </c>
      <c r="CP534" t="s">
        <v>134</v>
      </c>
      <c r="CQ534" t="s">
        <v>134</v>
      </c>
      <c r="CR534" t="s">
        <v>134</v>
      </c>
      <c r="CS534" t="s">
        <v>134</v>
      </c>
      <c r="CT534" t="s">
        <v>134</v>
      </c>
      <c r="CU534" t="s">
        <v>134</v>
      </c>
      <c r="CV534" t="s">
        <v>134</v>
      </c>
      <c r="CW534" t="s">
        <v>134</v>
      </c>
      <c r="CX534" t="s">
        <v>134</v>
      </c>
      <c r="CY534" t="s">
        <v>134</v>
      </c>
      <c r="CZ534" t="s">
        <v>134</v>
      </c>
      <c r="DA534" t="s">
        <v>134</v>
      </c>
      <c r="DB534" t="s">
        <v>134</v>
      </c>
      <c r="DC534" t="s">
        <v>134</v>
      </c>
      <c r="DD534" t="s">
        <v>134</v>
      </c>
      <c r="DE534" t="s">
        <v>134</v>
      </c>
      <c r="DF534" t="s">
        <v>134</v>
      </c>
      <c r="DG534" t="s">
        <v>134</v>
      </c>
      <c r="DH534" t="s">
        <v>134</v>
      </c>
      <c r="DI534" t="s">
        <v>134</v>
      </c>
    </row>
    <row r="535" spans="4:113" x14ac:dyDescent="0.3">
      <c r="E535" t="s">
        <v>79</v>
      </c>
      <c r="F535" t="s">
        <v>134</v>
      </c>
      <c r="G535" t="s">
        <v>134</v>
      </c>
      <c r="H535" t="s">
        <v>134</v>
      </c>
      <c r="I535" t="s">
        <v>134</v>
      </c>
      <c r="J535">
        <v>17.842199999999998</v>
      </c>
      <c r="K535">
        <v>13.7102</v>
      </c>
      <c r="L535" t="s">
        <v>134</v>
      </c>
      <c r="M535">
        <v>18.617999999999999</v>
      </c>
      <c r="N535">
        <v>12.4703</v>
      </c>
      <c r="O535">
        <v>12.4703</v>
      </c>
      <c r="P535">
        <v>12.4703</v>
      </c>
      <c r="Q535">
        <v>33.020000000000003</v>
      </c>
      <c r="R535" t="s">
        <v>134</v>
      </c>
      <c r="S535" t="s">
        <v>134</v>
      </c>
      <c r="T535" t="s">
        <v>134</v>
      </c>
      <c r="U535" t="s">
        <v>134</v>
      </c>
      <c r="V535" t="s">
        <v>134</v>
      </c>
      <c r="W535" t="s">
        <v>134</v>
      </c>
      <c r="X535" t="s">
        <v>134</v>
      </c>
      <c r="Y535" t="s">
        <v>134</v>
      </c>
      <c r="Z535" t="s">
        <v>134</v>
      </c>
      <c r="AA535" t="s">
        <v>134</v>
      </c>
      <c r="AB535" t="s">
        <v>134</v>
      </c>
      <c r="AC535" t="s">
        <v>134</v>
      </c>
      <c r="AD535" t="s">
        <v>134</v>
      </c>
      <c r="AE535" t="s">
        <v>134</v>
      </c>
      <c r="AF535" t="s">
        <v>134</v>
      </c>
      <c r="AG535" t="s">
        <v>134</v>
      </c>
      <c r="AH535" t="s">
        <v>134</v>
      </c>
      <c r="AI535" t="s">
        <v>134</v>
      </c>
      <c r="AJ535" t="s">
        <v>134</v>
      </c>
      <c r="AK535" t="s">
        <v>134</v>
      </c>
      <c r="AL535" t="s">
        <v>134</v>
      </c>
      <c r="AM535" t="s">
        <v>134</v>
      </c>
      <c r="AN535" t="s">
        <v>134</v>
      </c>
      <c r="AO535" t="s">
        <v>134</v>
      </c>
      <c r="AP535" t="s">
        <v>134</v>
      </c>
      <c r="AQ535" t="s">
        <v>134</v>
      </c>
      <c r="AR535" t="s">
        <v>134</v>
      </c>
      <c r="AS535" t="s">
        <v>134</v>
      </c>
      <c r="AT535" t="s">
        <v>134</v>
      </c>
      <c r="AU535" t="s">
        <v>134</v>
      </c>
      <c r="AV535" t="s">
        <v>134</v>
      </c>
      <c r="AW535" t="s">
        <v>134</v>
      </c>
      <c r="AX535" t="s">
        <v>134</v>
      </c>
      <c r="AY535" t="s">
        <v>134</v>
      </c>
      <c r="AZ535" t="s">
        <v>134</v>
      </c>
      <c r="BA535" t="s">
        <v>134</v>
      </c>
      <c r="BB535" t="s">
        <v>134</v>
      </c>
      <c r="BC535" t="s">
        <v>134</v>
      </c>
      <c r="BD535" t="s">
        <v>134</v>
      </c>
      <c r="BE535" t="s">
        <v>134</v>
      </c>
      <c r="BF535" t="s">
        <v>134</v>
      </c>
      <c r="BG535" t="s">
        <v>134</v>
      </c>
      <c r="BH535" t="s">
        <v>134</v>
      </c>
      <c r="BI535" t="s">
        <v>134</v>
      </c>
      <c r="BJ535" t="s">
        <v>134</v>
      </c>
      <c r="BK535" t="s">
        <v>134</v>
      </c>
      <c r="BL535" t="s">
        <v>134</v>
      </c>
      <c r="BM535" t="s">
        <v>134</v>
      </c>
      <c r="BN535" t="s">
        <v>134</v>
      </c>
      <c r="BO535" t="s">
        <v>134</v>
      </c>
      <c r="BP535" t="s">
        <v>134</v>
      </c>
      <c r="BQ535" t="s">
        <v>134</v>
      </c>
      <c r="BR535" t="s">
        <v>134</v>
      </c>
      <c r="BS535" t="s">
        <v>134</v>
      </c>
      <c r="BT535" t="s">
        <v>134</v>
      </c>
      <c r="BU535" t="s">
        <v>134</v>
      </c>
      <c r="BV535" t="s">
        <v>134</v>
      </c>
      <c r="BW535" t="s">
        <v>134</v>
      </c>
      <c r="BX535" t="s">
        <v>134</v>
      </c>
      <c r="BY535" t="s">
        <v>134</v>
      </c>
      <c r="BZ535" t="s">
        <v>134</v>
      </c>
      <c r="CA535" t="s">
        <v>134</v>
      </c>
      <c r="CB535" t="s">
        <v>134</v>
      </c>
      <c r="CC535" t="s">
        <v>134</v>
      </c>
      <c r="CD535" t="s">
        <v>134</v>
      </c>
      <c r="CE535" t="s">
        <v>134</v>
      </c>
      <c r="CF535">
        <v>4383.3</v>
      </c>
      <c r="CG535" t="s">
        <v>134</v>
      </c>
      <c r="CH535" t="s">
        <v>134</v>
      </c>
      <c r="CI535" t="s">
        <v>134</v>
      </c>
      <c r="CJ535" t="s">
        <v>134</v>
      </c>
      <c r="CK535" t="s">
        <v>134</v>
      </c>
      <c r="CL535" t="s">
        <v>134</v>
      </c>
      <c r="CM535" t="s">
        <v>134</v>
      </c>
      <c r="CN535" t="s">
        <v>134</v>
      </c>
      <c r="CO535" t="s">
        <v>134</v>
      </c>
      <c r="CP535">
        <v>4383.3</v>
      </c>
      <c r="CQ535" t="s">
        <v>134</v>
      </c>
      <c r="CR535">
        <v>3368.2</v>
      </c>
      <c r="CS535" t="s">
        <v>134</v>
      </c>
      <c r="CT535" t="s">
        <v>134</v>
      </c>
      <c r="CU535" t="s">
        <v>134</v>
      </c>
      <c r="CV535" t="s">
        <v>134</v>
      </c>
      <c r="CW535" t="s">
        <v>134</v>
      </c>
      <c r="CX535" t="s">
        <v>134</v>
      </c>
      <c r="CY535" t="s">
        <v>134</v>
      </c>
      <c r="CZ535" t="s">
        <v>134</v>
      </c>
      <c r="DA535" t="s">
        <v>134</v>
      </c>
      <c r="DB535" t="s">
        <v>134</v>
      </c>
      <c r="DC535" t="s">
        <v>134</v>
      </c>
      <c r="DD535" t="s">
        <v>134</v>
      </c>
      <c r="DE535" t="s">
        <v>134</v>
      </c>
      <c r="DF535" t="s">
        <v>134</v>
      </c>
      <c r="DG535" t="s">
        <v>134</v>
      </c>
      <c r="DH535" t="s">
        <v>134</v>
      </c>
      <c r="DI535" t="s">
        <v>134</v>
      </c>
    </row>
    <row r="536" spans="4:113" x14ac:dyDescent="0.3">
      <c r="E536" t="s">
        <v>80</v>
      </c>
      <c r="F536" t="s">
        <v>134</v>
      </c>
      <c r="G536" t="s">
        <v>134</v>
      </c>
      <c r="H536" t="s">
        <v>134</v>
      </c>
      <c r="I536" t="s">
        <v>134</v>
      </c>
      <c r="J536" t="s">
        <v>134</v>
      </c>
      <c r="K536" t="s">
        <v>134</v>
      </c>
      <c r="L536" t="s">
        <v>134</v>
      </c>
      <c r="M536" t="s">
        <v>134</v>
      </c>
      <c r="N536" t="s">
        <v>134</v>
      </c>
      <c r="O536" t="s">
        <v>134</v>
      </c>
      <c r="P536" t="s">
        <v>134</v>
      </c>
      <c r="Q536" t="s">
        <v>134</v>
      </c>
      <c r="R536" t="s">
        <v>134</v>
      </c>
      <c r="S536" t="s">
        <v>134</v>
      </c>
      <c r="T536" t="s">
        <v>134</v>
      </c>
      <c r="U536" t="s">
        <v>134</v>
      </c>
      <c r="V536" t="s">
        <v>134</v>
      </c>
      <c r="W536" t="s">
        <v>134</v>
      </c>
      <c r="X536" t="s">
        <v>134</v>
      </c>
      <c r="Y536" t="s">
        <v>134</v>
      </c>
      <c r="Z536" t="s">
        <v>134</v>
      </c>
      <c r="AA536" t="s">
        <v>134</v>
      </c>
      <c r="AB536" t="s">
        <v>134</v>
      </c>
      <c r="AC536" t="s">
        <v>134</v>
      </c>
      <c r="AD536" t="s">
        <v>134</v>
      </c>
      <c r="AE536" t="s">
        <v>134</v>
      </c>
      <c r="AF536" t="s">
        <v>134</v>
      </c>
      <c r="AG536" t="s">
        <v>134</v>
      </c>
      <c r="AH536" t="s">
        <v>134</v>
      </c>
      <c r="AI536" t="s">
        <v>134</v>
      </c>
      <c r="AJ536" t="s">
        <v>134</v>
      </c>
      <c r="AK536" t="s">
        <v>134</v>
      </c>
      <c r="AL536" t="s">
        <v>134</v>
      </c>
      <c r="AM536" t="s">
        <v>134</v>
      </c>
      <c r="AN536" t="s">
        <v>134</v>
      </c>
      <c r="AO536" t="s">
        <v>134</v>
      </c>
      <c r="AP536" t="s">
        <v>134</v>
      </c>
      <c r="AQ536" t="s">
        <v>134</v>
      </c>
      <c r="AR536" t="s">
        <v>134</v>
      </c>
      <c r="AS536" t="s">
        <v>134</v>
      </c>
      <c r="AT536" t="s">
        <v>134</v>
      </c>
      <c r="AU536" t="s">
        <v>134</v>
      </c>
      <c r="AV536" t="s">
        <v>134</v>
      </c>
      <c r="AW536" t="s">
        <v>134</v>
      </c>
      <c r="AX536" t="s">
        <v>134</v>
      </c>
      <c r="AY536" t="s">
        <v>134</v>
      </c>
      <c r="AZ536" t="s">
        <v>134</v>
      </c>
      <c r="BA536" t="s">
        <v>134</v>
      </c>
      <c r="BB536" t="s">
        <v>134</v>
      </c>
      <c r="BC536" t="s">
        <v>134</v>
      </c>
      <c r="BD536" t="s">
        <v>134</v>
      </c>
      <c r="BE536" t="s">
        <v>134</v>
      </c>
      <c r="BF536" t="s">
        <v>134</v>
      </c>
      <c r="BG536" t="s">
        <v>134</v>
      </c>
      <c r="BH536" t="s">
        <v>134</v>
      </c>
      <c r="BI536" t="s">
        <v>134</v>
      </c>
      <c r="BJ536" t="s">
        <v>134</v>
      </c>
      <c r="BK536" t="s">
        <v>134</v>
      </c>
      <c r="BL536" t="s">
        <v>134</v>
      </c>
      <c r="BM536" t="s">
        <v>134</v>
      </c>
      <c r="BN536" t="s">
        <v>134</v>
      </c>
      <c r="BO536" t="s">
        <v>134</v>
      </c>
      <c r="BP536" t="s">
        <v>134</v>
      </c>
      <c r="BQ536" t="s">
        <v>134</v>
      </c>
      <c r="BR536" t="s">
        <v>134</v>
      </c>
      <c r="BS536" t="s">
        <v>134</v>
      </c>
      <c r="BT536" t="s">
        <v>134</v>
      </c>
      <c r="BU536" t="s">
        <v>134</v>
      </c>
      <c r="BV536" t="s">
        <v>134</v>
      </c>
      <c r="BW536" t="s">
        <v>134</v>
      </c>
      <c r="BX536" t="s">
        <v>134</v>
      </c>
      <c r="BY536" t="s">
        <v>134</v>
      </c>
      <c r="BZ536" t="s">
        <v>134</v>
      </c>
      <c r="CA536" t="s">
        <v>134</v>
      </c>
      <c r="CB536" t="s">
        <v>134</v>
      </c>
      <c r="CC536" t="s">
        <v>134</v>
      </c>
      <c r="CD536" t="s">
        <v>134</v>
      </c>
      <c r="CE536" t="s">
        <v>134</v>
      </c>
      <c r="CF536" t="s">
        <v>134</v>
      </c>
      <c r="CG536" t="s">
        <v>134</v>
      </c>
      <c r="CH536" t="s">
        <v>134</v>
      </c>
      <c r="CI536" t="s">
        <v>134</v>
      </c>
      <c r="CJ536" t="s">
        <v>134</v>
      </c>
      <c r="CK536" t="s">
        <v>134</v>
      </c>
      <c r="CL536" t="s">
        <v>134</v>
      </c>
      <c r="CM536" t="s">
        <v>134</v>
      </c>
      <c r="CN536" t="s">
        <v>134</v>
      </c>
      <c r="CO536" t="s">
        <v>134</v>
      </c>
      <c r="CP536" t="s">
        <v>134</v>
      </c>
      <c r="CQ536" t="s">
        <v>134</v>
      </c>
      <c r="CR536" t="s">
        <v>134</v>
      </c>
      <c r="CS536" t="s">
        <v>134</v>
      </c>
      <c r="CT536" t="s">
        <v>134</v>
      </c>
      <c r="CU536" t="s">
        <v>134</v>
      </c>
      <c r="CV536" t="s">
        <v>134</v>
      </c>
      <c r="CW536" t="s">
        <v>134</v>
      </c>
      <c r="CX536" t="s">
        <v>134</v>
      </c>
      <c r="CY536" t="s">
        <v>134</v>
      </c>
      <c r="CZ536" t="s">
        <v>134</v>
      </c>
      <c r="DA536" t="s">
        <v>134</v>
      </c>
      <c r="DB536" t="s">
        <v>134</v>
      </c>
      <c r="DC536" t="s">
        <v>134</v>
      </c>
      <c r="DD536" t="s">
        <v>134</v>
      </c>
      <c r="DE536" t="s">
        <v>134</v>
      </c>
      <c r="DF536" t="s">
        <v>134</v>
      </c>
      <c r="DG536" t="s">
        <v>134</v>
      </c>
      <c r="DH536" t="s">
        <v>134</v>
      </c>
      <c r="DI536" t="s">
        <v>134</v>
      </c>
    </row>
    <row r="537" spans="4:113" x14ac:dyDescent="0.3">
      <c r="E537" t="s">
        <v>81</v>
      </c>
      <c r="F537" t="s">
        <v>134</v>
      </c>
      <c r="G537" t="s">
        <v>134</v>
      </c>
      <c r="H537" t="s">
        <v>134</v>
      </c>
      <c r="I537" t="s">
        <v>134</v>
      </c>
      <c r="J537">
        <v>19.900600000000001</v>
      </c>
      <c r="K537">
        <v>13.8161</v>
      </c>
      <c r="L537" t="s">
        <v>134</v>
      </c>
      <c r="M537">
        <v>18.862300000000001</v>
      </c>
      <c r="N537">
        <v>12.237500000000001</v>
      </c>
      <c r="O537">
        <v>12.237500000000001</v>
      </c>
      <c r="P537">
        <v>12.237500000000001</v>
      </c>
      <c r="Q537">
        <v>35.121699999999997</v>
      </c>
      <c r="R537">
        <v>92.847700000000003</v>
      </c>
      <c r="S537" t="s">
        <v>134</v>
      </c>
      <c r="T537" t="s">
        <v>134</v>
      </c>
      <c r="U537" t="s">
        <v>134</v>
      </c>
      <c r="V537" t="s">
        <v>134</v>
      </c>
      <c r="W537" t="s">
        <v>134</v>
      </c>
      <c r="X537" t="s">
        <v>134</v>
      </c>
      <c r="Y537" t="s">
        <v>134</v>
      </c>
      <c r="Z537" t="s">
        <v>134</v>
      </c>
      <c r="AA537" t="s">
        <v>134</v>
      </c>
      <c r="AB537" t="s">
        <v>134</v>
      </c>
      <c r="AC537" t="s">
        <v>134</v>
      </c>
      <c r="AD537" t="s">
        <v>134</v>
      </c>
      <c r="AE537" t="s">
        <v>134</v>
      </c>
      <c r="AF537" t="s">
        <v>134</v>
      </c>
      <c r="AG537" t="s">
        <v>134</v>
      </c>
      <c r="AH537" t="s">
        <v>134</v>
      </c>
      <c r="AI537" t="s">
        <v>134</v>
      </c>
      <c r="AJ537" t="s">
        <v>134</v>
      </c>
      <c r="AK537" t="s">
        <v>134</v>
      </c>
      <c r="AL537" t="s">
        <v>134</v>
      </c>
      <c r="AM537" t="s">
        <v>134</v>
      </c>
      <c r="AN537" t="s">
        <v>134</v>
      </c>
      <c r="AO537" t="s">
        <v>134</v>
      </c>
      <c r="AP537" t="s">
        <v>134</v>
      </c>
      <c r="AQ537" t="s">
        <v>134</v>
      </c>
      <c r="AR537" t="s">
        <v>134</v>
      </c>
      <c r="AS537" t="s">
        <v>134</v>
      </c>
      <c r="AT537" t="s">
        <v>134</v>
      </c>
      <c r="AU537" t="s">
        <v>134</v>
      </c>
      <c r="AV537" t="s">
        <v>134</v>
      </c>
      <c r="AW537" t="s">
        <v>134</v>
      </c>
      <c r="AX537" t="s">
        <v>134</v>
      </c>
      <c r="AY537" t="s">
        <v>134</v>
      </c>
      <c r="AZ537" t="s">
        <v>134</v>
      </c>
      <c r="BA537" t="s">
        <v>134</v>
      </c>
      <c r="BB537" t="s">
        <v>134</v>
      </c>
      <c r="BC537" t="s">
        <v>134</v>
      </c>
      <c r="BD537" t="s">
        <v>134</v>
      </c>
      <c r="BE537" t="s">
        <v>134</v>
      </c>
      <c r="BF537" t="s">
        <v>134</v>
      </c>
      <c r="BG537" t="s">
        <v>134</v>
      </c>
      <c r="BH537" t="s">
        <v>134</v>
      </c>
      <c r="BI537" t="s">
        <v>134</v>
      </c>
      <c r="BJ537" t="s">
        <v>134</v>
      </c>
      <c r="BK537" t="s">
        <v>134</v>
      </c>
      <c r="BL537" t="s">
        <v>134</v>
      </c>
      <c r="BM537" t="s">
        <v>134</v>
      </c>
      <c r="BN537" t="s">
        <v>134</v>
      </c>
      <c r="BO537" t="s">
        <v>134</v>
      </c>
      <c r="BP537" t="s">
        <v>134</v>
      </c>
      <c r="BQ537" t="s">
        <v>134</v>
      </c>
      <c r="BR537" t="s">
        <v>134</v>
      </c>
      <c r="BS537" t="s">
        <v>134</v>
      </c>
      <c r="BT537" t="s">
        <v>134</v>
      </c>
      <c r="BU537" t="s">
        <v>134</v>
      </c>
      <c r="BV537" t="s">
        <v>134</v>
      </c>
      <c r="BW537" t="s">
        <v>134</v>
      </c>
      <c r="BX537" t="s">
        <v>134</v>
      </c>
      <c r="BY537">
        <v>1122</v>
      </c>
      <c r="BZ537">
        <v>580</v>
      </c>
      <c r="CA537">
        <v>542</v>
      </c>
      <c r="CB537" t="s">
        <v>134</v>
      </c>
      <c r="CC537" t="s">
        <v>134</v>
      </c>
      <c r="CD537" t="s">
        <v>134</v>
      </c>
      <c r="CE537" t="s">
        <v>134</v>
      </c>
      <c r="CF537">
        <v>32.780500000000004</v>
      </c>
      <c r="CG537">
        <v>70.435599999999994</v>
      </c>
      <c r="CH537">
        <v>0.73770000000000002</v>
      </c>
      <c r="CI537">
        <v>0.72660000000000002</v>
      </c>
      <c r="CJ537">
        <v>0.51959999999999995</v>
      </c>
      <c r="CK537">
        <v>1.5272000000000001</v>
      </c>
      <c r="CL537">
        <v>1.5042</v>
      </c>
      <c r="CM537">
        <v>1.0757000000000001</v>
      </c>
      <c r="CN537">
        <v>-27.886199999999999</v>
      </c>
      <c r="CO537">
        <v>-38.669699999999999</v>
      </c>
      <c r="CP537">
        <v>4674.5</v>
      </c>
      <c r="CQ537" t="s">
        <v>134</v>
      </c>
      <c r="CR537">
        <v>3245.3</v>
      </c>
      <c r="CS537">
        <v>0.84709999999999996</v>
      </c>
      <c r="CT537">
        <v>2.3231000000000002</v>
      </c>
      <c r="CU537">
        <v>1.3126</v>
      </c>
      <c r="CV537">
        <v>17.576799999999999</v>
      </c>
      <c r="CW537" t="s">
        <v>134</v>
      </c>
      <c r="CX537" t="s">
        <v>134</v>
      </c>
      <c r="CY537" t="s">
        <v>134</v>
      </c>
      <c r="CZ537" t="s">
        <v>134</v>
      </c>
      <c r="DA537" t="s">
        <v>134</v>
      </c>
      <c r="DB537" t="s">
        <v>134</v>
      </c>
      <c r="DC537" t="s">
        <v>134</v>
      </c>
      <c r="DD537" t="s">
        <v>134</v>
      </c>
      <c r="DE537">
        <v>12762</v>
      </c>
      <c r="DF537">
        <v>2257</v>
      </c>
      <c r="DG537">
        <v>1407</v>
      </c>
      <c r="DH537">
        <v>5906</v>
      </c>
      <c r="DI537">
        <v>3192</v>
      </c>
    </row>
    <row r="538" spans="4:113" x14ac:dyDescent="0.3">
      <c r="D538" t="s">
        <v>83</v>
      </c>
      <c r="E538" t="s">
        <v>77</v>
      </c>
      <c r="F538">
        <v>15.972899999999999</v>
      </c>
      <c r="G538">
        <v>11.384399999999999</v>
      </c>
      <c r="H538">
        <v>15.8377</v>
      </c>
      <c r="I538">
        <v>13.2536</v>
      </c>
      <c r="J538">
        <v>18.1553</v>
      </c>
      <c r="K538">
        <v>14.3629</v>
      </c>
      <c r="L538">
        <v>41.258200000000002</v>
      </c>
      <c r="M538">
        <v>17.849</v>
      </c>
      <c r="N538">
        <v>11.982900000000001</v>
      </c>
      <c r="O538">
        <v>11.982900000000001</v>
      </c>
      <c r="P538">
        <v>11.982900000000001</v>
      </c>
      <c r="Q538">
        <v>32.983699999999999</v>
      </c>
      <c r="R538">
        <v>21.384499999999999</v>
      </c>
      <c r="S538">
        <v>12.5572</v>
      </c>
      <c r="T538">
        <v>9.5237999999999996</v>
      </c>
      <c r="U538">
        <v>19.485399999999998</v>
      </c>
      <c r="V538">
        <v>33.295299999999997</v>
      </c>
      <c r="W538">
        <v>23.402000000000001</v>
      </c>
      <c r="X538">
        <v>23.406300000000002</v>
      </c>
      <c r="Y538">
        <v>0</v>
      </c>
      <c r="Z538">
        <v>10.8192</v>
      </c>
      <c r="AA538">
        <v>-6.0414000000000003</v>
      </c>
      <c r="AB538">
        <v>3.4901</v>
      </c>
      <c r="AC538">
        <v>10.2082</v>
      </c>
      <c r="AD538">
        <v>-3.6074999999999999</v>
      </c>
      <c r="AE538">
        <v>-8.7338000000000005</v>
      </c>
      <c r="AF538">
        <v>7.9244000000000003</v>
      </c>
      <c r="AG538">
        <v>-35</v>
      </c>
      <c r="AH538">
        <v>-49.376100000000001</v>
      </c>
      <c r="AI538">
        <v>12.708600000000001</v>
      </c>
      <c r="AJ538">
        <v>11.774699999999999</v>
      </c>
      <c r="AK538">
        <v>12.708600000000001</v>
      </c>
      <c r="AL538" t="s">
        <v>134</v>
      </c>
      <c r="AM538" t="s">
        <v>134</v>
      </c>
      <c r="AN538" t="s">
        <v>134</v>
      </c>
      <c r="AO538" t="s">
        <v>134</v>
      </c>
      <c r="AP538" t="s">
        <v>134</v>
      </c>
      <c r="AQ538" t="s">
        <v>134</v>
      </c>
      <c r="AR538" t="s">
        <v>134</v>
      </c>
      <c r="AS538" t="s">
        <v>134</v>
      </c>
      <c r="AT538" t="s">
        <v>134</v>
      </c>
      <c r="AU538" t="s">
        <v>134</v>
      </c>
      <c r="AV538" t="s">
        <v>134</v>
      </c>
      <c r="AW538" t="s">
        <v>134</v>
      </c>
      <c r="AX538" t="s">
        <v>134</v>
      </c>
      <c r="AY538" t="s">
        <v>134</v>
      </c>
      <c r="AZ538" t="s">
        <v>134</v>
      </c>
      <c r="BA538" t="s">
        <v>134</v>
      </c>
      <c r="BB538" t="s">
        <v>134</v>
      </c>
      <c r="BC538" t="s">
        <v>134</v>
      </c>
      <c r="BD538" t="s">
        <v>134</v>
      </c>
      <c r="BE538" t="s">
        <v>134</v>
      </c>
      <c r="BF538">
        <v>9.5237999999999996</v>
      </c>
      <c r="BG538">
        <v>19.485399999999998</v>
      </c>
      <c r="BH538">
        <v>33.295299999999997</v>
      </c>
      <c r="BI538">
        <v>23.402000000000001</v>
      </c>
      <c r="BJ538">
        <v>23.406300000000002</v>
      </c>
      <c r="BK538">
        <v>0</v>
      </c>
      <c r="BL538">
        <v>10.8192</v>
      </c>
      <c r="BM538">
        <v>-6.0414000000000003</v>
      </c>
      <c r="BN538">
        <v>3.4901</v>
      </c>
      <c r="BO538">
        <v>10.2082</v>
      </c>
      <c r="BP538">
        <v>-3.6074999999999999</v>
      </c>
      <c r="BQ538">
        <v>-8.7338000000000005</v>
      </c>
      <c r="BR538">
        <v>7.9244000000000003</v>
      </c>
      <c r="BS538">
        <v>-35</v>
      </c>
      <c r="BT538">
        <v>-49.376100000000001</v>
      </c>
      <c r="BU538">
        <v>12.708600000000001</v>
      </c>
      <c r="BV538">
        <v>11.774699999999999</v>
      </c>
      <c r="BW538">
        <v>12.708600000000001</v>
      </c>
      <c r="BX538" t="s">
        <v>134</v>
      </c>
      <c r="BY538">
        <v>568</v>
      </c>
      <c r="BZ538">
        <v>377</v>
      </c>
      <c r="CA538">
        <v>191</v>
      </c>
      <c r="CB538">
        <v>0.03</v>
      </c>
      <c r="CC538">
        <v>-0.93859999999999999</v>
      </c>
      <c r="CD538">
        <v>3.7999999999999999E-2</v>
      </c>
      <c r="CE538">
        <v>-1.1863999999999999</v>
      </c>
      <c r="CF538">
        <v>450.23809999999997</v>
      </c>
      <c r="CG538">
        <v>72.033600000000007</v>
      </c>
      <c r="CH538">
        <v>0.23069999999999999</v>
      </c>
      <c r="CI538">
        <v>0.2291</v>
      </c>
      <c r="CJ538">
        <v>0.16619999999999999</v>
      </c>
      <c r="CK538">
        <v>0.68589999999999995</v>
      </c>
      <c r="CL538">
        <v>0.68130000000000002</v>
      </c>
      <c r="CM538">
        <v>0.49409999999999998</v>
      </c>
      <c r="CN538">
        <v>-21.433</v>
      </c>
      <c r="CO538">
        <v>-27.279900000000001</v>
      </c>
      <c r="CP538">
        <v>18910</v>
      </c>
      <c r="CQ538">
        <v>14574</v>
      </c>
      <c r="CR538">
        <v>14960</v>
      </c>
      <c r="CS538">
        <v>0.66290000000000004</v>
      </c>
      <c r="CT538">
        <v>2.1149</v>
      </c>
      <c r="CU538">
        <v>1.1393</v>
      </c>
      <c r="CV538">
        <v>15.542300000000001</v>
      </c>
      <c r="CW538">
        <v>8.3195999999999994</v>
      </c>
      <c r="CX538">
        <v>43.992600000000003</v>
      </c>
      <c r="CY538">
        <v>4.5431999999999997</v>
      </c>
      <c r="CZ538">
        <v>80.559799999999996</v>
      </c>
      <c r="DA538">
        <v>4.3850999999999996</v>
      </c>
      <c r="DB538">
        <v>83.465000000000003</v>
      </c>
      <c r="DC538">
        <v>41.087400000000002</v>
      </c>
      <c r="DD538">
        <v>124.55240000000001</v>
      </c>
      <c r="DE538">
        <v>11991</v>
      </c>
      <c r="DF538">
        <v>1854</v>
      </c>
      <c r="DG538">
        <v>1321</v>
      </c>
      <c r="DH538">
        <v>5272</v>
      </c>
      <c r="DI538">
        <v>3544</v>
      </c>
    </row>
    <row r="539" spans="4:113" x14ac:dyDescent="0.3">
      <c r="E539" t="s">
        <v>78</v>
      </c>
      <c r="F539" t="s">
        <v>134</v>
      </c>
      <c r="G539" t="s">
        <v>134</v>
      </c>
      <c r="H539" t="s">
        <v>134</v>
      </c>
      <c r="I539" t="s">
        <v>134</v>
      </c>
      <c r="J539" t="s">
        <v>134</v>
      </c>
      <c r="K539" t="s">
        <v>134</v>
      </c>
      <c r="L539" t="s">
        <v>134</v>
      </c>
      <c r="M539" t="s">
        <v>134</v>
      </c>
      <c r="N539" t="s">
        <v>134</v>
      </c>
      <c r="O539" t="s">
        <v>134</v>
      </c>
      <c r="P539" t="s">
        <v>134</v>
      </c>
      <c r="Q539" t="s">
        <v>134</v>
      </c>
      <c r="R539" t="s">
        <v>134</v>
      </c>
      <c r="S539" t="s">
        <v>134</v>
      </c>
      <c r="T539" t="s">
        <v>134</v>
      </c>
      <c r="U539" t="s">
        <v>134</v>
      </c>
      <c r="V539" t="s">
        <v>134</v>
      </c>
      <c r="W539" t="s">
        <v>134</v>
      </c>
      <c r="X539" t="s">
        <v>134</v>
      </c>
      <c r="Y539" t="s">
        <v>134</v>
      </c>
      <c r="Z539" t="s">
        <v>134</v>
      </c>
      <c r="AA539" t="s">
        <v>134</v>
      </c>
      <c r="AB539" t="s">
        <v>134</v>
      </c>
      <c r="AC539" t="s">
        <v>134</v>
      </c>
      <c r="AD539" t="s">
        <v>134</v>
      </c>
      <c r="AE539" t="s">
        <v>134</v>
      </c>
      <c r="AF539" t="s">
        <v>134</v>
      </c>
      <c r="AG539" t="s">
        <v>134</v>
      </c>
      <c r="AH539" t="s">
        <v>134</v>
      </c>
      <c r="AI539" t="s">
        <v>134</v>
      </c>
      <c r="AJ539" t="s">
        <v>134</v>
      </c>
      <c r="AK539" t="s">
        <v>134</v>
      </c>
      <c r="AL539" t="s">
        <v>134</v>
      </c>
      <c r="AM539" t="s">
        <v>134</v>
      </c>
      <c r="AN539" t="s">
        <v>134</v>
      </c>
      <c r="AO539" t="s">
        <v>134</v>
      </c>
      <c r="AP539" t="s">
        <v>134</v>
      </c>
      <c r="AQ539" t="s">
        <v>134</v>
      </c>
      <c r="AR539" t="s">
        <v>134</v>
      </c>
      <c r="AS539" t="s">
        <v>134</v>
      </c>
      <c r="AT539" t="s">
        <v>134</v>
      </c>
      <c r="AU539" t="s">
        <v>134</v>
      </c>
      <c r="AV539" t="s">
        <v>134</v>
      </c>
      <c r="AW539" t="s">
        <v>134</v>
      </c>
      <c r="AX539" t="s">
        <v>134</v>
      </c>
      <c r="AY539" t="s">
        <v>134</v>
      </c>
      <c r="AZ539" t="s">
        <v>134</v>
      </c>
      <c r="BA539" t="s">
        <v>134</v>
      </c>
      <c r="BB539" t="s">
        <v>134</v>
      </c>
      <c r="BC539" t="s">
        <v>134</v>
      </c>
      <c r="BD539" t="s">
        <v>134</v>
      </c>
      <c r="BE539" t="s">
        <v>134</v>
      </c>
      <c r="BF539" t="s">
        <v>134</v>
      </c>
      <c r="BG539" t="s">
        <v>134</v>
      </c>
      <c r="BH539" t="s">
        <v>134</v>
      </c>
      <c r="BI539" t="s">
        <v>134</v>
      </c>
      <c r="BJ539" t="s">
        <v>134</v>
      </c>
      <c r="BK539" t="s">
        <v>134</v>
      </c>
      <c r="BL539" t="s">
        <v>134</v>
      </c>
      <c r="BM539" t="s">
        <v>134</v>
      </c>
      <c r="BN539" t="s">
        <v>134</v>
      </c>
      <c r="BO539" t="s">
        <v>134</v>
      </c>
      <c r="BP539" t="s">
        <v>134</v>
      </c>
      <c r="BQ539" t="s">
        <v>134</v>
      </c>
      <c r="BR539" t="s">
        <v>134</v>
      </c>
      <c r="BS539" t="s">
        <v>134</v>
      </c>
      <c r="BT539" t="s">
        <v>134</v>
      </c>
      <c r="BU539" t="s">
        <v>134</v>
      </c>
      <c r="BV539" t="s">
        <v>134</v>
      </c>
      <c r="BW539" t="s">
        <v>134</v>
      </c>
      <c r="BX539" t="s">
        <v>134</v>
      </c>
      <c r="BY539" t="s">
        <v>134</v>
      </c>
      <c r="BZ539" t="s">
        <v>134</v>
      </c>
      <c r="CA539" t="s">
        <v>134</v>
      </c>
      <c r="CB539" t="s">
        <v>134</v>
      </c>
      <c r="CC539" t="s">
        <v>134</v>
      </c>
      <c r="CD539" t="s">
        <v>134</v>
      </c>
      <c r="CE539" t="s">
        <v>134</v>
      </c>
      <c r="CF539" t="s">
        <v>134</v>
      </c>
      <c r="CG539" t="s">
        <v>134</v>
      </c>
      <c r="CH539" t="s">
        <v>134</v>
      </c>
      <c r="CI539" t="s">
        <v>134</v>
      </c>
      <c r="CJ539" t="s">
        <v>134</v>
      </c>
      <c r="CK539" t="s">
        <v>134</v>
      </c>
      <c r="CL539" t="s">
        <v>134</v>
      </c>
      <c r="CM539" t="s">
        <v>134</v>
      </c>
      <c r="CN539" t="s">
        <v>134</v>
      </c>
      <c r="CO539" t="s">
        <v>134</v>
      </c>
      <c r="CP539" t="s">
        <v>134</v>
      </c>
      <c r="CQ539" t="s">
        <v>134</v>
      </c>
      <c r="CR539" t="s">
        <v>134</v>
      </c>
      <c r="CS539" t="s">
        <v>134</v>
      </c>
      <c r="CT539" t="s">
        <v>134</v>
      </c>
      <c r="CU539" t="s">
        <v>134</v>
      </c>
      <c r="CV539" t="s">
        <v>134</v>
      </c>
      <c r="CW539" t="s">
        <v>134</v>
      </c>
      <c r="CX539" t="s">
        <v>134</v>
      </c>
      <c r="CY539" t="s">
        <v>134</v>
      </c>
      <c r="CZ539" t="s">
        <v>134</v>
      </c>
      <c r="DA539" t="s">
        <v>134</v>
      </c>
      <c r="DB539" t="s">
        <v>134</v>
      </c>
      <c r="DC539" t="s">
        <v>134</v>
      </c>
      <c r="DD539" t="s">
        <v>134</v>
      </c>
      <c r="DE539" t="s">
        <v>134</v>
      </c>
      <c r="DF539" t="s">
        <v>134</v>
      </c>
      <c r="DG539" t="s">
        <v>134</v>
      </c>
      <c r="DH539" t="s">
        <v>134</v>
      </c>
      <c r="DI539" t="s">
        <v>134</v>
      </c>
    </row>
    <row r="540" spans="4:113" x14ac:dyDescent="0.3">
      <c r="E540" t="s">
        <v>79</v>
      </c>
      <c r="F540" t="s">
        <v>134</v>
      </c>
      <c r="G540" t="s">
        <v>134</v>
      </c>
      <c r="H540" t="s">
        <v>134</v>
      </c>
      <c r="I540" t="s">
        <v>134</v>
      </c>
      <c r="J540" t="s">
        <v>134</v>
      </c>
      <c r="K540" t="s">
        <v>134</v>
      </c>
      <c r="L540" t="s">
        <v>134</v>
      </c>
      <c r="M540" t="s">
        <v>134</v>
      </c>
      <c r="N540" t="s">
        <v>134</v>
      </c>
      <c r="O540" t="s">
        <v>134</v>
      </c>
      <c r="P540" t="s">
        <v>134</v>
      </c>
      <c r="Q540" t="s">
        <v>134</v>
      </c>
      <c r="R540" t="s">
        <v>134</v>
      </c>
      <c r="S540" t="s">
        <v>134</v>
      </c>
      <c r="T540" t="s">
        <v>134</v>
      </c>
      <c r="U540" t="s">
        <v>134</v>
      </c>
      <c r="V540" t="s">
        <v>134</v>
      </c>
      <c r="W540" t="s">
        <v>134</v>
      </c>
      <c r="X540" t="s">
        <v>134</v>
      </c>
      <c r="Y540" t="s">
        <v>134</v>
      </c>
      <c r="Z540" t="s">
        <v>134</v>
      </c>
      <c r="AA540" t="s">
        <v>134</v>
      </c>
      <c r="AB540" t="s">
        <v>134</v>
      </c>
      <c r="AC540" t="s">
        <v>134</v>
      </c>
      <c r="AD540" t="s">
        <v>134</v>
      </c>
      <c r="AE540" t="s">
        <v>134</v>
      </c>
      <c r="AF540" t="s">
        <v>134</v>
      </c>
      <c r="AG540" t="s">
        <v>134</v>
      </c>
      <c r="AH540" t="s">
        <v>134</v>
      </c>
      <c r="AI540" t="s">
        <v>134</v>
      </c>
      <c r="AJ540" t="s">
        <v>134</v>
      </c>
      <c r="AK540" t="s">
        <v>134</v>
      </c>
      <c r="AL540" t="s">
        <v>134</v>
      </c>
      <c r="AM540" t="s">
        <v>134</v>
      </c>
      <c r="AN540" t="s">
        <v>134</v>
      </c>
      <c r="AO540" t="s">
        <v>134</v>
      </c>
      <c r="AP540" t="s">
        <v>134</v>
      </c>
      <c r="AQ540" t="s">
        <v>134</v>
      </c>
      <c r="AR540" t="s">
        <v>134</v>
      </c>
      <c r="AS540" t="s">
        <v>134</v>
      </c>
      <c r="AT540" t="s">
        <v>134</v>
      </c>
      <c r="AU540" t="s">
        <v>134</v>
      </c>
      <c r="AV540" t="s">
        <v>134</v>
      </c>
      <c r="AW540" t="s">
        <v>134</v>
      </c>
      <c r="AX540" t="s">
        <v>134</v>
      </c>
      <c r="AY540" t="s">
        <v>134</v>
      </c>
      <c r="AZ540" t="s">
        <v>134</v>
      </c>
      <c r="BA540" t="s">
        <v>134</v>
      </c>
      <c r="BB540" t="s">
        <v>134</v>
      </c>
      <c r="BC540" t="s">
        <v>134</v>
      </c>
      <c r="BD540" t="s">
        <v>134</v>
      </c>
      <c r="BE540" t="s">
        <v>134</v>
      </c>
      <c r="BF540" t="s">
        <v>134</v>
      </c>
      <c r="BG540" t="s">
        <v>134</v>
      </c>
      <c r="BH540" t="s">
        <v>134</v>
      </c>
      <c r="BI540" t="s">
        <v>134</v>
      </c>
      <c r="BJ540" t="s">
        <v>134</v>
      </c>
      <c r="BK540" t="s">
        <v>134</v>
      </c>
      <c r="BL540" t="s">
        <v>134</v>
      </c>
      <c r="BM540" t="s">
        <v>134</v>
      </c>
      <c r="BN540" t="s">
        <v>134</v>
      </c>
      <c r="BO540" t="s">
        <v>134</v>
      </c>
      <c r="BP540" t="s">
        <v>134</v>
      </c>
      <c r="BQ540" t="s">
        <v>134</v>
      </c>
      <c r="BR540" t="s">
        <v>134</v>
      </c>
      <c r="BS540" t="s">
        <v>134</v>
      </c>
      <c r="BT540" t="s">
        <v>134</v>
      </c>
      <c r="BU540" t="s">
        <v>134</v>
      </c>
      <c r="BV540" t="s">
        <v>134</v>
      </c>
      <c r="BW540" t="s">
        <v>134</v>
      </c>
      <c r="BX540" t="s">
        <v>134</v>
      </c>
      <c r="BY540" t="s">
        <v>134</v>
      </c>
      <c r="BZ540" t="s">
        <v>134</v>
      </c>
      <c r="CA540" t="s">
        <v>134</v>
      </c>
      <c r="CB540" t="s">
        <v>134</v>
      </c>
      <c r="CC540" t="s">
        <v>134</v>
      </c>
      <c r="CD540" t="s">
        <v>134</v>
      </c>
      <c r="CE540" t="s">
        <v>134</v>
      </c>
      <c r="CF540" t="s">
        <v>134</v>
      </c>
      <c r="CG540" t="s">
        <v>134</v>
      </c>
      <c r="CH540" t="s">
        <v>134</v>
      </c>
      <c r="CI540" t="s">
        <v>134</v>
      </c>
      <c r="CJ540" t="s">
        <v>134</v>
      </c>
      <c r="CK540" t="s">
        <v>134</v>
      </c>
      <c r="CL540" t="s">
        <v>134</v>
      </c>
      <c r="CM540" t="s">
        <v>134</v>
      </c>
      <c r="CN540" t="s">
        <v>134</v>
      </c>
      <c r="CO540" t="s">
        <v>134</v>
      </c>
      <c r="CP540" t="s">
        <v>134</v>
      </c>
      <c r="CQ540" t="s">
        <v>134</v>
      </c>
      <c r="CR540" t="s">
        <v>134</v>
      </c>
      <c r="CS540" t="s">
        <v>134</v>
      </c>
      <c r="CT540" t="s">
        <v>134</v>
      </c>
      <c r="CU540" t="s">
        <v>134</v>
      </c>
      <c r="CV540" t="s">
        <v>134</v>
      </c>
      <c r="CW540" t="s">
        <v>134</v>
      </c>
      <c r="CX540" t="s">
        <v>134</v>
      </c>
      <c r="CY540" t="s">
        <v>134</v>
      </c>
      <c r="CZ540" t="s">
        <v>134</v>
      </c>
      <c r="DA540" t="s">
        <v>134</v>
      </c>
      <c r="DB540" t="s">
        <v>134</v>
      </c>
      <c r="DC540" t="s">
        <v>134</v>
      </c>
      <c r="DD540" t="s">
        <v>134</v>
      </c>
      <c r="DE540" t="s">
        <v>134</v>
      </c>
      <c r="DF540" t="s">
        <v>134</v>
      </c>
      <c r="DG540" t="s">
        <v>134</v>
      </c>
      <c r="DH540" t="s">
        <v>134</v>
      </c>
      <c r="DI540" t="s">
        <v>134</v>
      </c>
    </row>
    <row r="541" spans="4:113" x14ac:dyDescent="0.3">
      <c r="E541" t="s">
        <v>80</v>
      </c>
      <c r="F541" t="s">
        <v>134</v>
      </c>
      <c r="G541" t="s">
        <v>134</v>
      </c>
      <c r="H541" t="s">
        <v>134</v>
      </c>
      <c r="I541" t="s">
        <v>134</v>
      </c>
      <c r="J541" t="s">
        <v>134</v>
      </c>
      <c r="K541" t="s">
        <v>134</v>
      </c>
      <c r="L541" t="s">
        <v>134</v>
      </c>
      <c r="M541" t="s">
        <v>134</v>
      </c>
      <c r="N541" t="s">
        <v>134</v>
      </c>
      <c r="O541" t="s">
        <v>134</v>
      </c>
      <c r="P541" t="s">
        <v>134</v>
      </c>
      <c r="Q541" t="s">
        <v>134</v>
      </c>
      <c r="R541" t="s">
        <v>134</v>
      </c>
      <c r="S541" t="s">
        <v>134</v>
      </c>
      <c r="T541" t="s">
        <v>134</v>
      </c>
      <c r="U541" t="s">
        <v>134</v>
      </c>
      <c r="V541" t="s">
        <v>134</v>
      </c>
      <c r="W541" t="s">
        <v>134</v>
      </c>
      <c r="X541" t="s">
        <v>134</v>
      </c>
      <c r="Y541" t="s">
        <v>134</v>
      </c>
      <c r="Z541" t="s">
        <v>134</v>
      </c>
      <c r="AA541" t="s">
        <v>134</v>
      </c>
      <c r="AB541" t="s">
        <v>134</v>
      </c>
      <c r="AC541" t="s">
        <v>134</v>
      </c>
      <c r="AD541" t="s">
        <v>134</v>
      </c>
      <c r="AE541" t="s">
        <v>134</v>
      </c>
      <c r="AF541" t="s">
        <v>134</v>
      </c>
      <c r="AG541" t="s">
        <v>134</v>
      </c>
      <c r="AH541" t="s">
        <v>134</v>
      </c>
      <c r="AI541" t="s">
        <v>134</v>
      </c>
      <c r="AJ541" t="s">
        <v>134</v>
      </c>
      <c r="AK541" t="s">
        <v>134</v>
      </c>
      <c r="AL541" t="s">
        <v>134</v>
      </c>
      <c r="AM541" t="s">
        <v>134</v>
      </c>
      <c r="AN541" t="s">
        <v>134</v>
      </c>
      <c r="AO541" t="s">
        <v>134</v>
      </c>
      <c r="AP541" t="s">
        <v>134</v>
      </c>
      <c r="AQ541" t="s">
        <v>134</v>
      </c>
      <c r="AR541" t="s">
        <v>134</v>
      </c>
      <c r="AS541" t="s">
        <v>134</v>
      </c>
      <c r="AT541" t="s">
        <v>134</v>
      </c>
      <c r="AU541" t="s">
        <v>134</v>
      </c>
      <c r="AV541" t="s">
        <v>134</v>
      </c>
      <c r="AW541" t="s">
        <v>134</v>
      </c>
      <c r="AX541" t="s">
        <v>134</v>
      </c>
      <c r="AY541" t="s">
        <v>134</v>
      </c>
      <c r="AZ541" t="s">
        <v>134</v>
      </c>
      <c r="BA541" t="s">
        <v>134</v>
      </c>
      <c r="BB541" t="s">
        <v>134</v>
      </c>
      <c r="BC541" t="s">
        <v>134</v>
      </c>
      <c r="BD541" t="s">
        <v>134</v>
      </c>
      <c r="BE541" t="s">
        <v>134</v>
      </c>
      <c r="BF541" t="s">
        <v>134</v>
      </c>
      <c r="BG541" t="s">
        <v>134</v>
      </c>
      <c r="BH541" t="s">
        <v>134</v>
      </c>
      <c r="BI541" t="s">
        <v>134</v>
      </c>
      <c r="BJ541" t="s">
        <v>134</v>
      </c>
      <c r="BK541" t="s">
        <v>134</v>
      </c>
      <c r="BL541" t="s">
        <v>134</v>
      </c>
      <c r="BM541" t="s">
        <v>134</v>
      </c>
      <c r="BN541" t="s">
        <v>134</v>
      </c>
      <c r="BO541" t="s">
        <v>134</v>
      </c>
      <c r="BP541" t="s">
        <v>134</v>
      </c>
      <c r="BQ541" t="s">
        <v>134</v>
      </c>
      <c r="BR541" t="s">
        <v>134</v>
      </c>
      <c r="BS541" t="s">
        <v>134</v>
      </c>
      <c r="BT541" t="s">
        <v>134</v>
      </c>
      <c r="BU541" t="s">
        <v>134</v>
      </c>
      <c r="BV541" t="s">
        <v>134</v>
      </c>
      <c r="BW541" t="s">
        <v>134</v>
      </c>
      <c r="BX541" t="s">
        <v>134</v>
      </c>
      <c r="BY541" t="s">
        <v>134</v>
      </c>
      <c r="BZ541" t="s">
        <v>134</v>
      </c>
      <c r="CA541" t="s">
        <v>134</v>
      </c>
      <c r="CB541" t="s">
        <v>134</v>
      </c>
      <c r="CC541" t="s">
        <v>134</v>
      </c>
      <c r="CD541" t="s">
        <v>134</v>
      </c>
      <c r="CE541" t="s">
        <v>134</v>
      </c>
      <c r="CF541" t="s">
        <v>134</v>
      </c>
      <c r="CG541" t="s">
        <v>134</v>
      </c>
      <c r="CH541" t="s">
        <v>134</v>
      </c>
      <c r="CI541" t="s">
        <v>134</v>
      </c>
      <c r="CJ541" t="s">
        <v>134</v>
      </c>
      <c r="CK541" t="s">
        <v>134</v>
      </c>
      <c r="CL541" t="s">
        <v>134</v>
      </c>
      <c r="CM541" t="s">
        <v>134</v>
      </c>
      <c r="CN541" t="s">
        <v>134</v>
      </c>
      <c r="CO541" t="s">
        <v>134</v>
      </c>
      <c r="CP541" t="s">
        <v>134</v>
      </c>
      <c r="CQ541" t="s">
        <v>134</v>
      </c>
      <c r="CR541" t="s">
        <v>134</v>
      </c>
      <c r="CS541" t="s">
        <v>134</v>
      </c>
      <c r="CT541" t="s">
        <v>134</v>
      </c>
      <c r="CU541" t="s">
        <v>134</v>
      </c>
      <c r="CV541" t="s">
        <v>134</v>
      </c>
      <c r="CW541" t="s">
        <v>134</v>
      </c>
      <c r="CX541" t="s">
        <v>134</v>
      </c>
      <c r="CY541" t="s">
        <v>134</v>
      </c>
      <c r="CZ541" t="s">
        <v>134</v>
      </c>
      <c r="DA541" t="s">
        <v>134</v>
      </c>
      <c r="DB541" t="s">
        <v>134</v>
      </c>
      <c r="DC541" t="s">
        <v>134</v>
      </c>
      <c r="DD541" t="s">
        <v>134</v>
      </c>
      <c r="DE541" t="s">
        <v>134</v>
      </c>
      <c r="DF541" t="s">
        <v>134</v>
      </c>
      <c r="DG541" t="s">
        <v>134</v>
      </c>
      <c r="DH541" t="s">
        <v>134</v>
      </c>
      <c r="DI541" t="s">
        <v>134</v>
      </c>
    </row>
    <row r="542" spans="4:113" x14ac:dyDescent="0.3">
      <c r="E542" t="s">
        <v>81</v>
      </c>
      <c r="F542" t="s">
        <v>134</v>
      </c>
      <c r="G542" t="s">
        <v>134</v>
      </c>
      <c r="H542" t="s">
        <v>134</v>
      </c>
      <c r="I542" t="s">
        <v>134</v>
      </c>
      <c r="J542" t="s">
        <v>134</v>
      </c>
      <c r="K542" t="s">
        <v>134</v>
      </c>
      <c r="L542" t="s">
        <v>134</v>
      </c>
      <c r="M542" t="s">
        <v>134</v>
      </c>
      <c r="N542" t="s">
        <v>134</v>
      </c>
      <c r="O542" t="s">
        <v>134</v>
      </c>
      <c r="P542" t="s">
        <v>134</v>
      </c>
      <c r="Q542" t="s">
        <v>134</v>
      </c>
      <c r="R542" t="s">
        <v>134</v>
      </c>
      <c r="S542" t="s">
        <v>134</v>
      </c>
      <c r="T542" t="s">
        <v>134</v>
      </c>
      <c r="U542" t="s">
        <v>134</v>
      </c>
      <c r="V542" t="s">
        <v>134</v>
      </c>
      <c r="W542" t="s">
        <v>134</v>
      </c>
      <c r="X542" t="s">
        <v>134</v>
      </c>
      <c r="Y542" t="s">
        <v>134</v>
      </c>
      <c r="Z542" t="s">
        <v>134</v>
      </c>
      <c r="AA542" t="s">
        <v>134</v>
      </c>
      <c r="AB542" t="s">
        <v>134</v>
      </c>
      <c r="AC542" t="s">
        <v>134</v>
      </c>
      <c r="AD542" t="s">
        <v>134</v>
      </c>
      <c r="AE542" t="s">
        <v>134</v>
      </c>
      <c r="AF542" t="s">
        <v>134</v>
      </c>
      <c r="AG542" t="s">
        <v>134</v>
      </c>
      <c r="AH542" t="s">
        <v>134</v>
      </c>
      <c r="AI542" t="s">
        <v>134</v>
      </c>
      <c r="AJ542" t="s">
        <v>134</v>
      </c>
      <c r="AK542" t="s">
        <v>134</v>
      </c>
      <c r="AL542" t="s">
        <v>134</v>
      </c>
      <c r="AM542" t="s">
        <v>134</v>
      </c>
      <c r="AN542" t="s">
        <v>134</v>
      </c>
      <c r="AO542" t="s">
        <v>134</v>
      </c>
      <c r="AP542" t="s">
        <v>134</v>
      </c>
      <c r="AQ542" t="s">
        <v>134</v>
      </c>
      <c r="AR542" t="s">
        <v>134</v>
      </c>
      <c r="AS542" t="s">
        <v>134</v>
      </c>
      <c r="AT542" t="s">
        <v>134</v>
      </c>
      <c r="AU542" t="s">
        <v>134</v>
      </c>
      <c r="AV542" t="s">
        <v>134</v>
      </c>
      <c r="AW542" t="s">
        <v>134</v>
      </c>
      <c r="AX542" t="s">
        <v>134</v>
      </c>
      <c r="AY542" t="s">
        <v>134</v>
      </c>
      <c r="AZ542" t="s">
        <v>134</v>
      </c>
      <c r="BA542" t="s">
        <v>134</v>
      </c>
      <c r="BB542" t="s">
        <v>134</v>
      </c>
      <c r="BC542" t="s">
        <v>134</v>
      </c>
      <c r="BD542" t="s">
        <v>134</v>
      </c>
      <c r="BE542" t="s">
        <v>134</v>
      </c>
      <c r="BF542" t="s">
        <v>134</v>
      </c>
      <c r="BG542" t="s">
        <v>134</v>
      </c>
      <c r="BH542" t="s">
        <v>134</v>
      </c>
      <c r="BI542" t="s">
        <v>134</v>
      </c>
      <c r="BJ542" t="s">
        <v>134</v>
      </c>
      <c r="BK542" t="s">
        <v>134</v>
      </c>
      <c r="BL542" t="s">
        <v>134</v>
      </c>
      <c r="BM542" t="s">
        <v>134</v>
      </c>
      <c r="BN542" t="s">
        <v>134</v>
      </c>
      <c r="BO542" t="s">
        <v>134</v>
      </c>
      <c r="BP542" t="s">
        <v>134</v>
      </c>
      <c r="BQ542" t="s">
        <v>134</v>
      </c>
      <c r="BR542" t="s">
        <v>134</v>
      </c>
      <c r="BS542" t="s">
        <v>134</v>
      </c>
      <c r="BT542" t="s">
        <v>134</v>
      </c>
      <c r="BU542" t="s">
        <v>134</v>
      </c>
      <c r="BV542" t="s">
        <v>134</v>
      </c>
      <c r="BW542" t="s">
        <v>134</v>
      </c>
      <c r="BX542" t="s">
        <v>134</v>
      </c>
      <c r="BY542" t="s">
        <v>134</v>
      </c>
      <c r="BZ542" t="s">
        <v>134</v>
      </c>
      <c r="CA542" t="s">
        <v>134</v>
      </c>
      <c r="CB542" t="s">
        <v>134</v>
      </c>
      <c r="CC542" t="s">
        <v>134</v>
      </c>
      <c r="CD542" t="s">
        <v>134</v>
      </c>
      <c r="CE542" t="s">
        <v>134</v>
      </c>
      <c r="CF542" t="s">
        <v>134</v>
      </c>
      <c r="CG542" t="s">
        <v>134</v>
      </c>
      <c r="CH542" t="s">
        <v>134</v>
      </c>
      <c r="CI542" t="s">
        <v>134</v>
      </c>
      <c r="CJ542" t="s">
        <v>134</v>
      </c>
      <c r="CK542" t="s">
        <v>134</v>
      </c>
      <c r="CL542" t="s">
        <v>134</v>
      </c>
      <c r="CM542" t="s">
        <v>134</v>
      </c>
      <c r="CN542" t="s">
        <v>134</v>
      </c>
      <c r="CO542" t="s">
        <v>134</v>
      </c>
      <c r="CP542" t="s">
        <v>134</v>
      </c>
      <c r="CQ542" t="s">
        <v>134</v>
      </c>
      <c r="CR542" t="s">
        <v>134</v>
      </c>
      <c r="CS542" t="s">
        <v>134</v>
      </c>
      <c r="CT542" t="s">
        <v>134</v>
      </c>
      <c r="CU542" t="s">
        <v>134</v>
      </c>
      <c r="CV542" t="s">
        <v>134</v>
      </c>
      <c r="CW542" t="s">
        <v>134</v>
      </c>
      <c r="CX542" t="s">
        <v>134</v>
      </c>
      <c r="CY542" t="s">
        <v>134</v>
      </c>
      <c r="CZ542" t="s">
        <v>134</v>
      </c>
      <c r="DA542" t="s">
        <v>134</v>
      </c>
      <c r="DB542" t="s">
        <v>134</v>
      </c>
      <c r="DC542" t="s">
        <v>134</v>
      </c>
      <c r="DD542" t="s">
        <v>134</v>
      </c>
      <c r="DE542" t="s">
        <v>134</v>
      </c>
      <c r="DF542" t="s">
        <v>134</v>
      </c>
      <c r="DG542" t="s">
        <v>134</v>
      </c>
      <c r="DH542" t="s">
        <v>134</v>
      </c>
      <c r="DI542" t="s">
        <v>134</v>
      </c>
    </row>
    <row r="543" spans="4:113" x14ac:dyDescent="0.3">
      <c r="D543" t="s">
        <v>84</v>
      </c>
      <c r="E543" t="s">
        <v>77</v>
      </c>
      <c r="F543">
        <v>19.000499999999999</v>
      </c>
      <c r="G543">
        <v>14.3726</v>
      </c>
      <c r="H543">
        <v>19.189699999999998</v>
      </c>
      <c r="I543">
        <v>12.0906</v>
      </c>
      <c r="J543">
        <v>19.339600000000001</v>
      </c>
      <c r="K543">
        <v>14.815300000000001</v>
      </c>
      <c r="L543">
        <v>0.32650000000000001</v>
      </c>
      <c r="M543">
        <v>20.581800000000001</v>
      </c>
      <c r="N543">
        <v>14.182399999999999</v>
      </c>
      <c r="O543">
        <v>17.100999999999999</v>
      </c>
      <c r="P543">
        <v>17.100999999999999</v>
      </c>
      <c r="Q543">
        <v>31.049499999999998</v>
      </c>
      <c r="R543">
        <v>34.8947</v>
      </c>
      <c r="S543">
        <v>12.3703</v>
      </c>
      <c r="T543">
        <v>7.4370000000000003</v>
      </c>
      <c r="U543">
        <v>2.7945000000000002</v>
      </c>
      <c r="V543">
        <v>0.15279999999999999</v>
      </c>
      <c r="W543">
        <v>13.4716</v>
      </c>
      <c r="X543">
        <v>14.773099999999999</v>
      </c>
      <c r="Y543">
        <v>5.8823999999999996</v>
      </c>
      <c r="Z543">
        <v>-10.3062</v>
      </c>
      <c r="AA543">
        <v>-0.93159999999999998</v>
      </c>
      <c r="AB543">
        <v>11.459099999999999</v>
      </c>
      <c r="AC543">
        <v>-5.1018999999999997</v>
      </c>
      <c r="AD543">
        <v>-14.8108</v>
      </c>
      <c r="AE543">
        <v>-2.0463</v>
      </c>
      <c r="AF543">
        <v>2.3761999999999999</v>
      </c>
      <c r="AG543" t="s">
        <v>134</v>
      </c>
      <c r="AH543" t="s">
        <v>134</v>
      </c>
      <c r="AI543">
        <v>-7.7277000000000005</v>
      </c>
      <c r="AJ543">
        <v>-7.8718000000000004</v>
      </c>
      <c r="AK543">
        <v>-5.0728</v>
      </c>
      <c r="AL543">
        <v>11.4414</v>
      </c>
      <c r="AM543" t="s">
        <v>134</v>
      </c>
      <c r="AN543" t="s">
        <v>134</v>
      </c>
      <c r="AO543" t="s">
        <v>134</v>
      </c>
      <c r="AP543" t="s">
        <v>134</v>
      </c>
      <c r="AQ543" t="s">
        <v>134</v>
      </c>
      <c r="AR543" t="s">
        <v>134</v>
      </c>
      <c r="AS543" t="s">
        <v>134</v>
      </c>
      <c r="AT543" t="s">
        <v>134</v>
      </c>
      <c r="AU543" t="s">
        <v>134</v>
      </c>
      <c r="AV543" t="s">
        <v>134</v>
      </c>
      <c r="AW543" t="s">
        <v>134</v>
      </c>
      <c r="AX543" t="s">
        <v>134</v>
      </c>
      <c r="AY543" t="s">
        <v>134</v>
      </c>
      <c r="AZ543" t="s">
        <v>134</v>
      </c>
      <c r="BA543" t="s">
        <v>134</v>
      </c>
      <c r="BB543" t="s">
        <v>134</v>
      </c>
      <c r="BC543" t="s">
        <v>134</v>
      </c>
      <c r="BD543" t="s">
        <v>134</v>
      </c>
      <c r="BE543" t="s">
        <v>134</v>
      </c>
      <c r="BF543">
        <v>7.4370000000000003</v>
      </c>
      <c r="BG543">
        <v>2.7945000000000002</v>
      </c>
      <c r="BH543">
        <v>0.15279999999999999</v>
      </c>
      <c r="BI543">
        <v>13.4716</v>
      </c>
      <c r="BJ543">
        <v>14.773099999999999</v>
      </c>
      <c r="BK543">
        <v>5.8823999999999996</v>
      </c>
      <c r="BL543">
        <v>-10.3062</v>
      </c>
      <c r="BM543">
        <v>-0.93159999999999998</v>
      </c>
      <c r="BN543">
        <v>11.459099999999999</v>
      </c>
      <c r="BO543">
        <v>-5.1018999999999997</v>
      </c>
      <c r="BP543">
        <v>-14.8108</v>
      </c>
      <c r="BQ543">
        <v>-2.0463</v>
      </c>
      <c r="BR543">
        <v>2.3761999999999999</v>
      </c>
      <c r="BS543" t="s">
        <v>134</v>
      </c>
      <c r="BT543">
        <v>-100</v>
      </c>
      <c r="BU543">
        <v>-7.7277000000000005</v>
      </c>
      <c r="BV543">
        <v>-7.8718000000000004</v>
      </c>
      <c r="BW543">
        <v>-5.0728</v>
      </c>
      <c r="BX543">
        <v>11.4414</v>
      </c>
      <c r="BY543">
        <v>0</v>
      </c>
      <c r="BZ543">
        <v>0</v>
      </c>
      <c r="CA543">
        <v>0</v>
      </c>
      <c r="CB543">
        <v>0</v>
      </c>
      <c r="CC543">
        <v>-1.0073000000000001</v>
      </c>
      <c r="CD543">
        <v>0</v>
      </c>
      <c r="CE543">
        <v>-1.3149</v>
      </c>
      <c r="CF543">
        <v>72.352900000000005</v>
      </c>
      <c r="CG543">
        <v>74.554699999999997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-22.551400000000001</v>
      </c>
      <c r="CO543">
        <v>-29.117799999999999</v>
      </c>
      <c r="CP543">
        <v>19680</v>
      </c>
      <c r="CQ543">
        <v>13008</v>
      </c>
      <c r="CR543">
        <v>15076</v>
      </c>
      <c r="CS543">
        <v>0.75380000000000003</v>
      </c>
      <c r="CT543">
        <v>2.2431999999999999</v>
      </c>
      <c r="CU543">
        <v>1.2048000000000001</v>
      </c>
      <c r="CV543">
        <v>16.214099999999998</v>
      </c>
      <c r="CW543">
        <v>8.1126000000000005</v>
      </c>
      <c r="CX543">
        <v>44.991900000000001</v>
      </c>
      <c r="CY543">
        <v>4.7301000000000002</v>
      </c>
      <c r="CZ543">
        <v>77.164900000000003</v>
      </c>
      <c r="DA543">
        <v>4.2274000000000003</v>
      </c>
      <c r="DB543">
        <v>86.340800000000002</v>
      </c>
      <c r="DC543">
        <v>35.816000000000003</v>
      </c>
      <c r="DD543">
        <v>122.1568</v>
      </c>
      <c r="DE543">
        <v>11804</v>
      </c>
      <c r="DF543">
        <v>1557</v>
      </c>
      <c r="DG543">
        <v>958</v>
      </c>
      <c r="DH543">
        <v>5553</v>
      </c>
      <c r="DI543">
        <v>3736</v>
      </c>
    </row>
    <row r="544" spans="4:113" x14ac:dyDescent="0.3">
      <c r="E544" t="s">
        <v>78</v>
      </c>
      <c r="F544" t="s">
        <v>134</v>
      </c>
      <c r="G544" t="s">
        <v>134</v>
      </c>
      <c r="H544" t="s">
        <v>134</v>
      </c>
      <c r="I544" t="s">
        <v>134</v>
      </c>
      <c r="J544" t="s">
        <v>134</v>
      </c>
      <c r="K544" t="s">
        <v>134</v>
      </c>
      <c r="L544" t="s">
        <v>134</v>
      </c>
      <c r="M544" t="s">
        <v>134</v>
      </c>
      <c r="N544" t="s">
        <v>134</v>
      </c>
      <c r="O544" t="s">
        <v>134</v>
      </c>
      <c r="P544" t="s">
        <v>134</v>
      </c>
      <c r="Q544" t="s">
        <v>134</v>
      </c>
      <c r="R544" t="s">
        <v>134</v>
      </c>
      <c r="S544" t="s">
        <v>134</v>
      </c>
      <c r="T544" t="s">
        <v>134</v>
      </c>
      <c r="U544" t="s">
        <v>134</v>
      </c>
      <c r="V544" t="s">
        <v>134</v>
      </c>
      <c r="W544" t="s">
        <v>134</v>
      </c>
      <c r="X544" t="s">
        <v>134</v>
      </c>
      <c r="Y544" t="s">
        <v>134</v>
      </c>
      <c r="Z544" t="s">
        <v>134</v>
      </c>
      <c r="AA544" t="s">
        <v>134</v>
      </c>
      <c r="AB544" t="s">
        <v>134</v>
      </c>
      <c r="AC544" t="s">
        <v>134</v>
      </c>
      <c r="AD544" t="s">
        <v>134</v>
      </c>
      <c r="AE544" t="s">
        <v>134</v>
      </c>
      <c r="AF544" t="s">
        <v>134</v>
      </c>
      <c r="AG544" t="s">
        <v>134</v>
      </c>
      <c r="AH544" t="s">
        <v>134</v>
      </c>
      <c r="AI544" t="s">
        <v>134</v>
      </c>
      <c r="AJ544" t="s">
        <v>134</v>
      </c>
      <c r="AK544" t="s">
        <v>134</v>
      </c>
      <c r="AL544" t="s">
        <v>134</v>
      </c>
      <c r="AM544" t="s">
        <v>134</v>
      </c>
      <c r="AN544" t="s">
        <v>134</v>
      </c>
      <c r="AO544" t="s">
        <v>134</v>
      </c>
      <c r="AP544" t="s">
        <v>134</v>
      </c>
      <c r="AQ544" t="s">
        <v>134</v>
      </c>
      <c r="AR544" t="s">
        <v>134</v>
      </c>
      <c r="AS544" t="s">
        <v>134</v>
      </c>
      <c r="AT544" t="s">
        <v>134</v>
      </c>
      <c r="AU544" t="s">
        <v>134</v>
      </c>
      <c r="AV544" t="s">
        <v>134</v>
      </c>
      <c r="AW544" t="s">
        <v>134</v>
      </c>
      <c r="AX544" t="s">
        <v>134</v>
      </c>
      <c r="AY544" t="s">
        <v>134</v>
      </c>
      <c r="AZ544" t="s">
        <v>134</v>
      </c>
      <c r="BA544" t="s">
        <v>134</v>
      </c>
      <c r="BB544" t="s">
        <v>134</v>
      </c>
      <c r="BC544" t="s">
        <v>134</v>
      </c>
      <c r="BD544" t="s">
        <v>134</v>
      </c>
      <c r="BE544" t="s">
        <v>134</v>
      </c>
      <c r="BF544" t="s">
        <v>134</v>
      </c>
      <c r="BG544" t="s">
        <v>134</v>
      </c>
      <c r="BH544" t="s">
        <v>134</v>
      </c>
      <c r="BI544" t="s">
        <v>134</v>
      </c>
      <c r="BJ544" t="s">
        <v>134</v>
      </c>
      <c r="BK544" t="s">
        <v>134</v>
      </c>
      <c r="BL544" t="s">
        <v>134</v>
      </c>
      <c r="BM544" t="s">
        <v>134</v>
      </c>
      <c r="BN544" t="s">
        <v>134</v>
      </c>
      <c r="BO544" t="s">
        <v>134</v>
      </c>
      <c r="BP544" t="s">
        <v>134</v>
      </c>
      <c r="BQ544" t="s">
        <v>134</v>
      </c>
      <c r="BR544" t="s">
        <v>134</v>
      </c>
      <c r="BS544" t="s">
        <v>134</v>
      </c>
      <c r="BT544" t="s">
        <v>134</v>
      </c>
      <c r="BU544" t="s">
        <v>134</v>
      </c>
      <c r="BV544" t="s">
        <v>134</v>
      </c>
      <c r="BW544" t="s">
        <v>134</v>
      </c>
      <c r="BX544" t="s">
        <v>134</v>
      </c>
      <c r="BY544" t="s">
        <v>134</v>
      </c>
      <c r="BZ544" t="s">
        <v>134</v>
      </c>
      <c r="CA544" t="s">
        <v>134</v>
      </c>
      <c r="CB544" t="s">
        <v>134</v>
      </c>
      <c r="CC544" t="s">
        <v>134</v>
      </c>
      <c r="CD544" t="s">
        <v>134</v>
      </c>
      <c r="CE544" t="s">
        <v>134</v>
      </c>
      <c r="CF544" t="s">
        <v>134</v>
      </c>
      <c r="CG544" t="s">
        <v>134</v>
      </c>
      <c r="CH544" t="s">
        <v>134</v>
      </c>
      <c r="CI544" t="s">
        <v>134</v>
      </c>
      <c r="CJ544" t="s">
        <v>134</v>
      </c>
      <c r="CK544" t="s">
        <v>134</v>
      </c>
      <c r="CL544" t="s">
        <v>134</v>
      </c>
      <c r="CM544" t="s">
        <v>134</v>
      </c>
      <c r="CN544" t="s">
        <v>134</v>
      </c>
      <c r="CO544" t="s">
        <v>134</v>
      </c>
      <c r="CP544" t="s">
        <v>134</v>
      </c>
      <c r="CQ544" t="s">
        <v>134</v>
      </c>
      <c r="CR544" t="s">
        <v>134</v>
      </c>
      <c r="CS544" t="s">
        <v>134</v>
      </c>
      <c r="CT544" t="s">
        <v>134</v>
      </c>
      <c r="CU544" t="s">
        <v>134</v>
      </c>
      <c r="CV544" t="s">
        <v>134</v>
      </c>
      <c r="CW544" t="s">
        <v>134</v>
      </c>
      <c r="CX544" t="s">
        <v>134</v>
      </c>
      <c r="CY544" t="s">
        <v>134</v>
      </c>
      <c r="CZ544" t="s">
        <v>134</v>
      </c>
      <c r="DA544" t="s">
        <v>134</v>
      </c>
      <c r="DB544" t="s">
        <v>134</v>
      </c>
      <c r="DC544" t="s">
        <v>134</v>
      </c>
      <c r="DD544" t="s">
        <v>134</v>
      </c>
      <c r="DE544" t="s">
        <v>134</v>
      </c>
      <c r="DF544" t="s">
        <v>134</v>
      </c>
      <c r="DG544" t="s">
        <v>134</v>
      </c>
      <c r="DH544" t="s">
        <v>134</v>
      </c>
      <c r="DI544" t="s">
        <v>134</v>
      </c>
    </row>
    <row r="545" spans="1:113" x14ac:dyDescent="0.3">
      <c r="E545" t="s">
        <v>79</v>
      </c>
      <c r="F545" t="s">
        <v>134</v>
      </c>
      <c r="G545" t="s">
        <v>134</v>
      </c>
      <c r="H545" t="s">
        <v>134</v>
      </c>
      <c r="I545" t="s">
        <v>134</v>
      </c>
      <c r="J545" t="s">
        <v>134</v>
      </c>
      <c r="K545" t="s">
        <v>134</v>
      </c>
      <c r="L545" t="s">
        <v>134</v>
      </c>
      <c r="M545" t="s">
        <v>134</v>
      </c>
      <c r="N545" t="s">
        <v>134</v>
      </c>
      <c r="O545" t="s">
        <v>134</v>
      </c>
      <c r="P545" t="s">
        <v>134</v>
      </c>
      <c r="Q545" t="s">
        <v>134</v>
      </c>
      <c r="R545" t="s">
        <v>134</v>
      </c>
      <c r="S545" t="s">
        <v>134</v>
      </c>
      <c r="T545" t="s">
        <v>134</v>
      </c>
      <c r="U545" t="s">
        <v>134</v>
      </c>
      <c r="V545" t="s">
        <v>134</v>
      </c>
      <c r="W545" t="s">
        <v>134</v>
      </c>
      <c r="X545" t="s">
        <v>134</v>
      </c>
      <c r="Y545" t="s">
        <v>134</v>
      </c>
      <c r="Z545" t="s">
        <v>134</v>
      </c>
      <c r="AA545" t="s">
        <v>134</v>
      </c>
      <c r="AB545" t="s">
        <v>134</v>
      </c>
      <c r="AC545" t="s">
        <v>134</v>
      </c>
      <c r="AD545" t="s">
        <v>134</v>
      </c>
      <c r="AE545" t="s">
        <v>134</v>
      </c>
      <c r="AF545" t="s">
        <v>134</v>
      </c>
      <c r="AG545" t="s">
        <v>134</v>
      </c>
      <c r="AH545" t="s">
        <v>134</v>
      </c>
      <c r="AI545" t="s">
        <v>134</v>
      </c>
      <c r="AJ545" t="s">
        <v>134</v>
      </c>
      <c r="AK545" t="s">
        <v>134</v>
      </c>
      <c r="AL545" t="s">
        <v>134</v>
      </c>
      <c r="AM545" t="s">
        <v>134</v>
      </c>
      <c r="AN545" t="s">
        <v>134</v>
      </c>
      <c r="AO545" t="s">
        <v>134</v>
      </c>
      <c r="AP545" t="s">
        <v>134</v>
      </c>
      <c r="AQ545" t="s">
        <v>134</v>
      </c>
      <c r="AR545" t="s">
        <v>134</v>
      </c>
      <c r="AS545" t="s">
        <v>134</v>
      </c>
      <c r="AT545" t="s">
        <v>134</v>
      </c>
      <c r="AU545" t="s">
        <v>134</v>
      </c>
      <c r="AV545" t="s">
        <v>134</v>
      </c>
      <c r="AW545" t="s">
        <v>134</v>
      </c>
      <c r="AX545" t="s">
        <v>134</v>
      </c>
      <c r="AY545" t="s">
        <v>134</v>
      </c>
      <c r="AZ545" t="s">
        <v>134</v>
      </c>
      <c r="BA545" t="s">
        <v>134</v>
      </c>
      <c r="BB545" t="s">
        <v>134</v>
      </c>
      <c r="BC545" t="s">
        <v>134</v>
      </c>
      <c r="BD545" t="s">
        <v>134</v>
      </c>
      <c r="BE545" t="s">
        <v>134</v>
      </c>
      <c r="BF545" t="s">
        <v>134</v>
      </c>
      <c r="BG545" t="s">
        <v>134</v>
      </c>
      <c r="BH545" t="s">
        <v>134</v>
      </c>
      <c r="BI545" t="s">
        <v>134</v>
      </c>
      <c r="BJ545" t="s">
        <v>134</v>
      </c>
      <c r="BK545" t="s">
        <v>134</v>
      </c>
      <c r="BL545" t="s">
        <v>134</v>
      </c>
      <c r="BM545" t="s">
        <v>134</v>
      </c>
      <c r="BN545" t="s">
        <v>134</v>
      </c>
      <c r="BO545" t="s">
        <v>134</v>
      </c>
      <c r="BP545" t="s">
        <v>134</v>
      </c>
      <c r="BQ545" t="s">
        <v>134</v>
      </c>
      <c r="BR545" t="s">
        <v>134</v>
      </c>
      <c r="BS545" t="s">
        <v>134</v>
      </c>
      <c r="BT545" t="s">
        <v>134</v>
      </c>
      <c r="BU545" t="s">
        <v>134</v>
      </c>
      <c r="BV545" t="s">
        <v>134</v>
      </c>
      <c r="BW545" t="s">
        <v>134</v>
      </c>
      <c r="BX545" t="s">
        <v>134</v>
      </c>
      <c r="BY545" t="s">
        <v>134</v>
      </c>
      <c r="BZ545" t="s">
        <v>134</v>
      </c>
      <c r="CA545" t="s">
        <v>134</v>
      </c>
      <c r="CB545" t="s">
        <v>134</v>
      </c>
      <c r="CC545" t="s">
        <v>134</v>
      </c>
      <c r="CD545" t="s">
        <v>134</v>
      </c>
      <c r="CE545" t="s">
        <v>134</v>
      </c>
      <c r="CF545" t="s">
        <v>134</v>
      </c>
      <c r="CG545" t="s">
        <v>134</v>
      </c>
      <c r="CH545" t="s">
        <v>134</v>
      </c>
      <c r="CI545" t="s">
        <v>134</v>
      </c>
      <c r="CJ545" t="s">
        <v>134</v>
      </c>
      <c r="CK545" t="s">
        <v>134</v>
      </c>
      <c r="CL545" t="s">
        <v>134</v>
      </c>
      <c r="CM545" t="s">
        <v>134</v>
      </c>
      <c r="CN545" t="s">
        <v>134</v>
      </c>
      <c r="CO545" t="s">
        <v>134</v>
      </c>
      <c r="CP545" t="s">
        <v>134</v>
      </c>
      <c r="CQ545" t="s">
        <v>134</v>
      </c>
      <c r="CR545" t="s">
        <v>134</v>
      </c>
      <c r="CS545" t="s">
        <v>134</v>
      </c>
      <c r="CT545" t="s">
        <v>134</v>
      </c>
      <c r="CU545" t="s">
        <v>134</v>
      </c>
      <c r="CV545" t="s">
        <v>134</v>
      </c>
      <c r="CW545" t="s">
        <v>134</v>
      </c>
      <c r="CX545" t="s">
        <v>134</v>
      </c>
      <c r="CY545" t="s">
        <v>134</v>
      </c>
      <c r="CZ545" t="s">
        <v>134</v>
      </c>
      <c r="DA545" t="s">
        <v>134</v>
      </c>
      <c r="DB545" t="s">
        <v>134</v>
      </c>
      <c r="DC545" t="s">
        <v>134</v>
      </c>
      <c r="DD545" t="s">
        <v>134</v>
      </c>
      <c r="DE545" t="s">
        <v>134</v>
      </c>
      <c r="DF545" t="s">
        <v>134</v>
      </c>
      <c r="DG545" t="s">
        <v>134</v>
      </c>
      <c r="DH545" t="s">
        <v>134</v>
      </c>
      <c r="DI545" t="s">
        <v>134</v>
      </c>
    </row>
    <row r="546" spans="1:113" x14ac:dyDescent="0.3">
      <c r="E546" t="s">
        <v>80</v>
      </c>
      <c r="F546" t="s">
        <v>134</v>
      </c>
      <c r="G546" t="s">
        <v>134</v>
      </c>
      <c r="H546" t="s">
        <v>134</v>
      </c>
      <c r="I546" t="s">
        <v>134</v>
      </c>
      <c r="J546" t="s">
        <v>134</v>
      </c>
      <c r="K546" t="s">
        <v>134</v>
      </c>
      <c r="L546" t="s">
        <v>134</v>
      </c>
      <c r="M546" t="s">
        <v>134</v>
      </c>
      <c r="N546" t="s">
        <v>134</v>
      </c>
      <c r="O546" t="s">
        <v>134</v>
      </c>
      <c r="P546" t="s">
        <v>134</v>
      </c>
      <c r="Q546" t="s">
        <v>134</v>
      </c>
      <c r="R546" t="s">
        <v>134</v>
      </c>
      <c r="S546" t="s">
        <v>134</v>
      </c>
      <c r="T546" t="s">
        <v>134</v>
      </c>
      <c r="U546" t="s">
        <v>134</v>
      </c>
      <c r="V546" t="s">
        <v>134</v>
      </c>
      <c r="W546" t="s">
        <v>134</v>
      </c>
      <c r="X546" t="s">
        <v>134</v>
      </c>
      <c r="Y546" t="s">
        <v>134</v>
      </c>
      <c r="Z546" t="s">
        <v>134</v>
      </c>
      <c r="AA546" t="s">
        <v>134</v>
      </c>
      <c r="AB546" t="s">
        <v>134</v>
      </c>
      <c r="AC546" t="s">
        <v>134</v>
      </c>
      <c r="AD546" t="s">
        <v>134</v>
      </c>
      <c r="AE546" t="s">
        <v>134</v>
      </c>
      <c r="AF546" t="s">
        <v>134</v>
      </c>
      <c r="AG546" t="s">
        <v>134</v>
      </c>
      <c r="AH546" t="s">
        <v>134</v>
      </c>
      <c r="AI546" t="s">
        <v>134</v>
      </c>
      <c r="AJ546" t="s">
        <v>134</v>
      </c>
      <c r="AK546" t="s">
        <v>134</v>
      </c>
      <c r="AL546" t="s">
        <v>134</v>
      </c>
      <c r="AM546" t="s">
        <v>134</v>
      </c>
      <c r="AN546" t="s">
        <v>134</v>
      </c>
      <c r="AO546" t="s">
        <v>134</v>
      </c>
      <c r="AP546" t="s">
        <v>134</v>
      </c>
      <c r="AQ546" t="s">
        <v>134</v>
      </c>
      <c r="AR546" t="s">
        <v>134</v>
      </c>
      <c r="AS546" t="s">
        <v>134</v>
      </c>
      <c r="AT546" t="s">
        <v>134</v>
      </c>
      <c r="AU546" t="s">
        <v>134</v>
      </c>
      <c r="AV546" t="s">
        <v>134</v>
      </c>
      <c r="AW546" t="s">
        <v>134</v>
      </c>
      <c r="AX546" t="s">
        <v>134</v>
      </c>
      <c r="AY546" t="s">
        <v>134</v>
      </c>
      <c r="AZ546" t="s">
        <v>134</v>
      </c>
      <c r="BA546" t="s">
        <v>134</v>
      </c>
      <c r="BB546" t="s">
        <v>134</v>
      </c>
      <c r="BC546" t="s">
        <v>134</v>
      </c>
      <c r="BD546" t="s">
        <v>134</v>
      </c>
      <c r="BE546" t="s">
        <v>134</v>
      </c>
      <c r="BF546" t="s">
        <v>134</v>
      </c>
      <c r="BG546" t="s">
        <v>134</v>
      </c>
      <c r="BH546" t="s">
        <v>134</v>
      </c>
      <c r="BI546" t="s">
        <v>134</v>
      </c>
      <c r="BJ546" t="s">
        <v>134</v>
      </c>
      <c r="BK546" t="s">
        <v>134</v>
      </c>
      <c r="BL546" t="s">
        <v>134</v>
      </c>
      <c r="BM546" t="s">
        <v>134</v>
      </c>
      <c r="BN546" t="s">
        <v>134</v>
      </c>
      <c r="BO546" t="s">
        <v>134</v>
      </c>
      <c r="BP546" t="s">
        <v>134</v>
      </c>
      <c r="BQ546" t="s">
        <v>134</v>
      </c>
      <c r="BR546" t="s">
        <v>134</v>
      </c>
      <c r="BS546" t="s">
        <v>134</v>
      </c>
      <c r="BT546" t="s">
        <v>134</v>
      </c>
      <c r="BU546" t="s">
        <v>134</v>
      </c>
      <c r="BV546" t="s">
        <v>134</v>
      </c>
      <c r="BW546" t="s">
        <v>134</v>
      </c>
      <c r="BX546" t="s">
        <v>134</v>
      </c>
      <c r="BY546" t="s">
        <v>134</v>
      </c>
      <c r="BZ546" t="s">
        <v>134</v>
      </c>
      <c r="CA546" t="s">
        <v>134</v>
      </c>
      <c r="CB546" t="s">
        <v>134</v>
      </c>
      <c r="CC546" t="s">
        <v>134</v>
      </c>
      <c r="CD546" t="s">
        <v>134</v>
      </c>
      <c r="CE546" t="s">
        <v>134</v>
      </c>
      <c r="CF546" t="s">
        <v>134</v>
      </c>
      <c r="CG546" t="s">
        <v>134</v>
      </c>
      <c r="CH546" t="s">
        <v>134</v>
      </c>
      <c r="CI546" t="s">
        <v>134</v>
      </c>
      <c r="CJ546" t="s">
        <v>134</v>
      </c>
      <c r="CK546" t="s">
        <v>134</v>
      </c>
      <c r="CL546" t="s">
        <v>134</v>
      </c>
      <c r="CM546" t="s">
        <v>134</v>
      </c>
      <c r="CN546" t="s">
        <v>134</v>
      </c>
      <c r="CO546" t="s">
        <v>134</v>
      </c>
      <c r="CP546" t="s">
        <v>134</v>
      </c>
      <c r="CQ546" t="s">
        <v>134</v>
      </c>
      <c r="CR546" t="s">
        <v>134</v>
      </c>
      <c r="CS546" t="s">
        <v>134</v>
      </c>
      <c r="CT546" t="s">
        <v>134</v>
      </c>
      <c r="CU546" t="s">
        <v>134</v>
      </c>
      <c r="CV546" t="s">
        <v>134</v>
      </c>
      <c r="CW546" t="s">
        <v>134</v>
      </c>
      <c r="CX546" t="s">
        <v>134</v>
      </c>
      <c r="CY546" t="s">
        <v>134</v>
      </c>
      <c r="CZ546" t="s">
        <v>134</v>
      </c>
      <c r="DA546" t="s">
        <v>134</v>
      </c>
      <c r="DB546" t="s">
        <v>134</v>
      </c>
      <c r="DC546" t="s">
        <v>134</v>
      </c>
      <c r="DD546" t="s">
        <v>134</v>
      </c>
      <c r="DE546" t="s">
        <v>134</v>
      </c>
      <c r="DF546" t="s">
        <v>134</v>
      </c>
      <c r="DG546" t="s">
        <v>134</v>
      </c>
      <c r="DH546" t="s">
        <v>134</v>
      </c>
      <c r="DI546" t="s">
        <v>134</v>
      </c>
    </row>
    <row r="547" spans="1:113" x14ac:dyDescent="0.3">
      <c r="E547" t="s">
        <v>81</v>
      </c>
      <c r="F547" t="s">
        <v>134</v>
      </c>
      <c r="G547" t="s">
        <v>134</v>
      </c>
      <c r="H547" t="s">
        <v>134</v>
      </c>
      <c r="I547" t="s">
        <v>134</v>
      </c>
      <c r="J547" t="s">
        <v>134</v>
      </c>
      <c r="K547" t="s">
        <v>134</v>
      </c>
      <c r="L547" t="s">
        <v>134</v>
      </c>
      <c r="M547" t="s">
        <v>134</v>
      </c>
      <c r="N547" t="s">
        <v>134</v>
      </c>
      <c r="O547" t="s">
        <v>134</v>
      </c>
      <c r="P547" t="s">
        <v>134</v>
      </c>
      <c r="Q547" t="s">
        <v>134</v>
      </c>
      <c r="R547" t="s">
        <v>134</v>
      </c>
      <c r="S547" t="s">
        <v>134</v>
      </c>
      <c r="T547" t="s">
        <v>134</v>
      </c>
      <c r="U547" t="s">
        <v>134</v>
      </c>
      <c r="V547" t="s">
        <v>134</v>
      </c>
      <c r="W547" t="s">
        <v>134</v>
      </c>
      <c r="X547" t="s">
        <v>134</v>
      </c>
      <c r="Y547" t="s">
        <v>134</v>
      </c>
      <c r="Z547" t="s">
        <v>134</v>
      </c>
      <c r="AA547" t="s">
        <v>134</v>
      </c>
      <c r="AB547" t="s">
        <v>134</v>
      </c>
      <c r="AC547" t="s">
        <v>134</v>
      </c>
      <c r="AD547" t="s">
        <v>134</v>
      </c>
      <c r="AE547" t="s">
        <v>134</v>
      </c>
      <c r="AF547" t="s">
        <v>134</v>
      </c>
      <c r="AG547" t="s">
        <v>134</v>
      </c>
      <c r="AH547" t="s">
        <v>134</v>
      </c>
      <c r="AI547" t="s">
        <v>134</v>
      </c>
      <c r="AJ547" t="s">
        <v>134</v>
      </c>
      <c r="AK547" t="s">
        <v>134</v>
      </c>
      <c r="AL547" t="s">
        <v>134</v>
      </c>
      <c r="AM547" t="s">
        <v>134</v>
      </c>
      <c r="AN547" t="s">
        <v>134</v>
      </c>
      <c r="AO547" t="s">
        <v>134</v>
      </c>
      <c r="AP547" t="s">
        <v>134</v>
      </c>
      <c r="AQ547" t="s">
        <v>134</v>
      </c>
      <c r="AR547" t="s">
        <v>134</v>
      </c>
      <c r="AS547" t="s">
        <v>134</v>
      </c>
      <c r="AT547" t="s">
        <v>134</v>
      </c>
      <c r="AU547" t="s">
        <v>134</v>
      </c>
      <c r="AV547" t="s">
        <v>134</v>
      </c>
      <c r="AW547" t="s">
        <v>134</v>
      </c>
      <c r="AX547" t="s">
        <v>134</v>
      </c>
      <c r="AY547" t="s">
        <v>134</v>
      </c>
      <c r="AZ547" t="s">
        <v>134</v>
      </c>
      <c r="BA547" t="s">
        <v>134</v>
      </c>
      <c r="BB547" t="s">
        <v>134</v>
      </c>
      <c r="BC547" t="s">
        <v>134</v>
      </c>
      <c r="BD547" t="s">
        <v>134</v>
      </c>
      <c r="BE547" t="s">
        <v>134</v>
      </c>
      <c r="BF547" t="s">
        <v>134</v>
      </c>
      <c r="BG547" t="s">
        <v>134</v>
      </c>
      <c r="BH547" t="s">
        <v>134</v>
      </c>
      <c r="BI547" t="s">
        <v>134</v>
      </c>
      <c r="BJ547" t="s">
        <v>134</v>
      </c>
      <c r="BK547" t="s">
        <v>134</v>
      </c>
      <c r="BL547" t="s">
        <v>134</v>
      </c>
      <c r="BM547" t="s">
        <v>134</v>
      </c>
      <c r="BN547" t="s">
        <v>134</v>
      </c>
      <c r="BO547" t="s">
        <v>134</v>
      </c>
      <c r="BP547" t="s">
        <v>134</v>
      </c>
      <c r="BQ547" t="s">
        <v>134</v>
      </c>
      <c r="BR547" t="s">
        <v>134</v>
      </c>
      <c r="BS547" t="s">
        <v>134</v>
      </c>
      <c r="BT547" t="s">
        <v>134</v>
      </c>
      <c r="BU547" t="s">
        <v>134</v>
      </c>
      <c r="BV547" t="s">
        <v>134</v>
      </c>
      <c r="BW547" t="s">
        <v>134</v>
      </c>
      <c r="BX547" t="s">
        <v>134</v>
      </c>
      <c r="BY547" t="s">
        <v>134</v>
      </c>
      <c r="BZ547" t="s">
        <v>134</v>
      </c>
      <c r="CA547" t="s">
        <v>134</v>
      </c>
      <c r="CB547" t="s">
        <v>134</v>
      </c>
      <c r="CC547" t="s">
        <v>134</v>
      </c>
      <c r="CD547" t="s">
        <v>134</v>
      </c>
      <c r="CE547" t="s">
        <v>134</v>
      </c>
      <c r="CF547" t="s">
        <v>134</v>
      </c>
      <c r="CG547" t="s">
        <v>134</v>
      </c>
      <c r="CH547" t="s">
        <v>134</v>
      </c>
      <c r="CI547" t="s">
        <v>134</v>
      </c>
      <c r="CJ547" t="s">
        <v>134</v>
      </c>
      <c r="CK547" t="s">
        <v>134</v>
      </c>
      <c r="CL547" t="s">
        <v>134</v>
      </c>
      <c r="CM547" t="s">
        <v>134</v>
      </c>
      <c r="CN547" t="s">
        <v>134</v>
      </c>
      <c r="CO547" t="s">
        <v>134</v>
      </c>
      <c r="CP547" t="s">
        <v>134</v>
      </c>
      <c r="CQ547" t="s">
        <v>134</v>
      </c>
      <c r="CR547" t="s">
        <v>134</v>
      </c>
      <c r="CS547" t="s">
        <v>134</v>
      </c>
      <c r="CT547" t="s">
        <v>134</v>
      </c>
      <c r="CU547" t="s">
        <v>134</v>
      </c>
      <c r="CV547" t="s">
        <v>134</v>
      </c>
      <c r="CW547" t="s">
        <v>134</v>
      </c>
      <c r="CX547" t="s">
        <v>134</v>
      </c>
      <c r="CY547" t="s">
        <v>134</v>
      </c>
      <c r="CZ547" t="s">
        <v>134</v>
      </c>
      <c r="DA547" t="s">
        <v>134</v>
      </c>
      <c r="DB547" t="s">
        <v>134</v>
      </c>
      <c r="DC547" t="s">
        <v>134</v>
      </c>
      <c r="DD547" t="s">
        <v>134</v>
      </c>
      <c r="DE547" t="s">
        <v>134</v>
      </c>
      <c r="DF547" t="s">
        <v>134</v>
      </c>
      <c r="DG547" t="s">
        <v>134</v>
      </c>
      <c r="DH547" t="s">
        <v>134</v>
      </c>
      <c r="DI547" t="s">
        <v>134</v>
      </c>
    </row>
    <row r="548" spans="1:113" x14ac:dyDescent="0.3">
      <c r="D548" t="s">
        <v>85</v>
      </c>
      <c r="E548" t="s">
        <v>77</v>
      </c>
      <c r="F548">
        <v>14.614800000000001</v>
      </c>
      <c r="G548">
        <v>10.6661</v>
      </c>
      <c r="H548">
        <v>14.638400000000001</v>
      </c>
      <c r="I548">
        <v>12.9156</v>
      </c>
      <c r="J548">
        <v>18.4968</v>
      </c>
      <c r="K548">
        <v>14.4268</v>
      </c>
      <c r="L548">
        <v>11.3942</v>
      </c>
      <c r="M548">
        <v>17.776299999999999</v>
      </c>
      <c r="N548">
        <v>11.944100000000001</v>
      </c>
      <c r="O548">
        <v>11.944100000000001</v>
      </c>
      <c r="P548">
        <v>11.944100000000001</v>
      </c>
      <c r="Q548">
        <v>32.823700000000002</v>
      </c>
      <c r="R548">
        <v>22.259499999999999</v>
      </c>
      <c r="S548">
        <v>11.361599999999999</v>
      </c>
      <c r="T548">
        <v>12.807600000000001</v>
      </c>
      <c r="U548">
        <v>7.8913000000000002</v>
      </c>
      <c r="V548">
        <v>9.8500999999999994</v>
      </c>
      <c r="W548">
        <v>-21.2102</v>
      </c>
      <c r="X548">
        <v>-19.862400000000001</v>
      </c>
      <c r="Y548">
        <v>11.1111</v>
      </c>
      <c r="Z548">
        <v>36.199599999999997</v>
      </c>
      <c r="AA548">
        <v>3.8462000000000001</v>
      </c>
      <c r="AB548">
        <v>0.4143</v>
      </c>
      <c r="AC548">
        <v>18.0471</v>
      </c>
      <c r="AD548">
        <v>-20.297999999999998</v>
      </c>
      <c r="AE548">
        <v>16.7029</v>
      </c>
      <c r="AF548">
        <v>50.988900000000001</v>
      </c>
      <c r="AG548" t="s">
        <v>134</v>
      </c>
      <c r="AH548" t="s">
        <v>134</v>
      </c>
      <c r="AI548">
        <v>13.446199999999999</v>
      </c>
      <c r="AJ548">
        <v>13.446199999999999</v>
      </c>
      <c r="AK548">
        <v>13.446199999999999</v>
      </c>
      <c r="AL548">
        <v>12.7035</v>
      </c>
      <c r="AM548" t="s">
        <v>134</v>
      </c>
      <c r="AN548" t="s">
        <v>134</v>
      </c>
      <c r="AO548" t="s">
        <v>134</v>
      </c>
      <c r="AP548" t="s">
        <v>134</v>
      </c>
      <c r="AQ548" t="s">
        <v>134</v>
      </c>
      <c r="AR548" t="s">
        <v>134</v>
      </c>
      <c r="AS548" t="s">
        <v>134</v>
      </c>
      <c r="AT548" t="s">
        <v>134</v>
      </c>
      <c r="AU548" t="s">
        <v>134</v>
      </c>
      <c r="AV548" t="s">
        <v>134</v>
      </c>
      <c r="AW548" t="s">
        <v>134</v>
      </c>
      <c r="AX548" t="s">
        <v>134</v>
      </c>
      <c r="AY548" t="s">
        <v>134</v>
      </c>
      <c r="AZ548" t="s">
        <v>134</v>
      </c>
      <c r="BA548" t="s">
        <v>134</v>
      </c>
      <c r="BB548" t="s">
        <v>134</v>
      </c>
      <c r="BC548" t="s">
        <v>134</v>
      </c>
      <c r="BD548" t="s">
        <v>134</v>
      </c>
      <c r="BE548" t="s">
        <v>134</v>
      </c>
      <c r="BF548">
        <v>12.807600000000001</v>
      </c>
      <c r="BG548">
        <v>7.8913000000000002</v>
      </c>
      <c r="BH548">
        <v>9.8500999999999994</v>
      </c>
      <c r="BI548">
        <v>-21.2102</v>
      </c>
      <c r="BJ548">
        <v>-19.862400000000001</v>
      </c>
      <c r="BK548">
        <v>11.1111</v>
      </c>
      <c r="BL548">
        <v>36.199599999999997</v>
      </c>
      <c r="BM548">
        <v>3.8462000000000001</v>
      </c>
      <c r="BN548">
        <v>0.4143</v>
      </c>
      <c r="BO548">
        <v>18.0471</v>
      </c>
      <c r="BP548">
        <v>-20.297999999999998</v>
      </c>
      <c r="BQ548">
        <v>16.7029</v>
      </c>
      <c r="BR548">
        <v>50.988900000000001</v>
      </c>
      <c r="BS548" t="s">
        <v>134</v>
      </c>
      <c r="BT548" t="s">
        <v>134</v>
      </c>
      <c r="BU548">
        <v>13.446199999999999</v>
      </c>
      <c r="BV548">
        <v>13.446199999999999</v>
      </c>
      <c r="BW548">
        <v>13.446199999999999</v>
      </c>
      <c r="BX548">
        <v>12.7035</v>
      </c>
      <c r="BY548">
        <v>0</v>
      </c>
      <c r="BZ548">
        <v>0</v>
      </c>
      <c r="CA548">
        <v>0</v>
      </c>
      <c r="CB548">
        <v>0</v>
      </c>
      <c r="CC548">
        <v>-1.3245</v>
      </c>
      <c r="CD548">
        <v>0</v>
      </c>
      <c r="CE548">
        <v>-1.6981000000000002</v>
      </c>
      <c r="CF548">
        <v>643.42420000000004</v>
      </c>
      <c r="CG548">
        <v>71.648899999999998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-28.200299999999999</v>
      </c>
      <c r="CO548">
        <v>-39.276299999999999</v>
      </c>
      <c r="CP548">
        <v>21233</v>
      </c>
      <c r="CQ548">
        <v>16301</v>
      </c>
      <c r="CR548">
        <v>16561</v>
      </c>
      <c r="CS548">
        <v>0.79920000000000002</v>
      </c>
      <c r="CT548">
        <v>2.0842999999999998</v>
      </c>
      <c r="CU548">
        <v>1.2582</v>
      </c>
      <c r="CV548">
        <v>10.615</v>
      </c>
      <c r="CW548">
        <v>8.1942000000000004</v>
      </c>
      <c r="CX548">
        <v>44.543500000000002</v>
      </c>
      <c r="CY548">
        <v>5.4091000000000005</v>
      </c>
      <c r="CZ548">
        <v>67.478800000000007</v>
      </c>
      <c r="DA548">
        <v>3.8971999999999998</v>
      </c>
      <c r="DB548">
        <v>93.657600000000002</v>
      </c>
      <c r="DC548">
        <v>18.364699999999999</v>
      </c>
      <c r="DD548">
        <v>112.0223</v>
      </c>
      <c r="DE548">
        <v>12258</v>
      </c>
      <c r="DF548">
        <v>1868</v>
      </c>
      <c r="DG548">
        <v>1329</v>
      </c>
      <c r="DH548">
        <v>5101</v>
      </c>
      <c r="DI548">
        <v>3960</v>
      </c>
    </row>
    <row r="549" spans="1:113" x14ac:dyDescent="0.3">
      <c r="E549" t="s">
        <v>78</v>
      </c>
      <c r="F549" t="s">
        <v>134</v>
      </c>
      <c r="G549" t="s">
        <v>134</v>
      </c>
      <c r="H549" t="s">
        <v>134</v>
      </c>
      <c r="I549" t="s">
        <v>134</v>
      </c>
      <c r="J549" t="s">
        <v>134</v>
      </c>
      <c r="K549" t="s">
        <v>134</v>
      </c>
      <c r="L549" t="s">
        <v>134</v>
      </c>
      <c r="M549" t="s">
        <v>134</v>
      </c>
      <c r="N549" t="s">
        <v>134</v>
      </c>
      <c r="O549" t="s">
        <v>134</v>
      </c>
      <c r="P549" t="s">
        <v>134</v>
      </c>
      <c r="Q549" t="s">
        <v>134</v>
      </c>
      <c r="R549" t="s">
        <v>134</v>
      </c>
      <c r="S549" t="s">
        <v>134</v>
      </c>
      <c r="T549" t="s">
        <v>134</v>
      </c>
      <c r="U549" t="s">
        <v>134</v>
      </c>
      <c r="V549" t="s">
        <v>134</v>
      </c>
      <c r="W549" t="s">
        <v>134</v>
      </c>
      <c r="X549" t="s">
        <v>134</v>
      </c>
      <c r="Y549" t="s">
        <v>134</v>
      </c>
      <c r="Z549" t="s">
        <v>134</v>
      </c>
      <c r="AA549" t="s">
        <v>134</v>
      </c>
      <c r="AB549" t="s">
        <v>134</v>
      </c>
      <c r="AC549" t="s">
        <v>134</v>
      </c>
      <c r="AD549" t="s">
        <v>134</v>
      </c>
      <c r="AE549" t="s">
        <v>134</v>
      </c>
      <c r="AF549" t="s">
        <v>134</v>
      </c>
      <c r="AG549" t="s">
        <v>134</v>
      </c>
      <c r="AH549" t="s">
        <v>134</v>
      </c>
      <c r="AI549" t="s">
        <v>134</v>
      </c>
      <c r="AJ549" t="s">
        <v>134</v>
      </c>
      <c r="AK549" t="s">
        <v>134</v>
      </c>
      <c r="AL549" t="s">
        <v>134</v>
      </c>
      <c r="AM549" t="s">
        <v>134</v>
      </c>
      <c r="AN549" t="s">
        <v>134</v>
      </c>
      <c r="AO549" t="s">
        <v>134</v>
      </c>
      <c r="AP549" t="s">
        <v>134</v>
      </c>
      <c r="AQ549" t="s">
        <v>134</v>
      </c>
      <c r="AR549" t="s">
        <v>134</v>
      </c>
      <c r="AS549" t="s">
        <v>134</v>
      </c>
      <c r="AT549" t="s">
        <v>134</v>
      </c>
      <c r="AU549" t="s">
        <v>134</v>
      </c>
      <c r="AV549" t="s">
        <v>134</v>
      </c>
      <c r="AW549" t="s">
        <v>134</v>
      </c>
      <c r="AX549" t="s">
        <v>134</v>
      </c>
      <c r="AY549" t="s">
        <v>134</v>
      </c>
      <c r="AZ549" t="s">
        <v>134</v>
      </c>
      <c r="BA549" t="s">
        <v>134</v>
      </c>
      <c r="BB549" t="s">
        <v>134</v>
      </c>
      <c r="BC549" t="s">
        <v>134</v>
      </c>
      <c r="BD549" t="s">
        <v>134</v>
      </c>
      <c r="BE549" t="s">
        <v>134</v>
      </c>
      <c r="BF549" t="s">
        <v>134</v>
      </c>
      <c r="BG549" t="s">
        <v>134</v>
      </c>
      <c r="BH549" t="s">
        <v>134</v>
      </c>
      <c r="BI549" t="s">
        <v>134</v>
      </c>
      <c r="BJ549" t="s">
        <v>134</v>
      </c>
      <c r="BK549" t="s">
        <v>134</v>
      </c>
      <c r="BL549" t="s">
        <v>134</v>
      </c>
      <c r="BM549" t="s">
        <v>134</v>
      </c>
      <c r="BN549" t="s">
        <v>134</v>
      </c>
      <c r="BO549" t="s">
        <v>134</v>
      </c>
      <c r="BP549" t="s">
        <v>134</v>
      </c>
      <c r="BQ549" t="s">
        <v>134</v>
      </c>
      <c r="BR549" t="s">
        <v>134</v>
      </c>
      <c r="BS549" t="s">
        <v>134</v>
      </c>
      <c r="BT549" t="s">
        <v>134</v>
      </c>
      <c r="BU549" t="s">
        <v>134</v>
      </c>
      <c r="BV549" t="s">
        <v>134</v>
      </c>
      <c r="BW549" t="s">
        <v>134</v>
      </c>
      <c r="BX549" t="s">
        <v>134</v>
      </c>
      <c r="BY549" t="s">
        <v>134</v>
      </c>
      <c r="BZ549" t="s">
        <v>134</v>
      </c>
      <c r="CA549" t="s">
        <v>134</v>
      </c>
      <c r="CB549" t="s">
        <v>134</v>
      </c>
      <c r="CC549" t="s">
        <v>134</v>
      </c>
      <c r="CD549" t="s">
        <v>134</v>
      </c>
      <c r="CE549" t="s">
        <v>134</v>
      </c>
      <c r="CF549" t="s">
        <v>134</v>
      </c>
      <c r="CG549" t="s">
        <v>134</v>
      </c>
      <c r="CH549" t="s">
        <v>134</v>
      </c>
      <c r="CI549" t="s">
        <v>134</v>
      </c>
      <c r="CJ549" t="s">
        <v>134</v>
      </c>
      <c r="CK549" t="s">
        <v>134</v>
      </c>
      <c r="CL549" t="s">
        <v>134</v>
      </c>
      <c r="CM549" t="s">
        <v>134</v>
      </c>
      <c r="CN549" t="s">
        <v>134</v>
      </c>
      <c r="CO549" t="s">
        <v>134</v>
      </c>
      <c r="CP549" t="s">
        <v>134</v>
      </c>
      <c r="CQ549" t="s">
        <v>134</v>
      </c>
      <c r="CR549" t="s">
        <v>134</v>
      </c>
      <c r="CS549" t="s">
        <v>134</v>
      </c>
      <c r="CT549" t="s">
        <v>134</v>
      </c>
      <c r="CU549" t="s">
        <v>134</v>
      </c>
      <c r="CV549" t="s">
        <v>134</v>
      </c>
      <c r="CW549" t="s">
        <v>134</v>
      </c>
      <c r="CX549" t="s">
        <v>134</v>
      </c>
      <c r="CY549" t="s">
        <v>134</v>
      </c>
      <c r="CZ549" t="s">
        <v>134</v>
      </c>
      <c r="DA549" t="s">
        <v>134</v>
      </c>
      <c r="DB549" t="s">
        <v>134</v>
      </c>
      <c r="DC549" t="s">
        <v>134</v>
      </c>
      <c r="DD549" t="s">
        <v>134</v>
      </c>
      <c r="DE549" t="s">
        <v>134</v>
      </c>
      <c r="DF549" t="s">
        <v>134</v>
      </c>
      <c r="DG549" t="s">
        <v>134</v>
      </c>
      <c r="DH549" t="s">
        <v>134</v>
      </c>
      <c r="DI549" t="s">
        <v>134</v>
      </c>
    </row>
    <row r="550" spans="1:113" x14ac:dyDescent="0.3">
      <c r="E550" t="s">
        <v>79</v>
      </c>
      <c r="F550" t="s">
        <v>134</v>
      </c>
      <c r="G550" t="s">
        <v>134</v>
      </c>
      <c r="H550" t="s">
        <v>134</v>
      </c>
      <c r="I550" t="s">
        <v>134</v>
      </c>
      <c r="J550" t="s">
        <v>134</v>
      </c>
      <c r="K550" t="s">
        <v>134</v>
      </c>
      <c r="L550" t="s">
        <v>134</v>
      </c>
      <c r="M550" t="s">
        <v>134</v>
      </c>
      <c r="N550" t="s">
        <v>134</v>
      </c>
      <c r="O550" t="s">
        <v>134</v>
      </c>
      <c r="P550" t="s">
        <v>134</v>
      </c>
      <c r="Q550" t="s">
        <v>134</v>
      </c>
      <c r="R550" t="s">
        <v>134</v>
      </c>
      <c r="S550" t="s">
        <v>134</v>
      </c>
      <c r="T550" t="s">
        <v>134</v>
      </c>
      <c r="U550" t="s">
        <v>134</v>
      </c>
      <c r="V550" t="s">
        <v>134</v>
      </c>
      <c r="W550" t="s">
        <v>134</v>
      </c>
      <c r="X550" t="s">
        <v>134</v>
      </c>
      <c r="Y550" t="s">
        <v>134</v>
      </c>
      <c r="Z550" t="s">
        <v>134</v>
      </c>
      <c r="AA550" t="s">
        <v>134</v>
      </c>
      <c r="AB550" t="s">
        <v>134</v>
      </c>
      <c r="AC550" t="s">
        <v>134</v>
      </c>
      <c r="AD550" t="s">
        <v>134</v>
      </c>
      <c r="AE550" t="s">
        <v>134</v>
      </c>
      <c r="AF550" t="s">
        <v>134</v>
      </c>
      <c r="AG550" t="s">
        <v>134</v>
      </c>
      <c r="AH550" t="s">
        <v>134</v>
      </c>
      <c r="AI550" t="s">
        <v>134</v>
      </c>
      <c r="AJ550" t="s">
        <v>134</v>
      </c>
      <c r="AK550" t="s">
        <v>134</v>
      </c>
      <c r="AL550" t="s">
        <v>134</v>
      </c>
      <c r="AM550" t="s">
        <v>134</v>
      </c>
      <c r="AN550" t="s">
        <v>134</v>
      </c>
      <c r="AO550" t="s">
        <v>134</v>
      </c>
      <c r="AP550" t="s">
        <v>134</v>
      </c>
      <c r="AQ550" t="s">
        <v>134</v>
      </c>
      <c r="AR550" t="s">
        <v>134</v>
      </c>
      <c r="AS550" t="s">
        <v>134</v>
      </c>
      <c r="AT550" t="s">
        <v>134</v>
      </c>
      <c r="AU550" t="s">
        <v>134</v>
      </c>
      <c r="AV550" t="s">
        <v>134</v>
      </c>
      <c r="AW550" t="s">
        <v>134</v>
      </c>
      <c r="AX550" t="s">
        <v>134</v>
      </c>
      <c r="AY550" t="s">
        <v>134</v>
      </c>
      <c r="AZ550" t="s">
        <v>134</v>
      </c>
      <c r="BA550" t="s">
        <v>134</v>
      </c>
      <c r="BB550" t="s">
        <v>134</v>
      </c>
      <c r="BC550" t="s">
        <v>134</v>
      </c>
      <c r="BD550" t="s">
        <v>134</v>
      </c>
      <c r="BE550" t="s">
        <v>134</v>
      </c>
      <c r="BF550" t="s">
        <v>134</v>
      </c>
      <c r="BG550" t="s">
        <v>134</v>
      </c>
      <c r="BH550" t="s">
        <v>134</v>
      </c>
      <c r="BI550" t="s">
        <v>134</v>
      </c>
      <c r="BJ550" t="s">
        <v>134</v>
      </c>
      <c r="BK550" t="s">
        <v>134</v>
      </c>
      <c r="BL550" t="s">
        <v>134</v>
      </c>
      <c r="BM550" t="s">
        <v>134</v>
      </c>
      <c r="BN550" t="s">
        <v>134</v>
      </c>
      <c r="BO550" t="s">
        <v>134</v>
      </c>
      <c r="BP550" t="s">
        <v>134</v>
      </c>
      <c r="BQ550" t="s">
        <v>134</v>
      </c>
      <c r="BR550" t="s">
        <v>134</v>
      </c>
      <c r="BS550" t="s">
        <v>134</v>
      </c>
      <c r="BT550" t="s">
        <v>134</v>
      </c>
      <c r="BU550" t="s">
        <v>134</v>
      </c>
      <c r="BV550" t="s">
        <v>134</v>
      </c>
      <c r="BW550" t="s">
        <v>134</v>
      </c>
      <c r="BX550" t="s">
        <v>134</v>
      </c>
      <c r="BY550" t="s">
        <v>134</v>
      </c>
      <c r="BZ550" t="s">
        <v>134</v>
      </c>
      <c r="CA550" t="s">
        <v>134</v>
      </c>
      <c r="CB550" t="s">
        <v>134</v>
      </c>
      <c r="CC550" t="s">
        <v>134</v>
      </c>
      <c r="CD550" t="s">
        <v>134</v>
      </c>
      <c r="CE550" t="s">
        <v>134</v>
      </c>
      <c r="CF550" t="s">
        <v>134</v>
      </c>
      <c r="CG550" t="s">
        <v>134</v>
      </c>
      <c r="CH550" t="s">
        <v>134</v>
      </c>
      <c r="CI550" t="s">
        <v>134</v>
      </c>
      <c r="CJ550" t="s">
        <v>134</v>
      </c>
      <c r="CK550" t="s">
        <v>134</v>
      </c>
      <c r="CL550" t="s">
        <v>134</v>
      </c>
      <c r="CM550" t="s">
        <v>134</v>
      </c>
      <c r="CN550" t="s">
        <v>134</v>
      </c>
      <c r="CO550" t="s">
        <v>134</v>
      </c>
      <c r="CP550" t="s">
        <v>134</v>
      </c>
      <c r="CQ550" t="s">
        <v>134</v>
      </c>
      <c r="CR550" t="s">
        <v>134</v>
      </c>
      <c r="CS550" t="s">
        <v>134</v>
      </c>
      <c r="CT550" t="s">
        <v>134</v>
      </c>
      <c r="CU550" t="s">
        <v>134</v>
      </c>
      <c r="CV550" t="s">
        <v>134</v>
      </c>
      <c r="CW550" t="s">
        <v>134</v>
      </c>
      <c r="CX550" t="s">
        <v>134</v>
      </c>
      <c r="CY550" t="s">
        <v>134</v>
      </c>
      <c r="CZ550" t="s">
        <v>134</v>
      </c>
      <c r="DA550" t="s">
        <v>134</v>
      </c>
      <c r="DB550" t="s">
        <v>134</v>
      </c>
      <c r="DC550" t="s">
        <v>134</v>
      </c>
      <c r="DD550" t="s">
        <v>134</v>
      </c>
      <c r="DE550" t="s">
        <v>134</v>
      </c>
      <c r="DF550" t="s">
        <v>134</v>
      </c>
      <c r="DG550" t="s">
        <v>134</v>
      </c>
      <c r="DH550" t="s">
        <v>134</v>
      </c>
      <c r="DI550" t="s">
        <v>134</v>
      </c>
    </row>
    <row r="551" spans="1:113" x14ac:dyDescent="0.3">
      <c r="E551" t="s">
        <v>80</v>
      </c>
      <c r="F551" t="s">
        <v>134</v>
      </c>
      <c r="G551" t="s">
        <v>134</v>
      </c>
      <c r="H551" t="s">
        <v>134</v>
      </c>
      <c r="I551" t="s">
        <v>134</v>
      </c>
      <c r="J551" t="s">
        <v>134</v>
      </c>
      <c r="K551" t="s">
        <v>134</v>
      </c>
      <c r="L551" t="s">
        <v>134</v>
      </c>
      <c r="M551" t="s">
        <v>134</v>
      </c>
      <c r="N551" t="s">
        <v>134</v>
      </c>
      <c r="O551" t="s">
        <v>134</v>
      </c>
      <c r="P551" t="s">
        <v>134</v>
      </c>
      <c r="Q551" t="s">
        <v>134</v>
      </c>
      <c r="R551" t="s">
        <v>134</v>
      </c>
      <c r="S551" t="s">
        <v>134</v>
      </c>
      <c r="T551" t="s">
        <v>134</v>
      </c>
      <c r="U551" t="s">
        <v>134</v>
      </c>
      <c r="V551" t="s">
        <v>134</v>
      </c>
      <c r="W551" t="s">
        <v>134</v>
      </c>
      <c r="X551" t="s">
        <v>134</v>
      </c>
      <c r="Y551" t="s">
        <v>134</v>
      </c>
      <c r="Z551" t="s">
        <v>134</v>
      </c>
      <c r="AA551" t="s">
        <v>134</v>
      </c>
      <c r="AB551" t="s">
        <v>134</v>
      </c>
      <c r="AC551" t="s">
        <v>134</v>
      </c>
      <c r="AD551" t="s">
        <v>134</v>
      </c>
      <c r="AE551" t="s">
        <v>134</v>
      </c>
      <c r="AF551" t="s">
        <v>134</v>
      </c>
      <c r="AG551" t="s">
        <v>134</v>
      </c>
      <c r="AH551" t="s">
        <v>134</v>
      </c>
      <c r="AI551" t="s">
        <v>134</v>
      </c>
      <c r="AJ551" t="s">
        <v>134</v>
      </c>
      <c r="AK551" t="s">
        <v>134</v>
      </c>
      <c r="AL551" t="s">
        <v>134</v>
      </c>
      <c r="AM551" t="s">
        <v>134</v>
      </c>
      <c r="AN551" t="s">
        <v>134</v>
      </c>
      <c r="AO551" t="s">
        <v>134</v>
      </c>
      <c r="AP551" t="s">
        <v>134</v>
      </c>
      <c r="AQ551" t="s">
        <v>134</v>
      </c>
      <c r="AR551" t="s">
        <v>134</v>
      </c>
      <c r="AS551" t="s">
        <v>134</v>
      </c>
      <c r="AT551" t="s">
        <v>134</v>
      </c>
      <c r="AU551" t="s">
        <v>134</v>
      </c>
      <c r="AV551" t="s">
        <v>134</v>
      </c>
      <c r="AW551" t="s">
        <v>134</v>
      </c>
      <c r="AX551" t="s">
        <v>134</v>
      </c>
      <c r="AY551" t="s">
        <v>134</v>
      </c>
      <c r="AZ551" t="s">
        <v>134</v>
      </c>
      <c r="BA551" t="s">
        <v>134</v>
      </c>
      <c r="BB551" t="s">
        <v>134</v>
      </c>
      <c r="BC551" t="s">
        <v>134</v>
      </c>
      <c r="BD551" t="s">
        <v>134</v>
      </c>
      <c r="BE551" t="s">
        <v>134</v>
      </c>
      <c r="BF551" t="s">
        <v>134</v>
      </c>
      <c r="BG551" t="s">
        <v>134</v>
      </c>
      <c r="BH551" t="s">
        <v>134</v>
      </c>
      <c r="BI551" t="s">
        <v>134</v>
      </c>
      <c r="BJ551" t="s">
        <v>134</v>
      </c>
      <c r="BK551" t="s">
        <v>134</v>
      </c>
      <c r="BL551" t="s">
        <v>134</v>
      </c>
      <c r="BM551" t="s">
        <v>134</v>
      </c>
      <c r="BN551" t="s">
        <v>134</v>
      </c>
      <c r="BO551" t="s">
        <v>134</v>
      </c>
      <c r="BP551" t="s">
        <v>134</v>
      </c>
      <c r="BQ551" t="s">
        <v>134</v>
      </c>
      <c r="BR551" t="s">
        <v>134</v>
      </c>
      <c r="BS551" t="s">
        <v>134</v>
      </c>
      <c r="BT551" t="s">
        <v>134</v>
      </c>
      <c r="BU551" t="s">
        <v>134</v>
      </c>
      <c r="BV551" t="s">
        <v>134</v>
      </c>
      <c r="BW551" t="s">
        <v>134</v>
      </c>
      <c r="BX551" t="s">
        <v>134</v>
      </c>
      <c r="BY551" t="s">
        <v>134</v>
      </c>
      <c r="BZ551" t="s">
        <v>134</v>
      </c>
      <c r="CA551" t="s">
        <v>134</v>
      </c>
      <c r="CB551" t="s">
        <v>134</v>
      </c>
      <c r="CC551" t="s">
        <v>134</v>
      </c>
      <c r="CD551" t="s">
        <v>134</v>
      </c>
      <c r="CE551" t="s">
        <v>134</v>
      </c>
      <c r="CF551" t="s">
        <v>134</v>
      </c>
      <c r="CG551" t="s">
        <v>134</v>
      </c>
      <c r="CH551" t="s">
        <v>134</v>
      </c>
      <c r="CI551" t="s">
        <v>134</v>
      </c>
      <c r="CJ551" t="s">
        <v>134</v>
      </c>
      <c r="CK551" t="s">
        <v>134</v>
      </c>
      <c r="CL551" t="s">
        <v>134</v>
      </c>
      <c r="CM551" t="s">
        <v>134</v>
      </c>
      <c r="CN551" t="s">
        <v>134</v>
      </c>
      <c r="CO551" t="s">
        <v>134</v>
      </c>
      <c r="CP551" t="s">
        <v>134</v>
      </c>
      <c r="CQ551" t="s">
        <v>134</v>
      </c>
      <c r="CR551" t="s">
        <v>134</v>
      </c>
      <c r="CS551" t="s">
        <v>134</v>
      </c>
      <c r="CT551" t="s">
        <v>134</v>
      </c>
      <c r="CU551" t="s">
        <v>134</v>
      </c>
      <c r="CV551" t="s">
        <v>134</v>
      </c>
      <c r="CW551" t="s">
        <v>134</v>
      </c>
      <c r="CX551" t="s">
        <v>134</v>
      </c>
      <c r="CY551" t="s">
        <v>134</v>
      </c>
      <c r="CZ551" t="s">
        <v>134</v>
      </c>
      <c r="DA551" t="s">
        <v>134</v>
      </c>
      <c r="DB551" t="s">
        <v>134</v>
      </c>
      <c r="DC551" t="s">
        <v>134</v>
      </c>
      <c r="DD551" t="s">
        <v>134</v>
      </c>
      <c r="DE551" t="s">
        <v>134</v>
      </c>
      <c r="DF551" t="s">
        <v>134</v>
      </c>
      <c r="DG551" t="s">
        <v>134</v>
      </c>
      <c r="DH551" t="s">
        <v>134</v>
      </c>
      <c r="DI551" t="s">
        <v>134</v>
      </c>
    </row>
    <row r="552" spans="1:113" x14ac:dyDescent="0.3">
      <c r="E552" t="s">
        <v>81</v>
      </c>
      <c r="F552" t="s">
        <v>134</v>
      </c>
      <c r="G552" t="s">
        <v>134</v>
      </c>
      <c r="H552" t="s">
        <v>134</v>
      </c>
      <c r="I552" t="s">
        <v>134</v>
      </c>
      <c r="J552" t="s">
        <v>134</v>
      </c>
      <c r="K552" t="s">
        <v>134</v>
      </c>
      <c r="L552" t="s">
        <v>134</v>
      </c>
      <c r="M552" t="s">
        <v>134</v>
      </c>
      <c r="N552" t="s">
        <v>134</v>
      </c>
      <c r="O552" t="s">
        <v>134</v>
      </c>
      <c r="P552" t="s">
        <v>134</v>
      </c>
      <c r="Q552" t="s">
        <v>134</v>
      </c>
      <c r="R552" t="s">
        <v>134</v>
      </c>
      <c r="S552" t="s">
        <v>134</v>
      </c>
      <c r="T552" t="s">
        <v>134</v>
      </c>
      <c r="U552" t="s">
        <v>134</v>
      </c>
      <c r="V552" t="s">
        <v>134</v>
      </c>
      <c r="W552" t="s">
        <v>134</v>
      </c>
      <c r="X552" t="s">
        <v>134</v>
      </c>
      <c r="Y552" t="s">
        <v>134</v>
      </c>
      <c r="Z552" t="s">
        <v>134</v>
      </c>
      <c r="AA552" t="s">
        <v>134</v>
      </c>
      <c r="AB552" t="s">
        <v>134</v>
      </c>
      <c r="AC552" t="s">
        <v>134</v>
      </c>
      <c r="AD552" t="s">
        <v>134</v>
      </c>
      <c r="AE552" t="s">
        <v>134</v>
      </c>
      <c r="AF552" t="s">
        <v>134</v>
      </c>
      <c r="AG552" t="s">
        <v>134</v>
      </c>
      <c r="AH552" t="s">
        <v>134</v>
      </c>
      <c r="AI552" t="s">
        <v>134</v>
      </c>
      <c r="AJ552" t="s">
        <v>134</v>
      </c>
      <c r="AK552" t="s">
        <v>134</v>
      </c>
      <c r="AL552" t="s">
        <v>134</v>
      </c>
      <c r="AM552" t="s">
        <v>134</v>
      </c>
      <c r="AN552" t="s">
        <v>134</v>
      </c>
      <c r="AO552" t="s">
        <v>134</v>
      </c>
      <c r="AP552" t="s">
        <v>134</v>
      </c>
      <c r="AQ552" t="s">
        <v>134</v>
      </c>
      <c r="AR552" t="s">
        <v>134</v>
      </c>
      <c r="AS552" t="s">
        <v>134</v>
      </c>
      <c r="AT552" t="s">
        <v>134</v>
      </c>
      <c r="AU552" t="s">
        <v>134</v>
      </c>
      <c r="AV552" t="s">
        <v>134</v>
      </c>
      <c r="AW552" t="s">
        <v>134</v>
      </c>
      <c r="AX552" t="s">
        <v>134</v>
      </c>
      <c r="AY552" t="s">
        <v>134</v>
      </c>
      <c r="AZ552" t="s">
        <v>134</v>
      </c>
      <c r="BA552" t="s">
        <v>134</v>
      </c>
      <c r="BB552" t="s">
        <v>134</v>
      </c>
      <c r="BC552" t="s">
        <v>134</v>
      </c>
      <c r="BD552" t="s">
        <v>134</v>
      </c>
      <c r="BE552" t="s">
        <v>134</v>
      </c>
      <c r="BF552" t="s">
        <v>134</v>
      </c>
      <c r="BG552" t="s">
        <v>134</v>
      </c>
      <c r="BH552" t="s">
        <v>134</v>
      </c>
      <c r="BI552" t="s">
        <v>134</v>
      </c>
      <c r="BJ552" t="s">
        <v>134</v>
      </c>
      <c r="BK552" t="s">
        <v>134</v>
      </c>
      <c r="BL552" t="s">
        <v>134</v>
      </c>
      <c r="BM552" t="s">
        <v>134</v>
      </c>
      <c r="BN552" t="s">
        <v>134</v>
      </c>
      <c r="BO552" t="s">
        <v>134</v>
      </c>
      <c r="BP552" t="s">
        <v>134</v>
      </c>
      <c r="BQ552" t="s">
        <v>134</v>
      </c>
      <c r="BR552" t="s">
        <v>134</v>
      </c>
      <c r="BS552" t="s">
        <v>134</v>
      </c>
      <c r="BT552" t="s">
        <v>134</v>
      </c>
      <c r="BU552" t="s">
        <v>134</v>
      </c>
      <c r="BV552" t="s">
        <v>134</v>
      </c>
      <c r="BW552" t="s">
        <v>134</v>
      </c>
      <c r="BX552" t="s">
        <v>134</v>
      </c>
      <c r="BY552" t="s">
        <v>134</v>
      </c>
      <c r="BZ552" t="s">
        <v>134</v>
      </c>
      <c r="CA552" t="s">
        <v>134</v>
      </c>
      <c r="CB552" t="s">
        <v>134</v>
      </c>
      <c r="CC552" t="s">
        <v>134</v>
      </c>
      <c r="CD552" t="s">
        <v>134</v>
      </c>
      <c r="CE552" t="s">
        <v>134</v>
      </c>
      <c r="CF552" t="s">
        <v>134</v>
      </c>
      <c r="CG552" t="s">
        <v>134</v>
      </c>
      <c r="CH552" t="s">
        <v>134</v>
      </c>
      <c r="CI552" t="s">
        <v>134</v>
      </c>
      <c r="CJ552" t="s">
        <v>134</v>
      </c>
      <c r="CK552" t="s">
        <v>134</v>
      </c>
      <c r="CL552" t="s">
        <v>134</v>
      </c>
      <c r="CM552" t="s">
        <v>134</v>
      </c>
      <c r="CN552" t="s">
        <v>134</v>
      </c>
      <c r="CO552" t="s">
        <v>134</v>
      </c>
      <c r="CP552" t="s">
        <v>134</v>
      </c>
      <c r="CQ552" t="s">
        <v>134</v>
      </c>
      <c r="CR552" t="s">
        <v>134</v>
      </c>
      <c r="CS552" t="s">
        <v>134</v>
      </c>
      <c r="CT552" t="s">
        <v>134</v>
      </c>
      <c r="CU552" t="s">
        <v>134</v>
      </c>
      <c r="CV552" t="s">
        <v>134</v>
      </c>
      <c r="CW552" t="s">
        <v>134</v>
      </c>
      <c r="CX552" t="s">
        <v>134</v>
      </c>
      <c r="CY552" t="s">
        <v>134</v>
      </c>
      <c r="CZ552" t="s">
        <v>134</v>
      </c>
      <c r="DA552" t="s">
        <v>134</v>
      </c>
      <c r="DB552" t="s">
        <v>134</v>
      </c>
      <c r="DC552" t="s">
        <v>134</v>
      </c>
      <c r="DD552" t="s">
        <v>134</v>
      </c>
      <c r="DE552" t="s">
        <v>134</v>
      </c>
      <c r="DF552" t="s">
        <v>134</v>
      </c>
      <c r="DG552" t="s">
        <v>134</v>
      </c>
      <c r="DH552" t="s">
        <v>134</v>
      </c>
      <c r="DI552" t="s">
        <v>134</v>
      </c>
    </row>
    <row r="553" spans="1:113" x14ac:dyDescent="0.3">
      <c r="A553">
        <v>23</v>
      </c>
      <c r="B553" t="s">
        <v>128</v>
      </c>
      <c r="C553" t="s">
        <v>129</v>
      </c>
      <c r="D553" t="s">
        <v>76</v>
      </c>
      <c r="E553" t="s">
        <v>77</v>
      </c>
      <c r="F553">
        <v>58.312100000000001</v>
      </c>
      <c r="G553">
        <v>19.8154</v>
      </c>
      <c r="H553">
        <v>42.4499</v>
      </c>
      <c r="I553">
        <v>37.654600000000002</v>
      </c>
      <c r="J553">
        <v>9.1989999999999998</v>
      </c>
      <c r="K553">
        <v>7.9809999999999999</v>
      </c>
      <c r="L553">
        <v>28.491099999999999</v>
      </c>
      <c r="M553">
        <v>8.3363999999999994</v>
      </c>
      <c r="N553">
        <v>5.7907999999999999</v>
      </c>
      <c r="O553">
        <v>5.7889999999999997</v>
      </c>
      <c r="P553">
        <v>5.7889999999999997</v>
      </c>
      <c r="Q553">
        <v>30.489000000000001</v>
      </c>
      <c r="R553">
        <v>36.400700000000001</v>
      </c>
      <c r="S553">
        <v>37.086100000000002</v>
      </c>
      <c r="T553">
        <v>11.3009</v>
      </c>
      <c r="U553">
        <v>49.350999999999999</v>
      </c>
      <c r="V553">
        <v>56.853400000000001</v>
      </c>
      <c r="W553">
        <v>52.350700000000003</v>
      </c>
      <c r="X553">
        <v>52.073700000000002</v>
      </c>
      <c r="Y553">
        <v>41.176499999999997</v>
      </c>
      <c r="Z553">
        <v>-11.4893</v>
      </c>
      <c r="AA553">
        <v>12.1707</v>
      </c>
      <c r="AB553">
        <v>7.8921000000000001</v>
      </c>
      <c r="AC553">
        <v>11.8611</v>
      </c>
      <c r="AD553" t="s">
        <v>134</v>
      </c>
      <c r="AE553">
        <v>49.497399999999999</v>
      </c>
      <c r="AF553">
        <v>41.467799999999997</v>
      </c>
      <c r="AG553">
        <v>-65.6066</v>
      </c>
      <c r="AH553">
        <v>-60.589500000000001</v>
      </c>
      <c r="AI553">
        <v>42.911499999999997</v>
      </c>
      <c r="AJ553">
        <v>1.0764</v>
      </c>
      <c r="AK553">
        <v>42.586599999999997</v>
      </c>
      <c r="AL553">
        <v>120.74939999999999</v>
      </c>
      <c r="AM553">
        <v>14.825699999999999</v>
      </c>
      <c r="AN553">
        <v>19.967700000000001</v>
      </c>
      <c r="AO553">
        <v>23.869700000000002</v>
      </c>
      <c r="AP553">
        <v>21.149799999999999</v>
      </c>
      <c r="AQ553">
        <v>21.081800000000001</v>
      </c>
      <c r="AR553">
        <v>8.4472000000000005</v>
      </c>
      <c r="AS553">
        <v>7.9939999999999998</v>
      </c>
      <c r="AT553">
        <v>7.8002000000000002</v>
      </c>
      <c r="AU553">
        <v>14.121700000000001</v>
      </c>
      <c r="AV553">
        <v>7.1474000000000002</v>
      </c>
      <c r="AW553" t="s">
        <v>134</v>
      </c>
      <c r="AX553" t="s">
        <v>134</v>
      </c>
      <c r="AY553">
        <v>34.258400000000002</v>
      </c>
      <c r="AZ553" t="s">
        <v>134</v>
      </c>
      <c r="BA553">
        <v>-11.1424</v>
      </c>
      <c r="BB553">
        <v>1.9988999999999999</v>
      </c>
      <c r="BC553">
        <v>-0.9244</v>
      </c>
      <c r="BD553">
        <v>1.9615</v>
      </c>
      <c r="BE553">
        <v>23.4267</v>
      </c>
      <c r="BF553">
        <v>11.3009</v>
      </c>
      <c r="BG553">
        <v>49.350999999999999</v>
      </c>
      <c r="BH553">
        <v>56.853400000000001</v>
      </c>
      <c r="BI553">
        <v>52.350700000000003</v>
      </c>
      <c r="BJ553">
        <v>52.073700000000002</v>
      </c>
      <c r="BK553">
        <v>41.176499999999997</v>
      </c>
      <c r="BL553">
        <v>-11.4893</v>
      </c>
      <c r="BM553">
        <v>12.1707</v>
      </c>
      <c r="BN553">
        <v>7.8921000000000001</v>
      </c>
      <c r="BO553">
        <v>11.8611</v>
      </c>
      <c r="BP553">
        <v>-126.6615</v>
      </c>
      <c r="BQ553" t="s">
        <v>134</v>
      </c>
      <c r="BR553">
        <v>41.467799999999997</v>
      </c>
      <c r="BS553">
        <v>-65.6066</v>
      </c>
      <c r="BT553">
        <v>-60.589500000000001</v>
      </c>
      <c r="BU553">
        <v>42.911499999999997</v>
      </c>
      <c r="BV553">
        <v>1.0764</v>
      </c>
      <c r="BW553">
        <v>42.586599999999997</v>
      </c>
      <c r="BX553">
        <v>120.74939999999999</v>
      </c>
      <c r="BY553">
        <v>1497.6</v>
      </c>
      <c r="BZ553">
        <v>1213.4000000000001</v>
      </c>
      <c r="CA553">
        <v>284.2</v>
      </c>
      <c r="CB553">
        <v>0.2384</v>
      </c>
      <c r="CC553">
        <v>-0.19370000000000001</v>
      </c>
      <c r="CD553">
        <v>0.27479999999999999</v>
      </c>
      <c r="CE553">
        <v>-0.2233</v>
      </c>
      <c r="CF553">
        <v>75.781700000000001</v>
      </c>
      <c r="CG553">
        <v>37.881300000000003</v>
      </c>
      <c r="CH553">
        <v>3.5503</v>
      </c>
      <c r="CI553">
        <v>2.9908000000000001</v>
      </c>
      <c r="CJ553">
        <v>1.3489</v>
      </c>
      <c r="CK553">
        <v>18.708500000000001</v>
      </c>
      <c r="CL553">
        <v>15.7601</v>
      </c>
      <c r="CM553">
        <v>7.1082000000000001</v>
      </c>
      <c r="CN553">
        <v>-15.2044</v>
      </c>
      <c r="CO553">
        <v>-17.930700000000002</v>
      </c>
      <c r="CP553">
        <v>6282.3</v>
      </c>
      <c r="CQ553">
        <v>5181.1000000000004</v>
      </c>
      <c r="CR553">
        <v>5450.5</v>
      </c>
      <c r="CS553">
        <v>0.21790000000000001</v>
      </c>
      <c r="CT553">
        <v>0.83909999999999996</v>
      </c>
      <c r="CU553">
        <v>0.30509999999999998</v>
      </c>
      <c r="CV553">
        <v>9.1953999999999994</v>
      </c>
      <c r="CW553">
        <v>58.998100000000001</v>
      </c>
      <c r="CX553">
        <v>6.1866000000000003</v>
      </c>
      <c r="CY553">
        <v>10.5229</v>
      </c>
      <c r="CZ553">
        <v>34.686300000000003</v>
      </c>
      <c r="DA553">
        <v>8.8994999999999997</v>
      </c>
      <c r="DB553">
        <v>41.013800000000003</v>
      </c>
      <c r="DC553">
        <v>-0.14080000000000001</v>
      </c>
      <c r="DD553">
        <v>40.872999999999998</v>
      </c>
      <c r="DE553">
        <v>4202.7</v>
      </c>
      <c r="DF553">
        <v>1685.9</v>
      </c>
      <c r="DG553">
        <v>3.7</v>
      </c>
      <c r="DH553">
        <v>1571.2</v>
      </c>
      <c r="DI553">
        <v>941.9</v>
      </c>
    </row>
    <row r="554" spans="1:113" x14ac:dyDescent="0.3">
      <c r="E554" t="s">
        <v>78</v>
      </c>
      <c r="F554" t="s">
        <v>134</v>
      </c>
      <c r="G554" t="s">
        <v>134</v>
      </c>
      <c r="H554" t="s">
        <v>134</v>
      </c>
      <c r="I554" t="s">
        <v>134</v>
      </c>
      <c r="J554">
        <v>8.9443999999999999</v>
      </c>
      <c r="K554">
        <v>7.6733000000000002</v>
      </c>
      <c r="L554" t="s">
        <v>134</v>
      </c>
      <c r="M554">
        <v>8.3247999999999998</v>
      </c>
      <c r="N554">
        <v>5.8131000000000004</v>
      </c>
      <c r="O554">
        <v>5.8125</v>
      </c>
      <c r="P554">
        <v>5.8125</v>
      </c>
      <c r="Q554">
        <v>30.1084</v>
      </c>
      <c r="R554" t="s">
        <v>134</v>
      </c>
      <c r="S554" t="s">
        <v>134</v>
      </c>
      <c r="T554" t="s">
        <v>134</v>
      </c>
      <c r="U554" t="s">
        <v>134</v>
      </c>
      <c r="V554" t="s">
        <v>134</v>
      </c>
      <c r="W554" t="s">
        <v>134</v>
      </c>
      <c r="X554" t="s">
        <v>134</v>
      </c>
      <c r="Y554" t="s">
        <v>134</v>
      </c>
      <c r="Z554" t="s">
        <v>134</v>
      </c>
      <c r="AA554" t="s">
        <v>134</v>
      </c>
      <c r="AB554" t="s">
        <v>134</v>
      </c>
      <c r="AC554" t="s">
        <v>134</v>
      </c>
      <c r="AD554" t="s">
        <v>134</v>
      </c>
      <c r="AE554" t="s">
        <v>134</v>
      </c>
      <c r="AF554" t="s">
        <v>134</v>
      </c>
      <c r="AG554" t="s">
        <v>134</v>
      </c>
      <c r="AH554" t="s">
        <v>134</v>
      </c>
      <c r="AI554" t="s">
        <v>134</v>
      </c>
      <c r="AJ554" t="s">
        <v>134</v>
      </c>
      <c r="AK554" t="s">
        <v>134</v>
      </c>
      <c r="AL554" t="s">
        <v>134</v>
      </c>
      <c r="AM554" t="s">
        <v>134</v>
      </c>
      <c r="AN554" t="s">
        <v>134</v>
      </c>
      <c r="AO554" t="s">
        <v>134</v>
      </c>
      <c r="AP554" t="s">
        <v>134</v>
      </c>
      <c r="AQ554" t="s">
        <v>134</v>
      </c>
      <c r="AR554" t="s">
        <v>134</v>
      </c>
      <c r="AS554" t="s">
        <v>134</v>
      </c>
      <c r="AT554" t="s">
        <v>134</v>
      </c>
      <c r="AU554" t="s">
        <v>134</v>
      </c>
      <c r="AV554" t="s">
        <v>134</v>
      </c>
      <c r="AW554" t="s">
        <v>134</v>
      </c>
      <c r="AX554" t="s">
        <v>134</v>
      </c>
      <c r="AY554" t="s">
        <v>134</v>
      </c>
      <c r="AZ554" t="s">
        <v>134</v>
      </c>
      <c r="BA554" t="s">
        <v>134</v>
      </c>
      <c r="BB554" t="s">
        <v>134</v>
      </c>
      <c r="BC554" t="s">
        <v>134</v>
      </c>
      <c r="BD554" t="s">
        <v>134</v>
      </c>
      <c r="BE554" t="s">
        <v>134</v>
      </c>
      <c r="BF554" t="s">
        <v>134</v>
      </c>
      <c r="BG554" t="s">
        <v>134</v>
      </c>
      <c r="BH554" t="s">
        <v>134</v>
      </c>
      <c r="BI554" t="s">
        <v>134</v>
      </c>
      <c r="BJ554" t="s">
        <v>134</v>
      </c>
      <c r="BK554" t="s">
        <v>134</v>
      </c>
      <c r="BL554" t="s">
        <v>134</v>
      </c>
      <c r="BM554" t="s">
        <v>134</v>
      </c>
      <c r="BN554" t="s">
        <v>134</v>
      </c>
      <c r="BO554" t="s">
        <v>134</v>
      </c>
      <c r="BP554" t="s">
        <v>134</v>
      </c>
      <c r="BQ554" t="s">
        <v>134</v>
      </c>
      <c r="BR554" t="s">
        <v>134</v>
      </c>
      <c r="BS554" t="s">
        <v>134</v>
      </c>
      <c r="BT554" t="s">
        <v>134</v>
      </c>
      <c r="BU554" t="s">
        <v>134</v>
      </c>
      <c r="BV554" t="s">
        <v>134</v>
      </c>
      <c r="BW554" t="s">
        <v>134</v>
      </c>
      <c r="BX554" t="s">
        <v>134</v>
      </c>
      <c r="BY554" t="s">
        <v>134</v>
      </c>
      <c r="BZ554" t="s">
        <v>134</v>
      </c>
      <c r="CA554" t="s">
        <v>134</v>
      </c>
      <c r="CB554" t="s">
        <v>134</v>
      </c>
      <c r="CC554" t="s">
        <v>134</v>
      </c>
      <c r="CD554" t="s">
        <v>134</v>
      </c>
      <c r="CE554" t="s">
        <v>134</v>
      </c>
      <c r="CF554">
        <v>32.7102</v>
      </c>
      <c r="CG554" t="s">
        <v>134</v>
      </c>
      <c r="CH554" t="s">
        <v>134</v>
      </c>
      <c r="CI554" t="s">
        <v>134</v>
      </c>
      <c r="CJ554" t="s">
        <v>134</v>
      </c>
      <c r="CK554" t="s">
        <v>134</v>
      </c>
      <c r="CL554" t="s">
        <v>134</v>
      </c>
      <c r="CM554" t="s">
        <v>134</v>
      </c>
      <c r="CN554" t="s">
        <v>134</v>
      </c>
      <c r="CO554" t="s">
        <v>134</v>
      </c>
      <c r="CP554">
        <v>1377.1</v>
      </c>
      <c r="CQ554" t="s">
        <v>134</v>
      </c>
      <c r="CR554">
        <v>1181.4000000000001</v>
      </c>
      <c r="CS554" t="s">
        <v>134</v>
      </c>
      <c r="CT554" t="s">
        <v>134</v>
      </c>
      <c r="CU554" t="s">
        <v>134</v>
      </c>
      <c r="CV554" t="s">
        <v>134</v>
      </c>
      <c r="CW554" t="s">
        <v>134</v>
      </c>
      <c r="CX554" t="s">
        <v>134</v>
      </c>
      <c r="CY554" t="s">
        <v>134</v>
      </c>
      <c r="CZ554" t="s">
        <v>134</v>
      </c>
      <c r="DA554" t="s">
        <v>134</v>
      </c>
      <c r="DB554" t="s">
        <v>134</v>
      </c>
      <c r="DC554" t="s">
        <v>134</v>
      </c>
      <c r="DD554" t="s">
        <v>134</v>
      </c>
      <c r="DE554" t="s">
        <v>134</v>
      </c>
      <c r="DF554" t="s">
        <v>134</v>
      </c>
      <c r="DG554" t="s">
        <v>134</v>
      </c>
      <c r="DH554" t="s">
        <v>134</v>
      </c>
      <c r="DI554" t="s">
        <v>134</v>
      </c>
    </row>
    <row r="555" spans="1:113" x14ac:dyDescent="0.3">
      <c r="E555" t="s">
        <v>79</v>
      </c>
      <c r="F555" t="s">
        <v>134</v>
      </c>
      <c r="G555" t="s">
        <v>134</v>
      </c>
      <c r="H555" t="s">
        <v>134</v>
      </c>
      <c r="I555" t="s">
        <v>134</v>
      </c>
      <c r="J555">
        <v>9.2416999999999998</v>
      </c>
      <c r="K555">
        <v>8.0322999999999993</v>
      </c>
      <c r="L555" t="s">
        <v>134</v>
      </c>
      <c r="M555">
        <v>8.2074999999999996</v>
      </c>
      <c r="N555">
        <v>5.6098999999999997</v>
      </c>
      <c r="O555">
        <v>5.6098999999999997</v>
      </c>
      <c r="P555">
        <v>5.6098999999999997</v>
      </c>
      <c r="Q555">
        <v>31.592600000000001</v>
      </c>
      <c r="R555" t="s">
        <v>134</v>
      </c>
      <c r="S555" t="s">
        <v>134</v>
      </c>
      <c r="T555" t="s">
        <v>134</v>
      </c>
      <c r="U555" t="s">
        <v>134</v>
      </c>
      <c r="V555" t="s">
        <v>134</v>
      </c>
      <c r="W555" t="s">
        <v>134</v>
      </c>
      <c r="X555" t="s">
        <v>134</v>
      </c>
      <c r="Y555" t="s">
        <v>134</v>
      </c>
      <c r="Z555" t="s">
        <v>134</v>
      </c>
      <c r="AA555" t="s">
        <v>134</v>
      </c>
      <c r="AB555" t="s">
        <v>134</v>
      </c>
      <c r="AC555" t="s">
        <v>134</v>
      </c>
      <c r="AD555" t="s">
        <v>134</v>
      </c>
      <c r="AE555" t="s">
        <v>134</v>
      </c>
      <c r="AF555" t="s">
        <v>134</v>
      </c>
      <c r="AG555" t="s">
        <v>134</v>
      </c>
      <c r="AH555" t="s">
        <v>134</v>
      </c>
      <c r="AI555" t="s">
        <v>134</v>
      </c>
      <c r="AJ555" t="s">
        <v>134</v>
      </c>
      <c r="AK555" t="s">
        <v>134</v>
      </c>
      <c r="AL555" t="s">
        <v>134</v>
      </c>
      <c r="AM555" t="s">
        <v>134</v>
      </c>
      <c r="AN555" t="s">
        <v>134</v>
      </c>
      <c r="AO555" t="s">
        <v>134</v>
      </c>
      <c r="AP555" t="s">
        <v>134</v>
      </c>
      <c r="AQ555" t="s">
        <v>134</v>
      </c>
      <c r="AR555" t="s">
        <v>134</v>
      </c>
      <c r="AS555" t="s">
        <v>134</v>
      </c>
      <c r="AT555" t="s">
        <v>134</v>
      </c>
      <c r="AU555" t="s">
        <v>134</v>
      </c>
      <c r="AV555" t="s">
        <v>134</v>
      </c>
      <c r="AW555" t="s">
        <v>134</v>
      </c>
      <c r="AX555" t="s">
        <v>134</v>
      </c>
      <c r="AY555" t="s">
        <v>134</v>
      </c>
      <c r="AZ555" t="s">
        <v>134</v>
      </c>
      <c r="BA555" t="s">
        <v>134</v>
      </c>
      <c r="BB555" t="s">
        <v>134</v>
      </c>
      <c r="BC555" t="s">
        <v>134</v>
      </c>
      <c r="BD555" t="s">
        <v>134</v>
      </c>
      <c r="BE555" t="s">
        <v>134</v>
      </c>
      <c r="BF555">
        <v>13.046099999999999</v>
      </c>
      <c r="BG555">
        <v>16.8034</v>
      </c>
      <c r="BH555">
        <v>18.334199999999999</v>
      </c>
      <c r="BI555">
        <v>9.1072000000000006</v>
      </c>
      <c r="BJ555">
        <v>8.7850999999999999</v>
      </c>
      <c r="BK555" t="s">
        <v>134</v>
      </c>
      <c r="BL555" t="s">
        <v>134</v>
      </c>
      <c r="BM555" t="s">
        <v>134</v>
      </c>
      <c r="BN555" t="s">
        <v>134</v>
      </c>
      <c r="BO555" t="s">
        <v>134</v>
      </c>
      <c r="BP555" t="s">
        <v>134</v>
      </c>
      <c r="BQ555" t="s">
        <v>134</v>
      </c>
      <c r="BR555" t="s">
        <v>134</v>
      </c>
      <c r="BS555" t="s">
        <v>134</v>
      </c>
      <c r="BT555" t="s">
        <v>134</v>
      </c>
      <c r="BU555" t="s">
        <v>134</v>
      </c>
      <c r="BV555" t="s">
        <v>134</v>
      </c>
      <c r="BW555" t="s">
        <v>134</v>
      </c>
      <c r="BX555" t="s">
        <v>134</v>
      </c>
      <c r="BY555">
        <v>1736.6</v>
      </c>
      <c r="BZ555">
        <v>1439.8</v>
      </c>
      <c r="CA555">
        <v>296.8</v>
      </c>
      <c r="CB555" t="s">
        <v>134</v>
      </c>
      <c r="CC555" t="s">
        <v>134</v>
      </c>
      <c r="CD555" t="s">
        <v>134</v>
      </c>
      <c r="CE555" t="s">
        <v>134</v>
      </c>
      <c r="CF555">
        <v>154.6635</v>
      </c>
      <c r="CG555">
        <v>39.468800000000002</v>
      </c>
      <c r="CH555">
        <v>3.9236</v>
      </c>
      <c r="CI555">
        <v>3.1909999999999998</v>
      </c>
      <c r="CJ555">
        <v>1.5531999999999999</v>
      </c>
      <c r="CK555">
        <v>22.9572</v>
      </c>
      <c r="CL555">
        <v>18.6709</v>
      </c>
      <c r="CM555">
        <v>9.0881000000000007</v>
      </c>
      <c r="CN555">
        <v>10.3034</v>
      </c>
      <c r="CO555">
        <v>9.3409999999999993</v>
      </c>
      <c r="CP555">
        <v>1608.5</v>
      </c>
      <c r="CQ555" t="s">
        <v>134</v>
      </c>
      <c r="CR555">
        <v>1398</v>
      </c>
      <c r="CS555">
        <v>0.1024</v>
      </c>
      <c r="CT555">
        <v>0.89419999999999999</v>
      </c>
      <c r="CU555">
        <v>0.2361</v>
      </c>
      <c r="CV555">
        <v>5.6406999999999998</v>
      </c>
      <c r="CW555" t="s">
        <v>134</v>
      </c>
      <c r="CX555" t="s">
        <v>134</v>
      </c>
      <c r="CY555" t="s">
        <v>134</v>
      </c>
      <c r="CZ555" t="s">
        <v>134</v>
      </c>
      <c r="DA555" t="s">
        <v>134</v>
      </c>
      <c r="DB555" t="s">
        <v>134</v>
      </c>
      <c r="DC555" t="s">
        <v>134</v>
      </c>
      <c r="DD555" t="s">
        <v>134</v>
      </c>
      <c r="DE555">
        <v>4254.3</v>
      </c>
      <c r="DF555" t="s">
        <v>134</v>
      </c>
      <c r="DG555" t="s">
        <v>134</v>
      </c>
      <c r="DH555" t="s">
        <v>134</v>
      </c>
      <c r="DI555" t="s">
        <v>134</v>
      </c>
    </row>
    <row r="556" spans="1:113" x14ac:dyDescent="0.3">
      <c r="E556" t="s">
        <v>80</v>
      </c>
      <c r="F556" t="s">
        <v>134</v>
      </c>
      <c r="G556" t="s">
        <v>134</v>
      </c>
      <c r="H556" t="s">
        <v>134</v>
      </c>
      <c r="I556" t="s">
        <v>134</v>
      </c>
      <c r="J556">
        <v>9.0200999999999993</v>
      </c>
      <c r="K556">
        <v>7.8265000000000002</v>
      </c>
      <c r="L556" t="s">
        <v>134</v>
      </c>
      <c r="M556">
        <v>7.9973999999999998</v>
      </c>
      <c r="N556">
        <v>5.6616</v>
      </c>
      <c r="O556">
        <v>5.6616</v>
      </c>
      <c r="P556">
        <v>5.6616</v>
      </c>
      <c r="Q556">
        <v>29.2075</v>
      </c>
      <c r="R556" t="s">
        <v>134</v>
      </c>
      <c r="S556" t="s">
        <v>134</v>
      </c>
      <c r="T556" t="s">
        <v>134</v>
      </c>
      <c r="U556" t="s">
        <v>134</v>
      </c>
      <c r="V556" t="s">
        <v>134</v>
      </c>
      <c r="W556" t="s">
        <v>134</v>
      </c>
      <c r="X556" t="s">
        <v>134</v>
      </c>
      <c r="Y556" t="s">
        <v>134</v>
      </c>
      <c r="Z556" t="s">
        <v>134</v>
      </c>
      <c r="AA556" t="s">
        <v>134</v>
      </c>
      <c r="AB556" t="s">
        <v>134</v>
      </c>
      <c r="AC556" t="s">
        <v>134</v>
      </c>
      <c r="AD556" t="s">
        <v>134</v>
      </c>
      <c r="AE556" t="s">
        <v>134</v>
      </c>
      <c r="AF556" t="s">
        <v>134</v>
      </c>
      <c r="AG556" t="s">
        <v>134</v>
      </c>
      <c r="AH556" t="s">
        <v>134</v>
      </c>
      <c r="AI556" t="s">
        <v>134</v>
      </c>
      <c r="AJ556" t="s">
        <v>134</v>
      </c>
      <c r="AK556" t="s">
        <v>134</v>
      </c>
      <c r="AL556" t="s">
        <v>134</v>
      </c>
      <c r="AM556" t="s">
        <v>134</v>
      </c>
      <c r="AN556" t="s">
        <v>134</v>
      </c>
      <c r="AO556" t="s">
        <v>134</v>
      </c>
      <c r="AP556" t="s">
        <v>134</v>
      </c>
      <c r="AQ556" t="s">
        <v>134</v>
      </c>
      <c r="AR556" t="s">
        <v>134</v>
      </c>
      <c r="AS556" t="s">
        <v>134</v>
      </c>
      <c r="AT556" t="s">
        <v>134</v>
      </c>
      <c r="AU556" t="s">
        <v>134</v>
      </c>
      <c r="AV556" t="s">
        <v>134</v>
      </c>
      <c r="AW556" t="s">
        <v>134</v>
      </c>
      <c r="AX556" t="s">
        <v>134</v>
      </c>
      <c r="AY556" t="s">
        <v>134</v>
      </c>
      <c r="AZ556" t="s">
        <v>134</v>
      </c>
      <c r="BA556" t="s">
        <v>134</v>
      </c>
      <c r="BB556" t="s">
        <v>134</v>
      </c>
      <c r="BC556" t="s">
        <v>134</v>
      </c>
      <c r="BD556" t="s">
        <v>134</v>
      </c>
      <c r="BE556" t="s">
        <v>134</v>
      </c>
      <c r="BF556">
        <v>1.8075000000000001</v>
      </c>
      <c r="BG556">
        <v>-0.6341</v>
      </c>
      <c r="BH556">
        <v>-0.80110000000000003</v>
      </c>
      <c r="BI556">
        <v>2.7448000000000001</v>
      </c>
      <c r="BJ556">
        <v>2.9447999999999999</v>
      </c>
      <c r="BK556" t="s">
        <v>134</v>
      </c>
      <c r="BL556" t="s">
        <v>134</v>
      </c>
      <c r="BM556" t="s">
        <v>134</v>
      </c>
      <c r="BN556" t="s">
        <v>134</v>
      </c>
      <c r="BO556" t="s">
        <v>134</v>
      </c>
      <c r="BP556" t="s">
        <v>134</v>
      </c>
      <c r="BQ556" t="s">
        <v>134</v>
      </c>
      <c r="BR556" t="s">
        <v>134</v>
      </c>
      <c r="BS556" t="s">
        <v>134</v>
      </c>
      <c r="BT556" t="s">
        <v>134</v>
      </c>
      <c r="BU556" t="s">
        <v>134</v>
      </c>
      <c r="BV556" t="s">
        <v>134</v>
      </c>
      <c r="BW556" t="s">
        <v>134</v>
      </c>
      <c r="BX556" t="s">
        <v>134</v>
      </c>
      <c r="BY556" t="s">
        <v>134</v>
      </c>
      <c r="BZ556" t="s">
        <v>134</v>
      </c>
      <c r="CA556" t="s">
        <v>134</v>
      </c>
      <c r="CB556" t="s">
        <v>134</v>
      </c>
      <c r="CC556" t="s">
        <v>134</v>
      </c>
      <c r="CD556" t="s">
        <v>134</v>
      </c>
      <c r="CE556" t="s">
        <v>134</v>
      </c>
      <c r="CF556">
        <v>103.78570000000001</v>
      </c>
      <c r="CG556" t="s">
        <v>134</v>
      </c>
      <c r="CH556" t="s">
        <v>134</v>
      </c>
      <c r="CI556" t="s">
        <v>134</v>
      </c>
      <c r="CJ556" t="s">
        <v>134</v>
      </c>
      <c r="CK556" t="s">
        <v>134</v>
      </c>
      <c r="CL556" t="s">
        <v>134</v>
      </c>
      <c r="CM556" t="s">
        <v>134</v>
      </c>
      <c r="CN556" t="s">
        <v>134</v>
      </c>
      <c r="CO556" t="s">
        <v>134</v>
      </c>
      <c r="CP556">
        <v>1598.3</v>
      </c>
      <c r="CQ556" t="s">
        <v>134</v>
      </c>
      <c r="CR556">
        <v>1386.8</v>
      </c>
      <c r="CS556" t="s">
        <v>134</v>
      </c>
      <c r="CT556" t="s">
        <v>134</v>
      </c>
      <c r="CU556" t="s">
        <v>134</v>
      </c>
      <c r="CV556" t="s">
        <v>134</v>
      </c>
      <c r="CW556" t="s">
        <v>134</v>
      </c>
      <c r="CX556" t="s">
        <v>134</v>
      </c>
      <c r="CY556" t="s">
        <v>134</v>
      </c>
      <c r="CZ556" t="s">
        <v>134</v>
      </c>
      <c r="DA556" t="s">
        <v>134</v>
      </c>
      <c r="DB556" t="s">
        <v>134</v>
      </c>
      <c r="DC556" t="s">
        <v>134</v>
      </c>
      <c r="DD556" t="s">
        <v>134</v>
      </c>
      <c r="DE556" t="s">
        <v>134</v>
      </c>
      <c r="DF556" t="s">
        <v>134</v>
      </c>
      <c r="DG556" t="s">
        <v>134</v>
      </c>
      <c r="DH556" t="s">
        <v>134</v>
      </c>
      <c r="DI556" t="s">
        <v>134</v>
      </c>
    </row>
    <row r="557" spans="1:113" x14ac:dyDescent="0.3">
      <c r="E557" t="s">
        <v>81</v>
      </c>
      <c r="F557" t="s">
        <v>134</v>
      </c>
      <c r="G557" t="s">
        <v>134</v>
      </c>
      <c r="H557" t="s">
        <v>134</v>
      </c>
      <c r="I557" t="s">
        <v>134</v>
      </c>
      <c r="J557">
        <v>9.4796999999999993</v>
      </c>
      <c r="K557">
        <v>8.2750000000000004</v>
      </c>
      <c r="L557" t="s">
        <v>134</v>
      </c>
      <c r="M557">
        <v>8.8107000000000006</v>
      </c>
      <c r="N557">
        <v>6.0811999999999999</v>
      </c>
      <c r="O557">
        <v>6.0575999999999999</v>
      </c>
      <c r="P557">
        <v>6.0575999999999999</v>
      </c>
      <c r="Q557">
        <v>30.953399999999998</v>
      </c>
      <c r="R557" t="s">
        <v>134</v>
      </c>
      <c r="S557" t="s">
        <v>134</v>
      </c>
      <c r="T557" t="s">
        <v>134</v>
      </c>
      <c r="U557" t="s">
        <v>134</v>
      </c>
      <c r="V557" t="s">
        <v>134</v>
      </c>
      <c r="W557" t="s">
        <v>134</v>
      </c>
      <c r="X557" t="s">
        <v>134</v>
      </c>
      <c r="Y557" t="s">
        <v>134</v>
      </c>
      <c r="Z557" t="s">
        <v>134</v>
      </c>
      <c r="AA557" t="s">
        <v>134</v>
      </c>
      <c r="AB557" t="s">
        <v>134</v>
      </c>
      <c r="AC557" t="s">
        <v>134</v>
      </c>
      <c r="AD557" t="s">
        <v>134</v>
      </c>
      <c r="AE557" t="s">
        <v>134</v>
      </c>
      <c r="AF557" t="s">
        <v>134</v>
      </c>
      <c r="AG557" t="s">
        <v>134</v>
      </c>
      <c r="AH557" t="s">
        <v>134</v>
      </c>
      <c r="AI557" t="s">
        <v>134</v>
      </c>
      <c r="AJ557" t="s">
        <v>134</v>
      </c>
      <c r="AK557" t="s">
        <v>134</v>
      </c>
      <c r="AL557" t="s">
        <v>134</v>
      </c>
      <c r="AM557" t="s">
        <v>134</v>
      </c>
      <c r="AN557" t="s">
        <v>134</v>
      </c>
      <c r="AO557" t="s">
        <v>134</v>
      </c>
      <c r="AP557" t="s">
        <v>134</v>
      </c>
      <c r="AQ557" t="s">
        <v>134</v>
      </c>
      <c r="AR557" t="s">
        <v>134</v>
      </c>
      <c r="AS557" t="s">
        <v>134</v>
      </c>
      <c r="AT557" t="s">
        <v>134</v>
      </c>
      <c r="AU557" t="s">
        <v>134</v>
      </c>
      <c r="AV557" t="s">
        <v>134</v>
      </c>
      <c r="AW557" t="s">
        <v>134</v>
      </c>
      <c r="AX557" t="s">
        <v>134</v>
      </c>
      <c r="AY557" t="s">
        <v>134</v>
      </c>
      <c r="AZ557" t="s">
        <v>134</v>
      </c>
      <c r="BA557" t="s">
        <v>134</v>
      </c>
      <c r="BB557" t="s">
        <v>134</v>
      </c>
      <c r="BC557" t="s">
        <v>134</v>
      </c>
      <c r="BD557" t="s">
        <v>134</v>
      </c>
      <c r="BE557" t="s">
        <v>134</v>
      </c>
      <c r="BF557">
        <v>0.3014</v>
      </c>
      <c r="BG557">
        <v>5.4119999999999999</v>
      </c>
      <c r="BH557">
        <v>6.0499000000000001</v>
      </c>
      <c r="BI557">
        <v>7.3166000000000002</v>
      </c>
      <c r="BJ557">
        <v>7.0321999999999996</v>
      </c>
      <c r="BK557" t="s">
        <v>134</v>
      </c>
      <c r="BL557" t="s">
        <v>134</v>
      </c>
      <c r="BM557" t="s">
        <v>134</v>
      </c>
      <c r="BN557" t="s">
        <v>134</v>
      </c>
      <c r="BO557" t="s">
        <v>134</v>
      </c>
      <c r="BP557" t="s">
        <v>134</v>
      </c>
      <c r="BQ557" t="s">
        <v>134</v>
      </c>
      <c r="BR557" t="s">
        <v>134</v>
      </c>
      <c r="BS557" t="s">
        <v>134</v>
      </c>
      <c r="BT557" t="s">
        <v>134</v>
      </c>
      <c r="BU557" t="s">
        <v>134</v>
      </c>
      <c r="BV557" t="s">
        <v>134</v>
      </c>
      <c r="BW557" t="s">
        <v>134</v>
      </c>
      <c r="BX557" t="s">
        <v>134</v>
      </c>
      <c r="BY557">
        <v>1497.6</v>
      </c>
      <c r="BZ557">
        <v>1213.4000000000001</v>
      </c>
      <c r="CA557">
        <v>284.2</v>
      </c>
      <c r="CB557">
        <v>0.2389</v>
      </c>
      <c r="CC557">
        <v>-0.19420000000000001</v>
      </c>
      <c r="CD557">
        <v>0.27550000000000002</v>
      </c>
      <c r="CE557">
        <v>-0.22389999999999999</v>
      </c>
      <c r="CF557">
        <v>112.32</v>
      </c>
      <c r="CG557">
        <v>37.881300000000003</v>
      </c>
      <c r="CH557">
        <v>3.5503</v>
      </c>
      <c r="CI557">
        <v>2.9908000000000001</v>
      </c>
      <c r="CJ557">
        <v>1.3489</v>
      </c>
      <c r="CK557">
        <v>18.708500000000001</v>
      </c>
      <c r="CL557">
        <v>15.7601</v>
      </c>
      <c r="CM557">
        <v>7.1082000000000001</v>
      </c>
      <c r="CN557">
        <v>-15.2044</v>
      </c>
      <c r="CO557">
        <v>-17.930700000000002</v>
      </c>
      <c r="CP557">
        <v>1684.8</v>
      </c>
      <c r="CQ557" t="s">
        <v>134</v>
      </c>
      <c r="CR557">
        <v>1470.7</v>
      </c>
      <c r="CS557">
        <v>0.21790000000000001</v>
      </c>
      <c r="CT557">
        <v>0.83909999999999996</v>
      </c>
      <c r="CU557">
        <v>0.30509999999999998</v>
      </c>
      <c r="CV557">
        <v>9.1953999999999994</v>
      </c>
      <c r="CW557" t="s">
        <v>134</v>
      </c>
      <c r="CX557" t="s">
        <v>134</v>
      </c>
      <c r="CY557" t="s">
        <v>134</v>
      </c>
      <c r="CZ557" t="s">
        <v>134</v>
      </c>
      <c r="DA557" t="s">
        <v>134</v>
      </c>
      <c r="DB557" t="s">
        <v>134</v>
      </c>
      <c r="DC557" t="s">
        <v>134</v>
      </c>
      <c r="DD557" t="s">
        <v>134</v>
      </c>
      <c r="DE557">
        <v>4202.7</v>
      </c>
      <c r="DF557">
        <v>1685.9</v>
      </c>
      <c r="DG557">
        <v>3.7</v>
      </c>
      <c r="DH557">
        <v>1571.2</v>
      </c>
      <c r="DI557">
        <v>941.9</v>
      </c>
    </row>
    <row r="558" spans="1:113" x14ac:dyDescent="0.3">
      <c r="D558" t="s">
        <v>82</v>
      </c>
      <c r="E558" t="s">
        <v>77</v>
      </c>
      <c r="F558">
        <v>67.407300000000006</v>
      </c>
      <c r="G558">
        <v>28.1065</v>
      </c>
      <c r="H558">
        <v>59.029400000000003</v>
      </c>
      <c r="I558">
        <v>43.181699999999999</v>
      </c>
      <c r="J558">
        <v>11.1113</v>
      </c>
      <c r="K558">
        <v>9.2530000000000001</v>
      </c>
      <c r="L558">
        <v>18.437899999999999</v>
      </c>
      <c r="M558">
        <v>12.213200000000001</v>
      </c>
      <c r="N558">
        <v>8.8575999999999997</v>
      </c>
      <c r="O558">
        <v>8.8569999999999993</v>
      </c>
      <c r="P558">
        <v>8.8569999999999993</v>
      </c>
      <c r="Q558">
        <v>27.4971</v>
      </c>
      <c r="R558">
        <v>27.863600000000002</v>
      </c>
      <c r="S558">
        <v>48.6252</v>
      </c>
      <c r="T558">
        <v>13.848700000000001</v>
      </c>
      <c r="U558">
        <v>37.514899999999997</v>
      </c>
      <c r="V558">
        <v>31.993400000000001</v>
      </c>
      <c r="W558">
        <v>74.184899999999999</v>
      </c>
      <c r="X558">
        <v>73.969700000000003</v>
      </c>
      <c r="Y558">
        <v>33.333300000000001</v>
      </c>
      <c r="Z558">
        <v>24.940200000000001</v>
      </c>
      <c r="AA558">
        <v>-3.8618000000000001</v>
      </c>
      <c r="AB558">
        <v>-7.5431999999999997</v>
      </c>
      <c r="AC558">
        <v>32.582900000000002</v>
      </c>
      <c r="AD558">
        <v>-490.07940000000002</v>
      </c>
      <c r="AE558" t="s">
        <v>134</v>
      </c>
      <c r="AF558">
        <v>26.357600000000001</v>
      </c>
      <c r="AG558">
        <v>-16.152999999999999</v>
      </c>
      <c r="AH558">
        <v>-3.1316999999999999</v>
      </c>
      <c r="AI558">
        <v>55.847000000000001</v>
      </c>
      <c r="AJ558">
        <v>46.552</v>
      </c>
      <c r="AK558">
        <v>56.007300000000001</v>
      </c>
      <c r="AL558">
        <v>-9.5356000000000005</v>
      </c>
      <c r="AM558">
        <v>15.5595</v>
      </c>
      <c r="AN558">
        <v>36.402099999999997</v>
      </c>
      <c r="AO558">
        <v>41.972000000000001</v>
      </c>
      <c r="AP558">
        <v>46.177100000000003</v>
      </c>
      <c r="AQ558">
        <v>46.047699999999999</v>
      </c>
      <c r="AR558">
        <v>26.191500000000001</v>
      </c>
      <c r="AS558">
        <v>13.137499999999999</v>
      </c>
      <c r="AT558">
        <v>5.8398000000000003</v>
      </c>
      <c r="AU558">
        <v>13.357799999999999</v>
      </c>
      <c r="AV558">
        <v>13.0418</v>
      </c>
      <c r="AW558" t="s">
        <v>134</v>
      </c>
      <c r="AX558" t="s">
        <v>134</v>
      </c>
      <c r="AY558">
        <v>34.225999999999999</v>
      </c>
      <c r="AZ558">
        <v>11.709300000000001</v>
      </c>
      <c r="BA558">
        <v>-26.072299999999998</v>
      </c>
      <c r="BB558">
        <v>34.355699999999999</v>
      </c>
      <c r="BC558">
        <v>8.1342999999999996</v>
      </c>
      <c r="BD558">
        <v>34.400700000000001</v>
      </c>
      <c r="BE558">
        <v>19.495100000000001</v>
      </c>
      <c r="BF558">
        <v>13.848700000000001</v>
      </c>
      <c r="BG558">
        <v>37.514899999999997</v>
      </c>
      <c r="BH558">
        <v>31.993400000000001</v>
      </c>
      <c r="BI558">
        <v>74.184899999999999</v>
      </c>
      <c r="BJ558">
        <v>73.969700000000003</v>
      </c>
      <c r="BK558">
        <v>33.333300000000001</v>
      </c>
      <c r="BL558">
        <v>24.940200000000001</v>
      </c>
      <c r="BM558">
        <v>-3.8618000000000001</v>
      </c>
      <c r="BN558">
        <v>-7.5431999999999997</v>
      </c>
      <c r="BO558">
        <v>32.582900000000002</v>
      </c>
      <c r="BP558" t="s">
        <v>134</v>
      </c>
      <c r="BQ558" t="s">
        <v>134</v>
      </c>
      <c r="BR558">
        <v>26.357600000000001</v>
      </c>
      <c r="BS558">
        <v>-16.152999999999999</v>
      </c>
      <c r="BT558">
        <v>-3.1316999999999999</v>
      </c>
      <c r="BU558">
        <v>55.847000000000001</v>
      </c>
      <c r="BV558">
        <v>46.552</v>
      </c>
      <c r="BW558">
        <v>56.007300000000001</v>
      </c>
      <c r="BX558">
        <v>-9.5356000000000005</v>
      </c>
      <c r="BY558">
        <v>1450.7</v>
      </c>
      <c r="BZ558">
        <v>1017.4</v>
      </c>
      <c r="CA558">
        <v>433.3</v>
      </c>
      <c r="CB558">
        <v>0.16789999999999999</v>
      </c>
      <c r="CC558">
        <v>-0.59940000000000004</v>
      </c>
      <c r="CD558">
        <v>0.2016</v>
      </c>
      <c r="CE558">
        <v>-0.71970000000000001</v>
      </c>
      <c r="CF558">
        <v>223.8109</v>
      </c>
      <c r="CG558">
        <v>44.574100000000001</v>
      </c>
      <c r="CH558">
        <v>3.4731999999999998</v>
      </c>
      <c r="CI558">
        <v>3.1114000000000002</v>
      </c>
      <c r="CJ558">
        <v>1.5512000000000001</v>
      </c>
      <c r="CK558">
        <v>11.628500000000001</v>
      </c>
      <c r="CL558">
        <v>10.4171</v>
      </c>
      <c r="CM558">
        <v>5.1933999999999996</v>
      </c>
      <c r="CN558">
        <v>-41.504899999999999</v>
      </c>
      <c r="CO558">
        <v>-70.954400000000007</v>
      </c>
      <c r="CP558">
        <v>8639.1</v>
      </c>
      <c r="CQ558">
        <v>7462.4</v>
      </c>
      <c r="CR558">
        <v>7194.3</v>
      </c>
      <c r="CS558">
        <v>0.44879999999999998</v>
      </c>
      <c r="CT558">
        <v>1.1328</v>
      </c>
      <c r="CU558">
        <v>0.54079999999999995</v>
      </c>
      <c r="CV558">
        <v>14.374599999999999</v>
      </c>
      <c r="CW558">
        <v>63.597299999999997</v>
      </c>
      <c r="CX558">
        <v>5.7392000000000003</v>
      </c>
      <c r="CY558">
        <v>11.4574</v>
      </c>
      <c r="CZ558">
        <v>31.857199999999999</v>
      </c>
      <c r="DA558">
        <v>7.4691999999999998</v>
      </c>
      <c r="DB558">
        <v>48.867600000000003</v>
      </c>
      <c r="DC558">
        <v>-11.2712</v>
      </c>
      <c r="DD558">
        <v>37.596499999999999</v>
      </c>
      <c r="DE558">
        <v>4040.4</v>
      </c>
      <c r="DF558">
        <v>1237.4000000000001</v>
      </c>
      <c r="DG558">
        <v>3.6</v>
      </c>
      <c r="DH558">
        <v>1882.2</v>
      </c>
      <c r="DI558">
        <v>917.2</v>
      </c>
    </row>
    <row r="559" spans="1:113" x14ac:dyDescent="0.3">
      <c r="E559" t="s">
        <v>78</v>
      </c>
      <c r="F559" t="s">
        <v>134</v>
      </c>
      <c r="G559" t="s">
        <v>134</v>
      </c>
      <c r="H559" t="s">
        <v>134</v>
      </c>
      <c r="I559" t="s">
        <v>134</v>
      </c>
      <c r="J559">
        <v>9.5677000000000003</v>
      </c>
      <c r="K559">
        <v>7.7743000000000002</v>
      </c>
      <c r="L559">
        <v>8.4417000000000009</v>
      </c>
      <c r="M559">
        <v>8.9381000000000004</v>
      </c>
      <c r="N559">
        <v>6.4119000000000002</v>
      </c>
      <c r="O559">
        <v>6.4119000000000002</v>
      </c>
      <c r="P559">
        <v>6.4119000000000002</v>
      </c>
      <c r="Q559">
        <v>28.218900000000001</v>
      </c>
      <c r="R559" t="s">
        <v>134</v>
      </c>
      <c r="S559" t="s">
        <v>134</v>
      </c>
      <c r="T559">
        <v>15.1343</v>
      </c>
      <c r="U559">
        <v>23.157399999999999</v>
      </c>
      <c r="V559">
        <v>16.649699999999999</v>
      </c>
      <c r="W559">
        <v>27.008600000000001</v>
      </c>
      <c r="X559">
        <v>26.537700000000001</v>
      </c>
      <c r="Y559" t="s">
        <v>134</v>
      </c>
      <c r="Z559" t="s">
        <v>134</v>
      </c>
      <c r="AA559" t="s">
        <v>134</v>
      </c>
      <c r="AB559" t="s">
        <v>134</v>
      </c>
      <c r="AC559" t="s">
        <v>134</v>
      </c>
      <c r="AD559" t="s">
        <v>134</v>
      </c>
      <c r="AE559" t="s">
        <v>134</v>
      </c>
      <c r="AF559" t="s">
        <v>134</v>
      </c>
      <c r="AG559" t="s">
        <v>134</v>
      </c>
      <c r="AH559" t="s">
        <v>134</v>
      </c>
      <c r="AI559" t="s">
        <v>134</v>
      </c>
      <c r="AJ559" t="s">
        <v>134</v>
      </c>
      <c r="AK559" t="s">
        <v>134</v>
      </c>
      <c r="AL559" t="s">
        <v>134</v>
      </c>
      <c r="AM559" t="s">
        <v>134</v>
      </c>
      <c r="AN559" t="s">
        <v>134</v>
      </c>
      <c r="AO559" t="s">
        <v>134</v>
      </c>
      <c r="AP559" t="s">
        <v>134</v>
      </c>
      <c r="AQ559" t="s">
        <v>134</v>
      </c>
      <c r="AR559" t="s">
        <v>134</v>
      </c>
      <c r="AS559" t="s">
        <v>134</v>
      </c>
      <c r="AT559" t="s">
        <v>134</v>
      </c>
      <c r="AU559" t="s">
        <v>134</v>
      </c>
      <c r="AV559" t="s">
        <v>134</v>
      </c>
      <c r="AW559" t="s">
        <v>134</v>
      </c>
      <c r="AX559" t="s">
        <v>134</v>
      </c>
      <c r="AY559" t="s">
        <v>134</v>
      </c>
      <c r="AZ559" t="s">
        <v>134</v>
      </c>
      <c r="BA559" t="s">
        <v>134</v>
      </c>
      <c r="BB559" t="s">
        <v>134</v>
      </c>
      <c r="BC559" t="s">
        <v>134</v>
      </c>
      <c r="BD559" t="s">
        <v>134</v>
      </c>
      <c r="BE559" t="s">
        <v>134</v>
      </c>
      <c r="BF559">
        <v>-0.2616</v>
      </c>
      <c r="BG559">
        <v>0.66479999999999995</v>
      </c>
      <c r="BH559">
        <v>-6.2963000000000005</v>
      </c>
      <c r="BI559">
        <v>5.5731000000000002</v>
      </c>
      <c r="BJ559">
        <v>5.5678999999999998</v>
      </c>
      <c r="BK559" t="s">
        <v>134</v>
      </c>
      <c r="BL559" t="s">
        <v>134</v>
      </c>
      <c r="BM559" t="s">
        <v>134</v>
      </c>
      <c r="BN559" t="s">
        <v>134</v>
      </c>
      <c r="BO559" t="s">
        <v>134</v>
      </c>
      <c r="BP559" t="s">
        <v>134</v>
      </c>
      <c r="BQ559" t="s">
        <v>134</v>
      </c>
      <c r="BR559" t="s">
        <v>134</v>
      </c>
      <c r="BS559" t="s">
        <v>134</v>
      </c>
      <c r="BT559" t="s">
        <v>134</v>
      </c>
      <c r="BU559" t="s">
        <v>134</v>
      </c>
      <c r="BV559" t="s">
        <v>134</v>
      </c>
      <c r="BW559" t="s">
        <v>134</v>
      </c>
      <c r="BX559" t="s">
        <v>134</v>
      </c>
      <c r="BY559" t="s">
        <v>134</v>
      </c>
      <c r="BZ559" t="s">
        <v>134</v>
      </c>
      <c r="CA559" t="s">
        <v>134</v>
      </c>
      <c r="CB559" t="s">
        <v>134</v>
      </c>
      <c r="CC559" t="s">
        <v>134</v>
      </c>
      <c r="CD559" t="s">
        <v>134</v>
      </c>
      <c r="CE559" t="s">
        <v>134</v>
      </c>
      <c r="CF559">
        <v>174.84540000000001</v>
      </c>
      <c r="CG559" t="s">
        <v>134</v>
      </c>
      <c r="CH559" t="s">
        <v>134</v>
      </c>
      <c r="CI559" t="s">
        <v>134</v>
      </c>
      <c r="CJ559" t="s">
        <v>134</v>
      </c>
      <c r="CK559" t="s">
        <v>134</v>
      </c>
      <c r="CL559" t="s">
        <v>134</v>
      </c>
      <c r="CM559" t="s">
        <v>134</v>
      </c>
      <c r="CN559" t="s">
        <v>134</v>
      </c>
      <c r="CO559" t="s">
        <v>134</v>
      </c>
      <c r="CP559">
        <v>1696</v>
      </c>
      <c r="CQ559" t="s">
        <v>134</v>
      </c>
      <c r="CR559">
        <v>1378.1</v>
      </c>
      <c r="CS559" t="s">
        <v>134</v>
      </c>
      <c r="CT559" t="s">
        <v>134</v>
      </c>
      <c r="CU559" t="s">
        <v>134</v>
      </c>
      <c r="CV559" t="s">
        <v>134</v>
      </c>
      <c r="CW559" t="s">
        <v>134</v>
      </c>
      <c r="CX559" t="s">
        <v>134</v>
      </c>
      <c r="CY559" t="s">
        <v>134</v>
      </c>
      <c r="CZ559" t="s">
        <v>134</v>
      </c>
      <c r="DA559" t="s">
        <v>134</v>
      </c>
      <c r="DB559" t="s">
        <v>134</v>
      </c>
      <c r="DC559" t="s">
        <v>134</v>
      </c>
      <c r="DD559" t="s">
        <v>134</v>
      </c>
      <c r="DE559" t="s">
        <v>134</v>
      </c>
      <c r="DF559" t="s">
        <v>134</v>
      </c>
      <c r="DG559" t="s">
        <v>134</v>
      </c>
      <c r="DH559" t="s">
        <v>134</v>
      </c>
      <c r="DI559" t="s">
        <v>134</v>
      </c>
    </row>
    <row r="560" spans="1:113" x14ac:dyDescent="0.3">
      <c r="E560" t="s">
        <v>79</v>
      </c>
      <c r="F560">
        <v>61.484900000000003</v>
      </c>
      <c r="G560">
        <v>27.063700000000001</v>
      </c>
      <c r="H560" t="s">
        <v>134</v>
      </c>
      <c r="I560">
        <v>38.9163</v>
      </c>
      <c r="J560">
        <v>11.256600000000001</v>
      </c>
      <c r="K560">
        <v>9.6824999999999992</v>
      </c>
      <c r="L560">
        <v>23.041899999999998</v>
      </c>
      <c r="M560">
        <v>18.7468</v>
      </c>
      <c r="N560">
        <v>13.813000000000001</v>
      </c>
      <c r="O560">
        <v>13.8309</v>
      </c>
      <c r="P560">
        <v>13.8309</v>
      </c>
      <c r="Q560">
        <v>26.299099999999999</v>
      </c>
      <c r="R560" t="s">
        <v>134</v>
      </c>
      <c r="S560" t="s">
        <v>134</v>
      </c>
      <c r="T560">
        <v>12.3529</v>
      </c>
      <c r="U560">
        <v>36.847999999999999</v>
      </c>
      <c r="V560">
        <v>35.436300000000003</v>
      </c>
      <c r="W560">
        <v>176.99709999999999</v>
      </c>
      <c r="X560">
        <v>176.68709999999999</v>
      </c>
      <c r="Y560" t="s">
        <v>134</v>
      </c>
      <c r="Z560">
        <v>-6.2815000000000003</v>
      </c>
      <c r="AA560">
        <v>-0.42549999999999999</v>
      </c>
      <c r="AB560">
        <v>-3.6459999999999999</v>
      </c>
      <c r="AC560">
        <v>28.9876</v>
      </c>
      <c r="AD560" t="s">
        <v>134</v>
      </c>
      <c r="AE560" t="s">
        <v>134</v>
      </c>
      <c r="AF560">
        <v>18.428799999999999</v>
      </c>
      <c r="AG560">
        <v>-24.920100000000001</v>
      </c>
      <c r="AH560">
        <v>-21.743600000000001</v>
      </c>
      <c r="AI560">
        <v>55.177500000000002</v>
      </c>
      <c r="AJ560">
        <v>40.815600000000003</v>
      </c>
      <c r="AK560">
        <v>54.725700000000003</v>
      </c>
      <c r="AL560" t="s">
        <v>134</v>
      </c>
      <c r="AM560" t="s">
        <v>134</v>
      </c>
      <c r="AN560" t="s">
        <v>134</v>
      </c>
      <c r="AO560" t="s">
        <v>134</v>
      </c>
      <c r="AP560" t="s">
        <v>134</v>
      </c>
      <c r="AQ560" t="s">
        <v>134</v>
      </c>
      <c r="AR560" t="s">
        <v>134</v>
      </c>
      <c r="AS560" t="s">
        <v>134</v>
      </c>
      <c r="AT560" t="s">
        <v>134</v>
      </c>
      <c r="AU560" t="s">
        <v>134</v>
      </c>
      <c r="AV560" t="s">
        <v>134</v>
      </c>
      <c r="AW560" t="s">
        <v>134</v>
      </c>
      <c r="AX560" t="s">
        <v>134</v>
      </c>
      <c r="AY560" t="s">
        <v>134</v>
      </c>
      <c r="AZ560" t="s">
        <v>134</v>
      </c>
      <c r="BA560" t="s">
        <v>134</v>
      </c>
      <c r="BB560" t="s">
        <v>134</v>
      </c>
      <c r="BC560" t="s">
        <v>134</v>
      </c>
      <c r="BD560" t="s">
        <v>134</v>
      </c>
      <c r="BE560" t="s">
        <v>134</v>
      </c>
      <c r="BF560">
        <v>10.315200000000001</v>
      </c>
      <c r="BG560">
        <v>29.787700000000001</v>
      </c>
      <c r="BH560">
        <v>37.392099999999999</v>
      </c>
      <c r="BI560">
        <v>137.95529999999999</v>
      </c>
      <c r="BJ560">
        <v>137.86920000000001</v>
      </c>
      <c r="BK560" t="s">
        <v>134</v>
      </c>
      <c r="BL560" t="s">
        <v>134</v>
      </c>
      <c r="BM560" t="s">
        <v>134</v>
      </c>
      <c r="BN560" t="s">
        <v>134</v>
      </c>
      <c r="BO560" t="s">
        <v>134</v>
      </c>
      <c r="BP560" t="s">
        <v>134</v>
      </c>
      <c r="BQ560" t="s">
        <v>134</v>
      </c>
      <c r="BR560" t="s">
        <v>134</v>
      </c>
      <c r="BS560" t="s">
        <v>134</v>
      </c>
      <c r="BT560" t="s">
        <v>134</v>
      </c>
      <c r="BU560" t="s">
        <v>134</v>
      </c>
      <c r="BV560" t="s">
        <v>134</v>
      </c>
      <c r="BW560" t="s">
        <v>134</v>
      </c>
      <c r="BX560" t="s">
        <v>134</v>
      </c>
      <c r="BY560">
        <v>1359</v>
      </c>
      <c r="BZ560">
        <v>1081</v>
      </c>
      <c r="CA560">
        <v>278</v>
      </c>
      <c r="CB560">
        <v>0.1893</v>
      </c>
      <c r="CC560">
        <v>-0.54369999999999996</v>
      </c>
      <c r="CD560">
        <v>0.22170000000000001</v>
      </c>
      <c r="CE560">
        <v>-0.63700000000000001</v>
      </c>
      <c r="CF560">
        <v>201.94499999999999</v>
      </c>
      <c r="CG560">
        <v>47.5426</v>
      </c>
      <c r="CH560">
        <v>2.3683000000000001</v>
      </c>
      <c r="CI560">
        <v>2.1225999999999998</v>
      </c>
      <c r="CJ560">
        <v>1.1278999999999999</v>
      </c>
      <c r="CK560">
        <v>11.577400000000001</v>
      </c>
      <c r="CL560">
        <v>10.376099999999999</v>
      </c>
      <c r="CM560">
        <v>5.5137</v>
      </c>
      <c r="CN560">
        <v>-33.2592</v>
      </c>
      <c r="CO560">
        <v>-49.833399999999997</v>
      </c>
      <c r="CP560">
        <v>2201.1999999999998</v>
      </c>
      <c r="CQ560" t="s">
        <v>134</v>
      </c>
      <c r="CR560">
        <v>1893.4</v>
      </c>
      <c r="CS560">
        <v>0.42480000000000001</v>
      </c>
      <c r="CT560">
        <v>1.1631</v>
      </c>
      <c r="CU560">
        <v>0.51939999999999997</v>
      </c>
      <c r="CV560">
        <v>12.534599999999999</v>
      </c>
      <c r="CW560">
        <v>60.120899999999999</v>
      </c>
      <c r="CX560">
        <v>6.0711000000000004</v>
      </c>
      <c r="CY560">
        <v>10.5886</v>
      </c>
      <c r="CZ560">
        <v>34.4709</v>
      </c>
      <c r="DA560">
        <v>7.6463000000000001</v>
      </c>
      <c r="DB560">
        <v>47.735700000000001</v>
      </c>
      <c r="DC560">
        <v>-7.1936999999999998</v>
      </c>
      <c r="DD560">
        <v>40.542000000000002</v>
      </c>
      <c r="DE560">
        <v>4236.2</v>
      </c>
      <c r="DF560" t="s">
        <v>134</v>
      </c>
      <c r="DG560" t="s">
        <v>134</v>
      </c>
      <c r="DH560" t="s">
        <v>134</v>
      </c>
      <c r="DI560" t="s">
        <v>134</v>
      </c>
    </row>
    <row r="561" spans="4:113" x14ac:dyDescent="0.3">
      <c r="E561" t="s">
        <v>80</v>
      </c>
      <c r="F561" t="s">
        <v>134</v>
      </c>
      <c r="G561" t="s">
        <v>134</v>
      </c>
      <c r="H561" t="s">
        <v>134</v>
      </c>
      <c r="I561" t="s">
        <v>134</v>
      </c>
      <c r="J561">
        <v>10.893000000000001</v>
      </c>
      <c r="K561">
        <v>9.2787000000000006</v>
      </c>
      <c r="L561">
        <v>19.859400000000001</v>
      </c>
      <c r="M561">
        <v>9.6028000000000002</v>
      </c>
      <c r="N561">
        <v>6.8064</v>
      </c>
      <c r="O561">
        <v>6.8124000000000002</v>
      </c>
      <c r="P561">
        <v>6.8124000000000002</v>
      </c>
      <c r="Q561">
        <v>29.088899999999999</v>
      </c>
      <c r="R561" t="s">
        <v>134</v>
      </c>
      <c r="S561" t="s">
        <v>134</v>
      </c>
      <c r="T561">
        <v>13.7256</v>
      </c>
      <c r="U561">
        <v>37.339700000000001</v>
      </c>
      <c r="V561">
        <v>34.828400000000002</v>
      </c>
      <c r="W561">
        <v>36.842100000000002</v>
      </c>
      <c r="X561">
        <v>36.352800000000002</v>
      </c>
      <c r="Y561" t="s">
        <v>134</v>
      </c>
      <c r="Z561" t="s">
        <v>134</v>
      </c>
      <c r="AA561" t="s">
        <v>134</v>
      </c>
      <c r="AB561" t="s">
        <v>134</v>
      </c>
      <c r="AC561" t="s">
        <v>134</v>
      </c>
      <c r="AD561" t="s">
        <v>134</v>
      </c>
      <c r="AE561" t="s">
        <v>134</v>
      </c>
      <c r="AF561" t="s">
        <v>134</v>
      </c>
      <c r="AG561" t="s">
        <v>134</v>
      </c>
      <c r="AH561" t="s">
        <v>134</v>
      </c>
      <c r="AI561" t="s">
        <v>134</v>
      </c>
      <c r="AJ561" t="s">
        <v>134</v>
      </c>
      <c r="AK561" t="s">
        <v>134</v>
      </c>
      <c r="AL561" t="s">
        <v>134</v>
      </c>
      <c r="AM561" t="s">
        <v>134</v>
      </c>
      <c r="AN561" t="s">
        <v>134</v>
      </c>
      <c r="AO561" t="s">
        <v>134</v>
      </c>
      <c r="AP561" t="s">
        <v>134</v>
      </c>
      <c r="AQ561" t="s">
        <v>134</v>
      </c>
      <c r="AR561" t="s">
        <v>134</v>
      </c>
      <c r="AS561" t="s">
        <v>134</v>
      </c>
      <c r="AT561" t="s">
        <v>134</v>
      </c>
      <c r="AU561" t="s">
        <v>134</v>
      </c>
      <c r="AV561" t="s">
        <v>134</v>
      </c>
      <c r="AW561" t="s">
        <v>134</v>
      </c>
      <c r="AX561" t="s">
        <v>134</v>
      </c>
      <c r="AY561" t="s">
        <v>134</v>
      </c>
      <c r="AZ561" t="s">
        <v>134</v>
      </c>
      <c r="BA561" t="s">
        <v>134</v>
      </c>
      <c r="BB561" t="s">
        <v>134</v>
      </c>
      <c r="BC561" t="s">
        <v>134</v>
      </c>
      <c r="BD561" t="s">
        <v>134</v>
      </c>
      <c r="BE561" t="s">
        <v>134</v>
      </c>
      <c r="BF561">
        <v>3.0514000000000001</v>
      </c>
      <c r="BG561">
        <v>-0.27710000000000001</v>
      </c>
      <c r="BH561">
        <v>-1.2464</v>
      </c>
      <c r="BI561">
        <v>-49.241999999999997</v>
      </c>
      <c r="BJ561">
        <v>-49.268299999999996</v>
      </c>
      <c r="BK561" t="s">
        <v>134</v>
      </c>
      <c r="BL561" t="s">
        <v>134</v>
      </c>
      <c r="BM561" t="s">
        <v>134</v>
      </c>
      <c r="BN561" t="s">
        <v>134</v>
      </c>
      <c r="BO561" t="s">
        <v>134</v>
      </c>
      <c r="BP561" t="s">
        <v>134</v>
      </c>
      <c r="BQ561" t="s">
        <v>134</v>
      </c>
      <c r="BR561" t="s">
        <v>134</v>
      </c>
      <c r="BS561" t="s">
        <v>134</v>
      </c>
      <c r="BT561" t="s">
        <v>134</v>
      </c>
      <c r="BU561" t="s">
        <v>134</v>
      </c>
      <c r="BV561" t="s">
        <v>134</v>
      </c>
      <c r="BW561" t="s">
        <v>134</v>
      </c>
      <c r="BX561" t="s">
        <v>134</v>
      </c>
      <c r="BY561" t="s">
        <v>134</v>
      </c>
      <c r="BZ561" t="s">
        <v>134</v>
      </c>
      <c r="CA561" t="s">
        <v>134</v>
      </c>
      <c r="CB561" t="s">
        <v>134</v>
      </c>
      <c r="CC561" t="s">
        <v>134</v>
      </c>
      <c r="CD561" t="s">
        <v>134</v>
      </c>
      <c r="CE561" t="s">
        <v>134</v>
      </c>
      <c r="CF561">
        <v>221.72730000000001</v>
      </c>
      <c r="CG561" t="s">
        <v>134</v>
      </c>
      <c r="CH561" t="s">
        <v>134</v>
      </c>
      <c r="CI561" t="s">
        <v>134</v>
      </c>
      <c r="CJ561" t="s">
        <v>134</v>
      </c>
      <c r="CK561" t="s">
        <v>134</v>
      </c>
      <c r="CL561" t="s">
        <v>134</v>
      </c>
      <c r="CM561" t="s">
        <v>134</v>
      </c>
      <c r="CN561" t="s">
        <v>134</v>
      </c>
      <c r="CO561" t="s">
        <v>134</v>
      </c>
      <c r="CP561">
        <v>2195.1</v>
      </c>
      <c r="CQ561" t="s">
        <v>134</v>
      </c>
      <c r="CR561">
        <v>1869.8</v>
      </c>
      <c r="CS561" t="s">
        <v>134</v>
      </c>
      <c r="CT561" t="s">
        <v>134</v>
      </c>
      <c r="CU561" t="s">
        <v>134</v>
      </c>
      <c r="CV561" t="s">
        <v>134</v>
      </c>
      <c r="CW561" t="s">
        <v>134</v>
      </c>
      <c r="CX561" t="s">
        <v>134</v>
      </c>
      <c r="CY561" t="s">
        <v>134</v>
      </c>
      <c r="CZ561" t="s">
        <v>134</v>
      </c>
      <c r="DA561" t="s">
        <v>134</v>
      </c>
      <c r="DB561" t="s">
        <v>134</v>
      </c>
      <c r="DC561" t="s">
        <v>134</v>
      </c>
      <c r="DD561" t="s">
        <v>134</v>
      </c>
      <c r="DE561" t="s">
        <v>134</v>
      </c>
      <c r="DF561" t="s">
        <v>134</v>
      </c>
      <c r="DG561" t="s">
        <v>134</v>
      </c>
      <c r="DH561" t="s">
        <v>134</v>
      </c>
      <c r="DI561" t="s">
        <v>134</v>
      </c>
    </row>
    <row r="562" spans="4:113" x14ac:dyDescent="0.3">
      <c r="E562" t="s">
        <v>81</v>
      </c>
      <c r="F562">
        <v>67.408299999999997</v>
      </c>
      <c r="G562">
        <v>28.1069</v>
      </c>
      <c r="H562">
        <v>59.030299999999997</v>
      </c>
      <c r="I562">
        <v>42.860900000000001</v>
      </c>
      <c r="J562">
        <v>12.449400000000001</v>
      </c>
      <c r="K562">
        <v>10.019</v>
      </c>
      <c r="L562">
        <v>22.196000000000002</v>
      </c>
      <c r="M562">
        <v>11.372</v>
      </c>
      <c r="N562">
        <v>8.2570999999999994</v>
      </c>
      <c r="O562">
        <v>8.2315000000000005</v>
      </c>
      <c r="P562">
        <v>8.2315000000000005</v>
      </c>
      <c r="Q562">
        <v>27.5686</v>
      </c>
      <c r="R562" t="s">
        <v>134</v>
      </c>
      <c r="S562" t="s">
        <v>134</v>
      </c>
      <c r="T562">
        <v>14.3224</v>
      </c>
      <c r="U562">
        <v>50.136499999999998</v>
      </c>
      <c r="V562">
        <v>38.417099999999998</v>
      </c>
      <c r="W562">
        <v>55.350200000000001</v>
      </c>
      <c r="X562">
        <v>55.233899999999998</v>
      </c>
      <c r="Y562" t="s">
        <v>134</v>
      </c>
      <c r="Z562">
        <v>24.940200000000001</v>
      </c>
      <c r="AA562">
        <v>-3.8618000000000001</v>
      </c>
      <c r="AB562">
        <v>-7.5431999999999997</v>
      </c>
      <c r="AC562">
        <v>32.582900000000002</v>
      </c>
      <c r="AD562">
        <v>-490.07940000000002</v>
      </c>
      <c r="AE562" t="s">
        <v>134</v>
      </c>
      <c r="AF562">
        <v>26.357600000000001</v>
      </c>
      <c r="AG562">
        <v>-16.152999999999999</v>
      </c>
      <c r="AH562">
        <v>-3.1316999999999999</v>
      </c>
      <c r="AI562">
        <v>55.847000000000001</v>
      </c>
      <c r="AJ562">
        <v>46.552</v>
      </c>
      <c r="AK562">
        <v>56.007300000000001</v>
      </c>
      <c r="AL562" t="s">
        <v>134</v>
      </c>
      <c r="AM562" t="s">
        <v>134</v>
      </c>
      <c r="AN562" t="s">
        <v>134</v>
      </c>
      <c r="AO562" t="s">
        <v>134</v>
      </c>
      <c r="AP562" t="s">
        <v>134</v>
      </c>
      <c r="AQ562" t="s">
        <v>134</v>
      </c>
      <c r="AR562" t="s">
        <v>134</v>
      </c>
      <c r="AS562" t="s">
        <v>134</v>
      </c>
      <c r="AT562" t="s">
        <v>134</v>
      </c>
      <c r="AU562" t="s">
        <v>134</v>
      </c>
      <c r="AV562" t="s">
        <v>134</v>
      </c>
      <c r="AW562" t="s">
        <v>134</v>
      </c>
      <c r="AX562" t="s">
        <v>134</v>
      </c>
      <c r="AY562" t="s">
        <v>134</v>
      </c>
      <c r="AZ562" t="s">
        <v>134</v>
      </c>
      <c r="BA562" t="s">
        <v>134</v>
      </c>
      <c r="BB562" t="s">
        <v>134</v>
      </c>
      <c r="BC562" t="s">
        <v>134</v>
      </c>
      <c r="BD562" t="s">
        <v>134</v>
      </c>
      <c r="BE562" t="s">
        <v>134</v>
      </c>
      <c r="BF562">
        <v>0.82769999999999999</v>
      </c>
      <c r="BG562">
        <v>15.2339</v>
      </c>
      <c r="BH562">
        <v>8.8726000000000003</v>
      </c>
      <c r="BI562">
        <v>21.831299999999999</v>
      </c>
      <c r="BJ562">
        <v>21.853100000000001</v>
      </c>
      <c r="BK562" t="s">
        <v>134</v>
      </c>
      <c r="BL562" t="s">
        <v>134</v>
      </c>
      <c r="BM562" t="s">
        <v>134</v>
      </c>
      <c r="BN562" t="s">
        <v>134</v>
      </c>
      <c r="BO562" t="s">
        <v>134</v>
      </c>
      <c r="BP562" t="s">
        <v>134</v>
      </c>
      <c r="BQ562" t="s">
        <v>134</v>
      </c>
      <c r="BR562" t="s">
        <v>134</v>
      </c>
      <c r="BS562" t="s">
        <v>134</v>
      </c>
      <c r="BT562" t="s">
        <v>134</v>
      </c>
      <c r="BU562" t="s">
        <v>134</v>
      </c>
      <c r="BV562" t="s">
        <v>134</v>
      </c>
      <c r="BW562" t="s">
        <v>134</v>
      </c>
      <c r="BX562" t="s">
        <v>134</v>
      </c>
      <c r="BY562">
        <v>1450.7</v>
      </c>
      <c r="BZ562">
        <v>1017.4</v>
      </c>
      <c r="CA562">
        <v>433.3</v>
      </c>
      <c r="CB562">
        <v>0.16830000000000001</v>
      </c>
      <c r="CC562">
        <v>-0.60060000000000002</v>
      </c>
      <c r="CD562">
        <v>0.2021</v>
      </c>
      <c r="CE562">
        <v>-0.72150000000000003</v>
      </c>
      <c r="CF562">
        <v>312.28399999999999</v>
      </c>
      <c r="CG562">
        <v>44.574100000000001</v>
      </c>
      <c r="CH562">
        <v>3.4731999999999998</v>
      </c>
      <c r="CI562">
        <v>3.1114000000000002</v>
      </c>
      <c r="CJ562">
        <v>1.5512000000000001</v>
      </c>
      <c r="CK562">
        <v>11.628500000000001</v>
      </c>
      <c r="CL562">
        <v>10.4171</v>
      </c>
      <c r="CM562">
        <v>5.1933999999999996</v>
      </c>
      <c r="CN562">
        <v>-41.504899999999999</v>
      </c>
      <c r="CO562">
        <v>-70.954400000000007</v>
      </c>
      <c r="CP562">
        <v>2529.5</v>
      </c>
      <c r="CQ562" t="s">
        <v>134</v>
      </c>
      <c r="CR562">
        <v>2035.7</v>
      </c>
      <c r="CS562">
        <v>0.44879999999999998</v>
      </c>
      <c r="CT562">
        <v>1.1328</v>
      </c>
      <c r="CU562">
        <v>0.54079999999999995</v>
      </c>
      <c r="CV562">
        <v>14.374599999999999</v>
      </c>
      <c r="CW562">
        <v>63.597299999999997</v>
      </c>
      <c r="CX562">
        <v>5.7392000000000003</v>
      </c>
      <c r="CY562">
        <v>11.4574</v>
      </c>
      <c r="CZ562">
        <v>31.857199999999999</v>
      </c>
      <c r="DA562">
        <v>7.4691999999999998</v>
      </c>
      <c r="DB562">
        <v>48.867600000000003</v>
      </c>
      <c r="DC562">
        <v>-11.2712</v>
      </c>
      <c r="DD562">
        <v>37.596499999999999</v>
      </c>
      <c r="DE562">
        <v>4040.4</v>
      </c>
      <c r="DF562">
        <v>1237.4000000000001</v>
      </c>
      <c r="DG562">
        <v>3.6</v>
      </c>
      <c r="DH562">
        <v>1882.2</v>
      </c>
      <c r="DI562">
        <v>917.2</v>
      </c>
    </row>
    <row r="563" spans="4:113" x14ac:dyDescent="0.3">
      <c r="D563" t="s">
        <v>83</v>
      </c>
      <c r="E563" t="s">
        <v>77</v>
      </c>
      <c r="F563">
        <v>53.4831</v>
      </c>
      <c r="G563">
        <v>25.793700000000001</v>
      </c>
      <c r="H563">
        <v>49.073099999999997</v>
      </c>
      <c r="I563">
        <v>44.9405</v>
      </c>
      <c r="J563">
        <v>14.250299999999999</v>
      </c>
      <c r="K563">
        <v>12.932600000000001</v>
      </c>
      <c r="L563">
        <v>47.3202</v>
      </c>
      <c r="M563">
        <v>13.9176</v>
      </c>
      <c r="N563">
        <v>9.3660999999999994</v>
      </c>
      <c r="O563">
        <v>9.3657000000000004</v>
      </c>
      <c r="P563">
        <v>9.3657000000000004</v>
      </c>
      <c r="Q563">
        <v>32.721400000000003</v>
      </c>
      <c r="R563">
        <v>29.766400000000001</v>
      </c>
      <c r="S563">
        <v>37.563099999999999</v>
      </c>
      <c r="T563">
        <v>10.7005</v>
      </c>
      <c r="U563">
        <v>41.974299999999999</v>
      </c>
      <c r="V563">
        <v>54.722499999999997</v>
      </c>
      <c r="W563">
        <v>17.058299999999999</v>
      </c>
      <c r="X563">
        <v>17.017900000000001</v>
      </c>
      <c r="Y563">
        <v>25</v>
      </c>
      <c r="Z563">
        <v>25.623999999999999</v>
      </c>
      <c r="AA563">
        <v>9.0609999999999999</v>
      </c>
      <c r="AB563">
        <v>18.474599999999999</v>
      </c>
      <c r="AC563">
        <v>23.761800000000001</v>
      </c>
      <c r="AD563">
        <v>20.083100000000002</v>
      </c>
      <c r="AE563">
        <v>-54.851900000000001</v>
      </c>
      <c r="AF563">
        <v>5.4817999999999998</v>
      </c>
      <c r="AG563">
        <v>-7.9810999999999996</v>
      </c>
      <c r="AH563">
        <v>-7.3205999999999998</v>
      </c>
      <c r="AI563">
        <v>42.023499999999999</v>
      </c>
      <c r="AJ563">
        <v>36.883299999999998</v>
      </c>
      <c r="AK563">
        <v>42.043900000000001</v>
      </c>
      <c r="AL563">
        <v>67.1999</v>
      </c>
      <c r="AM563">
        <v>13.4001</v>
      </c>
      <c r="AN563">
        <v>38.872900000000001</v>
      </c>
      <c r="AO563">
        <v>45.186199999999999</v>
      </c>
      <c r="AP563">
        <v>43.097299999999997</v>
      </c>
      <c r="AQ563">
        <v>42.960999999999999</v>
      </c>
      <c r="AR563">
        <v>25.205500000000001</v>
      </c>
      <c r="AS563">
        <v>16.077200000000001</v>
      </c>
      <c r="AT563">
        <v>4.8975999999999997</v>
      </c>
      <c r="AU563">
        <v>16.510100000000001</v>
      </c>
      <c r="AV563">
        <v>16.386700000000001</v>
      </c>
      <c r="AW563" t="s">
        <v>134</v>
      </c>
      <c r="AX563" t="s">
        <v>134</v>
      </c>
      <c r="AY563">
        <v>22.586200000000002</v>
      </c>
      <c r="AZ563">
        <v>45.151200000000003</v>
      </c>
      <c r="BA563">
        <v>-26.312000000000001</v>
      </c>
      <c r="BB563">
        <v>40.112299999999998</v>
      </c>
      <c r="BC563">
        <v>15.019</v>
      </c>
      <c r="BD563">
        <v>40.128700000000002</v>
      </c>
      <c r="BE563">
        <v>30.279199999999999</v>
      </c>
      <c r="BF563">
        <v>10.7005</v>
      </c>
      <c r="BG563">
        <v>41.974299999999999</v>
      </c>
      <c r="BH563">
        <v>54.722499999999997</v>
      </c>
      <c r="BI563">
        <v>17.058299999999999</v>
      </c>
      <c r="BJ563">
        <v>17.017900000000001</v>
      </c>
      <c r="BK563">
        <v>25</v>
      </c>
      <c r="BL563">
        <v>25.623999999999999</v>
      </c>
      <c r="BM563">
        <v>9.0609999999999999</v>
      </c>
      <c r="BN563">
        <v>18.474599999999999</v>
      </c>
      <c r="BO563">
        <v>23.761800000000001</v>
      </c>
      <c r="BP563" t="s">
        <v>134</v>
      </c>
      <c r="BQ563">
        <v>-54.851900000000001</v>
      </c>
      <c r="BR563">
        <v>5.4817999999999998</v>
      </c>
      <c r="BS563">
        <v>-7.9810999999999996</v>
      </c>
      <c r="BT563">
        <v>-7.3205999999999998</v>
      </c>
      <c r="BU563">
        <v>42.023499999999999</v>
      </c>
      <c r="BV563">
        <v>36.883299999999998</v>
      </c>
      <c r="BW563">
        <v>42.043900000000001</v>
      </c>
      <c r="BX563">
        <v>67.1999</v>
      </c>
      <c r="BY563">
        <v>1344.5</v>
      </c>
      <c r="BZ563">
        <v>936.2</v>
      </c>
      <c r="CA563">
        <v>408.3</v>
      </c>
      <c r="CB563">
        <v>0.1096</v>
      </c>
      <c r="CC563">
        <v>-0.28510000000000002</v>
      </c>
      <c r="CD563">
        <v>0.1208</v>
      </c>
      <c r="CE563">
        <v>-0.31409999999999999</v>
      </c>
      <c r="CF563">
        <v>251.85419999999999</v>
      </c>
      <c r="CG563">
        <v>51.179900000000004</v>
      </c>
      <c r="CH563">
        <v>2.3044000000000002</v>
      </c>
      <c r="CI563">
        <v>2.1419000000000001</v>
      </c>
      <c r="CJ563">
        <v>1.181</v>
      </c>
      <c r="CK563">
        <v>7.5883000000000003</v>
      </c>
      <c r="CL563">
        <v>7.0530999999999997</v>
      </c>
      <c r="CM563">
        <v>3.8891</v>
      </c>
      <c r="CN563">
        <v>-19.7347</v>
      </c>
      <c r="CO563">
        <v>-24.5869</v>
      </c>
      <c r="CP563">
        <v>12265.3</v>
      </c>
      <c r="CQ563">
        <v>9757.6</v>
      </c>
      <c r="CR563">
        <v>11131.2</v>
      </c>
      <c r="CS563">
        <v>0.29949999999999999</v>
      </c>
      <c r="CT563">
        <v>1.0548</v>
      </c>
      <c r="CU563">
        <v>0.40510000000000002</v>
      </c>
      <c r="CV563">
        <v>18.178599999999999</v>
      </c>
      <c r="CW563">
        <v>56.178199999999997</v>
      </c>
      <c r="CX563">
        <v>6.5149999999999997</v>
      </c>
      <c r="CY563">
        <v>11.8462</v>
      </c>
      <c r="CZ563">
        <v>30.895900000000001</v>
      </c>
      <c r="DA563">
        <v>6.9736000000000002</v>
      </c>
      <c r="DB563">
        <v>52.483800000000002</v>
      </c>
      <c r="DC563">
        <v>-15.072900000000001</v>
      </c>
      <c r="DD563">
        <v>37.410899999999998</v>
      </c>
      <c r="DE563">
        <v>4406.5</v>
      </c>
      <c r="DF563">
        <v>1487.2</v>
      </c>
      <c r="DG563">
        <v>2.8</v>
      </c>
      <c r="DH563">
        <v>2112.6999999999998</v>
      </c>
      <c r="DI563">
        <v>803.8</v>
      </c>
    </row>
    <row r="564" spans="4:113" x14ac:dyDescent="0.3">
      <c r="E564" t="s">
        <v>78</v>
      </c>
      <c r="F564" t="s">
        <v>134</v>
      </c>
      <c r="G564" t="s">
        <v>134</v>
      </c>
      <c r="H564" t="s">
        <v>134</v>
      </c>
      <c r="I564" t="s">
        <v>134</v>
      </c>
      <c r="J564">
        <v>14.4034</v>
      </c>
      <c r="K564">
        <v>13.037599999999999</v>
      </c>
      <c r="L564">
        <v>53.623600000000003</v>
      </c>
      <c r="M564">
        <v>13.9026</v>
      </c>
      <c r="N564">
        <v>9.4701000000000004</v>
      </c>
      <c r="O564">
        <v>9.4710999999999999</v>
      </c>
      <c r="P564">
        <v>9.4710999999999999</v>
      </c>
      <c r="Q564">
        <v>31.903700000000001</v>
      </c>
      <c r="R564" t="s">
        <v>134</v>
      </c>
      <c r="S564" t="s">
        <v>134</v>
      </c>
      <c r="T564">
        <v>12.968299999999999</v>
      </c>
      <c r="U564">
        <v>70.064899999999994</v>
      </c>
      <c r="V564">
        <v>89.449200000000005</v>
      </c>
      <c r="W564">
        <v>66.866100000000003</v>
      </c>
      <c r="X564">
        <v>66.772199999999998</v>
      </c>
      <c r="Y564" t="s">
        <v>134</v>
      </c>
      <c r="Z564" t="s">
        <v>134</v>
      </c>
      <c r="AA564" t="s">
        <v>134</v>
      </c>
      <c r="AB564" t="s">
        <v>134</v>
      </c>
      <c r="AC564" t="s">
        <v>134</v>
      </c>
      <c r="AD564" t="s">
        <v>134</v>
      </c>
      <c r="AE564" t="s">
        <v>134</v>
      </c>
      <c r="AF564" t="s">
        <v>134</v>
      </c>
      <c r="AG564" t="s">
        <v>134</v>
      </c>
      <c r="AH564" t="s">
        <v>134</v>
      </c>
      <c r="AI564" t="s">
        <v>134</v>
      </c>
      <c r="AJ564" t="s">
        <v>134</v>
      </c>
      <c r="AK564" t="s">
        <v>134</v>
      </c>
      <c r="AL564" t="s">
        <v>134</v>
      </c>
      <c r="AM564" t="s">
        <v>134</v>
      </c>
      <c r="AN564" t="s">
        <v>134</v>
      </c>
      <c r="AO564" t="s">
        <v>134</v>
      </c>
      <c r="AP564" t="s">
        <v>134</v>
      </c>
      <c r="AQ564" t="s">
        <v>134</v>
      </c>
      <c r="AR564" t="s">
        <v>134</v>
      </c>
      <c r="AS564" t="s">
        <v>134</v>
      </c>
      <c r="AT564" t="s">
        <v>134</v>
      </c>
      <c r="AU564" t="s">
        <v>134</v>
      </c>
      <c r="AV564" t="s">
        <v>134</v>
      </c>
      <c r="AW564" t="s">
        <v>134</v>
      </c>
      <c r="AX564" t="s">
        <v>134</v>
      </c>
      <c r="AY564" t="s">
        <v>134</v>
      </c>
      <c r="AZ564" t="s">
        <v>134</v>
      </c>
      <c r="BA564" t="s">
        <v>134</v>
      </c>
      <c r="BB564" t="s">
        <v>134</v>
      </c>
      <c r="BC564" t="s">
        <v>134</v>
      </c>
      <c r="BD564" t="s">
        <v>134</v>
      </c>
      <c r="BE564" t="s">
        <v>134</v>
      </c>
      <c r="BF564">
        <v>-1.4430000000000001</v>
      </c>
      <c r="BG564">
        <v>14.0265</v>
      </c>
      <c r="BH564">
        <v>28.250699999999998</v>
      </c>
      <c r="BI564">
        <v>13.399100000000001</v>
      </c>
      <c r="BJ564">
        <v>13.4146</v>
      </c>
      <c r="BK564" t="s">
        <v>134</v>
      </c>
      <c r="BL564" t="s">
        <v>134</v>
      </c>
      <c r="BM564" t="s">
        <v>134</v>
      </c>
      <c r="BN564" t="s">
        <v>134</v>
      </c>
      <c r="BO564" t="s">
        <v>134</v>
      </c>
      <c r="BP564" t="s">
        <v>134</v>
      </c>
      <c r="BQ564" t="s">
        <v>134</v>
      </c>
      <c r="BR564" t="s">
        <v>134</v>
      </c>
      <c r="BS564" t="s">
        <v>134</v>
      </c>
      <c r="BT564" t="s">
        <v>134</v>
      </c>
      <c r="BU564" t="s">
        <v>134</v>
      </c>
      <c r="BV564" t="s">
        <v>134</v>
      </c>
      <c r="BW564" t="s">
        <v>134</v>
      </c>
      <c r="BX564" t="s">
        <v>134</v>
      </c>
      <c r="BY564" t="s">
        <v>134</v>
      </c>
      <c r="BZ564" t="s">
        <v>134</v>
      </c>
      <c r="CA564" t="s">
        <v>134</v>
      </c>
      <c r="CB564" t="s">
        <v>134</v>
      </c>
      <c r="CC564" t="s">
        <v>134</v>
      </c>
      <c r="CD564" t="s">
        <v>134</v>
      </c>
      <c r="CE564" t="s">
        <v>134</v>
      </c>
      <c r="CF564">
        <v>406.23939999999999</v>
      </c>
      <c r="CG564" t="s">
        <v>134</v>
      </c>
      <c r="CH564" t="s">
        <v>134</v>
      </c>
      <c r="CI564" t="s">
        <v>134</v>
      </c>
      <c r="CJ564" t="s">
        <v>134</v>
      </c>
      <c r="CK564" t="s">
        <v>134</v>
      </c>
      <c r="CL564" t="s">
        <v>134</v>
      </c>
      <c r="CM564" t="s">
        <v>134</v>
      </c>
      <c r="CN564" t="s">
        <v>134</v>
      </c>
      <c r="CO564" t="s">
        <v>134</v>
      </c>
      <c r="CP564">
        <v>2884.3</v>
      </c>
      <c r="CQ564" t="s">
        <v>134</v>
      </c>
      <c r="CR564">
        <v>2610.8000000000002</v>
      </c>
      <c r="CS564" t="s">
        <v>134</v>
      </c>
      <c r="CT564" t="s">
        <v>134</v>
      </c>
      <c r="CU564" t="s">
        <v>134</v>
      </c>
      <c r="CV564" t="s">
        <v>134</v>
      </c>
      <c r="CW564" t="s">
        <v>134</v>
      </c>
      <c r="CX564" t="s">
        <v>134</v>
      </c>
      <c r="CY564" t="s">
        <v>134</v>
      </c>
      <c r="CZ564" t="s">
        <v>134</v>
      </c>
      <c r="DA564" t="s">
        <v>134</v>
      </c>
      <c r="DB564" t="s">
        <v>134</v>
      </c>
      <c r="DC564" t="s">
        <v>134</v>
      </c>
      <c r="DD564" t="s">
        <v>134</v>
      </c>
      <c r="DE564" t="s">
        <v>134</v>
      </c>
      <c r="DF564" t="s">
        <v>134</v>
      </c>
      <c r="DG564" t="s">
        <v>134</v>
      </c>
      <c r="DH564" t="s">
        <v>134</v>
      </c>
      <c r="DI564" t="s">
        <v>134</v>
      </c>
    </row>
    <row r="565" spans="4:113" x14ac:dyDescent="0.3">
      <c r="E565" t="s">
        <v>79</v>
      </c>
      <c r="F565">
        <v>50.625599999999999</v>
      </c>
      <c r="G565">
        <v>25.763500000000001</v>
      </c>
      <c r="H565" t="s">
        <v>134</v>
      </c>
      <c r="I565">
        <v>42.841200000000001</v>
      </c>
      <c r="J565">
        <v>14.832000000000001</v>
      </c>
      <c r="K565">
        <v>13.590999999999999</v>
      </c>
      <c r="L565">
        <v>46.031399999999998</v>
      </c>
      <c r="M565">
        <v>14.899000000000001</v>
      </c>
      <c r="N565">
        <v>9.9795999999999996</v>
      </c>
      <c r="O565">
        <v>9.9781999999999993</v>
      </c>
      <c r="P565">
        <v>9.9781999999999993</v>
      </c>
      <c r="Q565">
        <v>33.034199999999998</v>
      </c>
      <c r="R565" t="s">
        <v>134</v>
      </c>
      <c r="S565" t="s">
        <v>134</v>
      </c>
      <c r="T565">
        <v>12.0482</v>
      </c>
      <c r="U565">
        <v>47.637700000000002</v>
      </c>
      <c r="V565">
        <v>57.277900000000002</v>
      </c>
      <c r="W565">
        <v>-19.163599999999999</v>
      </c>
      <c r="X565">
        <v>-19.201799999999999</v>
      </c>
      <c r="Y565" t="s">
        <v>134</v>
      </c>
      <c r="Z565">
        <v>20.2698</v>
      </c>
      <c r="AA565">
        <v>5.2286999999999999</v>
      </c>
      <c r="AB565">
        <v>6.5751999999999997</v>
      </c>
      <c r="AC565">
        <v>25.7668</v>
      </c>
      <c r="AD565">
        <v>-42.190899999999999</v>
      </c>
      <c r="AE565">
        <v>94.928299999999993</v>
      </c>
      <c r="AF565">
        <v>13.5901</v>
      </c>
      <c r="AG565">
        <v>-21.2211</v>
      </c>
      <c r="AH565">
        <v>-6.3354999999999997</v>
      </c>
      <c r="AI565">
        <v>41.627499999999998</v>
      </c>
      <c r="AJ565">
        <v>36.650799999999997</v>
      </c>
      <c r="AK565">
        <v>41.6646</v>
      </c>
      <c r="AL565" t="s">
        <v>134</v>
      </c>
      <c r="AM565" t="s">
        <v>134</v>
      </c>
      <c r="AN565" t="s">
        <v>134</v>
      </c>
      <c r="AO565" t="s">
        <v>134</v>
      </c>
      <c r="AP565" t="s">
        <v>134</v>
      </c>
      <c r="AQ565" t="s">
        <v>134</v>
      </c>
      <c r="AR565" t="s">
        <v>134</v>
      </c>
      <c r="AS565" t="s">
        <v>134</v>
      </c>
      <c r="AT565" t="s">
        <v>134</v>
      </c>
      <c r="AU565" t="s">
        <v>134</v>
      </c>
      <c r="AV565" t="s">
        <v>134</v>
      </c>
      <c r="AW565" t="s">
        <v>134</v>
      </c>
      <c r="AX565" t="s">
        <v>134</v>
      </c>
      <c r="AY565" t="s">
        <v>134</v>
      </c>
      <c r="AZ565" t="s">
        <v>134</v>
      </c>
      <c r="BA565" t="s">
        <v>134</v>
      </c>
      <c r="BB565" t="s">
        <v>134</v>
      </c>
      <c r="BC565" t="s">
        <v>134</v>
      </c>
      <c r="BD565" t="s">
        <v>134</v>
      </c>
      <c r="BE565" t="s">
        <v>134</v>
      </c>
      <c r="BF565">
        <v>12.8759</v>
      </c>
      <c r="BG565">
        <v>12.722899999999999</v>
      </c>
      <c r="BH565">
        <v>14.117599999999999</v>
      </c>
      <c r="BI565">
        <v>12.893700000000001</v>
      </c>
      <c r="BJ565">
        <v>12.399800000000001</v>
      </c>
      <c r="BK565" t="s">
        <v>134</v>
      </c>
      <c r="BL565" t="s">
        <v>134</v>
      </c>
      <c r="BM565" t="s">
        <v>134</v>
      </c>
      <c r="BN565" t="s">
        <v>134</v>
      </c>
      <c r="BO565" t="s">
        <v>134</v>
      </c>
      <c r="BP565" t="s">
        <v>134</v>
      </c>
      <c r="BQ565" t="s">
        <v>134</v>
      </c>
      <c r="BR565" t="s">
        <v>134</v>
      </c>
      <c r="BS565" t="s">
        <v>134</v>
      </c>
      <c r="BT565" t="s">
        <v>134</v>
      </c>
      <c r="BU565" t="s">
        <v>134</v>
      </c>
      <c r="BV565" t="s">
        <v>134</v>
      </c>
      <c r="BW565" t="s">
        <v>134</v>
      </c>
      <c r="BX565" t="s">
        <v>134</v>
      </c>
      <c r="BY565">
        <v>1272.9000000000001</v>
      </c>
      <c r="BZ565">
        <v>851.6</v>
      </c>
      <c r="CA565">
        <v>421.3</v>
      </c>
      <c r="CB565">
        <v>0.1172</v>
      </c>
      <c r="CC565">
        <v>-0.42659999999999998</v>
      </c>
      <c r="CD565">
        <v>0.1341</v>
      </c>
      <c r="CE565">
        <v>-0.4879</v>
      </c>
      <c r="CF565">
        <v>216.6533</v>
      </c>
      <c r="CG565">
        <v>53.552300000000002</v>
      </c>
      <c r="CH565">
        <v>2.5342000000000002</v>
      </c>
      <c r="CI565">
        <v>2.3538999999999999</v>
      </c>
      <c r="CJ565">
        <v>1.3591</v>
      </c>
      <c r="CK565">
        <v>7.6566000000000001</v>
      </c>
      <c r="CL565">
        <v>7.1120999999999999</v>
      </c>
      <c r="CM565">
        <v>4.1063000000000001</v>
      </c>
      <c r="CN565">
        <v>-27.859000000000002</v>
      </c>
      <c r="CO565">
        <v>-38.617400000000004</v>
      </c>
      <c r="CP565">
        <v>3249.8</v>
      </c>
      <c r="CQ565" t="s">
        <v>134</v>
      </c>
      <c r="CR565">
        <v>2977.9</v>
      </c>
      <c r="CS565">
        <v>0.43180000000000002</v>
      </c>
      <c r="CT565">
        <v>1.2881</v>
      </c>
      <c r="CU565">
        <v>0.53480000000000005</v>
      </c>
      <c r="CV565">
        <v>20.141999999999999</v>
      </c>
      <c r="CW565">
        <v>63.409599999999998</v>
      </c>
      <c r="CX565">
        <v>5.7561999999999998</v>
      </c>
      <c r="CY565">
        <v>11.1404</v>
      </c>
      <c r="CZ565">
        <v>32.763599999999997</v>
      </c>
      <c r="DA565">
        <v>7.1486000000000001</v>
      </c>
      <c r="DB565">
        <v>51.058999999999997</v>
      </c>
      <c r="DC565">
        <v>-12.539199999999999</v>
      </c>
      <c r="DD565">
        <v>38.519800000000004</v>
      </c>
      <c r="DE565">
        <v>4457.7</v>
      </c>
      <c r="DF565" t="s">
        <v>134</v>
      </c>
      <c r="DG565" t="s">
        <v>134</v>
      </c>
      <c r="DH565" t="s">
        <v>134</v>
      </c>
      <c r="DI565" t="s">
        <v>134</v>
      </c>
    </row>
    <row r="566" spans="4:113" x14ac:dyDescent="0.3">
      <c r="E566" t="s">
        <v>80</v>
      </c>
      <c r="F566" t="s">
        <v>134</v>
      </c>
      <c r="G566" t="s">
        <v>134</v>
      </c>
      <c r="H566" t="s">
        <v>134</v>
      </c>
      <c r="I566" t="s">
        <v>134</v>
      </c>
      <c r="J566">
        <v>14.4772</v>
      </c>
      <c r="K566">
        <v>13.2157</v>
      </c>
      <c r="L566">
        <v>51.268599999999999</v>
      </c>
      <c r="M566">
        <v>13.9344</v>
      </c>
      <c r="N566">
        <v>9.3329000000000004</v>
      </c>
      <c r="O566">
        <v>9.3355999999999995</v>
      </c>
      <c r="P566">
        <v>9.3355999999999995</v>
      </c>
      <c r="Q566">
        <v>33.041800000000002</v>
      </c>
      <c r="R566" t="s">
        <v>134</v>
      </c>
      <c r="S566" t="s">
        <v>134</v>
      </c>
      <c r="T566">
        <v>10.3461</v>
      </c>
      <c r="U566">
        <v>46.6539</v>
      </c>
      <c r="V566">
        <v>57.166499999999999</v>
      </c>
      <c r="W566">
        <v>51.216500000000003</v>
      </c>
      <c r="X566">
        <v>51.223799999999997</v>
      </c>
      <c r="Y566" t="s">
        <v>134</v>
      </c>
      <c r="Z566" t="s">
        <v>134</v>
      </c>
      <c r="AA566" t="s">
        <v>134</v>
      </c>
      <c r="AB566" t="s">
        <v>134</v>
      </c>
      <c r="AC566" t="s">
        <v>134</v>
      </c>
      <c r="AD566" t="s">
        <v>134</v>
      </c>
      <c r="AE566" t="s">
        <v>134</v>
      </c>
      <c r="AF566" t="s">
        <v>134</v>
      </c>
      <c r="AG566" t="s">
        <v>134</v>
      </c>
      <c r="AH566" t="s">
        <v>134</v>
      </c>
      <c r="AI566" t="s">
        <v>134</v>
      </c>
      <c r="AJ566" t="s">
        <v>134</v>
      </c>
      <c r="AK566" t="s">
        <v>134</v>
      </c>
      <c r="AL566" t="s">
        <v>134</v>
      </c>
      <c r="AM566" t="s">
        <v>134</v>
      </c>
      <c r="AN566" t="s">
        <v>134</v>
      </c>
      <c r="AO566" t="s">
        <v>134</v>
      </c>
      <c r="AP566" t="s">
        <v>134</v>
      </c>
      <c r="AQ566" t="s">
        <v>134</v>
      </c>
      <c r="AR566" t="s">
        <v>134</v>
      </c>
      <c r="AS566" t="s">
        <v>134</v>
      </c>
      <c r="AT566" t="s">
        <v>134</v>
      </c>
      <c r="AU566" t="s">
        <v>134</v>
      </c>
      <c r="AV566" t="s">
        <v>134</v>
      </c>
      <c r="AW566" t="s">
        <v>134</v>
      </c>
      <c r="AX566" t="s">
        <v>134</v>
      </c>
      <c r="AY566" t="s">
        <v>134</v>
      </c>
      <c r="AZ566" t="s">
        <v>134</v>
      </c>
      <c r="BA566" t="s">
        <v>134</v>
      </c>
      <c r="BB566" t="s">
        <v>134</v>
      </c>
      <c r="BC566" t="s">
        <v>134</v>
      </c>
      <c r="BD566" t="s">
        <v>134</v>
      </c>
      <c r="BE566" t="s">
        <v>134</v>
      </c>
      <c r="BF566">
        <v>4.5076000000000001</v>
      </c>
      <c r="BG566">
        <v>-0.75529999999999997</v>
      </c>
      <c r="BH566">
        <v>-1.1137999999999999</v>
      </c>
      <c r="BI566">
        <v>-6.1231</v>
      </c>
      <c r="BJ566">
        <v>-6.1313000000000004</v>
      </c>
      <c r="BK566" t="s">
        <v>134</v>
      </c>
      <c r="BL566" t="s">
        <v>134</v>
      </c>
      <c r="BM566" t="s">
        <v>134</v>
      </c>
      <c r="BN566" t="s">
        <v>134</v>
      </c>
      <c r="BO566" t="s">
        <v>134</v>
      </c>
      <c r="BP566" t="s">
        <v>134</v>
      </c>
      <c r="BQ566" t="s">
        <v>134</v>
      </c>
      <c r="BR566" t="s">
        <v>134</v>
      </c>
      <c r="BS566" t="s">
        <v>134</v>
      </c>
      <c r="BT566" t="s">
        <v>134</v>
      </c>
      <c r="BU566" t="s">
        <v>134</v>
      </c>
      <c r="BV566" t="s">
        <v>134</v>
      </c>
      <c r="BW566" t="s">
        <v>134</v>
      </c>
      <c r="BX566" t="s">
        <v>134</v>
      </c>
      <c r="BY566" t="s">
        <v>134</v>
      </c>
      <c r="BZ566" t="s">
        <v>134</v>
      </c>
      <c r="CA566" t="s">
        <v>134</v>
      </c>
      <c r="CB566" t="s">
        <v>134</v>
      </c>
      <c r="CC566" t="s">
        <v>134</v>
      </c>
      <c r="CD566" t="s">
        <v>134</v>
      </c>
      <c r="CE566" t="s">
        <v>134</v>
      </c>
      <c r="CF566">
        <v>272.81360000000001</v>
      </c>
      <c r="CG566" t="s">
        <v>134</v>
      </c>
      <c r="CH566" t="s">
        <v>134</v>
      </c>
      <c r="CI566" t="s">
        <v>134</v>
      </c>
      <c r="CJ566" t="s">
        <v>134</v>
      </c>
      <c r="CK566" t="s">
        <v>134</v>
      </c>
      <c r="CL566" t="s">
        <v>134</v>
      </c>
      <c r="CM566" t="s">
        <v>134</v>
      </c>
      <c r="CN566" t="s">
        <v>134</v>
      </c>
      <c r="CO566" t="s">
        <v>134</v>
      </c>
      <c r="CP566">
        <v>3219.2</v>
      </c>
      <c r="CQ566" t="s">
        <v>134</v>
      </c>
      <c r="CR566">
        <v>2938.7</v>
      </c>
      <c r="CS566" t="s">
        <v>134</v>
      </c>
      <c r="CT566" t="s">
        <v>134</v>
      </c>
      <c r="CU566" t="s">
        <v>134</v>
      </c>
      <c r="CV566" t="s">
        <v>134</v>
      </c>
      <c r="CW566" t="s">
        <v>134</v>
      </c>
      <c r="CX566" t="s">
        <v>134</v>
      </c>
      <c r="CY566" t="s">
        <v>134</v>
      </c>
      <c r="CZ566" t="s">
        <v>134</v>
      </c>
      <c r="DA566" t="s">
        <v>134</v>
      </c>
      <c r="DB566" t="s">
        <v>134</v>
      </c>
      <c r="DC566" t="s">
        <v>134</v>
      </c>
      <c r="DD566" t="s">
        <v>134</v>
      </c>
      <c r="DE566" t="s">
        <v>134</v>
      </c>
      <c r="DF566" t="s">
        <v>134</v>
      </c>
      <c r="DG566" t="s">
        <v>134</v>
      </c>
      <c r="DH566" t="s">
        <v>134</v>
      </c>
      <c r="DI566" t="s">
        <v>134</v>
      </c>
    </row>
    <row r="567" spans="4:113" x14ac:dyDescent="0.3">
      <c r="E567" t="s">
        <v>81</v>
      </c>
      <c r="F567">
        <v>54.128</v>
      </c>
      <c r="G567">
        <v>26.104700000000001</v>
      </c>
      <c r="H567" t="s">
        <v>134</v>
      </c>
      <c r="I567">
        <v>44.541400000000003</v>
      </c>
      <c r="J567">
        <v>13.297800000000001</v>
      </c>
      <c r="K567">
        <v>11.8904</v>
      </c>
      <c r="L567">
        <v>35.9557</v>
      </c>
      <c r="M567">
        <v>12.932499999999999</v>
      </c>
      <c r="N567">
        <v>8.6911000000000005</v>
      </c>
      <c r="O567">
        <v>8.6869999999999994</v>
      </c>
      <c r="P567">
        <v>8.6869999999999994</v>
      </c>
      <c r="Q567">
        <v>32.814300000000003</v>
      </c>
      <c r="R567" t="s">
        <v>134</v>
      </c>
      <c r="S567" t="s">
        <v>134</v>
      </c>
      <c r="T567">
        <v>7.7762000000000002</v>
      </c>
      <c r="U567">
        <v>15.121600000000001</v>
      </c>
      <c r="V567">
        <v>27.9069</v>
      </c>
      <c r="W567">
        <v>13.7399</v>
      </c>
      <c r="X567">
        <v>13.701599999999999</v>
      </c>
      <c r="Y567" t="s">
        <v>134</v>
      </c>
      <c r="Z567">
        <v>25.623999999999999</v>
      </c>
      <c r="AA567">
        <v>9.0609999999999999</v>
      </c>
      <c r="AB567">
        <v>18.474599999999999</v>
      </c>
      <c r="AC567">
        <v>23.761800000000001</v>
      </c>
      <c r="AD567">
        <v>20.083100000000002</v>
      </c>
      <c r="AE567">
        <v>-54.851900000000001</v>
      </c>
      <c r="AF567">
        <v>5.4817999999999998</v>
      </c>
      <c r="AG567">
        <v>-7.9810999999999996</v>
      </c>
      <c r="AH567">
        <v>-7.3205999999999998</v>
      </c>
      <c r="AI567">
        <v>42.023499999999999</v>
      </c>
      <c r="AJ567">
        <v>36.883299999999998</v>
      </c>
      <c r="AK567">
        <v>42.043900000000001</v>
      </c>
      <c r="AL567" t="s">
        <v>134</v>
      </c>
      <c r="AM567" t="s">
        <v>134</v>
      </c>
      <c r="AN567" t="s">
        <v>134</v>
      </c>
      <c r="AO567" t="s">
        <v>134</v>
      </c>
      <c r="AP567" t="s">
        <v>134</v>
      </c>
      <c r="AQ567" t="s">
        <v>134</v>
      </c>
      <c r="AR567" t="s">
        <v>134</v>
      </c>
      <c r="AS567" t="s">
        <v>134</v>
      </c>
      <c r="AT567" t="s">
        <v>134</v>
      </c>
      <c r="AU567" t="s">
        <v>134</v>
      </c>
      <c r="AV567" t="s">
        <v>134</v>
      </c>
      <c r="AW567" t="s">
        <v>134</v>
      </c>
      <c r="AX567" t="s">
        <v>134</v>
      </c>
      <c r="AY567" t="s">
        <v>134</v>
      </c>
      <c r="AZ567" t="s">
        <v>134</v>
      </c>
      <c r="BA567" t="s">
        <v>134</v>
      </c>
      <c r="BB567" t="s">
        <v>134</v>
      </c>
      <c r="BC567" t="s">
        <v>134</v>
      </c>
      <c r="BD567" t="s">
        <v>134</v>
      </c>
      <c r="BE567" t="s">
        <v>134</v>
      </c>
      <c r="BF567">
        <v>2.1171000000000002</v>
      </c>
      <c r="BG567">
        <v>-6.3875999999999999</v>
      </c>
      <c r="BH567">
        <v>-7.9993999999999996</v>
      </c>
      <c r="BI567">
        <v>-9.7622999999999998</v>
      </c>
      <c r="BJ567">
        <v>-9.7894000000000005</v>
      </c>
      <c r="BK567" t="s">
        <v>134</v>
      </c>
      <c r="BL567" t="s">
        <v>134</v>
      </c>
      <c r="BM567" t="s">
        <v>134</v>
      </c>
      <c r="BN567" t="s">
        <v>134</v>
      </c>
      <c r="BO567" t="s">
        <v>134</v>
      </c>
      <c r="BP567" t="s">
        <v>134</v>
      </c>
      <c r="BQ567" t="s">
        <v>134</v>
      </c>
      <c r="BR567" t="s">
        <v>134</v>
      </c>
      <c r="BS567" t="s">
        <v>134</v>
      </c>
      <c r="BT567" t="s">
        <v>134</v>
      </c>
      <c r="BU567" t="s">
        <v>134</v>
      </c>
      <c r="BV567" t="s">
        <v>134</v>
      </c>
      <c r="BW567" t="s">
        <v>134</v>
      </c>
      <c r="BX567" t="s">
        <v>134</v>
      </c>
      <c r="BY567">
        <v>1344.5</v>
      </c>
      <c r="BZ567">
        <v>936.2</v>
      </c>
      <c r="CA567">
        <v>408.3</v>
      </c>
      <c r="CB567">
        <v>0.11070000000000001</v>
      </c>
      <c r="CC567">
        <v>-0.2878</v>
      </c>
      <c r="CD567">
        <v>0.1221</v>
      </c>
      <c r="CE567">
        <v>-0.31740000000000002</v>
      </c>
      <c r="CF567">
        <v>196.7568</v>
      </c>
      <c r="CG567">
        <v>51.179900000000004</v>
      </c>
      <c r="CH567">
        <v>2.3044000000000002</v>
      </c>
      <c r="CI567">
        <v>2.1419000000000001</v>
      </c>
      <c r="CJ567">
        <v>1.181</v>
      </c>
      <c r="CK567">
        <v>7.5883000000000003</v>
      </c>
      <c r="CL567">
        <v>7.0530999999999997</v>
      </c>
      <c r="CM567">
        <v>3.8891</v>
      </c>
      <c r="CN567">
        <v>-19.7347</v>
      </c>
      <c r="CO567">
        <v>-24.5869</v>
      </c>
      <c r="CP567">
        <v>2912</v>
      </c>
      <c r="CQ567" t="s">
        <v>134</v>
      </c>
      <c r="CR567">
        <v>2603.8000000000002</v>
      </c>
      <c r="CS567">
        <v>0.29949999999999999</v>
      </c>
      <c r="CT567">
        <v>1.0548</v>
      </c>
      <c r="CU567">
        <v>0.40510000000000002</v>
      </c>
      <c r="CV567">
        <v>18.178599999999999</v>
      </c>
      <c r="CW567">
        <v>54.847099999999998</v>
      </c>
      <c r="CX567">
        <v>6.6730999999999998</v>
      </c>
      <c r="CY567">
        <v>11.863</v>
      </c>
      <c r="CZ567">
        <v>30.8523</v>
      </c>
      <c r="DA567">
        <v>6.9833999999999996</v>
      </c>
      <c r="DB567">
        <v>52.410299999999999</v>
      </c>
      <c r="DC567">
        <v>-14.8849</v>
      </c>
      <c r="DD567">
        <v>37.525399999999998</v>
      </c>
      <c r="DE567">
        <v>4406.5</v>
      </c>
      <c r="DF567">
        <v>1487.2</v>
      </c>
      <c r="DG567">
        <v>2.8</v>
      </c>
      <c r="DH567">
        <v>2112.6999999999998</v>
      </c>
      <c r="DI567">
        <v>803.8</v>
      </c>
    </row>
    <row r="568" spans="4:113" x14ac:dyDescent="0.3">
      <c r="D568" t="s">
        <v>84</v>
      </c>
      <c r="E568" t="s">
        <v>77</v>
      </c>
      <c r="F568">
        <v>36.944499999999998</v>
      </c>
      <c r="G568">
        <v>23.267199999999999</v>
      </c>
      <c r="H568">
        <v>35.210500000000003</v>
      </c>
      <c r="I568">
        <v>31.376999999999999</v>
      </c>
      <c r="J568">
        <v>14.261799999999999</v>
      </c>
      <c r="K568">
        <v>12.931000000000001</v>
      </c>
      <c r="L568">
        <v>9.0965000000000007</v>
      </c>
      <c r="M568">
        <v>14.549900000000001</v>
      </c>
      <c r="N568">
        <v>9.8704000000000001</v>
      </c>
      <c r="O568">
        <v>9.8688000000000002</v>
      </c>
      <c r="P568">
        <v>9.8688000000000002</v>
      </c>
      <c r="Q568">
        <v>32.183300000000003</v>
      </c>
      <c r="R568">
        <v>29.848600000000001</v>
      </c>
      <c r="S568">
        <v>25.917100000000001</v>
      </c>
      <c r="T568">
        <v>7.6493000000000002</v>
      </c>
      <c r="U568">
        <v>5.2527999999999997</v>
      </c>
      <c r="V568">
        <v>5.2617000000000003</v>
      </c>
      <c r="W568">
        <v>7.2683</v>
      </c>
      <c r="X568">
        <v>7.2614000000000001</v>
      </c>
      <c r="Y568">
        <v>10</v>
      </c>
      <c r="Z568">
        <v>5.0114000000000001</v>
      </c>
      <c r="AA568">
        <v>50.107799999999997</v>
      </c>
      <c r="AB568">
        <v>13.642200000000001</v>
      </c>
      <c r="AC568">
        <v>17.5989</v>
      </c>
      <c r="AD568" t="s">
        <v>134</v>
      </c>
      <c r="AE568">
        <v>152.06450000000001</v>
      </c>
      <c r="AF568">
        <v>-1.5304</v>
      </c>
      <c r="AG568">
        <v>-2.12</v>
      </c>
      <c r="AH568">
        <v>-6.5403000000000002</v>
      </c>
      <c r="AI568">
        <v>28.884399999999999</v>
      </c>
      <c r="AJ568">
        <v>26.9041</v>
      </c>
      <c r="AK568">
        <v>28.884799999999998</v>
      </c>
      <c r="AL568">
        <v>-49.936300000000003</v>
      </c>
      <c r="AM568">
        <v>10.4163</v>
      </c>
      <c r="AN568">
        <v>32.679099999999998</v>
      </c>
      <c r="AO568">
        <v>36.005400000000002</v>
      </c>
      <c r="AP568">
        <v>34.687199999999997</v>
      </c>
      <c r="AQ568">
        <v>34.590400000000002</v>
      </c>
      <c r="AR568">
        <v>20.948599999999999</v>
      </c>
      <c r="AS568">
        <v>9.6540999999999997</v>
      </c>
      <c r="AT568">
        <v>8.9057999999999993</v>
      </c>
      <c r="AU568">
        <v>10.3513</v>
      </c>
      <c r="AV568">
        <v>17.404</v>
      </c>
      <c r="AW568" t="s">
        <v>134</v>
      </c>
      <c r="AX568" t="s">
        <v>134</v>
      </c>
      <c r="AY568">
        <v>14.367699999999999</v>
      </c>
      <c r="AZ568">
        <v>-31.058700000000002</v>
      </c>
      <c r="BA568">
        <v>-28.126000000000001</v>
      </c>
      <c r="BB568">
        <v>45.679699999999997</v>
      </c>
      <c r="BC568">
        <v>22.6173</v>
      </c>
      <c r="BD568">
        <v>45.672600000000003</v>
      </c>
      <c r="BE568">
        <v>16.890599999999999</v>
      </c>
      <c r="BF568">
        <v>7.6493000000000002</v>
      </c>
      <c r="BG568">
        <v>5.2527999999999997</v>
      </c>
      <c r="BH568">
        <v>5.2617000000000003</v>
      </c>
      <c r="BI568">
        <v>7.2683</v>
      </c>
      <c r="BJ568">
        <v>7.2614000000000001</v>
      </c>
      <c r="BK568">
        <v>10</v>
      </c>
      <c r="BL568">
        <v>5.0114000000000001</v>
      </c>
      <c r="BM568">
        <v>50.107799999999997</v>
      </c>
      <c r="BN568">
        <v>13.642200000000001</v>
      </c>
      <c r="BO568">
        <v>17.5989</v>
      </c>
      <c r="BP568" t="s">
        <v>134</v>
      </c>
      <c r="BQ568">
        <v>152.06450000000001</v>
      </c>
      <c r="BR568">
        <v>-1.5304</v>
      </c>
      <c r="BS568">
        <v>-2.12</v>
      </c>
      <c r="BT568">
        <v>-6.5403000000000002</v>
      </c>
      <c r="BU568">
        <v>28.884399999999999</v>
      </c>
      <c r="BV568">
        <v>26.9041</v>
      </c>
      <c r="BW568">
        <v>28.884799999999998</v>
      </c>
      <c r="BX568">
        <v>-49.936300000000003</v>
      </c>
      <c r="BY568">
        <v>1158.9000000000001</v>
      </c>
      <c r="BZ568">
        <v>844.9</v>
      </c>
      <c r="CA568">
        <v>314</v>
      </c>
      <c r="CB568">
        <v>9.0700000000000003E-2</v>
      </c>
      <c r="CC568">
        <v>-0.13800000000000001</v>
      </c>
      <c r="CD568">
        <v>0.1</v>
      </c>
      <c r="CE568">
        <v>-0.1522</v>
      </c>
      <c r="CF568">
        <v>589.02300000000002</v>
      </c>
      <c r="CG568">
        <v>65.625500000000002</v>
      </c>
      <c r="CH568">
        <v>1.1634</v>
      </c>
      <c r="CI568">
        <v>1.1154999999999999</v>
      </c>
      <c r="CJ568">
        <v>0.76419999999999999</v>
      </c>
      <c r="CK568">
        <v>4.2938000000000001</v>
      </c>
      <c r="CL568">
        <v>4.117</v>
      </c>
      <c r="CM568">
        <v>2.8205</v>
      </c>
      <c r="CN568">
        <v>-6.5339</v>
      </c>
      <c r="CO568">
        <v>-6.9905999999999997</v>
      </c>
      <c r="CP568">
        <v>12781.8</v>
      </c>
      <c r="CQ568">
        <v>9184</v>
      </c>
      <c r="CR568">
        <v>11589.1</v>
      </c>
      <c r="CS568">
        <v>0.2172</v>
      </c>
      <c r="CT568">
        <v>1.7387000000000001</v>
      </c>
      <c r="CU568">
        <v>0.35039999999999999</v>
      </c>
      <c r="CV568">
        <v>21.5002</v>
      </c>
      <c r="CW568">
        <v>51.246699999999997</v>
      </c>
      <c r="CX568">
        <v>7.1223999999999998</v>
      </c>
      <c r="CY568">
        <v>10.2402</v>
      </c>
      <c r="CZ568">
        <v>35.643700000000003</v>
      </c>
      <c r="DA568">
        <v>7.6830999999999996</v>
      </c>
      <c r="DB568">
        <v>47.507100000000001</v>
      </c>
      <c r="DC568">
        <v>-4.7408999999999999</v>
      </c>
      <c r="DD568">
        <v>42.766100000000002</v>
      </c>
      <c r="DE568">
        <v>6614.5</v>
      </c>
      <c r="DF568">
        <v>2952</v>
      </c>
      <c r="DG568">
        <v>18.8</v>
      </c>
      <c r="DH568">
        <v>2661.7</v>
      </c>
      <c r="DI568">
        <v>982</v>
      </c>
    </row>
    <row r="569" spans="4:113" x14ac:dyDescent="0.3">
      <c r="E569" t="s">
        <v>78</v>
      </c>
      <c r="F569" t="s">
        <v>134</v>
      </c>
      <c r="G569" t="s">
        <v>134</v>
      </c>
      <c r="H569" t="s">
        <v>134</v>
      </c>
      <c r="I569" t="s">
        <v>134</v>
      </c>
      <c r="J569">
        <v>15.012</v>
      </c>
      <c r="K569">
        <v>13.689299999999999</v>
      </c>
      <c r="L569">
        <v>16.582899999999999</v>
      </c>
      <c r="M569">
        <v>15.4901</v>
      </c>
      <c r="N569">
        <v>10.407299999999999</v>
      </c>
      <c r="O569">
        <v>10.403499999999999</v>
      </c>
      <c r="P569">
        <v>10.403499999999999</v>
      </c>
      <c r="Q569">
        <v>32.831699999999998</v>
      </c>
      <c r="R569" t="s">
        <v>134</v>
      </c>
      <c r="S569" t="s">
        <v>134</v>
      </c>
      <c r="T569">
        <v>8.5089000000000006</v>
      </c>
      <c r="U569">
        <v>9.6774000000000004</v>
      </c>
      <c r="V569">
        <v>10.4963</v>
      </c>
      <c r="W569">
        <v>13.151899999999999</v>
      </c>
      <c r="X569">
        <v>12.698600000000001</v>
      </c>
      <c r="Y569" t="s">
        <v>134</v>
      </c>
      <c r="Z569" t="s">
        <v>134</v>
      </c>
      <c r="AA569" t="s">
        <v>134</v>
      </c>
      <c r="AB569" t="s">
        <v>134</v>
      </c>
      <c r="AC569" t="s">
        <v>134</v>
      </c>
      <c r="AD569" t="s">
        <v>134</v>
      </c>
      <c r="AE569" t="s">
        <v>134</v>
      </c>
      <c r="AF569" t="s">
        <v>134</v>
      </c>
      <c r="AG569" t="s">
        <v>134</v>
      </c>
      <c r="AH569" t="s">
        <v>134</v>
      </c>
      <c r="AI569" t="s">
        <v>134</v>
      </c>
      <c r="AJ569" t="s">
        <v>134</v>
      </c>
      <c r="AK569" t="s">
        <v>134</v>
      </c>
      <c r="AL569" t="s">
        <v>134</v>
      </c>
      <c r="AM569" t="s">
        <v>134</v>
      </c>
      <c r="AN569" t="s">
        <v>134</v>
      </c>
      <c r="AO569" t="s">
        <v>134</v>
      </c>
      <c r="AP569" t="s">
        <v>134</v>
      </c>
      <c r="AQ569" t="s">
        <v>134</v>
      </c>
      <c r="AR569" t="s">
        <v>134</v>
      </c>
      <c r="AS569" t="s">
        <v>134</v>
      </c>
      <c r="AT569" t="s">
        <v>134</v>
      </c>
      <c r="AU569" t="s">
        <v>134</v>
      </c>
      <c r="AV569" t="s">
        <v>134</v>
      </c>
      <c r="AW569" t="s">
        <v>134</v>
      </c>
      <c r="AX569" t="s">
        <v>134</v>
      </c>
      <c r="AY569" t="s">
        <v>134</v>
      </c>
      <c r="AZ569" t="s">
        <v>134</v>
      </c>
      <c r="BA569" t="s">
        <v>134</v>
      </c>
      <c r="BB569" t="s">
        <v>134</v>
      </c>
      <c r="BC569" t="s">
        <v>134</v>
      </c>
      <c r="BD569" t="s">
        <v>134</v>
      </c>
      <c r="BE569" t="s">
        <v>134</v>
      </c>
      <c r="BF569">
        <v>-0.27600000000000002</v>
      </c>
      <c r="BG569">
        <v>8.9367999999999999</v>
      </c>
      <c r="BH569">
        <v>11.1394</v>
      </c>
      <c r="BI569">
        <v>10.1488</v>
      </c>
      <c r="BJ569">
        <v>10.1172</v>
      </c>
      <c r="BK569" t="s">
        <v>134</v>
      </c>
      <c r="BL569" t="s">
        <v>134</v>
      </c>
      <c r="BM569" t="s">
        <v>134</v>
      </c>
      <c r="BN569" t="s">
        <v>134</v>
      </c>
      <c r="BO569" t="s">
        <v>134</v>
      </c>
      <c r="BP569" t="s">
        <v>134</v>
      </c>
      <c r="BQ569" t="s">
        <v>134</v>
      </c>
      <c r="BR569" t="s">
        <v>134</v>
      </c>
      <c r="BS569" t="s">
        <v>134</v>
      </c>
      <c r="BT569" t="s">
        <v>134</v>
      </c>
      <c r="BU569" t="s">
        <v>134</v>
      </c>
      <c r="BV569" t="s">
        <v>134</v>
      </c>
      <c r="BW569" t="s">
        <v>134</v>
      </c>
      <c r="BX569" t="s">
        <v>134</v>
      </c>
      <c r="BY569" t="s">
        <v>134</v>
      </c>
      <c r="BZ569" t="s">
        <v>134</v>
      </c>
      <c r="CA569" t="s">
        <v>134</v>
      </c>
      <c r="CB569" t="s">
        <v>134</v>
      </c>
      <c r="CC569" t="s">
        <v>134</v>
      </c>
      <c r="CD569" t="s">
        <v>134</v>
      </c>
      <c r="CE569" t="s">
        <v>134</v>
      </c>
      <c r="CF569">
        <v>210.8</v>
      </c>
      <c r="CG569" t="s">
        <v>134</v>
      </c>
      <c r="CH569" t="s">
        <v>134</v>
      </c>
      <c r="CI569" t="s">
        <v>134</v>
      </c>
      <c r="CJ569" t="s">
        <v>134</v>
      </c>
      <c r="CK569" t="s">
        <v>134</v>
      </c>
      <c r="CL569" t="s">
        <v>134</v>
      </c>
      <c r="CM569" t="s">
        <v>134</v>
      </c>
      <c r="CN569" t="s">
        <v>134</v>
      </c>
      <c r="CO569" t="s">
        <v>134</v>
      </c>
      <c r="CP569">
        <v>3162</v>
      </c>
      <c r="CQ569" t="s">
        <v>134</v>
      </c>
      <c r="CR569">
        <v>2883.4</v>
      </c>
      <c r="CS569" t="s">
        <v>134</v>
      </c>
      <c r="CT569" t="s">
        <v>134</v>
      </c>
      <c r="CU569" t="s">
        <v>134</v>
      </c>
      <c r="CV569" t="s">
        <v>134</v>
      </c>
      <c r="CW569" t="s">
        <v>134</v>
      </c>
      <c r="CX569" t="s">
        <v>134</v>
      </c>
      <c r="CY569" t="s">
        <v>134</v>
      </c>
      <c r="CZ569" t="s">
        <v>134</v>
      </c>
      <c r="DA569" t="s">
        <v>134</v>
      </c>
      <c r="DB569" t="s">
        <v>134</v>
      </c>
      <c r="DC569" t="s">
        <v>134</v>
      </c>
      <c r="DD569" t="s">
        <v>134</v>
      </c>
      <c r="DE569" t="s">
        <v>134</v>
      </c>
      <c r="DF569" t="s">
        <v>134</v>
      </c>
      <c r="DG569" t="s">
        <v>134</v>
      </c>
      <c r="DH569" t="s">
        <v>134</v>
      </c>
      <c r="DI569" t="s">
        <v>134</v>
      </c>
    </row>
    <row r="570" spans="4:113" x14ac:dyDescent="0.3">
      <c r="E570" t="s">
        <v>79</v>
      </c>
      <c r="F570">
        <v>43.964700000000001</v>
      </c>
      <c r="G570">
        <v>25.0078</v>
      </c>
      <c r="H570" t="s">
        <v>134</v>
      </c>
      <c r="I570">
        <v>36.268500000000003</v>
      </c>
      <c r="J570">
        <v>14.3528</v>
      </c>
      <c r="K570">
        <v>13.1275</v>
      </c>
      <c r="L570">
        <v>5.4751000000000003</v>
      </c>
      <c r="M570">
        <v>14.8063</v>
      </c>
      <c r="N570">
        <v>9.9124999999999996</v>
      </c>
      <c r="O570">
        <v>9.9083000000000006</v>
      </c>
      <c r="P570">
        <v>9.9083000000000006</v>
      </c>
      <c r="Q570">
        <v>33.0578</v>
      </c>
      <c r="R570" t="s">
        <v>134</v>
      </c>
      <c r="S570" t="s">
        <v>134</v>
      </c>
      <c r="T570">
        <v>10.9704</v>
      </c>
      <c r="U570">
        <v>4.4763999999999999</v>
      </c>
      <c r="V570">
        <v>4.3003999999999998</v>
      </c>
      <c r="W570">
        <v>5.7975000000000003</v>
      </c>
      <c r="X570">
        <v>5.7515000000000001</v>
      </c>
      <c r="Y570" t="s">
        <v>134</v>
      </c>
      <c r="Z570">
        <v>46.379399999999997</v>
      </c>
      <c r="AA570">
        <v>13.0807</v>
      </c>
      <c r="AB570">
        <v>15.1267</v>
      </c>
      <c r="AC570">
        <v>22.6069</v>
      </c>
      <c r="AD570">
        <v>66.443100000000001</v>
      </c>
      <c r="AE570">
        <v>61.705799999999996</v>
      </c>
      <c r="AF570">
        <v>4.4871999999999996</v>
      </c>
      <c r="AG570">
        <v>1.5853000000000002</v>
      </c>
      <c r="AH570">
        <v>-10.6607</v>
      </c>
      <c r="AI570">
        <v>36.404600000000002</v>
      </c>
      <c r="AJ570">
        <v>33.057299999999998</v>
      </c>
      <c r="AK570">
        <v>36.389299999999999</v>
      </c>
      <c r="AL570" t="s">
        <v>134</v>
      </c>
      <c r="AM570" t="s">
        <v>134</v>
      </c>
      <c r="AN570" t="s">
        <v>134</v>
      </c>
      <c r="AO570" t="s">
        <v>134</v>
      </c>
      <c r="AP570" t="s">
        <v>134</v>
      </c>
      <c r="AQ570" t="s">
        <v>134</v>
      </c>
      <c r="AR570" t="s">
        <v>134</v>
      </c>
      <c r="AS570" t="s">
        <v>134</v>
      </c>
      <c r="AT570" t="s">
        <v>134</v>
      </c>
      <c r="AU570" t="s">
        <v>134</v>
      </c>
      <c r="AV570" t="s">
        <v>134</v>
      </c>
      <c r="AW570" t="s">
        <v>134</v>
      </c>
      <c r="AX570" t="s">
        <v>134</v>
      </c>
      <c r="AY570" t="s">
        <v>134</v>
      </c>
      <c r="AZ570" t="s">
        <v>134</v>
      </c>
      <c r="BA570" t="s">
        <v>134</v>
      </c>
      <c r="BB570" t="s">
        <v>134</v>
      </c>
      <c r="BC570" t="s">
        <v>134</v>
      </c>
      <c r="BD570" t="s">
        <v>134</v>
      </c>
      <c r="BE570" t="s">
        <v>134</v>
      </c>
      <c r="BF570">
        <v>12.0989</v>
      </c>
      <c r="BG570">
        <v>7.1757999999999997</v>
      </c>
      <c r="BH570">
        <v>7.4981</v>
      </c>
      <c r="BI570">
        <v>6.7630999999999997</v>
      </c>
      <c r="BJ570">
        <v>6.6867000000000001</v>
      </c>
      <c r="BK570" t="s">
        <v>134</v>
      </c>
      <c r="BL570" t="s">
        <v>134</v>
      </c>
      <c r="BM570" t="s">
        <v>134</v>
      </c>
      <c r="BN570" t="s">
        <v>134</v>
      </c>
      <c r="BO570" t="s">
        <v>134</v>
      </c>
      <c r="BP570" t="s">
        <v>134</v>
      </c>
      <c r="BQ570" t="s">
        <v>134</v>
      </c>
      <c r="BR570" t="s">
        <v>134</v>
      </c>
      <c r="BS570" t="s">
        <v>134</v>
      </c>
      <c r="BT570" t="s">
        <v>134</v>
      </c>
      <c r="BU570" t="s">
        <v>134</v>
      </c>
      <c r="BV570" t="s">
        <v>134</v>
      </c>
      <c r="BW570" t="s">
        <v>134</v>
      </c>
      <c r="BX570" t="s">
        <v>134</v>
      </c>
      <c r="BY570">
        <v>1137.2</v>
      </c>
      <c r="BZ570">
        <v>865.1</v>
      </c>
      <c r="CA570">
        <v>272.10000000000002</v>
      </c>
      <c r="CB570">
        <v>9.0499999999999997E-2</v>
      </c>
      <c r="CC570">
        <v>-0.36020000000000002</v>
      </c>
      <c r="CD570">
        <v>9.9699999999999997E-2</v>
      </c>
      <c r="CE570">
        <v>-0.3967</v>
      </c>
      <c r="CF570">
        <v>221.4967</v>
      </c>
      <c r="CG570">
        <v>59.597000000000001</v>
      </c>
      <c r="CH570">
        <v>1.1999</v>
      </c>
      <c r="CI570">
        <v>1.1426000000000001</v>
      </c>
      <c r="CJ570">
        <v>0.71589999999999998</v>
      </c>
      <c r="CK570">
        <v>5.0148000000000001</v>
      </c>
      <c r="CL570">
        <v>4.7752999999999997</v>
      </c>
      <c r="CM570">
        <v>2.9920999999999998</v>
      </c>
      <c r="CN570">
        <v>-19.9541</v>
      </c>
      <c r="CO570">
        <v>-24.9284</v>
      </c>
      <c r="CP570">
        <v>3388.9</v>
      </c>
      <c r="CQ570" t="s">
        <v>134</v>
      </c>
      <c r="CR570">
        <v>3099.6</v>
      </c>
      <c r="CS570">
        <v>0.3851</v>
      </c>
      <c r="CT570">
        <v>1.4332</v>
      </c>
      <c r="CU570">
        <v>0.52529999999999999</v>
      </c>
      <c r="CV570">
        <v>20.2606</v>
      </c>
      <c r="CW570">
        <v>50.275300000000001</v>
      </c>
      <c r="CX570">
        <v>7.2798999999999996</v>
      </c>
      <c r="CY570">
        <v>11.3223</v>
      </c>
      <c r="CZ570">
        <v>32.325499999999998</v>
      </c>
      <c r="DA570">
        <v>7.3446999999999996</v>
      </c>
      <c r="DB570">
        <v>49.832099999999997</v>
      </c>
      <c r="DC570">
        <v>-10.226699999999999</v>
      </c>
      <c r="DD570">
        <v>39.605400000000003</v>
      </c>
      <c r="DE570">
        <v>5040.8</v>
      </c>
      <c r="DF570" t="s">
        <v>134</v>
      </c>
      <c r="DG570" t="s">
        <v>134</v>
      </c>
      <c r="DH570" t="s">
        <v>134</v>
      </c>
      <c r="DI570" t="s">
        <v>134</v>
      </c>
    </row>
    <row r="571" spans="4:113" x14ac:dyDescent="0.3">
      <c r="E571" t="s">
        <v>80</v>
      </c>
      <c r="F571" t="s">
        <v>134</v>
      </c>
      <c r="G571" t="s">
        <v>134</v>
      </c>
      <c r="H571" t="s">
        <v>134</v>
      </c>
      <c r="I571" t="s">
        <v>134</v>
      </c>
      <c r="J571">
        <v>13.8005</v>
      </c>
      <c r="K571">
        <v>12.463900000000001</v>
      </c>
      <c r="L571" t="s">
        <v>134</v>
      </c>
      <c r="M571">
        <v>14.132099999999999</v>
      </c>
      <c r="N571">
        <v>9.7333999999999996</v>
      </c>
      <c r="O571">
        <v>9.7355999999999998</v>
      </c>
      <c r="P571">
        <v>9.7355999999999998</v>
      </c>
      <c r="Q571">
        <v>31.140999999999998</v>
      </c>
      <c r="R571" t="s">
        <v>134</v>
      </c>
      <c r="S571" t="s">
        <v>134</v>
      </c>
      <c r="T571">
        <v>5.6121999999999996</v>
      </c>
      <c r="U571">
        <v>0.4758</v>
      </c>
      <c r="V571">
        <v>-0.26150000000000001</v>
      </c>
      <c r="W571">
        <v>4.5918000000000001</v>
      </c>
      <c r="X571">
        <v>4.5532000000000004</v>
      </c>
      <c r="Y571" t="s">
        <v>134</v>
      </c>
      <c r="Z571" t="s">
        <v>134</v>
      </c>
      <c r="AA571" t="s">
        <v>134</v>
      </c>
      <c r="AB571" t="s">
        <v>134</v>
      </c>
      <c r="AC571" t="s">
        <v>134</v>
      </c>
      <c r="AD571" t="s">
        <v>134</v>
      </c>
      <c r="AE571" t="s">
        <v>134</v>
      </c>
      <c r="AF571" t="s">
        <v>134</v>
      </c>
      <c r="AG571" t="s">
        <v>134</v>
      </c>
      <c r="AH571" t="s">
        <v>134</v>
      </c>
      <c r="AI571" t="s">
        <v>134</v>
      </c>
      <c r="AJ571" t="s">
        <v>134</v>
      </c>
      <c r="AK571" t="s">
        <v>134</v>
      </c>
      <c r="AL571" t="s">
        <v>134</v>
      </c>
      <c r="AM571" t="s">
        <v>134</v>
      </c>
      <c r="AN571" t="s">
        <v>134</v>
      </c>
      <c r="AO571" t="s">
        <v>134</v>
      </c>
      <c r="AP571" t="s">
        <v>134</v>
      </c>
      <c r="AQ571" t="s">
        <v>134</v>
      </c>
      <c r="AR571" t="s">
        <v>134</v>
      </c>
      <c r="AS571" t="s">
        <v>134</v>
      </c>
      <c r="AT571" t="s">
        <v>134</v>
      </c>
      <c r="AU571" t="s">
        <v>134</v>
      </c>
      <c r="AV571" t="s">
        <v>134</v>
      </c>
      <c r="AW571" t="s">
        <v>134</v>
      </c>
      <c r="AX571" t="s">
        <v>134</v>
      </c>
      <c r="AY571" t="s">
        <v>134</v>
      </c>
      <c r="AZ571" t="s">
        <v>134</v>
      </c>
      <c r="BA571" t="s">
        <v>134</v>
      </c>
      <c r="BB571" t="s">
        <v>134</v>
      </c>
      <c r="BC571" t="s">
        <v>134</v>
      </c>
      <c r="BD571" t="s">
        <v>134</v>
      </c>
      <c r="BE571" t="s">
        <v>134</v>
      </c>
      <c r="BF571">
        <v>-4.0815000000000001</v>
      </c>
      <c r="BG571">
        <v>-7.7724000000000002</v>
      </c>
      <c r="BH571">
        <v>-8.9301999999999992</v>
      </c>
      <c r="BI571">
        <v>-5.7534000000000001</v>
      </c>
      <c r="BJ571">
        <v>-5.7465000000000002</v>
      </c>
      <c r="BK571" t="s">
        <v>134</v>
      </c>
      <c r="BL571" t="s">
        <v>134</v>
      </c>
      <c r="BM571" t="s">
        <v>134</v>
      </c>
      <c r="BN571" t="s">
        <v>134</v>
      </c>
      <c r="BO571" t="s">
        <v>134</v>
      </c>
      <c r="BP571" t="s">
        <v>134</v>
      </c>
      <c r="BQ571" t="s">
        <v>134</v>
      </c>
      <c r="BR571" t="s">
        <v>134</v>
      </c>
      <c r="BS571" t="s">
        <v>134</v>
      </c>
      <c r="BT571" t="s">
        <v>134</v>
      </c>
      <c r="BU571" t="s">
        <v>134</v>
      </c>
      <c r="BV571" t="s">
        <v>134</v>
      </c>
      <c r="BW571" t="s">
        <v>134</v>
      </c>
      <c r="BX571" t="s">
        <v>134</v>
      </c>
      <c r="BY571" t="s">
        <v>134</v>
      </c>
      <c r="BZ571" t="s">
        <v>134</v>
      </c>
      <c r="CA571" t="s">
        <v>134</v>
      </c>
      <c r="CB571" t="s">
        <v>134</v>
      </c>
      <c r="CC571" t="s">
        <v>134</v>
      </c>
      <c r="CD571" t="s">
        <v>134</v>
      </c>
      <c r="CE571" t="s">
        <v>134</v>
      </c>
      <c r="CF571">
        <v>284.13639999999998</v>
      </c>
      <c r="CG571" t="s">
        <v>134</v>
      </c>
      <c r="CH571" t="s">
        <v>134</v>
      </c>
      <c r="CI571" t="s">
        <v>134</v>
      </c>
      <c r="CJ571" t="s">
        <v>134</v>
      </c>
      <c r="CK571" t="s">
        <v>134</v>
      </c>
      <c r="CL571" t="s">
        <v>134</v>
      </c>
      <c r="CM571" t="s">
        <v>134</v>
      </c>
      <c r="CN571" t="s">
        <v>134</v>
      </c>
      <c r="CO571" t="s">
        <v>134</v>
      </c>
      <c r="CP571">
        <v>3125.5</v>
      </c>
      <c r="CQ571" t="s">
        <v>134</v>
      </c>
      <c r="CR571">
        <v>2822.8</v>
      </c>
      <c r="CS571" t="s">
        <v>134</v>
      </c>
      <c r="CT571" t="s">
        <v>134</v>
      </c>
      <c r="CU571" t="s">
        <v>134</v>
      </c>
      <c r="CV571" t="s">
        <v>134</v>
      </c>
      <c r="CW571" t="s">
        <v>134</v>
      </c>
      <c r="CX571" t="s">
        <v>134</v>
      </c>
      <c r="CY571" t="s">
        <v>134</v>
      </c>
      <c r="CZ571" t="s">
        <v>134</v>
      </c>
      <c r="DA571" t="s">
        <v>134</v>
      </c>
      <c r="DB571" t="s">
        <v>134</v>
      </c>
      <c r="DC571" t="s">
        <v>134</v>
      </c>
      <c r="DD571" t="s">
        <v>134</v>
      </c>
      <c r="DE571" t="s">
        <v>134</v>
      </c>
      <c r="DF571" t="s">
        <v>134</v>
      </c>
      <c r="DG571" t="s">
        <v>134</v>
      </c>
      <c r="DH571" t="s">
        <v>134</v>
      </c>
      <c r="DI571" t="s">
        <v>134</v>
      </c>
    </row>
    <row r="572" spans="4:113" x14ac:dyDescent="0.3">
      <c r="E572" t="s">
        <v>81</v>
      </c>
      <c r="F572">
        <v>36.944499999999998</v>
      </c>
      <c r="G572">
        <v>23.267199999999999</v>
      </c>
      <c r="H572" t="s">
        <v>134</v>
      </c>
      <c r="I572">
        <v>31.278600000000001</v>
      </c>
      <c r="J572">
        <v>13.8154</v>
      </c>
      <c r="K572">
        <v>12.3711</v>
      </c>
      <c r="L572">
        <v>13.943999999999999</v>
      </c>
      <c r="M572">
        <v>13.8146</v>
      </c>
      <c r="N572">
        <v>9.4576999999999991</v>
      </c>
      <c r="O572">
        <v>9.4572000000000003</v>
      </c>
      <c r="P572">
        <v>9.4572000000000003</v>
      </c>
      <c r="Q572">
        <v>31.587</v>
      </c>
      <c r="R572" t="s">
        <v>134</v>
      </c>
      <c r="S572" t="s">
        <v>134</v>
      </c>
      <c r="T572">
        <v>5.5819999999999999</v>
      </c>
      <c r="U572">
        <v>6.1428000000000003</v>
      </c>
      <c r="V572">
        <v>6.3367000000000004</v>
      </c>
      <c r="W572">
        <v>6.0118999999999998</v>
      </c>
      <c r="X572">
        <v>5.9071999999999996</v>
      </c>
      <c r="Y572" t="s">
        <v>134</v>
      </c>
      <c r="Z572">
        <v>5.0114000000000001</v>
      </c>
      <c r="AA572">
        <v>50.107799999999997</v>
      </c>
      <c r="AB572">
        <v>13.642200000000001</v>
      </c>
      <c r="AC572">
        <v>17.5989</v>
      </c>
      <c r="AD572" t="s">
        <v>134</v>
      </c>
      <c r="AE572">
        <v>152.06450000000001</v>
      </c>
      <c r="AF572">
        <v>-1.5304</v>
      </c>
      <c r="AG572">
        <v>-2.12</v>
      </c>
      <c r="AH572">
        <v>-6.5403000000000002</v>
      </c>
      <c r="AI572">
        <v>28.884399999999999</v>
      </c>
      <c r="AJ572">
        <v>26.9041</v>
      </c>
      <c r="AK572">
        <v>28.884799999999998</v>
      </c>
      <c r="AL572" t="s">
        <v>134</v>
      </c>
      <c r="AM572" t="s">
        <v>134</v>
      </c>
      <c r="AN572" t="s">
        <v>134</v>
      </c>
      <c r="AO572" t="s">
        <v>134</v>
      </c>
      <c r="AP572" t="s">
        <v>134</v>
      </c>
      <c r="AQ572" t="s">
        <v>134</v>
      </c>
      <c r="AR572" t="s">
        <v>134</v>
      </c>
      <c r="AS572" t="s">
        <v>134</v>
      </c>
      <c r="AT572" t="s">
        <v>134</v>
      </c>
      <c r="AU572" t="s">
        <v>134</v>
      </c>
      <c r="AV572" t="s">
        <v>134</v>
      </c>
      <c r="AW572" t="s">
        <v>134</v>
      </c>
      <c r="AX572" t="s">
        <v>134</v>
      </c>
      <c r="AY572" t="s">
        <v>134</v>
      </c>
      <c r="AZ572" t="s">
        <v>134</v>
      </c>
      <c r="BA572" t="s">
        <v>134</v>
      </c>
      <c r="BB572" t="s">
        <v>134</v>
      </c>
      <c r="BC572" t="s">
        <v>134</v>
      </c>
      <c r="BD572" t="s">
        <v>134</v>
      </c>
      <c r="BE572" t="s">
        <v>134</v>
      </c>
      <c r="BF572">
        <v>-1.5339</v>
      </c>
      <c r="BG572">
        <v>-1.427</v>
      </c>
      <c r="BH572">
        <v>-2.2673000000000001</v>
      </c>
      <c r="BI572">
        <v>-4.3494000000000002</v>
      </c>
      <c r="BJ572">
        <v>-4.3548999999999998</v>
      </c>
      <c r="BK572" t="s">
        <v>134</v>
      </c>
      <c r="BL572" t="s">
        <v>134</v>
      </c>
      <c r="BM572" t="s">
        <v>134</v>
      </c>
      <c r="BN572" t="s">
        <v>134</v>
      </c>
      <c r="BO572" t="s">
        <v>134</v>
      </c>
      <c r="BP572" t="s">
        <v>134</v>
      </c>
      <c r="BQ572" t="s">
        <v>134</v>
      </c>
      <c r="BR572" t="s">
        <v>134</v>
      </c>
      <c r="BS572" t="s">
        <v>134</v>
      </c>
      <c r="BT572" t="s">
        <v>134</v>
      </c>
      <c r="BU572" t="s">
        <v>134</v>
      </c>
      <c r="BV572" t="s">
        <v>134</v>
      </c>
      <c r="BW572" t="s">
        <v>134</v>
      </c>
      <c r="BX572" t="s">
        <v>134</v>
      </c>
      <c r="BY572">
        <v>1158.9000000000001</v>
      </c>
      <c r="BZ572">
        <v>844.9</v>
      </c>
      <c r="CA572">
        <v>314</v>
      </c>
      <c r="CB572">
        <v>9.0800000000000006E-2</v>
      </c>
      <c r="CC572">
        <v>-0.13819999999999999</v>
      </c>
      <c r="CD572">
        <v>0.1002</v>
      </c>
      <c r="CE572">
        <v>-0.1525</v>
      </c>
      <c r="CF572">
        <v>233.4015</v>
      </c>
      <c r="CG572">
        <v>65.625500000000002</v>
      </c>
      <c r="CH572">
        <v>1.1634</v>
      </c>
      <c r="CI572">
        <v>1.1154999999999999</v>
      </c>
      <c r="CJ572">
        <v>0.76419999999999999</v>
      </c>
      <c r="CK572">
        <v>4.2938000000000001</v>
      </c>
      <c r="CL572">
        <v>4.117</v>
      </c>
      <c r="CM572">
        <v>2.8205</v>
      </c>
      <c r="CN572">
        <v>-6.5339</v>
      </c>
      <c r="CO572">
        <v>-6.9905999999999997</v>
      </c>
      <c r="CP572">
        <v>3080.9</v>
      </c>
      <c r="CQ572" t="s">
        <v>134</v>
      </c>
      <c r="CR572">
        <v>2758.8</v>
      </c>
      <c r="CS572">
        <v>0.2172</v>
      </c>
      <c r="CT572">
        <v>1.7387000000000001</v>
      </c>
      <c r="CU572">
        <v>0.35039999999999999</v>
      </c>
      <c r="CV572">
        <v>21.5002</v>
      </c>
      <c r="CW572">
        <v>51.246699999999997</v>
      </c>
      <c r="CX572">
        <v>7.1223999999999998</v>
      </c>
      <c r="CY572">
        <v>10.2402</v>
      </c>
      <c r="CZ572">
        <v>35.643700000000003</v>
      </c>
      <c r="DA572">
        <v>7.6830999999999996</v>
      </c>
      <c r="DB572">
        <v>47.507100000000001</v>
      </c>
      <c r="DC572">
        <v>-4.7408999999999999</v>
      </c>
      <c r="DD572">
        <v>42.766100000000002</v>
      </c>
      <c r="DE572">
        <v>6614.5</v>
      </c>
      <c r="DF572">
        <v>2952</v>
      </c>
      <c r="DG572">
        <v>18.8</v>
      </c>
      <c r="DH572">
        <v>2661.7</v>
      </c>
      <c r="DI572">
        <v>982</v>
      </c>
    </row>
    <row r="573" spans="4:113" x14ac:dyDescent="0.3">
      <c r="D573" t="s">
        <v>85</v>
      </c>
      <c r="E573" t="s">
        <v>77</v>
      </c>
      <c r="F573">
        <v>32.911299999999997</v>
      </c>
      <c r="G573">
        <v>21.603999999999999</v>
      </c>
      <c r="H573">
        <v>31.314399999999999</v>
      </c>
      <c r="I573">
        <v>28.122</v>
      </c>
      <c r="J573">
        <v>15.276899999999999</v>
      </c>
      <c r="K573">
        <v>13.8316</v>
      </c>
      <c r="L573">
        <v>23.1389</v>
      </c>
      <c r="M573">
        <v>15.4451</v>
      </c>
      <c r="N573">
        <v>10.213699999999999</v>
      </c>
      <c r="O573">
        <v>10.2165</v>
      </c>
      <c r="P573">
        <v>10.2165</v>
      </c>
      <c r="Q573">
        <v>33.870800000000003</v>
      </c>
      <c r="R573">
        <v>31.6571</v>
      </c>
      <c r="S573">
        <v>22.4925</v>
      </c>
      <c r="T573">
        <v>9.6766000000000005</v>
      </c>
      <c r="U573">
        <v>17.483499999999999</v>
      </c>
      <c r="V573">
        <v>17.3154</v>
      </c>
      <c r="W573">
        <v>13.5403</v>
      </c>
      <c r="X573">
        <v>13.430999999999999</v>
      </c>
      <c r="Y573">
        <v>13.6364</v>
      </c>
      <c r="Z573">
        <v>70.015600000000006</v>
      </c>
      <c r="AA573">
        <v>-1.3091999999999999</v>
      </c>
      <c r="AB573">
        <v>34.954000000000001</v>
      </c>
      <c r="AC573">
        <v>26.2636</v>
      </c>
      <c r="AD573" t="s">
        <v>134</v>
      </c>
      <c r="AE573">
        <v>51.262799999999999</v>
      </c>
      <c r="AF573">
        <v>31.265899999999998</v>
      </c>
      <c r="AG573">
        <v>37.4482</v>
      </c>
      <c r="AH573">
        <v>73.1815</v>
      </c>
      <c r="AI573">
        <v>26.689299999999999</v>
      </c>
      <c r="AJ573">
        <v>28.603400000000001</v>
      </c>
      <c r="AK573">
        <v>26.262799999999999</v>
      </c>
      <c r="AL573">
        <v>164.44210000000001</v>
      </c>
      <c r="AM573">
        <v>9.8829999999999991</v>
      </c>
      <c r="AN573">
        <v>28.982700000000001</v>
      </c>
      <c r="AO573">
        <v>31.3689</v>
      </c>
      <c r="AP573">
        <v>31.0808</v>
      </c>
      <c r="AQ573">
        <v>30.9663</v>
      </c>
      <c r="AR573">
        <v>24.0807</v>
      </c>
      <c r="AS573">
        <v>19.9221</v>
      </c>
      <c r="AT573">
        <v>11.744199999999999</v>
      </c>
      <c r="AU573">
        <v>12.6305</v>
      </c>
      <c r="AV573">
        <v>22.4636</v>
      </c>
      <c r="AW573" t="s">
        <v>134</v>
      </c>
      <c r="AX573" t="s">
        <v>134</v>
      </c>
      <c r="AY573">
        <v>20.363299999999999</v>
      </c>
      <c r="AZ573">
        <v>-19.927499999999998</v>
      </c>
      <c r="BA573">
        <v>-11.985799999999999</v>
      </c>
      <c r="BB573">
        <v>43.592399999999998</v>
      </c>
      <c r="BC573">
        <v>30.950099999999999</v>
      </c>
      <c r="BD573">
        <v>43.470100000000002</v>
      </c>
      <c r="BE573">
        <v>34.558599999999998</v>
      </c>
      <c r="BF573">
        <v>9.6766000000000005</v>
      </c>
      <c r="BG573">
        <v>17.483499999999999</v>
      </c>
      <c r="BH573">
        <v>17.3154</v>
      </c>
      <c r="BI573">
        <v>13.5403</v>
      </c>
      <c r="BJ573">
        <v>13.430999999999999</v>
      </c>
      <c r="BK573">
        <v>13.6364</v>
      </c>
      <c r="BL573">
        <v>70.015600000000006</v>
      </c>
      <c r="BM573">
        <v>-1.3091999999999999</v>
      </c>
      <c r="BN573">
        <v>34.954000000000001</v>
      </c>
      <c r="BO573">
        <v>26.2636</v>
      </c>
      <c r="BP573">
        <v>-144.05760000000001</v>
      </c>
      <c r="BQ573">
        <v>51.262799999999999</v>
      </c>
      <c r="BR573">
        <v>31.265899999999998</v>
      </c>
      <c r="BS573">
        <v>37.4482</v>
      </c>
      <c r="BT573">
        <v>73.1815</v>
      </c>
      <c r="BU573">
        <v>26.689299999999999</v>
      </c>
      <c r="BV573">
        <v>28.603400000000001</v>
      </c>
      <c r="BW573">
        <v>26.262799999999999</v>
      </c>
      <c r="BX573">
        <v>164.44210000000001</v>
      </c>
      <c r="BY573">
        <v>2007</v>
      </c>
      <c r="BZ573">
        <v>1161.3</v>
      </c>
      <c r="CA573">
        <v>845.7</v>
      </c>
      <c r="CB573">
        <v>0.13370000000000001</v>
      </c>
      <c r="CC573">
        <v>-0.5585</v>
      </c>
      <c r="CD573">
        <v>0.14760000000000001</v>
      </c>
      <c r="CE573">
        <v>-0.61680000000000001</v>
      </c>
      <c r="CF573">
        <v>277.5693</v>
      </c>
      <c r="CG573">
        <v>65.656899999999993</v>
      </c>
      <c r="CH573">
        <v>2.4733000000000001</v>
      </c>
      <c r="CI573">
        <v>2.3361000000000001</v>
      </c>
      <c r="CJ573">
        <v>1.6301000000000001</v>
      </c>
      <c r="CK573">
        <v>5.8695000000000004</v>
      </c>
      <c r="CL573">
        <v>5.5441000000000003</v>
      </c>
      <c r="CM573">
        <v>3.8685999999999998</v>
      </c>
      <c r="CN573">
        <v>-24.525600000000001</v>
      </c>
      <c r="CO573">
        <v>-32.495199999999997</v>
      </c>
      <c r="CP573">
        <v>15016.5</v>
      </c>
      <c r="CQ573">
        <v>10787.2</v>
      </c>
      <c r="CR573">
        <v>13595.8</v>
      </c>
      <c r="CS573">
        <v>0.63070000000000004</v>
      </c>
      <c r="CT573">
        <v>1.9121999999999999</v>
      </c>
      <c r="CU573">
        <v>0.8155</v>
      </c>
      <c r="CV573">
        <v>24.186</v>
      </c>
      <c r="CW573">
        <v>40.637999999999998</v>
      </c>
      <c r="CX573">
        <v>8.9817</v>
      </c>
      <c r="CY573">
        <v>9.2841000000000005</v>
      </c>
      <c r="CZ573">
        <v>39.314300000000003</v>
      </c>
      <c r="DA573">
        <v>6.9569000000000001</v>
      </c>
      <c r="DB573">
        <v>52.466000000000001</v>
      </c>
      <c r="DC573">
        <v>-4.17</v>
      </c>
      <c r="DD573">
        <v>48.296100000000003</v>
      </c>
      <c r="DE573">
        <v>6527.9</v>
      </c>
      <c r="DF573">
        <v>3058</v>
      </c>
      <c r="DG573">
        <v>6.7</v>
      </c>
      <c r="DH573">
        <v>2487.3000000000002</v>
      </c>
      <c r="DI573">
        <v>975.9</v>
      </c>
    </row>
    <row r="574" spans="4:113" x14ac:dyDescent="0.3">
      <c r="E574" t="s">
        <v>78</v>
      </c>
      <c r="F574" t="s">
        <v>134</v>
      </c>
      <c r="G574" t="s">
        <v>134</v>
      </c>
      <c r="H574" t="s">
        <v>134</v>
      </c>
      <c r="I574" t="s">
        <v>134</v>
      </c>
      <c r="J574">
        <v>14.765700000000001</v>
      </c>
      <c r="K574">
        <v>13.273899999999999</v>
      </c>
      <c r="L574">
        <v>5.8898000000000001</v>
      </c>
      <c r="M574">
        <v>14.8057</v>
      </c>
      <c r="N574">
        <v>9.7140000000000004</v>
      </c>
      <c r="O574">
        <v>9.7078000000000007</v>
      </c>
      <c r="P574">
        <v>9.7078000000000007</v>
      </c>
      <c r="Q574">
        <v>34.389800000000001</v>
      </c>
      <c r="R574" t="s">
        <v>134</v>
      </c>
      <c r="S574" t="s">
        <v>134</v>
      </c>
      <c r="T574">
        <v>5.6264000000000003</v>
      </c>
      <c r="U574">
        <v>3.8931</v>
      </c>
      <c r="V574">
        <v>2.4207999999999998</v>
      </c>
      <c r="W574">
        <v>-1.4375</v>
      </c>
      <c r="X574">
        <v>-1.5196000000000001</v>
      </c>
      <c r="Y574" t="s">
        <v>134</v>
      </c>
      <c r="Z574" t="s">
        <v>134</v>
      </c>
      <c r="AA574" t="s">
        <v>134</v>
      </c>
      <c r="AB574" t="s">
        <v>134</v>
      </c>
      <c r="AC574" t="s">
        <v>134</v>
      </c>
      <c r="AD574" t="s">
        <v>134</v>
      </c>
      <c r="AE574" t="s">
        <v>134</v>
      </c>
      <c r="AF574" t="s">
        <v>134</v>
      </c>
      <c r="AG574" t="s">
        <v>134</v>
      </c>
      <c r="AH574" t="s">
        <v>134</v>
      </c>
      <c r="AI574" t="s">
        <v>134</v>
      </c>
      <c r="AJ574" t="s">
        <v>134</v>
      </c>
      <c r="AK574" t="s">
        <v>134</v>
      </c>
      <c r="AL574" t="s">
        <v>134</v>
      </c>
      <c r="AM574" t="s">
        <v>134</v>
      </c>
      <c r="AN574" t="s">
        <v>134</v>
      </c>
      <c r="AO574" t="s">
        <v>134</v>
      </c>
      <c r="AP574" t="s">
        <v>134</v>
      </c>
      <c r="AQ574" t="s">
        <v>134</v>
      </c>
      <c r="AR574" t="s">
        <v>134</v>
      </c>
      <c r="AS574" t="s">
        <v>134</v>
      </c>
      <c r="AT574" t="s">
        <v>134</v>
      </c>
      <c r="AU574" t="s">
        <v>134</v>
      </c>
      <c r="AV574" t="s">
        <v>134</v>
      </c>
      <c r="AW574" t="s">
        <v>134</v>
      </c>
      <c r="AX574" t="s">
        <v>134</v>
      </c>
      <c r="AY574" t="s">
        <v>134</v>
      </c>
      <c r="AZ574" t="s">
        <v>134</v>
      </c>
      <c r="BA574" t="s">
        <v>134</v>
      </c>
      <c r="BB574" t="s">
        <v>134</v>
      </c>
      <c r="BC574" t="s">
        <v>134</v>
      </c>
      <c r="BD574" t="s">
        <v>134</v>
      </c>
      <c r="BE574" t="s">
        <v>134</v>
      </c>
      <c r="BF574">
        <v>-0.2341</v>
      </c>
      <c r="BG574">
        <v>6.6279000000000003</v>
      </c>
      <c r="BH574">
        <v>7.0465</v>
      </c>
      <c r="BI574">
        <v>2.4087000000000001</v>
      </c>
      <c r="BJ574">
        <v>2.3952</v>
      </c>
      <c r="BK574" t="s">
        <v>134</v>
      </c>
      <c r="BL574" t="s">
        <v>134</v>
      </c>
      <c r="BM574" t="s">
        <v>134</v>
      </c>
      <c r="BN574" t="s">
        <v>134</v>
      </c>
      <c r="BO574" t="s">
        <v>134</v>
      </c>
      <c r="BP574" t="s">
        <v>134</v>
      </c>
      <c r="BQ574" t="s">
        <v>134</v>
      </c>
      <c r="BR574" t="s">
        <v>134</v>
      </c>
      <c r="BS574" t="s">
        <v>134</v>
      </c>
      <c r="BT574" t="s">
        <v>134</v>
      </c>
      <c r="BU574" t="s">
        <v>134</v>
      </c>
      <c r="BV574" t="s">
        <v>134</v>
      </c>
      <c r="BW574" t="s">
        <v>134</v>
      </c>
      <c r="BX574" t="s">
        <v>134</v>
      </c>
      <c r="BY574" t="s">
        <v>134</v>
      </c>
      <c r="BZ574" t="s">
        <v>134</v>
      </c>
      <c r="CA574" t="s">
        <v>134</v>
      </c>
      <c r="CB574" t="s">
        <v>134</v>
      </c>
      <c r="CC574" t="s">
        <v>134</v>
      </c>
      <c r="CD574" t="s">
        <v>134</v>
      </c>
      <c r="CE574" t="s">
        <v>134</v>
      </c>
      <c r="CF574">
        <v>258.66930000000002</v>
      </c>
      <c r="CG574" t="s">
        <v>134</v>
      </c>
      <c r="CH574" t="s">
        <v>134</v>
      </c>
      <c r="CI574" t="s">
        <v>134</v>
      </c>
      <c r="CJ574" t="s">
        <v>134</v>
      </c>
      <c r="CK574" t="s">
        <v>134</v>
      </c>
      <c r="CL574" t="s">
        <v>134</v>
      </c>
      <c r="CM574" t="s">
        <v>134</v>
      </c>
      <c r="CN574" t="s">
        <v>134</v>
      </c>
      <c r="CO574" t="s">
        <v>134</v>
      </c>
      <c r="CP574">
        <v>3285.1</v>
      </c>
      <c r="CQ574" t="s">
        <v>134</v>
      </c>
      <c r="CR574">
        <v>2953.2</v>
      </c>
      <c r="CS574" t="s">
        <v>134</v>
      </c>
      <c r="CT574" t="s">
        <v>134</v>
      </c>
      <c r="CU574" t="s">
        <v>134</v>
      </c>
      <c r="CV574" t="s">
        <v>134</v>
      </c>
      <c r="CW574" t="s">
        <v>134</v>
      </c>
      <c r="CX574" t="s">
        <v>134</v>
      </c>
      <c r="CY574" t="s">
        <v>134</v>
      </c>
      <c r="CZ574" t="s">
        <v>134</v>
      </c>
      <c r="DA574" t="s">
        <v>134</v>
      </c>
      <c r="DB574" t="s">
        <v>134</v>
      </c>
      <c r="DC574" t="s">
        <v>134</v>
      </c>
      <c r="DD574" t="s">
        <v>134</v>
      </c>
      <c r="DE574" t="s">
        <v>134</v>
      </c>
      <c r="DF574" t="s">
        <v>134</v>
      </c>
      <c r="DG574" t="s">
        <v>134</v>
      </c>
      <c r="DH574" t="s">
        <v>134</v>
      </c>
      <c r="DI574" t="s">
        <v>134</v>
      </c>
    </row>
    <row r="575" spans="4:113" x14ac:dyDescent="0.3">
      <c r="E575" t="s">
        <v>79</v>
      </c>
      <c r="F575">
        <v>35.340200000000003</v>
      </c>
      <c r="G575">
        <v>21.670200000000001</v>
      </c>
      <c r="H575">
        <v>33.543100000000003</v>
      </c>
      <c r="I575">
        <v>28.725899999999999</v>
      </c>
      <c r="J575">
        <v>14.888400000000001</v>
      </c>
      <c r="K575">
        <v>13.562200000000001</v>
      </c>
      <c r="L575">
        <v>19.414999999999999</v>
      </c>
      <c r="M575">
        <v>15.516500000000001</v>
      </c>
      <c r="N575">
        <v>10.290800000000001</v>
      </c>
      <c r="O575">
        <v>10.291600000000001</v>
      </c>
      <c r="P575">
        <v>10.291600000000001</v>
      </c>
      <c r="Q575">
        <v>33.677999999999997</v>
      </c>
      <c r="R575" t="s">
        <v>134</v>
      </c>
      <c r="S575" t="s">
        <v>134</v>
      </c>
      <c r="T575">
        <v>7.4276999999999997</v>
      </c>
      <c r="U575">
        <v>11.4373</v>
      </c>
      <c r="V575">
        <v>10.985300000000001</v>
      </c>
      <c r="W575">
        <v>11.5837</v>
      </c>
      <c r="X575">
        <v>11.4931</v>
      </c>
      <c r="Y575" t="s">
        <v>134</v>
      </c>
      <c r="Z575">
        <v>40.3996</v>
      </c>
      <c r="AA575">
        <v>18.3919</v>
      </c>
      <c r="AB575">
        <v>10.471500000000001</v>
      </c>
      <c r="AC575">
        <v>20.596599999999999</v>
      </c>
      <c r="AD575" t="s">
        <v>134</v>
      </c>
      <c r="AE575">
        <v>88.882999999999996</v>
      </c>
      <c r="AF575">
        <v>16.108499999999999</v>
      </c>
      <c r="AG575">
        <v>-2.4967999999999999</v>
      </c>
      <c r="AH575">
        <v>55.847700000000003</v>
      </c>
      <c r="AI575">
        <v>26.941800000000001</v>
      </c>
      <c r="AJ575">
        <v>28.322199999999999</v>
      </c>
      <c r="AK575">
        <v>26.9697</v>
      </c>
      <c r="AL575" t="s">
        <v>134</v>
      </c>
      <c r="AM575" t="s">
        <v>134</v>
      </c>
      <c r="AN575" t="s">
        <v>134</v>
      </c>
      <c r="AO575" t="s">
        <v>134</v>
      </c>
      <c r="AP575" t="s">
        <v>134</v>
      </c>
      <c r="AQ575" t="s">
        <v>134</v>
      </c>
      <c r="AR575" t="s">
        <v>134</v>
      </c>
      <c r="AS575" t="s">
        <v>134</v>
      </c>
      <c r="AT575" t="s">
        <v>134</v>
      </c>
      <c r="AU575" t="s">
        <v>134</v>
      </c>
      <c r="AV575" t="s">
        <v>134</v>
      </c>
      <c r="AW575" t="s">
        <v>134</v>
      </c>
      <c r="AX575" t="s">
        <v>134</v>
      </c>
      <c r="AY575" t="s">
        <v>134</v>
      </c>
      <c r="AZ575" t="s">
        <v>134</v>
      </c>
      <c r="BA575" t="s">
        <v>134</v>
      </c>
      <c r="BB575" t="s">
        <v>134</v>
      </c>
      <c r="BC575" t="s">
        <v>134</v>
      </c>
      <c r="BD575" t="s">
        <v>134</v>
      </c>
      <c r="BE575" t="s">
        <v>134</v>
      </c>
      <c r="BF575">
        <v>14.0106</v>
      </c>
      <c r="BG575">
        <v>14.958399999999999</v>
      </c>
      <c r="BH575">
        <v>16.487200000000001</v>
      </c>
      <c r="BI575">
        <v>20.867699999999999</v>
      </c>
      <c r="BJ575">
        <v>20.7837</v>
      </c>
      <c r="BK575" t="s">
        <v>134</v>
      </c>
      <c r="BL575" t="s">
        <v>134</v>
      </c>
      <c r="BM575" t="s">
        <v>134</v>
      </c>
      <c r="BN575" t="s">
        <v>134</v>
      </c>
      <c r="BO575" t="s">
        <v>134</v>
      </c>
      <c r="BP575" t="s">
        <v>134</v>
      </c>
      <c r="BQ575" t="s">
        <v>134</v>
      </c>
      <c r="BR575" t="s">
        <v>134</v>
      </c>
      <c r="BS575" t="s">
        <v>134</v>
      </c>
      <c r="BT575" t="s">
        <v>134</v>
      </c>
      <c r="BU575" t="s">
        <v>134</v>
      </c>
      <c r="BV575" t="s">
        <v>134</v>
      </c>
      <c r="BW575" t="s">
        <v>134</v>
      </c>
      <c r="BX575" t="s">
        <v>134</v>
      </c>
      <c r="BY575">
        <v>1772.3</v>
      </c>
      <c r="BZ575">
        <v>843.5</v>
      </c>
      <c r="CA575">
        <v>928.8</v>
      </c>
      <c r="CB575">
        <v>0.1336</v>
      </c>
      <c r="CC575">
        <v>-0.46839999999999998</v>
      </c>
      <c r="CD575">
        <v>0.14799999999999999</v>
      </c>
      <c r="CE575">
        <v>-0.51900000000000002</v>
      </c>
      <c r="CF575">
        <v>269.75</v>
      </c>
      <c r="CG575">
        <v>62.746499999999997</v>
      </c>
      <c r="CH575">
        <v>3.2265000000000001</v>
      </c>
      <c r="CI575">
        <v>3.0394000000000001</v>
      </c>
      <c r="CJ575">
        <v>2.0264000000000002</v>
      </c>
      <c r="CK575">
        <v>6.1566999999999998</v>
      </c>
      <c r="CL575">
        <v>5.7995999999999999</v>
      </c>
      <c r="CM575">
        <v>3.8668</v>
      </c>
      <c r="CN575">
        <v>-21.590900000000001</v>
      </c>
      <c r="CO575">
        <v>-27.536300000000001</v>
      </c>
      <c r="CP575">
        <v>3776.5</v>
      </c>
      <c r="CQ575" t="s">
        <v>134</v>
      </c>
      <c r="CR575">
        <v>3440.1</v>
      </c>
      <c r="CS575">
        <v>0.50639999999999996</v>
      </c>
      <c r="CT575">
        <v>1.7627999999999999</v>
      </c>
      <c r="CU575">
        <v>0.68989999999999996</v>
      </c>
      <c r="CV575">
        <v>22.558800000000002</v>
      </c>
      <c r="CW575">
        <v>37.3474</v>
      </c>
      <c r="CX575">
        <v>9.7730999999999995</v>
      </c>
      <c r="CY575">
        <v>10.3979</v>
      </c>
      <c r="CZ575">
        <v>35.103200000000001</v>
      </c>
      <c r="DA575">
        <v>7.1169000000000002</v>
      </c>
      <c r="DB575">
        <v>51.2866</v>
      </c>
      <c r="DC575">
        <v>-6.4103000000000003</v>
      </c>
      <c r="DD575">
        <v>44.876300000000001</v>
      </c>
      <c r="DE575">
        <v>5967.9</v>
      </c>
      <c r="DF575" t="s">
        <v>134</v>
      </c>
      <c r="DG575" t="s">
        <v>134</v>
      </c>
      <c r="DH575" t="s">
        <v>134</v>
      </c>
      <c r="DI575" t="s">
        <v>134</v>
      </c>
    </row>
    <row r="576" spans="4:113" x14ac:dyDescent="0.3">
      <c r="E576" t="s">
        <v>80</v>
      </c>
      <c r="F576" t="s">
        <v>134</v>
      </c>
      <c r="G576" t="s">
        <v>134</v>
      </c>
      <c r="H576" t="s">
        <v>134</v>
      </c>
      <c r="I576" t="s">
        <v>134</v>
      </c>
      <c r="J576">
        <v>15.572100000000001</v>
      </c>
      <c r="K576">
        <v>14.2864</v>
      </c>
      <c r="L576">
        <v>28.349</v>
      </c>
      <c r="M576">
        <v>15.5975</v>
      </c>
      <c r="N576">
        <v>10.3057</v>
      </c>
      <c r="O576">
        <v>10.303699999999999</v>
      </c>
      <c r="P576">
        <v>10.303699999999999</v>
      </c>
      <c r="Q576">
        <v>33.927300000000002</v>
      </c>
      <c r="R576" t="s">
        <v>134</v>
      </c>
      <c r="S576" t="s">
        <v>134</v>
      </c>
      <c r="T576">
        <v>12.9602</v>
      </c>
      <c r="U576">
        <v>27.461200000000002</v>
      </c>
      <c r="V576">
        <v>29.477799999999998</v>
      </c>
      <c r="W576">
        <v>19.5519</v>
      </c>
      <c r="X576">
        <v>19.433900000000001</v>
      </c>
      <c r="Y576" t="s">
        <v>134</v>
      </c>
      <c r="Z576" t="s">
        <v>134</v>
      </c>
      <c r="AA576" t="s">
        <v>134</v>
      </c>
      <c r="AB576" t="s">
        <v>134</v>
      </c>
      <c r="AC576" t="s">
        <v>134</v>
      </c>
      <c r="AD576" t="s">
        <v>134</v>
      </c>
      <c r="AE576" t="s">
        <v>134</v>
      </c>
      <c r="AF576" t="s">
        <v>134</v>
      </c>
      <c r="AG576" t="s">
        <v>134</v>
      </c>
      <c r="AH576" t="s">
        <v>134</v>
      </c>
      <c r="AI576" t="s">
        <v>134</v>
      </c>
      <c r="AJ576" t="s">
        <v>134</v>
      </c>
      <c r="AK576" t="s">
        <v>134</v>
      </c>
      <c r="AL576" t="s">
        <v>134</v>
      </c>
      <c r="AM576" t="s">
        <v>134</v>
      </c>
      <c r="AN576" t="s">
        <v>134</v>
      </c>
      <c r="AO576" t="s">
        <v>134</v>
      </c>
      <c r="AP576" t="s">
        <v>134</v>
      </c>
      <c r="AQ576" t="s">
        <v>134</v>
      </c>
      <c r="AR576" t="s">
        <v>134</v>
      </c>
      <c r="AS576" t="s">
        <v>134</v>
      </c>
      <c r="AT576" t="s">
        <v>134</v>
      </c>
      <c r="AU576" t="s">
        <v>134</v>
      </c>
      <c r="AV576" t="s">
        <v>134</v>
      </c>
      <c r="AW576" t="s">
        <v>134</v>
      </c>
      <c r="AX576" t="s">
        <v>134</v>
      </c>
      <c r="AY576" t="s">
        <v>134</v>
      </c>
      <c r="AZ576" t="s">
        <v>134</v>
      </c>
      <c r="BA576" t="s">
        <v>134</v>
      </c>
      <c r="BB576" t="s">
        <v>134</v>
      </c>
      <c r="BC576" t="s">
        <v>134</v>
      </c>
      <c r="BD576" t="s">
        <v>134</v>
      </c>
      <c r="BE576" t="s">
        <v>134</v>
      </c>
      <c r="BF576">
        <v>0.85829999999999995</v>
      </c>
      <c r="BG576">
        <v>5.4892000000000003</v>
      </c>
      <c r="BH576">
        <v>6.2439999999999998</v>
      </c>
      <c r="BI576">
        <v>0.9768</v>
      </c>
      <c r="BJ576">
        <v>0.96640000000000004</v>
      </c>
      <c r="BK576" t="s">
        <v>134</v>
      </c>
      <c r="BL576" t="s">
        <v>134</v>
      </c>
      <c r="BM576" t="s">
        <v>134</v>
      </c>
      <c r="BN576" t="s">
        <v>134</v>
      </c>
      <c r="BO576" t="s">
        <v>134</v>
      </c>
      <c r="BP576" t="s">
        <v>134</v>
      </c>
      <c r="BQ576" t="s">
        <v>134</v>
      </c>
      <c r="BR576" t="s">
        <v>134</v>
      </c>
      <c r="BS576" t="s">
        <v>134</v>
      </c>
      <c r="BT576" t="s">
        <v>134</v>
      </c>
      <c r="BU576" t="s">
        <v>134</v>
      </c>
      <c r="BV576" t="s">
        <v>134</v>
      </c>
      <c r="BW576" t="s">
        <v>134</v>
      </c>
      <c r="BX576" t="s">
        <v>134</v>
      </c>
      <c r="BY576" t="s">
        <v>134</v>
      </c>
      <c r="BZ576" t="s">
        <v>134</v>
      </c>
      <c r="CA576" t="s">
        <v>134</v>
      </c>
      <c r="CB576" t="s">
        <v>134</v>
      </c>
      <c r="CC576" t="s">
        <v>134</v>
      </c>
      <c r="CD576" t="s">
        <v>134</v>
      </c>
      <c r="CE576" t="s">
        <v>134</v>
      </c>
      <c r="CF576">
        <v>156.22749999999999</v>
      </c>
      <c r="CG576" t="s">
        <v>134</v>
      </c>
      <c r="CH576" t="s">
        <v>134</v>
      </c>
      <c r="CI576" t="s">
        <v>134</v>
      </c>
      <c r="CJ576" t="s">
        <v>134</v>
      </c>
      <c r="CK576" t="s">
        <v>134</v>
      </c>
      <c r="CL576" t="s">
        <v>134</v>
      </c>
      <c r="CM576" t="s">
        <v>134</v>
      </c>
      <c r="CN576" t="s">
        <v>134</v>
      </c>
      <c r="CO576" t="s">
        <v>134</v>
      </c>
      <c r="CP576">
        <v>3983.8</v>
      </c>
      <c r="CQ576" t="s">
        <v>134</v>
      </c>
      <c r="CR576">
        <v>3654.9</v>
      </c>
      <c r="CS576" t="s">
        <v>134</v>
      </c>
      <c r="CT576" t="s">
        <v>134</v>
      </c>
      <c r="CU576" t="s">
        <v>134</v>
      </c>
      <c r="CV576" t="s">
        <v>134</v>
      </c>
      <c r="CW576" t="s">
        <v>134</v>
      </c>
      <c r="CX576" t="s">
        <v>134</v>
      </c>
      <c r="CY576" t="s">
        <v>134</v>
      </c>
      <c r="CZ576" t="s">
        <v>134</v>
      </c>
      <c r="DA576" t="s">
        <v>134</v>
      </c>
      <c r="DB576" t="s">
        <v>134</v>
      </c>
      <c r="DC576" t="s">
        <v>134</v>
      </c>
      <c r="DD576" t="s">
        <v>134</v>
      </c>
      <c r="DE576" t="s">
        <v>134</v>
      </c>
      <c r="DF576" t="s">
        <v>134</v>
      </c>
      <c r="DG576" t="s">
        <v>134</v>
      </c>
      <c r="DH576" t="s">
        <v>134</v>
      </c>
      <c r="DI576" t="s">
        <v>134</v>
      </c>
    </row>
    <row r="577" spans="1:113" x14ac:dyDescent="0.3">
      <c r="E577" t="s">
        <v>81</v>
      </c>
      <c r="F577">
        <v>32.911299999999997</v>
      </c>
      <c r="G577">
        <v>21.603999999999999</v>
      </c>
      <c r="H577">
        <v>31.359200000000001</v>
      </c>
      <c r="I577">
        <v>28.084499999999998</v>
      </c>
      <c r="J577">
        <v>15.821899999999999</v>
      </c>
      <c r="K577">
        <v>14.134600000000001</v>
      </c>
      <c r="L577">
        <v>28.188500000000001</v>
      </c>
      <c r="M577">
        <v>15.7845</v>
      </c>
      <c r="N577">
        <v>10.484999999999999</v>
      </c>
      <c r="O577">
        <v>10.5025</v>
      </c>
      <c r="P577">
        <v>10.5025</v>
      </c>
      <c r="Q577">
        <v>33.573999999999998</v>
      </c>
      <c r="R577" t="s">
        <v>134</v>
      </c>
      <c r="S577" t="s">
        <v>134</v>
      </c>
      <c r="T577">
        <v>12.5482</v>
      </c>
      <c r="U577">
        <v>28.894200000000001</v>
      </c>
      <c r="V577">
        <v>28.592099999999999</v>
      </c>
      <c r="W577">
        <v>24.988099999999999</v>
      </c>
      <c r="X577">
        <v>24.8719</v>
      </c>
      <c r="Y577" t="s">
        <v>134</v>
      </c>
      <c r="Z577">
        <v>70.015600000000006</v>
      </c>
      <c r="AA577">
        <v>-1.3091999999999999</v>
      </c>
      <c r="AB577">
        <v>34.954000000000001</v>
      </c>
      <c r="AC577">
        <v>26.2636</v>
      </c>
      <c r="AD577" t="s">
        <v>134</v>
      </c>
      <c r="AE577">
        <v>51.262799999999999</v>
      </c>
      <c r="AF577">
        <v>31.265899999999998</v>
      </c>
      <c r="AG577">
        <v>37.4482</v>
      </c>
      <c r="AH577">
        <v>73.1815</v>
      </c>
      <c r="AI577">
        <v>26.689299999999999</v>
      </c>
      <c r="AJ577">
        <v>28.603400000000001</v>
      </c>
      <c r="AK577">
        <v>26.262799999999999</v>
      </c>
      <c r="AL577" t="s">
        <v>134</v>
      </c>
      <c r="AM577" t="s">
        <v>134</v>
      </c>
      <c r="AN577" t="s">
        <v>134</v>
      </c>
      <c r="AO577" t="s">
        <v>134</v>
      </c>
      <c r="AP577" t="s">
        <v>134</v>
      </c>
      <c r="AQ577" t="s">
        <v>134</v>
      </c>
      <c r="AR577" t="s">
        <v>134</v>
      </c>
      <c r="AS577" t="s">
        <v>134</v>
      </c>
      <c r="AT577" t="s">
        <v>134</v>
      </c>
      <c r="AU577" t="s">
        <v>134</v>
      </c>
      <c r="AV577" t="s">
        <v>134</v>
      </c>
      <c r="AW577" t="s">
        <v>134</v>
      </c>
      <c r="AX577" t="s">
        <v>134</v>
      </c>
      <c r="AY577" t="s">
        <v>134</v>
      </c>
      <c r="AZ577" t="s">
        <v>134</v>
      </c>
      <c r="BA577" t="s">
        <v>134</v>
      </c>
      <c r="BB577" t="s">
        <v>134</v>
      </c>
      <c r="BC577" t="s">
        <v>134</v>
      </c>
      <c r="BD577" t="s">
        <v>134</v>
      </c>
      <c r="BE577" t="s">
        <v>134</v>
      </c>
      <c r="BF577">
        <v>-1.8931</v>
      </c>
      <c r="BG577">
        <v>-0.31879999999999997</v>
      </c>
      <c r="BH577">
        <v>-2.9358</v>
      </c>
      <c r="BI577">
        <v>0</v>
      </c>
      <c r="BJ577">
        <v>0</v>
      </c>
      <c r="BK577" t="s">
        <v>134</v>
      </c>
      <c r="BL577" t="s">
        <v>134</v>
      </c>
      <c r="BM577" t="s">
        <v>134</v>
      </c>
      <c r="BN577" t="s">
        <v>134</v>
      </c>
      <c r="BO577" t="s">
        <v>134</v>
      </c>
      <c r="BP577" t="s">
        <v>134</v>
      </c>
      <c r="BQ577" t="s">
        <v>134</v>
      </c>
      <c r="BR577" t="s">
        <v>134</v>
      </c>
      <c r="BS577" t="s">
        <v>134</v>
      </c>
      <c r="BT577" t="s">
        <v>134</v>
      </c>
      <c r="BU577" t="s">
        <v>134</v>
      </c>
      <c r="BV577" t="s">
        <v>134</v>
      </c>
      <c r="BW577" t="s">
        <v>134</v>
      </c>
      <c r="BX577" t="s">
        <v>134</v>
      </c>
      <c r="BY577">
        <v>2007</v>
      </c>
      <c r="BZ577">
        <v>1161.3</v>
      </c>
      <c r="CA577">
        <v>845.7</v>
      </c>
      <c r="CB577">
        <v>0.13370000000000001</v>
      </c>
      <c r="CC577">
        <v>-0.5585</v>
      </c>
      <c r="CD577">
        <v>0.14760000000000001</v>
      </c>
      <c r="CE577">
        <v>-0.61680000000000001</v>
      </c>
      <c r="CF577">
        <v>167.55699999999999</v>
      </c>
      <c r="CG577">
        <v>65.656899999999993</v>
      </c>
      <c r="CH577">
        <v>2.4733000000000001</v>
      </c>
      <c r="CI577">
        <v>2.3361000000000001</v>
      </c>
      <c r="CJ577">
        <v>1.6301000000000001</v>
      </c>
      <c r="CK577">
        <v>5.8695000000000004</v>
      </c>
      <c r="CL577">
        <v>5.5441000000000003</v>
      </c>
      <c r="CM577">
        <v>3.8685999999999998</v>
      </c>
      <c r="CN577">
        <v>-24.525600000000001</v>
      </c>
      <c r="CO577">
        <v>-32.495199999999997</v>
      </c>
      <c r="CP577">
        <v>3971.1</v>
      </c>
      <c r="CQ577" t="s">
        <v>134</v>
      </c>
      <c r="CR577">
        <v>3547.6</v>
      </c>
      <c r="CS577">
        <v>0.63070000000000004</v>
      </c>
      <c r="CT577">
        <v>1.9121999999999999</v>
      </c>
      <c r="CU577">
        <v>0.8155</v>
      </c>
      <c r="CV577">
        <v>24.186</v>
      </c>
      <c r="CW577">
        <v>40.637999999999998</v>
      </c>
      <c r="CX577">
        <v>8.9817</v>
      </c>
      <c r="CY577">
        <v>9.2841000000000005</v>
      </c>
      <c r="CZ577">
        <v>39.314300000000003</v>
      </c>
      <c r="DA577">
        <v>6.9569000000000001</v>
      </c>
      <c r="DB577">
        <v>52.466000000000001</v>
      </c>
      <c r="DC577">
        <v>-4.17</v>
      </c>
      <c r="DD577">
        <v>48.296100000000003</v>
      </c>
      <c r="DE577">
        <v>6527.9</v>
      </c>
      <c r="DF577">
        <v>3058</v>
      </c>
      <c r="DG577">
        <v>6.7</v>
      </c>
      <c r="DH577">
        <v>2487.3000000000002</v>
      </c>
      <c r="DI577">
        <v>975.9</v>
      </c>
    </row>
    <row r="578" spans="1:113" x14ac:dyDescent="0.3">
      <c r="A578">
        <v>24</v>
      </c>
      <c r="B578" t="s">
        <v>130</v>
      </c>
      <c r="C578" t="s">
        <v>131</v>
      </c>
      <c r="D578" t="s">
        <v>76</v>
      </c>
      <c r="E578" t="s">
        <v>77</v>
      </c>
      <c r="F578">
        <v>25.177399999999999</v>
      </c>
      <c r="G578">
        <v>10.463100000000001</v>
      </c>
      <c r="H578">
        <v>15.221299999999999</v>
      </c>
      <c r="I578">
        <v>13.8558</v>
      </c>
      <c r="J578">
        <v>16.706800000000001</v>
      </c>
      <c r="K578">
        <v>13.8569</v>
      </c>
      <c r="L578">
        <v>9.3500999999999994</v>
      </c>
      <c r="M578">
        <v>13.345599999999999</v>
      </c>
      <c r="N578">
        <v>11.844200000000001</v>
      </c>
      <c r="O578">
        <v>11.382400000000001</v>
      </c>
      <c r="P578">
        <v>11.382400000000001</v>
      </c>
      <c r="Q578">
        <v>11.250299999999999</v>
      </c>
      <c r="R578">
        <v>22.931000000000001</v>
      </c>
      <c r="S578">
        <v>19.404</v>
      </c>
      <c r="T578">
        <v>14.6998</v>
      </c>
      <c r="U578">
        <v>9.375</v>
      </c>
      <c r="V578">
        <v>9.4663000000000004</v>
      </c>
      <c r="W578">
        <v>22.968599999999999</v>
      </c>
      <c r="X578">
        <v>22.963699999999999</v>
      </c>
      <c r="Y578">
        <v>20</v>
      </c>
      <c r="Z578">
        <v>18.6996</v>
      </c>
      <c r="AA578">
        <v>12.6813</v>
      </c>
      <c r="AB578">
        <v>10.643000000000001</v>
      </c>
      <c r="AC578">
        <v>8.3033000000000001</v>
      </c>
      <c r="AD578">
        <v>5.1920999999999999</v>
      </c>
      <c r="AE578">
        <v>22.712399999999999</v>
      </c>
      <c r="AF578">
        <v>38.672400000000003</v>
      </c>
      <c r="AG578">
        <v>-10.643700000000001</v>
      </c>
      <c r="AH578">
        <v>-7.6344000000000003</v>
      </c>
      <c r="AI578">
        <v>16.956099999999999</v>
      </c>
      <c r="AJ578">
        <v>4.9486999999999997</v>
      </c>
      <c r="AK578">
        <v>16.794</v>
      </c>
      <c r="AL578">
        <v>77.615099999999998</v>
      </c>
      <c r="AM578">
        <v>19.788399999999999</v>
      </c>
      <c r="AN578">
        <v>13.3307</v>
      </c>
      <c r="AO578">
        <v>13.512599999999999</v>
      </c>
      <c r="AP578">
        <v>21.532</v>
      </c>
      <c r="AQ578">
        <v>21.539000000000001</v>
      </c>
      <c r="AR578">
        <v>24.5731</v>
      </c>
      <c r="AS578">
        <v>18.5334</v>
      </c>
      <c r="AT578">
        <v>17.864100000000001</v>
      </c>
      <c r="AU578">
        <v>23.518599999999999</v>
      </c>
      <c r="AV578">
        <v>18.987500000000001</v>
      </c>
      <c r="AW578">
        <v>23.206199999999999</v>
      </c>
      <c r="AX578">
        <v>5.7717999999999998</v>
      </c>
      <c r="AY578">
        <v>11.6272</v>
      </c>
      <c r="AZ578">
        <v>28.2026</v>
      </c>
      <c r="BA578">
        <v>16.332999999999998</v>
      </c>
      <c r="BB578">
        <v>23.2879</v>
      </c>
      <c r="BC578">
        <v>19.998799999999999</v>
      </c>
      <c r="BD578">
        <v>22.726700000000001</v>
      </c>
      <c r="BE578">
        <v>30.7575</v>
      </c>
      <c r="BF578">
        <v>14.6998</v>
      </c>
      <c r="BG578">
        <v>9.375</v>
      </c>
      <c r="BH578">
        <v>9.4663000000000004</v>
      </c>
      <c r="BI578">
        <v>22.968599999999999</v>
      </c>
      <c r="BJ578">
        <v>22.963699999999999</v>
      </c>
      <c r="BK578">
        <v>20</v>
      </c>
      <c r="BL578">
        <v>18.6996</v>
      </c>
      <c r="BM578">
        <v>12.6813</v>
      </c>
      <c r="BN578">
        <v>10.643000000000001</v>
      </c>
      <c r="BO578">
        <v>8.3033000000000001</v>
      </c>
      <c r="BP578">
        <v>5.1920999999999999</v>
      </c>
      <c r="BQ578">
        <v>22.712399999999999</v>
      </c>
      <c r="BR578">
        <v>38.672400000000003</v>
      </c>
      <c r="BS578">
        <v>-10.643700000000001</v>
      </c>
      <c r="BT578">
        <v>-7.6344000000000003</v>
      </c>
      <c r="BU578">
        <v>16.956099999999999</v>
      </c>
      <c r="BV578">
        <v>4.9486999999999997</v>
      </c>
      <c r="BW578">
        <v>16.794</v>
      </c>
      <c r="BX578">
        <v>77.615099999999998</v>
      </c>
      <c r="BY578">
        <v>27004</v>
      </c>
      <c r="BZ578">
        <v>13382</v>
      </c>
      <c r="CA578">
        <v>13622</v>
      </c>
      <c r="CB578">
        <v>2.2894000000000001</v>
      </c>
      <c r="CC578">
        <v>1.7696000000000001</v>
      </c>
      <c r="CD578">
        <v>2.7603</v>
      </c>
      <c r="CE578">
        <v>2.1335000000000002</v>
      </c>
      <c r="CF578">
        <v>10.712999999999999</v>
      </c>
      <c r="CG578">
        <v>43.060200000000002</v>
      </c>
      <c r="CH578">
        <v>38.0152</v>
      </c>
      <c r="CI578">
        <v>21.6783</v>
      </c>
      <c r="CJ578">
        <v>17.0563</v>
      </c>
      <c r="CK578">
        <v>75.360699999999994</v>
      </c>
      <c r="CL578">
        <v>42.974699999999999</v>
      </c>
      <c r="CM578">
        <v>33.812100000000001</v>
      </c>
      <c r="CN578">
        <v>58.247999999999998</v>
      </c>
      <c r="CO578">
        <v>36.808</v>
      </c>
      <c r="CP578">
        <v>11795</v>
      </c>
      <c r="CQ578">
        <v>7113</v>
      </c>
      <c r="CR578">
        <v>9783</v>
      </c>
      <c r="CS578">
        <v>0.21790000000000001</v>
      </c>
      <c r="CT578">
        <v>1.2273000000000001</v>
      </c>
      <c r="CU578">
        <v>0.62080000000000002</v>
      </c>
      <c r="CV578">
        <v>4.7365000000000004</v>
      </c>
      <c r="CW578">
        <v>6.7599</v>
      </c>
      <c r="CX578">
        <v>53.995199999999997</v>
      </c>
      <c r="CY578">
        <v>2.1564999999999999</v>
      </c>
      <c r="CZ578">
        <v>169.25399999999999</v>
      </c>
      <c r="DA578">
        <v>3.7471000000000001</v>
      </c>
      <c r="DB578">
        <v>97.407899999999998</v>
      </c>
      <c r="DC578">
        <v>125.8413</v>
      </c>
      <c r="DD578">
        <v>223.2492</v>
      </c>
      <c r="DE578">
        <v>13675</v>
      </c>
      <c r="DF578">
        <v>3621</v>
      </c>
      <c r="DG578">
        <v>4949</v>
      </c>
      <c r="DH578">
        <v>3179</v>
      </c>
      <c r="DI578">
        <v>1926</v>
      </c>
    </row>
    <row r="579" spans="1:113" x14ac:dyDescent="0.3">
      <c r="E579" t="s">
        <v>78</v>
      </c>
      <c r="F579" t="s">
        <v>134</v>
      </c>
      <c r="G579" t="s">
        <v>134</v>
      </c>
      <c r="H579" t="s">
        <v>134</v>
      </c>
      <c r="I579" t="s">
        <v>134</v>
      </c>
      <c r="J579">
        <v>17.7791</v>
      </c>
      <c r="K579">
        <v>14.8826</v>
      </c>
      <c r="L579" t="s">
        <v>134</v>
      </c>
      <c r="M579">
        <v>13.930099999999999</v>
      </c>
      <c r="N579">
        <v>12.666600000000001</v>
      </c>
      <c r="O579">
        <v>12.169600000000001</v>
      </c>
      <c r="P579">
        <v>12.169600000000001</v>
      </c>
      <c r="Q579">
        <v>9.0701999999999998</v>
      </c>
      <c r="R579" t="s">
        <v>134</v>
      </c>
      <c r="S579" t="s">
        <v>134</v>
      </c>
      <c r="T579">
        <v>6.0252999999999997</v>
      </c>
      <c r="U579">
        <v>-17.308499999999999</v>
      </c>
      <c r="V579">
        <v>-20.832000000000001</v>
      </c>
      <c r="W579">
        <v>0.42609999999999998</v>
      </c>
      <c r="X579">
        <v>0.42059999999999997</v>
      </c>
      <c r="Y579" t="s">
        <v>134</v>
      </c>
      <c r="Z579" t="s">
        <v>134</v>
      </c>
      <c r="AA579" t="s">
        <v>134</v>
      </c>
      <c r="AB579" t="s">
        <v>134</v>
      </c>
      <c r="AC579" t="s">
        <v>134</v>
      </c>
      <c r="AD579" t="s">
        <v>134</v>
      </c>
      <c r="AE579" t="s">
        <v>134</v>
      </c>
      <c r="AF579" t="s">
        <v>134</v>
      </c>
      <c r="AG579" t="s">
        <v>134</v>
      </c>
      <c r="AH579" t="s">
        <v>134</v>
      </c>
      <c r="AI579" t="s">
        <v>134</v>
      </c>
      <c r="AJ579" t="s">
        <v>134</v>
      </c>
      <c r="AK579" t="s">
        <v>134</v>
      </c>
      <c r="AL579" t="s">
        <v>134</v>
      </c>
      <c r="AM579">
        <v>18.576699999999999</v>
      </c>
      <c r="AN579">
        <v>12.0671</v>
      </c>
      <c r="AO579">
        <v>11.777799999999999</v>
      </c>
      <c r="AP579">
        <v>16.8809</v>
      </c>
      <c r="AQ579">
        <v>14.9421</v>
      </c>
      <c r="AR579" t="s">
        <v>134</v>
      </c>
      <c r="AS579" t="s">
        <v>134</v>
      </c>
      <c r="AT579" t="s">
        <v>134</v>
      </c>
      <c r="AU579" t="s">
        <v>134</v>
      </c>
      <c r="AV579" t="s">
        <v>134</v>
      </c>
      <c r="AW579" t="s">
        <v>134</v>
      </c>
      <c r="AX579" t="s">
        <v>134</v>
      </c>
      <c r="AY579" t="s">
        <v>134</v>
      </c>
      <c r="AZ579" t="s">
        <v>134</v>
      </c>
      <c r="BA579" t="s">
        <v>134</v>
      </c>
      <c r="BB579" t="s">
        <v>134</v>
      </c>
      <c r="BC579" t="s">
        <v>134</v>
      </c>
      <c r="BD579" t="s">
        <v>134</v>
      </c>
      <c r="BE579" t="s">
        <v>134</v>
      </c>
      <c r="BF579">
        <v>2.6711</v>
      </c>
      <c r="BG579">
        <v>1.0500000000000001E-2</v>
      </c>
      <c r="BH579">
        <v>0.18429999999999999</v>
      </c>
      <c r="BI579">
        <v>-25.3672</v>
      </c>
      <c r="BJ579">
        <v>-25.390599999999999</v>
      </c>
      <c r="BK579" t="s">
        <v>134</v>
      </c>
      <c r="BL579" t="s">
        <v>134</v>
      </c>
      <c r="BM579" t="s">
        <v>134</v>
      </c>
      <c r="BN579" t="s">
        <v>134</v>
      </c>
      <c r="BO579" t="s">
        <v>134</v>
      </c>
      <c r="BP579" t="s">
        <v>134</v>
      </c>
      <c r="BQ579" t="s">
        <v>134</v>
      </c>
      <c r="BR579" t="s">
        <v>134</v>
      </c>
      <c r="BS579" t="s">
        <v>134</v>
      </c>
      <c r="BT579" t="s">
        <v>134</v>
      </c>
      <c r="BU579" t="s">
        <v>134</v>
      </c>
      <c r="BV579" t="s">
        <v>134</v>
      </c>
      <c r="BW579" t="s">
        <v>134</v>
      </c>
      <c r="BX579" t="s">
        <v>134</v>
      </c>
      <c r="BY579" t="s">
        <v>134</v>
      </c>
      <c r="BZ579" t="s">
        <v>134</v>
      </c>
      <c r="CA579" t="s">
        <v>134</v>
      </c>
      <c r="CB579" t="s">
        <v>134</v>
      </c>
      <c r="CC579" t="s">
        <v>134</v>
      </c>
      <c r="CD579" t="s">
        <v>134</v>
      </c>
      <c r="CE579" t="s">
        <v>134</v>
      </c>
      <c r="CF579">
        <v>10.2654</v>
      </c>
      <c r="CG579" t="s">
        <v>134</v>
      </c>
      <c r="CH579" t="s">
        <v>134</v>
      </c>
      <c r="CI579" t="s">
        <v>134</v>
      </c>
      <c r="CJ579" t="s">
        <v>134</v>
      </c>
      <c r="CK579" t="s">
        <v>134</v>
      </c>
      <c r="CL579" t="s">
        <v>134</v>
      </c>
      <c r="CM579" t="s">
        <v>134</v>
      </c>
      <c r="CN579" t="s">
        <v>134</v>
      </c>
      <c r="CO579" t="s">
        <v>134</v>
      </c>
      <c r="CP579">
        <v>2857.9</v>
      </c>
      <c r="CQ579" t="s">
        <v>134</v>
      </c>
      <c r="CR579">
        <v>2392.3000000000002</v>
      </c>
      <c r="CS579" t="s">
        <v>134</v>
      </c>
      <c r="CT579" t="s">
        <v>134</v>
      </c>
      <c r="CU579" t="s">
        <v>134</v>
      </c>
      <c r="CV579" t="s">
        <v>134</v>
      </c>
      <c r="CW579" t="s">
        <v>134</v>
      </c>
      <c r="CX579" t="s">
        <v>134</v>
      </c>
      <c r="CY579" t="s">
        <v>134</v>
      </c>
      <c r="CZ579" t="s">
        <v>134</v>
      </c>
      <c r="DA579" t="s">
        <v>134</v>
      </c>
      <c r="DB579" t="s">
        <v>134</v>
      </c>
      <c r="DC579" t="s">
        <v>134</v>
      </c>
      <c r="DD579" t="s">
        <v>134</v>
      </c>
      <c r="DE579" t="s">
        <v>134</v>
      </c>
      <c r="DF579" t="s">
        <v>134</v>
      </c>
      <c r="DG579" t="s">
        <v>134</v>
      </c>
      <c r="DH579" t="s">
        <v>134</v>
      </c>
      <c r="DI579" t="s">
        <v>134</v>
      </c>
    </row>
    <row r="580" spans="1:113" x14ac:dyDescent="0.3">
      <c r="E580" t="s">
        <v>79</v>
      </c>
      <c r="F580" t="s">
        <v>134</v>
      </c>
      <c r="G580">
        <v>9.9560999999999993</v>
      </c>
      <c r="H580" t="s">
        <v>134</v>
      </c>
      <c r="I580">
        <v>14.433400000000001</v>
      </c>
      <c r="J580">
        <v>15.341699999999999</v>
      </c>
      <c r="K580">
        <v>12.293799999999999</v>
      </c>
      <c r="L580">
        <v>11.5101</v>
      </c>
      <c r="M580">
        <v>11.8758</v>
      </c>
      <c r="N580">
        <v>11.2804</v>
      </c>
      <c r="O580">
        <v>10.797599999999999</v>
      </c>
      <c r="P580">
        <v>10.797599999999999</v>
      </c>
      <c r="Q580">
        <v>5.0129000000000001</v>
      </c>
      <c r="R580" t="s">
        <v>134</v>
      </c>
      <c r="S580" t="s">
        <v>134</v>
      </c>
      <c r="T580">
        <v>12.281000000000001</v>
      </c>
      <c r="U580">
        <v>12.9688</v>
      </c>
      <c r="V580">
        <v>11.408799999999999</v>
      </c>
      <c r="W580">
        <v>92.736999999999995</v>
      </c>
      <c r="X580">
        <v>92.688199999999995</v>
      </c>
      <c r="Y580" t="s">
        <v>134</v>
      </c>
      <c r="Z580">
        <v>17.081099999999999</v>
      </c>
      <c r="AA580">
        <v>22.571200000000001</v>
      </c>
      <c r="AB580">
        <v>23.670999999999999</v>
      </c>
      <c r="AC580">
        <v>14.4779</v>
      </c>
      <c r="AD580">
        <v>15.664300000000001</v>
      </c>
      <c r="AE580">
        <v>18.558700000000002</v>
      </c>
      <c r="AF580">
        <v>29.965900000000001</v>
      </c>
      <c r="AG580">
        <v>39.839500000000001</v>
      </c>
      <c r="AH580">
        <v>33.488</v>
      </c>
      <c r="AI580">
        <v>10.8093</v>
      </c>
      <c r="AJ580" t="s">
        <v>134</v>
      </c>
      <c r="AK580" t="s">
        <v>134</v>
      </c>
      <c r="AL580" t="s">
        <v>134</v>
      </c>
      <c r="AM580">
        <v>18.142700000000001</v>
      </c>
      <c r="AN580">
        <v>11.3066</v>
      </c>
      <c r="AO580">
        <v>10.522600000000001</v>
      </c>
      <c r="AP580">
        <v>14.085599999999999</v>
      </c>
      <c r="AQ580">
        <v>12.225199999999999</v>
      </c>
      <c r="AR580" t="s">
        <v>134</v>
      </c>
      <c r="AS580" t="s">
        <v>134</v>
      </c>
      <c r="AT580" t="s">
        <v>134</v>
      </c>
      <c r="AU580" t="s">
        <v>134</v>
      </c>
      <c r="AV580" t="s">
        <v>134</v>
      </c>
      <c r="AW580" t="s">
        <v>134</v>
      </c>
      <c r="AX580" t="s">
        <v>134</v>
      </c>
      <c r="AY580" t="s">
        <v>134</v>
      </c>
      <c r="AZ580" t="s">
        <v>134</v>
      </c>
      <c r="BA580" t="s">
        <v>134</v>
      </c>
      <c r="BB580" t="s">
        <v>134</v>
      </c>
      <c r="BC580" t="s">
        <v>134</v>
      </c>
      <c r="BD580" t="s">
        <v>134</v>
      </c>
      <c r="BE580" t="s">
        <v>134</v>
      </c>
      <c r="BF580">
        <v>5.6486999999999998</v>
      </c>
      <c r="BG580">
        <v>-8.8352000000000004</v>
      </c>
      <c r="BH580">
        <v>-12.5236</v>
      </c>
      <c r="BI580">
        <v>-5.9930000000000003</v>
      </c>
      <c r="BJ580">
        <v>-5.9810999999999996</v>
      </c>
      <c r="BK580" t="s">
        <v>134</v>
      </c>
      <c r="BL580" t="s">
        <v>134</v>
      </c>
      <c r="BM580" t="s">
        <v>134</v>
      </c>
      <c r="BN580" t="s">
        <v>134</v>
      </c>
      <c r="BO580" t="s">
        <v>134</v>
      </c>
      <c r="BP580" t="s">
        <v>134</v>
      </c>
      <c r="BQ580" t="s">
        <v>134</v>
      </c>
      <c r="BR580" t="s">
        <v>134</v>
      </c>
      <c r="BS580" t="s">
        <v>134</v>
      </c>
      <c r="BT580" t="s">
        <v>134</v>
      </c>
      <c r="BU580" t="s">
        <v>134</v>
      </c>
      <c r="BV580" t="s">
        <v>134</v>
      </c>
      <c r="BW580" t="s">
        <v>134</v>
      </c>
      <c r="BX580" t="s">
        <v>134</v>
      </c>
      <c r="BY580">
        <v>29467.599999999999</v>
      </c>
      <c r="BZ580">
        <v>13821.6</v>
      </c>
      <c r="CA580">
        <v>15646</v>
      </c>
      <c r="CB580">
        <v>2.7107000000000001</v>
      </c>
      <c r="CC580">
        <v>2.1863999999999999</v>
      </c>
      <c r="CD580">
        <v>3.3048999999999999</v>
      </c>
      <c r="CE580">
        <v>2.6657000000000002</v>
      </c>
      <c r="CF580">
        <v>13.4785</v>
      </c>
      <c r="CG580" t="s">
        <v>134</v>
      </c>
      <c r="CH580">
        <v>47.326900000000002</v>
      </c>
      <c r="CI580" t="s">
        <v>134</v>
      </c>
      <c r="CJ580">
        <v>19.627800000000001</v>
      </c>
      <c r="CK580">
        <v>89.135300000000001</v>
      </c>
      <c r="CL580" t="s">
        <v>134</v>
      </c>
      <c r="CM580">
        <v>36.966799999999999</v>
      </c>
      <c r="CN580">
        <v>71.896000000000001</v>
      </c>
      <c r="CO580" t="s">
        <v>134</v>
      </c>
      <c r="CP580">
        <v>2605.4</v>
      </c>
      <c r="CQ580" t="s">
        <v>134</v>
      </c>
      <c r="CR580">
        <v>2087.8000000000002</v>
      </c>
      <c r="CS580">
        <v>0.1963</v>
      </c>
      <c r="CT580">
        <v>1.1924999999999999</v>
      </c>
      <c r="CU580">
        <v>0.60029999999999994</v>
      </c>
      <c r="CV580">
        <v>3.8691</v>
      </c>
      <c r="CW580">
        <v>5.9154999999999998</v>
      </c>
      <c r="CX580">
        <v>61.702199999999998</v>
      </c>
      <c r="CY580">
        <v>2.0421999999999998</v>
      </c>
      <c r="CZ580">
        <v>178.72489999999999</v>
      </c>
      <c r="DA580">
        <v>3.7997999999999998</v>
      </c>
      <c r="DB580">
        <v>96.057000000000002</v>
      </c>
      <c r="DC580">
        <v>144.37010000000001</v>
      </c>
      <c r="DD580">
        <v>240.4271</v>
      </c>
      <c r="DE580">
        <v>13685.2</v>
      </c>
      <c r="DF580" t="s">
        <v>134</v>
      </c>
      <c r="DG580" t="s">
        <v>134</v>
      </c>
      <c r="DH580" t="s">
        <v>134</v>
      </c>
      <c r="DI580" t="s">
        <v>134</v>
      </c>
    </row>
    <row r="581" spans="1:113" x14ac:dyDescent="0.3">
      <c r="E581" t="s">
        <v>80</v>
      </c>
      <c r="F581" t="s">
        <v>134</v>
      </c>
      <c r="G581" t="s">
        <v>134</v>
      </c>
      <c r="H581" t="s">
        <v>134</v>
      </c>
      <c r="I581" t="s">
        <v>134</v>
      </c>
      <c r="J581">
        <v>16.0639</v>
      </c>
      <c r="K581">
        <v>13.367000000000001</v>
      </c>
      <c r="L581">
        <v>14.547700000000001</v>
      </c>
      <c r="M581">
        <v>12.8409</v>
      </c>
      <c r="N581">
        <v>10.6195</v>
      </c>
      <c r="O581">
        <v>10.117800000000001</v>
      </c>
      <c r="P581">
        <v>10.117800000000001</v>
      </c>
      <c r="Q581">
        <v>17.299399999999999</v>
      </c>
      <c r="R581" t="s">
        <v>134</v>
      </c>
      <c r="S581" t="s">
        <v>134</v>
      </c>
      <c r="T581">
        <v>17.746099999999998</v>
      </c>
      <c r="U581">
        <v>15.7882</v>
      </c>
      <c r="V581">
        <v>19.621200000000002</v>
      </c>
      <c r="W581">
        <v>80.711299999999994</v>
      </c>
      <c r="X581">
        <v>80.516900000000007</v>
      </c>
      <c r="Y581" t="s">
        <v>134</v>
      </c>
      <c r="Z581" t="s">
        <v>134</v>
      </c>
      <c r="AA581" t="s">
        <v>134</v>
      </c>
      <c r="AB581" t="s">
        <v>134</v>
      </c>
      <c r="AC581" t="s">
        <v>134</v>
      </c>
      <c r="AD581" t="s">
        <v>134</v>
      </c>
      <c r="AE581" t="s">
        <v>134</v>
      </c>
      <c r="AF581" t="s">
        <v>134</v>
      </c>
      <c r="AG581" t="s">
        <v>134</v>
      </c>
      <c r="AH581" t="s">
        <v>134</v>
      </c>
      <c r="AI581" t="s">
        <v>134</v>
      </c>
      <c r="AJ581" t="s">
        <v>134</v>
      </c>
      <c r="AK581" t="s">
        <v>134</v>
      </c>
      <c r="AL581" t="s">
        <v>134</v>
      </c>
      <c r="AM581">
        <v>20.077999999999999</v>
      </c>
      <c r="AN581">
        <v>15.695</v>
      </c>
      <c r="AO581">
        <v>16.9087</v>
      </c>
      <c r="AP581">
        <v>25.168299999999999</v>
      </c>
      <c r="AQ581">
        <v>25.185700000000001</v>
      </c>
      <c r="AR581" t="s">
        <v>134</v>
      </c>
      <c r="AS581" t="s">
        <v>134</v>
      </c>
      <c r="AT581" t="s">
        <v>134</v>
      </c>
      <c r="AU581" t="s">
        <v>134</v>
      </c>
      <c r="AV581" t="s">
        <v>134</v>
      </c>
      <c r="AW581" t="s">
        <v>134</v>
      </c>
      <c r="AX581" t="s">
        <v>134</v>
      </c>
      <c r="AY581" t="s">
        <v>134</v>
      </c>
      <c r="AZ581" t="s">
        <v>134</v>
      </c>
      <c r="BA581" t="s">
        <v>134</v>
      </c>
      <c r="BB581" t="s">
        <v>134</v>
      </c>
      <c r="BC581" t="s">
        <v>134</v>
      </c>
      <c r="BD581" t="s">
        <v>134</v>
      </c>
      <c r="BE581" t="s">
        <v>134</v>
      </c>
      <c r="BF581">
        <v>8.2314000000000007</v>
      </c>
      <c r="BG581">
        <v>13.3262</v>
      </c>
      <c r="BH581">
        <v>17.678899999999999</v>
      </c>
      <c r="BI581">
        <v>1.4178999999999999</v>
      </c>
      <c r="BJ581">
        <v>1.3392999999999999</v>
      </c>
      <c r="BK581" t="s">
        <v>134</v>
      </c>
      <c r="BL581" t="s">
        <v>134</v>
      </c>
      <c r="BM581" t="s">
        <v>134</v>
      </c>
      <c r="BN581" t="s">
        <v>134</v>
      </c>
      <c r="BO581" t="s">
        <v>134</v>
      </c>
      <c r="BP581" t="s">
        <v>134</v>
      </c>
      <c r="BQ581" t="s">
        <v>134</v>
      </c>
      <c r="BR581" t="s">
        <v>134</v>
      </c>
      <c r="BS581" t="s">
        <v>134</v>
      </c>
      <c r="BT581" t="s">
        <v>134</v>
      </c>
      <c r="BU581" t="s">
        <v>134</v>
      </c>
      <c r="BV581" t="s">
        <v>134</v>
      </c>
      <c r="BW581" t="s">
        <v>134</v>
      </c>
      <c r="BX581" t="s">
        <v>134</v>
      </c>
      <c r="BY581" t="s">
        <v>134</v>
      </c>
      <c r="BZ581" t="s">
        <v>134</v>
      </c>
      <c r="CA581" t="s">
        <v>134</v>
      </c>
      <c r="CB581" t="s">
        <v>134</v>
      </c>
      <c r="CC581" t="s">
        <v>134</v>
      </c>
      <c r="CD581" t="s">
        <v>134</v>
      </c>
      <c r="CE581" t="s">
        <v>134</v>
      </c>
      <c r="CF581">
        <v>15.5564</v>
      </c>
      <c r="CG581" t="s">
        <v>134</v>
      </c>
      <c r="CH581" t="s">
        <v>134</v>
      </c>
      <c r="CI581" t="s">
        <v>134</v>
      </c>
      <c r="CJ581" t="s">
        <v>134</v>
      </c>
      <c r="CK581" t="s">
        <v>134</v>
      </c>
      <c r="CL581" t="s">
        <v>134</v>
      </c>
      <c r="CM581" t="s">
        <v>134</v>
      </c>
      <c r="CN581" t="s">
        <v>134</v>
      </c>
      <c r="CO581" t="s">
        <v>134</v>
      </c>
      <c r="CP581">
        <v>2952.6</v>
      </c>
      <c r="CQ581" t="s">
        <v>134</v>
      </c>
      <c r="CR581">
        <v>2456.9</v>
      </c>
      <c r="CS581" t="s">
        <v>134</v>
      </c>
      <c r="CT581" t="s">
        <v>134</v>
      </c>
      <c r="CU581" t="s">
        <v>134</v>
      </c>
      <c r="CV581" t="s">
        <v>134</v>
      </c>
      <c r="CW581" t="s">
        <v>134</v>
      </c>
      <c r="CX581" t="s">
        <v>134</v>
      </c>
      <c r="CY581" t="s">
        <v>134</v>
      </c>
      <c r="CZ581" t="s">
        <v>134</v>
      </c>
      <c r="DA581" t="s">
        <v>134</v>
      </c>
      <c r="DB581" t="s">
        <v>134</v>
      </c>
      <c r="DC581" t="s">
        <v>134</v>
      </c>
      <c r="DD581" t="s">
        <v>134</v>
      </c>
      <c r="DE581" t="s">
        <v>134</v>
      </c>
      <c r="DF581" t="s">
        <v>134</v>
      </c>
      <c r="DG581" t="s">
        <v>134</v>
      </c>
      <c r="DH581" t="s">
        <v>134</v>
      </c>
      <c r="DI581" t="s">
        <v>134</v>
      </c>
    </row>
    <row r="582" spans="1:113" x14ac:dyDescent="0.3">
      <c r="E582" t="s">
        <v>81</v>
      </c>
      <c r="F582">
        <v>25.177099999999999</v>
      </c>
      <c r="G582">
        <v>10.462899999999999</v>
      </c>
      <c r="H582">
        <v>14.9338</v>
      </c>
      <c r="I582">
        <v>14.1462</v>
      </c>
      <c r="J582">
        <v>18.7102</v>
      </c>
      <c r="K582">
        <v>15.956</v>
      </c>
      <c r="L582">
        <v>19.0989</v>
      </c>
      <c r="M582">
        <v>14.672800000000001</v>
      </c>
      <c r="N582">
        <v>12.859</v>
      </c>
      <c r="O582">
        <v>12.4817</v>
      </c>
      <c r="P582">
        <v>12.4817</v>
      </c>
      <c r="Q582">
        <v>12.3622</v>
      </c>
      <c r="R582" t="s">
        <v>134</v>
      </c>
      <c r="S582" t="s">
        <v>134</v>
      </c>
      <c r="T582">
        <v>22.399899999999999</v>
      </c>
      <c r="U582">
        <v>25.4724</v>
      </c>
      <c r="V582">
        <v>28.049800000000001</v>
      </c>
      <c r="W582">
        <v>-8.7444000000000006</v>
      </c>
      <c r="X582">
        <v>-8.75</v>
      </c>
      <c r="Y582" t="s">
        <v>134</v>
      </c>
      <c r="Z582">
        <v>18.6996</v>
      </c>
      <c r="AA582">
        <v>12.6813</v>
      </c>
      <c r="AB582">
        <v>10.643000000000001</v>
      </c>
      <c r="AC582">
        <v>8.3033000000000001</v>
      </c>
      <c r="AD582">
        <v>5.1920999999999999</v>
      </c>
      <c r="AE582">
        <v>22.712399999999999</v>
      </c>
      <c r="AF582">
        <v>38.672400000000003</v>
      </c>
      <c r="AG582">
        <v>-10.643700000000001</v>
      </c>
      <c r="AH582">
        <v>-7.6344000000000003</v>
      </c>
      <c r="AI582">
        <v>16.956099999999999</v>
      </c>
      <c r="AJ582">
        <v>4.9486999999999997</v>
      </c>
      <c r="AK582">
        <v>16.794</v>
      </c>
      <c r="AL582" t="s">
        <v>134</v>
      </c>
      <c r="AM582">
        <v>22.224599999999999</v>
      </c>
      <c r="AN582">
        <v>19.175000000000001</v>
      </c>
      <c r="AO582">
        <v>21.028300000000002</v>
      </c>
      <c r="AP582">
        <v>32.758699999999997</v>
      </c>
      <c r="AQ582">
        <v>32.7483</v>
      </c>
      <c r="AR582" t="s">
        <v>134</v>
      </c>
      <c r="AS582">
        <v>18.5334</v>
      </c>
      <c r="AT582">
        <v>17.864100000000001</v>
      </c>
      <c r="AU582">
        <v>23.518599999999999</v>
      </c>
      <c r="AV582">
        <v>18.987500000000001</v>
      </c>
      <c r="AW582">
        <v>23.206199999999999</v>
      </c>
      <c r="AX582">
        <v>5.7717999999999998</v>
      </c>
      <c r="AY582">
        <v>11.6272</v>
      </c>
      <c r="AZ582">
        <v>28.2026</v>
      </c>
      <c r="BA582">
        <v>16.332999999999998</v>
      </c>
      <c r="BB582">
        <v>23.2879</v>
      </c>
      <c r="BC582">
        <v>19.998799999999999</v>
      </c>
      <c r="BD582">
        <v>22.726700000000001</v>
      </c>
      <c r="BE582" t="s">
        <v>134</v>
      </c>
      <c r="BF582">
        <v>4.2594000000000003</v>
      </c>
      <c r="BG582">
        <v>21.435300000000002</v>
      </c>
      <c r="BH582">
        <v>24.453600000000002</v>
      </c>
      <c r="BI582">
        <v>28.6175</v>
      </c>
      <c r="BJ582">
        <v>28.634399999999999</v>
      </c>
      <c r="BK582" t="s">
        <v>134</v>
      </c>
      <c r="BL582" t="s">
        <v>134</v>
      </c>
      <c r="BM582" t="s">
        <v>134</v>
      </c>
      <c r="BN582" t="s">
        <v>134</v>
      </c>
      <c r="BO582" t="s">
        <v>134</v>
      </c>
      <c r="BP582" t="s">
        <v>134</v>
      </c>
      <c r="BQ582" t="s">
        <v>134</v>
      </c>
      <c r="BR582" t="s">
        <v>134</v>
      </c>
      <c r="BS582" t="s">
        <v>134</v>
      </c>
      <c r="BT582" t="s">
        <v>134</v>
      </c>
      <c r="BU582" t="s">
        <v>134</v>
      </c>
      <c r="BV582" t="s">
        <v>134</v>
      </c>
      <c r="BW582" t="s">
        <v>134</v>
      </c>
      <c r="BX582" t="s">
        <v>134</v>
      </c>
      <c r="BY582">
        <v>27004</v>
      </c>
      <c r="BZ582">
        <v>13382</v>
      </c>
      <c r="CA582">
        <v>13622</v>
      </c>
      <c r="CB582">
        <v>2.2500999999999998</v>
      </c>
      <c r="CC582">
        <v>1.7391000000000001</v>
      </c>
      <c r="CD582">
        <v>2.7033</v>
      </c>
      <c r="CE582">
        <v>2.0895000000000001</v>
      </c>
      <c r="CF582">
        <v>14.9147</v>
      </c>
      <c r="CG582">
        <v>43.060200000000002</v>
      </c>
      <c r="CH582">
        <v>38.0152</v>
      </c>
      <c r="CI582">
        <v>21.6783</v>
      </c>
      <c r="CJ582">
        <v>17.0563</v>
      </c>
      <c r="CK582">
        <v>75.360699999999994</v>
      </c>
      <c r="CL582">
        <v>42.974699999999999</v>
      </c>
      <c r="CM582">
        <v>33.812100000000001</v>
      </c>
      <c r="CN582">
        <v>58.247999999999998</v>
      </c>
      <c r="CO582">
        <v>36.808</v>
      </c>
      <c r="CP582">
        <v>3585.5</v>
      </c>
      <c r="CQ582" t="s">
        <v>134</v>
      </c>
      <c r="CR582">
        <v>3057.7</v>
      </c>
      <c r="CS582">
        <v>0.21790000000000001</v>
      </c>
      <c r="CT582">
        <v>1.2273000000000001</v>
      </c>
      <c r="CU582">
        <v>0.62080000000000002</v>
      </c>
      <c r="CV582">
        <v>4.7365000000000004</v>
      </c>
      <c r="CW582">
        <v>6.7599</v>
      </c>
      <c r="CX582">
        <v>53.994599999999998</v>
      </c>
      <c r="CY582">
        <v>2.1564999999999999</v>
      </c>
      <c r="CZ582">
        <v>169.25280000000001</v>
      </c>
      <c r="DA582">
        <v>3.7471999999999999</v>
      </c>
      <c r="DB582">
        <v>97.407200000000003</v>
      </c>
      <c r="DC582">
        <v>125.8402</v>
      </c>
      <c r="DD582">
        <v>223.2474</v>
      </c>
      <c r="DE582">
        <v>13675</v>
      </c>
      <c r="DF582">
        <v>3621</v>
      </c>
      <c r="DG582">
        <v>4949</v>
      </c>
      <c r="DH582">
        <v>3179</v>
      </c>
      <c r="DI582">
        <v>1926</v>
      </c>
    </row>
    <row r="583" spans="1:113" x14ac:dyDescent="0.3">
      <c r="D583" t="s">
        <v>82</v>
      </c>
      <c r="E583" t="s">
        <v>77</v>
      </c>
      <c r="F583">
        <v>29.9222</v>
      </c>
      <c r="G583">
        <v>13.485099999999999</v>
      </c>
      <c r="H583">
        <v>18.443899999999999</v>
      </c>
      <c r="I583">
        <v>17.916799999999999</v>
      </c>
      <c r="J583">
        <v>20.8306</v>
      </c>
      <c r="K583">
        <v>17.4495</v>
      </c>
      <c r="L583">
        <v>35.098500000000001</v>
      </c>
      <c r="M583">
        <v>17.011700000000001</v>
      </c>
      <c r="N583">
        <v>13.9589</v>
      </c>
      <c r="O583">
        <v>13.516400000000001</v>
      </c>
      <c r="P583">
        <v>13.5411</v>
      </c>
      <c r="Q583">
        <v>17.9453</v>
      </c>
      <c r="R583">
        <v>21.353899999999999</v>
      </c>
      <c r="S583">
        <v>23.532699999999998</v>
      </c>
      <c r="T583">
        <v>20.355499999999999</v>
      </c>
      <c r="U583">
        <v>50.063600000000001</v>
      </c>
      <c r="V583">
        <v>51.558799999999998</v>
      </c>
      <c r="W583">
        <v>43.180700000000002</v>
      </c>
      <c r="X583">
        <v>43.184699999999999</v>
      </c>
      <c r="Y583">
        <v>33.333300000000001</v>
      </c>
      <c r="Z583">
        <v>40.107599999999998</v>
      </c>
      <c r="AA583">
        <v>12.299799999999999</v>
      </c>
      <c r="AB583">
        <v>5.4541000000000004</v>
      </c>
      <c r="AC583">
        <v>13.2799</v>
      </c>
      <c r="AD583">
        <v>27.842099999999999</v>
      </c>
      <c r="AE583">
        <v>54.159300000000002</v>
      </c>
      <c r="AF583">
        <v>19.773800000000001</v>
      </c>
      <c r="AG583">
        <v>12.158099999999999</v>
      </c>
      <c r="AH583">
        <v>-1.8182</v>
      </c>
      <c r="AI583">
        <v>23.363900000000001</v>
      </c>
      <c r="AJ583">
        <v>12.542</v>
      </c>
      <c r="AK583">
        <v>23.629000000000001</v>
      </c>
      <c r="AL583">
        <v>13.5303</v>
      </c>
      <c r="AM583">
        <v>18.910699999999999</v>
      </c>
      <c r="AN583">
        <v>16.102699999999999</v>
      </c>
      <c r="AO583">
        <v>16.0274</v>
      </c>
      <c r="AP583">
        <v>17.898800000000001</v>
      </c>
      <c r="AQ583">
        <v>17.896699999999999</v>
      </c>
      <c r="AR583">
        <v>29.199400000000001</v>
      </c>
      <c r="AS583">
        <v>27.7514</v>
      </c>
      <c r="AT583">
        <v>15.3992</v>
      </c>
      <c r="AU583">
        <v>20.610900000000001</v>
      </c>
      <c r="AV583">
        <v>19.302199999999999</v>
      </c>
      <c r="AW583">
        <v>27.747900000000001</v>
      </c>
      <c r="AX583">
        <v>7.9008000000000003</v>
      </c>
      <c r="AY583">
        <v>11.9785</v>
      </c>
      <c r="AZ583">
        <v>42.9771</v>
      </c>
      <c r="BA583">
        <v>19.444600000000001</v>
      </c>
      <c r="BB583">
        <v>21.526399999999999</v>
      </c>
      <c r="BC583">
        <v>20.720400000000001</v>
      </c>
      <c r="BD583">
        <v>21.158200000000001</v>
      </c>
      <c r="BE583">
        <v>8.8904999999999994</v>
      </c>
      <c r="BF583">
        <v>20.355499999999999</v>
      </c>
      <c r="BG583">
        <v>50.063600000000001</v>
      </c>
      <c r="BH583">
        <v>51.558799999999998</v>
      </c>
      <c r="BI583">
        <v>43.180700000000002</v>
      </c>
      <c r="BJ583">
        <v>43.184699999999999</v>
      </c>
      <c r="BK583">
        <v>33.333300000000001</v>
      </c>
      <c r="BL583">
        <v>40.107599999999998</v>
      </c>
      <c r="BM583">
        <v>12.299799999999999</v>
      </c>
      <c r="BN583">
        <v>5.4541000000000004</v>
      </c>
      <c r="BO583">
        <v>13.2799</v>
      </c>
      <c r="BP583">
        <v>27.842099999999999</v>
      </c>
      <c r="BQ583">
        <v>54.159300000000002</v>
      </c>
      <c r="BR583">
        <v>19.773800000000001</v>
      </c>
      <c r="BS583">
        <v>12.158099999999999</v>
      </c>
      <c r="BT583">
        <v>-1.8182</v>
      </c>
      <c r="BU583">
        <v>23.363900000000001</v>
      </c>
      <c r="BV583">
        <v>12.542</v>
      </c>
      <c r="BW583">
        <v>23.629000000000001</v>
      </c>
      <c r="BX583">
        <v>13.5303</v>
      </c>
      <c r="BY583">
        <v>26513</v>
      </c>
      <c r="BZ583">
        <v>15009</v>
      </c>
      <c r="CA583">
        <v>11504</v>
      </c>
      <c r="CB583">
        <v>1.4979</v>
      </c>
      <c r="CC583">
        <v>1.0509999999999999</v>
      </c>
      <c r="CD583">
        <v>1.7882</v>
      </c>
      <c r="CE583">
        <v>1.2545999999999999</v>
      </c>
      <c r="CF583">
        <v>31.8919</v>
      </c>
      <c r="CG583">
        <v>46.994100000000003</v>
      </c>
      <c r="CH583">
        <v>26.0242</v>
      </c>
      <c r="CI583">
        <v>16.267399999999999</v>
      </c>
      <c r="CJ583">
        <v>12.7157</v>
      </c>
      <c r="CK583">
        <v>59.977400000000003</v>
      </c>
      <c r="CL583">
        <v>37.491199999999999</v>
      </c>
      <c r="CM583">
        <v>29.305499999999999</v>
      </c>
      <c r="CN583">
        <v>42.081200000000003</v>
      </c>
      <c r="CO583">
        <v>29.617699999999999</v>
      </c>
      <c r="CP583">
        <v>17700</v>
      </c>
      <c r="CQ583">
        <v>12576</v>
      </c>
      <c r="CR583">
        <v>14827</v>
      </c>
      <c r="CS583">
        <v>0.24229999999999999</v>
      </c>
      <c r="CT583">
        <v>1.2946</v>
      </c>
      <c r="CU583">
        <v>0.7288</v>
      </c>
      <c r="CV583">
        <v>6.8182999999999998</v>
      </c>
      <c r="CW583">
        <v>6.2430000000000003</v>
      </c>
      <c r="CX583">
        <v>58.465000000000003</v>
      </c>
      <c r="CY583">
        <v>2.2054999999999998</v>
      </c>
      <c r="CZ583">
        <v>165.49549999999999</v>
      </c>
      <c r="DA583">
        <v>3.3668</v>
      </c>
      <c r="DB583">
        <v>108.41030000000001</v>
      </c>
      <c r="DC583">
        <v>115.55029999999999</v>
      </c>
      <c r="DD583">
        <v>223.9606</v>
      </c>
      <c r="DE583">
        <v>15357</v>
      </c>
      <c r="DF583">
        <v>4238</v>
      </c>
      <c r="DG583">
        <v>6050</v>
      </c>
      <c r="DH583">
        <v>2992</v>
      </c>
      <c r="DI583">
        <v>2077</v>
      </c>
    </row>
    <row r="584" spans="1:113" x14ac:dyDescent="0.3">
      <c r="E584" t="s">
        <v>78</v>
      </c>
      <c r="F584" t="s">
        <v>134</v>
      </c>
      <c r="G584" t="s">
        <v>134</v>
      </c>
      <c r="H584" t="s">
        <v>134</v>
      </c>
      <c r="I584" t="s">
        <v>134</v>
      </c>
      <c r="J584">
        <v>18.6158</v>
      </c>
      <c r="K584">
        <v>15.265000000000001</v>
      </c>
      <c r="L584">
        <v>16.889099999999999</v>
      </c>
      <c r="M584">
        <v>14.8269</v>
      </c>
      <c r="N584">
        <v>12.231400000000001</v>
      </c>
      <c r="O584">
        <v>11.8893</v>
      </c>
      <c r="P584">
        <v>11.8893</v>
      </c>
      <c r="Q584">
        <v>17.505700000000001</v>
      </c>
      <c r="R584" t="s">
        <v>134</v>
      </c>
      <c r="S584" t="s">
        <v>134</v>
      </c>
      <c r="T584">
        <v>25.688500000000001</v>
      </c>
      <c r="U584">
        <v>31.6036</v>
      </c>
      <c r="V584">
        <v>29.220300000000002</v>
      </c>
      <c r="W584">
        <v>23.146699999999999</v>
      </c>
      <c r="X584">
        <v>23.085000000000001</v>
      </c>
      <c r="Y584" t="s">
        <v>134</v>
      </c>
      <c r="Z584" t="s">
        <v>134</v>
      </c>
      <c r="AA584" t="s">
        <v>134</v>
      </c>
      <c r="AB584" t="s">
        <v>134</v>
      </c>
      <c r="AC584" t="s">
        <v>134</v>
      </c>
      <c r="AD584" t="s">
        <v>134</v>
      </c>
      <c r="AE584" t="s">
        <v>134</v>
      </c>
      <c r="AF584" t="s">
        <v>134</v>
      </c>
      <c r="AG584" t="s">
        <v>134</v>
      </c>
      <c r="AH584" t="s">
        <v>134</v>
      </c>
      <c r="AI584" t="s">
        <v>134</v>
      </c>
      <c r="AJ584" t="s">
        <v>134</v>
      </c>
      <c r="AK584" t="s">
        <v>134</v>
      </c>
      <c r="AL584" t="s">
        <v>134</v>
      </c>
      <c r="AM584">
        <v>18.075399999999998</v>
      </c>
      <c r="AN584">
        <v>13.045199999999999</v>
      </c>
      <c r="AO584">
        <v>12.1143</v>
      </c>
      <c r="AP584">
        <v>13.9941</v>
      </c>
      <c r="AQ584">
        <v>13.995699999999999</v>
      </c>
      <c r="AR584" t="s">
        <v>134</v>
      </c>
      <c r="AS584" t="s">
        <v>134</v>
      </c>
      <c r="AT584" t="s">
        <v>134</v>
      </c>
      <c r="AU584" t="s">
        <v>134</v>
      </c>
      <c r="AV584" t="s">
        <v>134</v>
      </c>
      <c r="AW584" t="s">
        <v>134</v>
      </c>
      <c r="AX584" t="s">
        <v>134</v>
      </c>
      <c r="AY584" t="s">
        <v>134</v>
      </c>
      <c r="AZ584" t="s">
        <v>134</v>
      </c>
      <c r="BA584" t="s">
        <v>134</v>
      </c>
      <c r="BB584" t="s">
        <v>134</v>
      </c>
      <c r="BC584" t="s">
        <v>134</v>
      </c>
      <c r="BD584" t="s">
        <v>134</v>
      </c>
      <c r="BE584" t="s">
        <v>134</v>
      </c>
      <c r="BF584">
        <v>5.4295999999999998</v>
      </c>
      <c r="BG584">
        <v>4.8975</v>
      </c>
      <c r="BH584">
        <v>0.86339999999999995</v>
      </c>
      <c r="BI584">
        <v>0.4264</v>
      </c>
      <c r="BJ584">
        <v>0.42809999999999998</v>
      </c>
      <c r="BK584" t="s">
        <v>134</v>
      </c>
      <c r="BL584" t="s">
        <v>134</v>
      </c>
      <c r="BM584" t="s">
        <v>134</v>
      </c>
      <c r="BN584" t="s">
        <v>134</v>
      </c>
      <c r="BO584" t="s">
        <v>134</v>
      </c>
      <c r="BP584" t="s">
        <v>134</v>
      </c>
      <c r="BQ584" t="s">
        <v>134</v>
      </c>
      <c r="BR584" t="s">
        <v>134</v>
      </c>
      <c r="BS584" t="s">
        <v>134</v>
      </c>
      <c r="BT584" t="s">
        <v>134</v>
      </c>
      <c r="BU584" t="s">
        <v>134</v>
      </c>
      <c r="BV584" t="s">
        <v>134</v>
      </c>
      <c r="BW584" t="s">
        <v>134</v>
      </c>
      <c r="BX584" t="s">
        <v>134</v>
      </c>
      <c r="BY584" t="s">
        <v>134</v>
      </c>
      <c r="BZ584" t="s">
        <v>134</v>
      </c>
      <c r="CA584" t="s">
        <v>134</v>
      </c>
      <c r="CB584" t="s">
        <v>134</v>
      </c>
      <c r="CC584" t="s">
        <v>134</v>
      </c>
      <c r="CD584" t="s">
        <v>134</v>
      </c>
      <c r="CE584" t="s">
        <v>134</v>
      </c>
      <c r="CF584">
        <v>20.802499999999998</v>
      </c>
      <c r="CG584" t="s">
        <v>134</v>
      </c>
      <c r="CH584" t="s">
        <v>134</v>
      </c>
      <c r="CI584" t="s">
        <v>134</v>
      </c>
      <c r="CJ584" t="s">
        <v>134</v>
      </c>
      <c r="CK584" t="s">
        <v>134</v>
      </c>
      <c r="CL584" t="s">
        <v>134</v>
      </c>
      <c r="CM584" t="s">
        <v>134</v>
      </c>
      <c r="CN584" t="s">
        <v>134</v>
      </c>
      <c r="CO584" t="s">
        <v>134</v>
      </c>
      <c r="CP584">
        <v>3761.1</v>
      </c>
      <c r="CQ584" t="s">
        <v>134</v>
      </c>
      <c r="CR584">
        <v>3084.1</v>
      </c>
      <c r="CS584" t="s">
        <v>134</v>
      </c>
      <c r="CT584" t="s">
        <v>134</v>
      </c>
      <c r="CU584" t="s">
        <v>134</v>
      </c>
      <c r="CV584" t="s">
        <v>134</v>
      </c>
      <c r="CW584" t="s">
        <v>134</v>
      </c>
      <c r="CX584" t="s">
        <v>134</v>
      </c>
      <c r="CY584" t="s">
        <v>134</v>
      </c>
      <c r="CZ584" t="s">
        <v>134</v>
      </c>
      <c r="DA584" t="s">
        <v>134</v>
      </c>
      <c r="DB584" t="s">
        <v>134</v>
      </c>
      <c r="DC584" t="s">
        <v>134</v>
      </c>
      <c r="DD584" t="s">
        <v>134</v>
      </c>
      <c r="DE584" t="s">
        <v>134</v>
      </c>
      <c r="DF584" t="s">
        <v>134</v>
      </c>
      <c r="DG584" t="s">
        <v>134</v>
      </c>
      <c r="DH584" t="s">
        <v>134</v>
      </c>
      <c r="DI584" t="s">
        <v>134</v>
      </c>
    </row>
    <row r="585" spans="1:113" x14ac:dyDescent="0.3">
      <c r="E585" t="s">
        <v>79</v>
      </c>
      <c r="F585" t="s">
        <v>134</v>
      </c>
      <c r="G585">
        <v>11.474299999999999</v>
      </c>
      <c r="H585" t="s">
        <v>134</v>
      </c>
      <c r="I585">
        <v>15.936400000000001</v>
      </c>
      <c r="J585">
        <v>20.401399999999999</v>
      </c>
      <c r="K585">
        <v>16.849799999999998</v>
      </c>
      <c r="L585">
        <v>38.031100000000002</v>
      </c>
      <c r="M585">
        <v>16.732500000000002</v>
      </c>
      <c r="N585">
        <v>13.963900000000001</v>
      </c>
      <c r="O585">
        <v>13.4764</v>
      </c>
      <c r="P585">
        <v>13.4764</v>
      </c>
      <c r="Q585">
        <v>16.545999999999999</v>
      </c>
      <c r="R585" t="s">
        <v>134</v>
      </c>
      <c r="S585" t="s">
        <v>134</v>
      </c>
      <c r="T585">
        <v>21.5092</v>
      </c>
      <c r="U585">
        <v>61.583599999999997</v>
      </c>
      <c r="V585">
        <v>66.538899999999998</v>
      </c>
      <c r="W585">
        <v>51.655099999999997</v>
      </c>
      <c r="X585">
        <v>51.5625</v>
      </c>
      <c r="Y585" t="s">
        <v>134</v>
      </c>
      <c r="Z585">
        <v>23.105399999999999</v>
      </c>
      <c r="AA585">
        <v>9.891</v>
      </c>
      <c r="AB585">
        <v>0.69869999999999999</v>
      </c>
      <c r="AC585">
        <v>6.2972000000000001</v>
      </c>
      <c r="AD585">
        <v>17.085699999999999</v>
      </c>
      <c r="AE585">
        <v>43.9253</v>
      </c>
      <c r="AF585">
        <v>13.728899999999999</v>
      </c>
      <c r="AG585">
        <v>-24.458100000000002</v>
      </c>
      <c r="AH585">
        <v>-24.078600000000002</v>
      </c>
      <c r="AI585">
        <v>23.2742</v>
      </c>
      <c r="AJ585" t="s">
        <v>134</v>
      </c>
      <c r="AK585" t="s">
        <v>134</v>
      </c>
      <c r="AL585" t="s">
        <v>134</v>
      </c>
      <c r="AM585">
        <v>17.724799999999998</v>
      </c>
      <c r="AN585">
        <v>15.4061</v>
      </c>
      <c r="AO585">
        <v>14.780200000000001</v>
      </c>
      <c r="AP585">
        <v>16.084700000000002</v>
      </c>
      <c r="AQ585">
        <v>16.092099999999999</v>
      </c>
      <c r="AR585" t="s">
        <v>134</v>
      </c>
      <c r="AS585" t="s">
        <v>134</v>
      </c>
      <c r="AT585" t="s">
        <v>134</v>
      </c>
      <c r="AU585" t="s">
        <v>134</v>
      </c>
      <c r="AV585" t="s">
        <v>134</v>
      </c>
      <c r="AW585" t="s">
        <v>134</v>
      </c>
      <c r="AX585" t="s">
        <v>134</v>
      </c>
      <c r="AY585" t="s">
        <v>134</v>
      </c>
      <c r="AZ585" t="s">
        <v>134</v>
      </c>
      <c r="BA585" t="s">
        <v>134</v>
      </c>
      <c r="BB585" t="s">
        <v>134</v>
      </c>
      <c r="BC585" t="s">
        <v>134</v>
      </c>
      <c r="BD585" t="s">
        <v>134</v>
      </c>
      <c r="BE585" t="s">
        <v>134</v>
      </c>
      <c r="BF585">
        <v>2.1356999999999999</v>
      </c>
      <c r="BG585">
        <v>11.932700000000001</v>
      </c>
      <c r="BH585">
        <v>12.7395</v>
      </c>
      <c r="BI585">
        <v>15.769500000000001</v>
      </c>
      <c r="BJ585">
        <v>15.7715</v>
      </c>
      <c r="BK585" t="s">
        <v>134</v>
      </c>
      <c r="BL585" t="s">
        <v>134</v>
      </c>
      <c r="BM585" t="s">
        <v>134</v>
      </c>
      <c r="BN585" t="s">
        <v>134</v>
      </c>
      <c r="BO585" t="s">
        <v>134</v>
      </c>
      <c r="BP585" t="s">
        <v>134</v>
      </c>
      <c r="BQ585" t="s">
        <v>134</v>
      </c>
      <c r="BR585" t="s">
        <v>134</v>
      </c>
      <c r="BS585" t="s">
        <v>134</v>
      </c>
      <c r="BT585" t="s">
        <v>134</v>
      </c>
      <c r="BU585" t="s">
        <v>134</v>
      </c>
      <c r="BV585" t="s">
        <v>134</v>
      </c>
      <c r="BW585" t="s">
        <v>134</v>
      </c>
      <c r="BX585" t="s">
        <v>134</v>
      </c>
      <c r="BY585">
        <v>22372.2</v>
      </c>
      <c r="BZ585">
        <v>10441.1</v>
      </c>
      <c r="CA585">
        <v>11931.1</v>
      </c>
      <c r="CB585">
        <v>1.5419</v>
      </c>
      <c r="CC585">
        <v>1.2237</v>
      </c>
      <c r="CD585">
        <v>1.8527</v>
      </c>
      <c r="CE585">
        <v>1.4702999999999999</v>
      </c>
      <c r="CF585">
        <v>24.391100000000002</v>
      </c>
      <c r="CG585" t="s">
        <v>134</v>
      </c>
      <c r="CH585">
        <v>29.2761</v>
      </c>
      <c r="CI585" t="s">
        <v>134</v>
      </c>
      <c r="CJ585">
        <v>14.0808</v>
      </c>
      <c r="CK585">
        <v>54.896099999999997</v>
      </c>
      <c r="CL585" t="s">
        <v>134</v>
      </c>
      <c r="CM585">
        <v>26.403099999999998</v>
      </c>
      <c r="CN585">
        <v>43.567300000000003</v>
      </c>
      <c r="CO585" t="s">
        <v>134</v>
      </c>
      <c r="CP585">
        <v>4209.8999999999996</v>
      </c>
      <c r="CQ585" t="s">
        <v>134</v>
      </c>
      <c r="CR585">
        <v>3477</v>
      </c>
      <c r="CS585">
        <v>0.15490000000000001</v>
      </c>
      <c r="CT585">
        <v>1.27</v>
      </c>
      <c r="CU585">
        <v>0.63939999999999997</v>
      </c>
      <c r="CV585">
        <v>6.1265999999999998</v>
      </c>
      <c r="CW585">
        <v>5.9905999999999997</v>
      </c>
      <c r="CX585">
        <v>60.929000000000002</v>
      </c>
      <c r="CY585">
        <v>2.2389000000000001</v>
      </c>
      <c r="CZ585">
        <v>163.0274</v>
      </c>
      <c r="DA585">
        <v>3.7787999999999999</v>
      </c>
      <c r="DB585">
        <v>96.590400000000002</v>
      </c>
      <c r="DC585">
        <v>127.366</v>
      </c>
      <c r="DD585">
        <v>223.9564</v>
      </c>
      <c r="DE585">
        <v>15038.8</v>
      </c>
      <c r="DF585" t="s">
        <v>134</v>
      </c>
      <c r="DG585" t="s">
        <v>134</v>
      </c>
      <c r="DH585" t="s">
        <v>134</v>
      </c>
      <c r="DI585" t="s">
        <v>134</v>
      </c>
    </row>
    <row r="586" spans="1:113" x14ac:dyDescent="0.3">
      <c r="E586" t="s">
        <v>80</v>
      </c>
      <c r="F586" t="s">
        <v>134</v>
      </c>
      <c r="G586" t="s">
        <v>134</v>
      </c>
      <c r="H586" t="s">
        <v>134</v>
      </c>
      <c r="I586" t="s">
        <v>134</v>
      </c>
      <c r="J586">
        <v>20.708600000000001</v>
      </c>
      <c r="K586">
        <v>17.433800000000002</v>
      </c>
      <c r="L586">
        <v>40.6843</v>
      </c>
      <c r="M586">
        <v>17.358799999999999</v>
      </c>
      <c r="N586">
        <v>13.696</v>
      </c>
      <c r="O586">
        <v>13.0542</v>
      </c>
      <c r="P586">
        <v>13.0542</v>
      </c>
      <c r="Q586">
        <v>21.1006</v>
      </c>
      <c r="R586" t="s">
        <v>134</v>
      </c>
      <c r="S586" t="s">
        <v>134</v>
      </c>
      <c r="T586">
        <v>17.491499999999998</v>
      </c>
      <c r="U586">
        <v>51.463099999999997</v>
      </c>
      <c r="V586">
        <v>53.2378</v>
      </c>
      <c r="W586">
        <v>51.588999999999999</v>
      </c>
      <c r="X586">
        <v>51.652000000000001</v>
      </c>
      <c r="Y586" t="s">
        <v>134</v>
      </c>
      <c r="Z586" t="s">
        <v>134</v>
      </c>
      <c r="AA586" t="s">
        <v>134</v>
      </c>
      <c r="AB586" t="s">
        <v>134</v>
      </c>
      <c r="AC586" t="s">
        <v>134</v>
      </c>
      <c r="AD586" t="s">
        <v>134</v>
      </c>
      <c r="AE586" t="s">
        <v>134</v>
      </c>
      <c r="AF586" t="s">
        <v>134</v>
      </c>
      <c r="AG586" t="s">
        <v>134</v>
      </c>
      <c r="AH586" t="s">
        <v>134</v>
      </c>
      <c r="AI586" t="s">
        <v>134</v>
      </c>
      <c r="AJ586" t="s">
        <v>134</v>
      </c>
      <c r="AK586" t="s">
        <v>134</v>
      </c>
      <c r="AL586" t="s">
        <v>134</v>
      </c>
      <c r="AM586">
        <v>17.471</v>
      </c>
      <c r="AN586">
        <v>16.3277</v>
      </c>
      <c r="AO586">
        <v>16.3489</v>
      </c>
      <c r="AP586">
        <v>16.803100000000001</v>
      </c>
      <c r="AQ586">
        <v>16.8047</v>
      </c>
      <c r="AR586" t="s">
        <v>134</v>
      </c>
      <c r="AS586" t="s">
        <v>134</v>
      </c>
      <c r="AT586" t="s">
        <v>134</v>
      </c>
      <c r="AU586" t="s">
        <v>134</v>
      </c>
      <c r="AV586" t="s">
        <v>134</v>
      </c>
      <c r="AW586" t="s">
        <v>134</v>
      </c>
      <c r="AX586" t="s">
        <v>134</v>
      </c>
      <c r="AY586" t="s">
        <v>134</v>
      </c>
      <c r="AZ586" t="s">
        <v>134</v>
      </c>
      <c r="BA586" t="s">
        <v>134</v>
      </c>
      <c r="BB586" t="s">
        <v>134</v>
      </c>
      <c r="BC586" t="s">
        <v>134</v>
      </c>
      <c r="BD586" t="s">
        <v>134</v>
      </c>
      <c r="BE586" t="s">
        <v>134</v>
      </c>
      <c r="BF586">
        <v>4.6527000000000003</v>
      </c>
      <c r="BG586">
        <v>6.2282000000000002</v>
      </c>
      <c r="BH586">
        <v>8.2801000000000009</v>
      </c>
      <c r="BI586">
        <v>1.3736999999999999</v>
      </c>
      <c r="BJ586">
        <v>1.3991</v>
      </c>
      <c r="BK586" t="s">
        <v>134</v>
      </c>
      <c r="BL586" t="s">
        <v>134</v>
      </c>
      <c r="BM586" t="s">
        <v>134</v>
      </c>
      <c r="BN586" t="s">
        <v>134</v>
      </c>
      <c r="BO586" t="s">
        <v>134</v>
      </c>
      <c r="BP586" t="s">
        <v>134</v>
      </c>
      <c r="BQ586" t="s">
        <v>134</v>
      </c>
      <c r="BR586" t="s">
        <v>134</v>
      </c>
      <c r="BS586" t="s">
        <v>134</v>
      </c>
      <c r="BT586" t="s">
        <v>134</v>
      </c>
      <c r="BU586" t="s">
        <v>134</v>
      </c>
      <c r="BV586" t="s">
        <v>134</v>
      </c>
      <c r="BW586" t="s">
        <v>134</v>
      </c>
      <c r="BX586" t="s">
        <v>134</v>
      </c>
      <c r="BY586" t="s">
        <v>134</v>
      </c>
      <c r="BZ586" t="s">
        <v>134</v>
      </c>
      <c r="CA586" t="s">
        <v>134</v>
      </c>
      <c r="CB586" t="s">
        <v>134</v>
      </c>
      <c r="CC586" t="s">
        <v>134</v>
      </c>
      <c r="CD586" t="s">
        <v>134</v>
      </c>
      <c r="CE586" t="s">
        <v>134</v>
      </c>
      <c r="CF586">
        <v>27.537600000000001</v>
      </c>
      <c r="CG586" t="s">
        <v>134</v>
      </c>
      <c r="CH586" t="s">
        <v>134</v>
      </c>
      <c r="CI586" t="s">
        <v>134</v>
      </c>
      <c r="CJ586" t="s">
        <v>134</v>
      </c>
      <c r="CK586" t="s">
        <v>134</v>
      </c>
      <c r="CL586" t="s">
        <v>134</v>
      </c>
      <c r="CM586" t="s">
        <v>134</v>
      </c>
      <c r="CN586" t="s">
        <v>134</v>
      </c>
      <c r="CO586" t="s">
        <v>134</v>
      </c>
      <c r="CP586">
        <v>4472.1000000000004</v>
      </c>
      <c r="CQ586" t="s">
        <v>134</v>
      </c>
      <c r="CR586">
        <v>3764.9</v>
      </c>
      <c r="CS586" t="s">
        <v>134</v>
      </c>
      <c r="CT586" t="s">
        <v>134</v>
      </c>
      <c r="CU586" t="s">
        <v>134</v>
      </c>
      <c r="CV586" t="s">
        <v>134</v>
      </c>
      <c r="CW586" t="s">
        <v>134</v>
      </c>
      <c r="CX586" t="s">
        <v>134</v>
      </c>
      <c r="CY586" t="s">
        <v>134</v>
      </c>
      <c r="CZ586" t="s">
        <v>134</v>
      </c>
      <c r="DA586" t="s">
        <v>134</v>
      </c>
      <c r="DB586" t="s">
        <v>134</v>
      </c>
      <c r="DC586" t="s">
        <v>134</v>
      </c>
      <c r="DD586" t="s">
        <v>134</v>
      </c>
      <c r="DE586" t="s">
        <v>134</v>
      </c>
      <c r="DF586" t="s">
        <v>134</v>
      </c>
      <c r="DG586" t="s">
        <v>134</v>
      </c>
      <c r="DH586" t="s">
        <v>134</v>
      </c>
      <c r="DI586" t="s">
        <v>134</v>
      </c>
    </row>
    <row r="587" spans="1:113" x14ac:dyDescent="0.3">
      <c r="E587" t="s">
        <v>81</v>
      </c>
      <c r="F587">
        <v>29.921700000000001</v>
      </c>
      <c r="G587">
        <v>13.484400000000001</v>
      </c>
      <c r="H587">
        <v>18.595600000000001</v>
      </c>
      <c r="I587">
        <v>17.7361</v>
      </c>
      <c r="J587">
        <v>22.0669</v>
      </c>
      <c r="K587">
        <v>18.705300000000001</v>
      </c>
      <c r="L587">
        <v>34.632199999999997</v>
      </c>
      <c r="M587">
        <v>18.9496</v>
      </c>
      <c r="N587">
        <v>15.8011</v>
      </c>
      <c r="O587">
        <v>15.497199999999999</v>
      </c>
      <c r="P587">
        <v>15.5924</v>
      </c>
      <c r="Q587">
        <v>16.614999999999998</v>
      </c>
      <c r="R587" t="s">
        <v>134</v>
      </c>
      <c r="S587" t="s">
        <v>134</v>
      </c>
      <c r="T587">
        <v>17.261600000000001</v>
      </c>
      <c r="U587">
        <v>38.298699999999997</v>
      </c>
      <c r="V587">
        <v>37.466099999999997</v>
      </c>
      <c r="W587">
        <v>46.4861</v>
      </c>
      <c r="X587">
        <v>46.489699999999999</v>
      </c>
      <c r="Y587" t="s">
        <v>134</v>
      </c>
      <c r="Z587">
        <v>40.107599999999998</v>
      </c>
      <c r="AA587">
        <v>12.299799999999999</v>
      </c>
      <c r="AB587">
        <v>5.4541000000000004</v>
      </c>
      <c r="AC587">
        <v>13.2799</v>
      </c>
      <c r="AD587">
        <v>27.842099999999999</v>
      </c>
      <c r="AE587">
        <v>54.159300000000002</v>
      </c>
      <c r="AF587">
        <v>19.773800000000001</v>
      </c>
      <c r="AG587">
        <v>12.158099999999999</v>
      </c>
      <c r="AH587">
        <v>-1.8182</v>
      </c>
      <c r="AI587">
        <v>23.363900000000001</v>
      </c>
      <c r="AJ587">
        <v>12.542</v>
      </c>
      <c r="AK587">
        <v>23.629000000000001</v>
      </c>
      <c r="AL587" t="s">
        <v>134</v>
      </c>
      <c r="AM587">
        <v>22.461300000000001</v>
      </c>
      <c r="AN587">
        <v>21.232900000000001</v>
      </c>
      <c r="AO587">
        <v>22.9575</v>
      </c>
      <c r="AP587">
        <v>24.157699999999998</v>
      </c>
      <c r="AQ587">
        <v>24.155100000000001</v>
      </c>
      <c r="AR587" t="s">
        <v>134</v>
      </c>
      <c r="AS587">
        <v>27.7514</v>
      </c>
      <c r="AT587">
        <v>15.3992</v>
      </c>
      <c r="AU587">
        <v>20.610900000000001</v>
      </c>
      <c r="AV587">
        <v>19.302199999999999</v>
      </c>
      <c r="AW587">
        <v>27.747900000000001</v>
      </c>
      <c r="AX587">
        <v>7.9008000000000003</v>
      </c>
      <c r="AY587">
        <v>11.9785</v>
      </c>
      <c r="AZ587">
        <v>42.9771</v>
      </c>
      <c r="BA587">
        <v>19.444600000000001</v>
      </c>
      <c r="BB587">
        <v>21.526399999999999</v>
      </c>
      <c r="BC587">
        <v>20.720400000000001</v>
      </c>
      <c r="BD587">
        <v>21.158200000000001</v>
      </c>
      <c r="BE587" t="s">
        <v>134</v>
      </c>
      <c r="BF587">
        <v>3.7452000000000001</v>
      </c>
      <c r="BG587">
        <v>7.1688000000000001</v>
      </c>
      <c r="BH587">
        <v>7.2270000000000003</v>
      </c>
      <c r="BI587">
        <v>24.292300000000001</v>
      </c>
      <c r="BJ587">
        <v>24.26</v>
      </c>
      <c r="BK587" t="s">
        <v>134</v>
      </c>
      <c r="BL587" t="s">
        <v>134</v>
      </c>
      <c r="BM587" t="s">
        <v>134</v>
      </c>
      <c r="BN587" t="s">
        <v>134</v>
      </c>
      <c r="BO587" t="s">
        <v>134</v>
      </c>
      <c r="BP587" t="s">
        <v>134</v>
      </c>
      <c r="BQ587" t="s">
        <v>134</v>
      </c>
      <c r="BR587" t="s">
        <v>134</v>
      </c>
      <c r="BS587" t="s">
        <v>134</v>
      </c>
      <c r="BT587" t="s">
        <v>134</v>
      </c>
      <c r="BU587" t="s">
        <v>134</v>
      </c>
      <c r="BV587" t="s">
        <v>134</v>
      </c>
      <c r="BW587" t="s">
        <v>134</v>
      </c>
      <c r="BX587" t="s">
        <v>134</v>
      </c>
      <c r="BY587">
        <v>26513</v>
      </c>
      <c r="BZ587">
        <v>15009</v>
      </c>
      <c r="CA587">
        <v>11504</v>
      </c>
      <c r="CB587">
        <v>1.5101</v>
      </c>
      <c r="CC587">
        <v>1.0594999999999999</v>
      </c>
      <c r="CD587">
        <v>1.8054999999999999</v>
      </c>
      <c r="CE587">
        <v>1.2667999999999999</v>
      </c>
      <c r="CF587">
        <v>30.4588</v>
      </c>
      <c r="CG587">
        <v>46.994100000000003</v>
      </c>
      <c r="CH587">
        <v>26.0242</v>
      </c>
      <c r="CI587">
        <v>16.267399999999999</v>
      </c>
      <c r="CJ587">
        <v>12.7157</v>
      </c>
      <c r="CK587">
        <v>59.977400000000003</v>
      </c>
      <c r="CL587">
        <v>37.491199999999999</v>
      </c>
      <c r="CM587">
        <v>29.305499999999999</v>
      </c>
      <c r="CN587">
        <v>42.081200000000003</v>
      </c>
      <c r="CO587">
        <v>29.617699999999999</v>
      </c>
      <c r="CP587">
        <v>4958.7</v>
      </c>
      <c r="CQ587" t="s">
        <v>134</v>
      </c>
      <c r="CR587">
        <v>4203.3</v>
      </c>
      <c r="CS587">
        <v>0.24229999999999999</v>
      </c>
      <c r="CT587">
        <v>1.2946</v>
      </c>
      <c r="CU587">
        <v>0.7288</v>
      </c>
      <c r="CV587">
        <v>6.8182999999999998</v>
      </c>
      <c r="CW587">
        <v>6.2430000000000003</v>
      </c>
      <c r="CX587">
        <v>58.465499999999999</v>
      </c>
      <c r="CY587">
        <v>2.2690000000000001</v>
      </c>
      <c r="CZ587">
        <v>160.8629</v>
      </c>
      <c r="DA587">
        <v>3.4590000000000001</v>
      </c>
      <c r="DB587">
        <v>105.5231</v>
      </c>
      <c r="DC587">
        <v>113.8053</v>
      </c>
      <c r="DD587">
        <v>219.32839999999999</v>
      </c>
      <c r="DE587">
        <v>15357</v>
      </c>
      <c r="DF587">
        <v>4238</v>
      </c>
      <c r="DG587">
        <v>6050</v>
      </c>
      <c r="DH587">
        <v>2992</v>
      </c>
      <c r="DI587">
        <v>2077</v>
      </c>
    </row>
    <row r="588" spans="1:113" x14ac:dyDescent="0.3">
      <c r="D588" t="s">
        <v>83</v>
      </c>
      <c r="E588" t="s">
        <v>77</v>
      </c>
      <c r="F588">
        <v>31.709299999999999</v>
      </c>
      <c r="G588">
        <v>15.9741</v>
      </c>
      <c r="H588">
        <v>21.099399999999999</v>
      </c>
      <c r="I588">
        <v>19.7134</v>
      </c>
      <c r="J588">
        <v>24.805199999999999</v>
      </c>
      <c r="K588">
        <v>21.613800000000001</v>
      </c>
      <c r="L588">
        <v>58.006799999999998</v>
      </c>
      <c r="M588">
        <v>22.427</v>
      </c>
      <c r="N588">
        <v>16.396000000000001</v>
      </c>
      <c r="O588">
        <v>16.0792</v>
      </c>
      <c r="P588">
        <v>16.0792</v>
      </c>
      <c r="Q588">
        <v>26.8917</v>
      </c>
      <c r="R588">
        <v>21.515699999999999</v>
      </c>
      <c r="S588">
        <v>24.886800000000001</v>
      </c>
      <c r="T588">
        <v>11.4427</v>
      </c>
      <c r="U588">
        <v>32.706200000000003</v>
      </c>
      <c r="V588">
        <v>38.038699999999999</v>
      </c>
      <c r="W588">
        <v>32.331000000000003</v>
      </c>
      <c r="X588">
        <v>32.295400000000001</v>
      </c>
      <c r="Y588">
        <v>33.333300000000001</v>
      </c>
      <c r="Z588">
        <v>5.7919999999999998</v>
      </c>
      <c r="AA588">
        <v>-5.5023999999999997</v>
      </c>
      <c r="AB588">
        <v>13.485099999999999</v>
      </c>
      <c r="AC588">
        <v>10.7128</v>
      </c>
      <c r="AD588">
        <v>-12.123699999999999</v>
      </c>
      <c r="AE588">
        <v>9.4413999999999998</v>
      </c>
      <c r="AF588">
        <v>23.2835</v>
      </c>
      <c r="AG588">
        <v>2.9782000000000002</v>
      </c>
      <c r="AH588">
        <v>-7.8941999999999997</v>
      </c>
      <c r="AI588">
        <v>24.132999999999999</v>
      </c>
      <c r="AJ588">
        <v>12.1256</v>
      </c>
      <c r="AK588">
        <v>25.8797</v>
      </c>
      <c r="AL588">
        <v>107.5596</v>
      </c>
      <c r="AM588">
        <v>16.226700000000001</v>
      </c>
      <c r="AN588">
        <v>18.241099999999999</v>
      </c>
      <c r="AO588">
        <v>18.138500000000001</v>
      </c>
      <c r="AP588">
        <v>16.451000000000001</v>
      </c>
      <c r="AQ588">
        <v>16.4435</v>
      </c>
      <c r="AR588">
        <v>20.683499999999999</v>
      </c>
      <c r="AS588">
        <v>17.0382</v>
      </c>
      <c r="AT588">
        <v>12.3169</v>
      </c>
      <c r="AU588">
        <v>17.153099999999998</v>
      </c>
      <c r="AV588">
        <v>16.785800000000002</v>
      </c>
      <c r="AW588">
        <v>12.1625</v>
      </c>
      <c r="AX588">
        <v>7.7534999999999998</v>
      </c>
      <c r="AY588">
        <v>18.7057</v>
      </c>
      <c r="AZ588">
        <v>35.812600000000003</v>
      </c>
      <c r="BA588">
        <v>17.348099999999999</v>
      </c>
      <c r="BB588">
        <v>19.642099999999999</v>
      </c>
      <c r="BC588">
        <v>18.9069</v>
      </c>
      <c r="BD588">
        <v>19.770399999999999</v>
      </c>
      <c r="BE588">
        <v>25.732900000000001</v>
      </c>
      <c r="BF588">
        <v>11.4427</v>
      </c>
      <c r="BG588">
        <v>32.706200000000003</v>
      </c>
      <c r="BH588">
        <v>38.038699999999999</v>
      </c>
      <c r="BI588">
        <v>32.331000000000003</v>
      </c>
      <c r="BJ588">
        <v>32.295400000000001</v>
      </c>
      <c r="BK588">
        <v>33.333300000000001</v>
      </c>
      <c r="BL588">
        <v>5.7919999999999998</v>
      </c>
      <c r="BM588">
        <v>-5.5023999999999997</v>
      </c>
      <c r="BN588">
        <v>13.485099999999999</v>
      </c>
      <c r="BO588">
        <v>10.7128</v>
      </c>
      <c r="BP588">
        <v>-12.123699999999999</v>
      </c>
      <c r="BQ588">
        <v>9.4413999999999998</v>
      </c>
      <c r="BR588">
        <v>23.2835</v>
      </c>
      <c r="BS588">
        <v>2.9782000000000002</v>
      </c>
      <c r="BT588">
        <v>-7.8941999999999997</v>
      </c>
      <c r="BU588">
        <v>24.132999999999999</v>
      </c>
      <c r="BV588">
        <v>12.1256</v>
      </c>
      <c r="BW588">
        <v>25.8797</v>
      </c>
      <c r="BX588">
        <v>107.5596</v>
      </c>
      <c r="BY588">
        <v>24420</v>
      </c>
      <c r="BZ588">
        <v>15456</v>
      </c>
      <c r="CA588">
        <v>8964</v>
      </c>
      <c r="CB588">
        <v>1.0396000000000001</v>
      </c>
      <c r="CC588">
        <v>0.64439999999999997</v>
      </c>
      <c r="CD588">
        <v>1.1931</v>
      </c>
      <c r="CE588">
        <v>0.73950000000000005</v>
      </c>
      <c r="CF588">
        <v>57.290199999999999</v>
      </c>
      <c r="CG588">
        <v>53.431899999999999</v>
      </c>
      <c r="CH588">
        <v>16.335899999999999</v>
      </c>
      <c r="CI588">
        <v>11.3049</v>
      </c>
      <c r="CJ588">
        <v>8.9494000000000007</v>
      </c>
      <c r="CK588">
        <v>44.502800000000001</v>
      </c>
      <c r="CL588">
        <v>30.7972</v>
      </c>
      <c r="CM588">
        <v>24.380299999999998</v>
      </c>
      <c r="CN588">
        <v>27.5837</v>
      </c>
      <c r="CO588">
        <v>21.620100000000001</v>
      </c>
      <c r="CP588">
        <v>23489</v>
      </c>
      <c r="CQ588">
        <v>13771</v>
      </c>
      <c r="CR588">
        <v>20467</v>
      </c>
      <c r="CS588">
        <v>0.27250000000000002</v>
      </c>
      <c r="CT588">
        <v>1.3025</v>
      </c>
      <c r="CU588">
        <v>0.76570000000000005</v>
      </c>
      <c r="CV588">
        <v>6.4786999999999999</v>
      </c>
      <c r="CW588">
        <v>5.7938000000000001</v>
      </c>
      <c r="CX588">
        <v>63.170900000000003</v>
      </c>
      <c r="CY588">
        <v>2.1187</v>
      </c>
      <c r="CZ588">
        <v>172.74590000000001</v>
      </c>
      <c r="DA588">
        <v>2.5286999999999997</v>
      </c>
      <c r="DB588">
        <v>144.73859999999999</v>
      </c>
      <c r="DC588">
        <v>91.178200000000004</v>
      </c>
      <c r="DD588">
        <v>235.91679999999999</v>
      </c>
      <c r="DE588">
        <v>14512</v>
      </c>
      <c r="DF588">
        <v>3616</v>
      </c>
      <c r="DG588">
        <v>6364</v>
      </c>
      <c r="DH588">
        <v>2768</v>
      </c>
      <c r="DI588">
        <v>1764</v>
      </c>
    </row>
    <row r="589" spans="1:113" x14ac:dyDescent="0.3">
      <c r="E589" t="s">
        <v>78</v>
      </c>
      <c r="F589" t="s">
        <v>134</v>
      </c>
      <c r="G589" t="s">
        <v>134</v>
      </c>
      <c r="H589" t="s">
        <v>134</v>
      </c>
      <c r="I589" t="s">
        <v>134</v>
      </c>
      <c r="J589">
        <v>25.291799999999999</v>
      </c>
      <c r="K589">
        <v>22.1938</v>
      </c>
      <c r="L589">
        <v>61.307600000000001</v>
      </c>
      <c r="M589">
        <v>22.419599999999999</v>
      </c>
      <c r="N589">
        <v>15.1753</v>
      </c>
      <c r="O589">
        <v>14.8591</v>
      </c>
      <c r="P589">
        <v>14.8591</v>
      </c>
      <c r="Q589">
        <v>32.3125</v>
      </c>
      <c r="R589" t="s">
        <v>134</v>
      </c>
      <c r="S589" t="s">
        <v>134</v>
      </c>
      <c r="T589">
        <v>17.714500000000001</v>
      </c>
      <c r="U589">
        <v>59.929299999999998</v>
      </c>
      <c r="V589">
        <v>71.145600000000002</v>
      </c>
      <c r="W589">
        <v>47.117100000000001</v>
      </c>
      <c r="X589">
        <v>47.144100000000002</v>
      </c>
      <c r="Y589" t="s">
        <v>134</v>
      </c>
      <c r="Z589" t="s">
        <v>134</v>
      </c>
      <c r="AA589" t="s">
        <v>134</v>
      </c>
      <c r="AB589" t="s">
        <v>134</v>
      </c>
      <c r="AC589" t="s">
        <v>134</v>
      </c>
      <c r="AD589" t="s">
        <v>134</v>
      </c>
      <c r="AE589" t="s">
        <v>134</v>
      </c>
      <c r="AF589" t="s">
        <v>134</v>
      </c>
      <c r="AG589" t="s">
        <v>134</v>
      </c>
      <c r="AH589" t="s">
        <v>134</v>
      </c>
      <c r="AI589" t="s">
        <v>134</v>
      </c>
      <c r="AJ589" t="s">
        <v>134</v>
      </c>
      <c r="AK589" t="s">
        <v>134</v>
      </c>
      <c r="AL589" t="s">
        <v>134</v>
      </c>
      <c r="AM589">
        <v>17.650700000000001</v>
      </c>
      <c r="AN589">
        <v>15.1317</v>
      </c>
      <c r="AO589">
        <v>14.692600000000001</v>
      </c>
      <c r="AP589">
        <v>12.150600000000001</v>
      </c>
      <c r="AQ589">
        <v>12.1465</v>
      </c>
      <c r="AR589" t="s">
        <v>134</v>
      </c>
      <c r="AS589" t="s">
        <v>134</v>
      </c>
      <c r="AT589" t="s">
        <v>134</v>
      </c>
      <c r="AU589" t="s">
        <v>134</v>
      </c>
      <c r="AV589" t="s">
        <v>134</v>
      </c>
      <c r="AW589" t="s">
        <v>134</v>
      </c>
      <c r="AX589" t="s">
        <v>134</v>
      </c>
      <c r="AY589" t="s">
        <v>134</v>
      </c>
      <c r="AZ589" t="s">
        <v>134</v>
      </c>
      <c r="BA589" t="s">
        <v>134</v>
      </c>
      <c r="BB589" t="s">
        <v>134</v>
      </c>
      <c r="BC589" t="s">
        <v>134</v>
      </c>
      <c r="BD589" t="s">
        <v>134</v>
      </c>
      <c r="BE589" t="s">
        <v>134</v>
      </c>
      <c r="BF589">
        <v>5.8330000000000002</v>
      </c>
      <c r="BG589">
        <v>21.296600000000002</v>
      </c>
      <c r="BH589">
        <v>25.584099999999999</v>
      </c>
      <c r="BI589">
        <v>0.85329999999999995</v>
      </c>
      <c r="BJ589">
        <v>0.87670000000000003</v>
      </c>
      <c r="BK589" t="s">
        <v>134</v>
      </c>
      <c r="BL589" t="s">
        <v>134</v>
      </c>
      <c r="BM589" t="s">
        <v>134</v>
      </c>
      <c r="BN589" t="s">
        <v>134</v>
      </c>
      <c r="BO589" t="s">
        <v>134</v>
      </c>
      <c r="BP589" t="s">
        <v>134</v>
      </c>
      <c r="BQ589" t="s">
        <v>134</v>
      </c>
      <c r="BR589" t="s">
        <v>134</v>
      </c>
      <c r="BS589" t="s">
        <v>134</v>
      </c>
      <c r="BT589" t="s">
        <v>134</v>
      </c>
      <c r="BU589" t="s">
        <v>134</v>
      </c>
      <c r="BV589" t="s">
        <v>134</v>
      </c>
      <c r="BW589" t="s">
        <v>134</v>
      </c>
      <c r="BX589" t="s">
        <v>134</v>
      </c>
      <c r="BY589" t="s">
        <v>134</v>
      </c>
      <c r="BZ589" t="s">
        <v>134</v>
      </c>
      <c r="CA589" t="s">
        <v>134</v>
      </c>
      <c r="CB589" t="s">
        <v>134</v>
      </c>
      <c r="CC589" t="s">
        <v>134</v>
      </c>
      <c r="CD589" t="s">
        <v>134</v>
      </c>
      <c r="CE589" t="s">
        <v>134</v>
      </c>
      <c r="CF589">
        <v>45.056899999999999</v>
      </c>
      <c r="CG589" t="s">
        <v>134</v>
      </c>
      <c r="CH589" t="s">
        <v>134</v>
      </c>
      <c r="CI589" t="s">
        <v>134</v>
      </c>
      <c r="CJ589" t="s">
        <v>134</v>
      </c>
      <c r="CK589" t="s">
        <v>134</v>
      </c>
      <c r="CL589" t="s">
        <v>134</v>
      </c>
      <c r="CM589" t="s">
        <v>134</v>
      </c>
      <c r="CN589" t="s">
        <v>134</v>
      </c>
      <c r="CO589" t="s">
        <v>134</v>
      </c>
      <c r="CP589">
        <v>6015.1</v>
      </c>
      <c r="CQ589" t="s">
        <v>134</v>
      </c>
      <c r="CR589">
        <v>5278.3</v>
      </c>
      <c r="CS589" t="s">
        <v>134</v>
      </c>
      <c r="CT589" t="s">
        <v>134</v>
      </c>
      <c r="CU589" t="s">
        <v>134</v>
      </c>
      <c r="CV589" t="s">
        <v>134</v>
      </c>
      <c r="CW589" t="s">
        <v>134</v>
      </c>
      <c r="CX589" t="s">
        <v>134</v>
      </c>
      <c r="CY589" t="s">
        <v>134</v>
      </c>
      <c r="CZ589" t="s">
        <v>134</v>
      </c>
      <c r="DA589" t="s">
        <v>134</v>
      </c>
      <c r="DB589" t="s">
        <v>134</v>
      </c>
      <c r="DC589" t="s">
        <v>134</v>
      </c>
      <c r="DD589" t="s">
        <v>134</v>
      </c>
      <c r="DE589" t="s">
        <v>134</v>
      </c>
      <c r="DF589" t="s">
        <v>134</v>
      </c>
      <c r="DG589" t="s">
        <v>134</v>
      </c>
      <c r="DH589" t="s">
        <v>134</v>
      </c>
      <c r="DI589" t="s">
        <v>134</v>
      </c>
    </row>
    <row r="590" spans="1:113" x14ac:dyDescent="0.3">
      <c r="E590" t="s">
        <v>79</v>
      </c>
      <c r="F590" t="s">
        <v>134</v>
      </c>
      <c r="G590">
        <v>16.252300000000002</v>
      </c>
      <c r="H590" t="s">
        <v>134</v>
      </c>
      <c r="I590">
        <v>22.192499999999999</v>
      </c>
      <c r="J590">
        <v>26.1724</v>
      </c>
      <c r="K590">
        <v>23.086600000000001</v>
      </c>
      <c r="L590">
        <v>64.566299999999998</v>
      </c>
      <c r="M590">
        <v>23.5395</v>
      </c>
      <c r="N590">
        <v>16.885200000000001</v>
      </c>
      <c r="O590">
        <v>16.467700000000001</v>
      </c>
      <c r="P590">
        <v>16.467700000000001</v>
      </c>
      <c r="Q590">
        <v>28.268699999999999</v>
      </c>
      <c r="R590" t="s">
        <v>134</v>
      </c>
      <c r="S590" t="s">
        <v>134</v>
      </c>
      <c r="T590">
        <v>15.0359</v>
      </c>
      <c r="U590">
        <v>47.576000000000001</v>
      </c>
      <c r="V590">
        <v>57.6158</v>
      </c>
      <c r="W590">
        <v>40.569600000000001</v>
      </c>
      <c r="X590">
        <v>40.574399999999997</v>
      </c>
      <c r="Y590" t="s">
        <v>134</v>
      </c>
      <c r="Z590">
        <v>15.7112</v>
      </c>
      <c r="AA590">
        <v>-3.4278</v>
      </c>
      <c r="AB590">
        <v>8.9407999999999994</v>
      </c>
      <c r="AC590">
        <v>15.1334</v>
      </c>
      <c r="AD590">
        <v>-19.017299999999999</v>
      </c>
      <c r="AE590">
        <v>72.4285</v>
      </c>
      <c r="AF590">
        <v>58.963700000000003</v>
      </c>
      <c r="AG590">
        <v>-10.8772</v>
      </c>
      <c r="AH590">
        <v>-9.8739000000000008</v>
      </c>
      <c r="AI590">
        <v>26.377500000000001</v>
      </c>
      <c r="AJ590" t="s">
        <v>134</v>
      </c>
      <c r="AK590" t="s">
        <v>134</v>
      </c>
      <c r="AL590" t="s">
        <v>134</v>
      </c>
      <c r="AM590">
        <v>16.496400000000001</v>
      </c>
      <c r="AN590">
        <v>20.4696</v>
      </c>
      <c r="AO590">
        <v>20.645700000000001</v>
      </c>
      <c r="AP590">
        <v>18.004200000000001</v>
      </c>
      <c r="AQ590">
        <v>18.012499999999999</v>
      </c>
      <c r="AR590" t="s">
        <v>134</v>
      </c>
      <c r="AS590">
        <v>22.101099999999999</v>
      </c>
      <c r="AT590">
        <v>11.640599999999999</v>
      </c>
      <c r="AU590">
        <v>11.9696</v>
      </c>
      <c r="AV590">
        <v>18.6312</v>
      </c>
      <c r="AW590">
        <v>2.2363</v>
      </c>
      <c r="AX590">
        <v>3.2427999999999999</v>
      </c>
      <c r="AY590" t="s">
        <v>134</v>
      </c>
      <c r="AZ590" t="s">
        <v>134</v>
      </c>
      <c r="BA590">
        <v>13.085800000000001</v>
      </c>
      <c r="BB590">
        <v>20.278099999999998</v>
      </c>
      <c r="BC590" t="s">
        <v>134</v>
      </c>
      <c r="BD590" t="s">
        <v>134</v>
      </c>
      <c r="BE590" t="s">
        <v>134</v>
      </c>
      <c r="BF590">
        <v>4.7065000000000001</v>
      </c>
      <c r="BG590">
        <v>7.5251000000000001</v>
      </c>
      <c r="BH590">
        <v>7.7315000000000005</v>
      </c>
      <c r="BI590">
        <v>-15.0565</v>
      </c>
      <c r="BJ590">
        <v>-15.1556</v>
      </c>
      <c r="BK590" t="s">
        <v>134</v>
      </c>
      <c r="BL590" t="s">
        <v>134</v>
      </c>
      <c r="BM590" t="s">
        <v>134</v>
      </c>
      <c r="BN590" t="s">
        <v>134</v>
      </c>
      <c r="BO590" t="s">
        <v>134</v>
      </c>
      <c r="BP590" t="s">
        <v>134</v>
      </c>
      <c r="BQ590" t="s">
        <v>134</v>
      </c>
      <c r="BR590" t="s">
        <v>134</v>
      </c>
      <c r="BS590" t="s">
        <v>134</v>
      </c>
      <c r="BT590" t="s">
        <v>134</v>
      </c>
      <c r="BU590" t="s">
        <v>134</v>
      </c>
      <c r="BV590" t="s">
        <v>134</v>
      </c>
      <c r="BW590" t="s">
        <v>134</v>
      </c>
      <c r="BX590" t="s">
        <v>134</v>
      </c>
      <c r="BY590">
        <v>20163.2</v>
      </c>
      <c r="BZ590">
        <v>9305.4</v>
      </c>
      <c r="CA590">
        <v>10857.8</v>
      </c>
      <c r="CB590">
        <v>0.9345</v>
      </c>
      <c r="CC590">
        <v>0.36459999999999998</v>
      </c>
      <c r="CD590">
        <v>1.0788</v>
      </c>
      <c r="CE590">
        <v>0.4209</v>
      </c>
      <c r="CF590">
        <v>49.074199999999998</v>
      </c>
      <c r="CG590" t="s">
        <v>134</v>
      </c>
      <c r="CH590">
        <v>21.081700000000001</v>
      </c>
      <c r="CI590" t="s">
        <v>134</v>
      </c>
      <c r="CJ590">
        <v>11.129799999999999</v>
      </c>
      <c r="CK590">
        <v>39.1492</v>
      </c>
      <c r="CL590" t="s">
        <v>134</v>
      </c>
      <c r="CM590">
        <v>20.668299999999999</v>
      </c>
      <c r="CN590">
        <v>15.273300000000001</v>
      </c>
      <c r="CO590" t="s">
        <v>134</v>
      </c>
      <c r="CP590">
        <v>6212.8</v>
      </c>
      <c r="CQ590" t="s">
        <v>134</v>
      </c>
      <c r="CR590">
        <v>5480.3</v>
      </c>
      <c r="CS590">
        <v>0.36980000000000002</v>
      </c>
      <c r="CT590">
        <v>1.4173</v>
      </c>
      <c r="CU590">
        <v>0.87229999999999996</v>
      </c>
      <c r="CV590">
        <v>8.2667000000000002</v>
      </c>
      <c r="CW590">
        <v>5.8136999999999999</v>
      </c>
      <c r="CX590">
        <v>62.782600000000002</v>
      </c>
      <c r="CY590">
        <v>2.1465000000000001</v>
      </c>
      <c r="CZ590">
        <v>170.04060000000001</v>
      </c>
      <c r="DA590">
        <v>2.5544000000000002</v>
      </c>
      <c r="DB590">
        <v>142.89080000000001</v>
      </c>
      <c r="DC590">
        <v>89.932400000000001</v>
      </c>
      <c r="DD590">
        <v>232.82320000000001</v>
      </c>
      <c r="DE590">
        <v>14523.3</v>
      </c>
      <c r="DF590" t="s">
        <v>134</v>
      </c>
      <c r="DG590" t="s">
        <v>134</v>
      </c>
      <c r="DH590" t="s">
        <v>134</v>
      </c>
      <c r="DI590" t="s">
        <v>134</v>
      </c>
    </row>
    <row r="591" spans="1:113" x14ac:dyDescent="0.3">
      <c r="E591" t="s">
        <v>80</v>
      </c>
      <c r="F591" t="s">
        <v>134</v>
      </c>
      <c r="G591" t="s">
        <v>134</v>
      </c>
      <c r="H591" t="s">
        <v>134</v>
      </c>
      <c r="I591" t="s">
        <v>134</v>
      </c>
      <c r="J591">
        <v>24.7118</v>
      </c>
      <c r="K591">
        <v>21.4237</v>
      </c>
      <c r="L591">
        <v>62.400500000000001</v>
      </c>
      <c r="M591">
        <v>21.9361</v>
      </c>
      <c r="N591">
        <v>17.029599999999999</v>
      </c>
      <c r="O591">
        <v>16.636800000000001</v>
      </c>
      <c r="P591">
        <v>16.636800000000001</v>
      </c>
      <c r="Q591">
        <v>22.367100000000001</v>
      </c>
      <c r="R591" t="s">
        <v>134</v>
      </c>
      <c r="S591" t="s">
        <v>134</v>
      </c>
      <c r="T591">
        <v>8.1163000000000007</v>
      </c>
      <c r="U591">
        <v>25.0702</v>
      </c>
      <c r="V591">
        <v>27.9847</v>
      </c>
      <c r="W591">
        <v>38.204999999999998</v>
      </c>
      <c r="X591">
        <v>38.3491</v>
      </c>
      <c r="Y591" t="s">
        <v>134</v>
      </c>
      <c r="Z591" t="s">
        <v>134</v>
      </c>
      <c r="AA591" t="s">
        <v>134</v>
      </c>
      <c r="AB591" t="s">
        <v>134</v>
      </c>
      <c r="AC591" t="s">
        <v>134</v>
      </c>
      <c r="AD591" t="s">
        <v>134</v>
      </c>
      <c r="AE591" t="s">
        <v>134</v>
      </c>
      <c r="AF591" t="s">
        <v>134</v>
      </c>
      <c r="AG591" t="s">
        <v>134</v>
      </c>
      <c r="AH591" t="s">
        <v>134</v>
      </c>
      <c r="AI591" t="s">
        <v>134</v>
      </c>
      <c r="AJ591" t="s">
        <v>134</v>
      </c>
      <c r="AK591" t="s">
        <v>134</v>
      </c>
      <c r="AL591" t="s">
        <v>134</v>
      </c>
      <c r="AM591">
        <v>15.5966</v>
      </c>
      <c r="AN591">
        <v>17.702300000000001</v>
      </c>
      <c r="AO591">
        <v>17.624600000000001</v>
      </c>
      <c r="AP591">
        <v>19.183299999999999</v>
      </c>
      <c r="AQ591">
        <v>19.218499999999999</v>
      </c>
      <c r="AR591" t="s">
        <v>134</v>
      </c>
      <c r="AS591" t="s">
        <v>134</v>
      </c>
      <c r="AT591" t="s">
        <v>134</v>
      </c>
      <c r="AU591" t="s">
        <v>134</v>
      </c>
      <c r="AV591" t="s">
        <v>134</v>
      </c>
      <c r="AW591" t="s">
        <v>134</v>
      </c>
      <c r="AX591" t="s">
        <v>134</v>
      </c>
      <c r="AY591" t="s">
        <v>134</v>
      </c>
      <c r="AZ591" t="s">
        <v>134</v>
      </c>
      <c r="BA591" t="s">
        <v>134</v>
      </c>
      <c r="BB591" t="s">
        <v>134</v>
      </c>
      <c r="BC591" t="s">
        <v>134</v>
      </c>
      <c r="BD591" t="s">
        <v>134</v>
      </c>
      <c r="BE591" t="s">
        <v>134</v>
      </c>
      <c r="BF591">
        <v>3.3269000000000002</v>
      </c>
      <c r="BG591">
        <v>-5.2399000000000004</v>
      </c>
      <c r="BH591">
        <v>-6.7819000000000003</v>
      </c>
      <c r="BI591">
        <v>-17.978899999999999</v>
      </c>
      <c r="BJ591">
        <v>310.56029999999998</v>
      </c>
      <c r="BK591" t="s">
        <v>134</v>
      </c>
      <c r="BL591" t="s">
        <v>134</v>
      </c>
      <c r="BM591" t="s">
        <v>134</v>
      </c>
      <c r="BN591" t="s">
        <v>134</v>
      </c>
      <c r="BO591" t="s">
        <v>134</v>
      </c>
      <c r="BP591" t="s">
        <v>134</v>
      </c>
      <c r="BQ591" t="s">
        <v>134</v>
      </c>
      <c r="BR591" t="s">
        <v>134</v>
      </c>
      <c r="BS591" t="s">
        <v>134</v>
      </c>
      <c r="BT591" t="s">
        <v>134</v>
      </c>
      <c r="BU591" t="s">
        <v>134</v>
      </c>
      <c r="BV591" t="s">
        <v>134</v>
      </c>
      <c r="BW591" t="s">
        <v>134</v>
      </c>
      <c r="BX591" t="s">
        <v>134</v>
      </c>
      <c r="BY591" t="s">
        <v>134</v>
      </c>
      <c r="BZ591" t="s">
        <v>134</v>
      </c>
      <c r="CA591" t="s">
        <v>134</v>
      </c>
      <c r="CB591" t="s">
        <v>134</v>
      </c>
      <c r="CC591" t="s">
        <v>134</v>
      </c>
      <c r="CD591" t="s">
        <v>134</v>
      </c>
      <c r="CE591" t="s">
        <v>134</v>
      </c>
      <c r="CF591">
        <v>45.928600000000003</v>
      </c>
      <c r="CG591" t="s">
        <v>134</v>
      </c>
      <c r="CH591" t="s">
        <v>134</v>
      </c>
      <c r="CI591" t="s">
        <v>134</v>
      </c>
      <c r="CJ591" t="s">
        <v>134</v>
      </c>
      <c r="CK591" t="s">
        <v>134</v>
      </c>
      <c r="CL591" t="s">
        <v>134</v>
      </c>
      <c r="CM591" t="s">
        <v>134</v>
      </c>
      <c r="CN591" t="s">
        <v>134</v>
      </c>
      <c r="CO591" t="s">
        <v>134</v>
      </c>
      <c r="CP591">
        <v>5787</v>
      </c>
      <c r="CQ591" t="s">
        <v>134</v>
      </c>
      <c r="CR591">
        <v>5017</v>
      </c>
      <c r="CS591" t="s">
        <v>134</v>
      </c>
      <c r="CT591" t="s">
        <v>134</v>
      </c>
      <c r="CU591" t="s">
        <v>134</v>
      </c>
      <c r="CV591" t="s">
        <v>134</v>
      </c>
      <c r="CW591" t="s">
        <v>134</v>
      </c>
      <c r="CX591" t="s">
        <v>134</v>
      </c>
      <c r="CY591" t="s">
        <v>134</v>
      </c>
      <c r="CZ591" t="s">
        <v>134</v>
      </c>
      <c r="DA591" t="s">
        <v>134</v>
      </c>
      <c r="DB591" t="s">
        <v>134</v>
      </c>
      <c r="DC591" t="s">
        <v>134</v>
      </c>
      <c r="DD591" t="s">
        <v>134</v>
      </c>
      <c r="DE591" t="s">
        <v>134</v>
      </c>
      <c r="DF591" t="s">
        <v>134</v>
      </c>
      <c r="DG591" t="s">
        <v>134</v>
      </c>
      <c r="DH591" t="s">
        <v>134</v>
      </c>
      <c r="DI591" t="s">
        <v>134</v>
      </c>
    </row>
    <row r="592" spans="1:113" x14ac:dyDescent="0.3">
      <c r="E592" t="s">
        <v>81</v>
      </c>
      <c r="F592">
        <v>36.536700000000003</v>
      </c>
      <c r="G592">
        <v>18.405999999999999</v>
      </c>
      <c r="H592">
        <v>24.308599999999998</v>
      </c>
      <c r="I592">
        <v>22.959800000000001</v>
      </c>
      <c r="J592">
        <v>24.474799999999998</v>
      </c>
      <c r="K592">
        <v>21.178699999999999</v>
      </c>
      <c r="L592">
        <v>64.536199999999994</v>
      </c>
      <c r="M592">
        <v>21.805900000000001</v>
      </c>
      <c r="N592">
        <v>16.506</v>
      </c>
      <c r="O592">
        <v>16.3629</v>
      </c>
      <c r="P592">
        <v>16.3629</v>
      </c>
      <c r="Q592">
        <v>24.305</v>
      </c>
      <c r="R592" t="s">
        <v>134</v>
      </c>
      <c r="S592" t="s">
        <v>134</v>
      </c>
      <c r="T592">
        <v>5.7092999999999998</v>
      </c>
      <c r="U592">
        <v>17.241399999999999</v>
      </c>
      <c r="V592">
        <v>19.700199999999999</v>
      </c>
      <c r="W592">
        <v>10.930400000000001</v>
      </c>
      <c r="X592">
        <v>11.046200000000001</v>
      </c>
      <c r="Y592" t="s">
        <v>134</v>
      </c>
      <c r="Z592">
        <v>5.7919999999999998</v>
      </c>
      <c r="AA592">
        <v>-5.5023999999999997</v>
      </c>
      <c r="AB592">
        <v>13.485099999999999</v>
      </c>
      <c r="AC592">
        <v>10.7128</v>
      </c>
      <c r="AD592">
        <v>-12.123699999999999</v>
      </c>
      <c r="AE592">
        <v>9.4413999999999998</v>
      </c>
      <c r="AF592">
        <v>23.2835</v>
      </c>
      <c r="AG592">
        <v>2.9782000000000002</v>
      </c>
      <c r="AH592">
        <v>-7.8941999999999997</v>
      </c>
      <c r="AI592">
        <v>24.132999999999999</v>
      </c>
      <c r="AJ592">
        <v>12.1256</v>
      </c>
      <c r="AK592">
        <v>25.8797</v>
      </c>
      <c r="AL592" t="s">
        <v>134</v>
      </c>
      <c r="AM592">
        <v>15.2417</v>
      </c>
      <c r="AN592">
        <v>20.6081</v>
      </c>
      <c r="AO592">
        <v>20.738099999999999</v>
      </c>
      <c r="AP592">
        <v>16.779599999999999</v>
      </c>
      <c r="AQ592">
        <v>16.801500000000001</v>
      </c>
      <c r="AR592" t="s">
        <v>134</v>
      </c>
      <c r="AS592">
        <v>17.0382</v>
      </c>
      <c r="AT592">
        <v>12.3169</v>
      </c>
      <c r="AU592">
        <v>17.153099999999998</v>
      </c>
      <c r="AV592">
        <v>16.785800000000002</v>
      </c>
      <c r="AW592">
        <v>12.1625</v>
      </c>
      <c r="AX592">
        <v>7.7534999999999998</v>
      </c>
      <c r="AY592">
        <v>18.7057</v>
      </c>
      <c r="AZ592">
        <v>35.812600000000003</v>
      </c>
      <c r="BA592">
        <v>17.348099999999999</v>
      </c>
      <c r="BB592">
        <v>19.642099999999999</v>
      </c>
      <c r="BC592">
        <v>18.9069</v>
      </c>
      <c r="BD592">
        <v>19.770399999999999</v>
      </c>
      <c r="BE592" t="s">
        <v>134</v>
      </c>
      <c r="BF592">
        <v>4.7445000000000004</v>
      </c>
      <c r="BG592">
        <v>-1.7574000000000001</v>
      </c>
      <c r="BH592">
        <v>-2.8201999999999998</v>
      </c>
      <c r="BI592">
        <v>-9.7096</v>
      </c>
      <c r="BJ592">
        <v>-9.7386999999999997</v>
      </c>
      <c r="BK592" t="s">
        <v>134</v>
      </c>
      <c r="BL592" t="s">
        <v>134</v>
      </c>
      <c r="BM592" t="s">
        <v>134</v>
      </c>
      <c r="BN592" t="s">
        <v>134</v>
      </c>
      <c r="BO592" t="s">
        <v>134</v>
      </c>
      <c r="BP592" t="s">
        <v>134</v>
      </c>
      <c r="BQ592" t="s">
        <v>134</v>
      </c>
      <c r="BR592" t="s">
        <v>134</v>
      </c>
      <c r="BS592" t="s">
        <v>134</v>
      </c>
      <c r="BT592" t="s">
        <v>134</v>
      </c>
      <c r="BU592" t="s">
        <v>134</v>
      </c>
      <c r="BV592" t="s">
        <v>134</v>
      </c>
      <c r="BW592" t="s">
        <v>134</v>
      </c>
      <c r="BX592" t="s">
        <v>134</v>
      </c>
      <c r="BY592">
        <v>24420</v>
      </c>
      <c r="BZ592">
        <v>15456</v>
      </c>
      <c r="CA592">
        <v>8964</v>
      </c>
      <c r="CB592">
        <v>1.034</v>
      </c>
      <c r="CC592">
        <v>0.64090000000000003</v>
      </c>
      <c r="CD592">
        <v>1.181</v>
      </c>
      <c r="CE592">
        <v>0.73199999999999998</v>
      </c>
      <c r="CF592">
        <v>58.14</v>
      </c>
      <c r="CG592">
        <v>53.431899999999999</v>
      </c>
      <c r="CH592">
        <v>16.335899999999999</v>
      </c>
      <c r="CI592">
        <v>11.3049</v>
      </c>
      <c r="CJ592">
        <v>8.9494000000000007</v>
      </c>
      <c r="CK592">
        <v>44.502800000000001</v>
      </c>
      <c r="CL592">
        <v>30.7972</v>
      </c>
      <c r="CM592">
        <v>24.380299999999998</v>
      </c>
      <c r="CN592">
        <v>27.5837</v>
      </c>
      <c r="CO592">
        <v>21.620100000000001</v>
      </c>
      <c r="CP592">
        <v>5814</v>
      </c>
      <c r="CQ592" t="s">
        <v>134</v>
      </c>
      <c r="CR592">
        <v>5031</v>
      </c>
      <c r="CS592">
        <v>0.27250000000000002</v>
      </c>
      <c r="CT592">
        <v>1.3025</v>
      </c>
      <c r="CU592">
        <v>0.76570000000000005</v>
      </c>
      <c r="CV592">
        <v>6.4786999999999999</v>
      </c>
      <c r="CW592">
        <v>5.6147999999999998</v>
      </c>
      <c r="CX592">
        <v>65.184399999999997</v>
      </c>
      <c r="CY592">
        <v>2.1089000000000002</v>
      </c>
      <c r="CZ592">
        <v>173.5522</v>
      </c>
      <c r="DA592">
        <v>2.5165999999999999</v>
      </c>
      <c r="DB592">
        <v>145.43279999999999</v>
      </c>
      <c r="DC592">
        <v>93.303799999999995</v>
      </c>
      <c r="DD592">
        <v>238.73660000000001</v>
      </c>
      <c r="DE592">
        <v>14512</v>
      </c>
      <c r="DF592">
        <v>3616</v>
      </c>
      <c r="DG592">
        <v>6364</v>
      </c>
      <c r="DH592">
        <v>2768</v>
      </c>
      <c r="DI592">
        <v>1764</v>
      </c>
    </row>
    <row r="593" spans="1:113" x14ac:dyDescent="0.3">
      <c r="D593" t="s">
        <v>84</v>
      </c>
      <c r="E593" t="s">
        <v>77</v>
      </c>
      <c r="F593">
        <v>23.503900000000002</v>
      </c>
      <c r="G593">
        <v>11.545400000000001</v>
      </c>
      <c r="H593">
        <v>15.6877</v>
      </c>
      <c r="I593">
        <v>14.8908</v>
      </c>
      <c r="J593">
        <v>20.646599999999999</v>
      </c>
      <c r="K593">
        <v>16.5794</v>
      </c>
      <c r="L593" t="s">
        <v>134</v>
      </c>
      <c r="M593">
        <v>17.482800000000001</v>
      </c>
      <c r="N593">
        <v>16.4514</v>
      </c>
      <c r="O593">
        <v>16.1357</v>
      </c>
      <c r="P593">
        <v>16.1357</v>
      </c>
      <c r="Q593">
        <v>7.9968000000000004</v>
      </c>
      <c r="R593">
        <v>22.020399999999999</v>
      </c>
      <c r="S593">
        <v>18.328199999999999</v>
      </c>
      <c r="T593">
        <v>1.6337000000000002</v>
      </c>
      <c r="U593">
        <v>-18.318000000000001</v>
      </c>
      <c r="V593">
        <v>-25.009799999999998</v>
      </c>
      <c r="W593">
        <v>-23.072500000000002</v>
      </c>
      <c r="X593">
        <v>-23.072600000000001</v>
      </c>
      <c r="Y593">
        <v>0</v>
      </c>
      <c r="Z593">
        <v>30.3962</v>
      </c>
      <c r="AA593">
        <v>34.8964</v>
      </c>
      <c r="AB593">
        <v>35.8735</v>
      </c>
      <c r="AC593">
        <v>44.263800000000003</v>
      </c>
      <c r="AD593">
        <v>35.593600000000002</v>
      </c>
      <c r="AE593">
        <v>-12.558</v>
      </c>
      <c r="AF593">
        <v>27.941299999999998</v>
      </c>
      <c r="AG593">
        <v>104.55029999999999</v>
      </c>
      <c r="AH593">
        <v>134.6747</v>
      </c>
      <c r="AI593">
        <v>21.955400000000001</v>
      </c>
      <c r="AJ593">
        <v>51.8628</v>
      </c>
      <c r="AK593">
        <v>22.122399999999999</v>
      </c>
      <c r="AL593">
        <v>-29.3155</v>
      </c>
      <c r="AM593">
        <v>12.616400000000001</v>
      </c>
      <c r="AN593">
        <v>11.619299999999999</v>
      </c>
      <c r="AO593">
        <v>10.1943</v>
      </c>
      <c r="AP593">
        <v>17.9162</v>
      </c>
      <c r="AQ593">
        <v>17.918700000000001</v>
      </c>
      <c r="AR593">
        <v>16.362200000000001</v>
      </c>
      <c r="AS593">
        <v>19.853100000000001</v>
      </c>
      <c r="AT593">
        <v>10.587899999999999</v>
      </c>
      <c r="AU593">
        <v>16.648700000000002</v>
      </c>
      <c r="AV593">
        <v>18.833600000000001</v>
      </c>
      <c r="AW593">
        <v>10.4323</v>
      </c>
      <c r="AX593">
        <v>2.8890000000000002</v>
      </c>
      <c r="AY593">
        <v>25.132899999999999</v>
      </c>
      <c r="AZ593">
        <v>20.552700000000002</v>
      </c>
      <c r="BA593">
        <v>16.5945</v>
      </c>
      <c r="BB593">
        <v>21.6022</v>
      </c>
      <c r="BC593">
        <v>19.394400000000001</v>
      </c>
      <c r="BD593">
        <v>21.898800000000001</v>
      </c>
      <c r="BE593">
        <v>28.694199999999999</v>
      </c>
      <c r="BF593">
        <v>1.6337000000000002</v>
      </c>
      <c r="BG593">
        <v>-18.318000000000001</v>
      </c>
      <c r="BH593">
        <v>-25.009799999999998</v>
      </c>
      <c r="BI593">
        <v>-23.072500000000002</v>
      </c>
      <c r="BJ593">
        <v>-23.072600000000001</v>
      </c>
      <c r="BK593">
        <v>0</v>
      </c>
      <c r="BL593">
        <v>30.3962</v>
      </c>
      <c r="BM593">
        <v>34.8964</v>
      </c>
      <c r="BN593">
        <v>35.8735</v>
      </c>
      <c r="BO593">
        <v>44.263800000000003</v>
      </c>
      <c r="BP593">
        <v>35.593600000000002</v>
      </c>
      <c r="BQ593">
        <v>-12.558</v>
      </c>
      <c r="BR593">
        <v>27.941299999999998</v>
      </c>
      <c r="BS593">
        <v>104.55029999999999</v>
      </c>
      <c r="BT593">
        <v>134.6747</v>
      </c>
      <c r="BU593">
        <v>21.955400000000001</v>
      </c>
      <c r="BV593">
        <v>51.8628</v>
      </c>
      <c r="BW593">
        <v>22.122399999999999</v>
      </c>
      <c r="BX593">
        <v>-29.3155</v>
      </c>
      <c r="BY593">
        <v>49453</v>
      </c>
      <c r="BZ593">
        <v>24769</v>
      </c>
      <c r="CA593">
        <v>24684</v>
      </c>
      <c r="CB593">
        <v>2.5979000000000001</v>
      </c>
      <c r="CC593">
        <v>1.7612000000000001</v>
      </c>
      <c r="CD593">
        <v>3.2351999999999999</v>
      </c>
      <c r="CE593">
        <v>2.1932999999999998</v>
      </c>
      <c r="CF593">
        <v>33.514099999999999</v>
      </c>
      <c r="CG593">
        <v>45.727200000000003</v>
      </c>
      <c r="CH593">
        <v>34.6875</v>
      </c>
      <c r="CI593">
        <v>20.465299999999999</v>
      </c>
      <c r="CJ593">
        <v>16.217400000000001</v>
      </c>
      <c r="CK593">
        <v>69.494500000000002</v>
      </c>
      <c r="CL593">
        <v>41.000999999999998</v>
      </c>
      <c r="CM593">
        <v>32.490600000000001</v>
      </c>
      <c r="CN593">
        <v>47.1143</v>
      </c>
      <c r="CO593">
        <v>32.025599999999997</v>
      </c>
      <c r="CP593">
        <v>19036</v>
      </c>
      <c r="CQ593">
        <v>-10745</v>
      </c>
      <c r="CR593">
        <v>15286</v>
      </c>
      <c r="CS593">
        <v>0.30020000000000002</v>
      </c>
      <c r="CT593">
        <v>1.135</v>
      </c>
      <c r="CU593">
        <v>0.72940000000000005</v>
      </c>
      <c r="CV593">
        <v>5.0858999999999996</v>
      </c>
      <c r="CW593">
        <v>4.5823</v>
      </c>
      <c r="CX593">
        <v>79.653599999999997</v>
      </c>
      <c r="CY593">
        <v>2.2822</v>
      </c>
      <c r="CZ593">
        <v>159.93639999999999</v>
      </c>
      <c r="DA593">
        <v>2.7168999999999999</v>
      </c>
      <c r="DB593">
        <v>134.34399999999999</v>
      </c>
      <c r="DC593">
        <v>105.246</v>
      </c>
      <c r="DD593">
        <v>239.59</v>
      </c>
      <c r="DE593">
        <v>18037</v>
      </c>
      <c r="DF593">
        <v>6379</v>
      </c>
      <c r="DG593">
        <v>2288</v>
      </c>
      <c r="DH593">
        <v>8434</v>
      </c>
      <c r="DI593">
        <v>936</v>
      </c>
    </row>
    <row r="594" spans="1:113" x14ac:dyDescent="0.3">
      <c r="E594" t="s">
        <v>78</v>
      </c>
      <c r="F594" t="s">
        <v>134</v>
      </c>
      <c r="G594" t="s">
        <v>134</v>
      </c>
      <c r="H594" t="s">
        <v>134</v>
      </c>
      <c r="I594" t="s">
        <v>134</v>
      </c>
      <c r="J594">
        <v>23.6374</v>
      </c>
      <c r="K594">
        <v>19.834</v>
      </c>
      <c r="L594">
        <v>-136.2919</v>
      </c>
      <c r="M594">
        <v>19.883600000000001</v>
      </c>
      <c r="N594">
        <v>16.346299999999999</v>
      </c>
      <c r="O594">
        <v>16.071100000000001</v>
      </c>
      <c r="P594">
        <v>16.071100000000001</v>
      </c>
      <c r="Q594">
        <v>21.919699999999999</v>
      </c>
      <c r="R594" t="s">
        <v>134</v>
      </c>
      <c r="S594" t="s">
        <v>134</v>
      </c>
      <c r="T594">
        <v>-2.2363</v>
      </c>
      <c r="U594">
        <v>-9.3285</v>
      </c>
      <c r="V594">
        <v>-13.583600000000001</v>
      </c>
      <c r="W594">
        <v>-22.5989</v>
      </c>
      <c r="X594">
        <v>-22.666699999999999</v>
      </c>
      <c r="Y594" t="s">
        <v>134</v>
      </c>
      <c r="Z594" t="s">
        <v>134</v>
      </c>
      <c r="AA594" t="s">
        <v>134</v>
      </c>
      <c r="AB594" t="s">
        <v>134</v>
      </c>
      <c r="AC594" t="s">
        <v>134</v>
      </c>
      <c r="AD594" t="s">
        <v>134</v>
      </c>
      <c r="AE594" t="s">
        <v>134</v>
      </c>
      <c r="AF594" t="s">
        <v>134</v>
      </c>
      <c r="AG594" t="s">
        <v>134</v>
      </c>
      <c r="AH594" t="s">
        <v>134</v>
      </c>
      <c r="AI594" t="s">
        <v>134</v>
      </c>
      <c r="AJ594" t="s">
        <v>134</v>
      </c>
      <c r="AK594" t="s">
        <v>134</v>
      </c>
      <c r="AL594" t="s">
        <v>134</v>
      </c>
      <c r="AM594">
        <v>13.5618</v>
      </c>
      <c r="AN594">
        <v>11.618500000000001</v>
      </c>
      <c r="AO594">
        <v>10.4312</v>
      </c>
      <c r="AP594">
        <v>9.1593999999999998</v>
      </c>
      <c r="AQ594">
        <v>9.1720000000000006</v>
      </c>
      <c r="AR594" t="s">
        <v>134</v>
      </c>
      <c r="AS594" t="s">
        <v>134</v>
      </c>
      <c r="AT594" t="s">
        <v>134</v>
      </c>
      <c r="AU594" t="s">
        <v>134</v>
      </c>
      <c r="AV594" t="s">
        <v>134</v>
      </c>
      <c r="AW594" t="s">
        <v>134</v>
      </c>
      <c r="AX594" t="s">
        <v>134</v>
      </c>
      <c r="AY594" t="s">
        <v>134</v>
      </c>
      <c r="AZ594" t="s">
        <v>134</v>
      </c>
      <c r="BA594" t="s">
        <v>134</v>
      </c>
      <c r="BB594" t="s">
        <v>134</v>
      </c>
      <c r="BC594" t="s">
        <v>134</v>
      </c>
      <c r="BD594" t="s">
        <v>134</v>
      </c>
      <c r="BE594" t="s">
        <v>134</v>
      </c>
      <c r="BF594">
        <v>-2.3740999999999999</v>
      </c>
      <c r="BG594">
        <v>-4.7801</v>
      </c>
      <c r="BH594">
        <v>-7.2182000000000004</v>
      </c>
      <c r="BI594">
        <v>-37.3108</v>
      </c>
      <c r="BJ594">
        <v>-37.746000000000002</v>
      </c>
      <c r="BK594" t="s">
        <v>134</v>
      </c>
      <c r="BL594" t="s">
        <v>134</v>
      </c>
      <c r="BM594" t="s">
        <v>134</v>
      </c>
      <c r="BN594" t="s">
        <v>134</v>
      </c>
      <c r="BO594" t="s">
        <v>134</v>
      </c>
      <c r="BP594" t="s">
        <v>134</v>
      </c>
      <c r="BQ594" t="s">
        <v>134</v>
      </c>
      <c r="BR594" t="s">
        <v>134</v>
      </c>
      <c r="BS594" t="s">
        <v>134</v>
      </c>
      <c r="BT594" t="s">
        <v>134</v>
      </c>
      <c r="BU594" t="s">
        <v>134</v>
      </c>
      <c r="BV594" t="s">
        <v>134</v>
      </c>
      <c r="BW594" t="s">
        <v>134</v>
      </c>
      <c r="BX594" t="s">
        <v>134</v>
      </c>
      <c r="BY594" t="s">
        <v>134</v>
      </c>
      <c r="BZ594" t="s">
        <v>134</v>
      </c>
      <c r="CA594" t="s">
        <v>134</v>
      </c>
      <c r="CB594" t="s">
        <v>134</v>
      </c>
      <c r="CC594" t="s">
        <v>134</v>
      </c>
      <c r="CD594" t="s">
        <v>134</v>
      </c>
      <c r="CE594" t="s">
        <v>134</v>
      </c>
      <c r="CF594">
        <v>37.421399999999998</v>
      </c>
      <c r="CG594" t="s">
        <v>134</v>
      </c>
      <c r="CH594" t="s">
        <v>134</v>
      </c>
      <c r="CI594" t="s">
        <v>134</v>
      </c>
      <c r="CJ594" t="s">
        <v>134</v>
      </c>
      <c r="CK594" t="s">
        <v>134</v>
      </c>
      <c r="CL594" t="s">
        <v>134</v>
      </c>
      <c r="CM594" t="s">
        <v>134</v>
      </c>
      <c r="CN594" t="s">
        <v>134</v>
      </c>
      <c r="CO594" t="s">
        <v>134</v>
      </c>
      <c r="CP594">
        <v>5239</v>
      </c>
      <c r="CQ594" t="s">
        <v>134</v>
      </c>
      <c r="CR594">
        <v>4396</v>
      </c>
      <c r="CS594" t="s">
        <v>134</v>
      </c>
      <c r="CT594" t="s">
        <v>134</v>
      </c>
      <c r="CU594" t="s">
        <v>134</v>
      </c>
      <c r="CV594" t="s">
        <v>134</v>
      </c>
      <c r="CW594" t="s">
        <v>134</v>
      </c>
      <c r="CX594" t="s">
        <v>134</v>
      </c>
      <c r="CY594" t="s">
        <v>134</v>
      </c>
      <c r="CZ594" t="s">
        <v>134</v>
      </c>
      <c r="DA594" t="s">
        <v>134</v>
      </c>
      <c r="DB594" t="s">
        <v>134</v>
      </c>
      <c r="DC594" t="s">
        <v>134</v>
      </c>
      <c r="DD594" t="s">
        <v>134</v>
      </c>
      <c r="DE594" t="s">
        <v>134</v>
      </c>
      <c r="DF594" t="s">
        <v>134</v>
      </c>
      <c r="DG594" t="s">
        <v>134</v>
      </c>
      <c r="DH594" t="s">
        <v>134</v>
      </c>
      <c r="DI594" t="s">
        <v>134</v>
      </c>
    </row>
    <row r="595" spans="1:113" x14ac:dyDescent="0.3">
      <c r="E595" t="s">
        <v>79</v>
      </c>
      <c r="F595" t="s">
        <v>134</v>
      </c>
      <c r="G595">
        <v>15.998200000000001</v>
      </c>
      <c r="H595" t="s">
        <v>134</v>
      </c>
      <c r="I595">
        <v>20.791899999999998</v>
      </c>
      <c r="J595">
        <v>22.086200000000002</v>
      </c>
      <c r="K595">
        <v>18.388000000000002</v>
      </c>
      <c r="L595" t="s">
        <v>134</v>
      </c>
      <c r="M595">
        <v>18.597799999999999</v>
      </c>
      <c r="N595">
        <v>14.839700000000001</v>
      </c>
      <c r="O595">
        <v>14.450200000000001</v>
      </c>
      <c r="P595">
        <v>14.450200000000001</v>
      </c>
      <c r="Q595">
        <v>24.58</v>
      </c>
      <c r="R595" t="s">
        <v>134</v>
      </c>
      <c r="S595" t="s">
        <v>134</v>
      </c>
      <c r="T595">
        <v>3.0842000000000001</v>
      </c>
      <c r="U595">
        <v>-15.5068</v>
      </c>
      <c r="V595">
        <v>-20.1784</v>
      </c>
      <c r="W595">
        <v>-28.926300000000001</v>
      </c>
      <c r="X595">
        <v>255.60339999999999</v>
      </c>
      <c r="Y595" t="s">
        <v>134</v>
      </c>
      <c r="Z595">
        <v>27.561599999999999</v>
      </c>
      <c r="AA595">
        <v>6.7732999999999999</v>
      </c>
      <c r="AB595">
        <v>10.9412</v>
      </c>
      <c r="AC595">
        <v>22.294499999999999</v>
      </c>
      <c r="AD595">
        <v>25.2318</v>
      </c>
      <c r="AE595">
        <v>-20.2514</v>
      </c>
      <c r="AF595">
        <v>9.9564000000000004</v>
      </c>
      <c r="AG595">
        <v>87.342799999999997</v>
      </c>
      <c r="AH595">
        <v>34.477699999999999</v>
      </c>
      <c r="AI595">
        <v>27.441800000000001</v>
      </c>
      <c r="AJ595" t="s">
        <v>134</v>
      </c>
      <c r="AK595" t="s">
        <v>134</v>
      </c>
      <c r="AL595" t="s">
        <v>134</v>
      </c>
      <c r="AM595">
        <v>13.883100000000001</v>
      </c>
      <c r="AN595">
        <v>16.830100000000002</v>
      </c>
      <c r="AO595">
        <v>16.576599999999999</v>
      </c>
      <c r="AP595">
        <v>26.877099999999999</v>
      </c>
      <c r="AQ595">
        <v>26.919799999999999</v>
      </c>
      <c r="AR595" t="s">
        <v>134</v>
      </c>
      <c r="AS595">
        <v>24.6752</v>
      </c>
      <c r="AT595">
        <v>9.4118999999999993</v>
      </c>
      <c r="AU595">
        <v>8.8292000000000002</v>
      </c>
      <c r="AV595">
        <v>16.248899999999999</v>
      </c>
      <c r="AW595">
        <v>3.6795</v>
      </c>
      <c r="AX595">
        <v>-10.048500000000001</v>
      </c>
      <c r="AY595" t="s">
        <v>134</v>
      </c>
      <c r="AZ595" t="s">
        <v>134</v>
      </c>
      <c r="BA595">
        <v>6.4340999999999999</v>
      </c>
      <c r="BB595">
        <v>20.669</v>
      </c>
      <c r="BC595" t="s">
        <v>134</v>
      </c>
      <c r="BD595" t="s">
        <v>134</v>
      </c>
      <c r="BE595" t="s">
        <v>134</v>
      </c>
      <c r="BF595">
        <v>5.4097</v>
      </c>
      <c r="BG595">
        <v>-1.5079</v>
      </c>
      <c r="BH595">
        <v>-2.2747999999999999</v>
      </c>
      <c r="BI595">
        <v>-15.260999999999999</v>
      </c>
      <c r="BJ595">
        <v>-15.1671</v>
      </c>
      <c r="BK595" t="s">
        <v>134</v>
      </c>
      <c r="BL595" t="s">
        <v>134</v>
      </c>
      <c r="BM595" t="s">
        <v>134</v>
      </c>
      <c r="BN595" t="s">
        <v>134</v>
      </c>
      <c r="BO595" t="s">
        <v>134</v>
      </c>
      <c r="BP595" t="s">
        <v>134</v>
      </c>
      <c r="BQ595" t="s">
        <v>134</v>
      </c>
      <c r="BR595" t="s">
        <v>134</v>
      </c>
      <c r="BS595" t="s">
        <v>134</v>
      </c>
      <c r="BT595" t="s">
        <v>134</v>
      </c>
      <c r="BU595" t="s">
        <v>134</v>
      </c>
      <c r="BV595" t="s">
        <v>134</v>
      </c>
      <c r="BW595" t="s">
        <v>134</v>
      </c>
      <c r="BX595" t="s">
        <v>134</v>
      </c>
      <c r="BY595">
        <v>27115</v>
      </c>
      <c r="BZ595">
        <v>17433</v>
      </c>
      <c r="CA595">
        <v>9682</v>
      </c>
      <c r="CB595">
        <v>1.2426999999999999</v>
      </c>
      <c r="CC595">
        <v>0.71499999999999997</v>
      </c>
      <c r="CD595">
        <v>1.4572000000000001</v>
      </c>
      <c r="CE595">
        <v>0.83840000000000003</v>
      </c>
      <c r="CF595">
        <v>27.593599999999999</v>
      </c>
      <c r="CG595">
        <v>53.755899999999997</v>
      </c>
      <c r="CH595">
        <v>14.7508</v>
      </c>
      <c r="CI595">
        <v>10.438599999999999</v>
      </c>
      <c r="CJ595">
        <v>8.1152999999999995</v>
      </c>
      <c r="CK595">
        <v>41.310499999999998</v>
      </c>
      <c r="CL595">
        <v>29.233899999999998</v>
      </c>
      <c r="CM595">
        <v>22.7273</v>
      </c>
      <c r="CN595">
        <v>23.768599999999999</v>
      </c>
      <c r="CO595">
        <v>19.2041</v>
      </c>
      <c r="CP595">
        <v>5160</v>
      </c>
      <c r="CQ595" t="s">
        <v>134</v>
      </c>
      <c r="CR595">
        <v>4296</v>
      </c>
      <c r="CS595">
        <v>0.2828</v>
      </c>
      <c r="CT595">
        <v>1.2717000000000001</v>
      </c>
      <c r="CU595">
        <v>0.80620000000000003</v>
      </c>
      <c r="CV595">
        <v>6.8247999999999998</v>
      </c>
      <c r="CW595">
        <v>4.782</v>
      </c>
      <c r="CX595">
        <v>76.536299999999997</v>
      </c>
      <c r="CY595">
        <v>2.1383999999999999</v>
      </c>
      <c r="CZ595">
        <v>171.15809999999999</v>
      </c>
      <c r="DA595">
        <v>2.1013000000000002</v>
      </c>
      <c r="DB595">
        <v>174.17789999999999</v>
      </c>
      <c r="DC595">
        <v>73.516599999999997</v>
      </c>
      <c r="DD595">
        <v>247.69450000000001</v>
      </c>
      <c r="DE595">
        <v>15507</v>
      </c>
      <c r="DF595" t="s">
        <v>134</v>
      </c>
      <c r="DG595" t="s">
        <v>134</v>
      </c>
      <c r="DH595" t="s">
        <v>134</v>
      </c>
      <c r="DI595" t="s">
        <v>134</v>
      </c>
    </row>
    <row r="596" spans="1:113" x14ac:dyDescent="0.3">
      <c r="E596" t="s">
        <v>80</v>
      </c>
      <c r="F596" t="s">
        <v>134</v>
      </c>
      <c r="G596" t="s">
        <v>134</v>
      </c>
      <c r="H596" t="s">
        <v>134</v>
      </c>
      <c r="I596" t="s">
        <v>134</v>
      </c>
      <c r="J596">
        <v>17.972100000000001</v>
      </c>
      <c r="K596">
        <v>13.9803</v>
      </c>
      <c r="L596">
        <v>-1110.3824999999999</v>
      </c>
      <c r="M596">
        <v>14.420299999999999</v>
      </c>
      <c r="N596">
        <v>12.8245</v>
      </c>
      <c r="O596">
        <v>12.517799999999999</v>
      </c>
      <c r="P596">
        <v>12.517799999999999</v>
      </c>
      <c r="Q596">
        <v>15.5364</v>
      </c>
      <c r="R596" t="s">
        <v>134</v>
      </c>
      <c r="S596" t="s">
        <v>134</v>
      </c>
      <c r="T596">
        <v>-0.80689999999999995</v>
      </c>
      <c r="U596">
        <v>-31.683</v>
      </c>
      <c r="V596">
        <v>-39.250500000000002</v>
      </c>
      <c r="W596">
        <v>-34.587699999999998</v>
      </c>
      <c r="X596">
        <v>-34.679299999999998</v>
      </c>
      <c r="Y596" t="s">
        <v>134</v>
      </c>
      <c r="Z596" t="s">
        <v>134</v>
      </c>
      <c r="AA596" t="s">
        <v>134</v>
      </c>
      <c r="AB596" t="s">
        <v>134</v>
      </c>
      <c r="AC596" t="s">
        <v>134</v>
      </c>
      <c r="AD596" t="s">
        <v>134</v>
      </c>
      <c r="AE596" t="s">
        <v>134</v>
      </c>
      <c r="AF596" t="s">
        <v>134</v>
      </c>
      <c r="AG596" t="s">
        <v>134</v>
      </c>
      <c r="AH596" t="s">
        <v>134</v>
      </c>
      <c r="AI596" t="s">
        <v>134</v>
      </c>
      <c r="AJ596" t="s">
        <v>134</v>
      </c>
      <c r="AK596" t="s">
        <v>134</v>
      </c>
      <c r="AL596" t="s">
        <v>134</v>
      </c>
      <c r="AM596">
        <v>10.712400000000001</v>
      </c>
      <c r="AN596">
        <v>9.0978999999999992</v>
      </c>
      <c r="AO596">
        <v>7.8986999999999998</v>
      </c>
      <c r="AP596">
        <v>13.544700000000001</v>
      </c>
      <c r="AQ596">
        <v>13.5311</v>
      </c>
      <c r="AR596" t="s">
        <v>134</v>
      </c>
      <c r="AS596" t="s">
        <v>134</v>
      </c>
      <c r="AT596" t="s">
        <v>134</v>
      </c>
      <c r="AU596" t="s">
        <v>134</v>
      </c>
      <c r="AV596" t="s">
        <v>134</v>
      </c>
      <c r="AW596" t="s">
        <v>134</v>
      </c>
      <c r="AX596" t="s">
        <v>134</v>
      </c>
      <c r="AY596" t="s">
        <v>134</v>
      </c>
      <c r="AZ596" t="s">
        <v>134</v>
      </c>
      <c r="BA596" t="s">
        <v>134</v>
      </c>
      <c r="BB596" t="s">
        <v>134</v>
      </c>
      <c r="BC596" t="s">
        <v>134</v>
      </c>
      <c r="BD596" t="s">
        <v>134</v>
      </c>
      <c r="BE596" t="s">
        <v>134</v>
      </c>
      <c r="BF596">
        <v>-3.7109999999999999</v>
      </c>
      <c r="BG596">
        <v>-21.004300000000001</v>
      </c>
      <c r="BH596">
        <v>-26.069600000000001</v>
      </c>
      <c r="BI596">
        <v>-25.8752</v>
      </c>
      <c r="BJ596">
        <v>-25.876000000000001</v>
      </c>
      <c r="BK596" t="s">
        <v>134</v>
      </c>
      <c r="BL596" t="s">
        <v>134</v>
      </c>
      <c r="BM596" t="s">
        <v>134</v>
      </c>
      <c r="BN596" t="s">
        <v>134</v>
      </c>
      <c r="BO596" t="s">
        <v>134</v>
      </c>
      <c r="BP596" t="s">
        <v>134</v>
      </c>
      <c r="BQ596" t="s">
        <v>134</v>
      </c>
      <c r="BR596" t="s">
        <v>134</v>
      </c>
      <c r="BS596" t="s">
        <v>134</v>
      </c>
      <c r="BT596" t="s">
        <v>134</v>
      </c>
      <c r="BU596" t="s">
        <v>134</v>
      </c>
      <c r="BV596" t="s">
        <v>134</v>
      </c>
      <c r="BW596" t="s">
        <v>134</v>
      </c>
      <c r="BX596" t="s">
        <v>134</v>
      </c>
      <c r="BY596" t="s">
        <v>134</v>
      </c>
      <c r="BZ596" t="s">
        <v>134</v>
      </c>
      <c r="CA596" t="s">
        <v>134</v>
      </c>
      <c r="CB596" t="s">
        <v>134</v>
      </c>
      <c r="CC596" t="s">
        <v>134</v>
      </c>
      <c r="CD596" t="s">
        <v>134</v>
      </c>
      <c r="CE596" t="s">
        <v>134</v>
      </c>
      <c r="CF596">
        <v>61.257599999999996</v>
      </c>
      <c r="CG596" t="s">
        <v>134</v>
      </c>
      <c r="CH596" t="s">
        <v>134</v>
      </c>
      <c r="CI596" t="s">
        <v>134</v>
      </c>
      <c r="CJ596" t="s">
        <v>134</v>
      </c>
      <c r="CK596" t="s">
        <v>134</v>
      </c>
      <c r="CL596" t="s">
        <v>134</v>
      </c>
      <c r="CM596" t="s">
        <v>134</v>
      </c>
      <c r="CN596" t="s">
        <v>134</v>
      </c>
      <c r="CO596" t="s">
        <v>134</v>
      </c>
      <c r="CP596">
        <v>4043</v>
      </c>
      <c r="CQ596" t="s">
        <v>134</v>
      </c>
      <c r="CR596">
        <v>3145</v>
      </c>
      <c r="CS596" t="s">
        <v>134</v>
      </c>
      <c r="CT596" t="s">
        <v>134</v>
      </c>
      <c r="CU596" t="s">
        <v>134</v>
      </c>
      <c r="CV596" t="s">
        <v>134</v>
      </c>
      <c r="CW596" t="s">
        <v>134</v>
      </c>
      <c r="CX596" t="s">
        <v>134</v>
      </c>
      <c r="CY596" t="s">
        <v>134</v>
      </c>
      <c r="CZ596" t="s">
        <v>134</v>
      </c>
      <c r="DA596" t="s">
        <v>134</v>
      </c>
      <c r="DB596" t="s">
        <v>134</v>
      </c>
      <c r="DC596" t="s">
        <v>134</v>
      </c>
      <c r="DD596" t="s">
        <v>134</v>
      </c>
      <c r="DE596" t="s">
        <v>134</v>
      </c>
      <c r="DF596" t="s">
        <v>134</v>
      </c>
      <c r="DG596" t="s">
        <v>134</v>
      </c>
      <c r="DH596" t="s">
        <v>134</v>
      </c>
      <c r="DI596" t="s">
        <v>134</v>
      </c>
    </row>
    <row r="597" spans="1:113" x14ac:dyDescent="0.3">
      <c r="E597" t="s">
        <v>81</v>
      </c>
      <c r="F597">
        <v>23.503900000000002</v>
      </c>
      <c r="G597">
        <v>11.545400000000001</v>
      </c>
      <c r="H597">
        <v>15.5791</v>
      </c>
      <c r="I597">
        <v>14.844899999999999</v>
      </c>
      <c r="J597">
        <v>19.1768</v>
      </c>
      <c r="K597">
        <v>14.4405</v>
      </c>
      <c r="L597" t="s">
        <v>134</v>
      </c>
      <c r="M597">
        <v>17.0548</v>
      </c>
      <c r="N597">
        <v>16.235800000000001</v>
      </c>
      <c r="O597">
        <v>15.946199999999999</v>
      </c>
      <c r="P597">
        <v>15.946199999999999</v>
      </c>
      <c r="Q597">
        <v>0.46079999999999999</v>
      </c>
      <c r="R597" t="s">
        <v>134</v>
      </c>
      <c r="S597" t="s">
        <v>134</v>
      </c>
      <c r="T597">
        <v>6.4836999999999998</v>
      </c>
      <c r="U597">
        <v>-15.739699999999999</v>
      </c>
      <c r="V597">
        <v>-26.319099999999999</v>
      </c>
      <c r="W597">
        <v>-32.154200000000003</v>
      </c>
      <c r="X597">
        <v>-31.4848</v>
      </c>
      <c r="Y597" t="s">
        <v>134</v>
      </c>
      <c r="Z597">
        <v>30.3962</v>
      </c>
      <c r="AA597">
        <v>34.8964</v>
      </c>
      <c r="AB597">
        <v>35.8735</v>
      </c>
      <c r="AC597">
        <v>44.263800000000003</v>
      </c>
      <c r="AD597">
        <v>35.593600000000002</v>
      </c>
      <c r="AE597">
        <v>-12.558</v>
      </c>
      <c r="AF597">
        <v>27.941299999999998</v>
      </c>
      <c r="AG597">
        <v>104.55029999999999</v>
      </c>
      <c r="AH597">
        <v>134.6747</v>
      </c>
      <c r="AI597">
        <v>21.955400000000001</v>
      </c>
      <c r="AJ597">
        <v>51.8628</v>
      </c>
      <c r="AK597">
        <v>22.122399999999999</v>
      </c>
      <c r="AL597" t="s">
        <v>134</v>
      </c>
      <c r="AM597">
        <v>12.4528</v>
      </c>
      <c r="AN597">
        <v>10.4839</v>
      </c>
      <c r="AO597">
        <v>7.4504000000000001</v>
      </c>
      <c r="AP597">
        <v>17.670200000000001</v>
      </c>
      <c r="AQ597">
        <v>18.058299999999999</v>
      </c>
      <c r="AR597" t="s">
        <v>134</v>
      </c>
      <c r="AS597">
        <v>19.853100000000001</v>
      </c>
      <c r="AT597">
        <v>10.587899999999999</v>
      </c>
      <c r="AU597">
        <v>16.648700000000002</v>
      </c>
      <c r="AV597">
        <v>18.833600000000001</v>
      </c>
      <c r="AW597">
        <v>10.4323</v>
      </c>
      <c r="AX597">
        <v>2.8890000000000002</v>
      </c>
      <c r="AY597">
        <v>25.132899999999999</v>
      </c>
      <c r="AZ597">
        <v>20.552700000000002</v>
      </c>
      <c r="BA597">
        <v>16.5945</v>
      </c>
      <c r="BB597">
        <v>21.6022</v>
      </c>
      <c r="BC597">
        <v>19.394400000000001</v>
      </c>
      <c r="BD597">
        <v>21.898800000000001</v>
      </c>
      <c r="BE597" t="s">
        <v>134</v>
      </c>
      <c r="BF597">
        <v>7.4634999999999998</v>
      </c>
      <c r="BG597">
        <v>14.667300000000001</v>
      </c>
      <c r="BH597">
        <v>11.0016</v>
      </c>
      <c r="BI597">
        <v>19.0182</v>
      </c>
      <c r="BJ597">
        <v>21.202500000000001</v>
      </c>
      <c r="BK597" t="s">
        <v>134</v>
      </c>
      <c r="BL597" t="s">
        <v>134</v>
      </c>
      <c r="BM597" t="s">
        <v>134</v>
      </c>
      <c r="BN597" t="s">
        <v>134</v>
      </c>
      <c r="BO597" t="s">
        <v>134</v>
      </c>
      <c r="BP597" t="s">
        <v>134</v>
      </c>
      <c r="BQ597" t="s">
        <v>134</v>
      </c>
      <c r="BR597" t="s">
        <v>134</v>
      </c>
      <c r="BS597" t="s">
        <v>134</v>
      </c>
      <c r="BT597" t="s">
        <v>134</v>
      </c>
      <c r="BU597" t="s">
        <v>134</v>
      </c>
      <c r="BV597" t="s">
        <v>134</v>
      </c>
      <c r="BW597" t="s">
        <v>134</v>
      </c>
      <c r="BX597" t="s">
        <v>134</v>
      </c>
      <c r="BY597">
        <v>49453</v>
      </c>
      <c r="BZ597">
        <v>24769</v>
      </c>
      <c r="CA597">
        <v>24684</v>
      </c>
      <c r="CB597">
        <v>2.5979000000000001</v>
      </c>
      <c r="CC597">
        <v>1.7612000000000001</v>
      </c>
      <c r="CD597">
        <v>3.2351999999999999</v>
      </c>
      <c r="CE597">
        <v>2.1932999999999998</v>
      </c>
      <c r="CF597">
        <v>46.828299999999999</v>
      </c>
      <c r="CG597">
        <v>45.727200000000003</v>
      </c>
      <c r="CH597">
        <v>34.6875</v>
      </c>
      <c r="CI597">
        <v>20.465299999999999</v>
      </c>
      <c r="CJ597">
        <v>16.217400000000001</v>
      </c>
      <c r="CK597">
        <v>69.494500000000002</v>
      </c>
      <c r="CL597">
        <v>41.000999999999998</v>
      </c>
      <c r="CM597">
        <v>32.490600000000001</v>
      </c>
      <c r="CN597">
        <v>47.1143</v>
      </c>
      <c r="CO597">
        <v>32.025599999999997</v>
      </c>
      <c r="CP597">
        <v>4636</v>
      </c>
      <c r="CQ597" t="s">
        <v>134</v>
      </c>
      <c r="CR597">
        <v>3491</v>
      </c>
      <c r="CS597">
        <v>0.30020000000000002</v>
      </c>
      <c r="CT597">
        <v>1.135</v>
      </c>
      <c r="CU597">
        <v>0.72940000000000005</v>
      </c>
      <c r="CV597">
        <v>5.0858999999999996</v>
      </c>
      <c r="CW597">
        <v>4.5823</v>
      </c>
      <c r="CX597">
        <v>79.654499999999999</v>
      </c>
      <c r="CY597">
        <v>2.2822</v>
      </c>
      <c r="CZ597">
        <v>159.93639999999999</v>
      </c>
      <c r="DA597">
        <v>2.7168999999999999</v>
      </c>
      <c r="DB597">
        <v>134.34399999999999</v>
      </c>
      <c r="DC597">
        <v>105.2469</v>
      </c>
      <c r="DD597">
        <v>239.5908</v>
      </c>
      <c r="DE597">
        <v>18037</v>
      </c>
      <c r="DF597">
        <v>6379</v>
      </c>
      <c r="DG597">
        <v>2288</v>
      </c>
      <c r="DH597">
        <v>8434</v>
      </c>
      <c r="DI597">
        <v>936</v>
      </c>
    </row>
    <row r="598" spans="1:113" x14ac:dyDescent="0.3">
      <c r="D598" t="s">
        <v>85</v>
      </c>
      <c r="E598" t="s">
        <v>77</v>
      </c>
      <c r="F598">
        <v>22.615200000000002</v>
      </c>
      <c r="G598">
        <v>10.67</v>
      </c>
      <c r="H598">
        <v>14.4756</v>
      </c>
      <c r="I598">
        <v>14.432399999999999</v>
      </c>
      <c r="J598">
        <v>24.563600000000001</v>
      </c>
      <c r="K598">
        <v>19.9038</v>
      </c>
      <c r="L598">
        <v>31.973700000000001</v>
      </c>
      <c r="M598">
        <v>20.0943</v>
      </c>
      <c r="N598">
        <v>15.7699</v>
      </c>
      <c r="O598">
        <v>15.3095</v>
      </c>
      <c r="P598">
        <v>15.3095</v>
      </c>
      <c r="Q598">
        <v>24.2149</v>
      </c>
      <c r="R598">
        <v>19.966000000000001</v>
      </c>
      <c r="S598">
        <v>18.099799999999998</v>
      </c>
      <c r="T598">
        <v>26.5291</v>
      </c>
      <c r="U598">
        <v>49.478000000000002</v>
      </c>
      <c r="V598">
        <v>50.786999999999999</v>
      </c>
      <c r="W598">
        <v>19.365500000000001</v>
      </c>
      <c r="X598">
        <v>11840.812099999999</v>
      </c>
      <c r="Y598">
        <v>9.375</v>
      </c>
      <c r="Z598">
        <v>40.781599999999997</v>
      </c>
      <c r="AA598">
        <v>32.244799999999998</v>
      </c>
      <c r="AB598">
        <v>10.5344</v>
      </c>
      <c r="AC598">
        <v>18.689</v>
      </c>
      <c r="AD598">
        <v>53.812899999999999</v>
      </c>
      <c r="AE598">
        <v>199.60919999999999</v>
      </c>
      <c r="AF598">
        <v>12.8346</v>
      </c>
      <c r="AG598">
        <v>3.2541000000000002</v>
      </c>
      <c r="AH598">
        <v>3.383</v>
      </c>
      <c r="AI598">
        <v>25.567399999999999</v>
      </c>
      <c r="AJ598">
        <v>16.471599999999999</v>
      </c>
      <c r="AK598">
        <v>25.639399999999998</v>
      </c>
      <c r="AL598">
        <v>-34.211100000000002</v>
      </c>
      <c r="AM598">
        <v>13.510999999999999</v>
      </c>
      <c r="AN598">
        <v>21.447500000000002</v>
      </c>
      <c r="AO598">
        <v>20.9025</v>
      </c>
      <c r="AP598">
        <v>22.132100000000001</v>
      </c>
      <c r="AQ598">
        <v>22.135300000000001</v>
      </c>
      <c r="AR598">
        <v>18.4664</v>
      </c>
      <c r="AS598">
        <v>27.406300000000002</v>
      </c>
      <c r="AT598">
        <v>14.470499999999999</v>
      </c>
      <c r="AU598">
        <v>14.1579</v>
      </c>
      <c r="AV598">
        <v>19.626100000000001</v>
      </c>
      <c r="AW598">
        <v>19.6219</v>
      </c>
      <c r="AX598">
        <v>32.720100000000002</v>
      </c>
      <c r="AY598">
        <v>23.5185</v>
      </c>
      <c r="AZ598">
        <v>11.2971</v>
      </c>
      <c r="BA598">
        <v>11.826499999999999</v>
      </c>
      <c r="BB598">
        <v>23.871600000000001</v>
      </c>
      <c r="BC598">
        <v>18.5976</v>
      </c>
      <c r="BD598">
        <v>24.321100000000001</v>
      </c>
      <c r="BE598">
        <v>12.8973</v>
      </c>
      <c r="BF598">
        <v>26.5291</v>
      </c>
      <c r="BG598">
        <v>49.478000000000002</v>
      </c>
      <c r="BH598">
        <v>50.786999999999999</v>
      </c>
      <c r="BI598">
        <v>19.365500000000001</v>
      </c>
      <c r="BJ598">
        <v>11840.812099999999</v>
      </c>
      <c r="BK598">
        <v>9.375</v>
      </c>
      <c r="BL598">
        <v>40.781599999999997</v>
      </c>
      <c r="BM598">
        <v>32.244799999999998</v>
      </c>
      <c r="BN598">
        <v>10.5344</v>
      </c>
      <c r="BO598">
        <v>18.689</v>
      </c>
      <c r="BP598">
        <v>53.812899999999999</v>
      </c>
      <c r="BQ598">
        <v>199.60919999999999</v>
      </c>
      <c r="BR598">
        <v>12.8346</v>
      </c>
      <c r="BS598">
        <v>3.2541000000000002</v>
      </c>
      <c r="BT598">
        <v>3.383</v>
      </c>
      <c r="BU598">
        <v>25.567399999999999</v>
      </c>
      <c r="BV598">
        <v>16.471599999999999</v>
      </c>
      <c r="BW598">
        <v>25.639399999999998</v>
      </c>
      <c r="BX598">
        <v>-34.211100000000002</v>
      </c>
      <c r="BY598">
        <v>51126</v>
      </c>
      <c r="BZ598">
        <v>25575</v>
      </c>
      <c r="CA598">
        <v>25551</v>
      </c>
      <c r="CB598">
        <v>1.7944</v>
      </c>
      <c r="CC598">
        <v>1.2364999999999999</v>
      </c>
      <c r="CD598">
        <v>2.2145000000000001</v>
      </c>
      <c r="CE598">
        <v>1.5259</v>
      </c>
      <c r="CF598">
        <v>27.213000000000001</v>
      </c>
      <c r="CG598">
        <v>48.405000000000001</v>
      </c>
      <c r="CH598">
        <v>28.594899999999999</v>
      </c>
      <c r="CI598">
        <v>18.188199999999998</v>
      </c>
      <c r="CJ598">
        <v>14.143700000000001</v>
      </c>
      <c r="CK598">
        <v>57.216700000000003</v>
      </c>
      <c r="CL598">
        <v>36.393500000000003</v>
      </c>
      <c r="CM598">
        <v>28.300699999999999</v>
      </c>
      <c r="CN598">
        <v>39.425899999999999</v>
      </c>
      <c r="CO598">
        <v>28.2773</v>
      </c>
      <c r="CP598">
        <v>28492</v>
      </c>
      <c r="CQ598">
        <v>17999</v>
      </c>
      <c r="CR598">
        <v>23087</v>
      </c>
      <c r="CS598">
        <v>0.26129999999999998</v>
      </c>
      <c r="CT598">
        <v>1.3529</v>
      </c>
      <c r="CU598">
        <v>0.78839999999999999</v>
      </c>
      <c r="CV598">
        <v>4.5731000000000002</v>
      </c>
      <c r="CW598">
        <v>4.2304000000000004</v>
      </c>
      <c r="CX598">
        <v>86.280500000000004</v>
      </c>
      <c r="CY598">
        <v>2.1185999999999998</v>
      </c>
      <c r="CZ598">
        <v>172.28389999999999</v>
      </c>
      <c r="DA598">
        <v>2.8181000000000003</v>
      </c>
      <c r="DB598">
        <v>129.52080000000001</v>
      </c>
      <c r="DC598">
        <v>129.0436</v>
      </c>
      <c r="DD598">
        <v>258.56439999999998</v>
      </c>
      <c r="DE598">
        <v>23853</v>
      </c>
      <c r="DF598">
        <v>8728</v>
      </c>
      <c r="DG598">
        <v>2794</v>
      </c>
      <c r="DH598">
        <v>11084</v>
      </c>
      <c r="DI598">
        <v>1247</v>
      </c>
    </row>
    <row r="599" spans="1:113" x14ac:dyDescent="0.3">
      <c r="E599" t="s">
        <v>78</v>
      </c>
      <c r="F599" t="s">
        <v>134</v>
      </c>
      <c r="G599" t="s">
        <v>134</v>
      </c>
      <c r="H599" t="s">
        <v>134</v>
      </c>
      <c r="I599" t="s">
        <v>134</v>
      </c>
      <c r="J599">
        <v>12.984</v>
      </c>
      <c r="K599">
        <v>7.2716000000000003</v>
      </c>
      <c r="L599">
        <v>-352.29239999999999</v>
      </c>
      <c r="M599">
        <v>7.2294999999999998</v>
      </c>
      <c r="N599">
        <v>6.8033999999999999</v>
      </c>
      <c r="O599">
        <v>6.4802999999999997</v>
      </c>
      <c r="P599">
        <v>6.4802999999999997</v>
      </c>
      <c r="Q599">
        <v>18.976700000000001</v>
      </c>
      <c r="R599" t="s">
        <v>134</v>
      </c>
      <c r="S599" t="s">
        <v>134</v>
      </c>
      <c r="T599">
        <v>-3.641</v>
      </c>
      <c r="U599">
        <v>-47.070099999999996</v>
      </c>
      <c r="V599">
        <v>-64.672399999999996</v>
      </c>
      <c r="W599">
        <v>-65.260999999999996</v>
      </c>
      <c r="X599">
        <v>-65.295599999999993</v>
      </c>
      <c r="Y599" t="s">
        <v>134</v>
      </c>
      <c r="Z599" t="s">
        <v>134</v>
      </c>
      <c r="AA599" t="s">
        <v>134</v>
      </c>
      <c r="AB599" t="s">
        <v>134</v>
      </c>
      <c r="AC599" t="s">
        <v>134</v>
      </c>
      <c r="AD599" t="s">
        <v>134</v>
      </c>
      <c r="AE599" t="s">
        <v>134</v>
      </c>
      <c r="AF599" t="s">
        <v>134</v>
      </c>
      <c r="AG599" t="s">
        <v>134</v>
      </c>
      <c r="AH599" t="s">
        <v>134</v>
      </c>
      <c r="AI599" t="s">
        <v>134</v>
      </c>
      <c r="AJ599" t="s">
        <v>134</v>
      </c>
      <c r="AK599" t="s">
        <v>134</v>
      </c>
      <c r="AL599" t="s">
        <v>134</v>
      </c>
      <c r="AM599">
        <v>7.0933000000000002</v>
      </c>
      <c r="AN599">
        <v>-4.3086000000000002</v>
      </c>
      <c r="AO599">
        <v>-12.4651</v>
      </c>
      <c r="AP599">
        <v>-6.6071</v>
      </c>
      <c r="AQ599">
        <v>-6.6262999999999996</v>
      </c>
      <c r="AR599" t="s">
        <v>134</v>
      </c>
      <c r="AS599" t="s">
        <v>134</v>
      </c>
      <c r="AT599" t="s">
        <v>134</v>
      </c>
      <c r="AU599" t="s">
        <v>134</v>
      </c>
      <c r="AV599" t="s">
        <v>134</v>
      </c>
      <c r="AW599" t="s">
        <v>134</v>
      </c>
      <c r="AX599" t="s">
        <v>134</v>
      </c>
      <c r="AY599" t="s">
        <v>134</v>
      </c>
      <c r="AZ599" t="s">
        <v>134</v>
      </c>
      <c r="BA599" t="s">
        <v>134</v>
      </c>
      <c r="BB599" t="s">
        <v>134</v>
      </c>
      <c r="BC599" t="s">
        <v>134</v>
      </c>
      <c r="BD599" t="s">
        <v>134</v>
      </c>
      <c r="BE599" t="s">
        <v>134</v>
      </c>
      <c r="BF599">
        <v>-11.234400000000001</v>
      </c>
      <c r="BG599">
        <v>-40.301400000000001</v>
      </c>
      <c r="BH599">
        <v>-55.679200000000002</v>
      </c>
      <c r="BI599">
        <v>-64.098600000000005</v>
      </c>
      <c r="BJ599">
        <v>-64.191000000000003</v>
      </c>
      <c r="BK599" t="s">
        <v>134</v>
      </c>
      <c r="BL599" t="s">
        <v>134</v>
      </c>
      <c r="BM599" t="s">
        <v>134</v>
      </c>
      <c r="BN599" t="s">
        <v>134</v>
      </c>
      <c r="BO599" t="s">
        <v>134</v>
      </c>
      <c r="BP599" t="s">
        <v>134</v>
      </c>
      <c r="BQ599" t="s">
        <v>134</v>
      </c>
      <c r="BR599" t="s">
        <v>134</v>
      </c>
      <c r="BS599" t="s">
        <v>134</v>
      </c>
      <c r="BT599" t="s">
        <v>134</v>
      </c>
      <c r="BU599" t="s">
        <v>134</v>
      </c>
      <c r="BV599" t="s">
        <v>134</v>
      </c>
      <c r="BW599" t="s">
        <v>134</v>
      </c>
      <c r="BX599" t="s">
        <v>134</v>
      </c>
      <c r="BY599" t="s">
        <v>134</v>
      </c>
      <c r="BZ599" t="s">
        <v>134</v>
      </c>
      <c r="CA599" t="s">
        <v>134</v>
      </c>
      <c r="CB599" t="s">
        <v>134</v>
      </c>
      <c r="CC599" t="s">
        <v>134</v>
      </c>
      <c r="CD599" t="s">
        <v>134</v>
      </c>
      <c r="CE599" t="s">
        <v>134</v>
      </c>
      <c r="CF599">
        <v>12.662100000000001</v>
      </c>
      <c r="CG599" t="s">
        <v>134</v>
      </c>
      <c r="CH599" t="s">
        <v>134</v>
      </c>
      <c r="CI599" t="s">
        <v>134</v>
      </c>
      <c r="CJ599" t="s">
        <v>134</v>
      </c>
      <c r="CK599" t="s">
        <v>134</v>
      </c>
      <c r="CL599" t="s">
        <v>134</v>
      </c>
      <c r="CM599" t="s">
        <v>134</v>
      </c>
      <c r="CN599" t="s">
        <v>134</v>
      </c>
      <c r="CO599" t="s">
        <v>134</v>
      </c>
      <c r="CP599">
        <v>2773</v>
      </c>
      <c r="CQ599" t="s">
        <v>134</v>
      </c>
      <c r="CR599">
        <v>1553</v>
      </c>
      <c r="CS599" t="s">
        <v>134</v>
      </c>
      <c r="CT599" t="s">
        <v>134</v>
      </c>
      <c r="CU599" t="s">
        <v>134</v>
      </c>
      <c r="CV599" t="s">
        <v>134</v>
      </c>
      <c r="CW599" t="s">
        <v>134</v>
      </c>
      <c r="CX599" t="s">
        <v>134</v>
      </c>
      <c r="CY599" t="s">
        <v>134</v>
      </c>
      <c r="CZ599" t="s">
        <v>134</v>
      </c>
      <c r="DA599" t="s">
        <v>134</v>
      </c>
      <c r="DB599" t="s">
        <v>134</v>
      </c>
      <c r="DC599" t="s">
        <v>134</v>
      </c>
      <c r="DD599" t="s">
        <v>134</v>
      </c>
      <c r="DE599" t="s">
        <v>134</v>
      </c>
      <c r="DF599" t="s">
        <v>134</v>
      </c>
      <c r="DG599" t="s">
        <v>134</v>
      </c>
      <c r="DH599" t="s">
        <v>134</v>
      </c>
      <c r="DI599" t="s">
        <v>134</v>
      </c>
    </row>
    <row r="600" spans="1:113" x14ac:dyDescent="0.3">
      <c r="E600" t="s">
        <v>79</v>
      </c>
      <c r="F600">
        <v>19.258500000000002</v>
      </c>
      <c r="G600">
        <v>9.5057000000000009</v>
      </c>
      <c r="H600">
        <v>13.198</v>
      </c>
      <c r="I600">
        <v>12.343299999999999</v>
      </c>
      <c r="J600">
        <v>27.167300000000001</v>
      </c>
      <c r="K600">
        <v>23.151299999999999</v>
      </c>
      <c r="L600">
        <v>37.258699999999997</v>
      </c>
      <c r="M600">
        <v>22.5776</v>
      </c>
      <c r="N600">
        <v>16.247699999999998</v>
      </c>
      <c r="O600">
        <v>15.952999999999999</v>
      </c>
      <c r="P600">
        <v>15.952999999999999</v>
      </c>
      <c r="Q600">
        <v>29.8049</v>
      </c>
      <c r="R600" t="s">
        <v>134</v>
      </c>
      <c r="S600" t="s">
        <v>134</v>
      </c>
      <c r="T600">
        <v>35.0383</v>
      </c>
      <c r="U600">
        <v>67.467799999999997</v>
      </c>
      <c r="V600">
        <v>71.697199999999995</v>
      </c>
      <c r="W600">
        <v>32.482199999999999</v>
      </c>
      <c r="X600">
        <v>32.614600000000003</v>
      </c>
      <c r="Y600" t="s">
        <v>134</v>
      </c>
      <c r="Z600">
        <v>28.888500000000001</v>
      </c>
      <c r="AA600">
        <v>29.631799999999998</v>
      </c>
      <c r="AB600">
        <v>26.894300000000001</v>
      </c>
      <c r="AC600">
        <v>38.252899999999997</v>
      </c>
      <c r="AD600">
        <v>47.345599999999997</v>
      </c>
      <c r="AE600">
        <v>18.338799999999999</v>
      </c>
      <c r="AF600">
        <v>6.8445</v>
      </c>
      <c r="AG600">
        <v>23.7136</v>
      </c>
      <c r="AH600">
        <v>79.649600000000007</v>
      </c>
      <c r="AI600">
        <v>18.6739</v>
      </c>
      <c r="AJ600">
        <v>36.499499999999998</v>
      </c>
      <c r="AK600">
        <v>18.7638</v>
      </c>
      <c r="AL600" t="s">
        <v>134</v>
      </c>
      <c r="AM600">
        <v>15.8399</v>
      </c>
      <c r="AN600">
        <v>30.023900000000001</v>
      </c>
      <c r="AO600">
        <v>31.267800000000001</v>
      </c>
      <c r="AP600">
        <v>39.5381</v>
      </c>
      <c r="AQ600">
        <v>39.539299999999997</v>
      </c>
      <c r="AR600" t="s">
        <v>134</v>
      </c>
      <c r="AS600">
        <v>22.353000000000002</v>
      </c>
      <c r="AT600">
        <v>12.48</v>
      </c>
      <c r="AU600">
        <v>13.816000000000001</v>
      </c>
      <c r="AV600">
        <v>18.824300000000001</v>
      </c>
      <c r="AW600">
        <v>15.1409</v>
      </c>
      <c r="AX600">
        <v>22.660800000000002</v>
      </c>
      <c r="AY600">
        <v>22.516400000000001</v>
      </c>
      <c r="AZ600">
        <v>16.8886</v>
      </c>
      <c r="BA600">
        <v>17.151199999999999</v>
      </c>
      <c r="BB600">
        <v>21.159400000000002</v>
      </c>
      <c r="BC600" t="s">
        <v>134</v>
      </c>
      <c r="BD600" t="s">
        <v>134</v>
      </c>
      <c r="BE600" t="s">
        <v>134</v>
      </c>
      <c r="BF600">
        <v>49.812399999999997</v>
      </c>
      <c r="BG600">
        <v>209.75790000000001</v>
      </c>
      <c r="BH600">
        <v>370.92200000000003</v>
      </c>
      <c r="BI600">
        <v>263.91899999999998</v>
      </c>
      <c r="BJ600">
        <v>264.44439999999997</v>
      </c>
      <c r="BK600" t="s">
        <v>134</v>
      </c>
      <c r="BL600" t="s">
        <v>134</v>
      </c>
      <c r="BM600" t="s">
        <v>134</v>
      </c>
      <c r="BN600" t="s">
        <v>134</v>
      </c>
      <c r="BO600" t="s">
        <v>134</v>
      </c>
      <c r="BP600" t="s">
        <v>134</v>
      </c>
      <c r="BQ600" t="s">
        <v>134</v>
      </c>
      <c r="BR600" t="s">
        <v>134</v>
      </c>
      <c r="BS600" t="s">
        <v>134</v>
      </c>
      <c r="BT600" t="s">
        <v>134</v>
      </c>
      <c r="BU600" t="s">
        <v>134</v>
      </c>
      <c r="BV600" t="s">
        <v>134</v>
      </c>
      <c r="BW600" t="s">
        <v>134</v>
      </c>
      <c r="BX600" t="s">
        <v>134</v>
      </c>
      <c r="BY600">
        <v>48712</v>
      </c>
      <c r="BZ600">
        <v>21567</v>
      </c>
      <c r="CA600">
        <v>27145</v>
      </c>
      <c r="CB600">
        <v>2.4323999999999999</v>
      </c>
      <c r="CC600">
        <v>1.8403</v>
      </c>
      <c r="CD600">
        <v>3.1419000000000001</v>
      </c>
      <c r="CE600">
        <v>2.3769999999999998</v>
      </c>
      <c r="CF600">
        <v>21.110800000000001</v>
      </c>
      <c r="CG600">
        <v>46.178100000000001</v>
      </c>
      <c r="CH600">
        <v>34.848599999999998</v>
      </c>
      <c r="CI600">
        <v>21.4405</v>
      </c>
      <c r="CJ600">
        <v>16.457100000000001</v>
      </c>
      <c r="CK600">
        <v>62.536299999999997</v>
      </c>
      <c r="CL600">
        <v>38.475299999999997</v>
      </c>
      <c r="CM600">
        <v>29.532399999999999</v>
      </c>
      <c r="CN600">
        <v>47.311700000000002</v>
      </c>
      <c r="CO600">
        <v>32.116700000000002</v>
      </c>
      <c r="CP600">
        <v>8571</v>
      </c>
      <c r="CQ600" t="s">
        <v>134</v>
      </c>
      <c r="CR600">
        <v>7304</v>
      </c>
      <c r="CS600">
        <v>0.21970000000000001</v>
      </c>
      <c r="CT600">
        <v>1.2425999999999999</v>
      </c>
      <c r="CU600">
        <v>0.72870000000000001</v>
      </c>
      <c r="CV600">
        <v>5.2953999999999999</v>
      </c>
      <c r="CW600">
        <v>4.0655000000000001</v>
      </c>
      <c r="CX600">
        <v>89.779499999999999</v>
      </c>
      <c r="CY600">
        <v>2.2343999999999999</v>
      </c>
      <c r="CZ600">
        <v>163.35640000000001</v>
      </c>
      <c r="DA600">
        <v>2.6013000000000002</v>
      </c>
      <c r="DB600">
        <v>140.3141</v>
      </c>
      <c r="DC600">
        <v>112.8218</v>
      </c>
      <c r="DD600">
        <v>253.13589999999999</v>
      </c>
      <c r="DE600">
        <v>20102</v>
      </c>
      <c r="DF600" t="s">
        <v>134</v>
      </c>
      <c r="DG600" t="s">
        <v>134</v>
      </c>
      <c r="DH600" t="s">
        <v>134</v>
      </c>
      <c r="DI600" t="s">
        <v>134</v>
      </c>
    </row>
    <row r="601" spans="1:113" x14ac:dyDescent="0.3">
      <c r="E601" t="s">
        <v>80</v>
      </c>
      <c r="F601" t="s">
        <v>134</v>
      </c>
      <c r="G601" t="s">
        <v>134</v>
      </c>
      <c r="H601" t="s">
        <v>134</v>
      </c>
      <c r="I601" t="s">
        <v>134</v>
      </c>
      <c r="J601">
        <v>26.355</v>
      </c>
      <c r="K601">
        <v>21.740099999999998</v>
      </c>
      <c r="L601">
        <v>40.267499999999998</v>
      </c>
      <c r="M601">
        <v>22.604800000000001</v>
      </c>
      <c r="N601">
        <v>17.338200000000001</v>
      </c>
      <c r="O601">
        <v>17.021699999999999</v>
      </c>
      <c r="P601">
        <v>17.021699999999999</v>
      </c>
      <c r="Q601">
        <v>24.754000000000001</v>
      </c>
      <c r="R601" t="s">
        <v>134</v>
      </c>
      <c r="S601" t="s">
        <v>134</v>
      </c>
      <c r="T601">
        <v>41.883000000000003</v>
      </c>
      <c r="U601">
        <v>108.0633</v>
      </c>
      <c r="V601">
        <v>120.63590000000001</v>
      </c>
      <c r="W601">
        <v>67.736999999999995</v>
      </c>
      <c r="X601">
        <v>68.037999999999997</v>
      </c>
      <c r="Y601" t="s">
        <v>134</v>
      </c>
      <c r="Z601" t="s">
        <v>134</v>
      </c>
      <c r="AA601" t="s">
        <v>134</v>
      </c>
      <c r="AB601" t="s">
        <v>134</v>
      </c>
      <c r="AC601" t="s">
        <v>134</v>
      </c>
      <c r="AD601" t="s">
        <v>134</v>
      </c>
      <c r="AE601" t="s">
        <v>134</v>
      </c>
      <c r="AF601" t="s">
        <v>134</v>
      </c>
      <c r="AG601" t="s">
        <v>134</v>
      </c>
      <c r="AH601" t="s">
        <v>134</v>
      </c>
      <c r="AI601" t="s">
        <v>134</v>
      </c>
      <c r="AJ601" t="s">
        <v>134</v>
      </c>
      <c r="AK601" t="s">
        <v>134</v>
      </c>
      <c r="AL601" t="s">
        <v>134</v>
      </c>
      <c r="AM601">
        <v>15.3786</v>
      </c>
      <c r="AN601">
        <v>26.961400000000001</v>
      </c>
      <c r="AO601">
        <v>27.5685</v>
      </c>
      <c r="AP601">
        <v>39.481400000000001</v>
      </c>
      <c r="AQ601">
        <v>39.475900000000003</v>
      </c>
      <c r="AR601" t="s">
        <v>134</v>
      </c>
      <c r="AS601" t="s">
        <v>134</v>
      </c>
      <c r="AT601" t="s">
        <v>134</v>
      </c>
      <c r="AU601" t="s">
        <v>134</v>
      </c>
      <c r="AV601" t="s">
        <v>134</v>
      </c>
      <c r="AW601" t="s">
        <v>134</v>
      </c>
      <c r="AX601" t="s">
        <v>134</v>
      </c>
      <c r="AY601" t="s">
        <v>134</v>
      </c>
      <c r="AZ601" t="s">
        <v>134</v>
      </c>
      <c r="BA601" t="s">
        <v>134</v>
      </c>
      <c r="BB601" t="s">
        <v>134</v>
      </c>
      <c r="BC601" t="s">
        <v>134</v>
      </c>
      <c r="BD601" t="s">
        <v>134</v>
      </c>
      <c r="BE601" t="s">
        <v>134</v>
      </c>
      <c r="BF601">
        <v>1.1696</v>
      </c>
      <c r="BG601">
        <v>-1.8551</v>
      </c>
      <c r="BH601">
        <v>-4.9973000000000001</v>
      </c>
      <c r="BI601">
        <v>7.9474999999999998</v>
      </c>
      <c r="BJ601">
        <v>7.9268000000000001</v>
      </c>
      <c r="BK601" t="s">
        <v>134</v>
      </c>
      <c r="BL601" t="s">
        <v>134</v>
      </c>
      <c r="BM601" t="s">
        <v>134</v>
      </c>
      <c r="BN601" t="s">
        <v>134</v>
      </c>
      <c r="BO601" t="s">
        <v>134</v>
      </c>
      <c r="BP601" t="s">
        <v>134</v>
      </c>
      <c r="BQ601" t="s">
        <v>134</v>
      </c>
      <c r="BR601" t="s">
        <v>134</v>
      </c>
      <c r="BS601" t="s">
        <v>134</v>
      </c>
      <c r="BT601" t="s">
        <v>134</v>
      </c>
      <c r="BU601" t="s">
        <v>134</v>
      </c>
      <c r="BV601" t="s">
        <v>134</v>
      </c>
      <c r="BW601" t="s">
        <v>134</v>
      </c>
      <c r="BX601" t="s">
        <v>134</v>
      </c>
      <c r="BY601" t="s">
        <v>134</v>
      </c>
      <c r="BZ601" t="s">
        <v>134</v>
      </c>
      <c r="CA601" t="s">
        <v>134</v>
      </c>
      <c r="CB601" t="s">
        <v>134</v>
      </c>
      <c r="CC601" t="s">
        <v>134</v>
      </c>
      <c r="CD601" t="s">
        <v>134</v>
      </c>
      <c r="CE601" t="s">
        <v>134</v>
      </c>
      <c r="CF601">
        <v>62.311100000000003</v>
      </c>
      <c r="CG601" t="s">
        <v>134</v>
      </c>
      <c r="CH601" t="s">
        <v>134</v>
      </c>
      <c r="CI601" t="s">
        <v>134</v>
      </c>
      <c r="CJ601" t="s">
        <v>134</v>
      </c>
      <c r="CK601" t="s">
        <v>134</v>
      </c>
      <c r="CL601" t="s">
        <v>134</v>
      </c>
      <c r="CM601" t="s">
        <v>134</v>
      </c>
      <c r="CN601" t="s">
        <v>134</v>
      </c>
      <c r="CO601" t="s">
        <v>134</v>
      </c>
      <c r="CP601">
        <v>8412</v>
      </c>
      <c r="CQ601" t="s">
        <v>134</v>
      </c>
      <c r="CR601">
        <v>6939</v>
      </c>
      <c r="CS601" t="s">
        <v>134</v>
      </c>
      <c r="CT601" t="s">
        <v>134</v>
      </c>
      <c r="CU601" t="s">
        <v>134</v>
      </c>
      <c r="CV601" t="s">
        <v>134</v>
      </c>
      <c r="CW601" t="s">
        <v>134</v>
      </c>
      <c r="CX601" t="s">
        <v>134</v>
      </c>
      <c r="CY601" t="s">
        <v>134</v>
      </c>
      <c r="CZ601" t="s">
        <v>134</v>
      </c>
      <c r="DA601" t="s">
        <v>134</v>
      </c>
      <c r="DB601" t="s">
        <v>134</v>
      </c>
      <c r="DC601" t="s">
        <v>134</v>
      </c>
      <c r="DD601" t="s">
        <v>134</v>
      </c>
      <c r="DE601" t="s">
        <v>134</v>
      </c>
      <c r="DF601" t="s">
        <v>134</v>
      </c>
      <c r="DG601" t="s">
        <v>134</v>
      </c>
      <c r="DH601" t="s">
        <v>134</v>
      </c>
      <c r="DI601" t="s">
        <v>134</v>
      </c>
    </row>
    <row r="602" spans="1:113" x14ac:dyDescent="0.3">
      <c r="E602" t="s">
        <v>81</v>
      </c>
      <c r="F602">
        <v>22.613900000000001</v>
      </c>
      <c r="G602">
        <v>10.6694</v>
      </c>
      <c r="H602">
        <v>14.396800000000001</v>
      </c>
      <c r="I602">
        <v>14.376200000000001</v>
      </c>
      <c r="J602">
        <v>27.6081</v>
      </c>
      <c r="K602">
        <v>23.040600000000001</v>
      </c>
      <c r="L602">
        <v>50.354900000000001</v>
      </c>
      <c r="M602">
        <v>23.462399999999999</v>
      </c>
      <c r="N602">
        <v>19.507100000000001</v>
      </c>
      <c r="O602">
        <v>18.7395</v>
      </c>
      <c r="P602">
        <v>18.7395</v>
      </c>
      <c r="Q602">
        <v>19.494399999999999</v>
      </c>
      <c r="R602">
        <v>59.058799999999998</v>
      </c>
      <c r="S602">
        <v>9.2584</v>
      </c>
      <c r="T602">
        <v>31.0349</v>
      </c>
      <c r="U602">
        <v>87.384299999999996</v>
      </c>
      <c r="V602">
        <v>107.30589999999999</v>
      </c>
      <c r="W602">
        <v>53.255499999999998</v>
      </c>
      <c r="X602">
        <v>53.050400000000003</v>
      </c>
      <c r="Y602" t="s">
        <v>134</v>
      </c>
      <c r="Z602">
        <v>40.781599999999997</v>
      </c>
      <c r="AA602">
        <v>32.244799999999998</v>
      </c>
      <c r="AB602">
        <v>10.5344</v>
      </c>
      <c r="AC602">
        <v>18.689</v>
      </c>
      <c r="AD602">
        <v>53.812899999999999</v>
      </c>
      <c r="AE602">
        <v>199.60919999999999</v>
      </c>
      <c r="AF602">
        <v>12.8346</v>
      </c>
      <c r="AG602">
        <v>3.2541000000000002</v>
      </c>
      <c r="AH602">
        <v>3.383</v>
      </c>
      <c r="AI602">
        <v>25.567399999999999</v>
      </c>
      <c r="AJ602">
        <v>16.471599999999999</v>
      </c>
      <c r="AK602">
        <v>25.639399999999998</v>
      </c>
      <c r="AL602" t="s">
        <v>134</v>
      </c>
      <c r="AM602">
        <v>15.0267</v>
      </c>
      <c r="AN602">
        <v>24.952100000000002</v>
      </c>
      <c r="AO602">
        <v>24.92</v>
      </c>
      <c r="AP602">
        <v>17.649899999999999</v>
      </c>
      <c r="AQ602">
        <v>17.648700000000002</v>
      </c>
      <c r="AR602" t="s">
        <v>134</v>
      </c>
      <c r="AS602">
        <v>27.406300000000002</v>
      </c>
      <c r="AT602">
        <v>14.470499999999999</v>
      </c>
      <c r="AU602">
        <v>14.1579</v>
      </c>
      <c r="AV602">
        <v>19.626100000000001</v>
      </c>
      <c r="AW602">
        <v>19.6219</v>
      </c>
      <c r="AX602">
        <v>32.720100000000002</v>
      </c>
      <c r="AY602">
        <v>23.5185</v>
      </c>
      <c r="AZ602">
        <v>11.2971</v>
      </c>
      <c r="BA602">
        <v>11.826499999999999</v>
      </c>
      <c r="BB602">
        <v>23.871600000000001</v>
      </c>
      <c r="BC602">
        <v>18.5976</v>
      </c>
      <c r="BD602">
        <v>24.321100000000001</v>
      </c>
      <c r="BE602" t="s">
        <v>134</v>
      </c>
      <c r="BF602">
        <v>-1.2250000000000001</v>
      </c>
      <c r="BG602">
        <v>3.4712000000000001</v>
      </c>
      <c r="BH602">
        <v>4.6837</v>
      </c>
      <c r="BI602">
        <v>8.7429000000000006</v>
      </c>
      <c r="BJ602">
        <v>8.6629000000000005</v>
      </c>
      <c r="BK602" t="s">
        <v>134</v>
      </c>
      <c r="BL602" t="s">
        <v>134</v>
      </c>
      <c r="BM602" t="s">
        <v>134</v>
      </c>
      <c r="BN602" t="s">
        <v>134</v>
      </c>
      <c r="BO602" t="s">
        <v>134</v>
      </c>
      <c r="BP602" t="s">
        <v>134</v>
      </c>
      <c r="BQ602" t="s">
        <v>134</v>
      </c>
      <c r="BR602" t="s">
        <v>134</v>
      </c>
      <c r="BS602" t="s">
        <v>134</v>
      </c>
      <c r="BT602" t="s">
        <v>134</v>
      </c>
      <c r="BU602" t="s">
        <v>134</v>
      </c>
      <c r="BV602" t="s">
        <v>134</v>
      </c>
      <c r="BW602" t="s">
        <v>134</v>
      </c>
      <c r="BX602" t="s">
        <v>134</v>
      </c>
      <c r="BY602">
        <v>51126</v>
      </c>
      <c r="BZ602">
        <v>25575</v>
      </c>
      <c r="CA602">
        <v>25551</v>
      </c>
      <c r="CB602">
        <v>1.7968</v>
      </c>
      <c r="CC602">
        <v>1.2381</v>
      </c>
      <c r="CD602">
        <v>2.2172999999999998</v>
      </c>
      <c r="CE602">
        <v>1.5278</v>
      </c>
      <c r="CF602">
        <v>56.519500000000001</v>
      </c>
      <c r="CG602">
        <v>48.405000000000001</v>
      </c>
      <c r="CH602">
        <v>28.594899999999999</v>
      </c>
      <c r="CI602">
        <v>18.188199999999998</v>
      </c>
      <c r="CJ602">
        <v>14.143700000000001</v>
      </c>
      <c r="CK602">
        <v>57.216700000000003</v>
      </c>
      <c r="CL602">
        <v>36.393500000000003</v>
      </c>
      <c r="CM602">
        <v>28.300699999999999</v>
      </c>
      <c r="CN602">
        <v>39.425899999999999</v>
      </c>
      <c r="CO602">
        <v>28.2773</v>
      </c>
      <c r="CP602">
        <v>8704</v>
      </c>
      <c r="CQ602" t="s">
        <v>134</v>
      </c>
      <c r="CR602">
        <v>7264</v>
      </c>
      <c r="CS602">
        <v>0.26129999999999998</v>
      </c>
      <c r="CT602">
        <v>1.3529</v>
      </c>
      <c r="CU602">
        <v>0.78839999999999999</v>
      </c>
      <c r="CV602">
        <v>4.5731000000000002</v>
      </c>
      <c r="CW602">
        <v>4.2325999999999997</v>
      </c>
      <c r="CX602">
        <v>86.235900000000001</v>
      </c>
      <c r="CY602">
        <v>2.1240000000000001</v>
      </c>
      <c r="CZ602">
        <v>171.84630000000001</v>
      </c>
      <c r="DA602">
        <v>2.8243999999999998</v>
      </c>
      <c r="DB602">
        <v>129.22989999999999</v>
      </c>
      <c r="DC602">
        <v>128.85230000000001</v>
      </c>
      <c r="DD602">
        <v>258.0822</v>
      </c>
      <c r="DE602">
        <v>23853</v>
      </c>
      <c r="DF602">
        <v>8728</v>
      </c>
      <c r="DG602">
        <v>2794</v>
      </c>
      <c r="DH602">
        <v>11084</v>
      </c>
      <c r="DI602">
        <v>1247</v>
      </c>
    </row>
    <row r="603" spans="1:113" x14ac:dyDescent="0.3">
      <c r="A603">
        <v>25</v>
      </c>
      <c r="B603" t="s">
        <v>132</v>
      </c>
      <c r="C603" t="s">
        <v>133</v>
      </c>
      <c r="D603" t="s">
        <v>76</v>
      </c>
      <c r="E603" t="s">
        <v>77</v>
      </c>
      <c r="F603">
        <v>14.5619</v>
      </c>
      <c r="G603">
        <v>11.079800000000001</v>
      </c>
      <c r="H603">
        <v>13.559100000000001</v>
      </c>
      <c r="I603">
        <v>11.9139</v>
      </c>
      <c r="J603">
        <v>21.871200000000002</v>
      </c>
      <c r="K603">
        <v>18.0503</v>
      </c>
      <c r="L603" t="s">
        <v>134</v>
      </c>
      <c r="M603">
        <v>19.276900000000001</v>
      </c>
      <c r="N603">
        <v>14.3994</v>
      </c>
      <c r="O603">
        <v>14.236000000000001</v>
      </c>
      <c r="P603">
        <v>14.236000000000001</v>
      </c>
      <c r="Q603">
        <v>24.647300000000001</v>
      </c>
      <c r="R603">
        <v>11.5661</v>
      </c>
      <c r="S603">
        <v>12.877700000000001</v>
      </c>
      <c r="T603">
        <v>20.601199999999999</v>
      </c>
      <c r="U603">
        <v>-2.9483000000000001</v>
      </c>
      <c r="V603">
        <v>-5.7278000000000002</v>
      </c>
      <c r="W603">
        <v>-10.1265</v>
      </c>
      <c r="X603">
        <v>-10.239100000000001</v>
      </c>
      <c r="Y603">
        <v>0</v>
      </c>
      <c r="Z603">
        <v>-1.7947</v>
      </c>
      <c r="AA603">
        <v>21.289300000000001</v>
      </c>
      <c r="AB603">
        <v>9.3570999999999991</v>
      </c>
      <c r="AC603">
        <v>14.962400000000001</v>
      </c>
      <c r="AD603">
        <v>10.133699999999999</v>
      </c>
      <c r="AE603">
        <v>-31.479099999999999</v>
      </c>
      <c r="AF603">
        <v>18.249300000000002</v>
      </c>
      <c r="AG603">
        <v>-3.7744</v>
      </c>
      <c r="AH603">
        <v>29.040299999999998</v>
      </c>
      <c r="AI603">
        <v>11.989000000000001</v>
      </c>
      <c r="AJ603">
        <v>13.6403</v>
      </c>
      <c r="AK603">
        <v>11.439299999999999</v>
      </c>
      <c r="AL603">
        <v>5.5494000000000003</v>
      </c>
      <c r="AM603">
        <v>14.4772</v>
      </c>
      <c r="AN603">
        <v>11.448</v>
      </c>
      <c r="AO603">
        <v>10.47</v>
      </c>
      <c r="AP603">
        <v>12.4839</v>
      </c>
      <c r="AQ603">
        <v>11.7265</v>
      </c>
      <c r="AR603">
        <v>0</v>
      </c>
      <c r="AS603">
        <v>-2.4243999999999999</v>
      </c>
      <c r="AT603">
        <v>15.668799999999999</v>
      </c>
      <c r="AU603">
        <v>13.018800000000001</v>
      </c>
      <c r="AV603">
        <v>15.0069</v>
      </c>
      <c r="AW603">
        <v>7.3464999999999998</v>
      </c>
      <c r="AX603">
        <v>7.4111000000000002</v>
      </c>
      <c r="AY603">
        <v>5.2774000000000001</v>
      </c>
      <c r="AZ603">
        <v>-5.5199999999999999E-2</v>
      </c>
      <c r="BA603">
        <v>5.8251999999999997</v>
      </c>
      <c r="BB603">
        <v>18.3613</v>
      </c>
      <c r="BC603">
        <v>16.499400000000001</v>
      </c>
      <c r="BD603">
        <v>17.4801</v>
      </c>
      <c r="BE603">
        <v>33.487900000000003</v>
      </c>
      <c r="BF603">
        <v>20.601199999999999</v>
      </c>
      <c r="BG603">
        <v>-2.9483000000000001</v>
      </c>
      <c r="BH603">
        <v>-5.7278000000000002</v>
      </c>
      <c r="BI603">
        <v>-10.1265</v>
      </c>
      <c r="BJ603">
        <v>-10.239100000000001</v>
      </c>
      <c r="BK603">
        <v>0</v>
      </c>
      <c r="BL603">
        <v>-1.7947</v>
      </c>
      <c r="BM603">
        <v>21.289300000000001</v>
      </c>
      <c r="BN603">
        <v>9.3570999999999991</v>
      </c>
      <c r="BO603">
        <v>14.962400000000001</v>
      </c>
      <c r="BP603">
        <v>10.133699999999999</v>
      </c>
      <c r="BQ603">
        <v>-31.479099999999999</v>
      </c>
      <c r="BR603">
        <v>18.249300000000002</v>
      </c>
      <c r="BS603">
        <v>-3.7744</v>
      </c>
      <c r="BT603">
        <v>29.040299999999998</v>
      </c>
      <c r="BU603">
        <v>11.989000000000001</v>
      </c>
      <c r="BV603">
        <v>13.6403</v>
      </c>
      <c r="BW603">
        <v>11.439299999999999</v>
      </c>
      <c r="BX603">
        <v>5.5494000000000003</v>
      </c>
      <c r="BY603">
        <v>12479.1</v>
      </c>
      <c r="BZ603">
        <v>9300.4</v>
      </c>
      <c r="CA603">
        <v>3178.7</v>
      </c>
      <c r="CB603">
        <v>0.58499999999999996</v>
      </c>
      <c r="CC603">
        <v>0.3644</v>
      </c>
      <c r="CD603">
        <v>0.70889999999999997</v>
      </c>
      <c r="CE603">
        <v>0.4415</v>
      </c>
      <c r="CF603">
        <v>38.288499999999999</v>
      </c>
      <c r="CG603">
        <v>74.984499999999997</v>
      </c>
      <c r="CH603">
        <v>3.1471999999999998</v>
      </c>
      <c r="CI603">
        <v>2.8010999999999999</v>
      </c>
      <c r="CJ603">
        <v>2.3715999999999999</v>
      </c>
      <c r="CK603">
        <v>12.355600000000001</v>
      </c>
      <c r="CL603">
        <v>10.9969</v>
      </c>
      <c r="CM603">
        <v>9.3104999999999993</v>
      </c>
      <c r="CN603">
        <v>7.6950000000000003</v>
      </c>
      <c r="CO603">
        <v>7.1452</v>
      </c>
      <c r="CP603">
        <v>21330.5</v>
      </c>
      <c r="CQ603">
        <v>15635</v>
      </c>
      <c r="CR603">
        <v>17604.099999999999</v>
      </c>
      <c r="CS603">
        <v>0.18360000000000001</v>
      </c>
      <c r="CT603">
        <v>2.2044999999999999</v>
      </c>
      <c r="CU603">
        <v>0.82289999999999996</v>
      </c>
      <c r="CV603">
        <v>8.0717999999999996</v>
      </c>
      <c r="CW603">
        <v>5.8970000000000002</v>
      </c>
      <c r="CX603">
        <v>61.896099999999997</v>
      </c>
      <c r="CY603">
        <v>1.4914000000000001</v>
      </c>
      <c r="CZ603">
        <v>244.7336</v>
      </c>
      <c r="DA603">
        <v>4.9198000000000004</v>
      </c>
      <c r="DB603">
        <v>74.189300000000003</v>
      </c>
      <c r="DC603">
        <v>232.44040000000001</v>
      </c>
      <c r="DD603">
        <v>306.62970000000001</v>
      </c>
      <c r="DE603">
        <v>28952.6</v>
      </c>
      <c r="DF603">
        <v>11389.2</v>
      </c>
      <c r="DG603">
        <v>6536.3</v>
      </c>
      <c r="DH603">
        <v>5791</v>
      </c>
      <c r="DI603">
        <v>5236.1000000000004</v>
      </c>
    </row>
    <row r="604" spans="1:113" x14ac:dyDescent="0.3">
      <c r="E604" t="s">
        <v>78</v>
      </c>
      <c r="F604" t="s">
        <v>134</v>
      </c>
      <c r="G604" t="s">
        <v>134</v>
      </c>
      <c r="H604" t="s">
        <v>134</v>
      </c>
      <c r="I604" t="s">
        <v>134</v>
      </c>
      <c r="J604">
        <v>30.001200000000001</v>
      </c>
      <c r="K604">
        <v>26.316600000000001</v>
      </c>
      <c r="L604" t="s">
        <v>134</v>
      </c>
      <c r="M604">
        <v>27.4619</v>
      </c>
      <c r="N604">
        <v>21.031700000000001</v>
      </c>
      <c r="O604">
        <v>21.031700000000001</v>
      </c>
      <c r="P604">
        <v>21.031700000000001</v>
      </c>
      <c r="Q604">
        <v>24.240200000000002</v>
      </c>
      <c r="R604" t="s">
        <v>134</v>
      </c>
      <c r="S604" t="s">
        <v>134</v>
      </c>
      <c r="T604" t="s">
        <v>134</v>
      </c>
      <c r="U604" t="s">
        <v>134</v>
      </c>
      <c r="V604" t="s">
        <v>134</v>
      </c>
      <c r="W604" t="s">
        <v>134</v>
      </c>
      <c r="X604" t="s">
        <v>134</v>
      </c>
      <c r="Y604" t="s">
        <v>134</v>
      </c>
      <c r="Z604" t="s">
        <v>134</v>
      </c>
      <c r="AA604" t="s">
        <v>134</v>
      </c>
      <c r="AB604" t="s">
        <v>134</v>
      </c>
      <c r="AC604" t="s">
        <v>134</v>
      </c>
      <c r="AD604" t="s">
        <v>134</v>
      </c>
      <c r="AE604" t="s">
        <v>134</v>
      </c>
      <c r="AF604" t="s">
        <v>134</v>
      </c>
      <c r="AG604" t="s">
        <v>134</v>
      </c>
      <c r="AH604" t="s">
        <v>134</v>
      </c>
      <c r="AI604" t="s">
        <v>134</v>
      </c>
      <c r="AJ604" t="s">
        <v>134</v>
      </c>
      <c r="AK604" t="s">
        <v>134</v>
      </c>
      <c r="AL604" t="s">
        <v>134</v>
      </c>
      <c r="AM604" t="s">
        <v>134</v>
      </c>
      <c r="AN604" t="s">
        <v>134</v>
      </c>
      <c r="AO604" t="s">
        <v>134</v>
      </c>
      <c r="AP604" t="s">
        <v>134</v>
      </c>
      <c r="AQ604" t="s">
        <v>134</v>
      </c>
      <c r="AR604" t="s">
        <v>134</v>
      </c>
      <c r="AS604" t="s">
        <v>134</v>
      </c>
      <c r="AT604" t="s">
        <v>134</v>
      </c>
      <c r="AU604" t="s">
        <v>134</v>
      </c>
      <c r="AV604" t="s">
        <v>134</v>
      </c>
      <c r="AW604" t="s">
        <v>134</v>
      </c>
      <c r="AX604" t="s">
        <v>134</v>
      </c>
      <c r="AY604" t="s">
        <v>134</v>
      </c>
      <c r="AZ604" t="s">
        <v>134</v>
      </c>
      <c r="BA604" t="s">
        <v>134</v>
      </c>
      <c r="BB604" t="s">
        <v>134</v>
      </c>
      <c r="BC604" t="s">
        <v>134</v>
      </c>
      <c r="BD604" t="s">
        <v>134</v>
      </c>
      <c r="BE604" t="s">
        <v>134</v>
      </c>
      <c r="BF604" t="s">
        <v>134</v>
      </c>
      <c r="BG604" t="s">
        <v>134</v>
      </c>
      <c r="BH604" t="s">
        <v>134</v>
      </c>
      <c r="BI604" t="s">
        <v>134</v>
      </c>
      <c r="BJ604" t="s">
        <v>134</v>
      </c>
      <c r="BK604" t="s">
        <v>134</v>
      </c>
      <c r="BL604" t="s">
        <v>134</v>
      </c>
      <c r="BM604" t="s">
        <v>134</v>
      </c>
      <c r="BN604" t="s">
        <v>134</v>
      </c>
      <c r="BO604" t="s">
        <v>134</v>
      </c>
      <c r="BP604" t="s">
        <v>134</v>
      </c>
      <c r="BQ604" t="s">
        <v>134</v>
      </c>
      <c r="BR604" t="s">
        <v>134</v>
      </c>
      <c r="BS604" t="s">
        <v>134</v>
      </c>
      <c r="BT604" t="s">
        <v>134</v>
      </c>
      <c r="BU604" t="s">
        <v>134</v>
      </c>
      <c r="BV604" t="s">
        <v>134</v>
      </c>
      <c r="BW604" t="s">
        <v>134</v>
      </c>
      <c r="BX604" t="s">
        <v>134</v>
      </c>
      <c r="BY604" t="s">
        <v>134</v>
      </c>
      <c r="BZ604" t="s">
        <v>134</v>
      </c>
      <c r="CA604" t="s">
        <v>134</v>
      </c>
      <c r="CB604" t="s">
        <v>134</v>
      </c>
      <c r="CC604" t="s">
        <v>134</v>
      </c>
      <c r="CD604" t="s">
        <v>134</v>
      </c>
      <c r="CE604" t="s">
        <v>134</v>
      </c>
      <c r="CF604">
        <v>17.015000000000001</v>
      </c>
      <c r="CG604" t="s">
        <v>134</v>
      </c>
      <c r="CH604" t="s">
        <v>134</v>
      </c>
      <c r="CI604" t="s">
        <v>134</v>
      </c>
      <c r="CJ604" t="s">
        <v>134</v>
      </c>
      <c r="CK604" t="s">
        <v>134</v>
      </c>
      <c r="CL604" t="s">
        <v>134</v>
      </c>
      <c r="CM604" t="s">
        <v>134</v>
      </c>
      <c r="CN604" t="s">
        <v>134</v>
      </c>
      <c r="CO604" t="s">
        <v>134</v>
      </c>
      <c r="CP604">
        <v>6923.4</v>
      </c>
      <c r="CQ604" t="s">
        <v>134</v>
      </c>
      <c r="CR604">
        <v>6073.1</v>
      </c>
      <c r="CS604" t="s">
        <v>134</v>
      </c>
      <c r="CT604" t="s">
        <v>134</v>
      </c>
      <c r="CU604" t="s">
        <v>134</v>
      </c>
      <c r="CV604" t="s">
        <v>134</v>
      </c>
      <c r="CW604" t="s">
        <v>134</v>
      </c>
      <c r="CX604" t="s">
        <v>134</v>
      </c>
      <c r="CY604" t="s">
        <v>134</v>
      </c>
      <c r="CZ604" t="s">
        <v>134</v>
      </c>
      <c r="DA604" t="s">
        <v>134</v>
      </c>
      <c r="DB604" t="s">
        <v>134</v>
      </c>
      <c r="DC604" t="s">
        <v>134</v>
      </c>
      <c r="DD604" t="s">
        <v>134</v>
      </c>
      <c r="DE604" t="s">
        <v>134</v>
      </c>
      <c r="DF604" t="s">
        <v>134</v>
      </c>
      <c r="DG604" t="s">
        <v>134</v>
      </c>
      <c r="DH604" t="s">
        <v>134</v>
      </c>
      <c r="DI604" t="s">
        <v>134</v>
      </c>
    </row>
    <row r="605" spans="1:113" x14ac:dyDescent="0.3">
      <c r="E605" t="s">
        <v>79</v>
      </c>
      <c r="F605" t="s">
        <v>134</v>
      </c>
      <c r="G605" t="s">
        <v>134</v>
      </c>
      <c r="H605" t="s">
        <v>134</v>
      </c>
      <c r="I605" t="s">
        <v>134</v>
      </c>
      <c r="J605">
        <v>22.903700000000001</v>
      </c>
      <c r="K605">
        <v>19.1919</v>
      </c>
      <c r="L605" t="s">
        <v>134</v>
      </c>
      <c r="M605">
        <v>20.436599999999999</v>
      </c>
      <c r="N605">
        <v>14.586399999999999</v>
      </c>
      <c r="O605">
        <v>14.5365</v>
      </c>
      <c r="P605">
        <v>14.5365</v>
      </c>
      <c r="Q605">
        <v>26.969100000000001</v>
      </c>
      <c r="R605" t="s">
        <v>134</v>
      </c>
      <c r="S605" t="s">
        <v>134</v>
      </c>
      <c r="T605" t="s">
        <v>134</v>
      </c>
      <c r="U605" t="s">
        <v>134</v>
      </c>
      <c r="V605" t="s">
        <v>134</v>
      </c>
      <c r="W605" t="s">
        <v>134</v>
      </c>
      <c r="X605" t="s">
        <v>134</v>
      </c>
      <c r="Y605" t="s">
        <v>134</v>
      </c>
      <c r="Z605" t="s">
        <v>134</v>
      </c>
      <c r="AA605" t="s">
        <v>134</v>
      </c>
      <c r="AB605" t="s">
        <v>134</v>
      </c>
      <c r="AC605" t="s">
        <v>134</v>
      </c>
      <c r="AD605" t="s">
        <v>134</v>
      </c>
      <c r="AE605" t="s">
        <v>134</v>
      </c>
      <c r="AF605" t="s">
        <v>134</v>
      </c>
      <c r="AG605" t="s">
        <v>134</v>
      </c>
      <c r="AH605" t="s">
        <v>134</v>
      </c>
      <c r="AI605" t="s">
        <v>134</v>
      </c>
      <c r="AJ605" t="s">
        <v>134</v>
      </c>
      <c r="AK605" t="s">
        <v>134</v>
      </c>
      <c r="AL605" t="s">
        <v>134</v>
      </c>
      <c r="AM605" t="s">
        <v>134</v>
      </c>
      <c r="AN605" t="s">
        <v>134</v>
      </c>
      <c r="AO605" t="s">
        <v>134</v>
      </c>
      <c r="AP605" t="s">
        <v>134</v>
      </c>
      <c r="AQ605" t="s">
        <v>134</v>
      </c>
      <c r="AR605" t="s">
        <v>134</v>
      </c>
      <c r="AS605" t="s">
        <v>134</v>
      </c>
      <c r="AT605" t="s">
        <v>134</v>
      </c>
      <c r="AU605" t="s">
        <v>134</v>
      </c>
      <c r="AV605" t="s">
        <v>134</v>
      </c>
      <c r="AW605" t="s">
        <v>134</v>
      </c>
      <c r="AX605" t="s">
        <v>134</v>
      </c>
      <c r="AY605" t="s">
        <v>134</v>
      </c>
      <c r="AZ605" t="s">
        <v>134</v>
      </c>
      <c r="BA605" t="s">
        <v>134</v>
      </c>
      <c r="BB605" t="s">
        <v>134</v>
      </c>
      <c r="BC605" t="s">
        <v>134</v>
      </c>
      <c r="BD605" t="s">
        <v>134</v>
      </c>
      <c r="BE605" t="s">
        <v>134</v>
      </c>
      <c r="BF605">
        <v>5.6605999999999996</v>
      </c>
      <c r="BG605">
        <v>-18.196200000000001</v>
      </c>
      <c r="BH605">
        <v>-21.813700000000001</v>
      </c>
      <c r="BI605">
        <v>-26.226400000000002</v>
      </c>
      <c r="BJ605">
        <v>-26.158899999999999</v>
      </c>
      <c r="BK605" t="s">
        <v>134</v>
      </c>
      <c r="BL605" t="s">
        <v>134</v>
      </c>
      <c r="BM605" t="s">
        <v>134</v>
      </c>
      <c r="BN605" t="s">
        <v>134</v>
      </c>
      <c r="BO605" t="s">
        <v>134</v>
      </c>
      <c r="BP605" t="s">
        <v>134</v>
      </c>
      <c r="BQ605" t="s">
        <v>134</v>
      </c>
      <c r="BR605" t="s">
        <v>134</v>
      </c>
      <c r="BS605" t="s">
        <v>134</v>
      </c>
      <c r="BT605" t="s">
        <v>134</v>
      </c>
      <c r="BU605" t="s">
        <v>134</v>
      </c>
      <c r="BV605" t="s">
        <v>134</v>
      </c>
      <c r="BW605" t="s">
        <v>134</v>
      </c>
      <c r="BX605" t="s">
        <v>134</v>
      </c>
      <c r="BY605">
        <v>12438.5</v>
      </c>
      <c r="BZ605">
        <v>10850</v>
      </c>
      <c r="CA605">
        <v>1588.5</v>
      </c>
      <c r="CB605" t="s">
        <v>134</v>
      </c>
      <c r="CC605" t="s">
        <v>134</v>
      </c>
      <c r="CD605" t="s">
        <v>134</v>
      </c>
      <c r="CE605" t="s">
        <v>134</v>
      </c>
      <c r="CF605">
        <v>12.545299999999999</v>
      </c>
      <c r="CG605">
        <v>75.454499999999996</v>
      </c>
      <c r="CH605">
        <v>1.5952999999999999</v>
      </c>
      <c r="CI605">
        <v>1.4182000000000001</v>
      </c>
      <c r="CJ605">
        <v>1.2053</v>
      </c>
      <c r="CK605">
        <v>12.491899999999999</v>
      </c>
      <c r="CL605">
        <v>11.104699999999999</v>
      </c>
      <c r="CM605">
        <v>9.4381000000000004</v>
      </c>
      <c r="CN605">
        <v>7.8014000000000001</v>
      </c>
      <c r="CO605">
        <v>7.2367999999999997</v>
      </c>
      <c r="CP605">
        <v>5641.6</v>
      </c>
      <c r="CQ605" t="s">
        <v>134</v>
      </c>
      <c r="CR605">
        <v>4727.3</v>
      </c>
      <c r="CS605">
        <v>0.1772</v>
      </c>
      <c r="CT605">
        <v>2.1107999999999998</v>
      </c>
      <c r="CU605">
        <v>0.84670000000000001</v>
      </c>
      <c r="CV605">
        <v>7.7912999999999997</v>
      </c>
      <c r="CW605" t="s">
        <v>134</v>
      </c>
      <c r="CX605" t="s">
        <v>134</v>
      </c>
      <c r="CY605" t="s">
        <v>134</v>
      </c>
      <c r="CZ605" t="s">
        <v>134</v>
      </c>
      <c r="DA605" t="s">
        <v>134</v>
      </c>
      <c r="DB605" t="s">
        <v>134</v>
      </c>
      <c r="DC605" t="s">
        <v>134</v>
      </c>
      <c r="DD605" t="s">
        <v>134</v>
      </c>
      <c r="DE605">
        <v>27164.3</v>
      </c>
      <c r="DF605" t="s">
        <v>134</v>
      </c>
      <c r="DG605" t="s">
        <v>134</v>
      </c>
      <c r="DH605" t="s">
        <v>134</v>
      </c>
      <c r="DI605" t="s">
        <v>134</v>
      </c>
    </row>
    <row r="606" spans="1:113" x14ac:dyDescent="0.3">
      <c r="E606" t="s">
        <v>80</v>
      </c>
      <c r="F606" t="s">
        <v>134</v>
      </c>
      <c r="G606" t="s">
        <v>134</v>
      </c>
      <c r="H606" t="s">
        <v>134</v>
      </c>
      <c r="I606" t="s">
        <v>134</v>
      </c>
      <c r="J606">
        <v>18.305399999999999</v>
      </c>
      <c r="K606">
        <v>14.7338</v>
      </c>
      <c r="L606" t="s">
        <v>134</v>
      </c>
      <c r="M606">
        <v>15.4832</v>
      </c>
      <c r="N606">
        <v>11.3773</v>
      </c>
      <c r="O606">
        <v>11.1379</v>
      </c>
      <c r="P606">
        <v>11.1379</v>
      </c>
      <c r="Q606">
        <v>24.972799999999999</v>
      </c>
      <c r="R606" t="s">
        <v>134</v>
      </c>
      <c r="S606" t="s">
        <v>134</v>
      </c>
      <c r="T606" t="s">
        <v>134</v>
      </c>
      <c r="U606" t="s">
        <v>134</v>
      </c>
      <c r="V606" t="s">
        <v>134</v>
      </c>
      <c r="W606" t="s">
        <v>134</v>
      </c>
      <c r="X606" t="s">
        <v>134</v>
      </c>
      <c r="Y606" t="s">
        <v>134</v>
      </c>
      <c r="Z606" t="s">
        <v>134</v>
      </c>
      <c r="AA606" t="s">
        <v>134</v>
      </c>
      <c r="AB606" t="s">
        <v>134</v>
      </c>
      <c r="AC606" t="s">
        <v>134</v>
      </c>
      <c r="AD606" t="s">
        <v>134</v>
      </c>
      <c r="AE606" t="s">
        <v>134</v>
      </c>
      <c r="AF606" t="s">
        <v>134</v>
      </c>
      <c r="AG606" t="s">
        <v>134</v>
      </c>
      <c r="AH606" t="s">
        <v>134</v>
      </c>
      <c r="AI606" t="s">
        <v>134</v>
      </c>
      <c r="AJ606" t="s">
        <v>134</v>
      </c>
      <c r="AK606" t="s">
        <v>134</v>
      </c>
      <c r="AL606" t="s">
        <v>134</v>
      </c>
      <c r="AM606" t="s">
        <v>134</v>
      </c>
      <c r="AN606" t="s">
        <v>134</v>
      </c>
      <c r="AO606" t="s">
        <v>134</v>
      </c>
      <c r="AP606" t="s">
        <v>134</v>
      </c>
      <c r="AQ606" t="s">
        <v>134</v>
      </c>
      <c r="AR606" t="s">
        <v>134</v>
      </c>
      <c r="AS606" t="s">
        <v>134</v>
      </c>
      <c r="AT606" t="s">
        <v>134</v>
      </c>
      <c r="AU606" t="s">
        <v>134</v>
      </c>
      <c r="AV606" t="s">
        <v>134</v>
      </c>
      <c r="AW606" t="s">
        <v>134</v>
      </c>
      <c r="AX606" t="s">
        <v>134</v>
      </c>
      <c r="AY606" t="s">
        <v>134</v>
      </c>
      <c r="AZ606" t="s">
        <v>134</v>
      </c>
      <c r="BA606" t="s">
        <v>134</v>
      </c>
      <c r="BB606" t="s">
        <v>134</v>
      </c>
      <c r="BC606" t="s">
        <v>134</v>
      </c>
      <c r="BD606" t="s">
        <v>134</v>
      </c>
      <c r="BE606" t="s">
        <v>134</v>
      </c>
      <c r="BF606">
        <v>2.7848000000000002</v>
      </c>
      <c r="BG606">
        <v>-17.567299999999999</v>
      </c>
      <c r="BH606">
        <v>-20.890999999999998</v>
      </c>
      <c r="BI606">
        <v>-20.597100000000001</v>
      </c>
      <c r="BJ606">
        <v>-20.627800000000001</v>
      </c>
      <c r="BK606" t="s">
        <v>134</v>
      </c>
      <c r="BL606" t="s">
        <v>134</v>
      </c>
      <c r="BM606" t="s">
        <v>134</v>
      </c>
      <c r="BN606" t="s">
        <v>134</v>
      </c>
      <c r="BO606" t="s">
        <v>134</v>
      </c>
      <c r="BP606" t="s">
        <v>134</v>
      </c>
      <c r="BQ606" t="s">
        <v>134</v>
      </c>
      <c r="BR606" t="s">
        <v>134</v>
      </c>
      <c r="BS606" t="s">
        <v>134</v>
      </c>
      <c r="BT606" t="s">
        <v>134</v>
      </c>
      <c r="BU606" t="s">
        <v>134</v>
      </c>
      <c r="BV606" t="s">
        <v>134</v>
      </c>
      <c r="BW606" t="s">
        <v>134</v>
      </c>
      <c r="BX606" t="s">
        <v>134</v>
      </c>
      <c r="BY606" t="s">
        <v>134</v>
      </c>
      <c r="BZ606" t="s">
        <v>134</v>
      </c>
      <c r="CA606" t="s">
        <v>134</v>
      </c>
      <c r="CB606" t="s">
        <v>134</v>
      </c>
      <c r="CC606" t="s">
        <v>134</v>
      </c>
      <c r="CD606" t="s">
        <v>134</v>
      </c>
      <c r="CE606" t="s">
        <v>134</v>
      </c>
      <c r="CF606">
        <v>14.048999999999999</v>
      </c>
      <c r="CG606" t="s">
        <v>134</v>
      </c>
      <c r="CH606" t="s">
        <v>134</v>
      </c>
      <c r="CI606" t="s">
        <v>134</v>
      </c>
      <c r="CJ606" t="s">
        <v>134</v>
      </c>
      <c r="CK606" t="s">
        <v>134</v>
      </c>
      <c r="CL606" t="s">
        <v>134</v>
      </c>
      <c r="CM606" t="s">
        <v>134</v>
      </c>
      <c r="CN606" t="s">
        <v>134</v>
      </c>
      <c r="CO606" t="s">
        <v>134</v>
      </c>
      <c r="CP606">
        <v>4672.7</v>
      </c>
      <c r="CQ606" t="s">
        <v>134</v>
      </c>
      <c r="CR606">
        <v>3761</v>
      </c>
      <c r="CS606" t="s">
        <v>134</v>
      </c>
      <c r="CT606" t="s">
        <v>134</v>
      </c>
      <c r="CU606" t="s">
        <v>134</v>
      </c>
      <c r="CV606" t="s">
        <v>134</v>
      </c>
      <c r="CW606" t="s">
        <v>134</v>
      </c>
      <c r="CX606" t="s">
        <v>134</v>
      </c>
      <c r="CY606" t="s">
        <v>134</v>
      </c>
      <c r="CZ606" t="s">
        <v>134</v>
      </c>
      <c r="DA606" t="s">
        <v>134</v>
      </c>
      <c r="DB606" t="s">
        <v>134</v>
      </c>
      <c r="DC606" t="s">
        <v>134</v>
      </c>
      <c r="DD606" t="s">
        <v>134</v>
      </c>
      <c r="DE606" t="s">
        <v>134</v>
      </c>
      <c r="DF606" t="s">
        <v>134</v>
      </c>
      <c r="DG606" t="s">
        <v>134</v>
      </c>
      <c r="DH606" t="s">
        <v>134</v>
      </c>
      <c r="DI606" t="s">
        <v>134</v>
      </c>
    </row>
    <row r="607" spans="1:113" x14ac:dyDescent="0.3">
      <c r="E607" t="s">
        <v>81</v>
      </c>
      <c r="F607" t="s">
        <v>134</v>
      </c>
      <c r="G607" t="s">
        <v>134</v>
      </c>
      <c r="H607" t="s">
        <v>134</v>
      </c>
      <c r="I607" t="s">
        <v>134</v>
      </c>
      <c r="J607">
        <v>16.847799999999999</v>
      </c>
      <c r="K607">
        <v>12.5251</v>
      </c>
      <c r="L607" t="s">
        <v>134</v>
      </c>
      <c r="M607">
        <v>14.312099999999999</v>
      </c>
      <c r="N607">
        <v>11.0848</v>
      </c>
      <c r="O607">
        <v>10.731199999999999</v>
      </c>
      <c r="P607">
        <v>10.731199999999999</v>
      </c>
      <c r="Q607">
        <v>21.657800000000002</v>
      </c>
      <c r="R607" t="s">
        <v>134</v>
      </c>
      <c r="S607" t="s">
        <v>134</v>
      </c>
      <c r="T607" t="s">
        <v>134</v>
      </c>
      <c r="U607" t="s">
        <v>134</v>
      </c>
      <c r="V607" t="s">
        <v>134</v>
      </c>
      <c r="W607" t="s">
        <v>134</v>
      </c>
      <c r="X607" t="s">
        <v>134</v>
      </c>
      <c r="Y607" t="s">
        <v>134</v>
      </c>
      <c r="Z607" t="s">
        <v>134</v>
      </c>
      <c r="AA607" t="s">
        <v>134</v>
      </c>
      <c r="AB607" t="s">
        <v>134</v>
      </c>
      <c r="AC607" t="s">
        <v>134</v>
      </c>
      <c r="AD607" t="s">
        <v>134</v>
      </c>
      <c r="AE607" t="s">
        <v>134</v>
      </c>
      <c r="AF607" t="s">
        <v>134</v>
      </c>
      <c r="AG607" t="s">
        <v>134</v>
      </c>
      <c r="AH607" t="s">
        <v>134</v>
      </c>
      <c r="AI607" t="s">
        <v>134</v>
      </c>
      <c r="AJ607" t="s">
        <v>134</v>
      </c>
      <c r="AK607" t="s">
        <v>134</v>
      </c>
      <c r="AL607" t="s">
        <v>134</v>
      </c>
      <c r="AM607" t="s">
        <v>134</v>
      </c>
      <c r="AN607" t="s">
        <v>134</v>
      </c>
      <c r="AO607" t="s">
        <v>134</v>
      </c>
      <c r="AP607" t="s">
        <v>134</v>
      </c>
      <c r="AQ607" t="s">
        <v>134</v>
      </c>
      <c r="AR607" t="s">
        <v>134</v>
      </c>
      <c r="AS607" t="s">
        <v>134</v>
      </c>
      <c r="AT607" t="s">
        <v>134</v>
      </c>
      <c r="AU607" t="s">
        <v>134</v>
      </c>
      <c r="AV607" t="s">
        <v>134</v>
      </c>
      <c r="AW607" t="s">
        <v>134</v>
      </c>
      <c r="AX607" t="s">
        <v>134</v>
      </c>
      <c r="AY607" t="s">
        <v>134</v>
      </c>
      <c r="AZ607" t="s">
        <v>134</v>
      </c>
      <c r="BA607" t="s">
        <v>134</v>
      </c>
      <c r="BB607" t="s">
        <v>134</v>
      </c>
      <c r="BC607" t="s">
        <v>134</v>
      </c>
      <c r="BD607" t="s">
        <v>134</v>
      </c>
      <c r="BE607" t="s">
        <v>134</v>
      </c>
      <c r="BF607">
        <v>-5.4008000000000003</v>
      </c>
      <c r="BG607">
        <v>-12.410399999999999</v>
      </c>
      <c r="BH607">
        <v>-19.098600000000001</v>
      </c>
      <c r="BI607">
        <v>-8.3078000000000003</v>
      </c>
      <c r="BJ607">
        <v>-8.4746000000000006</v>
      </c>
      <c r="BK607" t="s">
        <v>134</v>
      </c>
      <c r="BL607" t="s">
        <v>134</v>
      </c>
      <c r="BM607" t="s">
        <v>134</v>
      </c>
      <c r="BN607" t="s">
        <v>134</v>
      </c>
      <c r="BO607" t="s">
        <v>134</v>
      </c>
      <c r="BP607" t="s">
        <v>134</v>
      </c>
      <c r="BQ607" t="s">
        <v>134</v>
      </c>
      <c r="BR607" t="s">
        <v>134</v>
      </c>
      <c r="BS607" t="s">
        <v>134</v>
      </c>
      <c r="BT607" t="s">
        <v>134</v>
      </c>
      <c r="BU607" t="s">
        <v>134</v>
      </c>
      <c r="BV607" t="s">
        <v>134</v>
      </c>
      <c r="BW607" t="s">
        <v>134</v>
      </c>
      <c r="BX607" t="s">
        <v>134</v>
      </c>
      <c r="BY607">
        <v>12479.1</v>
      </c>
      <c r="BZ607">
        <v>9300.4</v>
      </c>
      <c r="CA607">
        <v>3178.7</v>
      </c>
      <c r="CB607">
        <v>0.58499999999999996</v>
      </c>
      <c r="CC607">
        <v>0.3644</v>
      </c>
      <c r="CD607">
        <v>0.70889999999999997</v>
      </c>
      <c r="CE607">
        <v>0.4415</v>
      </c>
      <c r="CF607">
        <v>11.998799999999999</v>
      </c>
      <c r="CG607">
        <v>74.984499999999997</v>
      </c>
      <c r="CH607">
        <v>3.1471999999999998</v>
      </c>
      <c r="CI607">
        <v>2.8010999999999999</v>
      </c>
      <c r="CJ607">
        <v>2.3715999999999999</v>
      </c>
      <c r="CK607">
        <v>12.355600000000001</v>
      </c>
      <c r="CL607">
        <v>10.9969</v>
      </c>
      <c r="CM607">
        <v>9.3104999999999993</v>
      </c>
      <c r="CN607">
        <v>7.6950000000000003</v>
      </c>
      <c r="CO607">
        <v>7.1452</v>
      </c>
      <c r="CP607">
        <v>4092.8</v>
      </c>
      <c r="CQ607" t="s">
        <v>134</v>
      </c>
      <c r="CR607">
        <v>3042.7</v>
      </c>
      <c r="CS607">
        <v>0.18360000000000001</v>
      </c>
      <c r="CT607">
        <v>2.2044999999999999</v>
      </c>
      <c r="CU607">
        <v>0.82289999999999996</v>
      </c>
      <c r="CV607">
        <v>8.0717999999999996</v>
      </c>
      <c r="CW607" t="s">
        <v>134</v>
      </c>
      <c r="CX607" t="s">
        <v>134</v>
      </c>
      <c r="CY607" t="s">
        <v>134</v>
      </c>
      <c r="CZ607" t="s">
        <v>134</v>
      </c>
      <c r="DA607" t="s">
        <v>134</v>
      </c>
      <c r="DB607" t="s">
        <v>134</v>
      </c>
      <c r="DC607" t="s">
        <v>134</v>
      </c>
      <c r="DD607" t="s">
        <v>134</v>
      </c>
      <c r="DE607">
        <v>28952.6</v>
      </c>
      <c r="DF607">
        <v>11389.2</v>
      </c>
      <c r="DG607">
        <v>6536.3</v>
      </c>
      <c r="DH607">
        <v>5791</v>
      </c>
      <c r="DI607">
        <v>5236.1000000000004</v>
      </c>
    </row>
    <row r="608" spans="1:113" x14ac:dyDescent="0.3">
      <c r="D608" t="s">
        <v>82</v>
      </c>
      <c r="E608" t="s">
        <v>77</v>
      </c>
      <c r="F608">
        <v>11.3253</v>
      </c>
      <c r="G608">
        <v>8.1095000000000006</v>
      </c>
      <c r="H608">
        <v>10.676600000000001</v>
      </c>
      <c r="I608">
        <v>9.9091000000000005</v>
      </c>
      <c r="J608">
        <v>19.8642</v>
      </c>
      <c r="K608">
        <v>15.2263</v>
      </c>
      <c r="L608" t="s">
        <v>134</v>
      </c>
      <c r="M608">
        <v>15.2011</v>
      </c>
      <c r="N608">
        <v>11.2927</v>
      </c>
      <c r="O608">
        <v>10.850300000000001</v>
      </c>
      <c r="P608">
        <v>10.850300000000001</v>
      </c>
      <c r="Q608">
        <v>24.181999999999999</v>
      </c>
      <c r="R608">
        <v>13.6004</v>
      </c>
      <c r="S608">
        <v>9.7850000000000001</v>
      </c>
      <c r="T608">
        <v>10.753399999999999</v>
      </c>
      <c r="U608">
        <v>1.3431</v>
      </c>
      <c r="V608">
        <v>-5.8748000000000005</v>
      </c>
      <c r="W608">
        <v>-14.9552</v>
      </c>
      <c r="X608">
        <v>-15.1129</v>
      </c>
      <c r="Y608">
        <v>0</v>
      </c>
      <c r="Z608">
        <v>22.293099999999999</v>
      </c>
      <c r="AA608">
        <v>30.579599999999999</v>
      </c>
      <c r="AB608">
        <v>7.4917999999999996</v>
      </c>
      <c r="AC608">
        <v>17.2666</v>
      </c>
      <c r="AD608">
        <v>18.370699999999999</v>
      </c>
      <c r="AE608">
        <v>19.7333</v>
      </c>
      <c r="AF608">
        <v>61.020099999999999</v>
      </c>
      <c r="AG608">
        <v>49.891399999999997</v>
      </c>
      <c r="AH608">
        <v>36.494599999999998</v>
      </c>
      <c r="AI608">
        <v>8.7331000000000003</v>
      </c>
      <c r="AJ608">
        <v>11.786</v>
      </c>
      <c r="AK608">
        <v>7.4684999999999997</v>
      </c>
      <c r="AL608">
        <v>-32.586500000000001</v>
      </c>
      <c r="AM608">
        <v>15.2179</v>
      </c>
      <c r="AN608">
        <v>8.8298000000000005</v>
      </c>
      <c r="AO608">
        <v>6.2046000000000001</v>
      </c>
      <c r="AP608">
        <v>1.7513999999999998</v>
      </c>
      <c r="AQ608">
        <v>1.3637999999999999</v>
      </c>
      <c r="AR608">
        <v>0</v>
      </c>
      <c r="AS608">
        <v>5.0503</v>
      </c>
      <c r="AT608">
        <v>20.107199999999999</v>
      </c>
      <c r="AU608">
        <v>11.645099999999999</v>
      </c>
      <c r="AV608">
        <v>16.547699999999999</v>
      </c>
      <c r="AW608">
        <v>13.1006</v>
      </c>
      <c r="AX608">
        <v>1.7082999999999999</v>
      </c>
      <c r="AY608">
        <v>14.3809</v>
      </c>
      <c r="AZ608">
        <v>341.6112</v>
      </c>
      <c r="BA608">
        <v>220.0797</v>
      </c>
      <c r="BB608">
        <v>13.1906</v>
      </c>
      <c r="BC608">
        <v>16.482299999999999</v>
      </c>
      <c r="BD608">
        <v>12.8149</v>
      </c>
      <c r="BE608">
        <v>-0.18809999999999999</v>
      </c>
      <c r="BF608">
        <v>10.753399999999999</v>
      </c>
      <c r="BG608">
        <v>1.3431</v>
      </c>
      <c r="BH608">
        <v>-5.8748000000000005</v>
      </c>
      <c r="BI608">
        <v>-14.9552</v>
      </c>
      <c r="BJ608">
        <v>-15.1129</v>
      </c>
      <c r="BK608">
        <v>0</v>
      </c>
      <c r="BL608">
        <v>22.293099999999999</v>
      </c>
      <c r="BM608">
        <v>30.579599999999999</v>
      </c>
      <c r="BN608">
        <v>7.4917999999999996</v>
      </c>
      <c r="BO608">
        <v>17.2666</v>
      </c>
      <c r="BP608">
        <v>18.370699999999999</v>
      </c>
      <c r="BQ608">
        <v>19.7333</v>
      </c>
      <c r="BR608">
        <v>61.020099999999999</v>
      </c>
      <c r="BS608">
        <v>49.891399999999997</v>
      </c>
      <c r="BT608">
        <v>36.494599999999998</v>
      </c>
      <c r="BU608">
        <v>8.7331000000000003</v>
      </c>
      <c r="BV608">
        <v>11.786</v>
      </c>
      <c r="BW608">
        <v>7.4684999999999997</v>
      </c>
      <c r="BX608">
        <v>-32.586500000000001</v>
      </c>
      <c r="BY608">
        <v>17033.3</v>
      </c>
      <c r="BZ608">
        <v>13940.5</v>
      </c>
      <c r="CA608">
        <v>3092.8</v>
      </c>
      <c r="CB608">
        <v>0.78800000000000003</v>
      </c>
      <c r="CC608">
        <v>0.35270000000000001</v>
      </c>
      <c r="CD608">
        <v>1.028</v>
      </c>
      <c r="CE608">
        <v>0.46010000000000001</v>
      </c>
      <c r="CF608">
        <v>30.331099999999999</v>
      </c>
      <c r="CG608">
        <v>68.7226</v>
      </c>
      <c r="CH608">
        <v>2.8163</v>
      </c>
      <c r="CI608">
        <v>2.4380999999999999</v>
      </c>
      <c r="CJ608">
        <v>1.9677</v>
      </c>
      <c r="CK608">
        <v>15.510199999999999</v>
      </c>
      <c r="CL608">
        <v>13.4276</v>
      </c>
      <c r="CM608">
        <v>10.8371</v>
      </c>
      <c r="CN608">
        <v>6.9417</v>
      </c>
      <c r="CO608">
        <v>6.4911000000000003</v>
      </c>
      <c r="CP608">
        <v>21617</v>
      </c>
      <c r="CQ608">
        <v>15154.9</v>
      </c>
      <c r="CR608">
        <v>16569.900000000001</v>
      </c>
      <c r="CS608">
        <v>0.2417</v>
      </c>
      <c r="CT608">
        <v>1.9497</v>
      </c>
      <c r="CU608">
        <v>0.75639999999999996</v>
      </c>
      <c r="CV608">
        <v>9.5360999999999994</v>
      </c>
      <c r="CW608">
        <v>5.9741999999999997</v>
      </c>
      <c r="CX608">
        <v>61.0961</v>
      </c>
      <c r="CY608">
        <v>1.3583000000000001</v>
      </c>
      <c r="CZ608">
        <v>268.71850000000001</v>
      </c>
      <c r="DA608">
        <v>4.2392000000000003</v>
      </c>
      <c r="DB608">
        <v>86.101900000000001</v>
      </c>
      <c r="DC608">
        <v>243.71270000000001</v>
      </c>
      <c r="DD608">
        <v>329.81459999999998</v>
      </c>
      <c r="DE608">
        <v>37806.199999999997</v>
      </c>
      <c r="DF608">
        <v>15887.7</v>
      </c>
      <c r="DG608">
        <v>8993.6</v>
      </c>
      <c r="DH608">
        <v>6558.4</v>
      </c>
      <c r="DI608">
        <v>6366.5</v>
      </c>
    </row>
    <row r="609" spans="4:113" x14ac:dyDescent="0.3">
      <c r="E609" t="s">
        <v>78</v>
      </c>
      <c r="F609" t="s">
        <v>134</v>
      </c>
      <c r="G609" t="s">
        <v>134</v>
      </c>
      <c r="H609" t="s">
        <v>134</v>
      </c>
      <c r="I609" t="s">
        <v>134</v>
      </c>
      <c r="J609">
        <v>20.466200000000001</v>
      </c>
      <c r="K609">
        <v>15.729100000000001</v>
      </c>
      <c r="L609" t="s">
        <v>134</v>
      </c>
      <c r="M609">
        <v>15.9961</v>
      </c>
      <c r="N609">
        <v>11.4634</v>
      </c>
      <c r="O609">
        <v>11.128</v>
      </c>
      <c r="P609">
        <v>11.128</v>
      </c>
      <c r="Q609">
        <v>24.0595</v>
      </c>
      <c r="R609" t="s">
        <v>134</v>
      </c>
      <c r="S609" t="s">
        <v>134</v>
      </c>
      <c r="T609">
        <v>13.5543</v>
      </c>
      <c r="U609">
        <v>-21.441299999999998</v>
      </c>
      <c r="V609">
        <v>-31.133600000000001</v>
      </c>
      <c r="W609">
        <v>-39.305700000000002</v>
      </c>
      <c r="X609">
        <v>-39.404000000000003</v>
      </c>
      <c r="Y609" t="s">
        <v>134</v>
      </c>
      <c r="Z609" t="s">
        <v>134</v>
      </c>
      <c r="AA609" t="s">
        <v>134</v>
      </c>
      <c r="AB609" t="s">
        <v>134</v>
      </c>
      <c r="AC609" t="s">
        <v>134</v>
      </c>
      <c r="AD609" t="s">
        <v>134</v>
      </c>
      <c r="AE609" t="s">
        <v>134</v>
      </c>
      <c r="AF609" t="s">
        <v>134</v>
      </c>
      <c r="AG609" t="s">
        <v>134</v>
      </c>
      <c r="AH609" t="s">
        <v>134</v>
      </c>
      <c r="AI609" t="s">
        <v>134</v>
      </c>
      <c r="AJ609" t="s">
        <v>134</v>
      </c>
      <c r="AK609" t="s">
        <v>134</v>
      </c>
      <c r="AL609" t="s">
        <v>134</v>
      </c>
      <c r="AM609" t="s">
        <v>134</v>
      </c>
      <c r="AN609" t="s">
        <v>134</v>
      </c>
      <c r="AO609" t="s">
        <v>134</v>
      </c>
      <c r="AP609" t="s">
        <v>134</v>
      </c>
      <c r="AQ609" t="s">
        <v>134</v>
      </c>
      <c r="AR609" t="s">
        <v>134</v>
      </c>
      <c r="AS609" t="s">
        <v>134</v>
      </c>
      <c r="AT609" t="s">
        <v>134</v>
      </c>
      <c r="AU609" t="s">
        <v>134</v>
      </c>
      <c r="AV609" t="s">
        <v>134</v>
      </c>
      <c r="AW609" t="s">
        <v>134</v>
      </c>
      <c r="AX609" t="s">
        <v>134</v>
      </c>
      <c r="AY609" t="s">
        <v>134</v>
      </c>
      <c r="AZ609" t="s">
        <v>134</v>
      </c>
      <c r="BA609" t="s">
        <v>134</v>
      </c>
      <c r="BB609" t="s">
        <v>134</v>
      </c>
      <c r="BC609" t="s">
        <v>134</v>
      </c>
      <c r="BD609" t="s">
        <v>134</v>
      </c>
      <c r="BE609" t="s">
        <v>134</v>
      </c>
      <c r="BF609">
        <v>8.3523999999999994</v>
      </c>
      <c r="BG609">
        <v>32.373899999999999</v>
      </c>
      <c r="BH609">
        <v>36.845599999999997</v>
      </c>
      <c r="BI609">
        <v>13.0001</v>
      </c>
      <c r="BJ609">
        <v>12.962999999999999</v>
      </c>
      <c r="BK609" t="s">
        <v>134</v>
      </c>
      <c r="BL609" t="s">
        <v>134</v>
      </c>
      <c r="BM609" t="s">
        <v>134</v>
      </c>
      <c r="BN609" t="s">
        <v>134</v>
      </c>
      <c r="BO609" t="s">
        <v>134</v>
      </c>
      <c r="BP609" t="s">
        <v>134</v>
      </c>
      <c r="BQ609" t="s">
        <v>134</v>
      </c>
      <c r="BR609" t="s">
        <v>134</v>
      </c>
      <c r="BS609" t="s">
        <v>134</v>
      </c>
      <c r="BT609" t="s">
        <v>134</v>
      </c>
      <c r="BU609" t="s">
        <v>134</v>
      </c>
      <c r="BV609" t="s">
        <v>134</v>
      </c>
      <c r="BW609" t="s">
        <v>134</v>
      </c>
      <c r="BX609" t="s">
        <v>134</v>
      </c>
      <c r="BY609" t="s">
        <v>134</v>
      </c>
      <c r="BZ609" t="s">
        <v>134</v>
      </c>
      <c r="CA609" t="s">
        <v>134</v>
      </c>
      <c r="CB609" t="s">
        <v>134</v>
      </c>
      <c r="CC609" t="s">
        <v>134</v>
      </c>
      <c r="CD609" t="s">
        <v>134</v>
      </c>
      <c r="CE609" t="s">
        <v>134</v>
      </c>
      <c r="CF609">
        <v>16.259900000000002</v>
      </c>
      <c r="CG609" t="s">
        <v>134</v>
      </c>
      <c r="CH609" t="s">
        <v>134</v>
      </c>
      <c r="CI609" t="s">
        <v>134</v>
      </c>
      <c r="CJ609" t="s">
        <v>134</v>
      </c>
      <c r="CK609" t="s">
        <v>134</v>
      </c>
      <c r="CL609" t="s">
        <v>134</v>
      </c>
      <c r="CM609" t="s">
        <v>134</v>
      </c>
      <c r="CN609" t="s">
        <v>134</v>
      </c>
      <c r="CO609" t="s">
        <v>134</v>
      </c>
      <c r="CP609">
        <v>5417.8</v>
      </c>
      <c r="CQ609" t="s">
        <v>134</v>
      </c>
      <c r="CR609">
        <v>4163.8</v>
      </c>
      <c r="CS609" t="s">
        <v>134</v>
      </c>
      <c r="CT609" t="s">
        <v>134</v>
      </c>
      <c r="CU609" t="s">
        <v>134</v>
      </c>
      <c r="CV609" t="s">
        <v>134</v>
      </c>
      <c r="CW609" t="s">
        <v>134</v>
      </c>
      <c r="CX609" t="s">
        <v>134</v>
      </c>
      <c r="CY609" t="s">
        <v>134</v>
      </c>
      <c r="CZ609" t="s">
        <v>134</v>
      </c>
      <c r="DA609" t="s">
        <v>134</v>
      </c>
      <c r="DB609" t="s">
        <v>134</v>
      </c>
      <c r="DC609" t="s">
        <v>134</v>
      </c>
      <c r="DD609" t="s">
        <v>134</v>
      </c>
      <c r="DE609" t="s">
        <v>134</v>
      </c>
      <c r="DF609" t="s">
        <v>134</v>
      </c>
      <c r="DG609" t="s">
        <v>134</v>
      </c>
      <c r="DH609" t="s">
        <v>134</v>
      </c>
      <c r="DI609" t="s">
        <v>134</v>
      </c>
    </row>
    <row r="610" spans="4:113" x14ac:dyDescent="0.3">
      <c r="E610" t="s">
        <v>79</v>
      </c>
      <c r="F610">
        <v>11.1006</v>
      </c>
      <c r="G610">
        <v>8.1557999999999993</v>
      </c>
      <c r="H610">
        <v>10.752700000000001</v>
      </c>
      <c r="I610">
        <v>9.3148999999999997</v>
      </c>
      <c r="J610">
        <v>21.234999999999999</v>
      </c>
      <c r="K610">
        <v>16.5944</v>
      </c>
      <c r="L610" t="s">
        <v>134</v>
      </c>
      <c r="M610">
        <v>15.697699999999999</v>
      </c>
      <c r="N610">
        <v>11.6776</v>
      </c>
      <c r="O610">
        <v>11.3575</v>
      </c>
      <c r="P610">
        <v>11.3575</v>
      </c>
      <c r="Q610">
        <v>24.3932</v>
      </c>
      <c r="R610" t="s">
        <v>134</v>
      </c>
      <c r="S610" t="s">
        <v>134</v>
      </c>
      <c r="T610">
        <v>5.8925999999999998</v>
      </c>
      <c r="U610">
        <v>-1.4836</v>
      </c>
      <c r="V610">
        <v>-8.2074999999999996</v>
      </c>
      <c r="W610">
        <v>-16.5838</v>
      </c>
      <c r="X610">
        <v>-16.816099999999999</v>
      </c>
      <c r="Y610" t="s">
        <v>134</v>
      </c>
      <c r="Z610">
        <v>-4.6315</v>
      </c>
      <c r="AA610">
        <v>9.2865000000000002</v>
      </c>
      <c r="AB610" t="s">
        <v>134</v>
      </c>
      <c r="AC610">
        <v>11.797700000000001</v>
      </c>
      <c r="AD610">
        <v>-2.0348000000000002</v>
      </c>
      <c r="AE610">
        <v>25.692799999999998</v>
      </c>
      <c r="AF610">
        <v>25.092300000000002</v>
      </c>
      <c r="AG610">
        <v>48.807400000000001</v>
      </c>
      <c r="AH610">
        <v>54.529899999999998</v>
      </c>
      <c r="AI610">
        <v>6.7633999999999999</v>
      </c>
      <c r="AJ610">
        <v>12.0678</v>
      </c>
      <c r="AK610">
        <v>6.2328000000000001</v>
      </c>
      <c r="AL610" t="s">
        <v>134</v>
      </c>
      <c r="AM610" t="s">
        <v>134</v>
      </c>
      <c r="AN610" t="s">
        <v>134</v>
      </c>
      <c r="AO610" t="s">
        <v>134</v>
      </c>
      <c r="AP610" t="s">
        <v>134</v>
      </c>
      <c r="AQ610" t="s">
        <v>134</v>
      </c>
      <c r="AR610" t="s">
        <v>134</v>
      </c>
      <c r="AS610" t="s">
        <v>134</v>
      </c>
      <c r="AT610" t="s">
        <v>134</v>
      </c>
      <c r="AU610" t="s">
        <v>134</v>
      </c>
      <c r="AV610" t="s">
        <v>134</v>
      </c>
      <c r="AW610" t="s">
        <v>134</v>
      </c>
      <c r="AX610" t="s">
        <v>134</v>
      </c>
      <c r="AY610" t="s">
        <v>134</v>
      </c>
      <c r="AZ610" t="s">
        <v>134</v>
      </c>
      <c r="BA610" t="s">
        <v>134</v>
      </c>
      <c r="BB610" t="s">
        <v>134</v>
      </c>
      <c r="BC610" t="s">
        <v>134</v>
      </c>
      <c r="BD610" t="s">
        <v>134</v>
      </c>
      <c r="BE610" t="s">
        <v>134</v>
      </c>
      <c r="BF610">
        <v>-0.65690000000000004</v>
      </c>
      <c r="BG610">
        <v>3.0750000000000002</v>
      </c>
      <c r="BH610">
        <v>4.8080999999999996</v>
      </c>
      <c r="BI610">
        <v>1.3917999999999999</v>
      </c>
      <c r="BJ610">
        <v>1.3660999999999999</v>
      </c>
      <c r="BK610" t="s">
        <v>134</v>
      </c>
      <c r="BL610" t="s">
        <v>134</v>
      </c>
      <c r="BM610" t="s">
        <v>134</v>
      </c>
      <c r="BN610" t="s">
        <v>134</v>
      </c>
      <c r="BO610" t="s">
        <v>134</v>
      </c>
      <c r="BP610" t="s">
        <v>134</v>
      </c>
      <c r="BQ610" t="s">
        <v>134</v>
      </c>
      <c r="BR610" t="s">
        <v>134</v>
      </c>
      <c r="BS610" t="s">
        <v>134</v>
      </c>
      <c r="BT610" t="s">
        <v>134</v>
      </c>
      <c r="BU610" t="s">
        <v>134</v>
      </c>
      <c r="BV610" t="s">
        <v>134</v>
      </c>
      <c r="BW610" t="s">
        <v>134</v>
      </c>
      <c r="BX610" t="s">
        <v>134</v>
      </c>
      <c r="BY610">
        <v>19221.2</v>
      </c>
      <c r="BZ610">
        <v>16145.6</v>
      </c>
      <c r="CA610">
        <v>3075.6</v>
      </c>
      <c r="CB610">
        <v>0.97240000000000004</v>
      </c>
      <c r="CC610">
        <v>0.13370000000000001</v>
      </c>
      <c r="CD610">
        <v>1.2537</v>
      </c>
      <c r="CE610">
        <v>0.1724</v>
      </c>
      <c r="CF610">
        <v>11.912100000000001</v>
      </c>
      <c r="CG610">
        <v>71.698599999999999</v>
      </c>
      <c r="CH610">
        <v>2.8931</v>
      </c>
      <c r="CI610">
        <v>2.4500999999999999</v>
      </c>
      <c r="CJ610">
        <v>2.0874000000000001</v>
      </c>
      <c r="CK610">
        <v>18.0809</v>
      </c>
      <c r="CL610">
        <v>15.3123</v>
      </c>
      <c r="CM610">
        <v>13.0457</v>
      </c>
      <c r="CN610">
        <v>2.4861</v>
      </c>
      <c r="CO610">
        <v>2.4258000000000002</v>
      </c>
      <c r="CP610">
        <v>5584.4</v>
      </c>
      <c r="CQ610" t="s">
        <v>134</v>
      </c>
      <c r="CR610">
        <v>4364</v>
      </c>
      <c r="CS610">
        <v>0.49280000000000002</v>
      </c>
      <c r="CT610">
        <v>2.0937999999999999</v>
      </c>
      <c r="CU610">
        <v>0.99299999999999999</v>
      </c>
      <c r="CV610">
        <v>10.183999999999999</v>
      </c>
      <c r="CW610">
        <v>5.9683000000000002</v>
      </c>
      <c r="CX610">
        <v>61.156500000000001</v>
      </c>
      <c r="CY610">
        <v>1.4713000000000001</v>
      </c>
      <c r="CZ610">
        <v>248.08099999999999</v>
      </c>
      <c r="DA610">
        <v>4.0841000000000003</v>
      </c>
      <c r="DB610">
        <v>89.371300000000005</v>
      </c>
      <c r="DC610">
        <v>219.86619999999999</v>
      </c>
      <c r="DD610">
        <v>309.23750000000001</v>
      </c>
      <c r="DE610">
        <v>29686.9</v>
      </c>
      <c r="DF610" t="s">
        <v>134</v>
      </c>
      <c r="DG610" t="s">
        <v>134</v>
      </c>
      <c r="DH610" t="s">
        <v>134</v>
      </c>
      <c r="DI610" t="s">
        <v>134</v>
      </c>
    </row>
    <row r="611" spans="4:113" x14ac:dyDescent="0.3">
      <c r="E611" t="s">
        <v>80</v>
      </c>
      <c r="F611" t="s">
        <v>134</v>
      </c>
      <c r="G611" t="s">
        <v>134</v>
      </c>
      <c r="H611" t="s">
        <v>134</v>
      </c>
      <c r="I611" t="s">
        <v>134</v>
      </c>
      <c r="J611">
        <v>21.1006</v>
      </c>
      <c r="K611">
        <v>16.4681</v>
      </c>
      <c r="L611">
        <v>98.942499999999995</v>
      </c>
      <c r="M611">
        <v>16.312999999999999</v>
      </c>
      <c r="N611">
        <v>12.7393</v>
      </c>
      <c r="O611">
        <v>12.4909</v>
      </c>
      <c r="P611">
        <v>12.4909</v>
      </c>
      <c r="Q611">
        <v>22.054300000000001</v>
      </c>
      <c r="R611" t="s">
        <v>134</v>
      </c>
      <c r="S611" t="s">
        <v>134</v>
      </c>
      <c r="T611">
        <v>2.2094999999999998</v>
      </c>
      <c r="U611">
        <v>18.5246</v>
      </c>
      <c r="V611">
        <v>14.9269</v>
      </c>
      <c r="W611">
        <v>15.314299999999999</v>
      </c>
      <c r="X611">
        <v>14.9718</v>
      </c>
      <c r="Y611" t="s">
        <v>134</v>
      </c>
      <c r="Z611" t="s">
        <v>134</v>
      </c>
      <c r="AA611" t="s">
        <v>134</v>
      </c>
      <c r="AB611" t="s">
        <v>134</v>
      </c>
      <c r="AC611" t="s">
        <v>134</v>
      </c>
      <c r="AD611" t="s">
        <v>134</v>
      </c>
      <c r="AE611" t="s">
        <v>134</v>
      </c>
      <c r="AF611" t="s">
        <v>134</v>
      </c>
      <c r="AG611" t="s">
        <v>134</v>
      </c>
      <c r="AH611" t="s">
        <v>134</v>
      </c>
      <c r="AI611" t="s">
        <v>134</v>
      </c>
      <c r="AJ611" t="s">
        <v>134</v>
      </c>
      <c r="AK611" t="s">
        <v>134</v>
      </c>
      <c r="AL611" t="s">
        <v>134</v>
      </c>
      <c r="AM611" t="s">
        <v>134</v>
      </c>
      <c r="AN611" t="s">
        <v>134</v>
      </c>
      <c r="AO611" t="s">
        <v>134</v>
      </c>
      <c r="AP611" t="s">
        <v>134</v>
      </c>
      <c r="AQ611" t="s">
        <v>134</v>
      </c>
      <c r="AR611" t="s">
        <v>134</v>
      </c>
      <c r="AS611" t="s">
        <v>134</v>
      </c>
      <c r="AT611" t="s">
        <v>134</v>
      </c>
      <c r="AU611" t="s">
        <v>134</v>
      </c>
      <c r="AV611" t="s">
        <v>134</v>
      </c>
      <c r="AW611" t="s">
        <v>134</v>
      </c>
      <c r="AX611" t="s">
        <v>134</v>
      </c>
      <c r="AY611" t="s">
        <v>134</v>
      </c>
      <c r="AZ611" t="s">
        <v>134</v>
      </c>
      <c r="BA611" t="s">
        <v>134</v>
      </c>
      <c r="BB611" t="s">
        <v>134</v>
      </c>
      <c r="BC611" t="s">
        <v>134</v>
      </c>
      <c r="BD611" t="s">
        <v>134</v>
      </c>
      <c r="BE611" t="s">
        <v>134</v>
      </c>
      <c r="BF611">
        <v>-0.19389999999999999</v>
      </c>
      <c r="BG611">
        <v>-0.82550000000000001</v>
      </c>
      <c r="BH611">
        <v>-0.95330000000000004</v>
      </c>
      <c r="BI611">
        <v>9.7662999999999993</v>
      </c>
      <c r="BJ611">
        <v>9.7035</v>
      </c>
      <c r="BK611" t="s">
        <v>134</v>
      </c>
      <c r="BL611" t="s">
        <v>134</v>
      </c>
      <c r="BM611" t="s">
        <v>134</v>
      </c>
      <c r="BN611" t="s">
        <v>134</v>
      </c>
      <c r="BO611" t="s">
        <v>134</v>
      </c>
      <c r="BP611" t="s">
        <v>134</v>
      </c>
      <c r="BQ611" t="s">
        <v>134</v>
      </c>
      <c r="BR611" t="s">
        <v>134</v>
      </c>
      <c r="BS611" t="s">
        <v>134</v>
      </c>
      <c r="BT611" t="s">
        <v>134</v>
      </c>
      <c r="BU611" t="s">
        <v>134</v>
      </c>
      <c r="BV611" t="s">
        <v>134</v>
      </c>
      <c r="BW611" t="s">
        <v>134</v>
      </c>
      <c r="BX611" t="s">
        <v>134</v>
      </c>
      <c r="BY611" t="s">
        <v>134</v>
      </c>
      <c r="BZ611" t="s">
        <v>134</v>
      </c>
      <c r="CA611" t="s">
        <v>134</v>
      </c>
      <c r="CB611" t="s">
        <v>134</v>
      </c>
      <c r="CC611" t="s">
        <v>134</v>
      </c>
      <c r="CD611" t="s">
        <v>134</v>
      </c>
      <c r="CE611" t="s">
        <v>134</v>
      </c>
      <c r="CF611">
        <v>12.381600000000001</v>
      </c>
      <c r="CG611" t="s">
        <v>134</v>
      </c>
      <c r="CH611" t="s">
        <v>134</v>
      </c>
      <c r="CI611" t="s">
        <v>134</v>
      </c>
      <c r="CJ611" t="s">
        <v>134</v>
      </c>
      <c r="CK611" t="s">
        <v>134</v>
      </c>
      <c r="CL611" t="s">
        <v>134</v>
      </c>
      <c r="CM611" t="s">
        <v>134</v>
      </c>
      <c r="CN611" t="s">
        <v>134</v>
      </c>
      <c r="CO611" t="s">
        <v>134</v>
      </c>
      <c r="CP611">
        <v>5538.3</v>
      </c>
      <c r="CQ611" t="s">
        <v>134</v>
      </c>
      <c r="CR611">
        <v>4322.3999999999996</v>
      </c>
      <c r="CS611" t="s">
        <v>134</v>
      </c>
      <c r="CT611" t="s">
        <v>134</v>
      </c>
      <c r="CU611" t="s">
        <v>134</v>
      </c>
      <c r="CV611" t="s">
        <v>134</v>
      </c>
      <c r="CW611" t="s">
        <v>134</v>
      </c>
      <c r="CX611" t="s">
        <v>134</v>
      </c>
      <c r="CY611" t="s">
        <v>134</v>
      </c>
      <c r="CZ611" t="s">
        <v>134</v>
      </c>
      <c r="DA611" t="s">
        <v>134</v>
      </c>
      <c r="DB611" t="s">
        <v>134</v>
      </c>
      <c r="DC611" t="s">
        <v>134</v>
      </c>
      <c r="DD611" t="s">
        <v>134</v>
      </c>
      <c r="DE611" t="s">
        <v>134</v>
      </c>
      <c r="DF611" t="s">
        <v>134</v>
      </c>
      <c r="DG611" t="s">
        <v>134</v>
      </c>
      <c r="DH611" t="s">
        <v>134</v>
      </c>
      <c r="DI611" t="s">
        <v>134</v>
      </c>
    </row>
    <row r="612" spans="4:113" x14ac:dyDescent="0.3">
      <c r="E612" t="s">
        <v>81</v>
      </c>
      <c r="F612">
        <v>11.3253</v>
      </c>
      <c r="G612">
        <v>8.1095000000000006</v>
      </c>
      <c r="H612">
        <v>11.2887</v>
      </c>
      <c r="I612">
        <v>9.9124999999999996</v>
      </c>
      <c r="J612">
        <v>17.031300000000002</v>
      </c>
      <c r="K612">
        <v>12.4793</v>
      </c>
      <c r="L612">
        <v>12.594200000000001</v>
      </c>
      <c r="M612">
        <v>13.0778</v>
      </c>
      <c r="N612">
        <v>9.5276999999999994</v>
      </c>
      <c r="O612">
        <v>8.7113999999999994</v>
      </c>
      <c r="P612">
        <v>8.7113999999999994</v>
      </c>
      <c r="Q612">
        <v>26.4283</v>
      </c>
      <c r="R612" t="s">
        <v>134</v>
      </c>
      <c r="S612" t="s">
        <v>134</v>
      </c>
      <c r="T612">
        <v>22.002400000000002</v>
      </c>
      <c r="U612">
        <v>24.0349</v>
      </c>
      <c r="V612">
        <v>22.25</v>
      </c>
      <c r="W612">
        <v>-0.39510000000000001</v>
      </c>
      <c r="X612">
        <v>-0.61729999999999996</v>
      </c>
      <c r="Y612" t="s">
        <v>134</v>
      </c>
      <c r="Z612">
        <v>22.293099999999999</v>
      </c>
      <c r="AA612">
        <v>30.579599999999999</v>
      </c>
      <c r="AB612">
        <v>7.4917999999999996</v>
      </c>
      <c r="AC612">
        <v>17.2666</v>
      </c>
      <c r="AD612">
        <v>18.370699999999999</v>
      </c>
      <c r="AE612">
        <v>19.7333</v>
      </c>
      <c r="AF612">
        <v>61.020099999999999</v>
      </c>
      <c r="AG612">
        <v>49.891399999999997</v>
      </c>
      <c r="AH612">
        <v>36.494599999999998</v>
      </c>
      <c r="AI612">
        <v>8.7331000000000003</v>
      </c>
      <c r="AJ612">
        <v>11.786</v>
      </c>
      <c r="AK612">
        <v>7.4684999999999997</v>
      </c>
      <c r="AL612" t="s">
        <v>134</v>
      </c>
      <c r="AM612" t="s">
        <v>134</v>
      </c>
      <c r="AN612" t="s">
        <v>134</v>
      </c>
      <c r="AO612" t="s">
        <v>134</v>
      </c>
      <c r="AP612" t="s">
        <v>134</v>
      </c>
      <c r="AQ612" t="s">
        <v>134</v>
      </c>
      <c r="AR612" t="s">
        <v>134</v>
      </c>
      <c r="AS612" t="s">
        <v>134</v>
      </c>
      <c r="AT612" t="s">
        <v>134</v>
      </c>
      <c r="AU612" t="s">
        <v>134</v>
      </c>
      <c r="AV612" t="s">
        <v>134</v>
      </c>
      <c r="AW612" t="s">
        <v>134</v>
      </c>
      <c r="AX612" t="s">
        <v>134</v>
      </c>
      <c r="AY612" t="s">
        <v>134</v>
      </c>
      <c r="AZ612" t="s">
        <v>134</v>
      </c>
      <c r="BA612" t="s">
        <v>134</v>
      </c>
      <c r="BB612" t="s">
        <v>134</v>
      </c>
      <c r="BC612" t="s">
        <v>134</v>
      </c>
      <c r="BD612" t="s">
        <v>134</v>
      </c>
      <c r="BE612" t="s">
        <v>134</v>
      </c>
      <c r="BF612">
        <v>13.5626</v>
      </c>
      <c r="BG612">
        <v>-8.3383000000000003</v>
      </c>
      <c r="BH612">
        <v>-13.9436</v>
      </c>
      <c r="BI612">
        <v>-20.799099999999999</v>
      </c>
      <c r="BJ612">
        <v>-20.884499999999999</v>
      </c>
      <c r="BK612" t="s">
        <v>134</v>
      </c>
      <c r="BL612" t="s">
        <v>134</v>
      </c>
      <c r="BM612" t="s">
        <v>134</v>
      </c>
      <c r="BN612" t="s">
        <v>134</v>
      </c>
      <c r="BO612" t="s">
        <v>134</v>
      </c>
      <c r="BP612" t="s">
        <v>134</v>
      </c>
      <c r="BQ612" t="s">
        <v>134</v>
      </c>
      <c r="BR612" t="s">
        <v>134</v>
      </c>
      <c r="BS612" t="s">
        <v>134</v>
      </c>
      <c r="BT612" t="s">
        <v>134</v>
      </c>
      <c r="BU612" t="s">
        <v>134</v>
      </c>
      <c r="BV612" t="s">
        <v>134</v>
      </c>
      <c r="BW612" t="s">
        <v>134</v>
      </c>
      <c r="BX612" t="s">
        <v>134</v>
      </c>
      <c r="BY612">
        <v>17033.3</v>
      </c>
      <c r="BZ612">
        <v>13940.5</v>
      </c>
      <c r="CA612">
        <v>3092.8</v>
      </c>
      <c r="CB612">
        <v>0.78800000000000003</v>
      </c>
      <c r="CC612">
        <v>0.35270000000000001</v>
      </c>
      <c r="CD612">
        <v>1.028</v>
      </c>
      <c r="CE612">
        <v>0.46010000000000001</v>
      </c>
      <c r="CF612">
        <v>11.707800000000001</v>
      </c>
      <c r="CG612">
        <v>68.7226</v>
      </c>
      <c r="CH612">
        <v>2.8163</v>
      </c>
      <c r="CI612">
        <v>2.4380999999999999</v>
      </c>
      <c r="CJ612">
        <v>1.9677</v>
      </c>
      <c r="CK612">
        <v>15.510199999999999</v>
      </c>
      <c r="CL612">
        <v>13.4276</v>
      </c>
      <c r="CM612">
        <v>10.8371</v>
      </c>
      <c r="CN612">
        <v>6.9417</v>
      </c>
      <c r="CO612">
        <v>6.4911000000000003</v>
      </c>
      <c r="CP612">
        <v>5076.5</v>
      </c>
      <c r="CQ612" t="s">
        <v>134</v>
      </c>
      <c r="CR612">
        <v>3719.7</v>
      </c>
      <c r="CS612">
        <v>0.2417</v>
      </c>
      <c r="CT612">
        <v>1.9497</v>
      </c>
      <c r="CU612">
        <v>0.75639999999999996</v>
      </c>
      <c r="CV612">
        <v>9.5360999999999994</v>
      </c>
      <c r="CW612">
        <v>5.9741999999999997</v>
      </c>
      <c r="CX612">
        <v>61.0961</v>
      </c>
      <c r="CY612">
        <v>1.3583000000000001</v>
      </c>
      <c r="CZ612">
        <v>268.71850000000001</v>
      </c>
      <c r="DA612">
        <v>4.2392000000000003</v>
      </c>
      <c r="DB612">
        <v>86.101900000000001</v>
      </c>
      <c r="DC612">
        <v>243.71270000000001</v>
      </c>
      <c r="DD612">
        <v>329.81459999999998</v>
      </c>
      <c r="DE612">
        <v>37806.199999999997</v>
      </c>
      <c r="DF612">
        <v>15887.7</v>
      </c>
      <c r="DG612">
        <v>8993.6</v>
      </c>
      <c r="DH612">
        <v>6558.4</v>
      </c>
      <c r="DI612">
        <v>6366.5</v>
      </c>
    </row>
    <row r="613" spans="4:113" x14ac:dyDescent="0.3">
      <c r="D613" t="s">
        <v>83</v>
      </c>
      <c r="E613" t="s">
        <v>77</v>
      </c>
      <c r="F613">
        <v>13.2921</v>
      </c>
      <c r="G613">
        <v>8.2268000000000008</v>
      </c>
      <c r="H613">
        <v>10.726800000000001</v>
      </c>
      <c r="I613">
        <v>9.7801000000000009</v>
      </c>
      <c r="J613">
        <v>18.703099999999999</v>
      </c>
      <c r="K613">
        <v>14.6526</v>
      </c>
      <c r="L613">
        <v>12.145099999999999</v>
      </c>
      <c r="M613">
        <v>15.008100000000001</v>
      </c>
      <c r="N613">
        <v>11.631</v>
      </c>
      <c r="O613">
        <v>11.2613</v>
      </c>
      <c r="P613">
        <v>11.2613</v>
      </c>
      <c r="Q613">
        <v>21.903300000000002</v>
      </c>
      <c r="R613">
        <v>10.6699</v>
      </c>
      <c r="S613">
        <v>11.873799999999999</v>
      </c>
      <c r="T613">
        <v>22.881499999999999</v>
      </c>
      <c r="U613">
        <v>15.6988</v>
      </c>
      <c r="V613">
        <v>18.251200000000001</v>
      </c>
      <c r="W613">
        <v>27.537099999999999</v>
      </c>
      <c r="X613">
        <v>27.489799999999999</v>
      </c>
      <c r="Y613">
        <v>0</v>
      </c>
      <c r="Z613">
        <v>18.097100000000001</v>
      </c>
      <c r="AA613">
        <v>0.72529999999999994</v>
      </c>
      <c r="AB613">
        <v>14.7721</v>
      </c>
      <c r="AC613">
        <v>32.9255</v>
      </c>
      <c r="AD613">
        <v>9.9743999999999993</v>
      </c>
      <c r="AE613">
        <v>-74.844999999999999</v>
      </c>
      <c r="AF613">
        <v>-2.9317000000000002</v>
      </c>
      <c r="AG613">
        <v>257.23180000000002</v>
      </c>
      <c r="AH613">
        <v>205.39410000000001</v>
      </c>
      <c r="AI613">
        <v>10.4269</v>
      </c>
      <c r="AJ613">
        <v>36.606299999999997</v>
      </c>
      <c r="AK613">
        <v>9.7179000000000002</v>
      </c>
      <c r="AL613">
        <v>58.335799999999999</v>
      </c>
      <c r="AM613">
        <v>16.953800000000001</v>
      </c>
      <c r="AN613">
        <v>12.805099999999999</v>
      </c>
      <c r="AO613">
        <v>12.323399999999999</v>
      </c>
      <c r="AP613">
        <v>8.7605000000000004</v>
      </c>
      <c r="AQ613">
        <v>8.6925000000000008</v>
      </c>
      <c r="AR613">
        <v>-6.508</v>
      </c>
      <c r="AS613">
        <v>9.6149000000000004</v>
      </c>
      <c r="AT613">
        <v>14.843999999999999</v>
      </c>
      <c r="AU613">
        <v>9.6883999999999997</v>
      </c>
      <c r="AV613">
        <v>19.435300000000002</v>
      </c>
      <c r="AW613">
        <v>12.196899999999999</v>
      </c>
      <c r="AX613">
        <v>-19.405100000000001</v>
      </c>
      <c r="AY613">
        <v>14.350999999999999</v>
      </c>
      <c r="AZ613">
        <v>55.148800000000001</v>
      </c>
      <c r="BA613">
        <v>55.514000000000003</v>
      </c>
      <c r="BB613">
        <v>12.7136</v>
      </c>
      <c r="BC613">
        <v>19.0777</v>
      </c>
      <c r="BD613">
        <v>12.194900000000001</v>
      </c>
      <c r="BE613">
        <v>9.8931000000000004</v>
      </c>
      <c r="BF613">
        <v>22.881499999999999</v>
      </c>
      <c r="BG613">
        <v>15.6988</v>
      </c>
      <c r="BH613">
        <v>18.251200000000001</v>
      </c>
      <c r="BI613">
        <v>27.537099999999999</v>
      </c>
      <c r="BJ613">
        <v>27.489799999999999</v>
      </c>
      <c r="BK613">
        <v>0</v>
      </c>
      <c r="BL613">
        <v>18.097100000000001</v>
      </c>
      <c r="BM613">
        <v>0.72529999999999994</v>
      </c>
      <c r="BN613">
        <v>14.7721</v>
      </c>
      <c r="BO613">
        <v>32.9255</v>
      </c>
      <c r="BP613">
        <v>9.9743999999999993</v>
      </c>
      <c r="BQ613">
        <v>-74.844999999999999</v>
      </c>
      <c r="BR613">
        <v>-2.9317000000000002</v>
      </c>
      <c r="BS613">
        <v>257.23180000000002</v>
      </c>
      <c r="BT613">
        <v>205.39410000000001</v>
      </c>
      <c r="BU613">
        <v>10.4269</v>
      </c>
      <c r="BV613">
        <v>36.606299999999997</v>
      </c>
      <c r="BW613">
        <v>9.7179000000000002</v>
      </c>
      <c r="BX613">
        <v>58.335799999999999</v>
      </c>
      <c r="BY613">
        <v>52018.7</v>
      </c>
      <c r="BZ613">
        <v>49799.9</v>
      </c>
      <c r="CA613">
        <v>2218.8000000000002</v>
      </c>
      <c r="CB613">
        <v>2.0798999999999999</v>
      </c>
      <c r="CC613">
        <v>1.5041</v>
      </c>
      <c r="CD613">
        <v>2.6547999999999998</v>
      </c>
      <c r="CE613">
        <v>1.9199000000000002</v>
      </c>
      <c r="CF613">
        <v>35.888399999999997</v>
      </c>
      <c r="CG613">
        <v>56.754199999999997</v>
      </c>
      <c r="CH613">
        <v>1.8296000000000001</v>
      </c>
      <c r="CI613">
        <v>1.2804</v>
      </c>
      <c r="CJ613">
        <v>1.0620000000000001</v>
      </c>
      <c r="CK613">
        <v>42.894800000000004</v>
      </c>
      <c r="CL613">
        <v>30.0184</v>
      </c>
      <c r="CM613">
        <v>24.898099999999999</v>
      </c>
      <c r="CN613">
        <v>31.02</v>
      </c>
      <c r="CO613">
        <v>23.675799999999999</v>
      </c>
      <c r="CP613">
        <v>25010.6</v>
      </c>
      <c r="CQ613">
        <v>14241.7</v>
      </c>
      <c r="CR613">
        <v>19594.099999999999</v>
      </c>
      <c r="CS613">
        <v>0.18210000000000001</v>
      </c>
      <c r="CT613">
        <v>1.1179999999999999</v>
      </c>
      <c r="CU613">
        <v>0.48039999999999999</v>
      </c>
      <c r="CV613">
        <v>4.6589</v>
      </c>
      <c r="CW613">
        <v>6.1383999999999999</v>
      </c>
      <c r="CX613">
        <v>59.624400000000001</v>
      </c>
      <c r="CY613">
        <v>1.3322000000000001</v>
      </c>
      <c r="CZ613">
        <v>274.73219999999998</v>
      </c>
      <c r="DA613">
        <v>3.5521000000000003</v>
      </c>
      <c r="DB613">
        <v>103.0378</v>
      </c>
      <c r="DC613">
        <v>231.31890000000001</v>
      </c>
      <c r="DD613">
        <v>334.35660000000001</v>
      </c>
      <c r="DE613">
        <v>38080.400000000001</v>
      </c>
      <c r="DF613">
        <v>15750.2</v>
      </c>
      <c r="DG613">
        <v>8486.4</v>
      </c>
      <c r="DH613">
        <v>5747.7</v>
      </c>
      <c r="DI613">
        <v>8096.1</v>
      </c>
    </row>
    <row r="614" spans="4:113" x14ac:dyDescent="0.3">
      <c r="E614" t="s">
        <v>78</v>
      </c>
      <c r="F614" t="s">
        <v>134</v>
      </c>
      <c r="G614" t="s">
        <v>134</v>
      </c>
      <c r="H614" t="s">
        <v>134</v>
      </c>
      <c r="I614" t="s">
        <v>134</v>
      </c>
      <c r="J614">
        <v>27.509699999999999</v>
      </c>
      <c r="K614">
        <v>24.099599999999999</v>
      </c>
      <c r="L614">
        <v>43.715600000000002</v>
      </c>
      <c r="M614">
        <v>24.035299999999999</v>
      </c>
      <c r="N614">
        <v>17.4009</v>
      </c>
      <c r="O614">
        <v>17.226400000000002</v>
      </c>
      <c r="P614">
        <v>17.226400000000002</v>
      </c>
      <c r="Q614">
        <v>27.570900000000002</v>
      </c>
      <c r="R614" t="s">
        <v>134</v>
      </c>
      <c r="S614" t="s">
        <v>134</v>
      </c>
      <c r="T614">
        <v>42.6723</v>
      </c>
      <c r="U614">
        <v>91.773399999999995</v>
      </c>
      <c r="V614">
        <v>118.5984</v>
      </c>
      <c r="W614">
        <v>120.86020000000001</v>
      </c>
      <c r="X614">
        <v>120.4918</v>
      </c>
      <c r="Y614" t="s">
        <v>134</v>
      </c>
      <c r="Z614" t="s">
        <v>134</v>
      </c>
      <c r="AA614" t="s">
        <v>134</v>
      </c>
      <c r="AB614" t="s">
        <v>134</v>
      </c>
      <c r="AC614" t="s">
        <v>134</v>
      </c>
      <c r="AD614" t="s">
        <v>134</v>
      </c>
      <c r="AE614" t="s">
        <v>134</v>
      </c>
      <c r="AF614" t="s">
        <v>134</v>
      </c>
      <c r="AG614" t="s">
        <v>134</v>
      </c>
      <c r="AH614" t="s">
        <v>134</v>
      </c>
      <c r="AI614" t="s">
        <v>134</v>
      </c>
      <c r="AJ614" t="s">
        <v>134</v>
      </c>
      <c r="AK614" t="s">
        <v>134</v>
      </c>
      <c r="AL614" t="s">
        <v>134</v>
      </c>
      <c r="AM614" t="s">
        <v>134</v>
      </c>
      <c r="AN614" t="s">
        <v>134</v>
      </c>
      <c r="AO614" t="s">
        <v>134</v>
      </c>
      <c r="AP614" t="s">
        <v>134</v>
      </c>
      <c r="AQ614" t="s">
        <v>134</v>
      </c>
      <c r="AR614" t="s">
        <v>134</v>
      </c>
      <c r="AS614" t="s">
        <v>134</v>
      </c>
      <c r="AT614" t="s">
        <v>134</v>
      </c>
      <c r="AU614" t="s">
        <v>134</v>
      </c>
      <c r="AV614" t="s">
        <v>134</v>
      </c>
      <c r="AW614" t="s">
        <v>134</v>
      </c>
      <c r="AX614" t="s">
        <v>134</v>
      </c>
      <c r="AY614" t="s">
        <v>134</v>
      </c>
      <c r="AZ614" t="s">
        <v>134</v>
      </c>
      <c r="BA614" t="s">
        <v>134</v>
      </c>
      <c r="BB614" t="s">
        <v>134</v>
      </c>
      <c r="BC614" t="s">
        <v>134</v>
      </c>
      <c r="BD614" t="s">
        <v>134</v>
      </c>
      <c r="BE614" t="s">
        <v>134</v>
      </c>
      <c r="BF614">
        <v>26.709600000000002</v>
      </c>
      <c r="BG614">
        <v>104.6666</v>
      </c>
      <c r="BH614">
        <v>144.69720000000001</v>
      </c>
      <c r="BI614">
        <v>150.56229999999999</v>
      </c>
      <c r="BJ614">
        <v>150.62110000000001</v>
      </c>
      <c r="BK614" t="s">
        <v>134</v>
      </c>
      <c r="BL614" t="s">
        <v>134</v>
      </c>
      <c r="BM614" t="s">
        <v>134</v>
      </c>
      <c r="BN614" t="s">
        <v>134</v>
      </c>
      <c r="BO614" t="s">
        <v>134</v>
      </c>
      <c r="BP614" t="s">
        <v>134</v>
      </c>
      <c r="BQ614" t="s">
        <v>134</v>
      </c>
      <c r="BR614" t="s">
        <v>134</v>
      </c>
      <c r="BS614" t="s">
        <v>134</v>
      </c>
      <c r="BT614" t="s">
        <v>134</v>
      </c>
      <c r="BU614" t="s">
        <v>134</v>
      </c>
      <c r="BV614" t="s">
        <v>134</v>
      </c>
      <c r="BW614" t="s">
        <v>134</v>
      </c>
      <c r="BX614" t="s">
        <v>134</v>
      </c>
      <c r="BY614" t="s">
        <v>134</v>
      </c>
      <c r="BZ614" t="s">
        <v>134</v>
      </c>
      <c r="CA614" t="s">
        <v>134</v>
      </c>
      <c r="CB614" t="s">
        <v>134</v>
      </c>
      <c r="CC614" t="s">
        <v>134</v>
      </c>
      <c r="CD614" t="s">
        <v>134</v>
      </c>
      <c r="CE614" t="s">
        <v>134</v>
      </c>
      <c r="CF614">
        <v>20.229600000000001</v>
      </c>
      <c r="CG614" t="s">
        <v>134</v>
      </c>
      <c r="CH614" t="s">
        <v>134</v>
      </c>
      <c r="CI614" t="s">
        <v>134</v>
      </c>
      <c r="CJ614" t="s">
        <v>134</v>
      </c>
      <c r="CK614" t="s">
        <v>134</v>
      </c>
      <c r="CL614" t="s">
        <v>134</v>
      </c>
      <c r="CM614" t="s">
        <v>134</v>
      </c>
      <c r="CN614" t="s">
        <v>134</v>
      </c>
      <c r="CO614" t="s">
        <v>134</v>
      </c>
      <c r="CP614">
        <v>10389.9</v>
      </c>
      <c r="CQ614" t="s">
        <v>134</v>
      </c>
      <c r="CR614">
        <v>9102</v>
      </c>
      <c r="CS614" t="s">
        <v>134</v>
      </c>
      <c r="CT614" t="s">
        <v>134</v>
      </c>
      <c r="CU614" t="s">
        <v>134</v>
      </c>
      <c r="CV614" t="s">
        <v>134</v>
      </c>
      <c r="CW614" t="s">
        <v>134</v>
      </c>
      <c r="CX614" t="s">
        <v>134</v>
      </c>
      <c r="CY614" t="s">
        <v>134</v>
      </c>
      <c r="CZ614" t="s">
        <v>134</v>
      </c>
      <c r="DA614" t="s">
        <v>134</v>
      </c>
      <c r="DB614" t="s">
        <v>134</v>
      </c>
      <c r="DC614" t="s">
        <v>134</v>
      </c>
      <c r="DD614" t="s">
        <v>134</v>
      </c>
      <c r="DE614" t="s">
        <v>134</v>
      </c>
      <c r="DF614" t="s">
        <v>134</v>
      </c>
      <c r="DG614" t="s">
        <v>134</v>
      </c>
      <c r="DH614" t="s">
        <v>134</v>
      </c>
      <c r="DI614" t="s">
        <v>134</v>
      </c>
    </row>
    <row r="615" spans="4:113" x14ac:dyDescent="0.3">
      <c r="E615" t="s">
        <v>79</v>
      </c>
      <c r="F615">
        <v>14.969099999999999</v>
      </c>
      <c r="G615">
        <v>10.641400000000001</v>
      </c>
      <c r="H615">
        <v>14.306800000000001</v>
      </c>
      <c r="I615">
        <v>12.987299999999999</v>
      </c>
      <c r="J615">
        <v>23.481999999999999</v>
      </c>
      <c r="K615">
        <v>19.4971</v>
      </c>
      <c r="L615">
        <v>29.9268</v>
      </c>
      <c r="M615">
        <v>18.7728</v>
      </c>
      <c r="N615">
        <v>13.2964</v>
      </c>
      <c r="O615">
        <v>12.8279</v>
      </c>
      <c r="P615">
        <v>12.8279</v>
      </c>
      <c r="Q615">
        <v>28.718599999999999</v>
      </c>
      <c r="R615" t="s">
        <v>134</v>
      </c>
      <c r="S615" t="s">
        <v>134</v>
      </c>
      <c r="T615">
        <v>27.831700000000001</v>
      </c>
      <c r="U615">
        <v>41.3581</v>
      </c>
      <c r="V615">
        <v>50.192500000000003</v>
      </c>
      <c r="W615">
        <v>44.381900000000002</v>
      </c>
      <c r="X615">
        <v>44.204900000000002</v>
      </c>
      <c r="Y615" t="s">
        <v>134</v>
      </c>
      <c r="Z615">
        <v>51.624299999999998</v>
      </c>
      <c r="AA615">
        <v>38.320599999999999</v>
      </c>
      <c r="AB615">
        <v>9.6942000000000004</v>
      </c>
      <c r="AC615">
        <v>12.768000000000001</v>
      </c>
      <c r="AD615">
        <v>43.839399999999998</v>
      </c>
      <c r="AE615">
        <v>24.916399999999999</v>
      </c>
      <c r="AF615">
        <v>41.119799999999998</v>
      </c>
      <c r="AG615">
        <v>-17.359500000000001</v>
      </c>
      <c r="AH615">
        <v>-19.372399999999999</v>
      </c>
      <c r="AI615">
        <v>12.408200000000001</v>
      </c>
      <c r="AJ615">
        <v>7.5419</v>
      </c>
      <c r="AK615">
        <v>10.9305</v>
      </c>
      <c r="AL615" t="s">
        <v>134</v>
      </c>
      <c r="AM615" t="s">
        <v>134</v>
      </c>
      <c r="AN615" t="s">
        <v>134</v>
      </c>
      <c r="AO615" t="s">
        <v>134</v>
      </c>
      <c r="AP615" t="s">
        <v>134</v>
      </c>
      <c r="AQ615" t="s">
        <v>134</v>
      </c>
      <c r="AR615" t="s">
        <v>134</v>
      </c>
      <c r="AS615" t="s">
        <v>134</v>
      </c>
      <c r="AT615" t="s">
        <v>134</v>
      </c>
      <c r="AU615" t="s">
        <v>134</v>
      </c>
      <c r="AV615" t="s">
        <v>134</v>
      </c>
      <c r="AW615" t="s">
        <v>134</v>
      </c>
      <c r="AX615" t="s">
        <v>134</v>
      </c>
      <c r="AY615" t="s">
        <v>134</v>
      </c>
      <c r="AZ615" t="s">
        <v>134</v>
      </c>
      <c r="BA615" t="s">
        <v>134</v>
      </c>
      <c r="BB615" t="s">
        <v>134</v>
      </c>
      <c r="BC615" t="s">
        <v>134</v>
      </c>
      <c r="BD615" t="s">
        <v>134</v>
      </c>
      <c r="BE615" t="s">
        <v>134</v>
      </c>
      <c r="BF615">
        <v>-10.616099999999999</v>
      </c>
      <c r="BG615">
        <v>-25.141999999999999</v>
      </c>
      <c r="BH615">
        <v>-27.5837</v>
      </c>
      <c r="BI615">
        <v>-33.575699999999998</v>
      </c>
      <c r="BJ615">
        <v>-33.540399999999998</v>
      </c>
      <c r="BK615" t="s">
        <v>134</v>
      </c>
      <c r="BL615" t="s">
        <v>134</v>
      </c>
      <c r="BM615" t="s">
        <v>134</v>
      </c>
      <c r="BN615" t="s">
        <v>134</v>
      </c>
      <c r="BO615" t="s">
        <v>134</v>
      </c>
      <c r="BP615" t="s">
        <v>134</v>
      </c>
      <c r="BQ615" t="s">
        <v>134</v>
      </c>
      <c r="BR615" t="s">
        <v>134</v>
      </c>
      <c r="BS615" t="s">
        <v>134</v>
      </c>
      <c r="BT615" t="s">
        <v>134</v>
      </c>
      <c r="BU615" t="s">
        <v>134</v>
      </c>
      <c r="BV615" t="s">
        <v>134</v>
      </c>
      <c r="BW615" t="s">
        <v>134</v>
      </c>
      <c r="BX615" t="s">
        <v>134</v>
      </c>
      <c r="BY615">
        <v>15497.6</v>
      </c>
      <c r="BZ615">
        <v>13342.8</v>
      </c>
      <c r="CA615">
        <v>2154.8000000000002</v>
      </c>
      <c r="CB615">
        <v>0.53339999999999999</v>
      </c>
      <c r="CC615">
        <v>0.30930000000000002</v>
      </c>
      <c r="CD615">
        <v>0.65539999999999998</v>
      </c>
      <c r="CE615">
        <v>0.38</v>
      </c>
      <c r="CF615">
        <v>15.703200000000001</v>
      </c>
      <c r="CG615">
        <v>70.547899999999998</v>
      </c>
      <c r="CH615">
        <v>1.8031999999999999</v>
      </c>
      <c r="CI615">
        <v>1.5962000000000001</v>
      </c>
      <c r="CJ615">
        <v>1.2968999999999999</v>
      </c>
      <c r="CK615">
        <v>12.968999999999999</v>
      </c>
      <c r="CL615">
        <v>11.4801</v>
      </c>
      <c r="CM615">
        <v>9.3275000000000006</v>
      </c>
      <c r="CN615">
        <v>7.5197000000000003</v>
      </c>
      <c r="CO615">
        <v>6.9938000000000002</v>
      </c>
      <c r="CP615">
        <v>7894</v>
      </c>
      <c r="CQ615" t="s">
        <v>134</v>
      </c>
      <c r="CR615">
        <v>6554.4</v>
      </c>
      <c r="CS615">
        <v>0.17150000000000001</v>
      </c>
      <c r="CT615">
        <v>2.2105000000000001</v>
      </c>
      <c r="CU615">
        <v>0.84340000000000004</v>
      </c>
      <c r="CV615">
        <v>9.6265999999999998</v>
      </c>
      <c r="CW615">
        <v>6.0114000000000001</v>
      </c>
      <c r="CX615">
        <v>60.7179</v>
      </c>
      <c r="CY615">
        <v>1.4411</v>
      </c>
      <c r="CZ615">
        <v>253.27379999999999</v>
      </c>
      <c r="DA615">
        <v>4.2857000000000003</v>
      </c>
      <c r="DB615">
        <v>85.165999999999997</v>
      </c>
      <c r="DC615">
        <v>228.82570000000001</v>
      </c>
      <c r="DD615">
        <v>313.99169999999998</v>
      </c>
      <c r="DE615">
        <v>41063.1</v>
      </c>
      <c r="DF615" t="s">
        <v>134</v>
      </c>
      <c r="DG615" t="s">
        <v>134</v>
      </c>
      <c r="DH615" t="s">
        <v>134</v>
      </c>
      <c r="DI615" t="s">
        <v>134</v>
      </c>
    </row>
    <row r="616" spans="4:113" x14ac:dyDescent="0.3">
      <c r="E616" t="s">
        <v>80</v>
      </c>
      <c r="F616" t="s">
        <v>134</v>
      </c>
      <c r="G616" t="s">
        <v>134</v>
      </c>
      <c r="H616" t="s">
        <v>134</v>
      </c>
      <c r="I616" t="s">
        <v>134</v>
      </c>
      <c r="J616">
        <v>14.987500000000001</v>
      </c>
      <c r="K616">
        <v>10.446400000000001</v>
      </c>
      <c r="L616" t="s">
        <v>134</v>
      </c>
      <c r="M616">
        <v>12.3078</v>
      </c>
      <c r="N616">
        <v>11.796799999999999</v>
      </c>
      <c r="O616">
        <v>11.337</v>
      </c>
      <c r="P616">
        <v>11.337</v>
      </c>
      <c r="Q616">
        <v>3.2126000000000001</v>
      </c>
      <c r="R616" t="s">
        <v>134</v>
      </c>
      <c r="S616" t="s">
        <v>134</v>
      </c>
      <c r="T616">
        <v>15.3369</v>
      </c>
      <c r="U616">
        <v>-18.0777</v>
      </c>
      <c r="V616">
        <v>-26.8369</v>
      </c>
      <c r="W616">
        <v>4.6820000000000004</v>
      </c>
      <c r="X616">
        <v>4.6683000000000003</v>
      </c>
      <c r="Y616" t="s">
        <v>134</v>
      </c>
      <c r="Z616" t="s">
        <v>134</v>
      </c>
      <c r="AA616" t="s">
        <v>134</v>
      </c>
      <c r="AB616" t="s">
        <v>134</v>
      </c>
      <c r="AC616" t="s">
        <v>134</v>
      </c>
      <c r="AD616" t="s">
        <v>134</v>
      </c>
      <c r="AE616" t="s">
        <v>134</v>
      </c>
      <c r="AF616" t="s">
        <v>134</v>
      </c>
      <c r="AG616" t="s">
        <v>134</v>
      </c>
      <c r="AH616" t="s">
        <v>134</v>
      </c>
      <c r="AI616" t="s">
        <v>134</v>
      </c>
      <c r="AJ616" t="s">
        <v>134</v>
      </c>
      <c r="AK616" t="s">
        <v>134</v>
      </c>
      <c r="AL616" t="s">
        <v>134</v>
      </c>
      <c r="AM616" t="s">
        <v>134</v>
      </c>
      <c r="AN616" t="s">
        <v>134</v>
      </c>
      <c r="AO616" t="s">
        <v>134</v>
      </c>
      <c r="AP616" t="s">
        <v>134</v>
      </c>
      <c r="AQ616" t="s">
        <v>134</v>
      </c>
      <c r="AR616" t="s">
        <v>134</v>
      </c>
      <c r="AS616" t="s">
        <v>134</v>
      </c>
      <c r="AT616" t="s">
        <v>134</v>
      </c>
      <c r="AU616" t="s">
        <v>134</v>
      </c>
      <c r="AV616" t="s">
        <v>134</v>
      </c>
      <c r="AW616" t="s">
        <v>134</v>
      </c>
      <c r="AX616" t="s">
        <v>134</v>
      </c>
      <c r="AY616" t="s">
        <v>134</v>
      </c>
      <c r="AZ616" t="s">
        <v>134</v>
      </c>
      <c r="BA616" t="s">
        <v>134</v>
      </c>
      <c r="BB616" t="s">
        <v>134</v>
      </c>
      <c r="BC616" t="s">
        <v>134</v>
      </c>
      <c r="BD616" t="s">
        <v>134</v>
      </c>
      <c r="BE616" t="s">
        <v>134</v>
      </c>
      <c r="BF616">
        <v>-10.4191</v>
      </c>
      <c r="BG616">
        <v>-42.275300000000001</v>
      </c>
      <c r="BH616">
        <v>-49.6128</v>
      </c>
      <c r="BI616">
        <v>-36.797899999999998</v>
      </c>
      <c r="BJ616">
        <v>-36.795299999999997</v>
      </c>
      <c r="BK616" t="s">
        <v>134</v>
      </c>
      <c r="BL616" t="s">
        <v>134</v>
      </c>
      <c r="BM616" t="s">
        <v>134</v>
      </c>
      <c r="BN616" t="s">
        <v>134</v>
      </c>
      <c r="BO616" t="s">
        <v>134</v>
      </c>
      <c r="BP616" t="s">
        <v>134</v>
      </c>
      <c r="BQ616" t="s">
        <v>134</v>
      </c>
      <c r="BR616" t="s">
        <v>134</v>
      </c>
      <c r="BS616" t="s">
        <v>134</v>
      </c>
      <c r="BT616" t="s">
        <v>134</v>
      </c>
      <c r="BU616" t="s">
        <v>134</v>
      </c>
      <c r="BV616" t="s">
        <v>134</v>
      </c>
      <c r="BW616" t="s">
        <v>134</v>
      </c>
      <c r="BX616" t="s">
        <v>134</v>
      </c>
      <c r="BY616" t="s">
        <v>134</v>
      </c>
      <c r="BZ616" t="s">
        <v>134</v>
      </c>
      <c r="CA616" t="s">
        <v>134</v>
      </c>
      <c r="CB616" t="s">
        <v>134</v>
      </c>
      <c r="CC616" t="s">
        <v>134</v>
      </c>
      <c r="CD616" t="s">
        <v>134</v>
      </c>
      <c r="CE616" t="s">
        <v>134</v>
      </c>
      <c r="CF616">
        <v>19.769500000000001</v>
      </c>
      <c r="CG616" t="s">
        <v>134</v>
      </c>
      <c r="CH616" t="s">
        <v>134</v>
      </c>
      <c r="CI616" t="s">
        <v>134</v>
      </c>
      <c r="CJ616" t="s">
        <v>134</v>
      </c>
      <c r="CK616" t="s">
        <v>134</v>
      </c>
      <c r="CL616" t="s">
        <v>134</v>
      </c>
      <c r="CM616" t="s">
        <v>134</v>
      </c>
      <c r="CN616" t="s">
        <v>134</v>
      </c>
      <c r="CO616" t="s">
        <v>134</v>
      </c>
      <c r="CP616">
        <v>4537.1000000000004</v>
      </c>
      <c r="CQ616" t="s">
        <v>134</v>
      </c>
      <c r="CR616">
        <v>3162.4</v>
      </c>
      <c r="CS616" t="s">
        <v>134</v>
      </c>
      <c r="CT616" t="s">
        <v>134</v>
      </c>
      <c r="CU616" t="s">
        <v>134</v>
      </c>
      <c r="CV616" t="s">
        <v>134</v>
      </c>
      <c r="CW616" t="s">
        <v>134</v>
      </c>
      <c r="CX616" t="s">
        <v>134</v>
      </c>
      <c r="CY616" t="s">
        <v>134</v>
      </c>
      <c r="CZ616" t="s">
        <v>134</v>
      </c>
      <c r="DA616" t="s">
        <v>134</v>
      </c>
      <c r="DB616" t="s">
        <v>134</v>
      </c>
      <c r="DC616" t="s">
        <v>134</v>
      </c>
      <c r="DD616" t="s">
        <v>134</v>
      </c>
      <c r="DE616" t="s">
        <v>134</v>
      </c>
      <c r="DF616" t="s">
        <v>134</v>
      </c>
      <c r="DG616" t="s">
        <v>134</v>
      </c>
      <c r="DH616" t="s">
        <v>134</v>
      </c>
      <c r="DI616" t="s">
        <v>134</v>
      </c>
    </row>
    <row r="617" spans="4:113" x14ac:dyDescent="0.3">
      <c r="E617" t="s">
        <v>81</v>
      </c>
      <c r="F617">
        <v>13.537100000000001</v>
      </c>
      <c r="G617">
        <v>8.3783999999999992</v>
      </c>
      <c r="H617">
        <v>11.501899999999999</v>
      </c>
      <c r="I617">
        <v>10.044</v>
      </c>
      <c r="J617">
        <v>6.8283000000000005</v>
      </c>
      <c r="K617">
        <v>2.4178000000000002</v>
      </c>
      <c r="L617" t="s">
        <v>134</v>
      </c>
      <c r="M617">
        <v>2.9784999999999999</v>
      </c>
      <c r="N617">
        <v>2.9325999999999999</v>
      </c>
      <c r="O617">
        <v>2.5219</v>
      </c>
      <c r="P617">
        <v>2.5219</v>
      </c>
      <c r="Q617" t="s">
        <v>134</v>
      </c>
      <c r="R617" t="s">
        <v>134</v>
      </c>
      <c r="S617" t="s">
        <v>134</v>
      </c>
      <c r="T617">
        <v>7.5811000000000002</v>
      </c>
      <c r="U617">
        <v>-56.867899999999999</v>
      </c>
      <c r="V617">
        <v>-79.156899999999993</v>
      </c>
      <c r="W617">
        <v>-68.855400000000003</v>
      </c>
      <c r="X617">
        <v>-68.633499999999998</v>
      </c>
      <c r="Y617" t="s">
        <v>134</v>
      </c>
      <c r="Z617">
        <v>18.097100000000001</v>
      </c>
      <c r="AA617">
        <v>0.72529999999999994</v>
      </c>
      <c r="AB617">
        <v>14.7721</v>
      </c>
      <c r="AC617">
        <v>32.9255</v>
      </c>
      <c r="AD617">
        <v>9.9743999999999993</v>
      </c>
      <c r="AE617">
        <v>-74.844999999999999</v>
      </c>
      <c r="AF617">
        <v>-2.9317000000000002</v>
      </c>
      <c r="AG617">
        <v>257.23180000000002</v>
      </c>
      <c r="AH617">
        <v>205.39410000000001</v>
      </c>
      <c r="AI617">
        <v>10.4269</v>
      </c>
      <c r="AJ617">
        <v>36.606299999999997</v>
      </c>
      <c r="AK617">
        <v>9.7179000000000002</v>
      </c>
      <c r="AL617" t="s">
        <v>134</v>
      </c>
      <c r="AM617" t="s">
        <v>134</v>
      </c>
      <c r="AN617" t="s">
        <v>134</v>
      </c>
      <c r="AO617" t="s">
        <v>134</v>
      </c>
      <c r="AP617" t="s">
        <v>134</v>
      </c>
      <c r="AQ617" t="s">
        <v>134</v>
      </c>
      <c r="AR617" t="s">
        <v>134</v>
      </c>
      <c r="AS617" t="s">
        <v>134</v>
      </c>
      <c r="AT617" t="s">
        <v>134</v>
      </c>
      <c r="AU617" t="s">
        <v>134</v>
      </c>
      <c r="AV617" t="s">
        <v>134</v>
      </c>
      <c r="AW617" t="s">
        <v>134</v>
      </c>
      <c r="AX617" t="s">
        <v>134</v>
      </c>
      <c r="AY617" t="s">
        <v>134</v>
      </c>
      <c r="AZ617" t="s">
        <v>134</v>
      </c>
      <c r="BA617" t="s">
        <v>134</v>
      </c>
      <c r="BB617" t="s">
        <v>134</v>
      </c>
      <c r="BC617" t="s">
        <v>134</v>
      </c>
      <c r="BD617" t="s">
        <v>134</v>
      </c>
      <c r="BE617" t="s">
        <v>134</v>
      </c>
      <c r="BF617">
        <v>4.4551999999999996</v>
      </c>
      <c r="BG617">
        <v>-52.710500000000003</v>
      </c>
      <c r="BH617">
        <v>-72.921000000000006</v>
      </c>
      <c r="BI617">
        <v>-68.964200000000005</v>
      </c>
      <c r="BJ617">
        <v>-68.827200000000005</v>
      </c>
      <c r="BK617" t="s">
        <v>134</v>
      </c>
      <c r="BL617" t="s">
        <v>134</v>
      </c>
      <c r="BM617" t="s">
        <v>134</v>
      </c>
      <c r="BN617" t="s">
        <v>134</v>
      </c>
      <c r="BO617" t="s">
        <v>134</v>
      </c>
      <c r="BP617" t="s">
        <v>134</v>
      </c>
      <c r="BQ617" t="s">
        <v>134</v>
      </c>
      <c r="BR617" t="s">
        <v>134</v>
      </c>
      <c r="BS617" t="s">
        <v>134</v>
      </c>
      <c r="BT617" t="s">
        <v>134</v>
      </c>
      <c r="BU617" t="s">
        <v>134</v>
      </c>
      <c r="BV617" t="s">
        <v>134</v>
      </c>
      <c r="BW617" t="s">
        <v>134</v>
      </c>
      <c r="BX617" t="s">
        <v>134</v>
      </c>
      <c r="BY617">
        <v>52018.7</v>
      </c>
      <c r="BZ617">
        <v>49799.9</v>
      </c>
      <c r="CA617">
        <v>2218.8000000000002</v>
      </c>
      <c r="CB617">
        <v>2.0621999999999998</v>
      </c>
      <c r="CC617">
        <v>1.4913000000000001</v>
      </c>
      <c r="CD617">
        <v>2.7427999999999999</v>
      </c>
      <c r="CE617">
        <v>1.9835</v>
      </c>
      <c r="CF617">
        <v>5.9565000000000001</v>
      </c>
      <c r="CG617">
        <v>56.754199999999997</v>
      </c>
      <c r="CH617">
        <v>1.8296000000000001</v>
      </c>
      <c r="CI617">
        <v>1.2804</v>
      </c>
      <c r="CJ617">
        <v>1.0620000000000001</v>
      </c>
      <c r="CK617">
        <v>42.894800000000004</v>
      </c>
      <c r="CL617">
        <v>30.0184</v>
      </c>
      <c r="CM617">
        <v>24.898099999999999</v>
      </c>
      <c r="CN617">
        <v>31.02</v>
      </c>
      <c r="CO617">
        <v>23.675799999999999</v>
      </c>
      <c r="CP617">
        <v>2189.6</v>
      </c>
      <c r="CQ617" t="s">
        <v>134</v>
      </c>
      <c r="CR617">
        <v>775.3</v>
      </c>
      <c r="CS617">
        <v>0.18210000000000001</v>
      </c>
      <c r="CT617">
        <v>1.1179999999999999</v>
      </c>
      <c r="CU617">
        <v>0.48039999999999999</v>
      </c>
      <c r="CV617">
        <v>4.6589</v>
      </c>
      <c r="CW617">
        <v>6.1588000000000003</v>
      </c>
      <c r="CX617">
        <v>59.426900000000003</v>
      </c>
      <c r="CY617">
        <v>1.3260000000000001</v>
      </c>
      <c r="CZ617">
        <v>276.0127</v>
      </c>
      <c r="DA617">
        <v>3.5356999999999998</v>
      </c>
      <c r="DB617">
        <v>103.5154</v>
      </c>
      <c r="DC617">
        <v>231.92420000000001</v>
      </c>
      <c r="DD617">
        <v>335.43959999999998</v>
      </c>
      <c r="DE617">
        <v>38080.400000000001</v>
      </c>
      <c r="DF617">
        <v>15750.2</v>
      </c>
      <c r="DG617">
        <v>8486.4</v>
      </c>
      <c r="DH617">
        <v>5747.7</v>
      </c>
      <c r="DI617">
        <v>8096.1</v>
      </c>
    </row>
    <row r="618" spans="4:113" x14ac:dyDescent="0.3">
      <c r="D618" t="s">
        <v>84</v>
      </c>
      <c r="E618" t="s">
        <v>77</v>
      </c>
      <c r="F618">
        <v>8.3720999999999997</v>
      </c>
      <c r="G618">
        <v>4.7831000000000001</v>
      </c>
      <c r="H618">
        <v>6.5011999999999999</v>
      </c>
      <c r="I618">
        <v>5.7207999999999997</v>
      </c>
      <c r="J618">
        <v>17.627700000000001</v>
      </c>
      <c r="K618">
        <v>8.2083999999999993</v>
      </c>
      <c r="L618" t="s">
        <v>134</v>
      </c>
      <c r="M618">
        <v>8.7019000000000002</v>
      </c>
      <c r="N618">
        <v>7.3722000000000003</v>
      </c>
      <c r="O618">
        <v>7.1654999999999998</v>
      </c>
      <c r="P618">
        <v>7.1654999999999998</v>
      </c>
      <c r="Q618">
        <v>14.708299999999999</v>
      </c>
      <c r="R618">
        <v>15.988</v>
      </c>
      <c r="S618">
        <v>7.0335000000000001</v>
      </c>
      <c r="T618">
        <v>5.6088000000000005</v>
      </c>
      <c r="U618">
        <v>-0.1565</v>
      </c>
      <c r="V618">
        <v>-33.185000000000002</v>
      </c>
      <c r="W618">
        <v>-26.0002</v>
      </c>
      <c r="X618">
        <v>-25.991700000000002</v>
      </c>
      <c r="Y618">
        <v>0</v>
      </c>
      <c r="Z618">
        <v>5.9904000000000002</v>
      </c>
      <c r="AA618">
        <v>-8.4759999999999991</v>
      </c>
      <c r="AB618">
        <v>7.1467999999999998</v>
      </c>
      <c r="AC618">
        <v>-0.82820000000000005</v>
      </c>
      <c r="AD618">
        <v>-5.9068000000000005</v>
      </c>
      <c r="AE618">
        <v>416.15690000000001</v>
      </c>
      <c r="AF618">
        <v>6.4588000000000001</v>
      </c>
      <c r="AG618">
        <v>-90.615700000000004</v>
      </c>
      <c r="AH618">
        <v>-21.049499999999998</v>
      </c>
      <c r="AI618">
        <v>9.2475000000000005</v>
      </c>
      <c r="AJ618">
        <v>3.5999999999999999E-3</v>
      </c>
      <c r="AK618">
        <v>8.6111000000000004</v>
      </c>
      <c r="AL618">
        <v>40.696300000000001</v>
      </c>
      <c r="AM618">
        <v>15.450200000000001</v>
      </c>
      <c r="AN618">
        <v>8.3381000000000007</v>
      </c>
      <c r="AO618">
        <v>-3.0594000000000001</v>
      </c>
      <c r="AP618">
        <v>-2.5347</v>
      </c>
      <c r="AQ618">
        <v>-2.5865</v>
      </c>
      <c r="AR618">
        <v>0</v>
      </c>
      <c r="AS618">
        <v>9.9591999999999992</v>
      </c>
      <c r="AT618">
        <v>13.503500000000001</v>
      </c>
      <c r="AU618">
        <v>9.8148999999999997</v>
      </c>
      <c r="AV618">
        <v>17.513999999999999</v>
      </c>
      <c r="AW618">
        <v>10.2209</v>
      </c>
      <c r="AX618">
        <v>8.5761000000000003</v>
      </c>
      <c r="AY618">
        <v>17.828600000000002</v>
      </c>
      <c r="AZ618">
        <v>78.379300000000001</v>
      </c>
      <c r="BA618">
        <v>169.0634</v>
      </c>
      <c r="BB618">
        <v>11.157500000000001</v>
      </c>
      <c r="BC618">
        <v>17.366800000000001</v>
      </c>
      <c r="BD618">
        <v>10.352</v>
      </c>
      <c r="BE618">
        <v>5.1905000000000001</v>
      </c>
      <c r="BF618">
        <v>5.6088000000000005</v>
      </c>
      <c r="BG618">
        <v>-0.1565</v>
      </c>
      <c r="BH618">
        <v>-33.185000000000002</v>
      </c>
      <c r="BI618">
        <v>-26.0002</v>
      </c>
      <c r="BJ618">
        <v>-25.991700000000002</v>
      </c>
      <c r="BK618">
        <v>0</v>
      </c>
      <c r="BL618">
        <v>5.9904000000000002</v>
      </c>
      <c r="BM618">
        <v>-8.4759999999999991</v>
      </c>
      <c r="BN618">
        <v>7.1467999999999998</v>
      </c>
      <c r="BO618">
        <v>-0.82820000000000005</v>
      </c>
      <c r="BP618">
        <v>-5.9068000000000005</v>
      </c>
      <c r="BQ618">
        <v>416.15690000000001</v>
      </c>
      <c r="BR618">
        <v>6.4588000000000001</v>
      </c>
      <c r="BS618">
        <v>-90.615700000000004</v>
      </c>
      <c r="BT618">
        <v>-21.049499999999998</v>
      </c>
      <c r="BU618">
        <v>9.2475000000000005</v>
      </c>
      <c r="BV618">
        <v>3.5999999999999999E-3</v>
      </c>
      <c r="BW618">
        <v>8.6111000000000004</v>
      </c>
      <c r="BX618">
        <v>40.696300000000001</v>
      </c>
      <c r="BY618">
        <v>41134.800000000003</v>
      </c>
      <c r="BZ618">
        <v>4681.2</v>
      </c>
      <c r="CA618">
        <v>36453.599999999999</v>
      </c>
      <c r="CB618">
        <v>1.6615</v>
      </c>
      <c r="CC618">
        <v>1.0751999999999999</v>
      </c>
      <c r="CD618">
        <v>3.5681000000000003</v>
      </c>
      <c r="CE618">
        <v>2.3090000000000002</v>
      </c>
      <c r="CF618">
        <v>28.236699999999999</v>
      </c>
      <c r="CG618">
        <v>59.778100000000002</v>
      </c>
      <c r="CH618">
        <v>28.119900000000001</v>
      </c>
      <c r="CI618">
        <v>21.346399999999999</v>
      </c>
      <c r="CJ618">
        <v>17.397600000000001</v>
      </c>
      <c r="CK618">
        <v>31.730899999999998</v>
      </c>
      <c r="CL618">
        <v>24.087700000000002</v>
      </c>
      <c r="CM618">
        <v>19.631799999999998</v>
      </c>
      <c r="CN618">
        <v>20.533999999999999</v>
      </c>
      <c r="CO618">
        <v>17.035900000000002</v>
      </c>
      <c r="CP618">
        <v>24757.9</v>
      </c>
      <c r="CQ618">
        <v>13398.1</v>
      </c>
      <c r="CR618">
        <v>11528.6</v>
      </c>
      <c r="CS618">
        <v>0.43880000000000002</v>
      </c>
      <c r="CT618">
        <v>2.6619999999999999</v>
      </c>
      <c r="CU618">
        <v>1.1937</v>
      </c>
      <c r="CV618">
        <v>5.8140999999999998</v>
      </c>
      <c r="CW618">
        <v>5.7873000000000001</v>
      </c>
      <c r="CX618">
        <v>63.069000000000003</v>
      </c>
      <c r="CY618">
        <v>1.4276</v>
      </c>
      <c r="CZ618">
        <v>255.66499999999999</v>
      </c>
      <c r="DA618">
        <v>3.2054</v>
      </c>
      <c r="DB618">
        <v>113.86969999999999</v>
      </c>
      <c r="DC618">
        <v>204.86429999999999</v>
      </c>
      <c r="DD618">
        <v>318.73399999999998</v>
      </c>
      <c r="DE618">
        <v>34852.800000000003</v>
      </c>
      <c r="DF618">
        <v>13428.7</v>
      </c>
      <c r="DG618">
        <v>6006.9</v>
      </c>
      <c r="DH618">
        <v>14943.2</v>
      </c>
      <c r="DI618">
        <v>474</v>
      </c>
    </row>
    <row r="619" spans="4:113" x14ac:dyDescent="0.3">
      <c r="E619" t="s">
        <v>78</v>
      </c>
      <c r="F619" t="s">
        <v>134</v>
      </c>
      <c r="G619" t="s">
        <v>134</v>
      </c>
      <c r="H619" t="s">
        <v>134</v>
      </c>
      <c r="I619" t="s">
        <v>134</v>
      </c>
      <c r="J619">
        <v>17.4572</v>
      </c>
      <c r="K619">
        <v>12.862400000000001</v>
      </c>
      <c r="L619">
        <v>-174.1797</v>
      </c>
      <c r="M619">
        <v>12.686999999999999</v>
      </c>
      <c r="N619">
        <v>10.6031</v>
      </c>
      <c r="O619">
        <v>10.436</v>
      </c>
      <c r="P619">
        <v>10.436</v>
      </c>
      <c r="Q619">
        <v>15.9475</v>
      </c>
      <c r="R619" t="s">
        <v>134</v>
      </c>
      <c r="S619" t="s">
        <v>134</v>
      </c>
      <c r="T619">
        <v>-6.9447000000000001</v>
      </c>
      <c r="U619">
        <v>-42.0623</v>
      </c>
      <c r="V619">
        <v>-50.264099999999999</v>
      </c>
      <c r="W619">
        <v>-43.741700000000002</v>
      </c>
      <c r="X619">
        <v>-43.726700000000001</v>
      </c>
      <c r="Y619" t="s">
        <v>134</v>
      </c>
      <c r="Z619" t="s">
        <v>134</v>
      </c>
      <c r="AA619" t="s">
        <v>134</v>
      </c>
      <c r="AB619" t="s">
        <v>134</v>
      </c>
      <c r="AC619" t="s">
        <v>134</v>
      </c>
      <c r="AD619" t="s">
        <v>134</v>
      </c>
      <c r="AE619" t="s">
        <v>134</v>
      </c>
      <c r="AF619" t="s">
        <v>134</v>
      </c>
      <c r="AG619" t="s">
        <v>134</v>
      </c>
      <c r="AH619" t="s">
        <v>134</v>
      </c>
      <c r="AI619" t="s">
        <v>134</v>
      </c>
      <c r="AJ619" t="s">
        <v>134</v>
      </c>
      <c r="AK619" t="s">
        <v>134</v>
      </c>
      <c r="AL619" t="s">
        <v>134</v>
      </c>
      <c r="AM619" t="s">
        <v>134</v>
      </c>
      <c r="AN619" t="s">
        <v>134</v>
      </c>
      <c r="AO619" t="s">
        <v>134</v>
      </c>
      <c r="AP619" t="s">
        <v>134</v>
      </c>
      <c r="AQ619" t="s">
        <v>134</v>
      </c>
      <c r="AR619" t="s">
        <v>134</v>
      </c>
      <c r="AS619" t="s">
        <v>134</v>
      </c>
      <c r="AT619" t="s">
        <v>134</v>
      </c>
      <c r="AU619" t="s">
        <v>134</v>
      </c>
      <c r="AV619" t="s">
        <v>134</v>
      </c>
      <c r="AW619" t="s">
        <v>134</v>
      </c>
      <c r="AX619" t="s">
        <v>134</v>
      </c>
      <c r="AY619" t="s">
        <v>134</v>
      </c>
      <c r="AZ619" t="s">
        <v>134</v>
      </c>
      <c r="BA619" t="s">
        <v>134</v>
      </c>
      <c r="BB619" t="s">
        <v>134</v>
      </c>
      <c r="BC619" t="s">
        <v>134</v>
      </c>
      <c r="BD619" t="s">
        <v>134</v>
      </c>
      <c r="BE619" t="s">
        <v>134</v>
      </c>
      <c r="BF619">
        <v>7.5918000000000001</v>
      </c>
      <c r="BG619">
        <v>246.86609999999999</v>
      </c>
      <c r="BH619" t="s">
        <v>134</v>
      </c>
      <c r="BI619" t="s">
        <v>134</v>
      </c>
      <c r="BJ619" t="s">
        <v>134</v>
      </c>
      <c r="BK619" t="s">
        <v>134</v>
      </c>
      <c r="BL619" t="s">
        <v>134</v>
      </c>
      <c r="BM619" t="s">
        <v>134</v>
      </c>
      <c r="BN619" t="s">
        <v>134</v>
      </c>
      <c r="BO619" t="s">
        <v>134</v>
      </c>
      <c r="BP619" t="s">
        <v>134</v>
      </c>
      <c r="BQ619" t="s">
        <v>134</v>
      </c>
      <c r="BR619" t="s">
        <v>134</v>
      </c>
      <c r="BS619" t="s">
        <v>134</v>
      </c>
      <c r="BT619" t="s">
        <v>134</v>
      </c>
      <c r="BU619" t="s">
        <v>134</v>
      </c>
      <c r="BV619" t="s">
        <v>134</v>
      </c>
      <c r="BW619" t="s">
        <v>134</v>
      </c>
      <c r="BX619" t="s">
        <v>134</v>
      </c>
      <c r="BY619" t="s">
        <v>134</v>
      </c>
      <c r="BZ619" t="s">
        <v>134</v>
      </c>
      <c r="CA619" t="s">
        <v>134</v>
      </c>
      <c r="CB619" t="s">
        <v>134</v>
      </c>
      <c r="CC619" t="s">
        <v>134</v>
      </c>
      <c r="CD619" t="s">
        <v>134</v>
      </c>
      <c r="CE619" t="s">
        <v>134</v>
      </c>
      <c r="CF619">
        <v>19.494900000000001</v>
      </c>
      <c r="CG619" t="s">
        <v>134</v>
      </c>
      <c r="CH619" t="s">
        <v>134</v>
      </c>
      <c r="CI619" t="s">
        <v>134</v>
      </c>
      <c r="CJ619" t="s">
        <v>134</v>
      </c>
      <c r="CK619" t="s">
        <v>134</v>
      </c>
      <c r="CL619" t="s">
        <v>134</v>
      </c>
      <c r="CM619" t="s">
        <v>134</v>
      </c>
      <c r="CN619" t="s">
        <v>134</v>
      </c>
      <c r="CO619" t="s">
        <v>134</v>
      </c>
      <c r="CP619">
        <v>6109.7</v>
      </c>
      <c r="CQ619" t="s">
        <v>134</v>
      </c>
      <c r="CR619">
        <v>4501.6000000000004</v>
      </c>
      <c r="CS619" t="s">
        <v>134</v>
      </c>
      <c r="CT619" t="s">
        <v>134</v>
      </c>
      <c r="CU619" t="s">
        <v>134</v>
      </c>
      <c r="CV619" t="s">
        <v>134</v>
      </c>
      <c r="CW619" t="s">
        <v>134</v>
      </c>
      <c r="CX619" t="s">
        <v>134</v>
      </c>
      <c r="CY619" t="s">
        <v>134</v>
      </c>
      <c r="CZ619" t="s">
        <v>134</v>
      </c>
      <c r="DA619" t="s">
        <v>134</v>
      </c>
      <c r="DB619" t="s">
        <v>134</v>
      </c>
      <c r="DC619" t="s">
        <v>134</v>
      </c>
      <c r="DD619" t="s">
        <v>134</v>
      </c>
      <c r="DE619" t="s">
        <v>134</v>
      </c>
      <c r="DF619" t="s">
        <v>134</v>
      </c>
      <c r="DG619" t="s">
        <v>134</v>
      </c>
      <c r="DH619" t="s">
        <v>134</v>
      </c>
      <c r="DI619" t="s">
        <v>134</v>
      </c>
    </row>
    <row r="620" spans="4:113" x14ac:dyDescent="0.3">
      <c r="E620" t="s">
        <v>79</v>
      </c>
      <c r="F620">
        <v>7.1666999999999996</v>
      </c>
      <c r="G620">
        <v>4.4901</v>
      </c>
      <c r="H620">
        <v>6.5628000000000002</v>
      </c>
      <c r="I620">
        <v>5.3840000000000003</v>
      </c>
      <c r="J620">
        <v>18.538499999999999</v>
      </c>
      <c r="K620">
        <v>12.297000000000001</v>
      </c>
      <c r="L620" t="s">
        <v>134</v>
      </c>
      <c r="M620">
        <v>12.081</v>
      </c>
      <c r="N620">
        <v>10.066800000000001</v>
      </c>
      <c r="O620">
        <v>9.6501000000000001</v>
      </c>
      <c r="P620">
        <v>9.6501000000000001</v>
      </c>
      <c r="Q620">
        <v>16.208300000000001</v>
      </c>
      <c r="R620" t="s">
        <v>134</v>
      </c>
      <c r="S620" t="s">
        <v>134</v>
      </c>
      <c r="T620">
        <v>8.6561000000000003</v>
      </c>
      <c r="U620">
        <v>-13.394600000000001</v>
      </c>
      <c r="V620">
        <v>-28.056799999999999</v>
      </c>
      <c r="W620">
        <v>-34.746400000000001</v>
      </c>
      <c r="X620">
        <v>-34.7181</v>
      </c>
      <c r="Y620" t="s">
        <v>134</v>
      </c>
      <c r="Z620">
        <v>1.0200000000000001E-2</v>
      </c>
      <c r="AA620">
        <v>-15.085100000000001</v>
      </c>
      <c r="AB620">
        <v>17.4132</v>
      </c>
      <c r="AC620">
        <v>30.861599999999999</v>
      </c>
      <c r="AD620">
        <v>-8.1877999999999993</v>
      </c>
      <c r="AE620">
        <v>14.2348</v>
      </c>
      <c r="AF620">
        <v>-12.5349</v>
      </c>
      <c r="AG620">
        <v>-40.824300000000001</v>
      </c>
      <c r="AH620">
        <v>202.81460000000001</v>
      </c>
      <c r="AI620">
        <v>7.1856</v>
      </c>
      <c r="AJ620">
        <v>29.643999999999998</v>
      </c>
      <c r="AK620">
        <v>4.8776000000000002</v>
      </c>
      <c r="AL620" t="s">
        <v>134</v>
      </c>
      <c r="AM620" t="s">
        <v>134</v>
      </c>
      <c r="AN620" t="s">
        <v>134</v>
      </c>
      <c r="AO620" t="s">
        <v>134</v>
      </c>
      <c r="AP620" t="s">
        <v>134</v>
      </c>
      <c r="AQ620" t="s">
        <v>134</v>
      </c>
      <c r="AR620" t="s">
        <v>134</v>
      </c>
      <c r="AS620" t="s">
        <v>134</v>
      </c>
      <c r="AT620" t="s">
        <v>134</v>
      </c>
      <c r="AU620" t="s">
        <v>134</v>
      </c>
      <c r="AV620" t="s">
        <v>134</v>
      </c>
      <c r="AW620" t="s">
        <v>134</v>
      </c>
      <c r="AX620" t="s">
        <v>134</v>
      </c>
      <c r="AY620" t="s">
        <v>134</v>
      </c>
      <c r="AZ620" t="s">
        <v>134</v>
      </c>
      <c r="BA620" t="s">
        <v>134</v>
      </c>
      <c r="BB620" t="s">
        <v>134</v>
      </c>
      <c r="BC620" t="s">
        <v>134</v>
      </c>
      <c r="BD620" t="s">
        <v>134</v>
      </c>
      <c r="BE620" t="s">
        <v>134</v>
      </c>
      <c r="BF620">
        <v>3.2551999999999999</v>
      </c>
      <c r="BG620">
        <v>11.3691</v>
      </c>
      <c r="BH620">
        <v>10.832100000000001</v>
      </c>
      <c r="BI620">
        <v>4.5065999999999997</v>
      </c>
      <c r="BJ620">
        <v>4.5130999999999997</v>
      </c>
      <c r="BK620" t="s">
        <v>134</v>
      </c>
      <c r="BL620" t="s">
        <v>134</v>
      </c>
      <c r="BM620" t="s">
        <v>134</v>
      </c>
      <c r="BN620" t="s">
        <v>134</v>
      </c>
      <c r="BO620" t="s">
        <v>134</v>
      </c>
      <c r="BP620" t="s">
        <v>134</v>
      </c>
      <c r="BQ620" t="s">
        <v>134</v>
      </c>
      <c r="BR620" t="s">
        <v>134</v>
      </c>
      <c r="BS620" t="s">
        <v>134</v>
      </c>
      <c r="BT620" t="s">
        <v>134</v>
      </c>
      <c r="BU620" t="s">
        <v>134</v>
      </c>
      <c r="BV620" t="s">
        <v>134</v>
      </c>
      <c r="BW620" t="s">
        <v>134</v>
      </c>
      <c r="BX620" t="s">
        <v>134</v>
      </c>
      <c r="BY620">
        <v>46929</v>
      </c>
      <c r="BZ620">
        <v>7895.7</v>
      </c>
      <c r="CA620">
        <v>39033.300000000003</v>
      </c>
      <c r="CB620">
        <v>2.4302000000000001</v>
      </c>
      <c r="CC620">
        <v>1.6105</v>
      </c>
      <c r="CD620">
        <v>4.4622999999999999</v>
      </c>
      <c r="CE620">
        <v>2.9571000000000001</v>
      </c>
      <c r="CF620">
        <v>19.360399999999998</v>
      </c>
      <c r="CG620">
        <v>56.6173</v>
      </c>
      <c r="CH620">
        <v>30.474699999999999</v>
      </c>
      <c r="CI620">
        <v>22.303000000000001</v>
      </c>
      <c r="CJ620">
        <v>17.952400000000001</v>
      </c>
      <c r="CK620">
        <v>36.639200000000002</v>
      </c>
      <c r="CL620">
        <v>26.814499999999999</v>
      </c>
      <c r="CM620">
        <v>21.5838</v>
      </c>
      <c r="CN620">
        <v>24.2803</v>
      </c>
      <c r="CO620">
        <v>19.5367</v>
      </c>
      <c r="CP620">
        <v>6807.1</v>
      </c>
      <c r="CQ620" t="s">
        <v>134</v>
      </c>
      <c r="CR620">
        <v>4515.3</v>
      </c>
      <c r="CS620">
        <v>0.4234</v>
      </c>
      <c r="CT620">
        <v>2.4043999999999999</v>
      </c>
      <c r="CU620">
        <v>1.1059000000000001</v>
      </c>
      <c r="CV620">
        <v>5.7446000000000002</v>
      </c>
      <c r="CW620">
        <v>5.3101000000000003</v>
      </c>
      <c r="CX620">
        <v>68.924700000000001</v>
      </c>
      <c r="CY620">
        <v>1.3096999999999999</v>
      </c>
      <c r="CZ620">
        <v>279.46030000000002</v>
      </c>
      <c r="DA620">
        <v>2.7267000000000001</v>
      </c>
      <c r="DB620">
        <v>134.22630000000001</v>
      </c>
      <c r="DC620">
        <v>214.15870000000001</v>
      </c>
      <c r="DD620">
        <v>348.38490000000002</v>
      </c>
      <c r="DE620">
        <v>34868.699999999997</v>
      </c>
      <c r="DF620" t="s">
        <v>134</v>
      </c>
      <c r="DG620" t="s">
        <v>134</v>
      </c>
      <c r="DH620" t="s">
        <v>134</v>
      </c>
      <c r="DI620" t="s">
        <v>134</v>
      </c>
    </row>
    <row r="621" spans="4:113" x14ac:dyDescent="0.3">
      <c r="E621" t="s">
        <v>80</v>
      </c>
      <c r="F621" t="s">
        <v>134</v>
      </c>
      <c r="G621" t="s">
        <v>134</v>
      </c>
      <c r="H621" t="s">
        <v>134</v>
      </c>
      <c r="I621" t="s">
        <v>134</v>
      </c>
      <c r="J621">
        <v>19.0886</v>
      </c>
      <c r="K621">
        <v>11.8284</v>
      </c>
      <c r="L621">
        <v>27.825800000000001</v>
      </c>
      <c r="M621">
        <v>14.4808</v>
      </c>
      <c r="N621">
        <v>10.8428</v>
      </c>
      <c r="O621">
        <v>10.5585</v>
      </c>
      <c r="P621">
        <v>10.5585</v>
      </c>
      <c r="Q621">
        <v>24.951899999999998</v>
      </c>
      <c r="R621" t="s">
        <v>134</v>
      </c>
      <c r="S621" t="s">
        <v>134</v>
      </c>
      <c r="T621">
        <v>15.64</v>
      </c>
      <c r="U621">
        <v>46.354399999999998</v>
      </c>
      <c r="V621">
        <v>46.662700000000001</v>
      </c>
      <c r="W621">
        <v>43.85</v>
      </c>
      <c r="X621">
        <v>43.518500000000003</v>
      </c>
      <c r="Y621" t="s">
        <v>134</v>
      </c>
      <c r="Z621" t="s">
        <v>134</v>
      </c>
      <c r="AA621" t="s">
        <v>134</v>
      </c>
      <c r="AB621" t="s">
        <v>134</v>
      </c>
      <c r="AC621" t="s">
        <v>134</v>
      </c>
      <c r="AD621" t="s">
        <v>134</v>
      </c>
      <c r="AE621" t="s">
        <v>134</v>
      </c>
      <c r="AF621" t="s">
        <v>134</v>
      </c>
      <c r="AG621" t="s">
        <v>134</v>
      </c>
      <c r="AH621" t="s">
        <v>134</v>
      </c>
      <c r="AI621" t="s">
        <v>134</v>
      </c>
      <c r="AJ621" t="s">
        <v>134</v>
      </c>
      <c r="AK621" t="s">
        <v>134</v>
      </c>
      <c r="AL621" t="s">
        <v>134</v>
      </c>
      <c r="AM621" t="s">
        <v>134</v>
      </c>
      <c r="AN621" t="s">
        <v>134</v>
      </c>
      <c r="AO621" t="s">
        <v>134</v>
      </c>
      <c r="AP621" t="s">
        <v>134</v>
      </c>
      <c r="AQ621" t="s">
        <v>134</v>
      </c>
      <c r="AR621" t="s">
        <v>134</v>
      </c>
      <c r="AS621" t="s">
        <v>134</v>
      </c>
      <c r="AT621" t="s">
        <v>134</v>
      </c>
      <c r="AU621" t="s">
        <v>134</v>
      </c>
      <c r="AV621" t="s">
        <v>134</v>
      </c>
      <c r="AW621" t="s">
        <v>134</v>
      </c>
      <c r="AX621" t="s">
        <v>134</v>
      </c>
      <c r="AY621" t="s">
        <v>134</v>
      </c>
      <c r="AZ621" t="s">
        <v>134</v>
      </c>
      <c r="BA621" t="s">
        <v>134</v>
      </c>
      <c r="BB621" t="s">
        <v>134</v>
      </c>
      <c r="BC621" t="s">
        <v>134</v>
      </c>
      <c r="BD621" t="s">
        <v>134</v>
      </c>
      <c r="BE621" t="s">
        <v>134</v>
      </c>
      <c r="BF621">
        <v>-3.3186999999999998</v>
      </c>
      <c r="BG621">
        <v>-0.44950000000000001</v>
      </c>
      <c r="BH621">
        <v>-7.0029000000000003</v>
      </c>
      <c r="BI621">
        <v>5.7826000000000004</v>
      </c>
      <c r="BJ621">
        <v>5.6818</v>
      </c>
      <c r="BK621" t="s">
        <v>134</v>
      </c>
      <c r="BL621" t="s">
        <v>134</v>
      </c>
      <c r="BM621" t="s">
        <v>134</v>
      </c>
      <c r="BN621" t="s">
        <v>134</v>
      </c>
      <c r="BO621" t="s">
        <v>134</v>
      </c>
      <c r="BP621" t="s">
        <v>134</v>
      </c>
      <c r="BQ621" t="s">
        <v>134</v>
      </c>
      <c r="BR621" t="s">
        <v>134</v>
      </c>
      <c r="BS621" t="s">
        <v>134</v>
      </c>
      <c r="BT621" t="s">
        <v>134</v>
      </c>
      <c r="BU621" t="s">
        <v>134</v>
      </c>
      <c r="BV621" t="s">
        <v>134</v>
      </c>
      <c r="BW621" t="s">
        <v>134</v>
      </c>
      <c r="BX621" t="s">
        <v>134</v>
      </c>
      <c r="BY621" t="s">
        <v>134</v>
      </c>
      <c r="BZ621" t="s">
        <v>134</v>
      </c>
      <c r="CA621" t="s">
        <v>134</v>
      </c>
      <c r="CB621" t="s">
        <v>134</v>
      </c>
      <c r="CC621" t="s">
        <v>134</v>
      </c>
      <c r="CD621" t="s">
        <v>134</v>
      </c>
      <c r="CE621" t="s">
        <v>134</v>
      </c>
      <c r="CF621">
        <v>11.4217</v>
      </c>
      <c r="CG621" t="s">
        <v>134</v>
      </c>
      <c r="CH621" t="s">
        <v>134</v>
      </c>
      <c r="CI621" t="s">
        <v>134</v>
      </c>
      <c r="CJ621" t="s">
        <v>134</v>
      </c>
      <c r="CK621" t="s">
        <v>134</v>
      </c>
      <c r="CL621" t="s">
        <v>134</v>
      </c>
      <c r="CM621" t="s">
        <v>134</v>
      </c>
      <c r="CN621" t="s">
        <v>134</v>
      </c>
      <c r="CO621" t="s">
        <v>134</v>
      </c>
      <c r="CP621">
        <v>6776.5</v>
      </c>
      <c r="CQ621" t="s">
        <v>134</v>
      </c>
      <c r="CR621">
        <v>4199.1000000000004</v>
      </c>
      <c r="CS621" t="s">
        <v>134</v>
      </c>
      <c r="CT621" t="s">
        <v>134</v>
      </c>
      <c r="CU621" t="s">
        <v>134</v>
      </c>
      <c r="CV621" t="s">
        <v>134</v>
      </c>
      <c r="CW621" t="s">
        <v>134</v>
      </c>
      <c r="CX621" t="s">
        <v>134</v>
      </c>
      <c r="CY621" t="s">
        <v>134</v>
      </c>
      <c r="CZ621" t="s">
        <v>134</v>
      </c>
      <c r="DA621" t="s">
        <v>134</v>
      </c>
      <c r="DB621" t="s">
        <v>134</v>
      </c>
      <c r="DC621" t="s">
        <v>134</v>
      </c>
      <c r="DD621" t="s">
        <v>134</v>
      </c>
      <c r="DE621" t="s">
        <v>134</v>
      </c>
      <c r="DF621" t="s">
        <v>134</v>
      </c>
      <c r="DG621" t="s">
        <v>134</v>
      </c>
      <c r="DH621" t="s">
        <v>134</v>
      </c>
      <c r="DI621" t="s">
        <v>134</v>
      </c>
    </row>
    <row r="622" spans="4:113" x14ac:dyDescent="0.3">
      <c r="E622" t="s">
        <v>81</v>
      </c>
      <c r="F622">
        <v>8.3725000000000005</v>
      </c>
      <c r="G622">
        <v>4.7832999999999997</v>
      </c>
      <c r="H622">
        <v>6.8596000000000004</v>
      </c>
      <c r="I622">
        <v>5.4842000000000004</v>
      </c>
      <c r="J622">
        <v>14.517799999999999</v>
      </c>
      <c r="K622">
        <v>-3.6118999999999999</v>
      </c>
      <c r="L622" t="s">
        <v>134</v>
      </c>
      <c r="M622">
        <v>-3.9161999999999999</v>
      </c>
      <c r="N622">
        <v>-1.8007</v>
      </c>
      <c r="O622">
        <v>-1.772</v>
      </c>
      <c r="P622">
        <v>-1.772</v>
      </c>
      <c r="Q622" t="s">
        <v>134</v>
      </c>
      <c r="R622" t="s">
        <v>134</v>
      </c>
      <c r="S622" t="s">
        <v>134</v>
      </c>
      <c r="T622">
        <v>7.1992000000000003</v>
      </c>
      <c r="U622">
        <v>187.40770000000001</v>
      </c>
      <c r="V622">
        <v>-34.6051</v>
      </c>
      <c r="W622">
        <v>33.4375</v>
      </c>
      <c r="X622">
        <v>33.620699999999999</v>
      </c>
      <c r="Y622" t="s">
        <v>134</v>
      </c>
      <c r="Z622">
        <v>5.9904000000000002</v>
      </c>
      <c r="AA622">
        <v>-8.4759999999999991</v>
      </c>
      <c r="AB622">
        <v>7.1467999999999998</v>
      </c>
      <c r="AC622">
        <v>-0.82820000000000005</v>
      </c>
      <c r="AD622">
        <v>-5.9068000000000005</v>
      </c>
      <c r="AE622">
        <v>416.15690000000001</v>
      </c>
      <c r="AF622">
        <v>6.4588000000000001</v>
      </c>
      <c r="AG622">
        <v>-90.615700000000004</v>
      </c>
      <c r="AH622">
        <v>-21.049499999999998</v>
      </c>
      <c r="AI622">
        <v>9.2475000000000005</v>
      </c>
      <c r="AJ622">
        <v>3.5999999999999999E-3</v>
      </c>
      <c r="AK622">
        <v>8.6111000000000004</v>
      </c>
      <c r="AL622" t="s">
        <v>134</v>
      </c>
      <c r="AM622" t="s">
        <v>134</v>
      </c>
      <c r="AN622" t="s">
        <v>134</v>
      </c>
      <c r="AO622" t="s">
        <v>134</v>
      </c>
      <c r="AP622" t="s">
        <v>134</v>
      </c>
      <c r="AQ622" t="s">
        <v>134</v>
      </c>
      <c r="AR622" t="s">
        <v>134</v>
      </c>
      <c r="AS622" t="s">
        <v>134</v>
      </c>
      <c r="AT622" t="s">
        <v>134</v>
      </c>
      <c r="AU622" t="s">
        <v>134</v>
      </c>
      <c r="AV622" t="s">
        <v>134</v>
      </c>
      <c r="AW622" t="s">
        <v>134</v>
      </c>
      <c r="AX622" t="s">
        <v>134</v>
      </c>
      <c r="AY622" t="s">
        <v>134</v>
      </c>
      <c r="AZ622" t="s">
        <v>134</v>
      </c>
      <c r="BA622" t="s">
        <v>134</v>
      </c>
      <c r="BB622" t="s">
        <v>134</v>
      </c>
      <c r="BC622" t="s">
        <v>134</v>
      </c>
      <c r="BD622" t="s">
        <v>134</v>
      </c>
      <c r="BE622" t="s">
        <v>134</v>
      </c>
      <c r="BF622">
        <v>-1.7741</v>
      </c>
      <c r="BG622">
        <v>-25.294799999999999</v>
      </c>
      <c r="BH622">
        <v>-129.99449999999999</v>
      </c>
      <c r="BI622">
        <v>-116.48480000000001</v>
      </c>
      <c r="BJ622">
        <v>-116.5591</v>
      </c>
      <c r="BK622" t="s">
        <v>134</v>
      </c>
      <c r="BL622" t="s">
        <v>134</v>
      </c>
      <c r="BM622" t="s">
        <v>134</v>
      </c>
      <c r="BN622" t="s">
        <v>134</v>
      </c>
      <c r="BO622" t="s">
        <v>134</v>
      </c>
      <c r="BP622" t="s">
        <v>134</v>
      </c>
      <c r="BQ622" t="s">
        <v>134</v>
      </c>
      <c r="BR622" t="s">
        <v>134</v>
      </c>
      <c r="BS622" t="s">
        <v>134</v>
      </c>
      <c r="BT622" t="s">
        <v>134</v>
      </c>
      <c r="BU622" t="s">
        <v>134</v>
      </c>
      <c r="BV622" t="s">
        <v>134</v>
      </c>
      <c r="BW622" t="s">
        <v>134</v>
      </c>
      <c r="BX622" t="s">
        <v>134</v>
      </c>
      <c r="BY622">
        <v>41134.800000000003</v>
      </c>
      <c r="BZ622">
        <v>4681.2</v>
      </c>
      <c r="CA622">
        <v>36453.599999999999</v>
      </c>
      <c r="CB622">
        <v>1.6615</v>
      </c>
      <c r="CC622">
        <v>1.0751999999999999</v>
      </c>
      <c r="CD622">
        <v>3.5680000000000001</v>
      </c>
      <c r="CE622">
        <v>2.3089</v>
      </c>
      <c r="CF622">
        <v>15.1569</v>
      </c>
      <c r="CG622">
        <v>59.778100000000002</v>
      </c>
      <c r="CH622">
        <v>28.119900000000001</v>
      </c>
      <c r="CI622">
        <v>21.346399999999999</v>
      </c>
      <c r="CJ622">
        <v>17.397600000000001</v>
      </c>
      <c r="CK622">
        <v>31.730899999999998</v>
      </c>
      <c r="CL622">
        <v>24.087700000000002</v>
      </c>
      <c r="CM622">
        <v>19.631799999999998</v>
      </c>
      <c r="CN622">
        <v>20.533999999999999</v>
      </c>
      <c r="CO622">
        <v>17.035900000000002</v>
      </c>
      <c r="CP622">
        <v>5062.3999999999996</v>
      </c>
      <c r="CQ622" t="s">
        <v>134</v>
      </c>
      <c r="CR622">
        <v>-1259.5</v>
      </c>
      <c r="CS622">
        <v>0.43880000000000002</v>
      </c>
      <c r="CT622">
        <v>2.6619999999999999</v>
      </c>
      <c r="CU622">
        <v>1.1937</v>
      </c>
      <c r="CV622">
        <v>5.8140999999999998</v>
      </c>
      <c r="CW622">
        <v>5.8780000000000001</v>
      </c>
      <c r="CX622">
        <v>62.095700000000001</v>
      </c>
      <c r="CY622">
        <v>1.4276</v>
      </c>
      <c r="CZ622">
        <v>255.66550000000001</v>
      </c>
      <c r="DA622">
        <v>3.2054</v>
      </c>
      <c r="DB622">
        <v>113.8699</v>
      </c>
      <c r="DC622">
        <v>203.8912</v>
      </c>
      <c r="DD622">
        <v>317.7611</v>
      </c>
      <c r="DE622">
        <v>34852.800000000003</v>
      </c>
      <c r="DF622">
        <v>13428.7</v>
      </c>
      <c r="DG622">
        <v>6006.9</v>
      </c>
      <c r="DH622">
        <v>14943.2</v>
      </c>
      <c r="DI622">
        <v>474</v>
      </c>
    </row>
    <row r="623" spans="4:113" x14ac:dyDescent="0.3">
      <c r="D623" t="s">
        <v>85</v>
      </c>
      <c r="E623" t="s">
        <v>77</v>
      </c>
      <c r="F623">
        <v>10.537000000000001</v>
      </c>
      <c r="G623">
        <v>6.4264999999999999</v>
      </c>
      <c r="H623">
        <v>8.4388000000000005</v>
      </c>
      <c r="I623">
        <v>7.0716000000000001</v>
      </c>
      <c r="J623">
        <v>19.2437</v>
      </c>
      <c r="K623">
        <v>10.2371</v>
      </c>
      <c r="L623">
        <v>54.591299999999997</v>
      </c>
      <c r="M623">
        <v>11.3667</v>
      </c>
      <c r="N623">
        <v>9.6448999999999998</v>
      </c>
      <c r="O623">
        <v>9.6036999999999999</v>
      </c>
      <c r="P623">
        <v>9.6036999999999999</v>
      </c>
      <c r="Q623">
        <v>14.9815</v>
      </c>
      <c r="R623">
        <v>11.415800000000001</v>
      </c>
      <c r="S623">
        <v>9.3340999999999994</v>
      </c>
      <c r="T623">
        <v>4.5739999999999998</v>
      </c>
      <c r="U623">
        <v>14.1607</v>
      </c>
      <c r="V623">
        <v>30.42</v>
      </c>
      <c r="W623">
        <v>40.157400000000003</v>
      </c>
      <c r="X623">
        <v>40</v>
      </c>
      <c r="Y623">
        <v>0</v>
      </c>
      <c r="Z623">
        <v>21.045200000000001</v>
      </c>
      <c r="AA623">
        <v>16.050899999999999</v>
      </c>
      <c r="AB623">
        <v>1.742</v>
      </c>
      <c r="AC623">
        <v>8.6678999999999995</v>
      </c>
      <c r="AD623">
        <v>12.3033</v>
      </c>
      <c r="AE623">
        <v>28.557700000000001</v>
      </c>
      <c r="AF623">
        <v>34.877899999999997</v>
      </c>
      <c r="AG623">
        <v>-6.7119</v>
      </c>
      <c r="AH623">
        <v>-0.3553</v>
      </c>
      <c r="AI623">
        <v>12.322900000000001</v>
      </c>
      <c r="AJ623">
        <v>9.2728000000000002</v>
      </c>
      <c r="AK623">
        <v>13.3515</v>
      </c>
      <c r="AL623">
        <v>-38.253399999999999</v>
      </c>
      <c r="AM623">
        <v>12.676399999999999</v>
      </c>
      <c r="AN623">
        <v>5.1589999999999998</v>
      </c>
      <c r="AO623">
        <v>-4.2412999999999998</v>
      </c>
      <c r="AP623">
        <v>-1.8028</v>
      </c>
      <c r="AQ623">
        <v>-1.8780000000000001</v>
      </c>
      <c r="AR623">
        <v>0</v>
      </c>
      <c r="AS623">
        <v>13.202999999999999</v>
      </c>
      <c r="AT623">
        <v>11.123100000000001</v>
      </c>
      <c r="AU623">
        <v>7.9391999999999996</v>
      </c>
      <c r="AV623">
        <v>14.415900000000001</v>
      </c>
      <c r="AW623">
        <v>9.2710000000000008</v>
      </c>
      <c r="AX623">
        <v>9.1514000000000006</v>
      </c>
      <c r="AY623">
        <v>20.666699999999999</v>
      </c>
      <c r="AZ623">
        <v>-14.7235</v>
      </c>
      <c r="BA623">
        <v>33.481900000000003</v>
      </c>
      <c r="BB623">
        <v>10.0861</v>
      </c>
      <c r="BC623">
        <v>13.3437</v>
      </c>
      <c r="BD623">
        <v>9.4888999999999992</v>
      </c>
      <c r="BE623">
        <v>-1.0443</v>
      </c>
      <c r="BF623">
        <v>4.5739999999999998</v>
      </c>
      <c r="BG623">
        <v>14.1607</v>
      </c>
      <c r="BH623">
        <v>30.42</v>
      </c>
      <c r="BI623">
        <v>40.157400000000003</v>
      </c>
      <c r="BJ623">
        <v>40</v>
      </c>
      <c r="BK623">
        <v>0</v>
      </c>
      <c r="BL623">
        <v>21.045200000000001</v>
      </c>
      <c r="BM623">
        <v>16.050899999999999</v>
      </c>
      <c r="BN623">
        <v>1.742</v>
      </c>
      <c r="BO623">
        <v>8.6678999999999995</v>
      </c>
      <c r="BP623">
        <v>12.3033</v>
      </c>
      <c r="BQ623">
        <v>28.557700000000001</v>
      </c>
      <c r="BR623">
        <v>34.877899999999997</v>
      </c>
      <c r="BS623">
        <v>-6.7119</v>
      </c>
      <c r="BT623">
        <v>-0.3553</v>
      </c>
      <c r="BU623">
        <v>12.322900000000001</v>
      </c>
      <c r="BV623">
        <v>9.2728000000000002</v>
      </c>
      <c r="BW623">
        <v>13.3515</v>
      </c>
      <c r="BX623">
        <v>-38.253399999999999</v>
      </c>
      <c r="BY623">
        <v>40979.800000000003</v>
      </c>
      <c r="BZ623">
        <v>4358.7</v>
      </c>
      <c r="CA623">
        <v>36621.1</v>
      </c>
      <c r="CB623">
        <v>1.4499</v>
      </c>
      <c r="CC623">
        <v>0.72140000000000004</v>
      </c>
      <c r="CD623">
        <v>2.7255000000000003</v>
      </c>
      <c r="CE623">
        <v>1.3561000000000001</v>
      </c>
      <c r="CF623">
        <v>25.873100000000001</v>
      </c>
      <c r="CG623">
        <v>62.243400000000001</v>
      </c>
      <c r="CH623">
        <v>25.1145</v>
      </c>
      <c r="CI623">
        <v>19.604900000000001</v>
      </c>
      <c r="CJ623">
        <v>16.019300000000001</v>
      </c>
      <c r="CK623">
        <v>28.1037</v>
      </c>
      <c r="CL623">
        <v>21.938300000000002</v>
      </c>
      <c r="CM623">
        <v>17.925999999999998</v>
      </c>
      <c r="CN623">
        <v>13.9833</v>
      </c>
      <c r="CO623">
        <v>12.267900000000001</v>
      </c>
      <c r="CP623">
        <v>28263.8</v>
      </c>
      <c r="CQ623">
        <v>20101.7</v>
      </c>
      <c r="CR623">
        <v>15035.6</v>
      </c>
      <c r="CS623">
        <v>0.5373</v>
      </c>
      <c r="CT623">
        <v>2.8218999999999999</v>
      </c>
      <c r="CU623">
        <v>1.3469</v>
      </c>
      <c r="CV623">
        <v>5.4703999999999997</v>
      </c>
      <c r="CW623">
        <v>5.1848000000000001</v>
      </c>
      <c r="CX623">
        <v>70.3977</v>
      </c>
      <c r="CY623">
        <v>1.5063</v>
      </c>
      <c r="CZ623">
        <v>242.309</v>
      </c>
      <c r="DA623">
        <v>3.3769</v>
      </c>
      <c r="DB623">
        <v>108.08799999999999</v>
      </c>
      <c r="DC623">
        <v>204.61869999999999</v>
      </c>
      <c r="DD623">
        <v>312.70670000000001</v>
      </c>
      <c r="DE623">
        <v>40447</v>
      </c>
      <c r="DF623">
        <v>16656.900000000001</v>
      </c>
      <c r="DG623">
        <v>7681.8</v>
      </c>
      <c r="DH623">
        <v>15707.7</v>
      </c>
      <c r="DI623">
        <v>400.6</v>
      </c>
    </row>
    <row r="624" spans="4:113" x14ac:dyDescent="0.3">
      <c r="E624" t="s">
        <v>78</v>
      </c>
      <c r="F624" t="s">
        <v>134</v>
      </c>
      <c r="G624" t="s">
        <v>134</v>
      </c>
      <c r="H624" t="s">
        <v>134</v>
      </c>
      <c r="I624" t="s">
        <v>134</v>
      </c>
      <c r="J624">
        <v>18.834499999999998</v>
      </c>
      <c r="K624">
        <v>12.616199999999999</v>
      </c>
      <c r="L624" t="s">
        <v>134</v>
      </c>
      <c r="M624">
        <v>16.215</v>
      </c>
      <c r="N624">
        <v>12.38</v>
      </c>
      <c r="O624">
        <v>11.9109</v>
      </c>
      <c r="P624">
        <v>11.9109</v>
      </c>
      <c r="Q624">
        <v>23.496500000000001</v>
      </c>
      <c r="R624" t="s">
        <v>134</v>
      </c>
      <c r="S624" t="s">
        <v>134</v>
      </c>
      <c r="T624">
        <v>-3.4813000000000001</v>
      </c>
      <c r="U624">
        <v>5.7655000000000003</v>
      </c>
      <c r="V624">
        <v>6.2911000000000001</v>
      </c>
      <c r="W624">
        <v>20.5745</v>
      </c>
      <c r="X624">
        <v>20.427599999999998</v>
      </c>
      <c r="Y624" t="s">
        <v>134</v>
      </c>
      <c r="Z624" t="s">
        <v>134</v>
      </c>
      <c r="AA624" t="s">
        <v>134</v>
      </c>
      <c r="AB624" t="s">
        <v>134</v>
      </c>
      <c r="AC624" t="s">
        <v>134</v>
      </c>
      <c r="AD624" t="s">
        <v>134</v>
      </c>
      <c r="AE624" t="s">
        <v>134</v>
      </c>
      <c r="AF624" t="s">
        <v>134</v>
      </c>
      <c r="AG624" t="s">
        <v>134</v>
      </c>
      <c r="AH624" t="s">
        <v>134</v>
      </c>
      <c r="AI624" t="s">
        <v>134</v>
      </c>
      <c r="AJ624" t="s">
        <v>134</v>
      </c>
      <c r="AK624" t="s">
        <v>134</v>
      </c>
      <c r="AL624" t="s">
        <v>134</v>
      </c>
      <c r="AM624" t="s">
        <v>134</v>
      </c>
      <c r="AN624" t="s">
        <v>134</v>
      </c>
      <c r="AO624" t="s">
        <v>134</v>
      </c>
      <c r="AP624" t="s">
        <v>134</v>
      </c>
      <c r="AQ624" t="s">
        <v>134</v>
      </c>
      <c r="AR624" t="s">
        <v>134</v>
      </c>
      <c r="AS624" t="s">
        <v>134</v>
      </c>
      <c r="AT624" t="s">
        <v>134</v>
      </c>
      <c r="AU624" t="s">
        <v>134</v>
      </c>
      <c r="AV624" t="s">
        <v>134</v>
      </c>
      <c r="AW624" t="s">
        <v>134</v>
      </c>
      <c r="AX624" t="s">
        <v>134</v>
      </c>
      <c r="AY624" t="s">
        <v>134</v>
      </c>
      <c r="AZ624" t="s">
        <v>134</v>
      </c>
      <c r="BA624" t="s">
        <v>134</v>
      </c>
      <c r="BB624" t="s">
        <v>134</v>
      </c>
      <c r="BC624" t="s">
        <v>134</v>
      </c>
      <c r="BD624" t="s">
        <v>134</v>
      </c>
      <c r="BE624" t="s">
        <v>134</v>
      </c>
      <c r="BF624">
        <v>-1.5691999999999999</v>
      </c>
      <c r="BG624">
        <v>27.6983</v>
      </c>
      <c r="BH624" t="s">
        <v>134</v>
      </c>
      <c r="BI624" t="s">
        <v>134</v>
      </c>
      <c r="BJ624" t="s">
        <v>134</v>
      </c>
      <c r="BK624" t="s">
        <v>134</v>
      </c>
      <c r="BL624" t="s">
        <v>134</v>
      </c>
      <c r="BM624" t="s">
        <v>134</v>
      </c>
      <c r="BN624" t="s">
        <v>134</v>
      </c>
      <c r="BO624" t="s">
        <v>134</v>
      </c>
      <c r="BP624" t="s">
        <v>134</v>
      </c>
      <c r="BQ624" t="s">
        <v>134</v>
      </c>
      <c r="BR624" t="s">
        <v>134</v>
      </c>
      <c r="BS624" t="s">
        <v>134</v>
      </c>
      <c r="BT624" t="s">
        <v>134</v>
      </c>
      <c r="BU624" t="s">
        <v>134</v>
      </c>
      <c r="BV624" t="s">
        <v>134</v>
      </c>
      <c r="BW624" t="s">
        <v>134</v>
      </c>
      <c r="BX624" t="s">
        <v>134</v>
      </c>
      <c r="BY624" t="s">
        <v>134</v>
      </c>
      <c r="BZ624" t="s">
        <v>134</v>
      </c>
      <c r="CA624" t="s">
        <v>134</v>
      </c>
      <c r="CB624" t="s">
        <v>134</v>
      </c>
      <c r="CC624" t="s">
        <v>134</v>
      </c>
      <c r="CD624" t="s">
        <v>134</v>
      </c>
      <c r="CE624" t="s">
        <v>134</v>
      </c>
      <c r="CF624">
        <v>23.203900000000001</v>
      </c>
      <c r="CG624" t="s">
        <v>134</v>
      </c>
      <c r="CH624" t="s">
        <v>134</v>
      </c>
      <c r="CI624" t="s">
        <v>134</v>
      </c>
      <c r="CJ624" t="s">
        <v>134</v>
      </c>
      <c r="CK624" t="s">
        <v>134</v>
      </c>
      <c r="CL624" t="s">
        <v>134</v>
      </c>
      <c r="CM624" t="s">
        <v>134</v>
      </c>
      <c r="CN624" t="s">
        <v>134</v>
      </c>
      <c r="CO624" t="s">
        <v>134</v>
      </c>
      <c r="CP624">
        <v>6464.6</v>
      </c>
      <c r="CQ624" t="s">
        <v>134</v>
      </c>
      <c r="CR624">
        <v>4330.3</v>
      </c>
      <c r="CS624" t="s">
        <v>134</v>
      </c>
      <c r="CT624" t="s">
        <v>134</v>
      </c>
      <c r="CU624" t="s">
        <v>134</v>
      </c>
      <c r="CV624" t="s">
        <v>134</v>
      </c>
      <c r="CW624" t="s">
        <v>134</v>
      </c>
      <c r="CX624" t="s">
        <v>134</v>
      </c>
      <c r="CY624" t="s">
        <v>134</v>
      </c>
      <c r="CZ624" t="s">
        <v>134</v>
      </c>
      <c r="DA624" t="s">
        <v>134</v>
      </c>
      <c r="DB624" t="s">
        <v>134</v>
      </c>
      <c r="DC624" t="s">
        <v>134</v>
      </c>
      <c r="DD624" t="s">
        <v>134</v>
      </c>
      <c r="DE624" t="s">
        <v>134</v>
      </c>
      <c r="DF624" t="s">
        <v>134</v>
      </c>
      <c r="DG624" t="s">
        <v>134</v>
      </c>
      <c r="DH624" t="s">
        <v>134</v>
      </c>
      <c r="DI624" t="s">
        <v>134</v>
      </c>
    </row>
    <row r="625" spans="5:113" x14ac:dyDescent="0.3">
      <c r="E625" t="s">
        <v>79</v>
      </c>
      <c r="F625">
        <v>8.9962999999999997</v>
      </c>
      <c r="G625">
        <v>5.1624999999999996</v>
      </c>
      <c r="H625">
        <v>7.3178000000000001</v>
      </c>
      <c r="I625">
        <v>5.2157999999999998</v>
      </c>
      <c r="J625">
        <v>20.169</v>
      </c>
      <c r="K625">
        <v>12.5913</v>
      </c>
      <c r="L625">
        <v>16.007100000000001</v>
      </c>
      <c r="M625">
        <v>14.379300000000001</v>
      </c>
      <c r="N625">
        <v>10.905799999999999</v>
      </c>
      <c r="O625">
        <v>10.5959</v>
      </c>
      <c r="P625">
        <v>10.5959</v>
      </c>
      <c r="Q625">
        <v>23.962499999999999</v>
      </c>
      <c r="R625" t="s">
        <v>134</v>
      </c>
      <c r="S625" t="s">
        <v>134</v>
      </c>
      <c r="T625">
        <v>8.6157000000000004</v>
      </c>
      <c r="U625">
        <v>18.1693</v>
      </c>
      <c r="V625">
        <v>11.215199999999999</v>
      </c>
      <c r="W625">
        <v>19.261199999999999</v>
      </c>
      <c r="X625">
        <v>19.090900000000001</v>
      </c>
      <c r="Y625" t="s">
        <v>134</v>
      </c>
      <c r="Z625">
        <v>29.272500000000001</v>
      </c>
      <c r="AA625">
        <v>3.8879999999999999</v>
      </c>
      <c r="AB625">
        <v>4.3102</v>
      </c>
      <c r="AC625">
        <v>3.9191000000000003</v>
      </c>
      <c r="AD625">
        <v>13.482200000000001</v>
      </c>
      <c r="AE625">
        <v>21.565799999999999</v>
      </c>
      <c r="AF625">
        <v>18.075900000000001</v>
      </c>
      <c r="AG625">
        <v>43.836500000000001</v>
      </c>
      <c r="AH625">
        <v>1.9468000000000001</v>
      </c>
      <c r="AI625">
        <v>5.5377000000000001</v>
      </c>
      <c r="AJ625">
        <v>4.5747999999999998</v>
      </c>
      <c r="AK625">
        <v>6.6154000000000002</v>
      </c>
      <c r="AL625" t="s">
        <v>134</v>
      </c>
      <c r="AM625" t="s">
        <v>134</v>
      </c>
      <c r="AN625" t="s">
        <v>134</v>
      </c>
      <c r="AO625" t="s">
        <v>134</v>
      </c>
      <c r="AP625" t="s">
        <v>134</v>
      </c>
      <c r="AQ625" t="s">
        <v>134</v>
      </c>
      <c r="AR625" t="s">
        <v>134</v>
      </c>
      <c r="AS625" t="s">
        <v>134</v>
      </c>
      <c r="AT625" t="s">
        <v>134</v>
      </c>
      <c r="AU625" t="s">
        <v>134</v>
      </c>
      <c r="AV625" t="s">
        <v>134</v>
      </c>
      <c r="AW625" t="s">
        <v>134</v>
      </c>
      <c r="AX625" t="s">
        <v>134</v>
      </c>
      <c r="AY625" t="s">
        <v>134</v>
      </c>
      <c r="AZ625" t="s">
        <v>134</v>
      </c>
      <c r="BA625" t="s">
        <v>134</v>
      </c>
      <c r="BB625" t="s">
        <v>134</v>
      </c>
      <c r="BC625" t="s">
        <v>134</v>
      </c>
      <c r="BD625" t="s">
        <v>134</v>
      </c>
      <c r="BE625" t="s">
        <v>134</v>
      </c>
      <c r="BF625">
        <v>16.1966</v>
      </c>
      <c r="BG625">
        <v>24.43</v>
      </c>
      <c r="BH625">
        <v>15.9666</v>
      </c>
      <c r="BI625">
        <v>3.3681999999999999</v>
      </c>
      <c r="BJ625">
        <v>3.3531</v>
      </c>
      <c r="BK625" t="s">
        <v>134</v>
      </c>
      <c r="BL625" t="s">
        <v>134</v>
      </c>
      <c r="BM625" t="s">
        <v>134</v>
      </c>
      <c r="BN625" t="s">
        <v>134</v>
      </c>
      <c r="BO625" t="s">
        <v>134</v>
      </c>
      <c r="BP625" t="s">
        <v>134</v>
      </c>
      <c r="BQ625" t="s">
        <v>134</v>
      </c>
      <c r="BR625" t="s">
        <v>134</v>
      </c>
      <c r="BS625" t="s">
        <v>134</v>
      </c>
      <c r="BT625" t="s">
        <v>134</v>
      </c>
      <c r="BU625" t="s">
        <v>134</v>
      </c>
      <c r="BV625" t="s">
        <v>134</v>
      </c>
      <c r="BW625" t="s">
        <v>134</v>
      </c>
      <c r="BX625" t="s">
        <v>134</v>
      </c>
      <c r="BY625">
        <v>47842.6</v>
      </c>
      <c r="BZ625">
        <v>11356.9</v>
      </c>
      <c r="CA625">
        <v>36485.699999999997</v>
      </c>
      <c r="CB625">
        <v>1.8157999999999999</v>
      </c>
      <c r="CC625">
        <v>0.91700000000000004</v>
      </c>
      <c r="CD625">
        <v>3.8923000000000001</v>
      </c>
      <c r="CE625">
        <v>1.9655</v>
      </c>
      <c r="CF625">
        <v>19.143000000000001</v>
      </c>
      <c r="CG625">
        <v>58.122399999999999</v>
      </c>
      <c r="CH625">
        <v>26.991</v>
      </c>
      <c r="CI625">
        <v>19.935400000000001</v>
      </c>
      <c r="CJ625">
        <v>16.1479</v>
      </c>
      <c r="CK625">
        <v>35.392499999999998</v>
      </c>
      <c r="CL625">
        <v>26.140699999999999</v>
      </c>
      <c r="CM625">
        <v>21.174199999999999</v>
      </c>
      <c r="CN625">
        <v>17.872599999999998</v>
      </c>
      <c r="CO625">
        <v>15.162699999999999</v>
      </c>
      <c r="CP625">
        <v>8043.9</v>
      </c>
      <c r="CQ625" t="s">
        <v>134</v>
      </c>
      <c r="CR625">
        <v>5021.7</v>
      </c>
      <c r="CS625">
        <v>0.55230000000000001</v>
      </c>
      <c r="CT625">
        <v>2.4885999999999999</v>
      </c>
      <c r="CU625">
        <v>1.3216000000000001</v>
      </c>
      <c r="CV625">
        <v>5.7615999999999996</v>
      </c>
      <c r="CW625">
        <v>4.9419000000000004</v>
      </c>
      <c r="CX625">
        <v>73.857900000000001</v>
      </c>
      <c r="CY625">
        <v>1.5197000000000001</v>
      </c>
      <c r="CZ625">
        <v>240.1807</v>
      </c>
      <c r="DA625">
        <v>3.4093</v>
      </c>
      <c r="DB625">
        <v>107.05970000000001</v>
      </c>
      <c r="DC625">
        <v>206.97890000000001</v>
      </c>
      <c r="DD625">
        <v>314.03859999999997</v>
      </c>
      <c r="DE625">
        <v>36224.400000000001</v>
      </c>
      <c r="DF625" t="s">
        <v>134</v>
      </c>
      <c r="DG625" t="s">
        <v>134</v>
      </c>
      <c r="DH625" t="s">
        <v>134</v>
      </c>
      <c r="DI625" t="s">
        <v>134</v>
      </c>
    </row>
    <row r="626" spans="5:113" x14ac:dyDescent="0.3">
      <c r="E626" t="s">
        <v>80</v>
      </c>
      <c r="F626" t="s">
        <v>134</v>
      </c>
      <c r="G626" t="s">
        <v>134</v>
      </c>
      <c r="H626" t="s">
        <v>134</v>
      </c>
      <c r="I626" t="s">
        <v>134</v>
      </c>
      <c r="J626">
        <v>21.349900000000002</v>
      </c>
      <c r="K626">
        <v>7.7275</v>
      </c>
      <c r="L626" t="s">
        <v>134</v>
      </c>
      <c r="M626">
        <v>8.8691999999999993</v>
      </c>
      <c r="N626">
        <v>10.521599999999999</v>
      </c>
      <c r="O626">
        <v>10.444900000000001</v>
      </c>
      <c r="P626">
        <v>10.444900000000001</v>
      </c>
      <c r="Q626" t="s">
        <v>134</v>
      </c>
      <c r="R626" t="s">
        <v>134</v>
      </c>
      <c r="S626" t="s">
        <v>134</v>
      </c>
      <c r="T626">
        <v>8.0131999999999994</v>
      </c>
      <c r="U626">
        <v>20.808700000000002</v>
      </c>
      <c r="V626">
        <v>-29.434899999999999</v>
      </c>
      <c r="W626">
        <v>6.8510999999999997</v>
      </c>
      <c r="X626">
        <v>6.8817000000000004</v>
      </c>
      <c r="Y626" t="s">
        <v>134</v>
      </c>
      <c r="Z626" t="s">
        <v>134</v>
      </c>
      <c r="AA626" t="s">
        <v>134</v>
      </c>
      <c r="AB626" t="s">
        <v>134</v>
      </c>
      <c r="AC626" t="s">
        <v>134</v>
      </c>
      <c r="AD626" t="s">
        <v>134</v>
      </c>
      <c r="AE626" t="s">
        <v>134</v>
      </c>
      <c r="AF626" t="s">
        <v>134</v>
      </c>
      <c r="AG626" t="s">
        <v>134</v>
      </c>
      <c r="AH626" t="s">
        <v>134</v>
      </c>
      <c r="AI626" t="s">
        <v>134</v>
      </c>
      <c r="AJ626" t="s">
        <v>134</v>
      </c>
      <c r="AK626" t="s">
        <v>134</v>
      </c>
      <c r="AL626" t="s">
        <v>134</v>
      </c>
      <c r="AM626" t="s">
        <v>134</v>
      </c>
      <c r="AN626" t="s">
        <v>134</v>
      </c>
      <c r="AO626" t="s">
        <v>134</v>
      </c>
      <c r="AP626" t="s">
        <v>134</v>
      </c>
      <c r="AQ626" t="s">
        <v>134</v>
      </c>
      <c r="AR626" t="s">
        <v>134</v>
      </c>
      <c r="AS626" t="s">
        <v>134</v>
      </c>
      <c r="AT626" t="s">
        <v>134</v>
      </c>
      <c r="AU626" t="s">
        <v>134</v>
      </c>
      <c r="AV626" t="s">
        <v>134</v>
      </c>
      <c r="AW626" t="s">
        <v>134</v>
      </c>
      <c r="AX626" t="s">
        <v>134</v>
      </c>
      <c r="AY626" t="s">
        <v>134</v>
      </c>
      <c r="AZ626" t="s">
        <v>134</v>
      </c>
      <c r="BA626" t="s">
        <v>134</v>
      </c>
      <c r="BB626" t="s">
        <v>134</v>
      </c>
      <c r="BC626" t="s">
        <v>134</v>
      </c>
      <c r="BD626" t="s">
        <v>134</v>
      </c>
      <c r="BE626" t="s">
        <v>134</v>
      </c>
      <c r="BF626">
        <v>-3.8551000000000002</v>
      </c>
      <c r="BG626">
        <v>1.774</v>
      </c>
      <c r="BH626">
        <v>-40.994100000000003</v>
      </c>
      <c r="BI626">
        <v>-5.2248999999999999</v>
      </c>
      <c r="BJ626">
        <v>-5.1527000000000003</v>
      </c>
      <c r="BK626" t="s">
        <v>134</v>
      </c>
      <c r="BL626" t="s">
        <v>134</v>
      </c>
      <c r="BM626" t="s">
        <v>134</v>
      </c>
      <c r="BN626" t="s">
        <v>134</v>
      </c>
      <c r="BO626" t="s">
        <v>134</v>
      </c>
      <c r="BP626" t="s">
        <v>134</v>
      </c>
      <c r="BQ626" t="s">
        <v>134</v>
      </c>
      <c r="BR626" t="s">
        <v>134</v>
      </c>
      <c r="BS626" t="s">
        <v>134</v>
      </c>
      <c r="BT626" t="s">
        <v>134</v>
      </c>
      <c r="BU626" t="s">
        <v>134</v>
      </c>
      <c r="BV626" t="s">
        <v>134</v>
      </c>
      <c r="BW626" t="s">
        <v>134</v>
      </c>
      <c r="BX626" t="s">
        <v>134</v>
      </c>
      <c r="BY626" t="s">
        <v>134</v>
      </c>
      <c r="BZ626" t="s">
        <v>134</v>
      </c>
      <c r="CA626" t="s">
        <v>134</v>
      </c>
      <c r="CB626" t="s">
        <v>134</v>
      </c>
      <c r="CC626" t="s">
        <v>134</v>
      </c>
      <c r="CD626" t="s">
        <v>134</v>
      </c>
      <c r="CE626" t="s">
        <v>134</v>
      </c>
      <c r="CF626">
        <v>89.471000000000004</v>
      </c>
      <c r="CG626" t="s">
        <v>134</v>
      </c>
      <c r="CH626" t="s">
        <v>134</v>
      </c>
      <c r="CI626" t="s">
        <v>134</v>
      </c>
      <c r="CJ626" t="s">
        <v>134</v>
      </c>
      <c r="CK626" t="s">
        <v>134</v>
      </c>
      <c r="CL626" t="s">
        <v>134</v>
      </c>
      <c r="CM626" t="s">
        <v>134</v>
      </c>
      <c r="CN626" t="s">
        <v>134</v>
      </c>
      <c r="CO626" t="s">
        <v>134</v>
      </c>
      <c r="CP626">
        <v>8186.6</v>
      </c>
      <c r="CQ626" t="s">
        <v>134</v>
      </c>
      <c r="CR626">
        <v>2963.1</v>
      </c>
      <c r="CS626" t="s">
        <v>134</v>
      </c>
      <c r="CT626" t="s">
        <v>134</v>
      </c>
      <c r="CU626" t="s">
        <v>134</v>
      </c>
      <c r="CV626" t="s">
        <v>134</v>
      </c>
      <c r="CW626" t="s">
        <v>134</v>
      </c>
      <c r="CX626" t="s">
        <v>134</v>
      </c>
      <c r="CY626" t="s">
        <v>134</v>
      </c>
      <c r="CZ626" t="s">
        <v>134</v>
      </c>
      <c r="DA626" t="s">
        <v>134</v>
      </c>
      <c r="DB626" t="s">
        <v>134</v>
      </c>
      <c r="DC626" t="s">
        <v>134</v>
      </c>
      <c r="DD626" t="s">
        <v>134</v>
      </c>
      <c r="DE626" t="s">
        <v>134</v>
      </c>
      <c r="DF626" t="s">
        <v>134</v>
      </c>
      <c r="DG626" t="s">
        <v>134</v>
      </c>
      <c r="DH626" t="s">
        <v>134</v>
      </c>
      <c r="DI626" t="s">
        <v>134</v>
      </c>
    </row>
    <row r="627" spans="5:113" x14ac:dyDescent="0.3">
      <c r="E627" t="s">
        <v>81</v>
      </c>
      <c r="F627">
        <v>10.537000000000001</v>
      </c>
      <c r="G627">
        <v>6.4264999999999999</v>
      </c>
      <c r="H627">
        <v>8.4625000000000004</v>
      </c>
      <c r="I627">
        <v>6.9387999999999996</v>
      </c>
      <c r="J627">
        <v>15.929600000000001</v>
      </c>
      <c r="K627">
        <v>7.7821999999999996</v>
      </c>
      <c r="L627">
        <v>4538.1984000000002</v>
      </c>
      <c r="M627">
        <v>5.7023000000000001</v>
      </c>
      <c r="N627">
        <v>4.3837999999999999</v>
      </c>
      <c r="O627">
        <v>5.1093000000000002</v>
      </c>
      <c r="P627">
        <v>5.1093000000000002</v>
      </c>
      <c r="Q627">
        <v>23.151399999999999</v>
      </c>
      <c r="R627" t="s">
        <v>134</v>
      </c>
      <c r="S627" t="s">
        <v>134</v>
      </c>
      <c r="T627">
        <v>0.2515</v>
      </c>
      <c r="U627">
        <v>10.001200000000001</v>
      </c>
      <c r="V627" t="s">
        <v>134</v>
      </c>
      <c r="W627" t="s">
        <v>134</v>
      </c>
      <c r="X627" t="s">
        <v>134</v>
      </c>
      <c r="Y627" t="s">
        <v>134</v>
      </c>
      <c r="Z627">
        <v>21.045200000000001</v>
      </c>
      <c r="AA627">
        <v>16.050899999999999</v>
      </c>
      <c r="AB627">
        <v>1.742</v>
      </c>
      <c r="AC627">
        <v>8.6678999999999995</v>
      </c>
      <c r="AD627">
        <v>12.3033</v>
      </c>
      <c r="AE627">
        <v>28.557700000000001</v>
      </c>
      <c r="AF627">
        <v>34.877899999999997</v>
      </c>
      <c r="AG627">
        <v>-6.7119</v>
      </c>
      <c r="AH627">
        <v>-0.3553</v>
      </c>
      <c r="AI627">
        <v>12.322900000000001</v>
      </c>
      <c r="AJ627">
        <v>9.2728000000000002</v>
      </c>
      <c r="AK627">
        <v>13.3515</v>
      </c>
      <c r="AL627" t="s">
        <v>134</v>
      </c>
      <c r="AM627" t="s">
        <v>134</v>
      </c>
      <c r="AN627" t="s">
        <v>134</v>
      </c>
      <c r="AO627" t="s">
        <v>134</v>
      </c>
      <c r="AP627" t="s">
        <v>134</v>
      </c>
      <c r="AQ627" t="s">
        <v>134</v>
      </c>
      <c r="AR627" t="s">
        <v>134</v>
      </c>
      <c r="AS627" t="s">
        <v>134</v>
      </c>
      <c r="AT627" t="s">
        <v>134</v>
      </c>
      <c r="AU627" t="s">
        <v>134</v>
      </c>
      <c r="AV627" t="s">
        <v>134</v>
      </c>
      <c r="AW627" t="s">
        <v>134</v>
      </c>
      <c r="AX627" t="s">
        <v>134</v>
      </c>
      <c r="AY627" t="s">
        <v>134</v>
      </c>
      <c r="AZ627" t="s">
        <v>134</v>
      </c>
      <c r="BA627" t="s">
        <v>134</v>
      </c>
      <c r="BB627" t="s">
        <v>134</v>
      </c>
      <c r="BC627" t="s">
        <v>134</v>
      </c>
      <c r="BD627" t="s">
        <v>134</v>
      </c>
      <c r="BE627" t="s">
        <v>134</v>
      </c>
      <c r="BF627">
        <v>-8.8324999999999996</v>
      </c>
      <c r="BG627">
        <v>-31.977899999999998</v>
      </c>
      <c r="BH627">
        <v>-8.1874000000000002</v>
      </c>
      <c r="BI627">
        <v>-55.404400000000003</v>
      </c>
      <c r="BJ627">
        <v>-55.332000000000001</v>
      </c>
      <c r="BK627" t="s">
        <v>134</v>
      </c>
      <c r="BL627" t="s">
        <v>134</v>
      </c>
      <c r="BM627" t="s">
        <v>134</v>
      </c>
      <c r="BN627" t="s">
        <v>134</v>
      </c>
      <c r="BO627" t="s">
        <v>134</v>
      </c>
      <c r="BP627" t="s">
        <v>134</v>
      </c>
      <c r="BQ627" t="s">
        <v>134</v>
      </c>
      <c r="BR627" t="s">
        <v>134</v>
      </c>
      <c r="BS627" t="s">
        <v>134</v>
      </c>
      <c r="BT627" t="s">
        <v>134</v>
      </c>
      <c r="BU627" t="s">
        <v>134</v>
      </c>
      <c r="BV627" t="s">
        <v>134</v>
      </c>
      <c r="BW627" t="s">
        <v>134</v>
      </c>
      <c r="BX627" t="s">
        <v>134</v>
      </c>
      <c r="BY627">
        <v>40979.800000000003</v>
      </c>
      <c r="BZ627">
        <v>4358.7</v>
      </c>
      <c r="CA627">
        <v>36621.1</v>
      </c>
      <c r="CB627">
        <v>1.4499</v>
      </c>
      <c r="CC627">
        <v>0.72140000000000004</v>
      </c>
      <c r="CD627">
        <v>2.7255000000000003</v>
      </c>
      <c r="CE627">
        <v>1.3561000000000001</v>
      </c>
      <c r="CF627">
        <v>15.8202</v>
      </c>
      <c r="CG627">
        <v>62.243400000000001</v>
      </c>
      <c r="CH627">
        <v>25.1145</v>
      </c>
      <c r="CI627">
        <v>19.604900000000001</v>
      </c>
      <c r="CJ627">
        <v>16.019300000000001</v>
      </c>
      <c r="CK627">
        <v>28.1037</v>
      </c>
      <c r="CL627">
        <v>21.938300000000002</v>
      </c>
      <c r="CM627">
        <v>17.925999999999998</v>
      </c>
      <c r="CN627">
        <v>13.9833</v>
      </c>
      <c r="CO627">
        <v>12.267900000000001</v>
      </c>
      <c r="CP627">
        <v>5568.7</v>
      </c>
      <c r="CQ627" t="s">
        <v>134</v>
      </c>
      <c r="CR627">
        <v>2720.5</v>
      </c>
      <c r="CS627">
        <v>0.5373</v>
      </c>
      <c r="CT627">
        <v>2.8218999999999999</v>
      </c>
      <c r="CU627">
        <v>1.3469</v>
      </c>
      <c r="CV627">
        <v>5.4703999999999997</v>
      </c>
      <c r="CW627">
        <v>5.2073</v>
      </c>
      <c r="CX627">
        <v>70.094499999999996</v>
      </c>
      <c r="CY627">
        <v>1.4925999999999999</v>
      </c>
      <c r="CZ627">
        <v>244.5395</v>
      </c>
      <c r="DA627">
        <v>3.3487999999999998</v>
      </c>
      <c r="DB627">
        <v>108.99290000000001</v>
      </c>
      <c r="DC627">
        <v>205.64109999999999</v>
      </c>
      <c r="DD627">
        <v>314.63389999999998</v>
      </c>
      <c r="DE627">
        <v>40447</v>
      </c>
      <c r="DF627">
        <v>16656.900000000001</v>
      </c>
      <c r="DG627">
        <v>7681.8</v>
      </c>
      <c r="DH627">
        <v>15707.7</v>
      </c>
      <c r="DI627">
        <v>400.6</v>
      </c>
    </row>
  </sheetData>
  <mergeCells count="3">
    <mergeCell ref="S1:AK1"/>
    <mergeCell ref="AL1:BD1"/>
    <mergeCell ref="BE1:B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Values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Prashanth A</dc:creator>
  <cp:lastModifiedBy>Prashanth A</cp:lastModifiedBy>
  <dcterms:created xsi:type="dcterms:W3CDTF">2019-03-30T03:03:40Z</dcterms:created>
  <dcterms:modified xsi:type="dcterms:W3CDTF">2019-05-11T06:53:08Z</dcterms:modified>
</cp:coreProperties>
</file>